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harts/chart4.xml" ContentType="application/vnd.openxmlformats-officedocument.drawingml.chart+xml"/>
  <Override PartName="/xl/drawings/drawing5.xml" ContentType="application/vnd.openxmlformats-officedocument.drawing+xml"/>
  <Override PartName="/xl/comments6.xml" ContentType="application/vnd.openxmlformats-officedocument.spreadsheetml.comments+xml"/>
  <Override PartName="/xl/charts/chart5.xml" ContentType="application/vnd.openxmlformats-officedocument.drawingml.chart+xml"/>
  <Override PartName="/xl/drawings/drawing6.xml" ContentType="application/vnd.openxmlformats-officedocument.drawing+xml"/>
  <Override PartName="/xl/comments7.xml" ContentType="application/vnd.openxmlformats-officedocument.spreadsheetml.comments+xml"/>
  <Override PartName="/xl/charts/chart6.xml" ContentType="application/vnd.openxmlformats-officedocument.drawingml.chart+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24226"/>
  <mc:AlternateContent xmlns:mc="http://schemas.openxmlformats.org/markup-compatibility/2006">
    <mc:Choice Requires="x15">
      <x15ac:absPath xmlns:x15ac="http://schemas.microsoft.com/office/spreadsheetml/2010/11/ac" url="C:\Users\Ronald\Dropbox\CallFire\Financial\Models\"/>
    </mc:Choice>
  </mc:AlternateContent>
  <bookViews>
    <workbookView xWindow="0" yWindow="0" windowWidth="15300" windowHeight="6150" tabRatio="750" firstSheet="1" activeTab="2"/>
  </bookViews>
  <sheets>
    <sheet name="Board MidQtr" sheetId="124" state="hidden" r:id="rId1"/>
    <sheet name="BOD Summary" sheetId="85" r:id="rId2"/>
    <sheet name="Sheet1" sheetId="143" r:id="rId3"/>
    <sheet name="Metrics" sheetId="116" r:id="rId4"/>
    <sheet name="Sensativities" sheetId="107" r:id="rId5"/>
    <sheet name="CAC Update" sheetId="126" r:id="rId6"/>
    <sheet name="P&amp;L - Monthly" sheetId="34" r:id="rId7"/>
    <sheet name="BS - Monthly" sheetId="69" r:id="rId8"/>
    <sheet name="CF - Monthly" sheetId="70" r:id="rId9"/>
    <sheet name="HC Summary" sheetId="61" r:id="rId10"/>
    <sheet name="Debt" sheetId="118" r:id="rId11"/>
    <sheet name="EzTxtNote" sheetId="119" r:id="rId12"/>
    <sheet name="Voice Revenue" sheetId="109" r:id="rId13"/>
    <sheet name="SMS Revenue" sheetId="115" r:id="rId14"/>
    <sheet name="SMS Sub" sheetId="125" r:id="rId15"/>
    <sheet name="SMS Exp" sheetId="67" r:id="rId16"/>
    <sheet name="Voice Exp" sheetId="65" r:id="rId17"/>
    <sheet name="Headcount" sheetId="129" r:id="rId18"/>
    <sheet name="New Hires Forecast" sheetId="130" r:id="rId19"/>
    <sheet name="Direct People Department Costs" sheetId="127" r:id="rId20"/>
    <sheet name="Controllable Expenses Forecast" sheetId="128" r:id="rId21"/>
    <sheet name="Sales" sheetId="131" r:id="rId22"/>
    <sheet name="Planning_Mkt" sheetId="142" r:id="rId23"/>
    <sheet name="Marketing" sheetId="132" r:id="rId24"/>
    <sheet name="Software" sheetId="133" r:id="rId25"/>
    <sheet name="Finance" sheetId="134" r:id="rId26"/>
    <sheet name="Dev Ops" sheetId="136" r:id="rId27"/>
    <sheet name="BI" sheetId="141" r:id="rId28"/>
    <sheet name="Exec" sheetId="135" r:id="rId29"/>
    <sheet name="CAPEX &amp; Depr " sheetId="138" r:id="rId30"/>
    <sheet name="Cost Summary" sheetId="11" r:id="rId31"/>
    <sheet name="BS - CF Actuals" sheetId="81" r:id="rId32"/>
    <sheet name="Gross Margin Actual" sheetId="140" r:id="rId33"/>
    <sheet name="Dept. Cost Actuals" sheetId="123" r:id="rId34"/>
    <sheet name="P&amp;L - Qtrly" sheetId="57" r:id="rId35"/>
    <sheet name="P&amp;L - Yrly" sheetId="58" r:id="rId36"/>
  </sheets>
  <externalReferences>
    <externalReference r:id="rId37"/>
    <externalReference r:id="rId38"/>
    <externalReference r:id="rId39"/>
    <externalReference r:id="rId40"/>
    <externalReference r:id="rId41"/>
    <externalReference r:id="rId42"/>
    <externalReference r:id="rId43"/>
  </externalReferences>
  <definedNames>
    <definedName name="_xlnm._FilterDatabase" localSheetId="8" hidden="1">'CF - Monthly'!$E$53:$AN$55</definedName>
    <definedName name="_xlnm._FilterDatabase" localSheetId="33" hidden="1">'Dept. Cost Actuals'!$F$2:$F$1534</definedName>
    <definedName name="_xlnm._FilterDatabase" localSheetId="19" hidden="1">'Direct People Department Costs'!$B$3:$G$102</definedName>
    <definedName name="_xlnm._FilterDatabase" localSheetId="17" hidden="1">Headcount!$F$4:$F$85</definedName>
    <definedName name="costs" localSheetId="27">#REF!</definedName>
    <definedName name="costs" localSheetId="29">#REF!</definedName>
    <definedName name="costs" localSheetId="33">#REF!</definedName>
    <definedName name="costs" localSheetId="26">#REF!</definedName>
    <definedName name="costs" localSheetId="28">#REF!</definedName>
    <definedName name="costs" localSheetId="11">#REF!</definedName>
    <definedName name="costs" localSheetId="25">#REF!</definedName>
    <definedName name="costs" localSheetId="32">#REF!</definedName>
    <definedName name="costs" localSheetId="23">#REF!</definedName>
    <definedName name="costs" localSheetId="34">#REF!</definedName>
    <definedName name="costs" localSheetId="35">#REF!</definedName>
    <definedName name="costs" localSheetId="22">#REF!</definedName>
    <definedName name="costs" localSheetId="13">#REF!</definedName>
    <definedName name="costs" localSheetId="24">#REF!</definedName>
    <definedName name="costs">#REF!</definedName>
    <definedName name="creative" localSheetId="27">#REF!</definedName>
    <definedName name="creative" localSheetId="29">#REF!</definedName>
    <definedName name="creative" localSheetId="33">#REF!</definedName>
    <definedName name="creative" localSheetId="26">#REF!</definedName>
    <definedName name="creative" localSheetId="28">#REF!</definedName>
    <definedName name="creative" localSheetId="11">#REF!</definedName>
    <definedName name="creative" localSheetId="25">#REF!</definedName>
    <definedName name="creative" localSheetId="32">#REF!</definedName>
    <definedName name="creative" localSheetId="23">#REF!</definedName>
    <definedName name="creative" localSheetId="34">#REF!</definedName>
    <definedName name="creative" localSheetId="35">#REF!</definedName>
    <definedName name="creative" localSheetId="22">#REF!</definedName>
    <definedName name="creative" localSheetId="13">#REF!</definedName>
    <definedName name="creative" localSheetId="24">#REF!</definedName>
    <definedName name="creative">#REF!</definedName>
    <definedName name="cs_bb" localSheetId="27">#REF!</definedName>
    <definedName name="cs_bb" localSheetId="7">#REF!</definedName>
    <definedName name="cs_bb" localSheetId="29">'[1]HC Forecast C Round'!$B$705</definedName>
    <definedName name="cs_bb" localSheetId="8">#REF!</definedName>
    <definedName name="cs_bb" localSheetId="33">#REF!</definedName>
    <definedName name="cs_bb" localSheetId="26">#REF!</definedName>
    <definedName name="cs_bb" localSheetId="28">#REF!</definedName>
    <definedName name="cs_bb" localSheetId="11">#REF!</definedName>
    <definedName name="cs_bb" localSheetId="25">#REF!</definedName>
    <definedName name="cs_bb" localSheetId="32">#REF!</definedName>
    <definedName name="cs_bb" localSheetId="23">#REF!</definedName>
    <definedName name="cs_bb" localSheetId="34">#REF!</definedName>
    <definedName name="cs_bb" localSheetId="35">#REF!</definedName>
    <definedName name="cs_bb" localSheetId="22">#REF!</definedName>
    <definedName name="cs_bb" localSheetId="13">#REF!</definedName>
    <definedName name="cs_bb" localSheetId="24">#REF!</definedName>
    <definedName name="cs_bb">#REF!</definedName>
    <definedName name="cs_cell" localSheetId="27">#REF!</definedName>
    <definedName name="cs_cell" localSheetId="7">#REF!</definedName>
    <definedName name="cs_cell" localSheetId="29">'[1]HC Forecast C Round'!$B$704</definedName>
    <definedName name="cs_cell" localSheetId="8">#REF!</definedName>
    <definedName name="cs_cell" localSheetId="33">#REF!</definedName>
    <definedName name="cs_cell" localSheetId="26">#REF!</definedName>
    <definedName name="cs_cell" localSheetId="28">#REF!</definedName>
    <definedName name="cs_cell" localSheetId="11">#REF!</definedName>
    <definedName name="cs_cell" localSheetId="25">#REF!</definedName>
    <definedName name="cs_cell" localSheetId="32">#REF!</definedName>
    <definedName name="cs_cell" localSheetId="23">#REF!</definedName>
    <definedName name="cs_cell" localSheetId="34">#REF!</definedName>
    <definedName name="cs_cell" localSheetId="35">#REF!</definedName>
    <definedName name="cs_cell" localSheetId="22">#REF!</definedName>
    <definedName name="cs_cell" localSheetId="13">#REF!</definedName>
    <definedName name="cs_cell" localSheetId="24">#REF!</definedName>
    <definedName name="cs_cell">#REF!</definedName>
    <definedName name="cs_ld" localSheetId="27">#REF!</definedName>
    <definedName name="cs_ld" localSheetId="7">#REF!</definedName>
    <definedName name="cs_ld" localSheetId="29">'[1]HC Forecast C Round'!$B$707</definedName>
    <definedName name="cs_ld" localSheetId="8">#REF!</definedName>
    <definedName name="cs_ld" localSheetId="33">#REF!</definedName>
    <definedName name="cs_ld" localSheetId="26">#REF!</definedName>
    <definedName name="cs_ld" localSheetId="28">#REF!</definedName>
    <definedName name="cs_ld" localSheetId="11">#REF!</definedName>
    <definedName name="cs_ld" localSheetId="25">#REF!</definedName>
    <definedName name="cs_ld" localSheetId="32">#REF!</definedName>
    <definedName name="cs_ld" localSheetId="23">#REF!</definedName>
    <definedName name="cs_ld" localSheetId="34">#REF!</definedName>
    <definedName name="cs_ld" localSheetId="35">#REF!</definedName>
    <definedName name="cs_ld" localSheetId="22">#REF!</definedName>
    <definedName name="cs_ld" localSheetId="13">#REF!</definedName>
    <definedName name="cs_ld" localSheetId="24">#REF!</definedName>
    <definedName name="cs_ld">#REF!</definedName>
    <definedName name="cs_travel" localSheetId="27">#REF!</definedName>
    <definedName name="cs_travel" localSheetId="7">#REF!</definedName>
    <definedName name="cs_travel" localSheetId="29">'[1]HC Forecast C Round'!$B$706</definedName>
    <definedName name="cs_travel" localSheetId="8">#REF!</definedName>
    <definedName name="cs_travel" localSheetId="33">#REF!</definedName>
    <definedName name="cs_travel" localSheetId="26">#REF!</definedName>
    <definedName name="cs_travel" localSheetId="28">#REF!</definedName>
    <definedName name="cs_travel" localSheetId="11">#REF!</definedName>
    <definedName name="cs_travel" localSheetId="25">#REF!</definedName>
    <definedName name="cs_travel" localSheetId="32">#REF!</definedName>
    <definedName name="cs_travel" localSheetId="23">#REF!</definedName>
    <definedName name="cs_travel" localSheetId="34">#REF!</definedName>
    <definedName name="cs_travel" localSheetId="35">#REF!</definedName>
    <definedName name="cs_travel" localSheetId="22">#REF!</definedName>
    <definedName name="cs_travel" localSheetId="13">#REF!</definedName>
    <definedName name="cs_travel" localSheetId="24">#REF!</definedName>
    <definedName name="cs_travel">#REF!</definedName>
    <definedName name="d" localSheetId="27">#REF!</definedName>
    <definedName name="d" localSheetId="29">#REF!</definedName>
    <definedName name="d" localSheetId="33">#REF!</definedName>
    <definedName name="d" localSheetId="26">#REF!</definedName>
    <definedName name="d" localSheetId="28">#REF!</definedName>
    <definedName name="d" localSheetId="11">#REF!</definedName>
    <definedName name="d" localSheetId="25">#REF!</definedName>
    <definedName name="d" localSheetId="32">#REF!</definedName>
    <definedName name="d" localSheetId="23">#REF!</definedName>
    <definedName name="d" localSheetId="34">#REF!</definedName>
    <definedName name="d" localSheetId="35">#REF!</definedName>
    <definedName name="d" localSheetId="22">#REF!</definedName>
    <definedName name="d" localSheetId="13">#REF!</definedName>
    <definedName name="d" localSheetId="24">#REF!</definedName>
    <definedName name="d">#REF!</definedName>
    <definedName name="ds_bb" localSheetId="27">#REF!</definedName>
    <definedName name="ds_bb" localSheetId="7">#REF!</definedName>
    <definedName name="ds_bb" localSheetId="29">'[1]HC Forecast C Round'!$B$716</definedName>
    <definedName name="ds_bb" localSheetId="8">#REF!</definedName>
    <definedName name="ds_bb" localSheetId="33">#REF!</definedName>
    <definedName name="ds_bb" localSheetId="26">#REF!</definedName>
    <definedName name="ds_bb" localSheetId="28">#REF!</definedName>
    <definedName name="ds_bb" localSheetId="11">#REF!</definedName>
    <definedName name="ds_bb" localSheetId="25">#REF!</definedName>
    <definedName name="ds_bb" localSheetId="32">#REF!</definedName>
    <definedName name="ds_bb" localSheetId="23">#REF!</definedName>
    <definedName name="ds_bb" localSheetId="34">#REF!</definedName>
    <definedName name="ds_bb" localSheetId="35">#REF!</definedName>
    <definedName name="ds_bb" localSheetId="22">#REF!</definedName>
    <definedName name="ds_bb" localSheetId="13">#REF!</definedName>
    <definedName name="ds_bb" localSheetId="24">#REF!</definedName>
    <definedName name="ds_bb">#REF!</definedName>
    <definedName name="ds_cell" localSheetId="27">#REF!</definedName>
    <definedName name="ds_cell" localSheetId="7">#REF!</definedName>
    <definedName name="ds_cell" localSheetId="29">'[1]HC Forecast C Round'!$B$715</definedName>
    <definedName name="ds_cell" localSheetId="8">#REF!</definedName>
    <definedName name="ds_cell" localSheetId="33">#REF!</definedName>
    <definedName name="ds_cell" localSheetId="26">#REF!</definedName>
    <definedName name="ds_cell" localSheetId="28">#REF!</definedName>
    <definedName name="ds_cell" localSheetId="11">#REF!</definedName>
    <definedName name="ds_cell" localSheetId="25">#REF!</definedName>
    <definedName name="ds_cell" localSheetId="32">#REF!</definedName>
    <definedName name="ds_cell" localSheetId="23">#REF!</definedName>
    <definedName name="ds_cell" localSheetId="34">#REF!</definedName>
    <definedName name="ds_cell" localSheetId="35">#REF!</definedName>
    <definedName name="ds_cell" localSheetId="22">#REF!</definedName>
    <definedName name="ds_cell" localSheetId="13">#REF!</definedName>
    <definedName name="ds_cell" localSheetId="24">#REF!</definedName>
    <definedName name="ds_cell">#REF!</definedName>
    <definedName name="ds_ld" localSheetId="27">#REF!</definedName>
    <definedName name="ds_ld" localSheetId="7">#REF!</definedName>
    <definedName name="ds_ld" localSheetId="29">'[1]HC Forecast C Round'!$B$718</definedName>
    <definedName name="ds_ld" localSheetId="8">#REF!</definedName>
    <definedName name="ds_ld" localSheetId="33">#REF!</definedName>
    <definedName name="ds_ld" localSheetId="26">#REF!</definedName>
    <definedName name="ds_ld" localSheetId="28">#REF!</definedName>
    <definedName name="ds_ld" localSheetId="11">#REF!</definedName>
    <definedName name="ds_ld" localSheetId="25">#REF!</definedName>
    <definedName name="ds_ld" localSheetId="32">#REF!</definedName>
    <definedName name="ds_ld" localSheetId="23">#REF!</definedName>
    <definedName name="ds_ld" localSheetId="34">#REF!</definedName>
    <definedName name="ds_ld" localSheetId="35">#REF!</definedName>
    <definedName name="ds_ld" localSheetId="22">#REF!</definedName>
    <definedName name="ds_ld" localSheetId="13">#REF!</definedName>
    <definedName name="ds_ld" localSheetId="24">#REF!</definedName>
    <definedName name="ds_ld">#REF!</definedName>
    <definedName name="ds_travel" localSheetId="27">#REF!</definedName>
    <definedName name="ds_travel" localSheetId="7">#REF!</definedName>
    <definedName name="ds_travel" localSheetId="29">'[1]HC Forecast C Round'!$B$717</definedName>
    <definedName name="ds_travel" localSheetId="8">#REF!</definedName>
    <definedName name="ds_travel" localSheetId="33">#REF!</definedName>
    <definedName name="ds_travel" localSheetId="26">#REF!</definedName>
    <definedName name="ds_travel" localSheetId="28">#REF!</definedName>
    <definedName name="ds_travel" localSheetId="11">#REF!</definedName>
    <definedName name="ds_travel" localSheetId="25">#REF!</definedName>
    <definedName name="ds_travel" localSheetId="32">#REF!</definedName>
    <definedName name="ds_travel" localSheetId="23">#REF!</definedName>
    <definedName name="ds_travel" localSheetId="34">#REF!</definedName>
    <definedName name="ds_travel" localSheetId="35">#REF!</definedName>
    <definedName name="ds_travel" localSheetId="22">#REF!</definedName>
    <definedName name="ds_travel" localSheetId="13">#REF!</definedName>
    <definedName name="ds_travel" localSheetId="24">#REF!</definedName>
    <definedName name="ds_travel">#REF!</definedName>
    <definedName name="eng_bb" localSheetId="27">#REF!</definedName>
    <definedName name="eng_bb" localSheetId="7">#REF!</definedName>
    <definedName name="eng_bb" localSheetId="29">'[1]HC Forecast C Round'!$B$725</definedName>
    <definedName name="eng_bb" localSheetId="8">#REF!</definedName>
    <definedName name="eng_bb" localSheetId="33">#REF!</definedName>
    <definedName name="eng_bb" localSheetId="26">#REF!</definedName>
    <definedName name="eng_bb" localSheetId="28">#REF!</definedName>
    <definedName name="eng_bb" localSheetId="11">#REF!</definedName>
    <definedName name="eng_bb" localSheetId="25">#REF!</definedName>
    <definedName name="eng_bb" localSheetId="32">#REF!</definedName>
    <definedName name="eng_bb" localSheetId="23">#REF!</definedName>
    <definedName name="eng_bb" localSheetId="34">#REF!</definedName>
    <definedName name="eng_bb" localSheetId="35">#REF!</definedName>
    <definedName name="eng_bb" localSheetId="22">#REF!</definedName>
    <definedName name="eng_bb" localSheetId="13">#REF!</definedName>
    <definedName name="eng_bb" localSheetId="24">#REF!</definedName>
    <definedName name="eng_bb">#REF!</definedName>
    <definedName name="eng_cell" localSheetId="27">#REF!</definedName>
    <definedName name="eng_cell" localSheetId="7">#REF!</definedName>
    <definedName name="eng_cell" localSheetId="29">'[1]HC Forecast C Round'!$B$724</definedName>
    <definedName name="eng_cell" localSheetId="8">#REF!</definedName>
    <definedName name="eng_cell" localSheetId="33">#REF!</definedName>
    <definedName name="eng_cell" localSheetId="26">#REF!</definedName>
    <definedName name="eng_cell" localSheetId="28">#REF!</definedName>
    <definedName name="eng_cell" localSheetId="11">#REF!</definedName>
    <definedName name="eng_cell" localSheetId="25">#REF!</definedName>
    <definedName name="eng_cell" localSheetId="32">#REF!</definedName>
    <definedName name="eng_cell" localSheetId="23">#REF!</definedName>
    <definedName name="eng_cell" localSheetId="34">#REF!</definedName>
    <definedName name="eng_cell" localSheetId="35">#REF!</definedName>
    <definedName name="eng_cell" localSheetId="22">#REF!</definedName>
    <definedName name="eng_cell" localSheetId="13">#REF!</definedName>
    <definedName name="eng_cell" localSheetId="24">#REF!</definedName>
    <definedName name="eng_cell">#REF!</definedName>
    <definedName name="eng_ld" localSheetId="27">#REF!</definedName>
    <definedName name="eng_ld" localSheetId="7">#REF!</definedName>
    <definedName name="eng_ld" localSheetId="29">'[1]HC Forecast C Round'!$B$727</definedName>
    <definedName name="eng_ld" localSheetId="8">#REF!</definedName>
    <definedName name="eng_ld" localSheetId="33">#REF!</definedName>
    <definedName name="eng_ld" localSheetId="26">#REF!</definedName>
    <definedName name="eng_ld" localSheetId="28">#REF!</definedName>
    <definedName name="eng_ld" localSheetId="11">#REF!</definedName>
    <definedName name="eng_ld" localSheetId="25">#REF!</definedName>
    <definedName name="eng_ld" localSheetId="32">#REF!</definedName>
    <definedName name="eng_ld" localSheetId="23">#REF!</definedName>
    <definedName name="eng_ld" localSheetId="34">#REF!</definedName>
    <definedName name="eng_ld" localSheetId="35">#REF!</definedName>
    <definedName name="eng_ld" localSheetId="22">#REF!</definedName>
    <definedName name="eng_ld" localSheetId="13">#REF!</definedName>
    <definedName name="eng_ld" localSheetId="24">#REF!</definedName>
    <definedName name="eng_ld">#REF!</definedName>
    <definedName name="eng_travel" localSheetId="27">#REF!</definedName>
    <definedName name="eng_travel" localSheetId="7">#REF!</definedName>
    <definedName name="eng_travel" localSheetId="29">'[1]HC Forecast C Round'!$B$726</definedName>
    <definedName name="eng_travel" localSheetId="8">#REF!</definedName>
    <definedName name="eng_travel" localSheetId="33">#REF!</definedName>
    <definedName name="eng_travel" localSheetId="26">#REF!</definedName>
    <definedName name="eng_travel" localSheetId="28">#REF!</definedName>
    <definedName name="eng_travel" localSheetId="11">#REF!</definedName>
    <definedName name="eng_travel" localSheetId="25">#REF!</definedName>
    <definedName name="eng_travel" localSheetId="32">#REF!</definedName>
    <definedName name="eng_travel" localSheetId="23">#REF!</definedName>
    <definedName name="eng_travel" localSheetId="34">#REF!</definedName>
    <definedName name="eng_travel" localSheetId="35">#REF!</definedName>
    <definedName name="eng_travel" localSheetId="22">#REF!</definedName>
    <definedName name="eng_travel" localSheetId="13">#REF!</definedName>
    <definedName name="eng_travel" localSheetId="24">#REF!</definedName>
    <definedName name="eng_travel">#REF!</definedName>
    <definedName name="exec_bb" localSheetId="27">#REF!</definedName>
    <definedName name="exec_bb" localSheetId="7">#REF!</definedName>
    <definedName name="exec_bb" localSheetId="29">'[1]HC Forecast C Round'!$B$737</definedName>
    <definedName name="exec_bb" localSheetId="8">#REF!</definedName>
    <definedName name="exec_bb" localSheetId="33">#REF!</definedName>
    <definedName name="exec_bb" localSheetId="26">#REF!</definedName>
    <definedName name="exec_bb" localSheetId="28">#REF!</definedName>
    <definedName name="exec_bb" localSheetId="11">#REF!</definedName>
    <definedName name="exec_bb" localSheetId="25">#REF!</definedName>
    <definedName name="exec_bb" localSheetId="32">#REF!</definedName>
    <definedName name="exec_bb" localSheetId="23">#REF!</definedName>
    <definedName name="exec_bb" localSheetId="34">#REF!</definedName>
    <definedName name="exec_bb" localSheetId="35">#REF!</definedName>
    <definedName name="exec_bb" localSheetId="22">#REF!</definedName>
    <definedName name="exec_bb" localSheetId="13">#REF!</definedName>
    <definedName name="exec_bb" localSheetId="24">#REF!</definedName>
    <definedName name="exec_bb">#REF!</definedName>
    <definedName name="exec_cell" localSheetId="27">#REF!</definedName>
    <definedName name="exec_cell" localSheetId="7">#REF!</definedName>
    <definedName name="exec_cell" localSheetId="29">'[1]HC Forecast C Round'!$B$736</definedName>
    <definedName name="exec_cell" localSheetId="8">#REF!</definedName>
    <definedName name="exec_cell" localSheetId="33">#REF!</definedName>
    <definedName name="exec_cell" localSheetId="26">#REF!</definedName>
    <definedName name="exec_cell" localSheetId="28">#REF!</definedName>
    <definedName name="exec_cell" localSheetId="11">#REF!</definedName>
    <definedName name="exec_cell" localSheetId="25">#REF!</definedName>
    <definedName name="exec_cell" localSheetId="32">#REF!</definedName>
    <definedName name="exec_cell" localSheetId="23">#REF!</definedName>
    <definedName name="exec_cell" localSheetId="34">#REF!</definedName>
    <definedName name="exec_cell" localSheetId="35">#REF!</definedName>
    <definedName name="exec_cell" localSheetId="22">#REF!</definedName>
    <definedName name="exec_cell" localSheetId="13">#REF!</definedName>
    <definedName name="exec_cell" localSheetId="24">#REF!</definedName>
    <definedName name="exec_cell">#REF!</definedName>
    <definedName name="exec_ld" localSheetId="27">#REF!</definedName>
    <definedName name="exec_ld" localSheetId="7">#REF!</definedName>
    <definedName name="exec_ld" localSheetId="29">'[1]HC Forecast C Round'!$B$739</definedName>
    <definedName name="exec_ld" localSheetId="8">#REF!</definedName>
    <definedName name="exec_ld" localSheetId="33">#REF!</definedName>
    <definedName name="exec_ld" localSheetId="26">#REF!</definedName>
    <definedName name="exec_ld" localSheetId="28">#REF!</definedName>
    <definedName name="exec_ld" localSheetId="11">#REF!</definedName>
    <definedName name="exec_ld" localSheetId="25">#REF!</definedName>
    <definedName name="exec_ld" localSheetId="32">#REF!</definedName>
    <definedName name="exec_ld" localSheetId="23">#REF!</definedName>
    <definedName name="exec_ld" localSheetId="34">#REF!</definedName>
    <definedName name="exec_ld" localSheetId="35">#REF!</definedName>
    <definedName name="exec_ld" localSheetId="22">#REF!</definedName>
    <definedName name="exec_ld" localSheetId="13">#REF!</definedName>
    <definedName name="exec_ld" localSheetId="24">#REF!</definedName>
    <definedName name="exec_ld">#REF!</definedName>
    <definedName name="exec_travel" localSheetId="27">#REF!</definedName>
    <definedName name="exec_travel" localSheetId="7">#REF!</definedName>
    <definedName name="exec_travel" localSheetId="29">'[1]HC Forecast C Round'!$B$738</definedName>
    <definedName name="exec_travel" localSheetId="8">#REF!</definedName>
    <definedName name="exec_travel" localSheetId="33">#REF!</definedName>
    <definedName name="exec_travel" localSheetId="26">#REF!</definedName>
    <definedName name="exec_travel" localSheetId="28">#REF!</definedName>
    <definedName name="exec_travel" localSheetId="11">#REF!</definedName>
    <definedName name="exec_travel" localSheetId="25">#REF!</definedName>
    <definedName name="exec_travel" localSheetId="32">#REF!</definedName>
    <definedName name="exec_travel" localSheetId="23">#REF!</definedName>
    <definedName name="exec_travel" localSheetId="34">#REF!</definedName>
    <definedName name="exec_travel" localSheetId="35">#REF!</definedName>
    <definedName name="exec_travel" localSheetId="22">#REF!</definedName>
    <definedName name="exec_travel" localSheetId="13">#REF!</definedName>
    <definedName name="exec_travel" localSheetId="24">#REF!</definedName>
    <definedName name="exec_travel">#REF!</definedName>
    <definedName name="f" localSheetId="27">#REF!</definedName>
    <definedName name="f" localSheetId="7">#REF!</definedName>
    <definedName name="f" localSheetId="29">#REF!</definedName>
    <definedName name="f" localSheetId="8">#REF!</definedName>
    <definedName name="f" localSheetId="33">#REF!</definedName>
    <definedName name="f" localSheetId="26">#REF!</definedName>
    <definedName name="f" localSheetId="28">#REF!</definedName>
    <definedName name="f" localSheetId="11">#REF!</definedName>
    <definedName name="f" localSheetId="25">#REF!</definedName>
    <definedName name="f" localSheetId="32">#REF!</definedName>
    <definedName name="f" localSheetId="23">#REF!</definedName>
    <definedName name="f" localSheetId="34">#REF!</definedName>
    <definedName name="f" localSheetId="35">#REF!</definedName>
    <definedName name="f" localSheetId="22">#REF!</definedName>
    <definedName name="f" localSheetId="15">#REF!</definedName>
    <definedName name="f" localSheetId="13">#REF!</definedName>
    <definedName name="f" localSheetId="24">#REF!</definedName>
    <definedName name="f">#REF!</definedName>
    <definedName name="fin_bb" localSheetId="27">#REF!</definedName>
    <definedName name="fin_bb" localSheetId="7">#REF!</definedName>
    <definedName name="fin_bb" localSheetId="29">'[1]HC Forecast C Round'!$B$742</definedName>
    <definedName name="fin_bb" localSheetId="8">#REF!</definedName>
    <definedName name="fin_bb" localSheetId="33">#REF!</definedName>
    <definedName name="fin_bb" localSheetId="26">#REF!</definedName>
    <definedName name="fin_bb" localSheetId="28">#REF!</definedName>
    <definedName name="fin_bb" localSheetId="11">#REF!</definedName>
    <definedName name="fin_bb" localSheetId="25">#REF!</definedName>
    <definedName name="fin_bb" localSheetId="32">#REF!</definedName>
    <definedName name="fin_bb" localSheetId="23">#REF!</definedName>
    <definedName name="fin_bb" localSheetId="34">#REF!</definedName>
    <definedName name="fin_bb" localSheetId="35">#REF!</definedName>
    <definedName name="fin_bb" localSheetId="22">#REF!</definedName>
    <definedName name="fin_bb" localSheetId="13">#REF!</definedName>
    <definedName name="fin_bb" localSheetId="24">#REF!</definedName>
    <definedName name="fin_bb">#REF!</definedName>
    <definedName name="fin_cell" localSheetId="27">#REF!</definedName>
    <definedName name="fin_cell" localSheetId="7">#REF!</definedName>
    <definedName name="fin_cell" localSheetId="29">'[1]HC Forecast C Round'!$B$741</definedName>
    <definedName name="fin_cell" localSheetId="8">#REF!</definedName>
    <definedName name="fin_cell" localSheetId="33">#REF!</definedName>
    <definedName name="fin_cell" localSheetId="26">#REF!</definedName>
    <definedName name="fin_cell" localSheetId="28">#REF!</definedName>
    <definedName name="fin_cell" localSheetId="11">#REF!</definedName>
    <definedName name="fin_cell" localSheetId="25">#REF!</definedName>
    <definedName name="fin_cell" localSheetId="32">#REF!</definedName>
    <definedName name="fin_cell" localSheetId="23">#REF!</definedName>
    <definedName name="fin_cell" localSheetId="34">#REF!</definedName>
    <definedName name="fin_cell" localSheetId="35">#REF!</definedName>
    <definedName name="fin_cell" localSheetId="22">#REF!</definedName>
    <definedName name="fin_cell" localSheetId="13">#REF!</definedName>
    <definedName name="fin_cell" localSheetId="24">#REF!</definedName>
    <definedName name="fin_cell">#REF!</definedName>
    <definedName name="fin_ld" localSheetId="27">#REF!</definedName>
    <definedName name="fin_ld" localSheetId="7">#REF!</definedName>
    <definedName name="fin_ld" localSheetId="29">'[1]HC Forecast C Round'!$B$744</definedName>
    <definedName name="fin_ld" localSheetId="8">#REF!</definedName>
    <definedName name="fin_ld" localSheetId="33">#REF!</definedName>
    <definedName name="fin_ld" localSheetId="26">#REF!</definedName>
    <definedName name="fin_ld" localSheetId="28">#REF!</definedName>
    <definedName name="fin_ld" localSheetId="11">#REF!</definedName>
    <definedName name="fin_ld" localSheetId="25">#REF!</definedName>
    <definedName name="fin_ld" localSheetId="32">#REF!</definedName>
    <definedName name="fin_ld" localSheetId="23">#REF!</definedName>
    <definedName name="fin_ld" localSheetId="34">#REF!</definedName>
    <definedName name="fin_ld" localSheetId="35">#REF!</definedName>
    <definedName name="fin_ld" localSheetId="22">#REF!</definedName>
    <definedName name="fin_ld" localSheetId="13">#REF!</definedName>
    <definedName name="fin_ld" localSheetId="24">#REF!</definedName>
    <definedName name="fin_ld">#REF!</definedName>
    <definedName name="fin_travel" localSheetId="27">#REF!</definedName>
    <definedName name="fin_travel" localSheetId="7">#REF!</definedName>
    <definedName name="fin_travel" localSheetId="29">'[1]HC Forecast C Round'!$B$743</definedName>
    <definedName name="fin_travel" localSheetId="8">#REF!</definedName>
    <definedName name="fin_travel" localSheetId="33">#REF!</definedName>
    <definedName name="fin_travel" localSheetId="26">#REF!</definedName>
    <definedName name="fin_travel" localSheetId="28">#REF!</definedName>
    <definedName name="fin_travel" localSheetId="11">#REF!</definedName>
    <definedName name="fin_travel" localSheetId="25">#REF!</definedName>
    <definedName name="fin_travel" localSheetId="32">#REF!</definedName>
    <definedName name="fin_travel" localSheetId="23">#REF!</definedName>
    <definedName name="fin_travel" localSheetId="34">#REF!</definedName>
    <definedName name="fin_travel" localSheetId="35">#REF!</definedName>
    <definedName name="fin_travel" localSheetId="22">#REF!</definedName>
    <definedName name="fin_travel" localSheetId="13">#REF!</definedName>
    <definedName name="fin_travel" localSheetId="24">#REF!</definedName>
    <definedName name="fin_travel">#REF!</definedName>
    <definedName name="Interest">OFFSET('[2]Fixed Rate Traditional'!$H$27,0,0,MAX('[2]Fixed Rate Traditional'!$A$27:$A$10026),1)</definedName>
    <definedName name="mo_bb" localSheetId="27">#REF!</definedName>
    <definedName name="mo_bb" localSheetId="7">#REF!</definedName>
    <definedName name="mo_bb" localSheetId="29">'[1]HC Forecast C Round'!$B$710</definedName>
    <definedName name="mo_bb" localSheetId="8">#REF!</definedName>
    <definedName name="mo_bb" localSheetId="33">#REF!</definedName>
    <definedName name="mo_bb" localSheetId="26">#REF!</definedName>
    <definedName name="mo_bb" localSheetId="28">#REF!</definedName>
    <definedName name="mo_bb" localSheetId="11">#REF!</definedName>
    <definedName name="mo_bb" localSheetId="25">#REF!</definedName>
    <definedName name="mo_bb" localSheetId="32">#REF!</definedName>
    <definedName name="mo_bb" localSheetId="23">#REF!</definedName>
    <definedName name="mo_bb" localSheetId="34">#REF!</definedName>
    <definedName name="mo_bb" localSheetId="35">#REF!</definedName>
    <definedName name="mo_bb" localSheetId="22">#REF!</definedName>
    <definedName name="mo_bb" localSheetId="13">#REF!</definedName>
    <definedName name="mo_bb" localSheetId="24">#REF!</definedName>
    <definedName name="mo_bb">#REF!</definedName>
    <definedName name="mo_cell" localSheetId="27">#REF!</definedName>
    <definedName name="mo_cell" localSheetId="7">#REF!</definedName>
    <definedName name="mo_cell" localSheetId="29">'[1]HC Forecast C Round'!$B$709</definedName>
    <definedName name="mo_cell" localSheetId="8">#REF!</definedName>
    <definedName name="mo_cell" localSheetId="33">#REF!</definedName>
    <definedName name="mo_cell" localSheetId="26">#REF!</definedName>
    <definedName name="mo_cell" localSheetId="28">#REF!</definedName>
    <definedName name="mo_cell" localSheetId="11">#REF!</definedName>
    <definedName name="mo_cell" localSheetId="25">#REF!</definedName>
    <definedName name="mo_cell" localSheetId="32">#REF!</definedName>
    <definedName name="mo_cell" localSheetId="23">#REF!</definedName>
    <definedName name="mo_cell" localSheetId="34">#REF!</definedName>
    <definedName name="mo_cell" localSheetId="35">#REF!</definedName>
    <definedName name="mo_cell" localSheetId="22">#REF!</definedName>
    <definedName name="mo_cell" localSheetId="13">#REF!</definedName>
    <definedName name="mo_cell" localSheetId="24">#REF!</definedName>
    <definedName name="mo_cell">#REF!</definedName>
    <definedName name="mo_ld" localSheetId="27">#REF!</definedName>
    <definedName name="mo_ld" localSheetId="7">#REF!</definedName>
    <definedName name="mo_ld" localSheetId="29">'[1]HC Forecast C Round'!$B$712</definedName>
    <definedName name="mo_ld" localSheetId="8">#REF!</definedName>
    <definedName name="mo_ld" localSheetId="33">#REF!</definedName>
    <definedName name="mo_ld" localSheetId="26">#REF!</definedName>
    <definedName name="mo_ld" localSheetId="28">#REF!</definedName>
    <definedName name="mo_ld" localSheetId="11">#REF!</definedName>
    <definedName name="mo_ld" localSheetId="25">#REF!</definedName>
    <definedName name="mo_ld" localSheetId="32">#REF!</definedName>
    <definedName name="mo_ld" localSheetId="23">#REF!</definedName>
    <definedName name="mo_ld" localSheetId="34">#REF!</definedName>
    <definedName name="mo_ld" localSheetId="35">#REF!</definedName>
    <definedName name="mo_ld" localSheetId="22">#REF!</definedName>
    <definedName name="mo_ld" localSheetId="13">#REF!</definedName>
    <definedName name="mo_ld" localSheetId="24">#REF!</definedName>
    <definedName name="mo_ld">#REF!</definedName>
    <definedName name="mo_travel" localSheetId="27">#REF!</definedName>
    <definedName name="mo_travel" localSheetId="7">#REF!</definedName>
    <definedName name="mo_travel" localSheetId="29">'[1]HC Forecast C Round'!$B$711</definedName>
    <definedName name="mo_travel" localSheetId="8">#REF!</definedName>
    <definedName name="mo_travel" localSheetId="33">#REF!</definedName>
    <definedName name="mo_travel" localSheetId="26">#REF!</definedName>
    <definedName name="mo_travel" localSheetId="28">#REF!</definedName>
    <definedName name="mo_travel" localSheetId="11">#REF!</definedName>
    <definedName name="mo_travel" localSheetId="25">#REF!</definedName>
    <definedName name="mo_travel" localSheetId="32">#REF!</definedName>
    <definedName name="mo_travel" localSheetId="23">#REF!</definedName>
    <definedName name="mo_travel" localSheetId="34">#REF!</definedName>
    <definedName name="mo_travel" localSheetId="35">#REF!</definedName>
    <definedName name="mo_travel" localSheetId="22">#REF!</definedName>
    <definedName name="mo_travel" localSheetId="13">#REF!</definedName>
    <definedName name="mo_travel" localSheetId="24">#REF!</definedName>
    <definedName name="mo_travel">#REF!</definedName>
    <definedName name="PayPeriods">OFFSET('[2]Fixed Rate Traditional'!$A$27,0,0,MAX('[2]Fixed Rate Traditional'!$A$27:$A$10026),1)</definedName>
    <definedName name="pd_bb" localSheetId="27">#REF!</definedName>
    <definedName name="pd_bb" localSheetId="7">#REF!</definedName>
    <definedName name="pd_bb" localSheetId="29">'[1]HC Forecast C Round'!$B$730</definedName>
    <definedName name="pd_bb" localSheetId="8">#REF!</definedName>
    <definedName name="pd_bb" localSheetId="33">#REF!</definedName>
    <definedName name="pd_bb" localSheetId="26">#REF!</definedName>
    <definedName name="pd_bb" localSheetId="28">#REF!</definedName>
    <definedName name="pd_bb" localSheetId="11">#REF!</definedName>
    <definedName name="pd_bb" localSheetId="25">#REF!</definedName>
    <definedName name="pd_bb" localSheetId="32">#REF!</definedName>
    <definedName name="pd_bb" localSheetId="23">#REF!</definedName>
    <definedName name="pd_bb" localSheetId="34">#REF!</definedName>
    <definedName name="pd_bb" localSheetId="35">#REF!</definedName>
    <definedName name="pd_bb" localSheetId="22">#REF!</definedName>
    <definedName name="pd_bb" localSheetId="13">#REF!</definedName>
    <definedName name="pd_bb" localSheetId="24">#REF!</definedName>
    <definedName name="pd_bb">#REF!</definedName>
    <definedName name="pd_cell" localSheetId="27">#REF!</definedName>
    <definedName name="pd_cell" localSheetId="7">#REF!</definedName>
    <definedName name="pd_cell" localSheetId="29">'[1]HC Forecast C Round'!$B$729</definedName>
    <definedName name="pd_cell" localSheetId="8">#REF!</definedName>
    <definedName name="pd_cell" localSheetId="33">#REF!</definedName>
    <definedName name="pd_cell" localSheetId="26">#REF!</definedName>
    <definedName name="pd_cell" localSheetId="28">#REF!</definedName>
    <definedName name="pd_cell" localSheetId="11">#REF!</definedName>
    <definedName name="pd_cell" localSheetId="25">#REF!</definedName>
    <definedName name="pd_cell" localSheetId="32">#REF!</definedName>
    <definedName name="pd_cell" localSheetId="23">#REF!</definedName>
    <definedName name="pd_cell" localSheetId="34">#REF!</definedName>
    <definedName name="pd_cell" localSheetId="35">#REF!</definedName>
    <definedName name="pd_cell" localSheetId="22">#REF!</definedName>
    <definedName name="pd_cell" localSheetId="13">#REF!</definedName>
    <definedName name="pd_cell" localSheetId="24">#REF!</definedName>
    <definedName name="pd_cell">#REF!</definedName>
    <definedName name="pd_ld" localSheetId="27">#REF!</definedName>
    <definedName name="pd_ld" localSheetId="7">#REF!</definedName>
    <definedName name="pd_ld" localSheetId="29">'[1]HC Forecast C Round'!$B$732</definedName>
    <definedName name="pd_ld" localSheetId="8">#REF!</definedName>
    <definedName name="pd_ld" localSheetId="33">#REF!</definedName>
    <definedName name="pd_ld" localSheetId="26">#REF!</definedName>
    <definedName name="pd_ld" localSheetId="28">#REF!</definedName>
    <definedName name="pd_ld" localSheetId="11">#REF!</definedName>
    <definedName name="pd_ld" localSheetId="25">#REF!</definedName>
    <definedName name="pd_ld" localSheetId="32">#REF!</definedName>
    <definedName name="pd_ld" localSheetId="23">#REF!</definedName>
    <definedName name="pd_ld" localSheetId="34">#REF!</definedName>
    <definedName name="pd_ld" localSheetId="35">#REF!</definedName>
    <definedName name="pd_ld" localSheetId="22">#REF!</definedName>
    <definedName name="pd_ld" localSheetId="13">#REF!</definedName>
    <definedName name="pd_ld" localSheetId="24">#REF!</definedName>
    <definedName name="pd_ld">#REF!</definedName>
    <definedName name="pd_travel" localSheetId="27">#REF!</definedName>
    <definedName name="pd_travel" localSheetId="7">#REF!</definedName>
    <definedName name="pd_travel" localSheetId="29">'[1]HC Forecast C Round'!$B$731</definedName>
    <definedName name="pd_travel" localSheetId="8">#REF!</definedName>
    <definedName name="pd_travel" localSheetId="33">#REF!</definedName>
    <definedName name="pd_travel" localSheetId="26">#REF!</definedName>
    <definedName name="pd_travel" localSheetId="28">#REF!</definedName>
    <definedName name="pd_travel" localSheetId="11">#REF!</definedName>
    <definedName name="pd_travel" localSheetId="25">#REF!</definedName>
    <definedName name="pd_travel" localSheetId="32">#REF!</definedName>
    <definedName name="pd_travel" localSheetId="23">#REF!</definedName>
    <definedName name="pd_travel" localSheetId="34">#REF!</definedName>
    <definedName name="pd_travel" localSheetId="35">#REF!</definedName>
    <definedName name="pd_travel" localSheetId="22">#REF!</definedName>
    <definedName name="pd_travel" localSheetId="13">#REF!</definedName>
    <definedName name="pd_travel" localSheetId="24">#REF!</definedName>
    <definedName name="pd_travel">#REF!</definedName>
    <definedName name="Principal">OFFSET('[2]Fixed Rate Traditional'!$G$27,0,0,MAX('[2]Fixed Rate Traditional'!$A$27:$A$10026),1)</definedName>
    <definedName name="_xlnm.Print_Area" localSheetId="1">'BOD Summary'!$B$4:$T$28</definedName>
    <definedName name="_xlnm.Print_Area" localSheetId="7">'BS - Monthly'!$A$1:$U$52</definedName>
    <definedName name="_xlnm.Print_Area" localSheetId="8">'CF - Monthly'!$A$1:$AN$41</definedName>
    <definedName name="_xlnm.Print_Area" localSheetId="9">'HC Summary'!$A$1:$Z$15</definedName>
    <definedName name="_xlnm.Print_Area" localSheetId="3">Metrics!$B$1:$V$44</definedName>
    <definedName name="_xlnm.Print_Area" localSheetId="6">'P&amp;L - Monthly'!$B$1:$AN$82</definedName>
    <definedName name="_xlnm.Print_Area" localSheetId="35">'P&amp;L - Yrly'!$B$5:$D$71</definedName>
    <definedName name="_xlnm.Print_Titles" localSheetId="1">'BOD Summary'!$B:$B</definedName>
    <definedName name="_xlnm.Print_Titles" localSheetId="7">'BS - Monthly'!$A:$B,'BS - Monthly'!$1:$3</definedName>
    <definedName name="_xlnm.Print_Titles" localSheetId="8">'CF - Monthly'!$A:$C,'CF - Monthly'!$1:$7</definedName>
    <definedName name="_xlnm.Print_Titles" localSheetId="6">'P&amp;L - Monthly'!$A:$C,'P&amp;L - Monthly'!$1:$4</definedName>
    <definedName name="Product_3" localSheetId="22">[3]Assumptions!$C$53</definedName>
    <definedName name="Product_3">[4]Assumptions!$C$53</definedName>
    <definedName name="pt_bb" localSheetId="27">#REF!</definedName>
    <definedName name="pt_bb" localSheetId="7">#REF!</definedName>
    <definedName name="pt_bb" localSheetId="29">'[1]HC Forecast C Round'!$B$730</definedName>
    <definedName name="pt_bb" localSheetId="8">#REF!</definedName>
    <definedName name="pt_bb" localSheetId="33">#REF!</definedName>
    <definedName name="pt_bb" localSheetId="26">#REF!</definedName>
    <definedName name="pt_bb" localSheetId="28">#REF!</definedName>
    <definedName name="pt_bb" localSheetId="11">#REF!</definedName>
    <definedName name="pt_bb" localSheetId="25">#REF!</definedName>
    <definedName name="pt_bb" localSheetId="32">#REF!</definedName>
    <definedName name="pt_bb" localSheetId="23">#REF!</definedName>
    <definedName name="pt_bb" localSheetId="34">#REF!</definedName>
    <definedName name="pt_bb" localSheetId="35">#REF!</definedName>
    <definedName name="pt_bb" localSheetId="22">#REF!</definedName>
    <definedName name="pt_bb" localSheetId="13">#REF!</definedName>
    <definedName name="pt_bb" localSheetId="24">#REF!</definedName>
    <definedName name="pt_bb">#REF!</definedName>
    <definedName name="PTB" localSheetId="7">'[1]HC Forecast C Round'!$B$697</definedName>
    <definedName name="PTB" localSheetId="29">'[1]HC Forecast C Round'!$B$697</definedName>
    <definedName name="PTB" localSheetId="8">'[1]HC Forecast C Round'!$B$697</definedName>
    <definedName name="PTB">'[5]HC Forecast C Round'!$B$697</definedName>
    <definedName name="raise_09" localSheetId="27">#REF!</definedName>
    <definedName name="raise_09" localSheetId="7">#REF!</definedName>
    <definedName name="raise_09" localSheetId="29">#REF!</definedName>
    <definedName name="raise_09" localSheetId="8">#REF!</definedName>
    <definedName name="raise_09" localSheetId="33">#REF!</definedName>
    <definedName name="raise_09" localSheetId="26">#REF!</definedName>
    <definedName name="raise_09" localSheetId="28">#REF!</definedName>
    <definedName name="raise_09" localSheetId="11">#REF!</definedName>
    <definedName name="raise_09" localSheetId="25">#REF!</definedName>
    <definedName name="raise_09" localSheetId="32">#REF!</definedName>
    <definedName name="raise_09" localSheetId="23">#REF!</definedName>
    <definedName name="raise_09" localSheetId="34">#REF!</definedName>
    <definedName name="raise_09" localSheetId="35">#REF!</definedName>
    <definedName name="raise_09" localSheetId="22">#REF!</definedName>
    <definedName name="raise_09" localSheetId="13">#REF!</definedName>
    <definedName name="raise_09" localSheetId="24">#REF!</definedName>
    <definedName name="raise_09">#REF!</definedName>
    <definedName name="raise_10" localSheetId="27">#REF!</definedName>
    <definedName name="raise_10" localSheetId="7">#REF!</definedName>
    <definedName name="raise_10" localSheetId="29">#REF!</definedName>
    <definedName name="raise_10" localSheetId="8">#REF!</definedName>
    <definedName name="raise_10" localSheetId="33">#REF!</definedName>
    <definedName name="raise_10" localSheetId="26">#REF!</definedName>
    <definedName name="raise_10" localSheetId="28">#REF!</definedName>
    <definedName name="raise_10" localSheetId="11">#REF!</definedName>
    <definedName name="raise_10" localSheetId="25">#REF!</definedName>
    <definedName name="raise_10" localSheetId="32">#REF!</definedName>
    <definedName name="raise_10" localSheetId="23">#REF!</definedName>
    <definedName name="raise_10" localSheetId="34">#REF!</definedName>
    <definedName name="raise_10" localSheetId="35">#REF!</definedName>
    <definedName name="raise_10" localSheetId="22">#REF!</definedName>
    <definedName name="raise_10" localSheetId="13">#REF!</definedName>
    <definedName name="raise_10" localSheetId="24">#REF!</definedName>
    <definedName name="raise_10">#REF!</definedName>
    <definedName name="sales_bb" localSheetId="27">#REF!</definedName>
    <definedName name="sales_bb" localSheetId="7">#REF!</definedName>
    <definedName name="sales_bb" localSheetId="29">'[1]HC Forecast C Round'!#REF!</definedName>
    <definedName name="sales_bb" localSheetId="8">#REF!</definedName>
    <definedName name="sales_bb" localSheetId="33">#REF!</definedName>
    <definedName name="sales_bb" localSheetId="26">#REF!</definedName>
    <definedName name="sales_bb" localSheetId="28">#REF!</definedName>
    <definedName name="sales_bb" localSheetId="11">#REF!</definedName>
    <definedName name="sales_bb" localSheetId="25">#REF!</definedName>
    <definedName name="sales_bb" localSheetId="32">#REF!</definedName>
    <definedName name="sales_bb" localSheetId="23">#REF!</definedName>
    <definedName name="sales_bb" localSheetId="34">#REF!</definedName>
    <definedName name="sales_bb" localSheetId="35">#REF!</definedName>
    <definedName name="sales_bb" localSheetId="22">#REF!</definedName>
    <definedName name="sales_bb" localSheetId="13">#REF!</definedName>
    <definedName name="sales_bb" localSheetId="24">#REF!</definedName>
    <definedName name="sales_bb">#REF!</definedName>
    <definedName name="sales_cell" localSheetId="27">#REF!</definedName>
    <definedName name="sales_cell" localSheetId="7">#REF!</definedName>
    <definedName name="sales_cell" localSheetId="29">'[1]HC Forecast C Round'!#REF!</definedName>
    <definedName name="sales_cell" localSheetId="8">#REF!</definedName>
    <definedName name="sales_cell" localSheetId="33">#REF!</definedName>
    <definedName name="sales_cell" localSheetId="26">#REF!</definedName>
    <definedName name="sales_cell" localSheetId="28">#REF!</definedName>
    <definedName name="sales_cell" localSheetId="11">#REF!</definedName>
    <definedName name="sales_cell" localSheetId="25">#REF!</definedName>
    <definedName name="sales_cell" localSheetId="32">#REF!</definedName>
    <definedName name="sales_cell" localSheetId="23">#REF!</definedName>
    <definedName name="sales_cell" localSheetId="34">#REF!</definedName>
    <definedName name="sales_cell" localSheetId="35">#REF!</definedName>
    <definedName name="sales_cell" localSheetId="22">#REF!</definedName>
    <definedName name="sales_cell" localSheetId="13">#REF!</definedName>
    <definedName name="sales_cell" localSheetId="24">#REF!</definedName>
    <definedName name="sales_cell">#REF!</definedName>
    <definedName name="sales_ld" localSheetId="27">#REF!</definedName>
    <definedName name="sales_ld" localSheetId="7">#REF!</definedName>
    <definedName name="sales_ld" localSheetId="29">'[1]HC Forecast C Round'!#REF!</definedName>
    <definedName name="sales_ld" localSheetId="8">#REF!</definedName>
    <definedName name="sales_ld" localSheetId="33">#REF!</definedName>
    <definedName name="sales_ld" localSheetId="26">#REF!</definedName>
    <definedName name="sales_ld" localSheetId="28">#REF!</definedName>
    <definedName name="sales_ld" localSheetId="11">#REF!</definedName>
    <definedName name="sales_ld" localSheetId="25">#REF!</definedName>
    <definedName name="sales_ld" localSheetId="32">#REF!</definedName>
    <definedName name="sales_ld" localSheetId="23">#REF!</definedName>
    <definedName name="sales_ld" localSheetId="34">#REF!</definedName>
    <definedName name="sales_ld" localSheetId="35">#REF!</definedName>
    <definedName name="sales_ld" localSheetId="22">#REF!</definedName>
    <definedName name="sales_ld" localSheetId="13">#REF!</definedName>
    <definedName name="sales_ld" localSheetId="24">#REF!</definedName>
    <definedName name="sales_ld">#REF!</definedName>
    <definedName name="sales_travel" localSheetId="27">#REF!</definedName>
    <definedName name="sales_travel" localSheetId="7">#REF!</definedName>
    <definedName name="sales_travel" localSheetId="29">'[1]HC Forecast C Round'!#REF!</definedName>
    <definedName name="sales_travel" localSheetId="8">#REF!</definedName>
    <definedName name="sales_travel" localSheetId="33">#REF!</definedName>
    <definedName name="sales_travel" localSheetId="26">#REF!</definedName>
    <definedName name="sales_travel" localSheetId="28">#REF!</definedName>
    <definedName name="sales_travel" localSheetId="11">#REF!</definedName>
    <definedName name="sales_travel" localSheetId="25">#REF!</definedName>
    <definedName name="sales_travel" localSheetId="32">#REF!</definedName>
    <definedName name="sales_travel" localSheetId="23">#REF!</definedName>
    <definedName name="sales_travel" localSheetId="34">#REF!</definedName>
    <definedName name="sales_travel" localSheetId="35">#REF!</definedName>
    <definedName name="sales_travel" localSheetId="22">#REF!</definedName>
    <definedName name="sales_travel" localSheetId="13">#REF!</definedName>
    <definedName name="sales_travel" localSheetId="24">#REF!</definedName>
    <definedName name="sales_travel">#REF!</definedName>
    <definedName name="SR">'[6]Names List'!$A$2:$A$200</definedName>
    <definedName name="x" localSheetId="27">#REF!</definedName>
    <definedName name="x" localSheetId="29">#REF!</definedName>
    <definedName name="x" localSheetId="33">#REF!</definedName>
    <definedName name="x" localSheetId="26">#REF!</definedName>
    <definedName name="x" localSheetId="28">#REF!</definedName>
    <definedName name="x" localSheetId="11">#REF!</definedName>
    <definedName name="x" localSheetId="25">#REF!</definedName>
    <definedName name="x" localSheetId="32">#REF!</definedName>
    <definedName name="x" localSheetId="23">#REF!</definedName>
    <definedName name="x" localSheetId="34">#REF!</definedName>
    <definedName name="x" localSheetId="35">#REF!</definedName>
    <definedName name="x" localSheetId="22">#REF!</definedName>
    <definedName name="x" localSheetId="13">#REF!</definedName>
    <definedName name="x" localSheetId="24">#REF!</definedName>
    <definedName name="x">#REF!</definedName>
  </definedNames>
  <calcPr calcId="152511" calcOnSave="0"/>
  <fileRecoveryPr autoRecover="0"/>
</workbook>
</file>

<file path=xl/calcChain.xml><?xml version="1.0" encoding="utf-8"?>
<calcChain xmlns="http://schemas.openxmlformats.org/spreadsheetml/2006/main">
  <c r="R11" i="143" l="1"/>
  <c r="Q12" i="143"/>
  <c r="Z13" i="11" l="1"/>
  <c r="AA18" i="140"/>
  <c r="D25" i="140" l="1"/>
  <c r="E25" i="140"/>
  <c r="F25" i="140"/>
  <c r="G25" i="140"/>
  <c r="H25" i="140"/>
  <c r="I25" i="140"/>
  <c r="J25" i="140"/>
  <c r="K25" i="140"/>
  <c r="L25" i="140"/>
  <c r="M25" i="140"/>
  <c r="N25" i="140"/>
  <c r="O25" i="140"/>
  <c r="AF49" i="126" l="1"/>
  <c r="AG49" i="126"/>
  <c r="AH49" i="126"/>
  <c r="AI49" i="126"/>
  <c r="AJ49" i="126"/>
  <c r="AK49" i="126"/>
  <c r="AB21" i="135"/>
  <c r="AC21" i="135"/>
  <c r="AD21" i="135"/>
  <c r="AE21" i="135"/>
  <c r="AF21" i="135"/>
  <c r="AG21" i="135"/>
  <c r="AH21" i="135"/>
  <c r="AI21" i="135"/>
  <c r="AJ21" i="135"/>
  <c r="AK21" i="135"/>
  <c r="AL21" i="135"/>
  <c r="AA21" i="135"/>
  <c r="AA20" i="133" l="1"/>
  <c r="AB53" i="132"/>
  <c r="AC53" i="132"/>
  <c r="AD53" i="132"/>
  <c r="AE53" i="132"/>
  <c r="AF53" i="132"/>
  <c r="AG53" i="132"/>
  <c r="AH53" i="132"/>
  <c r="AI53" i="132"/>
  <c r="AJ53" i="132"/>
  <c r="AK53" i="132"/>
  <c r="AL53" i="132"/>
  <c r="AA53" i="132"/>
  <c r="AA49" i="132"/>
  <c r="AB49" i="132"/>
  <c r="AC49" i="132"/>
  <c r="AD49" i="132"/>
  <c r="AE49" i="132"/>
  <c r="AF49" i="132"/>
  <c r="AG49" i="132"/>
  <c r="AH49" i="132"/>
  <c r="AI49" i="132"/>
  <c r="AJ49" i="132"/>
  <c r="AK49" i="132"/>
  <c r="AL49" i="132"/>
  <c r="AB43" i="132"/>
  <c r="AC43" i="132"/>
  <c r="AD43" i="132"/>
  <c r="AE43" i="132"/>
  <c r="AF43" i="132"/>
  <c r="AG43" i="132"/>
  <c r="AH43" i="132"/>
  <c r="AI43" i="132"/>
  <c r="AJ43" i="132"/>
  <c r="AK43" i="132"/>
  <c r="AL43" i="132"/>
  <c r="AB44" i="132"/>
  <c r="AC44" i="132"/>
  <c r="AD44" i="132"/>
  <c r="AE44" i="132"/>
  <c r="AF44" i="132"/>
  <c r="AG44" i="132"/>
  <c r="AH44" i="132"/>
  <c r="AI44" i="132"/>
  <c r="AJ44" i="132"/>
  <c r="AK44" i="132"/>
  <c r="AL44" i="132"/>
  <c r="AB45" i="132"/>
  <c r="AC45" i="132"/>
  <c r="AD45" i="132"/>
  <c r="AE45" i="132"/>
  <c r="AF45" i="132"/>
  <c r="AG45" i="132"/>
  <c r="AH45" i="132"/>
  <c r="AI45" i="132"/>
  <c r="AJ45" i="132"/>
  <c r="AK45" i="132"/>
  <c r="AL45" i="132"/>
  <c r="AB46" i="132"/>
  <c r="AC46" i="132"/>
  <c r="AD46" i="132"/>
  <c r="AE46" i="132"/>
  <c r="AF46" i="132"/>
  <c r="AG46" i="132"/>
  <c r="AH46" i="132"/>
  <c r="AI46" i="132"/>
  <c r="AJ46" i="132"/>
  <c r="AK46" i="132"/>
  <c r="AL46" i="132"/>
  <c r="AB47" i="132"/>
  <c r="AC47" i="132"/>
  <c r="AD47" i="132"/>
  <c r="AE47" i="132"/>
  <c r="AF47" i="132"/>
  <c r="AG47" i="132"/>
  <c r="AH47" i="132"/>
  <c r="AI47" i="132"/>
  <c r="AJ47" i="132"/>
  <c r="AK47" i="132"/>
  <c r="AL47" i="132"/>
  <c r="AB48" i="132"/>
  <c r="AC48" i="132"/>
  <c r="AD48" i="132"/>
  <c r="AE48" i="132"/>
  <c r="AF48" i="132"/>
  <c r="AG48" i="132"/>
  <c r="AH48" i="132"/>
  <c r="AI48" i="132"/>
  <c r="AJ48" i="132"/>
  <c r="AK48" i="132"/>
  <c r="AL48" i="132"/>
  <c r="AB50" i="132"/>
  <c r="AC50" i="132"/>
  <c r="AD50" i="132"/>
  <c r="AE50" i="132"/>
  <c r="AF50" i="132"/>
  <c r="AG50" i="132"/>
  <c r="AH50" i="132"/>
  <c r="AI50" i="132"/>
  <c r="AJ50" i="132"/>
  <c r="AK50" i="132"/>
  <c r="AL50" i="132"/>
  <c r="AB51" i="132"/>
  <c r="AC51" i="132"/>
  <c r="AD51" i="132"/>
  <c r="AE51" i="132"/>
  <c r="AF51" i="132"/>
  <c r="AG51" i="132"/>
  <c r="AH51" i="132"/>
  <c r="AI51" i="132"/>
  <c r="AJ51" i="132"/>
  <c r="AK51" i="132"/>
  <c r="AL51" i="132"/>
  <c r="AB52" i="132"/>
  <c r="AC52" i="132"/>
  <c r="AD52" i="132"/>
  <c r="AE52" i="132"/>
  <c r="AF52" i="132"/>
  <c r="AG52" i="132"/>
  <c r="AH52" i="132"/>
  <c r="AI52" i="132"/>
  <c r="AJ52" i="132"/>
  <c r="AK52" i="132"/>
  <c r="AL52" i="132"/>
  <c r="P53" i="132"/>
  <c r="Q53" i="132"/>
  <c r="R53" i="132"/>
  <c r="S53" i="132"/>
  <c r="T53" i="132"/>
  <c r="U53" i="132"/>
  <c r="V53" i="132"/>
  <c r="W53" i="132"/>
  <c r="X53" i="132"/>
  <c r="Y53" i="132"/>
  <c r="Z53" i="132"/>
  <c r="AA52" i="132"/>
  <c r="AA51" i="132"/>
  <c r="AA50" i="132"/>
  <c r="AA48" i="132"/>
  <c r="AA47" i="132"/>
  <c r="AA46" i="132"/>
  <c r="AA45" i="132"/>
  <c r="AA44" i="132"/>
  <c r="AA43" i="132"/>
  <c r="AB29" i="132"/>
  <c r="AC29" i="132"/>
  <c r="AD29" i="132"/>
  <c r="AE29" i="132"/>
  <c r="AF29" i="132"/>
  <c r="AG29" i="132"/>
  <c r="AH29" i="132"/>
  <c r="AI29" i="132"/>
  <c r="AJ29" i="132"/>
  <c r="AK29" i="132"/>
  <c r="AL29" i="132"/>
  <c r="AB30" i="132"/>
  <c r="AC30" i="132"/>
  <c r="AD30" i="132"/>
  <c r="AE30" i="132"/>
  <c r="AF30" i="132"/>
  <c r="AG30" i="132"/>
  <c r="AH30" i="132"/>
  <c r="AI30" i="132"/>
  <c r="AJ30" i="132"/>
  <c r="AK30" i="132"/>
  <c r="AL30" i="132"/>
  <c r="AB31" i="132"/>
  <c r="AC31" i="132"/>
  <c r="AD31" i="132"/>
  <c r="AE31" i="132"/>
  <c r="AF31" i="132"/>
  <c r="AG31" i="132"/>
  <c r="AH31" i="132"/>
  <c r="AI31" i="132"/>
  <c r="AJ31" i="132"/>
  <c r="AK31" i="132"/>
  <c r="AL31" i="132"/>
  <c r="AB32" i="132"/>
  <c r="AC32" i="132"/>
  <c r="AD32" i="132"/>
  <c r="AE32" i="132"/>
  <c r="AF32" i="132"/>
  <c r="AG32" i="132"/>
  <c r="AH32" i="132"/>
  <c r="AI32" i="132"/>
  <c r="AJ32" i="132"/>
  <c r="AK32" i="132"/>
  <c r="AL32" i="132"/>
  <c r="AB33" i="132"/>
  <c r="AC33" i="132"/>
  <c r="AD33" i="132"/>
  <c r="AE33" i="132"/>
  <c r="AF33" i="132"/>
  <c r="AG33" i="132"/>
  <c r="AH33" i="132"/>
  <c r="AI33" i="132"/>
  <c r="AJ33" i="132"/>
  <c r="AK33" i="132"/>
  <c r="AL33" i="132"/>
  <c r="AB34" i="132"/>
  <c r="AC34" i="132"/>
  <c r="AD34" i="132"/>
  <c r="AE34" i="132"/>
  <c r="AF34" i="132"/>
  <c r="AG34" i="132"/>
  <c r="AH34" i="132"/>
  <c r="AI34" i="132"/>
  <c r="AJ34" i="132"/>
  <c r="AK34" i="132"/>
  <c r="AL34" i="132"/>
  <c r="AB35" i="132"/>
  <c r="AC35" i="132"/>
  <c r="AD35" i="132"/>
  <c r="AE35" i="132"/>
  <c r="AF35" i="132"/>
  <c r="AG35" i="132"/>
  <c r="AH35" i="132"/>
  <c r="AI35" i="132"/>
  <c r="AJ35" i="132"/>
  <c r="AK35" i="132"/>
  <c r="AL35" i="132"/>
  <c r="AB36" i="132"/>
  <c r="AC36" i="132"/>
  <c r="AD36" i="132"/>
  <c r="AE36" i="132"/>
  <c r="AF36" i="132"/>
  <c r="AG36" i="132"/>
  <c r="AH36" i="132"/>
  <c r="AI36" i="132"/>
  <c r="AJ36" i="132"/>
  <c r="AK36" i="132"/>
  <c r="AL36" i="132"/>
  <c r="AB37" i="132"/>
  <c r="AC37" i="132"/>
  <c r="AD37" i="132"/>
  <c r="AE37" i="132"/>
  <c r="AF37" i="132"/>
  <c r="AG37" i="132"/>
  <c r="AH37" i="132"/>
  <c r="AI37" i="132"/>
  <c r="AJ37" i="132"/>
  <c r="AK37" i="132"/>
  <c r="AL37" i="132"/>
  <c r="AB38" i="132"/>
  <c r="AC38" i="132"/>
  <c r="AD38" i="132"/>
  <c r="AE38" i="132"/>
  <c r="AF38" i="132"/>
  <c r="AG38" i="132"/>
  <c r="AH38" i="132"/>
  <c r="AI38" i="132"/>
  <c r="AJ38" i="132"/>
  <c r="AK38" i="132"/>
  <c r="AL38" i="132"/>
  <c r="AB39" i="132"/>
  <c r="AC39" i="132"/>
  <c r="AD39" i="132"/>
  <c r="AE39" i="132"/>
  <c r="AF39" i="132"/>
  <c r="AG39" i="132"/>
  <c r="AH39" i="132"/>
  <c r="AI39" i="132"/>
  <c r="AJ39" i="132"/>
  <c r="AK39" i="132"/>
  <c r="AL39" i="132"/>
  <c r="AA39" i="132"/>
  <c r="AA38" i="132"/>
  <c r="AA37" i="132"/>
  <c r="AA36" i="132"/>
  <c r="AA35" i="132"/>
  <c r="AA34" i="132"/>
  <c r="AA33" i="132"/>
  <c r="AA32" i="132"/>
  <c r="AA31" i="132"/>
  <c r="AA30" i="132"/>
  <c r="AA29" i="132"/>
  <c r="AB22" i="132"/>
  <c r="AC22" i="132"/>
  <c r="AD22" i="132"/>
  <c r="AE22" i="132"/>
  <c r="AF22" i="132"/>
  <c r="AG22" i="132"/>
  <c r="AH22" i="132"/>
  <c r="AI22" i="132"/>
  <c r="AJ22" i="132"/>
  <c r="AK22" i="132"/>
  <c r="AL22" i="132"/>
  <c r="AA22" i="132"/>
  <c r="AB21" i="132"/>
  <c r="AC21" i="132"/>
  <c r="AD21" i="132"/>
  <c r="AE21" i="132"/>
  <c r="AF21" i="132"/>
  <c r="AG21" i="132"/>
  <c r="AH21" i="132"/>
  <c r="AI21" i="132"/>
  <c r="AJ21" i="132"/>
  <c r="AK21" i="132"/>
  <c r="AL21" i="132"/>
  <c r="AA21" i="132"/>
  <c r="N90" i="142"/>
  <c r="L90" i="142"/>
  <c r="J90" i="142"/>
  <c r="H90" i="142"/>
  <c r="F90" i="142"/>
  <c r="E90" i="142"/>
  <c r="D90" i="142"/>
  <c r="N89" i="142"/>
  <c r="N93" i="142" s="1"/>
  <c r="L89" i="142"/>
  <c r="L93" i="142" s="1"/>
  <c r="J89" i="142"/>
  <c r="J93" i="142" s="1"/>
  <c r="H89" i="142"/>
  <c r="H93" i="142" s="1"/>
  <c r="F89" i="142"/>
  <c r="F93" i="142" s="1"/>
  <c r="E89" i="142"/>
  <c r="E93" i="142" s="1"/>
  <c r="D89" i="142"/>
  <c r="D93" i="142" s="1"/>
  <c r="O88" i="142"/>
  <c r="O90" i="142" s="1"/>
  <c r="N88" i="142"/>
  <c r="M88" i="142"/>
  <c r="M90" i="142" s="1"/>
  <c r="L88" i="142"/>
  <c r="K88" i="142"/>
  <c r="K90" i="142" s="1"/>
  <c r="J88" i="142"/>
  <c r="I88" i="142"/>
  <c r="I90" i="142" s="1"/>
  <c r="H88" i="142"/>
  <c r="G88" i="142"/>
  <c r="G90" i="142" s="1"/>
  <c r="F88" i="142"/>
  <c r="P79" i="142"/>
  <c r="O78" i="142"/>
  <c r="N78" i="142"/>
  <c r="M78" i="142"/>
  <c r="L78" i="142"/>
  <c r="K78" i="142"/>
  <c r="J78" i="142"/>
  <c r="I78" i="142"/>
  <c r="H78" i="142"/>
  <c r="G78" i="142"/>
  <c r="F78" i="142"/>
  <c r="E78" i="142"/>
  <c r="D78" i="142"/>
  <c r="P78" i="142" s="1"/>
  <c r="P77" i="142"/>
  <c r="P76" i="142"/>
  <c r="P75" i="142"/>
  <c r="P74" i="142"/>
  <c r="P73" i="142"/>
  <c r="P72" i="142"/>
  <c r="P71" i="142"/>
  <c r="P70" i="142"/>
  <c r="O69" i="142"/>
  <c r="N69" i="142"/>
  <c r="M69" i="142"/>
  <c r="L69" i="142"/>
  <c r="K69" i="142"/>
  <c r="J69" i="142"/>
  <c r="I69" i="142"/>
  <c r="H69" i="142"/>
  <c r="G69" i="142"/>
  <c r="F69" i="142"/>
  <c r="E69" i="142"/>
  <c r="D69" i="142"/>
  <c r="P69" i="142" s="1"/>
  <c r="P68" i="142"/>
  <c r="P67" i="142"/>
  <c r="P66" i="142"/>
  <c r="P65" i="142"/>
  <c r="P64" i="142"/>
  <c r="P63" i="142"/>
  <c r="O62" i="142"/>
  <c r="N62" i="142"/>
  <c r="M62" i="142"/>
  <c r="L62" i="142"/>
  <c r="K62" i="142"/>
  <c r="J62" i="142"/>
  <c r="I62" i="142"/>
  <c r="H62" i="142"/>
  <c r="G62" i="142"/>
  <c r="F62" i="142"/>
  <c r="E62" i="142"/>
  <c r="D62" i="142"/>
  <c r="P62" i="142" s="1"/>
  <c r="P61" i="142"/>
  <c r="P60" i="142"/>
  <c r="P59" i="142"/>
  <c r="P58" i="142"/>
  <c r="P57" i="142"/>
  <c r="O56" i="142"/>
  <c r="N56" i="142"/>
  <c r="M56" i="142"/>
  <c r="L56" i="142"/>
  <c r="K56" i="142"/>
  <c r="J56" i="142"/>
  <c r="I56" i="142"/>
  <c r="H56" i="142"/>
  <c r="G56" i="142"/>
  <c r="F56" i="142"/>
  <c r="E56" i="142"/>
  <c r="D56" i="142"/>
  <c r="P56" i="142" s="1"/>
  <c r="P55" i="142"/>
  <c r="P54" i="142"/>
  <c r="O53" i="142"/>
  <c r="N53" i="142"/>
  <c r="M53" i="142"/>
  <c r="L53" i="142"/>
  <c r="K53" i="142"/>
  <c r="J53" i="142"/>
  <c r="I53" i="142"/>
  <c r="H53" i="142"/>
  <c r="G53" i="142"/>
  <c r="F53" i="142"/>
  <c r="E53" i="142"/>
  <c r="D53" i="142"/>
  <c r="P53" i="142" s="1"/>
  <c r="P52" i="142"/>
  <c r="P51" i="142"/>
  <c r="P50" i="142"/>
  <c r="P49" i="142"/>
  <c r="O48" i="142"/>
  <c r="N48" i="142"/>
  <c r="M48" i="142"/>
  <c r="L48" i="142"/>
  <c r="K48" i="142"/>
  <c r="J48" i="142"/>
  <c r="I48" i="142"/>
  <c r="H48" i="142"/>
  <c r="G48" i="142"/>
  <c r="F48" i="142"/>
  <c r="E48" i="142"/>
  <c r="D48" i="142"/>
  <c r="P48" i="142" s="1"/>
  <c r="P47" i="142"/>
  <c r="P46" i="142"/>
  <c r="P45" i="142"/>
  <c r="O44" i="142"/>
  <c r="N44" i="142"/>
  <c r="M44" i="142"/>
  <c r="L44" i="142"/>
  <c r="K44" i="142"/>
  <c r="J44" i="142"/>
  <c r="I44" i="142"/>
  <c r="H44" i="142"/>
  <c r="G44" i="142"/>
  <c r="F44" i="142"/>
  <c r="E44" i="142"/>
  <c r="D44" i="142"/>
  <c r="P44" i="142" s="1"/>
  <c r="P43" i="142"/>
  <c r="P42" i="142"/>
  <c r="O41" i="142"/>
  <c r="N41" i="142"/>
  <c r="M41" i="142"/>
  <c r="L41" i="142"/>
  <c r="K41" i="142"/>
  <c r="J41" i="142"/>
  <c r="I41" i="142"/>
  <c r="H41" i="142"/>
  <c r="G41" i="142"/>
  <c r="F41" i="142"/>
  <c r="E41" i="142"/>
  <c r="D41" i="142"/>
  <c r="P41" i="142" s="1"/>
  <c r="P40" i="142"/>
  <c r="P39" i="142"/>
  <c r="P38" i="142"/>
  <c r="P37" i="142"/>
  <c r="O36" i="142"/>
  <c r="O80" i="142" s="1"/>
  <c r="N36" i="142"/>
  <c r="N80" i="142" s="1"/>
  <c r="M36" i="142"/>
  <c r="M80" i="142" s="1"/>
  <c r="M82" i="142" s="1"/>
  <c r="L36" i="142"/>
  <c r="L80" i="142" s="1"/>
  <c r="L82" i="142" s="1"/>
  <c r="K36" i="142"/>
  <c r="K80" i="142" s="1"/>
  <c r="J36" i="142"/>
  <c r="J80" i="142" s="1"/>
  <c r="I36" i="142"/>
  <c r="I80" i="142" s="1"/>
  <c r="I82" i="142" s="1"/>
  <c r="H36" i="142"/>
  <c r="H80" i="142" s="1"/>
  <c r="H82" i="142" s="1"/>
  <c r="G36" i="142"/>
  <c r="G80" i="142" s="1"/>
  <c r="F36" i="142"/>
  <c r="F80" i="142" s="1"/>
  <c r="E36" i="142"/>
  <c r="E80" i="142" s="1"/>
  <c r="E82" i="142" s="1"/>
  <c r="D36" i="142"/>
  <c r="D80" i="142" s="1"/>
  <c r="D82" i="142" s="1"/>
  <c r="P31" i="142"/>
  <c r="P30" i="142"/>
  <c r="O29" i="142"/>
  <c r="N29" i="142"/>
  <c r="M29" i="142"/>
  <c r="L29" i="142"/>
  <c r="K29" i="142"/>
  <c r="J29" i="142"/>
  <c r="I29" i="142"/>
  <c r="H29" i="142"/>
  <c r="G29" i="142"/>
  <c r="F29" i="142"/>
  <c r="E29" i="142"/>
  <c r="D29" i="142"/>
  <c r="P29" i="142" s="1"/>
  <c r="P28" i="142"/>
  <c r="P27" i="142"/>
  <c r="P26" i="142"/>
  <c r="P25" i="142"/>
  <c r="P24" i="142"/>
  <c r="P23" i="142"/>
  <c r="P22" i="142"/>
  <c r="P21" i="142"/>
  <c r="P20" i="142"/>
  <c r="P19" i="142"/>
  <c r="P18" i="142"/>
  <c r="P17" i="142"/>
  <c r="O16" i="142"/>
  <c r="O32" i="142" s="1"/>
  <c r="N16" i="142"/>
  <c r="N32" i="142" s="1"/>
  <c r="M16" i="142"/>
  <c r="M32" i="142" s="1"/>
  <c r="L16" i="142"/>
  <c r="L32" i="142" s="1"/>
  <c r="K16" i="142"/>
  <c r="K32" i="142" s="1"/>
  <c r="J16" i="142"/>
  <c r="J32" i="142" s="1"/>
  <c r="I16" i="142"/>
  <c r="I32" i="142" s="1"/>
  <c r="H16" i="142"/>
  <c r="H32" i="142" s="1"/>
  <c r="G16" i="142"/>
  <c r="G32" i="142" s="1"/>
  <c r="F16" i="142"/>
  <c r="F32" i="142" s="1"/>
  <c r="E16" i="142"/>
  <c r="E32" i="142" s="1"/>
  <c r="D16" i="142"/>
  <c r="D32" i="142" s="1"/>
  <c r="O12" i="142"/>
  <c r="N12" i="142"/>
  <c r="M12" i="142"/>
  <c r="L12" i="142"/>
  <c r="K12" i="142"/>
  <c r="J12" i="142"/>
  <c r="I12" i="142"/>
  <c r="H12" i="142"/>
  <c r="G12" i="142"/>
  <c r="F12" i="142"/>
  <c r="E12" i="142"/>
  <c r="D12" i="142"/>
  <c r="P11" i="142"/>
  <c r="P10" i="142"/>
  <c r="P9" i="142"/>
  <c r="P8" i="142"/>
  <c r="P7" i="142"/>
  <c r="P12" i="142" s="1"/>
  <c r="G82" i="142" l="1"/>
  <c r="K82" i="142"/>
  <c r="O82" i="142"/>
  <c r="F82" i="142"/>
  <c r="J82" i="142"/>
  <c r="N82" i="142"/>
  <c r="D91" i="142"/>
  <c r="H91" i="142"/>
  <c r="L91" i="142"/>
  <c r="I89" i="142"/>
  <c r="M89" i="142"/>
  <c r="E91" i="142"/>
  <c r="P16" i="142"/>
  <c r="P32" i="142" s="1"/>
  <c r="F91" i="142"/>
  <c r="J91" i="142"/>
  <c r="N91" i="142"/>
  <c r="P36" i="142"/>
  <c r="P80" i="142" s="1"/>
  <c r="P82" i="142" s="1"/>
  <c r="P88" i="142"/>
  <c r="G89" i="142"/>
  <c r="K89" i="142"/>
  <c r="O89" i="142"/>
  <c r="D19" i="107" a="1"/>
  <c r="J21" i="107" s="1"/>
  <c r="I93" i="142" l="1"/>
  <c r="I91" i="142"/>
  <c r="O93" i="142"/>
  <c r="O91" i="142"/>
  <c r="G93" i="142"/>
  <c r="G91" i="142"/>
  <c r="M93" i="142"/>
  <c r="M91" i="142"/>
  <c r="K93" i="142"/>
  <c r="K91" i="142"/>
  <c r="BC44" i="107"/>
  <c r="AQ44" i="107"/>
  <c r="AE44" i="107"/>
  <c r="O44" i="107"/>
  <c r="BH43" i="107"/>
  <c r="AM43" i="107"/>
  <c r="R43" i="107"/>
  <c r="BJ42" i="107"/>
  <c r="AY42" i="107"/>
  <c r="AI42" i="107"/>
  <c r="S42" i="107"/>
  <c r="BK41" i="107"/>
  <c r="AU41" i="107"/>
  <c r="AE41" i="107"/>
  <c r="T41" i="107"/>
  <c r="J41" i="107"/>
  <c r="BG40" i="107"/>
  <c r="AV40" i="107"/>
  <c r="AQ40" i="107"/>
  <c r="AF40" i="107"/>
  <c r="X40" i="107"/>
  <c r="P40" i="107"/>
  <c r="BH39" i="107"/>
  <c r="AR39" i="107"/>
  <c r="AJ39" i="107"/>
  <c r="AB39" i="107"/>
  <c r="T39" i="107"/>
  <c r="L39" i="107"/>
  <c r="D39" i="107"/>
  <c r="BD38" i="107"/>
  <c r="AV38" i="107"/>
  <c r="AN38" i="107"/>
  <c r="AE38" i="107"/>
  <c r="T38" i="107"/>
  <c r="G38" i="107"/>
  <c r="AY37" i="107"/>
  <c r="AI37" i="107"/>
  <c r="S37" i="107"/>
  <c r="BK36" i="107"/>
  <c r="AU36" i="107"/>
  <c r="AE36" i="107"/>
  <c r="O36" i="107"/>
  <c r="BG35" i="107"/>
  <c r="AQ35" i="107"/>
  <c r="O35" i="107"/>
  <c r="AQ34" i="107"/>
  <c r="K34" i="107"/>
  <c r="AM33" i="107"/>
  <c r="G33" i="107"/>
  <c r="AI32" i="107"/>
  <c r="BK31" i="107"/>
  <c r="AE31" i="107"/>
  <c r="BG30" i="107"/>
  <c r="AA30" i="107"/>
  <c r="AU29" i="107"/>
  <c r="BD28" i="107"/>
  <c r="AZ27" i="107"/>
  <c r="I26" i="107"/>
  <c r="R23" i="107"/>
  <c r="BJ44" i="107"/>
  <c r="BF44" i="107"/>
  <c r="BB44" i="107"/>
  <c r="AX44" i="107"/>
  <c r="AT44" i="107"/>
  <c r="AP44" i="107"/>
  <c r="AL44" i="107"/>
  <c r="AH44" i="107"/>
  <c r="AD44" i="107"/>
  <c r="Z44" i="107"/>
  <c r="V44" i="107"/>
  <c r="R44" i="107"/>
  <c r="N44" i="107"/>
  <c r="J44" i="107"/>
  <c r="D44" i="107"/>
  <c r="BG43" i="107"/>
  <c r="BB43" i="107"/>
  <c r="AV43" i="107"/>
  <c r="AQ43" i="107"/>
  <c r="AL43" i="107"/>
  <c r="AF43" i="107"/>
  <c r="AA43" i="107"/>
  <c r="V43" i="107"/>
  <c r="P43" i="107"/>
  <c r="K43" i="107"/>
  <c r="F43" i="107"/>
  <c r="BH42" i="107"/>
  <c r="BC42" i="107"/>
  <c r="AX42" i="107"/>
  <c r="AR42" i="107"/>
  <c r="AM42" i="107"/>
  <c r="AH42" i="107"/>
  <c r="AB42" i="107"/>
  <c r="W42" i="107"/>
  <c r="R42" i="107"/>
  <c r="L42" i="107"/>
  <c r="G42" i="107"/>
  <c r="BJ41" i="107"/>
  <c r="BD41" i="107"/>
  <c r="AY41" i="107"/>
  <c r="AT41" i="107"/>
  <c r="AN41" i="107"/>
  <c r="AI41" i="107"/>
  <c r="AD41" i="107"/>
  <c r="X41" i="107"/>
  <c r="S41" i="107"/>
  <c r="N41" i="107"/>
  <c r="H41" i="107"/>
  <c r="BK40" i="107"/>
  <c r="BF40" i="107"/>
  <c r="AZ40" i="107"/>
  <c r="AU40" i="107"/>
  <c r="AP40" i="107"/>
  <c r="AJ40" i="107"/>
  <c r="AD40" i="107"/>
  <c r="V40" i="107"/>
  <c r="N40" i="107"/>
  <c r="F40" i="107"/>
  <c r="BF39" i="107"/>
  <c r="AX39" i="107"/>
  <c r="AP39" i="107"/>
  <c r="AH39" i="107"/>
  <c r="Z39" i="107"/>
  <c r="R39" i="107"/>
  <c r="J39" i="107"/>
  <c r="BJ38" i="107"/>
  <c r="BB38" i="107"/>
  <c r="AT38" i="107"/>
  <c r="AL38" i="107"/>
  <c r="AB38" i="107"/>
  <c r="R38" i="107"/>
  <c r="BK37" i="107"/>
  <c r="AU37" i="107"/>
  <c r="AE37" i="107"/>
  <c r="O37" i="107"/>
  <c r="BG36" i="107"/>
  <c r="AQ36" i="107"/>
  <c r="AA36" i="107"/>
  <c r="K36" i="107"/>
  <c r="BC35" i="107"/>
  <c r="AM35" i="107"/>
  <c r="G35" i="107"/>
  <c r="AI34" i="107"/>
  <c r="BK33" i="107"/>
  <c r="AE33" i="107"/>
  <c r="BG32" i="107"/>
  <c r="AA32" i="107"/>
  <c r="BC31" i="107"/>
  <c r="W31" i="107"/>
  <c r="AY30" i="107"/>
  <c r="S30" i="107"/>
  <c r="AJ29" i="107"/>
  <c r="AN28" i="107"/>
  <c r="AJ27" i="107"/>
  <c r="AK25" i="107"/>
  <c r="N22" i="107"/>
  <c r="BG44" i="107"/>
  <c r="AU44" i="107"/>
  <c r="AI44" i="107"/>
  <c r="W44" i="107"/>
  <c r="K44" i="107"/>
  <c r="BC43" i="107"/>
  <c r="AR43" i="107"/>
  <c r="AB43" i="107"/>
  <c r="L43" i="107"/>
  <c r="BD42" i="107"/>
  <c r="AN42" i="107"/>
  <c r="X42" i="107"/>
  <c r="H42" i="107"/>
  <c r="BF41" i="107"/>
  <c r="AP41" i="107"/>
  <c r="O41" i="107"/>
  <c r="H40" i="107"/>
  <c r="BA44" i="107"/>
  <c r="AO44" i="107"/>
  <c r="AC44" i="107"/>
  <c r="U44" i="107"/>
  <c r="H44" i="107"/>
  <c r="BF43" i="107"/>
  <c r="AP43" i="107"/>
  <c r="AE43" i="107"/>
  <c r="O43" i="107"/>
  <c r="D43" i="107"/>
  <c r="BB42" i="107"/>
  <c r="AQ42" i="107"/>
  <c r="AL42" i="107"/>
  <c r="AA42" i="107"/>
  <c r="V42" i="107"/>
  <c r="P42" i="107"/>
  <c r="K42" i="107"/>
  <c r="F42" i="107"/>
  <c r="BC41" i="107"/>
  <c r="AX41" i="107"/>
  <c r="AR41" i="107"/>
  <c r="AM41" i="107"/>
  <c r="AH41" i="107"/>
  <c r="AB41" i="107"/>
  <c r="W41" i="107"/>
  <c r="R41" i="107"/>
  <c r="L41" i="107"/>
  <c r="G41" i="107"/>
  <c r="BJ40" i="107"/>
  <c r="BD40" i="107"/>
  <c r="AY40" i="107"/>
  <c r="AT40" i="107"/>
  <c r="AN40" i="107"/>
  <c r="AI40" i="107"/>
  <c r="AB40" i="107"/>
  <c r="T40" i="107"/>
  <c r="L40" i="107"/>
  <c r="D40" i="107"/>
  <c r="BD39" i="107"/>
  <c r="AV39" i="107"/>
  <c r="AN39" i="107"/>
  <c r="AF39" i="107"/>
  <c r="X39" i="107"/>
  <c r="P39" i="107"/>
  <c r="H39" i="107"/>
  <c r="BH38" i="107"/>
  <c r="AZ38" i="107"/>
  <c r="AR38" i="107"/>
  <c r="AJ38" i="107"/>
  <c r="Z38" i="107"/>
  <c r="O38" i="107"/>
  <c r="BG37" i="107"/>
  <c r="AQ37" i="107"/>
  <c r="AA37" i="107"/>
  <c r="K37" i="107"/>
  <c r="BC36" i="107"/>
  <c r="AM36" i="107"/>
  <c r="W36" i="107"/>
  <c r="G36" i="107"/>
  <c r="AY35" i="107"/>
  <c r="AE35" i="107"/>
  <c r="BG34" i="107"/>
  <c r="AA34" i="107"/>
  <c r="BC33" i="107"/>
  <c r="W33" i="107"/>
  <c r="AY32" i="107"/>
  <c r="S32" i="107"/>
  <c r="AU31" i="107"/>
  <c r="O31" i="107"/>
  <c r="AQ30" i="107"/>
  <c r="H30" i="107"/>
  <c r="Y29" i="107"/>
  <c r="X28" i="107"/>
  <c r="M27" i="107"/>
  <c r="E25" i="107"/>
  <c r="D19" i="107"/>
  <c r="H19" i="107"/>
  <c r="L19" i="107"/>
  <c r="P19" i="107"/>
  <c r="T19" i="107"/>
  <c r="X19" i="107"/>
  <c r="AB19" i="107"/>
  <c r="AF19" i="107"/>
  <c r="AJ19" i="107"/>
  <c r="AN19" i="107"/>
  <c r="AR19" i="107"/>
  <c r="AV19" i="107"/>
  <c r="AZ19" i="107"/>
  <c r="BD19" i="107"/>
  <c r="BH19" i="107"/>
  <c r="D20" i="107"/>
  <c r="H20" i="107"/>
  <c r="L20" i="107"/>
  <c r="P20" i="107"/>
  <c r="T20" i="107"/>
  <c r="X20" i="107"/>
  <c r="AB20" i="107"/>
  <c r="AF20" i="107"/>
  <c r="AJ20" i="107"/>
  <c r="AN20" i="107"/>
  <c r="AR20" i="107"/>
  <c r="AV20" i="107"/>
  <c r="AZ20" i="107"/>
  <c r="BD20" i="107"/>
  <c r="BH20" i="107"/>
  <c r="D21" i="107"/>
  <c r="H21" i="107"/>
  <c r="L21" i="107"/>
  <c r="P21" i="107"/>
  <c r="T21" i="107"/>
  <c r="X21" i="107"/>
  <c r="AB21" i="107"/>
  <c r="AF21" i="107"/>
  <c r="AJ21" i="107"/>
  <c r="AN21" i="107"/>
  <c r="AR21" i="107"/>
  <c r="AV21" i="107"/>
  <c r="AZ21" i="107"/>
  <c r="BD21" i="107"/>
  <c r="BH21" i="107"/>
  <c r="D22" i="107"/>
  <c r="H22" i="107"/>
  <c r="L22" i="107"/>
  <c r="P22" i="107"/>
  <c r="T22" i="107"/>
  <c r="X22" i="107"/>
  <c r="AB22" i="107"/>
  <c r="AF22" i="107"/>
  <c r="AJ22" i="107"/>
  <c r="AN22" i="107"/>
  <c r="AR22" i="107"/>
  <c r="AV22" i="107"/>
  <c r="AZ22" i="107"/>
  <c r="BD22" i="107"/>
  <c r="BH22" i="107"/>
  <c r="D23" i="107"/>
  <c r="H23" i="107"/>
  <c r="L23" i="107"/>
  <c r="P23" i="107"/>
  <c r="T23" i="107"/>
  <c r="X23" i="107"/>
  <c r="AB23" i="107"/>
  <c r="AF23" i="107"/>
  <c r="AJ23" i="107"/>
  <c r="AN23" i="107"/>
  <c r="AR23" i="107"/>
  <c r="AV23" i="107"/>
  <c r="AZ23" i="107"/>
  <c r="BD23" i="107"/>
  <c r="BH23" i="107"/>
  <c r="D24" i="107"/>
  <c r="H24" i="107"/>
  <c r="L24" i="107"/>
  <c r="P24" i="107"/>
  <c r="T24" i="107"/>
  <c r="X24" i="107"/>
  <c r="AB24" i="107"/>
  <c r="AF24" i="107"/>
  <c r="AJ24" i="107"/>
  <c r="AN24" i="107"/>
  <c r="G19" i="107"/>
  <c r="K19" i="107"/>
  <c r="O19" i="107"/>
  <c r="S19" i="107"/>
  <c r="W19" i="107"/>
  <c r="AA19" i="107"/>
  <c r="AE19" i="107"/>
  <c r="AI19" i="107"/>
  <c r="AM19" i="107"/>
  <c r="AQ19" i="107"/>
  <c r="AU19" i="107"/>
  <c r="AY19" i="107"/>
  <c r="BC19" i="107"/>
  <c r="BG19" i="107"/>
  <c r="BK19" i="107"/>
  <c r="G20" i="107"/>
  <c r="K20" i="107"/>
  <c r="O20" i="107"/>
  <c r="S20" i="107"/>
  <c r="W20" i="107"/>
  <c r="AA20" i="107"/>
  <c r="AE20" i="107"/>
  <c r="AI20" i="107"/>
  <c r="AM20" i="107"/>
  <c r="AQ20" i="107"/>
  <c r="AU20" i="107"/>
  <c r="AY20" i="107"/>
  <c r="BC20" i="107"/>
  <c r="BG20" i="107"/>
  <c r="BK20" i="107"/>
  <c r="G21" i="107"/>
  <c r="K21" i="107"/>
  <c r="O21" i="107"/>
  <c r="S21" i="107"/>
  <c r="W21" i="107"/>
  <c r="AA21" i="107"/>
  <c r="AE21" i="107"/>
  <c r="AI21" i="107"/>
  <c r="AM21" i="107"/>
  <c r="AQ21" i="107"/>
  <c r="AU21" i="107"/>
  <c r="AY21" i="107"/>
  <c r="BC21" i="107"/>
  <c r="BG21" i="107"/>
  <c r="BK21" i="107"/>
  <c r="G22" i="107"/>
  <c r="K22" i="107"/>
  <c r="O22" i="107"/>
  <c r="S22" i="107"/>
  <c r="W22" i="107"/>
  <c r="AA22" i="107"/>
  <c r="AE22" i="107"/>
  <c r="AI22" i="107"/>
  <c r="AM22" i="107"/>
  <c r="AQ22" i="107"/>
  <c r="AU22" i="107"/>
  <c r="AY22" i="107"/>
  <c r="BC22" i="107"/>
  <c r="BG22" i="107"/>
  <c r="BK22" i="107"/>
  <c r="G23" i="107"/>
  <c r="K23" i="107"/>
  <c r="O23" i="107"/>
  <c r="S23" i="107"/>
  <c r="W23" i="107"/>
  <c r="AA23" i="107"/>
  <c r="AE23" i="107"/>
  <c r="AI23" i="107"/>
  <c r="AM23" i="107"/>
  <c r="AQ23" i="107"/>
  <c r="AU23" i="107"/>
  <c r="AY23" i="107"/>
  <c r="BC23" i="107"/>
  <c r="BG23" i="107"/>
  <c r="BK23" i="107"/>
  <c r="G24" i="107"/>
  <c r="K24" i="107"/>
  <c r="O24" i="107"/>
  <c r="S24" i="107"/>
  <c r="W24" i="107"/>
  <c r="AA24" i="107"/>
  <c r="AE24" i="107"/>
  <c r="AI24" i="107"/>
  <c r="AM24" i="107"/>
  <c r="AQ24" i="107"/>
  <c r="E19" i="107"/>
  <c r="M19" i="107"/>
  <c r="U19" i="107"/>
  <c r="AC19" i="107"/>
  <c r="AK19" i="107"/>
  <c r="AS19" i="107"/>
  <c r="BA19" i="107"/>
  <c r="BI19" i="107"/>
  <c r="I20" i="107"/>
  <c r="Q20" i="107"/>
  <c r="Y20" i="107"/>
  <c r="AG20" i="107"/>
  <c r="AO20" i="107"/>
  <c r="AW20" i="107"/>
  <c r="BE20" i="107"/>
  <c r="E21" i="107"/>
  <c r="M21" i="107"/>
  <c r="U21" i="107"/>
  <c r="AC21" i="107"/>
  <c r="AK21" i="107"/>
  <c r="AS21" i="107"/>
  <c r="BA21" i="107"/>
  <c r="BI21" i="107"/>
  <c r="I22" i="107"/>
  <c r="Q22" i="107"/>
  <c r="Y22" i="107"/>
  <c r="AG22" i="107"/>
  <c r="AO22" i="107"/>
  <c r="AW22" i="107"/>
  <c r="BE22" i="107"/>
  <c r="E23" i="107"/>
  <c r="M23" i="107"/>
  <c r="U23" i="107"/>
  <c r="AC23" i="107"/>
  <c r="AK23" i="107"/>
  <c r="AS23" i="107"/>
  <c r="BA23" i="107"/>
  <c r="BI23" i="107"/>
  <c r="I24" i="107"/>
  <c r="Q24" i="107"/>
  <c r="Y24" i="107"/>
  <c r="AG24" i="107"/>
  <c r="AO24" i="107"/>
  <c r="AT24" i="107"/>
  <c r="AX24" i="107"/>
  <c r="BB24" i="107"/>
  <c r="BF24" i="107"/>
  <c r="BJ24" i="107"/>
  <c r="F25" i="107"/>
  <c r="J25" i="107"/>
  <c r="N25" i="107"/>
  <c r="R25" i="107"/>
  <c r="V25" i="107"/>
  <c r="Z25" i="107"/>
  <c r="AD25" i="107"/>
  <c r="AH25" i="107"/>
  <c r="AL25" i="107"/>
  <c r="AP25" i="107"/>
  <c r="AT25" i="107"/>
  <c r="AX25" i="107"/>
  <c r="BB25" i="107"/>
  <c r="BF25" i="107"/>
  <c r="BJ25" i="107"/>
  <c r="F26" i="107"/>
  <c r="J26" i="107"/>
  <c r="N26" i="107"/>
  <c r="R26" i="107"/>
  <c r="V26" i="107"/>
  <c r="Z26" i="107"/>
  <c r="AD26" i="107"/>
  <c r="AH26" i="107"/>
  <c r="AL26" i="107"/>
  <c r="AP26" i="107"/>
  <c r="AT26" i="107"/>
  <c r="AX26" i="107"/>
  <c r="BB26" i="107"/>
  <c r="BF26" i="107"/>
  <c r="BJ26" i="107"/>
  <c r="F27" i="107"/>
  <c r="J27" i="107"/>
  <c r="N27" i="107"/>
  <c r="R27" i="107"/>
  <c r="I19" i="107"/>
  <c r="Q19" i="107"/>
  <c r="Y19" i="107"/>
  <c r="AG19" i="107"/>
  <c r="AO19" i="107"/>
  <c r="AW19" i="107"/>
  <c r="BE19" i="107"/>
  <c r="E20" i="107"/>
  <c r="M20" i="107"/>
  <c r="U20" i="107"/>
  <c r="AC20" i="107"/>
  <c r="AK20" i="107"/>
  <c r="AS20" i="107"/>
  <c r="BA20" i="107"/>
  <c r="BI20" i="107"/>
  <c r="I21" i="107"/>
  <c r="Q21" i="107"/>
  <c r="Y21" i="107"/>
  <c r="AG21" i="107"/>
  <c r="AO21" i="107"/>
  <c r="AW21" i="107"/>
  <c r="BE21" i="107"/>
  <c r="E22" i="107"/>
  <c r="M22" i="107"/>
  <c r="U22" i="107"/>
  <c r="AC22" i="107"/>
  <c r="AK22" i="107"/>
  <c r="AS22" i="107"/>
  <c r="BA22" i="107"/>
  <c r="BI22" i="107"/>
  <c r="I23" i="107"/>
  <c r="Q23" i="107"/>
  <c r="Y23" i="107"/>
  <c r="AG23" i="107"/>
  <c r="AO23" i="107"/>
  <c r="AW23" i="107"/>
  <c r="BE23" i="107"/>
  <c r="E24" i="107"/>
  <c r="M24" i="107"/>
  <c r="U24" i="107"/>
  <c r="AC24" i="107"/>
  <c r="AK24" i="107"/>
  <c r="AR24" i="107"/>
  <c r="AV24" i="107"/>
  <c r="AZ24" i="107"/>
  <c r="BD24" i="107"/>
  <c r="BH24" i="107"/>
  <c r="D25" i="107"/>
  <c r="H25" i="107"/>
  <c r="L25" i="107"/>
  <c r="P25" i="107"/>
  <c r="T25" i="107"/>
  <c r="X25" i="107"/>
  <c r="AB25" i="107"/>
  <c r="AF25" i="107"/>
  <c r="AJ25" i="107"/>
  <c r="AN25" i="107"/>
  <c r="AR25" i="107"/>
  <c r="AV25" i="107"/>
  <c r="AZ25" i="107"/>
  <c r="BD25" i="107"/>
  <c r="BH25" i="107"/>
  <c r="D26" i="107"/>
  <c r="H26" i="107"/>
  <c r="L26" i="107"/>
  <c r="P26" i="107"/>
  <c r="T26" i="107"/>
  <c r="X26" i="107"/>
  <c r="AB26" i="107"/>
  <c r="AF26" i="107"/>
  <c r="AJ26" i="107"/>
  <c r="AN26" i="107"/>
  <c r="AR26" i="107"/>
  <c r="AV26" i="107"/>
  <c r="AZ26" i="107"/>
  <c r="BD26" i="107"/>
  <c r="BH26" i="107"/>
  <c r="D27" i="107"/>
  <c r="H27" i="107"/>
  <c r="L27" i="107"/>
  <c r="P27" i="107"/>
  <c r="T27" i="107"/>
  <c r="X27" i="107"/>
  <c r="AB27" i="107"/>
  <c r="AF27" i="107"/>
  <c r="F19" i="107"/>
  <c r="V19" i="107"/>
  <c r="AL19" i="107"/>
  <c r="BB19" i="107"/>
  <c r="J20" i="107"/>
  <c r="Z20" i="107"/>
  <c r="AP20" i="107"/>
  <c r="BF20" i="107"/>
  <c r="N21" i="107"/>
  <c r="AD21" i="107"/>
  <c r="AT21" i="107"/>
  <c r="BJ21" i="107"/>
  <c r="R22" i="107"/>
  <c r="AH22" i="107"/>
  <c r="AX22" i="107"/>
  <c r="F23" i="107"/>
  <c r="V23" i="107"/>
  <c r="AL23" i="107"/>
  <c r="BB23" i="107"/>
  <c r="J24" i="107"/>
  <c r="Z24" i="107"/>
  <c r="AP24" i="107"/>
  <c r="AY24" i="107"/>
  <c r="BG24" i="107"/>
  <c r="G25" i="107"/>
  <c r="O25" i="107"/>
  <c r="W25" i="107"/>
  <c r="AE25" i="107"/>
  <c r="AM25" i="107"/>
  <c r="AU25" i="107"/>
  <c r="BC25" i="107"/>
  <c r="BK25" i="107"/>
  <c r="K26" i="107"/>
  <c r="S26" i="107"/>
  <c r="AA26" i="107"/>
  <c r="AI26" i="107"/>
  <c r="AQ26" i="107"/>
  <c r="AY26" i="107"/>
  <c r="BG26" i="107"/>
  <c r="G27" i="107"/>
  <c r="O27" i="107"/>
  <c r="V27" i="107"/>
  <c r="AA27" i="107"/>
  <c r="AG27" i="107"/>
  <c r="AK27" i="107"/>
  <c r="AO27" i="107"/>
  <c r="AS27" i="107"/>
  <c r="AW27" i="107"/>
  <c r="BA27" i="107"/>
  <c r="BE27" i="107"/>
  <c r="BI27" i="107"/>
  <c r="E28" i="107"/>
  <c r="I28" i="107"/>
  <c r="M28" i="107"/>
  <c r="Q28" i="107"/>
  <c r="U28" i="107"/>
  <c r="Y28" i="107"/>
  <c r="AC28" i="107"/>
  <c r="AG28" i="107"/>
  <c r="AK28" i="107"/>
  <c r="AO28" i="107"/>
  <c r="AS28" i="107"/>
  <c r="AW28" i="107"/>
  <c r="BA28" i="107"/>
  <c r="BE28" i="107"/>
  <c r="BI28" i="107"/>
  <c r="E29" i="107"/>
  <c r="I29" i="107"/>
  <c r="M29" i="107"/>
  <c r="Q29" i="107"/>
  <c r="J19" i="107"/>
  <c r="Z19" i="107"/>
  <c r="AP19" i="107"/>
  <c r="BF19" i="107"/>
  <c r="N20" i="107"/>
  <c r="AD20" i="107"/>
  <c r="AT20" i="107"/>
  <c r="BJ20" i="107"/>
  <c r="R21" i="107"/>
  <c r="AH21" i="107"/>
  <c r="AX21" i="107"/>
  <c r="F22" i="107"/>
  <c r="V22" i="107"/>
  <c r="AL22" i="107"/>
  <c r="BB22" i="107"/>
  <c r="J23" i="107"/>
  <c r="Z23" i="107"/>
  <c r="AP23" i="107"/>
  <c r="BF23" i="107"/>
  <c r="N24" i="107"/>
  <c r="AD24" i="107"/>
  <c r="AS24" i="107"/>
  <c r="BA24" i="107"/>
  <c r="BI24" i="107"/>
  <c r="I25" i="107"/>
  <c r="Q25" i="107"/>
  <c r="Y25" i="107"/>
  <c r="AG25" i="107"/>
  <c r="AO25" i="107"/>
  <c r="AW25" i="107"/>
  <c r="BE25" i="107"/>
  <c r="E26" i="107"/>
  <c r="M26" i="107"/>
  <c r="U26" i="107"/>
  <c r="AC26" i="107"/>
  <c r="AK26" i="107"/>
  <c r="AS26" i="107"/>
  <c r="BA26" i="107"/>
  <c r="BI26" i="107"/>
  <c r="I27" i="107"/>
  <c r="Q27" i="107"/>
  <c r="W27" i="107"/>
  <c r="AC27" i="107"/>
  <c r="AH27" i="107"/>
  <c r="AL27" i="107"/>
  <c r="AP27" i="107"/>
  <c r="AT27" i="107"/>
  <c r="AX27" i="107"/>
  <c r="BB27" i="107"/>
  <c r="BF27" i="107"/>
  <c r="BJ27" i="107"/>
  <c r="F28" i="107"/>
  <c r="J28" i="107"/>
  <c r="N28" i="107"/>
  <c r="R28" i="107"/>
  <c r="V28" i="107"/>
  <c r="Z28" i="107"/>
  <c r="AD28" i="107"/>
  <c r="AH28" i="107"/>
  <c r="AL28" i="107"/>
  <c r="AP28" i="107"/>
  <c r="AT28" i="107"/>
  <c r="AX28" i="107"/>
  <c r="BB28" i="107"/>
  <c r="BF28" i="107"/>
  <c r="BJ28" i="107"/>
  <c r="F29" i="107"/>
  <c r="J29" i="107"/>
  <c r="N29" i="107"/>
  <c r="R29" i="107"/>
  <c r="V29" i="107"/>
  <c r="Z29" i="107"/>
  <c r="AD29" i="107"/>
  <c r="AH29" i="107"/>
  <c r="AL29" i="107"/>
  <c r="AP29" i="107"/>
  <c r="AT29" i="107"/>
  <c r="AX29" i="107"/>
  <c r="BB29" i="107"/>
  <c r="BF29" i="107"/>
  <c r="BJ29" i="107"/>
  <c r="F30" i="107"/>
  <c r="J30" i="107"/>
  <c r="N30" i="107"/>
  <c r="R30" i="107"/>
  <c r="N19" i="107"/>
  <c r="AT19" i="107"/>
  <c r="R20" i="107"/>
  <c r="AX20" i="107"/>
  <c r="V21" i="107"/>
  <c r="BB21" i="107"/>
  <c r="Z22" i="107"/>
  <c r="BF22" i="107"/>
  <c r="AD23" i="107"/>
  <c r="BJ23" i="107"/>
  <c r="AH24" i="107"/>
  <c r="BC24" i="107"/>
  <c r="K25" i="107"/>
  <c r="AA25" i="107"/>
  <c r="AQ25" i="107"/>
  <c r="BG25" i="107"/>
  <c r="O26" i="107"/>
  <c r="AE26" i="107"/>
  <c r="AU26" i="107"/>
  <c r="BK26" i="107"/>
  <c r="S27" i="107"/>
  <c r="AD27" i="107"/>
  <c r="AM27" i="107"/>
  <c r="AU27" i="107"/>
  <c r="BC27" i="107"/>
  <c r="BK27" i="107"/>
  <c r="K28" i="107"/>
  <c r="S28" i="107"/>
  <c r="AA28" i="107"/>
  <c r="AI28" i="107"/>
  <c r="AQ28" i="107"/>
  <c r="AY28" i="107"/>
  <c r="BG28" i="107"/>
  <c r="G29" i="107"/>
  <c r="O29" i="107"/>
  <c r="U29" i="107"/>
  <c r="AA29" i="107"/>
  <c r="AF29" i="107"/>
  <c r="AK29" i="107"/>
  <c r="AQ29" i="107"/>
  <c r="AV29" i="107"/>
  <c r="BA29" i="107"/>
  <c r="BG29" i="107"/>
  <c r="D30" i="107"/>
  <c r="I30" i="107"/>
  <c r="O30" i="107"/>
  <c r="T30" i="107"/>
  <c r="X30" i="107"/>
  <c r="AB30" i="107"/>
  <c r="AF30" i="107"/>
  <c r="AJ30" i="107"/>
  <c r="AN30" i="107"/>
  <c r="AR30" i="107"/>
  <c r="AV30" i="107"/>
  <c r="AZ30" i="107"/>
  <c r="BD30" i="107"/>
  <c r="BH30" i="107"/>
  <c r="D31" i="107"/>
  <c r="H31" i="107"/>
  <c r="L31" i="107"/>
  <c r="P31" i="107"/>
  <c r="T31" i="107"/>
  <c r="X31" i="107"/>
  <c r="AB31" i="107"/>
  <c r="AF31" i="107"/>
  <c r="AJ31" i="107"/>
  <c r="AN31" i="107"/>
  <c r="AR31" i="107"/>
  <c r="AV31" i="107"/>
  <c r="AZ31" i="107"/>
  <c r="BD31" i="107"/>
  <c r="BH31" i="107"/>
  <c r="D32" i="107"/>
  <c r="H32" i="107"/>
  <c r="L32" i="107"/>
  <c r="P32" i="107"/>
  <c r="T32" i="107"/>
  <c r="X32" i="107"/>
  <c r="AB32" i="107"/>
  <c r="AF32" i="107"/>
  <c r="AJ32" i="107"/>
  <c r="AN32" i="107"/>
  <c r="AR32" i="107"/>
  <c r="AV32" i="107"/>
  <c r="AZ32" i="107"/>
  <c r="BD32" i="107"/>
  <c r="BH32" i="107"/>
  <c r="D33" i="107"/>
  <c r="H33" i="107"/>
  <c r="L33" i="107"/>
  <c r="P33" i="107"/>
  <c r="T33" i="107"/>
  <c r="X33" i="107"/>
  <c r="AB33" i="107"/>
  <c r="AF33" i="107"/>
  <c r="AJ33" i="107"/>
  <c r="AN33" i="107"/>
  <c r="AR33" i="107"/>
  <c r="AV33" i="107"/>
  <c r="AZ33" i="107"/>
  <c r="BD33" i="107"/>
  <c r="BH33" i="107"/>
  <c r="D34" i="107"/>
  <c r="H34" i="107"/>
  <c r="L34" i="107"/>
  <c r="P34" i="107"/>
  <c r="T34" i="107"/>
  <c r="X34" i="107"/>
  <c r="AB34" i="107"/>
  <c r="AF34" i="107"/>
  <c r="AJ34" i="107"/>
  <c r="AN34" i="107"/>
  <c r="AR34" i="107"/>
  <c r="AV34" i="107"/>
  <c r="AZ34" i="107"/>
  <c r="BD34" i="107"/>
  <c r="BH34" i="107"/>
  <c r="D35" i="107"/>
  <c r="H35" i="107"/>
  <c r="L35" i="107"/>
  <c r="P35" i="107"/>
  <c r="T35" i="107"/>
  <c r="X35" i="107"/>
  <c r="AB35" i="107"/>
  <c r="AF35" i="107"/>
  <c r="AJ35" i="107"/>
  <c r="AN35" i="107"/>
  <c r="AR35" i="107"/>
  <c r="AV35" i="107"/>
  <c r="AZ35" i="107"/>
  <c r="BD35" i="107"/>
  <c r="BH35" i="107"/>
  <c r="D36" i="107"/>
  <c r="H36" i="107"/>
  <c r="L36" i="107"/>
  <c r="P36" i="107"/>
  <c r="T36" i="107"/>
  <c r="X36" i="107"/>
  <c r="AB36" i="107"/>
  <c r="AF36" i="107"/>
  <c r="AJ36" i="107"/>
  <c r="AN36" i="107"/>
  <c r="AR36" i="107"/>
  <c r="AV36" i="107"/>
  <c r="AZ36" i="107"/>
  <c r="BD36" i="107"/>
  <c r="BH36" i="107"/>
  <c r="D37" i="107"/>
  <c r="H37" i="107"/>
  <c r="L37" i="107"/>
  <c r="P37" i="107"/>
  <c r="T37" i="107"/>
  <c r="X37" i="107"/>
  <c r="AB37" i="107"/>
  <c r="AF37" i="107"/>
  <c r="AJ37" i="107"/>
  <c r="AN37" i="107"/>
  <c r="AR37" i="107"/>
  <c r="AV37" i="107"/>
  <c r="AZ37" i="107"/>
  <c r="BD37" i="107"/>
  <c r="BH37" i="107"/>
  <c r="D38" i="107"/>
  <c r="H38" i="107"/>
  <c r="L38" i="107"/>
  <c r="R19" i="107"/>
  <c r="AX19" i="107"/>
  <c r="V20" i="107"/>
  <c r="BB20" i="107"/>
  <c r="Z21" i="107"/>
  <c r="BF21" i="107"/>
  <c r="AD22" i="107"/>
  <c r="BJ22" i="107"/>
  <c r="AH23" i="107"/>
  <c r="F24" i="107"/>
  <c r="AL24" i="107"/>
  <c r="BE24" i="107"/>
  <c r="M25" i="107"/>
  <c r="AC25" i="107"/>
  <c r="AS25" i="107"/>
  <c r="BI25" i="107"/>
  <c r="Q26" i="107"/>
  <c r="AG26" i="107"/>
  <c r="AW26" i="107"/>
  <c r="E27" i="107"/>
  <c r="U27" i="107"/>
  <c r="AE27" i="107"/>
  <c r="AN27" i="107"/>
  <c r="AV27" i="107"/>
  <c r="BD27" i="107"/>
  <c r="D28" i="107"/>
  <c r="L28" i="107"/>
  <c r="T28" i="107"/>
  <c r="AB28" i="107"/>
  <c r="AJ28" i="107"/>
  <c r="AR28" i="107"/>
  <c r="AZ28" i="107"/>
  <c r="BH28" i="107"/>
  <c r="H29" i="107"/>
  <c r="P29" i="107"/>
  <c r="W29" i="107"/>
  <c r="AB29" i="107"/>
  <c r="AG29" i="107"/>
  <c r="AM29" i="107"/>
  <c r="AR29" i="107"/>
  <c r="AW29" i="107"/>
  <c r="BC29" i="107"/>
  <c r="BH29" i="107"/>
  <c r="E30" i="107"/>
  <c r="K30" i="107"/>
  <c r="P30" i="107"/>
  <c r="U30" i="107"/>
  <c r="Y30" i="107"/>
  <c r="AC30" i="107"/>
  <c r="AG30" i="107"/>
  <c r="AK30" i="107"/>
  <c r="AO30" i="107"/>
  <c r="AS30" i="107"/>
  <c r="AW30" i="107"/>
  <c r="BA30" i="107"/>
  <c r="BE30" i="107"/>
  <c r="BI30" i="107"/>
  <c r="E31" i="107"/>
  <c r="I31" i="107"/>
  <c r="M31" i="107"/>
  <c r="Q31" i="107"/>
  <c r="U31" i="107"/>
  <c r="Y31" i="107"/>
  <c r="AC31" i="107"/>
  <c r="AG31" i="107"/>
  <c r="AK31" i="107"/>
  <c r="AO31" i="107"/>
  <c r="AS31" i="107"/>
  <c r="AW31" i="107"/>
  <c r="BA31" i="107"/>
  <c r="BE31" i="107"/>
  <c r="BI31" i="107"/>
  <c r="E32" i="107"/>
  <c r="I32" i="107"/>
  <c r="M32" i="107"/>
  <c r="Q32" i="107"/>
  <c r="U32" i="107"/>
  <c r="Y32" i="107"/>
  <c r="AC32" i="107"/>
  <c r="AG32" i="107"/>
  <c r="AK32" i="107"/>
  <c r="AO32" i="107"/>
  <c r="AS32" i="107"/>
  <c r="AW32" i="107"/>
  <c r="BA32" i="107"/>
  <c r="BE32" i="107"/>
  <c r="BI32" i="107"/>
  <c r="E33" i="107"/>
  <c r="I33" i="107"/>
  <c r="M33" i="107"/>
  <c r="Q33" i="107"/>
  <c r="U33" i="107"/>
  <c r="Y33" i="107"/>
  <c r="AC33" i="107"/>
  <c r="AG33" i="107"/>
  <c r="AK33" i="107"/>
  <c r="AO33" i="107"/>
  <c r="AS33" i="107"/>
  <c r="AW33" i="107"/>
  <c r="BA33" i="107"/>
  <c r="BE33" i="107"/>
  <c r="BI33" i="107"/>
  <c r="E34" i="107"/>
  <c r="I34" i="107"/>
  <c r="M34" i="107"/>
  <c r="Q34" i="107"/>
  <c r="U34" i="107"/>
  <c r="Y34" i="107"/>
  <c r="AC34" i="107"/>
  <c r="AG34" i="107"/>
  <c r="AK34" i="107"/>
  <c r="AO34" i="107"/>
  <c r="AS34" i="107"/>
  <c r="AW34" i="107"/>
  <c r="BA34" i="107"/>
  <c r="BE34" i="107"/>
  <c r="BI34" i="107"/>
  <c r="E35" i="107"/>
  <c r="I35" i="107"/>
  <c r="M35" i="107"/>
  <c r="Q35" i="107"/>
  <c r="U35" i="107"/>
  <c r="Y35" i="107"/>
  <c r="AC35" i="107"/>
  <c r="AG35" i="107"/>
  <c r="AK35" i="107"/>
  <c r="AO35" i="107"/>
  <c r="AS35" i="107"/>
  <c r="AW35" i="107"/>
  <c r="BA35" i="107"/>
  <c r="BE35" i="107"/>
  <c r="BI35" i="107"/>
  <c r="E36" i="107"/>
  <c r="I36" i="107"/>
  <c r="M36" i="107"/>
  <c r="Q36" i="107"/>
  <c r="U36" i="107"/>
  <c r="Y36" i="107"/>
  <c r="AC36" i="107"/>
  <c r="AG36" i="107"/>
  <c r="AK36" i="107"/>
  <c r="AO36" i="107"/>
  <c r="AS36" i="107"/>
  <c r="AW36" i="107"/>
  <c r="BA36" i="107"/>
  <c r="BE36" i="107"/>
  <c r="BI36" i="107"/>
  <c r="E37" i="107"/>
  <c r="I37" i="107"/>
  <c r="M37" i="107"/>
  <c r="Q37" i="107"/>
  <c r="U37" i="107"/>
  <c r="Y37" i="107"/>
  <c r="AC37" i="107"/>
  <c r="AG37" i="107"/>
  <c r="AK37" i="107"/>
  <c r="AO37" i="107"/>
  <c r="AS37" i="107"/>
  <c r="AW37" i="107"/>
  <c r="BA37" i="107"/>
  <c r="BE37" i="107"/>
  <c r="BI37" i="107"/>
  <c r="E38" i="107"/>
  <c r="I38" i="107"/>
  <c r="M38" i="107"/>
  <c r="Q38" i="107"/>
  <c r="U38" i="107"/>
  <c r="Y38" i="107"/>
  <c r="AC38" i="107"/>
  <c r="AG38" i="107"/>
  <c r="AD19" i="107"/>
  <c r="AH20" i="107"/>
  <c r="AL21" i="107"/>
  <c r="AP22" i="107"/>
  <c r="AT23" i="107"/>
  <c r="AU24" i="107"/>
  <c r="S25" i="107"/>
  <c r="AY25" i="107"/>
  <c r="W26" i="107"/>
  <c r="BC26" i="107"/>
  <c r="Y27" i="107"/>
  <c r="AQ27" i="107"/>
  <c r="BG27" i="107"/>
  <c r="O28" i="107"/>
  <c r="AE28" i="107"/>
  <c r="AU28" i="107"/>
  <c r="BK28" i="107"/>
  <c r="S29" i="107"/>
  <c r="AC29" i="107"/>
  <c r="AN29" i="107"/>
  <c r="AY29" i="107"/>
  <c r="BI29" i="107"/>
  <c r="L30" i="107"/>
  <c r="V30" i="107"/>
  <c r="AD30" i="107"/>
  <c r="AL30" i="107"/>
  <c r="AT30" i="107"/>
  <c r="BB30" i="107"/>
  <c r="BJ30" i="107"/>
  <c r="J31" i="107"/>
  <c r="R31" i="107"/>
  <c r="Z31" i="107"/>
  <c r="AH31" i="107"/>
  <c r="AP31" i="107"/>
  <c r="AX31" i="107"/>
  <c r="BF31" i="107"/>
  <c r="F32" i="107"/>
  <c r="N32" i="107"/>
  <c r="V32" i="107"/>
  <c r="AD32" i="107"/>
  <c r="AL32" i="107"/>
  <c r="AT32" i="107"/>
  <c r="BB32" i="107"/>
  <c r="BJ32" i="107"/>
  <c r="J33" i="107"/>
  <c r="R33" i="107"/>
  <c r="Z33" i="107"/>
  <c r="AH33" i="107"/>
  <c r="AP33" i="107"/>
  <c r="AX33" i="107"/>
  <c r="BF33" i="107"/>
  <c r="F34" i="107"/>
  <c r="N34" i="107"/>
  <c r="V34" i="107"/>
  <c r="AD34" i="107"/>
  <c r="AL34" i="107"/>
  <c r="AT34" i="107"/>
  <c r="BB34" i="107"/>
  <c r="BJ34" i="107"/>
  <c r="J35" i="107"/>
  <c r="R35" i="107"/>
  <c r="Z35" i="107"/>
  <c r="AH35" i="107"/>
  <c r="AP35" i="107"/>
  <c r="AX35" i="107"/>
  <c r="BF35" i="107"/>
  <c r="F36" i="107"/>
  <c r="N36" i="107"/>
  <c r="V36" i="107"/>
  <c r="AD36" i="107"/>
  <c r="AL36" i="107"/>
  <c r="AT36" i="107"/>
  <c r="BB36" i="107"/>
  <c r="BJ36" i="107"/>
  <c r="J37" i="107"/>
  <c r="R37" i="107"/>
  <c r="Z37" i="107"/>
  <c r="AH37" i="107"/>
  <c r="AP37" i="107"/>
  <c r="AX37" i="107"/>
  <c r="BF37" i="107"/>
  <c r="F38" i="107"/>
  <c r="N38" i="107"/>
  <c r="S38" i="107"/>
  <c r="X38" i="107"/>
  <c r="AD38" i="107"/>
  <c r="AI38" i="107"/>
  <c r="AM38" i="107"/>
  <c r="AQ38" i="107"/>
  <c r="AU38" i="107"/>
  <c r="AY38" i="107"/>
  <c r="BC38" i="107"/>
  <c r="BG38" i="107"/>
  <c r="BK38" i="107"/>
  <c r="G39" i="107"/>
  <c r="K39" i="107"/>
  <c r="O39" i="107"/>
  <c r="S39" i="107"/>
  <c r="W39" i="107"/>
  <c r="AA39" i="107"/>
  <c r="AE39" i="107"/>
  <c r="AI39" i="107"/>
  <c r="AM39" i="107"/>
  <c r="AQ39" i="107"/>
  <c r="AU39" i="107"/>
  <c r="AY39" i="107"/>
  <c r="BC39" i="107"/>
  <c r="BG39" i="107"/>
  <c r="BK39" i="107"/>
  <c r="G40" i="107"/>
  <c r="K40" i="107"/>
  <c r="O40" i="107"/>
  <c r="S40" i="107"/>
  <c r="W40" i="107"/>
  <c r="AA40" i="107"/>
  <c r="AE40" i="107"/>
  <c r="AH19" i="107"/>
  <c r="AL20" i="107"/>
  <c r="AP21" i="107"/>
  <c r="AT22" i="107"/>
  <c r="AX23" i="107"/>
  <c r="AW24" i="107"/>
  <c r="U25" i="107"/>
  <c r="BA25" i="107"/>
  <c r="Y26" i="107"/>
  <c r="BE26" i="107"/>
  <c r="Z27" i="107"/>
  <c r="AR27" i="107"/>
  <c r="BH27" i="107"/>
  <c r="P28" i="107"/>
  <c r="AF28" i="107"/>
  <c r="AV28" i="107"/>
  <c r="D29" i="107"/>
  <c r="T29" i="107"/>
  <c r="AE29" i="107"/>
  <c r="AO29" i="107"/>
  <c r="AZ29" i="107"/>
  <c r="BK29" i="107"/>
  <c r="M30" i="107"/>
  <c r="W30" i="107"/>
  <c r="AE30" i="107"/>
  <c r="AM30" i="107"/>
  <c r="AU30" i="107"/>
  <c r="BC30" i="107"/>
  <c r="BK30" i="107"/>
  <c r="K31" i="107"/>
  <c r="S31" i="107"/>
  <c r="AA31" i="107"/>
  <c r="AI31" i="107"/>
  <c r="AQ31" i="107"/>
  <c r="AY31" i="107"/>
  <c r="BG31" i="107"/>
  <c r="G32" i="107"/>
  <c r="O32" i="107"/>
  <c r="W32" i="107"/>
  <c r="AE32" i="107"/>
  <c r="AM32" i="107"/>
  <c r="AU32" i="107"/>
  <c r="BC32" i="107"/>
  <c r="BK32" i="107"/>
  <c r="K33" i="107"/>
  <c r="S33" i="107"/>
  <c r="AA33" i="107"/>
  <c r="AI33" i="107"/>
  <c r="AQ33" i="107"/>
  <c r="AY33" i="107"/>
  <c r="BG33" i="107"/>
  <c r="G34" i="107"/>
  <c r="O34" i="107"/>
  <c r="W34" i="107"/>
  <c r="AE34" i="107"/>
  <c r="AM34" i="107"/>
  <c r="AU34" i="107"/>
  <c r="BC34" i="107"/>
  <c r="BK34" i="107"/>
  <c r="K35" i="107"/>
  <c r="S35" i="107"/>
  <c r="AA35" i="107"/>
  <c r="AI35" i="107"/>
  <c r="BJ19" i="107"/>
  <c r="F21" i="107"/>
  <c r="J22" i="107"/>
  <c r="N23" i="107"/>
  <c r="R24" i="107"/>
  <c r="BK24" i="107"/>
  <c r="AI25" i="107"/>
  <c r="G26" i="107"/>
  <c r="AM26" i="107"/>
  <c r="K27" i="107"/>
  <c r="AI27" i="107"/>
  <c r="AY27" i="107"/>
  <c r="G28" i="107"/>
  <c r="W28" i="107"/>
  <c r="AM28" i="107"/>
  <c r="BC28" i="107"/>
  <c r="K29" i="107"/>
  <c r="X29" i="107"/>
  <c r="AI29" i="107"/>
  <c r="AS29" i="107"/>
  <c r="BD29" i="107"/>
  <c r="G30" i="107"/>
  <c r="Q30" i="107"/>
  <c r="Z30" i="107"/>
  <c r="AH30" i="107"/>
  <c r="AP30" i="107"/>
  <c r="AX30" i="107"/>
  <c r="BF30" i="107"/>
  <c r="F31" i="107"/>
  <c r="N31" i="107"/>
  <c r="V31" i="107"/>
  <c r="AD31" i="107"/>
  <c r="AL31" i="107"/>
  <c r="AT31" i="107"/>
  <c r="BB31" i="107"/>
  <c r="BJ31" i="107"/>
  <c r="J32" i="107"/>
  <c r="R32" i="107"/>
  <c r="Z32" i="107"/>
  <c r="AH32" i="107"/>
  <c r="AP32" i="107"/>
  <c r="AX32" i="107"/>
  <c r="BF32" i="107"/>
  <c r="F33" i="107"/>
  <c r="N33" i="107"/>
  <c r="V33" i="107"/>
  <c r="AD33" i="107"/>
  <c r="AL33" i="107"/>
  <c r="AT33" i="107"/>
  <c r="BB33" i="107"/>
  <c r="BJ33" i="107"/>
  <c r="J34" i="107"/>
  <c r="R34" i="107"/>
  <c r="Z34" i="107"/>
  <c r="AH34" i="107"/>
  <c r="AP34" i="107"/>
  <c r="AX34" i="107"/>
  <c r="BF34" i="107"/>
  <c r="F35" i="107"/>
  <c r="N35" i="107"/>
  <c r="V35" i="107"/>
  <c r="AD35" i="107"/>
  <c r="AL35" i="107"/>
  <c r="AT35" i="107"/>
  <c r="BB35" i="107"/>
  <c r="BJ35" i="107"/>
  <c r="J36" i="107"/>
  <c r="R36" i="107"/>
  <c r="Z36" i="107"/>
  <c r="AH36" i="107"/>
  <c r="AP36" i="107"/>
  <c r="AX36" i="107"/>
  <c r="BF36" i="107"/>
  <c r="F37" i="107"/>
  <c r="N37" i="107"/>
  <c r="V37" i="107"/>
  <c r="AD37" i="107"/>
  <c r="AL37" i="107"/>
  <c r="AT37" i="107"/>
  <c r="BB37" i="107"/>
  <c r="BJ37" i="107"/>
  <c r="J38" i="107"/>
  <c r="P38" i="107"/>
  <c r="V38" i="107"/>
  <c r="AA38" i="107"/>
  <c r="AF38" i="107"/>
  <c r="AK38" i="107"/>
  <c r="AO38" i="107"/>
  <c r="AS38" i="107"/>
  <c r="AW38" i="107"/>
  <c r="BA38" i="107"/>
  <c r="BE38" i="107"/>
  <c r="BI38" i="107"/>
  <c r="E39" i="107"/>
  <c r="I39" i="107"/>
  <c r="M39" i="107"/>
  <c r="Q39" i="107"/>
  <c r="U39" i="107"/>
  <c r="Y39" i="107"/>
  <c r="AC39" i="107"/>
  <c r="AG39" i="107"/>
  <c r="AK39" i="107"/>
  <c r="AO39" i="107"/>
  <c r="AS39" i="107"/>
  <c r="AW39" i="107"/>
  <c r="BA39" i="107"/>
  <c r="BE39" i="107"/>
  <c r="BI39" i="107"/>
  <c r="E40" i="107"/>
  <c r="I40" i="107"/>
  <c r="M40" i="107"/>
  <c r="Q40" i="107"/>
  <c r="U40" i="107"/>
  <c r="Y40" i="107"/>
  <c r="AC40" i="107"/>
  <c r="AG40" i="107"/>
  <c r="AK40" i="107"/>
  <c r="AO40" i="107"/>
  <c r="AS40" i="107"/>
  <c r="AW40" i="107"/>
  <c r="BA40" i="107"/>
  <c r="BE40" i="107"/>
  <c r="BI40" i="107"/>
  <c r="E41" i="107"/>
  <c r="I41" i="107"/>
  <c r="M41" i="107"/>
  <c r="Q41" i="107"/>
  <c r="U41" i="107"/>
  <c r="Y41" i="107"/>
  <c r="AC41" i="107"/>
  <c r="AG41" i="107"/>
  <c r="AK41" i="107"/>
  <c r="AO41" i="107"/>
  <c r="AS41" i="107"/>
  <c r="AW41" i="107"/>
  <c r="BA41" i="107"/>
  <c r="BE41" i="107"/>
  <c r="BI41" i="107"/>
  <c r="E42" i="107"/>
  <c r="I42" i="107"/>
  <c r="M42" i="107"/>
  <c r="Q42" i="107"/>
  <c r="U42" i="107"/>
  <c r="Y42" i="107"/>
  <c r="AC42" i="107"/>
  <c r="AG42" i="107"/>
  <c r="AK42" i="107"/>
  <c r="AO42" i="107"/>
  <c r="AS42" i="107"/>
  <c r="AW42" i="107"/>
  <c r="BA42" i="107"/>
  <c r="BE42" i="107"/>
  <c r="BI42" i="107"/>
  <c r="E43" i="107"/>
  <c r="I43" i="107"/>
  <c r="M43" i="107"/>
  <c r="Q43" i="107"/>
  <c r="U43" i="107"/>
  <c r="Y43" i="107"/>
  <c r="AC43" i="107"/>
  <c r="AG43" i="107"/>
  <c r="AK43" i="107"/>
  <c r="AO43" i="107"/>
  <c r="AS43" i="107"/>
  <c r="AW43" i="107"/>
  <c r="BA43" i="107"/>
  <c r="BE43" i="107"/>
  <c r="BI43" i="107"/>
  <c r="E44" i="107"/>
  <c r="I44" i="107"/>
  <c r="AY44" i="107"/>
  <c r="AM44" i="107"/>
  <c r="AA44" i="107"/>
  <c r="S44" i="107"/>
  <c r="F44" i="107"/>
  <c r="AX43" i="107"/>
  <c r="AH43" i="107"/>
  <c r="W43" i="107"/>
  <c r="G43" i="107"/>
  <c r="AT42" i="107"/>
  <c r="AD42" i="107"/>
  <c r="N42" i="107"/>
  <c r="AZ41" i="107"/>
  <c r="AJ41" i="107"/>
  <c r="Z41" i="107"/>
  <c r="D41" i="107"/>
  <c r="BB40" i="107"/>
  <c r="AL40" i="107"/>
  <c r="AZ39" i="107"/>
  <c r="BI44" i="107"/>
  <c r="BE44" i="107"/>
  <c r="AW44" i="107"/>
  <c r="AS44" i="107"/>
  <c r="AK44" i="107"/>
  <c r="AG44" i="107"/>
  <c r="Y44" i="107"/>
  <c r="Q44" i="107"/>
  <c r="M44" i="107"/>
  <c r="BK43" i="107"/>
  <c r="AZ43" i="107"/>
  <c r="AU43" i="107"/>
  <c r="AJ43" i="107"/>
  <c r="Z43" i="107"/>
  <c r="T43" i="107"/>
  <c r="J43" i="107"/>
  <c r="BG42" i="107"/>
  <c r="AV42" i="107"/>
  <c r="AF42" i="107"/>
  <c r="BH41" i="107"/>
  <c r="BK44" i="107"/>
  <c r="BH44" i="107"/>
  <c r="BD44" i="107"/>
  <c r="AZ44" i="107"/>
  <c r="AV44" i="107"/>
  <c r="AR44" i="107"/>
  <c r="AN44" i="107"/>
  <c r="AJ44" i="107"/>
  <c r="AF44" i="107"/>
  <c r="AB44" i="107"/>
  <c r="X44" i="107"/>
  <c r="T44" i="107"/>
  <c r="P44" i="107"/>
  <c r="L44" i="107"/>
  <c r="G44" i="107"/>
  <c r="BJ43" i="107"/>
  <c r="BD43" i="107"/>
  <c r="AY43" i="107"/>
  <c r="AT43" i="107"/>
  <c r="AN43" i="107"/>
  <c r="AI43" i="107"/>
  <c r="AD43" i="107"/>
  <c r="X43" i="107"/>
  <c r="S43" i="107"/>
  <c r="N43" i="107"/>
  <c r="H43" i="107"/>
  <c r="BK42" i="107"/>
  <c r="BF42" i="107"/>
  <c r="AZ42" i="107"/>
  <c r="AU42" i="107"/>
  <c r="AP42" i="107"/>
  <c r="AJ42" i="107"/>
  <c r="AE42" i="107"/>
  <c r="Z42" i="107"/>
  <c r="T42" i="107"/>
  <c r="O42" i="107"/>
  <c r="J42" i="107"/>
  <c r="D42" i="107"/>
  <c r="BG41" i="107"/>
  <c r="BB41" i="107"/>
  <c r="AV41" i="107"/>
  <c r="AQ41" i="107"/>
  <c r="AL41" i="107"/>
  <c r="AF41" i="107"/>
  <c r="AA41" i="107"/>
  <c r="V41" i="107"/>
  <c r="P41" i="107"/>
  <c r="K41" i="107"/>
  <c r="F41" i="107"/>
  <c r="BH40" i="107"/>
  <c r="BC40" i="107"/>
  <c r="AX40" i="107"/>
  <c r="AR40" i="107"/>
  <c r="AM40" i="107"/>
  <c r="AH40" i="107"/>
  <c r="Z40" i="107"/>
  <c r="R40" i="107"/>
  <c r="J40" i="107"/>
  <c r="BJ39" i="107"/>
  <c r="BB39" i="107"/>
  <c r="AT39" i="107"/>
  <c r="AL39" i="107"/>
  <c r="AD39" i="107"/>
  <c r="V39" i="107"/>
  <c r="N39" i="107"/>
  <c r="F39" i="107"/>
  <c r="BF38" i="107"/>
  <c r="AX38" i="107"/>
  <c r="AP38" i="107"/>
  <c r="AH38" i="107"/>
  <c r="W38" i="107"/>
  <c r="K38" i="107"/>
  <c r="BC37" i="107"/>
  <c r="AM37" i="107"/>
  <c r="W37" i="107"/>
  <c r="G37" i="107"/>
  <c r="AY36" i="107"/>
  <c r="AI36" i="107"/>
  <c r="S36" i="107"/>
  <c r="BK35" i="107"/>
  <c r="AU35" i="107"/>
  <c r="W35" i="107"/>
  <c r="AY34" i="107"/>
  <c r="S34" i="107"/>
  <c r="AU33" i="107"/>
  <c r="O33" i="107"/>
  <c r="AQ32" i="107"/>
  <c r="K32" i="107"/>
  <c r="AM31" i="107"/>
  <c r="G31" i="107"/>
  <c r="AI30" i="107"/>
  <c r="BE29" i="107"/>
  <c r="L29" i="107"/>
  <c r="H28" i="107"/>
  <c r="AO26" i="107"/>
  <c r="V24" i="107"/>
  <c r="F20" i="107"/>
  <c r="AB36" i="134"/>
  <c r="AC36" i="134"/>
  <c r="AD36" i="134"/>
  <c r="AE36" i="134"/>
  <c r="AF36" i="134"/>
  <c r="AG36" i="134"/>
  <c r="AH36" i="134"/>
  <c r="AI36" i="134"/>
  <c r="AJ36" i="134"/>
  <c r="AK36" i="134"/>
  <c r="AL36" i="134"/>
  <c r="AA36" i="134"/>
  <c r="AB37" i="131"/>
  <c r="AC37" i="131"/>
  <c r="AD37" i="131"/>
  <c r="AE37" i="131"/>
  <c r="AF37" i="131"/>
  <c r="AG37" i="131"/>
  <c r="AH37" i="131"/>
  <c r="AI37" i="131"/>
  <c r="AJ37" i="131"/>
  <c r="AK37" i="131"/>
  <c r="AL37" i="131"/>
  <c r="AA37" i="131"/>
  <c r="AB22" i="131"/>
  <c r="AC22" i="131"/>
  <c r="AD22" i="131"/>
  <c r="AE22" i="131"/>
  <c r="AF22" i="131"/>
  <c r="AG22" i="131"/>
  <c r="AH22" i="131"/>
  <c r="AI22" i="131"/>
  <c r="AJ22" i="131"/>
  <c r="AK22" i="131"/>
  <c r="AL22" i="131"/>
  <c r="AA22" i="131"/>
  <c r="P10" i="130"/>
  <c r="Q10" i="130" s="1"/>
  <c r="R10" i="130" s="1"/>
  <c r="P9" i="130"/>
  <c r="Q9" i="130" s="1"/>
  <c r="R9" i="130" s="1"/>
  <c r="P16" i="130"/>
  <c r="Q16" i="130"/>
  <c r="R16" i="130"/>
  <c r="P15" i="130"/>
  <c r="Q15" i="130" s="1"/>
  <c r="R15" i="130" s="1"/>
  <c r="P93" i="142" l="1"/>
  <c r="P14" i="130"/>
  <c r="Q14" i="130" s="1"/>
  <c r="R14" i="130" s="1"/>
  <c r="AB29" i="136"/>
  <c r="AC29" i="136"/>
  <c r="AD29" i="136"/>
  <c r="AE29" i="136"/>
  <c r="AF29" i="136"/>
  <c r="AG29" i="136"/>
  <c r="AH29" i="136"/>
  <c r="AI29" i="136"/>
  <c r="AJ29" i="136"/>
  <c r="AK29" i="136"/>
  <c r="AL29" i="136"/>
  <c r="AM29" i="136"/>
  <c r="AN29" i="136"/>
  <c r="AO29" i="136"/>
  <c r="AP29" i="136"/>
  <c r="AQ29" i="136"/>
  <c r="AR29" i="136"/>
  <c r="AS29" i="136"/>
  <c r="AT29" i="136"/>
  <c r="AU29" i="136"/>
  <c r="AV29" i="136"/>
  <c r="AW29" i="136"/>
  <c r="AX29" i="136"/>
  <c r="AY29" i="136"/>
  <c r="AZ29" i="136"/>
  <c r="BA29" i="136"/>
  <c r="BB29" i="136"/>
  <c r="BC29" i="136"/>
  <c r="BD29" i="136"/>
  <c r="BE29" i="136"/>
  <c r="BF29" i="136"/>
  <c r="BG29" i="136"/>
  <c r="BH29" i="136"/>
  <c r="BI29" i="136"/>
  <c r="BJ29" i="136"/>
  <c r="BK29" i="136"/>
  <c r="BL29" i="136"/>
  <c r="BM29" i="136"/>
  <c r="BN29" i="136"/>
  <c r="BO29" i="136"/>
  <c r="BP29" i="136"/>
  <c r="BQ29" i="136"/>
  <c r="BR29" i="136"/>
  <c r="BS29" i="136"/>
  <c r="BT29" i="136"/>
  <c r="BU29" i="136"/>
  <c r="BV29" i="136"/>
  <c r="AA29" i="136"/>
  <c r="P85" i="129"/>
  <c r="Q85" i="129" s="1"/>
  <c r="R85" i="129" s="1"/>
  <c r="Q83" i="129"/>
  <c r="R83" i="129" s="1"/>
  <c r="Q84" i="129"/>
  <c r="R84" i="129" s="1"/>
  <c r="P84" i="129"/>
  <c r="P83" i="129"/>
  <c r="D85" i="129"/>
  <c r="D84" i="129"/>
  <c r="D83" i="129"/>
  <c r="Q70" i="129"/>
  <c r="R70" i="129" s="1"/>
  <c r="Q71" i="129"/>
  <c r="R71" i="129" s="1"/>
  <c r="Q72" i="129"/>
  <c r="R72" i="129" s="1"/>
  <c r="Q73" i="129"/>
  <c r="R73" i="129" s="1"/>
  <c r="Q74" i="129"/>
  <c r="R74" i="129" s="1"/>
  <c r="Q75" i="129"/>
  <c r="R75" i="129" s="1"/>
  <c r="Q76" i="129"/>
  <c r="R76" i="129" s="1"/>
  <c r="Q77" i="129"/>
  <c r="R77" i="129" s="1"/>
  <c r="Q78" i="129"/>
  <c r="R78" i="129" s="1"/>
  <c r="Q79" i="129"/>
  <c r="R79" i="129" s="1"/>
  <c r="Q80" i="129"/>
  <c r="R80" i="129" s="1"/>
  <c r="Q81" i="129"/>
  <c r="R81" i="129" s="1"/>
  <c r="Q82" i="129"/>
  <c r="R82" i="129" s="1"/>
  <c r="D69" i="129"/>
  <c r="D70" i="129"/>
  <c r="D71" i="129"/>
  <c r="D72" i="129"/>
  <c r="D73" i="129"/>
  <c r="D74" i="129"/>
  <c r="D75" i="129"/>
  <c r="D76" i="129"/>
  <c r="D77" i="129"/>
  <c r="D78" i="129"/>
  <c r="D79" i="129"/>
  <c r="D80" i="129"/>
  <c r="D81" i="129"/>
  <c r="D82" i="129"/>
  <c r="Q69" i="129" l="1"/>
  <c r="R69" i="129" s="1"/>
  <c r="P13" i="130" l="1"/>
  <c r="Q13" i="130" s="1"/>
  <c r="R13" i="130" s="1"/>
  <c r="P63" i="129" l="1"/>
  <c r="Q63" i="129" s="1"/>
  <c r="R63" i="129" s="1"/>
  <c r="P64" i="129"/>
  <c r="Q64" i="129" s="1"/>
  <c r="R64" i="129" s="1"/>
  <c r="P65" i="129"/>
  <c r="Q65" i="129" s="1"/>
  <c r="R65" i="129" s="1"/>
  <c r="P66" i="129"/>
  <c r="Q66" i="129" s="1"/>
  <c r="R66" i="129" s="1"/>
  <c r="P67" i="129"/>
  <c r="Q67" i="129" s="1"/>
  <c r="R67" i="129" s="1"/>
  <c r="P68" i="129"/>
  <c r="Q68" i="129" s="1"/>
  <c r="R68" i="129" s="1"/>
  <c r="D68" i="129"/>
  <c r="D67" i="129"/>
  <c r="D66" i="129"/>
  <c r="D65" i="129"/>
  <c r="D64" i="129"/>
  <c r="D63" i="129"/>
  <c r="AB29" i="133" l="1"/>
  <c r="AC29" i="133"/>
  <c r="AD29" i="133"/>
  <c r="AE29" i="133"/>
  <c r="AF29" i="133"/>
  <c r="AG29" i="133"/>
  <c r="AH29" i="133"/>
  <c r="AI29" i="133"/>
  <c r="AJ29" i="133"/>
  <c r="AK29" i="133"/>
  <c r="AL29" i="133"/>
  <c r="AA29" i="133"/>
  <c r="L7" i="127" l="1"/>
  <c r="CA1514" i="123" l="1"/>
  <c r="BZ1514" i="123"/>
  <c r="BY1514" i="123"/>
  <c r="BX1514" i="123"/>
  <c r="BW1514" i="123"/>
  <c r="BV1514" i="123"/>
  <c r="BU1514" i="123"/>
  <c r="BT1514" i="123"/>
  <c r="BS1514" i="123"/>
  <c r="BR1514" i="123"/>
  <c r="BQ1514" i="123"/>
  <c r="BP1514" i="123"/>
  <c r="BO1514" i="123"/>
  <c r="BN1514" i="123"/>
  <c r="BM1514" i="123"/>
  <c r="BL1514" i="123"/>
  <c r="BK1514" i="123"/>
  <c r="BJ1514" i="123"/>
  <c r="BI1514" i="123"/>
  <c r="BH1514" i="123"/>
  <c r="BG1514" i="123"/>
  <c r="BF1514" i="123"/>
  <c r="BE1514" i="123"/>
  <c r="BD1514" i="123"/>
  <c r="BC1514" i="123"/>
  <c r="BB1514" i="123"/>
  <c r="BA1514" i="123"/>
  <c r="AZ1514" i="123"/>
  <c r="AY1514" i="123"/>
  <c r="AX1514" i="123"/>
  <c r="AW1514" i="123"/>
  <c r="AV1514" i="123"/>
  <c r="AU1514" i="123"/>
  <c r="AT1514" i="123"/>
  <c r="AS1514" i="123"/>
  <c r="AR1514" i="123"/>
  <c r="AQ1514" i="123"/>
  <c r="AP1514" i="123"/>
  <c r="AO1514" i="123"/>
  <c r="AN1514" i="123"/>
  <c r="AM1514" i="123"/>
  <c r="AL1514" i="123"/>
  <c r="AK1514" i="123"/>
  <c r="AJ1514" i="123"/>
  <c r="AI1514" i="123"/>
  <c r="AH1514" i="123"/>
  <c r="AG1514" i="123"/>
  <c r="AF1514" i="123"/>
  <c r="AE1514" i="123"/>
  <c r="CA1503" i="123"/>
  <c r="BZ1503" i="123"/>
  <c r="BY1503" i="123"/>
  <c r="BX1503" i="123"/>
  <c r="BW1503" i="123"/>
  <c r="BV1503" i="123"/>
  <c r="BU1503" i="123"/>
  <c r="BT1503" i="123"/>
  <c r="BS1503" i="123"/>
  <c r="BR1503" i="123"/>
  <c r="BQ1503" i="123"/>
  <c r="BP1503" i="123"/>
  <c r="BO1503" i="123"/>
  <c r="BN1503" i="123"/>
  <c r="BM1503" i="123"/>
  <c r="BL1503" i="123"/>
  <c r="BK1503" i="123"/>
  <c r="BJ1503" i="123"/>
  <c r="BI1503" i="123"/>
  <c r="BH1503" i="123"/>
  <c r="BG1503" i="123"/>
  <c r="BF1503" i="123"/>
  <c r="BE1503" i="123"/>
  <c r="BD1503" i="123"/>
  <c r="BC1503" i="123"/>
  <c r="BB1503" i="123"/>
  <c r="BA1503" i="123"/>
  <c r="AZ1503" i="123"/>
  <c r="AY1503" i="123"/>
  <c r="AX1503" i="123"/>
  <c r="AW1503" i="123"/>
  <c r="AV1503" i="123"/>
  <c r="AU1503" i="123"/>
  <c r="AT1503" i="123"/>
  <c r="AS1503" i="123"/>
  <c r="AR1503" i="123"/>
  <c r="AQ1503" i="123"/>
  <c r="AP1503" i="123"/>
  <c r="AO1503" i="123"/>
  <c r="AN1503" i="123"/>
  <c r="AM1503" i="123"/>
  <c r="AL1503" i="123"/>
  <c r="AK1503" i="123"/>
  <c r="AJ1503" i="123"/>
  <c r="AI1503" i="123"/>
  <c r="AH1503" i="123"/>
  <c r="AG1503" i="123"/>
  <c r="AF1503" i="123"/>
  <c r="AE1503" i="123"/>
  <c r="CA1495" i="123"/>
  <c r="BZ1495" i="123"/>
  <c r="BY1495" i="123"/>
  <c r="BX1495" i="123"/>
  <c r="BW1495" i="123"/>
  <c r="BV1495" i="123"/>
  <c r="BU1495" i="123"/>
  <c r="BT1495" i="123"/>
  <c r="BS1495" i="123"/>
  <c r="BR1495" i="123"/>
  <c r="BQ1495" i="123"/>
  <c r="BP1495" i="123"/>
  <c r="BO1495" i="123"/>
  <c r="BN1495" i="123"/>
  <c r="BM1495" i="123"/>
  <c r="BL1495" i="123"/>
  <c r="BK1495" i="123"/>
  <c r="BJ1495" i="123"/>
  <c r="BI1495" i="123"/>
  <c r="BH1495" i="123"/>
  <c r="BG1495" i="123"/>
  <c r="BF1495" i="123"/>
  <c r="BE1495" i="123"/>
  <c r="BD1495" i="123"/>
  <c r="BC1495" i="123"/>
  <c r="BB1495" i="123"/>
  <c r="BA1495" i="123"/>
  <c r="AZ1495" i="123"/>
  <c r="AY1495" i="123"/>
  <c r="AX1495" i="123"/>
  <c r="AW1495" i="123"/>
  <c r="AV1495" i="123"/>
  <c r="AU1495" i="123"/>
  <c r="AT1495" i="123"/>
  <c r="AS1495" i="123"/>
  <c r="AR1495" i="123"/>
  <c r="AQ1495" i="123"/>
  <c r="AP1495" i="123"/>
  <c r="AO1495" i="123"/>
  <c r="AN1495" i="123"/>
  <c r="AM1495" i="123"/>
  <c r="AL1495" i="123"/>
  <c r="AK1495" i="123"/>
  <c r="AJ1495" i="123"/>
  <c r="AI1495" i="123"/>
  <c r="AH1495" i="123"/>
  <c r="AG1495" i="123"/>
  <c r="AF1495" i="123"/>
  <c r="AE1495" i="123"/>
  <c r="CA1485" i="123"/>
  <c r="BZ1485" i="123"/>
  <c r="BY1485" i="123"/>
  <c r="BX1485" i="123"/>
  <c r="BX1497" i="123" s="1"/>
  <c r="BW1485" i="123"/>
  <c r="BV1485" i="123"/>
  <c r="BU1485" i="123"/>
  <c r="BT1485" i="123"/>
  <c r="BT1497" i="123" s="1"/>
  <c r="BS1485" i="123"/>
  <c r="BR1485" i="123"/>
  <c r="BQ1485" i="123"/>
  <c r="BP1485" i="123"/>
  <c r="BP1497" i="123" s="1"/>
  <c r="BO1485" i="123"/>
  <c r="BN1485" i="123"/>
  <c r="BM1485" i="123"/>
  <c r="BL1485" i="123"/>
  <c r="BL1497" i="123" s="1"/>
  <c r="BK1485" i="123"/>
  <c r="BJ1485" i="123"/>
  <c r="BI1485" i="123"/>
  <c r="BH1485" i="123"/>
  <c r="BH1497" i="123" s="1"/>
  <c r="BG1485" i="123"/>
  <c r="BF1485" i="123"/>
  <c r="BE1485" i="123"/>
  <c r="BD1485" i="123"/>
  <c r="BD1497" i="123" s="1"/>
  <c r="BC1485" i="123"/>
  <c r="BB1485" i="123"/>
  <c r="BA1485" i="123"/>
  <c r="AZ1485" i="123"/>
  <c r="AZ1497" i="123" s="1"/>
  <c r="AY1485" i="123"/>
  <c r="AX1485" i="123"/>
  <c r="AW1485" i="123"/>
  <c r="AV1485" i="123"/>
  <c r="AV1497" i="123" s="1"/>
  <c r="AU1485" i="123"/>
  <c r="AT1485" i="123"/>
  <c r="AS1485" i="123"/>
  <c r="AR1485" i="123"/>
  <c r="AR1497" i="123" s="1"/>
  <c r="AQ1485" i="123"/>
  <c r="AP1485" i="123"/>
  <c r="AO1485" i="123"/>
  <c r="AN1485" i="123"/>
  <c r="AN1497" i="123" s="1"/>
  <c r="AM1485" i="123"/>
  <c r="AL1485" i="123"/>
  <c r="AK1485" i="123"/>
  <c r="AJ1485" i="123"/>
  <c r="AJ1497" i="123" s="1"/>
  <c r="AI1485" i="123"/>
  <c r="AH1485" i="123"/>
  <c r="AG1485" i="123"/>
  <c r="AF1485" i="123"/>
  <c r="AF1497" i="123" s="1"/>
  <c r="AE1485" i="123"/>
  <c r="CA1475" i="123"/>
  <c r="BZ1475" i="123"/>
  <c r="BY1475" i="123"/>
  <c r="BX1475" i="123"/>
  <c r="BW1475" i="123"/>
  <c r="BV1475" i="123"/>
  <c r="BU1475" i="123"/>
  <c r="BT1475" i="123"/>
  <c r="BS1475" i="123"/>
  <c r="BR1475" i="123"/>
  <c r="BQ1475" i="123"/>
  <c r="BP1475" i="123"/>
  <c r="BO1475" i="123"/>
  <c r="BN1475" i="123"/>
  <c r="BM1475" i="123"/>
  <c r="BL1475" i="123"/>
  <c r="BK1475" i="123"/>
  <c r="BJ1475" i="123"/>
  <c r="BI1475" i="123"/>
  <c r="BH1475" i="123"/>
  <c r="BG1475" i="123"/>
  <c r="BF1475" i="123"/>
  <c r="BE1475" i="123"/>
  <c r="BD1475" i="123"/>
  <c r="BC1475" i="123"/>
  <c r="BB1475" i="123"/>
  <c r="BA1475" i="123"/>
  <c r="AZ1475" i="123"/>
  <c r="AY1475" i="123"/>
  <c r="AX1475" i="123"/>
  <c r="AW1475" i="123"/>
  <c r="AV1475" i="123"/>
  <c r="AU1475" i="123"/>
  <c r="AT1475" i="123"/>
  <c r="AS1475" i="123"/>
  <c r="AR1475" i="123"/>
  <c r="AQ1475" i="123"/>
  <c r="AP1475" i="123"/>
  <c r="AO1475" i="123"/>
  <c r="AN1475" i="123"/>
  <c r="AM1475" i="123"/>
  <c r="AL1475" i="123"/>
  <c r="AK1475" i="123"/>
  <c r="AJ1475" i="123"/>
  <c r="AI1475" i="123"/>
  <c r="AH1475" i="123"/>
  <c r="AG1475" i="123"/>
  <c r="AF1475" i="123"/>
  <c r="AE1475" i="123"/>
  <c r="CA1466" i="123"/>
  <c r="BZ1466" i="123"/>
  <c r="BY1466" i="123"/>
  <c r="BX1466" i="123"/>
  <c r="BW1466" i="123"/>
  <c r="BV1466" i="123"/>
  <c r="BU1466" i="123"/>
  <c r="BT1466" i="123"/>
  <c r="BS1466" i="123"/>
  <c r="BR1466" i="123"/>
  <c r="BQ1466" i="123"/>
  <c r="BP1466" i="123"/>
  <c r="BO1466" i="123"/>
  <c r="BN1466" i="123"/>
  <c r="BM1466" i="123"/>
  <c r="BL1466" i="123"/>
  <c r="BK1466" i="123"/>
  <c r="BJ1466" i="123"/>
  <c r="BI1466" i="123"/>
  <c r="BH1466" i="123"/>
  <c r="BG1466" i="123"/>
  <c r="BF1466" i="123"/>
  <c r="BE1466" i="123"/>
  <c r="BD1466" i="123"/>
  <c r="BC1466" i="123"/>
  <c r="BB1466" i="123"/>
  <c r="BA1466" i="123"/>
  <c r="AZ1466" i="123"/>
  <c r="AY1466" i="123"/>
  <c r="AX1466" i="123"/>
  <c r="AW1466" i="123"/>
  <c r="AV1466" i="123"/>
  <c r="AU1466" i="123"/>
  <c r="AT1466" i="123"/>
  <c r="AS1466" i="123"/>
  <c r="AR1466" i="123"/>
  <c r="AQ1466" i="123"/>
  <c r="AP1466" i="123"/>
  <c r="AO1466" i="123"/>
  <c r="AN1466" i="123"/>
  <c r="AM1466" i="123"/>
  <c r="AL1466" i="123"/>
  <c r="AK1466" i="123"/>
  <c r="AJ1466" i="123"/>
  <c r="AI1466" i="123"/>
  <c r="AH1466" i="123"/>
  <c r="AG1466" i="123"/>
  <c r="AF1466" i="123"/>
  <c r="AE1466" i="123"/>
  <c r="CA1458" i="123"/>
  <c r="BZ1458" i="123"/>
  <c r="BY1458" i="123"/>
  <c r="BX1458" i="123"/>
  <c r="BW1458" i="123"/>
  <c r="BV1458" i="123"/>
  <c r="BU1458" i="123"/>
  <c r="BT1458" i="123"/>
  <c r="BS1458" i="123"/>
  <c r="BR1458" i="123"/>
  <c r="BQ1458" i="123"/>
  <c r="BP1458" i="123"/>
  <c r="BO1458" i="123"/>
  <c r="BN1458" i="123"/>
  <c r="BM1458" i="123"/>
  <c r="BL1458" i="123"/>
  <c r="BK1458" i="123"/>
  <c r="BJ1458" i="123"/>
  <c r="BI1458" i="123"/>
  <c r="BH1458" i="123"/>
  <c r="BG1458" i="123"/>
  <c r="BF1458" i="123"/>
  <c r="BE1458" i="123"/>
  <c r="BD1458" i="123"/>
  <c r="BC1458" i="123"/>
  <c r="BB1458" i="123"/>
  <c r="BA1458" i="123"/>
  <c r="AZ1458" i="123"/>
  <c r="AY1458" i="123"/>
  <c r="AX1458" i="123"/>
  <c r="AW1458" i="123"/>
  <c r="AV1458" i="123"/>
  <c r="AU1458" i="123"/>
  <c r="AT1458" i="123"/>
  <c r="AS1458" i="123"/>
  <c r="AR1458" i="123"/>
  <c r="AQ1458" i="123"/>
  <c r="AP1458" i="123"/>
  <c r="AO1458" i="123"/>
  <c r="AN1458" i="123"/>
  <c r="AM1458" i="123"/>
  <c r="AL1458" i="123"/>
  <c r="AK1458" i="123"/>
  <c r="AJ1458" i="123"/>
  <c r="AI1458" i="123"/>
  <c r="AH1458" i="123"/>
  <c r="AG1458" i="123"/>
  <c r="AF1458" i="123"/>
  <c r="AE1458" i="123"/>
  <c r="CA1452" i="123"/>
  <c r="BZ1452" i="123"/>
  <c r="BY1452" i="123"/>
  <c r="BX1452" i="123"/>
  <c r="BW1452" i="123"/>
  <c r="BV1452" i="123"/>
  <c r="BU1452" i="123"/>
  <c r="BT1452" i="123"/>
  <c r="BS1452" i="123"/>
  <c r="BR1452" i="123"/>
  <c r="BQ1452" i="123"/>
  <c r="BP1452" i="123"/>
  <c r="BO1452" i="123"/>
  <c r="BN1452" i="123"/>
  <c r="BM1452" i="123"/>
  <c r="BL1452" i="123"/>
  <c r="BK1452" i="123"/>
  <c r="BJ1452" i="123"/>
  <c r="BI1452" i="123"/>
  <c r="BH1452" i="123"/>
  <c r="BG1452" i="123"/>
  <c r="BF1452" i="123"/>
  <c r="BE1452" i="123"/>
  <c r="BD1452" i="123"/>
  <c r="BC1452" i="123"/>
  <c r="BB1452" i="123"/>
  <c r="BA1452" i="123"/>
  <c r="AZ1452" i="123"/>
  <c r="AY1452" i="123"/>
  <c r="AX1452" i="123"/>
  <c r="AW1452" i="123"/>
  <c r="AV1452" i="123"/>
  <c r="AU1452" i="123"/>
  <c r="AT1452" i="123"/>
  <c r="AS1452" i="123"/>
  <c r="AR1452" i="123"/>
  <c r="AQ1452" i="123"/>
  <c r="AP1452" i="123"/>
  <c r="AO1452" i="123"/>
  <c r="AN1452" i="123"/>
  <c r="AM1452" i="123"/>
  <c r="AL1452" i="123"/>
  <c r="AK1452" i="123"/>
  <c r="AJ1452" i="123"/>
  <c r="AI1452" i="123"/>
  <c r="AH1452" i="123"/>
  <c r="AG1452" i="123"/>
  <c r="AF1452" i="123"/>
  <c r="AE1452" i="123"/>
  <c r="CA1444" i="123"/>
  <c r="BZ1444" i="123"/>
  <c r="BY1444" i="123"/>
  <c r="BX1444" i="123"/>
  <c r="BW1444" i="123"/>
  <c r="BV1444" i="123"/>
  <c r="BU1444" i="123"/>
  <c r="BT1444" i="123"/>
  <c r="BS1444" i="123"/>
  <c r="BR1444" i="123"/>
  <c r="BQ1444" i="123"/>
  <c r="BP1444" i="123"/>
  <c r="BO1444" i="123"/>
  <c r="BN1444" i="123"/>
  <c r="BM1444" i="123"/>
  <c r="BL1444" i="123"/>
  <c r="BK1444" i="123"/>
  <c r="BJ1444" i="123"/>
  <c r="BI1444" i="123"/>
  <c r="BH1444" i="123"/>
  <c r="BG1444" i="123"/>
  <c r="BF1444" i="123"/>
  <c r="BE1444" i="123"/>
  <c r="BD1444" i="123"/>
  <c r="BC1444" i="123"/>
  <c r="BB1444" i="123"/>
  <c r="BA1444" i="123"/>
  <c r="AZ1444" i="123"/>
  <c r="AY1444" i="123"/>
  <c r="AX1444" i="123"/>
  <c r="AW1444" i="123"/>
  <c r="AV1444" i="123"/>
  <c r="AU1444" i="123"/>
  <c r="AT1444" i="123"/>
  <c r="AS1444" i="123"/>
  <c r="AR1444" i="123"/>
  <c r="AQ1444" i="123"/>
  <c r="AP1444" i="123"/>
  <c r="AO1444" i="123"/>
  <c r="AN1444" i="123"/>
  <c r="AM1444" i="123"/>
  <c r="AL1444" i="123"/>
  <c r="AK1444" i="123"/>
  <c r="AJ1444" i="123"/>
  <c r="AI1444" i="123"/>
  <c r="AH1444" i="123"/>
  <c r="AG1444" i="123"/>
  <c r="AF1444" i="123"/>
  <c r="AE1444" i="123"/>
  <c r="CA1430" i="123"/>
  <c r="BZ1430" i="123"/>
  <c r="BY1430" i="123"/>
  <c r="BX1430" i="123"/>
  <c r="BW1430" i="123"/>
  <c r="BV1430" i="123"/>
  <c r="BU1430" i="123"/>
  <c r="BT1430" i="123"/>
  <c r="BS1430" i="123"/>
  <c r="BR1430" i="123"/>
  <c r="BQ1430" i="123"/>
  <c r="BP1430" i="123"/>
  <c r="BO1430" i="123"/>
  <c r="BN1430" i="123"/>
  <c r="BM1430" i="123"/>
  <c r="BL1430" i="123"/>
  <c r="BK1430" i="123"/>
  <c r="BJ1430" i="123"/>
  <c r="BI1430" i="123"/>
  <c r="BH1430" i="123"/>
  <c r="BG1430" i="123"/>
  <c r="BF1430" i="123"/>
  <c r="BE1430" i="123"/>
  <c r="BD1430" i="123"/>
  <c r="BC1430" i="123"/>
  <c r="BB1430" i="123"/>
  <c r="BA1430" i="123"/>
  <c r="AZ1430" i="123"/>
  <c r="AY1430" i="123"/>
  <c r="AX1430" i="123"/>
  <c r="AW1430" i="123"/>
  <c r="AV1430" i="123"/>
  <c r="AU1430" i="123"/>
  <c r="AT1430" i="123"/>
  <c r="AS1430" i="123"/>
  <c r="AR1430" i="123"/>
  <c r="AQ1430" i="123"/>
  <c r="AP1430" i="123"/>
  <c r="AO1430" i="123"/>
  <c r="AN1430" i="123"/>
  <c r="AM1430" i="123"/>
  <c r="AL1430" i="123"/>
  <c r="AK1430" i="123"/>
  <c r="AJ1430" i="123"/>
  <c r="AI1430" i="123"/>
  <c r="AH1430" i="123"/>
  <c r="AG1430" i="123"/>
  <c r="AF1430" i="123"/>
  <c r="AE1430" i="123"/>
  <c r="CA1426" i="123"/>
  <c r="BZ1426" i="123"/>
  <c r="BY1426" i="123"/>
  <c r="BX1426" i="123"/>
  <c r="BW1426" i="123"/>
  <c r="BV1426" i="123"/>
  <c r="BU1426" i="123"/>
  <c r="BT1426" i="123"/>
  <c r="BS1426" i="123"/>
  <c r="BR1426" i="123"/>
  <c r="BQ1426" i="123"/>
  <c r="BP1426" i="123"/>
  <c r="BO1426" i="123"/>
  <c r="BN1426" i="123"/>
  <c r="BM1426" i="123"/>
  <c r="BL1426" i="123"/>
  <c r="BK1426" i="123"/>
  <c r="BJ1426" i="123"/>
  <c r="BI1426" i="123"/>
  <c r="BH1426" i="123"/>
  <c r="BG1426" i="123"/>
  <c r="BF1426" i="123"/>
  <c r="BE1426" i="123"/>
  <c r="BD1426" i="123"/>
  <c r="BC1426" i="123"/>
  <c r="BB1426" i="123"/>
  <c r="BA1426" i="123"/>
  <c r="AZ1426" i="123"/>
  <c r="AY1426" i="123"/>
  <c r="AX1426" i="123"/>
  <c r="AW1426" i="123"/>
  <c r="AV1426" i="123"/>
  <c r="AU1426" i="123"/>
  <c r="AT1426" i="123"/>
  <c r="AS1426" i="123"/>
  <c r="AR1426" i="123"/>
  <c r="AQ1426" i="123"/>
  <c r="AP1426" i="123"/>
  <c r="AO1426" i="123"/>
  <c r="AN1426" i="123"/>
  <c r="AM1426" i="123"/>
  <c r="AL1426" i="123"/>
  <c r="AK1426" i="123"/>
  <c r="AJ1426" i="123"/>
  <c r="AI1426" i="123"/>
  <c r="AH1426" i="123"/>
  <c r="AG1426" i="123"/>
  <c r="AF1426" i="123"/>
  <c r="AE1426" i="123"/>
  <c r="CA1406" i="123"/>
  <c r="BZ1406" i="123"/>
  <c r="BY1406" i="123"/>
  <c r="BX1406" i="123"/>
  <c r="BW1406" i="123"/>
  <c r="BV1406" i="123"/>
  <c r="BU1406" i="123"/>
  <c r="BT1406" i="123"/>
  <c r="BS1406" i="123"/>
  <c r="BR1406" i="123"/>
  <c r="BQ1406" i="123"/>
  <c r="BP1406" i="123"/>
  <c r="BO1406" i="123"/>
  <c r="BN1406" i="123"/>
  <c r="BM1406" i="123"/>
  <c r="BL1406" i="123"/>
  <c r="BK1406" i="123"/>
  <c r="BJ1406" i="123"/>
  <c r="BI1406" i="123"/>
  <c r="BH1406" i="123"/>
  <c r="BG1406" i="123"/>
  <c r="BF1406" i="123"/>
  <c r="BE1406" i="123"/>
  <c r="BD1406" i="123"/>
  <c r="BC1406" i="123"/>
  <c r="BB1406" i="123"/>
  <c r="BA1406" i="123"/>
  <c r="AZ1406" i="123"/>
  <c r="AY1406" i="123"/>
  <c r="AX1406" i="123"/>
  <c r="AW1406" i="123"/>
  <c r="AV1406" i="123"/>
  <c r="AU1406" i="123"/>
  <c r="AT1406" i="123"/>
  <c r="AS1406" i="123"/>
  <c r="AR1406" i="123"/>
  <c r="AQ1406" i="123"/>
  <c r="AP1406" i="123"/>
  <c r="AO1406" i="123"/>
  <c r="AN1406" i="123"/>
  <c r="AM1406" i="123"/>
  <c r="AL1406" i="123"/>
  <c r="AK1406" i="123"/>
  <c r="AJ1406" i="123"/>
  <c r="AI1406" i="123"/>
  <c r="AH1406" i="123"/>
  <c r="AG1406" i="123"/>
  <c r="AF1406" i="123"/>
  <c r="AE1406" i="123"/>
  <c r="CA1391" i="123"/>
  <c r="BZ1391" i="123"/>
  <c r="BY1391" i="123"/>
  <c r="BX1391" i="123"/>
  <c r="BW1391" i="123"/>
  <c r="BV1391" i="123"/>
  <c r="BU1391" i="123"/>
  <c r="BT1391" i="123"/>
  <c r="BS1391" i="123"/>
  <c r="BR1391" i="123"/>
  <c r="BQ1391" i="123"/>
  <c r="BP1391" i="123"/>
  <c r="BO1391" i="123"/>
  <c r="BN1391" i="123"/>
  <c r="BM1391" i="123"/>
  <c r="BL1391" i="123"/>
  <c r="BK1391" i="123"/>
  <c r="BJ1391" i="123"/>
  <c r="BI1391" i="123"/>
  <c r="BH1391" i="123"/>
  <c r="BG1391" i="123"/>
  <c r="BF1391" i="123"/>
  <c r="BE1391" i="123"/>
  <c r="BD1391" i="123"/>
  <c r="BC1391" i="123"/>
  <c r="BB1391" i="123"/>
  <c r="BA1391" i="123"/>
  <c r="AZ1391" i="123"/>
  <c r="AY1391" i="123"/>
  <c r="AX1391" i="123"/>
  <c r="AW1391" i="123"/>
  <c r="AV1391" i="123"/>
  <c r="AU1391" i="123"/>
  <c r="AT1391" i="123"/>
  <c r="AS1391" i="123"/>
  <c r="AR1391" i="123"/>
  <c r="AQ1391" i="123"/>
  <c r="AP1391" i="123"/>
  <c r="AO1391" i="123"/>
  <c r="AN1391" i="123"/>
  <c r="AM1391" i="123"/>
  <c r="AL1391" i="123"/>
  <c r="AK1391" i="123"/>
  <c r="AJ1391" i="123"/>
  <c r="AI1391" i="123"/>
  <c r="AH1391" i="123"/>
  <c r="AG1391" i="123"/>
  <c r="AF1391" i="123"/>
  <c r="AE1391" i="123"/>
  <c r="CA1376" i="123"/>
  <c r="BZ1376" i="123"/>
  <c r="BY1376" i="123"/>
  <c r="BX1376" i="123"/>
  <c r="BW1376" i="123"/>
  <c r="BV1376" i="123"/>
  <c r="BU1376" i="123"/>
  <c r="BT1376" i="123"/>
  <c r="BS1376" i="123"/>
  <c r="BR1376" i="123"/>
  <c r="BQ1376" i="123"/>
  <c r="BP1376" i="123"/>
  <c r="BO1376" i="123"/>
  <c r="BN1376" i="123"/>
  <c r="BM1376" i="123"/>
  <c r="BL1376" i="123"/>
  <c r="BK1376" i="123"/>
  <c r="BJ1376" i="123"/>
  <c r="BI1376" i="123"/>
  <c r="BH1376" i="123"/>
  <c r="BG1376" i="123"/>
  <c r="BF1376" i="123"/>
  <c r="BE1376" i="123"/>
  <c r="BD1376" i="123"/>
  <c r="BC1376" i="123"/>
  <c r="BB1376" i="123"/>
  <c r="BA1376" i="123"/>
  <c r="AZ1376" i="123"/>
  <c r="AY1376" i="123"/>
  <c r="AX1376" i="123"/>
  <c r="AW1376" i="123"/>
  <c r="AV1376" i="123"/>
  <c r="AU1376" i="123"/>
  <c r="AT1376" i="123"/>
  <c r="AS1376" i="123"/>
  <c r="AR1376" i="123"/>
  <c r="AQ1376" i="123"/>
  <c r="AP1376" i="123"/>
  <c r="AO1376" i="123"/>
  <c r="AN1376" i="123"/>
  <c r="AM1376" i="123"/>
  <c r="AL1376" i="123"/>
  <c r="AK1376" i="123"/>
  <c r="AJ1376" i="123"/>
  <c r="AI1376" i="123"/>
  <c r="AH1376" i="123"/>
  <c r="AG1376" i="123"/>
  <c r="AF1376" i="123"/>
  <c r="AE1376" i="123"/>
  <c r="CA1370" i="123"/>
  <c r="BZ1370" i="123"/>
  <c r="BY1370" i="123"/>
  <c r="BX1370" i="123"/>
  <c r="BW1370" i="123"/>
  <c r="BV1370" i="123"/>
  <c r="BU1370" i="123"/>
  <c r="BT1370" i="123"/>
  <c r="BS1370" i="123"/>
  <c r="BR1370" i="123"/>
  <c r="BQ1370" i="123"/>
  <c r="BP1370" i="123"/>
  <c r="BO1370" i="123"/>
  <c r="BN1370" i="123"/>
  <c r="BM1370" i="123"/>
  <c r="BL1370" i="123"/>
  <c r="BK1370" i="123"/>
  <c r="BJ1370" i="123"/>
  <c r="BI1370" i="123"/>
  <c r="BH1370" i="123"/>
  <c r="BG1370" i="123"/>
  <c r="BF1370" i="123"/>
  <c r="BE1370" i="123"/>
  <c r="BD1370" i="123"/>
  <c r="BC1370" i="123"/>
  <c r="BB1370" i="123"/>
  <c r="BA1370" i="123"/>
  <c r="AZ1370" i="123"/>
  <c r="AY1370" i="123"/>
  <c r="AX1370" i="123"/>
  <c r="AW1370" i="123"/>
  <c r="AV1370" i="123"/>
  <c r="AU1370" i="123"/>
  <c r="AT1370" i="123"/>
  <c r="AS1370" i="123"/>
  <c r="AR1370" i="123"/>
  <c r="AQ1370" i="123"/>
  <c r="AP1370" i="123"/>
  <c r="AO1370" i="123"/>
  <c r="AN1370" i="123"/>
  <c r="AM1370" i="123"/>
  <c r="AL1370" i="123"/>
  <c r="AK1370" i="123"/>
  <c r="AJ1370" i="123"/>
  <c r="AI1370" i="123"/>
  <c r="AH1370" i="123"/>
  <c r="AG1370" i="123"/>
  <c r="AF1370" i="123"/>
  <c r="AE1370" i="123"/>
  <c r="CA1361" i="123"/>
  <c r="BZ1361" i="123"/>
  <c r="BY1361" i="123"/>
  <c r="BX1361" i="123"/>
  <c r="BW1361" i="123"/>
  <c r="BV1361" i="123"/>
  <c r="BU1361" i="123"/>
  <c r="BT1361" i="123"/>
  <c r="BS1361" i="123"/>
  <c r="BR1361" i="123"/>
  <c r="BQ1361" i="123"/>
  <c r="BP1361" i="123"/>
  <c r="BO1361" i="123"/>
  <c r="BN1361" i="123"/>
  <c r="BM1361" i="123"/>
  <c r="BL1361" i="123"/>
  <c r="BK1361" i="123"/>
  <c r="BJ1361" i="123"/>
  <c r="BI1361" i="123"/>
  <c r="BH1361" i="123"/>
  <c r="BG1361" i="123"/>
  <c r="BF1361" i="123"/>
  <c r="BE1361" i="123"/>
  <c r="BD1361" i="123"/>
  <c r="BC1361" i="123"/>
  <c r="BB1361" i="123"/>
  <c r="BA1361" i="123"/>
  <c r="AZ1361" i="123"/>
  <c r="AY1361" i="123"/>
  <c r="AX1361" i="123"/>
  <c r="AW1361" i="123"/>
  <c r="AV1361" i="123"/>
  <c r="AU1361" i="123"/>
  <c r="AT1361" i="123"/>
  <c r="AS1361" i="123"/>
  <c r="AR1361" i="123"/>
  <c r="AQ1361" i="123"/>
  <c r="AP1361" i="123"/>
  <c r="AO1361" i="123"/>
  <c r="AN1361" i="123"/>
  <c r="AM1361" i="123"/>
  <c r="AL1361" i="123"/>
  <c r="AK1361" i="123"/>
  <c r="AJ1361" i="123"/>
  <c r="AI1361" i="123"/>
  <c r="AH1361" i="123"/>
  <c r="AG1361" i="123"/>
  <c r="AF1361" i="123"/>
  <c r="AE1361" i="123"/>
  <c r="BU16" i="141"/>
  <c r="BE16" i="141"/>
  <c r="AO16" i="141"/>
  <c r="BM15" i="141"/>
  <c r="AW15" i="141"/>
  <c r="AG15" i="141"/>
  <c r="BV13" i="141"/>
  <c r="BU13" i="141"/>
  <c r="BT13" i="141"/>
  <c r="BS13" i="141"/>
  <c r="BR13" i="141"/>
  <c r="BQ13" i="141"/>
  <c r="BP13" i="141"/>
  <c r="BO13" i="141"/>
  <c r="BN13" i="141"/>
  <c r="BM13" i="141"/>
  <c r="BL13" i="141"/>
  <c r="BK13" i="141"/>
  <c r="BJ13" i="141"/>
  <c r="BI13" i="141"/>
  <c r="BH13" i="141"/>
  <c r="BG13" i="141"/>
  <c r="BF13" i="141"/>
  <c r="BE13" i="141"/>
  <c r="BD13" i="141"/>
  <c r="BC13" i="141"/>
  <c r="BB13" i="141"/>
  <c r="BA13" i="141"/>
  <c r="AZ13" i="141"/>
  <c r="AY13" i="141"/>
  <c r="AX13" i="141"/>
  <c r="AW13" i="141"/>
  <c r="AV13" i="141"/>
  <c r="AU13" i="141"/>
  <c r="AT13" i="141"/>
  <c r="AS13" i="141"/>
  <c r="AR13" i="141"/>
  <c r="AQ13" i="141"/>
  <c r="AP13" i="141"/>
  <c r="AO13" i="141"/>
  <c r="AN13" i="141"/>
  <c r="AM13" i="141"/>
  <c r="AL13" i="141"/>
  <c r="AK13" i="141"/>
  <c r="AJ13" i="141"/>
  <c r="AI13" i="141"/>
  <c r="AH13" i="141"/>
  <c r="AG13" i="141"/>
  <c r="AF13" i="141"/>
  <c r="AE13" i="141"/>
  <c r="AD13" i="141"/>
  <c r="AC13" i="141"/>
  <c r="AB13" i="141"/>
  <c r="AA13" i="141"/>
  <c r="BV9" i="141"/>
  <c r="BU9" i="141"/>
  <c r="BT9" i="141"/>
  <c r="BS9" i="141"/>
  <c r="BR9" i="141"/>
  <c r="BQ9" i="141"/>
  <c r="BP9" i="141"/>
  <c r="BO9" i="141"/>
  <c r="BN9" i="141"/>
  <c r="BM9" i="141"/>
  <c r="BL9" i="141"/>
  <c r="BK9" i="141"/>
  <c r="BJ9" i="141"/>
  <c r="BI9" i="141"/>
  <c r="BH9" i="141"/>
  <c r="BG9" i="141"/>
  <c r="BF9" i="141"/>
  <c r="BE9" i="141"/>
  <c r="BD9" i="141"/>
  <c r="BC9" i="141"/>
  <c r="BB9" i="141"/>
  <c r="BA9" i="141"/>
  <c r="AZ9" i="141"/>
  <c r="AY9" i="141"/>
  <c r="AX9" i="141"/>
  <c r="AW9" i="141"/>
  <c r="AV9" i="141"/>
  <c r="AU9" i="141"/>
  <c r="AT9" i="141"/>
  <c r="AS9" i="141"/>
  <c r="AR9" i="141"/>
  <c r="AQ9" i="141"/>
  <c r="AP9" i="141"/>
  <c r="AO9" i="141"/>
  <c r="AN9" i="141"/>
  <c r="AM9" i="141"/>
  <c r="AL9" i="141"/>
  <c r="AK9" i="141"/>
  <c r="AJ9" i="141"/>
  <c r="AI9" i="141"/>
  <c r="AH9" i="141"/>
  <c r="AG9" i="141"/>
  <c r="AF9" i="141"/>
  <c r="AE9" i="141"/>
  <c r="AD9" i="141"/>
  <c r="AC9" i="141"/>
  <c r="AB9" i="141"/>
  <c r="AA9" i="141"/>
  <c r="Z9" i="141"/>
  <c r="Y9" i="141"/>
  <c r="X9" i="141"/>
  <c r="W9" i="141"/>
  <c r="V9" i="141"/>
  <c r="U9" i="141"/>
  <c r="T9" i="141"/>
  <c r="S9" i="141"/>
  <c r="R9" i="141"/>
  <c r="Q9" i="141"/>
  <c r="P9" i="141"/>
  <c r="O9" i="141"/>
  <c r="N9" i="141"/>
  <c r="M9" i="141"/>
  <c r="L9" i="141"/>
  <c r="K9" i="141"/>
  <c r="J9" i="141"/>
  <c r="I9" i="141"/>
  <c r="H9" i="141"/>
  <c r="G9" i="141"/>
  <c r="F9" i="141"/>
  <c r="E9" i="141"/>
  <c r="D9" i="141"/>
  <c r="C9" i="141"/>
  <c r="BV8" i="141"/>
  <c r="BU8" i="141"/>
  <c r="BT8" i="141"/>
  <c r="BS8" i="141"/>
  <c r="BS19" i="141" s="1"/>
  <c r="BR8" i="141"/>
  <c r="BQ8" i="141"/>
  <c r="BP8" i="141"/>
  <c r="BO8" i="141"/>
  <c r="BN8" i="141"/>
  <c r="BM8" i="141"/>
  <c r="BM20" i="141" s="1"/>
  <c r="BL8" i="141"/>
  <c r="BK8" i="141"/>
  <c r="BJ8" i="141"/>
  <c r="BI8" i="141"/>
  <c r="BI20" i="141" s="1"/>
  <c r="BH8" i="141"/>
  <c r="BG8" i="141"/>
  <c r="BF8" i="141"/>
  <c r="BE8" i="141"/>
  <c r="BE20" i="141" s="1"/>
  <c r="BD8" i="141"/>
  <c r="BC8" i="141"/>
  <c r="BC19" i="141" s="1"/>
  <c r="BB8" i="141"/>
  <c r="BA8" i="141"/>
  <c r="BA20" i="141" s="1"/>
  <c r="AZ8" i="141"/>
  <c r="AY8" i="141"/>
  <c r="AX8" i="141"/>
  <c r="AW8" i="141"/>
  <c r="AW20" i="141" s="1"/>
  <c r="AV8" i="141"/>
  <c r="AU8" i="141"/>
  <c r="AT8" i="141"/>
  <c r="AS8" i="141"/>
  <c r="AS20" i="141" s="1"/>
  <c r="AR8" i="141"/>
  <c r="AQ8" i="141"/>
  <c r="AP8" i="141"/>
  <c r="AO8" i="141"/>
  <c r="AO20" i="141" s="1"/>
  <c r="AN8" i="141"/>
  <c r="AM8" i="141"/>
  <c r="AM19" i="141" s="1"/>
  <c r="AL8" i="141"/>
  <c r="AK8" i="141"/>
  <c r="AK20" i="141" s="1"/>
  <c r="AJ8" i="141"/>
  <c r="AI8" i="141"/>
  <c r="AH8" i="141"/>
  <c r="AG8" i="141"/>
  <c r="AG20" i="141" s="1"/>
  <c r="AF8" i="141"/>
  <c r="AE8" i="141"/>
  <c r="AD8" i="141"/>
  <c r="AC8" i="141"/>
  <c r="AC20" i="141" s="1"/>
  <c r="AB8" i="141"/>
  <c r="AA8" i="141"/>
  <c r="Z8" i="141"/>
  <c r="Y8" i="141"/>
  <c r="X8" i="141"/>
  <c r="W8" i="141"/>
  <c r="V8" i="141"/>
  <c r="U8" i="141"/>
  <c r="T8" i="141"/>
  <c r="S8" i="141"/>
  <c r="R8" i="141"/>
  <c r="Q8" i="141"/>
  <c r="P8" i="141"/>
  <c r="O8" i="141"/>
  <c r="N8" i="141"/>
  <c r="M8" i="141"/>
  <c r="L8" i="141"/>
  <c r="K8" i="141"/>
  <c r="J8" i="141"/>
  <c r="I8" i="141"/>
  <c r="H8" i="141"/>
  <c r="G8" i="141"/>
  <c r="F8" i="141"/>
  <c r="E8" i="141"/>
  <c r="D8" i="141"/>
  <c r="C8" i="141"/>
  <c r="C7" i="141"/>
  <c r="BV5" i="141"/>
  <c r="BU5" i="141"/>
  <c r="BU15" i="141" s="1"/>
  <c r="BT5" i="141"/>
  <c r="BS5" i="141"/>
  <c r="BR5" i="141"/>
  <c r="BQ5" i="141"/>
  <c r="BQ15" i="141" s="1"/>
  <c r="BP5" i="141"/>
  <c r="BO5" i="141"/>
  <c r="BN5" i="141"/>
  <c r="BM5" i="141"/>
  <c r="BM16" i="141" s="1"/>
  <c r="BL5" i="141"/>
  <c r="BK5" i="141"/>
  <c r="BJ5" i="141"/>
  <c r="BI5" i="141"/>
  <c r="BI16" i="141" s="1"/>
  <c r="BH5" i="141"/>
  <c r="BG5" i="141"/>
  <c r="BF5" i="141"/>
  <c r="BE5" i="141"/>
  <c r="BE15" i="141" s="1"/>
  <c r="BD5" i="141"/>
  <c r="BC5" i="141"/>
  <c r="BB5" i="141"/>
  <c r="BA5" i="141"/>
  <c r="BA15" i="141" s="1"/>
  <c r="AZ5" i="141"/>
  <c r="AY5" i="141"/>
  <c r="AX5" i="141"/>
  <c r="AW5" i="141"/>
  <c r="AW16" i="141" s="1"/>
  <c r="AV5" i="141"/>
  <c r="AU5" i="141"/>
  <c r="AT5" i="141"/>
  <c r="AS5" i="141"/>
  <c r="AS16" i="141" s="1"/>
  <c r="AR5" i="141"/>
  <c r="AQ5" i="141"/>
  <c r="AP5" i="141"/>
  <c r="AO5" i="141"/>
  <c r="AO15" i="141" s="1"/>
  <c r="AN5" i="141"/>
  <c r="AM5" i="141"/>
  <c r="AL5" i="141"/>
  <c r="AK5" i="141"/>
  <c r="AK15" i="141" s="1"/>
  <c r="AJ5" i="141"/>
  <c r="AI5" i="141"/>
  <c r="AH5" i="141"/>
  <c r="AG5" i="141"/>
  <c r="AG16" i="141" s="1"/>
  <c r="AF5" i="141"/>
  <c r="AE5" i="141"/>
  <c r="AD5" i="141"/>
  <c r="AC5" i="141"/>
  <c r="AC16" i="141" s="1"/>
  <c r="AB5" i="141"/>
  <c r="AA5" i="141"/>
  <c r="Z5" i="141"/>
  <c r="Y5" i="141"/>
  <c r="X5" i="141"/>
  <c r="W5" i="141"/>
  <c r="V5" i="141"/>
  <c r="U5" i="141"/>
  <c r="T5" i="141"/>
  <c r="S5" i="141"/>
  <c r="R5" i="141"/>
  <c r="Q5" i="141"/>
  <c r="P5" i="141"/>
  <c r="O5" i="141"/>
  <c r="N5" i="141"/>
  <c r="M5" i="141"/>
  <c r="L5" i="141"/>
  <c r="K5" i="141"/>
  <c r="J5" i="141"/>
  <c r="I5" i="141"/>
  <c r="H5" i="141"/>
  <c r="G5" i="141"/>
  <c r="F5" i="141"/>
  <c r="E5" i="141"/>
  <c r="D5" i="141"/>
  <c r="C5" i="141"/>
  <c r="Z4" i="141"/>
  <c r="Y4" i="141"/>
  <c r="Y16" i="141" s="1"/>
  <c r="X4" i="141"/>
  <c r="W4" i="141"/>
  <c r="W24" i="141" s="1"/>
  <c r="V4" i="141"/>
  <c r="U4" i="141"/>
  <c r="U7" i="141" s="1"/>
  <c r="T4" i="141"/>
  <c r="S4" i="141"/>
  <c r="R4" i="141"/>
  <c r="Q4" i="141"/>
  <c r="Q13" i="141" s="1"/>
  <c r="P4" i="141"/>
  <c r="P7" i="141" s="1"/>
  <c r="O4" i="141"/>
  <c r="O25" i="141" s="1"/>
  <c r="N4" i="141"/>
  <c r="M4" i="141"/>
  <c r="M19" i="141" s="1"/>
  <c r="L4" i="141"/>
  <c r="L7" i="141" s="1"/>
  <c r="K4" i="141"/>
  <c r="J4" i="141"/>
  <c r="I4" i="141"/>
  <c r="I16" i="141" s="1"/>
  <c r="H4" i="141"/>
  <c r="G4" i="141"/>
  <c r="F4" i="141"/>
  <c r="E4" i="141"/>
  <c r="D4" i="141"/>
  <c r="C4" i="141"/>
  <c r="AG19" i="141" l="1"/>
  <c r="AW19" i="141"/>
  <c r="BM19" i="141"/>
  <c r="BC20" i="141"/>
  <c r="BE17" i="141"/>
  <c r="Q15" i="141"/>
  <c r="AA7" i="141"/>
  <c r="AB7" i="141" s="1"/>
  <c r="Q19" i="141"/>
  <c r="AE1497" i="123"/>
  <c r="AE1516" i="123" s="1"/>
  <c r="AI1497" i="123"/>
  <c r="AI1516" i="123" s="1"/>
  <c r="AM1497" i="123"/>
  <c r="AQ1497" i="123"/>
  <c r="AQ1516" i="123" s="1"/>
  <c r="AU1497" i="123"/>
  <c r="AY1497" i="123"/>
  <c r="BC1497" i="123"/>
  <c r="BG1497" i="123"/>
  <c r="BG1516" i="123" s="1"/>
  <c r="BK1497" i="123"/>
  <c r="BK1516" i="123" s="1"/>
  <c r="BO1497" i="123"/>
  <c r="BS1497" i="123"/>
  <c r="BS1516" i="123" s="1"/>
  <c r="BW1497" i="123"/>
  <c r="BW1516" i="123" s="1"/>
  <c r="CA1497" i="123"/>
  <c r="CA1516" i="123" s="1"/>
  <c r="AH1497" i="123"/>
  <c r="AH1516" i="123" s="1"/>
  <c r="AL1497" i="123"/>
  <c r="AL1516" i="123" s="1"/>
  <c r="AP1497" i="123"/>
  <c r="AP1516" i="123" s="1"/>
  <c r="AT1497" i="123"/>
  <c r="AT1516" i="123" s="1"/>
  <c r="AX1497" i="123"/>
  <c r="AX1516" i="123" s="1"/>
  <c r="BB1497" i="123"/>
  <c r="BB1516" i="123" s="1"/>
  <c r="BF1497" i="123"/>
  <c r="BF1516" i="123" s="1"/>
  <c r="BJ1497" i="123"/>
  <c r="BJ1516" i="123" s="1"/>
  <c r="BN1497" i="123"/>
  <c r="BN1516" i="123" s="1"/>
  <c r="BR1497" i="123"/>
  <c r="BR1516" i="123" s="1"/>
  <c r="BV1497" i="123"/>
  <c r="BV1516" i="123" s="1"/>
  <c r="BZ1497" i="123"/>
  <c r="BZ1516" i="123" s="1"/>
  <c r="AM1516" i="123"/>
  <c r="AU1516" i="123"/>
  <c r="AY1516" i="123"/>
  <c r="BC1516" i="123"/>
  <c r="BO1516" i="123"/>
  <c r="AF1516" i="123"/>
  <c r="AJ1516" i="123"/>
  <c r="AN1516" i="123"/>
  <c r="AR1516" i="123"/>
  <c r="AV1516" i="123"/>
  <c r="AZ1516" i="123"/>
  <c r="BD1516" i="123"/>
  <c r="BH1516" i="123"/>
  <c r="BL1516" i="123"/>
  <c r="BP1516" i="123"/>
  <c r="BT1516" i="123"/>
  <c r="BX1516" i="123"/>
  <c r="AG1497" i="123"/>
  <c r="AG1516" i="123" s="1"/>
  <c r="AK1497" i="123"/>
  <c r="AK1516" i="123" s="1"/>
  <c r="AO1497" i="123"/>
  <c r="AO1516" i="123" s="1"/>
  <c r="AS1497" i="123"/>
  <c r="AS1516" i="123" s="1"/>
  <c r="AW1497" i="123"/>
  <c r="AW1516" i="123" s="1"/>
  <c r="BA1497" i="123"/>
  <c r="BA1516" i="123" s="1"/>
  <c r="BE1497" i="123"/>
  <c r="BE1516" i="123" s="1"/>
  <c r="BI1497" i="123"/>
  <c r="BI1516" i="123" s="1"/>
  <c r="BM1497" i="123"/>
  <c r="BM1516" i="123" s="1"/>
  <c r="BQ1497" i="123"/>
  <c r="BQ1516" i="123" s="1"/>
  <c r="BU1497" i="123"/>
  <c r="BU1516" i="123" s="1"/>
  <c r="BY1497" i="123"/>
  <c r="BY1516" i="123" s="1"/>
  <c r="AO17" i="141"/>
  <c r="BM17" i="141"/>
  <c r="BU17" i="141"/>
  <c r="AW17" i="141"/>
  <c r="AG17" i="141"/>
  <c r="H39" i="141"/>
  <c r="H38" i="141"/>
  <c r="H37" i="141"/>
  <c r="H36" i="141"/>
  <c r="H35" i="141"/>
  <c r="H34" i="141"/>
  <c r="H33" i="141"/>
  <c r="H32" i="141"/>
  <c r="H31" i="141"/>
  <c r="H30" i="141"/>
  <c r="H25" i="141"/>
  <c r="H24" i="141"/>
  <c r="H23" i="141"/>
  <c r="H22" i="141"/>
  <c r="H21" i="141"/>
  <c r="H20" i="141"/>
  <c r="H19" i="141"/>
  <c r="H16" i="141"/>
  <c r="H15" i="141"/>
  <c r="H13" i="141"/>
  <c r="T39" i="141"/>
  <c r="T38" i="141"/>
  <c r="T37" i="141"/>
  <c r="T36" i="141"/>
  <c r="T35" i="141"/>
  <c r="T34" i="141"/>
  <c r="T33" i="141"/>
  <c r="T32" i="141"/>
  <c r="T31" i="141"/>
  <c r="T30" i="141"/>
  <c r="T25" i="141"/>
  <c r="T24" i="141"/>
  <c r="T23" i="141"/>
  <c r="T22" i="141"/>
  <c r="T21" i="141"/>
  <c r="T20" i="141"/>
  <c r="T19" i="141"/>
  <c r="T16" i="141"/>
  <c r="T15" i="141"/>
  <c r="T13" i="141"/>
  <c r="AF16" i="141"/>
  <c r="AF15" i="141"/>
  <c r="AR16" i="141"/>
  <c r="AR15" i="141"/>
  <c r="BD16" i="141"/>
  <c r="BD15" i="141"/>
  <c r="BL16" i="141"/>
  <c r="BL15" i="141"/>
  <c r="D7" i="141"/>
  <c r="T7" i="141"/>
  <c r="AB20" i="141"/>
  <c r="AB19" i="141"/>
  <c r="AN20" i="141"/>
  <c r="AN19" i="141"/>
  <c r="AZ20" i="141"/>
  <c r="AZ19" i="141"/>
  <c r="BL20" i="141"/>
  <c r="BL19" i="141"/>
  <c r="I39" i="141"/>
  <c r="I38" i="141"/>
  <c r="I37" i="141"/>
  <c r="I35" i="141"/>
  <c r="I30" i="141"/>
  <c r="I25" i="141"/>
  <c r="I24" i="141"/>
  <c r="I23" i="141"/>
  <c r="I22" i="141"/>
  <c r="I21" i="141"/>
  <c r="I20" i="141"/>
  <c r="I32" i="141"/>
  <c r="I34" i="141"/>
  <c r="I33" i="141"/>
  <c r="I31" i="141"/>
  <c r="Q39" i="141"/>
  <c r="Q38" i="141"/>
  <c r="Q37" i="141"/>
  <c r="Q36" i="141"/>
  <c r="Q34" i="141"/>
  <c r="Q30" i="141"/>
  <c r="Q25" i="141"/>
  <c r="Q24" i="141"/>
  <c r="Q23" i="141"/>
  <c r="Q22" i="141"/>
  <c r="Q21" i="141"/>
  <c r="Q20" i="141"/>
  <c r="Q33" i="141"/>
  <c r="Q31" i="141"/>
  <c r="Q32" i="141"/>
  <c r="Q35" i="141"/>
  <c r="Y39" i="141"/>
  <c r="Y38" i="141"/>
  <c r="Y37" i="141"/>
  <c r="Y35" i="141"/>
  <c r="Y25" i="141"/>
  <c r="Y24" i="141"/>
  <c r="Y23" i="141"/>
  <c r="Y22" i="141"/>
  <c r="Y21" i="141"/>
  <c r="Y20" i="141"/>
  <c r="Y36" i="141"/>
  <c r="Y32" i="141"/>
  <c r="Y30" i="141"/>
  <c r="Y33" i="141"/>
  <c r="Y31" i="141"/>
  <c r="Y34" i="141"/>
  <c r="I7" i="141"/>
  <c r="M7" i="141"/>
  <c r="Q7" i="141"/>
  <c r="Y7" i="141"/>
  <c r="C39" i="141"/>
  <c r="C37" i="141"/>
  <c r="C36" i="141"/>
  <c r="C35" i="141"/>
  <c r="C34" i="141"/>
  <c r="C33" i="141"/>
  <c r="C32" i="141"/>
  <c r="C31" i="141"/>
  <c r="C38" i="141"/>
  <c r="C19" i="141"/>
  <c r="C16" i="141"/>
  <c r="C15" i="141"/>
  <c r="C13" i="141"/>
  <c r="C25" i="141"/>
  <c r="C23" i="141"/>
  <c r="C21" i="141"/>
  <c r="C30" i="141"/>
  <c r="C24" i="141"/>
  <c r="C22" i="141"/>
  <c r="C20" i="141"/>
  <c r="G39" i="141"/>
  <c r="G37" i="141"/>
  <c r="G36" i="141"/>
  <c r="G35" i="141"/>
  <c r="G34" i="141"/>
  <c r="G38" i="141"/>
  <c r="G33" i="141"/>
  <c r="G32" i="141"/>
  <c r="G31" i="141"/>
  <c r="G25" i="141"/>
  <c r="G23" i="141"/>
  <c r="G21" i="141"/>
  <c r="G19" i="141"/>
  <c r="G16" i="141"/>
  <c r="G15" i="141"/>
  <c r="G13" i="141"/>
  <c r="K38" i="141"/>
  <c r="K37" i="141"/>
  <c r="K36" i="141"/>
  <c r="K35" i="141"/>
  <c r="K34" i="141"/>
  <c r="K39" i="141"/>
  <c r="K33" i="141"/>
  <c r="K32" i="141"/>
  <c r="K31" i="141"/>
  <c r="K30" i="141"/>
  <c r="K19" i="141"/>
  <c r="K16" i="141"/>
  <c r="K15" i="141"/>
  <c r="K13" i="141"/>
  <c r="K24" i="141"/>
  <c r="K22" i="141"/>
  <c r="K20" i="141"/>
  <c r="K25" i="141"/>
  <c r="K23" i="141"/>
  <c r="K21" i="141"/>
  <c r="O38" i="141"/>
  <c r="O37" i="141"/>
  <c r="O36" i="141"/>
  <c r="O35" i="141"/>
  <c r="O34" i="141"/>
  <c r="O39" i="141"/>
  <c r="O33" i="141"/>
  <c r="O32" i="141"/>
  <c r="O31" i="141"/>
  <c r="O30" i="141"/>
  <c r="O24" i="141"/>
  <c r="O22" i="141"/>
  <c r="O20" i="141"/>
  <c r="O19" i="141"/>
  <c r="O16" i="141"/>
  <c r="O15" i="141"/>
  <c r="O13" i="141"/>
  <c r="S39" i="141"/>
  <c r="S36" i="141"/>
  <c r="S35" i="141"/>
  <c r="S34" i="141"/>
  <c r="S37" i="141"/>
  <c r="S38" i="141"/>
  <c r="S33" i="141"/>
  <c r="S32" i="141"/>
  <c r="S31" i="141"/>
  <c r="S30" i="141"/>
  <c r="S19" i="141"/>
  <c r="S16" i="141"/>
  <c r="S15" i="141"/>
  <c r="S13" i="141"/>
  <c r="S25" i="141"/>
  <c r="S23" i="141"/>
  <c r="S21" i="141"/>
  <c r="S24" i="141"/>
  <c r="S22" i="141"/>
  <c r="S20" i="141"/>
  <c r="W39" i="141"/>
  <c r="W36" i="141"/>
  <c r="W35" i="141"/>
  <c r="W34" i="141"/>
  <c r="W38" i="141"/>
  <c r="W33" i="141"/>
  <c r="W32" i="141"/>
  <c r="W31" i="141"/>
  <c r="W30" i="141"/>
  <c r="W37" i="141"/>
  <c r="W25" i="141"/>
  <c r="W23" i="141"/>
  <c r="W21" i="141"/>
  <c r="W19" i="141"/>
  <c r="W16" i="141"/>
  <c r="W15" i="141"/>
  <c r="W13" i="141"/>
  <c r="AA16" i="141"/>
  <c r="AA15" i="141"/>
  <c r="AE16" i="141"/>
  <c r="AE15" i="141"/>
  <c r="AI16" i="141"/>
  <c r="AI15" i="141"/>
  <c r="AM16" i="141"/>
  <c r="AM15" i="141"/>
  <c r="AQ16" i="141"/>
  <c r="AQ15" i="141"/>
  <c r="AU16" i="141"/>
  <c r="AU15" i="141"/>
  <c r="AY16" i="141"/>
  <c r="AY15" i="141"/>
  <c r="BC16" i="141"/>
  <c r="BC15" i="141"/>
  <c r="BG16" i="141"/>
  <c r="BG15" i="141"/>
  <c r="BK16" i="141"/>
  <c r="BK15" i="141"/>
  <c r="BO16" i="141"/>
  <c r="BO15" i="141"/>
  <c r="BS16" i="141"/>
  <c r="BS15" i="141"/>
  <c r="G7" i="141"/>
  <c r="K7" i="141"/>
  <c r="O7" i="141"/>
  <c r="S7" i="141"/>
  <c r="W7" i="141"/>
  <c r="AA19" i="141"/>
  <c r="AA20" i="141"/>
  <c r="AE20" i="141"/>
  <c r="AE19" i="141"/>
  <c r="AI19" i="141"/>
  <c r="AI20" i="141"/>
  <c r="AQ19" i="141"/>
  <c r="AQ20" i="141"/>
  <c r="AU20" i="141"/>
  <c r="AU19" i="141"/>
  <c r="AY19" i="141"/>
  <c r="AY20" i="141"/>
  <c r="BG19" i="141"/>
  <c r="BG20" i="141"/>
  <c r="BK20" i="141"/>
  <c r="BK19" i="141"/>
  <c r="BO19" i="141"/>
  <c r="BO20" i="141"/>
  <c r="M13" i="141"/>
  <c r="M15" i="141"/>
  <c r="AC15" i="141"/>
  <c r="AC17" i="141" s="1"/>
  <c r="AS15" i="141"/>
  <c r="AS17" i="141" s="1"/>
  <c r="BI15" i="141"/>
  <c r="BI17" i="141" s="1"/>
  <c r="E16" i="141"/>
  <c r="U16" i="141"/>
  <c r="AK16" i="141"/>
  <c r="AK17" i="141" s="1"/>
  <c r="BA16" i="141"/>
  <c r="BA17" i="141" s="1"/>
  <c r="BQ16" i="141"/>
  <c r="BQ17" i="141" s="1"/>
  <c r="AC19" i="141"/>
  <c r="AS19" i="141"/>
  <c r="BI19" i="141"/>
  <c r="AM20" i="141"/>
  <c r="W22" i="141"/>
  <c r="O23" i="141"/>
  <c r="G24" i="141"/>
  <c r="L39" i="141"/>
  <c r="L38" i="141"/>
  <c r="L37" i="141"/>
  <c r="L36" i="141"/>
  <c r="L35" i="141"/>
  <c r="L34" i="141"/>
  <c r="L33" i="141"/>
  <c r="L32" i="141"/>
  <c r="L31" i="141"/>
  <c r="L30" i="141"/>
  <c r="L25" i="141"/>
  <c r="L24" i="141"/>
  <c r="L23" i="141"/>
  <c r="L22" i="141"/>
  <c r="L21" i="141"/>
  <c r="L20" i="141"/>
  <c r="L19" i="141"/>
  <c r="L16" i="141"/>
  <c r="L15" i="141"/>
  <c r="L13" i="141"/>
  <c r="X39" i="141"/>
  <c r="X38" i="141"/>
  <c r="X37" i="141"/>
  <c r="X36" i="141"/>
  <c r="X35" i="141"/>
  <c r="X34" i="141"/>
  <c r="X33" i="141"/>
  <c r="X32" i="141"/>
  <c r="X31" i="141"/>
  <c r="X30" i="141"/>
  <c r="X25" i="141"/>
  <c r="X24" i="141"/>
  <c r="X23" i="141"/>
  <c r="X22" i="141"/>
  <c r="X21" i="141"/>
  <c r="X20" i="141"/>
  <c r="X19" i="141"/>
  <c r="X16" i="141"/>
  <c r="X15" i="141"/>
  <c r="X13" i="141"/>
  <c r="AJ16" i="141"/>
  <c r="AJ15" i="141"/>
  <c r="AV16" i="141"/>
  <c r="AV15" i="141"/>
  <c r="BH16" i="141"/>
  <c r="BH15" i="141"/>
  <c r="BT16" i="141"/>
  <c r="BT15" i="141"/>
  <c r="H7" i="141"/>
  <c r="X7" i="141"/>
  <c r="AJ20" i="141"/>
  <c r="AJ19" i="141"/>
  <c r="AV20" i="141"/>
  <c r="AV19" i="141"/>
  <c r="BH20" i="141"/>
  <c r="BH19" i="141"/>
  <c r="E39" i="141"/>
  <c r="E38" i="141"/>
  <c r="E37" i="141"/>
  <c r="E35" i="141"/>
  <c r="E36" i="141"/>
  <c r="E34" i="141"/>
  <c r="E33" i="141"/>
  <c r="E31" i="141"/>
  <c r="E30" i="141"/>
  <c r="E25" i="141"/>
  <c r="E24" i="141"/>
  <c r="E23" i="141"/>
  <c r="E22" i="141"/>
  <c r="E21" i="141"/>
  <c r="E20" i="141"/>
  <c r="E32" i="141"/>
  <c r="M39" i="141"/>
  <c r="M38" i="141"/>
  <c r="M36" i="141"/>
  <c r="M34" i="141"/>
  <c r="M37" i="141"/>
  <c r="M35" i="141"/>
  <c r="M32" i="141"/>
  <c r="M25" i="141"/>
  <c r="M24" i="141"/>
  <c r="M23" i="141"/>
  <c r="M22" i="141"/>
  <c r="M21" i="141"/>
  <c r="M20" i="141"/>
  <c r="M31" i="141"/>
  <c r="M30" i="141"/>
  <c r="M33" i="141"/>
  <c r="U39" i="141"/>
  <c r="U38" i="141"/>
  <c r="U37" i="141"/>
  <c r="U35" i="141"/>
  <c r="U36" i="141"/>
  <c r="U34" i="141"/>
  <c r="U33" i="141"/>
  <c r="U31" i="141"/>
  <c r="U25" i="141"/>
  <c r="U24" i="141"/>
  <c r="U23" i="141"/>
  <c r="U22" i="141"/>
  <c r="U21" i="141"/>
  <c r="U20" i="141"/>
  <c r="U30" i="141"/>
  <c r="U32" i="141"/>
  <c r="E7" i="141"/>
  <c r="BQ20" i="141"/>
  <c r="BQ19" i="141"/>
  <c r="BU20" i="141"/>
  <c r="BU19" i="141"/>
  <c r="E13" i="141"/>
  <c r="U13" i="141"/>
  <c r="E15" i="141"/>
  <c r="U15" i="141"/>
  <c r="M16" i="141"/>
  <c r="E19" i="141"/>
  <c r="U19" i="141"/>
  <c r="AK19" i="141"/>
  <c r="BA19" i="141"/>
  <c r="G20" i="141"/>
  <c r="BS20" i="141"/>
  <c r="G30" i="141"/>
  <c r="D39" i="141"/>
  <c r="D38" i="141"/>
  <c r="D37" i="141"/>
  <c r="D36" i="141"/>
  <c r="D35" i="141"/>
  <c r="D34" i="141"/>
  <c r="D33" i="141"/>
  <c r="D32" i="141"/>
  <c r="D31" i="141"/>
  <c r="D30" i="141"/>
  <c r="D25" i="141"/>
  <c r="D24" i="141"/>
  <c r="D23" i="141"/>
  <c r="D22" i="141"/>
  <c r="D21" i="141"/>
  <c r="D20" i="141"/>
  <c r="D19" i="141"/>
  <c r="D16" i="141"/>
  <c r="D15" i="141"/>
  <c r="D13" i="141"/>
  <c r="P39" i="141"/>
  <c r="P38" i="141"/>
  <c r="P37" i="141"/>
  <c r="P36" i="141"/>
  <c r="P35" i="141"/>
  <c r="P34" i="141"/>
  <c r="P33" i="141"/>
  <c r="P32" i="141"/>
  <c r="P31" i="141"/>
  <c r="P30" i="141"/>
  <c r="P25" i="141"/>
  <c r="P24" i="141"/>
  <c r="P23" i="141"/>
  <c r="P22" i="141"/>
  <c r="P21" i="141"/>
  <c r="P20" i="141"/>
  <c r="P19" i="141"/>
  <c r="P16" i="141"/>
  <c r="P15" i="141"/>
  <c r="P13" i="141"/>
  <c r="AB16" i="141"/>
  <c r="AB15" i="141"/>
  <c r="AN16" i="141"/>
  <c r="AN15" i="141"/>
  <c r="AZ16" i="141"/>
  <c r="AZ15" i="141"/>
  <c r="BP16" i="141"/>
  <c r="BP15" i="141"/>
  <c r="AF20" i="141"/>
  <c r="AF19" i="141"/>
  <c r="AR20" i="141"/>
  <c r="AR19" i="141"/>
  <c r="BD20" i="141"/>
  <c r="BD19" i="141"/>
  <c r="BP20" i="141"/>
  <c r="BP19" i="141"/>
  <c r="BT20" i="141"/>
  <c r="BT19" i="141"/>
  <c r="F39" i="141"/>
  <c r="F38" i="141"/>
  <c r="F37" i="141"/>
  <c r="F36" i="141"/>
  <c r="F35" i="141"/>
  <c r="F34" i="141"/>
  <c r="F33" i="141"/>
  <c r="F32" i="141"/>
  <c r="F31" i="141"/>
  <c r="F30" i="141"/>
  <c r="F25" i="141"/>
  <c r="F24" i="141"/>
  <c r="F23" i="141"/>
  <c r="F22" i="141"/>
  <c r="F21" i="141"/>
  <c r="F20" i="141"/>
  <c r="F19" i="141"/>
  <c r="F16" i="141"/>
  <c r="F15" i="141"/>
  <c r="F13" i="141"/>
  <c r="J39" i="141"/>
  <c r="J38" i="141"/>
  <c r="J37" i="141"/>
  <c r="J36" i="141"/>
  <c r="J35" i="141"/>
  <c r="J34" i="141"/>
  <c r="J33" i="141"/>
  <c r="J32" i="141"/>
  <c r="J31" i="141"/>
  <c r="J30" i="141"/>
  <c r="J25" i="141"/>
  <c r="J24" i="141"/>
  <c r="J23" i="141"/>
  <c r="J22" i="141"/>
  <c r="J21" i="141"/>
  <c r="J20" i="141"/>
  <c r="J19" i="141"/>
  <c r="J16" i="141"/>
  <c r="J15" i="141"/>
  <c r="J13" i="141"/>
  <c r="N39" i="141"/>
  <c r="N38" i="141"/>
  <c r="N37" i="141"/>
  <c r="N36" i="141"/>
  <c r="N35" i="141"/>
  <c r="N34" i="141"/>
  <c r="N33" i="141"/>
  <c r="N32" i="141"/>
  <c r="N31" i="141"/>
  <c r="N30" i="141"/>
  <c r="N25" i="141"/>
  <c r="N24" i="141"/>
  <c r="N23" i="141"/>
  <c r="N22" i="141"/>
  <c r="N21" i="141"/>
  <c r="N20" i="141"/>
  <c r="N19" i="141"/>
  <c r="N16" i="141"/>
  <c r="N15" i="141"/>
  <c r="N13" i="141"/>
  <c r="R39" i="141"/>
  <c r="R38" i="141"/>
  <c r="R36" i="141"/>
  <c r="R35" i="141"/>
  <c r="R34" i="141"/>
  <c r="R33" i="141"/>
  <c r="R32" i="141"/>
  <c r="R31" i="141"/>
  <c r="R30" i="141"/>
  <c r="R37" i="141"/>
  <c r="R25" i="141"/>
  <c r="R24" i="141"/>
  <c r="R23" i="141"/>
  <c r="R22" i="141"/>
  <c r="R21" i="141"/>
  <c r="R20" i="141"/>
  <c r="R19" i="141"/>
  <c r="R16" i="141"/>
  <c r="R15" i="141"/>
  <c r="R13" i="141"/>
  <c r="V39" i="141"/>
  <c r="V38" i="141"/>
  <c r="V37" i="141"/>
  <c r="V36" i="141"/>
  <c r="V35" i="141"/>
  <c r="V34" i="141"/>
  <c r="V33" i="141"/>
  <c r="V32" i="141"/>
  <c r="V31" i="141"/>
  <c r="V30" i="141"/>
  <c r="V25" i="141"/>
  <c r="V24" i="141"/>
  <c r="V23" i="141"/>
  <c r="V22" i="141"/>
  <c r="V21" i="141"/>
  <c r="V20" i="141"/>
  <c r="V19" i="141"/>
  <c r="V16" i="141"/>
  <c r="V15" i="141"/>
  <c r="V13" i="141"/>
  <c r="Z39" i="141"/>
  <c r="Z38" i="141"/>
  <c r="Z37" i="141"/>
  <c r="Z36" i="141"/>
  <c r="Z35" i="141"/>
  <c r="Z34" i="141"/>
  <c r="Z33" i="141"/>
  <c r="Z32" i="141"/>
  <c r="Z31" i="141"/>
  <c r="Z30" i="141"/>
  <c r="Z25" i="141"/>
  <c r="Z24" i="141"/>
  <c r="Z23" i="141"/>
  <c r="Z22" i="141"/>
  <c r="Z21" i="141"/>
  <c r="Z20" i="141"/>
  <c r="Z19" i="141"/>
  <c r="Z16" i="141"/>
  <c r="Z15" i="141"/>
  <c r="Z13" i="141"/>
  <c r="AD16" i="141"/>
  <c r="AD15" i="141"/>
  <c r="AH16" i="141"/>
  <c r="AH15" i="141"/>
  <c r="AL15" i="141"/>
  <c r="AP16" i="141"/>
  <c r="AP15" i="141"/>
  <c r="AT16" i="141"/>
  <c r="AT15" i="141"/>
  <c r="BB16" i="141"/>
  <c r="BB15" i="141"/>
  <c r="BF16" i="141"/>
  <c r="BF15" i="141"/>
  <c r="BN16" i="141"/>
  <c r="BN15" i="141"/>
  <c r="BR16" i="141"/>
  <c r="BR15" i="141"/>
  <c r="F7" i="141"/>
  <c r="J7" i="141"/>
  <c r="N7" i="141"/>
  <c r="R7" i="141"/>
  <c r="V7" i="141"/>
  <c r="Z7" i="141"/>
  <c r="AD20" i="141"/>
  <c r="AD19" i="141"/>
  <c r="AH20" i="141"/>
  <c r="AH19" i="141"/>
  <c r="AL20" i="141"/>
  <c r="AL19" i="141"/>
  <c r="AP20" i="141"/>
  <c r="AP19" i="141"/>
  <c r="AT20" i="141"/>
  <c r="AT19" i="141"/>
  <c r="AX20" i="141"/>
  <c r="AX19" i="141"/>
  <c r="BB20" i="141"/>
  <c r="BB19" i="141"/>
  <c r="BF20" i="141"/>
  <c r="BF19" i="141"/>
  <c r="BJ20" i="141"/>
  <c r="BJ19" i="141"/>
  <c r="BN20" i="141"/>
  <c r="BN19" i="141"/>
  <c r="BR20" i="141"/>
  <c r="BR19" i="141"/>
  <c r="BV20" i="141"/>
  <c r="BV19" i="141"/>
  <c r="I13" i="141"/>
  <c r="Y13" i="141"/>
  <c r="I15" i="141"/>
  <c r="I17" i="141" s="1"/>
  <c r="Y15" i="141"/>
  <c r="Y17" i="141" s="1"/>
  <c r="Q16" i="141"/>
  <c r="I19" i="141"/>
  <c r="Y19" i="141"/>
  <c r="AO19" i="141"/>
  <c r="BE19" i="141"/>
  <c r="W20" i="141"/>
  <c r="O21" i="141"/>
  <c r="G22" i="141"/>
  <c r="I36" i="141"/>
  <c r="AB21" i="133"/>
  <c r="AC21" i="133"/>
  <c r="AD21" i="133"/>
  <c r="AE21" i="133"/>
  <c r="AF21" i="133"/>
  <c r="AG21" i="133"/>
  <c r="AH21" i="133"/>
  <c r="AI21" i="133"/>
  <c r="AJ21" i="133"/>
  <c r="AK21" i="133"/>
  <c r="AL21" i="133"/>
  <c r="AA21" i="133"/>
  <c r="Q17" i="141" l="1"/>
  <c r="AD24" i="141"/>
  <c r="AH24" i="141"/>
  <c r="AL24" i="141"/>
  <c r="AB24" i="141"/>
  <c r="AF24" i="141"/>
  <c r="AJ24" i="141"/>
  <c r="AC24" i="141"/>
  <c r="AK24" i="141"/>
  <c r="AA24" i="141"/>
  <c r="AG24" i="141"/>
  <c r="AE24" i="141"/>
  <c r="AI24" i="141"/>
  <c r="K17" i="141"/>
  <c r="BP17" i="141"/>
  <c r="E17" i="141"/>
  <c r="AV17" i="141"/>
  <c r="S17" i="141"/>
  <c r="BL17" i="141"/>
  <c r="H17" i="141"/>
  <c r="BF17" i="141"/>
  <c r="AP17" i="141"/>
  <c r="BO17" i="141"/>
  <c r="BG17" i="141"/>
  <c r="AY17" i="141"/>
  <c r="AQ17" i="141"/>
  <c r="AA22" i="141"/>
  <c r="V17" i="141"/>
  <c r="AB17" i="141"/>
  <c r="P17" i="141"/>
  <c r="AJ17" i="141"/>
  <c r="X17" i="141"/>
  <c r="AA32" i="141"/>
  <c r="AB32" i="141" s="1"/>
  <c r="AT17" i="141"/>
  <c r="AD17" i="141"/>
  <c r="Z17" i="141"/>
  <c r="J17" i="141"/>
  <c r="U17" i="141"/>
  <c r="BD17" i="141"/>
  <c r="AF17" i="141"/>
  <c r="AA35" i="141"/>
  <c r="AB35" i="141" s="1"/>
  <c r="AA21" i="141"/>
  <c r="AB21" i="141" s="1"/>
  <c r="BR17" i="141"/>
  <c r="BB17" i="141"/>
  <c r="R17" i="141"/>
  <c r="F17" i="141"/>
  <c r="AZ17" i="141"/>
  <c r="D17" i="141"/>
  <c r="BT17" i="141"/>
  <c r="L17" i="141"/>
  <c r="M17" i="141"/>
  <c r="BK17" i="141"/>
  <c r="AU17" i="141"/>
  <c r="AI17" i="141"/>
  <c r="AA17" i="141"/>
  <c r="O17" i="141"/>
  <c r="AA31" i="141"/>
  <c r="AB31" i="141" s="1"/>
  <c r="AC31" i="141" s="1"/>
  <c r="AA34" i="141"/>
  <c r="AB34" i="141" s="1"/>
  <c r="AA38" i="141"/>
  <c r="G17" i="141"/>
  <c r="AR17" i="141"/>
  <c r="AA25" i="141"/>
  <c r="AB25" i="141" s="1"/>
  <c r="AA23" i="141"/>
  <c r="BS17" i="141"/>
  <c r="BC17" i="141"/>
  <c r="AM17" i="141"/>
  <c r="AE17" i="141"/>
  <c r="AA33" i="141"/>
  <c r="AB33" i="141" s="1"/>
  <c r="AA36" i="141"/>
  <c r="AB36" i="141" s="1"/>
  <c r="C17" i="141"/>
  <c r="BN17" i="141"/>
  <c r="AH17" i="141"/>
  <c r="N17" i="141"/>
  <c r="AN17" i="141"/>
  <c r="BH17" i="141"/>
  <c r="W17" i="141"/>
  <c r="AA30" i="141"/>
  <c r="AA39" i="141"/>
  <c r="AA37" i="141"/>
  <c r="T17" i="141"/>
  <c r="AC7" i="141"/>
  <c r="P8" i="130"/>
  <c r="Q8" i="130" s="1"/>
  <c r="R8" i="130" s="1"/>
  <c r="P11" i="130"/>
  <c r="Q11" i="130" s="1"/>
  <c r="R11" i="130" s="1"/>
  <c r="P12" i="130"/>
  <c r="Q12" i="130" s="1"/>
  <c r="R12" i="130" s="1"/>
  <c r="AM24" i="141" l="1"/>
  <c r="AB22" i="141"/>
  <c r="AC22" i="141" s="1"/>
  <c r="AD22" i="141" s="1"/>
  <c r="AD31" i="141"/>
  <c r="AE31" i="141" s="1"/>
  <c r="AF31" i="141" s="1"/>
  <c r="AC34" i="141"/>
  <c r="AD34" i="141" s="1"/>
  <c r="AD7" i="141"/>
  <c r="AC35" i="141"/>
  <c r="AD35" i="141" s="1"/>
  <c r="AB39" i="141"/>
  <c r="AC39" i="141" s="1"/>
  <c r="AC21" i="141"/>
  <c r="AB30" i="141"/>
  <c r="AC32" i="141"/>
  <c r="AD32" i="141" s="1"/>
  <c r="AC33" i="141"/>
  <c r="AB23" i="141"/>
  <c r="AC36" i="141"/>
  <c r="AB37" i="141"/>
  <c r="AC25" i="141"/>
  <c r="AD25" i="141" s="1"/>
  <c r="AB38" i="141"/>
  <c r="P62" i="129"/>
  <c r="Q62" i="129" s="1"/>
  <c r="R62" i="129" s="1"/>
  <c r="P61" i="129"/>
  <c r="Q61" i="129" s="1"/>
  <c r="R61" i="129" s="1"/>
  <c r="D62" i="129"/>
  <c r="D61" i="129"/>
  <c r="AN24" i="141" l="1"/>
  <c r="AE35" i="141"/>
  <c r="AF35" i="141" s="1"/>
  <c r="AG31" i="141"/>
  <c r="AH31" i="141" s="1"/>
  <c r="AD36" i="141"/>
  <c r="AC23" i="141"/>
  <c r="AD33" i="141"/>
  <c r="AE33" i="141" s="1"/>
  <c r="AE22" i="141"/>
  <c r="AF22" i="141" s="1"/>
  <c r="AC37" i="141"/>
  <c r="AD37" i="141" s="1"/>
  <c r="AC38" i="141"/>
  <c r="AD38" i="141" s="1"/>
  <c r="AD39" i="141"/>
  <c r="AE25" i="141"/>
  <c r="AF25" i="141" s="1"/>
  <c r="AG25" i="141" s="1"/>
  <c r="AE32" i="141"/>
  <c r="AC30" i="141"/>
  <c r="AD21" i="141"/>
  <c r="AE7" i="141"/>
  <c r="AE34" i="141"/>
  <c r="J75" i="109"/>
  <c r="J80" i="109"/>
  <c r="K80" i="109" s="1"/>
  <c r="L80" i="109" s="1"/>
  <c r="J82" i="109"/>
  <c r="J83" i="109"/>
  <c r="BX11" i="34"/>
  <c r="BX12" i="34"/>
  <c r="F13" i="34"/>
  <c r="G13" i="34"/>
  <c r="H13" i="34"/>
  <c r="I13" i="34"/>
  <c r="J13" i="34"/>
  <c r="K13" i="34"/>
  <c r="L13" i="34"/>
  <c r="M13" i="34"/>
  <c r="N13" i="34"/>
  <c r="O13" i="34"/>
  <c r="P13" i="34"/>
  <c r="Q13" i="34"/>
  <c r="R13" i="34"/>
  <c r="S13" i="34"/>
  <c r="T13" i="34"/>
  <c r="U13" i="34"/>
  <c r="V13" i="34"/>
  <c r="W13" i="34"/>
  <c r="X13" i="34"/>
  <c r="Y13" i="34"/>
  <c r="Z13" i="34"/>
  <c r="AA13" i="34"/>
  <c r="AB13" i="34"/>
  <c r="AC13" i="34"/>
  <c r="AD13" i="34"/>
  <c r="AE13" i="34"/>
  <c r="AF13" i="34"/>
  <c r="AG13" i="34"/>
  <c r="AH13" i="34"/>
  <c r="AI13" i="34"/>
  <c r="AJ13" i="34"/>
  <c r="AK13" i="34"/>
  <c r="AL13" i="34"/>
  <c r="AM13" i="34"/>
  <c r="AN13" i="34"/>
  <c r="AO13" i="34"/>
  <c r="AP13" i="34"/>
  <c r="AQ13" i="34"/>
  <c r="AR13" i="34"/>
  <c r="AS13" i="34"/>
  <c r="AT13" i="34"/>
  <c r="AU13" i="34"/>
  <c r="AV13" i="34"/>
  <c r="AW13" i="34"/>
  <c r="AX13" i="34"/>
  <c r="AY13" i="34"/>
  <c r="AZ13" i="34"/>
  <c r="BA13" i="34"/>
  <c r="BB13" i="34"/>
  <c r="BC13" i="34"/>
  <c r="BD13" i="34"/>
  <c r="BE13" i="34"/>
  <c r="BF13" i="34"/>
  <c r="BG13" i="34"/>
  <c r="BH13" i="34"/>
  <c r="BI13" i="34"/>
  <c r="BJ13" i="34"/>
  <c r="BK13" i="34"/>
  <c r="BL13" i="34"/>
  <c r="BM13" i="34"/>
  <c r="BN13" i="34"/>
  <c r="BO13" i="34"/>
  <c r="BP13" i="34"/>
  <c r="BQ13" i="34"/>
  <c r="BR13" i="34"/>
  <c r="BS13" i="34"/>
  <c r="BT13" i="34"/>
  <c r="BU13" i="34"/>
  <c r="BV13" i="34"/>
  <c r="BW13" i="34"/>
  <c r="BX13" i="34"/>
  <c r="F14" i="34"/>
  <c r="G14" i="34"/>
  <c r="H14" i="34"/>
  <c r="I14" i="34"/>
  <c r="J14" i="34"/>
  <c r="K14" i="34"/>
  <c r="L14" i="34"/>
  <c r="M14" i="34"/>
  <c r="N14" i="34"/>
  <c r="O14" i="34"/>
  <c r="P14" i="34"/>
  <c r="Q14" i="34"/>
  <c r="R14" i="34"/>
  <c r="S14" i="34"/>
  <c r="T14" i="34"/>
  <c r="U14" i="34"/>
  <c r="V14" i="34"/>
  <c r="W14" i="34"/>
  <c r="X14" i="34"/>
  <c r="Y14" i="34"/>
  <c r="Z14" i="34"/>
  <c r="AA14" i="34"/>
  <c r="AB14" i="34"/>
  <c r="AC14" i="34"/>
  <c r="AD14" i="34"/>
  <c r="AE14" i="34"/>
  <c r="AF14" i="34"/>
  <c r="AG14" i="34"/>
  <c r="AH14" i="34"/>
  <c r="AI14" i="34"/>
  <c r="AJ14" i="34"/>
  <c r="AK14" i="34"/>
  <c r="AL14" i="34"/>
  <c r="AM14" i="34"/>
  <c r="AN14" i="34"/>
  <c r="AO14" i="34"/>
  <c r="AP14" i="34"/>
  <c r="AQ14" i="34"/>
  <c r="AR14" i="34"/>
  <c r="AS14" i="34"/>
  <c r="AT14" i="34"/>
  <c r="AU14" i="34"/>
  <c r="AV14" i="34"/>
  <c r="AW14" i="34"/>
  <c r="AX14" i="34"/>
  <c r="AY14" i="34"/>
  <c r="AZ14" i="34"/>
  <c r="BA14" i="34"/>
  <c r="BB14" i="34"/>
  <c r="BC14" i="34"/>
  <c r="BD14" i="34"/>
  <c r="BE14" i="34"/>
  <c r="BF14" i="34"/>
  <c r="BG14" i="34"/>
  <c r="BH14" i="34"/>
  <c r="BI14" i="34"/>
  <c r="BJ14" i="34"/>
  <c r="BK14" i="34"/>
  <c r="BL14" i="34"/>
  <c r="BM14" i="34"/>
  <c r="BN14" i="34"/>
  <c r="BO14" i="34"/>
  <c r="BP14" i="34"/>
  <c r="BQ14" i="34"/>
  <c r="BR14" i="34"/>
  <c r="BS14" i="34"/>
  <c r="BT14" i="34"/>
  <c r="BU14" i="34"/>
  <c r="BV14" i="34"/>
  <c r="BW14" i="34"/>
  <c r="BX14" i="34"/>
  <c r="F15" i="34"/>
  <c r="G15" i="34"/>
  <c r="H15" i="34"/>
  <c r="I15" i="34"/>
  <c r="J15" i="34"/>
  <c r="K15" i="34"/>
  <c r="L15" i="34"/>
  <c r="M15" i="34"/>
  <c r="N15" i="34"/>
  <c r="O15" i="34"/>
  <c r="P15" i="34"/>
  <c r="Q15" i="34"/>
  <c r="R15" i="34"/>
  <c r="S15" i="34"/>
  <c r="T15" i="34"/>
  <c r="U15" i="34"/>
  <c r="V15" i="34"/>
  <c r="W15" i="34"/>
  <c r="X15" i="34"/>
  <c r="Y15" i="34"/>
  <c r="Z15" i="34"/>
  <c r="AA15" i="34"/>
  <c r="AB15" i="34"/>
  <c r="AC15" i="34"/>
  <c r="AD15" i="34"/>
  <c r="AE15" i="34"/>
  <c r="AF15" i="34"/>
  <c r="AG15" i="34"/>
  <c r="AH15" i="34"/>
  <c r="AI15" i="34"/>
  <c r="AJ15" i="34"/>
  <c r="AK15" i="34"/>
  <c r="AL15" i="34"/>
  <c r="AM15" i="34"/>
  <c r="AN15" i="34"/>
  <c r="AO15" i="34"/>
  <c r="AP15" i="34"/>
  <c r="AQ15" i="34"/>
  <c r="AR15" i="34"/>
  <c r="AS15" i="34"/>
  <c r="AT15" i="34"/>
  <c r="AU15" i="34"/>
  <c r="AV15" i="34"/>
  <c r="AW15" i="34"/>
  <c r="AX15" i="34"/>
  <c r="AY15" i="34"/>
  <c r="AZ15" i="34"/>
  <c r="BA15" i="34"/>
  <c r="BB15" i="34"/>
  <c r="BC15" i="34"/>
  <c r="BD15" i="34"/>
  <c r="BE15" i="34"/>
  <c r="BF15" i="34"/>
  <c r="BG15" i="34"/>
  <c r="BH15" i="34"/>
  <c r="BI15" i="34"/>
  <c r="BJ15" i="34"/>
  <c r="BK15" i="34"/>
  <c r="BL15" i="34"/>
  <c r="BM15" i="34"/>
  <c r="BN15" i="34"/>
  <c r="BO15" i="34"/>
  <c r="BP15" i="34"/>
  <c r="BQ15" i="34"/>
  <c r="BR15" i="34"/>
  <c r="BS15" i="34"/>
  <c r="BT15" i="34"/>
  <c r="BU15" i="34"/>
  <c r="BV15" i="34"/>
  <c r="BW15" i="34"/>
  <c r="BX15" i="34"/>
  <c r="F16" i="34"/>
  <c r="G16" i="34"/>
  <c r="H16" i="34"/>
  <c r="I16" i="34"/>
  <c r="J16" i="34"/>
  <c r="K16" i="34"/>
  <c r="L16" i="34"/>
  <c r="M16" i="34"/>
  <c r="N16" i="34"/>
  <c r="O16" i="34"/>
  <c r="P16" i="34"/>
  <c r="Q16" i="34"/>
  <c r="R16" i="34"/>
  <c r="S16" i="34"/>
  <c r="T16" i="34"/>
  <c r="U16" i="34"/>
  <c r="V16" i="34"/>
  <c r="W16" i="34"/>
  <c r="X16" i="34"/>
  <c r="Y16" i="34"/>
  <c r="Z16" i="34"/>
  <c r="AA16" i="34"/>
  <c r="AB16" i="34"/>
  <c r="AC16" i="34"/>
  <c r="AD16" i="34"/>
  <c r="AE16" i="34"/>
  <c r="AF16" i="34"/>
  <c r="AG16" i="34"/>
  <c r="AH16" i="34"/>
  <c r="AI16" i="34"/>
  <c r="AJ16" i="34"/>
  <c r="AK16" i="34"/>
  <c r="AL16" i="34"/>
  <c r="AM16" i="34"/>
  <c r="AN16" i="34"/>
  <c r="AO16" i="34"/>
  <c r="AP16" i="34"/>
  <c r="AQ16" i="34"/>
  <c r="AR16" i="34"/>
  <c r="AS16" i="34"/>
  <c r="AT16" i="34"/>
  <c r="AU16" i="34"/>
  <c r="AV16" i="34"/>
  <c r="AW16" i="34"/>
  <c r="AX16" i="34"/>
  <c r="AY16" i="34"/>
  <c r="AZ16" i="34"/>
  <c r="BA16" i="34"/>
  <c r="BB16" i="34"/>
  <c r="BC16" i="34"/>
  <c r="BD16" i="34"/>
  <c r="BE16" i="34"/>
  <c r="BF16" i="34"/>
  <c r="BG16" i="34"/>
  <c r="BH16" i="34"/>
  <c r="BI16" i="34"/>
  <c r="BJ16" i="34"/>
  <c r="BK16" i="34"/>
  <c r="BL16" i="34"/>
  <c r="BM16" i="34"/>
  <c r="BN16" i="34"/>
  <c r="BO16" i="34"/>
  <c r="BP16" i="34"/>
  <c r="BQ16" i="34"/>
  <c r="BR16" i="34"/>
  <c r="BS16" i="34"/>
  <c r="BT16" i="34"/>
  <c r="BU16" i="34"/>
  <c r="BV16" i="34"/>
  <c r="BW16" i="34"/>
  <c r="BX16" i="34"/>
  <c r="E16" i="34"/>
  <c r="E14" i="34"/>
  <c r="E13" i="34"/>
  <c r="AI31" i="141" l="1"/>
  <c r="AJ31" i="141" s="1"/>
  <c r="AK31" i="141" s="1"/>
  <c r="AO24" i="141"/>
  <c r="AG22" i="141"/>
  <c r="AH22" i="141" s="1"/>
  <c r="AI22" i="141" s="1"/>
  <c r="AD23" i="141"/>
  <c r="AE36" i="141"/>
  <c r="AD30" i="141"/>
  <c r="AF33" i="141"/>
  <c r="AG33" i="141" s="1"/>
  <c r="AE37" i="141"/>
  <c r="AF37" i="141" s="1"/>
  <c r="AF7" i="141"/>
  <c r="AE38" i="141"/>
  <c r="AF34" i="141"/>
  <c r="AG35" i="141"/>
  <c r="AE21" i="141"/>
  <c r="AF21" i="141" s="1"/>
  <c r="AF32" i="141"/>
  <c r="AE39" i="141"/>
  <c r="AH25" i="141"/>
  <c r="D8" i="57"/>
  <c r="E8" i="57"/>
  <c r="S8" i="57"/>
  <c r="T8" i="57"/>
  <c r="U8" i="57"/>
  <c r="V8" i="57"/>
  <c r="W8" i="57"/>
  <c r="X8" i="57"/>
  <c r="Y8" i="57"/>
  <c r="Z8" i="57"/>
  <c r="D9" i="57"/>
  <c r="E9" i="57"/>
  <c r="F9" i="57"/>
  <c r="G9" i="57"/>
  <c r="H9" i="57"/>
  <c r="I9" i="57"/>
  <c r="J9" i="57"/>
  <c r="K9" i="57"/>
  <c r="L9" i="57"/>
  <c r="M9" i="57"/>
  <c r="N9" i="57"/>
  <c r="O9" i="57"/>
  <c r="P9" i="57"/>
  <c r="Q9" i="57"/>
  <c r="R9" i="57"/>
  <c r="S9" i="57"/>
  <c r="T9" i="57"/>
  <c r="U9" i="57"/>
  <c r="V9" i="57"/>
  <c r="W9" i="57"/>
  <c r="X9" i="57"/>
  <c r="Y9" i="57"/>
  <c r="Z9" i="57"/>
  <c r="D10" i="57"/>
  <c r="E10" i="57"/>
  <c r="F10" i="57"/>
  <c r="G10" i="57"/>
  <c r="H10" i="57"/>
  <c r="I10" i="57"/>
  <c r="J10" i="57"/>
  <c r="K10" i="57"/>
  <c r="L10" i="57"/>
  <c r="M10" i="57"/>
  <c r="N10" i="57"/>
  <c r="O10" i="57"/>
  <c r="P10" i="57"/>
  <c r="Q10" i="57"/>
  <c r="R10" i="57"/>
  <c r="S10" i="57"/>
  <c r="T10" i="57"/>
  <c r="U10" i="57"/>
  <c r="V10" i="57"/>
  <c r="W10" i="57"/>
  <c r="X10" i="57"/>
  <c r="Y10" i="57"/>
  <c r="Z10" i="57"/>
  <c r="D11" i="57"/>
  <c r="E11" i="57"/>
  <c r="S11" i="57"/>
  <c r="T11" i="57"/>
  <c r="U11" i="57"/>
  <c r="V11" i="57"/>
  <c r="W11" i="57"/>
  <c r="X11" i="57"/>
  <c r="Y11" i="57"/>
  <c r="Z11" i="57"/>
  <c r="C11" i="57"/>
  <c r="C9" i="57"/>
  <c r="C8" i="57"/>
  <c r="J10" i="58"/>
  <c r="K10" i="58"/>
  <c r="L10" i="58"/>
  <c r="M10" i="58"/>
  <c r="N10" i="58"/>
  <c r="O10" i="58"/>
  <c r="P10" i="58"/>
  <c r="Q10" i="58"/>
  <c r="R10" i="58"/>
  <c r="J11" i="58"/>
  <c r="K11" i="58"/>
  <c r="L11" i="58"/>
  <c r="M11" i="58"/>
  <c r="N11" i="58"/>
  <c r="O11" i="58"/>
  <c r="P11" i="58"/>
  <c r="Q11" i="58"/>
  <c r="R11" i="58"/>
  <c r="I12" i="58"/>
  <c r="J12" i="58"/>
  <c r="K12" i="58"/>
  <c r="L12" i="58"/>
  <c r="M12" i="58"/>
  <c r="N12" i="58"/>
  <c r="O12" i="58"/>
  <c r="P12" i="58"/>
  <c r="Q12" i="58"/>
  <c r="R12" i="58"/>
  <c r="U12" i="58"/>
  <c r="E13" i="58"/>
  <c r="F13" i="58"/>
  <c r="G13" i="58"/>
  <c r="H13" i="58"/>
  <c r="I13" i="58"/>
  <c r="J13" i="58"/>
  <c r="K13" i="58"/>
  <c r="L13" i="58"/>
  <c r="M13" i="58"/>
  <c r="N13" i="58"/>
  <c r="O13" i="58"/>
  <c r="P13" i="58"/>
  <c r="Q13" i="58"/>
  <c r="R13" i="58"/>
  <c r="S13" i="58"/>
  <c r="T13" i="58"/>
  <c r="U13" i="58"/>
  <c r="E15" i="58"/>
  <c r="F15" i="58"/>
  <c r="G15" i="58"/>
  <c r="H15" i="58"/>
  <c r="I15" i="58"/>
  <c r="J15" i="58"/>
  <c r="K15" i="58"/>
  <c r="L15" i="58"/>
  <c r="M15" i="58"/>
  <c r="N15" i="58"/>
  <c r="O15" i="58"/>
  <c r="P15" i="58"/>
  <c r="Q15" i="58"/>
  <c r="R15" i="58"/>
  <c r="S15" i="58"/>
  <c r="T15" i="58"/>
  <c r="U15" i="58"/>
  <c r="D13" i="58"/>
  <c r="S12" i="58"/>
  <c r="M8" i="57"/>
  <c r="N8" i="57"/>
  <c r="O8" i="57"/>
  <c r="Q8" i="57"/>
  <c r="R8" i="57"/>
  <c r="K11" i="57"/>
  <c r="L11" i="57"/>
  <c r="M11" i="57"/>
  <c r="N11" i="57"/>
  <c r="O11" i="57"/>
  <c r="P11" i="57"/>
  <c r="Q11" i="57"/>
  <c r="R11" i="57"/>
  <c r="E15" i="34"/>
  <c r="D15" i="58" s="1"/>
  <c r="C10" i="57" l="1"/>
  <c r="AP24" i="141"/>
  <c r="AQ24" i="141" s="1"/>
  <c r="AF36" i="141"/>
  <c r="AG36" i="141" s="1"/>
  <c r="AH36" i="141" s="1"/>
  <c r="AE23" i="141"/>
  <c r="AF23" i="141" s="1"/>
  <c r="AI25" i="141"/>
  <c r="AG21" i="141"/>
  <c r="AH21" i="141" s="1"/>
  <c r="AI21" i="141" s="1"/>
  <c r="AH33" i="141"/>
  <c r="AG34" i="141"/>
  <c r="AG7" i="141"/>
  <c r="AF39" i="141"/>
  <c r="AG37" i="141"/>
  <c r="AE30" i="141"/>
  <c r="AJ22" i="141"/>
  <c r="AL31" i="141"/>
  <c r="AG32" i="141"/>
  <c r="AH35" i="141"/>
  <c r="AF38" i="141"/>
  <c r="G12" i="58"/>
  <c r="T12" i="58"/>
  <c r="P8" i="57"/>
  <c r="L8" i="57"/>
  <c r="R16" i="58"/>
  <c r="N16" i="58"/>
  <c r="J16" i="58"/>
  <c r="K8" i="57"/>
  <c r="H12" i="58"/>
  <c r="O16" i="58"/>
  <c r="K16" i="58"/>
  <c r="P16" i="58"/>
  <c r="L16" i="58"/>
  <c r="Q16" i="58"/>
  <c r="M16" i="58"/>
  <c r="AC4" i="34"/>
  <c r="AD4" i="34"/>
  <c r="AE4" i="34"/>
  <c r="AF4" i="34"/>
  <c r="AG4" i="34"/>
  <c r="AH4" i="34"/>
  <c r="AI4" i="34"/>
  <c r="AJ4" i="34"/>
  <c r="AK4" i="34"/>
  <c r="AL4" i="34"/>
  <c r="AM4" i="34"/>
  <c r="AN4" i="34"/>
  <c r="AO4" i="34"/>
  <c r="AP4" i="34"/>
  <c r="AQ4" i="34"/>
  <c r="AR4" i="34"/>
  <c r="AS4" i="34"/>
  <c r="AT4" i="34"/>
  <c r="AU4" i="34"/>
  <c r="AV4" i="34"/>
  <c r="AW4" i="34"/>
  <c r="AX4" i="34"/>
  <c r="AY4" i="34"/>
  <c r="AZ4" i="34"/>
  <c r="BA4" i="34"/>
  <c r="BB4" i="34"/>
  <c r="BC4" i="34"/>
  <c r="BD4" i="34"/>
  <c r="BE4" i="34"/>
  <c r="BF4" i="34"/>
  <c r="BG4" i="34"/>
  <c r="BH4" i="34"/>
  <c r="BI4" i="34"/>
  <c r="BJ4" i="34"/>
  <c r="BK4" i="34"/>
  <c r="BL4" i="34"/>
  <c r="BM4" i="34"/>
  <c r="BN4" i="34"/>
  <c r="BO4" i="34"/>
  <c r="BP4" i="34"/>
  <c r="BQ4" i="34"/>
  <c r="BR4" i="34"/>
  <c r="BS4" i="34"/>
  <c r="BT4" i="34"/>
  <c r="BU4" i="34"/>
  <c r="BV4" i="34"/>
  <c r="BW4" i="34"/>
  <c r="BX4" i="34"/>
  <c r="F11" i="57"/>
  <c r="G11" i="57"/>
  <c r="AC17" i="140"/>
  <c r="AB17" i="140"/>
  <c r="AA17" i="140"/>
  <c r="Z17" i="140"/>
  <c r="Y17" i="140"/>
  <c r="X17" i="140"/>
  <c r="W17" i="140"/>
  <c r="V17" i="140"/>
  <c r="U17" i="140"/>
  <c r="T17" i="140"/>
  <c r="S17" i="140"/>
  <c r="R17" i="140"/>
  <c r="Q17" i="140"/>
  <c r="P17" i="140"/>
  <c r="AB11" i="140"/>
  <c r="AC11" i="140"/>
  <c r="AA11" i="140"/>
  <c r="Z11" i="140"/>
  <c r="Y11" i="140"/>
  <c r="X11" i="140"/>
  <c r="W11" i="140"/>
  <c r="V11" i="140"/>
  <c r="U11" i="140"/>
  <c r="T11" i="140"/>
  <c r="S11" i="140"/>
  <c r="R11" i="140"/>
  <c r="Q11" i="140"/>
  <c r="P11" i="140"/>
  <c r="F31" i="140"/>
  <c r="G31" i="140"/>
  <c r="H31" i="140"/>
  <c r="I31" i="140"/>
  <c r="J31" i="140"/>
  <c r="K31" i="140"/>
  <c r="L31" i="140"/>
  <c r="M31" i="140"/>
  <c r="N31" i="140"/>
  <c r="O31" i="140"/>
  <c r="P25" i="140"/>
  <c r="Q25" i="140"/>
  <c r="R25" i="140"/>
  <c r="S25" i="140"/>
  <c r="T25" i="140"/>
  <c r="U25" i="140"/>
  <c r="V25" i="140"/>
  <c r="W25" i="140"/>
  <c r="X25" i="140"/>
  <c r="Y25" i="140"/>
  <c r="Z25" i="140"/>
  <c r="AA25" i="140"/>
  <c r="AB25" i="140"/>
  <c r="AC25" i="140"/>
  <c r="D31" i="140"/>
  <c r="E31" i="140"/>
  <c r="BW12" i="34" l="1"/>
  <c r="BW11" i="34"/>
  <c r="BS12" i="34"/>
  <c r="BS11" i="34"/>
  <c r="BK12" i="34"/>
  <c r="BK11" i="34"/>
  <c r="BG12" i="34"/>
  <c r="BG11" i="34"/>
  <c r="BC12" i="34"/>
  <c r="BC11" i="34"/>
  <c r="BC17" i="34" s="1"/>
  <c r="BR12" i="34"/>
  <c r="BR11" i="34"/>
  <c r="BF12" i="34"/>
  <c r="BF11" i="34"/>
  <c r="BU11" i="34"/>
  <c r="BU12" i="34"/>
  <c r="BQ11" i="34"/>
  <c r="BQ12" i="34"/>
  <c r="BM11" i="34"/>
  <c r="BM12" i="34"/>
  <c r="BI11" i="34"/>
  <c r="BI12" i="34"/>
  <c r="BE11" i="34"/>
  <c r="BE12" i="34"/>
  <c r="BA11" i="34"/>
  <c r="BA12" i="34"/>
  <c r="BO11" i="34"/>
  <c r="BO12" i="34"/>
  <c r="BV12" i="34"/>
  <c r="Z7" i="57" s="1"/>
  <c r="BV11" i="34"/>
  <c r="BN12" i="34"/>
  <c r="BN11" i="34"/>
  <c r="BJ12" i="34"/>
  <c r="BJ11" i="34"/>
  <c r="BB12" i="34"/>
  <c r="BB11" i="34"/>
  <c r="BT11" i="34"/>
  <c r="BT12" i="34"/>
  <c r="BP12" i="34"/>
  <c r="X7" i="57" s="1"/>
  <c r="BP11" i="34"/>
  <c r="X6" i="57" s="1"/>
  <c r="BL11" i="34"/>
  <c r="BL12" i="34"/>
  <c r="BH12" i="34"/>
  <c r="BH11" i="34"/>
  <c r="BD12" i="34"/>
  <c r="BD11" i="34"/>
  <c r="AR24" i="141"/>
  <c r="AS24" i="141" s="1"/>
  <c r="AT24" i="141" s="1"/>
  <c r="AU24" i="141" s="1"/>
  <c r="AG23" i="141"/>
  <c r="AH23" i="141" s="1"/>
  <c r="AM31" i="141"/>
  <c r="AN31" i="141" s="1"/>
  <c r="AO31" i="141" s="1"/>
  <c r="AJ21" i="141"/>
  <c r="AI33" i="141"/>
  <c r="AG39" i="141"/>
  <c r="AG38" i="141"/>
  <c r="AH32" i="141"/>
  <c r="AI36" i="141"/>
  <c r="AH7" i="141"/>
  <c r="AI35" i="141"/>
  <c r="AK22" i="141"/>
  <c r="AF30" i="141"/>
  <c r="AH37" i="141"/>
  <c r="AH34" i="141"/>
  <c r="AJ25" i="141"/>
  <c r="I11" i="57"/>
  <c r="G8" i="57"/>
  <c r="E12" i="58"/>
  <c r="F12" i="58"/>
  <c r="J11" i="57"/>
  <c r="H8" i="57"/>
  <c r="F8" i="57"/>
  <c r="D12" i="58"/>
  <c r="I8" i="57"/>
  <c r="H11" i="57"/>
  <c r="J8" i="57"/>
  <c r="AB4" i="34"/>
  <c r="AA4" i="34"/>
  <c r="Z4" i="34"/>
  <c r="Y4" i="34"/>
  <c r="X4" i="34"/>
  <c r="W4" i="34"/>
  <c r="V4" i="34"/>
  <c r="U4" i="34"/>
  <c r="T4" i="34"/>
  <c r="S4" i="34"/>
  <c r="R4" i="34"/>
  <c r="Q4" i="34"/>
  <c r="P4" i="34"/>
  <c r="O4" i="34"/>
  <c r="N4" i="34"/>
  <c r="M4" i="34"/>
  <c r="L4" i="34"/>
  <c r="K4" i="34"/>
  <c r="J4" i="34"/>
  <c r="I4" i="34"/>
  <c r="H4" i="34"/>
  <c r="G4" i="34"/>
  <c r="F4" i="34"/>
  <c r="E4" i="34"/>
  <c r="AA52" i="140"/>
  <c r="Z52" i="140"/>
  <c r="Y52" i="140"/>
  <c r="X52" i="140"/>
  <c r="W52" i="140"/>
  <c r="V52" i="140"/>
  <c r="U52" i="140"/>
  <c r="T52" i="140"/>
  <c r="S52" i="140"/>
  <c r="R52" i="140"/>
  <c r="Q52" i="140"/>
  <c r="P52" i="140"/>
  <c r="O52" i="140"/>
  <c r="N52" i="140"/>
  <c r="M52" i="140"/>
  <c r="L52" i="140"/>
  <c r="K52" i="140"/>
  <c r="J52" i="140"/>
  <c r="I52" i="140"/>
  <c r="H52" i="140"/>
  <c r="G52" i="140"/>
  <c r="F52" i="140"/>
  <c r="E52" i="140"/>
  <c r="D52" i="140"/>
  <c r="AA49" i="140"/>
  <c r="Z49" i="140"/>
  <c r="Y49" i="140"/>
  <c r="X49" i="140"/>
  <c r="W49" i="140"/>
  <c r="V49" i="140"/>
  <c r="U49" i="140"/>
  <c r="T49" i="140"/>
  <c r="S49" i="140"/>
  <c r="R49" i="140"/>
  <c r="Q49" i="140"/>
  <c r="P49" i="140"/>
  <c r="O49" i="140"/>
  <c r="N49" i="140"/>
  <c r="M49" i="140"/>
  <c r="L49" i="140"/>
  <c r="K49" i="140"/>
  <c r="J49" i="140"/>
  <c r="I49" i="140"/>
  <c r="H49" i="140"/>
  <c r="G49" i="140"/>
  <c r="F49" i="140"/>
  <c r="E49" i="140"/>
  <c r="D49" i="140"/>
  <c r="AA43" i="140"/>
  <c r="Z43" i="140"/>
  <c r="Y43" i="140"/>
  <c r="X43" i="140"/>
  <c r="W43" i="140"/>
  <c r="V43" i="140"/>
  <c r="U43" i="140"/>
  <c r="T43" i="140"/>
  <c r="S43" i="140"/>
  <c r="R43" i="140"/>
  <c r="Q43" i="140"/>
  <c r="P43" i="140"/>
  <c r="O43" i="140"/>
  <c r="N43" i="140"/>
  <c r="M43" i="140"/>
  <c r="L43" i="140"/>
  <c r="K43" i="140"/>
  <c r="J43" i="140"/>
  <c r="I43" i="140"/>
  <c r="H43" i="140"/>
  <c r="G43" i="140"/>
  <c r="F43" i="140"/>
  <c r="E43" i="140"/>
  <c r="D43" i="140"/>
  <c r="Z39" i="140"/>
  <c r="Y39" i="140"/>
  <c r="X39" i="140"/>
  <c r="W39" i="140"/>
  <c r="V39" i="140"/>
  <c r="U39" i="140"/>
  <c r="T39" i="140"/>
  <c r="S39" i="140"/>
  <c r="R39" i="140"/>
  <c r="Q39" i="140"/>
  <c r="P39" i="140"/>
  <c r="N39" i="140"/>
  <c r="M39" i="140"/>
  <c r="L39" i="140"/>
  <c r="K39" i="140"/>
  <c r="J39" i="140"/>
  <c r="I39" i="140"/>
  <c r="H39" i="140"/>
  <c r="G39" i="140"/>
  <c r="F39" i="140"/>
  <c r="E39" i="140"/>
  <c r="D39" i="140"/>
  <c r="AA38" i="140"/>
  <c r="AA39" i="140" s="1"/>
  <c r="O37" i="140"/>
  <c r="O39" i="140" s="1"/>
  <c r="AA28" i="140"/>
  <c r="Z28" i="140"/>
  <c r="Y28" i="140"/>
  <c r="X28" i="140"/>
  <c r="W28" i="140"/>
  <c r="V28" i="140"/>
  <c r="U28" i="140"/>
  <c r="T28" i="140"/>
  <c r="S28" i="140"/>
  <c r="R28" i="140"/>
  <c r="Q28" i="140"/>
  <c r="P28" i="140"/>
  <c r="O28" i="140"/>
  <c r="N28" i="140"/>
  <c r="M28" i="140"/>
  <c r="L28" i="140"/>
  <c r="K28" i="140"/>
  <c r="J28" i="140"/>
  <c r="I28" i="140"/>
  <c r="H28" i="140"/>
  <c r="G28" i="140"/>
  <c r="F28" i="140"/>
  <c r="E28" i="140"/>
  <c r="D28" i="140"/>
  <c r="Z31" i="140"/>
  <c r="Y31" i="140"/>
  <c r="X31" i="140"/>
  <c r="W31" i="140"/>
  <c r="V31" i="140"/>
  <c r="U31" i="140"/>
  <c r="T31" i="140"/>
  <c r="S31" i="140"/>
  <c r="R31" i="140"/>
  <c r="Q31" i="140"/>
  <c r="P31" i="140"/>
  <c r="AA31" i="140"/>
  <c r="U7" i="57" l="1"/>
  <c r="T7" i="57"/>
  <c r="BI17" i="34"/>
  <c r="X12" i="57"/>
  <c r="BG17" i="34"/>
  <c r="U6" i="57"/>
  <c r="U12" i="57" s="1"/>
  <c r="F12" i="34"/>
  <c r="F11" i="34"/>
  <c r="F17" i="34" s="1"/>
  <c r="J12" i="34"/>
  <c r="J11" i="34"/>
  <c r="N12" i="34"/>
  <c r="N11" i="34"/>
  <c r="R12" i="34"/>
  <c r="R11" i="34"/>
  <c r="V12" i="34"/>
  <c r="V11" i="34"/>
  <c r="Z12" i="34"/>
  <c r="Z11" i="34"/>
  <c r="BH17" i="34"/>
  <c r="BL17" i="34"/>
  <c r="BB17" i="34"/>
  <c r="V7" i="57"/>
  <c r="I10" i="58"/>
  <c r="BA17" i="34"/>
  <c r="S6" i="57"/>
  <c r="U10" i="58"/>
  <c r="W7" i="57"/>
  <c r="Y6" i="57"/>
  <c r="H12" i="34"/>
  <c r="H11" i="34"/>
  <c r="L12" i="34"/>
  <c r="L11" i="34"/>
  <c r="P11" i="34"/>
  <c r="P12" i="34"/>
  <c r="T12" i="34"/>
  <c r="T11" i="34"/>
  <c r="X12" i="34"/>
  <c r="X11" i="34"/>
  <c r="AB11" i="34"/>
  <c r="AB12" i="34"/>
  <c r="E11" i="34"/>
  <c r="E12" i="34"/>
  <c r="I11" i="34"/>
  <c r="I12" i="34"/>
  <c r="M11" i="34"/>
  <c r="M12" i="34"/>
  <c r="Q11" i="34"/>
  <c r="Q12" i="34"/>
  <c r="U11" i="34"/>
  <c r="U12" i="34"/>
  <c r="Y11" i="34"/>
  <c r="Y12" i="34"/>
  <c r="V6" i="57"/>
  <c r="BJ17" i="34"/>
  <c r="S7" i="57"/>
  <c r="U11" i="58"/>
  <c r="I11" i="58"/>
  <c r="BE17" i="34"/>
  <c r="G11" i="34"/>
  <c r="G12" i="34"/>
  <c r="K12" i="34"/>
  <c r="K11" i="34"/>
  <c r="O11" i="34"/>
  <c r="O12" i="34"/>
  <c r="S12" i="34"/>
  <c r="S11" i="34"/>
  <c r="W12" i="34"/>
  <c r="W11" i="34"/>
  <c r="AA11" i="34"/>
  <c r="AA12" i="34"/>
  <c r="T6" i="57"/>
  <c r="T12" i="57" s="1"/>
  <c r="BD17" i="34"/>
  <c r="Z6" i="57"/>
  <c r="Z12" i="57" s="1"/>
  <c r="W6" i="57"/>
  <c r="BF17" i="34"/>
  <c r="BK17" i="34"/>
  <c r="Y7" i="57"/>
  <c r="AV24" i="141"/>
  <c r="AI23" i="141"/>
  <c r="AJ23" i="141" s="1"/>
  <c r="AI34" i="141"/>
  <c r="AG30" i="141"/>
  <c r="AH38" i="141"/>
  <c r="AK25" i="141"/>
  <c r="AL22" i="141"/>
  <c r="AH39" i="141"/>
  <c r="AK21" i="141"/>
  <c r="AI37" i="141"/>
  <c r="AI7" i="141"/>
  <c r="AJ36" i="141"/>
  <c r="AJ33" i="141"/>
  <c r="AJ35" i="141"/>
  <c r="AI32" i="141"/>
  <c r="AP31" i="141"/>
  <c r="P54" i="140"/>
  <c r="G54" i="140"/>
  <c r="G56" i="140" s="1"/>
  <c r="K54" i="140"/>
  <c r="K56" i="140" s="1"/>
  <c r="O54" i="140"/>
  <c r="O56" i="140" s="1"/>
  <c r="S54" i="140"/>
  <c r="S56" i="140" s="1"/>
  <c r="W54" i="140"/>
  <c r="AA54" i="140"/>
  <c r="AA56" i="140" s="1"/>
  <c r="L54" i="140"/>
  <c r="L56" i="140" s="1"/>
  <c r="X54" i="140"/>
  <c r="E54" i="140"/>
  <c r="E56" i="140" s="1"/>
  <c r="I54" i="140"/>
  <c r="I56" i="140" s="1"/>
  <c r="M54" i="140"/>
  <c r="M56" i="140" s="1"/>
  <c r="Q54" i="140"/>
  <c r="U54" i="140"/>
  <c r="Y54" i="140"/>
  <c r="D54" i="140"/>
  <c r="D56" i="140" s="1"/>
  <c r="H54" i="140"/>
  <c r="H56" i="140" s="1"/>
  <c r="T54" i="140"/>
  <c r="F54" i="140"/>
  <c r="F56" i="140" s="1"/>
  <c r="J54" i="140"/>
  <c r="J56" i="140" s="1"/>
  <c r="N54" i="140"/>
  <c r="N56" i="140" s="1"/>
  <c r="R54" i="140"/>
  <c r="R56" i="140" s="1"/>
  <c r="V54" i="140"/>
  <c r="Z54" i="140"/>
  <c r="Z56" i="140" s="1"/>
  <c r="F3" i="126"/>
  <c r="G3" i="126"/>
  <c r="H3" i="126"/>
  <c r="I3" i="126"/>
  <c r="J3" i="126"/>
  <c r="K3" i="126"/>
  <c r="L3" i="126"/>
  <c r="M3" i="126"/>
  <c r="N3" i="126"/>
  <c r="O3" i="126"/>
  <c r="P3" i="126"/>
  <c r="Q3" i="126"/>
  <c r="R3" i="126"/>
  <c r="S3" i="126"/>
  <c r="T3" i="126"/>
  <c r="U3" i="126"/>
  <c r="V3" i="126"/>
  <c r="W3" i="126"/>
  <c r="X3" i="126"/>
  <c r="Y3" i="126"/>
  <c r="Z3" i="126"/>
  <c r="AA3" i="126"/>
  <c r="AB3" i="126"/>
  <c r="AC3" i="126"/>
  <c r="AD3" i="126"/>
  <c r="AE3" i="126"/>
  <c r="AF3" i="126"/>
  <c r="AG3" i="126"/>
  <c r="AH3" i="126"/>
  <c r="AI3" i="126"/>
  <c r="AJ3" i="126"/>
  <c r="AK3" i="126"/>
  <c r="AL3" i="126"/>
  <c r="AM3" i="126"/>
  <c r="AN3" i="126"/>
  <c r="AO3" i="126"/>
  <c r="AP3" i="126"/>
  <c r="AQ3" i="126"/>
  <c r="AR3" i="126"/>
  <c r="AS3" i="126"/>
  <c r="AT3" i="126"/>
  <c r="AU3" i="126"/>
  <c r="AV3" i="126"/>
  <c r="AW3" i="126"/>
  <c r="AX3" i="126"/>
  <c r="AY3" i="126"/>
  <c r="AZ3" i="126"/>
  <c r="BA3" i="126"/>
  <c r="BB3" i="126"/>
  <c r="BC3" i="126"/>
  <c r="BD3" i="126"/>
  <c r="BE3" i="126"/>
  <c r="BF3" i="126"/>
  <c r="BG3" i="126"/>
  <c r="BH3" i="126"/>
  <c r="BI3" i="126"/>
  <c r="BJ3" i="126"/>
  <c r="BK3" i="126"/>
  <c r="BL3" i="126"/>
  <c r="E3" i="126"/>
  <c r="D8" i="135"/>
  <c r="E8" i="135"/>
  <c r="F8" i="135"/>
  <c r="G8" i="135"/>
  <c r="H8" i="135"/>
  <c r="I8" i="135"/>
  <c r="J8" i="135"/>
  <c r="K8" i="135"/>
  <c r="L8" i="135"/>
  <c r="M8" i="135"/>
  <c r="N8" i="135"/>
  <c r="O8" i="135"/>
  <c r="P8" i="135"/>
  <c r="Q8" i="135"/>
  <c r="R8" i="135"/>
  <c r="S8" i="135"/>
  <c r="T8" i="135"/>
  <c r="U8" i="135"/>
  <c r="V8" i="135"/>
  <c r="W8" i="135"/>
  <c r="X8" i="135"/>
  <c r="Y8" i="135"/>
  <c r="Z8" i="135"/>
  <c r="AA8" i="135"/>
  <c r="AB8" i="135"/>
  <c r="AC8" i="135"/>
  <c r="AD8" i="135"/>
  <c r="AE8" i="135"/>
  <c r="AF8" i="135"/>
  <c r="AG8" i="135"/>
  <c r="AH8" i="135"/>
  <c r="AI8" i="135"/>
  <c r="AJ8" i="135"/>
  <c r="AK8" i="135"/>
  <c r="AL8" i="135"/>
  <c r="AM8" i="135"/>
  <c r="AN8" i="135"/>
  <c r="AO8" i="135"/>
  <c r="AP8" i="135"/>
  <c r="AQ8" i="135"/>
  <c r="AR8" i="135"/>
  <c r="AS8" i="135"/>
  <c r="AT8" i="135"/>
  <c r="AU8" i="135"/>
  <c r="AV8" i="135"/>
  <c r="AW8" i="135"/>
  <c r="AX8" i="135"/>
  <c r="AY8" i="135"/>
  <c r="AZ8" i="135"/>
  <c r="BA8" i="135"/>
  <c r="BB8" i="135"/>
  <c r="BC8" i="135"/>
  <c r="BD8" i="135"/>
  <c r="BE8" i="135"/>
  <c r="BF8" i="135"/>
  <c r="BG8" i="135"/>
  <c r="BH8" i="135"/>
  <c r="BI8" i="135"/>
  <c r="BJ8" i="135"/>
  <c r="BK8" i="135"/>
  <c r="BL8" i="135"/>
  <c r="BM8" i="135"/>
  <c r="BN8" i="135"/>
  <c r="BO8" i="135"/>
  <c r="BP8" i="135"/>
  <c r="BQ8" i="135"/>
  <c r="BR8" i="135"/>
  <c r="BS8" i="135"/>
  <c r="BT8" i="135"/>
  <c r="BU8" i="135"/>
  <c r="BV8" i="135"/>
  <c r="D9" i="135"/>
  <c r="E9" i="135"/>
  <c r="F9" i="135"/>
  <c r="G9" i="135"/>
  <c r="H9" i="135"/>
  <c r="I9" i="135"/>
  <c r="J9" i="135"/>
  <c r="K9" i="135"/>
  <c r="L9" i="135"/>
  <c r="M9" i="135"/>
  <c r="N9" i="135"/>
  <c r="O9" i="135"/>
  <c r="P9" i="135"/>
  <c r="Q9" i="135"/>
  <c r="R9" i="135"/>
  <c r="S9" i="135"/>
  <c r="T9" i="135"/>
  <c r="U9" i="135"/>
  <c r="V9" i="135"/>
  <c r="W9" i="135"/>
  <c r="X9" i="135"/>
  <c r="Y9" i="135"/>
  <c r="Z9" i="135"/>
  <c r="AA9" i="135"/>
  <c r="AB9" i="135"/>
  <c r="AC9" i="135"/>
  <c r="AD9" i="135"/>
  <c r="AE9" i="135"/>
  <c r="AF9" i="135"/>
  <c r="AG9" i="135"/>
  <c r="AH9" i="135"/>
  <c r="AI9" i="135"/>
  <c r="AJ9" i="135"/>
  <c r="AK9" i="135"/>
  <c r="AL9" i="135"/>
  <c r="AM9" i="135"/>
  <c r="AN9" i="135"/>
  <c r="AO9" i="135"/>
  <c r="AP9" i="135"/>
  <c r="AQ9" i="135"/>
  <c r="AR9" i="135"/>
  <c r="AS9" i="135"/>
  <c r="AT9" i="135"/>
  <c r="AU9" i="135"/>
  <c r="AV9" i="135"/>
  <c r="AW9" i="135"/>
  <c r="AX9" i="135"/>
  <c r="AY9" i="135"/>
  <c r="AZ9" i="135"/>
  <c r="BA9" i="135"/>
  <c r="BB9" i="135"/>
  <c r="BC9" i="135"/>
  <c r="BD9" i="135"/>
  <c r="BE9" i="135"/>
  <c r="BF9" i="135"/>
  <c r="BG9" i="135"/>
  <c r="BH9" i="135"/>
  <c r="BI9" i="135"/>
  <c r="BJ9" i="135"/>
  <c r="BK9" i="135"/>
  <c r="BL9" i="135"/>
  <c r="BM9" i="135"/>
  <c r="BN9" i="135"/>
  <c r="BO9" i="135"/>
  <c r="BP9" i="135"/>
  <c r="BQ9" i="135"/>
  <c r="BR9" i="135"/>
  <c r="BS9" i="135"/>
  <c r="BT9" i="135"/>
  <c r="BU9" i="135"/>
  <c r="BV9" i="135"/>
  <c r="C9" i="135"/>
  <c r="C8" i="135"/>
  <c r="C7" i="135"/>
  <c r="C7" i="136"/>
  <c r="C7" i="134"/>
  <c r="C7" i="133"/>
  <c r="C7" i="132"/>
  <c r="C7" i="131"/>
  <c r="D9" i="136"/>
  <c r="E9" i="136"/>
  <c r="F9" i="136"/>
  <c r="G9" i="136"/>
  <c r="H9" i="136"/>
  <c r="I9" i="136"/>
  <c r="J9" i="136"/>
  <c r="K9" i="136"/>
  <c r="L9" i="136"/>
  <c r="M9" i="136"/>
  <c r="N9" i="136"/>
  <c r="O9" i="136"/>
  <c r="P9" i="136"/>
  <c r="Q9" i="136"/>
  <c r="R9" i="136"/>
  <c r="S9" i="136"/>
  <c r="T9" i="136"/>
  <c r="U9" i="136"/>
  <c r="V9" i="136"/>
  <c r="W9" i="136"/>
  <c r="X9" i="136"/>
  <c r="Y9" i="136"/>
  <c r="Z9" i="136"/>
  <c r="AA9" i="136"/>
  <c r="AB9" i="136"/>
  <c r="AC9" i="136"/>
  <c r="AD9" i="136"/>
  <c r="AE9" i="136"/>
  <c r="AF9" i="136"/>
  <c r="AG9" i="136"/>
  <c r="AH9" i="136"/>
  <c r="AI9" i="136"/>
  <c r="AJ9" i="136"/>
  <c r="AK9" i="136"/>
  <c r="AL9" i="136"/>
  <c r="AM9" i="136"/>
  <c r="AN9" i="136"/>
  <c r="AO9" i="136"/>
  <c r="AP9" i="136"/>
  <c r="AQ9" i="136"/>
  <c r="AR9" i="136"/>
  <c r="AS9" i="136"/>
  <c r="AT9" i="136"/>
  <c r="AU9" i="136"/>
  <c r="AV9" i="136"/>
  <c r="AW9" i="136"/>
  <c r="AX9" i="136"/>
  <c r="AY9" i="136"/>
  <c r="AZ9" i="136"/>
  <c r="BA9" i="136"/>
  <c r="BB9" i="136"/>
  <c r="BC9" i="136"/>
  <c r="BD9" i="136"/>
  <c r="BE9" i="136"/>
  <c r="BF9" i="136"/>
  <c r="BG9" i="136"/>
  <c r="BH9" i="136"/>
  <c r="BI9" i="136"/>
  <c r="BJ9" i="136"/>
  <c r="BK9" i="136"/>
  <c r="BL9" i="136"/>
  <c r="BM9" i="136"/>
  <c r="BN9" i="136"/>
  <c r="BO9" i="136"/>
  <c r="BP9" i="136"/>
  <c r="BQ9" i="136"/>
  <c r="BR9" i="136"/>
  <c r="BS9" i="136"/>
  <c r="BT9" i="136"/>
  <c r="BU9" i="136"/>
  <c r="BV9" i="136"/>
  <c r="D8" i="136"/>
  <c r="E8" i="136"/>
  <c r="F8" i="136"/>
  <c r="G8" i="136"/>
  <c r="H8" i="136"/>
  <c r="I8" i="136"/>
  <c r="J8" i="136"/>
  <c r="K8" i="136"/>
  <c r="L8" i="136"/>
  <c r="M8" i="136"/>
  <c r="N8" i="136"/>
  <c r="O8" i="136"/>
  <c r="P8" i="136"/>
  <c r="Q8" i="136"/>
  <c r="R8" i="136"/>
  <c r="S8" i="136"/>
  <c r="T8" i="136"/>
  <c r="U8" i="136"/>
  <c r="V8" i="136"/>
  <c r="W8" i="136"/>
  <c r="X8" i="136"/>
  <c r="Y8" i="136"/>
  <c r="Z8" i="136"/>
  <c r="AA8" i="136"/>
  <c r="AB8" i="136"/>
  <c r="AC8" i="136"/>
  <c r="AD8" i="136"/>
  <c r="AE8" i="136"/>
  <c r="AF8" i="136"/>
  <c r="AG8" i="136"/>
  <c r="AH8" i="136"/>
  <c r="AI8" i="136"/>
  <c r="AJ8" i="136"/>
  <c r="AK8" i="136"/>
  <c r="AL8" i="136"/>
  <c r="AM8" i="136"/>
  <c r="AN8" i="136"/>
  <c r="AO8" i="136"/>
  <c r="AP8" i="136"/>
  <c r="AQ8" i="136"/>
  <c r="AR8" i="136"/>
  <c r="AS8" i="136"/>
  <c r="AT8" i="136"/>
  <c r="AU8" i="136"/>
  <c r="AV8" i="136"/>
  <c r="AW8" i="136"/>
  <c r="AX8" i="136"/>
  <c r="AY8" i="136"/>
  <c r="AZ8" i="136"/>
  <c r="BA8" i="136"/>
  <c r="BB8" i="136"/>
  <c r="BC8" i="136"/>
  <c r="BD8" i="136"/>
  <c r="BE8" i="136"/>
  <c r="BF8" i="136"/>
  <c r="BG8" i="136"/>
  <c r="BH8" i="136"/>
  <c r="BI8" i="136"/>
  <c r="BJ8" i="136"/>
  <c r="BK8" i="136"/>
  <c r="BL8" i="136"/>
  <c r="BM8" i="136"/>
  <c r="BN8" i="136"/>
  <c r="BO8" i="136"/>
  <c r="BP8" i="136"/>
  <c r="BQ8" i="136"/>
  <c r="BR8" i="136"/>
  <c r="BS8" i="136"/>
  <c r="BT8" i="136"/>
  <c r="BU8" i="136"/>
  <c r="BV8" i="136"/>
  <c r="C9" i="136"/>
  <c r="C8" i="136"/>
  <c r="D9" i="134"/>
  <c r="E9" i="134"/>
  <c r="F9" i="134"/>
  <c r="G9" i="134"/>
  <c r="H9" i="134"/>
  <c r="I9" i="134"/>
  <c r="J9" i="134"/>
  <c r="K9" i="134"/>
  <c r="L9" i="134"/>
  <c r="M9" i="134"/>
  <c r="N9" i="134"/>
  <c r="O9" i="134"/>
  <c r="P9" i="134"/>
  <c r="Q9" i="134"/>
  <c r="R9" i="134"/>
  <c r="S9" i="134"/>
  <c r="T9" i="134"/>
  <c r="U9" i="134"/>
  <c r="V9" i="134"/>
  <c r="W9" i="134"/>
  <c r="X9" i="134"/>
  <c r="Y9" i="134"/>
  <c r="Z9" i="134"/>
  <c r="AA9" i="134"/>
  <c r="AB9" i="134"/>
  <c r="AC9" i="134"/>
  <c r="AD9" i="134"/>
  <c r="AE9" i="134"/>
  <c r="AF9" i="134"/>
  <c r="AG9" i="134"/>
  <c r="AH9" i="134"/>
  <c r="AI9" i="134"/>
  <c r="AJ9" i="134"/>
  <c r="AK9" i="134"/>
  <c r="AL9" i="134"/>
  <c r="AM9" i="134"/>
  <c r="AN9" i="134"/>
  <c r="AO9" i="134"/>
  <c r="AP9" i="134"/>
  <c r="AQ9" i="134"/>
  <c r="AR9" i="134"/>
  <c r="AS9" i="134"/>
  <c r="AT9" i="134"/>
  <c r="AU9" i="134"/>
  <c r="AV9" i="134"/>
  <c r="AW9" i="134"/>
  <c r="AX9" i="134"/>
  <c r="AY9" i="134"/>
  <c r="AZ9" i="134"/>
  <c r="BA9" i="134"/>
  <c r="BB9" i="134"/>
  <c r="BC9" i="134"/>
  <c r="BD9" i="134"/>
  <c r="BE9" i="134"/>
  <c r="BF9" i="134"/>
  <c r="BG9" i="134"/>
  <c r="BH9" i="134"/>
  <c r="BI9" i="134"/>
  <c r="BJ9" i="134"/>
  <c r="BK9" i="134"/>
  <c r="BL9" i="134"/>
  <c r="BM9" i="134"/>
  <c r="BN9" i="134"/>
  <c r="BO9" i="134"/>
  <c r="BP9" i="134"/>
  <c r="BQ9" i="134"/>
  <c r="BR9" i="134"/>
  <c r="BS9" i="134"/>
  <c r="BT9" i="134"/>
  <c r="BU9" i="134"/>
  <c r="BV9" i="134"/>
  <c r="C9" i="134"/>
  <c r="D8" i="134"/>
  <c r="E8" i="134"/>
  <c r="F8" i="134"/>
  <c r="G8" i="134"/>
  <c r="H8" i="134"/>
  <c r="I8" i="134"/>
  <c r="J8" i="134"/>
  <c r="K8" i="134"/>
  <c r="L8" i="134"/>
  <c r="M8" i="134"/>
  <c r="N8" i="134"/>
  <c r="O8" i="134"/>
  <c r="P8" i="134"/>
  <c r="Q8" i="134"/>
  <c r="R8" i="134"/>
  <c r="S8" i="134"/>
  <c r="T8" i="134"/>
  <c r="U8" i="134"/>
  <c r="V8" i="134"/>
  <c r="W8" i="134"/>
  <c r="X8" i="134"/>
  <c r="Y8" i="134"/>
  <c r="Z8" i="134"/>
  <c r="AA8" i="134"/>
  <c r="AB8" i="134"/>
  <c r="AC8" i="134"/>
  <c r="AD8" i="134"/>
  <c r="AE8" i="134"/>
  <c r="AF8" i="134"/>
  <c r="AG8" i="134"/>
  <c r="AH8" i="134"/>
  <c r="AI8" i="134"/>
  <c r="AJ8" i="134"/>
  <c r="AK8" i="134"/>
  <c r="AL8" i="134"/>
  <c r="AM8" i="134"/>
  <c r="AN8" i="134"/>
  <c r="AO8" i="134"/>
  <c r="AP8" i="134"/>
  <c r="AQ8" i="134"/>
  <c r="AR8" i="134"/>
  <c r="AS8" i="134"/>
  <c r="AT8" i="134"/>
  <c r="AU8" i="134"/>
  <c r="AV8" i="134"/>
  <c r="AW8" i="134"/>
  <c r="AX8" i="134"/>
  <c r="AY8" i="134"/>
  <c r="AZ8" i="134"/>
  <c r="BA8" i="134"/>
  <c r="BB8" i="134"/>
  <c r="BC8" i="134"/>
  <c r="BD8" i="134"/>
  <c r="BE8" i="134"/>
  <c r="BF8" i="134"/>
  <c r="BG8" i="134"/>
  <c r="BH8" i="134"/>
  <c r="BI8" i="134"/>
  <c r="BJ8" i="134"/>
  <c r="BK8" i="134"/>
  <c r="BL8" i="134"/>
  <c r="BM8" i="134"/>
  <c r="BN8" i="134"/>
  <c r="BO8" i="134"/>
  <c r="BP8" i="134"/>
  <c r="BQ8" i="134"/>
  <c r="BR8" i="134"/>
  <c r="BS8" i="134"/>
  <c r="BT8" i="134"/>
  <c r="BU8" i="134"/>
  <c r="BV8" i="134"/>
  <c r="C8" i="134"/>
  <c r="D9" i="133"/>
  <c r="E9" i="133"/>
  <c r="F9" i="133"/>
  <c r="G9" i="133"/>
  <c r="H9" i="133"/>
  <c r="I9" i="133"/>
  <c r="J9" i="133"/>
  <c r="K9" i="133"/>
  <c r="L9" i="133"/>
  <c r="M9" i="133"/>
  <c r="N9" i="133"/>
  <c r="O9" i="133"/>
  <c r="P9" i="133"/>
  <c r="Q9" i="133"/>
  <c r="R9" i="133"/>
  <c r="S9" i="133"/>
  <c r="T9" i="133"/>
  <c r="U9" i="133"/>
  <c r="V9" i="133"/>
  <c r="W9" i="133"/>
  <c r="X9" i="133"/>
  <c r="Y9" i="133"/>
  <c r="Z9" i="133"/>
  <c r="AA9" i="133"/>
  <c r="AB9" i="133"/>
  <c r="AC9" i="133"/>
  <c r="AD9" i="133"/>
  <c r="AE9" i="133"/>
  <c r="AF9" i="133"/>
  <c r="AG9" i="133"/>
  <c r="AH9" i="133"/>
  <c r="AI9" i="133"/>
  <c r="AJ9" i="133"/>
  <c r="AK9" i="133"/>
  <c r="AL9" i="133"/>
  <c r="AM9" i="133"/>
  <c r="AN9" i="133"/>
  <c r="AO9" i="133"/>
  <c r="AP9" i="133"/>
  <c r="AQ9" i="133"/>
  <c r="AR9" i="133"/>
  <c r="AS9" i="133"/>
  <c r="AT9" i="133"/>
  <c r="AU9" i="133"/>
  <c r="AV9" i="133"/>
  <c r="AW9" i="133"/>
  <c r="AX9" i="133"/>
  <c r="AY9" i="133"/>
  <c r="AZ9" i="133"/>
  <c r="BA9" i="133"/>
  <c r="BB9" i="133"/>
  <c r="BC9" i="133"/>
  <c r="BD9" i="133"/>
  <c r="BE9" i="133"/>
  <c r="BF9" i="133"/>
  <c r="BG9" i="133"/>
  <c r="BH9" i="133"/>
  <c r="BI9" i="133"/>
  <c r="BJ9" i="133"/>
  <c r="BK9" i="133"/>
  <c r="BL9" i="133"/>
  <c r="BM9" i="133"/>
  <c r="BN9" i="133"/>
  <c r="BO9" i="133"/>
  <c r="BP9" i="133"/>
  <c r="BQ9" i="133"/>
  <c r="BR9" i="133"/>
  <c r="BS9" i="133"/>
  <c r="BT9" i="133"/>
  <c r="BU9" i="133"/>
  <c r="BV9" i="133"/>
  <c r="C9" i="133"/>
  <c r="D8" i="133"/>
  <c r="E8" i="133"/>
  <c r="F8" i="133"/>
  <c r="G8" i="133"/>
  <c r="H8" i="133"/>
  <c r="I8" i="133"/>
  <c r="J8" i="133"/>
  <c r="K8" i="133"/>
  <c r="L8" i="133"/>
  <c r="M8" i="133"/>
  <c r="N8" i="133"/>
  <c r="O8" i="133"/>
  <c r="P8" i="133"/>
  <c r="Q8" i="133"/>
  <c r="R8" i="133"/>
  <c r="S8" i="133"/>
  <c r="T8" i="133"/>
  <c r="U8" i="133"/>
  <c r="V8" i="133"/>
  <c r="W8" i="133"/>
  <c r="X8" i="133"/>
  <c r="Y8" i="133"/>
  <c r="Z8" i="133"/>
  <c r="AA8" i="133"/>
  <c r="AB8" i="133"/>
  <c r="AB20" i="133" s="1"/>
  <c r="AC8" i="133"/>
  <c r="AC20" i="133" s="1"/>
  <c r="AD8" i="133"/>
  <c r="AD20" i="133" s="1"/>
  <c r="AE8" i="133"/>
  <c r="AE20" i="133" s="1"/>
  <c r="AF8" i="133"/>
  <c r="AF20" i="133" s="1"/>
  <c r="AG8" i="133"/>
  <c r="AG20" i="133" s="1"/>
  <c r="AH8" i="133"/>
  <c r="AH20" i="133" s="1"/>
  <c r="AI8" i="133"/>
  <c r="AI20" i="133" s="1"/>
  <c r="AJ8" i="133"/>
  <c r="AJ20" i="133" s="1"/>
  <c r="AK8" i="133"/>
  <c r="AK20" i="133" s="1"/>
  <c r="AL8" i="133"/>
  <c r="AL20" i="133" s="1"/>
  <c r="AM8" i="133"/>
  <c r="AM20" i="133" s="1"/>
  <c r="AN8" i="133"/>
  <c r="AN20" i="133" s="1"/>
  <c r="AO8" i="133"/>
  <c r="AO20" i="133" s="1"/>
  <c r="AP8" i="133"/>
  <c r="AP20" i="133" s="1"/>
  <c r="AQ8" i="133"/>
  <c r="AQ20" i="133" s="1"/>
  <c r="AR8" i="133"/>
  <c r="AR20" i="133" s="1"/>
  <c r="AS8" i="133"/>
  <c r="AS20" i="133" s="1"/>
  <c r="AT8" i="133"/>
  <c r="AT20" i="133" s="1"/>
  <c r="AU8" i="133"/>
  <c r="AU20" i="133" s="1"/>
  <c r="AV8" i="133"/>
  <c r="AV20" i="133" s="1"/>
  <c r="AW8" i="133"/>
  <c r="AW20" i="133" s="1"/>
  <c r="AX8" i="133"/>
  <c r="AX20" i="133" s="1"/>
  <c r="AY8" i="133"/>
  <c r="AY20" i="133" s="1"/>
  <c r="AZ8" i="133"/>
  <c r="AZ20" i="133" s="1"/>
  <c r="BA8" i="133"/>
  <c r="BA20" i="133" s="1"/>
  <c r="BB8" i="133"/>
  <c r="BB20" i="133" s="1"/>
  <c r="BC8" i="133"/>
  <c r="BC20" i="133" s="1"/>
  <c r="BD8" i="133"/>
  <c r="BD20" i="133" s="1"/>
  <c r="BE8" i="133"/>
  <c r="BE20" i="133" s="1"/>
  <c r="BF8" i="133"/>
  <c r="BF20" i="133" s="1"/>
  <c r="BG8" i="133"/>
  <c r="BG20" i="133" s="1"/>
  <c r="BH8" i="133"/>
  <c r="BH20" i="133" s="1"/>
  <c r="BI8" i="133"/>
  <c r="BI20" i="133" s="1"/>
  <c r="BJ8" i="133"/>
  <c r="BJ20" i="133" s="1"/>
  <c r="BK8" i="133"/>
  <c r="BK20" i="133" s="1"/>
  <c r="BL8" i="133"/>
  <c r="BL20" i="133" s="1"/>
  <c r="BM8" i="133"/>
  <c r="BM20" i="133" s="1"/>
  <c r="BN8" i="133"/>
  <c r="BN20" i="133" s="1"/>
  <c r="BO8" i="133"/>
  <c r="BO20" i="133" s="1"/>
  <c r="BP8" i="133"/>
  <c r="BP20" i="133" s="1"/>
  <c r="BQ8" i="133"/>
  <c r="BQ20" i="133" s="1"/>
  <c r="BR8" i="133"/>
  <c r="BR20" i="133" s="1"/>
  <c r="BS8" i="133"/>
  <c r="BS20" i="133" s="1"/>
  <c r="BT8" i="133"/>
  <c r="BT20" i="133" s="1"/>
  <c r="BU8" i="133"/>
  <c r="BU20" i="133" s="1"/>
  <c r="BV8" i="133"/>
  <c r="BV20" i="133" s="1"/>
  <c r="C8" i="133"/>
  <c r="AA9" i="132"/>
  <c r="AB9" i="132"/>
  <c r="AC9" i="132"/>
  <c r="AD9" i="132"/>
  <c r="AE9" i="132"/>
  <c r="AF9" i="132"/>
  <c r="AG9" i="132"/>
  <c r="AH9" i="132"/>
  <c r="AI9" i="132"/>
  <c r="AJ9" i="132"/>
  <c r="AK9" i="132"/>
  <c r="AL9" i="132"/>
  <c r="AM9" i="132"/>
  <c r="AN9" i="132"/>
  <c r="AO9" i="132"/>
  <c r="AP9" i="132"/>
  <c r="AQ9" i="132"/>
  <c r="AR9" i="132"/>
  <c r="AS9" i="132"/>
  <c r="AT9" i="132"/>
  <c r="AU9" i="132"/>
  <c r="AV9" i="132"/>
  <c r="AW9" i="132"/>
  <c r="AX9" i="132"/>
  <c r="AY9" i="132"/>
  <c r="AZ9" i="132"/>
  <c r="BA9" i="132"/>
  <c r="BB9" i="132"/>
  <c r="BC9" i="132"/>
  <c r="BD9" i="132"/>
  <c r="BE9" i="132"/>
  <c r="BF9" i="132"/>
  <c r="BG9" i="132"/>
  <c r="BH9" i="132"/>
  <c r="BI9" i="132"/>
  <c r="BJ9" i="132"/>
  <c r="BK9" i="132"/>
  <c r="BL9" i="132"/>
  <c r="BM9" i="132"/>
  <c r="BN9" i="132"/>
  <c r="BO9" i="132"/>
  <c r="BP9" i="132"/>
  <c r="BQ9" i="132"/>
  <c r="BR9" i="132"/>
  <c r="BS9" i="132"/>
  <c r="BT9" i="132"/>
  <c r="BU9" i="132"/>
  <c r="BV9" i="132"/>
  <c r="C9" i="132"/>
  <c r="D9" i="132"/>
  <c r="E9" i="132"/>
  <c r="F9" i="132"/>
  <c r="G9" i="132"/>
  <c r="H9" i="132"/>
  <c r="I9" i="132"/>
  <c r="J9" i="132"/>
  <c r="K9" i="132"/>
  <c r="L9" i="132"/>
  <c r="M9" i="132"/>
  <c r="N9" i="132"/>
  <c r="O9" i="132"/>
  <c r="P9" i="132"/>
  <c r="Q9" i="132"/>
  <c r="R9" i="132"/>
  <c r="S9" i="132"/>
  <c r="T9" i="132"/>
  <c r="U9" i="132"/>
  <c r="V9" i="132"/>
  <c r="W9" i="132"/>
  <c r="X9" i="132"/>
  <c r="Y9" i="132"/>
  <c r="Z9" i="132"/>
  <c r="C8" i="132"/>
  <c r="D8" i="132"/>
  <c r="E8" i="132"/>
  <c r="F8" i="132"/>
  <c r="G8" i="132"/>
  <c r="H8" i="132"/>
  <c r="I8" i="132"/>
  <c r="J8" i="132"/>
  <c r="K8" i="132"/>
  <c r="L8" i="132"/>
  <c r="M8" i="132"/>
  <c r="N8" i="132"/>
  <c r="O8" i="132"/>
  <c r="P8" i="132"/>
  <c r="Q8" i="132"/>
  <c r="R8" i="132"/>
  <c r="S8" i="132"/>
  <c r="T8" i="132"/>
  <c r="U8" i="132"/>
  <c r="V8" i="132"/>
  <c r="W8" i="132"/>
  <c r="X8" i="132"/>
  <c r="Y8" i="132"/>
  <c r="AA8" i="132"/>
  <c r="AB8" i="132"/>
  <c r="AC8" i="132"/>
  <c r="AD8" i="132"/>
  <c r="AE8" i="132"/>
  <c r="AF8" i="132"/>
  <c r="AG8" i="132"/>
  <c r="AH8" i="132"/>
  <c r="AI8" i="132"/>
  <c r="AJ8" i="132"/>
  <c r="AK8" i="132"/>
  <c r="AL8" i="132"/>
  <c r="AM8" i="132"/>
  <c r="AN8" i="132"/>
  <c r="AO8" i="132"/>
  <c r="AP8" i="132"/>
  <c r="AQ8" i="132"/>
  <c r="AR8" i="132"/>
  <c r="AS8" i="132"/>
  <c r="AT8" i="132"/>
  <c r="AU8" i="132"/>
  <c r="AV8" i="132"/>
  <c r="AW8" i="132"/>
  <c r="AX8" i="132"/>
  <c r="AY8" i="132"/>
  <c r="AZ8" i="132"/>
  <c r="BA8" i="132"/>
  <c r="BB8" i="132"/>
  <c r="BC8" i="132"/>
  <c r="BD8" i="132"/>
  <c r="BE8" i="132"/>
  <c r="BF8" i="132"/>
  <c r="BG8" i="132"/>
  <c r="BH8" i="132"/>
  <c r="BI8" i="132"/>
  <c r="BJ8" i="132"/>
  <c r="BK8" i="132"/>
  <c r="BL8" i="132"/>
  <c r="BM8" i="132"/>
  <c r="BN8" i="132"/>
  <c r="BO8" i="132"/>
  <c r="BP8" i="132"/>
  <c r="BQ8" i="132"/>
  <c r="BR8" i="132"/>
  <c r="BS8" i="132"/>
  <c r="BT8" i="132"/>
  <c r="BU8" i="132"/>
  <c r="BV8" i="132"/>
  <c r="Z8" i="132"/>
  <c r="N8" i="131"/>
  <c r="O8" i="131"/>
  <c r="P8" i="131"/>
  <c r="Q8" i="131"/>
  <c r="R8" i="131"/>
  <c r="S8" i="131"/>
  <c r="T8" i="131"/>
  <c r="U8" i="131"/>
  <c r="V8" i="131"/>
  <c r="W8" i="131"/>
  <c r="X8" i="131"/>
  <c r="Y8" i="131"/>
  <c r="Z8" i="131"/>
  <c r="AA8" i="131"/>
  <c r="AB8" i="131"/>
  <c r="AC8" i="131"/>
  <c r="AD8" i="131"/>
  <c r="AE8" i="131"/>
  <c r="AF8" i="131"/>
  <c r="AG8" i="131"/>
  <c r="AH8" i="131"/>
  <c r="AI8" i="131"/>
  <c r="AJ8" i="131"/>
  <c r="AK8" i="131"/>
  <c r="AL8" i="131"/>
  <c r="AM8" i="131"/>
  <c r="AN8" i="131"/>
  <c r="AO8" i="131"/>
  <c r="AP8" i="131"/>
  <c r="AQ8" i="131"/>
  <c r="AR8" i="131"/>
  <c r="AS8" i="131"/>
  <c r="AT8" i="131"/>
  <c r="AU8" i="131"/>
  <c r="AV8" i="131"/>
  <c r="AW8" i="131"/>
  <c r="AX8" i="131"/>
  <c r="AY8" i="131"/>
  <c r="AZ8" i="131"/>
  <c r="BA8" i="131"/>
  <c r="BB8" i="131"/>
  <c r="BC8" i="131"/>
  <c r="BD8" i="131"/>
  <c r="BE8" i="131"/>
  <c r="BF8" i="131"/>
  <c r="BG8" i="131"/>
  <c r="BH8" i="131"/>
  <c r="BI8" i="131"/>
  <c r="BJ8" i="131"/>
  <c r="BK8" i="131"/>
  <c r="BL8" i="131"/>
  <c r="BM8" i="131"/>
  <c r="BN8" i="131"/>
  <c r="BO8" i="131"/>
  <c r="BP8" i="131"/>
  <c r="BQ8" i="131"/>
  <c r="BR8" i="131"/>
  <c r="BS8" i="131"/>
  <c r="BT8" i="131"/>
  <c r="BU8" i="131"/>
  <c r="BV8" i="131"/>
  <c r="N9" i="131"/>
  <c r="O9" i="131"/>
  <c r="P9" i="131"/>
  <c r="Q9" i="131"/>
  <c r="R9" i="131"/>
  <c r="S9" i="131"/>
  <c r="T9" i="131"/>
  <c r="U9" i="131"/>
  <c r="V9" i="131"/>
  <c r="W9" i="131"/>
  <c r="X9" i="131"/>
  <c r="Y9" i="131"/>
  <c r="Z9" i="131"/>
  <c r="AA9" i="131"/>
  <c r="AB9" i="131"/>
  <c r="AC9" i="131"/>
  <c r="AD9" i="131"/>
  <c r="AE9" i="131"/>
  <c r="AF9" i="131"/>
  <c r="AG9" i="131"/>
  <c r="AH9" i="131"/>
  <c r="AI9" i="131"/>
  <c r="AJ9" i="131"/>
  <c r="AK9" i="131"/>
  <c r="AL9" i="131"/>
  <c r="AM9" i="131"/>
  <c r="AN9" i="131"/>
  <c r="AO9" i="131"/>
  <c r="AP9" i="131"/>
  <c r="AQ9" i="131"/>
  <c r="AR9" i="131"/>
  <c r="AS9" i="131"/>
  <c r="AT9" i="131"/>
  <c r="AU9" i="131"/>
  <c r="AV9" i="131"/>
  <c r="AW9" i="131"/>
  <c r="AX9" i="131"/>
  <c r="AY9" i="131"/>
  <c r="AZ9" i="131"/>
  <c r="BA9" i="131"/>
  <c r="BB9" i="131"/>
  <c r="BC9" i="131"/>
  <c r="BD9" i="131"/>
  <c r="BE9" i="131"/>
  <c r="BF9" i="131"/>
  <c r="BG9" i="131"/>
  <c r="BH9" i="131"/>
  <c r="BI9" i="131"/>
  <c r="BJ9" i="131"/>
  <c r="BK9" i="131"/>
  <c r="BL9" i="131"/>
  <c r="BM9" i="131"/>
  <c r="BN9" i="131"/>
  <c r="BO9" i="131"/>
  <c r="BP9" i="131"/>
  <c r="BQ9" i="131"/>
  <c r="BR9" i="131"/>
  <c r="BS9" i="131"/>
  <c r="BT9" i="131"/>
  <c r="BU9" i="131"/>
  <c r="BV9" i="131"/>
  <c r="D9" i="131"/>
  <c r="E9" i="131"/>
  <c r="F9" i="131"/>
  <c r="G9" i="131"/>
  <c r="H9" i="131"/>
  <c r="I9" i="131"/>
  <c r="J9" i="131"/>
  <c r="K9" i="131"/>
  <c r="L9" i="131"/>
  <c r="M9" i="131"/>
  <c r="C9" i="131"/>
  <c r="D8" i="131"/>
  <c r="E8" i="131"/>
  <c r="F8" i="131"/>
  <c r="G8" i="131"/>
  <c r="H8" i="131"/>
  <c r="I8" i="131"/>
  <c r="J8" i="131"/>
  <c r="K8" i="131"/>
  <c r="L8" i="131"/>
  <c r="M8" i="131"/>
  <c r="C8" i="131"/>
  <c r="AA15" i="135"/>
  <c r="AB15" i="135"/>
  <c r="AC15" i="135"/>
  <c r="AD15" i="135"/>
  <c r="AE15" i="135"/>
  <c r="AF15" i="135"/>
  <c r="AG15" i="135"/>
  <c r="AH15" i="135"/>
  <c r="AI15" i="135"/>
  <c r="AJ15" i="135"/>
  <c r="AK15" i="135"/>
  <c r="AL15" i="135"/>
  <c r="AM15" i="135"/>
  <c r="AN15" i="135"/>
  <c r="AO15" i="135"/>
  <c r="AP15" i="135"/>
  <c r="AQ15" i="135"/>
  <c r="AR15" i="135"/>
  <c r="AS15" i="135"/>
  <c r="AT15" i="135"/>
  <c r="AU15" i="135"/>
  <c r="AV15" i="135"/>
  <c r="AW15" i="135"/>
  <c r="AY15" i="135"/>
  <c r="AZ15" i="135"/>
  <c r="BA15" i="135"/>
  <c r="BB15" i="135"/>
  <c r="BC15" i="135"/>
  <c r="BD15" i="135"/>
  <c r="BE15" i="135"/>
  <c r="BF15" i="135"/>
  <c r="BG15" i="135"/>
  <c r="BH15" i="135"/>
  <c r="BI15" i="135"/>
  <c r="BK15" i="135"/>
  <c r="BL15" i="135"/>
  <c r="BM15" i="135"/>
  <c r="BN15" i="135"/>
  <c r="BO15" i="135"/>
  <c r="BP15" i="135"/>
  <c r="BQ15" i="135"/>
  <c r="BR15" i="135"/>
  <c r="BS15" i="135"/>
  <c r="BT15" i="135"/>
  <c r="BU15" i="135"/>
  <c r="AA16" i="135"/>
  <c r="AB16" i="135"/>
  <c r="AC16" i="135"/>
  <c r="AD16" i="135"/>
  <c r="AE16" i="135"/>
  <c r="AF16" i="135"/>
  <c r="AG16" i="135"/>
  <c r="AH16" i="135"/>
  <c r="AI16" i="135"/>
  <c r="AJ16" i="135"/>
  <c r="AK16" i="135"/>
  <c r="AM16" i="135"/>
  <c r="AN16" i="135"/>
  <c r="AO16" i="135"/>
  <c r="AP16" i="135"/>
  <c r="AQ16" i="135"/>
  <c r="AR16" i="135"/>
  <c r="AS16" i="135"/>
  <c r="AT16" i="135"/>
  <c r="AU16" i="135"/>
  <c r="AV16" i="135"/>
  <c r="AW16" i="135"/>
  <c r="AY16" i="135"/>
  <c r="AZ16" i="135"/>
  <c r="BA16" i="135"/>
  <c r="BB16" i="135"/>
  <c r="BC16" i="135"/>
  <c r="BD16" i="135"/>
  <c r="BE16" i="135"/>
  <c r="BF16" i="135"/>
  <c r="BG16" i="135"/>
  <c r="BH16" i="135"/>
  <c r="BI16" i="135"/>
  <c r="BK16" i="135"/>
  <c r="BL16" i="135"/>
  <c r="BM16" i="135"/>
  <c r="BN16" i="135"/>
  <c r="BO16" i="135"/>
  <c r="BP16" i="135"/>
  <c r="BQ16" i="135"/>
  <c r="BR16" i="135"/>
  <c r="BS16" i="135"/>
  <c r="BT16" i="135"/>
  <c r="BU16" i="135"/>
  <c r="AA15" i="136"/>
  <c r="AB15" i="136"/>
  <c r="AC15" i="136"/>
  <c r="AD15" i="136"/>
  <c r="AE15" i="136"/>
  <c r="AF15" i="136"/>
  <c r="AG15" i="136"/>
  <c r="AH15" i="136"/>
  <c r="AI15" i="136"/>
  <c r="AJ15" i="136"/>
  <c r="AK15" i="136"/>
  <c r="AL15" i="136"/>
  <c r="AM15" i="136"/>
  <c r="AN15" i="136"/>
  <c r="AO15" i="136"/>
  <c r="AP15" i="136"/>
  <c r="AQ15" i="136"/>
  <c r="AR15" i="136"/>
  <c r="AS15" i="136"/>
  <c r="AT15" i="136"/>
  <c r="AU15" i="136"/>
  <c r="AV15" i="136"/>
  <c r="AW15" i="136"/>
  <c r="AY15" i="136"/>
  <c r="AZ15" i="136"/>
  <c r="BA15" i="136"/>
  <c r="BB15" i="136"/>
  <c r="BC15" i="136"/>
  <c r="BD15" i="136"/>
  <c r="BE15" i="136"/>
  <c r="BF15" i="136"/>
  <c r="BG15" i="136"/>
  <c r="BH15" i="136"/>
  <c r="BI15" i="136"/>
  <c r="BK15" i="136"/>
  <c r="BL15" i="136"/>
  <c r="BM15" i="136"/>
  <c r="BN15" i="136"/>
  <c r="BO15" i="136"/>
  <c r="BP15" i="136"/>
  <c r="BQ15" i="136"/>
  <c r="BR15" i="136"/>
  <c r="BS15" i="136"/>
  <c r="BT15" i="136"/>
  <c r="BU15" i="136"/>
  <c r="AA16" i="136"/>
  <c r="AB16" i="136"/>
  <c r="AC16" i="136"/>
  <c r="AD16" i="136"/>
  <c r="AE16" i="136"/>
  <c r="AF16" i="136"/>
  <c r="AG16" i="136"/>
  <c r="AH16" i="136"/>
  <c r="AI16" i="136"/>
  <c r="AJ16" i="136"/>
  <c r="AK16" i="136"/>
  <c r="AM16" i="136"/>
  <c r="AN16" i="136"/>
  <c r="AO16" i="136"/>
  <c r="AP16" i="136"/>
  <c r="AQ16" i="136"/>
  <c r="AR16" i="136"/>
  <c r="AS16" i="136"/>
  <c r="AT16" i="136"/>
  <c r="AU16" i="136"/>
  <c r="AV16" i="136"/>
  <c r="AW16" i="136"/>
  <c r="AY16" i="136"/>
  <c r="AZ16" i="136"/>
  <c r="BA16" i="136"/>
  <c r="BB16" i="136"/>
  <c r="BC16" i="136"/>
  <c r="BD16" i="136"/>
  <c r="BE16" i="136"/>
  <c r="BF16" i="136"/>
  <c r="BG16" i="136"/>
  <c r="BH16" i="136"/>
  <c r="BI16" i="136"/>
  <c r="BK16" i="136"/>
  <c r="BL16" i="136"/>
  <c r="BM16" i="136"/>
  <c r="BN16" i="136"/>
  <c r="BO16" i="136"/>
  <c r="BP16" i="136"/>
  <c r="BQ16" i="136"/>
  <c r="BR16" i="136"/>
  <c r="BS16" i="136"/>
  <c r="BT16" i="136"/>
  <c r="BU16" i="136"/>
  <c r="AA15" i="134"/>
  <c r="AB15" i="134"/>
  <c r="AC15" i="134"/>
  <c r="AD15" i="134"/>
  <c r="AE15" i="134"/>
  <c r="AF15" i="134"/>
  <c r="AG15" i="134"/>
  <c r="AH15" i="134"/>
  <c r="AI15" i="134"/>
  <c r="AJ15" i="134"/>
  <c r="AK15" i="134"/>
  <c r="AL15" i="134"/>
  <c r="AM15" i="134"/>
  <c r="AN15" i="134"/>
  <c r="AO15" i="134"/>
  <c r="AP15" i="134"/>
  <c r="AQ15" i="134"/>
  <c r="AR15" i="134"/>
  <c r="AS15" i="134"/>
  <c r="AT15" i="134"/>
  <c r="AU15" i="134"/>
  <c r="AV15" i="134"/>
  <c r="AW15" i="134"/>
  <c r="AY15" i="134"/>
  <c r="AZ15" i="134"/>
  <c r="BA15" i="134"/>
  <c r="BB15" i="134"/>
  <c r="BC15" i="134"/>
  <c r="BD15" i="134"/>
  <c r="BE15" i="134"/>
  <c r="BF15" i="134"/>
  <c r="BG15" i="134"/>
  <c r="BH15" i="134"/>
  <c r="BI15" i="134"/>
  <c r="BK15" i="134"/>
  <c r="BL15" i="134"/>
  <c r="BM15" i="134"/>
  <c r="BN15" i="134"/>
  <c r="BO15" i="134"/>
  <c r="BP15" i="134"/>
  <c r="BQ15" i="134"/>
  <c r="BR15" i="134"/>
  <c r="BS15" i="134"/>
  <c r="BT15" i="134"/>
  <c r="BU15" i="134"/>
  <c r="AA16" i="134"/>
  <c r="AB16" i="134"/>
  <c r="AC16" i="134"/>
  <c r="AD16" i="134"/>
  <c r="AE16" i="134"/>
  <c r="AF16" i="134"/>
  <c r="AG16" i="134"/>
  <c r="AH16" i="134"/>
  <c r="AI16" i="134"/>
  <c r="AJ16" i="134"/>
  <c r="AK16" i="134"/>
  <c r="AM16" i="134"/>
  <c r="AN16" i="134"/>
  <c r="AO16" i="134"/>
  <c r="AP16" i="134"/>
  <c r="AQ16" i="134"/>
  <c r="AR16" i="134"/>
  <c r="AS16" i="134"/>
  <c r="AT16" i="134"/>
  <c r="AU16" i="134"/>
  <c r="AV16" i="134"/>
  <c r="AW16" i="134"/>
  <c r="AY16" i="134"/>
  <c r="AZ16" i="134"/>
  <c r="BA16" i="134"/>
  <c r="BB16" i="134"/>
  <c r="BC16" i="134"/>
  <c r="BD16" i="134"/>
  <c r="BE16" i="134"/>
  <c r="BF16" i="134"/>
  <c r="BG16" i="134"/>
  <c r="BH16" i="134"/>
  <c r="BI16" i="134"/>
  <c r="BK16" i="134"/>
  <c r="BL16" i="134"/>
  <c r="BM16" i="134"/>
  <c r="BN16" i="134"/>
  <c r="BO16" i="134"/>
  <c r="BP16" i="134"/>
  <c r="BQ16" i="134"/>
  <c r="BR16" i="134"/>
  <c r="BS16" i="134"/>
  <c r="BT16" i="134"/>
  <c r="BU16" i="134"/>
  <c r="AA15" i="132"/>
  <c r="AB15" i="132"/>
  <c r="AC15" i="132"/>
  <c r="AD15" i="132"/>
  <c r="AE15" i="132"/>
  <c r="AF15" i="132"/>
  <c r="AG15" i="132"/>
  <c r="AH15" i="132"/>
  <c r="AI15" i="132"/>
  <c r="AJ15" i="132"/>
  <c r="AK15" i="132"/>
  <c r="AL15" i="132"/>
  <c r="AM15" i="132"/>
  <c r="AN15" i="132"/>
  <c r="AO15" i="132"/>
  <c r="AP15" i="132"/>
  <c r="AQ15" i="132"/>
  <c r="AR15" i="132"/>
  <c r="AS15" i="132"/>
  <c r="AT15" i="132"/>
  <c r="AU15" i="132"/>
  <c r="AV15" i="132"/>
  <c r="AW15" i="132"/>
  <c r="AY15" i="132"/>
  <c r="AZ15" i="132"/>
  <c r="BA15" i="132"/>
  <c r="BB15" i="132"/>
  <c r="BC15" i="132"/>
  <c r="BD15" i="132"/>
  <c r="BE15" i="132"/>
  <c r="BF15" i="132"/>
  <c r="BG15" i="132"/>
  <c r="BH15" i="132"/>
  <c r="BI15" i="132"/>
  <c r="BK15" i="132"/>
  <c r="BL15" i="132"/>
  <c r="BM15" i="132"/>
  <c r="BN15" i="132"/>
  <c r="BO15" i="132"/>
  <c r="BP15" i="132"/>
  <c r="BQ15" i="132"/>
  <c r="BR15" i="132"/>
  <c r="BS15" i="132"/>
  <c r="BT15" i="132"/>
  <c r="BU15" i="132"/>
  <c r="AM16" i="132"/>
  <c r="AN16" i="132"/>
  <c r="AO16" i="132"/>
  <c r="AP16" i="132"/>
  <c r="AQ16" i="132"/>
  <c r="AR16" i="132"/>
  <c r="AS16" i="132"/>
  <c r="AT16" i="132"/>
  <c r="AU16" i="132"/>
  <c r="AV16" i="132"/>
  <c r="AW16" i="132"/>
  <c r="AY16" i="132"/>
  <c r="AZ16" i="132"/>
  <c r="BA16" i="132"/>
  <c r="BB16" i="132"/>
  <c r="BC16" i="132"/>
  <c r="BD16" i="132"/>
  <c r="BE16" i="132"/>
  <c r="BF16" i="132"/>
  <c r="BG16" i="132"/>
  <c r="BH16" i="132"/>
  <c r="BI16" i="132"/>
  <c r="BK16" i="132"/>
  <c r="BL16" i="132"/>
  <c r="BM16" i="132"/>
  <c r="BN16" i="132"/>
  <c r="BO16" i="132"/>
  <c r="BP16" i="132"/>
  <c r="BQ16" i="132"/>
  <c r="BR16" i="132"/>
  <c r="BS16" i="132"/>
  <c r="BT16" i="132"/>
  <c r="BU16" i="132"/>
  <c r="AA16" i="132"/>
  <c r="AA17" i="132" s="1"/>
  <c r="AB16" i="132"/>
  <c r="AC16" i="132"/>
  <c r="AD16" i="132"/>
  <c r="AE16" i="132"/>
  <c r="AF16" i="132"/>
  <c r="AG16" i="132"/>
  <c r="AH16" i="132"/>
  <c r="AI16" i="132"/>
  <c r="AJ16" i="132"/>
  <c r="AK16" i="132"/>
  <c r="AA15" i="133"/>
  <c r="AB15" i="133"/>
  <c r="AA16" i="133"/>
  <c r="AK23" i="141" l="1"/>
  <c r="I17" i="34"/>
  <c r="D7" i="57"/>
  <c r="L17" i="34"/>
  <c r="O17" i="34"/>
  <c r="Y17" i="34"/>
  <c r="S17" i="34"/>
  <c r="X17" i="34"/>
  <c r="R17" i="34"/>
  <c r="H7" i="57"/>
  <c r="F7" i="57"/>
  <c r="AA17" i="34"/>
  <c r="U17" i="34"/>
  <c r="P17" i="34"/>
  <c r="V17" i="34"/>
  <c r="V12" i="57"/>
  <c r="U16" i="58"/>
  <c r="I16" i="58"/>
  <c r="H17" i="34"/>
  <c r="D6" i="57"/>
  <c r="G7" i="57"/>
  <c r="E11" i="58"/>
  <c r="F11" i="58"/>
  <c r="W12" i="57"/>
  <c r="I7" i="57"/>
  <c r="K17" i="34"/>
  <c r="E6" i="57"/>
  <c r="G17" i="34"/>
  <c r="F10" i="58"/>
  <c r="G6" i="57"/>
  <c r="E10" i="58"/>
  <c r="Q17" i="34"/>
  <c r="C7" i="57"/>
  <c r="D11" i="58"/>
  <c r="AB17" i="34"/>
  <c r="S12" i="57"/>
  <c r="J6" i="57"/>
  <c r="Z17" i="34"/>
  <c r="J17" i="34"/>
  <c r="I6" i="57"/>
  <c r="W17" i="34"/>
  <c r="M17" i="34"/>
  <c r="E7" i="57"/>
  <c r="E12" i="57" s="1"/>
  <c r="C6" i="57"/>
  <c r="H6" i="57"/>
  <c r="T17" i="34"/>
  <c r="Y12" i="57"/>
  <c r="J7" i="57"/>
  <c r="J12" i="57" s="1"/>
  <c r="N17" i="34"/>
  <c r="F6" i="57"/>
  <c r="C7" i="61"/>
  <c r="AW24" i="141"/>
  <c r="AQ31" i="141"/>
  <c r="AR31" i="141" s="1"/>
  <c r="AJ32" i="141"/>
  <c r="AK35" i="141"/>
  <c r="AK33" i="141"/>
  <c r="AK36" i="141"/>
  <c r="AL23" i="141"/>
  <c r="AI38" i="141"/>
  <c r="AI39" i="141"/>
  <c r="AL25" i="141"/>
  <c r="AJ7" i="141"/>
  <c r="AJ37" i="141"/>
  <c r="AL21" i="141"/>
  <c r="AM22" i="141"/>
  <c r="AH30" i="141"/>
  <c r="AJ34" i="141"/>
  <c r="F12" i="57" l="1"/>
  <c r="D12" i="57"/>
  <c r="H12" i="57"/>
  <c r="C12" i="57"/>
  <c r="I12" i="57"/>
  <c r="G12" i="57"/>
  <c r="F16" i="58"/>
  <c r="E16" i="58"/>
  <c r="AX24" i="141"/>
  <c r="AK37" i="141"/>
  <c r="AL35" i="141"/>
  <c r="AI30" i="141"/>
  <c r="AN22" i="141"/>
  <c r="AM21" i="141"/>
  <c r="AS31" i="141"/>
  <c r="AM23" i="141"/>
  <c r="AL36" i="141"/>
  <c r="AK34" i="141"/>
  <c r="AK7" i="141"/>
  <c r="AJ38" i="141"/>
  <c r="AJ39" i="141"/>
  <c r="AM25" i="141"/>
  <c r="AL33" i="141"/>
  <c r="AK32" i="141"/>
  <c r="AY24" i="141" l="1"/>
  <c r="AN25" i="141"/>
  <c r="AO25" i="141" s="1"/>
  <c r="AM33" i="141"/>
  <c r="AK39" i="141"/>
  <c r="AK38" i="141"/>
  <c r="AN21" i="141"/>
  <c r="AM35" i="141"/>
  <c r="AN23" i="141"/>
  <c r="AL32" i="141"/>
  <c r="AT31" i="141"/>
  <c r="AO22" i="141"/>
  <c r="AL37" i="141"/>
  <c r="AL7" i="141"/>
  <c r="AJ30" i="141"/>
  <c r="AL34" i="141"/>
  <c r="AM36" i="141"/>
  <c r="AA13" i="135"/>
  <c r="AB13" i="135"/>
  <c r="AC13" i="135"/>
  <c r="AD13" i="135"/>
  <c r="AE13" i="135"/>
  <c r="AF13" i="135"/>
  <c r="AG13" i="135"/>
  <c r="AH13" i="135"/>
  <c r="AI13" i="135"/>
  <c r="AJ13" i="135"/>
  <c r="AK13" i="135"/>
  <c r="AL13" i="135"/>
  <c r="AM13" i="135"/>
  <c r="AN13" i="135"/>
  <c r="AO13" i="135"/>
  <c r="AP13" i="135"/>
  <c r="AQ13" i="135"/>
  <c r="AR13" i="135"/>
  <c r="AS13" i="135"/>
  <c r="AT13" i="135"/>
  <c r="AU13" i="135"/>
  <c r="AV13" i="135"/>
  <c r="AW13" i="135"/>
  <c r="AX13" i="135"/>
  <c r="AY13" i="135"/>
  <c r="AZ13" i="135"/>
  <c r="BA13" i="135"/>
  <c r="BB13" i="135"/>
  <c r="BC13" i="135"/>
  <c r="BD13" i="135"/>
  <c r="BE13" i="135"/>
  <c r="BF13" i="135"/>
  <c r="BG13" i="135"/>
  <c r="BH13" i="135"/>
  <c r="BI13" i="135"/>
  <c r="BJ13" i="135"/>
  <c r="BK13" i="135"/>
  <c r="BL13" i="135"/>
  <c r="BM13" i="135"/>
  <c r="BN13" i="135"/>
  <c r="BO13" i="135"/>
  <c r="BP13" i="135"/>
  <c r="BQ13" i="135"/>
  <c r="BR13" i="135"/>
  <c r="BS13" i="135"/>
  <c r="BT13" i="135"/>
  <c r="BU13" i="135"/>
  <c r="BV13" i="135"/>
  <c r="AA13" i="136"/>
  <c r="AB13" i="136"/>
  <c r="AC13" i="136"/>
  <c r="AD13" i="136"/>
  <c r="AE13" i="136"/>
  <c r="AF13" i="136"/>
  <c r="AG13" i="136"/>
  <c r="AH13" i="136"/>
  <c r="AI13" i="136"/>
  <c r="AJ13" i="136"/>
  <c r="AK13" i="136"/>
  <c r="AL13" i="136"/>
  <c r="AM13" i="136"/>
  <c r="AN13" i="136"/>
  <c r="AO13" i="136"/>
  <c r="AP13" i="136"/>
  <c r="AQ13" i="136"/>
  <c r="AR13" i="136"/>
  <c r="AS13" i="136"/>
  <c r="AT13" i="136"/>
  <c r="AU13" i="136"/>
  <c r="AV13" i="136"/>
  <c r="AW13" i="136"/>
  <c r="AX13" i="136"/>
  <c r="AY13" i="136"/>
  <c r="AZ13" i="136"/>
  <c r="BA13" i="136"/>
  <c r="BB13" i="136"/>
  <c r="BC13" i="136"/>
  <c r="BD13" i="136"/>
  <c r="BE13" i="136"/>
  <c r="BF13" i="136"/>
  <c r="BG13" i="136"/>
  <c r="BH13" i="136"/>
  <c r="BI13" i="136"/>
  <c r="BJ13" i="136"/>
  <c r="BK13" i="136"/>
  <c r="BL13" i="136"/>
  <c r="BM13" i="136"/>
  <c r="BN13" i="136"/>
  <c r="BO13" i="136"/>
  <c r="BP13" i="136"/>
  <c r="BQ13" i="136"/>
  <c r="BR13" i="136"/>
  <c r="BS13" i="136"/>
  <c r="BT13" i="136"/>
  <c r="BU13" i="136"/>
  <c r="BV13" i="136"/>
  <c r="AA13" i="134"/>
  <c r="AB13" i="134"/>
  <c r="AC13" i="134"/>
  <c r="AD13" i="134"/>
  <c r="AE13" i="134"/>
  <c r="AF13" i="134"/>
  <c r="AG13" i="134"/>
  <c r="AH13" i="134"/>
  <c r="AI13" i="134"/>
  <c r="AJ13" i="134"/>
  <c r="AK13" i="134"/>
  <c r="AL13" i="134"/>
  <c r="AM13" i="134"/>
  <c r="AN13" i="134"/>
  <c r="AO13" i="134"/>
  <c r="AP13" i="134"/>
  <c r="AQ13" i="134"/>
  <c r="AR13" i="134"/>
  <c r="AS13" i="134"/>
  <c r="AT13" i="134"/>
  <c r="AU13" i="134"/>
  <c r="AV13" i="134"/>
  <c r="AW13" i="134"/>
  <c r="AX13" i="134"/>
  <c r="AY13" i="134"/>
  <c r="AZ13" i="134"/>
  <c r="BA13" i="134"/>
  <c r="BB13" i="134"/>
  <c r="BC13" i="134"/>
  <c r="BD13" i="134"/>
  <c r="BE13" i="134"/>
  <c r="BF13" i="134"/>
  <c r="BG13" i="134"/>
  <c r="BH13" i="134"/>
  <c r="BI13" i="134"/>
  <c r="BJ13" i="134"/>
  <c r="BK13" i="134"/>
  <c r="BL13" i="134"/>
  <c r="BM13" i="134"/>
  <c r="BN13" i="134"/>
  <c r="BO13" i="134"/>
  <c r="BP13" i="134"/>
  <c r="BQ13" i="134"/>
  <c r="BR13" i="134"/>
  <c r="BS13" i="134"/>
  <c r="BT13" i="134"/>
  <c r="BU13" i="134"/>
  <c r="BV13" i="134"/>
  <c r="AA13" i="132"/>
  <c r="AB13" i="132"/>
  <c r="AC13" i="132"/>
  <c r="AD13" i="132"/>
  <c r="AE13" i="132"/>
  <c r="AF13" i="132"/>
  <c r="AG13" i="132"/>
  <c r="AH13" i="132"/>
  <c r="AI13" i="132"/>
  <c r="AJ13" i="132"/>
  <c r="AK13" i="132"/>
  <c r="AL13" i="132"/>
  <c r="AM13" i="132"/>
  <c r="AN13" i="132"/>
  <c r="AO13" i="132"/>
  <c r="AP13" i="132"/>
  <c r="AQ13" i="132"/>
  <c r="AR13" i="132"/>
  <c r="AS13" i="132"/>
  <c r="AT13" i="132"/>
  <c r="AU13" i="132"/>
  <c r="AV13" i="132"/>
  <c r="AW13" i="132"/>
  <c r="AX13" i="132"/>
  <c r="AY13" i="132"/>
  <c r="AZ13" i="132"/>
  <c r="BA13" i="132"/>
  <c r="BB13" i="132"/>
  <c r="BC13" i="132"/>
  <c r="BD13" i="132"/>
  <c r="BE13" i="132"/>
  <c r="BF13" i="132"/>
  <c r="BG13" i="132"/>
  <c r="BH13" i="132"/>
  <c r="BI13" i="132"/>
  <c r="BJ13" i="132"/>
  <c r="BK13" i="132"/>
  <c r="BL13" i="132"/>
  <c r="BM13" i="132"/>
  <c r="BN13" i="132"/>
  <c r="BO13" i="132"/>
  <c r="BP13" i="132"/>
  <c r="BQ13" i="132"/>
  <c r="BR13" i="132"/>
  <c r="BS13" i="132"/>
  <c r="BT13" i="132"/>
  <c r="BU13" i="132"/>
  <c r="BV13" i="132"/>
  <c r="AA13" i="131"/>
  <c r="AB13" i="131"/>
  <c r="AC13" i="131"/>
  <c r="AD13" i="131"/>
  <c r="AE13" i="131"/>
  <c r="AF13" i="131"/>
  <c r="AG13" i="131"/>
  <c r="AH13" i="131"/>
  <c r="AI13" i="131"/>
  <c r="AJ13" i="131"/>
  <c r="AK13" i="131"/>
  <c r="AL13" i="131"/>
  <c r="AM13" i="131"/>
  <c r="AN13" i="131"/>
  <c r="AO13" i="131"/>
  <c r="AP13" i="131"/>
  <c r="AQ13" i="131"/>
  <c r="AR13" i="131"/>
  <c r="AS13" i="131"/>
  <c r="AT13" i="131"/>
  <c r="AU13" i="131"/>
  <c r="AV13" i="131"/>
  <c r="AW13" i="131"/>
  <c r="AX13" i="131"/>
  <c r="AY13" i="131"/>
  <c r="AZ13" i="131"/>
  <c r="BA13" i="131"/>
  <c r="BB13" i="131"/>
  <c r="BC13" i="131"/>
  <c r="BD13" i="131"/>
  <c r="BE13" i="131"/>
  <c r="BF13" i="131"/>
  <c r="BG13" i="131"/>
  <c r="BH13" i="131"/>
  <c r="BI13" i="131"/>
  <c r="BJ13" i="131"/>
  <c r="BK13" i="131"/>
  <c r="BV13" i="131"/>
  <c r="AA13" i="133"/>
  <c r="AB13" i="133"/>
  <c r="AC13" i="133"/>
  <c r="AD13" i="133"/>
  <c r="AE13" i="133"/>
  <c r="AF13" i="133"/>
  <c r="AG13" i="133"/>
  <c r="AH13" i="133"/>
  <c r="AI13" i="133"/>
  <c r="AJ13" i="133"/>
  <c r="AK13" i="133"/>
  <c r="AL13" i="133"/>
  <c r="AZ24" i="141" l="1"/>
  <c r="AK30" i="141"/>
  <c r="AN33" i="141"/>
  <c r="AN36" i="141"/>
  <c r="AP22" i="141"/>
  <c r="AM32" i="141"/>
  <c r="AO21" i="141"/>
  <c r="AP21" i="141" s="1"/>
  <c r="AQ21" i="141" s="1"/>
  <c r="AP25" i="141"/>
  <c r="AM37" i="141"/>
  <c r="AU31" i="141"/>
  <c r="AV31" i="141" s="1"/>
  <c r="AO23" i="141"/>
  <c r="AN35" i="141"/>
  <c r="AM34" i="141"/>
  <c r="AM7" i="141"/>
  <c r="AL38" i="141"/>
  <c r="AL39" i="141"/>
  <c r="BA24" i="141" l="1"/>
  <c r="AW31" i="141"/>
  <c r="AM39" i="141"/>
  <c r="AR21" i="141"/>
  <c r="AP23" i="141"/>
  <c r="AN37" i="141"/>
  <c r="AQ25" i="141"/>
  <c r="AN32" i="141"/>
  <c r="AO33" i="141"/>
  <c r="AQ22" i="141"/>
  <c r="AO36" i="141"/>
  <c r="AN7" i="141"/>
  <c r="AN34" i="141"/>
  <c r="AX31" i="141"/>
  <c r="AY31" i="141" s="1"/>
  <c r="AM38" i="141"/>
  <c r="AO35" i="141"/>
  <c r="AL30" i="141"/>
  <c r="C4" i="131"/>
  <c r="E4" i="131"/>
  <c r="E7" i="131" s="1"/>
  <c r="D4" i="131"/>
  <c r="D7" i="131" s="1"/>
  <c r="BB24" i="141" l="1"/>
  <c r="AN38" i="141"/>
  <c r="AZ31" i="141"/>
  <c r="AO34" i="141"/>
  <c r="AR22" i="141"/>
  <c r="AP33" i="141"/>
  <c r="AO32" i="141"/>
  <c r="AR25" i="141"/>
  <c r="AN39" i="141"/>
  <c r="AM30" i="141"/>
  <c r="AP35" i="141"/>
  <c r="AS21" i="141"/>
  <c r="AO37" i="141"/>
  <c r="AO7" i="141"/>
  <c r="AP36" i="141"/>
  <c r="AQ23" i="141"/>
  <c r="E13" i="131"/>
  <c r="E15" i="131"/>
  <c r="E16" i="131"/>
  <c r="D13" i="131"/>
  <c r="D15" i="131"/>
  <c r="D16" i="131"/>
  <c r="C15" i="131"/>
  <c r="C16" i="131"/>
  <c r="C13" i="131"/>
  <c r="AC1345" i="123"/>
  <c r="AC1334" i="123"/>
  <c r="AC1326" i="123"/>
  <c r="AC1316" i="123"/>
  <c r="AC1306" i="123"/>
  <c r="AC1297" i="123"/>
  <c r="AC1289" i="123"/>
  <c r="AC1283" i="123"/>
  <c r="AC1275" i="123"/>
  <c r="AC1261" i="123"/>
  <c r="AC1257" i="123"/>
  <c r="AC1237" i="123"/>
  <c r="AC1222" i="123"/>
  <c r="AC1211" i="123"/>
  <c r="AC1207" i="123"/>
  <c r="AC1201" i="123"/>
  <c r="AC1192" i="123"/>
  <c r="AC1177" i="123"/>
  <c r="AC1166" i="123"/>
  <c r="AC1158" i="123"/>
  <c r="AC1148" i="123"/>
  <c r="AC1138" i="123"/>
  <c r="AC1129" i="123"/>
  <c r="AC1121" i="123"/>
  <c r="AC1115" i="123"/>
  <c r="AC1107" i="123"/>
  <c r="AC1093" i="123"/>
  <c r="AC1089" i="123"/>
  <c r="AC1069" i="123"/>
  <c r="AC1054" i="123"/>
  <c r="AC1043" i="123"/>
  <c r="AC1039" i="123"/>
  <c r="AC1033" i="123"/>
  <c r="AC1024" i="123"/>
  <c r="AC1009" i="123"/>
  <c r="AC998" i="123"/>
  <c r="AC990" i="123"/>
  <c r="AC980" i="123"/>
  <c r="AC970" i="123"/>
  <c r="AC961" i="123"/>
  <c r="AC953" i="123"/>
  <c r="AC947" i="123"/>
  <c r="AC939" i="123"/>
  <c r="AC925" i="123"/>
  <c r="AC921" i="123"/>
  <c r="AC901" i="123"/>
  <c r="AC886" i="123"/>
  <c r="AC875" i="123"/>
  <c r="AC871" i="123"/>
  <c r="AC865" i="123"/>
  <c r="AC856" i="123"/>
  <c r="AC841" i="123"/>
  <c r="AC830" i="123"/>
  <c r="Y18" i="141" s="1"/>
  <c r="AC822" i="123"/>
  <c r="AC812" i="123"/>
  <c r="AC802" i="123"/>
  <c r="AC793" i="123"/>
  <c r="AC785" i="123"/>
  <c r="AC779" i="123"/>
  <c r="AC771" i="123"/>
  <c r="Y29" i="141" s="1"/>
  <c r="AC757" i="123"/>
  <c r="AC753" i="123"/>
  <c r="AC733" i="123"/>
  <c r="AC718" i="123"/>
  <c r="AC707" i="123"/>
  <c r="AC703" i="123"/>
  <c r="AC697" i="123"/>
  <c r="AC688" i="123"/>
  <c r="AC673" i="123"/>
  <c r="AC662" i="123"/>
  <c r="AC654" i="123"/>
  <c r="AC644" i="123"/>
  <c r="AC634" i="123"/>
  <c r="AC625" i="123"/>
  <c r="AC617" i="123"/>
  <c r="AC611" i="123"/>
  <c r="AC603" i="123"/>
  <c r="AC589" i="123"/>
  <c r="AC585" i="123"/>
  <c r="AC565" i="123"/>
  <c r="AC550" i="123"/>
  <c r="AC539" i="123"/>
  <c r="AC535" i="123"/>
  <c r="AC529" i="123"/>
  <c r="AC520" i="123"/>
  <c r="AC505" i="123"/>
  <c r="AC494" i="123"/>
  <c r="AC486" i="123"/>
  <c r="AC476" i="123"/>
  <c r="AC466" i="123"/>
  <c r="AC457" i="123"/>
  <c r="AC449" i="123"/>
  <c r="AC443" i="123"/>
  <c r="AC435" i="123"/>
  <c r="AC421" i="123"/>
  <c r="AC417" i="123"/>
  <c r="AC397" i="123"/>
  <c r="AC382" i="123"/>
  <c r="AC371" i="123"/>
  <c r="AC367" i="123"/>
  <c r="AC361" i="123"/>
  <c r="AC352" i="123"/>
  <c r="AC337" i="123"/>
  <c r="AC326" i="123"/>
  <c r="AC318" i="123"/>
  <c r="AC308" i="123"/>
  <c r="AC298" i="123"/>
  <c r="AC289" i="123"/>
  <c r="AC281" i="123"/>
  <c r="AC275" i="123"/>
  <c r="AC267" i="123"/>
  <c r="AC253" i="123"/>
  <c r="AC249" i="123"/>
  <c r="AC229" i="123"/>
  <c r="AC214" i="123"/>
  <c r="AC203" i="123"/>
  <c r="AC199" i="123"/>
  <c r="AC193" i="123"/>
  <c r="AC184" i="123"/>
  <c r="AC169" i="123"/>
  <c r="AC158" i="123"/>
  <c r="AC150" i="123"/>
  <c r="AC140" i="123"/>
  <c r="AC130" i="123"/>
  <c r="AC121" i="123"/>
  <c r="AC113" i="123"/>
  <c r="AC107" i="123"/>
  <c r="AC99" i="123"/>
  <c r="AC85" i="123"/>
  <c r="AC81" i="123"/>
  <c r="AC61" i="123"/>
  <c r="AC46" i="123"/>
  <c r="AC35" i="123"/>
  <c r="AC31" i="123"/>
  <c r="AC25" i="123"/>
  <c r="AC16" i="123"/>
  <c r="BC24" i="141" l="1"/>
  <c r="BD24" i="141" s="1"/>
  <c r="BE24" i="141" s="1"/>
  <c r="BF24" i="141" s="1"/>
  <c r="BG24" i="141" s="1"/>
  <c r="BH24" i="141" s="1"/>
  <c r="Z12" i="141"/>
  <c r="AA12" i="141" s="1"/>
  <c r="AA14" i="141" s="1"/>
  <c r="Y40" i="141"/>
  <c r="AS25" i="141"/>
  <c r="AP32" i="141"/>
  <c r="AS22" i="141"/>
  <c r="AR23" i="141"/>
  <c r="AT21" i="141"/>
  <c r="AQ36" i="141"/>
  <c r="AP34" i="141"/>
  <c r="AO38" i="141"/>
  <c r="AP7" i="141"/>
  <c r="BA31" i="141"/>
  <c r="AP37" i="141"/>
  <c r="AQ35" i="141"/>
  <c r="AN30" i="141"/>
  <c r="AO39" i="141"/>
  <c r="AQ33" i="141"/>
  <c r="AC488" i="123"/>
  <c r="AC1160" i="123"/>
  <c r="AC992" i="123"/>
  <c r="AC1011" i="123" s="1"/>
  <c r="AC320" i="123"/>
  <c r="AC824" i="123"/>
  <c r="Y12" i="141" s="1"/>
  <c r="Y14" i="141" s="1"/>
  <c r="Y26" i="141" s="1"/>
  <c r="AC1179" i="123"/>
  <c r="AC1328" i="123"/>
  <c r="AC1347" i="123" s="1"/>
  <c r="AC152" i="123"/>
  <c r="AC656" i="123"/>
  <c r="AC675" i="123" s="1"/>
  <c r="AC171" i="123"/>
  <c r="BI24" i="141" l="1"/>
  <c r="Z14" i="141"/>
  <c r="Y42" i="141"/>
  <c r="AO30" i="141"/>
  <c r="AQ7" i="141"/>
  <c r="AT22" i="141"/>
  <c r="AP39" i="141"/>
  <c r="AQ37" i="141"/>
  <c r="BB31" i="141"/>
  <c r="AQ34" i="141"/>
  <c r="AQ32" i="141"/>
  <c r="AR33" i="141"/>
  <c r="AR35" i="141"/>
  <c r="AP38" i="141"/>
  <c r="AR36" i="141"/>
  <c r="AU21" i="141"/>
  <c r="AS23" i="141"/>
  <c r="AT25" i="141"/>
  <c r="AC507" i="123"/>
  <c r="AC843" i="123"/>
  <c r="AC339" i="123"/>
  <c r="N16" i="116"/>
  <c r="W4" i="116"/>
  <c r="X64" i="69"/>
  <c r="Y64" i="69"/>
  <c r="Z64" i="69"/>
  <c r="AA64" i="69"/>
  <c r="AB64" i="69" s="1"/>
  <c r="AC64" i="69" s="1"/>
  <c r="AH64" i="69" s="1"/>
  <c r="AI64" i="69"/>
  <c r="AP64" i="69"/>
  <c r="AW64" i="69"/>
  <c r="BJ24" i="141" l="1"/>
  <c r="BK24" i="141" s="1"/>
  <c r="BL24" i="141" s="1"/>
  <c r="BM24" i="141" s="1"/>
  <c r="BN24" i="141" s="1"/>
  <c r="BO24" i="141" s="1"/>
  <c r="BP24" i="141" s="1"/>
  <c r="BQ24" i="141" s="1"/>
  <c r="BR24" i="141" s="1"/>
  <c r="AV21" i="141"/>
  <c r="BC31" i="141"/>
  <c r="AR37" i="141"/>
  <c r="AS35" i="141"/>
  <c r="AR34" i="141"/>
  <c r="AT23" i="141"/>
  <c r="AQ38" i="141"/>
  <c r="AS33" i="141"/>
  <c r="AR7" i="141"/>
  <c r="AS36" i="141"/>
  <c r="AR32" i="141"/>
  <c r="AU22" i="141"/>
  <c r="AU25" i="141"/>
  <c r="AQ39" i="141"/>
  <c r="AP30" i="141"/>
  <c r="P58" i="129"/>
  <c r="Q58" i="129" s="1"/>
  <c r="R58" i="129" s="1"/>
  <c r="P59" i="129"/>
  <c r="Q59" i="129" s="1"/>
  <c r="R59" i="129" s="1"/>
  <c r="BS24" i="141" l="1"/>
  <c r="BT24" i="141" s="1"/>
  <c r="BU24" i="141" s="1"/>
  <c r="BV24" i="141" s="1"/>
  <c r="AS7" i="141"/>
  <c r="AT33" i="141"/>
  <c r="AS37" i="141"/>
  <c r="BD31" i="141"/>
  <c r="AS32" i="141"/>
  <c r="AV22" i="141"/>
  <c r="AT36" i="141"/>
  <c r="AS34" i="141"/>
  <c r="AT35" i="141"/>
  <c r="AV25" i="141"/>
  <c r="AU23" i="141"/>
  <c r="AW21" i="141"/>
  <c r="AQ30" i="141"/>
  <c r="AR39" i="141"/>
  <c r="AR38" i="141"/>
  <c r="V37" i="116"/>
  <c r="AT37" i="141" l="1"/>
  <c r="AT7" i="141"/>
  <c r="AU35" i="141"/>
  <c r="AT34" i="141"/>
  <c r="AS38" i="141"/>
  <c r="AR30" i="141"/>
  <c r="AV23" i="141"/>
  <c r="AU36" i="141"/>
  <c r="AT32" i="141"/>
  <c r="BE31" i="141"/>
  <c r="AU33" i="141"/>
  <c r="AW22" i="141"/>
  <c r="AX21" i="141"/>
  <c r="AS39" i="141"/>
  <c r="AW25" i="141"/>
  <c r="BL49" i="126"/>
  <c r="BK49" i="126"/>
  <c r="BJ49" i="126"/>
  <c r="BI49" i="126"/>
  <c r="BH49" i="126"/>
  <c r="BG49" i="126"/>
  <c r="BF49" i="126"/>
  <c r="BE49" i="126"/>
  <c r="BD49" i="126"/>
  <c r="BC49" i="126"/>
  <c r="BB49" i="126"/>
  <c r="BA49" i="126"/>
  <c r="AZ49" i="126"/>
  <c r="AY49" i="126"/>
  <c r="AX49" i="126"/>
  <c r="AW49" i="126"/>
  <c r="AV49" i="126"/>
  <c r="AU49" i="126"/>
  <c r="AT49" i="126"/>
  <c r="AS49" i="126"/>
  <c r="AR49" i="126"/>
  <c r="AQ49" i="126"/>
  <c r="AP49" i="126"/>
  <c r="AO49" i="126"/>
  <c r="AN49" i="126"/>
  <c r="AM49" i="126"/>
  <c r="AL49" i="126"/>
  <c r="AE49" i="126"/>
  <c r="AD49" i="126"/>
  <c r="AC49" i="126"/>
  <c r="AB49" i="126"/>
  <c r="AA49" i="126"/>
  <c r="Z49" i="126"/>
  <c r="Y49" i="126"/>
  <c r="X49" i="126"/>
  <c r="W49" i="126"/>
  <c r="V49" i="126"/>
  <c r="U49" i="126"/>
  <c r="T49" i="126"/>
  <c r="S49" i="126"/>
  <c r="R49" i="126"/>
  <c r="Q49" i="126"/>
  <c r="P49" i="126"/>
  <c r="O49" i="126"/>
  <c r="N49" i="126"/>
  <c r="M49" i="126"/>
  <c r="L49" i="126"/>
  <c r="K49" i="126"/>
  <c r="J49" i="126"/>
  <c r="I49" i="126"/>
  <c r="H49" i="126"/>
  <c r="G49" i="126"/>
  <c r="F49" i="126"/>
  <c r="E49" i="126"/>
  <c r="AS30" i="141" l="1"/>
  <c r="AX22" i="141"/>
  <c r="AU32" i="141"/>
  <c r="AU37" i="141"/>
  <c r="AV36" i="141"/>
  <c r="AV35" i="141"/>
  <c r="AT39" i="141"/>
  <c r="AY21" i="141"/>
  <c r="AU34" i="141"/>
  <c r="AU7" i="141"/>
  <c r="AX25" i="141"/>
  <c r="AV33" i="141"/>
  <c r="BF31" i="141"/>
  <c r="AW23" i="141"/>
  <c r="AT38" i="141"/>
  <c r="AC9" i="69"/>
  <c r="AD11" i="69"/>
  <c r="AE11" i="69"/>
  <c r="AF11" i="69" s="1"/>
  <c r="AG11" i="69" s="1"/>
  <c r="AH11" i="69" s="1"/>
  <c r="AI11" i="69" s="1"/>
  <c r="AJ11" i="69" s="1"/>
  <c r="AK11" i="69" s="1"/>
  <c r="AL11" i="69" s="1"/>
  <c r="AM11" i="69" s="1"/>
  <c r="AN11" i="69" s="1"/>
  <c r="AO11" i="69" s="1"/>
  <c r="AP11" i="69" s="1"/>
  <c r="AQ11" i="69" s="1"/>
  <c r="AR11" i="69" s="1"/>
  <c r="AS11" i="69" s="1"/>
  <c r="AT11" i="69" s="1"/>
  <c r="AU11" i="69" s="1"/>
  <c r="AV11" i="69" s="1"/>
  <c r="AW11" i="69" s="1"/>
  <c r="AX11" i="69" s="1"/>
  <c r="AY11" i="69" s="1"/>
  <c r="AZ11" i="69" s="1"/>
  <c r="BA11" i="69" s="1"/>
  <c r="BB11" i="69" s="1"/>
  <c r="BC11" i="69" s="1"/>
  <c r="BD11" i="69" s="1"/>
  <c r="BE11" i="69" s="1"/>
  <c r="BF11" i="69" s="1"/>
  <c r="BG11" i="69" s="1"/>
  <c r="BH11" i="69" s="1"/>
  <c r="BI11" i="69" s="1"/>
  <c r="BJ11" i="69" s="1"/>
  <c r="BK11" i="69" s="1"/>
  <c r="BL11" i="69" s="1"/>
  <c r="BM11" i="69" s="1"/>
  <c r="BN11" i="69" s="1"/>
  <c r="BO11" i="69" s="1"/>
  <c r="BP11" i="69" s="1"/>
  <c r="BQ11" i="69" s="1"/>
  <c r="BR11" i="69" s="1"/>
  <c r="BS11" i="69" s="1"/>
  <c r="BT11" i="69" s="1"/>
  <c r="BU11" i="69" s="1"/>
  <c r="BV11" i="69" s="1"/>
  <c r="BW11" i="69" s="1"/>
  <c r="BX11" i="69" s="1"/>
  <c r="BY11" i="69" s="1"/>
  <c r="AC11" i="69"/>
  <c r="AE15" i="69"/>
  <c r="AF15" i="69"/>
  <c r="AG15" i="69"/>
  <c r="AH15" i="69"/>
  <c r="AI15" i="69"/>
  <c r="AJ15" i="69"/>
  <c r="AK15" i="69"/>
  <c r="AL15" i="69"/>
  <c r="AM15" i="69"/>
  <c r="AN15" i="69"/>
  <c r="AO15" i="69"/>
  <c r="AP15" i="69"/>
  <c r="AQ15" i="69"/>
  <c r="AR15" i="69"/>
  <c r="AS15" i="69"/>
  <c r="AT15" i="69"/>
  <c r="AU15" i="69"/>
  <c r="AV15" i="69"/>
  <c r="AW15" i="69"/>
  <c r="AX15" i="69"/>
  <c r="AY15" i="69"/>
  <c r="AZ15" i="69"/>
  <c r="BA15" i="69"/>
  <c r="BB15" i="69"/>
  <c r="BC15" i="69"/>
  <c r="BD15" i="69"/>
  <c r="BE15" i="69"/>
  <c r="BF15" i="69"/>
  <c r="BG15" i="69"/>
  <c r="BH15" i="69"/>
  <c r="BI15" i="69"/>
  <c r="BJ15" i="69"/>
  <c r="BK15" i="69"/>
  <c r="BL15" i="69"/>
  <c r="BM15" i="69"/>
  <c r="BN15" i="69"/>
  <c r="BO15" i="69"/>
  <c r="BP15" i="69"/>
  <c r="BQ15" i="69"/>
  <c r="BR15" i="69"/>
  <c r="BS15" i="69"/>
  <c r="BT15" i="69"/>
  <c r="BU15" i="69"/>
  <c r="BV15" i="69"/>
  <c r="BW15" i="69"/>
  <c r="BX15" i="69"/>
  <c r="BY15" i="69"/>
  <c r="AD15" i="69"/>
  <c r="AC15" i="69"/>
  <c r="AW36" i="141" l="1"/>
  <c r="BG31" i="141"/>
  <c r="AY25" i="141"/>
  <c r="AV34" i="141"/>
  <c r="AV32" i="141"/>
  <c r="AT30" i="141"/>
  <c r="AX23" i="141"/>
  <c r="AV7" i="141"/>
  <c r="AZ21" i="141"/>
  <c r="AV37" i="141"/>
  <c r="AU38" i="141"/>
  <c r="AW33" i="141"/>
  <c r="AU39" i="141"/>
  <c r="AW35" i="141"/>
  <c r="AY22" i="141"/>
  <c r="AB22" i="70"/>
  <c r="AC22" i="70"/>
  <c r="AD22" i="70"/>
  <c r="AB14" i="70"/>
  <c r="Z45" i="11"/>
  <c r="AB72" i="34"/>
  <c r="AB11" i="69"/>
  <c r="AB15" i="69"/>
  <c r="AF59" i="81"/>
  <c r="AG124" i="81"/>
  <c r="AG106" i="81"/>
  <c r="AG80" i="81"/>
  <c r="AG72" i="81"/>
  <c r="AG60" i="81"/>
  <c r="AG33" i="81"/>
  <c r="AG35" i="81" s="1"/>
  <c r="AG12" i="81"/>
  <c r="AD1523" i="123"/>
  <c r="AD1345" i="123"/>
  <c r="AD1334" i="123"/>
  <c r="AD1326" i="123"/>
  <c r="AD1316" i="123"/>
  <c r="AD1306" i="123"/>
  <c r="AD1297" i="123"/>
  <c r="AD1289" i="123"/>
  <c r="AD1283" i="123"/>
  <c r="AD1275" i="123"/>
  <c r="AD1261" i="123"/>
  <c r="AD1257" i="123"/>
  <c r="AD1237" i="123"/>
  <c r="AD1222" i="123"/>
  <c r="AD1211" i="123"/>
  <c r="AD1207" i="123"/>
  <c r="AD1201" i="123"/>
  <c r="AD1192" i="123"/>
  <c r="AD1177" i="123"/>
  <c r="AD1166" i="123"/>
  <c r="AD1158" i="123"/>
  <c r="AD1148" i="123"/>
  <c r="AD1138" i="123"/>
  <c r="AD1129" i="123"/>
  <c r="AD1121" i="123"/>
  <c r="AD1115" i="123"/>
  <c r="AD1107" i="123"/>
  <c r="AD1093" i="123"/>
  <c r="AD1089" i="123"/>
  <c r="AD1069" i="123"/>
  <c r="AD1054" i="123"/>
  <c r="AD1043" i="123"/>
  <c r="AD1039" i="123"/>
  <c r="AD1033" i="123"/>
  <c r="AD1024" i="123"/>
  <c r="AD1009" i="123"/>
  <c r="AD998" i="123"/>
  <c r="AD990" i="123"/>
  <c r="AD980" i="123"/>
  <c r="AD970" i="123"/>
  <c r="AD961" i="123"/>
  <c r="AD953" i="123"/>
  <c r="AD947" i="123"/>
  <c r="AD939" i="123"/>
  <c r="AD925" i="123"/>
  <c r="AD921" i="123"/>
  <c r="AD901" i="123"/>
  <c r="AD886" i="123"/>
  <c r="AD875" i="123"/>
  <c r="AD871" i="123"/>
  <c r="AD865" i="123"/>
  <c r="AD856" i="123"/>
  <c r="AD841" i="123"/>
  <c r="AD830" i="123"/>
  <c r="Z18" i="141" s="1"/>
  <c r="Z26" i="141" s="1"/>
  <c r="AD822" i="123"/>
  <c r="AD812" i="123"/>
  <c r="AD802" i="123"/>
  <c r="AD793" i="123"/>
  <c r="AD785" i="123"/>
  <c r="AD779" i="123"/>
  <c r="AD771" i="123"/>
  <c r="Z29" i="141" s="1"/>
  <c r="AD757" i="123"/>
  <c r="AD753" i="123"/>
  <c r="AD733" i="123"/>
  <c r="AD718" i="123"/>
  <c r="AD707" i="123"/>
  <c r="AD703" i="123"/>
  <c r="AD697" i="123"/>
  <c r="AD688" i="123"/>
  <c r="AD673" i="123"/>
  <c r="AD662" i="123"/>
  <c r="AD654" i="123"/>
  <c r="AD644" i="123"/>
  <c r="AD634" i="123"/>
  <c r="AD625" i="123"/>
  <c r="AD617" i="123"/>
  <c r="AD611" i="123"/>
  <c r="AD603" i="123"/>
  <c r="AD589" i="123"/>
  <c r="AD585" i="123"/>
  <c r="AD565" i="123"/>
  <c r="AD550" i="123"/>
  <c r="AD539" i="123"/>
  <c r="AD535" i="123"/>
  <c r="AD529" i="123"/>
  <c r="AD520" i="123"/>
  <c r="AD505" i="123"/>
  <c r="AD494" i="123"/>
  <c r="AD486" i="123"/>
  <c r="AD476" i="123"/>
  <c r="AD466" i="123"/>
  <c r="AD457" i="123"/>
  <c r="AD449" i="123"/>
  <c r="AD443" i="123"/>
  <c r="AD435" i="123"/>
  <c r="AD421" i="123"/>
  <c r="AD417" i="123"/>
  <c r="AD397" i="123"/>
  <c r="AD382" i="123"/>
  <c r="AD371" i="123"/>
  <c r="AD367" i="123"/>
  <c r="AD361" i="123"/>
  <c r="AD352" i="123"/>
  <c r="AD337" i="123"/>
  <c r="AD326" i="123"/>
  <c r="AD318" i="123"/>
  <c r="AD308" i="123"/>
  <c r="AD298" i="123"/>
  <c r="AD289" i="123"/>
  <c r="AD281" i="123"/>
  <c r="AD275" i="123"/>
  <c r="AD267" i="123"/>
  <c r="AD253" i="123"/>
  <c r="AD249" i="123"/>
  <c r="AD229" i="123"/>
  <c r="AD214" i="123"/>
  <c r="AD203" i="123"/>
  <c r="AD199" i="123"/>
  <c r="AD193" i="123"/>
  <c r="AD184" i="123"/>
  <c r="Z40" i="141" l="1"/>
  <c r="Z42" i="141" s="1"/>
  <c r="AY23" i="141"/>
  <c r="AW37" i="141"/>
  <c r="AX36" i="141"/>
  <c r="AV39" i="141"/>
  <c r="AX33" i="141"/>
  <c r="BA21" i="141"/>
  <c r="BH31" i="141"/>
  <c r="AW7" i="141"/>
  <c r="AU30" i="141"/>
  <c r="AZ22" i="141"/>
  <c r="AX35" i="141"/>
  <c r="AV38" i="141"/>
  <c r="AW32" i="141"/>
  <c r="AW34" i="141"/>
  <c r="AZ25" i="141"/>
  <c r="AD1328" i="123"/>
  <c r="AD1347" i="123" s="1"/>
  <c r="AD1160" i="123"/>
  <c r="AD1179" i="123" s="1"/>
  <c r="AD992" i="123"/>
  <c r="AD1011" i="123" s="1"/>
  <c r="AD824" i="123"/>
  <c r="AD843" i="123" s="1"/>
  <c r="AD656" i="123"/>
  <c r="AD675" i="123" s="1"/>
  <c r="AD488" i="123"/>
  <c r="AD320" i="123"/>
  <c r="AY33" i="141" l="1"/>
  <c r="AX34" i="141"/>
  <c r="AX7" i="141"/>
  <c r="BI31" i="141"/>
  <c r="BB21" i="141"/>
  <c r="AX37" i="141"/>
  <c r="AZ23" i="141"/>
  <c r="AW38" i="141"/>
  <c r="AY36" i="141"/>
  <c r="BA25" i="141"/>
  <c r="AW39" i="141"/>
  <c r="AX32" i="141"/>
  <c r="AY35" i="141"/>
  <c r="BA22" i="141"/>
  <c r="AV30" i="141"/>
  <c r="AD339" i="123"/>
  <c r="AD507" i="123"/>
  <c r="P60" i="129"/>
  <c r="Q60" i="129" s="1"/>
  <c r="R60" i="129" s="1"/>
  <c r="D60" i="129"/>
  <c r="D59" i="129"/>
  <c r="D58" i="129"/>
  <c r="K25" i="116"/>
  <c r="R22" i="116"/>
  <c r="Q22" i="116"/>
  <c r="P22" i="116"/>
  <c r="R14" i="116"/>
  <c r="S14" i="116"/>
  <c r="T14" i="116"/>
  <c r="Q14" i="116"/>
  <c r="AX39" i="141" l="1"/>
  <c r="BA23" i="141"/>
  <c r="AY37" i="141"/>
  <c r="BJ31" i="141"/>
  <c r="AY34" i="141"/>
  <c r="BB22" i="141"/>
  <c r="AZ35" i="141"/>
  <c r="AY32" i="141"/>
  <c r="AZ36" i="141"/>
  <c r="AZ33" i="141"/>
  <c r="BB25" i="141"/>
  <c r="AY7" i="141"/>
  <c r="AW30" i="141"/>
  <c r="AX38" i="141"/>
  <c r="BC21" i="141"/>
  <c r="L46" i="126"/>
  <c r="M46" i="126"/>
  <c r="N46" i="126"/>
  <c r="O46" i="126"/>
  <c r="P46" i="126"/>
  <c r="Q46" i="126"/>
  <c r="R46" i="126"/>
  <c r="S46" i="126"/>
  <c r="T46" i="126"/>
  <c r="U46" i="126"/>
  <c r="V46" i="126"/>
  <c r="W46" i="126"/>
  <c r="X46" i="126"/>
  <c r="Y46" i="126"/>
  <c r="Z46" i="126"/>
  <c r="AA46" i="126"/>
  <c r="AB46" i="126"/>
  <c r="AC46" i="126"/>
  <c r="AD46" i="126"/>
  <c r="AE46" i="126"/>
  <c r="AF46" i="126"/>
  <c r="AG46" i="126"/>
  <c r="AH46" i="126"/>
  <c r="AI46" i="126"/>
  <c r="AJ46" i="126"/>
  <c r="AK46" i="126"/>
  <c r="AL46" i="126"/>
  <c r="AM46" i="126"/>
  <c r="AN46" i="126"/>
  <c r="AO46" i="126"/>
  <c r="AP46" i="126"/>
  <c r="AQ46" i="126"/>
  <c r="AR46" i="126"/>
  <c r="AS46" i="126"/>
  <c r="AT46" i="126"/>
  <c r="AU46" i="126"/>
  <c r="AV46" i="126"/>
  <c r="AW46" i="126"/>
  <c r="AX46" i="126"/>
  <c r="AY46" i="126"/>
  <c r="AZ46" i="126"/>
  <c r="BA46" i="126"/>
  <c r="BB46" i="126"/>
  <c r="BC46" i="126"/>
  <c r="BD46" i="126"/>
  <c r="BE46" i="126"/>
  <c r="BF46" i="126"/>
  <c r="BG46" i="126"/>
  <c r="BH46" i="126"/>
  <c r="BI46" i="126"/>
  <c r="BJ46" i="126"/>
  <c r="BK46" i="126"/>
  <c r="BL46" i="126"/>
  <c r="F46" i="126"/>
  <c r="G46" i="126"/>
  <c r="H46" i="126"/>
  <c r="I46" i="126"/>
  <c r="J46" i="126"/>
  <c r="K46" i="126"/>
  <c r="E46" i="126"/>
  <c r="AZ37" i="141" l="1"/>
  <c r="AY38" i="141"/>
  <c r="BC25" i="141"/>
  <c r="BA36" i="141"/>
  <c r="BA35" i="141"/>
  <c r="BK31" i="141"/>
  <c r="BB23" i="141"/>
  <c r="AZ32" i="141"/>
  <c r="AY18" i="141"/>
  <c r="AZ7" i="141"/>
  <c r="BC22" i="141"/>
  <c r="AY39" i="141"/>
  <c r="BD21" i="141"/>
  <c r="AX30" i="141"/>
  <c r="BA33" i="141"/>
  <c r="AZ34" i="141"/>
  <c r="G50" i="85"/>
  <c r="Z24" i="116"/>
  <c r="Z30" i="116"/>
  <c r="Z42" i="116"/>
  <c r="K28" i="116"/>
  <c r="K14" i="116"/>
  <c r="AK36" i="116"/>
  <c r="AG24" i="116"/>
  <c r="T21" i="116"/>
  <c r="K31" i="116"/>
  <c r="K10" i="116"/>
  <c r="K8" i="116"/>
  <c r="T11" i="116"/>
  <c r="T9" i="116"/>
  <c r="T7" i="116"/>
  <c r="K16" i="116"/>
  <c r="AY30" i="141" l="1"/>
  <c r="AZ18" i="141"/>
  <c r="BA7" i="141"/>
  <c r="BA34" i="141"/>
  <c r="BD22" i="141"/>
  <c r="BL31" i="141"/>
  <c r="AZ39" i="141"/>
  <c r="BA32" i="141"/>
  <c r="BE21" i="141"/>
  <c r="BC23" i="141"/>
  <c r="BB35" i="141"/>
  <c r="BA37" i="141"/>
  <c r="BB36" i="141"/>
  <c r="BB33" i="141"/>
  <c r="BD25" i="141"/>
  <c r="AZ38" i="141"/>
  <c r="AB17" i="69"/>
  <c r="BC35" i="141" l="1"/>
  <c r="BE22" i="141"/>
  <c r="BA38" i="141"/>
  <c r="BC33" i="141"/>
  <c r="BB32" i="141"/>
  <c r="BA39" i="141"/>
  <c r="BM31" i="141"/>
  <c r="AZ30" i="141"/>
  <c r="BC36" i="141"/>
  <c r="BB34" i="141"/>
  <c r="BB7" i="141"/>
  <c r="BA18" i="141"/>
  <c r="BE25" i="141"/>
  <c r="BB37" i="141"/>
  <c r="BD23" i="141"/>
  <c r="BF21" i="141"/>
  <c r="BK49" i="132"/>
  <c r="BL49" i="132"/>
  <c r="BM49" i="132"/>
  <c r="BN49" i="132"/>
  <c r="BO49" i="132"/>
  <c r="BP49" i="132"/>
  <c r="BQ49" i="132"/>
  <c r="BR49" i="132"/>
  <c r="BS49" i="132"/>
  <c r="BT49" i="132"/>
  <c r="BU49" i="132"/>
  <c r="BV49" i="132"/>
  <c r="BB38" i="141" l="1"/>
  <c r="BE23" i="141"/>
  <c r="BC34" i="141"/>
  <c r="BD36" i="141"/>
  <c r="BA30" i="141"/>
  <c r="BF25" i="141"/>
  <c r="BB18" i="141"/>
  <c r="BC7" i="141"/>
  <c r="BN31" i="141"/>
  <c r="BC32" i="141"/>
  <c r="BB39" i="141"/>
  <c r="BF22" i="141"/>
  <c r="BG21" i="141"/>
  <c r="BC37" i="141"/>
  <c r="BD33" i="141"/>
  <c r="BD35" i="141"/>
  <c r="AC15" i="133"/>
  <c r="AD15" i="133"/>
  <c r="AE15" i="133"/>
  <c r="AF15" i="133"/>
  <c r="AG15" i="133"/>
  <c r="AH15" i="133"/>
  <c r="AI15" i="133"/>
  <c r="AJ15" i="133"/>
  <c r="AK15" i="133"/>
  <c r="AM15" i="133"/>
  <c r="AN15" i="133"/>
  <c r="AO15" i="133"/>
  <c r="AP15" i="133"/>
  <c r="AQ15" i="133"/>
  <c r="AR15" i="133"/>
  <c r="AS15" i="133"/>
  <c r="AT15" i="133"/>
  <c r="AU15" i="133"/>
  <c r="AV15" i="133"/>
  <c r="AW15" i="133"/>
  <c r="AY15" i="133"/>
  <c r="AZ15" i="133"/>
  <c r="BA15" i="133"/>
  <c r="BB15" i="133"/>
  <c r="BC15" i="133"/>
  <c r="BD15" i="133"/>
  <c r="BE15" i="133"/>
  <c r="BF15" i="133"/>
  <c r="BG15" i="133"/>
  <c r="BH15" i="133"/>
  <c r="BI15" i="133"/>
  <c r="BK15" i="133"/>
  <c r="BL15" i="133"/>
  <c r="BM15" i="133"/>
  <c r="BN15" i="133"/>
  <c r="BO15" i="133"/>
  <c r="BP15" i="133"/>
  <c r="BQ15" i="133"/>
  <c r="BR15" i="133"/>
  <c r="BS15" i="133"/>
  <c r="BT15" i="133"/>
  <c r="BU15" i="133"/>
  <c r="AB16" i="133"/>
  <c r="AC16" i="133"/>
  <c r="AD16" i="133"/>
  <c r="AE16" i="133"/>
  <c r="AF16" i="133"/>
  <c r="AG16" i="133"/>
  <c r="AH16" i="133"/>
  <c r="AI16" i="133"/>
  <c r="AJ16" i="133"/>
  <c r="AK16" i="133"/>
  <c r="AM16" i="133"/>
  <c r="AN16" i="133"/>
  <c r="AO16" i="133"/>
  <c r="AP16" i="133"/>
  <c r="AQ16" i="133"/>
  <c r="AR16" i="133"/>
  <c r="AS16" i="133"/>
  <c r="AT16" i="133"/>
  <c r="AU16" i="133"/>
  <c r="AV16" i="133"/>
  <c r="AW16" i="133"/>
  <c r="AY16" i="133"/>
  <c r="AZ16" i="133"/>
  <c r="BA16" i="133"/>
  <c r="BB16" i="133"/>
  <c r="BC16" i="133"/>
  <c r="BD16" i="133"/>
  <c r="BE16" i="133"/>
  <c r="BF16" i="133"/>
  <c r="BG16" i="133"/>
  <c r="BH16" i="133"/>
  <c r="BI16" i="133"/>
  <c r="BK16" i="133"/>
  <c r="BL16" i="133"/>
  <c r="BM16" i="133"/>
  <c r="BN16" i="133"/>
  <c r="BO16" i="133"/>
  <c r="BP16" i="133"/>
  <c r="BQ16" i="133"/>
  <c r="BR16" i="133"/>
  <c r="BS16" i="133"/>
  <c r="BT16" i="133"/>
  <c r="BU16" i="133"/>
  <c r="BH21" i="141" l="1"/>
  <c r="BO31" i="141"/>
  <c r="BE35" i="141"/>
  <c r="BE33" i="141"/>
  <c r="BD37" i="141"/>
  <c r="BC18" i="141"/>
  <c r="BD7" i="141"/>
  <c r="BG25" i="141"/>
  <c r="BB30" i="141"/>
  <c r="BC39" i="141"/>
  <c r="BE36" i="141"/>
  <c r="BG22" i="141"/>
  <c r="BD32" i="141"/>
  <c r="BD34" i="141"/>
  <c r="BF23" i="141"/>
  <c r="BC38" i="141"/>
  <c r="AB20" i="69"/>
  <c r="Z15" i="69"/>
  <c r="AA15" i="69"/>
  <c r="Q16" i="69"/>
  <c r="R16" i="69"/>
  <c r="S16" i="69"/>
  <c r="T16" i="69"/>
  <c r="U16" i="69"/>
  <c r="V16" i="69"/>
  <c r="W16" i="69"/>
  <c r="X16" i="69"/>
  <c r="Y16" i="69"/>
  <c r="Z16" i="69"/>
  <c r="AA16" i="69"/>
  <c r="Q15" i="69"/>
  <c r="R15" i="69"/>
  <c r="S15" i="69"/>
  <c r="T15" i="69"/>
  <c r="U15" i="69"/>
  <c r="V15" i="69"/>
  <c r="W15" i="69"/>
  <c r="X15" i="69"/>
  <c r="Y15" i="69"/>
  <c r="AB16" i="69"/>
  <c r="Q17" i="69"/>
  <c r="R17" i="69"/>
  <c r="S17" i="69"/>
  <c r="T17" i="69"/>
  <c r="U17" i="69"/>
  <c r="V17" i="69"/>
  <c r="W17" i="69"/>
  <c r="X17" i="69"/>
  <c r="Y17" i="69"/>
  <c r="Z17" i="69"/>
  <c r="AA17" i="69"/>
  <c r="AD16" i="69"/>
  <c r="AE16" i="69"/>
  <c r="AF16" i="69"/>
  <c r="AG16" i="69"/>
  <c r="AH16" i="69"/>
  <c r="AI16" i="69"/>
  <c r="AJ16" i="69"/>
  <c r="AK16" i="69"/>
  <c r="AL16" i="69"/>
  <c r="AM16" i="69"/>
  <c r="AN16" i="69"/>
  <c r="AO16" i="69"/>
  <c r="AP16" i="69"/>
  <c r="AQ16" i="69"/>
  <c r="AR16" i="69"/>
  <c r="AS16" i="69"/>
  <c r="AT16" i="69"/>
  <c r="AU16" i="69"/>
  <c r="AV16" i="69"/>
  <c r="AW16" i="69"/>
  <c r="AX16" i="69"/>
  <c r="AY16" i="69"/>
  <c r="AZ16" i="69"/>
  <c r="BA16" i="69"/>
  <c r="BB16" i="69"/>
  <c r="BC16" i="69"/>
  <c r="BD16" i="69"/>
  <c r="BE16" i="69"/>
  <c r="BF16" i="69"/>
  <c r="BG16" i="69"/>
  <c r="BH16" i="69"/>
  <c r="BI16" i="69"/>
  <c r="BJ16" i="69"/>
  <c r="BK16" i="69"/>
  <c r="BL16" i="69"/>
  <c r="BM16" i="69"/>
  <c r="BN16" i="69"/>
  <c r="BO16" i="69"/>
  <c r="BP16" i="69"/>
  <c r="BQ16" i="69"/>
  <c r="BR16" i="69"/>
  <c r="BS16" i="69"/>
  <c r="BT16" i="69"/>
  <c r="BU16" i="69"/>
  <c r="BV16" i="69"/>
  <c r="BW16" i="69"/>
  <c r="BX16" i="69"/>
  <c r="BY16" i="69"/>
  <c r="AA11" i="69"/>
  <c r="BD38" i="141" l="1"/>
  <c r="BE34" i="141"/>
  <c r="BE32" i="141"/>
  <c r="BH22" i="141"/>
  <c r="BC30" i="141"/>
  <c r="BH25" i="141"/>
  <c r="BD39" i="141"/>
  <c r="BP31" i="141"/>
  <c r="BQ31" i="141" s="1"/>
  <c r="BR31" i="141" s="1"/>
  <c r="BS31" i="141" s="1"/>
  <c r="BT31" i="141" s="1"/>
  <c r="BF36" i="141"/>
  <c r="BE37" i="141"/>
  <c r="BF33" i="141"/>
  <c r="BI21" i="141"/>
  <c r="BG23" i="141"/>
  <c r="BD18" i="141"/>
  <c r="BE7" i="141"/>
  <c r="BF35" i="141"/>
  <c r="AD31" i="69"/>
  <c r="AE31" i="69"/>
  <c r="AF31" i="69"/>
  <c r="AG31" i="69"/>
  <c r="AH31" i="69"/>
  <c r="AI31" i="69"/>
  <c r="AJ31" i="69"/>
  <c r="AK31" i="69"/>
  <c r="AL31" i="69"/>
  <c r="AM31" i="69"/>
  <c r="AN31" i="69"/>
  <c r="AO31" i="69"/>
  <c r="AP31" i="69"/>
  <c r="AQ31" i="69"/>
  <c r="AR31" i="69"/>
  <c r="AS31" i="69"/>
  <c r="AT31" i="69"/>
  <c r="AU31" i="69"/>
  <c r="AV31" i="69"/>
  <c r="AW31" i="69"/>
  <c r="AX31" i="69"/>
  <c r="AY31" i="69"/>
  <c r="AZ31" i="69"/>
  <c r="BA31" i="69"/>
  <c r="BB31" i="69"/>
  <c r="BC31" i="69"/>
  <c r="BD31" i="69"/>
  <c r="BE31" i="69"/>
  <c r="BF31" i="69"/>
  <c r="BG31" i="69"/>
  <c r="BH31" i="69"/>
  <c r="BI31" i="69"/>
  <c r="BJ31" i="69"/>
  <c r="BK31" i="69"/>
  <c r="BL31" i="69"/>
  <c r="BM31" i="69"/>
  <c r="BN31" i="69"/>
  <c r="BO31" i="69"/>
  <c r="BP31" i="69"/>
  <c r="BQ31" i="69"/>
  <c r="BR31" i="69"/>
  <c r="BS31" i="69"/>
  <c r="BT31" i="69"/>
  <c r="BU31" i="69"/>
  <c r="BV31" i="69"/>
  <c r="BW31" i="69"/>
  <c r="AB9" i="69"/>
  <c r="AA76" i="34"/>
  <c r="AA71" i="34"/>
  <c r="AA72" i="34"/>
  <c r="AA22" i="70"/>
  <c r="AA14" i="70"/>
  <c r="AF124" i="81"/>
  <c r="AF80" i="81"/>
  <c r="AF72" i="81"/>
  <c r="AF35" i="81"/>
  <c r="AF33" i="81"/>
  <c r="AG17" i="81"/>
  <c r="AH17" i="81"/>
  <c r="AI17" i="81"/>
  <c r="AF17" i="81"/>
  <c r="AC1523" i="123"/>
  <c r="BJ21" i="141" l="1"/>
  <c r="BF37" i="141"/>
  <c r="BE38" i="141"/>
  <c r="BH23" i="141"/>
  <c r="BE39" i="141"/>
  <c r="BI25" i="141"/>
  <c r="BD30" i="141"/>
  <c r="BF32" i="141"/>
  <c r="BF34" i="141"/>
  <c r="BU31" i="141"/>
  <c r="BV31" i="141" s="1"/>
  <c r="BG36" i="141"/>
  <c r="BI22" i="141"/>
  <c r="BG35" i="141"/>
  <c r="BF7" i="141"/>
  <c r="BE18" i="141"/>
  <c r="BG33" i="141"/>
  <c r="AZ8" i="138"/>
  <c r="BA8" i="138"/>
  <c r="BB8" i="138"/>
  <c r="BC8" i="138"/>
  <c r="BD8" i="138"/>
  <c r="BE8" i="138"/>
  <c r="BF8" i="138"/>
  <c r="BG8" i="138"/>
  <c r="BH8" i="138"/>
  <c r="BI8" i="138"/>
  <c r="BJ8" i="138"/>
  <c r="BK8" i="138"/>
  <c r="BL8" i="138"/>
  <c r="BM8" i="138"/>
  <c r="BN8" i="138"/>
  <c r="BO8" i="138"/>
  <c r="BP8" i="138"/>
  <c r="BQ8" i="138"/>
  <c r="BR8" i="138"/>
  <c r="BS8" i="138"/>
  <c r="BT8" i="138"/>
  <c r="BU8" i="138"/>
  <c r="BV8" i="138"/>
  <c r="BW8" i="138"/>
  <c r="AA19" i="138"/>
  <c r="AB19" i="138"/>
  <c r="AC19" i="138"/>
  <c r="AD19" i="138"/>
  <c r="AE19" i="138"/>
  <c r="AF19" i="138"/>
  <c r="AG19" i="138"/>
  <c r="AH19" i="138"/>
  <c r="AI19" i="138"/>
  <c r="AJ19" i="138"/>
  <c r="AK19" i="138"/>
  <c r="AL19" i="138"/>
  <c r="AM19" i="138"/>
  <c r="AN19" i="138"/>
  <c r="AO19" i="138"/>
  <c r="AP19" i="138"/>
  <c r="AQ19" i="138"/>
  <c r="AR19" i="138"/>
  <c r="AS19" i="138"/>
  <c r="AT19" i="138"/>
  <c r="AU19" i="138"/>
  <c r="AV19" i="138"/>
  <c r="AW19" i="138"/>
  <c r="AX19" i="138"/>
  <c r="AY19" i="138"/>
  <c r="BY16" i="123"/>
  <c r="BZ16" i="123"/>
  <c r="CA16" i="123"/>
  <c r="BY25" i="123"/>
  <c r="BZ25" i="123"/>
  <c r="CA25" i="123"/>
  <c r="BY31" i="123"/>
  <c r="BZ31" i="123"/>
  <c r="CA31" i="123"/>
  <c r="BY35" i="123"/>
  <c r="BZ35" i="123"/>
  <c r="CA35" i="123"/>
  <c r="BY46" i="123"/>
  <c r="BZ46" i="123"/>
  <c r="CA46" i="123"/>
  <c r="BY61" i="123"/>
  <c r="BZ61" i="123"/>
  <c r="CA61" i="123"/>
  <c r="BY81" i="123"/>
  <c r="BZ81" i="123"/>
  <c r="CA81" i="123"/>
  <c r="BY85" i="123"/>
  <c r="BZ85" i="123"/>
  <c r="CA85" i="123"/>
  <c r="BY99" i="123"/>
  <c r="BZ99" i="123"/>
  <c r="CA99" i="123"/>
  <c r="BY107" i="123"/>
  <c r="BZ107" i="123"/>
  <c r="CA107" i="123"/>
  <c r="BY113" i="123"/>
  <c r="BZ113" i="123"/>
  <c r="CA113" i="123"/>
  <c r="BY121" i="123"/>
  <c r="BZ121" i="123"/>
  <c r="CA121" i="123"/>
  <c r="BY130" i="123"/>
  <c r="BZ130" i="123"/>
  <c r="CA130" i="123"/>
  <c r="BY140" i="123"/>
  <c r="BZ140" i="123"/>
  <c r="CA140" i="123"/>
  <c r="BY150" i="123"/>
  <c r="BZ150" i="123"/>
  <c r="CA150" i="123"/>
  <c r="BY158" i="123"/>
  <c r="BZ158" i="123"/>
  <c r="CA158" i="123"/>
  <c r="BY169" i="123"/>
  <c r="BZ169" i="123"/>
  <c r="CA169" i="123"/>
  <c r="BY184" i="123"/>
  <c r="BZ184" i="123"/>
  <c r="CA184" i="123"/>
  <c r="BY193" i="123"/>
  <c r="BZ193" i="123"/>
  <c r="CA193" i="123"/>
  <c r="BY199" i="123"/>
  <c r="BZ199" i="123"/>
  <c r="CA199" i="123"/>
  <c r="BY203" i="123"/>
  <c r="BZ203" i="123"/>
  <c r="CA203" i="123"/>
  <c r="BY214" i="123"/>
  <c r="BZ214" i="123"/>
  <c r="CA214" i="123"/>
  <c r="BY229" i="123"/>
  <c r="BZ229" i="123"/>
  <c r="CA229" i="123"/>
  <c r="BY249" i="123"/>
  <c r="BZ249" i="123"/>
  <c r="CA249" i="123"/>
  <c r="BY253" i="123"/>
  <c r="BZ253" i="123"/>
  <c r="CA253" i="123"/>
  <c r="BY267" i="123"/>
  <c r="BZ267" i="123"/>
  <c r="CA267" i="123"/>
  <c r="BY275" i="123"/>
  <c r="BZ275" i="123"/>
  <c r="CA275" i="123"/>
  <c r="BY281" i="123"/>
  <c r="BZ281" i="123"/>
  <c r="CA281" i="123"/>
  <c r="BY289" i="123"/>
  <c r="BZ289" i="123"/>
  <c r="CA289" i="123"/>
  <c r="BY298" i="123"/>
  <c r="BZ298" i="123"/>
  <c r="CA298" i="123"/>
  <c r="BY308" i="123"/>
  <c r="BZ308" i="123"/>
  <c r="CA308" i="123"/>
  <c r="BY318" i="123"/>
  <c r="BZ318" i="123"/>
  <c r="CA318" i="123"/>
  <c r="BY326" i="123"/>
  <c r="BZ326" i="123"/>
  <c r="CA326" i="123"/>
  <c r="BY337" i="123"/>
  <c r="BZ337" i="123"/>
  <c r="CA337" i="123"/>
  <c r="BY352" i="123"/>
  <c r="BZ352" i="123"/>
  <c r="CA352" i="123"/>
  <c r="BY361" i="123"/>
  <c r="BZ361" i="123"/>
  <c r="CA361" i="123"/>
  <c r="BY371" i="123"/>
  <c r="BZ371" i="123"/>
  <c r="CA371" i="123"/>
  <c r="BY382" i="123"/>
  <c r="BZ382" i="123"/>
  <c r="CA382" i="123"/>
  <c r="BY397" i="123"/>
  <c r="BZ397" i="123"/>
  <c r="CA397" i="123"/>
  <c r="BY417" i="123"/>
  <c r="BZ417" i="123"/>
  <c r="CA417" i="123"/>
  <c r="BY421" i="123"/>
  <c r="BZ421" i="123"/>
  <c r="CA421" i="123"/>
  <c r="BY435" i="123"/>
  <c r="BZ435" i="123"/>
  <c r="CA435" i="123"/>
  <c r="BY443" i="123"/>
  <c r="BZ443" i="123"/>
  <c r="CA443" i="123"/>
  <c r="BY449" i="123"/>
  <c r="BZ449" i="123"/>
  <c r="CA449" i="123"/>
  <c r="BY457" i="123"/>
  <c r="BZ457" i="123"/>
  <c r="CA457" i="123"/>
  <c r="BY466" i="123"/>
  <c r="BZ466" i="123"/>
  <c r="CA466" i="123"/>
  <c r="BY476" i="123"/>
  <c r="BZ476" i="123"/>
  <c r="CA476" i="123"/>
  <c r="BY486" i="123"/>
  <c r="BZ486" i="123"/>
  <c r="CA486" i="123"/>
  <c r="BY494" i="123"/>
  <c r="BZ494" i="123"/>
  <c r="CA494" i="123"/>
  <c r="BY505" i="123"/>
  <c r="BZ505" i="123"/>
  <c r="CA505" i="123"/>
  <c r="BY520" i="123"/>
  <c r="BZ520" i="123"/>
  <c r="CA520" i="123"/>
  <c r="BY529" i="123"/>
  <c r="BZ529" i="123"/>
  <c r="CA529" i="123"/>
  <c r="BY535" i="123"/>
  <c r="BZ535" i="123"/>
  <c r="CA535" i="123"/>
  <c r="BY539" i="123"/>
  <c r="BZ539" i="123"/>
  <c r="CA539" i="123"/>
  <c r="BY550" i="123"/>
  <c r="BZ550" i="123"/>
  <c r="CA550" i="123"/>
  <c r="BY565" i="123"/>
  <c r="BZ565" i="123"/>
  <c r="CA565" i="123"/>
  <c r="BY585" i="123"/>
  <c r="BZ585" i="123"/>
  <c r="CA585" i="123"/>
  <c r="BY589" i="123"/>
  <c r="BZ589" i="123"/>
  <c r="CA589" i="123"/>
  <c r="BY603" i="123"/>
  <c r="BZ603" i="123"/>
  <c r="CA603" i="123"/>
  <c r="BY611" i="123"/>
  <c r="BZ611" i="123"/>
  <c r="CA611" i="123"/>
  <c r="BY617" i="123"/>
  <c r="BZ617" i="123"/>
  <c r="CA617" i="123"/>
  <c r="BY625" i="123"/>
  <c r="BZ625" i="123"/>
  <c r="CA625" i="123"/>
  <c r="BY634" i="123"/>
  <c r="BZ634" i="123"/>
  <c r="CA634" i="123"/>
  <c r="BY644" i="123"/>
  <c r="BZ644" i="123"/>
  <c r="CA644" i="123"/>
  <c r="BY654" i="123"/>
  <c r="BZ654" i="123"/>
  <c r="CA654" i="123"/>
  <c r="BY662" i="123"/>
  <c r="BZ662" i="123"/>
  <c r="CA662" i="123"/>
  <c r="BY673" i="123"/>
  <c r="BZ673" i="123"/>
  <c r="CA673" i="123"/>
  <c r="BY688" i="123"/>
  <c r="BZ688" i="123"/>
  <c r="CA688" i="123"/>
  <c r="BY697" i="123"/>
  <c r="BZ697" i="123"/>
  <c r="CA697" i="123"/>
  <c r="BY703" i="123"/>
  <c r="BZ703" i="123"/>
  <c r="CA703" i="123"/>
  <c r="BY707" i="123"/>
  <c r="BZ707" i="123"/>
  <c r="CA707" i="123"/>
  <c r="BY718" i="123"/>
  <c r="BZ718" i="123"/>
  <c r="CA718" i="123"/>
  <c r="BY733" i="123"/>
  <c r="BZ733" i="123"/>
  <c r="CA733" i="123"/>
  <c r="BY753" i="123"/>
  <c r="BZ753" i="123"/>
  <c r="CA753" i="123"/>
  <c r="BY757" i="123"/>
  <c r="BZ757" i="123"/>
  <c r="CA757" i="123"/>
  <c r="BY771" i="123"/>
  <c r="BZ771" i="123"/>
  <c r="CA771" i="123"/>
  <c r="BY779" i="123"/>
  <c r="BZ779" i="123"/>
  <c r="CA779" i="123"/>
  <c r="BY785" i="123"/>
  <c r="BZ785" i="123"/>
  <c r="CA785" i="123"/>
  <c r="BY793" i="123"/>
  <c r="BZ793" i="123"/>
  <c r="CA793" i="123"/>
  <c r="BY802" i="123"/>
  <c r="BZ802" i="123"/>
  <c r="CA802" i="123"/>
  <c r="BY812" i="123"/>
  <c r="BZ812" i="123"/>
  <c r="CA812" i="123"/>
  <c r="BY822" i="123"/>
  <c r="BZ822" i="123"/>
  <c r="CA822" i="123"/>
  <c r="BY830" i="123"/>
  <c r="BZ830" i="123"/>
  <c r="CA830" i="123"/>
  <c r="BY841" i="123"/>
  <c r="BZ841" i="123"/>
  <c r="CA841" i="123"/>
  <c r="BY856" i="123"/>
  <c r="BZ856" i="123"/>
  <c r="CA856" i="123"/>
  <c r="BY865" i="123"/>
  <c r="BZ865" i="123"/>
  <c r="CA865" i="123"/>
  <c r="BY871" i="123"/>
  <c r="BZ871" i="123"/>
  <c r="CA871" i="123"/>
  <c r="BY875" i="123"/>
  <c r="BZ875" i="123"/>
  <c r="CA875" i="123"/>
  <c r="BY886" i="123"/>
  <c r="BZ886" i="123"/>
  <c r="CA886" i="123"/>
  <c r="BY901" i="123"/>
  <c r="BZ901" i="123"/>
  <c r="CA901" i="123"/>
  <c r="BY921" i="123"/>
  <c r="BZ921" i="123"/>
  <c r="CA921" i="123"/>
  <c r="BY925" i="123"/>
  <c r="BZ925" i="123"/>
  <c r="CA925" i="123"/>
  <c r="BY939" i="123"/>
  <c r="BZ939" i="123"/>
  <c r="CA939" i="123"/>
  <c r="BY947" i="123"/>
  <c r="BZ947" i="123"/>
  <c r="CA947" i="123"/>
  <c r="BY953" i="123"/>
  <c r="BZ953" i="123"/>
  <c r="CA953" i="123"/>
  <c r="BY961" i="123"/>
  <c r="BZ961" i="123"/>
  <c r="CA961" i="123"/>
  <c r="BY970" i="123"/>
  <c r="BZ970" i="123"/>
  <c r="CA970" i="123"/>
  <c r="BY980" i="123"/>
  <c r="BZ980" i="123"/>
  <c r="CA980" i="123"/>
  <c r="BY990" i="123"/>
  <c r="BZ990" i="123"/>
  <c r="CA990" i="123"/>
  <c r="BY998" i="123"/>
  <c r="BZ998" i="123"/>
  <c r="CA998" i="123"/>
  <c r="BY1009" i="123"/>
  <c r="BZ1009" i="123"/>
  <c r="CA1009" i="123"/>
  <c r="BY1024" i="123"/>
  <c r="BZ1024" i="123"/>
  <c r="CA1024" i="123"/>
  <c r="BY1033" i="123"/>
  <c r="BZ1033" i="123"/>
  <c r="CA1033" i="123"/>
  <c r="BY1039" i="123"/>
  <c r="BZ1039" i="123"/>
  <c r="CA1039" i="123"/>
  <c r="BY1043" i="123"/>
  <c r="BZ1043" i="123"/>
  <c r="CA1043" i="123"/>
  <c r="BY1054" i="123"/>
  <c r="BZ1054" i="123"/>
  <c r="CA1054" i="123"/>
  <c r="BY1069" i="123"/>
  <c r="BZ1069" i="123"/>
  <c r="CA1069" i="123"/>
  <c r="BY1089" i="123"/>
  <c r="BZ1089" i="123"/>
  <c r="CA1089" i="123"/>
  <c r="BY1093" i="123"/>
  <c r="BZ1093" i="123"/>
  <c r="CA1093" i="123"/>
  <c r="BY1107" i="123"/>
  <c r="BZ1107" i="123"/>
  <c r="CA1107" i="123"/>
  <c r="BY1115" i="123"/>
  <c r="BZ1115" i="123"/>
  <c r="CA1115" i="123"/>
  <c r="BY1121" i="123"/>
  <c r="BZ1121" i="123"/>
  <c r="CA1121" i="123"/>
  <c r="BY1129" i="123"/>
  <c r="BZ1129" i="123"/>
  <c r="CA1129" i="123"/>
  <c r="BY1138" i="123"/>
  <c r="BZ1138" i="123"/>
  <c r="CA1138" i="123"/>
  <c r="BY1148" i="123"/>
  <c r="BZ1148" i="123"/>
  <c r="CA1148" i="123"/>
  <c r="BY1158" i="123"/>
  <c r="BZ1158" i="123"/>
  <c r="CA1158" i="123"/>
  <c r="BY1166" i="123"/>
  <c r="BZ1166" i="123"/>
  <c r="CA1166" i="123"/>
  <c r="BY1177" i="123"/>
  <c r="BZ1177" i="123"/>
  <c r="CA1177" i="123"/>
  <c r="BY1192" i="123"/>
  <c r="BZ1192" i="123"/>
  <c r="CA1192" i="123"/>
  <c r="BY1201" i="123"/>
  <c r="BZ1201" i="123"/>
  <c r="CA1201" i="123"/>
  <c r="BY1207" i="123"/>
  <c r="BZ1207" i="123"/>
  <c r="CA1207" i="123"/>
  <c r="BY1222" i="123"/>
  <c r="BZ1222" i="123"/>
  <c r="CA1222" i="123"/>
  <c r="BY1237" i="123"/>
  <c r="BZ1237" i="123"/>
  <c r="CA1237" i="123"/>
  <c r="BY1257" i="123"/>
  <c r="BZ1257" i="123"/>
  <c r="CA1257" i="123"/>
  <c r="BY1261" i="123"/>
  <c r="BZ1261" i="123"/>
  <c r="CA1261" i="123"/>
  <c r="BY1275" i="123"/>
  <c r="BZ1275" i="123"/>
  <c r="CA1275" i="123"/>
  <c r="BY1283" i="123"/>
  <c r="BZ1283" i="123"/>
  <c r="CA1283" i="123"/>
  <c r="BY1289" i="123"/>
  <c r="BZ1289" i="123"/>
  <c r="CA1289" i="123"/>
  <c r="BY1297" i="123"/>
  <c r="BZ1297" i="123"/>
  <c r="CA1297" i="123"/>
  <c r="BY1306" i="123"/>
  <c r="BZ1306" i="123"/>
  <c r="CA1306" i="123"/>
  <c r="BY1316" i="123"/>
  <c r="BZ1316" i="123"/>
  <c r="CA1316" i="123"/>
  <c r="BY1326" i="123"/>
  <c r="BZ1326" i="123"/>
  <c r="CA1326" i="123"/>
  <c r="BY1334" i="123"/>
  <c r="BZ1334" i="123"/>
  <c r="CA1334" i="123"/>
  <c r="BY1345" i="123"/>
  <c r="BZ1345" i="123"/>
  <c r="CA1345" i="123"/>
  <c r="BP16" i="123"/>
  <c r="BQ16" i="123"/>
  <c r="BR16" i="123"/>
  <c r="BS16" i="123"/>
  <c r="BT16" i="123"/>
  <c r="BU16" i="123"/>
  <c r="BV16" i="123"/>
  <c r="BW16" i="123"/>
  <c r="BX16" i="123"/>
  <c r="BP25" i="123"/>
  <c r="BQ25" i="123"/>
  <c r="BR25" i="123"/>
  <c r="BS25" i="123"/>
  <c r="BT25" i="123"/>
  <c r="BU25" i="123"/>
  <c r="BV25" i="123"/>
  <c r="BW25" i="123"/>
  <c r="BX25" i="123"/>
  <c r="BP31" i="123"/>
  <c r="BQ31" i="123"/>
  <c r="BR31" i="123"/>
  <c r="BS31" i="123"/>
  <c r="BT31" i="123"/>
  <c r="BU31" i="123"/>
  <c r="BV31" i="123"/>
  <c r="BW31" i="123"/>
  <c r="BX31" i="123"/>
  <c r="BP35" i="123"/>
  <c r="BQ35" i="123"/>
  <c r="BR35" i="123"/>
  <c r="BS35" i="123"/>
  <c r="BT35" i="123"/>
  <c r="BU35" i="123"/>
  <c r="BV35" i="123"/>
  <c r="BW35" i="123"/>
  <c r="BX35" i="123"/>
  <c r="BP46" i="123"/>
  <c r="BQ46" i="123"/>
  <c r="BR46" i="123"/>
  <c r="BS46" i="123"/>
  <c r="BT46" i="123"/>
  <c r="BU46" i="123"/>
  <c r="BV46" i="123"/>
  <c r="BW46" i="123"/>
  <c r="BX46" i="123"/>
  <c r="BP61" i="123"/>
  <c r="BQ61" i="123"/>
  <c r="BR61" i="123"/>
  <c r="BS61" i="123"/>
  <c r="BT61" i="123"/>
  <c r="BU61" i="123"/>
  <c r="BV61" i="123"/>
  <c r="BW61" i="123"/>
  <c r="BX61" i="123"/>
  <c r="BP81" i="123"/>
  <c r="BQ81" i="123"/>
  <c r="BR81" i="123"/>
  <c r="BS81" i="123"/>
  <c r="BT81" i="123"/>
  <c r="BU81" i="123"/>
  <c r="BV81" i="123"/>
  <c r="BW81" i="123"/>
  <c r="BX81" i="123"/>
  <c r="BP85" i="123"/>
  <c r="BQ85" i="123"/>
  <c r="BR85" i="123"/>
  <c r="BS85" i="123"/>
  <c r="BT85" i="123"/>
  <c r="BU85" i="123"/>
  <c r="BV85" i="123"/>
  <c r="BW85" i="123"/>
  <c r="BX85" i="123"/>
  <c r="BP99" i="123"/>
  <c r="BQ99" i="123"/>
  <c r="BR99" i="123"/>
  <c r="BS99" i="123"/>
  <c r="BT99" i="123"/>
  <c r="BU99" i="123"/>
  <c r="BV99" i="123"/>
  <c r="BW99" i="123"/>
  <c r="BX99" i="123"/>
  <c r="BP107" i="123"/>
  <c r="BQ107" i="123"/>
  <c r="BR107" i="123"/>
  <c r="BS107" i="123"/>
  <c r="BT107" i="123"/>
  <c r="BU107" i="123"/>
  <c r="BV107" i="123"/>
  <c r="BW107" i="123"/>
  <c r="BX107" i="123"/>
  <c r="BP113" i="123"/>
  <c r="BQ113" i="123"/>
  <c r="BR113" i="123"/>
  <c r="BS113" i="123"/>
  <c r="BT113" i="123"/>
  <c r="BU113" i="123"/>
  <c r="BV113" i="123"/>
  <c r="BW113" i="123"/>
  <c r="BX113" i="123"/>
  <c r="BP121" i="123"/>
  <c r="BQ121" i="123"/>
  <c r="BR121" i="123"/>
  <c r="BS121" i="123"/>
  <c r="BT121" i="123"/>
  <c r="BU121" i="123"/>
  <c r="BV121" i="123"/>
  <c r="BW121" i="123"/>
  <c r="BX121" i="123"/>
  <c r="BP130" i="123"/>
  <c r="BQ130" i="123"/>
  <c r="BR130" i="123"/>
  <c r="BS130" i="123"/>
  <c r="BT130" i="123"/>
  <c r="BU130" i="123"/>
  <c r="BV130" i="123"/>
  <c r="BW130" i="123"/>
  <c r="BX130" i="123"/>
  <c r="BP140" i="123"/>
  <c r="BQ140" i="123"/>
  <c r="BR140" i="123"/>
  <c r="BS140" i="123"/>
  <c r="BT140" i="123"/>
  <c r="BU140" i="123"/>
  <c r="BV140" i="123"/>
  <c r="BW140" i="123"/>
  <c r="BX140" i="123"/>
  <c r="BP150" i="123"/>
  <c r="BQ150" i="123"/>
  <c r="BR150" i="123"/>
  <c r="BS150" i="123"/>
  <c r="BT150" i="123"/>
  <c r="BU150" i="123"/>
  <c r="BV150" i="123"/>
  <c r="BW150" i="123"/>
  <c r="BX150" i="123"/>
  <c r="BP158" i="123"/>
  <c r="BQ158" i="123"/>
  <c r="BR158" i="123"/>
  <c r="BS158" i="123"/>
  <c r="BT158" i="123"/>
  <c r="BU158" i="123"/>
  <c r="BV158" i="123"/>
  <c r="BW158" i="123"/>
  <c r="BX158" i="123"/>
  <c r="BP169" i="123"/>
  <c r="BQ169" i="123"/>
  <c r="BR169" i="123"/>
  <c r="BS169" i="123"/>
  <c r="BT169" i="123"/>
  <c r="BU169" i="123"/>
  <c r="BV169" i="123"/>
  <c r="BW169" i="123"/>
  <c r="BX169" i="123"/>
  <c r="BP184" i="123"/>
  <c r="BQ184" i="123"/>
  <c r="BR184" i="123"/>
  <c r="BS184" i="123"/>
  <c r="BT184" i="123"/>
  <c r="BU184" i="123"/>
  <c r="BV184" i="123"/>
  <c r="BW184" i="123"/>
  <c r="BX184" i="123"/>
  <c r="BP193" i="123"/>
  <c r="BQ193" i="123"/>
  <c r="BR193" i="123"/>
  <c r="BS193" i="123"/>
  <c r="BT193" i="123"/>
  <c r="BU193" i="123"/>
  <c r="BV193" i="123"/>
  <c r="BW193" i="123"/>
  <c r="BX193" i="123"/>
  <c r="BP199" i="123"/>
  <c r="BQ199" i="123"/>
  <c r="BR199" i="123"/>
  <c r="BS199" i="123"/>
  <c r="BT199" i="123"/>
  <c r="BU199" i="123"/>
  <c r="BV199" i="123"/>
  <c r="BW199" i="123"/>
  <c r="BX199" i="123"/>
  <c r="BP203" i="123"/>
  <c r="BQ203" i="123"/>
  <c r="BR203" i="123"/>
  <c r="BS203" i="123"/>
  <c r="BT203" i="123"/>
  <c r="BU203" i="123"/>
  <c r="BV203" i="123"/>
  <c r="BW203" i="123"/>
  <c r="BX203" i="123"/>
  <c r="BP214" i="123"/>
  <c r="BQ214" i="123"/>
  <c r="BR214" i="123"/>
  <c r="BS214" i="123"/>
  <c r="BT214" i="123"/>
  <c r="BU214" i="123"/>
  <c r="BV214" i="123"/>
  <c r="BW214" i="123"/>
  <c r="BX214" i="123"/>
  <c r="BP229" i="123"/>
  <c r="BQ229" i="123"/>
  <c r="BR229" i="123"/>
  <c r="BS229" i="123"/>
  <c r="BT229" i="123"/>
  <c r="BU229" i="123"/>
  <c r="BV229" i="123"/>
  <c r="BW229" i="123"/>
  <c r="BX229" i="123"/>
  <c r="BP249" i="123"/>
  <c r="BQ249" i="123"/>
  <c r="BR249" i="123"/>
  <c r="BS249" i="123"/>
  <c r="BT249" i="123"/>
  <c r="BU249" i="123"/>
  <c r="BV249" i="123"/>
  <c r="BW249" i="123"/>
  <c r="BX249" i="123"/>
  <c r="BP253" i="123"/>
  <c r="BQ253" i="123"/>
  <c r="BR253" i="123"/>
  <c r="BS253" i="123"/>
  <c r="BT253" i="123"/>
  <c r="BU253" i="123"/>
  <c r="BV253" i="123"/>
  <c r="BW253" i="123"/>
  <c r="BX253" i="123"/>
  <c r="BP267" i="123"/>
  <c r="BQ267" i="123"/>
  <c r="BR267" i="123"/>
  <c r="BS267" i="123"/>
  <c r="BT267" i="123"/>
  <c r="BU267" i="123"/>
  <c r="BV267" i="123"/>
  <c r="BW267" i="123"/>
  <c r="BX267" i="123"/>
  <c r="BP275" i="123"/>
  <c r="BQ275" i="123"/>
  <c r="BR275" i="123"/>
  <c r="BS275" i="123"/>
  <c r="BT275" i="123"/>
  <c r="BU275" i="123"/>
  <c r="BV275" i="123"/>
  <c r="BW275" i="123"/>
  <c r="BX275" i="123"/>
  <c r="BP281" i="123"/>
  <c r="BQ281" i="123"/>
  <c r="BR281" i="123"/>
  <c r="BS281" i="123"/>
  <c r="BT281" i="123"/>
  <c r="BU281" i="123"/>
  <c r="BV281" i="123"/>
  <c r="BW281" i="123"/>
  <c r="BX281" i="123"/>
  <c r="BP289" i="123"/>
  <c r="BQ289" i="123"/>
  <c r="BR289" i="123"/>
  <c r="BS289" i="123"/>
  <c r="BT289" i="123"/>
  <c r="BU289" i="123"/>
  <c r="BV289" i="123"/>
  <c r="BW289" i="123"/>
  <c r="BX289" i="123"/>
  <c r="BP298" i="123"/>
  <c r="BQ298" i="123"/>
  <c r="BR298" i="123"/>
  <c r="BS298" i="123"/>
  <c r="BT298" i="123"/>
  <c r="BU298" i="123"/>
  <c r="BV298" i="123"/>
  <c r="BW298" i="123"/>
  <c r="BX298" i="123"/>
  <c r="BP308" i="123"/>
  <c r="BQ308" i="123"/>
  <c r="BR308" i="123"/>
  <c r="BS308" i="123"/>
  <c r="BT308" i="123"/>
  <c r="BU308" i="123"/>
  <c r="BV308" i="123"/>
  <c r="BW308" i="123"/>
  <c r="BX308" i="123"/>
  <c r="BP318" i="123"/>
  <c r="BQ318" i="123"/>
  <c r="BR318" i="123"/>
  <c r="BS318" i="123"/>
  <c r="BT318" i="123"/>
  <c r="BU318" i="123"/>
  <c r="BV318" i="123"/>
  <c r="BW318" i="123"/>
  <c r="BX318" i="123"/>
  <c r="BP326" i="123"/>
  <c r="BQ326" i="123"/>
  <c r="BR326" i="123"/>
  <c r="BS326" i="123"/>
  <c r="BT326" i="123"/>
  <c r="BU326" i="123"/>
  <c r="BV326" i="123"/>
  <c r="BW326" i="123"/>
  <c r="BX326" i="123"/>
  <c r="BP337" i="123"/>
  <c r="BQ337" i="123"/>
  <c r="BR337" i="123"/>
  <c r="BS337" i="123"/>
  <c r="BT337" i="123"/>
  <c r="BU337" i="123"/>
  <c r="BV337" i="123"/>
  <c r="BW337" i="123"/>
  <c r="BX337" i="123"/>
  <c r="BP352" i="123"/>
  <c r="BQ352" i="123"/>
  <c r="BR352" i="123"/>
  <c r="BS352" i="123"/>
  <c r="BT352" i="123"/>
  <c r="BU352" i="123"/>
  <c r="BV352" i="123"/>
  <c r="BW352" i="123"/>
  <c r="BX352" i="123"/>
  <c r="BP361" i="123"/>
  <c r="BQ361" i="123"/>
  <c r="BR361" i="123"/>
  <c r="BS361" i="123"/>
  <c r="BT361" i="123"/>
  <c r="BU361" i="123"/>
  <c r="BV361" i="123"/>
  <c r="BW361" i="123"/>
  <c r="BX361" i="123"/>
  <c r="BP371" i="123"/>
  <c r="BQ371" i="123"/>
  <c r="BR371" i="123"/>
  <c r="BS371" i="123"/>
  <c r="BT371" i="123"/>
  <c r="BU371" i="123"/>
  <c r="BV371" i="123"/>
  <c r="BW371" i="123"/>
  <c r="BX371" i="123"/>
  <c r="BP382" i="123"/>
  <c r="BQ382" i="123"/>
  <c r="BR382" i="123"/>
  <c r="BS382" i="123"/>
  <c r="BT382" i="123"/>
  <c r="BU382" i="123"/>
  <c r="BV382" i="123"/>
  <c r="BW382" i="123"/>
  <c r="BX382" i="123"/>
  <c r="BP397" i="123"/>
  <c r="BQ397" i="123"/>
  <c r="BR397" i="123"/>
  <c r="BS397" i="123"/>
  <c r="BT397" i="123"/>
  <c r="BU397" i="123"/>
  <c r="BV397" i="123"/>
  <c r="BW397" i="123"/>
  <c r="BX397" i="123"/>
  <c r="BP417" i="123"/>
  <c r="BQ417" i="123"/>
  <c r="BR417" i="123"/>
  <c r="BS417" i="123"/>
  <c r="BT417" i="123"/>
  <c r="BU417" i="123"/>
  <c r="BV417" i="123"/>
  <c r="BW417" i="123"/>
  <c r="BX417" i="123"/>
  <c r="BP421" i="123"/>
  <c r="BQ421" i="123"/>
  <c r="BR421" i="123"/>
  <c r="BS421" i="123"/>
  <c r="BT421" i="123"/>
  <c r="BU421" i="123"/>
  <c r="BV421" i="123"/>
  <c r="BW421" i="123"/>
  <c r="BX421" i="123"/>
  <c r="BP435" i="123"/>
  <c r="BQ435" i="123"/>
  <c r="BR435" i="123"/>
  <c r="BS435" i="123"/>
  <c r="BT435" i="123"/>
  <c r="BU435" i="123"/>
  <c r="BV435" i="123"/>
  <c r="BW435" i="123"/>
  <c r="BX435" i="123"/>
  <c r="BP443" i="123"/>
  <c r="BQ443" i="123"/>
  <c r="BR443" i="123"/>
  <c r="BS443" i="123"/>
  <c r="BT443" i="123"/>
  <c r="BU443" i="123"/>
  <c r="BV443" i="123"/>
  <c r="BW443" i="123"/>
  <c r="BX443" i="123"/>
  <c r="BP449" i="123"/>
  <c r="BQ449" i="123"/>
  <c r="BR449" i="123"/>
  <c r="BS449" i="123"/>
  <c r="BT449" i="123"/>
  <c r="BU449" i="123"/>
  <c r="BV449" i="123"/>
  <c r="BW449" i="123"/>
  <c r="BX449" i="123"/>
  <c r="BP457" i="123"/>
  <c r="BQ457" i="123"/>
  <c r="BR457" i="123"/>
  <c r="BS457" i="123"/>
  <c r="BT457" i="123"/>
  <c r="BU457" i="123"/>
  <c r="BV457" i="123"/>
  <c r="BW457" i="123"/>
  <c r="BX457" i="123"/>
  <c r="BP466" i="123"/>
  <c r="BQ466" i="123"/>
  <c r="BR466" i="123"/>
  <c r="BS466" i="123"/>
  <c r="BT466" i="123"/>
  <c r="BU466" i="123"/>
  <c r="BV466" i="123"/>
  <c r="BW466" i="123"/>
  <c r="BX466" i="123"/>
  <c r="BP476" i="123"/>
  <c r="BQ476" i="123"/>
  <c r="BR476" i="123"/>
  <c r="BS476" i="123"/>
  <c r="BT476" i="123"/>
  <c r="BU476" i="123"/>
  <c r="BV476" i="123"/>
  <c r="BW476" i="123"/>
  <c r="BX476" i="123"/>
  <c r="BP486" i="123"/>
  <c r="BQ486" i="123"/>
  <c r="BR486" i="123"/>
  <c r="BS486" i="123"/>
  <c r="BT486" i="123"/>
  <c r="BU486" i="123"/>
  <c r="BV486" i="123"/>
  <c r="BW486" i="123"/>
  <c r="BX486" i="123"/>
  <c r="BP494" i="123"/>
  <c r="BQ494" i="123"/>
  <c r="BR494" i="123"/>
  <c r="BS494" i="123"/>
  <c r="BT494" i="123"/>
  <c r="BU494" i="123"/>
  <c r="BV494" i="123"/>
  <c r="BW494" i="123"/>
  <c r="BX494" i="123"/>
  <c r="BP505" i="123"/>
  <c r="BQ505" i="123"/>
  <c r="BR505" i="123"/>
  <c r="BS505" i="123"/>
  <c r="BT505" i="123"/>
  <c r="BU505" i="123"/>
  <c r="BV505" i="123"/>
  <c r="BW505" i="123"/>
  <c r="BX505" i="123"/>
  <c r="BP520" i="123"/>
  <c r="BQ520" i="123"/>
  <c r="BR520" i="123"/>
  <c r="BS520" i="123"/>
  <c r="BT520" i="123"/>
  <c r="BU520" i="123"/>
  <c r="BV520" i="123"/>
  <c r="BW520" i="123"/>
  <c r="BX520" i="123"/>
  <c r="BP529" i="123"/>
  <c r="BQ529" i="123"/>
  <c r="BR529" i="123"/>
  <c r="BS529" i="123"/>
  <c r="BT529" i="123"/>
  <c r="BU529" i="123"/>
  <c r="BV529" i="123"/>
  <c r="BW529" i="123"/>
  <c r="BX529" i="123"/>
  <c r="BP535" i="123"/>
  <c r="BQ535" i="123"/>
  <c r="BR535" i="123"/>
  <c r="BS535" i="123"/>
  <c r="BT535" i="123"/>
  <c r="BU535" i="123"/>
  <c r="BV535" i="123"/>
  <c r="BW535" i="123"/>
  <c r="BX535" i="123"/>
  <c r="BP539" i="123"/>
  <c r="BQ539" i="123"/>
  <c r="BR539" i="123"/>
  <c r="BS539" i="123"/>
  <c r="BT539" i="123"/>
  <c r="BU539" i="123"/>
  <c r="BV539" i="123"/>
  <c r="BW539" i="123"/>
  <c r="BX539" i="123"/>
  <c r="BP550" i="123"/>
  <c r="BQ550" i="123"/>
  <c r="BR550" i="123"/>
  <c r="BS550" i="123"/>
  <c r="BT550" i="123"/>
  <c r="BU550" i="123"/>
  <c r="BV550" i="123"/>
  <c r="BW550" i="123"/>
  <c r="BX550" i="123"/>
  <c r="BP565" i="123"/>
  <c r="BQ565" i="123"/>
  <c r="BR565" i="123"/>
  <c r="BS565" i="123"/>
  <c r="BT565" i="123"/>
  <c r="BU565" i="123"/>
  <c r="BV565" i="123"/>
  <c r="BW565" i="123"/>
  <c r="BX565" i="123"/>
  <c r="BP585" i="123"/>
  <c r="BQ585" i="123"/>
  <c r="BR585" i="123"/>
  <c r="BS585" i="123"/>
  <c r="BT585" i="123"/>
  <c r="BU585" i="123"/>
  <c r="BV585" i="123"/>
  <c r="BW585" i="123"/>
  <c r="BX585" i="123"/>
  <c r="BP589" i="123"/>
  <c r="BQ589" i="123"/>
  <c r="BR589" i="123"/>
  <c r="BS589" i="123"/>
  <c r="BT589" i="123"/>
  <c r="BU589" i="123"/>
  <c r="BV589" i="123"/>
  <c r="BW589" i="123"/>
  <c r="BX589" i="123"/>
  <c r="BP603" i="123"/>
  <c r="BQ603" i="123"/>
  <c r="BR603" i="123"/>
  <c r="BS603" i="123"/>
  <c r="BT603" i="123"/>
  <c r="BU603" i="123"/>
  <c r="BV603" i="123"/>
  <c r="BW603" i="123"/>
  <c r="BX603" i="123"/>
  <c r="BP611" i="123"/>
  <c r="BQ611" i="123"/>
  <c r="BR611" i="123"/>
  <c r="BS611" i="123"/>
  <c r="BT611" i="123"/>
  <c r="BU611" i="123"/>
  <c r="BV611" i="123"/>
  <c r="BW611" i="123"/>
  <c r="BX611" i="123"/>
  <c r="BP617" i="123"/>
  <c r="BQ617" i="123"/>
  <c r="BR617" i="123"/>
  <c r="BS617" i="123"/>
  <c r="BT617" i="123"/>
  <c r="BU617" i="123"/>
  <c r="BV617" i="123"/>
  <c r="BW617" i="123"/>
  <c r="BX617" i="123"/>
  <c r="BP625" i="123"/>
  <c r="BQ625" i="123"/>
  <c r="BR625" i="123"/>
  <c r="BS625" i="123"/>
  <c r="BT625" i="123"/>
  <c r="BU625" i="123"/>
  <c r="BV625" i="123"/>
  <c r="BW625" i="123"/>
  <c r="BX625" i="123"/>
  <c r="BP634" i="123"/>
  <c r="BQ634" i="123"/>
  <c r="BR634" i="123"/>
  <c r="BS634" i="123"/>
  <c r="BT634" i="123"/>
  <c r="BU634" i="123"/>
  <c r="BV634" i="123"/>
  <c r="BW634" i="123"/>
  <c r="BX634" i="123"/>
  <c r="BP644" i="123"/>
  <c r="BQ644" i="123"/>
  <c r="BR644" i="123"/>
  <c r="BS644" i="123"/>
  <c r="BT644" i="123"/>
  <c r="BU644" i="123"/>
  <c r="BV644" i="123"/>
  <c r="BW644" i="123"/>
  <c r="BX644" i="123"/>
  <c r="BP654" i="123"/>
  <c r="BQ654" i="123"/>
  <c r="BR654" i="123"/>
  <c r="BS654" i="123"/>
  <c r="BT654" i="123"/>
  <c r="BU654" i="123"/>
  <c r="BV654" i="123"/>
  <c r="BW654" i="123"/>
  <c r="BX654" i="123"/>
  <c r="BP662" i="123"/>
  <c r="BQ662" i="123"/>
  <c r="BR662" i="123"/>
  <c r="BS662" i="123"/>
  <c r="BT662" i="123"/>
  <c r="BU662" i="123"/>
  <c r="BV662" i="123"/>
  <c r="BW662" i="123"/>
  <c r="BX662" i="123"/>
  <c r="BP673" i="123"/>
  <c r="BQ673" i="123"/>
  <c r="BR673" i="123"/>
  <c r="BS673" i="123"/>
  <c r="BT673" i="123"/>
  <c r="BU673" i="123"/>
  <c r="BV673" i="123"/>
  <c r="BW673" i="123"/>
  <c r="BX673" i="123"/>
  <c r="BP688" i="123"/>
  <c r="BQ688" i="123"/>
  <c r="BR688" i="123"/>
  <c r="BS688" i="123"/>
  <c r="BT688" i="123"/>
  <c r="BU688" i="123"/>
  <c r="BV688" i="123"/>
  <c r="BW688" i="123"/>
  <c r="BX688" i="123"/>
  <c r="BP697" i="123"/>
  <c r="BQ697" i="123"/>
  <c r="BR697" i="123"/>
  <c r="BS697" i="123"/>
  <c r="BT697" i="123"/>
  <c r="BU697" i="123"/>
  <c r="BV697" i="123"/>
  <c r="BW697" i="123"/>
  <c r="BX697" i="123"/>
  <c r="BP703" i="123"/>
  <c r="BQ703" i="123"/>
  <c r="BR703" i="123"/>
  <c r="BS703" i="123"/>
  <c r="BT703" i="123"/>
  <c r="BU703" i="123"/>
  <c r="BV703" i="123"/>
  <c r="BW703" i="123"/>
  <c r="BX703" i="123"/>
  <c r="BP707" i="123"/>
  <c r="BQ707" i="123"/>
  <c r="BR707" i="123"/>
  <c r="BS707" i="123"/>
  <c r="BT707" i="123"/>
  <c r="BU707" i="123"/>
  <c r="BV707" i="123"/>
  <c r="BW707" i="123"/>
  <c r="BX707" i="123"/>
  <c r="BP718" i="123"/>
  <c r="BQ718" i="123"/>
  <c r="BR718" i="123"/>
  <c r="BS718" i="123"/>
  <c r="BT718" i="123"/>
  <c r="BU718" i="123"/>
  <c r="BV718" i="123"/>
  <c r="BW718" i="123"/>
  <c r="BX718" i="123"/>
  <c r="BP733" i="123"/>
  <c r="BQ733" i="123"/>
  <c r="BR733" i="123"/>
  <c r="BS733" i="123"/>
  <c r="BT733" i="123"/>
  <c r="BU733" i="123"/>
  <c r="BV733" i="123"/>
  <c r="BW733" i="123"/>
  <c r="BX733" i="123"/>
  <c r="BP753" i="123"/>
  <c r="BQ753" i="123"/>
  <c r="BR753" i="123"/>
  <c r="BS753" i="123"/>
  <c r="BT753" i="123"/>
  <c r="BU753" i="123"/>
  <c r="BV753" i="123"/>
  <c r="BW753" i="123"/>
  <c r="BX753" i="123"/>
  <c r="BP757" i="123"/>
  <c r="BQ757" i="123"/>
  <c r="BR757" i="123"/>
  <c r="BS757" i="123"/>
  <c r="BT757" i="123"/>
  <c r="BU757" i="123"/>
  <c r="BV757" i="123"/>
  <c r="BW757" i="123"/>
  <c r="BX757" i="123"/>
  <c r="BP771" i="123"/>
  <c r="BQ771" i="123"/>
  <c r="BR771" i="123"/>
  <c r="BS771" i="123"/>
  <c r="BT771" i="123"/>
  <c r="BU771" i="123"/>
  <c r="BV771" i="123"/>
  <c r="BW771" i="123"/>
  <c r="BX771" i="123"/>
  <c r="BP779" i="123"/>
  <c r="BQ779" i="123"/>
  <c r="BR779" i="123"/>
  <c r="BS779" i="123"/>
  <c r="BT779" i="123"/>
  <c r="BU779" i="123"/>
  <c r="BV779" i="123"/>
  <c r="BW779" i="123"/>
  <c r="BX779" i="123"/>
  <c r="BP785" i="123"/>
  <c r="BQ785" i="123"/>
  <c r="BR785" i="123"/>
  <c r="BS785" i="123"/>
  <c r="BT785" i="123"/>
  <c r="BU785" i="123"/>
  <c r="BV785" i="123"/>
  <c r="BW785" i="123"/>
  <c r="BX785" i="123"/>
  <c r="BP793" i="123"/>
  <c r="BQ793" i="123"/>
  <c r="BR793" i="123"/>
  <c r="BS793" i="123"/>
  <c r="BT793" i="123"/>
  <c r="BU793" i="123"/>
  <c r="BV793" i="123"/>
  <c r="BW793" i="123"/>
  <c r="BX793" i="123"/>
  <c r="BP802" i="123"/>
  <c r="BQ802" i="123"/>
  <c r="BR802" i="123"/>
  <c r="BS802" i="123"/>
  <c r="BT802" i="123"/>
  <c r="BU802" i="123"/>
  <c r="BV802" i="123"/>
  <c r="BW802" i="123"/>
  <c r="BX802" i="123"/>
  <c r="BP812" i="123"/>
  <c r="BQ812" i="123"/>
  <c r="BR812" i="123"/>
  <c r="BS812" i="123"/>
  <c r="BT812" i="123"/>
  <c r="BU812" i="123"/>
  <c r="BV812" i="123"/>
  <c r="BW812" i="123"/>
  <c r="BX812" i="123"/>
  <c r="BP822" i="123"/>
  <c r="BQ822" i="123"/>
  <c r="BR822" i="123"/>
  <c r="BS822" i="123"/>
  <c r="BT822" i="123"/>
  <c r="BU822" i="123"/>
  <c r="BV822" i="123"/>
  <c r="BW822" i="123"/>
  <c r="BX822" i="123"/>
  <c r="BP830" i="123"/>
  <c r="BQ830" i="123"/>
  <c r="BR830" i="123"/>
  <c r="BS830" i="123"/>
  <c r="BT830" i="123"/>
  <c r="BU830" i="123"/>
  <c r="BV830" i="123"/>
  <c r="BW830" i="123"/>
  <c r="BX830" i="123"/>
  <c r="BP841" i="123"/>
  <c r="BQ841" i="123"/>
  <c r="BR841" i="123"/>
  <c r="BS841" i="123"/>
  <c r="BT841" i="123"/>
  <c r="BU841" i="123"/>
  <c r="BV841" i="123"/>
  <c r="BW841" i="123"/>
  <c r="BX841" i="123"/>
  <c r="BP856" i="123"/>
  <c r="BQ856" i="123"/>
  <c r="BR856" i="123"/>
  <c r="BS856" i="123"/>
  <c r="BT856" i="123"/>
  <c r="BU856" i="123"/>
  <c r="BV856" i="123"/>
  <c r="BW856" i="123"/>
  <c r="BX856" i="123"/>
  <c r="BP865" i="123"/>
  <c r="BQ865" i="123"/>
  <c r="BR865" i="123"/>
  <c r="BS865" i="123"/>
  <c r="BT865" i="123"/>
  <c r="BU865" i="123"/>
  <c r="BV865" i="123"/>
  <c r="BW865" i="123"/>
  <c r="BX865" i="123"/>
  <c r="BP871" i="123"/>
  <c r="BQ871" i="123"/>
  <c r="BR871" i="123"/>
  <c r="BS871" i="123"/>
  <c r="BT871" i="123"/>
  <c r="BU871" i="123"/>
  <c r="BV871" i="123"/>
  <c r="BW871" i="123"/>
  <c r="BX871" i="123"/>
  <c r="BP875" i="123"/>
  <c r="BQ875" i="123"/>
  <c r="BR875" i="123"/>
  <c r="BS875" i="123"/>
  <c r="BT875" i="123"/>
  <c r="BU875" i="123"/>
  <c r="BV875" i="123"/>
  <c r="BW875" i="123"/>
  <c r="BX875" i="123"/>
  <c r="BP886" i="123"/>
  <c r="BQ886" i="123"/>
  <c r="BR886" i="123"/>
  <c r="BS886" i="123"/>
  <c r="BT886" i="123"/>
  <c r="BU886" i="123"/>
  <c r="BV886" i="123"/>
  <c r="BW886" i="123"/>
  <c r="BX886" i="123"/>
  <c r="BP901" i="123"/>
  <c r="BQ901" i="123"/>
  <c r="BR901" i="123"/>
  <c r="BS901" i="123"/>
  <c r="BT901" i="123"/>
  <c r="BU901" i="123"/>
  <c r="BV901" i="123"/>
  <c r="BW901" i="123"/>
  <c r="BX901" i="123"/>
  <c r="BP921" i="123"/>
  <c r="BQ921" i="123"/>
  <c r="BR921" i="123"/>
  <c r="BS921" i="123"/>
  <c r="BT921" i="123"/>
  <c r="BU921" i="123"/>
  <c r="BV921" i="123"/>
  <c r="BW921" i="123"/>
  <c r="BX921" i="123"/>
  <c r="BP925" i="123"/>
  <c r="BQ925" i="123"/>
  <c r="BR925" i="123"/>
  <c r="BS925" i="123"/>
  <c r="BT925" i="123"/>
  <c r="BU925" i="123"/>
  <c r="BV925" i="123"/>
  <c r="BW925" i="123"/>
  <c r="BX925" i="123"/>
  <c r="BP939" i="123"/>
  <c r="BQ939" i="123"/>
  <c r="BR939" i="123"/>
  <c r="BS939" i="123"/>
  <c r="BT939" i="123"/>
  <c r="BU939" i="123"/>
  <c r="BV939" i="123"/>
  <c r="BW939" i="123"/>
  <c r="BX939" i="123"/>
  <c r="BP947" i="123"/>
  <c r="BQ947" i="123"/>
  <c r="BR947" i="123"/>
  <c r="BS947" i="123"/>
  <c r="BT947" i="123"/>
  <c r="BU947" i="123"/>
  <c r="BV947" i="123"/>
  <c r="BW947" i="123"/>
  <c r="BX947" i="123"/>
  <c r="BP953" i="123"/>
  <c r="BQ953" i="123"/>
  <c r="BR953" i="123"/>
  <c r="BS953" i="123"/>
  <c r="BT953" i="123"/>
  <c r="BU953" i="123"/>
  <c r="BV953" i="123"/>
  <c r="BW953" i="123"/>
  <c r="BX953" i="123"/>
  <c r="BP961" i="123"/>
  <c r="BQ961" i="123"/>
  <c r="BR961" i="123"/>
  <c r="BS961" i="123"/>
  <c r="BT961" i="123"/>
  <c r="BU961" i="123"/>
  <c r="BV961" i="123"/>
  <c r="BW961" i="123"/>
  <c r="BX961" i="123"/>
  <c r="BP970" i="123"/>
  <c r="BQ970" i="123"/>
  <c r="BR970" i="123"/>
  <c r="BS970" i="123"/>
  <c r="BT970" i="123"/>
  <c r="BU970" i="123"/>
  <c r="BV970" i="123"/>
  <c r="BW970" i="123"/>
  <c r="BX970" i="123"/>
  <c r="BP980" i="123"/>
  <c r="BQ980" i="123"/>
  <c r="BR980" i="123"/>
  <c r="BS980" i="123"/>
  <c r="BT980" i="123"/>
  <c r="BU980" i="123"/>
  <c r="BV980" i="123"/>
  <c r="BW980" i="123"/>
  <c r="BX980" i="123"/>
  <c r="BP990" i="123"/>
  <c r="BQ990" i="123"/>
  <c r="BR990" i="123"/>
  <c r="BS990" i="123"/>
  <c r="BT990" i="123"/>
  <c r="BU990" i="123"/>
  <c r="BV990" i="123"/>
  <c r="BW990" i="123"/>
  <c r="BX990" i="123"/>
  <c r="BP998" i="123"/>
  <c r="BQ998" i="123"/>
  <c r="BR998" i="123"/>
  <c r="BS998" i="123"/>
  <c r="BT998" i="123"/>
  <c r="BU998" i="123"/>
  <c r="BV998" i="123"/>
  <c r="BW998" i="123"/>
  <c r="BX998" i="123"/>
  <c r="BP1009" i="123"/>
  <c r="BQ1009" i="123"/>
  <c r="BR1009" i="123"/>
  <c r="BS1009" i="123"/>
  <c r="BT1009" i="123"/>
  <c r="BU1009" i="123"/>
  <c r="BV1009" i="123"/>
  <c r="BW1009" i="123"/>
  <c r="BX1009" i="123"/>
  <c r="BP1024" i="123"/>
  <c r="BQ1024" i="123"/>
  <c r="BR1024" i="123"/>
  <c r="BS1024" i="123"/>
  <c r="BT1024" i="123"/>
  <c r="BU1024" i="123"/>
  <c r="BV1024" i="123"/>
  <c r="BW1024" i="123"/>
  <c r="BX1024" i="123"/>
  <c r="BP1033" i="123"/>
  <c r="BQ1033" i="123"/>
  <c r="BR1033" i="123"/>
  <c r="BS1033" i="123"/>
  <c r="BT1033" i="123"/>
  <c r="BU1033" i="123"/>
  <c r="BV1033" i="123"/>
  <c r="BW1033" i="123"/>
  <c r="BX1033" i="123"/>
  <c r="BP1039" i="123"/>
  <c r="BQ1039" i="123"/>
  <c r="BR1039" i="123"/>
  <c r="BS1039" i="123"/>
  <c r="BT1039" i="123"/>
  <c r="BU1039" i="123"/>
  <c r="BV1039" i="123"/>
  <c r="BW1039" i="123"/>
  <c r="BX1039" i="123"/>
  <c r="BP1043" i="123"/>
  <c r="BQ1043" i="123"/>
  <c r="BR1043" i="123"/>
  <c r="BS1043" i="123"/>
  <c r="BT1043" i="123"/>
  <c r="BU1043" i="123"/>
  <c r="BV1043" i="123"/>
  <c r="BW1043" i="123"/>
  <c r="BX1043" i="123"/>
  <c r="BP1054" i="123"/>
  <c r="BQ1054" i="123"/>
  <c r="BR1054" i="123"/>
  <c r="BS1054" i="123"/>
  <c r="BT1054" i="123"/>
  <c r="BU1054" i="123"/>
  <c r="BV1054" i="123"/>
  <c r="BW1054" i="123"/>
  <c r="BX1054" i="123"/>
  <c r="BP1069" i="123"/>
  <c r="BQ1069" i="123"/>
  <c r="BR1069" i="123"/>
  <c r="BS1069" i="123"/>
  <c r="BT1069" i="123"/>
  <c r="BU1069" i="123"/>
  <c r="BV1069" i="123"/>
  <c r="BW1069" i="123"/>
  <c r="BX1069" i="123"/>
  <c r="BP1089" i="123"/>
  <c r="BQ1089" i="123"/>
  <c r="BR1089" i="123"/>
  <c r="BS1089" i="123"/>
  <c r="BT1089" i="123"/>
  <c r="BU1089" i="123"/>
  <c r="BV1089" i="123"/>
  <c r="BW1089" i="123"/>
  <c r="BX1089" i="123"/>
  <c r="BP1093" i="123"/>
  <c r="BQ1093" i="123"/>
  <c r="BR1093" i="123"/>
  <c r="BS1093" i="123"/>
  <c r="BT1093" i="123"/>
  <c r="BU1093" i="123"/>
  <c r="BV1093" i="123"/>
  <c r="BW1093" i="123"/>
  <c r="BX1093" i="123"/>
  <c r="BP1107" i="123"/>
  <c r="BQ1107" i="123"/>
  <c r="BR1107" i="123"/>
  <c r="BS1107" i="123"/>
  <c r="BT1107" i="123"/>
  <c r="BU1107" i="123"/>
  <c r="BV1107" i="123"/>
  <c r="BW1107" i="123"/>
  <c r="BX1107" i="123"/>
  <c r="BP1115" i="123"/>
  <c r="BQ1115" i="123"/>
  <c r="BR1115" i="123"/>
  <c r="BS1115" i="123"/>
  <c r="BT1115" i="123"/>
  <c r="BU1115" i="123"/>
  <c r="BV1115" i="123"/>
  <c r="BW1115" i="123"/>
  <c r="BX1115" i="123"/>
  <c r="BP1121" i="123"/>
  <c r="BQ1121" i="123"/>
  <c r="BR1121" i="123"/>
  <c r="BS1121" i="123"/>
  <c r="BT1121" i="123"/>
  <c r="BU1121" i="123"/>
  <c r="BV1121" i="123"/>
  <c r="BW1121" i="123"/>
  <c r="BX1121" i="123"/>
  <c r="BP1129" i="123"/>
  <c r="BQ1129" i="123"/>
  <c r="BR1129" i="123"/>
  <c r="BS1129" i="123"/>
  <c r="BT1129" i="123"/>
  <c r="BU1129" i="123"/>
  <c r="BV1129" i="123"/>
  <c r="BW1129" i="123"/>
  <c r="BX1129" i="123"/>
  <c r="BP1138" i="123"/>
  <c r="BQ1138" i="123"/>
  <c r="BR1138" i="123"/>
  <c r="BS1138" i="123"/>
  <c r="BT1138" i="123"/>
  <c r="BU1138" i="123"/>
  <c r="BV1138" i="123"/>
  <c r="BW1138" i="123"/>
  <c r="BX1138" i="123"/>
  <c r="BP1148" i="123"/>
  <c r="BQ1148" i="123"/>
  <c r="BR1148" i="123"/>
  <c r="BS1148" i="123"/>
  <c r="BT1148" i="123"/>
  <c r="BU1148" i="123"/>
  <c r="BV1148" i="123"/>
  <c r="BW1148" i="123"/>
  <c r="BX1148" i="123"/>
  <c r="BP1158" i="123"/>
  <c r="BQ1158" i="123"/>
  <c r="BR1158" i="123"/>
  <c r="BS1158" i="123"/>
  <c r="BT1158" i="123"/>
  <c r="BU1158" i="123"/>
  <c r="BV1158" i="123"/>
  <c r="BW1158" i="123"/>
  <c r="BX1158" i="123"/>
  <c r="BP1166" i="123"/>
  <c r="BQ1166" i="123"/>
  <c r="BR1166" i="123"/>
  <c r="BS1166" i="123"/>
  <c r="BT1166" i="123"/>
  <c r="BU1166" i="123"/>
  <c r="BV1166" i="123"/>
  <c r="BW1166" i="123"/>
  <c r="BX1166" i="123"/>
  <c r="BP1177" i="123"/>
  <c r="BQ1177" i="123"/>
  <c r="BR1177" i="123"/>
  <c r="BS1177" i="123"/>
  <c r="BT1177" i="123"/>
  <c r="BU1177" i="123"/>
  <c r="BV1177" i="123"/>
  <c r="BW1177" i="123"/>
  <c r="BX1177" i="123"/>
  <c r="BP1192" i="123"/>
  <c r="BQ1192" i="123"/>
  <c r="BR1192" i="123"/>
  <c r="BS1192" i="123"/>
  <c r="BT1192" i="123"/>
  <c r="BU1192" i="123"/>
  <c r="BV1192" i="123"/>
  <c r="BW1192" i="123"/>
  <c r="BX1192" i="123"/>
  <c r="BP1201" i="123"/>
  <c r="BQ1201" i="123"/>
  <c r="BR1201" i="123"/>
  <c r="BS1201" i="123"/>
  <c r="BT1201" i="123"/>
  <c r="BU1201" i="123"/>
  <c r="BV1201" i="123"/>
  <c r="BW1201" i="123"/>
  <c r="BX1201" i="123"/>
  <c r="BP1207" i="123"/>
  <c r="BQ1207" i="123"/>
  <c r="BR1207" i="123"/>
  <c r="BS1207" i="123"/>
  <c r="BT1207" i="123"/>
  <c r="BU1207" i="123"/>
  <c r="BV1207" i="123"/>
  <c r="BW1207" i="123"/>
  <c r="BX1207" i="123"/>
  <c r="BP1222" i="123"/>
  <c r="BQ1222" i="123"/>
  <c r="BR1222" i="123"/>
  <c r="BS1222" i="123"/>
  <c r="BT1222" i="123"/>
  <c r="BU1222" i="123"/>
  <c r="BV1222" i="123"/>
  <c r="BW1222" i="123"/>
  <c r="BX1222" i="123"/>
  <c r="BP1237" i="123"/>
  <c r="BQ1237" i="123"/>
  <c r="BR1237" i="123"/>
  <c r="BS1237" i="123"/>
  <c r="BT1237" i="123"/>
  <c r="BU1237" i="123"/>
  <c r="BV1237" i="123"/>
  <c r="BW1237" i="123"/>
  <c r="BX1237" i="123"/>
  <c r="BP1257" i="123"/>
  <c r="BQ1257" i="123"/>
  <c r="BR1257" i="123"/>
  <c r="BS1257" i="123"/>
  <c r="BT1257" i="123"/>
  <c r="BU1257" i="123"/>
  <c r="BV1257" i="123"/>
  <c r="BW1257" i="123"/>
  <c r="BX1257" i="123"/>
  <c r="BP1261" i="123"/>
  <c r="BQ1261" i="123"/>
  <c r="BR1261" i="123"/>
  <c r="BS1261" i="123"/>
  <c r="BT1261" i="123"/>
  <c r="BU1261" i="123"/>
  <c r="BV1261" i="123"/>
  <c r="BW1261" i="123"/>
  <c r="BX1261" i="123"/>
  <c r="BP1275" i="123"/>
  <c r="BQ1275" i="123"/>
  <c r="BR1275" i="123"/>
  <c r="BS1275" i="123"/>
  <c r="BT1275" i="123"/>
  <c r="BU1275" i="123"/>
  <c r="BV1275" i="123"/>
  <c r="BW1275" i="123"/>
  <c r="BX1275" i="123"/>
  <c r="BP1283" i="123"/>
  <c r="BQ1283" i="123"/>
  <c r="BR1283" i="123"/>
  <c r="BS1283" i="123"/>
  <c r="BT1283" i="123"/>
  <c r="BU1283" i="123"/>
  <c r="BV1283" i="123"/>
  <c r="BW1283" i="123"/>
  <c r="BX1283" i="123"/>
  <c r="BP1289" i="123"/>
  <c r="BQ1289" i="123"/>
  <c r="BR1289" i="123"/>
  <c r="BS1289" i="123"/>
  <c r="BT1289" i="123"/>
  <c r="BU1289" i="123"/>
  <c r="BV1289" i="123"/>
  <c r="BW1289" i="123"/>
  <c r="BX1289" i="123"/>
  <c r="BP1297" i="123"/>
  <c r="BQ1297" i="123"/>
  <c r="BR1297" i="123"/>
  <c r="BS1297" i="123"/>
  <c r="BT1297" i="123"/>
  <c r="BU1297" i="123"/>
  <c r="BV1297" i="123"/>
  <c r="BW1297" i="123"/>
  <c r="BX1297" i="123"/>
  <c r="BP1306" i="123"/>
  <c r="BQ1306" i="123"/>
  <c r="BR1306" i="123"/>
  <c r="BS1306" i="123"/>
  <c r="BT1306" i="123"/>
  <c r="BU1306" i="123"/>
  <c r="BV1306" i="123"/>
  <c r="BW1306" i="123"/>
  <c r="BX1306" i="123"/>
  <c r="BP1316" i="123"/>
  <c r="BQ1316" i="123"/>
  <c r="BR1316" i="123"/>
  <c r="BS1316" i="123"/>
  <c r="BT1316" i="123"/>
  <c r="BU1316" i="123"/>
  <c r="BV1316" i="123"/>
  <c r="BW1316" i="123"/>
  <c r="BX1316" i="123"/>
  <c r="BP1326" i="123"/>
  <c r="BQ1326" i="123"/>
  <c r="BR1326" i="123"/>
  <c r="BS1326" i="123"/>
  <c r="BT1326" i="123"/>
  <c r="BU1326" i="123"/>
  <c r="BV1326" i="123"/>
  <c r="BW1326" i="123"/>
  <c r="BX1326" i="123"/>
  <c r="BP1334" i="123"/>
  <c r="BQ1334" i="123"/>
  <c r="BR1334" i="123"/>
  <c r="BS1334" i="123"/>
  <c r="BT1334" i="123"/>
  <c r="BU1334" i="123"/>
  <c r="BV1334" i="123"/>
  <c r="BW1334" i="123"/>
  <c r="BX1334" i="123"/>
  <c r="BP1345" i="123"/>
  <c r="BQ1345" i="123"/>
  <c r="BR1345" i="123"/>
  <c r="BS1345" i="123"/>
  <c r="BT1345" i="123"/>
  <c r="BU1345" i="123"/>
  <c r="BV1345" i="123"/>
  <c r="BW1345" i="123"/>
  <c r="BX1345" i="123"/>
  <c r="BV6" i="11"/>
  <c r="BV37" i="11" s="1"/>
  <c r="BU6" i="11"/>
  <c r="BU37" i="11" s="1"/>
  <c r="BT6" i="11"/>
  <c r="BT37" i="11" s="1"/>
  <c r="BS6" i="11"/>
  <c r="BS37" i="11" s="1"/>
  <c r="BR6" i="11"/>
  <c r="BR37" i="11" s="1"/>
  <c r="BQ6" i="11"/>
  <c r="BQ37" i="11" s="1"/>
  <c r="BP6" i="11"/>
  <c r="BP37" i="11" s="1"/>
  <c r="BO6" i="11"/>
  <c r="BO37" i="11" s="1"/>
  <c r="BN6" i="11"/>
  <c r="BN37" i="11" s="1"/>
  <c r="BM6" i="11"/>
  <c r="BM37" i="11" s="1"/>
  <c r="BL6" i="11"/>
  <c r="BL37" i="11" s="1"/>
  <c r="BT4" i="61"/>
  <c r="BU4" i="61"/>
  <c r="BV4" i="61"/>
  <c r="BT5" i="61"/>
  <c r="BU5" i="61"/>
  <c r="BV5" i="61"/>
  <c r="BK4" i="11"/>
  <c r="BK5" i="11"/>
  <c r="BK6" i="11"/>
  <c r="BK37" i="11" s="1"/>
  <c r="BQ17" i="34"/>
  <c r="BR17" i="34"/>
  <c r="BS17" i="34"/>
  <c r="BU17" i="34"/>
  <c r="BV17" i="34"/>
  <c r="BW17" i="34"/>
  <c r="BM17" i="34"/>
  <c r="BN17" i="34"/>
  <c r="BP17" i="34"/>
  <c r="BT17" i="34"/>
  <c r="BX17" i="34"/>
  <c r="BM71" i="34"/>
  <c r="BM11" i="70" s="1"/>
  <c r="BN71" i="34"/>
  <c r="BN11" i="70" s="1"/>
  <c r="BO71" i="34"/>
  <c r="BO11" i="70" s="1"/>
  <c r="BP71" i="34"/>
  <c r="BP11" i="70" s="1"/>
  <c r="BQ71" i="34"/>
  <c r="BQ11" i="70" s="1"/>
  <c r="BR71" i="34"/>
  <c r="BR11" i="70" s="1"/>
  <c r="BS71" i="34"/>
  <c r="BS11" i="70" s="1"/>
  <c r="BT71" i="34"/>
  <c r="BT11" i="70" s="1"/>
  <c r="BU71" i="34"/>
  <c r="BU11" i="70" s="1"/>
  <c r="BV71" i="34"/>
  <c r="BV11" i="70" s="1"/>
  <c r="BW71" i="34"/>
  <c r="BX71" i="34"/>
  <c r="BM72" i="34"/>
  <c r="BM10" i="70" s="1"/>
  <c r="BN72" i="34"/>
  <c r="BN10" i="70" s="1"/>
  <c r="BO72" i="34"/>
  <c r="BO10" i="70" s="1"/>
  <c r="BP72" i="34"/>
  <c r="BP10" i="70" s="1"/>
  <c r="BQ72" i="34"/>
  <c r="BQ10" i="70" s="1"/>
  <c r="BR72" i="34"/>
  <c r="BR10" i="70" s="1"/>
  <c r="BS72" i="34"/>
  <c r="BS10" i="70" s="1"/>
  <c r="BT72" i="34"/>
  <c r="BT10" i="70" s="1"/>
  <c r="BU72" i="34"/>
  <c r="BU10" i="70" s="1"/>
  <c r="BV72" i="34"/>
  <c r="BV10" i="70" s="1"/>
  <c r="BW72" i="34"/>
  <c r="BX72" i="34"/>
  <c r="BM76" i="34"/>
  <c r="BN76" i="34"/>
  <c r="BO76" i="34"/>
  <c r="BP76" i="34"/>
  <c r="BQ76" i="34"/>
  <c r="BR76" i="34"/>
  <c r="BS76" i="34"/>
  <c r="BT76" i="34"/>
  <c r="BU76" i="34"/>
  <c r="BV76" i="34"/>
  <c r="BW76" i="34"/>
  <c r="BX76" i="34"/>
  <c r="BK4" i="61"/>
  <c r="BL4" i="61"/>
  <c r="BM4" i="61"/>
  <c r="BN4" i="61"/>
  <c r="BO4" i="61"/>
  <c r="BP4" i="61"/>
  <c r="BQ4" i="61"/>
  <c r="BR4" i="61"/>
  <c r="BS4" i="61"/>
  <c r="BK5" i="61"/>
  <c r="BL5" i="61"/>
  <c r="BM5" i="61"/>
  <c r="BN5" i="61"/>
  <c r="BO5" i="61"/>
  <c r="BP5" i="61"/>
  <c r="BQ5" i="61"/>
  <c r="BR5" i="61"/>
  <c r="BS5" i="61"/>
  <c r="BM7" i="70"/>
  <c r="BM22" i="70"/>
  <c r="BM25" i="70" s="1"/>
  <c r="BN22" i="70"/>
  <c r="BN25" i="70" s="1"/>
  <c r="BO22" i="70"/>
  <c r="BO25" i="70" s="1"/>
  <c r="BP22" i="70"/>
  <c r="BP25" i="70" s="1"/>
  <c r="BQ22" i="70"/>
  <c r="BQ25" i="70" s="1"/>
  <c r="BR22" i="70"/>
  <c r="BR25" i="70" s="1"/>
  <c r="BS22" i="70"/>
  <c r="BS25" i="70" s="1"/>
  <c r="BM49" i="70"/>
  <c r="BN49" i="70"/>
  <c r="BN50" i="70" s="1"/>
  <c r="BN57" i="70" s="1"/>
  <c r="BO49" i="70"/>
  <c r="BP49" i="70"/>
  <c r="BQ49" i="70"/>
  <c r="BR49" i="70"/>
  <c r="BR50" i="70" s="1"/>
  <c r="BR57" i="70" s="1"/>
  <c r="BS49" i="70"/>
  <c r="BM50" i="70"/>
  <c r="BO50" i="70"/>
  <c r="BO57" i="70" s="1"/>
  <c r="BP50" i="70"/>
  <c r="BQ50" i="70"/>
  <c r="BS50" i="70"/>
  <c r="BS57" i="70" s="1"/>
  <c r="BM54" i="70"/>
  <c r="BN54" i="70"/>
  <c r="BO54" i="70"/>
  <c r="BP54" i="70"/>
  <c r="BQ54" i="70"/>
  <c r="BR54" i="70"/>
  <c r="BS54" i="70"/>
  <c r="BM55" i="70"/>
  <c r="BM57" i="70" s="1"/>
  <c r="BN55" i="70"/>
  <c r="BO55" i="70"/>
  <c r="BP55" i="70"/>
  <c r="BQ55" i="70"/>
  <c r="BQ57" i="70" s="1"/>
  <c r="BR55" i="70"/>
  <c r="BS55" i="70"/>
  <c r="BP57" i="70"/>
  <c r="BT22" i="70"/>
  <c r="BT25" i="70" s="1"/>
  <c r="BU22" i="70"/>
  <c r="BU25" i="70" s="1"/>
  <c r="BV22" i="70"/>
  <c r="BV25" i="70" s="1"/>
  <c r="BT49" i="70"/>
  <c r="BU49" i="70"/>
  <c r="BU50" i="70" s="1"/>
  <c r="BU57" i="70" s="1"/>
  <c r="BV49" i="70"/>
  <c r="BT50" i="70"/>
  <c r="BV50" i="70"/>
  <c r="BT54" i="70"/>
  <c r="BU54" i="70"/>
  <c r="BV54" i="70"/>
  <c r="BT55" i="70"/>
  <c r="BT57" i="70" s="1"/>
  <c r="BU55" i="70"/>
  <c r="BV55" i="70"/>
  <c r="BV57" i="70" s="1"/>
  <c r="BA22" i="70"/>
  <c r="BB22" i="70"/>
  <c r="BB25" i="70" s="1"/>
  <c r="BC22" i="70"/>
  <c r="BD22" i="70"/>
  <c r="BD25" i="70" s="1"/>
  <c r="BE22" i="70"/>
  <c r="BE25" i="70" s="1"/>
  <c r="BF22" i="70"/>
  <c r="BG22" i="70"/>
  <c r="BH22" i="70"/>
  <c r="BI22" i="70"/>
  <c r="BJ22" i="70"/>
  <c r="BJ25" i="70" s="1"/>
  <c r="BK22" i="70"/>
  <c r="BK25" i="70" s="1"/>
  <c r="BL22" i="70"/>
  <c r="BL25" i="70" s="1"/>
  <c r="BA25" i="70"/>
  <c r="BC25" i="70"/>
  <c r="BF25" i="70"/>
  <c r="BG25" i="70"/>
  <c r="BH25" i="70"/>
  <c r="BI25" i="70"/>
  <c r="BA49" i="70"/>
  <c r="BB49" i="70"/>
  <c r="BC49" i="70"/>
  <c r="BD49" i="70"/>
  <c r="BE49" i="70"/>
  <c r="BF49" i="70"/>
  <c r="BG49" i="70"/>
  <c r="BH49" i="70"/>
  <c r="BI49" i="70"/>
  <c r="BJ49" i="70"/>
  <c r="BK49" i="70"/>
  <c r="BL49" i="70"/>
  <c r="BA50" i="70"/>
  <c r="BB50" i="70"/>
  <c r="BC50" i="70"/>
  <c r="BD50" i="70"/>
  <c r="BE50" i="70"/>
  <c r="BF50" i="70"/>
  <c r="BG50" i="70"/>
  <c r="BH50" i="70"/>
  <c r="BI50" i="70"/>
  <c r="BJ50" i="70"/>
  <c r="BK50" i="70"/>
  <c r="BL50" i="70"/>
  <c r="BA54" i="70"/>
  <c r="BB54" i="70"/>
  <c r="BC54" i="70"/>
  <c r="BD54" i="70"/>
  <c r="BE54" i="70"/>
  <c r="BF54" i="70"/>
  <c r="BG54" i="70"/>
  <c r="BH54" i="70"/>
  <c r="BI54" i="70"/>
  <c r="BJ54" i="70"/>
  <c r="BK54" i="70"/>
  <c r="BL54" i="70"/>
  <c r="BA55" i="70"/>
  <c r="BB55" i="70"/>
  <c r="BC55" i="70"/>
  <c r="BD55" i="70"/>
  <c r="BE55" i="70"/>
  <c r="BF55" i="70"/>
  <c r="BG55" i="70"/>
  <c r="BH55" i="70"/>
  <c r="BI55" i="70"/>
  <c r="BJ55" i="70"/>
  <c r="BK55" i="70"/>
  <c r="BL55" i="70"/>
  <c r="BA57" i="70"/>
  <c r="BB57" i="70"/>
  <c r="BC57" i="70"/>
  <c r="BD57" i="70"/>
  <c r="BE57" i="70"/>
  <c r="BF57" i="70"/>
  <c r="BG57" i="70"/>
  <c r="BH57" i="70"/>
  <c r="BI57" i="70"/>
  <c r="BJ57" i="70"/>
  <c r="BK57" i="70"/>
  <c r="BL57" i="70"/>
  <c r="BN2" i="69"/>
  <c r="BO2" i="69"/>
  <c r="BP2" i="69"/>
  <c r="BQ2" i="69"/>
  <c r="BR2" i="69"/>
  <c r="BS2" i="69"/>
  <c r="BT2" i="69"/>
  <c r="BU2" i="69"/>
  <c r="BV2" i="69"/>
  <c r="BW2" i="69"/>
  <c r="BX2" i="69"/>
  <c r="BY2" i="69"/>
  <c r="BN3" i="69"/>
  <c r="BO3" i="69"/>
  <c r="BP3" i="69"/>
  <c r="BQ3" i="69"/>
  <c r="BR3" i="69"/>
  <c r="BS3" i="69"/>
  <c r="BT3" i="69"/>
  <c r="BU3" i="69"/>
  <c r="BV3" i="69"/>
  <c r="BW3" i="69"/>
  <c r="BX3" i="69"/>
  <c r="BX8" i="69" s="1"/>
  <c r="BY3" i="69"/>
  <c r="BY8" i="69"/>
  <c r="BQ30" i="70"/>
  <c r="BR30" i="70"/>
  <c r="BY31" i="69"/>
  <c r="BN32" i="69"/>
  <c r="BN31" i="70" s="1"/>
  <c r="BO32" i="69"/>
  <c r="BO31" i="70" s="1"/>
  <c r="BP32" i="69"/>
  <c r="BQ32" i="69"/>
  <c r="BR32" i="69"/>
  <c r="BR31" i="70" s="1"/>
  <c r="BS32" i="69"/>
  <c r="BS31" i="70" s="1"/>
  <c r="BT32" i="69"/>
  <c r="BU32" i="69"/>
  <c r="BV32" i="69"/>
  <c r="BV31" i="70" s="1"/>
  <c r="BW32" i="69"/>
  <c r="BX32" i="69"/>
  <c r="BY32" i="69"/>
  <c r="BN54" i="69"/>
  <c r="BO54" i="69"/>
  <c r="BP54" i="69"/>
  <c r="BQ54" i="69"/>
  <c r="BR54" i="69"/>
  <c r="BS54" i="69"/>
  <c r="BT54" i="69"/>
  <c r="BU54" i="69"/>
  <c r="BV54" i="69"/>
  <c r="BW54" i="69"/>
  <c r="BX54" i="69"/>
  <c r="BY54" i="69"/>
  <c r="BN55" i="69"/>
  <c r="BO55" i="69"/>
  <c r="BP55" i="69"/>
  <c r="BQ55" i="69"/>
  <c r="BR55" i="69"/>
  <c r="BS55" i="69"/>
  <c r="BT55" i="69"/>
  <c r="BU55" i="69"/>
  <c r="BV55" i="69"/>
  <c r="BW55" i="69"/>
  <c r="BX55" i="69"/>
  <c r="BY55" i="69"/>
  <c r="BN62" i="69"/>
  <c r="BO63" i="69" s="1"/>
  <c r="BO68" i="69" s="1"/>
  <c r="BO62" i="69"/>
  <c r="BP62" i="69"/>
  <c r="BQ62" i="69"/>
  <c r="BR63" i="69" s="1"/>
  <c r="BR62" i="69"/>
  <c r="BS63" i="69" s="1"/>
  <c r="BS68" i="69" s="1"/>
  <c r="BS62" i="69"/>
  <c r="BT62" i="69"/>
  <c r="BU62" i="69"/>
  <c r="BV63" i="69" s="1"/>
  <c r="BV62" i="69"/>
  <c r="BW62" i="69"/>
  <c r="BX62" i="69"/>
  <c r="BY62" i="69"/>
  <c r="BP63" i="69"/>
  <c r="BT63" i="69"/>
  <c r="BW63" i="69"/>
  <c r="BW68" i="69" s="1"/>
  <c r="BX63" i="69"/>
  <c r="BL2" i="69"/>
  <c r="BM2" i="69"/>
  <c r="BL3" i="69"/>
  <c r="BM3" i="69"/>
  <c r="BL32" i="69"/>
  <c r="BM32" i="69"/>
  <c r="BM31" i="70" s="1"/>
  <c r="BL54" i="69"/>
  <c r="BM54" i="69"/>
  <c r="BL55" i="69"/>
  <c r="BM55" i="69"/>
  <c r="BL62" i="69"/>
  <c r="BM63" i="69" s="1"/>
  <c r="BM62" i="69"/>
  <c r="BN63" i="69" s="1"/>
  <c r="BC2" i="69"/>
  <c r="BD2" i="69"/>
  <c r="BE2" i="69"/>
  <c r="BF2" i="69"/>
  <c r="BG2" i="69"/>
  <c r="BH2" i="69"/>
  <c r="BI2" i="69"/>
  <c r="BJ2" i="69"/>
  <c r="BK2" i="69"/>
  <c r="BB3" i="69"/>
  <c r="BC3" i="69"/>
  <c r="BD3" i="69"/>
  <c r="BE3" i="69"/>
  <c r="BF3" i="69"/>
  <c r="BG3" i="69"/>
  <c r="BH3" i="69"/>
  <c r="BI3" i="69"/>
  <c r="BJ3" i="69"/>
  <c r="BK3" i="69"/>
  <c r="BC30" i="70"/>
  <c r="BG30" i="70"/>
  <c r="BB32" i="69"/>
  <c r="BC32" i="69"/>
  <c r="BD32" i="69"/>
  <c r="BE32" i="69"/>
  <c r="BE31" i="70" s="1"/>
  <c r="BF32" i="69"/>
  <c r="BF31" i="70" s="1"/>
  <c r="BG32" i="69"/>
  <c r="BH32" i="69"/>
  <c r="BI32" i="69"/>
  <c r="BI31" i="70" s="1"/>
  <c r="BJ32" i="69"/>
  <c r="BJ31" i="70" s="1"/>
  <c r="BK32" i="69"/>
  <c r="BK31" i="70" s="1"/>
  <c r="BB54" i="69"/>
  <c r="BC54" i="69"/>
  <c r="BD54" i="69"/>
  <c r="BE54" i="69"/>
  <c r="BF54" i="69"/>
  <c r="BG54" i="69"/>
  <c r="BH54" i="69"/>
  <c r="BI54" i="69"/>
  <c r="BJ54" i="69"/>
  <c r="BK54" i="69"/>
  <c r="BB55" i="69"/>
  <c r="BC55" i="69"/>
  <c r="BD55" i="69"/>
  <c r="BE55" i="69"/>
  <c r="BF55" i="69"/>
  <c r="BG55" i="69"/>
  <c r="BH55" i="69"/>
  <c r="BI55" i="69"/>
  <c r="BJ55" i="69"/>
  <c r="BK55" i="69"/>
  <c r="BB62" i="69"/>
  <c r="BC62" i="69"/>
  <c r="BD63" i="69" s="1"/>
  <c r="BD62" i="69"/>
  <c r="BE62" i="69"/>
  <c r="BE68" i="69" s="1"/>
  <c r="BF62" i="69"/>
  <c r="BG62" i="69"/>
  <c r="BH63" i="69" s="1"/>
  <c r="BH62" i="69"/>
  <c r="BI63" i="69" s="1"/>
  <c r="BI62" i="69"/>
  <c r="BJ63" i="69" s="1"/>
  <c r="BJ62" i="69"/>
  <c r="BK62" i="69"/>
  <c r="BL63" i="69" s="1"/>
  <c r="BE63" i="69"/>
  <c r="BF63" i="69"/>
  <c r="BN2" i="34"/>
  <c r="BO2" i="34"/>
  <c r="BP2" i="34"/>
  <c r="BQ2" i="34"/>
  <c r="BR2" i="34"/>
  <c r="BS2" i="34"/>
  <c r="BT2" i="34"/>
  <c r="BU2" i="34"/>
  <c r="BV2" i="34"/>
  <c r="BW2" i="34"/>
  <c r="BX2" i="34"/>
  <c r="BN3" i="34"/>
  <c r="BO3" i="34"/>
  <c r="BP3" i="34"/>
  <c r="BQ3" i="34"/>
  <c r="BR3" i="34"/>
  <c r="BS3" i="34"/>
  <c r="BT3" i="34"/>
  <c r="BU3" i="34"/>
  <c r="BV3" i="34"/>
  <c r="BW3" i="34"/>
  <c r="BX3" i="34"/>
  <c r="BM32" i="11" l="1"/>
  <c r="BM36" i="11"/>
  <c r="BQ32" i="11"/>
  <c r="BQ36" i="11"/>
  <c r="BU32" i="11"/>
  <c r="BU36" i="11"/>
  <c r="BN36" i="11"/>
  <c r="BN32" i="11"/>
  <c r="BR32" i="11"/>
  <c r="BR36" i="11"/>
  <c r="BV32" i="11"/>
  <c r="BX55" i="34" s="1"/>
  <c r="BV36" i="11"/>
  <c r="BK32" i="11"/>
  <c r="BK36" i="11"/>
  <c r="BO32" i="11"/>
  <c r="BO36" i="11"/>
  <c r="BS32" i="11"/>
  <c r="BS36" i="11"/>
  <c r="BL32" i="11"/>
  <c r="BN55" i="34" s="1"/>
  <c r="BL36" i="11"/>
  <c r="BP32" i="11"/>
  <c r="BP36" i="11"/>
  <c r="BT32" i="11"/>
  <c r="BT36" i="11"/>
  <c r="BF39" i="141"/>
  <c r="BH35" i="141"/>
  <c r="BG34" i="141"/>
  <c r="BG32" i="141"/>
  <c r="BE30" i="141"/>
  <c r="BI23" i="141"/>
  <c r="BF38" i="141"/>
  <c r="BH33" i="141"/>
  <c r="BF18" i="141"/>
  <c r="BG7" i="141"/>
  <c r="BH36" i="141"/>
  <c r="BJ25" i="141"/>
  <c r="BK21" i="141"/>
  <c r="BG37" i="141"/>
  <c r="BJ22" i="141"/>
  <c r="BL11" i="11"/>
  <c r="BL13" i="11"/>
  <c r="BL12" i="11"/>
  <c r="BL9" i="11"/>
  <c r="BN27" i="34" s="1"/>
  <c r="BL8" i="11"/>
  <c r="BN26" i="34" s="1"/>
  <c r="BP11" i="11"/>
  <c r="BP13" i="11"/>
  <c r="BP12" i="11"/>
  <c r="BR28" i="34" s="1"/>
  <c r="BP9" i="11"/>
  <c r="BP10" i="11" s="1"/>
  <c r="BP8" i="11"/>
  <c r="BT11" i="11"/>
  <c r="BV20" i="34" s="1"/>
  <c r="BV22" i="34" s="1"/>
  <c r="BW9" i="69" s="1"/>
  <c r="BT13" i="11"/>
  <c r="BV29" i="34" s="1"/>
  <c r="BT12" i="11"/>
  <c r="BV28" i="34" s="1"/>
  <c r="BT9" i="11"/>
  <c r="BT8" i="11"/>
  <c r="BM11" i="11"/>
  <c r="BO20" i="34" s="1"/>
  <c r="BM12" i="11"/>
  <c r="BO28" i="34" s="1"/>
  <c r="BM13" i="11"/>
  <c r="BM9" i="11"/>
  <c r="BM8" i="11"/>
  <c r="BQ11" i="11"/>
  <c r="BQ9" i="11"/>
  <c r="BQ12" i="11"/>
  <c r="BQ8" i="11"/>
  <c r="BQ10" i="11" s="1"/>
  <c r="BQ13" i="11"/>
  <c r="BS29" i="34" s="1"/>
  <c r="BU11" i="11"/>
  <c r="BU13" i="11"/>
  <c r="BU12" i="11"/>
  <c r="BW28" i="34" s="1"/>
  <c r="BU9" i="11"/>
  <c r="BW27" i="34" s="1"/>
  <c r="BU8" i="11"/>
  <c r="BN11" i="11"/>
  <c r="BP20" i="34" s="1"/>
  <c r="BP22" i="34" s="1"/>
  <c r="BQ9" i="69" s="1"/>
  <c r="BN8" i="11"/>
  <c r="BP26" i="34" s="1"/>
  <c r="BN13" i="11"/>
  <c r="BP29" i="34" s="1"/>
  <c r="BN12" i="11"/>
  <c r="BN9" i="11"/>
  <c r="BR11" i="11"/>
  <c r="BT20" i="34" s="1"/>
  <c r="BT22" i="34" s="1"/>
  <c r="BU9" i="69" s="1"/>
  <c r="BR8" i="11"/>
  <c r="BT26" i="34" s="1"/>
  <c r="BR13" i="11"/>
  <c r="BR12" i="11"/>
  <c r="BT28" i="34" s="1"/>
  <c r="BR9" i="11"/>
  <c r="BT27" i="34" s="1"/>
  <c r="BV11" i="11"/>
  <c r="BV8" i="11"/>
  <c r="BV13" i="11"/>
  <c r="BX29" i="34" s="1"/>
  <c r="BV12" i="11"/>
  <c r="BX28" i="34" s="1"/>
  <c r="BV9" i="11"/>
  <c r="BX27" i="34" s="1"/>
  <c r="BK11" i="11"/>
  <c r="BM20" i="34" s="1"/>
  <c r="BM22" i="34" s="1"/>
  <c r="BN9" i="69" s="1"/>
  <c r="BK8" i="11"/>
  <c r="BK13" i="11"/>
  <c r="BM29" i="34" s="1"/>
  <c r="BK12" i="11"/>
  <c r="BM28" i="34" s="1"/>
  <c r="BK9" i="11"/>
  <c r="BO11" i="11"/>
  <c r="BO8" i="11"/>
  <c r="BO13" i="11"/>
  <c r="BQ29" i="34" s="1"/>
  <c r="BO12" i="11"/>
  <c r="BO9" i="11"/>
  <c r="BQ27" i="34" s="1"/>
  <c r="BS11" i="11"/>
  <c r="BU20" i="34" s="1"/>
  <c r="BU22" i="34" s="1"/>
  <c r="BV9" i="69" s="1"/>
  <c r="BS8" i="11"/>
  <c r="BU26" i="34" s="1"/>
  <c r="BS13" i="11"/>
  <c r="BS12" i="11"/>
  <c r="BS9" i="11"/>
  <c r="BU27" i="34" s="1"/>
  <c r="BI68" i="69"/>
  <c r="BL68" i="69"/>
  <c r="BR68" i="69"/>
  <c r="BD68" i="69"/>
  <c r="BV68" i="69"/>
  <c r="BN68" i="69"/>
  <c r="BH68" i="69"/>
  <c r="BV27" i="11"/>
  <c r="BX50" i="34" s="1"/>
  <c r="CA152" i="123"/>
  <c r="CA171" i="123" s="1"/>
  <c r="BP60" i="34"/>
  <c r="BV29" i="11"/>
  <c r="BX52" i="34" s="1"/>
  <c r="BU488" i="123"/>
  <c r="BU507" i="123" s="1"/>
  <c r="BV31" i="11"/>
  <c r="BX54" i="34" s="1"/>
  <c r="BX20" i="34"/>
  <c r="BX22" i="34" s="1"/>
  <c r="BY9" i="69" s="1"/>
  <c r="BX60" i="34"/>
  <c r="BX26" i="34"/>
  <c r="BT1328" i="123"/>
  <c r="BT1347" i="123" s="1"/>
  <c r="BT1160" i="123"/>
  <c r="BT1179" i="123" s="1"/>
  <c r="BN35" i="11"/>
  <c r="BP58" i="34" s="1"/>
  <c r="BX1328" i="123"/>
  <c r="BX1347" i="123" s="1"/>
  <c r="BX1160" i="123"/>
  <c r="BX1179" i="123" s="1"/>
  <c r="BP1160" i="123"/>
  <c r="BP1179" i="123" s="1"/>
  <c r="BN29" i="11"/>
  <c r="BP52" i="34" s="1"/>
  <c r="BN27" i="11"/>
  <c r="BP50" i="34" s="1"/>
  <c r="BN30" i="11"/>
  <c r="BP53" i="34" s="1"/>
  <c r="BR34" i="11"/>
  <c r="BT57" i="34" s="1"/>
  <c r="BT29" i="34"/>
  <c r="BT55" i="34"/>
  <c r="BR35" i="11"/>
  <c r="BT58" i="34" s="1"/>
  <c r="BR27" i="11"/>
  <c r="BT50" i="34" s="1"/>
  <c r="BQ488" i="123"/>
  <c r="BQ507" i="123" s="1"/>
  <c r="BV656" i="123"/>
  <c r="BR152" i="123"/>
  <c r="BR171" i="123" s="1"/>
  <c r="BR488" i="123"/>
  <c r="BR507" i="123" s="1"/>
  <c r="BO17" i="34"/>
  <c r="BR656" i="123"/>
  <c r="BS1160" i="123"/>
  <c r="BS1179" i="123" s="1"/>
  <c r="BW992" i="123"/>
  <c r="BW1011" i="123" s="1"/>
  <c r="BS992" i="123"/>
  <c r="BS1011" i="123" s="1"/>
  <c r="BX824" i="123"/>
  <c r="BX843" i="123" s="1"/>
  <c r="BT824" i="123"/>
  <c r="BT843" i="123" s="1"/>
  <c r="BP824" i="123"/>
  <c r="BP843" i="123" s="1"/>
  <c r="BW152" i="123"/>
  <c r="BW171" i="123" s="1"/>
  <c r="BS152" i="123"/>
  <c r="BS171" i="123" s="1"/>
  <c r="BB31" i="70"/>
  <c r="BH31" i="70"/>
  <c r="BD31" i="70"/>
  <c r="BD30" i="70"/>
  <c r="BP31" i="70"/>
  <c r="BQ992" i="123"/>
  <c r="BQ1011" i="123" s="1"/>
  <c r="BW656" i="123"/>
  <c r="BS656" i="123"/>
  <c r="BX656" i="123"/>
  <c r="BT656" i="123"/>
  <c r="BP656" i="123"/>
  <c r="BP1328" i="123"/>
  <c r="BP1347" i="123" s="1"/>
  <c r="BY1328" i="123"/>
  <c r="BY1347" i="123" s="1"/>
  <c r="BY656" i="123"/>
  <c r="BY152" i="123"/>
  <c r="BY171" i="123" s="1"/>
  <c r="BZ1160" i="123"/>
  <c r="BZ1179" i="123" s="1"/>
  <c r="BY992" i="123"/>
  <c r="BY1011" i="123" s="1"/>
  <c r="CA656" i="123"/>
  <c r="BT60" i="34"/>
  <c r="BV34" i="11"/>
  <c r="BX57" i="34" s="1"/>
  <c r="BP55" i="34"/>
  <c r="BR29" i="11"/>
  <c r="BT52" i="34" s="1"/>
  <c r="BV1328" i="123"/>
  <c r="BV1347" i="123" s="1"/>
  <c r="BR1328" i="123"/>
  <c r="BR1347" i="123" s="1"/>
  <c r="BU992" i="123"/>
  <c r="BU1011" i="123" s="1"/>
  <c r="BR992" i="123"/>
  <c r="BR1011" i="123" s="1"/>
  <c r="BV488" i="123"/>
  <c r="BV507" i="123" s="1"/>
  <c r="CA1328" i="123"/>
  <c r="CA1347" i="123" s="1"/>
  <c r="BY824" i="123"/>
  <c r="BY843" i="123" s="1"/>
  <c r="BQ1328" i="123"/>
  <c r="BQ1347" i="123" s="1"/>
  <c r="BW320" i="123"/>
  <c r="BW339" i="123" s="1"/>
  <c r="BS320" i="123"/>
  <c r="BS339" i="123" s="1"/>
  <c r="CA992" i="123"/>
  <c r="CA1011" i="123" s="1"/>
  <c r="BZ824" i="123"/>
  <c r="BZ843" i="123" s="1"/>
  <c r="BS60" i="34"/>
  <c r="BS20" i="34"/>
  <c r="BS22" i="34" s="1"/>
  <c r="BT9" i="69" s="1"/>
  <c r="BW1328" i="123"/>
  <c r="BW1347" i="123" s="1"/>
  <c r="BS1328" i="123"/>
  <c r="BS1347" i="123" s="1"/>
  <c r="BX992" i="123"/>
  <c r="BX1011" i="123" s="1"/>
  <c r="BT992" i="123"/>
  <c r="BT1011" i="123" s="1"/>
  <c r="BP992" i="123"/>
  <c r="BP1011" i="123" s="1"/>
  <c r="BV320" i="123"/>
  <c r="BV339" i="123" s="1"/>
  <c r="BR320" i="123"/>
  <c r="BR339" i="123" s="1"/>
  <c r="BV152" i="123"/>
  <c r="BV171" i="123" s="1"/>
  <c r="BZ1328" i="123"/>
  <c r="BZ1347" i="123" s="1"/>
  <c r="CA488" i="123"/>
  <c r="CA507" i="123" s="1"/>
  <c r="CA320" i="123"/>
  <c r="CA339" i="123" s="1"/>
  <c r="BU1328" i="123"/>
  <c r="BU1347" i="123" s="1"/>
  <c r="BV1160" i="123"/>
  <c r="BV1179" i="123" s="1"/>
  <c r="BR1160" i="123"/>
  <c r="BR1179" i="123" s="1"/>
  <c r="BW1160" i="123"/>
  <c r="BW1179" i="123" s="1"/>
  <c r="BV992" i="123"/>
  <c r="BV1011" i="123" s="1"/>
  <c r="BU824" i="123"/>
  <c r="BU843" i="123" s="1"/>
  <c r="BQ824" i="123"/>
  <c r="BQ843" i="123" s="1"/>
  <c r="BW488" i="123"/>
  <c r="BW507" i="123" s="1"/>
  <c r="BS488" i="123"/>
  <c r="BS507" i="123" s="1"/>
  <c r="BX488" i="123"/>
  <c r="BX507" i="123" s="1"/>
  <c r="BT488" i="123"/>
  <c r="BT507" i="123" s="1"/>
  <c r="BP488" i="123"/>
  <c r="BP507" i="123" s="1"/>
  <c r="BX320" i="123"/>
  <c r="BX339" i="123" s="1"/>
  <c r="BT320" i="123"/>
  <c r="BT339" i="123" s="1"/>
  <c r="BP320" i="123"/>
  <c r="BP339" i="123" s="1"/>
  <c r="BX152" i="123"/>
  <c r="BX171" i="123" s="1"/>
  <c r="BT152" i="123"/>
  <c r="BT171" i="123" s="1"/>
  <c r="BP152" i="123"/>
  <c r="BP171" i="123" s="1"/>
  <c r="BH30" i="70"/>
  <c r="BL31" i="70"/>
  <c r="BT31" i="70"/>
  <c r="BQ31" i="70"/>
  <c r="BG31" i="70"/>
  <c r="BC31" i="70"/>
  <c r="BU30" i="70"/>
  <c r="BN30" i="70"/>
  <c r="BV30" i="70"/>
  <c r="BU30" i="11"/>
  <c r="BW53" i="34" s="1"/>
  <c r="BQ27" i="11"/>
  <c r="BS50" i="34" s="1"/>
  <c r="BS28" i="34"/>
  <c r="BM34" i="11"/>
  <c r="BO57" i="34" s="1"/>
  <c r="BO59" i="34"/>
  <c r="BW55" i="34"/>
  <c r="BU29" i="11"/>
  <c r="BW52" i="34" s="1"/>
  <c r="BW29" i="34"/>
  <c r="BV824" i="123"/>
  <c r="BV843" i="123" s="1"/>
  <c r="BR824" i="123"/>
  <c r="BR843" i="123" s="1"/>
  <c r="BW824" i="123"/>
  <c r="BW843" i="123" s="1"/>
  <c r="BS824" i="123"/>
  <c r="BS843" i="123" s="1"/>
  <c r="BU320" i="123"/>
  <c r="BU339" i="123" s="1"/>
  <c r="BQ320" i="123"/>
  <c r="BQ339" i="123" s="1"/>
  <c r="CA824" i="123"/>
  <c r="CA843" i="123" s="1"/>
  <c r="BZ488" i="123"/>
  <c r="BZ507" i="123" s="1"/>
  <c r="BU152" i="123"/>
  <c r="BU171" i="123" s="1"/>
  <c r="BQ152" i="123"/>
  <c r="BQ171" i="123" s="1"/>
  <c r="BY1160" i="123"/>
  <c r="BY1179" i="123" s="1"/>
  <c r="BZ656" i="123"/>
  <c r="BY488" i="123"/>
  <c r="BY507" i="123" s="1"/>
  <c r="BZ320" i="123"/>
  <c r="BZ339" i="123" s="1"/>
  <c r="BM35" i="11"/>
  <c r="BO58" i="34" s="1"/>
  <c r="BO55" i="34"/>
  <c r="BU28" i="11"/>
  <c r="BW51" i="34" s="1"/>
  <c r="BU1160" i="123"/>
  <c r="BU1179" i="123" s="1"/>
  <c r="BQ1160" i="123"/>
  <c r="BQ1179" i="123" s="1"/>
  <c r="BU656" i="123"/>
  <c r="BQ656" i="123"/>
  <c r="CA1160" i="123"/>
  <c r="CA1179" i="123" s="1"/>
  <c r="BZ152" i="123"/>
  <c r="BZ171" i="123" s="1"/>
  <c r="BZ992" i="123"/>
  <c r="BZ1011" i="123" s="1"/>
  <c r="BY320" i="123"/>
  <c r="BY339" i="123" s="1"/>
  <c r="BS59" i="34"/>
  <c r="BM31" i="11"/>
  <c r="BO54" i="34" s="1"/>
  <c r="BU33" i="11"/>
  <c r="BW56" i="34" s="1"/>
  <c r="BQ28" i="11"/>
  <c r="BS51" i="34" s="1"/>
  <c r="BW60" i="34"/>
  <c r="BW59" i="34"/>
  <c r="BQ35" i="11"/>
  <c r="BS58" i="34" s="1"/>
  <c r="BU34" i="11"/>
  <c r="BW57" i="34" s="1"/>
  <c r="BQ33" i="11"/>
  <c r="BS56" i="34" s="1"/>
  <c r="BS55" i="34"/>
  <c r="BQ31" i="11"/>
  <c r="BS54" i="34" s="1"/>
  <c r="BM30" i="11"/>
  <c r="BO53" i="34" s="1"/>
  <c r="BQ29" i="11"/>
  <c r="BS52" i="34" s="1"/>
  <c r="BM28" i="11"/>
  <c r="BO51" i="34" s="1"/>
  <c r="BM27" i="11"/>
  <c r="BO50" i="34" s="1"/>
  <c r="BO29" i="34"/>
  <c r="BW20" i="34"/>
  <c r="BW22" i="34" s="1"/>
  <c r="BX9" i="69" s="1"/>
  <c r="BT59" i="34"/>
  <c r="BV35" i="11"/>
  <c r="BX58" i="34" s="1"/>
  <c r="BN34" i="11"/>
  <c r="BP57" i="34" s="1"/>
  <c r="BR33" i="11"/>
  <c r="BT56" i="34" s="1"/>
  <c r="BN31" i="11"/>
  <c r="BP54" i="34" s="1"/>
  <c r="BR30" i="11"/>
  <c r="BT53" i="34" s="1"/>
  <c r="BV28" i="11"/>
  <c r="BX51" i="34" s="1"/>
  <c r="BN28" i="11"/>
  <c r="BP51" i="34" s="1"/>
  <c r="BP28" i="34"/>
  <c r="BX59" i="34"/>
  <c r="BP59" i="34"/>
  <c r="BV33" i="11"/>
  <c r="BX56" i="34" s="1"/>
  <c r="BN33" i="11"/>
  <c r="BP56" i="34" s="1"/>
  <c r="BR31" i="11"/>
  <c r="BT54" i="34" s="1"/>
  <c r="BV30" i="11"/>
  <c r="BX53" i="34" s="1"/>
  <c r="BR28" i="11"/>
  <c r="BT51" i="34" s="1"/>
  <c r="BP27" i="34"/>
  <c r="BO27" i="34"/>
  <c r="BU31" i="70"/>
  <c r="BN59" i="34"/>
  <c r="BL33" i="11"/>
  <c r="BN56" i="34" s="1"/>
  <c r="BT30" i="11"/>
  <c r="BV53" i="34" s="1"/>
  <c r="BT27" i="11"/>
  <c r="BV50" i="34" s="1"/>
  <c r="BK33" i="11"/>
  <c r="BM56" i="34" s="1"/>
  <c r="BR60" i="34"/>
  <c r="BP34" i="11"/>
  <c r="BR57" i="34" s="1"/>
  <c r="BL29" i="11"/>
  <c r="BN52" i="34" s="1"/>
  <c r="BV27" i="34"/>
  <c r="BK30" i="11"/>
  <c r="BM53" i="34" s="1"/>
  <c r="BM60" i="34"/>
  <c r="BK29" i="11"/>
  <c r="BM52" i="34" s="1"/>
  <c r="BN60" i="34"/>
  <c r="BT34" i="11"/>
  <c r="BV57" i="34" s="1"/>
  <c r="BT31" i="11"/>
  <c r="BV54" i="34" s="1"/>
  <c r="BP29" i="11"/>
  <c r="BR52" i="34" s="1"/>
  <c r="BR29" i="34"/>
  <c r="BN20" i="34"/>
  <c r="BN22" i="34" s="1"/>
  <c r="BO9" i="69" s="1"/>
  <c r="BM27" i="34"/>
  <c r="BK34" i="11"/>
  <c r="BM57" i="34" s="1"/>
  <c r="BT35" i="11"/>
  <c r="BV58" i="34" s="1"/>
  <c r="BP33" i="11"/>
  <c r="BR56" i="34" s="1"/>
  <c r="BP30" i="11"/>
  <c r="BR53" i="34" s="1"/>
  <c r="BL28" i="11"/>
  <c r="BN51" i="34" s="1"/>
  <c r="BN28" i="34"/>
  <c r="BV26" i="34"/>
  <c r="BM26" i="34"/>
  <c r="BM59" i="34"/>
  <c r="BM55" i="34"/>
  <c r="BK28" i="11"/>
  <c r="BM51" i="34" s="1"/>
  <c r="BV60" i="34"/>
  <c r="BR59" i="34"/>
  <c r="BL35" i="11"/>
  <c r="BN58" i="34" s="1"/>
  <c r="BT33" i="11"/>
  <c r="BV56" i="34" s="1"/>
  <c r="BR55" i="34"/>
  <c r="BL31" i="11"/>
  <c r="BN54" i="34" s="1"/>
  <c r="BT29" i="11"/>
  <c r="BV52" i="34" s="1"/>
  <c r="BP28" i="11"/>
  <c r="BR51" i="34" s="1"/>
  <c r="BL27" i="11"/>
  <c r="BN50" i="34" s="1"/>
  <c r="BR20" i="34"/>
  <c r="BR22" i="34" s="1"/>
  <c r="BS9" i="69" s="1"/>
  <c r="BK35" i="11"/>
  <c r="BM58" i="34" s="1"/>
  <c r="BK31" i="11"/>
  <c r="BM54" i="34" s="1"/>
  <c r="BK27" i="11"/>
  <c r="BM50" i="34" s="1"/>
  <c r="BO60" i="34"/>
  <c r="BV59" i="34"/>
  <c r="BU35" i="11"/>
  <c r="BW58" i="34" s="1"/>
  <c r="BP35" i="11"/>
  <c r="BR58" i="34" s="1"/>
  <c r="BQ34" i="11"/>
  <c r="BS57" i="34" s="1"/>
  <c r="BL34" i="11"/>
  <c r="BN57" i="34" s="1"/>
  <c r="BM33" i="11"/>
  <c r="BO56" i="34" s="1"/>
  <c r="BV55" i="34"/>
  <c r="BU31" i="11"/>
  <c r="BW54" i="34" s="1"/>
  <c r="BP31" i="11"/>
  <c r="BR54" i="34" s="1"/>
  <c r="BQ30" i="11"/>
  <c r="BS53" i="34" s="1"/>
  <c r="BL30" i="11"/>
  <c r="BN53" i="34" s="1"/>
  <c r="BM29" i="11"/>
  <c r="BO52" i="34" s="1"/>
  <c r="BT28" i="11"/>
  <c r="BV51" i="34" s="1"/>
  <c r="BU27" i="11"/>
  <c r="BW50" i="34" s="1"/>
  <c r="BP27" i="11"/>
  <c r="BR50" i="34" s="1"/>
  <c r="BN29" i="34"/>
  <c r="BS31" i="11"/>
  <c r="BU54" i="34" s="1"/>
  <c r="BO31" i="11"/>
  <c r="BQ54" i="34" s="1"/>
  <c r="BS35" i="11"/>
  <c r="BU58" i="34" s="1"/>
  <c r="BO35" i="11"/>
  <c r="BQ58" i="34" s="1"/>
  <c r="BS27" i="11"/>
  <c r="BU50" i="34" s="1"/>
  <c r="BO27" i="11"/>
  <c r="BQ50" i="34" s="1"/>
  <c r="BU59" i="34"/>
  <c r="BQ59" i="34"/>
  <c r="BU55" i="34"/>
  <c r="BQ55" i="34"/>
  <c r="BS28" i="11"/>
  <c r="BU51" i="34" s="1"/>
  <c r="BO28" i="11"/>
  <c r="BQ51" i="34" s="1"/>
  <c r="BQ20" i="34"/>
  <c r="BQ22" i="34" s="1"/>
  <c r="BR9" i="69" s="1"/>
  <c r="BU60" i="34"/>
  <c r="BQ60" i="34"/>
  <c r="BS33" i="11"/>
  <c r="BU56" i="34" s="1"/>
  <c r="BO33" i="11"/>
  <c r="BQ56" i="34" s="1"/>
  <c r="BS29" i="11"/>
  <c r="BU52" i="34" s="1"/>
  <c r="BO29" i="11"/>
  <c r="BQ52" i="34" s="1"/>
  <c r="BU28" i="34"/>
  <c r="BQ28" i="34"/>
  <c r="BS34" i="11"/>
  <c r="BU57" i="34" s="1"/>
  <c r="BO34" i="11"/>
  <c r="BQ57" i="34" s="1"/>
  <c r="BS30" i="11"/>
  <c r="BU53" i="34" s="1"/>
  <c r="BO30" i="11"/>
  <c r="BQ53" i="34" s="1"/>
  <c r="BU29" i="34"/>
  <c r="BM4" i="11"/>
  <c r="BM5" i="11"/>
  <c r="BL4" i="11"/>
  <c r="BL5" i="11"/>
  <c r="BM68" i="69"/>
  <c r="BY63" i="69"/>
  <c r="BY68" i="69" s="1"/>
  <c r="BX68" i="69"/>
  <c r="BU63" i="69"/>
  <c r="BU68" i="69" s="1"/>
  <c r="BT68" i="69"/>
  <c r="BQ63" i="69"/>
  <c r="BQ68" i="69" s="1"/>
  <c r="BP68" i="69"/>
  <c r="BX31" i="69"/>
  <c r="BS30" i="70"/>
  <c r="BO30" i="70"/>
  <c r="BJ68" i="69"/>
  <c r="BK63" i="69"/>
  <c r="BK68" i="69" s="1"/>
  <c r="BF68" i="69"/>
  <c r="BG63" i="69"/>
  <c r="BG68" i="69" s="1"/>
  <c r="BC63" i="69"/>
  <c r="BC68" i="69" s="1"/>
  <c r="BI30" i="70"/>
  <c r="BE30" i="70"/>
  <c r="BR27" i="34" l="1"/>
  <c r="BU10" i="11"/>
  <c r="BO22" i="34"/>
  <c r="BP9" i="69" s="1"/>
  <c r="BH37" i="141"/>
  <c r="BG38" i="141"/>
  <c r="BK22" i="141"/>
  <c r="BK25" i="141"/>
  <c r="BI33" i="141"/>
  <c r="BF30" i="141"/>
  <c r="BG18" i="141"/>
  <c r="BH7" i="141"/>
  <c r="BI35" i="141"/>
  <c r="BL21" i="141"/>
  <c r="BI36" i="141"/>
  <c r="BJ23" i="141"/>
  <c r="BH32" i="141"/>
  <c r="BH34" i="141"/>
  <c r="BG39" i="141"/>
  <c r="BS26" i="34"/>
  <c r="BO10" i="11"/>
  <c r="BV10" i="11"/>
  <c r="BS27" i="34"/>
  <c r="BL30" i="70"/>
  <c r="BJ30" i="70"/>
  <c r="BT30" i="70"/>
  <c r="BU1525" i="123"/>
  <c r="BX1525" i="123"/>
  <c r="BW1525" i="123"/>
  <c r="BQ1525" i="123"/>
  <c r="BN10" i="11"/>
  <c r="BV1525" i="123"/>
  <c r="BP30" i="70"/>
  <c r="BQ26" i="34"/>
  <c r="BQ30" i="34" s="1"/>
  <c r="BQ33" i="34" s="1"/>
  <c r="BQ34" i="34" s="1"/>
  <c r="BY1525" i="123"/>
  <c r="CA1525" i="123"/>
  <c r="BT1525" i="123"/>
  <c r="BR1525" i="123"/>
  <c r="BZ1525" i="123"/>
  <c r="BW26" i="34"/>
  <c r="BW30" i="34" s="1"/>
  <c r="BW33" i="34" s="1"/>
  <c r="BX30" i="34"/>
  <c r="BX33" i="34" s="1"/>
  <c r="BX34" i="34" s="1"/>
  <c r="BS1525" i="123"/>
  <c r="BP1525" i="123"/>
  <c r="BM10" i="11"/>
  <c r="BO26" i="34"/>
  <c r="BO30" i="34" s="1"/>
  <c r="BT30" i="34"/>
  <c r="BT33" i="34" s="1"/>
  <c r="BT34" i="34" s="1"/>
  <c r="BR26" i="34"/>
  <c r="BR30" i="34" s="1"/>
  <c r="BR33" i="34" s="1"/>
  <c r="BR34" i="34" s="1"/>
  <c r="BP30" i="34"/>
  <c r="BP33" i="34" s="1"/>
  <c r="BP34" i="34" s="1"/>
  <c r="BR10" i="11"/>
  <c r="BM30" i="34"/>
  <c r="BM33" i="34" s="1"/>
  <c r="BM34" i="34" s="1"/>
  <c r="BK10" i="11"/>
  <c r="BT10" i="11"/>
  <c r="BB30" i="70"/>
  <c r="BF30" i="70"/>
  <c r="BM30" i="70"/>
  <c r="BK30" i="70"/>
  <c r="BV30" i="34"/>
  <c r="BV33" i="34" s="1"/>
  <c r="BV34" i="34" s="1"/>
  <c r="BN13" i="70"/>
  <c r="BN30" i="34"/>
  <c r="BN33" i="34" s="1"/>
  <c r="BN34" i="34" s="1"/>
  <c r="BL10" i="11"/>
  <c r="BS10" i="11"/>
  <c r="BU30" i="34"/>
  <c r="BU33" i="34" s="1"/>
  <c r="BU34" i="34" s="1"/>
  <c r="BV13" i="70"/>
  <c r="BP13" i="70"/>
  <c r="BN4" i="11"/>
  <c r="BN5" i="11"/>
  <c r="BO33" i="34" l="1"/>
  <c r="BO34" i="34" s="1"/>
  <c r="BS30" i="34"/>
  <c r="BS33" i="34" s="1"/>
  <c r="BS34" i="34" s="1"/>
  <c r="BL25" i="141"/>
  <c r="BM25" i="141" s="1"/>
  <c r="BN25" i="141" s="1"/>
  <c r="BO25" i="141" s="1"/>
  <c r="BP25" i="141" s="1"/>
  <c r="BJ35" i="141"/>
  <c r="BG30" i="141"/>
  <c r="BJ33" i="141"/>
  <c r="BI37" i="141"/>
  <c r="BJ36" i="141"/>
  <c r="BI34" i="141"/>
  <c r="BI32" i="141"/>
  <c r="BL22" i="141"/>
  <c r="BH38" i="141"/>
  <c r="BK23" i="141"/>
  <c r="BL23" i="141" s="1"/>
  <c r="BM23" i="141" s="1"/>
  <c r="BH39" i="141"/>
  <c r="BM21" i="141"/>
  <c r="BH18" i="141"/>
  <c r="BI7" i="141"/>
  <c r="BR13" i="70"/>
  <c r="BQ13" i="70"/>
  <c r="BU13" i="70"/>
  <c r="BW34" i="34"/>
  <c r="BT13" i="70"/>
  <c r="BS13" i="70"/>
  <c r="BO13" i="70"/>
  <c r="BO4" i="11"/>
  <c r="BO5" i="11"/>
  <c r="BN23" i="141" l="1"/>
  <c r="BO23" i="141" s="1"/>
  <c r="BP23" i="141" s="1"/>
  <c r="BQ25" i="141"/>
  <c r="BR25" i="141" s="1"/>
  <c r="BJ37" i="141"/>
  <c r="BH30" i="141"/>
  <c r="BJ7" i="141"/>
  <c r="BI18" i="141"/>
  <c r="BJ32" i="141"/>
  <c r="BK36" i="141"/>
  <c r="BK33" i="141"/>
  <c r="BL33" i="141" s="1"/>
  <c r="BM33" i="141" s="1"/>
  <c r="BN33" i="141" s="1"/>
  <c r="BO33" i="141" s="1"/>
  <c r="BP33" i="141" s="1"/>
  <c r="BK35" i="141"/>
  <c r="BL35" i="141" s="1"/>
  <c r="BM35" i="141" s="1"/>
  <c r="BN35" i="141" s="1"/>
  <c r="BO35" i="141" s="1"/>
  <c r="BN21" i="141"/>
  <c r="BI39" i="141"/>
  <c r="BI38" i="141"/>
  <c r="BM22" i="141"/>
  <c r="BJ34" i="141"/>
  <c r="BP4" i="11"/>
  <c r="BP5" i="11"/>
  <c r="BS25" i="141" l="1"/>
  <c r="BT25" i="141" s="1"/>
  <c r="BU25" i="141" s="1"/>
  <c r="BV25" i="141" s="1"/>
  <c r="BP35" i="141"/>
  <c r="BQ35" i="141" s="1"/>
  <c r="BQ23" i="141"/>
  <c r="BR23" i="141" s="1"/>
  <c r="BS23" i="141" s="1"/>
  <c r="BJ18" i="141"/>
  <c r="BK7" i="141"/>
  <c r="BK34" i="141"/>
  <c r="BJ38" i="141"/>
  <c r="BO21" i="141"/>
  <c r="BL36" i="141"/>
  <c r="BN22" i="141"/>
  <c r="BO22" i="141" s="1"/>
  <c r="BP22" i="141" s="1"/>
  <c r="BQ22" i="141" s="1"/>
  <c r="BR22" i="141" s="1"/>
  <c r="BJ39" i="141"/>
  <c r="BI30" i="141"/>
  <c r="BQ33" i="141"/>
  <c r="BR33" i="141" s="1"/>
  <c r="BK37" i="141"/>
  <c r="BK32" i="141"/>
  <c r="BL32" i="141" s="1"/>
  <c r="BM32" i="141" s="1"/>
  <c r="BQ5" i="11"/>
  <c r="BQ4" i="11"/>
  <c r="BR35" i="141" l="1"/>
  <c r="BS35" i="141" s="1"/>
  <c r="BS33" i="141"/>
  <c r="BT33" i="141" s="1"/>
  <c r="BU33" i="141" s="1"/>
  <c r="BV33" i="141" s="1"/>
  <c r="BN32" i="141"/>
  <c r="BO32" i="141" s="1"/>
  <c r="BS22" i="141"/>
  <c r="BL37" i="141"/>
  <c r="BJ30" i="141"/>
  <c r="BT23" i="141"/>
  <c r="BP21" i="141"/>
  <c r="BK18" i="141"/>
  <c r="BL7" i="141"/>
  <c r="BK38" i="141"/>
  <c r="BL38" i="141" s="1"/>
  <c r="BM38" i="141" s="1"/>
  <c r="BN38" i="141" s="1"/>
  <c r="BO38" i="141" s="1"/>
  <c r="BP38" i="141" s="1"/>
  <c r="BK39" i="141"/>
  <c r="BM36" i="141"/>
  <c r="BL34" i="141"/>
  <c r="BR4" i="11"/>
  <c r="BR5" i="11"/>
  <c r="BU23" i="141" l="1"/>
  <c r="BV23" i="141" s="1"/>
  <c r="BT22" i="141"/>
  <c r="BU22" i="141" s="1"/>
  <c r="BQ21" i="141"/>
  <c r="BR21" i="141" s="1"/>
  <c r="BS21" i="141" s="1"/>
  <c r="BT21" i="141" s="1"/>
  <c r="BU21" i="141" s="1"/>
  <c r="BT35" i="141"/>
  <c r="BU35" i="141" s="1"/>
  <c r="BL18" i="141"/>
  <c r="BM7" i="141"/>
  <c r="BN36" i="141"/>
  <c r="BP32" i="141"/>
  <c r="BM34" i="141"/>
  <c r="BL39" i="141"/>
  <c r="BQ38" i="141"/>
  <c r="BR38" i="141" s="1"/>
  <c r="BK30" i="141"/>
  <c r="BM37" i="141"/>
  <c r="BS4" i="11"/>
  <c r="BS5" i="11"/>
  <c r="BS38" i="141" l="1"/>
  <c r="BV35" i="141"/>
  <c r="BV22" i="141"/>
  <c r="BO36" i="141"/>
  <c r="BP36" i="141" s="1"/>
  <c r="BQ36" i="141" s="1"/>
  <c r="BR36" i="141" s="1"/>
  <c r="BS36" i="141" s="1"/>
  <c r="BT36" i="141" s="1"/>
  <c r="BU36" i="141" s="1"/>
  <c r="BT38" i="141"/>
  <c r="BU38" i="141" s="1"/>
  <c r="BN37" i="141"/>
  <c r="BO37" i="141" s="1"/>
  <c r="BP37" i="141" s="1"/>
  <c r="BQ37" i="141" s="1"/>
  <c r="BR37" i="141" s="1"/>
  <c r="BS37" i="141" s="1"/>
  <c r="BQ32" i="141"/>
  <c r="BR32" i="141" s="1"/>
  <c r="BS32" i="141" s="1"/>
  <c r="BT32" i="141" s="1"/>
  <c r="BU32" i="141" s="1"/>
  <c r="BV32" i="141" s="1"/>
  <c r="BN34" i="141"/>
  <c r="BM18" i="141"/>
  <c r="BN7" i="141"/>
  <c r="BL30" i="141"/>
  <c r="BM39" i="141"/>
  <c r="BV21" i="141"/>
  <c r="BT4" i="11"/>
  <c r="BT5" i="11"/>
  <c r="BV38" i="141" l="1"/>
  <c r="BO34" i="141"/>
  <c r="BP34" i="141" s="1"/>
  <c r="BQ34" i="141" s="1"/>
  <c r="BN39" i="141"/>
  <c r="BM30" i="141"/>
  <c r="BN18" i="141"/>
  <c r="BO7" i="141"/>
  <c r="BT37" i="141"/>
  <c r="BU37" i="141" s="1"/>
  <c r="BV37" i="141" s="1"/>
  <c r="BV36" i="141"/>
  <c r="BU4" i="11"/>
  <c r="BU5" i="11"/>
  <c r="BR34" i="141" l="1"/>
  <c r="BS34" i="141" s="1"/>
  <c r="BT34" i="141" s="1"/>
  <c r="BU34" i="141" s="1"/>
  <c r="BN30" i="141"/>
  <c r="BO18" i="141"/>
  <c r="BP7" i="141"/>
  <c r="BO39" i="141"/>
  <c r="BV4" i="11"/>
  <c r="BV5" i="11"/>
  <c r="BV34" i="141" l="1"/>
  <c r="BO30" i="141"/>
  <c r="BP18" i="141"/>
  <c r="BQ7" i="141"/>
  <c r="BP39" i="141"/>
  <c r="P5" i="130"/>
  <c r="P6" i="130"/>
  <c r="Q6" i="130" s="1"/>
  <c r="R6" i="130" s="1"/>
  <c r="P7" i="130"/>
  <c r="Q7" i="130" s="1"/>
  <c r="R7" i="130" s="1"/>
  <c r="AX15" i="141" l="1"/>
  <c r="AX15" i="134"/>
  <c r="AX15" i="135"/>
  <c r="AX15" i="132"/>
  <c r="AX15" i="136"/>
  <c r="AV13" i="133"/>
  <c r="AO13" i="133"/>
  <c r="AS13" i="133"/>
  <c r="AW13" i="133"/>
  <c r="AN13" i="133"/>
  <c r="AP13" i="133"/>
  <c r="AT13" i="133"/>
  <c r="AX13" i="133"/>
  <c r="AM13" i="133"/>
  <c r="AQ13" i="133"/>
  <c r="AU13" i="133"/>
  <c r="AR13" i="133"/>
  <c r="BQ39" i="141"/>
  <c r="BR39" i="141" s="1"/>
  <c r="BS39" i="141" s="1"/>
  <c r="BT39" i="141" s="1"/>
  <c r="BU39" i="141" s="1"/>
  <c r="BR7" i="141"/>
  <c r="BQ18" i="141"/>
  <c r="BP30" i="141"/>
  <c r="Q5" i="130"/>
  <c r="AL15" i="133"/>
  <c r="AX15" i="133"/>
  <c r="R5" i="130" l="1"/>
  <c r="BJ15" i="141"/>
  <c r="BJ15" i="135"/>
  <c r="BJ15" i="136"/>
  <c r="BJ15" i="134"/>
  <c r="BJ15" i="132"/>
  <c r="BA13" i="133"/>
  <c r="BE13" i="133"/>
  <c r="BI13" i="133"/>
  <c r="BF13" i="133"/>
  <c r="BH13" i="133"/>
  <c r="BB13" i="133"/>
  <c r="BJ13" i="133"/>
  <c r="AZ13" i="133"/>
  <c r="AY13" i="133"/>
  <c r="BC13" i="133"/>
  <c r="BG13" i="133"/>
  <c r="BD13" i="133"/>
  <c r="BV39" i="141"/>
  <c r="BR18" i="141"/>
  <c r="BS7" i="141"/>
  <c r="BQ30" i="141"/>
  <c r="BJ15" i="133"/>
  <c r="G16" i="123"/>
  <c r="G25" i="123"/>
  <c r="G31" i="123"/>
  <c r="G35" i="123"/>
  <c r="G46" i="123"/>
  <c r="C46" i="138"/>
  <c r="D45" i="138"/>
  <c r="Z37" i="138"/>
  <c r="Y37" i="138"/>
  <c r="X37" i="138"/>
  <c r="W37" i="138"/>
  <c r="V37" i="138"/>
  <c r="U37" i="138"/>
  <c r="T37" i="138"/>
  <c r="S37" i="138"/>
  <c r="R37" i="138"/>
  <c r="Q37" i="138"/>
  <c r="P37" i="138"/>
  <c r="O37" i="138"/>
  <c r="N37" i="138"/>
  <c r="M37" i="138"/>
  <c r="L37" i="138"/>
  <c r="K37" i="138"/>
  <c r="J37" i="138"/>
  <c r="I37" i="138"/>
  <c r="H37" i="138"/>
  <c r="G37" i="138"/>
  <c r="F37" i="138"/>
  <c r="E37" i="138"/>
  <c r="D37" i="138"/>
  <c r="C37" i="138"/>
  <c r="Z31" i="138"/>
  <c r="Z41" i="138" s="1"/>
  <c r="Y31" i="138"/>
  <c r="Y41" i="138" s="1"/>
  <c r="X31" i="138"/>
  <c r="X39" i="138" s="1"/>
  <c r="W31" i="138"/>
  <c r="W39" i="138" s="1"/>
  <c r="V31" i="138"/>
  <c r="V41" i="138" s="1"/>
  <c r="U31" i="138"/>
  <c r="U41" i="138" s="1"/>
  <c r="T31" i="138"/>
  <c r="T39" i="138" s="1"/>
  <c r="S31" i="138"/>
  <c r="S39" i="138" s="1"/>
  <c r="R31" i="138"/>
  <c r="R41" i="138" s="1"/>
  <c r="Q31" i="138"/>
  <c r="Q41" i="138" s="1"/>
  <c r="P31" i="138"/>
  <c r="P39" i="138" s="1"/>
  <c r="O31" i="138"/>
  <c r="O39" i="138" s="1"/>
  <c r="N31" i="138"/>
  <c r="N41" i="138" s="1"/>
  <c r="M31" i="138"/>
  <c r="M41" i="138" s="1"/>
  <c r="L31" i="138"/>
  <c r="L39" i="138" s="1"/>
  <c r="L40" i="138" s="1"/>
  <c r="K31" i="138"/>
  <c r="K39" i="138" s="1"/>
  <c r="J31" i="138"/>
  <c r="J41" i="138" s="1"/>
  <c r="I31" i="138"/>
  <c r="I41" i="138" s="1"/>
  <c r="H31" i="138"/>
  <c r="H39" i="138" s="1"/>
  <c r="G31" i="138"/>
  <c r="G39" i="138" s="1"/>
  <c r="F31" i="138"/>
  <c r="F41" i="138" s="1"/>
  <c r="E31" i="138"/>
  <c r="E41" i="138" s="1"/>
  <c r="D31" i="138"/>
  <c r="D39" i="138" s="1"/>
  <c r="D40" i="138" s="1"/>
  <c r="C31" i="138"/>
  <c r="C39" i="138" s="1"/>
  <c r="Z25" i="138"/>
  <c r="Y25" i="138"/>
  <c r="X25" i="138"/>
  <c r="W25" i="138"/>
  <c r="V25" i="138"/>
  <c r="U25" i="138"/>
  <c r="T25" i="138"/>
  <c r="S25" i="138"/>
  <c r="R25" i="138"/>
  <c r="Q25" i="138"/>
  <c r="P25" i="138"/>
  <c r="O25" i="138"/>
  <c r="N25" i="138"/>
  <c r="M25" i="138"/>
  <c r="L25" i="138"/>
  <c r="K25" i="138"/>
  <c r="J25" i="138"/>
  <c r="I25" i="138"/>
  <c r="H25" i="138"/>
  <c r="G25" i="138"/>
  <c r="F25" i="138"/>
  <c r="E25" i="138"/>
  <c r="D25" i="138"/>
  <c r="C25" i="138"/>
  <c r="L16" i="138"/>
  <c r="M16" i="138" s="1"/>
  <c r="N16" i="138" s="1"/>
  <c r="O16" i="138" s="1"/>
  <c r="P16" i="138" s="1"/>
  <c r="Q16" i="138" s="1"/>
  <c r="R16" i="138" s="1"/>
  <c r="S16" i="138" s="1"/>
  <c r="T16" i="138" s="1"/>
  <c r="U16" i="138" s="1"/>
  <c r="V16" i="138" s="1"/>
  <c r="W16" i="138" s="1"/>
  <c r="X16" i="138" s="1"/>
  <c r="Y16" i="138" s="1"/>
  <c r="Z16" i="138" s="1"/>
  <c r="G16" i="138"/>
  <c r="H16" i="138" s="1"/>
  <c r="I16" i="138" s="1"/>
  <c r="J16" i="138" s="1"/>
  <c r="C14" i="138"/>
  <c r="C18" i="138" s="1"/>
  <c r="C19" i="138" s="1"/>
  <c r="I10" i="138"/>
  <c r="D10" i="138"/>
  <c r="AV8" i="138"/>
  <c r="AN8" i="138"/>
  <c r="AF8" i="138"/>
  <c r="X8" i="138"/>
  <c r="P8" i="138"/>
  <c r="H8" i="138"/>
  <c r="AY8" i="138"/>
  <c r="AW8" i="138"/>
  <c r="AU8" i="138"/>
  <c r="AS8" i="138"/>
  <c r="AR8" i="138"/>
  <c r="AQ8" i="138"/>
  <c r="AO8" i="138"/>
  <c r="AM8" i="138"/>
  <c r="AK8" i="138"/>
  <c r="AJ8" i="138"/>
  <c r="AI8" i="138"/>
  <c r="AG8" i="138"/>
  <c r="AE8" i="138"/>
  <c r="AC8" i="138"/>
  <c r="AB8" i="138"/>
  <c r="AA8" i="138"/>
  <c r="Y8" i="138"/>
  <c r="W8" i="138"/>
  <c r="U8" i="138"/>
  <c r="T8" i="138"/>
  <c r="S8" i="138"/>
  <c r="Q8" i="138"/>
  <c r="O8" i="138"/>
  <c r="M8" i="138"/>
  <c r="L8" i="138"/>
  <c r="K8" i="138"/>
  <c r="I8" i="138"/>
  <c r="G8" i="138"/>
  <c r="E8" i="138"/>
  <c r="D8" i="138"/>
  <c r="BV15" i="141" l="1"/>
  <c r="BV15" i="132"/>
  <c r="BV15" i="135"/>
  <c r="BV15" i="136"/>
  <c r="BV15" i="134"/>
  <c r="BL13" i="133"/>
  <c r="BM13" i="133"/>
  <c r="BQ13" i="133"/>
  <c r="BU13" i="133"/>
  <c r="BN13" i="133"/>
  <c r="BV13" i="133"/>
  <c r="BR13" i="133"/>
  <c r="BP13" i="133"/>
  <c r="BK13" i="133"/>
  <c r="BO13" i="133"/>
  <c r="BS13" i="133"/>
  <c r="BT13" i="133"/>
  <c r="BS18" i="141"/>
  <c r="BT7" i="141"/>
  <c r="BR30" i="141"/>
  <c r="BV15" i="133"/>
  <c r="Q39" i="138"/>
  <c r="G41" i="138"/>
  <c r="W41" i="138"/>
  <c r="U39" i="138"/>
  <c r="K41" i="138"/>
  <c r="D14" i="138"/>
  <c r="D18" i="138" s="1"/>
  <c r="D19" i="138" s="1"/>
  <c r="E39" i="138"/>
  <c r="E40" i="138" s="1"/>
  <c r="Y39" i="138"/>
  <c r="O41" i="138"/>
  <c r="I39" i="138"/>
  <c r="C41" i="138"/>
  <c r="S41" i="138"/>
  <c r="J10" i="138"/>
  <c r="F8" i="138"/>
  <c r="J8" i="138"/>
  <c r="N8" i="138"/>
  <c r="R8" i="138"/>
  <c r="V8" i="138"/>
  <c r="Z8" i="138"/>
  <c r="AD8" i="138"/>
  <c r="AH8" i="138"/>
  <c r="AL8" i="138"/>
  <c r="AP8" i="138"/>
  <c r="AT8" i="138"/>
  <c r="AX8" i="138"/>
  <c r="E14" i="138"/>
  <c r="M39" i="138"/>
  <c r="M40" i="138" s="1"/>
  <c r="D46" i="138"/>
  <c r="E45" i="138"/>
  <c r="E10" i="138"/>
  <c r="F39" i="138"/>
  <c r="J39" i="138"/>
  <c r="N39" i="138"/>
  <c r="R39" i="138"/>
  <c r="V39" i="138"/>
  <c r="Z39" i="138"/>
  <c r="D41" i="138"/>
  <c r="H41" i="138"/>
  <c r="L41" i="138"/>
  <c r="P41" i="138"/>
  <c r="T41" i="138"/>
  <c r="X41" i="138"/>
  <c r="BS30" i="141" l="1"/>
  <c r="BT18" i="141"/>
  <c r="BU7" i="141"/>
  <c r="N40" i="138"/>
  <c r="O40" i="138" s="1"/>
  <c r="P40" i="138" s="1"/>
  <c r="Q40" i="138" s="1"/>
  <c r="R40" i="138" s="1"/>
  <c r="S40" i="138" s="1"/>
  <c r="T40" i="138" s="1"/>
  <c r="U40" i="138" s="1"/>
  <c r="V40" i="138" s="1"/>
  <c r="W40" i="138" s="1"/>
  <c r="X40" i="138" s="1"/>
  <c r="Y40" i="138" s="1"/>
  <c r="Z40" i="138" s="1"/>
  <c r="F40" i="138"/>
  <c r="G40" i="138" s="1"/>
  <c r="H40" i="138" s="1"/>
  <c r="I40" i="138" s="1"/>
  <c r="J40" i="138" s="1"/>
  <c r="F10" i="138"/>
  <c r="F14" i="138"/>
  <c r="E18" i="138"/>
  <c r="E19" i="138" s="1"/>
  <c r="E46" i="138"/>
  <c r="F45" i="138"/>
  <c r="K10" i="138"/>
  <c r="BV7" i="141" l="1"/>
  <c r="BU18" i="141"/>
  <c r="BT30" i="141"/>
  <c r="G14" i="138"/>
  <c r="F18" i="138"/>
  <c r="F19" i="138" s="1"/>
  <c r="F46" i="138"/>
  <c r="G45" i="138"/>
  <c r="G10" i="138"/>
  <c r="L10" i="138"/>
  <c r="BV18" i="141" l="1"/>
  <c r="BU30" i="141"/>
  <c r="G46" i="138"/>
  <c r="H44" i="138" s="1"/>
  <c r="H45" i="138"/>
  <c r="I45" i="138" s="1"/>
  <c r="J45" i="138" s="1"/>
  <c r="K45" i="138" s="1"/>
  <c r="M10" i="138"/>
  <c r="G18" i="138"/>
  <c r="G19" i="138" s="1"/>
  <c r="H14" i="138"/>
  <c r="BV30" i="141" l="1"/>
  <c r="H46" i="138"/>
  <c r="I44" i="138" s="1"/>
  <c r="I46" i="138" s="1"/>
  <c r="J44" i="138" s="1"/>
  <c r="J46" i="138" s="1"/>
  <c r="K44" i="138" s="1"/>
  <c r="K46" i="138" s="1"/>
  <c r="L46" i="138" s="1"/>
  <c r="M46" i="138" s="1"/>
  <c r="N46" i="138" s="1"/>
  <c r="O46" i="138" s="1"/>
  <c r="P46" i="138" s="1"/>
  <c r="Q46" i="138" s="1"/>
  <c r="R46" i="138" s="1"/>
  <c r="S46" i="138" s="1"/>
  <c r="T46" i="138" s="1"/>
  <c r="U46" i="138" s="1"/>
  <c r="V46" i="138" s="1"/>
  <c r="W46" i="138" s="1"/>
  <c r="X46" i="138" s="1"/>
  <c r="Y46" i="138" s="1"/>
  <c r="Z46" i="138" s="1"/>
  <c r="N10" i="138"/>
  <c r="H18" i="138"/>
  <c r="H19" i="138" s="1"/>
  <c r="I14" i="138"/>
  <c r="O10" i="138" l="1"/>
  <c r="J14" i="138"/>
  <c r="I18" i="138"/>
  <c r="I19" i="138" s="1"/>
  <c r="K14" i="138" l="1"/>
  <c r="J18" i="138"/>
  <c r="J19" i="138" s="1"/>
  <c r="P10" i="138"/>
  <c r="K18" i="138" l="1"/>
  <c r="K19" i="138" s="1"/>
  <c r="L14" i="138"/>
  <c r="Q10" i="138"/>
  <c r="L18" i="138" l="1"/>
  <c r="L19" i="138" s="1"/>
  <c r="M14" i="138"/>
  <c r="R10" i="138"/>
  <c r="S10" i="138" l="1"/>
  <c r="N14" i="138"/>
  <c r="M18" i="138"/>
  <c r="M19" i="138" s="1"/>
  <c r="T10" i="138" l="1"/>
  <c r="O14" i="138"/>
  <c r="N18" i="138"/>
  <c r="N19" i="138" s="1"/>
  <c r="U10" i="138" l="1"/>
  <c r="O18" i="138"/>
  <c r="O19" i="138" s="1"/>
  <c r="P14" i="138"/>
  <c r="P18" i="138" l="1"/>
  <c r="P19" i="138" s="1"/>
  <c r="Q14" i="138"/>
  <c r="V10" i="138"/>
  <c r="R14" i="138" l="1"/>
  <c r="Q18" i="138"/>
  <c r="Q19" i="138" s="1"/>
  <c r="W10" i="138"/>
  <c r="X10" i="138" l="1"/>
  <c r="S14" i="138"/>
  <c r="R18" i="138"/>
  <c r="R19" i="138" s="1"/>
  <c r="Y10" i="138" l="1"/>
  <c r="S18" i="138"/>
  <c r="S19" i="138" s="1"/>
  <c r="T14" i="138"/>
  <c r="T18" i="138" l="1"/>
  <c r="T19" i="138" s="1"/>
  <c r="U14" i="138"/>
  <c r="Z10" i="138"/>
  <c r="V14" i="138" l="1"/>
  <c r="U19" i="138"/>
  <c r="W14" i="138" l="1"/>
  <c r="V19" i="138"/>
  <c r="W19" i="138" l="1"/>
  <c r="X14" i="138"/>
  <c r="X19" i="138" l="1"/>
  <c r="Y14" i="138"/>
  <c r="Z14" i="138" l="1"/>
  <c r="Z19" i="138" s="1"/>
  <c r="Y19" i="138"/>
  <c r="BV5" i="136" l="1"/>
  <c r="BU5" i="136"/>
  <c r="BT5" i="136"/>
  <c r="BS5" i="136"/>
  <c r="BR5" i="136"/>
  <c r="BQ5" i="136"/>
  <c r="BP5" i="136"/>
  <c r="BO5" i="136"/>
  <c r="BN5" i="136"/>
  <c r="BM5" i="136"/>
  <c r="BL5" i="136"/>
  <c r="BK5" i="136"/>
  <c r="BJ5" i="136"/>
  <c r="BI5" i="136"/>
  <c r="BH5" i="136"/>
  <c r="BG5" i="136"/>
  <c r="BF5" i="136"/>
  <c r="BE5" i="136"/>
  <c r="BD5" i="136"/>
  <c r="BC5" i="136"/>
  <c r="BB5" i="136"/>
  <c r="BA5" i="136"/>
  <c r="AZ5" i="136"/>
  <c r="AY5" i="136"/>
  <c r="AX5" i="136"/>
  <c r="AW5" i="136"/>
  <c r="AV5" i="136"/>
  <c r="AU5" i="136"/>
  <c r="AT5" i="136"/>
  <c r="AS5" i="136"/>
  <c r="AR5" i="136"/>
  <c r="AQ5" i="136"/>
  <c r="AP5" i="136"/>
  <c r="AO5" i="136"/>
  <c r="AN5" i="136"/>
  <c r="AM5" i="136"/>
  <c r="AL5" i="136"/>
  <c r="AK5" i="136"/>
  <c r="AJ5" i="136"/>
  <c r="AI5" i="136"/>
  <c r="AH5" i="136"/>
  <c r="AG5" i="136"/>
  <c r="AF5" i="136"/>
  <c r="AE5" i="136"/>
  <c r="AD5" i="136"/>
  <c r="AC5" i="136"/>
  <c r="AB5" i="136"/>
  <c r="AA5" i="136"/>
  <c r="Z5" i="136"/>
  <c r="Y5" i="136"/>
  <c r="X5" i="136"/>
  <c r="W5" i="136"/>
  <c r="V5" i="136"/>
  <c r="U5" i="136"/>
  <c r="T5" i="136"/>
  <c r="S5" i="136"/>
  <c r="R5" i="136"/>
  <c r="Q5" i="136"/>
  <c r="P5" i="136"/>
  <c r="O5" i="136"/>
  <c r="N5" i="136"/>
  <c r="M5" i="136"/>
  <c r="L5" i="136"/>
  <c r="K5" i="136"/>
  <c r="J5" i="136"/>
  <c r="I5" i="136"/>
  <c r="H5" i="136"/>
  <c r="G5" i="136"/>
  <c r="F5" i="136"/>
  <c r="E5" i="136"/>
  <c r="D5" i="136"/>
  <c r="C5" i="136"/>
  <c r="Z4" i="136"/>
  <c r="Z12" i="136" s="1"/>
  <c r="AA12" i="136" s="1"/>
  <c r="Y4" i="136"/>
  <c r="Y7" i="136" s="1"/>
  <c r="X4" i="136"/>
  <c r="X7" i="136" s="1"/>
  <c r="W4" i="136"/>
  <c r="W7" i="136" s="1"/>
  <c r="V4" i="136"/>
  <c r="V7" i="136" s="1"/>
  <c r="U4" i="136"/>
  <c r="U7" i="136" s="1"/>
  <c r="T4" i="136"/>
  <c r="T7" i="136" s="1"/>
  <c r="S4" i="136"/>
  <c r="S7" i="136" s="1"/>
  <c r="R4" i="136"/>
  <c r="R7" i="136" s="1"/>
  <c r="Q4" i="136"/>
  <c r="Q7" i="136" s="1"/>
  <c r="P4" i="136"/>
  <c r="P7" i="136" s="1"/>
  <c r="O4" i="136"/>
  <c r="O7" i="136" s="1"/>
  <c r="N4" i="136"/>
  <c r="N7" i="136" s="1"/>
  <c r="M4" i="136"/>
  <c r="M7" i="136" s="1"/>
  <c r="L4" i="136"/>
  <c r="L7" i="136" s="1"/>
  <c r="K4" i="136"/>
  <c r="K7" i="136" s="1"/>
  <c r="J4" i="136"/>
  <c r="J7" i="136" s="1"/>
  <c r="I4" i="136"/>
  <c r="I7" i="136" s="1"/>
  <c r="H4" i="136"/>
  <c r="H7" i="136" s="1"/>
  <c r="G4" i="136"/>
  <c r="G7" i="136" s="1"/>
  <c r="F4" i="136"/>
  <c r="F7" i="136" s="1"/>
  <c r="E4" i="136"/>
  <c r="E7" i="136" s="1"/>
  <c r="D4" i="136"/>
  <c r="D7" i="136" s="1"/>
  <c r="C4" i="136"/>
  <c r="BQ17" i="135"/>
  <c r="AO17" i="135"/>
  <c r="AC17" i="135"/>
  <c r="BV5" i="135"/>
  <c r="BU5" i="135"/>
  <c r="BT5" i="135"/>
  <c r="BS5" i="135"/>
  <c r="BR5" i="135"/>
  <c r="BQ5" i="135"/>
  <c r="BP5" i="135"/>
  <c r="BO5" i="135"/>
  <c r="BN5" i="135"/>
  <c r="BM5" i="135"/>
  <c r="BL5" i="135"/>
  <c r="BK5" i="135"/>
  <c r="BJ5" i="135"/>
  <c r="BI5" i="135"/>
  <c r="BI17" i="135" s="1"/>
  <c r="BH5" i="135"/>
  <c r="BG5" i="135"/>
  <c r="BF5" i="135"/>
  <c r="BE5" i="135"/>
  <c r="BD5" i="135"/>
  <c r="BC5" i="135"/>
  <c r="BB5" i="135"/>
  <c r="BA5" i="135"/>
  <c r="AZ5" i="135"/>
  <c r="AY5" i="135"/>
  <c r="AX5" i="135"/>
  <c r="AW5" i="135"/>
  <c r="AV5" i="135"/>
  <c r="AU5" i="135"/>
  <c r="AT5" i="135"/>
  <c r="AS5" i="135"/>
  <c r="AR5" i="135"/>
  <c r="AQ5" i="135"/>
  <c r="AP5" i="135"/>
  <c r="AO5" i="135"/>
  <c r="AN5" i="135"/>
  <c r="AM5" i="135"/>
  <c r="AL5" i="135"/>
  <c r="AK5" i="135"/>
  <c r="AK17" i="135" s="1"/>
  <c r="AJ5" i="135"/>
  <c r="AI5" i="135"/>
  <c r="AH5" i="135"/>
  <c r="AG5" i="135"/>
  <c r="AF5" i="135"/>
  <c r="AE5" i="135"/>
  <c r="AD5" i="135"/>
  <c r="AC5" i="135"/>
  <c r="AB5" i="135"/>
  <c r="AA5" i="135"/>
  <c r="Z5" i="135"/>
  <c r="Y5" i="135"/>
  <c r="X5" i="135"/>
  <c r="W5" i="135"/>
  <c r="V5" i="135"/>
  <c r="U5" i="135"/>
  <c r="T5" i="135"/>
  <c r="S5" i="135"/>
  <c r="R5" i="135"/>
  <c r="Q5" i="135"/>
  <c r="P5" i="135"/>
  <c r="O5" i="135"/>
  <c r="N5" i="135"/>
  <c r="M5" i="135"/>
  <c r="L5" i="135"/>
  <c r="K5" i="135"/>
  <c r="J5" i="135"/>
  <c r="I5" i="135"/>
  <c r="H5" i="135"/>
  <c r="G5" i="135"/>
  <c r="F5" i="135"/>
  <c r="E5" i="135"/>
  <c r="D5" i="135"/>
  <c r="C5" i="135"/>
  <c r="Z4" i="135"/>
  <c r="Y4" i="135"/>
  <c r="Y7" i="135" s="1"/>
  <c r="X4" i="135"/>
  <c r="X7" i="135" s="1"/>
  <c r="W4" i="135"/>
  <c r="W7" i="135" s="1"/>
  <c r="V4" i="135"/>
  <c r="V7" i="135" s="1"/>
  <c r="U4" i="135"/>
  <c r="U7" i="135" s="1"/>
  <c r="T4" i="135"/>
  <c r="T7" i="135" s="1"/>
  <c r="S4" i="135"/>
  <c r="S7" i="135" s="1"/>
  <c r="R4" i="135"/>
  <c r="R7" i="135" s="1"/>
  <c r="Q4" i="135"/>
  <c r="Q7" i="135" s="1"/>
  <c r="P4" i="135"/>
  <c r="P7" i="135" s="1"/>
  <c r="O4" i="135"/>
  <c r="O7" i="135" s="1"/>
  <c r="N4" i="135"/>
  <c r="N7" i="135" s="1"/>
  <c r="M4" i="135"/>
  <c r="M7" i="135" s="1"/>
  <c r="L4" i="135"/>
  <c r="L7" i="135" s="1"/>
  <c r="K4" i="135"/>
  <c r="K7" i="135" s="1"/>
  <c r="J4" i="135"/>
  <c r="J7" i="135" s="1"/>
  <c r="I4" i="135"/>
  <c r="I7" i="135" s="1"/>
  <c r="H4" i="135"/>
  <c r="H7" i="135" s="1"/>
  <c r="G4" i="135"/>
  <c r="G7" i="135" s="1"/>
  <c r="F4" i="135"/>
  <c r="F7" i="135" s="1"/>
  <c r="E4" i="135"/>
  <c r="E7" i="135" s="1"/>
  <c r="D4" i="135"/>
  <c r="D7" i="135" s="1"/>
  <c r="C4" i="135"/>
  <c r="BG17" i="134"/>
  <c r="AO17" i="134"/>
  <c r="AI17" i="134"/>
  <c r="BV5" i="134"/>
  <c r="BU5" i="134"/>
  <c r="BT5" i="134"/>
  <c r="BS5" i="134"/>
  <c r="BR5" i="134"/>
  <c r="BQ5" i="134"/>
  <c r="BP5" i="134"/>
  <c r="BO5" i="134"/>
  <c r="BO17" i="134" s="1"/>
  <c r="BN5" i="134"/>
  <c r="BM5" i="134"/>
  <c r="BL5" i="134"/>
  <c r="BK5" i="134"/>
  <c r="BJ5" i="134"/>
  <c r="BI5" i="134"/>
  <c r="BH5" i="134"/>
  <c r="BG5" i="134"/>
  <c r="BF5" i="134"/>
  <c r="BE5" i="134"/>
  <c r="BD5" i="134"/>
  <c r="BC5" i="134"/>
  <c r="BB5" i="134"/>
  <c r="BA5" i="134"/>
  <c r="AZ5" i="134"/>
  <c r="AY5" i="134"/>
  <c r="AY17" i="134" s="1"/>
  <c r="AX5" i="134"/>
  <c r="AW5" i="134"/>
  <c r="AV5" i="134"/>
  <c r="AU5" i="134"/>
  <c r="AT5" i="134"/>
  <c r="AS5" i="134"/>
  <c r="AR5" i="134"/>
  <c r="AQ5" i="134"/>
  <c r="AP5" i="134"/>
  <c r="AO5" i="134"/>
  <c r="AN5" i="134"/>
  <c r="AM5" i="134"/>
  <c r="AL5" i="134"/>
  <c r="AK5" i="134"/>
  <c r="AJ5" i="134"/>
  <c r="AI5" i="134"/>
  <c r="AH5" i="134"/>
  <c r="AG5" i="134"/>
  <c r="AF5" i="134"/>
  <c r="AE5" i="134"/>
  <c r="AD5" i="134"/>
  <c r="AC5" i="134"/>
  <c r="AB5" i="134"/>
  <c r="AA5" i="134"/>
  <c r="Z5" i="134"/>
  <c r="Y5" i="134"/>
  <c r="X5" i="134"/>
  <c r="W5" i="134"/>
  <c r="V5" i="134"/>
  <c r="U5" i="134"/>
  <c r="T5" i="134"/>
  <c r="S5" i="134"/>
  <c r="R5" i="134"/>
  <c r="Q5" i="134"/>
  <c r="P5" i="134"/>
  <c r="O5" i="134"/>
  <c r="N5" i="134"/>
  <c r="M5" i="134"/>
  <c r="L5" i="134"/>
  <c r="K5" i="134"/>
  <c r="J5" i="134"/>
  <c r="I5" i="134"/>
  <c r="H5" i="134"/>
  <c r="G5" i="134"/>
  <c r="F5" i="134"/>
  <c r="E5" i="134"/>
  <c r="D5" i="134"/>
  <c r="C5" i="134"/>
  <c r="Z4" i="134"/>
  <c r="Y4" i="134"/>
  <c r="Y7" i="134" s="1"/>
  <c r="X4" i="134"/>
  <c r="X7" i="134" s="1"/>
  <c r="W4" i="134"/>
  <c r="W7" i="134" s="1"/>
  <c r="V4" i="134"/>
  <c r="V7" i="134" s="1"/>
  <c r="U4" i="134"/>
  <c r="U7" i="134" s="1"/>
  <c r="T4" i="134"/>
  <c r="T7" i="134" s="1"/>
  <c r="S4" i="134"/>
  <c r="S7" i="134" s="1"/>
  <c r="R4" i="134"/>
  <c r="R7" i="134" s="1"/>
  <c r="Q4" i="134"/>
  <c r="Q7" i="134" s="1"/>
  <c r="P4" i="134"/>
  <c r="P7" i="134" s="1"/>
  <c r="O4" i="134"/>
  <c r="O7" i="134" s="1"/>
  <c r="N4" i="134"/>
  <c r="N7" i="134" s="1"/>
  <c r="M4" i="134"/>
  <c r="M7" i="134" s="1"/>
  <c r="L4" i="134"/>
  <c r="L7" i="134" s="1"/>
  <c r="K4" i="134"/>
  <c r="K7" i="134" s="1"/>
  <c r="J4" i="134"/>
  <c r="J7" i="134" s="1"/>
  <c r="I4" i="134"/>
  <c r="I7" i="134" s="1"/>
  <c r="H4" i="134"/>
  <c r="H7" i="134" s="1"/>
  <c r="G4" i="134"/>
  <c r="G7" i="134" s="1"/>
  <c r="F4" i="134"/>
  <c r="F7" i="134" s="1"/>
  <c r="E4" i="134"/>
  <c r="E7" i="134" s="1"/>
  <c r="D4" i="134"/>
  <c r="D7" i="134" s="1"/>
  <c r="C4" i="134"/>
  <c r="BD17" i="132"/>
  <c r="BV5" i="133"/>
  <c r="BU5" i="133"/>
  <c r="BT5" i="133"/>
  <c r="BS5" i="133"/>
  <c r="BR5" i="133"/>
  <c r="BQ5" i="133"/>
  <c r="BP5" i="133"/>
  <c r="BO5" i="133"/>
  <c r="BN5" i="133"/>
  <c r="BM5" i="133"/>
  <c r="BL5" i="133"/>
  <c r="BK5" i="133"/>
  <c r="BJ5" i="133"/>
  <c r="BI5" i="133"/>
  <c r="BH5" i="133"/>
  <c r="BG5" i="133"/>
  <c r="BF5" i="133"/>
  <c r="BE5" i="133"/>
  <c r="BD5" i="133"/>
  <c r="BC5" i="133"/>
  <c r="BB5" i="133"/>
  <c r="BA5" i="133"/>
  <c r="AZ5" i="133"/>
  <c r="AY5" i="133"/>
  <c r="AX5" i="133"/>
  <c r="AW5" i="133"/>
  <c r="AV5" i="133"/>
  <c r="AU5" i="133"/>
  <c r="AT5" i="133"/>
  <c r="AS5" i="133"/>
  <c r="AR5" i="133"/>
  <c r="AQ5" i="133"/>
  <c r="AP5" i="133"/>
  <c r="AO5" i="133"/>
  <c r="AN5" i="133"/>
  <c r="AM5" i="133"/>
  <c r="AL5" i="133"/>
  <c r="AK5" i="133"/>
  <c r="AJ5" i="133"/>
  <c r="AI5" i="133"/>
  <c r="AH5" i="133"/>
  <c r="AG5" i="133"/>
  <c r="AF5" i="133"/>
  <c r="AE5" i="133"/>
  <c r="AD5" i="133"/>
  <c r="AC5" i="133"/>
  <c r="AB5" i="133"/>
  <c r="AA5" i="133"/>
  <c r="Z5" i="133"/>
  <c r="Y5" i="133"/>
  <c r="X5" i="133"/>
  <c r="W5" i="133"/>
  <c r="V5" i="133"/>
  <c r="U5" i="133"/>
  <c r="T5" i="133"/>
  <c r="S5" i="133"/>
  <c r="R5" i="133"/>
  <c r="Q5" i="133"/>
  <c r="P5" i="133"/>
  <c r="O5" i="133"/>
  <c r="N5" i="133"/>
  <c r="M5" i="133"/>
  <c r="L5" i="133"/>
  <c r="K5" i="133"/>
  <c r="J5" i="133"/>
  <c r="I5" i="133"/>
  <c r="H5" i="133"/>
  <c r="G5" i="133"/>
  <c r="F5" i="133"/>
  <c r="E5" i="133"/>
  <c r="D5" i="133"/>
  <c r="C5" i="133"/>
  <c r="Z4" i="133"/>
  <c r="Z18" i="133" s="1"/>
  <c r="Y4" i="133"/>
  <c r="X4" i="133"/>
  <c r="X7" i="133" s="1"/>
  <c r="W4" i="133"/>
  <c r="W7" i="133" s="1"/>
  <c r="V4" i="133"/>
  <c r="V7" i="133" s="1"/>
  <c r="U4" i="133"/>
  <c r="U7" i="133" s="1"/>
  <c r="T4" i="133"/>
  <c r="T7" i="133" s="1"/>
  <c r="S4" i="133"/>
  <c r="S7" i="133" s="1"/>
  <c r="R4" i="133"/>
  <c r="R7" i="133" s="1"/>
  <c r="Q4" i="133"/>
  <c r="Q7" i="133" s="1"/>
  <c r="P4" i="133"/>
  <c r="P7" i="133" s="1"/>
  <c r="O4" i="133"/>
  <c r="O7" i="133" s="1"/>
  <c r="N4" i="133"/>
  <c r="N7" i="133" s="1"/>
  <c r="M4" i="133"/>
  <c r="M7" i="133" s="1"/>
  <c r="L4" i="133"/>
  <c r="L7" i="133" s="1"/>
  <c r="K4" i="133"/>
  <c r="K7" i="133" s="1"/>
  <c r="J4" i="133"/>
  <c r="J7" i="133" s="1"/>
  <c r="I4" i="133"/>
  <c r="I7" i="133" s="1"/>
  <c r="H4" i="133"/>
  <c r="H7" i="133" s="1"/>
  <c r="G4" i="133"/>
  <c r="G7" i="133" s="1"/>
  <c r="F4" i="133"/>
  <c r="F7" i="133" s="1"/>
  <c r="E4" i="133"/>
  <c r="E7" i="133" s="1"/>
  <c r="D4" i="133"/>
  <c r="D7" i="133" s="1"/>
  <c r="C4" i="133"/>
  <c r="BR20" i="132"/>
  <c r="BP19" i="132"/>
  <c r="BJ19" i="132"/>
  <c r="BH20" i="132"/>
  <c r="BB20" i="132"/>
  <c r="AZ19" i="132"/>
  <c r="AT19" i="132"/>
  <c r="AR20" i="132"/>
  <c r="AL20" i="132"/>
  <c r="AJ19" i="132"/>
  <c r="AD19" i="132"/>
  <c r="AB20" i="132"/>
  <c r="BV5" i="132"/>
  <c r="BU5" i="132"/>
  <c r="BT5" i="132"/>
  <c r="BS5" i="132"/>
  <c r="BR5" i="132"/>
  <c r="BQ5" i="132"/>
  <c r="BP5" i="132"/>
  <c r="BO5" i="132"/>
  <c r="BN5" i="132"/>
  <c r="BM5" i="132"/>
  <c r="BL5" i="132"/>
  <c r="BK5" i="132"/>
  <c r="BJ5" i="132"/>
  <c r="BI5" i="132"/>
  <c r="BH5" i="132"/>
  <c r="BG5" i="132"/>
  <c r="BF5" i="132"/>
  <c r="BE5" i="132"/>
  <c r="BD5" i="132"/>
  <c r="BC5" i="132"/>
  <c r="BB5" i="132"/>
  <c r="BA5" i="132"/>
  <c r="AZ5" i="132"/>
  <c r="AY5" i="132"/>
  <c r="AX5" i="132"/>
  <c r="AW5" i="132"/>
  <c r="AV5" i="132"/>
  <c r="AU5" i="132"/>
  <c r="AT5" i="132"/>
  <c r="AS5" i="132"/>
  <c r="AR5" i="132"/>
  <c r="AQ5" i="132"/>
  <c r="AP5" i="132"/>
  <c r="AO5" i="132"/>
  <c r="AN5" i="132"/>
  <c r="AM5" i="132"/>
  <c r="AL5" i="132"/>
  <c r="AK5" i="132"/>
  <c r="AJ5" i="132"/>
  <c r="AI5" i="132"/>
  <c r="AH5" i="132"/>
  <c r="AG5" i="132"/>
  <c r="AF5" i="132"/>
  <c r="AE5" i="132"/>
  <c r="AD5" i="132"/>
  <c r="AC5" i="132"/>
  <c r="AB5" i="132"/>
  <c r="AA5" i="132"/>
  <c r="Z5" i="132"/>
  <c r="Y5" i="132"/>
  <c r="X5" i="132"/>
  <c r="W5" i="132"/>
  <c r="V5" i="132"/>
  <c r="U5" i="132"/>
  <c r="T5" i="132"/>
  <c r="S5" i="132"/>
  <c r="R5" i="132"/>
  <c r="Q5" i="132"/>
  <c r="P5" i="132"/>
  <c r="O5" i="132"/>
  <c r="N5" i="132"/>
  <c r="M5" i="132"/>
  <c r="L5" i="132"/>
  <c r="K5" i="132"/>
  <c r="J5" i="132"/>
  <c r="I5" i="132"/>
  <c r="H5" i="132"/>
  <c r="G5" i="132"/>
  <c r="F5" i="132"/>
  <c r="E5" i="132"/>
  <c r="D5" i="132"/>
  <c r="C5" i="132"/>
  <c r="Z4" i="132"/>
  <c r="Y4" i="132"/>
  <c r="Y7" i="132" s="1"/>
  <c r="X4" i="132"/>
  <c r="X7" i="132" s="1"/>
  <c r="W4" i="132"/>
  <c r="W7" i="132" s="1"/>
  <c r="V4" i="132"/>
  <c r="V7" i="132" s="1"/>
  <c r="U4" i="132"/>
  <c r="U7" i="132" s="1"/>
  <c r="T4" i="132"/>
  <c r="T7" i="132" s="1"/>
  <c r="S4" i="132"/>
  <c r="S7" i="132" s="1"/>
  <c r="R4" i="132"/>
  <c r="R7" i="132" s="1"/>
  <c r="Q4" i="132"/>
  <c r="Q7" i="132" s="1"/>
  <c r="P4" i="132"/>
  <c r="P7" i="132" s="1"/>
  <c r="O4" i="132"/>
  <c r="O7" i="132" s="1"/>
  <c r="N4" i="132"/>
  <c r="N7" i="132" s="1"/>
  <c r="M4" i="132"/>
  <c r="M7" i="132" s="1"/>
  <c r="L4" i="132"/>
  <c r="L7" i="132" s="1"/>
  <c r="K4" i="132"/>
  <c r="K7" i="132" s="1"/>
  <c r="J4" i="132"/>
  <c r="J7" i="132" s="1"/>
  <c r="I4" i="132"/>
  <c r="I7" i="132" s="1"/>
  <c r="H4" i="132"/>
  <c r="H7" i="132" s="1"/>
  <c r="G4" i="132"/>
  <c r="G7" i="132" s="1"/>
  <c r="F4" i="132"/>
  <c r="F7" i="132" s="1"/>
  <c r="E4" i="132"/>
  <c r="E7" i="132" s="1"/>
  <c r="D4" i="132"/>
  <c r="D7" i="132" s="1"/>
  <c r="C4" i="132"/>
  <c r="BV20" i="131"/>
  <c r="BU19" i="131"/>
  <c r="BT20" i="131"/>
  <c r="BS20" i="131"/>
  <c r="BR20" i="131"/>
  <c r="BQ19" i="131"/>
  <c r="BP20" i="131"/>
  <c r="BO20" i="131"/>
  <c r="BN20" i="131"/>
  <c r="BM19" i="131"/>
  <c r="BL20" i="131"/>
  <c r="BK20" i="131"/>
  <c r="BJ20" i="131"/>
  <c r="BI19" i="131"/>
  <c r="BH20" i="131"/>
  <c r="BG20" i="131"/>
  <c r="BF20" i="131"/>
  <c r="BE19" i="131"/>
  <c r="BD20" i="131"/>
  <c r="BC20" i="131"/>
  <c r="BB20" i="131"/>
  <c r="BA19" i="131"/>
  <c r="AZ20" i="131"/>
  <c r="AY20" i="131"/>
  <c r="AX20" i="131"/>
  <c r="AW19" i="131"/>
  <c r="AV20" i="131"/>
  <c r="AU20" i="131"/>
  <c r="AT20" i="131"/>
  <c r="AS19" i="131"/>
  <c r="AR20" i="131"/>
  <c r="AQ20" i="131"/>
  <c r="AP20" i="131"/>
  <c r="AO19" i="131"/>
  <c r="AN20" i="131"/>
  <c r="AM20" i="131"/>
  <c r="AL20" i="131"/>
  <c r="AK19" i="131"/>
  <c r="AJ20" i="131"/>
  <c r="AI20" i="131"/>
  <c r="AH20" i="131"/>
  <c r="AG19" i="131"/>
  <c r="AF20" i="131"/>
  <c r="AE20" i="131"/>
  <c r="AD20" i="131"/>
  <c r="AC19" i="131"/>
  <c r="AB20" i="131"/>
  <c r="AA20" i="131"/>
  <c r="BV5" i="131"/>
  <c r="BV15" i="131" s="1"/>
  <c r="BU5" i="131"/>
  <c r="BT5" i="131"/>
  <c r="BS5" i="131"/>
  <c r="BR5" i="131"/>
  <c r="BQ5" i="131"/>
  <c r="BP5" i="131"/>
  <c r="BO5" i="131"/>
  <c r="BN5" i="131"/>
  <c r="BM5" i="131"/>
  <c r="BL5" i="131"/>
  <c r="BK5" i="131"/>
  <c r="BJ5" i="131"/>
  <c r="BJ15" i="131" s="1"/>
  <c r="BI5" i="131"/>
  <c r="BH5" i="131"/>
  <c r="BG5" i="131"/>
  <c r="BF5" i="131"/>
  <c r="BE5" i="131"/>
  <c r="BD5" i="131"/>
  <c r="BC5" i="131"/>
  <c r="BB5" i="131"/>
  <c r="BA5" i="131"/>
  <c r="AZ5" i="131"/>
  <c r="AY5" i="131"/>
  <c r="AX5" i="131"/>
  <c r="AX15" i="131" s="1"/>
  <c r="AW5" i="131"/>
  <c r="AV5" i="131"/>
  <c r="AU5" i="131"/>
  <c r="AT5" i="131"/>
  <c r="AS5" i="131"/>
  <c r="AR5" i="131"/>
  <c r="AQ5" i="131"/>
  <c r="AP5" i="131"/>
  <c r="AO5" i="131"/>
  <c r="AN5" i="131"/>
  <c r="AM5" i="131"/>
  <c r="AL5" i="131"/>
  <c r="AL15" i="131" s="1"/>
  <c r="AK5" i="131"/>
  <c r="AJ5" i="131"/>
  <c r="AI5" i="131"/>
  <c r="AH5" i="131"/>
  <c r="AG5" i="131"/>
  <c r="AF5" i="131"/>
  <c r="AE5" i="131"/>
  <c r="AD5" i="131"/>
  <c r="AC5" i="131"/>
  <c r="AB5" i="131"/>
  <c r="AA5" i="131"/>
  <c r="Z5" i="131"/>
  <c r="Y5" i="131"/>
  <c r="X5" i="131"/>
  <c r="W5" i="131"/>
  <c r="V5" i="131"/>
  <c r="U5" i="131"/>
  <c r="T5" i="131"/>
  <c r="S5" i="131"/>
  <c r="R5" i="131"/>
  <c r="Q5" i="131"/>
  <c r="P5" i="131"/>
  <c r="O5" i="131"/>
  <c r="N5" i="131"/>
  <c r="M5" i="131"/>
  <c r="L5" i="131"/>
  <c r="K5" i="131"/>
  <c r="J5" i="131"/>
  <c r="I5" i="131"/>
  <c r="H5" i="131"/>
  <c r="G5" i="131"/>
  <c r="F5" i="131"/>
  <c r="E5" i="131"/>
  <c r="D5" i="131"/>
  <c r="C5" i="131"/>
  <c r="Z4" i="131"/>
  <c r="Y4" i="131"/>
  <c r="Y7" i="131" s="1"/>
  <c r="X4" i="131"/>
  <c r="X7" i="131" s="1"/>
  <c r="W4" i="131"/>
  <c r="W7" i="131" s="1"/>
  <c r="V4" i="131"/>
  <c r="V7" i="131" s="1"/>
  <c r="U4" i="131"/>
  <c r="U7" i="131" s="1"/>
  <c r="T4" i="131"/>
  <c r="T7" i="131" s="1"/>
  <c r="S4" i="131"/>
  <c r="S7" i="131" s="1"/>
  <c r="R4" i="131"/>
  <c r="R7" i="131" s="1"/>
  <c r="Q4" i="131"/>
  <c r="Q7" i="131" s="1"/>
  <c r="P4" i="131"/>
  <c r="P7" i="131" s="1"/>
  <c r="O4" i="131"/>
  <c r="O7" i="131" s="1"/>
  <c r="N4" i="131"/>
  <c r="N7" i="131" s="1"/>
  <c r="M4" i="131"/>
  <c r="M7" i="131" s="1"/>
  <c r="L4" i="131"/>
  <c r="L7" i="131" s="1"/>
  <c r="K4" i="131"/>
  <c r="K7" i="131" s="1"/>
  <c r="J4" i="131"/>
  <c r="J7" i="131" s="1"/>
  <c r="I4" i="131"/>
  <c r="I7" i="131" s="1"/>
  <c r="H4" i="131"/>
  <c r="H7" i="131" s="1"/>
  <c r="G4" i="131"/>
  <c r="G7" i="131" s="1"/>
  <c r="F4" i="131"/>
  <c r="F7" i="131" s="1"/>
  <c r="D19" i="131"/>
  <c r="C39" i="131"/>
  <c r="P57" i="129"/>
  <c r="D57" i="129"/>
  <c r="O56" i="129"/>
  <c r="P56" i="129" s="1"/>
  <c r="Q56" i="129" s="1"/>
  <c r="R56" i="129" s="1"/>
  <c r="D56" i="129"/>
  <c r="O55" i="129"/>
  <c r="P55" i="129" s="1"/>
  <c r="Q55" i="129" s="1"/>
  <c r="R55" i="129" s="1"/>
  <c r="D55" i="129"/>
  <c r="J57" i="129" s="1"/>
  <c r="O54" i="129"/>
  <c r="P54" i="129" s="1"/>
  <c r="Q54" i="129" s="1"/>
  <c r="R54" i="129" s="1"/>
  <c r="D54" i="129"/>
  <c r="O53" i="129"/>
  <c r="P53" i="129" s="1"/>
  <c r="Q53" i="129" s="1"/>
  <c r="R53" i="129" s="1"/>
  <c r="D53" i="129"/>
  <c r="O52" i="129"/>
  <c r="P52" i="129" s="1"/>
  <c r="Q52" i="129" s="1"/>
  <c r="R52" i="129" s="1"/>
  <c r="D52" i="129"/>
  <c r="J54" i="129" s="1"/>
  <c r="O51" i="129"/>
  <c r="P51" i="129" s="1"/>
  <c r="Q51" i="129" s="1"/>
  <c r="R51" i="129" s="1"/>
  <c r="D51" i="129"/>
  <c r="J53" i="129" s="1"/>
  <c r="O50" i="129"/>
  <c r="P50" i="129" s="1"/>
  <c r="Q50" i="129" s="1"/>
  <c r="R50" i="129" s="1"/>
  <c r="D50" i="129"/>
  <c r="J52" i="129" s="1"/>
  <c r="O49" i="129"/>
  <c r="P49" i="129" s="1"/>
  <c r="Q49" i="129" s="1"/>
  <c r="R49" i="129" s="1"/>
  <c r="D49" i="129"/>
  <c r="J51" i="129" s="1"/>
  <c r="O48" i="129"/>
  <c r="P48" i="129" s="1"/>
  <c r="Q48" i="129" s="1"/>
  <c r="R48" i="129" s="1"/>
  <c r="D48" i="129"/>
  <c r="J50" i="129" s="1"/>
  <c r="O47" i="129"/>
  <c r="P47" i="129" s="1"/>
  <c r="Q47" i="129" s="1"/>
  <c r="R47" i="129" s="1"/>
  <c r="D47" i="129"/>
  <c r="J49" i="129" s="1"/>
  <c r="O46" i="129"/>
  <c r="P46" i="129" s="1"/>
  <c r="Q46" i="129" s="1"/>
  <c r="R46" i="129" s="1"/>
  <c r="D46" i="129"/>
  <c r="J48" i="129" s="1"/>
  <c r="O45" i="129"/>
  <c r="P45" i="129" s="1"/>
  <c r="Q45" i="129" s="1"/>
  <c r="R45" i="129" s="1"/>
  <c r="D45" i="129"/>
  <c r="O44" i="129"/>
  <c r="P44" i="129" s="1"/>
  <c r="Q44" i="129" s="1"/>
  <c r="R44" i="129" s="1"/>
  <c r="D44" i="129"/>
  <c r="O43" i="129"/>
  <c r="P43" i="129" s="1"/>
  <c r="Q43" i="129" s="1"/>
  <c r="R43" i="129" s="1"/>
  <c r="D43" i="129"/>
  <c r="O42" i="129"/>
  <c r="P42" i="129" s="1"/>
  <c r="Q42" i="129" s="1"/>
  <c r="R42" i="129" s="1"/>
  <c r="D42" i="129"/>
  <c r="O41" i="129"/>
  <c r="P41" i="129" s="1"/>
  <c r="Q41" i="129" s="1"/>
  <c r="R41" i="129" s="1"/>
  <c r="D41" i="129"/>
  <c r="O40" i="129"/>
  <c r="P40" i="129" s="1"/>
  <c r="Q40" i="129" s="1"/>
  <c r="R40" i="129" s="1"/>
  <c r="D40" i="129"/>
  <c r="O39" i="129"/>
  <c r="P39" i="129" s="1"/>
  <c r="Q39" i="129" s="1"/>
  <c r="R39" i="129" s="1"/>
  <c r="D39" i="129"/>
  <c r="O38" i="129"/>
  <c r="P38" i="129" s="1"/>
  <c r="Q38" i="129" s="1"/>
  <c r="R38" i="129" s="1"/>
  <c r="D38" i="129"/>
  <c r="O37" i="129"/>
  <c r="P37" i="129" s="1"/>
  <c r="Q37" i="129" s="1"/>
  <c r="R37" i="129" s="1"/>
  <c r="D37" i="129"/>
  <c r="O36" i="129"/>
  <c r="P36" i="129" s="1"/>
  <c r="Q36" i="129" s="1"/>
  <c r="R36" i="129" s="1"/>
  <c r="D36" i="129"/>
  <c r="O35" i="129"/>
  <c r="P35" i="129" s="1"/>
  <c r="Q35" i="129" s="1"/>
  <c r="R35" i="129" s="1"/>
  <c r="D35" i="129"/>
  <c r="O34" i="129"/>
  <c r="P34" i="129" s="1"/>
  <c r="Q34" i="129" s="1"/>
  <c r="R34" i="129" s="1"/>
  <c r="D34" i="129"/>
  <c r="O33" i="129"/>
  <c r="P33" i="129" s="1"/>
  <c r="Q33" i="129" s="1"/>
  <c r="R33" i="129" s="1"/>
  <c r="D33" i="129"/>
  <c r="O32" i="129"/>
  <c r="P32" i="129" s="1"/>
  <c r="Q32" i="129" s="1"/>
  <c r="R32" i="129" s="1"/>
  <c r="D32" i="129"/>
  <c r="O31" i="129"/>
  <c r="P31" i="129" s="1"/>
  <c r="Q31" i="129" s="1"/>
  <c r="R31" i="129" s="1"/>
  <c r="D31" i="129"/>
  <c r="O30" i="129"/>
  <c r="P30" i="129" s="1"/>
  <c r="Q30" i="129" s="1"/>
  <c r="R30" i="129" s="1"/>
  <c r="D30" i="129"/>
  <c r="P29" i="129"/>
  <c r="Q29" i="129" s="1"/>
  <c r="R29" i="129" s="1"/>
  <c r="D29" i="129"/>
  <c r="O28" i="129"/>
  <c r="P28" i="129" s="1"/>
  <c r="Q28" i="129" s="1"/>
  <c r="R28" i="129" s="1"/>
  <c r="D28" i="129"/>
  <c r="O27" i="129"/>
  <c r="P27" i="129" s="1"/>
  <c r="Q27" i="129" s="1"/>
  <c r="R27" i="129" s="1"/>
  <c r="D27" i="129"/>
  <c r="O26" i="129"/>
  <c r="P26" i="129" s="1"/>
  <c r="Q26" i="129" s="1"/>
  <c r="R26" i="129" s="1"/>
  <c r="D26" i="129"/>
  <c r="P25" i="129"/>
  <c r="Q25" i="129" s="1"/>
  <c r="R25" i="129" s="1"/>
  <c r="D25" i="129"/>
  <c r="O24" i="129"/>
  <c r="P24" i="129" s="1"/>
  <c r="Q24" i="129" s="1"/>
  <c r="R24" i="129" s="1"/>
  <c r="D24" i="129"/>
  <c r="O23" i="129"/>
  <c r="P23" i="129" s="1"/>
  <c r="Q23" i="129" s="1"/>
  <c r="R23" i="129" s="1"/>
  <c r="D23" i="129"/>
  <c r="O22" i="129"/>
  <c r="P22" i="129" s="1"/>
  <c r="Q22" i="129" s="1"/>
  <c r="R22" i="129" s="1"/>
  <c r="D22" i="129"/>
  <c r="O21" i="129"/>
  <c r="P21" i="129" s="1"/>
  <c r="Q21" i="129" s="1"/>
  <c r="R21" i="129" s="1"/>
  <c r="D21" i="129"/>
  <c r="J23" i="129" s="1"/>
  <c r="O20" i="129"/>
  <c r="D20" i="129"/>
  <c r="J22" i="129" s="1"/>
  <c r="O19" i="129"/>
  <c r="P19" i="129" s="1"/>
  <c r="Q19" i="129" s="1"/>
  <c r="R19" i="129" s="1"/>
  <c r="D19" i="129"/>
  <c r="J21" i="129" s="1"/>
  <c r="O18" i="129"/>
  <c r="P18" i="129" s="1"/>
  <c r="Q18" i="129" s="1"/>
  <c r="R18" i="129" s="1"/>
  <c r="D18" i="129"/>
  <c r="J20" i="129" s="1"/>
  <c r="O17" i="129"/>
  <c r="D17" i="129"/>
  <c r="J19" i="129" s="1"/>
  <c r="O16" i="129"/>
  <c r="P16" i="129" s="1"/>
  <c r="Q16" i="129" s="1"/>
  <c r="R16" i="129" s="1"/>
  <c r="D16" i="129"/>
  <c r="J18" i="129" s="1"/>
  <c r="O15" i="129"/>
  <c r="P15" i="129" s="1"/>
  <c r="Q15" i="129" s="1"/>
  <c r="R15" i="129" s="1"/>
  <c r="D15" i="129"/>
  <c r="J17" i="129" s="1"/>
  <c r="O14" i="129"/>
  <c r="D14" i="129"/>
  <c r="J16" i="129" s="1"/>
  <c r="D13" i="129"/>
  <c r="J15" i="129" s="1"/>
  <c r="O12" i="129"/>
  <c r="P12" i="129" s="1"/>
  <c r="Q12" i="129" s="1"/>
  <c r="R12" i="129" s="1"/>
  <c r="D12" i="129"/>
  <c r="O11" i="129"/>
  <c r="P11" i="129" s="1"/>
  <c r="Q11" i="129" s="1"/>
  <c r="R11" i="129" s="1"/>
  <c r="D11" i="129"/>
  <c r="J13" i="129" s="1"/>
  <c r="O10" i="129"/>
  <c r="P10" i="129" s="1"/>
  <c r="Q10" i="129" s="1"/>
  <c r="R10" i="129" s="1"/>
  <c r="D10" i="129"/>
  <c r="J12" i="129" s="1"/>
  <c r="O9" i="129"/>
  <c r="P9" i="129" s="1"/>
  <c r="Q9" i="129" s="1"/>
  <c r="R9" i="129" s="1"/>
  <c r="J9" i="129"/>
  <c r="D9" i="129"/>
  <c r="J11" i="129" s="1"/>
  <c r="O8" i="129"/>
  <c r="P8" i="129" s="1"/>
  <c r="Q8" i="129" s="1"/>
  <c r="R8" i="129" s="1"/>
  <c r="D8" i="129"/>
  <c r="J10" i="129" s="1"/>
  <c r="O7" i="129"/>
  <c r="P7" i="129" s="1"/>
  <c r="Q7" i="129" s="1"/>
  <c r="R7" i="129" s="1"/>
  <c r="J8" i="129"/>
  <c r="J7" i="129"/>
  <c r="O6" i="129"/>
  <c r="P6" i="129" s="1"/>
  <c r="Q6" i="129" s="1"/>
  <c r="R6" i="129" s="1"/>
  <c r="J6" i="129"/>
  <c r="D6" i="129"/>
  <c r="AA16" i="131" l="1"/>
  <c r="AA15" i="131"/>
  <c r="AE16" i="131"/>
  <c r="AE15" i="131"/>
  <c r="AI15" i="131"/>
  <c r="AI16" i="131"/>
  <c r="AM15" i="131"/>
  <c r="AM16" i="131"/>
  <c r="AQ15" i="131"/>
  <c r="AQ16" i="131"/>
  <c r="AU15" i="131"/>
  <c r="AU16" i="131"/>
  <c r="AY15" i="131"/>
  <c r="AY16" i="131"/>
  <c r="BC15" i="131"/>
  <c r="BC16" i="131"/>
  <c r="BG15" i="131"/>
  <c r="BG16" i="131"/>
  <c r="BK16" i="131"/>
  <c r="BK15" i="131"/>
  <c r="BO16" i="131"/>
  <c r="BO15" i="131"/>
  <c r="BS16" i="131"/>
  <c r="BS15" i="131"/>
  <c r="AB16" i="131"/>
  <c r="AB15" i="131"/>
  <c r="AF16" i="131"/>
  <c r="AF15" i="131"/>
  <c r="AJ16" i="131"/>
  <c r="AJ15" i="131"/>
  <c r="AN16" i="131"/>
  <c r="AN15" i="131"/>
  <c r="AR15" i="131"/>
  <c r="AR16" i="131"/>
  <c r="AV16" i="131"/>
  <c r="AV15" i="131"/>
  <c r="AZ15" i="131"/>
  <c r="AZ16" i="131"/>
  <c r="BD15" i="131"/>
  <c r="BD16" i="131"/>
  <c r="BH15" i="131"/>
  <c r="BH16" i="131"/>
  <c r="BL15" i="131"/>
  <c r="BL16" i="131"/>
  <c r="BL13" i="131"/>
  <c r="BM13" i="131" s="1"/>
  <c r="BN13" i="131" s="1"/>
  <c r="BO13" i="131" s="1"/>
  <c r="BP13" i="131" s="1"/>
  <c r="BQ13" i="131" s="1"/>
  <c r="BR13" i="131" s="1"/>
  <c r="BS13" i="131" s="1"/>
  <c r="BT13" i="131" s="1"/>
  <c r="BU13" i="131" s="1"/>
  <c r="BP15" i="131"/>
  <c r="BP16" i="131"/>
  <c r="BT15" i="131"/>
  <c r="BT16" i="131"/>
  <c r="AC16" i="131"/>
  <c r="AC15" i="131"/>
  <c r="AG16" i="131"/>
  <c r="AG17" i="131" s="1"/>
  <c r="AG15" i="131"/>
  <c r="AK16" i="131"/>
  <c r="AK15" i="131"/>
  <c r="AO16" i="131"/>
  <c r="AO15" i="131"/>
  <c r="AS16" i="131"/>
  <c r="AS15" i="131"/>
  <c r="AW16" i="131"/>
  <c r="AW17" i="131" s="1"/>
  <c r="AW15" i="131"/>
  <c r="BA16" i="131"/>
  <c r="BA15" i="131"/>
  <c r="BE15" i="131"/>
  <c r="BE16" i="131"/>
  <c r="BI16" i="131"/>
  <c r="BI15" i="131"/>
  <c r="BM15" i="131"/>
  <c r="BM16" i="131"/>
  <c r="BQ15" i="131"/>
  <c r="BQ16" i="131"/>
  <c r="BU15" i="131"/>
  <c r="BU16" i="131"/>
  <c r="AD15" i="131"/>
  <c r="AD16" i="131"/>
  <c r="AH15" i="131"/>
  <c r="AH16" i="131"/>
  <c r="AP15" i="131"/>
  <c r="AP16" i="131"/>
  <c r="AT15" i="131"/>
  <c r="AT16" i="131"/>
  <c r="BB16" i="131"/>
  <c r="BB15" i="131"/>
  <c r="BF16" i="131"/>
  <c r="BF15" i="131"/>
  <c r="BN15" i="131"/>
  <c r="BN16" i="131"/>
  <c r="BN17" i="131" s="1"/>
  <c r="BR15" i="131"/>
  <c r="BR16" i="131"/>
  <c r="AB12" i="141"/>
  <c r="Y7" i="133"/>
  <c r="Y18" i="133"/>
  <c r="AL16" i="141"/>
  <c r="AL17" i="141" s="1"/>
  <c r="P20" i="129"/>
  <c r="Q20" i="129" s="1"/>
  <c r="R20" i="129" s="1"/>
  <c r="Z7" i="131"/>
  <c r="Z12" i="131"/>
  <c r="AA12" i="131" s="1"/>
  <c r="Z7" i="135"/>
  <c r="AA7" i="135"/>
  <c r="AA7" i="133"/>
  <c r="Z7" i="133"/>
  <c r="Z7" i="134"/>
  <c r="AA7" i="134"/>
  <c r="Z7" i="136"/>
  <c r="AA7" i="136"/>
  <c r="Z7" i="132"/>
  <c r="AA7" i="132"/>
  <c r="AA7" i="131"/>
  <c r="AA24" i="131" s="1"/>
  <c r="AB12" i="133"/>
  <c r="AC12" i="133" s="1"/>
  <c r="AD12" i="133" s="1"/>
  <c r="AE12" i="133" s="1"/>
  <c r="AF12" i="133" s="1"/>
  <c r="AG12" i="133" s="1"/>
  <c r="AH12" i="133" s="1"/>
  <c r="AI12" i="133" s="1"/>
  <c r="AJ12" i="133" s="1"/>
  <c r="AK12" i="133" s="1"/>
  <c r="AL12" i="133" s="1"/>
  <c r="AM12" i="133" s="1"/>
  <c r="G13" i="131"/>
  <c r="G15" i="131"/>
  <c r="G16" i="131"/>
  <c r="W13" i="131"/>
  <c r="W15" i="131"/>
  <c r="W16" i="131"/>
  <c r="H13" i="136"/>
  <c r="H15" i="136"/>
  <c r="H16" i="136"/>
  <c r="L13" i="136"/>
  <c r="L15" i="136"/>
  <c r="L16" i="136"/>
  <c r="X13" i="136"/>
  <c r="X15" i="136"/>
  <c r="X16" i="136"/>
  <c r="F13" i="131"/>
  <c r="F15" i="131"/>
  <c r="F16" i="131"/>
  <c r="J13" i="131"/>
  <c r="J15" i="131"/>
  <c r="J16" i="131"/>
  <c r="N13" i="131"/>
  <c r="N15" i="131"/>
  <c r="N16" i="131"/>
  <c r="R13" i="131"/>
  <c r="R15" i="131"/>
  <c r="R16" i="131"/>
  <c r="V13" i="131"/>
  <c r="V15" i="131"/>
  <c r="V16" i="131"/>
  <c r="Z13" i="131"/>
  <c r="Z15" i="131"/>
  <c r="Z16" i="131"/>
  <c r="F13" i="132"/>
  <c r="F15" i="132"/>
  <c r="F16" i="132"/>
  <c r="J13" i="132"/>
  <c r="J15" i="132"/>
  <c r="J16" i="132"/>
  <c r="N13" i="132"/>
  <c r="N15" i="132"/>
  <c r="N16" i="132"/>
  <c r="R13" i="132"/>
  <c r="R15" i="132"/>
  <c r="R16" i="132"/>
  <c r="V13" i="132"/>
  <c r="V15" i="132"/>
  <c r="V16" i="132"/>
  <c r="Z13" i="132"/>
  <c r="Z15" i="132"/>
  <c r="Z16" i="132"/>
  <c r="E13" i="134"/>
  <c r="E16" i="134"/>
  <c r="E15" i="134"/>
  <c r="I13" i="134"/>
  <c r="I15" i="134"/>
  <c r="I16" i="134"/>
  <c r="M13" i="134"/>
  <c r="M15" i="134"/>
  <c r="M16" i="134"/>
  <c r="Q13" i="134"/>
  <c r="Q15" i="134"/>
  <c r="Q16" i="134"/>
  <c r="U13" i="134"/>
  <c r="U15" i="134"/>
  <c r="U16" i="134"/>
  <c r="Y13" i="134"/>
  <c r="Y16" i="134"/>
  <c r="Y15" i="134"/>
  <c r="F13" i="135"/>
  <c r="F15" i="135"/>
  <c r="F16" i="135"/>
  <c r="J13" i="135"/>
  <c r="J15" i="135"/>
  <c r="J16" i="135"/>
  <c r="N13" i="135"/>
  <c r="N15" i="135"/>
  <c r="N16" i="135"/>
  <c r="R13" i="135"/>
  <c r="R15" i="135"/>
  <c r="R16" i="135"/>
  <c r="V13" i="135"/>
  <c r="V15" i="135"/>
  <c r="V16" i="135"/>
  <c r="Z13" i="135"/>
  <c r="Z15" i="135"/>
  <c r="Z16" i="135"/>
  <c r="C13" i="136"/>
  <c r="C15" i="136"/>
  <c r="C16" i="136"/>
  <c r="G13" i="136"/>
  <c r="G16" i="136"/>
  <c r="G15" i="136"/>
  <c r="K13" i="136"/>
  <c r="K16" i="136"/>
  <c r="K15" i="136"/>
  <c r="O13" i="136"/>
  <c r="O16" i="136"/>
  <c r="O15" i="136"/>
  <c r="S13" i="136"/>
  <c r="S16" i="136"/>
  <c r="S15" i="136"/>
  <c r="W13" i="136"/>
  <c r="W16" i="136"/>
  <c r="W15" i="136"/>
  <c r="K13" i="131"/>
  <c r="K15" i="131"/>
  <c r="K16" i="131"/>
  <c r="O13" i="131"/>
  <c r="O15" i="131"/>
  <c r="O16" i="131"/>
  <c r="S13" i="131"/>
  <c r="S15" i="131"/>
  <c r="S16" i="131"/>
  <c r="G15" i="132"/>
  <c r="G16" i="132"/>
  <c r="K15" i="132"/>
  <c r="K16" i="132"/>
  <c r="O13" i="132"/>
  <c r="O15" i="132"/>
  <c r="O16" i="132"/>
  <c r="S13" i="132"/>
  <c r="S15" i="132"/>
  <c r="S16" i="132"/>
  <c r="W13" i="132"/>
  <c r="W15" i="132"/>
  <c r="W16" i="132"/>
  <c r="F13" i="134"/>
  <c r="F15" i="134"/>
  <c r="F16" i="134"/>
  <c r="J13" i="134"/>
  <c r="J15" i="134"/>
  <c r="J16" i="134"/>
  <c r="N13" i="134"/>
  <c r="N15" i="134"/>
  <c r="N16" i="134"/>
  <c r="R13" i="134"/>
  <c r="R15" i="134"/>
  <c r="R16" i="134"/>
  <c r="V13" i="134"/>
  <c r="V15" i="134"/>
  <c r="V16" i="134"/>
  <c r="Z13" i="134"/>
  <c r="Z15" i="134"/>
  <c r="Z16" i="134"/>
  <c r="C13" i="134"/>
  <c r="C16" i="134"/>
  <c r="C15" i="134"/>
  <c r="G13" i="134"/>
  <c r="G16" i="134"/>
  <c r="G15" i="134"/>
  <c r="K13" i="134"/>
  <c r="K16" i="134"/>
  <c r="K15" i="134"/>
  <c r="O13" i="134"/>
  <c r="O15" i="134"/>
  <c r="O16" i="134"/>
  <c r="S13" i="134"/>
  <c r="S15" i="134"/>
  <c r="S16" i="134"/>
  <c r="W13" i="134"/>
  <c r="W15" i="134"/>
  <c r="W16" i="134"/>
  <c r="D13" i="135"/>
  <c r="D15" i="135"/>
  <c r="D16" i="135"/>
  <c r="H13" i="135"/>
  <c r="H15" i="135"/>
  <c r="H16" i="135"/>
  <c r="L13" i="135"/>
  <c r="L15" i="135"/>
  <c r="L16" i="135"/>
  <c r="P13" i="135"/>
  <c r="P15" i="135"/>
  <c r="P16" i="135"/>
  <c r="T13" i="135"/>
  <c r="T15" i="135"/>
  <c r="T16" i="135"/>
  <c r="X13" i="135"/>
  <c r="X15" i="135"/>
  <c r="X16" i="135"/>
  <c r="E13" i="136"/>
  <c r="E16" i="136"/>
  <c r="E15" i="136"/>
  <c r="I13" i="136"/>
  <c r="I16" i="136"/>
  <c r="I15" i="136"/>
  <c r="M13" i="136"/>
  <c r="M16" i="136"/>
  <c r="M15" i="136"/>
  <c r="Q13" i="136"/>
  <c r="Q16" i="136"/>
  <c r="Q15" i="136"/>
  <c r="U13" i="136"/>
  <c r="U16" i="136"/>
  <c r="U15" i="136"/>
  <c r="Y13" i="136"/>
  <c r="Y16" i="136"/>
  <c r="Y15" i="136"/>
  <c r="C15" i="132"/>
  <c r="C16" i="132"/>
  <c r="C13" i="135"/>
  <c r="C15" i="135"/>
  <c r="C16" i="135"/>
  <c r="G13" i="135"/>
  <c r="G15" i="135"/>
  <c r="G16" i="135"/>
  <c r="K13" i="135"/>
  <c r="K15" i="135"/>
  <c r="K16" i="135"/>
  <c r="O13" i="135"/>
  <c r="O15" i="135"/>
  <c r="O16" i="135"/>
  <c r="S13" i="135"/>
  <c r="S15" i="135"/>
  <c r="S16" i="135"/>
  <c r="W13" i="135"/>
  <c r="W15" i="135"/>
  <c r="W16" i="135"/>
  <c r="D13" i="136"/>
  <c r="D15" i="136"/>
  <c r="D16" i="136"/>
  <c r="P13" i="136"/>
  <c r="P15" i="136"/>
  <c r="P16" i="136"/>
  <c r="T13" i="136"/>
  <c r="T15" i="136"/>
  <c r="T16" i="136"/>
  <c r="H13" i="131"/>
  <c r="H16" i="131"/>
  <c r="H15" i="131"/>
  <c r="L13" i="131"/>
  <c r="L15" i="131"/>
  <c r="L16" i="131"/>
  <c r="P13" i="131"/>
  <c r="P15" i="131"/>
  <c r="P16" i="131"/>
  <c r="T13" i="131"/>
  <c r="T15" i="131"/>
  <c r="T16" i="131"/>
  <c r="X13" i="131"/>
  <c r="X15" i="131"/>
  <c r="X16" i="131"/>
  <c r="D13" i="132"/>
  <c r="D15" i="132"/>
  <c r="D16" i="132"/>
  <c r="H13" i="132"/>
  <c r="H15" i="132"/>
  <c r="H16" i="132"/>
  <c r="L13" i="132"/>
  <c r="L15" i="132"/>
  <c r="L16" i="132"/>
  <c r="P13" i="132"/>
  <c r="P15" i="132"/>
  <c r="P16" i="132"/>
  <c r="T13" i="132"/>
  <c r="T15" i="132"/>
  <c r="T16" i="132"/>
  <c r="X13" i="132"/>
  <c r="X15" i="132"/>
  <c r="X16" i="132"/>
  <c r="I13" i="131"/>
  <c r="I15" i="131"/>
  <c r="I16" i="131"/>
  <c r="M13" i="131"/>
  <c r="M15" i="131"/>
  <c r="M16" i="131"/>
  <c r="Q13" i="131"/>
  <c r="Q15" i="131"/>
  <c r="Q16" i="131"/>
  <c r="U13" i="131"/>
  <c r="U15" i="131"/>
  <c r="U16" i="131"/>
  <c r="Y13" i="131"/>
  <c r="Y15" i="131"/>
  <c r="Y16" i="131"/>
  <c r="E16" i="132"/>
  <c r="E15" i="132"/>
  <c r="I15" i="132"/>
  <c r="I16" i="132"/>
  <c r="M16" i="132"/>
  <c r="M15" i="132"/>
  <c r="Q13" i="132"/>
  <c r="Q15" i="132"/>
  <c r="Q16" i="132"/>
  <c r="U13" i="132"/>
  <c r="U16" i="132"/>
  <c r="U15" i="132"/>
  <c r="Y13" i="132"/>
  <c r="Y15" i="132"/>
  <c r="Y16" i="132"/>
  <c r="D13" i="134"/>
  <c r="D15" i="134"/>
  <c r="D16" i="134"/>
  <c r="H13" i="134"/>
  <c r="H15" i="134"/>
  <c r="H16" i="134"/>
  <c r="L13" i="134"/>
  <c r="L15" i="134"/>
  <c r="L16" i="134"/>
  <c r="P13" i="134"/>
  <c r="P15" i="134"/>
  <c r="P16" i="134"/>
  <c r="T13" i="134"/>
  <c r="T15" i="134"/>
  <c r="T16" i="134"/>
  <c r="X13" i="134"/>
  <c r="X15" i="134"/>
  <c r="X16" i="134"/>
  <c r="E13" i="135"/>
  <c r="E15" i="135"/>
  <c r="E16" i="135"/>
  <c r="I13" i="135"/>
  <c r="I15" i="135"/>
  <c r="I16" i="135"/>
  <c r="M13" i="135"/>
  <c r="M15" i="135"/>
  <c r="M16" i="135"/>
  <c r="Q13" i="135"/>
  <c r="Q15" i="135"/>
  <c r="Q16" i="135"/>
  <c r="U13" i="135"/>
  <c r="U15" i="135"/>
  <c r="U16" i="135"/>
  <c r="Y13" i="135"/>
  <c r="Y15" i="135"/>
  <c r="Y16" i="135"/>
  <c r="F13" i="136"/>
  <c r="F16" i="136"/>
  <c r="F15" i="136"/>
  <c r="J13" i="136"/>
  <c r="J16" i="136"/>
  <c r="J15" i="136"/>
  <c r="N13" i="136"/>
  <c r="N16" i="136"/>
  <c r="N15" i="136"/>
  <c r="R13" i="136"/>
  <c r="R16" i="136"/>
  <c r="R15" i="136"/>
  <c r="V13" i="136"/>
  <c r="V16" i="136"/>
  <c r="V15" i="136"/>
  <c r="Z16" i="136"/>
  <c r="Z15" i="136"/>
  <c r="E49" i="132"/>
  <c r="E13" i="132"/>
  <c r="M49" i="132"/>
  <c r="M13" i="132"/>
  <c r="E15" i="133"/>
  <c r="E13" i="133"/>
  <c r="I15" i="133"/>
  <c r="I13" i="133"/>
  <c r="M15" i="133"/>
  <c r="M13" i="133"/>
  <c r="Q13" i="133"/>
  <c r="U13" i="133"/>
  <c r="Y12" i="133"/>
  <c r="Y13" i="133"/>
  <c r="I49" i="132"/>
  <c r="I13" i="132"/>
  <c r="F15" i="133"/>
  <c r="F13" i="133"/>
  <c r="J15" i="133"/>
  <c r="J13" i="133"/>
  <c r="N15" i="133"/>
  <c r="N13" i="133"/>
  <c r="R13" i="133"/>
  <c r="V13" i="133"/>
  <c r="Z12" i="133"/>
  <c r="AA12" i="133" s="1"/>
  <c r="Z13" i="133"/>
  <c r="C49" i="132"/>
  <c r="C13" i="132"/>
  <c r="G49" i="132"/>
  <c r="G13" i="132"/>
  <c r="K49" i="132"/>
  <c r="K13" i="132"/>
  <c r="K15" i="133"/>
  <c r="K13" i="133"/>
  <c r="W13" i="133"/>
  <c r="C15" i="133"/>
  <c r="C13" i="133"/>
  <c r="G15" i="133"/>
  <c r="G13" i="133"/>
  <c r="O13" i="133"/>
  <c r="S13" i="133"/>
  <c r="D15" i="133"/>
  <c r="D13" i="133"/>
  <c r="H15" i="133"/>
  <c r="H13" i="133"/>
  <c r="L15" i="133"/>
  <c r="L13" i="133"/>
  <c r="P13" i="133"/>
  <c r="T13" i="133"/>
  <c r="X13" i="133"/>
  <c r="Z13" i="136"/>
  <c r="K34" i="131"/>
  <c r="H32" i="131"/>
  <c r="L19" i="131"/>
  <c r="T19" i="131"/>
  <c r="G38" i="131"/>
  <c r="P14" i="129"/>
  <c r="AB12" i="131"/>
  <c r="AC12" i="131" s="1"/>
  <c r="AD12" i="131" s="1"/>
  <c r="AE12" i="131" s="1"/>
  <c r="AF12" i="131" s="1"/>
  <c r="AG12" i="131" s="1"/>
  <c r="AH12" i="131" s="1"/>
  <c r="AI12" i="131" s="1"/>
  <c r="AJ12" i="131" s="1"/>
  <c r="AK12" i="131" s="1"/>
  <c r="AL12" i="131" s="1"/>
  <c r="AM12" i="131" s="1"/>
  <c r="Y12" i="131"/>
  <c r="N21" i="131"/>
  <c r="F47" i="132"/>
  <c r="F49" i="132"/>
  <c r="J43" i="132"/>
  <c r="J49" i="132"/>
  <c r="N48" i="132"/>
  <c r="N49" i="132"/>
  <c r="D37" i="132"/>
  <c r="D49" i="132"/>
  <c r="H34" i="132"/>
  <c r="H49" i="132"/>
  <c r="L31" i="132"/>
  <c r="L49" i="132"/>
  <c r="Q57" i="129"/>
  <c r="AN17" i="132"/>
  <c r="AV17" i="132"/>
  <c r="BL17" i="132"/>
  <c r="AA20" i="134"/>
  <c r="AA19" i="134"/>
  <c r="AE19" i="134"/>
  <c r="AE20" i="134"/>
  <c r="AI20" i="134"/>
  <c r="AI19" i="134"/>
  <c r="AM19" i="134"/>
  <c r="AM20" i="134"/>
  <c r="AQ20" i="134"/>
  <c r="AQ19" i="134"/>
  <c r="AU20" i="134"/>
  <c r="AU19" i="134"/>
  <c r="AY20" i="134"/>
  <c r="AY19" i="134"/>
  <c r="BC20" i="134"/>
  <c r="BC19" i="134"/>
  <c r="BG20" i="134"/>
  <c r="BG19" i="134"/>
  <c r="BK19" i="134"/>
  <c r="BK20" i="134"/>
  <c r="BO20" i="134"/>
  <c r="BO19" i="134"/>
  <c r="BS19" i="134"/>
  <c r="BS20" i="134"/>
  <c r="AB20" i="135"/>
  <c r="AB19" i="135"/>
  <c r="AF20" i="135"/>
  <c r="AF19" i="135"/>
  <c r="AJ20" i="135"/>
  <c r="AJ19" i="135"/>
  <c r="AN20" i="135"/>
  <c r="AN19" i="135"/>
  <c r="AR20" i="135"/>
  <c r="AR19" i="135"/>
  <c r="AV20" i="135"/>
  <c r="AV19" i="135"/>
  <c r="AZ20" i="135"/>
  <c r="AZ19" i="135"/>
  <c r="BD20" i="135"/>
  <c r="BD19" i="135"/>
  <c r="BH20" i="135"/>
  <c r="BH19" i="135"/>
  <c r="BL20" i="135"/>
  <c r="BL19" i="135"/>
  <c r="BP20" i="135"/>
  <c r="BP19" i="135"/>
  <c r="BT20" i="135"/>
  <c r="BT19" i="135"/>
  <c r="AC20" i="136"/>
  <c r="AC19" i="136"/>
  <c r="AG20" i="136"/>
  <c r="AG19" i="136"/>
  <c r="AK20" i="136"/>
  <c r="AK19" i="136"/>
  <c r="AO20" i="136"/>
  <c r="AO19" i="136"/>
  <c r="AS20" i="136"/>
  <c r="AS19" i="136"/>
  <c r="AW20" i="136"/>
  <c r="AW19" i="136"/>
  <c r="BA20" i="136"/>
  <c r="BA19" i="136"/>
  <c r="BE20" i="136"/>
  <c r="BE19" i="136"/>
  <c r="BI20" i="136"/>
  <c r="BI19" i="136"/>
  <c r="BM20" i="136"/>
  <c r="BM19" i="136"/>
  <c r="BQ20" i="136"/>
  <c r="BQ19" i="136"/>
  <c r="BU20" i="136"/>
  <c r="BU19" i="136"/>
  <c r="AF20" i="134"/>
  <c r="AF19" i="134"/>
  <c r="AN20" i="134"/>
  <c r="AN19" i="134"/>
  <c r="AR20" i="134"/>
  <c r="AR19" i="134"/>
  <c r="BD20" i="134"/>
  <c r="BD19" i="134"/>
  <c r="BH20" i="134"/>
  <c r="BH19" i="134"/>
  <c r="BP20" i="134"/>
  <c r="BP19" i="134"/>
  <c r="BT20" i="134"/>
  <c r="BT19" i="134"/>
  <c r="AC20" i="135"/>
  <c r="AC19" i="135"/>
  <c r="AG20" i="135"/>
  <c r="AG19" i="135"/>
  <c r="AK20" i="135"/>
  <c r="AK19" i="135"/>
  <c r="AO20" i="135"/>
  <c r="AO19" i="135"/>
  <c r="AS20" i="135"/>
  <c r="AS19" i="135"/>
  <c r="AW20" i="135"/>
  <c r="AW19" i="135"/>
  <c r="BA20" i="135"/>
  <c r="BA19" i="135"/>
  <c r="BE20" i="135"/>
  <c r="BE19" i="135"/>
  <c r="BI20" i="135"/>
  <c r="BI19" i="135"/>
  <c r="BM20" i="135"/>
  <c r="BM19" i="135"/>
  <c r="BQ20" i="135"/>
  <c r="BQ19" i="135"/>
  <c r="BU20" i="135"/>
  <c r="BU19" i="135"/>
  <c r="AD20" i="136"/>
  <c r="AD19" i="136"/>
  <c r="AH20" i="136"/>
  <c r="AH19" i="136"/>
  <c r="AL20" i="136"/>
  <c r="AL19" i="136"/>
  <c r="AP20" i="136"/>
  <c r="AP19" i="136"/>
  <c r="AT20" i="136"/>
  <c r="AT19" i="136"/>
  <c r="AX20" i="136"/>
  <c r="AX19" i="136"/>
  <c r="BB20" i="136"/>
  <c r="BB19" i="136"/>
  <c r="BF20" i="136"/>
  <c r="BF19" i="136"/>
  <c r="BJ20" i="136"/>
  <c r="BJ19" i="136"/>
  <c r="BN20" i="136"/>
  <c r="BN19" i="136"/>
  <c r="BR20" i="136"/>
  <c r="BR19" i="136"/>
  <c r="BV20" i="136"/>
  <c r="BV19" i="136"/>
  <c r="AB20" i="134"/>
  <c r="AB19" i="134"/>
  <c r="AJ20" i="134"/>
  <c r="AJ19" i="134"/>
  <c r="AV20" i="134"/>
  <c r="AV19" i="134"/>
  <c r="AZ20" i="134"/>
  <c r="AZ19" i="134"/>
  <c r="BL20" i="134"/>
  <c r="BL19" i="134"/>
  <c r="AC20" i="134"/>
  <c r="AC19" i="134"/>
  <c r="AG20" i="134"/>
  <c r="AG19" i="134"/>
  <c r="AK20" i="134"/>
  <c r="AK19" i="134"/>
  <c r="AO20" i="134"/>
  <c r="AO19" i="134"/>
  <c r="AS20" i="134"/>
  <c r="AS19" i="134"/>
  <c r="AW20" i="134"/>
  <c r="AW19" i="134"/>
  <c r="BA20" i="134"/>
  <c r="BA19" i="134"/>
  <c r="BE20" i="134"/>
  <c r="BE19" i="134"/>
  <c r="BI20" i="134"/>
  <c r="BI19" i="134"/>
  <c r="BM20" i="134"/>
  <c r="BM19" i="134"/>
  <c r="BQ20" i="134"/>
  <c r="BQ19" i="134"/>
  <c r="BU20" i="134"/>
  <c r="BU19" i="134"/>
  <c r="AD20" i="135"/>
  <c r="AD19" i="135"/>
  <c r="AH20" i="135"/>
  <c r="AH19" i="135"/>
  <c r="AL20" i="135"/>
  <c r="AL19" i="135"/>
  <c r="AP20" i="135"/>
  <c r="AP19" i="135"/>
  <c r="AT20" i="135"/>
  <c r="AT19" i="135"/>
  <c r="AX20" i="135"/>
  <c r="AX19" i="135"/>
  <c r="BB20" i="135"/>
  <c r="BB19" i="135"/>
  <c r="BF20" i="135"/>
  <c r="BF19" i="135"/>
  <c r="BJ20" i="135"/>
  <c r="BJ19" i="135"/>
  <c r="BN20" i="135"/>
  <c r="BN19" i="135"/>
  <c r="BR20" i="135"/>
  <c r="BR19" i="135"/>
  <c r="BV20" i="135"/>
  <c r="BV19" i="135"/>
  <c r="AA20" i="136"/>
  <c r="AA19" i="136"/>
  <c r="AE20" i="136"/>
  <c r="AE19" i="136"/>
  <c r="AI20" i="136"/>
  <c r="AI19" i="136"/>
  <c r="AM20" i="136"/>
  <c r="AM19" i="136"/>
  <c r="AQ20" i="136"/>
  <c r="AQ19" i="136"/>
  <c r="AU20" i="136"/>
  <c r="AU19" i="136"/>
  <c r="AY20" i="136"/>
  <c r="AY19" i="136"/>
  <c r="BC20" i="136"/>
  <c r="BC19" i="136"/>
  <c r="BG20" i="136"/>
  <c r="BG19" i="136"/>
  <c r="BK20" i="136"/>
  <c r="BK19" i="136"/>
  <c r="BO20" i="136"/>
  <c r="BO19" i="136"/>
  <c r="BS20" i="136"/>
  <c r="BS19" i="136"/>
  <c r="AD20" i="134"/>
  <c r="AD19" i="134"/>
  <c r="AH20" i="134"/>
  <c r="AH19" i="134"/>
  <c r="AL20" i="134"/>
  <c r="AL19" i="134"/>
  <c r="AP20" i="134"/>
  <c r="AP19" i="134"/>
  <c r="AT20" i="134"/>
  <c r="AT19" i="134"/>
  <c r="AX20" i="134"/>
  <c r="AX19" i="134"/>
  <c r="BB20" i="134"/>
  <c r="BB19" i="134"/>
  <c r="BF20" i="134"/>
  <c r="BF19" i="134"/>
  <c r="BJ20" i="134"/>
  <c r="BJ19" i="134"/>
  <c r="BN20" i="134"/>
  <c r="BN19" i="134"/>
  <c r="BR20" i="134"/>
  <c r="BR19" i="134"/>
  <c r="BV20" i="134"/>
  <c r="BV19" i="134"/>
  <c r="AA19" i="135"/>
  <c r="AA20" i="135"/>
  <c r="AE20" i="135"/>
  <c r="AE19" i="135"/>
  <c r="AI20" i="135"/>
  <c r="AI19" i="135"/>
  <c r="AM20" i="135"/>
  <c r="AM19" i="135"/>
  <c r="AQ20" i="135"/>
  <c r="AQ19" i="135"/>
  <c r="AU20" i="135"/>
  <c r="AU19" i="135"/>
  <c r="AY20" i="135"/>
  <c r="AY19" i="135"/>
  <c r="BC20" i="135"/>
  <c r="BC19" i="135"/>
  <c r="BG20" i="135"/>
  <c r="BG19" i="135"/>
  <c r="BK20" i="135"/>
  <c r="BK19" i="135"/>
  <c r="BO20" i="135"/>
  <c r="BO19" i="135"/>
  <c r="BS20" i="135"/>
  <c r="BS19" i="135"/>
  <c r="AB20" i="136"/>
  <c r="AB19" i="136"/>
  <c r="AF20" i="136"/>
  <c r="AF19" i="136"/>
  <c r="AJ20" i="136"/>
  <c r="AJ19" i="136"/>
  <c r="AN20" i="136"/>
  <c r="AN19" i="136"/>
  <c r="AR20" i="136"/>
  <c r="AR19" i="136"/>
  <c r="AV20" i="136"/>
  <c r="AV19" i="136"/>
  <c r="AZ20" i="136"/>
  <c r="AZ19" i="136"/>
  <c r="BD20" i="136"/>
  <c r="BD19" i="136"/>
  <c r="BH20" i="136"/>
  <c r="BH19" i="136"/>
  <c r="BL20" i="136"/>
  <c r="BL19" i="136"/>
  <c r="BP20" i="136"/>
  <c r="BP19" i="136"/>
  <c r="BT20" i="136"/>
  <c r="BT19" i="136"/>
  <c r="O15" i="133"/>
  <c r="O16" i="133"/>
  <c r="S15" i="133"/>
  <c r="S16" i="133"/>
  <c r="W15" i="133"/>
  <c r="W16" i="133"/>
  <c r="P16" i="133"/>
  <c r="P15" i="133"/>
  <c r="T16" i="133"/>
  <c r="T15" i="133"/>
  <c r="X16" i="133"/>
  <c r="X15" i="133"/>
  <c r="Q16" i="133"/>
  <c r="Q15" i="133"/>
  <c r="U16" i="133"/>
  <c r="U15" i="133"/>
  <c r="Y15" i="133"/>
  <c r="Y16" i="133"/>
  <c r="R16" i="133"/>
  <c r="R15" i="133"/>
  <c r="V16" i="133"/>
  <c r="V15" i="133"/>
  <c r="Z15" i="133"/>
  <c r="Z16" i="133"/>
  <c r="BT17" i="132"/>
  <c r="AF17" i="132"/>
  <c r="E25" i="131"/>
  <c r="E23" i="131"/>
  <c r="I25" i="131"/>
  <c r="I23" i="131"/>
  <c r="M25" i="131"/>
  <c r="M23" i="131"/>
  <c r="Y20" i="131"/>
  <c r="Q20" i="131"/>
  <c r="I20" i="131"/>
  <c r="G24" i="131"/>
  <c r="C36" i="131"/>
  <c r="M38" i="131"/>
  <c r="E37" i="131"/>
  <c r="K35" i="131"/>
  <c r="I33" i="131"/>
  <c r="G31" i="131"/>
  <c r="C45" i="132"/>
  <c r="C25" i="132"/>
  <c r="C23" i="132"/>
  <c r="G25" i="132"/>
  <c r="G23" i="132"/>
  <c r="K8" i="61"/>
  <c r="K25" i="132"/>
  <c r="K23" i="132"/>
  <c r="O25" i="132"/>
  <c r="C25" i="133"/>
  <c r="C23" i="133"/>
  <c r="G25" i="133"/>
  <c r="G23" i="133"/>
  <c r="K25" i="133"/>
  <c r="K23" i="133"/>
  <c r="C21" i="132"/>
  <c r="J39" i="132"/>
  <c r="C50" i="132"/>
  <c r="J52" i="132"/>
  <c r="F48" i="132"/>
  <c r="J44" i="132"/>
  <c r="E25" i="134"/>
  <c r="E23" i="134"/>
  <c r="E38" i="134"/>
  <c r="E36" i="134"/>
  <c r="E37" i="134"/>
  <c r="E34" i="134"/>
  <c r="E32" i="134"/>
  <c r="E21" i="134"/>
  <c r="E20" i="134"/>
  <c r="E19" i="134"/>
  <c r="E30" i="134"/>
  <c r="E35" i="134"/>
  <c r="E33" i="134"/>
  <c r="E39" i="134"/>
  <c r="E31" i="134"/>
  <c r="E24" i="134"/>
  <c r="E22" i="134"/>
  <c r="E11" i="61"/>
  <c r="I25" i="134"/>
  <c r="I23" i="134"/>
  <c r="I38" i="134"/>
  <c r="I36" i="134"/>
  <c r="I37" i="134"/>
  <c r="I34" i="134"/>
  <c r="I32" i="134"/>
  <c r="I21" i="134"/>
  <c r="I20" i="134"/>
  <c r="I19" i="134"/>
  <c r="I39" i="134"/>
  <c r="I22" i="134"/>
  <c r="I35" i="134"/>
  <c r="I33" i="134"/>
  <c r="I30" i="134"/>
  <c r="I31" i="134"/>
  <c r="I24" i="134"/>
  <c r="I11" i="61"/>
  <c r="M25" i="134"/>
  <c r="M23" i="134"/>
  <c r="M38" i="134"/>
  <c r="M36" i="134"/>
  <c r="M37" i="134"/>
  <c r="M39" i="134"/>
  <c r="M34" i="134"/>
  <c r="M32" i="134"/>
  <c r="M21" i="134"/>
  <c r="M20" i="134"/>
  <c r="M19" i="134"/>
  <c r="M35" i="134"/>
  <c r="M33" i="134"/>
  <c r="M22" i="134"/>
  <c r="M31" i="134"/>
  <c r="M24" i="134"/>
  <c r="M30" i="134"/>
  <c r="M11" i="61"/>
  <c r="Q20" i="134"/>
  <c r="Q19" i="134"/>
  <c r="U20" i="134"/>
  <c r="U19" i="134"/>
  <c r="Y20" i="134"/>
  <c r="Y19" i="134"/>
  <c r="Y12" i="134"/>
  <c r="F25" i="135"/>
  <c r="F39" i="135"/>
  <c r="F37" i="135"/>
  <c r="F34" i="135"/>
  <c r="F23" i="135"/>
  <c r="F30" i="135"/>
  <c r="F21" i="135"/>
  <c r="F36" i="135"/>
  <c r="F35" i="135"/>
  <c r="F33" i="135"/>
  <c r="F32" i="135"/>
  <c r="F24" i="135"/>
  <c r="F20" i="135"/>
  <c r="F38" i="135"/>
  <c r="F22" i="135"/>
  <c r="F31" i="135"/>
  <c r="F19" i="135"/>
  <c r="F12" i="61"/>
  <c r="J25" i="135"/>
  <c r="J39" i="135"/>
  <c r="J37" i="135"/>
  <c r="J38" i="135"/>
  <c r="J36" i="135"/>
  <c r="J34" i="135"/>
  <c r="J30" i="135"/>
  <c r="J21" i="135"/>
  <c r="J23" i="135"/>
  <c r="J35" i="135"/>
  <c r="J33" i="135"/>
  <c r="J32" i="135"/>
  <c r="J24" i="135"/>
  <c r="J20" i="135"/>
  <c r="J22" i="135"/>
  <c r="J19" i="135"/>
  <c r="J31" i="135"/>
  <c r="J12" i="61"/>
  <c r="N25" i="135"/>
  <c r="N39" i="135"/>
  <c r="N37" i="135"/>
  <c r="N36" i="135"/>
  <c r="N34" i="135"/>
  <c r="N38" i="135"/>
  <c r="N30" i="135"/>
  <c r="N21" i="135"/>
  <c r="N35" i="135"/>
  <c r="N33" i="135"/>
  <c r="N32" i="135"/>
  <c r="N24" i="135"/>
  <c r="N20" i="135"/>
  <c r="N23" i="135"/>
  <c r="N31" i="135"/>
  <c r="N22" i="135"/>
  <c r="N19" i="135"/>
  <c r="N12" i="61"/>
  <c r="R20" i="135"/>
  <c r="R19" i="135"/>
  <c r="V20" i="135"/>
  <c r="V19" i="135"/>
  <c r="Z12" i="135"/>
  <c r="AA12" i="135" s="1"/>
  <c r="Z20" i="135"/>
  <c r="Z19" i="135"/>
  <c r="C23" i="136"/>
  <c r="C25" i="136"/>
  <c r="C36" i="136"/>
  <c r="C34" i="136"/>
  <c r="C32" i="136"/>
  <c r="C24" i="136"/>
  <c r="C21" i="136"/>
  <c r="C20" i="136"/>
  <c r="C19" i="136"/>
  <c r="C30" i="136"/>
  <c r="C22" i="136"/>
  <c r="C39" i="136"/>
  <c r="C37" i="136"/>
  <c r="C33" i="136"/>
  <c r="C35" i="136"/>
  <c r="C31" i="136"/>
  <c r="C10" i="61"/>
  <c r="G23" i="136"/>
  <c r="G25" i="136"/>
  <c r="G36" i="136"/>
  <c r="G34" i="136"/>
  <c r="G32" i="136"/>
  <c r="G24" i="136"/>
  <c r="G21" i="136"/>
  <c r="G20" i="136"/>
  <c r="G19" i="136"/>
  <c r="G30" i="136"/>
  <c r="G22" i="136"/>
  <c r="G39" i="136"/>
  <c r="G37" i="136"/>
  <c r="G33" i="136"/>
  <c r="G31" i="136"/>
  <c r="G35" i="136"/>
  <c r="G10" i="61"/>
  <c r="K23" i="136"/>
  <c r="K25" i="136"/>
  <c r="K36" i="136"/>
  <c r="K34" i="136"/>
  <c r="K32" i="136"/>
  <c r="K24" i="136"/>
  <c r="K21" i="136"/>
  <c r="K20" i="136"/>
  <c r="K19" i="136"/>
  <c r="K30" i="136"/>
  <c r="K22" i="136"/>
  <c r="K39" i="136"/>
  <c r="K37" i="136"/>
  <c r="K33" i="136"/>
  <c r="K31" i="136"/>
  <c r="K35" i="136"/>
  <c r="K10" i="61"/>
  <c r="O20" i="136"/>
  <c r="O19" i="136"/>
  <c r="O24" i="136"/>
  <c r="S20" i="136"/>
  <c r="S19" i="136"/>
  <c r="W20" i="136"/>
  <c r="W19" i="136"/>
  <c r="F25" i="131"/>
  <c r="F23" i="131"/>
  <c r="J21" i="131"/>
  <c r="J25" i="131"/>
  <c r="J23" i="131"/>
  <c r="N25" i="131"/>
  <c r="N23" i="131"/>
  <c r="W20" i="131"/>
  <c r="O20" i="131"/>
  <c r="G20" i="131"/>
  <c r="P19" i="131"/>
  <c r="M36" i="131"/>
  <c r="E33" i="131"/>
  <c r="D23" i="132"/>
  <c r="D25" i="132"/>
  <c r="H23" i="132"/>
  <c r="H25" i="132"/>
  <c r="L23" i="132"/>
  <c r="L25" i="132"/>
  <c r="D23" i="133"/>
  <c r="D25" i="133"/>
  <c r="H23" i="133"/>
  <c r="H25" i="133"/>
  <c r="L23" i="133"/>
  <c r="L25" i="133"/>
  <c r="C24" i="132"/>
  <c r="D39" i="132"/>
  <c r="H36" i="132"/>
  <c r="L33" i="132"/>
  <c r="D31" i="132"/>
  <c r="C53" i="132"/>
  <c r="K50" i="132"/>
  <c r="N47" i="132"/>
  <c r="G44" i="132"/>
  <c r="F25" i="134"/>
  <c r="F23" i="134"/>
  <c r="F39" i="134"/>
  <c r="F38" i="134"/>
  <c r="F36" i="134"/>
  <c r="F30" i="134"/>
  <c r="F22" i="134"/>
  <c r="F34" i="134"/>
  <c r="F32" i="134"/>
  <c r="F21" i="134"/>
  <c r="F20" i="134"/>
  <c r="F19" i="134"/>
  <c r="F31" i="134"/>
  <c r="F24" i="134"/>
  <c r="F35" i="134"/>
  <c r="F33" i="134"/>
  <c r="F37" i="134"/>
  <c r="F11" i="61"/>
  <c r="J25" i="134"/>
  <c r="J23" i="134"/>
  <c r="J39" i="134"/>
  <c r="J38" i="134"/>
  <c r="J36" i="134"/>
  <c r="J37" i="134"/>
  <c r="J30" i="134"/>
  <c r="J22" i="134"/>
  <c r="J34" i="134"/>
  <c r="J32" i="134"/>
  <c r="J21" i="134"/>
  <c r="J20" i="134"/>
  <c r="J19" i="134"/>
  <c r="J35" i="134"/>
  <c r="J33" i="134"/>
  <c r="J31" i="134"/>
  <c r="J24" i="134"/>
  <c r="J11" i="61"/>
  <c r="N25" i="134"/>
  <c r="N23" i="134"/>
  <c r="N39" i="134"/>
  <c r="N38" i="134"/>
  <c r="N36" i="134"/>
  <c r="N30" i="134"/>
  <c r="N22" i="134"/>
  <c r="N24" i="134"/>
  <c r="N37" i="134"/>
  <c r="N34" i="134"/>
  <c r="N32" i="134"/>
  <c r="N21" i="134"/>
  <c r="N20" i="134"/>
  <c r="N19" i="134"/>
  <c r="N31" i="134"/>
  <c r="N35" i="134"/>
  <c r="N33" i="134"/>
  <c r="N11" i="61"/>
  <c r="R20" i="134"/>
  <c r="R19" i="134"/>
  <c r="V20" i="134"/>
  <c r="V19" i="134"/>
  <c r="Z20" i="134"/>
  <c r="Z19" i="134"/>
  <c r="Z12" i="134"/>
  <c r="AA12" i="134" s="1"/>
  <c r="C23" i="135"/>
  <c r="C38" i="135"/>
  <c r="C36" i="135"/>
  <c r="C25" i="135"/>
  <c r="C39" i="135"/>
  <c r="C37" i="135"/>
  <c r="C31" i="135"/>
  <c r="C22" i="135"/>
  <c r="C34" i="135"/>
  <c r="C30" i="135"/>
  <c r="C21" i="135"/>
  <c r="C24" i="135"/>
  <c r="C33" i="135"/>
  <c r="C32" i="135"/>
  <c r="C35" i="135"/>
  <c r="C20" i="135"/>
  <c r="C19" i="135"/>
  <c r="C12" i="61"/>
  <c r="G23" i="135"/>
  <c r="G38" i="135"/>
  <c r="G36" i="135"/>
  <c r="G25" i="135"/>
  <c r="G39" i="135"/>
  <c r="G37" i="135"/>
  <c r="G31" i="135"/>
  <c r="G22" i="135"/>
  <c r="G34" i="135"/>
  <c r="G30" i="135"/>
  <c r="G21" i="135"/>
  <c r="G35" i="135"/>
  <c r="G24" i="135"/>
  <c r="G33" i="135"/>
  <c r="G32" i="135"/>
  <c r="G19" i="135"/>
  <c r="G20" i="135"/>
  <c r="G12" i="61"/>
  <c r="K23" i="135"/>
  <c r="K38" i="135"/>
  <c r="K25" i="135"/>
  <c r="K39" i="135"/>
  <c r="K37" i="135"/>
  <c r="K31" i="135"/>
  <c r="K22" i="135"/>
  <c r="K36" i="135"/>
  <c r="K34" i="135"/>
  <c r="K30" i="135"/>
  <c r="K21" i="135"/>
  <c r="K33" i="135"/>
  <c r="K32" i="135"/>
  <c r="K20" i="135"/>
  <c r="K35" i="135"/>
  <c r="K24" i="135"/>
  <c r="K19" i="135"/>
  <c r="K12" i="61"/>
  <c r="O20" i="135"/>
  <c r="O24" i="135"/>
  <c r="O19" i="135"/>
  <c r="O12" i="61"/>
  <c r="S20" i="135"/>
  <c r="S19" i="135"/>
  <c r="W19" i="135"/>
  <c r="W20" i="135"/>
  <c r="D23" i="136"/>
  <c r="D25" i="136"/>
  <c r="D35" i="136"/>
  <c r="D31" i="136"/>
  <c r="D36" i="136"/>
  <c r="D34" i="136"/>
  <c r="D32" i="136"/>
  <c r="D24" i="136"/>
  <c r="D21" i="136"/>
  <c r="D20" i="136"/>
  <c r="D19" i="136"/>
  <c r="D30" i="136"/>
  <c r="D22" i="136"/>
  <c r="D39" i="136"/>
  <c r="D37" i="136"/>
  <c r="D33" i="136"/>
  <c r="D10" i="61"/>
  <c r="H23" i="136"/>
  <c r="H35" i="136"/>
  <c r="H31" i="136"/>
  <c r="H25" i="136"/>
  <c r="H36" i="136"/>
  <c r="H34" i="136"/>
  <c r="H32" i="136"/>
  <c r="H24" i="136"/>
  <c r="H21" i="136"/>
  <c r="H20" i="136"/>
  <c r="H19" i="136"/>
  <c r="H30" i="136"/>
  <c r="H22" i="136"/>
  <c r="H33" i="136"/>
  <c r="H39" i="136"/>
  <c r="H37" i="136"/>
  <c r="H10" i="61"/>
  <c r="L23" i="136"/>
  <c r="L25" i="136"/>
  <c r="L35" i="136"/>
  <c r="L31" i="136"/>
  <c r="L36" i="136"/>
  <c r="L34" i="136"/>
  <c r="L32" i="136"/>
  <c r="L24" i="136"/>
  <c r="L21" i="136"/>
  <c r="L20" i="136"/>
  <c r="L19" i="136"/>
  <c r="L30" i="136"/>
  <c r="L22" i="136"/>
  <c r="L33" i="136"/>
  <c r="L39" i="136"/>
  <c r="L37" i="136"/>
  <c r="L10" i="61"/>
  <c r="P20" i="136"/>
  <c r="P19" i="136"/>
  <c r="P24" i="136"/>
  <c r="T20" i="136"/>
  <c r="T19" i="136"/>
  <c r="X20" i="136"/>
  <c r="X19" i="136"/>
  <c r="C23" i="131"/>
  <c r="C25" i="131"/>
  <c r="G34" i="131"/>
  <c r="G23" i="131"/>
  <c r="G25" i="131"/>
  <c r="K23" i="131"/>
  <c r="K25" i="131"/>
  <c r="C21" i="131"/>
  <c r="U20" i="131"/>
  <c r="M20" i="131"/>
  <c r="E20" i="131"/>
  <c r="C31" i="131"/>
  <c r="G39" i="131"/>
  <c r="E38" i="131"/>
  <c r="K36" i="131"/>
  <c r="I34" i="131"/>
  <c r="E43" i="132"/>
  <c r="E25" i="132"/>
  <c r="E23" i="132"/>
  <c r="I47" i="132"/>
  <c r="I25" i="132"/>
  <c r="I23" i="132"/>
  <c r="M43" i="132"/>
  <c r="M25" i="132"/>
  <c r="M23" i="132"/>
  <c r="L19" i="132"/>
  <c r="E37" i="133"/>
  <c r="E25" i="133"/>
  <c r="E23" i="133"/>
  <c r="I38" i="133"/>
  <c r="I25" i="133"/>
  <c r="I23" i="133"/>
  <c r="M31" i="133"/>
  <c r="M25" i="133"/>
  <c r="M23" i="133"/>
  <c r="N39" i="132"/>
  <c r="H38" i="132"/>
  <c r="L35" i="132"/>
  <c r="D33" i="132"/>
  <c r="H30" i="132"/>
  <c r="J53" i="132"/>
  <c r="C25" i="134"/>
  <c r="C23" i="134"/>
  <c r="C37" i="134"/>
  <c r="C39" i="134"/>
  <c r="C38" i="134"/>
  <c r="C36" i="134"/>
  <c r="C31" i="134"/>
  <c r="C35" i="134"/>
  <c r="C33" i="134"/>
  <c r="O33" i="134" s="1"/>
  <c r="C30" i="134"/>
  <c r="O30" i="134" s="1"/>
  <c r="C22" i="134"/>
  <c r="C34" i="134"/>
  <c r="C32" i="134"/>
  <c r="C24" i="134"/>
  <c r="C21" i="134"/>
  <c r="C20" i="134"/>
  <c r="C19" i="134"/>
  <c r="C11" i="61"/>
  <c r="G25" i="134"/>
  <c r="G37" i="134"/>
  <c r="G23" i="134"/>
  <c r="G39" i="134"/>
  <c r="G38" i="134"/>
  <c r="G36" i="134"/>
  <c r="G31" i="134"/>
  <c r="G24" i="134"/>
  <c r="G30" i="134"/>
  <c r="G22" i="134"/>
  <c r="G34" i="134"/>
  <c r="G32" i="134"/>
  <c r="G21" i="134"/>
  <c r="G20" i="134"/>
  <c r="G19" i="134"/>
  <c r="G35" i="134"/>
  <c r="G33" i="134"/>
  <c r="G11" i="61"/>
  <c r="K25" i="134"/>
  <c r="K23" i="134"/>
  <c r="K37" i="134"/>
  <c r="K39" i="134"/>
  <c r="K38" i="134"/>
  <c r="K36" i="134"/>
  <c r="K31" i="134"/>
  <c r="K24" i="134"/>
  <c r="K30" i="134"/>
  <c r="K22" i="134"/>
  <c r="K35" i="134"/>
  <c r="K33" i="134"/>
  <c r="K34" i="134"/>
  <c r="K32" i="134"/>
  <c r="K21" i="134"/>
  <c r="K20" i="134"/>
  <c r="K19" i="134"/>
  <c r="K11" i="61"/>
  <c r="O36" i="134"/>
  <c r="O20" i="134"/>
  <c r="O19" i="134"/>
  <c r="O24" i="134"/>
  <c r="S20" i="134"/>
  <c r="S19" i="134"/>
  <c r="W20" i="134"/>
  <c r="W19" i="134"/>
  <c r="D23" i="135"/>
  <c r="D38" i="135"/>
  <c r="D36" i="135"/>
  <c r="D37" i="135"/>
  <c r="D35" i="135"/>
  <c r="D33" i="135"/>
  <c r="O33" i="135" s="1"/>
  <c r="D32" i="135"/>
  <c r="O32" i="135" s="1"/>
  <c r="D24" i="135"/>
  <c r="D20" i="135"/>
  <c r="D39" i="135"/>
  <c r="D31" i="135"/>
  <c r="D22" i="135"/>
  <c r="D34" i="135"/>
  <c r="D19" i="135"/>
  <c r="D21" i="135"/>
  <c r="D25" i="135"/>
  <c r="D30" i="135"/>
  <c r="D12" i="61"/>
  <c r="H23" i="135"/>
  <c r="H38" i="135"/>
  <c r="H36" i="135"/>
  <c r="H25" i="135"/>
  <c r="H35" i="135"/>
  <c r="H33" i="135"/>
  <c r="H32" i="135"/>
  <c r="H24" i="135"/>
  <c r="H20" i="135"/>
  <c r="H37" i="135"/>
  <c r="H31" i="135"/>
  <c r="H22" i="135"/>
  <c r="H39" i="135"/>
  <c r="H34" i="135"/>
  <c r="H30" i="135"/>
  <c r="H19" i="135"/>
  <c r="H21" i="135"/>
  <c r="H12" i="61"/>
  <c r="L23" i="135"/>
  <c r="L38" i="135"/>
  <c r="L35" i="135"/>
  <c r="L33" i="135"/>
  <c r="L32" i="135"/>
  <c r="L24" i="135"/>
  <c r="L20" i="135"/>
  <c r="L25" i="135"/>
  <c r="L31" i="135"/>
  <c r="L22" i="135"/>
  <c r="L37" i="135"/>
  <c r="L36" i="135"/>
  <c r="L34" i="135"/>
  <c r="L19" i="135"/>
  <c r="L30" i="135"/>
  <c r="L21" i="135"/>
  <c r="L39" i="135"/>
  <c r="L12" i="61"/>
  <c r="P20" i="135"/>
  <c r="P24" i="135"/>
  <c r="P19" i="135"/>
  <c r="T20" i="135"/>
  <c r="T19" i="135"/>
  <c r="X20" i="135"/>
  <c r="X19" i="135"/>
  <c r="E25" i="136"/>
  <c r="E23" i="136"/>
  <c r="E39" i="136"/>
  <c r="E37" i="136"/>
  <c r="E33" i="136"/>
  <c r="E35" i="136"/>
  <c r="E31" i="136"/>
  <c r="E36" i="136"/>
  <c r="E34" i="136"/>
  <c r="E32" i="136"/>
  <c r="E24" i="136"/>
  <c r="E21" i="136"/>
  <c r="E20" i="136"/>
  <c r="E19" i="136"/>
  <c r="E30" i="136"/>
  <c r="E22" i="136"/>
  <c r="E10" i="61"/>
  <c r="I25" i="136"/>
  <c r="I23" i="136"/>
  <c r="I39" i="136"/>
  <c r="I37" i="136"/>
  <c r="I33" i="136"/>
  <c r="I35" i="136"/>
  <c r="I31" i="136"/>
  <c r="I36" i="136"/>
  <c r="I34" i="136"/>
  <c r="I32" i="136"/>
  <c r="I24" i="136"/>
  <c r="I21" i="136"/>
  <c r="I20" i="136"/>
  <c r="I19" i="136"/>
  <c r="I30" i="136"/>
  <c r="I22" i="136"/>
  <c r="I10" i="61"/>
  <c r="M25" i="136"/>
  <c r="M23" i="136"/>
  <c r="M39" i="136"/>
  <c r="M37" i="136"/>
  <c r="M33" i="136"/>
  <c r="M35" i="136"/>
  <c r="M31" i="136"/>
  <c r="M36" i="136"/>
  <c r="M34" i="136"/>
  <c r="M32" i="136"/>
  <c r="M24" i="136"/>
  <c r="M21" i="136"/>
  <c r="M20" i="136"/>
  <c r="M19" i="136"/>
  <c r="M22" i="136"/>
  <c r="M30" i="136"/>
  <c r="M10" i="61"/>
  <c r="Q20" i="136"/>
  <c r="Q19" i="136"/>
  <c r="U20" i="136"/>
  <c r="U19" i="136"/>
  <c r="Y20" i="136"/>
  <c r="Y19" i="136"/>
  <c r="Y12" i="136"/>
  <c r="D33" i="131"/>
  <c r="D23" i="131"/>
  <c r="D25" i="131"/>
  <c r="H23" i="131"/>
  <c r="H25" i="131"/>
  <c r="L20" i="131"/>
  <c r="L23" i="131"/>
  <c r="L25" i="131"/>
  <c r="C19" i="131"/>
  <c r="S20" i="131"/>
  <c r="K20" i="131"/>
  <c r="X19" i="131"/>
  <c r="H19" i="131"/>
  <c r="L24" i="131"/>
  <c r="C34" i="131"/>
  <c r="D39" i="131"/>
  <c r="M37" i="131"/>
  <c r="E36" i="131"/>
  <c r="L33" i="131"/>
  <c r="K31" i="131"/>
  <c r="F25" i="132"/>
  <c r="F23" i="132"/>
  <c r="J25" i="132"/>
  <c r="J23" i="132"/>
  <c r="N25" i="132"/>
  <c r="N23" i="132"/>
  <c r="D20" i="132"/>
  <c r="F25" i="133"/>
  <c r="F23" i="133"/>
  <c r="J25" i="133"/>
  <c r="J23" i="133"/>
  <c r="N21" i="133"/>
  <c r="N25" i="133"/>
  <c r="N23" i="133"/>
  <c r="K39" i="132"/>
  <c r="L37" i="132"/>
  <c r="D35" i="132"/>
  <c r="H32" i="132"/>
  <c r="C44" i="132"/>
  <c r="G53" i="132"/>
  <c r="K48" i="132"/>
  <c r="G45" i="132"/>
  <c r="D23" i="134"/>
  <c r="D25" i="134"/>
  <c r="D37" i="134"/>
  <c r="O37" i="134" s="1"/>
  <c r="D39" i="134"/>
  <c r="O39" i="134" s="1"/>
  <c r="D36" i="134"/>
  <c r="D35" i="134"/>
  <c r="D33" i="134"/>
  <c r="D34" i="134"/>
  <c r="D20" i="134"/>
  <c r="D19" i="134"/>
  <c r="D38" i="134"/>
  <c r="D31" i="134"/>
  <c r="D24" i="134"/>
  <c r="D32" i="134"/>
  <c r="D30" i="134"/>
  <c r="D22" i="134"/>
  <c r="D21" i="134"/>
  <c r="D11" i="61"/>
  <c r="H23" i="134"/>
  <c r="H25" i="134"/>
  <c r="H37" i="134"/>
  <c r="H39" i="134"/>
  <c r="H35" i="134"/>
  <c r="H33" i="134"/>
  <c r="H32" i="134"/>
  <c r="H21" i="134"/>
  <c r="H36" i="134"/>
  <c r="P36" i="134" s="1"/>
  <c r="H31" i="134"/>
  <c r="H24" i="134"/>
  <c r="H20" i="134"/>
  <c r="H19" i="134"/>
  <c r="H38" i="134"/>
  <c r="H30" i="134"/>
  <c r="H22" i="134"/>
  <c r="H34" i="134"/>
  <c r="H11" i="61"/>
  <c r="L23" i="134"/>
  <c r="L25" i="134"/>
  <c r="L37" i="134"/>
  <c r="L39" i="134"/>
  <c r="L35" i="134"/>
  <c r="L33" i="134"/>
  <c r="L20" i="134"/>
  <c r="L31" i="134"/>
  <c r="L24" i="134"/>
  <c r="L38" i="134"/>
  <c r="L34" i="134"/>
  <c r="L21" i="134"/>
  <c r="L36" i="134"/>
  <c r="L30" i="134"/>
  <c r="L22" i="134"/>
  <c r="L32" i="134"/>
  <c r="L19" i="134"/>
  <c r="L11" i="61"/>
  <c r="P37" i="134"/>
  <c r="P19" i="134"/>
  <c r="P20" i="134"/>
  <c r="T20" i="134"/>
  <c r="T19" i="134"/>
  <c r="X20" i="134"/>
  <c r="X19" i="134"/>
  <c r="E25" i="135"/>
  <c r="E39" i="135"/>
  <c r="E37" i="135"/>
  <c r="E23" i="135"/>
  <c r="E38" i="135"/>
  <c r="E36" i="135"/>
  <c r="E30" i="135"/>
  <c r="E21" i="135"/>
  <c r="E35" i="135"/>
  <c r="E33" i="135"/>
  <c r="E32" i="135"/>
  <c r="E24" i="135"/>
  <c r="E20" i="135"/>
  <c r="E31" i="135"/>
  <c r="E22" i="135"/>
  <c r="E34" i="135"/>
  <c r="E19" i="135"/>
  <c r="E12" i="61"/>
  <c r="I25" i="135"/>
  <c r="I39" i="135"/>
  <c r="I37" i="135"/>
  <c r="I23" i="135"/>
  <c r="I38" i="135"/>
  <c r="I30" i="135"/>
  <c r="I21" i="135"/>
  <c r="I35" i="135"/>
  <c r="I33" i="135"/>
  <c r="I32" i="135"/>
  <c r="I24" i="135"/>
  <c r="I20" i="135"/>
  <c r="I31" i="135"/>
  <c r="I22" i="135"/>
  <c r="I19" i="135"/>
  <c r="I34" i="135"/>
  <c r="I36" i="135"/>
  <c r="I12" i="61"/>
  <c r="M25" i="135"/>
  <c r="M39" i="135"/>
  <c r="M37" i="135"/>
  <c r="M23" i="135"/>
  <c r="M38" i="135"/>
  <c r="M30" i="135"/>
  <c r="M21" i="135"/>
  <c r="M35" i="135"/>
  <c r="M33" i="135"/>
  <c r="M32" i="135"/>
  <c r="M24" i="135"/>
  <c r="M20" i="135"/>
  <c r="M31" i="135"/>
  <c r="M22" i="135"/>
  <c r="M36" i="135"/>
  <c r="M19" i="135"/>
  <c r="M34" i="135"/>
  <c r="M12" i="61"/>
  <c r="Q20" i="135"/>
  <c r="Q19" i="135"/>
  <c r="T24" i="135"/>
  <c r="U20" i="135"/>
  <c r="U19" i="135"/>
  <c r="Y20" i="135"/>
  <c r="Y19" i="135"/>
  <c r="Y12" i="135"/>
  <c r="F25" i="136"/>
  <c r="F23" i="136"/>
  <c r="F30" i="136"/>
  <c r="F22" i="136"/>
  <c r="F39" i="136"/>
  <c r="F37" i="136"/>
  <c r="F33" i="136"/>
  <c r="F35" i="136"/>
  <c r="F31" i="136"/>
  <c r="F32" i="136"/>
  <c r="F34" i="136"/>
  <c r="F20" i="136"/>
  <c r="F24" i="136"/>
  <c r="F19" i="136"/>
  <c r="F36" i="136"/>
  <c r="F21" i="136"/>
  <c r="F10" i="61"/>
  <c r="J25" i="136"/>
  <c r="J23" i="136"/>
  <c r="J30" i="136"/>
  <c r="J22" i="136"/>
  <c r="J39" i="136"/>
  <c r="J37" i="136"/>
  <c r="J33" i="136"/>
  <c r="J35" i="136"/>
  <c r="J31" i="136"/>
  <c r="J24" i="136"/>
  <c r="J19" i="136"/>
  <c r="J36" i="136"/>
  <c r="J32" i="136"/>
  <c r="J34" i="136"/>
  <c r="J20" i="136"/>
  <c r="J21" i="136"/>
  <c r="J10" i="61"/>
  <c r="N25" i="136"/>
  <c r="N23" i="136"/>
  <c r="N30" i="136"/>
  <c r="N22" i="136"/>
  <c r="N39" i="136"/>
  <c r="N37" i="136"/>
  <c r="N33" i="136"/>
  <c r="N35" i="136"/>
  <c r="N31" i="136"/>
  <c r="N36" i="136"/>
  <c r="N21" i="136"/>
  <c r="N24" i="136"/>
  <c r="N19" i="136"/>
  <c r="N34" i="136"/>
  <c r="N20" i="136"/>
  <c r="N32" i="136"/>
  <c r="N10" i="61"/>
  <c r="R20" i="136"/>
  <c r="R19" i="136"/>
  <c r="V20" i="136"/>
  <c r="V19" i="136"/>
  <c r="Z19" i="136"/>
  <c r="Z20" i="136"/>
  <c r="BQ17" i="131"/>
  <c r="AB12" i="135"/>
  <c r="AC12" i="135" s="1"/>
  <c r="AD12" i="135" s="1"/>
  <c r="AE12" i="135" s="1"/>
  <c r="AF12" i="135" s="1"/>
  <c r="AG12" i="135" s="1"/>
  <c r="AH12" i="135" s="1"/>
  <c r="AI12" i="135" s="1"/>
  <c r="AJ12" i="135" s="1"/>
  <c r="AK12" i="135" s="1"/>
  <c r="AL12" i="135" s="1"/>
  <c r="AM12" i="135" s="1"/>
  <c r="Q13" i="129"/>
  <c r="AN12" i="135"/>
  <c r="AO12" i="135" s="1"/>
  <c r="AP12" i="135" s="1"/>
  <c r="AQ12" i="135" s="1"/>
  <c r="AR12" i="135" s="1"/>
  <c r="AS12" i="135" s="1"/>
  <c r="AT12" i="135" s="1"/>
  <c r="AU12" i="135" s="1"/>
  <c r="AV12" i="135" s="1"/>
  <c r="AW12" i="135" s="1"/>
  <c r="AX12" i="135" s="1"/>
  <c r="AY12" i="135" s="1"/>
  <c r="P17" i="129"/>
  <c r="AB12" i="134"/>
  <c r="AC12" i="134" s="1"/>
  <c r="AD12" i="134" s="1"/>
  <c r="AE12" i="134" s="1"/>
  <c r="AF12" i="134" s="1"/>
  <c r="AG12" i="134" s="1"/>
  <c r="AH12" i="134" s="1"/>
  <c r="AI12" i="134" s="1"/>
  <c r="AJ12" i="134" s="1"/>
  <c r="AK12" i="134" s="1"/>
  <c r="AL12" i="134" s="1"/>
  <c r="AM12" i="134" s="1"/>
  <c r="AB12" i="136"/>
  <c r="AC12" i="136" s="1"/>
  <c r="AD12" i="136" s="1"/>
  <c r="AE12" i="136" s="1"/>
  <c r="AF12" i="136" s="1"/>
  <c r="AG12" i="136" s="1"/>
  <c r="AH12" i="136" s="1"/>
  <c r="AI12" i="136" s="1"/>
  <c r="AJ12" i="136" s="1"/>
  <c r="AK12" i="136" s="1"/>
  <c r="AL12" i="136" s="1"/>
  <c r="AM12" i="136" s="1"/>
  <c r="AS17" i="131"/>
  <c r="AB12" i="132"/>
  <c r="AC12" i="132" s="1"/>
  <c r="AD12" i="132" s="1"/>
  <c r="AE12" i="132" s="1"/>
  <c r="AF12" i="132" s="1"/>
  <c r="AG12" i="132" s="1"/>
  <c r="AH12" i="132" s="1"/>
  <c r="AI12" i="132" s="1"/>
  <c r="AJ12" i="132" s="1"/>
  <c r="AK12" i="132" s="1"/>
  <c r="AL12" i="132" s="1"/>
  <c r="AM12" i="132" s="1"/>
  <c r="BG19" i="131"/>
  <c r="AQ19" i="131"/>
  <c r="AA19" i="131"/>
  <c r="BS19" i="131"/>
  <c r="BC19" i="131"/>
  <c r="AM19" i="131"/>
  <c r="AJ20" i="132"/>
  <c r="BO19" i="131"/>
  <c r="AY19" i="131"/>
  <c r="AI19" i="131"/>
  <c r="AZ20" i="132"/>
  <c r="BK19" i="131"/>
  <c r="AU19" i="131"/>
  <c r="AE19" i="131"/>
  <c r="BU20" i="131"/>
  <c r="BQ20" i="131"/>
  <c r="BM20" i="131"/>
  <c r="BI20" i="131"/>
  <c r="BE20" i="131"/>
  <c r="BA20" i="131"/>
  <c r="AW20" i="131"/>
  <c r="AS20" i="131"/>
  <c r="AO20" i="131"/>
  <c r="AK20" i="131"/>
  <c r="AG20" i="131"/>
  <c r="AC20" i="131"/>
  <c r="BT19" i="131"/>
  <c r="BP19" i="131"/>
  <c r="BL19" i="131"/>
  <c r="BH19" i="131"/>
  <c r="BD19" i="131"/>
  <c r="AZ19" i="131"/>
  <c r="AV19" i="131"/>
  <c r="AR19" i="131"/>
  <c r="AN19" i="131"/>
  <c r="AJ19" i="131"/>
  <c r="AF19" i="131"/>
  <c r="AB19" i="131"/>
  <c r="BT19" i="133"/>
  <c r="BP19" i="133"/>
  <c r="BL19" i="133"/>
  <c r="BH19" i="133"/>
  <c r="BD19" i="133"/>
  <c r="AZ19" i="133"/>
  <c r="AV19" i="133"/>
  <c r="AR19" i="133"/>
  <c r="AN19" i="133"/>
  <c r="AJ19" i="133"/>
  <c r="AF19" i="133"/>
  <c r="AB19" i="133"/>
  <c r="AB19" i="132"/>
  <c r="BS19" i="133"/>
  <c r="BO19" i="133"/>
  <c r="BK19" i="133"/>
  <c r="BG19" i="133"/>
  <c r="BC19" i="133"/>
  <c r="AY19" i="133"/>
  <c r="AU19" i="133"/>
  <c r="AQ19" i="133"/>
  <c r="AM19" i="133"/>
  <c r="AI19" i="133"/>
  <c r="AE19" i="133"/>
  <c r="AA19" i="133"/>
  <c r="BV19" i="131"/>
  <c r="BR19" i="131"/>
  <c r="BN19" i="131"/>
  <c r="BJ19" i="131"/>
  <c r="BF19" i="131"/>
  <c r="BB19" i="131"/>
  <c r="AX19" i="131"/>
  <c r="AT19" i="131"/>
  <c r="AP19" i="131"/>
  <c r="AL19" i="131"/>
  <c r="AH19" i="131"/>
  <c r="AD19" i="131"/>
  <c r="AR19" i="132"/>
  <c r="BV19" i="133"/>
  <c r="BR19" i="133"/>
  <c r="BN19" i="133"/>
  <c r="BJ19" i="133"/>
  <c r="BF19" i="133"/>
  <c r="BB19" i="133"/>
  <c r="AX19" i="133"/>
  <c r="AT19" i="133"/>
  <c r="AP19" i="133"/>
  <c r="AL19" i="133"/>
  <c r="AH19" i="133"/>
  <c r="AD19" i="133"/>
  <c r="BH19" i="132"/>
  <c r="BP20" i="132"/>
  <c r="BU19" i="133"/>
  <c r="BQ19" i="133"/>
  <c r="BM19" i="133"/>
  <c r="BI19" i="133"/>
  <c r="BE19" i="133"/>
  <c r="BA19" i="133"/>
  <c r="AW19" i="133"/>
  <c r="AS19" i="133"/>
  <c r="AO19" i="133"/>
  <c r="AK19" i="133"/>
  <c r="AG19" i="133"/>
  <c r="AC19" i="133"/>
  <c r="AH17" i="133"/>
  <c r="F22" i="131"/>
  <c r="F33" i="131"/>
  <c r="F32" i="131"/>
  <c r="F36" i="131"/>
  <c r="F19" i="131"/>
  <c r="F24" i="131"/>
  <c r="F30" i="131"/>
  <c r="F34" i="131"/>
  <c r="F35" i="131"/>
  <c r="F31" i="131"/>
  <c r="F37" i="131"/>
  <c r="F38" i="131"/>
  <c r="F39" i="131"/>
  <c r="F20" i="131"/>
  <c r="J22" i="131"/>
  <c r="J32" i="131"/>
  <c r="J36" i="131"/>
  <c r="J31" i="131"/>
  <c r="J33" i="131"/>
  <c r="J34" i="131"/>
  <c r="J35" i="131"/>
  <c r="J37" i="131"/>
  <c r="J38" i="131"/>
  <c r="J20" i="131"/>
  <c r="J30" i="131"/>
  <c r="J24" i="131"/>
  <c r="J19" i="131"/>
  <c r="J39" i="131"/>
  <c r="N22" i="131"/>
  <c r="N32" i="131"/>
  <c r="N36" i="131"/>
  <c r="N34" i="131"/>
  <c r="N35" i="131"/>
  <c r="N37" i="131"/>
  <c r="N38" i="131"/>
  <c r="N39" i="131"/>
  <c r="N31" i="131"/>
  <c r="N24" i="131"/>
  <c r="N20" i="131"/>
  <c r="N33" i="131"/>
  <c r="N19" i="131"/>
  <c r="N30" i="131"/>
  <c r="R19" i="131"/>
  <c r="R20" i="131"/>
  <c r="V20" i="131"/>
  <c r="V19" i="131"/>
  <c r="Z19" i="131"/>
  <c r="Z20" i="131"/>
  <c r="F21" i="131"/>
  <c r="H22" i="131"/>
  <c r="H31" i="131"/>
  <c r="H30" i="131"/>
  <c r="H34" i="131"/>
  <c r="H38" i="131"/>
  <c r="L21" i="131"/>
  <c r="D21" i="131"/>
  <c r="H37" i="131"/>
  <c r="H36" i="131"/>
  <c r="H35" i="131"/>
  <c r="L32" i="131"/>
  <c r="D32" i="131"/>
  <c r="E22" i="131"/>
  <c r="E32" i="131"/>
  <c r="E31" i="131"/>
  <c r="E35" i="131"/>
  <c r="E39" i="131"/>
  <c r="I22" i="131"/>
  <c r="I32" i="131"/>
  <c r="I31" i="131"/>
  <c r="I35" i="131"/>
  <c r="I39" i="131"/>
  <c r="I24" i="131"/>
  <c r="M22" i="131"/>
  <c r="M32" i="131"/>
  <c r="M31" i="131"/>
  <c r="M35" i="131"/>
  <c r="M39" i="131"/>
  <c r="M24" i="131"/>
  <c r="C20" i="131"/>
  <c r="K21" i="131"/>
  <c r="G21" i="131"/>
  <c r="Y19" i="131"/>
  <c r="U19" i="131"/>
  <c r="Q19" i="131"/>
  <c r="M19" i="131"/>
  <c r="I19" i="131"/>
  <c r="E19" i="131"/>
  <c r="H24" i="131"/>
  <c r="C32" i="131"/>
  <c r="C38" i="131"/>
  <c r="K39" i="131"/>
  <c r="K38" i="131"/>
  <c r="L37" i="131"/>
  <c r="L36" i="131"/>
  <c r="G36" i="131"/>
  <c r="L35" i="131"/>
  <c r="G35" i="131"/>
  <c r="M34" i="131"/>
  <c r="M33" i="131"/>
  <c r="H33" i="131"/>
  <c r="K32" i="131"/>
  <c r="I30" i="131"/>
  <c r="C22" i="131"/>
  <c r="C37" i="131"/>
  <c r="O37" i="131" s="1"/>
  <c r="C33" i="131"/>
  <c r="G22" i="131"/>
  <c r="G30" i="131"/>
  <c r="G33" i="131"/>
  <c r="G37" i="131"/>
  <c r="P37" i="131" s="1"/>
  <c r="Q37" i="131" s="1"/>
  <c r="K22" i="131"/>
  <c r="K30" i="131"/>
  <c r="K33" i="131"/>
  <c r="K37" i="131"/>
  <c r="M21" i="131"/>
  <c r="I21" i="131"/>
  <c r="E21" i="131"/>
  <c r="X20" i="131"/>
  <c r="T20" i="131"/>
  <c r="P20" i="131"/>
  <c r="H20" i="131"/>
  <c r="D20" i="131"/>
  <c r="W19" i="131"/>
  <c r="S19" i="131"/>
  <c r="O19" i="131"/>
  <c r="K19" i="131"/>
  <c r="G19" i="131"/>
  <c r="K24" i="131"/>
  <c r="C30" i="131"/>
  <c r="O30" i="131" s="1"/>
  <c r="C35" i="131"/>
  <c r="H39" i="131"/>
  <c r="I38" i="131"/>
  <c r="I37" i="131"/>
  <c r="D37" i="131"/>
  <c r="I36" i="131"/>
  <c r="D36" i="131"/>
  <c r="D35" i="131"/>
  <c r="E34" i="131"/>
  <c r="G32" i="131"/>
  <c r="M30" i="131"/>
  <c r="E30" i="131"/>
  <c r="D22" i="131"/>
  <c r="D31" i="131"/>
  <c r="D30" i="131"/>
  <c r="P30" i="131" s="1"/>
  <c r="Q30" i="131" s="1"/>
  <c r="D34" i="131"/>
  <c r="D38" i="131"/>
  <c r="O38" i="131" s="1"/>
  <c r="L31" i="131"/>
  <c r="L22" i="131"/>
  <c r="L30" i="131"/>
  <c r="L34" i="131"/>
  <c r="L38" i="131"/>
  <c r="H21" i="131"/>
  <c r="L39" i="131"/>
  <c r="D22" i="132"/>
  <c r="D44" i="132"/>
  <c r="D48" i="132"/>
  <c r="D53" i="132"/>
  <c r="D43" i="132"/>
  <c r="D47" i="132"/>
  <c r="D52" i="132"/>
  <c r="D8" i="61"/>
  <c r="H22" i="132"/>
  <c r="H44" i="132"/>
  <c r="H48" i="132"/>
  <c r="H53" i="132"/>
  <c r="H43" i="132"/>
  <c r="H47" i="132"/>
  <c r="H52" i="132"/>
  <c r="H8" i="61"/>
  <c r="L24" i="132"/>
  <c r="L22" i="132"/>
  <c r="L44" i="132"/>
  <c r="L48" i="132"/>
  <c r="L53" i="132"/>
  <c r="L43" i="132"/>
  <c r="L47" i="132"/>
  <c r="L52" i="132"/>
  <c r="L8" i="61"/>
  <c r="P48" i="132"/>
  <c r="C21" i="133"/>
  <c r="C20" i="133"/>
  <c r="C19" i="133"/>
  <c r="C30" i="133"/>
  <c r="C31" i="133"/>
  <c r="C32" i="133"/>
  <c r="C33" i="133"/>
  <c r="C34" i="133"/>
  <c r="C35" i="133"/>
  <c r="C36" i="133"/>
  <c r="C37" i="133"/>
  <c r="O37" i="133" s="1"/>
  <c r="C38" i="133"/>
  <c r="C39" i="133"/>
  <c r="C16" i="133"/>
  <c r="C22" i="133"/>
  <c r="C24" i="133"/>
  <c r="C9" i="61"/>
  <c r="G21" i="133"/>
  <c r="G20" i="133"/>
  <c r="G19" i="133"/>
  <c r="G30" i="133"/>
  <c r="G31" i="133"/>
  <c r="G32" i="133"/>
  <c r="G33" i="133"/>
  <c r="G34" i="133"/>
  <c r="G35" i="133"/>
  <c r="G36" i="133"/>
  <c r="G37" i="133"/>
  <c r="G38" i="133"/>
  <c r="G39" i="133"/>
  <c r="G16" i="133"/>
  <c r="G22" i="133"/>
  <c r="K21" i="133"/>
  <c r="K20" i="133"/>
  <c r="K19" i="133"/>
  <c r="K30" i="133"/>
  <c r="K31" i="133"/>
  <c r="K32" i="133"/>
  <c r="K33" i="133"/>
  <c r="K34" i="133"/>
  <c r="K35" i="133"/>
  <c r="K36" i="133"/>
  <c r="K37" i="133"/>
  <c r="K38" i="133"/>
  <c r="K39" i="133"/>
  <c r="K16" i="133"/>
  <c r="K24" i="133"/>
  <c r="K9" i="61"/>
  <c r="O20" i="133"/>
  <c r="O19" i="133"/>
  <c r="S20" i="133"/>
  <c r="S19" i="133"/>
  <c r="W20" i="133"/>
  <c r="W19" i="133"/>
  <c r="E39" i="132"/>
  <c r="I38" i="132"/>
  <c r="M37" i="132"/>
  <c r="E37" i="132"/>
  <c r="I36" i="132"/>
  <c r="M35" i="132"/>
  <c r="E35" i="132"/>
  <c r="I34" i="132"/>
  <c r="M33" i="132"/>
  <c r="E33" i="132"/>
  <c r="I32" i="132"/>
  <c r="M31" i="132"/>
  <c r="E31" i="132"/>
  <c r="I30" i="132"/>
  <c r="M52" i="132"/>
  <c r="E52" i="132"/>
  <c r="H51" i="132"/>
  <c r="L46" i="132"/>
  <c r="D46" i="132"/>
  <c r="C8" i="61"/>
  <c r="G9" i="61"/>
  <c r="J19" i="133"/>
  <c r="E33" i="133"/>
  <c r="E22" i="132"/>
  <c r="E45" i="132"/>
  <c r="E50" i="132"/>
  <c r="E8" i="61"/>
  <c r="E44" i="132"/>
  <c r="E48" i="132"/>
  <c r="E53" i="132"/>
  <c r="I22" i="132"/>
  <c r="I45" i="132"/>
  <c r="I50" i="132"/>
  <c r="I8" i="61"/>
  <c r="I44" i="132"/>
  <c r="I48" i="132"/>
  <c r="I53" i="132"/>
  <c r="M22" i="132"/>
  <c r="M45" i="132"/>
  <c r="M50" i="132"/>
  <c r="M8" i="61"/>
  <c r="M44" i="132"/>
  <c r="M48" i="132"/>
  <c r="M53" i="132"/>
  <c r="Q48" i="132"/>
  <c r="Y12" i="132"/>
  <c r="D24" i="133"/>
  <c r="D22" i="133"/>
  <c r="D21" i="133"/>
  <c r="D20" i="133"/>
  <c r="D19" i="133"/>
  <c r="D16" i="133"/>
  <c r="D30" i="133"/>
  <c r="D31" i="133"/>
  <c r="D32" i="133"/>
  <c r="D33" i="133"/>
  <c r="D34" i="133"/>
  <c r="D35" i="133"/>
  <c r="D36" i="133"/>
  <c r="D37" i="133"/>
  <c r="D38" i="133"/>
  <c r="D39" i="133"/>
  <c r="D9" i="61"/>
  <c r="H24" i="133"/>
  <c r="H22" i="133"/>
  <c r="H21" i="133"/>
  <c r="H20" i="133"/>
  <c r="H19" i="133"/>
  <c r="H16" i="133"/>
  <c r="H30" i="133"/>
  <c r="H31" i="133"/>
  <c r="H32" i="133"/>
  <c r="H33" i="133"/>
  <c r="H34" i="133"/>
  <c r="H35" i="133"/>
  <c r="H36" i="133"/>
  <c r="H37" i="133"/>
  <c r="H38" i="133"/>
  <c r="H39" i="133"/>
  <c r="H9" i="61"/>
  <c r="L24" i="133"/>
  <c r="L22" i="133"/>
  <c r="L21" i="133"/>
  <c r="L20" i="133"/>
  <c r="L19" i="133"/>
  <c r="L16" i="133"/>
  <c r="L30" i="133"/>
  <c r="L31" i="133"/>
  <c r="L32" i="133"/>
  <c r="L33" i="133"/>
  <c r="L34" i="133"/>
  <c r="L35" i="133"/>
  <c r="L36" i="133"/>
  <c r="L37" i="133"/>
  <c r="L38" i="133"/>
  <c r="L39" i="133"/>
  <c r="P20" i="133"/>
  <c r="P19" i="133"/>
  <c r="T20" i="133"/>
  <c r="T19" i="133"/>
  <c r="X20" i="133"/>
  <c r="X19" i="133"/>
  <c r="M51" i="132"/>
  <c r="E51" i="132"/>
  <c r="H50" i="132"/>
  <c r="I46" i="132"/>
  <c r="L45" i="132"/>
  <c r="D45" i="132"/>
  <c r="O45" i="132" s="1"/>
  <c r="G8" i="61"/>
  <c r="L9" i="61"/>
  <c r="R20" i="133"/>
  <c r="G24" i="133"/>
  <c r="F21" i="132"/>
  <c r="F22" i="132"/>
  <c r="F8" i="61"/>
  <c r="F46" i="132"/>
  <c r="F51" i="132"/>
  <c r="F30" i="132"/>
  <c r="F31" i="132"/>
  <c r="F32" i="132"/>
  <c r="F33" i="132"/>
  <c r="F34" i="132"/>
  <c r="F35" i="132"/>
  <c r="F36" i="132"/>
  <c r="F37" i="132"/>
  <c r="F38" i="132"/>
  <c r="F39" i="132"/>
  <c r="F45" i="132"/>
  <c r="F50" i="132"/>
  <c r="J22" i="132"/>
  <c r="J8" i="61"/>
  <c r="J46" i="132"/>
  <c r="J51" i="132"/>
  <c r="J30" i="132"/>
  <c r="J31" i="132"/>
  <c r="J32" i="132"/>
  <c r="J33" i="132"/>
  <c r="J34" i="132"/>
  <c r="J35" i="132"/>
  <c r="J36" i="132"/>
  <c r="J37" i="132"/>
  <c r="J38" i="132"/>
  <c r="J45" i="132"/>
  <c r="J50" i="132"/>
  <c r="N22" i="132"/>
  <c r="N8" i="61"/>
  <c r="N46" i="132"/>
  <c r="N51" i="132"/>
  <c r="N30" i="132"/>
  <c r="N31" i="132"/>
  <c r="N32" i="132"/>
  <c r="N33" i="132"/>
  <c r="N34" i="132"/>
  <c r="N35" i="132"/>
  <c r="N36" i="132"/>
  <c r="N37" i="132"/>
  <c r="N38" i="132"/>
  <c r="N45" i="132"/>
  <c r="N50" i="132"/>
  <c r="Z12" i="132"/>
  <c r="AA12" i="132" s="1"/>
  <c r="T20" i="132"/>
  <c r="L21" i="132"/>
  <c r="E16" i="133"/>
  <c r="E24" i="133"/>
  <c r="E22" i="133"/>
  <c r="E21" i="133"/>
  <c r="E20" i="133"/>
  <c r="E19" i="133"/>
  <c r="E9" i="61"/>
  <c r="E32" i="133"/>
  <c r="E36" i="133"/>
  <c r="E31" i="133"/>
  <c r="E35" i="133"/>
  <c r="E39" i="133"/>
  <c r="E30" i="133"/>
  <c r="E34" i="133"/>
  <c r="E38" i="133"/>
  <c r="I16" i="133"/>
  <c r="I24" i="133"/>
  <c r="I22" i="133"/>
  <c r="I21" i="133"/>
  <c r="I20" i="133"/>
  <c r="I19" i="133"/>
  <c r="I9" i="61"/>
  <c r="I33" i="133"/>
  <c r="I37" i="133"/>
  <c r="I32" i="133"/>
  <c r="I36" i="133"/>
  <c r="I31" i="133"/>
  <c r="I35" i="133"/>
  <c r="I39" i="133"/>
  <c r="M16" i="133"/>
  <c r="M24" i="133"/>
  <c r="M22" i="133"/>
  <c r="M21" i="133"/>
  <c r="M20" i="133"/>
  <c r="M19" i="133"/>
  <c r="M9" i="61"/>
  <c r="M30" i="133"/>
  <c r="M34" i="133"/>
  <c r="M38" i="133"/>
  <c r="M33" i="133"/>
  <c r="M37" i="133"/>
  <c r="M32" i="133"/>
  <c r="M36" i="133"/>
  <c r="Q20" i="133"/>
  <c r="Q19" i="133"/>
  <c r="U20" i="133"/>
  <c r="U19" i="133"/>
  <c r="Y20" i="133"/>
  <c r="Y19" i="133"/>
  <c r="C19" i="132"/>
  <c r="M39" i="132"/>
  <c r="I39" i="132"/>
  <c r="M38" i="132"/>
  <c r="E38" i="132"/>
  <c r="O38" i="132" s="1"/>
  <c r="P38" i="132" s="1"/>
  <c r="I37" i="132"/>
  <c r="M36" i="132"/>
  <c r="E36" i="132"/>
  <c r="I35" i="132"/>
  <c r="M34" i="132"/>
  <c r="E34" i="132"/>
  <c r="I33" i="132"/>
  <c r="M32" i="132"/>
  <c r="E32" i="132"/>
  <c r="I31" i="132"/>
  <c r="M30" i="132"/>
  <c r="E30" i="132"/>
  <c r="N53" i="132"/>
  <c r="F53" i="132"/>
  <c r="I52" i="132"/>
  <c r="L51" i="132"/>
  <c r="D51" i="132"/>
  <c r="G50" i="132"/>
  <c r="J48" i="132"/>
  <c r="M47" i="132"/>
  <c r="E47" i="132"/>
  <c r="H46" i="132"/>
  <c r="K45" i="132"/>
  <c r="N44" i="132"/>
  <c r="F44" i="132"/>
  <c r="I43" i="132"/>
  <c r="R48" i="132"/>
  <c r="M35" i="133"/>
  <c r="I30" i="133"/>
  <c r="C22" i="132"/>
  <c r="C52" i="132"/>
  <c r="C47" i="132"/>
  <c r="O47" i="132" s="1"/>
  <c r="C43" i="132"/>
  <c r="O43" i="132" s="1"/>
  <c r="C51" i="132"/>
  <c r="C46" i="132"/>
  <c r="C30" i="132"/>
  <c r="C31" i="132"/>
  <c r="C32" i="132"/>
  <c r="C33" i="132"/>
  <c r="C34" i="132"/>
  <c r="C35" i="132"/>
  <c r="O35" i="132" s="1"/>
  <c r="C36" i="132"/>
  <c r="C37" i="132"/>
  <c r="C38" i="132"/>
  <c r="C39" i="132"/>
  <c r="G43" i="132"/>
  <c r="G47" i="132"/>
  <c r="G52" i="132"/>
  <c r="G22" i="132"/>
  <c r="G46" i="132"/>
  <c r="G51" i="132"/>
  <c r="G30" i="132"/>
  <c r="G31" i="132"/>
  <c r="G32" i="132"/>
  <c r="O32" i="132" s="1"/>
  <c r="G33" i="132"/>
  <c r="G34" i="132"/>
  <c r="G35" i="132"/>
  <c r="G36" i="132"/>
  <c r="G37" i="132"/>
  <c r="O37" i="132" s="1"/>
  <c r="G38" i="132"/>
  <c r="G39" i="132"/>
  <c r="K43" i="132"/>
  <c r="K47" i="132"/>
  <c r="K52" i="132"/>
  <c r="K46" i="132"/>
  <c r="K51" i="132"/>
  <c r="K30" i="132"/>
  <c r="K31" i="132"/>
  <c r="K32" i="132"/>
  <c r="K33" i="132"/>
  <c r="K34" i="132"/>
  <c r="K35" i="132"/>
  <c r="K36" i="132"/>
  <c r="K37" i="132"/>
  <c r="K38" i="132"/>
  <c r="K22" i="132"/>
  <c r="D24" i="132"/>
  <c r="F30" i="133"/>
  <c r="F31" i="133"/>
  <c r="F32" i="133"/>
  <c r="F33" i="133"/>
  <c r="F34" i="133"/>
  <c r="F35" i="133"/>
  <c r="F36" i="133"/>
  <c r="F37" i="133"/>
  <c r="F38" i="133"/>
  <c r="F39" i="133"/>
  <c r="F24" i="133"/>
  <c r="F22" i="133"/>
  <c r="F20" i="133"/>
  <c r="F9" i="61"/>
  <c r="F21" i="133"/>
  <c r="F16" i="133"/>
  <c r="F19" i="133"/>
  <c r="J30" i="133"/>
  <c r="J31" i="133"/>
  <c r="J32" i="133"/>
  <c r="J33" i="133"/>
  <c r="J34" i="133"/>
  <c r="J35" i="133"/>
  <c r="J36" i="133"/>
  <c r="J37" i="133"/>
  <c r="J38" i="133"/>
  <c r="J39" i="133"/>
  <c r="J24" i="133"/>
  <c r="J22" i="133"/>
  <c r="J16" i="133"/>
  <c r="J20" i="133"/>
  <c r="J9" i="61"/>
  <c r="J21" i="133"/>
  <c r="N30" i="133"/>
  <c r="N31" i="133"/>
  <c r="N32" i="133"/>
  <c r="N33" i="133"/>
  <c r="N34" i="133"/>
  <c r="N35" i="133"/>
  <c r="N36" i="133"/>
  <c r="N37" i="133"/>
  <c r="N38" i="133"/>
  <c r="N39" i="133"/>
  <c r="N24" i="133"/>
  <c r="N22" i="133"/>
  <c r="N19" i="133"/>
  <c r="N20" i="133"/>
  <c r="N9" i="61"/>
  <c r="R19" i="133"/>
  <c r="V20" i="133"/>
  <c r="V19" i="133"/>
  <c r="Z20" i="133"/>
  <c r="C20" i="132"/>
  <c r="L39" i="132"/>
  <c r="H39" i="132"/>
  <c r="L38" i="132"/>
  <c r="D38" i="132"/>
  <c r="H37" i="132"/>
  <c r="L36" i="132"/>
  <c r="D36" i="132"/>
  <c r="H35" i="132"/>
  <c r="L34" i="132"/>
  <c r="D34" i="132"/>
  <c r="H33" i="132"/>
  <c r="L32" i="132"/>
  <c r="D32" i="132"/>
  <c r="H31" i="132"/>
  <c r="L30" i="132"/>
  <c r="D30" i="132"/>
  <c r="C48" i="132"/>
  <c r="K53" i="132"/>
  <c r="N52" i="132"/>
  <c r="F52" i="132"/>
  <c r="I51" i="132"/>
  <c r="L50" i="132"/>
  <c r="D50" i="132"/>
  <c r="G48" i="132"/>
  <c r="J47" i="132"/>
  <c r="M46" i="132"/>
  <c r="E46" i="132"/>
  <c r="H45" i="132"/>
  <c r="K44" i="132"/>
  <c r="N43" i="132"/>
  <c r="F43" i="132"/>
  <c r="O48" i="132"/>
  <c r="P8" i="61"/>
  <c r="N16" i="133"/>
  <c r="Z19" i="133"/>
  <c r="K22" i="133"/>
  <c r="M39" i="133"/>
  <c r="I34" i="133"/>
  <c r="F38" i="136"/>
  <c r="J38" i="136"/>
  <c r="N38" i="136"/>
  <c r="AD17" i="136"/>
  <c r="AH17" i="136"/>
  <c r="AP17" i="136"/>
  <c r="AT17" i="136"/>
  <c r="BR17" i="136"/>
  <c r="BH17" i="136"/>
  <c r="C38" i="136"/>
  <c r="G38" i="136"/>
  <c r="K38" i="136"/>
  <c r="BP17" i="136"/>
  <c r="D38" i="136"/>
  <c r="H38" i="136"/>
  <c r="L38" i="136"/>
  <c r="AV17" i="136"/>
  <c r="BD17" i="136"/>
  <c r="BL17" i="136"/>
  <c r="BT17" i="136"/>
  <c r="AR17" i="136"/>
  <c r="E38" i="136"/>
  <c r="I38" i="136"/>
  <c r="M38" i="136"/>
  <c r="AZ17" i="136"/>
  <c r="AS17" i="135"/>
  <c r="AE17" i="135"/>
  <c r="AQ17" i="135"/>
  <c r="BC17" i="135"/>
  <c r="BK17" i="135"/>
  <c r="AF17" i="135"/>
  <c r="AV17" i="135"/>
  <c r="BH17" i="135"/>
  <c r="BP17" i="135"/>
  <c r="AI17" i="135"/>
  <c r="AU17" i="135"/>
  <c r="BG17" i="135"/>
  <c r="BS17" i="135"/>
  <c r="AW17" i="135"/>
  <c r="BE17" i="135"/>
  <c r="BM17" i="135"/>
  <c r="BU17" i="135"/>
  <c r="AG17" i="135"/>
  <c r="BA17" i="135"/>
  <c r="AJ17" i="135"/>
  <c r="AR17" i="135"/>
  <c r="BD17" i="135"/>
  <c r="BT17" i="135"/>
  <c r="AH17" i="135"/>
  <c r="AP17" i="135"/>
  <c r="BF17" i="135"/>
  <c r="BN17" i="135"/>
  <c r="AD17" i="134"/>
  <c r="AH17" i="134"/>
  <c r="AP17" i="134"/>
  <c r="AT17" i="134"/>
  <c r="BB17" i="134"/>
  <c r="BF17" i="134"/>
  <c r="BN17" i="134"/>
  <c r="BR17" i="134"/>
  <c r="BA17" i="134"/>
  <c r="BE17" i="134"/>
  <c r="BI17" i="134"/>
  <c r="BM17" i="134"/>
  <c r="BQ17" i="134"/>
  <c r="BU17" i="134"/>
  <c r="AC17" i="134"/>
  <c r="AM17" i="134"/>
  <c r="AS17" i="134"/>
  <c r="BC17" i="134"/>
  <c r="BS17" i="134"/>
  <c r="AE17" i="134"/>
  <c r="AU17" i="134"/>
  <c r="BK17" i="134"/>
  <c r="AA17" i="134"/>
  <c r="AK17" i="134"/>
  <c r="AW17" i="134"/>
  <c r="AF17" i="134"/>
  <c r="AJ17" i="134"/>
  <c r="AN17" i="134"/>
  <c r="AR17" i="134"/>
  <c r="AV17" i="134"/>
  <c r="AZ17" i="134"/>
  <c r="BD17" i="134"/>
  <c r="BH17" i="134"/>
  <c r="BL17" i="134"/>
  <c r="BP17" i="134"/>
  <c r="BT17" i="134"/>
  <c r="AB17" i="134"/>
  <c r="AG17" i="134"/>
  <c r="AQ17" i="134"/>
  <c r="BN17" i="133"/>
  <c r="Q24" i="133"/>
  <c r="O30" i="132"/>
  <c r="AP17" i="133"/>
  <c r="AC17" i="133"/>
  <c r="AO17" i="133"/>
  <c r="AS17" i="133"/>
  <c r="BE17" i="133"/>
  <c r="BI17" i="133"/>
  <c r="BU17" i="133"/>
  <c r="BR17" i="133"/>
  <c r="BF17" i="133"/>
  <c r="AD17" i="133"/>
  <c r="AI17" i="133"/>
  <c r="AT17" i="133"/>
  <c r="BB17" i="133"/>
  <c r="AQ17" i="133"/>
  <c r="AU17" i="133"/>
  <c r="AY17" i="133"/>
  <c r="BC17" i="133"/>
  <c r="BG17" i="133"/>
  <c r="BK17" i="133"/>
  <c r="BO17" i="133"/>
  <c r="BS17" i="133"/>
  <c r="AA17" i="133"/>
  <c r="AE17" i="133"/>
  <c r="AJ17" i="133"/>
  <c r="AR17" i="133"/>
  <c r="AZ17" i="133"/>
  <c r="BH17" i="133"/>
  <c r="BP17" i="133"/>
  <c r="AB17" i="133"/>
  <c r="AF17" i="133"/>
  <c r="AM17" i="133"/>
  <c r="Z20" i="132"/>
  <c r="Z19" i="132"/>
  <c r="AH17" i="132"/>
  <c r="BB17" i="132"/>
  <c r="BR17" i="132"/>
  <c r="AP20" i="132"/>
  <c r="AP19" i="132"/>
  <c r="AX20" i="132"/>
  <c r="AX19" i="132"/>
  <c r="BF20" i="132"/>
  <c r="BF19" i="132"/>
  <c r="BN20" i="132"/>
  <c r="BN19" i="132"/>
  <c r="BV20" i="132"/>
  <c r="BV19" i="132"/>
  <c r="F19" i="132"/>
  <c r="V19" i="132"/>
  <c r="BB19" i="132"/>
  <c r="AD20" i="132"/>
  <c r="AT20" i="132"/>
  <c r="K24" i="132"/>
  <c r="K21" i="132"/>
  <c r="K20" i="132"/>
  <c r="K19" i="132"/>
  <c r="S20" i="132"/>
  <c r="S19" i="132"/>
  <c r="AA20" i="132"/>
  <c r="AA19" i="132"/>
  <c r="AI20" i="132"/>
  <c r="AI19" i="132"/>
  <c r="AQ20" i="132"/>
  <c r="AQ19" i="132"/>
  <c r="BC20" i="132"/>
  <c r="BC19" i="132"/>
  <c r="BG20" i="132"/>
  <c r="BG19" i="132"/>
  <c r="BO20" i="132"/>
  <c r="BO19" i="132"/>
  <c r="E24" i="132"/>
  <c r="E21" i="132"/>
  <c r="E20" i="132"/>
  <c r="E19" i="132"/>
  <c r="I24" i="132"/>
  <c r="I21" i="132"/>
  <c r="I20" i="132"/>
  <c r="I19" i="132"/>
  <c r="M24" i="132"/>
  <c r="M21" i="132"/>
  <c r="M20" i="132"/>
  <c r="M19" i="132"/>
  <c r="Q20" i="132"/>
  <c r="Q19" i="132"/>
  <c r="U20" i="132"/>
  <c r="U19" i="132"/>
  <c r="Y20" i="132"/>
  <c r="Y19" i="132"/>
  <c r="AC17" i="132"/>
  <c r="AK17" i="132"/>
  <c r="AS17" i="132"/>
  <c r="BA17" i="132"/>
  <c r="BI17" i="132"/>
  <c r="BQ17" i="132"/>
  <c r="AC20" i="132"/>
  <c r="AC19" i="132"/>
  <c r="AG20" i="132"/>
  <c r="AG19" i="132"/>
  <c r="AK20" i="132"/>
  <c r="AK19" i="132"/>
  <c r="AO20" i="132"/>
  <c r="AO19" i="132"/>
  <c r="AS20" i="132"/>
  <c r="AS19" i="132"/>
  <c r="AW20" i="132"/>
  <c r="AW19" i="132"/>
  <c r="BA20" i="132"/>
  <c r="BA19" i="132"/>
  <c r="BE20" i="132"/>
  <c r="BE19" i="132"/>
  <c r="BI20" i="132"/>
  <c r="BI19" i="132"/>
  <c r="BM20" i="132"/>
  <c r="BM19" i="132"/>
  <c r="BQ20" i="132"/>
  <c r="BQ19" i="132"/>
  <c r="BU20" i="132"/>
  <c r="BU19" i="132"/>
  <c r="AE17" i="132"/>
  <c r="AM17" i="132"/>
  <c r="BC17" i="132"/>
  <c r="BS17" i="132"/>
  <c r="D19" i="132"/>
  <c r="T19" i="132"/>
  <c r="L20" i="132"/>
  <c r="D21" i="132"/>
  <c r="J24" i="132"/>
  <c r="J21" i="132"/>
  <c r="J20" i="132"/>
  <c r="J19" i="132"/>
  <c r="R20" i="132"/>
  <c r="R19" i="132"/>
  <c r="AD17" i="132"/>
  <c r="BN17" i="132"/>
  <c r="AH20" i="132"/>
  <c r="AH19" i="132"/>
  <c r="AL19" i="132"/>
  <c r="BR19" i="132"/>
  <c r="N20" i="132"/>
  <c r="BJ20" i="132"/>
  <c r="N24" i="132"/>
  <c r="G24" i="132"/>
  <c r="G21" i="132"/>
  <c r="O21" i="132" s="1"/>
  <c r="G20" i="132"/>
  <c r="G19" i="132"/>
  <c r="O20" i="132"/>
  <c r="O19" i="132"/>
  <c r="W20" i="132"/>
  <c r="W19" i="132"/>
  <c r="AE20" i="132"/>
  <c r="AE19" i="132"/>
  <c r="AM20" i="132"/>
  <c r="AM19" i="132"/>
  <c r="AU20" i="132"/>
  <c r="AU19" i="132"/>
  <c r="AY20" i="132"/>
  <c r="AY19" i="132"/>
  <c r="BK20" i="132"/>
  <c r="BK19" i="132"/>
  <c r="BS20" i="132"/>
  <c r="BS19" i="132"/>
  <c r="AI17" i="132"/>
  <c r="AQ17" i="132"/>
  <c r="AY17" i="132"/>
  <c r="BG17" i="132"/>
  <c r="BO17" i="132"/>
  <c r="H24" i="132"/>
  <c r="H21" i="132"/>
  <c r="H20" i="132"/>
  <c r="H19" i="132"/>
  <c r="P20" i="132"/>
  <c r="P19" i="132"/>
  <c r="X20" i="132"/>
  <c r="X19" i="132"/>
  <c r="AF20" i="132"/>
  <c r="AF19" i="132"/>
  <c r="AN20" i="132"/>
  <c r="AN19" i="132"/>
  <c r="AV20" i="132"/>
  <c r="AV19" i="132"/>
  <c r="BD20" i="132"/>
  <c r="BD19" i="132"/>
  <c r="BL20" i="132"/>
  <c r="BL19" i="132"/>
  <c r="BT20" i="132"/>
  <c r="BT19" i="132"/>
  <c r="AB17" i="132"/>
  <c r="AJ17" i="132"/>
  <c r="AR17" i="132"/>
  <c r="AZ17" i="132"/>
  <c r="BH17" i="132"/>
  <c r="BP17" i="132"/>
  <c r="N19" i="132"/>
  <c r="F20" i="132"/>
  <c r="V20" i="132"/>
  <c r="N21" i="132"/>
  <c r="F24" i="132"/>
  <c r="AC17" i="131"/>
  <c r="AD17" i="131"/>
  <c r="AT17" i="131"/>
  <c r="J7" i="61"/>
  <c r="G7" i="61"/>
  <c r="K7" i="61"/>
  <c r="AO17" i="131"/>
  <c r="BE17" i="131"/>
  <c r="BU17" i="131"/>
  <c r="BM17" i="131"/>
  <c r="F7" i="61"/>
  <c r="N7" i="61"/>
  <c r="H7" i="61"/>
  <c r="L7" i="61"/>
  <c r="I7" i="61"/>
  <c r="M7" i="61"/>
  <c r="BB17" i="131" l="1"/>
  <c r="BI17" i="131"/>
  <c r="BA17" i="131"/>
  <c r="AK17" i="131"/>
  <c r="AB7" i="136"/>
  <c r="AB7" i="131"/>
  <c r="AB24" i="131" s="1"/>
  <c r="AB7" i="132"/>
  <c r="AB7" i="134"/>
  <c r="AB7" i="135"/>
  <c r="AN12" i="132"/>
  <c r="AO12" i="132" s="1"/>
  <c r="AP12" i="132" s="1"/>
  <c r="AQ12" i="132" s="1"/>
  <c r="AR12" i="132" s="1"/>
  <c r="AS12" i="132" s="1"/>
  <c r="AT12" i="132" s="1"/>
  <c r="AU12" i="132" s="1"/>
  <c r="AV12" i="132" s="1"/>
  <c r="AW12" i="132" s="1"/>
  <c r="AX12" i="132" s="1"/>
  <c r="AY12" i="132" s="1"/>
  <c r="AL16" i="132"/>
  <c r="AL17" i="132" s="1"/>
  <c r="AL16" i="134"/>
  <c r="AL17" i="134" s="1"/>
  <c r="AX16" i="141"/>
  <c r="AX17" i="141" s="1"/>
  <c r="AN12" i="141"/>
  <c r="AB14" i="141"/>
  <c r="AC12" i="141"/>
  <c r="AB7" i="133"/>
  <c r="AZ12" i="132"/>
  <c r="BA12" i="132" s="1"/>
  <c r="BB12" i="132" s="1"/>
  <c r="BC12" i="132" s="1"/>
  <c r="BD12" i="132" s="1"/>
  <c r="BE12" i="132" s="1"/>
  <c r="BF12" i="132" s="1"/>
  <c r="BG12" i="132" s="1"/>
  <c r="BH12" i="132" s="1"/>
  <c r="BI12" i="132" s="1"/>
  <c r="BJ12" i="132" s="1"/>
  <c r="BK12" i="132" s="1"/>
  <c r="AL16" i="133"/>
  <c r="AL17" i="133" s="1"/>
  <c r="AL16" i="135"/>
  <c r="AL17" i="135" s="1"/>
  <c r="AL16" i="131"/>
  <c r="AL17" i="131" s="1"/>
  <c r="AL16" i="136"/>
  <c r="AL17" i="136" s="1"/>
  <c r="X17" i="132"/>
  <c r="AX16" i="133"/>
  <c r="AX17" i="133" s="1"/>
  <c r="AX16" i="136"/>
  <c r="AX17" i="136" s="1"/>
  <c r="AX16" i="135"/>
  <c r="AX17" i="135" s="1"/>
  <c r="AX16" i="134"/>
  <c r="AX17" i="134" s="1"/>
  <c r="AX16" i="132"/>
  <c r="AX17" i="132" s="1"/>
  <c r="AX16" i="131"/>
  <c r="AX17" i="131" s="1"/>
  <c r="AN12" i="133"/>
  <c r="AO12" i="133" s="1"/>
  <c r="AP12" i="133" s="1"/>
  <c r="AQ12" i="133" s="1"/>
  <c r="AR12" i="133" s="1"/>
  <c r="AS12" i="133" s="1"/>
  <c r="AT12" i="133" s="1"/>
  <c r="AU12" i="133" s="1"/>
  <c r="AV12" i="133" s="1"/>
  <c r="AW12" i="133" s="1"/>
  <c r="AX12" i="133" s="1"/>
  <c r="AY12" i="133" s="1"/>
  <c r="N17" i="134"/>
  <c r="Q14" i="129"/>
  <c r="AN12" i="131"/>
  <c r="AO12" i="131" s="1"/>
  <c r="AP12" i="131" s="1"/>
  <c r="AQ12" i="131" s="1"/>
  <c r="AR12" i="131" s="1"/>
  <c r="AS12" i="131" s="1"/>
  <c r="AT12" i="131" s="1"/>
  <c r="AU12" i="131" s="1"/>
  <c r="AV12" i="131" s="1"/>
  <c r="AW12" i="131" s="1"/>
  <c r="AX12" i="131" s="1"/>
  <c r="AY12" i="131" s="1"/>
  <c r="C24" i="131"/>
  <c r="H17" i="134"/>
  <c r="W17" i="134"/>
  <c r="P37" i="132"/>
  <c r="Q37" i="132"/>
  <c r="R30" i="131"/>
  <c r="R37" i="131"/>
  <c r="P35" i="132"/>
  <c r="R37" i="132"/>
  <c r="S37" i="132" s="1"/>
  <c r="T37" i="132" s="1"/>
  <c r="U37" i="132" s="1"/>
  <c r="O38" i="133"/>
  <c r="P38" i="133" s="1"/>
  <c r="O35" i="133"/>
  <c r="O7" i="61"/>
  <c r="O24" i="131"/>
  <c r="Q8" i="61"/>
  <c r="O50" i="132"/>
  <c r="O51" i="132"/>
  <c r="P45" i="132"/>
  <c r="P51" i="132"/>
  <c r="O30" i="133"/>
  <c r="P30" i="133" s="1"/>
  <c r="O36" i="133"/>
  <c r="Q36" i="133" s="1"/>
  <c r="R36" i="133" s="1"/>
  <c r="S36" i="133" s="1"/>
  <c r="P35" i="133"/>
  <c r="Q35" i="133" s="1"/>
  <c r="O44" i="132"/>
  <c r="P44" i="132" s="1"/>
  <c r="P47" i="132"/>
  <c r="O52" i="132"/>
  <c r="P52" i="132"/>
  <c r="P38" i="131"/>
  <c r="O33" i="131"/>
  <c r="P33" i="131" s="1"/>
  <c r="O23" i="135"/>
  <c r="P23" i="135" s="1"/>
  <c r="P33" i="134"/>
  <c r="P30" i="134"/>
  <c r="O33" i="132"/>
  <c r="O33" i="133"/>
  <c r="R33" i="133" s="1"/>
  <c r="O21" i="131"/>
  <c r="P21" i="132"/>
  <c r="O38" i="136"/>
  <c r="P38" i="136" s="1"/>
  <c r="P37" i="133"/>
  <c r="R37" i="133" s="1"/>
  <c r="S37" i="133" s="1"/>
  <c r="P33" i="133"/>
  <c r="P43" i="132"/>
  <c r="Q43" i="132" s="1"/>
  <c r="O32" i="131"/>
  <c r="P32" i="131" s="1"/>
  <c r="O21" i="136"/>
  <c r="Q39" i="136"/>
  <c r="O39" i="136"/>
  <c r="P39" i="136"/>
  <c r="O53" i="132"/>
  <c r="P9" i="61"/>
  <c r="P24" i="133"/>
  <c r="S30" i="131"/>
  <c r="T30" i="131" s="1"/>
  <c r="O22" i="133"/>
  <c r="R22" i="133" s="1"/>
  <c r="P33" i="132"/>
  <c r="Q33" i="132" s="1"/>
  <c r="S48" i="132"/>
  <c r="T48" i="132" s="1"/>
  <c r="Q37" i="133"/>
  <c r="O46" i="132"/>
  <c r="P46" i="132" s="1"/>
  <c r="O34" i="132"/>
  <c r="P34" i="132" s="1"/>
  <c r="Q34" i="132" s="1"/>
  <c r="Q33" i="133"/>
  <c r="O24" i="133"/>
  <c r="P36" i="133"/>
  <c r="O21" i="133"/>
  <c r="P21" i="133" s="1"/>
  <c r="Q47" i="132"/>
  <c r="R47" i="132" s="1"/>
  <c r="P32" i="132"/>
  <c r="Q32" i="132" s="1"/>
  <c r="O39" i="133"/>
  <c r="O32" i="133"/>
  <c r="P32" i="133" s="1"/>
  <c r="O31" i="132"/>
  <c r="P31" i="132" s="1"/>
  <c r="Q31" i="132" s="1"/>
  <c r="O39" i="132"/>
  <c r="O36" i="131"/>
  <c r="O34" i="136"/>
  <c r="O22" i="136"/>
  <c r="P21" i="136"/>
  <c r="Q21" i="136"/>
  <c r="P32" i="135"/>
  <c r="O37" i="135"/>
  <c r="P37" i="135"/>
  <c r="P39" i="134"/>
  <c r="O32" i="134"/>
  <c r="O23" i="134"/>
  <c r="P33" i="135"/>
  <c r="Q33" i="135" s="1"/>
  <c r="O23" i="132"/>
  <c r="P23" i="134"/>
  <c r="O39" i="131"/>
  <c r="O23" i="131"/>
  <c r="P23" i="131" s="1"/>
  <c r="Q24" i="136"/>
  <c r="Q37" i="135"/>
  <c r="O36" i="132"/>
  <c r="O34" i="133"/>
  <c r="O31" i="133"/>
  <c r="P22" i="133"/>
  <c r="Q22" i="133" s="1"/>
  <c r="O22" i="132"/>
  <c r="P22" i="132" s="1"/>
  <c r="Q22" i="132" s="1"/>
  <c r="O35" i="131"/>
  <c r="O34" i="131"/>
  <c r="O22" i="131"/>
  <c r="P31" i="134"/>
  <c r="O39" i="135"/>
  <c r="Q33" i="134"/>
  <c r="R33" i="134" s="1"/>
  <c r="Q37" i="134"/>
  <c r="O31" i="134"/>
  <c r="O23" i="136"/>
  <c r="P23" i="136" s="1"/>
  <c r="S24" i="135"/>
  <c r="Q24" i="135"/>
  <c r="Q24" i="134"/>
  <c r="O21" i="134"/>
  <c r="R37" i="135"/>
  <c r="O21" i="135"/>
  <c r="Q21" i="135" s="1"/>
  <c r="P21" i="135"/>
  <c r="O36" i="135"/>
  <c r="O22" i="134"/>
  <c r="P22" i="134" s="1"/>
  <c r="O34" i="134"/>
  <c r="O35" i="134"/>
  <c r="O38" i="134"/>
  <c r="O25" i="134"/>
  <c r="O25" i="131"/>
  <c r="O37" i="136"/>
  <c r="O32" i="136"/>
  <c r="Q32" i="136" s="1"/>
  <c r="Q39" i="134"/>
  <c r="R39" i="134" s="1"/>
  <c r="P24" i="134"/>
  <c r="P36" i="135"/>
  <c r="O30" i="135"/>
  <c r="P30" i="135" s="1"/>
  <c r="O38" i="135"/>
  <c r="P32" i="136"/>
  <c r="O25" i="136"/>
  <c r="O36" i="136"/>
  <c r="R24" i="135"/>
  <c r="Q30" i="134"/>
  <c r="O31" i="131"/>
  <c r="P31" i="131" s="1"/>
  <c r="O33" i="136"/>
  <c r="O30" i="136"/>
  <c r="O31" i="136"/>
  <c r="P31" i="136" s="1"/>
  <c r="O31" i="135"/>
  <c r="O23" i="133"/>
  <c r="Q38" i="131"/>
  <c r="P34" i="136"/>
  <c r="Q34" i="136" s="1"/>
  <c r="O34" i="135"/>
  <c r="Q36" i="134"/>
  <c r="P25" i="132"/>
  <c r="O35" i="136"/>
  <c r="O35" i="135"/>
  <c r="O22" i="135"/>
  <c r="P22" i="135" s="1"/>
  <c r="O25" i="135"/>
  <c r="Q23" i="134"/>
  <c r="O25" i="133"/>
  <c r="D17" i="135"/>
  <c r="R57" i="129"/>
  <c r="W17" i="135"/>
  <c r="AB14" i="134"/>
  <c r="F17" i="134"/>
  <c r="Q17" i="135"/>
  <c r="L17" i="135"/>
  <c r="C17" i="134"/>
  <c r="M17" i="134"/>
  <c r="E17" i="134"/>
  <c r="Z17" i="136"/>
  <c r="T17" i="134"/>
  <c r="P17" i="132"/>
  <c r="Y17" i="136"/>
  <c r="H17" i="135"/>
  <c r="T17" i="135"/>
  <c r="I17" i="134"/>
  <c r="R17" i="133"/>
  <c r="C17" i="131"/>
  <c r="Y17" i="135"/>
  <c r="AC14" i="135"/>
  <c r="K17" i="131"/>
  <c r="AC14" i="136"/>
  <c r="AB14" i="136"/>
  <c r="AB14" i="132"/>
  <c r="AN14" i="135"/>
  <c r="N17" i="136"/>
  <c r="AA14" i="134"/>
  <c r="C17" i="136"/>
  <c r="N17" i="135"/>
  <c r="H17" i="131"/>
  <c r="P17" i="131"/>
  <c r="AB14" i="133"/>
  <c r="Z14" i="134"/>
  <c r="O9" i="61"/>
  <c r="AB14" i="135"/>
  <c r="V17" i="136"/>
  <c r="P17" i="134"/>
  <c r="D17" i="136"/>
  <c r="Z17" i="134"/>
  <c r="F17" i="135"/>
  <c r="Y17" i="134"/>
  <c r="E17" i="135"/>
  <c r="L17" i="134"/>
  <c r="S17" i="134"/>
  <c r="G17" i="132"/>
  <c r="Z14" i="131"/>
  <c r="O8" i="61"/>
  <c r="S17" i="133"/>
  <c r="N14" i="61"/>
  <c r="W17" i="132"/>
  <c r="K17" i="132"/>
  <c r="L17" i="132"/>
  <c r="X17" i="133"/>
  <c r="D17" i="133"/>
  <c r="D17" i="131"/>
  <c r="J17" i="131"/>
  <c r="F17" i="131"/>
  <c r="V17" i="133"/>
  <c r="Y17" i="133"/>
  <c r="H17" i="133"/>
  <c r="T17" i="133"/>
  <c r="I17" i="131"/>
  <c r="E17" i="131"/>
  <c r="R13" i="129"/>
  <c r="BL12" i="135" s="1"/>
  <c r="AZ12" i="135"/>
  <c r="Z17" i="133"/>
  <c r="Y14" i="133"/>
  <c r="V17" i="132"/>
  <c r="U17" i="131"/>
  <c r="Q17" i="131"/>
  <c r="Z17" i="131"/>
  <c r="N17" i="131"/>
  <c r="AN12" i="136"/>
  <c r="AO12" i="136" s="1"/>
  <c r="C17" i="133"/>
  <c r="Q17" i="129"/>
  <c r="AN12" i="134"/>
  <c r="AO12" i="134" s="1"/>
  <c r="AP12" i="134" s="1"/>
  <c r="AQ12" i="134" s="1"/>
  <c r="AR12" i="134" s="1"/>
  <c r="AS12" i="134" s="1"/>
  <c r="AT12" i="134" s="1"/>
  <c r="AU12" i="134" s="1"/>
  <c r="AV12" i="134" s="1"/>
  <c r="AW12" i="134" s="1"/>
  <c r="AX12" i="134" s="1"/>
  <c r="AY12" i="134" s="1"/>
  <c r="P17" i="133"/>
  <c r="E17" i="133"/>
  <c r="F17" i="133"/>
  <c r="O17" i="132"/>
  <c r="Y14" i="132"/>
  <c r="I17" i="133"/>
  <c r="O17" i="131"/>
  <c r="I54" i="132"/>
  <c r="L17" i="133"/>
  <c r="M54" i="132"/>
  <c r="E54" i="132"/>
  <c r="J54" i="132"/>
  <c r="F54" i="132"/>
  <c r="C54" i="132"/>
  <c r="D54" i="132"/>
  <c r="G54" i="132"/>
  <c r="N54" i="132"/>
  <c r="L54" i="132"/>
  <c r="C14" i="61"/>
  <c r="L14" i="61"/>
  <c r="J14" i="61"/>
  <c r="H14" i="61"/>
  <c r="M14" i="61"/>
  <c r="G14" i="61"/>
  <c r="I14" i="61"/>
  <c r="K14" i="61"/>
  <c r="O11" i="61"/>
  <c r="Q17" i="134"/>
  <c r="J17" i="135"/>
  <c r="P17" i="135"/>
  <c r="P10" i="61"/>
  <c r="K17" i="136"/>
  <c r="O10" i="61"/>
  <c r="R12" i="61"/>
  <c r="Z17" i="135"/>
  <c r="C17" i="135"/>
  <c r="Q12" i="61"/>
  <c r="K17" i="135"/>
  <c r="K54" i="132"/>
  <c r="H17" i="132"/>
  <c r="H54" i="132"/>
  <c r="P11" i="61"/>
  <c r="F14" i="61"/>
  <c r="P12" i="61"/>
  <c r="G17" i="135"/>
  <c r="Q10" i="61"/>
  <c r="S17" i="136"/>
  <c r="J17" i="136"/>
  <c r="M17" i="131"/>
  <c r="AN17" i="136"/>
  <c r="AF17" i="136"/>
  <c r="P17" i="136"/>
  <c r="BS17" i="136"/>
  <c r="BO17" i="136"/>
  <c r="BK17" i="136"/>
  <c r="BG17" i="136"/>
  <c r="BC17" i="136"/>
  <c r="AY17" i="136"/>
  <c r="AU17" i="136"/>
  <c r="AQ17" i="136"/>
  <c r="AM17" i="136"/>
  <c r="AI17" i="136"/>
  <c r="AE17" i="136"/>
  <c r="AA17" i="136"/>
  <c r="W17" i="136"/>
  <c r="G17" i="136"/>
  <c r="BN17" i="136"/>
  <c r="R17" i="136"/>
  <c r="F17" i="136"/>
  <c r="T17" i="136"/>
  <c r="Q17" i="136"/>
  <c r="M17" i="136"/>
  <c r="X17" i="136"/>
  <c r="H17" i="136"/>
  <c r="AA14" i="136"/>
  <c r="O17" i="136"/>
  <c r="BB17" i="136"/>
  <c r="BU17" i="136"/>
  <c r="BQ17" i="136"/>
  <c r="BM17" i="136"/>
  <c r="BI17" i="136"/>
  <c r="BE17" i="136"/>
  <c r="BA17" i="136"/>
  <c r="AW17" i="136"/>
  <c r="AS17" i="136"/>
  <c r="AO17" i="136"/>
  <c r="AK17" i="136"/>
  <c r="AG17" i="136"/>
  <c r="AC17" i="136"/>
  <c r="Y14" i="136"/>
  <c r="U17" i="136"/>
  <c r="I17" i="136"/>
  <c r="E17" i="136"/>
  <c r="L17" i="136"/>
  <c r="AJ17" i="136"/>
  <c r="AB17" i="136"/>
  <c r="BF17" i="136"/>
  <c r="Z14" i="136"/>
  <c r="V17" i="135"/>
  <c r="AP14" i="135"/>
  <c r="Z14" i="135"/>
  <c r="BR17" i="135"/>
  <c r="BB17" i="135"/>
  <c r="AT17" i="135"/>
  <c r="AD17" i="135"/>
  <c r="S12" i="61"/>
  <c r="AY17" i="135"/>
  <c r="AA17" i="135"/>
  <c r="M17" i="135"/>
  <c r="AZ17" i="135"/>
  <c r="AB17" i="135"/>
  <c r="AA14" i="135"/>
  <c r="R17" i="135"/>
  <c r="BO17" i="135"/>
  <c r="AM17" i="135"/>
  <c r="O17" i="135"/>
  <c r="I17" i="135"/>
  <c r="BL17" i="135"/>
  <c r="AN17" i="135"/>
  <c r="X17" i="135"/>
  <c r="S17" i="135"/>
  <c r="AD14" i="135"/>
  <c r="AO14" i="135"/>
  <c r="Y14" i="135"/>
  <c r="U17" i="135"/>
  <c r="G17" i="134"/>
  <c r="J17" i="134"/>
  <c r="O17" i="134"/>
  <c r="Y14" i="134"/>
  <c r="Q11" i="61"/>
  <c r="V17" i="134"/>
  <c r="X17" i="134"/>
  <c r="D17" i="134"/>
  <c r="K17" i="134"/>
  <c r="U17" i="134"/>
  <c r="R17" i="134"/>
  <c r="S22" i="132"/>
  <c r="R22" i="132"/>
  <c r="R24" i="133"/>
  <c r="Q9" i="61"/>
  <c r="P30" i="132"/>
  <c r="Q38" i="132"/>
  <c r="Q35" i="132"/>
  <c r="W17" i="133"/>
  <c r="G17" i="133"/>
  <c r="N17" i="133"/>
  <c r="Z14" i="133"/>
  <c r="BQ17" i="133"/>
  <c r="BA17" i="133"/>
  <c r="AK17" i="133"/>
  <c r="AC14" i="133"/>
  <c r="O17" i="133"/>
  <c r="Q17" i="133"/>
  <c r="J17" i="133"/>
  <c r="BT17" i="133"/>
  <c r="BL17" i="133"/>
  <c r="BD17" i="133"/>
  <c r="AV17" i="133"/>
  <c r="AN17" i="133"/>
  <c r="K17" i="133"/>
  <c r="AA14" i="133"/>
  <c r="BM17" i="133"/>
  <c r="AW17" i="133"/>
  <c r="AG17" i="133"/>
  <c r="U17" i="133"/>
  <c r="M17" i="133"/>
  <c r="D17" i="132"/>
  <c r="S17" i="132"/>
  <c r="O24" i="132"/>
  <c r="Z14" i="132"/>
  <c r="AP17" i="132"/>
  <c r="J17" i="132"/>
  <c r="AU17" i="132"/>
  <c r="BU17" i="132"/>
  <c r="BE17" i="132"/>
  <c r="AO17" i="132"/>
  <c r="Y17" i="132"/>
  <c r="Q17" i="132"/>
  <c r="I17" i="132"/>
  <c r="AT17" i="132"/>
  <c r="N17" i="132"/>
  <c r="AA14" i="132"/>
  <c r="Q21" i="132"/>
  <c r="R21" i="132" s="1"/>
  <c r="T17" i="132"/>
  <c r="C17" i="132"/>
  <c r="F17" i="132"/>
  <c r="BF17" i="132"/>
  <c r="R17" i="132"/>
  <c r="BK17" i="132"/>
  <c r="BM17" i="132"/>
  <c r="AW17" i="132"/>
  <c r="AG17" i="132"/>
  <c r="U17" i="132"/>
  <c r="M17" i="132"/>
  <c r="E17" i="132"/>
  <c r="Z17" i="132"/>
  <c r="Y14" i="131"/>
  <c r="AA14" i="131"/>
  <c r="S37" i="131"/>
  <c r="T37" i="131"/>
  <c r="U37" i="131"/>
  <c r="AB14" i="131"/>
  <c r="X17" i="131"/>
  <c r="L17" i="131"/>
  <c r="R17" i="131"/>
  <c r="S17" i="131"/>
  <c r="BT17" i="131"/>
  <c r="BP17" i="131"/>
  <c r="BL17" i="131"/>
  <c r="BH17" i="131"/>
  <c r="BD17" i="131"/>
  <c r="AZ17" i="131"/>
  <c r="AV17" i="131"/>
  <c r="AR17" i="131"/>
  <c r="AN17" i="131"/>
  <c r="AJ17" i="131"/>
  <c r="AF17" i="131"/>
  <c r="AB17" i="131"/>
  <c r="T17" i="131"/>
  <c r="BR17" i="131"/>
  <c r="BF17" i="131"/>
  <c r="AP17" i="131"/>
  <c r="AH17" i="131"/>
  <c r="V17" i="131"/>
  <c r="Y17" i="131"/>
  <c r="BS17" i="131"/>
  <c r="BO17" i="131"/>
  <c r="BK17" i="131"/>
  <c r="BG17" i="131"/>
  <c r="BC17" i="131"/>
  <c r="AY17" i="131"/>
  <c r="AU17" i="131"/>
  <c r="AQ17" i="131"/>
  <c r="AM17" i="131"/>
  <c r="AI17" i="131"/>
  <c r="AE17" i="131"/>
  <c r="AA17" i="131"/>
  <c r="W17" i="131"/>
  <c r="G17" i="131"/>
  <c r="P21" i="131" l="1"/>
  <c r="AN14" i="132"/>
  <c r="AO14" i="132"/>
  <c r="P39" i="132"/>
  <c r="Q39" i="132" s="1"/>
  <c r="AC7" i="134"/>
  <c r="AC7" i="131"/>
  <c r="AC24" i="131" s="1"/>
  <c r="AC7" i="135"/>
  <c r="AC7" i="132"/>
  <c r="AC7" i="136"/>
  <c r="AZ14" i="132"/>
  <c r="AD12" i="141"/>
  <c r="AC14" i="141"/>
  <c r="AZ12" i="141"/>
  <c r="BJ16" i="141"/>
  <c r="BJ17" i="141" s="1"/>
  <c r="AN14" i="141"/>
  <c r="AO12" i="141"/>
  <c r="AC7" i="133"/>
  <c r="BJ16" i="136"/>
  <c r="BJ17" i="136" s="1"/>
  <c r="BJ16" i="135"/>
  <c r="BJ17" i="135" s="1"/>
  <c r="BJ16" i="134"/>
  <c r="BJ17" i="134" s="1"/>
  <c r="BJ16" i="132"/>
  <c r="BJ17" i="132" s="1"/>
  <c r="BJ16" i="131"/>
  <c r="BJ17" i="131" s="1"/>
  <c r="AN14" i="133"/>
  <c r="AZ12" i="133"/>
  <c r="AO14" i="131"/>
  <c r="AN14" i="131"/>
  <c r="BJ16" i="133"/>
  <c r="BJ17" i="133" s="1"/>
  <c r="R14" i="129"/>
  <c r="BL12" i="131" s="1"/>
  <c r="BM12" i="131" s="1"/>
  <c r="BN12" i="131" s="1"/>
  <c r="BO12" i="131" s="1"/>
  <c r="BP12" i="131" s="1"/>
  <c r="BQ12" i="131" s="1"/>
  <c r="BR12" i="131" s="1"/>
  <c r="BS12" i="131" s="1"/>
  <c r="BT12" i="131" s="1"/>
  <c r="BU12" i="131" s="1"/>
  <c r="BV12" i="131" s="1"/>
  <c r="AZ12" i="131"/>
  <c r="BA12" i="131" s="1"/>
  <c r="BB12" i="131" s="1"/>
  <c r="BC12" i="131" s="1"/>
  <c r="BD12" i="131" s="1"/>
  <c r="BE12" i="131" s="1"/>
  <c r="BF12" i="131" s="1"/>
  <c r="BG12" i="131" s="1"/>
  <c r="BH12" i="131" s="1"/>
  <c r="BI12" i="131" s="1"/>
  <c r="BJ12" i="131" s="1"/>
  <c r="BK12" i="131" s="1"/>
  <c r="D7" i="61"/>
  <c r="D14" i="61" s="1"/>
  <c r="D24" i="131"/>
  <c r="Q21" i="131"/>
  <c r="T21" i="131" s="1"/>
  <c r="Q21" i="133"/>
  <c r="S22" i="133"/>
  <c r="T22" i="133"/>
  <c r="S33" i="133"/>
  <c r="T33" i="133" s="1"/>
  <c r="S39" i="134"/>
  <c r="Q22" i="134"/>
  <c r="Q23" i="131"/>
  <c r="S32" i="132"/>
  <c r="T32" i="132"/>
  <c r="R32" i="132"/>
  <c r="V30" i="131"/>
  <c r="U30" i="131"/>
  <c r="Q38" i="136"/>
  <c r="R33" i="131"/>
  <c r="Q33" i="131"/>
  <c r="S47" i="132"/>
  <c r="U47" i="132" s="1"/>
  <c r="V47" i="132" s="1"/>
  <c r="P37" i="136"/>
  <c r="S37" i="135"/>
  <c r="R24" i="134"/>
  <c r="R37" i="134"/>
  <c r="R30" i="134"/>
  <c r="S33" i="134"/>
  <c r="U33" i="134" s="1"/>
  <c r="R24" i="136"/>
  <c r="P35" i="134"/>
  <c r="P23" i="132"/>
  <c r="Q30" i="135"/>
  <c r="S30" i="135" s="1"/>
  <c r="R33" i="135"/>
  <c r="S33" i="135" s="1"/>
  <c r="P32" i="134"/>
  <c r="P33" i="136"/>
  <c r="P38" i="134"/>
  <c r="P36" i="131"/>
  <c r="R23" i="131"/>
  <c r="T33" i="134"/>
  <c r="P35" i="131"/>
  <c r="R39" i="136"/>
  <c r="P34" i="133"/>
  <c r="P35" i="135"/>
  <c r="Q23" i="135"/>
  <c r="R38" i="131"/>
  <c r="P50" i="132"/>
  <c r="Q50" i="132" s="1"/>
  <c r="R43" i="132"/>
  <c r="Q38" i="133"/>
  <c r="R38" i="133" s="1"/>
  <c r="T47" i="132"/>
  <c r="R21" i="133"/>
  <c r="Q32" i="133"/>
  <c r="R23" i="134"/>
  <c r="P35" i="136"/>
  <c r="R35" i="136" s="1"/>
  <c r="P23" i="133"/>
  <c r="Q23" i="133" s="1"/>
  <c r="P30" i="136"/>
  <c r="S30" i="134"/>
  <c r="Q31" i="136"/>
  <c r="S31" i="136" s="1"/>
  <c r="U24" i="135"/>
  <c r="R30" i="135"/>
  <c r="P34" i="134"/>
  <c r="P39" i="131"/>
  <c r="R32" i="136"/>
  <c r="P22" i="131"/>
  <c r="P39" i="133"/>
  <c r="Q35" i="135"/>
  <c r="Q36" i="135"/>
  <c r="Q44" i="132"/>
  <c r="R38" i="136"/>
  <c r="S33" i="131"/>
  <c r="T33" i="131" s="1"/>
  <c r="U33" i="131" s="1"/>
  <c r="U48" i="132"/>
  <c r="P25" i="133"/>
  <c r="Q31" i="131"/>
  <c r="R31" i="131" s="1"/>
  <c r="P38" i="135"/>
  <c r="P31" i="135"/>
  <c r="T37" i="135"/>
  <c r="P34" i="135"/>
  <c r="R23" i="136"/>
  <c r="Q23" i="136"/>
  <c r="R36" i="134"/>
  <c r="P39" i="135"/>
  <c r="R31" i="136"/>
  <c r="Q25" i="133"/>
  <c r="Q39" i="135"/>
  <c r="P21" i="134"/>
  <c r="Q32" i="135"/>
  <c r="Q22" i="135"/>
  <c r="P36" i="136"/>
  <c r="P22" i="136"/>
  <c r="R34" i="136"/>
  <c r="S34" i="136" s="1"/>
  <c r="Q39" i="131"/>
  <c r="Q35" i="136"/>
  <c r="T30" i="134"/>
  <c r="Q25" i="135"/>
  <c r="Q45" i="132"/>
  <c r="R45" i="132" s="1"/>
  <c r="Q46" i="132"/>
  <c r="P7" i="61"/>
  <c r="P14" i="61" s="1"/>
  <c r="P24" i="131"/>
  <c r="R35" i="133"/>
  <c r="S35" i="133" s="1"/>
  <c r="S38" i="131"/>
  <c r="P36" i="132"/>
  <c r="Q30" i="133"/>
  <c r="R30" i="133" s="1"/>
  <c r="Q51" i="132"/>
  <c r="R35" i="135"/>
  <c r="Q25" i="132"/>
  <c r="P25" i="131"/>
  <c r="S36" i="134"/>
  <c r="U36" i="134" s="1"/>
  <c r="R21" i="135"/>
  <c r="Q37" i="136"/>
  <c r="R37" i="136" s="1"/>
  <c r="T23" i="131"/>
  <c r="S23" i="131"/>
  <c r="P25" i="134"/>
  <c r="R39" i="135"/>
  <c r="T36" i="134"/>
  <c r="P25" i="135"/>
  <c r="P25" i="136"/>
  <c r="Q31" i="134"/>
  <c r="P31" i="133"/>
  <c r="Q31" i="133" s="1"/>
  <c r="R39" i="131"/>
  <c r="P34" i="131"/>
  <c r="R21" i="136"/>
  <c r="Q32" i="131"/>
  <c r="R32" i="131" s="1"/>
  <c r="S32" i="131" s="1"/>
  <c r="R21" i="131"/>
  <c r="R33" i="132"/>
  <c r="S33" i="132" s="1"/>
  <c r="Q52" i="132"/>
  <c r="R52" i="132" s="1"/>
  <c r="T43" i="132"/>
  <c r="U43" i="132" s="1"/>
  <c r="Q39" i="133"/>
  <c r="S43" i="132"/>
  <c r="BL12" i="132"/>
  <c r="AN14" i="136"/>
  <c r="AN14" i="134"/>
  <c r="AP12" i="136"/>
  <c r="AQ12" i="136" s="1"/>
  <c r="AR12" i="136" s="1"/>
  <c r="AS12" i="136" s="1"/>
  <c r="AT12" i="136" s="1"/>
  <c r="AU12" i="136" s="1"/>
  <c r="AV12" i="136" s="1"/>
  <c r="AW12" i="136" s="1"/>
  <c r="AX12" i="136" s="1"/>
  <c r="AY12" i="136" s="1"/>
  <c r="AO14" i="136"/>
  <c r="R17" i="129"/>
  <c r="BL12" i="134" s="1"/>
  <c r="AZ12" i="134"/>
  <c r="AZ12" i="136"/>
  <c r="BA12" i="135"/>
  <c r="BB12" i="135" s="1"/>
  <c r="BC12" i="135" s="1"/>
  <c r="BD12" i="135" s="1"/>
  <c r="BE12" i="135" s="1"/>
  <c r="BF12" i="135" s="1"/>
  <c r="BG12" i="135" s="1"/>
  <c r="BH12" i="135" s="1"/>
  <c r="BI12" i="135" s="1"/>
  <c r="BJ12" i="135" s="1"/>
  <c r="BK12" i="135" s="1"/>
  <c r="AZ14" i="135"/>
  <c r="BM12" i="135"/>
  <c r="BL14" i="135"/>
  <c r="O14" i="61"/>
  <c r="R10" i="61"/>
  <c r="AD14" i="136"/>
  <c r="T12" i="61"/>
  <c r="AE14" i="135"/>
  <c r="AQ14" i="135"/>
  <c r="R11" i="61"/>
  <c r="AC14" i="134"/>
  <c r="AO14" i="134"/>
  <c r="T36" i="133"/>
  <c r="S38" i="133"/>
  <c r="U36" i="133"/>
  <c r="T37" i="133"/>
  <c r="U37" i="133" s="1"/>
  <c r="V37" i="133" s="1"/>
  <c r="T22" i="132"/>
  <c r="W22" i="132" s="1"/>
  <c r="X22" i="132" s="1"/>
  <c r="U22" i="132"/>
  <c r="V22" i="132" s="1"/>
  <c r="U22" i="133"/>
  <c r="V22" i="133" s="1"/>
  <c r="R9" i="61"/>
  <c r="S24" i="133"/>
  <c r="R8" i="61"/>
  <c r="R38" i="132"/>
  <c r="V37" i="132"/>
  <c r="R34" i="132"/>
  <c r="Q30" i="132"/>
  <c r="R35" i="132"/>
  <c r="R31" i="132"/>
  <c r="U32" i="132"/>
  <c r="R39" i="132"/>
  <c r="AD14" i="133"/>
  <c r="AO14" i="133"/>
  <c r="S21" i="132"/>
  <c r="AP14" i="132"/>
  <c r="BA14" i="132"/>
  <c r="P24" i="132"/>
  <c r="AC14" i="132"/>
  <c r="V37" i="131"/>
  <c r="W37" i="131" s="1"/>
  <c r="W30" i="131"/>
  <c r="AC14" i="131"/>
  <c r="AP14" i="131"/>
  <c r="S21" i="131" l="1"/>
  <c r="BL12" i="133"/>
  <c r="BM12" i="133" s="1"/>
  <c r="AD7" i="135"/>
  <c r="AD7" i="131"/>
  <c r="AD24" i="131" s="1"/>
  <c r="AD7" i="136"/>
  <c r="AD7" i="132"/>
  <c r="AD7" i="134"/>
  <c r="AO14" i="141"/>
  <c r="AP12" i="141"/>
  <c r="AZ14" i="141"/>
  <c r="AZ26" i="141" s="1"/>
  <c r="BA12" i="141"/>
  <c r="BL12" i="141"/>
  <c r="BV16" i="141"/>
  <c r="BV17" i="141" s="1"/>
  <c r="AD14" i="141"/>
  <c r="AE12" i="141"/>
  <c r="S30" i="133"/>
  <c r="AD7" i="133"/>
  <c r="AZ14" i="131"/>
  <c r="BV16" i="133"/>
  <c r="BV17" i="133" s="1"/>
  <c r="BV16" i="136"/>
  <c r="BV17" i="136" s="1"/>
  <c r="BV16" i="135"/>
  <c r="BV17" i="135" s="1"/>
  <c r="BV16" i="134"/>
  <c r="BV17" i="134" s="1"/>
  <c r="BV16" i="132"/>
  <c r="BV17" i="132" s="1"/>
  <c r="BV16" i="131"/>
  <c r="BV17" i="131" s="1"/>
  <c r="BA12" i="133"/>
  <c r="AZ14" i="133"/>
  <c r="BA14" i="131"/>
  <c r="E7" i="61"/>
  <c r="E14" i="61" s="1"/>
  <c r="E24" i="131"/>
  <c r="T30" i="135"/>
  <c r="V30" i="135"/>
  <c r="U33" i="133"/>
  <c r="V33" i="133"/>
  <c r="U31" i="136"/>
  <c r="R23" i="133"/>
  <c r="S23" i="133"/>
  <c r="T23" i="133" s="1"/>
  <c r="V33" i="134"/>
  <c r="T33" i="132"/>
  <c r="V33" i="132" s="1"/>
  <c r="W33" i="132" s="1"/>
  <c r="U33" i="132"/>
  <c r="U35" i="135"/>
  <c r="R50" i="132"/>
  <c r="T50" i="132" s="1"/>
  <c r="U50" i="132" s="1"/>
  <c r="W30" i="134"/>
  <c r="U21" i="131"/>
  <c r="U30" i="135"/>
  <c r="T33" i="135"/>
  <c r="U33" i="135" s="1"/>
  <c r="S36" i="136"/>
  <c r="R32" i="135"/>
  <c r="S32" i="135"/>
  <c r="S35" i="135"/>
  <c r="S35" i="136"/>
  <c r="U35" i="136" s="1"/>
  <c r="R39" i="133"/>
  <c r="Q36" i="136"/>
  <c r="R22" i="135"/>
  <c r="T31" i="136"/>
  <c r="T38" i="131"/>
  <c r="S39" i="136"/>
  <c r="S24" i="136"/>
  <c r="S10" i="61"/>
  <c r="S37" i="134"/>
  <c r="S24" i="134"/>
  <c r="U23" i="131"/>
  <c r="S25" i="135"/>
  <c r="S23" i="134"/>
  <c r="T35" i="135"/>
  <c r="S31" i="131"/>
  <c r="T31" i="131" s="1"/>
  <c r="T23" i="134"/>
  <c r="R36" i="136"/>
  <c r="T39" i="134"/>
  <c r="S21" i="136"/>
  <c r="R31" i="134"/>
  <c r="Q25" i="131"/>
  <c r="V36" i="134"/>
  <c r="T35" i="133"/>
  <c r="W35" i="133" s="1"/>
  <c r="S45" i="132"/>
  <c r="U45" i="132" s="1"/>
  <c r="T45" i="132"/>
  <c r="Q25" i="136"/>
  <c r="Q21" i="134"/>
  <c r="S39" i="135"/>
  <c r="Q22" i="131"/>
  <c r="Q34" i="135"/>
  <c r="V24" i="135"/>
  <c r="R25" i="136"/>
  <c r="R32" i="133"/>
  <c r="S32" i="133"/>
  <c r="S38" i="136"/>
  <c r="Q38" i="134"/>
  <c r="Q32" i="134"/>
  <c r="Q35" i="134"/>
  <c r="T34" i="136"/>
  <c r="U34" i="136" s="1"/>
  <c r="S25" i="136"/>
  <c r="T25" i="136" s="1"/>
  <c r="Q38" i="135"/>
  <c r="R38" i="135" s="1"/>
  <c r="U35" i="133"/>
  <c r="R51" i="132"/>
  <c r="R23" i="135"/>
  <c r="S46" i="132"/>
  <c r="S21" i="133"/>
  <c r="R44" i="132"/>
  <c r="R22" i="131"/>
  <c r="Q34" i="133"/>
  <c r="S21" i="135"/>
  <c r="T35" i="136"/>
  <c r="S23" i="136"/>
  <c r="Q34" i="131"/>
  <c r="R31" i="133"/>
  <c r="S31" i="133" s="1"/>
  <c r="Q7" i="61"/>
  <c r="Q14" i="61" s="1"/>
  <c r="Q24" i="131"/>
  <c r="U25" i="132"/>
  <c r="T39" i="135"/>
  <c r="R34" i="131"/>
  <c r="X25" i="132"/>
  <c r="R46" i="132"/>
  <c r="S52" i="132"/>
  <c r="U52" i="132" s="1"/>
  <c r="U39" i="135"/>
  <c r="R25" i="132"/>
  <c r="Y25" i="132" s="1"/>
  <c r="Z25" i="132" s="1"/>
  <c r="R30" i="136"/>
  <c r="S25" i="132"/>
  <c r="U23" i="134"/>
  <c r="V23" i="134" s="1"/>
  <c r="V43" i="132"/>
  <c r="W43" i="132"/>
  <c r="Q35" i="131"/>
  <c r="Q30" i="136"/>
  <c r="V39" i="135"/>
  <c r="Q23" i="132"/>
  <c r="Q33" i="136"/>
  <c r="Q31" i="135"/>
  <c r="T25" i="132"/>
  <c r="V37" i="135"/>
  <c r="R22" i="134"/>
  <c r="V35" i="133"/>
  <c r="X35" i="133" s="1"/>
  <c r="W33" i="134"/>
  <c r="S32" i="136"/>
  <c r="T52" i="132"/>
  <c r="Q25" i="134"/>
  <c r="S39" i="131"/>
  <c r="T39" i="131" s="1"/>
  <c r="S34" i="131"/>
  <c r="R25" i="135"/>
  <c r="W48" i="132"/>
  <c r="V48" i="132"/>
  <c r="R36" i="135"/>
  <c r="S22" i="131"/>
  <c r="Q34" i="134"/>
  <c r="Q22" i="136"/>
  <c r="R25" i="134"/>
  <c r="Q36" i="132"/>
  <c r="S50" i="132"/>
  <c r="Q36" i="131"/>
  <c r="W36" i="134"/>
  <c r="U30" i="134"/>
  <c r="V30" i="134"/>
  <c r="X30" i="134" s="1"/>
  <c r="Y30" i="134" s="1"/>
  <c r="Z30" i="134" s="1"/>
  <c r="W25" i="132"/>
  <c r="S37" i="136"/>
  <c r="V25" i="132"/>
  <c r="U37" i="135"/>
  <c r="W37" i="135" s="1"/>
  <c r="X36" i="134"/>
  <c r="Y36" i="134" s="1"/>
  <c r="Z36" i="134" s="1"/>
  <c r="R25" i="133"/>
  <c r="BM12" i="132"/>
  <c r="BL14" i="132"/>
  <c r="BA14" i="135"/>
  <c r="AP14" i="136"/>
  <c r="BA12" i="134"/>
  <c r="AZ14" i="134"/>
  <c r="BM12" i="134"/>
  <c r="BL14" i="134"/>
  <c r="BN12" i="135"/>
  <c r="BM14" i="135"/>
  <c r="BA12" i="136"/>
  <c r="AZ14" i="136"/>
  <c r="BL12" i="136"/>
  <c r="BL14" i="131"/>
  <c r="Y22" i="132"/>
  <c r="AQ14" i="136"/>
  <c r="AE14" i="136"/>
  <c r="AF14" i="135"/>
  <c r="U12" i="61"/>
  <c r="BB14" i="135"/>
  <c r="AR14" i="135"/>
  <c r="AP14" i="134"/>
  <c r="S11" i="61"/>
  <c r="AD14" i="134"/>
  <c r="T30" i="133"/>
  <c r="T38" i="133"/>
  <c r="W37" i="133"/>
  <c r="X37" i="133" s="1"/>
  <c r="W33" i="133"/>
  <c r="V36" i="133"/>
  <c r="U30" i="133"/>
  <c r="W22" i="133"/>
  <c r="T24" i="133"/>
  <c r="S9" i="61"/>
  <c r="S8" i="61"/>
  <c r="W47" i="132"/>
  <c r="X47" i="132" s="1"/>
  <c r="T30" i="132"/>
  <c r="S38" i="132"/>
  <c r="R30" i="132"/>
  <c r="W37" i="132"/>
  <c r="T38" i="132"/>
  <c r="S31" i="132"/>
  <c r="S34" i="132"/>
  <c r="T34" i="132" s="1"/>
  <c r="S30" i="132"/>
  <c r="V32" i="132"/>
  <c r="S35" i="132"/>
  <c r="S39" i="132"/>
  <c r="AP14" i="133"/>
  <c r="AE14" i="133"/>
  <c r="T21" i="132"/>
  <c r="AD14" i="132"/>
  <c r="BB14" i="132"/>
  <c r="Q24" i="132"/>
  <c r="AQ14" i="132"/>
  <c r="T32" i="131"/>
  <c r="U32" i="131" s="1"/>
  <c r="X37" i="131"/>
  <c r="X30" i="131"/>
  <c r="U31" i="131"/>
  <c r="V33" i="131"/>
  <c r="W33" i="131" s="1"/>
  <c r="AQ14" i="131"/>
  <c r="BB14" i="131"/>
  <c r="AD14" i="131"/>
  <c r="V21" i="131" l="1"/>
  <c r="BL14" i="133"/>
  <c r="AE7" i="136"/>
  <c r="AE7" i="135"/>
  <c r="AE7" i="134"/>
  <c r="AE7" i="132"/>
  <c r="AE7" i="131"/>
  <c r="AE24" i="131" s="1"/>
  <c r="AQ12" i="141"/>
  <c r="AP14" i="141"/>
  <c r="BL14" i="141"/>
  <c r="BL26" i="141" s="1"/>
  <c r="BM12" i="141"/>
  <c r="AE14" i="141"/>
  <c r="AF12" i="141"/>
  <c r="BA14" i="141"/>
  <c r="BA26" i="141" s="1"/>
  <c r="BB12" i="141"/>
  <c r="AG25" i="132"/>
  <c r="AF25" i="132"/>
  <c r="AA25" i="132"/>
  <c r="AL25" i="132"/>
  <c r="AD25" i="132"/>
  <c r="AK25" i="132"/>
  <c r="AB25" i="132"/>
  <c r="AH25" i="132"/>
  <c r="AC25" i="132"/>
  <c r="AJ25" i="132"/>
  <c r="AI25" i="132"/>
  <c r="AE25" i="132"/>
  <c r="AE7" i="133"/>
  <c r="BN12" i="133"/>
  <c r="BM14" i="133"/>
  <c r="BB12" i="133"/>
  <c r="BA14" i="133"/>
  <c r="V52" i="132"/>
  <c r="W52" i="132" s="1"/>
  <c r="V34" i="136"/>
  <c r="W34" i="136"/>
  <c r="U23" i="133"/>
  <c r="V23" i="133" s="1"/>
  <c r="W23" i="133" s="1"/>
  <c r="X33" i="132"/>
  <c r="Y33" i="132" s="1"/>
  <c r="Z33" i="132" s="1"/>
  <c r="X37" i="135"/>
  <c r="Y37" i="135" s="1"/>
  <c r="V35" i="136"/>
  <c r="R36" i="132"/>
  <c r="R31" i="135"/>
  <c r="W24" i="135"/>
  <c r="V32" i="131"/>
  <c r="T21" i="136"/>
  <c r="R34" i="134"/>
  <c r="T36" i="136"/>
  <c r="S25" i="134"/>
  <c r="S22" i="134"/>
  <c r="U22" i="134" s="1"/>
  <c r="W30" i="135"/>
  <c r="S30" i="136"/>
  <c r="S31" i="134"/>
  <c r="R7" i="61"/>
  <c r="R14" i="61" s="1"/>
  <c r="R24" i="131"/>
  <c r="S44" i="132"/>
  <c r="R38" i="134"/>
  <c r="S38" i="134" s="1"/>
  <c r="R34" i="135"/>
  <c r="T44" i="132"/>
  <c r="W23" i="134"/>
  <c r="T22" i="134"/>
  <c r="T24" i="134"/>
  <c r="X23" i="134"/>
  <c r="V31" i="136"/>
  <c r="S22" i="135"/>
  <c r="U36" i="136"/>
  <c r="V36" i="136"/>
  <c r="W36" i="136" s="1"/>
  <c r="T37" i="136"/>
  <c r="V23" i="131"/>
  <c r="R33" i="136"/>
  <c r="T31" i="134"/>
  <c r="U31" i="134" s="1"/>
  <c r="S23" i="135"/>
  <c r="V45" i="132"/>
  <c r="W45" i="132" s="1"/>
  <c r="X45" i="132" s="1"/>
  <c r="S34" i="134"/>
  <c r="V34" i="134" s="1"/>
  <c r="T35" i="134"/>
  <c r="U35" i="134" s="1"/>
  <c r="S35" i="134"/>
  <c r="R35" i="134"/>
  <c r="T24" i="136"/>
  <c r="T10" i="61"/>
  <c r="T25" i="135"/>
  <c r="U25" i="135" s="1"/>
  <c r="W23" i="131"/>
  <c r="Y23" i="131" s="1"/>
  <c r="X43" i="132"/>
  <c r="Y43" i="132" s="1"/>
  <c r="Z43" i="132" s="1"/>
  <c r="U25" i="136"/>
  <c r="V25" i="136" s="1"/>
  <c r="V33" i="135"/>
  <c r="T32" i="133"/>
  <c r="U32" i="133" s="1"/>
  <c r="W39" i="135"/>
  <c r="T31" i="133"/>
  <c r="X34" i="136"/>
  <c r="Y34" i="136" s="1"/>
  <c r="T39" i="136"/>
  <c r="S39" i="133"/>
  <c r="S25" i="133"/>
  <c r="V35" i="135"/>
  <c r="U39" i="134"/>
  <c r="R32" i="134"/>
  <c r="X33" i="134"/>
  <c r="S36" i="135"/>
  <c r="R23" i="132"/>
  <c r="S23" i="132"/>
  <c r="U39" i="131"/>
  <c r="T23" i="136"/>
  <c r="U23" i="136" s="1"/>
  <c r="T38" i="134"/>
  <c r="U38" i="134" s="1"/>
  <c r="T21" i="133"/>
  <c r="U21" i="133" s="1"/>
  <c r="R36" i="131"/>
  <c r="X23" i="131"/>
  <c r="AA30" i="134"/>
  <c r="AB30" i="134" s="1"/>
  <c r="R22" i="136"/>
  <c r="X48" i="132"/>
  <c r="S22" i="136"/>
  <c r="T22" i="136" s="1"/>
  <c r="T32" i="136"/>
  <c r="S36" i="132"/>
  <c r="T36" i="132" s="1"/>
  <c r="T34" i="131"/>
  <c r="T21" i="135"/>
  <c r="T22" i="131"/>
  <c r="U39" i="136"/>
  <c r="T36" i="135"/>
  <c r="U36" i="135" s="1"/>
  <c r="S33" i="136"/>
  <c r="S36" i="131"/>
  <c r="R34" i="133"/>
  <c r="U21" i="136"/>
  <c r="V21" i="136" s="1"/>
  <c r="R25" i="131"/>
  <c r="W25" i="136"/>
  <c r="X25" i="136" s="1"/>
  <c r="T34" i="134"/>
  <c r="W33" i="135"/>
  <c r="T25" i="133"/>
  <c r="T37" i="134"/>
  <c r="U34" i="134"/>
  <c r="U38" i="131"/>
  <c r="V38" i="131" s="1"/>
  <c r="S38" i="135"/>
  <c r="T32" i="135"/>
  <c r="U32" i="135" s="1"/>
  <c r="T39" i="133"/>
  <c r="S51" i="132"/>
  <c r="T38" i="136"/>
  <c r="T46" i="132"/>
  <c r="R21" i="134"/>
  <c r="R35" i="131"/>
  <c r="U31" i="133"/>
  <c r="BN12" i="132"/>
  <c r="BM14" i="132"/>
  <c r="BB12" i="136"/>
  <c r="BA14" i="136"/>
  <c r="BN12" i="134"/>
  <c r="BM14" i="134"/>
  <c r="BM12" i="136"/>
  <c r="BL14" i="136"/>
  <c r="BO12" i="135"/>
  <c r="BN14" i="135"/>
  <c r="BB12" i="134"/>
  <c r="BA14" i="134"/>
  <c r="BM14" i="131"/>
  <c r="Y37" i="133"/>
  <c r="Z37" i="133" s="1"/>
  <c r="AA37" i="133" s="1"/>
  <c r="AB37" i="133" s="1"/>
  <c r="Y47" i="132"/>
  <c r="Z47" i="132" s="1"/>
  <c r="Z22" i="132"/>
  <c r="AF14" i="136"/>
  <c r="AR14" i="136"/>
  <c r="BC14" i="135"/>
  <c r="AS14" i="135"/>
  <c r="V12" i="61"/>
  <c r="AG14" i="135"/>
  <c r="T11" i="61"/>
  <c r="AQ14" i="134"/>
  <c r="AE14" i="134"/>
  <c r="W36" i="133"/>
  <c r="Y35" i="133"/>
  <c r="U38" i="133"/>
  <c r="X33" i="133"/>
  <c r="V30" i="133"/>
  <c r="X22" i="133"/>
  <c r="T9" i="61"/>
  <c r="U24" i="133"/>
  <c r="T8" i="61"/>
  <c r="V50" i="132"/>
  <c r="W50" i="132" s="1"/>
  <c r="U38" i="132"/>
  <c r="T31" i="132"/>
  <c r="U34" i="132"/>
  <c r="V34" i="132" s="1"/>
  <c r="W34" i="132" s="1"/>
  <c r="X37" i="132"/>
  <c r="U30" i="132"/>
  <c r="W32" i="132"/>
  <c r="V30" i="132"/>
  <c r="W30" i="132" s="1"/>
  <c r="T35" i="132"/>
  <c r="T39" i="132"/>
  <c r="AQ14" i="133"/>
  <c r="AF14" i="133"/>
  <c r="R24" i="132"/>
  <c r="AE14" i="132"/>
  <c r="U21" i="132"/>
  <c r="BC14" i="132"/>
  <c r="AR14" i="132"/>
  <c r="V31" i="131"/>
  <c r="W32" i="131"/>
  <c r="Y30" i="131"/>
  <c r="X33" i="131"/>
  <c r="Y37" i="131"/>
  <c r="X21" i="131"/>
  <c r="AE14" i="131"/>
  <c r="AR14" i="131"/>
  <c r="BC14" i="131"/>
  <c r="W21" i="131" l="1"/>
  <c r="V39" i="131"/>
  <c r="AF7" i="135"/>
  <c r="AF7" i="134"/>
  <c r="AF7" i="131"/>
  <c r="AF24" i="131" s="1"/>
  <c r="AF7" i="132"/>
  <c r="AF7" i="136"/>
  <c r="BM14" i="141"/>
  <c r="BM26" i="141" s="1"/>
  <c r="BN12" i="141"/>
  <c r="AG12" i="141"/>
  <c r="AF14" i="141"/>
  <c r="BB14" i="141"/>
  <c r="BB26" i="141" s="1"/>
  <c r="BC12" i="141"/>
  <c r="AQ14" i="141"/>
  <c r="AR12" i="141"/>
  <c r="AF7" i="133"/>
  <c r="BC12" i="133"/>
  <c r="BB14" i="133"/>
  <c r="BO12" i="133"/>
  <c r="BN14" i="133"/>
  <c r="W21" i="133"/>
  <c r="V21" i="133"/>
  <c r="X23" i="133"/>
  <c r="Z37" i="135"/>
  <c r="AA37" i="135" s="1"/>
  <c r="AB37" i="135" s="1"/>
  <c r="AC30" i="134"/>
  <c r="AD30" i="134" s="1"/>
  <c r="W38" i="131"/>
  <c r="V38" i="134"/>
  <c r="V32" i="133"/>
  <c r="W32" i="133" s="1"/>
  <c r="Z23" i="131"/>
  <c r="AA23" i="131" s="1"/>
  <c r="V35" i="134"/>
  <c r="W35" i="134" s="1"/>
  <c r="V31" i="134"/>
  <c r="W31" i="134" s="1"/>
  <c r="V23" i="136"/>
  <c r="W23" i="136" s="1"/>
  <c r="Z34" i="136"/>
  <c r="AA34" i="136" s="1"/>
  <c r="AB34" i="136" s="1"/>
  <c r="V25" i="135"/>
  <c r="W25" i="135" s="1"/>
  <c r="X52" i="132"/>
  <c r="Y52" i="132" s="1"/>
  <c r="S35" i="131"/>
  <c r="U38" i="136"/>
  <c r="U32" i="136"/>
  <c r="W39" i="131"/>
  <c r="W35" i="135"/>
  <c r="U39" i="133"/>
  <c r="T23" i="132"/>
  <c r="V36" i="135"/>
  <c r="W36" i="135" s="1"/>
  <c r="X36" i="135" s="1"/>
  <c r="W34" i="134"/>
  <c r="X34" i="134" s="1"/>
  <c r="X33" i="135"/>
  <c r="Y25" i="136"/>
  <c r="Z25" i="136" s="1"/>
  <c r="AA25" i="136" s="1"/>
  <c r="S34" i="135"/>
  <c r="S7" i="61"/>
  <c r="S14" i="61" s="1"/>
  <c r="S24" i="131"/>
  <c r="Y30" i="135"/>
  <c r="Z30" i="135" s="1"/>
  <c r="X30" i="135"/>
  <c r="U22" i="136"/>
  <c r="T36" i="131"/>
  <c r="V32" i="135"/>
  <c r="X38" i="131"/>
  <c r="Y38" i="131" s="1"/>
  <c r="Z38" i="131" s="1"/>
  <c r="T38" i="135"/>
  <c r="V39" i="134"/>
  <c r="U24" i="136"/>
  <c r="U10" i="61"/>
  <c r="T33" i="136"/>
  <c r="U37" i="136"/>
  <c r="V37" i="136"/>
  <c r="W37" i="136"/>
  <c r="X37" i="136" s="1"/>
  <c r="X36" i="136"/>
  <c r="T22" i="135"/>
  <c r="U44" i="132"/>
  <c r="Y48" i="132"/>
  <c r="T25" i="134"/>
  <c r="W35" i="136"/>
  <c r="X35" i="136" s="1"/>
  <c r="T51" i="132"/>
  <c r="U51" i="132" s="1"/>
  <c r="Y23" i="134"/>
  <c r="S21" i="134"/>
  <c r="W37" i="134"/>
  <c r="V37" i="134"/>
  <c r="U37" i="134"/>
  <c r="U22" i="131"/>
  <c r="U21" i="135"/>
  <c r="V39" i="136"/>
  <c r="V31" i="133"/>
  <c r="W31" i="133" s="1"/>
  <c r="W38" i="134"/>
  <c r="Y36" i="135"/>
  <c r="Z36" i="135" s="1"/>
  <c r="U36" i="132"/>
  <c r="W39" i="134"/>
  <c r="T23" i="135"/>
  <c r="W21" i="136"/>
  <c r="S34" i="133"/>
  <c r="T34" i="133" s="1"/>
  <c r="U23" i="132"/>
  <c r="V22" i="134"/>
  <c r="W31" i="136"/>
  <c r="X31" i="136" s="1"/>
  <c r="U38" i="135"/>
  <c r="Z23" i="133"/>
  <c r="Y23" i="133"/>
  <c r="U46" i="132"/>
  <c r="W46" i="132"/>
  <c r="X46" i="132" s="1"/>
  <c r="V46" i="132"/>
  <c r="T35" i="131"/>
  <c r="S32" i="134"/>
  <c r="W32" i="135"/>
  <c r="U25" i="133"/>
  <c r="S25" i="131"/>
  <c r="Y34" i="134"/>
  <c r="Z34" i="134" s="1"/>
  <c r="U24" i="134"/>
  <c r="U34" i="131"/>
  <c r="T30" i="136"/>
  <c r="V23" i="132"/>
  <c r="V22" i="136"/>
  <c r="V39" i="133"/>
  <c r="X24" i="135"/>
  <c r="Y33" i="134"/>
  <c r="S31" i="135"/>
  <c r="X39" i="135"/>
  <c r="V22" i="131"/>
  <c r="BO12" i="132"/>
  <c r="BN14" i="132"/>
  <c r="BO12" i="134"/>
  <c r="BN14" i="134"/>
  <c r="BC12" i="134"/>
  <c r="BB14" i="134"/>
  <c r="BP12" i="135"/>
  <c r="BO14" i="135"/>
  <c r="BN12" i="136"/>
  <c r="BM14" i="136"/>
  <c r="BC12" i="136"/>
  <c r="BB14" i="136"/>
  <c r="BN14" i="131"/>
  <c r="Y22" i="133"/>
  <c r="Z22" i="133" s="1"/>
  <c r="AA22" i="133" s="1"/>
  <c r="AG14" i="136"/>
  <c r="AS14" i="136"/>
  <c r="AH14" i="135"/>
  <c r="AT14" i="135"/>
  <c r="W12" i="61"/>
  <c r="BD14" i="135"/>
  <c r="U11" i="61"/>
  <c r="AF14" i="134"/>
  <c r="AR14" i="134"/>
  <c r="X31" i="133"/>
  <c r="Z35" i="133"/>
  <c r="AC37" i="133"/>
  <c r="V38" i="133"/>
  <c r="Y33" i="133"/>
  <c r="W30" i="133"/>
  <c r="X36" i="133"/>
  <c r="Y36" i="133" s="1"/>
  <c r="X21" i="133"/>
  <c r="V24" i="133"/>
  <c r="U9" i="61"/>
  <c r="U8" i="61"/>
  <c r="X50" i="132"/>
  <c r="Y45" i="132"/>
  <c r="U31" i="132"/>
  <c r="X32" i="132"/>
  <c r="Y37" i="132"/>
  <c r="V38" i="132"/>
  <c r="U35" i="132"/>
  <c r="V35" i="132" s="1"/>
  <c r="X30" i="132"/>
  <c r="Y30" i="132" s="1"/>
  <c r="W38" i="132"/>
  <c r="X34" i="132"/>
  <c r="U39" i="132"/>
  <c r="AG14" i="133"/>
  <c r="AR14" i="133"/>
  <c r="V21" i="132"/>
  <c r="AF14" i="132"/>
  <c r="AS14" i="132"/>
  <c r="S24" i="132"/>
  <c r="BD14" i="132"/>
  <c r="Z37" i="131"/>
  <c r="W31" i="131"/>
  <c r="Z30" i="131"/>
  <c r="Y33" i="131"/>
  <c r="X32" i="131"/>
  <c r="Y21" i="131"/>
  <c r="Z21" i="131" s="1"/>
  <c r="BD14" i="131"/>
  <c r="AF14" i="131"/>
  <c r="AS14" i="131"/>
  <c r="AA21" i="131" l="1"/>
  <c r="AB21" i="131" s="1"/>
  <c r="AC21" i="131" s="1"/>
  <c r="AD21" i="131"/>
  <c r="V39" i="132"/>
  <c r="AG7" i="136"/>
  <c r="AG7" i="131"/>
  <c r="AG24" i="131" s="1"/>
  <c r="AG7" i="132"/>
  <c r="AG7" i="134"/>
  <c r="AG7" i="135"/>
  <c r="AR14" i="141"/>
  <c r="AS12" i="141"/>
  <c r="AG14" i="141"/>
  <c r="AH12" i="141"/>
  <c r="BD12" i="141"/>
  <c r="BC14" i="141"/>
  <c r="BC26" i="141" s="1"/>
  <c r="BO12" i="141"/>
  <c r="BN14" i="141"/>
  <c r="BN26" i="141" s="1"/>
  <c r="AG7" i="133"/>
  <c r="AA36" i="135"/>
  <c r="AB36" i="135" s="1"/>
  <c r="AC36" i="135" s="1"/>
  <c r="BP12" i="133"/>
  <c r="BO14" i="133"/>
  <c r="BD12" i="133"/>
  <c r="BC14" i="133"/>
  <c r="AB25" i="136"/>
  <c r="AC25" i="136" s="1"/>
  <c r="AA23" i="133"/>
  <c r="AB23" i="133" s="1"/>
  <c r="AA30" i="135"/>
  <c r="AB30" i="135" s="1"/>
  <c r="AC34" i="136"/>
  <c r="AD34" i="136" s="1"/>
  <c r="Z52" i="132"/>
  <c r="X31" i="134"/>
  <c r="X35" i="134"/>
  <c r="Y31" i="136"/>
  <c r="AB23" i="131"/>
  <c r="AC23" i="131" s="1"/>
  <c r="AE30" i="134"/>
  <c r="AF30" i="134" s="1"/>
  <c r="Y35" i="136"/>
  <c r="Z35" i="136" s="1"/>
  <c r="AA35" i="136" s="1"/>
  <c r="X32" i="133"/>
  <c r="Y32" i="133" s="1"/>
  <c r="Y24" i="135"/>
  <c r="Y18" i="135"/>
  <c r="Z33" i="134"/>
  <c r="AA33" i="134" s="1"/>
  <c r="V24" i="134"/>
  <c r="U36" i="131"/>
  <c r="Y37" i="136"/>
  <c r="AA34" i="134"/>
  <c r="T25" i="131"/>
  <c r="U30" i="136"/>
  <c r="V30" i="136" s="1"/>
  <c r="X35" i="135"/>
  <c r="V32" i="136"/>
  <c r="W36" i="132"/>
  <c r="AC37" i="135"/>
  <c r="V25" i="133"/>
  <c r="Z36" i="136"/>
  <c r="T31" i="135"/>
  <c r="W39" i="136"/>
  <c r="U35" i="131"/>
  <c r="W22" i="134"/>
  <c r="U22" i="135"/>
  <c r="X39" i="134"/>
  <c r="Y39" i="134" s="1"/>
  <c r="Z39" i="134" s="1"/>
  <c r="AK39" i="134" s="1"/>
  <c r="V51" i="132"/>
  <c r="W51" i="132" s="1"/>
  <c r="T7" i="61"/>
  <c r="T14" i="61" s="1"/>
  <c r="T24" i="131"/>
  <c r="X32" i="135"/>
  <c r="V36" i="132"/>
  <c r="X36" i="132" s="1"/>
  <c r="Y36" i="136"/>
  <c r="Y35" i="134"/>
  <c r="Z35" i="134" s="1"/>
  <c r="V44" i="132"/>
  <c r="X39" i="131"/>
  <c r="Z48" i="132"/>
  <c r="Y46" i="132"/>
  <c r="Z46" i="132" s="1"/>
  <c r="X21" i="136"/>
  <c r="Y21" i="136"/>
  <c r="X37" i="134"/>
  <c r="Y37" i="134" s="1"/>
  <c r="Z37" i="134" s="1"/>
  <c r="T21" i="134"/>
  <c r="Z23" i="134"/>
  <c r="AA23" i="134" s="1"/>
  <c r="V34" i="131"/>
  <c r="Y32" i="135"/>
  <c r="Z32" i="135" s="1"/>
  <c r="W23" i="132"/>
  <c r="X38" i="134"/>
  <c r="Y31" i="134"/>
  <c r="Y33" i="135"/>
  <c r="U23" i="135"/>
  <c r="Y39" i="135"/>
  <c r="Y38" i="134"/>
  <c r="Z38" i="134" s="1"/>
  <c r="V34" i="133"/>
  <c r="W34" i="133" s="1"/>
  <c r="U34" i="133"/>
  <c r="W22" i="131"/>
  <c r="U25" i="134"/>
  <c r="V24" i="136"/>
  <c r="V10" i="61"/>
  <c r="V38" i="135"/>
  <c r="T34" i="135"/>
  <c r="V36" i="131"/>
  <c r="W36" i="131" s="1"/>
  <c r="W22" i="136"/>
  <c r="V21" i="135"/>
  <c r="V38" i="136"/>
  <c r="X25" i="135"/>
  <c r="X23" i="136"/>
  <c r="W39" i="133"/>
  <c r="T32" i="134"/>
  <c r="U33" i="136"/>
  <c r="BP12" i="132"/>
  <c r="BO14" i="132"/>
  <c r="BO12" i="136"/>
  <c r="BN14" i="136"/>
  <c r="BD12" i="134"/>
  <c r="BC14" i="134"/>
  <c r="BD12" i="136"/>
  <c r="BC14" i="136"/>
  <c r="BQ12" i="135"/>
  <c r="BP14" i="135"/>
  <c r="BP12" i="134"/>
  <c r="BO14" i="134"/>
  <c r="BO14" i="131"/>
  <c r="Z30" i="132"/>
  <c r="AH14" i="136"/>
  <c r="AT14" i="136"/>
  <c r="AI14" i="135"/>
  <c r="BE14" i="135"/>
  <c r="X12" i="61"/>
  <c r="AU14" i="135"/>
  <c r="V11" i="61"/>
  <c r="AS14" i="134"/>
  <c r="AG14" i="134"/>
  <c r="X38" i="133"/>
  <c r="Y31" i="133"/>
  <c r="X30" i="133"/>
  <c r="Z36" i="133"/>
  <c r="Z33" i="133"/>
  <c r="AA35" i="133"/>
  <c r="W38" i="133"/>
  <c r="AD37" i="133"/>
  <c r="AB22" i="133"/>
  <c r="Y21" i="133"/>
  <c r="V9" i="61"/>
  <c r="W24" i="133"/>
  <c r="V8" i="61"/>
  <c r="Z45" i="132"/>
  <c r="Y50" i="132"/>
  <c r="W35" i="132"/>
  <c r="X35" i="132" s="1"/>
  <c r="W39" i="132"/>
  <c r="Y32" i="132"/>
  <c r="X38" i="132"/>
  <c r="Y34" i="132"/>
  <c r="Z37" i="132"/>
  <c r="V31" i="132"/>
  <c r="AS14" i="133"/>
  <c r="AH14" i="133"/>
  <c r="AT14" i="132"/>
  <c r="AG14" i="132"/>
  <c r="T24" i="132"/>
  <c r="BE14" i="132"/>
  <c r="W21" i="132"/>
  <c r="Z33" i="131"/>
  <c r="AA30" i="131"/>
  <c r="AB30" i="131" s="1"/>
  <c r="X31" i="131"/>
  <c r="Y32" i="131"/>
  <c r="AA38" i="131"/>
  <c r="AB38" i="131" s="1"/>
  <c r="AT14" i="131"/>
  <c r="BE14" i="131"/>
  <c r="AG14" i="131"/>
  <c r="AE21" i="131" l="1"/>
  <c r="AF21" i="131" s="1"/>
  <c r="AG21" i="131" s="1"/>
  <c r="AH21" i="131" s="1"/>
  <c r="AE39" i="134"/>
  <c r="AF39" i="134"/>
  <c r="AC39" i="134"/>
  <c r="AH39" i="134"/>
  <c r="AI39" i="134"/>
  <c r="AD39" i="134"/>
  <c r="AA39" i="134"/>
  <c r="AB39" i="134"/>
  <c r="AG39" i="134"/>
  <c r="AJ39" i="134"/>
  <c r="AL39" i="134"/>
  <c r="AH7" i="134"/>
  <c r="AH7" i="131"/>
  <c r="AH24" i="131" s="1"/>
  <c r="AH7" i="135"/>
  <c r="AH7" i="132"/>
  <c r="AH7" i="136"/>
  <c r="AS14" i="141"/>
  <c r="AT12" i="141"/>
  <c r="AH14" i="141"/>
  <c r="AI12" i="141"/>
  <c r="BO14" i="141"/>
  <c r="BO26" i="141" s="1"/>
  <c r="BP12" i="141"/>
  <c r="BE12" i="141"/>
  <c r="BD14" i="141"/>
  <c r="BD26" i="141" s="1"/>
  <c r="AH7" i="133"/>
  <c r="BE12" i="133"/>
  <c r="BD14" i="133"/>
  <c r="BQ12" i="133"/>
  <c r="BP14" i="133"/>
  <c r="AD25" i="136"/>
  <c r="AE25" i="136" s="1"/>
  <c r="AB35" i="136"/>
  <c r="AC35" i="136" s="1"/>
  <c r="AA35" i="134"/>
  <c r="AB35" i="134" s="1"/>
  <c r="AA36" i="136"/>
  <c r="AB36" i="136" s="1"/>
  <c r="AC36" i="136" s="1"/>
  <c r="AC23" i="133"/>
  <c r="AD23" i="133" s="1"/>
  <c r="AA38" i="134"/>
  <c r="AB38" i="134" s="1"/>
  <c r="AA32" i="135"/>
  <c r="AB32" i="135" s="1"/>
  <c r="AC32" i="135" s="1"/>
  <c r="AD23" i="131"/>
  <c r="AE23" i="131" s="1"/>
  <c r="AF23" i="131" s="1"/>
  <c r="AG30" i="134"/>
  <c r="AH30" i="134" s="1"/>
  <c r="AI30" i="134" s="1"/>
  <c r="Z32" i="133"/>
  <c r="AA32" i="133" s="1"/>
  <c r="AB32" i="133" s="1"/>
  <c r="Y34" i="133"/>
  <c r="W30" i="136"/>
  <c r="Y25" i="135"/>
  <c r="Z25" i="135" s="1"/>
  <c r="AA25" i="135" s="1"/>
  <c r="U34" i="135"/>
  <c r="AC30" i="135"/>
  <c r="AD30" i="135" s="1"/>
  <c r="AE30" i="135" s="1"/>
  <c r="U7" i="61"/>
  <c r="U14" i="61" s="1"/>
  <c r="U24" i="131"/>
  <c r="W25" i="133"/>
  <c r="W32" i="136"/>
  <c r="X32" i="136" s="1"/>
  <c r="Y32" i="136" s="1"/>
  <c r="Z32" i="136" s="1"/>
  <c r="AA32" i="136" s="1"/>
  <c r="AB32" i="136" s="1"/>
  <c r="AB34" i="134"/>
  <c r="X39" i="133"/>
  <c r="X34" i="133"/>
  <c r="W38" i="135"/>
  <c r="X38" i="135" s="1"/>
  <c r="Y38" i="135" s="1"/>
  <c r="Z39" i="135"/>
  <c r="AL39" i="135" s="1"/>
  <c r="Z21" i="136"/>
  <c r="Y39" i="131"/>
  <c r="U32" i="134"/>
  <c r="W38" i="136"/>
  <c r="X51" i="132"/>
  <c r="X22" i="131"/>
  <c r="Z33" i="135"/>
  <c r="W44" i="132"/>
  <c r="W34" i="131"/>
  <c r="V22" i="135"/>
  <c r="U25" i="131"/>
  <c r="AB33" i="134"/>
  <c r="Z31" i="134"/>
  <c r="AA31" i="134" s="1"/>
  <c r="W21" i="135"/>
  <c r="X36" i="131"/>
  <c r="Y36" i="131" s="1"/>
  <c r="V23" i="135"/>
  <c r="W23" i="135" s="1"/>
  <c r="X23" i="135" s="1"/>
  <c r="AB23" i="134"/>
  <c r="X22" i="134"/>
  <c r="X39" i="136"/>
  <c r="U31" i="135"/>
  <c r="V35" i="131"/>
  <c r="Y35" i="135"/>
  <c r="W35" i="131"/>
  <c r="Z37" i="136"/>
  <c r="W24" i="134"/>
  <c r="V33" i="136"/>
  <c r="Y23" i="136"/>
  <c r="X22" i="136"/>
  <c r="W24" i="136"/>
  <c r="W10" i="61"/>
  <c r="V25" i="134"/>
  <c r="Z31" i="136"/>
  <c r="X23" i="132"/>
  <c r="V21" i="134"/>
  <c r="W21" i="134" s="1"/>
  <c r="U21" i="134"/>
  <c r="AA37" i="134"/>
  <c r="AB37" i="134" s="1"/>
  <c r="AD36" i="135"/>
  <c r="AE36" i="135" s="1"/>
  <c r="Y36" i="132"/>
  <c r="Z36" i="132" s="1"/>
  <c r="Z38" i="135"/>
  <c r="Z39" i="131"/>
  <c r="Z24" i="135"/>
  <c r="Z18" i="135"/>
  <c r="AE34" i="136"/>
  <c r="X35" i="131"/>
  <c r="Y35" i="131" s="1"/>
  <c r="AD37" i="135"/>
  <c r="BQ12" i="132"/>
  <c r="BP14" i="132"/>
  <c r="BE12" i="136"/>
  <c r="BD14" i="136"/>
  <c r="BE12" i="134"/>
  <c r="BD14" i="134"/>
  <c r="BQ12" i="134"/>
  <c r="BP14" i="134"/>
  <c r="BR12" i="135"/>
  <c r="BQ14" i="135"/>
  <c r="BP12" i="136"/>
  <c r="BO14" i="136"/>
  <c r="BP14" i="131"/>
  <c r="Y38" i="133"/>
  <c r="Z38" i="133" s="1"/>
  <c r="AA38" i="133" s="1"/>
  <c r="AI14" i="136"/>
  <c r="AU14" i="136"/>
  <c r="AV14" i="135"/>
  <c r="AJ14" i="135"/>
  <c r="BF14" i="135"/>
  <c r="Y12" i="61"/>
  <c r="AT14" i="134"/>
  <c r="AH14" i="134"/>
  <c r="W11" i="61"/>
  <c r="AA33" i="133"/>
  <c r="AE37" i="133"/>
  <c r="Y30" i="133"/>
  <c r="Z31" i="133"/>
  <c r="AB35" i="133"/>
  <c r="AA36" i="133"/>
  <c r="Z34" i="133"/>
  <c r="AC22" i="133"/>
  <c r="Z21" i="133"/>
  <c r="X24" i="133"/>
  <c r="W9" i="61"/>
  <c r="W8" i="61"/>
  <c r="Z50" i="132"/>
  <c r="X31" i="132"/>
  <c r="W31" i="132"/>
  <c r="Z34" i="132"/>
  <c r="Z32" i="132"/>
  <c r="X39" i="132"/>
  <c r="Y35" i="132"/>
  <c r="Y38" i="132"/>
  <c r="AI14" i="133"/>
  <c r="AT14" i="133"/>
  <c r="U24" i="132"/>
  <c r="X21" i="132"/>
  <c r="BF14" i="132"/>
  <c r="AU14" i="132"/>
  <c r="AH14" i="132"/>
  <c r="AC30" i="131"/>
  <c r="AA33" i="131"/>
  <c r="AC38" i="131"/>
  <c r="Z32" i="131"/>
  <c r="Y31" i="131"/>
  <c r="AH14" i="131"/>
  <c r="AU14" i="131"/>
  <c r="BF14" i="131"/>
  <c r="AA21" i="136" l="1"/>
  <c r="AB21" i="136" s="1"/>
  <c r="AC21" i="136" s="1"/>
  <c r="AD21" i="136" s="1"/>
  <c r="AE21" i="136" s="1"/>
  <c r="AF21" i="136" s="1"/>
  <c r="AI21" i="131"/>
  <c r="AJ21" i="131" s="1"/>
  <c r="AK21" i="131" s="1"/>
  <c r="AL21" i="131" s="1"/>
  <c r="AD39" i="131"/>
  <c r="AE39" i="135"/>
  <c r="AE39" i="131"/>
  <c r="AC39" i="131"/>
  <c r="AI39" i="131"/>
  <c r="AK39" i="131"/>
  <c r="AJ39" i="131"/>
  <c r="AF39" i="131"/>
  <c r="AA39" i="131"/>
  <c r="AH39" i="131"/>
  <c r="AJ39" i="135"/>
  <c r="AG39" i="131"/>
  <c r="AL39" i="131"/>
  <c r="AB39" i="131"/>
  <c r="AD39" i="135"/>
  <c r="AA39" i="135"/>
  <c r="AI39" i="135"/>
  <c r="AC39" i="135"/>
  <c r="AF39" i="135"/>
  <c r="AH39" i="135"/>
  <c r="AK39" i="135"/>
  <c r="AG39" i="135"/>
  <c r="AB39" i="135"/>
  <c r="AI7" i="136"/>
  <c r="AI7" i="135"/>
  <c r="AI7" i="134"/>
  <c r="AI7" i="132"/>
  <c r="AI7" i="131"/>
  <c r="AI24" i="131" s="1"/>
  <c r="AI14" i="141"/>
  <c r="AJ12" i="141"/>
  <c r="BP14" i="141"/>
  <c r="BP26" i="141" s="1"/>
  <c r="BQ12" i="141"/>
  <c r="AT14" i="141"/>
  <c r="AU12" i="141"/>
  <c r="BE14" i="141"/>
  <c r="BE26" i="141" s="1"/>
  <c r="BF12" i="141"/>
  <c r="AF24" i="135"/>
  <c r="AE24" i="135"/>
  <c r="AL24" i="135"/>
  <c r="AJ24" i="135"/>
  <c r="AI24" i="135"/>
  <c r="AD24" i="135"/>
  <c r="AG24" i="135"/>
  <c r="AC24" i="135"/>
  <c r="AK24" i="135"/>
  <c r="AH24" i="135"/>
  <c r="AB24" i="135"/>
  <c r="AA24" i="135"/>
  <c r="AC38" i="134"/>
  <c r="AD38" i="134" s="1"/>
  <c r="AI7" i="133"/>
  <c r="BR12" i="133"/>
  <c r="BQ14" i="133"/>
  <c r="BF12" i="133"/>
  <c r="BE14" i="133"/>
  <c r="AD35" i="136"/>
  <c r="AE35" i="136" s="1"/>
  <c r="AF35" i="136" s="1"/>
  <c r="AG35" i="136" s="1"/>
  <c r="AA38" i="135"/>
  <c r="AB38" i="135" s="1"/>
  <c r="AC38" i="135" s="1"/>
  <c r="AC32" i="136"/>
  <c r="AD32" i="136" s="1"/>
  <c r="AC35" i="134"/>
  <c r="AD35" i="134" s="1"/>
  <c r="AE35" i="134" s="1"/>
  <c r="AD32" i="135"/>
  <c r="AE32" i="135" s="1"/>
  <c r="AE23" i="133"/>
  <c r="AF23" i="133" s="1"/>
  <c r="AG23" i="133" s="1"/>
  <c r="AD36" i="136"/>
  <c r="AE36" i="136" s="1"/>
  <c r="AB25" i="135"/>
  <c r="AC25" i="135" s="1"/>
  <c r="AD25" i="135" s="1"/>
  <c r="AF36" i="135"/>
  <c r="X21" i="134"/>
  <c r="Z51" i="132"/>
  <c r="Y23" i="135"/>
  <c r="Z23" i="135" s="1"/>
  <c r="W25" i="134"/>
  <c r="Z23" i="136"/>
  <c r="AA23" i="136" s="1"/>
  <c r="X24" i="134"/>
  <c r="Z35" i="131"/>
  <c r="Y39" i="136"/>
  <c r="AC34" i="134"/>
  <c r="Y22" i="136"/>
  <c r="W22" i="135"/>
  <c r="Y51" i="132"/>
  <c r="Z35" i="135"/>
  <c r="AE38" i="134"/>
  <c r="AF38" i="134" s="1"/>
  <c r="AG38" i="134" s="1"/>
  <c r="AF25" i="136"/>
  <c r="Y21" i="134"/>
  <c r="Z21" i="134" s="1"/>
  <c r="Y23" i="132"/>
  <c r="W33" i="136"/>
  <c r="X33" i="136" s="1"/>
  <c r="Y33" i="136"/>
  <c r="Z33" i="136" s="1"/>
  <c r="AC33" i="134"/>
  <c r="V25" i="131"/>
  <c r="X34" i="131"/>
  <c r="AC37" i="134"/>
  <c r="AD37" i="134" s="1"/>
  <c r="AE37" i="134" s="1"/>
  <c r="AF37" i="134" s="1"/>
  <c r="Y22" i="131"/>
  <c r="X38" i="136"/>
  <c r="AF30" i="135"/>
  <c r="AG30" i="135" s="1"/>
  <c r="AB31" i="134"/>
  <c r="AC31" i="134" s="1"/>
  <c r="AE37" i="135"/>
  <c r="AF34" i="136"/>
  <c r="AA31" i="136"/>
  <c r="AB31" i="136" s="1"/>
  <c r="X24" i="136"/>
  <c r="X10" i="61"/>
  <c r="Y22" i="134"/>
  <c r="X21" i="135"/>
  <c r="Z22" i="131"/>
  <c r="AA33" i="135"/>
  <c r="AB33" i="135" s="1"/>
  <c r="V7" i="61"/>
  <c r="V14" i="61" s="1"/>
  <c r="V24" i="131"/>
  <c r="X30" i="136"/>
  <c r="AA37" i="136"/>
  <c r="V31" i="135"/>
  <c r="W31" i="135" s="1"/>
  <c r="X44" i="132"/>
  <c r="V32" i="134"/>
  <c r="W32" i="134"/>
  <c r="X32" i="134" s="1"/>
  <c r="Y32" i="134" s="1"/>
  <c r="Z36" i="131"/>
  <c r="X25" i="133"/>
  <c r="V34" i="135"/>
  <c r="Y39" i="133"/>
  <c r="AC23" i="134"/>
  <c r="BR12" i="132"/>
  <c r="BQ14" i="132"/>
  <c r="AJ30" i="134"/>
  <c r="AG23" i="131"/>
  <c r="BQ12" i="136"/>
  <c r="BP14" i="136"/>
  <c r="BS12" i="135"/>
  <c r="BR14" i="135"/>
  <c r="BF12" i="134"/>
  <c r="BE14" i="134"/>
  <c r="BR12" i="134"/>
  <c r="BQ14" i="134"/>
  <c r="BF12" i="136"/>
  <c r="BE14" i="136"/>
  <c r="BQ14" i="131"/>
  <c r="Y31" i="132"/>
  <c r="Z31" i="132" s="1"/>
  <c r="AV14" i="136"/>
  <c r="AJ14" i="136"/>
  <c r="BG14" i="135"/>
  <c r="Z12" i="61"/>
  <c r="AW14" i="135"/>
  <c r="AK14" i="135"/>
  <c r="AU14" i="134"/>
  <c r="AI14" i="134"/>
  <c r="X11" i="61"/>
  <c r="AB38" i="133"/>
  <c r="AA31" i="133"/>
  <c r="Z30" i="133"/>
  <c r="AB33" i="133"/>
  <c r="AA34" i="133"/>
  <c r="AC32" i="133"/>
  <c r="AF37" i="133"/>
  <c r="AC35" i="133"/>
  <c r="AD35" i="133" s="1"/>
  <c r="AB36" i="133"/>
  <c r="AD22" i="133"/>
  <c r="X9" i="61"/>
  <c r="X8" i="61"/>
  <c r="Z35" i="132"/>
  <c r="Z38" i="132"/>
  <c r="Y39" i="132"/>
  <c r="Z39" i="132" s="1"/>
  <c r="AU14" i="133"/>
  <c r="AJ14" i="133"/>
  <c r="AI14" i="132"/>
  <c r="Y21" i="132"/>
  <c r="AV14" i="132"/>
  <c r="BG14" i="132"/>
  <c r="V24" i="132"/>
  <c r="AA32" i="131"/>
  <c r="AB33" i="131"/>
  <c r="AD30" i="131"/>
  <c r="Z31" i="131"/>
  <c r="AD38" i="131"/>
  <c r="AI14" i="131"/>
  <c r="BG14" i="131"/>
  <c r="AV14" i="131"/>
  <c r="AG21" i="136" l="1"/>
  <c r="AH21" i="136" s="1"/>
  <c r="AI21" i="136" s="1"/>
  <c r="AJ7" i="132"/>
  <c r="AJ7" i="135"/>
  <c r="AJ7" i="131"/>
  <c r="AJ24" i="131" s="1"/>
  <c r="AJ7" i="134"/>
  <c r="AJ7" i="136"/>
  <c r="BF14" i="141"/>
  <c r="BF26" i="141" s="1"/>
  <c r="BG12" i="141"/>
  <c r="BR12" i="141"/>
  <c r="BQ14" i="141"/>
  <c r="BQ26" i="141" s="1"/>
  <c r="AU14" i="141"/>
  <c r="AV12" i="141"/>
  <c r="AJ14" i="141"/>
  <c r="AK12" i="141"/>
  <c r="AM24" i="135"/>
  <c r="AN24" i="135" s="1"/>
  <c r="AJ7" i="133"/>
  <c r="BG12" i="133"/>
  <c r="BF14" i="133"/>
  <c r="AF35" i="134"/>
  <c r="AG35" i="134" s="1"/>
  <c r="AH35" i="134" s="1"/>
  <c r="BS12" i="133"/>
  <c r="BR14" i="133"/>
  <c r="AH35" i="136"/>
  <c r="AI35" i="136" s="1"/>
  <c r="AD38" i="135"/>
  <c r="AE38" i="135" s="1"/>
  <c r="AF32" i="135"/>
  <c r="AG32" i="135" s="1"/>
  <c r="AA23" i="135"/>
  <c r="AB23" i="135" s="1"/>
  <c r="AC23" i="135" s="1"/>
  <c r="AA33" i="136"/>
  <c r="AB33" i="136" s="1"/>
  <c r="AC33" i="136" s="1"/>
  <c r="AG37" i="134"/>
  <c r="AH37" i="134" s="1"/>
  <c r="AI37" i="134" s="1"/>
  <c r="AE32" i="136"/>
  <c r="AF32" i="136" s="1"/>
  <c r="AF36" i="136"/>
  <c r="AG36" i="136" s="1"/>
  <c r="AH30" i="135"/>
  <c r="AI30" i="135" s="1"/>
  <c r="AJ30" i="135" s="1"/>
  <c r="AC31" i="136"/>
  <c r="AD31" i="136" s="1"/>
  <c r="X31" i="135"/>
  <c r="W34" i="135"/>
  <c r="AD23" i="134"/>
  <c r="AE23" i="134" s="1"/>
  <c r="AB37" i="136"/>
  <c r="W7" i="61"/>
  <c r="W14" i="61" s="1"/>
  <c r="W24" i="131"/>
  <c r="AD31" i="134"/>
  <c r="Z23" i="132"/>
  <c r="AG25" i="136"/>
  <c r="AG36" i="135"/>
  <c r="AH36" i="135" s="1"/>
  <c r="AD34" i="134"/>
  <c r="AE34" i="134" s="1"/>
  <c r="AF34" i="134" s="1"/>
  <c r="AG34" i="134" s="1"/>
  <c r="AH34" i="134" s="1"/>
  <c r="AA35" i="131"/>
  <c r="AE25" i="135"/>
  <c r="Z39" i="133"/>
  <c r="Y31" i="135"/>
  <c r="Y30" i="136"/>
  <c r="AC33" i="135"/>
  <c r="Z22" i="134"/>
  <c r="AG34" i="136"/>
  <c r="AH34" i="136" s="1"/>
  <c r="Y34" i="131"/>
  <c r="W25" i="131"/>
  <c r="Z32" i="134"/>
  <c r="AA32" i="134" s="1"/>
  <c r="AB32" i="134" s="1"/>
  <c r="X22" i="135"/>
  <c r="AD33" i="134"/>
  <c r="AA35" i="135"/>
  <c r="Y25" i="133"/>
  <c r="Z22" i="136"/>
  <c r="Z39" i="136"/>
  <c r="AB23" i="136"/>
  <c r="X25" i="134"/>
  <c r="AA21" i="134"/>
  <c r="AA36" i="131"/>
  <c r="Y21" i="135"/>
  <c r="Y24" i="136"/>
  <c r="Y18" i="136"/>
  <c r="Y10" i="61"/>
  <c r="AF37" i="135"/>
  <c r="AG37" i="135" s="1"/>
  <c r="Y38" i="136"/>
  <c r="Y24" i="134"/>
  <c r="Y18" i="134"/>
  <c r="Y44" i="132"/>
  <c r="BS12" i="132"/>
  <c r="BR14" i="132"/>
  <c r="AH38" i="134"/>
  <c r="AK30" i="134"/>
  <c r="AH23" i="131"/>
  <c r="AH23" i="133"/>
  <c r="BS12" i="134"/>
  <c r="BR14" i="134"/>
  <c r="BT12" i="135"/>
  <c r="BS14" i="135"/>
  <c r="BG12" i="136"/>
  <c r="BF14" i="136"/>
  <c r="BG12" i="134"/>
  <c r="BF14" i="134"/>
  <c r="BR12" i="136"/>
  <c r="BQ14" i="136"/>
  <c r="BR14" i="131"/>
  <c r="Y24" i="133"/>
  <c r="AK14" i="136"/>
  <c r="AW14" i="136"/>
  <c r="AX14" i="135"/>
  <c r="AY14" i="135"/>
  <c r="BH14" i="135"/>
  <c r="AL14" i="135"/>
  <c r="AM14" i="135"/>
  <c r="AA12" i="61"/>
  <c r="AV14" i="134"/>
  <c r="AJ14" i="134"/>
  <c r="Y11" i="61"/>
  <c r="AE35" i="133"/>
  <c r="AG37" i="133"/>
  <c r="AB34" i="133"/>
  <c r="AC38" i="133"/>
  <c r="AC36" i="133"/>
  <c r="AD32" i="133"/>
  <c r="AA30" i="133"/>
  <c r="AB31" i="133"/>
  <c r="AC31" i="133" s="1"/>
  <c r="AC33" i="133"/>
  <c r="AE22" i="133"/>
  <c r="Y9" i="61"/>
  <c r="Y8" i="61"/>
  <c r="AV14" i="133"/>
  <c r="AK14" i="133"/>
  <c r="BH14" i="132"/>
  <c r="AW14" i="132"/>
  <c r="W24" i="132"/>
  <c r="Z21" i="132"/>
  <c r="AJ14" i="132"/>
  <c r="AE30" i="131"/>
  <c r="AC33" i="131"/>
  <c r="AA31" i="131"/>
  <c r="AE38" i="131"/>
  <c r="AB32" i="131"/>
  <c r="BH14" i="131"/>
  <c r="AW14" i="131"/>
  <c r="AJ14" i="131"/>
  <c r="AJ21" i="136" l="1"/>
  <c r="AK21" i="136" s="1"/>
  <c r="AD39" i="136"/>
  <c r="AF39" i="136"/>
  <c r="AG39" i="136"/>
  <c r="AA39" i="136"/>
  <c r="AI39" i="136"/>
  <c r="AK39" i="136"/>
  <c r="AJ39" i="136"/>
  <c r="AL39" i="136"/>
  <c r="AC39" i="136"/>
  <c r="AH39" i="136"/>
  <c r="AE39" i="136"/>
  <c r="AB39" i="136"/>
  <c r="AG39" i="133"/>
  <c r="AK39" i="133"/>
  <c r="AH39" i="133"/>
  <c r="AA39" i="133"/>
  <c r="AD39" i="133"/>
  <c r="AJ39" i="133"/>
  <c r="AF39" i="133"/>
  <c r="AC39" i="133"/>
  <c r="AE39" i="133"/>
  <c r="AI39" i="133"/>
  <c r="AB39" i="133"/>
  <c r="AL39" i="133"/>
  <c r="AK7" i="134"/>
  <c r="AK7" i="135"/>
  <c r="AK7" i="136"/>
  <c r="AK7" i="131"/>
  <c r="AK24" i="131" s="1"/>
  <c r="AK7" i="132"/>
  <c r="AW12" i="141"/>
  <c r="AV14" i="141"/>
  <c r="AK14" i="141"/>
  <c r="AL12" i="141"/>
  <c r="BR14" i="141"/>
  <c r="BR26" i="141" s="1"/>
  <c r="BS12" i="141"/>
  <c r="BG14" i="141"/>
  <c r="BG26" i="141" s="1"/>
  <c r="BH12" i="141"/>
  <c r="AO24" i="135"/>
  <c r="AK7" i="133"/>
  <c r="AH32" i="135"/>
  <c r="AI32" i="135" s="1"/>
  <c r="AJ32" i="135" s="1"/>
  <c r="BT12" i="133"/>
  <c r="BS14" i="133"/>
  <c r="BH12" i="133"/>
  <c r="BG14" i="133"/>
  <c r="AD23" i="135"/>
  <c r="AE23" i="135" s="1"/>
  <c r="Y26" i="136"/>
  <c r="AD33" i="136"/>
  <c r="AE33" i="136" s="1"/>
  <c r="AF33" i="136" s="1"/>
  <c r="AF23" i="134"/>
  <c r="AG23" i="134" s="1"/>
  <c r="AH36" i="136"/>
  <c r="AI36" i="136" s="1"/>
  <c r="AJ36" i="136" s="1"/>
  <c r="AC32" i="134"/>
  <c r="AD32" i="134" s="1"/>
  <c r="AE32" i="134" s="1"/>
  <c r="AI34" i="136"/>
  <c r="AJ34" i="136" s="1"/>
  <c r="AK34" i="136" s="1"/>
  <c r="AG32" i="136"/>
  <c r="AH32" i="136" s="1"/>
  <c r="Z21" i="135"/>
  <c r="AB35" i="135"/>
  <c r="AC35" i="135" s="1"/>
  <c r="AF38" i="135"/>
  <c r="X34" i="135"/>
  <c r="AH37" i="135"/>
  <c r="AI37" i="135" s="1"/>
  <c r="AD33" i="135"/>
  <c r="AF25" i="135"/>
  <c r="AI36" i="135"/>
  <c r="AJ36" i="135" s="1"/>
  <c r="AK36" i="135" s="1"/>
  <c r="AA23" i="132"/>
  <c r="AB36" i="131"/>
  <c r="AE33" i="134"/>
  <c r="AB35" i="131"/>
  <c r="AC35" i="131" s="1"/>
  <c r="X7" i="61"/>
  <c r="X14" i="61" s="1"/>
  <c r="X24" i="131"/>
  <c r="Z44" i="132"/>
  <c r="Z24" i="134"/>
  <c r="Z18" i="134"/>
  <c r="Z38" i="136"/>
  <c r="AB21" i="134"/>
  <c r="AC23" i="136"/>
  <c r="Z25" i="133"/>
  <c r="AI35" i="134"/>
  <c r="AJ35" i="134" s="1"/>
  <c r="AK35" i="134" s="1"/>
  <c r="Y22" i="135"/>
  <c r="AE31" i="136"/>
  <c r="AF31" i="136" s="1"/>
  <c r="AA22" i="134"/>
  <c r="Z30" i="136"/>
  <c r="AE31" i="134"/>
  <c r="Z24" i="136"/>
  <c r="Z18" i="136"/>
  <c r="Z10" i="61"/>
  <c r="Z34" i="131"/>
  <c r="AA34" i="131" s="1"/>
  <c r="AC37" i="136"/>
  <c r="Y25" i="134"/>
  <c r="AA22" i="136"/>
  <c r="X25" i="131"/>
  <c r="Z31" i="135"/>
  <c r="AI34" i="134"/>
  <c r="AH25" i="136"/>
  <c r="AI25" i="136" s="1"/>
  <c r="BT12" i="132"/>
  <c r="BS14" i="132"/>
  <c r="AI23" i="133"/>
  <c r="AJ37" i="134"/>
  <c r="AL30" i="134"/>
  <c r="AJ35" i="136"/>
  <c r="AI23" i="131"/>
  <c r="AI38" i="134"/>
  <c r="AK30" i="135"/>
  <c r="BH12" i="134"/>
  <c r="BG14" i="134"/>
  <c r="BH12" i="136"/>
  <c r="BG14" i="136"/>
  <c r="BS12" i="136"/>
  <c r="BR14" i="136"/>
  <c r="BU12" i="135"/>
  <c r="BT14" i="135"/>
  <c r="BT12" i="134"/>
  <c r="BS14" i="134"/>
  <c r="BS14" i="131"/>
  <c r="AF35" i="133"/>
  <c r="Z24" i="133"/>
  <c r="AH37" i="133"/>
  <c r="AL14" i="136"/>
  <c r="AM14" i="136"/>
  <c r="AX14" i="136"/>
  <c r="AY14" i="136"/>
  <c r="AB12" i="61"/>
  <c r="BI14" i="135"/>
  <c r="Z11" i="61"/>
  <c r="AK14" i="134"/>
  <c r="AW14" i="134"/>
  <c r="AC34" i="133"/>
  <c r="AD31" i="133"/>
  <c r="AD36" i="133"/>
  <c r="AD33" i="133"/>
  <c r="AB30" i="133"/>
  <c r="AE32" i="133"/>
  <c r="AD38" i="133"/>
  <c r="AF22" i="133"/>
  <c r="Z9" i="61"/>
  <c r="Z8" i="61"/>
  <c r="AL14" i="133"/>
  <c r="AM14" i="133"/>
  <c r="AW14" i="133"/>
  <c r="X24" i="132"/>
  <c r="AX14" i="132"/>
  <c r="AY14" i="132"/>
  <c r="AK14" i="132"/>
  <c r="BI14" i="132"/>
  <c r="AF30" i="131"/>
  <c r="AC32" i="131"/>
  <c r="AF38" i="131"/>
  <c r="AB31" i="131"/>
  <c r="AD33" i="131"/>
  <c r="AX14" i="131"/>
  <c r="AY14" i="131"/>
  <c r="BI14" i="131"/>
  <c r="AK14" i="131"/>
  <c r="AL21" i="136" l="1"/>
  <c r="AL7" i="131"/>
  <c r="AL24" i="131" s="1"/>
  <c r="AL7" i="135"/>
  <c r="AL7" i="132"/>
  <c r="AL7" i="136"/>
  <c r="AL7" i="134"/>
  <c r="AK32" i="135"/>
  <c r="AL32" i="135" s="1"/>
  <c r="BH14" i="141"/>
  <c r="BH26" i="141" s="1"/>
  <c r="BI12" i="141"/>
  <c r="AL14" i="141"/>
  <c r="AM12" i="141"/>
  <c r="AM14" i="141" s="1"/>
  <c r="BT12" i="141"/>
  <c r="BS14" i="141"/>
  <c r="BS26" i="141" s="1"/>
  <c r="AX12" i="141"/>
  <c r="AW14" i="141"/>
  <c r="AB24" i="134"/>
  <c r="AK24" i="134"/>
  <c r="AC24" i="134"/>
  <c r="AD24" i="134"/>
  <c r="AJ24" i="134"/>
  <c r="AG24" i="134"/>
  <c r="AH24" i="134"/>
  <c r="AI24" i="134"/>
  <c r="AE24" i="134"/>
  <c r="AF24" i="134"/>
  <c r="AA24" i="134"/>
  <c r="AL24" i="134"/>
  <c r="AP24" i="135"/>
  <c r="AQ24" i="135" s="1"/>
  <c r="AB24" i="133"/>
  <c r="AK24" i="133"/>
  <c r="AI24" i="133"/>
  <c r="AA24" i="133"/>
  <c r="AE24" i="133"/>
  <c r="AF24" i="133"/>
  <c r="AJ24" i="133"/>
  <c r="AC24" i="133"/>
  <c r="AG24" i="133"/>
  <c r="AD24" i="133"/>
  <c r="AL24" i="133"/>
  <c r="AH24" i="133"/>
  <c r="AD24" i="136"/>
  <c r="AC24" i="136"/>
  <c r="AE24" i="136"/>
  <c r="AK24" i="136"/>
  <c r="AG24" i="136"/>
  <c r="AA24" i="136"/>
  <c r="AF24" i="136"/>
  <c r="AL24" i="136"/>
  <c r="AI24" i="136"/>
  <c r="AB24" i="136"/>
  <c r="AH24" i="136"/>
  <c r="AJ24" i="136"/>
  <c r="AG25" i="133"/>
  <c r="AA25" i="133"/>
  <c r="AB25" i="133"/>
  <c r="AD25" i="133"/>
  <c r="AL25" i="133"/>
  <c r="AC25" i="133"/>
  <c r="AJ25" i="133"/>
  <c r="AK25" i="133"/>
  <c r="AH25" i="133"/>
  <c r="AF25" i="133"/>
  <c r="AI25" i="133"/>
  <c r="AE25" i="133"/>
  <c r="AL7" i="133"/>
  <c r="AF23" i="135"/>
  <c r="AG23" i="135" s="1"/>
  <c r="AH23" i="135" s="1"/>
  <c r="AI23" i="135" s="1"/>
  <c r="BI12" i="133"/>
  <c r="BH14" i="133"/>
  <c r="BU12" i="133"/>
  <c r="BT14" i="133"/>
  <c r="Z26" i="136"/>
  <c r="AD35" i="131"/>
  <c r="AE35" i="131" s="1"/>
  <c r="AG31" i="136"/>
  <c r="AH23" i="134"/>
  <c r="AJ37" i="135"/>
  <c r="AK37" i="135" s="1"/>
  <c r="AI32" i="136"/>
  <c r="AJ32" i="136" s="1"/>
  <c r="AM25" i="132"/>
  <c r="AN25" i="132" s="1"/>
  <c r="AL34" i="136"/>
  <c r="AM34" i="136" s="1"/>
  <c r="AN34" i="136" s="1"/>
  <c r="AA31" i="135"/>
  <c r="AA30" i="136"/>
  <c r="AA38" i="136"/>
  <c r="Y26" i="135"/>
  <c r="Y34" i="135"/>
  <c r="AF32" i="134"/>
  <c r="AJ34" i="134"/>
  <c r="AB22" i="136"/>
  <c r="Y7" i="61"/>
  <c r="Y14" i="61" s="1"/>
  <c r="Y18" i="131"/>
  <c r="Y24" i="131"/>
  <c r="AF33" i="134"/>
  <c r="AC36" i="131"/>
  <c r="AD36" i="131" s="1"/>
  <c r="AE36" i="131" s="1"/>
  <c r="AG33" i="136"/>
  <c r="AF31" i="134"/>
  <c r="AG31" i="134" s="1"/>
  <c r="AD37" i="136"/>
  <c r="AB34" i="131"/>
  <c r="AB22" i="134"/>
  <c r="AB23" i="132"/>
  <c r="AD35" i="135"/>
  <c r="AJ25" i="136"/>
  <c r="Y25" i="131"/>
  <c r="Z25" i="134"/>
  <c r="AA10" i="61"/>
  <c r="Z22" i="135"/>
  <c r="AD23" i="136"/>
  <c r="AG25" i="135"/>
  <c r="AE33" i="135"/>
  <c r="AG38" i="135"/>
  <c r="AC21" i="134"/>
  <c r="BU12" i="132"/>
  <c r="BT14" i="132"/>
  <c r="AL30" i="135"/>
  <c r="AK35" i="136"/>
  <c r="AK37" i="134"/>
  <c r="AJ23" i="131"/>
  <c r="AJ38" i="134"/>
  <c r="AM30" i="134"/>
  <c r="AK36" i="136"/>
  <c r="AL35" i="134"/>
  <c r="AL36" i="135"/>
  <c r="AJ23" i="133"/>
  <c r="BT12" i="136"/>
  <c r="BS14" i="136"/>
  <c r="BI12" i="136"/>
  <c r="BH14" i="136"/>
  <c r="BU12" i="134"/>
  <c r="BT14" i="134"/>
  <c r="BV12" i="135"/>
  <c r="BV14" i="135" s="1"/>
  <c r="BU14" i="135"/>
  <c r="BI12" i="134"/>
  <c r="BH14" i="134"/>
  <c r="BT14" i="131"/>
  <c r="AE31" i="133"/>
  <c r="AG35" i="133"/>
  <c r="AI37" i="133"/>
  <c r="AE36" i="133"/>
  <c r="BJ14" i="135"/>
  <c r="BK14" i="135"/>
  <c r="AC12" i="61"/>
  <c r="AL14" i="134"/>
  <c r="AM14" i="134"/>
  <c r="AA11" i="61"/>
  <c r="AX14" i="134"/>
  <c r="AY14" i="134"/>
  <c r="Y26" i="134"/>
  <c r="AE38" i="133"/>
  <c r="AE33" i="133"/>
  <c r="AD34" i="133"/>
  <c r="AF32" i="133"/>
  <c r="AC30" i="133"/>
  <c r="AD30" i="133" s="1"/>
  <c r="AG22" i="133"/>
  <c r="AA9" i="61"/>
  <c r="AA8" i="61"/>
  <c r="AM30" i="132"/>
  <c r="AM33" i="132"/>
  <c r="AN33" i="132" s="1"/>
  <c r="AX14" i="133"/>
  <c r="AY14" i="133"/>
  <c r="BJ14" i="132"/>
  <c r="BK14" i="132"/>
  <c r="AL14" i="132"/>
  <c r="AM14" i="132"/>
  <c r="Y18" i="132"/>
  <c r="Y24" i="132"/>
  <c r="AD32" i="131"/>
  <c r="AG30" i="131"/>
  <c r="AE33" i="131"/>
  <c r="AC31" i="131"/>
  <c r="AG38" i="131"/>
  <c r="AL14" i="131"/>
  <c r="AM14" i="131"/>
  <c r="BJ14" i="131"/>
  <c r="BK14" i="131"/>
  <c r="AM7" i="136" l="1"/>
  <c r="AM7" i="135"/>
  <c r="AM7" i="134"/>
  <c r="AM7" i="132"/>
  <c r="AM7" i="131"/>
  <c r="AX14" i="141"/>
  <c r="AY12" i="141"/>
  <c r="AY14" i="141" s="1"/>
  <c r="AY26" i="141" s="1"/>
  <c r="BJ12" i="141"/>
  <c r="BI14" i="141"/>
  <c r="BI26" i="141" s="1"/>
  <c r="BT14" i="141"/>
  <c r="BT26" i="141" s="1"/>
  <c r="BU12" i="141"/>
  <c r="AR24" i="135"/>
  <c r="AS24" i="135" s="1"/>
  <c r="AJ25" i="134"/>
  <c r="AL25" i="134"/>
  <c r="AB25" i="134"/>
  <c r="AE25" i="134"/>
  <c r="AK25" i="134"/>
  <c r="AA25" i="134"/>
  <c r="AC25" i="134"/>
  <c r="AG25" i="134"/>
  <c r="AI25" i="134"/>
  <c r="AD25" i="134"/>
  <c r="AF25" i="134"/>
  <c r="AH25" i="134"/>
  <c r="AM24" i="134"/>
  <c r="AN24" i="134" s="1"/>
  <c r="AM24" i="136"/>
  <c r="AM24" i="133"/>
  <c r="AM7" i="133"/>
  <c r="BV12" i="133"/>
  <c r="BV14" i="133" s="1"/>
  <c r="BU14" i="133"/>
  <c r="BJ12" i="133"/>
  <c r="BI14" i="133"/>
  <c r="AO25" i="132"/>
  <c r="AP25" i="132" s="1"/>
  <c r="AH31" i="136"/>
  <c r="AI31" i="136" s="1"/>
  <c r="AJ23" i="135"/>
  <c r="AK23" i="135" s="1"/>
  <c r="AF35" i="131"/>
  <c r="AG35" i="131" s="1"/>
  <c r="AH35" i="131" s="1"/>
  <c r="AI23" i="134"/>
  <c r="AJ23" i="134" s="1"/>
  <c r="AK23" i="134" s="1"/>
  <c r="AL23" i="134" s="1"/>
  <c r="AM23" i="134" s="1"/>
  <c r="AK32" i="136"/>
  <c r="AL32" i="136" s="1"/>
  <c r="AL37" i="135"/>
  <c r="AM37" i="135" s="1"/>
  <c r="AN37" i="135" s="1"/>
  <c r="AF33" i="135"/>
  <c r="AG33" i="135" s="1"/>
  <c r="AB10" i="61"/>
  <c r="Z25" i="131"/>
  <c r="AK34" i="134"/>
  <c r="AL34" i="134" s="1"/>
  <c r="AH25" i="135"/>
  <c r="AC34" i="131"/>
  <c r="AC22" i="136"/>
  <c r="AK25" i="136"/>
  <c r="AB31" i="135"/>
  <c r="AD21" i="134"/>
  <c r="AE21" i="134" s="1"/>
  <c r="AH38" i="135"/>
  <c r="AI38" i="135" s="1"/>
  <c r="AA22" i="135"/>
  <c r="Z26" i="135"/>
  <c r="AH33" i="136"/>
  <c r="AF36" i="131"/>
  <c r="AG36" i="131" s="1"/>
  <c r="AH36" i="131" s="1"/>
  <c r="Z7" i="61"/>
  <c r="Z14" i="61" s="1"/>
  <c r="Z18" i="131"/>
  <c r="Z24" i="131"/>
  <c r="AG32" i="134"/>
  <c r="AE23" i="136"/>
  <c r="AE35" i="135"/>
  <c r="AC23" i="132"/>
  <c r="AC22" i="134"/>
  <c r="AE37" i="136"/>
  <c r="AG33" i="134"/>
  <c r="AH33" i="134" s="1"/>
  <c r="AI33" i="134" s="1"/>
  <c r="Y26" i="131"/>
  <c r="Z34" i="135"/>
  <c r="AB38" i="136"/>
  <c r="AB30" i="136"/>
  <c r="AH31" i="134"/>
  <c r="BV12" i="132"/>
  <c r="BV14" i="132" s="1"/>
  <c r="BU14" i="132"/>
  <c r="AK38" i="134"/>
  <c r="AL35" i="136"/>
  <c r="AK23" i="133"/>
  <c r="AM30" i="135"/>
  <c r="AL36" i="136"/>
  <c r="AN30" i="134"/>
  <c r="AK23" i="131"/>
  <c r="AM32" i="135"/>
  <c r="AM36" i="135"/>
  <c r="AM35" i="134"/>
  <c r="AL37" i="134"/>
  <c r="AO34" i="136"/>
  <c r="BV12" i="134"/>
  <c r="BV14" i="134" s="1"/>
  <c r="BU14" i="134"/>
  <c r="BJ12" i="134"/>
  <c r="BI14" i="134"/>
  <c r="BJ12" i="136"/>
  <c r="BI14" i="136"/>
  <c r="BU12" i="136"/>
  <c r="BT14" i="136"/>
  <c r="BV14" i="131"/>
  <c r="BU14" i="131"/>
  <c r="AM22" i="132"/>
  <c r="AF36" i="133"/>
  <c r="AH35" i="133"/>
  <c r="AF31" i="133"/>
  <c r="AJ37" i="133"/>
  <c r="AD12" i="61"/>
  <c r="AB11" i="61"/>
  <c r="Z26" i="134"/>
  <c r="AF33" i="133"/>
  <c r="AF38" i="133"/>
  <c r="AE34" i="133"/>
  <c r="AG32" i="133"/>
  <c r="AH22" i="133"/>
  <c r="AB9" i="61"/>
  <c r="AB8" i="61"/>
  <c r="AN30" i="132"/>
  <c r="AO30" i="132" s="1"/>
  <c r="AO33" i="132"/>
  <c r="AP33" i="132" s="1"/>
  <c r="Y26" i="133"/>
  <c r="Y26" i="132"/>
  <c r="Z24" i="132"/>
  <c r="Z18" i="132"/>
  <c r="AE32" i="131"/>
  <c r="AH38" i="131"/>
  <c r="AF33" i="131"/>
  <c r="AD31" i="131"/>
  <c r="AH30" i="131"/>
  <c r="AN7" i="132" l="1"/>
  <c r="AN7" i="135"/>
  <c r="AN7" i="131"/>
  <c r="AN7" i="134"/>
  <c r="AN7" i="136"/>
  <c r="AT24" i="135"/>
  <c r="BJ14" i="141"/>
  <c r="BJ26" i="141" s="1"/>
  <c r="BK12" i="141"/>
  <c r="BK14" i="141" s="1"/>
  <c r="BK26" i="141" s="1"/>
  <c r="BU14" i="141"/>
  <c r="BU26" i="141" s="1"/>
  <c r="BV12" i="141"/>
  <c r="BV14" i="141" s="1"/>
  <c r="BV26" i="141" s="1"/>
  <c r="AN24" i="136"/>
  <c r="AE24" i="132"/>
  <c r="AH24" i="132"/>
  <c r="AG24" i="132"/>
  <c r="AI24" i="132"/>
  <c r="AJ24" i="132"/>
  <c r="AK24" i="132"/>
  <c r="AD24" i="132"/>
  <c r="AF24" i="132"/>
  <c r="AB24" i="132"/>
  <c r="AA24" i="132"/>
  <c r="AL24" i="132"/>
  <c r="AC24" i="132"/>
  <c r="AB25" i="131"/>
  <c r="AL25" i="131"/>
  <c r="AJ25" i="131"/>
  <c r="AF25" i="131"/>
  <c r="AD25" i="131"/>
  <c r="AE25" i="131"/>
  <c r="AH25" i="131"/>
  <c r="AC25" i="131"/>
  <c r="AI25" i="131"/>
  <c r="AK25" i="131"/>
  <c r="AA25" i="131"/>
  <c r="AG25" i="131"/>
  <c r="AN24" i="133"/>
  <c r="AO24" i="133" s="1"/>
  <c r="AO24" i="134"/>
  <c r="AU24" i="135"/>
  <c r="AO24" i="136"/>
  <c r="AN7" i="133"/>
  <c r="BK12" i="133"/>
  <c r="BK14" i="133" s="1"/>
  <c r="BJ14" i="133"/>
  <c r="AM39" i="135"/>
  <c r="AL23" i="135"/>
  <c r="AM23" i="135" s="1"/>
  <c r="AJ31" i="136"/>
  <c r="AK31" i="136" s="1"/>
  <c r="AI35" i="131"/>
  <c r="AJ35" i="131" s="1"/>
  <c r="AA5" i="126"/>
  <c r="AI25" i="135"/>
  <c r="AJ25" i="135" s="1"/>
  <c r="AN23" i="134"/>
  <c r="AF21" i="134"/>
  <c r="AG21" i="134" s="1"/>
  <c r="AH21" i="134" s="1"/>
  <c r="AI21" i="134" s="1"/>
  <c r="AM34" i="134"/>
  <c r="AN34" i="134" s="1"/>
  <c r="AO34" i="134" s="1"/>
  <c r="Z26" i="131"/>
  <c r="AM32" i="136"/>
  <c r="AN32" i="136" s="1"/>
  <c r="AF37" i="136"/>
  <c r="AD23" i="132"/>
  <c r="AI31" i="134"/>
  <c r="AJ31" i="134" s="1"/>
  <c r="AA7" i="61"/>
  <c r="AA14" i="61" s="1"/>
  <c r="AC31" i="135"/>
  <c r="AJ33" i="134"/>
  <c r="AK33" i="134" s="1"/>
  <c r="AD22" i="136"/>
  <c r="AC30" i="136"/>
  <c r="AA34" i="135"/>
  <c r="AB22" i="135"/>
  <c r="AL25" i="136"/>
  <c r="AD34" i="131"/>
  <c r="AC10" i="61"/>
  <c r="AH33" i="135"/>
  <c r="AI33" i="135" s="1"/>
  <c r="AC38" i="136"/>
  <c r="AD22" i="134"/>
  <c r="AF35" i="135"/>
  <c r="AF23" i="136"/>
  <c r="AG23" i="136" s="1"/>
  <c r="AH23" i="136" s="1"/>
  <c r="AH32" i="134"/>
  <c r="AI33" i="136"/>
  <c r="AJ33" i="136" s="1"/>
  <c r="AJ38" i="135"/>
  <c r="AN35" i="134"/>
  <c r="AN32" i="135"/>
  <c r="AO30" i="134"/>
  <c r="AO37" i="135"/>
  <c r="AM35" i="136"/>
  <c r="AL38" i="134"/>
  <c r="AM37" i="134"/>
  <c r="AQ25" i="132"/>
  <c r="AN30" i="135"/>
  <c r="AP34" i="136"/>
  <c r="AN36" i="135"/>
  <c r="AL23" i="131"/>
  <c r="AM36" i="136"/>
  <c r="AL23" i="133"/>
  <c r="BV12" i="136"/>
  <c r="BV14" i="136" s="1"/>
  <c r="BU14" i="136"/>
  <c r="BK12" i="136"/>
  <c r="BK14" i="136" s="1"/>
  <c r="BJ14" i="136"/>
  <c r="BK12" i="134"/>
  <c r="BK14" i="134" s="1"/>
  <c r="BJ14" i="134"/>
  <c r="AH32" i="133"/>
  <c r="AE30" i="133"/>
  <c r="AI35" i="133"/>
  <c r="AG36" i="133"/>
  <c r="AH36" i="133" s="1"/>
  <c r="AK37" i="133"/>
  <c r="AG31" i="133"/>
  <c r="AE12" i="61"/>
  <c r="AC11" i="61"/>
  <c r="AF34" i="133"/>
  <c r="AG38" i="133"/>
  <c r="AG33" i="133"/>
  <c r="AN22" i="132"/>
  <c r="AI22" i="133"/>
  <c r="AC9" i="61"/>
  <c r="AC8" i="61"/>
  <c r="AQ33" i="132"/>
  <c r="AR33" i="132" s="1"/>
  <c r="AP30" i="132"/>
  <c r="Z26" i="133"/>
  <c r="Z26" i="132"/>
  <c r="AE31" i="131"/>
  <c r="AI36" i="131"/>
  <c r="AG33" i="131"/>
  <c r="AF32" i="131"/>
  <c r="AI30" i="131"/>
  <c r="AI38" i="131"/>
  <c r="AO7" i="134" l="1"/>
  <c r="AO7" i="135"/>
  <c r="AO7" i="136"/>
  <c r="AO7" i="131"/>
  <c r="AO7" i="132"/>
  <c r="AP24" i="136"/>
  <c r="AQ24" i="136" s="1"/>
  <c r="AM24" i="131"/>
  <c r="AP24" i="134"/>
  <c r="AM24" i="132"/>
  <c r="AN24" i="132" s="1"/>
  <c r="AO24" i="132" s="1"/>
  <c r="AP24" i="132" s="1"/>
  <c r="AP24" i="133"/>
  <c r="AQ24" i="133" s="1"/>
  <c r="AR24" i="133" s="1"/>
  <c r="AV24" i="135"/>
  <c r="AW24" i="135" s="1"/>
  <c r="AX24" i="135" s="1"/>
  <c r="AO7" i="133"/>
  <c r="AL31" i="136"/>
  <c r="AM31" i="136" s="1"/>
  <c r="AM22" i="131"/>
  <c r="AB5" i="126"/>
  <c r="AO32" i="136"/>
  <c r="AP32" i="136" s="1"/>
  <c r="AO23" i="134"/>
  <c r="AK25" i="135"/>
  <c r="AL25" i="135" s="1"/>
  <c r="AC22" i="135"/>
  <c r="AP34" i="134"/>
  <c r="AQ34" i="134" s="1"/>
  <c r="AI23" i="136"/>
  <c r="AJ23" i="136" s="1"/>
  <c r="AJ21" i="134"/>
  <c r="AK21" i="134" s="1"/>
  <c r="AE22" i="134"/>
  <c r="AF22" i="134" s="1"/>
  <c r="AG22" i="134" s="1"/>
  <c r="AB7" i="61"/>
  <c r="AB14" i="61" s="1"/>
  <c r="AD38" i="136"/>
  <c r="AK33" i="136"/>
  <c r="AL33" i="136" s="1"/>
  <c r="AB34" i="135"/>
  <c r="AD31" i="135"/>
  <c r="AL33" i="134"/>
  <c r="AM33" i="134" s="1"/>
  <c r="AG37" i="136"/>
  <c r="AD30" i="136"/>
  <c r="AI32" i="134"/>
  <c r="AG35" i="135"/>
  <c r="AD10" i="61"/>
  <c r="AE34" i="131"/>
  <c r="AF34" i="131" s="1"/>
  <c r="AE23" i="132"/>
  <c r="AM25" i="136"/>
  <c r="AE22" i="136"/>
  <c r="AK31" i="134"/>
  <c r="AL31" i="134" s="1"/>
  <c r="AM31" i="134" s="1"/>
  <c r="AK38" i="135"/>
  <c r="AL38" i="135" s="1"/>
  <c r="AJ33" i="135"/>
  <c r="AM23" i="131"/>
  <c r="AO36" i="135"/>
  <c r="AM23" i="133"/>
  <c r="AN36" i="136"/>
  <c r="AN37" i="134"/>
  <c r="AM38" i="134"/>
  <c r="AO30" i="135"/>
  <c r="AR25" i="132"/>
  <c r="AP30" i="134"/>
  <c r="AM36" i="134"/>
  <c r="AN39" i="135"/>
  <c r="AQ34" i="136"/>
  <c r="AN23" i="135"/>
  <c r="AN35" i="136"/>
  <c r="AP37" i="135"/>
  <c r="AO32" i="135"/>
  <c r="AO35" i="134"/>
  <c r="AI36" i="133"/>
  <c r="AL37" i="133"/>
  <c r="AF30" i="133"/>
  <c r="AH31" i="133"/>
  <c r="AJ35" i="133"/>
  <c r="AK35" i="133" s="1"/>
  <c r="AI32" i="133"/>
  <c r="AG34" i="133"/>
  <c r="AF12" i="61"/>
  <c r="AD11" i="61"/>
  <c r="AH38" i="133"/>
  <c r="AH33" i="133"/>
  <c r="AO22" i="132"/>
  <c r="AJ22" i="133"/>
  <c r="AD9" i="61"/>
  <c r="AD8" i="61"/>
  <c r="AM48" i="132"/>
  <c r="AS33" i="132"/>
  <c r="AT33" i="132" s="1"/>
  <c r="AU33" i="132" s="1"/>
  <c r="AQ30" i="132"/>
  <c r="AJ36" i="131"/>
  <c r="AJ30" i="131"/>
  <c r="AJ38" i="131"/>
  <c r="AK35" i="131"/>
  <c r="AG32" i="131"/>
  <c r="AH33" i="131"/>
  <c r="AF31" i="131"/>
  <c r="AP7" i="131" l="1"/>
  <c r="AP7" i="135"/>
  <c r="AP7" i="132"/>
  <c r="AP7" i="136"/>
  <c r="AP7" i="134"/>
  <c r="AQ24" i="132"/>
  <c r="AR24" i="132" s="1"/>
  <c r="AY24" i="135"/>
  <c r="AZ24" i="135" s="1"/>
  <c r="BA24" i="135" s="1"/>
  <c r="BB24" i="135" s="1"/>
  <c r="BC24" i="135" s="1"/>
  <c r="BD24" i="135" s="1"/>
  <c r="BE24" i="135" s="1"/>
  <c r="BF24" i="135" s="1"/>
  <c r="AQ24" i="134"/>
  <c r="AS24" i="133"/>
  <c r="AT24" i="133" s="1"/>
  <c r="AU24" i="133" s="1"/>
  <c r="AN24" i="131"/>
  <c r="AR24" i="136"/>
  <c r="AN22" i="131"/>
  <c r="AO22" i="131" s="1"/>
  <c r="AP7" i="133"/>
  <c r="AM33" i="136"/>
  <c r="AN33" i="136" s="1"/>
  <c r="AO33" i="136" s="1"/>
  <c r="AP23" i="134"/>
  <c r="AM25" i="135"/>
  <c r="AN25" i="135" s="1"/>
  <c r="AO25" i="135" s="1"/>
  <c r="AR34" i="134"/>
  <c r="AS34" i="134" s="1"/>
  <c r="AD22" i="135"/>
  <c r="AK23" i="136"/>
  <c r="AL23" i="136" s="1"/>
  <c r="AM39" i="136"/>
  <c r="AL21" i="134"/>
  <c r="AM21" i="134" s="1"/>
  <c r="AG34" i="131"/>
  <c r="AH34" i="131" s="1"/>
  <c r="AN33" i="134"/>
  <c r="AO33" i="134" s="1"/>
  <c r="AF22" i="136"/>
  <c r="AK33" i="135"/>
  <c r="AL33" i="135" s="1"/>
  <c r="AE10" i="61"/>
  <c r="AJ32" i="134"/>
  <c r="AH22" i="134"/>
  <c r="AM38" i="135"/>
  <c r="AF23" i="132"/>
  <c r="AE30" i="136"/>
  <c r="AE31" i="135"/>
  <c r="AC34" i="135"/>
  <c r="AE38" i="136"/>
  <c r="AC7" i="61"/>
  <c r="AC14" i="61" s="1"/>
  <c r="AN25" i="136"/>
  <c r="AH35" i="135"/>
  <c r="AH37" i="136"/>
  <c r="AI37" i="136" s="1"/>
  <c r="AR34" i="136"/>
  <c r="AP30" i="135"/>
  <c r="AN23" i="133"/>
  <c r="AP36" i="135"/>
  <c r="AP35" i="134"/>
  <c r="AQ37" i="135"/>
  <c r="AO35" i="136"/>
  <c r="AO39" i="135"/>
  <c r="AN31" i="136"/>
  <c r="AN38" i="134"/>
  <c r="AO37" i="134"/>
  <c r="AM39" i="134"/>
  <c r="AP32" i="135"/>
  <c r="AO23" i="135"/>
  <c r="AQ30" i="134"/>
  <c r="AQ32" i="136"/>
  <c r="AS25" i="132"/>
  <c r="AN23" i="131"/>
  <c r="AN31" i="134"/>
  <c r="AN36" i="134"/>
  <c r="AO36" i="136"/>
  <c r="AI38" i="133"/>
  <c r="AJ38" i="133" s="1"/>
  <c r="AH34" i="133"/>
  <c r="AJ32" i="133"/>
  <c r="AK32" i="133" s="1"/>
  <c r="AL35" i="133"/>
  <c r="AG30" i="133"/>
  <c r="AH30" i="133" s="1"/>
  <c r="AM37" i="133"/>
  <c r="AI33" i="133"/>
  <c r="AI31" i="133"/>
  <c r="AJ36" i="133"/>
  <c r="AG12" i="61"/>
  <c r="AE11" i="61"/>
  <c r="AP22" i="132"/>
  <c r="AK22" i="133"/>
  <c r="AE9" i="61"/>
  <c r="AE8" i="61"/>
  <c r="AM43" i="132"/>
  <c r="AN48" i="132"/>
  <c r="AR30" i="132"/>
  <c r="AV33" i="132"/>
  <c r="AK38" i="131"/>
  <c r="AI33" i="131"/>
  <c r="AK36" i="131"/>
  <c r="AK30" i="131"/>
  <c r="AG31" i="131"/>
  <c r="AH32" i="131"/>
  <c r="AL35" i="131"/>
  <c r="AQ7" i="136" l="1"/>
  <c r="AQ7" i="135"/>
  <c r="AQ7" i="134"/>
  <c r="AQ7" i="132"/>
  <c r="AQ7" i="131"/>
  <c r="AP22" i="131"/>
  <c r="AQ22" i="131" s="1"/>
  <c r="AR22" i="131" s="1"/>
  <c r="AS22" i="131" s="1"/>
  <c r="AV24" i="133"/>
  <c r="AW24" i="133" s="1"/>
  <c r="AX24" i="133" s="1"/>
  <c r="AO24" i="131"/>
  <c r="AS24" i="136"/>
  <c r="BG24" i="135"/>
  <c r="BH24" i="135" s="1"/>
  <c r="BI24" i="135" s="1"/>
  <c r="AR24" i="134"/>
  <c r="AS24" i="134" s="1"/>
  <c r="AS24" i="132"/>
  <c r="AQ7" i="133"/>
  <c r="AM23" i="136"/>
  <c r="AN23" i="136" s="1"/>
  <c r="AQ23" i="134"/>
  <c r="AR23" i="134" s="1"/>
  <c r="AS23" i="134" s="1"/>
  <c r="AN39" i="136"/>
  <c r="AO39" i="136" s="1"/>
  <c r="AP39" i="136" s="1"/>
  <c r="AQ39" i="136" s="1"/>
  <c r="AT34" i="134"/>
  <c r="AU34" i="134" s="1"/>
  <c r="AV34" i="134" s="1"/>
  <c r="AW34" i="134" s="1"/>
  <c r="AX34" i="134" s="1"/>
  <c r="AP25" i="135"/>
  <c r="AQ25" i="135" s="1"/>
  <c r="AN21" i="134"/>
  <c r="AO21" i="134" s="1"/>
  <c r="AP33" i="136"/>
  <c r="AQ33" i="136" s="1"/>
  <c r="AE22" i="135"/>
  <c r="AF22" i="135" s="1"/>
  <c r="AN38" i="135"/>
  <c r="AO38" i="135" s="1"/>
  <c r="AM21" i="135"/>
  <c r="AD7" i="61"/>
  <c r="AD14" i="61" s="1"/>
  <c r="AF30" i="136"/>
  <c r="AM21" i="136"/>
  <c r="AP33" i="134"/>
  <c r="AI34" i="131"/>
  <c r="AJ34" i="131" s="1"/>
  <c r="AK34" i="131" s="1"/>
  <c r="AJ37" i="136"/>
  <c r="AF31" i="135"/>
  <c r="AG23" i="132"/>
  <c r="AI22" i="134"/>
  <c r="AF10" i="61"/>
  <c r="AI35" i="135"/>
  <c r="AO25" i="136"/>
  <c r="AP25" i="136" s="1"/>
  <c r="AF38" i="136"/>
  <c r="AG38" i="136" s="1"/>
  <c r="AH38" i="136" s="1"/>
  <c r="AI38" i="136" s="1"/>
  <c r="AD34" i="135"/>
  <c r="AK32" i="134"/>
  <c r="AL32" i="134" s="1"/>
  <c r="AM33" i="135"/>
  <c r="AG22" i="136"/>
  <c r="AP36" i="136"/>
  <c r="AO36" i="134"/>
  <c r="AR32" i="136"/>
  <c r="AR30" i="134"/>
  <c r="AP23" i="135"/>
  <c r="AN39" i="134"/>
  <c r="AO38" i="134"/>
  <c r="AP35" i="136"/>
  <c r="AT25" i="132"/>
  <c r="AP37" i="134"/>
  <c r="AQ35" i="134"/>
  <c r="AQ36" i="135"/>
  <c r="AO31" i="134"/>
  <c r="AQ32" i="135"/>
  <c r="AO31" i="136"/>
  <c r="AR37" i="135"/>
  <c r="AQ30" i="135"/>
  <c r="AO23" i="131"/>
  <c r="AP39" i="135"/>
  <c r="AO23" i="133"/>
  <c r="AS34" i="136"/>
  <c r="AI30" i="133"/>
  <c r="AJ30" i="133" s="1"/>
  <c r="AN37" i="133"/>
  <c r="AJ31" i="133"/>
  <c r="AK31" i="133" s="1"/>
  <c r="AK38" i="133"/>
  <c r="AK36" i="133"/>
  <c r="AL36" i="133" s="1"/>
  <c r="AJ33" i="133"/>
  <c r="AI34" i="133"/>
  <c r="AM35" i="133"/>
  <c r="AL32" i="133"/>
  <c r="AH12" i="61"/>
  <c r="AF11" i="61"/>
  <c r="AQ22" i="132"/>
  <c r="AL22" i="133"/>
  <c r="AF9" i="61"/>
  <c r="AF8" i="61"/>
  <c r="AN43" i="132"/>
  <c r="AO48" i="132"/>
  <c r="AM46" i="132"/>
  <c r="AS30" i="132"/>
  <c r="AT30" i="132" s="1"/>
  <c r="AM37" i="132"/>
  <c r="AW33" i="132"/>
  <c r="AH31" i="131"/>
  <c r="AJ33" i="131"/>
  <c r="AM39" i="131"/>
  <c r="AI32" i="131"/>
  <c r="AL38" i="131"/>
  <c r="AM35" i="131"/>
  <c r="AL30" i="131"/>
  <c r="AL36" i="131"/>
  <c r="AR7" i="132" l="1"/>
  <c r="AR7" i="135"/>
  <c r="AR7" i="131"/>
  <c r="AR7" i="134"/>
  <c r="AR7" i="136"/>
  <c r="BJ24" i="135"/>
  <c r="BK24" i="135" s="1"/>
  <c r="BL24" i="135" s="1"/>
  <c r="AY24" i="133"/>
  <c r="AZ24" i="133" s="1"/>
  <c r="BA24" i="133" s="1"/>
  <c r="AT24" i="134"/>
  <c r="AT24" i="136"/>
  <c r="AP24" i="131"/>
  <c r="AT24" i="132"/>
  <c r="AR7" i="133"/>
  <c r="AR25" i="135"/>
  <c r="AS25" i="135" s="1"/>
  <c r="AT23" i="134"/>
  <c r="AU23" i="134" s="1"/>
  <c r="AP21" i="134"/>
  <c r="AQ21" i="134" s="1"/>
  <c r="AT22" i="131"/>
  <c r="AU22" i="131" s="1"/>
  <c r="AR33" i="136"/>
  <c r="AS33" i="136" s="1"/>
  <c r="AP38" i="135"/>
  <c r="AQ38" i="135" s="1"/>
  <c r="AR38" i="135" s="1"/>
  <c r="AG22" i="135"/>
  <c r="AH22" i="135" s="1"/>
  <c r="AJ38" i="136"/>
  <c r="AK38" i="136" s="1"/>
  <c r="AL38" i="136" s="1"/>
  <c r="AG10" i="61"/>
  <c r="AH23" i="132"/>
  <c r="AN21" i="136"/>
  <c r="AR39" i="136"/>
  <c r="AS39" i="136" s="1"/>
  <c r="AT39" i="136" s="1"/>
  <c r="AJ22" i="134"/>
  <c r="AK22" i="134" s="1"/>
  <c r="AL22" i="134" s="1"/>
  <c r="AG31" i="135"/>
  <c r="AJ35" i="135"/>
  <c r="AQ33" i="134"/>
  <c r="AR33" i="134" s="1"/>
  <c r="AQ25" i="136"/>
  <c r="AR25" i="136" s="1"/>
  <c r="AL34" i="131"/>
  <c r="AM34" i="131" s="1"/>
  <c r="AN33" i="135"/>
  <c r="AE34" i="135"/>
  <c r="AK37" i="136"/>
  <c r="AH22" i="136"/>
  <c r="AM32" i="134"/>
  <c r="AG30" i="136"/>
  <c r="AE7" i="61"/>
  <c r="AE14" i="61" s="1"/>
  <c r="AN21" i="135"/>
  <c r="AO23" i="136"/>
  <c r="AP23" i="136" s="1"/>
  <c r="AT34" i="136"/>
  <c r="AR35" i="134"/>
  <c r="AO39" i="134"/>
  <c r="AQ23" i="135"/>
  <c r="AS30" i="134"/>
  <c r="AP23" i="133"/>
  <c r="AP23" i="131"/>
  <c r="AS37" i="135"/>
  <c r="AR32" i="135"/>
  <c r="AR36" i="135"/>
  <c r="AQ35" i="136"/>
  <c r="AQ36" i="136"/>
  <c r="AQ39" i="135"/>
  <c r="AR30" i="135"/>
  <c r="AP31" i="134"/>
  <c r="AQ37" i="134"/>
  <c r="AU25" i="132"/>
  <c r="AP38" i="134"/>
  <c r="AS32" i="136"/>
  <c r="AP31" i="136"/>
  <c r="AY34" i="134"/>
  <c r="AP36" i="134"/>
  <c r="AJ34" i="133"/>
  <c r="AM32" i="133"/>
  <c r="AN35" i="133"/>
  <c r="AO35" i="133" s="1"/>
  <c r="AK30" i="133"/>
  <c r="AK33" i="133"/>
  <c r="AL38" i="133"/>
  <c r="AO37" i="133"/>
  <c r="AL31" i="133"/>
  <c r="AM36" i="133"/>
  <c r="AI12" i="61"/>
  <c r="AG11" i="61"/>
  <c r="AR22" i="132"/>
  <c r="AM22" i="133"/>
  <c r="AG9" i="61"/>
  <c r="AG8" i="61"/>
  <c r="AO43" i="132"/>
  <c r="AP48" i="132"/>
  <c r="AM52" i="132"/>
  <c r="AN46" i="132"/>
  <c r="AM47" i="132"/>
  <c r="AU30" i="132"/>
  <c r="AV30" i="132" s="1"/>
  <c r="AW30" i="132" s="1"/>
  <c r="AN37" i="132"/>
  <c r="AO37" i="132" s="1"/>
  <c r="AX33" i="132"/>
  <c r="AM30" i="131"/>
  <c r="AN35" i="131"/>
  <c r="AJ32" i="131"/>
  <c r="AN39" i="131"/>
  <c r="AI31" i="131"/>
  <c r="AM36" i="131"/>
  <c r="AM38" i="131"/>
  <c r="AK33" i="131"/>
  <c r="AM21" i="131"/>
  <c r="AS7" i="134" l="1"/>
  <c r="AS7" i="135"/>
  <c r="AS7" i="136"/>
  <c r="AS7" i="131"/>
  <c r="AS7" i="132"/>
  <c r="BB24" i="133"/>
  <c r="BC24" i="133" s="1"/>
  <c r="BD24" i="133" s="1"/>
  <c r="BE24" i="133" s="1"/>
  <c r="BM24" i="135"/>
  <c r="BN24" i="135" s="1"/>
  <c r="BO24" i="135" s="1"/>
  <c r="BP24" i="135" s="1"/>
  <c r="BQ24" i="135" s="1"/>
  <c r="AU24" i="132"/>
  <c r="AV24" i="132" s="1"/>
  <c r="AU24" i="134"/>
  <c r="AQ24" i="131"/>
  <c r="AU24" i="136"/>
  <c r="AS7" i="133"/>
  <c r="AM38" i="136"/>
  <c r="AN38" i="136" s="1"/>
  <c r="AO38" i="136" s="1"/>
  <c r="AV23" i="134"/>
  <c r="AI22" i="135"/>
  <c r="AJ22" i="135" s="1"/>
  <c r="AM22" i="134"/>
  <c r="AS33" i="134"/>
  <c r="AT33" i="134" s="1"/>
  <c r="AU33" i="134" s="1"/>
  <c r="AF7" i="61"/>
  <c r="AF14" i="61" s="1"/>
  <c r="AN32" i="134"/>
  <c r="AO32" i="134" s="1"/>
  <c r="AP32" i="134" s="1"/>
  <c r="AN34" i="131"/>
  <c r="AO34" i="131" s="1"/>
  <c r="AL37" i="136"/>
  <c r="AM37" i="136" s="1"/>
  <c r="AN37" i="136" s="1"/>
  <c r="AO37" i="136" s="1"/>
  <c r="AO21" i="136"/>
  <c r="AI23" i="132"/>
  <c r="AI22" i="136"/>
  <c r="AQ23" i="136"/>
  <c r="AR23" i="136" s="1"/>
  <c r="AH10" i="61"/>
  <c r="AH30" i="136"/>
  <c r="AF34" i="135"/>
  <c r="AS25" i="136"/>
  <c r="AT25" i="136" s="1"/>
  <c r="AK35" i="135"/>
  <c r="AH31" i="135"/>
  <c r="AO33" i="135"/>
  <c r="AO21" i="135"/>
  <c r="AP21" i="135" s="1"/>
  <c r="AQ36" i="134"/>
  <c r="AU39" i="136"/>
  <c r="AV25" i="132"/>
  <c r="AR35" i="136"/>
  <c r="AS32" i="135"/>
  <c r="AQ23" i="133"/>
  <c r="AT30" i="134"/>
  <c r="AR23" i="135"/>
  <c r="AS35" i="134"/>
  <c r="AZ34" i="134"/>
  <c r="AQ31" i="136"/>
  <c r="AT32" i="136"/>
  <c r="AQ38" i="134"/>
  <c r="AS36" i="135"/>
  <c r="AS30" i="135"/>
  <c r="AW23" i="134"/>
  <c r="AQ23" i="131"/>
  <c r="AP39" i="134"/>
  <c r="AR37" i="134"/>
  <c r="AQ31" i="134"/>
  <c r="AR39" i="135"/>
  <c r="AR36" i="136"/>
  <c r="AR21" i="134"/>
  <c r="AS38" i="135"/>
  <c r="AT37" i="135"/>
  <c r="AT25" i="135"/>
  <c r="AT33" i="136"/>
  <c r="AU34" i="136"/>
  <c r="AP35" i="133"/>
  <c r="AL30" i="133"/>
  <c r="AN36" i="133"/>
  <c r="AP37" i="133"/>
  <c r="AM39" i="133"/>
  <c r="AK34" i="133"/>
  <c r="AL33" i="133"/>
  <c r="AM38" i="133"/>
  <c r="AM31" i="133"/>
  <c r="AN32" i="133"/>
  <c r="AJ12" i="61"/>
  <c r="AH11" i="61"/>
  <c r="AV22" i="131"/>
  <c r="AS22" i="132"/>
  <c r="AN22" i="133"/>
  <c r="AH9" i="61"/>
  <c r="AH8" i="61"/>
  <c r="AN47" i="132"/>
  <c r="AM45" i="132"/>
  <c r="AO46" i="132"/>
  <c r="AP43" i="132"/>
  <c r="AN52" i="132"/>
  <c r="AQ48" i="132"/>
  <c r="AP37" i="132"/>
  <c r="AQ37" i="132" s="1"/>
  <c r="AY33" i="132"/>
  <c r="AX30" i="132"/>
  <c r="AK32" i="131"/>
  <c r="AL33" i="131"/>
  <c r="AN36" i="131"/>
  <c r="AN38" i="131"/>
  <c r="AJ31" i="131"/>
  <c r="AM37" i="131"/>
  <c r="AO39" i="131"/>
  <c r="AO35" i="131"/>
  <c r="AN30" i="131"/>
  <c r="AN21" i="131"/>
  <c r="AT7" i="131" l="1"/>
  <c r="AT7" i="135"/>
  <c r="AT7" i="132"/>
  <c r="AT7" i="136"/>
  <c r="AT7" i="134"/>
  <c r="BR24" i="135"/>
  <c r="BS24" i="135" s="1"/>
  <c r="BT24" i="135" s="1"/>
  <c r="BF24" i="133"/>
  <c r="AW24" i="132"/>
  <c r="AR24" i="131"/>
  <c r="AS24" i="131" s="1"/>
  <c r="AT24" i="131" s="1"/>
  <c r="AU24" i="131" s="1"/>
  <c r="AV24" i="134"/>
  <c r="AW24" i="134" s="1"/>
  <c r="AV24" i="136"/>
  <c r="AT7" i="133"/>
  <c r="AK22" i="135"/>
  <c r="AL22" i="135" s="1"/>
  <c r="AS23" i="136"/>
  <c r="AT23" i="136" s="1"/>
  <c r="AP37" i="136"/>
  <c r="AQ37" i="136" s="1"/>
  <c r="AR37" i="136" s="1"/>
  <c r="AQ21" i="135"/>
  <c r="AR21" i="135" s="1"/>
  <c r="AS21" i="135" s="1"/>
  <c r="AT21" i="135" s="1"/>
  <c r="AG34" i="135"/>
  <c r="AU25" i="136"/>
  <c r="AV25" i="136" s="1"/>
  <c r="AP34" i="131"/>
  <c r="AQ34" i="131" s="1"/>
  <c r="AR34" i="131" s="1"/>
  <c r="AI31" i="135"/>
  <c r="AL35" i="135"/>
  <c r="AP33" i="135"/>
  <c r="AN22" i="134"/>
  <c r="AO22" i="134" s="1"/>
  <c r="AP22" i="134" s="1"/>
  <c r="AI30" i="136"/>
  <c r="AJ22" i="136"/>
  <c r="AP21" i="136"/>
  <c r="AG7" i="61"/>
  <c r="AG14" i="61" s="1"/>
  <c r="AQ32" i="134"/>
  <c r="AR32" i="134" s="1"/>
  <c r="AP38" i="136"/>
  <c r="AQ38" i="136" s="1"/>
  <c r="AI10" i="61"/>
  <c r="AJ23" i="132"/>
  <c r="AR23" i="131"/>
  <c r="AT36" i="135"/>
  <c r="AS23" i="135"/>
  <c r="AW25" i="132"/>
  <c r="AS21" i="134"/>
  <c r="AS36" i="136"/>
  <c r="AS39" i="135"/>
  <c r="AT30" i="135"/>
  <c r="AU30" i="134"/>
  <c r="AV33" i="134"/>
  <c r="AR36" i="134"/>
  <c r="AV34" i="136"/>
  <c r="AU33" i="136"/>
  <c r="AU25" i="135"/>
  <c r="AT38" i="135"/>
  <c r="AR31" i="134"/>
  <c r="AQ39" i="134"/>
  <c r="AU32" i="136"/>
  <c r="AR31" i="136"/>
  <c r="BA34" i="134"/>
  <c r="AT35" i="134"/>
  <c r="AR23" i="133"/>
  <c r="AT32" i="135"/>
  <c r="AS35" i="136"/>
  <c r="AV39" i="136"/>
  <c r="AU37" i="135"/>
  <c r="AS37" i="134"/>
  <c r="AX23" i="134"/>
  <c r="AR38" i="134"/>
  <c r="AN38" i="133"/>
  <c r="AM33" i="133"/>
  <c r="AN31" i="133"/>
  <c r="AO31" i="133" s="1"/>
  <c r="AO36" i="133"/>
  <c r="AR37" i="132"/>
  <c r="AS37" i="132" s="1"/>
  <c r="AO32" i="133"/>
  <c r="AL34" i="133"/>
  <c r="AN39" i="133"/>
  <c r="AQ37" i="133"/>
  <c r="AM30" i="133"/>
  <c r="AQ35" i="133"/>
  <c r="AK12" i="61"/>
  <c r="AI11" i="61"/>
  <c r="AW22" i="131"/>
  <c r="AT22" i="132"/>
  <c r="AO22" i="133"/>
  <c r="AI9" i="61"/>
  <c r="AI8" i="61"/>
  <c r="AN45" i="132"/>
  <c r="AM51" i="132"/>
  <c r="AM53" i="132"/>
  <c r="AO47" i="132"/>
  <c r="AR48" i="132"/>
  <c r="AM50" i="132"/>
  <c r="AQ43" i="132"/>
  <c r="AO52" i="132"/>
  <c r="AP46" i="132"/>
  <c r="AM36" i="132"/>
  <c r="AZ33" i="132"/>
  <c r="AY30" i="132"/>
  <c r="AN37" i="131"/>
  <c r="AO30" i="131"/>
  <c r="AK31" i="131"/>
  <c r="AO38" i="131"/>
  <c r="AO36" i="131"/>
  <c r="AM33" i="131"/>
  <c r="AP35" i="131"/>
  <c r="AP39" i="131"/>
  <c r="AL32" i="131"/>
  <c r="AO21" i="131"/>
  <c r="AU7" i="136" l="1"/>
  <c r="AU7" i="134"/>
  <c r="AU7" i="135"/>
  <c r="AU7" i="132"/>
  <c r="AU7" i="131"/>
  <c r="BU24" i="135"/>
  <c r="BV24" i="135" s="1"/>
  <c r="BG24" i="133"/>
  <c r="AV24" i="131"/>
  <c r="AW24" i="131" s="1"/>
  <c r="AX24" i="134"/>
  <c r="AX24" i="132"/>
  <c r="AW24" i="136"/>
  <c r="AU7" i="133"/>
  <c r="AU23" i="136"/>
  <c r="AV23" i="136" s="1"/>
  <c r="AM22" i="135"/>
  <c r="AN22" i="135" s="1"/>
  <c r="AO22" i="135" s="1"/>
  <c r="AQ33" i="135"/>
  <c r="AR33" i="135" s="1"/>
  <c r="AR38" i="136"/>
  <c r="AS38" i="136" s="1"/>
  <c r="AT38" i="136" s="1"/>
  <c r="AJ30" i="136"/>
  <c r="AS37" i="136"/>
  <c r="AK23" i="132"/>
  <c r="AM44" i="132"/>
  <c r="AM35" i="135"/>
  <c r="AH7" i="61"/>
  <c r="AH14" i="61" s="1"/>
  <c r="AW25" i="136"/>
  <c r="AX25" i="136" s="1"/>
  <c r="AJ10" i="61"/>
  <c r="AQ21" i="136"/>
  <c r="AK22" i="136"/>
  <c r="AQ22" i="134"/>
  <c r="AR22" i="134" s="1"/>
  <c r="AH34" i="135"/>
  <c r="AS32" i="134"/>
  <c r="AT32" i="134" s="1"/>
  <c r="AU32" i="134" s="1"/>
  <c r="AJ31" i="135"/>
  <c r="AY23" i="134"/>
  <c r="AS23" i="133"/>
  <c r="AW34" i="136"/>
  <c r="AW33" i="134"/>
  <c r="AV30" i="134"/>
  <c r="AT21" i="134"/>
  <c r="AT23" i="135"/>
  <c r="AT37" i="134"/>
  <c r="AV37" i="135"/>
  <c r="AT35" i="136"/>
  <c r="BB34" i="134"/>
  <c r="AS31" i="134"/>
  <c r="AU38" i="135"/>
  <c r="AV33" i="136"/>
  <c r="AS36" i="134"/>
  <c r="AT36" i="136"/>
  <c r="AS23" i="131"/>
  <c r="AS38" i="134"/>
  <c r="AU35" i="134"/>
  <c r="AV32" i="136"/>
  <c r="AT39" i="135"/>
  <c r="AX25" i="132"/>
  <c r="AU36" i="135"/>
  <c r="AU21" i="135"/>
  <c r="AW39" i="136"/>
  <c r="AU32" i="135"/>
  <c r="AS31" i="136"/>
  <c r="AR39" i="134"/>
  <c r="AV25" i="135"/>
  <c r="AU30" i="135"/>
  <c r="AO39" i="133"/>
  <c r="AM34" i="133"/>
  <c r="AR35" i="133"/>
  <c r="AP32" i="133"/>
  <c r="AP31" i="133"/>
  <c r="AN33" i="133"/>
  <c r="AO38" i="133"/>
  <c r="AN30" i="133"/>
  <c r="AO30" i="133" s="1"/>
  <c r="AP30" i="133" s="1"/>
  <c r="AR37" i="133"/>
  <c r="AP36" i="133"/>
  <c r="AL12" i="61"/>
  <c r="AJ11" i="61"/>
  <c r="AX22" i="131"/>
  <c r="AU22" i="132"/>
  <c r="AP22" i="133"/>
  <c r="AM21" i="133"/>
  <c r="AJ9" i="61"/>
  <c r="AJ8" i="61"/>
  <c r="AN53" i="132"/>
  <c r="AO45" i="132"/>
  <c r="AQ46" i="132"/>
  <c r="AR43" i="132"/>
  <c r="AS48" i="132"/>
  <c r="AN50" i="132"/>
  <c r="AN51" i="132"/>
  <c r="AP52" i="132"/>
  <c r="AP47" i="132"/>
  <c r="AT37" i="132"/>
  <c r="AM32" i="132"/>
  <c r="AM39" i="132"/>
  <c r="AM34" i="132"/>
  <c r="AM31" i="132"/>
  <c r="AN36" i="132"/>
  <c r="AZ30" i="132"/>
  <c r="BA33" i="132"/>
  <c r="AS34" i="131"/>
  <c r="AL31" i="131"/>
  <c r="AO37" i="131"/>
  <c r="AP38" i="131"/>
  <c r="AP30" i="131"/>
  <c r="AM32" i="131"/>
  <c r="AQ39" i="131"/>
  <c r="AQ35" i="131"/>
  <c r="AN33" i="131"/>
  <c r="AP36" i="131"/>
  <c r="AP21" i="131"/>
  <c r="AV7" i="132" l="1"/>
  <c r="AV7" i="131"/>
  <c r="AV7" i="135"/>
  <c r="AV7" i="134"/>
  <c r="AV7" i="136"/>
  <c r="BH24" i="133"/>
  <c r="BI24" i="133" s="1"/>
  <c r="AX24" i="131"/>
  <c r="AY24" i="131" s="1"/>
  <c r="AY24" i="132"/>
  <c r="AZ24" i="132" s="1"/>
  <c r="BA24" i="132" s="1"/>
  <c r="AX24" i="136"/>
  <c r="AY24" i="134"/>
  <c r="AV7" i="133"/>
  <c r="AS33" i="135"/>
  <c r="AT33" i="135" s="1"/>
  <c r="AP22" i="135"/>
  <c r="AU38" i="136"/>
  <c r="AV38" i="136" s="1"/>
  <c r="AS22" i="134"/>
  <c r="AT22" i="134" s="1"/>
  <c r="AT37" i="136"/>
  <c r="AK31" i="135"/>
  <c r="AR21" i="136"/>
  <c r="AN35" i="135"/>
  <c r="AL22" i="136"/>
  <c r="AK10" i="61"/>
  <c r="AI7" i="61"/>
  <c r="AI14" i="61" s="1"/>
  <c r="AK30" i="136"/>
  <c r="AI34" i="135"/>
  <c r="AN44" i="132"/>
  <c r="AL23" i="132"/>
  <c r="AY25" i="132"/>
  <c r="AV32" i="134"/>
  <c r="AV35" i="134"/>
  <c r="AW38" i="136"/>
  <c r="AT23" i="131"/>
  <c r="AT36" i="134"/>
  <c r="AU23" i="135"/>
  <c r="AX34" i="136"/>
  <c r="AT23" i="133"/>
  <c r="AW25" i="135"/>
  <c r="AS39" i="134"/>
  <c r="AT31" i="136"/>
  <c r="AV36" i="135"/>
  <c r="AU39" i="135"/>
  <c r="AV38" i="135"/>
  <c r="AU35" i="136"/>
  <c r="AZ23" i="134"/>
  <c r="AW23" i="136"/>
  <c r="AV30" i="135"/>
  <c r="AV21" i="135"/>
  <c r="AT38" i="134"/>
  <c r="AU37" i="134"/>
  <c r="AU21" i="134"/>
  <c r="AX33" i="134"/>
  <c r="AV32" i="135"/>
  <c r="AY25" i="136"/>
  <c r="AX39" i="136"/>
  <c r="AW32" i="136"/>
  <c r="AU36" i="136"/>
  <c r="AW33" i="136"/>
  <c r="AT31" i="134"/>
  <c r="BC34" i="134"/>
  <c r="AW37" i="135"/>
  <c r="AW30" i="134"/>
  <c r="AQ30" i="133"/>
  <c r="AS37" i="133"/>
  <c r="AQ36" i="133"/>
  <c r="AQ31" i="133"/>
  <c r="AQ32" i="133"/>
  <c r="AP39" i="133"/>
  <c r="AO33" i="133"/>
  <c r="AP38" i="133"/>
  <c r="AS35" i="133"/>
  <c r="AN34" i="133"/>
  <c r="AM12" i="61"/>
  <c r="AK11" i="61"/>
  <c r="AY22" i="131"/>
  <c r="AV22" i="132"/>
  <c r="AQ22" i="133"/>
  <c r="AN21" i="133"/>
  <c r="AK9" i="61"/>
  <c r="AK8" i="61"/>
  <c r="AQ52" i="132"/>
  <c r="AO51" i="132"/>
  <c r="AO50" i="132"/>
  <c r="AT48" i="132"/>
  <c r="AP45" i="132"/>
  <c r="AR46" i="132"/>
  <c r="AQ47" i="132"/>
  <c r="AS43" i="132"/>
  <c r="AO53" i="132"/>
  <c r="AM38" i="132"/>
  <c r="AN31" i="132"/>
  <c r="AO36" i="132"/>
  <c r="AN39" i="132"/>
  <c r="AN32" i="132"/>
  <c r="AN34" i="132"/>
  <c r="AU37" i="132"/>
  <c r="AM35" i="132"/>
  <c r="BB33" i="132"/>
  <c r="BA30" i="132"/>
  <c r="AR39" i="131"/>
  <c r="AM31" i="131"/>
  <c r="AT34" i="131"/>
  <c r="AQ36" i="131"/>
  <c r="AR35" i="131"/>
  <c r="AN32" i="131"/>
  <c r="AP37" i="131"/>
  <c r="AO33" i="131"/>
  <c r="AQ30" i="131"/>
  <c r="AQ38" i="131"/>
  <c r="AQ21" i="131"/>
  <c r="AW7" i="134" l="1"/>
  <c r="AW7" i="131"/>
  <c r="AW7" i="136"/>
  <c r="AW7" i="135"/>
  <c r="AW7" i="132"/>
  <c r="BJ24" i="133"/>
  <c r="BB24" i="132"/>
  <c r="BC24" i="132" s="1"/>
  <c r="BD24" i="132" s="1"/>
  <c r="BE24" i="132" s="1"/>
  <c r="BF24" i="132" s="1"/>
  <c r="AZ24" i="131"/>
  <c r="BA24" i="131" s="1"/>
  <c r="AZ24" i="134"/>
  <c r="AY24" i="136"/>
  <c r="AW7" i="133"/>
  <c r="AU33" i="135"/>
  <c r="AV33" i="135" s="1"/>
  <c r="AQ22" i="135"/>
  <c r="AJ34" i="135"/>
  <c r="AL31" i="135"/>
  <c r="AO44" i="132"/>
  <c r="AL10" i="61"/>
  <c r="AM22" i="136"/>
  <c r="AN22" i="136" s="1"/>
  <c r="AU22" i="134"/>
  <c r="AV22" i="134" s="1"/>
  <c r="AW22" i="134" s="1"/>
  <c r="AL30" i="136"/>
  <c r="AM23" i="132"/>
  <c r="AJ7" i="61"/>
  <c r="AJ14" i="61" s="1"/>
  <c r="AO35" i="135"/>
  <c r="AS21" i="136"/>
  <c r="AU37" i="136"/>
  <c r="AU31" i="134"/>
  <c r="AX33" i="136"/>
  <c r="AY33" i="134"/>
  <c r="AV39" i="135"/>
  <c r="AY34" i="136"/>
  <c r="AV23" i="135"/>
  <c r="AU23" i="131"/>
  <c r="AX30" i="134"/>
  <c r="BD34" i="134"/>
  <c r="AX32" i="136"/>
  <c r="AW21" i="135"/>
  <c r="AX23" i="136"/>
  <c r="BA23" i="134"/>
  <c r="AW36" i="135"/>
  <c r="AX25" i="135"/>
  <c r="AX38" i="136"/>
  <c r="AW32" i="134"/>
  <c r="AX37" i="135"/>
  <c r="AY39" i="136"/>
  <c r="AZ25" i="136"/>
  <c r="AV21" i="134"/>
  <c r="AV37" i="134"/>
  <c r="AU31" i="136"/>
  <c r="AT39" i="134"/>
  <c r="AU36" i="134"/>
  <c r="AW35" i="134"/>
  <c r="AZ25" i="132"/>
  <c r="AV36" i="136"/>
  <c r="AW32" i="135"/>
  <c r="AU38" i="134"/>
  <c r="AW30" i="135"/>
  <c r="AV35" i="136"/>
  <c r="AW38" i="135"/>
  <c r="AU23" i="133"/>
  <c r="AP33" i="133"/>
  <c r="AT37" i="133"/>
  <c r="AT35" i="133"/>
  <c r="AU35" i="133" s="1"/>
  <c r="AR32" i="133"/>
  <c r="AO34" i="133"/>
  <c r="AQ39" i="133"/>
  <c r="AR30" i="133"/>
  <c r="AR36" i="133"/>
  <c r="AQ38" i="133"/>
  <c r="AR31" i="133"/>
  <c r="AN12" i="61"/>
  <c r="AL11" i="61"/>
  <c r="AZ22" i="131"/>
  <c r="AW22" i="132"/>
  <c r="AR22" i="133"/>
  <c r="AO21" i="133"/>
  <c r="AL9" i="61"/>
  <c r="AL8" i="61"/>
  <c r="AP51" i="132"/>
  <c r="AR52" i="132"/>
  <c r="AT43" i="132"/>
  <c r="AR47" i="132"/>
  <c r="AQ45" i="132"/>
  <c r="AP53" i="132"/>
  <c r="AS46" i="132"/>
  <c r="AU48" i="132"/>
  <c r="AP50" i="132"/>
  <c r="AO32" i="132"/>
  <c r="AO31" i="132"/>
  <c r="AN35" i="132"/>
  <c r="AP36" i="132"/>
  <c r="AN38" i="132"/>
  <c r="AV37" i="132"/>
  <c r="AO39" i="132"/>
  <c r="AO34" i="132"/>
  <c r="BC33" i="132"/>
  <c r="BB30" i="132"/>
  <c r="AM21" i="132"/>
  <c r="AN31" i="131"/>
  <c r="AR30" i="131"/>
  <c r="AP33" i="131"/>
  <c r="AS35" i="131"/>
  <c r="AR38" i="131"/>
  <c r="AQ37" i="131"/>
  <c r="AS39" i="131"/>
  <c r="AR36" i="131"/>
  <c r="AO32" i="131"/>
  <c r="AU34" i="131"/>
  <c r="AR21" i="131"/>
  <c r="AX7" i="135" l="1"/>
  <c r="AX7" i="131"/>
  <c r="AX7" i="132"/>
  <c r="AX7" i="136"/>
  <c r="AX7" i="134"/>
  <c r="BG24" i="132"/>
  <c r="BH24" i="132" s="1"/>
  <c r="BB24" i="131"/>
  <c r="BC24" i="131" s="1"/>
  <c r="BK24" i="133"/>
  <c r="BL24" i="133" s="1"/>
  <c r="BM24" i="133" s="1"/>
  <c r="BN24" i="133" s="1"/>
  <c r="BO24" i="133" s="1"/>
  <c r="BP24" i="133" s="1"/>
  <c r="AZ24" i="136"/>
  <c r="BA24" i="136" s="1"/>
  <c r="BA24" i="134"/>
  <c r="AX7" i="133"/>
  <c r="AW33" i="135"/>
  <c r="AX33" i="135" s="1"/>
  <c r="AR22" i="135"/>
  <c r="AS22" i="135" s="1"/>
  <c r="AT21" i="136"/>
  <c r="AP35" i="135"/>
  <c r="AM31" i="135"/>
  <c r="AK34" i="135"/>
  <c r="AK7" i="61"/>
  <c r="AK14" i="61" s="1"/>
  <c r="AM30" i="136"/>
  <c r="AM10" i="61"/>
  <c r="AP44" i="132"/>
  <c r="AQ44" i="132" s="1"/>
  <c r="AN23" i="132"/>
  <c r="AM25" i="133"/>
  <c r="AV37" i="136"/>
  <c r="AO22" i="136"/>
  <c r="AV38" i="134"/>
  <c r="BA25" i="132"/>
  <c r="AV36" i="134"/>
  <c r="AU39" i="134"/>
  <c r="AY37" i="135"/>
  <c r="AY25" i="135"/>
  <c r="BB23" i="134"/>
  <c r="AZ34" i="136"/>
  <c r="AV31" i="134"/>
  <c r="AX30" i="135"/>
  <c r="AW36" i="136"/>
  <c r="BA25" i="136"/>
  <c r="AX32" i="134"/>
  <c r="AY38" i="136"/>
  <c r="BE34" i="134"/>
  <c r="AV23" i="131"/>
  <c r="AY33" i="136"/>
  <c r="AX38" i="135"/>
  <c r="AW35" i="136"/>
  <c r="AX32" i="135"/>
  <c r="AW37" i="134"/>
  <c r="AY32" i="136"/>
  <c r="AW39" i="135"/>
  <c r="AZ33" i="134"/>
  <c r="AV23" i="133"/>
  <c r="AX22" i="134"/>
  <c r="AX35" i="134"/>
  <c r="AV31" i="136"/>
  <c r="AW21" i="134"/>
  <c r="AZ39" i="136"/>
  <c r="AX36" i="135"/>
  <c r="AY23" i="136"/>
  <c r="AX21" i="135"/>
  <c r="AY30" i="134"/>
  <c r="AW23" i="135"/>
  <c r="AS32" i="133"/>
  <c r="AU37" i="133"/>
  <c r="AQ33" i="133"/>
  <c r="AS31" i="133"/>
  <c r="AT31" i="133" s="1"/>
  <c r="AS36" i="133"/>
  <c r="AS30" i="133"/>
  <c r="AT30" i="133" s="1"/>
  <c r="AP34" i="133"/>
  <c r="AV35" i="133"/>
  <c r="AW37" i="132"/>
  <c r="AX37" i="132" s="1"/>
  <c r="AR38" i="133"/>
  <c r="AR39" i="133"/>
  <c r="AO12" i="61"/>
  <c r="AM11" i="61"/>
  <c r="BA22" i="131"/>
  <c r="AX22" i="132"/>
  <c r="AS22" i="133"/>
  <c r="AP21" i="133"/>
  <c r="AM9" i="61"/>
  <c r="AM8" i="61"/>
  <c r="AT46" i="132"/>
  <c r="AR45" i="132"/>
  <c r="AS47" i="132"/>
  <c r="AQ50" i="132"/>
  <c r="AU43" i="132"/>
  <c r="AV48" i="132"/>
  <c r="AQ53" i="132"/>
  <c r="AS52" i="132"/>
  <c r="AQ51" i="132"/>
  <c r="AP32" i="132"/>
  <c r="AP39" i="132"/>
  <c r="AP31" i="132"/>
  <c r="AP34" i="132"/>
  <c r="AO38" i="132"/>
  <c r="AQ36" i="132"/>
  <c r="AO35" i="132"/>
  <c r="BC30" i="132"/>
  <c r="BD33" i="132"/>
  <c r="AN21" i="132"/>
  <c r="AQ33" i="131"/>
  <c r="AS36" i="131"/>
  <c r="AS30" i="131"/>
  <c r="AV34" i="131"/>
  <c r="AP32" i="131"/>
  <c r="AR37" i="131"/>
  <c r="AT35" i="131"/>
  <c r="AO31" i="131"/>
  <c r="AT39" i="131"/>
  <c r="AS38" i="131"/>
  <c r="AS21" i="131"/>
  <c r="AY7" i="136" l="1"/>
  <c r="AY7" i="131"/>
  <c r="AY7" i="134"/>
  <c r="AY7" i="132"/>
  <c r="AY7" i="135"/>
  <c r="BD24" i="131"/>
  <c r="BE24" i="131" s="1"/>
  <c r="BF24" i="131" s="1"/>
  <c r="BQ24" i="133"/>
  <c r="BR24" i="133" s="1"/>
  <c r="BS24" i="133" s="1"/>
  <c r="BB24" i="136"/>
  <c r="BB24" i="134"/>
  <c r="BI24" i="132"/>
  <c r="AY7" i="133"/>
  <c r="AT22" i="135"/>
  <c r="AU22" i="135" s="1"/>
  <c r="AN30" i="136"/>
  <c r="AQ35" i="135"/>
  <c r="AN25" i="133"/>
  <c r="AL34" i="135"/>
  <c r="AW37" i="136"/>
  <c r="AU21" i="136"/>
  <c r="AM25" i="134"/>
  <c r="AN10" i="61"/>
  <c r="AO23" i="132"/>
  <c r="AP22" i="136"/>
  <c r="AR44" i="132"/>
  <c r="AL7" i="61"/>
  <c r="AL14" i="61" s="1"/>
  <c r="AN31" i="135"/>
  <c r="BA39" i="136"/>
  <c r="AX21" i="134"/>
  <c r="BA33" i="134"/>
  <c r="AX37" i="134"/>
  <c r="AZ33" i="136"/>
  <c r="BF34" i="134"/>
  <c r="AY32" i="134"/>
  <c r="AY33" i="135"/>
  <c r="AV39" i="134"/>
  <c r="AW38" i="134"/>
  <c r="AZ30" i="134"/>
  <c r="AY21" i="135"/>
  <c r="AZ23" i="136"/>
  <c r="AY36" i="135"/>
  <c r="AZ32" i="136"/>
  <c r="AY32" i="135"/>
  <c r="AY38" i="135"/>
  <c r="AX36" i="136"/>
  <c r="AW31" i="136"/>
  <c r="AW23" i="133"/>
  <c r="AX39" i="135"/>
  <c r="AX35" i="136"/>
  <c r="AW23" i="131"/>
  <c r="AZ38" i="136"/>
  <c r="BB25" i="136"/>
  <c r="BC23" i="134"/>
  <c r="AW36" i="134"/>
  <c r="BB25" i="132"/>
  <c r="AX23" i="135"/>
  <c r="AY35" i="134"/>
  <c r="AY22" i="134"/>
  <c r="AY30" i="135"/>
  <c r="AW31" i="134"/>
  <c r="BA34" i="136"/>
  <c r="AZ25" i="135"/>
  <c r="AZ37" i="135"/>
  <c r="AY37" i="132"/>
  <c r="AZ37" i="132" s="1"/>
  <c r="BA37" i="132" s="1"/>
  <c r="BB37" i="132" s="1"/>
  <c r="AS39" i="133"/>
  <c r="AT36" i="133"/>
  <c r="AR33" i="133"/>
  <c r="AS38" i="133"/>
  <c r="AW35" i="133"/>
  <c r="AV37" i="133"/>
  <c r="AT32" i="133"/>
  <c r="AQ34" i="133"/>
  <c r="AU30" i="133"/>
  <c r="AU31" i="133"/>
  <c r="AP12" i="61"/>
  <c r="AN11" i="61"/>
  <c r="BB22" i="131"/>
  <c r="AY22" i="132"/>
  <c r="AT22" i="133"/>
  <c r="AQ21" i="133"/>
  <c r="AN9" i="61"/>
  <c r="AN8" i="61"/>
  <c r="AT52" i="132"/>
  <c r="AW48" i="132"/>
  <c r="AS45" i="132"/>
  <c r="AR51" i="132"/>
  <c r="AR53" i="132"/>
  <c r="AV43" i="132"/>
  <c r="AR50" i="132"/>
  <c r="AT47" i="132"/>
  <c r="AU46" i="132"/>
  <c r="AQ31" i="132"/>
  <c r="AP35" i="132"/>
  <c r="AR36" i="132"/>
  <c r="AQ32" i="132"/>
  <c r="AQ34" i="132"/>
  <c r="AQ39" i="132"/>
  <c r="AP38" i="132"/>
  <c r="BD30" i="132"/>
  <c r="BE33" i="132"/>
  <c r="AO21" i="132"/>
  <c r="AT38" i="131"/>
  <c r="AP31" i="131"/>
  <c r="AU35" i="131"/>
  <c r="AS37" i="131"/>
  <c r="AR33" i="131"/>
  <c r="AU39" i="131"/>
  <c r="AQ32" i="131"/>
  <c r="AW34" i="131"/>
  <c r="AT30" i="131"/>
  <c r="AT36" i="131"/>
  <c r="AT21" i="131"/>
  <c r="AZ7" i="132" l="1"/>
  <c r="AZ7" i="131"/>
  <c r="AZ7" i="135"/>
  <c r="AZ7" i="134"/>
  <c r="AZ7" i="136"/>
  <c r="BG24" i="131"/>
  <c r="BH24" i="131" s="1"/>
  <c r="BT24" i="133"/>
  <c r="BU24" i="133" s="1"/>
  <c r="BV24" i="133" s="1"/>
  <c r="BC24" i="134"/>
  <c r="BD24" i="134" s="1"/>
  <c r="BE24" i="134" s="1"/>
  <c r="BF24" i="134" s="1"/>
  <c r="BJ24" i="132"/>
  <c r="BC24" i="136"/>
  <c r="BD24" i="136" s="1"/>
  <c r="BE24" i="136" s="1"/>
  <c r="BF24" i="136" s="1"/>
  <c r="AZ7" i="133"/>
  <c r="AY18" i="133"/>
  <c r="AV22" i="135"/>
  <c r="AW22" i="135" s="1"/>
  <c r="AO25" i="133"/>
  <c r="AQ22" i="136"/>
  <c r="AR22" i="136" s="1"/>
  <c r="AS22" i="136" s="1"/>
  <c r="AP23" i="132"/>
  <c r="AM25" i="131"/>
  <c r="AO10" i="61"/>
  <c r="AO30" i="136"/>
  <c r="AV21" i="136"/>
  <c r="AW21" i="136" s="1"/>
  <c r="AO31" i="135"/>
  <c r="AM7" i="61"/>
  <c r="AM14" i="61" s="1"/>
  <c r="AM34" i="135"/>
  <c r="AX37" i="136"/>
  <c r="AS44" i="132"/>
  <c r="AN25" i="134"/>
  <c r="AR35" i="135"/>
  <c r="BC37" i="132"/>
  <c r="BD37" i="132" s="1"/>
  <c r="AZ30" i="135"/>
  <c r="AZ22" i="134"/>
  <c r="AY23" i="135"/>
  <c r="BA38" i="136"/>
  <c r="AY35" i="136"/>
  <c r="AZ38" i="135"/>
  <c r="AZ32" i="135"/>
  <c r="BA32" i="136"/>
  <c r="AW39" i="134"/>
  <c r="BG34" i="134"/>
  <c r="BH34" i="134" s="1"/>
  <c r="AY37" i="134"/>
  <c r="AY21" i="134"/>
  <c r="AX31" i="134"/>
  <c r="BC25" i="132"/>
  <c r="BD23" i="134"/>
  <c r="AY39" i="135"/>
  <c r="AX23" i="133"/>
  <c r="AZ36" i="135"/>
  <c r="AZ21" i="135"/>
  <c r="AZ33" i="135"/>
  <c r="BA33" i="135" s="1"/>
  <c r="BB33" i="135" s="1"/>
  <c r="BC33" i="135" s="1"/>
  <c r="BD33" i="135" s="1"/>
  <c r="BA37" i="135"/>
  <c r="BA25" i="135"/>
  <c r="AZ35" i="134"/>
  <c r="BC25" i="136"/>
  <c r="AY36" i="136"/>
  <c r="BA23" i="136"/>
  <c r="BA30" i="134"/>
  <c r="AZ32" i="134"/>
  <c r="BB39" i="136"/>
  <c r="BB34" i="136"/>
  <c r="BC34" i="136" s="1"/>
  <c r="BD34" i="136" s="1"/>
  <c r="BE34" i="136" s="1"/>
  <c r="BF34" i="136" s="1"/>
  <c r="AX36" i="134"/>
  <c r="AX23" i="131"/>
  <c r="AX31" i="136"/>
  <c r="AX38" i="134"/>
  <c r="BA33" i="136"/>
  <c r="BB33" i="134"/>
  <c r="BC33" i="134" s="1"/>
  <c r="AR34" i="133"/>
  <c r="AW37" i="133"/>
  <c r="AT38" i="133"/>
  <c r="AU38" i="133" s="1"/>
  <c r="AS33" i="133"/>
  <c r="AV30" i="133"/>
  <c r="AU32" i="133"/>
  <c r="AX35" i="133"/>
  <c r="AT39" i="133"/>
  <c r="AV31" i="133"/>
  <c r="AU36" i="133"/>
  <c r="AQ12" i="61"/>
  <c r="AO11" i="61"/>
  <c r="BC22" i="131"/>
  <c r="AZ22" i="132"/>
  <c r="AU22" i="133"/>
  <c r="AR21" i="133"/>
  <c r="AO9" i="61"/>
  <c r="AO8" i="61"/>
  <c r="AV46" i="132"/>
  <c r="AU47" i="132"/>
  <c r="AW43" i="132"/>
  <c r="AS53" i="132"/>
  <c r="AS51" i="132"/>
  <c r="AU52" i="132"/>
  <c r="AS50" i="132"/>
  <c r="AT45" i="132"/>
  <c r="AX48" i="132"/>
  <c r="AQ38" i="132"/>
  <c r="AQ35" i="132"/>
  <c r="AR39" i="132"/>
  <c r="AR34" i="132"/>
  <c r="AR32" i="132"/>
  <c r="AR31" i="132"/>
  <c r="AS36" i="132"/>
  <c r="BF33" i="132"/>
  <c r="BE30" i="132"/>
  <c r="AP21" i="132"/>
  <c r="AU30" i="131"/>
  <c r="AV39" i="131"/>
  <c r="AQ31" i="131"/>
  <c r="AU36" i="131"/>
  <c r="AX34" i="131"/>
  <c r="AR32" i="131"/>
  <c r="AS33" i="131"/>
  <c r="AT37" i="131"/>
  <c r="AV35" i="131"/>
  <c r="AU38" i="131"/>
  <c r="AU21" i="131"/>
  <c r="BA7" i="134" l="1"/>
  <c r="BA7" i="131"/>
  <c r="BA7" i="136"/>
  <c r="BA7" i="135"/>
  <c r="BA7" i="132"/>
  <c r="BI24" i="131"/>
  <c r="BJ24" i="131" s="1"/>
  <c r="BK24" i="131" s="1"/>
  <c r="BG24" i="134"/>
  <c r="BH24" i="134" s="1"/>
  <c r="BK24" i="132"/>
  <c r="BG24" i="136"/>
  <c r="BA7" i="133"/>
  <c r="AZ18" i="133"/>
  <c r="AX22" i="135"/>
  <c r="AY22" i="135" s="1"/>
  <c r="AS35" i="135"/>
  <c r="AP31" i="135"/>
  <c r="AP10" i="61"/>
  <c r="AY37" i="136"/>
  <c r="AZ37" i="136" s="1"/>
  <c r="AQ23" i="132"/>
  <c r="AT44" i="132"/>
  <c r="AP30" i="136"/>
  <c r="AN25" i="131"/>
  <c r="AO25" i="134"/>
  <c r="AN34" i="135"/>
  <c r="AN7" i="61"/>
  <c r="AN14" i="61" s="1"/>
  <c r="AX21" i="136"/>
  <c r="AT22" i="136"/>
  <c r="AP25" i="133"/>
  <c r="BB33" i="136"/>
  <c r="AZ36" i="136"/>
  <c r="BB25" i="135"/>
  <c r="BE33" i="135"/>
  <c r="AZ21" i="134"/>
  <c r="BB32" i="136"/>
  <c r="BA38" i="135"/>
  <c r="BA30" i="135"/>
  <c r="BD33" i="134"/>
  <c r="AY23" i="131"/>
  <c r="BB23" i="136"/>
  <c r="BD25" i="136"/>
  <c r="BA35" i="134"/>
  <c r="BA21" i="135"/>
  <c r="AY23" i="133"/>
  <c r="BE23" i="134"/>
  <c r="BD25" i="132"/>
  <c r="AZ37" i="134"/>
  <c r="AX39" i="134"/>
  <c r="AZ23" i="135"/>
  <c r="AY38" i="134"/>
  <c r="AY31" i="136"/>
  <c r="AY36" i="134"/>
  <c r="BC39" i="136"/>
  <c r="BA32" i="134"/>
  <c r="BB30" i="134"/>
  <c r="BB37" i="135"/>
  <c r="BI34" i="134"/>
  <c r="BA32" i="135"/>
  <c r="AZ35" i="136"/>
  <c r="BA22" i="134"/>
  <c r="BA36" i="135"/>
  <c r="AZ39" i="135"/>
  <c r="AY31" i="134"/>
  <c r="BB38" i="136"/>
  <c r="BG34" i="136"/>
  <c r="AY35" i="133"/>
  <c r="AZ35" i="133" s="1"/>
  <c r="AW30" i="133"/>
  <c r="AT33" i="133"/>
  <c r="AV32" i="133"/>
  <c r="AU39" i="133"/>
  <c r="AV38" i="133"/>
  <c r="AS34" i="133"/>
  <c r="AV36" i="133"/>
  <c r="AW31" i="133"/>
  <c r="AX37" i="133"/>
  <c r="AR12" i="61"/>
  <c r="AP11" i="61"/>
  <c r="BD22" i="131"/>
  <c r="BA22" i="132"/>
  <c r="AV22" i="133"/>
  <c r="AS21" i="133"/>
  <c r="AP9" i="61"/>
  <c r="AP8" i="61"/>
  <c r="AT53" i="132"/>
  <c r="AY48" i="132"/>
  <c r="AT51" i="132"/>
  <c r="AT50" i="132"/>
  <c r="AV47" i="132"/>
  <c r="AW46" i="132"/>
  <c r="AU45" i="132"/>
  <c r="AV52" i="132"/>
  <c r="AX43" i="132"/>
  <c r="AS39" i="132"/>
  <c r="AR38" i="132"/>
  <c r="AS31" i="132"/>
  <c r="AT36" i="132"/>
  <c r="AS32" i="132"/>
  <c r="AR35" i="132"/>
  <c r="AS34" i="132"/>
  <c r="BF30" i="132"/>
  <c r="BG33" i="132"/>
  <c r="BE37" i="132"/>
  <c r="AQ21" i="132"/>
  <c r="AV30" i="131"/>
  <c r="AV38" i="131"/>
  <c r="AY34" i="131"/>
  <c r="AW39" i="131"/>
  <c r="AV36" i="131"/>
  <c r="AU37" i="131"/>
  <c r="AT33" i="131"/>
  <c r="AS32" i="131"/>
  <c r="AR31" i="131"/>
  <c r="AW35" i="131"/>
  <c r="AV21" i="131"/>
  <c r="BB7" i="135" l="1"/>
  <c r="BB7" i="131"/>
  <c r="BB7" i="132"/>
  <c r="BB7" i="136"/>
  <c r="BB7" i="134"/>
  <c r="BI24" i="134"/>
  <c r="BJ24" i="134" s="1"/>
  <c r="BL24" i="131"/>
  <c r="BM24" i="131" s="1"/>
  <c r="BN24" i="131" s="1"/>
  <c r="BO24" i="131" s="1"/>
  <c r="BP24" i="131" s="1"/>
  <c r="BQ24" i="131" s="1"/>
  <c r="BR24" i="131" s="1"/>
  <c r="BS24" i="131" s="1"/>
  <c r="BT24" i="131" s="1"/>
  <c r="BU24" i="131" s="1"/>
  <c r="BV24" i="131" s="1"/>
  <c r="BH24" i="136"/>
  <c r="BL24" i="132"/>
  <c r="BM24" i="132" s="1"/>
  <c r="BN24" i="132" s="1"/>
  <c r="BO24" i="132" s="1"/>
  <c r="BP24" i="132" s="1"/>
  <c r="BQ24" i="132" s="1"/>
  <c r="BR24" i="132" s="1"/>
  <c r="BS24" i="132" s="1"/>
  <c r="BB7" i="133"/>
  <c r="BA18" i="133"/>
  <c r="AQ10" i="61"/>
  <c r="AY21" i="136"/>
  <c r="AU44" i="132"/>
  <c r="AV44" i="132" s="1"/>
  <c r="AW44" i="132" s="1"/>
  <c r="AR23" i="132"/>
  <c r="AT35" i="135"/>
  <c r="AQ25" i="133"/>
  <c r="AU22" i="136"/>
  <c r="AV22" i="136" s="1"/>
  <c r="AP25" i="134"/>
  <c r="AO25" i="131"/>
  <c r="AQ31" i="135"/>
  <c r="AO7" i="61"/>
  <c r="AO14" i="61" s="1"/>
  <c r="AO34" i="135"/>
  <c r="AQ30" i="136"/>
  <c r="BA37" i="136"/>
  <c r="BB37" i="136" s="1"/>
  <c r="BC37" i="136" s="1"/>
  <c r="BA39" i="135"/>
  <c r="BA35" i="136"/>
  <c r="BH34" i="136"/>
  <c r="BI34" i="136" s="1"/>
  <c r="AZ31" i="136"/>
  <c r="AZ23" i="133"/>
  <c r="BA21" i="134"/>
  <c r="BJ34" i="134"/>
  <c r="BD39" i="136"/>
  <c r="AZ36" i="134"/>
  <c r="AZ38" i="134"/>
  <c r="AY39" i="134"/>
  <c r="BA37" i="134"/>
  <c r="BB21" i="135"/>
  <c r="BE25" i="136"/>
  <c r="AZ22" i="135"/>
  <c r="BE33" i="134"/>
  <c r="BB30" i="135"/>
  <c r="BC30" i="135" s="1"/>
  <c r="BD30" i="135" s="1"/>
  <c r="BE30" i="135" s="1"/>
  <c r="BF30" i="135" s="1"/>
  <c r="BG30" i="135" s="1"/>
  <c r="BA36" i="136"/>
  <c r="BF33" i="135"/>
  <c r="BC38" i="136"/>
  <c r="BD38" i="136" s="1"/>
  <c r="BE38" i="136" s="1"/>
  <c r="BF38" i="136" s="1"/>
  <c r="BG38" i="136" s="1"/>
  <c r="AZ31" i="134"/>
  <c r="BA31" i="134" s="1"/>
  <c r="BB31" i="134" s="1"/>
  <c r="BC31" i="134" s="1"/>
  <c r="BD31" i="134" s="1"/>
  <c r="BB36" i="135"/>
  <c r="BF23" i="134"/>
  <c r="BB38" i="135"/>
  <c r="BC32" i="136"/>
  <c r="BC33" i="136"/>
  <c r="BB22" i="134"/>
  <c r="BB32" i="135"/>
  <c r="BC37" i="135"/>
  <c r="BC30" i="134"/>
  <c r="BB32" i="134"/>
  <c r="BA23" i="135"/>
  <c r="BE25" i="132"/>
  <c r="BB35" i="134"/>
  <c r="BC23" i="136"/>
  <c r="AZ23" i="131"/>
  <c r="BC25" i="135"/>
  <c r="BA35" i="133"/>
  <c r="AW38" i="133"/>
  <c r="AX31" i="133"/>
  <c r="AT34" i="133"/>
  <c r="AV39" i="133"/>
  <c r="AX30" i="133"/>
  <c r="AY30" i="133" s="1"/>
  <c r="AY37" i="133"/>
  <c r="AW36" i="133"/>
  <c r="AW32" i="133"/>
  <c r="AU33" i="133"/>
  <c r="AS12" i="61"/>
  <c r="AQ11" i="61"/>
  <c r="BE22" i="131"/>
  <c r="BB22" i="132"/>
  <c r="AW22" i="133"/>
  <c r="AT21" i="133"/>
  <c r="AQ9" i="61"/>
  <c r="AQ8" i="61"/>
  <c r="AW47" i="132"/>
  <c r="AW52" i="132"/>
  <c r="AU53" i="132"/>
  <c r="AV45" i="132"/>
  <c r="AX46" i="132"/>
  <c r="AU50" i="132"/>
  <c r="AY43" i="132"/>
  <c r="AU51" i="132"/>
  <c r="AZ48" i="132"/>
  <c r="AT32" i="132"/>
  <c r="AU36" i="132"/>
  <c r="AT34" i="132"/>
  <c r="AS35" i="132"/>
  <c r="AT31" i="132"/>
  <c r="AS38" i="132"/>
  <c r="AT39" i="132"/>
  <c r="BG30" i="132"/>
  <c r="BH33" i="132"/>
  <c r="BF37" i="132"/>
  <c r="AR21" i="132"/>
  <c r="AW30" i="131"/>
  <c r="AZ34" i="131"/>
  <c r="AW38" i="131"/>
  <c r="AV37" i="131"/>
  <c r="AU33" i="131"/>
  <c r="AW36" i="131"/>
  <c r="AX39" i="131"/>
  <c r="AT32" i="131"/>
  <c r="AX35" i="131"/>
  <c r="AS31" i="131"/>
  <c r="AW21" i="131"/>
  <c r="BC7" i="136" l="1"/>
  <c r="BC7" i="131"/>
  <c r="BC7" i="134"/>
  <c r="BC7" i="132"/>
  <c r="BC7" i="135"/>
  <c r="BK24" i="134"/>
  <c r="BL24" i="134" s="1"/>
  <c r="BM24" i="134" s="1"/>
  <c r="BN24" i="134" s="1"/>
  <c r="BO24" i="134" s="1"/>
  <c r="BP24" i="134" s="1"/>
  <c r="BQ24" i="134" s="1"/>
  <c r="BR24" i="134" s="1"/>
  <c r="BS24" i="134" s="1"/>
  <c r="BT24" i="132"/>
  <c r="BU24" i="132" s="1"/>
  <c r="BV24" i="132" s="1"/>
  <c r="BI24" i="136"/>
  <c r="BC7" i="133"/>
  <c r="BB18" i="133"/>
  <c r="AW22" i="136"/>
  <c r="AX22" i="136" s="1"/>
  <c r="AQ25" i="134"/>
  <c r="AP34" i="135"/>
  <c r="AS23" i="132"/>
  <c r="AR10" i="61"/>
  <c r="AR25" i="133"/>
  <c r="AS25" i="133" s="1"/>
  <c r="AT25" i="133" s="1"/>
  <c r="AU25" i="133" s="1"/>
  <c r="AZ21" i="136"/>
  <c r="AX44" i="132"/>
  <c r="AR30" i="136"/>
  <c r="AP7" i="61"/>
  <c r="AP14" i="61" s="1"/>
  <c r="AR31" i="135"/>
  <c r="AP25" i="131"/>
  <c r="AU35" i="135"/>
  <c r="BH38" i="136"/>
  <c r="BI38" i="136" s="1"/>
  <c r="BD25" i="135"/>
  <c r="BA23" i="131"/>
  <c r="BF25" i="132"/>
  <c r="BD37" i="135"/>
  <c r="BC32" i="135"/>
  <c r="BC22" i="134"/>
  <c r="BC38" i="135"/>
  <c r="BG23" i="134"/>
  <c r="BF25" i="136"/>
  <c r="BC21" i="135"/>
  <c r="BA38" i="134"/>
  <c r="BA31" i="136"/>
  <c r="BC32" i="134"/>
  <c r="BD32" i="134" s="1"/>
  <c r="BE32" i="134" s="1"/>
  <c r="BF32" i="134" s="1"/>
  <c r="BG32" i="134" s="1"/>
  <c r="BD37" i="136"/>
  <c r="BE37" i="136" s="1"/>
  <c r="BF37" i="136" s="1"/>
  <c r="BG37" i="136" s="1"/>
  <c r="BH37" i="136" s="1"/>
  <c r="BF33" i="134"/>
  <c r="BA22" i="135"/>
  <c r="BC35" i="134"/>
  <c r="BB23" i="135"/>
  <c r="BD33" i="136"/>
  <c r="BD32" i="136"/>
  <c r="BE31" i="134"/>
  <c r="BF31" i="134" s="1"/>
  <c r="BG33" i="135"/>
  <c r="BB36" i="136"/>
  <c r="AZ39" i="134"/>
  <c r="BA36" i="134"/>
  <c r="BE39" i="136"/>
  <c r="BK34" i="134"/>
  <c r="BB21" i="134"/>
  <c r="BB35" i="136"/>
  <c r="BJ34" i="136"/>
  <c r="BD23" i="136"/>
  <c r="BE23" i="136" s="1"/>
  <c r="BF23" i="136" s="1"/>
  <c r="BD30" i="134"/>
  <c r="BE30" i="134" s="1"/>
  <c r="BF30" i="134" s="1"/>
  <c r="BG30" i="134" s="1"/>
  <c r="BH30" i="134" s="1"/>
  <c r="BC36" i="135"/>
  <c r="BH30" i="135"/>
  <c r="BB37" i="134"/>
  <c r="BA23" i="133"/>
  <c r="BB39" i="135"/>
  <c r="AZ30" i="133"/>
  <c r="AU34" i="133"/>
  <c r="AX38" i="133"/>
  <c r="BB35" i="133"/>
  <c r="AZ37" i="133"/>
  <c r="AX36" i="133"/>
  <c r="AV33" i="133"/>
  <c r="AX32" i="133"/>
  <c r="AW39" i="133"/>
  <c r="AY31" i="133"/>
  <c r="AT12" i="61"/>
  <c r="AR11" i="61"/>
  <c r="BF22" i="131"/>
  <c r="BC22" i="132"/>
  <c r="AX22" i="133"/>
  <c r="AU21" i="133"/>
  <c r="AR9" i="61"/>
  <c r="AR8" i="61"/>
  <c r="AV51" i="132"/>
  <c r="AX47" i="132"/>
  <c r="AW45" i="132"/>
  <c r="AV50" i="132"/>
  <c r="AY46" i="132"/>
  <c r="AX52" i="132"/>
  <c r="BA48" i="132"/>
  <c r="AZ43" i="132"/>
  <c r="AV53" i="132"/>
  <c r="AT35" i="132"/>
  <c r="AU34" i="132"/>
  <c r="AV36" i="132"/>
  <c r="AU39" i="132"/>
  <c r="AU32" i="132"/>
  <c r="AT38" i="132"/>
  <c r="AU31" i="132"/>
  <c r="BG37" i="132"/>
  <c r="BI33" i="132"/>
  <c r="BH30" i="132"/>
  <c r="AS21" i="132"/>
  <c r="AT31" i="131"/>
  <c r="AU32" i="131"/>
  <c r="AX36" i="131"/>
  <c r="AX38" i="131"/>
  <c r="BA34" i="131"/>
  <c r="AV33" i="131"/>
  <c r="AX30" i="131"/>
  <c r="AW37" i="131"/>
  <c r="AY35" i="131"/>
  <c r="AY39" i="131"/>
  <c r="AX21" i="131"/>
  <c r="BD7" i="132" l="1"/>
  <c r="BD7" i="131"/>
  <c r="BD7" i="135"/>
  <c r="BD7" i="134"/>
  <c r="BD7" i="136"/>
  <c r="BT24" i="134"/>
  <c r="BJ24" i="136"/>
  <c r="BK24" i="136" s="1"/>
  <c r="BL24" i="136" s="1"/>
  <c r="BM24" i="136" s="1"/>
  <c r="BN24" i="136" s="1"/>
  <c r="BO24" i="136" s="1"/>
  <c r="BP24" i="136" s="1"/>
  <c r="BQ24" i="136" s="1"/>
  <c r="BR24" i="136" s="1"/>
  <c r="BS24" i="136" s="1"/>
  <c r="BD7" i="133"/>
  <c r="BC18" i="133"/>
  <c r="AY22" i="136"/>
  <c r="AZ22" i="136" s="1"/>
  <c r="AR25" i="134"/>
  <c r="AV35" i="135"/>
  <c r="AQ25" i="131"/>
  <c r="AS30" i="136"/>
  <c r="BA21" i="136"/>
  <c r="AY44" i="132"/>
  <c r="AQ34" i="135"/>
  <c r="AQ7" i="61"/>
  <c r="AQ14" i="61" s="1"/>
  <c r="AS10" i="61"/>
  <c r="AS31" i="135"/>
  <c r="AV25" i="133"/>
  <c r="AT23" i="132"/>
  <c r="BI30" i="134"/>
  <c r="BJ30" i="134" s="1"/>
  <c r="BK30" i="134" s="1"/>
  <c r="BH32" i="134"/>
  <c r="BI32" i="134" s="1"/>
  <c r="BJ38" i="136"/>
  <c r="BK38" i="136" s="1"/>
  <c r="BL38" i="136" s="1"/>
  <c r="BM38" i="136" s="1"/>
  <c r="BN38" i="136" s="1"/>
  <c r="BO38" i="136" s="1"/>
  <c r="BP38" i="136" s="1"/>
  <c r="BQ38" i="136" s="1"/>
  <c r="BR38" i="136" s="1"/>
  <c r="BF39" i="136"/>
  <c r="BB36" i="134"/>
  <c r="BC36" i="136"/>
  <c r="BD35" i="134"/>
  <c r="BI37" i="136"/>
  <c r="BD21" i="135"/>
  <c r="BD22" i="134"/>
  <c r="BC39" i="135"/>
  <c r="BD39" i="135" s="1"/>
  <c r="BE39" i="135" s="1"/>
  <c r="BF39" i="135" s="1"/>
  <c r="BG39" i="135" s="1"/>
  <c r="BI30" i="135"/>
  <c r="BJ30" i="135" s="1"/>
  <c r="BK30" i="135" s="1"/>
  <c r="BG23" i="136"/>
  <c r="BC21" i="134"/>
  <c r="BA39" i="134"/>
  <c r="BC23" i="135"/>
  <c r="BG33" i="134"/>
  <c r="BG25" i="136"/>
  <c r="BH25" i="136" s="1"/>
  <c r="BI25" i="136" s="1"/>
  <c r="BD38" i="135"/>
  <c r="BE38" i="135" s="1"/>
  <c r="BF38" i="135" s="1"/>
  <c r="BG38" i="135" s="1"/>
  <c r="BD32" i="135"/>
  <c r="BE37" i="135"/>
  <c r="BF37" i="135" s="1"/>
  <c r="BG37" i="135" s="1"/>
  <c r="BH37" i="135" s="1"/>
  <c r="BB23" i="131"/>
  <c r="BE25" i="135"/>
  <c r="BC37" i="134"/>
  <c r="BK34" i="136"/>
  <c r="BL34" i="136" s="1"/>
  <c r="BM34" i="136" s="1"/>
  <c r="BN34" i="136" s="1"/>
  <c r="BO34" i="136" s="1"/>
  <c r="BP34" i="136" s="1"/>
  <c r="BQ34" i="136" s="1"/>
  <c r="BH33" i="135"/>
  <c r="BI33" i="135" s="1"/>
  <c r="BJ33" i="135" s="1"/>
  <c r="BE33" i="136"/>
  <c r="BB38" i="134"/>
  <c r="BH23" i="134"/>
  <c r="BB23" i="133"/>
  <c r="BD36" i="135"/>
  <c r="BC35" i="136"/>
  <c r="BL34" i="134"/>
  <c r="BM34" i="134" s="1"/>
  <c r="BN34" i="134" s="1"/>
  <c r="BO34" i="134" s="1"/>
  <c r="BP34" i="134" s="1"/>
  <c r="BQ34" i="134" s="1"/>
  <c r="BR34" i="134" s="1"/>
  <c r="BS34" i="134" s="1"/>
  <c r="BG31" i="134"/>
  <c r="BH31" i="134" s="1"/>
  <c r="BI31" i="134" s="1"/>
  <c r="BE32" i="136"/>
  <c r="BF32" i="136" s="1"/>
  <c r="BG32" i="136" s="1"/>
  <c r="BH32" i="136" s="1"/>
  <c r="BB22" i="135"/>
  <c r="BB31" i="136"/>
  <c r="BG25" i="132"/>
  <c r="AX39" i="133"/>
  <c r="AY38" i="133"/>
  <c r="AV34" i="133"/>
  <c r="BA37" i="133"/>
  <c r="BA30" i="133"/>
  <c r="AZ31" i="133"/>
  <c r="BC35" i="133"/>
  <c r="AY32" i="133"/>
  <c r="AW33" i="133"/>
  <c r="AY36" i="133"/>
  <c r="AU12" i="61"/>
  <c r="AS11" i="61"/>
  <c r="BG22" i="131"/>
  <c r="BD22" i="132"/>
  <c r="AY22" i="133"/>
  <c r="AV21" i="133"/>
  <c r="AS9" i="61"/>
  <c r="AS8" i="61"/>
  <c r="BA43" i="132"/>
  <c r="AW50" i="132"/>
  <c r="AX45" i="132"/>
  <c r="AY52" i="132"/>
  <c r="AY47" i="132"/>
  <c r="AZ46" i="132"/>
  <c r="AW53" i="132"/>
  <c r="BB48" i="132"/>
  <c r="AW51" i="132"/>
  <c r="AV32" i="132"/>
  <c r="AV34" i="132"/>
  <c r="AU35" i="132"/>
  <c r="AU38" i="132"/>
  <c r="AW36" i="132"/>
  <c r="AV31" i="132"/>
  <c r="AV39" i="132"/>
  <c r="BI30" i="132"/>
  <c r="BJ33" i="132"/>
  <c r="BH37" i="132"/>
  <c r="AT21" i="132"/>
  <c r="AZ39" i="131"/>
  <c r="AW33" i="131"/>
  <c r="AY38" i="131"/>
  <c r="AU31" i="131"/>
  <c r="AV32" i="131"/>
  <c r="AZ35" i="131"/>
  <c r="AX37" i="131"/>
  <c r="AY30" i="131"/>
  <c r="AY36" i="131"/>
  <c r="BB34" i="131"/>
  <c r="AY21" i="131"/>
  <c r="BE7" i="134" l="1"/>
  <c r="BE7" i="131"/>
  <c r="BE7" i="136"/>
  <c r="BE7" i="135"/>
  <c r="BE7" i="132"/>
  <c r="BU24" i="134"/>
  <c r="BV24" i="134" s="1"/>
  <c r="BT24" i="136"/>
  <c r="BU24" i="136" s="1"/>
  <c r="BV24" i="136" s="1"/>
  <c r="BE7" i="133"/>
  <c r="BD18" i="133"/>
  <c r="BB21" i="136"/>
  <c r="BC21" i="136" s="1"/>
  <c r="BD21" i="136" s="1"/>
  <c r="BE21" i="136" s="1"/>
  <c r="BF21" i="136" s="1"/>
  <c r="BG21" i="136" s="1"/>
  <c r="AR34" i="135"/>
  <c r="AT30" i="136"/>
  <c r="AR25" i="131"/>
  <c r="AS25" i="134"/>
  <c r="AU23" i="132"/>
  <c r="AV23" i="132" s="1"/>
  <c r="AW23" i="132" s="1"/>
  <c r="AW25" i="133"/>
  <c r="BA22" i="136"/>
  <c r="AZ44" i="132"/>
  <c r="AT31" i="135"/>
  <c r="AT10" i="61"/>
  <c r="AR7" i="61"/>
  <c r="AR14" i="61" s="1"/>
  <c r="AW35" i="135"/>
  <c r="BH38" i="135"/>
  <c r="BI38" i="135" s="1"/>
  <c r="BJ38" i="135" s="1"/>
  <c r="BJ32" i="134"/>
  <c r="BK32" i="134" s="1"/>
  <c r="BL32" i="134" s="1"/>
  <c r="BM32" i="134" s="1"/>
  <c r="BN32" i="134" s="1"/>
  <c r="BO32" i="134" s="1"/>
  <c r="BP32" i="134" s="1"/>
  <c r="BQ32" i="134" s="1"/>
  <c r="BR32" i="134" s="1"/>
  <c r="BL30" i="134"/>
  <c r="BM30" i="134" s="1"/>
  <c r="BN30" i="134" s="1"/>
  <c r="BO30" i="134" s="1"/>
  <c r="BP30" i="134" s="1"/>
  <c r="BQ30" i="134" s="1"/>
  <c r="BR30" i="134" s="1"/>
  <c r="BS30" i="134" s="1"/>
  <c r="BI32" i="136"/>
  <c r="BJ32" i="136" s="1"/>
  <c r="BK32" i="136" s="1"/>
  <c r="BL32" i="136" s="1"/>
  <c r="BL30" i="135"/>
  <c r="BM30" i="135" s="1"/>
  <c r="BN30" i="135" s="1"/>
  <c r="BO30" i="135" s="1"/>
  <c r="BP30" i="135" s="1"/>
  <c r="BQ30" i="135" s="1"/>
  <c r="BR30" i="135" s="1"/>
  <c r="BR34" i="136"/>
  <c r="BK33" i="135"/>
  <c r="BL33" i="135" s="1"/>
  <c r="BM33" i="135" s="1"/>
  <c r="BN33" i="135" s="1"/>
  <c r="BO33" i="135" s="1"/>
  <c r="BP33" i="135" s="1"/>
  <c r="BH25" i="132"/>
  <c r="BC31" i="136"/>
  <c r="BD31" i="136" s="1"/>
  <c r="BI23" i="134"/>
  <c r="BJ23" i="134" s="1"/>
  <c r="BK23" i="134" s="1"/>
  <c r="BL23" i="134" s="1"/>
  <c r="BM23" i="134" s="1"/>
  <c r="BC38" i="134"/>
  <c r="BF33" i="136"/>
  <c r="BE22" i="134"/>
  <c r="BE35" i="134"/>
  <c r="BG39" i="136"/>
  <c r="BS38" i="136"/>
  <c r="BT38" i="136" s="1"/>
  <c r="BE36" i="135"/>
  <c r="BD37" i="134"/>
  <c r="BI37" i="135"/>
  <c r="BJ25" i="136"/>
  <c r="BD21" i="134"/>
  <c r="BH39" i="135"/>
  <c r="BE21" i="135"/>
  <c r="BC22" i="135"/>
  <c r="BJ31" i="134"/>
  <c r="BF25" i="135"/>
  <c r="BH33" i="134"/>
  <c r="BH23" i="136"/>
  <c r="BD36" i="136"/>
  <c r="BC36" i="134"/>
  <c r="BT34" i="134"/>
  <c r="BU34" i="134" s="1"/>
  <c r="BD35" i="136"/>
  <c r="BC23" i="133"/>
  <c r="BC23" i="131"/>
  <c r="BE32" i="135"/>
  <c r="BD23" i="135"/>
  <c r="BE23" i="135" s="1"/>
  <c r="BB39" i="134"/>
  <c r="BC39" i="134" s="1"/>
  <c r="BD39" i="134" s="1"/>
  <c r="BE39" i="134" s="1"/>
  <c r="BF39" i="134" s="1"/>
  <c r="BJ37" i="136"/>
  <c r="AZ32" i="133"/>
  <c r="BA31" i="133"/>
  <c r="AW34" i="133"/>
  <c r="AZ38" i="133"/>
  <c r="AY39" i="133"/>
  <c r="AZ36" i="133"/>
  <c r="AX33" i="133"/>
  <c r="BD35" i="133"/>
  <c r="BB30" i="133"/>
  <c r="BB37" i="133"/>
  <c r="AV12" i="61"/>
  <c r="AT11" i="61"/>
  <c r="BH22" i="131"/>
  <c r="BE22" i="132"/>
  <c r="AZ22" i="133"/>
  <c r="AW21" i="133"/>
  <c r="AT9" i="61"/>
  <c r="AT8" i="61"/>
  <c r="AX51" i="132"/>
  <c r="BC48" i="132"/>
  <c r="BA46" i="132"/>
  <c r="AY45" i="132"/>
  <c r="AX50" i="132"/>
  <c r="AZ47" i="132"/>
  <c r="BB43" i="132"/>
  <c r="AX53" i="132"/>
  <c r="AZ52" i="132"/>
  <c r="AV38" i="132"/>
  <c r="AW39" i="132"/>
  <c r="AX36" i="132"/>
  <c r="AV35" i="132"/>
  <c r="AW34" i="132"/>
  <c r="AW31" i="132"/>
  <c r="AW32" i="132"/>
  <c r="BI37" i="132"/>
  <c r="BJ30" i="132"/>
  <c r="BK33" i="132"/>
  <c r="AU21" i="132"/>
  <c r="AV31" i="131"/>
  <c r="AY37" i="131"/>
  <c r="AZ36" i="131"/>
  <c r="AZ30" i="131"/>
  <c r="BA35" i="131"/>
  <c r="AW32" i="131"/>
  <c r="BA39" i="131"/>
  <c r="BC34" i="131"/>
  <c r="AZ38" i="131"/>
  <c r="AX33" i="131"/>
  <c r="AZ21" i="131"/>
  <c r="BF7" i="135" l="1"/>
  <c r="BF7" i="131"/>
  <c r="BF7" i="132"/>
  <c r="BF7" i="136"/>
  <c r="BF7" i="134"/>
  <c r="BF7" i="133"/>
  <c r="BE18" i="133"/>
  <c r="AU10" i="61"/>
  <c r="AX35" i="135"/>
  <c r="AS7" i="61"/>
  <c r="AS14" i="61" s="1"/>
  <c r="AS25" i="131"/>
  <c r="BH21" i="136"/>
  <c r="BB22" i="136"/>
  <c r="AT25" i="134"/>
  <c r="AU30" i="136"/>
  <c r="AU31" i="135"/>
  <c r="AX25" i="133"/>
  <c r="AX23" i="132"/>
  <c r="AS34" i="135"/>
  <c r="BA44" i="132"/>
  <c r="BQ33" i="135"/>
  <c r="BR33" i="135" s="1"/>
  <c r="BS33" i="135" s="1"/>
  <c r="BT33" i="135" s="1"/>
  <c r="BU33" i="135" s="1"/>
  <c r="BT30" i="134"/>
  <c r="BU30" i="134" s="1"/>
  <c r="BV30" i="134" s="1"/>
  <c r="BN23" i="134"/>
  <c r="BO23" i="134" s="1"/>
  <c r="BP23" i="134" s="1"/>
  <c r="BQ23" i="134" s="1"/>
  <c r="BR23" i="134" s="1"/>
  <c r="BS23" i="134" s="1"/>
  <c r="BT23" i="134" s="1"/>
  <c r="BU23" i="134" s="1"/>
  <c r="BV23" i="134" s="1"/>
  <c r="BV34" i="134"/>
  <c r="BS34" i="136"/>
  <c r="BT34" i="136" s="1"/>
  <c r="BG39" i="134"/>
  <c r="BM32" i="136"/>
  <c r="BN32" i="136" s="1"/>
  <c r="BO32" i="136" s="1"/>
  <c r="BP32" i="136" s="1"/>
  <c r="BQ32" i="136" s="1"/>
  <c r="BR32" i="136" s="1"/>
  <c r="BS32" i="136" s="1"/>
  <c r="BT32" i="136" s="1"/>
  <c r="BD36" i="134"/>
  <c r="BI23" i="136"/>
  <c r="BE21" i="134"/>
  <c r="BK25" i="136"/>
  <c r="BF36" i="135"/>
  <c r="BK31" i="134"/>
  <c r="BL31" i="134" s="1"/>
  <c r="BM31" i="134" s="1"/>
  <c r="BN31" i="134" s="1"/>
  <c r="BO31" i="134" s="1"/>
  <c r="BP31" i="134" s="1"/>
  <c r="BQ31" i="134" s="1"/>
  <c r="BF35" i="134"/>
  <c r="BF22" i="134"/>
  <c r="BS32" i="134"/>
  <c r="BU38" i="136"/>
  <c r="BV38" i="136" s="1"/>
  <c r="BD23" i="131"/>
  <c r="BE23" i="131" s="1"/>
  <c r="BF23" i="131" s="1"/>
  <c r="BG23" i="131" s="1"/>
  <c r="BI33" i="134"/>
  <c r="BJ33" i="134" s="1"/>
  <c r="BK33" i="134" s="1"/>
  <c r="BL33" i="134" s="1"/>
  <c r="BM33" i="134" s="1"/>
  <c r="BN33" i="134" s="1"/>
  <c r="BO33" i="134" s="1"/>
  <c r="BP33" i="134" s="1"/>
  <c r="BQ33" i="134" s="1"/>
  <c r="BG25" i="135"/>
  <c r="BD22" i="135"/>
  <c r="BE22" i="135" s="1"/>
  <c r="BF22" i="135" s="1"/>
  <c r="BI39" i="135"/>
  <c r="BJ39" i="135" s="1"/>
  <c r="BK39" i="135" s="1"/>
  <c r="BD38" i="134"/>
  <c r="BE38" i="134" s="1"/>
  <c r="BF38" i="134" s="1"/>
  <c r="BG38" i="134" s="1"/>
  <c r="BK37" i="136"/>
  <c r="BF23" i="135"/>
  <c r="BE36" i="136"/>
  <c r="BF36" i="136" s="1"/>
  <c r="BG36" i="136" s="1"/>
  <c r="BH36" i="136" s="1"/>
  <c r="BE37" i="134"/>
  <c r="BH39" i="136"/>
  <c r="BG33" i="136"/>
  <c r="BE31" i="136"/>
  <c r="BF32" i="135"/>
  <c r="BD23" i="133"/>
  <c r="BE35" i="136"/>
  <c r="BF21" i="135"/>
  <c r="BJ37" i="135"/>
  <c r="BK37" i="135" s="1"/>
  <c r="BL37" i="135" s="1"/>
  <c r="BM37" i="135" s="1"/>
  <c r="BN37" i="135" s="1"/>
  <c r="BO37" i="135" s="1"/>
  <c r="BP37" i="135" s="1"/>
  <c r="BQ37" i="135" s="1"/>
  <c r="BR37" i="135" s="1"/>
  <c r="BS37" i="135" s="1"/>
  <c r="BK38" i="135"/>
  <c r="BI25" i="132"/>
  <c r="BS30" i="135"/>
  <c r="BC30" i="133"/>
  <c r="BE35" i="133"/>
  <c r="BA38" i="133"/>
  <c r="AX34" i="133"/>
  <c r="BA36" i="133"/>
  <c r="AZ39" i="133"/>
  <c r="AY33" i="133"/>
  <c r="BB31" i="133"/>
  <c r="BC37" i="133"/>
  <c r="BD37" i="133" s="1"/>
  <c r="BA32" i="133"/>
  <c r="AW12" i="61"/>
  <c r="AU11" i="61"/>
  <c r="BI22" i="131"/>
  <c r="BF22" i="132"/>
  <c r="BA22" i="133"/>
  <c r="AX21" i="133"/>
  <c r="AU9" i="61"/>
  <c r="AU8" i="61"/>
  <c r="BD48" i="132"/>
  <c r="BA52" i="132"/>
  <c r="AY50" i="132"/>
  <c r="BB46" i="132"/>
  <c r="AY51" i="132"/>
  <c r="AY53" i="132"/>
  <c r="BC43" i="132"/>
  <c r="BA47" i="132"/>
  <c r="AZ45" i="132"/>
  <c r="AX32" i="132"/>
  <c r="AX39" i="132"/>
  <c r="AX31" i="132"/>
  <c r="AX34" i="132"/>
  <c r="AW35" i="132"/>
  <c r="AY36" i="132"/>
  <c r="AW38" i="132"/>
  <c r="BK30" i="132"/>
  <c r="BL33" i="132"/>
  <c r="BJ37" i="132"/>
  <c r="AV21" i="132"/>
  <c r="AY33" i="131"/>
  <c r="BB35" i="131"/>
  <c r="BA30" i="131"/>
  <c r="AZ37" i="131"/>
  <c r="AW31" i="131"/>
  <c r="BD34" i="131"/>
  <c r="BA38" i="131"/>
  <c r="BB39" i="131"/>
  <c r="AX32" i="131"/>
  <c r="BA36" i="131"/>
  <c r="BA21" i="131"/>
  <c r="BG7" i="132" l="1"/>
  <c r="BG7" i="136"/>
  <c r="BG7" i="131"/>
  <c r="BG7" i="134"/>
  <c r="BG7" i="135"/>
  <c r="BG7" i="133"/>
  <c r="BF18" i="133"/>
  <c r="AY23" i="132"/>
  <c r="AZ23" i="132" s="1"/>
  <c r="AV30" i="136"/>
  <c r="AY35" i="135"/>
  <c r="BB44" i="132"/>
  <c r="BC44" i="132" s="1"/>
  <c r="AU25" i="134"/>
  <c r="AT34" i="135"/>
  <c r="AY25" i="133"/>
  <c r="AZ25" i="133" s="1"/>
  <c r="BI21" i="136"/>
  <c r="AT25" i="131"/>
  <c r="AV10" i="61"/>
  <c r="BC22" i="136"/>
  <c r="BD22" i="136" s="1"/>
  <c r="AV31" i="135"/>
  <c r="AY18" i="135"/>
  <c r="AT7" i="61"/>
  <c r="AT14" i="61" s="1"/>
  <c r="BV33" i="135"/>
  <c r="BR31" i="134"/>
  <c r="BS31" i="134" s="1"/>
  <c r="BT31" i="134" s="1"/>
  <c r="BL39" i="135"/>
  <c r="BM39" i="135" s="1"/>
  <c r="BU34" i="136"/>
  <c r="BV34" i="136" s="1"/>
  <c r="BT30" i="135"/>
  <c r="BU30" i="135" s="1"/>
  <c r="BL38" i="135"/>
  <c r="BM38" i="135" s="1"/>
  <c r="BN38" i="135" s="1"/>
  <c r="BO38" i="135" s="1"/>
  <c r="BP38" i="135" s="1"/>
  <c r="BQ38" i="135" s="1"/>
  <c r="BR38" i="135" s="1"/>
  <c r="BG21" i="135"/>
  <c r="BF35" i="136"/>
  <c r="BI39" i="136"/>
  <c r="BF37" i="134"/>
  <c r="BG22" i="135"/>
  <c r="BH22" i="135" s="1"/>
  <c r="BI22" i="135" s="1"/>
  <c r="BH25" i="135"/>
  <c r="BT32" i="134"/>
  <c r="BU32" i="134" s="1"/>
  <c r="BV32" i="134" s="1"/>
  <c r="BE36" i="134"/>
  <c r="BF36" i="134" s="1"/>
  <c r="BG36" i="134" s="1"/>
  <c r="BT37" i="135"/>
  <c r="BU37" i="135" s="1"/>
  <c r="BV37" i="135" s="1"/>
  <c r="BJ25" i="132"/>
  <c r="BH33" i="136"/>
  <c r="BL37" i="136"/>
  <c r="BH38" i="134"/>
  <c r="BG35" i="134"/>
  <c r="BJ23" i="136"/>
  <c r="BU32" i="136"/>
  <c r="BV32" i="136" s="1"/>
  <c r="BH39" i="134"/>
  <c r="BG32" i="135"/>
  <c r="BF31" i="136"/>
  <c r="BI36" i="136"/>
  <c r="BR33" i="134"/>
  <c r="BS33" i="134" s="1"/>
  <c r="BG22" i="134"/>
  <c r="BH22" i="134" s="1"/>
  <c r="BI22" i="134" s="1"/>
  <c r="BJ22" i="134" s="1"/>
  <c r="BF21" i="134"/>
  <c r="BE23" i="133"/>
  <c r="BF23" i="133" s="1"/>
  <c r="BG23" i="135"/>
  <c r="BH23" i="135" s="1"/>
  <c r="BI23" i="135" s="1"/>
  <c r="BH23" i="131"/>
  <c r="BG36" i="135"/>
  <c r="BL25" i="136"/>
  <c r="BE37" i="133"/>
  <c r="BA39" i="133"/>
  <c r="BD30" i="133"/>
  <c r="BE30" i="133" s="1"/>
  <c r="BC31" i="133"/>
  <c r="AZ33" i="133"/>
  <c r="BB32" i="133"/>
  <c r="BB36" i="133"/>
  <c r="AY34" i="133"/>
  <c r="BB38" i="133"/>
  <c r="BF35" i="133"/>
  <c r="AX12" i="61"/>
  <c r="AV11" i="61"/>
  <c r="BJ22" i="131"/>
  <c r="BG22" i="132"/>
  <c r="BB22" i="133"/>
  <c r="AY21" i="133"/>
  <c r="AV9" i="61"/>
  <c r="AV8" i="61"/>
  <c r="BA45" i="132"/>
  <c r="AZ50" i="132"/>
  <c r="BB52" i="132"/>
  <c r="BE48" i="132"/>
  <c r="BB47" i="132"/>
  <c r="AZ51" i="132"/>
  <c r="BD43" i="132"/>
  <c r="AZ53" i="132"/>
  <c r="BC46" i="132"/>
  <c r="AY32" i="132"/>
  <c r="AX35" i="132"/>
  <c r="AZ36" i="132"/>
  <c r="AY31" i="132"/>
  <c r="AY39" i="132"/>
  <c r="AX38" i="132"/>
  <c r="AY34" i="132"/>
  <c r="BK37" i="132"/>
  <c r="BM33" i="132"/>
  <c r="BL30" i="132"/>
  <c r="AW21" i="132"/>
  <c r="AX31" i="131"/>
  <c r="BB36" i="131"/>
  <c r="BE34" i="131"/>
  <c r="BB30" i="131"/>
  <c r="BC35" i="131"/>
  <c r="AZ33" i="131"/>
  <c r="BC39" i="131"/>
  <c r="AY32" i="131"/>
  <c r="BB38" i="131"/>
  <c r="BA37" i="131"/>
  <c r="BB21" i="131"/>
  <c r="BH7" i="134" l="1"/>
  <c r="BH7" i="136"/>
  <c r="BH7" i="135"/>
  <c r="BH7" i="131"/>
  <c r="BH7" i="132"/>
  <c r="BH7" i="133"/>
  <c r="BG18" i="133"/>
  <c r="BD44" i="132"/>
  <c r="BE22" i="136"/>
  <c r="BF22" i="136" s="1"/>
  <c r="BG22" i="136" s="1"/>
  <c r="BH22" i="136" s="1"/>
  <c r="BI22" i="136" s="1"/>
  <c r="BA23" i="132"/>
  <c r="BB23" i="132" s="1"/>
  <c r="BC23" i="132" s="1"/>
  <c r="BD23" i="132" s="1"/>
  <c r="AU25" i="131"/>
  <c r="AW30" i="136"/>
  <c r="AW31" i="135"/>
  <c r="AV25" i="134"/>
  <c r="AW25" i="134" s="1"/>
  <c r="AZ35" i="135"/>
  <c r="BE44" i="132"/>
  <c r="BJ21" i="136"/>
  <c r="BA25" i="133"/>
  <c r="AU34" i="135"/>
  <c r="AV34" i="135" s="1"/>
  <c r="AW34" i="135" s="1"/>
  <c r="AU7" i="61"/>
  <c r="AU14" i="61" s="1"/>
  <c r="AZ18" i="135"/>
  <c r="AW10" i="61"/>
  <c r="BU31" i="134"/>
  <c r="BV31" i="134" s="1"/>
  <c r="BS38" i="135"/>
  <c r="BT38" i="135" s="1"/>
  <c r="BU38" i="135" s="1"/>
  <c r="BN39" i="135"/>
  <c r="BO39" i="135" s="1"/>
  <c r="BP39" i="135" s="1"/>
  <c r="BQ39" i="135" s="1"/>
  <c r="BR39" i="135" s="1"/>
  <c r="BS39" i="135" s="1"/>
  <c r="BG23" i="133"/>
  <c r="BK22" i="134"/>
  <c r="BL22" i="134" s="1"/>
  <c r="BM22" i="134" s="1"/>
  <c r="BN22" i="134" s="1"/>
  <c r="BO22" i="134" s="1"/>
  <c r="BP22" i="134" s="1"/>
  <c r="BQ22" i="134" s="1"/>
  <c r="BG31" i="136"/>
  <c r="BH35" i="134"/>
  <c r="BJ22" i="135"/>
  <c r="BG37" i="134"/>
  <c r="BJ23" i="135"/>
  <c r="BJ36" i="136"/>
  <c r="BI39" i="134"/>
  <c r="BJ39" i="134" s="1"/>
  <c r="BK23" i="136"/>
  <c r="BI38" i="134"/>
  <c r="BI33" i="136"/>
  <c r="BK25" i="132"/>
  <c r="BH36" i="134"/>
  <c r="BT33" i="134"/>
  <c r="BU33" i="134" s="1"/>
  <c r="BV33" i="134" s="1"/>
  <c r="BH21" i="135"/>
  <c r="BV30" i="135"/>
  <c r="BH36" i="135"/>
  <c r="BG21" i="134"/>
  <c r="BH32" i="135"/>
  <c r="BG35" i="136"/>
  <c r="BM25" i="136"/>
  <c r="BN25" i="136" s="1"/>
  <c r="BI23" i="131"/>
  <c r="BM37" i="136"/>
  <c r="BN37" i="136" s="1"/>
  <c r="BO37" i="136" s="1"/>
  <c r="BP37" i="136" s="1"/>
  <c r="BQ37" i="136" s="1"/>
  <c r="BR37" i="136" s="1"/>
  <c r="BS37" i="136" s="1"/>
  <c r="BT37" i="136" s="1"/>
  <c r="BU37" i="136" s="1"/>
  <c r="BI25" i="135"/>
  <c r="BJ39" i="136"/>
  <c r="BC38" i="133"/>
  <c r="AZ34" i="133"/>
  <c r="BB39" i="133"/>
  <c r="BD31" i="133"/>
  <c r="BF30" i="133"/>
  <c r="BG35" i="133"/>
  <c r="BA33" i="133"/>
  <c r="BF37" i="133"/>
  <c r="BC36" i="133"/>
  <c r="BD36" i="133" s="1"/>
  <c r="BE36" i="133" s="1"/>
  <c r="BF36" i="133" s="1"/>
  <c r="BC32" i="133"/>
  <c r="BD32" i="133" s="1"/>
  <c r="BE32" i="133" s="1"/>
  <c r="BF32" i="133" s="1"/>
  <c r="AY12" i="61"/>
  <c r="AW11" i="61"/>
  <c r="BK22" i="131"/>
  <c r="BH22" i="132"/>
  <c r="BC22" i="133"/>
  <c r="AZ21" i="133"/>
  <c r="AW9" i="61"/>
  <c r="AW8" i="61"/>
  <c r="BD46" i="132"/>
  <c r="BA51" i="132"/>
  <c r="BF48" i="132"/>
  <c r="BB45" i="132"/>
  <c r="BA53" i="132"/>
  <c r="BE43" i="132"/>
  <c r="BA50" i="132"/>
  <c r="BC47" i="132"/>
  <c r="BC52" i="132"/>
  <c r="AY38" i="132"/>
  <c r="AZ34" i="132"/>
  <c r="AZ39" i="132"/>
  <c r="AY35" i="132"/>
  <c r="AZ31" i="132"/>
  <c r="BA36" i="132"/>
  <c r="AZ32" i="132"/>
  <c r="BN33" i="132"/>
  <c r="BO33" i="132" s="1"/>
  <c r="BP33" i="132" s="1"/>
  <c r="BQ33" i="132" s="1"/>
  <c r="BR33" i="132" s="1"/>
  <c r="BS33" i="132" s="1"/>
  <c r="BL37" i="132"/>
  <c r="BM30" i="132"/>
  <c r="AX21" i="132"/>
  <c r="BC38" i="131"/>
  <c r="AY31" i="131"/>
  <c r="BF34" i="131"/>
  <c r="BD35" i="131"/>
  <c r="BB37" i="131"/>
  <c r="BD39" i="131"/>
  <c r="BC30" i="131"/>
  <c r="BC36" i="131"/>
  <c r="AZ32" i="131"/>
  <c r="BA33" i="131"/>
  <c r="BC21" i="131"/>
  <c r="BI7" i="131" l="1"/>
  <c r="BI7" i="136"/>
  <c r="BI7" i="132"/>
  <c r="BI7" i="135"/>
  <c r="BI7" i="134"/>
  <c r="BI7" i="133"/>
  <c r="BH18" i="133"/>
  <c r="BF44" i="132"/>
  <c r="BG44" i="132" s="1"/>
  <c r="BH44" i="132" s="1"/>
  <c r="AX34" i="135"/>
  <c r="AY34" i="135" s="1"/>
  <c r="AZ34" i="135" s="1"/>
  <c r="BA18" i="135"/>
  <c r="BK21" i="136"/>
  <c r="BL21" i="136" s="1"/>
  <c r="BM21" i="136" s="1"/>
  <c r="BN21" i="136" s="1"/>
  <c r="BO21" i="136" s="1"/>
  <c r="BP21" i="136" s="1"/>
  <c r="BQ21" i="136" s="1"/>
  <c r="BR21" i="136" s="1"/>
  <c r="AX25" i="134"/>
  <c r="AX30" i="136"/>
  <c r="AX31" i="135"/>
  <c r="AY31" i="135" s="1"/>
  <c r="BA35" i="135"/>
  <c r="BE23" i="132"/>
  <c r="BJ22" i="136"/>
  <c r="BK22" i="136" s="1"/>
  <c r="BL22" i="136" s="1"/>
  <c r="BM22" i="136" s="1"/>
  <c r="BN22" i="136" s="1"/>
  <c r="BO22" i="136" s="1"/>
  <c r="BP22" i="136" s="1"/>
  <c r="BQ22" i="136" s="1"/>
  <c r="BR22" i="136" s="1"/>
  <c r="BS22" i="136" s="1"/>
  <c r="BT22" i="136" s="1"/>
  <c r="BU22" i="136" s="1"/>
  <c r="AX10" i="61"/>
  <c r="AV7" i="61"/>
  <c r="AV14" i="61" s="1"/>
  <c r="BB25" i="133"/>
  <c r="BC25" i="133" s="1"/>
  <c r="BD25" i="133" s="1"/>
  <c r="BE25" i="133" s="1"/>
  <c r="BF25" i="133" s="1"/>
  <c r="AV25" i="131"/>
  <c r="BV38" i="135"/>
  <c r="BV37" i="136"/>
  <c r="BT39" i="135"/>
  <c r="BU39" i="135" s="1"/>
  <c r="BV39" i="135" s="1"/>
  <c r="BO25" i="136"/>
  <c r="BP25" i="136" s="1"/>
  <c r="BQ25" i="136" s="1"/>
  <c r="BR25" i="136" s="1"/>
  <c r="BS25" i="136" s="1"/>
  <c r="BT25" i="136" s="1"/>
  <c r="BR22" i="134"/>
  <c r="BS22" i="134" s="1"/>
  <c r="BT22" i="134" s="1"/>
  <c r="BU22" i="134" s="1"/>
  <c r="BV22" i="134" s="1"/>
  <c r="BJ33" i="136"/>
  <c r="BH37" i="134"/>
  <c r="BI37" i="134" s="1"/>
  <c r="BJ37" i="134" s="1"/>
  <c r="BK37" i="134" s="1"/>
  <c r="BL37" i="134" s="1"/>
  <c r="BM37" i="134" s="1"/>
  <c r="BK39" i="136"/>
  <c r="BL39" i="136" s="1"/>
  <c r="BM39" i="136" s="1"/>
  <c r="BN39" i="136" s="1"/>
  <c r="BO39" i="136" s="1"/>
  <c r="BP39" i="136" s="1"/>
  <c r="BH35" i="136"/>
  <c r="BK22" i="135"/>
  <c r="BI35" i="134"/>
  <c r="BJ35" i="134" s="1"/>
  <c r="BK35" i="134" s="1"/>
  <c r="BL35" i="134" s="1"/>
  <c r="BH21" i="134"/>
  <c r="BI21" i="135"/>
  <c r="BL25" i="132"/>
  <c r="BJ38" i="134"/>
  <c r="BL23" i="136"/>
  <c r="BK23" i="135"/>
  <c r="BJ25" i="135"/>
  <c r="BJ23" i="131"/>
  <c r="BK23" i="131" s="1"/>
  <c r="BL23" i="131" s="1"/>
  <c r="BM23" i="131" s="1"/>
  <c r="BN23" i="131" s="1"/>
  <c r="BO23" i="131" s="1"/>
  <c r="BP23" i="131" s="1"/>
  <c r="BQ23" i="131" s="1"/>
  <c r="BR23" i="131" s="1"/>
  <c r="BI32" i="135"/>
  <c r="BJ32" i="135" s="1"/>
  <c r="BK32" i="135" s="1"/>
  <c r="BL32" i="135" s="1"/>
  <c r="BM32" i="135" s="1"/>
  <c r="BN32" i="135" s="1"/>
  <c r="BO32" i="135" s="1"/>
  <c r="BP32" i="135" s="1"/>
  <c r="BQ32" i="135" s="1"/>
  <c r="BI36" i="135"/>
  <c r="BJ36" i="135" s="1"/>
  <c r="BK36" i="135" s="1"/>
  <c r="BL36" i="135" s="1"/>
  <c r="BM36" i="135" s="1"/>
  <c r="BN36" i="135" s="1"/>
  <c r="BO36" i="135" s="1"/>
  <c r="BI36" i="134"/>
  <c r="BJ36" i="134" s="1"/>
  <c r="BK39" i="134"/>
  <c r="BL39" i="134" s="1"/>
  <c r="BM39" i="134" s="1"/>
  <c r="BN39" i="134" s="1"/>
  <c r="BO39" i="134" s="1"/>
  <c r="BP39" i="134" s="1"/>
  <c r="BQ39" i="134" s="1"/>
  <c r="BK36" i="136"/>
  <c r="BH31" i="136"/>
  <c r="BH23" i="133"/>
  <c r="BG37" i="133"/>
  <c r="BH35" i="133"/>
  <c r="BC39" i="133"/>
  <c r="BG30" i="133"/>
  <c r="BE31" i="133"/>
  <c r="BA34" i="133"/>
  <c r="BD38" i="133"/>
  <c r="BG36" i="133"/>
  <c r="BB33" i="133"/>
  <c r="BG32" i="133"/>
  <c r="BH32" i="133" s="1"/>
  <c r="BI32" i="133" s="1"/>
  <c r="AZ12" i="61"/>
  <c r="AX11" i="61"/>
  <c r="BL22" i="131"/>
  <c r="BI22" i="132"/>
  <c r="BD22" i="133"/>
  <c r="BA21" i="133"/>
  <c r="AX9" i="61"/>
  <c r="AX8" i="61"/>
  <c r="BD52" i="132"/>
  <c r="BF43" i="132"/>
  <c r="BB53" i="132"/>
  <c r="BG48" i="132"/>
  <c r="BB50" i="132"/>
  <c r="BE46" i="132"/>
  <c r="BC45" i="132"/>
  <c r="BD47" i="132"/>
  <c r="BB51" i="132"/>
  <c r="AZ35" i="132"/>
  <c r="BA39" i="132"/>
  <c r="AZ38" i="132"/>
  <c r="BA34" i="132"/>
  <c r="BA31" i="132"/>
  <c r="BA32" i="132"/>
  <c r="BB36" i="132"/>
  <c r="BT33" i="132"/>
  <c r="BU33" i="132" s="1"/>
  <c r="BV33" i="132" s="1"/>
  <c r="BM37" i="132"/>
  <c r="BN30" i="132"/>
  <c r="AY21" i="132"/>
  <c r="BD38" i="131"/>
  <c r="BC37" i="131"/>
  <c r="BE35" i="131"/>
  <c r="AZ31" i="131"/>
  <c r="BA32" i="131"/>
  <c r="BD36" i="131"/>
  <c r="BG34" i="131"/>
  <c r="BB33" i="131"/>
  <c r="BD30" i="131"/>
  <c r="BE39" i="131"/>
  <c r="BD21" i="131"/>
  <c r="BJ7" i="135" l="1"/>
  <c r="BJ7" i="136"/>
  <c r="BJ7" i="134"/>
  <c r="BJ7" i="132"/>
  <c r="BJ7" i="131"/>
  <c r="BJ7" i="133"/>
  <c r="BI18" i="133"/>
  <c r="BI44" i="132"/>
  <c r="BJ44" i="132" s="1"/>
  <c r="BV22" i="136"/>
  <c r="BS21" i="136"/>
  <c r="BT21" i="136" s="1"/>
  <c r="BU21" i="136" s="1"/>
  <c r="BA34" i="135"/>
  <c r="BB34" i="135" s="1"/>
  <c r="BC34" i="135" s="1"/>
  <c r="BD34" i="135" s="1"/>
  <c r="BE34" i="135" s="1"/>
  <c r="BF34" i="135" s="1"/>
  <c r="BG34" i="135" s="1"/>
  <c r="BH34" i="135" s="1"/>
  <c r="BI34" i="135" s="1"/>
  <c r="BG25" i="133"/>
  <c r="AW7" i="61"/>
  <c r="AW14" i="61" s="1"/>
  <c r="AY18" i="136"/>
  <c r="AY10" i="61"/>
  <c r="BF23" i="132"/>
  <c r="BG23" i="132" s="1"/>
  <c r="BH23" i="132" s="1"/>
  <c r="AY25" i="134"/>
  <c r="AZ25" i="134" s="1"/>
  <c r="BA25" i="134" s="1"/>
  <c r="BB25" i="134" s="1"/>
  <c r="AY18" i="134"/>
  <c r="AY30" i="136"/>
  <c r="AZ30" i="136" s="1"/>
  <c r="AW25" i="131"/>
  <c r="BB35" i="135"/>
  <c r="AZ31" i="135"/>
  <c r="BB18" i="135"/>
  <c r="BK36" i="134"/>
  <c r="BL36" i="134" s="1"/>
  <c r="BM36" i="134" s="1"/>
  <c r="BN36" i="134" s="1"/>
  <c r="BO36" i="134" s="1"/>
  <c r="BP36" i="134" s="1"/>
  <c r="BQ36" i="134" s="1"/>
  <c r="BR36" i="134" s="1"/>
  <c r="BM35" i="134"/>
  <c r="BN35" i="134" s="1"/>
  <c r="BO35" i="134" s="1"/>
  <c r="BP35" i="134" s="1"/>
  <c r="BQ35" i="134" s="1"/>
  <c r="BR35" i="134" s="1"/>
  <c r="BS35" i="134" s="1"/>
  <c r="BT35" i="134" s="1"/>
  <c r="BU35" i="134" s="1"/>
  <c r="BV35" i="134" s="1"/>
  <c r="BU25" i="136"/>
  <c r="BV25" i="136" s="1"/>
  <c r="BL23" i="135"/>
  <c r="BK38" i="134"/>
  <c r="BM25" i="132"/>
  <c r="BI21" i="134"/>
  <c r="BR39" i="134"/>
  <c r="BS39" i="134" s="1"/>
  <c r="BT39" i="134" s="1"/>
  <c r="BU39" i="134" s="1"/>
  <c r="BV39" i="134" s="1"/>
  <c r="BK33" i="136"/>
  <c r="BI31" i="136"/>
  <c r="BI35" i="136"/>
  <c r="BI23" i="133"/>
  <c r="BL36" i="136"/>
  <c r="BM36" i="136" s="1"/>
  <c r="BK25" i="135"/>
  <c r="BM23" i="136"/>
  <c r="BS23" i="131"/>
  <c r="BT23" i="131" s="1"/>
  <c r="BL22" i="135"/>
  <c r="BQ39" i="136"/>
  <c r="BR39" i="136" s="1"/>
  <c r="BS39" i="136" s="1"/>
  <c r="BT39" i="136" s="1"/>
  <c r="BU39" i="136" s="1"/>
  <c r="BN37" i="134"/>
  <c r="BO37" i="134" s="1"/>
  <c r="BP36" i="135"/>
  <c r="BQ36" i="135" s="1"/>
  <c r="BR36" i="135" s="1"/>
  <c r="BR32" i="135"/>
  <c r="BJ21" i="135"/>
  <c r="BK21" i="135" s="1"/>
  <c r="BL21" i="135" s="1"/>
  <c r="BM21" i="135" s="1"/>
  <c r="BN21" i="135" s="1"/>
  <c r="BO21" i="135" s="1"/>
  <c r="BP21" i="135" s="1"/>
  <c r="BQ21" i="135" s="1"/>
  <c r="BR21" i="135" s="1"/>
  <c r="AY26" i="135"/>
  <c r="BF31" i="133"/>
  <c r="BJ32" i="133"/>
  <c r="BD39" i="133"/>
  <c r="BI35" i="133"/>
  <c r="BH36" i="133"/>
  <c r="BB34" i="133"/>
  <c r="BH37" i="133"/>
  <c r="BC33" i="133"/>
  <c r="BE38" i="133"/>
  <c r="BH30" i="133"/>
  <c r="BA12" i="61"/>
  <c r="AY11" i="61"/>
  <c r="BM22" i="131"/>
  <c r="BN22" i="131" s="1"/>
  <c r="BO22" i="131" s="1"/>
  <c r="BP22" i="131" s="1"/>
  <c r="BQ22" i="131" s="1"/>
  <c r="BR22" i="131" s="1"/>
  <c r="BJ22" i="132"/>
  <c r="BE22" i="133"/>
  <c r="BB21" i="133"/>
  <c r="AY9" i="61"/>
  <c r="AY8" i="61"/>
  <c r="BD45" i="132"/>
  <c r="BC51" i="132"/>
  <c r="BE47" i="132"/>
  <c r="BG43" i="132"/>
  <c r="BC50" i="132"/>
  <c r="BH48" i="132"/>
  <c r="BC53" i="132"/>
  <c r="BF46" i="132"/>
  <c r="BE52" i="132"/>
  <c r="BA35" i="132"/>
  <c r="BC36" i="132"/>
  <c r="BB32" i="132"/>
  <c r="BB39" i="132"/>
  <c r="BB31" i="132"/>
  <c r="BB34" i="132"/>
  <c r="BA38" i="132"/>
  <c r="BN37" i="132"/>
  <c r="BO30" i="132"/>
  <c r="BP30" i="132" s="1"/>
  <c r="BQ30" i="132" s="1"/>
  <c r="BR30" i="132" s="1"/>
  <c r="BS30" i="132" s="1"/>
  <c r="BT30" i="132" s="1"/>
  <c r="BU30" i="132" s="1"/>
  <c r="BV30" i="132" s="1"/>
  <c r="AZ21" i="132"/>
  <c r="BD37" i="131"/>
  <c r="BE38" i="131"/>
  <c r="BF39" i="131"/>
  <c r="BC33" i="131"/>
  <c r="BA31" i="131"/>
  <c r="BH34" i="131"/>
  <c r="BE30" i="131"/>
  <c r="BE36" i="131"/>
  <c r="BB32" i="131"/>
  <c r="BF35" i="131"/>
  <c r="BE21" i="131"/>
  <c r="BK7" i="132" l="1"/>
  <c r="BK7" i="136"/>
  <c r="BK7" i="131"/>
  <c r="BK7" i="134"/>
  <c r="BK7" i="135"/>
  <c r="BK7" i="133"/>
  <c r="BJ18" i="133"/>
  <c r="BV21" i="136"/>
  <c r="AY26" i="136"/>
  <c r="BI23" i="132"/>
  <c r="BJ23" i="132" s="1"/>
  <c r="BK23" i="132" s="1"/>
  <c r="BL23" i="132" s="1"/>
  <c r="BM23" i="132" s="1"/>
  <c r="BN23" i="132" s="1"/>
  <c r="BO23" i="132" s="1"/>
  <c r="BJ34" i="135"/>
  <c r="BK34" i="135" s="1"/>
  <c r="BL34" i="135" s="1"/>
  <c r="BM34" i="135" s="1"/>
  <c r="BN34" i="135" s="1"/>
  <c r="BO34" i="135" s="1"/>
  <c r="BP34" i="135" s="1"/>
  <c r="BQ34" i="135" s="1"/>
  <c r="BR34" i="135" s="1"/>
  <c r="BS34" i="135" s="1"/>
  <c r="BT34" i="135" s="1"/>
  <c r="BC25" i="134"/>
  <c r="BD25" i="134" s="1"/>
  <c r="BE25" i="134" s="1"/>
  <c r="BF25" i="134" s="1"/>
  <c r="BG25" i="134" s="1"/>
  <c r="BH25" i="134" s="1"/>
  <c r="BA31" i="135"/>
  <c r="BA30" i="136"/>
  <c r="AZ18" i="134"/>
  <c r="AZ18" i="136"/>
  <c r="AZ10" i="61"/>
  <c r="AX7" i="61"/>
  <c r="AX14" i="61" s="1"/>
  <c r="BH25" i="133"/>
  <c r="BC35" i="135"/>
  <c r="BD35" i="135" s="1"/>
  <c r="BE35" i="135" s="1"/>
  <c r="BF35" i="135" s="1"/>
  <c r="AX25" i="131"/>
  <c r="BC18" i="135"/>
  <c r="BS36" i="134"/>
  <c r="BT36" i="134" s="1"/>
  <c r="BU36" i="134" s="1"/>
  <c r="BN36" i="136"/>
  <c r="BO36" i="136" s="1"/>
  <c r="BP36" i="136" s="1"/>
  <c r="BQ36" i="136" s="1"/>
  <c r="BR36" i="136" s="1"/>
  <c r="BS36" i="136" s="1"/>
  <c r="BM22" i="135"/>
  <c r="BN22" i="135" s="1"/>
  <c r="BO22" i="135" s="1"/>
  <c r="BP22" i="135" s="1"/>
  <c r="BQ22" i="135" s="1"/>
  <c r="BR22" i="135" s="1"/>
  <c r="BS22" i="135" s="1"/>
  <c r="BT22" i="135" s="1"/>
  <c r="BP37" i="134"/>
  <c r="BQ37" i="134" s="1"/>
  <c r="BR37" i="134" s="1"/>
  <c r="BJ21" i="134"/>
  <c r="BN23" i="136"/>
  <c r="BS32" i="135"/>
  <c r="BT32" i="135" s="1"/>
  <c r="BU32" i="135" s="1"/>
  <c r="BV32" i="135" s="1"/>
  <c r="BV39" i="136"/>
  <c r="BU23" i="131"/>
  <c r="BV23" i="131" s="1"/>
  <c r="BS21" i="135"/>
  <c r="BT21" i="135" s="1"/>
  <c r="BU21" i="135" s="1"/>
  <c r="BV21" i="135" s="1"/>
  <c r="BL25" i="135"/>
  <c r="BM25" i="135" s="1"/>
  <c r="BN25" i="135" s="1"/>
  <c r="BO25" i="135" s="1"/>
  <c r="BP25" i="135" s="1"/>
  <c r="BQ25" i="135" s="1"/>
  <c r="BJ35" i="136"/>
  <c r="BK35" i="136" s="1"/>
  <c r="BL35" i="136" s="1"/>
  <c r="BM35" i="136" s="1"/>
  <c r="BN25" i="132"/>
  <c r="BM23" i="135"/>
  <c r="BN23" i="135" s="1"/>
  <c r="BO23" i="135" s="1"/>
  <c r="BP23" i="135" s="1"/>
  <c r="BQ23" i="135" s="1"/>
  <c r="BJ23" i="133"/>
  <c r="BS36" i="135"/>
  <c r="BT36" i="135" s="1"/>
  <c r="BU36" i="135" s="1"/>
  <c r="BV36" i="135" s="1"/>
  <c r="BJ31" i="136"/>
  <c r="BL33" i="136"/>
  <c r="BL38" i="134"/>
  <c r="BM38" i="134" s="1"/>
  <c r="BN38" i="134" s="1"/>
  <c r="BO38" i="134" s="1"/>
  <c r="BP38" i="134" s="1"/>
  <c r="BQ38" i="134" s="1"/>
  <c r="BR38" i="134" s="1"/>
  <c r="BK32" i="133"/>
  <c r="BL32" i="133" s="1"/>
  <c r="BS22" i="131"/>
  <c r="BT22" i="131" s="1"/>
  <c r="BU22" i="131" s="1"/>
  <c r="BI30" i="133"/>
  <c r="BC34" i="133"/>
  <c r="BJ35" i="133"/>
  <c r="BK35" i="133" s="1"/>
  <c r="BL35" i="133" s="1"/>
  <c r="BM35" i="133" s="1"/>
  <c r="BN35" i="133" s="1"/>
  <c r="BO35" i="133" s="1"/>
  <c r="BP35" i="133" s="1"/>
  <c r="BQ35" i="133" s="1"/>
  <c r="BR35" i="133" s="1"/>
  <c r="BS35" i="133" s="1"/>
  <c r="BT35" i="133" s="1"/>
  <c r="BE39" i="133"/>
  <c r="BG31" i="133"/>
  <c r="BI37" i="133"/>
  <c r="BF38" i="133"/>
  <c r="BD33" i="133"/>
  <c r="BI36" i="133"/>
  <c r="AZ26" i="135"/>
  <c r="BB12" i="61"/>
  <c r="AZ11" i="61"/>
  <c r="BK22" i="132"/>
  <c r="BL22" i="132" s="1"/>
  <c r="BM22" i="132" s="1"/>
  <c r="BN22" i="132" s="1"/>
  <c r="BO22" i="132" s="1"/>
  <c r="BP22" i="132" s="1"/>
  <c r="BQ22" i="132" s="1"/>
  <c r="BF22" i="133"/>
  <c r="BC21" i="133"/>
  <c r="AZ9" i="61"/>
  <c r="AZ8" i="61"/>
  <c r="BI48" i="132"/>
  <c r="BF47" i="132"/>
  <c r="BE45" i="132"/>
  <c r="BD50" i="132"/>
  <c r="BK44" i="132"/>
  <c r="BL44" i="132" s="1"/>
  <c r="BM44" i="132" s="1"/>
  <c r="BN44" i="132" s="1"/>
  <c r="BO44" i="132" s="1"/>
  <c r="BP44" i="132" s="1"/>
  <c r="BQ44" i="132" s="1"/>
  <c r="BR44" i="132" s="1"/>
  <c r="BS44" i="132" s="1"/>
  <c r="BF52" i="132"/>
  <c r="BD51" i="132"/>
  <c r="BG46" i="132"/>
  <c r="BD53" i="132"/>
  <c r="BH43" i="132"/>
  <c r="BD36" i="132"/>
  <c r="BE36" i="132" s="1"/>
  <c r="BF36" i="132" s="1"/>
  <c r="BG36" i="132" s="1"/>
  <c r="BB38" i="132"/>
  <c r="BB35" i="132"/>
  <c r="BC34" i="132"/>
  <c r="BD34" i="132" s="1"/>
  <c r="BE34" i="132" s="1"/>
  <c r="BF34" i="132" s="1"/>
  <c r="BC32" i="132"/>
  <c r="BC31" i="132"/>
  <c r="BD31" i="132" s="1"/>
  <c r="BE31" i="132" s="1"/>
  <c r="BF31" i="132" s="1"/>
  <c r="BC39" i="132"/>
  <c r="BO37" i="132"/>
  <c r="BP37" i="132" s="1"/>
  <c r="BQ37" i="132" s="1"/>
  <c r="BR37" i="132" s="1"/>
  <c r="BS37" i="132" s="1"/>
  <c r="BA21" i="132"/>
  <c r="BC32" i="131"/>
  <c r="BD33" i="131"/>
  <c r="BG39" i="131"/>
  <c r="BF38" i="131"/>
  <c r="BE37" i="131"/>
  <c r="BG35" i="131"/>
  <c r="BI34" i="131"/>
  <c r="BF36" i="131"/>
  <c r="BF30" i="131"/>
  <c r="BB31" i="131"/>
  <c r="BF21" i="131"/>
  <c r="BL7" i="134" l="1"/>
  <c r="BL7" i="136"/>
  <c r="BL7" i="135"/>
  <c r="BL7" i="131"/>
  <c r="BL7" i="132"/>
  <c r="BL7" i="133"/>
  <c r="BK18" i="133"/>
  <c r="AZ26" i="136"/>
  <c r="BU34" i="135"/>
  <c r="BV34" i="135" s="1"/>
  <c r="BG35" i="135"/>
  <c r="BH35" i="135" s="1"/>
  <c r="BI35" i="135" s="1"/>
  <c r="BD18" i="135"/>
  <c r="BI25" i="133"/>
  <c r="BA18" i="136"/>
  <c r="BA10" i="61"/>
  <c r="BA18" i="134"/>
  <c r="AY25" i="131"/>
  <c r="BP23" i="132"/>
  <c r="BQ23" i="132" s="1"/>
  <c r="BR23" i="132" s="1"/>
  <c r="BS23" i="132" s="1"/>
  <c r="BB31" i="135"/>
  <c r="BB30" i="136"/>
  <c r="BC30" i="136" s="1"/>
  <c r="BD30" i="136" s="1"/>
  <c r="BE30" i="136" s="1"/>
  <c r="AY7" i="61"/>
  <c r="AY14" i="61" s="1"/>
  <c r="AY18" i="131"/>
  <c r="BI25" i="134"/>
  <c r="BT36" i="136"/>
  <c r="BU36" i="136" s="1"/>
  <c r="BV36" i="134"/>
  <c r="BN35" i="136"/>
  <c r="BO35" i="136" s="1"/>
  <c r="BP35" i="136" s="1"/>
  <c r="BQ35" i="136" s="1"/>
  <c r="BR35" i="136" s="1"/>
  <c r="BS35" i="136" s="1"/>
  <c r="BR23" i="135"/>
  <c r="BS23" i="135" s="1"/>
  <c r="BT23" i="135" s="1"/>
  <c r="BS37" i="134"/>
  <c r="BT37" i="134" s="1"/>
  <c r="BU37" i="134" s="1"/>
  <c r="BV37" i="134" s="1"/>
  <c r="BM33" i="136"/>
  <c r="BN33" i="136" s="1"/>
  <c r="BO33" i="136" s="1"/>
  <c r="BP33" i="136" s="1"/>
  <c r="BO23" i="136"/>
  <c r="BP23" i="136" s="1"/>
  <c r="BQ23" i="136" s="1"/>
  <c r="BR23" i="136" s="1"/>
  <c r="BS23" i="136" s="1"/>
  <c r="BT23" i="136" s="1"/>
  <c r="BU23" i="136" s="1"/>
  <c r="BV23" i="136" s="1"/>
  <c r="BK31" i="136"/>
  <c r="BL31" i="136" s="1"/>
  <c r="BM31" i="136" s="1"/>
  <c r="BN31" i="136" s="1"/>
  <c r="BO31" i="136" s="1"/>
  <c r="BK21" i="134"/>
  <c r="BS38" i="134"/>
  <c r="BT38" i="134" s="1"/>
  <c r="BU38" i="134" s="1"/>
  <c r="BK23" i="133"/>
  <c r="BL23" i="133" s="1"/>
  <c r="BM23" i="133" s="1"/>
  <c r="BN23" i="133" s="1"/>
  <c r="BO23" i="133" s="1"/>
  <c r="BP23" i="133" s="1"/>
  <c r="BQ23" i="133" s="1"/>
  <c r="BO25" i="132"/>
  <c r="BR25" i="135"/>
  <c r="BU22" i="135"/>
  <c r="BV22" i="135" s="1"/>
  <c r="BM32" i="133"/>
  <c r="BN32" i="133" s="1"/>
  <c r="BR22" i="132"/>
  <c r="BS22" i="132" s="1"/>
  <c r="BT22" i="132" s="1"/>
  <c r="BU22" i="132" s="1"/>
  <c r="BG38" i="133"/>
  <c r="BJ37" i="133"/>
  <c r="BH31" i="133"/>
  <c r="BJ30" i="133"/>
  <c r="BK30" i="133" s="1"/>
  <c r="BL30" i="133" s="1"/>
  <c r="BM30" i="133" s="1"/>
  <c r="BN30" i="133" s="1"/>
  <c r="BJ36" i="133"/>
  <c r="BK36" i="133" s="1"/>
  <c r="BL36" i="133" s="1"/>
  <c r="BM36" i="133" s="1"/>
  <c r="BN36" i="133" s="1"/>
  <c r="BO36" i="133" s="1"/>
  <c r="BP36" i="133" s="1"/>
  <c r="BQ36" i="133" s="1"/>
  <c r="BE33" i="133"/>
  <c r="BU35" i="133"/>
  <c r="BV35" i="133" s="1"/>
  <c r="BD34" i="133"/>
  <c r="BE34" i="133" s="1"/>
  <c r="BF34" i="133" s="1"/>
  <c r="BG34" i="133" s="1"/>
  <c r="BH34" i="133" s="1"/>
  <c r="BG34" i="132"/>
  <c r="BH34" i="132" s="1"/>
  <c r="BI34" i="132" s="1"/>
  <c r="BF39" i="133"/>
  <c r="BA26" i="135"/>
  <c r="BC12" i="61"/>
  <c r="BA11" i="61"/>
  <c r="AY26" i="134"/>
  <c r="BV22" i="131"/>
  <c r="BG22" i="133"/>
  <c r="BD21" i="133"/>
  <c r="BA9" i="61"/>
  <c r="BA8" i="61"/>
  <c r="BE53" i="132"/>
  <c r="BH46" i="132"/>
  <c r="BG47" i="132"/>
  <c r="BJ48" i="132"/>
  <c r="BG52" i="132"/>
  <c r="BF45" i="132"/>
  <c r="BE50" i="132"/>
  <c r="BI43" i="132"/>
  <c r="BE51" i="132"/>
  <c r="BT44" i="132"/>
  <c r="BG31" i="132"/>
  <c r="BH36" i="132"/>
  <c r="BC38" i="132"/>
  <c r="BD38" i="132" s="1"/>
  <c r="BE38" i="132" s="1"/>
  <c r="BF38" i="132" s="1"/>
  <c r="BG38" i="132" s="1"/>
  <c r="BD39" i="132"/>
  <c r="BD32" i="132"/>
  <c r="BC35" i="132"/>
  <c r="BT37" i="132"/>
  <c r="BU37" i="132" s="1"/>
  <c r="BV37" i="132" s="1"/>
  <c r="BB21" i="132"/>
  <c r="AY18" i="132"/>
  <c r="BD32" i="131"/>
  <c r="BG36" i="131"/>
  <c r="BJ34" i="131"/>
  <c r="BH35" i="131"/>
  <c r="BH39" i="131"/>
  <c r="BG30" i="131"/>
  <c r="BE33" i="131"/>
  <c r="BC31" i="131"/>
  <c r="BF37" i="131"/>
  <c r="BG38" i="131"/>
  <c r="BG21" i="131"/>
  <c r="BM7" i="131" l="1"/>
  <c r="BM7" i="136"/>
  <c r="BM7" i="132"/>
  <c r="BM7" i="135"/>
  <c r="BM7" i="134"/>
  <c r="BM7" i="133"/>
  <c r="BL18" i="133"/>
  <c r="BA26" i="136"/>
  <c r="AY26" i="131"/>
  <c r="BJ35" i="135"/>
  <c r="BK35" i="135" s="1"/>
  <c r="BL35" i="135" s="1"/>
  <c r="BT23" i="132"/>
  <c r="BU23" i="132" s="1"/>
  <c r="BV23" i="132" s="1"/>
  <c r="BF30" i="136"/>
  <c r="BC31" i="135"/>
  <c r="BE18" i="135"/>
  <c r="BJ25" i="134"/>
  <c r="BK25" i="134" s="1"/>
  <c r="BL25" i="134" s="1"/>
  <c r="AZ7" i="61"/>
  <c r="AZ14" i="61" s="1"/>
  <c r="AZ18" i="131"/>
  <c r="BB18" i="134"/>
  <c r="BB18" i="136"/>
  <c r="BB10" i="61"/>
  <c r="AZ25" i="131"/>
  <c r="BJ25" i="133"/>
  <c r="BV36" i="136"/>
  <c r="BU23" i="135"/>
  <c r="BV23" i="135" s="1"/>
  <c r="BT35" i="136"/>
  <c r="BU35" i="136" s="1"/>
  <c r="BV35" i="136" s="1"/>
  <c r="BQ33" i="136"/>
  <c r="BR33" i="136" s="1"/>
  <c r="BS33" i="136" s="1"/>
  <c r="BT33" i="136" s="1"/>
  <c r="BU33" i="136" s="1"/>
  <c r="BV33" i="136" s="1"/>
  <c r="BV38" i="134"/>
  <c r="BP25" i="132"/>
  <c r="BQ25" i="132" s="1"/>
  <c r="BR25" i="132" s="1"/>
  <c r="BS25" i="132" s="1"/>
  <c r="BT25" i="132" s="1"/>
  <c r="BU25" i="132" s="1"/>
  <c r="BV25" i="132" s="1"/>
  <c r="BS25" i="135"/>
  <c r="BT25" i="135" s="1"/>
  <c r="BU25" i="135" s="1"/>
  <c r="BV25" i="135" s="1"/>
  <c r="BR23" i="133"/>
  <c r="BS23" i="133" s="1"/>
  <c r="BL21" i="134"/>
  <c r="BP31" i="136"/>
  <c r="BQ31" i="136" s="1"/>
  <c r="BJ34" i="132"/>
  <c r="BK34" i="132" s="1"/>
  <c r="BO32" i="133"/>
  <c r="BP32" i="133" s="1"/>
  <c r="BQ32" i="133" s="1"/>
  <c r="BO30" i="133"/>
  <c r="BP30" i="133" s="1"/>
  <c r="BR36" i="133"/>
  <c r="BS36" i="133" s="1"/>
  <c r="BI34" i="133"/>
  <c r="BJ34" i="133" s="1"/>
  <c r="BK34" i="133" s="1"/>
  <c r="BH38" i="133"/>
  <c r="BI31" i="133"/>
  <c r="BU44" i="132"/>
  <c r="BV44" i="132" s="1"/>
  <c r="BG39" i="133"/>
  <c r="BF33" i="133"/>
  <c r="BK37" i="133"/>
  <c r="BD12" i="61"/>
  <c r="BB26" i="135"/>
  <c r="BB11" i="61"/>
  <c r="AZ26" i="134"/>
  <c r="BV22" i="132"/>
  <c r="BH22" i="133"/>
  <c r="BE21" i="133"/>
  <c r="AY26" i="133"/>
  <c r="BB9" i="61"/>
  <c r="BB8" i="61"/>
  <c r="BF50" i="132"/>
  <c r="BI46" i="132"/>
  <c r="BG45" i="132"/>
  <c r="BH47" i="132"/>
  <c r="BF51" i="132"/>
  <c r="BK48" i="132"/>
  <c r="BF53" i="132"/>
  <c r="BJ43" i="132"/>
  <c r="BH52" i="132"/>
  <c r="BH38" i="132"/>
  <c r="BI38" i="132" s="1"/>
  <c r="BE39" i="132"/>
  <c r="BF39" i="132" s="1"/>
  <c r="BG39" i="132" s="1"/>
  <c r="BD35" i="132"/>
  <c r="BE32" i="132"/>
  <c r="BI36" i="132"/>
  <c r="BJ36" i="132" s="1"/>
  <c r="BK36" i="132" s="1"/>
  <c r="BL36" i="132" s="1"/>
  <c r="BM36" i="132" s="1"/>
  <c r="BN36" i="132" s="1"/>
  <c r="BO36" i="132" s="1"/>
  <c r="BP36" i="132" s="1"/>
  <c r="BQ36" i="132" s="1"/>
  <c r="BR36" i="132" s="1"/>
  <c r="BS36" i="132" s="1"/>
  <c r="BH31" i="132"/>
  <c r="AZ18" i="132"/>
  <c r="BC21" i="132"/>
  <c r="AY26" i="132"/>
  <c r="BD31" i="131"/>
  <c r="BE32" i="131"/>
  <c r="BI39" i="131"/>
  <c r="BI35" i="131"/>
  <c r="BK34" i="131"/>
  <c r="BF33" i="131"/>
  <c r="BH30" i="131"/>
  <c r="BH36" i="131"/>
  <c r="BH38" i="131"/>
  <c r="BG37" i="131"/>
  <c r="BH21" i="131"/>
  <c r="BN7" i="135" l="1"/>
  <c r="BN7" i="136"/>
  <c r="BN7" i="134"/>
  <c r="BN7" i="132"/>
  <c r="BN7" i="131"/>
  <c r="BN7" i="133"/>
  <c r="BM18" i="133"/>
  <c r="BA5" i="126"/>
  <c r="BM35" i="135"/>
  <c r="BN35" i="135" s="1"/>
  <c r="BO35" i="135" s="1"/>
  <c r="BP35" i="135" s="1"/>
  <c r="BQ35" i="135" s="1"/>
  <c r="BR35" i="135" s="1"/>
  <c r="BS35" i="135" s="1"/>
  <c r="BT35" i="135" s="1"/>
  <c r="BM25" i="134"/>
  <c r="BN25" i="134" s="1"/>
  <c r="BO25" i="134" s="1"/>
  <c r="BP25" i="134" s="1"/>
  <c r="BQ25" i="134" s="1"/>
  <c r="BR25" i="134" s="1"/>
  <c r="BS25" i="134" s="1"/>
  <c r="BT25" i="134" s="1"/>
  <c r="BB26" i="136"/>
  <c r="AZ26" i="131"/>
  <c r="BG30" i="136"/>
  <c r="BH30" i="136" s="1"/>
  <c r="BK25" i="133"/>
  <c r="BL25" i="133" s="1"/>
  <c r="BM25" i="133" s="1"/>
  <c r="BN25" i="133" s="1"/>
  <c r="BO25" i="133" s="1"/>
  <c r="BP25" i="133" s="1"/>
  <c r="BQ25" i="133" s="1"/>
  <c r="BA18" i="131"/>
  <c r="BA7" i="61"/>
  <c r="BA14" i="61" s="1"/>
  <c r="BC18" i="134"/>
  <c r="BF18" i="135"/>
  <c r="BD31" i="135"/>
  <c r="BC18" i="136"/>
  <c r="BC10" i="61"/>
  <c r="BA25" i="131"/>
  <c r="BL34" i="132"/>
  <c r="BM34" i="132" s="1"/>
  <c r="BN34" i="132" s="1"/>
  <c r="BO34" i="132" s="1"/>
  <c r="BP34" i="132" s="1"/>
  <c r="BQ34" i="132" s="1"/>
  <c r="BR34" i="132" s="1"/>
  <c r="BS34" i="132" s="1"/>
  <c r="BT34" i="132" s="1"/>
  <c r="BR31" i="136"/>
  <c r="BS31" i="136" s="1"/>
  <c r="BT31" i="136" s="1"/>
  <c r="BM21" i="134"/>
  <c r="BT23" i="133"/>
  <c r="BU23" i="133" s="1"/>
  <c r="BV23" i="133" s="1"/>
  <c r="BQ30" i="133"/>
  <c r="BR30" i="133" s="1"/>
  <c r="BS30" i="133" s="1"/>
  <c r="BT30" i="133" s="1"/>
  <c r="BU30" i="133" s="1"/>
  <c r="BV30" i="133" s="1"/>
  <c r="BR32" i="133"/>
  <c r="BS32" i="133" s="1"/>
  <c r="BT36" i="133"/>
  <c r="BU36" i="133" s="1"/>
  <c r="BV36" i="133" s="1"/>
  <c r="BL34" i="133"/>
  <c r="BM34" i="133" s="1"/>
  <c r="BJ38" i="132"/>
  <c r="BK38" i="132" s="1"/>
  <c r="BL38" i="132" s="1"/>
  <c r="BC26" i="135"/>
  <c r="BL37" i="133"/>
  <c r="BJ31" i="133"/>
  <c r="BI38" i="133"/>
  <c r="BH39" i="133"/>
  <c r="BG33" i="133"/>
  <c r="BH33" i="133" s="1"/>
  <c r="BI33" i="133" s="1"/>
  <c r="BE12" i="61"/>
  <c r="BC11" i="61"/>
  <c r="BA26" i="134"/>
  <c r="BI22" i="133"/>
  <c r="BF21" i="133"/>
  <c r="BC9" i="61"/>
  <c r="AZ26" i="133"/>
  <c r="BC8" i="61"/>
  <c r="BK43" i="132"/>
  <c r="BI47" i="132"/>
  <c r="BJ46" i="132"/>
  <c r="BG53" i="132"/>
  <c r="BI52" i="132"/>
  <c r="BL48" i="132"/>
  <c r="BG51" i="132"/>
  <c r="BH45" i="132"/>
  <c r="BG50" i="132"/>
  <c r="BI31" i="132"/>
  <c r="BJ31" i="132" s="1"/>
  <c r="BT36" i="132"/>
  <c r="BU36" i="132" s="1"/>
  <c r="BV36" i="132" s="1"/>
  <c r="BE35" i="132"/>
  <c r="BH39" i="132"/>
  <c r="BF32" i="132"/>
  <c r="BG32" i="132" s="1"/>
  <c r="BH32" i="132" s="1"/>
  <c r="BI32" i="132" s="1"/>
  <c r="BA26" i="133"/>
  <c r="BA18" i="132"/>
  <c r="BD21" i="132"/>
  <c r="AZ26" i="132"/>
  <c r="BI36" i="131"/>
  <c r="BI30" i="131"/>
  <c r="BL34" i="131"/>
  <c r="BM34" i="131" s="1"/>
  <c r="BN34" i="131" s="1"/>
  <c r="BO34" i="131" s="1"/>
  <c r="BP34" i="131" s="1"/>
  <c r="BQ34" i="131" s="1"/>
  <c r="BI38" i="131"/>
  <c r="BJ35" i="131"/>
  <c r="BE31" i="131"/>
  <c r="BH37" i="131"/>
  <c r="BG33" i="131"/>
  <c r="BJ39" i="131"/>
  <c r="BF32" i="131"/>
  <c r="BI21" i="131"/>
  <c r="BO7" i="132" l="1"/>
  <c r="BO7" i="136"/>
  <c r="BO7" i="131"/>
  <c r="BO7" i="134"/>
  <c r="BO7" i="135"/>
  <c r="BO7" i="133"/>
  <c r="BN18" i="133"/>
  <c r="BB5" i="126"/>
  <c r="BC26" i="136"/>
  <c r="BU35" i="135"/>
  <c r="BV35" i="135" s="1"/>
  <c r="BR25" i="133"/>
  <c r="BS25" i="133" s="1"/>
  <c r="BT25" i="133" s="1"/>
  <c r="BU25" i="134"/>
  <c r="BV25" i="134" s="1"/>
  <c r="BI30" i="136"/>
  <c r="BJ30" i="136" s="1"/>
  <c r="BD18" i="136"/>
  <c r="BD10" i="61"/>
  <c r="BE31" i="135"/>
  <c r="BD18" i="134"/>
  <c r="BB7" i="61"/>
  <c r="BB14" i="61" s="1"/>
  <c r="BB18" i="131"/>
  <c r="BB25" i="131"/>
  <c r="BG18" i="135"/>
  <c r="BA26" i="131"/>
  <c r="BU31" i="136"/>
  <c r="BV31" i="136" s="1"/>
  <c r="BN21" i="134"/>
  <c r="BO21" i="134" s="1"/>
  <c r="BP21" i="134" s="1"/>
  <c r="BQ21" i="134" s="1"/>
  <c r="BR21" i="134" s="1"/>
  <c r="BS21" i="134" s="1"/>
  <c r="BT21" i="134" s="1"/>
  <c r="BT32" i="133"/>
  <c r="BU32" i="133" s="1"/>
  <c r="BN34" i="133"/>
  <c r="BO34" i="133" s="1"/>
  <c r="BP34" i="133" s="1"/>
  <c r="BQ34" i="133" s="1"/>
  <c r="BR34" i="133" s="1"/>
  <c r="BS34" i="133" s="1"/>
  <c r="BJ33" i="133"/>
  <c r="BK33" i="133" s="1"/>
  <c r="BL33" i="133" s="1"/>
  <c r="BM33" i="133" s="1"/>
  <c r="BN33" i="133" s="1"/>
  <c r="BB26" i="134"/>
  <c r="BM37" i="133"/>
  <c r="BJ38" i="133"/>
  <c r="BI39" i="133"/>
  <c r="BK31" i="133"/>
  <c r="BL31" i="133" s="1"/>
  <c r="BM31" i="133" s="1"/>
  <c r="BN31" i="133" s="1"/>
  <c r="BO31" i="133" s="1"/>
  <c r="BP31" i="133" s="1"/>
  <c r="BQ31" i="133" s="1"/>
  <c r="BR31" i="133" s="1"/>
  <c r="BS31" i="133" s="1"/>
  <c r="BT31" i="133" s="1"/>
  <c r="BF12" i="61"/>
  <c r="BD26" i="135"/>
  <c r="BD11" i="61"/>
  <c r="BJ22" i="133"/>
  <c r="BG21" i="133"/>
  <c r="BD9" i="61"/>
  <c r="BD8" i="61"/>
  <c r="BL43" i="132"/>
  <c r="BH50" i="132"/>
  <c r="BI45" i="132"/>
  <c r="BH53" i="132"/>
  <c r="BK46" i="132"/>
  <c r="BH51" i="132"/>
  <c r="BJ47" i="132"/>
  <c r="BM48" i="132"/>
  <c r="BJ52" i="132"/>
  <c r="BU34" i="132"/>
  <c r="BV34" i="132" s="1"/>
  <c r="BF35" i="132"/>
  <c r="BM38" i="132"/>
  <c r="BN38" i="132" s="1"/>
  <c r="BO38" i="132" s="1"/>
  <c r="BP38" i="132" s="1"/>
  <c r="BQ38" i="132" s="1"/>
  <c r="BR38" i="132" s="1"/>
  <c r="BS38" i="132" s="1"/>
  <c r="BT38" i="132" s="1"/>
  <c r="BU38" i="132" s="1"/>
  <c r="BJ32" i="132"/>
  <c r="BK32" i="132" s="1"/>
  <c r="BL32" i="132" s="1"/>
  <c r="BK31" i="132"/>
  <c r="BI39" i="132"/>
  <c r="BB18" i="132"/>
  <c r="BE21" i="132"/>
  <c r="BA26" i="132"/>
  <c r="BK35" i="131"/>
  <c r="BK39" i="131"/>
  <c r="BH33" i="131"/>
  <c r="BI37" i="131"/>
  <c r="BR34" i="131"/>
  <c r="BS34" i="131" s="1"/>
  <c r="BJ36" i="131"/>
  <c r="BF31" i="131"/>
  <c r="BG32" i="131"/>
  <c r="BJ38" i="131"/>
  <c r="BJ30" i="131"/>
  <c r="BJ21" i="131"/>
  <c r="BP7" i="134" l="1"/>
  <c r="BP7" i="136"/>
  <c r="BP7" i="135"/>
  <c r="BP7" i="131"/>
  <c r="BP7" i="132"/>
  <c r="BP7" i="133"/>
  <c r="BO18" i="133"/>
  <c r="BD26" i="136"/>
  <c r="BB26" i="131"/>
  <c r="BC5" i="126"/>
  <c r="BU25" i="133"/>
  <c r="BV25" i="133" s="1"/>
  <c r="BK30" i="136"/>
  <c r="BC18" i="131"/>
  <c r="BC7" i="61"/>
  <c r="BC14" i="61" s="1"/>
  <c r="BE18" i="136"/>
  <c r="BE10" i="61"/>
  <c r="BC25" i="131"/>
  <c r="BH18" i="135"/>
  <c r="BE18" i="134"/>
  <c r="BF31" i="135"/>
  <c r="BV32" i="133"/>
  <c r="BU21" i="134"/>
  <c r="BV21" i="134" s="1"/>
  <c r="BO33" i="133"/>
  <c r="BP33" i="133" s="1"/>
  <c r="BQ33" i="133" s="1"/>
  <c r="BR33" i="133" s="1"/>
  <c r="BS33" i="133" s="1"/>
  <c r="BT33" i="133" s="1"/>
  <c r="BT34" i="133"/>
  <c r="BU34" i="133" s="1"/>
  <c r="BV34" i="133" s="1"/>
  <c r="BC26" i="134"/>
  <c r="BJ39" i="133"/>
  <c r="BK38" i="133"/>
  <c r="BT34" i="131"/>
  <c r="BU34" i="131" s="1"/>
  <c r="BV34" i="131" s="1"/>
  <c r="BN37" i="133"/>
  <c r="BU31" i="133"/>
  <c r="BV31" i="133" s="1"/>
  <c r="BG12" i="61"/>
  <c r="BE26" i="135"/>
  <c r="BE11" i="61"/>
  <c r="BK22" i="133"/>
  <c r="BH21" i="133"/>
  <c r="BB26" i="133"/>
  <c r="BE9" i="61"/>
  <c r="BE8" i="61"/>
  <c r="BK52" i="132"/>
  <c r="BL52" i="132" s="1"/>
  <c r="BM52" i="132" s="1"/>
  <c r="BN52" i="132" s="1"/>
  <c r="BK47" i="132"/>
  <c r="BL47" i="132" s="1"/>
  <c r="BM47" i="132" s="1"/>
  <c r="BN47" i="132" s="1"/>
  <c r="BI53" i="132"/>
  <c r="BI51" i="132"/>
  <c r="BJ45" i="132"/>
  <c r="BN48" i="132"/>
  <c r="BL46" i="132"/>
  <c r="BI50" i="132"/>
  <c r="BM43" i="132"/>
  <c r="BG35" i="132"/>
  <c r="BM32" i="132"/>
  <c r="BJ39" i="132"/>
  <c r="BK39" i="132" s="1"/>
  <c r="BV38" i="132"/>
  <c r="BL31" i="132"/>
  <c r="BC18" i="132"/>
  <c r="BF21" i="132"/>
  <c r="BB26" i="132"/>
  <c r="BK30" i="131"/>
  <c r="BH32" i="131"/>
  <c r="BG31" i="131"/>
  <c r="BI33" i="131"/>
  <c r="BL35" i="131"/>
  <c r="BK38" i="131"/>
  <c r="BL38" i="131" s="1"/>
  <c r="BM38" i="131" s="1"/>
  <c r="BN38" i="131" s="1"/>
  <c r="BO38" i="131" s="1"/>
  <c r="BP38" i="131" s="1"/>
  <c r="BJ37" i="131"/>
  <c r="BK36" i="131"/>
  <c r="BL39" i="131"/>
  <c r="BK21" i="131"/>
  <c r="BQ7" i="131" l="1"/>
  <c r="BQ7" i="136"/>
  <c r="BQ7" i="132"/>
  <c r="BQ7" i="135"/>
  <c r="BQ7" i="134"/>
  <c r="BQ7" i="133"/>
  <c r="BP18" i="133"/>
  <c r="BD5" i="126"/>
  <c r="BE26" i="136"/>
  <c r="BL30" i="136"/>
  <c r="BG31" i="135"/>
  <c r="BH31" i="135" s="1"/>
  <c r="BI18" i="135"/>
  <c r="BD18" i="131"/>
  <c r="BD7" i="61"/>
  <c r="BD14" i="61" s="1"/>
  <c r="BF18" i="134"/>
  <c r="BD25" i="131"/>
  <c r="BF18" i="136"/>
  <c r="BF10" i="61"/>
  <c r="BC26" i="131"/>
  <c r="BU33" i="133"/>
  <c r="BV33" i="133" s="1"/>
  <c r="BL39" i="132"/>
  <c r="BM39" i="132" s="1"/>
  <c r="BK39" i="133"/>
  <c r="BO37" i="133"/>
  <c r="BP37" i="133" s="1"/>
  <c r="BQ37" i="133" s="1"/>
  <c r="BR37" i="133" s="1"/>
  <c r="BS37" i="133" s="1"/>
  <c r="BT37" i="133" s="1"/>
  <c r="BU37" i="133" s="1"/>
  <c r="BL38" i="133"/>
  <c r="BM38" i="133" s="1"/>
  <c r="BN38" i="133" s="1"/>
  <c r="BO38" i="133" s="1"/>
  <c r="BP38" i="133" s="1"/>
  <c r="BQ38" i="133" s="1"/>
  <c r="BF26" i="135"/>
  <c r="BH12" i="61"/>
  <c r="BD26" i="134"/>
  <c r="BF11" i="61"/>
  <c r="BL22" i="133"/>
  <c r="BM22" i="133" s="1"/>
  <c r="BN22" i="133" s="1"/>
  <c r="BO22" i="133" s="1"/>
  <c r="BP22" i="133" s="1"/>
  <c r="BQ22" i="133" s="1"/>
  <c r="BR22" i="133" s="1"/>
  <c r="BI21" i="133"/>
  <c r="BC26" i="133"/>
  <c r="BF9" i="61"/>
  <c r="BF8" i="61"/>
  <c r="BO47" i="132"/>
  <c r="BP47" i="132" s="1"/>
  <c r="BO52" i="132"/>
  <c r="BP52" i="132" s="1"/>
  <c r="BQ52" i="132" s="1"/>
  <c r="BR52" i="132" s="1"/>
  <c r="BS52" i="132" s="1"/>
  <c r="BJ50" i="132"/>
  <c r="BJ53" i="132"/>
  <c r="BN43" i="132"/>
  <c r="BM46" i="132"/>
  <c r="BN46" i="132" s="1"/>
  <c r="BO46" i="132" s="1"/>
  <c r="BP46" i="132" s="1"/>
  <c r="BQ46" i="132" s="1"/>
  <c r="BO48" i="132"/>
  <c r="BK45" i="132"/>
  <c r="BJ51" i="132"/>
  <c r="BM31" i="132"/>
  <c r="BH35" i="132"/>
  <c r="BN32" i="132"/>
  <c r="BO32" i="132" s="1"/>
  <c r="BP32" i="132" s="1"/>
  <c r="BQ32" i="132" s="1"/>
  <c r="BR32" i="132" s="1"/>
  <c r="BS32" i="132" s="1"/>
  <c r="BT32" i="132" s="1"/>
  <c r="BU32" i="132" s="1"/>
  <c r="BV32" i="132" s="1"/>
  <c r="BC26" i="132"/>
  <c r="BD18" i="132"/>
  <c r="BG21" i="132"/>
  <c r="BQ38" i="131"/>
  <c r="BR38" i="131" s="1"/>
  <c r="BL36" i="131"/>
  <c r="BM36" i="131" s="1"/>
  <c r="BN36" i="131" s="1"/>
  <c r="BJ33" i="131"/>
  <c r="BM39" i="131"/>
  <c r="BN39" i="131" s="1"/>
  <c r="BO39" i="131" s="1"/>
  <c r="BP39" i="131" s="1"/>
  <c r="BQ39" i="131" s="1"/>
  <c r="BK37" i="131"/>
  <c r="BL37" i="131" s="1"/>
  <c r="BM37" i="131" s="1"/>
  <c r="BN37" i="131" s="1"/>
  <c r="BO37" i="131" s="1"/>
  <c r="BP37" i="131" s="1"/>
  <c r="BH31" i="131"/>
  <c r="BL30" i="131"/>
  <c r="BM35" i="131"/>
  <c r="BN35" i="131" s="1"/>
  <c r="BO35" i="131" s="1"/>
  <c r="BP35" i="131" s="1"/>
  <c r="BQ35" i="131" s="1"/>
  <c r="BR35" i="131" s="1"/>
  <c r="BI32" i="131"/>
  <c r="BL21" i="131"/>
  <c r="BR7" i="135" l="1"/>
  <c r="BR7" i="136"/>
  <c r="BR7" i="134"/>
  <c r="BR7" i="132"/>
  <c r="BR7" i="131"/>
  <c r="BR7" i="133"/>
  <c r="BQ18" i="133"/>
  <c r="BE5" i="126"/>
  <c r="BF26" i="136"/>
  <c r="BM30" i="136"/>
  <c r="BE7" i="61"/>
  <c r="BE14" i="61" s="1"/>
  <c r="BE18" i="131"/>
  <c r="BI31" i="135"/>
  <c r="BG18" i="136"/>
  <c r="BG10" i="61"/>
  <c r="BG18" i="134"/>
  <c r="BJ18" i="135"/>
  <c r="BE25" i="131"/>
  <c r="BF25" i="131" s="1"/>
  <c r="BG25" i="131" s="1"/>
  <c r="BD26" i="131"/>
  <c r="BN39" i="132"/>
  <c r="BO39" i="132" s="1"/>
  <c r="BP39" i="132" s="1"/>
  <c r="BQ39" i="132" s="1"/>
  <c r="BR39" i="132" s="1"/>
  <c r="BS39" i="132" s="1"/>
  <c r="BT39" i="132" s="1"/>
  <c r="BU39" i="132" s="1"/>
  <c r="BV39" i="132" s="1"/>
  <c r="BQ47" i="132"/>
  <c r="BR47" i="132" s="1"/>
  <c r="BR38" i="133"/>
  <c r="BS38" i="133" s="1"/>
  <c r="BT38" i="133" s="1"/>
  <c r="BU38" i="133" s="1"/>
  <c r="BO36" i="131"/>
  <c r="BP36" i="131" s="1"/>
  <c r="BV37" i="133"/>
  <c r="BL39" i="133"/>
  <c r="BM39" i="133" s="1"/>
  <c r="BN39" i="133" s="1"/>
  <c r="BO39" i="133" s="1"/>
  <c r="BP39" i="133" s="1"/>
  <c r="BQ39" i="133" s="1"/>
  <c r="BR39" i="133" s="1"/>
  <c r="BI12" i="61"/>
  <c r="BG26" i="135"/>
  <c r="BG11" i="61"/>
  <c r="BE26" i="134"/>
  <c r="BS22" i="133"/>
  <c r="BJ21" i="133"/>
  <c r="BG9" i="61"/>
  <c r="BG8" i="61"/>
  <c r="BL45" i="132"/>
  <c r="BP48" i="132"/>
  <c r="BK50" i="132"/>
  <c r="BK51" i="132"/>
  <c r="BL51" i="132" s="1"/>
  <c r="BM51" i="132" s="1"/>
  <c r="BN51" i="132" s="1"/>
  <c r="BO51" i="132" s="1"/>
  <c r="BP51" i="132" s="1"/>
  <c r="BK53" i="132"/>
  <c r="BR46" i="132"/>
  <c r="BS46" i="132" s="1"/>
  <c r="BO43" i="132"/>
  <c r="BT52" i="132"/>
  <c r="BN31" i="132"/>
  <c r="BI35" i="132"/>
  <c r="BJ35" i="132" s="1"/>
  <c r="BD26" i="133"/>
  <c r="BH21" i="132"/>
  <c r="BE18" i="132"/>
  <c r="BD26" i="132"/>
  <c r="BQ37" i="131"/>
  <c r="BR37" i="131" s="1"/>
  <c r="BR39" i="131"/>
  <c r="BS39" i="131" s="1"/>
  <c r="BS38" i="131"/>
  <c r="BK33" i="131"/>
  <c r="BI31" i="131"/>
  <c r="BM30" i="131"/>
  <c r="BJ32" i="131"/>
  <c r="BS35" i="131"/>
  <c r="BT35" i="131" s="1"/>
  <c r="BM21" i="131"/>
  <c r="BS7" i="132" l="1"/>
  <c r="BS7" i="136"/>
  <c r="BS7" i="131"/>
  <c r="BS7" i="134"/>
  <c r="BS7" i="135"/>
  <c r="BS7" i="133"/>
  <c r="BR18" i="133"/>
  <c r="BF5" i="126"/>
  <c r="BG26" i="136"/>
  <c r="BN30" i="136"/>
  <c r="BO30" i="136" s="1"/>
  <c r="BP30" i="136" s="1"/>
  <c r="BQ30" i="136" s="1"/>
  <c r="BH25" i="131"/>
  <c r="BK12" i="61"/>
  <c r="BK18" i="135"/>
  <c r="BJ31" i="135"/>
  <c r="BE26" i="131"/>
  <c r="BH18" i="134"/>
  <c r="BH18" i="136"/>
  <c r="BH10" i="61"/>
  <c r="BF18" i="131"/>
  <c r="BF7" i="61"/>
  <c r="BF14" i="61" s="1"/>
  <c r="BS47" i="132"/>
  <c r="BT47" i="132" s="1"/>
  <c r="BU47" i="132" s="1"/>
  <c r="BV47" i="132" s="1"/>
  <c r="BQ36" i="131"/>
  <c r="BR36" i="131" s="1"/>
  <c r="BS36" i="131" s="1"/>
  <c r="BT36" i="131" s="1"/>
  <c r="BK54" i="132"/>
  <c r="BT38" i="131"/>
  <c r="BU38" i="131" s="1"/>
  <c r="BS37" i="131"/>
  <c r="BT37" i="131" s="1"/>
  <c r="BV38" i="133"/>
  <c r="BS39" i="133"/>
  <c r="BT39" i="133" s="1"/>
  <c r="BH26" i="135"/>
  <c r="BJ12" i="61"/>
  <c r="BH11" i="61"/>
  <c r="BF26" i="134"/>
  <c r="BT22" i="133"/>
  <c r="BU22" i="133" s="1"/>
  <c r="BK21" i="133"/>
  <c r="BL21" i="133" s="1"/>
  <c r="BM21" i="133" s="1"/>
  <c r="BN21" i="133" s="1"/>
  <c r="BH9" i="61"/>
  <c r="BH8" i="61"/>
  <c r="BQ51" i="132"/>
  <c r="BR51" i="132" s="1"/>
  <c r="BM45" i="132"/>
  <c r="BL53" i="132"/>
  <c r="BM53" i="132" s="1"/>
  <c r="BN53" i="132" s="1"/>
  <c r="BO53" i="132" s="1"/>
  <c r="BP53" i="132" s="1"/>
  <c r="BQ53" i="132" s="1"/>
  <c r="BT46" i="132"/>
  <c r="BU46" i="132" s="1"/>
  <c r="BV46" i="132" s="1"/>
  <c r="BP43" i="132"/>
  <c r="BQ48" i="132"/>
  <c r="BR48" i="132" s="1"/>
  <c r="BS48" i="132" s="1"/>
  <c r="BT48" i="132" s="1"/>
  <c r="BL50" i="132"/>
  <c r="BU52" i="132"/>
  <c r="BV52" i="132" s="1"/>
  <c r="BK35" i="132"/>
  <c r="BL35" i="132" s="1"/>
  <c r="BM35" i="132" s="1"/>
  <c r="BN35" i="132" s="1"/>
  <c r="BO35" i="132" s="1"/>
  <c r="BP35" i="132" s="1"/>
  <c r="BQ35" i="132" s="1"/>
  <c r="BR35" i="132" s="1"/>
  <c r="BO31" i="132"/>
  <c r="BE26" i="133"/>
  <c r="BE26" i="132"/>
  <c r="BI21" i="132"/>
  <c r="BF18" i="132"/>
  <c r="BU35" i="131"/>
  <c r="BV35" i="131" s="1"/>
  <c r="BT39" i="131"/>
  <c r="BU39" i="131" s="1"/>
  <c r="BV39" i="131" s="1"/>
  <c r="BK32" i="131"/>
  <c r="BL32" i="131" s="1"/>
  <c r="BM32" i="131" s="1"/>
  <c r="BN32" i="131" s="1"/>
  <c r="BJ31" i="131"/>
  <c r="BN30" i="131"/>
  <c r="BL33" i="131"/>
  <c r="BN21" i="131"/>
  <c r="BT7" i="134" l="1"/>
  <c r="BT7" i="136"/>
  <c r="BT7" i="135"/>
  <c r="BT7" i="131"/>
  <c r="BT7" i="132"/>
  <c r="BT7" i="133"/>
  <c r="BS18" i="133"/>
  <c r="BH26" i="136"/>
  <c r="BF26" i="131"/>
  <c r="BR30" i="136"/>
  <c r="BS30" i="136" s="1"/>
  <c r="BT30" i="136" s="1"/>
  <c r="BU30" i="136" s="1"/>
  <c r="BG5" i="126"/>
  <c r="BI18" i="136"/>
  <c r="BI10" i="61"/>
  <c r="BI18" i="134"/>
  <c r="BK31" i="135"/>
  <c r="BL31" i="135" s="1"/>
  <c r="BM31" i="135" s="1"/>
  <c r="BG18" i="131"/>
  <c r="BG7" i="61"/>
  <c r="BG14" i="61" s="1"/>
  <c r="BI25" i="131"/>
  <c r="BL18" i="135"/>
  <c r="BL12" i="61"/>
  <c r="BU36" i="131"/>
  <c r="BV36" i="131" s="1"/>
  <c r="BU48" i="132"/>
  <c r="BV48" i="132" s="1"/>
  <c r="BO21" i="133"/>
  <c r="BP21" i="133" s="1"/>
  <c r="BQ21" i="133" s="1"/>
  <c r="BR21" i="133" s="1"/>
  <c r="BS51" i="132"/>
  <c r="BT51" i="132" s="1"/>
  <c r="BU51" i="132" s="1"/>
  <c r="BO32" i="131"/>
  <c r="BP32" i="131" s="1"/>
  <c r="BV22" i="133"/>
  <c r="BG26" i="134"/>
  <c r="BV38" i="131"/>
  <c r="BL54" i="132"/>
  <c r="BU39" i="133"/>
  <c r="BV39" i="133" s="1"/>
  <c r="BI26" i="135"/>
  <c r="BI11" i="61"/>
  <c r="BF26" i="133"/>
  <c r="BI9" i="61"/>
  <c r="BI8" i="61"/>
  <c r="BR53" i="132"/>
  <c r="BM50" i="132"/>
  <c r="BN50" i="132" s="1"/>
  <c r="BO50" i="132" s="1"/>
  <c r="BP50" i="132" s="1"/>
  <c r="BQ50" i="132" s="1"/>
  <c r="BR50" i="132" s="1"/>
  <c r="BQ43" i="132"/>
  <c r="BN45" i="132"/>
  <c r="BS35" i="132"/>
  <c r="BT35" i="132" s="1"/>
  <c r="BU35" i="132" s="1"/>
  <c r="BV35" i="132" s="1"/>
  <c r="BP31" i="132"/>
  <c r="BQ31" i="132" s="1"/>
  <c r="BR31" i="132" s="1"/>
  <c r="BF26" i="132"/>
  <c r="BJ21" i="132"/>
  <c r="BG18" i="132"/>
  <c r="BK31" i="131"/>
  <c r="BL31" i="131" s="1"/>
  <c r="BM31" i="131" s="1"/>
  <c r="BN31" i="131" s="1"/>
  <c r="BO31" i="131" s="1"/>
  <c r="BP31" i="131" s="1"/>
  <c r="BQ31" i="131" s="1"/>
  <c r="BR31" i="131" s="1"/>
  <c r="BU37" i="131"/>
  <c r="BV37" i="131" s="1"/>
  <c r="BM33" i="131"/>
  <c r="BO30" i="131"/>
  <c r="BO21" i="131"/>
  <c r="BU7" i="136" l="1"/>
  <c r="BU7" i="131"/>
  <c r="BU7" i="132"/>
  <c r="BU7" i="135"/>
  <c r="BU7" i="134"/>
  <c r="BU7" i="133"/>
  <c r="BT18" i="133"/>
  <c r="BH5" i="126"/>
  <c r="BI26" i="136"/>
  <c r="BN31" i="135"/>
  <c r="BO31" i="135" s="1"/>
  <c r="BP31" i="135" s="1"/>
  <c r="BQ31" i="135" s="1"/>
  <c r="BR31" i="135" s="1"/>
  <c r="BS31" i="135" s="1"/>
  <c r="BV30" i="136"/>
  <c r="BJ25" i="131"/>
  <c r="BM18" i="135"/>
  <c r="BM12" i="61"/>
  <c r="BH7" i="61"/>
  <c r="BH14" i="61" s="1"/>
  <c r="BH18" i="131"/>
  <c r="BJ18" i="134"/>
  <c r="BG26" i="131"/>
  <c r="BJ18" i="136"/>
  <c r="BJ10" i="61"/>
  <c r="BS21" i="133"/>
  <c r="BT21" i="133" s="1"/>
  <c r="BS31" i="132"/>
  <c r="BT31" i="132" s="1"/>
  <c r="BU31" i="132" s="1"/>
  <c r="BV31" i="132" s="1"/>
  <c r="BH26" i="134"/>
  <c r="BS31" i="131"/>
  <c r="BT31" i="131" s="1"/>
  <c r="BV51" i="132"/>
  <c r="BJ26" i="135"/>
  <c r="BJ11" i="61"/>
  <c r="BJ9" i="61"/>
  <c r="BK9" i="61"/>
  <c r="BJ8" i="61"/>
  <c r="BS50" i="132"/>
  <c r="BT50" i="132" s="1"/>
  <c r="BU50" i="132" s="1"/>
  <c r="BV50" i="132" s="1"/>
  <c r="BO45" i="132"/>
  <c r="BN54" i="132"/>
  <c r="BS53" i="132"/>
  <c r="BT53" i="132" s="1"/>
  <c r="BU53" i="132" s="1"/>
  <c r="BV53" i="132" s="1"/>
  <c r="BM54" i="132"/>
  <c r="BR43" i="132"/>
  <c r="BG26" i="133"/>
  <c r="BK21" i="132"/>
  <c r="BH18" i="132"/>
  <c r="BG26" i="132"/>
  <c r="BP30" i="131"/>
  <c r="BQ30" i="131" s="1"/>
  <c r="BR30" i="131" s="1"/>
  <c r="BS30" i="131" s="1"/>
  <c r="BT30" i="131" s="1"/>
  <c r="BU30" i="131" s="1"/>
  <c r="BQ32" i="131"/>
  <c r="BR32" i="131" s="1"/>
  <c r="BN33" i="131"/>
  <c r="BP21" i="131"/>
  <c r="BV7" i="135" l="1"/>
  <c r="BV7" i="134"/>
  <c r="BV7" i="131"/>
  <c r="BV7" i="132"/>
  <c r="BV7" i="136"/>
  <c r="BV7" i="133"/>
  <c r="BU18" i="133"/>
  <c r="BI5" i="126"/>
  <c r="BJ26" i="136"/>
  <c r="BT31" i="135"/>
  <c r="BU31" i="135" s="1"/>
  <c r="BV31" i="135" s="1"/>
  <c r="BK11" i="61"/>
  <c r="BK18" i="134"/>
  <c r="BI7" i="61"/>
  <c r="BI14" i="61" s="1"/>
  <c r="BI18" i="131"/>
  <c r="BK18" i="136"/>
  <c r="BK10" i="61"/>
  <c r="BH26" i="131"/>
  <c r="BN12" i="61"/>
  <c r="BN18" i="135"/>
  <c r="BK25" i="131"/>
  <c r="BU21" i="133"/>
  <c r="BV21" i="133" s="1"/>
  <c r="BK8" i="61"/>
  <c r="BU31" i="131"/>
  <c r="BV31" i="131" s="1"/>
  <c r="BI26" i="134"/>
  <c r="BL9" i="61"/>
  <c r="BK26" i="135"/>
  <c r="BP45" i="132"/>
  <c r="BO54" i="132"/>
  <c r="BS43" i="132"/>
  <c r="BH26" i="133"/>
  <c r="BI18" i="132"/>
  <c r="BL21" i="132"/>
  <c r="BH26" i="132"/>
  <c r="BS32" i="131"/>
  <c r="BT32" i="131" s="1"/>
  <c r="BO33" i="131"/>
  <c r="BV30" i="131"/>
  <c r="BQ21" i="131"/>
  <c r="BK26" i="136" l="1"/>
  <c r="BJ5" i="126"/>
  <c r="BL25" i="131"/>
  <c r="BJ7" i="61"/>
  <c r="BJ14" i="61" s="1"/>
  <c r="BJ18" i="131"/>
  <c r="BO12" i="61"/>
  <c r="BO18" i="135"/>
  <c r="BL18" i="136"/>
  <c r="BL10" i="61"/>
  <c r="BI26" i="131"/>
  <c r="BL18" i="134"/>
  <c r="BL11" i="61"/>
  <c r="BL8" i="61"/>
  <c r="BM9" i="61"/>
  <c r="BL26" i="135"/>
  <c r="BJ26" i="134"/>
  <c r="BT43" i="132"/>
  <c r="BQ45" i="132"/>
  <c r="BP54" i="132"/>
  <c r="BI26" i="133"/>
  <c r="BI26" i="132"/>
  <c r="BJ18" i="132"/>
  <c r="BM21" i="132"/>
  <c r="BU32" i="131"/>
  <c r="BV32" i="131" s="1"/>
  <c r="BP33" i="131"/>
  <c r="BQ33" i="131" s="1"/>
  <c r="BR33" i="131" s="1"/>
  <c r="BS33" i="131" s="1"/>
  <c r="BR21" i="131"/>
  <c r="BK5" i="126" l="1"/>
  <c r="BL26" i="136"/>
  <c r="BM11" i="61"/>
  <c r="BM18" i="134"/>
  <c r="BJ26" i="131"/>
  <c r="BM25" i="131"/>
  <c r="BM10" i="61"/>
  <c r="BM18" i="136"/>
  <c r="BK7" i="61"/>
  <c r="BK14" i="61" s="1"/>
  <c r="BK15" i="61" s="1"/>
  <c r="BK18" i="131"/>
  <c r="BP18" i="135"/>
  <c r="BP12" i="61"/>
  <c r="BM8" i="61"/>
  <c r="BT33" i="131"/>
  <c r="BU33" i="131" s="1"/>
  <c r="BM26" i="135"/>
  <c r="BN9" i="61"/>
  <c r="BK26" i="134"/>
  <c r="BU43" i="132"/>
  <c r="BR45" i="132"/>
  <c r="BQ54" i="132"/>
  <c r="BJ26" i="133"/>
  <c r="BJ26" i="132"/>
  <c r="BN21" i="132"/>
  <c r="BK18" i="132"/>
  <c r="BS21" i="131"/>
  <c r="BL5" i="126" l="1"/>
  <c r="BM26" i="136"/>
  <c r="BQ18" i="135"/>
  <c r="BQ12" i="61"/>
  <c r="BK26" i="131"/>
  <c r="BN25" i="131"/>
  <c r="BN10" i="61"/>
  <c r="BN18" i="136"/>
  <c r="BL7" i="61"/>
  <c r="BL14" i="61" s="1"/>
  <c r="BL15" i="61" s="1"/>
  <c r="BL18" i="131"/>
  <c r="BN18" i="134"/>
  <c r="BN11" i="61"/>
  <c r="BV33" i="131"/>
  <c r="BN8" i="61"/>
  <c r="BO9" i="61"/>
  <c r="BN26" i="135"/>
  <c r="BL26" i="134"/>
  <c r="BS45" i="132"/>
  <c r="BR54" i="132"/>
  <c r="BV43" i="132"/>
  <c r="BK26" i="133"/>
  <c r="BO21" i="132"/>
  <c r="BL18" i="132"/>
  <c r="BK26" i="132"/>
  <c r="BT21" i="131"/>
  <c r="BN26" i="136" l="1"/>
  <c r="BL26" i="131"/>
  <c r="BM7" i="61"/>
  <c r="BM14" i="61" s="1"/>
  <c r="BM15" i="61" s="1"/>
  <c r="BM18" i="131"/>
  <c r="BO11" i="61"/>
  <c r="BO18" i="134"/>
  <c r="BO25" i="131"/>
  <c r="BO10" i="61"/>
  <c r="BO18" i="136"/>
  <c r="BR12" i="61"/>
  <c r="BR18" i="135"/>
  <c r="BO8" i="61"/>
  <c r="BO26" i="135"/>
  <c r="BM26" i="134"/>
  <c r="BP9" i="61"/>
  <c r="BT45" i="132"/>
  <c r="BS54" i="132"/>
  <c r="BM26" i="133"/>
  <c r="BL26" i="133"/>
  <c r="BM18" i="132"/>
  <c r="BL26" i="132"/>
  <c r="BP21" i="132"/>
  <c r="BU21" i="131"/>
  <c r="BM26" i="131" l="1"/>
  <c r="BO26" i="136"/>
  <c r="BP18" i="136"/>
  <c r="BP10" i="61"/>
  <c r="BN7" i="61"/>
  <c r="BN14" i="61" s="1"/>
  <c r="BN15" i="61" s="1"/>
  <c r="BN18" i="131"/>
  <c r="BP25" i="131"/>
  <c r="BQ25" i="131" s="1"/>
  <c r="BR25" i="131" s="1"/>
  <c r="BS25" i="131" s="1"/>
  <c r="BT25" i="131" s="1"/>
  <c r="BU25" i="131" s="1"/>
  <c r="BV25" i="131" s="1"/>
  <c r="BP18" i="134"/>
  <c r="BP11" i="61"/>
  <c r="BS12" i="61"/>
  <c r="BS18" i="135"/>
  <c r="BP8" i="61"/>
  <c r="BQ9" i="61"/>
  <c r="BP26" i="135"/>
  <c r="BN26" i="134"/>
  <c r="BU45" i="132"/>
  <c r="BT54" i="132"/>
  <c r="BQ21" i="132"/>
  <c r="BM26" i="132"/>
  <c r="BN18" i="132"/>
  <c r="BV21" i="131"/>
  <c r="BP26" i="136" l="1"/>
  <c r="BT12" i="61"/>
  <c r="BT18" i="135"/>
  <c r="BQ10" i="61"/>
  <c r="BQ18" i="136"/>
  <c r="BQ11" i="61"/>
  <c r="BQ18" i="134"/>
  <c r="BO7" i="61"/>
  <c r="BO14" i="61" s="1"/>
  <c r="BO15" i="61" s="1"/>
  <c r="BO18" i="131"/>
  <c r="BN26" i="131"/>
  <c r="BQ8" i="61"/>
  <c r="BO26" i="134"/>
  <c r="BR9" i="61"/>
  <c r="BQ26" i="135"/>
  <c r="BN26" i="133"/>
  <c r="BV45" i="132"/>
  <c r="BV54" i="132" s="1"/>
  <c r="BU54" i="132"/>
  <c r="BO18" i="132"/>
  <c r="BR21" i="132"/>
  <c r="BN26" i="132"/>
  <c r="BQ26" i="136" l="1"/>
  <c r="BR18" i="134"/>
  <c r="BR11" i="61"/>
  <c r="BO26" i="131"/>
  <c r="BU12" i="61"/>
  <c r="BU18" i="135"/>
  <c r="BP7" i="61"/>
  <c r="BP14" i="61" s="1"/>
  <c r="BP15" i="61" s="1"/>
  <c r="BP18" i="131"/>
  <c r="BR10" i="61"/>
  <c r="BR18" i="136"/>
  <c r="BR8" i="61"/>
  <c r="BP26" i="134"/>
  <c r="BS9" i="61"/>
  <c r="BR26" i="135"/>
  <c r="BO26" i="133"/>
  <c r="BO26" i="132"/>
  <c r="BS21" i="132"/>
  <c r="BP18" i="132"/>
  <c r="BR26" i="136" l="1"/>
  <c r="BP26" i="131"/>
  <c r="BS18" i="136"/>
  <c r="BS10" i="61"/>
  <c r="BQ7" i="61"/>
  <c r="BQ14" i="61" s="1"/>
  <c r="BQ15" i="61" s="1"/>
  <c r="BQ18" i="131"/>
  <c r="BV18" i="135"/>
  <c r="BV12" i="61"/>
  <c r="BS11" i="61"/>
  <c r="BS18" i="134"/>
  <c r="BS8" i="61"/>
  <c r="BT9" i="61"/>
  <c r="BS26" i="135"/>
  <c r="BQ26" i="134"/>
  <c r="BP26" i="132"/>
  <c r="BP26" i="133"/>
  <c r="BT21" i="132"/>
  <c r="BQ18" i="132"/>
  <c r="BQ26" i="131" l="1"/>
  <c r="BS26" i="136"/>
  <c r="BR7" i="61"/>
  <c r="BR14" i="61" s="1"/>
  <c r="BR15" i="61" s="1"/>
  <c r="BR18" i="131"/>
  <c r="BT11" i="61"/>
  <c r="BT18" i="134"/>
  <c r="BT10" i="61"/>
  <c r="BT18" i="136"/>
  <c r="BT8" i="61"/>
  <c r="BU9" i="61"/>
  <c r="BT26" i="135"/>
  <c r="BR26" i="134"/>
  <c r="BQ26" i="133"/>
  <c r="BQ26" i="132"/>
  <c r="BU21" i="132"/>
  <c r="BR18" i="132"/>
  <c r="BT26" i="136" l="1"/>
  <c r="BU10" i="61"/>
  <c r="BU18" i="136"/>
  <c r="BS7" i="61"/>
  <c r="BS14" i="61" s="1"/>
  <c r="BS15" i="61" s="1"/>
  <c r="BS18" i="131"/>
  <c r="BR26" i="131"/>
  <c r="BU18" i="134"/>
  <c r="BU11" i="61"/>
  <c r="BV8" i="61"/>
  <c r="BU8" i="61"/>
  <c r="BV9" i="61"/>
  <c r="BU26" i="135"/>
  <c r="BS26" i="134"/>
  <c r="BR26" i="132"/>
  <c r="BR26" i="133"/>
  <c r="BS18" i="132"/>
  <c r="BV21" i="132"/>
  <c r="BS26" i="131" l="1"/>
  <c r="BU26" i="136"/>
  <c r="BV18" i="134"/>
  <c r="BV11" i="61"/>
  <c r="BT7" i="61"/>
  <c r="BT14" i="61" s="1"/>
  <c r="BT18" i="131"/>
  <c r="BV18" i="136"/>
  <c r="BV10" i="61"/>
  <c r="BV26" i="135"/>
  <c r="BT26" i="134"/>
  <c r="BT26" i="133"/>
  <c r="BS26" i="133"/>
  <c r="BT18" i="132"/>
  <c r="BS26" i="132"/>
  <c r="BV26" i="136" l="1"/>
  <c r="BU7" i="61"/>
  <c r="BU14" i="61" s="1"/>
  <c r="BU18" i="131"/>
  <c r="BT26" i="131"/>
  <c r="BU26" i="134"/>
  <c r="BT26" i="132"/>
  <c r="BU18" i="132"/>
  <c r="BU26" i="131" l="1"/>
  <c r="BV7" i="61"/>
  <c r="BV14" i="61" s="1"/>
  <c r="BV18" i="131"/>
  <c r="BV26" i="134"/>
  <c r="BU26" i="133"/>
  <c r="BU26" i="132"/>
  <c r="BV18" i="133"/>
  <c r="BV18" i="132"/>
  <c r="BV26" i="131" l="1"/>
  <c r="BV26" i="132"/>
  <c r="BV26" i="133"/>
  <c r="AB32" i="69" l="1"/>
  <c r="AB18" i="69"/>
  <c r="B65" i="115" l="1"/>
  <c r="C65" i="115" s="1"/>
  <c r="D65" i="115" s="1"/>
  <c r="E65" i="115" s="1"/>
  <c r="F65" i="115" s="1"/>
  <c r="G65" i="115" s="1"/>
  <c r="H65" i="115" s="1"/>
  <c r="I65" i="115" s="1"/>
  <c r="J65" i="115" s="1"/>
  <c r="K65" i="115" s="1"/>
  <c r="L65" i="115" s="1"/>
  <c r="M65" i="115" s="1"/>
  <c r="Z57" i="70"/>
  <c r="Y57" i="70"/>
  <c r="X57" i="70"/>
  <c r="W57" i="70"/>
  <c r="V57" i="70"/>
  <c r="U57" i="70"/>
  <c r="T57" i="70"/>
  <c r="S57" i="70"/>
  <c r="R57" i="70"/>
  <c r="Q57" i="70"/>
  <c r="P57" i="70"/>
  <c r="O57" i="70"/>
  <c r="N57" i="70"/>
  <c r="M57" i="70"/>
  <c r="L57" i="70"/>
  <c r="K57" i="70"/>
  <c r="J57" i="70"/>
  <c r="AB57" i="70"/>
  <c r="AC57" i="70"/>
  <c r="AD57" i="70"/>
  <c r="AE57" i="70"/>
  <c r="AF57" i="70"/>
  <c r="AG57" i="70"/>
  <c r="AH57" i="70"/>
  <c r="AI57" i="70"/>
  <c r="AJ57" i="70"/>
  <c r="AK57" i="70"/>
  <c r="AL57" i="70"/>
  <c r="AM57" i="70"/>
  <c r="AN57" i="70"/>
  <c r="AO57" i="70"/>
  <c r="AP57" i="70"/>
  <c r="AQ57" i="70"/>
  <c r="AR57" i="70"/>
  <c r="AS57" i="70"/>
  <c r="AT57" i="70"/>
  <c r="AU57" i="70"/>
  <c r="AV57" i="70"/>
  <c r="AW57" i="70"/>
  <c r="AX57" i="70"/>
  <c r="AY57" i="70"/>
  <c r="AZ57" i="70"/>
  <c r="AA57" i="70"/>
  <c r="Z22" i="70" l="1"/>
  <c r="AE124" i="81"/>
  <c r="AE80" i="81"/>
  <c r="AE72" i="81"/>
  <c r="AE33" i="81"/>
  <c r="AE35" i="81" s="1"/>
  <c r="AE17" i="81"/>
  <c r="AB1523" i="123"/>
  <c r="AB1345" i="123"/>
  <c r="AB1334" i="123"/>
  <c r="AB1326" i="123"/>
  <c r="AB1316" i="123"/>
  <c r="AB1306" i="123"/>
  <c r="AB1297" i="123"/>
  <c r="AB1289" i="123"/>
  <c r="AB1283" i="123"/>
  <c r="AB1275" i="123"/>
  <c r="AB1261" i="123"/>
  <c r="AB1257" i="123"/>
  <c r="AB1237" i="123"/>
  <c r="AB1222" i="123"/>
  <c r="AB1211" i="123"/>
  <c r="AB1207" i="123"/>
  <c r="AB1201" i="123"/>
  <c r="AB1192" i="123"/>
  <c r="AB1177" i="123"/>
  <c r="AB1166" i="123"/>
  <c r="AB1158" i="123"/>
  <c r="AB1148" i="123"/>
  <c r="AB1138" i="123"/>
  <c r="AB1129" i="123"/>
  <c r="AB1121" i="123"/>
  <c r="AB1115" i="123"/>
  <c r="AB1107" i="123"/>
  <c r="AB1093" i="123"/>
  <c r="AB1089" i="123"/>
  <c r="AB1069" i="123"/>
  <c r="AB1054" i="123"/>
  <c r="AB1043" i="123"/>
  <c r="AB1039" i="123"/>
  <c r="AB1033" i="123"/>
  <c r="AB1024" i="123"/>
  <c r="AB1009" i="123"/>
  <c r="AB998" i="123"/>
  <c r="X18" i="135" s="1"/>
  <c r="AB990" i="123"/>
  <c r="AB980" i="123"/>
  <c r="AB970" i="123"/>
  <c r="AB961" i="123"/>
  <c r="AB953" i="123"/>
  <c r="AB947" i="123"/>
  <c r="AB939" i="123"/>
  <c r="AB925" i="123"/>
  <c r="AB921" i="123"/>
  <c r="AB901" i="123"/>
  <c r="AB886" i="123"/>
  <c r="AB875" i="123"/>
  <c r="AB871" i="123"/>
  <c r="AB865" i="123"/>
  <c r="AB856" i="123"/>
  <c r="AB841" i="123"/>
  <c r="AB830" i="123"/>
  <c r="X18" i="141" s="1"/>
  <c r="AB822" i="123"/>
  <c r="AB812" i="123"/>
  <c r="AB802" i="123"/>
  <c r="AB793" i="123"/>
  <c r="AB785" i="123"/>
  <c r="AB779" i="123"/>
  <c r="AB771" i="123"/>
  <c r="X29" i="141" s="1"/>
  <c r="AB757" i="123"/>
  <c r="AB753" i="123"/>
  <c r="AB733" i="123"/>
  <c r="AB718" i="123"/>
  <c r="AB707" i="123"/>
  <c r="AB703" i="123"/>
  <c r="AB697" i="123"/>
  <c r="AB688" i="123"/>
  <c r="AB673" i="123"/>
  <c r="AB662" i="123"/>
  <c r="X18" i="134" s="1"/>
  <c r="AB654" i="123"/>
  <c r="AB644" i="123"/>
  <c r="AB634" i="123"/>
  <c r="AB625" i="123"/>
  <c r="AB617" i="123"/>
  <c r="AB611" i="123"/>
  <c r="AB603" i="123"/>
  <c r="AB589" i="123"/>
  <c r="AB585" i="123"/>
  <c r="AB565" i="123"/>
  <c r="AB550" i="123"/>
  <c r="AB539" i="123"/>
  <c r="AB535" i="123"/>
  <c r="AB529" i="123"/>
  <c r="AB520" i="123"/>
  <c r="AB505" i="123"/>
  <c r="AB494" i="123"/>
  <c r="X18" i="133" s="1"/>
  <c r="AB486" i="123"/>
  <c r="AB476" i="123"/>
  <c r="AB466" i="123"/>
  <c r="AB457" i="123"/>
  <c r="AB449" i="123"/>
  <c r="AB443" i="123"/>
  <c r="AB435" i="123"/>
  <c r="AB421" i="123"/>
  <c r="AB417" i="123"/>
  <c r="AB397" i="123"/>
  <c r="AB382" i="123"/>
  <c r="AB371" i="123"/>
  <c r="AB367" i="123"/>
  <c r="AB361" i="123"/>
  <c r="AB352" i="123"/>
  <c r="AB337" i="123"/>
  <c r="AB326" i="123"/>
  <c r="AB318" i="123"/>
  <c r="AB308" i="123"/>
  <c r="AB298" i="123"/>
  <c r="AB289" i="123"/>
  <c r="AB281" i="123"/>
  <c r="AB275" i="123"/>
  <c r="AB267" i="123"/>
  <c r="AB253" i="123"/>
  <c r="AB249" i="123"/>
  <c r="AB229" i="123"/>
  <c r="AB214" i="123"/>
  <c r="AB203" i="123"/>
  <c r="AB199" i="123"/>
  <c r="AB193" i="123"/>
  <c r="AB184" i="123"/>
  <c r="AB169" i="123"/>
  <c r="AB158" i="123"/>
  <c r="AB150" i="123"/>
  <c r="AB140" i="123"/>
  <c r="AB130" i="123"/>
  <c r="AB121" i="123"/>
  <c r="AB113" i="123"/>
  <c r="AB107" i="123"/>
  <c r="AB99" i="123"/>
  <c r="AB85" i="123"/>
  <c r="AB81" i="123"/>
  <c r="AB61" i="123"/>
  <c r="AB46" i="123"/>
  <c r="AB35" i="123"/>
  <c r="AB31" i="123"/>
  <c r="AB25" i="123"/>
  <c r="AB16" i="123"/>
  <c r="X40" i="141" l="1"/>
  <c r="X18" i="136"/>
  <c r="X18" i="131"/>
  <c r="X18" i="132"/>
  <c r="AB1328" i="123"/>
  <c r="AB1347" i="123" s="1"/>
  <c r="AB152" i="123"/>
  <c r="AB824" i="123"/>
  <c r="X12" i="141" s="1"/>
  <c r="X14" i="141" s="1"/>
  <c r="X26" i="141" s="1"/>
  <c r="AB320" i="123"/>
  <c r="AB1160" i="123"/>
  <c r="AB1179" i="123" s="1"/>
  <c r="AB488" i="123"/>
  <c r="AB992" i="123"/>
  <c r="AB656" i="123"/>
  <c r="X42" i="141" l="1"/>
  <c r="X12" i="132"/>
  <c r="X14" i="132" s="1"/>
  <c r="X26" i="132" s="1"/>
  <c r="AB507" i="123"/>
  <c r="X12" i="133"/>
  <c r="X14" i="133" s="1"/>
  <c r="X26" i="133" s="1"/>
  <c r="X12" i="131"/>
  <c r="X14" i="131" s="1"/>
  <c r="X26" i="131" s="1"/>
  <c r="AB171" i="123"/>
  <c r="AB1011" i="123"/>
  <c r="X12" i="135"/>
  <c r="X14" i="135" s="1"/>
  <c r="X26" i="135" s="1"/>
  <c r="AB843" i="123"/>
  <c r="X12" i="136"/>
  <c r="X14" i="136" s="1"/>
  <c r="X26" i="136" s="1"/>
  <c r="AB675" i="123"/>
  <c r="X12" i="134"/>
  <c r="X14" i="134" s="1"/>
  <c r="X26" i="134" s="1"/>
  <c r="AB339" i="123"/>
  <c r="W1523" i="123"/>
  <c r="T1523" i="123"/>
  <c r="U1523" i="123"/>
  <c r="V1523" i="123"/>
  <c r="X1523" i="123"/>
  <c r="Y1523" i="123"/>
  <c r="Z1523" i="123"/>
  <c r="AA1523" i="123"/>
  <c r="S1523" i="123"/>
  <c r="Z5" i="126" l="1"/>
  <c r="S169" i="123" l="1"/>
  <c r="S158" i="123"/>
  <c r="S150" i="123"/>
  <c r="S140" i="123"/>
  <c r="S130" i="123"/>
  <c r="S121" i="123"/>
  <c r="S113" i="123"/>
  <c r="S107" i="123"/>
  <c r="S99" i="123"/>
  <c r="S85" i="123"/>
  <c r="S81" i="123"/>
  <c r="S61" i="123"/>
  <c r="S46" i="123"/>
  <c r="S35" i="123"/>
  <c r="S31" i="123"/>
  <c r="S25" i="123"/>
  <c r="S16" i="123"/>
  <c r="AA1345" i="123"/>
  <c r="AA1334" i="123"/>
  <c r="AA1326" i="123"/>
  <c r="AA1316" i="123"/>
  <c r="AA1306" i="123"/>
  <c r="AA1297" i="123"/>
  <c r="AA1289" i="123"/>
  <c r="AA1283" i="123"/>
  <c r="AA1275" i="123"/>
  <c r="AA1261" i="123"/>
  <c r="AA1257" i="123"/>
  <c r="AA1237" i="123"/>
  <c r="AA1222" i="123"/>
  <c r="AA1211" i="123"/>
  <c r="AA1207" i="123"/>
  <c r="AA1201" i="123"/>
  <c r="AA1192" i="123"/>
  <c r="Z1345" i="123"/>
  <c r="Z1334" i="123"/>
  <c r="Z1326" i="123"/>
  <c r="Z1316" i="123"/>
  <c r="Z1306" i="123"/>
  <c r="Z1297" i="123"/>
  <c r="Z1289" i="123"/>
  <c r="Z1283" i="123"/>
  <c r="Z1275" i="123"/>
  <c r="Z1261" i="123"/>
  <c r="Z1257" i="123"/>
  <c r="Z1237" i="123"/>
  <c r="Z1222" i="123"/>
  <c r="Z1211" i="123"/>
  <c r="Z1207" i="123"/>
  <c r="Z1201" i="123"/>
  <c r="Z1192" i="123"/>
  <c r="Y1345" i="123"/>
  <c r="Y1334" i="123"/>
  <c r="Y1326" i="123"/>
  <c r="Y1316" i="123"/>
  <c r="Y1306" i="123"/>
  <c r="Y1297" i="123"/>
  <c r="Y1289" i="123"/>
  <c r="Y1283" i="123"/>
  <c r="Y1275" i="123"/>
  <c r="Y1261" i="123"/>
  <c r="Y1257" i="123"/>
  <c r="Y1237" i="123"/>
  <c r="Y1222" i="123"/>
  <c r="Y1211" i="123"/>
  <c r="Y1207" i="123"/>
  <c r="Y1201" i="123"/>
  <c r="Y1192" i="123"/>
  <c r="X1345" i="123"/>
  <c r="X1334" i="123"/>
  <c r="X1326" i="123"/>
  <c r="X1316" i="123"/>
  <c r="X1306" i="123"/>
  <c r="X1297" i="123"/>
  <c r="X1289" i="123"/>
  <c r="X1283" i="123"/>
  <c r="X1275" i="123"/>
  <c r="X1261" i="123"/>
  <c r="X1257" i="123"/>
  <c r="X1237" i="123"/>
  <c r="X1222" i="123"/>
  <c r="X1211" i="123"/>
  <c r="X1207" i="123"/>
  <c r="X1201" i="123"/>
  <c r="X1192" i="123"/>
  <c r="W1345" i="123"/>
  <c r="W1334" i="123"/>
  <c r="W1326" i="123"/>
  <c r="W1316" i="123"/>
  <c r="W1306" i="123"/>
  <c r="W1297" i="123"/>
  <c r="W1289" i="123"/>
  <c r="W1283" i="123"/>
  <c r="W1275" i="123"/>
  <c r="W1261" i="123"/>
  <c r="W1257" i="123"/>
  <c r="W1237" i="123"/>
  <c r="W1222" i="123"/>
  <c r="W1211" i="123"/>
  <c r="W1207" i="123"/>
  <c r="W1201" i="123"/>
  <c r="W1192" i="123"/>
  <c r="V1345" i="123"/>
  <c r="V1334" i="123"/>
  <c r="V1326" i="123"/>
  <c r="V1316" i="123"/>
  <c r="V1306" i="123"/>
  <c r="V1297" i="123"/>
  <c r="V1289" i="123"/>
  <c r="V1283" i="123"/>
  <c r="V1275" i="123"/>
  <c r="V1261" i="123"/>
  <c r="V1257" i="123"/>
  <c r="V1237" i="123"/>
  <c r="V1222" i="123"/>
  <c r="V1211" i="123"/>
  <c r="V1207" i="123"/>
  <c r="V1201" i="123"/>
  <c r="V1192" i="123"/>
  <c r="U1345" i="123"/>
  <c r="U1334" i="123"/>
  <c r="U1326" i="123"/>
  <c r="U1316" i="123"/>
  <c r="U1306" i="123"/>
  <c r="U1297" i="123"/>
  <c r="U1289" i="123"/>
  <c r="U1283" i="123"/>
  <c r="U1275" i="123"/>
  <c r="U1261" i="123"/>
  <c r="U1257" i="123"/>
  <c r="U1237" i="123"/>
  <c r="U1222" i="123"/>
  <c r="U1211" i="123"/>
  <c r="U1207" i="123"/>
  <c r="U1201" i="123"/>
  <c r="U1192" i="123"/>
  <c r="T1345" i="123"/>
  <c r="T1334" i="123"/>
  <c r="T1326" i="123"/>
  <c r="T1316" i="123"/>
  <c r="T1306" i="123"/>
  <c r="T1297" i="123"/>
  <c r="T1289" i="123"/>
  <c r="T1283" i="123"/>
  <c r="T1275" i="123"/>
  <c r="T1261" i="123"/>
  <c r="T1257" i="123"/>
  <c r="T1237" i="123"/>
  <c r="T1222" i="123"/>
  <c r="T1211" i="123"/>
  <c r="T1207" i="123"/>
  <c r="T1201" i="123"/>
  <c r="T1192" i="123"/>
  <c r="T1177" i="123"/>
  <c r="T1166" i="123"/>
  <c r="T1158" i="123"/>
  <c r="T1148" i="123"/>
  <c r="T1138" i="123"/>
  <c r="T1129" i="123"/>
  <c r="T1121" i="123"/>
  <c r="T1115" i="123"/>
  <c r="T1107" i="123"/>
  <c r="T1093" i="123"/>
  <c r="T1089" i="123"/>
  <c r="T1069" i="123"/>
  <c r="T1054" i="123"/>
  <c r="T1043" i="123"/>
  <c r="T1039" i="123"/>
  <c r="T1033" i="123"/>
  <c r="T1024" i="123"/>
  <c r="U1177" i="123"/>
  <c r="U1166" i="123"/>
  <c r="U1158" i="123"/>
  <c r="U1148" i="123"/>
  <c r="U1138" i="123"/>
  <c r="U1129" i="123"/>
  <c r="U1121" i="123"/>
  <c r="U1115" i="123"/>
  <c r="U1107" i="123"/>
  <c r="U1093" i="123"/>
  <c r="U1089" i="123"/>
  <c r="U1069" i="123"/>
  <c r="U1054" i="123"/>
  <c r="U1043" i="123"/>
  <c r="U1039" i="123"/>
  <c r="U1033" i="123"/>
  <c r="U1024" i="123"/>
  <c r="V1177" i="123"/>
  <c r="V1166" i="123"/>
  <c r="V1158" i="123"/>
  <c r="V1148" i="123"/>
  <c r="V1138" i="123"/>
  <c r="V1129" i="123"/>
  <c r="V1121" i="123"/>
  <c r="V1115" i="123"/>
  <c r="V1107" i="123"/>
  <c r="V1093" i="123"/>
  <c r="V1089" i="123"/>
  <c r="V1069" i="123"/>
  <c r="V1054" i="123"/>
  <c r="V1043" i="123"/>
  <c r="V1039" i="123"/>
  <c r="V1033" i="123"/>
  <c r="V1024" i="123"/>
  <c r="W1177" i="123"/>
  <c r="W1166" i="123"/>
  <c r="W1158" i="123"/>
  <c r="W1148" i="123"/>
  <c r="W1138" i="123"/>
  <c r="W1129" i="123"/>
  <c r="W1121" i="123"/>
  <c r="W1115" i="123"/>
  <c r="W1107" i="123"/>
  <c r="W1093" i="123"/>
  <c r="W1089" i="123"/>
  <c r="W1069" i="123"/>
  <c r="W1054" i="123"/>
  <c r="W1043" i="123"/>
  <c r="W1039" i="123"/>
  <c r="W1033" i="123"/>
  <c r="W1024" i="123"/>
  <c r="X1177" i="123"/>
  <c r="X1166" i="123"/>
  <c r="X1158" i="123"/>
  <c r="X1148" i="123"/>
  <c r="X1138" i="123"/>
  <c r="X1129" i="123"/>
  <c r="X1121" i="123"/>
  <c r="X1115" i="123"/>
  <c r="X1107" i="123"/>
  <c r="X1093" i="123"/>
  <c r="X1089" i="123"/>
  <c r="X1069" i="123"/>
  <c r="X1054" i="123"/>
  <c r="X1043" i="123"/>
  <c r="X1039" i="123"/>
  <c r="X1033" i="123"/>
  <c r="X1024" i="123"/>
  <c r="Y1177" i="123"/>
  <c r="Y1166" i="123"/>
  <c r="Y1158" i="123"/>
  <c r="Y1148" i="123"/>
  <c r="Y1138" i="123"/>
  <c r="Y1129" i="123"/>
  <c r="Y1121" i="123"/>
  <c r="Y1115" i="123"/>
  <c r="Y1107" i="123"/>
  <c r="Y1093" i="123"/>
  <c r="Y1089" i="123"/>
  <c r="Y1069" i="123"/>
  <c r="Y1054" i="123"/>
  <c r="Y1043" i="123"/>
  <c r="Y1039" i="123"/>
  <c r="Y1033" i="123"/>
  <c r="Y1024" i="123"/>
  <c r="Z1177" i="123"/>
  <c r="Z1166" i="123"/>
  <c r="Z1158" i="123"/>
  <c r="Z1148" i="123"/>
  <c r="Z1138" i="123"/>
  <c r="Z1129" i="123"/>
  <c r="Z1121" i="123"/>
  <c r="Z1115" i="123"/>
  <c r="Z1107" i="123"/>
  <c r="Z1093" i="123"/>
  <c r="Z1089" i="123"/>
  <c r="Z1069" i="123"/>
  <c r="Z1054" i="123"/>
  <c r="Z1043" i="123"/>
  <c r="Z1039" i="123"/>
  <c r="Z1033" i="123"/>
  <c r="Z1024" i="123"/>
  <c r="AA1177" i="123"/>
  <c r="AA1166" i="123"/>
  <c r="AA1158" i="123"/>
  <c r="AA1148" i="123"/>
  <c r="AA1138" i="123"/>
  <c r="AA1129" i="123"/>
  <c r="AA1121" i="123"/>
  <c r="AA1115" i="123"/>
  <c r="AA1107" i="123"/>
  <c r="AA1093" i="123"/>
  <c r="AA1089" i="123"/>
  <c r="AA1069" i="123"/>
  <c r="AA1054" i="123"/>
  <c r="AA1043" i="123"/>
  <c r="AA1039" i="123"/>
  <c r="AA1033" i="123"/>
  <c r="AA1024" i="123"/>
  <c r="AA1009" i="123"/>
  <c r="AA998" i="123"/>
  <c r="W18" i="135" s="1"/>
  <c r="AA990" i="123"/>
  <c r="AA980" i="123"/>
  <c r="AA970" i="123"/>
  <c r="AA961" i="123"/>
  <c r="AA953" i="123"/>
  <c r="AA947" i="123"/>
  <c r="AA939" i="123"/>
  <c r="AA925" i="123"/>
  <c r="AA921" i="123"/>
  <c r="AA901" i="123"/>
  <c r="AA886" i="123"/>
  <c r="AA875" i="123"/>
  <c r="AA871" i="123"/>
  <c r="AA865" i="123"/>
  <c r="AA856" i="123"/>
  <c r="Z1009" i="123"/>
  <c r="Z998" i="123"/>
  <c r="V18" i="135" s="1"/>
  <c r="Z990" i="123"/>
  <c r="Z980" i="123"/>
  <c r="Z970" i="123"/>
  <c r="Z961" i="123"/>
  <c r="Z953" i="123"/>
  <c r="Z947" i="123"/>
  <c r="Z939" i="123"/>
  <c r="Z925" i="123"/>
  <c r="Z921" i="123"/>
  <c r="Z901" i="123"/>
  <c r="Z886" i="123"/>
  <c r="Z875" i="123"/>
  <c r="Z871" i="123"/>
  <c r="Z865" i="123"/>
  <c r="Z856" i="123"/>
  <c r="Y1009" i="123"/>
  <c r="Y998" i="123"/>
  <c r="U18" i="135" s="1"/>
  <c r="Y990" i="123"/>
  <c r="Y980" i="123"/>
  <c r="Y970" i="123"/>
  <c r="Y961" i="123"/>
  <c r="Y953" i="123"/>
  <c r="Y947" i="123"/>
  <c r="Y939" i="123"/>
  <c r="Y925" i="123"/>
  <c r="Y921" i="123"/>
  <c r="Y901" i="123"/>
  <c r="Y886" i="123"/>
  <c r="Y875" i="123"/>
  <c r="Y871" i="123"/>
  <c r="Y865" i="123"/>
  <c r="Y856" i="123"/>
  <c r="X1009" i="123"/>
  <c r="X998" i="123"/>
  <c r="T18" i="135" s="1"/>
  <c r="X990" i="123"/>
  <c r="X980" i="123"/>
  <c r="X970" i="123"/>
  <c r="X961" i="123"/>
  <c r="X953" i="123"/>
  <c r="X947" i="123"/>
  <c r="X939" i="123"/>
  <c r="X925" i="123"/>
  <c r="X921" i="123"/>
  <c r="X901" i="123"/>
  <c r="X886" i="123"/>
  <c r="X875" i="123"/>
  <c r="X871" i="123"/>
  <c r="X865" i="123"/>
  <c r="X856" i="123"/>
  <c r="W1009" i="123"/>
  <c r="W998" i="123"/>
  <c r="S18" i="135" s="1"/>
  <c r="W990" i="123"/>
  <c r="W980" i="123"/>
  <c r="W970" i="123"/>
  <c r="W961" i="123"/>
  <c r="W953" i="123"/>
  <c r="W947" i="123"/>
  <c r="W939" i="123"/>
  <c r="W925" i="123"/>
  <c r="W921" i="123"/>
  <c r="W901" i="123"/>
  <c r="W886" i="123"/>
  <c r="W875" i="123"/>
  <c r="W871" i="123"/>
  <c r="W865" i="123"/>
  <c r="W856" i="123"/>
  <c r="V1009" i="123"/>
  <c r="V998" i="123"/>
  <c r="R18" i="135" s="1"/>
  <c r="V990" i="123"/>
  <c r="V980" i="123"/>
  <c r="V970" i="123"/>
  <c r="V961" i="123"/>
  <c r="V953" i="123"/>
  <c r="V947" i="123"/>
  <c r="V939" i="123"/>
  <c r="V925" i="123"/>
  <c r="V921" i="123"/>
  <c r="V901" i="123"/>
  <c r="V886" i="123"/>
  <c r="V875" i="123"/>
  <c r="V871" i="123"/>
  <c r="V865" i="123"/>
  <c r="V856" i="123"/>
  <c r="U1009" i="123"/>
  <c r="U998" i="123"/>
  <c r="Q18" i="135" s="1"/>
  <c r="U990" i="123"/>
  <c r="U980" i="123"/>
  <c r="U970" i="123"/>
  <c r="U961" i="123"/>
  <c r="U953" i="123"/>
  <c r="U947" i="123"/>
  <c r="U939" i="123"/>
  <c r="U925" i="123"/>
  <c r="U921" i="123"/>
  <c r="U901" i="123"/>
  <c r="U886" i="123"/>
  <c r="U875" i="123"/>
  <c r="U871" i="123"/>
  <c r="U865" i="123"/>
  <c r="U856" i="123"/>
  <c r="T1009" i="123"/>
  <c r="T998" i="123"/>
  <c r="P18" i="135" s="1"/>
  <c r="T990" i="123"/>
  <c r="T980" i="123"/>
  <c r="T970" i="123"/>
  <c r="T961" i="123"/>
  <c r="T953" i="123"/>
  <c r="T947" i="123"/>
  <c r="T939" i="123"/>
  <c r="T925" i="123"/>
  <c r="T921" i="123"/>
  <c r="T901" i="123"/>
  <c r="T886" i="123"/>
  <c r="T875" i="123"/>
  <c r="T871" i="123"/>
  <c r="T865" i="123"/>
  <c r="T856" i="123"/>
  <c r="S1009" i="123"/>
  <c r="S998" i="123"/>
  <c r="O18" i="135" s="1"/>
  <c r="S990" i="123"/>
  <c r="S980" i="123"/>
  <c r="S970" i="123"/>
  <c r="S961" i="123"/>
  <c r="S953" i="123"/>
  <c r="S947" i="123"/>
  <c r="S939" i="123"/>
  <c r="S925" i="123"/>
  <c r="S921" i="123"/>
  <c r="S901" i="123"/>
  <c r="S886" i="123"/>
  <c r="S875" i="123"/>
  <c r="S871" i="123"/>
  <c r="S865" i="123"/>
  <c r="S856" i="123"/>
  <c r="S1177" i="123"/>
  <c r="S1166" i="123"/>
  <c r="S1158" i="123"/>
  <c r="S1148" i="123"/>
  <c r="S1138" i="123"/>
  <c r="S1129" i="123"/>
  <c r="S1121" i="123"/>
  <c r="S1115" i="123"/>
  <c r="S1107" i="123"/>
  <c r="S1093" i="123"/>
  <c r="S1089" i="123"/>
  <c r="S1069" i="123"/>
  <c r="S1054" i="123"/>
  <c r="S1043" i="123"/>
  <c r="S1039" i="123"/>
  <c r="S1033" i="123"/>
  <c r="S1024" i="123"/>
  <c r="S1345" i="123"/>
  <c r="S1334" i="123"/>
  <c r="S1326" i="123"/>
  <c r="S1316" i="123"/>
  <c r="S1306" i="123"/>
  <c r="S1297" i="123"/>
  <c r="S1289" i="123"/>
  <c r="S1283" i="123"/>
  <c r="S1275" i="123"/>
  <c r="S1261" i="123"/>
  <c r="S1257" i="123"/>
  <c r="S1237" i="123"/>
  <c r="S1222" i="123"/>
  <c r="S1211" i="123"/>
  <c r="S1207" i="123"/>
  <c r="S1201" i="123"/>
  <c r="S1192" i="123"/>
  <c r="AA841" i="123"/>
  <c r="AA830" i="123"/>
  <c r="W18" i="141" s="1"/>
  <c r="AA822" i="123"/>
  <c r="AA812" i="123"/>
  <c r="AA802" i="123"/>
  <c r="AA793" i="123"/>
  <c r="AA785" i="123"/>
  <c r="AA779" i="123"/>
  <c r="AA771" i="123"/>
  <c r="W29" i="141" s="1"/>
  <c r="AA757" i="123"/>
  <c r="AA753" i="123"/>
  <c r="AA733" i="123"/>
  <c r="AA718" i="123"/>
  <c r="AA707" i="123"/>
  <c r="AA703" i="123"/>
  <c r="AA697" i="123"/>
  <c r="AA688" i="123"/>
  <c r="Z841" i="123"/>
  <c r="Z830" i="123"/>
  <c r="V18" i="141" s="1"/>
  <c r="Z822" i="123"/>
  <c r="Z812" i="123"/>
  <c r="Z802" i="123"/>
  <c r="Z793" i="123"/>
  <c r="Z785" i="123"/>
  <c r="Z779" i="123"/>
  <c r="Z771" i="123"/>
  <c r="V29" i="141" s="1"/>
  <c r="Z757" i="123"/>
  <c r="Z753" i="123"/>
  <c r="Z733" i="123"/>
  <c r="Z718" i="123"/>
  <c r="Z707" i="123"/>
  <c r="Z703" i="123"/>
  <c r="Z697" i="123"/>
  <c r="Z688" i="123"/>
  <c r="Y841" i="123"/>
  <c r="Y830" i="123"/>
  <c r="U18" i="141" s="1"/>
  <c r="Y822" i="123"/>
  <c r="Y812" i="123"/>
  <c r="Y802" i="123"/>
  <c r="Y793" i="123"/>
  <c r="Y785" i="123"/>
  <c r="Y779" i="123"/>
  <c r="Y771" i="123"/>
  <c r="U29" i="141" s="1"/>
  <c r="Y757" i="123"/>
  <c r="Y753" i="123"/>
  <c r="Y733" i="123"/>
  <c r="Y718" i="123"/>
  <c r="Y707" i="123"/>
  <c r="Y703" i="123"/>
  <c r="Y697" i="123"/>
  <c r="Y688" i="123"/>
  <c r="X841" i="123"/>
  <c r="X830" i="123"/>
  <c r="T18" i="141" s="1"/>
  <c r="X822" i="123"/>
  <c r="X812" i="123"/>
  <c r="X802" i="123"/>
  <c r="X793" i="123"/>
  <c r="X785" i="123"/>
  <c r="X779" i="123"/>
  <c r="X771" i="123"/>
  <c r="T29" i="141" s="1"/>
  <c r="X757" i="123"/>
  <c r="X753" i="123"/>
  <c r="X733" i="123"/>
  <c r="X718" i="123"/>
  <c r="X707" i="123"/>
  <c r="X703" i="123"/>
  <c r="X697" i="123"/>
  <c r="X688" i="123"/>
  <c r="W841" i="123"/>
  <c r="W830" i="123"/>
  <c r="S18" i="141" s="1"/>
  <c r="W822" i="123"/>
  <c r="W812" i="123"/>
  <c r="W802" i="123"/>
  <c r="W793" i="123"/>
  <c r="W785" i="123"/>
  <c r="W779" i="123"/>
  <c r="W771" i="123"/>
  <c r="S29" i="141" s="1"/>
  <c r="W757" i="123"/>
  <c r="W753" i="123"/>
  <c r="W733" i="123"/>
  <c r="W718" i="123"/>
  <c r="W707" i="123"/>
  <c r="W703" i="123"/>
  <c r="W697" i="123"/>
  <c r="W688" i="123"/>
  <c r="V841" i="123"/>
  <c r="V830" i="123"/>
  <c r="R18" i="141" s="1"/>
  <c r="V822" i="123"/>
  <c r="V812" i="123"/>
  <c r="V802" i="123"/>
  <c r="V793" i="123"/>
  <c r="V785" i="123"/>
  <c r="V779" i="123"/>
  <c r="V771" i="123"/>
  <c r="R29" i="141" s="1"/>
  <c r="V757" i="123"/>
  <c r="V753" i="123"/>
  <c r="V733" i="123"/>
  <c r="V718" i="123"/>
  <c r="V707" i="123"/>
  <c r="V703" i="123"/>
  <c r="V697" i="123"/>
  <c r="V688" i="123"/>
  <c r="U841" i="123"/>
  <c r="U830" i="123"/>
  <c r="Q18" i="141" s="1"/>
  <c r="U822" i="123"/>
  <c r="U812" i="123"/>
  <c r="U802" i="123"/>
  <c r="U793" i="123"/>
  <c r="U785" i="123"/>
  <c r="U779" i="123"/>
  <c r="U771" i="123"/>
  <c r="Q29" i="141" s="1"/>
  <c r="U757" i="123"/>
  <c r="U753" i="123"/>
  <c r="U733" i="123"/>
  <c r="U718" i="123"/>
  <c r="U707" i="123"/>
  <c r="U703" i="123"/>
  <c r="U697" i="123"/>
  <c r="U688" i="123"/>
  <c r="T841" i="123"/>
  <c r="T830" i="123"/>
  <c r="P18" i="141" s="1"/>
  <c r="T822" i="123"/>
  <c r="T812" i="123"/>
  <c r="T802" i="123"/>
  <c r="T793" i="123"/>
  <c r="T785" i="123"/>
  <c r="T779" i="123"/>
  <c r="T771" i="123"/>
  <c r="P29" i="141" s="1"/>
  <c r="T757" i="123"/>
  <c r="T753" i="123"/>
  <c r="T733" i="123"/>
  <c r="T718" i="123"/>
  <c r="T707" i="123"/>
  <c r="T703" i="123"/>
  <c r="T697" i="123"/>
  <c r="T688" i="123"/>
  <c r="S841" i="123"/>
  <c r="S830" i="123"/>
  <c r="O18" i="141" s="1"/>
  <c r="S822" i="123"/>
  <c r="S812" i="123"/>
  <c r="S802" i="123"/>
  <c r="S793" i="123"/>
  <c r="S785" i="123"/>
  <c r="S779" i="123"/>
  <c r="S771" i="123"/>
  <c r="O29" i="141" s="1"/>
  <c r="S757" i="123"/>
  <c r="S753" i="123"/>
  <c r="S733" i="123"/>
  <c r="S718" i="123"/>
  <c r="S707" i="123"/>
  <c r="S703" i="123"/>
  <c r="S697" i="123"/>
  <c r="S688" i="123"/>
  <c r="AA673" i="123"/>
  <c r="AA662" i="123"/>
  <c r="W18" i="134" s="1"/>
  <c r="AA654" i="123"/>
  <c r="AA644" i="123"/>
  <c r="AA634" i="123"/>
  <c r="AA625" i="123"/>
  <c r="AA617" i="123"/>
  <c r="AA611" i="123"/>
  <c r="AA603" i="123"/>
  <c r="AA589" i="123"/>
  <c r="AA585" i="123"/>
  <c r="AA565" i="123"/>
  <c r="AA550" i="123"/>
  <c r="AA539" i="123"/>
  <c r="AA535" i="123"/>
  <c r="AA529" i="123"/>
  <c r="AA520" i="123"/>
  <c r="Z673" i="123"/>
  <c r="Z662" i="123"/>
  <c r="V18" i="134" s="1"/>
  <c r="Z654" i="123"/>
  <c r="Z644" i="123"/>
  <c r="Z634" i="123"/>
  <c r="Z625" i="123"/>
  <c r="Z617" i="123"/>
  <c r="Z611" i="123"/>
  <c r="Z603" i="123"/>
  <c r="Z589" i="123"/>
  <c r="Z585" i="123"/>
  <c r="Z565" i="123"/>
  <c r="Z550" i="123"/>
  <c r="Z539" i="123"/>
  <c r="Z535" i="123"/>
  <c r="Z529" i="123"/>
  <c r="Z520" i="123"/>
  <c r="Y673" i="123"/>
  <c r="Y662" i="123"/>
  <c r="U18" i="134" s="1"/>
  <c r="Y654" i="123"/>
  <c r="Y644" i="123"/>
  <c r="Y634" i="123"/>
  <c r="Y625" i="123"/>
  <c r="Y617" i="123"/>
  <c r="Y611" i="123"/>
  <c r="Y603" i="123"/>
  <c r="Y589" i="123"/>
  <c r="Y585" i="123"/>
  <c r="Y565" i="123"/>
  <c r="Y550" i="123"/>
  <c r="Y539" i="123"/>
  <c r="Y535" i="123"/>
  <c r="Y529" i="123"/>
  <c r="Y520" i="123"/>
  <c r="X673" i="123"/>
  <c r="X662" i="123"/>
  <c r="T18" i="134" s="1"/>
  <c r="X654" i="123"/>
  <c r="X644" i="123"/>
  <c r="X634" i="123"/>
  <c r="X625" i="123"/>
  <c r="X617" i="123"/>
  <c r="X611" i="123"/>
  <c r="X603" i="123"/>
  <c r="X589" i="123"/>
  <c r="X585" i="123"/>
  <c r="X565" i="123"/>
  <c r="X550" i="123"/>
  <c r="X539" i="123"/>
  <c r="X535" i="123"/>
  <c r="X529" i="123"/>
  <c r="X520" i="123"/>
  <c r="W673" i="123"/>
  <c r="W662" i="123"/>
  <c r="S18" i="134" s="1"/>
  <c r="W654" i="123"/>
  <c r="W644" i="123"/>
  <c r="W634" i="123"/>
  <c r="W625" i="123"/>
  <c r="W617" i="123"/>
  <c r="W611" i="123"/>
  <c r="W603" i="123"/>
  <c r="W589" i="123"/>
  <c r="W585" i="123"/>
  <c r="W565" i="123"/>
  <c r="W550" i="123"/>
  <c r="W539" i="123"/>
  <c r="W535" i="123"/>
  <c r="W529" i="123"/>
  <c r="W520" i="123"/>
  <c r="V673" i="123"/>
  <c r="V662" i="123"/>
  <c r="R18" i="134" s="1"/>
  <c r="V654" i="123"/>
  <c r="V644" i="123"/>
  <c r="V634" i="123"/>
  <c r="V625" i="123"/>
  <c r="V617" i="123"/>
  <c r="V611" i="123"/>
  <c r="V603" i="123"/>
  <c r="V589" i="123"/>
  <c r="V585" i="123"/>
  <c r="V565" i="123"/>
  <c r="V550" i="123"/>
  <c r="V539" i="123"/>
  <c r="V535" i="123"/>
  <c r="V529" i="123"/>
  <c r="V520" i="123"/>
  <c r="U673" i="123"/>
  <c r="U662" i="123"/>
  <c r="Q18" i="134" s="1"/>
  <c r="U654" i="123"/>
  <c r="U644" i="123"/>
  <c r="U634" i="123"/>
  <c r="U625" i="123"/>
  <c r="U617" i="123"/>
  <c r="U611" i="123"/>
  <c r="U603" i="123"/>
  <c r="U589" i="123"/>
  <c r="U585" i="123"/>
  <c r="U565" i="123"/>
  <c r="U550" i="123"/>
  <c r="U539" i="123"/>
  <c r="U535" i="123"/>
  <c r="U529" i="123"/>
  <c r="U520" i="123"/>
  <c r="T673" i="123"/>
  <c r="T662" i="123"/>
  <c r="P18" i="134" s="1"/>
  <c r="T654" i="123"/>
  <c r="T644" i="123"/>
  <c r="T634" i="123"/>
  <c r="T625" i="123"/>
  <c r="T617" i="123"/>
  <c r="T611" i="123"/>
  <c r="T603" i="123"/>
  <c r="T589" i="123"/>
  <c r="T585" i="123"/>
  <c r="T565" i="123"/>
  <c r="T550" i="123"/>
  <c r="T539" i="123"/>
  <c r="T535" i="123"/>
  <c r="T529" i="123"/>
  <c r="T520" i="123"/>
  <c r="S673" i="123"/>
  <c r="S662" i="123"/>
  <c r="O18" i="134" s="1"/>
  <c r="S654" i="123"/>
  <c r="S644" i="123"/>
  <c r="S634" i="123"/>
  <c r="S625" i="123"/>
  <c r="S617" i="123"/>
  <c r="S611" i="123"/>
  <c r="S603" i="123"/>
  <c r="S589" i="123"/>
  <c r="S585" i="123"/>
  <c r="S565" i="123"/>
  <c r="S550" i="123"/>
  <c r="S539" i="123"/>
  <c r="S535" i="123"/>
  <c r="S529" i="123"/>
  <c r="S520" i="123"/>
  <c r="S505" i="123"/>
  <c r="S494" i="123"/>
  <c r="O18" i="133" s="1"/>
  <c r="S486" i="123"/>
  <c r="S476" i="123"/>
  <c r="S466" i="123"/>
  <c r="S457" i="123"/>
  <c r="S449" i="123"/>
  <c r="S443" i="123"/>
  <c r="S435" i="123"/>
  <c r="S421" i="123"/>
  <c r="S417" i="123"/>
  <c r="S397" i="123"/>
  <c r="S382" i="123"/>
  <c r="S371" i="123"/>
  <c r="S367" i="123"/>
  <c r="S361" i="123"/>
  <c r="S352" i="123"/>
  <c r="T505" i="123"/>
  <c r="T494" i="123"/>
  <c r="P18" i="133" s="1"/>
  <c r="T486" i="123"/>
  <c r="T476" i="123"/>
  <c r="T466" i="123"/>
  <c r="T457" i="123"/>
  <c r="T449" i="123"/>
  <c r="T443" i="123"/>
  <c r="T435" i="123"/>
  <c r="T421" i="123"/>
  <c r="T417" i="123"/>
  <c r="T397" i="123"/>
  <c r="T382" i="123"/>
  <c r="T371" i="123"/>
  <c r="T367" i="123"/>
  <c r="T361" i="123"/>
  <c r="T352" i="123"/>
  <c r="U505" i="123"/>
  <c r="U494" i="123"/>
  <c r="Q18" i="133" s="1"/>
  <c r="U486" i="123"/>
  <c r="U476" i="123"/>
  <c r="U466" i="123"/>
  <c r="U457" i="123"/>
  <c r="U449" i="123"/>
  <c r="U443" i="123"/>
  <c r="U435" i="123"/>
  <c r="U421" i="123"/>
  <c r="U417" i="123"/>
  <c r="U397" i="123"/>
  <c r="U382" i="123"/>
  <c r="U371" i="123"/>
  <c r="U367" i="123"/>
  <c r="U361" i="123"/>
  <c r="U352" i="123"/>
  <c r="V505" i="123"/>
  <c r="V494" i="123"/>
  <c r="R18" i="133" s="1"/>
  <c r="V486" i="123"/>
  <c r="V476" i="123"/>
  <c r="V466" i="123"/>
  <c r="V457" i="123"/>
  <c r="V449" i="123"/>
  <c r="V443" i="123"/>
  <c r="V435" i="123"/>
  <c r="V421" i="123"/>
  <c r="V417" i="123"/>
  <c r="V397" i="123"/>
  <c r="V382" i="123"/>
  <c r="V371" i="123"/>
  <c r="V367" i="123"/>
  <c r="V361" i="123"/>
  <c r="V352" i="123"/>
  <c r="W505" i="123"/>
  <c r="W494" i="123"/>
  <c r="S18" i="133" s="1"/>
  <c r="W486" i="123"/>
  <c r="W476" i="123"/>
  <c r="W466" i="123"/>
  <c r="W457" i="123"/>
  <c r="W449" i="123"/>
  <c r="W443" i="123"/>
  <c r="W435" i="123"/>
  <c r="W421" i="123"/>
  <c r="W417" i="123"/>
  <c r="W397" i="123"/>
  <c r="W382" i="123"/>
  <c r="W371" i="123"/>
  <c r="W367" i="123"/>
  <c r="W361" i="123"/>
  <c r="W352" i="123"/>
  <c r="X505" i="123"/>
  <c r="X494" i="123"/>
  <c r="T18" i="133" s="1"/>
  <c r="X486" i="123"/>
  <c r="X476" i="123"/>
  <c r="X466" i="123"/>
  <c r="X457" i="123"/>
  <c r="X449" i="123"/>
  <c r="X443" i="123"/>
  <c r="X435" i="123"/>
  <c r="X421" i="123"/>
  <c r="X417" i="123"/>
  <c r="X397" i="123"/>
  <c r="X382" i="123"/>
  <c r="X371" i="123"/>
  <c r="X367" i="123"/>
  <c r="X361" i="123"/>
  <c r="X352" i="123"/>
  <c r="Y505" i="123"/>
  <c r="Y494" i="123"/>
  <c r="U18" i="133" s="1"/>
  <c r="Y486" i="123"/>
  <c r="Y476" i="123"/>
  <c r="Y466" i="123"/>
  <c r="Y457" i="123"/>
  <c r="Y449" i="123"/>
  <c r="Y443" i="123"/>
  <c r="Y435" i="123"/>
  <c r="Y421" i="123"/>
  <c r="Y417" i="123"/>
  <c r="Y397" i="123"/>
  <c r="Y382" i="123"/>
  <c r="Y371" i="123"/>
  <c r="Y367" i="123"/>
  <c r="Y361" i="123"/>
  <c r="Y352" i="123"/>
  <c r="Z505" i="123"/>
  <c r="Z494" i="123"/>
  <c r="V18" i="133" s="1"/>
  <c r="Z486" i="123"/>
  <c r="Z476" i="123"/>
  <c r="Z466" i="123"/>
  <c r="Z457" i="123"/>
  <c r="Z449" i="123"/>
  <c r="Z443" i="123"/>
  <c r="Z435" i="123"/>
  <c r="Z421" i="123"/>
  <c r="Z417" i="123"/>
  <c r="Z397" i="123"/>
  <c r="Z382" i="123"/>
  <c r="Z371" i="123"/>
  <c r="Z367" i="123"/>
  <c r="Z361" i="123"/>
  <c r="Z352" i="123"/>
  <c r="AA505" i="123"/>
  <c r="AA494" i="123"/>
  <c r="W18" i="133" s="1"/>
  <c r="AA486" i="123"/>
  <c r="AA476" i="123"/>
  <c r="AA466" i="123"/>
  <c r="AA457" i="123"/>
  <c r="AA449" i="123"/>
  <c r="AA443" i="123"/>
  <c r="AA435" i="123"/>
  <c r="AA421" i="123"/>
  <c r="AA417" i="123"/>
  <c r="AA397" i="123"/>
  <c r="AA382" i="123"/>
  <c r="AA371" i="123"/>
  <c r="AA367" i="123"/>
  <c r="AA361" i="123"/>
  <c r="AA352" i="123"/>
  <c r="AA337" i="123"/>
  <c r="AA326" i="123"/>
  <c r="AA318" i="123"/>
  <c r="AA308" i="123"/>
  <c r="AA298" i="123"/>
  <c r="AA289" i="123"/>
  <c r="AA281" i="123"/>
  <c r="AA275" i="123"/>
  <c r="AA267" i="123"/>
  <c r="AA253" i="123"/>
  <c r="AA249" i="123"/>
  <c r="AA229" i="123"/>
  <c r="AA214" i="123"/>
  <c r="AA203" i="123"/>
  <c r="AA199" i="123"/>
  <c r="AA193" i="123"/>
  <c r="AA184" i="123"/>
  <c r="Z337" i="123"/>
  <c r="Z326" i="123"/>
  <c r="Z318" i="123"/>
  <c r="Z308" i="123"/>
  <c r="Z298" i="123"/>
  <c r="Z289" i="123"/>
  <c r="Z281" i="123"/>
  <c r="Z275" i="123"/>
  <c r="Z267" i="123"/>
  <c r="Z253" i="123"/>
  <c r="Z249" i="123"/>
  <c r="Z229" i="123"/>
  <c r="Z214" i="123"/>
  <c r="Z203" i="123"/>
  <c r="Z199" i="123"/>
  <c r="Z193" i="123"/>
  <c r="Z184" i="123"/>
  <c r="Y337" i="123"/>
  <c r="Y326" i="123"/>
  <c r="Y318" i="123"/>
  <c r="Y308" i="123"/>
  <c r="Y298" i="123"/>
  <c r="Y289" i="123"/>
  <c r="Y281" i="123"/>
  <c r="Y275" i="123"/>
  <c r="Y267" i="123"/>
  <c r="Y253" i="123"/>
  <c r="Y249" i="123"/>
  <c r="Y229" i="123"/>
  <c r="Y214" i="123"/>
  <c r="Y203" i="123"/>
  <c r="Y199" i="123"/>
  <c r="Y193" i="123"/>
  <c r="Y184" i="123"/>
  <c r="X337" i="123"/>
  <c r="X326" i="123"/>
  <c r="X318" i="123"/>
  <c r="X308" i="123"/>
  <c r="X298" i="123"/>
  <c r="X289" i="123"/>
  <c r="X281" i="123"/>
  <c r="X275" i="123"/>
  <c r="X267" i="123"/>
  <c r="X253" i="123"/>
  <c r="X249" i="123"/>
  <c r="X229" i="123"/>
  <c r="X214" i="123"/>
  <c r="X203" i="123"/>
  <c r="X199" i="123"/>
  <c r="X193" i="123"/>
  <c r="X184" i="123"/>
  <c r="W337" i="123"/>
  <c r="W326" i="123"/>
  <c r="W318" i="123"/>
  <c r="W308" i="123"/>
  <c r="W298" i="123"/>
  <c r="W289" i="123"/>
  <c r="W281" i="123"/>
  <c r="W275" i="123"/>
  <c r="W267" i="123"/>
  <c r="W253" i="123"/>
  <c r="W249" i="123"/>
  <c r="W229" i="123"/>
  <c r="W214" i="123"/>
  <c r="W203" i="123"/>
  <c r="W199" i="123"/>
  <c r="W193" i="123"/>
  <c r="W184" i="123"/>
  <c r="V337" i="123"/>
  <c r="V326" i="123"/>
  <c r="V318" i="123"/>
  <c r="V308" i="123"/>
  <c r="V298" i="123"/>
  <c r="V289" i="123"/>
  <c r="V281" i="123"/>
  <c r="V275" i="123"/>
  <c r="V267" i="123"/>
  <c r="V253" i="123"/>
  <c r="V249" i="123"/>
  <c r="V229" i="123"/>
  <c r="V214" i="123"/>
  <c r="V203" i="123"/>
  <c r="V199" i="123"/>
  <c r="V193" i="123"/>
  <c r="V184" i="123"/>
  <c r="U337" i="123"/>
  <c r="U326" i="123"/>
  <c r="U318" i="123"/>
  <c r="U308" i="123"/>
  <c r="U298" i="123"/>
  <c r="U289" i="123"/>
  <c r="U281" i="123"/>
  <c r="U275" i="123"/>
  <c r="U267" i="123"/>
  <c r="U253" i="123"/>
  <c r="U249" i="123"/>
  <c r="U229" i="123"/>
  <c r="U214" i="123"/>
  <c r="U203" i="123"/>
  <c r="U199" i="123"/>
  <c r="U193" i="123"/>
  <c r="U184" i="123"/>
  <c r="T337" i="123"/>
  <c r="T326" i="123"/>
  <c r="T318" i="123"/>
  <c r="T308" i="123"/>
  <c r="T298" i="123"/>
  <c r="T289" i="123"/>
  <c r="T281" i="123"/>
  <c r="T275" i="123"/>
  <c r="T267" i="123"/>
  <c r="T253" i="123"/>
  <c r="T249" i="123"/>
  <c r="T229" i="123"/>
  <c r="T214" i="123"/>
  <c r="T203" i="123"/>
  <c r="T199" i="123"/>
  <c r="T193" i="123"/>
  <c r="T184" i="123"/>
  <c r="S337" i="123"/>
  <c r="S326" i="123"/>
  <c r="S318" i="123"/>
  <c r="S308" i="123"/>
  <c r="S298" i="123"/>
  <c r="S289" i="123"/>
  <c r="S281" i="123"/>
  <c r="S275" i="123"/>
  <c r="S267" i="123"/>
  <c r="S253" i="123"/>
  <c r="S249" i="123"/>
  <c r="S229" i="123"/>
  <c r="S214" i="123"/>
  <c r="S203" i="123"/>
  <c r="S199" i="123"/>
  <c r="S193" i="123"/>
  <c r="S184" i="123"/>
  <c r="AA169" i="123"/>
  <c r="AA158" i="123"/>
  <c r="AA150" i="123"/>
  <c r="AA140" i="123"/>
  <c r="AA130" i="123"/>
  <c r="AA121" i="123"/>
  <c r="AA113" i="123"/>
  <c r="AA107" i="123"/>
  <c r="AA99" i="123"/>
  <c r="AA85" i="123"/>
  <c r="AA81" i="123"/>
  <c r="AA61" i="123"/>
  <c r="AA46" i="123"/>
  <c r="AA35" i="123"/>
  <c r="AA31" i="123"/>
  <c r="AA25" i="123"/>
  <c r="AA16" i="123"/>
  <c r="Z169" i="123"/>
  <c r="Z158" i="123"/>
  <c r="Z150" i="123"/>
  <c r="Z140" i="123"/>
  <c r="Z130" i="123"/>
  <c r="Z121" i="123"/>
  <c r="Z113" i="123"/>
  <c r="Z107" i="123"/>
  <c r="Z99" i="123"/>
  <c r="Z85" i="123"/>
  <c r="Z81" i="123"/>
  <c r="Z61" i="123"/>
  <c r="Z46" i="123"/>
  <c r="Z35" i="123"/>
  <c r="Z31" i="123"/>
  <c r="Z25" i="123"/>
  <c r="Z16" i="123"/>
  <c r="Y169" i="123"/>
  <c r="Y158" i="123"/>
  <c r="Y150" i="123"/>
  <c r="Y140" i="123"/>
  <c r="Y130" i="123"/>
  <c r="Y121" i="123"/>
  <c r="Y113" i="123"/>
  <c r="Y107" i="123"/>
  <c r="Y99" i="123"/>
  <c r="Y85" i="123"/>
  <c r="Y81" i="123"/>
  <c r="Y61" i="123"/>
  <c r="Y46" i="123"/>
  <c r="Y35" i="123"/>
  <c r="Y31" i="123"/>
  <c r="Y25" i="123"/>
  <c r="Y16" i="123"/>
  <c r="X169" i="123"/>
  <c r="X158" i="123"/>
  <c r="X150" i="123"/>
  <c r="X140" i="123"/>
  <c r="X130" i="123"/>
  <c r="X121" i="123"/>
  <c r="X113" i="123"/>
  <c r="X107" i="123"/>
  <c r="X99" i="123"/>
  <c r="X85" i="123"/>
  <c r="X81" i="123"/>
  <c r="X61" i="123"/>
  <c r="X46" i="123"/>
  <c r="X35" i="123"/>
  <c r="X31" i="123"/>
  <c r="X25" i="123"/>
  <c r="X16" i="123"/>
  <c r="W169" i="123"/>
  <c r="W158" i="123"/>
  <c r="W150" i="123"/>
  <c r="W140" i="123"/>
  <c r="W130" i="123"/>
  <c r="W121" i="123"/>
  <c r="W113" i="123"/>
  <c r="W107" i="123"/>
  <c r="W99" i="123"/>
  <c r="W85" i="123"/>
  <c r="W81" i="123"/>
  <c r="W61" i="123"/>
  <c r="W46" i="123"/>
  <c r="W35" i="123"/>
  <c r="W31" i="123"/>
  <c r="W25" i="123"/>
  <c r="W16" i="123"/>
  <c r="V169" i="123"/>
  <c r="V158" i="123"/>
  <c r="V150" i="123"/>
  <c r="V140" i="123"/>
  <c r="V130" i="123"/>
  <c r="V121" i="123"/>
  <c r="V113" i="123"/>
  <c r="V107" i="123"/>
  <c r="V99" i="123"/>
  <c r="V85" i="123"/>
  <c r="V81" i="123"/>
  <c r="V61" i="123"/>
  <c r="V46" i="123"/>
  <c r="V35" i="123"/>
  <c r="V31" i="123"/>
  <c r="V25" i="123"/>
  <c r="V16" i="123"/>
  <c r="T16" i="123"/>
  <c r="U16" i="123"/>
  <c r="U169" i="123"/>
  <c r="U158" i="123"/>
  <c r="U150" i="123"/>
  <c r="U140" i="123"/>
  <c r="U130" i="123"/>
  <c r="U121" i="123"/>
  <c r="U113" i="123"/>
  <c r="U107" i="123"/>
  <c r="U99" i="123"/>
  <c r="U85" i="123"/>
  <c r="U81" i="123"/>
  <c r="U61" i="123"/>
  <c r="U46" i="123"/>
  <c r="U35" i="123"/>
  <c r="U31" i="123"/>
  <c r="U25" i="123"/>
  <c r="T169" i="123"/>
  <c r="T158" i="123"/>
  <c r="T150" i="123"/>
  <c r="T140" i="123"/>
  <c r="T130" i="123"/>
  <c r="T121" i="123"/>
  <c r="T113" i="123"/>
  <c r="T107" i="123"/>
  <c r="T99" i="123"/>
  <c r="T85" i="123"/>
  <c r="T81" i="123"/>
  <c r="T61" i="123"/>
  <c r="T46" i="123"/>
  <c r="T35" i="123"/>
  <c r="T31" i="123"/>
  <c r="T25" i="123"/>
  <c r="AC18" i="133" l="1"/>
  <c r="AC26" i="133" s="1"/>
  <c r="AG18" i="133"/>
  <c r="AG26" i="133" s="1"/>
  <c r="AK18" i="133"/>
  <c r="AK26" i="133" s="1"/>
  <c r="AE18" i="133"/>
  <c r="AE26" i="133" s="1"/>
  <c r="AI18" i="133"/>
  <c r="AI26" i="133" s="1"/>
  <c r="AA18" i="133"/>
  <c r="AH18" i="133"/>
  <c r="AH26" i="133" s="1"/>
  <c r="AL18" i="133"/>
  <c r="AL26" i="133" s="1"/>
  <c r="AB18" i="133"/>
  <c r="AB26" i="133" s="1"/>
  <c r="AJ18" i="133"/>
  <c r="AJ26" i="133" s="1"/>
  <c r="AD18" i="133"/>
  <c r="AD26" i="133" s="1"/>
  <c r="AF18" i="133"/>
  <c r="AF26" i="133" s="1"/>
  <c r="AD18" i="134"/>
  <c r="AD26" i="134" s="1"/>
  <c r="AH18" i="134"/>
  <c r="AH26" i="134" s="1"/>
  <c r="AL18" i="134"/>
  <c r="AL26" i="134" s="1"/>
  <c r="AB18" i="134"/>
  <c r="AB26" i="134" s="1"/>
  <c r="AF18" i="134"/>
  <c r="AF26" i="134" s="1"/>
  <c r="AJ18" i="134"/>
  <c r="AJ26" i="134" s="1"/>
  <c r="AE18" i="134"/>
  <c r="AE26" i="134" s="1"/>
  <c r="AG18" i="134"/>
  <c r="AG26" i="134" s="1"/>
  <c r="AI18" i="134"/>
  <c r="AI26" i="134" s="1"/>
  <c r="AA18" i="134"/>
  <c r="AC18" i="134"/>
  <c r="AC26" i="134" s="1"/>
  <c r="AK18" i="134"/>
  <c r="AK26" i="134" s="1"/>
  <c r="AC18" i="135"/>
  <c r="AC26" i="135" s="1"/>
  <c r="AG18" i="135"/>
  <c r="AG26" i="135" s="1"/>
  <c r="AK18" i="135"/>
  <c r="AK26" i="135" s="1"/>
  <c r="AE18" i="135"/>
  <c r="AE26" i="135" s="1"/>
  <c r="AI18" i="135"/>
  <c r="AI26" i="135" s="1"/>
  <c r="AA18" i="135"/>
  <c r="AD18" i="135"/>
  <c r="AD26" i="135" s="1"/>
  <c r="AL18" i="135"/>
  <c r="AL26" i="135" s="1"/>
  <c r="AF18" i="135"/>
  <c r="AF26" i="135" s="1"/>
  <c r="AH18" i="135"/>
  <c r="AH26" i="135" s="1"/>
  <c r="AB18" i="135"/>
  <c r="AB26" i="135" s="1"/>
  <c r="AJ18" i="135"/>
  <c r="AJ26" i="135" s="1"/>
  <c r="AB18" i="141"/>
  <c r="AB26" i="141" s="1"/>
  <c r="AF18" i="141"/>
  <c r="AF26" i="141" s="1"/>
  <c r="AJ18" i="141"/>
  <c r="AJ26" i="141" s="1"/>
  <c r="AD18" i="141"/>
  <c r="AD26" i="141" s="1"/>
  <c r="AH18" i="141"/>
  <c r="AH26" i="141" s="1"/>
  <c r="AL18" i="141"/>
  <c r="AL26" i="141" s="1"/>
  <c r="AG18" i="141"/>
  <c r="AG26" i="141" s="1"/>
  <c r="AA18" i="141"/>
  <c r="AK18" i="141"/>
  <c r="AK26" i="141" s="1"/>
  <c r="AI18" i="141"/>
  <c r="AI26" i="141" s="1"/>
  <c r="AC18" i="141"/>
  <c r="AC26" i="141" s="1"/>
  <c r="AE18" i="141"/>
  <c r="AE26" i="141" s="1"/>
  <c r="P40" i="141"/>
  <c r="T40" i="141"/>
  <c r="Q40" i="141"/>
  <c r="U40" i="141"/>
  <c r="R40" i="141"/>
  <c r="V40" i="141"/>
  <c r="AA29" i="141"/>
  <c r="O40" i="141"/>
  <c r="S40" i="141"/>
  <c r="W40" i="141"/>
  <c r="U18" i="136"/>
  <c r="R18" i="136"/>
  <c r="V18" i="136"/>
  <c r="O18" i="136"/>
  <c r="S18" i="136"/>
  <c r="W18" i="136"/>
  <c r="Q18" i="136"/>
  <c r="P18" i="136"/>
  <c r="T18" i="136"/>
  <c r="U18" i="131"/>
  <c r="U18" i="132"/>
  <c r="R18" i="131"/>
  <c r="R18" i="132"/>
  <c r="V18" i="131"/>
  <c r="V18" i="132"/>
  <c r="P18" i="131"/>
  <c r="P18" i="132"/>
  <c r="Q18" i="131"/>
  <c r="Q18" i="132"/>
  <c r="S18" i="131"/>
  <c r="S18" i="132"/>
  <c r="W18" i="131"/>
  <c r="W18" i="132"/>
  <c r="O18" i="131"/>
  <c r="O18" i="132"/>
  <c r="T18" i="131"/>
  <c r="T18" i="132"/>
  <c r="T1328" i="123"/>
  <c r="T1347" i="123" s="1"/>
  <c r="U1328" i="123"/>
  <c r="U1347" i="123" s="1"/>
  <c r="S152" i="123"/>
  <c r="S1160" i="123"/>
  <c r="S1179" i="123" s="1"/>
  <c r="V992" i="123"/>
  <c r="X1328" i="123"/>
  <c r="X1347" i="123" s="1"/>
  <c r="AA656" i="123"/>
  <c r="V1328" i="123"/>
  <c r="V1347" i="123" s="1"/>
  <c r="Y1328" i="123"/>
  <c r="Y1347" i="123" s="1"/>
  <c r="Z1328" i="123"/>
  <c r="Z1347" i="123" s="1"/>
  <c r="Y992" i="123"/>
  <c r="W1160" i="123"/>
  <c r="W1179" i="123" s="1"/>
  <c r="W1328" i="123"/>
  <c r="W1347" i="123" s="1"/>
  <c r="AA1328" i="123"/>
  <c r="AA1347" i="123" s="1"/>
  <c r="Z656" i="123"/>
  <c r="Z992" i="123"/>
  <c r="Z1160" i="123"/>
  <c r="Z1179" i="123" s="1"/>
  <c r="Y1160" i="123"/>
  <c r="Y1179" i="123" s="1"/>
  <c r="V1160" i="123"/>
  <c r="V1179" i="123" s="1"/>
  <c r="X1160" i="123"/>
  <c r="X1179" i="123" s="1"/>
  <c r="U1160" i="123"/>
  <c r="U1179" i="123" s="1"/>
  <c r="S992" i="123"/>
  <c r="U992" i="123"/>
  <c r="W992" i="123"/>
  <c r="AA1160" i="123"/>
  <c r="AA1179" i="123" s="1"/>
  <c r="T1160" i="123"/>
  <c r="T1179" i="123" s="1"/>
  <c r="W320" i="123"/>
  <c r="AA488" i="123"/>
  <c r="V656" i="123"/>
  <c r="T824" i="123"/>
  <c r="P12" i="141" s="1"/>
  <c r="P14" i="141" s="1"/>
  <c r="P26" i="141" s="1"/>
  <c r="S1328" i="123"/>
  <c r="T992" i="123"/>
  <c r="Y824" i="123"/>
  <c r="U12" i="141" s="1"/>
  <c r="U14" i="141" s="1"/>
  <c r="U26" i="141" s="1"/>
  <c r="Z824" i="123"/>
  <c r="V12" i="141" s="1"/>
  <c r="V14" i="141" s="1"/>
  <c r="V26" i="141" s="1"/>
  <c r="S1347" i="123"/>
  <c r="X992" i="123"/>
  <c r="X488" i="123"/>
  <c r="Y656" i="123"/>
  <c r="U824" i="123"/>
  <c r="Q12" i="141" s="1"/>
  <c r="Q14" i="141" s="1"/>
  <c r="Q26" i="141" s="1"/>
  <c r="W824" i="123"/>
  <c r="S12" i="141" s="1"/>
  <c r="S14" i="141" s="1"/>
  <c r="S26" i="141" s="1"/>
  <c r="AA992" i="123"/>
  <c r="Z488" i="123"/>
  <c r="V824" i="123"/>
  <c r="R12" i="141" s="1"/>
  <c r="R14" i="141" s="1"/>
  <c r="R26" i="141" s="1"/>
  <c r="T656" i="123"/>
  <c r="S824" i="123"/>
  <c r="O12" i="141" s="1"/>
  <c r="O14" i="141" s="1"/>
  <c r="O26" i="141" s="1"/>
  <c r="W488" i="123"/>
  <c r="V488" i="123"/>
  <c r="S488" i="123"/>
  <c r="X824" i="123"/>
  <c r="T12" i="141" s="1"/>
  <c r="T14" i="141" s="1"/>
  <c r="T26" i="141" s="1"/>
  <c r="AA824" i="123"/>
  <c r="W12" i="141" s="1"/>
  <c r="W14" i="141" s="1"/>
  <c r="W26" i="141" s="1"/>
  <c r="Y488" i="123"/>
  <c r="U152" i="123"/>
  <c r="W152" i="123"/>
  <c r="U320" i="123"/>
  <c r="T488" i="123"/>
  <c r="S656" i="123"/>
  <c r="W656" i="123"/>
  <c r="U656" i="123"/>
  <c r="Z320" i="123"/>
  <c r="X656" i="123"/>
  <c r="V152" i="123"/>
  <c r="Z152" i="123"/>
  <c r="X320" i="123"/>
  <c r="AA152" i="123"/>
  <c r="T320" i="123"/>
  <c r="AA320" i="123"/>
  <c r="U488" i="123"/>
  <c r="S320" i="123"/>
  <c r="V320" i="123"/>
  <c r="Y320" i="123"/>
  <c r="X152" i="123"/>
  <c r="T152" i="123"/>
  <c r="Y152" i="123"/>
  <c r="AB18" i="132" l="1"/>
  <c r="AB26" i="132" s="1"/>
  <c r="AF18" i="132"/>
  <c r="AF26" i="132" s="1"/>
  <c r="AJ18" i="132"/>
  <c r="AJ26" i="132" s="1"/>
  <c r="AD18" i="132"/>
  <c r="AD26" i="132" s="1"/>
  <c r="AH18" i="132"/>
  <c r="AH26" i="132" s="1"/>
  <c r="AL18" i="132"/>
  <c r="AL26" i="132" s="1"/>
  <c r="AC18" i="132"/>
  <c r="AC26" i="132" s="1"/>
  <c r="AK18" i="132"/>
  <c r="AK26" i="132" s="1"/>
  <c r="AG18" i="132"/>
  <c r="AG26" i="132" s="1"/>
  <c r="AE18" i="132"/>
  <c r="AE26" i="132" s="1"/>
  <c r="AA18" i="132"/>
  <c r="AI18" i="132"/>
  <c r="AI26" i="132" s="1"/>
  <c r="AN18" i="141"/>
  <c r="AN26" i="141" s="1"/>
  <c r="AR18" i="141"/>
  <c r="AR26" i="141" s="1"/>
  <c r="AV18" i="141"/>
  <c r="AV26" i="141" s="1"/>
  <c r="AP18" i="141"/>
  <c r="AP26" i="141" s="1"/>
  <c r="AT18" i="141"/>
  <c r="AT26" i="141" s="1"/>
  <c r="AX18" i="141"/>
  <c r="AX26" i="141" s="1"/>
  <c r="AO18" i="141"/>
  <c r="AO26" i="141" s="1"/>
  <c r="AW18" i="141"/>
  <c r="AW26" i="141" s="1"/>
  <c r="AQ18" i="141"/>
  <c r="AQ26" i="141" s="1"/>
  <c r="AS18" i="141"/>
  <c r="AS26" i="141" s="1"/>
  <c r="AM18" i="141"/>
  <c r="AM26" i="141" s="1"/>
  <c r="AU18" i="141"/>
  <c r="AU26" i="141" s="1"/>
  <c r="AA26" i="141"/>
  <c r="AD18" i="131"/>
  <c r="AD26" i="131" s="1"/>
  <c r="AH18" i="131"/>
  <c r="AH26" i="131" s="1"/>
  <c r="AL18" i="131"/>
  <c r="AL26" i="131" s="1"/>
  <c r="AB18" i="131"/>
  <c r="AB26" i="131" s="1"/>
  <c r="AD5" i="126" s="1"/>
  <c r="AF18" i="131"/>
  <c r="AF26" i="131" s="1"/>
  <c r="AH5" i="126" s="1"/>
  <c r="AJ18" i="131"/>
  <c r="AJ26" i="131" s="1"/>
  <c r="AL5" i="126" s="1"/>
  <c r="AI18" i="131"/>
  <c r="AI26" i="131" s="1"/>
  <c r="AK5" i="126" s="1"/>
  <c r="AE18" i="131"/>
  <c r="AE26" i="131" s="1"/>
  <c r="AC18" i="131"/>
  <c r="AC26" i="131" s="1"/>
  <c r="AK18" i="131"/>
  <c r="AK26" i="131" s="1"/>
  <c r="AA18" i="131"/>
  <c r="AG18" i="131"/>
  <c r="AG26" i="131" s="1"/>
  <c r="AI5" i="126" s="1"/>
  <c r="AE18" i="136"/>
  <c r="AE26" i="136" s="1"/>
  <c r="AI18" i="136"/>
  <c r="AI26" i="136" s="1"/>
  <c r="AA18" i="136"/>
  <c r="AC18" i="136"/>
  <c r="AC26" i="136" s="1"/>
  <c r="AG18" i="136"/>
  <c r="AG26" i="136" s="1"/>
  <c r="AK18" i="136"/>
  <c r="AK26" i="136" s="1"/>
  <c r="AB18" i="136"/>
  <c r="AB26" i="136" s="1"/>
  <c r="AJ18" i="136"/>
  <c r="AJ26" i="136" s="1"/>
  <c r="AF18" i="136"/>
  <c r="AF26" i="136" s="1"/>
  <c r="AD18" i="136"/>
  <c r="AD26" i="136" s="1"/>
  <c r="AL18" i="136"/>
  <c r="AL26" i="136" s="1"/>
  <c r="AH18" i="136"/>
  <c r="AH26" i="136" s="1"/>
  <c r="AO18" i="135"/>
  <c r="AO26" i="135" s="1"/>
  <c r="AS18" i="135"/>
  <c r="AS26" i="135" s="1"/>
  <c r="AW18" i="135"/>
  <c r="AW26" i="135" s="1"/>
  <c r="AQ18" i="135"/>
  <c r="AQ26" i="135" s="1"/>
  <c r="AU18" i="135"/>
  <c r="AU26" i="135" s="1"/>
  <c r="AM18" i="135"/>
  <c r="AM26" i="135" s="1"/>
  <c r="AT18" i="135"/>
  <c r="AT26" i="135" s="1"/>
  <c r="AP18" i="135"/>
  <c r="AP26" i="135" s="1"/>
  <c r="AN18" i="135"/>
  <c r="AN26" i="135" s="1"/>
  <c r="AV18" i="135"/>
  <c r="AV26" i="135" s="1"/>
  <c r="AX18" i="135"/>
  <c r="AX26" i="135" s="1"/>
  <c r="AR18" i="135"/>
  <c r="AR26" i="135" s="1"/>
  <c r="AA26" i="135"/>
  <c r="AP18" i="134"/>
  <c r="AP26" i="134" s="1"/>
  <c r="AT18" i="134"/>
  <c r="AT26" i="134" s="1"/>
  <c r="AX18" i="134"/>
  <c r="AX26" i="134" s="1"/>
  <c r="AN18" i="134"/>
  <c r="AN26" i="134" s="1"/>
  <c r="AR18" i="134"/>
  <c r="AR26" i="134" s="1"/>
  <c r="AV18" i="134"/>
  <c r="AV26" i="134" s="1"/>
  <c r="AU18" i="134"/>
  <c r="AU26" i="134" s="1"/>
  <c r="AQ18" i="134"/>
  <c r="AQ26" i="134" s="1"/>
  <c r="AO18" i="134"/>
  <c r="AO26" i="134" s="1"/>
  <c r="AW18" i="134"/>
  <c r="AW26" i="134" s="1"/>
  <c r="AM18" i="134"/>
  <c r="AM26" i="134" s="1"/>
  <c r="AS18" i="134"/>
  <c r="AS26" i="134" s="1"/>
  <c r="AA26" i="134"/>
  <c r="AO18" i="133"/>
  <c r="AO26" i="133" s="1"/>
  <c r="AS18" i="133"/>
  <c r="AS26" i="133" s="1"/>
  <c r="AW18" i="133"/>
  <c r="AW26" i="133" s="1"/>
  <c r="AQ18" i="133"/>
  <c r="AQ26" i="133" s="1"/>
  <c r="AU18" i="133"/>
  <c r="AU26" i="133" s="1"/>
  <c r="AM18" i="133"/>
  <c r="AM26" i="133" s="1"/>
  <c r="AP18" i="133"/>
  <c r="AP26" i="133" s="1"/>
  <c r="AX18" i="133"/>
  <c r="AX26" i="133" s="1"/>
  <c r="AR18" i="133"/>
  <c r="AR26" i="133" s="1"/>
  <c r="AT18" i="133"/>
  <c r="AT26" i="133" s="1"/>
  <c r="AN18" i="133"/>
  <c r="AN26" i="133" s="1"/>
  <c r="AV18" i="133"/>
  <c r="AV26" i="133" s="1"/>
  <c r="AA26" i="133"/>
  <c r="O42" i="141"/>
  <c r="V42" i="141"/>
  <c r="T42" i="141"/>
  <c r="AA40" i="141"/>
  <c r="Q42" i="141"/>
  <c r="S42" i="141"/>
  <c r="U42" i="141"/>
  <c r="AB29" i="141"/>
  <c r="AC29" i="141" s="1"/>
  <c r="W42" i="141"/>
  <c r="R42" i="141"/>
  <c r="P42" i="141"/>
  <c r="V12" i="131"/>
  <c r="V14" i="131" s="1"/>
  <c r="V26" i="131" s="1"/>
  <c r="S12" i="133"/>
  <c r="S14" i="133" s="1"/>
  <c r="S26" i="133" s="1"/>
  <c r="V12" i="133"/>
  <c r="V14" i="133" s="1"/>
  <c r="V26" i="133" s="1"/>
  <c r="R12" i="133"/>
  <c r="R14" i="133" s="1"/>
  <c r="R26" i="133" s="1"/>
  <c r="T12" i="131"/>
  <c r="T14" i="131" s="1"/>
  <c r="T26" i="131" s="1"/>
  <c r="Q12" i="133"/>
  <c r="Q14" i="133" s="1"/>
  <c r="Q26" i="133" s="1"/>
  <c r="P12" i="133"/>
  <c r="P14" i="133" s="1"/>
  <c r="P26" i="133" s="1"/>
  <c r="U12" i="133"/>
  <c r="U14" i="133" s="1"/>
  <c r="U26" i="133" s="1"/>
  <c r="O12" i="131"/>
  <c r="O14" i="131" s="1"/>
  <c r="O26" i="131" s="1"/>
  <c r="U12" i="131"/>
  <c r="U14" i="131" s="1"/>
  <c r="U26" i="131" s="1"/>
  <c r="R12" i="131"/>
  <c r="R14" i="131" s="1"/>
  <c r="R26" i="131" s="1"/>
  <c r="S12" i="131"/>
  <c r="S14" i="131" s="1"/>
  <c r="S26" i="131" s="1"/>
  <c r="T12" i="133"/>
  <c r="T14" i="133" s="1"/>
  <c r="T26" i="133" s="1"/>
  <c r="P12" i="131"/>
  <c r="P14" i="131" s="1"/>
  <c r="P26" i="131" s="1"/>
  <c r="W12" i="131"/>
  <c r="Q12" i="131"/>
  <c r="Q14" i="131" s="1"/>
  <c r="Q26" i="131" s="1"/>
  <c r="O12" i="133"/>
  <c r="O14" i="133" s="1"/>
  <c r="O26" i="133" s="1"/>
  <c r="W12" i="133"/>
  <c r="W14" i="133" s="1"/>
  <c r="W26" i="133" s="1"/>
  <c r="X843" i="123"/>
  <c r="T12" i="136"/>
  <c r="T14" i="136" s="1"/>
  <c r="T26" i="136" s="1"/>
  <c r="V843" i="123"/>
  <c r="R12" i="136"/>
  <c r="R14" i="136" s="1"/>
  <c r="R26" i="136" s="1"/>
  <c r="U843" i="123"/>
  <c r="Q12" i="136"/>
  <c r="Q14" i="136" s="1"/>
  <c r="Q26" i="136" s="1"/>
  <c r="U675" i="123"/>
  <c r="Q12" i="134"/>
  <c r="Q14" i="134" s="1"/>
  <c r="Q26" i="134" s="1"/>
  <c r="AA843" i="123"/>
  <c r="W12" i="136"/>
  <c r="W14" i="136" s="1"/>
  <c r="W26" i="136" s="1"/>
  <c r="Y675" i="123"/>
  <c r="U12" i="134"/>
  <c r="U14" i="134" s="1"/>
  <c r="U26" i="134" s="1"/>
  <c r="Z843" i="123"/>
  <c r="V12" i="136"/>
  <c r="V14" i="136" s="1"/>
  <c r="V26" i="136" s="1"/>
  <c r="T843" i="123"/>
  <c r="P12" i="136"/>
  <c r="P14" i="136" s="1"/>
  <c r="P26" i="136" s="1"/>
  <c r="S1011" i="123"/>
  <c r="O12" i="135"/>
  <c r="O14" i="135" s="1"/>
  <c r="O26" i="135" s="1"/>
  <c r="W675" i="123"/>
  <c r="S12" i="134"/>
  <c r="S14" i="134" s="1"/>
  <c r="S26" i="134" s="1"/>
  <c r="AA1011" i="123"/>
  <c r="W12" i="135"/>
  <c r="W14" i="135" s="1"/>
  <c r="W26" i="135" s="1"/>
  <c r="V675" i="123"/>
  <c r="R12" i="134"/>
  <c r="R14" i="134" s="1"/>
  <c r="R26" i="134" s="1"/>
  <c r="V1011" i="123"/>
  <c r="R12" i="135"/>
  <c r="R14" i="135" s="1"/>
  <c r="R26" i="135" s="1"/>
  <c r="S843" i="123"/>
  <c r="O12" i="136"/>
  <c r="O14" i="136" s="1"/>
  <c r="O26" i="136" s="1"/>
  <c r="X675" i="123"/>
  <c r="T12" i="134"/>
  <c r="T14" i="134" s="1"/>
  <c r="T26" i="134" s="1"/>
  <c r="S675" i="123"/>
  <c r="O12" i="134"/>
  <c r="O14" i="134" s="1"/>
  <c r="O26" i="134" s="1"/>
  <c r="T675" i="123"/>
  <c r="P12" i="134"/>
  <c r="P14" i="134" s="1"/>
  <c r="P26" i="134" s="1"/>
  <c r="W843" i="123"/>
  <c r="S12" i="136"/>
  <c r="S14" i="136" s="1"/>
  <c r="S26" i="136" s="1"/>
  <c r="X1011" i="123"/>
  <c r="T12" i="135"/>
  <c r="T14" i="135" s="1"/>
  <c r="T26" i="135" s="1"/>
  <c r="T1011" i="123"/>
  <c r="P12" i="135"/>
  <c r="P14" i="135" s="1"/>
  <c r="P26" i="135" s="1"/>
  <c r="W1011" i="123"/>
  <c r="S12" i="135"/>
  <c r="S14" i="135" s="1"/>
  <c r="S26" i="135" s="1"/>
  <c r="Z1011" i="123"/>
  <c r="V12" i="135"/>
  <c r="V14" i="135" s="1"/>
  <c r="V26" i="135" s="1"/>
  <c r="Y843" i="123"/>
  <c r="U12" i="136"/>
  <c r="U14" i="136" s="1"/>
  <c r="U26" i="136" s="1"/>
  <c r="U1011" i="123"/>
  <c r="Q12" i="135"/>
  <c r="Q14" i="135" s="1"/>
  <c r="Q26" i="135" s="1"/>
  <c r="Z675" i="123"/>
  <c r="V12" i="134"/>
  <c r="V14" i="134" s="1"/>
  <c r="V26" i="134" s="1"/>
  <c r="Y1011" i="123"/>
  <c r="U12" i="135"/>
  <c r="U14" i="135" s="1"/>
  <c r="U26" i="135" s="1"/>
  <c r="AA675" i="123"/>
  <c r="W12" i="134"/>
  <c r="W14" i="134" s="1"/>
  <c r="W26" i="134" s="1"/>
  <c r="AA339" i="123"/>
  <c r="W12" i="132"/>
  <c r="W14" i="132" s="1"/>
  <c r="W26" i="132" s="1"/>
  <c r="V339" i="123"/>
  <c r="R12" i="132"/>
  <c r="R14" i="132" s="1"/>
  <c r="R26" i="132" s="1"/>
  <c r="V171" i="123"/>
  <c r="W171" i="123"/>
  <c r="X507" i="123"/>
  <c r="S339" i="123"/>
  <c r="O12" i="132"/>
  <c r="O14" i="132" s="1"/>
  <c r="O26" i="132" s="1"/>
  <c r="AA171" i="123"/>
  <c r="W14" i="131"/>
  <c r="W26" i="131" s="1"/>
  <c r="U171" i="123"/>
  <c r="S507" i="123"/>
  <c r="AA507" i="123"/>
  <c r="Y339" i="123"/>
  <c r="U12" i="132"/>
  <c r="U14" i="132" s="1"/>
  <c r="U26" i="132" s="1"/>
  <c r="Y171" i="123"/>
  <c r="T339" i="123"/>
  <c r="P12" i="132"/>
  <c r="P14" i="132" s="1"/>
  <c r="P26" i="132" s="1"/>
  <c r="T171" i="123"/>
  <c r="X171" i="123"/>
  <c r="U507" i="123"/>
  <c r="X339" i="123"/>
  <c r="T12" i="132"/>
  <c r="T14" i="132" s="1"/>
  <c r="T26" i="132" s="1"/>
  <c r="Z339" i="123"/>
  <c r="V12" i="132"/>
  <c r="V14" i="132" s="1"/>
  <c r="V26" i="132" s="1"/>
  <c r="T507" i="123"/>
  <c r="Y507" i="123"/>
  <c r="V507" i="123"/>
  <c r="W339" i="123"/>
  <c r="S12" i="132"/>
  <c r="S14" i="132" s="1"/>
  <c r="S26" i="132" s="1"/>
  <c r="S171" i="123"/>
  <c r="Z171" i="123"/>
  <c r="U339" i="123"/>
  <c r="Q12" i="132"/>
  <c r="Q14" i="132" s="1"/>
  <c r="Q26" i="132" s="1"/>
  <c r="W507" i="123"/>
  <c r="Z507" i="123"/>
  <c r="AE1207" i="123"/>
  <c r="G1211" i="123"/>
  <c r="H1211" i="123"/>
  <c r="I1211" i="123"/>
  <c r="J1211" i="123"/>
  <c r="K1211" i="123"/>
  <c r="L1211" i="123"/>
  <c r="M1211" i="123"/>
  <c r="N1211" i="123"/>
  <c r="O1211" i="123"/>
  <c r="P1211" i="123"/>
  <c r="Q1211" i="123"/>
  <c r="R1211" i="123"/>
  <c r="AJ5" i="126" l="1"/>
  <c r="AA42" i="141"/>
  <c r="AN5" i="126"/>
  <c r="AE5" i="126"/>
  <c r="AG5" i="126"/>
  <c r="AM5" i="126"/>
  <c r="AN18" i="132"/>
  <c r="AN26" i="132" s="1"/>
  <c r="AR18" i="132"/>
  <c r="AR26" i="132" s="1"/>
  <c r="AV18" i="132"/>
  <c r="AV26" i="132" s="1"/>
  <c r="AP18" i="132"/>
  <c r="AP26" i="132" s="1"/>
  <c r="AT18" i="132"/>
  <c r="AT26" i="132" s="1"/>
  <c r="AX18" i="132"/>
  <c r="AX26" i="132" s="1"/>
  <c r="AS18" i="132"/>
  <c r="AS26" i="132" s="1"/>
  <c r="AM18" i="132"/>
  <c r="AM26" i="132" s="1"/>
  <c r="AW18" i="132"/>
  <c r="AW26" i="132" s="1"/>
  <c r="AU18" i="132"/>
  <c r="AU26" i="132" s="1"/>
  <c r="AO18" i="132"/>
  <c r="AO26" i="132" s="1"/>
  <c r="AQ18" i="132"/>
  <c r="AQ26" i="132" s="1"/>
  <c r="AA26" i="132"/>
  <c r="AP18" i="131"/>
  <c r="AP26" i="131" s="1"/>
  <c r="AT18" i="131"/>
  <c r="AT26" i="131" s="1"/>
  <c r="AX18" i="131"/>
  <c r="AX26" i="131" s="1"/>
  <c r="AN18" i="131"/>
  <c r="AN26" i="131" s="1"/>
  <c r="AR18" i="131"/>
  <c r="AR26" i="131" s="1"/>
  <c r="AV18" i="131"/>
  <c r="AV26" i="131" s="1"/>
  <c r="AQ18" i="131"/>
  <c r="AQ26" i="131" s="1"/>
  <c r="AS5" i="126" s="1"/>
  <c r="AU18" i="131"/>
  <c r="AU26" i="131" s="1"/>
  <c r="AS18" i="131"/>
  <c r="AS26" i="131" s="1"/>
  <c r="AO18" i="131"/>
  <c r="AO26" i="131" s="1"/>
  <c r="AW18" i="131"/>
  <c r="AW26" i="131" s="1"/>
  <c r="AM18" i="131"/>
  <c r="AM26" i="131" s="1"/>
  <c r="AA26" i="131"/>
  <c r="AF5" i="126"/>
  <c r="AQ18" i="136"/>
  <c r="AQ26" i="136" s="1"/>
  <c r="AU18" i="136"/>
  <c r="AU26" i="136" s="1"/>
  <c r="AM18" i="136"/>
  <c r="AM26" i="136" s="1"/>
  <c r="AO18" i="136"/>
  <c r="AO26" i="136" s="1"/>
  <c r="AS18" i="136"/>
  <c r="AS26" i="136" s="1"/>
  <c r="AW18" i="136"/>
  <c r="AW26" i="136" s="1"/>
  <c r="AR18" i="136"/>
  <c r="AR26" i="136" s="1"/>
  <c r="AV18" i="136"/>
  <c r="AV26" i="136" s="1"/>
  <c r="AT18" i="136"/>
  <c r="AT26" i="136" s="1"/>
  <c r="AN18" i="136"/>
  <c r="AN26" i="136" s="1"/>
  <c r="AP18" i="136"/>
  <c r="AP26" i="136" s="1"/>
  <c r="AX18" i="136"/>
  <c r="AX26" i="136" s="1"/>
  <c r="AA26" i="136"/>
  <c r="AD29" i="141"/>
  <c r="AE29" i="141" s="1"/>
  <c r="AF29" i="141" s="1"/>
  <c r="AB40" i="141"/>
  <c r="AB42" i="141" s="1"/>
  <c r="AC40" i="141"/>
  <c r="AC42" i="141" s="1"/>
  <c r="AA1525" i="123"/>
  <c r="AA1528" i="123" s="1"/>
  <c r="S5" i="126"/>
  <c r="Q5" i="126"/>
  <c r="R5" i="126"/>
  <c r="U5" i="126"/>
  <c r="W5" i="126"/>
  <c r="X5" i="126"/>
  <c r="T5" i="126"/>
  <c r="Y5" i="126"/>
  <c r="V5" i="126"/>
  <c r="H1345" i="123"/>
  <c r="I1345" i="123"/>
  <c r="J1345" i="123"/>
  <c r="K1345" i="123"/>
  <c r="L1345" i="123"/>
  <c r="M1345" i="123"/>
  <c r="N1345" i="123"/>
  <c r="O1345" i="123"/>
  <c r="P1345" i="123"/>
  <c r="Q1345" i="123"/>
  <c r="R1345" i="123"/>
  <c r="AE1345" i="123"/>
  <c r="AF1345" i="123"/>
  <c r="AG1345" i="123"/>
  <c r="AH1345" i="123"/>
  <c r="AI1345" i="123"/>
  <c r="AJ1345" i="123"/>
  <c r="AK1345" i="123"/>
  <c r="AL1345" i="123"/>
  <c r="AM1345" i="123"/>
  <c r="AN1345" i="123"/>
  <c r="AO1345" i="123"/>
  <c r="AP1345" i="123"/>
  <c r="AQ1345" i="123"/>
  <c r="AR1345" i="123"/>
  <c r="AS1345" i="123"/>
  <c r="AT1345" i="123"/>
  <c r="AU1345" i="123"/>
  <c r="AV1345" i="123"/>
  <c r="AW1345" i="123"/>
  <c r="AX1345" i="123"/>
  <c r="AY1345" i="123"/>
  <c r="AZ1345" i="123"/>
  <c r="BA1345" i="123"/>
  <c r="BB1345" i="123"/>
  <c r="BC1345" i="123"/>
  <c r="BD1345" i="123"/>
  <c r="BE1345" i="123"/>
  <c r="BF1345" i="123"/>
  <c r="BG1345" i="123"/>
  <c r="BH1345" i="123"/>
  <c r="BI1345" i="123"/>
  <c r="BJ1345" i="123"/>
  <c r="BK1345" i="123"/>
  <c r="BL1345" i="123"/>
  <c r="BM1345" i="123"/>
  <c r="BN1345" i="123"/>
  <c r="BO1345" i="123"/>
  <c r="I1334" i="123"/>
  <c r="J1334" i="123"/>
  <c r="K1334" i="123"/>
  <c r="L1334" i="123"/>
  <c r="M1334" i="123"/>
  <c r="N1334" i="123"/>
  <c r="O1334" i="123"/>
  <c r="P1334" i="123"/>
  <c r="Q1334" i="123"/>
  <c r="R1334" i="123"/>
  <c r="AE1334" i="123"/>
  <c r="AF1334" i="123"/>
  <c r="AG1334" i="123"/>
  <c r="AH1334" i="123"/>
  <c r="AI1334" i="123"/>
  <c r="AJ1334" i="123"/>
  <c r="AK1334" i="123"/>
  <c r="AL1334" i="123"/>
  <c r="AM1334" i="123"/>
  <c r="AN1334" i="123"/>
  <c r="AO1334" i="123"/>
  <c r="AP1334" i="123"/>
  <c r="AQ1334" i="123"/>
  <c r="AR1334" i="123"/>
  <c r="AS1334" i="123"/>
  <c r="AT1334" i="123"/>
  <c r="AU1334" i="123"/>
  <c r="AV1334" i="123"/>
  <c r="AW1334" i="123"/>
  <c r="AX1334" i="123"/>
  <c r="AY1334" i="123"/>
  <c r="AZ1334" i="123"/>
  <c r="BA1334" i="123"/>
  <c r="BB1334" i="123"/>
  <c r="BC1334" i="123"/>
  <c r="BD1334" i="123"/>
  <c r="BE1334" i="123"/>
  <c r="BF1334" i="123"/>
  <c r="BG1334" i="123"/>
  <c r="BH1334" i="123"/>
  <c r="BI1334" i="123"/>
  <c r="BJ1334" i="123"/>
  <c r="BK1334" i="123"/>
  <c r="BL1334" i="123"/>
  <c r="BM1334" i="123"/>
  <c r="BN1334" i="123"/>
  <c r="BO1334" i="123"/>
  <c r="H1334" i="123"/>
  <c r="G1345" i="123"/>
  <c r="G1334" i="123"/>
  <c r="H1326" i="123"/>
  <c r="I1326" i="123"/>
  <c r="J1326" i="123"/>
  <c r="K1326" i="123"/>
  <c r="L1326" i="123"/>
  <c r="M1326" i="123"/>
  <c r="N1326" i="123"/>
  <c r="O1326" i="123"/>
  <c r="P1326" i="123"/>
  <c r="Q1326" i="123"/>
  <c r="R1326" i="123"/>
  <c r="AE1326" i="123"/>
  <c r="AF1326" i="123"/>
  <c r="AG1326" i="123"/>
  <c r="AH1326" i="123"/>
  <c r="AI1326" i="123"/>
  <c r="AJ1326" i="123"/>
  <c r="AK1326" i="123"/>
  <c r="AL1326" i="123"/>
  <c r="AM1326" i="123"/>
  <c r="AN1326" i="123"/>
  <c r="AO1326" i="123"/>
  <c r="AP1326" i="123"/>
  <c r="AQ1326" i="123"/>
  <c r="AR1326" i="123"/>
  <c r="AS1326" i="123"/>
  <c r="AT1326" i="123"/>
  <c r="AU1326" i="123"/>
  <c r="AV1326" i="123"/>
  <c r="AW1326" i="123"/>
  <c r="AX1326" i="123"/>
  <c r="AY1326" i="123"/>
  <c r="AZ1326" i="123"/>
  <c r="BA1326" i="123"/>
  <c r="BB1326" i="123"/>
  <c r="BC1326" i="123"/>
  <c r="BD1326" i="123"/>
  <c r="BE1326" i="123"/>
  <c r="BF1326" i="123"/>
  <c r="BG1326" i="123"/>
  <c r="BH1326" i="123"/>
  <c r="BI1326" i="123"/>
  <c r="BJ1326" i="123"/>
  <c r="BK1326" i="123"/>
  <c r="BL1326" i="123"/>
  <c r="BM1326" i="123"/>
  <c r="BN1326" i="123"/>
  <c r="BO1326" i="123"/>
  <c r="G1326" i="123"/>
  <c r="H1316" i="123"/>
  <c r="I1316" i="123"/>
  <c r="J1316" i="123"/>
  <c r="K1316" i="123"/>
  <c r="L1316" i="123"/>
  <c r="M1316" i="123"/>
  <c r="N1316" i="123"/>
  <c r="O1316" i="123"/>
  <c r="P1316" i="123"/>
  <c r="Q1316" i="123"/>
  <c r="R1316" i="123"/>
  <c r="AE1316" i="123"/>
  <c r="AF1316" i="123"/>
  <c r="AG1316" i="123"/>
  <c r="AH1316" i="123"/>
  <c r="AI1316" i="123"/>
  <c r="AJ1316" i="123"/>
  <c r="AK1316" i="123"/>
  <c r="AL1316" i="123"/>
  <c r="AM1316" i="123"/>
  <c r="AN1316" i="123"/>
  <c r="AO1316" i="123"/>
  <c r="AP1316" i="123"/>
  <c r="AQ1316" i="123"/>
  <c r="AR1316" i="123"/>
  <c r="AS1316" i="123"/>
  <c r="AT1316" i="123"/>
  <c r="AU1316" i="123"/>
  <c r="AV1316" i="123"/>
  <c r="AW1316" i="123"/>
  <c r="AX1316" i="123"/>
  <c r="AY1316" i="123"/>
  <c r="AZ1316" i="123"/>
  <c r="BA1316" i="123"/>
  <c r="BB1316" i="123"/>
  <c r="BC1316" i="123"/>
  <c r="BD1316" i="123"/>
  <c r="BE1316" i="123"/>
  <c r="BF1316" i="123"/>
  <c r="BG1316" i="123"/>
  <c r="BH1316" i="123"/>
  <c r="BI1316" i="123"/>
  <c r="BJ1316" i="123"/>
  <c r="BK1316" i="123"/>
  <c r="BL1316" i="123"/>
  <c r="BM1316" i="123"/>
  <c r="BN1316" i="123"/>
  <c r="BO1316" i="123"/>
  <c r="G1316" i="123"/>
  <c r="H1306" i="123"/>
  <c r="I1306" i="123"/>
  <c r="J1306" i="123"/>
  <c r="K1306" i="123"/>
  <c r="L1306" i="123"/>
  <c r="M1306" i="123"/>
  <c r="N1306" i="123"/>
  <c r="O1306" i="123"/>
  <c r="P1306" i="123"/>
  <c r="Q1306" i="123"/>
  <c r="R1306" i="123"/>
  <c r="AE1306" i="123"/>
  <c r="AF1306" i="123"/>
  <c r="AG1306" i="123"/>
  <c r="AH1306" i="123"/>
  <c r="AI1306" i="123"/>
  <c r="AJ1306" i="123"/>
  <c r="AK1306" i="123"/>
  <c r="AL1306" i="123"/>
  <c r="AM1306" i="123"/>
  <c r="AN1306" i="123"/>
  <c r="AO1306" i="123"/>
  <c r="AP1306" i="123"/>
  <c r="AQ1306" i="123"/>
  <c r="AR1306" i="123"/>
  <c r="AS1306" i="123"/>
  <c r="AT1306" i="123"/>
  <c r="AU1306" i="123"/>
  <c r="AV1306" i="123"/>
  <c r="AW1306" i="123"/>
  <c r="AX1306" i="123"/>
  <c r="AY1306" i="123"/>
  <c r="AZ1306" i="123"/>
  <c r="BA1306" i="123"/>
  <c r="BB1306" i="123"/>
  <c r="BC1306" i="123"/>
  <c r="BD1306" i="123"/>
  <c r="BE1306" i="123"/>
  <c r="BF1306" i="123"/>
  <c r="BG1306" i="123"/>
  <c r="BH1306" i="123"/>
  <c r="BI1306" i="123"/>
  <c r="BJ1306" i="123"/>
  <c r="BK1306" i="123"/>
  <c r="BL1306" i="123"/>
  <c r="BM1306" i="123"/>
  <c r="BN1306" i="123"/>
  <c r="BO1306" i="123"/>
  <c r="G1306" i="123"/>
  <c r="H1297" i="123"/>
  <c r="I1297" i="123"/>
  <c r="J1297" i="123"/>
  <c r="K1297" i="123"/>
  <c r="L1297" i="123"/>
  <c r="M1297" i="123"/>
  <c r="N1297" i="123"/>
  <c r="O1297" i="123"/>
  <c r="P1297" i="123"/>
  <c r="Q1297" i="123"/>
  <c r="R1297" i="123"/>
  <c r="AE1297" i="123"/>
  <c r="AF1297" i="123"/>
  <c r="AG1297" i="123"/>
  <c r="AH1297" i="123"/>
  <c r="AI1297" i="123"/>
  <c r="AJ1297" i="123"/>
  <c r="AK1297" i="123"/>
  <c r="AL1297" i="123"/>
  <c r="AM1297" i="123"/>
  <c r="AN1297" i="123"/>
  <c r="AO1297" i="123"/>
  <c r="AP1297" i="123"/>
  <c r="AQ1297" i="123"/>
  <c r="AR1297" i="123"/>
  <c r="AS1297" i="123"/>
  <c r="AT1297" i="123"/>
  <c r="AU1297" i="123"/>
  <c r="AV1297" i="123"/>
  <c r="AW1297" i="123"/>
  <c r="AX1297" i="123"/>
  <c r="AY1297" i="123"/>
  <c r="AZ1297" i="123"/>
  <c r="BA1297" i="123"/>
  <c r="BB1297" i="123"/>
  <c r="BC1297" i="123"/>
  <c r="BD1297" i="123"/>
  <c r="BE1297" i="123"/>
  <c r="BF1297" i="123"/>
  <c r="BG1297" i="123"/>
  <c r="BH1297" i="123"/>
  <c r="BI1297" i="123"/>
  <c r="BJ1297" i="123"/>
  <c r="BK1297" i="123"/>
  <c r="BL1297" i="123"/>
  <c r="BM1297" i="123"/>
  <c r="BN1297" i="123"/>
  <c r="BO1297" i="123"/>
  <c r="G1297" i="123"/>
  <c r="H1289" i="123"/>
  <c r="I1289" i="123"/>
  <c r="J1289" i="123"/>
  <c r="K1289" i="123"/>
  <c r="L1289" i="123"/>
  <c r="M1289" i="123"/>
  <c r="N1289" i="123"/>
  <c r="O1289" i="123"/>
  <c r="P1289" i="123"/>
  <c r="Q1289" i="123"/>
  <c r="R1289" i="123"/>
  <c r="AE1289" i="123"/>
  <c r="AF1289" i="123"/>
  <c r="AG1289" i="123"/>
  <c r="AH1289" i="123"/>
  <c r="AI1289" i="123"/>
  <c r="AJ1289" i="123"/>
  <c r="AK1289" i="123"/>
  <c r="AL1289" i="123"/>
  <c r="AM1289" i="123"/>
  <c r="AN1289" i="123"/>
  <c r="AO1289" i="123"/>
  <c r="AP1289" i="123"/>
  <c r="AQ1289" i="123"/>
  <c r="AR1289" i="123"/>
  <c r="AS1289" i="123"/>
  <c r="AT1289" i="123"/>
  <c r="AU1289" i="123"/>
  <c r="AV1289" i="123"/>
  <c r="AW1289" i="123"/>
  <c r="AX1289" i="123"/>
  <c r="AY1289" i="123"/>
  <c r="AZ1289" i="123"/>
  <c r="BA1289" i="123"/>
  <c r="BB1289" i="123"/>
  <c r="BC1289" i="123"/>
  <c r="BD1289" i="123"/>
  <c r="BE1289" i="123"/>
  <c r="BF1289" i="123"/>
  <c r="BG1289" i="123"/>
  <c r="BH1289" i="123"/>
  <c r="BI1289" i="123"/>
  <c r="BJ1289" i="123"/>
  <c r="BK1289" i="123"/>
  <c r="BL1289" i="123"/>
  <c r="BM1289" i="123"/>
  <c r="BN1289" i="123"/>
  <c r="BO1289" i="123"/>
  <c r="G1289" i="123"/>
  <c r="H1283" i="123"/>
  <c r="I1283" i="123"/>
  <c r="J1283" i="123"/>
  <c r="K1283" i="123"/>
  <c r="L1283" i="123"/>
  <c r="M1283" i="123"/>
  <c r="N1283" i="123"/>
  <c r="O1283" i="123"/>
  <c r="P1283" i="123"/>
  <c r="Q1283" i="123"/>
  <c r="R1283" i="123"/>
  <c r="AE1283" i="123"/>
  <c r="AF1283" i="123"/>
  <c r="AG1283" i="123"/>
  <c r="AH1283" i="123"/>
  <c r="AI1283" i="123"/>
  <c r="AJ1283" i="123"/>
  <c r="AK1283" i="123"/>
  <c r="AL1283" i="123"/>
  <c r="AM1283" i="123"/>
  <c r="AN1283" i="123"/>
  <c r="AO1283" i="123"/>
  <c r="AP1283" i="123"/>
  <c r="AQ1283" i="123"/>
  <c r="AR1283" i="123"/>
  <c r="AS1283" i="123"/>
  <c r="AT1283" i="123"/>
  <c r="AU1283" i="123"/>
  <c r="AV1283" i="123"/>
  <c r="AW1283" i="123"/>
  <c r="AX1283" i="123"/>
  <c r="AY1283" i="123"/>
  <c r="AZ1283" i="123"/>
  <c r="BA1283" i="123"/>
  <c r="BB1283" i="123"/>
  <c r="BC1283" i="123"/>
  <c r="BD1283" i="123"/>
  <c r="BE1283" i="123"/>
  <c r="BF1283" i="123"/>
  <c r="BG1283" i="123"/>
  <c r="BH1283" i="123"/>
  <c r="BI1283" i="123"/>
  <c r="BJ1283" i="123"/>
  <c r="BK1283" i="123"/>
  <c r="BL1283" i="123"/>
  <c r="BM1283" i="123"/>
  <c r="BN1283" i="123"/>
  <c r="BO1283" i="123"/>
  <c r="G1283" i="123"/>
  <c r="H1275" i="123"/>
  <c r="I1275" i="123"/>
  <c r="J1275" i="123"/>
  <c r="K1275" i="123"/>
  <c r="L1275" i="123"/>
  <c r="M1275" i="123"/>
  <c r="N1275" i="123"/>
  <c r="O1275" i="123"/>
  <c r="P1275" i="123"/>
  <c r="Q1275" i="123"/>
  <c r="R1275" i="123"/>
  <c r="AE1275" i="123"/>
  <c r="AF1275" i="123"/>
  <c r="AG1275" i="123"/>
  <c r="AH1275" i="123"/>
  <c r="AI1275" i="123"/>
  <c r="AJ1275" i="123"/>
  <c r="AK1275" i="123"/>
  <c r="AL1275" i="123"/>
  <c r="AM1275" i="123"/>
  <c r="AN1275" i="123"/>
  <c r="AO1275" i="123"/>
  <c r="AP1275" i="123"/>
  <c r="AQ1275" i="123"/>
  <c r="AR1275" i="123"/>
  <c r="AS1275" i="123"/>
  <c r="AT1275" i="123"/>
  <c r="AU1275" i="123"/>
  <c r="AV1275" i="123"/>
  <c r="AW1275" i="123"/>
  <c r="AX1275" i="123"/>
  <c r="AY1275" i="123"/>
  <c r="AZ1275" i="123"/>
  <c r="BA1275" i="123"/>
  <c r="BB1275" i="123"/>
  <c r="BC1275" i="123"/>
  <c r="BD1275" i="123"/>
  <c r="BE1275" i="123"/>
  <c r="BF1275" i="123"/>
  <c r="BG1275" i="123"/>
  <c r="BH1275" i="123"/>
  <c r="BI1275" i="123"/>
  <c r="BJ1275" i="123"/>
  <c r="BK1275" i="123"/>
  <c r="BL1275" i="123"/>
  <c r="BM1275" i="123"/>
  <c r="BN1275" i="123"/>
  <c r="BO1275" i="123"/>
  <c r="G1275" i="123"/>
  <c r="H1261" i="123"/>
  <c r="I1261" i="123"/>
  <c r="J1261" i="123"/>
  <c r="K1261" i="123"/>
  <c r="L1261" i="123"/>
  <c r="M1261" i="123"/>
  <c r="N1261" i="123"/>
  <c r="O1261" i="123"/>
  <c r="P1261" i="123"/>
  <c r="Q1261" i="123"/>
  <c r="R1261" i="123"/>
  <c r="AE1261" i="123"/>
  <c r="AF1261" i="123"/>
  <c r="AG1261" i="123"/>
  <c r="AH1261" i="123"/>
  <c r="AI1261" i="123"/>
  <c r="AJ1261" i="123"/>
  <c r="AK1261" i="123"/>
  <c r="AL1261" i="123"/>
  <c r="AM1261" i="123"/>
  <c r="AN1261" i="123"/>
  <c r="AO1261" i="123"/>
  <c r="AP1261" i="123"/>
  <c r="AQ1261" i="123"/>
  <c r="AR1261" i="123"/>
  <c r="AS1261" i="123"/>
  <c r="AT1261" i="123"/>
  <c r="AU1261" i="123"/>
  <c r="AV1261" i="123"/>
  <c r="AW1261" i="123"/>
  <c r="AX1261" i="123"/>
  <c r="AY1261" i="123"/>
  <c r="AZ1261" i="123"/>
  <c r="BA1261" i="123"/>
  <c r="BB1261" i="123"/>
  <c r="BC1261" i="123"/>
  <c r="BD1261" i="123"/>
  <c r="BE1261" i="123"/>
  <c r="BF1261" i="123"/>
  <c r="BG1261" i="123"/>
  <c r="BH1261" i="123"/>
  <c r="BI1261" i="123"/>
  <c r="BJ1261" i="123"/>
  <c r="BK1261" i="123"/>
  <c r="BL1261" i="123"/>
  <c r="BM1261" i="123"/>
  <c r="BN1261" i="123"/>
  <c r="BO1261" i="123"/>
  <c r="G1261" i="123"/>
  <c r="H1257" i="123"/>
  <c r="I1257" i="123"/>
  <c r="J1257" i="123"/>
  <c r="K1257" i="123"/>
  <c r="L1257" i="123"/>
  <c r="M1257" i="123"/>
  <c r="N1257" i="123"/>
  <c r="O1257" i="123"/>
  <c r="P1257" i="123"/>
  <c r="Q1257" i="123"/>
  <c r="R1257" i="123"/>
  <c r="AE1257" i="123"/>
  <c r="AF1257" i="123"/>
  <c r="AG1257" i="123"/>
  <c r="AH1257" i="123"/>
  <c r="AI1257" i="123"/>
  <c r="AJ1257" i="123"/>
  <c r="AK1257" i="123"/>
  <c r="AL1257" i="123"/>
  <c r="AM1257" i="123"/>
  <c r="AN1257" i="123"/>
  <c r="AO1257" i="123"/>
  <c r="AP1257" i="123"/>
  <c r="AQ1257" i="123"/>
  <c r="AR1257" i="123"/>
  <c r="AS1257" i="123"/>
  <c r="AT1257" i="123"/>
  <c r="AU1257" i="123"/>
  <c r="AV1257" i="123"/>
  <c r="AW1257" i="123"/>
  <c r="AX1257" i="123"/>
  <c r="AY1257" i="123"/>
  <c r="AZ1257" i="123"/>
  <c r="BA1257" i="123"/>
  <c r="BB1257" i="123"/>
  <c r="BC1257" i="123"/>
  <c r="BD1257" i="123"/>
  <c r="BE1257" i="123"/>
  <c r="BF1257" i="123"/>
  <c r="BG1257" i="123"/>
  <c r="BH1257" i="123"/>
  <c r="BI1257" i="123"/>
  <c r="BJ1257" i="123"/>
  <c r="BK1257" i="123"/>
  <c r="BL1257" i="123"/>
  <c r="BM1257" i="123"/>
  <c r="BN1257" i="123"/>
  <c r="BO1257" i="123"/>
  <c r="G1257" i="123"/>
  <c r="H1237" i="123"/>
  <c r="I1237" i="123"/>
  <c r="J1237" i="123"/>
  <c r="K1237" i="123"/>
  <c r="L1237" i="123"/>
  <c r="M1237" i="123"/>
  <c r="N1237" i="123"/>
  <c r="O1237" i="123"/>
  <c r="P1237" i="123"/>
  <c r="Q1237" i="123"/>
  <c r="R1237" i="123"/>
  <c r="AE1237" i="123"/>
  <c r="AF1237" i="123"/>
  <c r="AG1237" i="123"/>
  <c r="AH1237" i="123"/>
  <c r="AI1237" i="123"/>
  <c r="AJ1237" i="123"/>
  <c r="AK1237" i="123"/>
  <c r="AL1237" i="123"/>
  <c r="AM1237" i="123"/>
  <c r="AN1237" i="123"/>
  <c r="AO1237" i="123"/>
  <c r="AP1237" i="123"/>
  <c r="AQ1237" i="123"/>
  <c r="AR1237" i="123"/>
  <c r="AS1237" i="123"/>
  <c r="AT1237" i="123"/>
  <c r="AU1237" i="123"/>
  <c r="AV1237" i="123"/>
  <c r="AW1237" i="123"/>
  <c r="AX1237" i="123"/>
  <c r="AY1237" i="123"/>
  <c r="AZ1237" i="123"/>
  <c r="BA1237" i="123"/>
  <c r="BB1237" i="123"/>
  <c r="BC1237" i="123"/>
  <c r="BD1237" i="123"/>
  <c r="BE1237" i="123"/>
  <c r="BF1237" i="123"/>
  <c r="BG1237" i="123"/>
  <c r="BH1237" i="123"/>
  <c r="BI1237" i="123"/>
  <c r="BJ1237" i="123"/>
  <c r="BK1237" i="123"/>
  <c r="BL1237" i="123"/>
  <c r="BM1237" i="123"/>
  <c r="BN1237" i="123"/>
  <c r="BO1237" i="123"/>
  <c r="G1237" i="123"/>
  <c r="H1222" i="123"/>
  <c r="I1222" i="123"/>
  <c r="J1222" i="123"/>
  <c r="K1222" i="123"/>
  <c r="L1222" i="123"/>
  <c r="M1222" i="123"/>
  <c r="N1222" i="123"/>
  <c r="O1222" i="123"/>
  <c r="P1222" i="123"/>
  <c r="Q1222" i="123"/>
  <c r="R1222" i="123"/>
  <c r="AE1222" i="123"/>
  <c r="AF1222" i="123"/>
  <c r="AG1222" i="123"/>
  <c r="AH1222" i="123"/>
  <c r="AI1222" i="123"/>
  <c r="AJ1222" i="123"/>
  <c r="AK1222" i="123"/>
  <c r="AL1222" i="123"/>
  <c r="AM1222" i="123"/>
  <c r="AN1222" i="123"/>
  <c r="AO1222" i="123"/>
  <c r="AP1222" i="123"/>
  <c r="AQ1222" i="123"/>
  <c r="AR1222" i="123"/>
  <c r="AS1222" i="123"/>
  <c r="AT1222" i="123"/>
  <c r="AU1222" i="123"/>
  <c r="AV1222" i="123"/>
  <c r="AW1222" i="123"/>
  <c r="AX1222" i="123"/>
  <c r="AY1222" i="123"/>
  <c r="AZ1222" i="123"/>
  <c r="BA1222" i="123"/>
  <c r="BB1222" i="123"/>
  <c r="BC1222" i="123"/>
  <c r="BD1222" i="123"/>
  <c r="BE1222" i="123"/>
  <c r="BF1222" i="123"/>
  <c r="BG1222" i="123"/>
  <c r="BH1222" i="123"/>
  <c r="BI1222" i="123"/>
  <c r="BJ1222" i="123"/>
  <c r="BK1222" i="123"/>
  <c r="BL1222" i="123"/>
  <c r="BM1222" i="123"/>
  <c r="BN1222" i="123"/>
  <c r="BO1222" i="123"/>
  <c r="G1222" i="123"/>
  <c r="BO1207" i="123"/>
  <c r="BN1207" i="123"/>
  <c r="BM1207" i="123"/>
  <c r="BL1207" i="123"/>
  <c r="BK1207" i="123"/>
  <c r="BJ1207" i="123"/>
  <c r="BI1207" i="123"/>
  <c r="BH1207" i="123"/>
  <c r="BG1207" i="123"/>
  <c r="BF1207" i="123"/>
  <c r="BE1207" i="123"/>
  <c r="BD1207" i="123"/>
  <c r="BC1207" i="123"/>
  <c r="BB1207" i="123"/>
  <c r="BA1207" i="123"/>
  <c r="AZ1207" i="123"/>
  <c r="AY1207" i="123"/>
  <c r="AX1207" i="123"/>
  <c r="AW1207" i="123"/>
  <c r="AV1207" i="123"/>
  <c r="AU1207" i="123"/>
  <c r="AT1207" i="123"/>
  <c r="AS1207" i="123"/>
  <c r="AR1207" i="123"/>
  <c r="AQ1207" i="123"/>
  <c r="AP1207" i="123"/>
  <c r="AO1207" i="123"/>
  <c r="AN1207" i="123"/>
  <c r="AM1207" i="123"/>
  <c r="AL1207" i="123"/>
  <c r="AK1207" i="123"/>
  <c r="AJ1207" i="123"/>
  <c r="AI1207" i="123"/>
  <c r="AH1207" i="123"/>
  <c r="AG1207" i="123"/>
  <c r="AF1207" i="123"/>
  <c r="R1207" i="123"/>
  <c r="Q1207" i="123"/>
  <c r="P1207" i="123"/>
  <c r="O1207" i="123"/>
  <c r="N1207" i="123"/>
  <c r="M1207" i="123"/>
  <c r="L1207" i="123"/>
  <c r="K1207" i="123"/>
  <c r="J1207" i="123"/>
  <c r="I1207" i="123"/>
  <c r="H1207" i="123"/>
  <c r="G1207" i="123"/>
  <c r="BO1201" i="123"/>
  <c r="BN1201" i="123"/>
  <c r="BM1201" i="123"/>
  <c r="BL1201" i="123"/>
  <c r="BK1201" i="123"/>
  <c r="BJ1201" i="123"/>
  <c r="BI1201" i="123"/>
  <c r="BH1201" i="123"/>
  <c r="BG1201" i="123"/>
  <c r="BF1201" i="123"/>
  <c r="BE1201" i="123"/>
  <c r="BD1201" i="123"/>
  <c r="BC1201" i="123"/>
  <c r="BB1201" i="123"/>
  <c r="BA1201" i="123"/>
  <c r="AZ1201" i="123"/>
  <c r="AY1201" i="123"/>
  <c r="AX1201" i="123"/>
  <c r="AW1201" i="123"/>
  <c r="AV1201" i="123"/>
  <c r="AU1201" i="123"/>
  <c r="AT1201" i="123"/>
  <c r="AS1201" i="123"/>
  <c r="AR1201" i="123"/>
  <c r="AQ1201" i="123"/>
  <c r="AP1201" i="123"/>
  <c r="AO1201" i="123"/>
  <c r="AN1201" i="123"/>
  <c r="AM1201" i="123"/>
  <c r="AL1201" i="123"/>
  <c r="AK1201" i="123"/>
  <c r="AJ1201" i="123"/>
  <c r="AI1201" i="123"/>
  <c r="AH1201" i="123"/>
  <c r="AG1201" i="123"/>
  <c r="AF1201" i="123"/>
  <c r="AE1201" i="123"/>
  <c r="R1201" i="123"/>
  <c r="Q1201" i="123"/>
  <c r="P1201" i="123"/>
  <c r="O1201" i="123"/>
  <c r="N1201" i="123"/>
  <c r="M1201" i="123"/>
  <c r="L1201" i="123"/>
  <c r="K1201" i="123"/>
  <c r="J1201" i="123"/>
  <c r="I1201" i="123"/>
  <c r="H1201" i="123"/>
  <c r="G1201" i="123"/>
  <c r="BO1192" i="123"/>
  <c r="BN1192" i="123"/>
  <c r="BM1192" i="123"/>
  <c r="BL1192" i="123"/>
  <c r="BK1192" i="123"/>
  <c r="BJ1192" i="123"/>
  <c r="BI1192" i="123"/>
  <c r="BH1192" i="123"/>
  <c r="BG1192" i="123"/>
  <c r="BF1192" i="123"/>
  <c r="BE1192" i="123"/>
  <c r="BD1192" i="123"/>
  <c r="BC1192" i="123"/>
  <c r="BB1192" i="123"/>
  <c r="BA1192" i="123"/>
  <c r="AZ1192" i="123"/>
  <c r="AY1192" i="123"/>
  <c r="AX1192" i="123"/>
  <c r="AW1192" i="123"/>
  <c r="AV1192" i="123"/>
  <c r="AU1192" i="123"/>
  <c r="AT1192" i="123"/>
  <c r="AS1192" i="123"/>
  <c r="AR1192" i="123"/>
  <c r="AQ1192" i="123"/>
  <c r="AP1192" i="123"/>
  <c r="AO1192" i="123"/>
  <c r="AN1192" i="123"/>
  <c r="AM1192" i="123"/>
  <c r="AL1192" i="123"/>
  <c r="AK1192" i="123"/>
  <c r="AJ1192" i="123"/>
  <c r="AI1192" i="123"/>
  <c r="AH1192" i="123"/>
  <c r="AG1192" i="123"/>
  <c r="AF1192" i="123"/>
  <c r="AE1192" i="123"/>
  <c r="R1192" i="123"/>
  <c r="Q1192" i="123"/>
  <c r="P1192" i="123"/>
  <c r="O1192" i="123"/>
  <c r="N1192" i="123"/>
  <c r="M1192" i="123"/>
  <c r="L1192" i="123"/>
  <c r="K1192" i="123"/>
  <c r="J1192" i="123"/>
  <c r="I1192" i="123"/>
  <c r="H1192" i="123"/>
  <c r="G1192" i="123"/>
  <c r="H1054" i="123"/>
  <c r="I1054" i="123"/>
  <c r="J1054" i="123"/>
  <c r="K1054" i="123"/>
  <c r="L1054" i="123"/>
  <c r="M1054" i="123"/>
  <c r="N1054" i="123"/>
  <c r="O1054" i="123"/>
  <c r="P1054" i="123"/>
  <c r="Q1054" i="123"/>
  <c r="R1054" i="123"/>
  <c r="AE1054" i="123"/>
  <c r="AF1054" i="123"/>
  <c r="AG1054" i="123"/>
  <c r="AH1054" i="123"/>
  <c r="AI1054" i="123"/>
  <c r="AJ1054" i="123"/>
  <c r="AK1054" i="123"/>
  <c r="AL1054" i="123"/>
  <c r="AM1054" i="123"/>
  <c r="AN1054" i="123"/>
  <c r="AO1054" i="123"/>
  <c r="AP1054" i="123"/>
  <c r="AQ1054" i="123"/>
  <c r="AR1054" i="123"/>
  <c r="AS1054" i="123"/>
  <c r="AT1054" i="123"/>
  <c r="AU1054" i="123"/>
  <c r="AV1054" i="123"/>
  <c r="AW1054" i="123"/>
  <c r="AX1054" i="123"/>
  <c r="AY1054" i="123"/>
  <c r="AZ1054" i="123"/>
  <c r="BA1054" i="123"/>
  <c r="BB1054" i="123"/>
  <c r="BC1054" i="123"/>
  <c r="BD1054" i="123"/>
  <c r="BE1054" i="123"/>
  <c r="BF1054" i="123"/>
  <c r="BG1054" i="123"/>
  <c r="BH1054" i="123"/>
  <c r="BI1054" i="123"/>
  <c r="BJ1054" i="123"/>
  <c r="BK1054" i="123"/>
  <c r="BL1054" i="123"/>
  <c r="BM1054" i="123"/>
  <c r="BN1054" i="123"/>
  <c r="BO1054" i="123"/>
  <c r="H1069" i="123"/>
  <c r="I1069" i="123"/>
  <c r="J1069" i="123"/>
  <c r="K1069" i="123"/>
  <c r="L1069" i="123"/>
  <c r="M1069" i="123"/>
  <c r="N1069" i="123"/>
  <c r="O1069" i="123"/>
  <c r="P1069" i="123"/>
  <c r="Q1069" i="123"/>
  <c r="R1069" i="123"/>
  <c r="AE1069" i="123"/>
  <c r="AF1069" i="123"/>
  <c r="AG1069" i="123"/>
  <c r="AH1069" i="123"/>
  <c r="AI1069" i="123"/>
  <c r="AJ1069" i="123"/>
  <c r="AK1069" i="123"/>
  <c r="AL1069" i="123"/>
  <c r="AM1069" i="123"/>
  <c r="AN1069" i="123"/>
  <c r="AO1069" i="123"/>
  <c r="AP1069" i="123"/>
  <c r="AQ1069" i="123"/>
  <c r="AR1069" i="123"/>
  <c r="AS1069" i="123"/>
  <c r="AT1069" i="123"/>
  <c r="AU1069" i="123"/>
  <c r="AV1069" i="123"/>
  <c r="AW1069" i="123"/>
  <c r="AX1069" i="123"/>
  <c r="AY1069" i="123"/>
  <c r="AZ1069" i="123"/>
  <c r="BA1069" i="123"/>
  <c r="BB1069" i="123"/>
  <c r="BC1069" i="123"/>
  <c r="BD1069" i="123"/>
  <c r="BE1069" i="123"/>
  <c r="BF1069" i="123"/>
  <c r="BG1069" i="123"/>
  <c r="BH1069" i="123"/>
  <c r="BI1069" i="123"/>
  <c r="BJ1069" i="123"/>
  <c r="BK1069" i="123"/>
  <c r="BL1069" i="123"/>
  <c r="BM1069" i="123"/>
  <c r="BN1069" i="123"/>
  <c r="BO1069" i="123"/>
  <c r="H1089" i="123"/>
  <c r="I1089" i="123"/>
  <c r="J1089" i="123"/>
  <c r="K1089" i="123"/>
  <c r="L1089" i="123"/>
  <c r="M1089" i="123"/>
  <c r="N1089" i="123"/>
  <c r="O1089" i="123"/>
  <c r="P1089" i="123"/>
  <c r="Q1089" i="123"/>
  <c r="R1089" i="123"/>
  <c r="AE1089" i="123"/>
  <c r="AF1089" i="123"/>
  <c r="AG1089" i="123"/>
  <c r="AH1089" i="123"/>
  <c r="AI1089" i="123"/>
  <c r="AJ1089" i="123"/>
  <c r="AK1089" i="123"/>
  <c r="AL1089" i="123"/>
  <c r="AM1089" i="123"/>
  <c r="AN1089" i="123"/>
  <c r="AO1089" i="123"/>
  <c r="AP1089" i="123"/>
  <c r="AQ1089" i="123"/>
  <c r="AR1089" i="123"/>
  <c r="AS1089" i="123"/>
  <c r="AT1089" i="123"/>
  <c r="AU1089" i="123"/>
  <c r="AV1089" i="123"/>
  <c r="AW1089" i="123"/>
  <c r="AX1089" i="123"/>
  <c r="AY1089" i="123"/>
  <c r="AZ1089" i="123"/>
  <c r="BA1089" i="123"/>
  <c r="BB1089" i="123"/>
  <c r="BC1089" i="123"/>
  <c r="BD1089" i="123"/>
  <c r="BE1089" i="123"/>
  <c r="BF1089" i="123"/>
  <c r="BG1089" i="123"/>
  <c r="BH1089" i="123"/>
  <c r="BI1089" i="123"/>
  <c r="BJ1089" i="123"/>
  <c r="BK1089" i="123"/>
  <c r="BL1089" i="123"/>
  <c r="BM1089" i="123"/>
  <c r="BN1089" i="123"/>
  <c r="BO1089" i="123"/>
  <c r="H1093" i="123"/>
  <c r="I1093" i="123"/>
  <c r="J1093" i="123"/>
  <c r="K1093" i="123"/>
  <c r="L1093" i="123"/>
  <c r="M1093" i="123"/>
  <c r="N1093" i="123"/>
  <c r="O1093" i="123"/>
  <c r="P1093" i="123"/>
  <c r="Q1093" i="123"/>
  <c r="R1093" i="123"/>
  <c r="AE1093" i="123"/>
  <c r="AF1093" i="123"/>
  <c r="AG1093" i="123"/>
  <c r="AH1093" i="123"/>
  <c r="AI1093" i="123"/>
  <c r="AJ1093" i="123"/>
  <c r="AK1093" i="123"/>
  <c r="AL1093" i="123"/>
  <c r="AM1093" i="123"/>
  <c r="AN1093" i="123"/>
  <c r="AO1093" i="123"/>
  <c r="AP1093" i="123"/>
  <c r="AQ1093" i="123"/>
  <c r="AR1093" i="123"/>
  <c r="AS1093" i="123"/>
  <c r="AT1093" i="123"/>
  <c r="AU1093" i="123"/>
  <c r="AV1093" i="123"/>
  <c r="AW1093" i="123"/>
  <c r="AX1093" i="123"/>
  <c r="AY1093" i="123"/>
  <c r="AZ1093" i="123"/>
  <c r="BA1093" i="123"/>
  <c r="BB1093" i="123"/>
  <c r="BC1093" i="123"/>
  <c r="BD1093" i="123"/>
  <c r="BE1093" i="123"/>
  <c r="BF1093" i="123"/>
  <c r="BG1093" i="123"/>
  <c r="BH1093" i="123"/>
  <c r="BI1093" i="123"/>
  <c r="BJ1093" i="123"/>
  <c r="BK1093" i="123"/>
  <c r="BL1093" i="123"/>
  <c r="BM1093" i="123"/>
  <c r="BN1093" i="123"/>
  <c r="BO1093" i="123"/>
  <c r="H1107" i="123"/>
  <c r="I1107" i="123"/>
  <c r="J1107" i="123"/>
  <c r="K1107" i="123"/>
  <c r="L1107" i="123"/>
  <c r="M1107" i="123"/>
  <c r="N1107" i="123"/>
  <c r="O1107" i="123"/>
  <c r="P1107" i="123"/>
  <c r="Q1107" i="123"/>
  <c r="R1107" i="123"/>
  <c r="AE1107" i="123"/>
  <c r="AF1107" i="123"/>
  <c r="AG1107" i="123"/>
  <c r="AH1107" i="123"/>
  <c r="AI1107" i="123"/>
  <c r="AJ1107" i="123"/>
  <c r="AK1107" i="123"/>
  <c r="AL1107" i="123"/>
  <c r="AM1107" i="123"/>
  <c r="AN1107" i="123"/>
  <c r="AO1107" i="123"/>
  <c r="AP1107" i="123"/>
  <c r="AQ1107" i="123"/>
  <c r="AR1107" i="123"/>
  <c r="AS1107" i="123"/>
  <c r="AT1107" i="123"/>
  <c r="AU1107" i="123"/>
  <c r="AV1107" i="123"/>
  <c r="AW1107" i="123"/>
  <c r="AX1107" i="123"/>
  <c r="AY1107" i="123"/>
  <c r="AZ1107" i="123"/>
  <c r="BA1107" i="123"/>
  <c r="BB1107" i="123"/>
  <c r="BC1107" i="123"/>
  <c r="BD1107" i="123"/>
  <c r="BE1107" i="123"/>
  <c r="BF1107" i="123"/>
  <c r="BG1107" i="123"/>
  <c r="BH1107" i="123"/>
  <c r="BI1107" i="123"/>
  <c r="BJ1107" i="123"/>
  <c r="BK1107" i="123"/>
  <c r="BL1107" i="123"/>
  <c r="BM1107" i="123"/>
  <c r="BN1107" i="123"/>
  <c r="BO1107" i="123"/>
  <c r="H1115" i="123"/>
  <c r="I1115" i="123"/>
  <c r="J1115" i="123"/>
  <c r="K1115" i="123"/>
  <c r="L1115" i="123"/>
  <c r="M1115" i="123"/>
  <c r="N1115" i="123"/>
  <c r="O1115" i="123"/>
  <c r="P1115" i="123"/>
  <c r="Q1115" i="123"/>
  <c r="R1115" i="123"/>
  <c r="AE1115" i="123"/>
  <c r="AF1115" i="123"/>
  <c r="AG1115" i="123"/>
  <c r="AH1115" i="123"/>
  <c r="AI1115" i="123"/>
  <c r="AJ1115" i="123"/>
  <c r="AK1115" i="123"/>
  <c r="AL1115" i="123"/>
  <c r="AM1115" i="123"/>
  <c r="AN1115" i="123"/>
  <c r="AO1115" i="123"/>
  <c r="AP1115" i="123"/>
  <c r="AQ1115" i="123"/>
  <c r="AR1115" i="123"/>
  <c r="AS1115" i="123"/>
  <c r="AT1115" i="123"/>
  <c r="AU1115" i="123"/>
  <c r="AV1115" i="123"/>
  <c r="AW1115" i="123"/>
  <c r="AX1115" i="123"/>
  <c r="AY1115" i="123"/>
  <c r="AZ1115" i="123"/>
  <c r="BA1115" i="123"/>
  <c r="BB1115" i="123"/>
  <c r="BC1115" i="123"/>
  <c r="BD1115" i="123"/>
  <c r="BE1115" i="123"/>
  <c r="BF1115" i="123"/>
  <c r="BG1115" i="123"/>
  <c r="BH1115" i="123"/>
  <c r="BI1115" i="123"/>
  <c r="BJ1115" i="123"/>
  <c r="BK1115" i="123"/>
  <c r="BL1115" i="123"/>
  <c r="BM1115" i="123"/>
  <c r="BN1115" i="123"/>
  <c r="BO1115" i="123"/>
  <c r="H1121" i="123"/>
  <c r="I1121" i="123"/>
  <c r="J1121" i="123"/>
  <c r="K1121" i="123"/>
  <c r="L1121" i="123"/>
  <c r="M1121" i="123"/>
  <c r="N1121" i="123"/>
  <c r="O1121" i="123"/>
  <c r="P1121" i="123"/>
  <c r="Q1121" i="123"/>
  <c r="R1121" i="123"/>
  <c r="AE1121" i="123"/>
  <c r="AF1121" i="123"/>
  <c r="AG1121" i="123"/>
  <c r="AH1121" i="123"/>
  <c r="AI1121" i="123"/>
  <c r="AJ1121" i="123"/>
  <c r="AK1121" i="123"/>
  <c r="AL1121" i="123"/>
  <c r="AM1121" i="123"/>
  <c r="AN1121" i="123"/>
  <c r="AO1121" i="123"/>
  <c r="AP1121" i="123"/>
  <c r="AQ1121" i="123"/>
  <c r="AR1121" i="123"/>
  <c r="AS1121" i="123"/>
  <c r="AT1121" i="123"/>
  <c r="AU1121" i="123"/>
  <c r="AV1121" i="123"/>
  <c r="AW1121" i="123"/>
  <c r="AX1121" i="123"/>
  <c r="AY1121" i="123"/>
  <c r="AZ1121" i="123"/>
  <c r="BA1121" i="123"/>
  <c r="BB1121" i="123"/>
  <c r="BC1121" i="123"/>
  <c r="BD1121" i="123"/>
  <c r="BE1121" i="123"/>
  <c r="BF1121" i="123"/>
  <c r="BG1121" i="123"/>
  <c r="BH1121" i="123"/>
  <c r="BI1121" i="123"/>
  <c r="BJ1121" i="123"/>
  <c r="BK1121" i="123"/>
  <c r="BL1121" i="123"/>
  <c r="BM1121" i="123"/>
  <c r="BN1121" i="123"/>
  <c r="BO1121" i="123"/>
  <c r="H1129" i="123"/>
  <c r="I1129" i="123"/>
  <c r="J1129" i="123"/>
  <c r="K1129" i="123"/>
  <c r="L1129" i="123"/>
  <c r="M1129" i="123"/>
  <c r="N1129" i="123"/>
  <c r="O1129" i="123"/>
  <c r="P1129" i="123"/>
  <c r="Q1129" i="123"/>
  <c r="R1129" i="123"/>
  <c r="AE1129" i="123"/>
  <c r="AF1129" i="123"/>
  <c r="AG1129" i="123"/>
  <c r="AH1129" i="123"/>
  <c r="AI1129" i="123"/>
  <c r="AJ1129" i="123"/>
  <c r="AK1129" i="123"/>
  <c r="AL1129" i="123"/>
  <c r="AM1129" i="123"/>
  <c r="AN1129" i="123"/>
  <c r="AO1129" i="123"/>
  <c r="AP1129" i="123"/>
  <c r="AQ1129" i="123"/>
  <c r="AR1129" i="123"/>
  <c r="AS1129" i="123"/>
  <c r="AT1129" i="123"/>
  <c r="AU1129" i="123"/>
  <c r="AV1129" i="123"/>
  <c r="AW1129" i="123"/>
  <c r="AX1129" i="123"/>
  <c r="AY1129" i="123"/>
  <c r="AZ1129" i="123"/>
  <c r="BA1129" i="123"/>
  <c r="BB1129" i="123"/>
  <c r="BC1129" i="123"/>
  <c r="BD1129" i="123"/>
  <c r="BE1129" i="123"/>
  <c r="BF1129" i="123"/>
  <c r="BG1129" i="123"/>
  <c r="BH1129" i="123"/>
  <c r="BI1129" i="123"/>
  <c r="BJ1129" i="123"/>
  <c r="BK1129" i="123"/>
  <c r="BL1129" i="123"/>
  <c r="BM1129" i="123"/>
  <c r="BN1129" i="123"/>
  <c r="BO1129" i="123"/>
  <c r="H1138" i="123"/>
  <c r="I1138" i="123"/>
  <c r="J1138" i="123"/>
  <c r="K1138" i="123"/>
  <c r="L1138" i="123"/>
  <c r="M1138" i="123"/>
  <c r="N1138" i="123"/>
  <c r="O1138" i="123"/>
  <c r="P1138" i="123"/>
  <c r="Q1138" i="123"/>
  <c r="R1138" i="123"/>
  <c r="AE1138" i="123"/>
  <c r="AF1138" i="123"/>
  <c r="AG1138" i="123"/>
  <c r="AH1138" i="123"/>
  <c r="AI1138" i="123"/>
  <c r="AJ1138" i="123"/>
  <c r="AK1138" i="123"/>
  <c r="AL1138" i="123"/>
  <c r="AM1138" i="123"/>
  <c r="AN1138" i="123"/>
  <c r="AO1138" i="123"/>
  <c r="AP1138" i="123"/>
  <c r="AQ1138" i="123"/>
  <c r="AR1138" i="123"/>
  <c r="AS1138" i="123"/>
  <c r="AT1138" i="123"/>
  <c r="AU1138" i="123"/>
  <c r="AV1138" i="123"/>
  <c r="AW1138" i="123"/>
  <c r="AX1138" i="123"/>
  <c r="AY1138" i="123"/>
  <c r="AZ1138" i="123"/>
  <c r="BA1138" i="123"/>
  <c r="BB1138" i="123"/>
  <c r="BC1138" i="123"/>
  <c r="BD1138" i="123"/>
  <c r="BE1138" i="123"/>
  <c r="BF1138" i="123"/>
  <c r="BG1138" i="123"/>
  <c r="BH1138" i="123"/>
  <c r="BI1138" i="123"/>
  <c r="BJ1138" i="123"/>
  <c r="BK1138" i="123"/>
  <c r="BL1138" i="123"/>
  <c r="BM1138" i="123"/>
  <c r="BN1138" i="123"/>
  <c r="BO1138" i="123"/>
  <c r="H1148" i="123"/>
  <c r="I1148" i="123"/>
  <c r="J1148" i="123"/>
  <c r="K1148" i="123"/>
  <c r="L1148" i="123"/>
  <c r="M1148" i="123"/>
  <c r="N1148" i="123"/>
  <c r="O1148" i="123"/>
  <c r="P1148" i="123"/>
  <c r="Q1148" i="123"/>
  <c r="R1148" i="123"/>
  <c r="AE1148" i="123"/>
  <c r="AF1148" i="123"/>
  <c r="AG1148" i="123"/>
  <c r="AH1148" i="123"/>
  <c r="AI1148" i="123"/>
  <c r="AJ1148" i="123"/>
  <c r="AK1148" i="123"/>
  <c r="AL1148" i="123"/>
  <c r="AM1148" i="123"/>
  <c r="AN1148" i="123"/>
  <c r="AO1148" i="123"/>
  <c r="AP1148" i="123"/>
  <c r="AQ1148" i="123"/>
  <c r="AR1148" i="123"/>
  <c r="AS1148" i="123"/>
  <c r="AT1148" i="123"/>
  <c r="AU1148" i="123"/>
  <c r="AV1148" i="123"/>
  <c r="AW1148" i="123"/>
  <c r="AX1148" i="123"/>
  <c r="AY1148" i="123"/>
  <c r="AZ1148" i="123"/>
  <c r="BA1148" i="123"/>
  <c r="BB1148" i="123"/>
  <c r="BC1148" i="123"/>
  <c r="BD1148" i="123"/>
  <c r="BE1148" i="123"/>
  <c r="BF1148" i="123"/>
  <c r="BG1148" i="123"/>
  <c r="BH1148" i="123"/>
  <c r="BI1148" i="123"/>
  <c r="BJ1148" i="123"/>
  <c r="BK1148" i="123"/>
  <c r="BL1148" i="123"/>
  <c r="BM1148" i="123"/>
  <c r="BN1148" i="123"/>
  <c r="BO1148" i="123"/>
  <c r="H1158" i="123"/>
  <c r="I1158" i="123"/>
  <c r="J1158" i="123"/>
  <c r="K1158" i="123"/>
  <c r="L1158" i="123"/>
  <c r="M1158" i="123"/>
  <c r="N1158" i="123"/>
  <c r="O1158" i="123"/>
  <c r="P1158" i="123"/>
  <c r="Q1158" i="123"/>
  <c r="R1158" i="123"/>
  <c r="AE1158" i="123"/>
  <c r="AF1158" i="123"/>
  <c r="AG1158" i="123"/>
  <c r="AH1158" i="123"/>
  <c r="AI1158" i="123"/>
  <c r="AJ1158" i="123"/>
  <c r="AK1158" i="123"/>
  <c r="AL1158" i="123"/>
  <c r="AM1158" i="123"/>
  <c r="AN1158" i="123"/>
  <c r="AO1158" i="123"/>
  <c r="AP1158" i="123"/>
  <c r="AQ1158" i="123"/>
  <c r="AR1158" i="123"/>
  <c r="AS1158" i="123"/>
  <c r="AT1158" i="123"/>
  <c r="AU1158" i="123"/>
  <c r="AV1158" i="123"/>
  <c r="AW1158" i="123"/>
  <c r="AX1158" i="123"/>
  <c r="AY1158" i="123"/>
  <c r="AZ1158" i="123"/>
  <c r="BA1158" i="123"/>
  <c r="BB1158" i="123"/>
  <c r="BC1158" i="123"/>
  <c r="BD1158" i="123"/>
  <c r="BE1158" i="123"/>
  <c r="BF1158" i="123"/>
  <c r="BG1158" i="123"/>
  <c r="BH1158" i="123"/>
  <c r="BI1158" i="123"/>
  <c r="BJ1158" i="123"/>
  <c r="BK1158" i="123"/>
  <c r="BL1158" i="123"/>
  <c r="BM1158" i="123"/>
  <c r="BN1158" i="123"/>
  <c r="BO1158" i="123"/>
  <c r="H1166" i="123"/>
  <c r="I1166" i="123"/>
  <c r="J1166" i="123"/>
  <c r="K1166" i="123"/>
  <c r="L1166" i="123"/>
  <c r="M1166" i="123"/>
  <c r="N1166" i="123"/>
  <c r="O1166" i="123"/>
  <c r="P1166" i="123"/>
  <c r="Q1166" i="123"/>
  <c r="R1166" i="123"/>
  <c r="AE1166" i="123"/>
  <c r="AF1166" i="123"/>
  <c r="AG1166" i="123"/>
  <c r="AH1166" i="123"/>
  <c r="AI1166" i="123"/>
  <c r="AJ1166" i="123"/>
  <c r="AK1166" i="123"/>
  <c r="AL1166" i="123"/>
  <c r="AM1166" i="123"/>
  <c r="AN1166" i="123"/>
  <c r="AO1166" i="123"/>
  <c r="AP1166" i="123"/>
  <c r="AQ1166" i="123"/>
  <c r="AR1166" i="123"/>
  <c r="AS1166" i="123"/>
  <c r="AT1166" i="123"/>
  <c r="AU1166" i="123"/>
  <c r="AV1166" i="123"/>
  <c r="AW1166" i="123"/>
  <c r="AX1166" i="123"/>
  <c r="AY1166" i="123"/>
  <c r="AZ1166" i="123"/>
  <c r="BA1166" i="123"/>
  <c r="BB1166" i="123"/>
  <c r="BC1166" i="123"/>
  <c r="BD1166" i="123"/>
  <c r="BE1166" i="123"/>
  <c r="BF1166" i="123"/>
  <c r="BG1166" i="123"/>
  <c r="BH1166" i="123"/>
  <c r="BI1166" i="123"/>
  <c r="BJ1166" i="123"/>
  <c r="BK1166" i="123"/>
  <c r="BL1166" i="123"/>
  <c r="BM1166" i="123"/>
  <c r="BN1166" i="123"/>
  <c r="BO1166" i="123"/>
  <c r="H1177" i="123"/>
  <c r="I1177" i="123"/>
  <c r="J1177" i="123"/>
  <c r="K1177" i="123"/>
  <c r="L1177" i="123"/>
  <c r="M1177" i="123"/>
  <c r="N1177" i="123"/>
  <c r="O1177" i="123"/>
  <c r="P1177" i="123"/>
  <c r="Q1177" i="123"/>
  <c r="R1177" i="123"/>
  <c r="AE1177" i="123"/>
  <c r="AF1177" i="123"/>
  <c r="AG1177" i="123"/>
  <c r="AH1177" i="123"/>
  <c r="AI1177" i="123"/>
  <c r="AJ1177" i="123"/>
  <c r="AK1177" i="123"/>
  <c r="AL1177" i="123"/>
  <c r="AM1177" i="123"/>
  <c r="AN1177" i="123"/>
  <c r="AO1177" i="123"/>
  <c r="AP1177" i="123"/>
  <c r="AQ1177" i="123"/>
  <c r="AR1177" i="123"/>
  <c r="AS1177" i="123"/>
  <c r="AT1177" i="123"/>
  <c r="AU1177" i="123"/>
  <c r="AV1177" i="123"/>
  <c r="AW1177" i="123"/>
  <c r="AX1177" i="123"/>
  <c r="AY1177" i="123"/>
  <c r="AZ1177" i="123"/>
  <c r="BA1177" i="123"/>
  <c r="BB1177" i="123"/>
  <c r="BC1177" i="123"/>
  <c r="BD1177" i="123"/>
  <c r="BE1177" i="123"/>
  <c r="BF1177" i="123"/>
  <c r="BG1177" i="123"/>
  <c r="BH1177" i="123"/>
  <c r="BI1177" i="123"/>
  <c r="BJ1177" i="123"/>
  <c r="BK1177" i="123"/>
  <c r="BL1177" i="123"/>
  <c r="BM1177" i="123"/>
  <c r="BN1177" i="123"/>
  <c r="BO1177" i="123"/>
  <c r="G1177" i="123"/>
  <c r="G1166" i="123"/>
  <c r="G1158" i="123"/>
  <c r="G1148" i="123"/>
  <c r="G1138" i="123"/>
  <c r="G1129" i="123"/>
  <c r="G1121" i="123"/>
  <c r="G1115" i="123"/>
  <c r="G1107" i="123"/>
  <c r="G1093" i="123"/>
  <c r="G1089" i="123"/>
  <c r="G1069" i="123"/>
  <c r="G1054" i="123"/>
  <c r="BO1043" i="123"/>
  <c r="BN1043" i="123"/>
  <c r="BM1043" i="123"/>
  <c r="BL1043" i="123"/>
  <c r="BK1043" i="123"/>
  <c r="BJ1043" i="123"/>
  <c r="BI1043" i="123"/>
  <c r="BH1043" i="123"/>
  <c r="BG1043" i="123"/>
  <c r="BF1043" i="123"/>
  <c r="BE1043" i="123"/>
  <c r="BD1043" i="123"/>
  <c r="BC1043" i="123"/>
  <c r="BB1043" i="123"/>
  <c r="BA1043" i="123"/>
  <c r="AZ1043" i="123"/>
  <c r="AY1043" i="123"/>
  <c r="AX1043" i="123"/>
  <c r="AW1043" i="123"/>
  <c r="AV1043" i="123"/>
  <c r="AU1043" i="123"/>
  <c r="AT1043" i="123"/>
  <c r="AS1043" i="123"/>
  <c r="AR1043" i="123"/>
  <c r="AQ1043" i="123"/>
  <c r="AP1043" i="123"/>
  <c r="AO1043" i="123"/>
  <c r="AN1043" i="123"/>
  <c r="AM1043" i="123"/>
  <c r="AL1043" i="123"/>
  <c r="AK1043" i="123"/>
  <c r="AJ1043" i="123"/>
  <c r="AI1043" i="123"/>
  <c r="AH1043" i="123"/>
  <c r="AG1043" i="123"/>
  <c r="AF1043" i="123"/>
  <c r="AE1043" i="123"/>
  <c r="R1043" i="123"/>
  <c r="Q1043" i="123"/>
  <c r="P1043" i="123"/>
  <c r="O1043" i="123"/>
  <c r="N1043" i="123"/>
  <c r="M1043" i="123"/>
  <c r="L1043" i="123"/>
  <c r="K1043" i="123"/>
  <c r="J1043" i="123"/>
  <c r="I1043" i="123"/>
  <c r="H1043" i="123"/>
  <c r="G1043" i="123"/>
  <c r="BO1039" i="123"/>
  <c r="BN1039" i="123"/>
  <c r="BM1039" i="123"/>
  <c r="BL1039" i="123"/>
  <c r="BK1039" i="123"/>
  <c r="BJ1039" i="123"/>
  <c r="BI1039" i="123"/>
  <c r="BH1039" i="123"/>
  <c r="BG1039" i="123"/>
  <c r="BF1039" i="123"/>
  <c r="BE1039" i="123"/>
  <c r="BD1039" i="123"/>
  <c r="BC1039" i="123"/>
  <c r="BB1039" i="123"/>
  <c r="BA1039" i="123"/>
  <c r="AZ1039" i="123"/>
  <c r="AY1039" i="123"/>
  <c r="AX1039" i="123"/>
  <c r="AW1039" i="123"/>
  <c r="AV1039" i="123"/>
  <c r="AU1039" i="123"/>
  <c r="AT1039" i="123"/>
  <c r="AS1039" i="123"/>
  <c r="AR1039" i="123"/>
  <c r="AQ1039" i="123"/>
  <c r="AP1039" i="123"/>
  <c r="AO1039" i="123"/>
  <c r="AN1039" i="123"/>
  <c r="AM1039" i="123"/>
  <c r="AL1039" i="123"/>
  <c r="AK1039" i="123"/>
  <c r="AJ1039" i="123"/>
  <c r="AI1039" i="123"/>
  <c r="AH1039" i="123"/>
  <c r="AG1039" i="123"/>
  <c r="AF1039" i="123"/>
  <c r="AE1039" i="123"/>
  <c r="R1039" i="123"/>
  <c r="Q1039" i="123"/>
  <c r="P1039" i="123"/>
  <c r="O1039" i="123"/>
  <c r="N1039" i="123"/>
  <c r="M1039" i="123"/>
  <c r="L1039" i="123"/>
  <c r="K1039" i="123"/>
  <c r="J1039" i="123"/>
  <c r="I1039" i="123"/>
  <c r="H1039" i="123"/>
  <c r="G1039" i="123"/>
  <c r="BO1033" i="123"/>
  <c r="BN1033" i="123"/>
  <c r="BM1033" i="123"/>
  <c r="BL1033" i="123"/>
  <c r="BK1033" i="123"/>
  <c r="BJ1033" i="123"/>
  <c r="BI1033" i="123"/>
  <c r="BH1033" i="123"/>
  <c r="BG1033" i="123"/>
  <c r="BF1033" i="123"/>
  <c r="BE1033" i="123"/>
  <c r="BD1033" i="123"/>
  <c r="BC1033" i="123"/>
  <c r="BB1033" i="123"/>
  <c r="BA1033" i="123"/>
  <c r="AZ1033" i="123"/>
  <c r="AY1033" i="123"/>
  <c r="AX1033" i="123"/>
  <c r="AW1033" i="123"/>
  <c r="AV1033" i="123"/>
  <c r="AU1033" i="123"/>
  <c r="AT1033" i="123"/>
  <c r="AS1033" i="123"/>
  <c r="AR1033" i="123"/>
  <c r="AQ1033" i="123"/>
  <c r="AP1033" i="123"/>
  <c r="AO1033" i="123"/>
  <c r="AN1033" i="123"/>
  <c r="AM1033" i="123"/>
  <c r="AL1033" i="123"/>
  <c r="AK1033" i="123"/>
  <c r="AJ1033" i="123"/>
  <c r="AI1033" i="123"/>
  <c r="AH1033" i="123"/>
  <c r="AG1033" i="123"/>
  <c r="AF1033" i="123"/>
  <c r="AE1033" i="123"/>
  <c r="R1033" i="123"/>
  <c r="Q1033" i="123"/>
  <c r="P1033" i="123"/>
  <c r="O1033" i="123"/>
  <c r="N1033" i="123"/>
  <c r="M1033" i="123"/>
  <c r="L1033" i="123"/>
  <c r="K1033" i="123"/>
  <c r="J1033" i="123"/>
  <c r="I1033" i="123"/>
  <c r="H1033" i="123"/>
  <c r="G1033" i="123"/>
  <c r="BO1024" i="123"/>
  <c r="BN1024" i="123"/>
  <c r="BM1024" i="123"/>
  <c r="BL1024" i="123"/>
  <c r="BK1024" i="123"/>
  <c r="BJ1024" i="123"/>
  <c r="BI1024" i="123"/>
  <c r="BH1024" i="123"/>
  <c r="BG1024" i="123"/>
  <c r="BF1024" i="123"/>
  <c r="BE1024" i="123"/>
  <c r="BD1024" i="123"/>
  <c r="BC1024" i="123"/>
  <c r="BB1024" i="123"/>
  <c r="BA1024" i="123"/>
  <c r="AZ1024" i="123"/>
  <c r="AY1024" i="123"/>
  <c r="AX1024" i="123"/>
  <c r="AW1024" i="123"/>
  <c r="AV1024" i="123"/>
  <c r="AU1024" i="123"/>
  <c r="AT1024" i="123"/>
  <c r="AS1024" i="123"/>
  <c r="AR1024" i="123"/>
  <c r="AQ1024" i="123"/>
  <c r="AP1024" i="123"/>
  <c r="AO1024" i="123"/>
  <c r="AN1024" i="123"/>
  <c r="AM1024" i="123"/>
  <c r="AL1024" i="123"/>
  <c r="AK1024" i="123"/>
  <c r="AJ1024" i="123"/>
  <c r="AI1024" i="123"/>
  <c r="AH1024" i="123"/>
  <c r="AG1024" i="123"/>
  <c r="AF1024" i="123"/>
  <c r="AE1024" i="123"/>
  <c r="R1024" i="123"/>
  <c r="Q1024" i="123"/>
  <c r="P1024" i="123"/>
  <c r="O1024" i="123"/>
  <c r="N1024" i="123"/>
  <c r="M1024" i="123"/>
  <c r="L1024" i="123"/>
  <c r="K1024" i="123"/>
  <c r="J1024" i="123"/>
  <c r="I1024" i="123"/>
  <c r="H1024" i="123"/>
  <c r="G1024" i="123"/>
  <c r="H1009" i="123"/>
  <c r="I1009" i="123"/>
  <c r="J1009" i="123"/>
  <c r="K1009" i="123"/>
  <c r="L1009" i="123"/>
  <c r="M1009" i="123"/>
  <c r="N1009" i="123"/>
  <c r="O1009" i="123"/>
  <c r="P1009" i="123"/>
  <c r="Q1009" i="123"/>
  <c r="R1009" i="123"/>
  <c r="AE1009" i="123"/>
  <c r="AF1009" i="123"/>
  <c r="AG1009" i="123"/>
  <c r="AH1009" i="123"/>
  <c r="AI1009" i="123"/>
  <c r="AJ1009" i="123"/>
  <c r="AK1009" i="123"/>
  <c r="AL1009" i="123"/>
  <c r="AM1009" i="123"/>
  <c r="AN1009" i="123"/>
  <c r="AO1009" i="123"/>
  <c r="AP1009" i="123"/>
  <c r="AQ1009" i="123"/>
  <c r="AR1009" i="123"/>
  <c r="AS1009" i="123"/>
  <c r="AT1009" i="123"/>
  <c r="AU1009" i="123"/>
  <c r="AV1009" i="123"/>
  <c r="AW1009" i="123"/>
  <c r="AX1009" i="123"/>
  <c r="AY1009" i="123"/>
  <c r="AZ1009" i="123"/>
  <c r="BA1009" i="123"/>
  <c r="BB1009" i="123"/>
  <c r="BC1009" i="123"/>
  <c r="BD1009" i="123"/>
  <c r="BE1009" i="123"/>
  <c r="BF1009" i="123"/>
  <c r="BG1009" i="123"/>
  <c r="BH1009" i="123"/>
  <c r="BI1009" i="123"/>
  <c r="BJ1009" i="123"/>
  <c r="BK1009" i="123"/>
  <c r="BL1009" i="123"/>
  <c r="BM1009" i="123"/>
  <c r="BN1009" i="123"/>
  <c r="BO1009" i="123"/>
  <c r="G1009" i="123"/>
  <c r="H998" i="123"/>
  <c r="D18" i="135" s="1"/>
  <c r="I998" i="123"/>
  <c r="E18" i="135" s="1"/>
  <c r="J998" i="123"/>
  <c r="F18" i="135" s="1"/>
  <c r="K998" i="123"/>
  <c r="G18" i="135" s="1"/>
  <c r="L998" i="123"/>
  <c r="H18" i="135" s="1"/>
  <c r="M998" i="123"/>
  <c r="I18" i="135" s="1"/>
  <c r="N998" i="123"/>
  <c r="J18" i="135" s="1"/>
  <c r="O998" i="123"/>
  <c r="K18" i="135" s="1"/>
  <c r="P998" i="123"/>
  <c r="L18" i="135" s="1"/>
  <c r="Q998" i="123"/>
  <c r="M18" i="135" s="1"/>
  <c r="R998" i="123"/>
  <c r="N18" i="135" s="1"/>
  <c r="AE998" i="123"/>
  <c r="AF998" i="123"/>
  <c r="AG998" i="123"/>
  <c r="AH998" i="123"/>
  <c r="AI998" i="123"/>
  <c r="AJ998" i="123"/>
  <c r="AK998" i="123"/>
  <c r="AL998" i="123"/>
  <c r="AM998" i="123"/>
  <c r="AN998" i="123"/>
  <c r="AO998" i="123"/>
  <c r="AP998" i="123"/>
  <c r="AQ998" i="123"/>
  <c r="AR998" i="123"/>
  <c r="AS998" i="123"/>
  <c r="AT998" i="123"/>
  <c r="AU998" i="123"/>
  <c r="AV998" i="123"/>
  <c r="AW998" i="123"/>
  <c r="AX998" i="123"/>
  <c r="AY998" i="123"/>
  <c r="AZ998" i="123"/>
  <c r="BA998" i="123"/>
  <c r="BB998" i="123"/>
  <c r="BC998" i="123"/>
  <c r="BD998" i="123"/>
  <c r="BE998" i="123"/>
  <c r="BF998" i="123"/>
  <c r="BG998" i="123"/>
  <c r="BH998" i="123"/>
  <c r="BI998" i="123"/>
  <c r="BJ998" i="123"/>
  <c r="BK998" i="123"/>
  <c r="BL998" i="123"/>
  <c r="BM998" i="123"/>
  <c r="BN998" i="123"/>
  <c r="BO998" i="123"/>
  <c r="G998" i="123"/>
  <c r="C18" i="135" s="1"/>
  <c r="H990" i="123"/>
  <c r="I990" i="123"/>
  <c r="J990" i="123"/>
  <c r="K990" i="123"/>
  <c r="L990" i="123"/>
  <c r="M990" i="123"/>
  <c r="N990" i="123"/>
  <c r="O990" i="123"/>
  <c r="P990" i="123"/>
  <c r="Q990" i="123"/>
  <c r="R990" i="123"/>
  <c r="AE990" i="123"/>
  <c r="AF990" i="123"/>
  <c r="AG990" i="123"/>
  <c r="AH990" i="123"/>
  <c r="AI990" i="123"/>
  <c r="AJ990" i="123"/>
  <c r="AK990" i="123"/>
  <c r="AL990" i="123"/>
  <c r="AM990" i="123"/>
  <c r="AN990" i="123"/>
  <c r="AO990" i="123"/>
  <c r="AP990" i="123"/>
  <c r="AQ990" i="123"/>
  <c r="AR990" i="123"/>
  <c r="AS990" i="123"/>
  <c r="AT990" i="123"/>
  <c r="AU990" i="123"/>
  <c r="AV990" i="123"/>
  <c r="AW990" i="123"/>
  <c r="AX990" i="123"/>
  <c r="AY990" i="123"/>
  <c r="AZ990" i="123"/>
  <c r="BA990" i="123"/>
  <c r="BB990" i="123"/>
  <c r="BC990" i="123"/>
  <c r="BD990" i="123"/>
  <c r="BE990" i="123"/>
  <c r="BF990" i="123"/>
  <c r="BG990" i="123"/>
  <c r="BH990" i="123"/>
  <c r="BI990" i="123"/>
  <c r="BJ990" i="123"/>
  <c r="BK990" i="123"/>
  <c r="BL990" i="123"/>
  <c r="BM990" i="123"/>
  <c r="BN990" i="123"/>
  <c r="BO990" i="123"/>
  <c r="G990" i="123"/>
  <c r="H980" i="123"/>
  <c r="I980" i="123"/>
  <c r="J980" i="123"/>
  <c r="K980" i="123"/>
  <c r="L980" i="123"/>
  <c r="M980" i="123"/>
  <c r="N980" i="123"/>
  <c r="O980" i="123"/>
  <c r="P980" i="123"/>
  <c r="Q980" i="123"/>
  <c r="R980" i="123"/>
  <c r="AE980" i="123"/>
  <c r="AF980" i="123"/>
  <c r="AG980" i="123"/>
  <c r="AH980" i="123"/>
  <c r="AI980" i="123"/>
  <c r="AJ980" i="123"/>
  <c r="AK980" i="123"/>
  <c r="AL980" i="123"/>
  <c r="AM980" i="123"/>
  <c r="AN980" i="123"/>
  <c r="AO980" i="123"/>
  <c r="AP980" i="123"/>
  <c r="AQ980" i="123"/>
  <c r="AR980" i="123"/>
  <c r="AS980" i="123"/>
  <c r="AT980" i="123"/>
  <c r="AU980" i="123"/>
  <c r="AV980" i="123"/>
  <c r="AW980" i="123"/>
  <c r="AX980" i="123"/>
  <c r="AY980" i="123"/>
  <c r="AZ980" i="123"/>
  <c r="BA980" i="123"/>
  <c r="BB980" i="123"/>
  <c r="BC980" i="123"/>
  <c r="BD980" i="123"/>
  <c r="BE980" i="123"/>
  <c r="BF980" i="123"/>
  <c r="BG980" i="123"/>
  <c r="BH980" i="123"/>
  <c r="BI980" i="123"/>
  <c r="BJ980" i="123"/>
  <c r="BK980" i="123"/>
  <c r="BL980" i="123"/>
  <c r="BM980" i="123"/>
  <c r="BN980" i="123"/>
  <c r="BO980" i="123"/>
  <c r="G980" i="123"/>
  <c r="H970" i="123"/>
  <c r="I970" i="123"/>
  <c r="J970" i="123"/>
  <c r="K970" i="123"/>
  <c r="L970" i="123"/>
  <c r="M970" i="123"/>
  <c r="N970" i="123"/>
  <c r="O970" i="123"/>
  <c r="P970" i="123"/>
  <c r="Q970" i="123"/>
  <c r="R970" i="123"/>
  <c r="AE970" i="123"/>
  <c r="AF970" i="123"/>
  <c r="AG970" i="123"/>
  <c r="AH970" i="123"/>
  <c r="AI970" i="123"/>
  <c r="AJ970" i="123"/>
  <c r="AK970" i="123"/>
  <c r="AL970" i="123"/>
  <c r="AM970" i="123"/>
  <c r="AN970" i="123"/>
  <c r="AO970" i="123"/>
  <c r="AP970" i="123"/>
  <c r="AQ970" i="123"/>
  <c r="AR970" i="123"/>
  <c r="AS970" i="123"/>
  <c r="AT970" i="123"/>
  <c r="AU970" i="123"/>
  <c r="AV970" i="123"/>
  <c r="AW970" i="123"/>
  <c r="AX970" i="123"/>
  <c r="AY970" i="123"/>
  <c r="AZ970" i="123"/>
  <c r="BA970" i="123"/>
  <c r="BB970" i="123"/>
  <c r="BC970" i="123"/>
  <c r="BD970" i="123"/>
  <c r="BE970" i="123"/>
  <c r="BF970" i="123"/>
  <c r="BG970" i="123"/>
  <c r="BH970" i="123"/>
  <c r="BI970" i="123"/>
  <c r="BJ970" i="123"/>
  <c r="BK970" i="123"/>
  <c r="BL970" i="123"/>
  <c r="BM970" i="123"/>
  <c r="BN970" i="123"/>
  <c r="BO970" i="123"/>
  <c r="G970" i="123"/>
  <c r="H961" i="123"/>
  <c r="I961" i="123"/>
  <c r="J961" i="123"/>
  <c r="K961" i="123"/>
  <c r="L961" i="123"/>
  <c r="M961" i="123"/>
  <c r="N961" i="123"/>
  <c r="O961" i="123"/>
  <c r="P961" i="123"/>
  <c r="Q961" i="123"/>
  <c r="R961" i="123"/>
  <c r="AE961" i="123"/>
  <c r="AF961" i="123"/>
  <c r="AG961" i="123"/>
  <c r="AH961" i="123"/>
  <c r="AI961" i="123"/>
  <c r="AJ961" i="123"/>
  <c r="AK961" i="123"/>
  <c r="AL961" i="123"/>
  <c r="AM961" i="123"/>
  <c r="AN961" i="123"/>
  <c r="AO961" i="123"/>
  <c r="AP961" i="123"/>
  <c r="AQ961" i="123"/>
  <c r="AR961" i="123"/>
  <c r="AS961" i="123"/>
  <c r="AT961" i="123"/>
  <c r="AU961" i="123"/>
  <c r="AV961" i="123"/>
  <c r="AW961" i="123"/>
  <c r="AX961" i="123"/>
  <c r="AY961" i="123"/>
  <c r="AZ961" i="123"/>
  <c r="BA961" i="123"/>
  <c r="BB961" i="123"/>
  <c r="BC961" i="123"/>
  <c r="BD961" i="123"/>
  <c r="BE961" i="123"/>
  <c r="BF961" i="123"/>
  <c r="BG961" i="123"/>
  <c r="BH961" i="123"/>
  <c r="BI961" i="123"/>
  <c r="BJ961" i="123"/>
  <c r="BK961" i="123"/>
  <c r="BL961" i="123"/>
  <c r="BM961" i="123"/>
  <c r="BN961" i="123"/>
  <c r="BO961" i="123"/>
  <c r="G961" i="123"/>
  <c r="H953" i="123"/>
  <c r="I953" i="123"/>
  <c r="J953" i="123"/>
  <c r="K953" i="123"/>
  <c r="L953" i="123"/>
  <c r="M953" i="123"/>
  <c r="N953" i="123"/>
  <c r="O953" i="123"/>
  <c r="P953" i="123"/>
  <c r="Q953" i="123"/>
  <c r="R953" i="123"/>
  <c r="AE953" i="123"/>
  <c r="AF953" i="123"/>
  <c r="AG953" i="123"/>
  <c r="AH953" i="123"/>
  <c r="AI953" i="123"/>
  <c r="AJ953" i="123"/>
  <c r="AK953" i="123"/>
  <c r="AL953" i="123"/>
  <c r="AM953" i="123"/>
  <c r="AN953" i="123"/>
  <c r="AO953" i="123"/>
  <c r="AP953" i="123"/>
  <c r="AQ953" i="123"/>
  <c r="AR953" i="123"/>
  <c r="AS953" i="123"/>
  <c r="AT953" i="123"/>
  <c r="AU953" i="123"/>
  <c r="AV953" i="123"/>
  <c r="AW953" i="123"/>
  <c r="AX953" i="123"/>
  <c r="AY953" i="123"/>
  <c r="AZ953" i="123"/>
  <c r="BA953" i="123"/>
  <c r="BB953" i="123"/>
  <c r="BC953" i="123"/>
  <c r="BD953" i="123"/>
  <c r="BE953" i="123"/>
  <c r="BF953" i="123"/>
  <c r="BG953" i="123"/>
  <c r="BH953" i="123"/>
  <c r="BI953" i="123"/>
  <c r="BJ953" i="123"/>
  <c r="BK953" i="123"/>
  <c r="BL953" i="123"/>
  <c r="BM953" i="123"/>
  <c r="BN953" i="123"/>
  <c r="BO953" i="123"/>
  <c r="G953" i="123"/>
  <c r="H947" i="123"/>
  <c r="I947" i="123"/>
  <c r="J947" i="123"/>
  <c r="K947" i="123"/>
  <c r="L947" i="123"/>
  <c r="M947" i="123"/>
  <c r="N947" i="123"/>
  <c r="O947" i="123"/>
  <c r="P947" i="123"/>
  <c r="Q947" i="123"/>
  <c r="R947" i="123"/>
  <c r="AE947" i="123"/>
  <c r="AF947" i="123"/>
  <c r="AG947" i="123"/>
  <c r="AH947" i="123"/>
  <c r="AI947" i="123"/>
  <c r="AJ947" i="123"/>
  <c r="AK947" i="123"/>
  <c r="AL947" i="123"/>
  <c r="AM947" i="123"/>
  <c r="AN947" i="123"/>
  <c r="AO947" i="123"/>
  <c r="AP947" i="123"/>
  <c r="AQ947" i="123"/>
  <c r="AR947" i="123"/>
  <c r="AS947" i="123"/>
  <c r="AT947" i="123"/>
  <c r="AU947" i="123"/>
  <c r="AV947" i="123"/>
  <c r="AW947" i="123"/>
  <c r="AX947" i="123"/>
  <c r="AY947" i="123"/>
  <c r="AZ947" i="123"/>
  <c r="BA947" i="123"/>
  <c r="BB947" i="123"/>
  <c r="BC947" i="123"/>
  <c r="BD947" i="123"/>
  <c r="BE947" i="123"/>
  <c r="BF947" i="123"/>
  <c r="BG947" i="123"/>
  <c r="BH947" i="123"/>
  <c r="BI947" i="123"/>
  <c r="BJ947" i="123"/>
  <c r="BK947" i="123"/>
  <c r="BL947" i="123"/>
  <c r="BM947" i="123"/>
  <c r="BN947" i="123"/>
  <c r="BO947" i="123"/>
  <c r="G947" i="123"/>
  <c r="H939" i="123"/>
  <c r="D29" i="135" s="1"/>
  <c r="I939" i="123"/>
  <c r="E29" i="135" s="1"/>
  <c r="J939" i="123"/>
  <c r="F29" i="135" s="1"/>
  <c r="K939" i="123"/>
  <c r="G29" i="135" s="1"/>
  <c r="L939" i="123"/>
  <c r="H29" i="135" s="1"/>
  <c r="M939" i="123"/>
  <c r="I29" i="135" s="1"/>
  <c r="N939" i="123"/>
  <c r="J29" i="135" s="1"/>
  <c r="O939" i="123"/>
  <c r="K29" i="135" s="1"/>
  <c r="P939" i="123"/>
  <c r="L29" i="135" s="1"/>
  <c r="Q939" i="123"/>
  <c r="M29" i="135" s="1"/>
  <c r="R939" i="123"/>
  <c r="N29" i="135" s="1"/>
  <c r="AE939" i="123"/>
  <c r="AF939" i="123"/>
  <c r="AG939" i="123"/>
  <c r="AH939" i="123"/>
  <c r="AI939" i="123"/>
  <c r="AJ939" i="123"/>
  <c r="AK939" i="123"/>
  <c r="AL939" i="123"/>
  <c r="AM939" i="123"/>
  <c r="AN939" i="123"/>
  <c r="AO939" i="123"/>
  <c r="AP939" i="123"/>
  <c r="AQ939" i="123"/>
  <c r="AR939" i="123"/>
  <c r="AS939" i="123"/>
  <c r="AT939" i="123"/>
  <c r="AU939" i="123"/>
  <c r="AV939" i="123"/>
  <c r="AW939" i="123"/>
  <c r="AX939" i="123"/>
  <c r="AY939" i="123"/>
  <c r="AZ939" i="123"/>
  <c r="BA939" i="123"/>
  <c r="BB939" i="123"/>
  <c r="BC939" i="123"/>
  <c r="BD939" i="123"/>
  <c r="BE939" i="123"/>
  <c r="BF939" i="123"/>
  <c r="BG939" i="123"/>
  <c r="BH939" i="123"/>
  <c r="BI939" i="123"/>
  <c r="BJ939" i="123"/>
  <c r="BK939" i="123"/>
  <c r="BL939" i="123"/>
  <c r="BM939" i="123"/>
  <c r="BN939" i="123"/>
  <c r="BO939" i="123"/>
  <c r="G939" i="123"/>
  <c r="C29" i="135" s="1"/>
  <c r="O29" i="135" s="1"/>
  <c r="O40" i="135" s="1"/>
  <c r="O42" i="135" s="1"/>
  <c r="H925" i="123"/>
  <c r="I925" i="123"/>
  <c r="J925" i="123"/>
  <c r="K925" i="123"/>
  <c r="L925" i="123"/>
  <c r="M925" i="123"/>
  <c r="N925" i="123"/>
  <c r="O925" i="123"/>
  <c r="P925" i="123"/>
  <c r="Q925" i="123"/>
  <c r="R925" i="123"/>
  <c r="AE925" i="123"/>
  <c r="AF925" i="123"/>
  <c r="AG925" i="123"/>
  <c r="AH925" i="123"/>
  <c r="AI925" i="123"/>
  <c r="AJ925" i="123"/>
  <c r="AK925" i="123"/>
  <c r="AL925" i="123"/>
  <c r="AM925" i="123"/>
  <c r="AN925" i="123"/>
  <c r="AO925" i="123"/>
  <c r="AP925" i="123"/>
  <c r="AQ925" i="123"/>
  <c r="AR925" i="123"/>
  <c r="AS925" i="123"/>
  <c r="AT925" i="123"/>
  <c r="AU925" i="123"/>
  <c r="AV925" i="123"/>
  <c r="AW925" i="123"/>
  <c r="AX925" i="123"/>
  <c r="AY925" i="123"/>
  <c r="AZ925" i="123"/>
  <c r="BA925" i="123"/>
  <c r="BB925" i="123"/>
  <c r="BC925" i="123"/>
  <c r="BD925" i="123"/>
  <c r="BE925" i="123"/>
  <c r="BF925" i="123"/>
  <c r="BG925" i="123"/>
  <c r="BH925" i="123"/>
  <c r="BI925" i="123"/>
  <c r="BJ925" i="123"/>
  <c r="BK925" i="123"/>
  <c r="BL925" i="123"/>
  <c r="BM925" i="123"/>
  <c r="BN925" i="123"/>
  <c r="BO925" i="123"/>
  <c r="G925" i="123"/>
  <c r="H921" i="123"/>
  <c r="I921" i="123"/>
  <c r="J921" i="123"/>
  <c r="K921" i="123"/>
  <c r="L921" i="123"/>
  <c r="M921" i="123"/>
  <c r="N921" i="123"/>
  <c r="O921" i="123"/>
  <c r="P921" i="123"/>
  <c r="Q921" i="123"/>
  <c r="R921" i="123"/>
  <c r="AE921" i="123"/>
  <c r="AF921" i="123"/>
  <c r="AG921" i="123"/>
  <c r="AH921" i="123"/>
  <c r="AI921" i="123"/>
  <c r="AJ921" i="123"/>
  <c r="AK921" i="123"/>
  <c r="AL921" i="123"/>
  <c r="AM921" i="123"/>
  <c r="AN921" i="123"/>
  <c r="AO921" i="123"/>
  <c r="AP921" i="123"/>
  <c r="AQ921" i="123"/>
  <c r="AR921" i="123"/>
  <c r="AS921" i="123"/>
  <c r="AT921" i="123"/>
  <c r="AU921" i="123"/>
  <c r="AV921" i="123"/>
  <c r="AW921" i="123"/>
  <c r="AX921" i="123"/>
  <c r="AY921" i="123"/>
  <c r="AZ921" i="123"/>
  <c r="BA921" i="123"/>
  <c r="BB921" i="123"/>
  <c r="BC921" i="123"/>
  <c r="BD921" i="123"/>
  <c r="BE921" i="123"/>
  <c r="BF921" i="123"/>
  <c r="BG921" i="123"/>
  <c r="BH921" i="123"/>
  <c r="BI921" i="123"/>
  <c r="BJ921" i="123"/>
  <c r="BK921" i="123"/>
  <c r="BL921" i="123"/>
  <c r="BM921" i="123"/>
  <c r="BN921" i="123"/>
  <c r="BO921" i="123"/>
  <c r="H901" i="123"/>
  <c r="I901" i="123"/>
  <c r="J901" i="123"/>
  <c r="K901" i="123"/>
  <c r="L901" i="123"/>
  <c r="M901" i="123"/>
  <c r="N901" i="123"/>
  <c r="O901" i="123"/>
  <c r="P901" i="123"/>
  <c r="Q901" i="123"/>
  <c r="R901" i="123"/>
  <c r="AE901" i="123"/>
  <c r="AF901" i="123"/>
  <c r="AG901" i="123"/>
  <c r="AH901" i="123"/>
  <c r="AI901" i="123"/>
  <c r="AJ901" i="123"/>
  <c r="AK901" i="123"/>
  <c r="AL901" i="123"/>
  <c r="AM901" i="123"/>
  <c r="AN901" i="123"/>
  <c r="AO901" i="123"/>
  <c r="AP901" i="123"/>
  <c r="AQ901" i="123"/>
  <c r="AR901" i="123"/>
  <c r="AS901" i="123"/>
  <c r="AT901" i="123"/>
  <c r="AU901" i="123"/>
  <c r="AV901" i="123"/>
  <c r="AW901" i="123"/>
  <c r="AX901" i="123"/>
  <c r="AY901" i="123"/>
  <c r="AZ901" i="123"/>
  <c r="BA901" i="123"/>
  <c r="BB901" i="123"/>
  <c r="BC901" i="123"/>
  <c r="BD901" i="123"/>
  <c r="BE901" i="123"/>
  <c r="BF901" i="123"/>
  <c r="BG901" i="123"/>
  <c r="BH901" i="123"/>
  <c r="BI901" i="123"/>
  <c r="BJ901" i="123"/>
  <c r="BK901" i="123"/>
  <c r="BL901" i="123"/>
  <c r="BM901" i="123"/>
  <c r="BN901" i="123"/>
  <c r="BO901" i="123"/>
  <c r="H886" i="123"/>
  <c r="I886" i="123"/>
  <c r="J886" i="123"/>
  <c r="K886" i="123"/>
  <c r="L886" i="123"/>
  <c r="M886" i="123"/>
  <c r="N886" i="123"/>
  <c r="O886" i="123"/>
  <c r="P886" i="123"/>
  <c r="Q886" i="123"/>
  <c r="R886" i="123"/>
  <c r="AE886" i="123"/>
  <c r="AF886" i="123"/>
  <c r="AG886" i="123"/>
  <c r="AH886" i="123"/>
  <c r="AI886" i="123"/>
  <c r="AJ886" i="123"/>
  <c r="AK886" i="123"/>
  <c r="AL886" i="123"/>
  <c r="AM886" i="123"/>
  <c r="AN886" i="123"/>
  <c r="AO886" i="123"/>
  <c r="AP886" i="123"/>
  <c r="AQ886" i="123"/>
  <c r="AR886" i="123"/>
  <c r="AS886" i="123"/>
  <c r="AT886" i="123"/>
  <c r="AU886" i="123"/>
  <c r="AV886" i="123"/>
  <c r="AW886" i="123"/>
  <c r="AX886" i="123"/>
  <c r="AY886" i="123"/>
  <c r="AZ886" i="123"/>
  <c r="BA886" i="123"/>
  <c r="BB886" i="123"/>
  <c r="BC886" i="123"/>
  <c r="BD886" i="123"/>
  <c r="BE886" i="123"/>
  <c r="BF886" i="123"/>
  <c r="BG886" i="123"/>
  <c r="BH886" i="123"/>
  <c r="BI886" i="123"/>
  <c r="BJ886" i="123"/>
  <c r="BK886" i="123"/>
  <c r="BL886" i="123"/>
  <c r="BM886" i="123"/>
  <c r="BN886" i="123"/>
  <c r="BO886" i="123"/>
  <c r="G886" i="123"/>
  <c r="H875" i="123"/>
  <c r="I875" i="123"/>
  <c r="J875" i="123"/>
  <c r="K875" i="123"/>
  <c r="L875" i="123"/>
  <c r="M875" i="123"/>
  <c r="N875" i="123"/>
  <c r="O875" i="123"/>
  <c r="P875" i="123"/>
  <c r="Q875" i="123"/>
  <c r="R875" i="123"/>
  <c r="AE875" i="123"/>
  <c r="AF875" i="123"/>
  <c r="AG875" i="123"/>
  <c r="AH875" i="123"/>
  <c r="AI875" i="123"/>
  <c r="AJ875" i="123"/>
  <c r="AK875" i="123"/>
  <c r="AL875" i="123"/>
  <c r="AM875" i="123"/>
  <c r="AN875" i="123"/>
  <c r="AO875" i="123"/>
  <c r="AP875" i="123"/>
  <c r="AQ875" i="123"/>
  <c r="AR875" i="123"/>
  <c r="AS875" i="123"/>
  <c r="AT875" i="123"/>
  <c r="AU875" i="123"/>
  <c r="AV875" i="123"/>
  <c r="AW875" i="123"/>
  <c r="AX875" i="123"/>
  <c r="AY875" i="123"/>
  <c r="AZ875" i="123"/>
  <c r="BA875" i="123"/>
  <c r="BB875" i="123"/>
  <c r="BC875" i="123"/>
  <c r="BD875" i="123"/>
  <c r="BE875" i="123"/>
  <c r="BF875" i="123"/>
  <c r="BG875" i="123"/>
  <c r="BH875" i="123"/>
  <c r="BI875" i="123"/>
  <c r="BJ875" i="123"/>
  <c r="BK875" i="123"/>
  <c r="BL875" i="123"/>
  <c r="BM875" i="123"/>
  <c r="BN875" i="123"/>
  <c r="BO875" i="123"/>
  <c r="G875" i="123"/>
  <c r="H871" i="123"/>
  <c r="I871" i="123"/>
  <c r="J871" i="123"/>
  <c r="K871" i="123"/>
  <c r="L871" i="123"/>
  <c r="M871" i="123"/>
  <c r="N871" i="123"/>
  <c r="O871" i="123"/>
  <c r="P871" i="123"/>
  <c r="Q871" i="123"/>
  <c r="R871" i="123"/>
  <c r="AE871" i="123"/>
  <c r="AF871" i="123"/>
  <c r="AG871" i="123"/>
  <c r="AH871" i="123"/>
  <c r="AI871" i="123"/>
  <c r="AJ871" i="123"/>
  <c r="AK871" i="123"/>
  <c r="AL871" i="123"/>
  <c r="AM871" i="123"/>
  <c r="AN871" i="123"/>
  <c r="AO871" i="123"/>
  <c r="AP871" i="123"/>
  <c r="AQ871" i="123"/>
  <c r="AR871" i="123"/>
  <c r="AS871" i="123"/>
  <c r="AT871" i="123"/>
  <c r="AU871" i="123"/>
  <c r="AV871" i="123"/>
  <c r="AW871" i="123"/>
  <c r="AX871" i="123"/>
  <c r="AY871" i="123"/>
  <c r="AZ871" i="123"/>
  <c r="BA871" i="123"/>
  <c r="BB871" i="123"/>
  <c r="BC871" i="123"/>
  <c r="BD871" i="123"/>
  <c r="BE871" i="123"/>
  <c r="BF871" i="123"/>
  <c r="BG871" i="123"/>
  <c r="BH871" i="123"/>
  <c r="BI871" i="123"/>
  <c r="BJ871" i="123"/>
  <c r="BK871" i="123"/>
  <c r="BL871" i="123"/>
  <c r="BM871" i="123"/>
  <c r="BN871" i="123"/>
  <c r="BO871" i="123"/>
  <c r="G871" i="123"/>
  <c r="G921" i="123"/>
  <c r="G901" i="123"/>
  <c r="BO865" i="123"/>
  <c r="BN865" i="123"/>
  <c r="BM865" i="123"/>
  <c r="BL865" i="123"/>
  <c r="BK865" i="123"/>
  <c r="BJ865" i="123"/>
  <c r="BI865" i="123"/>
  <c r="BH865" i="123"/>
  <c r="BG865" i="123"/>
  <c r="BF865" i="123"/>
  <c r="BE865" i="123"/>
  <c r="BD865" i="123"/>
  <c r="BC865" i="123"/>
  <c r="BB865" i="123"/>
  <c r="BA865" i="123"/>
  <c r="AZ865" i="123"/>
  <c r="AY865" i="123"/>
  <c r="AX865" i="123"/>
  <c r="AW865" i="123"/>
  <c r="AV865" i="123"/>
  <c r="AU865" i="123"/>
  <c r="AT865" i="123"/>
  <c r="AS865" i="123"/>
  <c r="AR865" i="123"/>
  <c r="AQ865" i="123"/>
  <c r="AP865" i="123"/>
  <c r="AO865" i="123"/>
  <c r="AN865" i="123"/>
  <c r="AM865" i="123"/>
  <c r="AL865" i="123"/>
  <c r="AK865" i="123"/>
  <c r="AJ865" i="123"/>
  <c r="AI865" i="123"/>
  <c r="AH865" i="123"/>
  <c r="AG865" i="123"/>
  <c r="AF865" i="123"/>
  <c r="AE865" i="123"/>
  <c r="R865" i="123"/>
  <c r="Q865" i="123"/>
  <c r="P865" i="123"/>
  <c r="O865" i="123"/>
  <c r="N865" i="123"/>
  <c r="M865" i="123"/>
  <c r="L865" i="123"/>
  <c r="K865" i="123"/>
  <c r="J865" i="123"/>
  <c r="I865" i="123"/>
  <c r="H865" i="123"/>
  <c r="G865" i="123"/>
  <c r="BO856" i="123"/>
  <c r="BN856" i="123"/>
  <c r="BM856" i="123"/>
  <c r="BL856" i="123"/>
  <c r="BK856" i="123"/>
  <c r="BJ856" i="123"/>
  <c r="BI856" i="123"/>
  <c r="BH856" i="123"/>
  <c r="BG856" i="123"/>
  <c r="BF856" i="123"/>
  <c r="BE856" i="123"/>
  <c r="BD856" i="123"/>
  <c r="BC856" i="123"/>
  <c r="BB856" i="123"/>
  <c r="BA856" i="123"/>
  <c r="AZ856" i="123"/>
  <c r="AY856" i="123"/>
  <c r="AX856" i="123"/>
  <c r="AW856" i="123"/>
  <c r="AV856" i="123"/>
  <c r="AU856" i="123"/>
  <c r="AT856" i="123"/>
  <c r="AS856" i="123"/>
  <c r="AR856" i="123"/>
  <c r="AQ856" i="123"/>
  <c r="AP856" i="123"/>
  <c r="AO856" i="123"/>
  <c r="AN856" i="123"/>
  <c r="AM856" i="123"/>
  <c r="AL856" i="123"/>
  <c r="AK856" i="123"/>
  <c r="AJ856" i="123"/>
  <c r="AI856" i="123"/>
  <c r="AH856" i="123"/>
  <c r="AG856" i="123"/>
  <c r="AF856" i="123"/>
  <c r="AE856" i="123"/>
  <c r="R856" i="123"/>
  <c r="Q856" i="123"/>
  <c r="P856" i="123"/>
  <c r="O856" i="123"/>
  <c r="N856" i="123"/>
  <c r="M856" i="123"/>
  <c r="L856" i="123"/>
  <c r="K856" i="123"/>
  <c r="J856" i="123"/>
  <c r="I856" i="123"/>
  <c r="H856" i="123"/>
  <c r="G856" i="123"/>
  <c r="BO830" i="123"/>
  <c r="H830" i="123"/>
  <c r="D18" i="141" s="1"/>
  <c r="I830" i="123"/>
  <c r="E18" i="141" s="1"/>
  <c r="J830" i="123"/>
  <c r="F18" i="141" s="1"/>
  <c r="K830" i="123"/>
  <c r="G18" i="141" s="1"/>
  <c r="L830" i="123"/>
  <c r="H18" i="141" s="1"/>
  <c r="M830" i="123"/>
  <c r="I18" i="141" s="1"/>
  <c r="N830" i="123"/>
  <c r="J18" i="141" s="1"/>
  <c r="O830" i="123"/>
  <c r="K18" i="141" s="1"/>
  <c r="P830" i="123"/>
  <c r="L18" i="141" s="1"/>
  <c r="Q830" i="123"/>
  <c r="M18" i="141" s="1"/>
  <c r="R830" i="123"/>
  <c r="N18" i="141" s="1"/>
  <c r="AE830" i="123"/>
  <c r="AF830" i="123"/>
  <c r="AG830" i="123"/>
  <c r="AH830" i="123"/>
  <c r="AI830" i="123"/>
  <c r="AJ830" i="123"/>
  <c r="AK830" i="123"/>
  <c r="AL830" i="123"/>
  <c r="AM830" i="123"/>
  <c r="AN830" i="123"/>
  <c r="AO830" i="123"/>
  <c r="AP830" i="123"/>
  <c r="AQ830" i="123"/>
  <c r="AR830" i="123"/>
  <c r="AS830" i="123"/>
  <c r="AT830" i="123"/>
  <c r="AU830" i="123"/>
  <c r="AV830" i="123"/>
  <c r="AW830" i="123"/>
  <c r="AX830" i="123"/>
  <c r="AY830" i="123"/>
  <c r="AZ830" i="123"/>
  <c r="BA830" i="123"/>
  <c r="BB830" i="123"/>
  <c r="BC830" i="123"/>
  <c r="BD830" i="123"/>
  <c r="BE830" i="123"/>
  <c r="BF830" i="123"/>
  <c r="BG830" i="123"/>
  <c r="BH830" i="123"/>
  <c r="BI830" i="123"/>
  <c r="BJ830" i="123"/>
  <c r="BK830" i="123"/>
  <c r="BL830" i="123"/>
  <c r="BM830" i="123"/>
  <c r="BN830" i="123"/>
  <c r="G830" i="123"/>
  <c r="C18" i="141" s="1"/>
  <c r="G733" i="123"/>
  <c r="G707" i="123"/>
  <c r="G697" i="123"/>
  <c r="H697" i="123"/>
  <c r="I697" i="123"/>
  <c r="J697" i="123"/>
  <c r="K697" i="123"/>
  <c r="L697" i="123"/>
  <c r="M697" i="123"/>
  <c r="N697" i="123"/>
  <c r="O697" i="123"/>
  <c r="P697" i="123"/>
  <c r="Q697" i="123"/>
  <c r="R697" i="123"/>
  <c r="AE697" i="123"/>
  <c r="AF697" i="123"/>
  <c r="AG697" i="123"/>
  <c r="AH697" i="123"/>
  <c r="AI697" i="123"/>
  <c r="AJ697" i="123"/>
  <c r="AK697" i="123"/>
  <c r="AL697" i="123"/>
  <c r="AM697" i="123"/>
  <c r="AN697" i="123"/>
  <c r="AO697" i="123"/>
  <c r="AP697" i="123"/>
  <c r="AQ697" i="123"/>
  <c r="AR697" i="123"/>
  <c r="AS697" i="123"/>
  <c r="AT697" i="123"/>
  <c r="AU697" i="123"/>
  <c r="AV697" i="123"/>
  <c r="AW697" i="123"/>
  <c r="AX697" i="123"/>
  <c r="AY697" i="123"/>
  <c r="AZ697" i="123"/>
  <c r="BA697" i="123"/>
  <c r="BB697" i="123"/>
  <c r="BC697" i="123"/>
  <c r="BD697" i="123"/>
  <c r="BE697" i="123"/>
  <c r="BF697" i="123"/>
  <c r="BG697" i="123"/>
  <c r="BH697" i="123"/>
  <c r="BI697" i="123"/>
  <c r="BJ697" i="123"/>
  <c r="BK697" i="123"/>
  <c r="BL697" i="123"/>
  <c r="BM697" i="123"/>
  <c r="BN697" i="123"/>
  <c r="BO697" i="123"/>
  <c r="H703" i="123"/>
  <c r="I703" i="123"/>
  <c r="J703" i="123"/>
  <c r="K703" i="123"/>
  <c r="L703" i="123"/>
  <c r="M703" i="123"/>
  <c r="N703" i="123"/>
  <c r="O703" i="123"/>
  <c r="P703" i="123"/>
  <c r="Q703" i="123"/>
  <c r="R703" i="123"/>
  <c r="AE703" i="123"/>
  <c r="AF703" i="123"/>
  <c r="AG703" i="123"/>
  <c r="AH703" i="123"/>
  <c r="AI703" i="123"/>
  <c r="AJ703" i="123"/>
  <c r="AK703" i="123"/>
  <c r="AL703" i="123"/>
  <c r="AM703" i="123"/>
  <c r="AN703" i="123"/>
  <c r="AO703" i="123"/>
  <c r="AP703" i="123"/>
  <c r="AQ703" i="123"/>
  <c r="AR703" i="123"/>
  <c r="AS703" i="123"/>
  <c r="AT703" i="123"/>
  <c r="AU703" i="123"/>
  <c r="AV703" i="123"/>
  <c r="AW703" i="123"/>
  <c r="AX703" i="123"/>
  <c r="AY703" i="123"/>
  <c r="AZ703" i="123"/>
  <c r="BA703" i="123"/>
  <c r="BB703" i="123"/>
  <c r="BC703" i="123"/>
  <c r="BD703" i="123"/>
  <c r="BE703" i="123"/>
  <c r="BF703" i="123"/>
  <c r="BG703" i="123"/>
  <c r="BH703" i="123"/>
  <c r="BI703" i="123"/>
  <c r="BJ703" i="123"/>
  <c r="BK703" i="123"/>
  <c r="BL703" i="123"/>
  <c r="BM703" i="123"/>
  <c r="BN703" i="123"/>
  <c r="BO703" i="123"/>
  <c r="H707" i="123"/>
  <c r="I707" i="123"/>
  <c r="J707" i="123"/>
  <c r="K707" i="123"/>
  <c r="L707" i="123"/>
  <c r="M707" i="123"/>
  <c r="N707" i="123"/>
  <c r="O707" i="123"/>
  <c r="P707" i="123"/>
  <c r="Q707" i="123"/>
  <c r="R707" i="123"/>
  <c r="AE707" i="123"/>
  <c r="AF707" i="123"/>
  <c r="AG707" i="123"/>
  <c r="AH707" i="123"/>
  <c r="AI707" i="123"/>
  <c r="AJ707" i="123"/>
  <c r="AK707" i="123"/>
  <c r="AL707" i="123"/>
  <c r="AM707" i="123"/>
  <c r="AN707" i="123"/>
  <c r="AO707" i="123"/>
  <c r="AP707" i="123"/>
  <c r="AQ707" i="123"/>
  <c r="AR707" i="123"/>
  <c r="AS707" i="123"/>
  <c r="AT707" i="123"/>
  <c r="AU707" i="123"/>
  <c r="AV707" i="123"/>
  <c r="AW707" i="123"/>
  <c r="AX707" i="123"/>
  <c r="AY707" i="123"/>
  <c r="AZ707" i="123"/>
  <c r="BA707" i="123"/>
  <c r="BB707" i="123"/>
  <c r="BC707" i="123"/>
  <c r="BD707" i="123"/>
  <c r="BE707" i="123"/>
  <c r="BF707" i="123"/>
  <c r="BG707" i="123"/>
  <c r="BH707" i="123"/>
  <c r="BI707" i="123"/>
  <c r="BJ707" i="123"/>
  <c r="BK707" i="123"/>
  <c r="BL707" i="123"/>
  <c r="BM707" i="123"/>
  <c r="BN707" i="123"/>
  <c r="BO707" i="123"/>
  <c r="H718" i="123"/>
  <c r="I718" i="123"/>
  <c r="J718" i="123"/>
  <c r="K718" i="123"/>
  <c r="L718" i="123"/>
  <c r="M718" i="123"/>
  <c r="N718" i="123"/>
  <c r="O718" i="123"/>
  <c r="P718" i="123"/>
  <c r="Q718" i="123"/>
  <c r="R718" i="123"/>
  <c r="AE718" i="123"/>
  <c r="AF718" i="123"/>
  <c r="AG718" i="123"/>
  <c r="AH718" i="123"/>
  <c r="AI718" i="123"/>
  <c r="AJ718" i="123"/>
  <c r="AK718" i="123"/>
  <c r="AL718" i="123"/>
  <c r="AM718" i="123"/>
  <c r="AN718" i="123"/>
  <c r="AO718" i="123"/>
  <c r="AP718" i="123"/>
  <c r="AQ718" i="123"/>
  <c r="AR718" i="123"/>
  <c r="AS718" i="123"/>
  <c r="AT718" i="123"/>
  <c r="AU718" i="123"/>
  <c r="AV718" i="123"/>
  <c r="AW718" i="123"/>
  <c r="AX718" i="123"/>
  <c r="AY718" i="123"/>
  <c r="AZ718" i="123"/>
  <c r="BA718" i="123"/>
  <c r="BB718" i="123"/>
  <c r="BC718" i="123"/>
  <c r="BD718" i="123"/>
  <c r="BE718" i="123"/>
  <c r="BF718" i="123"/>
  <c r="BG718" i="123"/>
  <c r="BH718" i="123"/>
  <c r="BI718" i="123"/>
  <c r="BJ718" i="123"/>
  <c r="BK718" i="123"/>
  <c r="BL718" i="123"/>
  <c r="BM718" i="123"/>
  <c r="BN718" i="123"/>
  <c r="BO718" i="123"/>
  <c r="G718" i="123"/>
  <c r="H733" i="123"/>
  <c r="I733" i="123"/>
  <c r="J733" i="123"/>
  <c r="K733" i="123"/>
  <c r="L733" i="123"/>
  <c r="M733" i="123"/>
  <c r="N733" i="123"/>
  <c r="O733" i="123"/>
  <c r="P733" i="123"/>
  <c r="Q733" i="123"/>
  <c r="R733" i="123"/>
  <c r="AE733" i="123"/>
  <c r="AF733" i="123"/>
  <c r="AG733" i="123"/>
  <c r="AH733" i="123"/>
  <c r="AI733" i="123"/>
  <c r="AJ733" i="123"/>
  <c r="AK733" i="123"/>
  <c r="AL733" i="123"/>
  <c r="AM733" i="123"/>
  <c r="AN733" i="123"/>
  <c r="AO733" i="123"/>
  <c r="AP733" i="123"/>
  <c r="AQ733" i="123"/>
  <c r="AR733" i="123"/>
  <c r="AS733" i="123"/>
  <c r="AT733" i="123"/>
  <c r="AU733" i="123"/>
  <c r="AV733" i="123"/>
  <c r="AW733" i="123"/>
  <c r="AX733" i="123"/>
  <c r="AY733" i="123"/>
  <c r="AZ733" i="123"/>
  <c r="BA733" i="123"/>
  <c r="BB733" i="123"/>
  <c r="BC733" i="123"/>
  <c r="BD733" i="123"/>
  <c r="BE733" i="123"/>
  <c r="BF733" i="123"/>
  <c r="BG733" i="123"/>
  <c r="BH733" i="123"/>
  <c r="BI733" i="123"/>
  <c r="BJ733" i="123"/>
  <c r="BK733" i="123"/>
  <c r="BL733" i="123"/>
  <c r="BM733" i="123"/>
  <c r="BN733" i="123"/>
  <c r="BO733" i="123"/>
  <c r="H753" i="123"/>
  <c r="I753" i="123"/>
  <c r="J753" i="123"/>
  <c r="K753" i="123"/>
  <c r="L753" i="123"/>
  <c r="M753" i="123"/>
  <c r="N753" i="123"/>
  <c r="O753" i="123"/>
  <c r="P753" i="123"/>
  <c r="Q753" i="123"/>
  <c r="R753" i="123"/>
  <c r="AE753" i="123"/>
  <c r="AF753" i="123"/>
  <c r="AG753" i="123"/>
  <c r="AH753" i="123"/>
  <c r="AI753" i="123"/>
  <c r="AJ753" i="123"/>
  <c r="AK753" i="123"/>
  <c r="AL753" i="123"/>
  <c r="AM753" i="123"/>
  <c r="AN753" i="123"/>
  <c r="AO753" i="123"/>
  <c r="AP753" i="123"/>
  <c r="AQ753" i="123"/>
  <c r="AR753" i="123"/>
  <c r="AS753" i="123"/>
  <c r="AT753" i="123"/>
  <c r="AU753" i="123"/>
  <c r="AV753" i="123"/>
  <c r="AW753" i="123"/>
  <c r="AX753" i="123"/>
  <c r="AY753" i="123"/>
  <c r="AZ753" i="123"/>
  <c r="BA753" i="123"/>
  <c r="BB753" i="123"/>
  <c r="BC753" i="123"/>
  <c r="BD753" i="123"/>
  <c r="BE753" i="123"/>
  <c r="BF753" i="123"/>
  <c r="BG753" i="123"/>
  <c r="BH753" i="123"/>
  <c r="BI753" i="123"/>
  <c r="BJ753" i="123"/>
  <c r="BK753" i="123"/>
  <c r="BL753" i="123"/>
  <c r="BM753" i="123"/>
  <c r="BN753" i="123"/>
  <c r="BO753" i="123"/>
  <c r="H757" i="123"/>
  <c r="I757" i="123"/>
  <c r="J757" i="123"/>
  <c r="K757" i="123"/>
  <c r="L757" i="123"/>
  <c r="M757" i="123"/>
  <c r="N757" i="123"/>
  <c r="O757" i="123"/>
  <c r="P757" i="123"/>
  <c r="Q757" i="123"/>
  <c r="R757" i="123"/>
  <c r="AE757" i="123"/>
  <c r="AF757" i="123"/>
  <c r="AG757" i="123"/>
  <c r="AH757" i="123"/>
  <c r="AI757" i="123"/>
  <c r="AJ757" i="123"/>
  <c r="AK757" i="123"/>
  <c r="AL757" i="123"/>
  <c r="AM757" i="123"/>
  <c r="AN757" i="123"/>
  <c r="AO757" i="123"/>
  <c r="AP757" i="123"/>
  <c r="AQ757" i="123"/>
  <c r="AR757" i="123"/>
  <c r="AS757" i="123"/>
  <c r="AT757" i="123"/>
  <c r="AU757" i="123"/>
  <c r="AV757" i="123"/>
  <c r="AW757" i="123"/>
  <c r="AX757" i="123"/>
  <c r="AY757" i="123"/>
  <c r="AZ757" i="123"/>
  <c r="BA757" i="123"/>
  <c r="BB757" i="123"/>
  <c r="BC757" i="123"/>
  <c r="BD757" i="123"/>
  <c r="BE757" i="123"/>
  <c r="BF757" i="123"/>
  <c r="BG757" i="123"/>
  <c r="BH757" i="123"/>
  <c r="BI757" i="123"/>
  <c r="BJ757" i="123"/>
  <c r="BK757" i="123"/>
  <c r="BL757" i="123"/>
  <c r="BM757" i="123"/>
  <c r="BN757" i="123"/>
  <c r="BO757" i="123"/>
  <c r="G753" i="123"/>
  <c r="H771" i="123"/>
  <c r="D29" i="141" s="1"/>
  <c r="D40" i="141" s="1"/>
  <c r="I771" i="123"/>
  <c r="E29" i="141" s="1"/>
  <c r="E40" i="141" s="1"/>
  <c r="J771" i="123"/>
  <c r="F29" i="141" s="1"/>
  <c r="F40" i="141" s="1"/>
  <c r="K771" i="123"/>
  <c r="G29" i="141" s="1"/>
  <c r="G40" i="141" s="1"/>
  <c r="L771" i="123"/>
  <c r="H29" i="141" s="1"/>
  <c r="H40" i="141" s="1"/>
  <c r="M771" i="123"/>
  <c r="I29" i="141" s="1"/>
  <c r="I40" i="141" s="1"/>
  <c r="N771" i="123"/>
  <c r="J29" i="141" s="1"/>
  <c r="J40" i="141" s="1"/>
  <c r="O771" i="123"/>
  <c r="K29" i="141" s="1"/>
  <c r="K40" i="141" s="1"/>
  <c r="P771" i="123"/>
  <c r="L29" i="141" s="1"/>
  <c r="L40" i="141" s="1"/>
  <c r="Q771" i="123"/>
  <c r="M29" i="141" s="1"/>
  <c r="M40" i="141" s="1"/>
  <c r="R771" i="123"/>
  <c r="N29" i="141" s="1"/>
  <c r="N40" i="141" s="1"/>
  <c r="AE771" i="123"/>
  <c r="AF771" i="123"/>
  <c r="AG771" i="123"/>
  <c r="AH771" i="123"/>
  <c r="AI771" i="123"/>
  <c r="AJ771" i="123"/>
  <c r="AK771" i="123"/>
  <c r="AL771" i="123"/>
  <c r="AM771" i="123"/>
  <c r="AN771" i="123"/>
  <c r="AO771" i="123"/>
  <c r="AP771" i="123"/>
  <c r="AQ771" i="123"/>
  <c r="AR771" i="123"/>
  <c r="AS771" i="123"/>
  <c r="AT771" i="123"/>
  <c r="AU771" i="123"/>
  <c r="AV771" i="123"/>
  <c r="AW771" i="123"/>
  <c r="AX771" i="123"/>
  <c r="AY771" i="123"/>
  <c r="AZ771" i="123"/>
  <c r="BA771" i="123"/>
  <c r="BB771" i="123"/>
  <c r="BC771" i="123"/>
  <c r="BD771" i="123"/>
  <c r="BE771" i="123"/>
  <c r="BF771" i="123"/>
  <c r="BG771" i="123"/>
  <c r="BH771" i="123"/>
  <c r="BI771" i="123"/>
  <c r="BJ771" i="123"/>
  <c r="BK771" i="123"/>
  <c r="BL771" i="123"/>
  <c r="BM771" i="123"/>
  <c r="BN771" i="123"/>
  <c r="BO771" i="123"/>
  <c r="G771" i="123"/>
  <c r="C29" i="141" s="1"/>
  <c r="C40" i="141" s="1"/>
  <c r="H779" i="123"/>
  <c r="I779" i="123"/>
  <c r="J779" i="123"/>
  <c r="K779" i="123"/>
  <c r="L779" i="123"/>
  <c r="M779" i="123"/>
  <c r="N779" i="123"/>
  <c r="O779" i="123"/>
  <c r="P779" i="123"/>
  <c r="Q779" i="123"/>
  <c r="R779" i="123"/>
  <c r="AE779" i="123"/>
  <c r="AF779" i="123"/>
  <c r="AG779" i="123"/>
  <c r="AH779" i="123"/>
  <c r="AI779" i="123"/>
  <c r="AJ779" i="123"/>
  <c r="AK779" i="123"/>
  <c r="AL779" i="123"/>
  <c r="AM779" i="123"/>
  <c r="AN779" i="123"/>
  <c r="AO779" i="123"/>
  <c r="AP779" i="123"/>
  <c r="AQ779" i="123"/>
  <c r="AR779" i="123"/>
  <c r="AS779" i="123"/>
  <c r="AT779" i="123"/>
  <c r="AU779" i="123"/>
  <c r="AV779" i="123"/>
  <c r="AW779" i="123"/>
  <c r="AX779" i="123"/>
  <c r="AY779" i="123"/>
  <c r="AZ779" i="123"/>
  <c r="BA779" i="123"/>
  <c r="BB779" i="123"/>
  <c r="BC779" i="123"/>
  <c r="BD779" i="123"/>
  <c r="BE779" i="123"/>
  <c r="BF779" i="123"/>
  <c r="BG779" i="123"/>
  <c r="BH779" i="123"/>
  <c r="BI779" i="123"/>
  <c r="BJ779" i="123"/>
  <c r="BK779" i="123"/>
  <c r="BL779" i="123"/>
  <c r="BM779" i="123"/>
  <c r="BN779" i="123"/>
  <c r="BO779" i="123"/>
  <c r="G779" i="123"/>
  <c r="H785" i="123"/>
  <c r="I785" i="123"/>
  <c r="J785" i="123"/>
  <c r="K785" i="123"/>
  <c r="L785" i="123"/>
  <c r="M785" i="123"/>
  <c r="N785" i="123"/>
  <c r="O785" i="123"/>
  <c r="P785" i="123"/>
  <c r="Q785" i="123"/>
  <c r="R785" i="123"/>
  <c r="AE785" i="123"/>
  <c r="AF785" i="123"/>
  <c r="AG785" i="123"/>
  <c r="AH785" i="123"/>
  <c r="AI785" i="123"/>
  <c r="AJ785" i="123"/>
  <c r="AK785" i="123"/>
  <c r="AL785" i="123"/>
  <c r="AM785" i="123"/>
  <c r="AN785" i="123"/>
  <c r="AO785" i="123"/>
  <c r="AP785" i="123"/>
  <c r="AQ785" i="123"/>
  <c r="AR785" i="123"/>
  <c r="AS785" i="123"/>
  <c r="AT785" i="123"/>
  <c r="AU785" i="123"/>
  <c r="AV785" i="123"/>
  <c r="AW785" i="123"/>
  <c r="AX785" i="123"/>
  <c r="AY785" i="123"/>
  <c r="AZ785" i="123"/>
  <c r="BA785" i="123"/>
  <c r="BB785" i="123"/>
  <c r="BC785" i="123"/>
  <c r="BD785" i="123"/>
  <c r="BE785" i="123"/>
  <c r="BF785" i="123"/>
  <c r="BG785" i="123"/>
  <c r="BH785" i="123"/>
  <c r="BI785" i="123"/>
  <c r="BJ785" i="123"/>
  <c r="BK785" i="123"/>
  <c r="BL785" i="123"/>
  <c r="BM785" i="123"/>
  <c r="BN785" i="123"/>
  <c r="BO785" i="123"/>
  <c r="G785" i="123"/>
  <c r="H793" i="123"/>
  <c r="I793" i="123"/>
  <c r="J793" i="123"/>
  <c r="K793" i="123"/>
  <c r="L793" i="123"/>
  <c r="M793" i="123"/>
  <c r="N793" i="123"/>
  <c r="O793" i="123"/>
  <c r="P793" i="123"/>
  <c r="Q793" i="123"/>
  <c r="R793" i="123"/>
  <c r="AE793" i="123"/>
  <c r="AF793" i="123"/>
  <c r="AG793" i="123"/>
  <c r="AH793" i="123"/>
  <c r="AI793" i="123"/>
  <c r="AJ793" i="123"/>
  <c r="AK793" i="123"/>
  <c r="AL793" i="123"/>
  <c r="AM793" i="123"/>
  <c r="AN793" i="123"/>
  <c r="AO793" i="123"/>
  <c r="AP793" i="123"/>
  <c r="AQ793" i="123"/>
  <c r="AR793" i="123"/>
  <c r="AS793" i="123"/>
  <c r="AT793" i="123"/>
  <c r="AU793" i="123"/>
  <c r="AV793" i="123"/>
  <c r="AW793" i="123"/>
  <c r="AX793" i="123"/>
  <c r="AY793" i="123"/>
  <c r="AZ793" i="123"/>
  <c r="BA793" i="123"/>
  <c r="BB793" i="123"/>
  <c r="BC793" i="123"/>
  <c r="BD793" i="123"/>
  <c r="BE793" i="123"/>
  <c r="BF793" i="123"/>
  <c r="BG793" i="123"/>
  <c r="BH793" i="123"/>
  <c r="BI793" i="123"/>
  <c r="BJ793" i="123"/>
  <c r="BK793" i="123"/>
  <c r="BL793" i="123"/>
  <c r="BM793" i="123"/>
  <c r="BN793" i="123"/>
  <c r="BO793" i="123"/>
  <c r="G793" i="123"/>
  <c r="H802" i="123"/>
  <c r="I802" i="123"/>
  <c r="J802" i="123"/>
  <c r="K802" i="123"/>
  <c r="L802" i="123"/>
  <c r="M802" i="123"/>
  <c r="N802" i="123"/>
  <c r="O802" i="123"/>
  <c r="P802" i="123"/>
  <c r="Q802" i="123"/>
  <c r="R802" i="123"/>
  <c r="AE802" i="123"/>
  <c r="AF802" i="123"/>
  <c r="AG802" i="123"/>
  <c r="AH802" i="123"/>
  <c r="AI802" i="123"/>
  <c r="AJ802" i="123"/>
  <c r="AK802" i="123"/>
  <c r="AL802" i="123"/>
  <c r="AM802" i="123"/>
  <c r="AN802" i="123"/>
  <c r="AO802" i="123"/>
  <c r="AP802" i="123"/>
  <c r="AQ802" i="123"/>
  <c r="AR802" i="123"/>
  <c r="AS802" i="123"/>
  <c r="AT802" i="123"/>
  <c r="AU802" i="123"/>
  <c r="AV802" i="123"/>
  <c r="AW802" i="123"/>
  <c r="AX802" i="123"/>
  <c r="AY802" i="123"/>
  <c r="AZ802" i="123"/>
  <c r="BA802" i="123"/>
  <c r="BB802" i="123"/>
  <c r="BC802" i="123"/>
  <c r="BD802" i="123"/>
  <c r="BE802" i="123"/>
  <c r="BF802" i="123"/>
  <c r="BG802" i="123"/>
  <c r="BH802" i="123"/>
  <c r="BI802" i="123"/>
  <c r="BJ802" i="123"/>
  <c r="BK802" i="123"/>
  <c r="BL802" i="123"/>
  <c r="BM802" i="123"/>
  <c r="BN802" i="123"/>
  <c r="BO802" i="123"/>
  <c r="G802" i="123"/>
  <c r="H812" i="123"/>
  <c r="I812" i="123"/>
  <c r="J812" i="123"/>
  <c r="K812" i="123"/>
  <c r="L812" i="123"/>
  <c r="M812" i="123"/>
  <c r="N812" i="123"/>
  <c r="O812" i="123"/>
  <c r="P812" i="123"/>
  <c r="Q812" i="123"/>
  <c r="R812" i="123"/>
  <c r="AE812" i="123"/>
  <c r="AF812" i="123"/>
  <c r="AG812" i="123"/>
  <c r="AH812" i="123"/>
  <c r="AI812" i="123"/>
  <c r="AJ812" i="123"/>
  <c r="AK812" i="123"/>
  <c r="AL812" i="123"/>
  <c r="AM812" i="123"/>
  <c r="AN812" i="123"/>
  <c r="AO812" i="123"/>
  <c r="AP812" i="123"/>
  <c r="AQ812" i="123"/>
  <c r="AR812" i="123"/>
  <c r="AS812" i="123"/>
  <c r="AT812" i="123"/>
  <c r="AU812" i="123"/>
  <c r="AV812" i="123"/>
  <c r="AW812" i="123"/>
  <c r="AX812" i="123"/>
  <c r="AY812" i="123"/>
  <c r="AZ812" i="123"/>
  <c r="BA812" i="123"/>
  <c r="BB812" i="123"/>
  <c r="BC812" i="123"/>
  <c r="BD812" i="123"/>
  <c r="BE812" i="123"/>
  <c r="BF812" i="123"/>
  <c r="BG812" i="123"/>
  <c r="BH812" i="123"/>
  <c r="BI812" i="123"/>
  <c r="BJ812" i="123"/>
  <c r="BK812" i="123"/>
  <c r="BL812" i="123"/>
  <c r="BM812" i="123"/>
  <c r="BN812" i="123"/>
  <c r="BO812" i="123"/>
  <c r="G812" i="123"/>
  <c r="H822" i="123"/>
  <c r="I822" i="123"/>
  <c r="J822" i="123"/>
  <c r="K822" i="123"/>
  <c r="L822" i="123"/>
  <c r="M822" i="123"/>
  <c r="N822" i="123"/>
  <c r="O822" i="123"/>
  <c r="P822" i="123"/>
  <c r="Q822" i="123"/>
  <c r="R822" i="123"/>
  <c r="AE822" i="123"/>
  <c r="AF822" i="123"/>
  <c r="AG822" i="123"/>
  <c r="AH822" i="123"/>
  <c r="AI822" i="123"/>
  <c r="AJ822" i="123"/>
  <c r="AK822" i="123"/>
  <c r="AL822" i="123"/>
  <c r="AM822" i="123"/>
  <c r="AN822" i="123"/>
  <c r="AO822" i="123"/>
  <c r="AP822" i="123"/>
  <c r="AQ822" i="123"/>
  <c r="AR822" i="123"/>
  <c r="AS822" i="123"/>
  <c r="AT822" i="123"/>
  <c r="AU822" i="123"/>
  <c r="AV822" i="123"/>
  <c r="AW822" i="123"/>
  <c r="AX822" i="123"/>
  <c r="AY822" i="123"/>
  <c r="AZ822" i="123"/>
  <c r="BA822" i="123"/>
  <c r="BB822" i="123"/>
  <c r="BC822" i="123"/>
  <c r="BD822" i="123"/>
  <c r="BE822" i="123"/>
  <c r="BF822" i="123"/>
  <c r="BG822" i="123"/>
  <c r="BH822" i="123"/>
  <c r="BI822" i="123"/>
  <c r="BJ822" i="123"/>
  <c r="BK822" i="123"/>
  <c r="BL822" i="123"/>
  <c r="BM822" i="123"/>
  <c r="BN822" i="123"/>
  <c r="BO822" i="123"/>
  <c r="G822" i="123"/>
  <c r="H841" i="123"/>
  <c r="I841" i="123"/>
  <c r="J841" i="123"/>
  <c r="K841" i="123"/>
  <c r="L841" i="123"/>
  <c r="M841" i="123"/>
  <c r="N841" i="123"/>
  <c r="O841" i="123"/>
  <c r="P841" i="123"/>
  <c r="Q841" i="123"/>
  <c r="R841" i="123"/>
  <c r="AE841" i="123"/>
  <c r="AF841" i="123"/>
  <c r="AG841" i="123"/>
  <c r="AH841" i="123"/>
  <c r="AI841" i="123"/>
  <c r="AJ841" i="123"/>
  <c r="AK841" i="123"/>
  <c r="AL841" i="123"/>
  <c r="AM841" i="123"/>
  <c r="AN841" i="123"/>
  <c r="AO841" i="123"/>
  <c r="AP841" i="123"/>
  <c r="AQ841" i="123"/>
  <c r="AR841" i="123"/>
  <c r="AS841" i="123"/>
  <c r="AT841" i="123"/>
  <c r="AU841" i="123"/>
  <c r="AV841" i="123"/>
  <c r="AW841" i="123"/>
  <c r="AX841" i="123"/>
  <c r="AY841" i="123"/>
  <c r="AZ841" i="123"/>
  <c r="BA841" i="123"/>
  <c r="BB841" i="123"/>
  <c r="BC841" i="123"/>
  <c r="BD841" i="123"/>
  <c r="BE841" i="123"/>
  <c r="BF841" i="123"/>
  <c r="BG841" i="123"/>
  <c r="BH841" i="123"/>
  <c r="BI841" i="123"/>
  <c r="BJ841" i="123"/>
  <c r="BK841" i="123"/>
  <c r="BL841" i="123"/>
  <c r="BM841" i="123"/>
  <c r="BN841" i="123"/>
  <c r="BO841" i="123"/>
  <c r="G841" i="123"/>
  <c r="G757" i="123"/>
  <c r="G703" i="123"/>
  <c r="BO688" i="123"/>
  <c r="BN688" i="123"/>
  <c r="BM688" i="123"/>
  <c r="BL688" i="123"/>
  <c r="BK688" i="123"/>
  <c r="BJ688" i="123"/>
  <c r="BI688" i="123"/>
  <c r="BH688" i="123"/>
  <c r="BG688" i="123"/>
  <c r="BF688" i="123"/>
  <c r="BE688" i="123"/>
  <c r="BD688" i="123"/>
  <c r="BC688" i="123"/>
  <c r="BB688" i="123"/>
  <c r="BA688" i="123"/>
  <c r="AZ688" i="123"/>
  <c r="AY688" i="123"/>
  <c r="AX688" i="123"/>
  <c r="AW688" i="123"/>
  <c r="AV688" i="123"/>
  <c r="AU688" i="123"/>
  <c r="AT688" i="123"/>
  <c r="AS688" i="123"/>
  <c r="AR688" i="123"/>
  <c r="AQ688" i="123"/>
  <c r="AP688" i="123"/>
  <c r="AO688" i="123"/>
  <c r="AN688" i="123"/>
  <c r="AM688" i="123"/>
  <c r="AL688" i="123"/>
  <c r="AK688" i="123"/>
  <c r="AJ688" i="123"/>
  <c r="AI688" i="123"/>
  <c r="AH688" i="123"/>
  <c r="AG688" i="123"/>
  <c r="AF688" i="123"/>
  <c r="AE688" i="123"/>
  <c r="R688" i="123"/>
  <c r="Q688" i="123"/>
  <c r="P688" i="123"/>
  <c r="O688" i="123"/>
  <c r="N688" i="123"/>
  <c r="M688" i="123"/>
  <c r="L688" i="123"/>
  <c r="K688" i="123"/>
  <c r="J688" i="123"/>
  <c r="I688" i="123"/>
  <c r="H688" i="123"/>
  <c r="G688" i="123"/>
  <c r="AQ5" i="126" l="1"/>
  <c r="AP5" i="126"/>
  <c r="AV5" i="126"/>
  <c r="AT5" i="126"/>
  <c r="AY5" i="126"/>
  <c r="AX5" i="126"/>
  <c r="AC5" i="126"/>
  <c r="AZ5" i="126"/>
  <c r="AR5" i="126"/>
  <c r="AO5" i="126"/>
  <c r="AW5" i="126"/>
  <c r="AU5" i="126"/>
  <c r="AD40" i="141"/>
  <c r="AD42" i="141" s="1"/>
  <c r="AF40" i="141"/>
  <c r="AF42" i="141" s="1"/>
  <c r="AG29" i="141"/>
  <c r="AH29" i="141" s="1"/>
  <c r="AE40" i="141"/>
  <c r="AE42" i="141" s="1"/>
  <c r="G18" i="136"/>
  <c r="K29" i="136"/>
  <c r="G29" i="136"/>
  <c r="L18" i="136"/>
  <c r="H18" i="136"/>
  <c r="D18" i="136"/>
  <c r="F29" i="136"/>
  <c r="K18" i="136"/>
  <c r="J29" i="136"/>
  <c r="C18" i="136"/>
  <c r="M29" i="136"/>
  <c r="I29" i="136"/>
  <c r="E29" i="136"/>
  <c r="N18" i="136"/>
  <c r="J18" i="136"/>
  <c r="F18" i="136"/>
  <c r="N29" i="136"/>
  <c r="C29" i="136"/>
  <c r="L29" i="136"/>
  <c r="H29" i="136"/>
  <c r="D29" i="136"/>
  <c r="M18" i="136"/>
  <c r="I18" i="136"/>
  <c r="E18" i="136"/>
  <c r="P29" i="135"/>
  <c r="P40" i="135" s="1"/>
  <c r="P42" i="135" s="1"/>
  <c r="O29" i="136"/>
  <c r="O40" i="136" s="1"/>
  <c r="O42" i="136" s="1"/>
  <c r="P29" i="136"/>
  <c r="P40" i="136" s="1"/>
  <c r="P42" i="136" s="1"/>
  <c r="Q29" i="135"/>
  <c r="Q40" i="135" s="1"/>
  <c r="Q42" i="135" s="1"/>
  <c r="Q1160" i="123"/>
  <c r="Q1179" i="123" s="1"/>
  <c r="M1160" i="123"/>
  <c r="K1160" i="123"/>
  <c r="K1179" i="123" s="1"/>
  <c r="R1160" i="123"/>
  <c r="R1179" i="123" s="1"/>
  <c r="N1160" i="123"/>
  <c r="N1179" i="123" s="1"/>
  <c r="J1160" i="123"/>
  <c r="J1179" i="123" s="1"/>
  <c r="O1160" i="123"/>
  <c r="O1179" i="123" s="1"/>
  <c r="P1160" i="123"/>
  <c r="P1179" i="123" s="1"/>
  <c r="L1160" i="123"/>
  <c r="L1179" i="123" s="1"/>
  <c r="H1160" i="123"/>
  <c r="H1179" i="123" s="1"/>
  <c r="I1160" i="123"/>
  <c r="I1179" i="123" s="1"/>
  <c r="G1328" i="123"/>
  <c r="G1347" i="123" s="1"/>
  <c r="BL1328" i="123"/>
  <c r="BL1347" i="123" s="1"/>
  <c r="BH1328" i="123"/>
  <c r="BH1347" i="123" s="1"/>
  <c r="BD1328" i="123"/>
  <c r="BD1347" i="123" s="1"/>
  <c r="AZ1328" i="123"/>
  <c r="AZ1347" i="123" s="1"/>
  <c r="AV1328" i="123"/>
  <c r="AV1347" i="123" s="1"/>
  <c r="AR1328" i="123"/>
  <c r="AR1347" i="123" s="1"/>
  <c r="AN1328" i="123"/>
  <c r="AN1347" i="123" s="1"/>
  <c r="AJ1328" i="123"/>
  <c r="AJ1347" i="123" s="1"/>
  <c r="AF1328" i="123"/>
  <c r="AF1347" i="123" s="1"/>
  <c r="P1328" i="123"/>
  <c r="P1347" i="123" s="1"/>
  <c r="L1328" i="123"/>
  <c r="L1347" i="123" s="1"/>
  <c r="H1328" i="123"/>
  <c r="H1347" i="123" s="1"/>
  <c r="BK1328" i="123"/>
  <c r="BK1347" i="123" s="1"/>
  <c r="BG1328" i="123"/>
  <c r="BG1347" i="123" s="1"/>
  <c r="BC1328" i="123"/>
  <c r="BC1347" i="123" s="1"/>
  <c r="AU1328" i="123"/>
  <c r="AU1347" i="123" s="1"/>
  <c r="AQ1328" i="123"/>
  <c r="AQ1347" i="123" s="1"/>
  <c r="AM1328" i="123"/>
  <c r="AM1347" i="123" s="1"/>
  <c r="AE1328" i="123"/>
  <c r="AE1347" i="123" s="1"/>
  <c r="O1328" i="123"/>
  <c r="O1347" i="123" s="1"/>
  <c r="K1328" i="123"/>
  <c r="K1347" i="123" s="1"/>
  <c r="BM1328" i="123"/>
  <c r="BM1347" i="123" s="1"/>
  <c r="BI1328" i="123"/>
  <c r="BI1347" i="123" s="1"/>
  <c r="BE1328" i="123"/>
  <c r="BE1347" i="123" s="1"/>
  <c r="BA1328" i="123"/>
  <c r="BA1347" i="123" s="1"/>
  <c r="AW1328" i="123"/>
  <c r="AW1347" i="123" s="1"/>
  <c r="AS1328" i="123"/>
  <c r="AS1347" i="123" s="1"/>
  <c r="AO1328" i="123"/>
  <c r="AO1347" i="123" s="1"/>
  <c r="AK1328" i="123"/>
  <c r="AK1347" i="123" s="1"/>
  <c r="AG1328" i="123"/>
  <c r="AG1347" i="123" s="1"/>
  <c r="Q1328" i="123"/>
  <c r="Q1347" i="123" s="1"/>
  <c r="M1328" i="123"/>
  <c r="M1347" i="123" s="1"/>
  <c r="I1328" i="123"/>
  <c r="I1347" i="123" s="1"/>
  <c r="BO1328" i="123"/>
  <c r="BO1347" i="123" s="1"/>
  <c r="AY1328" i="123"/>
  <c r="AY1347" i="123" s="1"/>
  <c r="AI1328" i="123"/>
  <c r="AI1347" i="123" s="1"/>
  <c r="BN1328" i="123"/>
  <c r="BN1347" i="123" s="1"/>
  <c r="BJ1328" i="123"/>
  <c r="BJ1347" i="123" s="1"/>
  <c r="BF1328" i="123"/>
  <c r="BF1347" i="123" s="1"/>
  <c r="BB1328" i="123"/>
  <c r="BB1347" i="123" s="1"/>
  <c r="AX1328" i="123"/>
  <c r="AX1347" i="123" s="1"/>
  <c r="AT1328" i="123"/>
  <c r="AT1347" i="123" s="1"/>
  <c r="AP1328" i="123"/>
  <c r="AP1347" i="123" s="1"/>
  <c r="AL1328" i="123"/>
  <c r="AL1347" i="123" s="1"/>
  <c r="AH1328" i="123"/>
  <c r="AH1347" i="123" s="1"/>
  <c r="R1328" i="123"/>
  <c r="R1347" i="123" s="1"/>
  <c r="N1328" i="123"/>
  <c r="N1347" i="123" s="1"/>
  <c r="J1328" i="123"/>
  <c r="J1347" i="123" s="1"/>
  <c r="BH1160" i="123"/>
  <c r="BH1179" i="123" s="1"/>
  <c r="BD1160" i="123"/>
  <c r="BD1179" i="123" s="1"/>
  <c r="AR1160" i="123"/>
  <c r="AR1179" i="123" s="1"/>
  <c r="AN1160" i="123"/>
  <c r="AN1179" i="123" s="1"/>
  <c r="BL1160" i="123"/>
  <c r="BL1179" i="123" s="1"/>
  <c r="AZ1160" i="123"/>
  <c r="AZ1179" i="123" s="1"/>
  <c r="AV1160" i="123"/>
  <c r="AV1179" i="123" s="1"/>
  <c r="AJ1160" i="123"/>
  <c r="AJ1179" i="123" s="1"/>
  <c r="AF1160" i="123"/>
  <c r="AF1179" i="123" s="1"/>
  <c r="BN1160" i="123"/>
  <c r="BN1179" i="123" s="1"/>
  <c r="BJ1160" i="123"/>
  <c r="BJ1179" i="123" s="1"/>
  <c r="BF1160" i="123"/>
  <c r="BF1179" i="123" s="1"/>
  <c r="BB1160" i="123"/>
  <c r="BB1179" i="123" s="1"/>
  <c r="AX1160" i="123"/>
  <c r="AX1179" i="123" s="1"/>
  <c r="AT1160" i="123"/>
  <c r="AT1179" i="123" s="1"/>
  <c r="AP1160" i="123"/>
  <c r="AP1179" i="123" s="1"/>
  <c r="AL1160" i="123"/>
  <c r="AL1179" i="123" s="1"/>
  <c r="AH1160" i="123"/>
  <c r="AH1179" i="123" s="1"/>
  <c r="BO1160" i="123"/>
  <c r="BO1179" i="123" s="1"/>
  <c r="BK1160" i="123"/>
  <c r="BK1179" i="123" s="1"/>
  <c r="BG1160" i="123"/>
  <c r="BG1179" i="123" s="1"/>
  <c r="BC1160" i="123"/>
  <c r="BC1179" i="123" s="1"/>
  <c r="AY1160" i="123"/>
  <c r="AY1179" i="123" s="1"/>
  <c r="AU1160" i="123"/>
  <c r="AU1179" i="123" s="1"/>
  <c r="AQ1160" i="123"/>
  <c r="AQ1179" i="123" s="1"/>
  <c r="AM1160" i="123"/>
  <c r="AM1179" i="123" s="1"/>
  <c r="AI1160" i="123"/>
  <c r="AI1179" i="123" s="1"/>
  <c r="AE1160" i="123"/>
  <c r="AE1179" i="123" s="1"/>
  <c r="BM1160" i="123"/>
  <c r="BM1179" i="123" s="1"/>
  <c r="BI1160" i="123"/>
  <c r="BI1179" i="123" s="1"/>
  <c r="BE1160" i="123"/>
  <c r="BE1179" i="123" s="1"/>
  <c r="BA1160" i="123"/>
  <c r="BA1179" i="123" s="1"/>
  <c r="AW1160" i="123"/>
  <c r="AW1179" i="123" s="1"/>
  <c r="AS1160" i="123"/>
  <c r="AS1179" i="123" s="1"/>
  <c r="AO1160" i="123"/>
  <c r="AO1179" i="123" s="1"/>
  <c r="AK1160" i="123"/>
  <c r="AK1179" i="123" s="1"/>
  <c r="AG1160" i="123"/>
  <c r="AG1179" i="123" s="1"/>
  <c r="M1179" i="123"/>
  <c r="G1160" i="123"/>
  <c r="G1179" i="123" s="1"/>
  <c r="G992" i="123"/>
  <c r="C12" i="135" s="1"/>
  <c r="BL992" i="123"/>
  <c r="BL1011" i="123" s="1"/>
  <c r="BH992" i="123"/>
  <c r="BH1011" i="123" s="1"/>
  <c r="BD992" i="123"/>
  <c r="BD1011" i="123" s="1"/>
  <c r="AZ992" i="123"/>
  <c r="AZ1011" i="123" s="1"/>
  <c r="AV992" i="123"/>
  <c r="AV1011" i="123" s="1"/>
  <c r="AR992" i="123"/>
  <c r="AR1011" i="123" s="1"/>
  <c r="AN992" i="123"/>
  <c r="AN1011" i="123" s="1"/>
  <c r="AJ992" i="123"/>
  <c r="AJ1011" i="123" s="1"/>
  <c r="AF992" i="123"/>
  <c r="AF1011" i="123" s="1"/>
  <c r="P992" i="123"/>
  <c r="L992" i="123"/>
  <c r="H992" i="123"/>
  <c r="BM992" i="123"/>
  <c r="BM1011" i="123" s="1"/>
  <c r="BI992" i="123"/>
  <c r="BI1011" i="123" s="1"/>
  <c r="BE992" i="123"/>
  <c r="BE1011" i="123" s="1"/>
  <c r="BA992" i="123"/>
  <c r="BA1011" i="123" s="1"/>
  <c r="AW992" i="123"/>
  <c r="AW1011" i="123" s="1"/>
  <c r="AS992" i="123"/>
  <c r="AS1011" i="123" s="1"/>
  <c r="AO992" i="123"/>
  <c r="AO1011" i="123" s="1"/>
  <c r="AK992" i="123"/>
  <c r="AK1011" i="123" s="1"/>
  <c r="AG992" i="123"/>
  <c r="AG1011" i="123" s="1"/>
  <c r="Q992" i="123"/>
  <c r="M992" i="123"/>
  <c r="I992" i="123"/>
  <c r="BO992" i="123"/>
  <c r="BO1011" i="123" s="1"/>
  <c r="BK992" i="123"/>
  <c r="BK1011" i="123" s="1"/>
  <c r="BG992" i="123"/>
  <c r="BG1011" i="123" s="1"/>
  <c r="BC992" i="123"/>
  <c r="BC1011" i="123" s="1"/>
  <c r="AY992" i="123"/>
  <c r="AY1011" i="123" s="1"/>
  <c r="AU992" i="123"/>
  <c r="AU1011" i="123" s="1"/>
  <c r="AQ992" i="123"/>
  <c r="AQ1011" i="123" s="1"/>
  <c r="AM992" i="123"/>
  <c r="AM1011" i="123" s="1"/>
  <c r="AI992" i="123"/>
  <c r="AI1011" i="123" s="1"/>
  <c r="AE992" i="123"/>
  <c r="AE1011" i="123" s="1"/>
  <c r="O992" i="123"/>
  <c r="K992" i="123"/>
  <c r="BN992" i="123"/>
  <c r="BN1011" i="123" s="1"/>
  <c r="BJ992" i="123"/>
  <c r="BJ1011" i="123" s="1"/>
  <c r="BF992" i="123"/>
  <c r="BF1011" i="123" s="1"/>
  <c r="BB992" i="123"/>
  <c r="BB1011" i="123" s="1"/>
  <c r="AX992" i="123"/>
  <c r="AX1011" i="123" s="1"/>
  <c r="AT992" i="123"/>
  <c r="AT1011" i="123" s="1"/>
  <c r="AP992" i="123"/>
  <c r="AP1011" i="123" s="1"/>
  <c r="AL992" i="123"/>
  <c r="AL1011" i="123" s="1"/>
  <c r="AH992" i="123"/>
  <c r="AH1011" i="123" s="1"/>
  <c r="R992" i="123"/>
  <c r="N992" i="123"/>
  <c r="J992" i="123"/>
  <c r="BN824" i="123"/>
  <c r="BN843" i="123" s="1"/>
  <c r="AX824" i="123"/>
  <c r="AX843" i="123" s="1"/>
  <c r="AH824" i="123"/>
  <c r="AH843" i="123" s="1"/>
  <c r="N824" i="123"/>
  <c r="J12" i="141" s="1"/>
  <c r="J14" i="141" s="1"/>
  <c r="J26" i="141" s="1"/>
  <c r="J42" i="141" s="1"/>
  <c r="G824" i="123"/>
  <c r="C12" i="141" s="1"/>
  <c r="C14" i="141" s="1"/>
  <c r="C26" i="141" s="1"/>
  <c r="C42" i="141" s="1"/>
  <c r="BL824" i="123"/>
  <c r="BL843" i="123" s="1"/>
  <c r="BH824" i="123"/>
  <c r="BH843" i="123" s="1"/>
  <c r="BD824" i="123"/>
  <c r="BD843" i="123" s="1"/>
  <c r="AZ824" i="123"/>
  <c r="AZ843" i="123" s="1"/>
  <c r="AV824" i="123"/>
  <c r="AV843" i="123" s="1"/>
  <c r="AR824" i="123"/>
  <c r="AR843" i="123" s="1"/>
  <c r="AN824" i="123"/>
  <c r="AN843" i="123" s="1"/>
  <c r="AJ824" i="123"/>
  <c r="AJ843" i="123" s="1"/>
  <c r="AF824" i="123"/>
  <c r="AF843" i="123" s="1"/>
  <c r="P824" i="123"/>
  <c r="L12" i="141" s="1"/>
  <c r="L14" i="141" s="1"/>
  <c r="L26" i="141" s="1"/>
  <c r="L42" i="141" s="1"/>
  <c r="L824" i="123"/>
  <c r="H12" i="141" s="1"/>
  <c r="H14" i="141" s="1"/>
  <c r="H26" i="141" s="1"/>
  <c r="H42" i="141" s="1"/>
  <c r="H824" i="123"/>
  <c r="D12" i="141" s="1"/>
  <c r="D14" i="141" s="1"/>
  <c r="D26" i="141" s="1"/>
  <c r="D42" i="141" s="1"/>
  <c r="BB824" i="123"/>
  <c r="BB843" i="123" s="1"/>
  <c r="AL824" i="123"/>
  <c r="AL843" i="123" s="1"/>
  <c r="J824" i="123"/>
  <c r="F12" i="141" s="1"/>
  <c r="F14" i="141" s="1"/>
  <c r="F26" i="141" s="1"/>
  <c r="F42" i="141" s="1"/>
  <c r="BJ824" i="123"/>
  <c r="BJ843" i="123" s="1"/>
  <c r="BF824" i="123"/>
  <c r="BF843" i="123" s="1"/>
  <c r="AT824" i="123"/>
  <c r="AT843" i="123" s="1"/>
  <c r="AP824" i="123"/>
  <c r="AP843" i="123" s="1"/>
  <c r="R824" i="123"/>
  <c r="N12" i="141" s="1"/>
  <c r="N14" i="141" s="1"/>
  <c r="N26" i="141" s="1"/>
  <c r="N42" i="141" s="1"/>
  <c r="BM824" i="123"/>
  <c r="BM843" i="123" s="1"/>
  <c r="BI824" i="123"/>
  <c r="BI843" i="123" s="1"/>
  <c r="BE824" i="123"/>
  <c r="BE843" i="123" s="1"/>
  <c r="BA824" i="123"/>
  <c r="BA843" i="123" s="1"/>
  <c r="AW824" i="123"/>
  <c r="AW843" i="123" s="1"/>
  <c r="AS824" i="123"/>
  <c r="AS843" i="123" s="1"/>
  <c r="AO824" i="123"/>
  <c r="AO843" i="123" s="1"/>
  <c r="AK824" i="123"/>
  <c r="AK843" i="123" s="1"/>
  <c r="AG824" i="123"/>
  <c r="AG843" i="123" s="1"/>
  <c r="Q824" i="123"/>
  <c r="M12" i="141" s="1"/>
  <c r="M14" i="141" s="1"/>
  <c r="M26" i="141" s="1"/>
  <c r="M42" i="141" s="1"/>
  <c r="M824" i="123"/>
  <c r="I12" i="141" s="1"/>
  <c r="I14" i="141" s="1"/>
  <c r="I26" i="141" s="1"/>
  <c r="I42" i="141" s="1"/>
  <c r="I824" i="123"/>
  <c r="E12" i="141" s="1"/>
  <c r="E14" i="141" s="1"/>
  <c r="E26" i="141" s="1"/>
  <c r="E42" i="141" s="1"/>
  <c r="BO824" i="123"/>
  <c r="BO843" i="123" s="1"/>
  <c r="BK824" i="123"/>
  <c r="BK843" i="123" s="1"/>
  <c r="BG824" i="123"/>
  <c r="BG843" i="123" s="1"/>
  <c r="BC824" i="123"/>
  <c r="BC843" i="123" s="1"/>
  <c r="AY824" i="123"/>
  <c r="AY843" i="123" s="1"/>
  <c r="AU824" i="123"/>
  <c r="AU843" i="123" s="1"/>
  <c r="AQ824" i="123"/>
  <c r="AQ843" i="123" s="1"/>
  <c r="AM824" i="123"/>
  <c r="AM843" i="123" s="1"/>
  <c r="AI824" i="123"/>
  <c r="AI843" i="123" s="1"/>
  <c r="AE824" i="123"/>
  <c r="AE843" i="123" s="1"/>
  <c r="O824" i="123"/>
  <c r="K12" i="141" s="1"/>
  <c r="K14" i="141" s="1"/>
  <c r="K26" i="141" s="1"/>
  <c r="K42" i="141" s="1"/>
  <c r="K824" i="123"/>
  <c r="G12" i="141" s="1"/>
  <c r="G14" i="141" s="1"/>
  <c r="G26" i="141" s="1"/>
  <c r="G42" i="141" s="1"/>
  <c r="H673" i="123"/>
  <c r="I673" i="123"/>
  <c r="J673" i="123"/>
  <c r="K673" i="123"/>
  <c r="L673" i="123"/>
  <c r="H611" i="123"/>
  <c r="I611" i="123"/>
  <c r="J611" i="123"/>
  <c r="K611" i="123"/>
  <c r="L611" i="123"/>
  <c r="M611" i="123"/>
  <c r="N611" i="123"/>
  <c r="O611" i="123"/>
  <c r="P611" i="123"/>
  <c r="Q611" i="123"/>
  <c r="R611" i="123"/>
  <c r="AE611" i="123"/>
  <c r="AF611" i="123"/>
  <c r="AG611" i="123"/>
  <c r="AH611" i="123"/>
  <c r="AI611" i="123"/>
  <c r="AJ611" i="123"/>
  <c r="AK611" i="123"/>
  <c r="AL611" i="123"/>
  <c r="AM611" i="123"/>
  <c r="AN611" i="123"/>
  <c r="AO611" i="123"/>
  <c r="AP611" i="123"/>
  <c r="AQ611" i="123"/>
  <c r="AR611" i="123"/>
  <c r="AS611" i="123"/>
  <c r="AT611" i="123"/>
  <c r="AU611" i="123"/>
  <c r="AV611" i="123"/>
  <c r="AW611" i="123"/>
  <c r="AX611" i="123"/>
  <c r="AY611" i="123"/>
  <c r="AZ611" i="123"/>
  <c r="BA611" i="123"/>
  <c r="BB611" i="123"/>
  <c r="BC611" i="123"/>
  <c r="BD611" i="123"/>
  <c r="BE611" i="123"/>
  <c r="BF611" i="123"/>
  <c r="BG611" i="123"/>
  <c r="BH611" i="123"/>
  <c r="BI611" i="123"/>
  <c r="BJ611" i="123"/>
  <c r="BK611" i="123"/>
  <c r="BL611" i="123"/>
  <c r="BM611" i="123"/>
  <c r="BN611" i="123"/>
  <c r="BO611" i="123"/>
  <c r="G611" i="123"/>
  <c r="H617" i="123"/>
  <c r="I617" i="123"/>
  <c r="J617" i="123"/>
  <c r="K617" i="123"/>
  <c r="L617" i="123"/>
  <c r="M617" i="123"/>
  <c r="N617" i="123"/>
  <c r="O617" i="123"/>
  <c r="P617" i="123"/>
  <c r="Q617" i="123"/>
  <c r="R617" i="123"/>
  <c r="AE617" i="123"/>
  <c r="AF617" i="123"/>
  <c r="AG617" i="123"/>
  <c r="AH617" i="123"/>
  <c r="AI617" i="123"/>
  <c r="AJ617" i="123"/>
  <c r="AK617" i="123"/>
  <c r="AL617" i="123"/>
  <c r="AM617" i="123"/>
  <c r="AN617" i="123"/>
  <c r="AO617" i="123"/>
  <c r="AP617" i="123"/>
  <c r="AQ617" i="123"/>
  <c r="AR617" i="123"/>
  <c r="AS617" i="123"/>
  <c r="AT617" i="123"/>
  <c r="AU617" i="123"/>
  <c r="AV617" i="123"/>
  <c r="AW617" i="123"/>
  <c r="AX617" i="123"/>
  <c r="AY617" i="123"/>
  <c r="AZ617" i="123"/>
  <c r="BA617" i="123"/>
  <c r="BB617" i="123"/>
  <c r="BC617" i="123"/>
  <c r="BD617" i="123"/>
  <c r="BE617" i="123"/>
  <c r="BF617" i="123"/>
  <c r="BG617" i="123"/>
  <c r="BH617" i="123"/>
  <c r="BI617" i="123"/>
  <c r="BJ617" i="123"/>
  <c r="BK617" i="123"/>
  <c r="BL617" i="123"/>
  <c r="BM617" i="123"/>
  <c r="BN617" i="123"/>
  <c r="BO617" i="123"/>
  <c r="H625" i="123"/>
  <c r="I625" i="123"/>
  <c r="J625" i="123"/>
  <c r="K625" i="123"/>
  <c r="L625" i="123"/>
  <c r="M625" i="123"/>
  <c r="N625" i="123"/>
  <c r="O625" i="123"/>
  <c r="P625" i="123"/>
  <c r="Q625" i="123"/>
  <c r="R625" i="123"/>
  <c r="AE625" i="123"/>
  <c r="AF625" i="123"/>
  <c r="AG625" i="123"/>
  <c r="AH625" i="123"/>
  <c r="AI625" i="123"/>
  <c r="AJ625" i="123"/>
  <c r="AK625" i="123"/>
  <c r="AL625" i="123"/>
  <c r="AM625" i="123"/>
  <c r="AN625" i="123"/>
  <c r="AO625" i="123"/>
  <c r="AP625" i="123"/>
  <c r="AQ625" i="123"/>
  <c r="AR625" i="123"/>
  <c r="AS625" i="123"/>
  <c r="AT625" i="123"/>
  <c r="AU625" i="123"/>
  <c r="AV625" i="123"/>
  <c r="AW625" i="123"/>
  <c r="AX625" i="123"/>
  <c r="AY625" i="123"/>
  <c r="AZ625" i="123"/>
  <c r="BA625" i="123"/>
  <c r="BB625" i="123"/>
  <c r="BC625" i="123"/>
  <c r="BD625" i="123"/>
  <c r="BE625" i="123"/>
  <c r="BF625" i="123"/>
  <c r="BG625" i="123"/>
  <c r="BH625" i="123"/>
  <c r="BI625" i="123"/>
  <c r="BJ625" i="123"/>
  <c r="BK625" i="123"/>
  <c r="BL625" i="123"/>
  <c r="BM625" i="123"/>
  <c r="BN625" i="123"/>
  <c r="BO625" i="123"/>
  <c r="H634" i="123"/>
  <c r="I634" i="123"/>
  <c r="J634" i="123"/>
  <c r="K634" i="123"/>
  <c r="L634" i="123"/>
  <c r="M634" i="123"/>
  <c r="N634" i="123"/>
  <c r="O634" i="123"/>
  <c r="P634" i="123"/>
  <c r="Q634" i="123"/>
  <c r="R634" i="123"/>
  <c r="AE634" i="123"/>
  <c r="AF634" i="123"/>
  <c r="AG634" i="123"/>
  <c r="AH634" i="123"/>
  <c r="AI634" i="123"/>
  <c r="AJ634" i="123"/>
  <c r="AK634" i="123"/>
  <c r="AL634" i="123"/>
  <c r="AM634" i="123"/>
  <c r="AN634" i="123"/>
  <c r="AO634" i="123"/>
  <c r="AP634" i="123"/>
  <c r="AQ634" i="123"/>
  <c r="AR634" i="123"/>
  <c r="AS634" i="123"/>
  <c r="AT634" i="123"/>
  <c r="AU634" i="123"/>
  <c r="AV634" i="123"/>
  <c r="AW634" i="123"/>
  <c r="AX634" i="123"/>
  <c r="AY634" i="123"/>
  <c r="AZ634" i="123"/>
  <c r="BA634" i="123"/>
  <c r="BB634" i="123"/>
  <c r="BC634" i="123"/>
  <c r="BD634" i="123"/>
  <c r="BE634" i="123"/>
  <c r="BF634" i="123"/>
  <c r="BG634" i="123"/>
  <c r="BH634" i="123"/>
  <c r="BI634" i="123"/>
  <c r="BJ634" i="123"/>
  <c r="BK634" i="123"/>
  <c r="BL634" i="123"/>
  <c r="BM634" i="123"/>
  <c r="BN634" i="123"/>
  <c r="BO634" i="123"/>
  <c r="H644" i="123"/>
  <c r="I644" i="123"/>
  <c r="J644" i="123"/>
  <c r="K644" i="123"/>
  <c r="L644" i="123"/>
  <c r="M644" i="123"/>
  <c r="N644" i="123"/>
  <c r="O644" i="123"/>
  <c r="P644" i="123"/>
  <c r="Q644" i="123"/>
  <c r="R644" i="123"/>
  <c r="AE644" i="123"/>
  <c r="AF644" i="123"/>
  <c r="AG644" i="123"/>
  <c r="AH644" i="123"/>
  <c r="AI644" i="123"/>
  <c r="AJ644" i="123"/>
  <c r="AK644" i="123"/>
  <c r="AL644" i="123"/>
  <c r="AM644" i="123"/>
  <c r="AN644" i="123"/>
  <c r="AO644" i="123"/>
  <c r="AP644" i="123"/>
  <c r="AQ644" i="123"/>
  <c r="AR644" i="123"/>
  <c r="AS644" i="123"/>
  <c r="AT644" i="123"/>
  <c r="AU644" i="123"/>
  <c r="AV644" i="123"/>
  <c r="AW644" i="123"/>
  <c r="AX644" i="123"/>
  <c r="AY644" i="123"/>
  <c r="AZ644" i="123"/>
  <c r="BA644" i="123"/>
  <c r="BB644" i="123"/>
  <c r="BC644" i="123"/>
  <c r="BD644" i="123"/>
  <c r="BE644" i="123"/>
  <c r="BF644" i="123"/>
  <c r="BG644" i="123"/>
  <c r="BH644" i="123"/>
  <c r="BI644" i="123"/>
  <c r="BJ644" i="123"/>
  <c r="BK644" i="123"/>
  <c r="BL644" i="123"/>
  <c r="BM644" i="123"/>
  <c r="BN644" i="123"/>
  <c r="BO644" i="123"/>
  <c r="M673" i="123"/>
  <c r="N673" i="123"/>
  <c r="O673" i="123"/>
  <c r="P673" i="123"/>
  <c r="Q673" i="123"/>
  <c r="R673" i="123"/>
  <c r="AE673" i="123"/>
  <c r="AF673" i="123"/>
  <c r="AG673" i="123"/>
  <c r="AH673" i="123"/>
  <c r="AI673" i="123"/>
  <c r="AJ673" i="123"/>
  <c r="AK673" i="123"/>
  <c r="AL673" i="123"/>
  <c r="AM673" i="123"/>
  <c r="AN673" i="123"/>
  <c r="AO673" i="123"/>
  <c r="AP673" i="123"/>
  <c r="AQ673" i="123"/>
  <c r="AR673" i="123"/>
  <c r="AS673" i="123"/>
  <c r="AT673" i="123"/>
  <c r="AU673" i="123"/>
  <c r="AV673" i="123"/>
  <c r="AW673" i="123"/>
  <c r="AX673" i="123"/>
  <c r="AY673" i="123"/>
  <c r="AZ673" i="123"/>
  <c r="BA673" i="123"/>
  <c r="BB673" i="123"/>
  <c r="BC673" i="123"/>
  <c r="BD673" i="123"/>
  <c r="BE673" i="123"/>
  <c r="BF673" i="123"/>
  <c r="BG673" i="123"/>
  <c r="BH673" i="123"/>
  <c r="BI673" i="123"/>
  <c r="BJ673" i="123"/>
  <c r="BK673" i="123"/>
  <c r="BL673" i="123"/>
  <c r="BM673" i="123"/>
  <c r="BN673" i="123"/>
  <c r="BO673" i="123"/>
  <c r="G673" i="123"/>
  <c r="G644" i="123"/>
  <c r="G634" i="123"/>
  <c r="G625" i="123"/>
  <c r="G617" i="123"/>
  <c r="H603" i="123"/>
  <c r="D29" i="134" s="1"/>
  <c r="I603" i="123"/>
  <c r="E29" i="134" s="1"/>
  <c r="J603" i="123"/>
  <c r="F29" i="134" s="1"/>
  <c r="K603" i="123"/>
  <c r="G29" i="134" s="1"/>
  <c r="L603" i="123"/>
  <c r="H29" i="134" s="1"/>
  <c r="M603" i="123"/>
  <c r="I29" i="134" s="1"/>
  <c r="N603" i="123"/>
  <c r="J29" i="134" s="1"/>
  <c r="O603" i="123"/>
  <c r="K29" i="134" s="1"/>
  <c r="P603" i="123"/>
  <c r="L29" i="134" s="1"/>
  <c r="Q603" i="123"/>
  <c r="M29" i="134" s="1"/>
  <c r="R603" i="123"/>
  <c r="N29" i="134" s="1"/>
  <c r="AE603" i="123"/>
  <c r="AF603" i="123"/>
  <c r="AG603" i="123"/>
  <c r="AH603" i="123"/>
  <c r="AI603" i="123"/>
  <c r="AJ603" i="123"/>
  <c r="AK603" i="123"/>
  <c r="AL603" i="123"/>
  <c r="AM603" i="123"/>
  <c r="AN603" i="123"/>
  <c r="AO603" i="123"/>
  <c r="AP603" i="123"/>
  <c r="AQ603" i="123"/>
  <c r="AR603" i="123"/>
  <c r="AS603" i="123"/>
  <c r="AT603" i="123"/>
  <c r="AU603" i="123"/>
  <c r="AV603" i="123"/>
  <c r="AW603" i="123"/>
  <c r="AX603" i="123"/>
  <c r="AY603" i="123"/>
  <c r="AZ603" i="123"/>
  <c r="BA603" i="123"/>
  <c r="BB603" i="123"/>
  <c r="BC603" i="123"/>
  <c r="BD603" i="123"/>
  <c r="BE603" i="123"/>
  <c r="BF603" i="123"/>
  <c r="BG603" i="123"/>
  <c r="BH603" i="123"/>
  <c r="BI603" i="123"/>
  <c r="BJ603" i="123"/>
  <c r="BK603" i="123"/>
  <c r="BL603" i="123"/>
  <c r="BM603" i="123"/>
  <c r="BN603" i="123"/>
  <c r="BO603" i="123"/>
  <c r="G603" i="123"/>
  <c r="C29" i="134" s="1"/>
  <c r="H565" i="123"/>
  <c r="I565" i="123"/>
  <c r="J565" i="123"/>
  <c r="K565" i="123"/>
  <c r="L565" i="123"/>
  <c r="M565" i="123"/>
  <c r="N565" i="123"/>
  <c r="O565" i="123"/>
  <c r="P565" i="123"/>
  <c r="Q565" i="123"/>
  <c r="R565" i="123"/>
  <c r="AE565" i="123"/>
  <c r="AF565" i="123"/>
  <c r="AG565" i="123"/>
  <c r="AH565" i="123"/>
  <c r="AI565" i="123"/>
  <c r="AJ565" i="123"/>
  <c r="AK565" i="123"/>
  <c r="AL565" i="123"/>
  <c r="AM565" i="123"/>
  <c r="AN565" i="123"/>
  <c r="AO565" i="123"/>
  <c r="AP565" i="123"/>
  <c r="AQ565" i="123"/>
  <c r="AR565" i="123"/>
  <c r="AS565" i="123"/>
  <c r="AT565" i="123"/>
  <c r="AU565" i="123"/>
  <c r="AV565" i="123"/>
  <c r="AW565" i="123"/>
  <c r="AX565" i="123"/>
  <c r="AY565" i="123"/>
  <c r="AZ565" i="123"/>
  <c r="BA565" i="123"/>
  <c r="BB565" i="123"/>
  <c r="BC565" i="123"/>
  <c r="BD565" i="123"/>
  <c r="BE565" i="123"/>
  <c r="BF565" i="123"/>
  <c r="BG565" i="123"/>
  <c r="BH565" i="123"/>
  <c r="BI565" i="123"/>
  <c r="BJ565" i="123"/>
  <c r="BK565" i="123"/>
  <c r="BL565" i="123"/>
  <c r="BM565" i="123"/>
  <c r="BN565" i="123"/>
  <c r="BO565" i="123"/>
  <c r="H585" i="123"/>
  <c r="I585" i="123"/>
  <c r="J585" i="123"/>
  <c r="K585" i="123"/>
  <c r="L585" i="123"/>
  <c r="M585" i="123"/>
  <c r="N585" i="123"/>
  <c r="O585" i="123"/>
  <c r="P585" i="123"/>
  <c r="Q585" i="123"/>
  <c r="R585" i="123"/>
  <c r="AE585" i="123"/>
  <c r="AF585" i="123"/>
  <c r="AG585" i="123"/>
  <c r="AH585" i="123"/>
  <c r="AI585" i="123"/>
  <c r="AJ585" i="123"/>
  <c r="AK585" i="123"/>
  <c r="AL585" i="123"/>
  <c r="AM585" i="123"/>
  <c r="AN585" i="123"/>
  <c r="AO585" i="123"/>
  <c r="AP585" i="123"/>
  <c r="AQ585" i="123"/>
  <c r="AR585" i="123"/>
  <c r="AS585" i="123"/>
  <c r="AT585" i="123"/>
  <c r="AU585" i="123"/>
  <c r="AV585" i="123"/>
  <c r="AW585" i="123"/>
  <c r="AX585" i="123"/>
  <c r="AY585" i="123"/>
  <c r="AZ585" i="123"/>
  <c r="BA585" i="123"/>
  <c r="BB585" i="123"/>
  <c r="BC585" i="123"/>
  <c r="BD585" i="123"/>
  <c r="BE585" i="123"/>
  <c r="BF585" i="123"/>
  <c r="BG585" i="123"/>
  <c r="BH585" i="123"/>
  <c r="BI585" i="123"/>
  <c r="BJ585" i="123"/>
  <c r="BK585" i="123"/>
  <c r="BL585" i="123"/>
  <c r="BM585" i="123"/>
  <c r="BN585" i="123"/>
  <c r="BO585" i="123"/>
  <c r="H589" i="123"/>
  <c r="I589" i="123"/>
  <c r="J589" i="123"/>
  <c r="K589" i="123"/>
  <c r="L589" i="123"/>
  <c r="M589" i="123"/>
  <c r="N589" i="123"/>
  <c r="O589" i="123"/>
  <c r="P589" i="123"/>
  <c r="Q589" i="123"/>
  <c r="R589" i="123"/>
  <c r="AE589" i="123"/>
  <c r="AF589" i="123"/>
  <c r="AG589" i="123"/>
  <c r="AH589" i="123"/>
  <c r="AI589" i="123"/>
  <c r="AJ589" i="123"/>
  <c r="AK589" i="123"/>
  <c r="AL589" i="123"/>
  <c r="AM589" i="123"/>
  <c r="AN589" i="123"/>
  <c r="AO589" i="123"/>
  <c r="AP589" i="123"/>
  <c r="AQ589" i="123"/>
  <c r="AR589" i="123"/>
  <c r="AS589" i="123"/>
  <c r="AT589" i="123"/>
  <c r="AU589" i="123"/>
  <c r="AV589" i="123"/>
  <c r="AW589" i="123"/>
  <c r="AX589" i="123"/>
  <c r="AY589" i="123"/>
  <c r="AZ589" i="123"/>
  <c r="BA589" i="123"/>
  <c r="BB589" i="123"/>
  <c r="BC589" i="123"/>
  <c r="BD589" i="123"/>
  <c r="BE589" i="123"/>
  <c r="BF589" i="123"/>
  <c r="BG589" i="123"/>
  <c r="BH589" i="123"/>
  <c r="BI589" i="123"/>
  <c r="BJ589" i="123"/>
  <c r="BK589" i="123"/>
  <c r="BL589" i="123"/>
  <c r="BM589" i="123"/>
  <c r="BN589" i="123"/>
  <c r="BO589" i="123"/>
  <c r="G589" i="123"/>
  <c r="G585" i="123"/>
  <c r="G565" i="123"/>
  <c r="AE550" i="123"/>
  <c r="AF550" i="123"/>
  <c r="AG550" i="123"/>
  <c r="AH550" i="123"/>
  <c r="AI550" i="123"/>
  <c r="AJ550" i="123"/>
  <c r="AK550" i="123"/>
  <c r="AL550" i="123"/>
  <c r="AM550" i="123"/>
  <c r="AN550" i="123"/>
  <c r="AO550" i="123"/>
  <c r="AP550" i="123"/>
  <c r="AQ550" i="123"/>
  <c r="AR550" i="123"/>
  <c r="AS550" i="123"/>
  <c r="AT550" i="123"/>
  <c r="AU550" i="123"/>
  <c r="AV550" i="123"/>
  <c r="AW550" i="123"/>
  <c r="AX550" i="123"/>
  <c r="AY550" i="123"/>
  <c r="AZ550" i="123"/>
  <c r="BA550" i="123"/>
  <c r="BB550" i="123"/>
  <c r="BC550" i="123"/>
  <c r="BD550" i="123"/>
  <c r="BE550" i="123"/>
  <c r="BF550" i="123"/>
  <c r="BG550" i="123"/>
  <c r="BH550" i="123"/>
  <c r="BI550" i="123"/>
  <c r="BJ550" i="123"/>
  <c r="BK550" i="123"/>
  <c r="BL550" i="123"/>
  <c r="BM550" i="123"/>
  <c r="BN550" i="123"/>
  <c r="BO550" i="123"/>
  <c r="R550" i="123"/>
  <c r="Q550" i="123"/>
  <c r="P550" i="123"/>
  <c r="O550" i="123"/>
  <c r="N550" i="123"/>
  <c r="M550" i="123"/>
  <c r="L550" i="123"/>
  <c r="K550" i="123"/>
  <c r="J550" i="123"/>
  <c r="I550" i="123"/>
  <c r="H550" i="123"/>
  <c r="G550" i="123"/>
  <c r="H539" i="123"/>
  <c r="I539" i="123"/>
  <c r="J539" i="123"/>
  <c r="K539" i="123"/>
  <c r="L539" i="123"/>
  <c r="M539" i="123"/>
  <c r="N539" i="123"/>
  <c r="O539" i="123"/>
  <c r="P539" i="123"/>
  <c r="Q539" i="123"/>
  <c r="R539" i="123"/>
  <c r="AE539" i="123"/>
  <c r="AF539" i="123"/>
  <c r="AG539" i="123"/>
  <c r="AH539" i="123"/>
  <c r="AI539" i="123"/>
  <c r="AJ539" i="123"/>
  <c r="AK539" i="123"/>
  <c r="AL539" i="123"/>
  <c r="AM539" i="123"/>
  <c r="AN539" i="123"/>
  <c r="AO539" i="123"/>
  <c r="AP539" i="123"/>
  <c r="AQ539" i="123"/>
  <c r="AR539" i="123"/>
  <c r="AS539" i="123"/>
  <c r="AT539" i="123"/>
  <c r="AU539" i="123"/>
  <c r="AV539" i="123"/>
  <c r="AW539" i="123"/>
  <c r="AX539" i="123"/>
  <c r="AY539" i="123"/>
  <c r="AZ539" i="123"/>
  <c r="BA539" i="123"/>
  <c r="BB539" i="123"/>
  <c r="BC539" i="123"/>
  <c r="BD539" i="123"/>
  <c r="BE539" i="123"/>
  <c r="BF539" i="123"/>
  <c r="BG539" i="123"/>
  <c r="BH539" i="123"/>
  <c r="BI539" i="123"/>
  <c r="BJ539" i="123"/>
  <c r="BK539" i="123"/>
  <c r="BL539" i="123"/>
  <c r="BM539" i="123"/>
  <c r="BN539" i="123"/>
  <c r="BO539" i="123"/>
  <c r="H535" i="123"/>
  <c r="I535" i="123"/>
  <c r="J535" i="123"/>
  <c r="K535" i="123"/>
  <c r="L535" i="123"/>
  <c r="M535" i="123"/>
  <c r="N535" i="123"/>
  <c r="O535" i="123"/>
  <c r="P535" i="123"/>
  <c r="Q535" i="123"/>
  <c r="R535" i="123"/>
  <c r="AE535" i="123"/>
  <c r="AF535" i="123"/>
  <c r="AG535" i="123"/>
  <c r="AH535" i="123"/>
  <c r="AI535" i="123"/>
  <c r="AJ535" i="123"/>
  <c r="AK535" i="123"/>
  <c r="AL535" i="123"/>
  <c r="AM535" i="123"/>
  <c r="AN535" i="123"/>
  <c r="AO535" i="123"/>
  <c r="AP535" i="123"/>
  <c r="AQ535" i="123"/>
  <c r="AR535" i="123"/>
  <c r="AS535" i="123"/>
  <c r="AT535" i="123"/>
  <c r="AU535" i="123"/>
  <c r="AV535" i="123"/>
  <c r="AW535" i="123"/>
  <c r="AX535" i="123"/>
  <c r="AY535" i="123"/>
  <c r="AZ535" i="123"/>
  <c r="BA535" i="123"/>
  <c r="BB535" i="123"/>
  <c r="BC535" i="123"/>
  <c r="BD535" i="123"/>
  <c r="BE535" i="123"/>
  <c r="BF535" i="123"/>
  <c r="BG535" i="123"/>
  <c r="BH535" i="123"/>
  <c r="BI535" i="123"/>
  <c r="BJ535" i="123"/>
  <c r="BK535" i="123"/>
  <c r="BL535" i="123"/>
  <c r="BM535" i="123"/>
  <c r="BN535" i="123"/>
  <c r="BO535" i="123"/>
  <c r="G539" i="123"/>
  <c r="G535" i="123"/>
  <c r="H662" i="123"/>
  <c r="D18" i="134" s="1"/>
  <c r="I662" i="123"/>
  <c r="E18" i="134" s="1"/>
  <c r="J662" i="123"/>
  <c r="F18" i="134" s="1"/>
  <c r="K662" i="123"/>
  <c r="G18" i="134" s="1"/>
  <c r="L662" i="123"/>
  <c r="H18" i="134" s="1"/>
  <c r="M662" i="123"/>
  <c r="I18" i="134" s="1"/>
  <c r="N662" i="123"/>
  <c r="J18" i="134" s="1"/>
  <c r="O662" i="123"/>
  <c r="K18" i="134" s="1"/>
  <c r="P662" i="123"/>
  <c r="L18" i="134" s="1"/>
  <c r="Q662" i="123"/>
  <c r="M18" i="134" s="1"/>
  <c r="R662" i="123"/>
  <c r="N18" i="134" s="1"/>
  <c r="AE662" i="123"/>
  <c r="AF662" i="123"/>
  <c r="AG662" i="123"/>
  <c r="AH662" i="123"/>
  <c r="AI662" i="123"/>
  <c r="AJ662" i="123"/>
  <c r="AK662" i="123"/>
  <c r="AL662" i="123"/>
  <c r="AM662" i="123"/>
  <c r="AN662" i="123"/>
  <c r="AO662" i="123"/>
  <c r="AP662" i="123"/>
  <c r="AQ662" i="123"/>
  <c r="AR662" i="123"/>
  <c r="AS662" i="123"/>
  <c r="AT662" i="123"/>
  <c r="AU662" i="123"/>
  <c r="AV662" i="123"/>
  <c r="AW662" i="123"/>
  <c r="AX662" i="123"/>
  <c r="AY662" i="123"/>
  <c r="AZ662" i="123"/>
  <c r="BA662" i="123"/>
  <c r="BB662" i="123"/>
  <c r="BC662" i="123"/>
  <c r="BD662" i="123"/>
  <c r="BE662" i="123"/>
  <c r="BF662" i="123"/>
  <c r="BG662" i="123"/>
  <c r="BH662" i="123"/>
  <c r="BI662" i="123"/>
  <c r="BJ662" i="123"/>
  <c r="BK662" i="123"/>
  <c r="BL662" i="123"/>
  <c r="BM662" i="123"/>
  <c r="BN662" i="123"/>
  <c r="BO662" i="123"/>
  <c r="G662" i="123"/>
  <c r="C18" i="134" s="1"/>
  <c r="H654" i="123"/>
  <c r="I654" i="123"/>
  <c r="J654" i="123"/>
  <c r="K654" i="123"/>
  <c r="L654" i="123"/>
  <c r="M654" i="123"/>
  <c r="N654" i="123"/>
  <c r="O654" i="123"/>
  <c r="P654" i="123"/>
  <c r="Q654" i="123"/>
  <c r="R654" i="123"/>
  <c r="AE654" i="123"/>
  <c r="AF654" i="123"/>
  <c r="AG654" i="123"/>
  <c r="AH654" i="123"/>
  <c r="AI654" i="123"/>
  <c r="AJ654" i="123"/>
  <c r="AK654" i="123"/>
  <c r="AL654" i="123"/>
  <c r="AM654" i="123"/>
  <c r="AN654" i="123"/>
  <c r="AO654" i="123"/>
  <c r="AP654" i="123"/>
  <c r="AQ654" i="123"/>
  <c r="AR654" i="123"/>
  <c r="AS654" i="123"/>
  <c r="AT654" i="123"/>
  <c r="AU654" i="123"/>
  <c r="AV654" i="123"/>
  <c r="AW654" i="123"/>
  <c r="AX654" i="123"/>
  <c r="AY654" i="123"/>
  <c r="AZ654" i="123"/>
  <c r="BA654" i="123"/>
  <c r="BB654" i="123"/>
  <c r="BC654" i="123"/>
  <c r="BD654" i="123"/>
  <c r="BE654" i="123"/>
  <c r="BF654" i="123"/>
  <c r="BG654" i="123"/>
  <c r="BH654" i="123"/>
  <c r="BI654" i="123"/>
  <c r="BJ654" i="123"/>
  <c r="BK654" i="123"/>
  <c r="BL654" i="123"/>
  <c r="BM654" i="123"/>
  <c r="BN654" i="123"/>
  <c r="BO654" i="123"/>
  <c r="G654" i="123"/>
  <c r="BO529" i="123"/>
  <c r="BN529" i="123"/>
  <c r="BM529" i="123"/>
  <c r="BL529" i="123"/>
  <c r="BK529" i="123"/>
  <c r="BJ529" i="123"/>
  <c r="BI529" i="123"/>
  <c r="BH529" i="123"/>
  <c r="BG529" i="123"/>
  <c r="BF529" i="123"/>
  <c r="BE529" i="123"/>
  <c r="BD529" i="123"/>
  <c r="BC529" i="123"/>
  <c r="BB529" i="123"/>
  <c r="BA529" i="123"/>
  <c r="AZ529" i="123"/>
  <c r="AY529" i="123"/>
  <c r="AX529" i="123"/>
  <c r="AW529" i="123"/>
  <c r="AV529" i="123"/>
  <c r="AU529" i="123"/>
  <c r="AT529" i="123"/>
  <c r="AS529" i="123"/>
  <c r="AR529" i="123"/>
  <c r="AQ529" i="123"/>
  <c r="AP529" i="123"/>
  <c r="AO529" i="123"/>
  <c r="AN529" i="123"/>
  <c r="AM529" i="123"/>
  <c r="AL529" i="123"/>
  <c r="AK529" i="123"/>
  <c r="AJ529" i="123"/>
  <c r="AI529" i="123"/>
  <c r="AH529" i="123"/>
  <c r="AG529" i="123"/>
  <c r="AF529" i="123"/>
  <c r="AE529" i="123"/>
  <c r="R529" i="123"/>
  <c r="Q529" i="123"/>
  <c r="P529" i="123"/>
  <c r="O529" i="123"/>
  <c r="N529" i="123"/>
  <c r="M529" i="123"/>
  <c r="L529" i="123"/>
  <c r="K529" i="123"/>
  <c r="J529" i="123"/>
  <c r="I529" i="123"/>
  <c r="H529" i="123"/>
  <c r="G529" i="123"/>
  <c r="BO520" i="123"/>
  <c r="BN520" i="123"/>
  <c r="BM520" i="123"/>
  <c r="BL520" i="123"/>
  <c r="BK520" i="123"/>
  <c r="BJ520" i="123"/>
  <c r="BI520" i="123"/>
  <c r="BH520" i="123"/>
  <c r="BG520" i="123"/>
  <c r="BF520" i="123"/>
  <c r="BE520" i="123"/>
  <c r="BD520" i="123"/>
  <c r="BC520" i="123"/>
  <c r="BB520" i="123"/>
  <c r="BA520" i="123"/>
  <c r="AZ520" i="123"/>
  <c r="AY520" i="123"/>
  <c r="AX520" i="123"/>
  <c r="AW520" i="123"/>
  <c r="AV520" i="123"/>
  <c r="AU520" i="123"/>
  <c r="AT520" i="123"/>
  <c r="AS520" i="123"/>
  <c r="AR520" i="123"/>
  <c r="AQ520" i="123"/>
  <c r="AP520" i="123"/>
  <c r="AO520" i="123"/>
  <c r="AN520" i="123"/>
  <c r="AM520" i="123"/>
  <c r="AL520" i="123"/>
  <c r="AK520" i="123"/>
  <c r="AJ520" i="123"/>
  <c r="AI520" i="123"/>
  <c r="AH520" i="123"/>
  <c r="AG520" i="123"/>
  <c r="AF520" i="123"/>
  <c r="AE520" i="123"/>
  <c r="R520" i="123"/>
  <c r="Q520" i="123"/>
  <c r="P520" i="123"/>
  <c r="O520" i="123"/>
  <c r="N520" i="123"/>
  <c r="M520" i="123"/>
  <c r="L520" i="123"/>
  <c r="K520" i="123"/>
  <c r="J520" i="123"/>
  <c r="I520" i="123"/>
  <c r="H520" i="123"/>
  <c r="G520" i="123"/>
  <c r="R417" i="123"/>
  <c r="R352" i="123"/>
  <c r="BO281" i="123"/>
  <c r="BN281" i="123"/>
  <c r="BM281" i="123"/>
  <c r="BL281" i="123"/>
  <c r="BK281" i="123"/>
  <c r="BJ281" i="123"/>
  <c r="BI281" i="123"/>
  <c r="BH281" i="123"/>
  <c r="BG281" i="123"/>
  <c r="BF281" i="123"/>
  <c r="BE281" i="123"/>
  <c r="BD281" i="123"/>
  <c r="BC281" i="123"/>
  <c r="BB281" i="123"/>
  <c r="BA281" i="123"/>
  <c r="AZ281" i="123"/>
  <c r="AY281" i="123"/>
  <c r="AX281" i="123"/>
  <c r="AW281" i="123"/>
  <c r="AV281" i="123"/>
  <c r="AU281" i="123"/>
  <c r="AT281" i="123"/>
  <c r="AS281" i="123"/>
  <c r="AR281" i="123"/>
  <c r="AQ281" i="123"/>
  <c r="AP281" i="123"/>
  <c r="AO281" i="123"/>
  <c r="AN281" i="123"/>
  <c r="AM281" i="123"/>
  <c r="AL281" i="123"/>
  <c r="AK281" i="123"/>
  <c r="AJ281" i="123"/>
  <c r="AI281" i="123"/>
  <c r="AH281" i="123"/>
  <c r="AG281" i="123"/>
  <c r="AF281" i="123"/>
  <c r="AE281" i="123"/>
  <c r="R281" i="123"/>
  <c r="Q281" i="123"/>
  <c r="P281" i="123"/>
  <c r="O281" i="123"/>
  <c r="N281" i="123"/>
  <c r="M281" i="123"/>
  <c r="L281" i="123"/>
  <c r="K281" i="123"/>
  <c r="J281" i="123"/>
  <c r="I281" i="123"/>
  <c r="H281" i="123"/>
  <c r="G281" i="123"/>
  <c r="G193" i="123"/>
  <c r="H505" i="123"/>
  <c r="I505" i="123"/>
  <c r="J505" i="123"/>
  <c r="K505" i="123"/>
  <c r="L505" i="123"/>
  <c r="M505" i="123"/>
  <c r="N505" i="123"/>
  <c r="O505" i="123"/>
  <c r="P505" i="123"/>
  <c r="Q505" i="123"/>
  <c r="R505" i="123"/>
  <c r="AE505" i="123"/>
  <c r="AF505" i="123"/>
  <c r="AG505" i="123"/>
  <c r="AH505" i="123"/>
  <c r="AI505" i="123"/>
  <c r="AJ505" i="123"/>
  <c r="AK505" i="123"/>
  <c r="AL505" i="123"/>
  <c r="AM505" i="123"/>
  <c r="AN505" i="123"/>
  <c r="AO505" i="123"/>
  <c r="AP505" i="123"/>
  <c r="AQ505" i="123"/>
  <c r="AR505" i="123"/>
  <c r="AS505" i="123"/>
  <c r="AT505" i="123"/>
  <c r="AU505" i="123"/>
  <c r="AV505" i="123"/>
  <c r="AW505" i="123"/>
  <c r="AX505" i="123"/>
  <c r="AY505" i="123"/>
  <c r="AZ505" i="123"/>
  <c r="BA505" i="123"/>
  <c r="BB505" i="123"/>
  <c r="BC505" i="123"/>
  <c r="BD505" i="123"/>
  <c r="BE505" i="123"/>
  <c r="BF505" i="123"/>
  <c r="BG505" i="123"/>
  <c r="BH505" i="123"/>
  <c r="BI505" i="123"/>
  <c r="BJ505" i="123"/>
  <c r="BK505" i="123"/>
  <c r="BL505" i="123"/>
  <c r="BM505" i="123"/>
  <c r="BN505" i="123"/>
  <c r="BO505" i="123"/>
  <c r="G505" i="123"/>
  <c r="H494" i="123"/>
  <c r="I494" i="123"/>
  <c r="J494" i="123"/>
  <c r="K494" i="123"/>
  <c r="L494" i="123"/>
  <c r="M494" i="123"/>
  <c r="N494" i="123"/>
  <c r="O494" i="123"/>
  <c r="K18" i="133" s="1"/>
  <c r="P494" i="123"/>
  <c r="L18" i="133" s="1"/>
  <c r="Q494" i="123"/>
  <c r="M18" i="133" s="1"/>
  <c r="R494" i="123"/>
  <c r="N18" i="133" s="1"/>
  <c r="AE494" i="123"/>
  <c r="AF494" i="123"/>
  <c r="AG494" i="123"/>
  <c r="AH494" i="123"/>
  <c r="AI494" i="123"/>
  <c r="AJ494" i="123"/>
  <c r="AK494" i="123"/>
  <c r="AL494" i="123"/>
  <c r="AM494" i="123"/>
  <c r="AN494" i="123"/>
  <c r="AO494" i="123"/>
  <c r="AP494" i="123"/>
  <c r="AQ494" i="123"/>
  <c r="AR494" i="123"/>
  <c r="AS494" i="123"/>
  <c r="AT494" i="123"/>
  <c r="AU494" i="123"/>
  <c r="AV494" i="123"/>
  <c r="AW494" i="123"/>
  <c r="AX494" i="123"/>
  <c r="AY494" i="123"/>
  <c r="AZ494" i="123"/>
  <c r="BA494" i="123"/>
  <c r="BB494" i="123"/>
  <c r="BC494" i="123"/>
  <c r="BD494" i="123"/>
  <c r="BE494" i="123"/>
  <c r="BF494" i="123"/>
  <c r="BG494" i="123"/>
  <c r="BH494" i="123"/>
  <c r="BI494" i="123"/>
  <c r="BJ494" i="123"/>
  <c r="BK494" i="123"/>
  <c r="BL494" i="123"/>
  <c r="BM494" i="123"/>
  <c r="BN494" i="123"/>
  <c r="BO494" i="123"/>
  <c r="G494" i="123"/>
  <c r="H486" i="123"/>
  <c r="I486" i="123"/>
  <c r="J486" i="123"/>
  <c r="K486" i="123"/>
  <c r="L486" i="123"/>
  <c r="M486" i="123"/>
  <c r="N486" i="123"/>
  <c r="O486" i="123"/>
  <c r="P486" i="123"/>
  <c r="Q486" i="123"/>
  <c r="R486" i="123"/>
  <c r="AE486" i="123"/>
  <c r="AF486" i="123"/>
  <c r="AG486" i="123"/>
  <c r="AH486" i="123"/>
  <c r="AI486" i="123"/>
  <c r="AJ486" i="123"/>
  <c r="AK486" i="123"/>
  <c r="AL486" i="123"/>
  <c r="AM486" i="123"/>
  <c r="AN486" i="123"/>
  <c r="AO486" i="123"/>
  <c r="AP486" i="123"/>
  <c r="AQ486" i="123"/>
  <c r="AR486" i="123"/>
  <c r="AS486" i="123"/>
  <c r="AT486" i="123"/>
  <c r="AU486" i="123"/>
  <c r="AV486" i="123"/>
  <c r="AW486" i="123"/>
  <c r="AX486" i="123"/>
  <c r="AY486" i="123"/>
  <c r="AZ486" i="123"/>
  <c r="BA486" i="123"/>
  <c r="BB486" i="123"/>
  <c r="BC486" i="123"/>
  <c r="BD486" i="123"/>
  <c r="BE486" i="123"/>
  <c r="BF486" i="123"/>
  <c r="BG486" i="123"/>
  <c r="BH486" i="123"/>
  <c r="BI486" i="123"/>
  <c r="BJ486" i="123"/>
  <c r="BK486" i="123"/>
  <c r="BL486" i="123"/>
  <c r="BM486" i="123"/>
  <c r="BN486" i="123"/>
  <c r="BO486" i="123"/>
  <c r="G486" i="123"/>
  <c r="H476" i="123"/>
  <c r="I476" i="123"/>
  <c r="J476" i="123"/>
  <c r="K476" i="123"/>
  <c r="L476" i="123"/>
  <c r="M476" i="123"/>
  <c r="N476" i="123"/>
  <c r="O476" i="123"/>
  <c r="P476" i="123"/>
  <c r="Q476" i="123"/>
  <c r="R476" i="123"/>
  <c r="AE476" i="123"/>
  <c r="AF476" i="123"/>
  <c r="AG476" i="123"/>
  <c r="AH476" i="123"/>
  <c r="AI476" i="123"/>
  <c r="AJ476" i="123"/>
  <c r="AK476" i="123"/>
  <c r="AL476" i="123"/>
  <c r="AM476" i="123"/>
  <c r="AN476" i="123"/>
  <c r="AO476" i="123"/>
  <c r="AP476" i="123"/>
  <c r="AQ476" i="123"/>
  <c r="AR476" i="123"/>
  <c r="AS476" i="123"/>
  <c r="AT476" i="123"/>
  <c r="AU476" i="123"/>
  <c r="AV476" i="123"/>
  <c r="AW476" i="123"/>
  <c r="AX476" i="123"/>
  <c r="AY476" i="123"/>
  <c r="AZ476" i="123"/>
  <c r="BA476" i="123"/>
  <c r="BB476" i="123"/>
  <c r="BC476" i="123"/>
  <c r="BD476" i="123"/>
  <c r="BE476" i="123"/>
  <c r="BF476" i="123"/>
  <c r="BG476" i="123"/>
  <c r="BH476" i="123"/>
  <c r="BI476" i="123"/>
  <c r="BJ476" i="123"/>
  <c r="BK476" i="123"/>
  <c r="BL476" i="123"/>
  <c r="BM476" i="123"/>
  <c r="BN476" i="123"/>
  <c r="BO476" i="123"/>
  <c r="G476" i="123"/>
  <c r="H466" i="123"/>
  <c r="I466" i="123"/>
  <c r="J466" i="123"/>
  <c r="K466" i="123"/>
  <c r="L466" i="123"/>
  <c r="M466" i="123"/>
  <c r="N466" i="123"/>
  <c r="O466" i="123"/>
  <c r="P466" i="123"/>
  <c r="Q466" i="123"/>
  <c r="R466" i="123"/>
  <c r="AE466" i="123"/>
  <c r="AF466" i="123"/>
  <c r="AG466" i="123"/>
  <c r="AH466" i="123"/>
  <c r="AI466" i="123"/>
  <c r="AJ466" i="123"/>
  <c r="AK466" i="123"/>
  <c r="AL466" i="123"/>
  <c r="AM466" i="123"/>
  <c r="AN466" i="123"/>
  <c r="AO466" i="123"/>
  <c r="AP466" i="123"/>
  <c r="AQ466" i="123"/>
  <c r="AR466" i="123"/>
  <c r="AS466" i="123"/>
  <c r="AT466" i="123"/>
  <c r="AU466" i="123"/>
  <c r="AV466" i="123"/>
  <c r="AW466" i="123"/>
  <c r="AX466" i="123"/>
  <c r="AY466" i="123"/>
  <c r="AZ466" i="123"/>
  <c r="BA466" i="123"/>
  <c r="BB466" i="123"/>
  <c r="BC466" i="123"/>
  <c r="BD466" i="123"/>
  <c r="BE466" i="123"/>
  <c r="BF466" i="123"/>
  <c r="BG466" i="123"/>
  <c r="BH466" i="123"/>
  <c r="BI466" i="123"/>
  <c r="BJ466" i="123"/>
  <c r="BK466" i="123"/>
  <c r="BL466" i="123"/>
  <c r="BM466" i="123"/>
  <c r="BN466" i="123"/>
  <c r="BO466" i="123"/>
  <c r="G466" i="123"/>
  <c r="H457" i="123"/>
  <c r="I457" i="123"/>
  <c r="J457" i="123"/>
  <c r="K457" i="123"/>
  <c r="L457" i="123"/>
  <c r="M457" i="123"/>
  <c r="N457" i="123"/>
  <c r="O457" i="123"/>
  <c r="P457" i="123"/>
  <c r="Q457" i="123"/>
  <c r="R457" i="123"/>
  <c r="AE457" i="123"/>
  <c r="AF457" i="123"/>
  <c r="AG457" i="123"/>
  <c r="AH457" i="123"/>
  <c r="AI457" i="123"/>
  <c r="AJ457" i="123"/>
  <c r="AK457" i="123"/>
  <c r="AL457" i="123"/>
  <c r="AM457" i="123"/>
  <c r="AN457" i="123"/>
  <c r="AO457" i="123"/>
  <c r="AP457" i="123"/>
  <c r="AQ457" i="123"/>
  <c r="AR457" i="123"/>
  <c r="AS457" i="123"/>
  <c r="AT457" i="123"/>
  <c r="AU457" i="123"/>
  <c r="AV457" i="123"/>
  <c r="AW457" i="123"/>
  <c r="AX457" i="123"/>
  <c r="AY457" i="123"/>
  <c r="AZ457" i="123"/>
  <c r="BA457" i="123"/>
  <c r="BB457" i="123"/>
  <c r="BC457" i="123"/>
  <c r="BD457" i="123"/>
  <c r="BE457" i="123"/>
  <c r="BF457" i="123"/>
  <c r="BG457" i="123"/>
  <c r="BH457" i="123"/>
  <c r="BI457" i="123"/>
  <c r="BJ457" i="123"/>
  <c r="BK457" i="123"/>
  <c r="BL457" i="123"/>
  <c r="BM457" i="123"/>
  <c r="BN457" i="123"/>
  <c r="BO457" i="123"/>
  <c r="G457" i="123"/>
  <c r="H449" i="123"/>
  <c r="I449" i="123"/>
  <c r="J449" i="123"/>
  <c r="K449" i="123"/>
  <c r="L449" i="123"/>
  <c r="M449" i="123"/>
  <c r="N449" i="123"/>
  <c r="O449" i="123"/>
  <c r="P449" i="123"/>
  <c r="Q449" i="123"/>
  <c r="R449" i="123"/>
  <c r="AE449" i="123"/>
  <c r="AF449" i="123"/>
  <c r="AG449" i="123"/>
  <c r="AH449" i="123"/>
  <c r="AI449" i="123"/>
  <c r="AJ449" i="123"/>
  <c r="AK449" i="123"/>
  <c r="AL449" i="123"/>
  <c r="AM449" i="123"/>
  <c r="AN449" i="123"/>
  <c r="AO449" i="123"/>
  <c r="AP449" i="123"/>
  <c r="AQ449" i="123"/>
  <c r="AR449" i="123"/>
  <c r="AS449" i="123"/>
  <c r="AT449" i="123"/>
  <c r="AU449" i="123"/>
  <c r="AV449" i="123"/>
  <c r="AW449" i="123"/>
  <c r="AX449" i="123"/>
  <c r="AY449" i="123"/>
  <c r="AZ449" i="123"/>
  <c r="BA449" i="123"/>
  <c r="BB449" i="123"/>
  <c r="BC449" i="123"/>
  <c r="BD449" i="123"/>
  <c r="BE449" i="123"/>
  <c r="BF449" i="123"/>
  <c r="BG449" i="123"/>
  <c r="BH449" i="123"/>
  <c r="BI449" i="123"/>
  <c r="BJ449" i="123"/>
  <c r="BK449" i="123"/>
  <c r="BL449" i="123"/>
  <c r="BM449" i="123"/>
  <c r="BN449" i="123"/>
  <c r="BO449" i="123"/>
  <c r="G449" i="123"/>
  <c r="H443" i="123"/>
  <c r="I443" i="123"/>
  <c r="J443" i="123"/>
  <c r="K443" i="123"/>
  <c r="L443" i="123"/>
  <c r="M443" i="123"/>
  <c r="N443" i="123"/>
  <c r="O443" i="123"/>
  <c r="P443" i="123"/>
  <c r="Q443" i="123"/>
  <c r="R443" i="123"/>
  <c r="AE443" i="123"/>
  <c r="AF443" i="123"/>
  <c r="AG443" i="123"/>
  <c r="AH443" i="123"/>
  <c r="AI443" i="123"/>
  <c r="AJ443" i="123"/>
  <c r="AK443" i="123"/>
  <c r="AL443" i="123"/>
  <c r="AM443" i="123"/>
  <c r="AN443" i="123"/>
  <c r="AO443" i="123"/>
  <c r="AP443" i="123"/>
  <c r="AQ443" i="123"/>
  <c r="AR443" i="123"/>
  <c r="AS443" i="123"/>
  <c r="AT443" i="123"/>
  <c r="AU443" i="123"/>
  <c r="AV443" i="123"/>
  <c r="AW443" i="123"/>
  <c r="AX443" i="123"/>
  <c r="AY443" i="123"/>
  <c r="AZ443" i="123"/>
  <c r="BA443" i="123"/>
  <c r="BB443" i="123"/>
  <c r="BC443" i="123"/>
  <c r="BD443" i="123"/>
  <c r="BE443" i="123"/>
  <c r="BF443" i="123"/>
  <c r="BG443" i="123"/>
  <c r="BH443" i="123"/>
  <c r="BI443" i="123"/>
  <c r="BJ443" i="123"/>
  <c r="BK443" i="123"/>
  <c r="BL443" i="123"/>
  <c r="BM443" i="123"/>
  <c r="BN443" i="123"/>
  <c r="BO443" i="123"/>
  <c r="G443" i="123"/>
  <c r="H435" i="123"/>
  <c r="I435" i="123"/>
  <c r="J435" i="123"/>
  <c r="K435" i="123"/>
  <c r="L435" i="123"/>
  <c r="M435" i="123"/>
  <c r="N435" i="123"/>
  <c r="O435" i="123"/>
  <c r="P435" i="123"/>
  <c r="Q435" i="123"/>
  <c r="R435" i="123"/>
  <c r="AE435" i="123"/>
  <c r="AF435" i="123"/>
  <c r="AG435" i="123"/>
  <c r="AH435" i="123"/>
  <c r="AI435" i="123"/>
  <c r="AJ435" i="123"/>
  <c r="AK435" i="123"/>
  <c r="AL435" i="123"/>
  <c r="AM435" i="123"/>
  <c r="AN435" i="123"/>
  <c r="AO435" i="123"/>
  <c r="AP435" i="123"/>
  <c r="AQ435" i="123"/>
  <c r="AR435" i="123"/>
  <c r="AS435" i="123"/>
  <c r="AT435" i="123"/>
  <c r="AU435" i="123"/>
  <c r="AV435" i="123"/>
  <c r="AW435" i="123"/>
  <c r="AX435" i="123"/>
  <c r="AY435" i="123"/>
  <c r="AZ435" i="123"/>
  <c r="BA435" i="123"/>
  <c r="BB435" i="123"/>
  <c r="BC435" i="123"/>
  <c r="BD435" i="123"/>
  <c r="BE435" i="123"/>
  <c r="BF435" i="123"/>
  <c r="BG435" i="123"/>
  <c r="BH435" i="123"/>
  <c r="BI435" i="123"/>
  <c r="BJ435" i="123"/>
  <c r="BK435" i="123"/>
  <c r="BL435" i="123"/>
  <c r="BM435" i="123"/>
  <c r="BN435" i="123"/>
  <c r="BO435" i="123"/>
  <c r="G435" i="123"/>
  <c r="H421" i="123"/>
  <c r="I421" i="123"/>
  <c r="J421" i="123"/>
  <c r="K421" i="123"/>
  <c r="L421" i="123"/>
  <c r="M421" i="123"/>
  <c r="N421" i="123"/>
  <c r="O421" i="123"/>
  <c r="P421" i="123"/>
  <c r="Q421" i="123"/>
  <c r="R421" i="123"/>
  <c r="AE421" i="123"/>
  <c r="AF421" i="123"/>
  <c r="AG421" i="123"/>
  <c r="AH421" i="123"/>
  <c r="AI421" i="123"/>
  <c r="AJ421" i="123"/>
  <c r="AK421" i="123"/>
  <c r="AL421" i="123"/>
  <c r="AM421" i="123"/>
  <c r="AN421" i="123"/>
  <c r="AO421" i="123"/>
  <c r="AP421" i="123"/>
  <c r="AQ421" i="123"/>
  <c r="AR421" i="123"/>
  <c r="AS421" i="123"/>
  <c r="AT421" i="123"/>
  <c r="AU421" i="123"/>
  <c r="AV421" i="123"/>
  <c r="AW421" i="123"/>
  <c r="AX421" i="123"/>
  <c r="AY421" i="123"/>
  <c r="AZ421" i="123"/>
  <c r="BA421" i="123"/>
  <c r="BB421" i="123"/>
  <c r="BC421" i="123"/>
  <c r="BD421" i="123"/>
  <c r="BE421" i="123"/>
  <c r="BF421" i="123"/>
  <c r="BG421" i="123"/>
  <c r="BH421" i="123"/>
  <c r="BI421" i="123"/>
  <c r="BJ421" i="123"/>
  <c r="BK421" i="123"/>
  <c r="BL421" i="123"/>
  <c r="BM421" i="123"/>
  <c r="BN421" i="123"/>
  <c r="BO421" i="123"/>
  <c r="G421" i="123"/>
  <c r="H417" i="123"/>
  <c r="I417" i="123"/>
  <c r="J417" i="123"/>
  <c r="K417" i="123"/>
  <c r="L417" i="123"/>
  <c r="M417" i="123"/>
  <c r="N417" i="123"/>
  <c r="O417" i="123"/>
  <c r="P417" i="123"/>
  <c r="Q417" i="123"/>
  <c r="AE417" i="123"/>
  <c r="AF417" i="123"/>
  <c r="AG417" i="123"/>
  <c r="AH417" i="123"/>
  <c r="AI417" i="123"/>
  <c r="AJ417" i="123"/>
  <c r="AK417" i="123"/>
  <c r="AL417" i="123"/>
  <c r="AM417" i="123"/>
  <c r="AN417" i="123"/>
  <c r="AO417" i="123"/>
  <c r="AP417" i="123"/>
  <c r="AQ417" i="123"/>
  <c r="AR417" i="123"/>
  <c r="AS417" i="123"/>
  <c r="AT417" i="123"/>
  <c r="AU417" i="123"/>
  <c r="AV417" i="123"/>
  <c r="AW417" i="123"/>
  <c r="AX417" i="123"/>
  <c r="AY417" i="123"/>
  <c r="AZ417" i="123"/>
  <c r="BA417" i="123"/>
  <c r="BB417" i="123"/>
  <c r="BC417" i="123"/>
  <c r="BD417" i="123"/>
  <c r="BE417" i="123"/>
  <c r="BF417" i="123"/>
  <c r="BG417" i="123"/>
  <c r="BH417" i="123"/>
  <c r="BI417" i="123"/>
  <c r="BJ417" i="123"/>
  <c r="BK417" i="123"/>
  <c r="BL417" i="123"/>
  <c r="BM417" i="123"/>
  <c r="BN417" i="123"/>
  <c r="BO417" i="123"/>
  <c r="G417" i="123"/>
  <c r="H397" i="123"/>
  <c r="I397" i="123"/>
  <c r="J397" i="123"/>
  <c r="K397" i="123"/>
  <c r="L397" i="123"/>
  <c r="M397" i="123"/>
  <c r="N397" i="123"/>
  <c r="O397" i="123"/>
  <c r="P397" i="123"/>
  <c r="Q397" i="123"/>
  <c r="R397" i="123"/>
  <c r="AE397" i="123"/>
  <c r="AF397" i="123"/>
  <c r="AG397" i="123"/>
  <c r="AH397" i="123"/>
  <c r="AI397" i="123"/>
  <c r="AJ397" i="123"/>
  <c r="AK397" i="123"/>
  <c r="AL397" i="123"/>
  <c r="AM397" i="123"/>
  <c r="AN397" i="123"/>
  <c r="AO397" i="123"/>
  <c r="AP397" i="123"/>
  <c r="AQ397" i="123"/>
  <c r="AR397" i="123"/>
  <c r="AS397" i="123"/>
  <c r="AT397" i="123"/>
  <c r="AU397" i="123"/>
  <c r="AV397" i="123"/>
  <c r="AW397" i="123"/>
  <c r="AX397" i="123"/>
  <c r="AY397" i="123"/>
  <c r="AZ397" i="123"/>
  <c r="BA397" i="123"/>
  <c r="BB397" i="123"/>
  <c r="BC397" i="123"/>
  <c r="BD397" i="123"/>
  <c r="BE397" i="123"/>
  <c r="BF397" i="123"/>
  <c r="BG397" i="123"/>
  <c r="BH397" i="123"/>
  <c r="BI397" i="123"/>
  <c r="BJ397" i="123"/>
  <c r="BK397" i="123"/>
  <c r="BL397" i="123"/>
  <c r="BM397" i="123"/>
  <c r="BN397" i="123"/>
  <c r="BO397" i="123"/>
  <c r="G397" i="123"/>
  <c r="H382" i="123"/>
  <c r="I382" i="123"/>
  <c r="J382" i="123"/>
  <c r="K382" i="123"/>
  <c r="L382" i="123"/>
  <c r="M382" i="123"/>
  <c r="N382" i="123"/>
  <c r="O382" i="123"/>
  <c r="P382" i="123"/>
  <c r="Q382" i="123"/>
  <c r="R382" i="123"/>
  <c r="AE382" i="123"/>
  <c r="AF382" i="123"/>
  <c r="AG382" i="123"/>
  <c r="AH382" i="123"/>
  <c r="AI382" i="123"/>
  <c r="AJ382" i="123"/>
  <c r="AK382" i="123"/>
  <c r="AL382" i="123"/>
  <c r="AM382" i="123"/>
  <c r="AN382" i="123"/>
  <c r="AO382" i="123"/>
  <c r="AP382" i="123"/>
  <c r="AQ382" i="123"/>
  <c r="AR382" i="123"/>
  <c r="AS382" i="123"/>
  <c r="AT382" i="123"/>
  <c r="AU382" i="123"/>
  <c r="AV382" i="123"/>
  <c r="AW382" i="123"/>
  <c r="AX382" i="123"/>
  <c r="AY382" i="123"/>
  <c r="AZ382" i="123"/>
  <c r="BA382" i="123"/>
  <c r="BB382" i="123"/>
  <c r="BC382" i="123"/>
  <c r="BD382" i="123"/>
  <c r="BE382" i="123"/>
  <c r="BF382" i="123"/>
  <c r="BG382" i="123"/>
  <c r="BH382" i="123"/>
  <c r="BI382" i="123"/>
  <c r="BJ382" i="123"/>
  <c r="BK382" i="123"/>
  <c r="BL382" i="123"/>
  <c r="BM382" i="123"/>
  <c r="BN382" i="123"/>
  <c r="BO382" i="123"/>
  <c r="G382" i="123"/>
  <c r="H371" i="123"/>
  <c r="I371" i="123"/>
  <c r="J371" i="123"/>
  <c r="K371" i="123"/>
  <c r="L371" i="123"/>
  <c r="M371" i="123"/>
  <c r="N371" i="123"/>
  <c r="O371" i="123"/>
  <c r="P371" i="123"/>
  <c r="Q371" i="123"/>
  <c r="R371" i="123"/>
  <c r="AE371" i="123"/>
  <c r="AF371" i="123"/>
  <c r="AG371" i="123"/>
  <c r="AH371" i="123"/>
  <c r="AI371" i="123"/>
  <c r="AJ371" i="123"/>
  <c r="AK371" i="123"/>
  <c r="AL371" i="123"/>
  <c r="AM371" i="123"/>
  <c r="AN371" i="123"/>
  <c r="AO371" i="123"/>
  <c r="AP371" i="123"/>
  <c r="AQ371" i="123"/>
  <c r="AR371" i="123"/>
  <c r="AS371" i="123"/>
  <c r="AT371" i="123"/>
  <c r="AU371" i="123"/>
  <c r="AV371" i="123"/>
  <c r="AW371" i="123"/>
  <c r="AX371" i="123"/>
  <c r="AY371" i="123"/>
  <c r="AZ371" i="123"/>
  <c r="BA371" i="123"/>
  <c r="BB371" i="123"/>
  <c r="BC371" i="123"/>
  <c r="BD371" i="123"/>
  <c r="BE371" i="123"/>
  <c r="BF371" i="123"/>
  <c r="BG371" i="123"/>
  <c r="BH371" i="123"/>
  <c r="BI371" i="123"/>
  <c r="BJ371" i="123"/>
  <c r="BK371" i="123"/>
  <c r="BL371" i="123"/>
  <c r="BM371" i="123"/>
  <c r="BN371" i="123"/>
  <c r="BO371" i="123"/>
  <c r="G371" i="123"/>
  <c r="BO361" i="123"/>
  <c r="BN361" i="123"/>
  <c r="BM361" i="123"/>
  <c r="BL361" i="123"/>
  <c r="BK361" i="123"/>
  <c r="BJ361" i="123"/>
  <c r="BI361" i="123"/>
  <c r="BH361" i="123"/>
  <c r="BG361" i="123"/>
  <c r="BF361" i="123"/>
  <c r="BE361" i="123"/>
  <c r="BD361" i="123"/>
  <c r="BC361" i="123"/>
  <c r="BB361" i="123"/>
  <c r="BA361" i="123"/>
  <c r="AZ361" i="123"/>
  <c r="AY361" i="123"/>
  <c r="AX361" i="123"/>
  <c r="AW361" i="123"/>
  <c r="AV361" i="123"/>
  <c r="AU361" i="123"/>
  <c r="AT361" i="123"/>
  <c r="AS361" i="123"/>
  <c r="AR361" i="123"/>
  <c r="AQ361" i="123"/>
  <c r="AP361" i="123"/>
  <c r="AO361" i="123"/>
  <c r="AN361" i="123"/>
  <c r="AM361" i="123"/>
  <c r="AL361" i="123"/>
  <c r="AK361" i="123"/>
  <c r="AJ361" i="123"/>
  <c r="AI361" i="123"/>
  <c r="AH361" i="123"/>
  <c r="AG361" i="123"/>
  <c r="AF361" i="123"/>
  <c r="AE361" i="123"/>
  <c r="R361" i="123"/>
  <c r="Q361" i="123"/>
  <c r="P361" i="123"/>
  <c r="O361" i="123"/>
  <c r="N361" i="123"/>
  <c r="M361" i="123"/>
  <c r="L361" i="123"/>
  <c r="K361" i="123"/>
  <c r="J361" i="123"/>
  <c r="I361" i="123"/>
  <c r="H361" i="123"/>
  <c r="G361" i="123"/>
  <c r="BO352" i="123"/>
  <c r="BN352" i="123"/>
  <c r="BM352" i="123"/>
  <c r="BL352" i="123"/>
  <c r="BK352" i="123"/>
  <c r="BJ352" i="123"/>
  <c r="BI352" i="123"/>
  <c r="BH352" i="123"/>
  <c r="BG352" i="123"/>
  <c r="BF352" i="123"/>
  <c r="BE352" i="123"/>
  <c r="BD352" i="123"/>
  <c r="BC352" i="123"/>
  <c r="BB352" i="123"/>
  <c r="BA352" i="123"/>
  <c r="AZ352" i="123"/>
  <c r="AY352" i="123"/>
  <c r="AX352" i="123"/>
  <c r="AW352" i="123"/>
  <c r="AV352" i="123"/>
  <c r="AU352" i="123"/>
  <c r="AT352" i="123"/>
  <c r="AS352" i="123"/>
  <c r="AR352" i="123"/>
  <c r="AQ352" i="123"/>
  <c r="AP352" i="123"/>
  <c r="AO352" i="123"/>
  <c r="AN352" i="123"/>
  <c r="AM352" i="123"/>
  <c r="AL352" i="123"/>
  <c r="AK352" i="123"/>
  <c r="AJ352" i="123"/>
  <c r="AI352" i="123"/>
  <c r="AH352" i="123"/>
  <c r="AG352" i="123"/>
  <c r="AF352" i="123"/>
  <c r="AE352" i="123"/>
  <c r="Q352" i="123"/>
  <c r="P352" i="123"/>
  <c r="O352" i="123"/>
  <c r="N352" i="123"/>
  <c r="M352" i="123"/>
  <c r="L352" i="123"/>
  <c r="K352" i="123"/>
  <c r="J352" i="123"/>
  <c r="I352" i="123"/>
  <c r="H352" i="123"/>
  <c r="G352" i="123"/>
  <c r="AH40" i="141" l="1"/>
  <c r="AH42" i="141" s="1"/>
  <c r="AG40" i="141"/>
  <c r="AG42" i="141" s="1"/>
  <c r="AI29" i="141"/>
  <c r="O29" i="134"/>
  <c r="O40" i="134" s="1"/>
  <c r="O42" i="134" s="1"/>
  <c r="R29" i="135"/>
  <c r="Q29" i="136"/>
  <c r="O843" i="123"/>
  <c r="K12" i="136"/>
  <c r="I843" i="123"/>
  <c r="E12" i="136"/>
  <c r="J843" i="123"/>
  <c r="F12" i="136"/>
  <c r="L843" i="123"/>
  <c r="H12" i="136"/>
  <c r="N843" i="123"/>
  <c r="J12" i="136"/>
  <c r="J1011" i="123"/>
  <c r="F12" i="135"/>
  <c r="P1011" i="123"/>
  <c r="L12" i="135"/>
  <c r="M843" i="123"/>
  <c r="I12" i="136"/>
  <c r="P843" i="123"/>
  <c r="L12" i="136"/>
  <c r="N1011" i="123"/>
  <c r="J12" i="135"/>
  <c r="K1011" i="123"/>
  <c r="G12" i="135"/>
  <c r="I1011" i="123"/>
  <c r="E12" i="135"/>
  <c r="Q843" i="123"/>
  <c r="M12" i="136"/>
  <c r="R843" i="123"/>
  <c r="N12" i="136"/>
  <c r="R1011" i="123"/>
  <c r="N12" i="135"/>
  <c r="O1011" i="123"/>
  <c r="K12" i="135"/>
  <c r="M1011" i="123"/>
  <c r="I12" i="135"/>
  <c r="H1011" i="123"/>
  <c r="D12" i="135"/>
  <c r="K843" i="123"/>
  <c r="G12" i="136"/>
  <c r="H843" i="123"/>
  <c r="D12" i="136"/>
  <c r="G843" i="123"/>
  <c r="C12" i="136"/>
  <c r="Q1011" i="123"/>
  <c r="M12" i="135"/>
  <c r="L1011" i="123"/>
  <c r="H12" i="135"/>
  <c r="L29" i="133"/>
  <c r="L40" i="135"/>
  <c r="L40" i="134"/>
  <c r="L40" i="136"/>
  <c r="H40" i="135"/>
  <c r="H29" i="133"/>
  <c r="H40" i="134"/>
  <c r="H40" i="136"/>
  <c r="D40" i="136"/>
  <c r="D40" i="135"/>
  <c r="D40" i="134"/>
  <c r="D29" i="133"/>
  <c r="K29" i="133"/>
  <c r="K40" i="136"/>
  <c r="K40" i="134"/>
  <c r="K40" i="135"/>
  <c r="G40" i="134"/>
  <c r="G40" i="136"/>
  <c r="G40" i="135"/>
  <c r="G29" i="133"/>
  <c r="C40" i="136"/>
  <c r="C29" i="133"/>
  <c r="C40" i="135"/>
  <c r="C40" i="134"/>
  <c r="N29" i="133"/>
  <c r="J29" i="133"/>
  <c r="J40" i="135"/>
  <c r="J40" i="134"/>
  <c r="J40" i="136"/>
  <c r="F29" i="133"/>
  <c r="F40" i="135"/>
  <c r="F40" i="134"/>
  <c r="F40" i="136"/>
  <c r="M29" i="133"/>
  <c r="I29" i="133"/>
  <c r="I40" i="134"/>
  <c r="I40" i="136"/>
  <c r="I40" i="135"/>
  <c r="E40" i="136"/>
  <c r="E40" i="135"/>
  <c r="E40" i="134"/>
  <c r="E29" i="133"/>
  <c r="C18" i="133"/>
  <c r="BO656" i="123"/>
  <c r="BK656" i="123"/>
  <c r="BG656" i="123"/>
  <c r="BC656" i="123"/>
  <c r="AY656" i="123"/>
  <c r="AU656" i="123"/>
  <c r="AQ656" i="123"/>
  <c r="AM656" i="123"/>
  <c r="AI656" i="123"/>
  <c r="AE656" i="123"/>
  <c r="O656" i="123"/>
  <c r="K656" i="123"/>
  <c r="BM656" i="123"/>
  <c r="BI656" i="123"/>
  <c r="BE656" i="123"/>
  <c r="BA656" i="123"/>
  <c r="AW656" i="123"/>
  <c r="AS656" i="123"/>
  <c r="AO656" i="123"/>
  <c r="AK656" i="123"/>
  <c r="AG656" i="123"/>
  <c r="Q656" i="123"/>
  <c r="M656" i="123"/>
  <c r="I656" i="123"/>
  <c r="G656" i="123"/>
  <c r="BL656" i="123"/>
  <c r="BH656" i="123"/>
  <c r="BD656" i="123"/>
  <c r="AZ656" i="123"/>
  <c r="AV656" i="123"/>
  <c r="AR656" i="123"/>
  <c r="AN656" i="123"/>
  <c r="AJ656" i="123"/>
  <c r="AF656" i="123"/>
  <c r="P656" i="123"/>
  <c r="L656" i="123"/>
  <c r="H656" i="123"/>
  <c r="BN656" i="123"/>
  <c r="BJ656" i="123"/>
  <c r="BF656" i="123"/>
  <c r="BB656" i="123"/>
  <c r="AX656" i="123"/>
  <c r="AT656" i="123"/>
  <c r="AP656" i="123"/>
  <c r="AL656" i="123"/>
  <c r="AH656" i="123"/>
  <c r="R656" i="123"/>
  <c r="N656" i="123"/>
  <c r="J656" i="123"/>
  <c r="BL488" i="123"/>
  <c r="BL507" i="123" s="1"/>
  <c r="BH488" i="123"/>
  <c r="BH507" i="123" s="1"/>
  <c r="BD488" i="123"/>
  <c r="BD507" i="123" s="1"/>
  <c r="AZ488" i="123"/>
  <c r="AZ507" i="123" s="1"/>
  <c r="AV488" i="123"/>
  <c r="AV507" i="123" s="1"/>
  <c r="AR488" i="123"/>
  <c r="AR507" i="123" s="1"/>
  <c r="AN488" i="123"/>
  <c r="AN507" i="123" s="1"/>
  <c r="AJ488" i="123"/>
  <c r="AJ507" i="123" s="1"/>
  <c r="AF488" i="123"/>
  <c r="AF507" i="123" s="1"/>
  <c r="P488" i="123"/>
  <c r="L488" i="123"/>
  <c r="H488" i="123"/>
  <c r="BO488" i="123"/>
  <c r="BO507" i="123" s="1"/>
  <c r="BG488" i="123"/>
  <c r="BG507" i="123" s="1"/>
  <c r="AY488" i="123"/>
  <c r="AY507" i="123" s="1"/>
  <c r="AQ488" i="123"/>
  <c r="AQ507" i="123" s="1"/>
  <c r="AI488" i="123"/>
  <c r="AI507" i="123" s="1"/>
  <c r="G488" i="123"/>
  <c r="BM488" i="123"/>
  <c r="BM507" i="123" s="1"/>
  <c r="BI488" i="123"/>
  <c r="BI507" i="123" s="1"/>
  <c r="BE488" i="123"/>
  <c r="BE507" i="123" s="1"/>
  <c r="BA488" i="123"/>
  <c r="BA507" i="123" s="1"/>
  <c r="AW488" i="123"/>
  <c r="AW507" i="123" s="1"/>
  <c r="AS488" i="123"/>
  <c r="AS507" i="123" s="1"/>
  <c r="AO488" i="123"/>
  <c r="AO507" i="123" s="1"/>
  <c r="AK488" i="123"/>
  <c r="AK507" i="123" s="1"/>
  <c r="AG488" i="123"/>
  <c r="AG507" i="123" s="1"/>
  <c r="Q488" i="123"/>
  <c r="M488" i="123"/>
  <c r="I488" i="123"/>
  <c r="BK488" i="123"/>
  <c r="BK507" i="123" s="1"/>
  <c r="BC488" i="123"/>
  <c r="BC507" i="123" s="1"/>
  <c r="AU488" i="123"/>
  <c r="AU507" i="123" s="1"/>
  <c r="AM488" i="123"/>
  <c r="AM507" i="123" s="1"/>
  <c r="AE488" i="123"/>
  <c r="AE507" i="123" s="1"/>
  <c r="O488" i="123"/>
  <c r="K488" i="123"/>
  <c r="BN488" i="123"/>
  <c r="BN507" i="123" s="1"/>
  <c r="BJ488" i="123"/>
  <c r="BJ507" i="123" s="1"/>
  <c r="BF488" i="123"/>
  <c r="BF507" i="123" s="1"/>
  <c r="BB488" i="123"/>
  <c r="BB507" i="123" s="1"/>
  <c r="AX488" i="123"/>
  <c r="AX507" i="123" s="1"/>
  <c r="AT488" i="123"/>
  <c r="AT507" i="123" s="1"/>
  <c r="AP488" i="123"/>
  <c r="AP507" i="123" s="1"/>
  <c r="AL488" i="123"/>
  <c r="AL507" i="123" s="1"/>
  <c r="AH488" i="123"/>
  <c r="AH507" i="123" s="1"/>
  <c r="R488" i="123"/>
  <c r="N488" i="123"/>
  <c r="J488" i="123"/>
  <c r="H337" i="123"/>
  <c r="I337" i="123"/>
  <c r="J337" i="123"/>
  <c r="K337" i="123"/>
  <c r="L337" i="123"/>
  <c r="M337" i="123"/>
  <c r="N337" i="123"/>
  <c r="O337" i="123"/>
  <c r="P337" i="123"/>
  <c r="Q337" i="123"/>
  <c r="R337" i="123"/>
  <c r="AE337" i="123"/>
  <c r="AF337" i="123"/>
  <c r="AG337" i="123"/>
  <c r="AH337" i="123"/>
  <c r="AI337" i="123"/>
  <c r="AJ337" i="123"/>
  <c r="AK337" i="123"/>
  <c r="AL337" i="123"/>
  <c r="AM337" i="123"/>
  <c r="AN337" i="123"/>
  <c r="AO337" i="123"/>
  <c r="AP337" i="123"/>
  <c r="AQ337" i="123"/>
  <c r="AR337" i="123"/>
  <c r="AS337" i="123"/>
  <c r="AT337" i="123"/>
  <c r="AU337" i="123"/>
  <c r="AV337" i="123"/>
  <c r="AW337" i="123"/>
  <c r="AX337" i="123"/>
  <c r="AY337" i="123"/>
  <c r="AZ337" i="123"/>
  <c r="BA337" i="123"/>
  <c r="BB337" i="123"/>
  <c r="BC337" i="123"/>
  <c r="BD337" i="123"/>
  <c r="BE337" i="123"/>
  <c r="BF337" i="123"/>
  <c r="BG337" i="123"/>
  <c r="BH337" i="123"/>
  <c r="BI337" i="123"/>
  <c r="BJ337" i="123"/>
  <c r="BK337" i="123"/>
  <c r="BL337" i="123"/>
  <c r="BM337" i="123"/>
  <c r="BN337" i="123"/>
  <c r="BO337" i="123"/>
  <c r="G337" i="123"/>
  <c r="H326" i="123"/>
  <c r="I326" i="123"/>
  <c r="J326" i="123"/>
  <c r="K326" i="123"/>
  <c r="L326" i="123"/>
  <c r="M326" i="123"/>
  <c r="N326" i="123"/>
  <c r="O326" i="123"/>
  <c r="P326" i="123"/>
  <c r="Q326" i="123"/>
  <c r="R326" i="123"/>
  <c r="AE326" i="123"/>
  <c r="AF326" i="123"/>
  <c r="AG326" i="123"/>
  <c r="AH326" i="123"/>
  <c r="AI326" i="123"/>
  <c r="AJ326" i="123"/>
  <c r="AK326" i="123"/>
  <c r="AL326" i="123"/>
  <c r="AM326" i="123"/>
  <c r="AN326" i="123"/>
  <c r="AO326" i="123"/>
  <c r="AP326" i="123"/>
  <c r="AQ326" i="123"/>
  <c r="AR326" i="123"/>
  <c r="AS326" i="123"/>
  <c r="AT326" i="123"/>
  <c r="AU326" i="123"/>
  <c r="AV326" i="123"/>
  <c r="AW326" i="123"/>
  <c r="AX326" i="123"/>
  <c r="AY326" i="123"/>
  <c r="AZ326" i="123"/>
  <c r="BA326" i="123"/>
  <c r="BB326" i="123"/>
  <c r="BC326" i="123"/>
  <c r="BD326" i="123"/>
  <c r="BE326" i="123"/>
  <c r="BF326" i="123"/>
  <c r="BG326" i="123"/>
  <c r="BH326" i="123"/>
  <c r="BI326" i="123"/>
  <c r="BJ326" i="123"/>
  <c r="BK326" i="123"/>
  <c r="BL326" i="123"/>
  <c r="BM326" i="123"/>
  <c r="BN326" i="123"/>
  <c r="BO326" i="123"/>
  <c r="G326" i="123"/>
  <c r="H318" i="123"/>
  <c r="I318" i="123"/>
  <c r="J318" i="123"/>
  <c r="K318" i="123"/>
  <c r="L318" i="123"/>
  <c r="M318" i="123"/>
  <c r="N318" i="123"/>
  <c r="O318" i="123"/>
  <c r="P318" i="123"/>
  <c r="Q318" i="123"/>
  <c r="R318" i="123"/>
  <c r="AE318" i="123"/>
  <c r="AF318" i="123"/>
  <c r="AG318" i="123"/>
  <c r="AH318" i="123"/>
  <c r="AI318" i="123"/>
  <c r="AJ318" i="123"/>
  <c r="AK318" i="123"/>
  <c r="AL318" i="123"/>
  <c r="AM318" i="123"/>
  <c r="AN318" i="123"/>
  <c r="AO318" i="123"/>
  <c r="AP318" i="123"/>
  <c r="AQ318" i="123"/>
  <c r="AR318" i="123"/>
  <c r="AS318" i="123"/>
  <c r="AT318" i="123"/>
  <c r="AU318" i="123"/>
  <c r="AV318" i="123"/>
  <c r="AW318" i="123"/>
  <c r="AX318" i="123"/>
  <c r="AY318" i="123"/>
  <c r="AZ318" i="123"/>
  <c r="BA318" i="123"/>
  <c r="BB318" i="123"/>
  <c r="BC318" i="123"/>
  <c r="BD318" i="123"/>
  <c r="BE318" i="123"/>
  <c r="BF318" i="123"/>
  <c r="BG318" i="123"/>
  <c r="BH318" i="123"/>
  <c r="BI318" i="123"/>
  <c r="BJ318" i="123"/>
  <c r="BK318" i="123"/>
  <c r="BL318" i="123"/>
  <c r="BM318" i="123"/>
  <c r="BN318" i="123"/>
  <c r="BO318" i="123"/>
  <c r="G318" i="123"/>
  <c r="H298" i="123"/>
  <c r="I298" i="123"/>
  <c r="J298" i="123"/>
  <c r="K298" i="123"/>
  <c r="L298" i="123"/>
  <c r="M298" i="123"/>
  <c r="N298" i="123"/>
  <c r="O298" i="123"/>
  <c r="P298" i="123"/>
  <c r="Q298" i="123"/>
  <c r="R298" i="123"/>
  <c r="AE298" i="123"/>
  <c r="AF298" i="123"/>
  <c r="AG298" i="123"/>
  <c r="AH298" i="123"/>
  <c r="AI298" i="123"/>
  <c r="AJ298" i="123"/>
  <c r="AK298" i="123"/>
  <c r="AL298" i="123"/>
  <c r="AM298" i="123"/>
  <c r="AN298" i="123"/>
  <c r="AO298" i="123"/>
  <c r="AP298" i="123"/>
  <c r="AQ298" i="123"/>
  <c r="AR298" i="123"/>
  <c r="AS298" i="123"/>
  <c r="AT298" i="123"/>
  <c r="AU298" i="123"/>
  <c r="AV298" i="123"/>
  <c r="AW298" i="123"/>
  <c r="AX298" i="123"/>
  <c r="AY298" i="123"/>
  <c r="AZ298" i="123"/>
  <c r="BA298" i="123"/>
  <c r="BB298" i="123"/>
  <c r="BC298" i="123"/>
  <c r="BD298" i="123"/>
  <c r="BE298" i="123"/>
  <c r="BF298" i="123"/>
  <c r="BG298" i="123"/>
  <c r="BH298" i="123"/>
  <c r="BI298" i="123"/>
  <c r="BJ298" i="123"/>
  <c r="BK298" i="123"/>
  <c r="BL298" i="123"/>
  <c r="BM298" i="123"/>
  <c r="BN298" i="123"/>
  <c r="BO298" i="123"/>
  <c r="H308" i="123"/>
  <c r="I308" i="123"/>
  <c r="J308" i="123"/>
  <c r="K308" i="123"/>
  <c r="L308" i="123"/>
  <c r="M308" i="123"/>
  <c r="N308" i="123"/>
  <c r="O308" i="123"/>
  <c r="P308" i="123"/>
  <c r="Q308" i="123"/>
  <c r="R308" i="123"/>
  <c r="AE308" i="123"/>
  <c r="AF308" i="123"/>
  <c r="AG308" i="123"/>
  <c r="AH308" i="123"/>
  <c r="AI308" i="123"/>
  <c r="AJ308" i="123"/>
  <c r="AK308" i="123"/>
  <c r="AL308" i="123"/>
  <c r="AM308" i="123"/>
  <c r="AN308" i="123"/>
  <c r="AO308" i="123"/>
  <c r="AP308" i="123"/>
  <c r="AQ308" i="123"/>
  <c r="AR308" i="123"/>
  <c r="AS308" i="123"/>
  <c r="AT308" i="123"/>
  <c r="AU308" i="123"/>
  <c r="AV308" i="123"/>
  <c r="AW308" i="123"/>
  <c r="AX308" i="123"/>
  <c r="AY308" i="123"/>
  <c r="AZ308" i="123"/>
  <c r="BA308" i="123"/>
  <c r="BB308" i="123"/>
  <c r="BC308" i="123"/>
  <c r="BD308" i="123"/>
  <c r="BE308" i="123"/>
  <c r="BF308" i="123"/>
  <c r="BG308" i="123"/>
  <c r="BH308" i="123"/>
  <c r="BI308" i="123"/>
  <c r="BJ308" i="123"/>
  <c r="BK308" i="123"/>
  <c r="BL308" i="123"/>
  <c r="BM308" i="123"/>
  <c r="BN308" i="123"/>
  <c r="BO308" i="123"/>
  <c r="G308" i="123"/>
  <c r="G298" i="123"/>
  <c r="H289" i="123"/>
  <c r="I289" i="123"/>
  <c r="J289" i="123"/>
  <c r="K289" i="123"/>
  <c r="L289" i="123"/>
  <c r="M289" i="123"/>
  <c r="N289" i="123"/>
  <c r="O289" i="123"/>
  <c r="P289" i="123"/>
  <c r="Q289" i="123"/>
  <c r="R289" i="123"/>
  <c r="AE289" i="123"/>
  <c r="AF289" i="123"/>
  <c r="AG289" i="123"/>
  <c r="AH289" i="123"/>
  <c r="AI289" i="123"/>
  <c r="AJ289" i="123"/>
  <c r="AK289" i="123"/>
  <c r="AL289" i="123"/>
  <c r="AM289" i="123"/>
  <c r="AN289" i="123"/>
  <c r="AO289" i="123"/>
  <c r="AP289" i="123"/>
  <c r="AQ289" i="123"/>
  <c r="AR289" i="123"/>
  <c r="AS289" i="123"/>
  <c r="AT289" i="123"/>
  <c r="AU289" i="123"/>
  <c r="AV289" i="123"/>
  <c r="AW289" i="123"/>
  <c r="AX289" i="123"/>
  <c r="AY289" i="123"/>
  <c r="AZ289" i="123"/>
  <c r="BA289" i="123"/>
  <c r="BB289" i="123"/>
  <c r="BC289" i="123"/>
  <c r="BD289" i="123"/>
  <c r="BE289" i="123"/>
  <c r="BF289" i="123"/>
  <c r="BG289" i="123"/>
  <c r="BH289" i="123"/>
  <c r="BI289" i="123"/>
  <c r="BJ289" i="123"/>
  <c r="BK289" i="123"/>
  <c r="BL289" i="123"/>
  <c r="BM289" i="123"/>
  <c r="BN289" i="123"/>
  <c r="BO289" i="123"/>
  <c r="G289" i="123"/>
  <c r="H275" i="123"/>
  <c r="I275" i="123"/>
  <c r="J275" i="123"/>
  <c r="K275" i="123"/>
  <c r="L275" i="123"/>
  <c r="M275" i="123"/>
  <c r="N275" i="123"/>
  <c r="O275" i="123"/>
  <c r="P275" i="123"/>
  <c r="Q275" i="123"/>
  <c r="R275" i="123"/>
  <c r="AE275" i="123"/>
  <c r="AF275" i="123"/>
  <c r="AG275" i="123"/>
  <c r="AH275" i="123"/>
  <c r="AI275" i="123"/>
  <c r="AJ275" i="123"/>
  <c r="AK275" i="123"/>
  <c r="AL275" i="123"/>
  <c r="AM275" i="123"/>
  <c r="AN275" i="123"/>
  <c r="AO275" i="123"/>
  <c r="AP275" i="123"/>
  <c r="AQ275" i="123"/>
  <c r="AR275" i="123"/>
  <c r="AS275" i="123"/>
  <c r="AT275" i="123"/>
  <c r="AU275" i="123"/>
  <c r="AV275" i="123"/>
  <c r="AW275" i="123"/>
  <c r="AX275" i="123"/>
  <c r="AY275" i="123"/>
  <c r="AZ275" i="123"/>
  <c r="BA275" i="123"/>
  <c r="BB275" i="123"/>
  <c r="BC275" i="123"/>
  <c r="BD275" i="123"/>
  <c r="BE275" i="123"/>
  <c r="BF275" i="123"/>
  <c r="BG275" i="123"/>
  <c r="BH275" i="123"/>
  <c r="BI275" i="123"/>
  <c r="BJ275" i="123"/>
  <c r="BK275" i="123"/>
  <c r="BL275" i="123"/>
  <c r="BM275" i="123"/>
  <c r="BN275" i="123"/>
  <c r="BO275" i="123"/>
  <c r="G275" i="123"/>
  <c r="H267" i="123"/>
  <c r="I267" i="123"/>
  <c r="J267" i="123"/>
  <c r="K267" i="123"/>
  <c r="L267" i="123"/>
  <c r="M267" i="123"/>
  <c r="N267" i="123"/>
  <c r="O267" i="123"/>
  <c r="P267" i="123"/>
  <c r="Q267" i="123"/>
  <c r="R267" i="123"/>
  <c r="AE267" i="123"/>
  <c r="AF267" i="123"/>
  <c r="AG267" i="123"/>
  <c r="AH267" i="123"/>
  <c r="AI267" i="123"/>
  <c r="AJ267" i="123"/>
  <c r="AK267" i="123"/>
  <c r="AL267" i="123"/>
  <c r="AM267" i="123"/>
  <c r="AN267" i="123"/>
  <c r="AO267" i="123"/>
  <c r="AP267" i="123"/>
  <c r="AQ267" i="123"/>
  <c r="AR267" i="123"/>
  <c r="AS267" i="123"/>
  <c r="AT267" i="123"/>
  <c r="AU267" i="123"/>
  <c r="AV267" i="123"/>
  <c r="AW267" i="123"/>
  <c r="AX267" i="123"/>
  <c r="AY267" i="123"/>
  <c r="AZ267" i="123"/>
  <c r="BA267" i="123"/>
  <c r="BB267" i="123"/>
  <c r="BC267" i="123"/>
  <c r="BD267" i="123"/>
  <c r="BE267" i="123"/>
  <c r="BF267" i="123"/>
  <c r="BG267" i="123"/>
  <c r="BH267" i="123"/>
  <c r="BI267" i="123"/>
  <c r="BJ267" i="123"/>
  <c r="BK267" i="123"/>
  <c r="BL267" i="123"/>
  <c r="BM267" i="123"/>
  <c r="BN267" i="123"/>
  <c r="BO267" i="123"/>
  <c r="G267" i="123"/>
  <c r="H253" i="123"/>
  <c r="I253" i="123"/>
  <c r="J253" i="123"/>
  <c r="K253" i="123"/>
  <c r="L253" i="123"/>
  <c r="M253" i="123"/>
  <c r="N253" i="123"/>
  <c r="O253" i="123"/>
  <c r="P253" i="123"/>
  <c r="Q253" i="123"/>
  <c r="R253" i="123"/>
  <c r="AE253" i="123"/>
  <c r="AF253" i="123"/>
  <c r="AG253" i="123"/>
  <c r="AH253" i="123"/>
  <c r="AI253" i="123"/>
  <c r="AJ253" i="123"/>
  <c r="AK253" i="123"/>
  <c r="AL253" i="123"/>
  <c r="AM253" i="123"/>
  <c r="AN253" i="123"/>
  <c r="AO253" i="123"/>
  <c r="AP253" i="123"/>
  <c r="AQ253" i="123"/>
  <c r="AR253" i="123"/>
  <c r="AS253" i="123"/>
  <c r="AT253" i="123"/>
  <c r="AU253" i="123"/>
  <c r="AV253" i="123"/>
  <c r="AW253" i="123"/>
  <c r="AX253" i="123"/>
  <c r="AY253" i="123"/>
  <c r="AZ253" i="123"/>
  <c r="BA253" i="123"/>
  <c r="BB253" i="123"/>
  <c r="BC253" i="123"/>
  <c r="BD253" i="123"/>
  <c r="BE253" i="123"/>
  <c r="BF253" i="123"/>
  <c r="BG253" i="123"/>
  <c r="BH253" i="123"/>
  <c r="BI253" i="123"/>
  <c r="BJ253" i="123"/>
  <c r="BK253" i="123"/>
  <c r="BL253" i="123"/>
  <c r="BM253" i="123"/>
  <c r="BN253" i="123"/>
  <c r="BO253" i="123"/>
  <c r="G253" i="123"/>
  <c r="H229" i="123"/>
  <c r="I229" i="123"/>
  <c r="J229" i="123"/>
  <c r="K229" i="123"/>
  <c r="L229" i="123"/>
  <c r="M229" i="123"/>
  <c r="N229" i="123"/>
  <c r="O229" i="123"/>
  <c r="P229" i="123"/>
  <c r="Q229" i="123"/>
  <c r="R229" i="123"/>
  <c r="AE229" i="123"/>
  <c r="AF229" i="123"/>
  <c r="AG229" i="123"/>
  <c r="AH229" i="123"/>
  <c r="AI229" i="123"/>
  <c r="AJ229" i="123"/>
  <c r="AK229" i="123"/>
  <c r="AL229" i="123"/>
  <c r="AM229" i="123"/>
  <c r="AN229" i="123"/>
  <c r="AO229" i="123"/>
  <c r="AP229" i="123"/>
  <c r="AQ229" i="123"/>
  <c r="AR229" i="123"/>
  <c r="AS229" i="123"/>
  <c r="AT229" i="123"/>
  <c r="AU229" i="123"/>
  <c r="AV229" i="123"/>
  <c r="AW229" i="123"/>
  <c r="AX229" i="123"/>
  <c r="AY229" i="123"/>
  <c r="AZ229" i="123"/>
  <c r="BA229" i="123"/>
  <c r="BB229" i="123"/>
  <c r="BC229" i="123"/>
  <c r="BD229" i="123"/>
  <c r="BE229" i="123"/>
  <c r="BF229" i="123"/>
  <c r="BG229" i="123"/>
  <c r="BH229" i="123"/>
  <c r="BI229" i="123"/>
  <c r="BJ229" i="123"/>
  <c r="BK229" i="123"/>
  <c r="BL229" i="123"/>
  <c r="BM229" i="123"/>
  <c r="BN229" i="123"/>
  <c r="BO229" i="123"/>
  <c r="H249" i="123"/>
  <c r="I249" i="123"/>
  <c r="J249" i="123"/>
  <c r="K249" i="123"/>
  <c r="L249" i="123"/>
  <c r="M249" i="123"/>
  <c r="N249" i="123"/>
  <c r="O249" i="123"/>
  <c r="P249" i="123"/>
  <c r="Q249" i="123"/>
  <c r="R249" i="123"/>
  <c r="AE249" i="123"/>
  <c r="AF249" i="123"/>
  <c r="AG249" i="123"/>
  <c r="AH249" i="123"/>
  <c r="AI249" i="123"/>
  <c r="AJ249" i="123"/>
  <c r="AK249" i="123"/>
  <c r="AL249" i="123"/>
  <c r="AM249" i="123"/>
  <c r="AN249" i="123"/>
  <c r="AO249" i="123"/>
  <c r="AP249" i="123"/>
  <c r="AQ249" i="123"/>
  <c r="AR249" i="123"/>
  <c r="AS249" i="123"/>
  <c r="AT249" i="123"/>
  <c r="AU249" i="123"/>
  <c r="AV249" i="123"/>
  <c r="AW249" i="123"/>
  <c r="AX249" i="123"/>
  <c r="AY249" i="123"/>
  <c r="AZ249" i="123"/>
  <c r="BA249" i="123"/>
  <c r="BB249" i="123"/>
  <c r="BC249" i="123"/>
  <c r="BD249" i="123"/>
  <c r="BE249" i="123"/>
  <c r="BF249" i="123"/>
  <c r="BG249" i="123"/>
  <c r="BH249" i="123"/>
  <c r="BI249" i="123"/>
  <c r="BJ249" i="123"/>
  <c r="BK249" i="123"/>
  <c r="BL249" i="123"/>
  <c r="BM249" i="123"/>
  <c r="BN249" i="123"/>
  <c r="BO249" i="123"/>
  <c r="G249" i="123"/>
  <c r="G229" i="123"/>
  <c r="H214" i="123"/>
  <c r="I214" i="123"/>
  <c r="J214" i="123"/>
  <c r="K214" i="123"/>
  <c r="L214" i="123"/>
  <c r="M214" i="123"/>
  <c r="N214" i="123"/>
  <c r="O214" i="123"/>
  <c r="P214" i="123"/>
  <c r="Q214" i="123"/>
  <c r="R214" i="123"/>
  <c r="AE214" i="123"/>
  <c r="AF214" i="123"/>
  <c r="AG214" i="123"/>
  <c r="AH214" i="123"/>
  <c r="AI214" i="123"/>
  <c r="AJ214" i="123"/>
  <c r="AK214" i="123"/>
  <c r="AL214" i="123"/>
  <c r="AM214" i="123"/>
  <c r="AN214" i="123"/>
  <c r="AO214" i="123"/>
  <c r="AP214" i="123"/>
  <c r="AQ214" i="123"/>
  <c r="AR214" i="123"/>
  <c r="AS214" i="123"/>
  <c r="AT214" i="123"/>
  <c r="AU214" i="123"/>
  <c r="AV214" i="123"/>
  <c r="AW214" i="123"/>
  <c r="AX214" i="123"/>
  <c r="AY214" i="123"/>
  <c r="AZ214" i="123"/>
  <c r="BA214" i="123"/>
  <c r="BB214" i="123"/>
  <c r="BC214" i="123"/>
  <c r="BD214" i="123"/>
  <c r="BE214" i="123"/>
  <c r="BF214" i="123"/>
  <c r="BG214" i="123"/>
  <c r="BH214" i="123"/>
  <c r="BI214" i="123"/>
  <c r="BJ214" i="123"/>
  <c r="BK214" i="123"/>
  <c r="BL214" i="123"/>
  <c r="BM214" i="123"/>
  <c r="BN214" i="123"/>
  <c r="BO214" i="123"/>
  <c r="G214" i="123"/>
  <c r="BO203" i="123"/>
  <c r="BN203" i="123"/>
  <c r="BM203" i="123"/>
  <c r="BL203" i="123"/>
  <c r="BK203" i="123"/>
  <c r="BJ203" i="123"/>
  <c r="BI203" i="123"/>
  <c r="BH203" i="123"/>
  <c r="BG203" i="123"/>
  <c r="BF203" i="123"/>
  <c r="BE203" i="123"/>
  <c r="BD203" i="123"/>
  <c r="BC203" i="123"/>
  <c r="BB203" i="123"/>
  <c r="BA203" i="123"/>
  <c r="AZ203" i="123"/>
  <c r="AY203" i="123"/>
  <c r="AX203" i="123"/>
  <c r="AW203" i="123"/>
  <c r="AV203" i="123"/>
  <c r="AU203" i="123"/>
  <c r="AT203" i="123"/>
  <c r="AS203" i="123"/>
  <c r="AR203" i="123"/>
  <c r="AQ203" i="123"/>
  <c r="AP203" i="123"/>
  <c r="AO203" i="123"/>
  <c r="AN203" i="123"/>
  <c r="AM203" i="123"/>
  <c r="AL203" i="123"/>
  <c r="AK203" i="123"/>
  <c r="AJ203" i="123"/>
  <c r="AI203" i="123"/>
  <c r="AH203" i="123"/>
  <c r="AG203" i="123"/>
  <c r="AF203" i="123"/>
  <c r="AE203" i="123"/>
  <c r="R203" i="123"/>
  <c r="Q203" i="123"/>
  <c r="P203" i="123"/>
  <c r="O203" i="123"/>
  <c r="N203" i="123"/>
  <c r="M203" i="123"/>
  <c r="L203" i="123"/>
  <c r="K203" i="123"/>
  <c r="J203" i="123"/>
  <c r="I203" i="123"/>
  <c r="H203" i="123"/>
  <c r="G203" i="123"/>
  <c r="BO199" i="123"/>
  <c r="BN199" i="123"/>
  <c r="BM199" i="123"/>
  <c r="BL199" i="123"/>
  <c r="BK199" i="123"/>
  <c r="BJ199" i="123"/>
  <c r="BI199" i="123"/>
  <c r="BH199" i="123"/>
  <c r="BG199" i="123"/>
  <c r="BF199" i="123"/>
  <c r="BE199" i="123"/>
  <c r="BD199" i="123"/>
  <c r="BC199" i="123"/>
  <c r="BB199" i="123"/>
  <c r="BA199" i="123"/>
  <c r="AZ199" i="123"/>
  <c r="AY199" i="123"/>
  <c r="AX199" i="123"/>
  <c r="AW199" i="123"/>
  <c r="AV199" i="123"/>
  <c r="AU199" i="123"/>
  <c r="AT199" i="123"/>
  <c r="AS199" i="123"/>
  <c r="AR199" i="123"/>
  <c r="AQ199" i="123"/>
  <c r="AP199" i="123"/>
  <c r="AO199" i="123"/>
  <c r="AN199" i="123"/>
  <c r="AM199" i="123"/>
  <c r="AL199" i="123"/>
  <c r="AK199" i="123"/>
  <c r="AJ199" i="123"/>
  <c r="AI199" i="123"/>
  <c r="AH199" i="123"/>
  <c r="AG199" i="123"/>
  <c r="AF199" i="123"/>
  <c r="AE199" i="123"/>
  <c r="R199" i="123"/>
  <c r="Q199" i="123"/>
  <c r="P199" i="123"/>
  <c r="O199" i="123"/>
  <c r="N199" i="123"/>
  <c r="M199" i="123"/>
  <c r="L199" i="123"/>
  <c r="K199" i="123"/>
  <c r="J199" i="123"/>
  <c r="I199" i="123"/>
  <c r="H199" i="123"/>
  <c r="G199" i="123"/>
  <c r="BO193" i="123"/>
  <c r="BN193" i="123"/>
  <c r="BM193" i="123"/>
  <c r="BL193" i="123"/>
  <c r="BK193" i="123"/>
  <c r="BJ193" i="123"/>
  <c r="BI193" i="123"/>
  <c r="BH193" i="123"/>
  <c r="BG193" i="123"/>
  <c r="BF193" i="123"/>
  <c r="BE193" i="123"/>
  <c r="BD193" i="123"/>
  <c r="BC193" i="123"/>
  <c r="BB193" i="123"/>
  <c r="BA193" i="123"/>
  <c r="AZ193" i="123"/>
  <c r="AY193" i="123"/>
  <c r="AX193" i="123"/>
  <c r="AW193" i="123"/>
  <c r="AV193" i="123"/>
  <c r="AU193" i="123"/>
  <c r="AT193" i="123"/>
  <c r="AS193" i="123"/>
  <c r="AR193" i="123"/>
  <c r="AQ193" i="123"/>
  <c r="AP193" i="123"/>
  <c r="AO193" i="123"/>
  <c r="AN193" i="123"/>
  <c r="AM193" i="123"/>
  <c r="AL193" i="123"/>
  <c r="AK193" i="123"/>
  <c r="AJ193" i="123"/>
  <c r="AI193" i="123"/>
  <c r="AH193" i="123"/>
  <c r="AG193" i="123"/>
  <c r="AF193" i="123"/>
  <c r="AE193" i="123"/>
  <c r="R193" i="123"/>
  <c r="Q193" i="123"/>
  <c r="P193" i="123"/>
  <c r="O193" i="123"/>
  <c r="N193" i="123"/>
  <c r="M193" i="123"/>
  <c r="L193" i="123"/>
  <c r="K193" i="123"/>
  <c r="J193" i="123"/>
  <c r="I193" i="123"/>
  <c r="H193" i="123"/>
  <c r="BO184" i="123"/>
  <c r="BN184" i="123"/>
  <c r="BM184" i="123"/>
  <c r="BL184" i="123"/>
  <c r="BK184" i="123"/>
  <c r="BJ184" i="123"/>
  <c r="BI184" i="123"/>
  <c r="BH184" i="123"/>
  <c r="BG184" i="123"/>
  <c r="BF184" i="123"/>
  <c r="BE184" i="123"/>
  <c r="BD184" i="123"/>
  <c r="BC184" i="123"/>
  <c r="BB184" i="123"/>
  <c r="BA184" i="123"/>
  <c r="AZ184" i="123"/>
  <c r="AY184" i="123"/>
  <c r="AX184" i="123"/>
  <c r="AW184" i="123"/>
  <c r="AV184" i="123"/>
  <c r="AU184" i="123"/>
  <c r="AT184" i="123"/>
  <c r="AS184" i="123"/>
  <c r="AR184" i="123"/>
  <c r="AQ184" i="123"/>
  <c r="AP184" i="123"/>
  <c r="AO184" i="123"/>
  <c r="AN184" i="123"/>
  <c r="AM184" i="123"/>
  <c r="AL184" i="123"/>
  <c r="AK184" i="123"/>
  <c r="AJ184" i="123"/>
  <c r="AI184" i="123"/>
  <c r="AH184" i="123"/>
  <c r="AG184" i="123"/>
  <c r="AF184" i="123"/>
  <c r="AE184" i="123"/>
  <c r="R184" i="123"/>
  <c r="Q184" i="123"/>
  <c r="P184" i="123"/>
  <c r="O184" i="123"/>
  <c r="N184" i="123"/>
  <c r="M184" i="123"/>
  <c r="L184" i="123"/>
  <c r="K184" i="123"/>
  <c r="J184" i="123"/>
  <c r="I184" i="123"/>
  <c r="H184" i="123"/>
  <c r="G184" i="123"/>
  <c r="AI40" i="141" l="1"/>
  <c r="AI42" i="141" s="1"/>
  <c r="AJ29" i="141"/>
  <c r="M29" i="132"/>
  <c r="M40" i="132" s="1"/>
  <c r="I29" i="132"/>
  <c r="I40" i="132" s="1"/>
  <c r="E29" i="132"/>
  <c r="E40" i="132" s="1"/>
  <c r="C29" i="132"/>
  <c r="C40" i="132" s="1"/>
  <c r="L29" i="132"/>
  <c r="L40" i="132" s="1"/>
  <c r="H29" i="132"/>
  <c r="H40" i="132" s="1"/>
  <c r="D29" i="132"/>
  <c r="D40" i="132" s="1"/>
  <c r="K29" i="132"/>
  <c r="K40" i="132" s="1"/>
  <c r="G29" i="132"/>
  <c r="G40" i="132" s="1"/>
  <c r="N29" i="132"/>
  <c r="N40" i="132" s="1"/>
  <c r="J29" i="132"/>
  <c r="J40" i="132" s="1"/>
  <c r="F29" i="132"/>
  <c r="F40" i="132" s="1"/>
  <c r="C18" i="132"/>
  <c r="I40" i="133"/>
  <c r="Q40" i="136"/>
  <c r="Q42" i="136" s="1"/>
  <c r="R29" i="136"/>
  <c r="R40" i="136" s="1"/>
  <c r="R42" i="136" s="1"/>
  <c r="E40" i="133"/>
  <c r="F40" i="133"/>
  <c r="J40" i="133"/>
  <c r="C40" i="133"/>
  <c r="O29" i="133"/>
  <c r="O40" i="133" s="1"/>
  <c r="O42" i="133" s="1"/>
  <c r="H40" i="133"/>
  <c r="O29" i="132"/>
  <c r="O40" i="132" s="1"/>
  <c r="P29" i="132"/>
  <c r="P40" i="132" s="1"/>
  <c r="K40" i="133"/>
  <c r="L40" i="133"/>
  <c r="R40" i="135"/>
  <c r="R42" i="135" s="1"/>
  <c r="S29" i="135"/>
  <c r="T29" i="135"/>
  <c r="T40" i="135" s="1"/>
  <c r="T42" i="135" s="1"/>
  <c r="G40" i="133"/>
  <c r="D40" i="133"/>
  <c r="P29" i="133"/>
  <c r="P40" i="133" s="1"/>
  <c r="P42" i="133" s="1"/>
  <c r="P29" i="134"/>
  <c r="Q29" i="134" s="1"/>
  <c r="N675" i="123"/>
  <c r="J12" i="134"/>
  <c r="J14" i="134" s="1"/>
  <c r="H675" i="123"/>
  <c r="D12" i="134"/>
  <c r="D14" i="134" s="1"/>
  <c r="G675" i="123"/>
  <c r="C12" i="134"/>
  <c r="C14" i="134" s="1"/>
  <c r="C26" i="134" s="1"/>
  <c r="C42" i="134" s="1"/>
  <c r="R675" i="123"/>
  <c r="N12" i="134"/>
  <c r="N14" i="134" s="1"/>
  <c r="L675" i="123"/>
  <c r="H12" i="134"/>
  <c r="H14" i="134" s="1"/>
  <c r="I675" i="123"/>
  <c r="E12" i="134"/>
  <c r="E14" i="134" s="1"/>
  <c r="P675" i="123"/>
  <c r="L12" i="134"/>
  <c r="L14" i="134" s="1"/>
  <c r="M675" i="123"/>
  <c r="I12" i="134"/>
  <c r="I14" i="134" s="1"/>
  <c r="K675" i="123"/>
  <c r="G12" i="134"/>
  <c r="G14" i="134" s="1"/>
  <c r="J675" i="123"/>
  <c r="F12" i="134"/>
  <c r="F14" i="134" s="1"/>
  <c r="Q675" i="123"/>
  <c r="M12" i="134"/>
  <c r="M14" i="134" s="1"/>
  <c r="O675" i="123"/>
  <c r="K12" i="134"/>
  <c r="K14" i="134" s="1"/>
  <c r="R507" i="123"/>
  <c r="N14" i="135"/>
  <c r="N14" i="136"/>
  <c r="N12" i="133"/>
  <c r="N14" i="133" s="1"/>
  <c r="O507" i="123"/>
  <c r="K14" i="135"/>
  <c r="K14" i="136"/>
  <c r="K12" i="133"/>
  <c r="K14" i="133" s="1"/>
  <c r="Q507" i="123"/>
  <c r="M14" i="135"/>
  <c r="M14" i="136"/>
  <c r="M12" i="133"/>
  <c r="M14" i="133" s="1"/>
  <c r="M40" i="133"/>
  <c r="N40" i="134"/>
  <c r="H507" i="123"/>
  <c r="D14" i="135"/>
  <c r="D14" i="136"/>
  <c r="D12" i="133"/>
  <c r="D14" i="133" s="1"/>
  <c r="M40" i="136"/>
  <c r="N40" i="135"/>
  <c r="J507" i="123"/>
  <c r="F14" i="135"/>
  <c r="F14" i="136"/>
  <c r="F12" i="133"/>
  <c r="F14" i="133" s="1"/>
  <c r="I507" i="123"/>
  <c r="E14" i="135"/>
  <c r="E14" i="136"/>
  <c r="E12" i="133"/>
  <c r="E14" i="133" s="1"/>
  <c r="L507" i="123"/>
  <c r="H14" i="135"/>
  <c r="H14" i="136"/>
  <c r="H12" i="133"/>
  <c r="H14" i="133" s="1"/>
  <c r="M40" i="134"/>
  <c r="N40" i="136"/>
  <c r="N507" i="123"/>
  <c r="J14" i="135"/>
  <c r="J14" i="136"/>
  <c r="J12" i="133"/>
  <c r="J14" i="133" s="1"/>
  <c r="K507" i="123"/>
  <c r="G14" i="135"/>
  <c r="G14" i="136"/>
  <c r="G12" i="133"/>
  <c r="G14" i="133" s="1"/>
  <c r="M507" i="123"/>
  <c r="I14" i="135"/>
  <c r="I14" i="136"/>
  <c r="I12" i="133"/>
  <c r="I14" i="133" s="1"/>
  <c r="G507" i="123"/>
  <c r="C14" i="135"/>
  <c r="C26" i="135" s="1"/>
  <c r="C42" i="135" s="1"/>
  <c r="C14" i="136"/>
  <c r="C26" i="136" s="1"/>
  <c r="C42" i="136" s="1"/>
  <c r="C12" i="133"/>
  <c r="C14" i="133" s="1"/>
  <c r="C26" i="133" s="1"/>
  <c r="P507" i="123"/>
  <c r="L14" i="135"/>
  <c r="L14" i="136"/>
  <c r="L12" i="133"/>
  <c r="L14" i="133" s="1"/>
  <c r="M40" i="135"/>
  <c r="N40" i="133"/>
  <c r="G320" i="123"/>
  <c r="BH320" i="123"/>
  <c r="BH339" i="123" s="1"/>
  <c r="AZ320" i="123"/>
  <c r="AZ339" i="123" s="1"/>
  <c r="AR320" i="123"/>
  <c r="AR339" i="123" s="1"/>
  <c r="AJ320" i="123"/>
  <c r="AJ339" i="123" s="1"/>
  <c r="L320" i="123"/>
  <c r="BO320" i="123"/>
  <c r="BO339" i="123" s="1"/>
  <c r="BK320" i="123"/>
  <c r="BK339" i="123" s="1"/>
  <c r="BG320" i="123"/>
  <c r="BG339" i="123" s="1"/>
  <c r="BC320" i="123"/>
  <c r="BC339" i="123" s="1"/>
  <c r="AY320" i="123"/>
  <c r="AY339" i="123" s="1"/>
  <c r="AU320" i="123"/>
  <c r="AU339" i="123" s="1"/>
  <c r="AQ320" i="123"/>
  <c r="AQ339" i="123" s="1"/>
  <c r="AM320" i="123"/>
  <c r="AM339" i="123" s="1"/>
  <c r="AI320" i="123"/>
  <c r="AI339" i="123" s="1"/>
  <c r="AE320" i="123"/>
  <c r="AE339" i="123" s="1"/>
  <c r="O320" i="123"/>
  <c r="K320" i="123"/>
  <c r="BM320" i="123"/>
  <c r="BM339" i="123" s="1"/>
  <c r="BI320" i="123"/>
  <c r="BI339" i="123" s="1"/>
  <c r="BE320" i="123"/>
  <c r="BE339" i="123" s="1"/>
  <c r="BA320" i="123"/>
  <c r="BA339" i="123" s="1"/>
  <c r="AW320" i="123"/>
  <c r="AW339" i="123" s="1"/>
  <c r="AS320" i="123"/>
  <c r="AS339" i="123" s="1"/>
  <c r="AO320" i="123"/>
  <c r="AO339" i="123" s="1"/>
  <c r="AK320" i="123"/>
  <c r="AK339" i="123" s="1"/>
  <c r="AG320" i="123"/>
  <c r="AG339" i="123" s="1"/>
  <c r="Q320" i="123"/>
  <c r="M320" i="123"/>
  <c r="I320" i="123"/>
  <c r="BL320" i="123"/>
  <c r="BL339" i="123" s="1"/>
  <c r="BD320" i="123"/>
  <c r="BD339" i="123" s="1"/>
  <c r="AV320" i="123"/>
  <c r="AV339" i="123" s="1"/>
  <c r="AN320" i="123"/>
  <c r="AN339" i="123" s="1"/>
  <c r="AF320" i="123"/>
  <c r="AF339" i="123" s="1"/>
  <c r="P320" i="123"/>
  <c r="H320" i="123"/>
  <c r="BN320" i="123"/>
  <c r="BN339" i="123" s="1"/>
  <c r="BJ320" i="123"/>
  <c r="BJ339" i="123" s="1"/>
  <c r="BF320" i="123"/>
  <c r="BF339" i="123" s="1"/>
  <c r="BB320" i="123"/>
  <c r="BB339" i="123" s="1"/>
  <c r="AX320" i="123"/>
  <c r="AX339" i="123" s="1"/>
  <c r="AT320" i="123"/>
  <c r="AT339" i="123" s="1"/>
  <c r="AP320" i="123"/>
  <c r="AP339" i="123" s="1"/>
  <c r="AL320" i="123"/>
  <c r="AL339" i="123" s="1"/>
  <c r="AH320" i="123"/>
  <c r="AH339" i="123" s="1"/>
  <c r="R320" i="123"/>
  <c r="N320" i="123"/>
  <c r="J320" i="123"/>
  <c r="H46" i="123"/>
  <c r="I46" i="123"/>
  <c r="J46" i="123"/>
  <c r="K46" i="123"/>
  <c r="L46" i="123"/>
  <c r="M46" i="123"/>
  <c r="N46" i="123"/>
  <c r="O46" i="123"/>
  <c r="P46" i="123"/>
  <c r="Q46" i="123"/>
  <c r="R46" i="123"/>
  <c r="H107" i="123"/>
  <c r="I107" i="123"/>
  <c r="J107" i="123"/>
  <c r="K107" i="123"/>
  <c r="L107" i="123"/>
  <c r="M107" i="123"/>
  <c r="N107" i="123"/>
  <c r="O107" i="123"/>
  <c r="P107" i="123"/>
  <c r="Q107" i="123"/>
  <c r="R107" i="123"/>
  <c r="AE107" i="123"/>
  <c r="AF107" i="123"/>
  <c r="AG107" i="123"/>
  <c r="AH107" i="123"/>
  <c r="AI107" i="123"/>
  <c r="AJ107" i="123"/>
  <c r="AK107" i="123"/>
  <c r="AL107" i="123"/>
  <c r="AM107" i="123"/>
  <c r="AN107" i="123"/>
  <c r="AO107" i="123"/>
  <c r="AP107" i="123"/>
  <c r="AQ107" i="123"/>
  <c r="AR107" i="123"/>
  <c r="AS107" i="123"/>
  <c r="AT107" i="123"/>
  <c r="AU107" i="123"/>
  <c r="AV107" i="123"/>
  <c r="AW107" i="123"/>
  <c r="AX107" i="123"/>
  <c r="AY107" i="123"/>
  <c r="AZ107" i="123"/>
  <c r="BA107" i="123"/>
  <c r="BB107" i="123"/>
  <c r="BC107" i="123"/>
  <c r="BD107" i="123"/>
  <c r="BE107" i="123"/>
  <c r="BF107" i="123"/>
  <c r="BG107" i="123"/>
  <c r="BH107" i="123"/>
  <c r="BI107" i="123"/>
  <c r="BJ107" i="123"/>
  <c r="BK107" i="123"/>
  <c r="BL107" i="123"/>
  <c r="BM107" i="123"/>
  <c r="BN107" i="123"/>
  <c r="BO107" i="123"/>
  <c r="H113" i="123"/>
  <c r="I113" i="123"/>
  <c r="J113" i="123"/>
  <c r="K113" i="123"/>
  <c r="L113" i="123"/>
  <c r="M113" i="123"/>
  <c r="N113" i="123"/>
  <c r="O113" i="123"/>
  <c r="P113" i="123"/>
  <c r="Q113" i="123"/>
  <c r="R113" i="123"/>
  <c r="AE113" i="123"/>
  <c r="AF113" i="123"/>
  <c r="AG113" i="123"/>
  <c r="AH113" i="123"/>
  <c r="AI113" i="123"/>
  <c r="AJ113" i="123"/>
  <c r="AK113" i="123"/>
  <c r="AL113" i="123"/>
  <c r="AM113" i="123"/>
  <c r="AN113" i="123"/>
  <c r="AO113" i="123"/>
  <c r="AP113" i="123"/>
  <c r="AQ113" i="123"/>
  <c r="AR113" i="123"/>
  <c r="AS113" i="123"/>
  <c r="AT113" i="123"/>
  <c r="AU113" i="123"/>
  <c r="AV113" i="123"/>
  <c r="AW113" i="123"/>
  <c r="AX113" i="123"/>
  <c r="AY113" i="123"/>
  <c r="AZ113" i="123"/>
  <c r="BA113" i="123"/>
  <c r="BB113" i="123"/>
  <c r="BC113" i="123"/>
  <c r="BD113" i="123"/>
  <c r="BE113" i="123"/>
  <c r="BF113" i="123"/>
  <c r="BG113" i="123"/>
  <c r="BH113" i="123"/>
  <c r="BI113" i="123"/>
  <c r="BJ113" i="123"/>
  <c r="BK113" i="123"/>
  <c r="BL113" i="123"/>
  <c r="BM113" i="123"/>
  <c r="BN113" i="123"/>
  <c r="BO113" i="123"/>
  <c r="H121" i="123"/>
  <c r="I121" i="123"/>
  <c r="J121" i="123"/>
  <c r="K121" i="123"/>
  <c r="L121" i="123"/>
  <c r="M121" i="123"/>
  <c r="N121" i="123"/>
  <c r="O121" i="123"/>
  <c r="P121" i="123"/>
  <c r="Q121" i="123"/>
  <c r="R121" i="123"/>
  <c r="AE121" i="123"/>
  <c r="AF121" i="123"/>
  <c r="AG121" i="123"/>
  <c r="AH121" i="123"/>
  <c r="AI121" i="123"/>
  <c r="AJ121" i="123"/>
  <c r="AK121" i="123"/>
  <c r="AL121" i="123"/>
  <c r="AM121" i="123"/>
  <c r="AN121" i="123"/>
  <c r="AO121" i="123"/>
  <c r="AP121" i="123"/>
  <c r="AQ121" i="123"/>
  <c r="AR121" i="123"/>
  <c r="AS121" i="123"/>
  <c r="AT121" i="123"/>
  <c r="AU121" i="123"/>
  <c r="AV121" i="123"/>
  <c r="AW121" i="123"/>
  <c r="AX121" i="123"/>
  <c r="AY121" i="123"/>
  <c r="AZ121" i="123"/>
  <c r="BA121" i="123"/>
  <c r="BB121" i="123"/>
  <c r="BC121" i="123"/>
  <c r="BD121" i="123"/>
  <c r="BE121" i="123"/>
  <c r="BF121" i="123"/>
  <c r="BG121" i="123"/>
  <c r="BH121" i="123"/>
  <c r="BI121" i="123"/>
  <c r="BJ121" i="123"/>
  <c r="BK121" i="123"/>
  <c r="BL121" i="123"/>
  <c r="BM121" i="123"/>
  <c r="BN121" i="123"/>
  <c r="BO121" i="123"/>
  <c r="H130" i="123"/>
  <c r="I130" i="123"/>
  <c r="J130" i="123"/>
  <c r="K130" i="123"/>
  <c r="L130" i="123"/>
  <c r="M130" i="123"/>
  <c r="N130" i="123"/>
  <c r="O130" i="123"/>
  <c r="P130" i="123"/>
  <c r="Q130" i="123"/>
  <c r="R130" i="123"/>
  <c r="AE130" i="123"/>
  <c r="AF130" i="123"/>
  <c r="AG130" i="123"/>
  <c r="AH130" i="123"/>
  <c r="AI130" i="123"/>
  <c r="AJ130" i="123"/>
  <c r="AK130" i="123"/>
  <c r="AL130" i="123"/>
  <c r="AM130" i="123"/>
  <c r="AN130" i="123"/>
  <c r="AO130" i="123"/>
  <c r="AP130" i="123"/>
  <c r="AQ130" i="123"/>
  <c r="AR130" i="123"/>
  <c r="AS130" i="123"/>
  <c r="AT130" i="123"/>
  <c r="AU130" i="123"/>
  <c r="AV130" i="123"/>
  <c r="AW130" i="123"/>
  <c r="AX130" i="123"/>
  <c r="AY130" i="123"/>
  <c r="AZ130" i="123"/>
  <c r="BA130" i="123"/>
  <c r="BB130" i="123"/>
  <c r="BC130" i="123"/>
  <c r="BD130" i="123"/>
  <c r="BE130" i="123"/>
  <c r="BF130" i="123"/>
  <c r="BG130" i="123"/>
  <c r="BH130" i="123"/>
  <c r="BI130" i="123"/>
  <c r="BJ130" i="123"/>
  <c r="BK130" i="123"/>
  <c r="BL130" i="123"/>
  <c r="BM130" i="123"/>
  <c r="BN130" i="123"/>
  <c r="BO130" i="123"/>
  <c r="H140" i="123"/>
  <c r="I140" i="123"/>
  <c r="J140" i="123"/>
  <c r="K140" i="123"/>
  <c r="L140" i="123"/>
  <c r="M140" i="123"/>
  <c r="N140" i="123"/>
  <c r="O140" i="123"/>
  <c r="P140" i="123"/>
  <c r="Q140" i="123"/>
  <c r="R140" i="123"/>
  <c r="AE140" i="123"/>
  <c r="AF140" i="123"/>
  <c r="AG140" i="123"/>
  <c r="AH140" i="123"/>
  <c r="AI140" i="123"/>
  <c r="AJ140" i="123"/>
  <c r="AK140" i="123"/>
  <c r="AL140" i="123"/>
  <c r="AM140" i="123"/>
  <c r="AN140" i="123"/>
  <c r="AO140" i="123"/>
  <c r="AP140" i="123"/>
  <c r="AQ140" i="123"/>
  <c r="AR140" i="123"/>
  <c r="AS140" i="123"/>
  <c r="AT140" i="123"/>
  <c r="AU140" i="123"/>
  <c r="AV140" i="123"/>
  <c r="AW140" i="123"/>
  <c r="AX140" i="123"/>
  <c r="AY140" i="123"/>
  <c r="AZ140" i="123"/>
  <c r="BA140" i="123"/>
  <c r="BB140" i="123"/>
  <c r="BC140" i="123"/>
  <c r="BD140" i="123"/>
  <c r="BE140" i="123"/>
  <c r="BF140" i="123"/>
  <c r="BG140" i="123"/>
  <c r="BH140" i="123"/>
  <c r="BI140" i="123"/>
  <c r="BJ140" i="123"/>
  <c r="BK140" i="123"/>
  <c r="BL140" i="123"/>
  <c r="BM140" i="123"/>
  <c r="BN140" i="123"/>
  <c r="BO140" i="123"/>
  <c r="H150" i="123"/>
  <c r="I150" i="123"/>
  <c r="J150" i="123"/>
  <c r="K150" i="123"/>
  <c r="L150" i="123"/>
  <c r="M150" i="123"/>
  <c r="N150" i="123"/>
  <c r="O150" i="123"/>
  <c r="P150" i="123"/>
  <c r="Q150" i="123"/>
  <c r="R150" i="123"/>
  <c r="AE150" i="123"/>
  <c r="AF150" i="123"/>
  <c r="AG150" i="123"/>
  <c r="AH150" i="123"/>
  <c r="AI150" i="123"/>
  <c r="AJ150" i="123"/>
  <c r="AK150" i="123"/>
  <c r="AL150" i="123"/>
  <c r="AM150" i="123"/>
  <c r="AN150" i="123"/>
  <c r="AO150" i="123"/>
  <c r="AP150" i="123"/>
  <c r="AQ150" i="123"/>
  <c r="AR150" i="123"/>
  <c r="AS150" i="123"/>
  <c r="AT150" i="123"/>
  <c r="AU150" i="123"/>
  <c r="AV150" i="123"/>
  <c r="AW150" i="123"/>
  <c r="AX150" i="123"/>
  <c r="AY150" i="123"/>
  <c r="AZ150" i="123"/>
  <c r="BA150" i="123"/>
  <c r="BB150" i="123"/>
  <c r="BC150" i="123"/>
  <c r="BD150" i="123"/>
  <c r="BE150" i="123"/>
  <c r="BF150" i="123"/>
  <c r="BG150" i="123"/>
  <c r="BH150" i="123"/>
  <c r="BI150" i="123"/>
  <c r="BJ150" i="123"/>
  <c r="BK150" i="123"/>
  <c r="BL150" i="123"/>
  <c r="BM150" i="123"/>
  <c r="BN150" i="123"/>
  <c r="BO150" i="123"/>
  <c r="H158" i="123"/>
  <c r="I158" i="123"/>
  <c r="J158" i="123"/>
  <c r="K158" i="123"/>
  <c r="L158" i="123"/>
  <c r="M158" i="123"/>
  <c r="N158" i="123"/>
  <c r="O158" i="123"/>
  <c r="P158" i="123"/>
  <c r="Q158" i="123"/>
  <c r="R158" i="123"/>
  <c r="AE158" i="123"/>
  <c r="AF158" i="123"/>
  <c r="AG158" i="123"/>
  <c r="AH158" i="123"/>
  <c r="AI158" i="123"/>
  <c r="AJ158" i="123"/>
  <c r="AK158" i="123"/>
  <c r="AL158" i="123"/>
  <c r="AM158" i="123"/>
  <c r="AN158" i="123"/>
  <c r="AO158" i="123"/>
  <c r="AP158" i="123"/>
  <c r="AQ158" i="123"/>
  <c r="AR158" i="123"/>
  <c r="AS158" i="123"/>
  <c r="AT158" i="123"/>
  <c r="AU158" i="123"/>
  <c r="AV158" i="123"/>
  <c r="AW158" i="123"/>
  <c r="AX158" i="123"/>
  <c r="AY158" i="123"/>
  <c r="AZ158" i="123"/>
  <c r="BA158" i="123"/>
  <c r="BB158" i="123"/>
  <c r="BC158" i="123"/>
  <c r="BD158" i="123"/>
  <c r="BE158" i="123"/>
  <c r="BF158" i="123"/>
  <c r="BG158" i="123"/>
  <c r="BH158" i="123"/>
  <c r="BI158" i="123"/>
  <c r="BJ158" i="123"/>
  <c r="BK158" i="123"/>
  <c r="BL158" i="123"/>
  <c r="BM158" i="123"/>
  <c r="BN158" i="123"/>
  <c r="BO158" i="123"/>
  <c r="H169" i="123"/>
  <c r="I169" i="123"/>
  <c r="J169" i="123"/>
  <c r="K169" i="123"/>
  <c r="L169" i="123"/>
  <c r="M169" i="123"/>
  <c r="N169" i="123"/>
  <c r="O169" i="123"/>
  <c r="P169" i="123"/>
  <c r="Q169" i="123"/>
  <c r="R169" i="123"/>
  <c r="AE169" i="123"/>
  <c r="AF169" i="123"/>
  <c r="AG169" i="123"/>
  <c r="AH169" i="123"/>
  <c r="AI169" i="123"/>
  <c r="AJ169" i="123"/>
  <c r="AK169" i="123"/>
  <c r="AL169" i="123"/>
  <c r="AM169" i="123"/>
  <c r="AN169" i="123"/>
  <c r="AO169" i="123"/>
  <c r="AP169" i="123"/>
  <c r="AQ169" i="123"/>
  <c r="AR169" i="123"/>
  <c r="AS169" i="123"/>
  <c r="AT169" i="123"/>
  <c r="AU169" i="123"/>
  <c r="AV169" i="123"/>
  <c r="AW169" i="123"/>
  <c r="AX169" i="123"/>
  <c r="AY169" i="123"/>
  <c r="AZ169" i="123"/>
  <c r="BA169" i="123"/>
  <c r="BB169" i="123"/>
  <c r="BC169" i="123"/>
  <c r="BD169" i="123"/>
  <c r="BE169" i="123"/>
  <c r="BF169" i="123"/>
  <c r="BG169" i="123"/>
  <c r="BH169" i="123"/>
  <c r="BI169" i="123"/>
  <c r="BJ169" i="123"/>
  <c r="BK169" i="123"/>
  <c r="BL169" i="123"/>
  <c r="BM169" i="123"/>
  <c r="BN169" i="123"/>
  <c r="BO169" i="123"/>
  <c r="G169" i="123"/>
  <c r="G158" i="123"/>
  <c r="G150" i="123"/>
  <c r="G140" i="123"/>
  <c r="G130" i="123"/>
  <c r="G107" i="123"/>
  <c r="G113" i="123"/>
  <c r="G121" i="123"/>
  <c r="H99" i="123"/>
  <c r="I99" i="123"/>
  <c r="J99" i="123"/>
  <c r="K99" i="123"/>
  <c r="L99" i="123"/>
  <c r="M99" i="123"/>
  <c r="N99" i="123"/>
  <c r="O99" i="123"/>
  <c r="P99" i="123"/>
  <c r="Q99" i="123"/>
  <c r="R99" i="123"/>
  <c r="AE99" i="123"/>
  <c r="AF99" i="123"/>
  <c r="AG99" i="123"/>
  <c r="AH99" i="123"/>
  <c r="AI99" i="123"/>
  <c r="AJ99" i="123"/>
  <c r="AK99" i="123"/>
  <c r="AL99" i="123"/>
  <c r="AM99" i="123"/>
  <c r="AN99" i="123"/>
  <c r="AO99" i="123"/>
  <c r="AP99" i="123"/>
  <c r="AQ99" i="123"/>
  <c r="AR99" i="123"/>
  <c r="AS99" i="123"/>
  <c r="AT99" i="123"/>
  <c r="AU99" i="123"/>
  <c r="AV99" i="123"/>
  <c r="AW99" i="123"/>
  <c r="AX99" i="123"/>
  <c r="AY99" i="123"/>
  <c r="AZ99" i="123"/>
  <c r="BA99" i="123"/>
  <c r="BB99" i="123"/>
  <c r="BC99" i="123"/>
  <c r="BD99" i="123"/>
  <c r="BE99" i="123"/>
  <c r="BF99" i="123"/>
  <c r="BG99" i="123"/>
  <c r="BH99" i="123"/>
  <c r="BI99" i="123"/>
  <c r="BJ99" i="123"/>
  <c r="BK99" i="123"/>
  <c r="BL99" i="123"/>
  <c r="BM99" i="123"/>
  <c r="BN99" i="123"/>
  <c r="BO99" i="123"/>
  <c r="G99" i="123"/>
  <c r="BO85" i="123"/>
  <c r="BN85" i="123"/>
  <c r="BM85" i="123"/>
  <c r="BL85" i="123"/>
  <c r="BK85" i="123"/>
  <c r="BJ85" i="123"/>
  <c r="BI85" i="123"/>
  <c r="BH85" i="123"/>
  <c r="BG85" i="123"/>
  <c r="BF85" i="123"/>
  <c r="BE85" i="123"/>
  <c r="BD85" i="123"/>
  <c r="BC85" i="123"/>
  <c r="BB85" i="123"/>
  <c r="BA85" i="123"/>
  <c r="AZ85" i="123"/>
  <c r="AY85" i="123"/>
  <c r="AX85" i="123"/>
  <c r="AW85" i="123"/>
  <c r="AV85" i="123"/>
  <c r="AU85" i="123"/>
  <c r="AT85" i="123"/>
  <c r="AS85" i="123"/>
  <c r="AR85" i="123"/>
  <c r="AQ85" i="123"/>
  <c r="AP85" i="123"/>
  <c r="AO85" i="123"/>
  <c r="AN85" i="123"/>
  <c r="AM85" i="123"/>
  <c r="AL85" i="123"/>
  <c r="AK85" i="123"/>
  <c r="AJ85" i="123"/>
  <c r="AI85" i="123"/>
  <c r="AH85" i="123"/>
  <c r="AG85" i="123"/>
  <c r="AF85" i="123"/>
  <c r="AE85" i="123"/>
  <c r="R85" i="123"/>
  <c r="Q85" i="123"/>
  <c r="P85" i="123"/>
  <c r="O85" i="123"/>
  <c r="N85" i="123"/>
  <c r="M85" i="123"/>
  <c r="L85" i="123"/>
  <c r="K85" i="123"/>
  <c r="J85" i="123"/>
  <c r="I85" i="123"/>
  <c r="H85" i="123"/>
  <c r="G85" i="123"/>
  <c r="AE81" i="123"/>
  <c r="AF81" i="123"/>
  <c r="AG81" i="123"/>
  <c r="AH81" i="123"/>
  <c r="AI81" i="123"/>
  <c r="AJ81" i="123"/>
  <c r="AK81" i="123"/>
  <c r="AL81" i="123"/>
  <c r="AM81" i="123"/>
  <c r="AN81" i="123"/>
  <c r="AO81" i="123"/>
  <c r="AP81" i="123"/>
  <c r="AQ81" i="123"/>
  <c r="AR81" i="123"/>
  <c r="AS81" i="123"/>
  <c r="AT81" i="123"/>
  <c r="AU81" i="123"/>
  <c r="AV81" i="123"/>
  <c r="AW81" i="123"/>
  <c r="AX81" i="123"/>
  <c r="AY81" i="123"/>
  <c r="AZ81" i="123"/>
  <c r="BA81" i="123"/>
  <c r="BB81" i="123"/>
  <c r="BC81" i="123"/>
  <c r="BD81" i="123"/>
  <c r="BE81" i="123"/>
  <c r="BF81" i="123"/>
  <c r="BG81" i="123"/>
  <c r="BH81" i="123"/>
  <c r="BI81" i="123"/>
  <c r="BJ81" i="123"/>
  <c r="BK81" i="123"/>
  <c r="BL81" i="123"/>
  <c r="BM81" i="123"/>
  <c r="BN81" i="123"/>
  <c r="BO81" i="123"/>
  <c r="H81" i="123"/>
  <c r="I81" i="123"/>
  <c r="J81" i="123"/>
  <c r="K81" i="123"/>
  <c r="L81" i="123"/>
  <c r="M81" i="123"/>
  <c r="N81" i="123"/>
  <c r="O81" i="123"/>
  <c r="P81" i="123"/>
  <c r="Q81" i="123"/>
  <c r="R81" i="123"/>
  <c r="G81" i="123"/>
  <c r="H61" i="123"/>
  <c r="I61" i="123"/>
  <c r="J61" i="123"/>
  <c r="K61" i="123"/>
  <c r="L61" i="123"/>
  <c r="M61" i="123"/>
  <c r="N61" i="123"/>
  <c r="O61" i="123"/>
  <c r="P61" i="123"/>
  <c r="Q61" i="123"/>
  <c r="R61" i="123"/>
  <c r="AE61" i="123"/>
  <c r="AF61" i="123"/>
  <c r="AG61" i="123"/>
  <c r="AH61" i="123"/>
  <c r="AI61" i="123"/>
  <c r="AJ61" i="123"/>
  <c r="AK61" i="123"/>
  <c r="AL61" i="123"/>
  <c r="AM61" i="123"/>
  <c r="AN61" i="123"/>
  <c r="AO61" i="123"/>
  <c r="AP61" i="123"/>
  <c r="AQ61" i="123"/>
  <c r="AR61" i="123"/>
  <c r="AS61" i="123"/>
  <c r="AT61" i="123"/>
  <c r="AU61" i="123"/>
  <c r="AV61" i="123"/>
  <c r="AW61" i="123"/>
  <c r="AX61" i="123"/>
  <c r="AY61" i="123"/>
  <c r="AZ61" i="123"/>
  <c r="BA61" i="123"/>
  <c r="BB61" i="123"/>
  <c r="BC61" i="123"/>
  <c r="BD61" i="123"/>
  <c r="BE61" i="123"/>
  <c r="BF61" i="123"/>
  <c r="BG61" i="123"/>
  <c r="BH61" i="123"/>
  <c r="BI61" i="123"/>
  <c r="BJ61" i="123"/>
  <c r="BK61" i="123"/>
  <c r="BL61" i="123"/>
  <c r="BM61" i="123"/>
  <c r="BN61" i="123"/>
  <c r="BO61" i="123"/>
  <c r="G61" i="123"/>
  <c r="AE46" i="123"/>
  <c r="AF46" i="123"/>
  <c r="AG46" i="123"/>
  <c r="AH46" i="123"/>
  <c r="AI46" i="123"/>
  <c r="AJ46" i="123"/>
  <c r="AK46" i="123"/>
  <c r="AL46" i="123"/>
  <c r="AM46" i="123"/>
  <c r="AN46" i="123"/>
  <c r="AO46" i="123"/>
  <c r="AP46" i="123"/>
  <c r="AQ46" i="123"/>
  <c r="AR46" i="123"/>
  <c r="AS46" i="123"/>
  <c r="AT46" i="123"/>
  <c r="AU46" i="123"/>
  <c r="AV46" i="123"/>
  <c r="AW46" i="123"/>
  <c r="AX46" i="123"/>
  <c r="AY46" i="123"/>
  <c r="AZ46" i="123"/>
  <c r="BA46" i="123"/>
  <c r="BB46" i="123"/>
  <c r="BC46" i="123"/>
  <c r="BD46" i="123"/>
  <c r="BE46" i="123"/>
  <c r="BF46" i="123"/>
  <c r="BG46" i="123"/>
  <c r="BH46" i="123"/>
  <c r="BI46" i="123"/>
  <c r="BJ46" i="123"/>
  <c r="BK46" i="123"/>
  <c r="BL46" i="123"/>
  <c r="BM46" i="123"/>
  <c r="BN46" i="123"/>
  <c r="BO46" i="123"/>
  <c r="H35" i="123"/>
  <c r="I35" i="123"/>
  <c r="J35" i="123"/>
  <c r="K35" i="123"/>
  <c r="L35" i="123"/>
  <c r="M35" i="123"/>
  <c r="N35" i="123"/>
  <c r="O35" i="123"/>
  <c r="P35" i="123"/>
  <c r="Q35" i="123"/>
  <c r="R35" i="123"/>
  <c r="AE35" i="123"/>
  <c r="AF35" i="123"/>
  <c r="AG35" i="123"/>
  <c r="AH35" i="123"/>
  <c r="AI35" i="123"/>
  <c r="AJ35" i="123"/>
  <c r="AK35" i="123"/>
  <c r="AL35" i="123"/>
  <c r="AM35" i="123"/>
  <c r="AN35" i="123"/>
  <c r="AO35" i="123"/>
  <c r="AP35" i="123"/>
  <c r="AQ35" i="123"/>
  <c r="AR35" i="123"/>
  <c r="AS35" i="123"/>
  <c r="AT35" i="123"/>
  <c r="AU35" i="123"/>
  <c r="AV35" i="123"/>
  <c r="AW35" i="123"/>
  <c r="AX35" i="123"/>
  <c r="AY35" i="123"/>
  <c r="AZ35" i="123"/>
  <c r="BA35" i="123"/>
  <c r="BB35" i="123"/>
  <c r="BC35" i="123"/>
  <c r="BD35" i="123"/>
  <c r="BE35" i="123"/>
  <c r="BF35" i="123"/>
  <c r="BG35" i="123"/>
  <c r="BH35" i="123"/>
  <c r="BI35" i="123"/>
  <c r="BJ35" i="123"/>
  <c r="BK35" i="123"/>
  <c r="BL35" i="123"/>
  <c r="BM35" i="123"/>
  <c r="BN35" i="123"/>
  <c r="BO35" i="123"/>
  <c r="H31" i="123"/>
  <c r="I31" i="123"/>
  <c r="J31" i="123"/>
  <c r="K31" i="123"/>
  <c r="L31" i="123"/>
  <c r="M31" i="123"/>
  <c r="N31" i="123"/>
  <c r="O31" i="123"/>
  <c r="P31" i="123"/>
  <c r="Q31" i="123"/>
  <c r="R31" i="123"/>
  <c r="AE31" i="123"/>
  <c r="AF31" i="123"/>
  <c r="AG31" i="123"/>
  <c r="AH31" i="123"/>
  <c r="AI31" i="123"/>
  <c r="AJ31" i="123"/>
  <c r="AK31" i="123"/>
  <c r="AL31" i="123"/>
  <c r="AM31" i="123"/>
  <c r="AN31" i="123"/>
  <c r="AO31" i="123"/>
  <c r="AP31" i="123"/>
  <c r="AQ31" i="123"/>
  <c r="AR31" i="123"/>
  <c r="AS31" i="123"/>
  <c r="AT31" i="123"/>
  <c r="AU31" i="123"/>
  <c r="AV31" i="123"/>
  <c r="AW31" i="123"/>
  <c r="AX31" i="123"/>
  <c r="AY31" i="123"/>
  <c r="AZ31" i="123"/>
  <c r="BA31" i="123"/>
  <c r="BB31" i="123"/>
  <c r="BC31" i="123"/>
  <c r="BD31" i="123"/>
  <c r="BE31" i="123"/>
  <c r="BF31" i="123"/>
  <c r="BG31" i="123"/>
  <c r="BH31" i="123"/>
  <c r="BI31" i="123"/>
  <c r="BJ31" i="123"/>
  <c r="BK31" i="123"/>
  <c r="BL31" i="123"/>
  <c r="BM31" i="123"/>
  <c r="BN31" i="123"/>
  <c r="BO31" i="123"/>
  <c r="H25" i="123"/>
  <c r="I25" i="123"/>
  <c r="J25" i="123"/>
  <c r="K25" i="123"/>
  <c r="L25" i="123"/>
  <c r="M25" i="123"/>
  <c r="N25" i="123"/>
  <c r="O25" i="123"/>
  <c r="P25" i="123"/>
  <c r="Q25" i="123"/>
  <c r="R25" i="123"/>
  <c r="AE25" i="123"/>
  <c r="AF25" i="123"/>
  <c r="AG25" i="123"/>
  <c r="AH25" i="123"/>
  <c r="AI25" i="123"/>
  <c r="AJ25" i="123"/>
  <c r="AK25" i="123"/>
  <c r="AL25" i="123"/>
  <c r="AM25" i="123"/>
  <c r="AN25" i="123"/>
  <c r="AO25" i="123"/>
  <c r="AP25" i="123"/>
  <c r="AQ25" i="123"/>
  <c r="AR25" i="123"/>
  <c r="AS25" i="123"/>
  <c r="AT25" i="123"/>
  <c r="AU25" i="123"/>
  <c r="AV25" i="123"/>
  <c r="AW25" i="123"/>
  <c r="AX25" i="123"/>
  <c r="AY25" i="123"/>
  <c r="AZ25" i="123"/>
  <c r="BA25" i="123"/>
  <c r="BB25" i="123"/>
  <c r="BC25" i="123"/>
  <c r="BD25" i="123"/>
  <c r="BE25" i="123"/>
  <c r="BF25" i="123"/>
  <c r="BG25" i="123"/>
  <c r="BH25" i="123"/>
  <c r="BI25" i="123"/>
  <c r="BJ25" i="123"/>
  <c r="BK25" i="123"/>
  <c r="BL25" i="123"/>
  <c r="BM25" i="123"/>
  <c r="BN25" i="123"/>
  <c r="BO25" i="123"/>
  <c r="H16" i="123"/>
  <c r="I16" i="123"/>
  <c r="J16" i="123"/>
  <c r="K16" i="123"/>
  <c r="L16" i="123"/>
  <c r="M16" i="123"/>
  <c r="N16" i="123"/>
  <c r="O16" i="123"/>
  <c r="P16" i="123"/>
  <c r="Q16" i="123"/>
  <c r="R16" i="123"/>
  <c r="AE16" i="123"/>
  <c r="AF16" i="123"/>
  <c r="AG16" i="123"/>
  <c r="AH16" i="123"/>
  <c r="AI16" i="123"/>
  <c r="AJ16" i="123"/>
  <c r="AK16" i="123"/>
  <c r="AL16" i="123"/>
  <c r="AM16" i="123"/>
  <c r="AN16" i="123"/>
  <c r="AO16" i="123"/>
  <c r="AP16" i="123"/>
  <c r="AQ16" i="123"/>
  <c r="AR16" i="123"/>
  <c r="AS16" i="123"/>
  <c r="AT16" i="123"/>
  <c r="AU16" i="123"/>
  <c r="AV16" i="123"/>
  <c r="AW16" i="123"/>
  <c r="AX16" i="123"/>
  <c r="AY16" i="123"/>
  <c r="AZ16" i="123"/>
  <c r="BA16" i="123"/>
  <c r="BB16" i="123"/>
  <c r="BC16" i="123"/>
  <c r="BD16" i="123"/>
  <c r="BE16" i="123"/>
  <c r="BF16" i="123"/>
  <c r="BG16" i="123"/>
  <c r="BH16" i="123"/>
  <c r="BI16" i="123"/>
  <c r="BJ16" i="123"/>
  <c r="BK16" i="123"/>
  <c r="BL16" i="123"/>
  <c r="BM16" i="123"/>
  <c r="BN16" i="123"/>
  <c r="BO16" i="123"/>
  <c r="AJ40" i="141" l="1"/>
  <c r="AJ42" i="141" s="1"/>
  <c r="AK29" i="141"/>
  <c r="C42" i="133"/>
  <c r="N29" i="131"/>
  <c r="N40" i="131" s="1"/>
  <c r="J29" i="131"/>
  <c r="J40" i="131" s="1"/>
  <c r="M29" i="131"/>
  <c r="M40" i="131" s="1"/>
  <c r="I29" i="131"/>
  <c r="I40" i="131" s="1"/>
  <c r="E29" i="131"/>
  <c r="E40" i="131" s="1"/>
  <c r="C18" i="131"/>
  <c r="C29" i="131"/>
  <c r="C40" i="131" s="1"/>
  <c r="L29" i="131"/>
  <c r="L40" i="131" s="1"/>
  <c r="H29" i="131"/>
  <c r="H40" i="131" s="1"/>
  <c r="D29" i="131"/>
  <c r="D40" i="131" s="1"/>
  <c r="K29" i="131"/>
  <c r="G29" i="131"/>
  <c r="G40" i="131" s="1"/>
  <c r="F29" i="131"/>
  <c r="F40" i="131" s="1"/>
  <c r="Q40" i="134"/>
  <c r="Q42" i="134" s="1"/>
  <c r="K40" i="131"/>
  <c r="Q29" i="133"/>
  <c r="P40" i="134"/>
  <c r="P42" i="134" s="1"/>
  <c r="U29" i="135"/>
  <c r="R29" i="133"/>
  <c r="R40" i="133" s="1"/>
  <c r="R42" i="133" s="1"/>
  <c r="Q29" i="132"/>
  <c r="O29" i="131"/>
  <c r="O40" i="131" s="1"/>
  <c r="O42" i="131" s="1"/>
  <c r="P29" i="131"/>
  <c r="P40" i="131" s="1"/>
  <c r="P42" i="131" s="1"/>
  <c r="R29" i="134"/>
  <c r="R40" i="134" s="1"/>
  <c r="R42" i="134" s="1"/>
  <c r="S40" i="135"/>
  <c r="S42" i="135" s="1"/>
  <c r="S29" i="136"/>
  <c r="K18" i="131"/>
  <c r="K26" i="136"/>
  <c r="K42" i="136" s="1"/>
  <c r="K26" i="135"/>
  <c r="K42" i="135" s="1"/>
  <c r="K26" i="134"/>
  <c r="K42" i="134" s="1"/>
  <c r="K26" i="133"/>
  <c r="K42" i="133" s="1"/>
  <c r="K18" i="132"/>
  <c r="G18" i="131"/>
  <c r="G26" i="135"/>
  <c r="G42" i="135" s="1"/>
  <c r="G26" i="134"/>
  <c r="G42" i="134" s="1"/>
  <c r="G18" i="133"/>
  <c r="G26" i="133" s="1"/>
  <c r="G42" i="133" s="1"/>
  <c r="G26" i="136"/>
  <c r="G42" i="136" s="1"/>
  <c r="G18" i="132"/>
  <c r="J339" i="123"/>
  <c r="F12" i="132"/>
  <c r="F14" i="132" s="1"/>
  <c r="I339" i="123"/>
  <c r="E12" i="132"/>
  <c r="E14" i="132" s="1"/>
  <c r="N26" i="136"/>
  <c r="N42" i="136" s="1"/>
  <c r="N26" i="133"/>
  <c r="N42" i="133" s="1"/>
  <c r="N18" i="132"/>
  <c r="N26" i="134"/>
  <c r="N42" i="134" s="1"/>
  <c r="N18" i="131"/>
  <c r="J26" i="134"/>
  <c r="J42" i="134" s="1"/>
  <c r="J18" i="132"/>
  <c r="J26" i="135"/>
  <c r="J42" i="135" s="1"/>
  <c r="J18" i="131"/>
  <c r="J18" i="133"/>
  <c r="J26" i="133" s="1"/>
  <c r="J42" i="133" s="1"/>
  <c r="J26" i="136"/>
  <c r="J42" i="136" s="1"/>
  <c r="F18" i="133"/>
  <c r="F26" i="133" s="1"/>
  <c r="F42" i="133" s="1"/>
  <c r="F18" i="131"/>
  <c r="F26" i="134"/>
  <c r="F42" i="134" s="1"/>
  <c r="F26" i="135"/>
  <c r="F42" i="135" s="1"/>
  <c r="F18" i="132"/>
  <c r="F26" i="136"/>
  <c r="F42" i="136" s="1"/>
  <c r="N339" i="123"/>
  <c r="J12" i="132"/>
  <c r="J14" i="132" s="1"/>
  <c r="H339" i="123"/>
  <c r="D12" i="132"/>
  <c r="D14" i="132" s="1"/>
  <c r="M339" i="123"/>
  <c r="I12" i="132"/>
  <c r="I14" i="132" s="1"/>
  <c r="K339" i="123"/>
  <c r="G12" i="132"/>
  <c r="G14" i="132" s="1"/>
  <c r="L339" i="123"/>
  <c r="H12" i="132"/>
  <c r="H14" i="132" s="1"/>
  <c r="N26" i="135"/>
  <c r="N42" i="135" s="1"/>
  <c r="M18" i="131"/>
  <c r="M26" i="135"/>
  <c r="M42" i="135" s="1"/>
  <c r="M26" i="134"/>
  <c r="M42" i="134" s="1"/>
  <c r="M26" i="133"/>
  <c r="M42" i="133" s="1"/>
  <c r="M18" i="132"/>
  <c r="M26" i="136"/>
  <c r="M42" i="136" s="1"/>
  <c r="I18" i="131"/>
  <c r="I26" i="134"/>
  <c r="I42" i="134" s="1"/>
  <c r="I26" i="136"/>
  <c r="I42" i="136" s="1"/>
  <c r="I18" i="133"/>
  <c r="I26" i="133" s="1"/>
  <c r="I42" i="133" s="1"/>
  <c r="I18" i="132"/>
  <c r="I26" i="135"/>
  <c r="I42" i="135" s="1"/>
  <c r="E18" i="131"/>
  <c r="E26" i="135"/>
  <c r="E42" i="135" s="1"/>
  <c r="E18" i="133"/>
  <c r="E26" i="133" s="1"/>
  <c r="E42" i="133" s="1"/>
  <c r="E26" i="136"/>
  <c r="E42" i="136" s="1"/>
  <c r="E18" i="132"/>
  <c r="R339" i="123"/>
  <c r="N12" i="132"/>
  <c r="N14" i="132" s="1"/>
  <c r="P339" i="123"/>
  <c r="L12" i="132"/>
  <c r="L14" i="132" s="1"/>
  <c r="Q339" i="123"/>
  <c r="M12" i="132"/>
  <c r="M14" i="132" s="1"/>
  <c r="O339" i="123"/>
  <c r="K12" i="132"/>
  <c r="K14" i="132" s="1"/>
  <c r="G339" i="123"/>
  <c r="C12" i="132"/>
  <c r="C14" i="132" s="1"/>
  <c r="C26" i="132" s="1"/>
  <c r="C56" i="132" s="1"/>
  <c r="L18" i="131"/>
  <c r="L26" i="134"/>
  <c r="L42" i="134" s="1"/>
  <c r="L26" i="133"/>
  <c r="L42" i="133" s="1"/>
  <c r="L26" i="135"/>
  <c r="L42" i="135" s="1"/>
  <c r="L18" i="132"/>
  <c r="L26" i="136"/>
  <c r="L42" i="136" s="1"/>
  <c r="H26" i="136"/>
  <c r="H42" i="136" s="1"/>
  <c r="H18" i="133"/>
  <c r="H26" i="133" s="1"/>
  <c r="H42" i="133" s="1"/>
  <c r="H18" i="132"/>
  <c r="H18" i="131"/>
  <c r="H26" i="134"/>
  <c r="H42" i="134" s="1"/>
  <c r="H26" i="135"/>
  <c r="H42" i="135" s="1"/>
  <c r="D26" i="134"/>
  <c r="D42" i="134" s="1"/>
  <c r="D18" i="132"/>
  <c r="D26" i="136"/>
  <c r="D42" i="136" s="1"/>
  <c r="D18" i="133"/>
  <c r="D26" i="133" s="1"/>
  <c r="D42" i="133" s="1"/>
  <c r="D18" i="131"/>
  <c r="D26" i="135"/>
  <c r="D42" i="135" s="1"/>
  <c r="E26" i="134"/>
  <c r="E42" i="134" s="1"/>
  <c r="BN152" i="123"/>
  <c r="BN171" i="123" s="1"/>
  <c r="BJ152" i="123"/>
  <c r="BJ171" i="123" s="1"/>
  <c r="BF152" i="123"/>
  <c r="BF171" i="123" s="1"/>
  <c r="BB152" i="123"/>
  <c r="BB171" i="123" s="1"/>
  <c r="AX152" i="123"/>
  <c r="AX171" i="123" s="1"/>
  <c r="AT152" i="123"/>
  <c r="AT171" i="123" s="1"/>
  <c r="AP152" i="123"/>
  <c r="AP171" i="123" s="1"/>
  <c r="AL152" i="123"/>
  <c r="AL171" i="123" s="1"/>
  <c r="AH152" i="123"/>
  <c r="AH171" i="123" s="1"/>
  <c r="Q152" i="123"/>
  <c r="M152" i="123"/>
  <c r="I152" i="123"/>
  <c r="BM152" i="123"/>
  <c r="BM171" i="123" s="1"/>
  <c r="BA152" i="123"/>
  <c r="BA171" i="123" s="1"/>
  <c r="AW152" i="123"/>
  <c r="AW171" i="123" s="1"/>
  <c r="AS152" i="123"/>
  <c r="AS171" i="123" s="1"/>
  <c r="AO152" i="123"/>
  <c r="AO171" i="123" s="1"/>
  <c r="AK152" i="123"/>
  <c r="AK171" i="123" s="1"/>
  <c r="AG152" i="123"/>
  <c r="AG171" i="123" s="1"/>
  <c r="P152" i="123"/>
  <c r="L152" i="123"/>
  <c r="H152" i="123"/>
  <c r="BO152" i="123"/>
  <c r="BO171" i="123" s="1"/>
  <c r="BK152" i="123"/>
  <c r="BK171" i="123" s="1"/>
  <c r="BG152" i="123"/>
  <c r="BG171" i="123" s="1"/>
  <c r="BC152" i="123"/>
  <c r="BC171" i="123" s="1"/>
  <c r="AY152" i="123"/>
  <c r="AY171" i="123" s="1"/>
  <c r="AU152" i="123"/>
  <c r="AU171" i="123" s="1"/>
  <c r="AQ152" i="123"/>
  <c r="AQ171" i="123" s="1"/>
  <c r="AM152" i="123"/>
  <c r="AM171" i="123" s="1"/>
  <c r="R152" i="123"/>
  <c r="N152" i="123"/>
  <c r="J152" i="123"/>
  <c r="BL152" i="123"/>
  <c r="BL171" i="123" s="1"/>
  <c r="BH152" i="123"/>
  <c r="BH171" i="123" s="1"/>
  <c r="AZ152" i="123"/>
  <c r="AZ171" i="123" s="1"/>
  <c r="AV152" i="123"/>
  <c r="AV171" i="123" s="1"/>
  <c r="AR152" i="123"/>
  <c r="AR171" i="123" s="1"/>
  <c r="AN152" i="123"/>
  <c r="AN171" i="123" s="1"/>
  <c r="AJ152" i="123"/>
  <c r="AJ171" i="123" s="1"/>
  <c r="AF152" i="123"/>
  <c r="AF171" i="123" s="1"/>
  <c r="O152" i="123"/>
  <c r="K152" i="123"/>
  <c r="BE152" i="123"/>
  <c r="BE171" i="123" s="1"/>
  <c r="BI152" i="123"/>
  <c r="BI171" i="123" s="1"/>
  <c r="BD152" i="123"/>
  <c r="BD171" i="123" s="1"/>
  <c r="AI152" i="123"/>
  <c r="AI171" i="123" s="1"/>
  <c r="AE152" i="123"/>
  <c r="AE171" i="123" s="1"/>
  <c r="G152" i="123"/>
  <c r="AK40" i="141" l="1"/>
  <c r="AK42" i="141" s="1"/>
  <c r="AL29" i="141"/>
  <c r="J12" i="131"/>
  <c r="J14" i="131" s="1"/>
  <c r="J26" i="131" s="1"/>
  <c r="L12" i="131"/>
  <c r="L14" i="131" s="1"/>
  <c r="L26" i="131" s="1"/>
  <c r="G12" i="131"/>
  <c r="G14" i="131" s="1"/>
  <c r="G26" i="131" s="1"/>
  <c r="N12" i="131"/>
  <c r="N14" i="131" s="1"/>
  <c r="N26" i="131" s="1"/>
  <c r="N42" i="131" s="1"/>
  <c r="I12" i="131"/>
  <c r="I14" i="131" s="1"/>
  <c r="I26" i="131" s="1"/>
  <c r="K12" i="131"/>
  <c r="K14" i="131" s="1"/>
  <c r="K26" i="131" s="1"/>
  <c r="D12" i="131"/>
  <c r="D14" i="131" s="1"/>
  <c r="D26" i="131" s="1"/>
  <c r="M12" i="131"/>
  <c r="M14" i="131" s="1"/>
  <c r="M26" i="131" s="1"/>
  <c r="C12" i="131"/>
  <c r="C14" i="131" s="1"/>
  <c r="C26" i="131" s="1"/>
  <c r="F12" i="131"/>
  <c r="F14" i="131" s="1"/>
  <c r="F26" i="131" s="1"/>
  <c r="H12" i="131"/>
  <c r="H14" i="131" s="1"/>
  <c r="H26" i="131" s="1"/>
  <c r="E12" i="131"/>
  <c r="E14" i="131" s="1"/>
  <c r="E26" i="131" s="1"/>
  <c r="E42" i="131" s="1"/>
  <c r="S40" i="136"/>
  <c r="S42" i="136" s="1"/>
  <c r="T29" i="136"/>
  <c r="Q40" i="133"/>
  <c r="Q42" i="133" s="1"/>
  <c r="Q29" i="131"/>
  <c r="S29" i="133"/>
  <c r="R29" i="131"/>
  <c r="Q40" i="132"/>
  <c r="R29" i="132"/>
  <c r="U40" i="135"/>
  <c r="U42" i="135" s="1"/>
  <c r="V29" i="135"/>
  <c r="S29" i="134"/>
  <c r="E26" i="132"/>
  <c r="E56" i="132" s="1"/>
  <c r="H26" i="132"/>
  <c r="H56" i="132" s="1"/>
  <c r="F26" i="132"/>
  <c r="F56" i="132" s="1"/>
  <c r="D26" i="132"/>
  <c r="D56" i="132" s="1"/>
  <c r="L26" i="132"/>
  <c r="L56" i="132" s="1"/>
  <c r="I171" i="123"/>
  <c r="I26" i="132"/>
  <c r="I56" i="132" s="1"/>
  <c r="G171" i="123"/>
  <c r="K171" i="123"/>
  <c r="R171" i="123"/>
  <c r="O171" i="123"/>
  <c r="H171" i="123"/>
  <c r="M171" i="123"/>
  <c r="K26" i="132"/>
  <c r="K56" i="132" s="1"/>
  <c r="J171" i="123"/>
  <c r="L171" i="123"/>
  <c r="Q171" i="123"/>
  <c r="M26" i="132"/>
  <c r="M56" i="132" s="1"/>
  <c r="J26" i="132"/>
  <c r="J56" i="132" s="1"/>
  <c r="N171" i="123"/>
  <c r="P171" i="123"/>
  <c r="N26" i="132"/>
  <c r="N56" i="132" s="1"/>
  <c r="G26" i="132"/>
  <c r="G56" i="132" s="1"/>
  <c r="C75" i="125"/>
  <c r="D75" i="125"/>
  <c r="E75" i="125"/>
  <c r="F75" i="125"/>
  <c r="G75" i="125"/>
  <c r="H75" i="125"/>
  <c r="I75" i="125"/>
  <c r="J75" i="125"/>
  <c r="K75" i="125"/>
  <c r="L75" i="125"/>
  <c r="M75" i="125"/>
  <c r="N75" i="125"/>
  <c r="B75" i="125"/>
  <c r="AL40" i="141" l="1"/>
  <c r="AL42" i="141" s="1"/>
  <c r="AM29" i="141"/>
  <c r="R40" i="131"/>
  <c r="R42" i="131" s="1"/>
  <c r="R40" i="132"/>
  <c r="T29" i="133"/>
  <c r="U29" i="133" s="1"/>
  <c r="T40" i="136"/>
  <c r="T42" i="136" s="1"/>
  <c r="U29" i="136"/>
  <c r="S40" i="134"/>
  <c r="S42" i="134" s="1"/>
  <c r="Q40" i="131"/>
  <c r="Q42" i="131" s="1"/>
  <c r="T29" i="131"/>
  <c r="T40" i="131" s="1"/>
  <c r="T42" i="131" s="1"/>
  <c r="V40" i="135"/>
  <c r="V42" i="135" s="1"/>
  <c r="W29" i="135"/>
  <c r="S29" i="132"/>
  <c r="S40" i="133"/>
  <c r="S42" i="133" s="1"/>
  <c r="S29" i="131"/>
  <c r="T29" i="134"/>
  <c r="O5" i="126"/>
  <c r="M42" i="131"/>
  <c r="L5" i="126"/>
  <c r="J42" i="131"/>
  <c r="G42" i="131"/>
  <c r="I5" i="126"/>
  <c r="F42" i="131"/>
  <c r="H5" i="126"/>
  <c r="P5" i="126"/>
  <c r="L42" i="131"/>
  <c r="N5" i="126"/>
  <c r="C42" i="131"/>
  <c r="E5" i="126"/>
  <c r="J5" i="126"/>
  <c r="H42" i="131"/>
  <c r="F5" i="126"/>
  <c r="D42" i="131"/>
  <c r="G5" i="126"/>
  <c r="K5" i="126"/>
  <c r="I42" i="131"/>
  <c r="M5" i="126"/>
  <c r="K42" i="131"/>
  <c r="BL40" i="126"/>
  <c r="BL8" i="126" s="1"/>
  <c r="BK40" i="126"/>
  <c r="BK8" i="126" s="1"/>
  <c r="BJ40" i="126"/>
  <c r="BJ8" i="126" s="1"/>
  <c r="BI40" i="126"/>
  <c r="BI8" i="126" s="1"/>
  <c r="BH40" i="126"/>
  <c r="BH8" i="126" s="1"/>
  <c r="BG40" i="126"/>
  <c r="BG8" i="126" s="1"/>
  <c r="BF40" i="126"/>
  <c r="BF8" i="126" s="1"/>
  <c r="BE40" i="126"/>
  <c r="BE8" i="126" s="1"/>
  <c r="BD40" i="126"/>
  <c r="BD8" i="126" s="1"/>
  <c r="BC40" i="126"/>
  <c r="BC8" i="126" s="1"/>
  <c r="BB40" i="126"/>
  <c r="BB8" i="126" s="1"/>
  <c r="BA40" i="126"/>
  <c r="BA8" i="126" s="1"/>
  <c r="BL39" i="126"/>
  <c r="BK39" i="126"/>
  <c r="BJ39" i="126"/>
  <c r="BI39" i="126"/>
  <c r="BH39" i="126"/>
  <c r="BG39" i="126"/>
  <c r="BF39" i="126"/>
  <c r="BE39" i="126"/>
  <c r="BD39" i="126"/>
  <c r="BC39" i="126"/>
  <c r="BB39" i="126"/>
  <c r="BA39" i="126"/>
  <c r="BL38" i="126"/>
  <c r="BL42" i="126" s="1"/>
  <c r="BL43" i="126" s="1"/>
  <c r="BK38" i="126"/>
  <c r="BK42" i="126" s="1"/>
  <c r="BK43" i="126" s="1"/>
  <c r="BJ38" i="126"/>
  <c r="BI38" i="126"/>
  <c r="BI42" i="126" s="1"/>
  <c r="BH38" i="126"/>
  <c r="BH42" i="126" s="1"/>
  <c r="BG38" i="126"/>
  <c r="BG42" i="126" s="1"/>
  <c r="BG43" i="126" s="1"/>
  <c r="BF38" i="126"/>
  <c r="BE38" i="126"/>
  <c r="BE42" i="126" s="1"/>
  <c r="BD38" i="126"/>
  <c r="BC38" i="126"/>
  <c r="BC42" i="126" s="1"/>
  <c r="BC43" i="126" s="1"/>
  <c r="BB38" i="126"/>
  <c r="BB42" i="126" s="1"/>
  <c r="BB43" i="126" s="1"/>
  <c r="BA38" i="126"/>
  <c r="BL32" i="126"/>
  <c r="BL7" i="126" s="1"/>
  <c r="BK32" i="126"/>
  <c r="BJ32" i="126"/>
  <c r="BJ7" i="126" s="1"/>
  <c r="BI32" i="126"/>
  <c r="BI7" i="126" s="1"/>
  <c r="BH32" i="126"/>
  <c r="BH7" i="126" s="1"/>
  <c r="BG32" i="126"/>
  <c r="BG7" i="126" s="1"/>
  <c r="BF32" i="126"/>
  <c r="BF7" i="126" s="1"/>
  <c r="BE32" i="126"/>
  <c r="BE7" i="126" s="1"/>
  <c r="BD32" i="126"/>
  <c r="BD7" i="126" s="1"/>
  <c r="BC32" i="126"/>
  <c r="BC7" i="126" s="1"/>
  <c r="BB32" i="126"/>
  <c r="BB7" i="126" s="1"/>
  <c r="BA32" i="126"/>
  <c r="BA7" i="126" s="1"/>
  <c r="BL31" i="126"/>
  <c r="BK31" i="126"/>
  <c r="BJ31" i="126"/>
  <c r="BI31" i="126"/>
  <c r="BH31" i="126"/>
  <c r="BG31" i="126"/>
  <c r="BF31" i="126"/>
  <c r="BE31" i="126"/>
  <c r="BD31" i="126"/>
  <c r="BC31" i="126"/>
  <c r="BB31" i="126"/>
  <c r="BA31" i="126"/>
  <c r="BL30" i="126"/>
  <c r="BK30" i="126"/>
  <c r="BK34" i="126" s="1"/>
  <c r="BJ30" i="126"/>
  <c r="BI30" i="126"/>
  <c r="BI34" i="126" s="1"/>
  <c r="BH30" i="126"/>
  <c r="BH34" i="126" s="1"/>
  <c r="BH13" i="126" s="1"/>
  <c r="BG30" i="126"/>
  <c r="BF30" i="126"/>
  <c r="BF34" i="126" s="1"/>
  <c r="BE30" i="126"/>
  <c r="BE34" i="126" s="1"/>
  <c r="BD30" i="126"/>
  <c r="BC30" i="126"/>
  <c r="BB30" i="126"/>
  <c r="BA30" i="126"/>
  <c r="BA34" i="126" s="1"/>
  <c r="BL24" i="126"/>
  <c r="BL6" i="126" s="1"/>
  <c r="BK24" i="126"/>
  <c r="BK6" i="126" s="1"/>
  <c r="BJ24" i="126"/>
  <c r="BJ6" i="126" s="1"/>
  <c r="BI24" i="126"/>
  <c r="BI6" i="126" s="1"/>
  <c r="BH24" i="126"/>
  <c r="BH6" i="126" s="1"/>
  <c r="BG24" i="126"/>
  <c r="BF24" i="126"/>
  <c r="BE24" i="126"/>
  <c r="BE6" i="126" s="1"/>
  <c r="BD24" i="126"/>
  <c r="BD6" i="126" s="1"/>
  <c r="BC24" i="126"/>
  <c r="BC6" i="126" s="1"/>
  <c r="BB24" i="126"/>
  <c r="BA24" i="126"/>
  <c r="BL23" i="126"/>
  <c r="BK23" i="126"/>
  <c r="BJ23" i="126"/>
  <c r="BI23" i="126"/>
  <c r="BH23" i="126"/>
  <c r="BG23" i="126"/>
  <c r="BF23" i="126"/>
  <c r="BE23" i="126"/>
  <c r="BD23" i="126"/>
  <c r="BC23" i="126"/>
  <c r="BB23" i="126"/>
  <c r="BA23" i="126"/>
  <c r="BL22" i="126"/>
  <c r="BL26" i="126" s="1"/>
  <c r="BK22" i="126"/>
  <c r="BK26" i="126" s="1"/>
  <c r="BK27" i="126" s="1"/>
  <c r="BJ22" i="126"/>
  <c r="BJ26" i="126" s="1"/>
  <c r="BJ12" i="126" s="1"/>
  <c r="BI22" i="126"/>
  <c r="BI26" i="126" s="1"/>
  <c r="BI12" i="126" s="1"/>
  <c r="BH22" i="126"/>
  <c r="BG22" i="126"/>
  <c r="BF22" i="126"/>
  <c r="BE22" i="126"/>
  <c r="BE26" i="126" s="1"/>
  <c r="BE12" i="126" s="1"/>
  <c r="BD22" i="126"/>
  <c r="BC22" i="126"/>
  <c r="BB22" i="126"/>
  <c r="BB26" i="126" s="1"/>
  <c r="BB12" i="126" s="1"/>
  <c r="BA22" i="126"/>
  <c r="BA26" i="126" s="1"/>
  <c r="BA12" i="126" s="1"/>
  <c r="BB47" i="126"/>
  <c r="BC47" i="126"/>
  <c r="BD47" i="126"/>
  <c r="BE47" i="126"/>
  <c r="BF47" i="126"/>
  <c r="BG47" i="126"/>
  <c r="BH47" i="126"/>
  <c r="BI47" i="126"/>
  <c r="BJ47" i="126"/>
  <c r="BK47" i="126"/>
  <c r="BL47" i="126"/>
  <c r="BA47" i="126"/>
  <c r="BH26" i="126"/>
  <c r="BH12" i="126" s="1"/>
  <c r="BD42" i="126"/>
  <c r="BA6" i="126"/>
  <c r="AA76" i="126"/>
  <c r="AZ22" i="126"/>
  <c r="AZ23" i="126"/>
  <c r="AZ24" i="126"/>
  <c r="AZ6" i="126" s="1"/>
  <c r="AZ30" i="126"/>
  <c r="AZ31" i="126"/>
  <c r="AZ32" i="126"/>
  <c r="AZ7" i="126" s="1"/>
  <c r="AZ38" i="126"/>
  <c r="AZ39" i="126"/>
  <c r="AZ40" i="126"/>
  <c r="AZ8" i="126" s="1"/>
  <c r="AZ47" i="126"/>
  <c r="AM40" i="141" l="1"/>
  <c r="AM42" i="141" s="1"/>
  <c r="AN29" i="141"/>
  <c r="U40" i="133"/>
  <c r="U42" i="133" s="1"/>
  <c r="W40" i="135"/>
  <c r="W42" i="135" s="1"/>
  <c r="X29" i="135"/>
  <c r="S40" i="131"/>
  <c r="S42" i="131" s="1"/>
  <c r="T40" i="133"/>
  <c r="T42" i="133" s="1"/>
  <c r="S40" i="132"/>
  <c r="U29" i="132"/>
  <c r="U40" i="132" s="1"/>
  <c r="T40" i="134"/>
  <c r="T42" i="134" s="1"/>
  <c r="U29" i="134"/>
  <c r="V29" i="133"/>
  <c r="U40" i="136"/>
  <c r="U42" i="136" s="1"/>
  <c r="V29" i="136"/>
  <c r="T29" i="132"/>
  <c r="U29" i="131"/>
  <c r="U40" i="131" s="1"/>
  <c r="U42" i="131" s="1"/>
  <c r="BF26" i="126"/>
  <c r="BF12" i="126" s="1"/>
  <c r="BB34" i="126"/>
  <c r="BB13" i="126" s="1"/>
  <c r="BJ34" i="126"/>
  <c r="BJ13" i="126" s="1"/>
  <c r="BF42" i="126"/>
  <c r="BC26" i="126"/>
  <c r="BG34" i="126"/>
  <c r="BG13" i="126" s="1"/>
  <c r="BC34" i="126"/>
  <c r="BC13" i="126" s="1"/>
  <c r="BL34" i="126"/>
  <c r="BL13" i="126" s="1"/>
  <c r="BJ42" i="126"/>
  <c r="BJ43" i="126" s="1"/>
  <c r="BG26" i="126"/>
  <c r="BG12" i="126" s="1"/>
  <c r="BD34" i="126"/>
  <c r="BD13" i="126" s="1"/>
  <c r="BD26" i="126"/>
  <c r="BD27" i="126" s="1"/>
  <c r="BC27" i="126"/>
  <c r="BC12" i="126"/>
  <c r="BK14" i="126"/>
  <c r="BK13" i="126"/>
  <c r="BK35" i="126"/>
  <c r="BK7" i="126"/>
  <c r="BG6" i="126"/>
  <c r="BJ50" i="126"/>
  <c r="BJ15" i="126" s="1"/>
  <c r="BF50" i="126"/>
  <c r="BB50" i="126"/>
  <c r="BB15" i="126" s="1"/>
  <c r="BE50" i="126"/>
  <c r="BI50" i="126"/>
  <c r="BB35" i="126"/>
  <c r="BL50" i="126"/>
  <c r="BL15" i="126" s="1"/>
  <c r="BK50" i="126"/>
  <c r="BG50" i="126"/>
  <c r="BC50" i="126"/>
  <c r="BD50" i="126"/>
  <c r="BD15" i="126" s="1"/>
  <c r="BH50" i="126"/>
  <c r="BJ27" i="126"/>
  <c r="BH43" i="126"/>
  <c r="BD43" i="126"/>
  <c r="BA42" i="126"/>
  <c r="BA43" i="126" s="1"/>
  <c r="BL12" i="126"/>
  <c r="BL27" i="126"/>
  <c r="BH27" i="126"/>
  <c r="BD14" i="126"/>
  <c r="BF27" i="126"/>
  <c r="BF43" i="126"/>
  <c r="BB27" i="126"/>
  <c r="BF13" i="126"/>
  <c r="BF35" i="126"/>
  <c r="BK12" i="126"/>
  <c r="BH14" i="126"/>
  <c r="BF6" i="126"/>
  <c r="BB6" i="126"/>
  <c r="BH35" i="126"/>
  <c r="BI43" i="126"/>
  <c r="BE43" i="126"/>
  <c r="BA14" i="126"/>
  <c r="BA13" i="126"/>
  <c r="BE13" i="126"/>
  <c r="BE14" i="126"/>
  <c r="BI13" i="126"/>
  <c r="BI14" i="126"/>
  <c r="BJ35" i="126"/>
  <c r="BI35" i="126"/>
  <c r="BE35" i="126"/>
  <c r="BA35" i="126"/>
  <c r="BJ14" i="126"/>
  <c r="BF14" i="126"/>
  <c r="BB14" i="126"/>
  <c r="BA27" i="126"/>
  <c r="BE27" i="126"/>
  <c r="BI27" i="126"/>
  <c r="AZ42" i="126"/>
  <c r="AZ34" i="126"/>
  <c r="AZ14" i="126" s="1"/>
  <c r="AZ26" i="126"/>
  <c r="AZ27" i="126" s="1"/>
  <c r="P48" i="126"/>
  <c r="P51" i="126" s="1"/>
  <c r="O48" i="126"/>
  <c r="O51" i="126" s="1"/>
  <c r="N48" i="126"/>
  <c r="N51" i="126" s="1"/>
  <c r="M48" i="126"/>
  <c r="M51" i="126" s="1"/>
  <c r="L48" i="126"/>
  <c r="L51" i="126" s="1"/>
  <c r="K48" i="126"/>
  <c r="K51" i="126" s="1"/>
  <c r="J48" i="126"/>
  <c r="J51" i="126" s="1"/>
  <c r="I48" i="126"/>
  <c r="I51" i="126" s="1"/>
  <c r="H48" i="126"/>
  <c r="H51" i="126" s="1"/>
  <c r="G48" i="126"/>
  <c r="G51" i="126" s="1"/>
  <c r="F48" i="126"/>
  <c r="F51" i="126" s="1"/>
  <c r="E48" i="126"/>
  <c r="E51" i="126" s="1"/>
  <c r="AY47" i="126"/>
  <c r="AX47" i="126"/>
  <c r="AW47" i="126"/>
  <c r="AV47" i="126"/>
  <c r="AU47" i="126"/>
  <c r="AT47" i="126"/>
  <c r="AS47" i="126"/>
  <c r="AR47" i="126"/>
  <c r="AQ47" i="126"/>
  <c r="AP47" i="126"/>
  <c r="AO47" i="126"/>
  <c r="AN47" i="126"/>
  <c r="AM47" i="126"/>
  <c r="AL47" i="126"/>
  <c r="AK47" i="126"/>
  <c r="AJ47" i="126"/>
  <c r="AI47" i="126"/>
  <c r="AH47" i="126"/>
  <c r="AG47" i="126"/>
  <c r="AF47" i="126"/>
  <c r="AE47" i="126"/>
  <c r="AD47" i="126"/>
  <c r="AC47" i="126"/>
  <c r="AB47" i="126"/>
  <c r="AA47" i="126"/>
  <c r="Z47" i="126"/>
  <c r="Y47" i="126"/>
  <c r="X47" i="126"/>
  <c r="W47" i="126"/>
  <c r="V47" i="126"/>
  <c r="U47" i="126"/>
  <c r="T47" i="126"/>
  <c r="S47" i="126"/>
  <c r="R47" i="126"/>
  <c r="Q47" i="126"/>
  <c r="P47" i="126"/>
  <c r="O47" i="126"/>
  <c r="N47" i="126"/>
  <c r="M47" i="126"/>
  <c r="L47" i="126"/>
  <c r="K47" i="126"/>
  <c r="J47" i="126"/>
  <c r="I47" i="126"/>
  <c r="H47" i="126"/>
  <c r="G47" i="126"/>
  <c r="F47" i="126"/>
  <c r="E47" i="126"/>
  <c r="AY40" i="126"/>
  <c r="AY8" i="126" s="1"/>
  <c r="AX40" i="126"/>
  <c r="AX8" i="126" s="1"/>
  <c r="AW40" i="126"/>
  <c r="AW8" i="126" s="1"/>
  <c r="AV40" i="126"/>
  <c r="AV8" i="126" s="1"/>
  <c r="AU40" i="126"/>
  <c r="AU8" i="126" s="1"/>
  <c r="AT40" i="126"/>
  <c r="AT8" i="126" s="1"/>
  <c r="AS40" i="126"/>
  <c r="AS8" i="126" s="1"/>
  <c r="AR40" i="126"/>
  <c r="AR8" i="126" s="1"/>
  <c r="AQ40" i="126"/>
  <c r="AQ8" i="126" s="1"/>
  <c r="AP40" i="126"/>
  <c r="AP8" i="126" s="1"/>
  <c r="AO40" i="126"/>
  <c r="AO8" i="126" s="1"/>
  <c r="AN40" i="126"/>
  <c r="AN8" i="126" s="1"/>
  <c r="AM40" i="126"/>
  <c r="AM8" i="126" s="1"/>
  <c r="AL40" i="126"/>
  <c r="AL8" i="126" s="1"/>
  <c r="AK40" i="126"/>
  <c r="AK8" i="126" s="1"/>
  <c r="AJ40" i="126"/>
  <c r="AJ8" i="126" s="1"/>
  <c r="AI40" i="126"/>
  <c r="AI8" i="126" s="1"/>
  <c r="AH40" i="126"/>
  <c r="AH8" i="126" s="1"/>
  <c r="AG40" i="126"/>
  <c r="AG8" i="126" s="1"/>
  <c r="AF40" i="126"/>
  <c r="AF8" i="126" s="1"/>
  <c r="AE40" i="126"/>
  <c r="AE8" i="126" s="1"/>
  <c r="AD40" i="126"/>
  <c r="AD8" i="126" s="1"/>
  <c r="AC40" i="126"/>
  <c r="AC8" i="126" s="1"/>
  <c r="AB40" i="126"/>
  <c r="AB8" i="126" s="1"/>
  <c r="AA40" i="126"/>
  <c r="AA8" i="126" s="1"/>
  <c r="Z40" i="126"/>
  <c r="Z8" i="126" s="1"/>
  <c r="Y40" i="126"/>
  <c r="Y8" i="126" s="1"/>
  <c r="X40" i="126"/>
  <c r="X8" i="126" s="1"/>
  <c r="W40" i="126"/>
  <c r="W8" i="126" s="1"/>
  <c r="V40" i="126"/>
  <c r="V8" i="126" s="1"/>
  <c r="U40" i="126"/>
  <c r="U8" i="126" s="1"/>
  <c r="T40" i="126"/>
  <c r="T8" i="126" s="1"/>
  <c r="S40" i="126"/>
  <c r="S8" i="126" s="1"/>
  <c r="R40" i="126"/>
  <c r="R8" i="126" s="1"/>
  <c r="Q40" i="126"/>
  <c r="Q8" i="126" s="1"/>
  <c r="P40" i="126"/>
  <c r="P8" i="126" s="1"/>
  <c r="O40" i="126"/>
  <c r="O8" i="126" s="1"/>
  <c r="N40" i="126"/>
  <c r="N8" i="126" s="1"/>
  <c r="M40" i="126"/>
  <c r="M8" i="126" s="1"/>
  <c r="L40" i="126"/>
  <c r="L8" i="126" s="1"/>
  <c r="K40" i="126"/>
  <c r="K8" i="126" s="1"/>
  <c r="J40" i="126"/>
  <c r="J8" i="126" s="1"/>
  <c r="I40" i="126"/>
  <c r="I8" i="126" s="1"/>
  <c r="H40" i="126"/>
  <c r="H8" i="126" s="1"/>
  <c r="G40" i="126"/>
  <c r="G8" i="126" s="1"/>
  <c r="F40" i="126"/>
  <c r="F8" i="126" s="1"/>
  <c r="E40" i="126"/>
  <c r="E8" i="126" s="1"/>
  <c r="AY39" i="126"/>
  <c r="AX39" i="126"/>
  <c r="AW39" i="126"/>
  <c r="AV39" i="126"/>
  <c r="AU39" i="126"/>
  <c r="AT39" i="126"/>
  <c r="AS39" i="126"/>
  <c r="AR39" i="126"/>
  <c r="AQ39" i="126"/>
  <c r="AP39" i="126"/>
  <c r="AO39" i="126"/>
  <c r="AN39" i="126"/>
  <c r="AM39" i="126"/>
  <c r="AL39" i="126"/>
  <c r="AK39" i="126"/>
  <c r="AJ39" i="126"/>
  <c r="AI39" i="126"/>
  <c r="AH39" i="126"/>
  <c r="AG39" i="126"/>
  <c r="AF39" i="126"/>
  <c r="AE39" i="126"/>
  <c r="AD39" i="126"/>
  <c r="AC39" i="126"/>
  <c r="AB39" i="126"/>
  <c r="AA39" i="126"/>
  <c r="Z39" i="126"/>
  <c r="Y39" i="126"/>
  <c r="X39" i="126"/>
  <c r="W39" i="126"/>
  <c r="V39" i="126"/>
  <c r="U39" i="126"/>
  <c r="T39" i="126"/>
  <c r="S39" i="126"/>
  <c r="R39" i="126"/>
  <c r="Q39" i="126"/>
  <c r="P39" i="126"/>
  <c r="O39" i="126"/>
  <c r="N39" i="126"/>
  <c r="M39" i="126"/>
  <c r="L39" i="126"/>
  <c r="K39" i="126"/>
  <c r="J39" i="126"/>
  <c r="I39" i="126"/>
  <c r="H39" i="126"/>
  <c r="G39" i="126"/>
  <c r="F39" i="126"/>
  <c r="E39" i="126"/>
  <c r="AY38" i="126"/>
  <c r="AX38" i="126"/>
  <c r="AW38" i="126"/>
  <c r="AV38" i="126"/>
  <c r="AU38" i="126"/>
  <c r="AT38" i="126"/>
  <c r="AS38" i="126"/>
  <c r="AR38" i="126"/>
  <c r="AQ38" i="126"/>
  <c r="AP38" i="126"/>
  <c r="AO38" i="126"/>
  <c r="AN38" i="126"/>
  <c r="AM38" i="126"/>
  <c r="AL38" i="126"/>
  <c r="AK38" i="126"/>
  <c r="AJ38" i="126"/>
  <c r="AI38" i="126"/>
  <c r="AH38" i="126"/>
  <c r="AG38" i="126"/>
  <c r="AF38" i="126"/>
  <c r="AE38" i="126"/>
  <c r="AD38" i="126"/>
  <c r="AC38" i="126"/>
  <c r="AB38" i="126"/>
  <c r="AA38" i="126"/>
  <c r="Z38" i="126"/>
  <c r="Y38" i="126"/>
  <c r="X38" i="126"/>
  <c r="W38" i="126"/>
  <c r="V38" i="126"/>
  <c r="U38" i="126"/>
  <c r="T38" i="126"/>
  <c r="S38" i="126"/>
  <c r="R38" i="126"/>
  <c r="Q38" i="126"/>
  <c r="P38" i="126"/>
  <c r="O38" i="126"/>
  <c r="N38" i="126"/>
  <c r="M38" i="126"/>
  <c r="L38" i="126"/>
  <c r="K38" i="126"/>
  <c r="J38" i="126"/>
  <c r="I38" i="126"/>
  <c r="H38" i="126"/>
  <c r="G38" i="126"/>
  <c r="F38" i="126"/>
  <c r="E38" i="126"/>
  <c r="AY32" i="126"/>
  <c r="AY7" i="126" s="1"/>
  <c r="AX32" i="126"/>
  <c r="AX7" i="126" s="1"/>
  <c r="AW32" i="126"/>
  <c r="AW7" i="126" s="1"/>
  <c r="AV32" i="126"/>
  <c r="AV7" i="126" s="1"/>
  <c r="AU32" i="126"/>
  <c r="AU7" i="126" s="1"/>
  <c r="AT32" i="126"/>
  <c r="AT7" i="126" s="1"/>
  <c r="AS32" i="126"/>
  <c r="AS7" i="126" s="1"/>
  <c r="AR32" i="126"/>
  <c r="AR7" i="126" s="1"/>
  <c r="AQ32" i="126"/>
  <c r="AQ7" i="126" s="1"/>
  <c r="AP32" i="126"/>
  <c r="AP7" i="126" s="1"/>
  <c r="AO32" i="126"/>
  <c r="AO7" i="126" s="1"/>
  <c r="AN32" i="126"/>
  <c r="AM32" i="126"/>
  <c r="AM7" i="126" s="1"/>
  <c r="AL32" i="126"/>
  <c r="AL7" i="126" s="1"/>
  <c r="AK32" i="126"/>
  <c r="AK7" i="126" s="1"/>
  <c r="AJ32" i="126"/>
  <c r="AJ7" i="126" s="1"/>
  <c r="AI32" i="126"/>
  <c r="AI7" i="126" s="1"/>
  <c r="AH32" i="126"/>
  <c r="AH7" i="126" s="1"/>
  <c r="AG32" i="126"/>
  <c r="AG7" i="126" s="1"/>
  <c r="AF32" i="126"/>
  <c r="AF7" i="126" s="1"/>
  <c r="AE32" i="126"/>
  <c r="AE7" i="126" s="1"/>
  <c r="AD32" i="126"/>
  <c r="AD7" i="126" s="1"/>
  <c r="AC32" i="126"/>
  <c r="AC7" i="126" s="1"/>
  <c r="AB32" i="126"/>
  <c r="AB7" i="126" s="1"/>
  <c r="AA32" i="126"/>
  <c r="AA7" i="126" s="1"/>
  <c r="Z32" i="126"/>
  <c r="Z7" i="126" s="1"/>
  <c r="Y32" i="126"/>
  <c r="Y7" i="126" s="1"/>
  <c r="X32" i="126"/>
  <c r="W32" i="126"/>
  <c r="W7" i="126" s="1"/>
  <c r="V32" i="126"/>
  <c r="V7" i="126" s="1"/>
  <c r="U32" i="126"/>
  <c r="U7" i="126" s="1"/>
  <c r="T32" i="126"/>
  <c r="T7" i="126" s="1"/>
  <c r="S32" i="126"/>
  <c r="S7" i="126" s="1"/>
  <c r="R32" i="126"/>
  <c r="R7" i="126" s="1"/>
  <c r="Q32" i="126"/>
  <c r="Q7" i="126" s="1"/>
  <c r="P32" i="126"/>
  <c r="P7" i="126" s="1"/>
  <c r="O32" i="126"/>
  <c r="O7" i="126" s="1"/>
  <c r="N32" i="126"/>
  <c r="N7" i="126" s="1"/>
  <c r="M32" i="126"/>
  <c r="M7" i="126" s="1"/>
  <c r="L32" i="126"/>
  <c r="K32" i="126"/>
  <c r="K7" i="126" s="1"/>
  <c r="J32" i="126"/>
  <c r="J7" i="126" s="1"/>
  <c r="I32" i="126"/>
  <c r="I7" i="126" s="1"/>
  <c r="H32" i="126"/>
  <c r="H7" i="126" s="1"/>
  <c r="G32" i="126"/>
  <c r="G7" i="126" s="1"/>
  <c r="F32" i="126"/>
  <c r="F7" i="126" s="1"/>
  <c r="E32" i="126"/>
  <c r="E7" i="126" s="1"/>
  <c r="AY31" i="126"/>
  <c r="AX31" i="126"/>
  <c r="AW31" i="126"/>
  <c r="AV31" i="126"/>
  <c r="AU31" i="126"/>
  <c r="AT31" i="126"/>
  <c r="AS31" i="126"/>
  <c r="AR31" i="126"/>
  <c r="AQ31" i="126"/>
  <c r="AP31" i="126"/>
  <c r="AO31" i="126"/>
  <c r="AN31" i="126"/>
  <c r="AM31" i="126"/>
  <c r="AL31" i="126"/>
  <c r="AK31" i="126"/>
  <c r="AJ31" i="126"/>
  <c r="AI31" i="126"/>
  <c r="AH31" i="126"/>
  <c r="AG31" i="126"/>
  <c r="AF31" i="126"/>
  <c r="AE31" i="126"/>
  <c r="AD31" i="126"/>
  <c r="AC31" i="126"/>
  <c r="AB31" i="126"/>
  <c r="AA31" i="126"/>
  <c r="Z31" i="126"/>
  <c r="Y31" i="126"/>
  <c r="X31" i="126"/>
  <c r="W31" i="126"/>
  <c r="V31" i="126"/>
  <c r="U31" i="126"/>
  <c r="T31" i="126"/>
  <c r="S31" i="126"/>
  <c r="R31" i="126"/>
  <c r="Q31" i="126"/>
  <c r="P31" i="126"/>
  <c r="O31" i="126"/>
  <c r="N31" i="126"/>
  <c r="M31" i="126"/>
  <c r="L31" i="126"/>
  <c r="K31" i="126"/>
  <c r="J31" i="126"/>
  <c r="I31" i="126"/>
  <c r="H31" i="126"/>
  <c r="G31" i="126"/>
  <c r="F31" i="126"/>
  <c r="E31" i="126"/>
  <c r="AY30" i="126"/>
  <c r="AX30" i="126"/>
  <c r="AW30" i="126"/>
  <c r="AV30" i="126"/>
  <c r="AU30" i="126"/>
  <c r="AT30" i="126"/>
  <c r="AS30" i="126"/>
  <c r="AR30" i="126"/>
  <c r="AQ30" i="126"/>
  <c r="AP30" i="126"/>
  <c r="AO30" i="126"/>
  <c r="AN30" i="126"/>
  <c r="AM30" i="126"/>
  <c r="AL30" i="126"/>
  <c r="AK30" i="126"/>
  <c r="AJ30" i="126"/>
  <c r="AI30" i="126"/>
  <c r="AH30" i="126"/>
  <c r="AG30" i="126"/>
  <c r="AF30" i="126"/>
  <c r="AE30" i="126"/>
  <c r="AD30" i="126"/>
  <c r="AC30" i="126"/>
  <c r="AB30" i="126"/>
  <c r="AA30" i="126"/>
  <c r="Z30" i="126"/>
  <c r="Y30" i="126"/>
  <c r="X30" i="126"/>
  <c r="W30" i="126"/>
  <c r="V30" i="126"/>
  <c r="U30" i="126"/>
  <c r="T30" i="126"/>
  <c r="S30" i="126"/>
  <c r="R30" i="126"/>
  <c r="Q30" i="126"/>
  <c r="P30" i="126"/>
  <c r="O30" i="126"/>
  <c r="N30" i="126"/>
  <c r="M30" i="126"/>
  <c r="L30" i="126"/>
  <c r="K30" i="126"/>
  <c r="J30" i="126"/>
  <c r="I30" i="126"/>
  <c r="H30" i="126"/>
  <c r="G30" i="126"/>
  <c r="F30" i="126"/>
  <c r="E30" i="126"/>
  <c r="AY24" i="126"/>
  <c r="AY6" i="126" s="1"/>
  <c r="AX24" i="126"/>
  <c r="AX6" i="126" s="1"/>
  <c r="AW24" i="126"/>
  <c r="AW6" i="126" s="1"/>
  <c r="AV24" i="126"/>
  <c r="AV6" i="126" s="1"/>
  <c r="AU24" i="126"/>
  <c r="AU6" i="126" s="1"/>
  <c r="AT24" i="126"/>
  <c r="AT6" i="126" s="1"/>
  <c r="AS24" i="126"/>
  <c r="AS6" i="126" s="1"/>
  <c r="AR24" i="126"/>
  <c r="AR6" i="126" s="1"/>
  <c r="AQ24" i="126"/>
  <c r="AQ6" i="126" s="1"/>
  <c r="AP24" i="126"/>
  <c r="AP6" i="126" s="1"/>
  <c r="AO24" i="126"/>
  <c r="AO6" i="126" s="1"/>
  <c r="AN24" i="126"/>
  <c r="AN6" i="126" s="1"/>
  <c r="AM24" i="126"/>
  <c r="AM6" i="126" s="1"/>
  <c r="AL24" i="126"/>
  <c r="AL6" i="126" s="1"/>
  <c r="AK24" i="126"/>
  <c r="AK6" i="126" s="1"/>
  <c r="AJ24" i="126"/>
  <c r="AJ6" i="126" s="1"/>
  <c r="AI24" i="126"/>
  <c r="AI6" i="126" s="1"/>
  <c r="AH24" i="126"/>
  <c r="AH6" i="126" s="1"/>
  <c r="AG24" i="126"/>
  <c r="AG6" i="126" s="1"/>
  <c r="AF24" i="126"/>
  <c r="AF6" i="126" s="1"/>
  <c r="AE24" i="126"/>
  <c r="AE6" i="126" s="1"/>
  <c r="AD24" i="126"/>
  <c r="AD6" i="126" s="1"/>
  <c r="AC24" i="126"/>
  <c r="AC6" i="126" s="1"/>
  <c r="AB24" i="126"/>
  <c r="AB6" i="126" s="1"/>
  <c r="AA24" i="126"/>
  <c r="AA6" i="126" s="1"/>
  <c r="Z24" i="126"/>
  <c r="Z6" i="126" s="1"/>
  <c r="Y24" i="126"/>
  <c r="Y6" i="126" s="1"/>
  <c r="X24" i="126"/>
  <c r="X6" i="126" s="1"/>
  <c r="W24" i="126"/>
  <c r="W6" i="126" s="1"/>
  <c r="V24" i="126"/>
  <c r="V6" i="126" s="1"/>
  <c r="U24" i="126"/>
  <c r="U6" i="126" s="1"/>
  <c r="T24" i="126"/>
  <c r="T6" i="126" s="1"/>
  <c r="S24" i="126"/>
  <c r="S6" i="126" s="1"/>
  <c r="R24" i="126"/>
  <c r="R6" i="126" s="1"/>
  <c r="Q24" i="126"/>
  <c r="Q6" i="126" s="1"/>
  <c r="P24" i="126"/>
  <c r="P6" i="126" s="1"/>
  <c r="O24" i="126"/>
  <c r="O6" i="126" s="1"/>
  <c r="N24" i="126"/>
  <c r="M24" i="126"/>
  <c r="M6" i="126" s="1"/>
  <c r="L24" i="126"/>
  <c r="L6" i="126" s="1"/>
  <c r="K24" i="126"/>
  <c r="K6" i="126" s="1"/>
  <c r="J24" i="126"/>
  <c r="J6" i="126" s="1"/>
  <c r="I24" i="126"/>
  <c r="I6" i="126" s="1"/>
  <c r="H24" i="126"/>
  <c r="H6" i="126" s="1"/>
  <c r="G24" i="126"/>
  <c r="G6" i="126" s="1"/>
  <c r="F24" i="126"/>
  <c r="F6" i="126" s="1"/>
  <c r="E24" i="126"/>
  <c r="E6" i="126" s="1"/>
  <c r="AY23" i="126"/>
  <c r="AX23" i="126"/>
  <c r="AW23" i="126"/>
  <c r="AV23" i="126"/>
  <c r="AU23" i="126"/>
  <c r="AT23" i="126"/>
  <c r="AS23" i="126"/>
  <c r="AR23" i="126"/>
  <c r="AQ23" i="126"/>
  <c r="AP23" i="126"/>
  <c r="AO23" i="126"/>
  <c r="AN23" i="126"/>
  <c r="AM23" i="126"/>
  <c r="AL23" i="126"/>
  <c r="AK23" i="126"/>
  <c r="AJ23" i="126"/>
  <c r="AI23" i="126"/>
  <c r="AH23" i="126"/>
  <c r="AG23" i="126"/>
  <c r="AF23" i="126"/>
  <c r="AE23" i="126"/>
  <c r="AD23" i="126"/>
  <c r="AC23" i="126"/>
  <c r="AB23" i="126"/>
  <c r="AA23" i="126"/>
  <c r="Z23" i="126"/>
  <c r="Y23" i="126"/>
  <c r="X23" i="126"/>
  <c r="W23" i="126"/>
  <c r="V23" i="126"/>
  <c r="U23" i="126"/>
  <c r="T23" i="126"/>
  <c r="S23" i="126"/>
  <c r="R23" i="126"/>
  <c r="Q23" i="126"/>
  <c r="P23" i="126"/>
  <c r="O23" i="126"/>
  <c r="N23" i="126"/>
  <c r="M23" i="126"/>
  <c r="L23" i="126"/>
  <c r="K23" i="126"/>
  <c r="J23" i="126"/>
  <c r="I23" i="126"/>
  <c r="H23" i="126"/>
  <c r="G23" i="126"/>
  <c r="F23" i="126"/>
  <c r="E23" i="126"/>
  <c r="AY22" i="126"/>
  <c r="AX22" i="126"/>
  <c r="AW22" i="126"/>
  <c r="AV22" i="126"/>
  <c r="AU22" i="126"/>
  <c r="AT22" i="126"/>
  <c r="AS22" i="126"/>
  <c r="AR22" i="126"/>
  <c r="AQ22" i="126"/>
  <c r="AP22" i="126"/>
  <c r="AO22" i="126"/>
  <c r="AN22" i="126"/>
  <c r="AM22" i="126"/>
  <c r="AL22" i="126"/>
  <c r="AK22" i="126"/>
  <c r="AJ22" i="126"/>
  <c r="AI22" i="126"/>
  <c r="AH22" i="126"/>
  <c r="AG22" i="126"/>
  <c r="AF22" i="126"/>
  <c r="AE22" i="126"/>
  <c r="AD22" i="126"/>
  <c r="AC22" i="126"/>
  <c r="AB22" i="126"/>
  <c r="AA22" i="126"/>
  <c r="Z22" i="126"/>
  <c r="Y22" i="126"/>
  <c r="X22" i="126"/>
  <c r="W22" i="126"/>
  <c r="V22" i="126"/>
  <c r="U22" i="126"/>
  <c r="T22" i="126"/>
  <c r="S22" i="126"/>
  <c r="R22" i="126"/>
  <c r="Q22" i="126"/>
  <c r="P22" i="126"/>
  <c r="O22" i="126"/>
  <c r="N22" i="126"/>
  <c r="M22" i="126"/>
  <c r="L22" i="126"/>
  <c r="K22" i="126"/>
  <c r="J22" i="126"/>
  <c r="I22" i="126"/>
  <c r="H22" i="126"/>
  <c r="G22" i="126"/>
  <c r="F22" i="126"/>
  <c r="E22" i="126"/>
  <c r="AN7" i="126"/>
  <c r="X7" i="126"/>
  <c r="L7" i="126"/>
  <c r="E2" i="126"/>
  <c r="F2" i="126" s="1"/>
  <c r="G2" i="126" s="1"/>
  <c r="H2" i="126" s="1"/>
  <c r="I2" i="126" s="1"/>
  <c r="J2" i="126" s="1"/>
  <c r="K2" i="126" s="1"/>
  <c r="L2" i="126" s="1"/>
  <c r="M2" i="126" s="1"/>
  <c r="N2" i="126" s="1"/>
  <c r="O2" i="126" s="1"/>
  <c r="P2" i="126" s="1"/>
  <c r="Q2" i="126" s="1"/>
  <c r="R2" i="126" s="1"/>
  <c r="S2" i="126" s="1"/>
  <c r="T2" i="126" s="1"/>
  <c r="U2" i="126" s="1"/>
  <c r="V2" i="126" s="1"/>
  <c r="W2" i="126" s="1"/>
  <c r="X2" i="126" s="1"/>
  <c r="Y2" i="126" s="1"/>
  <c r="Z2" i="126" s="1"/>
  <c r="AA2" i="126" s="1"/>
  <c r="AB2" i="126" s="1"/>
  <c r="AC2" i="126" s="1"/>
  <c r="AD2" i="126" s="1"/>
  <c r="AE2" i="126" s="1"/>
  <c r="AF2" i="126" s="1"/>
  <c r="AG2" i="126" s="1"/>
  <c r="AH2" i="126" s="1"/>
  <c r="AI2" i="126" s="1"/>
  <c r="AJ2" i="126" s="1"/>
  <c r="AK2" i="126" s="1"/>
  <c r="AL2" i="126" s="1"/>
  <c r="AM2" i="126" s="1"/>
  <c r="AN2" i="126" s="1"/>
  <c r="AO2" i="126" s="1"/>
  <c r="AP2" i="126" s="1"/>
  <c r="AQ2" i="126" s="1"/>
  <c r="AR2" i="126" s="1"/>
  <c r="AS2" i="126" s="1"/>
  <c r="AT2" i="126" s="1"/>
  <c r="AU2" i="126" s="1"/>
  <c r="AV2" i="126" s="1"/>
  <c r="AW2" i="126" s="1"/>
  <c r="AX2" i="126" s="1"/>
  <c r="AY2" i="126" s="1"/>
  <c r="AZ2" i="126" s="1"/>
  <c r="BA2" i="126" s="1"/>
  <c r="BB2" i="126" s="1"/>
  <c r="BC2" i="126" s="1"/>
  <c r="BD2" i="126" s="1"/>
  <c r="BE2" i="126" s="1"/>
  <c r="BF2" i="126" s="1"/>
  <c r="BG2" i="126" s="1"/>
  <c r="BH2" i="126" s="1"/>
  <c r="BI2" i="126" s="1"/>
  <c r="BJ2" i="126" s="1"/>
  <c r="BK2" i="126" s="1"/>
  <c r="BL2" i="126" s="1"/>
  <c r="AN40" i="141" l="1"/>
  <c r="AN42" i="141" s="1"/>
  <c r="AO29" i="141"/>
  <c r="BG14" i="126"/>
  <c r="V29" i="131"/>
  <c r="U40" i="134"/>
  <c r="U42" i="134" s="1"/>
  <c r="V29" i="134"/>
  <c r="V40" i="136"/>
  <c r="V42" i="136" s="1"/>
  <c r="W29" i="136"/>
  <c r="X40" i="135"/>
  <c r="X42" i="135" s="1"/>
  <c r="Y29" i="135"/>
  <c r="V40" i="133"/>
  <c r="V42" i="133" s="1"/>
  <c r="W29" i="133"/>
  <c r="V29" i="132"/>
  <c r="T40" i="132"/>
  <c r="BL35" i="126"/>
  <c r="L9" i="126"/>
  <c r="L50" i="126"/>
  <c r="E9" i="126"/>
  <c r="E50" i="126"/>
  <c r="E15" i="126" s="1"/>
  <c r="M9" i="126"/>
  <c r="M50" i="126"/>
  <c r="F9" i="126"/>
  <c r="F50" i="126"/>
  <c r="N9" i="126"/>
  <c r="M46" i="107" s="1"/>
  <c r="N50" i="126"/>
  <c r="G9" i="126"/>
  <c r="G50" i="126"/>
  <c r="O9" i="126"/>
  <c r="N46" i="107" s="1"/>
  <c r="O50" i="126"/>
  <c r="H9" i="126"/>
  <c r="H50" i="126"/>
  <c r="P9" i="126"/>
  <c r="O46" i="107" s="1"/>
  <c r="P50" i="126"/>
  <c r="I9" i="126"/>
  <c r="I50" i="126"/>
  <c r="J9" i="126"/>
  <c r="J50" i="126"/>
  <c r="K9" i="126"/>
  <c r="K50" i="126"/>
  <c r="BL14" i="126"/>
  <c r="BG35" i="126"/>
  <c r="BC35" i="126"/>
  <c r="BC14" i="126"/>
  <c r="BD35" i="126"/>
  <c r="BG27" i="126"/>
  <c r="BD12" i="126"/>
  <c r="BD16" i="126" s="1"/>
  <c r="BL16" i="126"/>
  <c r="BB16" i="126"/>
  <c r="BI15" i="126"/>
  <c r="BI16" i="126" s="1"/>
  <c r="BF15" i="126"/>
  <c r="BF16" i="126" s="1"/>
  <c r="BE15" i="126"/>
  <c r="BE16" i="126" s="1"/>
  <c r="BK15" i="126"/>
  <c r="BK16" i="126" s="1"/>
  <c r="BC15" i="126"/>
  <c r="BH15" i="126"/>
  <c r="BH16" i="126" s="1"/>
  <c r="BJ16" i="126"/>
  <c r="BG15" i="126"/>
  <c r="BG16" i="126" s="1"/>
  <c r="AZ35" i="126"/>
  <c r="AZ43" i="126"/>
  <c r="AX26" i="126"/>
  <c r="AX12" i="126" s="1"/>
  <c r="E34" i="126"/>
  <c r="E13" i="126" s="1"/>
  <c r="I34" i="126"/>
  <c r="I14" i="126" s="1"/>
  <c r="M34" i="126"/>
  <c r="M35" i="126" s="1"/>
  <c r="Q34" i="126"/>
  <c r="Q14" i="126" s="1"/>
  <c r="U34" i="126"/>
  <c r="U13" i="126" s="1"/>
  <c r="Y34" i="126"/>
  <c r="Y14" i="126" s="1"/>
  <c r="AC34" i="126"/>
  <c r="AC35" i="126" s="1"/>
  <c r="AG34" i="126"/>
  <c r="AG14" i="126" s="1"/>
  <c r="AK34" i="126"/>
  <c r="AK14" i="126" s="1"/>
  <c r="AO34" i="126"/>
  <c r="AO14" i="126" s="1"/>
  <c r="AS34" i="126"/>
  <c r="AS35" i="126" s="1"/>
  <c r="AW34" i="126"/>
  <c r="AW14" i="126" s="1"/>
  <c r="H42" i="126"/>
  <c r="L42" i="126"/>
  <c r="P42" i="126"/>
  <c r="T42" i="126"/>
  <c r="X42" i="126"/>
  <c r="X43" i="126" s="1"/>
  <c r="AB42" i="126"/>
  <c r="AB43" i="126" s="1"/>
  <c r="AF42" i="126"/>
  <c r="AJ42" i="126"/>
  <c r="AN42" i="126"/>
  <c r="AR42" i="126"/>
  <c r="AV42" i="126"/>
  <c r="AV43" i="126" s="1"/>
  <c r="AZ12" i="126"/>
  <c r="AZ13" i="126"/>
  <c r="K26" i="126"/>
  <c r="K12" i="126" s="1"/>
  <c r="S26" i="126"/>
  <c r="S12" i="126" s="1"/>
  <c r="AA26" i="126"/>
  <c r="AA12" i="126" s="1"/>
  <c r="AI26" i="126"/>
  <c r="AI12" i="126" s="1"/>
  <c r="AQ26" i="126"/>
  <c r="AQ12" i="126" s="1"/>
  <c r="F34" i="126"/>
  <c r="F14" i="126" s="1"/>
  <c r="J34" i="126"/>
  <c r="J14" i="126" s="1"/>
  <c r="N34" i="126"/>
  <c r="N14" i="126" s="1"/>
  <c r="R34" i="126"/>
  <c r="R14" i="126" s="1"/>
  <c r="V34" i="126"/>
  <c r="V14" i="126" s="1"/>
  <c r="Z34" i="126"/>
  <c r="Z14" i="126" s="1"/>
  <c r="AD34" i="126"/>
  <c r="AD14" i="126" s="1"/>
  <c r="AH34" i="126"/>
  <c r="AH14" i="126" s="1"/>
  <c r="AL34" i="126"/>
  <c r="AL14" i="126" s="1"/>
  <c r="AP34" i="126"/>
  <c r="AP14" i="126" s="1"/>
  <c r="AT34" i="126"/>
  <c r="AT14" i="126" s="1"/>
  <c r="AX34" i="126"/>
  <c r="AX14" i="126" s="1"/>
  <c r="E42" i="126"/>
  <c r="E14" i="126" s="1"/>
  <c r="I42" i="126"/>
  <c r="M42" i="126"/>
  <c r="Q42" i="126"/>
  <c r="U42" i="126"/>
  <c r="U43" i="126" s="1"/>
  <c r="Y42" i="126"/>
  <c r="Y43" i="126" s="1"/>
  <c r="AC42" i="126"/>
  <c r="AG42" i="126"/>
  <c r="AK42" i="126"/>
  <c r="AO42" i="126"/>
  <c r="AS42" i="126"/>
  <c r="AW42" i="126"/>
  <c r="L26" i="126"/>
  <c r="L12" i="126" s="1"/>
  <c r="T26" i="126"/>
  <c r="T12" i="126" s="1"/>
  <c r="AB26" i="126"/>
  <c r="AB12" i="126" s="1"/>
  <c r="AJ26" i="126"/>
  <c r="AJ12" i="126" s="1"/>
  <c r="G34" i="126"/>
  <c r="G14" i="126" s="1"/>
  <c r="O34" i="126"/>
  <c r="O14" i="126" s="1"/>
  <c r="W34" i="126"/>
  <c r="W13" i="126" s="1"/>
  <c r="AE34" i="126"/>
  <c r="AE14" i="126" s="1"/>
  <c r="AM34" i="126"/>
  <c r="AM14" i="126" s="1"/>
  <c r="AU34" i="126"/>
  <c r="AU14" i="126" s="1"/>
  <c r="H26" i="126"/>
  <c r="H12" i="126" s="1"/>
  <c r="P26" i="126"/>
  <c r="P12" i="126" s="1"/>
  <c r="X26" i="126"/>
  <c r="X12" i="126" s="1"/>
  <c r="AF26" i="126"/>
  <c r="AF12" i="126" s="1"/>
  <c r="AN26" i="126"/>
  <c r="AN12" i="126" s="1"/>
  <c r="AR26" i="126"/>
  <c r="AR12" i="126" s="1"/>
  <c r="AV26" i="126"/>
  <c r="AV12" i="126" s="1"/>
  <c r="K34" i="126"/>
  <c r="K14" i="126" s="1"/>
  <c r="S34" i="126"/>
  <c r="S14" i="126" s="1"/>
  <c r="AA34" i="126"/>
  <c r="AA14" i="126" s="1"/>
  <c r="AI34" i="126"/>
  <c r="AI14" i="126" s="1"/>
  <c r="AQ34" i="126"/>
  <c r="AQ14" i="126" s="1"/>
  <c r="E26" i="126"/>
  <c r="E12" i="126" s="1"/>
  <c r="I26" i="126"/>
  <c r="I12" i="126" s="1"/>
  <c r="M26" i="126"/>
  <c r="M12" i="126" s="1"/>
  <c r="Q26" i="126"/>
  <c r="Q12" i="126" s="1"/>
  <c r="U26" i="126"/>
  <c r="U12" i="126" s="1"/>
  <c r="Y26" i="126"/>
  <c r="Y12" i="126" s="1"/>
  <c r="AC26" i="126"/>
  <c r="AC12" i="126" s="1"/>
  <c r="AG26" i="126"/>
  <c r="AG12" i="126" s="1"/>
  <c r="AK26" i="126"/>
  <c r="AK12" i="126" s="1"/>
  <c r="AO26" i="126"/>
  <c r="AO12" i="126" s="1"/>
  <c r="AS26" i="126"/>
  <c r="AS12" i="126" s="1"/>
  <c r="AW26" i="126"/>
  <c r="AW12" i="126" s="1"/>
  <c r="G42" i="126"/>
  <c r="G43" i="126" s="1"/>
  <c r="K42" i="126"/>
  <c r="O42" i="126"/>
  <c r="S42" i="126"/>
  <c r="W42" i="126"/>
  <c r="AA42" i="126"/>
  <c r="AE42" i="126"/>
  <c r="AI42" i="126"/>
  <c r="AM42" i="126"/>
  <c r="AM43" i="126" s="1"/>
  <c r="AQ42" i="126"/>
  <c r="AU42" i="126"/>
  <c r="F26" i="126"/>
  <c r="J26" i="126"/>
  <c r="J27" i="126" s="1"/>
  <c r="N26" i="126"/>
  <c r="N12" i="126" s="1"/>
  <c r="R26" i="126"/>
  <c r="R27" i="126" s="1"/>
  <c r="V26" i="126"/>
  <c r="Z26" i="126"/>
  <c r="Z27" i="126" s="1"/>
  <c r="AD26" i="126"/>
  <c r="AD12" i="126" s="1"/>
  <c r="AH26" i="126"/>
  <c r="AH27" i="126" s="1"/>
  <c r="AL26" i="126"/>
  <c r="AL27" i="126" s="1"/>
  <c r="AP26" i="126"/>
  <c r="AT26" i="126"/>
  <c r="AT27" i="126" s="1"/>
  <c r="H34" i="126"/>
  <c r="H35" i="126" s="1"/>
  <c r="L34" i="126"/>
  <c r="L35" i="126" s="1"/>
  <c r="P34" i="126"/>
  <c r="P35" i="126" s="1"/>
  <c r="T34" i="126"/>
  <c r="T35" i="126" s="1"/>
  <c r="X34" i="126"/>
  <c r="X35" i="126" s="1"/>
  <c r="AB34" i="126"/>
  <c r="AB35" i="126" s="1"/>
  <c r="AF34" i="126"/>
  <c r="AF35" i="126" s="1"/>
  <c r="AJ34" i="126"/>
  <c r="AJ35" i="126" s="1"/>
  <c r="AN34" i="126"/>
  <c r="AN35" i="126" s="1"/>
  <c r="AR34" i="126"/>
  <c r="AR35" i="126" s="1"/>
  <c r="AV34" i="126"/>
  <c r="AV35" i="126" s="1"/>
  <c r="F42" i="126"/>
  <c r="J42" i="126"/>
  <c r="N42" i="126"/>
  <c r="R42" i="126"/>
  <c r="V42" i="126"/>
  <c r="Z42" i="126"/>
  <c r="AD42" i="126"/>
  <c r="AH42" i="126"/>
  <c r="AL42" i="126"/>
  <c r="AP42" i="126"/>
  <c r="AT42" i="126"/>
  <c r="AX42" i="126"/>
  <c r="AY34" i="126"/>
  <c r="AY26" i="126"/>
  <c r="AY27" i="126" s="1"/>
  <c r="AY42" i="126"/>
  <c r="AY43" i="126" s="1"/>
  <c r="G26" i="126"/>
  <c r="G12" i="126" s="1"/>
  <c r="O26" i="126"/>
  <c r="O12" i="126" s="1"/>
  <c r="W26" i="126"/>
  <c r="W12" i="126" s="1"/>
  <c r="AE26" i="126"/>
  <c r="AE12" i="126" s="1"/>
  <c r="AM26" i="126"/>
  <c r="AM12" i="126" s="1"/>
  <c r="AU26" i="126"/>
  <c r="AU12" i="126" s="1"/>
  <c r="N6" i="126"/>
  <c r="AO40" i="141" l="1"/>
  <c r="AO42" i="141" s="1"/>
  <c r="AP29" i="141"/>
  <c r="Z29" i="135"/>
  <c r="AA29" i="135" s="1"/>
  <c r="Y40" i="135"/>
  <c r="Y42" i="135" s="1"/>
  <c r="W40" i="133"/>
  <c r="W42" i="133" s="1"/>
  <c r="X29" i="133"/>
  <c r="V40" i="131"/>
  <c r="V42" i="131" s="1"/>
  <c r="W29" i="131"/>
  <c r="V40" i="134"/>
  <c r="V42" i="134" s="1"/>
  <c r="W29" i="134"/>
  <c r="V40" i="132"/>
  <c r="W29" i="132"/>
  <c r="W40" i="136"/>
  <c r="W42" i="136" s="1"/>
  <c r="X29" i="136"/>
  <c r="BC16" i="126"/>
  <c r="Y35" i="126"/>
  <c r="I35" i="126"/>
  <c r="O35" i="126"/>
  <c r="AO35" i="126"/>
  <c r="AK35" i="126"/>
  <c r="E35" i="126"/>
  <c r="F35" i="126"/>
  <c r="N52" i="126"/>
  <c r="N15" i="126"/>
  <c r="G52" i="126"/>
  <c r="G15" i="126"/>
  <c r="P52" i="126"/>
  <c r="P15" i="126"/>
  <c r="F52" i="126"/>
  <c r="F15" i="126"/>
  <c r="M52" i="126"/>
  <c r="M15" i="126"/>
  <c r="H52" i="126"/>
  <c r="H15" i="126"/>
  <c r="O52" i="126"/>
  <c r="O15" i="126"/>
  <c r="I52" i="126"/>
  <c r="I15" i="126"/>
  <c r="L52" i="126"/>
  <c r="L15" i="126"/>
  <c r="K52" i="126"/>
  <c r="K15" i="126"/>
  <c r="J52" i="126"/>
  <c r="J15" i="126"/>
  <c r="AF43" i="126"/>
  <c r="K35" i="126"/>
  <c r="O13" i="126"/>
  <c r="Q13" i="126"/>
  <c r="H43" i="126"/>
  <c r="AU13" i="126"/>
  <c r="U14" i="126"/>
  <c r="T27" i="126"/>
  <c r="AU35" i="126"/>
  <c r="R43" i="126"/>
  <c r="AK13" i="126"/>
  <c r="AN43" i="126"/>
  <c r="P43" i="126"/>
  <c r="U35" i="126"/>
  <c r="K27" i="126"/>
  <c r="V35" i="126"/>
  <c r="F13" i="126"/>
  <c r="AL13" i="126"/>
  <c r="E43" i="126"/>
  <c r="AL35" i="126"/>
  <c r="AK43" i="126"/>
  <c r="AW35" i="126"/>
  <c r="AG35" i="126"/>
  <c r="Q35" i="126"/>
  <c r="S27" i="126"/>
  <c r="V13" i="126"/>
  <c r="E52" i="126"/>
  <c r="E16" i="126"/>
  <c r="H27" i="126"/>
  <c r="AW27" i="126"/>
  <c r="AR43" i="126"/>
  <c r="AX35" i="126"/>
  <c r="R35" i="126"/>
  <c r="J13" i="126"/>
  <c r="AO13" i="126"/>
  <c r="AQ27" i="126"/>
  <c r="Y13" i="126"/>
  <c r="AX43" i="126"/>
  <c r="L43" i="126"/>
  <c r="AH43" i="126"/>
  <c r="AH35" i="126"/>
  <c r="I13" i="126"/>
  <c r="J35" i="126"/>
  <c r="AA27" i="126"/>
  <c r="Z35" i="126"/>
  <c r="AO43" i="126"/>
  <c r="I43" i="126"/>
  <c r="AX27" i="126"/>
  <c r="AP13" i="126"/>
  <c r="AW13" i="126"/>
  <c r="T43" i="126"/>
  <c r="AP35" i="126"/>
  <c r="Z13" i="126"/>
  <c r="AG13" i="126"/>
  <c r="AJ43" i="126"/>
  <c r="AS13" i="126"/>
  <c r="AS14" i="126"/>
  <c r="AC14" i="126"/>
  <c r="AC13" i="126"/>
  <c r="M13" i="126"/>
  <c r="M14" i="126"/>
  <c r="M43" i="126"/>
  <c r="AI27" i="126"/>
  <c r="AU43" i="126"/>
  <c r="AV27" i="126"/>
  <c r="AS27" i="126"/>
  <c r="AE43" i="126"/>
  <c r="O43" i="126"/>
  <c r="AC27" i="126"/>
  <c r="AI13" i="126"/>
  <c r="M27" i="126"/>
  <c r="W43" i="126"/>
  <c r="AT35" i="126"/>
  <c r="AD35" i="126"/>
  <c r="N35" i="126"/>
  <c r="AN27" i="126"/>
  <c r="E27" i="126"/>
  <c r="AC43" i="126"/>
  <c r="AT13" i="126"/>
  <c r="AJ27" i="126"/>
  <c r="AS43" i="126"/>
  <c r="N13" i="126"/>
  <c r="V43" i="126"/>
  <c r="AD27" i="126"/>
  <c r="AT12" i="126"/>
  <c r="AX13" i="126"/>
  <c r="R13" i="126"/>
  <c r="N27" i="126"/>
  <c r="AL43" i="126"/>
  <c r="F43" i="126"/>
  <c r="AG27" i="126"/>
  <c r="AW43" i="126"/>
  <c r="AG43" i="126"/>
  <c r="Q43" i="126"/>
  <c r="S35" i="126"/>
  <c r="AQ43" i="126"/>
  <c r="AD13" i="126"/>
  <c r="AH13" i="126"/>
  <c r="U27" i="126"/>
  <c r="AK27" i="126"/>
  <c r="Q27" i="126"/>
  <c r="S13" i="126"/>
  <c r="W35" i="126"/>
  <c r="AH12" i="126"/>
  <c r="L27" i="126"/>
  <c r="AO27" i="126"/>
  <c r="Y27" i="126"/>
  <c r="I27" i="126"/>
  <c r="AY13" i="126"/>
  <c r="Z12" i="126"/>
  <c r="J12" i="126"/>
  <c r="K43" i="126"/>
  <c r="AM35" i="126"/>
  <c r="AR27" i="126"/>
  <c r="P27" i="126"/>
  <c r="AM13" i="126"/>
  <c r="G13" i="126"/>
  <c r="AA35" i="126"/>
  <c r="AA43" i="126"/>
  <c r="Z43" i="126"/>
  <c r="W27" i="126"/>
  <c r="AA13" i="126"/>
  <c r="AY35" i="126"/>
  <c r="AP43" i="126"/>
  <c r="G35" i="126"/>
  <c r="K13" i="126"/>
  <c r="AQ35" i="126"/>
  <c r="J43" i="126"/>
  <c r="X27" i="126"/>
  <c r="AE35" i="126"/>
  <c r="W14" i="126"/>
  <c r="R12" i="126"/>
  <c r="AF27" i="126"/>
  <c r="AE13" i="126"/>
  <c r="AI43" i="126"/>
  <c r="AB27" i="126"/>
  <c r="AQ13" i="126"/>
  <c r="S43" i="126"/>
  <c r="AI35" i="126"/>
  <c r="AR13" i="126"/>
  <c r="AR14" i="126"/>
  <c r="L13" i="126"/>
  <c r="L14" i="126"/>
  <c r="V27" i="126"/>
  <c r="V12" i="126"/>
  <c r="AN13" i="126"/>
  <c r="AN14" i="126"/>
  <c r="X13" i="126"/>
  <c r="X14" i="126"/>
  <c r="H13" i="126"/>
  <c r="H14" i="126"/>
  <c r="AB13" i="126"/>
  <c r="AB14" i="126"/>
  <c r="F27" i="126"/>
  <c r="F12" i="126"/>
  <c r="AY14" i="126"/>
  <c r="AJ14" i="126"/>
  <c r="AJ13" i="126"/>
  <c r="T14" i="126"/>
  <c r="T13" i="126"/>
  <c r="AT43" i="126"/>
  <c r="AD43" i="126"/>
  <c r="N43" i="126"/>
  <c r="AL12" i="126"/>
  <c r="AY12" i="126"/>
  <c r="AV13" i="126"/>
  <c r="AV14" i="126"/>
  <c r="AF13" i="126"/>
  <c r="AF14" i="126"/>
  <c r="P14" i="126"/>
  <c r="P13" i="126"/>
  <c r="AP27" i="126"/>
  <c r="AP12" i="126"/>
  <c r="O27" i="126"/>
  <c r="G27" i="126"/>
  <c r="AU27" i="126"/>
  <c r="AM27" i="126"/>
  <c r="AE27" i="126"/>
  <c r="BA7" i="67"/>
  <c r="BB7" i="67"/>
  <c r="BC7" i="67"/>
  <c r="B59" i="107"/>
  <c r="Q57" i="107"/>
  <c r="R57" i="107"/>
  <c r="S57" i="107"/>
  <c r="T57" i="107"/>
  <c r="U57" i="107"/>
  <c r="V57" i="107"/>
  <c r="W57" i="107"/>
  <c r="X57" i="107"/>
  <c r="Y57" i="107"/>
  <c r="Z57" i="107"/>
  <c r="AA57" i="107"/>
  <c r="AB57" i="107"/>
  <c r="AC57" i="107"/>
  <c r="AD57" i="107"/>
  <c r="AE57" i="107"/>
  <c r="AF57" i="107"/>
  <c r="AG57" i="107"/>
  <c r="AH57" i="107"/>
  <c r="AI57" i="107"/>
  <c r="AJ57" i="107"/>
  <c r="AK57" i="107"/>
  <c r="AL57" i="107"/>
  <c r="AM57" i="107"/>
  <c r="AN57" i="107"/>
  <c r="AO57" i="107"/>
  <c r="AP57" i="107"/>
  <c r="AQ57" i="107"/>
  <c r="AR57" i="107"/>
  <c r="AS57" i="107"/>
  <c r="AT57" i="107"/>
  <c r="AU57" i="107"/>
  <c r="AV57" i="107"/>
  <c r="AW57" i="107"/>
  <c r="AX57" i="107"/>
  <c r="AY57" i="107"/>
  <c r="AZ57" i="107"/>
  <c r="BA57" i="107"/>
  <c r="BB57" i="107"/>
  <c r="BC57" i="107"/>
  <c r="BD57" i="107"/>
  <c r="BE57" i="107"/>
  <c r="BF57" i="107"/>
  <c r="BG57" i="107"/>
  <c r="BH57" i="107"/>
  <c r="BI57" i="107"/>
  <c r="BJ57" i="107"/>
  <c r="BK57" i="107"/>
  <c r="P57" i="107"/>
  <c r="C81" i="125"/>
  <c r="C83" i="125" s="1"/>
  <c r="O65" i="125" s="1"/>
  <c r="P65" i="125" s="1"/>
  <c r="Q65" i="125" s="1"/>
  <c r="R65" i="125" s="1"/>
  <c r="S65" i="125" s="1"/>
  <c r="T65" i="125" s="1"/>
  <c r="U65" i="125" s="1"/>
  <c r="V65" i="125" s="1"/>
  <c r="W65" i="125" s="1"/>
  <c r="X65" i="125" s="1"/>
  <c r="Y65" i="125" s="1"/>
  <c r="Z65" i="125" s="1"/>
  <c r="AA65" i="125" s="1"/>
  <c r="AB65" i="125" s="1"/>
  <c r="AC65" i="125" s="1"/>
  <c r="AD65" i="125" s="1"/>
  <c r="AE65" i="125" s="1"/>
  <c r="AF65" i="125" s="1"/>
  <c r="AG65" i="125" s="1"/>
  <c r="AH65" i="125" s="1"/>
  <c r="AI65" i="125" s="1"/>
  <c r="AJ65" i="125" s="1"/>
  <c r="AK65" i="125" s="1"/>
  <c r="AL65" i="125" s="1"/>
  <c r="AM65" i="125" s="1"/>
  <c r="AN65" i="125" s="1"/>
  <c r="AO65" i="125" s="1"/>
  <c r="AP65" i="125" s="1"/>
  <c r="AQ65" i="125" s="1"/>
  <c r="AR65" i="125" s="1"/>
  <c r="AS65" i="125" s="1"/>
  <c r="AT65" i="125" s="1"/>
  <c r="AU65" i="125" s="1"/>
  <c r="AV65" i="125" s="1"/>
  <c r="AW65" i="125" s="1"/>
  <c r="C79" i="125"/>
  <c r="G69" i="125"/>
  <c r="F69" i="125"/>
  <c r="E69" i="125"/>
  <c r="D69" i="125"/>
  <c r="C69" i="125"/>
  <c r="B69" i="125"/>
  <c r="AD67" i="125"/>
  <c r="AL67" i="125" s="1"/>
  <c r="AT67" i="125" s="1"/>
  <c r="AC67" i="125"/>
  <c r="AK67" i="125" s="1"/>
  <c r="AS67" i="125" s="1"/>
  <c r="AB67" i="125"/>
  <c r="AJ67" i="125" s="1"/>
  <c r="AR67" i="125" s="1"/>
  <c r="AA67" i="125"/>
  <c r="AI67" i="125" s="1"/>
  <c r="AQ67" i="125" s="1"/>
  <c r="Z67" i="125"/>
  <c r="AH67" i="125" s="1"/>
  <c r="AP67" i="125" s="1"/>
  <c r="Y67" i="125"/>
  <c r="AG67" i="125" s="1"/>
  <c r="AO67" i="125" s="1"/>
  <c r="AW67" i="125" s="1"/>
  <c r="X67" i="125"/>
  <c r="AF67" i="125" s="1"/>
  <c r="AN67" i="125" s="1"/>
  <c r="AV67" i="125" s="1"/>
  <c r="W67" i="125"/>
  <c r="AE67" i="125" s="1"/>
  <c r="AM67" i="125" s="1"/>
  <c r="AU67" i="125" s="1"/>
  <c r="M66" i="125"/>
  <c r="M69" i="125" s="1"/>
  <c r="L66" i="125"/>
  <c r="L69" i="125" s="1"/>
  <c r="K66" i="125"/>
  <c r="K69" i="125" s="1"/>
  <c r="J66" i="125"/>
  <c r="J69" i="125" s="1"/>
  <c r="I66" i="125"/>
  <c r="I69" i="125" s="1"/>
  <c r="H66" i="125"/>
  <c r="H69" i="125" s="1"/>
  <c r="G66" i="125"/>
  <c r="F66" i="125"/>
  <c r="E66" i="125"/>
  <c r="D66" i="125"/>
  <c r="C66" i="125"/>
  <c r="B66" i="125"/>
  <c r="N66" i="125"/>
  <c r="C65" i="125"/>
  <c r="D65" i="125" s="1"/>
  <c r="E65" i="125" s="1"/>
  <c r="F65" i="125" s="1"/>
  <c r="G65" i="125" s="1"/>
  <c r="H65" i="125" s="1"/>
  <c r="I65" i="125" s="1"/>
  <c r="J65" i="125" s="1"/>
  <c r="K65" i="125" s="1"/>
  <c r="L65" i="125" s="1"/>
  <c r="M65" i="125" s="1"/>
  <c r="B65" i="125"/>
  <c r="M63" i="125"/>
  <c r="L63" i="125"/>
  <c r="K63" i="125"/>
  <c r="J63" i="125"/>
  <c r="I63" i="125"/>
  <c r="H63" i="125"/>
  <c r="G63" i="125"/>
  <c r="F63" i="125"/>
  <c r="E63" i="125"/>
  <c r="D63" i="125"/>
  <c r="C63" i="125"/>
  <c r="B63" i="125"/>
  <c r="AW61" i="125"/>
  <c r="AK61" i="125"/>
  <c r="AW60" i="125"/>
  <c r="AV60" i="125"/>
  <c r="AW59" i="125"/>
  <c r="AV59" i="125"/>
  <c r="AU59" i="125"/>
  <c r="AW58" i="125"/>
  <c r="AV58" i="125"/>
  <c r="AU58" i="125"/>
  <c r="AT58" i="125"/>
  <c r="AW57" i="125"/>
  <c r="AV57" i="125"/>
  <c r="AU57" i="125"/>
  <c r="AT57" i="125"/>
  <c r="AS57" i="125"/>
  <c r="AW56" i="125"/>
  <c r="AV56" i="125"/>
  <c r="AU56" i="125"/>
  <c r="AT56" i="125"/>
  <c r="AS56" i="125"/>
  <c r="AR56" i="125"/>
  <c r="AW55" i="125"/>
  <c r="AV55" i="125"/>
  <c r="AU55" i="125"/>
  <c r="AT55" i="125"/>
  <c r="AS55" i="125"/>
  <c r="AR55" i="125"/>
  <c r="AQ55" i="125"/>
  <c r="AW54" i="125"/>
  <c r="AV54" i="125"/>
  <c r="AU54" i="125"/>
  <c r="AT54" i="125"/>
  <c r="AS54" i="125"/>
  <c r="AR54" i="125"/>
  <c r="AQ54" i="125"/>
  <c r="AP54" i="125"/>
  <c r="AW53" i="125"/>
  <c r="AV53" i="125"/>
  <c r="AU53" i="125"/>
  <c r="AT53" i="125"/>
  <c r="AS53" i="125"/>
  <c r="AR53" i="125"/>
  <c r="AQ53" i="125"/>
  <c r="AP53" i="125"/>
  <c r="AO53" i="125"/>
  <c r="AW52" i="125"/>
  <c r="AV52" i="125"/>
  <c r="AU52" i="125"/>
  <c r="AT52" i="125"/>
  <c r="AS52" i="125"/>
  <c r="AR52" i="125"/>
  <c r="AQ52" i="125"/>
  <c r="AP52" i="125"/>
  <c r="AO52" i="125"/>
  <c r="AN52" i="125"/>
  <c r="AW51" i="125"/>
  <c r="AV51" i="125"/>
  <c r="AU51" i="125"/>
  <c r="AT51" i="125"/>
  <c r="AS51" i="125"/>
  <c r="AR51" i="125"/>
  <c r="AQ51" i="125"/>
  <c r="AP51" i="125"/>
  <c r="AO51" i="125"/>
  <c r="AN51" i="125"/>
  <c r="AM51" i="125"/>
  <c r="AW50" i="125"/>
  <c r="AV50" i="125"/>
  <c r="AU50" i="125"/>
  <c r="AT50" i="125"/>
  <c r="AS50" i="125"/>
  <c r="AR50" i="125"/>
  <c r="AQ50" i="125"/>
  <c r="AP50" i="125"/>
  <c r="AO50" i="125"/>
  <c r="AN50" i="125"/>
  <c r="AM50" i="125"/>
  <c r="AL50" i="125"/>
  <c r="AW49" i="125"/>
  <c r="AV49" i="125"/>
  <c r="AU49" i="125"/>
  <c r="AT49" i="125"/>
  <c r="AS49" i="125"/>
  <c r="AR49" i="125"/>
  <c r="AQ49" i="125"/>
  <c r="AP49" i="125"/>
  <c r="AO49" i="125"/>
  <c r="AN49" i="125"/>
  <c r="AM49" i="125"/>
  <c r="AL49" i="125"/>
  <c r="AK49" i="125"/>
  <c r="AV48" i="125"/>
  <c r="AU48" i="125"/>
  <c r="AT48" i="125"/>
  <c r="AS48" i="125"/>
  <c r="AR48" i="125"/>
  <c r="AQ48" i="125"/>
  <c r="AP48" i="125"/>
  <c r="AO48" i="125"/>
  <c r="AN48" i="125"/>
  <c r="AM48" i="125"/>
  <c r="AL48" i="125"/>
  <c r="AK48" i="125"/>
  <c r="AJ48" i="125"/>
  <c r="AU47" i="125"/>
  <c r="AT47" i="125"/>
  <c r="AS47" i="125"/>
  <c r="AR47" i="125"/>
  <c r="AQ47" i="125"/>
  <c r="AP47" i="125"/>
  <c r="AO47" i="125"/>
  <c r="AN47" i="125"/>
  <c r="AM47" i="125"/>
  <c r="AL47" i="125"/>
  <c r="AK47" i="125"/>
  <c r="AJ47" i="125"/>
  <c r="AI47" i="125"/>
  <c r="AT46" i="125"/>
  <c r="AS46" i="125"/>
  <c r="AR46" i="125"/>
  <c r="AQ46" i="125"/>
  <c r="AP46" i="125"/>
  <c r="AO46" i="125"/>
  <c r="AN46" i="125"/>
  <c r="AM46" i="125"/>
  <c r="AL46" i="125"/>
  <c r="AK46" i="125"/>
  <c r="AJ46" i="125"/>
  <c r="AI46" i="125"/>
  <c r="AH46" i="125"/>
  <c r="AS45" i="125"/>
  <c r="AR45" i="125"/>
  <c r="AQ45" i="125"/>
  <c r="AP45" i="125"/>
  <c r="AO45" i="125"/>
  <c r="AN45" i="125"/>
  <c r="AM45" i="125"/>
  <c r="AL45" i="125"/>
  <c r="AK45" i="125"/>
  <c r="AJ45" i="125"/>
  <c r="AI45" i="125"/>
  <c r="AH45" i="125"/>
  <c r="AG45" i="125"/>
  <c r="AR44" i="125"/>
  <c r="AQ44" i="125"/>
  <c r="AP44" i="125"/>
  <c r="AO44" i="125"/>
  <c r="AN44" i="125"/>
  <c r="AM44" i="125"/>
  <c r="AL44" i="125"/>
  <c r="AK44" i="125"/>
  <c r="AJ44" i="125"/>
  <c r="AI44" i="125"/>
  <c r="AH44" i="125"/>
  <c r="AG44" i="125"/>
  <c r="AF44" i="125"/>
  <c r="AQ43" i="125"/>
  <c r="AP43" i="125"/>
  <c r="AO43" i="125"/>
  <c r="AN43" i="125"/>
  <c r="AM43" i="125"/>
  <c r="AL43" i="125"/>
  <c r="AK43" i="125"/>
  <c r="AJ43" i="125"/>
  <c r="AI43" i="125"/>
  <c r="AH43" i="125"/>
  <c r="AG43" i="125"/>
  <c r="AF43" i="125"/>
  <c r="AE43" i="125"/>
  <c r="AP42" i="125"/>
  <c r="AO42" i="125"/>
  <c r="AN42" i="125"/>
  <c r="AM42" i="125"/>
  <c r="AL42" i="125"/>
  <c r="AK42" i="125"/>
  <c r="AJ42" i="125"/>
  <c r="AI42" i="125"/>
  <c r="AH42" i="125"/>
  <c r="AG42" i="125"/>
  <c r="AF42" i="125"/>
  <c r="AE42" i="125"/>
  <c r="AD42" i="125"/>
  <c r="AO41" i="125"/>
  <c r="AN41" i="125"/>
  <c r="AM41" i="125"/>
  <c r="AL41" i="125"/>
  <c r="AK41" i="125"/>
  <c r="AJ41" i="125"/>
  <c r="AI41" i="125"/>
  <c r="AH41" i="125"/>
  <c r="AG41" i="125"/>
  <c r="AF41" i="125"/>
  <c r="AE41" i="125"/>
  <c r="AD41" i="125"/>
  <c r="AC41" i="125"/>
  <c r="AN40" i="125"/>
  <c r="AM40" i="125"/>
  <c r="AL40" i="125"/>
  <c r="AK40" i="125"/>
  <c r="AJ40" i="125"/>
  <c r="AI40" i="125"/>
  <c r="AH40" i="125"/>
  <c r="AG40" i="125"/>
  <c r="AF40" i="125"/>
  <c r="AE40" i="125"/>
  <c r="AD40" i="125"/>
  <c r="AC40" i="125"/>
  <c r="AB40" i="125"/>
  <c r="AM39" i="125"/>
  <c r="AL39" i="125"/>
  <c r="AK39" i="125"/>
  <c r="AJ39" i="125"/>
  <c r="AI39" i="125"/>
  <c r="AH39" i="125"/>
  <c r="AG39" i="125"/>
  <c r="AF39" i="125"/>
  <c r="AE39" i="125"/>
  <c r="AD39" i="125"/>
  <c r="AC39" i="125"/>
  <c r="AB39" i="125"/>
  <c r="AA39" i="125"/>
  <c r="AL38" i="125"/>
  <c r="AK38" i="125"/>
  <c r="AJ38" i="125"/>
  <c r="AI38" i="125"/>
  <c r="AH38" i="125"/>
  <c r="AG38" i="125"/>
  <c r="AF38" i="125"/>
  <c r="AE38" i="125"/>
  <c r="AD38" i="125"/>
  <c r="AC38" i="125"/>
  <c r="AB38" i="125"/>
  <c r="AA38" i="125"/>
  <c r="AK37" i="125"/>
  <c r="AJ37" i="125"/>
  <c r="AI37" i="125"/>
  <c r="AH37" i="125"/>
  <c r="AG37" i="125"/>
  <c r="AF37" i="125"/>
  <c r="AE37" i="125"/>
  <c r="AD37" i="125"/>
  <c r="AC37" i="125"/>
  <c r="AB37" i="125"/>
  <c r="AA37" i="125"/>
  <c r="AJ36" i="125"/>
  <c r="AI36" i="125"/>
  <c r="AH36" i="125"/>
  <c r="AG36" i="125"/>
  <c r="AF36" i="125"/>
  <c r="AE36" i="125"/>
  <c r="AD36" i="125"/>
  <c r="AC36" i="125"/>
  <c r="AB36" i="125"/>
  <c r="AA36" i="125"/>
  <c r="AI35" i="125"/>
  <c r="AH35" i="125"/>
  <c r="AG35" i="125"/>
  <c r="AF35" i="125"/>
  <c r="AE35" i="125"/>
  <c r="AD35" i="125"/>
  <c r="AC35" i="125"/>
  <c r="AB35" i="125"/>
  <c r="AA35" i="125"/>
  <c r="AH34" i="125"/>
  <c r="AG34" i="125"/>
  <c r="AF34" i="125"/>
  <c r="AE34" i="125"/>
  <c r="AD34" i="125"/>
  <c r="AC34" i="125"/>
  <c r="AB34" i="125"/>
  <c r="AA34" i="125"/>
  <c r="AG33" i="125"/>
  <c r="AF33" i="125"/>
  <c r="AE33" i="125"/>
  <c r="AD33" i="125"/>
  <c r="AC33" i="125"/>
  <c r="AB33" i="125"/>
  <c r="AA33" i="125"/>
  <c r="AF32" i="125"/>
  <c r="AE32" i="125"/>
  <c r="AD32" i="125"/>
  <c r="AC32" i="125"/>
  <c r="AB32" i="125"/>
  <c r="AA32" i="125"/>
  <c r="AE31" i="125"/>
  <c r="AD31" i="125"/>
  <c r="AC31" i="125"/>
  <c r="AB31" i="125"/>
  <c r="AA31" i="125"/>
  <c r="AD30" i="125"/>
  <c r="AC30" i="125"/>
  <c r="AB30" i="125"/>
  <c r="AA30" i="125"/>
  <c r="AC29" i="125"/>
  <c r="AB29" i="125"/>
  <c r="AA29" i="125"/>
  <c r="AB28" i="125"/>
  <c r="AA28" i="125"/>
  <c r="O14" i="125"/>
  <c r="A1" i="125"/>
  <c r="AP40" i="141" l="1"/>
  <c r="AP42" i="141" s="1"/>
  <c r="AQ29" i="141"/>
  <c r="X40" i="136"/>
  <c r="X42" i="136" s="1"/>
  <c r="Y29" i="136"/>
  <c r="W40" i="131"/>
  <c r="W42" i="131" s="1"/>
  <c r="X29" i="131"/>
  <c r="X40" i="131" s="1"/>
  <c r="X42" i="131" s="1"/>
  <c r="Y29" i="131"/>
  <c r="Y40" i="131" s="1"/>
  <c r="Y42" i="131" s="1"/>
  <c r="AA40" i="135"/>
  <c r="AA42" i="135" s="1"/>
  <c r="AB29" i="135"/>
  <c r="AC29" i="135" s="1"/>
  <c r="Z40" i="135"/>
  <c r="Z42" i="135" s="1"/>
  <c r="W40" i="132"/>
  <c r="X29" i="132"/>
  <c r="Y29" i="132" s="1"/>
  <c r="W40" i="134"/>
  <c r="W42" i="134" s="1"/>
  <c r="X29" i="134"/>
  <c r="X40" i="133"/>
  <c r="X42" i="133" s="1"/>
  <c r="Y29" i="133"/>
  <c r="N16" i="126"/>
  <c r="K16" i="126"/>
  <c r="I16" i="126"/>
  <c r="O16" i="126"/>
  <c r="J16" i="126"/>
  <c r="M16" i="126"/>
  <c r="F16" i="126"/>
  <c r="G16" i="126"/>
  <c r="L16" i="126"/>
  <c r="H16" i="126"/>
  <c r="P16" i="126"/>
  <c r="P15" i="125"/>
  <c r="Q16" i="125" s="1"/>
  <c r="R17" i="125" s="1"/>
  <c r="S18" i="125" s="1"/>
  <c r="T19" i="125" s="1"/>
  <c r="U20" i="125" s="1"/>
  <c r="V21" i="125" s="1"/>
  <c r="W22" i="125" s="1"/>
  <c r="X23" i="125" s="1"/>
  <c r="Y24" i="125" s="1"/>
  <c r="Z25" i="125" s="1"/>
  <c r="AA26" i="125" s="1"/>
  <c r="N69" i="125"/>
  <c r="AQ40" i="141" l="1"/>
  <c r="AQ42" i="141" s="1"/>
  <c r="AR29" i="141"/>
  <c r="Z29" i="132"/>
  <c r="Z40" i="132" s="1"/>
  <c r="Y40" i="132"/>
  <c r="X40" i="134"/>
  <c r="X42" i="134" s="1"/>
  <c r="Y29" i="134"/>
  <c r="Y40" i="136"/>
  <c r="Y42" i="136" s="1"/>
  <c r="Z29" i="136"/>
  <c r="AD29" i="135"/>
  <c r="AE29" i="135" s="1"/>
  <c r="AC40" i="135"/>
  <c r="AC42" i="135" s="1"/>
  <c r="AB40" i="135"/>
  <c r="AB42" i="135" s="1"/>
  <c r="X40" i="132"/>
  <c r="Z29" i="133"/>
  <c r="Y40" i="133"/>
  <c r="Y42" i="133" s="1"/>
  <c r="Z29" i="131"/>
  <c r="Z40" i="131" s="1"/>
  <c r="Z42" i="131" s="1"/>
  <c r="AS43" i="125"/>
  <c r="AR42" i="125"/>
  <c r="AT44" i="125"/>
  <c r="AQ41" i="125"/>
  <c r="AU45" i="125"/>
  <c r="AP40" i="125"/>
  <c r="AG31" i="125"/>
  <c r="AW47" i="125"/>
  <c r="AM37" i="125"/>
  <c r="AK35" i="125"/>
  <c r="AH32" i="125"/>
  <c r="AF30" i="125"/>
  <c r="AE29" i="125"/>
  <c r="AD28" i="125"/>
  <c r="AC27" i="125"/>
  <c r="AV46" i="125"/>
  <c r="AL36" i="125"/>
  <c r="AJ34" i="125"/>
  <c r="AO39" i="125"/>
  <c r="AI33" i="125"/>
  <c r="AN38" i="125"/>
  <c r="AR40" i="141" l="1"/>
  <c r="AR42" i="141" s="1"/>
  <c r="AS29" i="141"/>
  <c r="AE40" i="135"/>
  <c r="AE42" i="135" s="1"/>
  <c r="AF29" i="135"/>
  <c r="AF40" i="135" s="1"/>
  <c r="AF42" i="135" s="1"/>
  <c r="AD40" i="135"/>
  <c r="AD42" i="135" s="1"/>
  <c r="Z40" i="136"/>
  <c r="Z42" i="136" s="1"/>
  <c r="Y40" i="134"/>
  <c r="Y42" i="134" s="1"/>
  <c r="Z29" i="134"/>
  <c r="AA29" i="131"/>
  <c r="Z40" i="133"/>
  <c r="Z42" i="133" s="1"/>
  <c r="P9" i="85"/>
  <c r="Q7" i="85"/>
  <c r="P7" i="85"/>
  <c r="F7" i="85"/>
  <c r="E7" i="85"/>
  <c r="AS40" i="141" l="1"/>
  <c r="AS42" i="141" s="1"/>
  <c r="AT29" i="141"/>
  <c r="AA40" i="132"/>
  <c r="AG29" i="135"/>
  <c r="AG40" i="135" s="1"/>
  <c r="AG42" i="135" s="1"/>
  <c r="AB40" i="132"/>
  <c r="AA40" i="133"/>
  <c r="AA42" i="133" s="1"/>
  <c r="AB40" i="133"/>
  <c r="AB42" i="133" s="1"/>
  <c r="AA40" i="136"/>
  <c r="AA42" i="136" s="1"/>
  <c r="AA40" i="131"/>
  <c r="AA42" i="131" s="1"/>
  <c r="AB29" i="131"/>
  <c r="AA29" i="134"/>
  <c r="Z40" i="134"/>
  <c r="Z42" i="134" s="1"/>
  <c r="AT40" i="141" l="1"/>
  <c r="AT42" i="141" s="1"/>
  <c r="AU29" i="141"/>
  <c r="AH29" i="135"/>
  <c r="AH40" i="135" s="1"/>
  <c r="AH42" i="135" s="1"/>
  <c r="AA40" i="134"/>
  <c r="AA42" i="134" s="1"/>
  <c r="AB29" i="134"/>
  <c r="AC40" i="133"/>
  <c r="AC42" i="133" s="1"/>
  <c r="AC29" i="131"/>
  <c r="AD29" i="131" s="1"/>
  <c r="AB40" i="131"/>
  <c r="AB42" i="131" s="1"/>
  <c r="AB40" i="136"/>
  <c r="AB42" i="136" s="1"/>
  <c r="AC40" i="132"/>
  <c r="P8" i="85"/>
  <c r="Q8" i="85"/>
  <c r="AU40" i="141" l="1"/>
  <c r="AU42" i="141" s="1"/>
  <c r="AV29" i="141"/>
  <c r="AI29" i="135"/>
  <c r="AJ29" i="135" s="1"/>
  <c r="AJ40" i="135" s="1"/>
  <c r="AJ42" i="135" s="1"/>
  <c r="AC40" i="131"/>
  <c r="AC42" i="131" s="1"/>
  <c r="AD40" i="133"/>
  <c r="AD42" i="133" s="1"/>
  <c r="AB40" i="134"/>
  <c r="AB42" i="134" s="1"/>
  <c r="AC29" i="134"/>
  <c r="AD40" i="132"/>
  <c r="AC40" i="136"/>
  <c r="AC42" i="136" s="1"/>
  <c r="Q9" i="85"/>
  <c r="R7" i="85"/>
  <c r="AV40" i="141" l="1"/>
  <c r="AV42" i="141" s="1"/>
  <c r="AW29" i="141"/>
  <c r="AI40" i="135"/>
  <c r="AI42" i="135" s="1"/>
  <c r="AK29" i="135"/>
  <c r="AK40" i="135" s="1"/>
  <c r="AK42" i="135" s="1"/>
  <c r="AC40" i="134"/>
  <c r="AC42" i="134" s="1"/>
  <c r="AD29" i="134"/>
  <c r="AE29" i="131"/>
  <c r="AF29" i="131" s="1"/>
  <c r="AD40" i="131"/>
  <c r="AD42" i="131" s="1"/>
  <c r="AF40" i="132"/>
  <c r="AE40" i="133"/>
  <c r="AE42" i="133" s="1"/>
  <c r="AD40" i="136"/>
  <c r="AD42" i="136" s="1"/>
  <c r="AE40" i="132"/>
  <c r="Y9" i="85"/>
  <c r="X9" i="85"/>
  <c r="W9" i="85"/>
  <c r="V9" i="85"/>
  <c r="AW40" i="141" l="1"/>
  <c r="AW42" i="141" s="1"/>
  <c r="AX29" i="141"/>
  <c r="AL29" i="135"/>
  <c r="AL40" i="135" s="1"/>
  <c r="AL42" i="135" s="1"/>
  <c r="AF40" i="131"/>
  <c r="AF42" i="131" s="1"/>
  <c r="AG29" i="131"/>
  <c r="AG40" i="131" s="1"/>
  <c r="AG42" i="131" s="1"/>
  <c r="AF40" i="133"/>
  <c r="AF42" i="133" s="1"/>
  <c r="AE40" i="136"/>
  <c r="AE42" i="136" s="1"/>
  <c r="AG40" i="132"/>
  <c r="AE40" i="131"/>
  <c r="AE42" i="131" s="1"/>
  <c r="AD40" i="134"/>
  <c r="AD42" i="134" s="1"/>
  <c r="AE29" i="134"/>
  <c r="AI39" i="116"/>
  <c r="AI46" i="116" s="1"/>
  <c r="AJ39" i="116"/>
  <c r="AJ46" i="116" s="1"/>
  <c r="AK39" i="116"/>
  <c r="AK46" i="116" s="1"/>
  <c r="AI40" i="116"/>
  <c r="AI47" i="116" s="1"/>
  <c r="AJ40" i="116"/>
  <c r="AJ47" i="116" s="1"/>
  <c r="AK40" i="116"/>
  <c r="AK47" i="116" s="1"/>
  <c r="AI41" i="116"/>
  <c r="AI48" i="116" s="1"/>
  <c r="AJ41" i="116"/>
  <c r="AJ48" i="116" s="1"/>
  <c r="AK41" i="116"/>
  <c r="AK48" i="116" s="1"/>
  <c r="AH40" i="116"/>
  <c r="AH47" i="116" s="1"/>
  <c r="AH41" i="116"/>
  <c r="AH48" i="116" s="1"/>
  <c r="AH42" i="116"/>
  <c r="AH49" i="116" s="1"/>
  <c r="AH39" i="116"/>
  <c r="AH46" i="116" s="1"/>
  <c r="Z10" i="116"/>
  <c r="Z11" i="116"/>
  <c r="Z12" i="116"/>
  <c r="Z15" i="116"/>
  <c r="Z9" i="116"/>
  <c r="AI36" i="116"/>
  <c r="AJ36" i="116"/>
  <c r="AH36" i="116"/>
  <c r="AI35" i="116"/>
  <c r="AJ35" i="116"/>
  <c r="AK35" i="116"/>
  <c r="AH35" i="116"/>
  <c r="AI34" i="116"/>
  <c r="AJ34" i="116"/>
  <c r="AK34" i="116"/>
  <c r="AH34" i="116"/>
  <c r="AI33" i="116"/>
  <c r="AJ33" i="116"/>
  <c r="AK33" i="116"/>
  <c r="AH33" i="116"/>
  <c r="AI32" i="116"/>
  <c r="AJ32" i="116"/>
  <c r="AK32" i="116"/>
  <c r="AH32" i="116"/>
  <c r="AX40" i="141" l="1"/>
  <c r="AX42" i="141" s="1"/>
  <c r="AY29" i="141"/>
  <c r="AM29" i="135"/>
  <c r="AM40" i="135" s="1"/>
  <c r="AM42" i="135" s="1"/>
  <c r="AH29" i="131"/>
  <c r="AI29" i="131" s="1"/>
  <c r="AI40" i="131" s="1"/>
  <c r="AI42" i="131" s="1"/>
  <c r="AH40" i="132"/>
  <c r="AG40" i="133"/>
  <c r="AG42" i="133" s="1"/>
  <c r="AF40" i="136"/>
  <c r="AF42" i="136" s="1"/>
  <c r="AE40" i="134"/>
  <c r="AE42" i="134" s="1"/>
  <c r="AF29" i="134"/>
  <c r="AG32" i="116"/>
  <c r="AG35" i="116"/>
  <c r="AG34" i="116"/>
  <c r="AG33" i="116"/>
  <c r="AG36" i="116"/>
  <c r="AG46" i="116"/>
  <c r="AG48" i="116"/>
  <c r="AG47" i="116"/>
  <c r="AY40" i="141" l="1"/>
  <c r="AY42" i="141" s="1"/>
  <c r="AZ29" i="141"/>
  <c r="AJ29" i="131"/>
  <c r="AJ40" i="131" s="1"/>
  <c r="AJ42" i="131" s="1"/>
  <c r="AH40" i="131"/>
  <c r="AH42" i="131" s="1"/>
  <c r="AN29" i="135"/>
  <c r="AO29" i="135" s="1"/>
  <c r="AO40" i="135" s="1"/>
  <c r="AO42" i="135" s="1"/>
  <c r="AF40" i="134"/>
  <c r="AF42" i="134" s="1"/>
  <c r="AG29" i="134"/>
  <c r="AI40" i="132"/>
  <c r="AH40" i="133"/>
  <c r="AH42" i="133" s="1"/>
  <c r="AG40" i="136"/>
  <c r="AG42" i="136" s="1"/>
  <c r="AZ40" i="141" l="1"/>
  <c r="AZ42" i="141" s="1"/>
  <c r="BA29" i="141"/>
  <c r="AN40" i="135"/>
  <c r="AN42" i="135" s="1"/>
  <c r="AK29" i="131"/>
  <c r="AK40" i="131" s="1"/>
  <c r="AK42" i="131" s="1"/>
  <c r="AP29" i="135"/>
  <c r="AQ29" i="135" s="1"/>
  <c r="AQ40" i="135" s="1"/>
  <c r="AQ42" i="135" s="1"/>
  <c r="AH40" i="136"/>
  <c r="AH42" i="136" s="1"/>
  <c r="AJ40" i="132"/>
  <c r="AG40" i="134"/>
  <c r="AG42" i="134" s="1"/>
  <c r="AH29" i="134"/>
  <c r="AI40" i="133"/>
  <c r="AI42" i="133" s="1"/>
  <c r="B69" i="116"/>
  <c r="B70" i="116" s="1"/>
  <c r="B71" i="116" s="1"/>
  <c r="B61" i="116"/>
  <c r="BA40" i="141" l="1"/>
  <c r="BA42" i="141" s="1"/>
  <c r="BB29" i="141"/>
  <c r="AR29" i="135"/>
  <c r="AS29" i="135" s="1"/>
  <c r="AS40" i="135" s="1"/>
  <c r="AS42" i="135" s="1"/>
  <c r="AL29" i="131"/>
  <c r="AL40" i="131" s="1"/>
  <c r="AL42" i="131" s="1"/>
  <c r="AP40" i="135"/>
  <c r="AP42" i="135" s="1"/>
  <c r="AJ40" i="133"/>
  <c r="AJ42" i="133" s="1"/>
  <c r="AH40" i="134"/>
  <c r="AH42" i="134" s="1"/>
  <c r="AI29" i="134"/>
  <c r="AI40" i="136"/>
  <c r="AI42" i="136" s="1"/>
  <c r="AK40" i="132"/>
  <c r="T12" i="116"/>
  <c r="S12" i="116"/>
  <c r="BB40" i="141" l="1"/>
  <c r="BB42" i="141" s="1"/>
  <c r="BC29" i="141"/>
  <c r="AR40" i="135"/>
  <c r="AR42" i="135" s="1"/>
  <c r="AM29" i="131"/>
  <c r="AT29" i="135"/>
  <c r="AT40" i="135" s="1"/>
  <c r="AT42" i="135" s="1"/>
  <c r="AL40" i="132"/>
  <c r="AM29" i="132"/>
  <c r="AJ40" i="136"/>
  <c r="AJ42" i="136" s="1"/>
  <c r="AI40" i="134"/>
  <c r="AI42" i="134" s="1"/>
  <c r="AJ29" i="134"/>
  <c r="AK40" i="133"/>
  <c r="AK42" i="133" s="1"/>
  <c r="R20" i="116"/>
  <c r="Q20" i="116"/>
  <c r="P20" i="116"/>
  <c r="H20" i="116"/>
  <c r="G20" i="116"/>
  <c r="I20" i="116"/>
  <c r="E20" i="116"/>
  <c r="F20" i="116"/>
  <c r="D20" i="116"/>
  <c r="C20" i="116"/>
  <c r="BC40" i="141" l="1"/>
  <c r="BC42" i="141" s="1"/>
  <c r="BD29" i="141"/>
  <c r="AM40" i="131"/>
  <c r="AM42" i="131" s="1"/>
  <c r="AN29" i="131"/>
  <c r="AU29" i="135"/>
  <c r="AU40" i="135" s="1"/>
  <c r="AU42" i="135" s="1"/>
  <c r="AJ40" i="134"/>
  <c r="AJ42" i="134" s="1"/>
  <c r="AK29" i="134"/>
  <c r="AM29" i="133"/>
  <c r="AL40" i="133"/>
  <c r="AL42" i="133" s="1"/>
  <c r="AN29" i="132"/>
  <c r="AK40" i="136"/>
  <c r="AK42" i="136" s="1"/>
  <c r="AM40" i="132"/>
  <c r="P36" i="116"/>
  <c r="P38" i="116" s="1"/>
  <c r="BD40" i="141" l="1"/>
  <c r="BD42" i="141" s="1"/>
  <c r="BE29" i="141"/>
  <c r="AN40" i="131"/>
  <c r="AN42" i="131" s="1"/>
  <c r="AO29" i="131"/>
  <c r="AO40" i="131" s="1"/>
  <c r="AO42" i="131" s="1"/>
  <c r="AV29" i="135"/>
  <c r="AV40" i="135" s="1"/>
  <c r="AV42" i="135" s="1"/>
  <c r="AN40" i="132"/>
  <c r="AK40" i="134"/>
  <c r="AK42" i="134" s="1"/>
  <c r="AL29" i="134"/>
  <c r="AL40" i="136"/>
  <c r="AL42" i="136" s="1"/>
  <c r="AM40" i="133"/>
  <c r="AM42" i="133" s="1"/>
  <c r="AN29" i="133"/>
  <c r="AO29" i="132"/>
  <c r="R38" i="116"/>
  <c r="Q38" i="116"/>
  <c r="J33" i="116"/>
  <c r="AA32" i="116"/>
  <c r="BE40" i="141" l="1"/>
  <c r="BE42" i="141" s="1"/>
  <c r="BF29" i="141"/>
  <c r="AP29" i="131"/>
  <c r="AQ29" i="131" s="1"/>
  <c r="AQ40" i="131" s="1"/>
  <c r="AQ42" i="131" s="1"/>
  <c r="AW29" i="135"/>
  <c r="AM40" i="136"/>
  <c r="AM42" i="136" s="1"/>
  <c r="AO40" i="132"/>
  <c r="AP29" i="132"/>
  <c r="AQ29" i="132" s="1"/>
  <c r="AQ40" i="132" s="1"/>
  <c r="AO29" i="133"/>
  <c r="AN40" i="133"/>
  <c r="AN42" i="133" s="1"/>
  <c r="AL40" i="134"/>
  <c r="AL42" i="134" s="1"/>
  <c r="AM29" i="134"/>
  <c r="H28" i="116"/>
  <c r="I28" i="116"/>
  <c r="G28" i="116"/>
  <c r="E28" i="116"/>
  <c r="F28" i="116"/>
  <c r="D28" i="116"/>
  <c r="C28" i="116"/>
  <c r="BF40" i="141" l="1"/>
  <c r="BF42" i="141" s="1"/>
  <c r="BG29" i="141"/>
  <c r="AP40" i="131"/>
  <c r="AP42" i="131" s="1"/>
  <c r="AR29" i="131"/>
  <c r="AR40" i="131" s="1"/>
  <c r="AR42" i="131" s="1"/>
  <c r="AX29" i="135"/>
  <c r="AX40" i="135" s="1"/>
  <c r="AX42" i="135" s="1"/>
  <c r="AW40" i="135"/>
  <c r="AW42" i="135" s="1"/>
  <c r="AO40" i="133"/>
  <c r="AO42" i="133" s="1"/>
  <c r="AP29" i="133"/>
  <c r="AN40" i="136"/>
  <c r="AN42" i="136" s="1"/>
  <c r="AP40" i="132"/>
  <c r="AR29" i="132"/>
  <c r="AM40" i="134"/>
  <c r="AM42" i="134" s="1"/>
  <c r="AN29" i="134"/>
  <c r="T28" i="116"/>
  <c r="Z23" i="116"/>
  <c r="S28" i="116" s="1"/>
  <c r="BG40" i="141" l="1"/>
  <c r="BG42" i="141" s="1"/>
  <c r="BH29" i="141"/>
  <c r="AS29" i="131"/>
  <c r="AS40" i="131" s="1"/>
  <c r="AS42" i="131" s="1"/>
  <c r="AY29" i="135"/>
  <c r="AR40" i="132"/>
  <c r="AS29" i="132"/>
  <c r="AO40" i="136"/>
  <c r="AO42" i="136" s="1"/>
  <c r="AN40" i="134"/>
  <c r="AN42" i="134" s="1"/>
  <c r="AO29" i="134"/>
  <c r="AP40" i="133"/>
  <c r="AP42" i="133" s="1"/>
  <c r="AQ29" i="133"/>
  <c r="Q10" i="116"/>
  <c r="BH40" i="141" l="1"/>
  <c r="BH42" i="141" s="1"/>
  <c r="BI29" i="141"/>
  <c r="AT29" i="131"/>
  <c r="AZ29" i="135"/>
  <c r="AZ40" i="135" s="1"/>
  <c r="AZ42" i="135" s="1"/>
  <c r="AY40" i="135"/>
  <c r="AY42" i="135" s="1"/>
  <c r="AS40" i="132"/>
  <c r="AT29" i="132"/>
  <c r="AQ40" i="133"/>
  <c r="AQ42" i="133" s="1"/>
  <c r="AR29" i="133"/>
  <c r="AO40" i="134"/>
  <c r="AO42" i="134" s="1"/>
  <c r="AP29" i="134"/>
  <c r="AP40" i="136"/>
  <c r="AP42" i="136" s="1"/>
  <c r="H25" i="116"/>
  <c r="I25" i="116"/>
  <c r="G25" i="116"/>
  <c r="D25" i="116"/>
  <c r="D31" i="116" s="1"/>
  <c r="E25" i="116"/>
  <c r="E31" i="116" s="1"/>
  <c r="F25" i="116"/>
  <c r="F31" i="116" s="1"/>
  <c r="C25" i="116"/>
  <c r="Z39" i="116"/>
  <c r="Z40" i="116"/>
  <c r="Z41" i="116"/>
  <c r="I26" i="116"/>
  <c r="H26" i="116"/>
  <c r="G26" i="116"/>
  <c r="F26" i="116"/>
  <c r="E26" i="116"/>
  <c r="D26" i="116"/>
  <c r="C26" i="116"/>
  <c r="S26" i="116"/>
  <c r="Z37" i="116"/>
  <c r="BI40" i="141" l="1"/>
  <c r="BI42" i="141" s="1"/>
  <c r="BJ29" i="141"/>
  <c r="AU29" i="131"/>
  <c r="AV29" i="131" s="1"/>
  <c r="AV40" i="131" s="1"/>
  <c r="AV42" i="131" s="1"/>
  <c r="AT40" i="131"/>
  <c r="AT42" i="131" s="1"/>
  <c r="BA29" i="135"/>
  <c r="AQ40" i="136"/>
  <c r="AQ42" i="136" s="1"/>
  <c r="AP40" i="134"/>
  <c r="AP42" i="134" s="1"/>
  <c r="AQ29" i="134"/>
  <c r="AT40" i="132"/>
  <c r="AU29" i="132"/>
  <c r="AR40" i="133"/>
  <c r="AR42" i="133" s="1"/>
  <c r="AS29" i="133"/>
  <c r="H31" i="116"/>
  <c r="U31" i="116"/>
  <c r="G31" i="116"/>
  <c r="T25" i="116"/>
  <c r="T31" i="116" s="1"/>
  <c r="C31" i="116"/>
  <c r="S25" i="116"/>
  <c r="S31" i="116" s="1"/>
  <c r="I31" i="116"/>
  <c r="T26" i="116"/>
  <c r="R10" i="116"/>
  <c r="BJ40" i="141" l="1"/>
  <c r="BJ42" i="141" s="1"/>
  <c r="BK29" i="141"/>
  <c r="AU40" i="131"/>
  <c r="AU42" i="131" s="1"/>
  <c r="AW29" i="131"/>
  <c r="AW40" i="131" s="1"/>
  <c r="AW42" i="131" s="1"/>
  <c r="BA40" i="135"/>
  <c r="BA42" i="135" s="1"/>
  <c r="BB29" i="135"/>
  <c r="AS40" i="133"/>
  <c r="AS42" i="133" s="1"/>
  <c r="AT29" i="133"/>
  <c r="AR40" i="136"/>
  <c r="AR42" i="136" s="1"/>
  <c r="AV29" i="132"/>
  <c r="AU40" i="132"/>
  <c r="AQ40" i="134"/>
  <c r="AQ42" i="134" s="1"/>
  <c r="AR29" i="134"/>
  <c r="BK40" i="141" l="1"/>
  <c r="BK42" i="141" s="1"/>
  <c r="BL29" i="141"/>
  <c r="AX29" i="131"/>
  <c r="AX40" i="131" s="1"/>
  <c r="AX42" i="131" s="1"/>
  <c r="BC29" i="135"/>
  <c r="BB40" i="135"/>
  <c r="BB42" i="135" s="1"/>
  <c r="AV40" i="132"/>
  <c r="AW29" i="132"/>
  <c r="AT40" i="133"/>
  <c r="AT42" i="133" s="1"/>
  <c r="AU29" i="133"/>
  <c r="AR40" i="134"/>
  <c r="AR42" i="134" s="1"/>
  <c r="AS29" i="134"/>
  <c r="AS40" i="136"/>
  <c r="AS42" i="136" s="1"/>
  <c r="Q8" i="116"/>
  <c r="R8" i="116"/>
  <c r="T8" i="116"/>
  <c r="P8" i="116"/>
  <c r="BL40" i="141" l="1"/>
  <c r="BL42" i="141" s="1"/>
  <c r="BM29" i="141"/>
  <c r="AY29" i="131"/>
  <c r="AY40" i="131" s="1"/>
  <c r="AY42" i="131" s="1"/>
  <c r="BD29" i="135"/>
  <c r="BC40" i="135"/>
  <c r="BC42" i="135" s="1"/>
  <c r="AU40" i="133"/>
  <c r="AU42" i="133" s="1"/>
  <c r="AV29" i="133"/>
  <c r="AW40" i="132"/>
  <c r="AX29" i="132"/>
  <c r="AS40" i="134"/>
  <c r="AS42" i="134" s="1"/>
  <c r="AT29" i="134"/>
  <c r="AT40" i="136"/>
  <c r="AT42" i="136" s="1"/>
  <c r="I14" i="116"/>
  <c r="BM40" i="141" l="1"/>
  <c r="BM42" i="141" s="1"/>
  <c r="BN29" i="141"/>
  <c r="AZ29" i="131"/>
  <c r="AZ40" i="131" s="1"/>
  <c r="AZ42" i="131" s="1"/>
  <c r="BD40" i="135"/>
  <c r="BD42" i="135" s="1"/>
  <c r="BE29" i="135"/>
  <c r="AU40" i="136"/>
  <c r="AU42" i="136" s="1"/>
  <c r="AX40" i="132"/>
  <c r="AT40" i="134"/>
  <c r="AT42" i="134" s="1"/>
  <c r="AU29" i="134"/>
  <c r="AV40" i="133"/>
  <c r="AV42" i="133" s="1"/>
  <c r="AW29" i="133"/>
  <c r="AY29" i="132"/>
  <c r="I38" i="116"/>
  <c r="S11" i="116"/>
  <c r="S9" i="116"/>
  <c r="S7" i="116"/>
  <c r="BN40" i="141" l="1"/>
  <c r="BN42" i="141" s="1"/>
  <c r="BO29" i="141"/>
  <c r="BA29" i="131"/>
  <c r="BA40" i="131" s="1"/>
  <c r="BA42" i="131" s="1"/>
  <c r="BF29" i="135"/>
  <c r="BE40" i="135"/>
  <c r="BE42" i="135" s="1"/>
  <c r="AU40" i="134"/>
  <c r="AU42" i="134" s="1"/>
  <c r="AV29" i="134"/>
  <c r="AV40" i="136"/>
  <c r="AV42" i="136" s="1"/>
  <c r="AY40" i="132"/>
  <c r="AZ29" i="132"/>
  <c r="AW40" i="133"/>
  <c r="AW42" i="133" s="1"/>
  <c r="AX29" i="133"/>
  <c r="S20" i="116"/>
  <c r="Q16" i="116"/>
  <c r="S10" i="116"/>
  <c r="T10" i="116"/>
  <c r="S8" i="116"/>
  <c r="R16" i="116"/>
  <c r="T16" i="116"/>
  <c r="S16" i="116"/>
  <c r="AD124" i="81"/>
  <c r="BO40" i="141" l="1"/>
  <c r="BO42" i="141" s="1"/>
  <c r="BP29" i="141"/>
  <c r="BB29" i="131"/>
  <c r="BC29" i="131" s="1"/>
  <c r="BG29" i="135"/>
  <c r="BF40" i="135"/>
  <c r="BF42" i="135" s="1"/>
  <c r="AZ40" i="132"/>
  <c r="BA29" i="132"/>
  <c r="AW40" i="136"/>
  <c r="AW42" i="136" s="1"/>
  <c r="AV40" i="134"/>
  <c r="AV42" i="134" s="1"/>
  <c r="AW29" i="134"/>
  <c r="AX40" i="133"/>
  <c r="AX42" i="133" s="1"/>
  <c r="AY29" i="133"/>
  <c r="AP2" i="67"/>
  <c r="AQ2" i="67" s="1"/>
  <c r="AR2" i="67" s="1"/>
  <c r="AS2" i="67" s="1"/>
  <c r="AT2" i="67" s="1"/>
  <c r="AU2" i="67" s="1"/>
  <c r="AV2" i="67" s="1"/>
  <c r="AW2" i="67" s="1"/>
  <c r="AX2" i="67" s="1"/>
  <c r="AY2" i="67" s="1"/>
  <c r="AZ2" i="67" s="1"/>
  <c r="BA2" i="67" s="1"/>
  <c r="BB2" i="67" s="1"/>
  <c r="BC2" i="67" s="1"/>
  <c r="AO2" i="67"/>
  <c r="AO8" i="67"/>
  <c r="AP8" i="67"/>
  <c r="AQ8" i="67"/>
  <c r="AR8" i="67"/>
  <c r="AS8" i="67"/>
  <c r="AT8" i="67"/>
  <c r="AU8" i="67"/>
  <c r="AV8" i="67"/>
  <c r="AW8" i="67"/>
  <c r="AX8" i="67"/>
  <c r="AY8" i="67"/>
  <c r="AZ8" i="67"/>
  <c r="BA8" i="67"/>
  <c r="BA11" i="67" s="1"/>
  <c r="BB8" i="67"/>
  <c r="BC8" i="67"/>
  <c r="BC11" i="67" s="1"/>
  <c r="BB11" i="67"/>
  <c r="BP40" i="141" l="1"/>
  <c r="BP42" i="141" s="1"/>
  <c r="BQ29" i="141"/>
  <c r="BB40" i="131"/>
  <c r="BB42" i="131" s="1"/>
  <c r="BD29" i="131"/>
  <c r="BC40" i="131"/>
  <c r="BC42" i="131" s="1"/>
  <c r="BG40" i="135"/>
  <c r="BG42" i="135" s="1"/>
  <c r="BH29" i="135"/>
  <c r="AW40" i="134"/>
  <c r="AW42" i="134" s="1"/>
  <c r="AX29" i="134"/>
  <c r="BA40" i="132"/>
  <c r="BB29" i="132"/>
  <c r="AY40" i="133"/>
  <c r="AY42" i="133" s="1"/>
  <c r="AZ29" i="133"/>
  <c r="AX40" i="136"/>
  <c r="AX42" i="136" s="1"/>
  <c r="C14" i="109"/>
  <c r="BQ40" i="141" l="1"/>
  <c r="BQ42" i="141" s="1"/>
  <c r="BR29" i="141"/>
  <c r="BE29" i="131"/>
  <c r="BD40" i="131"/>
  <c r="BD42" i="131" s="1"/>
  <c r="BI29" i="135"/>
  <c r="BH40" i="135"/>
  <c r="BH42" i="135" s="1"/>
  <c r="AY40" i="136"/>
  <c r="AY42" i="136" s="1"/>
  <c r="AZ40" i="133"/>
  <c r="AZ42" i="133" s="1"/>
  <c r="BA29" i="133"/>
  <c r="AX40" i="134"/>
  <c r="AX42" i="134" s="1"/>
  <c r="AY29" i="134"/>
  <c r="BB40" i="132"/>
  <c r="BC29" i="132"/>
  <c r="BD29" i="132" s="1"/>
  <c r="AW61" i="115"/>
  <c r="AW60" i="115"/>
  <c r="AV60" i="115"/>
  <c r="AW59" i="115"/>
  <c r="AV59" i="115"/>
  <c r="AU59" i="115"/>
  <c r="AW58" i="115"/>
  <c r="AV58" i="115"/>
  <c r="AU58" i="115"/>
  <c r="AT58" i="115"/>
  <c r="AW57" i="115"/>
  <c r="AV57" i="115"/>
  <c r="AU57" i="115"/>
  <c r="AT57" i="115"/>
  <c r="AS57" i="115"/>
  <c r="AW56" i="115"/>
  <c r="AV56" i="115"/>
  <c r="AU56" i="115"/>
  <c r="AT56" i="115"/>
  <c r="AS56" i="115"/>
  <c r="AR56" i="115"/>
  <c r="AW55" i="115"/>
  <c r="AV55" i="115"/>
  <c r="AU55" i="115"/>
  <c r="AT55" i="115"/>
  <c r="AS55" i="115"/>
  <c r="AR55" i="115"/>
  <c r="AQ55" i="115"/>
  <c r="AW54" i="115"/>
  <c r="AV54" i="115"/>
  <c r="AU54" i="115"/>
  <c r="AT54" i="115"/>
  <c r="AS54" i="115"/>
  <c r="AR54" i="115"/>
  <c r="AQ54" i="115"/>
  <c r="AP54" i="115"/>
  <c r="AW53" i="115"/>
  <c r="AV53" i="115"/>
  <c r="AU53" i="115"/>
  <c r="AT53" i="115"/>
  <c r="AS53" i="115"/>
  <c r="AR53" i="115"/>
  <c r="AQ53" i="115"/>
  <c r="AP53" i="115"/>
  <c r="AO53" i="115"/>
  <c r="AW52" i="115"/>
  <c r="AV52" i="115"/>
  <c r="AU52" i="115"/>
  <c r="AT52" i="115"/>
  <c r="AS52" i="115"/>
  <c r="AR52" i="115"/>
  <c r="AQ52" i="115"/>
  <c r="AP52" i="115"/>
  <c r="AO52" i="115"/>
  <c r="AN52" i="115"/>
  <c r="AW51" i="115"/>
  <c r="AV51" i="115"/>
  <c r="AU51" i="115"/>
  <c r="AT51" i="115"/>
  <c r="AS51" i="115"/>
  <c r="AR51" i="115"/>
  <c r="AQ51" i="115"/>
  <c r="AP51" i="115"/>
  <c r="AO51" i="115"/>
  <c r="AN51" i="115"/>
  <c r="AM51" i="115"/>
  <c r="AW50" i="115"/>
  <c r="AV50" i="115"/>
  <c r="AU50" i="115"/>
  <c r="AT50" i="115"/>
  <c r="AS50" i="115"/>
  <c r="AR50" i="115"/>
  <c r="AQ50" i="115"/>
  <c r="AP50" i="115"/>
  <c r="AO50" i="115"/>
  <c r="AN50" i="115"/>
  <c r="AM50" i="115"/>
  <c r="AL50" i="115"/>
  <c r="AW49" i="115"/>
  <c r="AV49" i="115"/>
  <c r="AU49" i="115"/>
  <c r="AT49" i="115"/>
  <c r="AS49" i="115"/>
  <c r="AR49" i="115"/>
  <c r="AQ49" i="115"/>
  <c r="AP49" i="115"/>
  <c r="AO49" i="115"/>
  <c r="AN49" i="115"/>
  <c r="AM49" i="115"/>
  <c r="AL49" i="115"/>
  <c r="AV48" i="115"/>
  <c r="AU48" i="115"/>
  <c r="AT48" i="115"/>
  <c r="AS48" i="115"/>
  <c r="AR48" i="115"/>
  <c r="AQ48" i="115"/>
  <c r="AP48" i="115"/>
  <c r="AO48" i="115"/>
  <c r="AN48" i="115"/>
  <c r="AM48" i="115"/>
  <c r="AL48" i="115"/>
  <c r="AU47" i="115"/>
  <c r="AT47" i="115"/>
  <c r="AS47" i="115"/>
  <c r="AR47" i="115"/>
  <c r="AQ47" i="115"/>
  <c r="AP47" i="115"/>
  <c r="AO47" i="115"/>
  <c r="AN47" i="115"/>
  <c r="AM47" i="115"/>
  <c r="AL47" i="115"/>
  <c r="AT46" i="115"/>
  <c r="AS46" i="115"/>
  <c r="AR46" i="115"/>
  <c r="AQ46" i="115"/>
  <c r="AP46" i="115"/>
  <c r="AO46" i="115"/>
  <c r="AN46" i="115"/>
  <c r="AM46" i="115"/>
  <c r="AL46" i="115"/>
  <c r="AS45" i="115"/>
  <c r="AR45" i="115"/>
  <c r="AQ45" i="115"/>
  <c r="AP45" i="115"/>
  <c r="AO45" i="115"/>
  <c r="AN45" i="115"/>
  <c r="AM45" i="115"/>
  <c r="AL45" i="115"/>
  <c r="AR44" i="115"/>
  <c r="AQ44" i="115"/>
  <c r="AP44" i="115"/>
  <c r="AO44" i="115"/>
  <c r="AN44" i="115"/>
  <c r="AM44" i="115"/>
  <c r="AL44" i="115"/>
  <c r="AQ43" i="115"/>
  <c r="AP43" i="115"/>
  <c r="AO43" i="115"/>
  <c r="AN43" i="115"/>
  <c r="AM43" i="115"/>
  <c r="AL43" i="115"/>
  <c r="AP42" i="115"/>
  <c r="AO42" i="115"/>
  <c r="AN42" i="115"/>
  <c r="AM42" i="115"/>
  <c r="AL42" i="115"/>
  <c r="AO41" i="115"/>
  <c r="AN41" i="115"/>
  <c r="AM41" i="115"/>
  <c r="AL41" i="115"/>
  <c r="AN40" i="115"/>
  <c r="AM40" i="115"/>
  <c r="AL40" i="115"/>
  <c r="AM39" i="115"/>
  <c r="AL39" i="115"/>
  <c r="AL38" i="115"/>
  <c r="AK49" i="115"/>
  <c r="BR40" i="141" l="1"/>
  <c r="BR42" i="141" s="1"/>
  <c r="BS29" i="141"/>
  <c r="BF29" i="131"/>
  <c r="BE40" i="131"/>
  <c r="BE42" i="131" s="1"/>
  <c r="BJ29" i="135"/>
  <c r="BK29" i="135" s="1"/>
  <c r="BI40" i="135"/>
  <c r="BI42" i="135" s="1"/>
  <c r="BD40" i="132"/>
  <c r="BE29" i="132"/>
  <c r="AZ40" i="136"/>
  <c r="AZ42" i="136" s="1"/>
  <c r="BA40" i="133"/>
  <c r="BA42" i="133" s="1"/>
  <c r="BB29" i="133"/>
  <c r="BC40" i="132"/>
  <c r="AY40" i="134"/>
  <c r="AY42" i="134" s="1"/>
  <c r="AZ29" i="134"/>
  <c r="AO49" i="70"/>
  <c r="AP49" i="70"/>
  <c r="AQ49" i="70"/>
  <c r="AR49" i="70"/>
  <c r="AS49" i="70"/>
  <c r="AT49" i="70"/>
  <c r="AU49" i="70"/>
  <c r="AV49" i="70"/>
  <c r="AW49" i="70"/>
  <c r="AX49" i="70"/>
  <c r="AY49" i="70"/>
  <c r="AZ49" i="70"/>
  <c r="AO50" i="70"/>
  <c r="AP50" i="70"/>
  <c r="AQ50" i="70"/>
  <c r="AR50" i="70"/>
  <c r="AS50" i="70"/>
  <c r="AT50" i="70"/>
  <c r="AU50" i="70"/>
  <c r="AV50" i="70"/>
  <c r="AW50" i="70"/>
  <c r="AX50" i="70"/>
  <c r="AY50" i="70"/>
  <c r="AZ50" i="70"/>
  <c r="AO54" i="70"/>
  <c r="AP54" i="70"/>
  <c r="AQ54" i="70"/>
  <c r="AR54" i="70"/>
  <c r="AS54" i="70"/>
  <c r="AT54" i="70"/>
  <c r="AU54" i="70"/>
  <c r="AV54" i="70"/>
  <c r="AW54" i="70"/>
  <c r="AX54" i="70"/>
  <c r="AY54" i="70"/>
  <c r="AZ54" i="70"/>
  <c r="AP54" i="69"/>
  <c r="AQ54" i="69"/>
  <c r="AR54" i="69"/>
  <c r="AS54" i="69"/>
  <c r="AT54" i="69"/>
  <c r="AU54" i="69"/>
  <c r="AV54" i="69"/>
  <c r="AW54" i="69"/>
  <c r="AX54" i="69"/>
  <c r="AY54" i="69"/>
  <c r="AZ54" i="69"/>
  <c r="BA54" i="69"/>
  <c r="AP55" i="69"/>
  <c r="AQ55" i="69"/>
  <c r="AR55" i="69"/>
  <c r="AS55" i="69"/>
  <c r="AT55" i="69"/>
  <c r="AU55" i="69"/>
  <c r="AV55" i="69"/>
  <c r="AW55" i="69"/>
  <c r="AX55" i="69"/>
  <c r="AY55" i="69"/>
  <c r="AZ55" i="69"/>
  <c r="BA55" i="69"/>
  <c r="BA3" i="69"/>
  <c r="AS3" i="69"/>
  <c r="AT3" i="69"/>
  <c r="AU3" i="69"/>
  <c r="AV3" i="69"/>
  <c r="AW3" i="69"/>
  <c r="AX3" i="69"/>
  <c r="AY3" i="69"/>
  <c r="AZ3" i="69"/>
  <c r="AP3" i="69"/>
  <c r="AQ3" i="69"/>
  <c r="AR3" i="69"/>
  <c r="BS40" i="141" l="1"/>
  <c r="BS42" i="141" s="1"/>
  <c r="BT29" i="141"/>
  <c r="BF40" i="131"/>
  <c r="BF42" i="131" s="1"/>
  <c r="BG29" i="131"/>
  <c r="BG40" i="131" s="1"/>
  <c r="BG42" i="131" s="1"/>
  <c r="BJ40" i="135"/>
  <c r="BJ42" i="135" s="1"/>
  <c r="BL29" i="135"/>
  <c r="BK40" i="135"/>
  <c r="BK42" i="135" s="1"/>
  <c r="BK26" i="11" s="1"/>
  <c r="BM49" i="34" s="1"/>
  <c r="BA40" i="136"/>
  <c r="BA42" i="136" s="1"/>
  <c r="BB40" i="133"/>
  <c r="BB42" i="133" s="1"/>
  <c r="BC29" i="133"/>
  <c r="AZ40" i="134"/>
  <c r="AZ42" i="134" s="1"/>
  <c r="BA29" i="134"/>
  <c r="BE40" i="132"/>
  <c r="BF29" i="132"/>
  <c r="BA30" i="70"/>
  <c r="AD80" i="81"/>
  <c r="AD72" i="81"/>
  <c r="AD33" i="81"/>
  <c r="AD35" i="81" s="1"/>
  <c r="AD17" i="81"/>
  <c r="BT40" i="141" l="1"/>
  <c r="BT42" i="141" s="1"/>
  <c r="BU29" i="141"/>
  <c r="BH29" i="131"/>
  <c r="BM29" i="135"/>
  <c r="BL40" i="135"/>
  <c r="BL42" i="135" s="1"/>
  <c r="BL26" i="11" s="1"/>
  <c r="BN49" i="34" s="1"/>
  <c r="BF40" i="132"/>
  <c r="BG29" i="132"/>
  <c r="BH29" i="132" s="1"/>
  <c r="BH40" i="132" s="1"/>
  <c r="BC40" i="133"/>
  <c r="BC42" i="133" s="1"/>
  <c r="BD29" i="133"/>
  <c r="BB29" i="134"/>
  <c r="BA40" i="134"/>
  <c r="BA42" i="134" s="1"/>
  <c r="BB40" i="136"/>
  <c r="BB42" i="136" s="1"/>
  <c r="BG55" i="107"/>
  <c r="BH55" i="107"/>
  <c r="BI55" i="107"/>
  <c r="BJ55" i="107"/>
  <c r="BK55" i="107"/>
  <c r="BK66" i="107"/>
  <c r="BK67" i="107"/>
  <c r="BG68" i="107"/>
  <c r="BK68" i="107"/>
  <c r="BK69" i="107"/>
  <c r="BK70" i="107"/>
  <c r="BK71" i="107"/>
  <c r="BK72" i="107"/>
  <c r="BK73" i="107"/>
  <c r="BK74" i="107"/>
  <c r="BK75" i="107"/>
  <c r="BK76" i="107"/>
  <c r="BK77" i="107"/>
  <c r="BB55" i="107"/>
  <c r="BC55" i="107"/>
  <c r="BD55" i="107"/>
  <c r="BE55" i="107"/>
  <c r="BF55" i="107"/>
  <c r="BB66" i="107"/>
  <c r="BF66" i="107"/>
  <c r="BG66" i="107" s="1"/>
  <c r="BB67" i="107"/>
  <c r="BF67" i="107"/>
  <c r="BG67" i="107" s="1"/>
  <c r="BB68" i="107"/>
  <c r="BF68" i="107"/>
  <c r="BB69" i="107"/>
  <c r="BF69" i="107"/>
  <c r="BG69" i="107" s="1"/>
  <c r="BB70" i="107"/>
  <c r="BF70" i="107"/>
  <c r="BG70" i="107" s="1"/>
  <c r="BB71" i="107"/>
  <c r="BF71" i="107"/>
  <c r="BG71" i="107" s="1"/>
  <c r="BB72" i="107"/>
  <c r="BF72" i="107"/>
  <c r="BG72" i="107" s="1"/>
  <c r="BB73" i="107"/>
  <c r="BF73" i="107"/>
  <c r="BG73" i="107" s="1"/>
  <c r="BB74" i="107"/>
  <c r="BF74" i="107"/>
  <c r="BG74" i="107" s="1"/>
  <c r="BB75" i="107"/>
  <c r="BF75" i="107"/>
  <c r="BG75" i="107" s="1"/>
  <c r="BB76" i="107"/>
  <c r="BF76" i="107"/>
  <c r="BG76" i="107" s="1"/>
  <c r="BB77" i="107"/>
  <c r="BF77" i="107"/>
  <c r="BG77" i="107" s="1"/>
  <c r="AN55" i="107"/>
  <c r="AO55" i="107"/>
  <c r="AP55" i="107"/>
  <c r="AQ55" i="107"/>
  <c r="AR55" i="107"/>
  <c r="AS55" i="107"/>
  <c r="AT55" i="107"/>
  <c r="AU55" i="107"/>
  <c r="AV55" i="107"/>
  <c r="AW55" i="107"/>
  <c r="AX55" i="107"/>
  <c r="AY55" i="107"/>
  <c r="AZ55" i="107"/>
  <c r="BA55" i="107"/>
  <c r="AN66" i="107"/>
  <c r="AR66" i="107"/>
  <c r="AV66" i="107"/>
  <c r="AZ66" i="107"/>
  <c r="AN67" i="107"/>
  <c r="AR67" i="107"/>
  <c r="AV67" i="107"/>
  <c r="AZ67" i="107"/>
  <c r="AN68" i="107"/>
  <c r="AR68" i="107"/>
  <c r="AV68" i="107"/>
  <c r="AZ68" i="107"/>
  <c r="AN69" i="107"/>
  <c r="AR69" i="107"/>
  <c r="AV69" i="107"/>
  <c r="AZ69" i="107"/>
  <c r="AN70" i="107"/>
  <c r="AR70" i="107"/>
  <c r="AV70" i="107"/>
  <c r="AZ70" i="107"/>
  <c r="AN71" i="107"/>
  <c r="AR71" i="107"/>
  <c r="AV71" i="107"/>
  <c r="AZ71" i="107"/>
  <c r="AN72" i="107"/>
  <c r="AR72" i="107"/>
  <c r="AV72" i="107"/>
  <c r="AZ72" i="107"/>
  <c r="AN73" i="107"/>
  <c r="AR73" i="107"/>
  <c r="AV73" i="107"/>
  <c r="AZ73" i="107"/>
  <c r="AN74" i="107"/>
  <c r="AR74" i="107"/>
  <c r="AV74" i="107"/>
  <c r="AZ74" i="107"/>
  <c r="AN75" i="107"/>
  <c r="AR75" i="107"/>
  <c r="AV75" i="107"/>
  <c r="AZ75" i="107"/>
  <c r="AN76" i="107"/>
  <c r="AR76" i="107"/>
  <c r="AV76" i="107"/>
  <c r="AZ76" i="107"/>
  <c r="AN77" i="107"/>
  <c r="AR77" i="107"/>
  <c r="AV77" i="107"/>
  <c r="AZ77" i="107"/>
  <c r="BU40" i="141" l="1"/>
  <c r="BU42" i="141" s="1"/>
  <c r="BV29" i="141"/>
  <c r="BV40" i="141" s="1"/>
  <c r="BV42" i="141" s="1"/>
  <c r="BH40" i="131"/>
  <c r="BH42" i="131" s="1"/>
  <c r="BI29" i="131"/>
  <c r="BN29" i="135"/>
  <c r="BM40" i="135"/>
  <c r="BM42" i="135" s="1"/>
  <c r="BM26" i="11" s="1"/>
  <c r="BO49" i="34" s="1"/>
  <c r="BG40" i="132"/>
  <c r="BC40" i="136"/>
  <c r="BC42" i="136" s="1"/>
  <c r="BC29" i="134"/>
  <c r="BB40" i="134"/>
  <c r="BB42" i="134" s="1"/>
  <c r="BD40" i="133"/>
  <c r="BD42" i="133" s="1"/>
  <c r="BE29" i="133"/>
  <c r="BI29" i="132"/>
  <c r="BJ29" i="132" s="1"/>
  <c r="BJ40" i="132" s="1"/>
  <c r="I16" i="116"/>
  <c r="I10" i="116"/>
  <c r="I8" i="116"/>
  <c r="BJ29" i="131" l="1"/>
  <c r="BJ40" i="131" s="1"/>
  <c r="BJ42" i="131" s="1"/>
  <c r="BI40" i="131"/>
  <c r="BI42" i="131" s="1"/>
  <c r="BO29" i="135"/>
  <c r="BN40" i="135"/>
  <c r="BN42" i="135" s="1"/>
  <c r="BN26" i="11" s="1"/>
  <c r="BP49" i="34" s="1"/>
  <c r="BE40" i="133"/>
  <c r="BE42" i="133" s="1"/>
  <c r="BF29" i="133"/>
  <c r="BD40" i="136"/>
  <c r="BD42" i="136" s="1"/>
  <c r="BI40" i="132"/>
  <c r="BD29" i="134"/>
  <c r="BC40" i="134"/>
  <c r="BC42" i="134" s="1"/>
  <c r="BK29" i="132"/>
  <c r="AC33" i="81"/>
  <c r="BK29" i="131" l="1"/>
  <c r="BP29" i="135"/>
  <c r="BO40" i="135"/>
  <c r="BO42" i="135" s="1"/>
  <c r="BO26" i="11" s="1"/>
  <c r="BQ49" i="34" s="1"/>
  <c r="BD40" i="134"/>
  <c r="BD42" i="134" s="1"/>
  <c r="BE29" i="134"/>
  <c r="BE40" i="136"/>
  <c r="BE42" i="136" s="1"/>
  <c r="BF40" i="133"/>
  <c r="BF42" i="133" s="1"/>
  <c r="BG29" i="133"/>
  <c r="BK40" i="132"/>
  <c r="BK56" i="132" s="1"/>
  <c r="BK18" i="11" s="1"/>
  <c r="BM39" i="34" s="1"/>
  <c r="BL29" i="132"/>
  <c r="Z55" i="69"/>
  <c r="Z54" i="69"/>
  <c r="BK40" i="131" l="1"/>
  <c r="BK42" i="131" s="1"/>
  <c r="BK17" i="11" s="1"/>
  <c r="BM38" i="34" s="1"/>
  <c r="BM40" i="34" s="1"/>
  <c r="BL29" i="131"/>
  <c r="BQ29" i="135"/>
  <c r="BP40" i="135"/>
  <c r="BP42" i="135" s="1"/>
  <c r="BP26" i="11" s="1"/>
  <c r="BR49" i="34" s="1"/>
  <c r="BL40" i="132"/>
  <c r="BL56" i="132" s="1"/>
  <c r="BL18" i="11" s="1"/>
  <c r="BN39" i="34" s="1"/>
  <c r="BG40" i="133"/>
  <c r="BG42" i="133" s="1"/>
  <c r="BH29" i="133"/>
  <c r="BF29" i="134"/>
  <c r="BE40" i="134"/>
  <c r="BE42" i="134" s="1"/>
  <c r="BM29" i="132"/>
  <c r="BF40" i="136"/>
  <c r="BF42" i="136" s="1"/>
  <c r="X18" i="70"/>
  <c r="X30" i="70"/>
  <c r="AC124" i="81"/>
  <c r="AC106" i="81"/>
  <c r="AC80" i="81"/>
  <c r="AC72" i="81"/>
  <c r="AC35" i="81"/>
  <c r="AC20" i="81"/>
  <c r="AC17" i="81"/>
  <c r="BK19" i="11" l="1"/>
  <c r="BM29" i="131"/>
  <c r="BL40" i="131"/>
  <c r="BL42" i="131" s="1"/>
  <c r="BL17" i="11" s="1"/>
  <c r="BN38" i="34" s="1"/>
  <c r="BN40" i="34" s="1"/>
  <c r="BR29" i="135"/>
  <c r="BQ40" i="135"/>
  <c r="BQ42" i="135" s="1"/>
  <c r="BQ26" i="11" s="1"/>
  <c r="BS49" i="34" s="1"/>
  <c r="BM40" i="132"/>
  <c r="BM56" i="132" s="1"/>
  <c r="BM18" i="11" s="1"/>
  <c r="BO39" i="34" s="1"/>
  <c r="BN29" i="132"/>
  <c r="BF40" i="134"/>
  <c r="BF42" i="134" s="1"/>
  <c r="BG29" i="134"/>
  <c r="BG40" i="136"/>
  <c r="BG42" i="136" s="1"/>
  <c r="BH40" i="133"/>
  <c r="BH42" i="133" s="1"/>
  <c r="BI29" i="133"/>
  <c r="AC95" i="81"/>
  <c r="AC100" i="81" s="1"/>
  <c r="AC101" i="81" s="1"/>
  <c r="AC107" i="81" s="1"/>
  <c r="AC125" i="81" s="1"/>
  <c r="AC36" i="81"/>
  <c r="AC38" i="81" s="1"/>
  <c r="AH72" i="81"/>
  <c r="AI72" i="81"/>
  <c r="AJ72" i="81"/>
  <c r="AK72" i="81"/>
  <c r="AL72" i="81"/>
  <c r="AM72" i="81"/>
  <c r="AN72" i="81"/>
  <c r="AO72" i="81"/>
  <c r="AP72" i="81"/>
  <c r="AQ72" i="81"/>
  <c r="AR72" i="81"/>
  <c r="AS72" i="81"/>
  <c r="AB72" i="81"/>
  <c r="U52" i="11"/>
  <c r="T52" i="11"/>
  <c r="BN29" i="131" l="1"/>
  <c r="BM40" i="131"/>
  <c r="BM42" i="131" s="1"/>
  <c r="BM17" i="11" s="1"/>
  <c r="BO38" i="34" s="1"/>
  <c r="BO40" i="34" s="1"/>
  <c r="BL19" i="11"/>
  <c r="BS29" i="135"/>
  <c r="BR40" i="135"/>
  <c r="BR42" i="135" s="1"/>
  <c r="BR26" i="11" s="1"/>
  <c r="BT49" i="34" s="1"/>
  <c r="BI40" i="133"/>
  <c r="BI42" i="133" s="1"/>
  <c r="BJ29" i="133"/>
  <c r="BN40" i="132"/>
  <c r="BN56" i="132" s="1"/>
  <c r="BN18" i="11" s="1"/>
  <c r="BP39" i="34" s="1"/>
  <c r="BO29" i="132"/>
  <c r="BH29" i="134"/>
  <c r="BG40" i="134"/>
  <c r="BG42" i="134" s="1"/>
  <c r="BH40" i="136"/>
  <c r="BH42" i="136" s="1"/>
  <c r="Y54" i="69"/>
  <c r="BM19" i="11" l="1"/>
  <c r="BN40" i="131"/>
  <c r="BN42" i="131" s="1"/>
  <c r="BN17" i="11" s="1"/>
  <c r="BP38" i="34" s="1"/>
  <c r="BP40" i="34" s="1"/>
  <c r="BO29" i="131"/>
  <c r="BT29" i="135"/>
  <c r="BS40" i="135"/>
  <c r="BS42" i="135" s="1"/>
  <c r="BS26" i="11" s="1"/>
  <c r="BU49" i="34" s="1"/>
  <c r="BI29" i="134"/>
  <c r="BH40" i="134"/>
  <c r="BH42" i="134" s="1"/>
  <c r="BI40" i="136"/>
  <c r="BI42" i="136" s="1"/>
  <c r="BO40" i="132"/>
  <c r="BO56" i="132" s="1"/>
  <c r="BO18" i="11" s="1"/>
  <c r="BQ39" i="34" s="1"/>
  <c r="BJ40" i="133"/>
  <c r="BJ42" i="133" s="1"/>
  <c r="BK29" i="133"/>
  <c r="BP29" i="132"/>
  <c r="W30" i="70"/>
  <c r="AB80" i="81"/>
  <c r="AB124" i="81"/>
  <c r="AB95" i="81"/>
  <c r="AB33" i="81"/>
  <c r="AA33" i="81"/>
  <c r="AB17" i="81"/>
  <c r="BN19" i="11" l="1"/>
  <c r="BP29" i="131"/>
  <c r="BP40" i="131" s="1"/>
  <c r="BP42" i="131" s="1"/>
  <c r="BP17" i="11" s="1"/>
  <c r="BR38" i="34" s="1"/>
  <c r="BO40" i="131"/>
  <c r="BO42" i="131" s="1"/>
  <c r="BO17" i="11" s="1"/>
  <c r="BQ38" i="34" s="1"/>
  <c r="BQ40" i="34" s="1"/>
  <c r="BU29" i="135"/>
  <c r="BT40" i="135"/>
  <c r="BT42" i="135" s="1"/>
  <c r="BT26" i="11" s="1"/>
  <c r="BV49" i="34" s="1"/>
  <c r="BK40" i="133"/>
  <c r="BK42" i="133" s="1"/>
  <c r="BK22" i="11" s="1"/>
  <c r="BM44" i="34" s="1"/>
  <c r="BL29" i="133"/>
  <c r="BJ40" i="136"/>
  <c r="BJ42" i="136" s="1"/>
  <c r="BP40" i="132"/>
  <c r="BP56" i="132" s="1"/>
  <c r="BP18" i="11" s="1"/>
  <c r="BR39" i="34" s="1"/>
  <c r="BQ29" i="132"/>
  <c r="BI40" i="134"/>
  <c r="BI42" i="134" s="1"/>
  <c r="BJ29" i="134"/>
  <c r="AB35" i="81"/>
  <c r="AC60" i="81"/>
  <c r="Y22" i="70"/>
  <c r="W22" i="70"/>
  <c r="X22" i="70"/>
  <c r="X25" i="70" s="1"/>
  <c r="BQ29" i="131" l="1"/>
  <c r="BQ40" i="131" s="1"/>
  <c r="BQ42" i="131" s="1"/>
  <c r="BQ17" i="11" s="1"/>
  <c r="BS38" i="34" s="1"/>
  <c r="BO19" i="11"/>
  <c r="BV29" i="135"/>
  <c r="BV40" i="135" s="1"/>
  <c r="BV42" i="135" s="1"/>
  <c r="BV26" i="11" s="1"/>
  <c r="BX49" i="34" s="1"/>
  <c r="BU40" i="135"/>
  <c r="BU42" i="135" s="1"/>
  <c r="BU26" i="11" s="1"/>
  <c r="BW49" i="34" s="1"/>
  <c r="BK40" i="136"/>
  <c r="BK42" i="136" s="1"/>
  <c r="BK21" i="11" s="1"/>
  <c r="BK29" i="134"/>
  <c r="BJ40" i="134"/>
  <c r="BJ42" i="134" s="1"/>
  <c r="BL40" i="133"/>
  <c r="BL42" i="133" s="1"/>
  <c r="BL22" i="11" s="1"/>
  <c r="BN44" i="34" s="1"/>
  <c r="BM29" i="133"/>
  <c r="BQ40" i="132"/>
  <c r="BQ56" i="132" s="1"/>
  <c r="BQ18" i="11" s="1"/>
  <c r="BS39" i="34" s="1"/>
  <c r="BR29" i="132"/>
  <c r="BP19" i="11"/>
  <c r="BR40" i="34"/>
  <c r="AC73" i="81"/>
  <c r="AC126" i="81" s="1"/>
  <c r="AC61" i="81"/>
  <c r="I37" i="116"/>
  <c r="S5" i="85"/>
  <c r="BR29" i="131" l="1"/>
  <c r="BS29" i="131" s="1"/>
  <c r="BS40" i="131" s="1"/>
  <c r="BS42" i="131" s="1"/>
  <c r="BS17" i="11" s="1"/>
  <c r="BQ19" i="11"/>
  <c r="BS40" i="34"/>
  <c r="BR40" i="132"/>
  <c r="BR56" i="132" s="1"/>
  <c r="BR18" i="11" s="1"/>
  <c r="BT39" i="34" s="1"/>
  <c r="BS29" i="132"/>
  <c r="BS40" i="132" s="1"/>
  <c r="BS56" i="132" s="1"/>
  <c r="BS18" i="11" s="1"/>
  <c r="BU39" i="34" s="1"/>
  <c r="BM40" i="133"/>
  <c r="BM42" i="133" s="1"/>
  <c r="BM22" i="11" s="1"/>
  <c r="BO44" i="34" s="1"/>
  <c r="BN29" i="133"/>
  <c r="BL29" i="134"/>
  <c r="BK40" i="134"/>
  <c r="BL40" i="136"/>
  <c r="BL42" i="136" s="1"/>
  <c r="BL21" i="11" s="1"/>
  <c r="BK49" i="11"/>
  <c r="BK23" i="11"/>
  <c r="BM43" i="34"/>
  <c r="BM45" i="34" s="1"/>
  <c r="G60" i="85"/>
  <c r="P22" i="85" s="1"/>
  <c r="BR40" i="131" l="1"/>
  <c r="BR42" i="131" s="1"/>
  <c r="BR17" i="11" s="1"/>
  <c r="BT38" i="34" s="1"/>
  <c r="BT40" i="34" s="1"/>
  <c r="BT29" i="131"/>
  <c r="BT40" i="131" s="1"/>
  <c r="BT42" i="131" s="1"/>
  <c r="BT17" i="11" s="1"/>
  <c r="BT29" i="132"/>
  <c r="BT40" i="132" s="1"/>
  <c r="BT56" i="132" s="1"/>
  <c r="BT18" i="11" s="1"/>
  <c r="BV39" i="34" s="1"/>
  <c r="BM29" i="134"/>
  <c r="BL40" i="134"/>
  <c r="BU38" i="34"/>
  <c r="BU40" i="34" s="1"/>
  <c r="BS19" i="11"/>
  <c r="BL49" i="11"/>
  <c r="BN43" i="34"/>
  <c r="BN45" i="34" s="1"/>
  <c r="BL23" i="11"/>
  <c r="BN40" i="133"/>
  <c r="BN42" i="133" s="1"/>
  <c r="BN22" i="11" s="1"/>
  <c r="BP44" i="34" s="1"/>
  <c r="BO29" i="133"/>
  <c r="BM40" i="136"/>
  <c r="BM42" i="136" s="1"/>
  <c r="BM21" i="11" s="1"/>
  <c r="BK42" i="134"/>
  <c r="BK25" i="11" s="1"/>
  <c r="I38" i="85"/>
  <c r="H38" i="85"/>
  <c r="G38" i="85"/>
  <c r="F38" i="85"/>
  <c r="BU29" i="131" l="1"/>
  <c r="BV29" i="131" s="1"/>
  <c r="BV40" i="131" s="1"/>
  <c r="BV42" i="131" s="1"/>
  <c r="BV17" i="11" s="1"/>
  <c r="BR19" i="11"/>
  <c r="BU29" i="132"/>
  <c r="BU40" i="132" s="1"/>
  <c r="BU56" i="132" s="1"/>
  <c r="BU18" i="11" s="1"/>
  <c r="BW39" i="34" s="1"/>
  <c r="BN40" i="136"/>
  <c r="BN42" i="136" s="1"/>
  <c r="BN21" i="11" s="1"/>
  <c r="BO40" i="133"/>
  <c r="BO42" i="133" s="1"/>
  <c r="BO22" i="11" s="1"/>
  <c r="BQ44" i="34" s="1"/>
  <c r="BP29" i="133"/>
  <c r="BL42" i="134"/>
  <c r="BL25" i="11" s="1"/>
  <c r="BU40" i="131"/>
  <c r="BU42" i="131" s="1"/>
  <c r="BU17" i="11" s="1"/>
  <c r="BM48" i="34"/>
  <c r="BM61" i="34" s="1"/>
  <c r="BM63" i="34" s="1"/>
  <c r="BK38" i="11"/>
  <c r="BK40" i="11" s="1"/>
  <c r="BN29" i="134"/>
  <c r="BM40" i="134"/>
  <c r="BO43" i="34"/>
  <c r="BO45" i="34" s="1"/>
  <c r="BM23" i="11"/>
  <c r="BM49" i="11"/>
  <c r="BV38" i="34"/>
  <c r="BV40" i="34" s="1"/>
  <c r="BT19" i="11"/>
  <c r="H16" i="116"/>
  <c r="H14" i="116"/>
  <c r="G14" i="116"/>
  <c r="F14" i="116"/>
  <c r="E14" i="116"/>
  <c r="D14" i="116"/>
  <c r="C14" i="116"/>
  <c r="G16" i="116"/>
  <c r="L15" i="116" s="1"/>
  <c r="F16" i="116"/>
  <c r="E16" i="116"/>
  <c r="D16" i="116"/>
  <c r="C16" i="116"/>
  <c r="BV29" i="132" l="1"/>
  <c r="BV40" i="132" s="1"/>
  <c r="BV56" i="132" s="1"/>
  <c r="BV18" i="11" s="1"/>
  <c r="BX39" i="34" s="1"/>
  <c r="BN49" i="11"/>
  <c r="BN23" i="11"/>
  <c r="BP43" i="34"/>
  <c r="BP45" i="34" s="1"/>
  <c r="BO29" i="134"/>
  <c r="BN40" i="134"/>
  <c r="BU19" i="11"/>
  <c r="BW38" i="34"/>
  <c r="BW40" i="34" s="1"/>
  <c r="BN28" i="69"/>
  <c r="BM66" i="34"/>
  <c r="BO40" i="136"/>
  <c r="BO42" i="136" s="1"/>
  <c r="BO21" i="11" s="1"/>
  <c r="BM42" i="134"/>
  <c r="BM25" i="11" s="1"/>
  <c r="BX38" i="34"/>
  <c r="BN48" i="34"/>
  <c r="BN61" i="34" s="1"/>
  <c r="BN63" i="34" s="1"/>
  <c r="BL38" i="11"/>
  <c r="BL40" i="11" s="1"/>
  <c r="BP40" i="133"/>
  <c r="BP42" i="133" s="1"/>
  <c r="BP22" i="11" s="1"/>
  <c r="BR44" i="34" s="1"/>
  <c r="BQ29" i="133"/>
  <c r="L13" i="116"/>
  <c r="M15" i="116"/>
  <c r="L16" i="116"/>
  <c r="H10" i="116"/>
  <c r="H8" i="116"/>
  <c r="BX40" i="34" l="1"/>
  <c r="BV19" i="11"/>
  <c r="BO23" i="11"/>
  <c r="BO49" i="11"/>
  <c r="BQ43" i="34"/>
  <c r="BQ45" i="34" s="1"/>
  <c r="BQ40" i="133"/>
  <c r="BQ42" i="133" s="1"/>
  <c r="BQ22" i="11" s="1"/>
  <c r="BS44" i="34" s="1"/>
  <c r="BR29" i="133"/>
  <c r="BP29" i="134"/>
  <c r="BO40" i="134"/>
  <c r="BP40" i="136"/>
  <c r="BP42" i="136" s="1"/>
  <c r="BP21" i="11" s="1"/>
  <c r="BO28" i="69"/>
  <c r="BN15" i="70" s="1"/>
  <c r="BN66" i="34"/>
  <c r="BO48" i="34"/>
  <c r="BO61" i="34" s="1"/>
  <c r="BO63" i="34" s="1"/>
  <c r="BM38" i="11"/>
  <c r="BM40" i="11" s="1"/>
  <c r="BM74" i="34"/>
  <c r="BM78" i="34" s="1"/>
  <c r="BM82" i="34" s="1"/>
  <c r="BM9" i="70" s="1"/>
  <c r="BM69" i="34"/>
  <c r="BN42" i="134"/>
  <c r="BN25" i="11" s="1"/>
  <c r="M16" i="116"/>
  <c r="M13" i="116"/>
  <c r="L14" i="116"/>
  <c r="Q48" i="69"/>
  <c r="U124" i="81"/>
  <c r="BQ29" i="134" l="1"/>
  <c r="BP40" i="134"/>
  <c r="BO66" i="34"/>
  <c r="BP28" i="69"/>
  <c r="BO15" i="70" s="1"/>
  <c r="BP23" i="11"/>
  <c r="BP49" i="11"/>
  <c r="BR43" i="34"/>
  <c r="BR45" i="34" s="1"/>
  <c r="BN69" i="34"/>
  <c r="BN74" i="34"/>
  <c r="BN78" i="34" s="1"/>
  <c r="BN82" i="34" s="1"/>
  <c r="BN9" i="70" s="1"/>
  <c r="BQ40" i="136"/>
  <c r="BQ42" i="136" s="1"/>
  <c r="BQ21" i="11" s="1"/>
  <c r="BR40" i="133"/>
  <c r="BR42" i="133" s="1"/>
  <c r="BR22" i="11" s="1"/>
  <c r="BT44" i="34" s="1"/>
  <c r="BS29" i="133"/>
  <c r="BP48" i="34"/>
  <c r="BP61" i="34" s="1"/>
  <c r="BP63" i="34" s="1"/>
  <c r="BN38" i="11"/>
  <c r="BN40" i="11" s="1"/>
  <c r="BO42" i="134"/>
  <c r="BO25" i="11" s="1"/>
  <c r="N13" i="116"/>
  <c r="M14" i="116"/>
  <c r="O16" i="116"/>
  <c r="V30" i="70"/>
  <c r="V95" i="81"/>
  <c r="S30" i="70"/>
  <c r="Z124" i="81"/>
  <c r="AA124" i="81"/>
  <c r="AA95" i="81"/>
  <c r="AA100" i="81" s="1"/>
  <c r="AA80" i="81"/>
  <c r="AA35" i="81"/>
  <c r="BP66" i="34" l="1"/>
  <c r="BQ28" i="69"/>
  <c r="BP15" i="70" s="1"/>
  <c r="BR40" i="136"/>
  <c r="BR42" i="136" s="1"/>
  <c r="BR21" i="11" s="1"/>
  <c r="BO74" i="34"/>
  <c r="BO78" i="34" s="1"/>
  <c r="BO82" i="34" s="1"/>
  <c r="BO9" i="70" s="1"/>
  <c r="BO69" i="34"/>
  <c r="BS40" i="133"/>
  <c r="BS42" i="133" s="1"/>
  <c r="BS22" i="11" s="1"/>
  <c r="BU44" i="34" s="1"/>
  <c r="BT29" i="133"/>
  <c r="BP42" i="134"/>
  <c r="BP25" i="11" s="1"/>
  <c r="BQ49" i="11"/>
  <c r="BQ23" i="11"/>
  <c r="BS43" i="34"/>
  <c r="BS45" i="34" s="1"/>
  <c r="BQ48" i="34"/>
  <c r="BQ61" i="34" s="1"/>
  <c r="BQ63" i="34" s="1"/>
  <c r="BO38" i="11"/>
  <c r="BO40" i="11" s="1"/>
  <c r="BR29" i="134"/>
  <c r="BQ40" i="134"/>
  <c r="O13" i="116"/>
  <c r="O14" i="116" s="1"/>
  <c r="N14" i="116"/>
  <c r="AA101" i="81"/>
  <c r="D17" i="34"/>
  <c r="D22" i="34" s="1"/>
  <c r="Q64" i="69"/>
  <c r="G64" i="69"/>
  <c r="H64" i="69"/>
  <c r="I64" i="69"/>
  <c r="J64" i="69"/>
  <c r="K64" i="69"/>
  <c r="L64" i="69"/>
  <c r="M64" i="69"/>
  <c r="N64" i="69"/>
  <c r="O64" i="69"/>
  <c r="P64" i="69"/>
  <c r="F64" i="69"/>
  <c r="D55" i="69"/>
  <c r="E55" i="69"/>
  <c r="D54" i="69"/>
  <c r="E54" i="69"/>
  <c r="D50" i="69"/>
  <c r="E50" i="69"/>
  <c r="D49" i="69"/>
  <c r="E49" i="69"/>
  <c r="D44" i="69"/>
  <c r="E44" i="69"/>
  <c r="D42" i="69"/>
  <c r="E42" i="69"/>
  <c r="D40" i="69"/>
  <c r="E40" i="69"/>
  <c r="D39" i="69"/>
  <c r="E39" i="69"/>
  <c r="D35" i="69"/>
  <c r="E35" i="69"/>
  <c r="D32" i="69"/>
  <c r="E32" i="69"/>
  <c r="D31" i="69"/>
  <c r="E31" i="69"/>
  <c r="D29" i="69"/>
  <c r="E29" i="69"/>
  <c r="D28" i="69"/>
  <c r="E28" i="69"/>
  <c r="D17" i="69"/>
  <c r="E17" i="69"/>
  <c r="D16" i="69"/>
  <c r="E16" i="69"/>
  <c r="D15" i="69"/>
  <c r="E15" i="69"/>
  <c r="I124" i="81"/>
  <c r="I107" i="81"/>
  <c r="I100" i="81"/>
  <c r="I80" i="81"/>
  <c r="I33" i="81"/>
  <c r="I35" i="81" s="1"/>
  <c r="I60" i="81"/>
  <c r="H80" i="81"/>
  <c r="H100" i="81"/>
  <c r="H124" i="81"/>
  <c r="H107" i="81"/>
  <c r="H33" i="81"/>
  <c r="I72" i="81"/>
  <c r="H72" i="81"/>
  <c r="D20" i="69" s="1"/>
  <c r="D22" i="69" s="1"/>
  <c r="H60" i="81"/>
  <c r="H20" i="81"/>
  <c r="D9" i="69" s="1"/>
  <c r="I20" i="81"/>
  <c r="E9" i="69" s="1"/>
  <c r="I12" i="81"/>
  <c r="I17" i="81" s="1"/>
  <c r="E8" i="69" s="1"/>
  <c r="H12" i="81"/>
  <c r="H17" i="81" s="1"/>
  <c r="D8" i="69" s="1"/>
  <c r="BT43" i="34" l="1"/>
  <c r="BT45" i="34" s="1"/>
  <c r="BR49" i="11"/>
  <c r="BR23" i="11"/>
  <c r="BQ66" i="34"/>
  <c r="BR28" i="69"/>
  <c r="BQ15" i="70" s="1"/>
  <c r="BR48" i="34"/>
  <c r="BR61" i="34" s="1"/>
  <c r="BR63" i="34" s="1"/>
  <c r="BP38" i="11"/>
  <c r="BP40" i="11" s="1"/>
  <c r="BS40" i="136"/>
  <c r="BS42" i="136" s="1"/>
  <c r="BS21" i="11" s="1"/>
  <c r="BQ42" i="134"/>
  <c r="BQ25" i="11" s="1"/>
  <c r="BS29" i="134"/>
  <c r="BR40" i="134"/>
  <c r="BT40" i="133"/>
  <c r="BT42" i="133" s="1"/>
  <c r="BT22" i="11" s="1"/>
  <c r="BV44" i="34" s="1"/>
  <c r="BU29" i="133"/>
  <c r="BP69" i="34"/>
  <c r="BP74" i="34"/>
  <c r="BP78" i="34" s="1"/>
  <c r="BP82" i="34" s="1"/>
  <c r="BP9" i="70" s="1"/>
  <c r="H35" i="81"/>
  <c r="H36" i="81" s="1"/>
  <c r="H73" i="81" s="1"/>
  <c r="D24" i="69" s="1"/>
  <c r="D30" i="69"/>
  <c r="D33" i="69" s="1"/>
  <c r="D36" i="69" s="1"/>
  <c r="D18" i="69"/>
  <c r="E11" i="69"/>
  <c r="E12" i="69" s="1"/>
  <c r="I36" i="81"/>
  <c r="I73" i="81" s="1"/>
  <c r="E24" i="69" s="1"/>
  <c r="D11" i="69"/>
  <c r="D12" i="69" s="1"/>
  <c r="E18" i="69"/>
  <c r="E20" i="69"/>
  <c r="E22" i="69" s="1"/>
  <c r="H101" i="81"/>
  <c r="H125" i="81" s="1"/>
  <c r="E30" i="69"/>
  <c r="E33" i="69" s="1"/>
  <c r="E36" i="69" s="1"/>
  <c r="F61" i="69"/>
  <c r="D51" i="69"/>
  <c r="I101" i="81"/>
  <c r="I125" i="81" s="1"/>
  <c r="E52" i="69" s="1"/>
  <c r="BR42" i="134" l="1"/>
  <c r="BR25" i="11" s="1"/>
  <c r="BU40" i="133"/>
  <c r="BU42" i="133" s="1"/>
  <c r="BU22" i="11" s="1"/>
  <c r="BW44" i="34" s="1"/>
  <c r="BV29" i="133"/>
  <c r="BV40" i="133" s="1"/>
  <c r="BV42" i="133" s="1"/>
  <c r="BV22" i="11" s="1"/>
  <c r="BX44" i="34" s="1"/>
  <c r="BT40" i="136"/>
  <c r="BT42" i="136" s="1"/>
  <c r="BT21" i="11" s="1"/>
  <c r="BQ74" i="34"/>
  <c r="BQ78" i="34" s="1"/>
  <c r="BQ82" i="34" s="1"/>
  <c r="BQ9" i="70" s="1"/>
  <c r="BQ69" i="34"/>
  <c r="BS48" i="34"/>
  <c r="BS61" i="34" s="1"/>
  <c r="BS63" i="34" s="1"/>
  <c r="BQ38" i="11"/>
  <c r="BQ40" i="11" s="1"/>
  <c r="BS28" i="69"/>
  <c r="BR15" i="70" s="1"/>
  <c r="BR66" i="34"/>
  <c r="BT29" i="134"/>
  <c r="BS40" i="134"/>
  <c r="BS49" i="11"/>
  <c r="BS23" i="11"/>
  <c r="BU43" i="34"/>
  <c r="BU45" i="34" s="1"/>
  <c r="E53" i="69"/>
  <c r="I126" i="81"/>
  <c r="H126" i="81"/>
  <c r="D52" i="69"/>
  <c r="D53" i="69" s="1"/>
  <c r="X33" i="81"/>
  <c r="X35" i="81" s="1"/>
  <c r="Y124" i="81"/>
  <c r="V124" i="81"/>
  <c r="W124" i="81"/>
  <c r="X124" i="81"/>
  <c r="K124" i="81"/>
  <c r="L124" i="81"/>
  <c r="M124" i="81"/>
  <c r="N124" i="81"/>
  <c r="O124" i="81"/>
  <c r="P124" i="81"/>
  <c r="Q124" i="81"/>
  <c r="R124" i="81"/>
  <c r="S124" i="81"/>
  <c r="T124" i="81"/>
  <c r="J124" i="81"/>
  <c r="K106" i="81"/>
  <c r="L106" i="81"/>
  <c r="M106" i="81"/>
  <c r="N106" i="81"/>
  <c r="O106" i="81"/>
  <c r="P106" i="81"/>
  <c r="Q106" i="81"/>
  <c r="R106" i="81"/>
  <c r="S106" i="81"/>
  <c r="T106" i="81"/>
  <c r="U106" i="81"/>
  <c r="V106" i="81"/>
  <c r="W106" i="81"/>
  <c r="X106" i="81"/>
  <c r="Y106" i="81"/>
  <c r="J106" i="81"/>
  <c r="Y95" i="81"/>
  <c r="Y100" i="81" s="1"/>
  <c r="W95" i="81"/>
  <c r="W100" i="81" s="1"/>
  <c r="X95" i="81"/>
  <c r="X100" i="81" s="1"/>
  <c r="AB100" i="81"/>
  <c r="AD95" i="81"/>
  <c r="AD100" i="81" s="1"/>
  <c r="AD101" i="81" s="1"/>
  <c r="AE95" i="81"/>
  <c r="AE100" i="81" s="1"/>
  <c r="AF95" i="81"/>
  <c r="AF100" i="81" s="1"/>
  <c r="AG95" i="81"/>
  <c r="AG100" i="81" s="1"/>
  <c r="AG101" i="81" s="1"/>
  <c r="AG107" i="81" s="1"/>
  <c r="AG125" i="81" s="1"/>
  <c r="V100" i="81"/>
  <c r="J60" i="81"/>
  <c r="L33" i="81"/>
  <c r="L35" i="81" s="1"/>
  <c r="M33" i="81"/>
  <c r="M35" i="81" s="1"/>
  <c r="N33" i="81"/>
  <c r="N35" i="81" s="1"/>
  <c r="O33" i="81"/>
  <c r="O35" i="81" s="1"/>
  <c r="P33" i="81"/>
  <c r="P35" i="81" s="1"/>
  <c r="Q33" i="81"/>
  <c r="Q35" i="81" s="1"/>
  <c r="R33" i="81"/>
  <c r="R35" i="81" s="1"/>
  <c r="S33" i="81"/>
  <c r="S35" i="81" s="1"/>
  <c r="T33" i="81"/>
  <c r="T35" i="81" s="1"/>
  <c r="U33" i="81"/>
  <c r="U35" i="81" s="1"/>
  <c r="V33" i="81"/>
  <c r="V35" i="81" s="1"/>
  <c r="W33" i="81"/>
  <c r="W35" i="81" s="1"/>
  <c r="K33" i="81"/>
  <c r="K35" i="81" s="1"/>
  <c r="BR69" i="34" l="1"/>
  <c r="BR74" i="34"/>
  <c r="BR78" i="34" s="1"/>
  <c r="BR82" i="34" s="1"/>
  <c r="BR9" i="70" s="1"/>
  <c r="BS42" i="134"/>
  <c r="BS25" i="11" s="1"/>
  <c r="BV40" i="136"/>
  <c r="BV42" i="136" s="1"/>
  <c r="BV21" i="11" s="1"/>
  <c r="BU40" i="136"/>
  <c r="BU42" i="136" s="1"/>
  <c r="BU21" i="11" s="1"/>
  <c r="BT48" i="34"/>
  <c r="BT61" i="34" s="1"/>
  <c r="BT63" i="34" s="1"/>
  <c r="BR38" i="11"/>
  <c r="BR40" i="11" s="1"/>
  <c r="BT40" i="134"/>
  <c r="BU29" i="134"/>
  <c r="BT28" i="69"/>
  <c r="BS15" i="70" s="1"/>
  <c r="BS66" i="34"/>
  <c r="BT23" i="11"/>
  <c r="BV43" i="34"/>
  <c r="BV45" i="34" s="1"/>
  <c r="BT49" i="11"/>
  <c r="T30" i="70"/>
  <c r="U30" i="70"/>
  <c r="R30" i="70"/>
  <c r="P34" i="70"/>
  <c r="BS74" i="34" l="1"/>
  <c r="BS78" i="34" s="1"/>
  <c r="BS82" i="34" s="1"/>
  <c r="BS9" i="70" s="1"/>
  <c r="BS69" i="34"/>
  <c r="BS38" i="11"/>
  <c r="BS40" i="11" s="1"/>
  <c r="BU48" i="34"/>
  <c r="BU61" i="34" s="1"/>
  <c r="BU63" i="34" s="1"/>
  <c r="BV29" i="134"/>
  <c r="BV40" i="134" s="1"/>
  <c r="BU40" i="134"/>
  <c r="BU28" i="69"/>
  <c r="BT15" i="70" s="1"/>
  <c r="BT66" i="34"/>
  <c r="BT42" i="134"/>
  <c r="BT25" i="11" s="1"/>
  <c r="BW43" i="34"/>
  <c r="BW45" i="34" s="1"/>
  <c r="BU23" i="11"/>
  <c r="BU49" i="11"/>
  <c r="BV49" i="11"/>
  <c r="BX43" i="34"/>
  <c r="BX45" i="34" s="1"/>
  <c r="BV23" i="11"/>
  <c r="P76" i="34"/>
  <c r="O76" i="34"/>
  <c r="L76" i="34"/>
  <c r="M76" i="34"/>
  <c r="N76" i="34"/>
  <c r="K76" i="34"/>
  <c r="J76" i="34"/>
  <c r="I76" i="34"/>
  <c r="H76" i="34"/>
  <c r="G76" i="34"/>
  <c r="F76" i="34"/>
  <c r="E76" i="34"/>
  <c r="R1523" i="123"/>
  <c r="BU66" i="34" l="1"/>
  <c r="BV28" i="69"/>
  <c r="BU15" i="70" s="1"/>
  <c r="BT38" i="11"/>
  <c r="BT40" i="11" s="1"/>
  <c r="BV48" i="34"/>
  <c r="BV61" i="34" s="1"/>
  <c r="BV63" i="34" s="1"/>
  <c r="BU42" i="134"/>
  <c r="BU25" i="11" s="1"/>
  <c r="BV42" i="134"/>
  <c r="BV25" i="11" s="1"/>
  <c r="BT74" i="34"/>
  <c r="BT78" i="34" s="1"/>
  <c r="BT82" i="34" s="1"/>
  <c r="BT9" i="70" s="1"/>
  <c r="BT69" i="34"/>
  <c r="S45" i="11"/>
  <c r="P46" i="11"/>
  <c r="P52" i="11" s="1"/>
  <c r="Q52" i="11"/>
  <c r="R52" i="11"/>
  <c r="S52" i="11"/>
  <c r="O52" i="11"/>
  <c r="E25" i="70"/>
  <c r="E37" i="70"/>
  <c r="BU38" i="11" l="1"/>
  <c r="BU40" i="11" s="1"/>
  <c r="BW48" i="34"/>
  <c r="BW61" i="34" s="1"/>
  <c r="BW63" i="34" s="1"/>
  <c r="BU69" i="34"/>
  <c r="BU74" i="34"/>
  <c r="BU78" i="34" s="1"/>
  <c r="BU82" i="34" s="1"/>
  <c r="BU9" i="70" s="1"/>
  <c r="BV38" i="11"/>
  <c r="BV40" i="11" s="1"/>
  <c r="BX48" i="34"/>
  <c r="BX61" i="34" s="1"/>
  <c r="BX63" i="34" s="1"/>
  <c r="BV66" i="34"/>
  <c r="BW28" i="69"/>
  <c r="BV15" i="70" s="1"/>
  <c r="Z95" i="81"/>
  <c r="Z80" i="81"/>
  <c r="Z33" i="81"/>
  <c r="Z35" i="81" s="1"/>
  <c r="Z72" i="81"/>
  <c r="V22" i="70"/>
  <c r="Y20" i="81"/>
  <c r="BV74" i="34" l="1"/>
  <c r="BV78" i="34" s="1"/>
  <c r="BV82" i="34" s="1"/>
  <c r="BV9" i="70" s="1"/>
  <c r="BV69" i="34"/>
  <c r="BY28" i="69"/>
  <c r="BX66" i="34"/>
  <c r="BW66" i="34"/>
  <c r="BX28" i="69"/>
  <c r="Z100" i="81"/>
  <c r="Z101" i="81" s="1"/>
  <c r="Y17" i="81"/>
  <c r="BX74" i="34" l="1"/>
  <c r="BX78" i="34" s="1"/>
  <c r="BX82" i="34" s="1"/>
  <c r="BX69" i="34"/>
  <c r="BW69" i="34"/>
  <c r="BW74" i="34"/>
  <c r="BW78" i="34" s="1"/>
  <c r="BW82" i="34" s="1"/>
  <c r="W1525" i="123"/>
  <c r="W1528" i="123" s="1"/>
  <c r="Q18" i="85" l="1"/>
  <c r="P18" i="85" l="1"/>
  <c r="N32" i="70" l="1"/>
  <c r="N37" i="70" s="1"/>
  <c r="H1523" i="123"/>
  <c r="I1523" i="123"/>
  <c r="J1523" i="123"/>
  <c r="K1523" i="123"/>
  <c r="L1523" i="123"/>
  <c r="M1523" i="123"/>
  <c r="N1523" i="123"/>
  <c r="O1523" i="123"/>
  <c r="P1523" i="123"/>
  <c r="Q1523" i="123"/>
  <c r="G1523" i="123"/>
  <c r="U72" i="81" l="1"/>
  <c r="V72" i="81"/>
  <c r="J95" i="81"/>
  <c r="J100" i="81" s="1"/>
  <c r="K60" i="81" l="1"/>
  <c r="L60" i="81"/>
  <c r="M60" i="81"/>
  <c r="N60" i="81"/>
  <c r="O60" i="81"/>
  <c r="P60" i="81"/>
  <c r="Q60" i="81"/>
  <c r="R60" i="81"/>
  <c r="S60" i="81"/>
  <c r="T60" i="81"/>
  <c r="U60" i="81"/>
  <c r="T95" i="81" l="1"/>
  <c r="T100" i="81" s="1"/>
  <c r="S95" i="81"/>
  <c r="S100" i="81" s="1"/>
  <c r="R95" i="81"/>
  <c r="R100" i="81" s="1"/>
  <c r="Q95" i="81"/>
  <c r="Q100" i="81" s="1"/>
  <c r="P95" i="81"/>
  <c r="P100" i="81" s="1"/>
  <c r="O95" i="81"/>
  <c r="O100" i="81" s="1"/>
  <c r="N95" i="81"/>
  <c r="N100" i="81" s="1"/>
  <c r="M95" i="81"/>
  <c r="M100" i="81" s="1"/>
  <c r="L95" i="81"/>
  <c r="L100" i="81" s="1"/>
  <c r="K95" i="81"/>
  <c r="K100" i="81" s="1"/>
  <c r="T80" i="81"/>
  <c r="S80" i="81"/>
  <c r="R80" i="81"/>
  <c r="Q80" i="81"/>
  <c r="P80" i="81"/>
  <c r="O80" i="81"/>
  <c r="N80" i="81"/>
  <c r="M80" i="81"/>
  <c r="L80" i="81"/>
  <c r="K80" i="81"/>
  <c r="J80" i="81"/>
  <c r="J101" i="81" s="1"/>
  <c r="J107" i="81" s="1"/>
  <c r="T20" i="81"/>
  <c r="T36" i="81" s="1"/>
  <c r="S20" i="81"/>
  <c r="S36" i="81" s="1"/>
  <c r="Q22" i="70"/>
  <c r="S22" i="70"/>
  <c r="R20" i="81"/>
  <c r="R36" i="81" s="1"/>
  <c r="L101" i="81" l="1"/>
  <c r="R22" i="70"/>
  <c r="T101" i="81"/>
  <c r="T107" i="81" s="1"/>
  <c r="T125" i="81" s="1"/>
  <c r="N101" i="81"/>
  <c r="R101" i="81"/>
  <c r="R107" i="81" s="1"/>
  <c r="R125" i="81" s="1"/>
  <c r="P101" i="81"/>
  <c r="Q101" i="81"/>
  <c r="M101" i="81"/>
  <c r="S101" i="81"/>
  <c r="S107" i="81" s="1"/>
  <c r="S125" i="81" s="1"/>
  <c r="O101" i="81"/>
  <c r="K101" i="81"/>
  <c r="AI67" i="107" l="1"/>
  <c r="AJ67" i="107" s="1"/>
  <c r="AI68" i="107"/>
  <c r="AJ68" i="107" s="1"/>
  <c r="AI69" i="107"/>
  <c r="AJ69" i="107" s="1"/>
  <c r="AI70" i="107"/>
  <c r="AJ70" i="107" s="1"/>
  <c r="AI71" i="107"/>
  <c r="AJ71" i="107" s="1"/>
  <c r="AI72" i="107"/>
  <c r="AJ72" i="107" s="1"/>
  <c r="AI73" i="107"/>
  <c r="AJ73" i="107" s="1"/>
  <c r="AI74" i="107"/>
  <c r="AJ74" i="107" s="1"/>
  <c r="AI75" i="107"/>
  <c r="AJ75" i="107" s="1"/>
  <c r="AI76" i="107"/>
  <c r="AJ76" i="107" s="1"/>
  <c r="AI77" i="107"/>
  <c r="AJ77" i="107" s="1"/>
  <c r="AI66" i="107"/>
  <c r="AJ66" i="107" s="1"/>
  <c r="C6" i="11" l="1"/>
  <c r="D6" i="11"/>
  <c r="E6" i="11"/>
  <c r="F6" i="11"/>
  <c r="G6" i="11"/>
  <c r="H6" i="11"/>
  <c r="I6" i="11"/>
  <c r="J6" i="11"/>
  <c r="G1011" i="123"/>
  <c r="J11" i="11" l="1"/>
  <c r="L20" i="34" s="1"/>
  <c r="F11" i="11"/>
  <c r="H20" i="34" s="1"/>
  <c r="I11" i="11"/>
  <c r="K20" i="34" s="1"/>
  <c r="E11" i="11"/>
  <c r="G20" i="34" s="1"/>
  <c r="H11" i="11"/>
  <c r="J20" i="34" s="1"/>
  <c r="D11" i="11"/>
  <c r="F20" i="34" s="1"/>
  <c r="G11" i="11"/>
  <c r="I20" i="34" s="1"/>
  <c r="C11" i="11"/>
  <c r="H60" i="34"/>
  <c r="G60" i="34"/>
  <c r="R1525" i="123"/>
  <c r="N1525" i="123"/>
  <c r="K1525" i="123"/>
  <c r="O1525" i="123"/>
  <c r="M1525" i="123"/>
  <c r="L1525" i="123"/>
  <c r="J1525" i="123"/>
  <c r="K6" i="11"/>
  <c r="L6" i="11"/>
  <c r="M6" i="11"/>
  <c r="N6" i="11"/>
  <c r="K11" i="11" l="1"/>
  <c r="M20" i="34" s="1"/>
  <c r="N11" i="11"/>
  <c r="P20" i="34" s="1"/>
  <c r="M11" i="11"/>
  <c r="O20" i="34" s="1"/>
  <c r="L11" i="11"/>
  <c r="N20" i="34" s="1"/>
  <c r="Q1525" i="123"/>
  <c r="P1525" i="123"/>
  <c r="P60" i="34"/>
  <c r="C19" i="124" l="1"/>
  <c r="S6" i="11" l="1"/>
  <c r="T6" i="11"/>
  <c r="U6" i="11"/>
  <c r="V6" i="11"/>
  <c r="W6" i="11"/>
  <c r="X6" i="11"/>
  <c r="Y6" i="11"/>
  <c r="Z6" i="11"/>
  <c r="AA6" i="11"/>
  <c r="AB6" i="11"/>
  <c r="AC6" i="11"/>
  <c r="AD6" i="11"/>
  <c r="AE6" i="11"/>
  <c r="AF6" i="11"/>
  <c r="AG6" i="11"/>
  <c r="AH6" i="11"/>
  <c r="AI6" i="11"/>
  <c r="AJ6" i="11"/>
  <c r="AK6" i="11"/>
  <c r="AL6" i="11"/>
  <c r="AM6" i="11"/>
  <c r="AN6" i="11"/>
  <c r="AO6" i="11"/>
  <c r="AP6" i="11"/>
  <c r="AQ6" i="11"/>
  <c r="AR6" i="11"/>
  <c r="AS6" i="11"/>
  <c r="AT6" i="11"/>
  <c r="AU6" i="11"/>
  <c r="AV6" i="11"/>
  <c r="AW6" i="11"/>
  <c r="AX6" i="11"/>
  <c r="AY6" i="11"/>
  <c r="AY37" i="11" s="1"/>
  <c r="AZ6" i="11"/>
  <c r="AZ37" i="11" s="1"/>
  <c r="BA6" i="11"/>
  <c r="BA37" i="11" s="1"/>
  <c r="BB6" i="11"/>
  <c r="BB37" i="11" s="1"/>
  <c r="BC6" i="11"/>
  <c r="BC37" i="11" s="1"/>
  <c r="BD6" i="11"/>
  <c r="BD37" i="11" s="1"/>
  <c r="BE6" i="11"/>
  <c r="BE37" i="11" s="1"/>
  <c r="BF6" i="11"/>
  <c r="BF37" i="11" s="1"/>
  <c r="BG6" i="11"/>
  <c r="BG37" i="11" s="1"/>
  <c r="BH6" i="11"/>
  <c r="BH37" i="11" s="1"/>
  <c r="BI6" i="11"/>
  <c r="BI37" i="11" s="1"/>
  <c r="BJ6" i="11"/>
  <c r="BJ37" i="11" s="1"/>
  <c r="O6" i="11"/>
  <c r="P6" i="11"/>
  <c r="Q6" i="11"/>
  <c r="R6" i="11"/>
  <c r="X1525" i="123"/>
  <c r="X1528" i="123" s="1"/>
  <c r="Y1525" i="123"/>
  <c r="Y1528" i="123" s="1"/>
  <c r="Z1525" i="123"/>
  <c r="Z1528" i="123" s="1"/>
  <c r="AB1525" i="123"/>
  <c r="AB1528" i="123" s="1"/>
  <c r="AD1525" i="123"/>
  <c r="AD1528" i="123" s="1"/>
  <c r="AE1525" i="123"/>
  <c r="AF1525" i="123"/>
  <c r="AG1525" i="123"/>
  <c r="AH1525" i="123"/>
  <c r="AI1525" i="123"/>
  <c r="AJ1525" i="123"/>
  <c r="AK1525" i="123"/>
  <c r="AL1525" i="123"/>
  <c r="AM1525" i="123"/>
  <c r="AN1525" i="123"/>
  <c r="AO1525" i="123"/>
  <c r="AP1525" i="123"/>
  <c r="AQ1525" i="123"/>
  <c r="AR1525" i="123"/>
  <c r="AS1525" i="123"/>
  <c r="AT1525" i="123"/>
  <c r="AU1525" i="123"/>
  <c r="AV1525" i="123"/>
  <c r="AW1525" i="123"/>
  <c r="AX1525" i="123"/>
  <c r="AY1525" i="123"/>
  <c r="AZ1525" i="123"/>
  <c r="BA1525" i="123"/>
  <c r="BB1525" i="123"/>
  <c r="BC1525" i="123"/>
  <c r="BD1525" i="123"/>
  <c r="BE1525" i="123"/>
  <c r="BF1525" i="123"/>
  <c r="BG1525" i="123"/>
  <c r="BH1525" i="123"/>
  <c r="BI1525" i="123"/>
  <c r="BJ1525" i="123"/>
  <c r="BK1525" i="123"/>
  <c r="BL1525" i="123"/>
  <c r="BM1525" i="123"/>
  <c r="BN1525" i="123"/>
  <c r="BO1525" i="123"/>
  <c r="V1525" i="123"/>
  <c r="V1528" i="123" s="1"/>
  <c r="Y80" i="81"/>
  <c r="Y101" i="81" s="1"/>
  <c r="Y33" i="81"/>
  <c r="Y35" i="81" s="1"/>
  <c r="AX37" i="11" l="1"/>
  <c r="AX27" i="11"/>
  <c r="AT27" i="11"/>
  <c r="AT37" i="11"/>
  <c r="AP37" i="11"/>
  <c r="AP27" i="11"/>
  <c r="AL36" i="11"/>
  <c r="AL32" i="11"/>
  <c r="AL27" i="11"/>
  <c r="AL37" i="11"/>
  <c r="AH36" i="11"/>
  <c r="AH32" i="11"/>
  <c r="AH27" i="11"/>
  <c r="AH37" i="11"/>
  <c r="AD36" i="11"/>
  <c r="AD32" i="11"/>
  <c r="AD27" i="11"/>
  <c r="AD37" i="11"/>
  <c r="AW27" i="11"/>
  <c r="AW37" i="11"/>
  <c r="AS27" i="11"/>
  <c r="AS37" i="11"/>
  <c r="AO27" i="11"/>
  <c r="AO37" i="11"/>
  <c r="AK36" i="11"/>
  <c r="AK32" i="11"/>
  <c r="AK27" i="11"/>
  <c r="AK37" i="11"/>
  <c r="AG36" i="11"/>
  <c r="AG32" i="11"/>
  <c r="AG27" i="11"/>
  <c r="AG37" i="11"/>
  <c r="AC36" i="11"/>
  <c r="AC32" i="11"/>
  <c r="AC27" i="11"/>
  <c r="AC37" i="11"/>
  <c r="AV27" i="11"/>
  <c r="AV37" i="11"/>
  <c r="AR27" i="11"/>
  <c r="AR37" i="11"/>
  <c r="AN27" i="11"/>
  <c r="AN37" i="11"/>
  <c r="AJ36" i="11"/>
  <c r="AJ32" i="11"/>
  <c r="AJ27" i="11"/>
  <c r="AJ37" i="11"/>
  <c r="AF36" i="11"/>
  <c r="AF32" i="11"/>
  <c r="AF27" i="11"/>
  <c r="AF37" i="11"/>
  <c r="AB36" i="11"/>
  <c r="AB32" i="11"/>
  <c r="AB27" i="11"/>
  <c r="AB37" i="11"/>
  <c r="AU27" i="11"/>
  <c r="AU37" i="11"/>
  <c r="AQ27" i="11"/>
  <c r="AQ37" i="11"/>
  <c r="AM27" i="11"/>
  <c r="AM37" i="11"/>
  <c r="AI36" i="11"/>
  <c r="AI32" i="11"/>
  <c r="AI27" i="11"/>
  <c r="AI37" i="11"/>
  <c r="AE36" i="11"/>
  <c r="AE32" i="11"/>
  <c r="AE27" i="11"/>
  <c r="AE37" i="11"/>
  <c r="AA36" i="11"/>
  <c r="AA32" i="11"/>
  <c r="AA27" i="11"/>
  <c r="AA37" i="11"/>
  <c r="BE32" i="11"/>
  <c r="BE36" i="11"/>
  <c r="AS32" i="11"/>
  <c r="AS36" i="11"/>
  <c r="BJ32" i="11"/>
  <c r="BJ36" i="11"/>
  <c r="BF32" i="11"/>
  <c r="BF36" i="11"/>
  <c r="BB32" i="11"/>
  <c r="BB36" i="11"/>
  <c r="AX32" i="11"/>
  <c r="AX36" i="11"/>
  <c r="AT32" i="11"/>
  <c r="AT36" i="11"/>
  <c r="AP32" i="11"/>
  <c r="AP36" i="11"/>
  <c r="BI32" i="11"/>
  <c r="BI36" i="11"/>
  <c r="BA32" i="11"/>
  <c r="BA36" i="11"/>
  <c r="AO32" i="11"/>
  <c r="AO36" i="11"/>
  <c r="BH36" i="11"/>
  <c r="BH32" i="11"/>
  <c r="BD32" i="11"/>
  <c r="BD36" i="11"/>
  <c r="AZ36" i="11"/>
  <c r="AZ32" i="11"/>
  <c r="AV32" i="11"/>
  <c r="AV36" i="11"/>
  <c r="AR32" i="11"/>
  <c r="AR36" i="11"/>
  <c r="AN32" i="11"/>
  <c r="AN36" i="11"/>
  <c r="AW32" i="11"/>
  <c r="AW36" i="11"/>
  <c r="BG32" i="11"/>
  <c r="BG36" i="11"/>
  <c r="BC32" i="11"/>
  <c r="BC36" i="11"/>
  <c r="AY32" i="11"/>
  <c r="AY36" i="11"/>
  <c r="AU32" i="11"/>
  <c r="AU36" i="11"/>
  <c r="AQ32" i="11"/>
  <c r="AQ36" i="11"/>
  <c r="AM32" i="11"/>
  <c r="AM36" i="11"/>
  <c r="R11" i="11"/>
  <c r="T20" i="34" s="1"/>
  <c r="BJ25" i="11"/>
  <c r="BJ11" i="11"/>
  <c r="BJ8" i="11"/>
  <c r="BJ13" i="11"/>
  <c r="BJ12" i="11"/>
  <c r="BJ9" i="11"/>
  <c r="BF25" i="11"/>
  <c r="BF11" i="11"/>
  <c r="BF8" i="11"/>
  <c r="BF13" i="11"/>
  <c r="BF12" i="11"/>
  <c r="BF9" i="11"/>
  <c r="BB25" i="11"/>
  <c r="BB11" i="11"/>
  <c r="BB8" i="11"/>
  <c r="BB13" i="11"/>
  <c r="BB12" i="11"/>
  <c r="BB9" i="11"/>
  <c r="AX25" i="11"/>
  <c r="AX12" i="11"/>
  <c r="AT25" i="11"/>
  <c r="AT12" i="11"/>
  <c r="AP25" i="11"/>
  <c r="AP12" i="11"/>
  <c r="AL25" i="11"/>
  <c r="AL12" i="11"/>
  <c r="AH25" i="11"/>
  <c r="AH12" i="11"/>
  <c r="AD25" i="11"/>
  <c r="AD12" i="11"/>
  <c r="Z11" i="11"/>
  <c r="AB20" i="34" s="1"/>
  <c r="V11" i="11"/>
  <c r="X20" i="34" s="1"/>
  <c r="Q11" i="11"/>
  <c r="S20" i="34" s="1"/>
  <c r="BI25" i="11"/>
  <c r="BI11" i="11"/>
  <c r="BI13" i="11"/>
  <c r="BI8" i="11"/>
  <c r="BI12" i="11"/>
  <c r="BI9" i="11"/>
  <c r="BE25" i="11"/>
  <c r="BE11" i="11"/>
  <c r="BE12" i="11"/>
  <c r="BE9" i="11"/>
  <c r="BE8" i="11"/>
  <c r="BE13" i="11"/>
  <c r="BA25" i="11"/>
  <c r="BA11" i="11"/>
  <c r="BA8" i="11"/>
  <c r="BA13" i="11"/>
  <c r="BA12" i="11"/>
  <c r="BA9" i="11"/>
  <c r="AW25" i="11"/>
  <c r="AW12" i="11"/>
  <c r="AS25" i="11"/>
  <c r="AS12" i="11"/>
  <c r="AO25" i="11"/>
  <c r="AO12" i="11"/>
  <c r="AK25" i="11"/>
  <c r="AK12" i="11"/>
  <c r="AG25" i="11"/>
  <c r="AG12" i="11"/>
  <c r="AC25" i="11"/>
  <c r="AC12" i="11"/>
  <c r="Y11" i="11"/>
  <c r="AA20" i="34" s="1"/>
  <c r="U11" i="11"/>
  <c r="W20" i="34" s="1"/>
  <c r="P11" i="11"/>
  <c r="R20" i="34" s="1"/>
  <c r="BH25" i="11"/>
  <c r="BH11" i="11"/>
  <c r="BH13" i="11"/>
  <c r="BH12" i="11"/>
  <c r="BH9" i="11"/>
  <c r="BH8" i="11"/>
  <c r="BD25" i="11"/>
  <c r="BD11" i="11"/>
  <c r="BD13" i="11"/>
  <c r="BD12" i="11"/>
  <c r="BD9" i="11"/>
  <c r="BD8" i="11"/>
  <c r="AZ25" i="11"/>
  <c r="AZ11" i="11"/>
  <c r="AZ13" i="11"/>
  <c r="AZ12" i="11"/>
  <c r="AZ8" i="11"/>
  <c r="AV25" i="11"/>
  <c r="AV12" i="11"/>
  <c r="AR25" i="11"/>
  <c r="AR12" i="11"/>
  <c r="AN25" i="11"/>
  <c r="AN12" i="11"/>
  <c r="AJ25" i="11"/>
  <c r="AJ12" i="11"/>
  <c r="AF25" i="11"/>
  <c r="AF12" i="11"/>
  <c r="AB25" i="11"/>
  <c r="AB12" i="11"/>
  <c r="X11" i="11"/>
  <c r="Z20" i="34" s="1"/>
  <c r="T11" i="11"/>
  <c r="V20" i="34" s="1"/>
  <c r="O11" i="11"/>
  <c r="Q20" i="34" s="1"/>
  <c r="BG25" i="11"/>
  <c r="BG11" i="11"/>
  <c r="BG8" i="11"/>
  <c r="BG13" i="11"/>
  <c r="BG12" i="11"/>
  <c r="BG9" i="11"/>
  <c r="BC25" i="11"/>
  <c r="BC11" i="11"/>
  <c r="BC8" i="11"/>
  <c r="BC13" i="11"/>
  <c r="BC12" i="11"/>
  <c r="BC9" i="11"/>
  <c r="AY25" i="11"/>
  <c r="AY11" i="11"/>
  <c r="AY8" i="11"/>
  <c r="AY13" i="11"/>
  <c r="AY12" i="11"/>
  <c r="AU25" i="11"/>
  <c r="AU12" i="11"/>
  <c r="AQ25" i="11"/>
  <c r="AQ12" i="11"/>
  <c r="AM25" i="11"/>
  <c r="AM12" i="11"/>
  <c r="AI25" i="11"/>
  <c r="AI12" i="11"/>
  <c r="AE25" i="11"/>
  <c r="AE12" i="11"/>
  <c r="AA25" i="11"/>
  <c r="AA12" i="11"/>
  <c r="W11" i="11"/>
  <c r="Y20" i="34" s="1"/>
  <c r="S11" i="11"/>
  <c r="U20" i="34" s="1"/>
  <c r="R17" i="11"/>
  <c r="R21" i="11"/>
  <c r="R26" i="11"/>
  <c r="R22" i="11"/>
  <c r="R18" i="11"/>
  <c r="BJ17" i="11"/>
  <c r="BJ21" i="11"/>
  <c r="BJ26" i="11"/>
  <c r="BJ22" i="11"/>
  <c r="BF17" i="11"/>
  <c r="BF21" i="11"/>
  <c r="BF26" i="11"/>
  <c r="BF22" i="11"/>
  <c r="BB17" i="11"/>
  <c r="BB21" i="11"/>
  <c r="BB26" i="11"/>
  <c r="BB22" i="11"/>
  <c r="AX17" i="11"/>
  <c r="AX21" i="11"/>
  <c r="AX26" i="11"/>
  <c r="AX22" i="11"/>
  <c r="AT17" i="11"/>
  <c r="AT21" i="11"/>
  <c r="AT26" i="11"/>
  <c r="AT22" i="11"/>
  <c r="AP17" i="11"/>
  <c r="AP21" i="11"/>
  <c r="AP26" i="11"/>
  <c r="AP22" i="11"/>
  <c r="AL17" i="11"/>
  <c r="AL21" i="11"/>
  <c r="AL26" i="11"/>
  <c r="AL22" i="11"/>
  <c r="AH17" i="11"/>
  <c r="AH21" i="11"/>
  <c r="AH26" i="11"/>
  <c r="AH22" i="11"/>
  <c r="AD17" i="11"/>
  <c r="AD21" i="11"/>
  <c r="AD26" i="11"/>
  <c r="AD22" i="11"/>
  <c r="Z17" i="11"/>
  <c r="Z21" i="11"/>
  <c r="Z26" i="11"/>
  <c r="Z22" i="11"/>
  <c r="Z25" i="11"/>
  <c r="V17" i="11"/>
  <c r="V21" i="11"/>
  <c r="V26" i="11"/>
  <c r="V18" i="11"/>
  <c r="V22" i="11"/>
  <c r="Q22" i="11"/>
  <c r="Q21" i="11"/>
  <c r="Q18" i="11"/>
  <c r="Q26" i="11"/>
  <c r="Q17" i="11"/>
  <c r="BI22" i="11"/>
  <c r="BI21" i="11"/>
  <c r="BI17" i="11"/>
  <c r="BI26" i="11"/>
  <c r="BE22" i="11"/>
  <c r="BE26" i="11"/>
  <c r="BE17" i="11"/>
  <c r="BE21" i="11"/>
  <c r="BA22" i="11"/>
  <c r="BA21" i="11"/>
  <c r="BA17" i="11"/>
  <c r="BA26" i="11"/>
  <c r="AW22" i="11"/>
  <c r="AW26" i="11"/>
  <c r="AW17" i="11"/>
  <c r="AW21" i="11"/>
  <c r="AS22" i="11"/>
  <c r="AS21" i="11"/>
  <c r="AS26" i="11"/>
  <c r="AS17" i="11"/>
  <c r="AO22" i="11"/>
  <c r="AO21" i="11"/>
  <c r="AO26" i="11"/>
  <c r="AO17" i="11"/>
  <c r="AK22" i="11"/>
  <c r="AK21" i="11"/>
  <c r="AK17" i="11"/>
  <c r="AK26" i="11"/>
  <c r="AG22" i="11"/>
  <c r="AG21" i="11"/>
  <c r="AG26" i="11"/>
  <c r="AG17" i="11"/>
  <c r="AC22" i="11"/>
  <c r="AC21" i="11"/>
  <c r="AC17" i="11"/>
  <c r="AC26" i="11"/>
  <c r="Y22" i="11"/>
  <c r="AA44" i="34" s="1"/>
  <c r="Y21" i="11"/>
  <c r="AA43" i="34" s="1"/>
  <c r="Y26" i="11"/>
  <c r="AA49" i="34" s="1"/>
  <c r="Y25" i="11"/>
  <c r="AA48" i="34" s="1"/>
  <c r="U22" i="11"/>
  <c r="U21" i="11"/>
  <c r="U18" i="11"/>
  <c r="U26" i="11"/>
  <c r="U17" i="11"/>
  <c r="P21" i="11"/>
  <c r="P26" i="11"/>
  <c r="P17" i="11"/>
  <c r="P22" i="11"/>
  <c r="P18" i="11"/>
  <c r="BH21" i="11"/>
  <c r="BH26" i="11"/>
  <c r="BH17" i="11"/>
  <c r="BH22" i="11"/>
  <c r="BD21" i="11"/>
  <c r="BD26" i="11"/>
  <c r="BD17" i="11"/>
  <c r="BD22" i="11"/>
  <c r="AZ21" i="11"/>
  <c r="AZ26" i="11"/>
  <c r="AZ17" i="11"/>
  <c r="AZ22" i="11"/>
  <c r="AV21" i="11"/>
  <c r="AV26" i="11"/>
  <c r="AV17" i="11"/>
  <c r="AV22" i="11"/>
  <c r="AR21" i="11"/>
  <c r="AR26" i="11"/>
  <c r="AR17" i="11"/>
  <c r="AR22" i="11"/>
  <c r="AN21" i="11"/>
  <c r="AN26" i="11"/>
  <c r="AN17" i="11"/>
  <c r="AN22" i="11"/>
  <c r="AJ21" i="11"/>
  <c r="AJ26" i="11"/>
  <c r="AJ17" i="11"/>
  <c r="AJ22" i="11"/>
  <c r="AF21" i="11"/>
  <c r="AF26" i="11"/>
  <c r="AF17" i="11"/>
  <c r="AF22" i="11"/>
  <c r="AB21" i="11"/>
  <c r="AB26" i="11"/>
  <c r="AB17" i="11"/>
  <c r="AB22" i="11"/>
  <c r="X21" i="11"/>
  <c r="X26" i="11"/>
  <c r="X17" i="11"/>
  <c r="X22" i="11"/>
  <c r="X18" i="11"/>
  <c r="T21" i="11"/>
  <c r="T26" i="11"/>
  <c r="T17" i="11"/>
  <c r="T18" i="11"/>
  <c r="T22" i="11"/>
  <c r="O18" i="11"/>
  <c r="O22" i="11"/>
  <c r="O21" i="11"/>
  <c r="O17" i="11"/>
  <c r="O26" i="11"/>
  <c r="BG22" i="11"/>
  <c r="BG26" i="11"/>
  <c r="BG21" i="11"/>
  <c r="BG17" i="11"/>
  <c r="BC22" i="11"/>
  <c r="BC17" i="11"/>
  <c r="BC21" i="11"/>
  <c r="BC26" i="11"/>
  <c r="AY22" i="11"/>
  <c r="AY26" i="11"/>
  <c r="AY21" i="11"/>
  <c r="AY17" i="11"/>
  <c r="AU22" i="11"/>
  <c r="AU17" i="11"/>
  <c r="AU21" i="11"/>
  <c r="AU26" i="11"/>
  <c r="AQ22" i="11"/>
  <c r="AQ21" i="11"/>
  <c r="AQ26" i="11"/>
  <c r="AQ17" i="11"/>
  <c r="AM22" i="11"/>
  <c r="AM21" i="11"/>
  <c r="AM17" i="11"/>
  <c r="AM26" i="11"/>
  <c r="AI22" i="11"/>
  <c r="AI21" i="11"/>
  <c r="AI26" i="11"/>
  <c r="AI17" i="11"/>
  <c r="AE22" i="11"/>
  <c r="AE21" i="11"/>
  <c r="AE17" i="11"/>
  <c r="AE26" i="11"/>
  <c r="AA22" i="11"/>
  <c r="AA21" i="11"/>
  <c r="AA26" i="11"/>
  <c r="AA17" i="11"/>
  <c r="W18" i="11"/>
  <c r="W22" i="11"/>
  <c r="W21" i="11"/>
  <c r="W17" i="11"/>
  <c r="W26" i="11"/>
  <c r="S18" i="11"/>
  <c r="S22" i="11"/>
  <c r="S21" i="11"/>
  <c r="S26" i="11"/>
  <c r="S17" i="11"/>
  <c r="R25" i="11"/>
  <c r="S37" i="11"/>
  <c r="U60" i="34" s="1"/>
  <c r="AM28" i="11"/>
  <c r="AM30" i="11"/>
  <c r="AM35" i="11"/>
  <c r="AM29" i="11"/>
  <c r="AM33" i="11"/>
  <c r="AM34" i="11"/>
  <c r="AM31" i="11"/>
  <c r="T22" i="70"/>
  <c r="U22" i="70"/>
  <c r="R37" i="11"/>
  <c r="X80" i="81"/>
  <c r="X101" i="81" s="1"/>
  <c r="X60" i="81"/>
  <c r="X61" i="81" s="1"/>
  <c r="AF106" i="81"/>
  <c r="AE106" i="81"/>
  <c r="AD106" i="81"/>
  <c r="AD107" i="81" s="1"/>
  <c r="AD125" i="81" s="1"/>
  <c r="AB106" i="81"/>
  <c r="AA106" i="81"/>
  <c r="Z106" i="81"/>
  <c r="AF101" i="81"/>
  <c r="AE101" i="81"/>
  <c r="AB101" i="81"/>
  <c r="W80" i="81"/>
  <c r="AF60" i="81"/>
  <c r="AE60" i="81"/>
  <c r="AE61" i="81" s="1"/>
  <c r="AD60" i="81"/>
  <c r="AD61" i="81" s="1"/>
  <c r="AB60" i="81"/>
  <c r="AB61" i="81" s="1"/>
  <c r="AA60" i="81"/>
  <c r="AA61" i="81" s="1"/>
  <c r="Z60" i="81"/>
  <c r="Z61" i="81" s="1"/>
  <c r="Y60" i="81"/>
  <c r="Y61" i="81" s="1"/>
  <c r="AA72" i="81"/>
  <c r="Y72" i="81"/>
  <c r="X72" i="81"/>
  <c r="W72" i="81"/>
  <c r="W60" i="81"/>
  <c r="W61" i="81" s="1"/>
  <c r="AF61" i="81" l="1"/>
  <c r="AA45" i="34"/>
  <c r="AF107" i="81"/>
  <c r="AF125" i="81" s="1"/>
  <c r="AB107" i="81"/>
  <c r="AB125" i="81" s="1"/>
  <c r="AA107" i="81"/>
  <c r="AA125" i="81" s="1"/>
  <c r="AE107" i="81"/>
  <c r="AE125" i="81" s="1"/>
  <c r="Y107" i="81"/>
  <c r="Z107" i="81"/>
  <c r="W101" i="81"/>
  <c r="W107" i="81" s="1"/>
  <c r="X107" i="81"/>
  <c r="R23" i="11"/>
  <c r="R19" i="116"/>
  <c r="Q19" i="116"/>
  <c r="P19" i="116"/>
  <c r="P25" i="11" l="1"/>
  <c r="Q25" i="11"/>
  <c r="P27" i="11"/>
  <c r="Q27" i="11"/>
  <c r="R27" i="11"/>
  <c r="S27" i="11"/>
  <c r="T27" i="11"/>
  <c r="U27" i="11"/>
  <c r="V27" i="11"/>
  <c r="W27" i="11"/>
  <c r="X27" i="11"/>
  <c r="Y27" i="11"/>
  <c r="AA50" i="34" s="1"/>
  <c r="Z27" i="11"/>
  <c r="AY27" i="11"/>
  <c r="AZ27" i="11"/>
  <c r="BA27" i="11"/>
  <c r="BB27" i="11"/>
  <c r="BC27" i="11"/>
  <c r="BD27" i="11"/>
  <c r="BE27" i="11"/>
  <c r="BF27" i="11"/>
  <c r="BG27" i="11"/>
  <c r="BH27" i="11"/>
  <c r="BI27" i="11"/>
  <c r="BJ27" i="11"/>
  <c r="P28" i="11"/>
  <c r="Q28" i="11"/>
  <c r="R28" i="11"/>
  <c r="S28" i="11"/>
  <c r="T28" i="11"/>
  <c r="U28" i="11"/>
  <c r="V28" i="11"/>
  <c r="W28" i="11"/>
  <c r="X28" i="11"/>
  <c r="Y28" i="11"/>
  <c r="AA51" i="34" s="1"/>
  <c r="Z28" i="11"/>
  <c r="AA28" i="11"/>
  <c r="AB28" i="11"/>
  <c r="AC28" i="11"/>
  <c r="AD28" i="11"/>
  <c r="AE28" i="11"/>
  <c r="AF28" i="11"/>
  <c r="AG28" i="11"/>
  <c r="AH28" i="11"/>
  <c r="AI28" i="11"/>
  <c r="AJ28" i="11"/>
  <c r="AK28" i="11"/>
  <c r="AL28" i="11"/>
  <c r="AN28" i="11"/>
  <c r="AO28" i="11"/>
  <c r="AP28" i="11"/>
  <c r="AQ28" i="11"/>
  <c r="AR28" i="11"/>
  <c r="AS28" i="11"/>
  <c r="AT28" i="11"/>
  <c r="AU28" i="11"/>
  <c r="AV28" i="11"/>
  <c r="AW28" i="11"/>
  <c r="AX28" i="11"/>
  <c r="AY28" i="11"/>
  <c r="AZ28" i="11"/>
  <c r="BA28" i="11"/>
  <c r="BB28" i="11"/>
  <c r="BC28" i="11"/>
  <c r="BD28" i="11"/>
  <c r="BE28" i="11"/>
  <c r="BF28" i="11"/>
  <c r="BG28" i="11"/>
  <c r="BH28" i="11"/>
  <c r="BI28" i="11"/>
  <c r="BJ28" i="11"/>
  <c r="P29" i="11"/>
  <c r="Q29" i="11"/>
  <c r="R29" i="11"/>
  <c r="S29" i="11"/>
  <c r="T29" i="11"/>
  <c r="U29" i="11"/>
  <c r="V29" i="11"/>
  <c r="W29" i="11"/>
  <c r="X29" i="11"/>
  <c r="Y29" i="11"/>
  <c r="AA52" i="34" s="1"/>
  <c r="Z29" i="11"/>
  <c r="AA29" i="11"/>
  <c r="AB29" i="11"/>
  <c r="AC29" i="11"/>
  <c r="AD29" i="11"/>
  <c r="AE29" i="11"/>
  <c r="AF29" i="11"/>
  <c r="AG29" i="11"/>
  <c r="AH29" i="11"/>
  <c r="AI29" i="11"/>
  <c r="AJ29" i="11"/>
  <c r="AK29" i="11"/>
  <c r="AL29" i="11"/>
  <c r="AN29" i="11"/>
  <c r="AO29" i="11"/>
  <c r="AP29" i="11"/>
  <c r="AQ29" i="11"/>
  <c r="AR29" i="11"/>
  <c r="AS29" i="11"/>
  <c r="AT29" i="11"/>
  <c r="AU29" i="11"/>
  <c r="AV29" i="11"/>
  <c r="AW29" i="11"/>
  <c r="AX29" i="11"/>
  <c r="AY29" i="11"/>
  <c r="AZ29" i="11"/>
  <c r="BA29" i="11"/>
  <c r="BB29" i="11"/>
  <c r="BC29" i="11"/>
  <c r="BD29" i="11"/>
  <c r="BE29" i="11"/>
  <c r="BF29" i="11"/>
  <c r="BG29" i="11"/>
  <c r="BH29" i="11"/>
  <c r="BI29" i="11"/>
  <c r="BJ29" i="11"/>
  <c r="P30" i="11"/>
  <c r="Q30" i="11"/>
  <c r="R30" i="11"/>
  <c r="S30" i="11"/>
  <c r="T30" i="11"/>
  <c r="U30" i="11"/>
  <c r="V30" i="11"/>
  <c r="W30" i="11"/>
  <c r="X30" i="11"/>
  <c r="Y30" i="11"/>
  <c r="AA53" i="34" s="1"/>
  <c r="Z30" i="11"/>
  <c r="AA30" i="11"/>
  <c r="AB30" i="11"/>
  <c r="AC30" i="11"/>
  <c r="AD30" i="11"/>
  <c r="AE30" i="11"/>
  <c r="AF30" i="11"/>
  <c r="AG30" i="11"/>
  <c r="AH30" i="11"/>
  <c r="AI30" i="11"/>
  <c r="AJ30" i="11"/>
  <c r="AK30" i="11"/>
  <c r="AL30" i="11"/>
  <c r="AN30" i="11"/>
  <c r="AO30" i="11"/>
  <c r="AP30" i="11"/>
  <c r="AQ30" i="11"/>
  <c r="AR30" i="11"/>
  <c r="AS30" i="11"/>
  <c r="AT30" i="11"/>
  <c r="AU30" i="11"/>
  <c r="AV30" i="11"/>
  <c r="AW30" i="11"/>
  <c r="AX30" i="11"/>
  <c r="AY30" i="11"/>
  <c r="AZ30" i="11"/>
  <c r="BA30" i="11"/>
  <c r="BB30" i="11"/>
  <c r="BC30" i="11"/>
  <c r="BD30" i="11"/>
  <c r="BE30" i="11"/>
  <c r="BF30" i="11"/>
  <c r="BG30" i="11"/>
  <c r="BH30" i="11"/>
  <c r="BI30" i="11"/>
  <c r="BJ30" i="11"/>
  <c r="P31" i="11"/>
  <c r="Q31" i="11"/>
  <c r="R31" i="11"/>
  <c r="S31" i="11"/>
  <c r="T31" i="11"/>
  <c r="U31" i="11"/>
  <c r="V31" i="11"/>
  <c r="W31" i="11"/>
  <c r="X31" i="11"/>
  <c r="Y31" i="11"/>
  <c r="AA54" i="34" s="1"/>
  <c r="Z31" i="11"/>
  <c r="AA31" i="11"/>
  <c r="AB31" i="11"/>
  <c r="AC31" i="11"/>
  <c r="AD31" i="11"/>
  <c r="AE31" i="11"/>
  <c r="AF31" i="11"/>
  <c r="AG31" i="11"/>
  <c r="AH31" i="11"/>
  <c r="AI31" i="11"/>
  <c r="AJ31" i="11"/>
  <c r="AK31" i="11"/>
  <c r="AL31" i="11"/>
  <c r="AN31" i="11"/>
  <c r="AO31" i="11"/>
  <c r="AP31" i="11"/>
  <c r="AQ31" i="11"/>
  <c r="AR31" i="11"/>
  <c r="AS31" i="11"/>
  <c r="AT31" i="11"/>
  <c r="AU31" i="11"/>
  <c r="AV31" i="11"/>
  <c r="AW31" i="11"/>
  <c r="AX31" i="11"/>
  <c r="AY31" i="11"/>
  <c r="AZ31" i="11"/>
  <c r="BA31" i="11"/>
  <c r="BB31" i="11"/>
  <c r="BC31" i="11"/>
  <c r="BD31" i="11"/>
  <c r="BE31" i="11"/>
  <c r="BF31" i="11"/>
  <c r="BG31" i="11"/>
  <c r="BH31" i="11"/>
  <c r="BI31" i="11"/>
  <c r="BJ31" i="11"/>
  <c r="P32" i="11"/>
  <c r="Q32" i="11"/>
  <c r="R32" i="11"/>
  <c r="S32" i="11"/>
  <c r="T32" i="11"/>
  <c r="U32" i="11"/>
  <c r="V32" i="11"/>
  <c r="W32" i="11"/>
  <c r="X32" i="11"/>
  <c r="Y32" i="11"/>
  <c r="AA55" i="34" s="1"/>
  <c r="Z32" i="11"/>
  <c r="P33" i="11"/>
  <c r="Q33" i="11"/>
  <c r="R33" i="11"/>
  <c r="S33" i="11"/>
  <c r="T33" i="11"/>
  <c r="U33" i="11"/>
  <c r="V33" i="11"/>
  <c r="W33" i="11"/>
  <c r="X33" i="11"/>
  <c r="Y33" i="11"/>
  <c r="AA56" i="34" s="1"/>
  <c r="Z33" i="11"/>
  <c r="AA33" i="11"/>
  <c r="AB33" i="11"/>
  <c r="AC33" i="11"/>
  <c r="AD33" i="11"/>
  <c r="AE33" i="11"/>
  <c r="AF33" i="11"/>
  <c r="AG33" i="11"/>
  <c r="AH33" i="11"/>
  <c r="AI33" i="11"/>
  <c r="AJ33" i="11"/>
  <c r="AK33" i="11"/>
  <c r="AL33" i="11"/>
  <c r="AN33" i="11"/>
  <c r="AO33" i="11"/>
  <c r="AP33" i="11"/>
  <c r="AQ33" i="11"/>
  <c r="AR33" i="11"/>
  <c r="AS33" i="11"/>
  <c r="AT33" i="11"/>
  <c r="AU33" i="11"/>
  <c r="AV33" i="11"/>
  <c r="AW33" i="11"/>
  <c r="AX33" i="11"/>
  <c r="AY33" i="11"/>
  <c r="AZ33" i="11"/>
  <c r="BA33" i="11"/>
  <c r="BB33" i="11"/>
  <c r="BC33" i="11"/>
  <c r="BD33" i="11"/>
  <c r="BE33" i="11"/>
  <c r="BF33" i="11"/>
  <c r="BG33" i="11"/>
  <c r="BH33" i="11"/>
  <c r="BI33" i="11"/>
  <c r="BJ33" i="11"/>
  <c r="P34" i="11"/>
  <c r="Q34" i="11"/>
  <c r="R34" i="11"/>
  <c r="S34" i="11"/>
  <c r="T34" i="11"/>
  <c r="U34" i="11"/>
  <c r="V34" i="11"/>
  <c r="W34" i="11"/>
  <c r="X34" i="11"/>
  <c r="Y34" i="11"/>
  <c r="AA57" i="34" s="1"/>
  <c r="Z34" i="11"/>
  <c r="AA34" i="11"/>
  <c r="AB34" i="11"/>
  <c r="AC34" i="11"/>
  <c r="AD34" i="11"/>
  <c r="AE34" i="11"/>
  <c r="AF34" i="11"/>
  <c r="AG34" i="11"/>
  <c r="AH34" i="11"/>
  <c r="AI34" i="11"/>
  <c r="AJ34" i="11"/>
  <c r="AK34" i="11"/>
  <c r="AL34" i="11"/>
  <c r="AN34" i="11"/>
  <c r="AO34" i="11"/>
  <c r="AP34" i="11"/>
  <c r="AQ34" i="11"/>
  <c r="AR34" i="11"/>
  <c r="AS34" i="11"/>
  <c r="AT34" i="11"/>
  <c r="AU34" i="11"/>
  <c r="AV34" i="11"/>
  <c r="AW34" i="11"/>
  <c r="AX34" i="11"/>
  <c r="AY34" i="11"/>
  <c r="AZ34" i="11"/>
  <c r="BA34" i="11"/>
  <c r="BB34" i="11"/>
  <c r="BC34" i="11"/>
  <c r="BD34" i="11"/>
  <c r="BE34" i="11"/>
  <c r="BF34" i="11"/>
  <c r="BG34" i="11"/>
  <c r="BH34" i="11"/>
  <c r="BI34" i="11"/>
  <c r="BJ34" i="11"/>
  <c r="P35" i="11"/>
  <c r="Q35" i="11"/>
  <c r="R35" i="11"/>
  <c r="S35" i="11"/>
  <c r="T35" i="11"/>
  <c r="U35" i="11"/>
  <c r="V35" i="11"/>
  <c r="W35" i="11"/>
  <c r="X35" i="11"/>
  <c r="Y35" i="11"/>
  <c r="AA58" i="34" s="1"/>
  <c r="Z35" i="11"/>
  <c r="AA35" i="11"/>
  <c r="AB35" i="11"/>
  <c r="AC35" i="11"/>
  <c r="AD35" i="11"/>
  <c r="AE35" i="11"/>
  <c r="AF35" i="11"/>
  <c r="AG35" i="11"/>
  <c r="AH35" i="11"/>
  <c r="AI35" i="11"/>
  <c r="AJ35" i="11"/>
  <c r="AK35" i="11"/>
  <c r="AL35" i="11"/>
  <c r="AN35" i="11"/>
  <c r="AO35" i="11"/>
  <c r="AP35" i="11"/>
  <c r="AQ35" i="11"/>
  <c r="AR35" i="11"/>
  <c r="AS35" i="11"/>
  <c r="AT35" i="11"/>
  <c r="AU35" i="11"/>
  <c r="AV35" i="11"/>
  <c r="AW35" i="11"/>
  <c r="AX35" i="11"/>
  <c r="AY35" i="11"/>
  <c r="AZ35" i="11"/>
  <c r="BA35" i="11"/>
  <c r="BB35" i="11"/>
  <c r="BC35" i="11"/>
  <c r="BD35" i="11"/>
  <c r="BE35" i="11"/>
  <c r="BF35" i="11"/>
  <c r="BG35" i="11"/>
  <c r="BH35" i="11"/>
  <c r="BI35" i="11"/>
  <c r="BJ35" i="11"/>
  <c r="P36" i="11"/>
  <c r="Q36" i="11"/>
  <c r="R36" i="11"/>
  <c r="S36" i="11"/>
  <c r="T36" i="11"/>
  <c r="U36" i="11"/>
  <c r="V36" i="11"/>
  <c r="W36" i="11"/>
  <c r="X36" i="11"/>
  <c r="Y36" i="11"/>
  <c r="AA59" i="34" s="1"/>
  <c r="Z36" i="11"/>
  <c r="P37" i="11"/>
  <c r="Q37" i="11"/>
  <c r="T37" i="11"/>
  <c r="U37" i="11"/>
  <c r="V37" i="11"/>
  <c r="W37" i="11"/>
  <c r="X37" i="11"/>
  <c r="Y37" i="11"/>
  <c r="AA60" i="34" s="1"/>
  <c r="Z37" i="11"/>
  <c r="O37" i="11"/>
  <c r="O36" i="11"/>
  <c r="O35" i="11"/>
  <c r="O34" i="11"/>
  <c r="O33" i="11"/>
  <c r="O32" i="11"/>
  <c r="O31" i="11"/>
  <c r="O30" i="11"/>
  <c r="O29" i="11"/>
  <c r="O28" i="11"/>
  <c r="O27" i="11"/>
  <c r="O25" i="11"/>
  <c r="AA61" i="34" l="1"/>
  <c r="P23" i="11"/>
  <c r="Q23" i="11"/>
  <c r="U1525" i="123"/>
  <c r="U1528" i="123" s="1"/>
  <c r="N1534" i="123"/>
  <c r="M1534" i="123"/>
  <c r="L1534" i="123"/>
  <c r="K1534" i="123"/>
  <c r="J1534" i="123"/>
  <c r="I1534" i="123"/>
  <c r="H1534" i="123"/>
  <c r="G1534" i="123"/>
  <c r="T1525" i="123" l="1"/>
  <c r="T1528" i="123" s="1"/>
  <c r="S1525" i="123"/>
  <c r="S1528" i="123" s="1"/>
  <c r="G8" i="116" l="1"/>
  <c r="F8" i="116"/>
  <c r="E8" i="116"/>
  <c r="D8" i="116"/>
  <c r="C8" i="116"/>
  <c r="E10" i="116" l="1"/>
  <c r="F10" i="116"/>
  <c r="G10" i="116"/>
  <c r="D10" i="116"/>
  <c r="C10" i="116"/>
  <c r="G62" i="85" l="1"/>
  <c r="R22" i="85" s="1"/>
  <c r="G61" i="85"/>
  <c r="Q22" i="85" s="1"/>
  <c r="G22" i="85" l="1"/>
  <c r="F22" i="85"/>
  <c r="E22" i="85"/>
  <c r="D22" i="85"/>
  <c r="C22" i="85"/>
  <c r="F59" i="85"/>
  <c r="AK45" i="116" s="1"/>
  <c r="E59" i="85"/>
  <c r="AJ45" i="116" s="1"/>
  <c r="D59" i="85"/>
  <c r="AI45" i="116" s="1"/>
  <c r="C59" i="85"/>
  <c r="AH45" i="116" s="1"/>
  <c r="AG45" i="116" l="1"/>
  <c r="G59" i="85"/>
  <c r="Q12" i="85"/>
  <c r="G47" i="85"/>
  <c r="G48" i="85"/>
  <c r="G49" i="85"/>
  <c r="F46" i="85"/>
  <c r="E46" i="85"/>
  <c r="D46" i="85"/>
  <c r="C46" i="85"/>
  <c r="G46" i="85" l="1"/>
  <c r="Q13" i="85"/>
  <c r="Q14" i="85" l="1"/>
  <c r="Q19" i="85"/>
  <c r="P13" i="85"/>
  <c r="P14" i="85" l="1"/>
  <c r="P19" i="85"/>
  <c r="C38" i="85"/>
  <c r="B9" i="107" l="1"/>
  <c r="U94" i="81" l="1"/>
  <c r="U80" i="81"/>
  <c r="U17" i="81"/>
  <c r="AG20" i="81"/>
  <c r="AG36" i="81" s="1"/>
  <c r="AF20" i="81"/>
  <c r="AE20" i="81"/>
  <c r="AD20" i="81"/>
  <c r="AB20" i="81"/>
  <c r="AA20" i="81"/>
  <c r="Z20" i="81"/>
  <c r="X20" i="81"/>
  <c r="W20" i="81"/>
  <c r="V20" i="81"/>
  <c r="AA17" i="81"/>
  <c r="Z17" i="81"/>
  <c r="X17" i="81"/>
  <c r="W17" i="81"/>
  <c r="R73" i="81"/>
  <c r="R126" i="81" s="1"/>
  <c r="S73" i="81"/>
  <c r="S126" i="81" s="1"/>
  <c r="T73" i="81"/>
  <c r="T126" i="81" s="1"/>
  <c r="V60" i="81"/>
  <c r="V61" i="81" s="1"/>
  <c r="V17" i="81"/>
  <c r="V80" i="81"/>
  <c r="AG38" i="81" l="1"/>
  <c r="AG73" i="81"/>
  <c r="AG126" i="81" s="1"/>
  <c r="AF36" i="81"/>
  <c r="AB36" i="81"/>
  <c r="AB38" i="81" s="1"/>
  <c r="U95" i="81"/>
  <c r="AD36" i="81"/>
  <c r="AA36" i="81"/>
  <c r="AE36" i="81"/>
  <c r="Z36" i="81"/>
  <c r="W36" i="81"/>
  <c r="X36" i="81"/>
  <c r="V36" i="81"/>
  <c r="V101" i="81"/>
  <c r="V107" i="81" s="1"/>
  <c r="AF38" i="81" l="1"/>
  <c r="AF73" i="81"/>
  <c r="AF126" i="81" s="1"/>
  <c r="AD73" i="81"/>
  <c r="AD126" i="81" s="1"/>
  <c r="AD38" i="81"/>
  <c r="V73" i="81"/>
  <c r="V38" i="81"/>
  <c r="X73" i="81"/>
  <c r="X38" i="81"/>
  <c r="W73" i="81"/>
  <c r="W38" i="81"/>
  <c r="AA73" i="81"/>
  <c r="AA126" i="81" s="1"/>
  <c r="AA38" i="81"/>
  <c r="Z73" i="81"/>
  <c r="Z38" i="81"/>
  <c r="AE38" i="81"/>
  <c r="AE73" i="81"/>
  <c r="AE126" i="81" s="1"/>
  <c r="AB73" i="81"/>
  <c r="AB126" i="81" s="1"/>
  <c r="U100" i="81"/>
  <c r="U101" i="81" s="1"/>
  <c r="U107" i="81" s="1"/>
  <c r="U125" i="81" s="1"/>
  <c r="U36" i="81"/>
  <c r="U73" i="81" s="1"/>
  <c r="U126" i="81" l="1"/>
  <c r="T74" i="109"/>
  <c r="C79" i="115" l="1"/>
  <c r="AB28" i="115" l="1"/>
  <c r="AC29" i="115"/>
  <c r="C77" i="115"/>
  <c r="C81" i="115" s="1"/>
  <c r="O65" i="115" s="1"/>
  <c r="P65" i="115" s="1"/>
  <c r="Q65" i="115" s="1"/>
  <c r="R65" i="115" s="1"/>
  <c r="S65" i="115" s="1"/>
  <c r="T65" i="115" s="1"/>
  <c r="U65" i="115" s="1"/>
  <c r="V65" i="115" s="1"/>
  <c r="W65" i="115" s="1"/>
  <c r="X65" i="115" s="1"/>
  <c r="Y65" i="115" s="1"/>
  <c r="Z65" i="115" s="1"/>
  <c r="AA65" i="115" s="1"/>
  <c r="AB65" i="115" s="1"/>
  <c r="AC65" i="115" s="1"/>
  <c r="AD65" i="115" s="1"/>
  <c r="AE65" i="115" s="1"/>
  <c r="AF65" i="115" s="1"/>
  <c r="AG65" i="115" s="1"/>
  <c r="AH65" i="115" s="1"/>
  <c r="AI65" i="115" s="1"/>
  <c r="AJ65" i="115" s="1"/>
  <c r="AK65" i="115" s="1"/>
  <c r="AM55" i="107"/>
  <c r="AL55" i="107"/>
  <c r="AK55" i="107"/>
  <c r="AJ55" i="107"/>
  <c r="AI55" i="107"/>
  <c r="AH55" i="107"/>
  <c r="AG55" i="107"/>
  <c r="AF55" i="107"/>
  <c r="AE55" i="107"/>
  <c r="AD55" i="107"/>
  <c r="AC55" i="107"/>
  <c r="AB55" i="107"/>
  <c r="AA55" i="107"/>
  <c r="Z55" i="107"/>
  <c r="Y55" i="107"/>
  <c r="X55" i="107"/>
  <c r="W55" i="107"/>
  <c r="V55" i="107"/>
  <c r="U55" i="107"/>
  <c r="T55" i="107"/>
  <c r="S55" i="107"/>
  <c r="Q14" i="125" s="1"/>
  <c r="R55" i="107"/>
  <c r="P14" i="125" s="1"/>
  <c r="P55" i="107"/>
  <c r="N14" i="125" s="1"/>
  <c r="O73" i="115"/>
  <c r="P73" i="115" s="1"/>
  <c r="N63" i="125" l="1"/>
  <c r="O15" i="125"/>
  <c r="Q15" i="125"/>
  <c r="R16" i="125" s="1"/>
  <c r="S17" i="125" s="1"/>
  <c r="T18" i="125" s="1"/>
  <c r="U19" i="125" s="1"/>
  <c r="V20" i="125" s="1"/>
  <c r="W21" i="125" s="1"/>
  <c r="X22" i="125" s="1"/>
  <c r="Y23" i="125" s="1"/>
  <c r="Z24" i="125" s="1"/>
  <c r="AA25" i="125" s="1"/>
  <c r="AB26" i="125" s="1"/>
  <c r="R15" i="125"/>
  <c r="S16" i="125" s="1"/>
  <c r="T17" i="125" s="1"/>
  <c r="U18" i="125" s="1"/>
  <c r="V19" i="125" s="1"/>
  <c r="W20" i="125" s="1"/>
  <c r="X21" i="125" s="1"/>
  <c r="Y22" i="125" s="1"/>
  <c r="Z23" i="125" s="1"/>
  <c r="AA24" i="125" s="1"/>
  <c r="AB25" i="125" s="1"/>
  <c r="AC26" i="125" s="1"/>
  <c r="Q14" i="115"/>
  <c r="N14" i="115"/>
  <c r="O15" i="115" s="1"/>
  <c r="P16" i="115" s="1"/>
  <c r="Q17" i="115" s="1"/>
  <c r="R18" i="115" s="1"/>
  <c r="S19" i="115" s="1"/>
  <c r="T20" i="115" s="1"/>
  <c r="U21" i="115" s="1"/>
  <c r="V22" i="115" s="1"/>
  <c r="W23" i="115" s="1"/>
  <c r="X24" i="115" s="1"/>
  <c r="Y25" i="115" s="1"/>
  <c r="D38" i="85"/>
  <c r="N66" i="115"/>
  <c r="Q7" i="67" s="1"/>
  <c r="AR41" i="125" l="1"/>
  <c r="AN37" i="125"/>
  <c r="AJ33" i="125"/>
  <c r="AS42" i="125"/>
  <c r="AD27" i="125"/>
  <c r="AH31" i="125"/>
  <c r="AQ40" i="125"/>
  <c r="AU44" i="125"/>
  <c r="AK34" i="125"/>
  <c r="AT43" i="125"/>
  <c r="AW46" i="125"/>
  <c r="AM36" i="125"/>
  <c r="AI32" i="125"/>
  <c r="AG30" i="125"/>
  <c r="AV45" i="125"/>
  <c r="AP39" i="125"/>
  <c r="AL35" i="125"/>
  <c r="AF29" i="125"/>
  <c r="AO38" i="125"/>
  <c r="AE28" i="125"/>
  <c r="P16" i="125"/>
  <c r="O63" i="125"/>
  <c r="O66" i="125" s="1"/>
  <c r="Z26" i="115"/>
  <c r="O69" i="125" l="1"/>
  <c r="Q17" i="125"/>
  <c r="P63" i="125"/>
  <c r="P66" i="125" s="1"/>
  <c r="AA27" i="115"/>
  <c r="AR43" i="115"/>
  <c r="AO40" i="115"/>
  <c r="AW48" i="115"/>
  <c r="AQ42" i="115"/>
  <c r="AP41" i="115"/>
  <c r="AS44" i="115"/>
  <c r="AU46" i="115"/>
  <c r="AT45" i="115"/>
  <c r="AM38" i="115"/>
  <c r="AL37" i="115"/>
  <c r="AV47" i="115"/>
  <c r="AN39" i="115"/>
  <c r="P69" i="125" l="1"/>
  <c r="R18" i="125"/>
  <c r="S19" i="125" s="1"/>
  <c r="T20" i="125" s="1"/>
  <c r="U21" i="125" s="1"/>
  <c r="V22" i="125" s="1"/>
  <c r="W23" i="125" s="1"/>
  <c r="X24" i="125" s="1"/>
  <c r="Y25" i="125" s="1"/>
  <c r="Z26" i="125" s="1"/>
  <c r="Q63" i="125"/>
  <c r="Q66" i="125" s="1"/>
  <c r="Q69" i="125" l="1"/>
  <c r="AO40" i="125"/>
  <c r="AU46" i="125"/>
  <c r="AK36" i="125"/>
  <c r="AG32" i="125"/>
  <c r="AA27" i="125"/>
  <c r="AC28" i="125"/>
  <c r="AQ42" i="125"/>
  <c r="AM38" i="125"/>
  <c r="AS44" i="125"/>
  <c r="AV47" i="125"/>
  <c r="AL37" i="125"/>
  <c r="AP41" i="125"/>
  <c r="AR43" i="125"/>
  <c r="AN39" i="125"/>
  <c r="AJ35" i="125"/>
  <c r="AF31" i="125"/>
  <c r="AE30" i="125"/>
  <c r="AW48" i="125"/>
  <c r="AI34" i="125"/>
  <c r="AB27" i="125"/>
  <c r="AT45" i="125"/>
  <c r="AH33" i="125"/>
  <c r="AD29" i="125"/>
  <c r="M66" i="109" l="1"/>
  <c r="D27" i="61" l="1"/>
  <c r="P31" i="70" l="1"/>
  <c r="L66" i="109"/>
  <c r="G66" i="109" l="1"/>
  <c r="H66" i="109"/>
  <c r="I66" i="109"/>
  <c r="J66" i="109"/>
  <c r="K66" i="109" l="1"/>
  <c r="K65" i="109" s="1"/>
  <c r="M103" i="107" l="1"/>
  <c r="M104" i="107"/>
  <c r="M105" i="107"/>
  <c r="M106" i="107"/>
  <c r="M102" i="107"/>
  <c r="T102" i="107" l="1"/>
  <c r="U102" i="107"/>
  <c r="V102" i="107"/>
  <c r="W102" i="107"/>
  <c r="X102" i="107"/>
  <c r="S102" i="107"/>
  <c r="D53" i="107"/>
  <c r="C37" i="85" l="1"/>
  <c r="C36" i="85"/>
  <c r="C35" i="85"/>
  <c r="P102" i="107"/>
  <c r="C3" i="11"/>
  <c r="B9" i="109"/>
  <c r="C9" i="109" s="1"/>
  <c r="D9" i="109" s="1"/>
  <c r="E9" i="109" s="1"/>
  <c r="F9" i="109" s="1"/>
  <c r="G9" i="109" s="1"/>
  <c r="H9" i="109" s="1"/>
  <c r="I9" i="109" s="1"/>
  <c r="J9" i="109" s="1"/>
  <c r="N55" i="69"/>
  <c r="O55" i="69"/>
  <c r="Q28" i="34"/>
  <c r="R28" i="34"/>
  <c r="S28" i="34"/>
  <c r="P55" i="69"/>
  <c r="E54" i="70"/>
  <c r="E55" i="70" s="1"/>
  <c r="F54" i="70"/>
  <c r="F55" i="70" s="1"/>
  <c r="G54" i="70"/>
  <c r="G55" i="70" s="1"/>
  <c r="H54" i="70"/>
  <c r="H55" i="70" s="1"/>
  <c r="I54" i="70"/>
  <c r="J54" i="70"/>
  <c r="J55" i="70" s="1"/>
  <c r="K54" i="70"/>
  <c r="L54" i="70"/>
  <c r="L55" i="70" s="1"/>
  <c r="M54" i="70"/>
  <c r="N54" i="70"/>
  <c r="O54" i="70"/>
  <c r="O55" i="70" s="1"/>
  <c r="P54" i="70"/>
  <c r="Q54" i="70"/>
  <c r="R54" i="70"/>
  <c r="S54" i="70"/>
  <c r="T54" i="70"/>
  <c r="U54" i="70"/>
  <c r="V54" i="70"/>
  <c r="W54" i="70"/>
  <c r="X54" i="70"/>
  <c r="Y54" i="70"/>
  <c r="Z54" i="70"/>
  <c r="AA54" i="70"/>
  <c r="AB54" i="70"/>
  <c r="AC54" i="70"/>
  <c r="AD54" i="70"/>
  <c r="AE54" i="70"/>
  <c r="AF54" i="70"/>
  <c r="AG54" i="70"/>
  <c r="AH54" i="70"/>
  <c r="AI54" i="70"/>
  <c r="AJ54" i="70"/>
  <c r="AK54" i="70"/>
  <c r="AL54" i="70"/>
  <c r="AM54" i="70"/>
  <c r="AN54" i="70"/>
  <c r="M55" i="70"/>
  <c r="N55" i="70"/>
  <c r="P3" i="69"/>
  <c r="P11" i="69" s="1"/>
  <c r="Q3" i="69"/>
  <c r="O3" i="69"/>
  <c r="O11" i="69" s="1"/>
  <c r="N3" i="69"/>
  <c r="N11" i="69" s="1"/>
  <c r="M3" i="69"/>
  <c r="M11" i="69" s="1"/>
  <c r="Q55" i="69"/>
  <c r="B15" i="118"/>
  <c r="P35" i="69"/>
  <c r="R3" i="69"/>
  <c r="R29" i="69" s="1"/>
  <c r="S3" i="69"/>
  <c r="T3" i="69"/>
  <c r="U3" i="69"/>
  <c r="V3" i="69"/>
  <c r="V31" i="69" s="1"/>
  <c r="W3" i="69"/>
  <c r="W31" i="69" s="1"/>
  <c r="X3" i="69"/>
  <c r="Y3" i="69"/>
  <c r="Z3" i="69"/>
  <c r="AA3" i="69"/>
  <c r="AB3" i="69"/>
  <c r="AC3" i="69"/>
  <c r="AD3" i="69"/>
  <c r="AE3" i="69"/>
  <c r="AF3" i="69"/>
  <c r="AG3" i="69"/>
  <c r="AH3" i="69"/>
  <c r="AI3" i="69"/>
  <c r="AJ3" i="69"/>
  <c r="AK3" i="69"/>
  <c r="AL3" i="69"/>
  <c r="AM3" i="69"/>
  <c r="AN3" i="69"/>
  <c r="AO3" i="69"/>
  <c r="R55" i="69"/>
  <c r="S55" i="69"/>
  <c r="T55" i="69"/>
  <c r="U55" i="69"/>
  <c r="V55" i="69"/>
  <c r="W55" i="69"/>
  <c r="X55" i="69"/>
  <c r="Y55" i="69"/>
  <c r="AA55" i="69"/>
  <c r="AB55" i="69"/>
  <c r="AC55" i="69"/>
  <c r="AD55" i="69"/>
  <c r="AE55" i="69"/>
  <c r="AF55" i="69"/>
  <c r="AG55" i="69"/>
  <c r="AH55" i="69"/>
  <c r="AI55" i="69"/>
  <c r="AJ55" i="69"/>
  <c r="AK55" i="69"/>
  <c r="AL55" i="69"/>
  <c r="AM55" i="69"/>
  <c r="AN55" i="69"/>
  <c r="AO55" i="69"/>
  <c r="B16" i="118"/>
  <c r="B7" i="118"/>
  <c r="F3" i="118" s="1"/>
  <c r="F3" i="69"/>
  <c r="F11" i="69" s="1"/>
  <c r="G3" i="69"/>
  <c r="G11" i="69" s="1"/>
  <c r="H3" i="69"/>
  <c r="H11" i="69" s="1"/>
  <c r="I3" i="69"/>
  <c r="I11" i="69" s="1"/>
  <c r="J3" i="69"/>
  <c r="J11" i="69" s="1"/>
  <c r="K3" i="69"/>
  <c r="K11" i="69" s="1"/>
  <c r="L3" i="69"/>
  <c r="L11" i="69" s="1"/>
  <c r="J90" i="109"/>
  <c r="E73" i="118"/>
  <c r="F73" i="118"/>
  <c r="G73" i="118"/>
  <c r="H73" i="118"/>
  <c r="I73" i="118"/>
  <c r="J73" i="118"/>
  <c r="K73" i="118"/>
  <c r="L73" i="118"/>
  <c r="E74" i="118"/>
  <c r="F74" i="118"/>
  <c r="G74" i="118"/>
  <c r="H74" i="118"/>
  <c r="I74" i="118"/>
  <c r="J74" i="118"/>
  <c r="K74" i="118"/>
  <c r="L74" i="118"/>
  <c r="E75" i="118"/>
  <c r="F75" i="118"/>
  <c r="G75" i="118"/>
  <c r="H75" i="118"/>
  <c r="I75" i="118"/>
  <c r="J75" i="118"/>
  <c r="K75" i="118"/>
  <c r="L75" i="118"/>
  <c r="E76" i="118"/>
  <c r="F76" i="118"/>
  <c r="G76" i="118"/>
  <c r="H76" i="118"/>
  <c r="I76" i="118"/>
  <c r="J76" i="118"/>
  <c r="K76" i="118"/>
  <c r="L76" i="118"/>
  <c r="E77" i="118"/>
  <c r="F77" i="118"/>
  <c r="G77" i="118"/>
  <c r="H77" i="118"/>
  <c r="I77" i="118"/>
  <c r="J77" i="118"/>
  <c r="K77" i="118"/>
  <c r="L77" i="118"/>
  <c r="E78" i="118"/>
  <c r="F78" i="118"/>
  <c r="G78" i="118"/>
  <c r="H78" i="118"/>
  <c r="I78" i="118"/>
  <c r="J78" i="118"/>
  <c r="K78" i="118"/>
  <c r="L78" i="118"/>
  <c r="E79" i="118"/>
  <c r="F79" i="118"/>
  <c r="G79" i="118"/>
  <c r="H79" i="118"/>
  <c r="I79" i="118"/>
  <c r="J79" i="118"/>
  <c r="K79" i="118"/>
  <c r="L79" i="118"/>
  <c r="M35" i="69"/>
  <c r="P107" i="81"/>
  <c r="O107" i="81"/>
  <c r="J35" i="69"/>
  <c r="I35" i="69"/>
  <c r="L107" i="81"/>
  <c r="F35" i="69"/>
  <c r="Q20" i="81"/>
  <c r="Q36" i="81" s="1"/>
  <c r="Q73" i="81" s="1"/>
  <c r="P20" i="81"/>
  <c r="P36" i="81" s="1"/>
  <c r="P73" i="81" s="1"/>
  <c r="O20" i="81"/>
  <c r="O36" i="81" s="1"/>
  <c r="O73" i="81" s="1"/>
  <c r="N20" i="81"/>
  <c r="N36" i="81" s="1"/>
  <c r="N73" i="81" s="1"/>
  <c r="M20" i="81"/>
  <c r="M36" i="81" s="1"/>
  <c r="M73" i="81" s="1"/>
  <c r="L20" i="81"/>
  <c r="L36" i="81" s="1"/>
  <c r="L73" i="81" s="1"/>
  <c r="K20" i="81"/>
  <c r="K36" i="81" s="1"/>
  <c r="K73" i="81" s="1"/>
  <c r="J20" i="81"/>
  <c r="J36" i="81" s="1"/>
  <c r="J73" i="81" s="1"/>
  <c r="N54" i="69"/>
  <c r="L26" i="34"/>
  <c r="G27" i="34"/>
  <c r="E27" i="34"/>
  <c r="O28" i="34"/>
  <c r="T28" i="34"/>
  <c r="V28" i="34"/>
  <c r="W28" i="34"/>
  <c r="AB51" i="34"/>
  <c r="AC52" i="34"/>
  <c r="AD53" i="34"/>
  <c r="AE72" i="34"/>
  <c r="AF28" i="34"/>
  <c r="AH28" i="34"/>
  <c r="AI72" i="34"/>
  <c r="AJ28" i="34"/>
  <c r="AK57" i="34"/>
  <c r="AK72" i="34"/>
  <c r="AM52" i="34"/>
  <c r="AM72" i="34"/>
  <c r="AN28" i="34"/>
  <c r="BA72" i="34"/>
  <c r="BA10" i="70" s="1"/>
  <c r="BB72" i="34"/>
  <c r="BB10" i="70" s="1"/>
  <c r="BC72" i="34"/>
  <c r="BC10" i="70" s="1"/>
  <c r="BD72" i="34"/>
  <c r="BD10" i="70" s="1"/>
  <c r="BE72" i="34"/>
  <c r="BE10" i="70" s="1"/>
  <c r="BF72" i="34"/>
  <c r="BF10" i="70" s="1"/>
  <c r="BG72" i="34"/>
  <c r="BG10" i="70" s="1"/>
  <c r="BH72" i="34"/>
  <c r="BH10" i="70" s="1"/>
  <c r="BI72" i="34"/>
  <c r="BI10" i="70" s="1"/>
  <c r="BJ72" i="34"/>
  <c r="BJ10" i="70" s="1"/>
  <c r="BK72" i="34"/>
  <c r="BK10" i="70" s="1"/>
  <c r="BL72" i="34"/>
  <c r="BL10" i="70" s="1"/>
  <c r="E72" i="34"/>
  <c r="AO54" i="69"/>
  <c r="AM54" i="69"/>
  <c r="AL54" i="69"/>
  <c r="AJ54" i="69"/>
  <c r="AI54" i="69"/>
  <c r="AG54" i="69"/>
  <c r="AF54" i="69"/>
  <c r="AE54" i="69"/>
  <c r="M60" i="34"/>
  <c r="N71" i="34"/>
  <c r="N11" i="70" s="1"/>
  <c r="O54" i="69"/>
  <c r="O51" i="34"/>
  <c r="O53" i="34"/>
  <c r="O55" i="34"/>
  <c r="O57" i="34"/>
  <c r="O71" i="34"/>
  <c r="O11" i="70" s="1"/>
  <c r="P54" i="69"/>
  <c r="P71" i="34"/>
  <c r="P11" i="70" s="1"/>
  <c r="Q54" i="69"/>
  <c r="Q50" i="34"/>
  <c r="Q51" i="34"/>
  <c r="Q52" i="34"/>
  <c r="Q53" i="34"/>
  <c r="Q54" i="34"/>
  <c r="Q55" i="34"/>
  <c r="Q56" i="34"/>
  <c r="Q57" i="34"/>
  <c r="Q58" i="34"/>
  <c r="Q71" i="34"/>
  <c r="Q11" i="70" s="1"/>
  <c r="R54" i="69"/>
  <c r="R50" i="34"/>
  <c r="R51" i="34"/>
  <c r="R52" i="34"/>
  <c r="R53" i="34"/>
  <c r="R54" i="34"/>
  <c r="R55" i="34"/>
  <c r="R56" i="34"/>
  <c r="R57" i="34"/>
  <c r="R58" i="34"/>
  <c r="R71" i="34"/>
  <c r="R11" i="70" s="1"/>
  <c r="S54" i="69"/>
  <c r="S50" i="34"/>
  <c r="S51" i="34"/>
  <c r="S52" i="34"/>
  <c r="S53" i="34"/>
  <c r="S54" i="34"/>
  <c r="S55" i="34"/>
  <c r="S56" i="34"/>
  <c r="S57" i="34"/>
  <c r="S58" i="34"/>
  <c r="S71" i="34"/>
  <c r="S11" i="70" s="1"/>
  <c r="T54" i="69"/>
  <c r="T50" i="34"/>
  <c r="T51" i="34"/>
  <c r="T52" i="34"/>
  <c r="T53" i="34"/>
  <c r="T54" i="34"/>
  <c r="T55" i="34"/>
  <c r="T56" i="34"/>
  <c r="T57" i="34"/>
  <c r="T58" i="34"/>
  <c r="T71" i="34"/>
  <c r="T11" i="70" s="1"/>
  <c r="U54" i="69"/>
  <c r="U71" i="34"/>
  <c r="U11" i="70" s="1"/>
  <c r="V54" i="69"/>
  <c r="V50" i="34"/>
  <c r="V51" i="34"/>
  <c r="V52" i="34"/>
  <c r="V53" i="34"/>
  <c r="V54" i="34"/>
  <c r="V55" i="34"/>
  <c r="V56" i="34"/>
  <c r="V57" i="34"/>
  <c r="V58" i="34"/>
  <c r="V71" i="34"/>
  <c r="V11" i="70" s="1"/>
  <c r="W54" i="69"/>
  <c r="W50" i="34"/>
  <c r="W51" i="34"/>
  <c r="W52" i="34"/>
  <c r="W53" i="34"/>
  <c r="W54" i="34"/>
  <c r="W55" i="34"/>
  <c r="W56" i="34"/>
  <c r="W57" i="34"/>
  <c r="W58" i="34"/>
  <c r="W71" i="34"/>
  <c r="W11" i="70" s="1"/>
  <c r="X54" i="69"/>
  <c r="X50" i="34"/>
  <c r="X71" i="34"/>
  <c r="X11" i="70" s="1"/>
  <c r="Y71" i="34"/>
  <c r="Y11" i="70" s="1"/>
  <c r="Z50" i="34"/>
  <c r="Z57" i="34"/>
  <c r="Z71" i="34"/>
  <c r="Z11" i="70" s="1"/>
  <c r="AA54" i="69"/>
  <c r="AA11" i="70"/>
  <c r="AB54" i="69"/>
  <c r="AB55" i="34"/>
  <c r="AB71" i="34"/>
  <c r="AB11" i="70" s="1"/>
  <c r="AC54" i="69"/>
  <c r="AC71" i="34"/>
  <c r="AC11" i="70" s="1"/>
  <c r="AD54" i="69"/>
  <c r="AD71" i="34"/>
  <c r="AD11" i="70" s="1"/>
  <c r="AE71" i="34"/>
  <c r="AE11" i="70" s="1"/>
  <c r="AF51" i="34"/>
  <c r="AF53" i="34"/>
  <c r="AF55" i="34"/>
  <c r="AF57" i="34"/>
  <c r="AF71" i="34"/>
  <c r="AF11" i="70" s="1"/>
  <c r="AG71" i="34"/>
  <c r="AG11" i="70" s="1"/>
  <c r="AH54" i="69"/>
  <c r="AH51" i="34"/>
  <c r="AH53" i="34"/>
  <c r="AH55" i="34"/>
  <c r="AH57" i="34"/>
  <c r="AH58" i="34"/>
  <c r="AH71" i="34"/>
  <c r="AH11" i="70" s="1"/>
  <c r="AI71" i="34"/>
  <c r="AI11" i="70" s="1"/>
  <c r="AJ50" i="34"/>
  <c r="AJ52" i="34"/>
  <c r="AJ54" i="34"/>
  <c r="AJ56" i="34"/>
  <c r="AJ58" i="34"/>
  <c r="AJ71" i="34"/>
  <c r="AJ11" i="70" s="1"/>
  <c r="AK54" i="69"/>
  <c r="AK71" i="34"/>
  <c r="AK11" i="70" s="1"/>
  <c r="AL71" i="34"/>
  <c r="AL11" i="70" s="1"/>
  <c r="AM71" i="34"/>
  <c r="AM11" i="70" s="1"/>
  <c r="AN54" i="69"/>
  <c r="AN51" i="34"/>
  <c r="AN53" i="34"/>
  <c r="AN55" i="34"/>
  <c r="AN57" i="34"/>
  <c r="AN71" i="34"/>
  <c r="AN11" i="70" s="1"/>
  <c r="F57" i="34"/>
  <c r="H55" i="34"/>
  <c r="I52" i="34"/>
  <c r="J55" i="34"/>
  <c r="N49" i="70"/>
  <c r="N50" i="70" s="1"/>
  <c r="O49" i="70"/>
  <c r="O50" i="70" s="1"/>
  <c r="P49" i="70"/>
  <c r="P50" i="70" s="1"/>
  <c r="D72" i="119"/>
  <c r="D71" i="119"/>
  <c r="D70" i="119"/>
  <c r="D69" i="119"/>
  <c r="D68" i="119"/>
  <c r="D67" i="119"/>
  <c r="D66" i="119"/>
  <c r="D65" i="119"/>
  <c r="D64" i="119"/>
  <c r="D63" i="119"/>
  <c r="D62" i="119"/>
  <c r="D61" i="119"/>
  <c r="D60" i="119"/>
  <c r="D59" i="119"/>
  <c r="D58" i="119"/>
  <c r="D57" i="119"/>
  <c r="D56" i="119"/>
  <c r="D55" i="119"/>
  <c r="D54" i="119"/>
  <c r="D53" i="119"/>
  <c r="D52" i="119"/>
  <c r="B7" i="119"/>
  <c r="D3" i="119"/>
  <c r="E3" i="119" s="1"/>
  <c r="B15" i="119"/>
  <c r="B16" i="119"/>
  <c r="B17" i="119"/>
  <c r="AC49" i="70"/>
  <c r="AC50" i="70" s="1"/>
  <c r="Q49" i="70"/>
  <c r="Q50" i="70" s="1"/>
  <c r="R49" i="70"/>
  <c r="R50" i="70" s="1"/>
  <c r="S49" i="70"/>
  <c r="S50" i="70" s="1"/>
  <c r="T49" i="70"/>
  <c r="T50" i="70" s="1"/>
  <c r="U49" i="70"/>
  <c r="U50" i="70" s="1"/>
  <c r="V49" i="70"/>
  <c r="V50" i="70" s="1"/>
  <c r="W49" i="70"/>
  <c r="W50" i="70"/>
  <c r="X49" i="70"/>
  <c r="X50" i="70" s="1"/>
  <c r="Y49" i="70"/>
  <c r="Y50" i="70" s="1"/>
  <c r="Z49" i="70"/>
  <c r="Z50" i="70" s="1"/>
  <c r="AA49" i="70"/>
  <c r="AA50" i="70" s="1"/>
  <c r="AB49" i="70"/>
  <c r="AB50" i="70" s="1"/>
  <c r="AD49" i="70"/>
  <c r="AD50" i="70" s="1"/>
  <c r="AE49" i="70"/>
  <c r="AE50" i="70" s="1"/>
  <c r="AF49" i="70"/>
  <c r="AF50" i="70" s="1"/>
  <c r="AG49" i="70"/>
  <c r="AG50" i="70" s="1"/>
  <c r="AH49" i="70"/>
  <c r="AH50" i="70" s="1"/>
  <c r="AI49" i="70"/>
  <c r="AI50" i="70" s="1"/>
  <c r="AJ49" i="70"/>
  <c r="AJ50" i="70" s="1"/>
  <c r="AK49" i="70"/>
  <c r="AK50" i="70" s="1"/>
  <c r="AL49" i="70"/>
  <c r="AL50" i="70" s="1"/>
  <c r="AM49" i="70"/>
  <c r="AM50" i="70" s="1"/>
  <c r="AN49" i="70"/>
  <c r="AN50" i="70" s="1"/>
  <c r="AO71" i="34"/>
  <c r="AO11" i="70" s="1"/>
  <c r="AP71" i="34"/>
  <c r="AP11" i="70" s="1"/>
  <c r="AQ71" i="34"/>
  <c r="AQ11" i="70" s="1"/>
  <c r="AR71" i="34"/>
  <c r="AR11" i="70" s="1"/>
  <c r="E49" i="70"/>
  <c r="F49" i="70"/>
  <c r="G49" i="70"/>
  <c r="H49" i="70"/>
  <c r="I49" i="70"/>
  <c r="J49" i="70"/>
  <c r="J50" i="70" s="1"/>
  <c r="K49" i="70"/>
  <c r="K50" i="70" s="1"/>
  <c r="L49" i="70"/>
  <c r="M49" i="70"/>
  <c r="M50" i="70" s="1"/>
  <c r="D3" i="118"/>
  <c r="E3" i="118" s="1"/>
  <c r="B17" i="118"/>
  <c r="D2" i="107"/>
  <c r="AY62" i="116"/>
  <c r="AX62" i="116"/>
  <c r="AW62" i="116"/>
  <c r="AV62" i="116"/>
  <c r="AU62" i="116"/>
  <c r="AT62" i="116"/>
  <c r="AN8" i="67"/>
  <c r="AM8" i="67"/>
  <c r="AL8" i="67"/>
  <c r="AK8" i="67"/>
  <c r="AJ8" i="67"/>
  <c r="AI8" i="67"/>
  <c r="AH8" i="67"/>
  <c r="AG8" i="67"/>
  <c r="AF8" i="67"/>
  <c r="AE8" i="67"/>
  <c r="AD8" i="67"/>
  <c r="AC8" i="67"/>
  <c r="AB8" i="67"/>
  <c r="AA8" i="67"/>
  <c r="Z8" i="67"/>
  <c r="Y8" i="67"/>
  <c r="X8" i="67"/>
  <c r="W8" i="67"/>
  <c r="V8" i="67"/>
  <c r="U8" i="67"/>
  <c r="T8" i="67"/>
  <c r="S8" i="67"/>
  <c r="R8" i="67"/>
  <c r="Q8" i="67"/>
  <c r="BL57" i="34"/>
  <c r="BK52" i="34"/>
  <c r="BJ53" i="34"/>
  <c r="BI58" i="34"/>
  <c r="BG54" i="34"/>
  <c r="BF53" i="34"/>
  <c r="BE54" i="34"/>
  <c r="BD54" i="34"/>
  <c r="BC53" i="34"/>
  <c r="BB58" i="34"/>
  <c r="AY52" i="34"/>
  <c r="AX52" i="34"/>
  <c r="AV52" i="34"/>
  <c r="AU54" i="34"/>
  <c r="AS56" i="34"/>
  <c r="BL27" i="34"/>
  <c r="BK27" i="34"/>
  <c r="BJ27" i="34"/>
  <c r="BI27" i="34"/>
  <c r="BH27" i="34"/>
  <c r="BG27" i="34"/>
  <c r="BF27" i="34"/>
  <c r="BE27" i="34"/>
  <c r="BD27" i="34"/>
  <c r="BC27" i="34"/>
  <c r="L27" i="34"/>
  <c r="AH67" i="115"/>
  <c r="AP67" i="115" s="1"/>
  <c r="AD67" i="115"/>
  <c r="AL67" i="115" s="1"/>
  <c r="AT67" i="115" s="1"/>
  <c r="AG67" i="115"/>
  <c r="AO67" i="115" s="1"/>
  <c r="AW67" i="115" s="1"/>
  <c r="AE67" i="115"/>
  <c r="AM67" i="115" s="1"/>
  <c r="AU67" i="115" s="1"/>
  <c r="Z59" i="34"/>
  <c r="Y59" i="34"/>
  <c r="X59" i="34"/>
  <c r="W59" i="34"/>
  <c r="V59" i="34"/>
  <c r="U59" i="34"/>
  <c r="T59" i="34"/>
  <c r="S59" i="34"/>
  <c r="R59" i="34"/>
  <c r="Q59" i="34"/>
  <c r="P59" i="34"/>
  <c r="O59" i="34"/>
  <c r="N59" i="34"/>
  <c r="M59" i="34"/>
  <c r="P8" i="67"/>
  <c r="O8" i="67"/>
  <c r="N8" i="67"/>
  <c r="M8" i="67"/>
  <c r="L8" i="67"/>
  <c r="K8" i="67"/>
  <c r="J8" i="67"/>
  <c r="I8" i="67"/>
  <c r="H8" i="67"/>
  <c r="G8" i="67"/>
  <c r="F8" i="67"/>
  <c r="E8" i="67"/>
  <c r="M66" i="115"/>
  <c r="P7" i="67" s="1"/>
  <c r="J66" i="115"/>
  <c r="I66" i="115"/>
  <c r="H66" i="115"/>
  <c r="G66" i="115"/>
  <c r="J7" i="67" s="1"/>
  <c r="F66" i="115"/>
  <c r="I7" i="67" s="1"/>
  <c r="E66" i="115"/>
  <c r="H7" i="67" s="1"/>
  <c r="D66" i="115"/>
  <c r="G7" i="67" s="1"/>
  <c r="G11" i="67" s="1"/>
  <c r="C66" i="115"/>
  <c r="F7" i="67" s="1"/>
  <c r="B66" i="115"/>
  <c r="E7" i="67" s="1"/>
  <c r="E11" i="67" s="1"/>
  <c r="F69" i="115"/>
  <c r="E69" i="115"/>
  <c r="D69" i="115"/>
  <c r="C69" i="115"/>
  <c r="B69" i="115"/>
  <c r="G69" i="115"/>
  <c r="B51" i="107"/>
  <c r="A1" i="115"/>
  <c r="J65" i="109"/>
  <c r="I65" i="109"/>
  <c r="L10" i="65" s="1"/>
  <c r="L11" i="65" s="1"/>
  <c r="Q75" i="109"/>
  <c r="Q74" i="109"/>
  <c r="H65" i="109"/>
  <c r="K3" i="65" s="1"/>
  <c r="K5" i="65" s="1"/>
  <c r="G68" i="109"/>
  <c r="F68" i="109"/>
  <c r="E68" i="109"/>
  <c r="D68" i="109"/>
  <c r="C68" i="109"/>
  <c r="B68" i="109"/>
  <c r="N84" i="109"/>
  <c r="O84" i="109" s="1"/>
  <c r="I80" i="109"/>
  <c r="G85" i="109"/>
  <c r="G88" i="109" s="1"/>
  <c r="C85" i="109"/>
  <c r="C88" i="109" s="1"/>
  <c r="E85" i="109"/>
  <c r="E88" i="109" s="1"/>
  <c r="A1" i="109"/>
  <c r="M55" i="69"/>
  <c r="L55" i="69"/>
  <c r="K55" i="69"/>
  <c r="J55" i="69"/>
  <c r="I55" i="69"/>
  <c r="H55" i="69"/>
  <c r="G55" i="69"/>
  <c r="M54" i="69"/>
  <c r="L54" i="69"/>
  <c r="K54" i="69"/>
  <c r="J54" i="69"/>
  <c r="I54" i="69"/>
  <c r="H54" i="69"/>
  <c r="G54" i="69"/>
  <c r="F55" i="69"/>
  <c r="F54" i="69"/>
  <c r="C28" i="58"/>
  <c r="C27" i="58"/>
  <c r="C26" i="58"/>
  <c r="C25" i="58"/>
  <c r="L26" i="58"/>
  <c r="N26" i="58" s="1"/>
  <c r="B21" i="57"/>
  <c r="E3" i="65"/>
  <c r="E5" i="65" s="1"/>
  <c r="E10" i="65"/>
  <c r="E11" i="65" s="1"/>
  <c r="G3" i="65"/>
  <c r="G5" i="65" s="1"/>
  <c r="H10" i="65"/>
  <c r="H11" i="65" s="1"/>
  <c r="F10" i="65"/>
  <c r="F11" i="65" s="1"/>
  <c r="G10" i="65"/>
  <c r="G11" i="65" s="1"/>
  <c r="I3" i="65"/>
  <c r="I5" i="65" s="1"/>
  <c r="I10" i="65"/>
  <c r="I11" i="65" s="1"/>
  <c r="D13" i="65"/>
  <c r="A1" i="61"/>
  <c r="A1" i="70"/>
  <c r="A1" i="69"/>
  <c r="A1" i="34"/>
  <c r="E23" i="65"/>
  <c r="E24" i="65"/>
  <c r="E25" i="65" s="1"/>
  <c r="F14" i="65"/>
  <c r="F24" i="65" s="1"/>
  <c r="F25" i="65" s="1"/>
  <c r="E7" i="70"/>
  <c r="L59" i="34"/>
  <c r="K59" i="34"/>
  <c r="I59" i="34"/>
  <c r="I60" i="34"/>
  <c r="J56" i="34"/>
  <c r="J53" i="34"/>
  <c r="J54" i="34"/>
  <c r="J50" i="34"/>
  <c r="G59" i="34"/>
  <c r="F60" i="34"/>
  <c r="F59" i="34"/>
  <c r="E51" i="34"/>
  <c r="E57" i="34"/>
  <c r="E55" i="34"/>
  <c r="E54" i="34"/>
  <c r="E52" i="34"/>
  <c r="E50" i="34"/>
  <c r="E58" i="34"/>
  <c r="L51" i="34"/>
  <c r="L56" i="34"/>
  <c r="L55" i="34"/>
  <c r="I55" i="34"/>
  <c r="G56" i="34"/>
  <c r="G55" i="34"/>
  <c r="G57" i="34"/>
  <c r="F51" i="34"/>
  <c r="F56" i="34"/>
  <c r="BC56" i="34"/>
  <c r="K54" i="34"/>
  <c r="BB53" i="34"/>
  <c r="AX56" i="34"/>
  <c r="AT56" i="34"/>
  <c r="I53" i="34"/>
  <c r="BG52" i="34"/>
  <c r="AU56" i="34"/>
  <c r="AU55" i="34"/>
  <c r="BJ56" i="34"/>
  <c r="BE53" i="34"/>
  <c r="BK55" i="34"/>
  <c r="BK57" i="34"/>
  <c r="AY51" i="34"/>
  <c r="AY55" i="34"/>
  <c r="F53" i="34"/>
  <c r="F58" i="34"/>
  <c r="BL53" i="34"/>
  <c r="BH53" i="34"/>
  <c r="BD51" i="34"/>
  <c r="AZ53" i="34"/>
  <c r="AV58" i="34"/>
  <c r="L52" i="34"/>
  <c r="L54" i="34"/>
  <c r="L53" i="34"/>
  <c r="L58" i="34"/>
  <c r="G54" i="34"/>
  <c r="G51" i="34"/>
  <c r="G58" i="34"/>
  <c r="G52" i="34"/>
  <c r="G53" i="34"/>
  <c r="AV50" i="34"/>
  <c r="L50" i="34"/>
  <c r="G50" i="34"/>
  <c r="BC50" i="34"/>
  <c r="F50" i="34"/>
  <c r="G71" i="34"/>
  <c r="G11" i="70" s="1"/>
  <c r="F71" i="34"/>
  <c r="F11" i="70" s="1"/>
  <c r="E71" i="34"/>
  <c r="E11" i="70" s="1"/>
  <c r="K71" i="34"/>
  <c r="K11" i="70" s="1"/>
  <c r="H71" i="34"/>
  <c r="H11" i="70" s="1"/>
  <c r="M71" i="34"/>
  <c r="M11" i="70" s="1"/>
  <c r="L71" i="34"/>
  <c r="L11" i="70" s="1"/>
  <c r="I71" i="34"/>
  <c r="I11" i="70" s="1"/>
  <c r="J71" i="34"/>
  <c r="J11" i="70" s="1"/>
  <c r="K55" i="70"/>
  <c r="I55" i="70"/>
  <c r="AS71" i="34"/>
  <c r="AS11" i="70" s="1"/>
  <c r="AT71" i="34"/>
  <c r="AT11" i="70" s="1"/>
  <c r="AU71" i="34"/>
  <c r="AU11" i="70" s="1"/>
  <c r="AV71" i="34"/>
  <c r="AV11" i="70" s="1"/>
  <c r="AW71" i="34"/>
  <c r="AW11" i="70" s="1"/>
  <c r="AX71" i="34"/>
  <c r="AX11" i="70" s="1"/>
  <c r="AY71" i="34"/>
  <c r="AY11" i="70" s="1"/>
  <c r="AZ71" i="34"/>
  <c r="AZ11" i="70" s="1"/>
  <c r="BA71" i="34"/>
  <c r="BA11" i="70" s="1"/>
  <c r="BB71" i="34"/>
  <c r="BB11" i="70" s="1"/>
  <c r="BC71" i="34"/>
  <c r="BC11" i="70" s="1"/>
  <c r="BD71" i="34"/>
  <c r="BD11" i="70" s="1"/>
  <c r="BE71" i="34"/>
  <c r="BE11" i="70" s="1"/>
  <c r="BF71" i="34"/>
  <c r="BF11" i="70" s="1"/>
  <c r="BG71" i="34"/>
  <c r="BG11" i="70" s="1"/>
  <c r="BH71" i="34"/>
  <c r="BH11" i="70" s="1"/>
  <c r="BI71" i="34"/>
  <c r="BI11" i="70" s="1"/>
  <c r="BJ71" i="34"/>
  <c r="BJ11" i="70" s="1"/>
  <c r="BL71" i="34"/>
  <c r="BL11" i="70" s="1"/>
  <c r="BK71" i="34"/>
  <c r="BK11" i="70" s="1"/>
  <c r="BM3" i="34"/>
  <c r="BM2" i="34"/>
  <c r="L77" i="58"/>
  <c r="N77" i="58" s="1"/>
  <c r="L68" i="58"/>
  <c r="N68" i="58" s="1"/>
  <c r="L73" i="58"/>
  <c r="N73" i="58" s="1"/>
  <c r="L27" i="58"/>
  <c r="N27" i="58" s="1"/>
  <c r="L18" i="58"/>
  <c r="N18" i="58" s="1"/>
  <c r="E53" i="34"/>
  <c r="L58" i="58"/>
  <c r="N58" i="58" s="1"/>
  <c r="L56" i="58"/>
  <c r="N56" i="58" s="1"/>
  <c r="L54" i="58"/>
  <c r="N54" i="58" s="1"/>
  <c r="L52" i="58"/>
  <c r="N52" i="58" s="1"/>
  <c r="L50" i="58"/>
  <c r="N50" i="58" s="1"/>
  <c r="L59" i="58"/>
  <c r="N59" i="58" s="1"/>
  <c r="L55" i="58"/>
  <c r="N55" i="58" s="1"/>
  <c r="L53" i="58"/>
  <c r="N53" i="58" s="1"/>
  <c r="L51" i="58"/>
  <c r="N51" i="58" s="1"/>
  <c r="L49" i="58"/>
  <c r="N49" i="58" s="1"/>
  <c r="L57" i="58"/>
  <c r="N57" i="58" s="1"/>
  <c r="E56" i="34"/>
  <c r="E59" i="34"/>
  <c r="E60" i="34"/>
  <c r="H59" i="34"/>
  <c r="J51" i="34"/>
  <c r="J60" i="34"/>
  <c r="J59" i="34"/>
  <c r="K60" i="34"/>
  <c r="L57" i="34"/>
  <c r="AW52" i="34"/>
  <c r="BD58" i="34"/>
  <c r="BG56" i="34"/>
  <c r="L69" i="58"/>
  <c r="N69" i="58" s="1"/>
  <c r="L43" i="58"/>
  <c r="N43" i="58" s="1"/>
  <c r="L47" i="58"/>
  <c r="N47" i="58" s="1"/>
  <c r="L48" i="58"/>
  <c r="N48" i="58" s="1"/>
  <c r="L19" i="58"/>
  <c r="N19" i="58" s="1"/>
  <c r="L28" i="58"/>
  <c r="N28" i="58" s="1"/>
  <c r="L25" i="58"/>
  <c r="N25" i="58" s="1"/>
  <c r="L21" i="58"/>
  <c r="N21" i="58" s="1"/>
  <c r="L38" i="58"/>
  <c r="N38" i="58" s="1"/>
  <c r="L37" i="58"/>
  <c r="N37" i="58" s="1"/>
  <c r="L60" i="58"/>
  <c r="N60" i="58" s="1"/>
  <c r="L44" i="58"/>
  <c r="N44" i="58" s="1"/>
  <c r="L29" i="58"/>
  <c r="N29" i="58" s="1"/>
  <c r="L39" i="58"/>
  <c r="N39" i="58" s="1"/>
  <c r="L62" i="58"/>
  <c r="N62" i="58" s="1"/>
  <c r="L32" i="58"/>
  <c r="N32" i="58" s="1"/>
  <c r="L33" i="58"/>
  <c r="N33" i="58" s="1"/>
  <c r="L64" i="58"/>
  <c r="N64" i="58" s="1"/>
  <c r="L71" i="58"/>
  <c r="N71" i="58" s="1"/>
  <c r="J64" i="58"/>
  <c r="L66" i="58"/>
  <c r="N66" i="58" s="1"/>
  <c r="L79" i="58"/>
  <c r="N79" i="58" s="1"/>
  <c r="L75" i="58"/>
  <c r="N75" i="58" s="1"/>
  <c r="L50" i="70"/>
  <c r="H3" i="65"/>
  <c r="H5" i="65" s="1"/>
  <c r="F3" i="65"/>
  <c r="F5" i="65" s="1"/>
  <c r="J3" i="65"/>
  <c r="J5" i="65" s="1"/>
  <c r="J10" i="65"/>
  <c r="J11" i="65" s="1"/>
  <c r="N69" i="115"/>
  <c r="AC16" i="69" l="1"/>
  <c r="AC20" i="69"/>
  <c r="AD20" i="69" s="1"/>
  <c r="AE20" i="69" s="1"/>
  <c r="AF20" i="69" s="1"/>
  <c r="AG20" i="69" s="1"/>
  <c r="AH20" i="69" s="1"/>
  <c r="AI20" i="69" s="1"/>
  <c r="AJ20" i="69" s="1"/>
  <c r="AK20" i="69" s="1"/>
  <c r="AL20" i="69" s="1"/>
  <c r="AM20" i="69" s="1"/>
  <c r="AN20" i="69" s="1"/>
  <c r="AO20" i="69" s="1"/>
  <c r="AP20" i="69" s="1"/>
  <c r="AQ20" i="69" s="1"/>
  <c r="AR20" i="69" s="1"/>
  <c r="AS20" i="69" s="1"/>
  <c r="AT20" i="69" s="1"/>
  <c r="AU20" i="69" s="1"/>
  <c r="AV20" i="69" s="1"/>
  <c r="AW20" i="69" s="1"/>
  <c r="AX20" i="69" s="1"/>
  <c r="AY20" i="69" s="1"/>
  <c r="AZ20" i="69" s="1"/>
  <c r="BA20" i="69" s="1"/>
  <c r="BB20" i="69" s="1"/>
  <c r="AC17" i="69"/>
  <c r="AD17" i="69" s="1"/>
  <c r="AE17" i="69" s="1"/>
  <c r="AF17" i="69" s="1"/>
  <c r="AG17" i="69" s="1"/>
  <c r="AH17" i="69" s="1"/>
  <c r="AI17" i="69" s="1"/>
  <c r="AJ17" i="69" s="1"/>
  <c r="AK17" i="69" s="1"/>
  <c r="AL17" i="69" s="1"/>
  <c r="AM17" i="69" s="1"/>
  <c r="AN17" i="69" s="1"/>
  <c r="AO17" i="69" s="1"/>
  <c r="AP17" i="69" s="1"/>
  <c r="AQ17" i="69" s="1"/>
  <c r="AR17" i="69" s="1"/>
  <c r="AS17" i="69" s="1"/>
  <c r="AT17" i="69" s="1"/>
  <c r="AU17" i="69" s="1"/>
  <c r="AV17" i="69" s="1"/>
  <c r="AW17" i="69" s="1"/>
  <c r="AX17" i="69" s="1"/>
  <c r="AY17" i="69" s="1"/>
  <c r="AZ17" i="69" s="1"/>
  <c r="BA17" i="69" s="1"/>
  <c r="BB17" i="69" s="1"/>
  <c r="AB31" i="69"/>
  <c r="AA28" i="69"/>
  <c r="J72" i="34"/>
  <c r="J10" i="70" s="1"/>
  <c r="F72" i="34"/>
  <c r="F10" i="70" s="1"/>
  <c r="AX72" i="34"/>
  <c r="AX10" i="70" s="1"/>
  <c r="AT72" i="34"/>
  <c r="AT10" i="70" s="1"/>
  <c r="AP72" i="34"/>
  <c r="AP10" i="70" s="1"/>
  <c r="AH72" i="34"/>
  <c r="AH10" i="70" s="1"/>
  <c r="AC72" i="34"/>
  <c r="AC10" i="70" s="1"/>
  <c r="Y5" i="61"/>
  <c r="W76" i="34"/>
  <c r="W72" i="34"/>
  <c r="U72" i="34"/>
  <c r="R72" i="34"/>
  <c r="M72" i="34"/>
  <c r="M10" i="70" s="1"/>
  <c r="I72" i="34"/>
  <c r="I10" i="70" s="1"/>
  <c r="N72" i="34"/>
  <c r="N10" i="70" s="1"/>
  <c r="AW72" i="34"/>
  <c r="AW10" i="70" s="1"/>
  <c r="AS72" i="34"/>
  <c r="AS10" i="70" s="1"/>
  <c r="AO72" i="34"/>
  <c r="AO10" i="70" s="1"/>
  <c r="AJ72" i="34"/>
  <c r="AJ10" i="70" s="1"/>
  <c r="Z72" i="34"/>
  <c r="Z76" i="34"/>
  <c r="T72" i="34"/>
  <c r="Q72" i="34"/>
  <c r="L72" i="34"/>
  <c r="L10" i="70" s="1"/>
  <c r="H72" i="34"/>
  <c r="H10" i="70" s="1"/>
  <c r="AZ72" i="34"/>
  <c r="AZ10" i="70" s="1"/>
  <c r="AV72" i="34"/>
  <c r="AV10" i="70" s="1"/>
  <c r="AR72" i="34"/>
  <c r="AR10" i="70" s="1"/>
  <c r="AN72" i="34"/>
  <c r="AN10" i="70" s="1"/>
  <c r="AL72" i="34"/>
  <c r="AL10" i="70" s="1"/>
  <c r="AG72" i="34"/>
  <c r="AG10" i="70" s="1"/>
  <c r="AD72" i="34"/>
  <c r="AD10" i="70" s="1"/>
  <c r="Y72" i="34"/>
  <c r="V72" i="34"/>
  <c r="P72" i="34"/>
  <c r="P10" i="70" s="1"/>
  <c r="K72" i="34"/>
  <c r="K10" i="70" s="1"/>
  <c r="G72" i="34"/>
  <c r="G10" i="70" s="1"/>
  <c r="AY72" i="34"/>
  <c r="AY10" i="70" s="1"/>
  <c r="AU72" i="34"/>
  <c r="AU10" i="70" s="1"/>
  <c r="AQ72" i="34"/>
  <c r="AQ10" i="70" s="1"/>
  <c r="AF72" i="34"/>
  <c r="AF10" i="70" s="1"/>
  <c r="X72" i="34"/>
  <c r="S72" i="34"/>
  <c r="O72" i="34"/>
  <c r="O10" i="70" s="1"/>
  <c r="J69" i="115"/>
  <c r="M7" i="67"/>
  <c r="M11" i="67" s="1"/>
  <c r="H69" i="115"/>
  <c r="K7" i="67"/>
  <c r="I69" i="115"/>
  <c r="L7" i="67"/>
  <c r="L11" i="67" s="1"/>
  <c r="B4" i="109"/>
  <c r="B4" i="125"/>
  <c r="C5" i="11"/>
  <c r="Z11" i="69"/>
  <c r="H11" i="67"/>
  <c r="Z20" i="69"/>
  <c r="Z22" i="69" s="1"/>
  <c r="Z46" i="69"/>
  <c r="Z9" i="69"/>
  <c r="P11" i="67"/>
  <c r="Y52" i="69"/>
  <c r="Y24" i="69"/>
  <c r="Y31" i="69"/>
  <c r="Y50" i="69"/>
  <c r="E2" i="107"/>
  <c r="H3" i="119"/>
  <c r="F3" i="119"/>
  <c r="K3" i="119" s="1"/>
  <c r="AC5" i="61"/>
  <c r="AE10" i="70"/>
  <c r="X31" i="69"/>
  <c r="AI5" i="61"/>
  <c r="AK10" i="70"/>
  <c r="AG5" i="61"/>
  <c r="AI10" i="70"/>
  <c r="I11" i="67"/>
  <c r="K11" i="67"/>
  <c r="AK5" i="61"/>
  <c r="AM10" i="70"/>
  <c r="Y11" i="69"/>
  <c r="Y9" i="69"/>
  <c r="Y20" i="69"/>
  <c r="Y22" i="69" s="1"/>
  <c r="X29" i="69"/>
  <c r="X30" i="69" s="1"/>
  <c r="X49" i="69"/>
  <c r="Y49" i="69" s="1"/>
  <c r="Z49" i="69" s="1"/>
  <c r="X28" i="69"/>
  <c r="X11" i="69"/>
  <c r="X52" i="69"/>
  <c r="U5" i="61"/>
  <c r="X20" i="69"/>
  <c r="W50" i="69"/>
  <c r="W29" i="69"/>
  <c r="W66" i="69" s="1"/>
  <c r="W11" i="69"/>
  <c r="W49" i="69"/>
  <c r="W28" i="69"/>
  <c r="W9" i="69"/>
  <c r="W48" i="69"/>
  <c r="J11" i="67"/>
  <c r="V48" i="69"/>
  <c r="V11" i="69"/>
  <c r="V9" i="69"/>
  <c r="U48" i="69"/>
  <c r="U9" i="69"/>
  <c r="AB23" i="85" s="1"/>
  <c r="U20" i="69"/>
  <c r="U22" i="69" s="1"/>
  <c r="U8" i="69"/>
  <c r="F11" i="67"/>
  <c r="V76" i="34"/>
  <c r="T48" i="69"/>
  <c r="T9" i="69"/>
  <c r="S11" i="69"/>
  <c r="S48" i="69"/>
  <c r="R11" i="69"/>
  <c r="R49" i="69"/>
  <c r="R48" i="69"/>
  <c r="N14" i="70"/>
  <c r="G14" i="70"/>
  <c r="F14" i="70"/>
  <c r="N5" i="61"/>
  <c r="H14" i="70"/>
  <c r="V28" i="69"/>
  <c r="U11" i="69"/>
  <c r="Q47" i="69"/>
  <c r="Q11" i="69"/>
  <c r="P14" i="70" s="1"/>
  <c r="T11" i="69"/>
  <c r="O14" i="70"/>
  <c r="E26" i="34"/>
  <c r="U76" i="34"/>
  <c r="S76" i="34"/>
  <c r="Q76" i="34"/>
  <c r="M5" i="61"/>
  <c r="E10" i="70"/>
  <c r="T76" i="34"/>
  <c r="R76" i="34"/>
  <c r="Q35" i="69"/>
  <c r="O32" i="70"/>
  <c r="O37" i="70" s="1"/>
  <c r="L9" i="69"/>
  <c r="L17" i="69"/>
  <c r="L29" i="69"/>
  <c r="L66" i="69" s="1"/>
  <c r="L32" i="69"/>
  <c r="L41" i="69"/>
  <c r="L46" i="69"/>
  <c r="L24" i="69"/>
  <c r="L15" i="69"/>
  <c r="L8" i="69"/>
  <c r="L39" i="70" s="1"/>
  <c r="L16" i="69"/>
  <c r="L28" i="69"/>
  <c r="L31" i="69"/>
  <c r="L40" i="69"/>
  <c r="L44" i="69"/>
  <c r="L50" i="69"/>
  <c r="L20" i="69"/>
  <c r="L22" i="69" s="1"/>
  <c r="L47" i="69"/>
  <c r="L43" i="69"/>
  <c r="L39" i="69"/>
  <c r="L49" i="69"/>
  <c r="L42" i="69"/>
  <c r="O8" i="69"/>
  <c r="O16" i="69"/>
  <c r="O28" i="69"/>
  <c r="O31" i="69"/>
  <c r="O40" i="69"/>
  <c r="O44" i="69"/>
  <c r="O50" i="69"/>
  <c r="O24" i="69"/>
  <c r="O15" i="69"/>
  <c r="O39" i="69"/>
  <c r="O43" i="69"/>
  <c r="O49" i="69"/>
  <c r="O20" i="69"/>
  <c r="O22" i="69" s="1"/>
  <c r="O29" i="69"/>
  <c r="O66" i="69" s="1"/>
  <c r="O32" i="69"/>
  <c r="O46" i="69"/>
  <c r="O41" i="69"/>
  <c r="O52" i="69"/>
  <c r="O47" i="69"/>
  <c r="O17" i="69"/>
  <c r="O9" i="69"/>
  <c r="O42" i="69"/>
  <c r="M32" i="70"/>
  <c r="M37" i="70" s="1"/>
  <c r="K8" i="69"/>
  <c r="K39" i="70" s="1"/>
  <c r="K16" i="69"/>
  <c r="K28" i="69"/>
  <c r="K31" i="69"/>
  <c r="K40" i="69"/>
  <c r="K44" i="69"/>
  <c r="K50" i="69"/>
  <c r="K20" i="69"/>
  <c r="K22" i="69" s="1"/>
  <c r="K24" i="69"/>
  <c r="K15" i="69"/>
  <c r="K39" i="69"/>
  <c r="K43" i="69"/>
  <c r="K49" i="69"/>
  <c r="K41" i="69"/>
  <c r="K32" i="69"/>
  <c r="K17" i="69"/>
  <c r="K42" i="69"/>
  <c r="K9" i="69"/>
  <c r="K46" i="69"/>
  <c r="K29" i="69"/>
  <c r="K66" i="69" s="1"/>
  <c r="K47" i="69"/>
  <c r="I20" i="69"/>
  <c r="I22" i="69" s="1"/>
  <c r="I42" i="69"/>
  <c r="I47" i="69"/>
  <c r="I16" i="69"/>
  <c r="I28" i="69"/>
  <c r="I9" i="69"/>
  <c r="I17" i="69"/>
  <c r="I29" i="69"/>
  <c r="I66" i="69" s="1"/>
  <c r="I32" i="69"/>
  <c r="I41" i="69"/>
  <c r="I46" i="69"/>
  <c r="I8" i="69"/>
  <c r="I39" i="70" s="1"/>
  <c r="I31" i="69"/>
  <c r="I24" i="69"/>
  <c r="I39" i="69"/>
  <c r="I49" i="69"/>
  <c r="I43" i="69"/>
  <c r="I44" i="69"/>
  <c r="I40" i="69"/>
  <c r="I50" i="69"/>
  <c r="I15" i="69"/>
  <c r="N24" i="69"/>
  <c r="N15" i="69"/>
  <c r="N39" i="69"/>
  <c r="N43" i="69"/>
  <c r="N49" i="69"/>
  <c r="N17" i="69"/>
  <c r="N20" i="69"/>
  <c r="N22" i="69" s="1"/>
  <c r="N42" i="69"/>
  <c r="N47" i="69"/>
  <c r="N9" i="69"/>
  <c r="N29" i="69"/>
  <c r="N66" i="69" s="1"/>
  <c r="N8" i="69"/>
  <c r="N31" i="69"/>
  <c r="N40" i="69"/>
  <c r="N50" i="69"/>
  <c r="N44" i="69"/>
  <c r="N16" i="69"/>
  <c r="N32" i="69"/>
  <c r="N46" i="69"/>
  <c r="N28" i="69"/>
  <c r="N41" i="69"/>
  <c r="N52" i="69"/>
  <c r="H9" i="69"/>
  <c r="H17" i="69"/>
  <c r="H29" i="69"/>
  <c r="H66" i="69" s="1"/>
  <c r="H32" i="69"/>
  <c r="H41" i="69"/>
  <c r="H46" i="69"/>
  <c r="H8" i="69"/>
  <c r="H16" i="69"/>
  <c r="H28" i="69"/>
  <c r="H31" i="69"/>
  <c r="H40" i="69"/>
  <c r="H44" i="69"/>
  <c r="H50" i="69"/>
  <c r="H24" i="69"/>
  <c r="H15" i="69"/>
  <c r="H42" i="69"/>
  <c r="H47" i="69"/>
  <c r="H39" i="69"/>
  <c r="H49" i="69"/>
  <c r="H43" i="69"/>
  <c r="H20" i="69"/>
  <c r="H22" i="69" s="1"/>
  <c r="G8" i="69"/>
  <c r="G39" i="70" s="1"/>
  <c r="G16" i="69"/>
  <c r="G28" i="69"/>
  <c r="G31" i="69"/>
  <c r="G40" i="69"/>
  <c r="G44" i="69"/>
  <c r="G50" i="69"/>
  <c r="G24" i="69"/>
  <c r="G15" i="69"/>
  <c r="G39" i="69"/>
  <c r="G43" i="69"/>
  <c r="G49" i="69"/>
  <c r="G20" i="69"/>
  <c r="G22" i="69" s="1"/>
  <c r="G17" i="69"/>
  <c r="G46" i="69"/>
  <c r="G29" i="69"/>
  <c r="G66" i="69" s="1"/>
  <c r="G42" i="69"/>
  <c r="G9" i="69"/>
  <c r="G32" i="69"/>
  <c r="G47" i="69"/>
  <c r="G41" i="69"/>
  <c r="Q29" i="69"/>
  <c r="I32" i="70"/>
  <c r="I37" i="70" s="1"/>
  <c r="J24" i="69"/>
  <c r="J15" i="69"/>
  <c r="J39" i="69"/>
  <c r="J43" i="69"/>
  <c r="J49" i="69"/>
  <c r="J9" i="69"/>
  <c r="J29" i="69"/>
  <c r="J66" i="69" s="1"/>
  <c r="J32" i="69"/>
  <c r="J20" i="69"/>
  <c r="J22" i="69" s="1"/>
  <c r="J42" i="69"/>
  <c r="J47" i="69"/>
  <c r="J17" i="69"/>
  <c r="J28" i="69"/>
  <c r="J44" i="69"/>
  <c r="J8" i="69"/>
  <c r="J39" i="70" s="1"/>
  <c r="J31" i="69"/>
  <c r="J46" i="69"/>
  <c r="J16" i="69"/>
  <c r="J40" i="69"/>
  <c r="J50" i="69"/>
  <c r="J41" i="69"/>
  <c r="F24" i="69"/>
  <c r="F15" i="69"/>
  <c r="F39" i="69"/>
  <c r="F43" i="69"/>
  <c r="F49" i="69"/>
  <c r="F20" i="69"/>
  <c r="F22" i="69" s="1"/>
  <c r="F42" i="69"/>
  <c r="F47" i="69"/>
  <c r="F9" i="69"/>
  <c r="F17" i="69"/>
  <c r="F29" i="69"/>
  <c r="F32" i="69"/>
  <c r="F40" i="69"/>
  <c r="F50" i="69"/>
  <c r="F28" i="69"/>
  <c r="F16" i="69"/>
  <c r="F41" i="69"/>
  <c r="F8" i="69"/>
  <c r="F39" i="70" s="1"/>
  <c r="F31" i="69"/>
  <c r="F44" i="69"/>
  <c r="F46" i="69"/>
  <c r="M20" i="69"/>
  <c r="M22" i="69" s="1"/>
  <c r="M42" i="69"/>
  <c r="M47" i="69"/>
  <c r="M8" i="69"/>
  <c r="M39" i="70" s="1"/>
  <c r="M16" i="69"/>
  <c r="M31" i="69"/>
  <c r="M9" i="69"/>
  <c r="M17" i="69"/>
  <c r="M29" i="69"/>
  <c r="M66" i="69" s="1"/>
  <c r="M32" i="69"/>
  <c r="M41" i="69"/>
  <c r="M46" i="69"/>
  <c r="M28" i="69"/>
  <c r="M15" i="69"/>
  <c r="M43" i="69"/>
  <c r="M39" i="69"/>
  <c r="M49" i="69"/>
  <c r="M40" i="69"/>
  <c r="M24" i="69"/>
  <c r="M44" i="69"/>
  <c r="M50" i="69"/>
  <c r="P9" i="69"/>
  <c r="P17" i="69"/>
  <c r="P29" i="69"/>
  <c r="P66" i="69" s="1"/>
  <c r="P32" i="69"/>
  <c r="P41" i="69"/>
  <c r="P46" i="69"/>
  <c r="P24" i="69"/>
  <c r="P8" i="69"/>
  <c r="P16" i="69"/>
  <c r="P28" i="69"/>
  <c r="P31" i="69"/>
  <c r="P52" i="69"/>
  <c r="P40" i="69"/>
  <c r="P44" i="69"/>
  <c r="P50" i="69"/>
  <c r="P15" i="69"/>
  <c r="P42" i="69"/>
  <c r="P20" i="69"/>
  <c r="P22" i="69" s="1"/>
  <c r="P43" i="69"/>
  <c r="P47" i="69"/>
  <c r="P39" i="69"/>
  <c r="P49" i="69"/>
  <c r="U29" i="69"/>
  <c r="U28" i="69"/>
  <c r="S24" i="69"/>
  <c r="S29" i="69"/>
  <c r="S28" i="69"/>
  <c r="T24" i="69"/>
  <c r="T29" i="69"/>
  <c r="T28" i="69"/>
  <c r="R9" i="69"/>
  <c r="D3" i="11"/>
  <c r="G3" i="123"/>
  <c r="AZ54" i="34"/>
  <c r="BH58" i="34"/>
  <c r="F54" i="34"/>
  <c r="H58" i="34"/>
  <c r="BJ54" i="34"/>
  <c r="AT55" i="34"/>
  <c r="AX53" i="34"/>
  <c r="BF52" i="34"/>
  <c r="F55" i="34"/>
  <c r="J52" i="34"/>
  <c r="J57" i="34"/>
  <c r="K56" i="34"/>
  <c r="AN58" i="34"/>
  <c r="AN54" i="34"/>
  <c r="AN50" i="34"/>
  <c r="AJ57" i="34"/>
  <c r="AJ53" i="34"/>
  <c r="AH54" i="34"/>
  <c r="AH50" i="34"/>
  <c r="AF58" i="34"/>
  <c r="AF54" i="34"/>
  <c r="AF50" i="34"/>
  <c r="Z53" i="34"/>
  <c r="X53" i="34"/>
  <c r="O58" i="34"/>
  <c r="O54" i="34"/>
  <c r="O50" i="34"/>
  <c r="AT53" i="34"/>
  <c r="BB56" i="34"/>
  <c r="BF55" i="34"/>
  <c r="AX50" i="34"/>
  <c r="BF50" i="34"/>
  <c r="F52" i="34"/>
  <c r="J58" i="34"/>
  <c r="AN56" i="34"/>
  <c r="AN52" i="34"/>
  <c r="AJ55" i="34"/>
  <c r="AJ51" i="34"/>
  <c r="AH56" i="34"/>
  <c r="AH52" i="34"/>
  <c r="AF56" i="34"/>
  <c r="AF52" i="34"/>
  <c r="O56" i="34"/>
  <c r="O52" i="34"/>
  <c r="BG26" i="34"/>
  <c r="BG50" i="34"/>
  <c r="I50" i="34"/>
  <c r="AY58" i="34"/>
  <c r="AY54" i="34"/>
  <c r="BK53" i="34"/>
  <c r="BK54" i="34"/>
  <c r="AU52" i="34"/>
  <c r="AU58" i="34"/>
  <c r="BG53" i="34"/>
  <c r="BG58" i="34"/>
  <c r="I58" i="34"/>
  <c r="BC51" i="34"/>
  <c r="BC52" i="34"/>
  <c r="I51" i="34"/>
  <c r="BK26" i="34"/>
  <c r="AU50" i="34"/>
  <c r="BK50" i="34"/>
  <c r="AY57" i="34"/>
  <c r="AY53" i="34"/>
  <c r="BK51" i="34"/>
  <c r="BK58" i="34"/>
  <c r="AU51" i="34"/>
  <c r="AU53" i="34"/>
  <c r="BG57" i="34"/>
  <c r="BG55" i="34"/>
  <c r="I54" i="34"/>
  <c r="BC57" i="34"/>
  <c r="BC55" i="34"/>
  <c r="AO55" i="34"/>
  <c r="BC26" i="34"/>
  <c r="AY50" i="34"/>
  <c r="AY56" i="34"/>
  <c r="BK56" i="34"/>
  <c r="AU57" i="34"/>
  <c r="BG51" i="34"/>
  <c r="BC58" i="34"/>
  <c r="BC54" i="34"/>
  <c r="AO57" i="34"/>
  <c r="AE28" i="34"/>
  <c r="AE51" i="34"/>
  <c r="AE55" i="34"/>
  <c r="AE52" i="34"/>
  <c r="AE56" i="34"/>
  <c r="AE53" i="34"/>
  <c r="AE57" i="34"/>
  <c r="AC28" i="34"/>
  <c r="AC53" i="34"/>
  <c r="AC57" i="34"/>
  <c r="AC50" i="34"/>
  <c r="AC54" i="34"/>
  <c r="AC58" i="34"/>
  <c r="AC51" i="34"/>
  <c r="AC55" i="34"/>
  <c r="Y50" i="34"/>
  <c r="Y53" i="34"/>
  <c r="Y58" i="34"/>
  <c r="M55" i="34"/>
  <c r="M50" i="34"/>
  <c r="AT57" i="34"/>
  <c r="AT58" i="34"/>
  <c r="AT51" i="34"/>
  <c r="AT54" i="34"/>
  <c r="AT50" i="34"/>
  <c r="AX51" i="34"/>
  <c r="AX58" i="34"/>
  <c r="AX54" i="34"/>
  <c r="AX57" i="34"/>
  <c r="BB54" i="34"/>
  <c r="BB55" i="34"/>
  <c r="BB50" i="34"/>
  <c r="BB26" i="34"/>
  <c r="BB57" i="34"/>
  <c r="BB52" i="34"/>
  <c r="BF57" i="34"/>
  <c r="BF58" i="34"/>
  <c r="BF51" i="34"/>
  <c r="BF56" i="34"/>
  <c r="BF26" i="34"/>
  <c r="BJ57" i="34"/>
  <c r="BJ58" i="34"/>
  <c r="BJ26" i="34"/>
  <c r="BJ51" i="34"/>
  <c r="BJ55" i="34"/>
  <c r="BJ50" i="34"/>
  <c r="AE58" i="34"/>
  <c r="BJ52" i="34"/>
  <c r="AT52" i="34"/>
  <c r="AX55" i="34"/>
  <c r="BB51" i="34"/>
  <c r="BF54" i="34"/>
  <c r="AE54" i="34"/>
  <c r="AV54" i="34"/>
  <c r="AV51" i="34"/>
  <c r="AZ52" i="34"/>
  <c r="AZ51" i="34"/>
  <c r="BD56" i="34"/>
  <c r="BD50" i="34"/>
  <c r="BD52" i="34"/>
  <c r="BH52" i="34"/>
  <c r="BH50" i="34"/>
  <c r="BH57" i="34"/>
  <c r="BL54" i="34"/>
  <c r="BL26" i="34"/>
  <c r="BL52" i="34"/>
  <c r="AE50" i="34"/>
  <c r="AC56" i="34"/>
  <c r="AW53" i="34"/>
  <c r="AW57" i="34"/>
  <c r="AW58" i="34"/>
  <c r="AW54" i="34"/>
  <c r="AW55" i="34"/>
  <c r="AW56" i="34"/>
  <c r="AW50" i="34"/>
  <c r="AS52" i="34"/>
  <c r="BI54" i="34"/>
  <c r="BE50" i="34"/>
  <c r="AW51" i="34"/>
  <c r="BA51" i="34"/>
  <c r="BA58" i="34"/>
  <c r="BA50" i="34"/>
  <c r="BA52" i="34"/>
  <c r="BA54" i="34"/>
  <c r="BA57" i="34"/>
  <c r="BA56" i="34"/>
  <c r="BE52" i="34"/>
  <c r="BE55" i="34"/>
  <c r="BE57" i="34"/>
  <c r="BE26" i="34"/>
  <c r="BE51" i="34"/>
  <c r="BE56" i="34"/>
  <c r="BE58" i="34"/>
  <c r="U51" i="34"/>
  <c r="U55" i="34"/>
  <c r="BA55" i="34"/>
  <c r="AB28" i="34"/>
  <c r="AB53" i="34"/>
  <c r="AB57" i="34"/>
  <c r="AB50" i="34"/>
  <c r="AB54" i="34"/>
  <c r="AB58" i="34"/>
  <c r="AB52" i="34"/>
  <c r="AB56" i="34"/>
  <c r="Z52" i="34"/>
  <c r="Z55" i="34"/>
  <c r="Z56" i="34"/>
  <c r="Z51" i="34"/>
  <c r="Z54" i="34"/>
  <c r="Z58" i="34"/>
  <c r="X28" i="34"/>
  <c r="X51" i="34"/>
  <c r="X55" i="34"/>
  <c r="X58" i="34"/>
  <c r="X52" i="34"/>
  <c r="X56" i="34"/>
  <c r="X54" i="34"/>
  <c r="X57" i="34"/>
  <c r="AS54" i="34"/>
  <c r="AS58" i="34"/>
  <c r="AS55" i="34"/>
  <c r="AS57" i="34"/>
  <c r="AS50" i="34"/>
  <c r="AS53" i="34"/>
  <c r="AS51" i="34"/>
  <c r="BI52" i="34"/>
  <c r="BI56" i="34"/>
  <c r="BI53" i="34"/>
  <c r="BI51" i="34"/>
  <c r="BI55" i="34"/>
  <c r="BI57" i="34"/>
  <c r="BI50" i="34"/>
  <c r="BG10" i="11"/>
  <c r="BA53" i="34"/>
  <c r="AQ55" i="34"/>
  <c r="K26" i="34"/>
  <c r="K51" i="34"/>
  <c r="K58" i="34"/>
  <c r="K57" i="34"/>
  <c r="K52" i="34"/>
  <c r="K50" i="34"/>
  <c r="K55" i="34"/>
  <c r="K53" i="34"/>
  <c r="AM57" i="34"/>
  <c r="AK52" i="34"/>
  <c r="AI54" i="34"/>
  <c r="AI57" i="34"/>
  <c r="AI50" i="34"/>
  <c r="AO51" i="34"/>
  <c r="P28" i="34"/>
  <c r="P51" i="34"/>
  <c r="P55" i="34"/>
  <c r="P52" i="34"/>
  <c r="P56" i="34"/>
  <c r="P53" i="34"/>
  <c r="P57" i="34"/>
  <c r="L60" i="34"/>
  <c r="AD56" i="34"/>
  <c r="P58" i="34"/>
  <c r="M58" i="34"/>
  <c r="AI28" i="34"/>
  <c r="AI51" i="34"/>
  <c r="AI55" i="34"/>
  <c r="AI52" i="34"/>
  <c r="AI58" i="34"/>
  <c r="AI53" i="34"/>
  <c r="AI56" i="34"/>
  <c r="U28" i="34"/>
  <c r="U52" i="34"/>
  <c r="U56" i="34"/>
  <c r="U53" i="34"/>
  <c r="U57" i="34"/>
  <c r="U50" i="34"/>
  <c r="U54" i="34"/>
  <c r="U58" i="34"/>
  <c r="P27" i="34"/>
  <c r="I27" i="34"/>
  <c r="I26" i="34"/>
  <c r="I57" i="34"/>
  <c r="I56" i="34"/>
  <c r="P54" i="34"/>
  <c r="M28" i="34"/>
  <c r="M53" i="34"/>
  <c r="M56" i="34"/>
  <c r="M51" i="34"/>
  <c r="M54" i="34"/>
  <c r="M27" i="34"/>
  <c r="M52" i="34"/>
  <c r="M57" i="34"/>
  <c r="P50" i="34"/>
  <c r="AQ52" i="34"/>
  <c r="AP54" i="34"/>
  <c r="AP56" i="34"/>
  <c r="H57" i="34"/>
  <c r="H53" i="34"/>
  <c r="H50" i="34"/>
  <c r="H56" i="34"/>
  <c r="H54" i="34"/>
  <c r="H51" i="34"/>
  <c r="H52" i="34"/>
  <c r="AR52" i="34"/>
  <c r="AR50" i="34"/>
  <c r="AR56" i="34"/>
  <c r="AL28" i="34"/>
  <c r="AL51" i="34"/>
  <c r="AL54" i="34"/>
  <c r="AL52" i="34"/>
  <c r="AL57" i="34"/>
  <c r="AL53" i="34"/>
  <c r="AL56" i="34"/>
  <c r="AL58" i="34"/>
  <c r="AL50" i="34"/>
  <c r="AL55" i="34"/>
  <c r="AG28" i="34"/>
  <c r="AG52" i="34"/>
  <c r="AG57" i="34"/>
  <c r="AG50" i="34"/>
  <c r="AG55" i="34"/>
  <c r="AG58" i="34"/>
  <c r="AG51" i="34"/>
  <c r="AG54" i="34"/>
  <c r="AG56" i="34"/>
  <c r="AG53" i="34"/>
  <c r="N28" i="34"/>
  <c r="N52" i="34"/>
  <c r="N56" i="34"/>
  <c r="N53" i="34"/>
  <c r="N57" i="34"/>
  <c r="N51" i="34"/>
  <c r="N55" i="34"/>
  <c r="N58" i="34"/>
  <c r="N54" i="34"/>
  <c r="AV56" i="34"/>
  <c r="AV53" i="34"/>
  <c r="AV55" i="34"/>
  <c r="AV57" i="34"/>
  <c r="AZ56" i="34"/>
  <c r="AZ57" i="34"/>
  <c r="AZ55" i="34"/>
  <c r="AZ58" i="34"/>
  <c r="AZ50" i="34"/>
  <c r="BD57" i="34"/>
  <c r="BD53" i="34"/>
  <c r="BD55" i="34"/>
  <c r="BH56" i="34"/>
  <c r="BH51" i="34"/>
  <c r="BH54" i="34"/>
  <c r="BH55" i="34"/>
  <c r="BL56" i="34"/>
  <c r="BL55" i="34"/>
  <c r="BL51" i="34"/>
  <c r="BL58" i="34"/>
  <c r="BL50" i="34"/>
  <c r="AQ53" i="34"/>
  <c r="AQ56" i="34"/>
  <c r="AQ50" i="34"/>
  <c r="AQ54" i="34"/>
  <c r="AQ57" i="34"/>
  <c r="AQ51" i="34"/>
  <c r="AQ58" i="34"/>
  <c r="AR58" i="34"/>
  <c r="N50" i="34"/>
  <c r="AD28" i="34"/>
  <c r="AD52" i="34"/>
  <c r="AD57" i="34"/>
  <c r="AD50" i="34"/>
  <c r="AD55" i="34"/>
  <c r="AD58" i="34"/>
  <c r="AD51" i="34"/>
  <c r="AD54" i="34"/>
  <c r="J26" i="34"/>
  <c r="J27" i="34"/>
  <c r="F26" i="34"/>
  <c r="F27" i="34"/>
  <c r="AM28" i="34"/>
  <c r="AM53" i="34"/>
  <c r="AM56" i="34"/>
  <c r="AM51" i="34"/>
  <c r="AM54" i="34"/>
  <c r="AM50" i="34"/>
  <c r="AM55" i="34"/>
  <c r="AM58" i="34"/>
  <c r="AK28" i="34"/>
  <c r="AK53" i="34"/>
  <c r="AK56" i="34"/>
  <c r="AK51" i="34"/>
  <c r="AK54" i="34"/>
  <c r="AK50" i="34"/>
  <c r="AK55" i="34"/>
  <c r="AK58" i="34"/>
  <c r="AA28" i="34"/>
  <c r="Y28" i="34"/>
  <c r="Y54" i="34"/>
  <c r="Y57" i="34"/>
  <c r="Y52" i="34"/>
  <c r="Y55" i="34"/>
  <c r="Y51" i="34"/>
  <c r="Y56" i="34"/>
  <c r="AO53" i="34"/>
  <c r="N60" i="34"/>
  <c r="K27" i="34"/>
  <c r="F23" i="65"/>
  <c r="G14" i="65"/>
  <c r="AP28" i="34"/>
  <c r="AP51" i="34"/>
  <c r="AP53" i="34"/>
  <c r="AP55" i="34"/>
  <c r="AP57" i="34"/>
  <c r="AR28" i="34"/>
  <c r="AR51" i="34"/>
  <c r="AR53" i="34"/>
  <c r="AR55" i="34"/>
  <c r="AR57" i="34"/>
  <c r="AP52" i="34"/>
  <c r="AS28" i="34"/>
  <c r="AW28" i="34"/>
  <c r="BA20" i="34"/>
  <c r="BA28" i="34"/>
  <c r="BA29" i="34"/>
  <c r="BE20" i="34"/>
  <c r="BE28" i="34"/>
  <c r="BE29" i="34"/>
  <c r="BI20" i="34"/>
  <c r="BI28" i="34"/>
  <c r="BI29" i="34"/>
  <c r="AR54" i="34"/>
  <c r="AP58" i="34"/>
  <c r="AP50" i="34"/>
  <c r="AB59" i="34"/>
  <c r="AV28" i="34"/>
  <c r="AZ28" i="34"/>
  <c r="BD20" i="34"/>
  <c r="BD29" i="34"/>
  <c r="BD28" i="34"/>
  <c r="BH20" i="34"/>
  <c r="BH28" i="34"/>
  <c r="BH29" i="34"/>
  <c r="BL20" i="34"/>
  <c r="BL29" i="34"/>
  <c r="BL28" i="34"/>
  <c r="H29" i="34"/>
  <c r="H28" i="34"/>
  <c r="H27" i="34"/>
  <c r="H26" i="34"/>
  <c r="Q11" i="67"/>
  <c r="Q27" i="34" s="1"/>
  <c r="AT28" i="34"/>
  <c r="AX28" i="34"/>
  <c r="BB28" i="34"/>
  <c r="BB29" i="34"/>
  <c r="BB20" i="34"/>
  <c r="BF28" i="34"/>
  <c r="BF29" i="34"/>
  <c r="BF20" i="34"/>
  <c r="BJ28" i="34"/>
  <c r="BJ29" i="34"/>
  <c r="BJ20" i="34"/>
  <c r="AO28" i="34"/>
  <c r="AU28" i="34"/>
  <c r="AY28" i="34"/>
  <c r="BC29" i="34"/>
  <c r="BC20" i="34"/>
  <c r="BC28" i="34"/>
  <c r="BG29" i="34"/>
  <c r="BG28" i="34"/>
  <c r="BG20" i="34"/>
  <c r="BK29" i="34"/>
  <c r="BK20" i="34"/>
  <c r="BK28" i="34"/>
  <c r="AQ28" i="34"/>
  <c r="AO58" i="34"/>
  <c r="AO56" i="34"/>
  <c r="AO54" i="34"/>
  <c r="AO52" i="34"/>
  <c r="AO50" i="34"/>
  <c r="G3" i="119"/>
  <c r="J28" i="34"/>
  <c r="J29" i="34"/>
  <c r="F28" i="34"/>
  <c r="F29" i="34"/>
  <c r="G29" i="34"/>
  <c r="G28" i="34"/>
  <c r="I29" i="34"/>
  <c r="I28" i="34"/>
  <c r="G26" i="34"/>
  <c r="E20" i="34"/>
  <c r="E28" i="34"/>
  <c r="G3" i="118"/>
  <c r="I3" i="118" s="1"/>
  <c r="J3" i="118" s="1"/>
  <c r="L3" i="118" s="1"/>
  <c r="D4" i="118" s="1"/>
  <c r="Z28" i="34"/>
  <c r="K28" i="34"/>
  <c r="K29" i="34"/>
  <c r="K3" i="118"/>
  <c r="E29" i="34"/>
  <c r="L29" i="34"/>
  <c r="H3" i="118"/>
  <c r="L28" i="34"/>
  <c r="Q5" i="61"/>
  <c r="AS5" i="61"/>
  <c r="AZ5" i="61"/>
  <c r="BH76" i="34"/>
  <c r="BB76" i="34"/>
  <c r="BH5" i="61"/>
  <c r="H5" i="61"/>
  <c r="BA5" i="61"/>
  <c r="BI5" i="61"/>
  <c r="AT5" i="61"/>
  <c r="K5" i="61"/>
  <c r="S9" i="69"/>
  <c r="AP5" i="61"/>
  <c r="F5" i="61"/>
  <c r="BF5" i="61"/>
  <c r="AV5" i="61"/>
  <c r="AO5" i="61"/>
  <c r="BK76" i="34"/>
  <c r="BE5" i="61"/>
  <c r="J5" i="61"/>
  <c r="BJ76" i="34"/>
  <c r="D5" i="61"/>
  <c r="BJ5" i="61"/>
  <c r="AX5" i="61"/>
  <c r="AR5" i="61"/>
  <c r="BF76" i="34"/>
  <c r="BD5" i="61"/>
  <c r="G5" i="61"/>
  <c r="BC76" i="34"/>
  <c r="BL76" i="34"/>
  <c r="BG76" i="34"/>
  <c r="AN5" i="61"/>
  <c r="S5" i="61"/>
  <c r="BD76" i="34"/>
  <c r="BB5" i="61"/>
  <c r="AW5" i="61"/>
  <c r="AA5" i="61"/>
  <c r="C5" i="61"/>
  <c r="Q49" i="69"/>
  <c r="Q43" i="69"/>
  <c r="Q39" i="69"/>
  <c r="Q28" i="69"/>
  <c r="Q32" i="69"/>
  <c r="Q9" i="69"/>
  <c r="Q46" i="69"/>
  <c r="Q41" i="69"/>
  <c r="Q31" i="69"/>
  <c r="Q8" i="69"/>
  <c r="Q50" i="69"/>
  <c r="Q44" i="69"/>
  <c r="Q40" i="69"/>
  <c r="Q20" i="69"/>
  <c r="Q42" i="69"/>
  <c r="Q24" i="69"/>
  <c r="T20" i="69"/>
  <c r="W20" i="69"/>
  <c r="S20" i="69"/>
  <c r="V20" i="69"/>
  <c r="R20" i="69"/>
  <c r="R47" i="69"/>
  <c r="S47" i="69" s="1"/>
  <c r="T47" i="69" s="1"/>
  <c r="U47" i="69" s="1"/>
  <c r="V47" i="69" s="1"/>
  <c r="W47" i="69" s="1"/>
  <c r="X47" i="69" s="1"/>
  <c r="Y47" i="69" s="1"/>
  <c r="Z47" i="69" s="1"/>
  <c r="R42" i="69"/>
  <c r="S42" i="69" s="1"/>
  <c r="T42" i="69" s="1"/>
  <c r="U42" i="69" s="1"/>
  <c r="V42" i="69" s="1"/>
  <c r="W42" i="69" s="1"/>
  <c r="X42" i="69" s="1"/>
  <c r="Y42" i="69" s="1"/>
  <c r="Z42" i="69" s="1"/>
  <c r="R46" i="69"/>
  <c r="S46" i="69" s="1"/>
  <c r="T46" i="69" s="1"/>
  <c r="U46" i="69" s="1"/>
  <c r="V46" i="69" s="1"/>
  <c r="W46" i="69" s="1"/>
  <c r="X46" i="69" s="1"/>
  <c r="Y46" i="69" s="1"/>
  <c r="R41" i="69"/>
  <c r="S41" i="69" s="1"/>
  <c r="T41" i="69" s="1"/>
  <c r="U41" i="69" s="1"/>
  <c r="V41" i="69" s="1"/>
  <c r="W41" i="69" s="1"/>
  <c r="X41" i="69" s="1"/>
  <c r="Y41" i="69" s="1"/>
  <c r="Z41" i="69" s="1"/>
  <c r="R44" i="69"/>
  <c r="S44" i="69" s="1"/>
  <c r="T44" i="69" s="1"/>
  <c r="U44" i="69" s="1"/>
  <c r="V44" i="69" s="1"/>
  <c r="W44" i="69" s="1"/>
  <c r="X44" i="69" s="1"/>
  <c r="Y44" i="69" s="1"/>
  <c r="Z44" i="69" s="1"/>
  <c r="R40" i="69"/>
  <c r="S40" i="69" s="1"/>
  <c r="T40" i="69" s="1"/>
  <c r="U40" i="69" s="1"/>
  <c r="V40" i="69" s="1"/>
  <c r="W40" i="69" s="1"/>
  <c r="X40" i="69" s="1"/>
  <c r="Y40" i="69" s="1"/>
  <c r="Z40" i="69" s="1"/>
  <c r="S49" i="69"/>
  <c r="R43" i="69"/>
  <c r="S43" i="69" s="1"/>
  <c r="T43" i="69" s="1"/>
  <c r="U43" i="69" s="1"/>
  <c r="V43" i="69" s="1"/>
  <c r="W43" i="69" s="1"/>
  <c r="X43" i="69" s="1"/>
  <c r="Y43" i="69" s="1"/>
  <c r="X34" i="70" s="1"/>
  <c r="R39" i="69"/>
  <c r="S39" i="69" s="1"/>
  <c r="R31" i="69"/>
  <c r="R32" i="69"/>
  <c r="R28" i="69"/>
  <c r="R24" i="69"/>
  <c r="M107" i="81"/>
  <c r="M125" i="81" s="1"/>
  <c r="I52" i="69" s="1"/>
  <c r="L125" i="81"/>
  <c r="L126" i="81" s="1"/>
  <c r="Q107" i="81"/>
  <c r="Q125" i="81" s="1"/>
  <c r="Q126" i="81" s="1"/>
  <c r="L35" i="69"/>
  <c r="N107" i="81"/>
  <c r="N125" i="81" s="1"/>
  <c r="J52" i="69" s="1"/>
  <c r="H35" i="69"/>
  <c r="O125" i="81"/>
  <c r="K52" i="69" s="1"/>
  <c r="K35" i="69"/>
  <c r="J32" i="70" s="1"/>
  <c r="J37" i="70" s="1"/>
  <c r="P125" i="81"/>
  <c r="L52" i="69" s="1"/>
  <c r="J125" i="81"/>
  <c r="F52" i="69" s="1"/>
  <c r="K107" i="81"/>
  <c r="K125" i="81" s="1"/>
  <c r="G52" i="69" s="1"/>
  <c r="G35" i="69"/>
  <c r="F32" i="70" s="1"/>
  <c r="F37" i="70" s="1"/>
  <c r="X9" i="69"/>
  <c r="AA9" i="69"/>
  <c r="AA13" i="70" s="1"/>
  <c r="BI76" i="34"/>
  <c r="BE76" i="34"/>
  <c r="BA76" i="34"/>
  <c r="BG5" i="61"/>
  <c r="BC5" i="61"/>
  <c r="AY5" i="61"/>
  <c r="AU5" i="61"/>
  <c r="AQ5" i="61"/>
  <c r="AM5" i="61"/>
  <c r="AE5" i="61"/>
  <c r="W5" i="61"/>
  <c r="O5" i="61"/>
  <c r="I5" i="61"/>
  <c r="E5" i="61"/>
  <c r="BH26" i="34"/>
  <c r="BF10" i="11"/>
  <c r="L5" i="61"/>
  <c r="AJ5" i="61"/>
  <c r="AF5" i="61"/>
  <c r="AB5" i="61"/>
  <c r="X5" i="61"/>
  <c r="T5" i="61"/>
  <c r="P5" i="61"/>
  <c r="AL5" i="61"/>
  <c r="AH5" i="61"/>
  <c r="AD5" i="61"/>
  <c r="Z5" i="61"/>
  <c r="V5" i="61"/>
  <c r="R5" i="61"/>
  <c r="B64" i="109"/>
  <c r="H68" i="109"/>
  <c r="N85" i="109"/>
  <c r="N86" i="109" s="1"/>
  <c r="M3" i="65"/>
  <c r="M5" i="65" s="1"/>
  <c r="M29" i="34"/>
  <c r="M10" i="65"/>
  <c r="M11" i="65" s="1"/>
  <c r="J10" i="11"/>
  <c r="K10" i="65"/>
  <c r="K11" i="65" s="1"/>
  <c r="J68" i="109"/>
  <c r="AF67" i="115"/>
  <c r="AN67" i="115" s="1"/>
  <c r="AV67" i="115" s="1"/>
  <c r="E3" i="67"/>
  <c r="E1" i="34"/>
  <c r="E1" i="65"/>
  <c r="C4" i="11"/>
  <c r="J3" i="81"/>
  <c r="F2" i="69" s="1"/>
  <c r="M69" i="115"/>
  <c r="AC67" i="115"/>
  <c r="AK67" i="115" s="1"/>
  <c r="AS67" i="115" s="1"/>
  <c r="B4" i="115"/>
  <c r="I68" i="109"/>
  <c r="L3" i="65"/>
  <c r="L5" i="65" s="1"/>
  <c r="W30" i="69" l="1"/>
  <c r="BC17" i="69"/>
  <c r="BB18" i="69"/>
  <c r="BC20" i="69"/>
  <c r="BB22" i="69"/>
  <c r="X13" i="70"/>
  <c r="Y5" i="69"/>
  <c r="AA5" i="69" s="1"/>
  <c r="Z14" i="70"/>
  <c r="C4" i="125"/>
  <c r="D5" i="11"/>
  <c r="I3" i="119"/>
  <c r="Y14" i="70"/>
  <c r="Z43" i="69"/>
  <c r="X14" i="70"/>
  <c r="Z13" i="70"/>
  <c r="AA47" i="69"/>
  <c r="AB47" i="69" s="1"/>
  <c r="Y13" i="70"/>
  <c r="AA20" i="69"/>
  <c r="Q3" i="119"/>
  <c r="J3" i="119"/>
  <c r="L3" i="119" s="1"/>
  <c r="D4" i="119" s="1"/>
  <c r="F4" i="119" s="1"/>
  <c r="F2" i="107"/>
  <c r="D4" i="125" s="1"/>
  <c r="C4" i="115"/>
  <c r="C4" i="109"/>
  <c r="M22" i="34"/>
  <c r="AA49" i="69"/>
  <c r="AA41" i="69"/>
  <c r="AB41" i="69" s="1"/>
  <c r="AA44" i="69"/>
  <c r="AB44" i="69" s="1"/>
  <c r="AA40" i="69"/>
  <c r="AB40" i="69" s="1"/>
  <c r="AA46" i="69"/>
  <c r="AB46" i="69" s="1"/>
  <c r="R14" i="70"/>
  <c r="W14" i="70"/>
  <c r="R18" i="70"/>
  <c r="W15" i="70"/>
  <c r="Q31" i="70"/>
  <c r="U18" i="70"/>
  <c r="U14" i="70"/>
  <c r="T18" i="70"/>
  <c r="V14" i="70"/>
  <c r="F1" i="34"/>
  <c r="F2" i="34" s="1"/>
  <c r="K3" i="81"/>
  <c r="G2" i="69" s="1"/>
  <c r="T14" i="70"/>
  <c r="V15" i="70"/>
  <c r="F7" i="70"/>
  <c r="F3" i="67"/>
  <c r="Q51" i="69"/>
  <c r="Q13" i="70"/>
  <c r="M13" i="70"/>
  <c r="S18" i="70"/>
  <c r="V61" i="69"/>
  <c r="U66" i="69"/>
  <c r="U63" i="69"/>
  <c r="T66" i="69"/>
  <c r="T61" i="69"/>
  <c r="T63" i="69"/>
  <c r="S66" i="69"/>
  <c r="S61" i="69"/>
  <c r="S63" i="69"/>
  <c r="R66" i="69"/>
  <c r="R63" i="69"/>
  <c r="U61" i="69"/>
  <c r="S17" i="70"/>
  <c r="R61" i="69"/>
  <c r="Q66" i="69"/>
  <c r="O17" i="70"/>
  <c r="Q63" i="69"/>
  <c r="Q61" i="69"/>
  <c r="P63" i="69"/>
  <c r="P61" i="69"/>
  <c r="L30" i="69"/>
  <c r="L33" i="69" s="1"/>
  <c r="L36" i="69" s="1"/>
  <c r="M61" i="69"/>
  <c r="M63" i="69"/>
  <c r="H61" i="69"/>
  <c r="H63" i="69"/>
  <c r="O63" i="69"/>
  <c r="O61" i="69"/>
  <c r="F30" i="69"/>
  <c r="F33" i="69" s="1"/>
  <c r="F36" i="69" s="1"/>
  <c r="G63" i="69"/>
  <c r="F66" i="69"/>
  <c r="G61" i="69"/>
  <c r="F63" i="69"/>
  <c r="F65" i="69" s="1"/>
  <c r="J61" i="69"/>
  <c r="J63" i="69"/>
  <c r="S14" i="70"/>
  <c r="N61" i="69"/>
  <c r="N63" i="69"/>
  <c r="K63" i="69"/>
  <c r="K61" i="69"/>
  <c r="H30" i="69"/>
  <c r="H33" i="69" s="1"/>
  <c r="H36" i="69" s="1"/>
  <c r="I63" i="69"/>
  <c r="I61" i="69"/>
  <c r="L63" i="69"/>
  <c r="L61" i="69"/>
  <c r="K22" i="34"/>
  <c r="J22" i="34"/>
  <c r="H22" i="34"/>
  <c r="I22" i="34"/>
  <c r="F22" i="34"/>
  <c r="E17" i="34"/>
  <c r="E22" i="34" s="1"/>
  <c r="G22" i="34"/>
  <c r="L22" i="34"/>
  <c r="T49" i="69"/>
  <c r="U49" i="69" s="1"/>
  <c r="V49" i="69" s="1"/>
  <c r="R13" i="70"/>
  <c r="K22" i="70"/>
  <c r="K25" i="70" s="1"/>
  <c r="G22" i="70"/>
  <c r="G25" i="70" s="1"/>
  <c r="H22" i="70"/>
  <c r="H25" i="70" s="1"/>
  <c r="D23" i="85"/>
  <c r="K32" i="70"/>
  <c r="K37" i="70" s="1"/>
  <c r="F22" i="70"/>
  <c r="J22" i="70"/>
  <c r="J25" i="70" s="1"/>
  <c r="P53" i="69"/>
  <c r="I22" i="70"/>
  <c r="I25" i="70" s="1"/>
  <c r="T17" i="70"/>
  <c r="Q17" i="70"/>
  <c r="G30" i="69"/>
  <c r="F17" i="70"/>
  <c r="M52" i="69"/>
  <c r="H52" i="69"/>
  <c r="H53" i="69" s="1"/>
  <c r="C10" i="11"/>
  <c r="C49" i="11" s="1"/>
  <c r="R35" i="69"/>
  <c r="P32" i="70"/>
  <c r="F15" i="70"/>
  <c r="L15" i="70"/>
  <c r="J14" i="70"/>
  <c r="N13" i="70"/>
  <c r="G32" i="70"/>
  <c r="G37" i="70" s="1"/>
  <c r="H32" i="70"/>
  <c r="H37" i="70" s="1"/>
  <c r="L22" i="70"/>
  <c r="L25" i="70" s="1"/>
  <c r="I15" i="70"/>
  <c r="N17" i="70"/>
  <c r="K15" i="70"/>
  <c r="J30" i="69"/>
  <c r="J33" i="69" s="1"/>
  <c r="J36" i="69" s="1"/>
  <c r="I17" i="70"/>
  <c r="Q14" i="70"/>
  <c r="K14" i="70"/>
  <c r="R17" i="70"/>
  <c r="P17" i="70"/>
  <c r="N30" i="69"/>
  <c r="M17" i="70"/>
  <c r="I30" i="69"/>
  <c r="H17" i="70"/>
  <c r="J15" i="70"/>
  <c r="K17" i="70"/>
  <c r="M30" i="69"/>
  <c r="M33" i="69" s="1"/>
  <c r="M36" i="69" s="1"/>
  <c r="L17" i="70"/>
  <c r="G15" i="70"/>
  <c r="H15" i="70"/>
  <c r="O30" i="69"/>
  <c r="P30" i="69"/>
  <c r="L14" i="70"/>
  <c r="I14" i="70"/>
  <c r="G17" i="70"/>
  <c r="J17" i="70"/>
  <c r="K30" i="69"/>
  <c r="L32" i="70"/>
  <c r="L37" i="70" s="1"/>
  <c r="E3" i="11"/>
  <c r="H3" i="123"/>
  <c r="D4" i="11"/>
  <c r="F1" i="65"/>
  <c r="BD10" i="11"/>
  <c r="BI26" i="34"/>
  <c r="BI30" i="34" s="1"/>
  <c r="BE10" i="11"/>
  <c r="BI10" i="11"/>
  <c r="BA26" i="34"/>
  <c r="BB22" i="34"/>
  <c r="BC9" i="69" s="1"/>
  <c r="BG30" i="34"/>
  <c r="K10" i="11"/>
  <c r="BJ10" i="11"/>
  <c r="BJ22" i="34"/>
  <c r="BK9" i="69" s="1"/>
  <c r="BF30" i="34"/>
  <c r="BJ30" i="34"/>
  <c r="G10" i="11"/>
  <c r="BA10" i="11"/>
  <c r="E10" i="11"/>
  <c r="E49" i="11" s="1"/>
  <c r="BH10" i="11"/>
  <c r="H10" i="11"/>
  <c r="BE30" i="34"/>
  <c r="BC10" i="11"/>
  <c r="E30" i="34"/>
  <c r="J30" i="34"/>
  <c r="H30" i="34"/>
  <c r="F10" i="11"/>
  <c r="D10" i="11"/>
  <c r="F30" i="34"/>
  <c r="L30" i="34"/>
  <c r="BK30" i="34"/>
  <c r="BC30" i="34"/>
  <c r="I10" i="11"/>
  <c r="BL30" i="34"/>
  <c r="BD26" i="34"/>
  <c r="BD30" i="34" s="1"/>
  <c r="BB10" i="11"/>
  <c r="G30" i="34"/>
  <c r="I30" i="34"/>
  <c r="F4" i="118"/>
  <c r="E4" i="118"/>
  <c r="K30" i="34"/>
  <c r="AC59" i="34"/>
  <c r="H14" i="65"/>
  <c r="G24" i="65"/>
  <c r="G25" i="65" s="1"/>
  <c r="G23" i="65"/>
  <c r="P55" i="70"/>
  <c r="BH30" i="34"/>
  <c r="BF22" i="34"/>
  <c r="BG9" i="69" s="1"/>
  <c r="O60" i="34"/>
  <c r="G39" i="34"/>
  <c r="BA22" i="34"/>
  <c r="BC22" i="34"/>
  <c r="BD9" i="69" s="1"/>
  <c r="BI22" i="34"/>
  <c r="BH22" i="34"/>
  <c r="BI9" i="69" s="1"/>
  <c r="BK22" i="34"/>
  <c r="BL9" i="69" s="1"/>
  <c r="S22" i="69"/>
  <c r="R22" i="69"/>
  <c r="R30" i="69"/>
  <c r="Q30" i="69"/>
  <c r="Q22" i="69"/>
  <c r="J15" i="61"/>
  <c r="E15" i="61"/>
  <c r="BD22" i="34"/>
  <c r="BE9" i="69" s="1"/>
  <c r="BL22" i="34"/>
  <c r="BM9" i="69" s="1"/>
  <c r="BG22" i="34"/>
  <c r="BE22" i="34"/>
  <c r="BF9" i="69" s="1"/>
  <c r="Q30" i="70"/>
  <c r="P13" i="70"/>
  <c r="C15" i="61"/>
  <c r="Q34" i="70"/>
  <c r="T39" i="69"/>
  <c r="I53" i="69"/>
  <c r="M126" i="81"/>
  <c r="F12" i="69"/>
  <c r="N126" i="81"/>
  <c r="J53" i="69"/>
  <c r="G13" i="70"/>
  <c r="F18" i="69"/>
  <c r="F13" i="70"/>
  <c r="U13" i="70"/>
  <c r="I18" i="69"/>
  <c r="I12" i="69"/>
  <c r="M18" i="69"/>
  <c r="O13" i="70"/>
  <c r="L18" i="69"/>
  <c r="N18" i="69"/>
  <c r="G51" i="69"/>
  <c r="F51" i="69"/>
  <c r="T13" i="70"/>
  <c r="D21" i="85"/>
  <c r="K51" i="69"/>
  <c r="H12" i="69"/>
  <c r="J13" i="70"/>
  <c r="W13" i="70"/>
  <c r="K18" i="69"/>
  <c r="L12" i="69"/>
  <c r="J12" i="69"/>
  <c r="G12" i="69"/>
  <c r="H51" i="69"/>
  <c r="L13" i="70"/>
  <c r="C23" i="85"/>
  <c r="S13" i="70"/>
  <c r="J18" i="69"/>
  <c r="M51" i="69"/>
  <c r="I51" i="69"/>
  <c r="K12" i="69"/>
  <c r="G18" i="69"/>
  <c r="K13" i="70"/>
  <c r="I13" i="70"/>
  <c r="H13" i="70"/>
  <c r="F53" i="69"/>
  <c r="J126" i="81"/>
  <c r="M12" i="69"/>
  <c r="W16" i="70"/>
  <c r="P126" i="81"/>
  <c r="L53" i="69"/>
  <c r="E23" i="85"/>
  <c r="K126" i="81"/>
  <c r="G53" i="69"/>
  <c r="O126" i="81"/>
  <c r="K53" i="69"/>
  <c r="L51" i="69"/>
  <c r="J51" i="69"/>
  <c r="V13" i="70"/>
  <c r="H18" i="69"/>
  <c r="H39" i="70"/>
  <c r="C21" i="85"/>
  <c r="O22" i="70"/>
  <c r="O25" i="70" s="1"/>
  <c r="C64" i="109"/>
  <c r="D64" i="109" s="1"/>
  <c r="E64" i="109" s="1"/>
  <c r="F64" i="109" s="1"/>
  <c r="G64" i="109" s="1"/>
  <c r="H64" i="109" s="1"/>
  <c r="I64" i="109" s="1"/>
  <c r="J64" i="109" s="1"/>
  <c r="K64" i="109" s="1"/>
  <c r="M26" i="34"/>
  <c r="M30" i="34" s="1"/>
  <c r="E2" i="34"/>
  <c r="C4" i="61"/>
  <c r="E3" i="34"/>
  <c r="B63" i="115"/>
  <c r="L64" i="109" l="1"/>
  <c r="M64" i="109" s="1"/>
  <c r="N64" i="109" s="1"/>
  <c r="O64" i="109" s="1"/>
  <c r="P64" i="109" s="1"/>
  <c r="Q64" i="109" s="1"/>
  <c r="R64" i="109" s="1"/>
  <c r="S64" i="109" s="1"/>
  <c r="T64" i="109" s="1"/>
  <c r="U64" i="109" s="1"/>
  <c r="V64" i="109" s="1"/>
  <c r="W64" i="109" s="1"/>
  <c r="X64" i="109" s="1"/>
  <c r="Y64" i="109" s="1"/>
  <c r="Z64" i="109" s="1"/>
  <c r="AA64" i="109" s="1"/>
  <c r="AB64" i="109" s="1"/>
  <c r="AC64" i="109" s="1"/>
  <c r="AD64" i="109" s="1"/>
  <c r="AE64" i="109" s="1"/>
  <c r="AF64" i="109" s="1"/>
  <c r="AG64" i="109" s="1"/>
  <c r="AH64" i="109" s="1"/>
  <c r="AI64" i="109" s="1"/>
  <c r="AJ64" i="109" s="1"/>
  <c r="AK64" i="109" s="1"/>
  <c r="AL64" i="109" s="1"/>
  <c r="AM64" i="109" s="1"/>
  <c r="AN64" i="109" s="1"/>
  <c r="AO64" i="109" s="1"/>
  <c r="AP64" i="109" s="1"/>
  <c r="AQ64" i="109" s="1"/>
  <c r="AR64" i="109" s="1"/>
  <c r="AS64" i="109" s="1"/>
  <c r="AT64" i="109" s="1"/>
  <c r="AU64" i="109" s="1"/>
  <c r="AV64" i="109" s="1"/>
  <c r="AW64" i="109" s="1"/>
  <c r="BJ9" i="69"/>
  <c r="BJ13" i="70" s="1"/>
  <c r="BB9" i="69"/>
  <c r="BB13" i="70" s="1"/>
  <c r="BH9" i="69"/>
  <c r="BH13" i="70" s="1"/>
  <c r="AC14" i="70"/>
  <c r="BD20" i="69"/>
  <c r="BC22" i="69"/>
  <c r="BD17" i="69"/>
  <c r="BC18" i="69"/>
  <c r="BF13" i="70"/>
  <c r="BC13" i="70"/>
  <c r="M33" i="34"/>
  <c r="M34" i="34" s="1"/>
  <c r="BK13" i="70"/>
  <c r="BE13" i="70"/>
  <c r="BD13" i="70"/>
  <c r="BL13" i="70"/>
  <c r="BM13" i="70"/>
  <c r="AE14" i="70"/>
  <c r="AB49" i="69"/>
  <c r="AC49" i="69" s="1"/>
  <c r="AD49" i="69" s="1"/>
  <c r="AE49" i="69" s="1"/>
  <c r="AF49" i="69" s="1"/>
  <c r="AG49" i="69" s="1"/>
  <c r="AH49" i="69" s="1"/>
  <c r="AI49" i="69" s="1"/>
  <c r="AJ49" i="69" s="1"/>
  <c r="AK49" i="69" s="1"/>
  <c r="AL49" i="69" s="1"/>
  <c r="AM49" i="69" s="1"/>
  <c r="AN49" i="69" s="1"/>
  <c r="AO49" i="69" s="1"/>
  <c r="AP49" i="69" s="1"/>
  <c r="AQ49" i="69" s="1"/>
  <c r="AR49" i="69" s="1"/>
  <c r="AS49" i="69" s="1"/>
  <c r="AT49" i="69" s="1"/>
  <c r="AU49" i="69" s="1"/>
  <c r="AV49" i="69" s="1"/>
  <c r="AW49" i="69" s="1"/>
  <c r="AX49" i="69" s="1"/>
  <c r="AY49" i="69" s="1"/>
  <c r="AZ49" i="69" s="1"/>
  <c r="BA49" i="69" s="1"/>
  <c r="BB49" i="69" s="1"/>
  <c r="BC49" i="69" s="1"/>
  <c r="BD49" i="69" s="1"/>
  <c r="BE49" i="69" s="1"/>
  <c r="BF49" i="69" s="1"/>
  <c r="BG49" i="69" s="1"/>
  <c r="BH49" i="69" s="1"/>
  <c r="BI49" i="69" s="1"/>
  <c r="BJ49" i="69" s="1"/>
  <c r="BK49" i="69" s="1"/>
  <c r="BL49" i="69" s="1"/>
  <c r="BM49" i="69" s="1"/>
  <c r="BN49" i="69" s="1"/>
  <c r="BO49" i="69" s="1"/>
  <c r="BP49" i="69" s="1"/>
  <c r="BQ49" i="69" s="1"/>
  <c r="BR49" i="69" s="1"/>
  <c r="BS49" i="69" s="1"/>
  <c r="BT49" i="69" s="1"/>
  <c r="BU49" i="69" s="1"/>
  <c r="BV49" i="69" s="1"/>
  <c r="BW49" i="69" s="1"/>
  <c r="BX49" i="69" s="1"/>
  <c r="BY49" i="69" s="1"/>
  <c r="AB22" i="69"/>
  <c r="AC41" i="69"/>
  <c r="AD41" i="69" s="1"/>
  <c r="AE41" i="69" s="1"/>
  <c r="AF41" i="69" s="1"/>
  <c r="AG41" i="69" s="1"/>
  <c r="AH41" i="69" s="1"/>
  <c r="AI41" i="69" s="1"/>
  <c r="AJ41" i="69" s="1"/>
  <c r="AK41" i="69" s="1"/>
  <c r="AL41" i="69" s="1"/>
  <c r="AM41" i="69" s="1"/>
  <c r="AN41" i="69" s="1"/>
  <c r="AO41" i="69" s="1"/>
  <c r="AP41" i="69" s="1"/>
  <c r="AQ41" i="69" s="1"/>
  <c r="AR41" i="69" s="1"/>
  <c r="AS41" i="69" s="1"/>
  <c r="AT41" i="69" s="1"/>
  <c r="AU41" i="69" s="1"/>
  <c r="AV41" i="69" s="1"/>
  <c r="AW41" i="69" s="1"/>
  <c r="AX41" i="69" s="1"/>
  <c r="AY41" i="69" s="1"/>
  <c r="AZ41" i="69" s="1"/>
  <c r="BA41" i="69" s="1"/>
  <c r="BB41" i="69" s="1"/>
  <c r="BC41" i="69" s="1"/>
  <c r="BD41" i="69" s="1"/>
  <c r="BE41" i="69" s="1"/>
  <c r="BF41" i="69" s="1"/>
  <c r="BG41" i="69" s="1"/>
  <c r="BH41" i="69" s="1"/>
  <c r="BI41" i="69" s="1"/>
  <c r="BJ41" i="69" s="1"/>
  <c r="BK41" i="69" s="1"/>
  <c r="BL41" i="69" s="1"/>
  <c r="BM41" i="69" s="1"/>
  <c r="BN41" i="69" s="1"/>
  <c r="BO41" i="69" s="1"/>
  <c r="BP41" i="69" s="1"/>
  <c r="BQ41" i="69" s="1"/>
  <c r="BR41" i="69" s="1"/>
  <c r="BS41" i="69" s="1"/>
  <c r="BT41" i="69" s="1"/>
  <c r="BU41" i="69" s="1"/>
  <c r="BV41" i="69" s="1"/>
  <c r="BW41" i="69" s="1"/>
  <c r="BX41" i="69" s="1"/>
  <c r="BY41" i="69" s="1"/>
  <c r="AC46" i="69"/>
  <c r="AD46" i="69" s="1"/>
  <c r="AE46" i="69" s="1"/>
  <c r="AF46" i="69" s="1"/>
  <c r="AG46" i="69" s="1"/>
  <c r="AH46" i="69" s="1"/>
  <c r="AI46" i="69" s="1"/>
  <c r="AJ46" i="69" s="1"/>
  <c r="AK46" i="69" s="1"/>
  <c r="AL46" i="69" s="1"/>
  <c r="AM46" i="69" s="1"/>
  <c r="AN46" i="69" s="1"/>
  <c r="AO46" i="69" s="1"/>
  <c r="AP46" i="69" s="1"/>
  <c r="AQ46" i="69" s="1"/>
  <c r="AR46" i="69" s="1"/>
  <c r="AS46" i="69" s="1"/>
  <c r="AT46" i="69" s="1"/>
  <c r="AU46" i="69" s="1"/>
  <c r="AV46" i="69" s="1"/>
  <c r="AW46" i="69" s="1"/>
  <c r="AX46" i="69" s="1"/>
  <c r="AY46" i="69" s="1"/>
  <c r="AZ46" i="69" s="1"/>
  <c r="BA46" i="69" s="1"/>
  <c r="BB46" i="69" s="1"/>
  <c r="BC46" i="69" s="1"/>
  <c r="BD46" i="69" s="1"/>
  <c r="BE46" i="69" s="1"/>
  <c r="BF46" i="69" s="1"/>
  <c r="BG46" i="69" s="1"/>
  <c r="BH46" i="69" s="1"/>
  <c r="BI46" i="69" s="1"/>
  <c r="BJ46" i="69" s="1"/>
  <c r="BK46" i="69" s="1"/>
  <c r="BL46" i="69" s="1"/>
  <c r="BM46" i="69" s="1"/>
  <c r="BN46" i="69" s="1"/>
  <c r="BO46" i="69" s="1"/>
  <c r="BP46" i="69" s="1"/>
  <c r="BQ46" i="69" s="1"/>
  <c r="BR46" i="69" s="1"/>
  <c r="BS46" i="69" s="1"/>
  <c r="BT46" i="69" s="1"/>
  <c r="BU46" i="69" s="1"/>
  <c r="BV46" i="69" s="1"/>
  <c r="BW46" i="69" s="1"/>
  <c r="BX46" i="69" s="1"/>
  <c r="BY46" i="69" s="1"/>
  <c r="AC47" i="69"/>
  <c r="AD47" i="69" s="1"/>
  <c r="AE47" i="69" s="1"/>
  <c r="AF47" i="69" s="1"/>
  <c r="AG47" i="69" s="1"/>
  <c r="AH47" i="69" s="1"/>
  <c r="AI47" i="69" s="1"/>
  <c r="AJ47" i="69" s="1"/>
  <c r="AK47" i="69" s="1"/>
  <c r="AL47" i="69" s="1"/>
  <c r="AM47" i="69" s="1"/>
  <c r="AN47" i="69" s="1"/>
  <c r="AO47" i="69" s="1"/>
  <c r="AP47" i="69" s="1"/>
  <c r="AQ47" i="69" s="1"/>
  <c r="AR47" i="69" s="1"/>
  <c r="AS47" i="69" s="1"/>
  <c r="AT47" i="69" s="1"/>
  <c r="AU47" i="69" s="1"/>
  <c r="AV47" i="69" s="1"/>
  <c r="AW47" i="69" s="1"/>
  <c r="AX47" i="69" s="1"/>
  <c r="AY47" i="69" s="1"/>
  <c r="AZ47" i="69" s="1"/>
  <c r="BA47" i="69" s="1"/>
  <c r="BB47" i="69" s="1"/>
  <c r="BC47" i="69" s="1"/>
  <c r="BD47" i="69" s="1"/>
  <c r="BE47" i="69" s="1"/>
  <c r="BF47" i="69" s="1"/>
  <c r="BG47" i="69" s="1"/>
  <c r="BH47" i="69" s="1"/>
  <c r="BI47" i="69" s="1"/>
  <c r="BJ47" i="69" s="1"/>
  <c r="BK47" i="69" s="1"/>
  <c r="BL47" i="69" s="1"/>
  <c r="BM47" i="69" s="1"/>
  <c r="BN47" i="69" s="1"/>
  <c r="BO47" i="69" s="1"/>
  <c r="BP47" i="69" s="1"/>
  <c r="BQ47" i="69" s="1"/>
  <c r="BR47" i="69" s="1"/>
  <c r="BS47" i="69" s="1"/>
  <c r="BT47" i="69" s="1"/>
  <c r="BU47" i="69" s="1"/>
  <c r="BV47" i="69" s="1"/>
  <c r="BW47" i="69" s="1"/>
  <c r="BX47" i="69" s="1"/>
  <c r="BY47" i="69" s="1"/>
  <c r="AC44" i="69"/>
  <c r="AD44" i="69" s="1"/>
  <c r="AE44" i="69" s="1"/>
  <c r="AF44" i="69" s="1"/>
  <c r="AG44" i="69" s="1"/>
  <c r="AH44" i="69" s="1"/>
  <c r="AI44" i="69" s="1"/>
  <c r="AJ44" i="69" s="1"/>
  <c r="AK44" i="69" s="1"/>
  <c r="AL44" i="69" s="1"/>
  <c r="AM44" i="69" s="1"/>
  <c r="AN44" i="69" s="1"/>
  <c r="AO44" i="69" s="1"/>
  <c r="AP44" i="69" s="1"/>
  <c r="AQ44" i="69" s="1"/>
  <c r="AR44" i="69" s="1"/>
  <c r="AS44" i="69" s="1"/>
  <c r="AT44" i="69" s="1"/>
  <c r="AU44" i="69" s="1"/>
  <c r="AV44" i="69" s="1"/>
  <c r="AW44" i="69" s="1"/>
  <c r="AX44" i="69" s="1"/>
  <c r="AY44" i="69" s="1"/>
  <c r="AZ44" i="69" s="1"/>
  <c r="BA44" i="69" s="1"/>
  <c r="BB44" i="69" s="1"/>
  <c r="BC44" i="69" s="1"/>
  <c r="BD44" i="69" s="1"/>
  <c r="BE44" i="69" s="1"/>
  <c r="BF44" i="69" s="1"/>
  <c r="BG44" i="69" s="1"/>
  <c r="BH44" i="69" s="1"/>
  <c r="BI44" i="69" s="1"/>
  <c r="BJ44" i="69" s="1"/>
  <c r="BK44" i="69" s="1"/>
  <c r="BL44" i="69" s="1"/>
  <c r="BM44" i="69" s="1"/>
  <c r="BN44" i="69" s="1"/>
  <c r="BO44" i="69" s="1"/>
  <c r="BP44" i="69" s="1"/>
  <c r="BQ44" i="69" s="1"/>
  <c r="BR44" i="69" s="1"/>
  <c r="BS44" i="69" s="1"/>
  <c r="BT44" i="69" s="1"/>
  <c r="BU44" i="69" s="1"/>
  <c r="BV44" i="69" s="1"/>
  <c r="BW44" i="69" s="1"/>
  <c r="BX44" i="69" s="1"/>
  <c r="BY44" i="69" s="1"/>
  <c r="AC40" i="69"/>
  <c r="AD40" i="69" s="1"/>
  <c r="AE40" i="69" s="1"/>
  <c r="AF40" i="69" s="1"/>
  <c r="AG40" i="69" s="1"/>
  <c r="AH40" i="69" s="1"/>
  <c r="AI40" i="69" s="1"/>
  <c r="AJ40" i="69" s="1"/>
  <c r="AK40" i="69" s="1"/>
  <c r="AL40" i="69" s="1"/>
  <c r="AM40" i="69" s="1"/>
  <c r="AN40" i="69" s="1"/>
  <c r="AO40" i="69" s="1"/>
  <c r="AP40" i="69" s="1"/>
  <c r="AQ40" i="69" s="1"/>
  <c r="AR40" i="69" s="1"/>
  <c r="AS40" i="69" s="1"/>
  <c r="AT40" i="69" s="1"/>
  <c r="AU40" i="69" s="1"/>
  <c r="AV40" i="69" s="1"/>
  <c r="AW40" i="69" s="1"/>
  <c r="AX40" i="69" s="1"/>
  <c r="AY40" i="69" s="1"/>
  <c r="AZ40" i="69" s="1"/>
  <c r="BA40" i="69" s="1"/>
  <c r="BB40" i="69" s="1"/>
  <c r="BC40" i="69" s="1"/>
  <c r="BD40" i="69" s="1"/>
  <c r="BE40" i="69" s="1"/>
  <c r="BF40" i="69" s="1"/>
  <c r="BG40" i="69" s="1"/>
  <c r="BH40" i="69" s="1"/>
  <c r="BI40" i="69" s="1"/>
  <c r="BJ40" i="69" s="1"/>
  <c r="BK40" i="69" s="1"/>
  <c r="P16" i="70"/>
  <c r="E4" i="119"/>
  <c r="G4" i="118"/>
  <c r="H4" i="118" s="1"/>
  <c r="I4" i="118" s="1"/>
  <c r="AA43" i="69"/>
  <c r="AB43" i="69" s="1"/>
  <c r="Y34" i="70"/>
  <c r="D4" i="115"/>
  <c r="G2" i="107"/>
  <c r="E4" i="125" s="1"/>
  <c r="D4" i="109"/>
  <c r="Q33" i="69"/>
  <c r="AA42" i="69"/>
  <c r="AB42" i="69" s="1"/>
  <c r="Y35" i="70"/>
  <c r="I65" i="69"/>
  <c r="I67" i="69" s="1"/>
  <c r="L16" i="70"/>
  <c r="G65" i="69"/>
  <c r="G67" i="69" s="1"/>
  <c r="G16" i="70"/>
  <c r="N65" i="69"/>
  <c r="N67" i="69" s="1"/>
  <c r="F3" i="34"/>
  <c r="H16" i="70"/>
  <c r="D4" i="61"/>
  <c r="R65" i="69"/>
  <c r="R67" i="69" s="1"/>
  <c r="K4" i="118"/>
  <c r="F16" i="70"/>
  <c r="O65" i="69"/>
  <c r="O67" i="69" s="1"/>
  <c r="F67" i="69"/>
  <c r="P65" i="69"/>
  <c r="P67" i="69" s="1"/>
  <c r="L65" i="69"/>
  <c r="L67" i="69" s="1"/>
  <c r="Q65" i="69"/>
  <c r="Q67" i="69" s="1"/>
  <c r="J65" i="69"/>
  <c r="J67" i="69" s="1"/>
  <c r="M65" i="69"/>
  <c r="M67" i="69" s="1"/>
  <c r="K65" i="69"/>
  <c r="K67" i="69" s="1"/>
  <c r="H65" i="69"/>
  <c r="H67" i="69" s="1"/>
  <c r="G33" i="69"/>
  <c r="G36" i="69" s="1"/>
  <c r="C37" i="116"/>
  <c r="R23" i="70"/>
  <c r="J16" i="70"/>
  <c r="F25" i="70"/>
  <c r="Q23" i="70"/>
  <c r="N16" i="70"/>
  <c r="D37" i="116"/>
  <c r="S35" i="69"/>
  <c r="Q32" i="70"/>
  <c r="M16" i="70"/>
  <c r="I33" i="69"/>
  <c r="I36" i="69" s="1"/>
  <c r="O16" i="70"/>
  <c r="I16" i="70"/>
  <c r="K16" i="70"/>
  <c r="K33" i="69"/>
  <c r="K36" i="69" s="1"/>
  <c r="G48" i="34"/>
  <c r="E23" i="11"/>
  <c r="L44" i="34"/>
  <c r="F44" i="34"/>
  <c r="G44" i="34"/>
  <c r="E44" i="34"/>
  <c r="E38" i="34"/>
  <c r="L38" i="34"/>
  <c r="K38" i="34"/>
  <c r="C25" i="85"/>
  <c r="F3" i="11"/>
  <c r="I3" i="123"/>
  <c r="L3" i="81"/>
  <c r="H2" i="69" s="1"/>
  <c r="E5" i="11"/>
  <c r="E4" i="11"/>
  <c r="G1" i="65"/>
  <c r="G1" i="34"/>
  <c r="G3" i="67"/>
  <c r="G7" i="70"/>
  <c r="H15" i="61"/>
  <c r="F15" i="61"/>
  <c r="I15" i="61"/>
  <c r="G15" i="61"/>
  <c r="I23" i="11"/>
  <c r="H39" i="34"/>
  <c r="K39" i="34"/>
  <c r="I49" i="11"/>
  <c r="F49" i="11"/>
  <c r="H49" i="11"/>
  <c r="J49" i="11"/>
  <c r="E43" i="34"/>
  <c r="BJ33" i="34"/>
  <c r="BJ34" i="34" s="1"/>
  <c r="BK33" i="34"/>
  <c r="BK34" i="34" s="1"/>
  <c r="K33" i="34"/>
  <c r="K34" i="34" s="1"/>
  <c r="BF33" i="34"/>
  <c r="BF34" i="34" s="1"/>
  <c r="O18" i="69"/>
  <c r="N22" i="70" s="1"/>
  <c r="G4" i="119"/>
  <c r="H4" i="119" s="1"/>
  <c r="AD59" i="34"/>
  <c r="K4" i="119"/>
  <c r="H24" i="65"/>
  <c r="H25" i="65" s="1"/>
  <c r="I14" i="65"/>
  <c r="H23" i="65"/>
  <c r="BL33" i="34"/>
  <c r="BL34" i="34" s="1"/>
  <c r="J33" i="34"/>
  <c r="J34" i="34" s="1"/>
  <c r="F33" i="34"/>
  <c r="F34" i="34" s="1"/>
  <c r="K43" i="34"/>
  <c r="E19" i="11"/>
  <c r="F45" i="107" s="1"/>
  <c r="G33" i="34"/>
  <c r="G34" i="34" s="1"/>
  <c r="L33" i="34"/>
  <c r="L34" i="34" s="1"/>
  <c r="BC33" i="34"/>
  <c r="BC34" i="34" s="1"/>
  <c r="I33" i="34"/>
  <c r="I34" i="34" s="1"/>
  <c r="BD33" i="34"/>
  <c r="BD34" i="34" s="1"/>
  <c r="BH33" i="34"/>
  <c r="BH34" i="34" s="1"/>
  <c r="BI33" i="34"/>
  <c r="BI34" i="34" s="1"/>
  <c r="BE33" i="34"/>
  <c r="BE34" i="34" s="1"/>
  <c r="T22" i="69"/>
  <c r="Q16" i="70"/>
  <c r="I39" i="34"/>
  <c r="E39" i="34"/>
  <c r="G38" i="34"/>
  <c r="G40" i="34" s="1"/>
  <c r="G43" i="34"/>
  <c r="C19" i="11"/>
  <c r="D45" i="107" s="1"/>
  <c r="D19" i="11"/>
  <c r="E45" i="107" s="1"/>
  <c r="G19" i="11"/>
  <c r="H45" i="107" s="1"/>
  <c r="F39" i="34"/>
  <c r="F23" i="11"/>
  <c r="E33" i="34"/>
  <c r="BG33" i="34"/>
  <c r="BG34" i="34" s="1"/>
  <c r="H33" i="34"/>
  <c r="H34" i="34" s="1"/>
  <c r="H23" i="11"/>
  <c r="C23" i="11"/>
  <c r="J23" i="11"/>
  <c r="J19" i="11"/>
  <c r="K45" i="107" s="1"/>
  <c r="U39" i="69"/>
  <c r="M53" i="69"/>
  <c r="M22" i="70"/>
  <c r="R34" i="70"/>
  <c r="Q35" i="70"/>
  <c r="Q37" i="70" s="1"/>
  <c r="P25" i="70"/>
  <c r="F23" i="85"/>
  <c r="R23" i="85" s="1"/>
  <c r="Q18" i="69"/>
  <c r="C63" i="115"/>
  <c r="E63" i="115"/>
  <c r="H63" i="115"/>
  <c r="I63" i="115"/>
  <c r="D63" i="115"/>
  <c r="F63" i="115"/>
  <c r="G63" i="115"/>
  <c r="AE42" i="115"/>
  <c r="AK48" i="115"/>
  <c r="AD41" i="115"/>
  <c r="AG45" i="115"/>
  <c r="AI46" i="115"/>
  <c r="AK61" i="115"/>
  <c r="AC40" i="115"/>
  <c r="AF43" i="115"/>
  <c r="AJ47" i="115"/>
  <c r="AH46" i="115"/>
  <c r="AA39" i="115"/>
  <c r="AG44" i="115"/>
  <c r="AJ48" i="115"/>
  <c r="AH45" i="115"/>
  <c r="AB40" i="115"/>
  <c r="AE43" i="115"/>
  <c r="AD42" i="115"/>
  <c r="AA38" i="115"/>
  <c r="AF44" i="115"/>
  <c r="AB39" i="115"/>
  <c r="AC41" i="115"/>
  <c r="AI47" i="115"/>
  <c r="AG42" i="115"/>
  <c r="AE40" i="115"/>
  <c r="AB37" i="115"/>
  <c r="AA36" i="115"/>
  <c r="AF41" i="115"/>
  <c r="AH43" i="115"/>
  <c r="AK46" i="115"/>
  <c r="AJ45" i="115"/>
  <c r="AC38" i="115"/>
  <c r="AD39" i="115"/>
  <c r="AI44" i="115"/>
  <c r="AE37" i="115"/>
  <c r="AD36" i="115"/>
  <c r="AG39" i="115"/>
  <c r="AH40" i="115"/>
  <c r="AA33" i="115"/>
  <c r="AC35" i="115"/>
  <c r="AB34" i="115"/>
  <c r="AJ42" i="115"/>
  <c r="AI41" i="115"/>
  <c r="AF38" i="115"/>
  <c r="AK43" i="115"/>
  <c r="AD34" i="115"/>
  <c r="AJ40" i="115"/>
  <c r="AA31" i="115"/>
  <c r="AE35" i="115"/>
  <c r="AK41" i="115"/>
  <c r="AC33" i="115"/>
  <c r="AI39" i="115"/>
  <c r="AB32" i="115"/>
  <c r="AH38" i="115"/>
  <c r="AG37" i="115"/>
  <c r="AF36" i="115"/>
  <c r="AK40" i="115"/>
  <c r="AF35" i="115"/>
  <c r="AD33" i="115"/>
  <c r="AB31" i="115"/>
  <c r="AI38" i="115"/>
  <c r="AG36" i="115"/>
  <c r="AH37" i="115"/>
  <c r="AE34" i="115"/>
  <c r="AJ39" i="115"/>
  <c r="AA30" i="115"/>
  <c r="AC32" i="115"/>
  <c r="AH39" i="115"/>
  <c r="AJ41" i="115"/>
  <c r="AA32" i="115"/>
  <c r="AC34" i="115"/>
  <c r="AI40" i="115"/>
  <c r="AB33" i="115"/>
  <c r="AG38" i="115"/>
  <c r="AD35" i="115"/>
  <c r="AK42" i="115"/>
  <c r="AF37" i="115"/>
  <c r="AE36" i="115"/>
  <c r="J63" i="115"/>
  <c r="AJ38" i="115"/>
  <c r="AH36" i="115"/>
  <c r="AD32" i="115"/>
  <c r="AF34" i="115"/>
  <c r="AE33" i="115"/>
  <c r="AI37" i="115"/>
  <c r="AA29" i="115"/>
  <c r="AG35" i="115"/>
  <c r="AK39" i="115"/>
  <c r="AB30" i="115"/>
  <c r="AC31" i="115"/>
  <c r="AD40" i="115"/>
  <c r="AC39" i="115"/>
  <c r="AJ46" i="115"/>
  <c r="AI45" i="115"/>
  <c r="AF42" i="115"/>
  <c r="AH44" i="115"/>
  <c r="AA37" i="115"/>
  <c r="AE41" i="115"/>
  <c r="AK47" i="115"/>
  <c r="AB38" i="115"/>
  <c r="AG43" i="115"/>
  <c r="S34" i="70"/>
  <c r="L39" i="34"/>
  <c r="AA35" i="115"/>
  <c r="AE39" i="115"/>
  <c r="AH42" i="115"/>
  <c r="AI43" i="115"/>
  <c r="AJ44" i="115"/>
  <c r="AK45" i="115"/>
  <c r="AD38" i="115"/>
  <c r="AF40" i="115"/>
  <c r="AG41" i="115"/>
  <c r="AB36" i="115"/>
  <c r="AC37" i="115"/>
  <c r="J39" i="34"/>
  <c r="H19" i="11"/>
  <c r="I45" i="107" s="1"/>
  <c r="K63" i="115"/>
  <c r="AA34" i="115"/>
  <c r="AJ43" i="115"/>
  <c r="AC36" i="115"/>
  <c r="AG40" i="115"/>
  <c r="AF39" i="115"/>
  <c r="AK44" i="115"/>
  <c r="AI42" i="115"/>
  <c r="AE38" i="115"/>
  <c r="AH41" i="115"/>
  <c r="AB35" i="115"/>
  <c r="AD37" i="115"/>
  <c r="BG13" i="70" l="1"/>
  <c r="BI13" i="70"/>
  <c r="AD14" i="70"/>
  <c r="AJ14" i="70"/>
  <c r="AF14" i="70"/>
  <c r="AN14" i="70"/>
  <c r="AK14" i="70"/>
  <c r="AL14" i="70"/>
  <c r="AI14" i="70"/>
  <c r="AH14" i="70"/>
  <c r="AG14" i="70"/>
  <c r="AM14" i="70"/>
  <c r="BE17" i="69"/>
  <c r="BD18" i="69"/>
  <c r="BE20" i="69"/>
  <c r="BD22" i="69"/>
  <c r="BL40" i="69"/>
  <c r="J4" i="118"/>
  <c r="L4" i="118" s="1"/>
  <c r="D5" i="118" s="1"/>
  <c r="Z35" i="70"/>
  <c r="E4" i="115"/>
  <c r="E4" i="109"/>
  <c r="H2" i="107"/>
  <c r="F4" i="125" s="1"/>
  <c r="Z34" i="70"/>
  <c r="F37" i="116"/>
  <c r="N25" i="70"/>
  <c r="M25" i="70"/>
  <c r="E37" i="116"/>
  <c r="E34" i="34"/>
  <c r="T35" i="69"/>
  <c r="R32" i="70"/>
  <c r="Q25" i="70"/>
  <c r="E38" i="11"/>
  <c r="E40" i="11" s="1"/>
  <c r="G45" i="34"/>
  <c r="E45" i="34"/>
  <c r="H43" i="34"/>
  <c r="H44" i="34"/>
  <c r="K44" i="34"/>
  <c r="K45" i="34" s="1"/>
  <c r="I44" i="34"/>
  <c r="J44" i="34"/>
  <c r="J38" i="34"/>
  <c r="J40" i="34" s="1"/>
  <c r="F38" i="34"/>
  <c r="F40" i="34" s="1"/>
  <c r="I38" i="34"/>
  <c r="I40" i="34" s="1"/>
  <c r="F25" i="85"/>
  <c r="E25" i="85"/>
  <c r="G2" i="34"/>
  <c r="G3" i="34"/>
  <c r="E4" i="61"/>
  <c r="D15" i="61"/>
  <c r="G3" i="11"/>
  <c r="J3" i="123"/>
  <c r="H1" i="34"/>
  <c r="H3" i="67"/>
  <c r="H7" i="70"/>
  <c r="F5" i="11"/>
  <c r="M3" i="81"/>
  <c r="I2" i="69" s="1"/>
  <c r="H1" i="65"/>
  <c r="F4" i="11"/>
  <c r="D25" i="85"/>
  <c r="G23" i="11"/>
  <c r="F19" i="11"/>
  <c r="G45" i="107" s="1"/>
  <c r="I19" i="11"/>
  <c r="J45" i="107" s="1"/>
  <c r="S30" i="69"/>
  <c r="D49" i="11"/>
  <c r="D23" i="11"/>
  <c r="G49" i="11"/>
  <c r="P18" i="69"/>
  <c r="Q60" i="34"/>
  <c r="I4" i="119"/>
  <c r="J4" i="119" s="1"/>
  <c r="L4" i="119" s="1"/>
  <c r="D5" i="119" s="1"/>
  <c r="E40" i="34"/>
  <c r="J14" i="65"/>
  <c r="I24" i="65"/>
  <c r="I25" i="65" s="1"/>
  <c r="I23" i="65"/>
  <c r="F5" i="118"/>
  <c r="K5" i="118" s="1"/>
  <c r="E5" i="118"/>
  <c r="Q55" i="70"/>
  <c r="AE59" i="34"/>
  <c r="T23" i="70"/>
  <c r="V39" i="69"/>
  <c r="R35" i="70"/>
  <c r="G23" i="85"/>
  <c r="T34" i="70"/>
  <c r="K40" i="34"/>
  <c r="L40" i="34"/>
  <c r="AO14" i="70" l="1"/>
  <c r="BF20" i="69"/>
  <c r="BE22" i="69"/>
  <c r="BF17" i="69"/>
  <c r="BE18" i="69"/>
  <c r="BM40" i="69"/>
  <c r="BN40" i="69" s="1"/>
  <c r="BO40" i="69" s="1"/>
  <c r="BP40" i="69" s="1"/>
  <c r="BQ40" i="69" s="1"/>
  <c r="BR40" i="69" s="1"/>
  <c r="BS40" i="69" s="1"/>
  <c r="BT40" i="69" s="1"/>
  <c r="BU40" i="69" s="1"/>
  <c r="BV40" i="69" s="1"/>
  <c r="BW40" i="69" s="1"/>
  <c r="BX40" i="69" s="1"/>
  <c r="BY40" i="69" s="1"/>
  <c r="AP22" i="69"/>
  <c r="S37" i="116"/>
  <c r="AC43" i="69"/>
  <c r="AA34" i="70"/>
  <c r="F4" i="115"/>
  <c r="F4" i="109"/>
  <c r="I2" i="107"/>
  <c r="G4" i="125" s="1"/>
  <c r="AC42" i="69"/>
  <c r="AA35" i="70"/>
  <c r="G5" i="118"/>
  <c r="H5" i="118" s="1"/>
  <c r="R16" i="70"/>
  <c r="U35" i="69"/>
  <c r="S32" i="70"/>
  <c r="H45" i="34"/>
  <c r="F49" i="34"/>
  <c r="L49" i="34"/>
  <c r="E49" i="34"/>
  <c r="J49" i="34"/>
  <c r="G49" i="34"/>
  <c r="G61" i="34" s="1"/>
  <c r="L43" i="34"/>
  <c r="L45" i="34" s="1"/>
  <c r="H38" i="34"/>
  <c r="H40" i="34" s="1"/>
  <c r="H3" i="11"/>
  <c r="K3" i="123"/>
  <c r="G5" i="11"/>
  <c r="I3" i="67"/>
  <c r="I1" i="65"/>
  <c r="I7" i="70"/>
  <c r="G4" i="11"/>
  <c r="N3" i="81"/>
  <c r="J2" i="69" s="1"/>
  <c r="I1" i="34"/>
  <c r="H2" i="34"/>
  <c r="H3" i="34"/>
  <c r="F4" i="61"/>
  <c r="J24" i="65"/>
  <c r="J25" i="65" s="1"/>
  <c r="J23" i="65"/>
  <c r="K14" i="65"/>
  <c r="R60" i="34"/>
  <c r="I5" i="118"/>
  <c r="J5" i="118" s="1"/>
  <c r="L5" i="118" s="1"/>
  <c r="AF59" i="34"/>
  <c r="E5" i="119"/>
  <c r="F5" i="119"/>
  <c r="G5" i="119" s="1"/>
  <c r="H5" i="119" s="1"/>
  <c r="V22" i="69"/>
  <c r="U23" i="70" s="1"/>
  <c r="W39" i="69"/>
  <c r="H23" i="85"/>
  <c r="U34" i="70"/>
  <c r="AP14" i="70" l="1"/>
  <c r="BG17" i="69"/>
  <c r="BF18" i="69"/>
  <c r="BG20" i="69"/>
  <c r="BF22" i="69"/>
  <c r="AQ22" i="69"/>
  <c r="F10" i="126"/>
  <c r="F17" i="126" s="1"/>
  <c r="E10" i="126"/>
  <c r="E17" i="126" s="1"/>
  <c r="AD42" i="69"/>
  <c r="AB35" i="70"/>
  <c r="G4" i="115"/>
  <c r="J2" i="107"/>
  <c r="H4" i="125" s="1"/>
  <c r="G4" i="109"/>
  <c r="AD43" i="69"/>
  <c r="AB34" i="70"/>
  <c r="K5" i="119"/>
  <c r="R25" i="70"/>
  <c r="V35" i="69"/>
  <c r="T32" i="70"/>
  <c r="G63" i="34"/>
  <c r="G65" i="34" s="1"/>
  <c r="G66" i="34"/>
  <c r="H49" i="34"/>
  <c r="K49" i="34"/>
  <c r="I49" i="34"/>
  <c r="J38" i="11"/>
  <c r="J40" i="11" s="1"/>
  <c r="L48" i="34"/>
  <c r="L61" i="34" s="1"/>
  <c r="K48" i="34"/>
  <c r="I38" i="11"/>
  <c r="I40" i="11" s="1"/>
  <c r="J48" i="34"/>
  <c r="J61" i="34" s="1"/>
  <c r="H38" i="11"/>
  <c r="H40" i="11" s="1"/>
  <c r="E48" i="34"/>
  <c r="E61" i="34" s="1"/>
  <c r="E66" i="34" s="1"/>
  <c r="E74" i="34" s="1"/>
  <c r="E78" i="34" s="1"/>
  <c r="E82" i="34" s="1"/>
  <c r="C38" i="11"/>
  <c r="C40" i="11" s="1"/>
  <c r="F43" i="34"/>
  <c r="F45" i="34" s="1"/>
  <c r="I43" i="34"/>
  <c r="I45" i="34" s="1"/>
  <c r="J43" i="34"/>
  <c r="J45" i="34" s="1"/>
  <c r="I2" i="34"/>
  <c r="G4" i="61"/>
  <c r="I3" i="34"/>
  <c r="I3" i="11"/>
  <c r="L3" i="123"/>
  <c r="J7" i="70"/>
  <c r="H4" i="11"/>
  <c r="O3" i="81"/>
  <c r="K2" i="69" s="1"/>
  <c r="J3" i="67"/>
  <c r="J1" i="65"/>
  <c r="H5" i="11"/>
  <c r="J1" i="34"/>
  <c r="AG59" i="34"/>
  <c r="I5" i="119"/>
  <c r="J5" i="119" s="1"/>
  <c r="L5" i="119" s="1"/>
  <c r="R55" i="70"/>
  <c r="L14" i="65"/>
  <c r="K23" i="65"/>
  <c r="K24" i="65"/>
  <c r="K25" i="65" s="1"/>
  <c r="D6" i="118"/>
  <c r="S32" i="69"/>
  <c r="S60" i="34"/>
  <c r="W22" i="69"/>
  <c r="X39" i="69"/>
  <c r="Y39" i="69" s="1"/>
  <c r="Z39" i="69" s="1"/>
  <c r="S35" i="70"/>
  <c r="I23" i="85"/>
  <c r="T35" i="70"/>
  <c r="V34" i="70"/>
  <c r="K15" i="61"/>
  <c r="AQ14" i="70" l="1"/>
  <c r="BH20" i="69"/>
  <c r="BG22" i="69"/>
  <c r="BH17" i="69"/>
  <c r="BG18" i="69"/>
  <c r="AR22" i="69"/>
  <c r="S25" i="70"/>
  <c r="H4" i="115"/>
  <c r="K2" i="107"/>
  <c r="I4" i="125" s="1"/>
  <c r="H4" i="109"/>
  <c r="AE43" i="69"/>
  <c r="AC34" i="70"/>
  <c r="AE42" i="69"/>
  <c r="AC35" i="70"/>
  <c r="S33" i="69"/>
  <c r="S36" i="69" s="1"/>
  <c r="R31" i="70"/>
  <c r="G37" i="116"/>
  <c r="K61" i="34"/>
  <c r="K63" i="34" s="1"/>
  <c r="K65" i="34" s="1"/>
  <c r="W35" i="69"/>
  <c r="U32" i="70"/>
  <c r="G69" i="34"/>
  <c r="G74" i="34"/>
  <c r="G78" i="34" s="1"/>
  <c r="G82" i="34" s="1"/>
  <c r="L63" i="34"/>
  <c r="L65" i="34" s="1"/>
  <c r="L66" i="34"/>
  <c r="I48" i="34"/>
  <c r="I61" i="34" s="1"/>
  <c r="I63" i="34" s="1"/>
  <c r="I65" i="34" s="1"/>
  <c r="G38" i="11"/>
  <c r="G40" i="11" s="1"/>
  <c r="F38" i="11"/>
  <c r="F40" i="11" s="1"/>
  <c r="H48" i="34"/>
  <c r="H61" i="34" s="1"/>
  <c r="F48" i="34"/>
  <c r="F61" i="34" s="1"/>
  <c r="F66" i="34" s="1"/>
  <c r="D38" i="11"/>
  <c r="D40" i="11" s="1"/>
  <c r="E63" i="34"/>
  <c r="E65" i="34" s="1"/>
  <c r="J66" i="34"/>
  <c r="J63" i="34"/>
  <c r="J65" i="34" s="1"/>
  <c r="H4" i="61"/>
  <c r="J3" i="34"/>
  <c r="J2" i="34"/>
  <c r="J3" i="11"/>
  <c r="M3" i="123"/>
  <c r="K1" i="65"/>
  <c r="K7" i="70"/>
  <c r="I4" i="11"/>
  <c r="P3" i="81"/>
  <c r="L2" i="69" s="1"/>
  <c r="K3" i="67"/>
  <c r="K1" i="34"/>
  <c r="I5" i="11"/>
  <c r="T60" i="34"/>
  <c r="M14" i="65"/>
  <c r="L23" i="65"/>
  <c r="L24" i="65"/>
  <c r="L25" i="65" s="1"/>
  <c r="R10" i="70"/>
  <c r="AH59" i="34"/>
  <c r="D6" i="119"/>
  <c r="F6" i="118"/>
  <c r="E6" i="118"/>
  <c r="X22" i="69"/>
  <c r="T25" i="70"/>
  <c r="U35" i="70"/>
  <c r="W34" i="70"/>
  <c r="AR14" i="70" l="1"/>
  <c r="BI17" i="69"/>
  <c r="BH18" i="69"/>
  <c r="BI20" i="69"/>
  <c r="BH22" i="69"/>
  <c r="AS22" i="69"/>
  <c r="G6" i="118"/>
  <c r="L2" i="107"/>
  <c r="J4" i="125" s="1"/>
  <c r="I4" i="115"/>
  <c r="I4" i="109"/>
  <c r="AF42" i="69"/>
  <c r="AD35" i="70"/>
  <c r="AF43" i="69"/>
  <c r="AD34" i="70"/>
  <c r="H6" i="118"/>
  <c r="G9" i="70"/>
  <c r="G19" i="70" s="1"/>
  <c r="G40" i="70" s="1"/>
  <c r="G41" i="70" s="1"/>
  <c r="G42" i="70" s="1"/>
  <c r="G85" i="34"/>
  <c r="K66" i="34"/>
  <c r="K69" i="34" s="1"/>
  <c r="X35" i="69"/>
  <c r="Y35" i="69" s="1"/>
  <c r="V32" i="70"/>
  <c r="F63" i="34"/>
  <c r="F65" i="34" s="1"/>
  <c r="I66" i="34"/>
  <c r="I74" i="34" s="1"/>
  <c r="I78" i="34" s="1"/>
  <c r="I82" i="34" s="1"/>
  <c r="L74" i="34"/>
  <c r="L78" i="34" s="1"/>
  <c r="L82" i="34" s="1"/>
  <c r="L69" i="34"/>
  <c r="E69" i="34"/>
  <c r="H63" i="34"/>
  <c r="H65" i="34" s="1"/>
  <c r="H66" i="34"/>
  <c r="J74" i="34"/>
  <c r="J78" i="34" s="1"/>
  <c r="J82" i="34" s="1"/>
  <c r="J69" i="34"/>
  <c r="F74" i="34"/>
  <c r="F78" i="34" s="1"/>
  <c r="F82" i="34" s="1"/>
  <c r="F69" i="34"/>
  <c r="K2" i="34"/>
  <c r="K3" i="34"/>
  <c r="I4" i="61"/>
  <c r="K3" i="11"/>
  <c r="N3" i="123"/>
  <c r="L7" i="70"/>
  <c r="Q3" i="81"/>
  <c r="M2" i="69" s="1"/>
  <c r="J4" i="11"/>
  <c r="J5" i="11"/>
  <c r="L1" i="65"/>
  <c r="L1" i="34"/>
  <c r="L3" i="67"/>
  <c r="I6" i="118"/>
  <c r="R37" i="70"/>
  <c r="AI59" i="34"/>
  <c r="M24" i="65"/>
  <c r="M25" i="65" s="1"/>
  <c r="M23" i="65"/>
  <c r="N14" i="65"/>
  <c r="K6" i="118"/>
  <c r="F6" i="119"/>
  <c r="K6" i="119" s="1"/>
  <c r="E6" i="119"/>
  <c r="V35" i="70"/>
  <c r="U25" i="70"/>
  <c r="L63" i="115"/>
  <c r="M15" i="61"/>
  <c r="L15" i="61"/>
  <c r="AS14" i="70" l="1"/>
  <c r="BJ20" i="69"/>
  <c r="BI22" i="69"/>
  <c r="BJ17" i="69"/>
  <c r="BI18" i="69"/>
  <c r="AT22" i="69"/>
  <c r="Z35" i="69"/>
  <c r="X32" i="70"/>
  <c r="J6" i="118"/>
  <c r="L6" i="118" s="1"/>
  <c r="AG43" i="69"/>
  <c r="AE34" i="70"/>
  <c r="AG42" i="69"/>
  <c r="AE35" i="70"/>
  <c r="J4" i="115"/>
  <c r="J4" i="109"/>
  <c r="M2" i="107"/>
  <c r="K4" i="125" s="1"/>
  <c r="G43" i="70"/>
  <c r="K74" i="34"/>
  <c r="K78" i="34" s="1"/>
  <c r="K82" i="34" s="1"/>
  <c r="K9" i="70" s="1"/>
  <c r="K19" i="70" s="1"/>
  <c r="I9" i="70"/>
  <c r="I43" i="70" s="1"/>
  <c r="I85" i="34"/>
  <c r="L9" i="70"/>
  <c r="L43" i="70" s="1"/>
  <c r="L85" i="34"/>
  <c r="J9" i="70"/>
  <c r="J19" i="70" s="1"/>
  <c r="J40" i="70" s="1"/>
  <c r="J41" i="70" s="1"/>
  <c r="J42" i="70" s="1"/>
  <c r="J85" i="34"/>
  <c r="F9" i="70"/>
  <c r="F19" i="70" s="1"/>
  <c r="F85" i="34"/>
  <c r="E9" i="70"/>
  <c r="E43" i="70" s="1"/>
  <c r="E85" i="34"/>
  <c r="E86" i="34" s="1"/>
  <c r="G48" i="70"/>
  <c r="G50" i="70" s="1"/>
  <c r="G57" i="70" s="1"/>
  <c r="I69" i="34"/>
  <c r="W32" i="70"/>
  <c r="H69" i="34"/>
  <c r="H74" i="34"/>
  <c r="H78" i="34" s="1"/>
  <c r="H82" i="34" s="1"/>
  <c r="L2" i="34"/>
  <c r="J4" i="61"/>
  <c r="L3" i="34"/>
  <c r="O3" i="123"/>
  <c r="M7" i="70"/>
  <c r="K5" i="11"/>
  <c r="K4" i="11"/>
  <c r="M3" i="67"/>
  <c r="L3" i="11"/>
  <c r="M1" i="34"/>
  <c r="R3" i="81"/>
  <c r="N2" i="69" s="1"/>
  <c r="M1" i="65"/>
  <c r="G6" i="119"/>
  <c r="H6" i="119" s="1"/>
  <c r="O14" i="65"/>
  <c r="N24" i="65"/>
  <c r="N25" i="65" s="1"/>
  <c r="N23" i="65"/>
  <c r="D7" i="118"/>
  <c r="T32" i="69"/>
  <c r="T18" i="69"/>
  <c r="V60" i="34"/>
  <c r="S55" i="70"/>
  <c r="AJ59" i="34"/>
  <c r="AA39" i="69"/>
  <c r="AB39" i="69" s="1"/>
  <c r="W35" i="70"/>
  <c r="AI36" i="115"/>
  <c r="AE32" i="115"/>
  <c r="AJ37" i="115"/>
  <c r="AD31" i="115"/>
  <c r="AF33" i="115"/>
  <c r="AG34" i="115"/>
  <c r="AA28" i="115"/>
  <c r="AC30" i="115"/>
  <c r="AB29" i="115"/>
  <c r="AK38" i="115"/>
  <c r="AH35" i="115"/>
  <c r="M63" i="115"/>
  <c r="N10" i="65"/>
  <c r="N11" i="65" s="1"/>
  <c r="K68" i="109"/>
  <c r="N3" i="65"/>
  <c r="N5" i="65" s="1"/>
  <c r="AT14" i="70" l="1"/>
  <c r="BK17" i="69"/>
  <c r="BJ18" i="69"/>
  <c r="BK20" i="69"/>
  <c r="BJ22" i="69"/>
  <c r="AU22" i="69"/>
  <c r="Q10" i="70"/>
  <c r="K4" i="109"/>
  <c r="K4" i="115"/>
  <c r="N2" i="107"/>
  <c r="L4" i="125" s="1"/>
  <c r="AH42" i="69"/>
  <c r="AF35" i="70"/>
  <c r="AH43" i="69"/>
  <c r="AF34" i="70"/>
  <c r="S31" i="70"/>
  <c r="V25" i="70"/>
  <c r="H37" i="116"/>
  <c r="L19" i="70"/>
  <c r="L40" i="70" s="1"/>
  <c r="L41" i="70" s="1"/>
  <c r="L42" i="70" s="1"/>
  <c r="F43" i="70"/>
  <c r="I19" i="70"/>
  <c r="I40" i="70" s="1"/>
  <c r="I41" i="70" s="1"/>
  <c r="I42" i="70" s="1"/>
  <c r="K85" i="34"/>
  <c r="K40" i="70"/>
  <c r="K41" i="70" s="1"/>
  <c r="K42" i="70" s="1"/>
  <c r="E19" i="70"/>
  <c r="K43" i="70"/>
  <c r="J43" i="70"/>
  <c r="H9" i="70"/>
  <c r="H19" i="70" s="1"/>
  <c r="H85" i="34"/>
  <c r="Y32" i="70"/>
  <c r="P3" i="123"/>
  <c r="N3" i="67"/>
  <c r="M3" i="11"/>
  <c r="L4" i="11"/>
  <c r="N7" i="70"/>
  <c r="N1" i="65"/>
  <c r="N1" i="34"/>
  <c r="S3" i="81"/>
  <c r="O2" i="69" s="1"/>
  <c r="L5" i="11"/>
  <c r="M2" i="34"/>
  <c r="K4" i="61"/>
  <c r="M3" i="34"/>
  <c r="W60" i="34"/>
  <c r="AK59" i="34"/>
  <c r="E7" i="118"/>
  <c r="F7" i="118"/>
  <c r="P14" i="65"/>
  <c r="O24" i="65"/>
  <c r="O25" i="65" s="1"/>
  <c r="O23" i="65"/>
  <c r="U18" i="69"/>
  <c r="I6" i="119"/>
  <c r="J6" i="119" s="1"/>
  <c r="L6" i="119" s="1"/>
  <c r="AA22" i="69"/>
  <c r="K9" i="109"/>
  <c r="AH34" i="115"/>
  <c r="AE31" i="115"/>
  <c r="AK37" i="115"/>
  <c r="AG33" i="115"/>
  <c r="AD30" i="115"/>
  <c r="AI35" i="115"/>
  <c r="AJ36" i="115"/>
  <c r="AF32" i="115"/>
  <c r="N63" i="115"/>
  <c r="N15" i="61"/>
  <c r="R25" i="85"/>
  <c r="N26" i="34"/>
  <c r="E40" i="70" l="1"/>
  <c r="E41" i="70" s="1"/>
  <c r="E42" i="70" s="1"/>
  <c r="AU14" i="70"/>
  <c r="BL20" i="69"/>
  <c r="BK22" i="69"/>
  <c r="BL17" i="69"/>
  <c r="BK18" i="69"/>
  <c r="AV22" i="69"/>
  <c r="G7" i="118"/>
  <c r="H7" i="118" s="1"/>
  <c r="I7" i="118" s="1"/>
  <c r="AI43" i="69"/>
  <c r="AG34" i="70"/>
  <c r="L4" i="115"/>
  <c r="L4" i="109"/>
  <c r="O2" i="107"/>
  <c r="M4" i="125" s="1"/>
  <c r="AI42" i="69"/>
  <c r="AG35" i="70"/>
  <c r="W25" i="70"/>
  <c r="I48" i="70"/>
  <c r="I50" i="70" s="1"/>
  <c r="I57" i="70" s="1"/>
  <c r="C36" i="116"/>
  <c r="H40" i="70"/>
  <c r="H41" i="70" s="1"/>
  <c r="H42" i="70" s="1"/>
  <c r="D36" i="116"/>
  <c r="D38" i="116" s="1"/>
  <c r="D20" i="85" s="1"/>
  <c r="H43" i="70"/>
  <c r="AA35" i="69"/>
  <c r="N3" i="34"/>
  <c r="N2" i="34"/>
  <c r="L4" i="61"/>
  <c r="Q3" i="123"/>
  <c r="O1" i="34"/>
  <c r="O3" i="67"/>
  <c r="M4" i="11"/>
  <c r="N3" i="11"/>
  <c r="O7" i="70"/>
  <c r="M5" i="11"/>
  <c r="T3" i="81"/>
  <c r="P2" i="69" s="1"/>
  <c r="O1" i="65"/>
  <c r="P24" i="65"/>
  <c r="P25" i="65" s="1"/>
  <c r="P23" i="65"/>
  <c r="Q14" i="65"/>
  <c r="AL59" i="34"/>
  <c r="K7" i="118"/>
  <c r="X60" i="34"/>
  <c r="S37" i="70"/>
  <c r="D7" i="119"/>
  <c r="AC39" i="69"/>
  <c r="L9" i="109"/>
  <c r="AK36" i="115"/>
  <c r="AJ35" i="115"/>
  <c r="AG32" i="115"/>
  <c r="AE30" i="115"/>
  <c r="AC28" i="115"/>
  <c r="AD29" i="115"/>
  <c r="AB27" i="115"/>
  <c r="AI34" i="115"/>
  <c r="AH33" i="115"/>
  <c r="AF31" i="115"/>
  <c r="P29" i="34"/>
  <c r="O15" i="61"/>
  <c r="P15" i="61"/>
  <c r="AV14" i="70" l="1"/>
  <c r="BM17" i="69"/>
  <c r="BL18" i="69"/>
  <c r="BM20" i="69"/>
  <c r="BL22" i="69"/>
  <c r="Z32" i="70"/>
  <c r="AB35" i="69"/>
  <c r="AA32" i="70" s="1"/>
  <c r="AW22" i="69"/>
  <c r="C38" i="116"/>
  <c r="C20" i="85" s="1"/>
  <c r="Y25" i="70"/>
  <c r="S10" i="70"/>
  <c r="AJ42" i="69"/>
  <c r="AH35" i="70"/>
  <c r="M4" i="109"/>
  <c r="M4" i="115"/>
  <c r="P2" i="107"/>
  <c r="N4" i="125" s="1"/>
  <c r="AJ43" i="69"/>
  <c r="AH34" i="70"/>
  <c r="W10" i="70"/>
  <c r="H48" i="70"/>
  <c r="H50" i="70" s="1"/>
  <c r="H57" i="70" s="1"/>
  <c r="M4" i="61"/>
  <c r="O3" i="34"/>
  <c r="O2" i="34"/>
  <c r="R3" i="123"/>
  <c r="P1" i="34"/>
  <c r="P3" i="67"/>
  <c r="U3" i="81"/>
  <c r="Q2" i="69" s="1"/>
  <c r="P7" i="70"/>
  <c r="N5" i="11"/>
  <c r="O3" i="11"/>
  <c r="P1" i="65"/>
  <c r="N4" i="11"/>
  <c r="Y60" i="34"/>
  <c r="AM59" i="34"/>
  <c r="W18" i="69"/>
  <c r="E7" i="119"/>
  <c r="F7" i="119"/>
  <c r="K7" i="119" s="1"/>
  <c r="Q23" i="65"/>
  <c r="Q24" i="65"/>
  <c r="Q25" i="65" s="1"/>
  <c r="R14" i="65"/>
  <c r="J7" i="118"/>
  <c r="L7" i="118" s="1"/>
  <c r="AC22" i="69"/>
  <c r="AD39" i="69"/>
  <c r="M9" i="109"/>
  <c r="Q15" i="61"/>
  <c r="AW14" i="70" l="1"/>
  <c r="BN20" i="69"/>
  <c r="BM22" i="69"/>
  <c r="BN17" i="69"/>
  <c r="BM18" i="69"/>
  <c r="AX22" i="69"/>
  <c r="T10" i="70"/>
  <c r="Y18" i="69"/>
  <c r="AK43" i="69"/>
  <c r="AI34" i="70"/>
  <c r="N4" i="109"/>
  <c r="N4" i="115"/>
  <c r="Q2" i="107"/>
  <c r="O4" i="125" s="1"/>
  <c r="AK42" i="69"/>
  <c r="AI35" i="70"/>
  <c r="G7" i="119"/>
  <c r="H7" i="119" s="1"/>
  <c r="AC35" i="69"/>
  <c r="AB32" i="70" s="1"/>
  <c r="S3" i="123"/>
  <c r="Q7" i="70"/>
  <c r="V3" i="81"/>
  <c r="R2" i="69" s="1"/>
  <c r="Q1" i="34"/>
  <c r="Q1" i="65"/>
  <c r="P3" i="11"/>
  <c r="Q3" i="67"/>
  <c r="O5" i="11"/>
  <c r="O4" i="11"/>
  <c r="P3" i="34"/>
  <c r="P2" i="34"/>
  <c r="N4" i="61"/>
  <c r="T55" i="70"/>
  <c r="AD55" i="70"/>
  <c r="AD76" i="34" s="1"/>
  <c r="R24" i="65"/>
  <c r="R25" i="65" s="1"/>
  <c r="S14" i="65"/>
  <c r="R23" i="65"/>
  <c r="AN59" i="34"/>
  <c r="D8" i="118"/>
  <c r="U32" i="69"/>
  <c r="X18" i="69"/>
  <c r="Z60" i="34"/>
  <c r="AD22" i="69"/>
  <c r="AE39" i="69"/>
  <c r="N9" i="109"/>
  <c r="G25" i="85"/>
  <c r="AX14" i="70" l="1"/>
  <c r="BO17" i="69"/>
  <c r="BN18" i="69"/>
  <c r="BO20" i="69"/>
  <c r="BN22" i="69"/>
  <c r="AY22" i="69"/>
  <c r="U10" i="70"/>
  <c r="O4" i="115"/>
  <c r="R2" i="107"/>
  <c r="P4" i="125" s="1"/>
  <c r="O4" i="109"/>
  <c r="I7" i="119"/>
  <c r="J7" i="119" s="1"/>
  <c r="L7" i="119" s="1"/>
  <c r="D8" i="119" s="1"/>
  <c r="AL42" i="69"/>
  <c r="AJ35" i="70"/>
  <c r="AL43" i="69"/>
  <c r="AJ34" i="70"/>
  <c r="T31" i="70"/>
  <c r="AD35" i="69"/>
  <c r="AC32" i="70" s="1"/>
  <c r="T3" i="123"/>
  <c r="Q3" i="11"/>
  <c r="R3" i="67"/>
  <c r="P4" i="11"/>
  <c r="R1" i="34"/>
  <c r="W3" i="81"/>
  <c r="S2" i="69" s="1"/>
  <c r="R1" i="65"/>
  <c r="P5" i="11"/>
  <c r="R7" i="70"/>
  <c r="Q2" i="34"/>
  <c r="O4" i="61"/>
  <c r="Q3" i="34"/>
  <c r="AE22" i="69"/>
  <c r="AF39" i="69"/>
  <c r="R15" i="61"/>
  <c r="AY14" i="70" l="1"/>
  <c r="BP20" i="69"/>
  <c r="BO22" i="69"/>
  <c r="BP17" i="69"/>
  <c r="BO18" i="69"/>
  <c r="AZ22" i="69"/>
  <c r="BA22" i="69"/>
  <c r="V10" i="70"/>
  <c r="AM43" i="69"/>
  <c r="AK34" i="70"/>
  <c r="AM42" i="69"/>
  <c r="AK35" i="70"/>
  <c r="P4" i="109"/>
  <c r="P4" i="115"/>
  <c r="S2" i="107"/>
  <c r="Q4" i="125" s="1"/>
  <c r="AE35" i="69"/>
  <c r="AD32" i="70" s="1"/>
  <c r="Q43" i="34"/>
  <c r="U3" i="123"/>
  <c r="Q4" i="11"/>
  <c r="X3" i="81"/>
  <c r="T2" i="69" s="1"/>
  <c r="S1" i="65"/>
  <c r="R3" i="11"/>
  <c r="S7" i="70"/>
  <c r="Q5" i="11"/>
  <c r="S1" i="34"/>
  <c r="S3" i="67"/>
  <c r="R2" i="34"/>
  <c r="P4" i="61"/>
  <c r="R3" i="34"/>
  <c r="E8" i="118"/>
  <c r="F8" i="118"/>
  <c r="K8" i="118" s="1"/>
  <c r="AO59" i="34"/>
  <c r="T14" i="65"/>
  <c r="S24" i="65"/>
  <c r="S25" i="65" s="1"/>
  <c r="S23" i="65"/>
  <c r="E8" i="119"/>
  <c r="F8" i="119"/>
  <c r="K8" i="119" s="1"/>
  <c r="T37" i="70"/>
  <c r="AF22" i="69"/>
  <c r="P14" i="115"/>
  <c r="Q15" i="115" s="1"/>
  <c r="R16" i="115" s="1"/>
  <c r="S17" i="115" s="1"/>
  <c r="T18" i="115" s="1"/>
  <c r="U19" i="115" s="1"/>
  <c r="V20" i="115" s="1"/>
  <c r="W21" i="115" s="1"/>
  <c r="X22" i="115" s="1"/>
  <c r="Y23" i="115" s="1"/>
  <c r="Z24" i="115" s="1"/>
  <c r="AA25" i="115" s="1"/>
  <c r="AB26" i="115" s="1"/>
  <c r="AG39" i="69"/>
  <c r="AZ14" i="70" l="1"/>
  <c r="BQ17" i="69"/>
  <c r="BP18" i="69"/>
  <c r="BQ20" i="69"/>
  <c r="BP22" i="69"/>
  <c r="Q39" i="34"/>
  <c r="O14" i="115"/>
  <c r="P15" i="115" s="1"/>
  <c r="Q16" i="115" s="1"/>
  <c r="R17" i="115" s="1"/>
  <c r="S18" i="115" s="1"/>
  <c r="T19" i="115" s="1"/>
  <c r="U20" i="115" s="1"/>
  <c r="V21" i="115" s="1"/>
  <c r="W22" i="115" s="1"/>
  <c r="X23" i="115" s="1"/>
  <c r="Y24" i="115" s="1"/>
  <c r="Z25" i="115" s="1"/>
  <c r="AA26" i="115" s="1"/>
  <c r="AR42" i="115" s="1"/>
  <c r="AU44" i="115"/>
  <c r="AP39" i="115"/>
  <c r="AM36" i="115"/>
  <c r="AW46" i="115"/>
  <c r="AV45" i="115"/>
  <c r="AO38" i="115"/>
  <c r="AN37" i="115"/>
  <c r="AT43" i="115"/>
  <c r="AS42" i="115"/>
  <c r="AR41" i="115"/>
  <c r="AQ40" i="115"/>
  <c r="AL35" i="115"/>
  <c r="G8" i="118"/>
  <c r="H8" i="118" s="1"/>
  <c r="T2" i="107"/>
  <c r="R4" i="125" s="1"/>
  <c r="Q4" i="115"/>
  <c r="Q4" i="109"/>
  <c r="AN42" i="69"/>
  <c r="AL35" i="70"/>
  <c r="G8" i="119"/>
  <c r="H8" i="119" s="1"/>
  <c r="I8" i="119" s="1"/>
  <c r="J8" i="119" s="1"/>
  <c r="L8" i="119" s="1"/>
  <c r="D9" i="119" s="1"/>
  <c r="AN43" i="69"/>
  <c r="AL34" i="70"/>
  <c r="AD27" i="115"/>
  <c r="AG30" i="115"/>
  <c r="AF29" i="115"/>
  <c r="AK34" i="115"/>
  <c r="AH31" i="115"/>
  <c r="AJ33" i="115"/>
  <c r="AE28" i="115"/>
  <c r="AI32" i="115"/>
  <c r="I8" i="118"/>
  <c r="J8" i="118" s="1"/>
  <c r="L8" i="118" s="1"/>
  <c r="W32" i="69" s="1"/>
  <c r="AF35" i="69"/>
  <c r="AE32" i="70" s="1"/>
  <c r="R43" i="34"/>
  <c r="S43" i="34"/>
  <c r="V3" i="123"/>
  <c r="T1" i="34"/>
  <c r="R4" i="11"/>
  <c r="S3" i="11"/>
  <c r="T7" i="70"/>
  <c r="Y3" i="81"/>
  <c r="U2" i="69" s="1"/>
  <c r="T1" i="65"/>
  <c r="T3" i="67"/>
  <c r="R5" i="11"/>
  <c r="S2" i="34"/>
  <c r="Q4" i="61"/>
  <c r="S3" i="34"/>
  <c r="D9" i="118"/>
  <c r="V32" i="69"/>
  <c r="AP59" i="34"/>
  <c r="U14" i="65"/>
  <c r="T23" i="65"/>
  <c r="T24" i="65"/>
  <c r="T25" i="65" s="1"/>
  <c r="AB60" i="34"/>
  <c r="U55" i="70"/>
  <c r="AG22" i="69"/>
  <c r="S39" i="34"/>
  <c r="R39" i="34"/>
  <c r="AH39" i="69"/>
  <c r="Q36" i="69"/>
  <c r="Q15" i="70"/>
  <c r="R33" i="69"/>
  <c r="R36" i="69" s="1"/>
  <c r="O63" i="115" l="1"/>
  <c r="O66" i="115" s="1"/>
  <c r="AC27" i="115"/>
  <c r="AS43" i="115"/>
  <c r="AM37" i="115"/>
  <c r="AI33" i="115"/>
  <c r="AH32" i="115"/>
  <c r="AP40" i="115"/>
  <c r="AV46" i="115"/>
  <c r="AW47" i="115"/>
  <c r="AG31" i="115"/>
  <c r="AL36" i="115"/>
  <c r="P63" i="115"/>
  <c r="P66" i="115" s="1"/>
  <c r="S7" i="67" s="1"/>
  <c r="S11" i="67" s="1"/>
  <c r="S27" i="34" s="1"/>
  <c r="AD28" i="115"/>
  <c r="AJ34" i="115"/>
  <c r="AN38" i="115"/>
  <c r="AO39" i="115"/>
  <c r="AQ41" i="115"/>
  <c r="AE29" i="115"/>
  <c r="AF30" i="115"/>
  <c r="AK35" i="115"/>
  <c r="AU45" i="115"/>
  <c r="AT44" i="115"/>
  <c r="BA14" i="70"/>
  <c r="BR20" i="69"/>
  <c r="BQ22" i="69"/>
  <c r="BR17" i="69"/>
  <c r="BQ18" i="69"/>
  <c r="L10" i="126"/>
  <c r="L17" i="126" s="1"/>
  <c r="K10" i="126"/>
  <c r="K17" i="126" s="1"/>
  <c r="O69" i="115"/>
  <c r="R7" i="67"/>
  <c r="R11" i="67" s="1"/>
  <c r="R27" i="34" s="1"/>
  <c r="X10" i="70"/>
  <c r="AO43" i="69"/>
  <c r="AM34" i="70"/>
  <c r="AO42" i="69"/>
  <c r="AM35" i="70"/>
  <c r="R4" i="109"/>
  <c r="R4" i="115"/>
  <c r="U2" i="107"/>
  <c r="S4" i="125" s="1"/>
  <c r="V31" i="70"/>
  <c r="U31" i="70"/>
  <c r="Q52" i="69"/>
  <c r="Q53" i="69" s="1"/>
  <c r="W33" i="69"/>
  <c r="AG35" i="69"/>
  <c r="AF32" i="70" s="1"/>
  <c r="W3" i="123"/>
  <c r="U3" i="67"/>
  <c r="S4" i="11"/>
  <c r="U1" i="34"/>
  <c r="U7" i="70"/>
  <c r="Z3" i="81"/>
  <c r="V2" i="69" s="1"/>
  <c r="U1" i="65"/>
  <c r="T3" i="11"/>
  <c r="S5" i="11"/>
  <c r="T2" i="34"/>
  <c r="R4" i="61"/>
  <c r="T3" i="34"/>
  <c r="U24" i="65"/>
  <c r="U25" i="65" s="1"/>
  <c r="U23" i="65"/>
  <c r="V14" i="65"/>
  <c r="U37" i="70"/>
  <c r="AC60" i="34"/>
  <c r="F9" i="118"/>
  <c r="K9" i="118" s="1"/>
  <c r="E9" i="118"/>
  <c r="AQ59" i="34"/>
  <c r="F9" i="119"/>
  <c r="K9" i="119" s="1"/>
  <c r="E9" i="119"/>
  <c r="AH22" i="69"/>
  <c r="O9" i="109"/>
  <c r="AI39" i="69"/>
  <c r="P69" i="115" l="1"/>
  <c r="BB14" i="70"/>
  <c r="BS17" i="69"/>
  <c r="BR18" i="69"/>
  <c r="BS20" i="69"/>
  <c r="BR22" i="69"/>
  <c r="AN34" i="70"/>
  <c r="AP43" i="69"/>
  <c r="AN35" i="70"/>
  <c r="AP42" i="69"/>
  <c r="G9" i="118"/>
  <c r="H9" i="118" s="1"/>
  <c r="S4" i="115"/>
  <c r="S4" i="109"/>
  <c r="V2" i="107"/>
  <c r="T4" i="125" s="1"/>
  <c r="V55" i="70"/>
  <c r="AH35" i="69"/>
  <c r="AG32" i="70" s="1"/>
  <c r="U2" i="34"/>
  <c r="U3" i="34"/>
  <c r="S4" i="61"/>
  <c r="X3" i="123"/>
  <c r="V7" i="70"/>
  <c r="T4" i="11"/>
  <c r="T5" i="11"/>
  <c r="AA3" i="81"/>
  <c r="W2" i="69" s="1"/>
  <c r="U3" i="11"/>
  <c r="V3" i="67"/>
  <c r="V1" i="34"/>
  <c r="V1" i="65"/>
  <c r="G9" i="119"/>
  <c r="H9" i="119" s="1"/>
  <c r="I9" i="118"/>
  <c r="J9" i="118" s="1"/>
  <c r="L9" i="118" s="1"/>
  <c r="AD60" i="34"/>
  <c r="V23" i="65"/>
  <c r="W14" i="65"/>
  <c r="V24" i="65"/>
  <c r="V25" i="65" s="1"/>
  <c r="AR59" i="34"/>
  <c r="S68" i="69"/>
  <c r="AI22" i="69"/>
  <c r="R29" i="34"/>
  <c r="S29" i="34"/>
  <c r="P9" i="109"/>
  <c r="AJ39" i="69"/>
  <c r="BC14" i="70" l="1"/>
  <c r="BT20" i="69"/>
  <c r="BS22" i="69"/>
  <c r="BT17" i="69"/>
  <c r="BS18" i="69"/>
  <c r="AQ42" i="69"/>
  <c r="AO35" i="70"/>
  <c r="AO34" i="70"/>
  <c r="AQ43" i="69"/>
  <c r="Y10" i="70"/>
  <c r="Z10" i="70"/>
  <c r="T4" i="109"/>
  <c r="W2" i="107"/>
  <c r="U4" i="125" s="1"/>
  <c r="T4" i="115"/>
  <c r="AI35" i="69"/>
  <c r="AH32" i="70" s="1"/>
  <c r="Y3" i="123"/>
  <c r="W1" i="65"/>
  <c r="U4" i="11"/>
  <c r="V3" i="11"/>
  <c r="AB3" i="81"/>
  <c r="X2" i="69" s="1"/>
  <c r="W7" i="70"/>
  <c r="W1" i="34"/>
  <c r="W3" i="67"/>
  <c r="U5" i="11"/>
  <c r="T4" i="61"/>
  <c r="V3" i="34"/>
  <c r="V2" i="34"/>
  <c r="AE60" i="34"/>
  <c r="I9" i="119"/>
  <c r="J9" i="119" s="1"/>
  <c r="L9" i="119" s="1"/>
  <c r="X14" i="65"/>
  <c r="W24" i="65"/>
  <c r="W25" i="65" s="1"/>
  <c r="W23" i="65"/>
  <c r="D10" i="118"/>
  <c r="AS59" i="34"/>
  <c r="AJ22" i="69"/>
  <c r="AK39" i="69"/>
  <c r="BD14" i="70" l="1"/>
  <c r="BU17" i="69"/>
  <c r="BT18" i="69"/>
  <c r="BU20" i="69"/>
  <c r="BT22" i="69"/>
  <c r="AC3" i="81"/>
  <c r="Y2" i="69" s="1"/>
  <c r="AR43" i="69"/>
  <c r="AP34" i="70"/>
  <c r="AR42" i="69"/>
  <c r="AP35" i="70"/>
  <c r="AA10" i="70"/>
  <c r="AB10" i="70"/>
  <c r="Z18" i="69"/>
  <c r="U4" i="109"/>
  <c r="U4" i="115"/>
  <c r="X2" i="107"/>
  <c r="V4" i="125" s="1"/>
  <c r="AJ35" i="69"/>
  <c r="AI32" i="70" s="1"/>
  <c r="U4" i="61"/>
  <c r="W3" i="34"/>
  <c r="W2" i="34"/>
  <c r="Z3" i="123"/>
  <c r="X1" i="65"/>
  <c r="X7" i="70"/>
  <c r="W3" i="11"/>
  <c r="X3" i="67"/>
  <c r="V4" i="11"/>
  <c r="X1" i="34"/>
  <c r="V5" i="11"/>
  <c r="E10" i="118"/>
  <c r="F10" i="118"/>
  <c r="AT59" i="34"/>
  <c r="D10" i="119"/>
  <c r="AF60" i="34"/>
  <c r="X24" i="65"/>
  <c r="X25" i="65" s="1"/>
  <c r="Y14" i="65"/>
  <c r="X23" i="65"/>
  <c r="AK22" i="69"/>
  <c r="AL39" i="69"/>
  <c r="BE14" i="70" l="1"/>
  <c r="BV20" i="69"/>
  <c r="BU22" i="69"/>
  <c r="BV17" i="69"/>
  <c r="BU18" i="69"/>
  <c r="AD3" i="81"/>
  <c r="Z2" i="69" s="1"/>
  <c r="AS42" i="69"/>
  <c r="AQ35" i="70"/>
  <c r="AS43" i="69"/>
  <c r="AQ34" i="70"/>
  <c r="Y2" i="107"/>
  <c r="W4" i="125" s="1"/>
  <c r="V4" i="109"/>
  <c r="V4" i="115"/>
  <c r="G10" i="118"/>
  <c r="AK35" i="69"/>
  <c r="AJ32" i="70" s="1"/>
  <c r="AA3" i="123"/>
  <c r="X3" i="11"/>
  <c r="Y1" i="65"/>
  <c r="W5" i="11"/>
  <c r="Y7" i="70"/>
  <c r="Y3" i="67"/>
  <c r="Y1" i="34"/>
  <c r="W4" i="11"/>
  <c r="X2" i="34"/>
  <c r="V4" i="61"/>
  <c r="X3" i="34"/>
  <c r="V37" i="70"/>
  <c r="H10" i="118"/>
  <c r="I10" i="118" s="1"/>
  <c r="Y24" i="65"/>
  <c r="Y25" i="65" s="1"/>
  <c r="Z14" i="65"/>
  <c r="Y23" i="65"/>
  <c r="F10" i="119"/>
  <c r="K10" i="119" s="1"/>
  <c r="E10" i="119"/>
  <c r="K10" i="118"/>
  <c r="AG60" i="34"/>
  <c r="AU59" i="34"/>
  <c r="AL22" i="69"/>
  <c r="AM39" i="69"/>
  <c r="BF14" i="70" l="1"/>
  <c r="BW17" i="69"/>
  <c r="BV18" i="69"/>
  <c r="BW20" i="69"/>
  <c r="BV22" i="69"/>
  <c r="AT43" i="69"/>
  <c r="AR34" i="70"/>
  <c r="AT42" i="69"/>
  <c r="AR35" i="70"/>
  <c r="J10" i="118"/>
  <c r="L10" i="118" s="1"/>
  <c r="D11" i="118" s="1"/>
  <c r="W4" i="109"/>
  <c r="Z2" i="107"/>
  <c r="X4" i="125" s="1"/>
  <c r="W4" i="115"/>
  <c r="AL35" i="69"/>
  <c r="AK32" i="70" s="1"/>
  <c r="Y2" i="34"/>
  <c r="W4" i="61"/>
  <c r="Y3" i="34"/>
  <c r="AB3" i="123"/>
  <c r="X5" i="11"/>
  <c r="Y3" i="11"/>
  <c r="Z1" i="34"/>
  <c r="Z3" i="67"/>
  <c r="Z1" i="65"/>
  <c r="X4" i="11"/>
  <c r="AE3" i="81"/>
  <c r="AA2" i="69" s="1"/>
  <c r="Z7" i="70"/>
  <c r="AV59" i="34"/>
  <c r="W55" i="70"/>
  <c r="G10" i="119"/>
  <c r="H10" i="119" s="1"/>
  <c r="AH60" i="34"/>
  <c r="Z24" i="65"/>
  <c r="Z25" i="65" s="1"/>
  <c r="Z23" i="65"/>
  <c r="AA14" i="65"/>
  <c r="AM22" i="69"/>
  <c r="AN39" i="69"/>
  <c r="BG14" i="70" l="1"/>
  <c r="BX20" i="69"/>
  <c r="BW22" i="69"/>
  <c r="BX17" i="69"/>
  <c r="BW18" i="69"/>
  <c r="AU42" i="69"/>
  <c r="AS35" i="70"/>
  <c r="AU43" i="69"/>
  <c r="AS34" i="70"/>
  <c r="X32" i="69"/>
  <c r="AA2" i="107"/>
  <c r="Y4" i="125" s="1"/>
  <c r="X4" i="115"/>
  <c r="X4" i="109"/>
  <c r="W31" i="70"/>
  <c r="AM35" i="69"/>
  <c r="AL32" i="70" s="1"/>
  <c r="AC3" i="123"/>
  <c r="Z3" i="11"/>
  <c r="Y5" i="11"/>
  <c r="AA3" i="67"/>
  <c r="Y4" i="11"/>
  <c r="AA1" i="34"/>
  <c r="AA1" i="65"/>
  <c r="AF3" i="81"/>
  <c r="AB2" i="69" s="1"/>
  <c r="AA7" i="70"/>
  <c r="X4" i="61"/>
  <c r="Z3" i="34"/>
  <c r="Z2" i="34"/>
  <c r="S15" i="61"/>
  <c r="AB14" i="65"/>
  <c r="AA23" i="65"/>
  <c r="AA24" i="65"/>
  <c r="AA25" i="65" s="1"/>
  <c r="F11" i="118"/>
  <c r="E11" i="118"/>
  <c r="AW59" i="34"/>
  <c r="AI60" i="34"/>
  <c r="I10" i="119"/>
  <c r="J10" i="119" s="1"/>
  <c r="L10" i="119" s="1"/>
  <c r="AO22" i="69"/>
  <c r="AN22" i="69"/>
  <c r="AO39" i="69"/>
  <c r="AP39" i="69" s="1"/>
  <c r="AQ39" i="69" s="1"/>
  <c r="AR39" i="69" s="1"/>
  <c r="AS39" i="69" s="1"/>
  <c r="AT39" i="69" s="1"/>
  <c r="AU39" i="69" s="1"/>
  <c r="AV39" i="69" s="1"/>
  <c r="AW39" i="69" s="1"/>
  <c r="AX39" i="69" s="1"/>
  <c r="AY39" i="69" s="1"/>
  <c r="AZ39" i="69" s="1"/>
  <c r="BA39" i="69" s="1"/>
  <c r="BB39" i="69" s="1"/>
  <c r="BH14" i="70" l="1"/>
  <c r="BY17" i="69"/>
  <c r="BY18" i="69" s="1"/>
  <c r="BX18" i="69"/>
  <c r="BY20" i="69"/>
  <c r="BY22" i="69" s="1"/>
  <c r="BX22" i="69"/>
  <c r="BC39" i="69"/>
  <c r="G11" i="118"/>
  <c r="AV43" i="69"/>
  <c r="AT34" i="70"/>
  <c r="AV42" i="69"/>
  <c r="AT35" i="70"/>
  <c r="Y4" i="115"/>
  <c r="AB2" i="107"/>
  <c r="Z4" i="125" s="1"/>
  <c r="Y4" i="109"/>
  <c r="H11" i="118"/>
  <c r="I11" i="118" s="1"/>
  <c r="K11" i="118"/>
  <c r="AN35" i="69"/>
  <c r="AM32" i="70" s="1"/>
  <c r="AD3" i="123"/>
  <c r="AA3" i="11"/>
  <c r="AG3" i="81"/>
  <c r="AC2" i="69" s="1"/>
  <c r="AB1" i="65"/>
  <c r="AB7" i="70"/>
  <c r="AB1" i="34"/>
  <c r="Z5" i="11"/>
  <c r="AB3" i="67"/>
  <c r="Z4" i="11"/>
  <c r="T15" i="61"/>
  <c r="AA2" i="34"/>
  <c r="AA3" i="34"/>
  <c r="Y4" i="61"/>
  <c r="H25" i="85"/>
  <c r="AJ60" i="34"/>
  <c r="AC14" i="65"/>
  <c r="AB23" i="65"/>
  <c r="AB24" i="65"/>
  <c r="AB25" i="65" s="1"/>
  <c r="AX59" i="34"/>
  <c r="W37" i="70"/>
  <c r="D11" i="119"/>
  <c r="BI14" i="70" l="1"/>
  <c r="BD39" i="69"/>
  <c r="J11" i="118"/>
  <c r="L11" i="118" s="1"/>
  <c r="AW42" i="69"/>
  <c r="AU35" i="70"/>
  <c r="AW43" i="69"/>
  <c r="AU34" i="70"/>
  <c r="AC2" i="107"/>
  <c r="AA4" i="125" s="1"/>
  <c r="Z4" i="109"/>
  <c r="Z4" i="115"/>
  <c r="AD32" i="69"/>
  <c r="AH32" i="69"/>
  <c r="AL32" i="69"/>
  <c r="Y32" i="69"/>
  <c r="X31" i="70" s="1"/>
  <c r="X37" i="70" s="1"/>
  <c r="AA32" i="69"/>
  <c r="AE32" i="69"/>
  <c r="AI32" i="69"/>
  <c r="AM32" i="69"/>
  <c r="AF32" i="69"/>
  <c r="AN32" i="69"/>
  <c r="AC32" i="69"/>
  <c r="AC31" i="70" s="1"/>
  <c r="AG32" i="69"/>
  <c r="AK32" i="69"/>
  <c r="AO32" i="69"/>
  <c r="AJ32" i="69"/>
  <c r="D12" i="118"/>
  <c r="AO35" i="69"/>
  <c r="V15" i="61"/>
  <c r="U15" i="61"/>
  <c r="AB2" i="34"/>
  <c r="Z4" i="61"/>
  <c r="AB3" i="34"/>
  <c r="AE3" i="123"/>
  <c r="AH3" i="81"/>
  <c r="AD2" i="69" s="1"/>
  <c r="AC3" i="67"/>
  <c r="AC7" i="70"/>
  <c r="AA4" i="11"/>
  <c r="AB3" i="11"/>
  <c r="AC1" i="65"/>
  <c r="AA5" i="11"/>
  <c r="AC1" i="34"/>
  <c r="AK60" i="34"/>
  <c r="F12" i="118"/>
  <c r="K12" i="118" s="1"/>
  <c r="E12" i="118"/>
  <c r="AY59" i="34"/>
  <c r="E11" i="119"/>
  <c r="F11" i="119"/>
  <c r="K11" i="119" s="1"/>
  <c r="X55" i="70" s="1"/>
  <c r="X76" i="34" s="1"/>
  <c r="AC24" i="65"/>
  <c r="AC25" i="65" s="1"/>
  <c r="AC23" i="65"/>
  <c r="AD14" i="65"/>
  <c r="BJ14" i="70" l="1"/>
  <c r="BE39" i="69"/>
  <c r="AB31" i="70"/>
  <c r="AJ31" i="70"/>
  <c r="AN32" i="70"/>
  <c r="AP35" i="69"/>
  <c r="AE31" i="70"/>
  <c r="Z32" i="69"/>
  <c r="Z31" i="70" s="1"/>
  <c r="AQ32" i="69"/>
  <c r="AU32" i="69"/>
  <c r="AY32" i="69"/>
  <c r="AR32" i="69"/>
  <c r="AV32" i="69"/>
  <c r="AZ32" i="69"/>
  <c r="AP32" i="69"/>
  <c r="AT32" i="69"/>
  <c r="AX32" i="69"/>
  <c r="AS32" i="69"/>
  <c r="BA32" i="69"/>
  <c r="BA31" i="70" s="1"/>
  <c r="AW32" i="69"/>
  <c r="AX43" i="69"/>
  <c r="AV34" i="70"/>
  <c r="AX42" i="69"/>
  <c r="AV35" i="70"/>
  <c r="AK31" i="70"/>
  <c r="AA31" i="70"/>
  <c r="AH31" i="70"/>
  <c r="AN31" i="70"/>
  <c r="AI31" i="70"/>
  <c r="AL31" i="70"/>
  <c r="AF31" i="70"/>
  <c r="AD31" i="70"/>
  <c r="AG31" i="70"/>
  <c r="AM31" i="70"/>
  <c r="AA4" i="109"/>
  <c r="AD2" i="107"/>
  <c r="AB4" i="125" s="1"/>
  <c r="AA4" i="115"/>
  <c r="G12" i="118"/>
  <c r="AC2" i="34"/>
  <c r="AA4" i="61"/>
  <c r="AC3" i="34"/>
  <c r="AF3" i="123"/>
  <c r="AD1" i="65"/>
  <c r="AC3" i="11"/>
  <c r="AB4" i="11"/>
  <c r="AD7" i="70"/>
  <c r="AD3" i="67"/>
  <c r="AB5" i="11"/>
  <c r="AD1" i="34"/>
  <c r="AI3" i="81"/>
  <c r="AE2" i="69" s="1"/>
  <c r="H12" i="118"/>
  <c r="I12" i="118" s="1"/>
  <c r="J12" i="118" s="1"/>
  <c r="L12" i="118" s="1"/>
  <c r="AL60" i="34"/>
  <c r="AE14" i="65"/>
  <c r="AD23" i="65"/>
  <c r="AD24" i="65"/>
  <c r="AD25" i="65" s="1"/>
  <c r="G11" i="119"/>
  <c r="H11" i="119" s="1"/>
  <c r="AZ59" i="34"/>
  <c r="BK14" i="70" l="1"/>
  <c r="BF39" i="69"/>
  <c r="Y31" i="70"/>
  <c r="AS31" i="70"/>
  <c r="AZ31" i="70"/>
  <c r="AU31" i="70"/>
  <c r="AX31" i="70"/>
  <c r="AP31" i="70"/>
  <c r="AW31" i="70"/>
  <c r="AV31" i="70"/>
  <c r="AQ31" i="70"/>
  <c r="AO31" i="70"/>
  <c r="AT31" i="70"/>
  <c r="AR31" i="70"/>
  <c r="AQ35" i="69"/>
  <c r="AO32" i="70"/>
  <c r="AY31" i="70"/>
  <c r="AY42" i="69"/>
  <c r="AW35" i="70"/>
  <c r="AY43" i="69"/>
  <c r="AW34" i="70"/>
  <c r="AE2" i="107"/>
  <c r="AC4" i="125" s="1"/>
  <c r="AB4" i="115"/>
  <c r="AB4" i="109"/>
  <c r="AB4" i="61"/>
  <c r="AD3" i="34"/>
  <c r="AD2" i="34"/>
  <c r="AG3" i="123"/>
  <c r="AC5" i="11"/>
  <c r="AE1" i="34"/>
  <c r="AC4" i="11"/>
  <c r="AD3" i="11"/>
  <c r="AE3" i="67"/>
  <c r="AE7" i="70"/>
  <c r="AJ3" i="81"/>
  <c r="AF2" i="69" s="1"/>
  <c r="AE1" i="65"/>
  <c r="W15" i="61"/>
  <c r="I25" i="85"/>
  <c r="D13" i="118"/>
  <c r="BA59" i="34"/>
  <c r="I11" i="119"/>
  <c r="J11" i="119" s="1"/>
  <c r="L11" i="119" s="1"/>
  <c r="AF14" i="65"/>
  <c r="AE24" i="65"/>
  <c r="AE25" i="65" s="1"/>
  <c r="AE23" i="65"/>
  <c r="AM60" i="34"/>
  <c r="BL14" i="70" l="1"/>
  <c r="BG39" i="69"/>
  <c r="AR35" i="69"/>
  <c r="AP32" i="70"/>
  <c r="AZ43" i="69"/>
  <c r="AX34" i="70"/>
  <c r="AZ42" i="69"/>
  <c r="AX35" i="70"/>
  <c r="AC4" i="115"/>
  <c r="AC4" i="109"/>
  <c r="AF2" i="107"/>
  <c r="AD4" i="125" s="1"/>
  <c r="AH3" i="123"/>
  <c r="AF1" i="34"/>
  <c r="AF1" i="65"/>
  <c r="AD4" i="11"/>
  <c r="AD5" i="11"/>
  <c r="AE3" i="11"/>
  <c r="AK3" i="81"/>
  <c r="AG2" i="69" s="1"/>
  <c r="AF7" i="70"/>
  <c r="AF3" i="67"/>
  <c r="AE3" i="34"/>
  <c r="AE2" i="34"/>
  <c r="AC4" i="61"/>
  <c r="X15" i="61"/>
  <c r="D12" i="119"/>
  <c r="AF24" i="65"/>
  <c r="AF25" i="65" s="1"/>
  <c r="AF23" i="65"/>
  <c r="AG14" i="65"/>
  <c r="F13" i="118"/>
  <c r="K13" i="118" s="1"/>
  <c r="E13" i="118"/>
  <c r="AN60" i="34"/>
  <c r="BB59" i="34"/>
  <c r="BM14" i="70" l="1"/>
  <c r="BH39" i="69"/>
  <c r="AS35" i="69"/>
  <c r="AQ32" i="70"/>
  <c r="BA42" i="69"/>
  <c r="AY35" i="70"/>
  <c r="BA43" i="69"/>
  <c r="AY34" i="70"/>
  <c r="G13" i="118"/>
  <c r="H13" i="118" s="1"/>
  <c r="AG2" i="107"/>
  <c r="AD4" i="115"/>
  <c r="AD4" i="109"/>
  <c r="Z15" i="61"/>
  <c r="AI3" i="123"/>
  <c r="AG3" i="67"/>
  <c r="AG1" i="65"/>
  <c r="AE5" i="11"/>
  <c r="AG1" i="34"/>
  <c r="AF3" i="11"/>
  <c r="AL3" i="81"/>
  <c r="AH2" i="69" s="1"/>
  <c r="AE4" i="11"/>
  <c r="AG7" i="70"/>
  <c r="Y15" i="61"/>
  <c r="AF2" i="34"/>
  <c r="AF3" i="34"/>
  <c r="AD4" i="61"/>
  <c r="BC59" i="34"/>
  <c r="AO60" i="34"/>
  <c r="AG23" i="65"/>
  <c r="AG24" i="65"/>
  <c r="AG25" i="65" s="1"/>
  <c r="AH14" i="65"/>
  <c r="F12" i="119"/>
  <c r="K12" i="119" s="1"/>
  <c r="Y55" i="70" s="1"/>
  <c r="Y76" i="34" s="1"/>
  <c r="E12" i="119"/>
  <c r="I13" i="118"/>
  <c r="J13" i="118" s="1"/>
  <c r="L13" i="118" s="1"/>
  <c r="BN14" i="70" l="1"/>
  <c r="AZ35" i="70"/>
  <c r="BB42" i="69"/>
  <c r="BA35" i="70" s="1"/>
  <c r="AZ34" i="70"/>
  <c r="BB43" i="69"/>
  <c r="BI39" i="69"/>
  <c r="AE4" i="115"/>
  <c r="AE4" i="125"/>
  <c r="G12" i="119"/>
  <c r="AT35" i="69"/>
  <c r="AR32" i="70"/>
  <c r="AH2" i="107"/>
  <c r="AE4" i="109"/>
  <c r="J25" i="85"/>
  <c r="S25" i="85"/>
  <c r="AG2" i="34"/>
  <c r="AG3" i="34"/>
  <c r="AE4" i="61"/>
  <c r="AJ3" i="123"/>
  <c r="AG3" i="11"/>
  <c r="AH1" i="65"/>
  <c r="AH1" i="34"/>
  <c r="AH3" i="67"/>
  <c r="AF5" i="11"/>
  <c r="AF4" i="11"/>
  <c r="AM3" i="81"/>
  <c r="AI2" i="69" s="1"/>
  <c r="AH7" i="70"/>
  <c r="D14" i="118"/>
  <c r="H12" i="119"/>
  <c r="AP60" i="34"/>
  <c r="I12" i="119"/>
  <c r="J12" i="119" s="1"/>
  <c r="L12" i="119" s="1"/>
  <c r="AH24" i="65"/>
  <c r="AH25" i="65" s="1"/>
  <c r="AI14" i="65"/>
  <c r="AH23" i="65"/>
  <c r="BD59" i="34"/>
  <c r="BO14" i="70" l="1"/>
  <c r="BC43" i="69"/>
  <c r="BA34" i="70"/>
  <c r="BA37" i="70" s="1"/>
  <c r="BJ39" i="69"/>
  <c r="BC42" i="69"/>
  <c r="BB35" i="70" s="1"/>
  <c r="AF4" i="115"/>
  <c r="AF4" i="125"/>
  <c r="AU35" i="69"/>
  <c r="AS32" i="70"/>
  <c r="Z31" i="69"/>
  <c r="Y30" i="70" s="1"/>
  <c r="Y37" i="70" s="1"/>
  <c r="AF4" i="109"/>
  <c r="AI2" i="107"/>
  <c r="AB15" i="61"/>
  <c r="AH3" i="34"/>
  <c r="AH2" i="34"/>
  <c r="AF4" i="61"/>
  <c r="AK3" i="123"/>
  <c r="AH3" i="11"/>
  <c r="AN3" i="81"/>
  <c r="AJ2" i="69" s="1"/>
  <c r="AI1" i="65"/>
  <c r="AI7" i="70"/>
  <c r="AI1" i="34"/>
  <c r="AI3" i="67"/>
  <c r="AG5" i="11"/>
  <c r="AG4" i="11"/>
  <c r="AA15" i="61"/>
  <c r="D13" i="119"/>
  <c r="AQ60" i="34"/>
  <c r="BE59" i="34"/>
  <c r="E14" i="118"/>
  <c r="F14" i="118"/>
  <c r="K14" i="118"/>
  <c r="AJ14" i="65"/>
  <c r="AI24" i="65"/>
  <c r="AI25" i="65" s="1"/>
  <c r="AI23" i="65"/>
  <c r="BP14" i="70" l="1"/>
  <c r="BD43" i="69"/>
  <c r="BB34" i="70"/>
  <c r="BB37" i="70" s="1"/>
  <c r="BD42" i="69"/>
  <c r="BC35" i="70" s="1"/>
  <c r="BK39" i="69"/>
  <c r="AG4" i="115"/>
  <c r="AG4" i="125"/>
  <c r="AV35" i="69"/>
  <c r="AT32" i="70"/>
  <c r="G14" i="118"/>
  <c r="H14" i="118" s="1"/>
  <c r="AJ2" i="107"/>
  <c r="AG4" i="109"/>
  <c r="I14" i="118"/>
  <c r="J14" i="118" s="1"/>
  <c r="L14" i="118" s="1"/>
  <c r="D15" i="118" s="1"/>
  <c r="AG4" i="61"/>
  <c r="AI2" i="34"/>
  <c r="AI3" i="34"/>
  <c r="AL3" i="123"/>
  <c r="AJ1" i="65"/>
  <c r="AH4" i="11"/>
  <c r="AI3" i="11"/>
  <c r="AJ3" i="67"/>
  <c r="AJ7" i="70"/>
  <c r="AJ1" i="34"/>
  <c r="AO3" i="81"/>
  <c r="AK2" i="69" s="1"/>
  <c r="AH5" i="11"/>
  <c r="BF59" i="34"/>
  <c r="AK14" i="65"/>
  <c r="AJ23" i="65"/>
  <c r="AJ24" i="65"/>
  <c r="AJ25" i="65" s="1"/>
  <c r="F13" i="119"/>
  <c r="K13" i="119" s="1"/>
  <c r="Z55" i="70" s="1"/>
  <c r="E13" i="119"/>
  <c r="AR60" i="34"/>
  <c r="BQ14" i="70" l="1"/>
  <c r="BE43" i="69"/>
  <c r="BC34" i="70"/>
  <c r="BC37" i="70" s="1"/>
  <c r="BE42" i="69"/>
  <c r="BD35" i="70" s="1"/>
  <c r="BL39" i="69"/>
  <c r="AH4" i="115"/>
  <c r="AH4" i="125"/>
  <c r="AW35" i="69"/>
  <c r="AU32" i="70"/>
  <c r="AK2" i="107"/>
  <c r="AI4" i="125" s="1"/>
  <c r="AH4" i="109"/>
  <c r="AD15" i="61"/>
  <c r="AH4" i="61"/>
  <c r="AJ2" i="34"/>
  <c r="AJ3" i="34"/>
  <c r="AM3" i="123"/>
  <c r="AK1" i="65"/>
  <c r="AK3" i="67"/>
  <c r="AK1" i="34"/>
  <c r="AI5" i="11"/>
  <c r="AJ3" i="11"/>
  <c r="AI4" i="11"/>
  <c r="AK7" i="70"/>
  <c r="AP3" i="81"/>
  <c r="AL2" i="69" s="1"/>
  <c r="AC15" i="61"/>
  <c r="K25" i="85"/>
  <c r="Q63" i="115"/>
  <c r="Q66" i="115" s="1"/>
  <c r="T7" i="67" s="1"/>
  <c r="BG59" i="34"/>
  <c r="F15" i="118"/>
  <c r="E15" i="118"/>
  <c r="G13" i="119"/>
  <c r="H13" i="119" s="1"/>
  <c r="AK24" i="65"/>
  <c r="AK25" i="65" s="1"/>
  <c r="AK23" i="65"/>
  <c r="AL14" i="65"/>
  <c r="AS60" i="34"/>
  <c r="BR14" i="70" l="1"/>
  <c r="BF43" i="69"/>
  <c r="BD34" i="70"/>
  <c r="BD37" i="70" s="1"/>
  <c r="BM39" i="69"/>
  <c r="BF42" i="69"/>
  <c r="BE35" i="70" s="1"/>
  <c r="AI4" i="115"/>
  <c r="AI4" i="109"/>
  <c r="AX35" i="69"/>
  <c r="AV32" i="70"/>
  <c r="G15" i="118"/>
  <c r="H15" i="118" s="1"/>
  <c r="AL2" i="107"/>
  <c r="AJ4" i="125" s="1"/>
  <c r="T43" i="34"/>
  <c r="AK3" i="34"/>
  <c r="AK2" i="34"/>
  <c r="AI4" i="61"/>
  <c r="AN3" i="123"/>
  <c r="AL7" i="70"/>
  <c r="AJ5" i="11"/>
  <c r="AJ4" i="11"/>
  <c r="AL1" i="65"/>
  <c r="AL3" i="67"/>
  <c r="AK3" i="11"/>
  <c r="AQ3" i="81"/>
  <c r="AM2" i="69" s="1"/>
  <c r="AL1" i="34"/>
  <c r="R15" i="115"/>
  <c r="S16" i="115" s="1"/>
  <c r="T17" i="115" s="1"/>
  <c r="U18" i="115" s="1"/>
  <c r="V19" i="115" s="1"/>
  <c r="W20" i="115" s="1"/>
  <c r="X21" i="115" s="1"/>
  <c r="Y22" i="115" s="1"/>
  <c r="T39" i="34"/>
  <c r="Q69" i="115"/>
  <c r="T11" i="67"/>
  <c r="T27" i="34" s="1"/>
  <c r="I15" i="118"/>
  <c r="K15" i="118"/>
  <c r="BH59" i="34"/>
  <c r="AT60" i="34"/>
  <c r="AL23" i="65"/>
  <c r="AM14" i="65"/>
  <c r="AL24" i="65"/>
  <c r="AL25" i="65" s="1"/>
  <c r="I13" i="119"/>
  <c r="J13" i="119" s="1"/>
  <c r="L13" i="119" s="1"/>
  <c r="AA31" i="69" s="1"/>
  <c r="Z30" i="70" s="1"/>
  <c r="Z37" i="70" s="1"/>
  <c r="BS14" i="70" l="1"/>
  <c r="BG43" i="69"/>
  <c r="BE34" i="70"/>
  <c r="BE37" i="70" s="1"/>
  <c r="BN39" i="69"/>
  <c r="BG42" i="69"/>
  <c r="BF35" i="70" s="1"/>
  <c r="AY35" i="69"/>
  <c r="AW32" i="70"/>
  <c r="AJ4" i="115"/>
  <c r="AJ4" i="109"/>
  <c r="AM2" i="107"/>
  <c r="AK4" i="125" s="1"/>
  <c r="AF15" i="61"/>
  <c r="AE15" i="61"/>
  <c r="AL3" i="34"/>
  <c r="AL2" i="34"/>
  <c r="AJ4" i="61"/>
  <c r="AO3" i="123"/>
  <c r="AM3" i="67"/>
  <c r="AK5" i="11"/>
  <c r="AM7" i="70"/>
  <c r="AK4" i="11"/>
  <c r="AR3" i="81"/>
  <c r="AN2" i="69" s="1"/>
  <c r="AL3" i="11"/>
  <c r="AM1" i="65"/>
  <c r="AM1" i="34"/>
  <c r="Q9" i="109"/>
  <c r="Z23" i="115"/>
  <c r="AU60" i="34"/>
  <c r="BI59" i="34"/>
  <c r="D14" i="119"/>
  <c r="J15" i="118"/>
  <c r="L15" i="118" s="1"/>
  <c r="AN14" i="65"/>
  <c r="AO14" i="65" s="1"/>
  <c r="AM24" i="65"/>
  <c r="AM25" i="65" s="1"/>
  <c r="AM23" i="65"/>
  <c r="BT14" i="70" l="1"/>
  <c r="BH43" i="69"/>
  <c r="BF34" i="70"/>
  <c r="BF37" i="70" s="1"/>
  <c r="BH42" i="69"/>
  <c r="BG35" i="70" s="1"/>
  <c r="BO39" i="69"/>
  <c r="AP14" i="65"/>
  <c r="AO24" i="65"/>
  <c r="AO25" i="65" s="1"/>
  <c r="AO23" i="65"/>
  <c r="AK4" i="109"/>
  <c r="AK4" i="115"/>
  <c r="AN2" i="107"/>
  <c r="AL4" i="125" s="1"/>
  <c r="AZ35" i="69"/>
  <c r="AX32" i="70"/>
  <c r="L25" i="85"/>
  <c r="AM2" i="34"/>
  <c r="AK4" i="61"/>
  <c r="AM3" i="34"/>
  <c r="AP3" i="123"/>
  <c r="AS3" i="81"/>
  <c r="AO2" i="69" s="1"/>
  <c r="AL4" i="11"/>
  <c r="AN1" i="34"/>
  <c r="AN1" i="65"/>
  <c r="AL5" i="11"/>
  <c r="AN7" i="70"/>
  <c r="AM3" i="11"/>
  <c r="AN3" i="67"/>
  <c r="T29" i="34"/>
  <c r="U68" i="69"/>
  <c r="AA24" i="115"/>
  <c r="AN24" i="65"/>
  <c r="AN25" i="65" s="1"/>
  <c r="AN23" i="65"/>
  <c r="BJ59" i="34"/>
  <c r="D16" i="118"/>
  <c r="E14" i="119"/>
  <c r="F14" i="119"/>
  <c r="K14" i="119" s="1"/>
  <c r="AA55" i="70" s="1"/>
  <c r="AV60" i="34"/>
  <c r="BU14" i="70" l="1"/>
  <c r="BI43" i="69"/>
  <c r="BG34" i="70"/>
  <c r="BG37" i="70" s="1"/>
  <c r="BP39" i="69"/>
  <c r="BI42" i="69"/>
  <c r="BH35" i="70" s="1"/>
  <c r="BA35" i="69"/>
  <c r="AY32" i="70"/>
  <c r="AL4" i="109"/>
  <c r="AL4" i="115"/>
  <c r="AO2" i="107"/>
  <c r="AM4" i="125" s="1"/>
  <c r="AO1" i="65"/>
  <c r="AO3" i="67"/>
  <c r="AO7" i="70"/>
  <c r="AQ14" i="65"/>
  <c r="AP23" i="65"/>
  <c r="AP24" i="65"/>
  <c r="AP25" i="65" s="1"/>
  <c r="G14" i="119"/>
  <c r="H14" i="119" s="1"/>
  <c r="AG15" i="61"/>
  <c r="AH15" i="61"/>
  <c r="AQ3" i="123"/>
  <c r="AN3" i="11"/>
  <c r="AT3" i="81"/>
  <c r="AP2" i="69" s="1"/>
  <c r="AM4" i="11"/>
  <c r="AO1" i="34"/>
  <c r="AM5" i="11"/>
  <c r="AN3" i="34"/>
  <c r="AN2" i="34"/>
  <c r="AL4" i="61"/>
  <c r="AB25" i="115"/>
  <c r="AC26" i="115" s="1"/>
  <c r="AW60" i="34"/>
  <c r="F16" i="118"/>
  <c r="E16" i="118"/>
  <c r="BL59" i="34"/>
  <c r="BK59" i="34"/>
  <c r="BV14" i="70" l="1"/>
  <c r="BJ43" i="69"/>
  <c r="BH34" i="70"/>
  <c r="BH37" i="70" s="1"/>
  <c r="BJ42" i="69"/>
  <c r="BI35" i="70" s="1"/>
  <c r="AZ32" i="70"/>
  <c r="BB35" i="69"/>
  <c r="BQ39" i="69"/>
  <c r="O39" i="34"/>
  <c r="AP1" i="65"/>
  <c r="AP3" i="67"/>
  <c r="AP7" i="70"/>
  <c r="AQ23" i="65"/>
  <c r="AR14" i="65"/>
  <c r="AQ24" i="65"/>
  <c r="AQ25" i="65" s="1"/>
  <c r="AP2" i="107"/>
  <c r="AN4" i="125" s="1"/>
  <c r="AM4" i="115"/>
  <c r="AM4" i="109"/>
  <c r="I14" i="119"/>
  <c r="J14" i="119" s="1"/>
  <c r="L14" i="119" s="1"/>
  <c r="AA30" i="70" s="1"/>
  <c r="AA37" i="70" s="1"/>
  <c r="G16" i="118"/>
  <c r="K49" i="11"/>
  <c r="N43" i="34"/>
  <c r="O43" i="34"/>
  <c r="AI15" i="61"/>
  <c r="AR3" i="123"/>
  <c r="AP1" i="34"/>
  <c r="AN4" i="11"/>
  <c r="AO3" i="11"/>
  <c r="AU3" i="81"/>
  <c r="AQ2" i="69" s="1"/>
  <c r="AN5" i="11"/>
  <c r="AO2" i="34"/>
  <c r="AM4" i="61"/>
  <c r="AO3" i="34"/>
  <c r="P43" i="34"/>
  <c r="N39" i="34"/>
  <c r="M43" i="34"/>
  <c r="P39" i="34"/>
  <c r="M39" i="34"/>
  <c r="L45" i="107"/>
  <c r="H16" i="118"/>
  <c r="I16" i="118" s="1"/>
  <c r="K16" i="118"/>
  <c r="AX60" i="34"/>
  <c r="D15" i="119"/>
  <c r="BY12" i="69" l="1"/>
  <c r="BY24" i="69" s="1"/>
  <c r="BX12" i="69"/>
  <c r="BX24" i="69" s="1"/>
  <c r="BC35" i="69"/>
  <c r="BA32" i="70"/>
  <c r="BK43" i="69"/>
  <c r="BI34" i="70"/>
  <c r="BI37" i="70" s="1"/>
  <c r="BR39" i="69"/>
  <c r="BK42" i="69"/>
  <c r="BJ35" i="70" s="1"/>
  <c r="H10" i="126"/>
  <c r="H17" i="126" s="1"/>
  <c r="G10" i="126"/>
  <c r="G17" i="126" s="1"/>
  <c r="I10" i="126"/>
  <c r="I17" i="126" s="1"/>
  <c r="AQ1" i="65"/>
  <c r="AQ3" i="67"/>
  <c r="AQ7" i="70"/>
  <c r="AN4" i="109"/>
  <c r="AN4" i="115"/>
  <c r="AQ2" i="107"/>
  <c r="AO4" i="125" s="1"/>
  <c r="J16" i="118"/>
  <c r="L16" i="118" s="1"/>
  <c r="AS14" i="65"/>
  <c r="AR23" i="65"/>
  <c r="AR24" i="65"/>
  <c r="AR25" i="65" s="1"/>
  <c r="M25" i="85"/>
  <c r="AS3" i="123"/>
  <c r="AQ1" i="34"/>
  <c r="AV3" i="81"/>
  <c r="AR2" i="69" s="1"/>
  <c r="AP3" i="11"/>
  <c r="AO5" i="11"/>
  <c r="AO4" i="11"/>
  <c r="AP2" i="34"/>
  <c r="AN4" i="61"/>
  <c r="AP3" i="34"/>
  <c r="E15" i="119"/>
  <c r="F15" i="119"/>
  <c r="K15" i="119" s="1"/>
  <c r="AB55" i="70" s="1"/>
  <c r="AB76" i="34" s="1"/>
  <c r="AY60" i="34"/>
  <c r="D17" i="118"/>
  <c r="BL43" i="69" l="1"/>
  <c r="BJ34" i="70"/>
  <c r="BJ37" i="70" s="1"/>
  <c r="BD35" i="69"/>
  <c r="BB32" i="70"/>
  <c r="BL42" i="69"/>
  <c r="BK35" i="70" s="1"/>
  <c r="BS39" i="69"/>
  <c r="J10" i="126"/>
  <c r="J17" i="126" s="1"/>
  <c r="AS23" i="65"/>
  <c r="AT14" i="65"/>
  <c r="AS24" i="65"/>
  <c r="AS25" i="65" s="1"/>
  <c r="AR2" i="107"/>
  <c r="AP4" i="125" s="1"/>
  <c r="AO4" i="115"/>
  <c r="AO4" i="109"/>
  <c r="AR1" i="65"/>
  <c r="AR3" i="67"/>
  <c r="AR7" i="70"/>
  <c r="AK15" i="61"/>
  <c r="AQ2" i="34"/>
  <c r="AO4" i="61"/>
  <c r="AQ3" i="34"/>
  <c r="AJ15" i="61"/>
  <c r="AT3" i="123"/>
  <c r="AR1" i="34"/>
  <c r="AP4" i="11"/>
  <c r="AQ3" i="11"/>
  <c r="AP5" i="11"/>
  <c r="AW3" i="81"/>
  <c r="AS2" i="69" s="1"/>
  <c r="G15" i="119"/>
  <c r="H15" i="119" s="1"/>
  <c r="E17" i="118"/>
  <c r="F17" i="118"/>
  <c r="K17" i="118"/>
  <c r="AZ60" i="34"/>
  <c r="BE35" i="69" l="1"/>
  <c r="BC32" i="70"/>
  <c r="BM43" i="69"/>
  <c r="BK34" i="70"/>
  <c r="BK37" i="70" s="1"/>
  <c r="BT39" i="69"/>
  <c r="BM42" i="69"/>
  <c r="BL35" i="70" s="1"/>
  <c r="AS2" i="107"/>
  <c r="AQ4" i="125" s="1"/>
  <c r="AP4" i="115"/>
  <c r="AP4" i="109"/>
  <c r="AT24" i="65"/>
  <c r="AT25" i="65" s="1"/>
  <c r="AT23" i="65"/>
  <c r="AU14" i="65"/>
  <c r="AS1" i="65"/>
  <c r="AS3" i="67"/>
  <c r="AS7" i="70"/>
  <c r="G17" i="118"/>
  <c r="I15" i="119"/>
  <c r="J15" i="119" s="1"/>
  <c r="L15" i="119" s="1"/>
  <c r="AU3" i="123"/>
  <c r="AR3" i="11"/>
  <c r="AQ5" i="11"/>
  <c r="AS1" i="34"/>
  <c r="AX3" i="81"/>
  <c r="AT2" i="69" s="1"/>
  <c r="AQ4" i="11"/>
  <c r="AR3" i="34"/>
  <c r="AP4" i="61"/>
  <c r="AR2" i="34"/>
  <c r="H17" i="118"/>
  <c r="I17" i="118" s="1"/>
  <c r="J17" i="118" s="1"/>
  <c r="L17" i="118" s="1"/>
  <c r="BA60" i="34"/>
  <c r="BN43" i="69" l="1"/>
  <c r="BL34" i="70"/>
  <c r="BL37" i="70" s="1"/>
  <c r="BF35" i="69"/>
  <c r="BD32" i="70"/>
  <c r="BN42" i="69"/>
  <c r="BM35" i="70" s="1"/>
  <c r="BU39" i="69"/>
  <c r="AT2" i="107"/>
  <c r="AR4" i="125" s="1"/>
  <c r="AQ4" i="115"/>
  <c r="AQ4" i="109"/>
  <c r="AT1" i="65"/>
  <c r="AT3" i="67"/>
  <c r="AT7" i="70"/>
  <c r="AU23" i="65"/>
  <c r="AU24" i="65"/>
  <c r="AU25" i="65" s="1"/>
  <c r="AV14" i="65"/>
  <c r="D16" i="119"/>
  <c r="AC31" i="69"/>
  <c r="AB30" i="70" s="1"/>
  <c r="AB37" i="70" s="1"/>
  <c r="AQ4" i="61"/>
  <c r="AS2" i="34"/>
  <c r="AS3" i="34"/>
  <c r="AL15" i="61"/>
  <c r="N25" i="85"/>
  <c r="T25" i="85"/>
  <c r="AM15" i="61"/>
  <c r="AV3" i="123"/>
  <c r="AT1" i="34"/>
  <c r="AR5" i="11"/>
  <c r="AS3" i="11"/>
  <c r="AY3" i="81"/>
  <c r="AU2" i="69" s="1"/>
  <c r="AR4" i="11"/>
  <c r="D18" i="118"/>
  <c r="BB60" i="34"/>
  <c r="F16" i="119"/>
  <c r="K16" i="119" s="1"/>
  <c r="AC55" i="70" s="1"/>
  <c r="AC76" i="34" s="1"/>
  <c r="E16" i="119"/>
  <c r="BG35" i="69" l="1"/>
  <c r="BE32" i="70"/>
  <c r="BO43" i="69"/>
  <c r="BM34" i="70"/>
  <c r="BM37" i="70" s="1"/>
  <c r="BV39" i="69"/>
  <c r="BO42" i="69"/>
  <c r="BN35" i="70" s="1"/>
  <c r="AW14" i="65"/>
  <c r="AV24" i="65"/>
  <c r="AV25" i="65" s="1"/>
  <c r="AV23" i="65"/>
  <c r="AU2" i="107"/>
  <c r="AS4" i="125" s="1"/>
  <c r="AR4" i="115"/>
  <c r="AR4" i="109"/>
  <c r="AU1" i="65"/>
  <c r="AU3" i="67"/>
  <c r="AU7" i="70"/>
  <c r="G16" i="119"/>
  <c r="AT2" i="34"/>
  <c r="AR4" i="61"/>
  <c r="AT3" i="34"/>
  <c r="AW3" i="123"/>
  <c r="AS4" i="11"/>
  <c r="AU1" i="34"/>
  <c r="AZ3" i="81"/>
  <c r="AV2" i="69" s="1"/>
  <c r="AS5" i="11"/>
  <c r="AT3" i="11"/>
  <c r="AN15" i="61"/>
  <c r="H16" i="119"/>
  <c r="I16" i="119"/>
  <c r="J16" i="119" s="1"/>
  <c r="L16" i="119" s="1"/>
  <c r="E18" i="118"/>
  <c r="F18" i="118"/>
  <c r="BC60" i="34"/>
  <c r="BP43" i="69" l="1"/>
  <c r="BN34" i="70"/>
  <c r="BN37" i="70" s="1"/>
  <c r="BH35" i="69"/>
  <c r="BF32" i="70"/>
  <c r="BP42" i="69"/>
  <c r="BO35" i="70" s="1"/>
  <c r="BW39" i="69"/>
  <c r="AV1" i="65"/>
  <c r="AV3" i="67"/>
  <c r="AV7" i="70"/>
  <c r="AC30" i="70"/>
  <c r="AC37" i="70" s="1"/>
  <c r="AO30" i="70"/>
  <c r="AO37" i="70" s="1"/>
  <c r="AW24" i="65"/>
  <c r="AW25" i="65" s="1"/>
  <c r="AW23" i="65"/>
  <c r="AX14" i="65"/>
  <c r="AV2" i="107"/>
  <c r="AT4" i="125" s="1"/>
  <c r="AS4" i="115"/>
  <c r="AS4" i="109"/>
  <c r="G18" i="118"/>
  <c r="H18" i="118" s="1"/>
  <c r="I18" i="118" s="1"/>
  <c r="AS4" i="61"/>
  <c r="AU3" i="34"/>
  <c r="AU2" i="34"/>
  <c r="AX3" i="123"/>
  <c r="AV1" i="34"/>
  <c r="BA3" i="81"/>
  <c r="AW2" i="69" s="1"/>
  <c r="AU3" i="11"/>
  <c r="AT4" i="11"/>
  <c r="AT5" i="11"/>
  <c r="AO15" i="61"/>
  <c r="K18" i="118"/>
  <c r="D17" i="119"/>
  <c r="BD60" i="34"/>
  <c r="BI35" i="69" l="1"/>
  <c r="BG32" i="70"/>
  <c r="BQ43" i="69"/>
  <c r="BO34" i="70"/>
  <c r="BO37" i="70" s="1"/>
  <c r="BX39" i="69"/>
  <c r="BQ42" i="69"/>
  <c r="BP35" i="70" s="1"/>
  <c r="AW1" i="65"/>
  <c r="AW3" i="67"/>
  <c r="AW7" i="70"/>
  <c r="AW2" i="107"/>
  <c r="AU4" i="125" s="1"/>
  <c r="AT4" i="109"/>
  <c r="AT4" i="115"/>
  <c r="AX23" i="65"/>
  <c r="AX24" i="65"/>
  <c r="AX25" i="65" s="1"/>
  <c r="AY14" i="65"/>
  <c r="J18" i="118"/>
  <c r="L18" i="118" s="1"/>
  <c r="AP15" i="61"/>
  <c r="AY3" i="123"/>
  <c r="AU5" i="11"/>
  <c r="AW1" i="34"/>
  <c r="BB3" i="81"/>
  <c r="AX2" i="69" s="1"/>
  <c r="AV3" i="11"/>
  <c r="AU4" i="11"/>
  <c r="AV2" i="34"/>
  <c r="AV3" i="34"/>
  <c r="AT4" i="61"/>
  <c r="BE60" i="34"/>
  <c r="F17" i="119"/>
  <c r="E17" i="119"/>
  <c r="D19" i="118"/>
  <c r="BR43" i="69" l="1"/>
  <c r="BP34" i="70"/>
  <c r="BP37" i="70" s="1"/>
  <c r="BJ35" i="69"/>
  <c r="BH32" i="70"/>
  <c r="BR42" i="69"/>
  <c r="BQ35" i="70" s="1"/>
  <c r="BY39" i="69"/>
  <c r="AY23" i="65"/>
  <c r="AZ14" i="65"/>
  <c r="AY24" i="65"/>
  <c r="AY25" i="65" s="1"/>
  <c r="AX2" i="107"/>
  <c r="AV4" i="125" s="1"/>
  <c r="AU4" i="115"/>
  <c r="AU4" i="109"/>
  <c r="AX1" i="65"/>
  <c r="AX3" i="67"/>
  <c r="AX7" i="70"/>
  <c r="G17" i="119"/>
  <c r="AZ3" i="123"/>
  <c r="AX1" i="34"/>
  <c r="AW3" i="11"/>
  <c r="AV5" i="11"/>
  <c r="AV4" i="11"/>
  <c r="BC3" i="81"/>
  <c r="AY2" i="69" s="1"/>
  <c r="AQ15" i="61"/>
  <c r="AU4" i="61"/>
  <c r="AW3" i="34"/>
  <c r="AW2" i="34"/>
  <c r="F19" i="118"/>
  <c r="K19" i="118" s="1"/>
  <c r="E19" i="118"/>
  <c r="G19" i="118" s="1"/>
  <c r="K17" i="119"/>
  <c r="BF60" i="34"/>
  <c r="BK35" i="69" l="1"/>
  <c r="BI32" i="70"/>
  <c r="BS43" i="69"/>
  <c r="BQ34" i="70"/>
  <c r="BQ37" i="70" s="1"/>
  <c r="BS42" i="69"/>
  <c r="BR35" i="70" s="1"/>
  <c r="AY2" i="107"/>
  <c r="AW4" i="125" s="1"/>
  <c r="AV4" i="109"/>
  <c r="AV4" i="115"/>
  <c r="AY3" i="67"/>
  <c r="AY1" i="65"/>
  <c r="AY7" i="70"/>
  <c r="AZ23" i="65"/>
  <c r="AZ24" i="65"/>
  <c r="AZ25" i="65" s="1"/>
  <c r="H17" i="119"/>
  <c r="I17" i="119" s="1"/>
  <c r="J17" i="119" s="1"/>
  <c r="L17" i="119" s="1"/>
  <c r="U49" i="34"/>
  <c r="S25" i="11"/>
  <c r="U48" i="34" s="1"/>
  <c r="AR15" i="61"/>
  <c r="BA3" i="123"/>
  <c r="AY1" i="34"/>
  <c r="AW5" i="11"/>
  <c r="AX3" i="11"/>
  <c r="BD3" i="81"/>
  <c r="AZ2" i="69" s="1"/>
  <c r="AW4" i="11"/>
  <c r="AV4" i="61"/>
  <c r="AX2" i="34"/>
  <c r="AX3" i="34"/>
  <c r="H19" i="118"/>
  <c r="I19" i="118" s="1"/>
  <c r="J19" i="118" s="1"/>
  <c r="L19" i="118" s="1"/>
  <c r="BG60" i="34"/>
  <c r="BT43" i="69" l="1"/>
  <c r="BR34" i="70"/>
  <c r="BR37" i="70" s="1"/>
  <c r="BL35" i="69"/>
  <c r="BJ32" i="70"/>
  <c r="BT42" i="69"/>
  <c r="BS35" i="70" s="1"/>
  <c r="AZ2" i="107"/>
  <c r="BA2" i="107" s="1"/>
  <c r="BB2" i="107" s="1"/>
  <c r="BC2" i="107" s="1"/>
  <c r="BD2" i="107" s="1"/>
  <c r="BE2" i="107" s="1"/>
  <c r="BF2" i="107" s="1"/>
  <c r="BG2" i="107" s="1"/>
  <c r="BH2" i="107" s="1"/>
  <c r="BI2" i="107" s="1"/>
  <c r="BJ2" i="107" s="1"/>
  <c r="BK2" i="107" s="1"/>
  <c r="AW4" i="115"/>
  <c r="AW4" i="109"/>
  <c r="AZ1" i="65"/>
  <c r="AZ3" i="67"/>
  <c r="AZ7" i="70"/>
  <c r="AD30" i="70"/>
  <c r="AD37" i="70" s="1"/>
  <c r="AP30" i="70"/>
  <c r="AP37" i="70" s="1"/>
  <c r="D18" i="119"/>
  <c r="E18" i="119" s="1"/>
  <c r="U61" i="34"/>
  <c r="S38" i="11"/>
  <c r="U39" i="34"/>
  <c r="BB3" i="123"/>
  <c r="AX4" i="11"/>
  <c r="AX5" i="11"/>
  <c r="AY3" i="11"/>
  <c r="BA7" i="70" s="1"/>
  <c r="BE3" i="81"/>
  <c r="BA2" i="69" s="1"/>
  <c r="AZ1" i="34"/>
  <c r="AY2" i="34"/>
  <c r="AY3" i="34"/>
  <c r="AW4" i="61"/>
  <c r="AS15" i="61"/>
  <c r="BH60" i="34"/>
  <c r="F18" i="119"/>
  <c r="K18" i="119" s="1"/>
  <c r="AE55" i="70" s="1"/>
  <c r="AE76" i="34" s="1"/>
  <c r="D20" i="118"/>
  <c r="BM35" i="69" l="1"/>
  <c r="BK32" i="70"/>
  <c r="BU43" i="69"/>
  <c r="BS34" i="70"/>
  <c r="BS37" i="70" s="1"/>
  <c r="BU42" i="69"/>
  <c r="BT35" i="70" s="1"/>
  <c r="BA3" i="67"/>
  <c r="U43" i="34"/>
  <c r="AZ3" i="34"/>
  <c r="AX4" i="61"/>
  <c r="AZ2" i="34"/>
  <c r="BC3" i="123"/>
  <c r="BA1" i="34"/>
  <c r="BF3" i="81"/>
  <c r="BB2" i="69" s="1"/>
  <c r="AY5" i="11"/>
  <c r="AZ3" i="11"/>
  <c r="AY4" i="11"/>
  <c r="AT15" i="61"/>
  <c r="BI60" i="34"/>
  <c r="G18" i="119"/>
  <c r="H18" i="119" s="1"/>
  <c r="E20" i="118"/>
  <c r="F20" i="118"/>
  <c r="K20" i="118" s="1"/>
  <c r="BV43" i="69" l="1"/>
  <c r="BT34" i="70"/>
  <c r="BT37" i="70" s="1"/>
  <c r="BN35" i="69"/>
  <c r="BL32" i="70"/>
  <c r="BB3" i="67"/>
  <c r="BB7" i="70"/>
  <c r="BV42" i="69"/>
  <c r="BU35" i="70" s="1"/>
  <c r="G20" i="118"/>
  <c r="U44" i="34"/>
  <c r="U45" i="34" s="1"/>
  <c r="U29" i="34"/>
  <c r="AU15" i="61"/>
  <c r="BD3" i="123"/>
  <c r="BA3" i="11"/>
  <c r="BB1" i="34"/>
  <c r="AZ5" i="11"/>
  <c r="AZ4" i="11"/>
  <c r="BA2" i="34"/>
  <c r="AY4" i="61"/>
  <c r="BA3" i="34"/>
  <c r="H20" i="118"/>
  <c r="I20" i="118" s="1"/>
  <c r="J20" i="118" s="1"/>
  <c r="L20" i="118" s="1"/>
  <c r="I18" i="119"/>
  <c r="J18" i="119" s="1"/>
  <c r="L18" i="119" s="1"/>
  <c r="BJ60" i="34"/>
  <c r="BO35" i="69" l="1"/>
  <c r="BM32" i="70"/>
  <c r="BW43" i="69"/>
  <c r="BU34" i="70"/>
  <c r="BU37" i="70" s="1"/>
  <c r="BC3" i="67"/>
  <c r="BC7" i="70"/>
  <c r="BW42" i="69"/>
  <c r="BV35" i="70" s="1"/>
  <c r="AE30" i="70"/>
  <c r="AE37" i="70" s="1"/>
  <c r="AQ30" i="70"/>
  <c r="AQ37" i="70" s="1"/>
  <c r="S23" i="11"/>
  <c r="BB3" i="34"/>
  <c r="BB2" i="34"/>
  <c r="AZ4" i="61"/>
  <c r="AV15" i="61"/>
  <c r="BE3" i="123"/>
  <c r="BC1" i="34"/>
  <c r="BA5" i="11"/>
  <c r="BA4" i="11"/>
  <c r="BB3" i="11"/>
  <c r="BD7" i="70" s="1"/>
  <c r="D21" i="118"/>
  <c r="D19" i="119"/>
  <c r="BK60" i="34"/>
  <c r="BL60" i="34"/>
  <c r="BX43" i="69" l="1"/>
  <c r="BY43" i="69" s="1"/>
  <c r="BV34" i="70"/>
  <c r="BV37" i="70" s="1"/>
  <c r="BP35" i="69"/>
  <c r="BN32" i="70"/>
  <c r="BX42" i="69"/>
  <c r="V43" i="34"/>
  <c r="V49" i="34"/>
  <c r="T25" i="11"/>
  <c r="V48" i="34" s="1"/>
  <c r="U15" i="70"/>
  <c r="AW15" i="61"/>
  <c r="BF3" i="123"/>
  <c r="BB4" i="11"/>
  <c r="BC3" i="11"/>
  <c r="BE7" i="70" s="1"/>
  <c r="BB5" i="11"/>
  <c r="BD1" i="34"/>
  <c r="BA4" i="61"/>
  <c r="BC2" i="34"/>
  <c r="BC3" i="34"/>
  <c r="E21" i="118"/>
  <c r="F21" i="118"/>
  <c r="K21" i="118" s="1"/>
  <c r="E19" i="119"/>
  <c r="F19" i="119"/>
  <c r="K19" i="119" s="1"/>
  <c r="BQ35" i="69" l="1"/>
  <c r="BO32" i="70"/>
  <c r="BY42" i="69"/>
  <c r="AF55" i="70"/>
  <c r="AF76" i="34" s="1"/>
  <c r="AO55" i="70"/>
  <c r="AX55" i="70"/>
  <c r="G19" i="119"/>
  <c r="H19" i="119" s="1"/>
  <c r="I19" i="119" s="1"/>
  <c r="J19" i="119" s="1"/>
  <c r="L19" i="119" s="1"/>
  <c r="V61" i="34"/>
  <c r="T38" i="11"/>
  <c r="BG3" i="123"/>
  <c r="BE1" i="34"/>
  <c r="BC4" i="11"/>
  <c r="BD3" i="11"/>
  <c r="BF7" i="70" s="1"/>
  <c r="BC5" i="11"/>
  <c r="AX15" i="61"/>
  <c r="BD2" i="34"/>
  <c r="BD3" i="34"/>
  <c r="BB4" i="61"/>
  <c r="G21" i="118"/>
  <c r="H21" i="118" s="1"/>
  <c r="BR35" i="69" l="1"/>
  <c r="BP32" i="70"/>
  <c r="AO76" i="34"/>
  <c r="AF30" i="70"/>
  <c r="AF37" i="70" s="1"/>
  <c r="AR30" i="70"/>
  <c r="AR37" i="70" s="1"/>
  <c r="AX76" i="34"/>
  <c r="AY15" i="61"/>
  <c r="BH3" i="123"/>
  <c r="BE3" i="11"/>
  <c r="BG7" i="70" s="1"/>
  <c r="BD4" i="11"/>
  <c r="BF1" i="34"/>
  <c r="BD5" i="11"/>
  <c r="BC4" i="61"/>
  <c r="BE2" i="34"/>
  <c r="BE3" i="34"/>
  <c r="D20" i="119"/>
  <c r="I21" i="118"/>
  <c r="J21" i="118" s="1"/>
  <c r="L21" i="118" s="1"/>
  <c r="BS35" i="69" l="1"/>
  <c r="BQ32" i="70"/>
  <c r="V44" i="34"/>
  <c r="V45" i="34" s="1"/>
  <c r="T23" i="11"/>
  <c r="BF3" i="34"/>
  <c r="BD4" i="61"/>
  <c r="BF2" i="34"/>
  <c r="AZ15" i="61"/>
  <c r="BI3" i="123"/>
  <c r="BG1" i="34"/>
  <c r="BE4" i="11"/>
  <c r="BF3" i="11"/>
  <c r="BH7" i="70" s="1"/>
  <c r="BE5" i="11"/>
  <c r="F20" i="119"/>
  <c r="E20" i="119"/>
  <c r="D22" i="118"/>
  <c r="BT35" i="69" l="1"/>
  <c r="BR32" i="70"/>
  <c r="G20" i="119"/>
  <c r="BA15" i="61"/>
  <c r="BJ3" i="123"/>
  <c r="BF4" i="11"/>
  <c r="BG3" i="11"/>
  <c r="BI7" i="70" s="1"/>
  <c r="BF5" i="11"/>
  <c r="BH1" i="34"/>
  <c r="BE4" i="61"/>
  <c r="BG2" i="34"/>
  <c r="BG3" i="34"/>
  <c r="E22" i="118"/>
  <c r="F22" i="118"/>
  <c r="K20" i="119"/>
  <c r="BU35" i="69" l="1"/>
  <c r="BS32" i="70"/>
  <c r="AG55" i="70"/>
  <c r="AG76" i="34" s="1"/>
  <c r="AY55" i="70"/>
  <c r="AP55" i="70"/>
  <c r="H20" i="119"/>
  <c r="I20" i="119" s="1"/>
  <c r="J20" i="119" s="1"/>
  <c r="L20" i="119" s="1"/>
  <c r="AS30" i="70" s="1"/>
  <c r="AS37" i="70" s="1"/>
  <c r="G22" i="118"/>
  <c r="H22" i="118" s="1"/>
  <c r="I22" i="118" s="1"/>
  <c r="BF4" i="61"/>
  <c r="BH3" i="34"/>
  <c r="BH2" i="34"/>
  <c r="BB15" i="61"/>
  <c r="BK3" i="123"/>
  <c r="BI1" i="34"/>
  <c r="BH3" i="11"/>
  <c r="BJ7" i="70" s="1"/>
  <c r="BG4" i="11"/>
  <c r="BG5" i="11"/>
  <c r="K22" i="118"/>
  <c r="BV35" i="69" l="1"/>
  <c r="BT32" i="70"/>
  <c r="AP76" i="34"/>
  <c r="AY76" i="34"/>
  <c r="AG30" i="70"/>
  <c r="AG37" i="70" s="1"/>
  <c r="D21" i="119"/>
  <c r="J22" i="118"/>
  <c r="L22" i="118" s="1"/>
  <c r="D23" i="118" s="1"/>
  <c r="BL3" i="123"/>
  <c r="BJ1" i="34"/>
  <c r="BI3" i="11"/>
  <c r="BK7" i="70" s="1"/>
  <c r="BH5" i="11"/>
  <c r="BH4" i="11"/>
  <c r="BI3" i="34"/>
  <c r="BI2" i="34"/>
  <c r="BG4" i="61"/>
  <c r="BC15" i="61"/>
  <c r="F21" i="119"/>
  <c r="K21" i="119" s="1"/>
  <c r="E21" i="119"/>
  <c r="BW35" i="69" l="1"/>
  <c r="BU32" i="70"/>
  <c r="AH55" i="70"/>
  <c r="AH76" i="34" s="1"/>
  <c r="AQ55" i="70"/>
  <c r="AZ55" i="70"/>
  <c r="U25" i="11"/>
  <c r="W43" i="34"/>
  <c r="W49" i="34"/>
  <c r="BD15" i="61"/>
  <c r="BM3" i="123"/>
  <c r="BK1" i="34"/>
  <c r="BI4" i="11"/>
  <c r="BI5" i="11"/>
  <c r="BJ3" i="11"/>
  <c r="BL7" i="70" s="1"/>
  <c r="BJ2" i="34"/>
  <c r="BH4" i="61"/>
  <c r="BJ3" i="34"/>
  <c r="G21" i="119"/>
  <c r="H21" i="119" s="1"/>
  <c r="F23" i="118"/>
  <c r="K23" i="118" s="1"/>
  <c r="E23" i="118"/>
  <c r="BX35" i="69" l="1"/>
  <c r="BY35" i="69" s="1"/>
  <c r="BV32" i="70"/>
  <c r="AZ76" i="34"/>
  <c r="AQ76" i="34"/>
  <c r="W48" i="34"/>
  <c r="W61" i="34" s="1"/>
  <c r="U38" i="11"/>
  <c r="G23" i="118"/>
  <c r="BE15" i="61"/>
  <c r="BN3" i="123"/>
  <c r="BJ5" i="11"/>
  <c r="BL1" i="34"/>
  <c r="BJ4" i="11"/>
  <c r="BK3" i="34"/>
  <c r="BK2" i="34"/>
  <c r="BI4" i="61"/>
  <c r="H23" i="118"/>
  <c r="I23" i="118" s="1"/>
  <c r="J23" i="118" s="1"/>
  <c r="L23" i="118" s="1"/>
  <c r="I21" i="119"/>
  <c r="J21" i="119" s="1"/>
  <c r="L21" i="119" s="1"/>
  <c r="AH30" i="70" l="1"/>
  <c r="AH37" i="70" s="1"/>
  <c r="AT30" i="70"/>
  <c r="AT37" i="70" s="1"/>
  <c r="BL2" i="34"/>
  <c r="BJ4" i="61"/>
  <c r="BL3" i="34"/>
  <c r="BF15" i="61"/>
  <c r="S55" i="58"/>
  <c r="K69" i="57"/>
  <c r="D24" i="118"/>
  <c r="D22" i="119"/>
  <c r="Y45" i="57" l="1"/>
  <c r="W58" i="57"/>
  <c r="X39" i="57"/>
  <c r="Z34" i="57"/>
  <c r="Y39" i="57"/>
  <c r="X47" i="57"/>
  <c r="Z24" i="57"/>
  <c r="X15" i="57"/>
  <c r="X17" i="57" s="1"/>
  <c r="X49" i="57"/>
  <c r="X23" i="57"/>
  <c r="W39" i="57"/>
  <c r="Y64" i="57"/>
  <c r="Z33" i="57"/>
  <c r="T21" i="57"/>
  <c r="W50" i="57"/>
  <c r="Z58" i="57"/>
  <c r="X64" i="57"/>
  <c r="Y43" i="57"/>
  <c r="X44" i="57"/>
  <c r="Z50" i="57"/>
  <c r="W24" i="57"/>
  <c r="Z54" i="57"/>
  <c r="T23" i="57"/>
  <c r="Z49" i="57"/>
  <c r="S24" i="57"/>
  <c r="Y44" i="57"/>
  <c r="W45" i="57"/>
  <c r="Y71" i="57"/>
  <c r="X38" i="57"/>
  <c r="Z51" i="57"/>
  <c r="X34" i="57"/>
  <c r="X75" i="57"/>
  <c r="V22" i="57"/>
  <c r="Z71" i="57"/>
  <c r="Y50" i="57"/>
  <c r="Y33" i="57"/>
  <c r="X58" i="57"/>
  <c r="X46" i="57"/>
  <c r="Z73" i="57"/>
  <c r="X22" i="57"/>
  <c r="Z21" i="57"/>
  <c r="T22" i="57"/>
  <c r="U23" i="57"/>
  <c r="W71" i="57"/>
  <c r="Y55" i="57"/>
  <c r="W54" i="57"/>
  <c r="Z45" i="57"/>
  <c r="S14" i="57"/>
  <c r="Z3" i="57"/>
  <c r="W34" i="57"/>
  <c r="Z39" i="57"/>
  <c r="Z55" i="57"/>
  <c r="Y69" i="57"/>
  <c r="Y34" i="57"/>
  <c r="X53" i="57"/>
  <c r="U24" i="57"/>
  <c r="T24" i="57"/>
  <c r="U14" i="57"/>
  <c r="Z43" i="57"/>
  <c r="X45" i="57"/>
  <c r="S21" i="57"/>
  <c r="Y14" i="57"/>
  <c r="V21" i="57"/>
  <c r="T14" i="57"/>
  <c r="W47" i="57"/>
  <c r="Y67" i="57"/>
  <c r="Z69" i="57"/>
  <c r="X33" i="57"/>
  <c r="Z44" i="57"/>
  <c r="Y15" i="57"/>
  <c r="Y17" i="57" s="1"/>
  <c r="W22" i="57"/>
  <c r="Y58" i="57"/>
  <c r="Y46" i="57"/>
  <c r="V24" i="57"/>
  <c r="X55" i="57"/>
  <c r="Y23" i="57"/>
  <c r="T15" i="57"/>
  <c r="T17" i="57" s="1"/>
  <c r="Z52" i="57"/>
  <c r="V23" i="57"/>
  <c r="X14" i="57"/>
  <c r="Y48" i="57"/>
  <c r="Z15" i="57"/>
  <c r="Z17" i="57" s="1"/>
  <c r="Z75" i="57"/>
  <c r="U15" i="57"/>
  <c r="U17" i="57" s="1"/>
  <c r="W55" i="57"/>
  <c r="W46" i="57"/>
  <c r="W21" i="57"/>
  <c r="V14" i="57"/>
  <c r="Y73" i="57"/>
  <c r="Y51" i="57"/>
  <c r="W48" i="57"/>
  <c r="Z22" i="57"/>
  <c r="Z23" i="57"/>
  <c r="Y24" i="57"/>
  <c r="Y52" i="57"/>
  <c r="W23" i="57"/>
  <c r="V15" i="57"/>
  <c r="V17" i="57" s="1"/>
  <c r="X21" i="57"/>
  <c r="W43" i="57"/>
  <c r="Y49" i="57"/>
  <c r="W51" i="57"/>
  <c r="Y75" i="57"/>
  <c r="Y54" i="57"/>
  <c r="X3" i="57"/>
  <c r="W15" i="57"/>
  <c r="W17" i="57" s="1"/>
  <c r="X52" i="57"/>
  <c r="X73" i="57"/>
  <c r="X71" i="57"/>
  <c r="W75" i="57"/>
  <c r="Z48" i="57"/>
  <c r="X48" i="57"/>
  <c r="Y65" i="57"/>
  <c r="W3" i="57"/>
  <c r="S15" i="57"/>
  <c r="S17" i="57" s="1"/>
  <c r="Y38" i="57"/>
  <c r="Y53" i="57"/>
  <c r="S23" i="57"/>
  <c r="X43" i="57"/>
  <c r="Z64" i="57"/>
  <c r="Z47" i="57"/>
  <c r="Z14" i="57"/>
  <c r="X69" i="57"/>
  <c r="W64" i="57"/>
  <c r="W44" i="57"/>
  <c r="Y21" i="57"/>
  <c r="W14" i="57"/>
  <c r="W53" i="57"/>
  <c r="W73" i="57"/>
  <c r="X50" i="57"/>
  <c r="X54" i="57"/>
  <c r="W49" i="57"/>
  <c r="X65" i="57"/>
  <c r="Z67" i="57"/>
  <c r="W67" i="57"/>
  <c r="U22" i="57"/>
  <c r="Y3" i="57"/>
  <c r="Z53" i="57"/>
  <c r="Z38" i="57"/>
  <c r="W38" i="57"/>
  <c r="Y22" i="57"/>
  <c r="Z65" i="57"/>
  <c r="X24" i="57"/>
  <c r="X67" i="57"/>
  <c r="Y47" i="57"/>
  <c r="W65" i="57"/>
  <c r="W33" i="57"/>
  <c r="X51" i="57"/>
  <c r="U21" i="57"/>
  <c r="Z46" i="57"/>
  <c r="W69" i="57"/>
  <c r="W52" i="57"/>
  <c r="H49" i="57"/>
  <c r="C43" i="57"/>
  <c r="M53" i="57"/>
  <c r="J52" i="57"/>
  <c r="M49" i="57"/>
  <c r="D47" i="57"/>
  <c r="H51" i="57"/>
  <c r="P23" i="57"/>
  <c r="J48" i="57"/>
  <c r="H53" i="57"/>
  <c r="P49" i="57"/>
  <c r="E65" i="57"/>
  <c r="V69" i="57"/>
  <c r="J69" i="57"/>
  <c r="K47" i="57"/>
  <c r="Q54" i="57"/>
  <c r="T56" i="58"/>
  <c r="D54" i="58"/>
  <c r="P54" i="58" s="1"/>
  <c r="R54" i="58" s="1"/>
  <c r="S54" i="58"/>
  <c r="I59" i="58"/>
  <c r="S50" i="57"/>
  <c r="P54" i="57"/>
  <c r="U47" i="57"/>
  <c r="K65" i="57"/>
  <c r="U52" i="57"/>
  <c r="P53" i="57"/>
  <c r="G49" i="57"/>
  <c r="T48" i="57"/>
  <c r="S51" i="57"/>
  <c r="K73" i="57"/>
  <c r="H50" i="57"/>
  <c r="C48" i="57"/>
  <c r="M52" i="57"/>
  <c r="E55" i="57"/>
  <c r="V45" i="57"/>
  <c r="V48" i="57"/>
  <c r="O23" i="57"/>
  <c r="E52" i="57"/>
  <c r="I48" i="57"/>
  <c r="P47" i="57"/>
  <c r="P52" i="57"/>
  <c r="S64" i="57"/>
  <c r="K52" i="57"/>
  <c r="R55" i="57"/>
  <c r="L52" i="57"/>
  <c r="U48" i="57"/>
  <c r="K53" i="57"/>
  <c r="V55" i="57"/>
  <c r="K48" i="57"/>
  <c r="T51" i="57"/>
  <c r="E52" i="58"/>
  <c r="T51" i="58"/>
  <c r="G50" i="58"/>
  <c r="E53" i="58"/>
  <c r="U19" i="58"/>
  <c r="I18" i="58"/>
  <c r="I19" i="58"/>
  <c r="I6" i="58"/>
  <c r="S58" i="58"/>
  <c r="F50" i="58"/>
  <c r="F54" i="58"/>
  <c r="T68" i="58"/>
  <c r="D50" i="58"/>
  <c r="P50" i="58" s="1"/>
  <c r="R50" i="58" s="1"/>
  <c r="S53" i="58"/>
  <c r="T49" i="58"/>
  <c r="D56" i="58"/>
  <c r="P56" i="58" s="1"/>
  <c r="R56" i="58" s="1"/>
  <c r="D27" i="58"/>
  <c r="P27" i="58" s="1"/>
  <c r="R27" i="58" s="1"/>
  <c r="D38" i="58"/>
  <c r="P38" i="58" s="1"/>
  <c r="R38" i="58" s="1"/>
  <c r="H53" i="58"/>
  <c r="T58" i="58"/>
  <c r="U50" i="58"/>
  <c r="E51" i="58"/>
  <c r="E58" i="58"/>
  <c r="T52" i="58"/>
  <c r="G58" i="58"/>
  <c r="E69" i="58"/>
  <c r="U68" i="58"/>
  <c r="F53" i="58"/>
  <c r="I27" i="58"/>
  <c r="E54" i="58"/>
  <c r="T57" i="58"/>
  <c r="D58" i="58"/>
  <c r="P58" i="58" s="1"/>
  <c r="R58" i="58" s="1"/>
  <c r="I53" i="58"/>
  <c r="E50" i="58"/>
  <c r="G52" i="58"/>
  <c r="D59" i="58"/>
  <c r="P59" i="58" s="1"/>
  <c r="R59" i="58" s="1"/>
  <c r="U73" i="58"/>
  <c r="I50" i="58"/>
  <c r="K51" i="57"/>
  <c r="E48" i="57"/>
  <c r="T55" i="57"/>
  <c r="T50" i="57"/>
  <c r="L23" i="57"/>
  <c r="T54" i="57"/>
  <c r="I69" i="57"/>
  <c r="C53" i="57"/>
  <c r="D51" i="57"/>
  <c r="S49" i="57"/>
  <c r="L49" i="57"/>
  <c r="F50" i="57"/>
  <c r="M64" i="57"/>
  <c r="J50" i="57"/>
  <c r="G34" i="57"/>
  <c r="F51" i="57"/>
  <c r="N45" i="57"/>
  <c r="U3" i="57"/>
  <c r="C64" i="57"/>
  <c r="O55" i="57"/>
  <c r="J51" i="57"/>
  <c r="I55" i="57"/>
  <c r="D22" i="57"/>
  <c r="N50" i="57"/>
  <c r="S54" i="57"/>
  <c r="U53" i="57"/>
  <c r="L46" i="57"/>
  <c r="V50" i="57"/>
  <c r="Q55" i="57"/>
  <c r="R53" i="57"/>
  <c r="Q49" i="57"/>
  <c r="H64" i="57"/>
  <c r="U69" i="57"/>
  <c r="H47" i="57"/>
  <c r="R46" i="57"/>
  <c r="O53" i="57"/>
  <c r="Q73" i="57"/>
  <c r="O54" i="57"/>
  <c r="L73" i="57"/>
  <c r="M48" i="57"/>
  <c r="S69" i="57"/>
  <c r="J47" i="57"/>
  <c r="T3" i="57"/>
  <c r="N47" i="57"/>
  <c r="Q53" i="57"/>
  <c r="M54" i="57"/>
  <c r="J14" i="57"/>
  <c r="L64" i="57"/>
  <c r="J49" i="57"/>
  <c r="D3" i="57"/>
  <c r="P48" i="57"/>
  <c r="I53" i="57"/>
  <c r="F64" i="57"/>
  <c r="M3" i="57"/>
  <c r="H48" i="57"/>
  <c r="E54" i="57"/>
  <c r="K55" i="57"/>
  <c r="L54" i="57"/>
  <c r="T46" i="57"/>
  <c r="D45" i="57"/>
  <c r="E22" i="57"/>
  <c r="C54" i="57"/>
  <c r="R50" i="57"/>
  <c r="Q48" i="57"/>
  <c r="C49" i="57"/>
  <c r="T64" i="57"/>
  <c r="L50" i="57"/>
  <c r="S3" i="57"/>
  <c r="O65" i="57"/>
  <c r="T49" i="57"/>
  <c r="C51" i="57"/>
  <c r="P46" i="57"/>
  <c r="J54" i="57"/>
  <c r="I52" i="57"/>
  <c r="Q52" i="57"/>
  <c r="I51" i="57"/>
  <c r="C24" i="57"/>
  <c r="V53" i="57"/>
  <c r="E23" i="57"/>
  <c r="C3" i="57"/>
  <c r="G51" i="57"/>
  <c r="L47" i="57"/>
  <c r="U50" i="57"/>
  <c r="R45" i="57"/>
  <c r="I45" i="57"/>
  <c r="C65" i="57"/>
  <c r="P45" i="57"/>
  <c r="F54" i="57"/>
  <c r="N65" i="57"/>
  <c r="D73" i="57"/>
  <c r="I73" i="57"/>
  <c r="S73" i="57"/>
  <c r="I47" i="57"/>
  <c r="E69" i="57"/>
  <c r="L14" i="57"/>
  <c r="D23" i="57"/>
  <c r="U51" i="57"/>
  <c r="E24" i="57"/>
  <c r="C52" i="57"/>
  <c r="R73" i="57"/>
  <c r="L3" i="57"/>
  <c r="G53" i="57"/>
  <c r="S45" i="57"/>
  <c r="Q64" i="57"/>
  <c r="D21" i="57"/>
  <c r="I65" i="57"/>
  <c r="O3" i="57"/>
  <c r="Q3" i="57"/>
  <c r="P65" i="57"/>
  <c r="S53" i="57"/>
  <c r="Q46" i="57"/>
  <c r="O73" i="57"/>
  <c r="U46" i="57"/>
  <c r="F38" i="57"/>
  <c r="K3" i="57"/>
  <c r="R52" i="57"/>
  <c r="U49" i="57"/>
  <c r="G73" i="57"/>
  <c r="C39" i="57"/>
  <c r="C44" i="57"/>
  <c r="N53" i="57"/>
  <c r="N64" i="57"/>
  <c r="R51" i="57"/>
  <c r="G14" i="57"/>
  <c r="S65" i="57"/>
  <c r="R3" i="57"/>
  <c r="Q14" i="57"/>
  <c r="D69" i="57"/>
  <c r="U54" i="57"/>
  <c r="D44" i="57"/>
  <c r="E21" i="57"/>
  <c r="N51" i="57"/>
  <c r="D46" i="57"/>
  <c r="E34" i="57"/>
  <c r="R14" i="57"/>
  <c r="V51" i="57"/>
  <c r="K54" i="57"/>
  <c r="G48" i="57"/>
  <c r="F14" i="57"/>
  <c r="C47" i="57"/>
  <c r="K49" i="57"/>
  <c r="O69" i="57"/>
  <c r="T45" i="57"/>
  <c r="M14" i="57"/>
  <c r="I3" i="57"/>
  <c r="K50" i="57"/>
  <c r="M51" i="57"/>
  <c r="L55" i="57"/>
  <c r="U55" i="57"/>
  <c r="O64" i="57"/>
  <c r="E3" i="57"/>
  <c r="L69" i="57"/>
  <c r="D65" i="57"/>
  <c r="D52" i="57"/>
  <c r="K46" i="57"/>
  <c r="S48" i="57"/>
  <c r="R49" i="57"/>
  <c r="L51" i="57"/>
  <c r="T47" i="57"/>
  <c r="M50" i="57"/>
  <c r="J45" i="57"/>
  <c r="N14" i="57"/>
  <c r="D49" i="57"/>
  <c r="D50" i="57"/>
  <c r="L45" i="57"/>
  <c r="G38" i="57"/>
  <c r="C45" i="57"/>
  <c r="C34" i="57"/>
  <c r="N73" i="57"/>
  <c r="M65" i="57"/>
  <c r="R69" i="57"/>
  <c r="D24" i="57"/>
  <c r="G55" i="57"/>
  <c r="T53" i="57"/>
  <c r="U73" i="57"/>
  <c r="V73" i="57"/>
  <c r="T65" i="57"/>
  <c r="N3" i="57"/>
  <c r="D43" i="57"/>
  <c r="J64" i="57"/>
  <c r="C15" i="57"/>
  <c r="F23" i="57"/>
  <c r="H73" i="57"/>
  <c r="C55" i="57"/>
  <c r="V64" i="57"/>
  <c r="J73" i="57"/>
  <c r="L65" i="57"/>
  <c r="G3" i="57"/>
  <c r="D48" i="57"/>
  <c r="E38" i="57"/>
  <c r="F47" i="57"/>
  <c r="U65" i="57"/>
  <c r="U64" i="57"/>
  <c r="C38" i="57"/>
  <c r="I64" i="57"/>
  <c r="T69" i="57"/>
  <c r="G46" i="57"/>
  <c r="P3" i="57"/>
  <c r="Q65" i="57"/>
  <c r="I50" i="57"/>
  <c r="N52" i="57"/>
  <c r="P55" i="57"/>
  <c r="F3" i="57"/>
  <c r="P64" i="57"/>
  <c r="C22" i="57"/>
  <c r="V54" i="57"/>
  <c r="F45" i="57"/>
  <c r="R64" i="57"/>
  <c r="C73" i="57"/>
  <c r="N54" i="57"/>
  <c r="C14" i="57"/>
  <c r="C50" i="57"/>
  <c r="H54" i="57"/>
  <c r="N49" i="57"/>
  <c r="J65" i="57"/>
  <c r="E47" i="57"/>
  <c r="C69" i="57"/>
  <c r="V47" i="57"/>
  <c r="P50" i="57"/>
  <c r="O14" i="57"/>
  <c r="I46" i="57"/>
  <c r="L48" i="57"/>
  <c r="O51" i="57"/>
  <c r="N23" i="57"/>
  <c r="H14" i="57"/>
  <c r="E15" i="57"/>
  <c r="D53" i="57"/>
  <c r="F48" i="57"/>
  <c r="O47" i="57"/>
  <c r="G47" i="57"/>
  <c r="H65" i="57"/>
  <c r="J53" i="57"/>
  <c r="F46" i="57"/>
  <c r="V46" i="57"/>
  <c r="D33" i="57"/>
  <c r="P51" i="57"/>
  <c r="G45" i="57"/>
  <c r="D39" i="57"/>
  <c r="H52" i="57"/>
  <c r="H55" i="57"/>
  <c r="E49" i="57"/>
  <c r="E51" i="57"/>
  <c r="M46" i="57"/>
  <c r="T73" i="57"/>
  <c r="E53" i="57"/>
  <c r="Q47" i="57"/>
  <c r="O52" i="57"/>
  <c r="S55" i="57"/>
  <c r="N46" i="57"/>
  <c r="F69" i="57"/>
  <c r="G65" i="57"/>
  <c r="C23" i="57"/>
  <c r="G69" i="58"/>
  <c r="H27" i="58"/>
  <c r="T69" i="58"/>
  <c r="E18" i="58"/>
  <c r="U51" i="58"/>
  <c r="I55" i="58"/>
  <c r="D53" i="58"/>
  <c r="P53" i="58" s="1"/>
  <c r="R53" i="58" s="1"/>
  <c r="F27" i="58"/>
  <c r="H55" i="58"/>
  <c r="S68" i="58"/>
  <c r="S51" i="58"/>
  <c r="H49" i="58"/>
  <c r="G49" i="58"/>
  <c r="E6" i="58"/>
  <c r="G6" i="58"/>
  <c r="H18" i="58"/>
  <c r="F77" i="58"/>
  <c r="G18" i="58"/>
  <c r="D68" i="58"/>
  <c r="P68" i="58" s="1"/>
  <c r="R68" i="58" s="1"/>
  <c r="I54" i="58"/>
  <c r="D69" i="58"/>
  <c r="P69" i="58" s="1"/>
  <c r="R69" i="58" s="1"/>
  <c r="G55" i="58"/>
  <c r="U49" i="58"/>
  <c r="D77" i="58"/>
  <c r="P77" i="58" s="1"/>
  <c r="R77" i="58" s="1"/>
  <c r="F51" i="58"/>
  <c r="G57" i="58"/>
  <c r="E55" i="58"/>
  <c r="U56" i="58"/>
  <c r="S77" i="58"/>
  <c r="H69" i="58"/>
  <c r="U28" i="58"/>
  <c r="I57" i="58"/>
  <c r="E27" i="58"/>
  <c r="U18" i="58"/>
  <c r="U59" i="58"/>
  <c r="G68" i="58"/>
  <c r="H58" i="58"/>
  <c r="U58" i="58"/>
  <c r="D18" i="58"/>
  <c r="P18" i="58" s="1"/>
  <c r="R18" i="58" s="1"/>
  <c r="U54" i="58"/>
  <c r="F73" i="58"/>
  <c r="T54" i="58"/>
  <c r="G77" i="58"/>
  <c r="H6" i="58"/>
  <c r="H57" i="58"/>
  <c r="U52" i="58"/>
  <c r="F6" i="58"/>
  <c r="H54" i="58"/>
  <c r="D10" i="58"/>
  <c r="S56" i="58"/>
  <c r="I49" i="58"/>
  <c r="T50" i="58"/>
  <c r="D52" i="58"/>
  <c r="P52" i="58" s="1"/>
  <c r="R52" i="58" s="1"/>
  <c r="U27" i="58"/>
  <c r="S59" i="58"/>
  <c r="I25" i="58"/>
  <c r="H59" i="58"/>
  <c r="H77" i="58"/>
  <c r="F57" i="58"/>
  <c r="G59" i="58"/>
  <c r="U55" i="58"/>
  <c r="D51" i="58"/>
  <c r="P51" i="58" s="1"/>
  <c r="R51" i="58" s="1"/>
  <c r="E68" i="58"/>
  <c r="F58" i="58"/>
  <c r="S50" i="58"/>
  <c r="U77" i="58"/>
  <c r="T55" i="58"/>
  <c r="H50" i="58"/>
  <c r="S49" i="58"/>
  <c r="G54" i="58"/>
  <c r="F55" i="58"/>
  <c r="F56" i="58"/>
  <c r="T53" i="58"/>
  <c r="E56" i="58"/>
  <c r="F59" i="58"/>
  <c r="I52" i="58"/>
  <c r="F18" i="58"/>
  <c r="D49" i="58"/>
  <c r="P49" i="58" s="1"/>
  <c r="R49" i="58" s="1"/>
  <c r="G51" i="58"/>
  <c r="U25" i="58"/>
  <c r="G27" i="58"/>
  <c r="G53" i="58"/>
  <c r="H56" i="58"/>
  <c r="F69" i="58"/>
  <c r="F52" i="58"/>
  <c r="E49" i="58"/>
  <c r="F49" i="58"/>
  <c r="H51" i="58"/>
  <c r="U53" i="58"/>
  <c r="E59" i="58"/>
  <c r="D73" i="58"/>
  <c r="P73" i="58" s="1"/>
  <c r="R73" i="58" s="1"/>
  <c r="U69" i="58"/>
  <c r="H68" i="58"/>
  <c r="I58" i="58"/>
  <c r="E73" i="58"/>
  <c r="D57" i="58"/>
  <c r="P57" i="58" s="1"/>
  <c r="R57" i="58" s="1"/>
  <c r="I56" i="58"/>
  <c r="I51" i="58"/>
  <c r="T27" i="58"/>
  <c r="E57" i="58"/>
  <c r="H52" i="58"/>
  <c r="D42" i="58"/>
  <c r="T18" i="58"/>
  <c r="S52" i="58"/>
  <c r="I28" i="58"/>
  <c r="S18" i="58"/>
  <c r="U57" i="58"/>
  <c r="D6" i="58"/>
  <c r="G56" i="58"/>
  <c r="S57" i="58"/>
  <c r="T77" i="58"/>
  <c r="D55" i="58"/>
  <c r="P55" i="58" s="1"/>
  <c r="R55" i="58" s="1"/>
  <c r="F68" i="58"/>
  <c r="E77" i="58"/>
  <c r="S27" i="58"/>
  <c r="D67" i="57"/>
  <c r="C67" i="57"/>
  <c r="C71" i="57"/>
  <c r="D58" i="57"/>
  <c r="D18" i="85" s="1"/>
  <c r="D75" i="57"/>
  <c r="D71" i="57"/>
  <c r="C58" i="57"/>
  <c r="C18" i="85" s="1"/>
  <c r="C75" i="57"/>
  <c r="I54" i="57"/>
  <c r="C21" i="57"/>
  <c r="J3" i="57"/>
  <c r="G64" i="57"/>
  <c r="H45" i="57"/>
  <c r="R54" i="57"/>
  <c r="D14" i="57"/>
  <c r="D34" i="57"/>
  <c r="D38" i="57"/>
  <c r="M45" i="57"/>
  <c r="O50" i="57"/>
  <c r="H3" i="57"/>
  <c r="R47" i="57"/>
  <c r="K14" i="57"/>
  <c r="H38" i="57"/>
  <c r="D54" i="57"/>
  <c r="F73" i="57"/>
  <c r="G52" i="57"/>
  <c r="S52" i="57"/>
  <c r="K45" i="57"/>
  <c r="E73" i="57"/>
  <c r="R65" i="57"/>
  <c r="E64" i="57"/>
  <c r="E14" i="57"/>
  <c r="S46" i="57"/>
  <c r="G69" i="57"/>
  <c r="F34" i="57"/>
  <c r="C46" i="57"/>
  <c r="I49" i="57"/>
  <c r="Q45" i="57"/>
  <c r="F65" i="57"/>
  <c r="E50" i="57"/>
  <c r="F49" i="57"/>
  <c r="O46" i="57"/>
  <c r="F55" i="57"/>
  <c r="V65" i="57"/>
  <c r="K64" i="57"/>
  <c r="Q23" i="57"/>
  <c r="G50" i="57"/>
  <c r="F52" i="57"/>
  <c r="V52" i="57"/>
  <c r="M55" i="57"/>
  <c r="U45" i="57"/>
  <c r="V3" i="57"/>
  <c r="J46" i="57"/>
  <c r="S47" i="57"/>
  <c r="E45" i="57"/>
  <c r="R48" i="57"/>
  <c r="D64" i="57"/>
  <c r="F53" i="57"/>
  <c r="O49" i="57"/>
  <c r="I14" i="57"/>
  <c r="C33" i="57"/>
  <c r="P73" i="57"/>
  <c r="M73" i="57"/>
  <c r="J55" i="57"/>
  <c r="L53" i="57"/>
  <c r="D15" i="57"/>
  <c r="Q51" i="57"/>
  <c r="M23" i="57"/>
  <c r="Q50" i="57"/>
  <c r="D55" i="57"/>
  <c r="M47" i="57"/>
  <c r="V49" i="57"/>
  <c r="T52" i="57"/>
  <c r="O48" i="57"/>
  <c r="E46" i="57"/>
  <c r="P14" i="57"/>
  <c r="N55" i="57"/>
  <c r="K23" i="57"/>
  <c r="N48" i="57"/>
  <c r="H46" i="57"/>
  <c r="O45" i="57"/>
  <c r="G54" i="57"/>
  <c r="H69" i="57"/>
  <c r="R23" i="57"/>
  <c r="BG15" i="61"/>
  <c r="T59" i="58"/>
  <c r="S69" i="58"/>
  <c r="E22" i="119"/>
  <c r="F22" i="119"/>
  <c r="K22" i="119" s="1"/>
  <c r="E24" i="118"/>
  <c r="G24" i="118" s="1"/>
  <c r="H24" i="118" s="1"/>
  <c r="F24" i="118"/>
  <c r="K24" i="118" s="1"/>
  <c r="W35" i="57" l="1"/>
  <c r="Y40" i="57"/>
  <c r="X35" i="57"/>
  <c r="X40" i="57"/>
  <c r="Z40" i="57"/>
  <c r="Y25" i="57"/>
  <c r="Y35" i="57"/>
  <c r="V25" i="57"/>
  <c r="U25" i="57"/>
  <c r="W40" i="57"/>
  <c r="Z25" i="57"/>
  <c r="W25" i="57"/>
  <c r="Z56" i="57"/>
  <c r="T25" i="57"/>
  <c r="Y56" i="57"/>
  <c r="W56" i="57"/>
  <c r="Z35" i="57"/>
  <c r="X56" i="57"/>
  <c r="X25" i="57"/>
  <c r="AI55" i="70"/>
  <c r="AI76" i="34" s="1"/>
  <c r="AR55" i="70"/>
  <c r="C40" i="57"/>
  <c r="C16" i="85" s="1"/>
  <c r="C35" i="57"/>
  <c r="C15" i="85" s="1"/>
  <c r="W44" i="34"/>
  <c r="U23" i="11"/>
  <c r="I24" i="118"/>
  <c r="J24" i="118" s="1"/>
  <c r="L24" i="118" s="1"/>
  <c r="G22" i="119"/>
  <c r="H22" i="119" s="1"/>
  <c r="I22" i="119" s="1"/>
  <c r="J22" i="119" s="1"/>
  <c r="L22" i="119" s="1"/>
  <c r="D35" i="57"/>
  <c r="D15" i="85" s="1"/>
  <c r="U21" i="58"/>
  <c r="E25" i="57"/>
  <c r="E12" i="85" s="1"/>
  <c r="D40" i="57"/>
  <c r="D16" i="85" s="1"/>
  <c r="C25" i="57"/>
  <c r="C12" i="85" s="1"/>
  <c r="C56" i="57"/>
  <c r="C17" i="85" s="1"/>
  <c r="D25" i="57"/>
  <c r="D12" i="85" s="1"/>
  <c r="E24" i="85"/>
  <c r="I21" i="58"/>
  <c r="D56" i="57"/>
  <c r="D17" i="85" s="1"/>
  <c r="BH15" i="61"/>
  <c r="D25" i="118"/>
  <c r="C19" i="116" l="1"/>
  <c r="D19" i="116"/>
  <c r="Y28" i="57"/>
  <c r="Y29" i="57" s="1"/>
  <c r="X28" i="57"/>
  <c r="X29" i="57" s="1"/>
  <c r="Z28" i="57"/>
  <c r="W28" i="57"/>
  <c r="AR76" i="34"/>
  <c r="AI30" i="70"/>
  <c r="AI37" i="70" s="1"/>
  <c r="AU30" i="70"/>
  <c r="AU37" i="70" s="1"/>
  <c r="U28" i="57"/>
  <c r="U29" i="57" s="1"/>
  <c r="X49" i="34"/>
  <c r="X43" i="34"/>
  <c r="V25" i="11"/>
  <c r="T28" i="57"/>
  <c r="T29" i="57" s="1"/>
  <c r="V28" i="57"/>
  <c r="V29" i="57" s="1"/>
  <c r="W45" i="34"/>
  <c r="E17" i="57"/>
  <c r="E28" i="57" s="1"/>
  <c r="E29" i="57" s="1"/>
  <c r="C17" i="57"/>
  <c r="C24" i="85"/>
  <c r="D17" i="57"/>
  <c r="D24" i="85"/>
  <c r="BI15" i="61"/>
  <c r="D23" i="119"/>
  <c r="F25" i="118"/>
  <c r="K25" i="118" s="1"/>
  <c r="E25" i="118"/>
  <c r="AB67" i="115"/>
  <c r="AJ67" i="115" s="1"/>
  <c r="AR67" i="115" s="1"/>
  <c r="L66" i="115"/>
  <c r="O7" i="67" s="1"/>
  <c r="AA67" i="115"/>
  <c r="AI67" i="115" s="1"/>
  <c r="AQ67" i="115" s="1"/>
  <c r="K66" i="115"/>
  <c r="N7" i="67" s="1"/>
  <c r="Y60" i="57" l="1"/>
  <c r="Y62" i="57" s="1"/>
  <c r="X60" i="57"/>
  <c r="X62" i="57" s="1"/>
  <c r="W29" i="57"/>
  <c r="W60" i="57"/>
  <c r="W62" i="57" s="1"/>
  <c r="Z29" i="57"/>
  <c r="Z60" i="57"/>
  <c r="Z62" i="57" s="1"/>
  <c r="V38" i="11"/>
  <c r="X48" i="34"/>
  <c r="E6" i="85"/>
  <c r="D6" i="85"/>
  <c r="D28" i="57"/>
  <c r="C6" i="85"/>
  <c r="C28" i="57"/>
  <c r="BJ15" i="61"/>
  <c r="G25" i="118"/>
  <c r="H25" i="118" s="1"/>
  <c r="E23" i="119"/>
  <c r="G23" i="119" s="1"/>
  <c r="H23" i="119" s="1"/>
  <c r="F23" i="119"/>
  <c r="K23" i="119" s="1"/>
  <c r="K69" i="115"/>
  <c r="N29" i="34"/>
  <c r="N11" i="67"/>
  <c r="O29" i="34"/>
  <c r="L69" i="115"/>
  <c r="O11" i="67"/>
  <c r="D8" i="85" l="1"/>
  <c r="D9" i="85" s="1"/>
  <c r="D24" i="116"/>
  <c r="E8" i="85"/>
  <c r="E9" i="85" s="1"/>
  <c r="E24" i="116"/>
  <c r="C8" i="85"/>
  <c r="C10" i="85" s="1"/>
  <c r="C24" i="116"/>
  <c r="AJ55" i="70"/>
  <c r="AJ76" i="34" s="1"/>
  <c r="AS55" i="70"/>
  <c r="E13" i="85"/>
  <c r="E14" i="85" s="1"/>
  <c r="X61" i="34"/>
  <c r="I25" i="118"/>
  <c r="J25" i="118" s="1"/>
  <c r="L25" i="118" s="1"/>
  <c r="D26" i="118" s="1"/>
  <c r="E26" i="85"/>
  <c r="C13" i="85"/>
  <c r="C26" i="85"/>
  <c r="D26" i="85"/>
  <c r="D13" i="85"/>
  <c r="C29" i="57"/>
  <c r="C60" i="57"/>
  <c r="C62" i="57" s="1"/>
  <c r="D29" i="57"/>
  <c r="D60" i="57"/>
  <c r="D62" i="57" s="1"/>
  <c r="I23" i="119"/>
  <c r="J23" i="119" s="1"/>
  <c r="L23" i="119" s="1"/>
  <c r="D28" i="58"/>
  <c r="P28" i="58" s="1"/>
  <c r="R28" i="58" s="1"/>
  <c r="F24" i="57"/>
  <c r="D16" i="58"/>
  <c r="N22" i="34"/>
  <c r="O27" i="34"/>
  <c r="L10" i="11"/>
  <c r="L49" i="11" s="1"/>
  <c r="N27" i="34"/>
  <c r="D30" i="116" l="1"/>
  <c r="D10" i="85"/>
  <c r="E10" i="85"/>
  <c r="C9" i="85"/>
  <c r="C30" i="116"/>
  <c r="Q28" i="85"/>
  <c r="AJ30" i="70"/>
  <c r="AJ37" i="70" s="1"/>
  <c r="AV30" i="70"/>
  <c r="AV37" i="70" s="1"/>
  <c r="AS76" i="34"/>
  <c r="E30" i="116"/>
  <c r="V23" i="11"/>
  <c r="X44" i="34"/>
  <c r="D19" i="85"/>
  <c r="D27" i="85" s="1"/>
  <c r="D14" i="85"/>
  <c r="C19" i="85"/>
  <c r="C27" i="85" s="1"/>
  <c r="C14" i="85"/>
  <c r="E26" i="118"/>
  <c r="F26" i="118"/>
  <c r="K26" i="118" s="1"/>
  <c r="D24" i="119"/>
  <c r="N30" i="34"/>
  <c r="N33" i="34" s="1"/>
  <c r="D26" i="58"/>
  <c r="F22" i="57"/>
  <c r="F24" i="85"/>
  <c r="Y49" i="34" l="1"/>
  <c r="I44" i="57" s="1"/>
  <c r="Y43" i="34"/>
  <c r="W25" i="11"/>
  <c r="Y48" i="34" s="1"/>
  <c r="X45" i="34"/>
  <c r="F24" i="119"/>
  <c r="K24" i="119" s="1"/>
  <c r="E24" i="119"/>
  <c r="G26" i="118"/>
  <c r="H26" i="118" s="1"/>
  <c r="P26" i="58"/>
  <c r="R26" i="58" s="1"/>
  <c r="N34" i="34"/>
  <c r="AK55" i="70" l="1"/>
  <c r="AK76" i="34" s="1"/>
  <c r="AT55" i="70"/>
  <c r="W38" i="11"/>
  <c r="I38" i="57"/>
  <c r="Y61" i="34"/>
  <c r="I43" i="57"/>
  <c r="I56" i="57" s="1"/>
  <c r="I17" i="85" s="1"/>
  <c r="I26" i="118"/>
  <c r="J26" i="118" s="1"/>
  <c r="L26" i="118" s="1"/>
  <c r="D27" i="118" s="1"/>
  <c r="G24" i="119"/>
  <c r="H24" i="119" s="1"/>
  <c r="M69" i="57"/>
  <c r="AT76" i="34" l="1"/>
  <c r="I24" i="119"/>
  <c r="J24" i="119" s="1"/>
  <c r="L24" i="119" s="1"/>
  <c r="D25" i="119"/>
  <c r="E27" i="118"/>
  <c r="F27" i="118"/>
  <c r="P69" i="57" l="1"/>
  <c r="AK30" i="70"/>
  <c r="AK37" i="70" s="1"/>
  <c r="AW30" i="70"/>
  <c r="AW37" i="70" s="1"/>
  <c r="G27" i="118"/>
  <c r="H27" i="118"/>
  <c r="I27" i="118" s="1"/>
  <c r="K27" i="118"/>
  <c r="F25" i="119"/>
  <c r="K25" i="119" s="1"/>
  <c r="E25" i="119"/>
  <c r="AL55" i="70" l="1"/>
  <c r="AL76" i="34" s="1"/>
  <c r="AU55" i="70"/>
  <c r="AN55" i="70"/>
  <c r="AN76" i="34" s="1"/>
  <c r="AW55" i="70"/>
  <c r="W23" i="11"/>
  <c r="Y44" i="34"/>
  <c r="G25" i="119"/>
  <c r="H25" i="119" s="1"/>
  <c r="I25" i="119" s="1"/>
  <c r="J25" i="119" s="1"/>
  <c r="L25" i="119" s="1"/>
  <c r="J27" i="118"/>
  <c r="L27" i="118" s="1"/>
  <c r="D28" i="118" s="1"/>
  <c r="V27" i="85"/>
  <c r="AL30" i="70" l="1"/>
  <c r="AL37" i="70" s="1"/>
  <c r="AX30" i="70"/>
  <c r="AX37" i="70" s="1"/>
  <c r="AW76" i="34"/>
  <c r="AU76" i="34"/>
  <c r="I39" i="57"/>
  <c r="I40" i="57" s="1"/>
  <c r="I16" i="85" s="1"/>
  <c r="Y45" i="34"/>
  <c r="D26" i="119"/>
  <c r="E26" i="119" s="1"/>
  <c r="F26" i="119"/>
  <c r="K26" i="119" s="1"/>
  <c r="F28" i="118"/>
  <c r="E28" i="118"/>
  <c r="G28" i="118" s="1"/>
  <c r="W27" i="85"/>
  <c r="AM55" i="70" l="1"/>
  <c r="AM76" i="34" s="1"/>
  <c r="S73" i="58" s="1"/>
  <c r="AV55" i="70"/>
  <c r="I26" i="119"/>
  <c r="J26" i="119" s="1"/>
  <c r="H28" i="118"/>
  <c r="I28" i="118" s="1"/>
  <c r="N69" i="57"/>
  <c r="G73" i="58"/>
  <c r="G26" i="119"/>
  <c r="H26" i="119" s="1"/>
  <c r="K28" i="118"/>
  <c r="X27" i="85"/>
  <c r="AV76" i="34" l="1"/>
  <c r="J28" i="118"/>
  <c r="L28" i="118" s="1"/>
  <c r="D29" i="118" s="1"/>
  <c r="L26" i="119"/>
  <c r="Y27" i="85"/>
  <c r="AN30" i="70" l="1"/>
  <c r="AN37" i="70" s="1"/>
  <c r="AZ30" i="70"/>
  <c r="T73" i="58"/>
  <c r="Q69" i="57"/>
  <c r="H73" i="58"/>
  <c r="F29" i="118"/>
  <c r="K29" i="118" s="1"/>
  <c r="E29" i="118"/>
  <c r="G29" i="118" s="1"/>
  <c r="D27" i="119"/>
  <c r="AM30" i="70" l="1"/>
  <c r="AM37" i="70" s="1"/>
  <c r="AY30" i="70"/>
  <c r="AY37" i="70" s="1"/>
  <c r="AZ37" i="70"/>
  <c r="H29" i="118"/>
  <c r="H27" i="119"/>
  <c r="D28" i="119"/>
  <c r="E27" i="119"/>
  <c r="I27" i="119"/>
  <c r="G27" i="119"/>
  <c r="J27" i="119"/>
  <c r="F27" i="119"/>
  <c r="K27" i="119"/>
  <c r="I29" i="118"/>
  <c r="J29" i="118" s="1"/>
  <c r="L29" i="118" s="1"/>
  <c r="D30" i="118" s="1"/>
  <c r="F30" i="118" l="1"/>
  <c r="K30" i="118" s="1"/>
  <c r="E30" i="118"/>
  <c r="G28" i="119"/>
  <c r="J28" i="119"/>
  <c r="H28" i="119"/>
  <c r="F28" i="119"/>
  <c r="K28" i="119"/>
  <c r="I28" i="119"/>
  <c r="E28" i="119"/>
  <c r="F21" i="85"/>
  <c r="R21" i="85" s="1"/>
  <c r="Q12" i="69"/>
  <c r="Q39" i="70"/>
  <c r="G30" i="118" l="1"/>
  <c r="H30" i="118" s="1"/>
  <c r="I30" i="118" s="1"/>
  <c r="J30" i="118" s="1"/>
  <c r="L30" i="118" s="1"/>
  <c r="D31" i="118" s="1"/>
  <c r="D29" i="119"/>
  <c r="F29" i="119" s="1"/>
  <c r="D30" i="119"/>
  <c r="R8" i="69"/>
  <c r="H29" i="119" l="1"/>
  <c r="J29" i="119"/>
  <c r="G29" i="119"/>
  <c r="I29" i="119"/>
  <c r="E29" i="119"/>
  <c r="K29" i="119"/>
  <c r="E30" i="119"/>
  <c r="I30" i="119"/>
  <c r="F30" i="119"/>
  <c r="K30" i="119"/>
  <c r="H30" i="119"/>
  <c r="D31" i="119"/>
  <c r="J30" i="119"/>
  <c r="G30" i="119"/>
  <c r="E31" i="118"/>
  <c r="F31" i="118"/>
  <c r="K31" i="118" s="1"/>
  <c r="R12" i="69"/>
  <c r="R39" i="70"/>
  <c r="G31" i="118" l="1"/>
  <c r="H31" i="119"/>
  <c r="D32" i="119"/>
  <c r="E31" i="119"/>
  <c r="I31" i="119"/>
  <c r="G31" i="119"/>
  <c r="J31" i="119"/>
  <c r="F31" i="119"/>
  <c r="K31" i="119"/>
  <c r="H31" i="118" l="1"/>
  <c r="I31" i="118" s="1"/>
  <c r="J31" i="118" s="1"/>
  <c r="L31" i="118" s="1"/>
  <c r="D32" i="118" s="1"/>
  <c r="G32" i="119"/>
  <c r="J32" i="119"/>
  <c r="H32" i="119"/>
  <c r="D33" i="119"/>
  <c r="F32" i="119"/>
  <c r="K32" i="119"/>
  <c r="I32" i="119"/>
  <c r="E32" i="119"/>
  <c r="F33" i="119" l="1"/>
  <c r="K33" i="119"/>
  <c r="G33" i="119"/>
  <c r="J33" i="119"/>
  <c r="E33" i="119"/>
  <c r="I33" i="119"/>
  <c r="D34" i="119"/>
  <c r="H33" i="119"/>
  <c r="F32" i="118"/>
  <c r="K32" i="118" s="1"/>
  <c r="E32" i="118"/>
  <c r="G32" i="118" l="1"/>
  <c r="H32" i="118"/>
  <c r="I32" i="118" s="1"/>
  <c r="J32" i="118" s="1"/>
  <c r="L32" i="118" s="1"/>
  <c r="D33" i="118" s="1"/>
  <c r="E34" i="119"/>
  <c r="I34" i="119"/>
  <c r="F34" i="119"/>
  <c r="K34" i="119"/>
  <c r="H34" i="119"/>
  <c r="D35" i="119"/>
  <c r="G34" i="119"/>
  <c r="J34" i="119"/>
  <c r="T22" i="34" l="1"/>
  <c r="F33" i="118"/>
  <c r="K33" i="118" s="1"/>
  <c r="E33" i="118"/>
  <c r="H35" i="119"/>
  <c r="D36" i="119"/>
  <c r="E35" i="119"/>
  <c r="I35" i="119"/>
  <c r="G35" i="119"/>
  <c r="J35" i="119"/>
  <c r="K35" i="119"/>
  <c r="F35" i="119"/>
  <c r="G33" i="118" l="1"/>
  <c r="AB6" i="85"/>
  <c r="H33" i="118"/>
  <c r="I33" i="118" s="1"/>
  <c r="J33" i="118" s="1"/>
  <c r="L33" i="118" s="1"/>
  <c r="D34" i="118" s="1"/>
  <c r="G36" i="119"/>
  <c r="J36" i="119"/>
  <c r="H36" i="119"/>
  <c r="L36" i="119"/>
  <c r="D37" i="119" s="1"/>
  <c r="F36" i="119"/>
  <c r="K36" i="119"/>
  <c r="E36" i="119"/>
  <c r="I36" i="119"/>
  <c r="AB10" i="85" l="1"/>
  <c r="AB26" i="85"/>
  <c r="AB9" i="85"/>
  <c r="F37" i="119"/>
  <c r="K37" i="119"/>
  <c r="G37" i="119"/>
  <c r="J37" i="119"/>
  <c r="E37" i="119"/>
  <c r="I37" i="119"/>
  <c r="L37" i="119"/>
  <c r="D38" i="119" s="1"/>
  <c r="H37" i="119"/>
  <c r="E34" i="118"/>
  <c r="G34" i="118" s="1"/>
  <c r="H34" i="118" s="1"/>
  <c r="F34" i="118"/>
  <c r="K34" i="118" s="1"/>
  <c r="I34" i="118" l="1"/>
  <c r="J34" i="118" s="1"/>
  <c r="L34" i="118" s="1"/>
  <c r="D35" i="118" s="1"/>
  <c r="E38" i="119"/>
  <c r="I38" i="119"/>
  <c r="F38" i="119"/>
  <c r="K38" i="119"/>
  <c r="H38" i="119"/>
  <c r="L38" i="119"/>
  <c r="D39" i="119" s="1"/>
  <c r="G38" i="119"/>
  <c r="J38" i="119"/>
  <c r="H39" i="119" l="1"/>
  <c r="L39" i="119"/>
  <c r="D40" i="119" s="1"/>
  <c r="E39" i="119"/>
  <c r="I39" i="119"/>
  <c r="G39" i="119"/>
  <c r="J39" i="119"/>
  <c r="K39" i="119"/>
  <c r="F39" i="119"/>
  <c r="E35" i="118"/>
  <c r="F35" i="118"/>
  <c r="K35" i="118" s="1"/>
  <c r="G35" i="118" l="1"/>
  <c r="H35" i="118" s="1"/>
  <c r="G40" i="119"/>
  <c r="J40" i="119"/>
  <c r="H40" i="119"/>
  <c r="L40" i="119"/>
  <c r="D41" i="119" s="1"/>
  <c r="F40" i="119"/>
  <c r="K40" i="119"/>
  <c r="E40" i="119"/>
  <c r="I40" i="119"/>
  <c r="F41" i="119" l="1"/>
  <c r="K41" i="119"/>
  <c r="G41" i="119"/>
  <c r="J41" i="119"/>
  <c r="E41" i="119"/>
  <c r="I41" i="119"/>
  <c r="H41" i="119"/>
  <c r="L41" i="119"/>
  <c r="D42" i="119" s="1"/>
  <c r="I35" i="118"/>
  <c r="J35" i="118" s="1"/>
  <c r="L35" i="118" s="1"/>
  <c r="D36" i="118" s="1"/>
  <c r="E42" i="119" l="1"/>
  <c r="I42" i="119"/>
  <c r="F42" i="119"/>
  <c r="K42" i="119"/>
  <c r="H42" i="119"/>
  <c r="L42" i="119"/>
  <c r="D43" i="119" s="1"/>
  <c r="J42" i="119"/>
  <c r="G42" i="119"/>
  <c r="F36" i="118"/>
  <c r="K36" i="118" s="1"/>
  <c r="E36" i="118"/>
  <c r="G36" i="118" s="1"/>
  <c r="H36" i="118" s="1"/>
  <c r="S65" i="69"/>
  <c r="S67" i="69" s="1"/>
  <c r="T68" i="69" l="1"/>
  <c r="I36" i="118"/>
  <c r="J36" i="118" s="1"/>
  <c r="L36" i="118" s="1"/>
  <c r="D37" i="118" s="1"/>
  <c r="H43" i="119"/>
  <c r="L43" i="119"/>
  <c r="D44" i="119" s="1"/>
  <c r="E43" i="119"/>
  <c r="I43" i="119"/>
  <c r="G43" i="119"/>
  <c r="J43" i="119"/>
  <c r="F43" i="119"/>
  <c r="K43" i="119"/>
  <c r="T65" i="69"/>
  <c r="T67" i="69" s="1"/>
  <c r="G44" i="119" l="1"/>
  <c r="J44" i="119"/>
  <c r="H44" i="119"/>
  <c r="L44" i="119"/>
  <c r="D45" i="119" s="1"/>
  <c r="F44" i="119"/>
  <c r="K44" i="119"/>
  <c r="I44" i="119"/>
  <c r="E44" i="119"/>
  <c r="F37" i="118"/>
  <c r="K37" i="118" s="1"/>
  <c r="E37" i="118"/>
  <c r="G37" i="118" s="1"/>
  <c r="G24" i="85"/>
  <c r="U65" i="69"/>
  <c r="U67" i="69" s="1"/>
  <c r="T30" i="69" l="1"/>
  <c r="S16" i="70" s="1"/>
  <c r="H37" i="118"/>
  <c r="F45" i="119"/>
  <c r="K45" i="119"/>
  <c r="G45" i="119"/>
  <c r="J45" i="119"/>
  <c r="E45" i="119"/>
  <c r="I45" i="119"/>
  <c r="H45" i="119"/>
  <c r="L45" i="119"/>
  <c r="D46" i="119" s="1"/>
  <c r="I37" i="118"/>
  <c r="J37" i="118" s="1"/>
  <c r="L37" i="118" s="1"/>
  <c r="D38" i="118" s="1"/>
  <c r="U30" i="69" l="1"/>
  <c r="U33" i="69" s="1"/>
  <c r="U36" i="69" s="1"/>
  <c r="E38" i="118"/>
  <c r="F38" i="118"/>
  <c r="K38" i="118" s="1"/>
  <c r="E46" i="119"/>
  <c r="I46" i="119"/>
  <c r="F46" i="119"/>
  <c r="K46" i="119"/>
  <c r="H46" i="119"/>
  <c r="L46" i="119"/>
  <c r="D47" i="119" s="1"/>
  <c r="J46" i="119"/>
  <c r="G46" i="119"/>
  <c r="T16" i="70" l="1"/>
  <c r="G38" i="118"/>
  <c r="H38" i="118" s="1"/>
  <c r="H47" i="119"/>
  <c r="L47" i="119"/>
  <c r="D48" i="119" s="1"/>
  <c r="E47" i="119"/>
  <c r="I47" i="119"/>
  <c r="G47" i="119"/>
  <c r="J47" i="119"/>
  <c r="F47" i="119"/>
  <c r="K47" i="119"/>
  <c r="G48" i="119" l="1"/>
  <c r="J48" i="119"/>
  <c r="H48" i="119"/>
  <c r="L48" i="119"/>
  <c r="D49" i="119" s="1"/>
  <c r="F48" i="119"/>
  <c r="K48" i="119"/>
  <c r="I48" i="119"/>
  <c r="E48" i="119"/>
  <c r="I38" i="118"/>
  <c r="J38" i="118" s="1"/>
  <c r="L38" i="118" s="1"/>
  <c r="D39" i="118" s="1"/>
  <c r="F49" i="119" l="1"/>
  <c r="K49" i="119"/>
  <c r="G49" i="119"/>
  <c r="J49" i="119"/>
  <c r="E49" i="119"/>
  <c r="I49" i="119"/>
  <c r="L49" i="119"/>
  <c r="D50" i="119" s="1"/>
  <c r="H49" i="119"/>
  <c r="F39" i="118"/>
  <c r="K39" i="118" s="1"/>
  <c r="E39" i="118"/>
  <c r="E50" i="119" l="1"/>
  <c r="B19" i="119" s="1"/>
  <c r="J50" i="119"/>
  <c r="H50" i="119"/>
  <c r="B20" i="119" s="1"/>
  <c r="F50" i="119"/>
  <c r="G50" i="119"/>
  <c r="K50" i="119"/>
  <c r="B21" i="119" s="1"/>
  <c r="I50" i="119"/>
  <c r="L50" i="119"/>
  <c r="D51" i="119" s="1"/>
  <c r="B18" i="119" s="1"/>
  <c r="G39" i="118"/>
  <c r="H39" i="118" s="1"/>
  <c r="I39" i="118" l="1"/>
  <c r="J39" i="118" s="1"/>
  <c r="L39" i="118" s="1"/>
  <c r="D40" i="118" s="1"/>
  <c r="F40" i="118" l="1"/>
  <c r="K40" i="118"/>
  <c r="E40" i="118"/>
  <c r="G40" i="118" s="1"/>
  <c r="H40" i="118" l="1"/>
  <c r="I40" i="118"/>
  <c r="J40" i="118" s="1"/>
  <c r="L40" i="118" s="1"/>
  <c r="D41" i="118" s="1"/>
  <c r="E41" i="118" l="1"/>
  <c r="F41" i="118"/>
  <c r="K41" i="118" s="1"/>
  <c r="G41" i="118" l="1"/>
  <c r="H41" i="118" s="1"/>
  <c r="I41" i="118" s="1"/>
  <c r="J41" i="118" s="1"/>
  <c r="L41" i="118" s="1"/>
  <c r="D42" i="118" s="1"/>
  <c r="E42" i="118" l="1"/>
  <c r="F42" i="118"/>
  <c r="K42" i="118" s="1"/>
  <c r="G42" i="118" l="1"/>
  <c r="H42" i="118" l="1"/>
  <c r="I42" i="118" s="1"/>
  <c r="J42" i="118" s="1"/>
  <c r="L42" i="118" s="1"/>
  <c r="D43" i="118" s="1"/>
  <c r="E43" i="118" l="1"/>
  <c r="F43" i="118"/>
  <c r="K43" i="118" s="1"/>
  <c r="G43" i="118" l="1"/>
  <c r="H43" i="118" s="1"/>
  <c r="I43" i="118" l="1"/>
  <c r="J43" i="118" s="1"/>
  <c r="L43" i="118" s="1"/>
  <c r="D44" i="118" s="1"/>
  <c r="E44" i="118" l="1"/>
  <c r="G44" i="118" s="1"/>
  <c r="F44" i="118"/>
  <c r="H44" i="118" l="1"/>
  <c r="K44" i="118"/>
  <c r="I44" i="118"/>
  <c r="J44" i="118" s="1"/>
  <c r="L44" i="118" s="1"/>
  <c r="D45" i="118" s="1"/>
  <c r="E45" i="118" l="1"/>
  <c r="G45" i="118" s="1"/>
  <c r="F45" i="118"/>
  <c r="H45" i="118" l="1"/>
  <c r="I45" i="118" s="1"/>
  <c r="J45" i="118" s="1"/>
  <c r="L45" i="118" s="1"/>
  <c r="D46" i="118" s="1"/>
  <c r="K45" i="118"/>
  <c r="Z44" i="34" l="1"/>
  <c r="Z43" i="34"/>
  <c r="E46" i="118"/>
  <c r="G46" i="118" s="1"/>
  <c r="F46" i="118"/>
  <c r="K46" i="118" s="1"/>
  <c r="Z45" i="34" l="1"/>
  <c r="Z49" i="34"/>
  <c r="X23" i="11"/>
  <c r="X25" i="11"/>
  <c r="I46" i="118"/>
  <c r="J46" i="118" s="1"/>
  <c r="L46" i="118" s="1"/>
  <c r="D47" i="118" s="1"/>
  <c r="H46" i="118"/>
  <c r="Z48" i="34" l="1"/>
  <c r="X38" i="11"/>
  <c r="F47" i="118"/>
  <c r="E47" i="118"/>
  <c r="G47" i="118" s="1"/>
  <c r="H47" i="118" s="1"/>
  <c r="K47" i="118"/>
  <c r="Z61" i="34" l="1"/>
  <c r="I47" i="118"/>
  <c r="J47" i="118" s="1"/>
  <c r="L47" i="118" s="1"/>
  <c r="D48" i="118" s="1"/>
  <c r="Q44" i="34" l="1"/>
  <c r="Q45" i="34" s="1"/>
  <c r="F48" i="118"/>
  <c r="K48" i="118" s="1"/>
  <c r="E48" i="118"/>
  <c r="AC43" i="34" l="1"/>
  <c r="O23" i="11"/>
  <c r="Q38" i="34"/>
  <c r="Q40" i="34" s="1"/>
  <c r="O38" i="11"/>
  <c r="Q48" i="34"/>
  <c r="G48" i="118"/>
  <c r="H48" i="118" s="1"/>
  <c r="I48" i="118" s="1"/>
  <c r="J48" i="118" s="1"/>
  <c r="L48" i="118" s="1"/>
  <c r="D49" i="118" s="1"/>
  <c r="BL43" i="34" l="1"/>
  <c r="AF43" i="34"/>
  <c r="BF43" i="34"/>
  <c r="AS43" i="34"/>
  <c r="BB49" i="11"/>
  <c r="AD43" i="34"/>
  <c r="AV43" i="34"/>
  <c r="BH49" i="11"/>
  <c r="AE48" i="34"/>
  <c r="AB38" i="34"/>
  <c r="BA49" i="11"/>
  <c r="BC44" i="34"/>
  <c r="AN38" i="34"/>
  <c r="BB48" i="34"/>
  <c r="BD43" i="34"/>
  <c r="AI48" i="34"/>
  <c r="BD38" i="34"/>
  <c r="AK43" i="34"/>
  <c r="AB49" i="34"/>
  <c r="AR48" i="34"/>
  <c r="AS49" i="34"/>
  <c r="BJ49" i="11"/>
  <c r="Q49" i="34"/>
  <c r="Q61" i="34" s="1"/>
  <c r="Q63" i="34" s="1"/>
  <c r="O19" i="11"/>
  <c r="O40" i="11" s="1"/>
  <c r="F49" i="118"/>
  <c r="K49" i="118" s="1"/>
  <c r="E49" i="118"/>
  <c r="G49" i="118" s="1"/>
  <c r="H49" i="118" s="1"/>
  <c r="BD49" i="11" l="1"/>
  <c r="AV48" i="34"/>
  <c r="AL44" i="34"/>
  <c r="AV44" i="34"/>
  <c r="AV45" i="34" s="1"/>
  <c r="AI44" i="34"/>
  <c r="AZ44" i="34"/>
  <c r="AW43" i="34"/>
  <c r="AK49" i="34"/>
  <c r="BJ43" i="34"/>
  <c r="BG49" i="34"/>
  <c r="AI43" i="34"/>
  <c r="AR44" i="34"/>
  <c r="BA49" i="34"/>
  <c r="BI44" i="34"/>
  <c r="AM44" i="34"/>
  <c r="AS38" i="34"/>
  <c r="AY48" i="34"/>
  <c r="AH48" i="34"/>
  <c r="AL38" i="34"/>
  <c r="AO38" i="34"/>
  <c r="AP44" i="34"/>
  <c r="BK48" i="34"/>
  <c r="AB23" i="11"/>
  <c r="BD44" i="34"/>
  <c r="BL44" i="34"/>
  <c r="BL45" i="34" s="1"/>
  <c r="BE44" i="34"/>
  <c r="AP49" i="34"/>
  <c r="BG44" i="34"/>
  <c r="AF48" i="34"/>
  <c r="BC43" i="34"/>
  <c r="BC45" i="34" s="1"/>
  <c r="AR49" i="34"/>
  <c r="AR61" i="34" s="1"/>
  <c r="AH38" i="34"/>
  <c r="AW49" i="34"/>
  <c r="BC48" i="34"/>
  <c r="BL38" i="34"/>
  <c r="AF49" i="34"/>
  <c r="BJ38" i="34"/>
  <c r="AQ48" i="34"/>
  <c r="AT23" i="11"/>
  <c r="AG49" i="34"/>
  <c r="BL48" i="34"/>
  <c r="AN43" i="34"/>
  <c r="AS44" i="34"/>
  <c r="AS45" i="34" s="1"/>
  <c r="AQ23" i="11"/>
  <c r="BI48" i="34"/>
  <c r="AL43" i="34"/>
  <c r="BE43" i="34"/>
  <c r="T38" i="57" s="1"/>
  <c r="BC38" i="34"/>
  <c r="AF44" i="34"/>
  <c r="AF45" i="34" s="1"/>
  <c r="AK38" i="34"/>
  <c r="BB44" i="34"/>
  <c r="AZ38" i="34"/>
  <c r="BH44" i="34"/>
  <c r="AT38" i="34"/>
  <c r="AV38" i="34"/>
  <c r="AY43" i="34"/>
  <c r="AW44" i="34"/>
  <c r="AU44" i="34"/>
  <c r="AH44" i="34"/>
  <c r="AP38" i="34"/>
  <c r="BF38" i="34"/>
  <c r="AM49" i="34"/>
  <c r="AC49" i="34"/>
  <c r="AO44" i="34"/>
  <c r="AX38" i="34"/>
  <c r="J44" i="57"/>
  <c r="AR38" i="34"/>
  <c r="BE38" i="34"/>
  <c r="AY38" i="34"/>
  <c r="AX49" i="34"/>
  <c r="AY44" i="34"/>
  <c r="AE38" i="34"/>
  <c r="AQ43" i="34"/>
  <c r="AN49" i="34"/>
  <c r="AJ38" i="34"/>
  <c r="BJ49" i="34"/>
  <c r="BD49" i="34"/>
  <c r="BG38" i="34"/>
  <c r="AO49" i="34"/>
  <c r="BK49" i="34"/>
  <c r="BK44" i="34"/>
  <c r="AF38" i="34"/>
  <c r="BF49" i="34"/>
  <c r="AJ49" i="34"/>
  <c r="BK38" i="34"/>
  <c r="AW38" i="34"/>
  <c r="BB38" i="34"/>
  <c r="AT44" i="34"/>
  <c r="BE49" i="34"/>
  <c r="AJ44" i="34"/>
  <c r="AI38" i="34"/>
  <c r="BA44" i="34"/>
  <c r="AU49" i="34"/>
  <c r="AQ38" i="34"/>
  <c r="BF44" i="34"/>
  <c r="BF45" i="34" s="1"/>
  <c r="BD23" i="11"/>
  <c r="BA23" i="11"/>
  <c r="BE49" i="11"/>
  <c r="BG43" i="34"/>
  <c r="Y23" i="11"/>
  <c r="BB49" i="34"/>
  <c r="BB61" i="34" s="1"/>
  <c r="AZ38" i="11"/>
  <c r="AX43" i="34"/>
  <c r="AG44" i="34"/>
  <c r="BI49" i="11"/>
  <c r="BK43" i="34"/>
  <c r="AQ44" i="34"/>
  <c r="I49" i="118"/>
  <c r="J49" i="118" s="1"/>
  <c r="L49" i="118" s="1"/>
  <c r="D50" i="118" s="1"/>
  <c r="AI45" i="34" l="1"/>
  <c r="AL45" i="34"/>
  <c r="AD44" i="34"/>
  <c r="AD45" i="34" s="1"/>
  <c r="BJ23" i="11"/>
  <c r="AY49" i="34"/>
  <c r="AY61" i="34" s="1"/>
  <c r="Q39" i="57"/>
  <c r="AT49" i="34"/>
  <c r="BB23" i="11"/>
  <c r="AU38" i="34"/>
  <c r="H37" i="58" s="1"/>
  <c r="U39" i="57"/>
  <c r="AG23" i="11"/>
  <c r="AU48" i="34"/>
  <c r="AU61" i="34" s="1"/>
  <c r="BG23" i="11"/>
  <c r="AP38" i="11"/>
  <c r="P44" i="57"/>
  <c r="BE23" i="11"/>
  <c r="AN48" i="34"/>
  <c r="AN61" i="34" s="1"/>
  <c r="AK23" i="11"/>
  <c r="AZ49" i="34"/>
  <c r="AD48" i="34"/>
  <c r="AD38" i="34"/>
  <c r="AK38" i="11"/>
  <c r="AE44" i="34"/>
  <c r="BI38" i="34"/>
  <c r="AF61" i="34"/>
  <c r="AM38" i="34"/>
  <c r="N33" i="57" s="1"/>
  <c r="AC38" i="34"/>
  <c r="AG38" i="34"/>
  <c r="AB44" i="34"/>
  <c r="J39" i="57" s="1"/>
  <c r="BA38" i="34"/>
  <c r="BH38" i="34"/>
  <c r="AD38" i="11"/>
  <c r="P39" i="57"/>
  <c r="V33" i="57"/>
  <c r="BI43" i="34"/>
  <c r="BI45" i="34" s="1"/>
  <c r="BC49" i="11"/>
  <c r="BC23" i="11"/>
  <c r="BG49" i="11"/>
  <c r="AZ48" i="34"/>
  <c r="AJ23" i="11"/>
  <c r="O33" i="57"/>
  <c r="T33" i="57"/>
  <c r="BK61" i="34"/>
  <c r="P33" i="57"/>
  <c r="M33" i="57"/>
  <c r="BH49" i="34"/>
  <c r="AS38" i="11"/>
  <c r="AU23" i="11"/>
  <c r="AD23" i="11"/>
  <c r="AO23" i="11"/>
  <c r="AW45" i="34"/>
  <c r="S39" i="57"/>
  <c r="AM43" i="34"/>
  <c r="AM45" i="34" s="1"/>
  <c r="BI23" i="11"/>
  <c r="R33" i="57"/>
  <c r="AI23" i="11"/>
  <c r="AK44" i="34"/>
  <c r="AP23" i="11"/>
  <c r="AR43" i="34"/>
  <c r="AR45" i="34" s="1"/>
  <c r="AZ23" i="11"/>
  <c r="BB43" i="34"/>
  <c r="BB45" i="34" s="1"/>
  <c r="T44" i="57"/>
  <c r="AS23" i="11"/>
  <c r="AU43" i="34"/>
  <c r="BJ48" i="34"/>
  <c r="BH38" i="11"/>
  <c r="AL48" i="34"/>
  <c r="AP43" i="34"/>
  <c r="AP45" i="34" s="1"/>
  <c r="AN23" i="11"/>
  <c r="AE43" i="34"/>
  <c r="AC38" i="11"/>
  <c r="AE49" i="34"/>
  <c r="AE61" i="34" s="1"/>
  <c r="AG43" i="34"/>
  <c r="AG45" i="34" s="1"/>
  <c r="AE23" i="11"/>
  <c r="AZ43" i="34"/>
  <c r="AZ45" i="34" s="1"/>
  <c r="AX23" i="11"/>
  <c r="AX48" i="34"/>
  <c r="AV38" i="11"/>
  <c r="AS48" i="34"/>
  <c r="AQ38" i="11"/>
  <c r="AB43" i="34"/>
  <c r="BA48" i="34"/>
  <c r="AY38" i="11"/>
  <c r="AR38" i="11"/>
  <c r="AT48" i="34"/>
  <c r="BG48" i="34"/>
  <c r="BE38" i="11"/>
  <c r="BB38" i="11"/>
  <c r="BD48" i="34"/>
  <c r="AI49" i="34"/>
  <c r="AI61" i="34" s="1"/>
  <c r="AG38" i="11"/>
  <c r="BF49" i="11"/>
  <c r="BF23" i="11"/>
  <c r="BH43" i="34"/>
  <c r="BH45" i="34" s="1"/>
  <c r="AH49" i="34"/>
  <c r="AF38" i="11"/>
  <c r="AO48" i="34"/>
  <c r="AM38" i="11"/>
  <c r="AV49" i="34"/>
  <c r="AT38" i="11"/>
  <c r="AH43" i="34"/>
  <c r="AH45" i="34" s="1"/>
  <c r="AF23" i="11"/>
  <c r="AB48" i="34"/>
  <c r="AB61" i="34" s="1"/>
  <c r="Z38" i="11"/>
  <c r="AQ49" i="34"/>
  <c r="AO38" i="11"/>
  <c r="AJ43" i="34"/>
  <c r="AH23" i="11"/>
  <c r="AW23" i="11"/>
  <c r="AC48" i="34"/>
  <c r="AA38" i="11"/>
  <c r="BI38" i="11"/>
  <c r="AO43" i="34"/>
  <c r="AM23" i="11"/>
  <c r="BJ44" i="34"/>
  <c r="BJ45" i="34" s="1"/>
  <c r="BH23" i="11"/>
  <c r="BE48" i="34"/>
  <c r="BE61" i="34" s="1"/>
  <c r="BC38" i="11"/>
  <c r="BC49" i="34"/>
  <c r="BA38" i="11"/>
  <c r="BE45" i="34"/>
  <c r="AJ48" i="34"/>
  <c r="AH38" i="11"/>
  <c r="AI38" i="11"/>
  <c r="AK48" i="34"/>
  <c r="AK61" i="34" s="1"/>
  <c r="AY45" i="34"/>
  <c r="AY23" i="11"/>
  <c r="BA43" i="34"/>
  <c r="BF48" i="34"/>
  <c r="BF61" i="34" s="1"/>
  <c r="BD38" i="11"/>
  <c r="Y38" i="11"/>
  <c r="AG48" i="34"/>
  <c r="AE38" i="11"/>
  <c r="BL49" i="34"/>
  <c r="BL61" i="34" s="1"/>
  <c r="BJ38" i="11"/>
  <c r="AD49" i="34"/>
  <c r="AT43" i="34"/>
  <c r="AR23" i="11"/>
  <c r="AW48" i="34"/>
  <c r="AW61" i="34" s="1"/>
  <c r="AU38" i="11"/>
  <c r="BI49" i="34"/>
  <c r="BG38" i="11"/>
  <c r="AN44" i="34"/>
  <c r="AL23" i="11"/>
  <c r="BG45" i="34"/>
  <c r="O39" i="57"/>
  <c r="AQ45" i="34"/>
  <c r="L39" i="57"/>
  <c r="BK45" i="34"/>
  <c r="V38" i="57"/>
  <c r="BD45" i="34"/>
  <c r="T39" i="57"/>
  <c r="T40" i="57" s="1"/>
  <c r="F50" i="118"/>
  <c r="K50" i="118" s="1"/>
  <c r="E50" i="118"/>
  <c r="K33" i="57" l="1"/>
  <c r="R44" i="57"/>
  <c r="AT61" i="34"/>
  <c r="U33" i="57"/>
  <c r="AM48" i="34"/>
  <c r="AM61" i="34" s="1"/>
  <c r="T37" i="58"/>
  <c r="Q33" i="57"/>
  <c r="AB38" i="11"/>
  <c r="AC23" i="11"/>
  <c r="AW38" i="11"/>
  <c r="AL38" i="11"/>
  <c r="U37" i="58"/>
  <c r="AZ61" i="34"/>
  <c r="AX38" i="11"/>
  <c r="AP48" i="34"/>
  <c r="AP61" i="34" s="1"/>
  <c r="AN38" i="11"/>
  <c r="N38" i="57"/>
  <c r="I37" i="58"/>
  <c r="G37" i="58"/>
  <c r="S33" i="57"/>
  <c r="S37" i="58"/>
  <c r="L33" i="57"/>
  <c r="BH48" i="34"/>
  <c r="BH61" i="34" s="1"/>
  <c r="BF38" i="11"/>
  <c r="Z23" i="11"/>
  <c r="AL49" i="34"/>
  <c r="N44" i="57" s="1"/>
  <c r="AJ38" i="11"/>
  <c r="AA23" i="11"/>
  <c r="AC44" i="34"/>
  <c r="G43" i="58" s="1"/>
  <c r="G44" i="58" s="1"/>
  <c r="AX44" i="34"/>
  <c r="AV23" i="11"/>
  <c r="I43" i="58"/>
  <c r="I44" i="58" s="1"/>
  <c r="U43" i="58"/>
  <c r="R38" i="57"/>
  <c r="U38" i="57"/>
  <c r="U40" i="57" s="1"/>
  <c r="U48" i="58"/>
  <c r="M44" i="57"/>
  <c r="L38" i="57"/>
  <c r="L40" i="57" s="1"/>
  <c r="L16" i="85" s="1"/>
  <c r="Q43" i="57"/>
  <c r="AU45" i="34"/>
  <c r="Q38" i="57"/>
  <c r="Q40" i="57" s="1"/>
  <c r="AK45" i="34"/>
  <c r="M39" i="57"/>
  <c r="BI61" i="34"/>
  <c r="U44" i="57"/>
  <c r="AD61" i="34"/>
  <c r="K44" i="57"/>
  <c r="V39" i="57"/>
  <c r="V40" i="57" s="1"/>
  <c r="AO45" i="34"/>
  <c r="O38" i="57"/>
  <c r="O40" i="57" s="1"/>
  <c r="T42" i="58"/>
  <c r="BA45" i="34"/>
  <c r="S38" i="57"/>
  <c r="S40" i="57" s="1"/>
  <c r="U42" i="58"/>
  <c r="AJ61" i="34"/>
  <c r="M43" i="57"/>
  <c r="K43" i="57"/>
  <c r="AC61" i="34"/>
  <c r="M38" i="57"/>
  <c r="AJ45" i="34"/>
  <c r="AV61" i="34"/>
  <c r="Q44" i="57"/>
  <c r="AH61" i="34"/>
  <c r="L44" i="57"/>
  <c r="V44" i="57"/>
  <c r="E42" i="58"/>
  <c r="J38" i="57"/>
  <c r="J40" i="57" s="1"/>
  <c r="J16" i="85" s="1"/>
  <c r="AB45" i="34"/>
  <c r="AX61" i="34"/>
  <c r="R43" i="57"/>
  <c r="AE45" i="34"/>
  <c r="K38" i="57"/>
  <c r="S42" i="58"/>
  <c r="AN45" i="34"/>
  <c r="N39" i="57"/>
  <c r="AG61" i="34"/>
  <c r="L43" i="57"/>
  <c r="J43" i="57"/>
  <c r="J56" i="57" s="1"/>
  <c r="J17" i="85" s="1"/>
  <c r="BC61" i="34"/>
  <c r="I48" i="58"/>
  <c r="S44" i="57"/>
  <c r="BG61" i="34"/>
  <c r="AT45" i="34"/>
  <c r="P38" i="57"/>
  <c r="P40" i="57" s="1"/>
  <c r="AQ61" i="34"/>
  <c r="T48" i="58"/>
  <c r="O44" i="57"/>
  <c r="H48" i="58"/>
  <c r="AO61" i="34"/>
  <c r="T43" i="57"/>
  <c r="T56" i="57" s="1"/>
  <c r="BD61" i="34"/>
  <c r="BA61" i="34"/>
  <c r="S43" i="57"/>
  <c r="AS61" i="34"/>
  <c r="P43" i="57"/>
  <c r="P56" i="57" s="1"/>
  <c r="BJ61" i="34"/>
  <c r="V43" i="57"/>
  <c r="V125" i="81"/>
  <c r="V126" i="81" s="1"/>
  <c r="R50" i="69"/>
  <c r="R38" i="34"/>
  <c r="R40" i="34" s="1"/>
  <c r="P19" i="11"/>
  <c r="G50" i="118"/>
  <c r="H50" i="118" s="1"/>
  <c r="R44" i="34"/>
  <c r="R45" i="34" s="1"/>
  <c r="R48" i="34"/>
  <c r="P38" i="11"/>
  <c r="P40" i="11" l="1"/>
  <c r="M40" i="57"/>
  <c r="M16" i="85" s="1"/>
  <c r="N43" i="57"/>
  <c r="N56" i="57" s="1"/>
  <c r="N17" i="85" s="1"/>
  <c r="S47" i="58"/>
  <c r="G47" i="58"/>
  <c r="R51" i="69"/>
  <c r="R52" i="69" s="1"/>
  <c r="R53" i="69" s="1"/>
  <c r="Q84" i="34"/>
  <c r="R56" i="57"/>
  <c r="AL61" i="34"/>
  <c r="T47" i="58"/>
  <c r="T60" i="58" s="1"/>
  <c r="H47" i="58"/>
  <c r="H60" i="58" s="1"/>
  <c r="U47" i="58"/>
  <c r="U60" i="58" s="1"/>
  <c r="G48" i="58"/>
  <c r="S48" i="58"/>
  <c r="N40" i="57"/>
  <c r="N16" i="85" s="1"/>
  <c r="O43" i="57"/>
  <c r="O56" i="57" s="1"/>
  <c r="S43" i="58"/>
  <c r="S44" i="58" s="1"/>
  <c r="I47" i="58"/>
  <c r="I60" i="58" s="1"/>
  <c r="U43" i="57"/>
  <c r="U56" i="57" s="1"/>
  <c r="H43" i="58"/>
  <c r="H44" i="58" s="1"/>
  <c r="T43" i="58"/>
  <c r="T44" i="58" s="1"/>
  <c r="AX45" i="34"/>
  <c r="R39" i="57"/>
  <c r="R40" i="57" s="1"/>
  <c r="U16" i="85" s="1"/>
  <c r="K39" i="57"/>
  <c r="K40" i="57" s="1"/>
  <c r="K16" i="85" s="1"/>
  <c r="AC45" i="34"/>
  <c r="U44" i="58"/>
  <c r="Q56" i="57"/>
  <c r="M56" i="57"/>
  <c r="M17" i="85" s="1"/>
  <c r="V56" i="57"/>
  <c r="L56" i="57"/>
  <c r="L17" i="85" s="1"/>
  <c r="K56" i="57"/>
  <c r="K17" i="85" s="1"/>
  <c r="S56" i="57"/>
  <c r="I50" i="118"/>
  <c r="J50" i="118" s="1"/>
  <c r="L50" i="118" s="1"/>
  <c r="D51" i="118" s="1"/>
  <c r="F51" i="118" s="1"/>
  <c r="R49" i="34"/>
  <c r="R61" i="34" s="1"/>
  <c r="R63" i="34" s="1"/>
  <c r="U17" i="85" l="1"/>
  <c r="S60" i="58"/>
  <c r="G60" i="58"/>
  <c r="T16" i="85"/>
  <c r="T17" i="85"/>
  <c r="E51" i="118"/>
  <c r="G51" i="118" s="1"/>
  <c r="K51" i="118"/>
  <c r="Q38" i="11"/>
  <c r="H51" i="118" l="1"/>
  <c r="I51" i="118"/>
  <c r="J51" i="118" s="1"/>
  <c r="L51" i="118" s="1"/>
  <c r="D52" i="118" s="1"/>
  <c r="S49" i="34"/>
  <c r="G44" i="57" s="1"/>
  <c r="R15" i="70"/>
  <c r="S38" i="34"/>
  <c r="S40" i="34" s="1"/>
  <c r="S44" i="34"/>
  <c r="S45" i="34" s="1"/>
  <c r="F52" i="118" l="1"/>
  <c r="K52" i="118" s="1"/>
  <c r="E52" i="118"/>
  <c r="S48" i="34"/>
  <c r="Q19" i="11"/>
  <c r="Q40" i="11" s="1"/>
  <c r="G39" i="57"/>
  <c r="G40" i="57" s="1"/>
  <c r="G16" i="85" s="1"/>
  <c r="G33" i="57"/>
  <c r="G35" i="57" s="1"/>
  <c r="G15" i="85" s="1"/>
  <c r="G52" i="118" l="1"/>
  <c r="H52" i="118" s="1"/>
  <c r="I52" i="118"/>
  <c r="J52" i="118" s="1"/>
  <c r="L52" i="118" s="1"/>
  <c r="D53" i="118" s="1"/>
  <c r="W125" i="81"/>
  <c r="S50" i="69"/>
  <c r="S61" i="34"/>
  <c r="S63" i="34" s="1"/>
  <c r="G58" i="57" s="1"/>
  <c r="G18" i="85" s="1"/>
  <c r="G43" i="57"/>
  <c r="G56" i="57" s="1"/>
  <c r="G17" i="85" s="1"/>
  <c r="G19" i="116"/>
  <c r="T15" i="70"/>
  <c r="S51" i="69" l="1"/>
  <c r="S52" i="69" s="1"/>
  <c r="R84" i="34"/>
  <c r="E53" i="118"/>
  <c r="F53" i="118"/>
  <c r="W126" i="81"/>
  <c r="S15" i="70"/>
  <c r="T33" i="69"/>
  <c r="T36" i="69" s="1"/>
  <c r="K53" i="118" l="1"/>
  <c r="G53" i="118"/>
  <c r="H53" i="118" s="1"/>
  <c r="I53" i="118" l="1"/>
  <c r="J53" i="118" s="1"/>
  <c r="L53" i="118" s="1"/>
  <c r="D54" i="118" s="1"/>
  <c r="S8" i="69"/>
  <c r="E54" i="118" l="1"/>
  <c r="F54" i="118"/>
  <c r="K54" i="118" s="1"/>
  <c r="X125" i="81"/>
  <c r="T50" i="69"/>
  <c r="S12" i="69"/>
  <c r="S53" i="69" s="1"/>
  <c r="S39" i="70"/>
  <c r="T51" i="69" l="1"/>
  <c r="T52" i="69" s="1"/>
  <c r="S84" i="34"/>
  <c r="G54" i="118"/>
  <c r="H54" i="118" s="1"/>
  <c r="I54" i="118" s="1"/>
  <c r="J54" i="118" s="1"/>
  <c r="L54" i="118" s="1"/>
  <c r="D55" i="118" s="1"/>
  <c r="F55" i="118" s="1"/>
  <c r="K55" i="118" s="1"/>
  <c r="X126" i="81"/>
  <c r="E55" i="118" l="1"/>
  <c r="G55" i="118" s="1"/>
  <c r="H55" i="118" s="1"/>
  <c r="T8" i="69"/>
  <c r="T39" i="70" l="1"/>
  <c r="T25" i="69"/>
  <c r="I55" i="118"/>
  <c r="J55" i="118" s="1"/>
  <c r="L55" i="118" s="1"/>
  <c r="D56" i="118" s="1"/>
  <c r="F56" i="118" s="1"/>
  <c r="T12" i="69"/>
  <c r="T53" i="69" s="1"/>
  <c r="G21" i="85"/>
  <c r="AB21" i="85"/>
  <c r="E56" i="118" l="1"/>
  <c r="G56" i="118" s="1"/>
  <c r="H56" i="118" s="1"/>
  <c r="I56" i="118" s="1"/>
  <c r="J56" i="118" s="1"/>
  <c r="L56" i="118" s="1"/>
  <c r="D57" i="118" s="1"/>
  <c r="E57" i="118" s="1"/>
  <c r="K56" i="118"/>
  <c r="U12" i="69"/>
  <c r="U39" i="70"/>
  <c r="F57" i="118" l="1"/>
  <c r="K57" i="118" s="1"/>
  <c r="G57" i="118" l="1"/>
  <c r="H57" i="118" s="1"/>
  <c r="I57" i="118" l="1"/>
  <c r="J57" i="118" s="1"/>
  <c r="L57" i="118" s="1"/>
  <c r="D58" i="118" s="1"/>
  <c r="V24" i="69"/>
  <c r="E58" i="118" l="1"/>
  <c r="G58" i="118" s="1"/>
  <c r="F58" i="118"/>
  <c r="K58" i="118" s="1"/>
  <c r="I58" i="118" l="1"/>
  <c r="J58" i="118" s="1"/>
  <c r="L58" i="118" s="1"/>
  <c r="D59" i="118" s="1"/>
  <c r="H58" i="118"/>
  <c r="E59" i="118" l="1"/>
  <c r="G59" i="118" s="1"/>
  <c r="H59" i="118" s="1"/>
  <c r="F59" i="118"/>
  <c r="K59" i="118" s="1"/>
  <c r="I59" i="118" l="1"/>
  <c r="J59" i="118" s="1"/>
  <c r="L59" i="118" s="1"/>
  <c r="D60" i="118" s="1"/>
  <c r="E60" i="118" l="1"/>
  <c r="G60" i="118" s="1"/>
  <c r="H60" i="118" s="1"/>
  <c r="F60" i="118"/>
  <c r="K60" i="118" s="1"/>
  <c r="I60" i="118" l="1"/>
  <c r="J60" i="118" s="1"/>
  <c r="L60" i="118" s="1"/>
  <c r="D61" i="118" s="1"/>
  <c r="F61" i="118" l="1"/>
  <c r="E61" i="118"/>
  <c r="G61" i="118" s="1"/>
  <c r="H61" i="118" s="1"/>
  <c r="I61" i="118" s="1"/>
  <c r="J61" i="118" s="1"/>
  <c r="L61" i="118" s="1"/>
  <c r="D62" i="118" s="1"/>
  <c r="K61" i="118"/>
  <c r="E62" i="118" l="1"/>
  <c r="I62" i="118" s="1"/>
  <c r="F62" i="118"/>
  <c r="K62" i="118" s="1"/>
  <c r="J62" i="118" l="1"/>
  <c r="G62" i="118"/>
  <c r="H62" i="118" s="1"/>
  <c r="L62" i="118" l="1"/>
  <c r="D63" i="118" s="1"/>
  <c r="G63" i="118" l="1"/>
  <c r="J63" i="118"/>
  <c r="L63" i="118"/>
  <c r="D64" i="118" s="1"/>
  <c r="E63" i="118"/>
  <c r="I63" i="118"/>
  <c r="H63" i="118"/>
  <c r="F63" i="118"/>
  <c r="K63" i="118"/>
  <c r="F64" i="118" l="1"/>
  <c r="E64" i="118"/>
  <c r="J64" i="118"/>
  <c r="K64" i="118"/>
  <c r="I64" i="118"/>
  <c r="H64" i="118"/>
  <c r="G64" i="118"/>
  <c r="L64" i="118"/>
  <c r="D65" i="118" s="1"/>
  <c r="I65" i="118" l="1"/>
  <c r="J65" i="118"/>
  <c r="E65" i="118"/>
  <c r="H65" i="118"/>
  <c r="K65" i="118"/>
  <c r="F65" i="118"/>
  <c r="L65" i="118"/>
  <c r="D66" i="118" s="1"/>
  <c r="G65" i="118"/>
  <c r="K66" i="118" l="1"/>
  <c r="L66" i="118"/>
  <c r="D67" i="118" s="1"/>
  <c r="J66" i="118"/>
  <c r="I66" i="118"/>
  <c r="E66" i="118"/>
  <c r="F66" i="118"/>
  <c r="H66" i="118"/>
  <c r="G66" i="118"/>
  <c r="I67" i="118" l="1"/>
  <c r="K67" i="118"/>
  <c r="H67" i="118"/>
  <c r="E67" i="118"/>
  <c r="G67" i="118"/>
  <c r="J67" i="118"/>
  <c r="F67" i="118"/>
  <c r="L67" i="118"/>
  <c r="D68" i="118" s="1"/>
  <c r="E68" i="118" l="1"/>
  <c r="K68" i="118"/>
  <c r="J68" i="118"/>
  <c r="H68" i="118"/>
  <c r="F68" i="118"/>
  <c r="L68" i="118"/>
  <c r="D69" i="118" s="1"/>
  <c r="G68" i="118"/>
  <c r="I68" i="118"/>
  <c r="K69" i="118" l="1"/>
  <c r="E69" i="118"/>
  <c r="J69" i="118"/>
  <c r="F69" i="118"/>
  <c r="L69" i="118"/>
  <c r="D70" i="118" s="1"/>
  <c r="G69" i="118"/>
  <c r="I69" i="118"/>
  <c r="H69" i="118"/>
  <c r="J70" i="118" l="1"/>
  <c r="G70" i="118"/>
  <c r="K70" i="118"/>
  <c r="E70" i="118"/>
  <c r="L70" i="118"/>
  <c r="D71" i="118" s="1"/>
  <c r="H70" i="118"/>
  <c r="F70" i="118"/>
  <c r="I70" i="118"/>
  <c r="I71" i="118" l="1"/>
  <c r="E71" i="118"/>
  <c r="J71" i="118"/>
  <c r="G71" i="118"/>
  <c r="L71" i="118"/>
  <c r="D72" i="118" s="1"/>
  <c r="F71" i="118"/>
  <c r="H71" i="118"/>
  <c r="K71" i="118"/>
  <c r="E72" i="118" l="1"/>
  <c r="B19" i="118" s="1"/>
  <c r="L72" i="118"/>
  <c r="H72" i="118"/>
  <c r="B20" i="118" s="1"/>
  <c r="K72" i="118"/>
  <c r="B21" i="118" s="1"/>
  <c r="I72" i="118"/>
  <c r="F72" i="118"/>
  <c r="G72" i="118"/>
  <c r="J72" i="118"/>
  <c r="B18" i="118"/>
  <c r="Y36" i="81" l="1"/>
  <c r="R19" i="11"/>
  <c r="T48" i="34"/>
  <c r="H43" i="57" s="1"/>
  <c r="T49" i="34"/>
  <c r="T44" i="34"/>
  <c r="T45" i="34" s="1"/>
  <c r="AB16" i="85" s="1"/>
  <c r="R38" i="11"/>
  <c r="R40" i="11" s="1"/>
  <c r="Y73" i="81" l="1"/>
  <c r="U24" i="69" s="1"/>
  <c r="Y38" i="81"/>
  <c r="E43" i="58"/>
  <c r="E44" i="58" s="1"/>
  <c r="F47" i="58"/>
  <c r="E47" i="58"/>
  <c r="H39" i="57"/>
  <c r="H40" i="57" s="1"/>
  <c r="H16" i="85" s="1"/>
  <c r="S16" i="85" s="1"/>
  <c r="T38" i="34"/>
  <c r="F43" i="58"/>
  <c r="F44" i="58" s="1"/>
  <c r="E48" i="58"/>
  <c r="F48" i="58"/>
  <c r="H44" i="57"/>
  <c r="H56" i="57" s="1"/>
  <c r="H17" i="85" s="1"/>
  <c r="S17" i="85" s="1"/>
  <c r="T61" i="34"/>
  <c r="E60" i="58" l="1"/>
  <c r="F60" i="58"/>
  <c r="T40" i="34"/>
  <c r="T36" i="34" s="1"/>
  <c r="AB17" i="85"/>
  <c r="T63" i="34" l="1"/>
  <c r="AB18" i="85" s="1"/>
  <c r="AB15" i="85"/>
  <c r="Y125" i="81" l="1"/>
  <c r="U50" i="69" l="1"/>
  <c r="Y126" i="81"/>
  <c r="U51" i="69" l="1"/>
  <c r="U52" i="69" s="1"/>
  <c r="U53" i="69" s="1"/>
  <c r="T84" i="34"/>
  <c r="M49" i="34"/>
  <c r="E44" i="57" s="1"/>
  <c r="K23" i="11"/>
  <c r="K19" i="11"/>
  <c r="M44" i="34"/>
  <c r="E39" i="57" s="1"/>
  <c r="E40" i="57" s="1"/>
  <c r="E16" i="85" s="1"/>
  <c r="M10" i="126" l="1"/>
  <c r="M17" i="126" s="1"/>
  <c r="M38" i="34"/>
  <c r="M45" i="34"/>
  <c r="M48" i="34" l="1"/>
  <c r="K38" i="11"/>
  <c r="K40" i="11" s="1"/>
  <c r="E33" i="57"/>
  <c r="E35" i="57" s="1"/>
  <c r="E15" i="85" s="1"/>
  <c r="M40" i="34"/>
  <c r="E19" i="116" l="1"/>
  <c r="M61" i="34"/>
  <c r="M66" i="34" s="1"/>
  <c r="M74" i="34" s="1"/>
  <c r="E43" i="57"/>
  <c r="E56" i="57" s="1"/>
  <c r="E17" i="85" s="1"/>
  <c r="M63" i="34" l="1"/>
  <c r="M65" i="34" s="1"/>
  <c r="M78" i="34"/>
  <c r="M69" i="34"/>
  <c r="E60" i="57"/>
  <c r="E62" i="57" s="1"/>
  <c r="E67" i="57" l="1"/>
  <c r="E58" i="57"/>
  <c r="E18" i="85" s="1"/>
  <c r="E19" i="85" s="1"/>
  <c r="E27" i="85" s="1"/>
  <c r="N48" i="34"/>
  <c r="O44" i="34"/>
  <c r="O45" i="34" s="1"/>
  <c r="L23" i="11"/>
  <c r="M82" i="34"/>
  <c r="M85" i="34" s="1"/>
  <c r="E71" i="57"/>
  <c r="L19" i="11"/>
  <c r="M23" i="11"/>
  <c r="N44" i="34"/>
  <c r="N45" i="34" s="1"/>
  <c r="M19" i="11"/>
  <c r="O38" i="34"/>
  <c r="O40" i="34" s="1"/>
  <c r="N10" i="126" l="1"/>
  <c r="L38" i="11"/>
  <c r="L40" i="11" s="1"/>
  <c r="O49" i="34"/>
  <c r="N33" i="69"/>
  <c r="N36" i="69" s="1"/>
  <c r="M15" i="70"/>
  <c r="E75" i="57"/>
  <c r="M9" i="70"/>
  <c r="N51" i="69"/>
  <c r="N38" i="34"/>
  <c r="N40" i="34" s="1"/>
  <c r="N17" i="126" l="1"/>
  <c r="M45" i="107" s="1"/>
  <c r="M19" i="70"/>
  <c r="N49" i="34"/>
  <c r="N61" i="34" s="1"/>
  <c r="N63" i="34" s="1"/>
  <c r="N65" i="34" s="1"/>
  <c r="M38" i="11"/>
  <c r="M40" i="11" s="1"/>
  <c r="O48" i="34"/>
  <c r="O61" i="34" s="1"/>
  <c r="M40" i="70" l="1"/>
  <c r="M41" i="70" s="1"/>
  <c r="N39" i="70" s="1"/>
  <c r="M42" i="70" s="1"/>
  <c r="E36" i="116"/>
  <c r="N12" i="69"/>
  <c r="N53" i="69" s="1"/>
  <c r="E21" i="85"/>
  <c r="N66" i="34"/>
  <c r="N74" i="34" s="1"/>
  <c r="O63" i="34"/>
  <c r="O65" i="34" s="1"/>
  <c r="N15" i="70"/>
  <c r="O33" i="69"/>
  <c r="O36" i="69" s="1"/>
  <c r="E38" i="116" l="1"/>
  <c r="E20" i="85" s="1"/>
  <c r="N69" i="34"/>
  <c r="N78" i="34"/>
  <c r="N82" i="34" s="1"/>
  <c r="N85" i="34" s="1"/>
  <c r="P15" i="70"/>
  <c r="P33" i="69"/>
  <c r="P36" i="69" s="1"/>
  <c r="O15" i="70"/>
  <c r="N9" i="70" l="1"/>
  <c r="N19" i="70" l="1"/>
  <c r="P51" i="69"/>
  <c r="O51" i="69"/>
  <c r="O12" i="69"/>
  <c r="O39" i="70"/>
  <c r="N40" i="70" l="1"/>
  <c r="N41" i="70" s="1"/>
  <c r="N42" i="70" s="1"/>
  <c r="P37" i="70"/>
  <c r="O53" i="69"/>
  <c r="P12" i="69" l="1"/>
  <c r="P39" i="70"/>
  <c r="P44" i="34" l="1"/>
  <c r="P45" i="34" s="1"/>
  <c r="P38" i="34"/>
  <c r="D37" i="58" s="1"/>
  <c r="N23" i="11"/>
  <c r="F39" i="57" l="1"/>
  <c r="F40" i="57" s="1"/>
  <c r="F16" i="85" s="1"/>
  <c r="R16" i="85" s="1"/>
  <c r="D43" i="58"/>
  <c r="D44" i="58" s="1"/>
  <c r="P44" i="58" s="1"/>
  <c r="R44" i="58" s="1"/>
  <c r="P49" i="34"/>
  <c r="N19" i="11"/>
  <c r="P40" i="34"/>
  <c r="F33" i="57"/>
  <c r="F35" i="57" s="1"/>
  <c r="F15" i="85" s="1"/>
  <c r="D39" i="58"/>
  <c r="P37" i="58"/>
  <c r="R37" i="58" s="1"/>
  <c r="P43" i="58" l="1"/>
  <c r="R43" i="58" s="1"/>
  <c r="D48" i="58"/>
  <c r="P48" i="58" s="1"/>
  <c r="R48" i="58" s="1"/>
  <c r="F44" i="57"/>
  <c r="P48" i="34"/>
  <c r="N38" i="11"/>
  <c r="N40" i="11" s="1"/>
  <c r="F19" i="116"/>
  <c r="R15" i="85"/>
  <c r="P39" i="58"/>
  <c r="R39" i="58" s="1"/>
  <c r="S19" i="116" l="1"/>
  <c r="P61" i="34"/>
  <c r="F43" i="57"/>
  <c r="F56" i="57" s="1"/>
  <c r="D47" i="58"/>
  <c r="P63" i="34" l="1"/>
  <c r="P65" i="34" s="1"/>
  <c r="D60" i="58"/>
  <c r="P47" i="58"/>
  <c r="R47" i="58" s="1"/>
  <c r="F17" i="85"/>
  <c r="R17" i="85" s="1"/>
  <c r="D62" i="58" l="1"/>
  <c r="P62" i="58" s="1"/>
  <c r="R62" i="58" s="1"/>
  <c r="F58" i="57"/>
  <c r="F18" i="85" s="1"/>
  <c r="P60" i="58"/>
  <c r="R60" i="58" s="1"/>
  <c r="R18" i="85" l="1"/>
  <c r="E48" i="70" l="1"/>
  <c r="E50" i="70" s="1"/>
  <c r="E57" i="70" s="1"/>
  <c r="F40" i="70" l="1"/>
  <c r="F41" i="70" s="1"/>
  <c r="F48" i="70" l="1"/>
  <c r="F50" i="70" s="1"/>
  <c r="F57" i="70" s="1"/>
  <c r="F42" i="70"/>
  <c r="U27" i="34"/>
  <c r="U26" i="34"/>
  <c r="U38" i="34"/>
  <c r="U40" i="34" s="1"/>
  <c r="U63" i="34" s="1"/>
  <c r="V8" i="69"/>
  <c r="V29" i="69"/>
  <c r="U22" i="34"/>
  <c r="V63" i="69" l="1"/>
  <c r="W63" i="69"/>
  <c r="V17" i="70"/>
  <c r="V66" i="69"/>
  <c r="U17" i="70"/>
  <c r="W61" i="69"/>
  <c r="S19" i="11"/>
  <c r="S40" i="11" s="1"/>
  <c r="U30" i="34"/>
  <c r="U33" i="34" s="1"/>
  <c r="S10" i="11"/>
  <c r="S49" i="11" s="1"/>
  <c r="V30" i="69"/>
  <c r="V39" i="70"/>
  <c r="V12" i="69"/>
  <c r="V33" i="69" l="1"/>
  <c r="V36" i="69" s="1"/>
  <c r="V16" i="70"/>
  <c r="U34" i="34"/>
  <c r="U66" i="34"/>
  <c r="U16" i="70"/>
  <c r="O10" i="126" l="1"/>
  <c r="U74" i="34"/>
  <c r="U78" i="34" s="1"/>
  <c r="U82" i="34" s="1"/>
  <c r="U69" i="34"/>
  <c r="O17" i="126" l="1"/>
  <c r="N45" i="107" s="1"/>
  <c r="P10" i="126"/>
  <c r="W39" i="34"/>
  <c r="V39" i="34"/>
  <c r="V65" i="69"/>
  <c r="V67" i="69" s="1"/>
  <c r="V68" i="69"/>
  <c r="U9" i="70"/>
  <c r="U19" i="70" s="1"/>
  <c r="P17" i="126" l="1"/>
  <c r="O45" i="107" s="1"/>
  <c r="V29" i="34"/>
  <c r="H34" i="57"/>
  <c r="Z125" i="81"/>
  <c r="V52" i="69" s="1"/>
  <c r="V53" i="69" s="1"/>
  <c r="V50" i="69"/>
  <c r="U40" i="70"/>
  <c r="U41" i="70" s="1"/>
  <c r="U42" i="70" s="1"/>
  <c r="V51" i="69" l="1"/>
  <c r="U84" i="34"/>
  <c r="V84" i="34"/>
  <c r="W29" i="34"/>
  <c r="W68" i="69"/>
  <c r="W65" i="69"/>
  <c r="X63" i="69"/>
  <c r="Z126" i="81"/>
  <c r="U85" i="34" l="1"/>
  <c r="U86" i="34"/>
  <c r="X61" i="69"/>
  <c r="W67" i="69"/>
  <c r="H24" i="85"/>
  <c r="W51" i="69"/>
  <c r="W17" i="70" l="1"/>
  <c r="V22" i="34"/>
  <c r="H15" i="57"/>
  <c r="H17" i="57" s="1"/>
  <c r="H6" i="85" l="1"/>
  <c r="H24" i="116" l="1"/>
  <c r="H8" i="85"/>
  <c r="H9" i="85" s="1"/>
  <c r="AI13" i="116"/>
  <c r="AI14" i="116" s="1"/>
  <c r="AI15" i="116" s="1"/>
  <c r="H11" i="85"/>
  <c r="H26" i="85"/>
  <c r="V38" i="34" l="1"/>
  <c r="T19" i="11" l="1"/>
  <c r="T40" i="11" s="1"/>
  <c r="V40" i="34"/>
  <c r="V63" i="34" s="1"/>
  <c r="H58" i="57" s="1"/>
  <c r="H18" i="85" s="1"/>
  <c r="H33" i="57"/>
  <c r="H35" i="57" s="1"/>
  <c r="H15" i="85" s="1"/>
  <c r="W36" i="69"/>
  <c r="W52" i="69" s="1"/>
  <c r="H19" i="116" l="1"/>
  <c r="W27" i="34" l="1"/>
  <c r="W26" i="34"/>
  <c r="W38" i="34"/>
  <c r="X8" i="69"/>
  <c r="X39" i="70" s="1"/>
  <c r="X50" i="69"/>
  <c r="W84" i="34" l="1"/>
  <c r="X84" i="34"/>
  <c r="X51" i="69"/>
  <c r="U10" i="11"/>
  <c r="U49" i="11" s="1"/>
  <c r="X33" i="69"/>
  <c r="X36" i="69" s="1"/>
  <c r="U19" i="11"/>
  <c r="U40" i="11" s="1"/>
  <c r="W40" i="34"/>
  <c r="W63" i="34" s="1"/>
  <c r="W30" i="34"/>
  <c r="X12" i="69"/>
  <c r="X24" i="69" s="1"/>
  <c r="X53" i="69" l="1"/>
  <c r="X39" i="34" l="1"/>
  <c r="X29" i="34" l="1"/>
  <c r="Y39" i="34"/>
  <c r="I34" i="57" l="1"/>
  <c r="Y29" i="34"/>
  <c r="Y29" i="69" l="1"/>
  <c r="Y30" i="69" l="1"/>
  <c r="X17" i="70"/>
  <c r="X16" i="70" l="1"/>
  <c r="E51" i="69" l="1"/>
  <c r="X38" i="34" l="1"/>
  <c r="V19" i="11" l="1"/>
  <c r="V40" i="11" s="1"/>
  <c r="X40" i="34"/>
  <c r="X63" i="34" s="1"/>
  <c r="Y28" i="69" l="1"/>
  <c r="X15" i="70" l="1"/>
  <c r="Y33" i="69"/>
  <c r="Y36" i="69" s="1"/>
  <c r="Y51" i="69" l="1"/>
  <c r="Y8" i="69"/>
  <c r="Y12" i="69" l="1"/>
  <c r="Y53" i="69" s="1"/>
  <c r="Y39" i="70"/>
  <c r="Y38" i="34" l="1"/>
  <c r="Y40" i="34" s="1"/>
  <c r="Y63" i="34" s="1"/>
  <c r="I58" i="57" s="1"/>
  <c r="I18" i="85" s="1"/>
  <c r="Y27" i="34"/>
  <c r="I15" i="57" l="1"/>
  <c r="I17" i="57" s="1"/>
  <c r="I33" i="57"/>
  <c r="I35" i="57" s="1"/>
  <c r="I15" i="85" s="1"/>
  <c r="W19" i="11"/>
  <c r="W40" i="11" s="1"/>
  <c r="W10" i="11"/>
  <c r="W49" i="11" s="1"/>
  <c r="Y26" i="34"/>
  <c r="Y30" i="34" s="1"/>
  <c r="Z28" i="69"/>
  <c r="I19" i="116" l="1"/>
  <c r="Y15" i="70"/>
  <c r="Z29" i="69" l="1"/>
  <c r="Z30" i="69" s="1"/>
  <c r="R14" i="125" l="1"/>
  <c r="R14" i="115"/>
  <c r="R63" i="115" s="1"/>
  <c r="R66" i="115" s="1"/>
  <c r="Y16" i="70"/>
  <c r="Y17" i="70"/>
  <c r="Z33" i="69"/>
  <c r="Z36" i="69" s="1"/>
  <c r="R63" i="125" l="1"/>
  <c r="R66" i="125" s="1"/>
  <c r="R69" i="125" s="1"/>
  <c r="S15" i="125"/>
  <c r="T16" i="125" s="1"/>
  <c r="U17" i="125" s="1"/>
  <c r="V18" i="125" s="1"/>
  <c r="W19" i="125" s="1"/>
  <c r="X20" i="125" s="1"/>
  <c r="Y21" i="125" s="1"/>
  <c r="Z22" i="125" s="1"/>
  <c r="AA23" i="125" s="1"/>
  <c r="AB24" i="125" s="1"/>
  <c r="AC25" i="125" s="1"/>
  <c r="AD26" i="125" s="1"/>
  <c r="AL34" i="125" s="1"/>
  <c r="S15" i="115"/>
  <c r="T16" i="115" s="1"/>
  <c r="U17" i="115" s="1"/>
  <c r="V18" i="115" s="1"/>
  <c r="W19" i="115" s="1"/>
  <c r="X20" i="115" s="1"/>
  <c r="Y21" i="115" s="1"/>
  <c r="Z22" i="115" s="1"/>
  <c r="AA23" i="115" s="1"/>
  <c r="AB24" i="115" s="1"/>
  <c r="AC25" i="115" s="1"/>
  <c r="AD26" i="115" s="1"/>
  <c r="AQ39" i="115" s="1"/>
  <c r="S14" i="115"/>
  <c r="S14" i="125"/>
  <c r="T15" i="125" s="1"/>
  <c r="U16" i="125" s="1"/>
  <c r="V17" i="125" s="1"/>
  <c r="W18" i="125" s="1"/>
  <c r="X19" i="125" s="1"/>
  <c r="Y20" i="125" s="1"/>
  <c r="Z21" i="125" s="1"/>
  <c r="AA22" i="125" s="1"/>
  <c r="AB23" i="125" s="1"/>
  <c r="AC24" i="125" s="1"/>
  <c r="AD25" i="125" s="1"/>
  <c r="AE26" i="125" s="1"/>
  <c r="R69" i="115"/>
  <c r="U7" i="67" l="1"/>
  <c r="U11" i="67" s="1"/>
  <c r="AO37" i="125"/>
  <c r="AS41" i="125"/>
  <c r="AP38" i="125"/>
  <c r="AK33" i="125"/>
  <c r="AV44" i="125"/>
  <c r="AG29" i="125"/>
  <c r="AF28" i="125"/>
  <c r="AE27" i="125"/>
  <c r="AQ39" i="125"/>
  <c r="AH30" i="125"/>
  <c r="AM35" i="125"/>
  <c r="AU43" i="125"/>
  <c r="AR40" i="125"/>
  <c r="AT42" i="125"/>
  <c r="AW45" i="125"/>
  <c r="AJ32" i="125"/>
  <c r="AI31" i="125"/>
  <c r="AN36" i="125"/>
  <c r="S63" i="125"/>
  <c r="S66" i="125" s="1"/>
  <c r="S69" i="125" s="1"/>
  <c r="AJ32" i="115"/>
  <c r="AK33" i="115"/>
  <c r="S63" i="115"/>
  <c r="S66" i="115" s="1"/>
  <c r="S69" i="115" s="1"/>
  <c r="AI31" i="115"/>
  <c r="T15" i="115"/>
  <c r="U16" i="115" s="1"/>
  <c r="V17" i="115" s="1"/>
  <c r="W18" i="115" s="1"/>
  <c r="X19" i="115" s="1"/>
  <c r="Y20" i="115" s="1"/>
  <c r="Z21" i="115" s="1"/>
  <c r="AA22" i="115" s="1"/>
  <c r="AB23" i="115" s="1"/>
  <c r="AC24" i="115" s="1"/>
  <c r="AD25" i="115" s="1"/>
  <c r="AE26" i="115" s="1"/>
  <c r="AG28" i="115" s="1"/>
  <c r="AU43" i="115"/>
  <c r="AN36" i="115"/>
  <c r="AT42" i="115"/>
  <c r="AG29" i="115"/>
  <c r="AW45" i="115"/>
  <c r="AO37" i="115"/>
  <c r="AS41" i="115"/>
  <c r="AM35" i="115"/>
  <c r="AH30" i="115"/>
  <c r="T14" i="115"/>
  <c r="U15" i="115" s="1"/>
  <c r="V16" i="115" s="1"/>
  <c r="W17" i="115" s="1"/>
  <c r="X18" i="115" s="1"/>
  <c r="Y19" i="115" s="1"/>
  <c r="Z20" i="115" s="1"/>
  <c r="AA21" i="115" s="1"/>
  <c r="AB22" i="115" s="1"/>
  <c r="AC23" i="115" s="1"/>
  <c r="AD24" i="115" s="1"/>
  <c r="AE25" i="115" s="1"/>
  <c r="AF26" i="115" s="1"/>
  <c r="AE27" i="115"/>
  <c r="AF28" i="115"/>
  <c r="AR40" i="115"/>
  <c r="AV44" i="115"/>
  <c r="AL34" i="115"/>
  <c r="AP38" i="115"/>
  <c r="T14" i="125"/>
  <c r="T63" i="125" s="1"/>
  <c r="T66" i="125" s="1"/>
  <c r="T69" i="125" s="1"/>
  <c r="AS40" i="115"/>
  <c r="AV43" i="125"/>
  <c r="AF27" i="125"/>
  <c r="AG28" i="125"/>
  <c r="AH29" i="125"/>
  <c r="AQ38" i="125"/>
  <c r="AW44" i="125"/>
  <c r="AT41" i="125"/>
  <c r="AP37" i="125"/>
  <c r="AJ31" i="125"/>
  <c r="AU42" i="125"/>
  <c r="AR39" i="125"/>
  <c r="AI30" i="125"/>
  <c r="AL33" i="125"/>
  <c r="AS40" i="125"/>
  <c r="AO36" i="125"/>
  <c r="AN35" i="125"/>
  <c r="AM34" i="125"/>
  <c r="AK32" i="125"/>
  <c r="AR39" i="115" l="1"/>
  <c r="AL33" i="115"/>
  <c r="AU42" i="115"/>
  <c r="AO36" i="115"/>
  <c r="AV43" i="115"/>
  <c r="AT41" i="115"/>
  <c r="AP37" i="115"/>
  <c r="AF27" i="115"/>
  <c r="V7" i="67"/>
  <c r="V11" i="67" s="1"/>
  <c r="V27" i="34" s="1"/>
  <c r="AK32" i="115"/>
  <c r="AI30" i="115"/>
  <c r="AJ31" i="115"/>
  <c r="AH29" i="115"/>
  <c r="AM34" i="115"/>
  <c r="AN35" i="115"/>
  <c r="AQ38" i="115"/>
  <c r="AW44" i="115"/>
  <c r="T63" i="115"/>
  <c r="T66" i="115" s="1"/>
  <c r="W7" i="67" s="1"/>
  <c r="W11" i="67" s="1"/>
  <c r="U14" i="125"/>
  <c r="V15" i="125" s="1"/>
  <c r="W16" i="125" s="1"/>
  <c r="X17" i="125" s="1"/>
  <c r="Y18" i="125" s="1"/>
  <c r="Z19" i="125" s="1"/>
  <c r="AA20" i="125" s="1"/>
  <c r="AB21" i="125" s="1"/>
  <c r="AC22" i="125" s="1"/>
  <c r="AD23" i="125" s="1"/>
  <c r="AE24" i="125" s="1"/>
  <c r="AF25" i="125" s="1"/>
  <c r="AG26" i="125" s="1"/>
  <c r="U15" i="125"/>
  <c r="V16" i="125" s="1"/>
  <c r="W17" i="125" s="1"/>
  <c r="X18" i="125" s="1"/>
  <c r="Y19" i="125" s="1"/>
  <c r="Z20" i="125" s="1"/>
  <c r="AA21" i="125" s="1"/>
  <c r="AB22" i="125" s="1"/>
  <c r="AC23" i="125" s="1"/>
  <c r="AD24" i="125" s="1"/>
  <c r="AE25" i="125" s="1"/>
  <c r="AF26" i="125" s="1"/>
  <c r="AQ37" i="125" s="1"/>
  <c r="AO35" i="115"/>
  <c r="AP36" i="115"/>
  <c r="AN34" i="115"/>
  <c r="AH28" i="115"/>
  <c r="AU41" i="115"/>
  <c r="AL32" i="115"/>
  <c r="AT40" i="115"/>
  <c r="AK31" i="115"/>
  <c r="AI29" i="115"/>
  <c r="AW43" i="115"/>
  <c r="AV42" i="115"/>
  <c r="AM33" i="115"/>
  <c r="AG27" i="115"/>
  <c r="AR38" i="115"/>
  <c r="AQ37" i="115"/>
  <c r="AS39" i="115"/>
  <c r="AJ30" i="115"/>
  <c r="Z50" i="69"/>
  <c r="Y84" i="34" s="1"/>
  <c r="AN34" i="125" l="1"/>
  <c r="V14" i="125"/>
  <c r="W15" i="125" s="1"/>
  <c r="X16" i="125" s="1"/>
  <c r="Y17" i="125" s="1"/>
  <c r="Z18" i="125" s="1"/>
  <c r="AA19" i="125" s="1"/>
  <c r="AB20" i="125" s="1"/>
  <c r="AC21" i="125" s="1"/>
  <c r="AD22" i="125" s="1"/>
  <c r="AE23" i="125" s="1"/>
  <c r="AF24" i="125" s="1"/>
  <c r="AG25" i="125" s="1"/>
  <c r="AH26" i="125" s="1"/>
  <c r="T69" i="115"/>
  <c r="AR38" i="125"/>
  <c r="AW43" i="125"/>
  <c r="AJ30" i="125"/>
  <c r="AV42" i="125"/>
  <c r="AG27" i="125"/>
  <c r="AP36" i="125"/>
  <c r="AS39" i="125"/>
  <c r="AT40" i="125"/>
  <c r="U63" i="125"/>
  <c r="U66" i="125" s="1"/>
  <c r="U69" i="125" s="1"/>
  <c r="AO35" i="125"/>
  <c r="AI29" i="125"/>
  <c r="AH28" i="125"/>
  <c r="AU41" i="125"/>
  <c r="AK31" i="125"/>
  <c r="AM33" i="125"/>
  <c r="AL32" i="125"/>
  <c r="AM32" i="125"/>
  <c r="AU40" i="125"/>
  <c r="AP35" i="125"/>
  <c r="AR37" i="125"/>
  <c r="AI28" i="125"/>
  <c r="AN33" i="125"/>
  <c r="AL31" i="125"/>
  <c r="AK30" i="125"/>
  <c r="AV41" i="125"/>
  <c r="AO34" i="125"/>
  <c r="AJ29" i="125"/>
  <c r="AH27" i="125"/>
  <c r="AQ36" i="125"/>
  <c r="AW42" i="125"/>
  <c r="AT39" i="125"/>
  <c r="AS38" i="125"/>
  <c r="Z51" i="69"/>
  <c r="Z52" i="69" s="1"/>
  <c r="V63" i="125" l="1"/>
  <c r="V66" i="125" s="1"/>
  <c r="V69" i="125" s="1"/>
  <c r="AR36" i="125"/>
  <c r="AQ35" i="125"/>
  <c r="AN32" i="125"/>
  <c r="AO33" i="125"/>
  <c r="AM31" i="125"/>
  <c r="AS37" i="125"/>
  <c r="AW41" i="125"/>
  <c r="AV40" i="125"/>
  <c r="AK29" i="125"/>
  <c r="AI27" i="125"/>
  <c r="AT38" i="125"/>
  <c r="AU39" i="125"/>
  <c r="AP34" i="125"/>
  <c r="AL30" i="125"/>
  <c r="AJ28" i="125"/>
  <c r="W14" i="125" l="1"/>
  <c r="W14" i="115"/>
  <c r="W63" i="125" l="1"/>
  <c r="W66" i="125" s="1"/>
  <c r="W69" i="125" s="1"/>
  <c r="X15" i="125"/>
  <c r="X15" i="115"/>
  <c r="Z39" i="34"/>
  <c r="Y16" i="125" l="1"/>
  <c r="Y16" i="115"/>
  <c r="Z17" i="115" l="1"/>
  <c r="Z17" i="125"/>
  <c r="AA18" i="125" l="1"/>
  <c r="AA18" i="115"/>
  <c r="AB19" i="115" l="1"/>
  <c r="AB19" i="125"/>
  <c r="AC20" i="115" l="1"/>
  <c r="AC20" i="125"/>
  <c r="AD21" i="125" l="1"/>
  <c r="AD21" i="115"/>
  <c r="AE22" i="125" l="1"/>
  <c r="AE22" i="115"/>
  <c r="AF23" i="115" l="1"/>
  <c r="AF23" i="125"/>
  <c r="AG24" i="125" l="1"/>
  <c r="AG24" i="115"/>
  <c r="AH25" i="115" l="1"/>
  <c r="AH25" i="125"/>
  <c r="AI26" i="125" l="1"/>
  <c r="AI26" i="115"/>
  <c r="AJ27" i="115" l="1"/>
  <c r="AR35" i="115"/>
  <c r="AU38" i="115"/>
  <c r="AQ34" i="115"/>
  <c r="AM30" i="115"/>
  <c r="AK28" i="115"/>
  <c r="AP33" i="115"/>
  <c r="AL29" i="115"/>
  <c r="AV39" i="115"/>
  <c r="AT37" i="115"/>
  <c r="AW40" i="115"/>
  <c r="AS36" i="115"/>
  <c r="AO32" i="115"/>
  <c r="AN31" i="115"/>
  <c r="AU38" i="125"/>
  <c r="AS36" i="125"/>
  <c r="AN31" i="125"/>
  <c r="AR35" i="125"/>
  <c r="AO32" i="125"/>
  <c r="AT37" i="125"/>
  <c r="AM30" i="125"/>
  <c r="AP33" i="125"/>
  <c r="AQ34" i="125"/>
  <c r="AJ27" i="125"/>
  <c r="AV39" i="125"/>
  <c r="AL29" i="125"/>
  <c r="AW40" i="125"/>
  <c r="AK28" i="125"/>
  <c r="Z8" i="69" l="1"/>
  <c r="Z39" i="70" s="1"/>
  <c r="R22" i="34"/>
  <c r="S22" i="34"/>
  <c r="X22" i="34"/>
  <c r="Y22" i="34"/>
  <c r="Y33" i="34" s="1"/>
  <c r="Q29" i="34"/>
  <c r="Q26" i="34"/>
  <c r="R26" i="34"/>
  <c r="R30" i="34" s="1"/>
  <c r="S26" i="34"/>
  <c r="S30" i="34" s="1"/>
  <c r="T26" i="34"/>
  <c r="T30" i="34" s="1"/>
  <c r="V26" i="34"/>
  <c r="X26" i="34"/>
  <c r="Z24" i="69"/>
  <c r="Z53" i="69" s="1"/>
  <c r="W8" i="69"/>
  <c r="H21" i="85" s="1"/>
  <c r="W24" i="69"/>
  <c r="W53" i="69" s="1"/>
  <c r="AA23" i="109"/>
  <c r="X20" i="109"/>
  <c r="R14" i="109"/>
  <c r="AC25" i="109"/>
  <c r="T16" i="109"/>
  <c r="V18" i="109"/>
  <c r="X22" i="109"/>
  <c r="R15" i="109"/>
  <c r="Z23" i="109"/>
  <c r="W21" i="109"/>
  <c r="U19" i="109"/>
  <c r="V19" i="109"/>
  <c r="AA24" i="109"/>
  <c r="Z24" i="109"/>
  <c r="T17" i="109"/>
  <c r="X21" i="109"/>
  <c r="P14" i="109"/>
  <c r="R17" i="109"/>
  <c r="W22" i="109"/>
  <c r="Q17" i="109"/>
  <c r="Y24" i="109"/>
  <c r="R18" i="109"/>
  <c r="Q16" i="109"/>
  <c r="P15" i="109"/>
  <c r="P16" i="109"/>
  <c r="X24" i="109"/>
  <c r="S19" i="109"/>
  <c r="L14" i="109"/>
  <c r="O25" i="109"/>
  <c r="AB37" i="109" s="1"/>
  <c r="U25" i="109"/>
  <c r="AJ39" i="109" s="1"/>
  <c r="S25" i="109"/>
  <c r="Y30" i="109" s="1"/>
  <c r="W25" i="109"/>
  <c r="AA28" i="109" s="1"/>
  <c r="V25" i="109"/>
  <c r="AQ45" i="109" s="1"/>
  <c r="W19" i="109"/>
  <c r="U17" i="109"/>
  <c r="S15" i="109"/>
  <c r="Z22" i="109"/>
  <c r="Y21" i="109"/>
  <c r="AB24" i="109"/>
  <c r="AB25" i="109"/>
  <c r="L13" i="109"/>
  <c r="K13" i="109"/>
  <c r="P25" i="109"/>
  <c r="Y33" i="109" s="1"/>
  <c r="T25" i="109"/>
  <c r="AC33" i="109" s="1"/>
  <c r="AA25" i="109"/>
  <c r="T18" i="109"/>
  <c r="Q15" i="109"/>
  <c r="Y22" i="109"/>
  <c r="S16" i="109"/>
  <c r="S17" i="109"/>
  <c r="T19" i="109"/>
  <c r="X23" i="109"/>
  <c r="V21" i="109"/>
  <c r="S18" i="109"/>
  <c r="O14" i="109"/>
  <c r="N14" i="109"/>
  <c r="F13" i="109"/>
  <c r="R25" i="109"/>
  <c r="N25" i="109"/>
  <c r="V33" i="109" s="1"/>
  <c r="K15" i="109"/>
  <c r="L15" i="109"/>
  <c r="L17" i="109"/>
  <c r="O16" i="109"/>
  <c r="R24" i="109"/>
  <c r="Q23" i="109"/>
  <c r="U24" i="109"/>
  <c r="W24" i="109"/>
  <c r="P20" i="109"/>
  <c r="K18" i="109"/>
  <c r="H15" i="109"/>
  <c r="H14" i="109"/>
  <c r="T22" i="109"/>
  <c r="N15" i="109"/>
  <c r="M18" i="109"/>
  <c r="T23" i="109"/>
  <c r="T21" i="109"/>
  <c r="R20" i="109"/>
  <c r="O18" i="109"/>
  <c r="Q20" i="109"/>
  <c r="K17" i="109"/>
  <c r="J21" i="109"/>
  <c r="K21" i="109"/>
  <c r="K16" i="109"/>
  <c r="J16" i="109"/>
  <c r="J19" i="109"/>
  <c r="J20" i="109"/>
  <c r="I20" i="109"/>
  <c r="N23" i="109"/>
  <c r="O24" i="109"/>
  <c r="Q19" i="109"/>
  <c r="N18" i="109"/>
  <c r="S23" i="109"/>
  <c r="M14" i="109"/>
  <c r="U22" i="109"/>
  <c r="Q21" i="109"/>
  <c r="N24" i="109"/>
  <c r="M24" i="109"/>
  <c r="L22" i="109"/>
  <c r="K22" i="109"/>
  <c r="G15" i="109"/>
  <c r="F16" i="109"/>
  <c r="E16" i="109"/>
  <c r="P24" i="109"/>
  <c r="G16" i="109"/>
  <c r="I19" i="109"/>
  <c r="H19" i="109"/>
  <c r="H17" i="109"/>
  <c r="L20" i="109"/>
  <c r="D15" i="109"/>
  <c r="E15" i="109"/>
  <c r="I16" i="109"/>
  <c r="H18" i="109"/>
  <c r="G18" i="109"/>
  <c r="I14" i="109"/>
  <c r="L23" i="109"/>
  <c r="M23" i="109"/>
  <c r="T24" i="109"/>
  <c r="Q24" i="109"/>
  <c r="O22" i="109"/>
  <c r="N20" i="109"/>
  <c r="P21" i="109"/>
  <c r="S22" i="109"/>
  <c r="S20" i="109"/>
  <c r="M22" i="109"/>
  <c r="L19" i="109"/>
  <c r="D14" i="109"/>
  <c r="L21" i="109"/>
  <c r="E14" i="109"/>
  <c r="G17" i="109"/>
  <c r="F17" i="109"/>
  <c r="Y25" i="109"/>
  <c r="G13" i="109"/>
  <c r="X25" i="109"/>
  <c r="AT46" i="109" s="1"/>
  <c r="P13" i="109"/>
  <c r="Z25" i="109"/>
  <c r="R16" i="109"/>
  <c r="Q14" i="109"/>
  <c r="V20" i="109"/>
  <c r="Y23" i="109"/>
  <c r="W20" i="109"/>
  <c r="U18" i="109"/>
  <c r="V22" i="109"/>
  <c r="T20" i="109"/>
  <c r="U20" i="109"/>
  <c r="M13" i="109"/>
  <c r="W23" i="109"/>
  <c r="U21" i="109"/>
  <c r="H13" i="109"/>
  <c r="C13" i="109"/>
  <c r="C62" i="109" s="1"/>
  <c r="E13" i="109"/>
  <c r="D13" i="109"/>
  <c r="M16" i="109"/>
  <c r="K14" i="109"/>
  <c r="B13" i="109"/>
  <c r="B62" i="109" s="1"/>
  <c r="N17" i="109"/>
  <c r="K19" i="109"/>
  <c r="Q25" i="109"/>
  <c r="U23" i="109"/>
  <c r="R22" i="109"/>
  <c r="R23" i="109"/>
  <c r="V24" i="109"/>
  <c r="H16" i="109"/>
  <c r="N22" i="109"/>
  <c r="M15" i="109"/>
  <c r="N16" i="109"/>
  <c r="Q13" i="109"/>
  <c r="J15" i="109"/>
  <c r="G14" i="109"/>
  <c r="J17" i="109"/>
  <c r="M17" i="109"/>
  <c r="R21" i="109"/>
  <c r="S21" i="109"/>
  <c r="Q18" i="109"/>
  <c r="I18" i="109"/>
  <c r="Q22" i="109"/>
  <c r="N21" i="109"/>
  <c r="M21" i="109"/>
  <c r="I17" i="109"/>
  <c r="P22" i="109"/>
  <c r="N19" i="109"/>
  <c r="F14" i="109"/>
  <c r="O15" i="109"/>
  <c r="O20" i="109"/>
  <c r="F15" i="109"/>
  <c r="M19" i="109"/>
  <c r="J14" i="109"/>
  <c r="I13" i="109"/>
  <c r="P17" i="109"/>
  <c r="M20" i="109"/>
  <c r="I15" i="109"/>
  <c r="V23" i="109"/>
  <c r="L16" i="109"/>
  <c r="O17" i="109"/>
  <c r="P18" i="109"/>
  <c r="O21" i="109"/>
  <c r="J18" i="109"/>
  <c r="R19" i="109"/>
  <c r="S24" i="109"/>
  <c r="L18" i="109"/>
  <c r="O23" i="109"/>
  <c r="K20" i="109"/>
  <c r="P19" i="109"/>
  <c r="P23" i="109"/>
  <c r="O19" i="109"/>
  <c r="O13" i="109"/>
  <c r="J13" i="109"/>
  <c r="N13" i="109"/>
  <c r="D62" i="109" l="1"/>
  <c r="H62" i="109"/>
  <c r="E62" i="109"/>
  <c r="N62" i="109"/>
  <c r="N65" i="109" s="1"/>
  <c r="N68" i="109" s="1"/>
  <c r="M62" i="109"/>
  <c r="M65" i="109" s="1"/>
  <c r="L62" i="109"/>
  <c r="L65" i="109" s="1"/>
  <c r="Q10" i="11"/>
  <c r="Q49" i="11" s="1"/>
  <c r="J62" i="109"/>
  <c r="I24" i="85"/>
  <c r="Z12" i="69"/>
  <c r="W12" i="69"/>
  <c r="T10" i="11"/>
  <c r="T49" i="11" s="1"/>
  <c r="I21" i="85"/>
  <c r="W22" i="34"/>
  <c r="W33" i="34" s="1"/>
  <c r="W66" i="34" s="1"/>
  <c r="P10" i="11"/>
  <c r="P49" i="11" s="1"/>
  <c r="I62" i="109"/>
  <c r="T33" i="34"/>
  <c r="T66" i="34" s="1"/>
  <c r="AB12" i="85"/>
  <c r="AB13" i="85" s="1"/>
  <c r="Y66" i="34"/>
  <c r="Y74" i="34" s="1"/>
  <c r="Y78" i="34" s="1"/>
  <c r="Y82" i="34" s="1"/>
  <c r="Y34" i="34"/>
  <c r="O10" i="11"/>
  <c r="O49" i="11" s="1"/>
  <c r="R10" i="11"/>
  <c r="R49" i="11" s="1"/>
  <c r="S33" i="34"/>
  <c r="S34" i="34" s="1"/>
  <c r="R33" i="34"/>
  <c r="R34" i="34" s="1"/>
  <c r="G15" i="57"/>
  <c r="G17" i="57" s="1"/>
  <c r="Q22" i="34"/>
  <c r="AT53" i="109"/>
  <c r="AV55" i="109"/>
  <c r="AO48" i="109"/>
  <c r="AG40" i="109"/>
  <c r="AI42" i="109"/>
  <c r="AN47" i="109"/>
  <c r="T27" i="109"/>
  <c r="Y32" i="109"/>
  <c r="Z33" i="109"/>
  <c r="V30" i="34"/>
  <c r="V33" i="34" s="1"/>
  <c r="H25" i="57"/>
  <c r="Q30" i="34"/>
  <c r="G62" i="109"/>
  <c r="Z37" i="109"/>
  <c r="AG44" i="109"/>
  <c r="V32" i="109"/>
  <c r="R29" i="109"/>
  <c r="AS55" i="109"/>
  <c r="AN50" i="109"/>
  <c r="AS56" i="109"/>
  <c r="AP53" i="109"/>
  <c r="X34" i="109"/>
  <c r="P27" i="109"/>
  <c r="Q28" i="109"/>
  <c r="AR55" i="109"/>
  <c r="P26" i="109"/>
  <c r="AF42" i="109"/>
  <c r="F62" i="109"/>
  <c r="W39" i="70"/>
  <c r="AT56" i="109"/>
  <c r="O26" i="109"/>
  <c r="O62" i="109" s="1"/>
  <c r="O65" i="109" s="1"/>
  <c r="AU58" i="109"/>
  <c r="AE41" i="109"/>
  <c r="AU57" i="109"/>
  <c r="AC39" i="109"/>
  <c r="AI46" i="109"/>
  <c r="AH45" i="109"/>
  <c r="AI45" i="109"/>
  <c r="AT57" i="109"/>
  <c r="U31" i="109"/>
  <c r="AE42" i="109"/>
  <c r="K62" i="109"/>
  <c r="AD40" i="109"/>
  <c r="T31" i="109"/>
  <c r="R28" i="109"/>
  <c r="AM49" i="109"/>
  <c r="AK48" i="109"/>
  <c r="AK47" i="109"/>
  <c r="S29" i="109"/>
  <c r="AD41" i="109"/>
  <c r="Y35" i="109"/>
  <c r="W33" i="109"/>
  <c r="AJ47" i="109"/>
  <c r="AA38" i="109"/>
  <c r="AQ54" i="109"/>
  <c r="AB38" i="109"/>
  <c r="Z36" i="109"/>
  <c r="AO51" i="109"/>
  <c r="AP52" i="109"/>
  <c r="AA37" i="109"/>
  <c r="U32" i="109"/>
  <c r="AG43" i="109"/>
  <c r="AV59" i="109"/>
  <c r="T30" i="109"/>
  <c r="AF43" i="109"/>
  <c r="W34" i="109"/>
  <c r="AW60" i="109"/>
  <c r="AM50" i="109"/>
  <c r="W30" i="109"/>
  <c r="AB35" i="109"/>
  <c r="AL45" i="109"/>
  <c r="AG31" i="109"/>
  <c r="AS43" i="109"/>
  <c r="AJ34" i="109"/>
  <c r="AU45" i="109"/>
  <c r="AT44" i="109"/>
  <c r="AF30" i="109"/>
  <c r="AQ41" i="109"/>
  <c r="AR42" i="109"/>
  <c r="AL36" i="109"/>
  <c r="AE29" i="109"/>
  <c r="AW47" i="109"/>
  <c r="AV46" i="109"/>
  <c r="AP40" i="109"/>
  <c r="AO39" i="109"/>
  <c r="AN38" i="109"/>
  <c r="AM37" i="109"/>
  <c r="AB26" i="109"/>
  <c r="AI33" i="109"/>
  <c r="AD28" i="109"/>
  <c r="AK35" i="109"/>
  <c r="AC27" i="109"/>
  <c r="AH32" i="109"/>
  <c r="V29" i="109"/>
  <c r="AU54" i="109"/>
  <c r="AH41" i="109"/>
  <c r="AS52" i="109"/>
  <c r="U28" i="109"/>
  <c r="AW56" i="109"/>
  <c r="X31" i="109"/>
  <c r="AF39" i="109"/>
  <c r="AM46" i="109"/>
  <c r="AK44" i="109"/>
  <c r="AQ50" i="109"/>
  <c r="AE38" i="109"/>
  <c r="AP49" i="109"/>
  <c r="AR51" i="109"/>
  <c r="AD37" i="109"/>
  <c r="AJ35" i="109"/>
  <c r="AE30" i="109"/>
  <c r="AC28" i="109"/>
  <c r="AP41" i="109"/>
  <c r="AS44" i="109"/>
  <c r="AF31" i="109"/>
  <c r="AK36" i="109"/>
  <c r="AG32" i="109"/>
  <c r="AB27" i="109"/>
  <c r="AH33" i="109"/>
  <c r="AI34" i="109"/>
  <c r="AO40" i="109"/>
  <c r="AU46" i="109"/>
  <c r="AW48" i="109"/>
  <c r="AR43" i="109"/>
  <c r="AD29" i="109"/>
  <c r="AQ42" i="109"/>
  <c r="AT45" i="109"/>
  <c r="AL37" i="109"/>
  <c r="AM38" i="109"/>
  <c r="AA26" i="109"/>
  <c r="AV47" i="109"/>
  <c r="AN39" i="109"/>
  <c r="AJ43" i="109"/>
  <c r="S26" i="109"/>
  <c r="AC36" i="109"/>
  <c r="AA34" i="109"/>
  <c r="AD30" i="109"/>
  <c r="AF32" i="109"/>
  <c r="AG33" i="109"/>
  <c r="AA27" i="109"/>
  <c r="AW49" i="109"/>
  <c r="AE31" i="109"/>
  <c r="AH40" i="109"/>
  <c r="AV54" i="109"/>
  <c r="Z32" i="109"/>
  <c r="AW55" i="109"/>
  <c r="X30" i="109"/>
  <c r="AU53" i="109"/>
  <c r="V28" i="109"/>
  <c r="AG39" i="109"/>
  <c r="AF38" i="109"/>
  <c r="AO47" i="109"/>
  <c r="AD36" i="109"/>
  <c r="AR50" i="109"/>
  <c r="W29" i="109"/>
  <c r="AB34" i="109"/>
  <c r="AS51" i="109"/>
  <c r="AJ42" i="109"/>
  <c r="AE37" i="109"/>
  <c r="AN46" i="109"/>
  <c r="AC35" i="109"/>
  <c r="AL44" i="109"/>
  <c r="Y31" i="109"/>
  <c r="AK43" i="109"/>
  <c r="T26" i="109"/>
  <c r="AA33" i="109"/>
  <c r="AM45" i="109"/>
  <c r="AT52" i="109"/>
  <c r="AI41" i="109"/>
  <c r="AP48" i="109"/>
  <c r="AQ49" i="109"/>
  <c r="U27" i="109"/>
  <c r="AW50" i="109"/>
  <c r="AQ44" i="109"/>
  <c r="AU48" i="109"/>
  <c r="AP43" i="109"/>
  <c r="AM40" i="109"/>
  <c r="AK38" i="109"/>
  <c r="Z27" i="109"/>
  <c r="S27" i="109"/>
  <c r="AB36" i="109"/>
  <c r="V30" i="109"/>
  <c r="AF40" i="109"/>
  <c r="AT54" i="109"/>
  <c r="AL46" i="109"/>
  <c r="AN48" i="109"/>
  <c r="AQ51" i="109"/>
  <c r="AB33" i="109"/>
  <c r="AU52" i="109"/>
  <c r="AV53" i="109"/>
  <c r="AA32" i="109"/>
  <c r="AT51" i="109"/>
  <c r="AI40" i="109"/>
  <c r="AR49" i="109"/>
  <c r="Z29" i="109"/>
  <c r="AI38" i="109"/>
  <c r="X27" i="109"/>
  <c r="AV51" i="109"/>
  <c r="AU50" i="109"/>
  <c r="AE34" i="109"/>
  <c r="AW52" i="109"/>
  <c r="AW53" i="109"/>
  <c r="AA31" i="109"/>
  <c r="AR48" i="109"/>
  <c r="Z30" i="109"/>
  <c r="AQ47" i="109"/>
  <c r="V26" i="109"/>
  <c r="AD34" i="109"/>
  <c r="AI37" i="109"/>
  <c r="AG35" i="109"/>
  <c r="AA29" i="109"/>
  <c r="AO43" i="109"/>
  <c r="AE33" i="109"/>
  <c r="AL40" i="109"/>
  <c r="Y27" i="109"/>
  <c r="AL38" i="109"/>
  <c r="AM39" i="109"/>
  <c r="AC29" i="109"/>
  <c r="AB28" i="109"/>
  <c r="AS45" i="109"/>
  <c r="AI35" i="109"/>
  <c r="AE32" i="109"/>
  <c r="Y26" i="109"/>
  <c r="AV49" i="109"/>
  <c r="AR45" i="109"/>
  <c r="AL39" i="109"/>
  <c r="AC30" i="109"/>
  <c r="AP50" i="109"/>
  <c r="AE39" i="109"/>
  <c r="AA35" i="109"/>
  <c r="AO49" i="109"/>
  <c r="AH42" i="109"/>
  <c r="AK45" i="109"/>
  <c r="AI43" i="109"/>
  <c r="AJ44" i="109"/>
  <c r="AK42" i="109"/>
  <c r="U26" i="109"/>
  <c r="Z31" i="109"/>
  <c r="AC34" i="109"/>
  <c r="AP47" i="109"/>
  <c r="AQ48" i="109"/>
  <c r="AJ41" i="109"/>
  <c r="AL41" i="109"/>
  <c r="AB31" i="109"/>
  <c r="Y28" i="109"/>
  <c r="AT49" i="109"/>
  <c r="AS48" i="109"/>
  <c r="AH37" i="109"/>
  <c r="W27" i="109"/>
  <c r="AN44" i="109"/>
  <c r="Y29" i="109"/>
  <c r="AI39" i="109"/>
  <c r="AE35" i="109"/>
  <c r="AV52" i="109"/>
  <c r="AH38" i="109"/>
  <c r="AC31" i="109"/>
  <c r="AW51" i="109"/>
  <c r="AD32" i="109"/>
  <c r="AR46" i="109"/>
  <c r="AT48" i="109"/>
  <c r="AN42" i="109"/>
  <c r="AM41" i="109"/>
  <c r="Q27" i="109"/>
  <c r="X35" i="109"/>
  <c r="AC40" i="109"/>
  <c r="AH44" i="109"/>
  <c r="AR54" i="109"/>
  <c r="AW59" i="109"/>
  <c r="AN51" i="109"/>
  <c r="S30" i="109"/>
  <c r="AL49" i="109"/>
  <c r="AL48" i="109"/>
  <c r="AO52" i="109"/>
  <c r="AV58" i="109"/>
  <c r="AQ53" i="109"/>
  <c r="AJ46" i="109"/>
  <c r="AB39" i="109"/>
  <c r="Y36" i="109"/>
  <c r="AP42" i="109"/>
  <c r="Z26" i="109"/>
  <c r="AV48" i="109"/>
  <c r="AH34" i="109"/>
  <c r="AR44" i="109"/>
  <c r="AJ36" i="109"/>
  <c r="AW46" i="109"/>
  <c r="AD27" i="109"/>
  <c r="AI32" i="109"/>
  <c r="AT43" i="109"/>
  <c r="AE28" i="109"/>
  <c r="AM36" i="109"/>
  <c r="AL35" i="109"/>
  <c r="AV45" i="109"/>
  <c r="AR41" i="109"/>
  <c r="AH31" i="109"/>
  <c r="AJ33" i="109"/>
  <c r="AG30" i="109"/>
  <c r="AO38" i="109"/>
  <c r="AU44" i="109"/>
  <c r="AQ40" i="109"/>
  <c r="AN37" i="109"/>
  <c r="AC26" i="109"/>
  <c r="AS42" i="109"/>
  <c r="AP39" i="109"/>
  <c r="AF29" i="109"/>
  <c r="AK34" i="109"/>
  <c r="AT47" i="109"/>
  <c r="AN41" i="109"/>
  <c r="AO42" i="109"/>
  <c r="AD31" i="109"/>
  <c r="AH35" i="109"/>
  <c r="AF33" i="109"/>
  <c r="AW57" i="109"/>
  <c r="R26" i="109"/>
  <c r="AC37" i="109"/>
  <c r="X32" i="109"/>
  <c r="W31" i="109"/>
  <c r="AS53" i="109"/>
  <c r="AU55" i="109"/>
  <c r="AV56" i="109"/>
  <c r="W28" i="109"/>
  <c r="V27" i="109"/>
  <c r="X29" i="109"/>
  <c r="AN45" i="109"/>
  <c r="AL43" i="109"/>
  <c r="AH39" i="109"/>
  <c r="AM44" i="109"/>
  <c r="AG38" i="109"/>
  <c r="AP45" i="109"/>
  <c r="AA30" i="109"/>
  <c r="AG36" i="109"/>
  <c r="AD33" i="109"/>
  <c r="AF35" i="109"/>
  <c r="AO44" i="109"/>
  <c r="AK40" i="109"/>
  <c r="AJ40" i="109"/>
  <c r="AL42" i="109"/>
  <c r="AM43" i="109"/>
  <c r="AO45" i="109"/>
  <c r="AG37" i="109"/>
  <c r="AT50" i="109"/>
  <c r="AK41" i="109"/>
  <c r="AJ38" i="109"/>
  <c r="AH36" i="109"/>
  <c r="X26" i="109"/>
  <c r="AF34" i="109"/>
  <c r="Z28" i="109"/>
  <c r="AB30" i="109"/>
  <c r="AO41" i="109"/>
  <c r="AN40" i="109"/>
  <c r="AU47" i="109"/>
  <c r="AQ43" i="109"/>
  <c r="AK37" i="109"/>
  <c r="AV44" i="109"/>
  <c r="AH30" i="109"/>
  <c r="AJ32" i="109"/>
  <c r="AU43" i="109"/>
  <c r="AR40" i="109"/>
  <c r="AK33" i="109"/>
  <c r="AD26" i="109"/>
  <c r="AO37" i="109"/>
  <c r="AN36" i="109"/>
  <c r="AW45" i="109"/>
  <c r="AL34" i="109"/>
  <c r="AP38" i="109"/>
  <c r="AG29" i="109"/>
  <c r="AQ39" i="109"/>
  <c r="AI31" i="109"/>
  <c r="AF28" i="109"/>
  <c r="AS41" i="109"/>
  <c r="AT42" i="109"/>
  <c r="AM35" i="109"/>
  <c r="AE27" i="109"/>
  <c r="AI36" i="109"/>
  <c r="AS46" i="109"/>
  <c r="AB29" i="109"/>
  <c r="AJ37" i="109"/>
  <c r="AG34" i="109"/>
  <c r="AM47" i="109"/>
  <c r="T28" i="109"/>
  <c r="AR52" i="109"/>
  <c r="U29" i="109"/>
  <c r="AD38" i="109"/>
  <c r="Z34" i="109"/>
  <c r="AG41" i="109"/>
  <c r="AD35" i="109"/>
  <c r="AE36" i="109"/>
  <c r="AO46" i="109"/>
  <c r="AW54" i="109"/>
  <c r="AF37" i="109"/>
  <c r="AS50" i="109"/>
  <c r="AR47" i="109"/>
  <c r="AN43" i="109"/>
  <c r="W26" i="109"/>
  <c r="AQ46" i="109"/>
  <c r="AC32" i="109"/>
  <c r="AM42" i="109"/>
  <c r="AP46" i="109"/>
  <c r="AF36" i="109"/>
  <c r="X28" i="109"/>
  <c r="AU51" i="109"/>
  <c r="AB32" i="109"/>
  <c r="AS49" i="109"/>
  <c r="AV50" i="109"/>
  <c r="AK39" i="109"/>
  <c r="AS47" i="109"/>
  <c r="AU49" i="109"/>
  <c r="AP44" i="109"/>
  <c r="AN49" i="109"/>
  <c r="AV57" i="109"/>
  <c r="AI44" i="109"/>
  <c r="AG42" i="109"/>
  <c r="U30" i="109"/>
  <c r="AR53" i="109"/>
  <c r="AE40" i="109"/>
  <c r="AC38" i="109"/>
  <c r="V31" i="109"/>
  <c r="R27" i="109"/>
  <c r="AL47" i="109"/>
  <c r="AU56" i="109"/>
  <c r="X33" i="109"/>
  <c r="AA36" i="109"/>
  <c r="AP51" i="109"/>
  <c r="AQ52" i="109"/>
  <c r="AH43" i="109"/>
  <c r="AT55" i="109"/>
  <c r="AW58" i="109"/>
  <c r="Y34" i="109"/>
  <c r="T29" i="109"/>
  <c r="AS54" i="109"/>
  <c r="Z35" i="109"/>
  <c r="AM48" i="109"/>
  <c r="AF41" i="109"/>
  <c r="Q26" i="109"/>
  <c r="AJ45" i="109"/>
  <c r="AO50" i="109"/>
  <c r="W32" i="109"/>
  <c r="S28" i="109"/>
  <c r="AD39" i="109"/>
  <c r="AK46" i="109"/>
  <c r="Q3" i="65" l="1"/>
  <c r="Q5" i="65" s="1"/>
  <c r="E22" i="116"/>
  <c r="F22" i="116"/>
  <c r="G22" i="116"/>
  <c r="H22" i="116"/>
  <c r="H33" i="116" s="1"/>
  <c r="Q62" i="109"/>
  <c r="Q65" i="109" s="1"/>
  <c r="Q10" i="65"/>
  <c r="Q11" i="65" s="1"/>
  <c r="L68" i="109"/>
  <c r="O10" i="65"/>
  <c r="O11" i="65" s="1"/>
  <c r="O3" i="65"/>
  <c r="O5" i="65" s="1"/>
  <c r="P3" i="65"/>
  <c r="P5" i="65" s="1"/>
  <c r="P22" i="34" s="1"/>
  <c r="M68" i="109"/>
  <c r="P10" i="65"/>
  <c r="P11" i="65" s="1"/>
  <c r="Y86" i="34"/>
  <c r="Y85" i="34"/>
  <c r="W34" i="34"/>
  <c r="T34" i="34"/>
  <c r="S66" i="34"/>
  <c r="S74" i="34" s="1"/>
  <c r="S78" i="34" s="1"/>
  <c r="S82" i="34" s="1"/>
  <c r="P62" i="109"/>
  <c r="P65" i="109" s="1"/>
  <c r="S3" i="65" s="1"/>
  <c r="S5" i="65" s="1"/>
  <c r="I6" i="85"/>
  <c r="R66" i="34"/>
  <c r="R74" i="34" s="1"/>
  <c r="R78" i="34" s="1"/>
  <c r="R82" i="34" s="1"/>
  <c r="G25" i="57"/>
  <c r="G12" i="85" s="1"/>
  <c r="Y69" i="34"/>
  <c r="Y9" i="70"/>
  <c r="W74" i="34"/>
  <c r="W78" i="34" s="1"/>
  <c r="W82" i="34" s="1"/>
  <c r="W86" i="34" s="1"/>
  <c r="W69" i="34"/>
  <c r="AB14" i="85"/>
  <c r="AB19" i="85"/>
  <c r="AB27" i="85" s="1"/>
  <c r="Q68" i="109"/>
  <c r="T3" i="65"/>
  <c r="T5" i="65" s="1"/>
  <c r="T10" i="65"/>
  <c r="T11" i="65" s="1"/>
  <c r="R3" i="65"/>
  <c r="R5" i="65" s="1"/>
  <c r="O68" i="109"/>
  <c r="R10" i="65"/>
  <c r="R11" i="65" s="1"/>
  <c r="T74" i="34"/>
  <c r="T69" i="34"/>
  <c r="H28" i="57"/>
  <c r="H12" i="85"/>
  <c r="H13" i="85" s="1"/>
  <c r="Q33" i="34"/>
  <c r="V66" i="34"/>
  <c r="V34" i="34"/>
  <c r="G6" i="85"/>
  <c r="P68" i="109" l="1"/>
  <c r="G24" i="116"/>
  <c r="I24" i="116"/>
  <c r="D19" i="58"/>
  <c r="F15" i="57"/>
  <c r="O22" i="34"/>
  <c r="AH13" i="116"/>
  <c r="AH14" i="116" s="1"/>
  <c r="AH15" i="116" s="1"/>
  <c r="N10" i="11"/>
  <c r="N49" i="11" s="1"/>
  <c r="P26" i="34"/>
  <c r="P30" i="34" s="1"/>
  <c r="P33" i="34" s="1"/>
  <c r="S10" i="65"/>
  <c r="S11" i="65" s="1"/>
  <c r="O26" i="34"/>
  <c r="M10" i="11"/>
  <c r="M49" i="11" s="1"/>
  <c r="I8" i="85"/>
  <c r="I9" i="85" s="1"/>
  <c r="AJ13" i="116"/>
  <c r="AJ14" i="116" s="1"/>
  <c r="AJ15" i="116" s="1"/>
  <c r="S69" i="34"/>
  <c r="G28" i="57"/>
  <c r="G29" i="57" s="1"/>
  <c r="G8" i="85"/>
  <c r="F33" i="116"/>
  <c r="G33" i="116"/>
  <c r="E32" i="116"/>
  <c r="E34" i="116" s="1"/>
  <c r="E33" i="116"/>
  <c r="R69" i="34"/>
  <c r="I11" i="85"/>
  <c r="Y19" i="70"/>
  <c r="Y40" i="70" s="1"/>
  <c r="Y41" i="70" s="1"/>
  <c r="Y42" i="70" s="1"/>
  <c r="G26" i="85"/>
  <c r="G13" i="85"/>
  <c r="G11" i="85"/>
  <c r="I26" i="85"/>
  <c r="S86" i="34"/>
  <c r="S85" i="34"/>
  <c r="S9" i="70"/>
  <c r="S19" i="70" s="1"/>
  <c r="S40" i="70" s="1"/>
  <c r="S41" i="70" s="1"/>
  <c r="S42" i="70" s="1"/>
  <c r="H14" i="85"/>
  <c r="H19" i="85"/>
  <c r="H27" i="85" s="1"/>
  <c r="R9" i="70"/>
  <c r="R19" i="70" s="1"/>
  <c r="R40" i="70" s="1"/>
  <c r="R41" i="70" s="1"/>
  <c r="R42" i="70" s="1"/>
  <c r="R85" i="34"/>
  <c r="R86" i="34"/>
  <c r="V69" i="34"/>
  <c r="V74" i="34"/>
  <c r="V78" i="34" s="1"/>
  <c r="V82" i="34" s="1"/>
  <c r="Q66" i="34"/>
  <c r="Q34" i="34"/>
  <c r="H29" i="57"/>
  <c r="H60" i="57"/>
  <c r="H62" i="57" s="1"/>
  <c r="T78" i="34"/>
  <c r="W9" i="70"/>
  <c r="W19" i="70" s="1"/>
  <c r="W85" i="34"/>
  <c r="C22" i="116" l="1"/>
  <c r="C32" i="116" s="1"/>
  <c r="C34" i="116" s="1"/>
  <c r="F17" i="57"/>
  <c r="F6" i="85" s="1"/>
  <c r="P19" i="58"/>
  <c r="R19" i="58" s="1"/>
  <c r="D21" i="58"/>
  <c r="P21" i="58" s="1"/>
  <c r="R21" i="58" s="1"/>
  <c r="D22" i="116"/>
  <c r="S22" i="116"/>
  <c r="S33" i="116" s="1"/>
  <c r="I10" i="85"/>
  <c r="P34" i="34"/>
  <c r="P66" i="34"/>
  <c r="F21" i="57"/>
  <c r="F25" i="57" s="1"/>
  <c r="D25" i="58"/>
  <c r="O30" i="34"/>
  <c r="O33" i="34" s="1"/>
  <c r="G60" i="57"/>
  <c r="G62" i="57" s="1"/>
  <c r="G9" i="85"/>
  <c r="H10" i="85"/>
  <c r="H67" i="57"/>
  <c r="Q74" i="34"/>
  <c r="Q69" i="34"/>
  <c r="V9" i="70"/>
  <c r="V19" i="70" s="1"/>
  <c r="V40" i="70" s="1"/>
  <c r="V41" i="70" s="1"/>
  <c r="V42" i="70" s="1"/>
  <c r="V85" i="34"/>
  <c r="V86" i="34"/>
  <c r="W40" i="70"/>
  <c r="W41" i="70" s="1"/>
  <c r="W42" i="70" s="1"/>
  <c r="H71" i="57"/>
  <c r="T82" i="34"/>
  <c r="G30" i="116"/>
  <c r="G14" i="85"/>
  <c r="G19" i="85"/>
  <c r="G27" i="85" s="1"/>
  <c r="C33" i="116" l="1"/>
  <c r="F26" i="85"/>
  <c r="F24" i="116"/>
  <c r="S24" i="116" s="1"/>
  <c r="S30" i="116" s="1"/>
  <c r="S32" i="116" s="1"/>
  <c r="S34" i="116" s="1"/>
  <c r="F8" i="85"/>
  <c r="G10" i="85" s="1"/>
  <c r="R6" i="85"/>
  <c r="R8" i="85" s="1"/>
  <c r="D32" i="116"/>
  <c r="D34" i="116" s="1"/>
  <c r="D33" i="116"/>
  <c r="P74" i="34"/>
  <c r="P78" i="34" s="1"/>
  <c r="P82" i="34" s="1"/>
  <c r="P69" i="34"/>
  <c r="P25" i="58"/>
  <c r="R25" i="58" s="1"/>
  <c r="D29" i="58"/>
  <c r="F12" i="85"/>
  <c r="F28" i="57"/>
  <c r="O34" i="34"/>
  <c r="O66" i="34"/>
  <c r="G32" i="116"/>
  <c r="G34" i="116" s="1"/>
  <c r="T9" i="70"/>
  <c r="T19" i="70" s="1"/>
  <c r="T85" i="34"/>
  <c r="H75" i="57"/>
  <c r="T86" i="34"/>
  <c r="G67" i="57"/>
  <c r="Q78" i="34"/>
  <c r="F9" i="85" l="1"/>
  <c r="R26" i="85"/>
  <c r="F10" i="85"/>
  <c r="R9" i="85"/>
  <c r="R28" i="85"/>
  <c r="R29" i="85" s="1"/>
  <c r="O69" i="34"/>
  <c r="O74" i="34"/>
  <c r="P29" i="58"/>
  <c r="R29" i="58" s="1"/>
  <c r="D32" i="58"/>
  <c r="F29" i="57"/>
  <c r="F60" i="57"/>
  <c r="F62" i="57" s="1"/>
  <c r="R12" i="85"/>
  <c r="R13" i="85" s="1"/>
  <c r="R14" i="85" s="1"/>
  <c r="F13" i="85"/>
  <c r="P85" i="34"/>
  <c r="P9" i="70"/>
  <c r="P19" i="70" s="1"/>
  <c r="P40" i="70" s="1"/>
  <c r="P41" i="70" s="1"/>
  <c r="P42" i="70" s="1"/>
  <c r="Q82" i="34"/>
  <c r="G71" i="57"/>
  <c r="H36" i="116"/>
  <c r="AB20" i="85"/>
  <c r="T40" i="70"/>
  <c r="T41" i="70" s="1"/>
  <c r="T42" i="70" s="1"/>
  <c r="F30" i="116" l="1"/>
  <c r="F32" i="116" s="1"/>
  <c r="F34" i="116" s="1"/>
  <c r="F14" i="85"/>
  <c r="F19" i="85"/>
  <c r="P32" i="58"/>
  <c r="R32" i="58" s="1"/>
  <c r="D33" i="58"/>
  <c r="P33" i="58" s="1"/>
  <c r="R33" i="58" s="1"/>
  <c r="D64" i="58"/>
  <c r="O78" i="34"/>
  <c r="F67" i="57"/>
  <c r="D71" i="58"/>
  <c r="P71" i="58" s="1"/>
  <c r="R71" i="58" s="1"/>
  <c r="H38" i="116"/>
  <c r="H20" i="85" s="1"/>
  <c r="Q9" i="70"/>
  <c r="Q19" i="70" s="1"/>
  <c r="G75" i="57"/>
  <c r="Q85" i="34"/>
  <c r="O82" i="34" l="1"/>
  <c r="F71" i="57"/>
  <c r="D75" i="58"/>
  <c r="P75" i="58" s="1"/>
  <c r="R75" i="58" s="1"/>
  <c r="F27" i="85"/>
  <c r="R19" i="85"/>
  <c r="R27" i="85" s="1"/>
  <c r="D66" i="58"/>
  <c r="P66" i="58" s="1"/>
  <c r="R66" i="58" s="1"/>
  <c r="P64" i="58"/>
  <c r="R64" i="58" s="1"/>
  <c r="H22" i="85"/>
  <c r="AI42" i="116"/>
  <c r="AI49" i="116" s="1"/>
  <c r="G36" i="116"/>
  <c r="Q40" i="70"/>
  <c r="Q41" i="70" s="1"/>
  <c r="Q42" i="70" s="1"/>
  <c r="I20" i="85"/>
  <c r="O9" i="70" l="1"/>
  <c r="O19" i="70" s="1"/>
  <c r="O85" i="34"/>
  <c r="F75" i="57"/>
  <c r="D79" i="58"/>
  <c r="P79" i="58" s="1"/>
  <c r="R79" i="58" s="1"/>
  <c r="I22" i="85"/>
  <c r="I30" i="116" s="1"/>
  <c r="AJ42" i="116"/>
  <c r="AJ49" i="116" s="1"/>
  <c r="G38" i="116"/>
  <c r="G20" i="85" s="1"/>
  <c r="O40" i="70" l="1"/>
  <c r="O41" i="70" s="1"/>
  <c r="O42" i="70" s="1"/>
  <c r="F36" i="116"/>
  <c r="H30" i="116"/>
  <c r="H32" i="116" s="1"/>
  <c r="H34" i="116" s="1"/>
  <c r="F38" i="116" l="1"/>
  <c r="F20" i="85" s="1"/>
  <c r="R20" i="85" s="1"/>
  <c r="S36" i="116"/>
  <c r="V18" i="69"/>
  <c r="R18" i="69"/>
  <c r="S18" i="69"/>
  <c r="S38" i="116" l="1"/>
  <c r="Z25" i="70"/>
  <c r="AA18" i="69"/>
  <c r="AA25" i="70" l="1"/>
  <c r="AC18" i="69" l="1"/>
  <c r="AB25" i="70" l="1"/>
  <c r="K37" i="116"/>
  <c r="T37" i="116" s="1"/>
  <c r="AD18" i="69" l="1"/>
  <c r="AC25" i="70" l="1"/>
  <c r="AE18" i="69" l="1"/>
  <c r="AD25" i="70" l="1"/>
  <c r="AE22" i="70" l="1"/>
  <c r="AF18" i="69"/>
  <c r="AE25" i="70" l="1"/>
  <c r="L37" i="116"/>
  <c r="AF22" i="70" l="1"/>
  <c r="AG18" i="69"/>
  <c r="AF25" i="70" l="1"/>
  <c r="AG22" i="70" l="1"/>
  <c r="AH18" i="69"/>
  <c r="AG25" i="70" l="1"/>
  <c r="AH22" i="70" l="1"/>
  <c r="AI18" i="69"/>
  <c r="AH25" i="70" l="1"/>
  <c r="M37" i="116"/>
  <c r="AI22" i="70" l="1"/>
  <c r="AJ18" i="69"/>
  <c r="AI25" i="70" l="1"/>
  <c r="AJ22" i="70" l="1"/>
  <c r="AK18" i="69"/>
  <c r="AJ25" i="70" l="1"/>
  <c r="AK22" i="70" l="1"/>
  <c r="AL18" i="69"/>
  <c r="AK25" i="70" l="1"/>
  <c r="N37" i="116"/>
  <c r="AL22" i="70" l="1"/>
  <c r="AM18" i="69"/>
  <c r="AL25" i="70" l="1"/>
  <c r="AM22" i="70" l="1"/>
  <c r="AN18" i="69"/>
  <c r="AM25" i="70" l="1"/>
  <c r="AN22" i="70" l="1"/>
  <c r="AO18" i="69"/>
  <c r="AN25" i="70" l="1"/>
  <c r="O37" i="116"/>
  <c r="U37" i="116" s="1"/>
  <c r="AO22" i="70" l="1"/>
  <c r="AP18" i="69"/>
  <c r="AO25" i="70" l="1"/>
  <c r="AP22" i="70"/>
  <c r="AP25" i="70" s="1"/>
  <c r="AQ18" i="69"/>
  <c r="AQ22" i="70" l="1"/>
  <c r="AR18" i="69"/>
  <c r="AQ25" i="70" l="1"/>
  <c r="AR22" i="70"/>
  <c r="AR25" i="70" s="1"/>
  <c r="AS18" i="69"/>
  <c r="AS22" i="70" l="1"/>
  <c r="AS25" i="70" s="1"/>
  <c r="AT18" i="69"/>
  <c r="AT22" i="70" l="1"/>
  <c r="AT25" i="70" s="1"/>
  <c r="AU18" i="69"/>
  <c r="AU22" i="70" l="1"/>
  <c r="AU25" i="70" s="1"/>
  <c r="AV18" i="69"/>
  <c r="AV22" i="70" l="1"/>
  <c r="AW18" i="69"/>
  <c r="AV25" i="70" l="1"/>
  <c r="AW22" i="70"/>
  <c r="AW25" i="70" s="1"/>
  <c r="AX18" i="69"/>
  <c r="AX22" i="70" l="1"/>
  <c r="AX25" i="70" s="1"/>
  <c r="AY18" i="69"/>
  <c r="AY22" i="70" l="1"/>
  <c r="AY25" i="70" s="1"/>
  <c r="AZ18" i="69"/>
  <c r="AZ22" i="70" l="1"/>
  <c r="BA18" i="69"/>
  <c r="AZ25" i="70" l="1"/>
  <c r="Z38" i="34"/>
  <c r="Z29" i="34"/>
  <c r="D37" i="85"/>
  <c r="X19" i="11" l="1"/>
  <c r="X40" i="11" s="1"/>
  <c r="Z26" i="34"/>
  <c r="Z40" i="34"/>
  <c r="Z63" i="34" s="1"/>
  <c r="Z15" i="70" l="1"/>
  <c r="AA29" i="34" l="1"/>
  <c r="Z22" i="34" l="1"/>
  <c r="AA29" i="69"/>
  <c r="AA30" i="69" s="1"/>
  <c r="AA22" i="34" l="1"/>
  <c r="Z16" i="70"/>
  <c r="X24" i="34"/>
  <c r="AB29" i="69"/>
  <c r="AB30" i="69" s="1"/>
  <c r="AA33" i="69"/>
  <c r="AA36" i="69" s="1"/>
  <c r="Z17" i="70"/>
  <c r="AA16" i="70" l="1"/>
  <c r="AA17" i="70"/>
  <c r="AA50" i="69" l="1"/>
  <c r="AA51" i="69" l="1"/>
  <c r="AA52" i="69" s="1"/>
  <c r="Z84" i="34"/>
  <c r="Q48" i="126" l="1"/>
  <c r="Q51" i="126" s="1"/>
  <c r="R48" i="126"/>
  <c r="R51" i="126" s="1"/>
  <c r="S48" i="126"/>
  <c r="S51" i="126" s="1"/>
  <c r="T48" i="126"/>
  <c r="T51" i="126" s="1"/>
  <c r="U48" i="126"/>
  <c r="U51" i="126" s="1"/>
  <c r="V48" i="126"/>
  <c r="V51" i="126" s="1"/>
  <c r="W48" i="126"/>
  <c r="W51" i="126" s="1"/>
  <c r="X48" i="126"/>
  <c r="X51" i="126" s="1"/>
  <c r="Y48" i="126"/>
  <c r="Y51" i="126" s="1"/>
  <c r="Z48" i="126"/>
  <c r="Z51" i="126" s="1"/>
  <c r="V14" i="115"/>
  <c r="U14" i="115"/>
  <c r="W15" i="115" l="1"/>
  <c r="U63" i="115"/>
  <c r="U66" i="115" s="1"/>
  <c r="V15" i="115"/>
  <c r="W16" i="115" s="1"/>
  <c r="X17" i="115" s="1"/>
  <c r="Y18" i="115" s="1"/>
  <c r="Z19" i="115" s="1"/>
  <c r="AA20" i="115" s="1"/>
  <c r="AB21" i="115" s="1"/>
  <c r="AC22" i="115" s="1"/>
  <c r="AD23" i="115" s="1"/>
  <c r="AE24" i="115" s="1"/>
  <c r="AF25" i="115" s="1"/>
  <c r="AG26" i="115" s="1"/>
  <c r="X9" i="126"/>
  <c r="V49" i="132" s="1"/>
  <c r="V54" i="132" s="1"/>
  <c r="V56" i="132" s="1"/>
  <c r="X50" i="126"/>
  <c r="X52" i="126" s="1"/>
  <c r="T9" i="126"/>
  <c r="T50" i="126"/>
  <c r="T15" i="126" s="1"/>
  <c r="T16" i="126" s="1"/>
  <c r="W9" i="126"/>
  <c r="W50" i="126"/>
  <c r="W52" i="126" s="1"/>
  <c r="S9" i="126"/>
  <c r="S50" i="126"/>
  <c r="S15" i="126" s="1"/>
  <c r="S16" i="126" s="1"/>
  <c r="Z9" i="126"/>
  <c r="Z50" i="126"/>
  <c r="Z52" i="126" s="1"/>
  <c r="V9" i="126"/>
  <c r="T49" i="132" s="1"/>
  <c r="T54" i="132" s="1"/>
  <c r="V50" i="126"/>
  <c r="V52" i="126" s="1"/>
  <c r="R9" i="126"/>
  <c r="R50" i="126"/>
  <c r="R15" i="126" s="1"/>
  <c r="R16" i="126" s="1"/>
  <c r="Y9" i="126"/>
  <c r="Y50" i="126"/>
  <c r="Y52" i="126" s="1"/>
  <c r="U9" i="126"/>
  <c r="U50" i="126"/>
  <c r="U52" i="126" s="1"/>
  <c r="Q9" i="126"/>
  <c r="Q50" i="126"/>
  <c r="Q15" i="126" s="1"/>
  <c r="Q16" i="126" s="1"/>
  <c r="X10" i="126"/>
  <c r="AB48" i="126"/>
  <c r="AB51" i="126" s="1"/>
  <c r="AA48" i="126"/>
  <c r="AA51" i="126" s="1"/>
  <c r="W46" i="107" l="1"/>
  <c r="V63" i="115"/>
  <c r="V66" i="115" s="1"/>
  <c r="U69" i="115"/>
  <c r="X7" i="67"/>
  <c r="X11" i="67" s="1"/>
  <c r="X16" i="115"/>
  <c r="Y17" i="115" s="1"/>
  <c r="Z18" i="115" s="1"/>
  <c r="AA19" i="115" s="1"/>
  <c r="AB20" i="115" s="1"/>
  <c r="AC21" i="115" s="1"/>
  <c r="AD22" i="115" s="1"/>
  <c r="AE23" i="115" s="1"/>
  <c r="AF24" i="115" s="1"/>
  <c r="AG25" i="115" s="1"/>
  <c r="AH26" i="115" s="1"/>
  <c r="W63" i="115"/>
  <c r="W66" i="115" s="1"/>
  <c r="V72" i="115"/>
  <c r="Y7" i="67"/>
  <c r="Y11" i="67" s="1"/>
  <c r="V69" i="115"/>
  <c r="AN33" i="115"/>
  <c r="AO34" i="115"/>
  <c r="AV41" i="115"/>
  <c r="AP35" i="115"/>
  <c r="AJ29" i="115"/>
  <c r="AH27" i="115"/>
  <c r="AM32" i="115"/>
  <c r="AS38" i="115"/>
  <c r="AI28" i="115"/>
  <c r="AK30" i="115"/>
  <c r="AW42" i="115"/>
  <c r="AT39" i="115"/>
  <c r="AQ36" i="115"/>
  <c r="AL31" i="115"/>
  <c r="AU40" i="115"/>
  <c r="AR37" i="115"/>
  <c r="V10" i="126"/>
  <c r="U46" i="107"/>
  <c r="T56" i="132"/>
  <c r="Q10" i="126"/>
  <c r="Q17" i="126" s="1"/>
  <c r="P45" i="107" s="1"/>
  <c r="O49" i="132"/>
  <c r="O54" i="132" s="1"/>
  <c r="X46" i="107"/>
  <c r="W49" i="132"/>
  <c r="W54" i="132" s="1"/>
  <c r="S10" i="126"/>
  <c r="S17" i="126" s="1"/>
  <c r="R45" i="107" s="1"/>
  <c r="Q49" i="132"/>
  <c r="Q54" i="132" s="1"/>
  <c r="T10" i="126"/>
  <c r="T17" i="126" s="1"/>
  <c r="S45" i="107" s="1"/>
  <c r="R49" i="132"/>
  <c r="R54" i="132" s="1"/>
  <c r="U10" i="126"/>
  <c r="S49" i="132"/>
  <c r="S54" i="132" s="1"/>
  <c r="Q46" i="107"/>
  <c r="P49" i="132"/>
  <c r="P54" i="132" s="1"/>
  <c r="Z10" i="126"/>
  <c r="X49" i="132"/>
  <c r="W10" i="126"/>
  <c r="U49" i="132"/>
  <c r="U54" i="132" s="1"/>
  <c r="P46" i="107"/>
  <c r="S46" i="107"/>
  <c r="T46" i="107"/>
  <c r="Y46" i="107"/>
  <c r="R10" i="126"/>
  <c r="R17" i="126" s="1"/>
  <c r="Q45" i="107" s="1"/>
  <c r="V46" i="107"/>
  <c r="Y10" i="126"/>
  <c r="R52" i="126"/>
  <c r="T52" i="126"/>
  <c r="S52" i="126"/>
  <c r="R46" i="107"/>
  <c r="AB50" i="126"/>
  <c r="Y15" i="126"/>
  <c r="Y16" i="126" s="1"/>
  <c r="Q52" i="126"/>
  <c r="W15" i="126"/>
  <c r="W16" i="126" s="1"/>
  <c r="V15" i="126"/>
  <c r="V16" i="126" s="1"/>
  <c r="AA50" i="126"/>
  <c r="AA52" i="126" s="1"/>
  <c r="U15" i="126"/>
  <c r="U16" i="126" s="1"/>
  <c r="Z15" i="126"/>
  <c r="Z16" i="126" s="1"/>
  <c r="X15" i="126"/>
  <c r="X16" i="126" s="1"/>
  <c r="X17" i="126" s="1"/>
  <c r="W45" i="107" s="1"/>
  <c r="AA9" i="126"/>
  <c r="Y49" i="132" s="1"/>
  <c r="AB9" i="126"/>
  <c r="Z49" i="132" s="1"/>
  <c r="X54" i="132" l="1"/>
  <c r="X56" i="132" s="1"/>
  <c r="V17" i="126"/>
  <c r="U45" i="107" s="1"/>
  <c r="AP34" i="115"/>
  <c r="AM31" i="115"/>
  <c r="AS37" i="115"/>
  <c r="AU39" i="115"/>
  <c r="AO33" i="115"/>
  <c r="AN32" i="115"/>
  <c r="AR36" i="115"/>
  <c r="AV40" i="115"/>
  <c r="AK29" i="115"/>
  <c r="AQ35" i="115"/>
  <c r="AL30" i="115"/>
  <c r="AJ28" i="115"/>
  <c r="AT38" i="115"/>
  <c r="AI27" i="115"/>
  <c r="AW41" i="115"/>
  <c r="X27" i="34"/>
  <c r="V10" i="11"/>
  <c r="V49" i="11" s="1"/>
  <c r="W69" i="115"/>
  <c r="Z7" i="67"/>
  <c r="Z11" i="67" s="1"/>
  <c r="W17" i="126"/>
  <c r="V45" i="107" s="1"/>
  <c r="U17" i="126"/>
  <c r="T45" i="107" s="1"/>
  <c r="Z17" i="126"/>
  <c r="Y45" i="107" s="1"/>
  <c r="U56" i="132"/>
  <c r="P56" i="132"/>
  <c r="R56" i="132"/>
  <c r="W56" i="132"/>
  <c r="AK30" i="116"/>
  <c r="K20" i="116" s="1"/>
  <c r="S56" i="132"/>
  <c r="Q56" i="132"/>
  <c r="O56" i="132"/>
  <c r="Z14" i="125"/>
  <c r="Z14" i="115"/>
  <c r="AA15" i="115" s="1"/>
  <c r="AB16" i="115" s="1"/>
  <c r="AC17" i="115" s="1"/>
  <c r="AD18" i="115" s="1"/>
  <c r="AE19" i="115" s="1"/>
  <c r="AF20" i="115" s="1"/>
  <c r="AG21" i="115" s="1"/>
  <c r="AH22" i="115" s="1"/>
  <c r="AI23" i="115" s="1"/>
  <c r="AJ24" i="115" s="1"/>
  <c r="AK25" i="115" s="1"/>
  <c r="AL26" i="115" s="1"/>
  <c r="AM27" i="115" s="1"/>
  <c r="AN28" i="115" s="1"/>
  <c r="AO29" i="115" s="1"/>
  <c r="AP30" i="115" s="1"/>
  <c r="AQ31" i="115" s="1"/>
  <c r="AR32" i="115" s="1"/>
  <c r="AS33" i="115" s="1"/>
  <c r="AT34" i="115" s="1"/>
  <c r="AU35" i="115" s="1"/>
  <c r="AV36" i="115" s="1"/>
  <c r="AW37" i="115" s="1"/>
  <c r="Y17" i="126"/>
  <c r="X45" i="107" s="1"/>
  <c r="R9" i="109"/>
  <c r="S9" i="109" s="1"/>
  <c r="T9" i="109" s="1"/>
  <c r="U9" i="109" s="1"/>
  <c r="V9" i="109" s="1"/>
  <c r="W9" i="109" s="1"/>
  <c r="Y20" i="109"/>
  <c r="Z21" i="109"/>
  <c r="AD25" i="109"/>
  <c r="S14" i="109"/>
  <c r="T15" i="109"/>
  <c r="AC24" i="109"/>
  <c r="R13" i="109"/>
  <c r="R62" i="109" s="1"/>
  <c r="R65" i="109" s="1"/>
  <c r="X19" i="109"/>
  <c r="U16" i="109"/>
  <c r="AB23" i="109"/>
  <c r="AA22" i="109"/>
  <c r="W18" i="109"/>
  <c r="V17" i="109"/>
  <c r="AA15" i="126"/>
  <c r="AA16" i="126" s="1"/>
  <c r="X14" i="115"/>
  <c r="X14" i="125"/>
  <c r="W14" i="109"/>
  <c r="AH25" i="109"/>
  <c r="X15" i="109"/>
  <c r="V13" i="109"/>
  <c r="Z17" i="109"/>
  <c r="AA18" i="109"/>
  <c r="AB19" i="109"/>
  <c r="Y16" i="109"/>
  <c r="AG24" i="109"/>
  <c r="AC20" i="109"/>
  <c r="AD21" i="109"/>
  <c r="AF23" i="109"/>
  <c r="AE22" i="109"/>
  <c r="AD24" i="109"/>
  <c r="Y19" i="109"/>
  <c r="V16" i="109"/>
  <c r="U15" i="109"/>
  <c r="AC23" i="109"/>
  <c r="X18" i="109"/>
  <c r="S13" i="109"/>
  <c r="T14" i="109"/>
  <c r="AE25" i="109"/>
  <c r="AB22" i="109"/>
  <c r="W17" i="109"/>
  <c r="Z20" i="109"/>
  <c r="AA21" i="109"/>
  <c r="Y14" i="125"/>
  <c r="Y14" i="115"/>
  <c r="AB15" i="126"/>
  <c r="AB16" i="126" s="1"/>
  <c r="Z18" i="109"/>
  <c r="Y17" i="109"/>
  <c r="U13" i="109"/>
  <c r="AD22" i="109"/>
  <c r="AE23" i="109"/>
  <c r="AC21" i="109"/>
  <c r="V14" i="109"/>
  <c r="AF24" i="109"/>
  <c r="AA19" i="109"/>
  <c r="AB20" i="109"/>
  <c r="AG25" i="109"/>
  <c r="X16" i="109"/>
  <c r="W15" i="109"/>
  <c r="Z19" i="109"/>
  <c r="Y18" i="109"/>
  <c r="AB21" i="109"/>
  <c r="AD23" i="109"/>
  <c r="W16" i="109"/>
  <c r="AE24" i="109"/>
  <c r="U14" i="109"/>
  <c r="X17" i="109"/>
  <c r="AC22" i="109"/>
  <c r="T13" i="109"/>
  <c r="AF25" i="109"/>
  <c r="V15" i="109"/>
  <c r="AA20" i="109"/>
  <c r="AB52" i="126"/>
  <c r="AE21" i="109"/>
  <c r="AD20" i="109"/>
  <c r="AA17" i="109"/>
  <c r="AF22" i="109"/>
  <c r="AI25" i="109"/>
  <c r="X14" i="109"/>
  <c r="Z16" i="109"/>
  <c r="AG23" i="109"/>
  <c r="W13" i="109"/>
  <c r="AC19" i="109"/>
  <c r="AB18" i="109"/>
  <c r="AH24" i="109"/>
  <c r="Y15" i="109"/>
  <c r="AL25" i="109"/>
  <c r="AJ23" i="109"/>
  <c r="AA14" i="109"/>
  <c r="AC16" i="109"/>
  <c r="AE18" i="109"/>
  <c r="AD17" i="109"/>
  <c r="AH21" i="109"/>
  <c r="AG20" i="109"/>
  <c r="AK24" i="109"/>
  <c r="AB15" i="109"/>
  <c r="AI22" i="109"/>
  <c r="AF19" i="109"/>
  <c r="Z13" i="109"/>
  <c r="Z46" i="107"/>
  <c r="AA10" i="126"/>
  <c r="AA46" i="107"/>
  <c r="AB10" i="126"/>
  <c r="I22" i="116" l="1"/>
  <c r="I32" i="116" s="1"/>
  <c r="I34" i="116" s="1"/>
  <c r="I25" i="57"/>
  <c r="X30" i="34"/>
  <c r="X33" i="34" s="1"/>
  <c r="Z27" i="34"/>
  <c r="Z30" i="34" s="1"/>
  <c r="Z33" i="34" s="1"/>
  <c r="X10" i="11"/>
  <c r="X49" i="11" s="1"/>
  <c r="AG30" i="116"/>
  <c r="T20" i="116" s="1"/>
  <c r="X9" i="109"/>
  <c r="Y9" i="109" s="1"/>
  <c r="Z9" i="109" s="1"/>
  <c r="S62" i="109"/>
  <c r="S65" i="109" s="1"/>
  <c r="V3" i="65" s="1"/>
  <c r="V5" i="65" s="1"/>
  <c r="T62" i="109"/>
  <c r="T65" i="109" s="1"/>
  <c r="X62" i="69" s="1"/>
  <c r="W62" i="109"/>
  <c r="W65" i="109" s="1"/>
  <c r="Z3" i="65" s="1"/>
  <c r="Z5" i="65" s="1"/>
  <c r="AA15" i="125"/>
  <c r="AB16" i="125" s="1"/>
  <c r="AC17" i="125" s="1"/>
  <c r="AD18" i="125" s="1"/>
  <c r="AE19" i="125" s="1"/>
  <c r="AF20" i="125" s="1"/>
  <c r="AG21" i="125" s="1"/>
  <c r="AH22" i="125" s="1"/>
  <c r="AI23" i="125" s="1"/>
  <c r="AJ24" i="125" s="1"/>
  <c r="AK25" i="125" s="1"/>
  <c r="AL26" i="125" s="1"/>
  <c r="AM27" i="125" s="1"/>
  <c r="AN28" i="125" s="1"/>
  <c r="AO29" i="125" s="1"/>
  <c r="AP30" i="125" s="1"/>
  <c r="AQ31" i="125" s="1"/>
  <c r="AR32" i="125" s="1"/>
  <c r="AS33" i="125" s="1"/>
  <c r="AT34" i="125" s="1"/>
  <c r="AU35" i="125" s="1"/>
  <c r="AV36" i="125" s="1"/>
  <c r="AW37" i="125" s="1"/>
  <c r="Y15" i="125"/>
  <c r="Z16" i="125" s="1"/>
  <c r="AA17" i="125" s="1"/>
  <c r="AB18" i="125" s="1"/>
  <c r="AC19" i="125" s="1"/>
  <c r="AD20" i="125" s="1"/>
  <c r="AE21" i="125" s="1"/>
  <c r="AF22" i="125" s="1"/>
  <c r="AG23" i="125" s="1"/>
  <c r="AH24" i="125" s="1"/>
  <c r="AI25" i="125" s="1"/>
  <c r="AJ26" i="125" s="1"/>
  <c r="X63" i="125"/>
  <c r="X66" i="125" s="1"/>
  <c r="X69" i="125" s="1"/>
  <c r="Z15" i="115"/>
  <c r="Y15" i="115"/>
  <c r="Z16" i="115" s="1"/>
  <c r="AA17" i="115" s="1"/>
  <c r="AB18" i="115" s="1"/>
  <c r="AC19" i="115" s="1"/>
  <c r="AD20" i="115" s="1"/>
  <c r="AE21" i="115" s="1"/>
  <c r="AF22" i="115" s="1"/>
  <c r="AG23" i="115" s="1"/>
  <c r="AH24" i="115" s="1"/>
  <c r="AI25" i="115" s="1"/>
  <c r="AJ26" i="115" s="1"/>
  <c r="X63" i="115"/>
  <c r="X66" i="115" s="1"/>
  <c r="AB16" i="109"/>
  <c r="AI23" i="109"/>
  <c r="Y13" i="109"/>
  <c r="AA15" i="109"/>
  <c r="AH22" i="109"/>
  <c r="AK25" i="109"/>
  <c r="AG21" i="109"/>
  <c r="AC17" i="109"/>
  <c r="Z14" i="109"/>
  <c r="AD18" i="109"/>
  <c r="AJ24" i="109"/>
  <c r="AF20" i="109"/>
  <c r="AE19" i="109"/>
  <c r="AI24" i="109"/>
  <c r="X13" i="109"/>
  <c r="X62" i="109" s="1"/>
  <c r="X65" i="109" s="1"/>
  <c r="AH23" i="109"/>
  <c r="AA16" i="109"/>
  <c r="Z15" i="109"/>
  <c r="AB17" i="109"/>
  <c r="AC18" i="109"/>
  <c r="AE20" i="109"/>
  <c r="AD19" i="109"/>
  <c r="AG22" i="109"/>
  <c r="Y14" i="109"/>
  <c r="AF21" i="109"/>
  <c r="AJ25" i="109"/>
  <c r="AQ38" i="109"/>
  <c r="AI30" i="109"/>
  <c r="AW44" i="109"/>
  <c r="AN35" i="109"/>
  <c r="AP37" i="109"/>
  <c r="AK32" i="109"/>
  <c r="AG28" i="109"/>
  <c r="AV43" i="109"/>
  <c r="AM34" i="109"/>
  <c r="AH29" i="109"/>
  <c r="AJ31" i="109"/>
  <c r="AF27" i="109"/>
  <c r="AT41" i="109"/>
  <c r="AO36" i="109"/>
  <c r="AL33" i="109"/>
  <c r="AU42" i="109"/>
  <c r="AE26" i="109"/>
  <c r="AS40" i="109"/>
  <c r="AR39" i="109"/>
  <c r="Z15" i="125"/>
  <c r="AA16" i="125" s="1"/>
  <c r="AB17" i="125" s="1"/>
  <c r="AC18" i="125" s="1"/>
  <c r="AD19" i="125" s="1"/>
  <c r="AE20" i="125" s="1"/>
  <c r="AF21" i="125" s="1"/>
  <c r="AG22" i="125" s="1"/>
  <c r="AH23" i="125" s="1"/>
  <c r="AI24" i="125" s="1"/>
  <c r="AJ25" i="125" s="1"/>
  <c r="AK26" i="125" s="1"/>
  <c r="AL27" i="125" s="1"/>
  <c r="AM28" i="125" s="1"/>
  <c r="AN29" i="125" s="1"/>
  <c r="AO30" i="125" s="1"/>
  <c r="AP31" i="125" s="1"/>
  <c r="AQ32" i="125" s="1"/>
  <c r="AR33" i="125" s="1"/>
  <c r="AS34" i="125" s="1"/>
  <c r="AT35" i="125" s="1"/>
  <c r="AU36" i="125" s="1"/>
  <c r="AV37" i="125" s="1"/>
  <c r="AW38" i="125" s="1"/>
  <c r="AW36" i="109"/>
  <c r="AP29" i="109"/>
  <c r="AO28" i="109"/>
  <c r="AT33" i="109"/>
  <c r="AV35" i="109"/>
  <c r="AN27" i="109"/>
  <c r="AM26" i="109"/>
  <c r="AU34" i="109"/>
  <c r="AR31" i="109"/>
  <c r="AQ30" i="109"/>
  <c r="AS32" i="109"/>
  <c r="AQ35" i="109"/>
  <c r="AU39" i="109"/>
  <c r="AH26" i="109"/>
  <c r="AK29" i="109"/>
  <c r="AS37" i="109"/>
  <c r="AJ28" i="109"/>
  <c r="AO33" i="109"/>
  <c r="AV40" i="109"/>
  <c r="AR36" i="109"/>
  <c r="AT38" i="109"/>
  <c r="AI27" i="109"/>
  <c r="AL30" i="109"/>
  <c r="AW41" i="109"/>
  <c r="AN32" i="109"/>
  <c r="AP34" i="109"/>
  <c r="AM31" i="109"/>
  <c r="U62" i="109"/>
  <c r="U65" i="109" s="1"/>
  <c r="AG27" i="109"/>
  <c r="AI29" i="109"/>
  <c r="AS39" i="109"/>
  <c r="AL32" i="109"/>
  <c r="AW43" i="109"/>
  <c r="AQ37" i="109"/>
  <c r="AV42" i="109"/>
  <c r="AT40" i="109"/>
  <c r="AU41" i="109"/>
  <c r="AP36" i="109"/>
  <c r="AM33" i="109"/>
  <c r="AF26" i="109"/>
  <c r="AO35" i="109"/>
  <c r="AR38" i="109"/>
  <c r="AK31" i="109"/>
  <c r="AN34" i="109"/>
  <c r="AJ30" i="109"/>
  <c r="AH28" i="109"/>
  <c r="V62" i="109"/>
  <c r="V65" i="109" s="1"/>
  <c r="AL28" i="109"/>
  <c r="AK27" i="109"/>
  <c r="AR34" i="109"/>
  <c r="AS35" i="109"/>
  <c r="AT36" i="109"/>
  <c r="AJ26" i="109"/>
  <c r="AP32" i="109"/>
  <c r="AN30" i="109"/>
  <c r="AM29" i="109"/>
  <c r="AQ33" i="109"/>
  <c r="AU37" i="109"/>
  <c r="AO31" i="109"/>
  <c r="AW39" i="109"/>
  <c r="AV38" i="109"/>
  <c r="AW42" i="109"/>
  <c r="AI28" i="109"/>
  <c r="AV41" i="109"/>
  <c r="AT39" i="109"/>
  <c r="AJ29" i="109"/>
  <c r="AO34" i="109"/>
  <c r="AG26" i="109"/>
  <c r="AH27" i="109"/>
  <c r="AS38" i="109"/>
  <c r="AN33" i="109"/>
  <c r="AK30" i="109"/>
  <c r="AR37" i="109"/>
  <c r="AQ36" i="109"/>
  <c r="AU40" i="109"/>
  <c r="AL31" i="109"/>
  <c r="AP35" i="109"/>
  <c r="AM32" i="109"/>
  <c r="AS36" i="109"/>
  <c r="AT37" i="109"/>
  <c r="AR35" i="109"/>
  <c r="AJ27" i="109"/>
  <c r="AI26" i="109"/>
  <c r="AN31" i="109"/>
  <c r="AW40" i="109"/>
  <c r="AL29" i="109"/>
  <c r="AO32" i="109"/>
  <c r="AQ34" i="109"/>
  <c r="AP33" i="109"/>
  <c r="AM30" i="109"/>
  <c r="AU38" i="109"/>
  <c r="AK28" i="109"/>
  <c r="AV39" i="109"/>
  <c r="U3" i="65"/>
  <c r="U5" i="65" s="1"/>
  <c r="R68" i="109"/>
  <c r="U10" i="65"/>
  <c r="U11" i="65" s="1"/>
  <c r="AB17" i="126"/>
  <c r="AA45" i="107" s="1"/>
  <c r="Z54" i="132"/>
  <c r="AA17" i="126"/>
  <c r="Z45" i="107" s="1"/>
  <c r="Y54" i="132"/>
  <c r="I33" i="116" l="1"/>
  <c r="Z66" i="34"/>
  <c r="Z34" i="34"/>
  <c r="X34" i="34"/>
  <c r="X66" i="34"/>
  <c r="I12" i="85"/>
  <c r="I13" i="85" s="1"/>
  <c r="I28" i="57"/>
  <c r="Z10" i="65"/>
  <c r="Z11" i="65" s="1"/>
  <c r="W68" i="109"/>
  <c r="AA62" i="69"/>
  <c r="AB63" i="69" s="1"/>
  <c r="S68" i="109"/>
  <c r="V10" i="65"/>
  <c r="V11" i="65" s="1"/>
  <c r="Y62" i="109"/>
  <c r="Y65" i="109" s="1"/>
  <c r="AB3" i="65" s="1"/>
  <c r="AB5" i="65" s="1"/>
  <c r="Y63" i="125"/>
  <c r="Y66" i="125" s="1"/>
  <c r="Y69" i="125" s="1"/>
  <c r="W10" i="65"/>
  <c r="W11" i="65" s="1"/>
  <c r="W3" i="65"/>
  <c r="W5" i="65" s="1"/>
  <c r="Z62" i="109"/>
  <c r="Z65" i="109" s="1"/>
  <c r="AC3" i="65" s="1"/>
  <c r="AC5" i="65" s="1"/>
  <c r="AA11" i="11" s="1"/>
  <c r="T68" i="109"/>
  <c r="AB62" i="69"/>
  <c r="AC63" i="69" s="1"/>
  <c r="AA3" i="65"/>
  <c r="AA5" i="65" s="1"/>
  <c r="AA10" i="65"/>
  <c r="AA11" i="65" s="1"/>
  <c r="X68" i="109"/>
  <c r="Y62" i="69"/>
  <c r="Z63" i="69" s="1"/>
  <c r="X3" i="65"/>
  <c r="X5" i="65" s="1"/>
  <c r="X10" i="65"/>
  <c r="X11" i="65" s="1"/>
  <c r="U68" i="109"/>
  <c r="AS34" i="109"/>
  <c r="AU36" i="109"/>
  <c r="AO30" i="109"/>
  <c r="AW38" i="109"/>
  <c r="AV37" i="109"/>
  <c r="AL27" i="109"/>
  <c r="AP31" i="109"/>
  <c r="AK26" i="109"/>
  <c r="AN29" i="109"/>
  <c r="AM28" i="109"/>
  <c r="AT35" i="109"/>
  <c r="AQ32" i="109"/>
  <c r="AR33" i="109"/>
  <c r="AT36" i="125"/>
  <c r="AS35" i="125"/>
  <c r="AR34" i="125"/>
  <c r="AW39" i="125"/>
  <c r="AO31" i="125"/>
  <c r="AK27" i="125"/>
  <c r="AQ33" i="125"/>
  <c r="AU37" i="125"/>
  <c r="AL28" i="125"/>
  <c r="AV38" i="125"/>
  <c r="AN30" i="125"/>
  <c r="AM29" i="125"/>
  <c r="AP32" i="125"/>
  <c r="Y10" i="65"/>
  <c r="Y11" i="65" s="1"/>
  <c r="V68" i="109"/>
  <c r="Z62" i="69"/>
  <c r="AA63" i="69" s="1"/>
  <c r="Y3" i="65"/>
  <c r="Y5" i="65" s="1"/>
  <c r="Y63" i="115"/>
  <c r="Y66" i="115" s="1"/>
  <c r="AA16" i="115"/>
  <c r="Z63" i="115"/>
  <c r="Z66" i="115" s="1"/>
  <c r="X69" i="115"/>
  <c r="AA7" i="67"/>
  <c r="AA11" i="67" s="1"/>
  <c r="AA27" i="34" s="1"/>
  <c r="Z63" i="125"/>
  <c r="Z66" i="125" s="1"/>
  <c r="AC11" i="34" s="1"/>
  <c r="X68" i="69"/>
  <c r="X65" i="69"/>
  <c r="Y61" i="69" s="1"/>
  <c r="Y63" i="69"/>
  <c r="AQ31" i="109"/>
  <c r="AN28" i="109"/>
  <c r="AW37" i="109"/>
  <c r="AU35" i="109"/>
  <c r="AM27" i="109"/>
  <c r="AP30" i="109"/>
  <c r="AT34" i="109"/>
  <c r="AL26" i="109"/>
  <c r="AS33" i="109"/>
  <c r="AO29" i="109"/>
  <c r="AV36" i="109"/>
  <c r="AR32" i="109"/>
  <c r="AN30" i="115"/>
  <c r="AK27" i="115"/>
  <c r="AM29" i="115"/>
  <c r="AW39" i="115"/>
  <c r="AV38" i="115"/>
  <c r="AU37" i="115"/>
  <c r="AQ33" i="115"/>
  <c r="AL28" i="115"/>
  <c r="AS35" i="115"/>
  <c r="AO31" i="115"/>
  <c r="AT36" i="115"/>
  <c r="AR34" i="115"/>
  <c r="AP32" i="115"/>
  <c r="Z56" i="132"/>
  <c r="Z18" i="11" s="1"/>
  <c r="Y56" i="132"/>
  <c r="Y18" i="11" s="1"/>
  <c r="AA39" i="34" s="1"/>
  <c r="D36" i="85"/>
  <c r="AA68" i="69" l="1"/>
  <c r="AC12" i="34"/>
  <c r="AA13" i="11"/>
  <c r="AC29" i="34" s="1"/>
  <c r="I60" i="57"/>
  <c r="I62" i="57" s="1"/>
  <c r="I29" i="57"/>
  <c r="X69" i="34"/>
  <c r="X74" i="34"/>
  <c r="I19" i="85"/>
  <c r="I27" i="85" s="1"/>
  <c r="I14" i="85"/>
  <c r="Z74" i="34"/>
  <c r="Z78" i="34" s="1"/>
  <c r="Z82" i="34" s="1"/>
  <c r="Z69" i="34"/>
  <c r="AC10" i="65"/>
  <c r="AC11" i="65" s="1"/>
  <c r="AA8" i="11" s="1"/>
  <c r="AC26" i="34" s="1"/>
  <c r="Y68" i="109"/>
  <c r="AB10" i="65"/>
  <c r="AB11" i="65" s="1"/>
  <c r="AB26" i="34" s="1"/>
  <c r="AD62" i="69"/>
  <c r="AE63" i="69" s="1"/>
  <c r="Y68" i="69"/>
  <c r="AB7" i="67"/>
  <c r="AB11" i="67" s="1"/>
  <c r="AB27" i="34" s="1"/>
  <c r="E26" i="58" s="1"/>
  <c r="Y69" i="115"/>
  <c r="AC62" i="69"/>
  <c r="AD63" i="69" s="1"/>
  <c r="Z68" i="69"/>
  <c r="AB68" i="69"/>
  <c r="AC7" i="67"/>
  <c r="AC11" i="67" s="1"/>
  <c r="Y65" i="69"/>
  <c r="Z61" i="69" s="1"/>
  <c r="Z65" i="69" s="1"/>
  <c r="AA61" i="69" s="1"/>
  <c r="AA65" i="69" s="1"/>
  <c r="AB61" i="69" s="1"/>
  <c r="AB65" i="69" s="1"/>
  <c r="AC61" i="69" s="1"/>
  <c r="AB17" i="115"/>
  <c r="AB29" i="34"/>
  <c r="AA26" i="34"/>
  <c r="AA30" i="34" s="1"/>
  <c r="Y10" i="11"/>
  <c r="Y49" i="11" s="1"/>
  <c r="Z19" i="11"/>
  <c r="Z40" i="11" s="1"/>
  <c r="AB39" i="34"/>
  <c r="AB40" i="34" s="1"/>
  <c r="AB63" i="34" s="1"/>
  <c r="AA9" i="11" l="1"/>
  <c r="AA10" i="11" s="1"/>
  <c r="AC17" i="34"/>
  <c r="X78" i="34"/>
  <c r="I67" i="57"/>
  <c r="Z9" i="70"/>
  <c r="Z19" i="70" s="1"/>
  <c r="Z86" i="34"/>
  <c r="Z85" i="34"/>
  <c r="AB30" i="34"/>
  <c r="AD68" i="69"/>
  <c r="F26" i="58"/>
  <c r="AC65" i="69"/>
  <c r="AC29" i="69" s="1"/>
  <c r="Z10" i="11"/>
  <c r="AA33" i="34"/>
  <c r="F25" i="58"/>
  <c r="E25" i="58"/>
  <c r="AC18" i="115"/>
  <c r="AC68" i="69"/>
  <c r="E28" i="58"/>
  <c r="F28" i="58"/>
  <c r="J34" i="57"/>
  <c r="F38" i="58"/>
  <c r="E38" i="58"/>
  <c r="AC28" i="69"/>
  <c r="Z40" i="70" l="1"/>
  <c r="Z41" i="70" s="1"/>
  <c r="AA8" i="69" s="1"/>
  <c r="AA39" i="70" s="1"/>
  <c r="Z42" i="70" s="1"/>
  <c r="AC27" i="34"/>
  <c r="AC30" i="34" s="1"/>
  <c r="I71" i="57"/>
  <c r="X82" i="34"/>
  <c r="AB17" i="70"/>
  <c r="AC30" i="69"/>
  <c r="AC33" i="69" s="1"/>
  <c r="AC36" i="69" s="1"/>
  <c r="AD61" i="69"/>
  <c r="AD65" i="69" s="1"/>
  <c r="AD29" i="69" s="1"/>
  <c r="AC17" i="70" s="1"/>
  <c r="F29" i="58"/>
  <c r="J25" i="57"/>
  <c r="J12" i="85" s="1"/>
  <c r="S12" i="85" s="1"/>
  <c r="AA34" i="34"/>
  <c r="AA49" i="11"/>
  <c r="AC20" i="34"/>
  <c r="AD19" i="115"/>
  <c r="E29" i="58"/>
  <c r="AB28" i="69"/>
  <c r="AA12" i="69" l="1"/>
  <c r="AA24" i="69" s="1"/>
  <c r="AA53" i="69" s="1"/>
  <c r="AE61" i="69"/>
  <c r="X86" i="34"/>
  <c r="X9" i="70"/>
  <c r="X19" i="70" s="1"/>
  <c r="X85" i="34"/>
  <c r="I75" i="57"/>
  <c r="AD30" i="69"/>
  <c r="AB16" i="70"/>
  <c r="Z49" i="11"/>
  <c r="AC22" i="34"/>
  <c r="AB22" i="34"/>
  <c r="AB33" i="34" s="1"/>
  <c r="F19" i="58"/>
  <c r="F21" i="58" s="1"/>
  <c r="F32" i="58" s="1"/>
  <c r="J15" i="57"/>
  <c r="J17" i="57" s="1"/>
  <c r="E19" i="58"/>
  <c r="E21" i="58" s="1"/>
  <c r="E32" i="58" s="1"/>
  <c r="AE20" i="115"/>
  <c r="AB33" i="69"/>
  <c r="AB36" i="69" s="1"/>
  <c r="AA15" i="70"/>
  <c r="AB15" i="70"/>
  <c r="K22" i="116" l="1"/>
  <c r="X40" i="70"/>
  <c r="X41" i="70" s="1"/>
  <c r="X42" i="70" s="1"/>
  <c r="I36" i="116"/>
  <c r="AD9" i="69"/>
  <c r="AE30" i="69"/>
  <c r="AC16" i="70"/>
  <c r="T22" i="116"/>
  <c r="J6" i="85"/>
  <c r="J28" i="57"/>
  <c r="F33" i="58"/>
  <c r="AB66" i="34"/>
  <c r="AB74" i="34" s="1"/>
  <c r="AF21" i="115"/>
  <c r="AC33" i="34"/>
  <c r="E33" i="58"/>
  <c r="K24" i="116" l="1"/>
  <c r="J11" i="85"/>
  <c r="S11" i="85"/>
  <c r="AF30" i="69"/>
  <c r="AD16" i="70"/>
  <c r="AC34" i="34"/>
  <c r="J29" i="57"/>
  <c r="AK13" i="116"/>
  <c r="AK14" i="116" s="1"/>
  <c r="AK15" i="116" s="1"/>
  <c r="J13" i="85"/>
  <c r="S6" i="85"/>
  <c r="J8" i="85"/>
  <c r="J26" i="85"/>
  <c r="AB34" i="34"/>
  <c r="AG22" i="115"/>
  <c r="AB13" i="70"/>
  <c r="J23" i="85"/>
  <c r="AC13" i="70"/>
  <c r="AG30" i="69" l="1"/>
  <c r="AE16" i="70"/>
  <c r="AH23" i="115"/>
  <c r="J10" i="85"/>
  <c r="J9" i="85"/>
  <c r="S8" i="85"/>
  <c r="S26" i="85"/>
  <c r="S13" i="85"/>
  <c r="S14" i="85" s="1"/>
  <c r="J14" i="85"/>
  <c r="AB69" i="34"/>
  <c r="S23" i="85"/>
  <c r="J24" i="85"/>
  <c r="AB50" i="69"/>
  <c r="AH30" i="69" l="1"/>
  <c r="AF16" i="70"/>
  <c r="AI24" i="115"/>
  <c r="AB78" i="34"/>
  <c r="AB82" i="34" s="1"/>
  <c r="S9" i="85"/>
  <c r="S28" i="85"/>
  <c r="S29" i="85" s="1"/>
  <c r="AA84" i="34"/>
  <c r="AB51" i="69"/>
  <c r="AB52" i="69" s="1"/>
  <c r="AI30" i="69" l="1"/>
  <c r="AG16" i="70"/>
  <c r="AJ25" i="115"/>
  <c r="AJ30" i="69" l="1"/>
  <c r="AH16" i="70"/>
  <c r="AB9" i="70"/>
  <c r="AB19" i="70" s="1"/>
  <c r="AC50" i="69"/>
  <c r="AB84" i="34" s="1"/>
  <c r="AK26" i="115"/>
  <c r="AK30" i="69" l="1"/>
  <c r="AI16" i="70"/>
  <c r="AL27" i="115"/>
  <c r="AB85" i="34"/>
  <c r="AC51" i="69"/>
  <c r="AC52" i="69" s="1"/>
  <c r="AB40" i="70"/>
  <c r="AL30" i="69" l="1"/>
  <c r="AJ16" i="70"/>
  <c r="AM28" i="115"/>
  <c r="AB86" i="34"/>
  <c r="AM30" i="69" l="1"/>
  <c r="AK16" i="70"/>
  <c r="AN29" i="115"/>
  <c r="AN30" i="69" l="1"/>
  <c r="AL16" i="70"/>
  <c r="AO30" i="115"/>
  <c r="AO30" i="69" l="1"/>
  <c r="AM16" i="70"/>
  <c r="AP31" i="115"/>
  <c r="AP30" i="69" l="1"/>
  <c r="AN16" i="70"/>
  <c r="AQ32" i="115"/>
  <c r="AQ30" i="69" l="1"/>
  <c r="AO16" i="70"/>
  <c r="AR33" i="115"/>
  <c r="AR30" i="69" l="1"/>
  <c r="AP16" i="70"/>
  <c r="AS34" i="115"/>
  <c r="AS30" i="69" l="1"/>
  <c r="AQ16" i="70"/>
  <c r="AT35" i="115"/>
  <c r="AT30" i="69" l="1"/>
  <c r="AR16" i="70"/>
  <c r="AU36" i="115"/>
  <c r="AU30" i="69" l="1"/>
  <c r="AS16" i="70"/>
  <c r="AV37" i="115"/>
  <c r="AV30" i="69" l="1"/>
  <c r="AT16" i="70"/>
  <c r="AW38" i="115"/>
  <c r="AW30" i="69" l="1"/>
  <c r="AU16" i="70"/>
  <c r="AX30" i="69" l="1"/>
  <c r="AV16" i="70"/>
  <c r="AY30" i="69" l="1"/>
  <c r="AW16" i="70"/>
  <c r="AZ30" i="69" l="1"/>
  <c r="AX16" i="70"/>
  <c r="BA30" i="69" l="1"/>
  <c r="AY16" i="70"/>
  <c r="BB30" i="69" l="1"/>
  <c r="AZ16" i="70"/>
  <c r="BC30" i="69" l="1"/>
  <c r="BA16" i="70"/>
  <c r="BD30" i="69" l="1"/>
  <c r="BB16" i="70"/>
  <c r="BE30" i="69" l="1"/>
  <c r="BC16" i="70"/>
  <c r="BF30" i="69" l="1"/>
  <c r="BD16" i="70"/>
  <c r="BG30" i="69" l="1"/>
  <c r="BE16" i="70"/>
  <c r="BH30" i="69" l="1"/>
  <c r="BF16" i="70"/>
  <c r="BI30" i="69" l="1"/>
  <c r="BG16" i="70"/>
  <c r="BJ30" i="69" l="1"/>
  <c r="BH16" i="70"/>
  <c r="BK30" i="69" l="1"/>
  <c r="BI16" i="70"/>
  <c r="BL30" i="69" l="1"/>
  <c r="BJ16" i="70"/>
  <c r="BM30" i="69" l="1"/>
  <c r="BK16" i="70"/>
  <c r="BN30" i="69" l="1"/>
  <c r="BL16" i="70"/>
  <c r="BO30" i="69" l="1"/>
  <c r="BM16" i="70"/>
  <c r="BP30" i="69" l="1"/>
  <c r="BN16" i="70"/>
  <c r="BQ30" i="69" l="1"/>
  <c r="BO16" i="70"/>
  <c r="BR30" i="69" l="1"/>
  <c r="BP16" i="70"/>
  <c r="BS30" i="69" l="1"/>
  <c r="BQ16" i="70"/>
  <c r="BT30" i="69" l="1"/>
  <c r="BR16" i="70"/>
  <c r="BU30" i="69" l="1"/>
  <c r="BS16" i="70"/>
  <c r="BV30" i="69" l="1"/>
  <c r="BT16" i="70"/>
  <c r="BW30" i="69" l="1"/>
  <c r="BU16" i="70"/>
  <c r="BX30" i="69" l="1"/>
  <c r="BY30" i="69" s="1"/>
  <c r="BV16" i="70"/>
  <c r="AG61" i="81" l="1"/>
  <c r="AC8" i="69"/>
  <c r="AC39" i="70" s="1"/>
  <c r="AB8" i="69"/>
  <c r="AB12" i="69" s="1"/>
  <c r="AC24" i="69"/>
  <c r="AC53" i="69" s="1"/>
  <c r="AB24" i="69"/>
  <c r="AB53" i="69" s="1"/>
  <c r="AB39" i="70" l="1"/>
  <c r="AB41" i="70" s="1"/>
  <c r="AB42" i="70" s="1"/>
  <c r="AC12" i="69"/>
  <c r="J21" i="85"/>
  <c r="S21" i="85" s="1"/>
  <c r="AC1525" i="123"/>
  <c r="AC1528" i="123" s="1"/>
  <c r="Y17" i="11"/>
  <c r="AA38" i="34" l="1"/>
  <c r="Y19" i="11"/>
  <c r="Y40" i="11" s="1"/>
  <c r="E37" i="58" l="1"/>
  <c r="E39" i="58" s="1"/>
  <c r="E64" i="58" s="1"/>
  <c r="E66" i="58" s="1"/>
  <c r="AA40" i="34"/>
  <c r="AA63" i="34" s="1"/>
  <c r="F37" i="58"/>
  <c r="F39" i="58" s="1"/>
  <c r="F64" i="58" s="1"/>
  <c r="F66" i="58" s="1"/>
  <c r="J33" i="57"/>
  <c r="J35" i="57" s="1"/>
  <c r="J15" i="85" l="1"/>
  <c r="J60" i="57"/>
  <c r="J62" i="57" s="1"/>
  <c r="J58" i="57"/>
  <c r="J18" i="85" s="1"/>
  <c r="AA66" i="34"/>
  <c r="E62" i="58"/>
  <c r="AA69" i="34" l="1"/>
  <c r="AA74" i="34"/>
  <c r="S18" i="85"/>
  <c r="J19" i="85"/>
  <c r="K19" i="116"/>
  <c r="K33" i="116" s="1"/>
  <c r="S15" i="85"/>
  <c r="T19" i="116" l="1"/>
  <c r="T33" i="116" s="1"/>
  <c r="S19" i="85"/>
  <c r="S27" i="85" s="1"/>
  <c r="J27" i="85"/>
  <c r="F71" i="58"/>
  <c r="J67" i="57"/>
  <c r="AA78" i="34"/>
  <c r="E71" i="58"/>
  <c r="J71" i="57" l="1"/>
  <c r="F75" i="58"/>
  <c r="AA82" i="34"/>
  <c r="E75" i="58"/>
  <c r="AA85" i="34" l="1"/>
  <c r="J75" i="57"/>
  <c r="E79" i="58"/>
  <c r="F79" i="58"/>
  <c r="AA9" i="70"/>
  <c r="AA19" i="70" s="1"/>
  <c r="AA86" i="34"/>
  <c r="K36" i="116" l="1"/>
  <c r="AA40" i="70"/>
  <c r="AA41" i="70" s="1"/>
  <c r="AA42" i="70" s="1"/>
  <c r="K38" i="116" l="1"/>
  <c r="J20" i="85" s="1"/>
  <c r="T36" i="116"/>
  <c r="S20" i="85" l="1"/>
  <c r="T38" i="116" l="1"/>
  <c r="J22" i="85"/>
  <c r="G63" i="85"/>
  <c r="AK42" i="116"/>
  <c r="AK49" i="116" s="1"/>
  <c r="AG49" i="116" s="1"/>
  <c r="S22" i="85" l="1"/>
  <c r="K30" i="116" l="1"/>
  <c r="K32" i="116" s="1"/>
  <c r="K34" i="116" s="1"/>
  <c r="T24" i="116"/>
  <c r="T30" i="116" l="1"/>
  <c r="T32" i="116" s="1"/>
  <c r="T34" i="116" s="1"/>
  <c r="B62" i="116"/>
  <c r="AC48" i="126" l="1"/>
  <c r="AC9" i="126" s="1"/>
  <c r="AC10" i="126" l="1"/>
  <c r="AB46" i="107"/>
  <c r="AA54" i="132"/>
  <c r="AA56" i="132" s="1"/>
  <c r="AA18" i="11" s="1"/>
  <c r="AC51" i="126"/>
  <c r="AC50" i="126"/>
  <c r="AC15" i="126" l="1"/>
  <c r="AC16" i="126" s="1"/>
  <c r="AC17" i="126" s="1"/>
  <c r="AB45" i="107" s="1"/>
  <c r="AA19" i="11"/>
  <c r="AA40" i="11" s="1"/>
  <c r="AC39" i="34"/>
  <c r="AC52" i="126"/>
  <c r="AC40" i="34" l="1"/>
  <c r="AC63" i="34" s="1"/>
  <c r="AC66" i="34" l="1"/>
  <c r="AD28" i="69"/>
  <c r="AC69" i="34" l="1"/>
  <c r="AC74" i="34"/>
  <c r="AD33" i="69"/>
  <c r="AD36" i="69" s="1"/>
  <c r="AC15" i="70"/>
  <c r="AC78" i="34" l="1"/>
  <c r="AC82" i="34" l="1"/>
  <c r="AC9" i="70" l="1"/>
  <c r="AC19" i="70" s="1"/>
  <c r="AD50" i="69"/>
  <c r="AC84" i="34" l="1"/>
  <c r="AD51" i="69"/>
  <c r="AD52" i="69" s="1"/>
  <c r="AC40" i="70"/>
  <c r="AC41" i="70" s="1"/>
  <c r="AD8" i="69" s="1"/>
  <c r="AD12" i="69" l="1"/>
  <c r="AD24" i="69" s="1"/>
  <c r="AD53" i="69" s="1"/>
  <c r="AD39" i="70"/>
  <c r="AC86" i="34"/>
  <c r="AC85" i="34"/>
  <c r="AC42" i="70" l="1"/>
  <c r="AD48" i="126"/>
  <c r="AD9" i="126" s="1"/>
  <c r="AC46" i="107" l="1"/>
  <c r="AD10" i="126"/>
  <c r="AB54" i="132"/>
  <c r="AB56" i="132" s="1"/>
  <c r="AB18" i="11" s="1"/>
  <c r="AD50" i="126"/>
  <c r="AD51" i="126"/>
  <c r="AD15" i="126" l="1"/>
  <c r="AD16" i="126" s="1"/>
  <c r="AD17" i="126" s="1"/>
  <c r="AC45" i="107" s="1"/>
  <c r="AA6" i="109"/>
  <c r="AA6" i="125"/>
  <c r="AA6" i="115"/>
  <c r="AA14" i="115" s="1"/>
  <c r="AB19" i="11"/>
  <c r="AB40" i="11" s="1"/>
  <c r="AD39" i="34"/>
  <c r="AD52" i="126"/>
  <c r="AA14" i="125" l="1"/>
  <c r="AD40" i="34"/>
  <c r="AD63" i="34" s="1"/>
  <c r="AL24" i="109"/>
  <c r="AI21" i="109"/>
  <c r="AD16" i="109"/>
  <c r="AA9" i="109"/>
  <c r="AH20" i="109"/>
  <c r="AB14" i="109"/>
  <c r="AC15" i="109"/>
  <c r="AF18" i="109"/>
  <c r="AJ22" i="109"/>
  <c r="AE17" i="109"/>
  <c r="AG19" i="109"/>
  <c r="AK23" i="109"/>
  <c r="AM25" i="109"/>
  <c r="AA13" i="109"/>
  <c r="AA62" i="109" s="1"/>
  <c r="AA65" i="109" s="1"/>
  <c r="AA63" i="115"/>
  <c r="AA66" i="115" s="1"/>
  <c r="AB15" i="115"/>
  <c r="AC16" i="115" s="1"/>
  <c r="AD17" i="115" s="1"/>
  <c r="AE18" i="115" s="1"/>
  <c r="AF19" i="115" s="1"/>
  <c r="AG20" i="115" s="1"/>
  <c r="AH21" i="115" s="1"/>
  <c r="AI22" i="115" s="1"/>
  <c r="AJ23" i="115" s="1"/>
  <c r="AK24" i="115" s="1"/>
  <c r="AL25" i="115" s="1"/>
  <c r="AM26" i="115" s="1"/>
  <c r="AN27" i="115" s="1"/>
  <c r="AO28" i="115" s="1"/>
  <c r="AP29" i="115" s="1"/>
  <c r="AQ30" i="115" s="1"/>
  <c r="AR31" i="115" s="1"/>
  <c r="AS32" i="115" s="1"/>
  <c r="AT33" i="115" s="1"/>
  <c r="AU34" i="115" s="1"/>
  <c r="AV35" i="115" s="1"/>
  <c r="AW36" i="115" s="1"/>
  <c r="AD3" i="65" l="1"/>
  <c r="AD5" i="65" s="1"/>
  <c r="AB11" i="11" s="1"/>
  <c r="AD20" i="34" s="1"/>
  <c r="AD10" i="65"/>
  <c r="AD11" i="65" s="1"/>
  <c r="AB8" i="11" s="1"/>
  <c r="AU33" i="109"/>
  <c r="AW35" i="109"/>
  <c r="AR30" i="109"/>
  <c r="AV34" i="109"/>
  <c r="AQ29" i="109"/>
  <c r="AS31" i="109"/>
  <c r="AT32" i="109"/>
  <c r="AN26" i="109"/>
  <c r="AP28" i="109"/>
  <c r="AO27" i="109"/>
  <c r="AB15" i="125"/>
  <c r="AC16" i="125" s="1"/>
  <c r="AD17" i="125" s="1"/>
  <c r="AE18" i="125" s="1"/>
  <c r="AF19" i="125" s="1"/>
  <c r="AG20" i="125" s="1"/>
  <c r="AH21" i="125" s="1"/>
  <c r="AI22" i="125" s="1"/>
  <c r="AJ23" i="125" s="1"/>
  <c r="AK24" i="125" s="1"/>
  <c r="AL25" i="125" s="1"/>
  <c r="AM26" i="125" s="1"/>
  <c r="AN27" i="125" s="1"/>
  <c r="AO28" i="125" s="1"/>
  <c r="AP29" i="125" s="1"/>
  <c r="AQ30" i="125" s="1"/>
  <c r="AR31" i="125" s="1"/>
  <c r="AS32" i="125" s="1"/>
  <c r="AT33" i="125" s="1"/>
  <c r="AU34" i="125" s="1"/>
  <c r="AV35" i="125" s="1"/>
  <c r="AW36" i="125" s="1"/>
  <c r="AA63" i="125"/>
  <c r="AA66" i="125" s="1"/>
  <c r="AD11" i="34" s="1"/>
  <c r="AD12" i="34"/>
  <c r="AD7" i="67" l="1"/>
  <c r="AD11" i="67" s="1"/>
  <c r="AB9" i="11" s="1"/>
  <c r="AD27" i="34" s="1"/>
  <c r="AE62" i="69"/>
  <c r="AD26" i="34"/>
  <c r="AD17" i="34"/>
  <c r="AD22" i="34" s="1"/>
  <c r="AB13" i="11"/>
  <c r="AD29" i="34" s="1"/>
  <c r="AD30" i="34" s="1"/>
  <c r="AB10" i="11" l="1"/>
  <c r="AB49" i="11" s="1"/>
  <c r="AD33" i="34"/>
  <c r="AE9" i="69"/>
  <c r="AE28" i="69"/>
  <c r="AE68" i="69"/>
  <c r="AF63" i="69"/>
  <c r="AE65" i="69"/>
  <c r="AD15" i="70" l="1"/>
  <c r="AD13" i="70"/>
  <c r="AD34" i="34"/>
  <c r="AD66" i="34"/>
  <c r="AE29" i="69"/>
  <c r="AD17" i="70" s="1"/>
  <c r="AF61" i="69"/>
  <c r="AE33" i="69" l="1"/>
  <c r="AE36" i="69" s="1"/>
  <c r="AD69" i="34"/>
  <c r="AD74" i="34"/>
  <c r="AD78" i="34" l="1"/>
  <c r="AD82" i="34" l="1"/>
  <c r="AD9" i="70" l="1"/>
  <c r="AD19" i="70" s="1"/>
  <c r="AE50" i="69"/>
  <c r="AE51" i="69" l="1"/>
  <c r="AE52" i="69" s="1"/>
  <c r="AD84" i="34"/>
  <c r="AD40" i="70"/>
  <c r="AD41" i="70" s="1"/>
  <c r="AE8" i="69" s="1"/>
  <c r="AD86" i="34" l="1"/>
  <c r="AD85" i="34"/>
  <c r="AE12" i="69"/>
  <c r="AE24" i="69" s="1"/>
  <c r="AE53" i="69" s="1"/>
  <c r="AE39" i="70"/>
  <c r="AD42" i="70" l="1"/>
  <c r="AE48" i="126" l="1"/>
  <c r="AE9" i="126" s="1"/>
  <c r="AE50" i="126" l="1"/>
  <c r="AB6" i="115" s="1"/>
  <c r="AB14" i="115" s="1"/>
  <c r="AD46" i="107"/>
  <c r="AE10" i="126"/>
  <c r="AC54" i="132"/>
  <c r="AC56" i="132" s="1"/>
  <c r="AC18" i="11" s="1"/>
  <c r="AE51" i="126"/>
  <c r="L7" i="116" s="1"/>
  <c r="AB6" i="109" l="1"/>
  <c r="AL23" i="109" s="1"/>
  <c r="L9" i="116"/>
  <c r="AB6" i="125"/>
  <c r="AE52" i="126"/>
  <c r="AD15" i="109"/>
  <c r="AE15" i="126"/>
  <c r="AE16" i="126" s="1"/>
  <c r="AB13" i="109"/>
  <c r="AB62" i="109" s="1"/>
  <c r="AB65" i="109" s="1"/>
  <c r="AE10" i="65" s="1"/>
  <c r="AE11" i="65" s="1"/>
  <c r="AC8" i="11" s="1"/>
  <c r="AH19" i="109"/>
  <c r="AG18" i="109"/>
  <c r="AF17" i="109"/>
  <c r="AB9" i="109"/>
  <c r="AC14" i="109"/>
  <c r="AB63" i="115"/>
  <c r="AB66" i="115" s="1"/>
  <c r="AC15" i="115"/>
  <c r="AD16" i="115" s="1"/>
  <c r="AE17" i="115" s="1"/>
  <c r="AF18" i="115" s="1"/>
  <c r="AG19" i="115" s="1"/>
  <c r="AH20" i="115" s="1"/>
  <c r="AI21" i="115" s="1"/>
  <c r="AJ22" i="115" s="1"/>
  <c r="AK23" i="115" s="1"/>
  <c r="AL24" i="115" s="1"/>
  <c r="AM25" i="115" s="1"/>
  <c r="AN26" i="115" s="1"/>
  <c r="AO27" i="115" s="1"/>
  <c r="AP28" i="115" s="1"/>
  <c r="AQ29" i="115" s="1"/>
  <c r="AR30" i="115" s="1"/>
  <c r="AS31" i="115" s="1"/>
  <c r="AT32" i="115" s="1"/>
  <c r="AU33" i="115" s="1"/>
  <c r="AV34" i="115" s="1"/>
  <c r="AW35" i="115" s="1"/>
  <c r="AC19" i="11"/>
  <c r="AC40" i="11" s="1"/>
  <c r="AE39" i="34"/>
  <c r="AE17" i="126"/>
  <c r="AD45" i="107" s="1"/>
  <c r="AE16" i="109" l="1"/>
  <c r="AJ21" i="109"/>
  <c r="AN25" i="109"/>
  <c r="AV33" i="109" s="1"/>
  <c r="AI20" i="109"/>
  <c r="AM24" i="109"/>
  <c r="AK22" i="109"/>
  <c r="AB14" i="125"/>
  <c r="L11" i="116"/>
  <c r="L8" i="116"/>
  <c r="L10" i="116"/>
  <c r="AQ28" i="109"/>
  <c r="AE3" i="65"/>
  <c r="AE5" i="65" s="1"/>
  <c r="AC11" i="11" s="1"/>
  <c r="AE20" i="34" s="1"/>
  <c r="AE26" i="34"/>
  <c r="AE12" i="34"/>
  <c r="K34" i="57"/>
  <c r="K35" i="57" s="1"/>
  <c r="AE40" i="34"/>
  <c r="AE63" i="34" s="1"/>
  <c r="AT31" i="109" l="1"/>
  <c r="AR29" i="109"/>
  <c r="AS30" i="109"/>
  <c r="AO26" i="109"/>
  <c r="AW34" i="109"/>
  <c r="AP27" i="109"/>
  <c r="AU32" i="109"/>
  <c r="K7" i="57"/>
  <c r="K15" i="57"/>
  <c r="K21" i="57"/>
  <c r="AB63" i="125"/>
  <c r="AB66" i="125" s="1"/>
  <c r="AC15" i="125"/>
  <c r="AD16" i="125" s="1"/>
  <c r="AE17" i="125" s="1"/>
  <c r="AF18" i="125" s="1"/>
  <c r="AG19" i="125" s="1"/>
  <c r="AH20" i="125" s="1"/>
  <c r="AI21" i="125" s="1"/>
  <c r="AJ22" i="125" s="1"/>
  <c r="AK23" i="125" s="1"/>
  <c r="AL24" i="125" s="1"/>
  <c r="AM25" i="125" s="1"/>
  <c r="AN26" i="125" s="1"/>
  <c r="AO27" i="125" s="1"/>
  <c r="AP28" i="125" s="1"/>
  <c r="AQ29" i="125" s="1"/>
  <c r="AR30" i="125" s="1"/>
  <c r="AS31" i="125" s="1"/>
  <c r="AT32" i="125" s="1"/>
  <c r="AU33" i="125" s="1"/>
  <c r="AV34" i="125" s="1"/>
  <c r="AW35" i="125" s="1"/>
  <c r="K15" i="85"/>
  <c r="K58" i="57"/>
  <c r="K18" i="85" s="1"/>
  <c r="AF28" i="69"/>
  <c r="AE11" i="34" l="1"/>
  <c r="AE7" i="67"/>
  <c r="AE11" i="67" s="1"/>
  <c r="AC9" i="11" s="1"/>
  <c r="AC13" i="11"/>
  <c r="AF62" i="69"/>
  <c r="AE15" i="70"/>
  <c r="L19" i="116"/>
  <c r="AE27" i="34" l="1"/>
  <c r="AC10" i="11"/>
  <c r="AC49" i="11" s="1"/>
  <c r="AE17" i="34"/>
  <c r="AE22" i="34" s="1"/>
  <c r="K6" i="57"/>
  <c r="K12" i="57" s="1"/>
  <c r="K17" i="57" s="1"/>
  <c r="AG63" i="69"/>
  <c r="AF65" i="69"/>
  <c r="AF68" i="69"/>
  <c r="AE29" i="34"/>
  <c r="AE30" i="34" s="1"/>
  <c r="K22" i="57"/>
  <c r="K24" i="57" l="1"/>
  <c r="K25" i="57" s="1"/>
  <c r="AF29" i="69"/>
  <c r="AG61" i="69"/>
  <c r="K6" i="85"/>
  <c r="L22" i="116"/>
  <c r="L33" i="116" s="1"/>
  <c r="AF9" i="69"/>
  <c r="AE33" i="34"/>
  <c r="K12" i="85" l="1"/>
  <c r="K13" i="85" s="1"/>
  <c r="K28" i="57"/>
  <c r="K60" i="57" s="1"/>
  <c r="K62" i="57" s="1"/>
  <c r="AE17" i="70"/>
  <c r="AF33" i="69"/>
  <c r="AF36" i="69" s="1"/>
  <c r="L24" i="116"/>
  <c r="K26" i="85"/>
  <c r="K8" i="85"/>
  <c r="AE34" i="34"/>
  <c r="AE66" i="34"/>
  <c r="K23" i="85"/>
  <c r="AE13" i="70"/>
  <c r="K29" i="57" l="1"/>
  <c r="AE69" i="34"/>
  <c r="AE74" i="34"/>
  <c r="K14" i="85"/>
  <c r="K19" i="85"/>
  <c r="L30" i="116"/>
  <c r="L32" i="116" s="1"/>
  <c r="L34" i="116" s="1"/>
  <c r="K9" i="85"/>
  <c r="K10" i="85"/>
  <c r="AF48" i="126"/>
  <c r="AF9" i="126" s="1"/>
  <c r="K27" i="85" l="1"/>
  <c r="AE78" i="34"/>
  <c r="K67" i="57"/>
  <c r="AE46" i="107"/>
  <c r="AF10" i="126"/>
  <c r="AD54" i="132"/>
  <c r="AD56" i="132" s="1"/>
  <c r="AD18" i="11" s="1"/>
  <c r="AF51" i="126"/>
  <c r="AF50" i="126"/>
  <c r="AF52" i="126" s="1"/>
  <c r="AE82" i="34" l="1"/>
  <c r="K71" i="57"/>
  <c r="AD19" i="11"/>
  <c r="AD40" i="11" s="1"/>
  <c r="AF39" i="34"/>
  <c r="AF15" i="126"/>
  <c r="AF16" i="126" s="1"/>
  <c r="AF17" i="126" s="1"/>
  <c r="AE45" i="107" s="1"/>
  <c r="AC6" i="115"/>
  <c r="AC14" i="115" s="1"/>
  <c r="AC6" i="125"/>
  <c r="AC6" i="109"/>
  <c r="K75" i="57" l="1"/>
  <c r="AF50" i="69"/>
  <c r="AE9" i="70"/>
  <c r="AE19" i="70" s="1"/>
  <c r="AK21" i="109"/>
  <c r="AL22" i="109"/>
  <c r="AD14" i="109"/>
  <c r="AJ20" i="109"/>
  <c r="AM23" i="109"/>
  <c r="AF16" i="109"/>
  <c r="AI19" i="109"/>
  <c r="AE15" i="109"/>
  <c r="AH18" i="109"/>
  <c r="AO25" i="109"/>
  <c r="AC9" i="109"/>
  <c r="AG17" i="109"/>
  <c r="AN24" i="109"/>
  <c r="AC13" i="109"/>
  <c r="AC62" i="109" s="1"/>
  <c r="AC65" i="109" s="1"/>
  <c r="AC14" i="125"/>
  <c r="AC63" i="115"/>
  <c r="AC66" i="115" s="1"/>
  <c r="AD15" i="115"/>
  <c r="AE16" i="115" s="1"/>
  <c r="AF17" i="115" s="1"/>
  <c r="AG18" i="115" s="1"/>
  <c r="AH19" i="115" s="1"/>
  <c r="AI20" i="115" s="1"/>
  <c r="AJ21" i="115" s="1"/>
  <c r="AK22" i="115" s="1"/>
  <c r="AL23" i="115" s="1"/>
  <c r="AM24" i="115" s="1"/>
  <c r="AN25" i="115" s="1"/>
  <c r="AO26" i="115" s="1"/>
  <c r="AP27" i="115" s="1"/>
  <c r="AQ28" i="115" s="1"/>
  <c r="AR29" i="115" s="1"/>
  <c r="AS30" i="115" s="1"/>
  <c r="AT31" i="115" s="1"/>
  <c r="AU32" i="115" s="1"/>
  <c r="AV33" i="115" s="1"/>
  <c r="AW34" i="115" s="1"/>
  <c r="AF40" i="34"/>
  <c r="AF63" i="34" s="1"/>
  <c r="AE40" i="70" l="1"/>
  <c r="AE41" i="70" s="1"/>
  <c r="AF8" i="69" s="1"/>
  <c r="L36" i="116"/>
  <c r="AE84" i="34"/>
  <c r="AF51" i="69"/>
  <c r="AF52" i="69" s="1"/>
  <c r="AF12" i="34"/>
  <c r="AD15" i="125"/>
  <c r="AE16" i="125" s="1"/>
  <c r="AF17" i="125" s="1"/>
  <c r="AG18" i="125" s="1"/>
  <c r="AH19" i="125" s="1"/>
  <c r="AI20" i="125" s="1"/>
  <c r="AJ21" i="125" s="1"/>
  <c r="AK22" i="125" s="1"/>
  <c r="AL23" i="125" s="1"/>
  <c r="AM24" i="125" s="1"/>
  <c r="AN25" i="125" s="1"/>
  <c r="AO26" i="125" s="1"/>
  <c r="AP27" i="125" s="1"/>
  <c r="AQ28" i="125" s="1"/>
  <c r="AR29" i="125" s="1"/>
  <c r="AS30" i="125" s="1"/>
  <c r="AT31" i="125" s="1"/>
  <c r="AU32" i="125" s="1"/>
  <c r="AV33" i="125" s="1"/>
  <c r="AW34" i="125" s="1"/>
  <c r="AC63" i="125"/>
  <c r="AC66" i="125" s="1"/>
  <c r="AF11" i="34" s="1"/>
  <c r="AF10" i="65"/>
  <c r="AF11" i="65" s="1"/>
  <c r="AD8" i="11" s="1"/>
  <c r="AF3" i="65"/>
  <c r="AF5" i="65" s="1"/>
  <c r="AD11" i="11" s="1"/>
  <c r="AF20" i="34" s="1"/>
  <c r="AW33" i="109"/>
  <c r="AS29" i="109"/>
  <c r="AT30" i="109"/>
  <c r="AV32" i="109"/>
  <c r="AU31" i="109"/>
  <c r="AP26" i="109"/>
  <c r="AQ27" i="109"/>
  <c r="AR28" i="109"/>
  <c r="AE86" i="34" l="1"/>
  <c r="AE85" i="34"/>
  <c r="L38" i="116"/>
  <c r="K20" i="85" s="1"/>
  <c r="K21" i="85"/>
  <c r="AF12" i="69"/>
  <c r="AF24" i="69" s="1"/>
  <c r="AF53" i="69" s="1"/>
  <c r="AF39" i="70"/>
  <c r="AD13" i="11"/>
  <c r="AF29" i="34" s="1"/>
  <c r="AF7" i="67"/>
  <c r="AF11" i="67" s="1"/>
  <c r="AD9" i="11" s="1"/>
  <c r="AF27" i="34" s="1"/>
  <c r="AG62" i="69"/>
  <c r="AG65" i="69" s="1"/>
  <c r="AF17" i="34"/>
  <c r="AF22" i="34" s="1"/>
  <c r="AF26" i="34"/>
  <c r="AD10" i="11" l="1"/>
  <c r="AD49" i="11" s="1"/>
  <c r="AG29" i="69"/>
  <c r="AF17" i="70" s="1"/>
  <c r="AH61" i="69"/>
  <c r="C64" i="85"/>
  <c r="AE42" i="70"/>
  <c r="AH63" i="69"/>
  <c r="AG68" i="69"/>
  <c r="AG28" i="69"/>
  <c r="AG9" i="69"/>
  <c r="AF30" i="34"/>
  <c r="AF33" i="34" s="1"/>
  <c r="K22" i="85" l="1"/>
  <c r="AF34" i="34"/>
  <c r="AF66" i="34"/>
  <c r="AF13" i="70"/>
  <c r="AF15" i="70"/>
  <c r="AG33" i="69"/>
  <c r="AG36" i="69" s="1"/>
  <c r="AF69" i="34" l="1"/>
  <c r="AF74" i="34"/>
  <c r="AF78" i="34" l="1"/>
  <c r="AF82" i="34" l="1"/>
  <c r="AF9" i="70" l="1"/>
  <c r="AF19" i="70" s="1"/>
  <c r="AG50" i="69"/>
  <c r="AF40" i="70" l="1"/>
  <c r="AF41" i="70" s="1"/>
  <c r="AG8" i="69" s="1"/>
  <c r="AF84" i="34"/>
  <c r="AG51" i="69"/>
  <c r="AG52" i="69" s="1"/>
  <c r="AG39" i="70" l="1"/>
  <c r="AG12" i="69"/>
  <c r="AG24" i="69" s="1"/>
  <c r="AG53" i="69" s="1"/>
  <c r="AF86" i="34"/>
  <c r="AF85" i="34"/>
  <c r="AG48" i="126"/>
  <c r="AG50" i="126" s="1"/>
  <c r="AF42" i="70" l="1"/>
  <c r="AG15" i="126"/>
  <c r="AG16" i="126" s="1"/>
  <c r="AD6" i="109"/>
  <c r="AD6" i="115"/>
  <c r="AD14" i="115" s="1"/>
  <c r="AD6" i="125"/>
  <c r="AG9" i="126"/>
  <c r="AG52" i="126"/>
  <c r="AG51" i="126"/>
  <c r="AD14" i="125" l="1"/>
  <c r="AD63" i="125" s="1"/>
  <c r="AD66" i="125" s="1"/>
  <c r="AG11" i="34" s="1"/>
  <c r="AD63" i="115"/>
  <c r="AD66" i="115" s="1"/>
  <c r="AE15" i="115"/>
  <c r="AF16" i="115" s="1"/>
  <c r="AG17" i="115" s="1"/>
  <c r="AH18" i="115" s="1"/>
  <c r="AI19" i="115" s="1"/>
  <c r="AJ20" i="115" s="1"/>
  <c r="AK21" i="115" s="1"/>
  <c r="AL22" i="115" s="1"/>
  <c r="AM23" i="115" s="1"/>
  <c r="AN24" i="115" s="1"/>
  <c r="AO25" i="115" s="1"/>
  <c r="AP26" i="115" s="1"/>
  <c r="AQ27" i="115" s="1"/>
  <c r="AR28" i="115" s="1"/>
  <c r="AS29" i="115" s="1"/>
  <c r="AT30" i="115" s="1"/>
  <c r="AU31" i="115" s="1"/>
  <c r="AV32" i="115" s="1"/>
  <c r="AW33" i="115" s="1"/>
  <c r="AG16" i="109"/>
  <c r="AN23" i="109"/>
  <c r="AK20" i="109"/>
  <c r="AF15" i="109"/>
  <c r="AE14" i="109"/>
  <c r="AL21" i="109"/>
  <c r="AD9" i="109"/>
  <c r="AO24" i="109"/>
  <c r="AH17" i="109"/>
  <c r="AP25" i="109"/>
  <c r="AI18" i="109"/>
  <c r="AM22" i="109"/>
  <c r="AJ19" i="109"/>
  <c r="AD13" i="109"/>
  <c r="AD62" i="109" s="1"/>
  <c r="AD65" i="109" s="1"/>
  <c r="AF46" i="107"/>
  <c r="AG10" i="126"/>
  <c r="AG17" i="126" s="1"/>
  <c r="AF45" i="107" s="1"/>
  <c r="AE54" i="132"/>
  <c r="AE56" i="132" s="1"/>
  <c r="AE18" i="11" s="1"/>
  <c r="AE15" i="125" l="1"/>
  <c r="AF16" i="125" s="1"/>
  <c r="AG17" i="125" s="1"/>
  <c r="AH18" i="125" s="1"/>
  <c r="AI19" i="125" s="1"/>
  <c r="AJ20" i="125" s="1"/>
  <c r="AK21" i="125" s="1"/>
  <c r="AL22" i="125" s="1"/>
  <c r="AM23" i="125" s="1"/>
  <c r="AN24" i="125" s="1"/>
  <c r="AO25" i="125" s="1"/>
  <c r="AP26" i="125" s="1"/>
  <c r="AQ27" i="125" s="1"/>
  <c r="AR28" i="125" s="1"/>
  <c r="AS29" i="125" s="1"/>
  <c r="AT30" i="125" s="1"/>
  <c r="AU31" i="125" s="1"/>
  <c r="AV32" i="125" s="1"/>
  <c r="AW33" i="125" s="1"/>
  <c r="AE13" i="11"/>
  <c r="AG29" i="34" s="1"/>
  <c r="AH62" i="69"/>
  <c r="AH65" i="69" s="1"/>
  <c r="AG10" i="65"/>
  <c r="AG11" i="65" s="1"/>
  <c r="AE8" i="11" s="1"/>
  <c r="AG3" i="65"/>
  <c r="AG5" i="65" s="1"/>
  <c r="AE11" i="11" s="1"/>
  <c r="AG20" i="34" s="1"/>
  <c r="AG12" i="34"/>
  <c r="AG7" i="67"/>
  <c r="AG11" i="67" s="1"/>
  <c r="AE9" i="11" s="1"/>
  <c r="AG27" i="34" s="1"/>
  <c r="AT29" i="109"/>
  <c r="AS28" i="109"/>
  <c r="AW32" i="109"/>
  <c r="AU30" i="109"/>
  <c r="AQ26" i="109"/>
  <c r="AR27" i="109"/>
  <c r="AV31" i="109"/>
  <c r="AE19" i="11"/>
  <c r="AE40" i="11" s="1"/>
  <c r="AG39" i="34"/>
  <c r="AI61" i="69" l="1"/>
  <c r="AH29" i="69"/>
  <c r="AG17" i="70" s="1"/>
  <c r="AG17" i="34"/>
  <c r="AG22" i="34" s="1"/>
  <c r="AE10" i="11"/>
  <c r="AE49" i="11" s="1"/>
  <c r="AG26" i="34"/>
  <c r="AI63" i="69"/>
  <c r="AH68" i="69"/>
  <c r="AG40" i="34"/>
  <c r="AG63" i="34" s="1"/>
  <c r="AH9" i="69" l="1"/>
  <c r="AG13" i="70" s="1"/>
  <c r="AH28" i="69"/>
  <c r="AG15" i="70" s="1"/>
  <c r="AG30" i="34"/>
  <c r="AG33" i="34" s="1"/>
  <c r="AH33" i="69" l="1"/>
  <c r="AH36" i="69" s="1"/>
  <c r="AG34" i="34"/>
  <c r="AG66" i="34"/>
  <c r="AG69" i="34" l="1"/>
  <c r="AG74" i="34"/>
  <c r="AG78" i="34" l="1"/>
  <c r="AG82" i="34" l="1"/>
  <c r="AG9" i="70" l="1"/>
  <c r="AG19" i="70" s="1"/>
  <c r="AH50" i="69"/>
  <c r="AH48" i="126"/>
  <c r="AH9" i="126" s="1"/>
  <c r="AH10" i="126" s="1"/>
  <c r="AG84" i="34" l="1"/>
  <c r="AH51" i="69"/>
  <c r="AH52" i="69" s="1"/>
  <c r="AG40" i="70"/>
  <c r="AG41" i="70" s="1"/>
  <c r="AH8" i="69" s="1"/>
  <c r="AG46" i="107"/>
  <c r="AH51" i="126"/>
  <c r="M7" i="116" s="1"/>
  <c r="AH50" i="126"/>
  <c r="AF54" i="132"/>
  <c r="AF56" i="132" s="1"/>
  <c r="AF18" i="11" s="1"/>
  <c r="AH12" i="69" l="1"/>
  <c r="AH24" i="69" s="1"/>
  <c r="AH53" i="69" s="1"/>
  <c r="AH39" i="70"/>
  <c r="AH52" i="126"/>
  <c r="M9" i="116"/>
  <c r="AG86" i="34"/>
  <c r="AG85" i="34"/>
  <c r="AF19" i="11"/>
  <c r="AF40" i="11" s="1"/>
  <c r="AH39" i="34"/>
  <c r="AH15" i="126"/>
  <c r="AH16" i="126" s="1"/>
  <c r="AH17" i="126" s="1"/>
  <c r="AG45" i="107" s="1"/>
  <c r="AE6" i="109"/>
  <c r="AE6" i="115"/>
  <c r="AE14" i="115" s="1"/>
  <c r="AE6" i="125"/>
  <c r="AG42" i="70" l="1"/>
  <c r="AE14" i="125"/>
  <c r="AE63" i="125" s="1"/>
  <c r="AE66" i="125" s="1"/>
  <c r="AH11" i="34" s="1"/>
  <c r="M11" i="116"/>
  <c r="M8" i="116"/>
  <c r="M10" i="116"/>
  <c r="AF15" i="125"/>
  <c r="AG16" i="125" s="1"/>
  <c r="AH17" i="125" s="1"/>
  <c r="AI18" i="125" s="1"/>
  <c r="AJ19" i="125" s="1"/>
  <c r="AK20" i="125" s="1"/>
  <c r="AL21" i="125" s="1"/>
  <c r="AM22" i="125" s="1"/>
  <c r="AN23" i="125" s="1"/>
  <c r="AO24" i="125" s="1"/>
  <c r="AP25" i="125" s="1"/>
  <c r="AQ26" i="125" s="1"/>
  <c r="AR27" i="125" s="1"/>
  <c r="AS28" i="125" s="1"/>
  <c r="AT29" i="125" s="1"/>
  <c r="AU30" i="125" s="1"/>
  <c r="AV31" i="125" s="1"/>
  <c r="AW32" i="125" s="1"/>
  <c r="AO23" i="109"/>
  <c r="AK19" i="109"/>
  <c r="AL20" i="109"/>
  <c r="AF14" i="109"/>
  <c r="AI17" i="109"/>
  <c r="AP24" i="109"/>
  <c r="AE9" i="109"/>
  <c r="AN22" i="109"/>
  <c r="AH16" i="109"/>
  <c r="AQ25" i="109"/>
  <c r="AJ18" i="109"/>
  <c r="AG15" i="109"/>
  <c r="AM21" i="109"/>
  <c r="AE13" i="109"/>
  <c r="AE62" i="109" s="1"/>
  <c r="AE65" i="109" s="1"/>
  <c r="L34" i="57"/>
  <c r="L35" i="57" s="1"/>
  <c r="AH40" i="34"/>
  <c r="AH63" i="34" s="1"/>
  <c r="AE63" i="115"/>
  <c r="AE66" i="115" s="1"/>
  <c r="AF15" i="115"/>
  <c r="AG16" i="115" s="1"/>
  <c r="AH17" i="115" s="1"/>
  <c r="AI18" i="115" s="1"/>
  <c r="AJ19" i="115" s="1"/>
  <c r="AK20" i="115" s="1"/>
  <c r="AL21" i="115" s="1"/>
  <c r="AM22" i="115" s="1"/>
  <c r="AN23" i="115" s="1"/>
  <c r="AO24" i="115" s="1"/>
  <c r="AP25" i="115" s="1"/>
  <c r="AQ26" i="115" s="1"/>
  <c r="AR27" i="115" s="1"/>
  <c r="AS28" i="115" s="1"/>
  <c r="AT29" i="115" s="1"/>
  <c r="AU30" i="115" s="1"/>
  <c r="AV31" i="115" s="1"/>
  <c r="AW32" i="115" s="1"/>
  <c r="L6" i="57" l="1"/>
  <c r="AI62" i="69"/>
  <c r="AI65" i="69" s="1"/>
  <c r="AF13" i="11"/>
  <c r="AH29" i="34" s="1"/>
  <c r="AH3" i="65"/>
  <c r="AH5" i="65" s="1"/>
  <c r="AF11" i="11" s="1"/>
  <c r="AH20" i="34" s="1"/>
  <c r="AH10" i="65"/>
  <c r="AH11" i="65" s="1"/>
  <c r="AF8" i="11" s="1"/>
  <c r="AU29" i="109"/>
  <c r="AT28" i="109"/>
  <c r="AR26" i="109"/>
  <c r="AV30" i="109"/>
  <c r="AW31" i="109"/>
  <c r="AS27" i="109"/>
  <c r="L58" i="57"/>
  <c r="L18" i="85" s="1"/>
  <c r="AH12" i="34"/>
  <c r="AH7" i="67"/>
  <c r="AH11" i="67" s="1"/>
  <c r="AF9" i="11" s="1"/>
  <c r="AH27" i="34" s="1"/>
  <c r="L15" i="85"/>
  <c r="L15" i="57" l="1"/>
  <c r="L24" i="57"/>
  <c r="L22" i="57"/>
  <c r="AJ61" i="69"/>
  <c r="AI29" i="69"/>
  <c r="AH17" i="70" s="1"/>
  <c r="L7" i="57"/>
  <c r="L12" i="57" s="1"/>
  <c r="AH17" i="34"/>
  <c r="AH22" i="34" s="1"/>
  <c r="M19" i="116"/>
  <c r="AF10" i="11"/>
  <c r="AF49" i="11" s="1"/>
  <c r="AH26" i="34"/>
  <c r="AI68" i="69"/>
  <c r="AJ63" i="69"/>
  <c r="L17" i="57" l="1"/>
  <c r="L6" i="85" s="1"/>
  <c r="AI9" i="69"/>
  <c r="L23" i="85" s="1"/>
  <c r="AI28" i="69"/>
  <c r="AH15" i="70" s="1"/>
  <c r="L21" i="57"/>
  <c r="L25" i="57" s="1"/>
  <c r="M22" i="116"/>
  <c r="M33" i="116" s="1"/>
  <c r="AH30" i="34"/>
  <c r="AH33" i="34" s="1"/>
  <c r="AH13" i="70"/>
  <c r="AI33" i="69" l="1"/>
  <c r="AI36" i="69" s="1"/>
  <c r="L12" i="85"/>
  <c r="L13" i="85" s="1"/>
  <c r="L28" i="57"/>
  <c r="L26" i="85"/>
  <c r="M24" i="116"/>
  <c r="L8" i="85"/>
  <c r="AH34" i="34"/>
  <c r="AH66" i="34"/>
  <c r="M30" i="116" l="1"/>
  <c r="M32" i="116" s="1"/>
  <c r="M34" i="116" s="1"/>
  <c r="L14" i="85"/>
  <c r="L19" i="85"/>
  <c r="L29" i="57"/>
  <c r="L60" i="57"/>
  <c r="L62" i="57" s="1"/>
  <c r="L9" i="85"/>
  <c r="L10" i="85"/>
  <c r="AH69" i="34"/>
  <c r="AH74" i="34"/>
  <c r="AH78" i="34" l="1"/>
  <c r="L67" i="57"/>
  <c r="L27" i="85"/>
  <c r="AH82" i="34" l="1"/>
  <c r="L71" i="57"/>
  <c r="L75" i="57" l="1"/>
  <c r="AH9" i="70"/>
  <c r="AH19" i="70" s="1"/>
  <c r="AI50" i="69"/>
  <c r="AI48" i="126"/>
  <c r="AI9" i="126" s="1"/>
  <c r="AG54" i="132" s="1"/>
  <c r="AG56" i="132" s="1"/>
  <c r="AG18" i="11" s="1"/>
  <c r="AH84" i="34" l="1"/>
  <c r="AI51" i="69"/>
  <c r="AI52" i="69" s="1"/>
  <c r="AH40" i="70"/>
  <c r="AH41" i="70" s="1"/>
  <c r="AI8" i="69" s="1"/>
  <c r="M36" i="116"/>
  <c r="AI50" i="126"/>
  <c r="AF6" i="115" s="1"/>
  <c r="AF14" i="115" s="1"/>
  <c r="AF63" i="115" s="1"/>
  <c r="AF66" i="115" s="1"/>
  <c r="AG19" i="11"/>
  <c r="AG40" i="11" s="1"/>
  <c r="AI39" i="34"/>
  <c r="AH46" i="107"/>
  <c r="AI10" i="126"/>
  <c r="AI51" i="126"/>
  <c r="M38" i="116" l="1"/>
  <c r="L20" i="85" s="1"/>
  <c r="L21" i="85"/>
  <c r="AI12" i="69"/>
  <c r="AI24" i="69" s="1"/>
  <c r="AI53" i="69" s="1"/>
  <c r="AI39" i="70"/>
  <c r="AH86" i="34"/>
  <c r="AH85" i="34"/>
  <c r="AF6" i="109"/>
  <c r="AP23" i="109" s="1"/>
  <c r="AF6" i="125"/>
  <c r="AI52" i="126"/>
  <c r="AI15" i="126"/>
  <c r="AI16" i="126" s="1"/>
  <c r="AI17" i="126" s="1"/>
  <c r="AH45" i="107" s="1"/>
  <c r="AG15" i="115"/>
  <c r="AH16" i="115" s="1"/>
  <c r="AI17" i="115" s="1"/>
  <c r="AJ18" i="115" s="1"/>
  <c r="AK19" i="115" s="1"/>
  <c r="AL20" i="115" s="1"/>
  <c r="AM21" i="115" s="1"/>
  <c r="AN22" i="115" s="1"/>
  <c r="AO23" i="115" s="1"/>
  <c r="AP24" i="115" s="1"/>
  <c r="AQ25" i="115" s="1"/>
  <c r="AR26" i="115" s="1"/>
  <c r="AS27" i="115" s="1"/>
  <c r="AT28" i="115" s="1"/>
  <c r="AU29" i="115" s="1"/>
  <c r="AV30" i="115" s="1"/>
  <c r="AW31" i="115" s="1"/>
  <c r="AI40" i="34"/>
  <c r="AI63" i="34" s="1"/>
  <c r="AH42" i="70" l="1"/>
  <c r="D64" i="85"/>
  <c r="AF14" i="125"/>
  <c r="AG15" i="125" s="1"/>
  <c r="AH16" i="125" s="1"/>
  <c r="AI17" i="125" s="1"/>
  <c r="AJ18" i="125" s="1"/>
  <c r="AK19" i="125" s="1"/>
  <c r="AL20" i="125" s="1"/>
  <c r="AM21" i="125" s="1"/>
  <c r="AN22" i="125" s="1"/>
  <c r="AO23" i="125" s="1"/>
  <c r="AP24" i="125" s="1"/>
  <c r="AQ25" i="125" s="1"/>
  <c r="AR26" i="125" s="1"/>
  <c r="AS27" i="125" s="1"/>
  <c r="AT28" i="125" s="1"/>
  <c r="AU29" i="125" s="1"/>
  <c r="AV30" i="125" s="1"/>
  <c r="AW31" i="125" s="1"/>
  <c r="AG14" i="109"/>
  <c r="AQ24" i="109"/>
  <c r="AM20" i="109"/>
  <c r="AF13" i="109"/>
  <c r="AF62" i="109" s="1"/>
  <c r="AF65" i="109" s="1"/>
  <c r="AI12" i="34" s="1"/>
  <c r="AL19" i="109"/>
  <c r="AJ17" i="109"/>
  <c r="AF9" i="109"/>
  <c r="AH15" i="109"/>
  <c r="AN21" i="109"/>
  <c r="AO22" i="109"/>
  <c r="AR25" i="109"/>
  <c r="AS26" i="109" s="1"/>
  <c r="AV29" i="109" s="1"/>
  <c r="AI16" i="109"/>
  <c r="AK18" i="109"/>
  <c r="AW30" i="109" l="1"/>
  <c r="AF63" i="125"/>
  <c r="AF66" i="125" s="1"/>
  <c r="AI7" i="67" s="1"/>
  <c r="AI11" i="67" s="1"/>
  <c r="AG9" i="11" s="1"/>
  <c r="AI27" i="34" s="1"/>
  <c r="L22" i="85"/>
  <c r="AI10" i="65"/>
  <c r="AI11" i="65" s="1"/>
  <c r="AG8" i="11" s="1"/>
  <c r="AI3" i="65"/>
  <c r="AI5" i="65" s="1"/>
  <c r="AG11" i="11" s="1"/>
  <c r="AI20" i="34" s="1"/>
  <c r="AU28" i="109"/>
  <c r="AT27" i="109"/>
  <c r="AJ62" i="69" l="1"/>
  <c r="AK63" i="69" s="1"/>
  <c r="AI11" i="34"/>
  <c r="AI17" i="34" s="1"/>
  <c r="AI22" i="34" s="1"/>
  <c r="AG13" i="11"/>
  <c r="AI29" i="34" s="1"/>
  <c r="AG10" i="11"/>
  <c r="AI26" i="34"/>
  <c r="AJ28" i="69" s="1"/>
  <c r="AJ68" i="69"/>
  <c r="AJ65" i="69"/>
  <c r="AG49" i="11" l="1"/>
  <c r="AI30" i="34"/>
  <c r="AI33" i="34" s="1"/>
  <c r="AJ29" i="69"/>
  <c r="AI17" i="70" s="1"/>
  <c r="AK61" i="69"/>
  <c r="AI15" i="70"/>
  <c r="AJ9" i="69"/>
  <c r="AJ33" i="69" l="1"/>
  <c r="AJ36" i="69" s="1"/>
  <c r="AI13" i="70"/>
  <c r="AI34" i="34"/>
  <c r="AI66" i="34"/>
  <c r="AI69" i="34" l="1"/>
  <c r="AI74" i="34"/>
  <c r="AI78" i="34" l="1"/>
  <c r="AI82" i="34" l="1"/>
  <c r="AI9" i="70" l="1"/>
  <c r="AI19" i="70" s="1"/>
  <c r="AJ50" i="69"/>
  <c r="AI40" i="70" l="1"/>
  <c r="AI41" i="70" s="1"/>
  <c r="AJ8" i="69" s="1"/>
  <c r="AI84" i="34"/>
  <c r="AJ51" i="69"/>
  <c r="AJ52" i="69" s="1"/>
  <c r="AJ39" i="70" l="1"/>
  <c r="AJ12" i="69"/>
  <c r="AJ24" i="69" s="1"/>
  <c r="AJ53" i="69" s="1"/>
  <c r="AI86" i="34"/>
  <c r="AI85" i="34"/>
  <c r="AJ48" i="126"/>
  <c r="AJ50" i="126" s="1"/>
  <c r="AG6" i="115" l="1"/>
  <c r="AG14" i="115" s="1"/>
  <c r="AG63" i="115" s="1"/>
  <c r="AG66" i="115" s="1"/>
  <c r="AI42" i="70"/>
  <c r="AJ9" i="126"/>
  <c r="AI46" i="107"/>
  <c r="AJ10" i="126"/>
  <c r="AG6" i="125"/>
  <c r="AH54" i="132"/>
  <c r="AH56" i="132" s="1"/>
  <c r="AH18" i="11" s="1"/>
  <c r="AJ15" i="126"/>
  <c r="AJ16" i="126" s="1"/>
  <c r="AG6" i="109"/>
  <c r="AJ51" i="126"/>
  <c r="AJ52" i="126"/>
  <c r="AH15" i="115" l="1"/>
  <c r="AI16" i="115" s="1"/>
  <c r="AJ17" i="115" s="1"/>
  <c r="AK18" i="115" s="1"/>
  <c r="AL19" i="115" s="1"/>
  <c r="AM20" i="115" s="1"/>
  <c r="AN21" i="115" s="1"/>
  <c r="AO22" i="115" s="1"/>
  <c r="AP23" i="115" s="1"/>
  <c r="AQ24" i="115" s="1"/>
  <c r="AR25" i="115" s="1"/>
  <c r="AS26" i="115" s="1"/>
  <c r="AT27" i="115" s="1"/>
  <c r="AU28" i="115" s="1"/>
  <c r="AV29" i="115" s="1"/>
  <c r="AW30" i="115" s="1"/>
  <c r="AG14" i="125"/>
  <c r="AH15" i="125" s="1"/>
  <c r="AI16" i="125" s="1"/>
  <c r="AJ17" i="125" s="1"/>
  <c r="AK18" i="125" s="1"/>
  <c r="AL19" i="125" s="1"/>
  <c r="AM20" i="125" s="1"/>
  <c r="AN21" i="125" s="1"/>
  <c r="AO22" i="125" s="1"/>
  <c r="AP23" i="125" s="1"/>
  <c r="AQ24" i="125" s="1"/>
  <c r="AR25" i="125" s="1"/>
  <c r="AS26" i="125" s="1"/>
  <c r="AT27" i="125" s="1"/>
  <c r="AU28" i="125" s="1"/>
  <c r="AV29" i="125" s="1"/>
  <c r="AW30" i="125" s="1"/>
  <c r="AH19" i="11"/>
  <c r="AH40" i="11" s="1"/>
  <c r="AJ39" i="34"/>
  <c r="AL18" i="109"/>
  <c r="AH14" i="109"/>
  <c r="AP22" i="109"/>
  <c r="AQ23" i="109"/>
  <c r="AR24" i="109"/>
  <c r="AN20" i="109"/>
  <c r="AS25" i="109"/>
  <c r="AG9" i="109"/>
  <c r="AJ16" i="109"/>
  <c r="AO21" i="109"/>
  <c r="AK17" i="109"/>
  <c r="AI15" i="109"/>
  <c r="AG13" i="109"/>
  <c r="AG62" i="109" s="1"/>
  <c r="AG65" i="109" s="1"/>
  <c r="AJ12" i="34" s="1"/>
  <c r="AM19" i="109"/>
  <c r="AJ17" i="126"/>
  <c r="AI45" i="107" s="1"/>
  <c r="AG63" i="125" l="1"/>
  <c r="AG66" i="125" s="1"/>
  <c r="AJ11" i="34" s="1"/>
  <c r="AJ17" i="34" s="1"/>
  <c r="AJ40" i="34"/>
  <c r="AJ63" i="34" s="1"/>
  <c r="AJ3" i="65"/>
  <c r="AJ5" i="65" s="1"/>
  <c r="AH11" i="11" s="1"/>
  <c r="AJ20" i="34" s="1"/>
  <c r="AJ10" i="65"/>
  <c r="AJ11" i="65" s="1"/>
  <c r="AH8" i="11" s="1"/>
  <c r="AU27" i="109"/>
  <c r="AV28" i="109"/>
  <c r="AT26" i="109"/>
  <c r="AW29" i="109"/>
  <c r="AK62" i="69" l="1"/>
  <c r="AK65" i="69" s="1"/>
  <c r="AJ7" i="67"/>
  <c r="AJ11" i="67" s="1"/>
  <c r="AH9" i="11" s="1"/>
  <c r="AJ27" i="34" s="1"/>
  <c r="AH13" i="11"/>
  <c r="AJ29" i="34" s="1"/>
  <c r="AJ22" i="34"/>
  <c r="AK9" i="69" s="1"/>
  <c r="AL61" i="69"/>
  <c r="AK29" i="69"/>
  <c r="AJ17" i="70" s="1"/>
  <c r="AK68" i="69"/>
  <c r="AL63" i="69"/>
  <c r="AJ26" i="34"/>
  <c r="AH10" i="11" l="1"/>
  <c r="AH49" i="11"/>
  <c r="AK28" i="69"/>
  <c r="AK33" i="69" s="1"/>
  <c r="AK36" i="69" s="1"/>
  <c r="AJ30" i="34"/>
  <c r="AJ33" i="34" s="1"/>
  <c r="AJ13" i="70"/>
  <c r="AJ15" i="70" l="1"/>
  <c r="AJ34" i="34"/>
  <c r="AJ66" i="34"/>
  <c r="AJ69" i="34" l="1"/>
  <c r="AJ74" i="34"/>
  <c r="AJ78" i="34" l="1"/>
  <c r="AJ82" i="34" l="1"/>
  <c r="AJ9" i="70" l="1"/>
  <c r="AJ19" i="70" s="1"/>
  <c r="AK50" i="69"/>
  <c r="AK48" i="126"/>
  <c r="AK9" i="126" s="1"/>
  <c r="AJ84" i="34" l="1"/>
  <c r="AK51" i="69"/>
  <c r="AK52" i="69" s="1"/>
  <c r="AJ40" i="70"/>
  <c r="AJ41" i="70" s="1"/>
  <c r="AK8" i="69" s="1"/>
  <c r="AJ46" i="107"/>
  <c r="AI54" i="132"/>
  <c r="AI56" i="132" s="1"/>
  <c r="AI18" i="11" s="1"/>
  <c r="AI19" i="11" s="1"/>
  <c r="AI40" i="11" s="1"/>
  <c r="AK51" i="126"/>
  <c r="N7" i="116" s="1"/>
  <c r="AK50" i="126"/>
  <c r="N9" i="116" s="1"/>
  <c r="AK10" i="126"/>
  <c r="N10" i="116" l="1"/>
  <c r="N8" i="116"/>
  <c r="AK12" i="69"/>
  <c r="AK24" i="69" s="1"/>
  <c r="AK53" i="69" s="1"/>
  <c r="AK39" i="70"/>
  <c r="AJ85" i="34"/>
  <c r="AJ86" i="34"/>
  <c r="AK39" i="34"/>
  <c r="AK40" i="34" s="1"/>
  <c r="AK63" i="34" s="1"/>
  <c r="AK15" i="126"/>
  <c r="AK16" i="126" s="1"/>
  <c r="AK17" i="126" s="1"/>
  <c r="AJ45" i="107" s="1"/>
  <c r="AH6" i="109"/>
  <c r="AH6" i="125"/>
  <c r="AH6" i="115"/>
  <c r="AH14" i="115" s="1"/>
  <c r="M34" i="57"/>
  <c r="M35" i="57" s="1"/>
  <c r="AK52" i="126"/>
  <c r="AH14" i="125" l="1"/>
  <c r="AI15" i="125" s="1"/>
  <c r="AJ16" i="125" s="1"/>
  <c r="AK17" i="125" s="1"/>
  <c r="AL18" i="125" s="1"/>
  <c r="AM19" i="125" s="1"/>
  <c r="AN20" i="125" s="1"/>
  <c r="AO21" i="125" s="1"/>
  <c r="AP22" i="125" s="1"/>
  <c r="AQ23" i="125" s="1"/>
  <c r="AR24" i="125" s="1"/>
  <c r="AS25" i="125" s="1"/>
  <c r="AT26" i="125" s="1"/>
  <c r="AU27" i="125" s="1"/>
  <c r="AV28" i="125" s="1"/>
  <c r="AW29" i="125" s="1"/>
  <c r="N11" i="116"/>
  <c r="AJ42" i="70"/>
  <c r="M58" i="57"/>
  <c r="M18" i="85" s="1"/>
  <c r="AH63" i="115"/>
  <c r="AH66" i="115" s="1"/>
  <c r="AI15" i="115"/>
  <c r="AJ16" i="115" s="1"/>
  <c r="AK17" i="115" s="1"/>
  <c r="AL18" i="115" s="1"/>
  <c r="AM19" i="115" s="1"/>
  <c r="AN20" i="115" s="1"/>
  <c r="AO21" i="115" s="1"/>
  <c r="AP22" i="115" s="1"/>
  <c r="AQ23" i="115" s="1"/>
  <c r="AR24" i="115" s="1"/>
  <c r="AS25" i="115" s="1"/>
  <c r="AT26" i="115" s="1"/>
  <c r="AU27" i="115" s="1"/>
  <c r="AV28" i="115" s="1"/>
  <c r="AW29" i="115" s="1"/>
  <c r="M15" i="85"/>
  <c r="AN19" i="109"/>
  <c r="AP21" i="109"/>
  <c r="AS24" i="109"/>
  <c r="AK16" i="109"/>
  <c r="AO20" i="109"/>
  <c r="AQ22" i="109"/>
  <c r="AL17" i="109"/>
  <c r="AR23" i="109"/>
  <c r="AJ15" i="109"/>
  <c r="AT25" i="109"/>
  <c r="AM18" i="109"/>
  <c r="AI14" i="109"/>
  <c r="AH9" i="109"/>
  <c r="AH13" i="109"/>
  <c r="AH62" i="109" s="1"/>
  <c r="AH65" i="109" s="1"/>
  <c r="AH63" i="125" l="1"/>
  <c r="AH66" i="125" s="1"/>
  <c r="AK11" i="34" s="1"/>
  <c r="M6" i="57"/>
  <c r="AK12" i="34"/>
  <c r="AK7" i="67"/>
  <c r="AK11" i="67" s="1"/>
  <c r="AI9" i="11" s="1"/>
  <c r="AK27" i="34" s="1"/>
  <c r="AL62" i="69"/>
  <c r="AL65" i="69" s="1"/>
  <c r="AK10" i="65"/>
  <c r="AK11" i="65" s="1"/>
  <c r="AI8" i="11" s="1"/>
  <c r="AI13" i="11"/>
  <c r="AK29" i="34" s="1"/>
  <c r="AK3" i="65"/>
  <c r="AK5" i="65" s="1"/>
  <c r="AI11" i="11" s="1"/>
  <c r="AK20" i="34" s="1"/>
  <c r="AU26" i="109"/>
  <c r="AV27" i="109"/>
  <c r="AW28" i="109"/>
  <c r="N19" i="116"/>
  <c r="M15" i="57" l="1"/>
  <c r="M22" i="57"/>
  <c r="M24" i="57"/>
  <c r="M7" i="57"/>
  <c r="M12" i="57" s="1"/>
  <c r="AL29" i="69"/>
  <c r="AK17" i="70" s="1"/>
  <c r="AM61" i="69"/>
  <c r="AK17" i="34"/>
  <c r="AK22" i="34" s="1"/>
  <c r="AL9" i="69" s="1"/>
  <c r="AL68" i="69"/>
  <c r="AM63" i="69"/>
  <c r="AI10" i="11"/>
  <c r="AI49" i="11" s="1"/>
  <c r="AK26" i="34"/>
  <c r="M17" i="57" l="1"/>
  <c r="M6" i="85" s="1"/>
  <c r="AL28" i="69"/>
  <c r="AL33" i="69" s="1"/>
  <c r="AL36" i="69" s="1"/>
  <c r="M21" i="57"/>
  <c r="M25" i="57" s="1"/>
  <c r="N22" i="116"/>
  <c r="N33" i="116" s="1"/>
  <c r="AK30" i="34"/>
  <c r="AK33" i="34" s="1"/>
  <c r="AK66" i="34" s="1"/>
  <c r="M23" i="85"/>
  <c r="AK13" i="70"/>
  <c r="AK15" i="70" l="1"/>
  <c r="M12" i="85"/>
  <c r="M13" i="85" s="1"/>
  <c r="M28" i="57"/>
  <c r="M26" i="85"/>
  <c r="M8" i="85"/>
  <c r="N24" i="116"/>
  <c r="AK34" i="34"/>
  <c r="AK69" i="34"/>
  <c r="AK74" i="34"/>
  <c r="M10" i="85" l="1"/>
  <c r="M9" i="85"/>
  <c r="N30" i="116"/>
  <c r="N32" i="116" s="1"/>
  <c r="N34" i="116" s="1"/>
  <c r="M29" i="57"/>
  <c r="M60" i="57"/>
  <c r="M62" i="57" s="1"/>
  <c r="AK78" i="34"/>
  <c r="M67" i="57"/>
  <c r="M14" i="85"/>
  <c r="M19" i="85"/>
  <c r="M27" i="85" l="1"/>
  <c r="AK82" i="34"/>
  <c r="M71" i="57"/>
  <c r="M75" i="57" l="1"/>
  <c r="AK9" i="70"/>
  <c r="AK19" i="70" s="1"/>
  <c r="AL50" i="69"/>
  <c r="AL48" i="126"/>
  <c r="AL9" i="126" s="1"/>
  <c r="AJ54" i="132" s="1"/>
  <c r="AJ56" i="132" s="1"/>
  <c r="AJ18" i="11" s="1"/>
  <c r="AK84" i="34" l="1"/>
  <c r="AL51" i="69"/>
  <c r="AL52" i="69" s="1"/>
  <c r="AK40" i="70"/>
  <c r="AK41" i="70" s="1"/>
  <c r="AL8" i="69" s="1"/>
  <c r="N36" i="116"/>
  <c r="AJ19" i="11"/>
  <c r="AJ40" i="11" s="1"/>
  <c r="AL39" i="34"/>
  <c r="AK46" i="107"/>
  <c r="AL10" i="126"/>
  <c r="AL51" i="126"/>
  <c r="AL50" i="126"/>
  <c r="N38" i="116" l="1"/>
  <c r="M20" i="85" s="1"/>
  <c r="AL12" i="69"/>
  <c r="AL24" i="69" s="1"/>
  <c r="AL53" i="69" s="1"/>
  <c r="AL39" i="70"/>
  <c r="M21" i="85"/>
  <c r="AK85" i="34"/>
  <c r="AK86" i="34"/>
  <c r="AL15" i="126"/>
  <c r="AL16" i="126" s="1"/>
  <c r="AL17" i="126" s="1"/>
  <c r="AK45" i="107" s="1"/>
  <c r="AI6" i="115"/>
  <c r="AI14" i="115" s="1"/>
  <c r="AI6" i="125"/>
  <c r="AI6" i="109"/>
  <c r="AL52" i="126"/>
  <c r="AL40" i="34"/>
  <c r="AL63" i="34" s="1"/>
  <c r="AK42" i="70" l="1"/>
  <c r="E64" i="85"/>
  <c r="AI63" i="115"/>
  <c r="AI66" i="115" s="1"/>
  <c r="AJ15" i="115"/>
  <c r="AK16" i="115" s="1"/>
  <c r="AL17" i="115" s="1"/>
  <c r="AM18" i="115" s="1"/>
  <c r="AN19" i="115" s="1"/>
  <c r="AO20" i="115" s="1"/>
  <c r="AP21" i="115" s="1"/>
  <c r="AQ22" i="115" s="1"/>
  <c r="AR23" i="115" s="1"/>
  <c r="AS24" i="115" s="1"/>
  <c r="AT25" i="115" s="1"/>
  <c r="AU26" i="115" s="1"/>
  <c r="AV27" i="115" s="1"/>
  <c r="AW28" i="115" s="1"/>
  <c r="AS23" i="109"/>
  <c r="AQ21" i="109"/>
  <c r="AK15" i="109"/>
  <c r="AP20" i="109"/>
  <c r="AJ14" i="109"/>
  <c r="AN18" i="109"/>
  <c r="AO19" i="109"/>
  <c r="AR22" i="109"/>
  <c r="AT24" i="109"/>
  <c r="AI9" i="109"/>
  <c r="AL16" i="109"/>
  <c r="AU25" i="109"/>
  <c r="AM17" i="109"/>
  <c r="AR13" i="109"/>
  <c r="AU13" i="109"/>
  <c r="AI13" i="109"/>
  <c r="AI62" i="109" s="1"/>
  <c r="AI65" i="109" s="1"/>
  <c r="AO13" i="109"/>
  <c r="AL13" i="109"/>
  <c r="AI14" i="125"/>
  <c r="M22" i="85" l="1"/>
  <c r="AJ15" i="125"/>
  <c r="AK16" i="125" s="1"/>
  <c r="AL17" i="125" s="1"/>
  <c r="AM18" i="125" s="1"/>
  <c r="AN19" i="125" s="1"/>
  <c r="AO20" i="125" s="1"/>
  <c r="AP21" i="125" s="1"/>
  <c r="AQ22" i="125" s="1"/>
  <c r="AR23" i="125" s="1"/>
  <c r="AS24" i="125" s="1"/>
  <c r="AT25" i="125" s="1"/>
  <c r="AU26" i="125" s="1"/>
  <c r="AV27" i="125" s="1"/>
  <c r="AW28" i="125" s="1"/>
  <c r="AI63" i="125"/>
  <c r="AI66" i="125" s="1"/>
  <c r="AL11" i="34" s="1"/>
  <c r="AL3" i="65"/>
  <c r="AL5" i="65" s="1"/>
  <c r="AJ11" i="11" s="1"/>
  <c r="AL20" i="34" s="1"/>
  <c r="AL10" i="65"/>
  <c r="AL11" i="65" s="1"/>
  <c r="AJ8" i="11" s="1"/>
  <c r="AW27" i="109"/>
  <c r="AV26" i="109"/>
  <c r="AL12" i="34"/>
  <c r="AL7" i="67" l="1"/>
  <c r="AL11" i="67" s="1"/>
  <c r="AJ9" i="11" s="1"/>
  <c r="AL27" i="34" s="1"/>
  <c r="AM62" i="69"/>
  <c r="AL26" i="34"/>
  <c r="AL17" i="34"/>
  <c r="AL22" i="34" s="1"/>
  <c r="AJ13" i="11"/>
  <c r="AL29" i="34" s="1"/>
  <c r="AM68" i="69" l="1"/>
  <c r="AM65" i="69"/>
  <c r="AJ10" i="11"/>
  <c r="AJ49" i="11" s="1"/>
  <c r="AL30" i="34"/>
  <c r="AL33" i="34" s="1"/>
  <c r="AN63" i="69"/>
  <c r="AM9" i="69"/>
  <c r="AM28" i="69"/>
  <c r="AM29" i="69" l="1"/>
  <c r="AL17" i="70" s="1"/>
  <c r="AN61" i="69"/>
  <c r="AL13" i="70"/>
  <c r="AL34" i="34"/>
  <c r="AL66" i="34"/>
  <c r="AL15" i="70"/>
  <c r="AM33" i="69" l="1"/>
  <c r="AM36" i="69" s="1"/>
  <c r="AL69" i="34"/>
  <c r="AL74" i="34"/>
  <c r="AL78" i="34" l="1"/>
  <c r="AL82" i="34" l="1"/>
  <c r="AL9" i="70" l="1"/>
  <c r="AL19" i="70" s="1"/>
  <c r="AM50" i="69"/>
  <c r="AL84" i="34" l="1"/>
  <c r="AM51" i="69"/>
  <c r="AM52" i="69" s="1"/>
  <c r="AL40" i="70"/>
  <c r="AL41" i="70" s="1"/>
  <c r="AM8" i="69" s="1"/>
  <c r="AM12" i="69" l="1"/>
  <c r="AM24" i="69" s="1"/>
  <c r="AM53" i="69" s="1"/>
  <c r="AM39" i="70"/>
  <c r="AL85" i="34"/>
  <c r="AL86" i="34"/>
  <c r="AM48" i="126"/>
  <c r="AL42" i="70" l="1"/>
  <c r="AM51" i="126"/>
  <c r="AM9" i="126"/>
  <c r="AM50" i="126"/>
  <c r="AL46" i="107" l="1"/>
  <c r="AM10" i="126"/>
  <c r="AK54" i="132"/>
  <c r="AK56" i="132" s="1"/>
  <c r="AK18" i="11" s="1"/>
  <c r="AM15" i="126"/>
  <c r="AM16" i="126" s="1"/>
  <c r="AJ6" i="109"/>
  <c r="AJ6" i="115"/>
  <c r="AJ14" i="115" s="1"/>
  <c r="AJ6" i="125"/>
  <c r="AM52" i="126"/>
  <c r="AJ14" i="125" l="1"/>
  <c r="AK15" i="125" s="1"/>
  <c r="AL16" i="125" s="1"/>
  <c r="AM17" i="125" s="1"/>
  <c r="AN18" i="125" s="1"/>
  <c r="AO19" i="125" s="1"/>
  <c r="AP20" i="125" s="1"/>
  <c r="AQ21" i="125" s="1"/>
  <c r="AR22" i="125" s="1"/>
  <c r="AS23" i="125" s="1"/>
  <c r="AT24" i="125" s="1"/>
  <c r="AU25" i="125" s="1"/>
  <c r="AV26" i="125" s="1"/>
  <c r="AW27" i="125" s="1"/>
  <c r="AK19" i="11"/>
  <c r="AK40" i="11" s="1"/>
  <c r="AM39" i="34"/>
  <c r="AM17" i="126"/>
  <c r="AL45" i="107" s="1"/>
  <c r="AJ63" i="115"/>
  <c r="AJ66" i="115" s="1"/>
  <c r="AK15" i="115"/>
  <c r="AL16" i="115" s="1"/>
  <c r="AM17" i="115" s="1"/>
  <c r="AN18" i="115" s="1"/>
  <c r="AO19" i="115" s="1"/>
  <c r="AP20" i="115" s="1"/>
  <c r="AQ21" i="115" s="1"/>
  <c r="AR22" i="115" s="1"/>
  <c r="AS23" i="115" s="1"/>
  <c r="AT24" i="115" s="1"/>
  <c r="AU25" i="115" s="1"/>
  <c r="AV26" i="115" s="1"/>
  <c r="AW27" i="115" s="1"/>
  <c r="AO18" i="109"/>
  <c r="AN17" i="109"/>
  <c r="AL15" i="109"/>
  <c r="AT23" i="109"/>
  <c r="AR21" i="109"/>
  <c r="AP19" i="109"/>
  <c r="AM16" i="109"/>
  <c r="AK14" i="109"/>
  <c r="AU24" i="109"/>
  <c r="AS22" i="109"/>
  <c r="AJ9" i="109"/>
  <c r="AQ20" i="109"/>
  <c r="AV25" i="109"/>
  <c r="AW26" i="109" s="1"/>
  <c r="AM13" i="109"/>
  <c r="AJ13" i="109"/>
  <c r="AJ62" i="109" s="1"/>
  <c r="AJ65" i="109" s="1"/>
  <c r="AP13" i="109"/>
  <c r="AV13" i="109"/>
  <c r="AS13" i="109"/>
  <c r="AJ63" i="125" l="1"/>
  <c r="AJ66" i="125" s="1"/>
  <c r="AM11" i="34" s="1"/>
  <c r="AM3" i="65"/>
  <c r="AM5" i="65" s="1"/>
  <c r="AK11" i="11" s="1"/>
  <c r="AM20" i="34" s="1"/>
  <c r="AM10" i="65"/>
  <c r="AM11" i="65" s="1"/>
  <c r="AK8" i="11" s="1"/>
  <c r="AM12" i="34"/>
  <c r="AM40" i="34"/>
  <c r="AM63" i="34" s="1"/>
  <c r="AN62" i="69" l="1"/>
  <c r="AN65" i="69" s="1"/>
  <c r="AM7" i="67"/>
  <c r="AM11" i="67" s="1"/>
  <c r="AK9" i="11" s="1"/>
  <c r="AM27" i="34" s="1"/>
  <c r="AM17" i="34"/>
  <c r="AK13" i="11"/>
  <c r="AM29" i="34" s="1"/>
  <c r="AO61" i="69"/>
  <c r="AN29" i="69"/>
  <c r="AM17" i="70" s="1"/>
  <c r="AM22" i="34"/>
  <c r="AN9" i="69" s="1"/>
  <c r="AN68" i="69"/>
  <c r="AO63" i="69"/>
  <c r="AM26" i="34"/>
  <c r="AK10" i="11" l="1"/>
  <c r="AK49" i="11" s="1"/>
  <c r="AN28" i="69"/>
  <c r="AM15" i="70" s="1"/>
  <c r="AM30" i="34"/>
  <c r="AM33" i="34" s="1"/>
  <c r="AM13" i="70"/>
  <c r="AN33" i="69" l="1"/>
  <c r="AN36" i="69" s="1"/>
  <c r="AM34" i="34"/>
  <c r="AM66" i="34"/>
  <c r="AM69" i="34" l="1"/>
  <c r="AM74" i="34"/>
  <c r="AM78" i="34" l="1"/>
  <c r="AM82" i="34" l="1"/>
  <c r="AM9" i="70" l="1"/>
  <c r="AM19" i="70" s="1"/>
  <c r="AN50" i="69"/>
  <c r="AN48" i="126"/>
  <c r="AM84" i="34" l="1"/>
  <c r="AN51" i="69"/>
  <c r="AN52" i="69" s="1"/>
  <c r="AM40" i="70"/>
  <c r="AM41" i="70" s="1"/>
  <c r="AN8" i="69" s="1"/>
  <c r="AN51" i="126"/>
  <c r="O7" i="116" s="1"/>
  <c r="U7" i="116" s="1"/>
  <c r="AN50" i="126"/>
  <c r="O9" i="116" s="1"/>
  <c r="AN9" i="126"/>
  <c r="AN39" i="70" l="1"/>
  <c r="AN12" i="69"/>
  <c r="AN24" i="69" s="1"/>
  <c r="AN53" i="69" s="1"/>
  <c r="U9" i="116"/>
  <c r="O8" i="116"/>
  <c r="O10" i="116"/>
  <c r="AM86" i="34"/>
  <c r="AM85" i="34"/>
  <c r="AM46" i="107"/>
  <c r="AN10" i="126"/>
  <c r="AL54" i="132"/>
  <c r="AL56" i="132" s="1"/>
  <c r="AL18" i="11" s="1"/>
  <c r="AN15" i="126"/>
  <c r="AN16" i="126" s="1"/>
  <c r="AK6" i="115"/>
  <c r="AK14" i="115" s="1"/>
  <c r="AK6" i="109"/>
  <c r="AK6" i="125"/>
  <c r="AN52" i="126"/>
  <c r="U8" i="116" l="1"/>
  <c r="U10" i="116"/>
  <c r="U13" i="116"/>
  <c r="U14" i="116" s="1"/>
  <c r="U20" i="116"/>
  <c r="AK14" i="125"/>
  <c r="AL15" i="125" s="1"/>
  <c r="AM16" i="125" s="1"/>
  <c r="AN17" i="125" s="1"/>
  <c r="AO18" i="125" s="1"/>
  <c r="AP19" i="125" s="1"/>
  <c r="AQ20" i="125" s="1"/>
  <c r="AR21" i="125" s="1"/>
  <c r="AS22" i="125" s="1"/>
  <c r="AT23" i="125" s="1"/>
  <c r="AU24" i="125" s="1"/>
  <c r="AV25" i="125" s="1"/>
  <c r="AW26" i="125" s="1"/>
  <c r="O11" i="116"/>
  <c r="U11" i="116" s="1"/>
  <c r="AM42" i="70"/>
  <c r="AK63" i="125"/>
  <c r="AK66" i="125" s="1"/>
  <c r="AN11" i="34" s="1"/>
  <c r="AL19" i="11"/>
  <c r="AL40" i="11" s="1"/>
  <c r="AN39" i="34"/>
  <c r="AS15" i="109"/>
  <c r="AS16" i="109"/>
  <c r="AT17" i="109"/>
  <c r="AW21" i="109"/>
  <c r="AS17" i="109"/>
  <c r="AV21" i="109"/>
  <c r="AO14" i="109"/>
  <c r="AR19" i="109"/>
  <c r="AU15" i="109"/>
  <c r="AT16" i="109"/>
  <c r="AQ19" i="109"/>
  <c r="AQ14" i="109"/>
  <c r="AV16" i="109"/>
  <c r="AP14" i="109"/>
  <c r="AS18" i="109"/>
  <c r="AS21" i="109"/>
  <c r="AU20" i="109"/>
  <c r="AT20" i="109"/>
  <c r="AR15" i="109"/>
  <c r="AR20" i="109"/>
  <c r="AK9" i="109"/>
  <c r="AP15" i="109"/>
  <c r="AS19" i="109"/>
  <c r="AW16" i="109"/>
  <c r="AU21" i="109"/>
  <c r="AO16" i="109"/>
  <c r="AV20" i="109"/>
  <c r="AU16" i="109"/>
  <c r="AU23" i="109"/>
  <c r="AL14" i="109"/>
  <c r="AL62" i="109" s="1"/>
  <c r="AL65" i="109" s="1"/>
  <c r="AR16" i="109"/>
  <c r="AW23" i="109"/>
  <c r="AQ15" i="109"/>
  <c r="AQ17" i="109"/>
  <c r="AR14" i="109"/>
  <c r="AV24" i="109"/>
  <c r="AV15" i="109"/>
  <c r="AN14" i="109"/>
  <c r="AV23" i="109"/>
  <c r="AW22" i="109"/>
  <c r="AQ18" i="109"/>
  <c r="AW19" i="109"/>
  <c r="AM14" i="109"/>
  <c r="AU18" i="109"/>
  <c r="AO17" i="109"/>
  <c r="AU17" i="109"/>
  <c r="AW15" i="109"/>
  <c r="AV17" i="109"/>
  <c r="AV19" i="109"/>
  <c r="AU14" i="109"/>
  <c r="AQ16" i="109"/>
  <c r="AV14" i="109"/>
  <c r="AP17" i="109"/>
  <c r="AW17" i="109"/>
  <c r="AN15" i="109"/>
  <c r="AO15" i="109"/>
  <c r="AT22" i="109"/>
  <c r="AT19" i="109"/>
  <c r="AP16" i="109"/>
  <c r="AU22" i="109"/>
  <c r="AV22" i="109"/>
  <c r="AP18" i="109"/>
  <c r="AR18" i="109"/>
  <c r="AS20" i="109"/>
  <c r="AR17" i="109"/>
  <c r="AW20" i="109"/>
  <c r="AT14" i="109"/>
  <c r="AW18" i="109"/>
  <c r="AN16" i="109"/>
  <c r="AW24" i="109"/>
  <c r="AW14" i="109"/>
  <c r="AV18" i="109"/>
  <c r="AW25" i="109"/>
  <c r="AT18" i="109"/>
  <c r="AT15" i="109"/>
  <c r="AS14" i="109"/>
  <c r="AM15" i="109"/>
  <c r="AT21" i="109"/>
  <c r="AN13" i="109"/>
  <c r="AU19" i="109"/>
  <c r="AT13" i="109"/>
  <c r="AW13" i="109"/>
  <c r="AK13" i="109"/>
  <c r="AK62" i="109" s="1"/>
  <c r="AK65" i="109" s="1"/>
  <c r="AQ13" i="109"/>
  <c r="AN17" i="126"/>
  <c r="AM45" i="107" s="1"/>
  <c r="AK63" i="115"/>
  <c r="AK66" i="115" s="1"/>
  <c r="AL15" i="115"/>
  <c r="AM16" i="115" s="1"/>
  <c r="AN17" i="115" s="1"/>
  <c r="AO18" i="115" s="1"/>
  <c r="AP19" i="115" s="1"/>
  <c r="AQ20" i="115" s="1"/>
  <c r="AR21" i="115" s="1"/>
  <c r="AS22" i="115" s="1"/>
  <c r="AT23" i="115" s="1"/>
  <c r="AU24" i="115" s="1"/>
  <c r="AV25" i="115" s="1"/>
  <c r="AW26" i="115" s="1"/>
  <c r="AW62" i="109" l="1"/>
  <c r="AW65" i="109" s="1"/>
  <c r="AZ3" i="65" s="1"/>
  <c r="AZ5" i="65" s="1"/>
  <c r="AX11" i="11" s="1"/>
  <c r="AZ20" i="34" s="1"/>
  <c r="AO10" i="65"/>
  <c r="AO11" i="65" s="1"/>
  <c r="AM8" i="11" s="1"/>
  <c r="AO3" i="65"/>
  <c r="AO5" i="65" s="1"/>
  <c r="AM11" i="11" s="1"/>
  <c r="AO20" i="34" s="1"/>
  <c r="AP62" i="109"/>
  <c r="AP65" i="109" s="1"/>
  <c r="AT62" i="109"/>
  <c r="AT65" i="109" s="1"/>
  <c r="AW3" i="65" s="1"/>
  <c r="AW5" i="65" s="1"/>
  <c r="AU11" i="11" s="1"/>
  <c r="AW20" i="34" s="1"/>
  <c r="N6" i="57"/>
  <c r="AQ62" i="109"/>
  <c r="AQ65" i="109" s="1"/>
  <c r="AT10" i="65" s="1"/>
  <c r="AT11" i="65" s="1"/>
  <c r="AR8" i="11" s="1"/>
  <c r="AS62" i="109"/>
  <c r="AS65" i="109" s="1"/>
  <c r="AV62" i="109"/>
  <c r="AV65" i="109" s="1"/>
  <c r="AU62" i="109"/>
  <c r="AU65" i="109" s="1"/>
  <c r="AN62" i="109"/>
  <c r="AN65" i="109" s="1"/>
  <c r="AQ10" i="65" s="1"/>
  <c r="AQ11" i="65" s="1"/>
  <c r="AO8" i="11" s="1"/>
  <c r="AM62" i="109"/>
  <c r="AM65" i="109" s="1"/>
  <c r="AR62" i="109"/>
  <c r="AR65" i="109" s="1"/>
  <c r="AO62" i="109"/>
  <c r="AO65" i="109" s="1"/>
  <c r="AO62" i="69"/>
  <c r="AO65" i="69" s="1"/>
  <c r="AL13" i="11"/>
  <c r="AN29" i="34" s="1"/>
  <c r="N24" i="57" s="1"/>
  <c r="AN3" i="65"/>
  <c r="AN5" i="65" s="1"/>
  <c r="AL11" i="11" s="1"/>
  <c r="AN20" i="34" s="1"/>
  <c r="N15" i="57" s="1"/>
  <c r="AN10" i="65"/>
  <c r="AN11" i="65" s="1"/>
  <c r="AL8" i="11" s="1"/>
  <c r="AT3" i="65"/>
  <c r="AT5" i="65" s="1"/>
  <c r="AR11" i="11" s="1"/>
  <c r="AT20" i="34" s="1"/>
  <c r="G38" i="58"/>
  <c r="G39" i="58" s="1"/>
  <c r="AN40" i="34"/>
  <c r="AN63" i="34" s="1"/>
  <c r="S38" i="58"/>
  <c r="S39" i="58" s="1"/>
  <c r="N34" i="57"/>
  <c r="N35" i="57" s="1"/>
  <c r="AZ10" i="65"/>
  <c r="AZ11" i="65" s="1"/>
  <c r="AX8" i="11" s="1"/>
  <c r="AN7" i="67"/>
  <c r="AN11" i="67" s="1"/>
  <c r="AL9" i="11" s="1"/>
  <c r="AN27" i="34" s="1"/>
  <c r="N22" i="57" s="1"/>
  <c r="AN12" i="34"/>
  <c r="N7" i="57" s="1"/>
  <c r="AW10" i="65" l="1"/>
  <c r="AW11" i="65" s="1"/>
  <c r="AU8" i="11" s="1"/>
  <c r="AQ3" i="65"/>
  <c r="AQ5" i="65" s="1"/>
  <c r="AO11" i="11" s="1"/>
  <c r="AQ20" i="34" s="1"/>
  <c r="AP10" i="65"/>
  <c r="AP11" i="65" s="1"/>
  <c r="AN8" i="11" s="1"/>
  <c r="AP3" i="65"/>
  <c r="AP5" i="65" s="1"/>
  <c r="AN11" i="11" s="1"/>
  <c r="AP20" i="34" s="1"/>
  <c r="AV3" i="65"/>
  <c r="AV5" i="65" s="1"/>
  <c r="AT11" i="11" s="1"/>
  <c r="AV20" i="34" s="1"/>
  <c r="AV10" i="65"/>
  <c r="AV11" i="65" s="1"/>
  <c r="AT8" i="11" s="1"/>
  <c r="AS10" i="65"/>
  <c r="AS11" i="65" s="1"/>
  <c r="AQ8" i="11" s="1"/>
  <c r="AS3" i="65"/>
  <c r="AS5" i="65" s="1"/>
  <c r="AQ11" i="11" s="1"/>
  <c r="AS20" i="34" s="1"/>
  <c r="AR3" i="65"/>
  <c r="AR5" i="65" s="1"/>
  <c r="AP11" i="11" s="1"/>
  <c r="AR20" i="34" s="1"/>
  <c r="AR10" i="65"/>
  <c r="AR11" i="65" s="1"/>
  <c r="AP8" i="11" s="1"/>
  <c r="AX3" i="65"/>
  <c r="AX5" i="65" s="1"/>
  <c r="AV11" i="11" s="1"/>
  <c r="AX20" i="34" s="1"/>
  <c r="AX10" i="65"/>
  <c r="AX11" i="65" s="1"/>
  <c r="AV8" i="11" s="1"/>
  <c r="N12" i="57"/>
  <c r="N17" i="57" s="1"/>
  <c r="S19" i="58"/>
  <c r="G19" i="58"/>
  <c r="AO29" i="69"/>
  <c r="AN17" i="70" s="1"/>
  <c r="AP61" i="69"/>
  <c r="AU10" i="65"/>
  <c r="AU11" i="65" s="1"/>
  <c r="AS8" i="11" s="1"/>
  <c r="AU3" i="65"/>
  <c r="AU5" i="65" s="1"/>
  <c r="AS11" i="11" s="1"/>
  <c r="AU20" i="34" s="1"/>
  <c r="AY3" i="65"/>
  <c r="AY5" i="65" s="1"/>
  <c r="AW11" i="11" s="1"/>
  <c r="AY20" i="34" s="1"/>
  <c r="AY10" i="65"/>
  <c r="AY11" i="65" s="1"/>
  <c r="AW8" i="11" s="1"/>
  <c r="AN17" i="34"/>
  <c r="AN22" i="34" s="1"/>
  <c r="T6" i="85" s="1"/>
  <c r="AO26" i="34"/>
  <c r="N15" i="85"/>
  <c r="AT26" i="34"/>
  <c r="AW26" i="34"/>
  <c r="S62" i="58"/>
  <c r="N58" i="57"/>
  <c r="N18" i="85" s="1"/>
  <c r="AZ26" i="34"/>
  <c r="AL10" i="11"/>
  <c r="AL49" i="11" s="1"/>
  <c r="AN26" i="34"/>
  <c r="AQ26" i="34"/>
  <c r="AO68" i="69"/>
  <c r="AP63" i="69"/>
  <c r="O15" i="57" l="1"/>
  <c r="T19" i="58"/>
  <c r="H19" i="58"/>
  <c r="AO28" i="69"/>
  <c r="AO33" i="69" s="1"/>
  <c r="AO36" i="69" s="1"/>
  <c r="N21" i="57"/>
  <c r="N25" i="57" s="1"/>
  <c r="N12" i="85" s="1"/>
  <c r="AX26" i="34"/>
  <c r="U22" i="116"/>
  <c r="O22" i="116"/>
  <c r="Q15" i="57"/>
  <c r="R15" i="57"/>
  <c r="AS26" i="34"/>
  <c r="AR26" i="34"/>
  <c r="AP26" i="34"/>
  <c r="O21" i="57" s="1"/>
  <c r="T5" i="85"/>
  <c r="T8" i="85"/>
  <c r="T26" i="85"/>
  <c r="AU26" i="34"/>
  <c r="AO9" i="69"/>
  <c r="N23" i="85" s="1"/>
  <c r="T23" i="85" s="1"/>
  <c r="U23" i="85" s="1"/>
  <c r="V23" i="85" s="1"/>
  <c r="W23" i="85" s="1"/>
  <c r="X23" i="85" s="1"/>
  <c r="Y23" i="85" s="1"/>
  <c r="S25" i="58"/>
  <c r="G25" i="58"/>
  <c r="AY26" i="34"/>
  <c r="N6" i="85"/>
  <c r="P15" i="57"/>
  <c r="AV26" i="34"/>
  <c r="AN30" i="34"/>
  <c r="AN33" i="34" s="1"/>
  <c r="T15" i="85"/>
  <c r="U19" i="116" s="1"/>
  <c r="O19" i="116"/>
  <c r="T18" i="85"/>
  <c r="AN13" i="70" l="1"/>
  <c r="AN15" i="70"/>
  <c r="P21" i="57"/>
  <c r="H25" i="58"/>
  <c r="N28" i="57"/>
  <c r="N60" i="57" s="1"/>
  <c r="N62" i="57" s="1"/>
  <c r="U9" i="85"/>
  <c r="T28" i="85"/>
  <c r="T29" i="85" s="1"/>
  <c r="T9" i="85"/>
  <c r="T25" i="58"/>
  <c r="R21" i="57"/>
  <c r="N13" i="85"/>
  <c r="T12" i="85"/>
  <c r="T13" i="85" s="1"/>
  <c r="T14" i="85" s="1"/>
  <c r="N29" i="57"/>
  <c r="N8" i="85"/>
  <c r="O24" i="116"/>
  <c r="N26" i="85"/>
  <c r="U26" i="85" s="1"/>
  <c r="V26" i="85" s="1"/>
  <c r="W26" i="85" s="1"/>
  <c r="X26" i="85" s="1"/>
  <c r="Y26" i="85" s="1"/>
  <c r="Q21" i="57"/>
  <c r="U33" i="116"/>
  <c r="AN34" i="34"/>
  <c r="AN66" i="34"/>
  <c r="O33" i="116"/>
  <c r="O30" i="116" l="1"/>
  <c r="O32" i="116" s="1"/>
  <c r="O34" i="116" s="1"/>
  <c r="U24" i="116"/>
  <c r="U30" i="116" s="1"/>
  <c r="U32" i="116" s="1"/>
  <c r="U34" i="116" s="1"/>
  <c r="N9" i="85"/>
  <c r="N10" i="85"/>
  <c r="N14" i="85"/>
  <c r="N19" i="85"/>
  <c r="AN69" i="34"/>
  <c r="AN74" i="34"/>
  <c r="AN78" i="34" l="1"/>
  <c r="N67" i="57"/>
  <c r="N27" i="85"/>
  <c r="T19" i="85"/>
  <c r="T27" i="85" s="1"/>
  <c r="AN82" i="34" l="1"/>
  <c r="N71" i="57"/>
  <c r="N75" i="57" l="1"/>
  <c r="AN9" i="70"/>
  <c r="AN19" i="70" s="1"/>
  <c r="AO50" i="69"/>
  <c r="BA50" i="126"/>
  <c r="BA15" i="126" s="1"/>
  <c r="BA16" i="126" s="1"/>
  <c r="BK10" i="126"/>
  <c r="BK17" i="126" s="1"/>
  <c r="BJ45" i="107" s="1"/>
  <c r="BK48" i="126"/>
  <c r="BK9" i="126"/>
  <c r="BH48" i="126"/>
  <c r="BH9" i="126"/>
  <c r="BF49" i="132" s="1"/>
  <c r="BF54" i="132" s="1"/>
  <c r="BF56" i="132" s="1"/>
  <c r="BF18" i="11" s="1"/>
  <c r="BI48" i="126"/>
  <c r="BI9" i="126"/>
  <c r="BF48" i="126"/>
  <c r="BF9" i="126" s="1"/>
  <c r="BE48" i="126"/>
  <c r="BC48" i="126"/>
  <c r="BC9" i="126"/>
  <c r="AX48" i="126"/>
  <c r="BG48" i="126"/>
  <c r="AZ48" i="126"/>
  <c r="AV48" i="126"/>
  <c r="AR9" i="126"/>
  <c r="AR48" i="126"/>
  <c r="AR50" i="126"/>
  <c r="BL48" i="126"/>
  <c r="BL9" i="126"/>
  <c r="BB48" i="126"/>
  <c r="BB9" i="126"/>
  <c r="AW48" i="126"/>
  <c r="AW9" i="126"/>
  <c r="BA9" i="126"/>
  <c r="BA48" i="126"/>
  <c r="BJ48" i="126"/>
  <c r="AP9" i="126"/>
  <c r="AP48" i="126"/>
  <c r="AP50" i="126"/>
  <c r="BD48" i="126"/>
  <c r="BD9" i="126"/>
  <c r="AT48" i="126"/>
  <c r="AU9" i="126"/>
  <c r="AU48" i="126"/>
  <c r="AU50" i="126"/>
  <c r="AO48" i="126"/>
  <c r="AQ48" i="126"/>
  <c r="AY9" i="126"/>
  <c r="AY48" i="126"/>
  <c r="AY50" i="126"/>
  <c r="AS48" i="126"/>
  <c r="AO51" i="69" l="1"/>
  <c r="AO52" i="69" s="1"/>
  <c r="AN84" i="34"/>
  <c r="AN40" i="70"/>
  <c r="AN41" i="70" s="1"/>
  <c r="AO8" i="69" s="1"/>
  <c r="O36" i="116"/>
  <c r="AO9" i="126"/>
  <c r="AO50" i="126"/>
  <c r="AO51" i="126"/>
  <c r="AV6" i="109"/>
  <c r="AY15" i="126"/>
  <c r="AY16" i="126" s="1"/>
  <c r="AV6" i="125"/>
  <c r="AV14" i="125" s="1"/>
  <c r="AV6" i="115"/>
  <c r="AV14" i="115" s="1"/>
  <c r="AT51" i="126"/>
  <c r="AT9" i="126"/>
  <c r="AT50" i="126"/>
  <c r="AT52" i="126" s="1"/>
  <c r="AM6" i="109"/>
  <c r="AP15" i="126"/>
  <c r="AP16" i="126" s="1"/>
  <c r="AM6" i="115"/>
  <c r="AM14" i="115" s="1"/>
  <c r="AZ51" i="126"/>
  <c r="AZ9" i="126"/>
  <c r="AZ50" i="126"/>
  <c r="AZ52" i="126" s="1"/>
  <c r="BF19" i="11"/>
  <c r="BF40" i="11" s="1"/>
  <c r="BH39" i="34"/>
  <c r="BH40" i="34" s="1"/>
  <c r="BH63" i="34" s="1"/>
  <c r="AQ51" i="126"/>
  <c r="AQ50" i="126"/>
  <c r="AQ52" i="126" s="1"/>
  <c r="AQ9" i="126"/>
  <c r="AV46" i="107"/>
  <c r="AW10" i="126"/>
  <c r="AU49" i="132"/>
  <c r="AU54" i="132" s="1"/>
  <c r="AU56" i="132" s="1"/>
  <c r="AU18" i="11" s="1"/>
  <c r="AV51" i="126"/>
  <c r="AV9" i="126"/>
  <c r="AV50" i="126"/>
  <c r="AV52" i="126" s="1"/>
  <c r="AT46" i="107"/>
  <c r="AU10" i="126"/>
  <c r="AS49" i="132"/>
  <c r="AS54" i="132" s="1"/>
  <c r="AS56" i="132" s="1"/>
  <c r="AS18" i="11" s="1"/>
  <c r="BJ51" i="126"/>
  <c r="BJ52" i="126"/>
  <c r="BJ9" i="126"/>
  <c r="AZ46" i="107"/>
  <c r="AY49" i="132"/>
  <c r="AY54" i="132" s="1"/>
  <c r="AY56" i="132" s="1"/>
  <c r="AY18" i="11" s="1"/>
  <c r="BA10" i="126"/>
  <c r="BA17" i="126" s="1"/>
  <c r="AZ45" i="107" s="1"/>
  <c r="BA46" i="107"/>
  <c r="BB10" i="126"/>
  <c r="BB17" i="126" s="1"/>
  <c r="BA45" i="107" s="1"/>
  <c r="AZ49" i="132"/>
  <c r="AZ54" i="132" s="1"/>
  <c r="AZ56" i="132" s="1"/>
  <c r="AZ18" i="11" s="1"/>
  <c r="BL10" i="126"/>
  <c r="BL17" i="126" s="1"/>
  <c r="BK45" i="107" s="1"/>
  <c r="BK46" i="107"/>
  <c r="BJ49" i="132"/>
  <c r="BJ54" i="132" s="1"/>
  <c r="BJ56" i="132" s="1"/>
  <c r="BJ18" i="11" s="1"/>
  <c r="AQ46" i="107"/>
  <c r="AR10" i="126"/>
  <c r="AP49" i="132"/>
  <c r="AP54" i="132" s="1"/>
  <c r="AP56" i="132" s="1"/>
  <c r="AP18" i="11" s="1"/>
  <c r="AM6" i="125"/>
  <c r="AM14" i="125" s="1"/>
  <c r="BG52" i="126"/>
  <c r="BG51" i="126"/>
  <c r="BG9" i="126"/>
  <c r="AS51" i="126"/>
  <c r="AS9" i="126"/>
  <c r="AS50" i="126"/>
  <c r="AS52" i="126" s="1"/>
  <c r="AX46" i="107"/>
  <c r="AY10" i="126"/>
  <c r="AY17" i="126" s="1"/>
  <c r="AX45" i="107" s="1"/>
  <c r="AW49" i="132"/>
  <c r="AW54" i="132" s="1"/>
  <c r="AW56" i="132" s="1"/>
  <c r="AW18" i="11" s="1"/>
  <c r="AR6" i="109"/>
  <c r="AU15" i="126"/>
  <c r="AU16" i="126" s="1"/>
  <c r="AR6" i="125"/>
  <c r="AR14" i="125" s="1"/>
  <c r="AR6" i="115"/>
  <c r="AR14" i="115" s="1"/>
  <c r="BD10" i="126"/>
  <c r="BD17" i="126" s="1"/>
  <c r="BC45" i="107" s="1"/>
  <c r="BB49" i="132"/>
  <c r="BB54" i="132" s="1"/>
  <c r="BB56" i="132" s="1"/>
  <c r="BB18" i="11" s="1"/>
  <c r="BC46" i="107"/>
  <c r="AP10" i="126"/>
  <c r="AO46" i="107"/>
  <c r="AN49" i="132"/>
  <c r="AN54" i="132" s="1"/>
  <c r="AN56" i="132" s="1"/>
  <c r="AN18" i="11" s="1"/>
  <c r="AR15" i="126"/>
  <c r="AR16" i="126" s="1"/>
  <c r="AO6" i="109"/>
  <c r="AO6" i="125"/>
  <c r="AO14" i="125" s="1"/>
  <c r="AO6" i="115"/>
  <c r="AO14" i="115" s="1"/>
  <c r="AX51" i="126"/>
  <c r="AX50" i="126"/>
  <c r="AX52" i="126" s="1"/>
  <c r="AX9" i="126"/>
  <c r="BE52" i="126"/>
  <c r="BE51" i="126"/>
  <c r="BE9" i="126"/>
  <c r="BB46" i="107"/>
  <c r="BC10" i="126"/>
  <c r="BC17" i="126" s="1"/>
  <c r="BB45" i="107" s="1"/>
  <c r="BE46" i="107"/>
  <c r="BF10" i="126"/>
  <c r="BF17" i="126" s="1"/>
  <c r="BE45" i="107" s="1"/>
  <c r="BH46" i="107"/>
  <c r="BG49" i="132"/>
  <c r="BG54" i="132" s="1"/>
  <c r="BG56" i="132" s="1"/>
  <c r="BG18" i="11" s="1"/>
  <c r="BI10" i="126"/>
  <c r="BI17" i="126" s="1"/>
  <c r="BH45" i="107" s="1"/>
  <c r="BD52" i="126"/>
  <c r="BD51" i="126"/>
  <c r="AP51" i="126"/>
  <c r="AP52" i="126"/>
  <c r="BA51" i="126"/>
  <c r="BA52" i="126"/>
  <c r="BL51" i="126"/>
  <c r="BL52" i="126"/>
  <c r="AR52" i="126"/>
  <c r="AR51" i="126"/>
  <c r="BC52" i="126"/>
  <c r="BC51" i="126"/>
  <c r="AY52" i="126"/>
  <c r="AY51" i="126"/>
  <c r="AU52" i="126"/>
  <c r="AU51" i="126"/>
  <c r="AW51" i="126"/>
  <c r="AW50" i="126"/>
  <c r="AW52" i="126" s="1"/>
  <c r="BB51" i="126"/>
  <c r="BB52" i="126"/>
  <c r="BA49" i="132"/>
  <c r="BA54" i="132" s="1"/>
  <c r="BA56" i="132" s="1"/>
  <c r="BA18" i="11" s="1"/>
  <c r="BD49" i="132"/>
  <c r="BD54" i="132" s="1"/>
  <c r="BD56" i="132" s="1"/>
  <c r="BD18" i="11" s="1"/>
  <c r="BJ46" i="107"/>
  <c r="BI49" i="132"/>
  <c r="BI54" i="132" s="1"/>
  <c r="BI56" i="132" s="1"/>
  <c r="BI18" i="11" s="1"/>
  <c r="BI51" i="126"/>
  <c r="BI52" i="126"/>
  <c r="BK52" i="126"/>
  <c r="BK51" i="126"/>
  <c r="BF52" i="126"/>
  <c r="BF51" i="126"/>
  <c r="BG46" i="107"/>
  <c r="BH10" i="126"/>
  <c r="BH17" i="126" s="1"/>
  <c r="BG45" i="107" s="1"/>
  <c r="BH51" i="126"/>
  <c r="BH52" i="126"/>
  <c r="O38" i="116" l="1"/>
  <c r="N20" i="85" s="1"/>
  <c r="U36" i="116"/>
  <c r="V7" i="116"/>
  <c r="AO39" i="70"/>
  <c r="AO12" i="69"/>
  <c r="AO24" i="69" s="1"/>
  <c r="N21" i="85"/>
  <c r="T21" i="85" s="1"/>
  <c r="AN85" i="34"/>
  <c r="AN86" i="34"/>
  <c r="AO53" i="69"/>
  <c r="AP17" i="126"/>
  <c r="AO45" i="107" s="1"/>
  <c r="AR17" i="126"/>
  <c r="AQ45" i="107" s="1"/>
  <c r="AS15" i="115"/>
  <c r="AT16" i="115" s="1"/>
  <c r="AU17" i="115" s="1"/>
  <c r="AV18" i="115" s="1"/>
  <c r="AW19" i="115" s="1"/>
  <c r="BC39" i="34"/>
  <c r="BC40" i="34" s="1"/>
  <c r="BC63" i="34" s="1"/>
  <c r="BA19" i="11"/>
  <c r="BA40" i="11" s="1"/>
  <c r="AW46" i="107"/>
  <c r="AX10" i="126"/>
  <c r="AV49" i="132"/>
  <c r="AV54" i="132" s="1"/>
  <c r="AV56" i="132" s="1"/>
  <c r="AV18" i="11" s="1"/>
  <c r="AP15" i="115"/>
  <c r="AQ16" i="115" s="1"/>
  <c r="AR17" i="115" s="1"/>
  <c r="AS18" i="115" s="1"/>
  <c r="AT19" i="115" s="1"/>
  <c r="AU20" i="115" s="1"/>
  <c r="AV21" i="115" s="1"/>
  <c r="AW22" i="115" s="1"/>
  <c r="AP39" i="34"/>
  <c r="AP40" i="34" s="1"/>
  <c r="AP63" i="34" s="1"/>
  <c r="AQ28" i="69" s="1"/>
  <c r="AN19" i="11"/>
  <c r="AN40" i="11" s="1"/>
  <c r="BD39" i="34"/>
  <c r="BB19" i="11"/>
  <c r="BB40" i="11" s="1"/>
  <c r="AN15" i="125"/>
  <c r="AO16" i="125" s="1"/>
  <c r="AP17" i="125" s="1"/>
  <c r="AQ18" i="125" s="1"/>
  <c r="AR19" i="125" s="1"/>
  <c r="AS20" i="125" s="1"/>
  <c r="AT21" i="125" s="1"/>
  <c r="AU22" i="125" s="1"/>
  <c r="AV23" i="125" s="1"/>
  <c r="AW24" i="125" s="1"/>
  <c r="BJ19" i="11"/>
  <c r="BJ40" i="11" s="1"/>
  <c r="BL39" i="34"/>
  <c r="BL40" i="34" s="1"/>
  <c r="BL63" i="34" s="1"/>
  <c r="AS19" i="11"/>
  <c r="AS40" i="11" s="1"/>
  <c r="AU39" i="34"/>
  <c r="AU46" i="107"/>
  <c r="AV10" i="126"/>
  <c r="AT49" i="132"/>
  <c r="AT54" i="132" s="1"/>
  <c r="AT56" i="132" s="1"/>
  <c r="AT18" i="11" s="1"/>
  <c r="AW6" i="109"/>
  <c r="AW6" i="125"/>
  <c r="AW14" i="125" s="1"/>
  <c r="AZ15" i="126"/>
  <c r="AZ16" i="126" s="1"/>
  <c r="AW6" i="115"/>
  <c r="AW14" i="115" s="1"/>
  <c r="AN15" i="115"/>
  <c r="AO16" i="115" s="1"/>
  <c r="AP17" i="115" s="1"/>
  <c r="AQ18" i="115" s="1"/>
  <c r="AR19" i="115" s="1"/>
  <c r="AS20" i="115" s="1"/>
  <c r="AT21" i="115" s="1"/>
  <c r="AU22" i="115" s="1"/>
  <c r="AV23" i="115" s="1"/>
  <c r="AW24" i="115" s="1"/>
  <c r="AS46" i="107"/>
  <c r="AT10" i="126"/>
  <c r="AR49" i="132"/>
  <c r="AR54" i="132" s="1"/>
  <c r="AR56" i="132" s="1"/>
  <c r="AR18" i="11" s="1"/>
  <c r="AW15" i="125"/>
  <c r="AL6" i="109"/>
  <c r="AL9" i="109" s="1"/>
  <c r="AM9" i="109" s="1"/>
  <c r="V9" i="116"/>
  <c r="AO15" i="126"/>
  <c r="AO16" i="126" s="1"/>
  <c r="AL6" i="115"/>
  <c r="AL14" i="115" s="1"/>
  <c r="AL6" i="125"/>
  <c r="BI19" i="11"/>
  <c r="BI40" i="11" s="1"/>
  <c r="BK39" i="34"/>
  <c r="BK40" i="34" s="1"/>
  <c r="BK63" i="34" s="1"/>
  <c r="BD46" i="107"/>
  <c r="BE10" i="126"/>
  <c r="BE17" i="126" s="1"/>
  <c r="BD45" i="107" s="1"/>
  <c r="BC49" i="132"/>
  <c r="BC54" i="132" s="1"/>
  <c r="BC56" i="132" s="1"/>
  <c r="BC18" i="11" s="1"/>
  <c r="AU6" i="109"/>
  <c r="AX15" i="126"/>
  <c r="AX16" i="126" s="1"/>
  <c r="AU6" i="115"/>
  <c r="AU14" i="115" s="1"/>
  <c r="AU6" i="125"/>
  <c r="AU14" i="125" s="1"/>
  <c r="AP15" i="125"/>
  <c r="AQ16" i="125" s="1"/>
  <c r="AR17" i="125" s="1"/>
  <c r="AS18" i="125" s="1"/>
  <c r="AT19" i="125" s="1"/>
  <c r="AU20" i="125" s="1"/>
  <c r="AV21" i="125" s="1"/>
  <c r="AW22" i="125" s="1"/>
  <c r="AS15" i="126"/>
  <c r="AS16" i="126" s="1"/>
  <c r="AP6" i="109"/>
  <c r="AP6" i="125"/>
  <c r="AP14" i="125" s="1"/>
  <c r="AP6" i="115"/>
  <c r="AP14" i="115" s="1"/>
  <c r="BF46" i="107"/>
  <c r="BG10" i="126"/>
  <c r="BG17" i="126" s="1"/>
  <c r="BF45" i="107" s="1"/>
  <c r="BE49" i="132"/>
  <c r="BE54" i="132" s="1"/>
  <c r="BE56" i="132" s="1"/>
  <c r="BE18" i="11" s="1"/>
  <c r="AR39" i="34"/>
  <c r="AP19" i="11"/>
  <c r="AP40" i="11" s="1"/>
  <c r="BI46" i="107"/>
  <c r="BJ10" i="126"/>
  <c r="BJ17" i="126" s="1"/>
  <c r="BI45" i="107" s="1"/>
  <c r="BH49" i="132"/>
  <c r="BH54" i="132" s="1"/>
  <c r="BH56" i="132" s="1"/>
  <c r="BH18" i="11" s="1"/>
  <c r="AU17" i="126"/>
  <c r="AT45" i="107" s="1"/>
  <c r="AY46" i="107"/>
  <c r="AZ10" i="126"/>
  <c r="AX49" i="132"/>
  <c r="AX54" i="132" s="1"/>
  <c r="AX56" i="132" s="1"/>
  <c r="AX18" i="11" s="1"/>
  <c r="AN46" i="107"/>
  <c r="AO10" i="126"/>
  <c r="AM49" i="132"/>
  <c r="AM54" i="132" s="1"/>
  <c r="AM56" i="132" s="1"/>
  <c r="AM18" i="11" s="1"/>
  <c r="AW19" i="11"/>
  <c r="AW40" i="11" s="1"/>
  <c r="AY39" i="34"/>
  <c r="AY40" i="34" s="1"/>
  <c r="AY63" i="34" s="1"/>
  <c r="AZ28" i="69" s="1"/>
  <c r="AR46" i="107"/>
  <c r="AS10" i="126"/>
  <c r="AQ49" i="132"/>
  <c r="AQ54" i="132" s="1"/>
  <c r="AQ56" i="132" s="1"/>
  <c r="AQ18" i="11" s="1"/>
  <c r="AP46" i="107"/>
  <c r="AQ10" i="126"/>
  <c r="AO49" i="132"/>
  <c r="AO54" i="132" s="1"/>
  <c r="AO56" i="132" s="1"/>
  <c r="AO18" i="11" s="1"/>
  <c r="BH66" i="34"/>
  <c r="BI28" i="69"/>
  <c r="BD19" i="11"/>
  <c r="BD40" i="11" s="1"/>
  <c r="BF39" i="34"/>
  <c r="BF40" i="34" s="1"/>
  <c r="BF63" i="34" s="1"/>
  <c r="AW15" i="126"/>
  <c r="AW16" i="126" s="1"/>
  <c r="AW17" i="126" s="1"/>
  <c r="AV45" i="107" s="1"/>
  <c r="AT6" i="109"/>
  <c r="AT6" i="115"/>
  <c r="AT14" i="115" s="1"/>
  <c r="AT6" i="125"/>
  <c r="AT14" i="125" s="1"/>
  <c r="BI39" i="34"/>
  <c r="BI40" i="34" s="1"/>
  <c r="BI63" i="34" s="1"/>
  <c r="BG19" i="11"/>
  <c r="BG40" i="11" s="1"/>
  <c r="AS15" i="125"/>
  <c r="AT16" i="125" s="1"/>
  <c r="AU17" i="125" s="1"/>
  <c r="AV18" i="125" s="1"/>
  <c r="AW19" i="125" s="1"/>
  <c r="AZ19" i="11"/>
  <c r="AZ40" i="11" s="1"/>
  <c r="BB39" i="34"/>
  <c r="BB40" i="34" s="1"/>
  <c r="BB63" i="34" s="1"/>
  <c r="BC28" i="69" s="1"/>
  <c r="AY19" i="11"/>
  <c r="AY40" i="11" s="1"/>
  <c r="BA39" i="34"/>
  <c r="AS6" i="109"/>
  <c r="AV15" i="126"/>
  <c r="AV16" i="126" s="1"/>
  <c r="AS6" i="115"/>
  <c r="AS14" i="115" s="1"/>
  <c r="AS6" i="125"/>
  <c r="AS14" i="125" s="1"/>
  <c r="AU19" i="11"/>
  <c r="AU40" i="11" s="1"/>
  <c r="AW39" i="34"/>
  <c r="AW40" i="34" s="1"/>
  <c r="AW63" i="34" s="1"/>
  <c r="AX28" i="69" s="1"/>
  <c r="AQ15" i="126"/>
  <c r="AQ16" i="126" s="1"/>
  <c r="AN6" i="109"/>
  <c r="AN6" i="125"/>
  <c r="AN14" i="125" s="1"/>
  <c r="AN6" i="115"/>
  <c r="AN14" i="115" s="1"/>
  <c r="AQ6" i="109"/>
  <c r="AT15" i="126"/>
  <c r="AT16" i="126" s="1"/>
  <c r="AQ6" i="125"/>
  <c r="AQ14" i="125" s="1"/>
  <c r="AQ6" i="115"/>
  <c r="AQ14" i="115" s="1"/>
  <c r="AW15" i="115"/>
  <c r="AO52" i="126"/>
  <c r="T20" i="85" l="1"/>
  <c r="U38" i="116" s="1"/>
  <c r="F64" i="85"/>
  <c r="AT17" i="126"/>
  <c r="AS45" i="107" s="1"/>
  <c r="AZ17" i="126"/>
  <c r="AY45" i="107" s="1"/>
  <c r="AO17" i="126"/>
  <c r="AN45" i="107" s="1"/>
  <c r="AV17" i="126"/>
  <c r="AU45" i="107" s="1"/>
  <c r="AS17" i="126"/>
  <c r="AR45" i="107" s="1"/>
  <c r="AU15" i="115"/>
  <c r="AV16" i="115" s="1"/>
  <c r="AW17" i="115" s="1"/>
  <c r="BH69" i="34"/>
  <c r="BH74" i="34"/>
  <c r="BH78" i="34" s="1"/>
  <c r="BH82" i="34" s="1"/>
  <c r="AQ19" i="11"/>
  <c r="AQ40" i="11" s="1"/>
  <c r="AS39" i="34"/>
  <c r="AS40" i="34" s="1"/>
  <c r="AS63" i="34" s="1"/>
  <c r="AT28" i="69" s="1"/>
  <c r="AX19" i="11"/>
  <c r="AX40" i="11" s="1"/>
  <c r="AZ39" i="34"/>
  <c r="AZ40" i="34" s="1"/>
  <c r="AZ63" i="34" s="1"/>
  <c r="BA28" i="69" s="1"/>
  <c r="BJ39" i="34"/>
  <c r="BH19" i="11"/>
  <c r="BH40" i="11" s="1"/>
  <c r="AR40" i="34"/>
  <c r="AR63" i="34" s="1"/>
  <c r="AQ15" i="115"/>
  <c r="AR16" i="115" s="1"/>
  <c r="AS17" i="115" s="1"/>
  <c r="AT18" i="115" s="1"/>
  <c r="AU19" i="115" s="1"/>
  <c r="AV20" i="115" s="1"/>
  <c r="AW21" i="115" s="1"/>
  <c r="AV15" i="115"/>
  <c r="V11" i="116"/>
  <c r="AL14" i="125"/>
  <c r="AU40" i="34"/>
  <c r="AU63" i="34" s="1"/>
  <c r="AX39" i="34"/>
  <c r="AV19" i="11"/>
  <c r="AV40" i="11" s="1"/>
  <c r="BD28" i="69"/>
  <c r="BC66" i="34"/>
  <c r="AR15" i="115"/>
  <c r="AO15" i="115"/>
  <c r="AO19" i="11"/>
  <c r="AO40" i="11" s="1"/>
  <c r="AQ39" i="34"/>
  <c r="AQ40" i="34" s="1"/>
  <c r="AQ63" i="34" s="1"/>
  <c r="AR28" i="69" s="1"/>
  <c r="AO39" i="34"/>
  <c r="AM19" i="11"/>
  <c r="AM40" i="11" s="1"/>
  <c r="BE19" i="11"/>
  <c r="BE40" i="11" s="1"/>
  <c r="BG39" i="34"/>
  <c r="AQ15" i="125"/>
  <c r="AR16" i="125" s="1"/>
  <c r="AS17" i="125" s="1"/>
  <c r="AT18" i="125" s="1"/>
  <c r="AU19" i="125" s="1"/>
  <c r="AV20" i="125" s="1"/>
  <c r="AW21" i="125" s="1"/>
  <c r="AL63" i="115"/>
  <c r="AL66" i="115" s="1"/>
  <c r="AM15" i="115"/>
  <c r="AV39" i="34"/>
  <c r="AV40" i="34" s="1"/>
  <c r="AV63" i="34" s="1"/>
  <c r="AW28" i="69" s="1"/>
  <c r="AW15" i="70" s="1"/>
  <c r="AT19" i="11"/>
  <c r="AT40" i="11" s="1"/>
  <c r="AX17" i="126"/>
  <c r="AW45" i="107" s="1"/>
  <c r="AT15" i="115"/>
  <c r="AU16" i="115" s="1"/>
  <c r="AV17" i="115" s="1"/>
  <c r="AW18" i="115" s="1"/>
  <c r="AR15" i="125"/>
  <c r="AO15" i="125"/>
  <c r="BI66" i="34"/>
  <c r="BJ28" i="69"/>
  <c r="AQ17" i="126"/>
  <c r="AP45" i="107" s="1"/>
  <c r="BK66" i="34"/>
  <c r="BL28" i="69"/>
  <c r="BL66" i="34"/>
  <c r="BM28" i="69"/>
  <c r="AN9" i="109"/>
  <c r="AO9" i="109" s="1"/>
  <c r="AP9" i="109" s="1"/>
  <c r="AQ9" i="109" s="1"/>
  <c r="AR9" i="109" s="1"/>
  <c r="AS9" i="109" s="1"/>
  <c r="AT9" i="109" s="1"/>
  <c r="AU9" i="109" s="1"/>
  <c r="AV9" i="109" s="1"/>
  <c r="AW9" i="109" s="1"/>
  <c r="AT15" i="125"/>
  <c r="AU16" i="125" s="1"/>
  <c r="AV17" i="125" s="1"/>
  <c r="AW18" i="125" s="1"/>
  <c r="S34" i="57"/>
  <c r="S35" i="57" s="1"/>
  <c r="BA40" i="34"/>
  <c r="BA63" i="34" s="1"/>
  <c r="AU15" i="125"/>
  <c r="AV16" i="125" s="1"/>
  <c r="AW17" i="125" s="1"/>
  <c r="BG28" i="69"/>
  <c r="BF66" i="34"/>
  <c r="AV15" i="125"/>
  <c r="BE39" i="34"/>
  <c r="BE40" i="34" s="1"/>
  <c r="BE63" i="34" s="1"/>
  <c r="BC19" i="11"/>
  <c r="BC40" i="11" s="1"/>
  <c r="V10" i="116"/>
  <c r="V8" i="116"/>
  <c r="V13" i="116"/>
  <c r="V14" i="116" s="1"/>
  <c r="V20" i="116"/>
  <c r="AT39" i="34"/>
  <c r="AT40" i="34" s="1"/>
  <c r="AT63" i="34" s="1"/>
  <c r="AU28" i="69" s="1"/>
  <c r="AR19" i="11"/>
  <c r="AR40" i="11" s="1"/>
  <c r="T34" i="57"/>
  <c r="T35" i="57" s="1"/>
  <c r="T60" i="57" s="1"/>
  <c r="T62" i="57" s="1"/>
  <c r="BD40" i="34"/>
  <c r="BD63" i="34" s="1"/>
  <c r="U38" i="58" l="1"/>
  <c r="U39" i="58" s="1"/>
  <c r="Q34" i="57"/>
  <c r="Q35" i="57" s="1"/>
  <c r="AS16" i="125"/>
  <c r="AS16" i="115"/>
  <c r="AP16" i="125"/>
  <c r="AN16" i="115"/>
  <c r="AM63" i="115"/>
  <c r="AM66" i="115" s="1"/>
  <c r="AW16" i="115"/>
  <c r="AW16" i="125"/>
  <c r="AP16" i="115"/>
  <c r="N22" i="85"/>
  <c r="T22" i="85" s="1"/>
  <c r="G64" i="85"/>
  <c r="AV28" i="69"/>
  <c r="AV15" i="70" s="1"/>
  <c r="Q58" i="57"/>
  <c r="P58" i="57"/>
  <c r="AS28" i="69"/>
  <c r="AS15" i="70" s="1"/>
  <c r="BH9" i="70"/>
  <c r="BI69" i="34"/>
  <c r="BI74" i="34"/>
  <c r="BI78" i="34" s="1"/>
  <c r="BI82" i="34" s="1"/>
  <c r="AX40" i="34"/>
  <c r="AX63" i="34" s="1"/>
  <c r="R34" i="57"/>
  <c r="R35" i="57" s="1"/>
  <c r="P34" i="57"/>
  <c r="P35" i="57" s="1"/>
  <c r="AO12" i="34"/>
  <c r="H38" i="58"/>
  <c r="H39" i="58" s="1"/>
  <c r="T38" i="58"/>
  <c r="T39" i="58" s="1"/>
  <c r="AO40" i="34"/>
  <c r="AO63" i="34" s="1"/>
  <c r="O34" i="57"/>
  <c r="O35" i="57" s="1"/>
  <c r="BC69" i="34"/>
  <c r="BC74" i="34"/>
  <c r="BC78" i="34" s="1"/>
  <c r="BC82" i="34" s="1"/>
  <c r="AM15" i="125"/>
  <c r="AL63" i="125"/>
  <c r="AL66" i="125" s="1"/>
  <c r="AO11" i="34" s="1"/>
  <c r="S58" i="57"/>
  <c r="BB28" i="69"/>
  <c r="BL69" i="34"/>
  <c r="BL74" i="34"/>
  <c r="BL78" i="34" s="1"/>
  <c r="BL82" i="34" s="1"/>
  <c r="BK69" i="34"/>
  <c r="BK74" i="34"/>
  <c r="BK78" i="34" s="1"/>
  <c r="BK82" i="34" s="1"/>
  <c r="BI15" i="70"/>
  <c r="AZ15" i="70"/>
  <c r="T58" i="57"/>
  <c r="BD66" i="34"/>
  <c r="BE28" i="69"/>
  <c r="AT15" i="70"/>
  <c r="BF69" i="34"/>
  <c r="BF74" i="34"/>
  <c r="BF78" i="34" s="1"/>
  <c r="BF82" i="34" s="1"/>
  <c r="BF28" i="69"/>
  <c r="BE66" i="34"/>
  <c r="I38" i="58"/>
  <c r="I39" i="58" s="1"/>
  <c r="BM15" i="70"/>
  <c r="BL15" i="70"/>
  <c r="U34" i="57"/>
  <c r="U35" i="57" s="1"/>
  <c r="U60" i="57" s="1"/>
  <c r="U62" i="57" s="1"/>
  <c r="BG40" i="34"/>
  <c r="BG63" i="34" s="1"/>
  <c r="AQ15" i="70"/>
  <c r="BC15" i="70"/>
  <c r="BJ40" i="34"/>
  <c r="BJ63" i="34" s="1"/>
  <c r="V34" i="57"/>
  <c r="V35" i="57" s="1"/>
  <c r="V60" i="57" s="1"/>
  <c r="V62" i="57" s="1"/>
  <c r="AT17" i="115" l="1"/>
  <c r="AN16" i="125"/>
  <c r="AM63" i="125"/>
  <c r="AM66" i="125" s="1"/>
  <c r="AP11" i="34" s="1"/>
  <c r="AO17" i="115"/>
  <c r="AN63" i="115"/>
  <c r="AN66" i="115" s="1"/>
  <c r="AQ17" i="115"/>
  <c r="AP12" i="34"/>
  <c r="AQ17" i="125"/>
  <c r="AT17" i="125"/>
  <c r="AO7" i="67"/>
  <c r="AO11" i="67" s="1"/>
  <c r="AM9" i="11" s="1"/>
  <c r="AP62" i="69"/>
  <c r="AQ63" i="69" s="1"/>
  <c r="U58" i="57"/>
  <c r="BG66" i="34"/>
  <c r="BH28" i="69"/>
  <c r="BD15" i="70"/>
  <c r="BA15" i="70"/>
  <c r="BB15" i="70"/>
  <c r="BC9" i="70"/>
  <c r="V58" i="57"/>
  <c r="BJ66" i="34"/>
  <c r="BK28" i="69"/>
  <c r="BE69" i="34"/>
  <c r="BE74" i="34"/>
  <c r="BE78" i="34" s="1"/>
  <c r="BE82" i="34" s="1"/>
  <c r="BD69" i="34"/>
  <c r="BD74" i="34"/>
  <c r="BL9" i="70"/>
  <c r="AM13" i="11"/>
  <c r="BE15" i="70"/>
  <c r="BF9" i="70"/>
  <c r="BI9" i="70"/>
  <c r="AU15" i="70"/>
  <c r="BF15" i="70"/>
  <c r="BK9" i="70"/>
  <c r="U62" i="58"/>
  <c r="AO17" i="34"/>
  <c r="AO22" i="34" s="1"/>
  <c r="O58" i="57"/>
  <c r="T62" i="58"/>
  <c r="AP28" i="69"/>
  <c r="AY28" i="69"/>
  <c r="R58" i="57"/>
  <c r="AR15" i="70"/>
  <c r="AN13" i="11" l="1"/>
  <c r="AP29" i="34" s="1"/>
  <c r="AP7" i="67"/>
  <c r="AP11" i="67" s="1"/>
  <c r="AN9" i="11" s="1"/>
  <c r="AP17" i="34"/>
  <c r="AP22" i="34" s="1"/>
  <c r="AQ9" i="69" s="1"/>
  <c r="AO27" i="34"/>
  <c r="AM10" i="11"/>
  <c r="AR18" i="125"/>
  <c r="AQ12" i="34"/>
  <c r="AO9" i="11"/>
  <c r="AP68" i="69"/>
  <c r="AP65" i="69"/>
  <c r="AP18" i="115"/>
  <c r="AO63" i="115"/>
  <c r="AO66" i="115" s="1"/>
  <c r="AU18" i="125"/>
  <c r="AU18" i="115"/>
  <c r="AQ62" i="69"/>
  <c r="AR63" i="69" s="1"/>
  <c r="AR18" i="115"/>
  <c r="AO17" i="125"/>
  <c r="AN63" i="125"/>
  <c r="AN66" i="125" s="1"/>
  <c r="AQ11" i="34" s="1"/>
  <c r="AP9" i="69"/>
  <c r="AO29" i="34"/>
  <c r="AM49" i="11"/>
  <c r="BJ69" i="34"/>
  <c r="BJ74" i="34"/>
  <c r="BG15" i="70"/>
  <c r="BH15" i="70"/>
  <c r="BD78" i="34"/>
  <c r="T67" i="57"/>
  <c r="BG69" i="34"/>
  <c r="BG74" i="34"/>
  <c r="AX15" i="70"/>
  <c r="AY15" i="70"/>
  <c r="AO30" i="34"/>
  <c r="AO33" i="34" s="1"/>
  <c r="AO15" i="70"/>
  <c r="AP15" i="70"/>
  <c r="BE9" i="70"/>
  <c r="BJ15" i="70"/>
  <c r="BK15" i="70"/>
  <c r="AP9" i="11" l="1"/>
  <c r="AP10" i="11" s="1"/>
  <c r="AQ19" i="115"/>
  <c r="AP63" i="115"/>
  <c r="AP66" i="115" s="1"/>
  <c r="AQ68" i="69"/>
  <c r="AR62" i="69"/>
  <c r="AS63" i="69" s="1"/>
  <c r="AS19" i="125"/>
  <c r="AP18" i="125"/>
  <c r="AO63" i="125"/>
  <c r="AO66" i="125" s="1"/>
  <c r="AR11" i="34" s="1"/>
  <c r="AV19" i="125"/>
  <c r="AQ61" i="69"/>
  <c r="AQ65" i="69" s="1"/>
  <c r="AP29" i="69"/>
  <c r="AO13" i="11"/>
  <c r="AQ29" i="34" s="1"/>
  <c r="AR27" i="34"/>
  <c r="AQ17" i="34"/>
  <c r="AQ22" i="34" s="1"/>
  <c r="O6" i="57"/>
  <c r="O7" i="57"/>
  <c r="AP27" i="34"/>
  <c r="AN10" i="11"/>
  <c r="AN49" i="11" s="1"/>
  <c r="AS19" i="115"/>
  <c r="AV19" i="115"/>
  <c r="AR12" i="34"/>
  <c r="AQ27" i="34"/>
  <c r="AO10" i="11"/>
  <c r="AQ7" i="67"/>
  <c r="AQ11" i="67" s="1"/>
  <c r="AQ9" i="11" s="1"/>
  <c r="AO34" i="34"/>
  <c r="AO66" i="34"/>
  <c r="T71" i="57"/>
  <c r="BD82" i="34"/>
  <c r="V67" i="57"/>
  <c r="BJ78" i="34"/>
  <c r="AO13" i="70"/>
  <c r="AP13" i="70"/>
  <c r="BG78" i="34"/>
  <c r="U67" i="57"/>
  <c r="AS62" i="69" l="1"/>
  <c r="AT63" i="69" s="1"/>
  <c r="AR7" i="67"/>
  <c r="AR11" i="67" s="1"/>
  <c r="AR9" i="11" s="1"/>
  <c r="AT27" i="34" s="1"/>
  <c r="AP13" i="11"/>
  <c r="AR29" i="34" s="1"/>
  <c r="AR30" i="34" s="1"/>
  <c r="O24" i="57"/>
  <c r="AS27" i="34"/>
  <c r="AQ10" i="11"/>
  <c r="AW20" i="115"/>
  <c r="AP30" i="34"/>
  <c r="AP33" i="34" s="1"/>
  <c r="O22" i="57"/>
  <c r="AR9" i="69"/>
  <c r="AO17" i="70"/>
  <c r="AP33" i="69"/>
  <c r="AP36" i="69" s="1"/>
  <c r="AR17" i="34"/>
  <c r="AR22" i="34" s="1"/>
  <c r="AS9" i="69" s="1"/>
  <c r="AT20" i="125"/>
  <c r="AR20" i="115"/>
  <c r="AQ63" i="115"/>
  <c r="AQ66" i="115" s="1"/>
  <c r="AO49" i="11"/>
  <c r="AR61" i="69"/>
  <c r="AR65" i="69" s="1"/>
  <c r="AQ29" i="69"/>
  <c r="AQ19" i="125"/>
  <c r="AP63" i="125"/>
  <c r="AP66" i="125" s="1"/>
  <c r="AS11" i="34" s="1"/>
  <c r="AS68" i="69"/>
  <c r="AR68" i="69"/>
  <c r="AW20" i="125"/>
  <c r="AS12" i="34"/>
  <c r="AQ30" i="34"/>
  <c r="AQ33" i="34" s="1"/>
  <c r="AT20" i="115"/>
  <c r="O12" i="57"/>
  <c r="O17" i="57" s="1"/>
  <c r="U71" i="57"/>
  <c r="BG82" i="34"/>
  <c r="V71" i="57"/>
  <c r="BJ82" i="34"/>
  <c r="AO69" i="34"/>
  <c r="AO74" i="34"/>
  <c r="BD9" i="70"/>
  <c r="T75" i="57"/>
  <c r="AP49" i="11" l="1"/>
  <c r="AR10" i="11"/>
  <c r="P22" i="57"/>
  <c r="AT62" i="69"/>
  <c r="AU63" i="69" s="1"/>
  <c r="AR33" i="34"/>
  <c r="AR34" i="34" s="1"/>
  <c r="O25" i="57"/>
  <c r="O28" i="57" s="1"/>
  <c r="AS17" i="34"/>
  <c r="AS22" i="34" s="1"/>
  <c r="AT9" i="69" s="1"/>
  <c r="AS13" i="70" s="1"/>
  <c r="AT12" i="34"/>
  <c r="P7" i="57" s="1"/>
  <c r="AR66" i="34"/>
  <c r="AU21" i="115"/>
  <c r="AQ13" i="11"/>
  <c r="AS29" i="34" s="1"/>
  <c r="AR20" i="125"/>
  <c r="AQ63" i="125"/>
  <c r="AQ66" i="125" s="1"/>
  <c r="AT11" i="34" s="1"/>
  <c r="P6" i="57" s="1"/>
  <c r="AS21" i="115"/>
  <c r="AR63" i="115"/>
  <c r="AR66" i="115" s="1"/>
  <c r="AR13" i="70"/>
  <c r="AQ13" i="70"/>
  <c r="AP66" i="34"/>
  <c r="AP34" i="34"/>
  <c r="AQ34" i="34"/>
  <c r="AQ66" i="34"/>
  <c r="AS61" i="69"/>
  <c r="AS65" i="69" s="1"/>
  <c r="AR29" i="69"/>
  <c r="AU21" i="125"/>
  <c r="AS7" i="67"/>
  <c r="AS11" i="67" s="1"/>
  <c r="AS9" i="11" s="1"/>
  <c r="AP17" i="70"/>
  <c r="AQ33" i="69"/>
  <c r="AQ36" i="69" s="1"/>
  <c r="BJ9" i="70"/>
  <c r="V75" i="57"/>
  <c r="U75" i="57"/>
  <c r="BG9" i="70"/>
  <c r="AO78" i="34"/>
  <c r="AQ49" i="11" l="1"/>
  <c r="AT68" i="69"/>
  <c r="AT17" i="34"/>
  <c r="AT22" i="34" s="1"/>
  <c r="AU9" i="69" s="1"/>
  <c r="AT13" i="70" s="1"/>
  <c r="AR13" i="11"/>
  <c r="AT29" i="34" s="1"/>
  <c r="AT30" i="34" s="1"/>
  <c r="AU27" i="34"/>
  <c r="AS10" i="11"/>
  <c r="AV22" i="125"/>
  <c r="AT22" i="115"/>
  <c r="AS63" i="115"/>
  <c r="AS66" i="115" s="1"/>
  <c r="AR74" i="34"/>
  <c r="AR69" i="34"/>
  <c r="AT7" i="67"/>
  <c r="AT11" i="67" s="1"/>
  <c r="AT9" i="11" s="1"/>
  <c r="AQ74" i="34"/>
  <c r="AQ78" i="34" s="1"/>
  <c r="AQ82" i="34" s="1"/>
  <c r="AQ9" i="70" s="1"/>
  <c r="AQ69" i="34"/>
  <c r="AP69" i="34"/>
  <c r="AP74" i="34"/>
  <c r="AU12" i="34"/>
  <c r="AQ17" i="70"/>
  <c r="AR33" i="69"/>
  <c r="AR36" i="69" s="1"/>
  <c r="O29" i="57"/>
  <c r="O60" i="57"/>
  <c r="O62" i="57" s="1"/>
  <c r="AU62" i="69"/>
  <c r="AT61" i="69"/>
  <c r="AT65" i="69" s="1"/>
  <c r="AS29" i="69"/>
  <c r="P12" i="57"/>
  <c r="P17" i="57" s="1"/>
  <c r="AS21" i="125"/>
  <c r="AR63" i="125"/>
  <c r="AR66" i="125" s="1"/>
  <c r="AU11" i="34" s="1"/>
  <c r="AV22" i="115"/>
  <c r="AS30" i="34"/>
  <c r="AS33" i="34" s="1"/>
  <c r="AO82" i="34"/>
  <c r="AT33" i="34" l="1"/>
  <c r="P24" i="57"/>
  <c r="P25" i="57" s="1"/>
  <c r="P28" i="57" s="1"/>
  <c r="AR49" i="11"/>
  <c r="AV62" i="69"/>
  <c r="AW63" i="69" s="1"/>
  <c r="AR78" i="34"/>
  <c r="AW23" i="115"/>
  <c r="AR17" i="70"/>
  <c r="AS33" i="69"/>
  <c r="AS36" i="69" s="1"/>
  <c r="AV27" i="34"/>
  <c r="AT10" i="11"/>
  <c r="AU23" i="115"/>
  <c r="AT63" i="115"/>
  <c r="AT66" i="115" s="1"/>
  <c r="AV63" i="69"/>
  <c r="AU68" i="69"/>
  <c r="AT34" i="34"/>
  <c r="AT66" i="34"/>
  <c r="AV12" i="34"/>
  <c r="AU17" i="34"/>
  <c r="AU22" i="34" s="1"/>
  <c r="AU61" i="69"/>
  <c r="AU65" i="69" s="1"/>
  <c r="AT29" i="69"/>
  <c r="AU7" i="67"/>
  <c r="AU11" i="67" s="1"/>
  <c r="AU9" i="11" s="1"/>
  <c r="AQ19" i="70"/>
  <c r="AQ40" i="70" s="1"/>
  <c r="AS34" i="34"/>
  <c r="AS66" i="34"/>
  <c r="AT22" i="125"/>
  <c r="AS63" i="125"/>
  <c r="AS66" i="125" s="1"/>
  <c r="AV11" i="34" s="1"/>
  <c r="AS13" i="11"/>
  <c r="AU29" i="34" s="1"/>
  <c r="AP78" i="34"/>
  <c r="O67" i="57"/>
  <c r="AW23" i="125"/>
  <c r="AO9" i="70"/>
  <c r="AO19" i="70" s="1"/>
  <c r="AP50" i="69"/>
  <c r="AV68" i="69" l="1"/>
  <c r="AS69" i="34"/>
  <c r="AS74" i="34"/>
  <c r="AV9" i="69"/>
  <c r="AT13" i="11"/>
  <c r="AV29" i="34" s="1"/>
  <c r="AV30" i="34" s="1"/>
  <c r="AU30" i="34"/>
  <c r="AU33" i="34" s="1"/>
  <c r="P60" i="57"/>
  <c r="P62" i="57" s="1"/>
  <c r="P29" i="57"/>
  <c r="AW27" i="34"/>
  <c r="AU10" i="11"/>
  <c r="AV7" i="67"/>
  <c r="AV11" i="67" s="1"/>
  <c r="AV9" i="11" s="1"/>
  <c r="AS49" i="11"/>
  <c r="AV17" i="34"/>
  <c r="AV22" i="34" s="1"/>
  <c r="AW9" i="69" s="1"/>
  <c r="AS17" i="70"/>
  <c r="AT33" i="69"/>
  <c r="AT36" i="69" s="1"/>
  <c r="AT69" i="34"/>
  <c r="AT74" i="34"/>
  <c r="AT78" i="34" s="1"/>
  <c r="AT82" i="34" s="1"/>
  <c r="AT9" i="70" s="1"/>
  <c r="AW12" i="34"/>
  <c r="Q7" i="57" s="1"/>
  <c r="AR82" i="34"/>
  <c r="AP82" i="34"/>
  <c r="O71" i="57"/>
  <c r="AU23" i="125"/>
  <c r="AT63" i="125"/>
  <c r="AT66" i="125" s="1"/>
  <c r="AW11" i="34" s="1"/>
  <c r="AV61" i="69"/>
  <c r="AV65" i="69" s="1"/>
  <c r="AU29" i="69"/>
  <c r="AW62" i="69"/>
  <c r="AV24" i="115"/>
  <c r="AU63" i="115"/>
  <c r="AU66" i="115" s="1"/>
  <c r="AO40" i="70"/>
  <c r="AO41" i="70" s="1"/>
  <c r="AP8" i="69" s="1"/>
  <c r="AO84" i="34"/>
  <c r="AP51" i="69"/>
  <c r="AP52" i="69" s="1"/>
  <c r="AQ50" i="69"/>
  <c r="AX62" i="69" l="1"/>
  <c r="AY63" i="69" s="1"/>
  <c r="AV33" i="34"/>
  <c r="AV66" i="34" s="1"/>
  <c r="AT49" i="11"/>
  <c r="AU13" i="11"/>
  <c r="AW29" i="34" s="1"/>
  <c r="Q24" i="57" s="1"/>
  <c r="AX12" i="34"/>
  <c r="AV29" i="69"/>
  <c r="AW61" i="69"/>
  <c r="AW65" i="69" s="1"/>
  <c r="AW17" i="34"/>
  <c r="AW22" i="34" s="1"/>
  <c r="Q6" i="57"/>
  <c r="Q12" i="57" s="1"/>
  <c r="Q17" i="57" s="1"/>
  <c r="AX63" i="69"/>
  <c r="AX68" i="69" s="1"/>
  <c r="AW68" i="69"/>
  <c r="AV24" i="125"/>
  <c r="AU63" i="125"/>
  <c r="AU66" i="125" s="1"/>
  <c r="AX11" i="34" s="1"/>
  <c r="AP9" i="70"/>
  <c r="AP19" i="70" s="1"/>
  <c r="O75" i="57"/>
  <c r="Q22" i="57"/>
  <c r="AT17" i="70"/>
  <c r="AT19" i="70" s="1"/>
  <c r="AT40" i="70" s="1"/>
  <c r="AU33" i="69"/>
  <c r="AU36" i="69" s="1"/>
  <c r="AR9" i="70"/>
  <c r="AR19" i="70" s="1"/>
  <c r="AR40" i="70" s="1"/>
  <c r="AP39" i="70"/>
  <c r="AP12" i="69"/>
  <c r="AP24" i="69" s="1"/>
  <c r="AP53" i="69" s="1"/>
  <c r="AX27" i="34"/>
  <c r="AV10" i="11"/>
  <c r="AV13" i="70"/>
  <c r="AU13" i="70"/>
  <c r="AW25" i="115"/>
  <c r="AW63" i="115" s="1"/>
  <c r="AW66" i="115" s="1"/>
  <c r="AV63" i="115"/>
  <c r="AV66" i="115" s="1"/>
  <c r="AV34" i="34"/>
  <c r="AW7" i="67"/>
  <c r="AW11" i="67" s="1"/>
  <c r="AW9" i="11" s="1"/>
  <c r="AU34" i="34"/>
  <c r="AU66" i="34"/>
  <c r="AS78" i="34"/>
  <c r="P67" i="57"/>
  <c r="AO85" i="34"/>
  <c r="AO86" i="34"/>
  <c r="AP84" i="34"/>
  <c r="AQ51" i="69"/>
  <c r="AQ52" i="69" s="1"/>
  <c r="AR50" i="69"/>
  <c r="AU49" i="11" l="1"/>
  <c r="AW30" i="34"/>
  <c r="AW33" i="34" s="1"/>
  <c r="Q25" i="57"/>
  <c r="Q28" i="57" s="1"/>
  <c r="Q29" i="57" s="1"/>
  <c r="AX17" i="34"/>
  <c r="AX22" i="34" s="1"/>
  <c r="AX7" i="67"/>
  <c r="AX11" i="67" s="1"/>
  <c r="AX9" i="11" s="1"/>
  <c r="AW25" i="125"/>
  <c r="AW63" i="125" s="1"/>
  <c r="AW66" i="125" s="1"/>
  <c r="AZ11" i="34" s="1"/>
  <c r="AV63" i="125"/>
  <c r="AV66" i="125" s="1"/>
  <c r="AY11" i="34" s="1"/>
  <c r="AX9" i="69"/>
  <c r="AU74" i="34"/>
  <c r="AU69" i="34"/>
  <c r="AY27" i="34"/>
  <c r="AW10" i="11"/>
  <c r="AZ12" i="34"/>
  <c r="AX61" i="69"/>
  <c r="AX65" i="69" s="1"/>
  <c r="AW29" i="69"/>
  <c r="AY62" i="69"/>
  <c r="AS82" i="34"/>
  <c r="P71" i="57"/>
  <c r="AY12" i="34"/>
  <c r="R7" i="57" s="1"/>
  <c r="AV74" i="34"/>
  <c r="AV78" i="34" s="1"/>
  <c r="AV82" i="34" s="1"/>
  <c r="AV9" i="70" s="1"/>
  <c r="AV69" i="34"/>
  <c r="AO42" i="70"/>
  <c r="Q60" i="57"/>
  <c r="Q62" i="57" s="1"/>
  <c r="AP40" i="70"/>
  <c r="AP41" i="70" s="1"/>
  <c r="AQ8" i="69" s="1"/>
  <c r="AU17" i="70"/>
  <c r="AV33" i="69"/>
  <c r="AV36" i="69" s="1"/>
  <c r="AV13" i="11"/>
  <c r="AX29" i="34" s="1"/>
  <c r="AP86" i="34"/>
  <c r="AP85" i="34"/>
  <c r="AQ84" i="34"/>
  <c r="AR51" i="69"/>
  <c r="AR52" i="69" s="1"/>
  <c r="AS50" i="69"/>
  <c r="AZ62" i="69" l="1"/>
  <c r="BA63" i="69" s="1"/>
  <c r="AW13" i="11"/>
  <c r="AY29" i="34" s="1"/>
  <c r="R24" i="57" s="1"/>
  <c r="AY7" i="67"/>
  <c r="AY11" i="67" s="1"/>
  <c r="AY9" i="11" s="1"/>
  <c r="BA27" i="34" s="1"/>
  <c r="BA62" i="69"/>
  <c r="BB63" i="69" s="1"/>
  <c r="BB68" i="69" s="1"/>
  <c r="AX13" i="11"/>
  <c r="AZ29" i="34" s="1"/>
  <c r="AZ7" i="67"/>
  <c r="AZ11" i="67" s="1"/>
  <c r="AZ9" i="11" s="1"/>
  <c r="BB27" i="34" s="1"/>
  <c r="AQ12" i="69"/>
  <c r="AQ24" i="69" s="1"/>
  <c r="AQ53" i="69" s="1"/>
  <c r="AQ39" i="70"/>
  <c r="AV49" i="11"/>
  <c r="AZ63" i="69"/>
  <c r="AZ68" i="69" s="1"/>
  <c r="AY68" i="69"/>
  <c r="AY17" i="34"/>
  <c r="AY22" i="34" s="1"/>
  <c r="AZ9" i="69" s="1"/>
  <c r="R6" i="57"/>
  <c r="R12" i="57" s="1"/>
  <c r="R17" i="57" s="1"/>
  <c r="U15" i="85" s="1"/>
  <c r="V19" i="116" s="1"/>
  <c r="G11" i="58"/>
  <c r="S11" i="58"/>
  <c r="H11" i="58"/>
  <c r="T11" i="58"/>
  <c r="AY30" i="34"/>
  <c r="AS9" i="70"/>
  <c r="AS19" i="70" s="1"/>
  <c r="P75" i="57"/>
  <c r="AV17" i="70"/>
  <c r="AV19" i="70" s="1"/>
  <c r="AV40" i="70" s="1"/>
  <c r="AW33" i="69"/>
  <c r="AW36" i="69" s="1"/>
  <c r="S28" i="58"/>
  <c r="G28" i="58"/>
  <c r="H28" i="58"/>
  <c r="AZ17" i="34"/>
  <c r="AZ22" i="34" s="1"/>
  <c r="S10" i="58"/>
  <c r="G10" i="58"/>
  <c r="T10" i="58"/>
  <c r="H10" i="58"/>
  <c r="AY9" i="69"/>
  <c r="AY13" i="70" s="1"/>
  <c r="T28" i="58"/>
  <c r="AX30" i="34"/>
  <c r="AX33" i="34" s="1"/>
  <c r="AX29" i="69"/>
  <c r="AY61" i="69"/>
  <c r="AY65" i="69" s="1"/>
  <c r="AU78" i="34"/>
  <c r="AW13" i="70"/>
  <c r="AZ27" i="34"/>
  <c r="AX10" i="11"/>
  <c r="AX49" i="11" s="1"/>
  <c r="AZ10" i="11"/>
  <c r="AZ49" i="11" s="1"/>
  <c r="AW66" i="34"/>
  <c r="AW34" i="34"/>
  <c r="AQ86" i="34"/>
  <c r="AQ85" i="34"/>
  <c r="AR84" i="34"/>
  <c r="AS51" i="69"/>
  <c r="AS52" i="69" s="1"/>
  <c r="AT50" i="69"/>
  <c r="BA68" i="69" l="1"/>
  <c r="AW49" i="11"/>
  <c r="V22" i="116" s="1"/>
  <c r="AY10" i="11"/>
  <c r="AY49" i="11" s="1"/>
  <c r="T16" i="58"/>
  <c r="T21" i="58" s="1"/>
  <c r="G16" i="58"/>
  <c r="G21" i="58" s="1"/>
  <c r="S16" i="58"/>
  <c r="S21" i="58" s="1"/>
  <c r="H16" i="58"/>
  <c r="H21" i="58" s="1"/>
  <c r="AY33" i="34"/>
  <c r="AY66" i="34" s="1"/>
  <c r="AX34" i="34"/>
  <c r="AX66" i="34"/>
  <c r="I26" i="58"/>
  <c r="I29" i="58" s="1"/>
  <c r="I32" i="58" s="1"/>
  <c r="I64" i="58" s="1"/>
  <c r="I66" i="58" s="1"/>
  <c r="U26" i="58"/>
  <c r="U29" i="58" s="1"/>
  <c r="U32" i="58" s="1"/>
  <c r="S22" i="57"/>
  <c r="S25" i="57" s="1"/>
  <c r="S28" i="57" s="1"/>
  <c r="BA30" i="34"/>
  <c r="BA33" i="34" s="1"/>
  <c r="BB30" i="34"/>
  <c r="BB33" i="34" s="1"/>
  <c r="S26" i="58"/>
  <c r="S29" i="58" s="1"/>
  <c r="G26" i="58"/>
  <c r="G29" i="58" s="1"/>
  <c r="H26" i="58"/>
  <c r="H29" i="58" s="1"/>
  <c r="T26" i="58"/>
  <c r="T29" i="58" s="1"/>
  <c r="AX13" i="70"/>
  <c r="AU82" i="34"/>
  <c r="BA9" i="69"/>
  <c r="BA13" i="70" s="1"/>
  <c r="U6" i="85"/>
  <c r="AZ61" i="69"/>
  <c r="AZ65" i="69" s="1"/>
  <c r="AY29" i="69"/>
  <c r="AS40" i="70"/>
  <c r="AP42" i="70"/>
  <c r="AQ41" i="70"/>
  <c r="AR8" i="69" s="1"/>
  <c r="AW69" i="34"/>
  <c r="AW74" i="34"/>
  <c r="AZ30" i="34"/>
  <c r="AZ33" i="34" s="1"/>
  <c r="R22" i="57"/>
  <c r="R25" i="57" s="1"/>
  <c r="R28" i="57" s="1"/>
  <c r="AW17" i="70"/>
  <c r="AX33" i="69"/>
  <c r="AX36" i="69" s="1"/>
  <c r="AR85" i="34"/>
  <c r="AR86" i="34"/>
  <c r="AS84" i="34"/>
  <c r="AU50" i="69"/>
  <c r="AT51" i="69"/>
  <c r="AT52" i="69" s="1"/>
  <c r="T32" i="58" l="1"/>
  <c r="T33" i="58" s="1"/>
  <c r="H32" i="58"/>
  <c r="G32" i="58"/>
  <c r="G64" i="58" s="1"/>
  <c r="G66" i="58" s="1"/>
  <c r="S32" i="58"/>
  <c r="S33" i="58" s="1"/>
  <c r="AY34" i="34"/>
  <c r="R29" i="57"/>
  <c r="R60" i="57"/>
  <c r="R62" i="57" s="1"/>
  <c r="AR39" i="70"/>
  <c r="AR12" i="69"/>
  <c r="AR24" i="69" s="1"/>
  <c r="AR53" i="69" s="1"/>
  <c r="AX17" i="70"/>
  <c r="AY33" i="69"/>
  <c r="AY36" i="69" s="1"/>
  <c r="V28" i="85"/>
  <c r="V6" i="85" s="1"/>
  <c r="U25" i="85"/>
  <c r="U21" i="85"/>
  <c r="U13" i="85"/>
  <c r="U19" i="85"/>
  <c r="T64" i="58"/>
  <c r="T66" i="58" s="1"/>
  <c r="BB34" i="34"/>
  <c r="BB66" i="34"/>
  <c r="AZ66" i="34"/>
  <c r="AZ34" i="34"/>
  <c r="AZ29" i="69"/>
  <c r="BA61" i="69"/>
  <c r="BA65" i="69" s="1"/>
  <c r="AU9" i="70"/>
  <c r="AU19" i="70" s="1"/>
  <c r="H33" i="58"/>
  <c r="H64" i="58"/>
  <c r="H66" i="58" s="1"/>
  <c r="BA66" i="34"/>
  <c r="BA34" i="34"/>
  <c r="AZ13" i="70"/>
  <c r="AW78" i="34"/>
  <c r="Q67" i="57"/>
  <c r="AY74" i="34"/>
  <c r="AY78" i="34" s="1"/>
  <c r="AY82" i="34" s="1"/>
  <c r="AY9" i="70" s="1"/>
  <c r="AY69" i="34"/>
  <c r="S29" i="57"/>
  <c r="S60" i="57"/>
  <c r="S62" i="57" s="1"/>
  <c r="AX74" i="34"/>
  <c r="AX69" i="34"/>
  <c r="U33" i="58"/>
  <c r="U64" i="58"/>
  <c r="U66" i="58" s="1"/>
  <c r="AT84" i="34"/>
  <c r="AU51" i="69"/>
  <c r="AU52" i="69" s="1"/>
  <c r="AV50" i="69"/>
  <c r="AS85" i="34"/>
  <c r="AS86" i="34"/>
  <c r="S64" i="58" l="1"/>
  <c r="S66" i="58" s="1"/>
  <c r="G33" i="58"/>
  <c r="BA74" i="34"/>
  <c r="BA69" i="34"/>
  <c r="AX78" i="34"/>
  <c r="AY17" i="70"/>
  <c r="AZ33" i="69"/>
  <c r="AZ36" i="69" s="1"/>
  <c r="V13" i="85"/>
  <c r="V25" i="85"/>
  <c r="W28" i="85"/>
  <c r="W6" i="85" s="1"/>
  <c r="V19" i="85"/>
  <c r="AQ42" i="70"/>
  <c r="AR41" i="70"/>
  <c r="AS8" i="69" s="1"/>
  <c r="AY19" i="70"/>
  <c r="AY40" i="70" s="1"/>
  <c r="AW82" i="34"/>
  <c r="Q71" i="57"/>
  <c r="AU40" i="70"/>
  <c r="U18" i="85"/>
  <c r="AZ74" i="34"/>
  <c r="AZ69" i="34"/>
  <c r="V21" i="85"/>
  <c r="BA29" i="69"/>
  <c r="BB61" i="69"/>
  <c r="BB65" i="69" s="1"/>
  <c r="BB69" i="34"/>
  <c r="BB74" i="34"/>
  <c r="U12" i="85"/>
  <c r="AU84" i="34"/>
  <c r="AV51" i="69"/>
  <c r="AV52" i="69" s="1"/>
  <c r="AW50" i="69"/>
  <c r="AT86" i="34"/>
  <c r="AT85" i="34"/>
  <c r="W21" i="85" l="1"/>
  <c r="V18" i="85"/>
  <c r="BB29" i="69"/>
  <c r="BC61" i="69"/>
  <c r="BC65" i="69" s="1"/>
  <c r="AZ78" i="34"/>
  <c r="AZ82" i="34" s="1"/>
  <c r="AZ9" i="70" s="1"/>
  <c r="H71" i="58"/>
  <c r="T71" i="58"/>
  <c r="R67" i="57"/>
  <c r="AW9" i="70"/>
  <c r="AW19" i="70" s="1"/>
  <c r="Q75" i="57"/>
  <c r="AX82" i="34"/>
  <c r="H79" i="58" s="1"/>
  <c r="AZ17" i="70"/>
  <c r="BA33" i="69"/>
  <c r="BA36" i="69" s="1"/>
  <c r="AS39" i="70"/>
  <c r="AS12" i="69"/>
  <c r="AS24" i="69" s="1"/>
  <c r="AS53" i="69" s="1"/>
  <c r="W25" i="85"/>
  <c r="X6" i="85"/>
  <c r="X21" i="85" s="1"/>
  <c r="W19" i="85"/>
  <c r="W13" i="85"/>
  <c r="W12" i="85" s="1"/>
  <c r="V12" i="85"/>
  <c r="H75" i="58"/>
  <c r="BB78" i="34"/>
  <c r="G71" i="58"/>
  <c r="S71" i="58"/>
  <c r="BA78" i="34"/>
  <c r="U71" i="58"/>
  <c r="S67" i="57"/>
  <c r="AV84" i="34"/>
  <c r="AW51" i="69"/>
  <c r="AW52" i="69" s="1"/>
  <c r="AX50" i="69"/>
  <c r="AU85" i="34"/>
  <c r="AU86" i="34"/>
  <c r="AZ19" i="70" l="1"/>
  <c r="AZ40" i="70" s="1"/>
  <c r="BD61" i="69"/>
  <c r="BD65" i="69" s="1"/>
  <c r="BC29" i="69"/>
  <c r="X13" i="85"/>
  <c r="Y6" i="85"/>
  <c r="Y21" i="85" s="1"/>
  <c r="X19" i="85"/>
  <c r="X25" i="85"/>
  <c r="X12" i="85"/>
  <c r="S71" i="57"/>
  <c r="BA82" i="34"/>
  <c r="U75" i="58"/>
  <c r="BA17" i="70"/>
  <c r="BB33" i="69"/>
  <c r="BB36" i="69" s="1"/>
  <c r="AS41" i="70"/>
  <c r="AT8" i="69" s="1"/>
  <c r="AR42" i="70"/>
  <c r="AX9" i="70"/>
  <c r="AX19" i="70" s="1"/>
  <c r="AX40" i="70" s="1"/>
  <c r="R75" i="57"/>
  <c r="AW40" i="70"/>
  <c r="T75" i="58"/>
  <c r="BB82" i="34"/>
  <c r="S75" i="58"/>
  <c r="G75" i="58"/>
  <c r="W18" i="85"/>
  <c r="R71" i="57"/>
  <c r="T79" i="58"/>
  <c r="AW84" i="34"/>
  <c r="AX51" i="69"/>
  <c r="AX52" i="69" s="1"/>
  <c r="AY50" i="69"/>
  <c r="AV85" i="34"/>
  <c r="AV86" i="34"/>
  <c r="V36" i="116" l="1"/>
  <c r="V38" i="116" s="1"/>
  <c r="U20" i="85" s="1"/>
  <c r="G65" i="85" s="1"/>
  <c r="U22" i="85" s="1"/>
  <c r="X18" i="85"/>
  <c r="AT12" i="69"/>
  <c r="AT24" i="69" s="1"/>
  <c r="AT53" i="69" s="1"/>
  <c r="AT39" i="70"/>
  <c r="U79" i="58"/>
  <c r="BA9" i="70"/>
  <c r="BA19" i="70" s="1"/>
  <c r="BA40" i="70" s="1"/>
  <c r="S75" i="57"/>
  <c r="BB17" i="70"/>
  <c r="BC33" i="69"/>
  <c r="BC36" i="69" s="1"/>
  <c r="S79" i="58"/>
  <c r="G79" i="58"/>
  <c r="BB9" i="70"/>
  <c r="BB19" i="70" s="1"/>
  <c r="BB40" i="70" s="1"/>
  <c r="Y25" i="85"/>
  <c r="Y19" i="85"/>
  <c r="Y13" i="85"/>
  <c r="Y12" i="85" s="1"/>
  <c r="BE61" i="69"/>
  <c r="BE65" i="69" s="1"/>
  <c r="BD29" i="69"/>
  <c r="AX84" i="34"/>
  <c r="AY51" i="69"/>
  <c r="AY52" i="69" s="1"/>
  <c r="AZ50" i="69"/>
  <c r="AW85" i="34"/>
  <c r="AW86" i="34"/>
  <c r="BC17" i="70" l="1"/>
  <c r="BC19" i="70" s="1"/>
  <c r="BC40" i="70" s="1"/>
  <c r="BD33" i="69"/>
  <c r="BD36" i="69" s="1"/>
  <c r="BF61" i="69"/>
  <c r="BF65" i="69" s="1"/>
  <c r="BE29" i="69"/>
  <c r="Y18" i="85"/>
  <c r="AS42" i="70"/>
  <c r="AT41" i="70"/>
  <c r="AU8" i="69" s="1"/>
  <c r="AZ51" i="69"/>
  <c r="AZ52" i="69" s="1"/>
  <c r="AY84" i="34"/>
  <c r="BA50" i="69"/>
  <c r="AX85" i="34"/>
  <c r="AX86" i="34"/>
  <c r="AU39" i="70" l="1"/>
  <c r="AU12" i="69"/>
  <c r="AU24" i="69" s="1"/>
  <c r="AU53" i="69" s="1"/>
  <c r="BD17" i="70"/>
  <c r="BD19" i="70" s="1"/>
  <c r="BD40" i="70" s="1"/>
  <c r="BE33" i="69"/>
  <c r="BE36" i="69" s="1"/>
  <c r="BG61" i="69"/>
  <c r="BG65" i="69" s="1"/>
  <c r="BF29" i="69"/>
  <c r="AY86" i="34"/>
  <c r="AY85" i="34"/>
  <c r="AZ84" i="34"/>
  <c r="BA51" i="69"/>
  <c r="BA52" i="69" s="1"/>
  <c r="BB50" i="69"/>
  <c r="BE17" i="70" l="1"/>
  <c r="BE19" i="70" s="1"/>
  <c r="BE40" i="70" s="1"/>
  <c r="BF33" i="69"/>
  <c r="BF36" i="69" s="1"/>
  <c r="BG29" i="69"/>
  <c r="BH61" i="69"/>
  <c r="BH65" i="69" s="1"/>
  <c r="AT42" i="70"/>
  <c r="AU41" i="70"/>
  <c r="AV8" i="69" s="1"/>
  <c r="AZ85" i="34"/>
  <c r="AZ86" i="34"/>
  <c r="BA84" i="34"/>
  <c r="BB51" i="69"/>
  <c r="BB52" i="69" s="1"/>
  <c r="BC50" i="69"/>
  <c r="BF17" i="70" l="1"/>
  <c r="BF19" i="70" s="1"/>
  <c r="BF40" i="70" s="1"/>
  <c r="BG33" i="69"/>
  <c r="BG36" i="69" s="1"/>
  <c r="AV12" i="69"/>
  <c r="AV24" i="69" s="1"/>
  <c r="AV53" i="69" s="1"/>
  <c r="AV39" i="70"/>
  <c r="BI61" i="69"/>
  <c r="BI65" i="69" s="1"/>
  <c r="BH29" i="69"/>
  <c r="BA86" i="34"/>
  <c r="BA85" i="34"/>
  <c r="BB84" i="34"/>
  <c r="BC51" i="69"/>
  <c r="BC52" i="69" s="1"/>
  <c r="BD50" i="69"/>
  <c r="AV41" i="70" l="1"/>
  <c r="AW8" i="69" s="1"/>
  <c r="AU42" i="70"/>
  <c r="BG17" i="70"/>
  <c r="BG19" i="70" s="1"/>
  <c r="BG40" i="70" s="1"/>
  <c r="BH33" i="69"/>
  <c r="BH36" i="69" s="1"/>
  <c r="BI29" i="69"/>
  <c r="BJ61" i="69"/>
  <c r="BJ65" i="69" s="1"/>
  <c r="BB86" i="34"/>
  <c r="BB85" i="34"/>
  <c r="BC84" i="34"/>
  <c r="BD51" i="69"/>
  <c r="BD52" i="69" s="1"/>
  <c r="BE50" i="69"/>
  <c r="BJ29" i="69" l="1"/>
  <c r="BK61" i="69"/>
  <c r="BK65" i="69" s="1"/>
  <c r="BH17" i="70"/>
  <c r="BH19" i="70" s="1"/>
  <c r="BH40" i="70" s="1"/>
  <c r="BI33" i="69"/>
  <c r="BI36" i="69" s="1"/>
  <c r="AW12" i="69"/>
  <c r="AW24" i="69" s="1"/>
  <c r="AW53" i="69" s="1"/>
  <c r="AW39" i="70"/>
  <c r="BC85" i="34"/>
  <c r="BC86" i="34"/>
  <c r="BE51" i="69"/>
  <c r="BE52" i="69" s="1"/>
  <c r="BD84" i="34"/>
  <c r="BF50" i="69"/>
  <c r="AW41" i="70" l="1"/>
  <c r="AX8" i="69" s="1"/>
  <c r="AV42" i="70"/>
  <c r="BL61" i="69"/>
  <c r="BL65" i="69" s="1"/>
  <c r="BK29" i="69"/>
  <c r="BI17" i="70"/>
  <c r="BI19" i="70" s="1"/>
  <c r="BI40" i="70" s="1"/>
  <c r="BJ33" i="69"/>
  <c r="BJ36" i="69" s="1"/>
  <c r="BD85" i="34"/>
  <c r="BD86" i="34"/>
  <c r="BE84" i="34"/>
  <c r="BF51" i="69"/>
  <c r="BF52" i="69" s="1"/>
  <c r="BG50" i="69"/>
  <c r="BJ17" i="70" l="1"/>
  <c r="BJ19" i="70" s="1"/>
  <c r="BJ40" i="70" s="1"/>
  <c r="BK33" i="69"/>
  <c r="BK36" i="69" s="1"/>
  <c r="BL29" i="69"/>
  <c r="BM61" i="69"/>
  <c r="BM65" i="69" s="1"/>
  <c r="AX12" i="69"/>
  <c r="AX24" i="69" s="1"/>
  <c r="AX53" i="69" s="1"/>
  <c r="AX39" i="70"/>
  <c r="AX41" i="70" s="1"/>
  <c r="AY8" i="69" s="1"/>
  <c r="BE86" i="34"/>
  <c r="BE85" i="34"/>
  <c r="BF84" i="34"/>
  <c r="BG51" i="69"/>
  <c r="BG52" i="69" s="1"/>
  <c r="BH50" i="69"/>
  <c r="BK17" i="70" l="1"/>
  <c r="BK19" i="70" s="1"/>
  <c r="BK40" i="70" s="1"/>
  <c r="BL33" i="69"/>
  <c r="BL36" i="69" s="1"/>
  <c r="AY39" i="70"/>
  <c r="AY12" i="69"/>
  <c r="AY24" i="69" s="1"/>
  <c r="AY53" i="69" s="1"/>
  <c r="BM29" i="69"/>
  <c r="BN61" i="69"/>
  <c r="BN65" i="69" s="1"/>
  <c r="BF86" i="34"/>
  <c r="BF85" i="34"/>
  <c r="BG84" i="34"/>
  <c r="BH51" i="69"/>
  <c r="BH52" i="69" s="1"/>
  <c r="BI50" i="69"/>
  <c r="BO61" i="69" l="1"/>
  <c r="BO65" i="69" s="1"/>
  <c r="BN29" i="69"/>
  <c r="AX42" i="70"/>
  <c r="AY41" i="70"/>
  <c r="AZ8" i="69" s="1"/>
  <c r="BL17" i="70"/>
  <c r="BL19" i="70" s="1"/>
  <c r="BL40" i="70" s="1"/>
  <c r="BM33" i="69"/>
  <c r="BM36" i="69" s="1"/>
  <c r="BG85" i="34"/>
  <c r="BG86" i="34"/>
  <c r="BH84" i="34"/>
  <c r="BI51" i="69"/>
  <c r="BI52" i="69" s="1"/>
  <c r="BJ50" i="69"/>
  <c r="BN33" i="69" l="1"/>
  <c r="BN36" i="69" s="1"/>
  <c r="BM17" i="70"/>
  <c r="BM19" i="70" s="1"/>
  <c r="BM40" i="70" s="1"/>
  <c r="BP61" i="69"/>
  <c r="BP65" i="69" s="1"/>
  <c r="BO29" i="69"/>
  <c r="AZ39" i="70"/>
  <c r="AZ12" i="69"/>
  <c r="AZ24" i="69" s="1"/>
  <c r="AZ53" i="69" s="1"/>
  <c r="BH86" i="34"/>
  <c r="BH85" i="34"/>
  <c r="BI84" i="34"/>
  <c r="BK50" i="69"/>
  <c r="BJ51" i="69"/>
  <c r="BJ52" i="69" s="1"/>
  <c r="BP29" i="69" l="1"/>
  <c r="BQ61" i="69"/>
  <c r="BQ65" i="69" s="1"/>
  <c r="AZ41" i="70"/>
  <c r="BA8" i="69" s="1"/>
  <c r="AY42" i="70"/>
  <c r="BO33" i="69"/>
  <c r="BO36" i="69" s="1"/>
  <c r="BN17" i="70"/>
  <c r="BN19" i="70" s="1"/>
  <c r="BN40" i="70" s="1"/>
  <c r="BJ84" i="34"/>
  <c r="BK51" i="69"/>
  <c r="BK52" i="69" s="1"/>
  <c r="BL50" i="69"/>
  <c r="BI86" i="34"/>
  <c r="BI85" i="34"/>
  <c r="BA12" i="69" l="1"/>
  <c r="BA24" i="69" s="1"/>
  <c r="BA53" i="69" s="1"/>
  <c r="BA39" i="70"/>
  <c r="BQ29" i="69"/>
  <c r="BR61" i="69"/>
  <c r="BR65" i="69" s="1"/>
  <c r="BP33" i="69"/>
  <c r="BP36" i="69" s="1"/>
  <c r="BO17" i="70"/>
  <c r="BO19" i="70" s="1"/>
  <c r="BO40" i="70" s="1"/>
  <c r="BK84" i="34"/>
  <c r="BL51" i="69"/>
  <c r="BL52" i="69" s="1"/>
  <c r="BM50" i="69"/>
  <c r="BJ86" i="34"/>
  <c r="BJ85" i="34"/>
  <c r="BR29" i="69" l="1"/>
  <c r="BS61" i="69"/>
  <c r="BS65" i="69" s="1"/>
  <c r="BQ33" i="69"/>
  <c r="BQ36" i="69" s="1"/>
  <c r="BP17" i="70"/>
  <c r="BP19" i="70" s="1"/>
  <c r="BP40" i="70" s="1"/>
  <c r="AZ42" i="70"/>
  <c r="BA41" i="70"/>
  <c r="BB8" i="69" s="1"/>
  <c r="BL84" i="34"/>
  <c r="BM51" i="69"/>
  <c r="BM52" i="69" s="1"/>
  <c r="BN50" i="69"/>
  <c r="BK86" i="34"/>
  <c r="BK85" i="34"/>
  <c r="BB39" i="70" l="1"/>
  <c r="BB12" i="69"/>
  <c r="BB24" i="69" s="1"/>
  <c r="BB53" i="69" s="1"/>
  <c r="BS29" i="69"/>
  <c r="BT61" i="69"/>
  <c r="BT65" i="69" s="1"/>
  <c r="BR33" i="69"/>
  <c r="BR36" i="69" s="1"/>
  <c r="BQ17" i="70"/>
  <c r="BQ19" i="70" s="1"/>
  <c r="BQ40" i="70" s="1"/>
  <c r="BM84" i="34"/>
  <c r="BN51" i="69"/>
  <c r="BN52" i="69" s="1"/>
  <c r="BO50" i="69"/>
  <c r="BL86" i="34"/>
  <c r="BL85" i="34"/>
  <c r="BT29" i="69" l="1"/>
  <c r="BU61" i="69"/>
  <c r="BU65" i="69" s="1"/>
  <c r="BS33" i="69"/>
  <c r="BS36" i="69" s="1"/>
  <c r="BR17" i="70"/>
  <c r="BR19" i="70" s="1"/>
  <c r="BR40" i="70" s="1"/>
  <c r="BB41" i="70"/>
  <c r="BC8" i="69" s="1"/>
  <c r="BA42" i="70"/>
  <c r="BN84" i="34"/>
  <c r="BO51" i="69"/>
  <c r="BO52" i="69" s="1"/>
  <c r="BP50" i="69"/>
  <c r="BM85" i="34"/>
  <c r="BM86" i="34"/>
  <c r="BC12" i="69" l="1"/>
  <c r="BC24" i="69" s="1"/>
  <c r="BC53" i="69" s="1"/>
  <c r="BC39" i="70"/>
  <c r="BU29" i="69"/>
  <c r="BV61" i="69"/>
  <c r="BV65" i="69" s="1"/>
  <c r="BS17" i="70"/>
  <c r="BS19" i="70" s="1"/>
  <c r="BS40" i="70" s="1"/>
  <c r="BT33" i="69"/>
  <c r="BT36" i="69" s="1"/>
  <c r="BO84" i="34"/>
  <c r="BQ50" i="69"/>
  <c r="BP51" i="69"/>
  <c r="BP52" i="69" s="1"/>
  <c r="BN85" i="34"/>
  <c r="BN86" i="34"/>
  <c r="BW61" i="69" l="1"/>
  <c r="BW65" i="69" s="1"/>
  <c r="BV29" i="69"/>
  <c r="BT17" i="70"/>
  <c r="BT19" i="70" s="1"/>
  <c r="BT40" i="70" s="1"/>
  <c r="BU33" i="69"/>
  <c r="BU36" i="69" s="1"/>
  <c r="BB42" i="70"/>
  <c r="BC41" i="70"/>
  <c r="BD8" i="69" s="1"/>
  <c r="BP84" i="34"/>
  <c r="BQ51" i="69"/>
  <c r="BQ52" i="69" s="1"/>
  <c r="BR50" i="69"/>
  <c r="BO86" i="34"/>
  <c r="BO85" i="34"/>
  <c r="BD12" i="69" l="1"/>
  <c r="BD24" i="69" s="1"/>
  <c r="BD53" i="69" s="1"/>
  <c r="BD39" i="70"/>
  <c r="BU17" i="70"/>
  <c r="BU19" i="70" s="1"/>
  <c r="BU40" i="70" s="1"/>
  <c r="BV33" i="69"/>
  <c r="BV36" i="69" s="1"/>
  <c r="BX61" i="69"/>
  <c r="BX65" i="69" s="1"/>
  <c r="BW29" i="69"/>
  <c r="BQ84" i="34"/>
  <c r="BR51" i="69"/>
  <c r="BR52" i="69" s="1"/>
  <c r="BS50" i="69"/>
  <c r="BP86" i="34"/>
  <c r="BP85" i="34"/>
  <c r="BW33" i="69" l="1"/>
  <c r="BW36" i="69" s="1"/>
  <c r="BV17" i="70"/>
  <c r="BV19" i="70" s="1"/>
  <c r="BV40" i="70" s="1"/>
  <c r="BC42" i="70"/>
  <c r="BD41" i="70"/>
  <c r="BE8" i="69" s="1"/>
  <c r="BY61" i="69"/>
  <c r="BY65" i="69" s="1"/>
  <c r="BY29" i="69" s="1"/>
  <c r="BY33" i="69" s="1"/>
  <c r="BY36" i="69" s="1"/>
  <c r="BX29" i="69"/>
  <c r="BX33" i="69" s="1"/>
  <c r="BX36" i="69" s="1"/>
  <c r="BR84" i="34"/>
  <c r="BS51" i="69"/>
  <c r="BS52" i="69" s="1"/>
  <c r="BT50" i="69"/>
  <c r="BQ86" i="34"/>
  <c r="BQ85" i="34"/>
  <c r="BE12" i="69" l="1"/>
  <c r="BE24" i="69" s="1"/>
  <c r="BE53" i="69" s="1"/>
  <c r="BE39" i="70"/>
  <c r="BS84" i="34"/>
  <c r="BT51" i="69"/>
  <c r="BT52" i="69" s="1"/>
  <c r="BU50" i="69"/>
  <c r="BR85" i="34"/>
  <c r="BR86" i="34"/>
  <c r="BD42" i="70" l="1"/>
  <c r="BE41" i="70"/>
  <c r="BF8" i="69" s="1"/>
  <c r="BT84" i="34"/>
  <c r="BU51" i="69"/>
  <c r="BU52" i="69" s="1"/>
  <c r="BV50" i="69"/>
  <c r="BS86" i="34"/>
  <c r="BS85" i="34"/>
  <c r="BF12" i="69" l="1"/>
  <c r="BF24" i="69" s="1"/>
  <c r="BF53" i="69" s="1"/>
  <c r="BF39" i="70"/>
  <c r="BU84" i="34"/>
  <c r="BV51" i="69"/>
  <c r="BV52" i="69" s="1"/>
  <c r="BW50" i="69"/>
  <c r="BT86" i="34"/>
  <c r="BT85" i="34"/>
  <c r="BE42" i="70" l="1"/>
  <c r="BF41" i="70"/>
  <c r="BG8" i="69" s="1"/>
  <c r="BV84" i="34"/>
  <c r="BX50" i="69"/>
  <c r="BW51" i="69"/>
  <c r="BW52" i="69" s="1"/>
  <c r="BU85" i="34"/>
  <c r="BU86" i="34"/>
  <c r="BG39" i="70" l="1"/>
  <c r="BG12" i="69"/>
  <c r="BG24" i="69" s="1"/>
  <c r="BG53" i="69" s="1"/>
  <c r="BY50" i="69"/>
  <c r="BY51" i="69" s="1"/>
  <c r="BY52" i="69" s="1"/>
  <c r="BY53" i="69" s="1"/>
  <c r="BX51" i="69"/>
  <c r="BX52" i="69" s="1"/>
  <c r="BX53" i="69" s="1"/>
  <c r="BW84" i="34"/>
  <c r="BV86" i="34"/>
  <c r="BV85" i="34"/>
  <c r="BF42" i="70" l="1"/>
  <c r="BG41" i="70"/>
  <c r="BH8" i="69" s="1"/>
  <c r="BH39" i="70" l="1"/>
  <c r="BH12" i="69"/>
  <c r="BH24" i="69" s="1"/>
  <c r="BH53" i="69" s="1"/>
  <c r="BG42" i="70" l="1"/>
  <c r="BH41" i="70"/>
  <c r="BI8" i="69" s="1"/>
  <c r="BI12" i="69" l="1"/>
  <c r="BI24" i="69" s="1"/>
  <c r="BI53" i="69" s="1"/>
  <c r="BI39" i="70"/>
  <c r="BI41" i="70" l="1"/>
  <c r="BJ8" i="69" s="1"/>
  <c r="BH42" i="70"/>
  <c r="BJ39" i="70" l="1"/>
  <c r="BJ12" i="69"/>
  <c r="BJ24" i="69" s="1"/>
  <c r="BJ53" i="69" s="1"/>
  <c r="BJ41" i="70" l="1"/>
  <c r="BK8" i="69" s="1"/>
  <c r="BI42" i="70"/>
  <c r="BK12" i="69" l="1"/>
  <c r="BK24" i="69" s="1"/>
  <c r="BK53" i="69" s="1"/>
  <c r="BK39" i="70"/>
  <c r="BK41" i="70" l="1"/>
  <c r="BL8" i="69" s="1"/>
  <c r="BJ42" i="70"/>
  <c r="BL12" i="69" l="1"/>
  <c r="BL24" i="69" s="1"/>
  <c r="BL53" i="69" s="1"/>
  <c r="BL39" i="70"/>
  <c r="BL41" i="70" l="1"/>
  <c r="BM8" i="69" s="1"/>
  <c r="BK42" i="70"/>
  <c r="BM39" i="70" l="1"/>
  <c r="BM12" i="69"/>
  <c r="BM24" i="69" s="1"/>
  <c r="BM53" i="69" s="1"/>
  <c r="BM41" i="70" l="1"/>
  <c r="BN8" i="69" s="1"/>
  <c r="BL42" i="70"/>
  <c r="BN12" i="69" l="1"/>
  <c r="BN24" i="69" s="1"/>
  <c r="BN53" i="69" s="1"/>
  <c r="BN39" i="70"/>
  <c r="BM42" i="70" l="1"/>
  <c r="BN41" i="70"/>
  <c r="BO8" i="69" s="1"/>
  <c r="BO39" i="70" l="1"/>
  <c r="BO12" i="69"/>
  <c r="BO24" i="69" s="1"/>
  <c r="BO53" i="69" s="1"/>
  <c r="BO41" i="70" l="1"/>
  <c r="BP8" i="69" s="1"/>
  <c r="BN42" i="70"/>
  <c r="BP12" i="69" l="1"/>
  <c r="BP24" i="69" s="1"/>
  <c r="BP53" i="69" s="1"/>
  <c r="BP39" i="70"/>
  <c r="BO42" i="70" l="1"/>
  <c r="BP41" i="70"/>
  <c r="BQ8" i="69" s="1"/>
  <c r="BQ12" i="69" l="1"/>
  <c r="BQ24" i="69" s="1"/>
  <c r="BQ53" i="69" s="1"/>
  <c r="BQ39" i="70"/>
  <c r="BP42" i="70" l="1"/>
  <c r="BQ41" i="70"/>
  <c r="BR8" i="69" s="1"/>
  <c r="BR12" i="69" l="1"/>
  <c r="BR24" i="69" s="1"/>
  <c r="BR53" i="69" s="1"/>
  <c r="BR39" i="70"/>
  <c r="BQ42" i="70" l="1"/>
  <c r="BR41" i="70"/>
  <c r="BS8" i="69" s="1"/>
  <c r="BS12" i="69" l="1"/>
  <c r="BS24" i="69" s="1"/>
  <c r="BS53" i="69" s="1"/>
  <c r="BS39" i="70"/>
  <c r="BS41" i="70" l="1"/>
  <c r="BT8" i="69" s="1"/>
  <c r="BR42" i="70"/>
  <c r="BT39" i="70" l="1"/>
  <c r="BT12" i="69"/>
  <c r="BT24" i="69" s="1"/>
  <c r="BT53" i="69" s="1"/>
  <c r="BS42" i="70" l="1"/>
  <c r="BT41" i="70"/>
  <c r="BU8" i="69" s="1"/>
  <c r="BU39" i="70" l="1"/>
  <c r="BU12" i="69"/>
  <c r="BU24" i="69" s="1"/>
  <c r="BU53" i="69" s="1"/>
  <c r="BT42" i="70" l="1"/>
  <c r="BU41" i="70"/>
  <c r="BV8" i="69" s="1"/>
  <c r="BV39" i="70" l="1"/>
  <c r="BV12" i="69"/>
  <c r="BV24" i="69" s="1"/>
  <c r="BV53" i="69" s="1"/>
  <c r="BU42" i="70" l="1"/>
  <c r="BV41" i="70"/>
  <c r="BV42" i="70" l="1"/>
  <c r="BW8" i="69"/>
  <c r="BW12" i="69" s="1"/>
  <c r="BW24" i="69" s="1"/>
  <c r="BW53" i="69" s="1"/>
</calcChain>
</file>

<file path=xl/comments1.xml><?xml version="1.0" encoding="utf-8"?>
<comments xmlns="http://schemas.openxmlformats.org/spreadsheetml/2006/main">
  <authors>
    <author>Ronald Burr</author>
  </authors>
  <commentList>
    <comment ref="B13" authorId="0" shapeId="0">
      <text>
        <r>
          <rPr>
            <b/>
            <sz val="9"/>
            <color indexed="81"/>
            <rFont val="Tahoma"/>
            <family val="2"/>
          </rPr>
          <t>Ronald Burr:</t>
        </r>
        <r>
          <rPr>
            <sz val="9"/>
            <color indexed="81"/>
            <rFont val="Tahoma"/>
            <family val="2"/>
          </rPr>
          <t xml:space="preserve">
currently cumulative in Qtr so add months 1 2 &amp; 3 together for a total Active30
should be changed to total UNIQUE</t>
        </r>
      </text>
    </comment>
  </commentList>
</comments>
</file>

<file path=xl/comments2.xml><?xml version="1.0" encoding="utf-8"?>
<comments xmlns="http://schemas.openxmlformats.org/spreadsheetml/2006/main">
  <authors>
    <author>Ronald Burr</author>
    <author>Dan R</author>
  </authors>
  <commentList>
    <comment ref="A45" authorId="0" shapeId="0">
      <text>
        <r>
          <rPr>
            <b/>
            <sz val="9"/>
            <color indexed="81"/>
            <rFont val="Tahoma"/>
            <family val="2"/>
          </rPr>
          <t>Ronald Burr:</t>
        </r>
        <r>
          <rPr>
            <sz val="9"/>
            <color indexed="81"/>
            <rFont val="Tahoma"/>
            <family val="2"/>
          </rPr>
          <t xml:space="preserve">
This number is used to determine how many new users we get each month by dividing marketing spend by CAC</t>
        </r>
      </text>
    </comment>
    <comment ref="A47" authorId="1" shapeId="0">
      <text>
        <r>
          <rPr>
            <sz val="9"/>
            <color indexed="81"/>
            <rFont val="Tahoma"/>
            <family val="2"/>
          </rPr>
          <t xml:space="preserve">
number of seconds in one billing increment</t>
        </r>
      </text>
    </comment>
    <comment ref="A52" authorId="0" shapeId="0">
      <text>
        <r>
          <rPr>
            <b/>
            <sz val="9"/>
            <color indexed="81"/>
            <rFont val="Tahoma"/>
            <family val="2"/>
          </rPr>
          <t xml:space="preserve">Ronald Burr:
</t>
        </r>
        <r>
          <rPr>
            <sz val="9"/>
            <color indexed="81"/>
            <rFont val="Tahoma"/>
            <family val="2"/>
          </rPr>
          <t xml:space="preserve">
this is a temporary quick metric to calc potential subscription revenue. should be replaced with more detailed modeling.</t>
        </r>
      </text>
    </comment>
    <comment ref="A53" authorId="0" shapeId="0">
      <text>
        <r>
          <rPr>
            <b/>
            <sz val="9"/>
            <color indexed="81"/>
            <rFont val="Tahoma"/>
            <family val="2"/>
          </rPr>
          <t>Ronald Burr:</t>
        </r>
        <r>
          <rPr>
            <sz val="9"/>
            <color indexed="81"/>
            <rFont val="Tahoma"/>
            <family val="2"/>
          </rPr>
          <t xml:space="preserve">
Amount of Marketing budget spent on Voice. Remainder spent on SMS</t>
        </r>
      </text>
    </comment>
  </commentList>
</comments>
</file>

<file path=xl/comments3.xml><?xml version="1.0" encoding="utf-8"?>
<comments xmlns="http://schemas.openxmlformats.org/spreadsheetml/2006/main">
  <authors>
    <author>Ronald Burr</author>
  </authors>
  <commentList>
    <comment ref="B6" authorId="0" shapeId="0">
      <text>
        <r>
          <rPr>
            <b/>
            <sz val="9"/>
            <color indexed="81"/>
            <rFont val="Tahoma"/>
            <family val="2"/>
          </rPr>
          <t>Ronald Burr:</t>
        </r>
        <r>
          <rPr>
            <sz val="9"/>
            <color indexed="81"/>
            <rFont val="Tahoma"/>
            <family val="2"/>
          </rPr>
          <t xml:space="preserve">
Non GAAP metric</t>
        </r>
      </text>
    </comment>
  </commentList>
</comments>
</file>

<file path=xl/comments4.xml><?xml version="1.0" encoding="utf-8"?>
<comments xmlns="http://schemas.openxmlformats.org/spreadsheetml/2006/main">
  <authors>
    <author>Ronald Burr</author>
  </authors>
  <commentList>
    <comment ref="B45" authorId="0" shapeId="0">
      <text>
        <r>
          <rPr>
            <b/>
            <sz val="9"/>
            <color indexed="81"/>
            <rFont val="Tahoma"/>
            <family val="2"/>
          </rPr>
          <t>Ronald Burr:</t>
        </r>
        <r>
          <rPr>
            <sz val="9"/>
            <color indexed="81"/>
            <rFont val="Tahoma"/>
            <family val="2"/>
          </rPr>
          <t xml:space="preserve">
These adjustments true up the proforma historical to match current GAAP in QuickBooks.  Most adjustments below are related to the cash/accrual shift that took place in the GAAP records and thus make the proforma accrual match up in Jan 2013</t>
        </r>
      </text>
    </comment>
    <comment ref="B48" authorId="0" shapeId="0">
      <text>
        <r>
          <rPr>
            <b/>
            <sz val="9"/>
            <color indexed="81"/>
            <rFont val="Tahoma"/>
            <family val="2"/>
          </rPr>
          <t>Ronald Burr:</t>
        </r>
        <r>
          <rPr>
            <sz val="9"/>
            <color indexed="81"/>
            <rFont val="Tahoma"/>
            <family val="2"/>
          </rPr>
          <t xml:space="preserve">
to make Model BS and CF match QB reality</t>
        </r>
      </text>
    </comment>
  </commentList>
</comments>
</file>

<file path=xl/comments5.xml><?xml version="1.0" encoding="utf-8"?>
<comments xmlns="http://schemas.openxmlformats.org/spreadsheetml/2006/main">
  <authors>
    <author>Ron Burr</author>
    <author>Ronald Burr</author>
  </authors>
  <commentList>
    <comment ref="B9" authorId="0" shapeId="0">
      <text>
        <r>
          <rPr>
            <b/>
            <sz val="9"/>
            <color indexed="81"/>
            <rFont val="Tahoma"/>
            <family val="2"/>
          </rPr>
          <t>Ron Burr:</t>
        </r>
        <r>
          <rPr>
            <sz val="9"/>
            <color indexed="81"/>
            <rFont val="Tahoma"/>
            <family val="2"/>
          </rPr>
          <t xml:space="preserve">
In a healthly company this would be a positve value and is a proxy for cash in. Then you add back non cash items such as Dep, Amort, Stock Exp</t>
        </r>
      </text>
    </comment>
    <comment ref="B13" authorId="0" shapeId="0">
      <text>
        <r>
          <rPr>
            <b/>
            <sz val="9"/>
            <color indexed="81"/>
            <rFont val="Tahoma"/>
            <family val="2"/>
          </rPr>
          <t>Ron Burr:</t>
        </r>
        <r>
          <rPr>
            <sz val="9"/>
            <color indexed="81"/>
            <rFont val="Tahoma"/>
            <family val="2"/>
          </rPr>
          <t xml:space="preserve">
In growth scenario this could be negative because you're AR is getting bigger each month as you bring on moree business.  If this is a postive number it means you collected more cash in than new business you sold this month.</t>
        </r>
      </text>
    </comment>
    <comment ref="B15" authorId="0" shapeId="0">
      <text>
        <r>
          <rPr>
            <b/>
            <sz val="9"/>
            <color indexed="81"/>
            <rFont val="Tahoma"/>
            <family val="2"/>
          </rPr>
          <t>Ron Burr:</t>
        </r>
        <r>
          <rPr>
            <sz val="9"/>
            <color indexed="81"/>
            <rFont val="Tahoma"/>
            <family val="2"/>
          </rPr>
          <t xml:space="preserve">
represent cash out to pay bills.  This is where the bulk of your cash burn(spending of money) will most likely show up.  Possibly some as well in CapEx expenditures below and or debt repayments below.  If these are negative numbers it is the amount you spent.  If they are positive it likely means you did somehow got credit back.  If you're streching your payables this number will be smaller than the growth in your AP month over month.</t>
        </r>
      </text>
    </comment>
    <comment ref="R19" authorId="1" shapeId="0">
      <text>
        <r>
          <rPr>
            <b/>
            <sz val="9"/>
            <color indexed="81"/>
            <rFont val="Tahoma"/>
            <family val="2"/>
          </rPr>
          <t>Ronald Burr:</t>
        </r>
        <r>
          <rPr>
            <sz val="9"/>
            <color indexed="81"/>
            <rFont val="Tahoma"/>
            <family val="2"/>
          </rPr>
          <t xml:space="preserve">
This plus Cash Flow From Investing = FCF
</t>
        </r>
      </text>
    </comment>
  </commentList>
</comments>
</file>

<file path=xl/comments6.xml><?xml version="1.0" encoding="utf-8"?>
<comments xmlns="http://schemas.openxmlformats.org/spreadsheetml/2006/main">
  <authors>
    <author>Ronald Burr</author>
  </authors>
  <commentList>
    <comment ref="A4" authorId="0" shapeId="0">
      <text>
        <r>
          <rPr>
            <b/>
            <sz val="9"/>
            <color indexed="81"/>
            <rFont val="Tahoma"/>
            <family val="2"/>
          </rPr>
          <t>Ronald Burr:</t>
        </r>
        <r>
          <rPr>
            <sz val="9"/>
            <color indexed="81"/>
            <rFont val="Tahoma"/>
            <family val="2"/>
          </rPr>
          <t xml:space="preserve">
Enter Yes to Include No to Exclude</t>
        </r>
      </text>
    </comment>
  </commentList>
</comments>
</file>

<file path=xl/comments7.xml><?xml version="1.0" encoding="utf-8"?>
<comments xmlns="http://schemas.openxmlformats.org/spreadsheetml/2006/main">
  <authors>
    <author>Ronald Burr</author>
  </authors>
  <commentList>
    <comment ref="A4" authorId="0" shapeId="0">
      <text>
        <r>
          <rPr>
            <b/>
            <sz val="9"/>
            <color indexed="81"/>
            <rFont val="Tahoma"/>
            <family val="2"/>
          </rPr>
          <t>Ronald Burr:</t>
        </r>
        <r>
          <rPr>
            <sz val="9"/>
            <color indexed="81"/>
            <rFont val="Tahoma"/>
            <family val="2"/>
          </rPr>
          <t xml:space="preserve">
Enter Yes to Include No to Exclude</t>
        </r>
      </text>
    </comment>
  </commentList>
</comments>
</file>

<file path=xl/comments8.xml><?xml version="1.0" encoding="utf-8"?>
<comments xmlns="http://schemas.openxmlformats.org/spreadsheetml/2006/main">
  <authors>
    <author>Ronald Burr</author>
  </authors>
  <commentList>
    <comment ref="A64" authorId="0" shapeId="0">
      <text>
        <r>
          <rPr>
            <b/>
            <sz val="9"/>
            <color indexed="81"/>
            <rFont val="Tahoma"/>
            <family val="2"/>
          </rPr>
          <t>Ronald Burr:</t>
        </r>
        <r>
          <rPr>
            <sz val="9"/>
            <color indexed="81"/>
            <rFont val="Tahoma"/>
            <family val="2"/>
          </rPr>
          <t xml:space="preserve">
This is the historical revenue 12/2010 and earlier. after 1 year model assumes users active a fixed % rate.  Right now just plugging the base rev number of 500k and assuming fixed attrition over 60 months</t>
        </r>
      </text>
    </comment>
  </commentList>
</comments>
</file>

<file path=xl/comments9.xml><?xml version="1.0" encoding="utf-8"?>
<comments xmlns="http://schemas.openxmlformats.org/spreadsheetml/2006/main">
  <authors>
    <author>Ronald Burr</author>
  </authors>
  <commentList>
    <comment ref="A65" authorId="0" shapeId="0">
      <text>
        <r>
          <rPr>
            <b/>
            <sz val="9"/>
            <color indexed="81"/>
            <rFont val="Tahoma"/>
            <family val="2"/>
          </rPr>
          <t>Ronald Burr:</t>
        </r>
        <r>
          <rPr>
            <sz val="9"/>
            <color indexed="81"/>
            <rFont val="Tahoma"/>
            <family val="2"/>
          </rPr>
          <t xml:space="preserve">
This is the historical revenue 12/2010 and earlier. after 1 year model assumes users active a fixed % rate.  Right now just plugging the base rev number of 500k and assuming fixed attrition over 60 months</t>
        </r>
      </text>
    </comment>
  </commentList>
</comments>
</file>

<file path=xl/comments10.xml><?xml version="1.0" encoding="utf-8"?>
<comments xmlns="http://schemas.openxmlformats.org/spreadsheetml/2006/main">
  <authors>
    <author>Ronald Burr</author>
  </authors>
  <commentList>
    <comment ref="A65" authorId="0" shapeId="0">
      <text>
        <r>
          <rPr>
            <b/>
            <sz val="9"/>
            <color indexed="81"/>
            <rFont val="Tahoma"/>
            <family val="2"/>
          </rPr>
          <t>Ronald Burr:</t>
        </r>
        <r>
          <rPr>
            <sz val="9"/>
            <color indexed="81"/>
            <rFont val="Tahoma"/>
            <family val="2"/>
          </rPr>
          <t xml:space="preserve">
This is the historical revenue 12/2010 and earlier. after 1 year model assumes users active a fixed % rate.  Right now just plugging the base rev number of 500k and assuming fixed attrition over 60 months</t>
        </r>
      </text>
    </comment>
  </commentList>
</comments>
</file>

<file path=xl/comments11.xml><?xml version="1.0" encoding="utf-8"?>
<comments xmlns="http://schemas.openxmlformats.org/spreadsheetml/2006/main">
  <authors>
    <author>jpavlik</author>
  </authors>
  <commentList>
    <comment ref="AA22" authorId="0" shapeId="0">
      <text>
        <r>
          <rPr>
            <b/>
            <sz val="9"/>
            <color indexed="81"/>
            <rFont val="Tahoma"/>
            <family val="2"/>
          </rPr>
          <t>jpavlik:</t>
        </r>
        <r>
          <rPr>
            <sz val="9"/>
            <color indexed="81"/>
            <rFont val="Tahoma"/>
            <family val="2"/>
          </rPr>
          <t xml:space="preserve">
Includes Lunch as sales incentives 1x week</t>
        </r>
      </text>
    </comment>
    <comment ref="AD29" authorId="0" shapeId="0">
      <text>
        <r>
          <rPr>
            <b/>
            <sz val="9"/>
            <color indexed="81"/>
            <rFont val="Tahoma"/>
            <family val="2"/>
          </rPr>
          <t>jpavlik:</t>
        </r>
        <r>
          <rPr>
            <sz val="9"/>
            <color indexed="81"/>
            <rFont val="Tahoma"/>
            <family val="2"/>
          </rPr>
          <t xml:space="preserve">
ZenDesk +$4,500</t>
        </r>
      </text>
    </comment>
  </commentList>
</comments>
</file>

<file path=xl/comments12.xml><?xml version="1.0" encoding="utf-8"?>
<comments xmlns="http://schemas.openxmlformats.org/spreadsheetml/2006/main">
  <authors>
    <author>jpavlik</author>
  </authors>
  <commentList>
    <comment ref="AA20" authorId="0" shapeId="0">
      <text>
        <r>
          <rPr>
            <b/>
            <sz val="9"/>
            <color indexed="81"/>
            <rFont val="Tahoma"/>
            <charset val="1"/>
          </rPr>
          <t>jpavlik:</t>
        </r>
        <r>
          <rPr>
            <sz val="9"/>
            <color indexed="81"/>
            <rFont val="Tahoma"/>
            <charset val="1"/>
          </rPr>
          <t xml:space="preserve">
Ian fee</t>
        </r>
      </text>
    </comment>
    <comment ref="AB20" authorId="0" shapeId="0">
      <text>
        <r>
          <rPr>
            <b/>
            <sz val="9"/>
            <color indexed="81"/>
            <rFont val="Tahoma"/>
            <family val="2"/>
          </rPr>
          <t>jpavlik:</t>
        </r>
        <r>
          <rPr>
            <sz val="9"/>
            <color indexed="81"/>
            <rFont val="Tahoma"/>
            <family val="2"/>
          </rPr>
          <t xml:space="preserve">
retention fee</t>
        </r>
      </text>
    </comment>
    <comment ref="AD20" authorId="0" shapeId="0">
      <text>
        <r>
          <rPr>
            <b/>
            <sz val="9"/>
            <color indexed="81"/>
            <rFont val="Tahoma"/>
            <family val="2"/>
          </rPr>
          <t>jpavlik:</t>
        </r>
        <r>
          <rPr>
            <sz val="9"/>
            <color indexed="81"/>
            <rFont val="Tahoma"/>
            <family val="2"/>
          </rPr>
          <t xml:space="preserve">
recruiter fee</t>
        </r>
      </text>
    </comment>
    <comment ref="AA21" authorId="0" shapeId="0">
      <text>
        <r>
          <rPr>
            <b/>
            <sz val="9"/>
            <color indexed="81"/>
            <rFont val="Tahoma"/>
            <family val="2"/>
          </rPr>
          <t>jpavlik:</t>
        </r>
        <r>
          <rPr>
            <sz val="9"/>
            <color indexed="81"/>
            <rFont val="Tahoma"/>
            <family val="2"/>
          </rPr>
          <t xml:space="preserve">
Includes outsourced team travel of $5k per 15 people</t>
        </r>
      </text>
    </comment>
    <comment ref="AA24" authorId="0" shapeId="0">
      <text>
        <r>
          <rPr>
            <b/>
            <sz val="9"/>
            <color indexed="81"/>
            <rFont val="Tahoma"/>
            <family val="2"/>
          </rPr>
          <t>jpavlik:</t>
        </r>
        <r>
          <rPr>
            <sz val="9"/>
            <color indexed="81"/>
            <rFont val="Tahoma"/>
            <family val="2"/>
          </rPr>
          <t xml:space="preserve">
Includes $20k for Jira </t>
        </r>
      </text>
    </comment>
    <comment ref="AA29" authorId="0" shapeId="0">
      <text>
        <r>
          <rPr>
            <b/>
            <sz val="9"/>
            <color indexed="81"/>
            <rFont val="Tahoma"/>
            <family val="2"/>
          </rPr>
          <t>jpavlik:</t>
        </r>
        <r>
          <rPr>
            <sz val="9"/>
            <color indexed="81"/>
            <rFont val="Tahoma"/>
            <family val="2"/>
          </rPr>
          <t xml:space="preserve">
Kuhntal's expense plus 25%</t>
        </r>
      </text>
    </comment>
    <comment ref="AD30" authorId="0" shapeId="0">
      <text>
        <r>
          <rPr>
            <b/>
            <sz val="9"/>
            <color indexed="81"/>
            <rFont val="Tahoma"/>
            <family val="2"/>
          </rPr>
          <t>jpavlik:</t>
        </r>
        <r>
          <rPr>
            <sz val="9"/>
            <color indexed="81"/>
            <rFont val="Tahoma"/>
            <family val="2"/>
          </rPr>
          <t xml:space="preserve">
$1k trip</t>
        </r>
      </text>
    </comment>
  </commentList>
</comments>
</file>

<file path=xl/comments13.xml><?xml version="1.0" encoding="utf-8"?>
<comments xmlns="http://schemas.openxmlformats.org/spreadsheetml/2006/main">
  <authors>
    <author>jpavlik</author>
  </authors>
  <commentList>
    <comment ref="AA21" authorId="0" shapeId="0">
      <text>
        <r>
          <rPr>
            <b/>
            <sz val="9"/>
            <color indexed="81"/>
            <rFont val="Tahoma"/>
            <family val="2"/>
          </rPr>
          <t>jpavlik:</t>
        </r>
        <r>
          <rPr>
            <sz val="9"/>
            <color indexed="81"/>
            <rFont val="Tahoma"/>
            <family val="2"/>
          </rPr>
          <t xml:space="preserve">
2 Dev Ops from Kiev and 1 to Kiev</t>
        </r>
      </text>
    </comment>
    <comment ref="AA39" authorId="0" shapeId="0">
      <text>
        <r>
          <rPr>
            <b/>
            <sz val="9"/>
            <color indexed="81"/>
            <rFont val="Tahoma"/>
            <charset val="1"/>
          </rPr>
          <t>jpavlik:</t>
        </r>
        <r>
          <rPr>
            <sz val="9"/>
            <color indexed="81"/>
            <rFont val="Tahoma"/>
            <charset val="1"/>
          </rPr>
          <t xml:space="preserve">
Includes $9k for server lease
</t>
        </r>
      </text>
    </comment>
  </commentList>
</comments>
</file>

<file path=xl/comments14.xml><?xml version="1.0" encoding="utf-8"?>
<comments xmlns="http://schemas.openxmlformats.org/spreadsheetml/2006/main">
  <authors>
    <author>Tina Isayan</author>
  </authors>
  <commentList>
    <comment ref="M99" authorId="0" shapeId="0">
      <text>
        <r>
          <rPr>
            <b/>
            <sz val="9"/>
            <color rgb="FF000000"/>
            <rFont val="Tahoma"/>
            <family val="2"/>
          </rPr>
          <t>Tina Isayan:</t>
        </r>
        <r>
          <rPr>
            <sz val="9"/>
            <color rgb="FF000000"/>
            <rFont val="Tahoma"/>
            <family val="2"/>
          </rPr>
          <t xml:space="preserve">
potential receipt of All state Revenue</t>
        </r>
      </text>
    </comment>
  </commentList>
</comments>
</file>

<file path=xl/sharedStrings.xml><?xml version="1.0" encoding="utf-8"?>
<sst xmlns="http://schemas.openxmlformats.org/spreadsheetml/2006/main" count="5073" uniqueCount="1325">
  <si>
    <t>Hire Date</t>
  </si>
  <si>
    <t>Active</t>
  </si>
  <si>
    <t>Creative Development</t>
  </si>
  <si>
    <t>Executive</t>
  </si>
  <si>
    <t>Finance</t>
  </si>
  <si>
    <t>Marketing</t>
  </si>
  <si>
    <t>Actual</t>
  </si>
  <si>
    <t>Forecast</t>
  </si>
  <si>
    <t xml:space="preserve"> </t>
  </si>
  <si>
    <t>Bonus</t>
  </si>
  <si>
    <t>Broadband</t>
  </si>
  <si>
    <t>Sales Incentives</t>
  </si>
  <si>
    <t>Marketing Collateral</t>
  </si>
  <si>
    <t>Website Design</t>
  </si>
  <si>
    <t>Month-End Headcount</t>
  </si>
  <si>
    <t>Forecasted Hires</t>
  </si>
  <si>
    <t>Operating Expenses</t>
  </si>
  <si>
    <t>Sales &amp; Marketing</t>
  </si>
  <si>
    <t>Research &amp; Development</t>
  </si>
  <si>
    <t>General &amp; Administrative</t>
  </si>
  <si>
    <t>Accounting Fees</t>
  </si>
  <si>
    <t>Business Insurance</t>
  </si>
  <si>
    <t>Equipment Lease</t>
  </si>
  <si>
    <t>HR Fees</t>
  </si>
  <si>
    <t>Janitorial Service</t>
  </si>
  <si>
    <t>Legal Expense</t>
  </si>
  <si>
    <t>Office Expense</t>
  </si>
  <si>
    <t>Office Telecom</t>
  </si>
  <si>
    <t>IT HW/SW</t>
  </si>
  <si>
    <t xml:space="preserve">Other </t>
  </si>
  <si>
    <t>4Q2010</t>
  </si>
  <si>
    <t>1Q2012</t>
  </si>
  <si>
    <t>2Q2012</t>
  </si>
  <si>
    <t>3Q2012</t>
  </si>
  <si>
    <t>4Q2012</t>
  </si>
  <si>
    <t>1Q2013</t>
  </si>
  <si>
    <t>2Q2013</t>
  </si>
  <si>
    <t>3Q2013</t>
  </si>
  <si>
    <t>4Q2013</t>
  </si>
  <si>
    <t>1Q2014</t>
  </si>
  <si>
    <t>2Q2014</t>
  </si>
  <si>
    <t>3Q2014</t>
  </si>
  <si>
    <t>4Q2014</t>
  </si>
  <si>
    <t>1Q2015</t>
  </si>
  <si>
    <t>2Q2015</t>
  </si>
  <si>
    <t>3Q2015</t>
  </si>
  <si>
    <t>4Q2015</t>
  </si>
  <si>
    <t>1Q2016</t>
  </si>
  <si>
    <t>Rent &amp; Utilities (LA)</t>
  </si>
  <si>
    <t>Other</t>
  </si>
  <si>
    <t>Total</t>
  </si>
  <si>
    <t>PP&amp;E</t>
  </si>
  <si>
    <t xml:space="preserve">Total </t>
  </si>
  <si>
    <t>Depr</t>
  </si>
  <si>
    <t>Onboarding HW/SW</t>
  </si>
  <si>
    <t>Facility/Infrastructure Improvement</t>
  </si>
  <si>
    <t>Total PP&amp;E</t>
  </si>
  <si>
    <t>Total Depreciation Exp</t>
  </si>
  <si>
    <t>Leases</t>
  </si>
  <si>
    <t>Average Principal</t>
  </si>
  <si>
    <t>Average Interest Expense</t>
  </si>
  <si>
    <t>Amortization</t>
  </si>
  <si>
    <t>Balance</t>
  </si>
  <si>
    <t>Total Payment</t>
  </si>
  <si>
    <t>Beginning Balance</t>
  </si>
  <si>
    <t>Monthly Amort Exp</t>
  </si>
  <si>
    <t>Ending Balance</t>
  </si>
  <si>
    <t>Software</t>
  </si>
  <si>
    <t>Month</t>
  </si>
  <si>
    <t>REMEMBER TO SWITCH FROM "FORECAST" TO "ACTUAL" AFTER PLUGGING IN NEW ACTUALS</t>
  </si>
  <si>
    <t>Revenue</t>
  </si>
  <si>
    <t>New Accounts</t>
  </si>
  <si>
    <t>Total Revenue</t>
  </si>
  <si>
    <t>Cost of Sales</t>
  </si>
  <si>
    <t>Credit Card Fees</t>
  </si>
  <si>
    <t>Returns and Allowances</t>
  </si>
  <si>
    <t>Gross Profit Margin</t>
  </si>
  <si>
    <t>Operating Profit Margin</t>
  </si>
  <si>
    <t>HC File</t>
  </si>
  <si>
    <t xml:space="preserve">Total Revenue </t>
  </si>
  <si>
    <t>Assumptions</t>
  </si>
  <si>
    <t>Monthly Growth Rate</t>
  </si>
  <si>
    <t>First Months Revenue %</t>
  </si>
  <si>
    <t>Wholesale</t>
  </si>
  <si>
    <t xml:space="preserve">Monthly Revenue </t>
  </si>
  <si>
    <t>Variance</t>
  </si>
  <si>
    <t>Headcount Summary</t>
  </si>
  <si>
    <t>Hosting Cost</t>
  </si>
  <si>
    <t>Monthly Balance Sheet</t>
  </si>
  <si>
    <t>Assets</t>
  </si>
  <si>
    <t>Current Assets</t>
  </si>
  <si>
    <t>Cash and Cash Equivalents</t>
  </si>
  <si>
    <t>Accounts Receivable</t>
  </si>
  <si>
    <t>AR Allowance</t>
  </si>
  <si>
    <t>Other Current Assets</t>
  </si>
  <si>
    <t>Total Current Assets</t>
  </si>
  <si>
    <t>Fixed Assets</t>
  </si>
  <si>
    <t>Furniture, fixtures and equipment</t>
  </si>
  <si>
    <t>Accumulated depreciation</t>
  </si>
  <si>
    <t>Total Fixed Assets</t>
  </si>
  <si>
    <t>Other Assets</t>
  </si>
  <si>
    <t>Total Other Assets</t>
  </si>
  <si>
    <t>Total Assets</t>
  </si>
  <si>
    <t>Liabilities and Shareholders' Equity</t>
  </si>
  <si>
    <t>Current Liabilities</t>
  </si>
  <si>
    <t>Accounts payable</t>
  </si>
  <si>
    <t>Other Current Liabilities</t>
  </si>
  <si>
    <t>Total Current Liabilities</t>
  </si>
  <si>
    <t>Other long-term liabilities</t>
  </si>
  <si>
    <t>Total Liabilities</t>
  </si>
  <si>
    <t>Shareholders' Equity</t>
  </si>
  <si>
    <t>Common Stock</t>
  </si>
  <si>
    <t>Retained Earnings</t>
  </si>
  <si>
    <t>Net Income</t>
  </si>
  <si>
    <t>Total Equity</t>
  </si>
  <si>
    <t>Total Liabilities and Shareholders' Equity</t>
  </si>
  <si>
    <t>balance/check</t>
  </si>
  <si>
    <t xml:space="preserve">Monthly Cash Flow Statement </t>
  </si>
  <si>
    <t>Cash Flow Data</t>
  </si>
  <si>
    <t>Operating activities</t>
  </si>
  <si>
    <t>Net income</t>
  </si>
  <si>
    <t>Changes in:</t>
  </si>
  <si>
    <t>Accounts Payable</t>
  </si>
  <si>
    <t>Other Liabilities</t>
  </si>
  <si>
    <t>Investing activities</t>
  </si>
  <si>
    <t>Purchases of furniture, fixtures, equipm't</t>
  </si>
  <si>
    <t>Other assets</t>
  </si>
  <si>
    <t>Financing activities</t>
  </si>
  <si>
    <t>Issuance (repayment) of:</t>
  </si>
  <si>
    <t>Cash at beginning of period</t>
  </si>
  <si>
    <t>Change in cash during period</t>
  </si>
  <si>
    <t>Cash at end of period</t>
  </si>
  <si>
    <t>Interest Income Calculation</t>
  </si>
  <si>
    <t>Average Cash Balance</t>
  </si>
  <si>
    <t>Monthly Interest Rate</t>
  </si>
  <si>
    <t>Interest Income</t>
  </si>
  <si>
    <t>Interest Expense Calculation</t>
  </si>
  <si>
    <t>Average Line of Credit Balance</t>
  </si>
  <si>
    <t>Interest Expense</t>
  </si>
  <si>
    <t>Stock based Compensation</t>
  </si>
  <si>
    <t>Depreciation / Amortization</t>
  </si>
  <si>
    <t>EBIT</t>
  </si>
  <si>
    <t>Pre-tax Income</t>
  </si>
  <si>
    <t>Income Tax Expense</t>
  </si>
  <si>
    <t>Stock Based Comp</t>
  </si>
  <si>
    <t>Total Operating Expenses</t>
  </si>
  <si>
    <t>Gross Profit Margin %</t>
  </si>
  <si>
    <t>Operating Profit Margin %</t>
  </si>
  <si>
    <t>Credit Card Fee</t>
  </si>
  <si>
    <t>Other Revenue</t>
  </si>
  <si>
    <t>Forecasted Terminations</t>
  </si>
  <si>
    <t>Checking/Savings</t>
  </si>
  <si>
    <t>Total Checking/Savings</t>
  </si>
  <si>
    <t>Total Accounts Receivable</t>
  </si>
  <si>
    <t>Total Other Current Assets</t>
  </si>
  <si>
    <t>TOTAL ASSETS</t>
  </si>
  <si>
    <t>Liabilities</t>
  </si>
  <si>
    <t>Total Accounts Payable</t>
  </si>
  <si>
    <t>Total Other Current Liabilities</t>
  </si>
  <si>
    <t>Long Term Liabilities</t>
  </si>
  <si>
    <t>Total Long Term Liabilities</t>
  </si>
  <si>
    <t>Equity</t>
  </si>
  <si>
    <t>TOTAL LIABILITIES &amp; EQUITY</t>
  </si>
  <si>
    <t>($000)</t>
  </si>
  <si>
    <t xml:space="preserve">GM% </t>
  </si>
  <si>
    <t>Opex</t>
  </si>
  <si>
    <t xml:space="preserve">Cash Balance </t>
  </si>
  <si>
    <t xml:space="preserve">DSOs </t>
  </si>
  <si>
    <t>Annualized Rev per Avg HC</t>
  </si>
  <si>
    <t>Also, manually update "Other Controllable Expenses" formulas on all department tabs as well as other G&amp;A formulas on "Cost Summary" tab.</t>
  </si>
  <si>
    <t>Current 4Q10Y</t>
  </si>
  <si>
    <t>Total Returns and Allowances</t>
  </si>
  <si>
    <t>Current 2011</t>
  </si>
  <si>
    <t>BOD</t>
  </si>
  <si>
    <t>Interest Income / (Expense)</t>
  </si>
  <si>
    <t>CAC</t>
  </si>
  <si>
    <t>Net Cash Flow Operating</t>
  </si>
  <si>
    <t>Net Cash Flow Investing</t>
  </si>
  <si>
    <t>Net Cash Flow Financing</t>
  </si>
  <si>
    <t>Depreciation &amp; amortization</t>
  </si>
  <si>
    <t>Stock-based compensation</t>
  </si>
  <si>
    <t>Hosting / Other</t>
  </si>
  <si>
    <t>DSO</t>
  </si>
  <si>
    <t>DPO</t>
  </si>
  <si>
    <t>CA</t>
  </si>
  <si>
    <t>Average Headcount</t>
  </si>
  <si>
    <t>Profit &amp; Loss Monthly</t>
  </si>
  <si>
    <t>Start Date</t>
  </si>
  <si>
    <t>2Q2016</t>
  </si>
  <si>
    <t>3Q2016</t>
  </si>
  <si>
    <t>4Q2016</t>
  </si>
  <si>
    <t>Domestic</t>
  </si>
  <si>
    <t>Contracted Calls</t>
  </si>
  <si>
    <t>Contracted CPC</t>
  </si>
  <si>
    <t>Total Call Revenue</t>
  </si>
  <si>
    <t>Est COG per Call</t>
  </si>
  <si>
    <t>Total Call COG</t>
  </si>
  <si>
    <t>Domestic Cost</t>
  </si>
  <si>
    <t>Company</t>
  </si>
  <si>
    <t>CallFire</t>
  </si>
  <si>
    <t xml:space="preserve">  Month 1</t>
  </si>
  <si>
    <t xml:space="preserve">  Month 2</t>
  </si>
  <si>
    <t xml:space="preserve">  Month 3</t>
  </si>
  <si>
    <t xml:space="preserve">  Month 4</t>
  </si>
  <si>
    <t xml:space="preserve">  Month 5</t>
  </si>
  <si>
    <t>Sensitivites</t>
  </si>
  <si>
    <t>Best</t>
  </si>
  <si>
    <t>Worst</t>
  </si>
  <si>
    <t>Mou Month 1</t>
  </si>
  <si>
    <t>Mou Month 2</t>
  </si>
  <si>
    <t>Mou Month 3</t>
  </si>
  <si>
    <t>Mou Month 4</t>
  </si>
  <si>
    <t>Mou Month 5</t>
  </si>
  <si>
    <t>Second Incrments Cost</t>
  </si>
  <si>
    <t>Second Incremets Sold</t>
  </si>
  <si>
    <t>Number of Calls</t>
  </si>
  <si>
    <t>Avg call len in seconds</t>
  </si>
  <si>
    <t>dollars</t>
  </si>
  <si>
    <t>Avg billed len</t>
  </si>
  <si>
    <t>SMS</t>
  </si>
  <si>
    <t>Telecom Voice &amp; VOIP</t>
  </si>
  <si>
    <t>All Products</t>
  </si>
  <si>
    <t>Sub-total</t>
  </si>
  <si>
    <t>Subscription Revenue</t>
  </si>
  <si>
    <t>Sales</t>
  </si>
  <si>
    <t>CC Fees</t>
  </si>
  <si>
    <t>Depreciation Schedule</t>
  </si>
  <si>
    <t>Total Service Cost by Type</t>
  </si>
  <si>
    <t>Domestic Voice</t>
  </si>
  <si>
    <t>International Voice</t>
  </si>
  <si>
    <t>Total Revenue by Type</t>
  </si>
  <si>
    <t>Q1 2014 Projected</t>
  </si>
  <si>
    <t>Q2 2014 Projected</t>
  </si>
  <si>
    <t>Q3 2014 Projected</t>
  </si>
  <si>
    <t>Q4 2014 Projected</t>
  </si>
  <si>
    <t>NA</t>
  </si>
  <si>
    <t>Series A</t>
  </si>
  <si>
    <t>Rev</t>
  </si>
  <si>
    <t>Total 2015 Projected</t>
  </si>
  <si>
    <t>Total 2016 Projected</t>
  </si>
  <si>
    <t>Total 2017 Projected</t>
  </si>
  <si>
    <t>OM%</t>
  </si>
  <si>
    <t>CAGR (5yr projected)</t>
  </si>
  <si>
    <t>Total 2018 Projected</t>
  </si>
  <si>
    <t>Total 2019 Projected</t>
  </si>
  <si>
    <t>actual</t>
  </si>
  <si>
    <t>Scatch Area Below</t>
  </si>
  <si>
    <t>Telecom expense</t>
  </si>
  <si>
    <t>minute rate</t>
  </si>
  <si>
    <t>mou</t>
  </si>
  <si>
    <t xml:space="preserve">   Active Usage  Month 5</t>
  </si>
  <si>
    <t xml:space="preserve">  Active Usage Month 1</t>
  </si>
  <si>
    <t xml:space="preserve">    Active Usage Month 2</t>
  </si>
  <si>
    <t xml:space="preserve">    Active Usage Month 3</t>
  </si>
  <si>
    <t xml:space="preserve">   Active Usage  Month 4</t>
  </si>
  <si>
    <t xml:space="preserve">   Active Usage  Month 6</t>
  </si>
  <si>
    <t xml:space="preserve">   Active Usage  Month 7</t>
  </si>
  <si>
    <t xml:space="preserve">   Active Usage  Month 8</t>
  </si>
  <si>
    <t xml:space="preserve">   Active Usage  Month 9</t>
  </si>
  <si>
    <t xml:space="preserve">   Active Usage  Month 10</t>
  </si>
  <si>
    <t xml:space="preserve">   Active Usage  Month 11</t>
  </si>
  <si>
    <t xml:space="preserve">   Active Usage  Month 12</t>
  </si>
  <si>
    <t>Mou Month 6</t>
  </si>
  <si>
    <t>Mou Month 7</t>
  </si>
  <si>
    <t>Mou Month 8</t>
  </si>
  <si>
    <t>Mou Month 9</t>
  </si>
  <si>
    <t>Mou Month 10</t>
  </si>
  <si>
    <t>Mou Month 11</t>
  </si>
  <si>
    <t>Mou Month 12</t>
  </si>
  <si>
    <t xml:space="preserve">  Month 6</t>
  </si>
  <si>
    <t xml:space="preserve">  Month 7</t>
  </si>
  <si>
    <t xml:space="preserve">  Month 8</t>
  </si>
  <si>
    <t xml:space="preserve">  Month 9</t>
  </si>
  <si>
    <t xml:space="preserve">  Month 10</t>
  </si>
  <si>
    <t xml:space="preserve">  Month 11</t>
  </si>
  <si>
    <t xml:space="preserve">  Month 12</t>
  </si>
  <si>
    <t>Subtotal</t>
  </si>
  <si>
    <t>Months of service</t>
  </si>
  <si>
    <t>Cohorts</t>
  </si>
  <si>
    <t>Existing Revenue Base</t>
  </si>
  <si>
    <t>AVG Selling Price per Min</t>
  </si>
  <si>
    <t>Avg MRR per Account</t>
  </si>
  <si>
    <t>users from last 12 months</t>
  </si>
  <si>
    <t>Total active 6/1/12</t>
  </si>
  <si>
    <t>Avg mou</t>
  </si>
  <si>
    <t>avg rate</t>
  </si>
  <si>
    <t>Total MOU  Revenue</t>
  </si>
  <si>
    <t>Subscription take rate</t>
  </si>
  <si>
    <t>AllState</t>
  </si>
  <si>
    <t>Jan 12 active</t>
  </si>
  <si>
    <t xml:space="preserve">  Month 13</t>
  </si>
  <si>
    <t xml:space="preserve">  Month 14</t>
  </si>
  <si>
    <t xml:space="preserve">  Month 15</t>
  </si>
  <si>
    <t xml:space="preserve">  Month 16</t>
  </si>
  <si>
    <t xml:space="preserve">  Month 17</t>
  </si>
  <si>
    <t xml:space="preserve">  Month 18</t>
  </si>
  <si>
    <t xml:space="preserve">  Month 19</t>
  </si>
  <si>
    <t xml:space="preserve">  Month 20</t>
  </si>
  <si>
    <t xml:space="preserve">  Month 21</t>
  </si>
  <si>
    <t xml:space="preserve">  Month 22</t>
  </si>
  <si>
    <t xml:space="preserve">  Month 23</t>
  </si>
  <si>
    <t xml:space="preserve">  Month 24</t>
  </si>
  <si>
    <t xml:space="preserve">  Month 25</t>
  </si>
  <si>
    <t xml:space="preserve">  Month 26</t>
  </si>
  <si>
    <t xml:space="preserve">  Month 27</t>
  </si>
  <si>
    <t xml:space="preserve">  Month 28</t>
  </si>
  <si>
    <t xml:space="preserve">  Month 29</t>
  </si>
  <si>
    <t xml:space="preserve">  Month 30</t>
  </si>
  <si>
    <t xml:space="preserve">  Month 31</t>
  </si>
  <si>
    <t xml:space="preserve">  Month 32</t>
  </si>
  <si>
    <t xml:space="preserve">  Month 33</t>
  </si>
  <si>
    <t xml:space="preserve">  Month 34</t>
  </si>
  <si>
    <t xml:space="preserve">  Month 35</t>
  </si>
  <si>
    <t xml:space="preserve">  Month 36</t>
  </si>
  <si>
    <t>Active Usage Month 13+</t>
  </si>
  <si>
    <t>Mou Month 13+</t>
  </si>
  <si>
    <t>Cynthia</t>
  </si>
  <si>
    <t>Total 2011 Actual</t>
  </si>
  <si>
    <t>Total 2010 Actual</t>
  </si>
  <si>
    <t>Mou Month 13</t>
  </si>
  <si>
    <t>Best case/worst case</t>
  </si>
  <si>
    <t>Active Usage</t>
  </si>
  <si>
    <t>Active Usage Month 13</t>
  </si>
  <si>
    <t>Active Usage Month 1</t>
  </si>
  <si>
    <t>Active Usage Month 2</t>
  </si>
  <si>
    <t>Active Usage Month 3</t>
  </si>
  <si>
    <t>Active Usage Month 4</t>
  </si>
  <si>
    <t>Active Usage Month 5</t>
  </si>
  <si>
    <t>Active Usage Month 6</t>
  </si>
  <si>
    <t>Active Usage Month 7</t>
  </si>
  <si>
    <t>Active Usage Month 8</t>
  </si>
  <si>
    <t>Active Usage Month 9</t>
  </si>
  <si>
    <t>Active Usage Month 10</t>
  </si>
  <si>
    <t>Active Usage Month 11</t>
  </si>
  <si>
    <t>Active Usage Month 12</t>
  </si>
  <si>
    <t>Activity is modeled on two dimensions, 1) what is the usage pattern of new signups over the first 12 months (by cohort) and 2) how it blends month over month as there are new users from each cohort in a given month</t>
  </si>
  <si>
    <t>Routers/Switches</t>
  </si>
  <si>
    <t>Server</t>
  </si>
  <si>
    <t>Storage Array</t>
  </si>
  <si>
    <t>daily</t>
  </si>
  <si>
    <t>Parking</t>
  </si>
  <si>
    <t>Total Product Revenue</t>
  </si>
  <si>
    <t>Development Operations</t>
  </si>
  <si>
    <t>ING Direct Savings</t>
  </si>
  <si>
    <t>BofA Checking</t>
  </si>
  <si>
    <t>Petty Cash</t>
  </si>
  <si>
    <t>Accounts Receivable - USD</t>
  </si>
  <si>
    <t>Prepaid Expenses</t>
  </si>
  <si>
    <t>Prepaid Property Taxes</t>
  </si>
  <si>
    <t>Prepaid Insurance</t>
  </si>
  <si>
    <t>Prepaid Expense Other</t>
  </si>
  <si>
    <t>Total Prepaid Expenses</t>
  </si>
  <si>
    <t>Construction in Progress</t>
  </si>
  <si>
    <t>Accumulated Depreciation</t>
  </si>
  <si>
    <t>Deferred Rent</t>
  </si>
  <si>
    <t>Accrued Expenses</t>
  </si>
  <si>
    <t>Accrued Vacation</t>
  </si>
  <si>
    <t>Accrued Payroll and Benefits</t>
  </si>
  <si>
    <t>Total Accrued Expenses</t>
  </si>
  <si>
    <t>Series A Preferred Stock</t>
  </si>
  <si>
    <t>Furniture Fixtures &amp; Equipment</t>
  </si>
  <si>
    <t>Prepaid -Software</t>
  </si>
  <si>
    <t>724 telsa pmts</t>
  </si>
  <si>
    <t>Vasyl Shumskyi</t>
  </si>
  <si>
    <t>Ukraine</t>
  </si>
  <si>
    <t>Igor Koval</t>
  </si>
  <si>
    <t>Shane Neman</t>
  </si>
  <si>
    <t>NJ</t>
  </si>
  <si>
    <t>Allison Decanio</t>
  </si>
  <si>
    <t>Albert Cann</t>
  </si>
  <si>
    <t>Josh Malin</t>
  </si>
  <si>
    <t>Nick Decarlo</t>
  </si>
  <si>
    <t>Vadim Kostikov</t>
  </si>
  <si>
    <t>Evan Coury</t>
  </si>
  <si>
    <t>AZ</t>
  </si>
  <si>
    <t>Total SMS  Revenue</t>
  </si>
  <si>
    <t>Mobile and voice agregator fees</t>
  </si>
  <si>
    <t>Short Code Rental</t>
  </si>
  <si>
    <t>5yr CAGR</t>
  </si>
  <si>
    <t>Distributions</t>
  </si>
  <si>
    <t>Total Voice Cost</t>
  </si>
  <si>
    <t>SMS Fees</t>
  </si>
  <si>
    <t>Key Operating Metrics</t>
  </si>
  <si>
    <t>`</t>
  </si>
  <si>
    <r>
      <t xml:space="preserve">Projected Revenue Backlog </t>
    </r>
    <r>
      <rPr>
        <b/>
        <sz val="12"/>
        <color theme="1"/>
        <rFont val="Calibri"/>
        <family val="2"/>
        <scheme val="minor"/>
      </rPr>
      <t>(000's)</t>
    </r>
  </si>
  <si>
    <t>ACS</t>
  </si>
  <si>
    <t>Random Notes</t>
  </si>
  <si>
    <t>lifetime value is related to my total account base not just what I signed up in a given month.  If I have a profitable account base and add 5 more in April when I normally add 100 it does not mean the 5 I added in Aprl are unprofitable.  If my sales team keeps doing that then eventually my base will dwidle with churn and they will be unprofitable.  so i could look at them on an isloated basis and say I cant operate at 5 new accounts per month long term.</t>
  </si>
  <si>
    <t>take projected lifetime revenue from all my accounts at that point in time (say April) and dived by the total number of accounts on that same date to get an average life time revenue</t>
  </si>
  <si>
    <t>same with CAC &amp; ACS</t>
  </si>
  <si>
    <t>in LTV when calcing rev to date use the min fuction to ensure that past months revenue counted does not exceed current months revenue to ensure we are not counting reveue on churned accounts when doing LTR calculation</t>
  </si>
  <si>
    <t>Target</t>
  </si>
  <si>
    <t>Base</t>
  </si>
  <si>
    <t>Debt</t>
  </si>
  <si>
    <t>Yes</t>
  </si>
  <si>
    <t>Better</t>
  </si>
  <si>
    <t>Customer Usage</t>
  </si>
  <si>
    <t>Interest</t>
  </si>
  <si>
    <t>Fees</t>
  </si>
  <si>
    <t>Amount</t>
  </si>
  <si>
    <t>Warrants</t>
  </si>
  <si>
    <t>Principal</t>
  </si>
  <si>
    <t>Interest Only Period in Years</t>
  </si>
  <si>
    <t>Loan Period in Years</t>
  </si>
  <si>
    <t>Number of Payments Per Year</t>
  </si>
  <si>
    <t>Loan Summary</t>
  </si>
  <si>
    <t>Scheduled Payment Amount (Per Period) During Interest Only Period</t>
  </si>
  <si>
    <t>Scheduled Payment Amount (Per Period) After Interest Only Period</t>
  </si>
  <si>
    <t>Scheduled Number of Payments</t>
  </si>
  <si>
    <t>Actual Number of Payments*</t>
  </si>
  <si>
    <t>Loan Payoff Date</t>
  </si>
  <si>
    <t>Total Amount of Extra Payments</t>
  </si>
  <si>
    <t>Total Interest Paid</t>
  </si>
  <si>
    <t>Amortization Table</t>
  </si>
  <si>
    <t>Payment Number</t>
  </si>
  <si>
    <t>Payment   Date</t>
  </si>
  <si>
    <t>Scheduled Payment</t>
  </si>
  <si>
    <t>Extra   Payment</t>
  </si>
  <si>
    <t>Total   Payment</t>
  </si>
  <si>
    <t>Total Loan Amount</t>
  </si>
  <si>
    <t>Extra Payment per period(if any)</t>
  </si>
  <si>
    <t>Issuance of:</t>
  </si>
  <si>
    <t>Credit Cards</t>
  </si>
  <si>
    <t>Server Hosting</t>
  </si>
  <si>
    <t>Cloud Services</t>
  </si>
  <si>
    <t>Data Center</t>
  </si>
  <si>
    <t>Credit Card Fees &amp; Discount</t>
  </si>
  <si>
    <t>Merchant Fees/Credit Card Proc</t>
  </si>
  <si>
    <t>CF SMS</t>
  </si>
  <si>
    <t>Referral Fees</t>
  </si>
  <si>
    <t>Telephone # purchases</t>
  </si>
  <si>
    <t>Inbound</t>
  </si>
  <si>
    <t>Outbound</t>
  </si>
  <si>
    <t>Travel</t>
  </si>
  <si>
    <t>Employee Advances</t>
  </si>
  <si>
    <t>delta</t>
  </si>
  <si>
    <t>Build graph showing the source of revenue by cohort for any point in time.  E.g. revenue I generate this month comes from contracts starting as far back as 12 months ago and my revenue today also has an unbilled future value.</t>
  </si>
  <si>
    <t>ROUGH PROJECTIONS - past 2014</t>
  </si>
  <si>
    <t>Multiplier Long-term debt</t>
  </si>
  <si>
    <t>Servers</t>
  </si>
  <si>
    <t>EzTexting Amortization</t>
  </si>
  <si>
    <t>New Purchases</t>
  </si>
  <si>
    <t>Total New Purchases</t>
  </si>
  <si>
    <t>Depr on New Purchases</t>
  </si>
  <si>
    <t xml:space="preserve">Servers, Storage &amp; Routers </t>
  </si>
  <si>
    <t>Total Leases</t>
  </si>
  <si>
    <t>High</t>
  </si>
  <si>
    <t>Low</t>
  </si>
  <si>
    <t>Target-Base</t>
  </si>
  <si>
    <t>Advertising Spend</t>
  </si>
  <si>
    <t>Usage</t>
  </si>
  <si>
    <t>Advertising</t>
  </si>
  <si>
    <t>Build a graph of Cohort Revenue to show visually where reveneu is coming from (like a bell curve or like technology adoption upsidedown bell curve)</t>
  </si>
  <si>
    <t>Horizontal axis is cohort, vertical axis is revenue for period being charted (e.g. 1 month)</t>
  </si>
  <si>
    <t>Advertising Split Voice/SMS</t>
  </si>
  <si>
    <t>Medium</t>
  </si>
  <si>
    <t>Jeff Spisak</t>
  </si>
  <si>
    <t>Julie Goldstein</t>
  </si>
  <si>
    <t>Max Porter</t>
  </si>
  <si>
    <t>Wendell Hahm</t>
  </si>
  <si>
    <t>Ryann Thompson</t>
  </si>
  <si>
    <t>Jacob Weiss</t>
  </si>
  <si>
    <t>Bill Hughes</t>
  </si>
  <si>
    <t>Shannon Donohue</t>
  </si>
  <si>
    <t>Aaron Bloomfield</t>
  </si>
  <si>
    <t>John Piersol</t>
  </si>
  <si>
    <t>John Briscoe</t>
  </si>
  <si>
    <t>Mark Zeigler</t>
  </si>
  <si>
    <t>Dan Retzlaff</t>
  </si>
  <si>
    <t>Lezlie Wheeler</t>
  </si>
  <si>
    <t>Adam Keeny</t>
  </si>
  <si>
    <t>James Nguyen</t>
  </si>
  <si>
    <t>Charles Chang</t>
  </si>
  <si>
    <t>Dept</t>
  </si>
  <si>
    <t>Qty</t>
  </si>
  <si>
    <t>Annual Budget (fully loaded)</t>
  </si>
  <si>
    <t>Dev Ops</t>
  </si>
  <si>
    <t>Finance &amp; Accounting</t>
  </si>
  <si>
    <t>SMS orders per mo per user</t>
  </si>
  <si>
    <t>SMS avg order value</t>
  </si>
  <si>
    <t>Catherine J. Moy</t>
  </si>
  <si>
    <t>Dinesh Ravishanker</t>
  </si>
  <si>
    <t>Dmitrii Cuvircencov</t>
  </si>
  <si>
    <t>Komnieve Singh</t>
  </si>
  <si>
    <t>Michelle L Runge</t>
  </si>
  <si>
    <t>Punit Shah</t>
  </si>
  <si>
    <t>Thomas Hilliard</t>
  </si>
  <si>
    <t>Vijesh Mehta</t>
  </si>
  <si>
    <t>TJ (Jagannathan Thinakaran)</t>
  </si>
  <si>
    <t>Thomas Nels Setterland</t>
  </si>
  <si>
    <t>Ronald Burr</t>
  </si>
  <si>
    <t xml:space="preserve">Jeffrey Skinner </t>
  </si>
  <si>
    <t>Grand Total</t>
  </si>
  <si>
    <t>avg order</t>
  </si>
  <si>
    <t>day between orders</t>
  </si>
  <si>
    <t>dollars per day</t>
  </si>
  <si>
    <t>Ad Hoc</t>
  </si>
  <si>
    <t>pay as you go LTV</t>
  </si>
  <si>
    <t>Avg MRR</t>
  </si>
  <si>
    <t>Avg months</t>
  </si>
  <si>
    <t>Jan13 Rev</t>
  </si>
  <si>
    <t xml:space="preserve">Deteriorates at </t>
  </si>
  <si>
    <t xml:space="preserve">straightline current revenue </t>
  </si>
  <si>
    <t>Seasonality Factor</t>
  </si>
  <si>
    <t>Variables</t>
  </si>
  <si>
    <t>Less Jan New Users</t>
  </si>
  <si>
    <t>Allstate 2013</t>
  </si>
  <si>
    <t>Annual</t>
  </si>
  <si>
    <t>Monthly</t>
  </si>
  <si>
    <t>Payroll Liabilities</t>
  </si>
  <si>
    <t>Accured other</t>
  </si>
  <si>
    <t>Deferred Revenue</t>
  </si>
  <si>
    <t>Multiplier Note</t>
  </si>
  <si>
    <t>Ez Texting Note</t>
  </si>
  <si>
    <t>Paid In Capital Series A Preferred</t>
  </si>
  <si>
    <t>Paid In Capital Common</t>
  </si>
  <si>
    <t>Prior Period Adjustment</t>
  </si>
  <si>
    <t>Retained Earnings 2</t>
  </si>
  <si>
    <t>Preferred Issuance Cost</t>
  </si>
  <si>
    <t>JP Morgan Escrow</t>
  </si>
  <si>
    <t>Prepaid Loan Fees</t>
  </si>
  <si>
    <t>Security Deposits</t>
  </si>
  <si>
    <t>Goodwill</t>
  </si>
  <si>
    <t>Tradename</t>
  </si>
  <si>
    <t>Non Compete Agreements</t>
  </si>
  <si>
    <t>Customer Relationships</t>
  </si>
  <si>
    <t>Technology</t>
  </si>
  <si>
    <t>Accumulated Amortization</t>
  </si>
  <si>
    <t>Amortization Expense</t>
  </si>
  <si>
    <t>Operating Profit Margin(EBITDA)</t>
  </si>
  <si>
    <t>Jeffrey Carlson</t>
  </si>
  <si>
    <t>Lubya Shypovych</t>
  </si>
  <si>
    <t>Added to deferred</t>
  </si>
  <si>
    <t>Used from deferred</t>
  </si>
  <si>
    <t>Expired from deferred</t>
  </si>
  <si>
    <t>Starting Balance</t>
  </si>
  <si>
    <t>Deferred Revenue Calcs</t>
  </si>
  <si>
    <t>Income from Deferred Revenue</t>
  </si>
  <si>
    <t>Old Carry Fwd Balance</t>
  </si>
  <si>
    <t>Average % of $ per Mo pushed to deferred</t>
  </si>
  <si>
    <t>Inverse of above</t>
  </si>
  <si>
    <t>Revenue Reserve</t>
  </si>
  <si>
    <t>Historical</t>
  </si>
  <si>
    <t>SMS Avg Order Value</t>
  </si>
  <si>
    <t>Quartely</t>
  </si>
  <si>
    <t>ARPU</t>
  </si>
  <si>
    <t>2010</t>
  </si>
  <si>
    <t>2009</t>
  </si>
  <si>
    <t>2011</t>
  </si>
  <si>
    <t>2012</t>
  </si>
  <si>
    <t>2013</t>
  </si>
  <si>
    <t>2014</t>
  </si>
  <si>
    <t>YoY growth</t>
  </si>
  <si>
    <t>QoQ growth</t>
  </si>
  <si>
    <t>Q2 2012 Actual</t>
  </si>
  <si>
    <t>Q3 2012 Actual</t>
  </si>
  <si>
    <t>Q4 2012 Actual</t>
  </si>
  <si>
    <t>Q1 2013 Actual</t>
  </si>
  <si>
    <t>Total Q1</t>
  </si>
  <si>
    <t>Total Q2</t>
  </si>
  <si>
    <t>Total Q3</t>
  </si>
  <si>
    <t>Total Q4</t>
  </si>
  <si>
    <t>Historical Accural</t>
  </si>
  <si>
    <t>cogs</t>
  </si>
  <si>
    <t>2009 Ez Cash Deposits</t>
  </si>
  <si>
    <t>2009 CF Cash Deposits</t>
  </si>
  <si>
    <t>Op Profit</t>
  </si>
  <si>
    <t>Bookings</t>
  </si>
  <si>
    <t>Historical Cash</t>
  </si>
  <si>
    <t>New Signups</t>
  </si>
  <si>
    <t>New Plan Users</t>
  </si>
  <si>
    <t>COSTS</t>
  </si>
  <si>
    <t>ACCOUNTS</t>
  </si>
  <si>
    <t>% from paid advertising</t>
  </si>
  <si>
    <t>INCOME</t>
  </si>
  <si>
    <t>Plan ARPU</t>
  </si>
  <si>
    <t>% Revenue from Plans</t>
  </si>
  <si>
    <t>LIFETIME VALUES</t>
  </si>
  <si>
    <t>Plan Lifetime Revenue</t>
  </si>
  <si>
    <t>Customer Lifetime Value (CLV)</t>
  </si>
  <si>
    <t>Lifetime Revenue (LTR)</t>
  </si>
  <si>
    <t>Customer Acquistion Cost (CAC)</t>
  </si>
  <si>
    <t>CLV over CAC</t>
  </si>
  <si>
    <t>Conversion Rate %</t>
  </si>
  <si>
    <t>2015</t>
  </si>
  <si>
    <t>Cash flow from operations</t>
  </si>
  <si>
    <t>Capital expenditures</t>
  </si>
  <si>
    <t>Free cash flow</t>
  </si>
  <si>
    <t>Metrics</t>
  </si>
  <si>
    <t>Paid advertising CAC</t>
  </si>
  <si>
    <t>Plan Churn</t>
  </si>
  <si>
    <t>Total Active30 Accounts</t>
  </si>
  <si>
    <t>Free Cash Flow</t>
  </si>
  <si>
    <t>6125 · Books and periodicals</t>
  </si>
  <si>
    <t>6135 · Computer Supplies &amp; Internet</t>
  </si>
  <si>
    <t>6141 · Conference &amp; Meeting Attendance</t>
  </si>
  <si>
    <t>6160 · Dues and Subscriptions</t>
  </si>
  <si>
    <t>6230 · Marketing</t>
  </si>
  <si>
    <t>6243 · Meals and Entertainment</t>
  </si>
  <si>
    <t>6247 · Miscellaneous</t>
  </si>
  <si>
    <t>6250 · Postage and Delivery</t>
  </si>
  <si>
    <t>6260 · Printing and Reproduction</t>
  </si>
  <si>
    <t>6270 · Professional Fees</t>
  </si>
  <si>
    <t>6380 · Travel</t>
  </si>
  <si>
    <t>6550 · Office Supplies</t>
  </si>
  <si>
    <t>6560 · Salary and Payroll Related</t>
  </si>
  <si>
    <t>6580 · Employee Benefits</t>
  </si>
  <si>
    <t>6630 · Professional Development</t>
  </si>
  <si>
    <t>6680 · Recruiting</t>
  </si>
  <si>
    <t>6137 · Hardware/Software On Board</t>
  </si>
  <si>
    <t>6138 · Software License Fee</t>
  </si>
  <si>
    <t>6139 · Internet (Office &amp; EE)</t>
  </si>
  <si>
    <t>Total 6135 · Computer Supplies &amp; Internet</t>
  </si>
  <si>
    <t>6231 · Branding/Ad-Placement</t>
  </si>
  <si>
    <t>6232 · Conferences and Events Expense</t>
  </si>
  <si>
    <t>6233 · Lead Lists &amp; Services</t>
  </si>
  <si>
    <t>6234 · Marketing Collateral</t>
  </si>
  <si>
    <t>6238 · Online Marketing (SEM/SEO)</t>
  </si>
  <si>
    <t>6239 · PR</t>
  </si>
  <si>
    <t>6240 · Sales Incentives</t>
  </si>
  <si>
    <t>6230 · Marketing - Other</t>
  </si>
  <si>
    <t>Total 6230 · Marketing</t>
  </si>
  <si>
    <t>6243 · Meals and Entertainment - Other</t>
  </si>
  <si>
    <t>Total 6243 · Meals and Entertainment</t>
  </si>
  <si>
    <t>6272 · Marketing</t>
  </si>
  <si>
    <t>6275 · Professional Fees-Other</t>
  </si>
  <si>
    <t>Total 6270 · Professional Fees</t>
  </si>
  <si>
    <t>6290 · Rent</t>
  </si>
  <si>
    <t>6293 · Parking Spots</t>
  </si>
  <si>
    <t>Total 6290 · Rent</t>
  </si>
  <si>
    <t>6562 · Payroll Taxes</t>
  </si>
  <si>
    <t>Employment Training Tax Company</t>
  </si>
  <si>
    <t>Federal Unemployment Company</t>
  </si>
  <si>
    <t>Medicare Company</t>
  </si>
  <si>
    <t>Social Security Company</t>
  </si>
  <si>
    <t>State Disability</t>
  </si>
  <si>
    <t>State Unemployment Company</t>
  </si>
  <si>
    <t>6562 · Payroll Taxes - Other</t>
  </si>
  <si>
    <t>Total 6562 · Payroll Taxes</t>
  </si>
  <si>
    <t>6563 · Salaries &amp; Wages</t>
  </si>
  <si>
    <t>Salaries - Regular</t>
  </si>
  <si>
    <t>Vacation</t>
  </si>
  <si>
    <t>Total 6563 · Salaries &amp; Wages</t>
  </si>
  <si>
    <t>6560 · Salary and Payroll Related - Other</t>
  </si>
  <si>
    <t>Total 6560 · Salary and Payroll Related</t>
  </si>
  <si>
    <t>6581 · Health Insurance</t>
  </si>
  <si>
    <t>Total 6580 · Employee Benefits</t>
  </si>
  <si>
    <t>Salaries - Hourly</t>
  </si>
  <si>
    <t>Salaries - Officers</t>
  </si>
  <si>
    <t>Software Licensing Fees</t>
  </si>
  <si>
    <t>6120 · Bank Service Charges</t>
  </si>
  <si>
    <t>6277 · IT Contractors</t>
  </si>
  <si>
    <t>6340 · Telephone</t>
  </si>
  <si>
    <t>6271 · Accounting</t>
  </si>
  <si>
    <t>6276 · HR Compliance</t>
  </si>
  <si>
    <t>6850 · Property Taxes</t>
  </si>
  <si>
    <t>6820 · Taxes</t>
  </si>
  <si>
    <t>6823 · Sales-Use Taxes</t>
  </si>
  <si>
    <t>6824 · State</t>
  </si>
  <si>
    <t>Total 6820 · Taxes</t>
  </si>
  <si>
    <t>Total Sales Expense</t>
  </si>
  <si>
    <t>Health Insurance</t>
  </si>
  <si>
    <t>Partners</t>
  </si>
  <si>
    <t>Total Health Insurance</t>
  </si>
  <si>
    <t>6184 · Excess D&amp;O &amp; EPL</t>
  </si>
  <si>
    <t>6185 · Liability Insurance</t>
  </si>
  <si>
    <t>6195 · Property Coverage</t>
  </si>
  <si>
    <t>6420 · Workers' Comp</t>
  </si>
  <si>
    <t>Total 6180 · Insurance</t>
  </si>
  <si>
    <t>6210 · Licenses and Permits</t>
  </si>
  <si>
    <t>6273 · Legal Fees</t>
  </si>
  <si>
    <t>6291 · Janitorial Exp</t>
  </si>
  <si>
    <t>6290 · Rent - Other</t>
  </si>
  <si>
    <t>6300 · Repairs</t>
  </si>
  <si>
    <t>6310 · Building Repairs</t>
  </si>
  <si>
    <t>6330 · Equipment Repairs</t>
  </si>
  <si>
    <t>Total 6300 · Repairs</t>
  </si>
  <si>
    <t>6390 · Utilities</t>
  </si>
  <si>
    <t>6400 · Gas &amp; Electric</t>
  </si>
  <si>
    <t>Total 6390 · Utilities</t>
  </si>
  <si>
    <t>Total Department Expenses</t>
  </si>
  <si>
    <t>6563 · Salaries &amp; Wages - Other</t>
  </si>
  <si>
    <t>Unclassified Expense</t>
  </si>
  <si>
    <t>Total Software Expense</t>
  </si>
  <si>
    <t>Total Finance Expense</t>
  </si>
  <si>
    <t>Total Dev Ops Expense</t>
  </si>
  <si>
    <t>Total Executive Expense</t>
  </si>
  <si>
    <t>Total R&amp;D Expense</t>
  </si>
  <si>
    <t>Total G&amp;A Expense</t>
  </si>
  <si>
    <t>6279 · Phone Service-Sales &amp; Support</t>
  </si>
  <si>
    <t>Gross Profit</t>
  </si>
  <si>
    <t>Q1 Board Plan</t>
  </si>
  <si>
    <t>Apr 2013 Actual</t>
  </si>
  <si>
    <t>CASH FLOW METRICS (000's)</t>
  </si>
  <si>
    <t>Proforma or GAAP</t>
  </si>
  <si>
    <t>Cash to Accural Expired Rev Adj</t>
  </si>
  <si>
    <t>Other EzTexting Expense</t>
  </si>
  <si>
    <t>EzTexting Expense Other</t>
  </si>
  <si>
    <t>Ez Texting Expenses</t>
  </si>
  <si>
    <t>Total Marketing Expense</t>
  </si>
  <si>
    <t>Loan Fees</t>
  </si>
  <si>
    <t>Charitable Contributions</t>
  </si>
  <si>
    <t>Fundraising</t>
  </si>
  <si>
    <t>Erin Alvarado</t>
  </si>
  <si>
    <t>Elias Mendoza</t>
  </si>
  <si>
    <t>Joshua Lange</t>
  </si>
  <si>
    <t>Sean Gera</t>
  </si>
  <si>
    <t>Charles Mack Rhinelander</t>
  </si>
  <si>
    <t>Timothy Chang</t>
  </si>
  <si>
    <t>Ryan Martin</t>
  </si>
  <si>
    <t>Shane Blaser</t>
  </si>
  <si>
    <t>R&amp;D</t>
  </si>
  <si>
    <t>old best</t>
  </si>
  <si>
    <t>Conferences and Events Expense</t>
  </si>
  <si>
    <t>Other Loan</t>
  </si>
  <si>
    <t>GAAP</t>
  </si>
  <si>
    <t>Intangible Assets</t>
  </si>
  <si>
    <t>Depreciation</t>
  </si>
  <si>
    <t>Amort &amp;  Depr</t>
  </si>
  <si>
    <t>Line of Credit</t>
  </si>
  <si>
    <t>GAAP RevRec Adjustment</t>
  </si>
  <si>
    <t>Acquistion Related Adjusments</t>
  </si>
  <si>
    <t>Other/Interst Income / {Expense}</t>
  </si>
  <si>
    <t>+</t>
  </si>
  <si>
    <t>Workers Compensation</t>
  </si>
  <si>
    <t>Other Insurance</t>
  </si>
  <si>
    <t>B of A Wire Checking</t>
  </si>
  <si>
    <t>Due to/from Club Texting</t>
  </si>
  <si>
    <t>Payroll Service Customer Asset</t>
  </si>
  <si>
    <t>Undeposited Funds</t>
  </si>
  <si>
    <t>Equipment</t>
  </si>
  <si>
    <t>Accm Depreciation - Equip</t>
  </si>
  <si>
    <t>Equipment - Other</t>
  </si>
  <si>
    <t>Accm Depreciation - Furniture</t>
  </si>
  <si>
    <t>Furnitures and Fixtures - Other</t>
  </si>
  <si>
    <t>Total Equipment</t>
  </si>
  <si>
    <t>Total Furniture and Fixtures</t>
  </si>
  <si>
    <t>Improvements</t>
  </si>
  <si>
    <t>Accm Depreciation - LHI</t>
  </si>
  <si>
    <t>Total Improvements</t>
  </si>
  <si>
    <t>Accm Depreciation - Server</t>
  </si>
  <si>
    <t>Total Server</t>
  </si>
  <si>
    <t>Accm Depreciation - Software</t>
  </si>
  <si>
    <t>Total Software</t>
  </si>
  <si>
    <t>Software - Other</t>
  </si>
  <si>
    <t>Total Intangible Assets</t>
  </si>
  <si>
    <t>Amex Plum</t>
  </si>
  <si>
    <t>B of A Visa</t>
  </si>
  <si>
    <t>Total Credit Cards</t>
  </si>
  <si>
    <t>PR Liability Company</t>
  </si>
  <si>
    <t>PR Liability EE</t>
  </si>
  <si>
    <t>Total Payroll Liabilities</t>
  </si>
  <si>
    <t>Other accrued expenses</t>
  </si>
  <si>
    <t>Deferred Expenses</t>
  </si>
  <si>
    <t>Total Deferred Expenses</t>
  </si>
  <si>
    <t>Total Retained Earnings 2</t>
  </si>
  <si>
    <t>Timing Difference Related to the Expiring Revenue Credits</t>
  </si>
  <si>
    <t>Retained Earnings Acquistion Adjustment</t>
  </si>
  <si>
    <t>Cash to Accrual Adjustment</t>
  </si>
  <si>
    <t>Q2 2013 Actual</t>
  </si>
  <si>
    <t>New Paid Users</t>
  </si>
  <si>
    <t>2013 Board Plan Cash</t>
  </si>
  <si>
    <t>2013 Board Plan Accrual</t>
  </si>
  <si>
    <t>Target Plan</t>
  </si>
  <si>
    <t>Achivement to Plan</t>
  </si>
  <si>
    <t>Bridge Bank</t>
  </si>
  <si>
    <t>6180· Insurance</t>
  </si>
  <si>
    <t>6292 · Office Rent</t>
  </si>
  <si>
    <t>6236 · Offline Advertising</t>
  </si>
  <si>
    <t>ir</t>
  </si>
  <si>
    <t>6580 · Employee Benefits - Other</t>
  </si>
  <si>
    <t>6390 · Utilities - Other</t>
  </si>
  <si>
    <t>5015+5400</t>
  </si>
  <si>
    <t xml:space="preserve">  Month 37</t>
  </si>
  <si>
    <t xml:space="preserve">  Month 38</t>
  </si>
  <si>
    <t xml:space="preserve">  Month 39</t>
  </si>
  <si>
    <t xml:space="preserve">  Month 40</t>
  </si>
  <si>
    <t xml:space="preserve">  Month 41</t>
  </si>
  <si>
    <t xml:space="preserve">  Month 42</t>
  </si>
  <si>
    <t xml:space="preserve">  Month 43</t>
  </si>
  <si>
    <t xml:space="preserve">  Month 44</t>
  </si>
  <si>
    <t xml:space="preserve">  Month 45</t>
  </si>
  <si>
    <t xml:space="preserve">  Month 46</t>
  </si>
  <si>
    <t xml:space="preserve">  Month 47</t>
  </si>
  <si>
    <t xml:space="preserve">  Month 48</t>
  </si>
  <si>
    <t>6237 · Offiline Promotions</t>
  </si>
  <si>
    <t>plc+5325</t>
  </si>
  <si>
    <t>Q3 2013 Actual</t>
  </si>
  <si>
    <t>X</t>
  </si>
  <si>
    <t>Jennifer Pavlik</t>
  </si>
  <si>
    <t>*Footnotes:</t>
  </si>
  <si>
    <r>
      <t>1</t>
    </r>
    <r>
      <rPr>
        <b/>
        <sz val="12"/>
        <color theme="1"/>
        <rFont val="Calibri"/>
        <family val="2"/>
        <scheme val="minor"/>
      </rPr>
      <t xml:space="preserve"> Testing of new marketing strategies resulted in negative free cash flow</t>
    </r>
  </si>
  <si>
    <t>Shawn Lucas</t>
  </si>
  <si>
    <t>Sean Crabtree</t>
  </si>
  <si>
    <t>Distinct Buyers</t>
  </si>
  <si>
    <t>Average Rev per Min</t>
  </si>
  <si>
    <t>Average Rev per SMS</t>
  </si>
  <si>
    <t>QoQ/YoY Growth %</t>
  </si>
  <si>
    <t>Plan rev</t>
  </si>
  <si>
    <t>Plan Users- need to do by QTR &amp; sum</t>
  </si>
  <si>
    <t>Msgs</t>
  </si>
  <si>
    <t>EZ Rev</t>
  </si>
  <si>
    <t>SEM Spend</t>
  </si>
  <si>
    <t>Plan Lifetime Value</t>
  </si>
  <si>
    <t>SUM</t>
  </si>
  <si>
    <t>Distinct Buyers By QTR</t>
  </si>
  <si>
    <t>Cash from BOD</t>
  </si>
  <si>
    <t>Average</t>
  </si>
  <si>
    <t>Adjusted Revenue</t>
  </si>
  <si>
    <r>
      <rPr>
        <b/>
        <vertAlign val="superscript"/>
        <sz val="12"/>
        <color theme="1"/>
        <rFont val="Calibri"/>
        <family val="2"/>
        <scheme val="minor"/>
      </rPr>
      <t>2</t>
    </r>
    <r>
      <rPr>
        <b/>
        <sz val="12"/>
        <color theme="1"/>
        <rFont val="Calibri"/>
        <family val="2"/>
        <scheme val="minor"/>
      </rPr>
      <t xml:space="preserve"> Calculated for users in this quarter, not cumulative</t>
    </r>
  </si>
  <si>
    <r>
      <rPr>
        <b/>
        <vertAlign val="superscript"/>
        <sz val="12"/>
        <color theme="1"/>
        <rFont val="Calibri"/>
        <family val="2"/>
        <scheme val="minor"/>
      </rPr>
      <t>3</t>
    </r>
    <r>
      <rPr>
        <b/>
        <sz val="12"/>
        <color theme="1"/>
        <rFont val="Calibri"/>
        <family val="2"/>
        <scheme val="minor"/>
      </rPr>
      <t xml:space="preserve"> Calculated using COGS + DevOps</t>
    </r>
  </si>
  <si>
    <r>
      <t>Account Cost of Service</t>
    </r>
    <r>
      <rPr>
        <b/>
        <vertAlign val="superscript"/>
        <sz val="16"/>
        <color theme="1"/>
        <rFont val="Calibri"/>
        <family val="2"/>
        <scheme val="minor"/>
      </rPr>
      <t>3</t>
    </r>
  </si>
  <si>
    <t>Temp adjuster</t>
  </si>
  <si>
    <r>
      <t>ARPU</t>
    </r>
    <r>
      <rPr>
        <b/>
        <vertAlign val="superscript"/>
        <sz val="16"/>
        <color theme="1"/>
        <rFont val="Calibri"/>
        <family val="2"/>
        <scheme val="minor"/>
      </rPr>
      <t>2</t>
    </r>
  </si>
  <si>
    <t>Normalization</t>
  </si>
  <si>
    <t>SMS avg order value- subscription</t>
  </si>
  <si>
    <t>% of customers  on subscription</t>
  </si>
  <si>
    <t>New Accounts Subscription</t>
  </si>
  <si>
    <t>SMS orders per mo per user-subscription</t>
  </si>
  <si>
    <t>% of customers  NOT on subscription</t>
  </si>
  <si>
    <t>I. CAC Overall</t>
  </si>
  <si>
    <t>Sum of all method CAC spends plus S&amp;M Fully Loaded Spend divided by the sum of NPUs by all methods</t>
  </si>
  <si>
    <t>S&amp;M Fully Loaded Salary Expense</t>
  </si>
  <si>
    <t>Marketing Spend</t>
  </si>
  <si>
    <t>Unique</t>
  </si>
  <si>
    <t>SEO</t>
  </si>
  <si>
    <t>SEM</t>
  </si>
  <si>
    <t>NPU</t>
  </si>
  <si>
    <t>CAC Overall</t>
  </si>
  <si>
    <t>II. CAC Unique</t>
  </si>
  <si>
    <t>Unique Signups</t>
  </si>
  <si>
    <t>Unique Marketing Spend</t>
  </si>
  <si>
    <t>Unique NPU</t>
  </si>
  <si>
    <t>Unique CAC</t>
  </si>
  <si>
    <t>III. CAC SEO</t>
  </si>
  <si>
    <t>SEO Signups</t>
  </si>
  <si>
    <t>SEO Marketing Spend</t>
  </si>
  <si>
    <t>IV. CAC SEM</t>
  </si>
  <si>
    <t>SEM Signups</t>
  </si>
  <si>
    <t>SEM Marketing Spend</t>
  </si>
  <si>
    <t>SEM NPU</t>
  </si>
  <si>
    <t>V. CAC Other</t>
  </si>
  <si>
    <t>Other Signups</t>
  </si>
  <si>
    <t>Other Marketing Spend</t>
  </si>
  <si>
    <t>Other NPU</t>
  </si>
  <si>
    <t>V. CAC Sensativities</t>
  </si>
  <si>
    <t>A. Signups</t>
  </si>
  <si>
    <t>C. Marketing Spend</t>
  </si>
  <si>
    <t>Other CAC</t>
  </si>
  <si>
    <t>Average of actuals YTD</t>
  </si>
  <si>
    <t>Highest Value YTD</t>
  </si>
  <si>
    <t>Average of Highest &amp; Worst</t>
  </si>
  <si>
    <t>Lowest Value YTD</t>
  </si>
  <si>
    <t>% of revenue from non  plan</t>
  </si>
  <si>
    <t>original total SMS Revenue</t>
  </si>
  <si>
    <t>New original total SMS Revenue</t>
  </si>
  <si>
    <t>Check</t>
  </si>
  <si>
    <t>Conference &amp; Meeting Exp</t>
  </si>
  <si>
    <t>Donation</t>
  </si>
  <si>
    <t>Finance Charge - old</t>
  </si>
  <si>
    <t>Gifts Given</t>
  </si>
  <si>
    <t>Health Insurance - Other</t>
  </si>
  <si>
    <t>Networking</t>
  </si>
  <si>
    <t>Organizational and Business Exp</t>
  </si>
  <si>
    <t>Retirement Contribution</t>
  </si>
  <si>
    <t>IT</t>
  </si>
  <si>
    <t>Software Licensing Fees - Other</t>
  </si>
  <si>
    <t>Total Software Licensing Fees</t>
  </si>
  <si>
    <t>Website &amp; internet</t>
  </si>
  <si>
    <t>Website Design/Development</t>
  </si>
  <si>
    <t>6110 · Automobile Expense</t>
  </si>
  <si>
    <t>Parking Fees</t>
  </si>
  <si>
    <t>6110 · Automobile Expense - Other</t>
  </si>
  <si>
    <t>Total 6110 · Automobile Expense</t>
  </si>
  <si>
    <t>Bank Fees</t>
  </si>
  <si>
    <t>6120 · Bank Service Charges - Other</t>
  </si>
  <si>
    <t>Total 6120 · Bank Service Charges</t>
  </si>
  <si>
    <t>6130 · Cash Discounts</t>
  </si>
  <si>
    <t>Computer</t>
  </si>
  <si>
    <t>Phones</t>
  </si>
  <si>
    <t>6136 · Hosting</t>
  </si>
  <si>
    <t>6135 · Computer Supplies &amp; Internet - Other</t>
  </si>
  <si>
    <t>6140 · Contributions</t>
  </si>
  <si>
    <t>6170 · Equipment Rental</t>
  </si>
  <si>
    <t>6181 · D&amp;O</t>
  </si>
  <si>
    <t>6182 · E&amp;O</t>
  </si>
  <si>
    <t>6183 · Employment Practices</t>
  </si>
  <si>
    <t>6190 · Disability Insurance</t>
  </si>
  <si>
    <t>6180 · Insurance - Other</t>
  </si>
  <si>
    <t>Data</t>
  </si>
  <si>
    <t>Mailing</t>
  </si>
  <si>
    <t>Merchandise</t>
  </si>
  <si>
    <t>Print</t>
  </si>
  <si>
    <t>6235 · Market Research/Trials</t>
  </si>
  <si>
    <t>6241 · Website Design</t>
  </si>
  <si>
    <t>Business Meeting</t>
  </si>
  <si>
    <t>6278 · Telecom</t>
  </si>
  <si>
    <t>6270 · Professional Fees - Other</t>
  </si>
  <si>
    <t>6320 · Computer Repairs</t>
  </si>
  <si>
    <t>6300 · Repairs - Other</t>
  </si>
  <si>
    <t>Internet (office &amp; EE)</t>
  </si>
  <si>
    <t>6410 · Water</t>
  </si>
  <si>
    <t>6561 · Employee Benefits</t>
  </si>
  <si>
    <t>6568 · Gym Membership</t>
  </si>
  <si>
    <t>6565 · Retirement Contribution</t>
  </si>
  <si>
    <t>6566 · Group Insurance</t>
  </si>
  <si>
    <t>6567 · HSA Contribution</t>
  </si>
  <si>
    <t>6561 · Employee Benefits - Other</t>
  </si>
  <si>
    <t>Total 6561 · Employee Benefits</t>
  </si>
  <si>
    <t>Tax Penalties - Payroll</t>
  </si>
  <si>
    <t>Commission</t>
  </si>
  <si>
    <t>Wages</t>
  </si>
  <si>
    <t>6564 · Placement Fees</t>
  </si>
  <si>
    <t>6582 · Transportation</t>
  </si>
  <si>
    <t>6821 · Corporate Tax</t>
  </si>
  <si>
    <t>6822 · Property Tax</t>
  </si>
  <si>
    <t>6830 · Franchise Taxes</t>
  </si>
  <si>
    <t>6840 · Local</t>
  </si>
  <si>
    <t>6820 · Taxes - Other</t>
  </si>
  <si>
    <t>QB</t>
  </si>
  <si>
    <t>Difference</t>
  </si>
  <si>
    <t>Other Revenue/Consulting</t>
  </si>
  <si>
    <t>Not being used?</t>
  </si>
  <si>
    <t>6294 · Security System</t>
  </si>
  <si>
    <t>Combined</t>
  </si>
  <si>
    <t>Recruiting</t>
  </si>
  <si>
    <t>Conferences and Events</t>
  </si>
  <si>
    <t>Phone Service- Sales &amp; Support</t>
  </si>
  <si>
    <t>Office Supplies</t>
  </si>
  <si>
    <t>Professional Development</t>
  </si>
  <si>
    <t>I. Sales Department Expenses</t>
  </si>
  <si>
    <t>Date</t>
  </si>
  <si>
    <t>Forecast vs Actual</t>
  </si>
  <si>
    <t>Headcount Department Costs</t>
  </si>
  <si>
    <t>Existing Salary</t>
  </si>
  <si>
    <t>New Hire Salary</t>
  </si>
  <si>
    <t>Total Salary</t>
  </si>
  <si>
    <t>Existing Bonus</t>
  </si>
  <si>
    <t>New Hire Bonus</t>
  </si>
  <si>
    <t>Total Bonus</t>
  </si>
  <si>
    <t>Total Employee Benefits</t>
  </si>
  <si>
    <t>Hardware/Software On Board</t>
  </si>
  <si>
    <t>Meals and Entertainment - Other</t>
  </si>
  <si>
    <t>Software License Fee</t>
  </si>
  <si>
    <t>Total Headcount Costs</t>
  </si>
  <si>
    <t>Controllable Expenses</t>
  </si>
  <si>
    <t>Total Professional Service Fees</t>
  </si>
  <si>
    <t>Books and periodicals</t>
  </si>
  <si>
    <t>Postage and Delivery</t>
  </si>
  <si>
    <t>Computer Supplies &amp; Internet</t>
  </si>
  <si>
    <t>Printing and Reproduction</t>
  </si>
  <si>
    <t>Dues &amp; Subscriptions</t>
  </si>
  <si>
    <t>Miscellaneous</t>
  </si>
  <si>
    <t>Total Controllable Expenses</t>
  </si>
  <si>
    <t>Pending- Lezlie on G/L Structure &amp; Transportation Benefits account</t>
  </si>
  <si>
    <t>I. Headcount Department Costs</t>
  </si>
  <si>
    <t>Department</t>
  </si>
  <si>
    <t>Account</t>
  </si>
  <si>
    <t>Account Name</t>
  </si>
  <si>
    <t>Dept Cost Actuals</t>
  </si>
  <si>
    <t>Forecast  Logic</t>
  </si>
  <si>
    <t>Forecast  Value</t>
  </si>
  <si>
    <t>*Note: each department can have different costs</t>
  </si>
  <si>
    <t>*Note: Should values increase YOY?</t>
  </si>
  <si>
    <t xml:space="preserve">Total 6560 </t>
  </si>
  <si>
    <t>Salary and Payroll Related</t>
  </si>
  <si>
    <t>156-146</t>
  </si>
  <si>
    <t>(sum of hire date&lt; current date, termination date &gt; current date, department salary/12) and if the month is =2 in the current year the (sum of hire date&lt; current date, termination date &gt; current date, department salary/12) plus raise</t>
  </si>
  <si>
    <t>formula: headcount</t>
  </si>
  <si>
    <t>*Note: We can have multiple accounts roll up to 1 for consolidated reporting</t>
  </si>
  <si>
    <t>sumproduct of above salary*bonus</t>
  </si>
  <si>
    <t>Total 6580</t>
  </si>
  <si>
    <t>$ * number of active empl + new hires</t>
  </si>
  <si>
    <t>46</t>
  </si>
  <si>
    <t>value*forecasted hires</t>
  </si>
  <si>
    <t>previous 12 month's average</t>
  </si>
  <si>
    <t>formula: historical</t>
  </si>
  <si>
    <t>ASK LEZLIE</t>
  </si>
  <si>
    <t>value* month end headcount</t>
  </si>
  <si>
    <t>G&amp;A</t>
  </si>
  <si>
    <t>I.Other Controllable Expenses</t>
  </si>
  <si>
    <t>G/L Account</t>
  </si>
  <si>
    <t>G/L Account Name</t>
  </si>
  <si>
    <t>Forecast Value</t>
  </si>
  <si>
    <t>Total 6270</t>
  </si>
  <si>
    <t>103 - 101</t>
  </si>
  <si>
    <t>*Note: We can have multiple accounts roll up to 1 for consolidate reporting</t>
  </si>
  <si>
    <t>52 &amp; 12</t>
  </si>
  <si>
    <t>6135 &amp; 6139</t>
  </si>
  <si>
    <t>49 &amp; 48</t>
  </si>
  <si>
    <t>*Note: Applies only to Marketing</t>
  </si>
  <si>
    <t>Branding/Ad-Placement</t>
  </si>
  <si>
    <t>Lead Lists &amp; Services</t>
  </si>
  <si>
    <t>Offline Advertising</t>
  </si>
  <si>
    <t>Offiline Promotions</t>
  </si>
  <si>
    <t>Online Marketing (SEM/SEO)</t>
  </si>
  <si>
    <t>sensitivies tab driven</t>
  </si>
  <si>
    <t>PR</t>
  </si>
  <si>
    <t>Marketing - Other</t>
  </si>
  <si>
    <t xml:space="preserve"> Printing and Reproduction</t>
  </si>
  <si>
    <t>need to fix annual salaries with raise equation to take into account hire date i.e. PRO RATE</t>
  </si>
  <si>
    <t>I.</t>
  </si>
  <si>
    <t>Master Headcount File</t>
  </si>
  <si>
    <t>As of:</t>
  </si>
  <si>
    <t>Last Name</t>
  </si>
  <si>
    <t>First Name</t>
  </si>
  <si>
    <t>Termination Date</t>
  </si>
  <si>
    <t>Employee Status</t>
  </si>
  <si>
    <t>Current Status</t>
  </si>
  <si>
    <t>Work State</t>
  </si>
  <si>
    <t>December Bonus %</t>
  </si>
  <si>
    <t>Annual Raise %</t>
  </si>
  <si>
    <t>*Note: THIS DATE CONTROLS ALL DEPT DATE forecast vs actual</t>
  </si>
  <si>
    <t>Annual Salaries with Raise</t>
  </si>
  <si>
    <t>*Note: New hires need to be removed from forecast &amp; added</t>
  </si>
  <si>
    <t>Koval</t>
  </si>
  <si>
    <t>Rhinelander</t>
  </si>
  <si>
    <t>Kostikov</t>
  </si>
  <si>
    <t>Nguyen</t>
  </si>
  <si>
    <t>Briscoe</t>
  </si>
  <si>
    <t>Thinakaran</t>
  </si>
  <si>
    <t>Ravishanker</t>
  </si>
  <si>
    <t>Singh</t>
  </si>
  <si>
    <t>Burr</t>
  </si>
  <si>
    <t>Neman</t>
  </si>
  <si>
    <t>Decanio</t>
  </si>
  <si>
    <t>Wheeler</t>
  </si>
  <si>
    <t>Alvarado</t>
  </si>
  <si>
    <t>Gera</t>
  </si>
  <si>
    <t>Thompson</t>
  </si>
  <si>
    <t>Zeigler</t>
  </si>
  <si>
    <t>Malin</t>
  </si>
  <si>
    <t>Chang</t>
  </si>
  <si>
    <t>Goldstein</t>
  </si>
  <si>
    <t>Hahm</t>
  </si>
  <si>
    <t>Porter</t>
  </si>
  <si>
    <t>Runge</t>
  </si>
  <si>
    <t>Donohue</t>
  </si>
  <si>
    <t>Bloomfield</t>
  </si>
  <si>
    <t>Spisak</t>
  </si>
  <si>
    <t>Decarlo</t>
  </si>
  <si>
    <t>Weiss</t>
  </si>
  <si>
    <t>Hughes</t>
  </si>
  <si>
    <t>Cann</t>
  </si>
  <si>
    <t>Mendoza</t>
  </si>
  <si>
    <t>Lange</t>
  </si>
  <si>
    <t>Martin</t>
  </si>
  <si>
    <t>Shypovych</t>
  </si>
  <si>
    <t>Boyko</t>
  </si>
  <si>
    <t>Prokofiev</t>
  </si>
  <si>
    <t>Moy</t>
  </si>
  <si>
    <t>Carlson</t>
  </si>
  <si>
    <t>Skinner</t>
  </si>
  <si>
    <t>Coury</t>
  </si>
  <si>
    <t>Piersol</t>
  </si>
  <si>
    <t>Retzlaff</t>
  </si>
  <si>
    <t>Shah</t>
  </si>
  <si>
    <t>Mehta</t>
  </si>
  <si>
    <t>Blaser</t>
  </si>
  <si>
    <t>Pavlik</t>
  </si>
  <si>
    <t>Lucas</t>
  </si>
  <si>
    <t>Crabtree</t>
  </si>
  <si>
    <t>Jeff Cho</t>
  </si>
  <si>
    <t>Cho</t>
  </si>
  <si>
    <t>Master New Hire Forecast</t>
  </si>
  <si>
    <t>*Note: Must be added to the Headcount sheet &amp; removed from New Hires Forecast</t>
  </si>
  <si>
    <t>I. Marketing Department Expenses</t>
  </si>
  <si>
    <t>Marketing Expenses</t>
  </si>
  <si>
    <t>Total Marketing Expenses</t>
  </si>
  <si>
    <t>I. Software Department Expenses</t>
  </si>
  <si>
    <t>Phone Service- Marketing &amp; Support</t>
  </si>
  <si>
    <t>I. Revenue</t>
  </si>
  <si>
    <t>II. Cost of Sales</t>
  </si>
  <si>
    <t>Total Telecom Voice &amp; VOIP</t>
  </si>
  <si>
    <t>Total SMS</t>
  </si>
  <si>
    <t>Total Hosting</t>
  </si>
  <si>
    <t>Total Credit Card Fees</t>
  </si>
  <si>
    <t>I. ASSETS</t>
  </si>
  <si>
    <t>II. LIABILITIES &amp; EQUITY</t>
  </si>
  <si>
    <t>I. Finance Department Expenses</t>
  </si>
  <si>
    <t>I. Dev Ops Department Expenses</t>
  </si>
  <si>
    <t>I. Exec Department Expenses</t>
  </si>
  <si>
    <t>Office Parking</t>
  </si>
  <si>
    <t>Telephone</t>
  </si>
  <si>
    <t>324 - 314</t>
  </si>
  <si>
    <t>492-482</t>
  </si>
  <si>
    <t>660-650</t>
  </si>
  <si>
    <t>828-818</t>
  </si>
  <si>
    <t>996-986</t>
  </si>
  <si>
    <t>1164-1154</t>
  </si>
  <si>
    <t>271-269</t>
  </si>
  <si>
    <t>220 + 180</t>
  </si>
  <si>
    <t>217+216</t>
  </si>
  <si>
    <t>439-437</t>
  </si>
  <si>
    <t>388-348</t>
  </si>
  <si>
    <t>385-384</t>
  </si>
  <si>
    <t>607-605</t>
  </si>
  <si>
    <t>556-516</t>
  </si>
  <si>
    <t>553-552</t>
  </si>
  <si>
    <t>775-773</t>
  </si>
  <si>
    <t>724 + 684</t>
  </si>
  <si>
    <t>721 + 720</t>
  </si>
  <si>
    <t>943-941</t>
  </si>
  <si>
    <t>892+852</t>
  </si>
  <si>
    <t>889+888</t>
  </si>
  <si>
    <t>Total Sales &amp; Marketing</t>
  </si>
  <si>
    <t>Total Research &amp; Development</t>
  </si>
  <si>
    <t>Total General &amp; Administrative</t>
  </si>
  <si>
    <t>Total COGS</t>
  </si>
  <si>
    <t>Other Income</t>
  </si>
  <si>
    <t>1Q2017</t>
  </si>
  <si>
    <t>2Q2017</t>
  </si>
  <si>
    <t>3Q2017</t>
  </si>
  <si>
    <t>4Q2017</t>
  </si>
  <si>
    <t>Forecast Vs Actual</t>
  </si>
  <si>
    <t>Quarter</t>
  </si>
  <si>
    <t>Year</t>
  </si>
  <si>
    <t>I. Cost Summary</t>
  </si>
  <si>
    <t>I. CAPEX &amp; Depreciation</t>
  </si>
  <si>
    <t>Balance Sheet- Cash Flow Actuals</t>
  </si>
  <si>
    <t>From Mkt Dept</t>
  </si>
  <si>
    <t>*depreciation used prior month</t>
  </si>
  <si>
    <t>Prepaid Rent</t>
  </si>
  <si>
    <t>Mins</t>
  </si>
  <si>
    <t>(from actuals)</t>
  </si>
  <si>
    <t>plan users/rev</t>
  </si>
  <si>
    <t>CF Rev</t>
  </si>
  <si>
    <t>Not being used</t>
  </si>
  <si>
    <t>RJ/MktSlices/First Click</t>
  </si>
  <si>
    <t>D. ACPUV (Average Cost Per Unique Visitor)</t>
  </si>
  <si>
    <t>Unique ACPUV</t>
  </si>
  <si>
    <t>SEO ACPUV</t>
  </si>
  <si>
    <t>SEM ACPUV</t>
  </si>
  <si>
    <t>Other ACPUV</t>
  </si>
  <si>
    <t>Unique NPU Conversion Rate</t>
  </si>
  <si>
    <t>Unique Signup Conversion Rate</t>
  </si>
  <si>
    <t>SEO Signup Conversion Rate</t>
  </si>
  <si>
    <t>SEO CAC</t>
  </si>
  <si>
    <t>SEM CAC</t>
  </si>
  <si>
    <t>SEM Signup Conversion Rate</t>
  </si>
  <si>
    <t>Other Signup Conversion Rate</t>
  </si>
  <si>
    <t>SEM NPU Conversion Rate</t>
  </si>
  <si>
    <t>SEO NPU Conversion Rate</t>
  </si>
  <si>
    <t>Other NPU Conversion Rate</t>
  </si>
  <si>
    <t>Unique Sign Up Conversion Rate</t>
  </si>
  <si>
    <t>SEO Sign Up Conversion Rate</t>
  </si>
  <si>
    <t>SEM Sign Up Conversion Rate</t>
  </si>
  <si>
    <t>Other Sign Up Conversion Rate</t>
  </si>
  <si>
    <t>Barbara Palmer</t>
  </si>
  <si>
    <t>Mark Podhajsky</t>
  </si>
  <si>
    <t>Palmer</t>
  </si>
  <si>
    <t>Ian Jardiolin</t>
  </si>
  <si>
    <t>Jardiolin</t>
  </si>
  <si>
    <t>Q1 2012 Actual</t>
  </si>
  <si>
    <t>Total 2013 Actual</t>
  </si>
  <si>
    <t>Total 2014 Projected</t>
  </si>
  <si>
    <t>Q4 2013 Actual</t>
  </si>
  <si>
    <t>Annualized Rev per HC</t>
  </si>
  <si>
    <t>E. Sign Up Conversion Rate (Visits to Signups)</t>
  </si>
  <si>
    <t>B. NPU Conversion Rate (Signups to NPU)</t>
  </si>
  <si>
    <t>*Note: Input actuals each month for all values</t>
  </si>
  <si>
    <t>Plan</t>
  </si>
  <si>
    <t>Total Plan</t>
  </si>
  <si>
    <t>Voice Plan</t>
  </si>
  <si>
    <t>SMS Plan</t>
  </si>
  <si>
    <t>Rentals</t>
  </si>
  <si>
    <t xml:space="preserve">Long </t>
  </si>
  <si>
    <t>Short</t>
  </si>
  <si>
    <t>SMS Keywords</t>
  </si>
  <si>
    <t>Usage Revenue</t>
  </si>
  <si>
    <t>Voice Telecom Usage</t>
  </si>
  <si>
    <t>SMS Fees Usage</t>
  </si>
  <si>
    <t>Telephony</t>
  </si>
  <si>
    <t>SMS Other</t>
  </si>
  <si>
    <t>Telecom Voice Other</t>
  </si>
  <si>
    <t>Consulting Services</t>
  </si>
  <si>
    <t>DID</t>
  </si>
  <si>
    <t>Total Rentals</t>
  </si>
  <si>
    <t>Returns &amp; Allowances</t>
  </si>
  <si>
    <t>Mike Epstein</t>
  </si>
  <si>
    <t>Epstein</t>
  </si>
  <si>
    <t>Amit Lamba</t>
  </si>
  <si>
    <t>Lamba</t>
  </si>
  <si>
    <t>WAIT FOR NEW BILL/ Includes Pimp my Desk</t>
  </si>
  <si>
    <t>Business Intelligence</t>
  </si>
  <si>
    <t>Total BI Expense</t>
  </si>
  <si>
    <t>Dept Cost Actuals Row</t>
  </si>
  <si>
    <t>Dept Cost Actuals Reference</t>
  </si>
  <si>
    <t>*includes $400 pimp my desk</t>
  </si>
  <si>
    <t>Keeney</t>
  </si>
  <si>
    <t>Podhajsky</t>
  </si>
  <si>
    <t>Pagidas</t>
  </si>
  <si>
    <t>Michael Pagidas</t>
  </si>
  <si>
    <t>Cuvicencov</t>
  </si>
  <si>
    <t>Setterlund</t>
  </si>
  <si>
    <t>Hillard</t>
  </si>
  <si>
    <t>Marlon Bryson</t>
  </si>
  <si>
    <t>Michael Collard</t>
  </si>
  <si>
    <t>David Endris</t>
  </si>
  <si>
    <t>Dane Jutila</t>
  </si>
  <si>
    <t>Andres Anton-Diaz</t>
  </si>
  <si>
    <t>Shahriar Ofavezi</t>
  </si>
  <si>
    <t>Bryson</t>
  </si>
  <si>
    <t>Collard</t>
  </si>
  <si>
    <t>Endris</t>
  </si>
  <si>
    <t>Jutila</t>
  </si>
  <si>
    <t>Diaz</t>
  </si>
  <si>
    <t>Ofavezi</t>
  </si>
  <si>
    <t>CFO</t>
  </si>
  <si>
    <t>Ann Shypovich</t>
  </si>
  <si>
    <t>Denis Gergun</t>
  </si>
  <si>
    <t>Gergun</t>
  </si>
  <si>
    <t>Shypovich</t>
  </si>
  <si>
    <t>Boyun</t>
  </si>
  <si>
    <t>Yuriy Boyun</t>
  </si>
  <si>
    <t>Volodymyr Saienko</t>
  </si>
  <si>
    <t>Pasha (Pavlo) Prokofiev</t>
  </si>
  <si>
    <t>Artur Tamazian</t>
  </si>
  <si>
    <t>Gleb Shevchuk</t>
  </si>
  <si>
    <t>Igor Dvorzhyk</t>
  </si>
  <si>
    <t>Ilya Permiakov</t>
  </si>
  <si>
    <t>Olesxander Boyko</t>
  </si>
  <si>
    <t>Olexsadr Kunitsia</t>
  </si>
  <si>
    <t>Yuri Barannikov</t>
  </si>
  <si>
    <t>Ronnie Andrews</t>
  </si>
  <si>
    <t>Hans Wunch</t>
  </si>
  <si>
    <t>Justin Martin</t>
  </si>
  <si>
    <t>Wunch</t>
  </si>
  <si>
    <t>Andrews</t>
  </si>
  <si>
    <t>Ttamazian</t>
  </si>
  <si>
    <t>Mack Replacement</t>
  </si>
  <si>
    <t>Junior</t>
  </si>
  <si>
    <t>Designer</t>
  </si>
  <si>
    <t>FY2014 Total</t>
  </si>
  <si>
    <t>Expense</t>
  </si>
  <si>
    <t>Detail</t>
  </si>
  <si>
    <t>Trip to Europe</t>
  </si>
  <si>
    <t>Trip To NJ</t>
  </si>
  <si>
    <t>General Travel Placeholder</t>
  </si>
  <si>
    <t>Comments</t>
  </si>
  <si>
    <t>Nic Denholm</t>
  </si>
  <si>
    <t>Jennifer Egan</t>
  </si>
  <si>
    <t>Assuming 25 hours per week</t>
  </si>
  <si>
    <t>Leyla Gulen</t>
  </si>
  <si>
    <t>Jeremy Pollack</t>
  </si>
  <si>
    <t>Giselli Rodriguez</t>
  </si>
  <si>
    <t>Photoshop License</t>
  </si>
  <si>
    <t>For Jeff Cho</t>
  </si>
  <si>
    <t>Marketing Conferences and Events</t>
  </si>
  <si>
    <t>TechZulu Sponsorship</t>
  </si>
  <si>
    <t>Leads Con</t>
  </si>
  <si>
    <t>Call Center Week</t>
  </si>
  <si>
    <t>Other Conference Opportunities</t>
  </si>
  <si>
    <t>Sales Conferences and Events</t>
  </si>
  <si>
    <t>Allstate</t>
  </si>
  <si>
    <t>Biz Cards for Allstate</t>
  </si>
  <si>
    <t>Lead Lists and Services</t>
  </si>
  <si>
    <t>MailChimp</t>
  </si>
  <si>
    <t>Benchmark</t>
  </si>
  <si>
    <t>HootSuite</t>
  </si>
  <si>
    <t>General Giveaways</t>
  </si>
  <si>
    <t>Case Study Incentive Gifts</t>
  </si>
  <si>
    <t>Business Cards</t>
  </si>
  <si>
    <t>Keywords</t>
  </si>
  <si>
    <t>Will we actually be charged for these?</t>
  </si>
  <si>
    <t>General Magazine Ad</t>
  </si>
  <si>
    <t>Fitness Ad</t>
  </si>
  <si>
    <t>Paid Media</t>
  </si>
  <si>
    <t>Paid Search (85% of Paid Media)</t>
  </si>
  <si>
    <t>See worksheet below for derivation</t>
  </si>
  <si>
    <t>Display (15% of Paid Media)</t>
  </si>
  <si>
    <t>Facebook News Feed</t>
  </si>
  <si>
    <t>For CF + Ez; new approach (news feed versus side rail ads)</t>
  </si>
  <si>
    <t>Facebook Boost Posts</t>
  </si>
  <si>
    <t>Promoting our own FB posts for visibility; these are not ads</t>
  </si>
  <si>
    <t>LinkedIn Sponsored Updates</t>
  </si>
  <si>
    <t>Sponsored news feed ads</t>
  </si>
  <si>
    <t>Agency Fees</t>
  </si>
  <si>
    <t>TSA SEM (7% of Paid Search)</t>
  </si>
  <si>
    <t>Incremental cost--NOT included in Paid Media line; see worksheet below for derivation</t>
  </si>
  <si>
    <t>TSA SEO</t>
  </si>
  <si>
    <t>Slingshot</t>
  </si>
  <si>
    <t>To be terminated at end of February</t>
  </si>
  <si>
    <t>National Promotions</t>
  </si>
  <si>
    <t>Text Link Brokers</t>
  </si>
  <si>
    <t>To be terminated at end of April</t>
  </si>
  <si>
    <t>Dotted Line Communications</t>
  </si>
  <si>
    <t>Special Projects</t>
  </si>
  <si>
    <t>Corporate Video</t>
  </si>
  <si>
    <t>Political</t>
  </si>
  <si>
    <t>Sean's banner ad costs removed from this line</t>
  </si>
  <si>
    <t>FUEL - Kuntal/Everest Project</t>
  </si>
  <si>
    <t>Includes Roave (website) costs, Defy final installment, legal fees, and communication costs</t>
  </si>
  <si>
    <t>FUEL - Girls Who Code Project</t>
  </si>
  <si>
    <t>FUEL - TBD Projects</t>
  </si>
  <si>
    <t>Food Trucks</t>
  </si>
  <si>
    <t>Product Release Marketing</t>
  </si>
  <si>
    <t>Other Special Projects</t>
  </si>
  <si>
    <t>Lighting for Recording Room</t>
  </si>
  <si>
    <t>Jeff's request for higher-quality video</t>
  </si>
  <si>
    <t>Media Spend Worksheet</t>
  </si>
  <si>
    <t>JAN</t>
  </si>
  <si>
    <t>FEB</t>
  </si>
  <si>
    <t>MAR</t>
  </si>
  <si>
    <t>APR</t>
  </si>
  <si>
    <t>MAY</t>
  </si>
  <si>
    <t>JUN</t>
  </si>
  <si>
    <t>JUL</t>
  </si>
  <si>
    <t>AUG</t>
  </si>
  <si>
    <t>SEP</t>
  </si>
  <si>
    <t>OCT</t>
  </si>
  <si>
    <t>NOV</t>
  </si>
  <si>
    <t>DEC</t>
  </si>
  <si>
    <t>Total (Friday Numbers From Ron)</t>
  </si>
  <si>
    <t>Plus $60k From March On</t>
  </si>
  <si>
    <t>TOTAL</t>
  </si>
  <si>
    <t>Paid Search (85%)</t>
  </si>
  <si>
    <t>Display (15%)</t>
  </si>
  <si>
    <t>Agency Fees (TSA) (7% of Paid Search)</t>
  </si>
  <si>
    <t>(Total Verification)</t>
  </si>
  <si>
    <t>TOTAL VERIFIED</t>
  </si>
  <si>
    <r>
      <t>Total 2012</t>
    </r>
    <r>
      <rPr>
        <b/>
        <sz val="9"/>
        <color theme="0"/>
        <rFont val="Calibri"/>
        <family val="2"/>
        <scheme val="minor"/>
      </rPr>
      <t xml:space="preserve"> </t>
    </r>
    <r>
      <rPr>
        <b/>
        <sz val="12"/>
        <color theme="0"/>
        <rFont val="Calibri"/>
        <family val="2"/>
        <scheme val="minor"/>
      </rPr>
      <t>Actual</t>
    </r>
  </si>
  <si>
    <t>day</t>
  </si>
  <si>
    <t>total days</t>
  </si>
  <si>
    <t>mtd rev</t>
  </si>
</sst>
</file>

<file path=xl/styles.xml><?xml version="1.0" encoding="utf-8"?>
<styleSheet xmlns="http://schemas.openxmlformats.org/spreadsheetml/2006/main" xmlns:mc="http://schemas.openxmlformats.org/markup-compatibility/2006" xmlns:x14ac="http://schemas.microsoft.com/office/spreadsheetml/2009/9/ac" mc:Ignorable="x14ac">
  <numFmts count="32">
    <numFmt numFmtId="5" formatCode="&quot;$&quot;#,##0_);\(&quot;$&quot;#,##0\)"/>
    <numFmt numFmtId="6" formatCode="&quot;$&quot;#,##0_);[Red]\(&quot;$&quot;#,##0\)"/>
    <numFmt numFmtId="8" formatCode="&quot;$&quot;#,##0.00_);[Red]\(&quot;$&quot;#,##0.00\)"/>
    <numFmt numFmtId="44" formatCode="_(&quot;$&quot;* #,##0.00_);_(&quot;$&quot;* \(#,##0.00\);_(&quot;$&quot;* &quot;-&quot;??_);_(@_)"/>
    <numFmt numFmtId="43" formatCode="_(* #,##0.00_);_(* \(#,##0.00\);_(* &quot;-&quot;??_);_(@_)"/>
    <numFmt numFmtId="164" formatCode="_(* #,##0_);_(* \(#,##0\);_(* &quot;-&quot;??_);_(@_)"/>
    <numFmt numFmtId="165" formatCode="0.0%"/>
    <numFmt numFmtId="166" formatCode="0_);\(0\)"/>
    <numFmt numFmtId="167" formatCode="&quot;$&quot;#,##0"/>
    <numFmt numFmtId="168" formatCode="_(* #,##0_);_(* \(#,##0\);_(* &quot;0&quot;_);_(@_)"/>
    <numFmt numFmtId="169" formatCode="_(&quot;$&quot;* #,##0_);_(&quot;$&quot;* \(#,##0\);_(&quot;$&quot;* &quot;-&quot;??_);_(@_)"/>
    <numFmt numFmtId="170" formatCode="[$-409]mmm\-yy;@"/>
    <numFmt numFmtId="171" formatCode="[$-409]mmmm\-yy;@"/>
    <numFmt numFmtId="172" formatCode="_(* #,##0.0_);_(* \(#,##0.0\);_(* &quot;-&quot;??_);_(@_)"/>
    <numFmt numFmtId="173" formatCode="_(&quot;$&quot;* #,##0_);_(&quot;$&quot;* \(#,##0\);_(&quot;$&quot;* &quot;0&quot;_);_(@_)"/>
    <numFmt numFmtId="174" formatCode="#,##0.00;\-#,##0.00"/>
    <numFmt numFmtId="175" formatCode="&quot;$&quot;#,##0,_);[Red]\(&quot;$&quot;#,##0,\)"/>
    <numFmt numFmtId="176" formatCode="&quot;$&quot;#,##0,_);\(&quot;$&quot;#,##0,\)"/>
    <numFmt numFmtId="177" formatCode="#,##0,_);[Red]\(#,##0,\)"/>
    <numFmt numFmtId="178" formatCode="0.000%"/>
    <numFmt numFmtId="179" formatCode="_(&quot;$&quot;* #,##0.000_);_(&quot;$&quot;* \(#,##0.000\);_(&quot;$&quot;* &quot;-&quot;??_);_(@_)"/>
    <numFmt numFmtId="180" formatCode="_(&quot;$&quot;* #,##0.0000_);_(&quot;$&quot;* \(#,##0.0000\);_(&quot;$&quot;* &quot;-&quot;??_);_(@_)"/>
    <numFmt numFmtId="181" formatCode="0.000"/>
    <numFmt numFmtId="182" formatCode="0.0"/>
    <numFmt numFmtId="183" formatCode="0.00000"/>
    <numFmt numFmtId="184" formatCode="#,##0.0"/>
    <numFmt numFmtId="185" formatCode="#,##0;\-#,##0"/>
    <numFmt numFmtId="186" formatCode="&quot;$&quot;#,##0,_)\k;[Red]\(&quot;$&quot;#,##0,\)\k"/>
    <numFmt numFmtId="187" formatCode="&quot;$&quot;#,##0.00"/>
    <numFmt numFmtId="188" formatCode="#,##0.000000000000"/>
    <numFmt numFmtId="189" formatCode="&quot;$&quot;#,##0.000"/>
    <numFmt numFmtId="190" formatCode="_(* #,##0.0000_);_(* \(#,##0.0000\);_(* &quot;-&quot;??_);_(@_)"/>
  </numFmts>
  <fonts count="154" x14ac:knownFonts="1">
    <font>
      <sz val="11"/>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sz val="10"/>
      <color theme="1"/>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0"/>
      <name val="Arial"/>
      <family val="2"/>
    </font>
    <font>
      <sz val="11"/>
      <color indexed="8"/>
      <name val="Calibri"/>
      <family val="2"/>
    </font>
    <font>
      <sz val="10"/>
      <color indexed="8"/>
      <name val="Arial"/>
      <family val="2"/>
    </font>
    <font>
      <sz val="8"/>
      <name val="Verdana"/>
      <family val="2"/>
    </font>
    <font>
      <b/>
      <sz val="11"/>
      <color theme="4"/>
      <name val="Calibri"/>
      <family val="2"/>
      <scheme val="minor"/>
    </font>
    <font>
      <sz val="10"/>
      <name val="Tahoma"/>
      <family val="2"/>
    </font>
    <font>
      <sz val="10"/>
      <color theme="0"/>
      <name val="Tahoma"/>
      <family val="2"/>
    </font>
    <font>
      <sz val="10"/>
      <color theme="1"/>
      <name val="Tahoma"/>
      <family val="2"/>
    </font>
    <font>
      <i/>
      <sz val="11"/>
      <color theme="1"/>
      <name val="Calibri"/>
      <family val="2"/>
      <scheme val="minor"/>
    </font>
    <font>
      <i/>
      <sz val="11"/>
      <color theme="0" tint="-0.34998626667073579"/>
      <name val="Calibri"/>
      <family val="2"/>
      <scheme val="minor"/>
    </font>
    <font>
      <b/>
      <sz val="10"/>
      <name val="Arial"/>
      <family val="2"/>
    </font>
    <font>
      <sz val="11"/>
      <name val="Calibri"/>
      <family val="2"/>
      <scheme val="minor"/>
    </font>
    <font>
      <b/>
      <sz val="11"/>
      <name val="Calibri"/>
      <family val="2"/>
      <scheme val="minor"/>
    </font>
    <font>
      <sz val="11"/>
      <color theme="0" tint="-0.14999847407452621"/>
      <name val="Calibri"/>
      <family val="2"/>
      <scheme val="minor"/>
    </font>
    <font>
      <b/>
      <i/>
      <sz val="11"/>
      <color theme="0" tint="-0.34998626667073579"/>
      <name val="Calibri"/>
      <family val="2"/>
      <scheme val="minor"/>
    </font>
    <font>
      <b/>
      <sz val="11"/>
      <color rgb="FF0000FF"/>
      <name val="Calibri"/>
      <family val="2"/>
      <scheme val="minor"/>
    </font>
    <font>
      <sz val="11"/>
      <color rgb="FF0000FF"/>
      <name val="Calibri"/>
      <family val="2"/>
      <scheme val="minor"/>
    </font>
    <font>
      <b/>
      <sz val="11"/>
      <color rgb="FF0070C0"/>
      <name val="Calibri"/>
      <family val="2"/>
      <scheme val="minor"/>
    </font>
    <font>
      <b/>
      <sz val="14"/>
      <name val="Arial"/>
      <family val="2"/>
    </font>
    <font>
      <sz val="10"/>
      <color theme="0"/>
      <name val="Arial"/>
      <family val="2"/>
    </font>
    <font>
      <b/>
      <sz val="12"/>
      <name val="Arial"/>
      <family val="2"/>
    </font>
    <font>
      <b/>
      <sz val="12"/>
      <color indexed="8"/>
      <name val="Arial"/>
      <family val="2"/>
    </font>
    <font>
      <b/>
      <sz val="10"/>
      <color indexed="8"/>
      <name val="ARIAL"/>
      <family val="2"/>
    </font>
    <font>
      <sz val="10"/>
      <color rgb="FFFF0000"/>
      <name val="Arial"/>
      <family val="2"/>
    </font>
    <font>
      <sz val="11"/>
      <color rgb="FF0070C0"/>
      <name val="Calibri"/>
      <family val="2"/>
      <scheme val="minor"/>
    </font>
    <font>
      <i/>
      <sz val="11"/>
      <color theme="0" tint="-0.499984740745262"/>
      <name val="Calibri"/>
      <family val="2"/>
      <scheme val="minor"/>
    </font>
    <font>
      <b/>
      <sz val="11"/>
      <color rgb="FFFF0000"/>
      <name val="Calibri"/>
      <family val="2"/>
      <scheme val="minor"/>
    </font>
    <font>
      <sz val="8"/>
      <color rgb="FF000000"/>
      <name val="Arial"/>
      <family val="2"/>
    </font>
    <font>
      <b/>
      <sz val="12"/>
      <color theme="1"/>
      <name val="Calibri"/>
      <family val="2"/>
      <scheme val="minor"/>
    </font>
    <font>
      <b/>
      <sz val="12"/>
      <color theme="0"/>
      <name val="Calibri"/>
      <family val="2"/>
      <scheme val="minor"/>
    </font>
    <font>
      <b/>
      <sz val="12"/>
      <color rgb="FF000000"/>
      <name val="Calibri"/>
      <family val="2"/>
      <scheme val="minor"/>
    </font>
    <font>
      <i/>
      <sz val="12"/>
      <color rgb="FF000000"/>
      <name val="Calibri"/>
      <family val="2"/>
      <scheme val="minor"/>
    </font>
    <font>
      <i/>
      <sz val="12"/>
      <color theme="1"/>
      <name val="Calibri"/>
      <family val="2"/>
      <scheme val="minor"/>
    </font>
    <font>
      <sz val="12"/>
      <color theme="1"/>
      <name val="Calibri"/>
      <family val="2"/>
      <scheme val="minor"/>
    </font>
    <font>
      <b/>
      <sz val="14"/>
      <color theme="1"/>
      <name val="Calibri"/>
      <family val="2"/>
      <scheme val="minor"/>
    </font>
    <font>
      <b/>
      <sz val="14"/>
      <name val="Calibri"/>
      <family val="2"/>
      <scheme val="minor"/>
    </font>
    <font>
      <b/>
      <sz val="14"/>
      <color rgb="FF000000"/>
      <name val="Calibri"/>
      <family val="2"/>
      <scheme val="minor"/>
    </font>
    <font>
      <sz val="9"/>
      <color indexed="81"/>
      <name val="Tahoma"/>
      <family val="2"/>
    </font>
    <font>
      <b/>
      <sz val="9"/>
      <color indexed="81"/>
      <name val="Tahoma"/>
      <family val="2"/>
    </font>
    <font>
      <sz val="11"/>
      <color rgb="FF000000"/>
      <name val="Arial"/>
      <family val="2"/>
    </font>
    <font>
      <b/>
      <sz val="9"/>
      <color theme="0"/>
      <name val="Calibri"/>
      <family val="2"/>
      <scheme val="minor"/>
    </font>
    <font>
      <b/>
      <sz val="10"/>
      <color theme="0"/>
      <name val="Calibri"/>
      <family val="2"/>
      <scheme val="minor"/>
    </font>
    <font>
      <b/>
      <sz val="8"/>
      <color rgb="FF000000"/>
      <name val="Calibri"/>
      <family val="2"/>
      <scheme val="minor"/>
    </font>
    <font>
      <sz val="36"/>
      <color theme="1"/>
      <name val="Calibri"/>
      <family val="2"/>
      <scheme val="minor"/>
    </font>
    <font>
      <sz val="11"/>
      <color theme="3" tint="0.39997558519241921"/>
      <name val="Calibri"/>
      <family val="2"/>
      <scheme val="minor"/>
    </font>
    <font>
      <sz val="11"/>
      <color theme="4"/>
      <name val="Calibri"/>
      <family val="2"/>
      <scheme val="minor"/>
    </font>
    <font>
      <sz val="10"/>
      <color theme="1"/>
      <name val="Calibri"/>
      <family val="2"/>
      <scheme val="minor"/>
    </font>
    <font>
      <sz val="10"/>
      <name val="Arial"/>
      <family val="2"/>
    </font>
    <font>
      <b/>
      <sz val="10"/>
      <color theme="0"/>
      <name val="Arial"/>
      <family val="2"/>
    </font>
    <font>
      <b/>
      <sz val="10"/>
      <color theme="1"/>
      <name val="Calibri"/>
      <family val="2"/>
      <scheme val="minor"/>
    </font>
    <font>
      <sz val="10"/>
      <name val="Arial"/>
      <family val="2"/>
    </font>
    <font>
      <sz val="10"/>
      <color rgb="FF000000"/>
      <name val="Arial"/>
      <family val="2"/>
    </font>
    <font>
      <sz val="12"/>
      <color indexed="8"/>
      <name val="Arial"/>
      <family val="2"/>
    </font>
    <font>
      <sz val="12"/>
      <color indexed="12"/>
      <name val="Arial"/>
      <family val="2"/>
    </font>
    <font>
      <sz val="11"/>
      <color indexed="8"/>
      <name val="Calibri"/>
      <family val="2"/>
      <scheme val="minor"/>
    </font>
    <font>
      <b/>
      <sz val="16"/>
      <color theme="1"/>
      <name val="Calibri"/>
      <family val="2"/>
      <scheme val="minor"/>
    </font>
    <font>
      <sz val="9"/>
      <color theme="1"/>
      <name val="Calibri"/>
      <family val="2"/>
      <scheme val="minor"/>
    </font>
    <font>
      <b/>
      <sz val="9"/>
      <color theme="1"/>
      <name val="Calibri"/>
      <family val="2"/>
      <scheme val="minor"/>
    </font>
    <font>
      <sz val="9"/>
      <name val="Calibri"/>
      <family val="2"/>
      <scheme val="minor"/>
    </font>
    <font>
      <sz val="10"/>
      <color theme="1"/>
      <name val="Calibri"/>
      <family val="2"/>
    </font>
    <font>
      <b/>
      <sz val="10"/>
      <name val="Calibri"/>
      <family val="2"/>
      <scheme val="minor"/>
    </font>
    <font>
      <b/>
      <sz val="8"/>
      <color theme="1"/>
      <name val="Calibri"/>
      <family val="2"/>
      <scheme val="minor"/>
    </font>
    <font>
      <sz val="8"/>
      <color theme="1"/>
      <name val="Calibri"/>
      <family val="2"/>
      <scheme val="minor"/>
    </font>
    <font>
      <sz val="10"/>
      <name val="Calibri"/>
      <family val="2"/>
      <scheme val="minor"/>
    </font>
    <font>
      <sz val="8"/>
      <color rgb="FF000000"/>
      <name val="Calibri"/>
      <family val="2"/>
      <scheme val="minor"/>
    </font>
    <font>
      <b/>
      <i/>
      <sz val="12"/>
      <color theme="1"/>
      <name val="Calibri"/>
      <family val="2"/>
      <scheme val="minor"/>
    </font>
    <font>
      <b/>
      <i/>
      <sz val="14"/>
      <color theme="1"/>
      <name val="Calibri"/>
      <family val="2"/>
      <scheme val="minor"/>
    </font>
    <font>
      <b/>
      <i/>
      <sz val="14"/>
      <color rgb="FF000000"/>
      <name val="Calibri"/>
      <family val="2"/>
      <scheme val="minor"/>
    </font>
    <font>
      <b/>
      <i/>
      <sz val="12"/>
      <color rgb="FF000000"/>
      <name val="Calibri"/>
      <family val="2"/>
      <scheme val="minor"/>
    </font>
    <font>
      <i/>
      <sz val="14"/>
      <color theme="1"/>
      <name val="Calibri"/>
      <family val="2"/>
      <scheme val="minor"/>
    </font>
    <font>
      <b/>
      <sz val="10"/>
      <color rgb="FF002060"/>
      <name val="Calibri"/>
      <family val="2"/>
      <scheme val="minor"/>
    </font>
    <font>
      <sz val="10"/>
      <color rgb="FF002060"/>
      <name val="Calibri"/>
      <family val="2"/>
      <scheme val="minor"/>
    </font>
    <font>
      <i/>
      <sz val="10"/>
      <color rgb="FF002060"/>
      <name val="Calibri"/>
      <family val="2"/>
      <scheme val="minor"/>
    </font>
    <font>
      <i/>
      <sz val="10"/>
      <color theme="1"/>
      <name val="Calibri"/>
      <family val="2"/>
      <scheme val="minor"/>
    </font>
    <font>
      <b/>
      <sz val="16"/>
      <color theme="0"/>
      <name val="Calibri"/>
      <family val="2"/>
      <scheme val="minor"/>
    </font>
    <font>
      <sz val="16"/>
      <color theme="1"/>
      <name val="Calibri"/>
      <family val="2"/>
      <scheme val="minor"/>
    </font>
    <font>
      <b/>
      <sz val="14"/>
      <color theme="0"/>
      <name val="Calibri"/>
      <family val="2"/>
      <scheme val="minor"/>
    </font>
    <font>
      <b/>
      <i/>
      <sz val="11"/>
      <color theme="1"/>
      <name val="Calibri"/>
      <family val="2"/>
      <scheme val="minor"/>
    </font>
    <font>
      <b/>
      <sz val="22"/>
      <color theme="0"/>
      <name val="Calibri"/>
      <family val="2"/>
      <scheme val="minor"/>
    </font>
    <font>
      <b/>
      <sz val="14"/>
      <color theme="0" tint="-0.499984740745262"/>
      <name val="Calibri"/>
      <family val="2"/>
      <scheme val="minor"/>
    </font>
    <font>
      <i/>
      <sz val="12"/>
      <color theme="0" tint="-0.499984740745262"/>
      <name val="Calibri"/>
      <family val="2"/>
      <scheme val="minor"/>
    </font>
    <font>
      <i/>
      <sz val="14"/>
      <color theme="0" tint="-0.499984740745262"/>
      <name val="Calibri"/>
      <family val="2"/>
      <scheme val="minor"/>
    </font>
    <font>
      <b/>
      <sz val="9"/>
      <color rgb="FF000000"/>
      <name val="Tahoma"/>
      <family val="2"/>
    </font>
    <font>
      <sz val="9"/>
      <color rgb="FF000000"/>
      <name val="Tahoma"/>
      <family val="2"/>
    </font>
    <font>
      <i/>
      <sz val="9"/>
      <name val="Arial"/>
      <family val="2"/>
    </font>
    <font>
      <b/>
      <sz val="10"/>
      <color rgb="FF000000"/>
      <name val="Arial"/>
      <family val="2"/>
    </font>
    <font>
      <sz val="10"/>
      <color rgb="FF00B050"/>
      <name val="Arial"/>
      <family val="2"/>
    </font>
    <font>
      <b/>
      <vertAlign val="superscript"/>
      <sz val="12"/>
      <color theme="1"/>
      <name val="Calibri"/>
      <family val="2"/>
      <scheme val="minor"/>
    </font>
    <font>
      <sz val="11"/>
      <color rgb="FF333333"/>
      <name val="Arial"/>
      <family val="2"/>
    </font>
    <font>
      <b/>
      <sz val="12"/>
      <name val="Calibri"/>
      <family val="2"/>
      <scheme val="minor"/>
    </font>
    <font>
      <b/>
      <sz val="12"/>
      <color rgb="FFFF0000"/>
      <name val="Calibri"/>
      <family val="2"/>
      <scheme val="minor"/>
    </font>
    <font>
      <i/>
      <sz val="8"/>
      <color theme="1"/>
      <name val="Calibri"/>
      <family val="2"/>
      <scheme val="minor"/>
    </font>
    <font>
      <b/>
      <vertAlign val="superscript"/>
      <sz val="16"/>
      <color theme="1"/>
      <name val="Calibri"/>
      <family val="2"/>
      <scheme val="minor"/>
    </font>
    <font>
      <sz val="10"/>
      <color rgb="FFFF0000"/>
      <name val="Calibri"/>
      <family val="2"/>
      <scheme val="minor"/>
    </font>
    <font>
      <b/>
      <sz val="10"/>
      <color rgb="FF000000"/>
      <name val="Calibri"/>
      <family val="2"/>
      <scheme val="minor"/>
    </font>
    <font>
      <b/>
      <u/>
      <sz val="10"/>
      <color rgb="FF000000"/>
      <name val="Calibri"/>
      <family val="2"/>
      <scheme val="minor"/>
    </font>
    <font>
      <i/>
      <sz val="10"/>
      <color rgb="FF000000"/>
      <name val="Calibri"/>
      <family val="2"/>
      <scheme val="minor"/>
    </font>
    <font>
      <b/>
      <sz val="10"/>
      <color rgb="FFFF0000"/>
      <name val="Calibri"/>
      <family val="2"/>
      <scheme val="minor"/>
    </font>
    <font>
      <b/>
      <i/>
      <u/>
      <sz val="10"/>
      <color theme="1"/>
      <name val="Calibri"/>
      <family val="2"/>
      <scheme val="minor"/>
    </font>
    <font>
      <b/>
      <u/>
      <sz val="10"/>
      <color theme="1"/>
      <name val="Calibri"/>
      <family val="2"/>
      <scheme val="minor"/>
    </font>
    <font>
      <b/>
      <i/>
      <sz val="10"/>
      <color theme="1"/>
      <name val="Calibri"/>
      <family val="2"/>
      <scheme val="minor"/>
    </font>
    <font>
      <i/>
      <sz val="10"/>
      <name val="Calibri"/>
      <family val="2"/>
      <scheme val="minor"/>
    </font>
    <font>
      <b/>
      <i/>
      <sz val="10"/>
      <name val="Calibri"/>
      <family val="2"/>
      <scheme val="minor"/>
    </font>
    <font>
      <sz val="10"/>
      <color rgb="FF000000"/>
      <name val="Calibri"/>
      <family val="2"/>
      <scheme val="minor"/>
    </font>
    <font>
      <sz val="8"/>
      <name val="Calibri"/>
      <family val="2"/>
      <scheme val="minor"/>
    </font>
    <font>
      <sz val="8"/>
      <color rgb="FFFF0000"/>
      <name val="Calibri"/>
      <family val="2"/>
      <scheme val="minor"/>
    </font>
    <font>
      <b/>
      <sz val="8"/>
      <color rgb="FFFF0000"/>
      <name val="Calibri"/>
      <family val="2"/>
      <scheme val="minor"/>
    </font>
    <font>
      <b/>
      <u/>
      <sz val="10"/>
      <color rgb="FFFF0000"/>
      <name val="Calibri"/>
      <family val="2"/>
      <scheme val="minor"/>
    </font>
    <font>
      <i/>
      <sz val="11"/>
      <color rgb="FFFF0000"/>
      <name val="Calibri"/>
      <family val="2"/>
      <scheme val="minor"/>
    </font>
    <font>
      <b/>
      <u/>
      <sz val="11"/>
      <color theme="1"/>
      <name val="Calibri"/>
      <family val="2"/>
      <scheme val="minor"/>
    </font>
    <font>
      <b/>
      <i/>
      <sz val="10"/>
      <color rgb="FF000000"/>
      <name val="Calibri"/>
      <family val="2"/>
      <scheme val="minor"/>
    </font>
    <font>
      <u/>
      <sz val="10"/>
      <color theme="1"/>
      <name val="Calibri"/>
      <family val="2"/>
      <scheme val="minor"/>
    </font>
    <font>
      <sz val="11"/>
      <color rgb="FF000000"/>
      <name val="Calibri"/>
      <family val="2"/>
      <scheme val="minor"/>
    </font>
    <font>
      <sz val="11"/>
      <color indexed="12"/>
      <name val="Calibri"/>
      <family val="2"/>
      <scheme val="minor"/>
    </font>
    <font>
      <b/>
      <sz val="11"/>
      <color rgb="FF000000"/>
      <name val="Calibri"/>
      <family val="2"/>
      <scheme val="minor"/>
    </font>
    <font>
      <b/>
      <sz val="11"/>
      <color rgb="FF000000"/>
      <name val="Arial"/>
      <family val="2"/>
    </font>
    <font>
      <i/>
      <sz val="8"/>
      <color rgb="FFFF0000"/>
      <name val="Calibri"/>
      <family val="2"/>
      <scheme val="minor"/>
    </font>
    <font>
      <b/>
      <sz val="8"/>
      <color rgb="FF000000"/>
      <name val="Arial"/>
      <family val="2"/>
    </font>
    <font>
      <b/>
      <sz val="12"/>
      <color rgb="FF0070C0"/>
      <name val="Calibri"/>
      <family val="2"/>
      <scheme val="minor"/>
    </font>
    <font>
      <i/>
      <sz val="12"/>
      <name val="Calibri"/>
      <family val="2"/>
      <scheme val="minor"/>
    </font>
    <font>
      <i/>
      <sz val="12"/>
      <color theme="0"/>
      <name val="Calibri"/>
      <family val="2"/>
      <scheme val="minor"/>
    </font>
    <font>
      <i/>
      <sz val="11"/>
      <name val="Calibri"/>
      <family val="2"/>
      <scheme val="minor"/>
    </font>
    <font>
      <i/>
      <sz val="10"/>
      <color rgb="FFFF0000"/>
      <name val="Calibri"/>
      <scheme val="minor"/>
    </font>
    <font>
      <b/>
      <i/>
      <sz val="11"/>
      <color theme="1"/>
      <name val="Calibri"/>
      <scheme val="minor"/>
    </font>
    <font>
      <i/>
      <sz val="10"/>
      <name val="Calibri"/>
      <scheme val="minor"/>
    </font>
    <font>
      <i/>
      <sz val="11"/>
      <color theme="1"/>
      <name val="Calibri"/>
      <scheme val="minor"/>
    </font>
    <font>
      <b/>
      <u/>
      <sz val="11"/>
      <color rgb="FF000090"/>
      <name val="Calibri"/>
      <scheme val="minor"/>
    </font>
    <font>
      <sz val="11"/>
      <color rgb="FF000090"/>
      <name val="Calibri"/>
      <scheme val="minor"/>
    </font>
    <font>
      <sz val="11"/>
      <color rgb="FF0000FF"/>
      <name val="Calibri"/>
      <scheme val="minor"/>
    </font>
    <font>
      <b/>
      <sz val="11"/>
      <color rgb="FF000090"/>
      <name val="Calibri"/>
      <scheme val="minor"/>
    </font>
    <font>
      <sz val="9"/>
      <color indexed="81"/>
      <name val="Tahoma"/>
      <charset val="1"/>
    </font>
    <font>
      <b/>
      <sz val="9"/>
      <color indexed="81"/>
      <name val="Tahoma"/>
      <charset val="1"/>
    </font>
  </fonts>
  <fills count="69">
    <fill>
      <patternFill patternType="none"/>
    </fill>
    <fill>
      <patternFill patternType="gray125"/>
    </fill>
    <fill>
      <patternFill patternType="solid">
        <fgColor theme="6" tint="0.39997558519241921"/>
        <bgColor indexed="64"/>
      </patternFill>
    </fill>
    <fill>
      <patternFill patternType="solid">
        <fgColor theme="0" tint="-0.249977111117893"/>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59999389629810485"/>
        <bgColor indexed="64"/>
      </patternFill>
    </fill>
    <fill>
      <patternFill patternType="solid">
        <fgColor rgb="FFFFCC99"/>
        <bgColor rgb="FF000000"/>
      </patternFill>
    </fill>
    <fill>
      <patternFill patternType="solid">
        <fgColor rgb="FFFFFF99"/>
        <bgColor rgb="FF000000"/>
      </patternFill>
    </fill>
    <fill>
      <patternFill patternType="gray0625">
        <fgColor rgb="FF000000"/>
        <bgColor rgb="FFFFFFCC"/>
      </patternFill>
    </fill>
    <fill>
      <patternFill patternType="solid">
        <fgColor rgb="FF000080"/>
        <bgColor indexed="64"/>
      </patternFill>
    </fill>
    <fill>
      <patternFill patternType="solid">
        <fgColor rgb="FF800000"/>
        <bgColor indexed="64"/>
      </patternFill>
    </fill>
    <fill>
      <patternFill patternType="solid">
        <fgColor rgb="FFD5DFE7"/>
        <bgColor indexed="64"/>
      </patternFill>
    </fill>
    <fill>
      <patternFill patternType="solid">
        <fgColor indexed="63"/>
        <bgColor indexed="64"/>
      </patternFill>
    </fill>
    <fill>
      <patternFill patternType="solid">
        <fgColor indexed="4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theme="4" tint="0.79998168889431442"/>
        <bgColor theme="4" tint="0.79998168889431442"/>
      </patternFill>
    </fill>
    <fill>
      <patternFill patternType="solid">
        <fgColor indexed="22"/>
        <bgColor indexed="64"/>
      </patternFill>
    </fill>
    <fill>
      <patternFill patternType="solid">
        <fgColor rgb="FF0070C0"/>
        <bgColor indexed="64"/>
      </patternFill>
    </fill>
    <fill>
      <patternFill patternType="solid">
        <fgColor theme="0" tint="-0.34998626667073579"/>
        <bgColor indexed="64"/>
      </patternFill>
    </fill>
    <fill>
      <patternFill patternType="solid">
        <fgColor theme="9"/>
        <bgColor indexed="64"/>
      </patternFill>
    </fill>
    <fill>
      <patternFill patternType="solid">
        <fgColor indexed="65"/>
        <bgColor indexed="64"/>
      </patternFill>
    </fill>
    <fill>
      <patternFill patternType="solid">
        <fgColor theme="8"/>
        <bgColor indexed="64"/>
      </patternFill>
    </fill>
    <fill>
      <patternFill patternType="solid">
        <fgColor theme="2" tint="-0.249977111117893"/>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6"/>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0"/>
        <bgColor indexed="64"/>
      </patternFill>
    </fill>
    <fill>
      <patternFill patternType="solid">
        <fgColor theme="1" tint="0.34998626667073579"/>
        <bgColor indexed="64"/>
      </patternFill>
    </fill>
    <fill>
      <patternFill patternType="solid">
        <fgColor theme="0" tint="-0.499984740745262"/>
        <bgColor indexed="64"/>
      </patternFill>
    </fill>
    <fill>
      <patternFill patternType="solid">
        <fgColor theme="9"/>
        <bgColor theme="5"/>
      </patternFill>
    </fill>
    <fill>
      <patternFill patternType="solid">
        <fgColor theme="1"/>
        <bgColor indexed="64"/>
      </patternFill>
    </fill>
    <fill>
      <patternFill patternType="solid">
        <fgColor theme="0" tint="-0.249977111117893"/>
        <bgColor theme="4" tint="0.79998168889431442"/>
      </patternFill>
    </fill>
  </fills>
  <borders count="94">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indexed="64"/>
      </bottom>
      <diagonal/>
    </border>
    <border>
      <left style="thin">
        <color indexed="64"/>
      </left>
      <right/>
      <top/>
      <bottom/>
      <diagonal/>
    </border>
    <border>
      <left/>
      <right/>
      <top style="thin">
        <color indexed="64"/>
      </top>
      <bottom style="double">
        <color indexed="64"/>
      </bottom>
      <diagonal/>
    </border>
    <border>
      <left/>
      <right/>
      <top style="thin">
        <color indexed="64"/>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right/>
      <top style="thin">
        <color indexed="64"/>
      </top>
      <bottom style="medium">
        <color indexed="64"/>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theme="4" tint="0.39997558519241921"/>
      </left>
      <right/>
      <top style="thin">
        <color theme="4" tint="0.39997558519241921"/>
      </top>
      <bottom style="thin">
        <color theme="4" tint="0.39997558519241921"/>
      </bottom>
      <diagonal/>
    </border>
    <border>
      <left style="medium">
        <color indexed="64"/>
      </left>
      <right style="medium">
        <color indexed="64"/>
      </right>
      <top style="medium">
        <color indexed="64"/>
      </top>
      <bottom style="thin">
        <color theme="4" tint="0.39997558519241921"/>
      </bottom>
      <diagonal/>
    </border>
    <border>
      <left/>
      <right/>
      <top style="thin">
        <color theme="4" tint="0.39997558519241921"/>
      </top>
      <bottom style="thin">
        <color theme="4" tint="0.39997558519241921"/>
      </bottom>
      <diagonal/>
    </border>
    <border>
      <left style="thin">
        <color theme="4" tint="0.39997558519241921"/>
      </left>
      <right/>
      <top/>
      <bottom style="thin">
        <color theme="4" tint="0.39997558519241921"/>
      </bottom>
      <diagonal/>
    </border>
    <border>
      <left style="medium">
        <color indexed="64"/>
      </left>
      <right style="medium">
        <color indexed="64"/>
      </right>
      <top/>
      <bottom style="thin">
        <color theme="4" tint="0.39997558519241921"/>
      </bottom>
      <diagonal/>
    </border>
    <border>
      <left/>
      <right/>
      <top/>
      <bottom style="thin">
        <color theme="4" tint="0.39997558519241921"/>
      </bottom>
      <diagonal/>
    </border>
    <border>
      <left/>
      <right style="medium">
        <color indexed="64"/>
      </right>
      <top/>
      <bottom style="medium">
        <color indexed="64"/>
      </bottom>
      <diagonal/>
    </border>
    <border>
      <left style="medium">
        <color indexed="64"/>
      </left>
      <right style="medium">
        <color indexed="64"/>
      </right>
      <top/>
      <bottom/>
      <diagonal/>
    </border>
    <border>
      <left style="thin">
        <color indexed="22"/>
      </left>
      <right style="thin">
        <color indexed="22"/>
      </right>
      <top style="thin">
        <color indexed="22"/>
      </top>
      <bottom style="thin">
        <color indexed="22"/>
      </bottom>
      <diagonal/>
    </border>
    <border>
      <left/>
      <right/>
      <top style="thin">
        <color theme="4" tint="0.39997558519241921"/>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theme="4" tint="0.39997558519241921"/>
      </bottom>
      <diagonal/>
    </border>
    <border>
      <left/>
      <right/>
      <top style="medium">
        <color indexed="64"/>
      </top>
      <bottom style="thin">
        <color theme="4" tint="0.39997558519241921"/>
      </bottom>
      <diagonal/>
    </border>
    <border>
      <left/>
      <right style="medium">
        <color indexed="64"/>
      </right>
      <top style="medium">
        <color indexed="64"/>
      </top>
      <bottom style="thin">
        <color theme="4" tint="0.39997558519241921"/>
      </bottom>
      <diagonal/>
    </border>
    <border>
      <left/>
      <right style="thin">
        <color indexed="64"/>
      </right>
      <top style="thin">
        <color indexed="64"/>
      </top>
      <bottom/>
      <diagonal/>
    </border>
    <border>
      <left/>
      <right style="thin">
        <color indexed="64"/>
      </right>
      <top/>
      <bottom/>
      <diagonal/>
    </border>
    <border>
      <left style="thick">
        <color indexed="64"/>
      </left>
      <right/>
      <top/>
      <bottom/>
      <diagonal/>
    </border>
    <border>
      <left style="thin">
        <color indexed="64"/>
      </left>
      <right style="thick">
        <color indexed="64"/>
      </right>
      <top/>
      <bottom/>
      <diagonal/>
    </border>
    <border>
      <left style="thin">
        <color theme="4" tint="0.39997558519241921"/>
      </left>
      <right/>
      <top/>
      <bottom/>
      <diagonal/>
    </border>
    <border>
      <left style="thin">
        <color theme="4" tint="0.39997558519241921"/>
      </left>
      <right/>
      <top style="thin">
        <color theme="4" tint="0.39997558519241921"/>
      </top>
      <bottom style="medium">
        <color indexed="64"/>
      </bottom>
      <diagonal/>
    </border>
    <border>
      <left style="thin">
        <color theme="4" tint="0.39997558519241921"/>
      </left>
      <right/>
      <top/>
      <bottom style="double">
        <color indexed="64"/>
      </bottom>
      <diagonal/>
    </border>
    <border>
      <left/>
      <right/>
      <top style="thin">
        <color theme="4" tint="0.39997558519241921"/>
      </top>
      <bottom style="medium">
        <color indexed="64"/>
      </bottom>
      <diagonal/>
    </border>
    <border>
      <left style="thin">
        <color theme="4" tint="0.39997558519241921"/>
      </left>
      <right/>
      <top/>
      <bottom style="medium">
        <color indexed="64"/>
      </bottom>
      <diagonal/>
    </border>
    <border>
      <left/>
      <right style="medium">
        <color indexed="64"/>
      </right>
      <top/>
      <bottom style="thin">
        <color theme="4" tint="0.39997558519241921"/>
      </bottom>
      <diagonal/>
    </border>
    <border>
      <left/>
      <right style="medium">
        <color indexed="64"/>
      </right>
      <top style="thin">
        <color theme="4" tint="0.39997558519241921"/>
      </top>
      <bottom style="thin">
        <color theme="4" tint="0.39994506668294322"/>
      </bottom>
      <diagonal/>
    </border>
    <border>
      <left style="medium">
        <color indexed="64"/>
      </left>
      <right style="medium">
        <color indexed="64"/>
      </right>
      <top style="thin">
        <color theme="4" tint="0.39997558519241921"/>
      </top>
      <bottom style="thin">
        <color theme="4" tint="0.39994506668294322"/>
      </bottom>
      <diagonal/>
    </border>
    <border>
      <left style="medium">
        <color indexed="64"/>
      </left>
      <right style="medium">
        <color indexed="64"/>
      </right>
      <top style="thin">
        <color theme="4" tint="0.39997558519241921"/>
      </top>
      <bottom style="medium">
        <color theme="4" tint="0.79998168889431442"/>
      </bottom>
      <diagonal/>
    </border>
    <border>
      <left/>
      <right/>
      <top style="thin">
        <color theme="4" tint="0.39997558519241921"/>
      </top>
      <bottom style="thin">
        <color theme="4" tint="0.39994506668294322"/>
      </bottom>
      <diagonal/>
    </border>
    <border>
      <left/>
      <right/>
      <top style="thin">
        <color theme="4" tint="0.39997558519241921"/>
      </top>
      <bottom style="double">
        <color theme="1"/>
      </bottom>
      <diagonal/>
    </border>
    <border>
      <left/>
      <right style="medium">
        <color indexed="64"/>
      </right>
      <top/>
      <bottom style="double">
        <color indexed="64"/>
      </bottom>
      <diagonal/>
    </border>
    <border>
      <left style="medium">
        <color indexed="64"/>
      </left>
      <right style="medium">
        <color indexed="64"/>
      </right>
      <top/>
      <bottom style="double">
        <color indexed="64"/>
      </bottom>
      <diagonal/>
    </border>
    <border>
      <left/>
      <right/>
      <top style="double">
        <color theme="1"/>
      </top>
      <bottom style="thin">
        <color theme="4" tint="0.39994506668294322"/>
      </bottom>
      <diagonal/>
    </border>
    <border>
      <left style="thin">
        <color theme="4" tint="0.39994506668294322"/>
      </left>
      <right style="medium">
        <color indexed="64"/>
      </right>
      <top style="thin">
        <color theme="4" tint="0.39997558519241921"/>
      </top>
      <bottom style="thin">
        <color theme="4" tint="0.39994506668294322"/>
      </bottom>
      <diagonal/>
    </border>
    <border>
      <left style="thin">
        <color theme="4" tint="0.39994506668294322"/>
      </left>
      <right style="medium">
        <color indexed="64"/>
      </right>
      <top style="thin">
        <color theme="4" tint="0.39994506668294322"/>
      </top>
      <bottom style="thin">
        <color theme="4" tint="0.39991454817346722"/>
      </bottom>
      <diagonal/>
    </border>
    <border>
      <left style="medium">
        <color indexed="64"/>
      </left>
      <right style="medium">
        <color indexed="64"/>
      </right>
      <top style="thin">
        <color theme="4" tint="0.39994506668294322"/>
      </top>
      <bottom style="thin">
        <color theme="4" tint="0.39991454817346722"/>
      </bottom>
      <diagonal/>
    </border>
    <border>
      <left style="thin">
        <color indexed="64"/>
      </left>
      <right/>
      <top/>
      <bottom style="thin">
        <color indexed="64"/>
      </bottom>
      <diagonal/>
    </border>
    <border>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bottom style="thin">
        <color theme="0"/>
      </bottom>
      <diagonal/>
    </border>
    <border>
      <left style="thin">
        <color theme="4" tint="0.39994506668294322"/>
      </left>
      <right/>
      <top style="thin">
        <color theme="4" tint="0.39994506668294322"/>
      </top>
      <bottom style="thin">
        <color theme="4" tint="0.39997558519241921"/>
      </bottom>
      <diagonal/>
    </border>
    <border>
      <left/>
      <right/>
      <top style="thin">
        <color theme="4" tint="0.39994506668294322"/>
      </top>
      <bottom style="thin">
        <color theme="4" tint="0.39997558519241921"/>
      </bottom>
      <diagonal/>
    </border>
    <border>
      <left/>
      <right style="medium">
        <color indexed="64"/>
      </right>
      <top style="thin">
        <color theme="4" tint="0.39994506668294322"/>
      </top>
      <bottom style="thin">
        <color theme="4" tint="0.39997558519241921"/>
      </bottom>
      <diagonal/>
    </border>
    <border>
      <left style="medium">
        <color indexed="64"/>
      </left>
      <right style="medium">
        <color indexed="64"/>
      </right>
      <top style="thin">
        <color theme="4" tint="0.39994506668294322"/>
      </top>
      <bottom style="thin">
        <color theme="4" tint="0.39997558519241921"/>
      </bottom>
      <diagonal/>
    </border>
    <border>
      <left style="medium">
        <color indexed="64"/>
      </left>
      <right style="thin">
        <color theme="4" tint="0.39994506668294322"/>
      </right>
      <top style="thin">
        <color theme="4" tint="0.39994506668294322"/>
      </top>
      <bottom style="thin">
        <color theme="4" tint="0.39997558519241921"/>
      </bottom>
      <diagonal/>
    </border>
    <border>
      <left style="thin">
        <color theme="4" tint="0.39994506668294322"/>
      </left>
      <right/>
      <top/>
      <bottom style="thin">
        <color theme="4" tint="0.39997558519241921"/>
      </bottom>
      <diagonal/>
    </border>
    <border>
      <left style="medium">
        <color indexed="64"/>
      </left>
      <right style="thin">
        <color theme="4" tint="0.39994506668294322"/>
      </right>
      <top style="thin">
        <color theme="4" tint="0.39997558519241921"/>
      </top>
      <bottom style="thin">
        <color theme="4" tint="0.39994506668294322"/>
      </bottom>
      <diagonal/>
    </border>
    <border>
      <left/>
      <right style="thin">
        <color theme="4" tint="0.39994506668294322"/>
      </right>
      <top style="thin">
        <color theme="4" tint="0.39997558519241921"/>
      </top>
      <bottom style="thin">
        <color theme="4" tint="0.39994506668294322"/>
      </bottom>
      <diagonal/>
    </border>
    <border>
      <left style="medium">
        <color indexed="64"/>
      </left>
      <right style="thin">
        <color theme="4" tint="0.39994506668294322"/>
      </right>
      <top/>
      <bottom style="thin">
        <color theme="4" tint="0.39997558519241921"/>
      </bottom>
      <diagonal/>
    </border>
    <border>
      <left style="medium">
        <color indexed="64"/>
      </left>
      <right style="thin">
        <color theme="4" tint="0.39994506668294322"/>
      </right>
      <top style="thin">
        <color theme="4" tint="0.39994506668294322"/>
      </top>
      <bottom style="thin">
        <color theme="4" tint="0.39991454817346722"/>
      </bottom>
      <diagonal/>
    </border>
    <border>
      <left style="medium">
        <color indexed="64"/>
      </left>
      <right style="thin">
        <color theme="4" tint="0.39994506668294322"/>
      </right>
      <top style="thin">
        <color theme="4" tint="0.39997558519241921"/>
      </top>
      <bottom style="medium">
        <color theme="4" tint="0.79998168889431442"/>
      </bottom>
      <diagonal/>
    </border>
    <border>
      <left style="thin">
        <color theme="4" tint="0.39994506668294322"/>
      </left>
      <right/>
      <top style="thin">
        <color theme="4" tint="0.39997558519241921"/>
      </top>
      <bottom style="double">
        <color theme="1"/>
      </bottom>
      <diagonal/>
    </border>
    <border>
      <left style="medium">
        <color indexed="64"/>
      </left>
      <right style="thin">
        <color theme="4" tint="0.39994506668294322"/>
      </right>
      <top/>
      <bottom style="double">
        <color indexed="64"/>
      </bottom>
      <diagonal/>
    </border>
    <border>
      <left style="thin">
        <color theme="4" tint="0.39994506668294322"/>
      </left>
      <right/>
      <top style="double">
        <color theme="1"/>
      </top>
      <bottom style="thin">
        <color theme="4" tint="0.39994506668294322"/>
      </bottom>
      <diagonal/>
    </border>
    <border>
      <left style="medium">
        <color indexed="64"/>
      </left>
      <right style="thin">
        <color theme="4" tint="0.39994506668294322"/>
      </right>
      <top/>
      <bottom/>
      <diagonal/>
    </border>
    <border>
      <left style="thin">
        <color theme="4" tint="0.39994506668294322"/>
      </left>
      <right/>
      <top/>
      <bottom style="thin">
        <color theme="4" tint="0.39994506668294322"/>
      </bottom>
      <diagonal/>
    </border>
    <border>
      <left/>
      <right/>
      <top/>
      <bottom style="thin">
        <color theme="4" tint="0.39994506668294322"/>
      </bottom>
      <diagonal/>
    </border>
    <border>
      <left/>
      <right style="medium">
        <color indexed="64"/>
      </right>
      <top/>
      <bottom style="thin">
        <color theme="4" tint="0.39994506668294322"/>
      </bottom>
      <diagonal/>
    </border>
    <border>
      <left style="medium">
        <color indexed="64"/>
      </left>
      <right style="medium">
        <color indexed="64"/>
      </right>
      <top/>
      <bottom style="thin">
        <color theme="4" tint="0.39994506668294322"/>
      </bottom>
      <diagonal/>
    </border>
    <border>
      <left style="medium">
        <color indexed="64"/>
      </left>
      <right style="thin">
        <color theme="4" tint="0.39994506668294322"/>
      </right>
      <top/>
      <bottom style="thin">
        <color theme="4" tint="0.39994506668294322"/>
      </bottom>
      <diagonal/>
    </border>
    <border>
      <left style="thin">
        <color theme="4" tint="0.39994506668294322"/>
      </left>
      <right/>
      <top style="thin">
        <color theme="4" tint="0.39997558519241921"/>
      </top>
      <bottom style="thin">
        <color theme="4" tint="0.39991454817346722"/>
      </bottom>
      <diagonal/>
    </border>
    <border>
      <left/>
      <right/>
      <top style="thin">
        <color theme="4" tint="0.39997558519241921"/>
      </top>
      <bottom style="thin">
        <color theme="4" tint="0.39991454817346722"/>
      </bottom>
      <diagonal/>
    </border>
    <border>
      <left/>
      <right style="medium">
        <color indexed="64"/>
      </right>
      <top style="thin">
        <color theme="4" tint="0.39997558519241921"/>
      </top>
      <bottom style="thin">
        <color theme="4" tint="0.39991454817346722"/>
      </bottom>
      <diagonal/>
    </border>
    <border>
      <left style="medium">
        <color indexed="64"/>
      </left>
      <right style="medium">
        <color indexed="64"/>
      </right>
      <top style="thin">
        <color theme="4" tint="0.39997558519241921"/>
      </top>
      <bottom style="thin">
        <color theme="4" tint="0.39991454817346722"/>
      </bottom>
      <diagonal/>
    </border>
    <border>
      <left/>
      <right/>
      <top style="thin">
        <color auto="1"/>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12651">
    <xf numFmtId="0" fontId="0" fillId="0" borderId="0"/>
    <xf numFmtId="43" fontId="5" fillId="0" borderId="0" applyFont="0" applyFill="0" applyBorder="0" applyAlignment="0" applyProtection="0"/>
    <xf numFmtId="9" fontId="5" fillId="0" borderId="0" applyFont="0" applyFill="0" applyBorder="0" applyAlignment="0" applyProtection="0"/>
    <xf numFmtId="0" fontId="8" fillId="0" borderId="0" applyNumberFormat="0" applyFill="0" applyBorder="0" applyAlignment="0" applyProtection="0"/>
    <xf numFmtId="0" fontId="9" fillId="0" borderId="4" applyNumberFormat="0" applyFill="0" applyAlignment="0" applyProtection="0"/>
    <xf numFmtId="0" fontId="10" fillId="0" borderId="5" applyNumberFormat="0" applyFill="0" applyAlignment="0" applyProtection="0"/>
    <xf numFmtId="0" fontId="11" fillId="0" borderId="6" applyNumberFormat="0" applyFill="0" applyAlignment="0" applyProtection="0"/>
    <xf numFmtId="0" fontId="11" fillId="0" borderId="0" applyNumberFormat="0" applyFill="0" applyBorder="0" applyAlignment="0" applyProtection="0"/>
    <xf numFmtId="0" fontId="12" fillId="6" borderId="0" applyNumberFormat="0" applyBorder="0" applyAlignment="0" applyProtection="0"/>
    <xf numFmtId="0" fontId="13" fillId="7" borderId="0" applyNumberFormat="0" applyBorder="0" applyAlignment="0" applyProtection="0"/>
    <xf numFmtId="0" fontId="14" fillId="8" borderId="0" applyNumberFormat="0" applyBorder="0" applyAlignment="0" applyProtection="0"/>
    <xf numFmtId="0" fontId="15" fillId="9" borderId="7" applyNumberFormat="0" applyAlignment="0" applyProtection="0"/>
    <xf numFmtId="0" fontId="16" fillId="10" borderId="8" applyNumberFormat="0" applyAlignment="0" applyProtection="0"/>
    <xf numFmtId="0" fontId="17" fillId="10" borderId="7" applyNumberFormat="0" applyAlignment="0" applyProtection="0"/>
    <xf numFmtId="0" fontId="18" fillId="0" borderId="9" applyNumberFormat="0" applyFill="0" applyAlignment="0" applyProtection="0"/>
    <xf numFmtId="0" fontId="19" fillId="11" borderId="10" applyNumberFormat="0" applyAlignment="0" applyProtection="0"/>
    <xf numFmtId="0" fontId="20" fillId="0" borderId="0" applyNumberFormat="0" applyFill="0" applyBorder="0" applyAlignment="0" applyProtection="0"/>
    <xf numFmtId="0" fontId="5" fillId="12" borderId="11" applyNumberFormat="0" applyFont="0" applyAlignment="0" applyProtection="0"/>
    <xf numFmtId="0" fontId="21" fillId="0" borderId="0" applyNumberFormat="0" applyFill="0" applyBorder="0" applyAlignment="0" applyProtection="0"/>
    <xf numFmtId="0" fontId="4" fillId="0" borderId="12" applyNumberFormat="0" applyFill="0" applyAlignment="0" applyProtection="0"/>
    <xf numFmtId="0" fontId="6"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6" fillId="28" borderId="0" applyNumberFormat="0" applyBorder="0" applyAlignment="0" applyProtection="0"/>
    <xf numFmtId="0" fontId="6"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6" fillId="32" borderId="0" applyNumberFormat="0" applyBorder="0" applyAlignment="0" applyProtection="0"/>
    <xf numFmtId="0" fontId="6"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6" fillId="36" borderId="0" applyNumberFormat="0" applyBorder="0" applyAlignment="0" applyProtection="0"/>
    <xf numFmtId="0" fontId="22" fillId="0" borderId="0"/>
    <xf numFmtId="9" fontId="22" fillId="0" borderId="0" applyFont="0" applyFill="0" applyBorder="0" applyAlignment="0" applyProtection="0"/>
    <xf numFmtId="0" fontId="5" fillId="38" borderId="0" applyNumberFormat="0" applyFont="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0" fontId="5" fillId="0" borderId="0" applyNumberFormat="0" applyFont="0" applyFill="0" applyBorder="0" applyAlignment="0" applyProtection="0"/>
    <xf numFmtId="0" fontId="5" fillId="39" borderId="0" applyNumberFormat="0" applyFont="0" applyBorder="0" applyAlignment="0" applyProtection="0"/>
    <xf numFmtId="0" fontId="5" fillId="40" borderId="0" applyNumberFormat="0" applyFont="0" applyBorder="0" applyAlignment="0" applyProtection="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9" fontId="23" fillId="0" borderId="0" applyFont="0" applyFill="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8" borderId="0" applyNumberFormat="0" applyFont="0" applyBorder="0" applyAlignment="0" applyProtection="0"/>
    <xf numFmtId="0" fontId="5" fillId="38" borderId="0" applyNumberFormat="0" applyFont="0" applyBorder="0" applyAlignment="0" applyProtection="0"/>
    <xf numFmtId="0" fontId="5" fillId="38" borderId="0" applyNumberFormat="0" applyFont="0" applyBorder="0" applyAlignment="0" applyProtection="0"/>
    <xf numFmtId="0" fontId="5" fillId="38" borderId="0" applyNumberFormat="0" applyFont="0" applyBorder="0" applyAlignment="0" applyProtection="0"/>
    <xf numFmtId="0" fontId="5" fillId="38" borderId="0" applyNumberFormat="0" applyFont="0" applyBorder="0" applyAlignment="0" applyProtection="0"/>
    <xf numFmtId="0" fontId="5" fillId="38" borderId="0" applyNumberFormat="0" applyFont="0" applyBorder="0" applyAlignment="0" applyProtection="0"/>
    <xf numFmtId="0" fontId="5" fillId="38" borderId="0" applyNumberFormat="0" applyFont="0" applyBorder="0" applyAlignment="0" applyProtection="0"/>
    <xf numFmtId="0" fontId="5" fillId="38" borderId="0" applyNumberFormat="0" applyFont="0" applyBorder="0" applyAlignment="0" applyProtection="0"/>
    <xf numFmtId="0" fontId="5" fillId="38" borderId="0" applyNumberFormat="0" applyFont="0" applyBorder="0" applyAlignment="0" applyProtection="0"/>
    <xf numFmtId="0" fontId="5" fillId="38" borderId="0" applyNumberFormat="0" applyFont="0" applyBorder="0" applyAlignment="0" applyProtection="0"/>
    <xf numFmtId="0" fontId="5" fillId="38" borderId="0" applyNumberFormat="0" applyFont="0" applyBorder="0" applyAlignment="0" applyProtection="0"/>
    <xf numFmtId="0" fontId="5" fillId="38" borderId="0" applyNumberFormat="0" applyFont="0" applyBorder="0" applyAlignment="0" applyProtection="0"/>
    <xf numFmtId="0" fontId="5" fillId="38" borderId="0" applyNumberFormat="0" applyFont="0" applyBorder="0" applyAlignment="0" applyProtection="0"/>
    <xf numFmtId="0" fontId="5" fillId="38" borderId="0" applyNumberFormat="0" applyFont="0" applyBorder="0" applyAlignment="0" applyProtection="0"/>
    <xf numFmtId="0" fontId="5" fillId="38" borderId="0" applyNumberFormat="0" applyFont="0" applyBorder="0" applyAlignment="0" applyProtection="0"/>
    <xf numFmtId="0" fontId="5" fillId="38" borderId="0" applyNumberFormat="0" applyFont="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5" fillId="0" borderId="0" applyFont="0" applyFill="0" applyBorder="0" applyAlignment="0" applyProtection="0"/>
    <xf numFmtId="44" fontId="22"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3"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39" borderId="0" applyNumberFormat="0" applyFont="0" applyBorder="0" applyAlignment="0" applyProtection="0"/>
    <xf numFmtId="0" fontId="5" fillId="39" borderId="0" applyNumberFormat="0" applyFont="0" applyBorder="0" applyAlignment="0" applyProtection="0"/>
    <xf numFmtId="0" fontId="5" fillId="39" borderId="0" applyNumberFormat="0" applyFont="0" applyBorder="0" applyAlignment="0" applyProtection="0"/>
    <xf numFmtId="0" fontId="5" fillId="39" borderId="0" applyNumberFormat="0" applyFont="0" applyBorder="0" applyAlignment="0" applyProtection="0"/>
    <xf numFmtId="0" fontId="5" fillId="39" borderId="0" applyNumberFormat="0" applyFont="0" applyBorder="0" applyAlignment="0" applyProtection="0"/>
    <xf numFmtId="0" fontId="5" fillId="39" borderId="0" applyNumberFormat="0" applyFont="0" applyBorder="0" applyAlignment="0" applyProtection="0"/>
    <xf numFmtId="0" fontId="5" fillId="39" borderId="0" applyNumberFormat="0" applyFont="0" applyBorder="0" applyAlignment="0" applyProtection="0"/>
    <xf numFmtId="0" fontId="5" fillId="39" borderId="0" applyNumberFormat="0" applyFont="0" applyBorder="0" applyAlignment="0" applyProtection="0"/>
    <xf numFmtId="0" fontId="5" fillId="39" borderId="0" applyNumberFormat="0" applyFont="0" applyBorder="0" applyAlignment="0" applyProtection="0"/>
    <xf numFmtId="0" fontId="5" fillId="39" borderId="0" applyNumberFormat="0" applyFont="0" applyBorder="0" applyAlignment="0" applyProtection="0"/>
    <xf numFmtId="0" fontId="5" fillId="39" borderId="0" applyNumberFormat="0" applyFont="0" applyBorder="0" applyAlignment="0" applyProtection="0"/>
    <xf numFmtId="0" fontId="5" fillId="39" borderId="0" applyNumberFormat="0" applyFont="0" applyBorder="0" applyAlignment="0" applyProtection="0"/>
    <xf numFmtId="0" fontId="5" fillId="39" borderId="0" applyNumberFormat="0" applyFont="0" applyBorder="0" applyAlignment="0" applyProtection="0"/>
    <xf numFmtId="0" fontId="5" fillId="39" borderId="0" applyNumberFormat="0" applyFont="0" applyBorder="0" applyAlignment="0" applyProtection="0"/>
    <xf numFmtId="0" fontId="5" fillId="39" borderId="0" applyNumberFormat="0" applyFont="0" applyBorder="0" applyAlignment="0" applyProtection="0"/>
    <xf numFmtId="0" fontId="5" fillId="39" borderId="0" applyNumberFormat="0" applyFont="0" applyBorder="0" applyAlignment="0" applyProtection="0"/>
    <xf numFmtId="0" fontId="5" fillId="40" borderId="0" applyNumberFormat="0" applyFont="0" applyBorder="0" applyAlignment="0" applyProtection="0"/>
    <xf numFmtId="0" fontId="5" fillId="40" borderId="0" applyNumberFormat="0" applyFont="0" applyBorder="0" applyAlignment="0" applyProtection="0"/>
    <xf numFmtId="0" fontId="5" fillId="40" borderId="0" applyNumberFormat="0" applyFont="0" applyBorder="0" applyAlignment="0" applyProtection="0"/>
    <xf numFmtId="0" fontId="5" fillId="40" borderId="0" applyNumberFormat="0" applyFont="0" applyBorder="0" applyAlignment="0" applyProtection="0"/>
    <xf numFmtId="0" fontId="5" fillId="40" borderId="0" applyNumberFormat="0" applyFont="0" applyBorder="0" applyAlignment="0" applyProtection="0"/>
    <xf numFmtId="0" fontId="5" fillId="40" borderId="0" applyNumberFormat="0" applyFont="0" applyBorder="0" applyAlignment="0" applyProtection="0"/>
    <xf numFmtId="0" fontId="5" fillId="40" borderId="0" applyNumberFormat="0" applyFont="0" applyBorder="0" applyAlignment="0" applyProtection="0"/>
    <xf numFmtId="0" fontId="5" fillId="40" borderId="0" applyNumberFormat="0" applyFont="0" applyBorder="0" applyAlignment="0" applyProtection="0"/>
    <xf numFmtId="0" fontId="5" fillId="40" borderId="0" applyNumberFormat="0" applyFont="0" applyBorder="0" applyAlignment="0" applyProtection="0"/>
    <xf numFmtId="0" fontId="5" fillId="40" borderId="0" applyNumberFormat="0" applyFont="0" applyBorder="0" applyAlignment="0" applyProtection="0"/>
    <xf numFmtId="0" fontId="5" fillId="40" borderId="0" applyNumberFormat="0" applyFont="0" applyBorder="0" applyAlignment="0" applyProtection="0"/>
    <xf numFmtId="0" fontId="5" fillId="40" borderId="0" applyNumberFormat="0" applyFont="0" applyBorder="0" applyAlignment="0" applyProtection="0"/>
    <xf numFmtId="0" fontId="5" fillId="40" borderId="0" applyNumberFormat="0" applyFont="0" applyBorder="0" applyAlignment="0" applyProtection="0"/>
    <xf numFmtId="0" fontId="5" fillId="40" borderId="0" applyNumberFormat="0" applyFont="0" applyBorder="0" applyAlignment="0" applyProtection="0"/>
    <xf numFmtId="0" fontId="5" fillId="40" borderId="0" applyNumberFormat="0" applyFont="0" applyBorder="0" applyAlignment="0" applyProtection="0"/>
    <xf numFmtId="0" fontId="5" fillId="40" borderId="0" applyNumberFormat="0" applyFont="0" applyBorder="0" applyAlignment="0" applyProtection="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5" fillId="0" borderId="0"/>
    <xf numFmtId="0" fontId="2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2" fillId="0" borderId="0"/>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5" fillId="0" borderId="0"/>
    <xf numFmtId="0" fontId="25" fillId="0" borderId="0"/>
    <xf numFmtId="0" fontId="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2"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3"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5"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3"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3"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3"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3"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 fillId="0" borderId="0"/>
    <xf numFmtId="0" fontId="5" fillId="0" borderId="0"/>
    <xf numFmtId="0" fontId="5" fillId="0" borderId="0"/>
    <xf numFmtId="0" fontId="5"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5" fillId="0" borderId="0"/>
    <xf numFmtId="0" fontId="22" fillId="0" borderId="0"/>
    <xf numFmtId="0" fontId="22" fillId="0" borderId="0"/>
    <xf numFmtId="0" fontId="22" fillId="0" borderId="0"/>
    <xf numFmtId="0" fontId="22" fillId="0" borderId="0"/>
    <xf numFmtId="0" fontId="5"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 fillId="0" borderId="0"/>
    <xf numFmtId="0" fontId="22" fillId="0" borderId="0"/>
    <xf numFmtId="0" fontId="22" fillId="0" borderId="0"/>
    <xf numFmtId="0" fontId="5" fillId="0" borderId="0"/>
    <xf numFmtId="0" fontId="5" fillId="0" borderId="0"/>
    <xf numFmtId="0" fontId="5" fillId="0" borderId="0"/>
    <xf numFmtId="0" fontId="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7" fillId="0" borderId="0"/>
    <xf numFmtId="43" fontId="27" fillId="0" borderId="0" applyFont="0" applyFill="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7" fillId="43" borderId="0" applyNumberFormat="0" applyFont="0" applyBorder="0" applyAlignment="0" applyProtection="0"/>
    <xf numFmtId="0" fontId="29" fillId="44" borderId="0" applyNumberFormat="0" applyBorder="0" applyAlignment="0" applyProtection="0"/>
    <xf numFmtId="0" fontId="29" fillId="45" borderId="0" applyNumberFormat="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2" fillId="0" borderId="0"/>
    <xf numFmtId="43" fontId="27" fillId="0" borderId="0" applyFont="0" applyFill="0" applyBorder="0" applyAlignment="0" applyProtection="0"/>
    <xf numFmtId="0" fontId="22" fillId="0" borderId="0"/>
    <xf numFmtId="0" fontId="22" fillId="0" borderId="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7" fillId="43" borderId="0" applyNumberFormat="0" applyFont="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2" fillId="0" borderId="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2" fillId="0" borderId="0"/>
    <xf numFmtId="0" fontId="22" fillId="0" borderId="0"/>
    <xf numFmtId="0" fontId="27" fillId="43" borderId="0" applyNumberFormat="0" applyFont="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0" fontId="22" fillId="0" borderId="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0" fontId="22" fillId="0" borderId="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2" fillId="0" borderId="0"/>
    <xf numFmtId="0" fontId="27" fillId="43" borderId="0" applyNumberFormat="0" applyFont="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0" fontId="22" fillId="0" borderId="0"/>
    <xf numFmtId="0" fontId="22" fillId="0" borderId="0"/>
    <xf numFmtId="0" fontId="22" fillId="0" borderId="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2" fillId="0" borderId="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2" fillId="0" borderId="0"/>
    <xf numFmtId="0" fontId="22" fillId="0" borderId="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2" fillId="0" borderId="0"/>
    <xf numFmtId="43" fontId="27" fillId="0" borderId="0" applyFont="0" applyFill="0" applyBorder="0" applyAlignment="0" applyProtection="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7" fillId="43" borderId="0" applyNumberFormat="0" applyFont="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2" fillId="0" borderId="0"/>
    <xf numFmtId="0" fontId="22" fillId="0" borderId="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0" fontId="22" fillId="0" borderId="0"/>
    <xf numFmtId="0" fontId="22" fillId="0" borderId="0"/>
    <xf numFmtId="0" fontId="22" fillId="0" borderId="0"/>
    <xf numFmtId="43" fontId="27" fillId="0" borderId="0" applyFont="0" applyFill="0" applyBorder="0" applyAlignment="0" applyProtection="0"/>
    <xf numFmtId="0" fontId="22" fillId="0" borderId="0"/>
    <xf numFmtId="0" fontId="22" fillId="0" borderId="0"/>
    <xf numFmtId="0" fontId="27" fillId="43" borderId="0" applyNumberFormat="0" applyFont="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7" fillId="43" borderId="0" applyNumberFormat="0" applyFont="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0" fontId="22" fillId="0" borderId="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7" fillId="43" borderId="0" applyNumberFormat="0" applyFont="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2" fillId="0" borderId="0"/>
    <xf numFmtId="0" fontId="27" fillId="43" borderId="0" applyNumberFormat="0" applyFont="0" applyBorder="0" applyAlignment="0" applyProtection="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7" fillId="43" borderId="0" applyNumberFormat="0" applyFont="0" applyBorder="0" applyAlignment="0" applyProtection="0"/>
    <xf numFmtId="0" fontId="22" fillId="0" borderId="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2" fillId="0" borderId="0"/>
    <xf numFmtId="0" fontId="27" fillId="43" borderId="0" applyNumberFormat="0" applyFont="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2" fillId="0" borderId="0"/>
    <xf numFmtId="43" fontId="27" fillId="0" borderId="0" applyFont="0" applyFill="0" applyBorder="0" applyAlignment="0" applyProtection="0"/>
    <xf numFmtId="0" fontId="22" fillId="0" borderId="0"/>
    <xf numFmtId="0" fontId="22" fillId="0" borderId="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0" fontId="22" fillId="0" borderId="0"/>
    <xf numFmtId="0" fontId="22" fillId="0" borderId="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43" fontId="27" fillId="0" borderId="0" applyFont="0" applyFill="0" applyBorder="0" applyAlignment="0" applyProtection="0"/>
    <xf numFmtId="43" fontId="27" fillId="0" borderId="0" applyFont="0" applyFill="0" applyBorder="0" applyAlignment="0" applyProtection="0"/>
    <xf numFmtId="0" fontId="22" fillId="0" borderId="0"/>
    <xf numFmtId="0" fontId="22" fillId="0" borderId="0"/>
    <xf numFmtId="0" fontId="22" fillId="0" borderId="0"/>
    <xf numFmtId="0" fontId="27" fillId="43" borderId="0" applyNumberFormat="0" applyFont="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2" fillId="0" borderId="0"/>
    <xf numFmtId="0" fontId="27" fillId="43" borderId="0" applyNumberFormat="0" applyFont="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0" fontId="22" fillId="0" borderId="0"/>
    <xf numFmtId="0" fontId="22" fillId="0" borderId="0"/>
    <xf numFmtId="0" fontId="27" fillId="43" borderId="0" applyNumberFormat="0" applyFont="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0" fontId="22" fillId="0" borderId="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0" fontId="22" fillId="0" borderId="0"/>
    <xf numFmtId="0" fontId="22" fillId="0" borderId="0"/>
    <xf numFmtId="0" fontId="27" fillId="43" borderId="0" applyNumberFormat="0" applyFont="0" applyBorder="0" applyAlignment="0" applyProtection="0"/>
    <xf numFmtId="0" fontId="22" fillId="0" borderId="0"/>
    <xf numFmtId="0" fontId="22" fillId="0" borderId="0"/>
    <xf numFmtId="0" fontId="27" fillId="43" borderId="0" applyNumberFormat="0" applyFont="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2" fillId="0" borderId="0"/>
    <xf numFmtId="0" fontId="27" fillId="43" borderId="0" applyNumberFormat="0" applyFont="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2" fillId="0" borderId="0"/>
    <xf numFmtId="43" fontId="27" fillId="0" borderId="0" applyFont="0" applyFill="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2" fillId="0" borderId="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2" fillId="0" borderId="0"/>
    <xf numFmtId="0" fontId="27" fillId="43" borderId="0" applyNumberFormat="0" applyFont="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2" fillId="0" borderId="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2" fillId="0" borderId="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2" fillId="0" borderId="0"/>
    <xf numFmtId="0" fontId="22" fillId="0" borderId="0"/>
    <xf numFmtId="0" fontId="22" fillId="0" borderId="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7" fillId="43" borderId="0" applyNumberFormat="0" applyFont="0" applyBorder="0" applyAlignment="0" applyProtection="0"/>
    <xf numFmtId="0" fontId="22" fillId="0" borderId="0"/>
    <xf numFmtId="0" fontId="27" fillId="43" borderId="0" applyNumberFormat="0" applyFont="0" applyBorder="0" applyAlignment="0" applyProtection="0"/>
    <xf numFmtId="0" fontId="22" fillId="0" borderId="0"/>
    <xf numFmtId="0" fontId="22" fillId="0" borderId="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2" fillId="0" borderId="0"/>
    <xf numFmtId="0" fontId="27" fillId="43" borderId="0" applyNumberFormat="0" applyFont="0" applyBorder="0" applyAlignment="0" applyProtection="0"/>
    <xf numFmtId="0" fontId="22" fillId="0" borderId="0"/>
    <xf numFmtId="0" fontId="22" fillId="0" borderId="0"/>
    <xf numFmtId="43" fontId="27" fillId="0" borderId="0" applyFont="0" applyFill="0" applyBorder="0" applyAlignment="0" applyProtection="0"/>
    <xf numFmtId="0" fontId="22" fillId="0" borderId="0"/>
    <xf numFmtId="0" fontId="22" fillId="0" borderId="0"/>
    <xf numFmtId="43" fontId="27" fillId="0" borderId="0" applyFont="0" applyFill="0" applyBorder="0" applyAlignment="0" applyProtection="0"/>
    <xf numFmtId="0" fontId="22" fillId="0" borderId="0"/>
    <xf numFmtId="0" fontId="27" fillId="43" borderId="0" applyNumberFormat="0" applyFont="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0" fontId="22" fillId="0" borderId="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0" fontId="22" fillId="0" borderId="0"/>
    <xf numFmtId="0" fontId="27" fillId="43" borderId="0" applyNumberFormat="0" applyFont="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2" fillId="0" borderId="0"/>
    <xf numFmtId="43" fontId="27" fillId="0" borderId="0" applyFont="0" applyFill="0" applyBorder="0" applyAlignment="0" applyProtection="0"/>
    <xf numFmtId="43" fontId="27" fillId="0" borderId="0" applyFont="0" applyFill="0" applyBorder="0" applyAlignment="0" applyProtection="0"/>
    <xf numFmtId="0" fontId="22" fillId="0" borderId="0"/>
    <xf numFmtId="0" fontId="22" fillId="0" borderId="0"/>
    <xf numFmtId="0" fontId="22" fillId="0" borderId="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2" fillId="0" borderId="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4" fontId="5" fillId="0" borderId="0" applyFont="0" applyFill="0" applyBorder="0" applyAlignment="0" applyProtection="0"/>
    <xf numFmtId="0" fontId="22" fillId="0" borderId="0"/>
    <xf numFmtId="0" fontId="24" fillId="0" borderId="0">
      <alignment vertical="top"/>
    </xf>
    <xf numFmtId="0" fontId="24" fillId="0" borderId="0">
      <alignment vertical="top"/>
    </xf>
    <xf numFmtId="0" fontId="69" fillId="0" borderId="0"/>
    <xf numFmtId="43" fontId="69" fillId="0" borderId="0" applyFont="0" applyFill="0" applyBorder="0" applyAlignment="0" applyProtection="0"/>
    <xf numFmtId="44" fontId="69" fillId="0" borderId="0" applyFont="0" applyFill="0" applyBorder="0" applyAlignment="0" applyProtection="0"/>
    <xf numFmtId="9" fontId="69" fillId="0" borderId="0" applyFont="0" applyFill="0" applyBorder="0" applyAlignment="0" applyProtection="0"/>
    <xf numFmtId="0" fontId="22" fillId="0" borderId="0"/>
    <xf numFmtId="43" fontId="22" fillId="0" borderId="0" applyFont="0" applyFill="0" applyBorder="0" applyAlignment="0" applyProtection="0"/>
    <xf numFmtId="44" fontId="22" fillId="0" borderId="0" applyFont="0" applyFill="0" applyBorder="0" applyAlignment="0" applyProtection="0"/>
    <xf numFmtId="9" fontId="22" fillId="0" borderId="0" applyFont="0" applyFill="0" applyBorder="0" applyAlignment="0" applyProtection="0"/>
    <xf numFmtId="0" fontId="72" fillId="0" borderId="0"/>
    <xf numFmtId="44" fontId="22" fillId="0" borderId="0" applyFont="0" applyFill="0" applyBorder="0" applyAlignment="0" applyProtection="0">
      <alignment vertical="center"/>
    </xf>
    <xf numFmtId="0" fontId="81" fillId="0" borderId="0"/>
    <xf numFmtId="0" fontId="22" fillId="0" borderId="0">
      <alignment vertical="center"/>
    </xf>
    <xf numFmtId="43" fontId="22" fillId="0" borderId="0" applyFont="0" applyFill="0" applyBorder="0" applyAlignment="0" applyProtection="0">
      <alignment vertical="center"/>
    </xf>
    <xf numFmtId="43" fontId="22" fillId="0" borderId="0" applyFont="0" applyFill="0" applyBorder="0" applyAlignment="0" applyProtection="0">
      <alignment vertical="center"/>
    </xf>
    <xf numFmtId="9" fontId="22" fillId="0" borderId="0" applyFont="0" applyFill="0" applyBorder="0" applyAlignment="0" applyProtection="0">
      <alignment vertical="center"/>
    </xf>
    <xf numFmtId="0" fontId="22" fillId="0" borderId="0"/>
    <xf numFmtId="9" fontId="22"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4" fontId="22" fillId="0" borderId="0" applyFont="0" applyFill="0" applyBorder="0" applyAlignment="0" applyProtection="0"/>
    <xf numFmtId="0" fontId="5" fillId="0" borderId="0"/>
    <xf numFmtId="0" fontId="22" fillId="0" borderId="0"/>
    <xf numFmtId="0" fontId="22" fillId="0" borderId="0">
      <alignment vertical="center"/>
    </xf>
    <xf numFmtId="0" fontId="22" fillId="0" borderId="0"/>
    <xf numFmtId="43" fontId="22" fillId="0" borderId="0" applyFont="0" applyFill="0" applyBorder="0" applyAlignment="0" applyProtection="0"/>
    <xf numFmtId="43" fontId="22" fillId="0" borderId="0" applyFont="0" applyFill="0" applyBorder="0" applyAlignment="0" applyProtection="0">
      <alignment vertical="center"/>
    </xf>
    <xf numFmtId="43" fontId="22" fillId="0" borderId="0" applyFont="0" applyFill="0" applyBorder="0" applyAlignment="0" applyProtection="0"/>
    <xf numFmtId="43" fontId="22" fillId="0" borderId="0" applyFont="0" applyFill="0" applyBorder="0" applyAlignment="0" applyProtection="0">
      <alignment vertical="center"/>
    </xf>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alignment vertical="center"/>
    </xf>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alignment vertical="center"/>
    </xf>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cellStyleXfs>
  <cellXfs count="1265">
    <xf numFmtId="0" fontId="0" fillId="0" borderId="0" xfId="0"/>
    <xf numFmtId="0" fontId="0" fillId="0" borderId="0" xfId="0" applyAlignment="1">
      <alignment horizontal="center"/>
    </xf>
    <xf numFmtId="0" fontId="0" fillId="0" borderId="0" xfId="0" applyFill="1"/>
    <xf numFmtId="0" fontId="4" fillId="0" borderId="3" xfId="0" applyFont="1" applyBorder="1"/>
    <xf numFmtId="14" fontId="0" fillId="0" borderId="0" xfId="0" applyNumberFormat="1" applyBorder="1"/>
    <xf numFmtId="0" fontId="4" fillId="0" borderId="0" xfId="0" applyFont="1" applyBorder="1"/>
    <xf numFmtId="0" fontId="0" fillId="0" borderId="0" xfId="0" applyFill="1" applyBorder="1"/>
    <xf numFmtId="164" fontId="4" fillId="0" borderId="3" xfId="1" applyNumberFormat="1" applyFont="1" applyBorder="1"/>
    <xf numFmtId="164" fontId="4" fillId="0" borderId="0" xfId="1" applyNumberFormat="1" applyFont="1"/>
    <xf numFmtId="164" fontId="0" fillId="0" borderId="2" xfId="1" applyNumberFormat="1" applyFont="1" applyBorder="1"/>
    <xf numFmtId="0" fontId="6" fillId="0" borderId="0" xfId="0" applyFont="1"/>
    <xf numFmtId="0" fontId="0" fillId="0" borderId="0" xfId="0" applyAlignment="1">
      <alignment horizontal="right"/>
    </xf>
    <xf numFmtId="17" fontId="4" fillId="4" borderId="0" xfId="0" applyNumberFormat="1" applyFont="1" applyFill="1" applyAlignment="1">
      <alignment horizontal="center"/>
    </xf>
    <xf numFmtId="17" fontId="4" fillId="5" borderId="0" xfId="0" applyNumberFormat="1" applyFont="1" applyFill="1" applyAlignment="1">
      <alignment horizontal="center"/>
    </xf>
    <xf numFmtId="1" fontId="4" fillId="4" borderId="0" xfId="0" applyNumberFormat="1" applyFont="1" applyFill="1" applyAlignment="1">
      <alignment horizontal="center"/>
    </xf>
    <xf numFmtId="1" fontId="4" fillId="5" borderId="0" xfId="0" applyNumberFormat="1" applyFont="1" applyFill="1" applyAlignment="1">
      <alignment horizontal="center"/>
    </xf>
    <xf numFmtId="0" fontId="0" fillId="0" borderId="0" xfId="0"/>
    <xf numFmtId="164" fontId="0" fillId="0" borderId="0" xfId="1" applyNumberFormat="1" applyFont="1"/>
    <xf numFmtId="0" fontId="22" fillId="0" borderId="0" xfId="44" applyFont="1" applyFill="1"/>
    <xf numFmtId="164" fontId="4" fillId="0" borderId="0" xfId="0" applyNumberFormat="1" applyFont="1"/>
    <xf numFmtId="164" fontId="0" fillId="0" borderId="13" xfId="1" applyNumberFormat="1" applyFont="1" applyBorder="1"/>
    <xf numFmtId="164" fontId="0" fillId="0" borderId="0" xfId="1" applyNumberFormat="1" applyFont="1" applyBorder="1"/>
    <xf numFmtId="167" fontId="0" fillId="0" borderId="0" xfId="0" applyNumberFormat="1"/>
    <xf numFmtId="0" fontId="32" fillId="0" borderId="0" xfId="44" applyFont="1" applyAlignment="1">
      <alignment horizontal="left"/>
    </xf>
    <xf numFmtId="168" fontId="24" fillId="0" borderId="0" xfId="44" applyNumberFormat="1" applyFont="1" applyFill="1"/>
    <xf numFmtId="0" fontId="0" fillId="0" borderId="0" xfId="0" applyBorder="1" applyAlignment="1">
      <alignment horizontal="left"/>
    </xf>
    <xf numFmtId="0" fontId="0" fillId="0" borderId="16" xfId="0" applyBorder="1"/>
    <xf numFmtId="0" fontId="22" fillId="0" borderId="0" xfId="44"/>
    <xf numFmtId="0" fontId="22" fillId="0" borderId="0" xfId="44" applyFill="1"/>
    <xf numFmtId="164" fontId="0" fillId="0" borderId="0" xfId="0" applyNumberFormat="1"/>
    <xf numFmtId="0" fontId="4" fillId="0" borderId="0" xfId="0" applyFont="1"/>
    <xf numFmtId="0" fontId="0" fillId="0" borderId="0" xfId="0" applyFill="1" applyAlignment="1">
      <alignment horizontal="center"/>
    </xf>
    <xf numFmtId="0" fontId="4" fillId="0" borderId="0" xfId="0" applyFont="1" applyFill="1"/>
    <xf numFmtId="0" fontId="4" fillId="0" borderId="0" xfId="0" applyFont="1" applyFill="1" applyBorder="1" applyAlignment="1">
      <alignment horizontal="center"/>
    </xf>
    <xf numFmtId="0" fontId="4" fillId="0" borderId="0" xfId="0" applyFont="1" applyFill="1" applyBorder="1"/>
    <xf numFmtId="0" fontId="4" fillId="46" borderId="0" xfId="0" applyFont="1" applyFill="1" applyAlignment="1">
      <alignment horizontal="center"/>
    </xf>
    <xf numFmtId="165" fontId="4" fillId="0" borderId="0" xfId="2" applyNumberFormat="1" applyFont="1"/>
    <xf numFmtId="17" fontId="4" fillId="0" borderId="0" xfId="0" applyNumberFormat="1" applyFont="1" applyFill="1" applyBorder="1" applyAlignment="1">
      <alignment horizontal="center"/>
    </xf>
    <xf numFmtId="164" fontId="0" fillId="0" borderId="0" xfId="1" applyNumberFormat="1" applyFont="1" applyFill="1" applyBorder="1"/>
    <xf numFmtId="164" fontId="4" fillId="0" borderId="0" xfId="0" applyNumberFormat="1" applyFont="1" applyFill="1" applyBorder="1"/>
    <xf numFmtId="0" fontId="4" fillId="0" borderId="0" xfId="0" applyFont="1" applyAlignment="1">
      <alignment horizontal="left" indent="2"/>
    </xf>
    <xf numFmtId="0" fontId="0" fillId="0" borderId="0" xfId="0" applyFont="1"/>
    <xf numFmtId="0" fontId="0" fillId="0" borderId="13" xfId="0" applyFont="1" applyBorder="1"/>
    <xf numFmtId="0" fontId="0" fillId="0" borderId="0" xfId="0" applyFont="1" applyFill="1"/>
    <xf numFmtId="0" fontId="33" fillId="0" borderId="0" xfId="44" applyFont="1" applyFill="1"/>
    <xf numFmtId="0" fontId="34" fillId="0" borderId="0" xfId="44" applyFont="1" applyFill="1"/>
    <xf numFmtId="0" fontId="33" fillId="0" borderId="0" xfId="44" applyFont="1" applyFill="1" applyAlignment="1">
      <alignment horizontal="left" wrapText="1" indent="2"/>
    </xf>
    <xf numFmtId="164" fontId="4" fillId="0" borderId="3" xfId="0" applyNumberFormat="1" applyFont="1" applyBorder="1"/>
    <xf numFmtId="0" fontId="34" fillId="0" borderId="3" xfId="44" applyFont="1" applyFill="1" applyBorder="1"/>
    <xf numFmtId="0" fontId="0" fillId="47" borderId="0" xfId="0" applyFill="1"/>
    <xf numFmtId="0" fontId="0" fillId="0" borderId="0" xfId="0" applyAlignment="1">
      <alignment horizontal="left" indent="2"/>
    </xf>
    <xf numFmtId="0" fontId="4" fillId="0" borderId="20" xfId="0" applyFont="1" applyBorder="1"/>
    <xf numFmtId="0" fontId="5" fillId="0" borderId="20" xfId="0" applyFont="1" applyBorder="1"/>
    <xf numFmtId="164" fontId="4" fillId="0" borderId="20" xfId="0" applyNumberFormat="1" applyFont="1" applyBorder="1"/>
    <xf numFmtId="164" fontId="4" fillId="0" borderId="20" xfId="1" applyNumberFormat="1" applyFont="1" applyBorder="1"/>
    <xf numFmtId="166" fontId="4" fillId="0" borderId="0" xfId="1" applyNumberFormat="1" applyFont="1" applyFill="1" applyAlignment="1">
      <alignment horizontal="center"/>
    </xf>
    <xf numFmtId="1" fontId="4" fillId="0" borderId="0" xfId="0" applyNumberFormat="1" applyFont="1" applyFill="1" applyAlignment="1">
      <alignment horizontal="center"/>
    </xf>
    <xf numFmtId="17" fontId="4" fillId="0" borderId="0" xfId="0" applyNumberFormat="1" applyFont="1" applyFill="1" applyAlignment="1">
      <alignment horizontal="center"/>
    </xf>
    <xf numFmtId="0" fontId="31" fillId="0" borderId="0" xfId="0" applyFont="1"/>
    <xf numFmtId="0" fontId="36" fillId="0" borderId="0" xfId="0" applyFont="1" applyAlignment="1">
      <alignment horizontal="center"/>
    </xf>
    <xf numFmtId="3" fontId="0" fillId="0" borderId="0" xfId="0" applyNumberFormat="1"/>
    <xf numFmtId="169" fontId="0" fillId="0" borderId="0" xfId="0" applyNumberFormat="1"/>
    <xf numFmtId="9" fontId="0" fillId="0" borderId="0" xfId="2" applyFont="1"/>
    <xf numFmtId="0" fontId="0" fillId="0" borderId="0" xfId="0" applyAlignment="1">
      <alignment horizontal="left" indent="1"/>
    </xf>
    <xf numFmtId="0" fontId="4" fillId="0" borderId="3" xfId="0" applyFont="1" applyBorder="1" applyAlignment="1">
      <alignment horizontal="left" indent="1"/>
    </xf>
    <xf numFmtId="0" fontId="0" fillId="0" borderId="0" xfId="0" applyFill="1" applyAlignment="1">
      <alignment horizontal="left" indent="1"/>
    </xf>
    <xf numFmtId="171" fontId="4" fillId="0" borderId="0" xfId="0" applyNumberFormat="1" applyFont="1"/>
    <xf numFmtId="171" fontId="4" fillId="0" borderId="2" xfId="0" applyNumberFormat="1" applyFont="1" applyBorder="1"/>
    <xf numFmtId="0" fontId="4" fillId="0" borderId="0" xfId="0" applyFont="1" applyFill="1" applyBorder="1" applyAlignment="1"/>
    <xf numFmtId="0" fontId="0" fillId="0" borderId="0" xfId="0" applyFill="1" applyBorder="1" applyAlignment="1">
      <alignment horizontal="left" indent="1"/>
    </xf>
    <xf numFmtId="167" fontId="0" fillId="0" borderId="0" xfId="0" applyNumberFormat="1" applyAlignment="1">
      <alignment horizontal="right"/>
    </xf>
    <xf numFmtId="167" fontId="0" fillId="0" borderId="0" xfId="0" applyNumberFormat="1" applyBorder="1"/>
    <xf numFmtId="167" fontId="4" fillId="0" borderId="15" xfId="0" applyNumberFormat="1" applyFont="1" applyBorder="1" applyAlignment="1">
      <alignment horizontal="right"/>
    </xf>
    <xf numFmtId="167" fontId="0" fillId="0" borderId="15" xfId="0" applyNumberFormat="1" applyBorder="1"/>
    <xf numFmtId="3" fontId="0" fillId="48" borderId="0" xfId="0" applyNumberFormat="1" applyFill="1"/>
    <xf numFmtId="165" fontId="38" fillId="0" borderId="0" xfId="2" applyNumberFormat="1" applyFont="1"/>
    <xf numFmtId="9" fontId="38" fillId="0" borderId="0" xfId="2" applyFont="1"/>
    <xf numFmtId="167" fontId="4" fillId="48" borderId="3" xfId="0" applyNumberFormat="1" applyFont="1" applyFill="1" applyBorder="1"/>
    <xf numFmtId="0" fontId="37" fillId="0" borderId="0" xfId="0" applyFont="1"/>
    <xf numFmtId="9" fontId="4" fillId="0" borderId="0" xfId="2" applyFont="1"/>
    <xf numFmtId="0" fontId="30" fillId="0" borderId="0" xfId="0" applyFont="1"/>
    <xf numFmtId="3" fontId="0" fillId="0" borderId="0" xfId="0" applyNumberFormat="1" applyAlignment="1">
      <alignment horizontal="right"/>
    </xf>
    <xf numFmtId="165" fontId="0" fillId="0" borderId="0" xfId="2" applyNumberFormat="1" applyFont="1" applyAlignment="1">
      <alignment horizontal="right"/>
    </xf>
    <xf numFmtId="0" fontId="0" fillId="0" borderId="2" xfId="0" applyFill="1" applyBorder="1"/>
    <xf numFmtId="172" fontId="4" fillId="0" borderId="2" xfId="1" applyNumberFormat="1" applyFont="1" applyFill="1" applyBorder="1" applyAlignment="1">
      <alignment horizontal="center"/>
    </xf>
    <xf numFmtId="164" fontId="4" fillId="0" borderId="0" xfId="1" applyNumberFormat="1" applyFont="1" applyBorder="1"/>
    <xf numFmtId="9" fontId="0" fillId="0" borderId="0" xfId="2" applyNumberFormat="1" applyFont="1" applyFill="1" applyBorder="1"/>
    <xf numFmtId="9" fontId="35" fillId="0" borderId="0" xfId="2" applyNumberFormat="1" applyFont="1" applyFill="1" applyBorder="1"/>
    <xf numFmtId="0" fontId="40" fillId="0" borderId="23" xfId="44" applyFont="1" applyBorder="1"/>
    <xf numFmtId="0" fontId="22" fillId="0" borderId="23" xfId="44" applyBorder="1"/>
    <xf numFmtId="0" fontId="41" fillId="0" borderId="0" xfId="44" applyFont="1"/>
    <xf numFmtId="0" fontId="42" fillId="0" borderId="0" xfId="44" applyFont="1"/>
    <xf numFmtId="168" fontId="41" fillId="0" borderId="0" xfId="44" applyNumberFormat="1" applyFont="1"/>
    <xf numFmtId="0" fontId="43" fillId="0" borderId="0" xfId="44" applyFont="1"/>
    <xf numFmtId="164" fontId="22" fillId="0" borderId="0" xfId="1" applyNumberFormat="1" applyFont="1"/>
    <xf numFmtId="0" fontId="32" fillId="0" borderId="2" xfId="44" applyFont="1" applyBorder="1"/>
    <xf numFmtId="0" fontId="22" fillId="0" borderId="2" xfId="44" applyBorder="1"/>
    <xf numFmtId="0" fontId="22" fillId="0" borderId="0" xfId="44" applyBorder="1"/>
    <xf numFmtId="170" fontId="32" fillId="0" borderId="2" xfId="44" applyNumberFormat="1" applyFont="1" applyBorder="1"/>
    <xf numFmtId="0" fontId="32" fillId="0" borderId="0" xfId="44" applyFont="1" applyBorder="1" applyAlignment="1">
      <alignment horizontal="left" indent="1"/>
    </xf>
    <xf numFmtId="0" fontId="32" fillId="0" borderId="0" xfId="44" applyFont="1" applyBorder="1"/>
    <xf numFmtId="0" fontId="32" fillId="0" borderId="0" xfId="44" applyFont="1"/>
    <xf numFmtId="173" fontId="24" fillId="0" borderId="0" xfId="44" applyNumberFormat="1" applyFont="1"/>
    <xf numFmtId="173" fontId="24" fillId="0" borderId="0" xfId="44" applyNumberFormat="1" applyFont="1" applyFill="1"/>
    <xf numFmtId="168" fontId="24" fillId="0" borderId="0" xfId="44" applyNumberFormat="1" applyFont="1"/>
    <xf numFmtId="0" fontId="32" fillId="0" borderId="0" xfId="44" applyFont="1" applyAlignment="1">
      <alignment horizontal="left" indent="1"/>
    </xf>
    <xf numFmtId="168" fontId="32" fillId="0" borderId="3" xfId="44" applyNumberFormat="1" applyFont="1" applyBorder="1"/>
    <xf numFmtId="168" fontId="24" fillId="0" borderId="0" xfId="44" applyNumberFormat="1" applyFont="1" applyBorder="1"/>
    <xf numFmtId="168" fontId="24" fillId="0" borderId="2" xfId="44" applyNumberFormat="1" applyFont="1" applyFill="1" applyBorder="1"/>
    <xf numFmtId="173" fontId="22" fillId="0" borderId="15" xfId="44" applyNumberFormat="1" applyBorder="1"/>
    <xf numFmtId="0" fontId="24" fillId="0" borderId="0" xfId="44" applyFont="1"/>
    <xf numFmtId="168" fontId="24" fillId="0" borderId="2" xfId="44" applyNumberFormat="1" applyFont="1" applyBorder="1"/>
    <xf numFmtId="168" fontId="44" fillId="0" borderId="0" xfId="44" applyNumberFormat="1" applyFont="1" applyBorder="1"/>
    <xf numFmtId="168" fontId="24" fillId="0" borderId="3" xfId="44" applyNumberFormat="1" applyFont="1" applyBorder="1"/>
    <xf numFmtId="168" fontId="44" fillId="0" borderId="3" xfId="44" applyNumberFormat="1" applyFont="1" applyBorder="1"/>
    <xf numFmtId="0" fontId="41" fillId="0" borderId="0" xfId="44" applyFont="1" applyAlignment="1">
      <alignment horizontal="right"/>
    </xf>
    <xf numFmtId="0" fontId="45" fillId="0" borderId="0" xfId="44" applyFont="1"/>
    <xf numFmtId="0" fontId="32" fillId="0" borderId="0" xfId="44" applyFont="1" applyBorder="1" applyAlignment="1">
      <alignment horizontal="center"/>
    </xf>
    <xf numFmtId="173" fontId="24" fillId="0" borderId="0" xfId="44" applyNumberFormat="1" applyFont="1" applyBorder="1"/>
    <xf numFmtId="0" fontId="22" fillId="0" borderId="0" xfId="44" applyAlignment="1">
      <alignment horizontal="right"/>
    </xf>
    <xf numFmtId="0" fontId="22" fillId="51" borderId="0" xfId="44" applyFill="1"/>
    <xf numFmtId="173" fontId="22" fillId="51" borderId="0" xfId="44" applyNumberFormat="1" applyFill="1"/>
    <xf numFmtId="165" fontId="39" fillId="46" borderId="0" xfId="45" applyNumberFormat="1" applyFont="1" applyFill="1"/>
    <xf numFmtId="165" fontId="46" fillId="46" borderId="0" xfId="45" applyNumberFormat="1" applyFont="1" applyFill="1"/>
    <xf numFmtId="173" fontId="4" fillId="0" borderId="0" xfId="0" applyNumberFormat="1" applyFont="1"/>
    <xf numFmtId="165" fontId="30" fillId="0" borderId="0" xfId="2" applyNumberFormat="1" applyFont="1"/>
    <xf numFmtId="0" fontId="30" fillId="0" borderId="0" xfId="0" applyFont="1" applyBorder="1"/>
    <xf numFmtId="165" fontId="30" fillId="0" borderId="0" xfId="2" applyNumberFormat="1" applyFont="1" applyBorder="1"/>
    <xf numFmtId="17" fontId="4" fillId="0" borderId="0" xfId="0" applyNumberFormat="1" applyFont="1" applyAlignment="1">
      <alignment horizontal="center"/>
    </xf>
    <xf numFmtId="0" fontId="5" fillId="0" borderId="0" xfId="0" applyFont="1" applyBorder="1"/>
    <xf numFmtId="0" fontId="47" fillId="0" borderId="0" xfId="0" applyFont="1"/>
    <xf numFmtId="17" fontId="22" fillId="0" borderId="0" xfId="44" applyNumberFormat="1" applyAlignment="1">
      <alignment horizontal="center"/>
    </xf>
    <xf numFmtId="0" fontId="22" fillId="0" borderId="0" xfId="44" applyFont="1"/>
    <xf numFmtId="164" fontId="22" fillId="0" borderId="0" xfId="44" applyNumberFormat="1" applyFont="1"/>
    <xf numFmtId="0" fontId="0" fillId="0" borderId="0" xfId="0"/>
    <xf numFmtId="6" fontId="51" fillId="52" borderId="24" xfId="0" quotePrefix="1" applyNumberFormat="1" applyFont="1" applyFill="1" applyBorder="1" applyAlignment="1">
      <alignment horizontal="left"/>
    </xf>
    <xf numFmtId="0" fontId="51" fillId="52" borderId="25" xfId="0" applyFont="1" applyFill="1" applyBorder="1" applyAlignment="1">
      <alignment horizontal="center" wrapText="1"/>
    </xf>
    <xf numFmtId="0" fontId="51" fillId="52" borderId="26" xfId="0" applyFont="1" applyFill="1" applyBorder="1" applyAlignment="1">
      <alignment horizontal="center" wrapText="1"/>
    </xf>
    <xf numFmtId="165" fontId="50" fillId="0" borderId="28" xfId="2" applyNumberFormat="1" applyFont="1" applyFill="1" applyBorder="1" applyAlignment="1">
      <alignment horizontal="center"/>
    </xf>
    <xf numFmtId="8" fontId="0" fillId="0" borderId="0" xfId="0" applyNumberFormat="1"/>
    <xf numFmtId="1" fontId="4" fillId="37" borderId="0" xfId="0" applyNumberFormat="1" applyFont="1" applyFill="1" applyAlignment="1">
      <alignment horizontal="center"/>
    </xf>
    <xf numFmtId="1" fontId="4" fillId="3" borderId="0" xfId="0" applyNumberFormat="1" applyFont="1" applyFill="1" applyAlignment="1">
      <alignment horizontal="center"/>
    </xf>
    <xf numFmtId="1" fontId="0" fillId="0" borderId="0" xfId="0" applyNumberFormat="1"/>
    <xf numFmtId="0" fontId="0" fillId="0" borderId="0" xfId="0" applyBorder="1" applyAlignment="1">
      <alignment horizontal="left" indent="2"/>
    </xf>
    <xf numFmtId="167" fontId="4" fillId="0" borderId="0" xfId="0" applyNumberFormat="1" applyFont="1"/>
    <xf numFmtId="9" fontId="4" fillId="0" borderId="0" xfId="0" applyNumberFormat="1" applyFont="1"/>
    <xf numFmtId="6" fontId="4" fillId="0" borderId="0" xfId="0" applyNumberFormat="1" applyFont="1"/>
    <xf numFmtId="0" fontId="0" fillId="0" borderId="0" xfId="0" applyFill="1" applyBorder="1" applyAlignment="1">
      <alignment horizontal="left" indent="2"/>
    </xf>
    <xf numFmtId="167" fontId="0" fillId="0" borderId="0" xfId="0" applyNumberFormat="1" applyFont="1"/>
    <xf numFmtId="165" fontId="4" fillId="0" borderId="0" xfId="2" applyNumberFormat="1" applyFont="1" applyBorder="1"/>
    <xf numFmtId="9" fontId="4" fillId="0" borderId="0" xfId="2" applyFont="1" applyBorder="1"/>
    <xf numFmtId="0" fontId="0" fillId="0" borderId="0" xfId="0"/>
    <xf numFmtId="0" fontId="0" fillId="0" borderId="0" xfId="0" applyAlignment="1">
      <alignment vertical="center"/>
    </xf>
    <xf numFmtId="171" fontId="4" fillId="0" borderId="0" xfId="0" applyNumberFormat="1" applyFont="1" applyAlignment="1">
      <alignment horizontal="center"/>
    </xf>
    <xf numFmtId="43" fontId="0" fillId="0" borderId="0" xfId="1" applyNumberFormat="1" applyFont="1" applyAlignment="1">
      <alignment horizontal="center"/>
    </xf>
    <xf numFmtId="164" fontId="0" fillId="0" borderId="0" xfId="1" applyNumberFormat="1" applyFont="1" applyFill="1"/>
    <xf numFmtId="0" fontId="0" fillId="0" borderId="0" xfId="0" applyAlignment="1">
      <alignment horizontal="center"/>
    </xf>
    <xf numFmtId="0" fontId="0" fillId="0" borderId="0" xfId="0" applyBorder="1"/>
    <xf numFmtId="43" fontId="0" fillId="0" borderId="0" xfId="0" applyNumberFormat="1"/>
    <xf numFmtId="164" fontId="0" fillId="0" borderId="0" xfId="0" applyNumberFormat="1"/>
    <xf numFmtId="175" fontId="56" fillId="0" borderId="29" xfId="11334" applyNumberFormat="1" applyFont="1" applyFill="1" applyBorder="1" applyAlignment="1">
      <alignment horizontal="center"/>
    </xf>
    <xf numFmtId="175" fontId="56" fillId="50" borderId="29" xfId="11334" applyNumberFormat="1" applyFont="1" applyFill="1" applyBorder="1" applyAlignment="1">
      <alignment horizontal="center"/>
    </xf>
    <xf numFmtId="0" fontId="58" fillId="0" borderId="27" xfId="0" applyFont="1" applyFill="1" applyBorder="1" applyAlignment="1">
      <alignment horizontal="left" wrapText="1" readingOrder="1"/>
    </xf>
    <xf numFmtId="0" fontId="58" fillId="50" borderId="27" xfId="0" applyFont="1" applyFill="1" applyBorder="1" applyAlignment="1">
      <alignment horizontal="left" wrapText="1" readingOrder="1"/>
    </xf>
    <xf numFmtId="0" fontId="0" fillId="0" borderId="0" xfId="0" applyAlignment="1">
      <alignment horizontal="left" indent="1"/>
    </xf>
    <xf numFmtId="167" fontId="4" fillId="48" borderId="3" xfId="0" applyNumberFormat="1" applyFont="1" applyFill="1" applyBorder="1"/>
    <xf numFmtId="164" fontId="4" fillId="0" borderId="0" xfId="1" applyNumberFormat="1" applyFont="1"/>
    <xf numFmtId="164" fontId="0" fillId="0" borderId="0" xfId="0" applyNumberFormat="1"/>
    <xf numFmtId="175" fontId="56" fillId="0" borderId="0" xfId="11334" applyNumberFormat="1" applyFont="1" applyFill="1" applyBorder="1" applyAlignment="1">
      <alignment horizontal="center"/>
    </xf>
    <xf numFmtId="0" fontId="0" fillId="0" borderId="0" xfId="0" applyFill="1" applyBorder="1"/>
    <xf numFmtId="169" fontId="0" fillId="0" borderId="0" xfId="0" applyNumberFormat="1"/>
    <xf numFmtId="169" fontId="0" fillId="0" borderId="0" xfId="11334" applyNumberFormat="1" applyFont="1"/>
    <xf numFmtId="165" fontId="38" fillId="0" borderId="0" xfId="2" applyNumberFormat="1" applyFont="1"/>
    <xf numFmtId="0" fontId="0" fillId="0" borderId="0" xfId="0"/>
    <xf numFmtId="0" fontId="0" fillId="0" borderId="0" xfId="0" applyAlignment="1">
      <alignment horizontal="centerContinuous"/>
    </xf>
    <xf numFmtId="164" fontId="0" fillId="0" borderId="0" xfId="1" applyNumberFormat="1" applyFont="1"/>
    <xf numFmtId="164" fontId="0" fillId="0" borderId="2" xfId="1" applyNumberFormat="1" applyFont="1" applyFill="1" applyBorder="1"/>
    <xf numFmtId="0" fontId="0" fillId="54" borderId="0" xfId="0" applyFill="1"/>
    <xf numFmtId="43" fontId="22" fillId="0" borderId="0" xfId="1" applyFont="1"/>
    <xf numFmtId="43" fontId="22" fillId="0" borderId="0" xfId="1" applyNumberFormat="1" applyFont="1"/>
    <xf numFmtId="0" fontId="0" fillId="0" borderId="0" xfId="0" applyFont="1" applyAlignment="1">
      <alignment horizontal="center" wrapText="1"/>
    </xf>
    <xf numFmtId="0" fontId="0" fillId="0" borderId="0" xfId="0" applyFont="1" applyFill="1" applyAlignment="1">
      <alignment horizontal="center"/>
    </xf>
    <xf numFmtId="174" fontId="61" fillId="0" borderId="0" xfId="0" applyNumberFormat="1" applyFont="1"/>
    <xf numFmtId="0" fontId="0" fillId="55" borderId="0" xfId="0" applyFill="1"/>
    <xf numFmtId="171" fontId="4" fillId="55" borderId="2" xfId="0" applyNumberFormat="1" applyFont="1" applyFill="1" applyBorder="1"/>
    <xf numFmtId="167" fontId="0" fillId="55" borderId="15" xfId="0" applyNumberFormat="1" applyFill="1" applyBorder="1"/>
    <xf numFmtId="167" fontId="0" fillId="55" borderId="0" xfId="0" applyNumberFormat="1" applyFill="1" applyBorder="1"/>
    <xf numFmtId="167" fontId="0" fillId="55" borderId="0" xfId="0" applyNumberFormat="1" applyFill="1"/>
    <xf numFmtId="171" fontId="4" fillId="55" borderId="0" xfId="0" applyNumberFormat="1" applyFont="1" applyFill="1"/>
    <xf numFmtId="3" fontId="0" fillId="55" borderId="0" xfId="0" applyNumberFormat="1" applyFill="1"/>
    <xf numFmtId="9" fontId="38" fillId="55" borderId="0" xfId="2" applyFont="1" applyFill="1"/>
    <xf numFmtId="164" fontId="0" fillId="55" borderId="0" xfId="1" applyNumberFormat="1" applyFont="1" applyFill="1"/>
    <xf numFmtId="3" fontId="0" fillId="55" borderId="0" xfId="0" applyNumberFormat="1" applyFill="1" applyAlignment="1">
      <alignment horizontal="right"/>
    </xf>
    <xf numFmtId="165" fontId="0" fillId="55" borderId="0" xfId="2" applyNumberFormat="1" applyFont="1" applyFill="1" applyAlignment="1">
      <alignment horizontal="right"/>
    </xf>
    <xf numFmtId="0" fontId="4" fillId="2" borderId="0" xfId="0" applyFont="1" applyFill="1" applyAlignment="1">
      <alignment horizontal="center"/>
    </xf>
    <xf numFmtId="0" fontId="0" fillId="2" borderId="0" xfId="0" applyFill="1" applyAlignment="1">
      <alignment horizontal="center"/>
    </xf>
    <xf numFmtId="17" fontId="32" fillId="0" borderId="2" xfId="44" applyNumberFormat="1" applyFont="1" applyFill="1" applyBorder="1" applyAlignment="1">
      <alignment horizontal="center"/>
    </xf>
    <xf numFmtId="9" fontId="39" fillId="0" borderId="0" xfId="2" applyFont="1" applyFill="1" applyBorder="1" applyAlignment="1">
      <alignment horizontal="center"/>
    </xf>
    <xf numFmtId="168" fontId="24" fillId="0" borderId="0" xfId="44" applyNumberFormat="1" applyFont="1" applyFill="1" applyBorder="1"/>
    <xf numFmtId="173" fontId="22" fillId="0" borderId="15" xfId="44" applyNumberFormat="1" applyFill="1" applyBorder="1"/>
    <xf numFmtId="1" fontId="4" fillId="0" borderId="0" xfId="0" applyNumberFormat="1" applyFont="1" applyFill="1" applyBorder="1" applyAlignment="1">
      <alignment horizontal="center"/>
    </xf>
    <xf numFmtId="166" fontId="4" fillId="0" borderId="0" xfId="1" applyNumberFormat="1" applyFont="1" applyFill="1" applyBorder="1" applyAlignment="1">
      <alignment horizontal="center"/>
    </xf>
    <xf numFmtId="164" fontId="4" fillId="0" borderId="0" xfId="1" applyNumberFormat="1" applyFont="1" applyFill="1" applyBorder="1"/>
    <xf numFmtId="165" fontId="30" fillId="0" borderId="0" xfId="2" applyNumberFormat="1" applyFont="1" applyFill="1" applyBorder="1"/>
    <xf numFmtId="173" fontId="41" fillId="0" borderId="0" xfId="44" applyNumberFormat="1" applyFont="1"/>
    <xf numFmtId="173" fontId="41" fillId="0" borderId="0" xfId="44" applyNumberFormat="1" applyFont="1" applyFill="1"/>
    <xf numFmtId="0" fontId="0" fillId="56" borderId="0" xfId="0" applyFill="1"/>
    <xf numFmtId="0" fontId="0" fillId="49" borderId="0" xfId="0" applyFill="1"/>
    <xf numFmtId="168" fontId="22" fillId="0" borderId="15" xfId="44" applyNumberFormat="1" applyBorder="1"/>
    <xf numFmtId="0" fontId="64" fillId="0" borderId="0" xfId="10725" applyNumberFormat="1" applyFont="1"/>
    <xf numFmtId="49" fontId="64" fillId="0" borderId="0" xfId="10725" applyNumberFormat="1" applyFont="1" applyAlignment="1">
      <alignment horizontal="center"/>
    </xf>
    <xf numFmtId="0" fontId="0" fillId="0" borderId="0" xfId="0"/>
    <xf numFmtId="0" fontId="65" fillId="57" borderId="0" xfId="0" applyFont="1" applyFill="1"/>
    <xf numFmtId="0" fontId="0" fillId="57" borderId="0" xfId="0" applyFill="1"/>
    <xf numFmtId="170" fontId="0" fillId="2" borderId="0" xfId="0" applyNumberFormat="1" applyFill="1" applyAlignment="1">
      <alignment horizontal="center"/>
    </xf>
    <xf numFmtId="0" fontId="4" fillId="0" borderId="0" xfId="0" applyFont="1" applyFill="1" applyBorder="1" applyAlignment="1">
      <alignment horizontal="right"/>
    </xf>
    <xf numFmtId="0" fontId="0" fillId="0" borderId="0" xfId="0" applyFont="1" applyFill="1" applyBorder="1"/>
    <xf numFmtId="0" fontId="0" fillId="0" borderId="0" xfId="0" applyFill="1" applyBorder="1" applyAlignment="1">
      <alignment horizontal="center"/>
    </xf>
    <xf numFmtId="9" fontId="4" fillId="0" borderId="0" xfId="2" applyFont="1" applyFill="1" applyBorder="1"/>
    <xf numFmtId="5" fontId="4" fillId="0" borderId="0" xfId="2" applyNumberFormat="1" applyFont="1" applyFill="1" applyBorder="1"/>
    <xf numFmtId="0" fontId="0" fillId="3" borderId="0" xfId="0" applyFill="1" applyAlignment="1">
      <alignment horizontal="right"/>
    </xf>
    <xf numFmtId="9" fontId="67" fillId="0" borderId="0" xfId="2" applyFont="1" applyAlignment="1">
      <alignment horizontal="center"/>
    </xf>
    <xf numFmtId="164" fontId="46" fillId="0" borderId="0" xfId="1" applyNumberFormat="1" applyFont="1" applyAlignment="1">
      <alignment horizontal="center"/>
    </xf>
    <xf numFmtId="167" fontId="48" fillId="0" borderId="0" xfId="0" applyNumberFormat="1" applyFont="1" applyFill="1"/>
    <xf numFmtId="0" fontId="0" fillId="0" borderId="0" xfId="0" applyFill="1"/>
    <xf numFmtId="164" fontId="0" fillId="0" borderId="0" xfId="1" applyNumberFormat="1" applyFont="1"/>
    <xf numFmtId="164" fontId="0" fillId="0" borderId="13" xfId="1" applyNumberFormat="1" applyFont="1" applyBorder="1"/>
    <xf numFmtId="168" fontId="24" fillId="0" borderId="0" xfId="44" applyNumberFormat="1" applyFont="1" applyFill="1"/>
    <xf numFmtId="166" fontId="4" fillId="0" borderId="0" xfId="1" applyNumberFormat="1" applyFont="1" applyFill="1" applyAlignment="1">
      <alignment horizontal="center"/>
    </xf>
    <xf numFmtId="165" fontId="0" fillId="0" borderId="0" xfId="0" applyNumberFormat="1"/>
    <xf numFmtId="0" fontId="22" fillId="0" borderId="0" xfId="44" applyFill="1"/>
    <xf numFmtId="164" fontId="33" fillId="0" borderId="0" xfId="1" applyNumberFormat="1" applyFont="1"/>
    <xf numFmtId="17" fontId="0" fillId="0" borderId="3" xfId="0" applyNumberFormat="1" applyFont="1" applyFill="1" applyBorder="1" applyAlignment="1">
      <alignment horizontal="center"/>
    </xf>
    <xf numFmtId="169" fontId="0" fillId="0" borderId="0" xfId="0" applyNumberFormat="1"/>
    <xf numFmtId="169" fontId="0" fillId="0" borderId="0" xfId="11334" applyNumberFormat="1" applyFont="1"/>
    <xf numFmtId="44" fontId="0" fillId="0" borderId="0" xfId="11334" applyFont="1"/>
    <xf numFmtId="0" fontId="0" fillId="0" borderId="0" xfId="0"/>
    <xf numFmtId="44" fontId="32" fillId="0" borderId="2" xfId="11334" applyFont="1" applyBorder="1"/>
    <xf numFmtId="168" fontId="22" fillId="0" borderId="0" xfId="44" applyNumberFormat="1" applyFont="1"/>
    <xf numFmtId="168" fontId="32" fillId="0" borderId="2" xfId="44" applyNumberFormat="1" applyFont="1" applyBorder="1"/>
    <xf numFmtId="173" fontId="24" fillId="0" borderId="0" xfId="44" applyNumberFormat="1" applyFont="1" applyFill="1" applyBorder="1"/>
    <xf numFmtId="44" fontId="38" fillId="0" borderId="0" xfId="11334" applyFont="1"/>
    <xf numFmtId="0" fontId="4" fillId="0" borderId="0" xfId="0" applyFont="1" applyFill="1" applyAlignment="1">
      <alignment horizontal="center"/>
    </xf>
    <xf numFmtId="0" fontId="68" fillId="0" borderId="0" xfId="0" applyFont="1"/>
    <xf numFmtId="170" fontId="68" fillId="2" borderId="0" xfId="0" applyNumberFormat="1" applyFont="1" applyFill="1" applyAlignment="1">
      <alignment horizontal="center"/>
    </xf>
    <xf numFmtId="164" fontId="68" fillId="0" borderId="0" xfId="0" applyNumberFormat="1" applyFont="1"/>
    <xf numFmtId="44" fontId="67" fillId="0" borderId="0" xfId="11334" applyFont="1" applyAlignment="1">
      <alignment horizontal="center"/>
    </xf>
    <xf numFmtId="0" fontId="68" fillId="0" borderId="0" xfId="0" applyFont="1" applyAlignment="1">
      <alignment wrapText="1"/>
    </xf>
    <xf numFmtId="164" fontId="68" fillId="0" borderId="0" xfId="1" applyNumberFormat="1" applyFont="1"/>
    <xf numFmtId="0" fontId="50" fillId="47" borderId="0" xfId="0" applyFont="1" applyFill="1"/>
    <xf numFmtId="0" fontId="6" fillId="25" borderId="0" xfId="32" applyAlignment="1">
      <alignment horizontal="right"/>
    </xf>
    <xf numFmtId="0" fontId="6" fillId="33" borderId="0" xfId="40" applyAlignment="1">
      <alignment horizontal="right"/>
    </xf>
    <xf numFmtId="44" fontId="68" fillId="0" borderId="0" xfId="11334" applyFont="1"/>
    <xf numFmtId="169" fontId="68" fillId="0" borderId="0" xfId="11334" applyNumberFormat="1" applyFont="1"/>
    <xf numFmtId="44" fontId="68" fillId="0" borderId="0" xfId="0" applyNumberFormat="1" applyFont="1"/>
    <xf numFmtId="10" fontId="67" fillId="0" borderId="0" xfId="2" applyNumberFormat="1" applyFont="1" applyAlignment="1">
      <alignment horizontal="center"/>
    </xf>
    <xf numFmtId="0" fontId="0" fillId="47" borderId="0" xfId="0" applyFill="1" applyAlignment="1">
      <alignment horizontal="left" indent="1"/>
    </xf>
    <xf numFmtId="164" fontId="0" fillId="47" borderId="0" xfId="1" applyNumberFormat="1" applyFont="1" applyFill="1"/>
    <xf numFmtId="44" fontId="0" fillId="47" borderId="0" xfId="11334" applyFont="1" applyFill="1"/>
    <xf numFmtId="180" fontId="67" fillId="0" borderId="0" xfId="11334" applyNumberFormat="1" applyFont="1" applyAlignment="1">
      <alignment horizontal="center"/>
    </xf>
    <xf numFmtId="165" fontId="50" fillId="0" borderId="0" xfId="2" applyNumberFormat="1" applyFont="1" applyFill="1" applyBorder="1" applyAlignment="1">
      <alignment horizontal="center"/>
    </xf>
    <xf numFmtId="0" fontId="68" fillId="46" borderId="0" xfId="0" applyFont="1" applyFill="1"/>
    <xf numFmtId="0" fontId="4" fillId="47" borderId="23" xfId="0" applyFont="1" applyFill="1" applyBorder="1"/>
    <xf numFmtId="174" fontId="49" fillId="0" borderId="21" xfId="0" applyNumberFormat="1" applyFont="1" applyFill="1" applyBorder="1"/>
    <xf numFmtId="49" fontId="49" fillId="0" borderId="0" xfId="0" applyNumberFormat="1" applyFont="1" applyFill="1" applyBorder="1"/>
    <xf numFmtId="183" fontId="68" fillId="0" borderId="0" xfId="0" applyNumberFormat="1" applyFont="1"/>
    <xf numFmtId="165" fontId="68" fillId="0" borderId="0" xfId="2" applyNumberFormat="1" applyFont="1"/>
    <xf numFmtId="165" fontId="68" fillId="0" borderId="0" xfId="0" applyNumberFormat="1" applyFont="1"/>
    <xf numFmtId="9" fontId="68" fillId="0" borderId="0" xfId="2" applyFont="1"/>
    <xf numFmtId="164" fontId="66" fillId="0" borderId="0" xfId="1" applyNumberFormat="1" applyFont="1"/>
    <xf numFmtId="0" fontId="68" fillId="59" borderId="0" xfId="0" applyFont="1" applyFill="1"/>
    <xf numFmtId="169" fontId="68" fillId="59" borderId="0" xfId="11334" applyNumberFormat="1" applyFont="1" applyFill="1"/>
    <xf numFmtId="169" fontId="68" fillId="0" borderId="0" xfId="0" applyNumberFormat="1" applyFont="1"/>
    <xf numFmtId="0" fontId="71" fillId="60" borderId="0" xfId="0" applyFont="1" applyFill="1"/>
    <xf numFmtId="44" fontId="71" fillId="60" borderId="0" xfId="11334" applyFont="1" applyFill="1"/>
    <xf numFmtId="169" fontId="71" fillId="60" borderId="0" xfId="11334" applyNumberFormat="1" applyFont="1" applyFill="1"/>
    <xf numFmtId="10" fontId="68" fillId="0" borderId="0" xfId="2" applyNumberFormat="1" applyFont="1"/>
    <xf numFmtId="44" fontId="67" fillId="0" borderId="0" xfId="11334" applyNumberFormat="1" applyFont="1" applyAlignment="1">
      <alignment horizontal="center"/>
    </xf>
    <xf numFmtId="14" fontId="68" fillId="0" borderId="0" xfId="0" applyNumberFormat="1" applyFont="1"/>
    <xf numFmtId="169" fontId="68" fillId="61" borderId="0" xfId="11334" applyNumberFormat="1" applyFont="1" applyFill="1"/>
    <xf numFmtId="8" fontId="0" fillId="0" borderId="0" xfId="0" applyNumberFormat="1" applyFill="1"/>
    <xf numFmtId="9" fontId="0" fillId="0" borderId="0" xfId="0" applyNumberFormat="1" applyFill="1"/>
    <xf numFmtId="0" fontId="50" fillId="0" borderId="0" xfId="0" applyFont="1" applyFill="1"/>
    <xf numFmtId="169" fontId="68" fillId="0" borderId="16" xfId="0" applyNumberFormat="1" applyFont="1" applyBorder="1"/>
    <xf numFmtId="169" fontId="68" fillId="0" borderId="3" xfId="11334" applyNumberFormat="1" applyFont="1" applyBorder="1"/>
    <xf numFmtId="169" fontId="68" fillId="0" borderId="15" xfId="11334" applyNumberFormat="1" applyFont="1" applyBorder="1"/>
    <xf numFmtId="169" fontId="68" fillId="59" borderId="0" xfId="0" applyNumberFormat="1" applyFont="1" applyFill="1"/>
    <xf numFmtId="0" fontId="0" fillId="0" borderId="0" xfId="0"/>
    <xf numFmtId="169" fontId="0" fillId="0" borderId="0" xfId="11334" applyNumberFormat="1" applyFont="1"/>
    <xf numFmtId="9" fontId="67" fillId="0" borderId="0" xfId="2" applyFont="1" applyAlignment="1">
      <alignment horizontal="center"/>
    </xf>
    <xf numFmtId="0" fontId="0" fillId="0" borderId="0" xfId="0" applyAlignment="1">
      <alignment horizontal="center"/>
    </xf>
    <xf numFmtId="44" fontId="33" fillId="0" borderId="0" xfId="11334" applyNumberFormat="1" applyFont="1" applyAlignment="1">
      <alignment horizontal="center"/>
    </xf>
    <xf numFmtId="169" fontId="0" fillId="0" borderId="0" xfId="11334" applyNumberFormat="1" applyFont="1" applyAlignment="1">
      <alignment vertical="center"/>
    </xf>
    <xf numFmtId="169" fontId="30" fillId="0" borderId="0" xfId="11334" applyNumberFormat="1" applyFont="1"/>
    <xf numFmtId="179" fontId="0" fillId="0" borderId="0" xfId="11334" applyNumberFormat="1" applyFont="1" applyFill="1"/>
    <xf numFmtId="44" fontId="0" fillId="0" borderId="0" xfId="11334" applyFont="1" applyFill="1"/>
    <xf numFmtId="165" fontId="0" fillId="0" borderId="0" xfId="2" applyNumberFormat="1" applyFont="1" applyFill="1"/>
    <xf numFmtId="178" fontId="0" fillId="0" borderId="0" xfId="0" applyNumberFormat="1"/>
    <xf numFmtId="175" fontId="50" fillId="0" borderId="0" xfId="11334" applyNumberFormat="1" applyFont="1" applyFill="1" applyBorder="1" applyAlignment="1">
      <alignment horizontal="center"/>
    </xf>
    <xf numFmtId="9" fontId="0" fillId="0" borderId="0" xfId="0" applyNumberFormat="1"/>
    <xf numFmtId="164" fontId="0" fillId="0" borderId="0" xfId="0" applyNumberFormat="1" applyFill="1"/>
    <xf numFmtId="0" fontId="68" fillId="0" borderId="0" xfId="0" applyFont="1" applyBorder="1"/>
    <xf numFmtId="174" fontId="49" fillId="0" borderId="0" xfId="0" applyNumberFormat="1" applyFont="1" applyFill="1" applyBorder="1"/>
    <xf numFmtId="164" fontId="68" fillId="0" borderId="0" xfId="1" applyNumberFormat="1" applyFont="1" applyBorder="1"/>
    <xf numFmtId="183" fontId="68" fillId="0" borderId="0" xfId="0" applyNumberFormat="1" applyFont="1" applyBorder="1"/>
    <xf numFmtId="0" fontId="0" fillId="0" borderId="0" xfId="0"/>
    <xf numFmtId="14" fontId="0" fillId="0" borderId="0" xfId="0" applyNumberFormat="1"/>
    <xf numFmtId="164" fontId="26" fillId="0" borderId="0" xfId="1" applyNumberFormat="1" applyFont="1"/>
    <xf numFmtId="164" fontId="0" fillId="0" borderId="0" xfId="1" applyNumberFormat="1" applyFont="1"/>
    <xf numFmtId="0" fontId="4" fillId="0" borderId="0" xfId="0" applyFont="1" applyFill="1"/>
    <xf numFmtId="3" fontId="0" fillId="0" borderId="0" xfId="0" applyNumberFormat="1"/>
    <xf numFmtId="49" fontId="64" fillId="0" borderId="0" xfId="10725" applyNumberFormat="1" applyFont="1"/>
    <xf numFmtId="44" fontId="0" fillId="0" borderId="0" xfId="0" applyNumberFormat="1"/>
    <xf numFmtId="0" fontId="68" fillId="0" borderId="0" xfId="0" applyFont="1"/>
    <xf numFmtId="169" fontId="68" fillId="0" borderId="0" xfId="11334" applyNumberFormat="1" applyFont="1"/>
    <xf numFmtId="184" fontId="0" fillId="0" borderId="0" xfId="0" applyNumberFormat="1"/>
    <xf numFmtId="173" fontId="22" fillId="0" borderId="0" xfId="44" applyNumberFormat="1" applyFont="1"/>
    <xf numFmtId="169" fontId="0" fillId="48" borderId="0" xfId="11334" applyNumberFormat="1" applyFont="1" applyFill="1"/>
    <xf numFmtId="169" fontId="68" fillId="0" borderId="0" xfId="11334" applyNumberFormat="1" applyFont="1" applyBorder="1"/>
    <xf numFmtId="44" fontId="68" fillId="0" borderId="0" xfId="0" applyNumberFormat="1" applyFont="1" applyBorder="1"/>
    <xf numFmtId="14" fontId="68" fillId="0" borderId="0" xfId="0" applyNumberFormat="1" applyFont="1" applyBorder="1"/>
    <xf numFmtId="185" fontId="74" fillId="0" borderId="0" xfId="0" applyNumberFormat="1" applyFont="1" applyFill="1" applyBorder="1" applyAlignment="1" applyProtection="1">
      <alignment horizontal="right"/>
    </xf>
    <xf numFmtId="185" fontId="75" fillId="0" borderId="0" xfId="0" applyNumberFormat="1" applyFont="1" applyFill="1" applyBorder="1" applyAlignment="1" applyProtection="1">
      <alignment horizontal="right"/>
    </xf>
    <xf numFmtId="171" fontId="4" fillId="0" borderId="0" xfId="0" applyNumberFormat="1" applyFont="1" applyBorder="1"/>
    <xf numFmtId="171" fontId="4" fillId="55" borderId="0" xfId="0" applyNumberFormat="1" applyFont="1" applyFill="1" applyBorder="1"/>
    <xf numFmtId="0" fontId="0" fillId="55" borderId="0" xfId="0" applyFill="1" applyBorder="1"/>
    <xf numFmtId="5" fontId="4" fillId="0" borderId="0" xfId="0" applyNumberFormat="1" applyFont="1" applyFill="1" applyBorder="1"/>
    <xf numFmtId="10" fontId="0" fillId="0" borderId="0" xfId="2" applyNumberFormat="1" applyFont="1" applyFill="1" applyBorder="1"/>
    <xf numFmtId="0" fontId="6" fillId="0" borderId="0" xfId="0" applyFont="1" applyFill="1" applyBorder="1" applyAlignment="1">
      <alignment horizontal="left" indent="1"/>
    </xf>
    <xf numFmtId="185" fontId="0" fillId="0" borderId="0" xfId="0" applyNumberFormat="1" applyFill="1" applyBorder="1"/>
    <xf numFmtId="0" fontId="0" fillId="0" borderId="0" xfId="0" applyFont="1" applyFill="1" applyBorder="1" applyAlignment="1">
      <alignment horizontal="left" indent="1"/>
    </xf>
    <xf numFmtId="49" fontId="76" fillId="0" borderId="0" xfId="0" applyNumberFormat="1" applyFont="1" applyFill="1" applyBorder="1" applyAlignment="1" applyProtection="1">
      <alignment horizontal="left"/>
    </xf>
    <xf numFmtId="0" fontId="0" fillId="0" borderId="20" xfId="0" applyFont="1" applyFill="1" applyBorder="1"/>
    <xf numFmtId="0" fontId="0" fillId="0" borderId="20" xfId="0" applyFill="1" applyBorder="1"/>
    <xf numFmtId="185" fontId="0" fillId="0" borderId="20" xfId="0" applyNumberFormat="1" applyFill="1" applyBorder="1"/>
    <xf numFmtId="6" fontId="51" fillId="0" borderId="0" xfId="0" applyNumberFormat="1" applyFont="1" applyFill="1" applyBorder="1" applyAlignment="1">
      <alignment horizontal="left" vertical="center"/>
    </xf>
    <xf numFmtId="0" fontId="51" fillId="0" borderId="0" xfId="0" applyFont="1" applyFill="1" applyBorder="1" applyAlignment="1">
      <alignment horizontal="center" vertical="center" wrapText="1"/>
    </xf>
    <xf numFmtId="0" fontId="51" fillId="0" borderId="0" xfId="0" applyFont="1" applyFill="1" applyBorder="1" applyAlignment="1">
      <alignment horizontal="center" wrapText="1"/>
    </xf>
    <xf numFmtId="0" fontId="0" fillId="0" borderId="0" xfId="0" applyFill="1" applyBorder="1" applyAlignment="1">
      <alignment vertical="center"/>
    </xf>
    <xf numFmtId="0" fontId="52" fillId="0" borderId="0" xfId="0" applyFont="1" applyFill="1" applyBorder="1" applyAlignment="1">
      <alignment horizontal="left" wrapText="1" readingOrder="1"/>
    </xf>
    <xf numFmtId="0" fontId="53" fillId="0" borderId="0" xfId="0" applyFont="1" applyFill="1" applyBorder="1" applyAlignment="1">
      <alignment horizontal="left" wrapText="1" indent="4" readingOrder="1"/>
    </xf>
    <xf numFmtId="175" fontId="54" fillId="0" borderId="0" xfId="11334" applyNumberFormat="1" applyFont="1" applyFill="1" applyBorder="1" applyAlignment="1">
      <alignment horizontal="center"/>
    </xf>
    <xf numFmtId="0" fontId="30" fillId="0" borderId="0" xfId="0" applyFont="1" applyFill="1" applyBorder="1"/>
    <xf numFmtId="175" fontId="55" fillId="0" borderId="0" xfId="11334" applyNumberFormat="1" applyFont="1" applyFill="1" applyBorder="1" applyAlignment="1">
      <alignment horizontal="center"/>
    </xf>
    <xf numFmtId="177" fontId="50" fillId="0" borderId="0" xfId="11334" applyNumberFormat="1" applyFont="1" applyFill="1" applyBorder="1" applyAlignment="1">
      <alignment horizontal="center"/>
    </xf>
    <xf numFmtId="9" fontId="50" fillId="0" borderId="0" xfId="2" applyFont="1" applyFill="1" applyBorder="1" applyAlignment="1">
      <alignment horizontal="center"/>
    </xf>
    <xf numFmtId="175" fontId="30" fillId="0" borderId="0" xfId="0" applyNumberFormat="1" applyFont="1" applyFill="1" applyBorder="1"/>
    <xf numFmtId="177" fontId="50" fillId="0" borderId="0" xfId="2" applyNumberFormat="1" applyFont="1" applyFill="1" applyBorder="1" applyAlignment="1">
      <alignment horizontal="center"/>
    </xf>
    <xf numFmtId="9" fontId="50" fillId="0" borderId="0" xfId="2" quotePrefix="1" applyFont="1" applyFill="1" applyBorder="1" applyAlignment="1">
      <alignment horizontal="center"/>
    </xf>
    <xf numFmtId="0" fontId="52" fillId="0" borderId="0" xfId="0" applyFont="1" applyFill="1" applyBorder="1" applyAlignment="1">
      <alignment horizontal="left" wrapText="1" indent="2" readingOrder="1"/>
    </xf>
    <xf numFmtId="176" fontId="50" fillId="0" borderId="0" xfId="11334" applyNumberFormat="1" applyFont="1" applyFill="1" applyBorder="1" applyAlignment="1">
      <alignment horizontal="center"/>
    </xf>
    <xf numFmtId="37" fontId="50" fillId="0" borderId="0" xfId="11334" applyNumberFormat="1" applyFont="1" applyFill="1" applyBorder="1" applyAlignment="1">
      <alignment horizontal="center"/>
    </xf>
    <xf numFmtId="165" fontId="54" fillId="0" borderId="0" xfId="2" applyNumberFormat="1" applyFont="1" applyFill="1" applyBorder="1" applyAlignment="1">
      <alignment horizontal="center"/>
    </xf>
    <xf numFmtId="165" fontId="50" fillId="0" borderId="0" xfId="2" quotePrefix="1" applyNumberFormat="1" applyFont="1" applyFill="1" applyBorder="1" applyAlignment="1">
      <alignment horizontal="center"/>
    </xf>
    <xf numFmtId="167" fontId="0" fillId="0" borderId="0" xfId="0" applyNumberFormat="1" applyFill="1" applyBorder="1"/>
    <xf numFmtId="44" fontId="0" fillId="0" borderId="0" xfId="11334" applyFont="1" applyFill="1" applyBorder="1"/>
    <xf numFmtId="167" fontId="50" fillId="0" borderId="0" xfId="11334" applyNumberFormat="1" applyFont="1" applyFill="1" applyBorder="1" applyAlignment="1">
      <alignment horizontal="center" vertical="center"/>
    </xf>
    <xf numFmtId="43" fontId="0" fillId="0" borderId="0" xfId="1" applyFont="1"/>
    <xf numFmtId="0" fontId="78" fillId="0" borderId="0" xfId="0" applyFont="1"/>
    <xf numFmtId="0" fontId="0" fillId="0" borderId="0" xfId="0" applyAlignment="1">
      <alignment horizontal="left" vertical="center" indent="5"/>
    </xf>
    <xf numFmtId="169" fontId="0" fillId="62" borderId="0" xfId="11334" applyNumberFormat="1" applyFont="1" applyFill="1"/>
    <xf numFmtId="0" fontId="0" fillId="62" borderId="0" xfId="0" applyFill="1"/>
    <xf numFmtId="169" fontId="0" fillId="62" borderId="0" xfId="0" applyNumberFormat="1" applyFill="1"/>
    <xf numFmtId="0" fontId="4" fillId="62" borderId="0" xfId="0" applyFont="1" applyFill="1"/>
    <xf numFmtId="164" fontId="23" fillId="0" borderId="32" xfId="1" applyNumberFormat="1" applyFont="1" applyFill="1" applyBorder="1" applyAlignment="1">
      <alignment horizontal="right" wrapText="1"/>
    </xf>
    <xf numFmtId="14" fontId="0" fillId="46" borderId="0" xfId="0" applyNumberFormat="1" applyFill="1" applyAlignment="1">
      <alignment horizontal="left"/>
    </xf>
    <xf numFmtId="0" fontId="0" fillId="46" borderId="0" xfId="0" applyFill="1"/>
    <xf numFmtId="9" fontId="67" fillId="0" borderId="0" xfId="2" applyFont="1" applyAlignment="1">
      <alignment horizontal="right"/>
    </xf>
    <xf numFmtId="164" fontId="66" fillId="0" borderId="0" xfId="1" applyNumberFormat="1" applyFont="1" applyAlignment="1">
      <alignment horizontal="right"/>
    </xf>
    <xf numFmtId="165" fontId="0" fillId="46" borderId="0" xfId="2" applyNumberFormat="1" applyFont="1" applyFill="1"/>
    <xf numFmtId="164" fontId="0" fillId="46" borderId="0" xfId="1" applyNumberFormat="1" applyFont="1" applyFill="1"/>
    <xf numFmtId="0" fontId="4" fillId="47" borderId="0" xfId="0" applyFont="1" applyFill="1"/>
    <xf numFmtId="0" fontId="4" fillId="59" borderId="0" xfId="0" applyFont="1" applyFill="1"/>
    <xf numFmtId="44" fontId="5" fillId="46" borderId="0" xfId="11334" applyNumberFormat="1" applyFont="1" applyFill="1" applyAlignment="1">
      <alignment horizontal="center"/>
    </xf>
    <xf numFmtId="0" fontId="4" fillId="46" borderId="0" xfId="0" applyFont="1" applyFill="1" applyAlignment="1">
      <alignment horizontal="right"/>
    </xf>
    <xf numFmtId="0" fontId="78" fillId="57" borderId="0" xfId="0" applyFont="1" applyFill="1"/>
    <xf numFmtId="0" fontId="78" fillId="0" borderId="0" xfId="0" applyFont="1" applyFill="1"/>
    <xf numFmtId="170" fontId="78" fillId="0" borderId="0" xfId="0" applyNumberFormat="1" applyFont="1" applyFill="1" applyAlignment="1">
      <alignment horizontal="center"/>
    </xf>
    <xf numFmtId="14" fontId="78" fillId="46" borderId="0" xfId="0" applyNumberFormat="1" applyFont="1" applyFill="1" applyAlignment="1">
      <alignment horizontal="left"/>
    </xf>
    <xf numFmtId="14" fontId="78" fillId="0" borderId="0" xfId="0" applyNumberFormat="1" applyFont="1"/>
    <xf numFmtId="44" fontId="78" fillId="0" borderId="0" xfId="11334" applyFont="1"/>
    <xf numFmtId="43" fontId="78" fillId="0" borderId="0" xfId="1" applyFont="1"/>
    <xf numFmtId="0" fontId="79" fillId="57" borderId="0" xfId="0" applyFont="1" applyFill="1"/>
    <xf numFmtId="0" fontId="78" fillId="46" borderId="0" xfId="0" applyFont="1" applyFill="1"/>
    <xf numFmtId="0" fontId="78" fillId="57" borderId="0" xfId="0" applyFont="1" applyFill="1" applyAlignment="1">
      <alignment horizontal="left" indent="2"/>
    </xf>
    <xf numFmtId="169" fontId="78" fillId="46" borderId="0" xfId="11334" applyNumberFormat="1" applyFont="1" applyFill="1"/>
    <xf numFmtId="169" fontId="78" fillId="47" borderId="20" xfId="11334" applyNumberFormat="1" applyFont="1" applyFill="1" applyBorder="1"/>
    <xf numFmtId="178" fontId="78" fillId="46" borderId="0" xfId="2" applyNumberFormat="1" applyFont="1" applyFill="1"/>
    <xf numFmtId="164" fontId="78" fillId="46" borderId="0" xfId="1" applyNumberFormat="1" applyFont="1" applyFill="1"/>
    <xf numFmtId="0" fontId="79" fillId="57" borderId="0" xfId="0" applyFont="1" applyFill="1" applyAlignment="1">
      <alignment horizontal="left" indent="2"/>
    </xf>
    <xf numFmtId="0" fontId="78" fillId="47" borderId="0" xfId="0" applyFont="1" applyFill="1"/>
    <xf numFmtId="0" fontId="78" fillId="57" borderId="0" xfId="0" applyFont="1" applyFill="1" applyAlignment="1">
      <alignment horizontal="left" indent="3"/>
    </xf>
    <xf numFmtId="44" fontId="78" fillId="47" borderId="0" xfId="11334" applyNumberFormat="1" applyFont="1" applyFill="1"/>
    <xf numFmtId="14" fontId="78" fillId="47" borderId="0" xfId="0" applyNumberFormat="1" applyFont="1" applyFill="1"/>
    <xf numFmtId="44" fontId="78" fillId="47" borderId="0" xfId="0" applyNumberFormat="1" applyFont="1" applyFill="1"/>
    <xf numFmtId="0" fontId="80" fillId="2" borderId="0" xfId="10676" applyFont="1" applyFill="1" applyBorder="1" applyAlignment="1" applyProtection="1">
      <alignment horizontal="center" vertical="center" wrapText="1"/>
      <protection hidden="1"/>
    </xf>
    <xf numFmtId="8" fontId="80" fillId="2" borderId="0" xfId="10676" applyNumberFormat="1" applyFont="1" applyFill="1" applyBorder="1" applyAlignment="1" applyProtection="1">
      <alignment horizontal="center" vertical="center" wrapText="1"/>
      <protection hidden="1"/>
    </xf>
    <xf numFmtId="43" fontId="78" fillId="47" borderId="0" xfId="0" applyNumberFormat="1" applyFont="1" applyFill="1"/>
    <xf numFmtId="17" fontId="22" fillId="0" borderId="0" xfId="44" applyNumberFormat="1" applyBorder="1" applyAlignment="1">
      <alignment horizontal="center"/>
    </xf>
    <xf numFmtId="168" fontId="32" fillId="0" borderId="16" xfId="44" applyNumberFormat="1" applyFont="1" applyBorder="1"/>
    <xf numFmtId="0" fontId="32" fillId="0" borderId="16" xfId="44" applyFont="1" applyBorder="1"/>
    <xf numFmtId="173" fontId="32" fillId="0" borderId="15" xfId="44" applyNumberFormat="1" applyFont="1" applyBorder="1"/>
    <xf numFmtId="0" fontId="24" fillId="0" borderId="0" xfId="44" applyFont="1" applyBorder="1"/>
    <xf numFmtId="44" fontId="24" fillId="0" borderId="0" xfId="44" applyNumberFormat="1" applyFont="1" applyBorder="1"/>
    <xf numFmtId="17" fontId="32" fillId="0" borderId="0" xfId="44" applyNumberFormat="1" applyFont="1" applyBorder="1" applyAlignment="1">
      <alignment horizontal="center"/>
    </xf>
    <xf numFmtId="168" fontId="7" fillId="0" borderId="0" xfId="44" applyNumberFormat="1" applyFont="1"/>
    <xf numFmtId="4" fontId="0" fillId="0" borderId="0" xfId="0" applyNumberFormat="1"/>
    <xf numFmtId="0" fontId="0" fillId="0" borderId="0" xfId="0"/>
    <xf numFmtId="175" fontId="0" fillId="0" borderId="0" xfId="0" applyNumberFormat="1"/>
    <xf numFmtId="175" fontId="71" fillId="0" borderId="0" xfId="11334" applyNumberFormat="1" applyFont="1" applyFill="1" applyBorder="1" applyAlignment="1">
      <alignment horizontal="center"/>
    </xf>
    <xf numFmtId="165" fontId="71" fillId="0" borderId="0" xfId="2" applyNumberFormat="1" applyFont="1" applyFill="1" applyBorder="1" applyAlignment="1">
      <alignment horizontal="center"/>
    </xf>
    <xf numFmtId="176" fontId="82" fillId="0" borderId="0" xfId="11334" applyNumberFormat="1" applyFont="1" applyFill="1" applyBorder="1" applyAlignment="1">
      <alignment horizontal="center"/>
    </xf>
    <xf numFmtId="1" fontId="71" fillId="0" borderId="0" xfId="1" applyNumberFormat="1" applyFont="1" applyFill="1" applyBorder="1" applyAlignment="1">
      <alignment horizontal="center"/>
    </xf>
    <xf numFmtId="0" fontId="63" fillId="0" borderId="0" xfId="0" applyFont="1" applyFill="1" applyBorder="1" applyAlignment="1">
      <alignment horizontal="center" wrapText="1"/>
    </xf>
    <xf numFmtId="1" fontId="71" fillId="0" borderId="0" xfId="11334" applyNumberFormat="1" applyFont="1" applyFill="1" applyBorder="1" applyAlignment="1">
      <alignment horizontal="center"/>
    </xf>
    <xf numFmtId="44" fontId="78" fillId="0" borderId="0" xfId="0" applyNumberFormat="1" applyFont="1"/>
    <xf numFmtId="168" fontId="44" fillId="0" borderId="2" xfId="44" applyNumberFormat="1" applyFont="1" applyBorder="1"/>
    <xf numFmtId="168" fontId="44" fillId="0" borderId="16" xfId="44" applyNumberFormat="1" applyFont="1" applyBorder="1"/>
    <xf numFmtId="44" fontId="22" fillId="0" borderId="0" xfId="11334" applyFont="1"/>
    <xf numFmtId="169" fontId="0" fillId="0" borderId="0" xfId="11334" applyNumberFormat="1" applyFont="1" applyBorder="1"/>
    <xf numFmtId="169" fontId="32" fillId="0" borderId="2" xfId="11334" applyNumberFormat="1" applyFont="1" applyBorder="1"/>
    <xf numFmtId="0" fontId="84" fillId="0" borderId="0" xfId="0" applyFont="1" applyFill="1"/>
    <xf numFmtId="186" fontId="67" fillId="0" borderId="0" xfId="11334" applyNumberFormat="1" applyFont="1" applyAlignment="1">
      <alignment horizontal="center"/>
    </xf>
    <xf numFmtId="169" fontId="5" fillId="46" borderId="0" xfId="11334" applyNumberFormat="1" applyFont="1" applyFill="1" applyAlignment="1">
      <alignment horizontal="center"/>
    </xf>
    <xf numFmtId="169" fontId="0" fillId="47" borderId="0" xfId="11334" applyNumberFormat="1" applyFont="1" applyFill="1"/>
    <xf numFmtId="3" fontId="0" fillId="0" borderId="0" xfId="0" applyNumberFormat="1" applyAlignment="1">
      <alignment horizontal="center"/>
    </xf>
    <xf numFmtId="9" fontId="33" fillId="0" borderId="0" xfId="2" applyFont="1"/>
    <xf numFmtId="0" fontId="0" fillId="47" borderId="34" xfId="0" applyFill="1" applyBorder="1" applyAlignment="1">
      <alignment vertical="center" wrapText="1"/>
    </xf>
    <xf numFmtId="0" fontId="0" fillId="47" borderId="35" xfId="0" applyFill="1" applyBorder="1" applyAlignment="1">
      <alignment vertical="center" wrapText="1"/>
    </xf>
    <xf numFmtId="0" fontId="0" fillId="0" borderId="36" xfId="0" applyBorder="1" applyAlignment="1">
      <alignment vertical="center" wrapText="1"/>
    </xf>
    <xf numFmtId="0" fontId="0" fillId="0" borderId="30" xfId="0" applyBorder="1" applyAlignment="1">
      <alignment horizontal="center" vertical="center" wrapText="1"/>
    </xf>
    <xf numFmtId="169" fontId="0" fillId="0" borderId="30" xfId="11334" applyNumberFormat="1" applyFont="1" applyBorder="1" applyAlignment="1">
      <alignment vertical="center" wrapText="1"/>
    </xf>
    <xf numFmtId="169" fontId="84" fillId="0" borderId="0" xfId="0" applyNumberFormat="1" applyFont="1"/>
    <xf numFmtId="164" fontId="50" fillId="0" borderId="0" xfId="1" applyNumberFormat="1" applyFont="1" applyFill="1" applyBorder="1" applyAlignment="1">
      <alignment horizontal="center" vertical="center" wrapText="1"/>
    </xf>
    <xf numFmtId="43" fontId="0" fillId="0" borderId="0" xfId="0" applyNumberFormat="1" applyFill="1"/>
    <xf numFmtId="0" fontId="0" fillId="0" borderId="0" xfId="0" applyAlignment="1">
      <alignment horizontal="left"/>
    </xf>
    <xf numFmtId="182" fontId="68" fillId="0" borderId="0" xfId="0" applyNumberFormat="1" applyFont="1" applyBorder="1"/>
    <xf numFmtId="179" fontId="0" fillId="0" borderId="0" xfId="11334" applyNumberFormat="1" applyFont="1"/>
    <xf numFmtId="0" fontId="0" fillId="0" borderId="0" xfId="0"/>
    <xf numFmtId="174" fontId="49" fillId="0" borderId="0" xfId="0" applyNumberFormat="1" applyFont="1"/>
    <xf numFmtId="0" fontId="85" fillId="0" borderId="0" xfId="0" applyFont="1"/>
    <xf numFmtId="49" fontId="86" fillId="0" borderId="0" xfId="10725" applyNumberFormat="1" applyFont="1"/>
    <xf numFmtId="9" fontId="0" fillId="46" borderId="0" xfId="0" applyNumberFormat="1" applyFill="1"/>
    <xf numFmtId="0" fontId="22" fillId="0" borderId="0" xfId="44" applyFont="1" applyAlignment="1">
      <alignment horizontal="left" indent="1"/>
    </xf>
    <xf numFmtId="0" fontId="22" fillId="0" borderId="3" xfId="44" applyFont="1" applyBorder="1"/>
    <xf numFmtId="173" fontId="22" fillId="0" borderId="3" xfId="44" applyNumberFormat="1" applyFont="1" applyBorder="1"/>
    <xf numFmtId="0" fontId="22" fillId="0" borderId="0" xfId="44" applyAlignment="1">
      <alignment horizontal="left" indent="1"/>
    </xf>
    <xf numFmtId="10" fontId="22" fillId="0" borderId="0" xfId="2" applyNumberFormat="1" applyFont="1"/>
    <xf numFmtId="0" fontId="70" fillId="65" borderId="0" xfId="44" applyFont="1" applyFill="1"/>
    <xf numFmtId="0" fontId="41" fillId="65" borderId="0" xfId="44" applyFont="1" applyFill="1"/>
    <xf numFmtId="0" fontId="77" fillId="0" borderId="0" xfId="0" applyFont="1" applyAlignment="1">
      <alignment horizontal="center" vertical="top"/>
    </xf>
    <xf numFmtId="0" fontId="57" fillId="0" borderId="0" xfId="0" applyFont="1"/>
    <xf numFmtId="0" fontId="30" fillId="0" borderId="0" xfId="0" applyFont="1" applyFill="1"/>
    <xf numFmtId="0" fontId="89" fillId="50" borderId="27" xfId="0" applyFont="1" applyFill="1" applyBorder="1" applyAlignment="1">
      <alignment horizontal="left" wrapText="1" indent="1" readingOrder="1"/>
    </xf>
    <xf numFmtId="0" fontId="89" fillId="0" borderId="27" xfId="0" applyFont="1" applyFill="1" applyBorder="1" applyAlignment="1">
      <alignment horizontal="left" wrapText="1" indent="1" readingOrder="1"/>
    </xf>
    <xf numFmtId="0" fontId="90" fillId="50" borderId="27" xfId="0" applyFont="1" applyFill="1" applyBorder="1" applyAlignment="1">
      <alignment horizontal="left" wrapText="1" indent="1" readingOrder="1"/>
    </xf>
    <xf numFmtId="0" fontId="91" fillId="0" borderId="0" xfId="0" applyFont="1"/>
    <xf numFmtId="164" fontId="91" fillId="0" borderId="0" xfId="1" applyNumberFormat="1" applyFont="1"/>
    <xf numFmtId="175" fontId="88" fillId="0" borderId="0" xfId="11334" applyNumberFormat="1" applyFont="1" applyFill="1" applyBorder="1" applyAlignment="1">
      <alignment horizontal="center"/>
    </xf>
    <xf numFmtId="0" fontId="91" fillId="0" borderId="0" xfId="0" applyFont="1" applyFill="1" applyBorder="1"/>
    <xf numFmtId="165" fontId="54" fillId="0" borderId="28" xfId="2" applyNumberFormat="1" applyFont="1" applyFill="1" applyBorder="1" applyAlignment="1">
      <alignment horizontal="center"/>
    </xf>
    <xf numFmtId="1" fontId="56" fillId="0" borderId="29" xfId="11334" applyNumberFormat="1" applyFont="1" applyFill="1" applyBorder="1" applyAlignment="1">
      <alignment horizontal="center"/>
    </xf>
    <xf numFmtId="165" fontId="54" fillId="0" borderId="29" xfId="2" applyNumberFormat="1" applyFont="1" applyFill="1" applyBorder="1" applyAlignment="1">
      <alignment horizontal="center"/>
    </xf>
    <xf numFmtId="165" fontId="54" fillId="50" borderId="29" xfId="2" applyNumberFormat="1" applyFont="1" applyFill="1" applyBorder="1" applyAlignment="1">
      <alignment horizontal="center"/>
    </xf>
    <xf numFmtId="175" fontId="91" fillId="50" borderId="29" xfId="11334" applyNumberFormat="1" applyFont="1" applyFill="1" applyBorder="1" applyAlignment="1">
      <alignment horizontal="center"/>
    </xf>
    <xf numFmtId="0" fontId="90" fillId="5" borderId="27" xfId="0" applyFont="1" applyFill="1" applyBorder="1" applyAlignment="1">
      <alignment horizontal="left" wrapText="1" indent="1" readingOrder="1"/>
    </xf>
    <xf numFmtId="165" fontId="54" fillId="5" borderId="29" xfId="2" applyNumberFormat="1" applyFont="1" applyFill="1" applyBorder="1" applyAlignment="1">
      <alignment horizontal="center"/>
    </xf>
    <xf numFmtId="0" fontId="89" fillId="5" borderId="27" xfId="0" applyFont="1" applyFill="1" applyBorder="1" applyAlignment="1">
      <alignment horizontal="left" wrapText="1" indent="1" readingOrder="1"/>
    </xf>
    <xf numFmtId="175" fontId="91" fillId="5" borderId="29" xfId="11334" applyNumberFormat="1" applyFont="1" applyFill="1" applyBorder="1" applyAlignment="1">
      <alignment horizontal="center"/>
    </xf>
    <xf numFmtId="0" fontId="58" fillId="5" borderId="27" xfId="0" applyFont="1" applyFill="1" applyBorder="1" applyAlignment="1">
      <alignment horizontal="left" wrapText="1" readingOrder="1"/>
    </xf>
    <xf numFmtId="175" fontId="56" fillId="5" borderId="29" xfId="11334" applyNumberFormat="1" applyFont="1" applyFill="1" applyBorder="1" applyAlignment="1">
      <alignment horizontal="center"/>
    </xf>
    <xf numFmtId="175" fontId="56" fillId="0" borderId="2" xfId="11334" applyNumberFormat="1" applyFont="1" applyFill="1" applyBorder="1" applyAlignment="1">
      <alignment horizontal="center"/>
    </xf>
    <xf numFmtId="175" fontId="56" fillId="0" borderId="28" xfId="11334" applyNumberFormat="1" applyFont="1" applyFill="1" applyBorder="1" applyAlignment="1">
      <alignment horizontal="center"/>
    </xf>
    <xf numFmtId="0" fontId="97" fillId="0" borderId="0" xfId="0" applyFont="1"/>
    <xf numFmtId="169" fontId="50" fillId="0" borderId="14" xfId="11334" applyNumberFormat="1" applyFont="1" applyBorder="1" applyAlignment="1">
      <alignment horizontal="center" vertical="center"/>
    </xf>
    <xf numFmtId="0" fontId="77" fillId="0" borderId="14" xfId="0" applyFont="1" applyBorder="1" applyAlignment="1">
      <alignment vertical="center"/>
    </xf>
    <xf numFmtId="0" fontId="91" fillId="0" borderId="43" xfId="0" applyFont="1" applyFill="1" applyBorder="1" applyAlignment="1">
      <alignment horizontal="left" vertical="center" indent="2"/>
    </xf>
    <xf numFmtId="0" fontId="77" fillId="0" borderId="43" xfId="0" applyFont="1" applyFill="1" applyBorder="1" applyAlignment="1">
      <alignment horizontal="left" vertical="center" indent="1"/>
    </xf>
    <xf numFmtId="0" fontId="77" fillId="0" borderId="14" xfId="0" applyFont="1" applyFill="1" applyBorder="1" applyAlignment="1">
      <alignment horizontal="left" vertical="center" indent="2"/>
    </xf>
    <xf numFmtId="0" fontId="77" fillId="0" borderId="43" xfId="0" applyFont="1" applyBorder="1" applyAlignment="1">
      <alignment horizontal="left" vertical="center" indent="1"/>
    </xf>
    <xf numFmtId="0" fontId="77" fillId="0" borderId="14" xfId="0" applyFont="1" applyFill="1" applyBorder="1" applyAlignment="1">
      <alignment horizontal="left" vertical="center" indent="1"/>
    </xf>
    <xf numFmtId="169" fontId="50" fillId="0" borderId="0" xfId="11334" applyNumberFormat="1" applyFont="1" applyBorder="1" applyAlignment="1">
      <alignment horizontal="center" vertical="center"/>
    </xf>
    <xf numFmtId="0" fontId="65" fillId="0" borderId="0" xfId="0" applyFont="1" applyAlignment="1">
      <alignment vertical="top"/>
    </xf>
    <xf numFmtId="164" fontId="87" fillId="0" borderId="0" xfId="1" applyNumberFormat="1" applyFont="1" applyFill="1" applyBorder="1" applyAlignment="1">
      <alignment horizontal="center"/>
    </xf>
    <xf numFmtId="164" fontId="87" fillId="0" borderId="41" xfId="1" applyNumberFormat="1" applyFont="1" applyFill="1" applyBorder="1" applyAlignment="1">
      <alignment horizontal="center"/>
    </xf>
    <xf numFmtId="1" fontId="56" fillId="5" borderId="29" xfId="11334" applyNumberFormat="1" applyFont="1" applyFill="1" applyBorder="1" applyAlignment="1">
      <alignment horizontal="center"/>
    </xf>
    <xf numFmtId="165" fontId="56" fillId="5" borderId="29" xfId="2" applyNumberFormat="1" applyFont="1" applyFill="1" applyBorder="1" applyAlignment="1">
      <alignment horizontal="center"/>
    </xf>
    <xf numFmtId="165" fontId="50" fillId="5" borderId="26" xfId="2" applyNumberFormat="1" applyFont="1" applyFill="1" applyBorder="1" applyAlignment="1">
      <alignment horizontal="center"/>
    </xf>
    <xf numFmtId="175" fontId="50" fillId="0" borderId="28" xfId="11334" applyNumberFormat="1" applyFont="1" applyFill="1" applyBorder="1" applyAlignment="1">
      <alignment horizontal="center"/>
    </xf>
    <xf numFmtId="0" fontId="96" fillId="54" borderId="14" xfId="0" applyFont="1" applyFill="1" applyBorder="1" applyAlignment="1">
      <alignment vertical="center"/>
    </xf>
    <xf numFmtId="37" fontId="50" fillId="54" borderId="0" xfId="0" applyNumberFormat="1" applyFont="1" applyFill="1" applyBorder="1" applyAlignment="1">
      <alignment horizontal="center" vertical="center"/>
    </xf>
    <xf numFmtId="37" fontId="50" fillId="54" borderId="41" xfId="0" applyNumberFormat="1" applyFont="1" applyFill="1" applyBorder="1" applyAlignment="1">
      <alignment horizontal="center" vertical="center"/>
    </xf>
    <xf numFmtId="167" fontId="50" fillId="54" borderId="0" xfId="11334" applyNumberFormat="1" applyFont="1" applyFill="1" applyBorder="1" applyAlignment="1">
      <alignment horizontal="center" vertical="center"/>
    </xf>
    <xf numFmtId="167" fontId="50" fillId="54" borderId="41" xfId="11334" applyNumberFormat="1" applyFont="1" applyFill="1" applyBorder="1" applyAlignment="1">
      <alignment horizontal="center" vertical="center"/>
    </xf>
    <xf numFmtId="0" fontId="0" fillId="54" borderId="0" xfId="0" applyFill="1" applyBorder="1"/>
    <xf numFmtId="17" fontId="50" fillId="0" borderId="0" xfId="0" applyNumberFormat="1" applyFont="1" applyFill="1" applyBorder="1" applyAlignment="1">
      <alignment horizontal="right"/>
    </xf>
    <xf numFmtId="17" fontId="50" fillId="0" borderId="41" xfId="0" applyNumberFormat="1" applyFont="1" applyFill="1" applyBorder="1" applyAlignment="1">
      <alignment horizontal="right"/>
    </xf>
    <xf numFmtId="0" fontId="58" fillId="0" borderId="44" xfId="0" applyFont="1" applyFill="1" applyBorder="1" applyAlignment="1">
      <alignment horizontal="left" wrapText="1" readingOrder="1"/>
    </xf>
    <xf numFmtId="0" fontId="30" fillId="0" borderId="0" xfId="0" applyFont="1" applyAlignment="1">
      <alignment horizontal="left" indent="1"/>
    </xf>
    <xf numFmtId="0" fontId="4" fillId="0" borderId="0" xfId="0" applyFont="1" applyAlignment="1">
      <alignment horizontal="left" indent="1"/>
    </xf>
    <xf numFmtId="0" fontId="4" fillId="0" borderId="15" xfId="0" applyFont="1" applyBorder="1"/>
    <xf numFmtId="44" fontId="4" fillId="0" borderId="0" xfId="11334" applyFont="1" applyBorder="1"/>
    <xf numFmtId="0" fontId="30" fillId="0" borderId="0" xfId="0" applyFont="1" applyAlignment="1">
      <alignment horizontal="left" indent="2"/>
    </xf>
    <xf numFmtId="0" fontId="99" fillId="0" borderId="0" xfId="0" applyFont="1" applyAlignment="1">
      <alignment horizontal="left" indent="1"/>
    </xf>
    <xf numFmtId="0" fontId="99" fillId="0" borderId="0" xfId="0" applyFont="1"/>
    <xf numFmtId="175" fontId="0" fillId="0" borderId="0" xfId="2" applyNumberFormat="1" applyFont="1"/>
    <xf numFmtId="0" fontId="92" fillId="0" borderId="0" xfId="0" applyFont="1" applyFill="1"/>
    <xf numFmtId="0" fontId="94" fillId="0" borderId="0" xfId="0" applyFont="1" applyFill="1"/>
    <xf numFmtId="0" fontId="93" fillId="0" borderId="0" xfId="0" applyFont="1" applyFill="1"/>
    <xf numFmtId="0" fontId="71" fillId="0" borderId="0" xfId="0" applyFont="1" applyFill="1"/>
    <xf numFmtId="0" fontId="3" fillId="0" borderId="0" xfId="0" applyFont="1" applyFill="1"/>
    <xf numFmtId="0" fontId="95" fillId="0" borderId="0" xfId="0" applyFont="1" applyFill="1"/>
    <xf numFmtId="0" fontId="0" fillId="67" borderId="0" xfId="0" applyFill="1"/>
    <xf numFmtId="17" fontId="100" fillId="66" borderId="18" xfId="0" applyNumberFormat="1" applyFont="1" applyFill="1" applyBorder="1" applyAlignment="1">
      <alignment horizontal="left" vertical="center"/>
    </xf>
    <xf numFmtId="49" fontId="73" fillId="0" borderId="0" xfId="10725" applyNumberFormat="1" applyFont="1"/>
    <xf numFmtId="17" fontId="51" fillId="52" borderId="26" xfId="0" applyNumberFormat="1" applyFont="1" applyFill="1" applyBorder="1" applyAlignment="1">
      <alignment horizontal="center" wrapText="1"/>
    </xf>
    <xf numFmtId="9" fontId="54" fillId="5" borderId="29" xfId="2" applyNumberFormat="1" applyFont="1" applyFill="1" applyBorder="1" applyAlignment="1">
      <alignment horizontal="center"/>
    </xf>
    <xf numFmtId="0" fontId="58" fillId="0" borderId="46" xfId="0" applyFont="1" applyFill="1" applyBorder="1" applyAlignment="1">
      <alignment horizontal="left" wrapText="1" readingOrder="1"/>
    </xf>
    <xf numFmtId="175" fontId="56" fillId="0" borderId="13" xfId="11334" applyNumberFormat="1" applyFont="1" applyFill="1" applyBorder="1" applyAlignment="1">
      <alignment horizontal="center"/>
    </xf>
    <xf numFmtId="0" fontId="58" fillId="5" borderId="45" xfId="0" applyFont="1" applyFill="1" applyBorder="1" applyAlignment="1">
      <alignment horizontal="left" wrapText="1" readingOrder="1"/>
    </xf>
    <xf numFmtId="175" fontId="56" fillId="5" borderId="47" xfId="11334" applyNumberFormat="1" applyFont="1" applyFill="1" applyBorder="1" applyAlignment="1">
      <alignment horizontal="center"/>
    </xf>
    <xf numFmtId="0" fontId="58" fillId="0" borderId="45" xfId="0" applyFont="1" applyFill="1" applyBorder="1" applyAlignment="1">
      <alignment horizontal="left" wrapText="1" readingOrder="1"/>
    </xf>
    <xf numFmtId="175" fontId="56" fillId="0" borderId="47" xfId="11334" applyNumberFormat="1" applyFont="1" applyFill="1" applyBorder="1" applyAlignment="1">
      <alignment horizontal="center"/>
    </xf>
    <xf numFmtId="0" fontId="58" fillId="0" borderId="48" xfId="0" applyFont="1" applyFill="1" applyBorder="1" applyAlignment="1">
      <alignment horizontal="left" wrapText="1" readingOrder="1"/>
    </xf>
    <xf numFmtId="175" fontId="56" fillId="0" borderId="23" xfId="11334" applyNumberFormat="1" applyFont="1" applyFill="1" applyBorder="1" applyAlignment="1">
      <alignment horizontal="center"/>
    </xf>
    <xf numFmtId="175" fontId="101" fillId="50" borderId="29" xfId="11334" applyNumberFormat="1" applyFont="1" applyFill="1" applyBorder="1" applyAlignment="1">
      <alignment horizontal="center"/>
    </xf>
    <xf numFmtId="175" fontId="101" fillId="0" borderId="47" xfId="11334" applyNumberFormat="1" applyFont="1" applyFill="1" applyBorder="1" applyAlignment="1">
      <alignment horizontal="center"/>
    </xf>
    <xf numFmtId="175" fontId="101" fillId="0" borderId="23" xfId="11334" applyNumberFormat="1" applyFont="1" applyFill="1" applyBorder="1" applyAlignment="1">
      <alignment horizontal="center"/>
    </xf>
    <xf numFmtId="165" fontId="102" fillId="0" borderId="29" xfId="2" applyNumberFormat="1" applyFont="1" applyFill="1" applyBorder="1" applyAlignment="1">
      <alignment horizontal="center"/>
    </xf>
    <xf numFmtId="175" fontId="103" fillId="50" borderId="29" xfId="11334" applyNumberFormat="1" applyFont="1" applyFill="1" applyBorder="1" applyAlignment="1">
      <alignment horizontal="center"/>
    </xf>
    <xf numFmtId="175" fontId="103" fillId="5" borderId="29" xfId="11334" applyNumberFormat="1" applyFont="1" applyFill="1" applyBorder="1" applyAlignment="1">
      <alignment horizontal="center"/>
    </xf>
    <xf numFmtId="175" fontId="101" fillId="5" borderId="47" xfId="11334" applyNumberFormat="1" applyFont="1" applyFill="1" applyBorder="1" applyAlignment="1">
      <alignment horizontal="center"/>
    </xf>
    <xf numFmtId="175" fontId="101" fillId="0" borderId="13" xfId="11334" applyNumberFormat="1" applyFont="1" applyFill="1" applyBorder="1" applyAlignment="1">
      <alignment horizontal="center"/>
    </xf>
    <xf numFmtId="175" fontId="101" fillId="0" borderId="0" xfId="11334" applyNumberFormat="1" applyFont="1" applyFill="1" applyBorder="1" applyAlignment="1">
      <alignment horizontal="center"/>
    </xf>
    <xf numFmtId="175" fontId="101" fillId="5" borderId="29" xfId="11334" applyNumberFormat="1" applyFont="1" applyFill="1" applyBorder="1" applyAlignment="1">
      <alignment horizontal="center"/>
    </xf>
    <xf numFmtId="1" fontId="101" fillId="5" borderId="29" xfId="11334" applyNumberFormat="1" applyFont="1" applyFill="1" applyBorder="1" applyAlignment="1">
      <alignment horizontal="center"/>
    </xf>
    <xf numFmtId="165" fontId="101" fillId="5" borderId="29" xfId="2" applyNumberFormat="1" applyFont="1" applyFill="1" applyBorder="1" applyAlignment="1">
      <alignment horizontal="center"/>
    </xf>
    <xf numFmtId="175" fontId="101" fillId="0" borderId="29" xfId="11334" applyNumberFormat="1" applyFont="1" applyFill="1" applyBorder="1" applyAlignment="1">
      <alignment horizontal="center"/>
    </xf>
    <xf numFmtId="6" fontId="51" fillId="65" borderId="26" xfId="0" quotePrefix="1" applyNumberFormat="1" applyFont="1" applyFill="1" applyBorder="1" applyAlignment="1">
      <alignment horizontal="center" wrapText="1"/>
    </xf>
    <xf numFmtId="175" fontId="91" fillId="0" borderId="0" xfId="11334" applyNumberFormat="1" applyFont="1" applyFill="1" applyBorder="1" applyAlignment="1">
      <alignment horizontal="center"/>
    </xf>
    <xf numFmtId="1" fontId="56" fillId="0" borderId="0" xfId="11334" applyNumberFormat="1" applyFont="1" applyFill="1" applyBorder="1" applyAlignment="1">
      <alignment horizontal="center"/>
    </xf>
    <xf numFmtId="165" fontId="56" fillId="0" borderId="0" xfId="2" applyNumberFormat="1" applyFont="1" applyFill="1" applyBorder="1" applyAlignment="1">
      <alignment horizontal="center"/>
    </xf>
    <xf numFmtId="9" fontId="50" fillId="0" borderId="0" xfId="2" applyNumberFormat="1" applyFont="1" applyFill="1" applyBorder="1" applyAlignment="1">
      <alignment horizontal="right" vertical="center"/>
    </xf>
    <xf numFmtId="49" fontId="51" fillId="66" borderId="14" xfId="0" applyNumberFormat="1" applyFont="1" applyFill="1" applyBorder="1" applyAlignment="1">
      <alignment horizontal="center" vertical="center"/>
    </xf>
    <xf numFmtId="175" fontId="50" fillId="0" borderId="0" xfId="11334" applyNumberFormat="1" applyFont="1" applyBorder="1" applyAlignment="1">
      <alignment horizontal="right" vertical="center"/>
    </xf>
    <xf numFmtId="167" fontId="50" fillId="0" borderId="0" xfId="11334" applyNumberFormat="1" applyFont="1" applyFill="1" applyBorder="1" applyAlignment="1">
      <alignment horizontal="right" vertical="center"/>
    </xf>
    <xf numFmtId="44" fontId="0" fillId="46" borderId="0" xfId="11334" applyNumberFormat="1" applyFont="1" applyFill="1"/>
    <xf numFmtId="0" fontId="106" fillId="0" borderId="0" xfId="44" applyFont="1"/>
    <xf numFmtId="168" fontId="7" fillId="0" borderId="0" xfId="44" applyNumberFormat="1" applyFont="1" applyBorder="1"/>
    <xf numFmtId="43" fontId="22" fillId="0" borderId="0" xfId="1" applyFont="1" applyBorder="1"/>
    <xf numFmtId="43" fontId="22" fillId="0" borderId="0" xfId="1" applyNumberFormat="1" applyFont="1" applyBorder="1"/>
    <xf numFmtId="164" fontId="22" fillId="0" borderId="0" xfId="1" applyNumberFormat="1" applyFont="1" applyBorder="1"/>
    <xf numFmtId="0" fontId="22" fillId="0" borderId="0" xfId="44" applyFont="1" applyBorder="1"/>
    <xf numFmtId="164" fontId="22" fillId="0" borderId="0" xfId="44" applyNumberFormat="1" applyFont="1" applyBorder="1"/>
    <xf numFmtId="0" fontId="41" fillId="65" borderId="0" xfId="44" applyFont="1" applyFill="1" applyBorder="1"/>
    <xf numFmtId="175" fontId="56" fillId="0" borderId="49" xfId="11334" applyNumberFormat="1" applyFont="1" applyFill="1" applyBorder="1" applyAlignment="1">
      <alignment horizontal="center"/>
    </xf>
    <xf numFmtId="165" fontId="54" fillId="0" borderId="49" xfId="2" applyNumberFormat="1" applyFont="1" applyFill="1" applyBorder="1" applyAlignment="1">
      <alignment horizontal="center"/>
    </xf>
    <xf numFmtId="175" fontId="50" fillId="0" borderId="49" xfId="11334" applyNumberFormat="1" applyFont="1" applyFill="1" applyBorder="1" applyAlignment="1">
      <alignment horizontal="center"/>
    </xf>
    <xf numFmtId="165" fontId="50" fillId="0" borderId="49" xfId="2" applyNumberFormat="1" applyFont="1" applyFill="1" applyBorder="1" applyAlignment="1">
      <alignment horizontal="center"/>
    </xf>
    <xf numFmtId="175" fontId="56" fillId="68" borderId="29" xfId="11334" applyNumberFormat="1" applyFont="1" applyFill="1" applyBorder="1" applyAlignment="1">
      <alignment horizontal="center"/>
    </xf>
    <xf numFmtId="165" fontId="91" fillId="3" borderId="29" xfId="2" applyNumberFormat="1" applyFont="1" applyFill="1" applyBorder="1" applyAlignment="1">
      <alignment horizontal="center"/>
    </xf>
    <xf numFmtId="9" fontId="91" fillId="68" borderId="29" xfId="2" applyFont="1" applyFill="1" applyBorder="1" applyAlignment="1">
      <alignment horizontal="center"/>
    </xf>
    <xf numFmtId="175" fontId="56" fillId="3" borderId="29" xfId="11334" applyNumberFormat="1" applyFont="1" applyFill="1" applyBorder="1" applyAlignment="1">
      <alignment horizontal="center"/>
    </xf>
    <xf numFmtId="165" fontId="54" fillId="3" borderId="29" xfId="2" applyNumberFormat="1" applyFont="1" applyFill="1" applyBorder="1" applyAlignment="1">
      <alignment horizontal="center"/>
    </xf>
    <xf numFmtId="175" fontId="91" fillId="68" borderId="29" xfId="11334" applyNumberFormat="1" applyFont="1" applyFill="1" applyBorder="1" applyAlignment="1">
      <alignment horizontal="center"/>
    </xf>
    <xf numFmtId="175" fontId="91" fillId="3" borderId="29" xfId="11334" applyNumberFormat="1" applyFont="1" applyFill="1" applyBorder="1" applyAlignment="1">
      <alignment horizontal="center"/>
    </xf>
    <xf numFmtId="175" fontId="56" fillId="3" borderId="0" xfId="11334" applyNumberFormat="1" applyFont="1" applyFill="1" applyBorder="1" applyAlignment="1">
      <alignment horizontal="center"/>
    </xf>
    <xf numFmtId="175" fontId="56" fillId="3" borderId="2" xfId="11334" applyNumberFormat="1" applyFont="1" applyFill="1" applyBorder="1" applyAlignment="1">
      <alignment horizontal="center"/>
    </xf>
    <xf numFmtId="1" fontId="56" fillId="3" borderId="29" xfId="11334" applyNumberFormat="1" applyFont="1" applyFill="1" applyBorder="1" applyAlignment="1">
      <alignment horizontal="center"/>
    </xf>
    <xf numFmtId="165" fontId="56" fillId="3" borderId="29" xfId="2" applyNumberFormat="1" applyFont="1" applyFill="1" applyBorder="1" applyAlignment="1">
      <alignment horizontal="center"/>
    </xf>
    <xf numFmtId="188" fontId="0" fillId="0" borderId="0" xfId="0" applyNumberFormat="1"/>
    <xf numFmtId="44" fontId="4" fillId="0" borderId="0" xfId="0" applyNumberFormat="1" applyFont="1" applyBorder="1"/>
    <xf numFmtId="173" fontId="22" fillId="0" borderId="0" xfId="44" applyNumberFormat="1" applyFont="1" applyBorder="1"/>
    <xf numFmtId="173" fontId="22" fillId="0" borderId="0" xfId="44" applyNumberFormat="1" applyBorder="1"/>
    <xf numFmtId="0" fontId="0" fillId="0" borderId="0" xfId="0"/>
    <xf numFmtId="0" fontId="4" fillId="0" borderId="0" xfId="0" applyFont="1"/>
    <xf numFmtId="164" fontId="0" fillId="0" borderId="0" xfId="0" applyNumberFormat="1"/>
    <xf numFmtId="164" fontId="0" fillId="0" borderId="0" xfId="1" applyNumberFormat="1" applyFont="1" applyFill="1"/>
    <xf numFmtId="164" fontId="0" fillId="0" borderId="2" xfId="1" applyNumberFormat="1" applyFont="1" applyFill="1" applyBorder="1"/>
    <xf numFmtId="164" fontId="0" fillId="0" borderId="0" xfId="1" applyNumberFormat="1" applyFont="1"/>
    <xf numFmtId="0" fontId="30" fillId="0" borderId="0" xfId="0" applyFont="1"/>
    <xf numFmtId="164" fontId="4" fillId="0" borderId="20" xfId="1" applyNumberFormat="1" applyFont="1" applyBorder="1"/>
    <xf numFmtId="0" fontId="4" fillId="46" borderId="0" xfId="0" applyFont="1" applyFill="1" applyAlignment="1">
      <alignment horizontal="center"/>
    </xf>
    <xf numFmtId="0" fontId="30" fillId="0" borderId="0" xfId="0" applyFont="1" applyAlignment="1">
      <alignment horizontal="left" indent="1"/>
    </xf>
    <xf numFmtId="166" fontId="4" fillId="46" borderId="0" xfId="1" applyNumberFormat="1" applyFont="1" applyFill="1" applyAlignment="1">
      <alignment horizontal="center"/>
    </xf>
    <xf numFmtId="49" fontId="73" fillId="0" borderId="0" xfId="10725" applyNumberFormat="1" applyFont="1" applyAlignment="1">
      <alignment horizontal="left" indent="1"/>
    </xf>
    <xf numFmtId="49" fontId="107" fillId="0" borderId="0" xfId="10725" applyNumberFormat="1" applyFont="1" applyAlignment="1">
      <alignment horizontal="left"/>
    </xf>
    <xf numFmtId="165" fontId="0" fillId="0" borderId="0" xfId="2" applyNumberFormat="1" applyFont="1"/>
    <xf numFmtId="0" fontId="77" fillId="0" borderId="43" xfId="0" applyFont="1" applyFill="1" applyBorder="1" applyAlignment="1">
      <alignment horizontal="left" vertical="center" indent="3"/>
    </xf>
    <xf numFmtId="0" fontId="91" fillId="0" borderId="43" xfId="0" applyFont="1" applyFill="1" applyBorder="1" applyAlignment="1">
      <alignment horizontal="left" vertical="center" indent="4"/>
    </xf>
    <xf numFmtId="0" fontId="77" fillId="0" borderId="43" xfId="0" applyFont="1" applyBorder="1" applyAlignment="1">
      <alignment horizontal="left" vertical="center" indent="3"/>
    </xf>
    <xf numFmtId="175" fontId="91" fillId="0" borderId="26" xfId="11334" applyNumberFormat="1" applyFont="1" applyFill="1" applyBorder="1" applyAlignment="1">
      <alignment horizontal="center"/>
    </xf>
    <xf numFmtId="175" fontId="91" fillId="0" borderId="29" xfId="11334" applyNumberFormat="1" applyFont="1" applyFill="1" applyBorder="1" applyAlignment="1">
      <alignment horizontal="center"/>
    </xf>
    <xf numFmtId="176" fontId="56" fillId="0" borderId="29" xfId="11334" applyNumberFormat="1" applyFont="1" applyFill="1" applyBorder="1" applyAlignment="1">
      <alignment horizontal="center"/>
    </xf>
    <xf numFmtId="165" fontId="56" fillId="0" borderId="29" xfId="2" applyNumberFormat="1" applyFont="1" applyFill="1" applyBorder="1" applyAlignment="1">
      <alignment horizontal="center"/>
    </xf>
    <xf numFmtId="175" fontId="54" fillId="0" borderId="49" xfId="11334" applyNumberFormat="1" applyFont="1" applyFill="1" applyBorder="1" applyAlignment="1">
      <alignment horizontal="center"/>
    </xf>
    <xf numFmtId="175" fontId="54" fillId="0" borderId="28" xfId="11334" applyNumberFormat="1" applyFont="1" applyFill="1" applyBorder="1" applyAlignment="1">
      <alignment horizontal="center"/>
    </xf>
    <xf numFmtId="1" fontId="50" fillId="0" borderId="28" xfId="11334" applyNumberFormat="1" applyFont="1" applyFill="1" applyBorder="1" applyAlignment="1">
      <alignment horizontal="center"/>
    </xf>
    <xf numFmtId="165" fontId="50" fillId="0" borderId="31" xfId="2" applyNumberFormat="1" applyFont="1" applyFill="1" applyBorder="1" applyAlignment="1">
      <alignment horizontal="center"/>
    </xf>
    <xf numFmtId="175" fontId="56" fillId="0" borderId="52" xfId="11334" applyNumberFormat="1" applyFont="1" applyFill="1" applyBorder="1" applyAlignment="1">
      <alignment horizontal="center"/>
    </xf>
    <xf numFmtId="175" fontId="91" fillId="0" borderId="53" xfId="11334" applyNumberFormat="1" applyFont="1" applyFill="1" applyBorder="1" applyAlignment="1">
      <alignment horizontal="center"/>
    </xf>
    <xf numFmtId="175" fontId="56" fillId="0" borderId="54" xfId="11334" applyNumberFormat="1" applyFont="1" applyFill="1" applyBorder="1" applyAlignment="1">
      <alignment horizontal="center"/>
    </xf>
    <xf numFmtId="175" fontId="56" fillId="0" borderId="55" xfId="11334" applyNumberFormat="1" applyFont="1" applyFill="1" applyBorder="1" applyAlignment="1">
      <alignment horizontal="center"/>
    </xf>
    <xf numFmtId="175" fontId="56" fillId="0" borderId="56" xfId="11334" applyNumberFormat="1" applyFont="1" applyFill="1" applyBorder="1" applyAlignment="1">
      <alignment horizontal="center"/>
    </xf>
    <xf numFmtId="175" fontId="56" fillId="0" borderId="57" xfId="11334" applyNumberFormat="1" applyFont="1" applyFill="1" applyBorder="1" applyAlignment="1">
      <alignment horizontal="center"/>
    </xf>
    <xf numFmtId="9" fontId="91" fillId="5" borderId="51" xfId="2" applyFont="1" applyFill="1" applyBorder="1" applyAlignment="1">
      <alignment horizontal="center"/>
    </xf>
    <xf numFmtId="175" fontId="56" fillId="0" borderId="50" xfId="11334" applyNumberFormat="1" applyFont="1" applyFill="1" applyBorder="1" applyAlignment="1">
      <alignment horizontal="center"/>
    </xf>
    <xf numFmtId="175" fontId="56" fillId="0" borderId="51" xfId="11334" applyNumberFormat="1" applyFont="1" applyFill="1" applyBorder="1" applyAlignment="1">
      <alignment horizontal="center"/>
    </xf>
    <xf numFmtId="17" fontId="51" fillId="52" borderId="0" xfId="0" applyNumberFormat="1" applyFont="1" applyFill="1" applyBorder="1" applyAlignment="1">
      <alignment horizontal="center" wrapText="1"/>
    </xf>
    <xf numFmtId="17" fontId="51" fillId="52" borderId="29" xfId="0" applyNumberFormat="1" applyFont="1" applyFill="1" applyBorder="1" applyAlignment="1">
      <alignment horizontal="center" wrapText="1"/>
    </xf>
    <xf numFmtId="9" fontId="91" fillId="5" borderId="29" xfId="2" applyFont="1" applyFill="1" applyBorder="1" applyAlignment="1">
      <alignment horizontal="center"/>
    </xf>
    <xf numFmtId="9" fontId="91" fillId="5" borderId="58" xfId="2" applyFont="1" applyFill="1" applyBorder="1" applyAlignment="1">
      <alignment horizontal="center"/>
    </xf>
    <xf numFmtId="9" fontId="91" fillId="5" borderId="59" xfId="2" applyFont="1" applyFill="1" applyBorder="1" applyAlignment="1">
      <alignment horizontal="center"/>
    </xf>
    <xf numFmtId="9" fontId="91" fillId="5" borderId="60" xfId="2" applyFont="1" applyFill="1" applyBorder="1" applyAlignment="1">
      <alignment horizontal="center"/>
    </xf>
    <xf numFmtId="168" fontId="22" fillId="63" borderId="0" xfId="44" applyNumberFormat="1" applyFont="1" applyFill="1"/>
    <xf numFmtId="168" fontId="108" fillId="0" borderId="0" xfId="44" applyNumberFormat="1" applyFont="1"/>
    <xf numFmtId="168" fontId="45" fillId="0" borderId="0" xfId="44" applyNumberFormat="1" applyFont="1" applyFill="1" applyBorder="1"/>
    <xf numFmtId="168" fontId="45" fillId="0" borderId="2" xfId="44" applyNumberFormat="1" applyFont="1" applyBorder="1"/>
    <xf numFmtId="0" fontId="2" fillId="0" borderId="0" xfId="0" applyFont="1"/>
    <xf numFmtId="169" fontId="2" fillId="0" borderId="0" xfId="0" applyNumberFormat="1" applyFont="1"/>
    <xf numFmtId="169" fontId="2" fillId="59" borderId="0" xfId="0" applyNumberFormat="1" applyFont="1" applyFill="1"/>
    <xf numFmtId="169" fontId="2" fillId="0" borderId="0" xfId="11334" applyNumberFormat="1" applyFont="1"/>
    <xf numFmtId="167" fontId="2" fillId="0" borderId="0" xfId="0" applyNumberFormat="1" applyFont="1"/>
    <xf numFmtId="169" fontId="2" fillId="46" borderId="0" xfId="0" applyNumberFormat="1" applyFont="1" applyFill="1"/>
    <xf numFmtId="169" fontId="2" fillId="0" borderId="0" xfId="0" applyNumberFormat="1" applyFont="1" applyFill="1"/>
    <xf numFmtId="0" fontId="20" fillId="0" borderId="0" xfId="0" applyFont="1"/>
    <xf numFmtId="0" fontId="0" fillId="0" borderId="0" xfId="0" applyAlignment="1">
      <alignment wrapText="1"/>
    </xf>
    <xf numFmtId="38" fontId="109" fillId="0" borderId="0" xfId="11334" applyNumberFormat="1" applyFont="1" applyBorder="1" applyAlignment="1">
      <alignment horizontal="left" vertical="center"/>
    </xf>
    <xf numFmtId="4" fontId="110" fillId="0" borderId="0" xfId="0" applyNumberFormat="1" applyFont="1"/>
    <xf numFmtId="3" fontId="110" fillId="0" borderId="0" xfId="0" applyNumberFormat="1" applyFont="1"/>
    <xf numFmtId="9" fontId="50" fillId="0" borderId="0" xfId="2" applyNumberFormat="1" applyFont="1" applyFill="1" applyBorder="1" applyAlignment="1">
      <alignment horizontal="center" vertical="center"/>
    </xf>
    <xf numFmtId="167" fontId="50" fillId="0" borderId="0" xfId="11334" applyNumberFormat="1" applyFont="1" applyFill="1" applyBorder="1" applyAlignment="1">
      <alignment horizontal="center" vertical="center"/>
    </xf>
    <xf numFmtId="169" fontId="50" fillId="0" borderId="0" xfId="11334" applyNumberFormat="1" applyFont="1" applyBorder="1" applyAlignment="1">
      <alignment horizontal="right" vertical="center"/>
    </xf>
    <xf numFmtId="37" fontId="50" fillId="54" borderId="0" xfId="0" applyNumberFormat="1" applyFont="1" applyFill="1" applyBorder="1" applyAlignment="1">
      <alignment horizontal="right" vertical="center"/>
    </xf>
    <xf numFmtId="167" fontId="50" fillId="54" borderId="0" xfId="11334" applyNumberFormat="1" applyFont="1" applyFill="1" applyBorder="1" applyAlignment="1">
      <alignment horizontal="right" vertical="center"/>
    </xf>
    <xf numFmtId="49" fontId="51" fillId="66" borderId="41" xfId="0" applyNumberFormat="1" applyFont="1" applyFill="1" applyBorder="1" applyAlignment="1">
      <alignment horizontal="center" vertical="center"/>
    </xf>
    <xf numFmtId="187" fontId="0" fillId="0" borderId="0" xfId="0" applyNumberFormat="1"/>
    <xf numFmtId="0" fontId="77" fillId="0" borderId="43" xfId="0" applyFont="1" applyBorder="1" applyAlignment="1">
      <alignment horizontal="left" vertical="center" indent="2"/>
    </xf>
    <xf numFmtId="169" fontId="84" fillId="0" borderId="0" xfId="11334" applyNumberFormat="1" applyFont="1" applyBorder="1"/>
    <xf numFmtId="164" fontId="94" fillId="0" borderId="0" xfId="1" applyNumberFormat="1" applyFont="1" applyFill="1"/>
    <xf numFmtId="164" fontId="50" fillId="0" borderId="0" xfId="1" applyNumberFormat="1" applyFont="1" applyFill="1" applyBorder="1" applyAlignment="1">
      <alignment horizontal="right"/>
    </xf>
    <xf numFmtId="0" fontId="1" fillId="0" borderId="0" xfId="0" applyFont="1"/>
    <xf numFmtId="169" fontId="113" fillId="0" borderId="0" xfId="0" applyNumberFormat="1" applyFont="1"/>
    <xf numFmtId="169" fontId="86" fillId="50" borderId="27" xfId="11334" applyNumberFormat="1" applyFont="1" applyFill="1" applyBorder="1" applyAlignment="1">
      <alignment horizontal="left" wrapText="1" readingOrder="1"/>
    </xf>
    <xf numFmtId="169" fontId="84" fillId="0" borderId="0" xfId="11334" applyNumberFormat="1" applyFont="1"/>
    <xf numFmtId="38" fontId="50" fillId="0" borderId="0" xfId="11334" applyNumberFormat="1" applyFont="1" applyBorder="1" applyAlignment="1">
      <alignment horizontal="left" vertical="center"/>
    </xf>
    <xf numFmtId="175" fontId="88" fillId="0" borderId="50" xfId="11334" applyNumberFormat="1" applyFont="1" applyFill="1" applyBorder="1" applyAlignment="1">
      <alignment horizontal="center"/>
    </xf>
    <xf numFmtId="169" fontId="68" fillId="46" borderId="0" xfId="11334" applyNumberFormat="1" applyFont="1" applyFill="1"/>
    <xf numFmtId="9" fontId="68" fillId="46" borderId="0" xfId="0" applyNumberFormat="1" applyFont="1" applyFill="1"/>
    <xf numFmtId="175" fontId="111" fillId="0" borderId="0" xfId="11334" applyNumberFormat="1" applyFont="1" applyBorder="1" applyAlignment="1">
      <alignment horizontal="right" vertical="center"/>
    </xf>
    <xf numFmtId="169" fontId="115" fillId="0" borderId="0" xfId="11334" applyNumberFormat="1" applyFont="1"/>
    <xf numFmtId="169" fontId="115" fillId="0" borderId="3" xfId="11334" applyNumberFormat="1" applyFont="1" applyBorder="1"/>
    <xf numFmtId="0" fontId="48" fillId="0" borderId="0" xfId="0" applyFont="1"/>
    <xf numFmtId="0" fontId="0" fillId="64" borderId="0" xfId="0" applyFill="1"/>
    <xf numFmtId="0" fontId="4" fillId="46" borderId="17" xfId="0" applyFont="1" applyFill="1" applyBorder="1"/>
    <xf numFmtId="0" fontId="4" fillId="46" borderId="3" xfId="0" applyFont="1" applyFill="1" applyBorder="1"/>
    <xf numFmtId="0" fontId="48" fillId="0" borderId="0" xfId="0" applyFont="1" applyFill="1"/>
    <xf numFmtId="0" fontId="0" fillId="64" borderId="0" xfId="0" applyFill="1" applyAlignment="1">
      <alignment horizontal="left" indent="1"/>
    </xf>
    <xf numFmtId="0" fontId="112" fillId="0" borderId="0" xfId="0" applyFont="1" applyFill="1"/>
    <xf numFmtId="0" fontId="20" fillId="0" borderId="0" xfId="0" applyFont="1" applyFill="1" applyAlignment="1">
      <alignment horizontal="left" indent="1"/>
    </xf>
    <xf numFmtId="164" fontId="5" fillId="0" borderId="0" xfId="1" applyNumberFormat="1" applyFont="1" applyFill="1" applyAlignment="1">
      <alignment horizontal="center"/>
    </xf>
    <xf numFmtId="10" fontId="0" fillId="0" borderId="0" xfId="2" applyNumberFormat="1" applyFont="1"/>
    <xf numFmtId="10" fontId="0" fillId="64" borderId="0" xfId="2" applyNumberFormat="1" applyFont="1" applyFill="1"/>
    <xf numFmtId="164" fontId="0" fillId="64" borderId="0" xfId="1" applyNumberFormat="1" applyFont="1" applyFill="1"/>
    <xf numFmtId="43" fontId="0" fillId="64" borderId="0" xfId="1" applyFont="1" applyFill="1"/>
    <xf numFmtId="43" fontId="0" fillId="0" borderId="0" xfId="1" applyFont="1" applyFill="1"/>
    <xf numFmtId="10" fontId="0" fillId="0" borderId="0" xfId="2" applyNumberFormat="1" applyFont="1" applyFill="1"/>
    <xf numFmtId="43" fontId="4" fillId="46" borderId="3" xfId="1" applyFont="1" applyFill="1" applyBorder="1"/>
    <xf numFmtId="0" fontId="78" fillId="0" borderId="0" xfId="0" applyFont="1" applyAlignment="1">
      <alignment horizontal="left" indent="1"/>
    </xf>
    <xf numFmtId="181" fontId="0" fillId="0" borderId="0" xfId="0" applyNumberFormat="1"/>
    <xf numFmtId="49" fontId="82" fillId="0" borderId="0" xfId="0" applyNumberFormat="1" applyFont="1"/>
    <xf numFmtId="49" fontId="116" fillId="0" borderId="0" xfId="0" applyNumberFormat="1" applyFont="1"/>
    <xf numFmtId="49" fontId="118" fillId="0" borderId="0" xfId="0" applyNumberFormat="1" applyFont="1" applyAlignment="1">
      <alignment horizontal="left" indent="1"/>
    </xf>
    <xf numFmtId="49" fontId="119" fillId="0" borderId="0" xfId="0" applyNumberFormat="1" applyFont="1"/>
    <xf numFmtId="0" fontId="71" fillId="0" borderId="0" xfId="0" applyFont="1"/>
    <xf numFmtId="0" fontId="119" fillId="0" borderId="0" xfId="0" applyFont="1"/>
    <xf numFmtId="0" fontId="95" fillId="0" borderId="0" xfId="0" applyFont="1" applyAlignment="1">
      <alignment horizontal="left" indent="1"/>
    </xf>
    <xf numFmtId="49" fontId="118" fillId="0" borderId="0" xfId="0" applyNumberFormat="1" applyFont="1" applyAlignment="1">
      <alignment horizontal="left" indent="2"/>
    </xf>
    <xf numFmtId="0" fontId="119" fillId="0" borderId="0" xfId="0" applyFont="1" applyAlignment="1">
      <alignment horizontal="left"/>
    </xf>
    <xf numFmtId="4" fontId="82" fillId="0" borderId="0" xfId="44" applyNumberFormat="1" applyFont="1" applyFill="1"/>
    <xf numFmtId="4" fontId="119" fillId="0" borderId="0" xfId="44" applyNumberFormat="1" applyFont="1" applyFill="1"/>
    <xf numFmtId="4" fontId="1" fillId="0" borderId="0" xfId="11334" applyNumberFormat="1" applyFont="1"/>
    <xf numFmtId="4" fontId="1" fillId="0" borderId="0" xfId="11334" applyNumberFormat="1" applyFont="1" applyBorder="1"/>
    <xf numFmtId="4" fontId="1" fillId="0" borderId="0" xfId="11334" applyNumberFormat="1" applyFont="1" applyFill="1" applyBorder="1"/>
    <xf numFmtId="4" fontId="1" fillId="0" borderId="0" xfId="0" applyNumberFormat="1" applyFont="1" applyBorder="1"/>
    <xf numFmtId="4" fontId="122" fillId="0" borderId="0" xfId="11334" applyNumberFormat="1" applyFont="1"/>
    <xf numFmtId="4" fontId="122" fillId="0" borderId="0" xfId="11334" applyNumberFormat="1" applyFont="1" applyBorder="1"/>
    <xf numFmtId="4" fontId="122" fillId="0" borderId="0" xfId="11334" applyNumberFormat="1" applyFont="1" applyFill="1" applyBorder="1"/>
    <xf numFmtId="4" fontId="122" fillId="0" borderId="0" xfId="0" applyNumberFormat="1" applyFont="1" applyBorder="1"/>
    <xf numFmtId="4" fontId="95" fillId="0" borderId="0" xfId="11334" applyNumberFormat="1" applyFont="1"/>
    <xf numFmtId="4" fontId="123" fillId="0" borderId="0" xfId="11334" applyNumberFormat="1" applyFont="1" applyFill="1" applyBorder="1"/>
    <xf numFmtId="4" fontId="95" fillId="0" borderId="0" xfId="11334" applyNumberFormat="1" applyFont="1" applyBorder="1"/>
    <xf numFmtId="4" fontId="95" fillId="0" borderId="0" xfId="11334" applyNumberFormat="1" applyFont="1" applyFill="1" applyBorder="1"/>
    <xf numFmtId="4" fontId="95" fillId="0" borderId="0" xfId="0" applyNumberFormat="1" applyFont="1" applyBorder="1"/>
    <xf numFmtId="4" fontId="119" fillId="0" borderId="0" xfId="11334" applyNumberFormat="1" applyFont="1"/>
    <xf numFmtId="4" fontId="119" fillId="0" borderId="0" xfId="11334" applyNumberFormat="1" applyFont="1" applyFill="1" applyBorder="1"/>
    <xf numFmtId="4" fontId="119" fillId="0" borderId="0" xfId="11334" applyNumberFormat="1" applyFont="1" applyBorder="1"/>
    <xf numFmtId="4" fontId="71" fillId="0" borderId="0" xfId="11334" applyNumberFormat="1" applyFont="1"/>
    <xf numFmtId="4" fontId="82" fillId="0" borderId="0" xfId="11334" applyNumberFormat="1" applyFont="1" applyFill="1" applyBorder="1"/>
    <xf numFmtId="4" fontId="71" fillId="0" borderId="0" xfId="11334" applyNumberFormat="1" applyFont="1" applyBorder="1"/>
    <xf numFmtId="4" fontId="71" fillId="0" borderId="0" xfId="11334" applyNumberFormat="1" applyFont="1" applyFill="1" applyBorder="1"/>
    <xf numFmtId="4" fontId="71" fillId="0" borderId="0" xfId="0" applyNumberFormat="1" applyFont="1" applyBorder="1"/>
    <xf numFmtId="4" fontId="85" fillId="0" borderId="0" xfId="11334" applyNumberFormat="1" applyFont="1" applyFill="1" applyBorder="1"/>
    <xf numFmtId="4" fontId="124" fillId="0" borderId="0" xfId="11334" applyNumberFormat="1" applyFont="1" applyFill="1" applyBorder="1"/>
    <xf numFmtId="4" fontId="71" fillId="0" borderId="0" xfId="0" applyNumberFormat="1" applyFont="1"/>
    <xf numFmtId="4" fontId="118" fillId="0" borderId="0" xfId="11334" applyNumberFormat="1" applyFont="1" applyFill="1" applyBorder="1"/>
    <xf numFmtId="4" fontId="116" fillId="0" borderId="0" xfId="11334" applyNumberFormat="1" applyFont="1" applyFill="1" applyBorder="1"/>
    <xf numFmtId="49" fontId="117" fillId="58" borderId="0" xfId="0" applyNumberFormat="1" applyFont="1" applyFill="1"/>
    <xf numFmtId="4" fontId="82" fillId="58" borderId="0" xfId="44" applyNumberFormat="1" applyFont="1" applyFill="1"/>
    <xf numFmtId="0" fontId="0" fillId="58" borderId="0" xfId="0" applyFill="1"/>
    <xf numFmtId="49" fontId="117" fillId="58" borderId="0" xfId="0" applyNumberFormat="1" applyFont="1" applyFill="1" applyAlignment="1">
      <alignment horizontal="left"/>
    </xf>
    <xf numFmtId="0" fontId="120" fillId="58" borderId="0" xfId="0" applyFont="1" applyFill="1"/>
    <xf numFmtId="4" fontId="122" fillId="58" borderId="0" xfId="11334" applyNumberFormat="1" applyFont="1" applyFill="1"/>
    <xf numFmtId="4" fontId="122" fillId="58" borderId="0" xfId="11334" applyNumberFormat="1" applyFont="1" applyFill="1" applyBorder="1"/>
    <xf numFmtId="4" fontId="122" fillId="58" borderId="0" xfId="0" applyNumberFormat="1" applyFont="1" applyFill="1" applyBorder="1"/>
    <xf numFmtId="4" fontId="1" fillId="58" borderId="0" xfId="0" applyNumberFormat="1" applyFont="1" applyFill="1" applyBorder="1"/>
    <xf numFmtId="0" fontId="99" fillId="58" borderId="0" xfId="0" applyFont="1" applyFill="1"/>
    <xf numFmtId="0" fontId="121" fillId="58" borderId="0" xfId="0" applyFont="1" applyFill="1"/>
    <xf numFmtId="4" fontId="1" fillId="58" borderId="0" xfId="11334" applyNumberFormat="1" applyFont="1" applyFill="1"/>
    <xf numFmtId="4" fontId="85" fillId="58" borderId="0" xfId="11334" applyNumberFormat="1" applyFont="1" applyFill="1" applyBorder="1"/>
    <xf numFmtId="4" fontId="1" fillId="58" borderId="0" xfId="11334" applyNumberFormat="1" applyFont="1" applyFill="1" applyBorder="1"/>
    <xf numFmtId="4" fontId="124" fillId="58" borderId="0" xfId="11334" applyNumberFormat="1" applyFont="1" applyFill="1" applyBorder="1"/>
    <xf numFmtId="4" fontId="71" fillId="58" borderId="0" xfId="11334" applyNumberFormat="1" applyFont="1" applyFill="1"/>
    <xf numFmtId="4" fontId="82" fillId="58" borderId="0" xfId="11334" applyNumberFormat="1" applyFont="1" applyFill="1" applyBorder="1"/>
    <xf numFmtId="4" fontId="71" fillId="58" borderId="0" xfId="11334" applyNumberFormat="1" applyFont="1" applyFill="1" applyBorder="1"/>
    <xf numFmtId="4" fontId="71" fillId="58" borderId="0" xfId="0" applyNumberFormat="1" applyFont="1" applyFill="1" applyBorder="1"/>
    <xf numFmtId="0" fontId="4" fillId="58" borderId="0" xfId="0" applyFont="1" applyFill="1"/>
    <xf numFmtId="4" fontId="118" fillId="58" borderId="0" xfId="11334" applyNumberFormat="1" applyFont="1" applyFill="1" applyBorder="1"/>
    <xf numFmtId="4" fontId="123" fillId="58" borderId="0" xfId="11334" applyNumberFormat="1" applyFont="1" applyFill="1" applyBorder="1"/>
    <xf numFmtId="4" fontId="85" fillId="0" borderId="0" xfId="11334" applyNumberFormat="1" applyFont="1"/>
    <xf numFmtId="4" fontId="85" fillId="0" borderId="0" xfId="11334" applyNumberFormat="1" applyFont="1" applyBorder="1"/>
    <xf numFmtId="4" fontId="125" fillId="0" borderId="0" xfId="11334" applyNumberFormat="1" applyFont="1" applyFill="1" applyBorder="1"/>
    <xf numFmtId="4" fontId="84" fillId="0" borderId="0" xfId="11334" applyNumberFormat="1" applyFont="1" applyBorder="1"/>
    <xf numFmtId="4" fontId="84" fillId="0" borderId="0" xfId="0" applyNumberFormat="1" applyFont="1"/>
    <xf numFmtId="4" fontId="84" fillId="0" borderId="0" xfId="0" applyNumberFormat="1" applyFont="1" applyBorder="1"/>
    <xf numFmtId="4" fontId="126" fillId="0" borderId="0" xfId="11334" applyNumberFormat="1" applyFont="1" applyFill="1" applyBorder="1"/>
    <xf numFmtId="4" fontId="84" fillId="0" borderId="0" xfId="11334" applyNumberFormat="1" applyFont="1"/>
    <xf numFmtId="4" fontId="86" fillId="0" borderId="0" xfId="11334" applyNumberFormat="1" applyFont="1" applyBorder="1"/>
    <xf numFmtId="4" fontId="84" fillId="0" borderId="0" xfId="11334" applyNumberFormat="1" applyFont="1" applyFill="1" applyBorder="1"/>
    <xf numFmtId="4" fontId="126" fillId="0" borderId="0" xfId="44" applyNumberFormat="1" applyFont="1" applyFill="1" applyBorder="1"/>
    <xf numFmtId="4" fontId="126" fillId="0" borderId="0" xfId="11334" applyNumberFormat="1" applyFont="1" applyFill="1" applyBorder="1" applyAlignment="1">
      <alignment horizontal="left" indent="1"/>
    </xf>
    <xf numFmtId="4" fontId="84" fillId="0" borderId="0" xfId="11334" applyNumberFormat="1" applyFont="1" applyBorder="1" applyAlignment="1">
      <alignment horizontal="left" indent="1"/>
    </xf>
    <xf numFmtId="4" fontId="84" fillId="0" borderId="0" xfId="11334" applyNumberFormat="1" applyFont="1" applyAlignment="1">
      <alignment horizontal="left" indent="1"/>
    </xf>
    <xf numFmtId="4" fontId="84" fillId="0" borderId="0" xfId="0" applyNumberFormat="1" applyFont="1" applyBorder="1" applyAlignment="1">
      <alignment horizontal="left" indent="1"/>
    </xf>
    <xf numFmtId="4" fontId="126" fillId="0" borderId="0" xfId="11334" applyNumberFormat="1" applyFont="1" applyFill="1" applyBorder="1" applyAlignment="1">
      <alignment horizontal="left" indent="2"/>
    </xf>
    <xf numFmtId="4" fontId="84" fillId="0" borderId="0" xfId="11334" applyNumberFormat="1" applyFont="1" applyBorder="1" applyAlignment="1">
      <alignment horizontal="left" indent="2"/>
    </xf>
    <xf numFmtId="4" fontId="84" fillId="0" borderId="0" xfId="0" applyNumberFormat="1" applyFont="1" applyBorder="1" applyAlignment="1">
      <alignment horizontal="left" indent="2"/>
    </xf>
    <xf numFmtId="4" fontId="84" fillId="0" borderId="0" xfId="0" applyNumberFormat="1" applyFont="1" applyAlignment="1">
      <alignment horizontal="left" indent="2"/>
    </xf>
    <xf numFmtId="4" fontId="127" fillId="0" borderId="0" xfId="11334" applyNumberFormat="1" applyFont="1" applyBorder="1"/>
    <xf numFmtId="4" fontId="128" fillId="0" borderId="0" xfId="11334" applyNumberFormat="1" applyFont="1" applyFill="1" applyBorder="1"/>
    <xf numFmtId="4" fontId="126" fillId="58" borderId="0" xfId="11334" applyNumberFormat="1" applyFont="1" applyFill="1" applyBorder="1"/>
    <xf numFmtId="4" fontId="84" fillId="58" borderId="0" xfId="11334" applyNumberFormat="1" applyFont="1" applyFill="1" applyBorder="1"/>
    <xf numFmtId="4" fontId="84" fillId="58" borderId="0" xfId="11334" applyNumberFormat="1" applyFont="1" applyFill="1"/>
    <xf numFmtId="4" fontId="84" fillId="58" borderId="0" xfId="0" applyNumberFormat="1" applyFont="1" applyFill="1" applyBorder="1"/>
    <xf numFmtId="0" fontId="30" fillId="58" borderId="0" xfId="0" applyFont="1" applyFill="1"/>
    <xf numFmtId="0" fontId="129" fillId="58" borderId="0" xfId="0" applyFont="1" applyFill="1"/>
    <xf numFmtId="4" fontId="86" fillId="58" borderId="0" xfId="11334" applyNumberFormat="1" applyFont="1" applyFill="1" applyBorder="1"/>
    <xf numFmtId="0" fontId="99" fillId="0" borderId="0" xfId="0" applyFont="1" applyFill="1"/>
    <xf numFmtId="0" fontId="30" fillId="0" borderId="0" xfId="0" applyFont="1" applyFill="1" applyAlignment="1">
      <alignment horizontal="left" indent="1"/>
    </xf>
    <xf numFmtId="0" fontId="30" fillId="0" borderId="0" xfId="0" applyFont="1" applyFill="1" applyAlignment="1">
      <alignment horizontal="left" indent="2"/>
    </xf>
    <xf numFmtId="0" fontId="99" fillId="0" borderId="0" xfId="0" applyFont="1" applyFill="1" applyAlignment="1">
      <alignment horizontal="left" indent="1"/>
    </xf>
    <xf numFmtId="44" fontId="4" fillId="0" borderId="16" xfId="11334" applyFont="1" applyBorder="1"/>
    <xf numFmtId="0" fontId="4" fillId="0" borderId="16" xfId="0" applyFont="1" applyBorder="1"/>
    <xf numFmtId="4" fontId="119" fillId="58" borderId="0" xfId="44" applyNumberFormat="1" applyFont="1" applyFill="1"/>
    <xf numFmtId="0" fontId="30" fillId="58" borderId="0" xfId="0" applyFont="1" applyFill="1" applyAlignment="1">
      <alignment horizontal="left" indent="2"/>
    </xf>
    <xf numFmtId="4" fontId="126" fillId="58" borderId="0" xfId="11334" applyNumberFormat="1" applyFont="1" applyFill="1" applyBorder="1" applyAlignment="1">
      <alignment horizontal="left" indent="2"/>
    </xf>
    <xf numFmtId="4" fontId="84" fillId="58" borderId="0" xfId="11334" applyNumberFormat="1" applyFont="1" applyFill="1" applyBorder="1" applyAlignment="1">
      <alignment horizontal="left" indent="2"/>
    </xf>
    <xf numFmtId="4" fontId="84" fillId="58" borderId="0" xfId="0" applyNumberFormat="1" applyFont="1" applyFill="1" applyBorder="1" applyAlignment="1">
      <alignment horizontal="left" indent="2"/>
    </xf>
    <xf numFmtId="0" fontId="99" fillId="58" borderId="0" xfId="0" applyFont="1" applyFill="1" applyAlignment="1">
      <alignment horizontal="left" indent="1"/>
    </xf>
    <xf numFmtId="4" fontId="126" fillId="58" borderId="0" xfId="11334" applyNumberFormat="1" applyFont="1" applyFill="1" applyBorder="1" applyAlignment="1">
      <alignment horizontal="left" indent="1"/>
    </xf>
    <xf numFmtId="4" fontId="84" fillId="58" borderId="0" xfId="11334" applyNumberFormat="1" applyFont="1" applyFill="1" applyBorder="1" applyAlignment="1">
      <alignment horizontal="left" indent="1"/>
    </xf>
    <xf numFmtId="4" fontId="84" fillId="58" borderId="0" xfId="0" applyNumberFormat="1" applyFont="1" applyFill="1" applyBorder="1" applyAlignment="1">
      <alignment horizontal="left" indent="1"/>
    </xf>
    <xf numFmtId="0" fontId="4" fillId="58" borderId="0" xfId="0" applyFont="1" applyFill="1" applyAlignment="1">
      <alignment horizontal="left" indent="1"/>
    </xf>
    <xf numFmtId="0" fontId="130" fillId="58" borderId="0" xfId="0" applyFont="1" applyFill="1"/>
    <xf numFmtId="4" fontId="127" fillId="58" borderId="0" xfId="11334" applyNumberFormat="1" applyFont="1" applyFill="1" applyBorder="1"/>
    <xf numFmtId="4" fontId="127" fillId="58" borderId="0" xfId="0" applyNumberFormat="1" applyFont="1" applyFill="1" applyBorder="1"/>
    <xf numFmtId="49" fontId="118" fillId="0" borderId="0" xfId="0" applyNumberFormat="1" applyFont="1" applyFill="1" applyAlignment="1">
      <alignment horizontal="left" indent="1"/>
    </xf>
    <xf numFmtId="4" fontId="127" fillId="0" borderId="0" xfId="44" applyNumberFormat="1" applyFont="1" applyFill="1" applyBorder="1"/>
    <xf numFmtId="44" fontId="32" fillId="0" borderId="0" xfId="11334" applyFont="1" applyFill="1" applyBorder="1"/>
    <xf numFmtId="4" fontId="84" fillId="58" borderId="0" xfId="0" applyNumberFormat="1" applyFont="1" applyFill="1"/>
    <xf numFmtId="0" fontId="30" fillId="58" borderId="0" xfId="0" applyFont="1" applyFill="1" applyAlignment="1">
      <alignment horizontal="left" indent="1"/>
    </xf>
    <xf numFmtId="4" fontId="127" fillId="0" borderId="0" xfId="11334" applyNumberFormat="1" applyFont="1" applyFill="1" applyBorder="1"/>
    <xf numFmtId="4" fontId="126" fillId="58" borderId="0" xfId="44" applyNumberFormat="1" applyFont="1" applyFill="1" applyBorder="1"/>
    <xf numFmtId="184" fontId="84" fillId="0" borderId="0" xfId="11334" applyNumberFormat="1" applyFont="1"/>
    <xf numFmtId="173" fontId="22" fillId="0" borderId="0" xfId="44" applyNumberFormat="1"/>
    <xf numFmtId="168" fontId="0" fillId="0" borderId="0" xfId="0" applyNumberFormat="1" applyBorder="1"/>
    <xf numFmtId="9" fontId="0" fillId="0" borderId="0" xfId="2" applyFont="1" applyBorder="1"/>
    <xf numFmtId="173" fontId="24" fillId="0" borderId="0" xfId="44" applyNumberFormat="1" applyFont="1" applyBorder="1" applyAlignment="1"/>
    <xf numFmtId="14" fontId="4" fillId="3" borderId="18" xfId="0" applyNumberFormat="1" applyFont="1" applyFill="1" applyBorder="1"/>
    <xf numFmtId="14" fontId="4" fillId="3" borderId="16" xfId="0" applyNumberFormat="1" applyFont="1" applyFill="1" applyBorder="1"/>
    <xf numFmtId="14" fontId="4" fillId="3" borderId="40" xfId="0" applyNumberFormat="1" applyFont="1" applyFill="1" applyBorder="1"/>
    <xf numFmtId="14" fontId="0" fillId="0" borderId="14" xfId="0" applyNumberFormat="1" applyBorder="1"/>
    <xf numFmtId="14" fontId="4" fillId="0" borderId="0" xfId="0" applyNumberFormat="1" applyFont="1" applyBorder="1"/>
    <xf numFmtId="14" fontId="4" fillId="0" borderId="41" xfId="0" applyNumberFormat="1" applyFont="1" applyBorder="1"/>
    <xf numFmtId="0" fontId="95" fillId="0" borderId="14" xfId="0" applyFont="1" applyBorder="1"/>
    <xf numFmtId="1" fontId="1" fillId="0" borderId="0" xfId="0" applyNumberFormat="1" applyFont="1" applyBorder="1"/>
    <xf numFmtId="1" fontId="1" fillId="0" borderId="41" xfId="0" applyNumberFormat="1" applyFont="1" applyBorder="1"/>
    <xf numFmtId="0" fontId="1" fillId="0" borderId="14" xfId="0" applyFont="1" applyBorder="1"/>
    <xf numFmtId="0" fontId="1" fillId="0" borderId="0" xfId="0" applyFont="1" applyBorder="1"/>
    <xf numFmtId="0" fontId="1" fillId="0" borderId="41" xfId="0" applyFont="1" applyBorder="1"/>
    <xf numFmtId="0" fontId="0" fillId="0" borderId="14" xfId="0" applyBorder="1"/>
    <xf numFmtId="0" fontId="0" fillId="0" borderId="41" xfId="0" applyBorder="1"/>
    <xf numFmtId="0" fontId="131" fillId="3" borderId="61" xfId="0" applyFont="1" applyFill="1" applyBorder="1"/>
    <xf numFmtId="0" fontId="131" fillId="3" borderId="2" xfId="0" applyFont="1" applyFill="1" applyBorder="1"/>
    <xf numFmtId="0" fontId="0" fillId="3" borderId="2" xfId="0" applyFill="1" applyBorder="1"/>
    <xf numFmtId="0" fontId="0" fillId="3" borderId="62" xfId="0" applyFill="1" applyBorder="1"/>
    <xf numFmtId="4" fontId="1" fillId="0" borderId="16" xfId="0" applyNumberFormat="1" applyFont="1" applyBorder="1"/>
    <xf numFmtId="4" fontId="1" fillId="0" borderId="40" xfId="0" applyNumberFormat="1" applyFont="1" applyBorder="1"/>
    <xf numFmtId="4" fontId="1" fillId="0" borderId="41" xfId="0" applyNumberFormat="1" applyFont="1" applyBorder="1"/>
    <xf numFmtId="0" fontId="115" fillId="0" borderId="18" xfId="0" applyFont="1" applyBorder="1" applyAlignment="1">
      <alignment horizontal="left"/>
    </xf>
    <xf numFmtId="4" fontId="1" fillId="0" borderId="2" xfId="0" applyNumberFormat="1" applyFont="1" applyBorder="1"/>
    <xf numFmtId="0" fontId="115" fillId="0" borderId="14" xfId="0" applyFont="1" applyBorder="1" applyAlignment="1">
      <alignment horizontal="left"/>
    </xf>
    <xf numFmtId="49" fontId="118" fillId="0" borderId="14" xfId="0" applyNumberFormat="1" applyFont="1" applyBorder="1" applyAlignment="1">
      <alignment horizontal="left"/>
    </xf>
    <xf numFmtId="0" fontId="71" fillId="47" borderId="18" xfId="0" applyFont="1" applyFill="1" applyBorder="1"/>
    <xf numFmtId="4" fontId="71" fillId="47" borderId="16" xfId="0" applyNumberFormat="1" applyFont="1" applyFill="1" applyBorder="1"/>
    <xf numFmtId="4" fontId="71" fillId="47" borderId="40" xfId="0" applyNumberFormat="1" applyFont="1" applyFill="1" applyBorder="1"/>
    <xf numFmtId="49" fontId="118" fillId="0" borderId="61" xfId="0" applyNumberFormat="1" applyFont="1" applyBorder="1" applyAlignment="1">
      <alignment horizontal="left"/>
    </xf>
    <xf numFmtId="4" fontId="1" fillId="0" borderId="62" xfId="0" applyNumberFormat="1" applyFont="1" applyBorder="1"/>
    <xf numFmtId="0" fontId="71" fillId="47" borderId="17" xfId="0" applyFont="1" applyFill="1" applyBorder="1"/>
    <xf numFmtId="4" fontId="71" fillId="47" borderId="3" xfId="0" applyNumberFormat="1" applyFont="1" applyFill="1" applyBorder="1"/>
    <xf numFmtId="4" fontId="71" fillId="47" borderId="19" xfId="0" applyNumberFormat="1" applyFont="1" applyFill="1" applyBorder="1"/>
    <xf numFmtId="0" fontId="4" fillId="3" borderId="17" xfId="0" applyFont="1" applyFill="1" applyBorder="1"/>
    <xf numFmtId="0" fontId="4" fillId="3" borderId="3" xfId="0" applyFont="1" applyFill="1" applyBorder="1"/>
    <xf numFmtId="0" fontId="4" fillId="3" borderId="19" xfId="0" applyFont="1" applyFill="1" applyBorder="1"/>
    <xf numFmtId="0" fontId="4" fillId="47" borderId="14" xfId="0" applyFont="1" applyFill="1" applyBorder="1"/>
    <xf numFmtId="0" fontId="0" fillId="47" borderId="0" xfId="0" applyFill="1" applyBorder="1"/>
    <xf numFmtId="1" fontId="0" fillId="47" borderId="0" xfId="0" applyNumberFormat="1" applyFill="1" applyBorder="1" applyAlignment="1">
      <alignment horizontal="left"/>
    </xf>
    <xf numFmtId="1" fontId="0" fillId="47" borderId="41" xfId="0" applyNumberFormat="1" applyFill="1" applyBorder="1"/>
    <xf numFmtId="0" fontId="119" fillId="0" borderId="0" xfId="0" applyFont="1" applyBorder="1"/>
    <xf numFmtId="1" fontId="0" fillId="0" borderId="0" xfId="0" applyNumberFormat="1" applyBorder="1" applyAlignment="1">
      <alignment horizontal="left"/>
    </xf>
    <xf numFmtId="0" fontId="0" fillId="0" borderId="0" xfId="0" applyBorder="1" applyAlignment="1">
      <alignment wrapText="1"/>
    </xf>
    <xf numFmtId="0" fontId="0" fillId="0" borderId="41" xfId="0" applyBorder="1" applyAlignment="1">
      <alignment horizontal="right"/>
    </xf>
    <xf numFmtId="49" fontId="118" fillId="0" borderId="0" xfId="0" applyNumberFormat="1" applyFont="1" applyBorder="1" applyAlignment="1">
      <alignment horizontal="left" indent="1"/>
    </xf>
    <xf numFmtId="0" fontId="4" fillId="0" borderId="14" xfId="0" applyFont="1" applyBorder="1"/>
    <xf numFmtId="0" fontId="119" fillId="0" borderId="0" xfId="0" applyFont="1" applyBorder="1" applyAlignment="1">
      <alignment horizontal="left"/>
    </xf>
    <xf numFmtId="0" fontId="4" fillId="0" borderId="41" xfId="0" applyFont="1" applyBorder="1"/>
    <xf numFmtId="0" fontId="118" fillId="0" borderId="0" xfId="0" applyNumberFormat="1" applyFont="1" applyBorder="1" applyAlignment="1">
      <alignment horizontal="left" indent="1"/>
    </xf>
    <xf numFmtId="49" fontId="118" fillId="0" borderId="0" xfId="0" applyNumberFormat="1" applyFont="1" applyBorder="1" applyAlignment="1">
      <alignment horizontal="left"/>
    </xf>
    <xf numFmtId="3" fontId="0" fillId="0" borderId="0" xfId="0" applyNumberFormat="1" applyBorder="1"/>
    <xf numFmtId="0" fontId="0" fillId="0" borderId="0" xfId="0" applyNumberFormat="1" applyBorder="1" applyAlignment="1">
      <alignment horizontal="left"/>
    </xf>
    <xf numFmtId="0" fontId="0" fillId="47" borderId="41" xfId="0" applyFill="1" applyBorder="1"/>
    <xf numFmtId="0" fontId="0" fillId="0" borderId="61" xfId="0" applyBorder="1"/>
    <xf numFmtId="0" fontId="0" fillId="0" borderId="2" xfId="0" applyBorder="1"/>
    <xf numFmtId="0" fontId="0" fillId="0" borderId="62" xfId="0" applyBorder="1"/>
    <xf numFmtId="49" fontId="118" fillId="47" borderId="0" xfId="0" applyNumberFormat="1" applyFont="1" applyFill="1" applyBorder="1" applyAlignment="1">
      <alignment horizontal="left" indent="1"/>
    </xf>
    <xf numFmtId="1" fontId="0" fillId="47" borderId="0" xfId="0" applyNumberFormat="1" applyFill="1" applyBorder="1" applyAlignment="1">
      <alignment horizontal="right"/>
    </xf>
    <xf numFmtId="49" fontId="132" fillId="0" borderId="0" xfId="0" applyNumberFormat="1" applyFont="1" applyBorder="1" applyAlignment="1">
      <alignment horizontal="left" indent="1"/>
    </xf>
    <xf numFmtId="49" fontId="132" fillId="0" borderId="0" xfId="0" applyNumberFormat="1" applyFont="1" applyBorder="1" applyAlignment="1">
      <alignment horizontal="left"/>
    </xf>
    <xf numFmtId="1" fontId="4" fillId="0" borderId="0" xfId="0" applyNumberFormat="1" applyFont="1" applyBorder="1" applyAlignment="1">
      <alignment horizontal="left"/>
    </xf>
    <xf numFmtId="0" fontId="71" fillId="0" borderId="0" xfId="0" applyFont="1" applyBorder="1" applyAlignment="1">
      <alignment horizontal="left"/>
    </xf>
    <xf numFmtId="0" fontId="7" fillId="0" borderId="14" xfId="0" applyFont="1" applyBorder="1"/>
    <xf numFmtId="0" fontId="71" fillId="0" borderId="0" xfId="0" applyNumberFormat="1" applyFont="1" applyBorder="1" applyAlignment="1">
      <alignment horizontal="left"/>
    </xf>
    <xf numFmtId="0" fontId="133" fillId="0" borderId="0" xfId="0" applyFont="1" applyBorder="1" applyAlignment="1">
      <alignment horizontal="left"/>
    </xf>
    <xf numFmtId="0" fontId="0" fillId="47" borderId="0" xfId="0" applyFill="1" applyBorder="1" applyAlignment="1">
      <alignment horizontal="left"/>
    </xf>
    <xf numFmtId="0" fontId="118" fillId="0" borderId="2" xfId="0" applyNumberFormat="1" applyFont="1" applyBorder="1" applyAlignment="1">
      <alignment horizontal="left" indent="1"/>
    </xf>
    <xf numFmtId="49" fontId="118" fillId="0" borderId="2" xfId="0" applyNumberFormat="1" applyFont="1" applyBorder="1" applyAlignment="1">
      <alignment horizontal="left"/>
    </xf>
    <xf numFmtId="0" fontId="0" fillId="0" borderId="2" xfId="0" applyBorder="1" applyAlignment="1">
      <alignment horizontal="left"/>
    </xf>
    <xf numFmtId="0" fontId="4" fillId="53" borderId="17" xfId="0" applyFont="1" applyFill="1" applyBorder="1"/>
    <xf numFmtId="14" fontId="20" fillId="46" borderId="19" xfId="0" applyNumberFormat="1" applyFont="1" applyFill="1" applyBorder="1"/>
    <xf numFmtId="0" fontId="4" fillId="53" borderId="16" xfId="0" applyFont="1" applyFill="1" applyBorder="1"/>
    <xf numFmtId="14" fontId="4" fillId="53" borderId="16" xfId="0" applyNumberFormat="1" applyFont="1" applyFill="1" applyBorder="1"/>
    <xf numFmtId="0" fontId="4" fillId="53" borderId="2" xfId="0" applyFont="1" applyFill="1" applyBorder="1"/>
    <xf numFmtId="14" fontId="4" fillId="53" borderId="2" xfId="0" applyNumberFormat="1" applyFont="1" applyFill="1" applyBorder="1"/>
    <xf numFmtId="0" fontId="0" fillId="0" borderId="63" xfId="0" applyFont="1" applyFill="1" applyBorder="1"/>
    <xf numFmtId="14" fontId="0" fillId="0" borderId="63" xfId="0" applyNumberFormat="1" applyFont="1" applyFill="1" applyBorder="1"/>
    <xf numFmtId="9" fontId="0" fillId="0" borderId="63" xfId="2" applyFont="1" applyFill="1" applyBorder="1"/>
    <xf numFmtId="37" fontId="0" fillId="0" borderId="63" xfId="11334" applyNumberFormat="1" applyFont="1" applyFill="1" applyBorder="1"/>
    <xf numFmtId="0" fontId="0" fillId="0" borderId="64" xfId="0" applyFont="1" applyFill="1" applyBorder="1"/>
    <xf numFmtId="37" fontId="0" fillId="0" borderId="0" xfId="0" applyNumberFormat="1"/>
    <xf numFmtId="9" fontId="0" fillId="0" borderId="65" xfId="2" applyFont="1" applyFill="1" applyBorder="1"/>
    <xf numFmtId="164" fontId="0" fillId="0" borderId="0" xfId="1" applyNumberFormat="1" applyFont="1" applyFill="1" applyAlignment="1">
      <alignment horizontal="left" indent="1"/>
    </xf>
    <xf numFmtId="0" fontId="0" fillId="0" borderId="18" xfId="0" applyBorder="1"/>
    <xf numFmtId="0" fontId="0" fillId="0" borderId="40" xfId="0" applyBorder="1"/>
    <xf numFmtId="49" fontId="132" fillId="0" borderId="14" xfId="0" applyNumberFormat="1" applyFont="1" applyBorder="1" applyAlignment="1">
      <alignment horizontal="left"/>
    </xf>
    <xf numFmtId="0" fontId="131" fillId="3" borderId="17" xfId="0" applyFont="1" applyFill="1" applyBorder="1"/>
    <xf numFmtId="4" fontId="131" fillId="3" borderId="3" xfId="0" applyNumberFormat="1" applyFont="1" applyFill="1" applyBorder="1"/>
    <xf numFmtId="4" fontId="131" fillId="3" borderId="19" xfId="0" applyNumberFormat="1" applyFont="1" applyFill="1" applyBorder="1"/>
    <xf numFmtId="0" fontId="131" fillId="3" borderId="3" xfId="0" applyFont="1" applyFill="1" applyBorder="1"/>
    <xf numFmtId="0" fontId="0" fillId="3" borderId="3" xfId="0" applyFill="1" applyBorder="1"/>
    <xf numFmtId="0" fontId="0" fillId="3" borderId="19" xfId="0" applyFill="1" applyBorder="1"/>
    <xf numFmtId="14" fontId="4" fillId="46" borderId="1" xfId="0" applyNumberFormat="1" applyFont="1" applyFill="1" applyBorder="1"/>
    <xf numFmtId="0" fontId="0" fillId="3" borderId="0" xfId="0" applyFill="1"/>
    <xf numFmtId="0" fontId="0" fillId="3" borderId="17" xfId="0" applyFill="1" applyBorder="1"/>
    <xf numFmtId="0" fontId="32" fillId="3" borderId="3" xfId="44" applyFont="1" applyFill="1" applyBorder="1"/>
    <xf numFmtId="4" fontId="126" fillId="3" borderId="3" xfId="44" applyNumberFormat="1" applyFont="1" applyFill="1" applyBorder="1"/>
    <xf numFmtId="17" fontId="4" fillId="3" borderId="3" xfId="0" applyNumberFormat="1" applyFont="1" applyFill="1" applyBorder="1" applyAlignment="1">
      <alignment horizontal="center"/>
    </xf>
    <xf numFmtId="4" fontId="84" fillId="3" borderId="15" xfId="11334" applyNumberFormat="1" applyFont="1" applyFill="1" applyBorder="1"/>
    <xf numFmtId="4" fontId="83" fillId="3" borderId="15" xfId="0" applyNumberFormat="1" applyFont="1" applyFill="1" applyBorder="1"/>
    <xf numFmtId="0" fontId="4" fillId="0" borderId="15" xfId="0" applyFont="1" applyFill="1" applyBorder="1"/>
    <xf numFmtId="0" fontId="0" fillId="3" borderId="15" xfId="0" applyFill="1" applyBorder="1"/>
    <xf numFmtId="0" fontId="4" fillId="3" borderId="15" xfId="0" applyFont="1" applyFill="1" applyBorder="1"/>
    <xf numFmtId="4" fontId="83" fillId="3" borderId="15" xfId="11334" applyNumberFormat="1" applyFont="1" applyFill="1" applyBorder="1"/>
    <xf numFmtId="0" fontId="4" fillId="47" borderId="17" xfId="0" applyFont="1" applyFill="1" applyBorder="1"/>
    <xf numFmtId="4" fontId="4" fillId="47" borderId="3" xfId="0" applyNumberFormat="1" applyFont="1" applyFill="1" applyBorder="1"/>
    <xf numFmtId="0" fontId="48" fillId="0" borderId="0" xfId="44" applyFont="1" applyFill="1"/>
    <xf numFmtId="4" fontId="0" fillId="0" borderId="0" xfId="0" applyNumberFormat="1" applyFill="1"/>
    <xf numFmtId="4" fontId="49" fillId="0" borderId="0" xfId="0" applyNumberFormat="1" applyFont="1"/>
    <xf numFmtId="4" fontId="4" fillId="0" borderId="0" xfId="1" applyNumberFormat="1" applyFont="1" applyFill="1" applyBorder="1"/>
    <xf numFmtId="4" fontId="61" fillId="0" borderId="0" xfId="0" applyNumberFormat="1" applyFont="1" applyFill="1" applyBorder="1"/>
    <xf numFmtId="4" fontId="47" fillId="0" borderId="0" xfId="0" applyNumberFormat="1" applyFont="1"/>
    <xf numFmtId="4" fontId="5" fillId="0" borderId="0" xfId="1" applyNumberFormat="1" applyFont="1" applyFill="1" applyBorder="1"/>
    <xf numFmtId="4" fontId="0" fillId="0" borderId="0" xfId="0" applyNumberFormat="1" applyFont="1" applyFill="1"/>
    <xf numFmtId="0" fontId="33" fillId="0" borderId="0" xfId="44" applyFont="1" applyFill="1" applyAlignment="1">
      <alignment horizontal="left" wrapText="1" indent="1"/>
    </xf>
    <xf numFmtId="0" fontId="0" fillId="0" borderId="0" xfId="0" applyFont="1" applyAlignment="1">
      <alignment horizontal="left" indent="1"/>
    </xf>
    <xf numFmtId="4" fontId="0" fillId="0" borderId="0" xfId="0" applyNumberFormat="1" applyFont="1"/>
    <xf numFmtId="4" fontId="134" fillId="0" borderId="0" xfId="0" applyNumberFormat="1" applyFont="1"/>
    <xf numFmtId="4" fontId="76" fillId="0" borderId="0" xfId="0" applyNumberFormat="1" applyFont="1" applyFill="1" applyBorder="1" applyAlignment="1" applyProtection="1">
      <alignment horizontal="right"/>
    </xf>
    <xf numFmtId="4" fontId="135" fillId="0" borderId="0" xfId="0" applyNumberFormat="1" applyFont="1" applyFill="1" applyBorder="1" applyAlignment="1" applyProtection="1">
      <alignment horizontal="right"/>
    </xf>
    <xf numFmtId="4" fontId="33" fillId="0" borderId="0" xfId="0" applyNumberFormat="1" applyFont="1"/>
    <xf numFmtId="4" fontId="33" fillId="0" borderId="0" xfId="0" applyNumberFormat="1" applyFont="1" applyBorder="1"/>
    <xf numFmtId="4" fontId="33" fillId="0" borderId="0" xfId="0" applyNumberFormat="1" applyFont="1" applyFill="1"/>
    <xf numFmtId="0" fontId="33" fillId="0" borderId="0" xfId="0" applyFont="1" applyFill="1"/>
    <xf numFmtId="0" fontId="34" fillId="47" borderId="16" xfId="0" applyFont="1" applyFill="1" applyBorder="1" applyAlignment="1">
      <alignment horizontal="left"/>
    </xf>
    <xf numFmtId="0" fontId="119" fillId="47" borderId="15" xfId="0" applyFont="1" applyFill="1" applyBorder="1"/>
    <xf numFmtId="4" fontId="71" fillId="47" borderId="15" xfId="0" applyNumberFormat="1" applyFont="1" applyFill="1" applyBorder="1"/>
    <xf numFmtId="4" fontId="82" fillId="47" borderId="15" xfId="44" applyNumberFormat="1" applyFont="1" applyFill="1" applyBorder="1"/>
    <xf numFmtId="0" fontId="34" fillId="3" borderId="3" xfId="0" applyFont="1" applyFill="1" applyBorder="1" applyAlignment="1">
      <alignment horizontal="left"/>
    </xf>
    <xf numFmtId="174" fontId="136" fillId="47" borderId="16" xfId="0" applyNumberFormat="1" applyFont="1" applyFill="1" applyBorder="1"/>
    <xf numFmtId="174" fontId="136" fillId="47" borderId="16" xfId="10725" applyNumberFormat="1" applyFont="1" applyFill="1" applyBorder="1"/>
    <xf numFmtId="0" fontId="4" fillId="47" borderId="16" xfId="0" applyFont="1" applyFill="1" applyBorder="1"/>
    <xf numFmtId="0" fontId="33" fillId="0" borderId="0" xfId="0" applyFont="1"/>
    <xf numFmtId="174" fontId="136" fillId="47" borderId="3" xfId="0" applyNumberFormat="1" applyFont="1" applyFill="1" applyBorder="1"/>
    <xf numFmtId="174" fontId="136" fillId="47" borderId="3" xfId="10725" applyNumberFormat="1" applyFont="1" applyFill="1" applyBorder="1"/>
    <xf numFmtId="0" fontId="4" fillId="47" borderId="3" xfId="0" applyFont="1" applyFill="1" applyBorder="1"/>
    <xf numFmtId="0" fontId="33" fillId="47" borderId="0" xfId="0" applyFont="1" applyFill="1"/>
    <xf numFmtId="0" fontId="33" fillId="58" borderId="0" xfId="0" applyFont="1" applyFill="1"/>
    <xf numFmtId="49" fontId="48" fillId="0" borderId="0" xfId="10725" applyNumberFormat="1" applyFont="1" applyFill="1"/>
    <xf numFmtId="49" fontId="34" fillId="0" borderId="0" xfId="10725" applyNumberFormat="1" applyFont="1" applyFill="1"/>
    <xf numFmtId="49" fontId="34" fillId="47" borderId="0" xfId="10725" applyNumberFormat="1" applyFont="1" applyFill="1"/>
    <xf numFmtId="49" fontId="34" fillId="58" borderId="0" xfId="10725" applyNumberFormat="1" applyFont="1" applyFill="1"/>
    <xf numFmtId="49" fontId="136" fillId="0" borderId="0" xfId="10725" applyNumberFormat="1" applyFont="1"/>
    <xf numFmtId="0" fontId="5" fillId="0" borderId="0" xfId="0" applyFont="1"/>
    <xf numFmtId="49" fontId="136" fillId="58" borderId="0" xfId="10725" applyNumberFormat="1" applyFont="1" applyFill="1"/>
    <xf numFmtId="0" fontId="136" fillId="0" borderId="0" xfId="10725" applyNumberFormat="1" applyFont="1"/>
    <xf numFmtId="49" fontId="136" fillId="58" borderId="16" xfId="10725" applyNumberFormat="1" applyFont="1" applyFill="1" applyBorder="1"/>
    <xf numFmtId="49" fontId="136" fillId="58" borderId="3" xfId="10725" applyNumberFormat="1" applyFont="1" applyFill="1" applyBorder="1"/>
    <xf numFmtId="174" fontId="137" fillId="58" borderId="3" xfId="0" applyNumberFormat="1" applyFont="1" applyFill="1" applyBorder="1"/>
    <xf numFmtId="49" fontId="34" fillId="0" borderId="0" xfId="10725" applyNumberFormat="1" applyFont="1"/>
    <xf numFmtId="49" fontId="19" fillId="0" borderId="0" xfId="10725" applyNumberFormat="1" applyFont="1" applyFill="1"/>
    <xf numFmtId="49" fontId="136" fillId="0" borderId="0" xfId="10725" applyNumberFormat="1" applyFont="1" applyFill="1"/>
    <xf numFmtId="0" fontId="5" fillId="0" borderId="0" xfId="0" applyFont="1" applyFill="1"/>
    <xf numFmtId="0" fontId="136" fillId="0" borderId="0" xfId="10725" applyNumberFormat="1" applyFont="1" applyFill="1"/>
    <xf numFmtId="49" fontId="136" fillId="0" borderId="0" xfId="10725" applyNumberFormat="1" applyFont="1" applyBorder="1"/>
    <xf numFmtId="4" fontId="136" fillId="0" borderId="0" xfId="10725" applyNumberFormat="1" applyFont="1"/>
    <xf numFmtId="4" fontId="136" fillId="0" borderId="0" xfId="0" applyNumberFormat="1" applyFont="1" applyBorder="1"/>
    <xf numFmtId="4" fontId="19" fillId="0" borderId="0" xfId="10725" applyNumberFormat="1" applyFont="1" applyFill="1"/>
    <xf numFmtId="4" fontId="136" fillId="0" borderId="0" xfId="10725" applyNumberFormat="1" applyFont="1" applyFill="1"/>
    <xf numFmtId="4" fontId="136" fillId="0" borderId="0" xfId="10725" quotePrefix="1" applyNumberFormat="1" applyFont="1"/>
    <xf numFmtId="0" fontId="0" fillId="58" borderId="0" xfId="0" applyFont="1" applyFill="1"/>
    <xf numFmtId="2" fontId="0" fillId="0" borderId="0" xfId="0" applyNumberFormat="1" applyFont="1"/>
    <xf numFmtId="174" fontId="134" fillId="0" borderId="0" xfId="0" applyNumberFormat="1" applyFont="1"/>
    <xf numFmtId="174" fontId="134" fillId="0" borderId="0" xfId="10725" applyNumberFormat="1" applyFont="1"/>
    <xf numFmtId="49" fontId="134" fillId="0" borderId="0" xfId="0" applyNumberFormat="1" applyFont="1"/>
    <xf numFmtId="174" fontId="134" fillId="0" borderId="0" xfId="0" applyNumberFormat="1" applyFont="1" applyBorder="1"/>
    <xf numFmtId="174" fontId="134" fillId="0" borderId="0" xfId="10725" applyNumberFormat="1" applyFont="1" applyBorder="1"/>
    <xf numFmtId="174" fontId="134" fillId="58" borderId="0" xfId="10725" applyNumberFormat="1" applyFont="1" applyFill="1"/>
    <xf numFmtId="174" fontId="33" fillId="0" borderId="0" xfId="10725" applyNumberFormat="1" applyFont="1" applyFill="1"/>
    <xf numFmtId="174" fontId="136" fillId="58" borderId="16" xfId="0" applyNumberFormat="1" applyFont="1" applyFill="1" applyBorder="1"/>
    <xf numFmtId="174" fontId="136" fillId="0" borderId="0" xfId="0" applyNumberFormat="1" applyFont="1" applyBorder="1"/>
    <xf numFmtId="174" fontId="136" fillId="58" borderId="3" xfId="0" applyNumberFormat="1" applyFont="1" applyFill="1" applyBorder="1"/>
    <xf numFmtId="174" fontId="134" fillId="0" borderId="0" xfId="0" applyNumberFormat="1" applyFont="1" applyFill="1" applyBorder="1"/>
    <xf numFmtId="0" fontId="0" fillId="0" borderId="0" xfId="0" applyFont="1" applyBorder="1"/>
    <xf numFmtId="174" fontId="134" fillId="0" borderId="0" xfId="10725" applyNumberFormat="1" applyFont="1" applyFill="1" applyBorder="1"/>
    <xf numFmtId="174" fontId="0" fillId="0" borderId="0" xfId="0" applyNumberFormat="1" applyFont="1" applyFill="1"/>
    <xf numFmtId="14" fontId="0" fillId="0" borderId="0" xfId="0" applyNumberFormat="1" applyFont="1" applyBorder="1"/>
    <xf numFmtId="0" fontId="0" fillId="58" borderId="16" xfId="0" applyFont="1" applyFill="1" applyBorder="1"/>
    <xf numFmtId="0" fontId="0" fillId="58" borderId="3" xfId="0" applyFont="1" applyFill="1" applyBorder="1"/>
    <xf numFmtId="0" fontId="0" fillId="47" borderId="3" xfId="0" applyFont="1" applyFill="1" applyBorder="1"/>
    <xf numFmtId="4" fontId="6" fillId="0" borderId="0" xfId="0" applyNumberFormat="1" applyFont="1" applyFill="1"/>
    <xf numFmtId="0" fontId="0" fillId="47" borderId="16" xfId="0" applyFont="1" applyFill="1" applyBorder="1"/>
    <xf numFmtId="4" fontId="34" fillId="3" borderId="15" xfId="10725" applyNumberFormat="1" applyFont="1" applyFill="1" applyBorder="1"/>
    <xf numFmtId="4" fontId="34" fillId="3" borderId="15" xfId="0" applyNumberFormat="1" applyFont="1" applyFill="1" applyBorder="1"/>
    <xf numFmtId="4" fontId="33" fillId="3" borderId="15" xfId="0" applyNumberFormat="1" applyFont="1" applyFill="1" applyBorder="1"/>
    <xf numFmtId="0" fontId="5" fillId="0" borderId="16" xfId="0" applyFont="1" applyFill="1" applyBorder="1"/>
    <xf numFmtId="0" fontId="5" fillId="0" borderId="0" xfId="0" applyFont="1" applyFill="1" applyBorder="1"/>
    <xf numFmtId="0" fontId="33" fillId="0" borderId="0" xfId="0" applyFont="1" applyFill="1" applyBorder="1"/>
    <xf numFmtId="49" fontId="136" fillId="0" borderId="0" xfId="10725" applyNumberFormat="1" applyFont="1" applyFill="1" applyBorder="1"/>
    <xf numFmtId="4" fontId="33" fillId="0" borderId="0" xfId="0" applyNumberFormat="1" applyFont="1" applyFill="1" applyBorder="1"/>
    <xf numFmtId="4" fontId="0" fillId="0" borderId="0" xfId="0" applyNumberFormat="1" applyFont="1" applyFill="1" applyBorder="1"/>
    <xf numFmtId="4" fontId="34" fillId="0" borderId="0" xfId="10725" applyNumberFormat="1" applyFont="1"/>
    <xf numFmtId="4" fontId="33" fillId="0" borderId="0" xfId="10725" applyNumberFormat="1" applyFont="1"/>
    <xf numFmtId="4" fontId="34" fillId="0" borderId="0" xfId="10725" applyNumberFormat="1" applyFont="1" applyFill="1"/>
    <xf numFmtId="4" fontId="33" fillId="0" borderId="0" xfId="10725" applyNumberFormat="1" applyFont="1" applyFill="1"/>
    <xf numFmtId="4" fontId="33" fillId="0" borderId="0" xfId="10725" applyNumberFormat="1" applyFont="1" applyBorder="1"/>
    <xf numFmtId="4" fontId="34" fillId="0" borderId="0" xfId="10725" applyNumberFormat="1" applyFont="1" applyBorder="1"/>
    <xf numFmtId="4" fontId="34" fillId="0" borderId="16" xfId="10725" applyNumberFormat="1" applyFont="1" applyBorder="1"/>
    <xf numFmtId="4" fontId="33" fillId="0" borderId="16" xfId="0" applyNumberFormat="1" applyFont="1" applyBorder="1"/>
    <xf numFmtId="4" fontId="33" fillId="0" borderId="16" xfId="0" applyNumberFormat="1" applyFont="1" applyFill="1" applyBorder="1"/>
    <xf numFmtId="174" fontId="134" fillId="58" borderId="16" xfId="10725" applyNumberFormat="1" applyFont="1" applyFill="1" applyBorder="1"/>
    <xf numFmtId="4" fontId="33" fillId="0" borderId="0" xfId="10725" applyNumberFormat="1" applyFont="1" applyFill="1" applyBorder="1"/>
    <xf numFmtId="49" fontId="136" fillId="58" borderId="0" xfId="10725" applyNumberFormat="1" applyFont="1" applyFill="1" applyBorder="1"/>
    <xf numFmtId="174" fontId="136" fillId="58" borderId="0" xfId="0" applyNumberFormat="1" applyFont="1" applyFill="1" applyBorder="1"/>
    <xf numFmtId="0" fontId="0" fillId="58" borderId="0" xfId="0" applyFont="1" applyFill="1" applyBorder="1"/>
    <xf numFmtId="49" fontId="134" fillId="0" borderId="0" xfId="10725" applyNumberFormat="1" applyFont="1"/>
    <xf numFmtId="0" fontId="134" fillId="0" borderId="0" xfId="10725" applyNumberFormat="1" applyFont="1"/>
    <xf numFmtId="4" fontId="85" fillId="0" borderId="16" xfId="0" applyNumberFormat="1" applyFont="1" applyBorder="1"/>
    <xf numFmtId="4" fontId="85" fillId="0" borderId="40" xfId="0" applyNumberFormat="1" applyFont="1" applyBorder="1"/>
    <xf numFmtId="17" fontId="0" fillId="0" borderId="0" xfId="0" applyNumberFormat="1"/>
    <xf numFmtId="1" fontId="0" fillId="0" borderId="0" xfId="0" applyNumberFormat="1" applyAlignment="1">
      <alignment horizontal="left"/>
    </xf>
    <xf numFmtId="0" fontId="30" fillId="0" borderId="2" xfId="0" applyFont="1" applyBorder="1"/>
    <xf numFmtId="0" fontId="33" fillId="3" borderId="0" xfId="0" applyFont="1" applyFill="1"/>
    <xf numFmtId="0" fontId="33" fillId="0" borderId="0" xfId="44" applyFont="1" applyFill="1" applyAlignment="1">
      <alignment horizontal="left" indent="1"/>
    </xf>
    <xf numFmtId="17" fontId="0" fillId="0" borderId="0" xfId="0" applyNumberFormat="1" applyFont="1" applyFill="1" applyAlignment="1">
      <alignment horizontal="center"/>
    </xf>
    <xf numFmtId="0" fontId="34" fillId="3" borderId="0" xfId="0" applyFont="1" applyFill="1"/>
    <xf numFmtId="0" fontId="0" fillId="0" borderId="0" xfId="0" applyFont="1" applyAlignment="1">
      <alignment horizontal="left" indent="2"/>
    </xf>
    <xf numFmtId="0" fontId="0" fillId="0" borderId="0" xfId="0" applyFont="1" applyBorder="1" applyAlignment="1">
      <alignment horizontal="left" indent="2"/>
    </xf>
    <xf numFmtId="0" fontId="0" fillId="0" borderId="0" xfId="0" applyFont="1" applyFill="1" applyAlignment="1">
      <alignment horizontal="left" indent="2"/>
    </xf>
    <xf numFmtId="0" fontId="0" fillId="0" borderId="0" xfId="0" applyFont="1" applyFill="1" applyBorder="1" applyAlignment="1">
      <alignment horizontal="left" indent="2"/>
    </xf>
    <xf numFmtId="164" fontId="0" fillId="0" borderId="0" xfId="0" applyNumberFormat="1" applyFont="1"/>
    <xf numFmtId="43" fontId="0" fillId="0" borderId="0" xfId="0" applyNumberFormat="1" applyFont="1"/>
    <xf numFmtId="0" fontId="33" fillId="0" borderId="0" xfId="0" applyFont="1" applyFill="1" applyBorder="1" applyAlignment="1">
      <alignment horizontal="left" indent="1"/>
    </xf>
    <xf numFmtId="0" fontId="0" fillId="0" borderId="0" xfId="0" applyBorder="1" applyAlignment="1">
      <alignment horizontal="left" indent="1"/>
    </xf>
    <xf numFmtId="0" fontId="32" fillId="0" borderId="0" xfId="44" applyFont="1" applyFill="1"/>
    <xf numFmtId="4" fontId="85" fillId="0" borderId="0" xfId="0" applyNumberFormat="1" applyFont="1" applyBorder="1"/>
    <xf numFmtId="4" fontId="85" fillId="0" borderId="41" xfId="0" applyNumberFormat="1" applyFont="1" applyBorder="1"/>
    <xf numFmtId="0" fontId="0" fillId="0" borderId="13" xfId="0" applyFont="1" applyBorder="1" applyAlignment="1">
      <alignment horizontal="left" indent="1"/>
    </xf>
    <xf numFmtId="0" fontId="0" fillId="0" borderId="0" xfId="0" applyFont="1" applyFill="1" applyAlignment="1">
      <alignment horizontal="left" indent="1"/>
    </xf>
    <xf numFmtId="4" fontId="4" fillId="47" borderId="16" xfId="0" applyNumberFormat="1" applyFont="1" applyFill="1" applyBorder="1"/>
    <xf numFmtId="4" fontId="34" fillId="47" borderId="16" xfId="44" applyNumberFormat="1" applyFont="1" applyFill="1" applyBorder="1"/>
    <xf numFmtId="164" fontId="26" fillId="0" borderId="0" xfId="1" applyNumberFormat="1" applyFont="1" applyFill="1"/>
    <xf numFmtId="0" fontId="34" fillId="47" borderId="16" xfId="0" applyFont="1" applyFill="1" applyBorder="1"/>
    <xf numFmtId="0" fontId="34" fillId="0" borderId="0" xfId="0" applyFont="1"/>
    <xf numFmtId="17" fontId="4" fillId="3" borderId="3" xfId="0" applyNumberFormat="1" applyFont="1" applyFill="1" applyBorder="1" applyAlignment="1"/>
    <xf numFmtId="0" fontId="34" fillId="0" borderId="0" xfId="0" applyFont="1" applyFill="1"/>
    <xf numFmtId="0" fontId="34" fillId="0" borderId="0" xfId="0" applyFont="1" applyFill="1" applyBorder="1"/>
    <xf numFmtId="4" fontId="4" fillId="0" borderId="0" xfId="0" applyNumberFormat="1" applyFont="1" applyFill="1" applyBorder="1"/>
    <xf numFmtId="4" fontId="34" fillId="0" borderId="0" xfId="44" applyNumberFormat="1" applyFont="1" applyFill="1" applyBorder="1"/>
    <xf numFmtId="174" fontId="49" fillId="0" borderId="0" xfId="0" applyNumberFormat="1" applyFont="1" applyBorder="1"/>
    <xf numFmtId="168" fontId="22" fillId="0" borderId="2" xfId="44" applyNumberFormat="1" applyFont="1" applyBorder="1"/>
    <xf numFmtId="168" fontId="22" fillId="0" borderId="0" xfId="44" applyNumberFormat="1" applyFont="1" applyFill="1" applyBorder="1"/>
    <xf numFmtId="169" fontId="127" fillId="50" borderId="27" xfId="11334" applyNumberFormat="1" applyFont="1" applyFill="1" applyBorder="1" applyAlignment="1">
      <alignment horizontal="left" wrapText="1" readingOrder="1"/>
    </xf>
    <xf numFmtId="169" fontId="138" fillId="0" borderId="0" xfId="0" applyNumberFormat="1" applyFont="1"/>
    <xf numFmtId="43" fontId="56" fillId="0" borderId="29" xfId="1" applyFont="1" applyFill="1" applyBorder="1" applyAlignment="1">
      <alignment horizontal="center"/>
    </xf>
    <xf numFmtId="190" fontId="0" fillId="0" borderId="0" xfId="0" applyNumberFormat="1" applyFill="1"/>
    <xf numFmtId="9" fontId="54" fillId="0" borderId="0" xfId="2" applyNumberFormat="1" applyFont="1" applyFill="1" applyBorder="1" applyAlignment="1">
      <alignment horizontal="right"/>
    </xf>
    <xf numFmtId="164" fontId="50" fillId="0" borderId="0" xfId="1" applyNumberFormat="1" applyFont="1" applyFill="1" applyBorder="1" applyAlignment="1">
      <alignment horizontal="right"/>
    </xf>
    <xf numFmtId="164" fontId="87" fillId="47" borderId="0" xfId="1" applyNumberFormat="1" applyFont="1" applyFill="1" applyBorder="1" applyAlignment="1">
      <alignment horizontal="center"/>
    </xf>
    <xf numFmtId="167" fontId="50" fillId="47" borderId="0" xfId="11334" applyNumberFormat="1" applyFont="1" applyFill="1" applyBorder="1" applyAlignment="1">
      <alignment horizontal="center" vertical="center"/>
    </xf>
    <xf numFmtId="189" fontId="50" fillId="47" borderId="0" xfId="11334" applyNumberFormat="1" applyFont="1" applyFill="1" applyBorder="1" applyAlignment="1">
      <alignment horizontal="center" vertical="center"/>
    </xf>
    <xf numFmtId="167" fontId="50" fillId="47" borderId="42" xfId="11334" applyNumberFormat="1" applyFont="1" applyFill="1" applyBorder="1" applyAlignment="1">
      <alignment horizontal="right" vertical="center"/>
    </xf>
    <xf numFmtId="9" fontId="50" fillId="47" borderId="42" xfId="2" applyNumberFormat="1" applyFont="1" applyFill="1" applyBorder="1" applyAlignment="1">
      <alignment horizontal="right" vertical="center"/>
    </xf>
    <xf numFmtId="175" fontId="50" fillId="47" borderId="42" xfId="11334" applyNumberFormat="1" applyFont="1" applyFill="1" applyBorder="1" applyAlignment="1">
      <alignment horizontal="right" vertical="center"/>
    </xf>
    <xf numFmtId="175" fontId="111" fillId="47" borderId="0" xfId="11334" applyNumberFormat="1" applyFont="1" applyFill="1" applyBorder="1" applyAlignment="1">
      <alignment horizontal="right" vertical="center"/>
    </xf>
    <xf numFmtId="167" fontId="111" fillId="47" borderId="0" xfId="11334" applyNumberFormat="1" applyFont="1" applyFill="1" applyBorder="1" applyAlignment="1">
      <alignment horizontal="center" vertical="center"/>
    </xf>
    <xf numFmtId="9" fontId="50" fillId="47" borderId="0" xfId="2" applyNumberFormat="1" applyFont="1" applyFill="1" applyBorder="1" applyAlignment="1">
      <alignment horizontal="center" vertical="center"/>
    </xf>
    <xf numFmtId="9" fontId="54" fillId="47" borderId="0" xfId="2" applyFont="1" applyFill="1" applyBorder="1" applyAlignment="1">
      <alignment horizontal="center" vertical="center"/>
    </xf>
    <xf numFmtId="164" fontId="87" fillId="47" borderId="0" xfId="1" applyNumberFormat="1" applyFont="1" applyFill="1" applyBorder="1" applyAlignment="1"/>
    <xf numFmtId="9" fontId="54" fillId="0" borderId="41" xfId="2" applyNumberFormat="1" applyFont="1" applyFill="1" applyBorder="1" applyAlignment="1">
      <alignment horizontal="right"/>
    </xf>
    <xf numFmtId="164" fontId="50" fillId="0" borderId="0" xfId="0" applyNumberFormat="1" applyFont="1" applyFill="1" applyBorder="1" applyAlignment="1">
      <alignment horizontal="right"/>
    </xf>
    <xf numFmtId="39" fontId="0" fillId="0" borderId="0" xfId="1" applyNumberFormat="1" applyFont="1" applyFill="1"/>
    <xf numFmtId="164" fontId="50" fillId="0" borderId="41" xfId="0" applyNumberFormat="1" applyFont="1" applyFill="1" applyBorder="1" applyAlignment="1">
      <alignment horizontal="right"/>
    </xf>
    <xf numFmtId="165" fontId="54" fillId="0" borderId="0" xfId="2" applyNumberFormat="1" applyFont="1" applyFill="1" applyBorder="1" applyAlignment="1">
      <alignment horizontal="right"/>
    </xf>
    <xf numFmtId="175" fontId="50" fillId="0" borderId="0" xfId="11334" applyNumberFormat="1" applyFont="1" applyFill="1" applyBorder="1" applyAlignment="1">
      <alignment horizontal="right" vertical="center"/>
    </xf>
    <xf numFmtId="9" fontId="0" fillId="0" borderId="64" xfId="2" applyFont="1" applyFill="1" applyBorder="1"/>
    <xf numFmtId="174" fontId="49" fillId="0" borderId="23" xfId="0" applyNumberFormat="1" applyFont="1" applyBorder="1"/>
    <xf numFmtId="49" fontId="139" fillId="0" borderId="0" xfId="0" applyNumberFormat="1" applyFont="1"/>
    <xf numFmtId="168" fontId="45" fillId="0" borderId="0" xfId="44" applyNumberFormat="1" applyFont="1"/>
    <xf numFmtId="164" fontId="87" fillId="47" borderId="0" xfId="1" applyNumberFormat="1" applyFont="1" applyFill="1" applyBorder="1" applyAlignment="1">
      <alignment horizontal="right"/>
    </xf>
    <xf numFmtId="9" fontId="54" fillId="47" borderId="0" xfId="2" applyNumberFormat="1" applyFont="1" applyFill="1" applyBorder="1" applyAlignment="1">
      <alignment horizontal="right"/>
    </xf>
    <xf numFmtId="164" fontId="50" fillId="47" borderId="0" xfId="1" applyNumberFormat="1" applyFont="1" applyFill="1" applyBorder="1" applyAlignment="1">
      <alignment horizontal="right"/>
    </xf>
    <xf numFmtId="165" fontId="54" fillId="47" borderId="0" xfId="2" applyNumberFormat="1" applyFont="1" applyFill="1" applyBorder="1" applyAlignment="1">
      <alignment horizontal="right"/>
    </xf>
    <xf numFmtId="167" fontId="50" fillId="47" borderId="0" xfId="11334" applyNumberFormat="1" applyFont="1" applyFill="1" applyBorder="1" applyAlignment="1">
      <alignment horizontal="right" vertical="center"/>
    </xf>
    <xf numFmtId="49" fontId="51" fillId="66" borderId="0" xfId="0" applyNumberFormat="1" applyFont="1" applyFill="1" applyBorder="1" applyAlignment="1">
      <alignment horizontal="center" vertical="center"/>
    </xf>
    <xf numFmtId="9" fontId="50" fillId="47" borderId="0" xfId="2" applyNumberFormat="1" applyFont="1" applyFill="1" applyBorder="1" applyAlignment="1">
      <alignment horizontal="right" vertical="center"/>
    </xf>
    <xf numFmtId="189" fontId="50" fillId="47" borderId="0" xfId="11334" applyNumberFormat="1" applyFont="1" applyFill="1" applyBorder="1" applyAlignment="1">
      <alignment horizontal="right" vertical="center"/>
    </xf>
    <xf numFmtId="176" fontId="56" fillId="0" borderId="57" xfId="11334" applyNumberFormat="1" applyFont="1" applyFill="1" applyBorder="1" applyAlignment="1">
      <alignment horizontal="center"/>
    </xf>
    <xf numFmtId="176" fontId="56" fillId="0" borderId="28" xfId="11334" applyNumberFormat="1" applyFont="1" applyFill="1" applyBorder="1" applyAlignment="1">
      <alignment horizontal="center"/>
    </xf>
    <xf numFmtId="176" fontId="56" fillId="0" borderId="54" xfId="11334" applyNumberFormat="1" applyFont="1" applyFill="1" applyBorder="1" applyAlignment="1">
      <alignment horizontal="center"/>
    </xf>
    <xf numFmtId="176" fontId="57" fillId="0" borderId="29" xfId="11334" applyNumberFormat="1" applyFont="1" applyFill="1" applyBorder="1" applyAlignment="1">
      <alignment horizontal="center"/>
    </xf>
    <xf numFmtId="176" fontId="56" fillId="68" borderId="29" xfId="11334" applyNumberFormat="1" applyFont="1" applyFill="1" applyBorder="1" applyAlignment="1">
      <alignment horizontal="center"/>
    </xf>
    <xf numFmtId="176" fontId="56" fillId="0" borderId="50" xfId="11334" applyNumberFormat="1" applyFont="1" applyFill="1" applyBorder="1" applyAlignment="1">
      <alignment horizontal="center"/>
    </xf>
    <xf numFmtId="6" fontId="140" fillId="52" borderId="66" xfId="0" quotePrefix="1" applyNumberFormat="1" applyFont="1" applyFill="1" applyBorder="1" applyAlignment="1">
      <alignment horizontal="left"/>
    </xf>
    <xf numFmtId="0" fontId="51" fillId="52" borderId="67" xfId="0" applyFont="1" applyFill="1" applyBorder="1" applyAlignment="1">
      <alignment horizontal="center" wrapText="1"/>
    </xf>
    <xf numFmtId="0" fontId="51" fillId="3" borderId="67" xfId="0" applyFont="1" applyFill="1" applyBorder="1" applyAlignment="1">
      <alignment horizontal="center" wrapText="1"/>
    </xf>
    <xf numFmtId="0" fontId="51" fillId="52" borderId="68" xfId="0" applyFont="1" applyFill="1" applyBorder="1" applyAlignment="1">
      <alignment horizontal="center" wrapText="1"/>
    </xf>
    <xf numFmtId="0" fontId="51" fillId="52" borderId="69" xfId="0" applyFont="1" applyFill="1" applyBorder="1" applyAlignment="1">
      <alignment horizontal="center" wrapText="1"/>
    </xf>
    <xf numFmtId="0" fontId="51" fillId="52" borderId="70" xfId="0" applyFont="1" applyFill="1" applyBorder="1" applyAlignment="1">
      <alignment horizontal="center" wrapText="1"/>
    </xf>
    <xf numFmtId="0" fontId="58" fillId="0" borderId="71" xfId="0" applyFont="1" applyFill="1" applyBorder="1" applyAlignment="1">
      <alignment horizontal="left" wrapText="1" readingOrder="1"/>
    </xf>
    <xf numFmtId="175" fontId="56" fillId="0" borderId="72" xfId="11334" applyNumberFormat="1" applyFont="1" applyFill="1" applyBorder="1" applyAlignment="1">
      <alignment horizontal="center"/>
    </xf>
    <xf numFmtId="0" fontId="89" fillId="0" borderId="71" xfId="0" applyFont="1" applyFill="1" applyBorder="1" applyAlignment="1">
      <alignment horizontal="left" wrapText="1" indent="1" readingOrder="1"/>
    </xf>
    <xf numFmtId="175" fontId="56" fillId="0" borderId="73" xfId="11334" applyNumberFormat="1" applyFont="1" applyFill="1" applyBorder="1" applyAlignment="1">
      <alignment horizontal="center"/>
    </xf>
    <xf numFmtId="0" fontId="90" fillId="0" borderId="71" xfId="0" applyFont="1" applyFill="1" applyBorder="1" applyAlignment="1">
      <alignment horizontal="left" wrapText="1" indent="1" readingOrder="1"/>
    </xf>
    <xf numFmtId="165" fontId="54" fillId="0" borderId="74" xfId="2" applyNumberFormat="1" applyFont="1" applyFill="1" applyBorder="1" applyAlignment="1">
      <alignment horizontal="center"/>
    </xf>
    <xf numFmtId="9" fontId="91" fillId="5" borderId="72" xfId="2" applyFont="1" applyFill="1" applyBorder="1" applyAlignment="1">
      <alignment horizontal="center"/>
    </xf>
    <xf numFmtId="9" fontId="91" fillId="5" borderId="75" xfId="2" applyFont="1" applyFill="1" applyBorder="1" applyAlignment="1">
      <alignment horizontal="center"/>
    </xf>
    <xf numFmtId="175" fontId="56" fillId="0" borderId="74" xfId="11334" applyNumberFormat="1" applyFont="1" applyFill="1" applyBorder="1" applyAlignment="1">
      <alignment horizontal="center"/>
    </xf>
    <xf numFmtId="175" fontId="54" fillId="0" borderId="74" xfId="11334" applyNumberFormat="1" applyFont="1" applyFill="1" applyBorder="1" applyAlignment="1">
      <alignment horizontal="center"/>
    </xf>
    <xf numFmtId="175" fontId="56" fillId="0" borderId="76" xfId="11334" applyNumberFormat="1" applyFont="1" applyFill="1" applyBorder="1" applyAlignment="1">
      <alignment horizontal="center"/>
    </xf>
    <xf numFmtId="0" fontId="58" fillId="0" borderId="77" xfId="0" applyFont="1" applyFill="1" applyBorder="1" applyAlignment="1">
      <alignment horizontal="left" wrapText="1" readingOrder="1"/>
    </xf>
    <xf numFmtId="175" fontId="56" fillId="0" borderId="78" xfId="11334" applyNumberFormat="1" applyFont="1" applyFill="1" applyBorder="1" applyAlignment="1">
      <alignment horizontal="center"/>
    </xf>
    <xf numFmtId="0" fontId="58" fillId="0" borderId="79" xfId="0" applyFont="1" applyFill="1" applyBorder="1" applyAlignment="1">
      <alignment horizontal="left" wrapText="1" readingOrder="1"/>
    </xf>
    <xf numFmtId="1" fontId="50" fillId="0" borderId="74" xfId="11334" applyNumberFormat="1" applyFont="1" applyFill="1" applyBorder="1" applyAlignment="1">
      <alignment horizontal="center"/>
    </xf>
    <xf numFmtId="175" fontId="50" fillId="0" borderId="74" xfId="11334" applyNumberFormat="1" applyFont="1" applyFill="1" applyBorder="1" applyAlignment="1">
      <alignment horizontal="center"/>
    </xf>
    <xf numFmtId="165" fontId="50" fillId="0" borderId="74" xfId="2" applyNumberFormat="1" applyFont="1" applyFill="1" applyBorder="1" applyAlignment="1">
      <alignment horizontal="center"/>
    </xf>
    <xf numFmtId="165" fontId="50" fillId="0" borderId="80" xfId="2" applyNumberFormat="1" applyFont="1" applyFill="1" applyBorder="1" applyAlignment="1">
      <alignment horizontal="center"/>
    </xf>
    <xf numFmtId="0" fontId="58" fillId="0" borderId="81" xfId="0" applyFont="1" applyFill="1" applyBorder="1" applyAlignment="1">
      <alignment horizontal="left" wrapText="1" readingOrder="1"/>
    </xf>
    <xf numFmtId="165" fontId="56" fillId="0" borderId="82" xfId="2" applyNumberFormat="1" applyFont="1" applyFill="1" applyBorder="1" applyAlignment="1">
      <alignment horizontal="center"/>
    </xf>
    <xf numFmtId="1" fontId="56" fillId="0" borderId="82" xfId="11334" applyNumberFormat="1" applyFont="1" applyFill="1" applyBorder="1" applyAlignment="1">
      <alignment horizontal="center"/>
    </xf>
    <xf numFmtId="1" fontId="56" fillId="3" borderId="82" xfId="11334" applyNumberFormat="1" applyFont="1" applyFill="1" applyBorder="1" applyAlignment="1">
      <alignment horizontal="center"/>
    </xf>
    <xf numFmtId="165" fontId="50" fillId="0" borderId="83" xfId="2" applyNumberFormat="1" applyFont="1" applyFill="1" applyBorder="1" applyAlignment="1">
      <alignment horizontal="center"/>
    </xf>
    <xf numFmtId="165" fontId="50" fillId="0" borderId="84" xfId="2" applyNumberFormat="1" applyFont="1" applyFill="1" applyBorder="1" applyAlignment="1">
      <alignment horizontal="center"/>
    </xf>
    <xf numFmtId="165" fontId="50" fillId="0" borderId="85" xfId="2" applyNumberFormat="1" applyFont="1" applyFill="1" applyBorder="1" applyAlignment="1">
      <alignment horizontal="center"/>
    </xf>
    <xf numFmtId="9" fontId="141" fillId="0" borderId="0" xfId="2" applyNumberFormat="1" applyFont="1" applyFill="1" applyBorder="1" applyAlignment="1">
      <alignment horizontal="right"/>
    </xf>
    <xf numFmtId="165" fontId="30" fillId="0" borderId="0" xfId="2" applyNumberFormat="1" applyFont="1" applyFill="1" applyBorder="1" applyAlignment="1">
      <alignment horizontal="right"/>
    </xf>
    <xf numFmtId="167" fontId="111" fillId="0" borderId="0" xfId="11334" applyNumberFormat="1" applyFont="1" applyFill="1" applyBorder="1" applyAlignment="1">
      <alignment horizontal="right" vertical="center"/>
    </xf>
    <xf numFmtId="164" fontId="50" fillId="0" borderId="41" xfId="1" applyNumberFormat="1" applyFont="1" applyFill="1" applyBorder="1" applyAlignment="1">
      <alignment horizontal="right"/>
    </xf>
    <xf numFmtId="165" fontId="54" fillId="0" borderId="41" xfId="2" applyNumberFormat="1" applyFont="1" applyFill="1" applyBorder="1" applyAlignment="1">
      <alignment horizontal="right"/>
    </xf>
    <xf numFmtId="169" fontId="50" fillId="0" borderId="41" xfId="11334" applyNumberFormat="1" applyFont="1" applyBorder="1" applyAlignment="1">
      <alignment horizontal="center" vertical="center"/>
    </xf>
    <xf numFmtId="167" fontId="50" fillId="0" borderId="41" xfId="11334" applyNumberFormat="1" applyFont="1" applyFill="1" applyBorder="1" applyAlignment="1">
      <alignment horizontal="right" vertical="center"/>
    </xf>
    <xf numFmtId="9" fontId="141" fillId="0" borderId="41" xfId="2" applyNumberFormat="1" applyFont="1" applyFill="1" applyBorder="1" applyAlignment="1">
      <alignment horizontal="right"/>
    </xf>
    <xf numFmtId="167" fontId="112" fillId="0" borderId="41" xfId="11334" applyNumberFormat="1" applyFont="1" applyFill="1" applyBorder="1" applyAlignment="1">
      <alignment horizontal="right" vertical="center"/>
    </xf>
    <xf numFmtId="9" fontId="50" fillId="0" borderId="41" xfId="2" applyNumberFormat="1" applyFont="1" applyFill="1" applyBorder="1" applyAlignment="1">
      <alignment horizontal="right" vertical="center"/>
    </xf>
    <xf numFmtId="175" fontId="111" fillId="0" borderId="41" xfId="11334" applyNumberFormat="1" applyFont="1" applyBorder="1" applyAlignment="1">
      <alignment horizontal="right" vertical="center"/>
    </xf>
    <xf numFmtId="167" fontId="50" fillId="58" borderId="0" xfId="11334" applyNumberFormat="1" applyFont="1" applyFill="1" applyBorder="1" applyAlignment="1">
      <alignment horizontal="center" vertical="center"/>
    </xf>
    <xf numFmtId="167" fontId="50" fillId="58" borderId="41" xfId="11334" applyNumberFormat="1" applyFont="1" applyFill="1" applyBorder="1" applyAlignment="1">
      <alignment horizontal="center" vertical="center"/>
    </xf>
    <xf numFmtId="189" fontId="50" fillId="58" borderId="0" xfId="11334" applyNumberFormat="1" applyFont="1" applyFill="1" applyBorder="1" applyAlignment="1">
      <alignment vertical="center"/>
    </xf>
    <xf numFmtId="9" fontId="54" fillId="58" borderId="0" xfId="2" applyFont="1" applyFill="1" applyBorder="1" applyAlignment="1">
      <alignment horizontal="center" vertical="center"/>
    </xf>
    <xf numFmtId="164" fontId="112" fillId="58" borderId="0" xfId="0" applyNumberFormat="1" applyFont="1" applyFill="1" applyBorder="1" applyAlignment="1">
      <alignment horizontal="right"/>
    </xf>
    <xf numFmtId="9" fontId="54" fillId="58" borderId="0" xfId="2" applyNumberFormat="1" applyFont="1" applyFill="1" applyBorder="1" applyAlignment="1">
      <alignment horizontal="right"/>
    </xf>
    <xf numFmtId="164" fontId="111" fillId="47" borderId="0" xfId="1" applyNumberFormat="1" applyFont="1" applyFill="1" applyBorder="1" applyAlignment="1">
      <alignment horizontal="right"/>
    </xf>
    <xf numFmtId="0" fontId="0" fillId="54" borderId="0" xfId="0" applyFill="1" applyBorder="1" applyAlignment="1">
      <alignment horizontal="right"/>
    </xf>
    <xf numFmtId="175" fontId="50" fillId="47" borderId="0" xfId="11334" applyNumberFormat="1" applyFont="1" applyFill="1" applyBorder="1" applyAlignment="1">
      <alignment horizontal="right" vertical="center"/>
    </xf>
    <xf numFmtId="38" fontId="109" fillId="47" borderId="0" xfId="11334" applyNumberFormat="1" applyFont="1" applyFill="1" applyBorder="1" applyAlignment="1">
      <alignment horizontal="right" vertical="center"/>
    </xf>
    <xf numFmtId="165" fontId="50" fillId="0" borderId="82" xfId="2" applyNumberFormat="1" applyFont="1" applyFill="1" applyBorder="1" applyAlignment="1">
      <alignment horizontal="center"/>
    </xf>
    <xf numFmtId="0" fontId="58" fillId="0" borderId="86" xfId="0" applyFont="1" applyFill="1" applyBorder="1" applyAlignment="1">
      <alignment horizontal="left" wrapText="1" readingOrder="1"/>
    </xf>
    <xf numFmtId="165" fontId="91" fillId="0" borderId="87" xfId="2" applyNumberFormat="1" applyFont="1" applyFill="1" applyBorder="1" applyAlignment="1">
      <alignment horizontal="center"/>
    </xf>
    <xf numFmtId="165" fontId="54" fillId="0" borderId="87" xfId="2" applyNumberFormat="1" applyFont="1" applyFill="1" applyBorder="1" applyAlignment="1">
      <alignment horizontal="center"/>
    </xf>
    <xf numFmtId="1" fontId="56" fillId="0" borderId="87" xfId="11334" applyNumberFormat="1" applyFont="1" applyFill="1" applyBorder="1" applyAlignment="1">
      <alignment horizontal="center"/>
    </xf>
    <xf numFmtId="1" fontId="56" fillId="3" borderId="87" xfId="11334" applyNumberFormat="1" applyFont="1" applyFill="1" applyBorder="1" applyAlignment="1">
      <alignment horizontal="center"/>
    </xf>
    <xf numFmtId="165" fontId="50" fillId="0" borderId="88" xfId="2" applyNumberFormat="1" applyFont="1" applyFill="1" applyBorder="1" applyAlignment="1">
      <alignment horizontal="center"/>
    </xf>
    <xf numFmtId="165" fontId="50" fillId="0" borderId="89" xfId="2" applyNumberFormat="1" applyFont="1" applyFill="1" applyBorder="1" applyAlignment="1">
      <alignment horizontal="center"/>
    </xf>
    <xf numFmtId="165" fontId="30" fillId="47" borderId="0" xfId="2" applyNumberFormat="1" applyFont="1" applyFill="1" applyBorder="1" applyAlignment="1">
      <alignment horizontal="right"/>
    </xf>
    <xf numFmtId="0" fontId="0" fillId="0" borderId="0" xfId="0" applyFill="1" applyBorder="1" applyAlignment="1">
      <alignment horizontal="right"/>
    </xf>
    <xf numFmtId="164" fontId="112" fillId="58" borderId="41" xfId="0" applyNumberFormat="1" applyFont="1" applyFill="1" applyBorder="1" applyAlignment="1">
      <alignment horizontal="right"/>
    </xf>
    <xf numFmtId="9" fontId="54" fillId="58" borderId="41" xfId="2" applyNumberFormat="1" applyFont="1" applyFill="1" applyBorder="1" applyAlignment="1">
      <alignment horizontal="right"/>
    </xf>
    <xf numFmtId="167" fontId="111" fillId="0" borderId="41" xfId="11334" applyNumberFormat="1" applyFont="1" applyFill="1" applyBorder="1" applyAlignment="1">
      <alignment horizontal="right" vertical="center"/>
    </xf>
    <xf numFmtId="9" fontId="50" fillId="58" borderId="41" xfId="2" applyNumberFormat="1" applyFont="1" applyFill="1" applyBorder="1" applyAlignment="1">
      <alignment horizontal="center" vertical="center"/>
    </xf>
    <xf numFmtId="0" fontId="0" fillId="54" borderId="41" xfId="0" applyFill="1" applyBorder="1"/>
    <xf numFmtId="175" fontId="50" fillId="0" borderId="41" xfId="11334" applyNumberFormat="1" applyFont="1" applyFill="1" applyBorder="1" applyAlignment="1">
      <alignment horizontal="right" vertical="center"/>
    </xf>
    <xf numFmtId="0" fontId="4" fillId="54" borderId="61" xfId="0" applyFont="1" applyFill="1" applyBorder="1"/>
    <xf numFmtId="43" fontId="0" fillId="54" borderId="2" xfId="1" applyFont="1" applyFill="1" applyBorder="1"/>
    <xf numFmtId="9" fontId="0" fillId="54" borderId="2" xfId="2" applyFont="1" applyFill="1" applyBorder="1"/>
    <xf numFmtId="0" fontId="0" fillId="54" borderId="62" xfId="0" applyFill="1" applyBorder="1"/>
    <xf numFmtId="167" fontId="50" fillId="47" borderId="0" xfId="11334" applyNumberFormat="1" applyFont="1" applyFill="1" applyBorder="1" applyAlignment="1">
      <alignment horizontal="right" vertical="center"/>
    </xf>
    <xf numFmtId="9" fontId="54" fillId="47" borderId="0" xfId="2" applyNumberFormat="1" applyFont="1" applyFill="1" applyBorder="1" applyAlignment="1">
      <alignment horizontal="right"/>
    </xf>
    <xf numFmtId="9" fontId="50" fillId="47" borderId="0" xfId="2" applyNumberFormat="1" applyFont="1" applyFill="1" applyBorder="1" applyAlignment="1">
      <alignment horizontal="right" vertical="center"/>
    </xf>
    <xf numFmtId="189" fontId="50" fillId="47" borderId="0" xfId="11334" applyNumberFormat="1" applyFont="1" applyFill="1" applyBorder="1" applyAlignment="1">
      <alignment horizontal="right" vertical="center"/>
    </xf>
    <xf numFmtId="167" fontId="111" fillId="47" borderId="0" xfId="11334" applyNumberFormat="1" applyFont="1" applyFill="1" applyBorder="1" applyAlignment="1">
      <alignment horizontal="right" vertical="center"/>
    </xf>
    <xf numFmtId="9" fontId="54" fillId="47" borderId="0" xfId="2" applyFont="1" applyFill="1" applyBorder="1" applyAlignment="1">
      <alignment horizontal="right" vertical="center"/>
    </xf>
    <xf numFmtId="167" fontId="50" fillId="58" borderId="41" xfId="11334" applyNumberFormat="1" applyFont="1" applyFill="1" applyBorder="1" applyAlignment="1">
      <alignment horizontal="right" vertical="center"/>
    </xf>
    <xf numFmtId="164" fontId="51" fillId="0" borderId="0" xfId="1" applyNumberFormat="1" applyFont="1" applyFill="1" applyBorder="1" applyAlignment="1">
      <alignment horizontal="right"/>
    </xf>
    <xf numFmtId="164" fontId="51" fillId="0" borderId="41" xfId="1" applyNumberFormat="1" applyFont="1" applyFill="1" applyBorder="1" applyAlignment="1">
      <alignment horizontal="right"/>
    </xf>
    <xf numFmtId="9" fontId="142" fillId="0" borderId="0" xfId="2" applyNumberFormat="1" applyFont="1" applyFill="1" applyBorder="1" applyAlignment="1">
      <alignment horizontal="right"/>
    </xf>
    <xf numFmtId="9" fontId="142" fillId="0" borderId="41" xfId="2" applyNumberFormat="1" applyFont="1" applyFill="1" applyBorder="1" applyAlignment="1">
      <alignment horizontal="right"/>
    </xf>
    <xf numFmtId="9" fontId="54" fillId="0" borderId="29" xfId="2" applyFont="1" applyFill="1" applyBorder="1" applyAlignment="1">
      <alignment horizontal="center"/>
    </xf>
    <xf numFmtId="14" fontId="0" fillId="0" borderId="61" xfId="0" applyNumberFormat="1" applyBorder="1"/>
    <xf numFmtId="14" fontId="0" fillId="0" borderId="2" xfId="0" applyNumberFormat="1" applyBorder="1"/>
    <xf numFmtId="14" fontId="4" fillId="0" borderId="2" xfId="0" applyNumberFormat="1" applyFont="1" applyBorder="1"/>
    <xf numFmtId="14" fontId="4" fillId="0" borderId="62" xfId="0" applyNumberFormat="1" applyFont="1" applyBorder="1"/>
    <xf numFmtId="10" fontId="0" fillId="47" borderId="0" xfId="2" applyNumberFormat="1" applyFont="1" applyFill="1"/>
    <xf numFmtId="164" fontId="0" fillId="47" borderId="0" xfId="1" applyNumberFormat="1" applyFont="1" applyFill="1" applyAlignment="1">
      <alignment horizontal="left" indent="1"/>
    </xf>
    <xf numFmtId="164" fontId="5" fillId="47" borderId="0" xfId="1" applyNumberFormat="1" applyFont="1" applyFill="1" applyAlignment="1">
      <alignment horizontal="center"/>
    </xf>
    <xf numFmtId="4" fontId="0" fillId="47" borderId="0" xfId="0" applyNumberFormat="1" applyFill="1"/>
    <xf numFmtId="43" fontId="0" fillId="47" borderId="0" xfId="1" applyFont="1" applyFill="1"/>
    <xf numFmtId="39" fontId="0" fillId="47" borderId="0" xfId="1" applyNumberFormat="1" applyFont="1" applyFill="1"/>
    <xf numFmtId="14" fontId="4" fillId="3" borderId="3" xfId="0" applyNumberFormat="1" applyFont="1" applyFill="1" applyBorder="1" applyAlignment="1">
      <alignment horizontal="center"/>
    </xf>
    <xf numFmtId="0" fontId="33" fillId="0" borderId="0" xfId="44" applyFont="1" applyFill="1" applyAlignment="1">
      <alignment horizontal="left" wrapText="1" indent="3"/>
    </xf>
    <xf numFmtId="4" fontId="5" fillId="47" borderId="0" xfId="1" applyNumberFormat="1" applyFont="1" applyFill="1" applyBorder="1"/>
    <xf numFmtId="4" fontId="61" fillId="47" borderId="0" xfId="0" applyNumberFormat="1" applyFont="1" applyFill="1" applyBorder="1"/>
    <xf numFmtId="0" fontId="34" fillId="58" borderId="16" xfId="44" applyFont="1" applyFill="1" applyBorder="1" applyAlignment="1">
      <alignment horizontal="left" wrapText="1" indent="2"/>
    </xf>
    <xf numFmtId="4" fontId="5" fillId="58" borderId="16" xfId="1" applyNumberFormat="1" applyFont="1" applyFill="1" applyBorder="1"/>
    <xf numFmtId="0" fontId="143" fillId="0" borderId="0" xfId="44" applyFont="1" applyFill="1" applyAlignment="1">
      <alignment horizontal="left" wrapText="1" indent="1"/>
    </xf>
    <xf numFmtId="4" fontId="34" fillId="47" borderId="16" xfId="0" applyNumberFormat="1" applyFont="1" applyFill="1" applyBorder="1" applyAlignment="1">
      <alignment horizontal="left"/>
    </xf>
    <xf numFmtId="0" fontId="34" fillId="47" borderId="0" xfId="44" applyFont="1" applyFill="1" applyAlignment="1">
      <alignment horizontal="left" wrapText="1" indent="2"/>
    </xf>
    <xf numFmtId="164" fontId="4" fillId="0" borderId="90" xfId="1" applyNumberFormat="1" applyFont="1" applyBorder="1"/>
    <xf numFmtId="10" fontId="5" fillId="47" borderId="0" xfId="2" applyNumberFormat="1" applyFont="1" applyFill="1"/>
    <xf numFmtId="0" fontId="115" fillId="0" borderId="0" xfId="0" applyFont="1"/>
    <xf numFmtId="184" fontId="0" fillId="0" borderId="0" xfId="0" applyNumberFormat="1" applyFill="1" applyBorder="1"/>
    <xf numFmtId="184" fontId="33" fillId="0" borderId="0" xfId="0" applyNumberFormat="1" applyFont="1" applyFill="1" applyBorder="1"/>
    <xf numFmtId="4" fontId="1" fillId="0" borderId="90" xfId="0" applyNumberFormat="1" applyFont="1" applyBorder="1"/>
    <xf numFmtId="2" fontId="0" fillId="0" borderId="0" xfId="0" applyNumberFormat="1"/>
    <xf numFmtId="14" fontId="4" fillId="3" borderId="90" xfId="0" applyNumberFormat="1" applyFont="1" applyFill="1" applyBorder="1"/>
    <xf numFmtId="14" fontId="4" fillId="3" borderId="91" xfId="0" applyNumberFormat="1" applyFont="1" applyFill="1" applyBorder="1"/>
    <xf numFmtId="0" fontId="4" fillId="0" borderId="92" xfId="0" applyFont="1" applyBorder="1"/>
    <xf numFmtId="0" fontId="131" fillId="3" borderId="18" xfId="0" applyFont="1" applyFill="1" applyBorder="1"/>
    <xf numFmtId="0" fontId="131" fillId="3" borderId="90" xfId="0" applyFont="1" applyFill="1" applyBorder="1"/>
    <xf numFmtId="0" fontId="0" fillId="3" borderId="90" xfId="0" applyFill="1" applyBorder="1"/>
    <xf numFmtId="0" fontId="4" fillId="3" borderId="91" xfId="0" applyFont="1" applyFill="1" applyBorder="1"/>
    <xf numFmtId="0" fontId="4" fillId="47" borderId="61" xfId="0" applyFont="1" applyFill="1" applyBorder="1"/>
    <xf numFmtId="0" fontId="4" fillId="47" borderId="2" xfId="0" applyFont="1" applyFill="1" applyBorder="1"/>
    <xf numFmtId="4" fontId="1" fillId="47" borderId="2" xfId="0" applyNumberFormat="1" applyFont="1" applyFill="1" applyBorder="1"/>
    <xf numFmtId="4" fontId="1" fillId="47" borderId="62" xfId="0" applyNumberFormat="1" applyFont="1" applyFill="1" applyBorder="1"/>
    <xf numFmtId="4" fontId="71" fillId="47" borderId="93" xfId="0" applyNumberFormat="1" applyFont="1" applyFill="1" applyBorder="1"/>
    <xf numFmtId="0" fontId="95" fillId="0" borderId="0" xfId="0" applyFont="1" applyBorder="1"/>
    <xf numFmtId="4" fontId="71" fillId="0" borderId="92" xfId="0" applyNumberFormat="1" applyFont="1" applyBorder="1"/>
    <xf numFmtId="0" fontId="144" fillId="0" borderId="0" xfId="0" applyFont="1" applyBorder="1" applyAlignment="1">
      <alignment horizontal="left"/>
    </xf>
    <xf numFmtId="0" fontId="71" fillId="47" borderId="90" xfId="0" applyFont="1" applyFill="1" applyBorder="1"/>
    <xf numFmtId="4" fontId="71" fillId="47" borderId="90" xfId="0" applyNumberFormat="1" applyFont="1" applyFill="1" applyBorder="1"/>
    <xf numFmtId="0" fontId="145" fillId="0" borderId="0" xfId="0" applyFont="1"/>
    <xf numFmtId="0" fontId="4" fillId="61" borderId="18" xfId="0" applyFont="1" applyFill="1" applyBorder="1"/>
    <xf numFmtId="49" fontId="118" fillId="61" borderId="0" xfId="0" applyNumberFormat="1" applyFont="1" applyFill="1" applyBorder="1" applyAlignment="1">
      <alignment horizontal="left"/>
    </xf>
    <xf numFmtId="4" fontId="71" fillId="61" borderId="0" xfId="0" applyNumberFormat="1" applyFont="1" applyFill="1" applyBorder="1"/>
    <xf numFmtId="4" fontId="71" fillId="61" borderId="92" xfId="0" applyNumberFormat="1" applyFont="1" applyFill="1" applyBorder="1"/>
    <xf numFmtId="0" fontId="146" fillId="0" borderId="0" xfId="0" applyFont="1" applyBorder="1" applyAlignment="1">
      <alignment horizontal="left"/>
    </xf>
    <xf numFmtId="0" fontId="147" fillId="0" borderId="0" xfId="0" applyFont="1"/>
    <xf numFmtId="4" fontId="71" fillId="0" borderId="93" xfId="0" applyNumberFormat="1" applyFont="1" applyBorder="1"/>
    <xf numFmtId="0" fontId="71" fillId="47" borderId="3" xfId="0" applyFont="1" applyFill="1" applyBorder="1"/>
    <xf numFmtId="0" fontId="0" fillId="0" borderId="90" xfId="0" applyBorder="1"/>
    <xf numFmtId="0" fontId="4" fillId="0" borderId="91" xfId="0" applyFont="1" applyBorder="1"/>
    <xf numFmtId="4" fontId="95" fillId="0" borderId="92" xfId="0" applyNumberFormat="1" applyFont="1" applyBorder="1"/>
    <xf numFmtId="0" fontId="4" fillId="61" borderId="14" xfId="0" applyFont="1" applyFill="1" applyBorder="1"/>
    <xf numFmtId="0" fontId="0" fillId="61" borderId="0" xfId="0" applyFill="1"/>
    <xf numFmtId="4" fontId="95" fillId="0" borderId="41" xfId="0" applyNumberFormat="1" applyFont="1" applyBorder="1"/>
    <xf numFmtId="4" fontId="1" fillId="61" borderId="0" xfId="0" applyNumberFormat="1" applyFont="1" applyFill="1" applyBorder="1"/>
    <xf numFmtId="0" fontId="4" fillId="0" borderId="14" xfId="0" applyFont="1" applyFill="1" applyBorder="1"/>
    <xf numFmtId="49" fontId="118" fillId="0" borderId="0" xfId="0" applyNumberFormat="1" applyFont="1" applyFill="1" applyBorder="1" applyAlignment="1">
      <alignment horizontal="left"/>
    </xf>
    <xf numFmtId="4" fontId="1" fillId="0" borderId="0" xfId="0" applyNumberFormat="1" applyFont="1" applyFill="1" applyBorder="1"/>
    <xf numFmtId="4" fontId="71" fillId="0" borderId="92" xfId="0" applyNumberFormat="1" applyFont="1" applyFill="1" applyBorder="1"/>
    <xf numFmtId="43" fontId="147" fillId="0" borderId="0" xfId="1" applyFont="1"/>
    <xf numFmtId="4" fontId="95" fillId="0" borderId="0" xfId="0" applyNumberFormat="1" applyFont="1" applyFill="1" applyBorder="1"/>
    <xf numFmtId="4" fontId="71" fillId="0" borderId="0" xfId="0" applyNumberFormat="1" applyFont="1" applyFill="1" applyBorder="1"/>
    <xf numFmtId="43" fontId="95" fillId="0" borderId="0" xfId="1" applyFont="1"/>
    <xf numFmtId="49" fontId="146" fillId="0" borderId="0" xfId="0" applyNumberFormat="1" applyFont="1" applyBorder="1" applyAlignment="1">
      <alignment horizontal="left"/>
    </xf>
    <xf numFmtId="4" fontId="146" fillId="0" borderId="0" xfId="0" applyNumberFormat="1" applyFont="1" applyBorder="1"/>
    <xf numFmtId="4" fontId="71" fillId="47" borderId="1" xfId="0" applyNumberFormat="1" applyFont="1" applyFill="1" applyBorder="1"/>
    <xf numFmtId="4" fontId="131" fillId="3" borderId="1" xfId="0" applyNumberFormat="1" applyFont="1" applyFill="1" applyBorder="1"/>
    <xf numFmtId="0" fontId="131" fillId="0" borderId="0" xfId="0" applyFont="1" applyFill="1" applyBorder="1"/>
    <xf numFmtId="4" fontId="131" fillId="0" borderId="0" xfId="0" applyNumberFormat="1" applyFont="1" applyFill="1" applyBorder="1"/>
    <xf numFmtId="0" fontId="148" fillId="0" borderId="0" xfId="0" applyFont="1" applyFill="1" applyBorder="1"/>
    <xf numFmtId="4" fontId="148" fillId="0" borderId="0" xfId="0" applyNumberFormat="1" applyFont="1" applyFill="1" applyBorder="1"/>
    <xf numFmtId="0" fontId="149" fillId="0" borderId="0" xfId="0" applyFont="1" applyFill="1"/>
    <xf numFmtId="0" fontId="150" fillId="0" borderId="0" xfId="0" applyFont="1" applyFill="1"/>
    <xf numFmtId="4" fontId="149" fillId="0" borderId="0" xfId="0" applyNumberFormat="1" applyFont="1" applyFill="1" applyBorder="1"/>
    <xf numFmtId="4" fontId="151" fillId="0" borderId="0" xfId="0" applyNumberFormat="1" applyFont="1" applyFill="1" applyBorder="1"/>
    <xf numFmtId="14" fontId="4" fillId="0" borderId="0" xfId="0" applyNumberFormat="1" applyFont="1" applyFill="1" applyBorder="1"/>
    <xf numFmtId="0" fontId="131" fillId="3" borderId="1" xfId="0" applyFont="1" applyFill="1" applyBorder="1"/>
    <xf numFmtId="49" fontId="118" fillId="0" borderId="92" xfId="0" applyNumberFormat="1" applyFont="1" applyBorder="1" applyAlignment="1">
      <alignment horizontal="left"/>
    </xf>
    <xf numFmtId="0" fontId="0" fillId="0" borderId="92" xfId="0" applyBorder="1"/>
    <xf numFmtId="0" fontId="131" fillId="3" borderId="93" xfId="0" applyFont="1" applyFill="1" applyBorder="1"/>
    <xf numFmtId="0" fontId="115" fillId="0" borderId="91" xfId="0" applyFont="1" applyBorder="1" applyAlignment="1">
      <alignment horizontal="left"/>
    </xf>
    <xf numFmtId="49" fontId="118" fillId="0" borderId="93" xfId="0" applyNumberFormat="1" applyFont="1" applyBorder="1" applyAlignment="1">
      <alignment horizontal="left"/>
    </xf>
    <xf numFmtId="0" fontId="0" fillId="0" borderId="91" xfId="0" applyBorder="1"/>
    <xf numFmtId="9" fontId="54" fillId="63" borderId="60" xfId="2" applyFont="1" applyFill="1" applyBorder="1" applyAlignment="1">
      <alignment horizontal="center"/>
    </xf>
    <xf numFmtId="164" fontId="50" fillId="0" borderId="49" xfId="1" applyNumberFormat="1" applyFont="1" applyFill="1" applyBorder="1" applyAlignment="1">
      <alignment horizontal="center"/>
    </xf>
    <xf numFmtId="9" fontId="6" fillId="29" borderId="0" xfId="36" applyNumberFormat="1" applyBorder="1" applyAlignment="1">
      <alignment horizontal="center"/>
    </xf>
    <xf numFmtId="0" fontId="51" fillId="52" borderId="22" xfId="0" applyFont="1" applyFill="1" applyBorder="1" applyAlignment="1">
      <alignment horizontal="center" wrapText="1"/>
    </xf>
    <xf numFmtId="0" fontId="51" fillId="52" borderId="0" xfId="0" applyFont="1" applyFill="1" applyBorder="1" applyAlignment="1">
      <alignment horizontal="center" wrapText="1"/>
    </xf>
    <xf numFmtId="0" fontId="51" fillId="52" borderId="37" xfId="0" applyFont="1" applyFill="1" applyBorder="1" applyAlignment="1">
      <alignment horizontal="center" wrapText="1"/>
    </xf>
    <xf numFmtId="0" fontId="51" fillId="52" borderId="38" xfId="0" applyFont="1" applyFill="1" applyBorder="1" applyAlignment="1">
      <alignment horizontal="center" wrapText="1"/>
    </xf>
    <xf numFmtId="0" fontId="51" fillId="52" borderId="39" xfId="0" applyFont="1" applyFill="1" applyBorder="1" applyAlignment="1">
      <alignment horizontal="center" wrapText="1"/>
    </xf>
    <xf numFmtId="9" fontId="6" fillId="29" borderId="33" xfId="36" applyNumberFormat="1" applyBorder="1" applyAlignment="1">
      <alignment horizontal="center"/>
    </xf>
    <xf numFmtId="49" fontId="98" fillId="66" borderId="16" xfId="0" applyNumberFormat="1" applyFont="1" applyFill="1" applyBorder="1" applyAlignment="1">
      <alignment horizontal="center" vertical="center"/>
    </xf>
    <xf numFmtId="49" fontId="98" fillId="66" borderId="40" xfId="0" applyNumberFormat="1" applyFont="1" applyFill="1" applyBorder="1" applyAlignment="1">
      <alignment horizontal="center" vertical="center"/>
    </xf>
    <xf numFmtId="49" fontId="98" fillId="66" borderId="18" xfId="0" applyNumberFormat="1" applyFont="1" applyFill="1" applyBorder="1" applyAlignment="1">
      <alignment horizontal="center" vertical="center"/>
    </xf>
    <xf numFmtId="49" fontId="51" fillId="66" borderId="0" xfId="0" applyNumberFormat="1" applyFont="1" applyFill="1" applyBorder="1" applyAlignment="1">
      <alignment horizontal="center" vertical="center"/>
    </xf>
    <xf numFmtId="175" fontId="50" fillId="47" borderId="0" xfId="11334" applyNumberFormat="1" applyFont="1" applyFill="1" applyBorder="1" applyAlignment="1">
      <alignment horizontal="right" vertical="center"/>
    </xf>
    <xf numFmtId="9" fontId="54" fillId="47" borderId="0" xfId="2" applyNumberFormat="1" applyFont="1" applyFill="1" applyBorder="1" applyAlignment="1">
      <alignment horizontal="right"/>
    </xf>
    <xf numFmtId="9" fontId="50" fillId="47" borderId="0" xfId="2" applyNumberFormat="1" applyFont="1" applyFill="1" applyBorder="1" applyAlignment="1">
      <alignment horizontal="right" vertical="center"/>
    </xf>
    <xf numFmtId="167" fontId="50" fillId="47" borderId="0" xfId="11334" applyNumberFormat="1" applyFont="1" applyFill="1" applyBorder="1" applyAlignment="1">
      <alignment horizontal="right" vertical="center"/>
    </xf>
    <xf numFmtId="189" fontId="50" fillId="47" borderId="0" xfId="11334" applyNumberFormat="1" applyFont="1" applyFill="1" applyBorder="1" applyAlignment="1">
      <alignment horizontal="right" vertical="center"/>
    </xf>
    <xf numFmtId="164" fontId="50" fillId="47" borderId="0" xfId="1" applyNumberFormat="1" applyFont="1" applyFill="1" applyBorder="1" applyAlignment="1">
      <alignment horizontal="right"/>
    </xf>
    <xf numFmtId="164" fontId="87" fillId="47" borderId="0" xfId="1" applyNumberFormat="1" applyFont="1" applyFill="1" applyBorder="1" applyAlignment="1">
      <alignment horizontal="right"/>
    </xf>
    <xf numFmtId="165" fontId="54" fillId="47" borderId="0" xfId="2" applyNumberFormat="1" applyFont="1" applyFill="1" applyBorder="1" applyAlignment="1">
      <alignment horizontal="right"/>
    </xf>
    <xf numFmtId="164" fontId="111" fillId="47" borderId="0" xfId="1" applyNumberFormat="1" applyFont="1" applyFill="1" applyBorder="1" applyAlignment="1">
      <alignment horizontal="right"/>
    </xf>
    <xf numFmtId="0" fontId="80" fillId="2" borderId="0" xfId="10676" applyFont="1" applyFill="1" applyBorder="1" applyAlignment="1" applyProtection="1">
      <alignment horizontal="center" vertical="center"/>
      <protection hidden="1"/>
    </xf>
  </cellXfs>
  <cellStyles count="12651">
    <cellStyle name="20% - Accent1" xfId="21" builtinId="30" customBuiltin="1"/>
    <cellStyle name="20% - Accent1 10" xfId="260"/>
    <cellStyle name="20% - Accent1 11" xfId="261"/>
    <cellStyle name="20% - Accent1 12" xfId="262"/>
    <cellStyle name="20% - Accent1 13" xfId="263"/>
    <cellStyle name="20% - Accent1 14" xfId="264"/>
    <cellStyle name="20% - Accent1 15" xfId="265"/>
    <cellStyle name="20% - Accent1 16" xfId="266"/>
    <cellStyle name="20% - Accent1 17" xfId="267"/>
    <cellStyle name="20% - Accent1 2" xfId="268"/>
    <cellStyle name="20% - Accent1 3" xfId="269"/>
    <cellStyle name="20% - Accent1 4" xfId="270"/>
    <cellStyle name="20% - Accent1 5" xfId="271"/>
    <cellStyle name="20% - Accent1 6" xfId="272"/>
    <cellStyle name="20% - Accent1 7" xfId="273"/>
    <cellStyle name="20% - Accent1 8" xfId="274"/>
    <cellStyle name="20% - Accent1 9" xfId="275"/>
    <cellStyle name="20% - Accent2" xfId="25" builtinId="34" customBuiltin="1"/>
    <cellStyle name="20% - Accent2 10" xfId="276"/>
    <cellStyle name="20% - Accent2 11" xfId="277"/>
    <cellStyle name="20% - Accent2 12" xfId="278"/>
    <cellStyle name="20% - Accent2 13" xfId="279"/>
    <cellStyle name="20% - Accent2 14" xfId="280"/>
    <cellStyle name="20% - Accent2 15" xfId="281"/>
    <cellStyle name="20% - Accent2 16" xfId="282"/>
    <cellStyle name="20% - Accent2 17" xfId="283"/>
    <cellStyle name="20% - Accent2 2" xfId="284"/>
    <cellStyle name="20% - Accent2 3" xfId="285"/>
    <cellStyle name="20% - Accent2 4" xfId="286"/>
    <cellStyle name="20% - Accent2 5" xfId="287"/>
    <cellStyle name="20% - Accent2 6" xfId="288"/>
    <cellStyle name="20% - Accent2 7" xfId="289"/>
    <cellStyle name="20% - Accent2 8" xfId="290"/>
    <cellStyle name="20% - Accent2 9" xfId="291"/>
    <cellStyle name="20% - Accent3" xfId="29" builtinId="38" customBuiltin="1"/>
    <cellStyle name="20% - Accent3 10" xfId="292"/>
    <cellStyle name="20% - Accent3 11" xfId="293"/>
    <cellStyle name="20% - Accent3 12" xfId="294"/>
    <cellStyle name="20% - Accent3 13" xfId="295"/>
    <cellStyle name="20% - Accent3 14" xfId="296"/>
    <cellStyle name="20% - Accent3 15" xfId="297"/>
    <cellStyle name="20% - Accent3 16" xfId="298"/>
    <cellStyle name="20% - Accent3 17" xfId="299"/>
    <cellStyle name="20% - Accent3 2" xfId="300"/>
    <cellStyle name="20% - Accent3 3" xfId="301"/>
    <cellStyle name="20% - Accent3 4" xfId="302"/>
    <cellStyle name="20% - Accent3 5" xfId="303"/>
    <cellStyle name="20% - Accent3 6" xfId="304"/>
    <cellStyle name="20% - Accent3 7" xfId="305"/>
    <cellStyle name="20% - Accent3 8" xfId="306"/>
    <cellStyle name="20% - Accent3 9" xfId="307"/>
    <cellStyle name="20% - Accent4" xfId="33" builtinId="42" customBuiltin="1"/>
    <cellStyle name="20% - Accent4 10" xfId="308"/>
    <cellStyle name="20% - Accent4 11" xfId="309"/>
    <cellStyle name="20% - Accent4 12" xfId="310"/>
    <cellStyle name="20% - Accent4 13" xfId="311"/>
    <cellStyle name="20% - Accent4 14" xfId="312"/>
    <cellStyle name="20% - Accent4 15" xfId="313"/>
    <cellStyle name="20% - Accent4 16" xfId="314"/>
    <cellStyle name="20% - Accent4 17" xfId="315"/>
    <cellStyle name="20% - Accent4 2" xfId="316"/>
    <cellStyle name="20% - Accent4 3" xfId="317"/>
    <cellStyle name="20% - Accent4 4" xfId="318"/>
    <cellStyle name="20% - Accent4 5" xfId="319"/>
    <cellStyle name="20% - Accent4 6" xfId="320"/>
    <cellStyle name="20% - Accent4 7" xfId="321"/>
    <cellStyle name="20% - Accent4 8" xfId="322"/>
    <cellStyle name="20% - Accent4 9" xfId="323"/>
    <cellStyle name="20% - Accent5" xfId="37" builtinId="46" customBuiltin="1"/>
    <cellStyle name="20% - Accent5 10" xfId="324"/>
    <cellStyle name="20% - Accent5 11" xfId="325"/>
    <cellStyle name="20% - Accent5 12" xfId="326"/>
    <cellStyle name="20% - Accent5 13" xfId="327"/>
    <cellStyle name="20% - Accent5 14" xfId="328"/>
    <cellStyle name="20% - Accent5 15" xfId="329"/>
    <cellStyle name="20% - Accent5 16" xfId="330"/>
    <cellStyle name="20% - Accent5 17" xfId="331"/>
    <cellStyle name="20% - Accent5 2" xfId="332"/>
    <cellStyle name="20% - Accent5 3" xfId="333"/>
    <cellStyle name="20% - Accent5 4" xfId="334"/>
    <cellStyle name="20% - Accent5 5" xfId="335"/>
    <cellStyle name="20% - Accent5 6" xfId="336"/>
    <cellStyle name="20% - Accent5 7" xfId="337"/>
    <cellStyle name="20% - Accent5 8" xfId="338"/>
    <cellStyle name="20% - Accent5 9" xfId="339"/>
    <cellStyle name="20% - Accent6" xfId="41" builtinId="50" customBuiltin="1"/>
    <cellStyle name="20% - Accent6 10" xfId="340"/>
    <cellStyle name="20% - Accent6 11" xfId="341"/>
    <cellStyle name="20% - Accent6 12" xfId="342"/>
    <cellStyle name="20% - Accent6 13" xfId="343"/>
    <cellStyle name="20% - Accent6 14" xfId="344"/>
    <cellStyle name="20% - Accent6 15" xfId="345"/>
    <cellStyle name="20% - Accent6 16" xfId="346"/>
    <cellStyle name="20% - Accent6 17" xfId="347"/>
    <cellStyle name="20% - Accent6 2" xfId="348"/>
    <cellStyle name="20% - Accent6 3" xfId="349"/>
    <cellStyle name="20% - Accent6 4" xfId="350"/>
    <cellStyle name="20% - Accent6 5" xfId="351"/>
    <cellStyle name="20% - Accent6 6" xfId="352"/>
    <cellStyle name="20% - Accent6 7" xfId="353"/>
    <cellStyle name="20% - Accent6 8" xfId="354"/>
    <cellStyle name="20% - Accent6 9" xfId="355"/>
    <cellStyle name="40% - Accent1" xfId="22" builtinId="31" customBuiltin="1"/>
    <cellStyle name="40% - Accent1 10" xfId="356"/>
    <cellStyle name="40% - Accent1 11" xfId="357"/>
    <cellStyle name="40% - Accent1 12" xfId="358"/>
    <cellStyle name="40% - Accent1 13" xfId="359"/>
    <cellStyle name="40% - Accent1 14" xfId="360"/>
    <cellStyle name="40% - Accent1 15" xfId="361"/>
    <cellStyle name="40% - Accent1 16" xfId="362"/>
    <cellStyle name="40% - Accent1 17" xfId="363"/>
    <cellStyle name="40% - Accent1 2" xfId="364"/>
    <cellStyle name="40% - Accent1 3" xfId="365"/>
    <cellStyle name="40% - Accent1 4" xfId="366"/>
    <cellStyle name="40% - Accent1 5" xfId="367"/>
    <cellStyle name="40% - Accent1 6" xfId="368"/>
    <cellStyle name="40% - Accent1 7" xfId="369"/>
    <cellStyle name="40% - Accent1 8" xfId="370"/>
    <cellStyle name="40% - Accent1 9" xfId="371"/>
    <cellStyle name="40% - Accent2" xfId="26" builtinId="35" customBuiltin="1"/>
    <cellStyle name="40% - Accent2 10" xfId="372"/>
    <cellStyle name="40% - Accent2 11" xfId="373"/>
    <cellStyle name="40% - Accent2 12" xfId="374"/>
    <cellStyle name="40% - Accent2 13" xfId="375"/>
    <cellStyle name="40% - Accent2 14" xfId="376"/>
    <cellStyle name="40% - Accent2 15" xfId="377"/>
    <cellStyle name="40% - Accent2 16" xfId="378"/>
    <cellStyle name="40% - Accent2 17" xfId="379"/>
    <cellStyle name="40% - Accent2 2" xfId="380"/>
    <cellStyle name="40% - Accent2 3" xfId="381"/>
    <cellStyle name="40% - Accent2 4" xfId="382"/>
    <cellStyle name="40% - Accent2 5" xfId="383"/>
    <cellStyle name="40% - Accent2 6" xfId="384"/>
    <cellStyle name="40% - Accent2 7" xfId="385"/>
    <cellStyle name="40% - Accent2 8" xfId="386"/>
    <cellStyle name="40% - Accent2 9" xfId="387"/>
    <cellStyle name="40% - Accent3" xfId="30" builtinId="39" customBuiltin="1"/>
    <cellStyle name="40% - Accent3 10" xfId="388"/>
    <cellStyle name="40% - Accent3 11" xfId="389"/>
    <cellStyle name="40% - Accent3 12" xfId="390"/>
    <cellStyle name="40% - Accent3 13" xfId="391"/>
    <cellStyle name="40% - Accent3 14" xfId="392"/>
    <cellStyle name="40% - Accent3 15" xfId="393"/>
    <cellStyle name="40% - Accent3 16" xfId="394"/>
    <cellStyle name="40% - Accent3 17" xfId="395"/>
    <cellStyle name="40% - Accent3 2" xfId="396"/>
    <cellStyle name="40% - Accent3 3" xfId="397"/>
    <cellStyle name="40% - Accent3 4" xfId="398"/>
    <cellStyle name="40% - Accent3 5" xfId="399"/>
    <cellStyle name="40% - Accent3 6" xfId="400"/>
    <cellStyle name="40% - Accent3 7" xfId="401"/>
    <cellStyle name="40% - Accent3 8" xfId="402"/>
    <cellStyle name="40% - Accent3 9" xfId="403"/>
    <cellStyle name="40% - Accent4" xfId="34" builtinId="43" customBuiltin="1"/>
    <cellStyle name="40% - Accent4 10" xfId="404"/>
    <cellStyle name="40% - Accent4 11" xfId="405"/>
    <cellStyle name="40% - Accent4 12" xfId="406"/>
    <cellStyle name="40% - Accent4 13" xfId="407"/>
    <cellStyle name="40% - Accent4 14" xfId="408"/>
    <cellStyle name="40% - Accent4 15" xfId="409"/>
    <cellStyle name="40% - Accent4 16" xfId="410"/>
    <cellStyle name="40% - Accent4 17" xfId="411"/>
    <cellStyle name="40% - Accent4 2" xfId="412"/>
    <cellStyle name="40% - Accent4 3" xfId="413"/>
    <cellStyle name="40% - Accent4 4" xfId="414"/>
    <cellStyle name="40% - Accent4 5" xfId="415"/>
    <cellStyle name="40% - Accent4 6" xfId="416"/>
    <cellStyle name="40% - Accent4 7" xfId="417"/>
    <cellStyle name="40% - Accent4 8" xfId="418"/>
    <cellStyle name="40% - Accent4 9" xfId="419"/>
    <cellStyle name="40% - Accent5" xfId="38" builtinId="47" customBuiltin="1"/>
    <cellStyle name="40% - Accent5 10" xfId="420"/>
    <cellStyle name="40% - Accent5 11" xfId="421"/>
    <cellStyle name="40% - Accent5 12" xfId="422"/>
    <cellStyle name="40% - Accent5 13" xfId="423"/>
    <cellStyle name="40% - Accent5 14" xfId="424"/>
    <cellStyle name="40% - Accent5 15" xfId="425"/>
    <cellStyle name="40% - Accent5 16" xfId="426"/>
    <cellStyle name="40% - Accent5 17" xfId="427"/>
    <cellStyle name="40% - Accent5 2" xfId="428"/>
    <cellStyle name="40% - Accent5 3" xfId="429"/>
    <cellStyle name="40% - Accent5 4" xfId="430"/>
    <cellStyle name="40% - Accent5 5" xfId="431"/>
    <cellStyle name="40% - Accent5 6" xfId="432"/>
    <cellStyle name="40% - Accent5 7" xfId="433"/>
    <cellStyle name="40% - Accent5 8" xfId="434"/>
    <cellStyle name="40% - Accent5 9" xfId="435"/>
    <cellStyle name="40% - Accent6" xfId="42" builtinId="51" customBuiltin="1"/>
    <cellStyle name="40% - Accent6 10" xfId="436"/>
    <cellStyle name="40% - Accent6 11" xfId="437"/>
    <cellStyle name="40% - Accent6 12" xfId="438"/>
    <cellStyle name="40% - Accent6 13" xfId="439"/>
    <cellStyle name="40% - Accent6 14" xfId="440"/>
    <cellStyle name="40% - Accent6 15" xfId="441"/>
    <cellStyle name="40% - Accent6 16" xfId="442"/>
    <cellStyle name="40% - Accent6 17" xfId="443"/>
    <cellStyle name="40% - Accent6 2" xfId="444"/>
    <cellStyle name="40% - Accent6 3" xfId="445"/>
    <cellStyle name="40% - Accent6 4" xfId="446"/>
    <cellStyle name="40% - Accent6 5" xfId="447"/>
    <cellStyle name="40% - Accent6 6" xfId="448"/>
    <cellStyle name="40% - Accent6 7" xfId="449"/>
    <cellStyle name="40% - Accent6 8" xfId="450"/>
    <cellStyle name="40% - Accent6 9" xfId="45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Annotations Cell - PerformancePoint" xfId="46"/>
    <cellStyle name="Annotations Cell - PerformancePoint 10" xfId="452"/>
    <cellStyle name="Annotations Cell - PerformancePoint 11" xfId="453"/>
    <cellStyle name="Annotations Cell - PerformancePoint 12" xfId="454"/>
    <cellStyle name="Annotations Cell - PerformancePoint 13" xfId="455"/>
    <cellStyle name="Annotations Cell - PerformancePoint 14" xfId="456"/>
    <cellStyle name="Annotations Cell - PerformancePoint 15" xfId="457"/>
    <cellStyle name="Annotations Cell - PerformancePoint 16" xfId="458"/>
    <cellStyle name="Annotations Cell - PerformancePoint 17" xfId="459"/>
    <cellStyle name="Annotations Cell - PerformancePoint 2" xfId="460"/>
    <cellStyle name="Annotations Cell - PerformancePoint 3" xfId="461"/>
    <cellStyle name="Annotations Cell - PerformancePoint 4" xfId="462"/>
    <cellStyle name="Annotations Cell - PerformancePoint 5" xfId="463"/>
    <cellStyle name="Annotations Cell - PerformancePoint 6" xfId="464"/>
    <cellStyle name="Annotations Cell - PerformancePoint 7" xfId="465"/>
    <cellStyle name="Annotations Cell - PerformancePoint 8" xfId="466"/>
    <cellStyle name="Annotations Cell - PerformancePoint 9" xfId="467"/>
    <cellStyle name="Bad" xfId="9" builtinId="27" customBuiltin="1"/>
    <cellStyle name="Calculation" xfId="13" builtinId="22" customBuiltin="1"/>
    <cellStyle name="Check Cell" xfId="15" builtinId="23" customBuiltin="1"/>
    <cellStyle name="Comma" xfId="1" builtinId="3"/>
    <cellStyle name="Comma 2" xfId="47"/>
    <cellStyle name="Comma 2 2" xfId="468"/>
    <cellStyle name="Comma 2 3" xfId="11350"/>
    <cellStyle name="Comma 2 3 2" xfId="11363"/>
    <cellStyle name="Comma 2 4" xfId="11355"/>
    <cellStyle name="Comma 2 4 2" xfId="11364"/>
    <cellStyle name="Comma 2 5" xfId="11362"/>
    <cellStyle name="Comma 3" xfId="48"/>
    <cellStyle name="Comma 3 10" xfId="469"/>
    <cellStyle name="Comma 3 11" xfId="470"/>
    <cellStyle name="Comma 3 12" xfId="471"/>
    <cellStyle name="Comma 3 13" xfId="472"/>
    <cellStyle name="Comma 3 14" xfId="473"/>
    <cellStyle name="Comma 3 15" xfId="474"/>
    <cellStyle name="Comma 3 16" xfId="475"/>
    <cellStyle name="Comma 3 17" xfId="476"/>
    <cellStyle name="Comma 3 18" xfId="477"/>
    <cellStyle name="Comma 3 19" xfId="478"/>
    <cellStyle name="Comma 3 2" xfId="479"/>
    <cellStyle name="Comma 3 20" xfId="480"/>
    <cellStyle name="Comma 3 21" xfId="11351"/>
    <cellStyle name="Comma 3 21 2" xfId="11365"/>
    <cellStyle name="Comma 3 22" xfId="11356"/>
    <cellStyle name="Comma 3 3" xfId="481"/>
    <cellStyle name="Comma 3 4" xfId="482"/>
    <cellStyle name="Comma 3 5" xfId="483"/>
    <cellStyle name="Comma 3 6" xfId="484"/>
    <cellStyle name="Comma 3 7" xfId="485"/>
    <cellStyle name="Comma 3 8" xfId="486"/>
    <cellStyle name="Comma 3 9" xfId="487"/>
    <cellStyle name="Comma 4" xfId="49"/>
    <cellStyle name="Comma 4 2" xfId="11366"/>
    <cellStyle name="Comma 5" xfId="10837"/>
    <cellStyle name="Comma 5 10" xfId="10914"/>
    <cellStyle name="Comma 5 100" xfId="11128"/>
    <cellStyle name="Comma 5 101" xfId="11135"/>
    <cellStyle name="Comma 5 102" xfId="11143"/>
    <cellStyle name="Comma 5 103" xfId="11263"/>
    <cellStyle name="Comma 5 104" xfId="11137"/>
    <cellStyle name="Comma 5 105" xfId="11121"/>
    <cellStyle name="Comma 5 106" xfId="11277"/>
    <cellStyle name="Comma 5 107" xfId="11258"/>
    <cellStyle name="Comma 5 108" xfId="11245"/>
    <cellStyle name="Comma 5 109" xfId="11302"/>
    <cellStyle name="Comma 5 11" xfId="10862"/>
    <cellStyle name="Comma 5 110" xfId="11240"/>
    <cellStyle name="Comma 5 111" xfId="11174"/>
    <cellStyle name="Comma 5 112" xfId="11147"/>
    <cellStyle name="Comma 5 113" xfId="11269"/>
    <cellStyle name="Comma 5 114" xfId="11252"/>
    <cellStyle name="Comma 5 115" xfId="11165"/>
    <cellStyle name="Comma 5 116" xfId="11260"/>
    <cellStyle name="Comma 5 117" xfId="11224"/>
    <cellStyle name="Comma 5 118" xfId="11188"/>
    <cellStyle name="Comma 5 119" xfId="11270"/>
    <cellStyle name="Comma 5 12" xfId="10908"/>
    <cellStyle name="Comma 5 120" xfId="11303"/>
    <cellStyle name="Comma 5 121" xfId="11221"/>
    <cellStyle name="Comma 5 122" xfId="11237"/>
    <cellStyle name="Comma 5 123" xfId="11155"/>
    <cellStyle name="Comma 5 124" xfId="11149"/>
    <cellStyle name="Comma 5 125" xfId="11178"/>
    <cellStyle name="Comma 5 126" xfId="11166"/>
    <cellStyle name="Comma 5 127" xfId="11279"/>
    <cellStyle name="Comma 5 128" xfId="11130"/>
    <cellStyle name="Comma 5 129" xfId="11176"/>
    <cellStyle name="Comma 5 13" xfId="10864"/>
    <cellStyle name="Comma 5 130" xfId="11280"/>
    <cellStyle name="Comma 5 131" xfId="11268"/>
    <cellStyle name="Comma 5 132" xfId="11144"/>
    <cellStyle name="Comma 5 133" xfId="11304"/>
    <cellStyle name="Comma 5 134" xfId="11199"/>
    <cellStyle name="Comma 5 135" xfId="11214"/>
    <cellStyle name="Comma 5 136" xfId="11261"/>
    <cellStyle name="Comma 5 137" xfId="11184"/>
    <cellStyle name="Comma 5 138" xfId="11171"/>
    <cellStyle name="Comma 5 139" xfId="11248"/>
    <cellStyle name="Comma 5 14" xfId="10905"/>
    <cellStyle name="Comma 5 140" xfId="11198"/>
    <cellStyle name="Comma 5 141" xfId="11251"/>
    <cellStyle name="Comma 5 142" xfId="11202"/>
    <cellStyle name="Comma 5 143" xfId="11181"/>
    <cellStyle name="Comma 5 144" xfId="11209"/>
    <cellStyle name="Comma 5 145" xfId="11210"/>
    <cellStyle name="Comma 5 146" xfId="11206"/>
    <cellStyle name="Comma 5 147" xfId="11167"/>
    <cellStyle name="Comma 5 148" xfId="11306"/>
    <cellStyle name="Comma 5 149" xfId="11294"/>
    <cellStyle name="Comma 5 15" xfId="10918"/>
    <cellStyle name="Comma 5 150" xfId="11191"/>
    <cellStyle name="Comma 5 151" xfId="11208"/>
    <cellStyle name="Comma 5 152" xfId="11203"/>
    <cellStyle name="Comma 5 153" xfId="11194"/>
    <cellStyle name="Comma 5 154" xfId="11309"/>
    <cellStyle name="Comma 5 155" xfId="11317"/>
    <cellStyle name="Comma 5 156" xfId="11325"/>
    <cellStyle name="Comma 5 157" xfId="11327"/>
    <cellStyle name="Comma 5 158" xfId="11328"/>
    <cellStyle name="Comma 5 159" xfId="11320"/>
    <cellStyle name="Comma 5 16" xfId="10903"/>
    <cellStyle name="Comma 5 160" xfId="11330"/>
    <cellStyle name="Comma 5 161" xfId="11332"/>
    <cellStyle name="Comma 5 17" xfId="10869"/>
    <cellStyle name="Comma 5 18" xfId="10898"/>
    <cellStyle name="Comma 5 19" xfId="10872"/>
    <cellStyle name="Comma 5 2" xfId="10933"/>
    <cellStyle name="Comma 5 20" xfId="10896"/>
    <cellStyle name="Comma 5 21" xfId="10875"/>
    <cellStyle name="Comma 5 22" xfId="10893"/>
    <cellStyle name="Comma 5 23" xfId="10876"/>
    <cellStyle name="Comma 5 24" xfId="10892"/>
    <cellStyle name="Comma 5 25" xfId="10878"/>
    <cellStyle name="Comma 5 26" xfId="10890"/>
    <cellStyle name="Comma 5 27" xfId="10881"/>
    <cellStyle name="Comma 5 28" xfId="10887"/>
    <cellStyle name="Comma 5 29" xfId="10883"/>
    <cellStyle name="Comma 5 3" xfId="10845"/>
    <cellStyle name="Comma 5 30" xfId="10925"/>
    <cellStyle name="Comma 5 31" xfId="10884"/>
    <cellStyle name="Comma 5 32" xfId="10848"/>
    <cellStyle name="Comma 5 33" xfId="10886"/>
    <cellStyle name="Comma 5 34" xfId="10990"/>
    <cellStyle name="Comma 5 35" xfId="10941"/>
    <cellStyle name="Comma 5 36" xfId="10985"/>
    <cellStyle name="Comma 5 37" xfId="10945"/>
    <cellStyle name="Comma 5 38" xfId="10981"/>
    <cellStyle name="Comma 5 39" xfId="10948"/>
    <cellStyle name="Comma 5 4" xfId="10927"/>
    <cellStyle name="Comma 5 40" xfId="10977"/>
    <cellStyle name="Comma 5 41" xfId="10952"/>
    <cellStyle name="Comma 5 42" xfId="10975"/>
    <cellStyle name="Comma 5 43" xfId="10954"/>
    <cellStyle name="Comma 5 44" xfId="10973"/>
    <cellStyle name="Comma 5 45" xfId="10956"/>
    <cellStyle name="Comma 5 46" xfId="10971"/>
    <cellStyle name="Comma 5 47" xfId="10959"/>
    <cellStyle name="Comma 5 48" xfId="10968"/>
    <cellStyle name="Comma 5 49" xfId="10962"/>
    <cellStyle name="Comma 5 5" xfId="10851"/>
    <cellStyle name="Comma 5 50" xfId="10965"/>
    <cellStyle name="Comma 5 51" xfId="10964"/>
    <cellStyle name="Comma 5 52" xfId="11052"/>
    <cellStyle name="Comma 5 53" xfId="10998"/>
    <cellStyle name="Comma 5 54" xfId="11043"/>
    <cellStyle name="Comma 5 55" xfId="11003"/>
    <cellStyle name="Comma 5 56" xfId="11036"/>
    <cellStyle name="Comma 5 57" xfId="11054"/>
    <cellStyle name="Comma 5 58" xfId="10995"/>
    <cellStyle name="Comma 5 59" xfId="11058"/>
    <cellStyle name="Comma 5 6" xfId="10923"/>
    <cellStyle name="Comma 5 60" xfId="11046"/>
    <cellStyle name="Comma 5 61" xfId="11000"/>
    <cellStyle name="Comma 5 62" xfId="11041"/>
    <cellStyle name="Comma 5 63" xfId="11007"/>
    <cellStyle name="Comma 5 64" xfId="11034"/>
    <cellStyle name="Comma 5 65" xfId="10993"/>
    <cellStyle name="Comma 5 66" xfId="11035"/>
    <cellStyle name="Comma 5 67" xfId="11015"/>
    <cellStyle name="Comma 5 68" xfId="11029"/>
    <cellStyle name="Comma 5 69" xfId="11018"/>
    <cellStyle name="Comma 5 7" xfId="10854"/>
    <cellStyle name="Comma 5 70" xfId="11059"/>
    <cellStyle name="Comma 5 71" xfId="11060"/>
    <cellStyle name="Comma 5 72" xfId="11013"/>
    <cellStyle name="Comma 5 73" xfId="11061"/>
    <cellStyle name="Comma 5 74" xfId="11024"/>
    <cellStyle name="Comma 5 75" xfId="11082"/>
    <cellStyle name="Comma 5 76" xfId="11065"/>
    <cellStyle name="Comma 5 77" xfId="11077"/>
    <cellStyle name="Comma 5 78" xfId="11068"/>
    <cellStyle name="Comma 5 79" xfId="11074"/>
    <cellStyle name="Comma 5 8" xfId="10919"/>
    <cellStyle name="Comma 5 80" xfId="11081"/>
    <cellStyle name="Comma 5 81" xfId="11084"/>
    <cellStyle name="Comma 5 82" xfId="11064"/>
    <cellStyle name="Comma 5 83" xfId="11108"/>
    <cellStyle name="Comma 5 84" xfId="11089"/>
    <cellStyle name="Comma 5 85" xfId="11102"/>
    <cellStyle name="Comma 5 86" xfId="11093"/>
    <cellStyle name="Comma 5 87" xfId="11099"/>
    <cellStyle name="Comma 5 88" xfId="11111"/>
    <cellStyle name="Comma 5 89" xfId="11107"/>
    <cellStyle name="Comma 5 9" xfId="10858"/>
    <cellStyle name="Comma 5 90" xfId="11098"/>
    <cellStyle name="Comma 5 91" xfId="11095"/>
    <cellStyle name="Comma 5 92" xfId="11286"/>
    <cellStyle name="Comma 5 93" xfId="11290"/>
    <cellStyle name="Comma 5 94" xfId="11120"/>
    <cellStyle name="Comma 5 95" xfId="11276"/>
    <cellStyle name="Comma 5 96" xfId="11145"/>
    <cellStyle name="Comma 5 97" xfId="11266"/>
    <cellStyle name="Comma 5 98" xfId="11262"/>
    <cellStyle name="Comma 5 99" xfId="11299"/>
    <cellStyle name="Comma 6" xfId="11339"/>
    <cellStyle name="Comma 6 2" xfId="11343"/>
    <cellStyle name="Comma 6 2 2" xfId="11368"/>
    <cellStyle name="Comma 6 3" xfId="11367"/>
    <cellStyle name="CP Dark Blue" xfId="10838"/>
    <cellStyle name="CP Dark Red" xfId="10839"/>
    <cellStyle name="CP Light Blue" xfId="10840"/>
    <cellStyle name="CP Light Blue 10" xfId="10915"/>
    <cellStyle name="CP Light Blue 100" xfId="11131"/>
    <cellStyle name="CP Light Blue 101" xfId="11275"/>
    <cellStyle name="CP Light Blue 102" xfId="11146"/>
    <cellStyle name="CP Light Blue 103" xfId="11267"/>
    <cellStyle name="CP Light Blue 104" xfId="11297"/>
    <cellStyle name="CP Light Blue 105" xfId="11295"/>
    <cellStyle name="CP Light Blue 106" xfId="11125"/>
    <cellStyle name="CP Light Blue 107" xfId="11126"/>
    <cellStyle name="CP Light Blue 108" xfId="11142"/>
    <cellStyle name="CP Light Blue 109" xfId="11300"/>
    <cellStyle name="CP Light Blue 11" xfId="10861"/>
    <cellStyle name="CP Light Blue 110" xfId="11134"/>
    <cellStyle name="CP Light Blue 111" xfId="11157"/>
    <cellStyle name="CP Light Blue 112" xfId="11288"/>
    <cellStyle name="CP Light Blue 113" xfId="11138"/>
    <cellStyle name="CP Light Blue 114" xfId="11231"/>
    <cellStyle name="CP Light Blue 115" xfId="11148"/>
    <cellStyle name="CP Light Blue 116" xfId="11298"/>
    <cellStyle name="CP Light Blue 117" xfId="11223"/>
    <cellStyle name="CP Light Blue 118" xfId="11189"/>
    <cellStyle name="CP Light Blue 119" xfId="11256"/>
    <cellStyle name="CP Light Blue 12" xfId="10909"/>
    <cellStyle name="CP Light Blue 120" xfId="11253"/>
    <cellStyle name="CP Light Blue 121" xfId="11179"/>
    <cellStyle name="CP Light Blue 122" xfId="11160"/>
    <cellStyle name="CP Light Blue 123" xfId="11254"/>
    <cellStyle name="CP Light Blue 124" xfId="11154"/>
    <cellStyle name="CP Light Blue 125" xfId="11219"/>
    <cellStyle name="CP Light Blue 126" xfId="11172"/>
    <cellStyle name="CP Light Blue 127" xfId="11164"/>
    <cellStyle name="CP Light Blue 128" xfId="11250"/>
    <cellStyle name="CP Light Blue 129" xfId="11238"/>
    <cellStyle name="CP Light Blue 13" xfId="10843"/>
    <cellStyle name="CP Light Blue 130" xfId="11197"/>
    <cellStyle name="CP Light Blue 131" xfId="11285"/>
    <cellStyle name="CP Light Blue 132" xfId="11169"/>
    <cellStyle name="CP Light Blue 133" xfId="11305"/>
    <cellStyle name="CP Light Blue 134" xfId="11200"/>
    <cellStyle name="CP Light Blue 135" xfId="11185"/>
    <cellStyle name="CP Light Blue 136" xfId="11233"/>
    <cellStyle name="CP Light Blue 137" xfId="11259"/>
    <cellStyle name="CP Light Blue 138" xfId="11192"/>
    <cellStyle name="CP Light Blue 139" xfId="11212"/>
    <cellStyle name="CP Light Blue 14" xfId="10906"/>
    <cellStyle name="CP Light Blue 140" xfId="11242"/>
    <cellStyle name="CP Light Blue 141" xfId="11196"/>
    <cellStyle name="CP Light Blue 142" xfId="11204"/>
    <cellStyle name="CP Light Blue 143" xfId="11163"/>
    <cellStyle name="CP Light Blue 144" xfId="11150"/>
    <cellStyle name="CP Light Blue 145" xfId="11296"/>
    <cellStyle name="CP Light Blue 146" xfId="11215"/>
    <cellStyle name="CP Light Blue 147" xfId="11170"/>
    <cellStyle name="CP Light Blue 148" xfId="11156"/>
    <cellStyle name="CP Light Blue 149" xfId="11264"/>
    <cellStyle name="CP Light Blue 15" xfId="10867"/>
    <cellStyle name="CP Light Blue 150" xfId="11151"/>
    <cellStyle name="CP Light Blue 151" xfId="11307"/>
    <cellStyle name="CP Light Blue 152" xfId="11272"/>
    <cellStyle name="CP Light Blue 153" xfId="11186"/>
    <cellStyle name="CP Light Blue 154" xfId="11310"/>
    <cellStyle name="CP Light Blue 155" xfId="11318"/>
    <cellStyle name="CP Light Blue 156" xfId="11326"/>
    <cellStyle name="CP Light Blue 157" xfId="11329"/>
    <cellStyle name="CP Light Blue 158" xfId="11319"/>
    <cellStyle name="CP Light Blue 159" xfId="11323"/>
    <cellStyle name="CP Light Blue 16" xfId="10846"/>
    <cellStyle name="CP Light Blue 160" xfId="11331"/>
    <cellStyle name="CP Light Blue 161" xfId="11333"/>
    <cellStyle name="CP Light Blue 17" xfId="10912"/>
    <cellStyle name="CP Light Blue 18" xfId="10899"/>
    <cellStyle name="CP Light Blue 19" xfId="10871"/>
    <cellStyle name="CP Light Blue 2" xfId="10934"/>
    <cellStyle name="CP Light Blue 20" xfId="10897"/>
    <cellStyle name="CP Light Blue 21" xfId="10874"/>
    <cellStyle name="CP Light Blue 22" xfId="10894"/>
    <cellStyle name="CP Light Blue 23" xfId="10913"/>
    <cellStyle name="CP Light Blue 24" xfId="10931"/>
    <cellStyle name="CP Light Blue 25" xfId="10877"/>
    <cellStyle name="CP Light Blue 26" xfId="10891"/>
    <cellStyle name="CP Light Blue 27" xfId="10880"/>
    <cellStyle name="CP Light Blue 28" xfId="10888"/>
    <cellStyle name="CP Light Blue 29" xfId="10902"/>
    <cellStyle name="CP Light Blue 3" xfId="10935"/>
    <cellStyle name="CP Light Blue 30" xfId="10930"/>
    <cellStyle name="CP Light Blue 31" xfId="10849"/>
    <cellStyle name="CP Light Blue 32" xfId="10895"/>
    <cellStyle name="CP Light Blue 33" xfId="10885"/>
    <cellStyle name="CP Light Blue 34" xfId="10991"/>
    <cellStyle name="CP Light Blue 35" xfId="10940"/>
    <cellStyle name="CP Light Blue 36" xfId="10986"/>
    <cellStyle name="CP Light Blue 37" xfId="10944"/>
    <cellStyle name="CP Light Blue 38" xfId="10982"/>
    <cellStyle name="CP Light Blue 39" xfId="10947"/>
    <cellStyle name="CP Light Blue 4" xfId="10928"/>
    <cellStyle name="CP Light Blue 40" xfId="10978"/>
    <cellStyle name="CP Light Blue 41" xfId="10951"/>
    <cellStyle name="CP Light Blue 42" xfId="10976"/>
    <cellStyle name="CP Light Blue 43" xfId="10953"/>
    <cellStyle name="CP Light Blue 44" xfId="10974"/>
    <cellStyle name="CP Light Blue 45" xfId="10955"/>
    <cellStyle name="CP Light Blue 46" xfId="10972"/>
    <cellStyle name="CP Light Blue 47" xfId="10958"/>
    <cellStyle name="CP Light Blue 48" xfId="10969"/>
    <cellStyle name="CP Light Blue 49" xfId="10961"/>
    <cellStyle name="CP Light Blue 5" xfId="10850"/>
    <cellStyle name="CP Light Blue 50" xfId="10966"/>
    <cellStyle name="CP Light Blue 51" xfId="10963"/>
    <cellStyle name="CP Light Blue 52" xfId="11053"/>
    <cellStyle name="CP Light Blue 53" xfId="10997"/>
    <cellStyle name="CP Light Blue 54" xfId="11044"/>
    <cellStyle name="CP Light Blue 55" xfId="11002"/>
    <cellStyle name="CP Light Blue 56" xfId="11037"/>
    <cellStyle name="CP Light Blue 57" xfId="11050"/>
    <cellStyle name="CP Light Blue 58" xfId="11056"/>
    <cellStyle name="CP Light Blue 59" xfId="11047"/>
    <cellStyle name="CP Light Blue 6" xfId="10924"/>
    <cellStyle name="CP Light Blue 60" xfId="11057"/>
    <cellStyle name="CP Light Blue 61" xfId="10999"/>
    <cellStyle name="CP Light Blue 62" xfId="11040"/>
    <cellStyle name="CP Light Blue 63" xfId="11006"/>
    <cellStyle name="CP Light Blue 64" xfId="11048"/>
    <cellStyle name="CP Light Blue 65" xfId="11012"/>
    <cellStyle name="CP Light Blue 66" xfId="11032"/>
    <cellStyle name="CP Light Blue 67" xfId="11042"/>
    <cellStyle name="CP Light Blue 68" xfId="11005"/>
    <cellStyle name="CP Light Blue 69" xfId="11017"/>
    <cellStyle name="CP Light Blue 7" xfId="10853"/>
    <cellStyle name="CP Light Blue 70" xfId="11027"/>
    <cellStyle name="CP Light Blue 71" xfId="11019"/>
    <cellStyle name="CP Light Blue 72" xfId="11031"/>
    <cellStyle name="CP Light Blue 73" xfId="11016"/>
    <cellStyle name="CP Light Blue 74" xfId="11028"/>
    <cellStyle name="CP Light Blue 75" xfId="11083"/>
    <cellStyle name="CP Light Blue 76" xfId="11062"/>
    <cellStyle name="CP Light Blue 77" xfId="11079"/>
    <cellStyle name="CP Light Blue 78" xfId="11066"/>
    <cellStyle name="CP Light Blue 79" xfId="11076"/>
    <cellStyle name="CP Light Blue 8" xfId="10920"/>
    <cellStyle name="CP Light Blue 80" xfId="11069"/>
    <cellStyle name="CP Light Blue 81" xfId="11073"/>
    <cellStyle name="CP Light Blue 82" xfId="11071"/>
    <cellStyle name="CP Light Blue 83" xfId="11109"/>
    <cellStyle name="CP Light Blue 84" xfId="11088"/>
    <cellStyle name="CP Light Blue 85" xfId="11103"/>
    <cellStyle name="CP Light Blue 86" xfId="11092"/>
    <cellStyle name="CP Light Blue 87" xfId="11100"/>
    <cellStyle name="CP Light Blue 88" xfId="11110"/>
    <cellStyle name="CP Light Blue 89" xfId="11087"/>
    <cellStyle name="CP Light Blue 9" xfId="10857"/>
    <cellStyle name="CP Light Blue 90" xfId="11104"/>
    <cellStyle name="CP Light Blue 91" xfId="11090"/>
    <cellStyle name="CP Light Blue 92" xfId="11287"/>
    <cellStyle name="CP Light Blue 93" xfId="11291"/>
    <cellStyle name="CP Light Blue 94" xfId="11133"/>
    <cellStyle name="CP Light Blue 95" xfId="11273"/>
    <cellStyle name="CP Light Blue 96" xfId="11139"/>
    <cellStyle name="CP Light Blue 97" xfId="11271"/>
    <cellStyle name="CP Light Blue 98" xfId="11289"/>
    <cellStyle name="CP Light Blue 99" xfId="11292"/>
    <cellStyle name="CP Light Dark Red 1" xfId="10841"/>
    <cellStyle name="CP Light Dark Red 2" xfId="10842"/>
    <cellStyle name="Currency" xfId="11334" builtinId="4"/>
    <cellStyle name="Currency 2" xfId="50"/>
    <cellStyle name="Currency 2 10" xfId="488"/>
    <cellStyle name="Currency 2 10 10" xfId="489"/>
    <cellStyle name="Currency 2 10 10 2" xfId="11371"/>
    <cellStyle name="Currency 2 10 11" xfId="490"/>
    <cellStyle name="Currency 2 10 11 2" xfId="11372"/>
    <cellStyle name="Currency 2 10 12" xfId="491"/>
    <cellStyle name="Currency 2 10 12 2" xfId="11373"/>
    <cellStyle name="Currency 2 10 13" xfId="492"/>
    <cellStyle name="Currency 2 10 13 2" xfId="11374"/>
    <cellStyle name="Currency 2 10 14" xfId="493"/>
    <cellStyle name="Currency 2 10 14 2" xfId="11375"/>
    <cellStyle name="Currency 2 10 15" xfId="494"/>
    <cellStyle name="Currency 2 10 15 2" xfId="11376"/>
    <cellStyle name="Currency 2 10 16" xfId="495"/>
    <cellStyle name="Currency 2 10 16 2" xfId="11377"/>
    <cellStyle name="Currency 2 10 17" xfId="496"/>
    <cellStyle name="Currency 2 10 17 2" xfId="11378"/>
    <cellStyle name="Currency 2 10 18" xfId="11370"/>
    <cellStyle name="Currency 2 10 2" xfId="497"/>
    <cellStyle name="Currency 2 10 3" xfId="498"/>
    <cellStyle name="Currency 2 10 4" xfId="499"/>
    <cellStyle name="Currency 2 10 5" xfId="500"/>
    <cellStyle name="Currency 2 10 6" xfId="501"/>
    <cellStyle name="Currency 2 10 6 2" xfId="11379"/>
    <cellStyle name="Currency 2 10 7" xfId="502"/>
    <cellStyle name="Currency 2 10 7 2" xfId="11380"/>
    <cellStyle name="Currency 2 10 8" xfId="503"/>
    <cellStyle name="Currency 2 10 8 2" xfId="11381"/>
    <cellStyle name="Currency 2 10 9" xfId="504"/>
    <cellStyle name="Currency 2 10 9 2" xfId="11382"/>
    <cellStyle name="Currency 2 11" xfId="505"/>
    <cellStyle name="Currency 2 11 10" xfId="506"/>
    <cellStyle name="Currency 2 11 10 2" xfId="11384"/>
    <cellStyle name="Currency 2 11 11" xfId="507"/>
    <cellStyle name="Currency 2 11 11 2" xfId="11385"/>
    <cellStyle name="Currency 2 11 12" xfId="508"/>
    <cellStyle name="Currency 2 11 12 2" xfId="11386"/>
    <cellStyle name="Currency 2 11 13" xfId="509"/>
    <cellStyle name="Currency 2 11 13 2" xfId="11387"/>
    <cellStyle name="Currency 2 11 14" xfId="510"/>
    <cellStyle name="Currency 2 11 14 2" xfId="11388"/>
    <cellStyle name="Currency 2 11 15" xfId="511"/>
    <cellStyle name="Currency 2 11 15 2" xfId="11389"/>
    <cellStyle name="Currency 2 11 16" xfId="512"/>
    <cellStyle name="Currency 2 11 16 2" xfId="11390"/>
    <cellStyle name="Currency 2 11 17" xfId="513"/>
    <cellStyle name="Currency 2 11 17 2" xfId="11391"/>
    <cellStyle name="Currency 2 11 18" xfId="11383"/>
    <cellStyle name="Currency 2 11 2" xfId="514"/>
    <cellStyle name="Currency 2 11 3" xfId="515"/>
    <cellStyle name="Currency 2 11 4" xfId="516"/>
    <cellStyle name="Currency 2 11 5" xfId="517"/>
    <cellStyle name="Currency 2 11 6" xfId="518"/>
    <cellStyle name="Currency 2 11 6 2" xfId="11392"/>
    <cellStyle name="Currency 2 11 7" xfId="519"/>
    <cellStyle name="Currency 2 11 7 2" xfId="11393"/>
    <cellStyle name="Currency 2 11 8" xfId="520"/>
    <cellStyle name="Currency 2 11 8 2" xfId="11394"/>
    <cellStyle name="Currency 2 11 9" xfId="521"/>
    <cellStyle name="Currency 2 11 9 2" xfId="11395"/>
    <cellStyle name="Currency 2 12" xfId="522"/>
    <cellStyle name="Currency 2 12 10" xfId="523"/>
    <cellStyle name="Currency 2 12 10 2" xfId="11397"/>
    <cellStyle name="Currency 2 12 11" xfId="524"/>
    <cellStyle name="Currency 2 12 11 2" xfId="11398"/>
    <cellStyle name="Currency 2 12 12" xfId="525"/>
    <cellStyle name="Currency 2 12 12 2" xfId="11399"/>
    <cellStyle name="Currency 2 12 13" xfId="526"/>
    <cellStyle name="Currency 2 12 13 2" xfId="11400"/>
    <cellStyle name="Currency 2 12 14" xfId="527"/>
    <cellStyle name="Currency 2 12 14 2" xfId="11401"/>
    <cellStyle name="Currency 2 12 15" xfId="528"/>
    <cellStyle name="Currency 2 12 15 2" xfId="11402"/>
    <cellStyle name="Currency 2 12 16" xfId="529"/>
    <cellStyle name="Currency 2 12 16 2" xfId="11403"/>
    <cellStyle name="Currency 2 12 17" xfId="530"/>
    <cellStyle name="Currency 2 12 17 2" xfId="11404"/>
    <cellStyle name="Currency 2 12 18" xfId="11396"/>
    <cellStyle name="Currency 2 12 2" xfId="531"/>
    <cellStyle name="Currency 2 12 3" xfId="532"/>
    <cellStyle name="Currency 2 12 4" xfId="533"/>
    <cellStyle name="Currency 2 12 5" xfId="534"/>
    <cellStyle name="Currency 2 12 6" xfId="535"/>
    <cellStyle name="Currency 2 12 6 2" xfId="11405"/>
    <cellStyle name="Currency 2 12 7" xfId="536"/>
    <cellStyle name="Currency 2 12 7 2" xfId="11406"/>
    <cellStyle name="Currency 2 12 8" xfId="537"/>
    <cellStyle name="Currency 2 12 8 2" xfId="11407"/>
    <cellStyle name="Currency 2 12 9" xfId="538"/>
    <cellStyle name="Currency 2 12 9 2" xfId="11408"/>
    <cellStyle name="Currency 2 13" xfId="539"/>
    <cellStyle name="Currency 2 13 10" xfId="540"/>
    <cellStyle name="Currency 2 13 10 2" xfId="11410"/>
    <cellStyle name="Currency 2 13 11" xfId="541"/>
    <cellStyle name="Currency 2 13 11 2" xfId="11411"/>
    <cellStyle name="Currency 2 13 12" xfId="542"/>
    <cellStyle name="Currency 2 13 12 2" xfId="11412"/>
    <cellStyle name="Currency 2 13 13" xfId="543"/>
    <cellStyle name="Currency 2 13 13 2" xfId="11413"/>
    <cellStyle name="Currency 2 13 14" xfId="544"/>
    <cellStyle name="Currency 2 13 14 2" xfId="11414"/>
    <cellStyle name="Currency 2 13 15" xfId="545"/>
    <cellStyle name="Currency 2 13 15 2" xfId="11415"/>
    <cellStyle name="Currency 2 13 16" xfId="546"/>
    <cellStyle name="Currency 2 13 16 2" xfId="11416"/>
    <cellStyle name="Currency 2 13 17" xfId="547"/>
    <cellStyle name="Currency 2 13 17 2" xfId="11417"/>
    <cellStyle name="Currency 2 13 18" xfId="11409"/>
    <cellStyle name="Currency 2 13 2" xfId="548"/>
    <cellStyle name="Currency 2 13 3" xfId="549"/>
    <cellStyle name="Currency 2 13 4" xfId="550"/>
    <cellStyle name="Currency 2 13 5" xfId="551"/>
    <cellStyle name="Currency 2 13 6" xfId="552"/>
    <cellStyle name="Currency 2 13 6 2" xfId="11418"/>
    <cellStyle name="Currency 2 13 7" xfId="553"/>
    <cellStyle name="Currency 2 13 7 2" xfId="11419"/>
    <cellStyle name="Currency 2 13 8" xfId="554"/>
    <cellStyle name="Currency 2 13 8 2" xfId="11420"/>
    <cellStyle name="Currency 2 13 9" xfId="555"/>
    <cellStyle name="Currency 2 13 9 2" xfId="11421"/>
    <cellStyle name="Currency 2 14" xfId="556"/>
    <cellStyle name="Currency 2 14 10" xfId="557"/>
    <cellStyle name="Currency 2 14 10 2" xfId="11423"/>
    <cellStyle name="Currency 2 14 11" xfId="558"/>
    <cellStyle name="Currency 2 14 11 2" xfId="11424"/>
    <cellStyle name="Currency 2 14 12" xfId="559"/>
    <cellStyle name="Currency 2 14 12 2" xfId="11425"/>
    <cellStyle name="Currency 2 14 13" xfId="560"/>
    <cellStyle name="Currency 2 14 13 2" xfId="11426"/>
    <cellStyle name="Currency 2 14 14" xfId="561"/>
    <cellStyle name="Currency 2 14 14 2" xfId="11427"/>
    <cellStyle name="Currency 2 14 15" xfId="562"/>
    <cellStyle name="Currency 2 14 15 2" xfId="11428"/>
    <cellStyle name="Currency 2 14 16" xfId="563"/>
    <cellStyle name="Currency 2 14 16 2" xfId="11429"/>
    <cellStyle name="Currency 2 14 17" xfId="564"/>
    <cellStyle name="Currency 2 14 17 2" xfId="11430"/>
    <cellStyle name="Currency 2 14 18" xfId="11422"/>
    <cellStyle name="Currency 2 14 2" xfId="565"/>
    <cellStyle name="Currency 2 14 3" xfId="566"/>
    <cellStyle name="Currency 2 14 4" xfId="567"/>
    <cellStyle name="Currency 2 14 5" xfId="568"/>
    <cellStyle name="Currency 2 14 6" xfId="569"/>
    <cellStyle name="Currency 2 14 6 2" xfId="11431"/>
    <cellStyle name="Currency 2 14 7" xfId="570"/>
    <cellStyle name="Currency 2 14 7 2" xfId="11432"/>
    <cellStyle name="Currency 2 14 8" xfId="571"/>
    <cellStyle name="Currency 2 14 8 2" xfId="11433"/>
    <cellStyle name="Currency 2 14 9" xfId="572"/>
    <cellStyle name="Currency 2 14 9 2" xfId="11434"/>
    <cellStyle name="Currency 2 15" xfId="573"/>
    <cellStyle name="Currency 2 15 10" xfId="574"/>
    <cellStyle name="Currency 2 15 10 2" xfId="11436"/>
    <cellStyle name="Currency 2 15 11" xfId="575"/>
    <cellStyle name="Currency 2 15 11 2" xfId="11437"/>
    <cellStyle name="Currency 2 15 12" xfId="576"/>
    <cellStyle name="Currency 2 15 12 2" xfId="11438"/>
    <cellStyle name="Currency 2 15 13" xfId="577"/>
    <cellStyle name="Currency 2 15 13 2" xfId="11439"/>
    <cellStyle name="Currency 2 15 14" xfId="578"/>
    <cellStyle name="Currency 2 15 14 2" xfId="11440"/>
    <cellStyle name="Currency 2 15 15" xfId="579"/>
    <cellStyle name="Currency 2 15 15 2" xfId="11441"/>
    <cellStyle name="Currency 2 15 16" xfId="580"/>
    <cellStyle name="Currency 2 15 16 2" xfId="11442"/>
    <cellStyle name="Currency 2 15 17" xfId="581"/>
    <cellStyle name="Currency 2 15 17 2" xfId="11443"/>
    <cellStyle name="Currency 2 15 18" xfId="11435"/>
    <cellStyle name="Currency 2 15 2" xfId="582"/>
    <cellStyle name="Currency 2 15 3" xfId="583"/>
    <cellStyle name="Currency 2 15 4" xfId="584"/>
    <cellStyle name="Currency 2 15 5" xfId="585"/>
    <cellStyle name="Currency 2 15 6" xfId="586"/>
    <cellStyle name="Currency 2 15 6 2" xfId="11444"/>
    <cellStyle name="Currency 2 15 7" xfId="587"/>
    <cellStyle name="Currency 2 15 7 2" xfId="11445"/>
    <cellStyle name="Currency 2 15 8" xfId="588"/>
    <cellStyle name="Currency 2 15 8 2" xfId="11446"/>
    <cellStyle name="Currency 2 15 9" xfId="589"/>
    <cellStyle name="Currency 2 15 9 2" xfId="11447"/>
    <cellStyle name="Currency 2 16" xfId="590"/>
    <cellStyle name="Currency 2 16 10" xfId="591"/>
    <cellStyle name="Currency 2 16 10 2" xfId="11449"/>
    <cellStyle name="Currency 2 16 11" xfId="592"/>
    <cellStyle name="Currency 2 16 11 2" xfId="11450"/>
    <cellStyle name="Currency 2 16 12" xfId="593"/>
    <cellStyle name="Currency 2 16 12 2" xfId="11451"/>
    <cellStyle name="Currency 2 16 13" xfId="594"/>
    <cellStyle name="Currency 2 16 13 2" xfId="11452"/>
    <cellStyle name="Currency 2 16 14" xfId="595"/>
    <cellStyle name="Currency 2 16 14 2" xfId="11453"/>
    <cellStyle name="Currency 2 16 15" xfId="596"/>
    <cellStyle name="Currency 2 16 15 2" xfId="11454"/>
    <cellStyle name="Currency 2 16 16" xfId="597"/>
    <cellStyle name="Currency 2 16 16 2" xfId="11455"/>
    <cellStyle name="Currency 2 16 17" xfId="598"/>
    <cellStyle name="Currency 2 16 17 2" xfId="11456"/>
    <cellStyle name="Currency 2 16 18" xfId="11448"/>
    <cellStyle name="Currency 2 16 2" xfId="599"/>
    <cellStyle name="Currency 2 16 3" xfId="600"/>
    <cellStyle name="Currency 2 16 4" xfId="601"/>
    <cellStyle name="Currency 2 16 5" xfId="602"/>
    <cellStyle name="Currency 2 16 6" xfId="603"/>
    <cellStyle name="Currency 2 16 6 2" xfId="11457"/>
    <cellStyle name="Currency 2 16 7" xfId="604"/>
    <cellStyle name="Currency 2 16 7 2" xfId="11458"/>
    <cellStyle name="Currency 2 16 8" xfId="605"/>
    <cellStyle name="Currency 2 16 8 2" xfId="11459"/>
    <cellStyle name="Currency 2 16 9" xfId="606"/>
    <cellStyle name="Currency 2 16 9 2" xfId="11460"/>
    <cellStyle name="Currency 2 17" xfId="607"/>
    <cellStyle name="Currency 2 17 10" xfId="608"/>
    <cellStyle name="Currency 2 17 10 2" xfId="11462"/>
    <cellStyle name="Currency 2 17 11" xfId="609"/>
    <cellStyle name="Currency 2 17 11 2" xfId="11463"/>
    <cellStyle name="Currency 2 17 12" xfId="610"/>
    <cellStyle name="Currency 2 17 12 2" xfId="11464"/>
    <cellStyle name="Currency 2 17 13" xfId="611"/>
    <cellStyle name="Currency 2 17 13 2" xfId="11465"/>
    <cellStyle name="Currency 2 17 14" xfId="612"/>
    <cellStyle name="Currency 2 17 14 2" xfId="11466"/>
    <cellStyle name="Currency 2 17 15" xfId="613"/>
    <cellStyle name="Currency 2 17 15 2" xfId="11467"/>
    <cellStyle name="Currency 2 17 16" xfId="614"/>
    <cellStyle name="Currency 2 17 16 2" xfId="11468"/>
    <cellStyle name="Currency 2 17 17" xfId="615"/>
    <cellStyle name="Currency 2 17 17 2" xfId="11469"/>
    <cellStyle name="Currency 2 17 18" xfId="11461"/>
    <cellStyle name="Currency 2 17 2" xfId="616"/>
    <cellStyle name="Currency 2 17 3" xfId="617"/>
    <cellStyle name="Currency 2 17 4" xfId="618"/>
    <cellStyle name="Currency 2 17 5" xfId="619"/>
    <cellStyle name="Currency 2 17 6" xfId="620"/>
    <cellStyle name="Currency 2 17 6 2" xfId="11470"/>
    <cellStyle name="Currency 2 17 7" xfId="621"/>
    <cellStyle name="Currency 2 17 7 2" xfId="11471"/>
    <cellStyle name="Currency 2 17 8" xfId="622"/>
    <cellStyle name="Currency 2 17 8 2" xfId="11472"/>
    <cellStyle name="Currency 2 17 9" xfId="623"/>
    <cellStyle name="Currency 2 17 9 2" xfId="11473"/>
    <cellStyle name="Currency 2 18" xfId="624"/>
    <cellStyle name="Currency 2 18 10" xfId="625"/>
    <cellStyle name="Currency 2 18 10 2" xfId="11475"/>
    <cellStyle name="Currency 2 18 11" xfId="626"/>
    <cellStyle name="Currency 2 18 11 2" xfId="11476"/>
    <cellStyle name="Currency 2 18 12" xfId="627"/>
    <cellStyle name="Currency 2 18 12 2" xfId="11477"/>
    <cellStyle name="Currency 2 18 13" xfId="628"/>
    <cellStyle name="Currency 2 18 13 2" xfId="11478"/>
    <cellStyle name="Currency 2 18 14" xfId="629"/>
    <cellStyle name="Currency 2 18 14 2" xfId="11479"/>
    <cellStyle name="Currency 2 18 15" xfId="630"/>
    <cellStyle name="Currency 2 18 15 2" xfId="11480"/>
    <cellStyle name="Currency 2 18 16" xfId="631"/>
    <cellStyle name="Currency 2 18 16 2" xfId="11481"/>
    <cellStyle name="Currency 2 18 17" xfId="632"/>
    <cellStyle name="Currency 2 18 17 2" xfId="11482"/>
    <cellStyle name="Currency 2 18 18" xfId="11474"/>
    <cellStyle name="Currency 2 18 2" xfId="633"/>
    <cellStyle name="Currency 2 18 3" xfId="634"/>
    <cellStyle name="Currency 2 18 4" xfId="635"/>
    <cellStyle name="Currency 2 18 5" xfId="636"/>
    <cellStyle name="Currency 2 18 6" xfId="637"/>
    <cellStyle name="Currency 2 18 6 2" xfId="11483"/>
    <cellStyle name="Currency 2 18 7" xfId="638"/>
    <cellStyle name="Currency 2 18 7 2" xfId="11484"/>
    <cellStyle name="Currency 2 18 8" xfId="639"/>
    <cellStyle name="Currency 2 18 8 2" xfId="11485"/>
    <cellStyle name="Currency 2 18 9" xfId="640"/>
    <cellStyle name="Currency 2 18 9 2" xfId="11486"/>
    <cellStyle name="Currency 2 19" xfId="641"/>
    <cellStyle name="Currency 2 19 10" xfId="642"/>
    <cellStyle name="Currency 2 19 10 2" xfId="11488"/>
    <cellStyle name="Currency 2 19 11" xfId="643"/>
    <cellStyle name="Currency 2 19 11 2" xfId="11489"/>
    <cellStyle name="Currency 2 19 12" xfId="644"/>
    <cellStyle name="Currency 2 19 12 2" xfId="11490"/>
    <cellStyle name="Currency 2 19 13" xfId="645"/>
    <cellStyle name="Currency 2 19 13 2" xfId="11491"/>
    <cellStyle name="Currency 2 19 14" xfId="646"/>
    <cellStyle name="Currency 2 19 14 2" xfId="11492"/>
    <cellStyle name="Currency 2 19 15" xfId="647"/>
    <cellStyle name="Currency 2 19 15 2" xfId="11493"/>
    <cellStyle name="Currency 2 19 16" xfId="648"/>
    <cellStyle name="Currency 2 19 16 2" xfId="11494"/>
    <cellStyle name="Currency 2 19 17" xfId="649"/>
    <cellStyle name="Currency 2 19 17 2" xfId="11495"/>
    <cellStyle name="Currency 2 19 18" xfId="11487"/>
    <cellStyle name="Currency 2 19 2" xfId="650"/>
    <cellStyle name="Currency 2 19 3" xfId="651"/>
    <cellStyle name="Currency 2 19 4" xfId="652"/>
    <cellStyle name="Currency 2 19 5" xfId="653"/>
    <cellStyle name="Currency 2 19 6" xfId="654"/>
    <cellStyle name="Currency 2 19 6 2" xfId="11496"/>
    <cellStyle name="Currency 2 19 7" xfId="655"/>
    <cellStyle name="Currency 2 19 7 2" xfId="11497"/>
    <cellStyle name="Currency 2 19 8" xfId="656"/>
    <cellStyle name="Currency 2 19 8 2" xfId="11498"/>
    <cellStyle name="Currency 2 19 9" xfId="657"/>
    <cellStyle name="Currency 2 19 9 2" xfId="11499"/>
    <cellStyle name="Currency 2 2" xfId="658"/>
    <cellStyle name="Currency 2 2 10" xfId="659"/>
    <cellStyle name="Currency 2 2 10 2" xfId="11500"/>
    <cellStyle name="Currency 2 2 11" xfId="660"/>
    <cellStyle name="Currency 2 2 11 2" xfId="11501"/>
    <cellStyle name="Currency 2 2 12" xfId="661"/>
    <cellStyle name="Currency 2 2 12 2" xfId="11502"/>
    <cellStyle name="Currency 2 2 13" xfId="662"/>
    <cellStyle name="Currency 2 2 13 2" xfId="11503"/>
    <cellStyle name="Currency 2 2 14" xfId="663"/>
    <cellStyle name="Currency 2 2 14 2" xfId="11504"/>
    <cellStyle name="Currency 2 2 15" xfId="664"/>
    <cellStyle name="Currency 2 2 15 2" xfId="11505"/>
    <cellStyle name="Currency 2 2 16" xfId="665"/>
    <cellStyle name="Currency 2 2 16 2" xfId="11506"/>
    <cellStyle name="Currency 2 2 17" xfId="666"/>
    <cellStyle name="Currency 2 2 17 2" xfId="11507"/>
    <cellStyle name="Currency 2 2 18" xfId="667"/>
    <cellStyle name="Currency 2 2 18 2" xfId="11508"/>
    <cellStyle name="Currency 2 2 19" xfId="668"/>
    <cellStyle name="Currency 2 2 19 2" xfId="11509"/>
    <cellStyle name="Currency 2 2 2" xfId="669"/>
    <cellStyle name="Currency 2 2 2 10" xfId="670"/>
    <cellStyle name="Currency 2 2 2 10 2" xfId="11511"/>
    <cellStyle name="Currency 2 2 2 11" xfId="671"/>
    <cellStyle name="Currency 2 2 2 11 2" xfId="11512"/>
    <cellStyle name="Currency 2 2 2 12" xfId="672"/>
    <cellStyle name="Currency 2 2 2 12 2" xfId="11513"/>
    <cellStyle name="Currency 2 2 2 13" xfId="673"/>
    <cellStyle name="Currency 2 2 2 13 2" xfId="11514"/>
    <cellStyle name="Currency 2 2 2 14" xfId="11510"/>
    <cellStyle name="Currency 2 2 2 2" xfId="674"/>
    <cellStyle name="Currency 2 2 2 2 2" xfId="11515"/>
    <cellStyle name="Currency 2 2 2 3" xfId="675"/>
    <cellStyle name="Currency 2 2 2 3 2" xfId="11516"/>
    <cellStyle name="Currency 2 2 2 4" xfId="676"/>
    <cellStyle name="Currency 2 2 2 4 2" xfId="11517"/>
    <cellStyle name="Currency 2 2 2 5" xfId="677"/>
    <cellStyle name="Currency 2 2 2 5 2" xfId="11518"/>
    <cellStyle name="Currency 2 2 2 6" xfId="678"/>
    <cellStyle name="Currency 2 2 2 6 2" xfId="11519"/>
    <cellStyle name="Currency 2 2 2 7" xfId="679"/>
    <cellStyle name="Currency 2 2 2 7 2" xfId="11520"/>
    <cellStyle name="Currency 2 2 2 8" xfId="680"/>
    <cellStyle name="Currency 2 2 2 8 2" xfId="11521"/>
    <cellStyle name="Currency 2 2 2 9" xfId="681"/>
    <cellStyle name="Currency 2 2 2 9 2" xfId="11522"/>
    <cellStyle name="Currency 2 2 20" xfId="682"/>
    <cellStyle name="Currency 2 2 20 2" xfId="11523"/>
    <cellStyle name="Currency 2 2 21" xfId="683"/>
    <cellStyle name="Currency 2 2 21 2" xfId="11524"/>
    <cellStyle name="Currency 2 2 22" xfId="684"/>
    <cellStyle name="Currency 2 2 22 2" xfId="11525"/>
    <cellStyle name="Currency 2 2 23" xfId="685"/>
    <cellStyle name="Currency 2 2 23 2" xfId="11526"/>
    <cellStyle name="Currency 2 2 24" xfId="686"/>
    <cellStyle name="Currency 2 2 24 2" xfId="11527"/>
    <cellStyle name="Currency 2 2 25" xfId="687"/>
    <cellStyle name="Currency 2 2 25 2" xfId="11528"/>
    <cellStyle name="Currency 2 2 26" xfId="688"/>
    <cellStyle name="Currency 2 2 26 2" xfId="11529"/>
    <cellStyle name="Currency 2 2 27" xfId="689"/>
    <cellStyle name="Currency 2 2 27 2" xfId="11530"/>
    <cellStyle name="Currency 2 2 28" xfId="690"/>
    <cellStyle name="Currency 2 2 28 2" xfId="11531"/>
    <cellStyle name="Currency 2 2 29" xfId="691"/>
    <cellStyle name="Currency 2 2 29 2" xfId="11532"/>
    <cellStyle name="Currency 2 2 3" xfId="692"/>
    <cellStyle name="Currency 2 2 3 2" xfId="11533"/>
    <cellStyle name="Currency 2 2 30" xfId="693"/>
    <cellStyle name="Currency 2 2 30 2" xfId="11534"/>
    <cellStyle name="Currency 2 2 31" xfId="694"/>
    <cellStyle name="Currency 2 2 31 2" xfId="11535"/>
    <cellStyle name="Currency 2 2 32" xfId="695"/>
    <cellStyle name="Currency 2 2 32 2" xfId="11536"/>
    <cellStyle name="Currency 2 2 33" xfId="696"/>
    <cellStyle name="Currency 2 2 33 2" xfId="11537"/>
    <cellStyle name="Currency 2 2 34" xfId="697"/>
    <cellStyle name="Currency 2 2 34 2" xfId="11538"/>
    <cellStyle name="Currency 2 2 35" xfId="698"/>
    <cellStyle name="Currency 2 2 35 2" xfId="11539"/>
    <cellStyle name="Currency 2 2 36" xfId="699"/>
    <cellStyle name="Currency 2 2 36 2" xfId="11540"/>
    <cellStyle name="Currency 2 2 37" xfId="700"/>
    <cellStyle name="Currency 2 2 37 2" xfId="11541"/>
    <cellStyle name="Currency 2 2 38" xfId="701"/>
    <cellStyle name="Currency 2 2 38 2" xfId="11542"/>
    <cellStyle name="Currency 2 2 39" xfId="702"/>
    <cellStyle name="Currency 2 2 4" xfId="703"/>
    <cellStyle name="Currency 2 2 4 2" xfId="11543"/>
    <cellStyle name="Currency 2 2 40" xfId="704"/>
    <cellStyle name="Currency 2 2 41" xfId="705"/>
    <cellStyle name="Currency 2 2 42" xfId="706"/>
    <cellStyle name="Currency 2 2 43" xfId="707"/>
    <cellStyle name="Currency 2 2 44" xfId="708"/>
    <cellStyle name="Currency 2 2 45" xfId="709"/>
    <cellStyle name="Currency 2 2 46" xfId="710"/>
    <cellStyle name="Currency 2 2 47" xfId="711"/>
    <cellStyle name="Currency 2 2 48" xfId="712"/>
    <cellStyle name="Currency 2 2 49" xfId="713"/>
    <cellStyle name="Currency 2 2 5" xfId="714"/>
    <cellStyle name="Currency 2 2 5 2" xfId="11544"/>
    <cellStyle name="Currency 2 2 6" xfId="715"/>
    <cellStyle name="Currency 2 2 6 2" xfId="11545"/>
    <cellStyle name="Currency 2 2 7" xfId="716"/>
    <cellStyle name="Currency 2 2 7 2" xfId="11546"/>
    <cellStyle name="Currency 2 2 8" xfId="717"/>
    <cellStyle name="Currency 2 2 8 2" xfId="11547"/>
    <cellStyle name="Currency 2 2 9" xfId="718"/>
    <cellStyle name="Currency 2 2 9 2" xfId="11548"/>
    <cellStyle name="Currency 2 20" xfId="719"/>
    <cellStyle name="Currency 2 20 10" xfId="720"/>
    <cellStyle name="Currency 2 20 10 2" xfId="11550"/>
    <cellStyle name="Currency 2 20 11" xfId="721"/>
    <cellStyle name="Currency 2 20 11 2" xfId="11551"/>
    <cellStyle name="Currency 2 20 12" xfId="722"/>
    <cellStyle name="Currency 2 20 12 2" xfId="11552"/>
    <cellStyle name="Currency 2 20 13" xfId="723"/>
    <cellStyle name="Currency 2 20 13 2" xfId="11553"/>
    <cellStyle name="Currency 2 20 14" xfId="724"/>
    <cellStyle name="Currency 2 20 14 2" xfId="11554"/>
    <cellStyle name="Currency 2 20 15" xfId="725"/>
    <cellStyle name="Currency 2 20 15 2" xfId="11555"/>
    <cellStyle name="Currency 2 20 16" xfId="726"/>
    <cellStyle name="Currency 2 20 16 2" xfId="11556"/>
    <cellStyle name="Currency 2 20 17" xfId="727"/>
    <cellStyle name="Currency 2 20 17 2" xfId="11557"/>
    <cellStyle name="Currency 2 20 18" xfId="11549"/>
    <cellStyle name="Currency 2 20 2" xfId="728"/>
    <cellStyle name="Currency 2 20 3" xfId="729"/>
    <cellStyle name="Currency 2 20 4" xfId="730"/>
    <cellStyle name="Currency 2 20 5" xfId="731"/>
    <cellStyle name="Currency 2 20 6" xfId="732"/>
    <cellStyle name="Currency 2 20 6 2" xfId="11558"/>
    <cellStyle name="Currency 2 20 7" xfId="733"/>
    <cellStyle name="Currency 2 20 7 2" xfId="11559"/>
    <cellStyle name="Currency 2 20 8" xfId="734"/>
    <cellStyle name="Currency 2 20 8 2" xfId="11560"/>
    <cellStyle name="Currency 2 20 9" xfId="735"/>
    <cellStyle name="Currency 2 20 9 2" xfId="11561"/>
    <cellStyle name="Currency 2 21" xfId="736"/>
    <cellStyle name="Currency 2 21 10" xfId="737"/>
    <cellStyle name="Currency 2 21 10 2" xfId="11563"/>
    <cellStyle name="Currency 2 21 11" xfId="738"/>
    <cellStyle name="Currency 2 21 11 2" xfId="11564"/>
    <cellStyle name="Currency 2 21 12" xfId="739"/>
    <cellStyle name="Currency 2 21 12 2" xfId="11565"/>
    <cellStyle name="Currency 2 21 13" xfId="740"/>
    <cellStyle name="Currency 2 21 13 2" xfId="11566"/>
    <cellStyle name="Currency 2 21 14" xfId="741"/>
    <cellStyle name="Currency 2 21 14 2" xfId="11567"/>
    <cellStyle name="Currency 2 21 15" xfId="742"/>
    <cellStyle name="Currency 2 21 15 2" xfId="11568"/>
    <cellStyle name="Currency 2 21 16" xfId="743"/>
    <cellStyle name="Currency 2 21 16 2" xfId="11569"/>
    <cellStyle name="Currency 2 21 17" xfId="744"/>
    <cellStyle name="Currency 2 21 17 2" xfId="11570"/>
    <cellStyle name="Currency 2 21 18" xfId="11562"/>
    <cellStyle name="Currency 2 21 2" xfId="745"/>
    <cellStyle name="Currency 2 21 3" xfId="746"/>
    <cellStyle name="Currency 2 21 4" xfId="747"/>
    <cellStyle name="Currency 2 21 5" xfId="748"/>
    <cellStyle name="Currency 2 21 6" xfId="749"/>
    <cellStyle name="Currency 2 21 6 2" xfId="11571"/>
    <cellStyle name="Currency 2 21 7" xfId="750"/>
    <cellStyle name="Currency 2 21 7 2" xfId="11572"/>
    <cellStyle name="Currency 2 21 8" xfId="751"/>
    <cellStyle name="Currency 2 21 8 2" xfId="11573"/>
    <cellStyle name="Currency 2 21 9" xfId="752"/>
    <cellStyle name="Currency 2 21 9 2" xfId="11574"/>
    <cellStyle name="Currency 2 22" xfId="753"/>
    <cellStyle name="Currency 2 22 10" xfId="754"/>
    <cellStyle name="Currency 2 22 10 2" xfId="11576"/>
    <cellStyle name="Currency 2 22 11" xfId="755"/>
    <cellStyle name="Currency 2 22 11 2" xfId="11577"/>
    <cellStyle name="Currency 2 22 12" xfId="756"/>
    <cellStyle name="Currency 2 22 12 2" xfId="11578"/>
    <cellStyle name="Currency 2 22 13" xfId="757"/>
    <cellStyle name="Currency 2 22 13 2" xfId="11579"/>
    <cellStyle name="Currency 2 22 14" xfId="758"/>
    <cellStyle name="Currency 2 22 14 2" xfId="11580"/>
    <cellStyle name="Currency 2 22 15" xfId="759"/>
    <cellStyle name="Currency 2 22 15 2" xfId="11581"/>
    <cellStyle name="Currency 2 22 16" xfId="760"/>
    <cellStyle name="Currency 2 22 16 2" xfId="11582"/>
    <cellStyle name="Currency 2 22 17" xfId="761"/>
    <cellStyle name="Currency 2 22 17 2" xfId="11583"/>
    <cellStyle name="Currency 2 22 18" xfId="11575"/>
    <cellStyle name="Currency 2 22 2" xfId="762"/>
    <cellStyle name="Currency 2 22 3" xfId="763"/>
    <cellStyle name="Currency 2 22 4" xfId="764"/>
    <cellStyle name="Currency 2 22 5" xfId="765"/>
    <cellStyle name="Currency 2 22 6" xfId="766"/>
    <cellStyle name="Currency 2 22 6 2" xfId="11584"/>
    <cellStyle name="Currency 2 22 7" xfId="767"/>
    <cellStyle name="Currency 2 22 7 2" xfId="11585"/>
    <cellStyle name="Currency 2 22 8" xfId="768"/>
    <cellStyle name="Currency 2 22 8 2" xfId="11586"/>
    <cellStyle name="Currency 2 22 9" xfId="769"/>
    <cellStyle name="Currency 2 22 9 2" xfId="11587"/>
    <cellStyle name="Currency 2 23" xfId="770"/>
    <cellStyle name="Currency 2 23 10" xfId="771"/>
    <cellStyle name="Currency 2 23 10 2" xfId="11589"/>
    <cellStyle name="Currency 2 23 11" xfId="772"/>
    <cellStyle name="Currency 2 23 11 2" xfId="11590"/>
    <cellStyle name="Currency 2 23 12" xfId="773"/>
    <cellStyle name="Currency 2 23 12 2" xfId="11591"/>
    <cellStyle name="Currency 2 23 13" xfId="774"/>
    <cellStyle name="Currency 2 23 13 2" xfId="11592"/>
    <cellStyle name="Currency 2 23 14" xfId="775"/>
    <cellStyle name="Currency 2 23 14 2" xfId="11593"/>
    <cellStyle name="Currency 2 23 15" xfId="776"/>
    <cellStyle name="Currency 2 23 15 2" xfId="11594"/>
    <cellStyle name="Currency 2 23 16" xfId="777"/>
    <cellStyle name="Currency 2 23 16 2" xfId="11595"/>
    <cellStyle name="Currency 2 23 17" xfId="778"/>
    <cellStyle name="Currency 2 23 17 2" xfId="11596"/>
    <cellStyle name="Currency 2 23 18" xfId="11588"/>
    <cellStyle name="Currency 2 23 2" xfId="779"/>
    <cellStyle name="Currency 2 23 3" xfId="780"/>
    <cellStyle name="Currency 2 23 4" xfId="781"/>
    <cellStyle name="Currency 2 23 5" xfId="782"/>
    <cellStyle name="Currency 2 23 6" xfId="783"/>
    <cellStyle name="Currency 2 23 6 2" xfId="11597"/>
    <cellStyle name="Currency 2 23 7" xfId="784"/>
    <cellStyle name="Currency 2 23 7 2" xfId="11598"/>
    <cellStyle name="Currency 2 23 8" xfId="785"/>
    <cellStyle name="Currency 2 23 8 2" xfId="11599"/>
    <cellStyle name="Currency 2 23 9" xfId="786"/>
    <cellStyle name="Currency 2 23 9 2" xfId="11600"/>
    <cellStyle name="Currency 2 24" xfId="787"/>
    <cellStyle name="Currency 2 24 10" xfId="788"/>
    <cellStyle name="Currency 2 24 10 2" xfId="11602"/>
    <cellStyle name="Currency 2 24 11" xfId="789"/>
    <cellStyle name="Currency 2 24 11 2" xfId="11603"/>
    <cellStyle name="Currency 2 24 12" xfId="790"/>
    <cellStyle name="Currency 2 24 12 2" xfId="11604"/>
    <cellStyle name="Currency 2 24 13" xfId="791"/>
    <cellStyle name="Currency 2 24 13 2" xfId="11605"/>
    <cellStyle name="Currency 2 24 14" xfId="792"/>
    <cellStyle name="Currency 2 24 14 2" xfId="11606"/>
    <cellStyle name="Currency 2 24 15" xfId="793"/>
    <cellStyle name="Currency 2 24 15 2" xfId="11607"/>
    <cellStyle name="Currency 2 24 16" xfId="794"/>
    <cellStyle name="Currency 2 24 16 2" xfId="11608"/>
    <cellStyle name="Currency 2 24 17" xfId="795"/>
    <cellStyle name="Currency 2 24 17 2" xfId="11609"/>
    <cellStyle name="Currency 2 24 18" xfId="11601"/>
    <cellStyle name="Currency 2 24 2" xfId="796"/>
    <cellStyle name="Currency 2 24 3" xfId="797"/>
    <cellStyle name="Currency 2 24 4" xfId="798"/>
    <cellStyle name="Currency 2 24 5" xfId="799"/>
    <cellStyle name="Currency 2 24 6" xfId="800"/>
    <cellStyle name="Currency 2 24 6 2" xfId="11610"/>
    <cellStyle name="Currency 2 24 7" xfId="801"/>
    <cellStyle name="Currency 2 24 7 2" xfId="11611"/>
    <cellStyle name="Currency 2 24 8" xfId="802"/>
    <cellStyle name="Currency 2 24 8 2" xfId="11612"/>
    <cellStyle name="Currency 2 24 9" xfId="803"/>
    <cellStyle name="Currency 2 24 9 2" xfId="11613"/>
    <cellStyle name="Currency 2 25" xfId="804"/>
    <cellStyle name="Currency 2 25 2" xfId="11614"/>
    <cellStyle name="Currency 2 26" xfId="805"/>
    <cellStyle name="Currency 2 26 2" xfId="11615"/>
    <cellStyle name="Currency 2 27" xfId="806"/>
    <cellStyle name="Currency 2 27 2" xfId="11616"/>
    <cellStyle name="Currency 2 28" xfId="807"/>
    <cellStyle name="Currency 2 28 2" xfId="11617"/>
    <cellStyle name="Currency 2 29" xfId="808"/>
    <cellStyle name="Currency 2 29 2" xfId="11618"/>
    <cellStyle name="Currency 2 3" xfId="809"/>
    <cellStyle name="Currency 2 3 10" xfId="810"/>
    <cellStyle name="Currency 2 3 10 2" xfId="11620"/>
    <cellStyle name="Currency 2 3 11" xfId="811"/>
    <cellStyle name="Currency 2 3 11 2" xfId="11621"/>
    <cellStyle name="Currency 2 3 12" xfId="812"/>
    <cellStyle name="Currency 2 3 12 2" xfId="11622"/>
    <cellStyle name="Currency 2 3 13" xfId="813"/>
    <cellStyle name="Currency 2 3 13 2" xfId="11623"/>
    <cellStyle name="Currency 2 3 14" xfId="814"/>
    <cellStyle name="Currency 2 3 14 2" xfId="11624"/>
    <cellStyle name="Currency 2 3 15" xfId="815"/>
    <cellStyle name="Currency 2 3 15 2" xfId="11625"/>
    <cellStyle name="Currency 2 3 16" xfId="816"/>
    <cellStyle name="Currency 2 3 16 2" xfId="11626"/>
    <cellStyle name="Currency 2 3 17" xfId="817"/>
    <cellStyle name="Currency 2 3 17 2" xfId="11627"/>
    <cellStyle name="Currency 2 3 18" xfId="11619"/>
    <cellStyle name="Currency 2 3 2" xfId="818"/>
    <cellStyle name="Currency 2 3 3" xfId="819"/>
    <cellStyle name="Currency 2 3 4" xfId="820"/>
    <cellStyle name="Currency 2 3 5" xfId="821"/>
    <cellStyle name="Currency 2 3 6" xfId="822"/>
    <cellStyle name="Currency 2 3 6 2" xfId="11628"/>
    <cellStyle name="Currency 2 3 7" xfId="823"/>
    <cellStyle name="Currency 2 3 7 2" xfId="11629"/>
    <cellStyle name="Currency 2 3 8" xfId="824"/>
    <cellStyle name="Currency 2 3 8 2" xfId="11630"/>
    <cellStyle name="Currency 2 3 9" xfId="825"/>
    <cellStyle name="Currency 2 3 9 2" xfId="11631"/>
    <cellStyle name="Currency 2 30" xfId="826"/>
    <cellStyle name="Currency 2 30 2" xfId="11632"/>
    <cellStyle name="Currency 2 31" xfId="827"/>
    <cellStyle name="Currency 2 31 2" xfId="11633"/>
    <cellStyle name="Currency 2 32" xfId="828"/>
    <cellStyle name="Currency 2 32 10" xfId="829"/>
    <cellStyle name="Currency 2 32 11" xfId="830"/>
    <cellStyle name="Currency 2 32 12" xfId="831"/>
    <cellStyle name="Currency 2 32 13" xfId="832"/>
    <cellStyle name="Currency 2 32 2" xfId="833"/>
    <cellStyle name="Currency 2 32 3" xfId="834"/>
    <cellStyle name="Currency 2 32 4" xfId="835"/>
    <cellStyle name="Currency 2 32 5" xfId="836"/>
    <cellStyle name="Currency 2 32 6" xfId="837"/>
    <cellStyle name="Currency 2 32 7" xfId="838"/>
    <cellStyle name="Currency 2 32 8" xfId="839"/>
    <cellStyle name="Currency 2 32 9" xfId="840"/>
    <cellStyle name="Currency 2 33" xfId="841"/>
    <cellStyle name="Currency 2 33 10" xfId="842"/>
    <cellStyle name="Currency 2 33 11" xfId="843"/>
    <cellStyle name="Currency 2 33 12" xfId="844"/>
    <cellStyle name="Currency 2 33 13" xfId="845"/>
    <cellStyle name="Currency 2 33 2" xfId="846"/>
    <cellStyle name="Currency 2 33 3" xfId="847"/>
    <cellStyle name="Currency 2 33 4" xfId="848"/>
    <cellStyle name="Currency 2 33 5" xfId="849"/>
    <cellStyle name="Currency 2 33 6" xfId="850"/>
    <cellStyle name="Currency 2 33 7" xfId="851"/>
    <cellStyle name="Currency 2 33 8" xfId="852"/>
    <cellStyle name="Currency 2 33 9" xfId="853"/>
    <cellStyle name="Currency 2 34" xfId="854"/>
    <cellStyle name="Currency 2 34 10" xfId="855"/>
    <cellStyle name="Currency 2 34 11" xfId="856"/>
    <cellStyle name="Currency 2 34 12" xfId="857"/>
    <cellStyle name="Currency 2 34 13" xfId="858"/>
    <cellStyle name="Currency 2 34 2" xfId="859"/>
    <cellStyle name="Currency 2 34 3" xfId="860"/>
    <cellStyle name="Currency 2 34 4" xfId="861"/>
    <cellStyle name="Currency 2 34 5" xfId="862"/>
    <cellStyle name="Currency 2 34 6" xfId="863"/>
    <cellStyle name="Currency 2 34 7" xfId="864"/>
    <cellStyle name="Currency 2 34 8" xfId="865"/>
    <cellStyle name="Currency 2 34 9" xfId="866"/>
    <cellStyle name="Currency 2 35" xfId="867"/>
    <cellStyle name="Currency 2 35 10" xfId="868"/>
    <cellStyle name="Currency 2 35 11" xfId="869"/>
    <cellStyle name="Currency 2 35 12" xfId="870"/>
    <cellStyle name="Currency 2 35 13" xfId="871"/>
    <cellStyle name="Currency 2 35 2" xfId="872"/>
    <cellStyle name="Currency 2 35 3" xfId="873"/>
    <cellStyle name="Currency 2 35 4" xfId="874"/>
    <cellStyle name="Currency 2 35 5" xfId="875"/>
    <cellStyle name="Currency 2 35 6" xfId="876"/>
    <cellStyle name="Currency 2 35 7" xfId="877"/>
    <cellStyle name="Currency 2 35 8" xfId="878"/>
    <cellStyle name="Currency 2 35 9" xfId="879"/>
    <cellStyle name="Currency 2 36" xfId="880"/>
    <cellStyle name="Currency 2 36 10" xfId="881"/>
    <cellStyle name="Currency 2 36 11" xfId="882"/>
    <cellStyle name="Currency 2 36 12" xfId="883"/>
    <cellStyle name="Currency 2 36 13" xfId="884"/>
    <cellStyle name="Currency 2 36 2" xfId="885"/>
    <cellStyle name="Currency 2 36 3" xfId="886"/>
    <cellStyle name="Currency 2 36 4" xfId="887"/>
    <cellStyle name="Currency 2 36 5" xfId="888"/>
    <cellStyle name="Currency 2 36 6" xfId="889"/>
    <cellStyle name="Currency 2 36 7" xfId="890"/>
    <cellStyle name="Currency 2 36 8" xfId="891"/>
    <cellStyle name="Currency 2 36 9" xfId="892"/>
    <cellStyle name="Currency 2 37" xfId="893"/>
    <cellStyle name="Currency 2 38" xfId="894"/>
    <cellStyle name="Currency 2 39" xfId="895"/>
    <cellStyle name="Currency 2 4" xfId="896"/>
    <cellStyle name="Currency 2 4 10" xfId="897"/>
    <cellStyle name="Currency 2 4 10 2" xfId="11635"/>
    <cellStyle name="Currency 2 4 11" xfId="898"/>
    <cellStyle name="Currency 2 4 11 2" xfId="11636"/>
    <cellStyle name="Currency 2 4 12" xfId="899"/>
    <cellStyle name="Currency 2 4 12 2" xfId="11637"/>
    <cellStyle name="Currency 2 4 13" xfId="900"/>
    <cellStyle name="Currency 2 4 13 2" xfId="11638"/>
    <cellStyle name="Currency 2 4 14" xfId="901"/>
    <cellStyle name="Currency 2 4 14 2" xfId="11639"/>
    <cellStyle name="Currency 2 4 15" xfId="902"/>
    <cellStyle name="Currency 2 4 15 2" xfId="11640"/>
    <cellStyle name="Currency 2 4 16" xfId="903"/>
    <cellStyle name="Currency 2 4 16 2" xfId="11641"/>
    <cellStyle name="Currency 2 4 17" xfId="904"/>
    <cellStyle name="Currency 2 4 17 2" xfId="11642"/>
    <cellStyle name="Currency 2 4 18" xfId="11634"/>
    <cellStyle name="Currency 2 4 2" xfId="905"/>
    <cellStyle name="Currency 2 4 3" xfId="906"/>
    <cellStyle name="Currency 2 4 4" xfId="907"/>
    <cellStyle name="Currency 2 4 5" xfId="908"/>
    <cellStyle name="Currency 2 4 6" xfId="909"/>
    <cellStyle name="Currency 2 4 6 2" xfId="11643"/>
    <cellStyle name="Currency 2 4 7" xfId="910"/>
    <cellStyle name="Currency 2 4 7 2" xfId="11644"/>
    <cellStyle name="Currency 2 4 8" xfId="911"/>
    <cellStyle name="Currency 2 4 8 2" xfId="11645"/>
    <cellStyle name="Currency 2 4 9" xfId="912"/>
    <cellStyle name="Currency 2 4 9 2" xfId="11646"/>
    <cellStyle name="Currency 2 40" xfId="913"/>
    <cellStyle name="Currency 2 41" xfId="914"/>
    <cellStyle name="Currency 2 42" xfId="915"/>
    <cellStyle name="Currency 2 43" xfId="916"/>
    <cellStyle name="Currency 2 44" xfId="917"/>
    <cellStyle name="Currency 2 45" xfId="918"/>
    <cellStyle name="Currency 2 46" xfId="919"/>
    <cellStyle name="Currency 2 47" xfId="920"/>
    <cellStyle name="Currency 2 48" xfId="921"/>
    <cellStyle name="Currency 2 49" xfId="922"/>
    <cellStyle name="Currency 2 5" xfId="923"/>
    <cellStyle name="Currency 2 5 10" xfId="924"/>
    <cellStyle name="Currency 2 5 10 2" xfId="11648"/>
    <cellStyle name="Currency 2 5 11" xfId="925"/>
    <cellStyle name="Currency 2 5 11 2" xfId="11649"/>
    <cellStyle name="Currency 2 5 12" xfId="926"/>
    <cellStyle name="Currency 2 5 12 2" xfId="11650"/>
    <cellStyle name="Currency 2 5 13" xfId="927"/>
    <cellStyle name="Currency 2 5 13 2" xfId="11651"/>
    <cellStyle name="Currency 2 5 14" xfId="928"/>
    <cellStyle name="Currency 2 5 14 2" xfId="11652"/>
    <cellStyle name="Currency 2 5 15" xfId="929"/>
    <cellStyle name="Currency 2 5 15 2" xfId="11653"/>
    <cellStyle name="Currency 2 5 16" xfId="930"/>
    <cellStyle name="Currency 2 5 16 2" xfId="11654"/>
    <cellStyle name="Currency 2 5 17" xfId="931"/>
    <cellStyle name="Currency 2 5 17 2" xfId="11655"/>
    <cellStyle name="Currency 2 5 18" xfId="11647"/>
    <cellStyle name="Currency 2 5 2" xfId="932"/>
    <cellStyle name="Currency 2 5 3" xfId="933"/>
    <cellStyle name="Currency 2 5 4" xfId="934"/>
    <cellStyle name="Currency 2 5 5" xfId="935"/>
    <cellStyle name="Currency 2 5 6" xfId="936"/>
    <cellStyle name="Currency 2 5 6 2" xfId="11656"/>
    <cellStyle name="Currency 2 5 7" xfId="937"/>
    <cellStyle name="Currency 2 5 7 2" xfId="11657"/>
    <cellStyle name="Currency 2 5 8" xfId="938"/>
    <cellStyle name="Currency 2 5 8 2" xfId="11658"/>
    <cellStyle name="Currency 2 5 9" xfId="939"/>
    <cellStyle name="Currency 2 5 9 2" xfId="11659"/>
    <cellStyle name="Currency 2 50" xfId="940"/>
    <cellStyle name="Currency 2 51" xfId="941"/>
    <cellStyle name="Currency 2 52" xfId="942"/>
    <cellStyle name="Currency 2 53" xfId="943"/>
    <cellStyle name="Currency 2 54" xfId="944"/>
    <cellStyle name="Currency 2 55" xfId="945"/>
    <cellStyle name="Currency 2 56" xfId="946"/>
    <cellStyle name="Currency 2 57" xfId="947"/>
    <cellStyle name="Currency 2 58" xfId="948"/>
    <cellStyle name="Currency 2 59" xfId="949"/>
    <cellStyle name="Currency 2 6" xfId="950"/>
    <cellStyle name="Currency 2 6 10" xfId="951"/>
    <cellStyle name="Currency 2 6 10 2" xfId="11661"/>
    <cellStyle name="Currency 2 6 11" xfId="952"/>
    <cellStyle name="Currency 2 6 11 2" xfId="11662"/>
    <cellStyle name="Currency 2 6 12" xfId="953"/>
    <cellStyle name="Currency 2 6 12 2" xfId="11663"/>
    <cellStyle name="Currency 2 6 13" xfId="954"/>
    <cellStyle name="Currency 2 6 13 2" xfId="11664"/>
    <cellStyle name="Currency 2 6 14" xfId="955"/>
    <cellStyle name="Currency 2 6 14 2" xfId="11665"/>
    <cellStyle name="Currency 2 6 15" xfId="956"/>
    <cellStyle name="Currency 2 6 15 2" xfId="11666"/>
    <cellStyle name="Currency 2 6 16" xfId="957"/>
    <cellStyle name="Currency 2 6 16 2" xfId="11667"/>
    <cellStyle name="Currency 2 6 17" xfId="958"/>
    <cellStyle name="Currency 2 6 17 2" xfId="11668"/>
    <cellStyle name="Currency 2 6 18" xfId="11660"/>
    <cellStyle name="Currency 2 6 2" xfId="959"/>
    <cellStyle name="Currency 2 6 3" xfId="960"/>
    <cellStyle name="Currency 2 6 4" xfId="961"/>
    <cellStyle name="Currency 2 6 5" xfId="962"/>
    <cellStyle name="Currency 2 6 6" xfId="963"/>
    <cellStyle name="Currency 2 6 6 2" xfId="11669"/>
    <cellStyle name="Currency 2 6 7" xfId="964"/>
    <cellStyle name="Currency 2 6 7 2" xfId="11670"/>
    <cellStyle name="Currency 2 6 8" xfId="965"/>
    <cellStyle name="Currency 2 6 8 2" xfId="11671"/>
    <cellStyle name="Currency 2 6 9" xfId="966"/>
    <cellStyle name="Currency 2 6 9 2" xfId="11672"/>
    <cellStyle name="Currency 2 60" xfId="967"/>
    <cellStyle name="Currency 2 61" xfId="968"/>
    <cellStyle name="Currency 2 62" xfId="969"/>
    <cellStyle name="Currency 2 63" xfId="970"/>
    <cellStyle name="Currency 2 64" xfId="971"/>
    <cellStyle name="Currency 2 65" xfId="972"/>
    <cellStyle name="Currency 2 66" xfId="973"/>
    <cellStyle name="Currency 2 67" xfId="974"/>
    <cellStyle name="Currency 2 68" xfId="975"/>
    <cellStyle name="Currency 2 68 2" xfId="11673"/>
    <cellStyle name="Currency 2 69" xfId="976"/>
    <cellStyle name="Currency 2 69 2" xfId="11674"/>
    <cellStyle name="Currency 2 7" xfId="977"/>
    <cellStyle name="Currency 2 7 10" xfId="978"/>
    <cellStyle name="Currency 2 7 10 2" xfId="11676"/>
    <cellStyle name="Currency 2 7 11" xfId="979"/>
    <cellStyle name="Currency 2 7 11 2" xfId="11677"/>
    <cellStyle name="Currency 2 7 12" xfId="980"/>
    <cellStyle name="Currency 2 7 12 2" xfId="11678"/>
    <cellStyle name="Currency 2 7 13" xfId="981"/>
    <cellStyle name="Currency 2 7 13 2" xfId="11679"/>
    <cellStyle name="Currency 2 7 14" xfId="982"/>
    <cellStyle name="Currency 2 7 14 2" xfId="11680"/>
    <cellStyle name="Currency 2 7 15" xfId="983"/>
    <cellStyle name="Currency 2 7 15 2" xfId="11681"/>
    <cellStyle name="Currency 2 7 16" xfId="984"/>
    <cellStyle name="Currency 2 7 16 2" xfId="11682"/>
    <cellStyle name="Currency 2 7 17" xfId="985"/>
    <cellStyle name="Currency 2 7 17 2" xfId="11683"/>
    <cellStyle name="Currency 2 7 18" xfId="11675"/>
    <cellStyle name="Currency 2 7 2" xfId="986"/>
    <cellStyle name="Currency 2 7 3" xfId="987"/>
    <cellStyle name="Currency 2 7 4" xfId="988"/>
    <cellStyle name="Currency 2 7 5" xfId="989"/>
    <cellStyle name="Currency 2 7 6" xfId="990"/>
    <cellStyle name="Currency 2 7 6 2" xfId="11684"/>
    <cellStyle name="Currency 2 7 7" xfId="991"/>
    <cellStyle name="Currency 2 7 7 2" xfId="11685"/>
    <cellStyle name="Currency 2 7 8" xfId="992"/>
    <cellStyle name="Currency 2 7 8 2" xfId="11686"/>
    <cellStyle name="Currency 2 7 9" xfId="993"/>
    <cellStyle name="Currency 2 7 9 2" xfId="11687"/>
    <cellStyle name="Currency 2 70" xfId="994"/>
    <cellStyle name="Currency 2 70 2" xfId="11688"/>
    <cellStyle name="Currency 2 71" xfId="995"/>
    <cellStyle name="Currency 2 71 2" xfId="11689"/>
    <cellStyle name="Currency 2 72" xfId="996"/>
    <cellStyle name="Currency 2 72 2" xfId="11690"/>
    <cellStyle name="Currency 2 73" xfId="997"/>
    <cellStyle name="Currency 2 73 2" xfId="11691"/>
    <cellStyle name="Currency 2 74" xfId="998"/>
    <cellStyle name="Currency 2 74 2" xfId="11692"/>
    <cellStyle name="Currency 2 75" xfId="999"/>
    <cellStyle name="Currency 2 75 2" xfId="11693"/>
    <cellStyle name="Currency 2 76" xfId="1000"/>
    <cellStyle name="Currency 2 76 2" xfId="11694"/>
    <cellStyle name="Currency 2 77" xfId="1001"/>
    <cellStyle name="Currency 2 77 2" xfId="11695"/>
    <cellStyle name="Currency 2 78" xfId="1002"/>
    <cellStyle name="Currency 2 78 2" xfId="11696"/>
    <cellStyle name="Currency 2 79" xfId="11347"/>
    <cellStyle name="Currency 2 79 2" xfId="11697"/>
    <cellStyle name="Currency 2 8" xfId="1003"/>
    <cellStyle name="Currency 2 8 10" xfId="1004"/>
    <cellStyle name="Currency 2 8 10 2" xfId="11699"/>
    <cellStyle name="Currency 2 8 11" xfId="1005"/>
    <cellStyle name="Currency 2 8 11 2" xfId="11700"/>
    <cellStyle name="Currency 2 8 12" xfId="1006"/>
    <cellStyle name="Currency 2 8 12 2" xfId="11701"/>
    <cellStyle name="Currency 2 8 13" xfId="1007"/>
    <cellStyle name="Currency 2 8 13 2" xfId="11702"/>
    <cellStyle name="Currency 2 8 14" xfId="1008"/>
    <cellStyle name="Currency 2 8 14 2" xfId="11703"/>
    <cellStyle name="Currency 2 8 15" xfId="1009"/>
    <cellStyle name="Currency 2 8 15 2" xfId="11704"/>
    <cellStyle name="Currency 2 8 16" xfId="1010"/>
    <cellStyle name="Currency 2 8 16 2" xfId="11705"/>
    <cellStyle name="Currency 2 8 17" xfId="1011"/>
    <cellStyle name="Currency 2 8 17 2" xfId="11706"/>
    <cellStyle name="Currency 2 8 18" xfId="11698"/>
    <cellStyle name="Currency 2 8 2" xfId="1012"/>
    <cellStyle name="Currency 2 8 3" xfId="1013"/>
    <cellStyle name="Currency 2 8 4" xfId="1014"/>
    <cellStyle name="Currency 2 8 5" xfId="1015"/>
    <cellStyle name="Currency 2 8 6" xfId="1016"/>
    <cellStyle name="Currency 2 8 6 2" xfId="11707"/>
    <cellStyle name="Currency 2 8 7" xfId="1017"/>
    <cellStyle name="Currency 2 8 7 2" xfId="11708"/>
    <cellStyle name="Currency 2 8 8" xfId="1018"/>
    <cellStyle name="Currency 2 8 8 2" xfId="11709"/>
    <cellStyle name="Currency 2 8 9" xfId="1019"/>
    <cellStyle name="Currency 2 8 9 2" xfId="11710"/>
    <cellStyle name="Currency 2 80" xfId="11357"/>
    <cellStyle name="Currency 2 80 2" xfId="11711"/>
    <cellStyle name="Currency 2 81" xfId="11369"/>
    <cellStyle name="Currency 2 9" xfId="1020"/>
    <cellStyle name="Currency 2 9 10" xfId="1021"/>
    <cellStyle name="Currency 2 9 10 2" xfId="11713"/>
    <cellStyle name="Currency 2 9 11" xfId="1022"/>
    <cellStyle name="Currency 2 9 11 2" xfId="11714"/>
    <cellStyle name="Currency 2 9 12" xfId="1023"/>
    <cellStyle name="Currency 2 9 12 2" xfId="11715"/>
    <cellStyle name="Currency 2 9 13" xfId="1024"/>
    <cellStyle name="Currency 2 9 13 2" xfId="11716"/>
    <cellStyle name="Currency 2 9 14" xfId="1025"/>
    <cellStyle name="Currency 2 9 14 2" xfId="11717"/>
    <cellStyle name="Currency 2 9 15" xfId="1026"/>
    <cellStyle name="Currency 2 9 15 2" xfId="11718"/>
    <cellStyle name="Currency 2 9 16" xfId="1027"/>
    <cellStyle name="Currency 2 9 16 2" xfId="11719"/>
    <cellStyle name="Currency 2 9 17" xfId="1028"/>
    <cellStyle name="Currency 2 9 17 2" xfId="11720"/>
    <cellStyle name="Currency 2 9 18" xfId="11712"/>
    <cellStyle name="Currency 2 9 2" xfId="1029"/>
    <cellStyle name="Currency 2 9 3" xfId="1030"/>
    <cellStyle name="Currency 2 9 4" xfId="1031"/>
    <cellStyle name="Currency 2 9 5" xfId="1032"/>
    <cellStyle name="Currency 2 9 6" xfId="1033"/>
    <cellStyle name="Currency 2 9 6 2" xfId="11721"/>
    <cellStyle name="Currency 2 9 7" xfId="1034"/>
    <cellStyle name="Currency 2 9 7 2" xfId="11722"/>
    <cellStyle name="Currency 2 9 8" xfId="1035"/>
    <cellStyle name="Currency 2 9 8 2" xfId="11723"/>
    <cellStyle name="Currency 2 9 9" xfId="1036"/>
    <cellStyle name="Currency 2 9 9 2" xfId="11724"/>
    <cellStyle name="Currency 3" xfId="1037"/>
    <cellStyle name="Currency 3 10" xfId="1038"/>
    <cellStyle name="Currency 3 11" xfId="1039"/>
    <cellStyle name="Currency 3 12" xfId="1040"/>
    <cellStyle name="Currency 3 13" xfId="1041"/>
    <cellStyle name="Currency 3 2" xfId="1042"/>
    <cellStyle name="Currency 3 3" xfId="1043"/>
    <cellStyle name="Currency 3 4" xfId="1044"/>
    <cellStyle name="Currency 3 5" xfId="1045"/>
    <cellStyle name="Currency 3 6" xfId="1046"/>
    <cellStyle name="Currency 3 7" xfId="1047"/>
    <cellStyle name="Currency 3 8" xfId="1048"/>
    <cellStyle name="Currency 3 9" xfId="1049"/>
    <cellStyle name="Currency 4" xfId="51"/>
    <cellStyle name="Currency 4 2" xfId="11725"/>
    <cellStyle name="Currency 5" xfId="11340"/>
    <cellStyle name="Currency 5 2" xfId="11344"/>
    <cellStyle name="Currency 5 2 2" xfId="11727"/>
    <cellStyle name="Currency 5 3" xfId="11726"/>
    <cellStyle name="Data Cell - PerformancePoint" xfId="52"/>
    <cellStyle name="Data Cell - PerformancePoint 10" xfId="1050"/>
    <cellStyle name="Data Cell - PerformancePoint 11" xfId="1051"/>
    <cellStyle name="Data Cell - PerformancePoint 12" xfId="1052"/>
    <cellStyle name="Data Cell - PerformancePoint 13" xfId="1053"/>
    <cellStyle name="Data Cell - PerformancePoint 14" xfId="1054"/>
    <cellStyle name="Data Cell - PerformancePoint 15" xfId="1055"/>
    <cellStyle name="Data Cell - PerformancePoint 16" xfId="1056"/>
    <cellStyle name="Data Cell - PerformancePoint 17" xfId="1057"/>
    <cellStyle name="Data Cell - PerformancePoint 2" xfId="1058"/>
    <cellStyle name="Data Cell - PerformancePoint 3" xfId="1059"/>
    <cellStyle name="Data Cell - PerformancePoint 4" xfId="1060"/>
    <cellStyle name="Data Cell - PerformancePoint 5" xfId="1061"/>
    <cellStyle name="Data Cell - PerformancePoint 6" xfId="1062"/>
    <cellStyle name="Data Cell - PerformancePoint 7" xfId="1063"/>
    <cellStyle name="Data Cell - PerformancePoint 8" xfId="1064"/>
    <cellStyle name="Data Cell - PerformancePoint 9" xfId="1065"/>
    <cellStyle name="Data Entry Cell - PerformancePoint" xfId="53"/>
    <cellStyle name="Data Entry Cell - PerformancePoint 10" xfId="1066"/>
    <cellStyle name="Data Entry Cell - PerformancePoint 11" xfId="1067"/>
    <cellStyle name="Data Entry Cell - PerformancePoint 12" xfId="1068"/>
    <cellStyle name="Data Entry Cell - PerformancePoint 13" xfId="1069"/>
    <cellStyle name="Data Entry Cell - PerformancePoint 14" xfId="1070"/>
    <cellStyle name="Data Entry Cell - PerformancePoint 15" xfId="1071"/>
    <cellStyle name="Data Entry Cell - PerformancePoint 16" xfId="1072"/>
    <cellStyle name="Data Entry Cell - PerformancePoint 17" xfId="1073"/>
    <cellStyle name="Data Entry Cell - PerformancePoint 2" xfId="1074"/>
    <cellStyle name="Data Entry Cell - PerformancePoint 3" xfId="1075"/>
    <cellStyle name="Data Entry Cell - PerformancePoint 4" xfId="1076"/>
    <cellStyle name="Data Entry Cell - PerformancePoint 5" xfId="1077"/>
    <cellStyle name="Data Entry Cell - PerformancePoint 6" xfId="1078"/>
    <cellStyle name="Data Entry Cell - PerformancePoint 7" xfId="1079"/>
    <cellStyle name="Data Entry Cell - PerformancePoint 8" xfId="1080"/>
    <cellStyle name="Data Entry Cell - PerformancePoint 9" xfId="1081"/>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Locked Cell - PerformancePoint" xfId="54"/>
    <cellStyle name="Locked Cell - PerformancePoint 10" xfId="1082"/>
    <cellStyle name="Locked Cell - PerformancePoint 11" xfId="1083"/>
    <cellStyle name="Locked Cell - PerformancePoint 12" xfId="1084"/>
    <cellStyle name="Locked Cell - PerformancePoint 13" xfId="1085"/>
    <cellStyle name="Locked Cell - PerformancePoint 14" xfId="1086"/>
    <cellStyle name="Locked Cell - PerformancePoint 15" xfId="1087"/>
    <cellStyle name="Locked Cell - PerformancePoint 16" xfId="1088"/>
    <cellStyle name="Locked Cell - PerformancePoint 17" xfId="1089"/>
    <cellStyle name="Locked Cell - PerformancePoint 2" xfId="1090"/>
    <cellStyle name="Locked Cell - PerformancePoint 3" xfId="1091"/>
    <cellStyle name="Locked Cell - PerformancePoint 4" xfId="1092"/>
    <cellStyle name="Locked Cell - PerformancePoint 5" xfId="1093"/>
    <cellStyle name="Locked Cell - PerformancePoint 6" xfId="1094"/>
    <cellStyle name="Locked Cell - PerformancePoint 7" xfId="1095"/>
    <cellStyle name="Locked Cell - PerformancePoint 8" xfId="1096"/>
    <cellStyle name="Locked Cell - PerformancePoint 9" xfId="1097"/>
    <cellStyle name="Neutral" xfId="10" builtinId="28" customBuiltin="1"/>
    <cellStyle name="Normal" xfId="0" builtinId="0" customBuiltin="1"/>
    <cellStyle name="Normal 10" xfId="55"/>
    <cellStyle name="Normal 10 10" xfId="1098"/>
    <cellStyle name="Normal 10 11" xfId="1099"/>
    <cellStyle name="Normal 10 12" xfId="1100"/>
    <cellStyle name="Normal 10 13" xfId="1101"/>
    <cellStyle name="Normal 10 14" xfId="1102"/>
    <cellStyle name="Normal 10 15" xfId="1103"/>
    <cellStyle name="Normal 10 16" xfId="1104"/>
    <cellStyle name="Normal 10 17" xfId="1105"/>
    <cellStyle name="Normal 10 18" xfId="1106"/>
    <cellStyle name="Normal 10 19" xfId="1107"/>
    <cellStyle name="Normal 10 2" xfId="1108"/>
    <cellStyle name="Normal 10 20" xfId="1109"/>
    <cellStyle name="Normal 10 21" xfId="1110"/>
    <cellStyle name="Normal 10 22" xfId="1111"/>
    <cellStyle name="Normal 10 23" xfId="1112"/>
    <cellStyle name="Normal 10 24" xfId="1113"/>
    <cellStyle name="Normal 10 25" xfId="1114"/>
    <cellStyle name="Normal 10 26" xfId="1115"/>
    <cellStyle name="Normal 10 27" xfId="1116"/>
    <cellStyle name="Normal 10 28" xfId="1117"/>
    <cellStyle name="Normal 10 29" xfId="1118"/>
    <cellStyle name="Normal 10 3" xfId="1119"/>
    <cellStyle name="Normal 10 30" xfId="1120"/>
    <cellStyle name="Normal 10 4" xfId="1121"/>
    <cellStyle name="Normal 10 5" xfId="1122"/>
    <cellStyle name="Normal 10 6" xfId="1123"/>
    <cellStyle name="Normal 10 7" xfId="1124"/>
    <cellStyle name="Normal 10 8" xfId="1125"/>
    <cellStyle name="Normal 10 9" xfId="1126"/>
    <cellStyle name="Normal 11" xfId="56"/>
    <cellStyle name="Normal 11 10" xfId="1127"/>
    <cellStyle name="Normal 11 11" xfId="1128"/>
    <cellStyle name="Normal 11 12" xfId="1129"/>
    <cellStyle name="Normal 11 13" xfId="1130"/>
    <cellStyle name="Normal 11 14" xfId="1131"/>
    <cellStyle name="Normal 11 15" xfId="1132"/>
    <cellStyle name="Normal 11 16" xfId="1133"/>
    <cellStyle name="Normal 11 17" xfId="1134"/>
    <cellStyle name="Normal 11 18" xfId="1135"/>
    <cellStyle name="Normal 11 19" xfId="1136"/>
    <cellStyle name="Normal 11 2" xfId="1137"/>
    <cellStyle name="Normal 11 20" xfId="1138"/>
    <cellStyle name="Normal 11 21" xfId="1139"/>
    <cellStyle name="Normal 11 22" xfId="1140"/>
    <cellStyle name="Normal 11 23" xfId="1141"/>
    <cellStyle name="Normal 11 24" xfId="1142"/>
    <cellStyle name="Normal 11 25" xfId="1143"/>
    <cellStyle name="Normal 11 26" xfId="1144"/>
    <cellStyle name="Normal 11 27" xfId="1145"/>
    <cellStyle name="Normal 11 28" xfId="1146"/>
    <cellStyle name="Normal 11 29" xfId="1147"/>
    <cellStyle name="Normal 11 3" xfId="1148"/>
    <cellStyle name="Normal 11 30" xfId="1149"/>
    <cellStyle name="Normal 11 4" xfId="1150"/>
    <cellStyle name="Normal 11 5" xfId="1151"/>
    <cellStyle name="Normal 11 6" xfId="1152"/>
    <cellStyle name="Normal 11 7" xfId="1153"/>
    <cellStyle name="Normal 11 8" xfId="1154"/>
    <cellStyle name="Normal 11 9" xfId="1155"/>
    <cellStyle name="Normal 12" xfId="57"/>
    <cellStyle name="Normal 12 10" xfId="1156"/>
    <cellStyle name="Normal 12 11" xfId="1157"/>
    <cellStyle name="Normal 12 12" xfId="1158"/>
    <cellStyle name="Normal 12 13" xfId="1159"/>
    <cellStyle name="Normal 12 14" xfId="1160"/>
    <cellStyle name="Normal 12 15" xfId="1161"/>
    <cellStyle name="Normal 12 16" xfId="1162"/>
    <cellStyle name="Normal 12 17" xfId="1163"/>
    <cellStyle name="Normal 12 18" xfId="1164"/>
    <cellStyle name="Normal 12 19" xfId="1165"/>
    <cellStyle name="Normal 12 2" xfId="1166"/>
    <cellStyle name="Normal 12 20" xfId="1167"/>
    <cellStyle name="Normal 12 21" xfId="1168"/>
    <cellStyle name="Normal 12 22" xfId="1169"/>
    <cellStyle name="Normal 12 23" xfId="1170"/>
    <cellStyle name="Normal 12 24" xfId="1171"/>
    <cellStyle name="Normal 12 25" xfId="1172"/>
    <cellStyle name="Normal 12 26" xfId="1173"/>
    <cellStyle name="Normal 12 27" xfId="1174"/>
    <cellStyle name="Normal 12 28" xfId="1175"/>
    <cellStyle name="Normal 12 29" xfId="1176"/>
    <cellStyle name="Normal 12 3" xfId="1177"/>
    <cellStyle name="Normal 12 30" xfId="1178"/>
    <cellStyle name="Normal 12 4" xfId="1179"/>
    <cellStyle name="Normal 12 5" xfId="1180"/>
    <cellStyle name="Normal 12 6" xfId="1181"/>
    <cellStyle name="Normal 12 7" xfId="1182"/>
    <cellStyle name="Normal 12 8" xfId="1183"/>
    <cellStyle name="Normal 12 9" xfId="1184"/>
    <cellStyle name="Normal 13" xfId="58"/>
    <cellStyle name="Normal 13 10" xfId="1185"/>
    <cellStyle name="Normal 13 11" xfId="1186"/>
    <cellStyle name="Normal 13 12" xfId="1187"/>
    <cellStyle name="Normal 13 13" xfId="1188"/>
    <cellStyle name="Normal 13 14" xfId="1189"/>
    <cellStyle name="Normal 13 15" xfId="1190"/>
    <cellStyle name="Normal 13 16" xfId="1191"/>
    <cellStyle name="Normal 13 17" xfId="1192"/>
    <cellStyle name="Normal 13 18" xfId="1193"/>
    <cellStyle name="Normal 13 19" xfId="1194"/>
    <cellStyle name="Normal 13 2" xfId="1195"/>
    <cellStyle name="Normal 13 20" xfId="1196"/>
    <cellStyle name="Normal 13 21" xfId="1197"/>
    <cellStyle name="Normal 13 22" xfId="1198"/>
    <cellStyle name="Normal 13 23" xfId="1199"/>
    <cellStyle name="Normal 13 24" xfId="1200"/>
    <cellStyle name="Normal 13 25" xfId="1201"/>
    <cellStyle name="Normal 13 26" xfId="1202"/>
    <cellStyle name="Normal 13 27" xfId="1203"/>
    <cellStyle name="Normal 13 28" xfId="1204"/>
    <cellStyle name="Normal 13 29" xfId="1205"/>
    <cellStyle name="Normal 13 3" xfId="1206"/>
    <cellStyle name="Normal 13 30" xfId="1207"/>
    <cellStyle name="Normal 13 4" xfId="1208"/>
    <cellStyle name="Normal 13 5" xfId="1209"/>
    <cellStyle name="Normal 13 6" xfId="1210"/>
    <cellStyle name="Normal 13 7" xfId="1211"/>
    <cellStyle name="Normal 13 8" xfId="1212"/>
    <cellStyle name="Normal 13 9" xfId="1213"/>
    <cellStyle name="Normal 14" xfId="1214"/>
    <cellStyle name="Normal 14 10" xfId="1215"/>
    <cellStyle name="Normal 14 11" xfId="1216"/>
    <cellStyle name="Normal 14 12" xfId="1217"/>
    <cellStyle name="Normal 14 13" xfId="1218"/>
    <cellStyle name="Normal 14 14" xfId="1219"/>
    <cellStyle name="Normal 14 15" xfId="1220"/>
    <cellStyle name="Normal 14 16" xfId="1221"/>
    <cellStyle name="Normal 14 17" xfId="1222"/>
    <cellStyle name="Normal 14 18" xfId="1223"/>
    <cellStyle name="Normal 14 19" xfId="1224"/>
    <cellStyle name="Normal 14 2" xfId="1225"/>
    <cellStyle name="Normal 14 20" xfId="1226"/>
    <cellStyle name="Normal 14 21" xfId="1227"/>
    <cellStyle name="Normal 14 22" xfId="1228"/>
    <cellStyle name="Normal 14 23" xfId="1229"/>
    <cellStyle name="Normal 14 24" xfId="1230"/>
    <cellStyle name="Normal 14 25" xfId="1231"/>
    <cellStyle name="Normal 14 26" xfId="1232"/>
    <cellStyle name="Normal 14 27" xfId="1233"/>
    <cellStyle name="Normal 14 28" xfId="1234"/>
    <cellStyle name="Normal 14 29" xfId="1235"/>
    <cellStyle name="Normal 14 3" xfId="1236"/>
    <cellStyle name="Normal 14 30" xfId="1237"/>
    <cellStyle name="Normal 14 31" xfId="10812"/>
    <cellStyle name="Normal 14 4" xfId="1238"/>
    <cellStyle name="Normal 14 5" xfId="1239"/>
    <cellStyle name="Normal 14 6" xfId="1240"/>
    <cellStyle name="Normal 14 7" xfId="1241"/>
    <cellStyle name="Normal 14 8" xfId="1242"/>
    <cellStyle name="Normal 14 9" xfId="1243"/>
    <cellStyle name="Normal 15" xfId="59"/>
    <cellStyle name="Normal 15 10" xfId="1244"/>
    <cellStyle name="Normal 15 11" xfId="1245"/>
    <cellStyle name="Normal 15 12" xfId="1246"/>
    <cellStyle name="Normal 15 13" xfId="1247"/>
    <cellStyle name="Normal 15 14" xfId="1248"/>
    <cellStyle name="Normal 15 15" xfId="1249"/>
    <cellStyle name="Normal 15 16" xfId="1250"/>
    <cellStyle name="Normal 15 17" xfId="1251"/>
    <cellStyle name="Normal 15 18" xfId="1252"/>
    <cellStyle name="Normal 15 19" xfId="1253"/>
    <cellStyle name="Normal 15 2" xfId="1254"/>
    <cellStyle name="Normal 15 20" xfId="1255"/>
    <cellStyle name="Normal 15 3" xfId="1256"/>
    <cellStyle name="Normal 15 4" xfId="1257"/>
    <cellStyle name="Normal 15 5" xfId="1258"/>
    <cellStyle name="Normal 15 6" xfId="1259"/>
    <cellStyle name="Normal 15 7" xfId="1260"/>
    <cellStyle name="Normal 15 8" xfId="1261"/>
    <cellStyle name="Normal 15 9" xfId="1262"/>
    <cellStyle name="Normal 16" xfId="1263"/>
    <cellStyle name="Normal 16 10" xfId="1264"/>
    <cellStyle name="Normal 16 11" xfId="1265"/>
    <cellStyle name="Normal 16 12" xfId="1266"/>
    <cellStyle name="Normal 16 13" xfId="1267"/>
    <cellStyle name="Normal 16 14" xfId="1268"/>
    <cellStyle name="Normal 16 15" xfId="1269"/>
    <cellStyle name="Normal 16 16" xfId="1270"/>
    <cellStyle name="Normal 16 17" xfId="1271"/>
    <cellStyle name="Normal 16 18" xfId="1272"/>
    <cellStyle name="Normal 16 19" xfId="1273"/>
    <cellStyle name="Normal 16 2" xfId="1274"/>
    <cellStyle name="Normal 16 20" xfId="1275"/>
    <cellStyle name="Normal 16 21" xfId="1276"/>
    <cellStyle name="Normal 16 22" xfId="1277"/>
    <cellStyle name="Normal 16 23" xfId="1278"/>
    <cellStyle name="Normal 16 24" xfId="1279"/>
    <cellStyle name="Normal 16 25" xfId="1280"/>
    <cellStyle name="Normal 16 26" xfId="1281"/>
    <cellStyle name="Normal 16 27" xfId="1282"/>
    <cellStyle name="Normal 16 28" xfId="1283"/>
    <cellStyle name="Normal 16 29" xfId="1284"/>
    <cellStyle name="Normal 16 3" xfId="1285"/>
    <cellStyle name="Normal 16 30" xfId="1286"/>
    <cellStyle name="Normal 16 31" xfId="10813"/>
    <cellStyle name="Normal 16 4" xfId="1287"/>
    <cellStyle name="Normal 16 5" xfId="1288"/>
    <cellStyle name="Normal 16 6" xfId="1289"/>
    <cellStyle name="Normal 16 7" xfId="1290"/>
    <cellStyle name="Normal 16 8" xfId="1291"/>
    <cellStyle name="Normal 16 9" xfId="1292"/>
    <cellStyle name="Normal 17" xfId="10676"/>
    <cellStyle name="Normal 17 10" xfId="10685"/>
    <cellStyle name="Normal 17 10 2" xfId="11729"/>
    <cellStyle name="Normal 17 100" xfId="10870"/>
    <cellStyle name="Normal 17 100 2" xfId="11730"/>
    <cellStyle name="Normal 17 101" xfId="10936"/>
    <cellStyle name="Normal 17 101 2" xfId="11731"/>
    <cellStyle name="Normal 17 102" xfId="10844"/>
    <cellStyle name="Normal 17 102 2" xfId="11732"/>
    <cellStyle name="Normal 17 103" xfId="10929"/>
    <cellStyle name="Normal 17 103 2" xfId="11733"/>
    <cellStyle name="Normal 17 104" xfId="10900"/>
    <cellStyle name="Normal 17 104 2" xfId="11734"/>
    <cellStyle name="Normal 17 105" xfId="10937"/>
    <cellStyle name="Normal 17 105 2" xfId="11735"/>
    <cellStyle name="Normal 17 106" xfId="10866"/>
    <cellStyle name="Normal 17 106 2" xfId="11736"/>
    <cellStyle name="Normal 17 107" xfId="10873"/>
    <cellStyle name="Normal 17 107 2" xfId="11737"/>
    <cellStyle name="Normal 17 108" xfId="10938"/>
    <cellStyle name="Normal 17 108 2" xfId="11738"/>
    <cellStyle name="Normal 17 109" xfId="10916"/>
    <cellStyle name="Normal 17 109 2" xfId="11739"/>
    <cellStyle name="Normal 17 11" xfId="10686"/>
    <cellStyle name="Normal 17 11 2" xfId="11740"/>
    <cellStyle name="Normal 17 110" xfId="10855"/>
    <cellStyle name="Normal 17 110 2" xfId="11741"/>
    <cellStyle name="Normal 17 111" xfId="10910"/>
    <cellStyle name="Normal 17 111 2" xfId="11742"/>
    <cellStyle name="Normal 17 112" xfId="10859"/>
    <cellStyle name="Normal 17 112 2" xfId="11743"/>
    <cellStyle name="Normal 17 113" xfId="10879"/>
    <cellStyle name="Normal 17 113 2" xfId="11744"/>
    <cellStyle name="Normal 17 114" xfId="10889"/>
    <cellStyle name="Normal 17 114 2" xfId="11745"/>
    <cellStyle name="Normal 17 115" xfId="10882"/>
    <cellStyle name="Normal 17 115 2" xfId="11746"/>
    <cellStyle name="Normal 17 116" xfId="10922"/>
    <cellStyle name="Normal 17 116 2" xfId="11747"/>
    <cellStyle name="Normal 17 117" xfId="10988"/>
    <cellStyle name="Normal 17 117 2" xfId="11748"/>
    <cellStyle name="Normal 17 118" xfId="10939"/>
    <cellStyle name="Normal 17 118 2" xfId="11749"/>
    <cellStyle name="Normal 17 119" xfId="10987"/>
    <cellStyle name="Normal 17 119 2" xfId="11750"/>
    <cellStyle name="Normal 17 12" xfId="10687"/>
    <cellStyle name="Normal 17 12 2" xfId="11751"/>
    <cellStyle name="Normal 17 120" xfId="10943"/>
    <cellStyle name="Normal 17 120 2" xfId="11752"/>
    <cellStyle name="Normal 17 121" xfId="10983"/>
    <cellStyle name="Normal 17 121 2" xfId="11753"/>
    <cellStyle name="Normal 17 122" xfId="10946"/>
    <cellStyle name="Normal 17 122 2" xfId="11754"/>
    <cellStyle name="Normal 17 123" xfId="10979"/>
    <cellStyle name="Normal 17 123 2" xfId="11755"/>
    <cellStyle name="Normal 17 124" xfId="10989"/>
    <cellStyle name="Normal 17 124 2" xfId="11756"/>
    <cellStyle name="Normal 17 125" xfId="10942"/>
    <cellStyle name="Normal 17 125 2" xfId="11757"/>
    <cellStyle name="Normal 17 126" xfId="10984"/>
    <cellStyle name="Normal 17 126 2" xfId="11758"/>
    <cellStyle name="Normal 17 127" xfId="10950"/>
    <cellStyle name="Normal 17 127 2" xfId="11759"/>
    <cellStyle name="Normal 17 128" xfId="10980"/>
    <cellStyle name="Normal 17 128 2" xfId="11760"/>
    <cellStyle name="Normal 17 129" xfId="10949"/>
    <cellStyle name="Normal 17 129 2" xfId="11761"/>
    <cellStyle name="Normal 17 13" xfId="10688"/>
    <cellStyle name="Normal 17 13 2" xfId="11762"/>
    <cellStyle name="Normal 17 130" xfId="10992"/>
    <cellStyle name="Normal 17 130 2" xfId="11763"/>
    <cellStyle name="Normal 17 131" xfId="10957"/>
    <cellStyle name="Normal 17 131 2" xfId="11764"/>
    <cellStyle name="Normal 17 132" xfId="10970"/>
    <cellStyle name="Normal 17 132 2" xfId="11765"/>
    <cellStyle name="Normal 17 133" xfId="10960"/>
    <cellStyle name="Normal 17 133 2" xfId="11766"/>
    <cellStyle name="Normal 17 134" xfId="10967"/>
    <cellStyle name="Normal 17 134 2" xfId="11767"/>
    <cellStyle name="Normal 17 135" xfId="11049"/>
    <cellStyle name="Normal 17 135 2" xfId="11768"/>
    <cellStyle name="Normal 17 136" xfId="11055"/>
    <cellStyle name="Normal 17 136 2" xfId="11769"/>
    <cellStyle name="Normal 17 137" xfId="10996"/>
    <cellStyle name="Normal 17 137 2" xfId="11770"/>
    <cellStyle name="Normal 17 138" xfId="11045"/>
    <cellStyle name="Normal 17 138 2" xfId="11771"/>
    <cellStyle name="Normal 17 139" xfId="11001"/>
    <cellStyle name="Normal 17 139 2" xfId="11772"/>
    <cellStyle name="Normal 17 14" xfId="10689"/>
    <cellStyle name="Normal 17 14 2" xfId="11773"/>
    <cellStyle name="Normal 17 140" xfId="11038"/>
    <cellStyle name="Normal 17 140 2" xfId="11774"/>
    <cellStyle name="Normal 17 141" xfId="11008"/>
    <cellStyle name="Normal 17 141 2" xfId="11775"/>
    <cellStyle name="Normal 17 142" xfId="11033"/>
    <cellStyle name="Normal 17 142 2" xfId="11776"/>
    <cellStyle name="Normal 17 143" xfId="11014"/>
    <cellStyle name="Normal 17 143 2" xfId="11777"/>
    <cellStyle name="Normal 17 144" xfId="11030"/>
    <cellStyle name="Normal 17 144 2" xfId="11778"/>
    <cellStyle name="Normal 17 145" xfId="11039"/>
    <cellStyle name="Normal 17 145 2" xfId="11779"/>
    <cellStyle name="Normal 17 146" xfId="11009"/>
    <cellStyle name="Normal 17 146 2" xfId="11780"/>
    <cellStyle name="Normal 17 147" xfId="11010"/>
    <cellStyle name="Normal 17 147 2" xfId="11781"/>
    <cellStyle name="Normal 17 148" xfId="10994"/>
    <cellStyle name="Normal 17 148 2" xfId="11782"/>
    <cellStyle name="Normal 17 149" xfId="11004"/>
    <cellStyle name="Normal 17 149 2" xfId="11783"/>
    <cellStyle name="Normal 17 15" xfId="10690"/>
    <cellStyle name="Normal 17 15 2" xfId="11784"/>
    <cellStyle name="Normal 17 150" xfId="11026"/>
    <cellStyle name="Normal 17 150 2" xfId="11785"/>
    <cellStyle name="Normal 17 151" xfId="11020"/>
    <cellStyle name="Normal 17 151 2" xfId="11786"/>
    <cellStyle name="Normal 17 152" xfId="11051"/>
    <cellStyle name="Normal 17 152 2" xfId="11787"/>
    <cellStyle name="Normal 17 153" xfId="11021"/>
    <cellStyle name="Normal 17 153 2" xfId="11788"/>
    <cellStyle name="Normal 17 154" xfId="11025"/>
    <cellStyle name="Normal 17 154 2" xfId="11789"/>
    <cellStyle name="Normal 17 155" xfId="11022"/>
    <cellStyle name="Normal 17 155 2" xfId="11790"/>
    <cellStyle name="Normal 17 156" xfId="11011"/>
    <cellStyle name="Normal 17 156 2" xfId="11791"/>
    <cellStyle name="Normal 17 157" xfId="11023"/>
    <cellStyle name="Normal 17 157 2" xfId="11792"/>
    <cellStyle name="Normal 17 158" xfId="11080"/>
    <cellStyle name="Normal 17 158 2" xfId="11793"/>
    <cellStyle name="Normal 17 159" xfId="11085"/>
    <cellStyle name="Normal 17 159 2" xfId="11794"/>
    <cellStyle name="Normal 17 16" xfId="10691"/>
    <cellStyle name="Normal 17 16 2" xfId="11795"/>
    <cellStyle name="Normal 17 160" xfId="11063"/>
    <cellStyle name="Normal 17 160 2" xfId="11796"/>
    <cellStyle name="Normal 17 161" xfId="11078"/>
    <cellStyle name="Normal 17 161 2" xfId="11797"/>
    <cellStyle name="Normal 17 162" xfId="11067"/>
    <cellStyle name="Normal 17 162 2" xfId="11798"/>
    <cellStyle name="Normal 17 163" xfId="11075"/>
    <cellStyle name="Normal 17 163 2" xfId="11799"/>
    <cellStyle name="Normal 17 164" xfId="11070"/>
    <cellStyle name="Normal 17 164 2" xfId="11800"/>
    <cellStyle name="Normal 17 165" xfId="11072"/>
    <cellStyle name="Normal 17 165 2" xfId="11801"/>
    <cellStyle name="Normal 17 166" xfId="11106"/>
    <cellStyle name="Normal 17 166 2" xfId="11802"/>
    <cellStyle name="Normal 17 167" xfId="11112"/>
    <cellStyle name="Normal 17 167 2" xfId="11803"/>
    <cellStyle name="Normal 17 168" xfId="11086"/>
    <cellStyle name="Normal 17 168 2" xfId="11804"/>
    <cellStyle name="Normal 17 169" xfId="11105"/>
    <cellStyle name="Normal 17 169 2" xfId="11805"/>
    <cellStyle name="Normal 17 17" xfId="10692"/>
    <cellStyle name="Normal 17 17 2" xfId="11806"/>
    <cellStyle name="Normal 17 170" xfId="11091"/>
    <cellStyle name="Normal 17 170 2" xfId="11807"/>
    <cellStyle name="Normal 17 171" xfId="11101"/>
    <cellStyle name="Normal 17 171 2" xfId="11808"/>
    <cellStyle name="Normal 17 172" xfId="11094"/>
    <cellStyle name="Normal 17 172 2" xfId="11809"/>
    <cellStyle name="Normal 17 173" xfId="11097"/>
    <cellStyle name="Normal 17 173 2" xfId="11810"/>
    <cellStyle name="Normal 17 174" xfId="11096"/>
    <cellStyle name="Normal 17 174 2" xfId="11811"/>
    <cellStyle name="Normal 17 175" xfId="11114"/>
    <cellStyle name="Normal 17 175 2" xfId="11812"/>
    <cellStyle name="Normal 17 176" xfId="11113"/>
    <cellStyle name="Normal 17 176 2" xfId="11813"/>
    <cellStyle name="Normal 17 177" xfId="11119"/>
    <cellStyle name="Normal 17 177 2" xfId="11814"/>
    <cellStyle name="Normal 17 178" xfId="11115"/>
    <cellStyle name="Normal 17 178 2" xfId="11815"/>
    <cellStyle name="Normal 17 179" xfId="11118"/>
    <cellStyle name="Normal 17 179 2" xfId="11816"/>
    <cellStyle name="Normal 17 18" xfId="10693"/>
    <cellStyle name="Normal 17 18 2" xfId="11817"/>
    <cellStyle name="Normal 17 180" xfId="11116"/>
    <cellStyle name="Normal 17 180 2" xfId="11818"/>
    <cellStyle name="Normal 17 181" xfId="11117"/>
    <cellStyle name="Normal 17 181 2" xfId="11819"/>
    <cellStyle name="Normal 17 182" xfId="11282"/>
    <cellStyle name="Normal 17 182 2" xfId="11820"/>
    <cellStyle name="Normal 17 183" xfId="11301"/>
    <cellStyle name="Normal 17 183 2" xfId="11821"/>
    <cellStyle name="Normal 17 184" xfId="11127"/>
    <cellStyle name="Normal 17 184 2" xfId="11822"/>
    <cellStyle name="Normal 17 185" xfId="11132"/>
    <cellStyle name="Normal 17 185 2" xfId="11823"/>
    <cellStyle name="Normal 17 186" xfId="11136"/>
    <cellStyle name="Normal 17 186 2" xfId="11824"/>
    <cellStyle name="Normal 17 187" xfId="11281"/>
    <cellStyle name="Normal 17 187 2" xfId="11825"/>
    <cellStyle name="Normal 17 188" xfId="11152"/>
    <cellStyle name="Normal 17 188 2" xfId="11826"/>
    <cellStyle name="Normal 17 189" xfId="11158"/>
    <cellStyle name="Normal 17 189 2" xfId="11827"/>
    <cellStyle name="Normal 17 19" xfId="10694"/>
    <cellStyle name="Normal 17 19 2" xfId="11828"/>
    <cellStyle name="Normal 17 190" xfId="11255"/>
    <cellStyle name="Normal 17 190 2" xfId="11829"/>
    <cellStyle name="Normal 17 191" xfId="11162"/>
    <cellStyle name="Normal 17 191 2" xfId="11830"/>
    <cellStyle name="Normal 17 192" xfId="11243"/>
    <cellStyle name="Normal 17 192 2" xfId="11831"/>
    <cellStyle name="Normal 17 193" xfId="11246"/>
    <cellStyle name="Normal 17 193 2" xfId="11832"/>
    <cellStyle name="Normal 17 194" xfId="11239"/>
    <cellStyle name="Normal 17 194 2" xfId="11833"/>
    <cellStyle name="Normal 17 195" xfId="11175"/>
    <cellStyle name="Normal 17 195 2" xfId="11834"/>
    <cellStyle name="Normal 17 196" xfId="11236"/>
    <cellStyle name="Normal 17 196 2" xfId="11835"/>
    <cellStyle name="Normal 17 197" xfId="11180"/>
    <cellStyle name="Normal 17 197 2" xfId="11836"/>
    <cellStyle name="Normal 17 198" xfId="11230"/>
    <cellStyle name="Normal 17 198 2" xfId="11837"/>
    <cellStyle name="Normal 17 199" xfId="11293"/>
    <cellStyle name="Normal 17 199 2" xfId="11838"/>
    <cellStyle name="Normal 17 2" xfId="10677"/>
    <cellStyle name="Normal 17 2 2" xfId="11839"/>
    <cellStyle name="Normal 17 20" xfId="10695"/>
    <cellStyle name="Normal 17 20 2" xfId="11840"/>
    <cellStyle name="Normal 17 200" xfId="11228"/>
    <cellStyle name="Normal 17 200 2" xfId="11841"/>
    <cellStyle name="Normal 17 201" xfId="11274"/>
    <cellStyle name="Normal 17 201 2" xfId="11842"/>
    <cellStyle name="Normal 17 202" xfId="11161"/>
    <cellStyle name="Normal 17 202 2" xfId="11843"/>
    <cellStyle name="Normal 17 203" xfId="11249"/>
    <cellStyle name="Normal 17 203 2" xfId="11844"/>
    <cellStyle name="Normal 17 204" xfId="11168"/>
    <cellStyle name="Normal 17 204 2" xfId="11845"/>
    <cellStyle name="Normal 17 205" xfId="11177"/>
    <cellStyle name="Normal 17 205 2" xfId="11846"/>
    <cellStyle name="Normal 17 206" xfId="11232"/>
    <cellStyle name="Normal 17 206 2" xfId="11847"/>
    <cellStyle name="Normal 17 207" xfId="11159"/>
    <cellStyle name="Normal 17 207 2" xfId="11848"/>
    <cellStyle name="Normal 17 208" xfId="11234"/>
    <cellStyle name="Normal 17 208 2" xfId="11849"/>
    <cellStyle name="Normal 17 209" xfId="11265"/>
    <cellStyle name="Normal 17 209 2" xfId="11850"/>
    <cellStyle name="Normal 17 21" xfId="10696"/>
    <cellStyle name="Normal 17 21 2" xfId="11851"/>
    <cellStyle name="Normal 17 210" xfId="11193"/>
    <cellStyle name="Normal 17 210 2" xfId="11852"/>
    <cellStyle name="Normal 17 211" xfId="11217"/>
    <cellStyle name="Normal 17 211 2" xfId="11853"/>
    <cellStyle name="Normal 17 212" xfId="11235"/>
    <cellStyle name="Normal 17 212 2" xfId="11854"/>
    <cellStyle name="Normal 17 213" xfId="11216"/>
    <cellStyle name="Normal 17 213 2" xfId="11855"/>
    <cellStyle name="Normal 17 214" xfId="11123"/>
    <cellStyle name="Normal 17 214 2" xfId="11856"/>
    <cellStyle name="Normal 17 215" xfId="11187"/>
    <cellStyle name="Normal 17 215 2" xfId="11857"/>
    <cellStyle name="Normal 17 216" xfId="11278"/>
    <cellStyle name="Normal 17 216 2" xfId="11858"/>
    <cellStyle name="Normal 17 217" xfId="11195"/>
    <cellStyle name="Normal 17 217 2" xfId="11859"/>
    <cellStyle name="Normal 17 218" xfId="11201"/>
    <cellStyle name="Normal 17 218 2" xfId="11860"/>
    <cellStyle name="Normal 17 219" xfId="11183"/>
    <cellStyle name="Normal 17 219 2" xfId="11861"/>
    <cellStyle name="Normal 17 22" xfId="10697"/>
    <cellStyle name="Normal 17 22 2" xfId="11862"/>
    <cellStyle name="Normal 17 220" xfId="11225"/>
    <cellStyle name="Normal 17 220 2" xfId="11863"/>
    <cellStyle name="Normal 17 221" xfId="11211"/>
    <cellStyle name="Normal 17 221 2" xfId="11864"/>
    <cellStyle name="Normal 17 222" xfId="11226"/>
    <cellStyle name="Normal 17 222 2" xfId="11865"/>
    <cellStyle name="Normal 17 223" xfId="11247"/>
    <cellStyle name="Normal 17 223 2" xfId="11866"/>
    <cellStyle name="Normal 17 224" xfId="11122"/>
    <cellStyle name="Normal 17 224 2" xfId="11867"/>
    <cellStyle name="Normal 17 225" xfId="11190"/>
    <cellStyle name="Normal 17 225 2" xfId="11868"/>
    <cellStyle name="Normal 17 226" xfId="11213"/>
    <cellStyle name="Normal 17 226 2" xfId="11869"/>
    <cellStyle name="Normal 17 227" xfId="11244"/>
    <cellStyle name="Normal 17 227 2" xfId="11870"/>
    <cellStyle name="Normal 17 228" xfId="11205"/>
    <cellStyle name="Normal 17 228 2" xfId="11871"/>
    <cellStyle name="Normal 17 229" xfId="11173"/>
    <cellStyle name="Normal 17 229 2" xfId="11872"/>
    <cellStyle name="Normal 17 23" xfId="10698"/>
    <cellStyle name="Normal 17 23 2" xfId="11873"/>
    <cellStyle name="Normal 17 230" xfId="11220"/>
    <cellStyle name="Normal 17 230 2" xfId="11874"/>
    <cellStyle name="Normal 17 231" xfId="11227"/>
    <cellStyle name="Normal 17 231 2" xfId="11875"/>
    <cellStyle name="Normal 17 232" xfId="11218"/>
    <cellStyle name="Normal 17 232 2" xfId="11876"/>
    <cellStyle name="Normal 17 233" xfId="11284"/>
    <cellStyle name="Normal 17 233 2" xfId="11877"/>
    <cellStyle name="Normal 17 234" xfId="11153"/>
    <cellStyle name="Normal 17 234 2" xfId="11878"/>
    <cellStyle name="Normal 17 235" xfId="11283"/>
    <cellStyle name="Normal 17 235 2" xfId="11879"/>
    <cellStyle name="Normal 17 236" xfId="11141"/>
    <cellStyle name="Normal 17 236 2" xfId="11880"/>
    <cellStyle name="Normal 17 237" xfId="11229"/>
    <cellStyle name="Normal 17 237 2" xfId="11881"/>
    <cellStyle name="Normal 17 238" xfId="11257"/>
    <cellStyle name="Normal 17 238 2" xfId="11882"/>
    <cellStyle name="Normal 17 239" xfId="11124"/>
    <cellStyle name="Normal 17 239 2" xfId="11883"/>
    <cellStyle name="Normal 17 24" xfId="10699"/>
    <cellStyle name="Normal 17 24 2" xfId="11884"/>
    <cellStyle name="Normal 17 240" xfId="11207"/>
    <cellStyle name="Normal 17 240 2" xfId="11885"/>
    <cellStyle name="Normal 17 241" xfId="11182"/>
    <cellStyle name="Normal 17 241 2" xfId="11886"/>
    <cellStyle name="Normal 17 242" xfId="11241"/>
    <cellStyle name="Normal 17 242 2" xfId="11887"/>
    <cellStyle name="Normal 17 243" xfId="11129"/>
    <cellStyle name="Normal 17 243 2" xfId="11888"/>
    <cellStyle name="Normal 17 244" xfId="11140"/>
    <cellStyle name="Normal 17 244 2" xfId="11889"/>
    <cellStyle name="Normal 17 245" xfId="11222"/>
    <cellStyle name="Normal 17 245 2" xfId="11890"/>
    <cellStyle name="Normal 17 246" xfId="11308"/>
    <cellStyle name="Normal 17 246 2" xfId="11891"/>
    <cellStyle name="Normal 17 247" xfId="11315"/>
    <cellStyle name="Normal 17 247 2" xfId="11892"/>
    <cellStyle name="Normal 17 248" xfId="11311"/>
    <cellStyle name="Normal 17 248 2" xfId="11893"/>
    <cellStyle name="Normal 17 249" xfId="11314"/>
    <cellStyle name="Normal 17 249 2" xfId="11894"/>
    <cellStyle name="Normal 17 25" xfId="10700"/>
    <cellStyle name="Normal 17 25 2" xfId="11895"/>
    <cellStyle name="Normal 17 250" xfId="11312"/>
    <cellStyle name="Normal 17 250 2" xfId="11896"/>
    <cellStyle name="Normal 17 251" xfId="11313"/>
    <cellStyle name="Normal 17 251 2" xfId="11897"/>
    <cellStyle name="Normal 17 252" xfId="11316"/>
    <cellStyle name="Normal 17 252 2" xfId="11898"/>
    <cellStyle name="Normal 17 253" xfId="11324"/>
    <cellStyle name="Normal 17 253 2" xfId="11899"/>
    <cellStyle name="Normal 17 254" xfId="11321"/>
    <cellStyle name="Normal 17 254 2" xfId="11900"/>
    <cellStyle name="Normal 17 255" xfId="11322"/>
    <cellStyle name="Normal 17 255 2" xfId="11901"/>
    <cellStyle name="Normal 17 256" xfId="11728"/>
    <cellStyle name="Normal 17 26" xfId="10701"/>
    <cellStyle name="Normal 17 26 2" xfId="11902"/>
    <cellStyle name="Normal 17 27" xfId="10702"/>
    <cellStyle name="Normal 17 27 2" xfId="11903"/>
    <cellStyle name="Normal 17 28" xfId="10703"/>
    <cellStyle name="Normal 17 28 2" xfId="11904"/>
    <cellStyle name="Normal 17 29" xfId="10704"/>
    <cellStyle name="Normal 17 29 2" xfId="11905"/>
    <cellStyle name="Normal 17 3" xfId="10678"/>
    <cellStyle name="Normal 17 3 2" xfId="11906"/>
    <cellStyle name="Normal 17 30" xfId="10705"/>
    <cellStyle name="Normal 17 30 2" xfId="11907"/>
    <cellStyle name="Normal 17 31" xfId="10707"/>
    <cellStyle name="Normal 17 31 2" xfId="11908"/>
    <cellStyle name="Normal 17 32" xfId="10706"/>
    <cellStyle name="Normal 17 32 2" xfId="11909"/>
    <cellStyle name="Normal 17 33" xfId="10711"/>
    <cellStyle name="Normal 17 33 10" xfId="10834"/>
    <cellStyle name="Normal 17 33 11" xfId="11335"/>
    <cellStyle name="Normal 17 33 11 2" xfId="11911"/>
    <cellStyle name="Normal 17 33 12" xfId="11910"/>
    <cellStyle name="Normal 17 33 2" xfId="10809"/>
    <cellStyle name="Normal 17 33 3" xfId="10833"/>
    <cellStyle name="Normal 17 33 4" xfId="10828"/>
    <cellStyle name="Normal 17 33 5" xfId="10832"/>
    <cellStyle name="Normal 17 33 6" xfId="10829"/>
    <cellStyle name="Normal 17 33 7" xfId="10831"/>
    <cellStyle name="Normal 17 33 8" xfId="10830"/>
    <cellStyle name="Normal 17 33 9" xfId="10835"/>
    <cellStyle name="Normal 17 34" xfId="10708"/>
    <cellStyle name="Normal 17 34 2" xfId="11912"/>
    <cellStyle name="Normal 17 35" xfId="10710"/>
    <cellStyle name="Normal 17 35 2" xfId="11913"/>
    <cellStyle name="Normal 17 36" xfId="10709"/>
    <cellStyle name="Normal 17 36 2" xfId="11914"/>
    <cellStyle name="Normal 17 37" xfId="10712"/>
    <cellStyle name="Normal 17 37 2" xfId="11915"/>
    <cellStyle name="Normal 17 38" xfId="10718"/>
    <cellStyle name="Normal 17 38 2" xfId="11916"/>
    <cellStyle name="Normal 17 39" xfId="10713"/>
    <cellStyle name="Normal 17 39 2" xfId="11917"/>
    <cellStyle name="Normal 17 4" xfId="10679"/>
    <cellStyle name="Normal 17 4 2" xfId="11918"/>
    <cellStyle name="Normal 17 40" xfId="10717"/>
    <cellStyle name="Normal 17 40 2" xfId="11919"/>
    <cellStyle name="Normal 17 41" xfId="10714"/>
    <cellStyle name="Normal 17 41 2" xfId="11920"/>
    <cellStyle name="Normal 17 42" xfId="10716"/>
    <cellStyle name="Normal 17 42 2" xfId="11921"/>
    <cellStyle name="Normal 17 43" xfId="10715"/>
    <cellStyle name="Normal 17 43 2" xfId="11922"/>
    <cellStyle name="Normal 17 44" xfId="10733"/>
    <cellStyle name="Normal 17 44 2" xfId="11923"/>
    <cellStyle name="Normal 17 45" xfId="10736"/>
    <cellStyle name="Normal 17 45 2" xfId="11924"/>
    <cellStyle name="Normal 17 46" xfId="10734"/>
    <cellStyle name="Normal 17 46 2" xfId="11925"/>
    <cellStyle name="Normal 17 47" xfId="10735"/>
    <cellStyle name="Normal 17 47 2" xfId="11926"/>
    <cellStyle name="Normal 17 48" xfId="10768"/>
    <cellStyle name="Normal 17 48 2" xfId="11927"/>
    <cellStyle name="Normal 17 49" xfId="10782"/>
    <cellStyle name="Normal 17 49 2" xfId="11928"/>
    <cellStyle name="Normal 17 5" xfId="10680"/>
    <cellStyle name="Normal 17 5 2" xfId="11929"/>
    <cellStyle name="Normal 17 50" xfId="10769"/>
    <cellStyle name="Normal 17 50 2" xfId="11930"/>
    <cellStyle name="Normal 17 51" xfId="10765"/>
    <cellStyle name="Normal 17 51 2" xfId="11931"/>
    <cellStyle name="Normal 17 52" xfId="10785"/>
    <cellStyle name="Normal 17 52 2" xfId="11932"/>
    <cellStyle name="Normal 17 53" xfId="10766"/>
    <cellStyle name="Normal 17 53 2" xfId="11933"/>
    <cellStyle name="Normal 17 54" xfId="10784"/>
    <cellStyle name="Normal 17 54 2" xfId="11934"/>
    <cellStyle name="Normal 17 55" xfId="10767"/>
    <cellStyle name="Normal 17 55 2" xfId="11935"/>
    <cellStyle name="Normal 17 56" xfId="10783"/>
    <cellStyle name="Normal 17 56 2" xfId="11936"/>
    <cellStyle name="Normal 17 57" xfId="10770"/>
    <cellStyle name="Normal 17 57 2" xfId="11937"/>
    <cellStyle name="Normal 17 58" xfId="10781"/>
    <cellStyle name="Normal 17 58 2" xfId="11938"/>
    <cellStyle name="Normal 17 59" xfId="10771"/>
    <cellStyle name="Normal 17 59 2" xfId="11939"/>
    <cellStyle name="Normal 17 6" xfId="10681"/>
    <cellStyle name="Normal 17 6 2" xfId="11940"/>
    <cellStyle name="Normal 17 60" xfId="10780"/>
    <cellStyle name="Normal 17 60 2" xfId="11941"/>
    <cellStyle name="Normal 17 61" xfId="10772"/>
    <cellStyle name="Normal 17 61 2" xfId="11942"/>
    <cellStyle name="Normal 17 62" xfId="10779"/>
    <cellStyle name="Normal 17 62 2" xfId="11943"/>
    <cellStyle name="Normal 17 63" xfId="10773"/>
    <cellStyle name="Normal 17 63 2" xfId="11944"/>
    <cellStyle name="Normal 17 64" xfId="10778"/>
    <cellStyle name="Normal 17 64 2" xfId="11945"/>
    <cellStyle name="Normal 17 65" xfId="10774"/>
    <cellStyle name="Normal 17 65 2" xfId="11946"/>
    <cellStyle name="Normal 17 66" xfId="10777"/>
    <cellStyle name="Normal 17 66 2" xfId="11947"/>
    <cellStyle name="Normal 17 67" xfId="10775"/>
    <cellStyle name="Normal 17 67 2" xfId="11948"/>
    <cellStyle name="Normal 17 68" xfId="10776"/>
    <cellStyle name="Normal 17 68 2" xfId="11949"/>
    <cellStyle name="Normal 17 69" xfId="10793"/>
    <cellStyle name="Normal 17 69 2" xfId="11950"/>
    <cellStyle name="Normal 17 7" xfId="10682"/>
    <cellStyle name="Normal 17 7 2" xfId="11951"/>
    <cellStyle name="Normal 17 70" xfId="10797"/>
    <cellStyle name="Normal 17 70 2" xfId="11952"/>
    <cellStyle name="Normal 17 71" xfId="10804"/>
    <cellStyle name="Normal 17 71 2" xfId="11953"/>
    <cellStyle name="Normal 17 72" xfId="10798"/>
    <cellStyle name="Normal 17 72 2" xfId="11954"/>
    <cellStyle name="Normal 17 73" xfId="10802"/>
    <cellStyle name="Normal 17 73 2" xfId="11955"/>
    <cellStyle name="Normal 17 74" xfId="10800"/>
    <cellStyle name="Normal 17 74 2" xfId="11956"/>
    <cellStyle name="Normal 17 75" xfId="10801"/>
    <cellStyle name="Normal 17 75 2" xfId="11957"/>
    <cellStyle name="Normal 17 76" xfId="10806"/>
    <cellStyle name="Normal 17 76 2" xfId="11958"/>
    <cellStyle name="Normal 17 77" xfId="10795"/>
    <cellStyle name="Normal 17 77 2" xfId="11959"/>
    <cellStyle name="Normal 17 78" xfId="10805"/>
    <cellStyle name="Normal 17 78 2" xfId="11960"/>
    <cellStyle name="Normal 17 79" xfId="10796"/>
    <cellStyle name="Normal 17 79 2" xfId="11961"/>
    <cellStyle name="Normal 17 8" xfId="10683"/>
    <cellStyle name="Normal 17 8 2" xfId="11962"/>
    <cellStyle name="Normal 17 80" xfId="10803"/>
    <cellStyle name="Normal 17 80 2" xfId="11963"/>
    <cellStyle name="Normal 17 81" xfId="10799"/>
    <cellStyle name="Normal 17 81 2" xfId="11964"/>
    <cellStyle name="Normal 17 82" xfId="10807"/>
    <cellStyle name="Normal 17 82 2" xfId="11965"/>
    <cellStyle name="Normal 17 83" xfId="10808"/>
    <cellStyle name="Normal 17 83 2" xfId="11966"/>
    <cellStyle name="Normal 17 84" xfId="10794"/>
    <cellStyle name="Normal 17 84 2" xfId="11967"/>
    <cellStyle name="Normal 17 85" xfId="10932"/>
    <cellStyle name="Normal 17 85 2" xfId="11968"/>
    <cellStyle name="Normal 17 86" xfId="10847"/>
    <cellStyle name="Normal 17 86 2" xfId="11969"/>
    <cellStyle name="Normal 17 87" xfId="10926"/>
    <cellStyle name="Normal 17 87 2" xfId="11970"/>
    <cellStyle name="Normal 17 88" xfId="10852"/>
    <cellStyle name="Normal 17 88 2" xfId="11971"/>
    <cellStyle name="Normal 17 89" xfId="10921"/>
    <cellStyle name="Normal 17 89 2" xfId="11972"/>
    <cellStyle name="Normal 17 9" xfId="10684"/>
    <cellStyle name="Normal 17 9 2" xfId="11973"/>
    <cellStyle name="Normal 17 90" xfId="10856"/>
    <cellStyle name="Normal 17 90 2" xfId="11974"/>
    <cellStyle name="Normal 17 91" xfId="10917"/>
    <cellStyle name="Normal 17 91 2" xfId="11975"/>
    <cellStyle name="Normal 17 92" xfId="10860"/>
    <cellStyle name="Normal 17 92 2" xfId="11976"/>
    <cellStyle name="Normal 17 93" xfId="10911"/>
    <cellStyle name="Normal 17 93 2" xfId="11977"/>
    <cellStyle name="Normal 17 94" xfId="10863"/>
    <cellStyle name="Normal 17 94 2" xfId="11978"/>
    <cellStyle name="Normal 17 95" xfId="10907"/>
    <cellStyle name="Normal 17 95 2" xfId="11979"/>
    <cellStyle name="Normal 17 96" xfId="10865"/>
    <cellStyle name="Normal 17 96 2" xfId="11980"/>
    <cellStyle name="Normal 17 97" xfId="10904"/>
    <cellStyle name="Normal 17 97 2" xfId="11981"/>
    <cellStyle name="Normal 17 98" xfId="10868"/>
    <cellStyle name="Normal 17 98 2" xfId="11982"/>
    <cellStyle name="Normal 17 99" xfId="10901"/>
    <cellStyle name="Normal 17 99 2" xfId="11983"/>
    <cellStyle name="Normal 18" xfId="10644"/>
    <cellStyle name="Normal 18 2" xfId="10810"/>
    <cellStyle name="Normal 18 3" xfId="10814"/>
    <cellStyle name="Normal 19" xfId="10646"/>
    <cellStyle name="Normal 19 2" xfId="10811"/>
    <cellStyle name="Normal 19 3" xfId="10815"/>
    <cellStyle name="Normal 2" xfId="44"/>
    <cellStyle name="Normal 2 10" xfId="60"/>
    <cellStyle name="Normal 2 10 10" xfId="1293"/>
    <cellStyle name="Normal 2 10 10 2" xfId="1294"/>
    <cellStyle name="Normal 2 10 10 3" xfId="1295"/>
    <cellStyle name="Normal 2 10 10 4" xfId="1296"/>
    <cellStyle name="Normal 2 10 10 5" xfId="1297"/>
    <cellStyle name="Normal 2 10 11" xfId="1298"/>
    <cellStyle name="Normal 2 10 11 2" xfId="1299"/>
    <cellStyle name="Normal 2 10 11 3" xfId="1300"/>
    <cellStyle name="Normal 2 10 11 4" xfId="1301"/>
    <cellStyle name="Normal 2 10 11 5" xfId="1302"/>
    <cellStyle name="Normal 2 10 12" xfId="1303"/>
    <cellStyle name="Normal 2 10 12 2" xfId="1304"/>
    <cellStyle name="Normal 2 10 12 3" xfId="1305"/>
    <cellStyle name="Normal 2 10 12 4" xfId="1306"/>
    <cellStyle name="Normal 2 10 12 5" xfId="1307"/>
    <cellStyle name="Normal 2 10 13" xfId="1308"/>
    <cellStyle name="Normal 2 10 13 2" xfId="1309"/>
    <cellStyle name="Normal 2 10 13 3" xfId="1310"/>
    <cellStyle name="Normal 2 10 13 4" xfId="1311"/>
    <cellStyle name="Normal 2 10 13 5" xfId="1312"/>
    <cellStyle name="Normal 2 10 14" xfId="1313"/>
    <cellStyle name="Normal 2 10 14 2" xfId="1314"/>
    <cellStyle name="Normal 2 10 14 3" xfId="1315"/>
    <cellStyle name="Normal 2 10 14 4" xfId="1316"/>
    <cellStyle name="Normal 2 10 14 5" xfId="1317"/>
    <cellStyle name="Normal 2 10 15" xfId="1318"/>
    <cellStyle name="Normal 2 10 15 2" xfId="1319"/>
    <cellStyle name="Normal 2 10 15 3" xfId="1320"/>
    <cellStyle name="Normal 2 10 15 4" xfId="1321"/>
    <cellStyle name="Normal 2 10 15 5" xfId="1322"/>
    <cellStyle name="Normal 2 10 16" xfId="1323"/>
    <cellStyle name="Normal 2 10 16 2" xfId="1324"/>
    <cellStyle name="Normal 2 10 16 3" xfId="1325"/>
    <cellStyle name="Normal 2 10 16 4" xfId="1326"/>
    <cellStyle name="Normal 2 10 16 5" xfId="1327"/>
    <cellStyle name="Normal 2 10 17" xfId="1328"/>
    <cellStyle name="Normal 2 10 17 2" xfId="1329"/>
    <cellStyle name="Normal 2 10 17 3" xfId="1330"/>
    <cellStyle name="Normal 2 10 17 4" xfId="1331"/>
    <cellStyle name="Normal 2 10 17 5" xfId="1332"/>
    <cellStyle name="Normal 2 10 18" xfId="1333"/>
    <cellStyle name="Normal 2 10 18 2" xfId="1334"/>
    <cellStyle name="Normal 2 10 18 3" xfId="1335"/>
    <cellStyle name="Normal 2 10 18 4" xfId="1336"/>
    <cellStyle name="Normal 2 10 18 5" xfId="1337"/>
    <cellStyle name="Normal 2 10 19" xfId="1338"/>
    <cellStyle name="Normal 2 10 19 2" xfId="1339"/>
    <cellStyle name="Normal 2 10 19 3" xfId="1340"/>
    <cellStyle name="Normal 2 10 19 4" xfId="1341"/>
    <cellStyle name="Normal 2 10 19 5" xfId="1342"/>
    <cellStyle name="Normal 2 10 2" xfId="1343"/>
    <cellStyle name="Normal 2 10 2 2" xfId="1344"/>
    <cellStyle name="Normal 2 10 2 3" xfId="1345"/>
    <cellStyle name="Normal 2 10 2 4" xfId="1346"/>
    <cellStyle name="Normal 2 10 2 5" xfId="1347"/>
    <cellStyle name="Normal 2 10 20" xfId="1348"/>
    <cellStyle name="Normal 2 10 20 2" xfId="1349"/>
    <cellStyle name="Normal 2 10 20 3" xfId="1350"/>
    <cellStyle name="Normal 2 10 20 4" xfId="1351"/>
    <cellStyle name="Normal 2 10 20 5" xfId="1352"/>
    <cellStyle name="Normal 2 10 21" xfId="1353"/>
    <cellStyle name="Normal 2 10 21 2" xfId="1354"/>
    <cellStyle name="Normal 2 10 21 3" xfId="1355"/>
    <cellStyle name="Normal 2 10 21 4" xfId="1356"/>
    <cellStyle name="Normal 2 10 21 5" xfId="1357"/>
    <cellStyle name="Normal 2 10 22" xfId="1358"/>
    <cellStyle name="Normal 2 10 22 2" xfId="1359"/>
    <cellStyle name="Normal 2 10 22 3" xfId="1360"/>
    <cellStyle name="Normal 2 10 22 4" xfId="1361"/>
    <cellStyle name="Normal 2 10 22 5" xfId="1362"/>
    <cellStyle name="Normal 2 10 23" xfId="1363"/>
    <cellStyle name="Normal 2 10 23 2" xfId="1364"/>
    <cellStyle name="Normal 2 10 23 3" xfId="1365"/>
    <cellStyle name="Normal 2 10 23 4" xfId="1366"/>
    <cellStyle name="Normal 2 10 23 5" xfId="1367"/>
    <cellStyle name="Normal 2 10 24" xfId="1368"/>
    <cellStyle name="Normal 2 10 24 2" xfId="1369"/>
    <cellStyle name="Normal 2 10 24 3" xfId="1370"/>
    <cellStyle name="Normal 2 10 24 4" xfId="1371"/>
    <cellStyle name="Normal 2 10 24 5" xfId="1372"/>
    <cellStyle name="Normal 2 10 25" xfId="1373"/>
    <cellStyle name="Normal 2 10 25 2" xfId="1374"/>
    <cellStyle name="Normal 2 10 25 3" xfId="1375"/>
    <cellStyle name="Normal 2 10 25 4" xfId="1376"/>
    <cellStyle name="Normal 2 10 25 5" xfId="1377"/>
    <cellStyle name="Normal 2 10 26" xfId="1378"/>
    <cellStyle name="Normal 2 10 26 2" xfId="1379"/>
    <cellStyle name="Normal 2 10 26 3" xfId="1380"/>
    <cellStyle name="Normal 2 10 26 4" xfId="1381"/>
    <cellStyle name="Normal 2 10 26 5" xfId="1382"/>
    <cellStyle name="Normal 2 10 27" xfId="1383"/>
    <cellStyle name="Normal 2 10 27 2" xfId="1384"/>
    <cellStyle name="Normal 2 10 27 3" xfId="1385"/>
    <cellStyle name="Normal 2 10 27 4" xfId="1386"/>
    <cellStyle name="Normal 2 10 27 5" xfId="1387"/>
    <cellStyle name="Normal 2 10 28" xfId="1388"/>
    <cellStyle name="Normal 2 10 28 2" xfId="1389"/>
    <cellStyle name="Normal 2 10 28 3" xfId="1390"/>
    <cellStyle name="Normal 2 10 28 4" xfId="1391"/>
    <cellStyle name="Normal 2 10 28 5" xfId="1392"/>
    <cellStyle name="Normal 2 10 29" xfId="1393"/>
    <cellStyle name="Normal 2 10 29 2" xfId="1394"/>
    <cellStyle name="Normal 2 10 29 3" xfId="1395"/>
    <cellStyle name="Normal 2 10 29 4" xfId="1396"/>
    <cellStyle name="Normal 2 10 29 5" xfId="1397"/>
    <cellStyle name="Normal 2 10 3" xfId="1398"/>
    <cellStyle name="Normal 2 10 3 2" xfId="1399"/>
    <cellStyle name="Normal 2 10 3 3" xfId="1400"/>
    <cellStyle name="Normal 2 10 3 4" xfId="1401"/>
    <cellStyle name="Normal 2 10 3 5" xfId="1402"/>
    <cellStyle name="Normal 2 10 30" xfId="1403"/>
    <cellStyle name="Normal 2 10 30 2" xfId="1404"/>
    <cellStyle name="Normal 2 10 30 3" xfId="1405"/>
    <cellStyle name="Normal 2 10 30 4" xfId="1406"/>
    <cellStyle name="Normal 2 10 30 5" xfId="1407"/>
    <cellStyle name="Normal 2 10 31" xfId="1408"/>
    <cellStyle name="Normal 2 10 32" xfId="1409"/>
    <cellStyle name="Normal 2 10 33" xfId="1410"/>
    <cellStyle name="Normal 2 10 34" xfId="1411"/>
    <cellStyle name="Normal 2 10 35" xfId="1412"/>
    <cellStyle name="Normal 2 10 36" xfId="1413"/>
    <cellStyle name="Normal 2 10 37" xfId="1414"/>
    <cellStyle name="Normal 2 10 38" xfId="1415"/>
    <cellStyle name="Normal 2 10 39" xfId="1416"/>
    <cellStyle name="Normal 2 10 4" xfId="1417"/>
    <cellStyle name="Normal 2 10 4 2" xfId="1418"/>
    <cellStyle name="Normal 2 10 4 3" xfId="1419"/>
    <cellStyle name="Normal 2 10 4 4" xfId="1420"/>
    <cellStyle name="Normal 2 10 4 5" xfId="1421"/>
    <cellStyle name="Normal 2 10 40" xfId="1422"/>
    <cellStyle name="Normal 2 10 41" xfId="1423"/>
    <cellStyle name="Normal 2 10 42" xfId="1424"/>
    <cellStyle name="Normal 2 10 43" xfId="1425"/>
    <cellStyle name="Normal 2 10 44" xfId="1426"/>
    <cellStyle name="Normal 2 10 45" xfId="1427"/>
    <cellStyle name="Normal 2 10 46" xfId="1428"/>
    <cellStyle name="Normal 2 10 5" xfId="1429"/>
    <cellStyle name="Normal 2 10 5 2" xfId="1430"/>
    <cellStyle name="Normal 2 10 5 3" xfId="1431"/>
    <cellStyle name="Normal 2 10 5 4" xfId="1432"/>
    <cellStyle name="Normal 2 10 5 5" xfId="1433"/>
    <cellStyle name="Normal 2 10 6" xfId="1434"/>
    <cellStyle name="Normal 2 10 6 2" xfId="1435"/>
    <cellStyle name="Normal 2 10 6 3" xfId="1436"/>
    <cellStyle name="Normal 2 10 6 4" xfId="1437"/>
    <cellStyle name="Normal 2 10 6 5" xfId="1438"/>
    <cellStyle name="Normal 2 10 7" xfId="1439"/>
    <cellStyle name="Normal 2 10 7 2" xfId="1440"/>
    <cellStyle name="Normal 2 10 7 3" xfId="1441"/>
    <cellStyle name="Normal 2 10 7 4" xfId="1442"/>
    <cellStyle name="Normal 2 10 7 5" xfId="1443"/>
    <cellStyle name="Normal 2 10 8" xfId="1444"/>
    <cellStyle name="Normal 2 10 8 2" xfId="1445"/>
    <cellStyle name="Normal 2 10 8 3" xfId="1446"/>
    <cellStyle name="Normal 2 10 8 4" xfId="1447"/>
    <cellStyle name="Normal 2 10 8 5" xfId="1448"/>
    <cellStyle name="Normal 2 10 9" xfId="1449"/>
    <cellStyle name="Normal 2 10 9 2" xfId="1450"/>
    <cellStyle name="Normal 2 10 9 3" xfId="1451"/>
    <cellStyle name="Normal 2 10 9 4" xfId="1452"/>
    <cellStyle name="Normal 2 10 9 5" xfId="1453"/>
    <cellStyle name="Normal 2 11" xfId="61"/>
    <cellStyle name="Normal 2 11 10" xfId="1454"/>
    <cellStyle name="Normal 2 11 10 2" xfId="1455"/>
    <cellStyle name="Normal 2 11 10 3" xfId="1456"/>
    <cellStyle name="Normal 2 11 10 4" xfId="1457"/>
    <cellStyle name="Normal 2 11 10 5" xfId="1458"/>
    <cellStyle name="Normal 2 11 11" xfId="1459"/>
    <cellStyle name="Normal 2 11 11 2" xfId="1460"/>
    <cellStyle name="Normal 2 11 11 3" xfId="1461"/>
    <cellStyle name="Normal 2 11 11 4" xfId="1462"/>
    <cellStyle name="Normal 2 11 11 5" xfId="1463"/>
    <cellStyle name="Normal 2 11 12" xfId="1464"/>
    <cellStyle name="Normal 2 11 12 2" xfId="1465"/>
    <cellStyle name="Normal 2 11 12 3" xfId="1466"/>
    <cellStyle name="Normal 2 11 12 4" xfId="1467"/>
    <cellStyle name="Normal 2 11 12 5" xfId="1468"/>
    <cellStyle name="Normal 2 11 13" xfId="1469"/>
    <cellStyle name="Normal 2 11 13 2" xfId="1470"/>
    <cellStyle name="Normal 2 11 13 3" xfId="1471"/>
    <cellStyle name="Normal 2 11 13 4" xfId="1472"/>
    <cellStyle name="Normal 2 11 13 5" xfId="1473"/>
    <cellStyle name="Normal 2 11 14" xfId="1474"/>
    <cellStyle name="Normal 2 11 14 2" xfId="1475"/>
    <cellStyle name="Normal 2 11 14 3" xfId="1476"/>
    <cellStyle name="Normal 2 11 14 4" xfId="1477"/>
    <cellStyle name="Normal 2 11 14 5" xfId="1478"/>
    <cellStyle name="Normal 2 11 15" xfId="1479"/>
    <cellStyle name="Normal 2 11 15 2" xfId="1480"/>
    <cellStyle name="Normal 2 11 15 3" xfId="1481"/>
    <cellStyle name="Normal 2 11 15 4" xfId="1482"/>
    <cellStyle name="Normal 2 11 15 5" xfId="1483"/>
    <cellStyle name="Normal 2 11 16" xfId="1484"/>
    <cellStyle name="Normal 2 11 16 2" xfId="1485"/>
    <cellStyle name="Normal 2 11 16 3" xfId="1486"/>
    <cellStyle name="Normal 2 11 16 4" xfId="1487"/>
    <cellStyle name="Normal 2 11 16 5" xfId="1488"/>
    <cellStyle name="Normal 2 11 17" xfId="1489"/>
    <cellStyle name="Normal 2 11 17 2" xfId="1490"/>
    <cellStyle name="Normal 2 11 17 3" xfId="1491"/>
    <cellStyle name="Normal 2 11 17 4" xfId="1492"/>
    <cellStyle name="Normal 2 11 17 5" xfId="1493"/>
    <cellStyle name="Normal 2 11 18" xfId="1494"/>
    <cellStyle name="Normal 2 11 18 2" xfId="1495"/>
    <cellStyle name="Normal 2 11 18 3" xfId="1496"/>
    <cellStyle name="Normal 2 11 18 4" xfId="1497"/>
    <cellStyle name="Normal 2 11 18 5" xfId="1498"/>
    <cellStyle name="Normal 2 11 19" xfId="1499"/>
    <cellStyle name="Normal 2 11 19 2" xfId="1500"/>
    <cellStyle name="Normal 2 11 19 3" xfId="1501"/>
    <cellStyle name="Normal 2 11 19 4" xfId="1502"/>
    <cellStyle name="Normal 2 11 19 5" xfId="1503"/>
    <cellStyle name="Normal 2 11 2" xfId="1504"/>
    <cellStyle name="Normal 2 11 2 2" xfId="1505"/>
    <cellStyle name="Normal 2 11 2 3" xfId="1506"/>
    <cellStyle name="Normal 2 11 2 4" xfId="1507"/>
    <cellStyle name="Normal 2 11 2 5" xfId="1508"/>
    <cellStyle name="Normal 2 11 20" xfId="1509"/>
    <cellStyle name="Normal 2 11 20 2" xfId="1510"/>
    <cellStyle name="Normal 2 11 20 3" xfId="1511"/>
    <cellStyle name="Normal 2 11 20 4" xfId="1512"/>
    <cellStyle name="Normal 2 11 20 5" xfId="1513"/>
    <cellStyle name="Normal 2 11 21" xfId="1514"/>
    <cellStyle name="Normal 2 11 21 2" xfId="1515"/>
    <cellStyle name="Normal 2 11 21 3" xfId="1516"/>
    <cellStyle name="Normal 2 11 21 4" xfId="1517"/>
    <cellStyle name="Normal 2 11 21 5" xfId="1518"/>
    <cellStyle name="Normal 2 11 22" xfId="1519"/>
    <cellStyle name="Normal 2 11 22 2" xfId="1520"/>
    <cellStyle name="Normal 2 11 22 3" xfId="1521"/>
    <cellStyle name="Normal 2 11 22 4" xfId="1522"/>
    <cellStyle name="Normal 2 11 22 5" xfId="1523"/>
    <cellStyle name="Normal 2 11 23" xfId="1524"/>
    <cellStyle name="Normal 2 11 23 2" xfId="1525"/>
    <cellStyle name="Normal 2 11 23 3" xfId="1526"/>
    <cellStyle name="Normal 2 11 23 4" xfId="1527"/>
    <cellStyle name="Normal 2 11 23 5" xfId="1528"/>
    <cellStyle name="Normal 2 11 24" xfId="1529"/>
    <cellStyle name="Normal 2 11 24 2" xfId="1530"/>
    <cellStyle name="Normal 2 11 24 3" xfId="1531"/>
    <cellStyle name="Normal 2 11 24 4" xfId="1532"/>
    <cellStyle name="Normal 2 11 24 5" xfId="1533"/>
    <cellStyle name="Normal 2 11 25" xfId="1534"/>
    <cellStyle name="Normal 2 11 25 2" xfId="1535"/>
    <cellStyle name="Normal 2 11 25 3" xfId="1536"/>
    <cellStyle name="Normal 2 11 25 4" xfId="1537"/>
    <cellStyle name="Normal 2 11 25 5" xfId="1538"/>
    <cellStyle name="Normal 2 11 26" xfId="1539"/>
    <cellStyle name="Normal 2 11 26 2" xfId="1540"/>
    <cellStyle name="Normal 2 11 26 3" xfId="1541"/>
    <cellStyle name="Normal 2 11 26 4" xfId="1542"/>
    <cellStyle name="Normal 2 11 26 5" xfId="1543"/>
    <cellStyle name="Normal 2 11 27" xfId="1544"/>
    <cellStyle name="Normal 2 11 27 2" xfId="1545"/>
    <cellStyle name="Normal 2 11 27 3" xfId="1546"/>
    <cellStyle name="Normal 2 11 27 4" xfId="1547"/>
    <cellStyle name="Normal 2 11 27 5" xfId="1548"/>
    <cellStyle name="Normal 2 11 28" xfId="1549"/>
    <cellStyle name="Normal 2 11 28 2" xfId="1550"/>
    <cellStyle name="Normal 2 11 28 3" xfId="1551"/>
    <cellStyle name="Normal 2 11 28 4" xfId="1552"/>
    <cellStyle name="Normal 2 11 28 5" xfId="1553"/>
    <cellStyle name="Normal 2 11 29" xfId="1554"/>
    <cellStyle name="Normal 2 11 29 2" xfId="1555"/>
    <cellStyle name="Normal 2 11 29 3" xfId="1556"/>
    <cellStyle name="Normal 2 11 29 4" xfId="1557"/>
    <cellStyle name="Normal 2 11 29 5" xfId="1558"/>
    <cellStyle name="Normal 2 11 3" xfId="1559"/>
    <cellStyle name="Normal 2 11 3 2" xfId="1560"/>
    <cellStyle name="Normal 2 11 3 3" xfId="1561"/>
    <cellStyle name="Normal 2 11 3 4" xfId="1562"/>
    <cellStyle name="Normal 2 11 3 5" xfId="1563"/>
    <cellStyle name="Normal 2 11 30" xfId="1564"/>
    <cellStyle name="Normal 2 11 30 2" xfId="1565"/>
    <cellStyle name="Normal 2 11 30 3" xfId="1566"/>
    <cellStyle name="Normal 2 11 30 4" xfId="1567"/>
    <cellStyle name="Normal 2 11 30 5" xfId="1568"/>
    <cellStyle name="Normal 2 11 31" xfId="1569"/>
    <cellStyle name="Normal 2 11 32" xfId="1570"/>
    <cellStyle name="Normal 2 11 33" xfId="1571"/>
    <cellStyle name="Normal 2 11 34" xfId="1572"/>
    <cellStyle name="Normal 2 11 35" xfId="1573"/>
    <cellStyle name="Normal 2 11 36" xfId="1574"/>
    <cellStyle name="Normal 2 11 37" xfId="1575"/>
    <cellStyle name="Normal 2 11 38" xfId="1576"/>
    <cellStyle name="Normal 2 11 39" xfId="1577"/>
    <cellStyle name="Normal 2 11 4" xfId="1578"/>
    <cellStyle name="Normal 2 11 4 2" xfId="1579"/>
    <cellStyle name="Normal 2 11 4 3" xfId="1580"/>
    <cellStyle name="Normal 2 11 4 4" xfId="1581"/>
    <cellStyle name="Normal 2 11 4 5" xfId="1582"/>
    <cellStyle name="Normal 2 11 40" xfId="1583"/>
    <cellStyle name="Normal 2 11 41" xfId="1584"/>
    <cellStyle name="Normal 2 11 42" xfId="1585"/>
    <cellStyle name="Normal 2 11 43" xfId="1586"/>
    <cellStyle name="Normal 2 11 44" xfId="1587"/>
    <cellStyle name="Normal 2 11 45" xfId="1588"/>
    <cellStyle name="Normal 2 11 46" xfId="1589"/>
    <cellStyle name="Normal 2 11 5" xfId="1590"/>
    <cellStyle name="Normal 2 11 5 2" xfId="1591"/>
    <cellStyle name="Normal 2 11 5 3" xfId="1592"/>
    <cellStyle name="Normal 2 11 5 4" xfId="1593"/>
    <cellStyle name="Normal 2 11 5 5" xfId="1594"/>
    <cellStyle name="Normal 2 11 6" xfId="1595"/>
    <cellStyle name="Normal 2 11 6 2" xfId="1596"/>
    <cellStyle name="Normal 2 11 6 3" xfId="1597"/>
    <cellStyle name="Normal 2 11 6 4" xfId="1598"/>
    <cellStyle name="Normal 2 11 6 5" xfId="1599"/>
    <cellStyle name="Normal 2 11 7" xfId="1600"/>
    <cellStyle name="Normal 2 11 7 2" xfId="1601"/>
    <cellStyle name="Normal 2 11 7 3" xfId="1602"/>
    <cellStyle name="Normal 2 11 7 4" xfId="1603"/>
    <cellStyle name="Normal 2 11 7 5" xfId="1604"/>
    <cellStyle name="Normal 2 11 8" xfId="1605"/>
    <cellStyle name="Normal 2 11 8 2" xfId="1606"/>
    <cellStyle name="Normal 2 11 8 3" xfId="1607"/>
    <cellStyle name="Normal 2 11 8 4" xfId="1608"/>
    <cellStyle name="Normal 2 11 8 5" xfId="1609"/>
    <cellStyle name="Normal 2 11 9" xfId="1610"/>
    <cellStyle name="Normal 2 11 9 2" xfId="1611"/>
    <cellStyle name="Normal 2 11 9 3" xfId="1612"/>
    <cellStyle name="Normal 2 11 9 4" xfId="1613"/>
    <cellStyle name="Normal 2 11 9 5" xfId="1614"/>
    <cellStyle name="Normal 2 12" xfId="62"/>
    <cellStyle name="Normal 2 12 10" xfId="1615"/>
    <cellStyle name="Normal 2 12 10 2" xfId="1616"/>
    <cellStyle name="Normal 2 12 10 3" xfId="1617"/>
    <cellStyle name="Normal 2 12 10 4" xfId="1618"/>
    <cellStyle name="Normal 2 12 10 5" xfId="1619"/>
    <cellStyle name="Normal 2 12 11" xfId="1620"/>
    <cellStyle name="Normal 2 12 11 2" xfId="1621"/>
    <cellStyle name="Normal 2 12 11 3" xfId="1622"/>
    <cellStyle name="Normal 2 12 11 4" xfId="1623"/>
    <cellStyle name="Normal 2 12 11 5" xfId="1624"/>
    <cellStyle name="Normal 2 12 12" xfId="1625"/>
    <cellStyle name="Normal 2 12 12 2" xfId="1626"/>
    <cellStyle name="Normal 2 12 12 3" xfId="1627"/>
    <cellStyle name="Normal 2 12 12 4" xfId="1628"/>
    <cellStyle name="Normal 2 12 12 5" xfId="1629"/>
    <cellStyle name="Normal 2 12 13" xfId="1630"/>
    <cellStyle name="Normal 2 12 13 2" xfId="1631"/>
    <cellStyle name="Normal 2 12 13 3" xfId="1632"/>
    <cellStyle name="Normal 2 12 13 4" xfId="1633"/>
    <cellStyle name="Normal 2 12 13 5" xfId="1634"/>
    <cellStyle name="Normal 2 12 14" xfId="1635"/>
    <cellStyle name="Normal 2 12 14 2" xfId="1636"/>
    <cellStyle name="Normal 2 12 14 3" xfId="1637"/>
    <cellStyle name="Normal 2 12 14 4" xfId="1638"/>
    <cellStyle name="Normal 2 12 14 5" xfId="1639"/>
    <cellStyle name="Normal 2 12 15" xfId="1640"/>
    <cellStyle name="Normal 2 12 15 2" xfId="1641"/>
    <cellStyle name="Normal 2 12 15 3" xfId="1642"/>
    <cellStyle name="Normal 2 12 15 4" xfId="1643"/>
    <cellStyle name="Normal 2 12 15 5" xfId="1644"/>
    <cellStyle name="Normal 2 12 16" xfId="1645"/>
    <cellStyle name="Normal 2 12 16 2" xfId="1646"/>
    <cellStyle name="Normal 2 12 16 3" xfId="1647"/>
    <cellStyle name="Normal 2 12 16 4" xfId="1648"/>
    <cellStyle name="Normal 2 12 16 5" xfId="1649"/>
    <cellStyle name="Normal 2 12 17" xfId="1650"/>
    <cellStyle name="Normal 2 12 17 2" xfId="1651"/>
    <cellStyle name="Normal 2 12 17 3" xfId="1652"/>
    <cellStyle name="Normal 2 12 17 4" xfId="1653"/>
    <cellStyle name="Normal 2 12 17 5" xfId="1654"/>
    <cellStyle name="Normal 2 12 18" xfId="1655"/>
    <cellStyle name="Normal 2 12 18 2" xfId="1656"/>
    <cellStyle name="Normal 2 12 18 3" xfId="1657"/>
    <cellStyle name="Normal 2 12 18 4" xfId="1658"/>
    <cellStyle name="Normal 2 12 18 5" xfId="1659"/>
    <cellStyle name="Normal 2 12 19" xfId="1660"/>
    <cellStyle name="Normal 2 12 19 2" xfId="1661"/>
    <cellStyle name="Normal 2 12 19 3" xfId="1662"/>
    <cellStyle name="Normal 2 12 19 4" xfId="1663"/>
    <cellStyle name="Normal 2 12 19 5" xfId="1664"/>
    <cellStyle name="Normal 2 12 2" xfId="1665"/>
    <cellStyle name="Normal 2 12 2 2" xfId="1666"/>
    <cellStyle name="Normal 2 12 2 3" xfId="1667"/>
    <cellStyle name="Normal 2 12 2 4" xfId="1668"/>
    <cellStyle name="Normal 2 12 2 5" xfId="1669"/>
    <cellStyle name="Normal 2 12 20" xfId="1670"/>
    <cellStyle name="Normal 2 12 20 2" xfId="1671"/>
    <cellStyle name="Normal 2 12 20 3" xfId="1672"/>
    <cellStyle name="Normal 2 12 20 4" xfId="1673"/>
    <cellStyle name="Normal 2 12 20 5" xfId="1674"/>
    <cellStyle name="Normal 2 12 21" xfId="1675"/>
    <cellStyle name="Normal 2 12 21 2" xfId="1676"/>
    <cellStyle name="Normal 2 12 21 3" xfId="1677"/>
    <cellStyle name="Normal 2 12 21 4" xfId="1678"/>
    <cellStyle name="Normal 2 12 21 5" xfId="1679"/>
    <cellStyle name="Normal 2 12 22" xfId="1680"/>
    <cellStyle name="Normal 2 12 22 2" xfId="1681"/>
    <cellStyle name="Normal 2 12 22 3" xfId="1682"/>
    <cellStyle name="Normal 2 12 22 4" xfId="1683"/>
    <cellStyle name="Normal 2 12 22 5" xfId="1684"/>
    <cellStyle name="Normal 2 12 23" xfId="1685"/>
    <cellStyle name="Normal 2 12 23 2" xfId="1686"/>
    <cellStyle name="Normal 2 12 23 3" xfId="1687"/>
    <cellStyle name="Normal 2 12 23 4" xfId="1688"/>
    <cellStyle name="Normal 2 12 23 5" xfId="1689"/>
    <cellStyle name="Normal 2 12 24" xfId="1690"/>
    <cellStyle name="Normal 2 12 24 2" xfId="1691"/>
    <cellStyle name="Normal 2 12 24 3" xfId="1692"/>
    <cellStyle name="Normal 2 12 24 4" xfId="1693"/>
    <cellStyle name="Normal 2 12 24 5" xfId="1694"/>
    <cellStyle name="Normal 2 12 25" xfId="1695"/>
    <cellStyle name="Normal 2 12 25 2" xfId="1696"/>
    <cellStyle name="Normal 2 12 25 3" xfId="1697"/>
    <cellStyle name="Normal 2 12 25 4" xfId="1698"/>
    <cellStyle name="Normal 2 12 25 5" xfId="1699"/>
    <cellStyle name="Normal 2 12 26" xfId="1700"/>
    <cellStyle name="Normal 2 12 26 2" xfId="1701"/>
    <cellStyle name="Normal 2 12 26 3" xfId="1702"/>
    <cellStyle name="Normal 2 12 26 4" xfId="1703"/>
    <cellStyle name="Normal 2 12 26 5" xfId="1704"/>
    <cellStyle name="Normal 2 12 27" xfId="1705"/>
    <cellStyle name="Normal 2 12 27 2" xfId="1706"/>
    <cellStyle name="Normal 2 12 27 3" xfId="1707"/>
    <cellStyle name="Normal 2 12 27 4" xfId="1708"/>
    <cellStyle name="Normal 2 12 27 5" xfId="1709"/>
    <cellStyle name="Normal 2 12 28" xfId="1710"/>
    <cellStyle name="Normal 2 12 28 2" xfId="1711"/>
    <cellStyle name="Normal 2 12 28 3" xfId="1712"/>
    <cellStyle name="Normal 2 12 28 4" xfId="1713"/>
    <cellStyle name="Normal 2 12 28 5" xfId="1714"/>
    <cellStyle name="Normal 2 12 29" xfId="1715"/>
    <cellStyle name="Normal 2 12 29 2" xfId="1716"/>
    <cellStyle name="Normal 2 12 29 3" xfId="1717"/>
    <cellStyle name="Normal 2 12 29 4" xfId="1718"/>
    <cellStyle name="Normal 2 12 29 5" xfId="1719"/>
    <cellStyle name="Normal 2 12 3" xfId="1720"/>
    <cellStyle name="Normal 2 12 3 2" xfId="1721"/>
    <cellStyle name="Normal 2 12 3 3" xfId="1722"/>
    <cellStyle name="Normal 2 12 3 4" xfId="1723"/>
    <cellStyle name="Normal 2 12 3 5" xfId="1724"/>
    <cellStyle name="Normal 2 12 30" xfId="1725"/>
    <cellStyle name="Normal 2 12 30 2" xfId="1726"/>
    <cellStyle name="Normal 2 12 30 3" xfId="1727"/>
    <cellStyle name="Normal 2 12 30 4" xfId="1728"/>
    <cellStyle name="Normal 2 12 30 5" xfId="1729"/>
    <cellStyle name="Normal 2 12 31" xfId="1730"/>
    <cellStyle name="Normal 2 12 32" xfId="1731"/>
    <cellStyle name="Normal 2 12 33" xfId="1732"/>
    <cellStyle name="Normal 2 12 34" xfId="1733"/>
    <cellStyle name="Normal 2 12 35" xfId="1734"/>
    <cellStyle name="Normal 2 12 36" xfId="1735"/>
    <cellStyle name="Normal 2 12 37" xfId="1736"/>
    <cellStyle name="Normal 2 12 38" xfId="1737"/>
    <cellStyle name="Normal 2 12 39" xfId="1738"/>
    <cellStyle name="Normal 2 12 4" xfId="1739"/>
    <cellStyle name="Normal 2 12 4 2" xfId="1740"/>
    <cellStyle name="Normal 2 12 4 3" xfId="1741"/>
    <cellStyle name="Normal 2 12 4 4" xfId="1742"/>
    <cellStyle name="Normal 2 12 4 5" xfId="1743"/>
    <cellStyle name="Normal 2 12 40" xfId="1744"/>
    <cellStyle name="Normal 2 12 41" xfId="1745"/>
    <cellStyle name="Normal 2 12 42" xfId="1746"/>
    <cellStyle name="Normal 2 12 43" xfId="1747"/>
    <cellStyle name="Normal 2 12 44" xfId="1748"/>
    <cellStyle name="Normal 2 12 45" xfId="1749"/>
    <cellStyle name="Normal 2 12 46" xfId="1750"/>
    <cellStyle name="Normal 2 12 5" xfId="1751"/>
    <cellStyle name="Normal 2 12 5 2" xfId="1752"/>
    <cellStyle name="Normal 2 12 5 3" xfId="1753"/>
    <cellStyle name="Normal 2 12 5 4" xfId="1754"/>
    <cellStyle name="Normal 2 12 5 5" xfId="1755"/>
    <cellStyle name="Normal 2 12 6" xfId="1756"/>
    <cellStyle name="Normal 2 12 6 2" xfId="1757"/>
    <cellStyle name="Normal 2 12 6 3" xfId="1758"/>
    <cellStyle name="Normal 2 12 6 4" xfId="1759"/>
    <cellStyle name="Normal 2 12 6 5" xfId="1760"/>
    <cellStyle name="Normal 2 12 7" xfId="1761"/>
    <cellStyle name="Normal 2 12 7 2" xfId="1762"/>
    <cellStyle name="Normal 2 12 7 3" xfId="1763"/>
    <cellStyle name="Normal 2 12 7 4" xfId="1764"/>
    <cellStyle name="Normal 2 12 7 5" xfId="1765"/>
    <cellStyle name="Normal 2 12 8" xfId="1766"/>
    <cellStyle name="Normal 2 12 8 2" xfId="1767"/>
    <cellStyle name="Normal 2 12 8 3" xfId="1768"/>
    <cellStyle name="Normal 2 12 8 4" xfId="1769"/>
    <cellStyle name="Normal 2 12 8 5" xfId="1770"/>
    <cellStyle name="Normal 2 12 9" xfId="1771"/>
    <cellStyle name="Normal 2 12 9 2" xfId="1772"/>
    <cellStyle name="Normal 2 12 9 3" xfId="1773"/>
    <cellStyle name="Normal 2 12 9 4" xfId="1774"/>
    <cellStyle name="Normal 2 12 9 5" xfId="1775"/>
    <cellStyle name="Normal 2 13" xfId="63"/>
    <cellStyle name="Normal 2 13 10" xfId="1776"/>
    <cellStyle name="Normal 2 13 10 2" xfId="1777"/>
    <cellStyle name="Normal 2 13 10 3" xfId="1778"/>
    <cellStyle name="Normal 2 13 10 4" xfId="1779"/>
    <cellStyle name="Normal 2 13 10 5" xfId="1780"/>
    <cellStyle name="Normal 2 13 11" xfId="1781"/>
    <cellStyle name="Normal 2 13 11 2" xfId="1782"/>
    <cellStyle name="Normal 2 13 11 3" xfId="1783"/>
    <cellStyle name="Normal 2 13 11 4" xfId="1784"/>
    <cellStyle name="Normal 2 13 11 5" xfId="1785"/>
    <cellStyle name="Normal 2 13 12" xfId="1786"/>
    <cellStyle name="Normal 2 13 12 2" xfId="1787"/>
    <cellStyle name="Normal 2 13 12 3" xfId="1788"/>
    <cellStyle name="Normal 2 13 12 4" xfId="1789"/>
    <cellStyle name="Normal 2 13 12 5" xfId="1790"/>
    <cellStyle name="Normal 2 13 13" xfId="1791"/>
    <cellStyle name="Normal 2 13 13 2" xfId="1792"/>
    <cellStyle name="Normal 2 13 13 3" xfId="1793"/>
    <cellStyle name="Normal 2 13 13 4" xfId="1794"/>
    <cellStyle name="Normal 2 13 13 5" xfId="1795"/>
    <cellStyle name="Normal 2 13 14" xfId="1796"/>
    <cellStyle name="Normal 2 13 14 2" xfId="1797"/>
    <cellStyle name="Normal 2 13 14 3" xfId="1798"/>
    <cellStyle name="Normal 2 13 14 4" xfId="1799"/>
    <cellStyle name="Normal 2 13 14 5" xfId="1800"/>
    <cellStyle name="Normal 2 13 15" xfId="1801"/>
    <cellStyle name="Normal 2 13 15 2" xfId="1802"/>
    <cellStyle name="Normal 2 13 15 3" xfId="1803"/>
    <cellStyle name="Normal 2 13 15 4" xfId="1804"/>
    <cellStyle name="Normal 2 13 15 5" xfId="1805"/>
    <cellStyle name="Normal 2 13 16" xfId="1806"/>
    <cellStyle name="Normal 2 13 16 2" xfId="1807"/>
    <cellStyle name="Normal 2 13 16 3" xfId="1808"/>
    <cellStyle name="Normal 2 13 16 4" xfId="1809"/>
    <cellStyle name="Normal 2 13 16 5" xfId="1810"/>
    <cellStyle name="Normal 2 13 17" xfId="1811"/>
    <cellStyle name="Normal 2 13 17 2" xfId="1812"/>
    <cellStyle name="Normal 2 13 17 3" xfId="1813"/>
    <cellStyle name="Normal 2 13 17 4" xfId="1814"/>
    <cellStyle name="Normal 2 13 17 5" xfId="1815"/>
    <cellStyle name="Normal 2 13 18" xfId="1816"/>
    <cellStyle name="Normal 2 13 18 2" xfId="1817"/>
    <cellStyle name="Normal 2 13 18 3" xfId="1818"/>
    <cellStyle name="Normal 2 13 18 4" xfId="1819"/>
    <cellStyle name="Normal 2 13 18 5" xfId="1820"/>
    <cellStyle name="Normal 2 13 19" xfId="1821"/>
    <cellStyle name="Normal 2 13 19 2" xfId="1822"/>
    <cellStyle name="Normal 2 13 19 3" xfId="1823"/>
    <cellStyle name="Normal 2 13 19 4" xfId="1824"/>
    <cellStyle name="Normal 2 13 19 5" xfId="1825"/>
    <cellStyle name="Normal 2 13 2" xfId="1826"/>
    <cellStyle name="Normal 2 13 2 2" xfId="1827"/>
    <cellStyle name="Normal 2 13 2 3" xfId="1828"/>
    <cellStyle name="Normal 2 13 2 4" xfId="1829"/>
    <cellStyle name="Normal 2 13 2 5" xfId="1830"/>
    <cellStyle name="Normal 2 13 20" xfId="1831"/>
    <cellStyle name="Normal 2 13 20 2" xfId="1832"/>
    <cellStyle name="Normal 2 13 20 3" xfId="1833"/>
    <cellStyle name="Normal 2 13 20 4" xfId="1834"/>
    <cellStyle name="Normal 2 13 20 5" xfId="1835"/>
    <cellStyle name="Normal 2 13 21" xfId="1836"/>
    <cellStyle name="Normal 2 13 21 2" xfId="1837"/>
    <cellStyle name="Normal 2 13 21 3" xfId="1838"/>
    <cellStyle name="Normal 2 13 21 4" xfId="1839"/>
    <cellStyle name="Normal 2 13 21 5" xfId="1840"/>
    <cellStyle name="Normal 2 13 22" xfId="1841"/>
    <cellStyle name="Normal 2 13 22 2" xfId="1842"/>
    <cellStyle name="Normal 2 13 22 3" xfId="1843"/>
    <cellStyle name="Normal 2 13 22 4" xfId="1844"/>
    <cellStyle name="Normal 2 13 22 5" xfId="1845"/>
    <cellStyle name="Normal 2 13 23" xfId="1846"/>
    <cellStyle name="Normal 2 13 23 2" xfId="1847"/>
    <cellStyle name="Normal 2 13 23 3" xfId="1848"/>
    <cellStyle name="Normal 2 13 23 4" xfId="1849"/>
    <cellStyle name="Normal 2 13 23 5" xfId="1850"/>
    <cellStyle name="Normal 2 13 24" xfId="1851"/>
    <cellStyle name="Normal 2 13 24 2" xfId="1852"/>
    <cellStyle name="Normal 2 13 24 3" xfId="1853"/>
    <cellStyle name="Normal 2 13 24 4" xfId="1854"/>
    <cellStyle name="Normal 2 13 24 5" xfId="1855"/>
    <cellStyle name="Normal 2 13 25" xfId="1856"/>
    <cellStyle name="Normal 2 13 25 2" xfId="1857"/>
    <cellStyle name="Normal 2 13 25 3" xfId="1858"/>
    <cellStyle name="Normal 2 13 25 4" xfId="1859"/>
    <cellStyle name="Normal 2 13 25 5" xfId="1860"/>
    <cellStyle name="Normal 2 13 26" xfId="1861"/>
    <cellStyle name="Normal 2 13 26 2" xfId="1862"/>
    <cellStyle name="Normal 2 13 26 3" xfId="1863"/>
    <cellStyle name="Normal 2 13 26 4" xfId="1864"/>
    <cellStyle name="Normal 2 13 26 5" xfId="1865"/>
    <cellStyle name="Normal 2 13 27" xfId="1866"/>
    <cellStyle name="Normal 2 13 27 2" xfId="1867"/>
    <cellStyle name="Normal 2 13 27 3" xfId="1868"/>
    <cellStyle name="Normal 2 13 27 4" xfId="1869"/>
    <cellStyle name="Normal 2 13 27 5" xfId="1870"/>
    <cellStyle name="Normal 2 13 28" xfId="1871"/>
    <cellStyle name="Normal 2 13 28 2" xfId="1872"/>
    <cellStyle name="Normal 2 13 28 3" xfId="1873"/>
    <cellStyle name="Normal 2 13 28 4" xfId="1874"/>
    <cellStyle name="Normal 2 13 28 5" xfId="1875"/>
    <cellStyle name="Normal 2 13 29" xfId="1876"/>
    <cellStyle name="Normal 2 13 29 2" xfId="1877"/>
    <cellStyle name="Normal 2 13 29 3" xfId="1878"/>
    <cellStyle name="Normal 2 13 29 4" xfId="1879"/>
    <cellStyle name="Normal 2 13 29 5" xfId="1880"/>
    <cellStyle name="Normal 2 13 3" xfId="1881"/>
    <cellStyle name="Normal 2 13 3 2" xfId="1882"/>
    <cellStyle name="Normal 2 13 3 3" xfId="1883"/>
    <cellStyle name="Normal 2 13 3 4" xfId="1884"/>
    <cellStyle name="Normal 2 13 3 5" xfId="1885"/>
    <cellStyle name="Normal 2 13 30" xfId="1886"/>
    <cellStyle name="Normal 2 13 30 2" xfId="1887"/>
    <cellStyle name="Normal 2 13 30 3" xfId="1888"/>
    <cellStyle name="Normal 2 13 30 4" xfId="1889"/>
    <cellStyle name="Normal 2 13 30 5" xfId="1890"/>
    <cellStyle name="Normal 2 13 31" xfId="1891"/>
    <cellStyle name="Normal 2 13 32" xfId="1892"/>
    <cellStyle name="Normal 2 13 33" xfId="1893"/>
    <cellStyle name="Normal 2 13 34" xfId="1894"/>
    <cellStyle name="Normal 2 13 35" xfId="1895"/>
    <cellStyle name="Normal 2 13 36" xfId="1896"/>
    <cellStyle name="Normal 2 13 37" xfId="1897"/>
    <cellStyle name="Normal 2 13 38" xfId="1898"/>
    <cellStyle name="Normal 2 13 39" xfId="1899"/>
    <cellStyle name="Normal 2 13 4" xfId="1900"/>
    <cellStyle name="Normal 2 13 4 2" xfId="1901"/>
    <cellStyle name="Normal 2 13 4 3" xfId="1902"/>
    <cellStyle name="Normal 2 13 4 4" xfId="1903"/>
    <cellStyle name="Normal 2 13 4 5" xfId="1904"/>
    <cellStyle name="Normal 2 13 40" xfId="1905"/>
    <cellStyle name="Normal 2 13 41" xfId="1906"/>
    <cellStyle name="Normal 2 13 42" xfId="1907"/>
    <cellStyle name="Normal 2 13 43" xfId="1908"/>
    <cellStyle name="Normal 2 13 44" xfId="1909"/>
    <cellStyle name="Normal 2 13 45" xfId="1910"/>
    <cellStyle name="Normal 2 13 46" xfId="1911"/>
    <cellStyle name="Normal 2 13 5" xfId="1912"/>
    <cellStyle name="Normal 2 13 5 2" xfId="1913"/>
    <cellStyle name="Normal 2 13 5 3" xfId="1914"/>
    <cellStyle name="Normal 2 13 5 4" xfId="1915"/>
    <cellStyle name="Normal 2 13 5 5" xfId="1916"/>
    <cellStyle name="Normal 2 13 6" xfId="1917"/>
    <cellStyle name="Normal 2 13 6 2" xfId="1918"/>
    <cellStyle name="Normal 2 13 6 3" xfId="1919"/>
    <cellStyle name="Normal 2 13 6 4" xfId="1920"/>
    <cellStyle name="Normal 2 13 6 5" xfId="1921"/>
    <cellStyle name="Normal 2 13 7" xfId="1922"/>
    <cellStyle name="Normal 2 13 7 2" xfId="1923"/>
    <cellStyle name="Normal 2 13 7 3" xfId="1924"/>
    <cellStyle name="Normal 2 13 7 4" xfId="1925"/>
    <cellStyle name="Normal 2 13 7 5" xfId="1926"/>
    <cellStyle name="Normal 2 13 8" xfId="1927"/>
    <cellStyle name="Normal 2 13 8 2" xfId="1928"/>
    <cellStyle name="Normal 2 13 8 3" xfId="1929"/>
    <cellStyle name="Normal 2 13 8 4" xfId="1930"/>
    <cellStyle name="Normal 2 13 8 5" xfId="1931"/>
    <cellStyle name="Normal 2 13 9" xfId="1932"/>
    <cellStyle name="Normal 2 13 9 2" xfId="1933"/>
    <cellStyle name="Normal 2 13 9 3" xfId="1934"/>
    <cellStyle name="Normal 2 13 9 4" xfId="1935"/>
    <cellStyle name="Normal 2 13 9 5" xfId="1936"/>
    <cellStyle name="Normal 2 14" xfId="64"/>
    <cellStyle name="Normal 2 14 10" xfId="1937"/>
    <cellStyle name="Normal 2 14 11" xfId="1938"/>
    <cellStyle name="Normal 2 14 12" xfId="1939"/>
    <cellStyle name="Normal 2 14 13" xfId="1940"/>
    <cellStyle name="Normal 2 14 14" xfId="1941"/>
    <cellStyle name="Normal 2 14 15" xfId="1942"/>
    <cellStyle name="Normal 2 14 16" xfId="1943"/>
    <cellStyle name="Normal 2 14 17" xfId="1944"/>
    <cellStyle name="Normal 2 14 18" xfId="1945"/>
    <cellStyle name="Normal 2 14 19" xfId="1946"/>
    <cellStyle name="Normal 2 14 2" xfId="1947"/>
    <cellStyle name="Normal 2 14 2 2" xfId="1948"/>
    <cellStyle name="Normal 2 14 2 3" xfId="1949"/>
    <cellStyle name="Normal 2 14 2 4" xfId="1950"/>
    <cellStyle name="Normal 2 14 2 5" xfId="1951"/>
    <cellStyle name="Normal 2 14 20" xfId="1952"/>
    <cellStyle name="Normal 2 14 3" xfId="1953"/>
    <cellStyle name="Normal 2 14 3 2" xfId="1954"/>
    <cellStyle name="Normal 2 14 3 3" xfId="1955"/>
    <cellStyle name="Normal 2 14 3 4" xfId="1956"/>
    <cellStyle name="Normal 2 14 3 5" xfId="1957"/>
    <cellStyle name="Normal 2 14 4" xfId="1958"/>
    <cellStyle name="Normal 2 14 4 2" xfId="1959"/>
    <cellStyle name="Normal 2 14 4 3" xfId="1960"/>
    <cellStyle name="Normal 2 14 4 4" xfId="1961"/>
    <cellStyle name="Normal 2 14 4 5" xfId="1962"/>
    <cellStyle name="Normal 2 14 5" xfId="1963"/>
    <cellStyle name="Normal 2 14 5 2" xfId="1964"/>
    <cellStyle name="Normal 2 14 5 3" xfId="1965"/>
    <cellStyle name="Normal 2 14 5 4" xfId="1966"/>
    <cellStyle name="Normal 2 14 5 5" xfId="1967"/>
    <cellStyle name="Normal 2 14 6" xfId="1968"/>
    <cellStyle name="Normal 2 14 6 2" xfId="1969"/>
    <cellStyle name="Normal 2 14 6 3" xfId="1970"/>
    <cellStyle name="Normal 2 14 6 4" xfId="1971"/>
    <cellStyle name="Normal 2 14 6 5" xfId="1972"/>
    <cellStyle name="Normal 2 14 7" xfId="1973"/>
    <cellStyle name="Normal 2 14 7 2" xfId="1974"/>
    <cellStyle name="Normal 2 14 7 3" xfId="1975"/>
    <cellStyle name="Normal 2 14 7 4" xfId="1976"/>
    <cellStyle name="Normal 2 14 7 5" xfId="1977"/>
    <cellStyle name="Normal 2 14 8" xfId="1978"/>
    <cellStyle name="Normal 2 14 8 2" xfId="1979"/>
    <cellStyle name="Normal 2 14 8 3" xfId="1980"/>
    <cellStyle name="Normal 2 14 8 4" xfId="1981"/>
    <cellStyle name="Normal 2 14 8 5" xfId="1982"/>
    <cellStyle name="Normal 2 14 9" xfId="1983"/>
    <cellStyle name="Normal 2 15" xfId="65"/>
    <cellStyle name="Normal 2 16" xfId="66"/>
    <cellStyle name="Normal 2 17" xfId="67"/>
    <cellStyle name="Normal 2 18" xfId="68"/>
    <cellStyle name="Normal 2 19" xfId="69"/>
    <cellStyle name="Normal 2 2" xfId="70"/>
    <cellStyle name="Normal 2 2 10" xfId="1984"/>
    <cellStyle name="Normal 2 2 10 10" xfId="1985"/>
    <cellStyle name="Normal 2 2 10 11" xfId="1986"/>
    <cellStyle name="Normal 2 2 10 12" xfId="1987"/>
    <cellStyle name="Normal 2 2 10 13" xfId="1988"/>
    <cellStyle name="Normal 2 2 10 2" xfId="1989"/>
    <cellStyle name="Normal 2 2 10 3" xfId="1990"/>
    <cellStyle name="Normal 2 2 10 4" xfId="1991"/>
    <cellStyle name="Normal 2 2 10 5" xfId="1992"/>
    <cellStyle name="Normal 2 2 10 6" xfId="1993"/>
    <cellStyle name="Normal 2 2 10 7" xfId="1994"/>
    <cellStyle name="Normal 2 2 10 8" xfId="1995"/>
    <cellStyle name="Normal 2 2 10 9" xfId="1996"/>
    <cellStyle name="Normal 2 2 11" xfId="1997"/>
    <cellStyle name="Normal 2 2 11 10" xfId="1998"/>
    <cellStyle name="Normal 2 2 11 11" xfId="1999"/>
    <cellStyle name="Normal 2 2 11 12" xfId="2000"/>
    <cellStyle name="Normal 2 2 11 13" xfId="2001"/>
    <cellStyle name="Normal 2 2 11 2" xfId="2002"/>
    <cellStyle name="Normal 2 2 11 3" xfId="2003"/>
    <cellStyle name="Normal 2 2 11 4" xfId="2004"/>
    <cellStyle name="Normal 2 2 11 5" xfId="2005"/>
    <cellStyle name="Normal 2 2 11 6" xfId="2006"/>
    <cellStyle name="Normal 2 2 11 7" xfId="2007"/>
    <cellStyle name="Normal 2 2 11 8" xfId="2008"/>
    <cellStyle name="Normal 2 2 11 9" xfId="2009"/>
    <cellStyle name="Normal 2 2 12" xfId="2010"/>
    <cellStyle name="Normal 2 2 12 10" xfId="2011"/>
    <cellStyle name="Normal 2 2 12 11" xfId="2012"/>
    <cellStyle name="Normal 2 2 12 12" xfId="2013"/>
    <cellStyle name="Normal 2 2 12 13" xfId="2014"/>
    <cellStyle name="Normal 2 2 12 14" xfId="2015"/>
    <cellStyle name="Normal 2 2 12 15" xfId="2016"/>
    <cellStyle name="Normal 2 2 12 16" xfId="2017"/>
    <cellStyle name="Normal 2 2 12 17" xfId="2018"/>
    <cellStyle name="Normal 2 2 12 2" xfId="2019"/>
    <cellStyle name="Normal 2 2 12 3" xfId="2020"/>
    <cellStyle name="Normal 2 2 12 4" xfId="2021"/>
    <cellStyle name="Normal 2 2 12 5" xfId="2022"/>
    <cellStyle name="Normal 2 2 12 6" xfId="2023"/>
    <cellStyle name="Normal 2 2 12 7" xfId="2024"/>
    <cellStyle name="Normal 2 2 12 8" xfId="2025"/>
    <cellStyle name="Normal 2 2 12 9" xfId="2026"/>
    <cellStyle name="Normal 2 2 13" xfId="2027"/>
    <cellStyle name="Normal 2 2 13 10" xfId="2028"/>
    <cellStyle name="Normal 2 2 13 11" xfId="2029"/>
    <cellStyle name="Normal 2 2 13 12" xfId="2030"/>
    <cellStyle name="Normal 2 2 13 13" xfId="2031"/>
    <cellStyle name="Normal 2 2 13 14" xfId="2032"/>
    <cellStyle name="Normal 2 2 13 15" xfId="2033"/>
    <cellStyle name="Normal 2 2 13 16" xfId="2034"/>
    <cellStyle name="Normal 2 2 13 17" xfId="2035"/>
    <cellStyle name="Normal 2 2 13 2" xfId="2036"/>
    <cellStyle name="Normal 2 2 13 3" xfId="2037"/>
    <cellStyle name="Normal 2 2 13 4" xfId="2038"/>
    <cellStyle name="Normal 2 2 13 5" xfId="2039"/>
    <cellStyle name="Normal 2 2 13 6" xfId="2040"/>
    <cellStyle name="Normal 2 2 13 7" xfId="2041"/>
    <cellStyle name="Normal 2 2 13 8" xfId="2042"/>
    <cellStyle name="Normal 2 2 13 9" xfId="2043"/>
    <cellStyle name="Normal 2 2 14" xfId="2044"/>
    <cellStyle name="Normal 2 2 14 10" xfId="2045"/>
    <cellStyle name="Normal 2 2 14 11" xfId="2046"/>
    <cellStyle name="Normal 2 2 14 12" xfId="2047"/>
    <cellStyle name="Normal 2 2 14 13" xfId="2048"/>
    <cellStyle name="Normal 2 2 14 14" xfId="2049"/>
    <cellStyle name="Normal 2 2 14 15" xfId="2050"/>
    <cellStyle name="Normal 2 2 14 16" xfId="2051"/>
    <cellStyle name="Normal 2 2 14 17" xfId="2052"/>
    <cellStyle name="Normal 2 2 14 2" xfId="2053"/>
    <cellStyle name="Normal 2 2 14 3" xfId="2054"/>
    <cellStyle name="Normal 2 2 14 4" xfId="2055"/>
    <cellStyle name="Normal 2 2 14 5" xfId="2056"/>
    <cellStyle name="Normal 2 2 14 6" xfId="2057"/>
    <cellStyle name="Normal 2 2 14 7" xfId="2058"/>
    <cellStyle name="Normal 2 2 14 8" xfId="2059"/>
    <cellStyle name="Normal 2 2 14 9" xfId="2060"/>
    <cellStyle name="Normal 2 2 15" xfId="2061"/>
    <cellStyle name="Normal 2 2 15 10" xfId="2062"/>
    <cellStyle name="Normal 2 2 15 11" xfId="2063"/>
    <cellStyle name="Normal 2 2 15 12" xfId="2064"/>
    <cellStyle name="Normal 2 2 15 13" xfId="2065"/>
    <cellStyle name="Normal 2 2 15 14" xfId="2066"/>
    <cellStyle name="Normal 2 2 15 15" xfId="2067"/>
    <cellStyle name="Normal 2 2 15 16" xfId="2068"/>
    <cellStyle name="Normal 2 2 15 17" xfId="2069"/>
    <cellStyle name="Normal 2 2 15 2" xfId="2070"/>
    <cellStyle name="Normal 2 2 15 3" xfId="2071"/>
    <cellStyle name="Normal 2 2 15 4" xfId="2072"/>
    <cellStyle name="Normal 2 2 15 5" xfId="2073"/>
    <cellStyle name="Normal 2 2 15 6" xfId="2074"/>
    <cellStyle name="Normal 2 2 15 7" xfId="2075"/>
    <cellStyle name="Normal 2 2 15 8" xfId="2076"/>
    <cellStyle name="Normal 2 2 15 9" xfId="2077"/>
    <cellStyle name="Normal 2 2 16" xfId="2078"/>
    <cellStyle name="Normal 2 2 16 10" xfId="2079"/>
    <cellStyle name="Normal 2 2 16 11" xfId="2080"/>
    <cellStyle name="Normal 2 2 16 12" xfId="2081"/>
    <cellStyle name="Normal 2 2 16 13" xfId="2082"/>
    <cellStyle name="Normal 2 2 16 14" xfId="2083"/>
    <cellStyle name="Normal 2 2 16 15" xfId="2084"/>
    <cellStyle name="Normal 2 2 16 16" xfId="2085"/>
    <cellStyle name="Normal 2 2 16 17" xfId="2086"/>
    <cellStyle name="Normal 2 2 16 2" xfId="2087"/>
    <cellStyle name="Normal 2 2 16 3" xfId="2088"/>
    <cellStyle name="Normal 2 2 16 4" xfId="2089"/>
    <cellStyle name="Normal 2 2 16 5" xfId="2090"/>
    <cellStyle name="Normal 2 2 16 6" xfId="2091"/>
    <cellStyle name="Normal 2 2 16 7" xfId="2092"/>
    <cellStyle name="Normal 2 2 16 8" xfId="2093"/>
    <cellStyle name="Normal 2 2 16 9" xfId="2094"/>
    <cellStyle name="Normal 2 2 17" xfId="2095"/>
    <cellStyle name="Normal 2 2 17 10" xfId="2096"/>
    <cellStyle name="Normal 2 2 17 11" xfId="2097"/>
    <cellStyle name="Normal 2 2 17 12" xfId="2098"/>
    <cellStyle name="Normal 2 2 17 13" xfId="2099"/>
    <cellStyle name="Normal 2 2 17 14" xfId="2100"/>
    <cellStyle name="Normal 2 2 17 15" xfId="2101"/>
    <cellStyle name="Normal 2 2 17 16" xfId="2102"/>
    <cellStyle name="Normal 2 2 17 17" xfId="2103"/>
    <cellStyle name="Normal 2 2 17 2" xfId="2104"/>
    <cellStyle name="Normal 2 2 17 3" xfId="2105"/>
    <cellStyle name="Normal 2 2 17 4" xfId="2106"/>
    <cellStyle name="Normal 2 2 17 5" xfId="2107"/>
    <cellStyle name="Normal 2 2 17 6" xfId="2108"/>
    <cellStyle name="Normal 2 2 17 7" xfId="2109"/>
    <cellStyle name="Normal 2 2 17 8" xfId="2110"/>
    <cellStyle name="Normal 2 2 17 9" xfId="2111"/>
    <cellStyle name="Normal 2 2 18" xfId="2112"/>
    <cellStyle name="Normal 2 2 18 10" xfId="2113"/>
    <cellStyle name="Normal 2 2 18 11" xfId="2114"/>
    <cellStyle name="Normal 2 2 18 12" xfId="2115"/>
    <cellStyle name="Normal 2 2 18 13" xfId="2116"/>
    <cellStyle name="Normal 2 2 18 14" xfId="2117"/>
    <cellStyle name="Normal 2 2 18 15" xfId="2118"/>
    <cellStyle name="Normal 2 2 18 16" xfId="2119"/>
    <cellStyle name="Normal 2 2 18 17" xfId="2120"/>
    <cellStyle name="Normal 2 2 18 2" xfId="2121"/>
    <cellStyle name="Normal 2 2 18 3" xfId="2122"/>
    <cellStyle name="Normal 2 2 18 4" xfId="2123"/>
    <cellStyle name="Normal 2 2 18 5" xfId="2124"/>
    <cellStyle name="Normal 2 2 18 6" xfId="2125"/>
    <cellStyle name="Normal 2 2 18 7" xfId="2126"/>
    <cellStyle name="Normal 2 2 18 8" xfId="2127"/>
    <cellStyle name="Normal 2 2 18 9" xfId="2128"/>
    <cellStyle name="Normal 2 2 19" xfId="2129"/>
    <cellStyle name="Normal 2 2 19 10" xfId="2130"/>
    <cellStyle name="Normal 2 2 19 11" xfId="2131"/>
    <cellStyle name="Normal 2 2 19 12" xfId="2132"/>
    <cellStyle name="Normal 2 2 19 13" xfId="2133"/>
    <cellStyle name="Normal 2 2 19 14" xfId="2134"/>
    <cellStyle name="Normal 2 2 19 15" xfId="2135"/>
    <cellStyle name="Normal 2 2 19 16" xfId="2136"/>
    <cellStyle name="Normal 2 2 19 17" xfId="2137"/>
    <cellStyle name="Normal 2 2 19 2" xfId="2138"/>
    <cellStyle name="Normal 2 2 19 3" xfId="2139"/>
    <cellStyle name="Normal 2 2 19 4" xfId="2140"/>
    <cellStyle name="Normal 2 2 19 5" xfId="2141"/>
    <cellStyle name="Normal 2 2 19 6" xfId="2142"/>
    <cellStyle name="Normal 2 2 19 7" xfId="2143"/>
    <cellStyle name="Normal 2 2 19 8" xfId="2144"/>
    <cellStyle name="Normal 2 2 19 9" xfId="2145"/>
    <cellStyle name="Normal 2 2 2" xfId="71"/>
    <cellStyle name="Normal 2 2 2 10" xfId="2146"/>
    <cellStyle name="Normal 2 2 2 10 10" xfId="2147"/>
    <cellStyle name="Normal 2 2 2 10 11" xfId="2148"/>
    <cellStyle name="Normal 2 2 2 10 12" xfId="2149"/>
    <cellStyle name="Normal 2 2 2 10 13" xfId="2150"/>
    <cellStyle name="Normal 2 2 2 10 14" xfId="2151"/>
    <cellStyle name="Normal 2 2 2 10 15" xfId="2152"/>
    <cellStyle name="Normal 2 2 2 10 16" xfId="2153"/>
    <cellStyle name="Normal 2 2 2 10 17" xfId="2154"/>
    <cellStyle name="Normal 2 2 2 10 18" xfId="2155"/>
    <cellStyle name="Normal 2 2 2 10 19" xfId="2156"/>
    <cellStyle name="Normal 2 2 2 10 2" xfId="2157"/>
    <cellStyle name="Normal 2 2 2 10 20" xfId="2158"/>
    <cellStyle name="Normal 2 2 2 10 21" xfId="2159"/>
    <cellStyle name="Normal 2 2 2 10 22" xfId="2160"/>
    <cellStyle name="Normal 2 2 2 10 23" xfId="2161"/>
    <cellStyle name="Normal 2 2 2 10 24" xfId="2162"/>
    <cellStyle name="Normal 2 2 2 10 25" xfId="2163"/>
    <cellStyle name="Normal 2 2 2 10 26" xfId="2164"/>
    <cellStyle name="Normal 2 2 2 10 27" xfId="2165"/>
    <cellStyle name="Normal 2 2 2 10 28" xfId="2166"/>
    <cellStyle name="Normal 2 2 2 10 29" xfId="2167"/>
    <cellStyle name="Normal 2 2 2 10 3" xfId="2168"/>
    <cellStyle name="Normal 2 2 2 10 30" xfId="2169"/>
    <cellStyle name="Normal 2 2 2 10 31" xfId="2170"/>
    <cellStyle name="Normal 2 2 2 10 32" xfId="2171"/>
    <cellStyle name="Normal 2 2 2 10 33" xfId="2172"/>
    <cellStyle name="Normal 2 2 2 10 34" xfId="2173"/>
    <cellStyle name="Normal 2 2 2 10 35" xfId="2174"/>
    <cellStyle name="Normal 2 2 2 10 36" xfId="2175"/>
    <cellStyle name="Normal 2 2 2 10 37" xfId="2176"/>
    <cellStyle name="Normal 2 2 2 10 38" xfId="2177"/>
    <cellStyle name="Normal 2 2 2 10 39" xfId="2178"/>
    <cellStyle name="Normal 2 2 2 10 4" xfId="2179"/>
    <cellStyle name="Normal 2 2 2 10 40" xfId="2180"/>
    <cellStyle name="Normal 2 2 2 10 41" xfId="2181"/>
    <cellStyle name="Normal 2 2 2 10 42" xfId="2182"/>
    <cellStyle name="Normal 2 2 2 10 5" xfId="2183"/>
    <cellStyle name="Normal 2 2 2 10 6" xfId="2184"/>
    <cellStyle name="Normal 2 2 2 10 7" xfId="2185"/>
    <cellStyle name="Normal 2 2 2 10 8" xfId="2186"/>
    <cellStyle name="Normal 2 2 2 10 9" xfId="2187"/>
    <cellStyle name="Normal 2 2 2 11" xfId="2188"/>
    <cellStyle name="Normal 2 2 2 11 10" xfId="2189"/>
    <cellStyle name="Normal 2 2 2 11 11" xfId="2190"/>
    <cellStyle name="Normal 2 2 2 11 12" xfId="2191"/>
    <cellStyle name="Normal 2 2 2 11 13" xfId="2192"/>
    <cellStyle name="Normal 2 2 2 11 14" xfId="2193"/>
    <cellStyle name="Normal 2 2 2 11 15" xfId="2194"/>
    <cellStyle name="Normal 2 2 2 11 16" xfId="2195"/>
    <cellStyle name="Normal 2 2 2 11 17" xfId="2196"/>
    <cellStyle name="Normal 2 2 2 11 18" xfId="2197"/>
    <cellStyle name="Normal 2 2 2 11 19" xfId="2198"/>
    <cellStyle name="Normal 2 2 2 11 2" xfId="2199"/>
    <cellStyle name="Normal 2 2 2 11 20" xfId="2200"/>
    <cellStyle name="Normal 2 2 2 11 21" xfId="2201"/>
    <cellStyle name="Normal 2 2 2 11 22" xfId="2202"/>
    <cellStyle name="Normal 2 2 2 11 23" xfId="2203"/>
    <cellStyle name="Normal 2 2 2 11 24" xfId="2204"/>
    <cellStyle name="Normal 2 2 2 11 25" xfId="2205"/>
    <cellStyle name="Normal 2 2 2 11 26" xfId="2206"/>
    <cellStyle name="Normal 2 2 2 11 27" xfId="2207"/>
    <cellStyle name="Normal 2 2 2 11 28" xfId="2208"/>
    <cellStyle name="Normal 2 2 2 11 29" xfId="2209"/>
    <cellStyle name="Normal 2 2 2 11 3" xfId="2210"/>
    <cellStyle name="Normal 2 2 2 11 30" xfId="2211"/>
    <cellStyle name="Normal 2 2 2 11 31" xfId="2212"/>
    <cellStyle name="Normal 2 2 2 11 32" xfId="2213"/>
    <cellStyle name="Normal 2 2 2 11 33" xfId="2214"/>
    <cellStyle name="Normal 2 2 2 11 34" xfId="2215"/>
    <cellStyle name="Normal 2 2 2 11 35" xfId="2216"/>
    <cellStyle name="Normal 2 2 2 11 36" xfId="2217"/>
    <cellStyle name="Normal 2 2 2 11 37" xfId="2218"/>
    <cellStyle name="Normal 2 2 2 11 38" xfId="2219"/>
    <cellStyle name="Normal 2 2 2 11 39" xfId="2220"/>
    <cellStyle name="Normal 2 2 2 11 4" xfId="2221"/>
    <cellStyle name="Normal 2 2 2 11 40" xfId="2222"/>
    <cellStyle name="Normal 2 2 2 11 41" xfId="2223"/>
    <cellStyle name="Normal 2 2 2 11 42" xfId="2224"/>
    <cellStyle name="Normal 2 2 2 11 5" xfId="2225"/>
    <cellStyle name="Normal 2 2 2 11 6" xfId="2226"/>
    <cellStyle name="Normal 2 2 2 11 7" xfId="2227"/>
    <cellStyle name="Normal 2 2 2 11 8" xfId="2228"/>
    <cellStyle name="Normal 2 2 2 11 9" xfId="2229"/>
    <cellStyle name="Normal 2 2 2 12" xfId="2230"/>
    <cellStyle name="Normal 2 2 2 12 10" xfId="2231"/>
    <cellStyle name="Normal 2 2 2 12 11" xfId="2232"/>
    <cellStyle name="Normal 2 2 2 12 12" xfId="2233"/>
    <cellStyle name="Normal 2 2 2 12 13" xfId="2234"/>
    <cellStyle name="Normal 2 2 2 12 14" xfId="2235"/>
    <cellStyle name="Normal 2 2 2 12 15" xfId="2236"/>
    <cellStyle name="Normal 2 2 2 12 16" xfId="2237"/>
    <cellStyle name="Normal 2 2 2 12 17" xfId="2238"/>
    <cellStyle name="Normal 2 2 2 12 2" xfId="2239"/>
    <cellStyle name="Normal 2 2 2 12 3" xfId="2240"/>
    <cellStyle name="Normal 2 2 2 12 4" xfId="2241"/>
    <cellStyle name="Normal 2 2 2 12 5" xfId="2242"/>
    <cellStyle name="Normal 2 2 2 12 6" xfId="2243"/>
    <cellStyle name="Normal 2 2 2 12 7" xfId="2244"/>
    <cellStyle name="Normal 2 2 2 12 8" xfId="2245"/>
    <cellStyle name="Normal 2 2 2 12 9" xfId="2246"/>
    <cellStyle name="Normal 2 2 2 13" xfId="2247"/>
    <cellStyle name="Normal 2 2 2 13 10" xfId="2248"/>
    <cellStyle name="Normal 2 2 2 13 11" xfId="2249"/>
    <cellStyle name="Normal 2 2 2 13 12" xfId="2250"/>
    <cellStyle name="Normal 2 2 2 13 13" xfId="2251"/>
    <cellStyle name="Normal 2 2 2 13 14" xfId="2252"/>
    <cellStyle name="Normal 2 2 2 13 15" xfId="2253"/>
    <cellStyle name="Normal 2 2 2 13 16" xfId="2254"/>
    <cellStyle name="Normal 2 2 2 13 17" xfId="2255"/>
    <cellStyle name="Normal 2 2 2 13 2" xfId="2256"/>
    <cellStyle name="Normal 2 2 2 13 3" xfId="2257"/>
    <cellStyle name="Normal 2 2 2 13 4" xfId="2258"/>
    <cellStyle name="Normal 2 2 2 13 5" xfId="2259"/>
    <cellStyle name="Normal 2 2 2 13 6" xfId="2260"/>
    <cellStyle name="Normal 2 2 2 13 7" xfId="2261"/>
    <cellStyle name="Normal 2 2 2 13 8" xfId="2262"/>
    <cellStyle name="Normal 2 2 2 13 9" xfId="2263"/>
    <cellStyle name="Normal 2 2 2 14" xfId="2264"/>
    <cellStyle name="Normal 2 2 2 14 10" xfId="2265"/>
    <cellStyle name="Normal 2 2 2 14 11" xfId="2266"/>
    <cellStyle name="Normal 2 2 2 14 12" xfId="2267"/>
    <cellStyle name="Normal 2 2 2 14 13" xfId="2268"/>
    <cellStyle name="Normal 2 2 2 14 14" xfId="2269"/>
    <cellStyle name="Normal 2 2 2 14 15" xfId="2270"/>
    <cellStyle name="Normal 2 2 2 14 16" xfId="2271"/>
    <cellStyle name="Normal 2 2 2 14 17" xfId="2272"/>
    <cellStyle name="Normal 2 2 2 14 2" xfId="2273"/>
    <cellStyle name="Normal 2 2 2 14 3" xfId="2274"/>
    <cellStyle name="Normal 2 2 2 14 4" xfId="2275"/>
    <cellStyle name="Normal 2 2 2 14 5" xfId="2276"/>
    <cellStyle name="Normal 2 2 2 14 6" xfId="2277"/>
    <cellStyle name="Normal 2 2 2 14 7" xfId="2278"/>
    <cellStyle name="Normal 2 2 2 14 8" xfId="2279"/>
    <cellStyle name="Normal 2 2 2 14 9" xfId="2280"/>
    <cellStyle name="Normal 2 2 2 15" xfId="2281"/>
    <cellStyle name="Normal 2 2 2 15 10" xfId="2282"/>
    <cellStyle name="Normal 2 2 2 15 11" xfId="2283"/>
    <cellStyle name="Normal 2 2 2 15 12" xfId="2284"/>
    <cellStyle name="Normal 2 2 2 15 13" xfId="2285"/>
    <cellStyle name="Normal 2 2 2 15 14" xfId="2286"/>
    <cellStyle name="Normal 2 2 2 15 15" xfId="2287"/>
    <cellStyle name="Normal 2 2 2 15 16" xfId="2288"/>
    <cellStyle name="Normal 2 2 2 15 17" xfId="2289"/>
    <cellStyle name="Normal 2 2 2 15 2" xfId="2290"/>
    <cellStyle name="Normal 2 2 2 15 3" xfId="2291"/>
    <cellStyle name="Normal 2 2 2 15 4" xfId="2292"/>
    <cellStyle name="Normal 2 2 2 15 5" xfId="2293"/>
    <cellStyle name="Normal 2 2 2 15 6" xfId="2294"/>
    <cellStyle name="Normal 2 2 2 15 7" xfId="2295"/>
    <cellStyle name="Normal 2 2 2 15 8" xfId="2296"/>
    <cellStyle name="Normal 2 2 2 15 9" xfId="2297"/>
    <cellStyle name="Normal 2 2 2 16" xfId="2298"/>
    <cellStyle name="Normal 2 2 2 16 10" xfId="2299"/>
    <cellStyle name="Normal 2 2 2 16 11" xfId="2300"/>
    <cellStyle name="Normal 2 2 2 16 12" xfId="2301"/>
    <cellStyle name="Normal 2 2 2 16 13" xfId="2302"/>
    <cellStyle name="Normal 2 2 2 16 14" xfId="2303"/>
    <cellStyle name="Normal 2 2 2 16 15" xfId="2304"/>
    <cellStyle name="Normal 2 2 2 16 16" xfId="2305"/>
    <cellStyle name="Normal 2 2 2 16 17" xfId="2306"/>
    <cellStyle name="Normal 2 2 2 16 2" xfId="2307"/>
    <cellStyle name="Normal 2 2 2 16 3" xfId="2308"/>
    <cellStyle name="Normal 2 2 2 16 4" xfId="2309"/>
    <cellStyle name="Normal 2 2 2 16 5" xfId="2310"/>
    <cellStyle name="Normal 2 2 2 16 6" xfId="2311"/>
    <cellStyle name="Normal 2 2 2 16 7" xfId="2312"/>
    <cellStyle name="Normal 2 2 2 16 8" xfId="2313"/>
    <cellStyle name="Normal 2 2 2 16 9" xfId="2314"/>
    <cellStyle name="Normal 2 2 2 17" xfId="2315"/>
    <cellStyle name="Normal 2 2 2 17 10" xfId="2316"/>
    <cellStyle name="Normal 2 2 2 17 11" xfId="2317"/>
    <cellStyle name="Normal 2 2 2 17 12" xfId="2318"/>
    <cellStyle name="Normal 2 2 2 17 13" xfId="2319"/>
    <cellStyle name="Normal 2 2 2 17 14" xfId="2320"/>
    <cellStyle name="Normal 2 2 2 17 15" xfId="2321"/>
    <cellStyle name="Normal 2 2 2 17 16" xfId="2322"/>
    <cellStyle name="Normal 2 2 2 17 17" xfId="2323"/>
    <cellStyle name="Normal 2 2 2 17 2" xfId="2324"/>
    <cellStyle name="Normal 2 2 2 17 3" xfId="2325"/>
    <cellStyle name="Normal 2 2 2 17 4" xfId="2326"/>
    <cellStyle name="Normal 2 2 2 17 5" xfId="2327"/>
    <cellStyle name="Normal 2 2 2 17 6" xfId="2328"/>
    <cellStyle name="Normal 2 2 2 17 7" xfId="2329"/>
    <cellStyle name="Normal 2 2 2 17 8" xfId="2330"/>
    <cellStyle name="Normal 2 2 2 17 9" xfId="2331"/>
    <cellStyle name="Normal 2 2 2 18" xfId="2332"/>
    <cellStyle name="Normal 2 2 2 18 10" xfId="2333"/>
    <cellStyle name="Normal 2 2 2 18 11" xfId="2334"/>
    <cellStyle name="Normal 2 2 2 18 12" xfId="2335"/>
    <cellStyle name="Normal 2 2 2 18 13" xfId="2336"/>
    <cellStyle name="Normal 2 2 2 18 14" xfId="2337"/>
    <cellStyle name="Normal 2 2 2 18 15" xfId="2338"/>
    <cellStyle name="Normal 2 2 2 18 16" xfId="2339"/>
    <cellStyle name="Normal 2 2 2 18 17" xfId="2340"/>
    <cellStyle name="Normal 2 2 2 18 2" xfId="2341"/>
    <cellStyle name="Normal 2 2 2 18 3" xfId="2342"/>
    <cellStyle name="Normal 2 2 2 18 4" xfId="2343"/>
    <cellStyle name="Normal 2 2 2 18 5" xfId="2344"/>
    <cellStyle name="Normal 2 2 2 18 6" xfId="2345"/>
    <cellStyle name="Normal 2 2 2 18 7" xfId="2346"/>
    <cellStyle name="Normal 2 2 2 18 8" xfId="2347"/>
    <cellStyle name="Normal 2 2 2 18 9" xfId="2348"/>
    <cellStyle name="Normal 2 2 2 19" xfId="2349"/>
    <cellStyle name="Normal 2 2 2 2" xfId="2350"/>
    <cellStyle name="Normal 2 2 2 2 10" xfId="2351"/>
    <cellStyle name="Normal 2 2 2 2 10 10" xfId="2352"/>
    <cellStyle name="Normal 2 2 2 2 10 11" xfId="2353"/>
    <cellStyle name="Normal 2 2 2 2 10 12" xfId="2354"/>
    <cellStyle name="Normal 2 2 2 2 10 13" xfId="2355"/>
    <cellStyle name="Normal 2 2 2 2 10 2" xfId="2356"/>
    <cellStyle name="Normal 2 2 2 2 10 3" xfId="2357"/>
    <cellStyle name="Normal 2 2 2 2 10 4" xfId="2358"/>
    <cellStyle name="Normal 2 2 2 2 10 5" xfId="2359"/>
    <cellStyle name="Normal 2 2 2 2 10 6" xfId="2360"/>
    <cellStyle name="Normal 2 2 2 2 10 7" xfId="2361"/>
    <cellStyle name="Normal 2 2 2 2 10 8" xfId="2362"/>
    <cellStyle name="Normal 2 2 2 2 10 9" xfId="2363"/>
    <cellStyle name="Normal 2 2 2 2 11" xfId="2364"/>
    <cellStyle name="Normal 2 2 2 2 11 10" xfId="2365"/>
    <cellStyle name="Normal 2 2 2 2 11 11" xfId="2366"/>
    <cellStyle name="Normal 2 2 2 2 11 12" xfId="2367"/>
    <cellStyle name="Normal 2 2 2 2 11 13" xfId="2368"/>
    <cellStyle name="Normal 2 2 2 2 11 2" xfId="2369"/>
    <cellStyle name="Normal 2 2 2 2 11 3" xfId="2370"/>
    <cellStyle name="Normal 2 2 2 2 11 4" xfId="2371"/>
    <cellStyle name="Normal 2 2 2 2 11 5" xfId="2372"/>
    <cellStyle name="Normal 2 2 2 2 11 6" xfId="2373"/>
    <cellStyle name="Normal 2 2 2 2 11 7" xfId="2374"/>
    <cellStyle name="Normal 2 2 2 2 11 8" xfId="2375"/>
    <cellStyle name="Normal 2 2 2 2 11 9" xfId="2376"/>
    <cellStyle name="Normal 2 2 2 2 12" xfId="2377"/>
    <cellStyle name="Normal 2 2 2 2 12 10" xfId="2378"/>
    <cellStyle name="Normal 2 2 2 2 12 11" xfId="2379"/>
    <cellStyle name="Normal 2 2 2 2 12 12" xfId="2380"/>
    <cellStyle name="Normal 2 2 2 2 12 13" xfId="2381"/>
    <cellStyle name="Normal 2 2 2 2 12 2" xfId="2382"/>
    <cellStyle name="Normal 2 2 2 2 12 3" xfId="2383"/>
    <cellStyle name="Normal 2 2 2 2 12 4" xfId="2384"/>
    <cellStyle name="Normal 2 2 2 2 12 5" xfId="2385"/>
    <cellStyle name="Normal 2 2 2 2 12 6" xfId="2386"/>
    <cellStyle name="Normal 2 2 2 2 12 7" xfId="2387"/>
    <cellStyle name="Normal 2 2 2 2 12 8" xfId="2388"/>
    <cellStyle name="Normal 2 2 2 2 12 9" xfId="2389"/>
    <cellStyle name="Normal 2 2 2 2 13" xfId="2390"/>
    <cellStyle name="Normal 2 2 2 2 13 10" xfId="2391"/>
    <cellStyle name="Normal 2 2 2 2 13 11" xfId="2392"/>
    <cellStyle name="Normal 2 2 2 2 13 12" xfId="2393"/>
    <cellStyle name="Normal 2 2 2 2 13 13" xfId="2394"/>
    <cellStyle name="Normal 2 2 2 2 13 2" xfId="2395"/>
    <cellStyle name="Normal 2 2 2 2 13 3" xfId="2396"/>
    <cellStyle name="Normal 2 2 2 2 13 4" xfId="2397"/>
    <cellStyle name="Normal 2 2 2 2 13 5" xfId="2398"/>
    <cellStyle name="Normal 2 2 2 2 13 6" xfId="2399"/>
    <cellStyle name="Normal 2 2 2 2 13 7" xfId="2400"/>
    <cellStyle name="Normal 2 2 2 2 13 8" xfId="2401"/>
    <cellStyle name="Normal 2 2 2 2 13 9" xfId="2402"/>
    <cellStyle name="Normal 2 2 2 2 14" xfId="2403"/>
    <cellStyle name="Normal 2 2 2 2 14 10" xfId="2404"/>
    <cellStyle name="Normal 2 2 2 2 14 11" xfId="2405"/>
    <cellStyle name="Normal 2 2 2 2 14 12" xfId="2406"/>
    <cellStyle name="Normal 2 2 2 2 14 13" xfId="2407"/>
    <cellStyle name="Normal 2 2 2 2 14 2" xfId="2408"/>
    <cellStyle name="Normal 2 2 2 2 14 3" xfId="2409"/>
    <cellStyle name="Normal 2 2 2 2 14 4" xfId="2410"/>
    <cellStyle name="Normal 2 2 2 2 14 5" xfId="2411"/>
    <cellStyle name="Normal 2 2 2 2 14 6" xfId="2412"/>
    <cellStyle name="Normal 2 2 2 2 14 7" xfId="2413"/>
    <cellStyle name="Normal 2 2 2 2 14 8" xfId="2414"/>
    <cellStyle name="Normal 2 2 2 2 14 9" xfId="2415"/>
    <cellStyle name="Normal 2 2 2 2 15" xfId="2416"/>
    <cellStyle name="Normal 2 2 2 2 15 10" xfId="2417"/>
    <cellStyle name="Normal 2 2 2 2 15 11" xfId="2418"/>
    <cellStyle name="Normal 2 2 2 2 15 12" xfId="2419"/>
    <cellStyle name="Normal 2 2 2 2 15 13" xfId="2420"/>
    <cellStyle name="Normal 2 2 2 2 15 2" xfId="2421"/>
    <cellStyle name="Normal 2 2 2 2 15 3" xfId="2422"/>
    <cellStyle name="Normal 2 2 2 2 15 4" xfId="2423"/>
    <cellStyle name="Normal 2 2 2 2 15 5" xfId="2424"/>
    <cellStyle name="Normal 2 2 2 2 15 6" xfId="2425"/>
    <cellStyle name="Normal 2 2 2 2 15 7" xfId="2426"/>
    <cellStyle name="Normal 2 2 2 2 15 8" xfId="2427"/>
    <cellStyle name="Normal 2 2 2 2 15 9" xfId="2428"/>
    <cellStyle name="Normal 2 2 2 2 16" xfId="2429"/>
    <cellStyle name="Normal 2 2 2 2 16 10" xfId="2430"/>
    <cellStyle name="Normal 2 2 2 2 16 11" xfId="2431"/>
    <cellStyle name="Normal 2 2 2 2 16 12" xfId="2432"/>
    <cellStyle name="Normal 2 2 2 2 16 13" xfId="2433"/>
    <cellStyle name="Normal 2 2 2 2 16 2" xfId="2434"/>
    <cellStyle name="Normal 2 2 2 2 16 3" xfId="2435"/>
    <cellStyle name="Normal 2 2 2 2 16 4" xfId="2436"/>
    <cellStyle name="Normal 2 2 2 2 16 5" xfId="2437"/>
    <cellStyle name="Normal 2 2 2 2 16 6" xfId="2438"/>
    <cellStyle name="Normal 2 2 2 2 16 7" xfId="2439"/>
    <cellStyle name="Normal 2 2 2 2 16 8" xfId="2440"/>
    <cellStyle name="Normal 2 2 2 2 16 9" xfId="2441"/>
    <cellStyle name="Normal 2 2 2 2 17" xfId="2442"/>
    <cellStyle name="Normal 2 2 2 2 17 10" xfId="2443"/>
    <cellStyle name="Normal 2 2 2 2 17 11" xfId="2444"/>
    <cellStyle name="Normal 2 2 2 2 17 12" xfId="2445"/>
    <cellStyle name="Normal 2 2 2 2 17 13" xfId="2446"/>
    <cellStyle name="Normal 2 2 2 2 17 2" xfId="2447"/>
    <cellStyle name="Normal 2 2 2 2 17 3" xfId="2448"/>
    <cellStyle name="Normal 2 2 2 2 17 4" xfId="2449"/>
    <cellStyle name="Normal 2 2 2 2 17 5" xfId="2450"/>
    <cellStyle name="Normal 2 2 2 2 17 6" xfId="2451"/>
    <cellStyle name="Normal 2 2 2 2 17 7" xfId="2452"/>
    <cellStyle name="Normal 2 2 2 2 17 8" xfId="2453"/>
    <cellStyle name="Normal 2 2 2 2 17 9" xfId="2454"/>
    <cellStyle name="Normal 2 2 2 2 18" xfId="2455"/>
    <cellStyle name="Normal 2 2 2 2 18 10" xfId="2456"/>
    <cellStyle name="Normal 2 2 2 2 18 11" xfId="2457"/>
    <cellStyle name="Normal 2 2 2 2 18 12" xfId="2458"/>
    <cellStyle name="Normal 2 2 2 2 18 13" xfId="2459"/>
    <cellStyle name="Normal 2 2 2 2 18 2" xfId="2460"/>
    <cellStyle name="Normal 2 2 2 2 18 3" xfId="2461"/>
    <cellStyle name="Normal 2 2 2 2 18 4" xfId="2462"/>
    <cellStyle name="Normal 2 2 2 2 18 5" xfId="2463"/>
    <cellStyle name="Normal 2 2 2 2 18 6" xfId="2464"/>
    <cellStyle name="Normal 2 2 2 2 18 7" xfId="2465"/>
    <cellStyle name="Normal 2 2 2 2 18 8" xfId="2466"/>
    <cellStyle name="Normal 2 2 2 2 18 9" xfId="2467"/>
    <cellStyle name="Normal 2 2 2 2 19" xfId="2468"/>
    <cellStyle name="Normal 2 2 2 2 19 10" xfId="2469"/>
    <cellStyle name="Normal 2 2 2 2 19 11" xfId="2470"/>
    <cellStyle name="Normal 2 2 2 2 19 12" xfId="2471"/>
    <cellStyle name="Normal 2 2 2 2 19 13" xfId="2472"/>
    <cellStyle name="Normal 2 2 2 2 19 2" xfId="2473"/>
    <cellStyle name="Normal 2 2 2 2 19 3" xfId="2474"/>
    <cellStyle name="Normal 2 2 2 2 19 4" xfId="2475"/>
    <cellStyle name="Normal 2 2 2 2 19 5" xfId="2476"/>
    <cellStyle name="Normal 2 2 2 2 19 6" xfId="2477"/>
    <cellStyle name="Normal 2 2 2 2 19 7" xfId="2478"/>
    <cellStyle name="Normal 2 2 2 2 19 8" xfId="2479"/>
    <cellStyle name="Normal 2 2 2 2 19 9" xfId="2480"/>
    <cellStyle name="Normal 2 2 2 2 2" xfId="2481"/>
    <cellStyle name="Normal 2 2 2 2 2 10" xfId="2482"/>
    <cellStyle name="Normal 2 2 2 2 2 11" xfId="2483"/>
    <cellStyle name="Normal 2 2 2 2 2 12" xfId="2484"/>
    <cellStyle name="Normal 2 2 2 2 2 13" xfId="2485"/>
    <cellStyle name="Normal 2 2 2 2 2 2" xfId="2486"/>
    <cellStyle name="Normal 2 2 2 2 2 3" xfId="2487"/>
    <cellStyle name="Normal 2 2 2 2 2 4" xfId="2488"/>
    <cellStyle name="Normal 2 2 2 2 2 5" xfId="2489"/>
    <cellStyle name="Normal 2 2 2 2 2 6" xfId="2490"/>
    <cellStyle name="Normal 2 2 2 2 2 7" xfId="2491"/>
    <cellStyle name="Normal 2 2 2 2 2 8" xfId="2492"/>
    <cellStyle name="Normal 2 2 2 2 2 9" xfId="2493"/>
    <cellStyle name="Normal 2 2 2 2 20" xfId="2494"/>
    <cellStyle name="Normal 2 2 2 2 20 10" xfId="2495"/>
    <cellStyle name="Normal 2 2 2 2 20 11" xfId="2496"/>
    <cellStyle name="Normal 2 2 2 2 20 12" xfId="2497"/>
    <cellStyle name="Normal 2 2 2 2 20 13" xfId="2498"/>
    <cellStyle name="Normal 2 2 2 2 20 2" xfId="2499"/>
    <cellStyle name="Normal 2 2 2 2 20 3" xfId="2500"/>
    <cellStyle name="Normal 2 2 2 2 20 4" xfId="2501"/>
    <cellStyle name="Normal 2 2 2 2 20 5" xfId="2502"/>
    <cellStyle name="Normal 2 2 2 2 20 6" xfId="2503"/>
    <cellStyle name="Normal 2 2 2 2 20 7" xfId="2504"/>
    <cellStyle name="Normal 2 2 2 2 20 8" xfId="2505"/>
    <cellStyle name="Normal 2 2 2 2 20 9" xfId="2506"/>
    <cellStyle name="Normal 2 2 2 2 21" xfId="2507"/>
    <cellStyle name="Normal 2 2 2 2 21 10" xfId="2508"/>
    <cellStyle name="Normal 2 2 2 2 21 11" xfId="2509"/>
    <cellStyle name="Normal 2 2 2 2 21 12" xfId="2510"/>
    <cellStyle name="Normal 2 2 2 2 21 13" xfId="2511"/>
    <cellStyle name="Normal 2 2 2 2 21 2" xfId="2512"/>
    <cellStyle name="Normal 2 2 2 2 21 3" xfId="2513"/>
    <cellStyle name="Normal 2 2 2 2 21 4" xfId="2514"/>
    <cellStyle name="Normal 2 2 2 2 21 5" xfId="2515"/>
    <cellStyle name="Normal 2 2 2 2 21 6" xfId="2516"/>
    <cellStyle name="Normal 2 2 2 2 21 7" xfId="2517"/>
    <cellStyle name="Normal 2 2 2 2 21 8" xfId="2518"/>
    <cellStyle name="Normal 2 2 2 2 21 9" xfId="2519"/>
    <cellStyle name="Normal 2 2 2 2 22" xfId="2520"/>
    <cellStyle name="Normal 2 2 2 2 22 10" xfId="2521"/>
    <cellStyle name="Normal 2 2 2 2 22 11" xfId="2522"/>
    <cellStyle name="Normal 2 2 2 2 22 12" xfId="2523"/>
    <cellStyle name="Normal 2 2 2 2 22 13" xfId="2524"/>
    <cellStyle name="Normal 2 2 2 2 22 2" xfId="2525"/>
    <cellStyle name="Normal 2 2 2 2 22 3" xfId="2526"/>
    <cellStyle name="Normal 2 2 2 2 22 4" xfId="2527"/>
    <cellStyle name="Normal 2 2 2 2 22 5" xfId="2528"/>
    <cellStyle name="Normal 2 2 2 2 22 6" xfId="2529"/>
    <cellStyle name="Normal 2 2 2 2 22 7" xfId="2530"/>
    <cellStyle name="Normal 2 2 2 2 22 8" xfId="2531"/>
    <cellStyle name="Normal 2 2 2 2 22 9" xfId="2532"/>
    <cellStyle name="Normal 2 2 2 2 23" xfId="2533"/>
    <cellStyle name="Normal 2 2 2 2 23 10" xfId="2534"/>
    <cellStyle name="Normal 2 2 2 2 23 11" xfId="2535"/>
    <cellStyle name="Normal 2 2 2 2 23 12" xfId="2536"/>
    <cellStyle name="Normal 2 2 2 2 23 13" xfId="2537"/>
    <cellStyle name="Normal 2 2 2 2 23 2" xfId="2538"/>
    <cellStyle name="Normal 2 2 2 2 23 3" xfId="2539"/>
    <cellStyle name="Normal 2 2 2 2 23 4" xfId="2540"/>
    <cellStyle name="Normal 2 2 2 2 23 5" xfId="2541"/>
    <cellStyle name="Normal 2 2 2 2 23 6" xfId="2542"/>
    <cellStyle name="Normal 2 2 2 2 23 7" xfId="2543"/>
    <cellStyle name="Normal 2 2 2 2 23 8" xfId="2544"/>
    <cellStyle name="Normal 2 2 2 2 23 9" xfId="2545"/>
    <cellStyle name="Normal 2 2 2 2 24" xfId="2546"/>
    <cellStyle name="Normal 2 2 2 2 24 10" xfId="2547"/>
    <cellStyle name="Normal 2 2 2 2 24 11" xfId="2548"/>
    <cellStyle name="Normal 2 2 2 2 24 12" xfId="2549"/>
    <cellStyle name="Normal 2 2 2 2 24 13" xfId="2550"/>
    <cellStyle name="Normal 2 2 2 2 24 2" xfId="2551"/>
    <cellStyle name="Normal 2 2 2 2 24 3" xfId="2552"/>
    <cellStyle name="Normal 2 2 2 2 24 4" xfId="2553"/>
    <cellStyle name="Normal 2 2 2 2 24 5" xfId="2554"/>
    <cellStyle name="Normal 2 2 2 2 24 6" xfId="2555"/>
    <cellStyle name="Normal 2 2 2 2 24 7" xfId="2556"/>
    <cellStyle name="Normal 2 2 2 2 24 8" xfId="2557"/>
    <cellStyle name="Normal 2 2 2 2 24 9" xfId="2558"/>
    <cellStyle name="Normal 2 2 2 2 25" xfId="2559"/>
    <cellStyle name="Normal 2 2 2 2 25 10" xfId="2560"/>
    <cellStyle name="Normal 2 2 2 2 25 11" xfId="2561"/>
    <cellStyle name="Normal 2 2 2 2 25 12" xfId="2562"/>
    <cellStyle name="Normal 2 2 2 2 25 13" xfId="2563"/>
    <cellStyle name="Normal 2 2 2 2 25 2" xfId="2564"/>
    <cellStyle name="Normal 2 2 2 2 25 3" xfId="2565"/>
    <cellStyle name="Normal 2 2 2 2 25 4" xfId="2566"/>
    <cellStyle name="Normal 2 2 2 2 25 5" xfId="2567"/>
    <cellStyle name="Normal 2 2 2 2 25 6" xfId="2568"/>
    <cellStyle name="Normal 2 2 2 2 25 7" xfId="2569"/>
    <cellStyle name="Normal 2 2 2 2 25 8" xfId="2570"/>
    <cellStyle name="Normal 2 2 2 2 25 9" xfId="2571"/>
    <cellStyle name="Normal 2 2 2 2 26" xfId="2572"/>
    <cellStyle name="Normal 2 2 2 2 26 10" xfId="2573"/>
    <cellStyle name="Normal 2 2 2 2 26 11" xfId="2574"/>
    <cellStyle name="Normal 2 2 2 2 26 12" xfId="2575"/>
    <cellStyle name="Normal 2 2 2 2 26 13" xfId="2576"/>
    <cellStyle name="Normal 2 2 2 2 26 2" xfId="2577"/>
    <cellStyle name="Normal 2 2 2 2 26 3" xfId="2578"/>
    <cellStyle name="Normal 2 2 2 2 26 4" xfId="2579"/>
    <cellStyle name="Normal 2 2 2 2 26 5" xfId="2580"/>
    <cellStyle name="Normal 2 2 2 2 26 6" xfId="2581"/>
    <cellStyle name="Normal 2 2 2 2 26 7" xfId="2582"/>
    <cellStyle name="Normal 2 2 2 2 26 8" xfId="2583"/>
    <cellStyle name="Normal 2 2 2 2 26 9" xfId="2584"/>
    <cellStyle name="Normal 2 2 2 2 27" xfId="2585"/>
    <cellStyle name="Normal 2 2 2 2 27 10" xfId="2586"/>
    <cellStyle name="Normal 2 2 2 2 27 11" xfId="2587"/>
    <cellStyle name="Normal 2 2 2 2 27 12" xfId="2588"/>
    <cellStyle name="Normal 2 2 2 2 27 13" xfId="2589"/>
    <cellStyle name="Normal 2 2 2 2 27 2" xfId="2590"/>
    <cellStyle name="Normal 2 2 2 2 27 3" xfId="2591"/>
    <cellStyle name="Normal 2 2 2 2 27 4" xfId="2592"/>
    <cellStyle name="Normal 2 2 2 2 27 5" xfId="2593"/>
    <cellStyle name="Normal 2 2 2 2 27 6" xfId="2594"/>
    <cellStyle name="Normal 2 2 2 2 27 7" xfId="2595"/>
    <cellStyle name="Normal 2 2 2 2 27 8" xfId="2596"/>
    <cellStyle name="Normal 2 2 2 2 27 9" xfId="2597"/>
    <cellStyle name="Normal 2 2 2 2 28" xfId="2598"/>
    <cellStyle name="Normal 2 2 2 2 28 10" xfId="2599"/>
    <cellStyle name="Normal 2 2 2 2 28 11" xfId="2600"/>
    <cellStyle name="Normal 2 2 2 2 28 12" xfId="2601"/>
    <cellStyle name="Normal 2 2 2 2 28 13" xfId="2602"/>
    <cellStyle name="Normal 2 2 2 2 28 2" xfId="2603"/>
    <cellStyle name="Normal 2 2 2 2 28 3" xfId="2604"/>
    <cellStyle name="Normal 2 2 2 2 28 4" xfId="2605"/>
    <cellStyle name="Normal 2 2 2 2 28 5" xfId="2606"/>
    <cellStyle name="Normal 2 2 2 2 28 6" xfId="2607"/>
    <cellStyle name="Normal 2 2 2 2 28 7" xfId="2608"/>
    <cellStyle name="Normal 2 2 2 2 28 8" xfId="2609"/>
    <cellStyle name="Normal 2 2 2 2 28 9" xfId="2610"/>
    <cellStyle name="Normal 2 2 2 2 29" xfId="2611"/>
    <cellStyle name="Normal 2 2 2 2 29 10" xfId="2612"/>
    <cellStyle name="Normal 2 2 2 2 29 11" xfId="2613"/>
    <cellStyle name="Normal 2 2 2 2 29 12" xfId="2614"/>
    <cellStyle name="Normal 2 2 2 2 29 13" xfId="2615"/>
    <cellStyle name="Normal 2 2 2 2 29 2" xfId="2616"/>
    <cellStyle name="Normal 2 2 2 2 29 3" xfId="2617"/>
    <cellStyle name="Normal 2 2 2 2 29 4" xfId="2618"/>
    <cellStyle name="Normal 2 2 2 2 29 5" xfId="2619"/>
    <cellStyle name="Normal 2 2 2 2 29 6" xfId="2620"/>
    <cellStyle name="Normal 2 2 2 2 29 7" xfId="2621"/>
    <cellStyle name="Normal 2 2 2 2 29 8" xfId="2622"/>
    <cellStyle name="Normal 2 2 2 2 29 9" xfId="2623"/>
    <cellStyle name="Normal 2 2 2 2 3" xfId="2624"/>
    <cellStyle name="Normal 2 2 2 2 3 10" xfId="2625"/>
    <cellStyle name="Normal 2 2 2 2 3 11" xfId="2626"/>
    <cellStyle name="Normal 2 2 2 2 3 12" xfId="2627"/>
    <cellStyle name="Normal 2 2 2 2 3 13" xfId="2628"/>
    <cellStyle name="Normal 2 2 2 2 3 2" xfId="2629"/>
    <cellStyle name="Normal 2 2 2 2 3 3" xfId="2630"/>
    <cellStyle name="Normal 2 2 2 2 3 4" xfId="2631"/>
    <cellStyle name="Normal 2 2 2 2 3 5" xfId="2632"/>
    <cellStyle name="Normal 2 2 2 2 3 6" xfId="2633"/>
    <cellStyle name="Normal 2 2 2 2 3 7" xfId="2634"/>
    <cellStyle name="Normal 2 2 2 2 3 8" xfId="2635"/>
    <cellStyle name="Normal 2 2 2 2 3 9" xfId="2636"/>
    <cellStyle name="Normal 2 2 2 2 30" xfId="2637"/>
    <cellStyle name="Normal 2 2 2 2 30 10" xfId="2638"/>
    <cellStyle name="Normal 2 2 2 2 30 11" xfId="2639"/>
    <cellStyle name="Normal 2 2 2 2 30 12" xfId="2640"/>
    <cellStyle name="Normal 2 2 2 2 30 13" xfId="2641"/>
    <cellStyle name="Normal 2 2 2 2 30 2" xfId="2642"/>
    <cellStyle name="Normal 2 2 2 2 30 3" xfId="2643"/>
    <cellStyle name="Normal 2 2 2 2 30 4" xfId="2644"/>
    <cellStyle name="Normal 2 2 2 2 30 5" xfId="2645"/>
    <cellStyle name="Normal 2 2 2 2 30 6" xfId="2646"/>
    <cellStyle name="Normal 2 2 2 2 30 7" xfId="2647"/>
    <cellStyle name="Normal 2 2 2 2 30 8" xfId="2648"/>
    <cellStyle name="Normal 2 2 2 2 30 9" xfId="2649"/>
    <cellStyle name="Normal 2 2 2 2 31" xfId="2650"/>
    <cellStyle name="Normal 2 2 2 2 31 10" xfId="2651"/>
    <cellStyle name="Normal 2 2 2 2 31 11" xfId="2652"/>
    <cellStyle name="Normal 2 2 2 2 31 12" xfId="2653"/>
    <cellStyle name="Normal 2 2 2 2 31 13" xfId="2654"/>
    <cellStyle name="Normal 2 2 2 2 31 2" xfId="2655"/>
    <cellStyle name="Normal 2 2 2 2 31 3" xfId="2656"/>
    <cellStyle name="Normal 2 2 2 2 31 4" xfId="2657"/>
    <cellStyle name="Normal 2 2 2 2 31 5" xfId="2658"/>
    <cellStyle name="Normal 2 2 2 2 31 6" xfId="2659"/>
    <cellStyle name="Normal 2 2 2 2 31 7" xfId="2660"/>
    <cellStyle name="Normal 2 2 2 2 31 8" xfId="2661"/>
    <cellStyle name="Normal 2 2 2 2 31 9" xfId="2662"/>
    <cellStyle name="Normal 2 2 2 2 32" xfId="2663"/>
    <cellStyle name="Normal 2 2 2 2 33" xfId="2664"/>
    <cellStyle name="Normal 2 2 2 2 34" xfId="2665"/>
    <cellStyle name="Normal 2 2 2 2 35" xfId="2666"/>
    <cellStyle name="Normal 2 2 2 2 36" xfId="2667"/>
    <cellStyle name="Normal 2 2 2 2 37" xfId="2668"/>
    <cellStyle name="Normal 2 2 2 2 38" xfId="2669"/>
    <cellStyle name="Normal 2 2 2 2 39" xfId="2670"/>
    <cellStyle name="Normal 2 2 2 2 4" xfId="2671"/>
    <cellStyle name="Normal 2 2 2 2 4 10" xfId="2672"/>
    <cellStyle name="Normal 2 2 2 2 4 11" xfId="2673"/>
    <cellStyle name="Normal 2 2 2 2 4 12" xfId="2674"/>
    <cellStyle name="Normal 2 2 2 2 4 13" xfId="2675"/>
    <cellStyle name="Normal 2 2 2 2 4 2" xfId="2676"/>
    <cellStyle name="Normal 2 2 2 2 4 3" xfId="2677"/>
    <cellStyle name="Normal 2 2 2 2 4 4" xfId="2678"/>
    <cellStyle name="Normal 2 2 2 2 4 5" xfId="2679"/>
    <cellStyle name="Normal 2 2 2 2 4 6" xfId="2680"/>
    <cellStyle name="Normal 2 2 2 2 4 7" xfId="2681"/>
    <cellStyle name="Normal 2 2 2 2 4 8" xfId="2682"/>
    <cellStyle name="Normal 2 2 2 2 4 9" xfId="2683"/>
    <cellStyle name="Normal 2 2 2 2 40" xfId="2684"/>
    <cellStyle name="Normal 2 2 2 2 41" xfId="2685"/>
    <cellStyle name="Normal 2 2 2 2 42" xfId="2686"/>
    <cellStyle name="Normal 2 2 2 2 43" xfId="2687"/>
    <cellStyle name="Normal 2 2 2 2 44" xfId="2688"/>
    <cellStyle name="Normal 2 2 2 2 45" xfId="2689"/>
    <cellStyle name="Normal 2 2 2 2 46" xfId="2690"/>
    <cellStyle name="Normal 2 2 2 2 47" xfId="2691"/>
    <cellStyle name="Normal 2 2 2 2 48" xfId="2692"/>
    <cellStyle name="Normal 2 2 2 2 5" xfId="2693"/>
    <cellStyle name="Normal 2 2 2 2 5 10" xfId="2694"/>
    <cellStyle name="Normal 2 2 2 2 5 11" xfId="2695"/>
    <cellStyle name="Normal 2 2 2 2 5 12" xfId="2696"/>
    <cellStyle name="Normal 2 2 2 2 5 13" xfId="2697"/>
    <cellStyle name="Normal 2 2 2 2 5 2" xfId="2698"/>
    <cellStyle name="Normal 2 2 2 2 5 3" xfId="2699"/>
    <cellStyle name="Normal 2 2 2 2 5 4" xfId="2700"/>
    <cellStyle name="Normal 2 2 2 2 5 5" xfId="2701"/>
    <cellStyle name="Normal 2 2 2 2 5 6" xfId="2702"/>
    <cellStyle name="Normal 2 2 2 2 5 7" xfId="2703"/>
    <cellStyle name="Normal 2 2 2 2 5 8" xfId="2704"/>
    <cellStyle name="Normal 2 2 2 2 5 9" xfId="2705"/>
    <cellStyle name="Normal 2 2 2 2 6" xfId="2706"/>
    <cellStyle name="Normal 2 2 2 2 6 10" xfId="2707"/>
    <cellStyle name="Normal 2 2 2 2 6 11" xfId="2708"/>
    <cellStyle name="Normal 2 2 2 2 6 12" xfId="2709"/>
    <cellStyle name="Normal 2 2 2 2 6 13" xfId="2710"/>
    <cellStyle name="Normal 2 2 2 2 6 2" xfId="2711"/>
    <cellStyle name="Normal 2 2 2 2 6 3" xfId="2712"/>
    <cellStyle name="Normal 2 2 2 2 6 4" xfId="2713"/>
    <cellStyle name="Normal 2 2 2 2 6 5" xfId="2714"/>
    <cellStyle name="Normal 2 2 2 2 6 6" xfId="2715"/>
    <cellStyle name="Normal 2 2 2 2 6 7" xfId="2716"/>
    <cellStyle name="Normal 2 2 2 2 6 8" xfId="2717"/>
    <cellStyle name="Normal 2 2 2 2 6 9" xfId="2718"/>
    <cellStyle name="Normal 2 2 2 2 7" xfId="2719"/>
    <cellStyle name="Normal 2 2 2 2 7 10" xfId="2720"/>
    <cellStyle name="Normal 2 2 2 2 7 11" xfId="2721"/>
    <cellStyle name="Normal 2 2 2 2 7 12" xfId="2722"/>
    <cellStyle name="Normal 2 2 2 2 7 13" xfId="2723"/>
    <cellStyle name="Normal 2 2 2 2 7 2" xfId="2724"/>
    <cellStyle name="Normal 2 2 2 2 7 3" xfId="2725"/>
    <cellStyle name="Normal 2 2 2 2 7 4" xfId="2726"/>
    <cellStyle name="Normal 2 2 2 2 7 5" xfId="2727"/>
    <cellStyle name="Normal 2 2 2 2 7 6" xfId="2728"/>
    <cellStyle name="Normal 2 2 2 2 7 7" xfId="2729"/>
    <cellStyle name="Normal 2 2 2 2 7 8" xfId="2730"/>
    <cellStyle name="Normal 2 2 2 2 7 9" xfId="2731"/>
    <cellStyle name="Normal 2 2 2 2 8" xfId="2732"/>
    <cellStyle name="Normal 2 2 2 2 8 10" xfId="2733"/>
    <cellStyle name="Normal 2 2 2 2 8 11" xfId="2734"/>
    <cellStyle name="Normal 2 2 2 2 8 12" xfId="2735"/>
    <cellStyle name="Normal 2 2 2 2 8 13" xfId="2736"/>
    <cellStyle name="Normal 2 2 2 2 8 2" xfId="2737"/>
    <cellStyle name="Normal 2 2 2 2 8 3" xfId="2738"/>
    <cellStyle name="Normal 2 2 2 2 8 4" xfId="2739"/>
    <cellStyle name="Normal 2 2 2 2 8 5" xfId="2740"/>
    <cellStyle name="Normal 2 2 2 2 8 6" xfId="2741"/>
    <cellStyle name="Normal 2 2 2 2 8 7" xfId="2742"/>
    <cellStyle name="Normal 2 2 2 2 8 8" xfId="2743"/>
    <cellStyle name="Normal 2 2 2 2 8 9" xfId="2744"/>
    <cellStyle name="Normal 2 2 2 2 9" xfId="2745"/>
    <cellStyle name="Normal 2 2 2 2 9 10" xfId="2746"/>
    <cellStyle name="Normal 2 2 2 2 9 11" xfId="2747"/>
    <cellStyle name="Normal 2 2 2 2 9 12" xfId="2748"/>
    <cellStyle name="Normal 2 2 2 2 9 13" xfId="2749"/>
    <cellStyle name="Normal 2 2 2 2 9 2" xfId="2750"/>
    <cellStyle name="Normal 2 2 2 2 9 3" xfId="2751"/>
    <cellStyle name="Normal 2 2 2 2 9 4" xfId="2752"/>
    <cellStyle name="Normal 2 2 2 2 9 5" xfId="2753"/>
    <cellStyle name="Normal 2 2 2 2 9 6" xfId="2754"/>
    <cellStyle name="Normal 2 2 2 2 9 7" xfId="2755"/>
    <cellStyle name="Normal 2 2 2 2 9 8" xfId="2756"/>
    <cellStyle name="Normal 2 2 2 2 9 9" xfId="2757"/>
    <cellStyle name="Normal 2 2 2 20" xfId="2758"/>
    <cellStyle name="Normal 2 2 2 21" xfId="2759"/>
    <cellStyle name="Normal 2 2 2 22" xfId="2760"/>
    <cellStyle name="Normal 2 2 2 23" xfId="2761"/>
    <cellStyle name="Normal 2 2 2 24" xfId="2762"/>
    <cellStyle name="Normal 2 2 2 25" xfId="2763"/>
    <cellStyle name="Normal 2 2 2 26" xfId="2764"/>
    <cellStyle name="Normal 2 2 2 27" xfId="2765"/>
    <cellStyle name="Normal 2 2 2 28" xfId="2766"/>
    <cellStyle name="Normal 2 2 2 29" xfId="2767"/>
    <cellStyle name="Normal 2 2 2 3" xfId="2768"/>
    <cellStyle name="Normal 2 2 2 3 10" xfId="2769"/>
    <cellStyle name="Normal 2 2 2 3 11" xfId="2770"/>
    <cellStyle name="Normal 2 2 2 3 12" xfId="2771"/>
    <cellStyle name="Normal 2 2 2 3 13" xfId="2772"/>
    <cellStyle name="Normal 2 2 2 3 14" xfId="2773"/>
    <cellStyle name="Normal 2 2 2 3 15" xfId="2774"/>
    <cellStyle name="Normal 2 2 2 3 16" xfId="2775"/>
    <cellStyle name="Normal 2 2 2 3 17" xfId="2776"/>
    <cellStyle name="Normal 2 2 2 3 18" xfId="2777"/>
    <cellStyle name="Normal 2 2 2 3 19" xfId="2778"/>
    <cellStyle name="Normal 2 2 2 3 2" xfId="2779"/>
    <cellStyle name="Normal 2 2 2 3 20" xfId="2780"/>
    <cellStyle name="Normal 2 2 2 3 21" xfId="2781"/>
    <cellStyle name="Normal 2 2 2 3 22" xfId="2782"/>
    <cellStyle name="Normal 2 2 2 3 23" xfId="2783"/>
    <cellStyle name="Normal 2 2 2 3 24" xfId="2784"/>
    <cellStyle name="Normal 2 2 2 3 25" xfId="2785"/>
    <cellStyle name="Normal 2 2 2 3 26" xfId="2786"/>
    <cellStyle name="Normal 2 2 2 3 27" xfId="2787"/>
    <cellStyle name="Normal 2 2 2 3 28" xfId="2788"/>
    <cellStyle name="Normal 2 2 2 3 29" xfId="2789"/>
    <cellStyle name="Normal 2 2 2 3 3" xfId="2790"/>
    <cellStyle name="Normal 2 2 2 3 30" xfId="2791"/>
    <cellStyle name="Normal 2 2 2 3 31" xfId="2792"/>
    <cellStyle name="Normal 2 2 2 3 32" xfId="2793"/>
    <cellStyle name="Normal 2 2 2 3 33" xfId="2794"/>
    <cellStyle name="Normal 2 2 2 3 34" xfId="2795"/>
    <cellStyle name="Normal 2 2 2 3 35" xfId="2796"/>
    <cellStyle name="Normal 2 2 2 3 36" xfId="2797"/>
    <cellStyle name="Normal 2 2 2 3 37" xfId="2798"/>
    <cellStyle name="Normal 2 2 2 3 38" xfId="2799"/>
    <cellStyle name="Normal 2 2 2 3 39" xfId="2800"/>
    <cellStyle name="Normal 2 2 2 3 4" xfId="2801"/>
    <cellStyle name="Normal 2 2 2 3 40" xfId="2802"/>
    <cellStyle name="Normal 2 2 2 3 41" xfId="2803"/>
    <cellStyle name="Normal 2 2 2 3 42" xfId="2804"/>
    <cellStyle name="Normal 2 2 2 3 5" xfId="2805"/>
    <cellStyle name="Normal 2 2 2 3 6" xfId="2806"/>
    <cellStyle name="Normal 2 2 2 3 7" xfId="2807"/>
    <cellStyle name="Normal 2 2 2 3 8" xfId="2808"/>
    <cellStyle name="Normal 2 2 2 3 9" xfId="2809"/>
    <cellStyle name="Normal 2 2 2 30" xfId="2810"/>
    <cellStyle name="Normal 2 2 2 31" xfId="2811"/>
    <cellStyle name="Normal 2 2 2 32" xfId="2812"/>
    <cellStyle name="Normal 2 2 2 33" xfId="2813"/>
    <cellStyle name="Normal 2 2 2 34" xfId="2814"/>
    <cellStyle name="Normal 2 2 2 35" xfId="2815"/>
    <cellStyle name="Normal 2 2 2 36" xfId="2816"/>
    <cellStyle name="Normal 2 2 2 37" xfId="2817"/>
    <cellStyle name="Normal 2 2 2 38" xfId="2818"/>
    <cellStyle name="Normal 2 2 2 39" xfId="2819"/>
    <cellStyle name="Normal 2 2 2 4" xfId="2820"/>
    <cellStyle name="Normal 2 2 2 4 10" xfId="2821"/>
    <cellStyle name="Normal 2 2 2 4 11" xfId="2822"/>
    <cellStyle name="Normal 2 2 2 4 12" xfId="2823"/>
    <cellStyle name="Normal 2 2 2 4 13" xfId="2824"/>
    <cellStyle name="Normal 2 2 2 4 14" xfId="2825"/>
    <cellStyle name="Normal 2 2 2 4 15" xfId="2826"/>
    <cellStyle name="Normal 2 2 2 4 16" xfId="2827"/>
    <cellStyle name="Normal 2 2 2 4 17" xfId="2828"/>
    <cellStyle name="Normal 2 2 2 4 18" xfId="2829"/>
    <cellStyle name="Normal 2 2 2 4 19" xfId="2830"/>
    <cellStyle name="Normal 2 2 2 4 2" xfId="2831"/>
    <cellStyle name="Normal 2 2 2 4 20" xfId="2832"/>
    <cellStyle name="Normal 2 2 2 4 21" xfId="2833"/>
    <cellStyle name="Normal 2 2 2 4 22" xfId="2834"/>
    <cellStyle name="Normal 2 2 2 4 23" xfId="2835"/>
    <cellStyle name="Normal 2 2 2 4 24" xfId="2836"/>
    <cellStyle name="Normal 2 2 2 4 25" xfId="2837"/>
    <cellStyle name="Normal 2 2 2 4 26" xfId="2838"/>
    <cellStyle name="Normal 2 2 2 4 27" xfId="2839"/>
    <cellStyle name="Normal 2 2 2 4 28" xfId="2840"/>
    <cellStyle name="Normal 2 2 2 4 29" xfId="2841"/>
    <cellStyle name="Normal 2 2 2 4 3" xfId="2842"/>
    <cellStyle name="Normal 2 2 2 4 30" xfId="2843"/>
    <cellStyle name="Normal 2 2 2 4 31" xfId="2844"/>
    <cellStyle name="Normal 2 2 2 4 32" xfId="2845"/>
    <cellStyle name="Normal 2 2 2 4 33" xfId="2846"/>
    <cellStyle name="Normal 2 2 2 4 34" xfId="2847"/>
    <cellStyle name="Normal 2 2 2 4 35" xfId="2848"/>
    <cellStyle name="Normal 2 2 2 4 36" xfId="2849"/>
    <cellStyle name="Normal 2 2 2 4 37" xfId="2850"/>
    <cellStyle name="Normal 2 2 2 4 38" xfId="2851"/>
    <cellStyle name="Normal 2 2 2 4 39" xfId="2852"/>
    <cellStyle name="Normal 2 2 2 4 4" xfId="2853"/>
    <cellStyle name="Normal 2 2 2 4 40" xfId="2854"/>
    <cellStyle name="Normal 2 2 2 4 41" xfId="2855"/>
    <cellStyle name="Normal 2 2 2 4 42" xfId="2856"/>
    <cellStyle name="Normal 2 2 2 4 5" xfId="2857"/>
    <cellStyle name="Normal 2 2 2 4 6" xfId="2858"/>
    <cellStyle name="Normal 2 2 2 4 7" xfId="2859"/>
    <cellStyle name="Normal 2 2 2 4 8" xfId="2860"/>
    <cellStyle name="Normal 2 2 2 4 9" xfId="2861"/>
    <cellStyle name="Normal 2 2 2 40" xfId="2862"/>
    <cellStyle name="Normal 2 2 2 41" xfId="2863"/>
    <cellStyle name="Normal 2 2 2 42" xfId="2864"/>
    <cellStyle name="Normal 2 2 2 43" xfId="2865"/>
    <cellStyle name="Normal 2 2 2 44" xfId="2866"/>
    <cellStyle name="Normal 2 2 2 45" xfId="2867"/>
    <cellStyle name="Normal 2 2 2 46" xfId="2868"/>
    <cellStyle name="Normal 2 2 2 47" xfId="2869"/>
    <cellStyle name="Normal 2 2 2 48" xfId="2870"/>
    <cellStyle name="Normal 2 2 2 49" xfId="2871"/>
    <cellStyle name="Normal 2 2 2 5" xfId="2872"/>
    <cellStyle name="Normal 2 2 2 5 10" xfId="2873"/>
    <cellStyle name="Normal 2 2 2 5 11" xfId="2874"/>
    <cellStyle name="Normal 2 2 2 5 12" xfId="2875"/>
    <cellStyle name="Normal 2 2 2 5 13" xfId="2876"/>
    <cellStyle name="Normal 2 2 2 5 14" xfId="2877"/>
    <cellStyle name="Normal 2 2 2 5 15" xfId="2878"/>
    <cellStyle name="Normal 2 2 2 5 16" xfId="2879"/>
    <cellStyle name="Normal 2 2 2 5 17" xfId="2880"/>
    <cellStyle name="Normal 2 2 2 5 18" xfId="2881"/>
    <cellStyle name="Normal 2 2 2 5 19" xfId="2882"/>
    <cellStyle name="Normal 2 2 2 5 2" xfId="2883"/>
    <cellStyle name="Normal 2 2 2 5 20" xfId="2884"/>
    <cellStyle name="Normal 2 2 2 5 21" xfId="2885"/>
    <cellStyle name="Normal 2 2 2 5 22" xfId="2886"/>
    <cellStyle name="Normal 2 2 2 5 23" xfId="2887"/>
    <cellStyle name="Normal 2 2 2 5 24" xfId="2888"/>
    <cellStyle name="Normal 2 2 2 5 25" xfId="2889"/>
    <cellStyle name="Normal 2 2 2 5 26" xfId="2890"/>
    <cellStyle name="Normal 2 2 2 5 27" xfId="2891"/>
    <cellStyle name="Normal 2 2 2 5 28" xfId="2892"/>
    <cellStyle name="Normal 2 2 2 5 29" xfId="2893"/>
    <cellStyle name="Normal 2 2 2 5 3" xfId="2894"/>
    <cellStyle name="Normal 2 2 2 5 30" xfId="2895"/>
    <cellStyle name="Normal 2 2 2 5 31" xfId="2896"/>
    <cellStyle name="Normal 2 2 2 5 32" xfId="2897"/>
    <cellStyle name="Normal 2 2 2 5 33" xfId="2898"/>
    <cellStyle name="Normal 2 2 2 5 34" xfId="2899"/>
    <cellStyle name="Normal 2 2 2 5 35" xfId="2900"/>
    <cellStyle name="Normal 2 2 2 5 36" xfId="2901"/>
    <cellStyle name="Normal 2 2 2 5 37" xfId="2902"/>
    <cellStyle name="Normal 2 2 2 5 38" xfId="2903"/>
    <cellStyle name="Normal 2 2 2 5 39" xfId="2904"/>
    <cellStyle name="Normal 2 2 2 5 4" xfId="2905"/>
    <cellStyle name="Normal 2 2 2 5 40" xfId="2906"/>
    <cellStyle name="Normal 2 2 2 5 41" xfId="2907"/>
    <cellStyle name="Normal 2 2 2 5 42" xfId="2908"/>
    <cellStyle name="Normal 2 2 2 5 5" xfId="2909"/>
    <cellStyle name="Normal 2 2 2 5 6" xfId="2910"/>
    <cellStyle name="Normal 2 2 2 5 7" xfId="2911"/>
    <cellStyle name="Normal 2 2 2 5 8" xfId="2912"/>
    <cellStyle name="Normal 2 2 2 5 9" xfId="2913"/>
    <cellStyle name="Normal 2 2 2 50" xfId="2914"/>
    <cellStyle name="Normal 2 2 2 51" xfId="2915"/>
    <cellStyle name="Normal 2 2 2 52" xfId="2916"/>
    <cellStyle name="Normal 2 2 2 53" xfId="2917"/>
    <cellStyle name="Normal 2 2 2 54" xfId="2918"/>
    <cellStyle name="Normal 2 2 2 55" xfId="2919"/>
    <cellStyle name="Normal 2 2 2 56" xfId="2920"/>
    <cellStyle name="Normal 2 2 2 57" xfId="2921"/>
    <cellStyle name="Normal 2 2 2 58" xfId="2922"/>
    <cellStyle name="Normal 2 2 2 59" xfId="2923"/>
    <cellStyle name="Normal 2 2 2 6" xfId="2924"/>
    <cellStyle name="Normal 2 2 2 6 10" xfId="2925"/>
    <cellStyle name="Normal 2 2 2 6 11" xfId="2926"/>
    <cellStyle name="Normal 2 2 2 6 12" xfId="2927"/>
    <cellStyle name="Normal 2 2 2 6 13" xfId="2928"/>
    <cellStyle name="Normal 2 2 2 6 14" xfId="2929"/>
    <cellStyle name="Normal 2 2 2 6 15" xfId="2930"/>
    <cellStyle name="Normal 2 2 2 6 16" xfId="2931"/>
    <cellStyle name="Normal 2 2 2 6 17" xfId="2932"/>
    <cellStyle name="Normal 2 2 2 6 18" xfId="2933"/>
    <cellStyle name="Normal 2 2 2 6 19" xfId="2934"/>
    <cellStyle name="Normal 2 2 2 6 2" xfId="2935"/>
    <cellStyle name="Normal 2 2 2 6 20" xfId="2936"/>
    <cellStyle name="Normal 2 2 2 6 21" xfId="2937"/>
    <cellStyle name="Normal 2 2 2 6 22" xfId="2938"/>
    <cellStyle name="Normal 2 2 2 6 23" xfId="2939"/>
    <cellStyle name="Normal 2 2 2 6 24" xfId="2940"/>
    <cellStyle name="Normal 2 2 2 6 25" xfId="2941"/>
    <cellStyle name="Normal 2 2 2 6 26" xfId="2942"/>
    <cellStyle name="Normal 2 2 2 6 27" xfId="2943"/>
    <cellStyle name="Normal 2 2 2 6 28" xfId="2944"/>
    <cellStyle name="Normal 2 2 2 6 29" xfId="2945"/>
    <cellStyle name="Normal 2 2 2 6 3" xfId="2946"/>
    <cellStyle name="Normal 2 2 2 6 30" xfId="2947"/>
    <cellStyle name="Normal 2 2 2 6 31" xfId="2948"/>
    <cellStyle name="Normal 2 2 2 6 32" xfId="2949"/>
    <cellStyle name="Normal 2 2 2 6 33" xfId="2950"/>
    <cellStyle name="Normal 2 2 2 6 34" xfId="2951"/>
    <cellStyle name="Normal 2 2 2 6 35" xfId="2952"/>
    <cellStyle name="Normal 2 2 2 6 36" xfId="2953"/>
    <cellStyle name="Normal 2 2 2 6 37" xfId="2954"/>
    <cellStyle name="Normal 2 2 2 6 38" xfId="2955"/>
    <cellStyle name="Normal 2 2 2 6 39" xfId="2956"/>
    <cellStyle name="Normal 2 2 2 6 4" xfId="2957"/>
    <cellStyle name="Normal 2 2 2 6 40" xfId="2958"/>
    <cellStyle name="Normal 2 2 2 6 41" xfId="2959"/>
    <cellStyle name="Normal 2 2 2 6 42" xfId="2960"/>
    <cellStyle name="Normal 2 2 2 6 5" xfId="2961"/>
    <cellStyle name="Normal 2 2 2 6 6" xfId="2962"/>
    <cellStyle name="Normal 2 2 2 6 7" xfId="2963"/>
    <cellStyle name="Normal 2 2 2 6 8" xfId="2964"/>
    <cellStyle name="Normal 2 2 2 6 9" xfId="2965"/>
    <cellStyle name="Normal 2 2 2 60" xfId="2966"/>
    <cellStyle name="Normal 2 2 2 61" xfId="2967"/>
    <cellStyle name="Normal 2 2 2 62" xfId="2968"/>
    <cellStyle name="Normal 2 2 2 63" xfId="2969"/>
    <cellStyle name="Normal 2 2 2 64" xfId="2970"/>
    <cellStyle name="Normal 2 2 2 65" xfId="2971"/>
    <cellStyle name="Normal 2 2 2 66" xfId="2972"/>
    <cellStyle name="Normal 2 2 2 67" xfId="2973"/>
    <cellStyle name="Normal 2 2 2 68" xfId="2974"/>
    <cellStyle name="Normal 2 2 2 69" xfId="2975"/>
    <cellStyle name="Normal 2 2 2 7" xfId="2976"/>
    <cellStyle name="Normal 2 2 2 7 10" xfId="2977"/>
    <cellStyle name="Normal 2 2 2 7 11" xfId="2978"/>
    <cellStyle name="Normal 2 2 2 7 12" xfId="2979"/>
    <cellStyle name="Normal 2 2 2 7 13" xfId="2980"/>
    <cellStyle name="Normal 2 2 2 7 14" xfId="2981"/>
    <cellStyle name="Normal 2 2 2 7 15" xfId="2982"/>
    <cellStyle name="Normal 2 2 2 7 16" xfId="2983"/>
    <cellStyle name="Normal 2 2 2 7 17" xfId="2984"/>
    <cellStyle name="Normal 2 2 2 7 18" xfId="2985"/>
    <cellStyle name="Normal 2 2 2 7 19" xfId="2986"/>
    <cellStyle name="Normal 2 2 2 7 2" xfId="2987"/>
    <cellStyle name="Normal 2 2 2 7 20" xfId="2988"/>
    <cellStyle name="Normal 2 2 2 7 21" xfId="2989"/>
    <cellStyle name="Normal 2 2 2 7 22" xfId="2990"/>
    <cellStyle name="Normal 2 2 2 7 23" xfId="2991"/>
    <cellStyle name="Normal 2 2 2 7 24" xfId="2992"/>
    <cellStyle name="Normal 2 2 2 7 25" xfId="2993"/>
    <cellStyle name="Normal 2 2 2 7 26" xfId="2994"/>
    <cellStyle name="Normal 2 2 2 7 27" xfId="2995"/>
    <cellStyle name="Normal 2 2 2 7 28" xfId="2996"/>
    <cellStyle name="Normal 2 2 2 7 29" xfId="2997"/>
    <cellStyle name="Normal 2 2 2 7 3" xfId="2998"/>
    <cellStyle name="Normal 2 2 2 7 30" xfId="2999"/>
    <cellStyle name="Normal 2 2 2 7 31" xfId="3000"/>
    <cellStyle name="Normal 2 2 2 7 32" xfId="3001"/>
    <cellStyle name="Normal 2 2 2 7 33" xfId="3002"/>
    <cellStyle name="Normal 2 2 2 7 34" xfId="3003"/>
    <cellStyle name="Normal 2 2 2 7 35" xfId="3004"/>
    <cellStyle name="Normal 2 2 2 7 36" xfId="3005"/>
    <cellStyle name="Normal 2 2 2 7 37" xfId="3006"/>
    <cellStyle name="Normal 2 2 2 7 38" xfId="3007"/>
    <cellStyle name="Normal 2 2 2 7 39" xfId="3008"/>
    <cellStyle name="Normal 2 2 2 7 4" xfId="3009"/>
    <cellStyle name="Normal 2 2 2 7 40" xfId="3010"/>
    <cellStyle name="Normal 2 2 2 7 41" xfId="3011"/>
    <cellStyle name="Normal 2 2 2 7 42" xfId="3012"/>
    <cellStyle name="Normal 2 2 2 7 5" xfId="3013"/>
    <cellStyle name="Normal 2 2 2 7 6" xfId="3014"/>
    <cellStyle name="Normal 2 2 2 7 7" xfId="3015"/>
    <cellStyle name="Normal 2 2 2 7 8" xfId="3016"/>
    <cellStyle name="Normal 2 2 2 7 9" xfId="3017"/>
    <cellStyle name="Normal 2 2 2 70" xfId="3018"/>
    <cellStyle name="Normal 2 2 2 71" xfId="3019"/>
    <cellStyle name="Normal 2 2 2 72" xfId="3020"/>
    <cellStyle name="Normal 2 2 2 73" xfId="3021"/>
    <cellStyle name="Normal 2 2 2 74" xfId="3022"/>
    <cellStyle name="Normal 2 2 2 75" xfId="3023"/>
    <cellStyle name="Normal 2 2 2 76" xfId="3024"/>
    <cellStyle name="Normal 2 2 2 77" xfId="3025"/>
    <cellStyle name="Normal 2 2 2 8" xfId="3026"/>
    <cellStyle name="Normal 2 2 2 8 10" xfId="3027"/>
    <cellStyle name="Normal 2 2 2 8 11" xfId="3028"/>
    <cellStyle name="Normal 2 2 2 8 12" xfId="3029"/>
    <cellStyle name="Normal 2 2 2 8 13" xfId="3030"/>
    <cellStyle name="Normal 2 2 2 8 14" xfId="3031"/>
    <cellStyle name="Normal 2 2 2 8 15" xfId="3032"/>
    <cellStyle name="Normal 2 2 2 8 16" xfId="3033"/>
    <cellStyle name="Normal 2 2 2 8 17" xfId="3034"/>
    <cellStyle name="Normal 2 2 2 8 18" xfId="3035"/>
    <cellStyle name="Normal 2 2 2 8 19" xfId="3036"/>
    <cellStyle name="Normal 2 2 2 8 2" xfId="3037"/>
    <cellStyle name="Normal 2 2 2 8 20" xfId="3038"/>
    <cellStyle name="Normal 2 2 2 8 21" xfId="3039"/>
    <cellStyle name="Normal 2 2 2 8 22" xfId="3040"/>
    <cellStyle name="Normal 2 2 2 8 23" xfId="3041"/>
    <cellStyle name="Normal 2 2 2 8 24" xfId="3042"/>
    <cellStyle name="Normal 2 2 2 8 25" xfId="3043"/>
    <cellStyle name="Normal 2 2 2 8 26" xfId="3044"/>
    <cellStyle name="Normal 2 2 2 8 27" xfId="3045"/>
    <cellStyle name="Normal 2 2 2 8 28" xfId="3046"/>
    <cellStyle name="Normal 2 2 2 8 29" xfId="3047"/>
    <cellStyle name="Normal 2 2 2 8 3" xfId="3048"/>
    <cellStyle name="Normal 2 2 2 8 30" xfId="3049"/>
    <cellStyle name="Normal 2 2 2 8 31" xfId="3050"/>
    <cellStyle name="Normal 2 2 2 8 32" xfId="3051"/>
    <cellStyle name="Normal 2 2 2 8 33" xfId="3052"/>
    <cellStyle name="Normal 2 2 2 8 34" xfId="3053"/>
    <cellStyle name="Normal 2 2 2 8 35" xfId="3054"/>
    <cellStyle name="Normal 2 2 2 8 36" xfId="3055"/>
    <cellStyle name="Normal 2 2 2 8 37" xfId="3056"/>
    <cellStyle name="Normal 2 2 2 8 38" xfId="3057"/>
    <cellStyle name="Normal 2 2 2 8 39" xfId="3058"/>
    <cellStyle name="Normal 2 2 2 8 4" xfId="3059"/>
    <cellStyle name="Normal 2 2 2 8 40" xfId="3060"/>
    <cellStyle name="Normal 2 2 2 8 41" xfId="3061"/>
    <cellStyle name="Normal 2 2 2 8 42" xfId="3062"/>
    <cellStyle name="Normal 2 2 2 8 5" xfId="3063"/>
    <cellStyle name="Normal 2 2 2 8 6" xfId="3064"/>
    <cellStyle name="Normal 2 2 2 8 7" xfId="3065"/>
    <cellStyle name="Normal 2 2 2 8 8" xfId="3066"/>
    <cellStyle name="Normal 2 2 2 8 9" xfId="3067"/>
    <cellStyle name="Normal 2 2 2 9" xfId="3068"/>
    <cellStyle name="Normal 2 2 2 9 10" xfId="3069"/>
    <cellStyle name="Normal 2 2 2 9 11" xfId="3070"/>
    <cellStyle name="Normal 2 2 2 9 12" xfId="3071"/>
    <cellStyle name="Normal 2 2 2 9 13" xfId="3072"/>
    <cellStyle name="Normal 2 2 2 9 14" xfId="3073"/>
    <cellStyle name="Normal 2 2 2 9 15" xfId="3074"/>
    <cellStyle name="Normal 2 2 2 9 16" xfId="3075"/>
    <cellStyle name="Normal 2 2 2 9 17" xfId="3076"/>
    <cellStyle name="Normal 2 2 2 9 18" xfId="3077"/>
    <cellStyle name="Normal 2 2 2 9 19" xfId="3078"/>
    <cellStyle name="Normal 2 2 2 9 2" xfId="3079"/>
    <cellStyle name="Normal 2 2 2 9 20" xfId="3080"/>
    <cellStyle name="Normal 2 2 2 9 21" xfId="3081"/>
    <cellStyle name="Normal 2 2 2 9 22" xfId="3082"/>
    <cellStyle name="Normal 2 2 2 9 23" xfId="3083"/>
    <cellStyle name="Normal 2 2 2 9 24" xfId="3084"/>
    <cellStyle name="Normal 2 2 2 9 25" xfId="3085"/>
    <cellStyle name="Normal 2 2 2 9 26" xfId="3086"/>
    <cellStyle name="Normal 2 2 2 9 27" xfId="3087"/>
    <cellStyle name="Normal 2 2 2 9 28" xfId="3088"/>
    <cellStyle name="Normal 2 2 2 9 29" xfId="3089"/>
    <cellStyle name="Normal 2 2 2 9 3" xfId="3090"/>
    <cellStyle name="Normal 2 2 2 9 30" xfId="3091"/>
    <cellStyle name="Normal 2 2 2 9 31" xfId="3092"/>
    <cellStyle name="Normal 2 2 2 9 32" xfId="3093"/>
    <cellStyle name="Normal 2 2 2 9 33" xfId="3094"/>
    <cellStyle name="Normal 2 2 2 9 34" xfId="3095"/>
    <cellStyle name="Normal 2 2 2 9 35" xfId="3096"/>
    <cellStyle name="Normal 2 2 2 9 36" xfId="3097"/>
    <cellStyle name="Normal 2 2 2 9 37" xfId="3098"/>
    <cellStyle name="Normal 2 2 2 9 38" xfId="3099"/>
    <cellStyle name="Normal 2 2 2 9 39" xfId="3100"/>
    <cellStyle name="Normal 2 2 2 9 4" xfId="3101"/>
    <cellStyle name="Normal 2 2 2 9 40" xfId="3102"/>
    <cellStyle name="Normal 2 2 2 9 41" xfId="3103"/>
    <cellStyle name="Normal 2 2 2 9 42" xfId="3104"/>
    <cellStyle name="Normal 2 2 2 9 5" xfId="3105"/>
    <cellStyle name="Normal 2 2 2 9 6" xfId="3106"/>
    <cellStyle name="Normal 2 2 2 9 7" xfId="3107"/>
    <cellStyle name="Normal 2 2 2 9 8" xfId="3108"/>
    <cellStyle name="Normal 2 2 2 9 9" xfId="3109"/>
    <cellStyle name="Normal 2 2 20" xfId="3110"/>
    <cellStyle name="Normal 2 2 20 10" xfId="3111"/>
    <cellStyle name="Normal 2 2 20 11" xfId="3112"/>
    <cellStyle name="Normal 2 2 20 12" xfId="3113"/>
    <cellStyle name="Normal 2 2 20 13" xfId="3114"/>
    <cellStyle name="Normal 2 2 20 14" xfId="3115"/>
    <cellStyle name="Normal 2 2 20 15" xfId="3116"/>
    <cellStyle name="Normal 2 2 20 16" xfId="3117"/>
    <cellStyle name="Normal 2 2 20 17" xfId="3118"/>
    <cellStyle name="Normal 2 2 20 2" xfId="3119"/>
    <cellStyle name="Normal 2 2 20 3" xfId="3120"/>
    <cellStyle name="Normal 2 2 20 4" xfId="3121"/>
    <cellStyle name="Normal 2 2 20 5" xfId="3122"/>
    <cellStyle name="Normal 2 2 20 6" xfId="3123"/>
    <cellStyle name="Normal 2 2 20 7" xfId="3124"/>
    <cellStyle name="Normal 2 2 20 8" xfId="3125"/>
    <cellStyle name="Normal 2 2 20 9" xfId="3126"/>
    <cellStyle name="Normal 2 2 21" xfId="3127"/>
    <cellStyle name="Normal 2 2 21 10" xfId="3128"/>
    <cellStyle name="Normal 2 2 21 11" xfId="3129"/>
    <cellStyle name="Normal 2 2 21 12" xfId="3130"/>
    <cellStyle name="Normal 2 2 21 13" xfId="3131"/>
    <cellStyle name="Normal 2 2 21 14" xfId="3132"/>
    <cellStyle name="Normal 2 2 21 15" xfId="3133"/>
    <cellStyle name="Normal 2 2 21 16" xfId="3134"/>
    <cellStyle name="Normal 2 2 21 17" xfId="3135"/>
    <cellStyle name="Normal 2 2 21 2" xfId="3136"/>
    <cellStyle name="Normal 2 2 21 3" xfId="3137"/>
    <cellStyle name="Normal 2 2 21 4" xfId="3138"/>
    <cellStyle name="Normal 2 2 21 5" xfId="3139"/>
    <cellStyle name="Normal 2 2 21 6" xfId="3140"/>
    <cellStyle name="Normal 2 2 21 7" xfId="3141"/>
    <cellStyle name="Normal 2 2 21 8" xfId="3142"/>
    <cellStyle name="Normal 2 2 21 9" xfId="3143"/>
    <cellStyle name="Normal 2 2 22" xfId="3144"/>
    <cellStyle name="Normal 2 2 22 10" xfId="3145"/>
    <cellStyle name="Normal 2 2 22 11" xfId="3146"/>
    <cellStyle name="Normal 2 2 22 12" xfId="3147"/>
    <cellStyle name="Normal 2 2 22 13" xfId="3148"/>
    <cellStyle name="Normal 2 2 22 14" xfId="3149"/>
    <cellStyle name="Normal 2 2 22 15" xfId="3150"/>
    <cellStyle name="Normal 2 2 22 16" xfId="3151"/>
    <cellStyle name="Normal 2 2 22 17" xfId="3152"/>
    <cellStyle name="Normal 2 2 22 2" xfId="3153"/>
    <cellStyle name="Normal 2 2 22 3" xfId="3154"/>
    <cellStyle name="Normal 2 2 22 4" xfId="3155"/>
    <cellStyle name="Normal 2 2 22 5" xfId="3156"/>
    <cellStyle name="Normal 2 2 22 6" xfId="3157"/>
    <cellStyle name="Normal 2 2 22 7" xfId="3158"/>
    <cellStyle name="Normal 2 2 22 8" xfId="3159"/>
    <cellStyle name="Normal 2 2 22 9" xfId="3160"/>
    <cellStyle name="Normal 2 2 23" xfId="3161"/>
    <cellStyle name="Normal 2 2 23 10" xfId="3162"/>
    <cellStyle name="Normal 2 2 23 11" xfId="3163"/>
    <cellStyle name="Normal 2 2 23 12" xfId="3164"/>
    <cellStyle name="Normal 2 2 23 13" xfId="3165"/>
    <cellStyle name="Normal 2 2 23 14" xfId="3166"/>
    <cellStyle name="Normal 2 2 23 15" xfId="3167"/>
    <cellStyle name="Normal 2 2 23 16" xfId="3168"/>
    <cellStyle name="Normal 2 2 23 17" xfId="3169"/>
    <cellStyle name="Normal 2 2 23 2" xfId="3170"/>
    <cellStyle name="Normal 2 2 23 3" xfId="3171"/>
    <cellStyle name="Normal 2 2 23 4" xfId="3172"/>
    <cellStyle name="Normal 2 2 23 5" xfId="3173"/>
    <cellStyle name="Normal 2 2 23 6" xfId="3174"/>
    <cellStyle name="Normal 2 2 23 7" xfId="3175"/>
    <cellStyle name="Normal 2 2 23 8" xfId="3176"/>
    <cellStyle name="Normal 2 2 23 9" xfId="3177"/>
    <cellStyle name="Normal 2 2 24" xfId="3178"/>
    <cellStyle name="Normal 2 2 24 10" xfId="3179"/>
    <cellStyle name="Normal 2 2 24 11" xfId="3180"/>
    <cellStyle name="Normal 2 2 24 12" xfId="3181"/>
    <cellStyle name="Normal 2 2 24 13" xfId="3182"/>
    <cellStyle name="Normal 2 2 24 14" xfId="3183"/>
    <cellStyle name="Normal 2 2 24 15" xfId="3184"/>
    <cellStyle name="Normal 2 2 24 16" xfId="3185"/>
    <cellStyle name="Normal 2 2 24 17" xfId="3186"/>
    <cellStyle name="Normal 2 2 24 2" xfId="3187"/>
    <cellStyle name="Normal 2 2 24 3" xfId="3188"/>
    <cellStyle name="Normal 2 2 24 4" xfId="3189"/>
    <cellStyle name="Normal 2 2 24 5" xfId="3190"/>
    <cellStyle name="Normal 2 2 24 6" xfId="3191"/>
    <cellStyle name="Normal 2 2 24 7" xfId="3192"/>
    <cellStyle name="Normal 2 2 24 8" xfId="3193"/>
    <cellStyle name="Normal 2 2 24 9" xfId="3194"/>
    <cellStyle name="Normal 2 2 25" xfId="3195"/>
    <cellStyle name="Normal 2 2 25 10" xfId="3196"/>
    <cellStyle name="Normal 2 2 25 11" xfId="3197"/>
    <cellStyle name="Normal 2 2 25 12" xfId="3198"/>
    <cellStyle name="Normal 2 2 25 13" xfId="3199"/>
    <cellStyle name="Normal 2 2 25 14" xfId="3200"/>
    <cellStyle name="Normal 2 2 25 15" xfId="3201"/>
    <cellStyle name="Normal 2 2 25 16" xfId="3202"/>
    <cellStyle name="Normal 2 2 25 17" xfId="3203"/>
    <cellStyle name="Normal 2 2 25 2" xfId="3204"/>
    <cellStyle name="Normal 2 2 25 3" xfId="3205"/>
    <cellStyle name="Normal 2 2 25 4" xfId="3206"/>
    <cellStyle name="Normal 2 2 25 5" xfId="3207"/>
    <cellStyle name="Normal 2 2 25 6" xfId="3208"/>
    <cellStyle name="Normal 2 2 25 7" xfId="3209"/>
    <cellStyle name="Normal 2 2 25 8" xfId="3210"/>
    <cellStyle name="Normal 2 2 25 9" xfId="3211"/>
    <cellStyle name="Normal 2 2 26" xfId="3212"/>
    <cellStyle name="Normal 2 2 26 10" xfId="3213"/>
    <cellStyle name="Normal 2 2 26 11" xfId="3214"/>
    <cellStyle name="Normal 2 2 26 12" xfId="3215"/>
    <cellStyle name="Normal 2 2 26 13" xfId="3216"/>
    <cellStyle name="Normal 2 2 26 14" xfId="3217"/>
    <cellStyle name="Normal 2 2 26 15" xfId="3218"/>
    <cellStyle name="Normal 2 2 26 16" xfId="3219"/>
    <cellStyle name="Normal 2 2 26 17" xfId="3220"/>
    <cellStyle name="Normal 2 2 26 2" xfId="3221"/>
    <cellStyle name="Normal 2 2 26 3" xfId="3222"/>
    <cellStyle name="Normal 2 2 26 4" xfId="3223"/>
    <cellStyle name="Normal 2 2 26 5" xfId="3224"/>
    <cellStyle name="Normal 2 2 26 6" xfId="3225"/>
    <cellStyle name="Normal 2 2 26 7" xfId="3226"/>
    <cellStyle name="Normal 2 2 26 8" xfId="3227"/>
    <cellStyle name="Normal 2 2 26 9" xfId="3228"/>
    <cellStyle name="Normal 2 2 27" xfId="3229"/>
    <cellStyle name="Normal 2 2 27 10" xfId="3230"/>
    <cellStyle name="Normal 2 2 27 11" xfId="3231"/>
    <cellStyle name="Normal 2 2 27 12" xfId="3232"/>
    <cellStyle name="Normal 2 2 27 13" xfId="3233"/>
    <cellStyle name="Normal 2 2 27 14" xfId="3234"/>
    <cellStyle name="Normal 2 2 27 15" xfId="3235"/>
    <cellStyle name="Normal 2 2 27 16" xfId="3236"/>
    <cellStyle name="Normal 2 2 27 17" xfId="3237"/>
    <cellStyle name="Normal 2 2 27 2" xfId="3238"/>
    <cellStyle name="Normal 2 2 27 3" xfId="3239"/>
    <cellStyle name="Normal 2 2 27 4" xfId="3240"/>
    <cellStyle name="Normal 2 2 27 5" xfId="3241"/>
    <cellStyle name="Normal 2 2 27 6" xfId="3242"/>
    <cellStyle name="Normal 2 2 27 7" xfId="3243"/>
    <cellStyle name="Normal 2 2 27 8" xfId="3244"/>
    <cellStyle name="Normal 2 2 27 9" xfId="3245"/>
    <cellStyle name="Normal 2 2 28" xfId="3246"/>
    <cellStyle name="Normal 2 2 28 10" xfId="3247"/>
    <cellStyle name="Normal 2 2 28 11" xfId="3248"/>
    <cellStyle name="Normal 2 2 28 12" xfId="3249"/>
    <cellStyle name="Normal 2 2 28 13" xfId="3250"/>
    <cellStyle name="Normal 2 2 28 14" xfId="3251"/>
    <cellStyle name="Normal 2 2 28 15" xfId="3252"/>
    <cellStyle name="Normal 2 2 28 16" xfId="3253"/>
    <cellStyle name="Normal 2 2 28 17" xfId="3254"/>
    <cellStyle name="Normal 2 2 28 2" xfId="3255"/>
    <cellStyle name="Normal 2 2 28 3" xfId="3256"/>
    <cellStyle name="Normal 2 2 28 4" xfId="3257"/>
    <cellStyle name="Normal 2 2 28 5" xfId="3258"/>
    <cellStyle name="Normal 2 2 28 6" xfId="3259"/>
    <cellStyle name="Normal 2 2 28 7" xfId="3260"/>
    <cellStyle name="Normal 2 2 28 8" xfId="3261"/>
    <cellStyle name="Normal 2 2 28 9" xfId="3262"/>
    <cellStyle name="Normal 2 2 29" xfId="3263"/>
    <cellStyle name="Normal 2 2 29 10" xfId="3264"/>
    <cellStyle name="Normal 2 2 29 11" xfId="3265"/>
    <cellStyle name="Normal 2 2 29 12" xfId="3266"/>
    <cellStyle name="Normal 2 2 29 13" xfId="3267"/>
    <cellStyle name="Normal 2 2 29 14" xfId="3268"/>
    <cellStyle name="Normal 2 2 29 15" xfId="3269"/>
    <cellStyle name="Normal 2 2 29 16" xfId="3270"/>
    <cellStyle name="Normal 2 2 29 17" xfId="3271"/>
    <cellStyle name="Normal 2 2 29 2" xfId="3272"/>
    <cellStyle name="Normal 2 2 29 3" xfId="3273"/>
    <cellStyle name="Normal 2 2 29 4" xfId="3274"/>
    <cellStyle name="Normal 2 2 29 5" xfId="3275"/>
    <cellStyle name="Normal 2 2 29 6" xfId="3276"/>
    <cellStyle name="Normal 2 2 29 7" xfId="3277"/>
    <cellStyle name="Normal 2 2 29 8" xfId="3278"/>
    <cellStyle name="Normal 2 2 29 9" xfId="3279"/>
    <cellStyle name="Normal 2 2 3" xfId="72"/>
    <cellStyle name="Normal 2 2 3 10" xfId="3280"/>
    <cellStyle name="Normal 2 2 3 11" xfId="3281"/>
    <cellStyle name="Normal 2 2 3 12" xfId="3282"/>
    <cellStyle name="Normal 2 2 3 13" xfId="3283"/>
    <cellStyle name="Normal 2 2 3 14" xfId="3284"/>
    <cellStyle name="Normal 2 2 3 15" xfId="3285"/>
    <cellStyle name="Normal 2 2 3 16" xfId="3286"/>
    <cellStyle name="Normal 2 2 3 17" xfId="3287"/>
    <cellStyle name="Normal 2 2 3 18" xfId="3288"/>
    <cellStyle name="Normal 2 2 3 19" xfId="3289"/>
    <cellStyle name="Normal 2 2 3 2" xfId="3290"/>
    <cellStyle name="Normal 2 2 3 2 10" xfId="3291"/>
    <cellStyle name="Normal 2 2 3 2 11" xfId="3292"/>
    <cellStyle name="Normal 2 2 3 2 12" xfId="3293"/>
    <cellStyle name="Normal 2 2 3 2 13" xfId="3294"/>
    <cellStyle name="Normal 2 2 3 2 14" xfId="3295"/>
    <cellStyle name="Normal 2 2 3 2 15" xfId="3296"/>
    <cellStyle name="Normal 2 2 3 2 16" xfId="3297"/>
    <cellStyle name="Normal 2 2 3 2 17" xfId="3298"/>
    <cellStyle name="Normal 2 2 3 2 18" xfId="3299"/>
    <cellStyle name="Normal 2 2 3 2 19" xfId="3300"/>
    <cellStyle name="Normal 2 2 3 2 2" xfId="3301"/>
    <cellStyle name="Normal 2 2 3 2 20" xfId="3302"/>
    <cellStyle name="Normal 2 2 3 2 21" xfId="3303"/>
    <cellStyle name="Normal 2 2 3 2 22" xfId="3304"/>
    <cellStyle name="Normal 2 2 3 2 23" xfId="3305"/>
    <cellStyle name="Normal 2 2 3 2 24" xfId="3306"/>
    <cellStyle name="Normal 2 2 3 2 25" xfId="3307"/>
    <cellStyle name="Normal 2 2 3 2 26" xfId="3308"/>
    <cellStyle name="Normal 2 2 3 2 27" xfId="3309"/>
    <cellStyle name="Normal 2 2 3 2 28" xfId="3310"/>
    <cellStyle name="Normal 2 2 3 2 29" xfId="3311"/>
    <cellStyle name="Normal 2 2 3 2 3" xfId="3312"/>
    <cellStyle name="Normal 2 2 3 2 30" xfId="3313"/>
    <cellStyle name="Normal 2 2 3 2 31" xfId="3314"/>
    <cellStyle name="Normal 2 2 3 2 32" xfId="3315"/>
    <cellStyle name="Normal 2 2 3 2 33" xfId="3316"/>
    <cellStyle name="Normal 2 2 3 2 34" xfId="3317"/>
    <cellStyle name="Normal 2 2 3 2 35" xfId="3318"/>
    <cellStyle name="Normal 2 2 3 2 36" xfId="3319"/>
    <cellStyle name="Normal 2 2 3 2 37" xfId="3320"/>
    <cellStyle name="Normal 2 2 3 2 38" xfId="3321"/>
    <cellStyle name="Normal 2 2 3 2 39" xfId="3322"/>
    <cellStyle name="Normal 2 2 3 2 4" xfId="3323"/>
    <cellStyle name="Normal 2 2 3 2 40" xfId="3324"/>
    <cellStyle name="Normal 2 2 3 2 41" xfId="3325"/>
    <cellStyle name="Normal 2 2 3 2 42" xfId="3326"/>
    <cellStyle name="Normal 2 2 3 2 43" xfId="3327"/>
    <cellStyle name="Normal 2 2 3 2 44" xfId="3328"/>
    <cellStyle name="Normal 2 2 3 2 45" xfId="3329"/>
    <cellStyle name="Normal 2 2 3 2 46" xfId="3330"/>
    <cellStyle name="Normal 2 2 3 2 47" xfId="3331"/>
    <cellStyle name="Normal 2 2 3 2 48" xfId="3332"/>
    <cellStyle name="Normal 2 2 3 2 5" xfId="3333"/>
    <cellStyle name="Normal 2 2 3 2 6" xfId="3334"/>
    <cellStyle name="Normal 2 2 3 2 6 10" xfId="3335"/>
    <cellStyle name="Normal 2 2 3 2 6 11" xfId="3336"/>
    <cellStyle name="Normal 2 2 3 2 6 12" xfId="3337"/>
    <cellStyle name="Normal 2 2 3 2 6 13" xfId="3338"/>
    <cellStyle name="Normal 2 2 3 2 6 2" xfId="3339"/>
    <cellStyle name="Normal 2 2 3 2 6 3" xfId="3340"/>
    <cellStyle name="Normal 2 2 3 2 6 4" xfId="3341"/>
    <cellStyle name="Normal 2 2 3 2 6 5" xfId="3342"/>
    <cellStyle name="Normal 2 2 3 2 6 6" xfId="3343"/>
    <cellStyle name="Normal 2 2 3 2 6 7" xfId="3344"/>
    <cellStyle name="Normal 2 2 3 2 6 8" xfId="3345"/>
    <cellStyle name="Normal 2 2 3 2 6 9" xfId="3346"/>
    <cellStyle name="Normal 2 2 3 2 7" xfId="3347"/>
    <cellStyle name="Normal 2 2 3 2 8" xfId="3348"/>
    <cellStyle name="Normal 2 2 3 2 9" xfId="3349"/>
    <cellStyle name="Normal 2 2 3 20" xfId="3350"/>
    <cellStyle name="Normal 2 2 3 21" xfId="3351"/>
    <cellStyle name="Normal 2 2 3 22" xfId="3352"/>
    <cellStyle name="Normal 2 2 3 23" xfId="3353"/>
    <cellStyle name="Normal 2 2 3 24" xfId="3354"/>
    <cellStyle name="Normal 2 2 3 25" xfId="3355"/>
    <cellStyle name="Normal 2 2 3 26" xfId="3356"/>
    <cellStyle name="Normal 2 2 3 27" xfId="3357"/>
    <cellStyle name="Normal 2 2 3 28" xfId="3358"/>
    <cellStyle name="Normal 2 2 3 29" xfId="3359"/>
    <cellStyle name="Normal 2 2 3 3" xfId="3360"/>
    <cellStyle name="Normal 2 2 3 3 10" xfId="3361"/>
    <cellStyle name="Normal 2 2 3 3 11" xfId="3362"/>
    <cellStyle name="Normal 2 2 3 3 12" xfId="3363"/>
    <cellStyle name="Normal 2 2 3 3 13" xfId="3364"/>
    <cellStyle name="Normal 2 2 3 3 14" xfId="3365"/>
    <cellStyle name="Normal 2 2 3 3 15" xfId="3366"/>
    <cellStyle name="Normal 2 2 3 3 16" xfId="3367"/>
    <cellStyle name="Normal 2 2 3 3 17" xfId="3368"/>
    <cellStyle name="Normal 2 2 3 3 2" xfId="3369"/>
    <cellStyle name="Normal 2 2 3 3 3" xfId="3370"/>
    <cellStyle name="Normal 2 2 3 3 4" xfId="3371"/>
    <cellStyle name="Normal 2 2 3 3 5" xfId="3372"/>
    <cellStyle name="Normal 2 2 3 3 6" xfId="3373"/>
    <cellStyle name="Normal 2 2 3 3 7" xfId="3374"/>
    <cellStyle name="Normal 2 2 3 3 8" xfId="3375"/>
    <cellStyle name="Normal 2 2 3 3 9" xfId="3376"/>
    <cellStyle name="Normal 2 2 3 30" xfId="3377"/>
    <cellStyle name="Normal 2 2 3 31" xfId="3378"/>
    <cellStyle name="Normal 2 2 3 32" xfId="3379"/>
    <cellStyle name="Normal 2 2 3 33" xfId="3380"/>
    <cellStyle name="Normal 2 2 3 34" xfId="3381"/>
    <cellStyle name="Normal 2 2 3 35" xfId="3382"/>
    <cellStyle name="Normal 2 2 3 36" xfId="3383"/>
    <cellStyle name="Normal 2 2 3 37" xfId="3384"/>
    <cellStyle name="Normal 2 2 3 38" xfId="3385"/>
    <cellStyle name="Normal 2 2 3 39" xfId="3386"/>
    <cellStyle name="Normal 2 2 3 4" xfId="3387"/>
    <cellStyle name="Normal 2 2 3 4 10" xfId="3388"/>
    <cellStyle name="Normal 2 2 3 4 11" xfId="3389"/>
    <cellStyle name="Normal 2 2 3 4 12" xfId="3390"/>
    <cellStyle name="Normal 2 2 3 4 13" xfId="3391"/>
    <cellStyle name="Normal 2 2 3 4 14" xfId="3392"/>
    <cellStyle name="Normal 2 2 3 4 15" xfId="3393"/>
    <cellStyle name="Normal 2 2 3 4 16" xfId="3394"/>
    <cellStyle name="Normal 2 2 3 4 17" xfId="3395"/>
    <cellStyle name="Normal 2 2 3 4 2" xfId="3396"/>
    <cellStyle name="Normal 2 2 3 4 3" xfId="3397"/>
    <cellStyle name="Normal 2 2 3 4 4" xfId="3398"/>
    <cellStyle name="Normal 2 2 3 4 5" xfId="3399"/>
    <cellStyle name="Normal 2 2 3 4 6" xfId="3400"/>
    <cellStyle name="Normal 2 2 3 4 7" xfId="3401"/>
    <cellStyle name="Normal 2 2 3 4 8" xfId="3402"/>
    <cellStyle name="Normal 2 2 3 4 9" xfId="3403"/>
    <cellStyle name="Normal 2 2 3 40" xfId="3404"/>
    <cellStyle name="Normal 2 2 3 41" xfId="3405"/>
    <cellStyle name="Normal 2 2 3 42" xfId="3406"/>
    <cellStyle name="Normal 2 2 3 43" xfId="3407"/>
    <cellStyle name="Normal 2 2 3 44" xfId="3408"/>
    <cellStyle name="Normal 2 2 3 45" xfId="3409"/>
    <cellStyle name="Normal 2 2 3 46" xfId="3410"/>
    <cellStyle name="Normal 2 2 3 47" xfId="3411"/>
    <cellStyle name="Normal 2 2 3 48" xfId="3412"/>
    <cellStyle name="Normal 2 2 3 49" xfId="3413"/>
    <cellStyle name="Normal 2 2 3 5" xfId="3414"/>
    <cellStyle name="Normal 2 2 3 5 10" xfId="3415"/>
    <cellStyle name="Normal 2 2 3 5 11" xfId="3416"/>
    <cellStyle name="Normal 2 2 3 5 12" xfId="3417"/>
    <cellStyle name="Normal 2 2 3 5 13" xfId="3418"/>
    <cellStyle name="Normal 2 2 3 5 14" xfId="3419"/>
    <cellStyle name="Normal 2 2 3 5 15" xfId="3420"/>
    <cellStyle name="Normal 2 2 3 5 16" xfId="3421"/>
    <cellStyle name="Normal 2 2 3 5 17" xfId="3422"/>
    <cellStyle name="Normal 2 2 3 5 2" xfId="3423"/>
    <cellStyle name="Normal 2 2 3 5 3" xfId="3424"/>
    <cellStyle name="Normal 2 2 3 5 4" xfId="3425"/>
    <cellStyle name="Normal 2 2 3 5 5" xfId="3426"/>
    <cellStyle name="Normal 2 2 3 5 6" xfId="3427"/>
    <cellStyle name="Normal 2 2 3 5 7" xfId="3428"/>
    <cellStyle name="Normal 2 2 3 5 8" xfId="3429"/>
    <cellStyle name="Normal 2 2 3 5 9" xfId="3430"/>
    <cellStyle name="Normal 2 2 3 50" xfId="3431"/>
    <cellStyle name="Normal 2 2 3 51" xfId="3432"/>
    <cellStyle name="Normal 2 2 3 52" xfId="3433"/>
    <cellStyle name="Normal 2 2 3 53" xfId="3434"/>
    <cellStyle name="Normal 2 2 3 54" xfId="3435"/>
    <cellStyle name="Normal 2 2 3 55" xfId="3436"/>
    <cellStyle name="Normal 2 2 3 56" xfId="3437"/>
    <cellStyle name="Normal 2 2 3 57" xfId="3438"/>
    <cellStyle name="Normal 2 2 3 58" xfId="3439"/>
    <cellStyle name="Normal 2 2 3 59" xfId="3440"/>
    <cellStyle name="Normal 2 2 3 6" xfId="3441"/>
    <cellStyle name="Normal 2 2 3 6 10" xfId="3442"/>
    <cellStyle name="Normal 2 2 3 6 11" xfId="3443"/>
    <cellStyle name="Normal 2 2 3 6 12" xfId="3444"/>
    <cellStyle name="Normal 2 2 3 6 13" xfId="3445"/>
    <cellStyle name="Normal 2 2 3 6 14" xfId="3446"/>
    <cellStyle name="Normal 2 2 3 6 15" xfId="3447"/>
    <cellStyle name="Normal 2 2 3 6 16" xfId="3448"/>
    <cellStyle name="Normal 2 2 3 6 17" xfId="3449"/>
    <cellStyle name="Normal 2 2 3 6 2" xfId="3450"/>
    <cellStyle name="Normal 2 2 3 6 3" xfId="3451"/>
    <cellStyle name="Normal 2 2 3 6 4" xfId="3452"/>
    <cellStyle name="Normal 2 2 3 6 5" xfId="3453"/>
    <cellStyle name="Normal 2 2 3 6 6" xfId="3454"/>
    <cellStyle name="Normal 2 2 3 6 7" xfId="3455"/>
    <cellStyle name="Normal 2 2 3 6 8" xfId="3456"/>
    <cellStyle name="Normal 2 2 3 6 9" xfId="3457"/>
    <cellStyle name="Normal 2 2 3 60" xfId="3458"/>
    <cellStyle name="Normal 2 2 3 61" xfId="3459"/>
    <cellStyle name="Normal 2 2 3 62" xfId="3460"/>
    <cellStyle name="Normal 2 2 3 63" xfId="3461"/>
    <cellStyle name="Normal 2 2 3 64" xfId="3462"/>
    <cellStyle name="Normal 2 2 3 65" xfId="3463"/>
    <cellStyle name="Normal 2 2 3 66" xfId="3464"/>
    <cellStyle name="Normal 2 2 3 67" xfId="3465"/>
    <cellStyle name="Normal 2 2 3 68" xfId="3466"/>
    <cellStyle name="Normal 2 2 3 69" xfId="3467"/>
    <cellStyle name="Normal 2 2 3 7" xfId="3468"/>
    <cellStyle name="Normal 2 2 3 7 10" xfId="3469"/>
    <cellStyle name="Normal 2 2 3 7 11" xfId="3470"/>
    <cellStyle name="Normal 2 2 3 7 12" xfId="3471"/>
    <cellStyle name="Normal 2 2 3 7 13" xfId="3472"/>
    <cellStyle name="Normal 2 2 3 7 14" xfId="3473"/>
    <cellStyle name="Normal 2 2 3 7 15" xfId="3474"/>
    <cellStyle name="Normal 2 2 3 7 16" xfId="3475"/>
    <cellStyle name="Normal 2 2 3 7 17" xfId="3476"/>
    <cellStyle name="Normal 2 2 3 7 2" xfId="3477"/>
    <cellStyle name="Normal 2 2 3 7 3" xfId="3478"/>
    <cellStyle name="Normal 2 2 3 7 4" xfId="3479"/>
    <cellStyle name="Normal 2 2 3 7 5" xfId="3480"/>
    <cellStyle name="Normal 2 2 3 7 6" xfId="3481"/>
    <cellStyle name="Normal 2 2 3 7 7" xfId="3482"/>
    <cellStyle name="Normal 2 2 3 7 8" xfId="3483"/>
    <cellStyle name="Normal 2 2 3 7 9" xfId="3484"/>
    <cellStyle name="Normal 2 2 3 70" xfId="3485"/>
    <cellStyle name="Normal 2 2 3 71" xfId="3486"/>
    <cellStyle name="Normal 2 2 3 72" xfId="3487"/>
    <cellStyle name="Normal 2 2 3 73" xfId="3488"/>
    <cellStyle name="Normal 2 2 3 74" xfId="3489"/>
    <cellStyle name="Normal 2 2 3 75" xfId="3490"/>
    <cellStyle name="Normal 2 2 3 76" xfId="3491"/>
    <cellStyle name="Normal 2 2 3 77" xfId="3492"/>
    <cellStyle name="Normal 2 2 3 8" xfId="3493"/>
    <cellStyle name="Normal 2 2 3 8 10" xfId="3494"/>
    <cellStyle name="Normal 2 2 3 8 11" xfId="3495"/>
    <cellStyle name="Normal 2 2 3 8 12" xfId="3496"/>
    <cellStyle name="Normal 2 2 3 8 13" xfId="3497"/>
    <cellStyle name="Normal 2 2 3 8 14" xfId="3498"/>
    <cellStyle name="Normal 2 2 3 8 15" xfId="3499"/>
    <cellStyle name="Normal 2 2 3 8 16" xfId="3500"/>
    <cellStyle name="Normal 2 2 3 8 17" xfId="3501"/>
    <cellStyle name="Normal 2 2 3 8 2" xfId="3502"/>
    <cellStyle name="Normal 2 2 3 8 3" xfId="3503"/>
    <cellStyle name="Normal 2 2 3 8 4" xfId="3504"/>
    <cellStyle name="Normal 2 2 3 8 5" xfId="3505"/>
    <cellStyle name="Normal 2 2 3 8 6" xfId="3506"/>
    <cellStyle name="Normal 2 2 3 8 7" xfId="3507"/>
    <cellStyle name="Normal 2 2 3 8 8" xfId="3508"/>
    <cellStyle name="Normal 2 2 3 8 9" xfId="3509"/>
    <cellStyle name="Normal 2 2 3 9" xfId="3510"/>
    <cellStyle name="Normal 2 2 30" xfId="3511"/>
    <cellStyle name="Normal 2 2 30 10" xfId="3512"/>
    <cellStyle name="Normal 2 2 30 11" xfId="3513"/>
    <cellStyle name="Normal 2 2 30 12" xfId="3514"/>
    <cellStyle name="Normal 2 2 30 13" xfId="3515"/>
    <cellStyle name="Normal 2 2 30 14" xfId="3516"/>
    <cellStyle name="Normal 2 2 30 15" xfId="3517"/>
    <cellStyle name="Normal 2 2 30 16" xfId="3518"/>
    <cellStyle name="Normal 2 2 30 17" xfId="3519"/>
    <cellStyle name="Normal 2 2 30 2" xfId="3520"/>
    <cellStyle name="Normal 2 2 30 3" xfId="3521"/>
    <cellStyle name="Normal 2 2 30 4" xfId="3522"/>
    <cellStyle name="Normal 2 2 30 5" xfId="3523"/>
    <cellStyle name="Normal 2 2 30 6" xfId="3524"/>
    <cellStyle name="Normal 2 2 30 7" xfId="3525"/>
    <cellStyle name="Normal 2 2 30 8" xfId="3526"/>
    <cellStyle name="Normal 2 2 30 9" xfId="3527"/>
    <cellStyle name="Normal 2 2 31" xfId="3528"/>
    <cellStyle name="Normal 2 2 31 10" xfId="3529"/>
    <cellStyle name="Normal 2 2 31 11" xfId="3530"/>
    <cellStyle name="Normal 2 2 31 12" xfId="3531"/>
    <cellStyle name="Normal 2 2 31 13" xfId="3532"/>
    <cellStyle name="Normal 2 2 31 14" xfId="3533"/>
    <cellStyle name="Normal 2 2 31 15" xfId="3534"/>
    <cellStyle name="Normal 2 2 31 16" xfId="3535"/>
    <cellStyle name="Normal 2 2 31 17" xfId="3536"/>
    <cellStyle name="Normal 2 2 31 2" xfId="3537"/>
    <cellStyle name="Normal 2 2 31 3" xfId="3538"/>
    <cellStyle name="Normal 2 2 31 4" xfId="3539"/>
    <cellStyle name="Normal 2 2 31 5" xfId="3540"/>
    <cellStyle name="Normal 2 2 31 6" xfId="3541"/>
    <cellStyle name="Normal 2 2 31 7" xfId="3542"/>
    <cellStyle name="Normal 2 2 31 8" xfId="3543"/>
    <cellStyle name="Normal 2 2 31 9" xfId="3544"/>
    <cellStyle name="Normal 2 2 32" xfId="3545"/>
    <cellStyle name="Normal 2 2 32 10" xfId="3546"/>
    <cellStyle name="Normal 2 2 32 11" xfId="3547"/>
    <cellStyle name="Normal 2 2 32 12" xfId="3548"/>
    <cellStyle name="Normal 2 2 32 13" xfId="3549"/>
    <cellStyle name="Normal 2 2 32 14" xfId="3550"/>
    <cellStyle name="Normal 2 2 32 15" xfId="3551"/>
    <cellStyle name="Normal 2 2 32 16" xfId="3552"/>
    <cellStyle name="Normal 2 2 32 17" xfId="3553"/>
    <cellStyle name="Normal 2 2 32 2" xfId="3554"/>
    <cellStyle name="Normal 2 2 32 3" xfId="3555"/>
    <cellStyle name="Normal 2 2 32 4" xfId="3556"/>
    <cellStyle name="Normal 2 2 32 5" xfId="3557"/>
    <cellStyle name="Normal 2 2 32 6" xfId="3558"/>
    <cellStyle name="Normal 2 2 32 7" xfId="3559"/>
    <cellStyle name="Normal 2 2 32 8" xfId="3560"/>
    <cellStyle name="Normal 2 2 32 9" xfId="3561"/>
    <cellStyle name="Normal 2 2 33" xfId="3562"/>
    <cellStyle name="Normal 2 2 33 10" xfId="3563"/>
    <cellStyle name="Normal 2 2 33 11" xfId="3564"/>
    <cellStyle name="Normal 2 2 33 12" xfId="3565"/>
    <cellStyle name="Normal 2 2 33 13" xfId="3566"/>
    <cellStyle name="Normal 2 2 33 14" xfId="3567"/>
    <cellStyle name="Normal 2 2 33 15" xfId="3568"/>
    <cellStyle name="Normal 2 2 33 16" xfId="3569"/>
    <cellStyle name="Normal 2 2 33 17" xfId="3570"/>
    <cellStyle name="Normal 2 2 33 2" xfId="3571"/>
    <cellStyle name="Normal 2 2 33 3" xfId="3572"/>
    <cellStyle name="Normal 2 2 33 4" xfId="3573"/>
    <cellStyle name="Normal 2 2 33 5" xfId="3574"/>
    <cellStyle name="Normal 2 2 33 6" xfId="3575"/>
    <cellStyle name="Normal 2 2 33 7" xfId="3576"/>
    <cellStyle name="Normal 2 2 33 8" xfId="3577"/>
    <cellStyle name="Normal 2 2 33 9" xfId="3578"/>
    <cellStyle name="Normal 2 2 34" xfId="3579"/>
    <cellStyle name="Normal 2 2 35" xfId="3580"/>
    <cellStyle name="Normal 2 2 35 10" xfId="3581"/>
    <cellStyle name="Normal 2 2 35 11" xfId="3582"/>
    <cellStyle name="Normal 2 2 35 12" xfId="3583"/>
    <cellStyle name="Normal 2 2 35 13" xfId="3584"/>
    <cellStyle name="Normal 2 2 35 2" xfId="3585"/>
    <cellStyle name="Normal 2 2 35 3" xfId="3586"/>
    <cellStyle name="Normal 2 2 35 4" xfId="3587"/>
    <cellStyle name="Normal 2 2 35 5" xfId="3588"/>
    <cellStyle name="Normal 2 2 35 6" xfId="3589"/>
    <cellStyle name="Normal 2 2 35 7" xfId="3590"/>
    <cellStyle name="Normal 2 2 35 8" xfId="3591"/>
    <cellStyle name="Normal 2 2 35 9" xfId="3592"/>
    <cellStyle name="Normal 2 2 36" xfId="3593"/>
    <cellStyle name="Normal 2 2 36 10" xfId="3594"/>
    <cellStyle name="Normal 2 2 36 11" xfId="3595"/>
    <cellStyle name="Normal 2 2 36 12" xfId="3596"/>
    <cellStyle name="Normal 2 2 36 13" xfId="3597"/>
    <cellStyle name="Normal 2 2 36 2" xfId="3598"/>
    <cellStyle name="Normal 2 2 36 3" xfId="3599"/>
    <cellStyle name="Normal 2 2 36 4" xfId="3600"/>
    <cellStyle name="Normal 2 2 36 5" xfId="3601"/>
    <cellStyle name="Normal 2 2 36 6" xfId="3602"/>
    <cellStyle name="Normal 2 2 36 7" xfId="3603"/>
    <cellStyle name="Normal 2 2 36 8" xfId="3604"/>
    <cellStyle name="Normal 2 2 36 9" xfId="3605"/>
    <cellStyle name="Normal 2 2 37" xfId="3606"/>
    <cellStyle name="Normal 2 2 37 10" xfId="3607"/>
    <cellStyle name="Normal 2 2 37 11" xfId="3608"/>
    <cellStyle name="Normal 2 2 37 12" xfId="3609"/>
    <cellStyle name="Normal 2 2 37 13" xfId="3610"/>
    <cellStyle name="Normal 2 2 37 2" xfId="3611"/>
    <cellStyle name="Normal 2 2 37 3" xfId="3612"/>
    <cellStyle name="Normal 2 2 37 4" xfId="3613"/>
    <cellStyle name="Normal 2 2 37 5" xfId="3614"/>
    <cellStyle name="Normal 2 2 37 6" xfId="3615"/>
    <cellStyle name="Normal 2 2 37 7" xfId="3616"/>
    <cellStyle name="Normal 2 2 37 8" xfId="3617"/>
    <cellStyle name="Normal 2 2 37 9" xfId="3618"/>
    <cellStyle name="Normal 2 2 38" xfId="3619"/>
    <cellStyle name="Normal 2 2 38 10" xfId="3620"/>
    <cellStyle name="Normal 2 2 38 11" xfId="3621"/>
    <cellStyle name="Normal 2 2 38 12" xfId="3622"/>
    <cellStyle name="Normal 2 2 38 13" xfId="3623"/>
    <cellStyle name="Normal 2 2 38 2" xfId="3624"/>
    <cellStyle name="Normal 2 2 38 3" xfId="3625"/>
    <cellStyle name="Normal 2 2 38 4" xfId="3626"/>
    <cellStyle name="Normal 2 2 38 5" xfId="3627"/>
    <cellStyle name="Normal 2 2 38 6" xfId="3628"/>
    <cellStyle name="Normal 2 2 38 7" xfId="3629"/>
    <cellStyle name="Normal 2 2 38 8" xfId="3630"/>
    <cellStyle name="Normal 2 2 38 9" xfId="3631"/>
    <cellStyle name="Normal 2 2 39" xfId="3632"/>
    <cellStyle name="Normal 2 2 39 10" xfId="3633"/>
    <cellStyle name="Normal 2 2 39 11" xfId="3634"/>
    <cellStyle name="Normal 2 2 39 12" xfId="3635"/>
    <cellStyle name="Normal 2 2 39 13" xfId="3636"/>
    <cellStyle name="Normal 2 2 39 2" xfId="3637"/>
    <cellStyle name="Normal 2 2 39 3" xfId="3638"/>
    <cellStyle name="Normal 2 2 39 4" xfId="3639"/>
    <cellStyle name="Normal 2 2 39 5" xfId="3640"/>
    <cellStyle name="Normal 2 2 39 6" xfId="3641"/>
    <cellStyle name="Normal 2 2 39 7" xfId="3642"/>
    <cellStyle name="Normal 2 2 39 8" xfId="3643"/>
    <cellStyle name="Normal 2 2 39 9" xfId="3644"/>
    <cellStyle name="Normal 2 2 4" xfId="73"/>
    <cellStyle name="Normal 2 2 4 10" xfId="3645"/>
    <cellStyle name="Normal 2 2 4 11" xfId="3646"/>
    <cellStyle name="Normal 2 2 4 12" xfId="3647"/>
    <cellStyle name="Normal 2 2 4 13" xfId="3648"/>
    <cellStyle name="Normal 2 2 4 14" xfId="3649"/>
    <cellStyle name="Normal 2 2 4 15" xfId="3650"/>
    <cellStyle name="Normal 2 2 4 16" xfId="3651"/>
    <cellStyle name="Normal 2 2 4 17" xfId="3652"/>
    <cellStyle name="Normal 2 2 4 18" xfId="3653"/>
    <cellStyle name="Normal 2 2 4 19" xfId="3654"/>
    <cellStyle name="Normal 2 2 4 2" xfId="3655"/>
    <cellStyle name="Normal 2 2 4 2 2" xfId="3656"/>
    <cellStyle name="Normal 2 2 4 2 3" xfId="3657"/>
    <cellStyle name="Normal 2 2 4 2 4" xfId="3658"/>
    <cellStyle name="Normal 2 2 4 2 5" xfId="3659"/>
    <cellStyle name="Normal 2 2 4 20" xfId="3660"/>
    <cellStyle name="Normal 2 2 4 3" xfId="3661"/>
    <cellStyle name="Normal 2 2 4 3 2" xfId="3662"/>
    <cellStyle name="Normal 2 2 4 3 3" xfId="3663"/>
    <cellStyle name="Normal 2 2 4 3 4" xfId="3664"/>
    <cellStyle name="Normal 2 2 4 3 5" xfId="3665"/>
    <cellStyle name="Normal 2 2 4 4" xfId="3666"/>
    <cellStyle name="Normal 2 2 4 4 2" xfId="3667"/>
    <cellStyle name="Normal 2 2 4 4 3" xfId="3668"/>
    <cellStyle name="Normal 2 2 4 4 4" xfId="3669"/>
    <cellStyle name="Normal 2 2 4 4 5" xfId="3670"/>
    <cellStyle name="Normal 2 2 4 5" xfId="3671"/>
    <cellStyle name="Normal 2 2 4 5 2" xfId="3672"/>
    <cellStyle name="Normal 2 2 4 5 3" xfId="3673"/>
    <cellStyle name="Normal 2 2 4 5 4" xfId="3674"/>
    <cellStyle name="Normal 2 2 4 5 5" xfId="3675"/>
    <cellStyle name="Normal 2 2 4 6" xfId="3676"/>
    <cellStyle name="Normal 2 2 4 6 2" xfId="3677"/>
    <cellStyle name="Normal 2 2 4 6 3" xfId="3678"/>
    <cellStyle name="Normal 2 2 4 6 4" xfId="3679"/>
    <cellStyle name="Normal 2 2 4 6 5" xfId="3680"/>
    <cellStyle name="Normal 2 2 4 7" xfId="3681"/>
    <cellStyle name="Normal 2 2 4 7 2" xfId="3682"/>
    <cellStyle name="Normal 2 2 4 7 3" xfId="3683"/>
    <cellStyle name="Normal 2 2 4 7 4" xfId="3684"/>
    <cellStyle name="Normal 2 2 4 7 5" xfId="3685"/>
    <cellStyle name="Normal 2 2 4 8" xfId="3686"/>
    <cellStyle name="Normal 2 2 4 8 2" xfId="3687"/>
    <cellStyle name="Normal 2 2 4 8 3" xfId="3688"/>
    <cellStyle name="Normal 2 2 4 8 4" xfId="3689"/>
    <cellStyle name="Normal 2 2 4 8 5" xfId="3690"/>
    <cellStyle name="Normal 2 2 4 9" xfId="3691"/>
    <cellStyle name="Normal 2 2 40" xfId="3692"/>
    <cellStyle name="Normal 2 2 40 10" xfId="3693"/>
    <cellStyle name="Normal 2 2 40 11" xfId="3694"/>
    <cellStyle name="Normal 2 2 40 12" xfId="3695"/>
    <cellStyle name="Normal 2 2 40 13" xfId="3696"/>
    <cellStyle name="Normal 2 2 40 2" xfId="3697"/>
    <cellStyle name="Normal 2 2 40 3" xfId="3698"/>
    <cellStyle name="Normal 2 2 40 4" xfId="3699"/>
    <cellStyle name="Normal 2 2 40 5" xfId="3700"/>
    <cellStyle name="Normal 2 2 40 6" xfId="3701"/>
    <cellStyle name="Normal 2 2 40 7" xfId="3702"/>
    <cellStyle name="Normal 2 2 40 8" xfId="3703"/>
    <cellStyle name="Normal 2 2 40 9" xfId="3704"/>
    <cellStyle name="Normal 2 2 41" xfId="3705"/>
    <cellStyle name="Normal 2 2 42" xfId="3706"/>
    <cellStyle name="Normal 2 2 43" xfId="3707"/>
    <cellStyle name="Normal 2 2 44" xfId="3708"/>
    <cellStyle name="Normal 2 2 45" xfId="3709"/>
    <cellStyle name="Normal 2 2 45 10" xfId="3710"/>
    <cellStyle name="Normal 2 2 45 11" xfId="3711"/>
    <cellStyle name="Normal 2 2 45 12" xfId="3712"/>
    <cellStyle name="Normal 2 2 45 13" xfId="3713"/>
    <cellStyle name="Normal 2 2 45 2" xfId="3714"/>
    <cellStyle name="Normal 2 2 45 3" xfId="3715"/>
    <cellStyle name="Normal 2 2 45 4" xfId="3716"/>
    <cellStyle name="Normal 2 2 45 5" xfId="3717"/>
    <cellStyle name="Normal 2 2 45 6" xfId="3718"/>
    <cellStyle name="Normal 2 2 45 7" xfId="3719"/>
    <cellStyle name="Normal 2 2 45 8" xfId="3720"/>
    <cellStyle name="Normal 2 2 45 9" xfId="3721"/>
    <cellStyle name="Normal 2 2 46" xfId="3722"/>
    <cellStyle name="Normal 2 2 47" xfId="3723"/>
    <cellStyle name="Normal 2 2 48" xfId="3724"/>
    <cellStyle name="Normal 2 2 49" xfId="3725"/>
    <cellStyle name="Normal 2 2 5" xfId="74"/>
    <cellStyle name="Normal 2 2 5 10" xfId="3726"/>
    <cellStyle name="Normal 2 2 5 11" xfId="3727"/>
    <cellStyle name="Normal 2 2 5 12" xfId="3728"/>
    <cellStyle name="Normal 2 2 5 13" xfId="3729"/>
    <cellStyle name="Normal 2 2 5 14" xfId="3730"/>
    <cellStyle name="Normal 2 2 5 15" xfId="3731"/>
    <cellStyle name="Normal 2 2 5 16" xfId="3732"/>
    <cellStyle name="Normal 2 2 5 17" xfId="3733"/>
    <cellStyle name="Normal 2 2 5 18" xfId="3734"/>
    <cellStyle name="Normal 2 2 5 19" xfId="3735"/>
    <cellStyle name="Normal 2 2 5 2" xfId="3736"/>
    <cellStyle name="Normal 2 2 5 2 2" xfId="3737"/>
    <cellStyle name="Normal 2 2 5 2 3" xfId="3738"/>
    <cellStyle name="Normal 2 2 5 2 4" xfId="3739"/>
    <cellStyle name="Normal 2 2 5 2 5" xfId="3740"/>
    <cellStyle name="Normal 2 2 5 20" xfId="3741"/>
    <cellStyle name="Normal 2 2 5 3" xfId="3742"/>
    <cellStyle name="Normal 2 2 5 3 2" xfId="3743"/>
    <cellStyle name="Normal 2 2 5 3 3" xfId="3744"/>
    <cellStyle name="Normal 2 2 5 3 4" xfId="3745"/>
    <cellStyle name="Normal 2 2 5 3 5" xfId="3746"/>
    <cellStyle name="Normal 2 2 5 4" xfId="3747"/>
    <cellStyle name="Normal 2 2 5 4 2" xfId="3748"/>
    <cellStyle name="Normal 2 2 5 4 3" xfId="3749"/>
    <cellStyle name="Normal 2 2 5 4 4" xfId="3750"/>
    <cellStyle name="Normal 2 2 5 4 5" xfId="3751"/>
    <cellStyle name="Normal 2 2 5 5" xfId="3752"/>
    <cellStyle name="Normal 2 2 5 5 2" xfId="3753"/>
    <cellStyle name="Normal 2 2 5 5 3" xfId="3754"/>
    <cellStyle name="Normal 2 2 5 5 4" xfId="3755"/>
    <cellStyle name="Normal 2 2 5 5 5" xfId="3756"/>
    <cellStyle name="Normal 2 2 5 6" xfId="3757"/>
    <cellStyle name="Normal 2 2 5 6 2" xfId="3758"/>
    <cellStyle name="Normal 2 2 5 6 3" xfId="3759"/>
    <cellStyle name="Normal 2 2 5 6 4" xfId="3760"/>
    <cellStyle name="Normal 2 2 5 6 5" xfId="3761"/>
    <cellStyle name="Normal 2 2 5 7" xfId="3762"/>
    <cellStyle name="Normal 2 2 5 7 2" xfId="3763"/>
    <cellStyle name="Normal 2 2 5 7 3" xfId="3764"/>
    <cellStyle name="Normal 2 2 5 7 4" xfId="3765"/>
    <cellStyle name="Normal 2 2 5 7 5" xfId="3766"/>
    <cellStyle name="Normal 2 2 5 8" xfId="3767"/>
    <cellStyle name="Normal 2 2 5 8 2" xfId="3768"/>
    <cellStyle name="Normal 2 2 5 8 3" xfId="3769"/>
    <cellStyle name="Normal 2 2 5 8 4" xfId="3770"/>
    <cellStyle name="Normal 2 2 5 8 5" xfId="3771"/>
    <cellStyle name="Normal 2 2 5 9" xfId="3772"/>
    <cellStyle name="Normal 2 2 50" xfId="3773"/>
    <cellStyle name="Normal 2 2 51" xfId="3774"/>
    <cellStyle name="Normal 2 2 52" xfId="3775"/>
    <cellStyle name="Normal 2 2 53" xfId="3776"/>
    <cellStyle name="Normal 2 2 54" xfId="3777"/>
    <cellStyle name="Normal 2 2 55" xfId="3778"/>
    <cellStyle name="Normal 2 2 56" xfId="3779"/>
    <cellStyle name="Normal 2 2 57" xfId="3780"/>
    <cellStyle name="Normal 2 2 58" xfId="3781"/>
    <cellStyle name="Normal 2 2 59" xfId="3782"/>
    <cellStyle name="Normal 2 2 6" xfId="3783"/>
    <cellStyle name="Normal 2 2 6 10" xfId="3784"/>
    <cellStyle name="Normal 2 2 6 11" xfId="3785"/>
    <cellStyle name="Normal 2 2 6 12" xfId="3786"/>
    <cellStyle name="Normal 2 2 6 13" xfId="3787"/>
    <cellStyle name="Normal 2 2 6 14" xfId="3788"/>
    <cellStyle name="Normal 2 2 6 15" xfId="3789"/>
    <cellStyle name="Normal 2 2 6 16" xfId="3790"/>
    <cellStyle name="Normal 2 2 6 17" xfId="3791"/>
    <cellStyle name="Normal 2 2 6 18" xfId="3792"/>
    <cellStyle name="Normal 2 2 6 19" xfId="3793"/>
    <cellStyle name="Normal 2 2 6 2" xfId="3794"/>
    <cellStyle name="Normal 2 2 6 2 10" xfId="3795"/>
    <cellStyle name="Normal 2 2 6 2 11" xfId="3796"/>
    <cellStyle name="Normal 2 2 6 2 12" xfId="3797"/>
    <cellStyle name="Normal 2 2 6 2 13" xfId="3798"/>
    <cellStyle name="Normal 2 2 6 2 2" xfId="3799"/>
    <cellStyle name="Normal 2 2 6 2 3" xfId="3800"/>
    <cellStyle name="Normal 2 2 6 2 4" xfId="3801"/>
    <cellStyle name="Normal 2 2 6 2 5" xfId="3802"/>
    <cellStyle name="Normal 2 2 6 2 6" xfId="3803"/>
    <cellStyle name="Normal 2 2 6 2 7" xfId="3804"/>
    <cellStyle name="Normal 2 2 6 2 8" xfId="3805"/>
    <cellStyle name="Normal 2 2 6 2 9" xfId="3806"/>
    <cellStyle name="Normal 2 2 6 20" xfId="3807"/>
    <cellStyle name="Normal 2 2 6 21" xfId="3808"/>
    <cellStyle name="Normal 2 2 6 22" xfId="3809"/>
    <cellStyle name="Normal 2 2 6 23" xfId="3810"/>
    <cellStyle name="Normal 2 2 6 24" xfId="3811"/>
    <cellStyle name="Normal 2 2 6 25" xfId="3812"/>
    <cellStyle name="Normal 2 2 6 26" xfId="3813"/>
    <cellStyle name="Normal 2 2 6 27" xfId="3814"/>
    <cellStyle name="Normal 2 2 6 28" xfId="3815"/>
    <cellStyle name="Normal 2 2 6 29" xfId="3816"/>
    <cellStyle name="Normal 2 2 6 3" xfId="3817"/>
    <cellStyle name="Normal 2 2 6 30" xfId="3818"/>
    <cellStyle name="Normal 2 2 6 31" xfId="3819"/>
    <cellStyle name="Normal 2 2 6 32" xfId="3820"/>
    <cellStyle name="Normal 2 2 6 33" xfId="3821"/>
    <cellStyle name="Normal 2 2 6 34" xfId="3822"/>
    <cellStyle name="Normal 2 2 6 35" xfId="3823"/>
    <cellStyle name="Normal 2 2 6 36" xfId="3824"/>
    <cellStyle name="Normal 2 2 6 37" xfId="3825"/>
    <cellStyle name="Normal 2 2 6 38" xfId="3826"/>
    <cellStyle name="Normal 2 2 6 39" xfId="3827"/>
    <cellStyle name="Normal 2 2 6 4" xfId="3828"/>
    <cellStyle name="Normal 2 2 6 40" xfId="3829"/>
    <cellStyle name="Normal 2 2 6 41" xfId="3830"/>
    <cellStyle name="Normal 2 2 6 42" xfId="3831"/>
    <cellStyle name="Normal 2 2 6 43" xfId="3832"/>
    <cellStyle name="Normal 2 2 6 44" xfId="3833"/>
    <cellStyle name="Normal 2 2 6 45" xfId="3834"/>
    <cellStyle name="Normal 2 2 6 46" xfId="3835"/>
    <cellStyle name="Normal 2 2 6 47" xfId="3836"/>
    <cellStyle name="Normal 2 2 6 48" xfId="3837"/>
    <cellStyle name="Normal 2 2 6 5" xfId="3838"/>
    <cellStyle name="Normal 2 2 6 6" xfId="3839"/>
    <cellStyle name="Normal 2 2 6 7" xfId="3840"/>
    <cellStyle name="Normal 2 2 6 8" xfId="3841"/>
    <cellStyle name="Normal 2 2 6 9" xfId="3842"/>
    <cellStyle name="Normal 2 2 60" xfId="3843"/>
    <cellStyle name="Normal 2 2 61" xfId="3844"/>
    <cellStyle name="Normal 2 2 62" xfId="3845"/>
    <cellStyle name="Normal 2 2 63" xfId="3846"/>
    <cellStyle name="Normal 2 2 64" xfId="3847"/>
    <cellStyle name="Normal 2 2 65" xfId="3848"/>
    <cellStyle name="Normal 2 2 66" xfId="3849"/>
    <cellStyle name="Normal 2 2 67" xfId="3850"/>
    <cellStyle name="Normal 2 2 68" xfId="3851"/>
    <cellStyle name="Normal 2 2 69" xfId="3852"/>
    <cellStyle name="Normal 2 2 7" xfId="3853"/>
    <cellStyle name="Normal 2 2 7 10" xfId="3854"/>
    <cellStyle name="Normal 2 2 7 11" xfId="3855"/>
    <cellStyle name="Normal 2 2 7 12" xfId="3856"/>
    <cellStyle name="Normal 2 2 7 13" xfId="3857"/>
    <cellStyle name="Normal 2 2 7 2" xfId="3858"/>
    <cellStyle name="Normal 2 2 7 3" xfId="3859"/>
    <cellStyle name="Normal 2 2 7 4" xfId="3860"/>
    <cellStyle name="Normal 2 2 7 5" xfId="3861"/>
    <cellStyle name="Normal 2 2 7 6" xfId="3862"/>
    <cellStyle name="Normal 2 2 7 7" xfId="3863"/>
    <cellStyle name="Normal 2 2 7 8" xfId="3864"/>
    <cellStyle name="Normal 2 2 7 9" xfId="3865"/>
    <cellStyle name="Normal 2 2 70" xfId="3866"/>
    <cellStyle name="Normal 2 2 70 2" xfId="11361"/>
    <cellStyle name="Normal 2 2 71" xfId="3867"/>
    <cellStyle name="Normal 2 2 72" xfId="3868"/>
    <cellStyle name="Normal 2 2 73" xfId="3869"/>
    <cellStyle name="Normal 2 2 74" xfId="3870"/>
    <cellStyle name="Normal 2 2 75" xfId="3871"/>
    <cellStyle name="Normal 2 2 76" xfId="3872"/>
    <cellStyle name="Normal 2 2 77" xfId="3873"/>
    <cellStyle name="Normal 2 2 78" xfId="3874"/>
    <cellStyle name="Normal 2 2 79" xfId="3875"/>
    <cellStyle name="Normal 2 2 8" xfId="3876"/>
    <cellStyle name="Normal 2 2 8 10" xfId="3877"/>
    <cellStyle name="Normal 2 2 8 11" xfId="3878"/>
    <cellStyle name="Normal 2 2 8 12" xfId="3879"/>
    <cellStyle name="Normal 2 2 8 13" xfId="3880"/>
    <cellStyle name="Normal 2 2 8 2" xfId="3881"/>
    <cellStyle name="Normal 2 2 8 3" xfId="3882"/>
    <cellStyle name="Normal 2 2 8 4" xfId="3883"/>
    <cellStyle name="Normal 2 2 8 5" xfId="3884"/>
    <cellStyle name="Normal 2 2 8 6" xfId="3885"/>
    <cellStyle name="Normal 2 2 8 7" xfId="3886"/>
    <cellStyle name="Normal 2 2 8 8" xfId="3887"/>
    <cellStyle name="Normal 2 2 8 9" xfId="3888"/>
    <cellStyle name="Normal 2 2 80" xfId="3889"/>
    <cellStyle name="Normal 2 2 81" xfId="3890"/>
    <cellStyle name="Normal 2 2 82" xfId="10719"/>
    <cellStyle name="Normal 2 2 83" xfId="10750"/>
    <cellStyle name="Normal 2 2 84" xfId="10726"/>
    <cellStyle name="Normal 2 2 85" xfId="10743"/>
    <cellStyle name="Normal 2 2 86" xfId="10751"/>
    <cellStyle name="Normal 2 2 87" xfId="10792"/>
    <cellStyle name="Normal 2 2 88" xfId="10758"/>
    <cellStyle name="Normal 2 2 9" xfId="3891"/>
    <cellStyle name="Normal 2 2 9 10" xfId="3892"/>
    <cellStyle name="Normal 2 2 9 11" xfId="3893"/>
    <cellStyle name="Normal 2 2 9 12" xfId="3894"/>
    <cellStyle name="Normal 2 2 9 13" xfId="3895"/>
    <cellStyle name="Normal 2 2 9 2" xfId="3896"/>
    <cellStyle name="Normal 2 2 9 3" xfId="3897"/>
    <cellStyle name="Normal 2 2 9 4" xfId="3898"/>
    <cellStyle name="Normal 2 2 9 5" xfId="3899"/>
    <cellStyle name="Normal 2 2 9 6" xfId="3900"/>
    <cellStyle name="Normal 2 2 9 7" xfId="3901"/>
    <cellStyle name="Normal 2 2 9 8" xfId="3902"/>
    <cellStyle name="Normal 2 2 9 9" xfId="3903"/>
    <cellStyle name="Normal 2 20" xfId="75"/>
    <cellStyle name="Normal 2 21" xfId="76"/>
    <cellStyle name="Normal 2 22" xfId="77"/>
    <cellStyle name="Normal 2 23" xfId="78"/>
    <cellStyle name="Normal 2 24" xfId="79"/>
    <cellStyle name="Normal 2 25" xfId="80"/>
    <cellStyle name="Normal 2 26" xfId="81"/>
    <cellStyle name="Normal 2 27" xfId="82"/>
    <cellStyle name="Normal 2 28" xfId="83"/>
    <cellStyle name="Normal 2 29" xfId="84"/>
    <cellStyle name="Normal 2 3" xfId="85"/>
    <cellStyle name="Normal 2 3 10" xfId="3904"/>
    <cellStyle name="Normal 2 3 11" xfId="3905"/>
    <cellStyle name="Normal 2 3 12" xfId="3906"/>
    <cellStyle name="Normal 2 3 13" xfId="3907"/>
    <cellStyle name="Normal 2 3 14" xfId="3908"/>
    <cellStyle name="Normal 2 3 15" xfId="3909"/>
    <cellStyle name="Normal 2 3 16" xfId="3910"/>
    <cellStyle name="Normal 2 3 17" xfId="3911"/>
    <cellStyle name="Normal 2 3 18" xfId="3912"/>
    <cellStyle name="Normal 2 3 19" xfId="3913"/>
    <cellStyle name="Normal 2 3 2" xfId="86"/>
    <cellStyle name="Normal 2 3 2 10" xfId="3914"/>
    <cellStyle name="Normal 2 3 2 11" xfId="3915"/>
    <cellStyle name="Normal 2 3 2 12" xfId="3916"/>
    <cellStyle name="Normal 2 3 2 13" xfId="3917"/>
    <cellStyle name="Normal 2 3 2 14" xfId="3918"/>
    <cellStyle name="Normal 2 3 2 15" xfId="3919"/>
    <cellStyle name="Normal 2 3 2 16" xfId="3920"/>
    <cellStyle name="Normal 2 3 2 17" xfId="3921"/>
    <cellStyle name="Normal 2 3 2 18" xfId="3922"/>
    <cellStyle name="Normal 2 3 2 19" xfId="3923"/>
    <cellStyle name="Normal 2 3 2 2" xfId="3924"/>
    <cellStyle name="Normal 2 3 2 2 10" xfId="3925"/>
    <cellStyle name="Normal 2 3 2 2 11" xfId="3926"/>
    <cellStyle name="Normal 2 3 2 2 12" xfId="3927"/>
    <cellStyle name="Normal 2 3 2 2 13" xfId="3928"/>
    <cellStyle name="Normal 2 3 2 2 14" xfId="3929"/>
    <cellStyle name="Normal 2 3 2 2 15" xfId="3930"/>
    <cellStyle name="Normal 2 3 2 2 16" xfId="3931"/>
    <cellStyle name="Normal 2 3 2 2 17" xfId="3932"/>
    <cellStyle name="Normal 2 3 2 2 18" xfId="3933"/>
    <cellStyle name="Normal 2 3 2 2 19" xfId="3934"/>
    <cellStyle name="Normal 2 3 2 2 2" xfId="3935"/>
    <cellStyle name="Normal 2 3 2 2 20" xfId="3936"/>
    <cellStyle name="Normal 2 3 2 2 21" xfId="3937"/>
    <cellStyle name="Normal 2 3 2 2 22" xfId="3938"/>
    <cellStyle name="Normal 2 3 2 2 23" xfId="3939"/>
    <cellStyle name="Normal 2 3 2 2 24" xfId="3940"/>
    <cellStyle name="Normal 2 3 2 2 25" xfId="3941"/>
    <cellStyle name="Normal 2 3 2 2 26" xfId="3942"/>
    <cellStyle name="Normal 2 3 2 2 27" xfId="3943"/>
    <cellStyle name="Normal 2 3 2 2 28" xfId="3944"/>
    <cellStyle name="Normal 2 3 2 2 29" xfId="3945"/>
    <cellStyle name="Normal 2 3 2 2 3" xfId="3946"/>
    <cellStyle name="Normal 2 3 2 2 30" xfId="3947"/>
    <cellStyle name="Normal 2 3 2 2 31" xfId="3948"/>
    <cellStyle name="Normal 2 3 2 2 32" xfId="3949"/>
    <cellStyle name="Normal 2 3 2 2 33" xfId="3950"/>
    <cellStyle name="Normal 2 3 2 2 34" xfId="3951"/>
    <cellStyle name="Normal 2 3 2 2 35" xfId="3952"/>
    <cellStyle name="Normal 2 3 2 2 36" xfId="3953"/>
    <cellStyle name="Normal 2 3 2 2 37" xfId="3954"/>
    <cellStyle name="Normal 2 3 2 2 38" xfId="3955"/>
    <cellStyle name="Normal 2 3 2 2 39" xfId="3956"/>
    <cellStyle name="Normal 2 3 2 2 4" xfId="3957"/>
    <cellStyle name="Normal 2 3 2 2 40" xfId="3958"/>
    <cellStyle name="Normal 2 3 2 2 41" xfId="3959"/>
    <cellStyle name="Normal 2 3 2 2 42" xfId="3960"/>
    <cellStyle name="Normal 2 3 2 2 43" xfId="3961"/>
    <cellStyle name="Normal 2 3 2 2 44" xfId="3962"/>
    <cellStyle name="Normal 2 3 2 2 45" xfId="3963"/>
    <cellStyle name="Normal 2 3 2 2 46" xfId="3964"/>
    <cellStyle name="Normal 2 3 2 2 47" xfId="3965"/>
    <cellStyle name="Normal 2 3 2 2 48" xfId="3966"/>
    <cellStyle name="Normal 2 3 2 2 5" xfId="3967"/>
    <cellStyle name="Normal 2 3 2 2 6" xfId="3968"/>
    <cellStyle name="Normal 2 3 2 2 6 10" xfId="3969"/>
    <cellStyle name="Normal 2 3 2 2 6 11" xfId="3970"/>
    <cellStyle name="Normal 2 3 2 2 6 12" xfId="3971"/>
    <cellStyle name="Normal 2 3 2 2 6 13" xfId="3972"/>
    <cellStyle name="Normal 2 3 2 2 6 2" xfId="3973"/>
    <cellStyle name="Normal 2 3 2 2 6 3" xfId="3974"/>
    <cellStyle name="Normal 2 3 2 2 6 4" xfId="3975"/>
    <cellStyle name="Normal 2 3 2 2 6 5" xfId="3976"/>
    <cellStyle name="Normal 2 3 2 2 6 6" xfId="3977"/>
    <cellStyle name="Normal 2 3 2 2 6 7" xfId="3978"/>
    <cellStyle name="Normal 2 3 2 2 6 8" xfId="3979"/>
    <cellStyle name="Normal 2 3 2 2 6 9" xfId="3980"/>
    <cellStyle name="Normal 2 3 2 2 7" xfId="3981"/>
    <cellStyle name="Normal 2 3 2 2 8" xfId="3982"/>
    <cellStyle name="Normal 2 3 2 2 9" xfId="3983"/>
    <cellStyle name="Normal 2 3 2 20" xfId="3984"/>
    <cellStyle name="Normal 2 3 2 21" xfId="3985"/>
    <cellStyle name="Normal 2 3 2 22" xfId="3986"/>
    <cellStyle name="Normal 2 3 2 23" xfId="3987"/>
    <cellStyle name="Normal 2 3 2 24" xfId="3988"/>
    <cellStyle name="Normal 2 3 2 25" xfId="3989"/>
    <cellStyle name="Normal 2 3 2 26" xfId="3990"/>
    <cellStyle name="Normal 2 3 2 27" xfId="3991"/>
    <cellStyle name="Normal 2 3 2 28" xfId="3992"/>
    <cellStyle name="Normal 2 3 2 29" xfId="3993"/>
    <cellStyle name="Normal 2 3 2 3" xfId="3994"/>
    <cellStyle name="Normal 2 3 2 3 10" xfId="3995"/>
    <cellStyle name="Normal 2 3 2 3 11" xfId="3996"/>
    <cellStyle name="Normal 2 3 2 3 12" xfId="3997"/>
    <cellStyle name="Normal 2 3 2 3 13" xfId="3998"/>
    <cellStyle name="Normal 2 3 2 3 14" xfId="3999"/>
    <cellStyle name="Normal 2 3 2 3 15" xfId="4000"/>
    <cellStyle name="Normal 2 3 2 3 16" xfId="4001"/>
    <cellStyle name="Normal 2 3 2 3 17" xfId="4002"/>
    <cellStyle name="Normal 2 3 2 3 2" xfId="4003"/>
    <cellStyle name="Normal 2 3 2 3 3" xfId="4004"/>
    <cellStyle name="Normal 2 3 2 3 4" xfId="4005"/>
    <cellStyle name="Normal 2 3 2 3 5" xfId="4006"/>
    <cellStyle name="Normal 2 3 2 3 6" xfId="4007"/>
    <cellStyle name="Normal 2 3 2 3 7" xfId="4008"/>
    <cellStyle name="Normal 2 3 2 3 8" xfId="4009"/>
    <cellStyle name="Normal 2 3 2 3 9" xfId="4010"/>
    <cellStyle name="Normal 2 3 2 30" xfId="4011"/>
    <cellStyle name="Normal 2 3 2 31" xfId="4012"/>
    <cellStyle name="Normal 2 3 2 32" xfId="4013"/>
    <cellStyle name="Normal 2 3 2 33" xfId="4014"/>
    <cellStyle name="Normal 2 3 2 34" xfId="4015"/>
    <cellStyle name="Normal 2 3 2 35" xfId="4016"/>
    <cellStyle name="Normal 2 3 2 36" xfId="4017"/>
    <cellStyle name="Normal 2 3 2 37" xfId="4018"/>
    <cellStyle name="Normal 2 3 2 38" xfId="4019"/>
    <cellStyle name="Normal 2 3 2 39" xfId="4020"/>
    <cellStyle name="Normal 2 3 2 4" xfId="4021"/>
    <cellStyle name="Normal 2 3 2 4 10" xfId="4022"/>
    <cellStyle name="Normal 2 3 2 4 11" xfId="4023"/>
    <cellStyle name="Normal 2 3 2 4 12" xfId="4024"/>
    <cellStyle name="Normal 2 3 2 4 13" xfId="4025"/>
    <cellStyle name="Normal 2 3 2 4 14" xfId="4026"/>
    <cellStyle name="Normal 2 3 2 4 15" xfId="4027"/>
    <cellStyle name="Normal 2 3 2 4 16" xfId="4028"/>
    <cellStyle name="Normal 2 3 2 4 17" xfId="4029"/>
    <cellStyle name="Normal 2 3 2 4 2" xfId="4030"/>
    <cellStyle name="Normal 2 3 2 4 3" xfId="4031"/>
    <cellStyle name="Normal 2 3 2 4 4" xfId="4032"/>
    <cellStyle name="Normal 2 3 2 4 5" xfId="4033"/>
    <cellStyle name="Normal 2 3 2 4 6" xfId="4034"/>
    <cellStyle name="Normal 2 3 2 4 7" xfId="4035"/>
    <cellStyle name="Normal 2 3 2 4 8" xfId="4036"/>
    <cellStyle name="Normal 2 3 2 4 9" xfId="4037"/>
    <cellStyle name="Normal 2 3 2 40" xfId="4038"/>
    <cellStyle name="Normal 2 3 2 41" xfId="4039"/>
    <cellStyle name="Normal 2 3 2 42" xfId="4040"/>
    <cellStyle name="Normal 2 3 2 43" xfId="4041"/>
    <cellStyle name="Normal 2 3 2 44" xfId="4042"/>
    <cellStyle name="Normal 2 3 2 45" xfId="4043"/>
    <cellStyle name="Normal 2 3 2 46" xfId="4044"/>
    <cellStyle name="Normal 2 3 2 47" xfId="4045"/>
    <cellStyle name="Normal 2 3 2 48" xfId="4046"/>
    <cellStyle name="Normal 2 3 2 49" xfId="4047"/>
    <cellStyle name="Normal 2 3 2 5" xfId="4048"/>
    <cellStyle name="Normal 2 3 2 5 10" xfId="4049"/>
    <cellStyle name="Normal 2 3 2 5 11" xfId="4050"/>
    <cellStyle name="Normal 2 3 2 5 12" xfId="4051"/>
    <cellStyle name="Normal 2 3 2 5 13" xfId="4052"/>
    <cellStyle name="Normal 2 3 2 5 14" xfId="4053"/>
    <cellStyle name="Normal 2 3 2 5 15" xfId="4054"/>
    <cellStyle name="Normal 2 3 2 5 16" xfId="4055"/>
    <cellStyle name="Normal 2 3 2 5 17" xfId="4056"/>
    <cellStyle name="Normal 2 3 2 5 2" xfId="4057"/>
    <cellStyle name="Normal 2 3 2 5 3" xfId="4058"/>
    <cellStyle name="Normal 2 3 2 5 4" xfId="4059"/>
    <cellStyle name="Normal 2 3 2 5 5" xfId="4060"/>
    <cellStyle name="Normal 2 3 2 5 6" xfId="4061"/>
    <cellStyle name="Normal 2 3 2 5 7" xfId="4062"/>
    <cellStyle name="Normal 2 3 2 5 8" xfId="4063"/>
    <cellStyle name="Normal 2 3 2 5 9" xfId="4064"/>
    <cellStyle name="Normal 2 3 2 50" xfId="4065"/>
    <cellStyle name="Normal 2 3 2 51" xfId="4066"/>
    <cellStyle name="Normal 2 3 2 52" xfId="4067"/>
    <cellStyle name="Normal 2 3 2 53" xfId="4068"/>
    <cellStyle name="Normal 2 3 2 54" xfId="4069"/>
    <cellStyle name="Normal 2 3 2 55" xfId="4070"/>
    <cellStyle name="Normal 2 3 2 56" xfId="4071"/>
    <cellStyle name="Normal 2 3 2 57" xfId="4072"/>
    <cellStyle name="Normal 2 3 2 58" xfId="4073"/>
    <cellStyle name="Normal 2 3 2 59" xfId="4074"/>
    <cellStyle name="Normal 2 3 2 6" xfId="4075"/>
    <cellStyle name="Normal 2 3 2 6 10" xfId="4076"/>
    <cellStyle name="Normal 2 3 2 6 11" xfId="4077"/>
    <cellStyle name="Normal 2 3 2 6 12" xfId="4078"/>
    <cellStyle name="Normal 2 3 2 6 13" xfId="4079"/>
    <cellStyle name="Normal 2 3 2 6 14" xfId="4080"/>
    <cellStyle name="Normal 2 3 2 6 15" xfId="4081"/>
    <cellStyle name="Normal 2 3 2 6 16" xfId="4082"/>
    <cellStyle name="Normal 2 3 2 6 17" xfId="4083"/>
    <cellStyle name="Normal 2 3 2 6 2" xfId="4084"/>
    <cellStyle name="Normal 2 3 2 6 3" xfId="4085"/>
    <cellStyle name="Normal 2 3 2 6 4" xfId="4086"/>
    <cellStyle name="Normal 2 3 2 6 5" xfId="4087"/>
    <cellStyle name="Normal 2 3 2 6 6" xfId="4088"/>
    <cellStyle name="Normal 2 3 2 6 7" xfId="4089"/>
    <cellStyle name="Normal 2 3 2 6 8" xfId="4090"/>
    <cellStyle name="Normal 2 3 2 6 9" xfId="4091"/>
    <cellStyle name="Normal 2 3 2 60" xfId="4092"/>
    <cellStyle name="Normal 2 3 2 61" xfId="4093"/>
    <cellStyle name="Normal 2 3 2 62" xfId="4094"/>
    <cellStyle name="Normal 2 3 2 63" xfId="4095"/>
    <cellStyle name="Normal 2 3 2 64" xfId="4096"/>
    <cellStyle name="Normal 2 3 2 65" xfId="4097"/>
    <cellStyle name="Normal 2 3 2 66" xfId="4098"/>
    <cellStyle name="Normal 2 3 2 67" xfId="4099"/>
    <cellStyle name="Normal 2 3 2 68" xfId="4100"/>
    <cellStyle name="Normal 2 3 2 69" xfId="4101"/>
    <cellStyle name="Normal 2 3 2 7" xfId="4102"/>
    <cellStyle name="Normal 2 3 2 7 10" xfId="4103"/>
    <cellStyle name="Normal 2 3 2 7 11" xfId="4104"/>
    <cellStyle name="Normal 2 3 2 7 12" xfId="4105"/>
    <cellStyle name="Normal 2 3 2 7 13" xfId="4106"/>
    <cellStyle name="Normal 2 3 2 7 14" xfId="4107"/>
    <cellStyle name="Normal 2 3 2 7 15" xfId="4108"/>
    <cellStyle name="Normal 2 3 2 7 16" xfId="4109"/>
    <cellStyle name="Normal 2 3 2 7 17" xfId="4110"/>
    <cellStyle name="Normal 2 3 2 7 2" xfId="4111"/>
    <cellStyle name="Normal 2 3 2 7 3" xfId="4112"/>
    <cellStyle name="Normal 2 3 2 7 4" xfId="4113"/>
    <cellStyle name="Normal 2 3 2 7 5" xfId="4114"/>
    <cellStyle name="Normal 2 3 2 7 6" xfId="4115"/>
    <cellStyle name="Normal 2 3 2 7 7" xfId="4116"/>
    <cellStyle name="Normal 2 3 2 7 8" xfId="4117"/>
    <cellStyle name="Normal 2 3 2 7 9" xfId="4118"/>
    <cellStyle name="Normal 2 3 2 70" xfId="4119"/>
    <cellStyle name="Normal 2 3 2 71" xfId="4120"/>
    <cellStyle name="Normal 2 3 2 72" xfId="4121"/>
    <cellStyle name="Normal 2 3 2 73" xfId="4122"/>
    <cellStyle name="Normal 2 3 2 74" xfId="4123"/>
    <cellStyle name="Normal 2 3 2 75" xfId="4124"/>
    <cellStyle name="Normal 2 3 2 76" xfId="4125"/>
    <cellStyle name="Normal 2 3 2 77" xfId="4126"/>
    <cellStyle name="Normal 2 3 2 8" xfId="4127"/>
    <cellStyle name="Normal 2 3 2 8 10" xfId="4128"/>
    <cellStyle name="Normal 2 3 2 8 11" xfId="4129"/>
    <cellStyle name="Normal 2 3 2 8 12" xfId="4130"/>
    <cellStyle name="Normal 2 3 2 8 13" xfId="4131"/>
    <cellStyle name="Normal 2 3 2 8 14" xfId="4132"/>
    <cellStyle name="Normal 2 3 2 8 15" xfId="4133"/>
    <cellStyle name="Normal 2 3 2 8 16" xfId="4134"/>
    <cellStyle name="Normal 2 3 2 8 17" xfId="4135"/>
    <cellStyle name="Normal 2 3 2 8 2" xfId="4136"/>
    <cellStyle name="Normal 2 3 2 8 3" xfId="4137"/>
    <cellStyle name="Normal 2 3 2 8 4" xfId="4138"/>
    <cellStyle name="Normal 2 3 2 8 5" xfId="4139"/>
    <cellStyle name="Normal 2 3 2 8 6" xfId="4140"/>
    <cellStyle name="Normal 2 3 2 8 7" xfId="4141"/>
    <cellStyle name="Normal 2 3 2 8 8" xfId="4142"/>
    <cellStyle name="Normal 2 3 2 8 9" xfId="4143"/>
    <cellStyle name="Normal 2 3 2 9" xfId="4144"/>
    <cellStyle name="Normal 2 3 20" xfId="4145"/>
    <cellStyle name="Normal 2 3 21" xfId="4146"/>
    <cellStyle name="Normal 2 3 22" xfId="4147"/>
    <cellStyle name="Normal 2 3 23" xfId="4148"/>
    <cellStyle name="Normal 2 3 24" xfId="4149"/>
    <cellStyle name="Normal 2 3 25" xfId="4150"/>
    <cellStyle name="Normal 2 3 26" xfId="4151"/>
    <cellStyle name="Normal 2 3 27" xfId="4152"/>
    <cellStyle name="Normal 2 3 28" xfId="4153"/>
    <cellStyle name="Normal 2 3 29" xfId="4154"/>
    <cellStyle name="Normal 2 3 3" xfId="87"/>
    <cellStyle name="Normal 2 3 3 10" xfId="4155"/>
    <cellStyle name="Normal 2 3 3 11" xfId="4156"/>
    <cellStyle name="Normal 2 3 3 12" xfId="4157"/>
    <cellStyle name="Normal 2 3 3 13" xfId="4158"/>
    <cellStyle name="Normal 2 3 3 14" xfId="4159"/>
    <cellStyle name="Normal 2 3 3 15" xfId="4160"/>
    <cellStyle name="Normal 2 3 3 16" xfId="4161"/>
    <cellStyle name="Normal 2 3 3 17" xfId="4162"/>
    <cellStyle name="Normal 2 3 3 18" xfId="4163"/>
    <cellStyle name="Normal 2 3 3 19" xfId="4164"/>
    <cellStyle name="Normal 2 3 3 2" xfId="4165"/>
    <cellStyle name="Normal 2 3 3 2 2" xfId="4166"/>
    <cellStyle name="Normal 2 3 3 2 3" xfId="4167"/>
    <cellStyle name="Normal 2 3 3 2 4" xfId="4168"/>
    <cellStyle name="Normal 2 3 3 2 5" xfId="4169"/>
    <cellStyle name="Normal 2 3 3 20" xfId="4170"/>
    <cellStyle name="Normal 2 3 3 3" xfId="4171"/>
    <cellStyle name="Normal 2 3 3 3 2" xfId="4172"/>
    <cellStyle name="Normal 2 3 3 3 3" xfId="4173"/>
    <cellStyle name="Normal 2 3 3 3 4" xfId="4174"/>
    <cellStyle name="Normal 2 3 3 3 5" xfId="4175"/>
    <cellStyle name="Normal 2 3 3 4" xfId="4176"/>
    <cellStyle name="Normal 2 3 3 4 2" xfId="4177"/>
    <cellStyle name="Normal 2 3 3 4 3" xfId="4178"/>
    <cellStyle name="Normal 2 3 3 4 4" xfId="4179"/>
    <cellStyle name="Normal 2 3 3 4 5" xfId="4180"/>
    <cellStyle name="Normal 2 3 3 5" xfId="4181"/>
    <cellStyle name="Normal 2 3 3 5 2" xfId="4182"/>
    <cellStyle name="Normal 2 3 3 5 3" xfId="4183"/>
    <cellStyle name="Normal 2 3 3 5 4" xfId="4184"/>
    <cellStyle name="Normal 2 3 3 5 5" xfId="4185"/>
    <cellStyle name="Normal 2 3 3 6" xfId="4186"/>
    <cellStyle name="Normal 2 3 3 6 2" xfId="4187"/>
    <cellStyle name="Normal 2 3 3 6 3" xfId="4188"/>
    <cellStyle name="Normal 2 3 3 6 4" xfId="4189"/>
    <cellStyle name="Normal 2 3 3 6 5" xfId="4190"/>
    <cellStyle name="Normal 2 3 3 7" xfId="4191"/>
    <cellStyle name="Normal 2 3 3 7 2" xfId="4192"/>
    <cellStyle name="Normal 2 3 3 7 3" xfId="4193"/>
    <cellStyle name="Normal 2 3 3 7 4" xfId="4194"/>
    <cellStyle name="Normal 2 3 3 7 5" xfId="4195"/>
    <cellStyle name="Normal 2 3 3 8" xfId="4196"/>
    <cellStyle name="Normal 2 3 3 8 2" xfId="4197"/>
    <cellStyle name="Normal 2 3 3 8 3" xfId="4198"/>
    <cellStyle name="Normal 2 3 3 8 4" xfId="4199"/>
    <cellStyle name="Normal 2 3 3 8 5" xfId="4200"/>
    <cellStyle name="Normal 2 3 3 9" xfId="4201"/>
    <cellStyle name="Normal 2 3 30" xfId="4202"/>
    <cellStyle name="Normal 2 3 31" xfId="4203"/>
    <cellStyle name="Normal 2 3 32" xfId="4204"/>
    <cellStyle name="Normal 2 3 33" xfId="4205"/>
    <cellStyle name="Normal 2 3 34" xfId="4206"/>
    <cellStyle name="Normal 2 3 35" xfId="4207"/>
    <cellStyle name="Normal 2 3 35 2" xfId="11984"/>
    <cellStyle name="Normal 2 3 36" xfId="4208"/>
    <cellStyle name="Normal 2 3 36 2" xfId="11985"/>
    <cellStyle name="Normal 2 3 37" xfId="4209"/>
    <cellStyle name="Normal 2 3 37 2" xfId="11986"/>
    <cellStyle name="Normal 2 3 38" xfId="4210"/>
    <cellStyle name="Normal 2 3 38 2" xfId="11987"/>
    <cellStyle name="Normal 2 3 39" xfId="4211"/>
    <cellStyle name="Normal 2 3 39 2" xfId="11988"/>
    <cellStyle name="Normal 2 3 4" xfId="88"/>
    <cellStyle name="Normal 2 3 4 10" xfId="4212"/>
    <cellStyle name="Normal 2 3 4 11" xfId="4213"/>
    <cellStyle name="Normal 2 3 4 12" xfId="4214"/>
    <cellStyle name="Normal 2 3 4 13" xfId="4215"/>
    <cellStyle name="Normal 2 3 4 14" xfId="4216"/>
    <cellStyle name="Normal 2 3 4 15" xfId="4217"/>
    <cellStyle name="Normal 2 3 4 16" xfId="4218"/>
    <cellStyle name="Normal 2 3 4 17" xfId="4219"/>
    <cellStyle name="Normal 2 3 4 18" xfId="4220"/>
    <cellStyle name="Normal 2 3 4 19" xfId="4221"/>
    <cellStyle name="Normal 2 3 4 2" xfId="4222"/>
    <cellStyle name="Normal 2 3 4 2 2" xfId="4223"/>
    <cellStyle name="Normal 2 3 4 2 3" xfId="4224"/>
    <cellStyle name="Normal 2 3 4 2 4" xfId="4225"/>
    <cellStyle name="Normal 2 3 4 2 5" xfId="4226"/>
    <cellStyle name="Normal 2 3 4 20" xfId="4227"/>
    <cellStyle name="Normal 2 3 4 3" xfId="4228"/>
    <cellStyle name="Normal 2 3 4 3 2" xfId="4229"/>
    <cellStyle name="Normal 2 3 4 3 3" xfId="4230"/>
    <cellStyle name="Normal 2 3 4 3 4" xfId="4231"/>
    <cellStyle name="Normal 2 3 4 3 5" xfId="4232"/>
    <cellStyle name="Normal 2 3 4 4" xfId="4233"/>
    <cellStyle name="Normal 2 3 4 4 2" xfId="4234"/>
    <cellStyle name="Normal 2 3 4 4 3" xfId="4235"/>
    <cellStyle name="Normal 2 3 4 4 4" xfId="4236"/>
    <cellStyle name="Normal 2 3 4 4 5" xfId="4237"/>
    <cellStyle name="Normal 2 3 4 5" xfId="4238"/>
    <cellStyle name="Normal 2 3 4 5 2" xfId="4239"/>
    <cellStyle name="Normal 2 3 4 5 3" xfId="4240"/>
    <cellStyle name="Normal 2 3 4 5 4" xfId="4241"/>
    <cellStyle name="Normal 2 3 4 5 5" xfId="4242"/>
    <cellStyle name="Normal 2 3 4 6" xfId="4243"/>
    <cellStyle name="Normal 2 3 4 6 2" xfId="4244"/>
    <cellStyle name="Normal 2 3 4 6 3" xfId="4245"/>
    <cellStyle name="Normal 2 3 4 6 4" xfId="4246"/>
    <cellStyle name="Normal 2 3 4 6 5" xfId="4247"/>
    <cellStyle name="Normal 2 3 4 7" xfId="4248"/>
    <cellStyle name="Normal 2 3 4 7 2" xfId="4249"/>
    <cellStyle name="Normal 2 3 4 7 3" xfId="4250"/>
    <cellStyle name="Normal 2 3 4 7 4" xfId="4251"/>
    <cellStyle name="Normal 2 3 4 7 5" xfId="4252"/>
    <cellStyle name="Normal 2 3 4 8" xfId="4253"/>
    <cellStyle name="Normal 2 3 4 8 2" xfId="4254"/>
    <cellStyle name="Normal 2 3 4 8 3" xfId="4255"/>
    <cellStyle name="Normal 2 3 4 8 4" xfId="4256"/>
    <cellStyle name="Normal 2 3 4 8 5" xfId="4257"/>
    <cellStyle name="Normal 2 3 4 9" xfId="4258"/>
    <cellStyle name="Normal 2 3 40" xfId="4259"/>
    <cellStyle name="Normal 2 3 40 2" xfId="11989"/>
    <cellStyle name="Normal 2 3 41" xfId="4260"/>
    <cellStyle name="Normal 2 3 41 2" xfId="11990"/>
    <cellStyle name="Normal 2 3 42" xfId="4261"/>
    <cellStyle name="Normal 2 3 42 2" xfId="11991"/>
    <cellStyle name="Normal 2 3 43" xfId="4262"/>
    <cellStyle name="Normal 2 3 43 2" xfId="11992"/>
    <cellStyle name="Normal 2 3 44" xfId="4263"/>
    <cellStyle name="Normal 2 3 44 2" xfId="11993"/>
    <cellStyle name="Normal 2 3 45" xfId="4264"/>
    <cellStyle name="Normal 2 3 45 2" xfId="11994"/>
    <cellStyle name="Normal 2 3 46" xfId="4265"/>
    <cellStyle name="Normal 2 3 46 2" xfId="11995"/>
    <cellStyle name="Normal 2 3 47" xfId="4266"/>
    <cellStyle name="Normal 2 3 47 2" xfId="11996"/>
    <cellStyle name="Normal 2 3 48" xfId="4267"/>
    <cellStyle name="Normal 2 3 48 2" xfId="11997"/>
    <cellStyle name="Normal 2 3 49" xfId="4268"/>
    <cellStyle name="Normal 2 3 49 2" xfId="11998"/>
    <cellStyle name="Normal 2 3 5" xfId="89"/>
    <cellStyle name="Normal 2 3 5 10" xfId="4269"/>
    <cellStyle name="Normal 2 3 5 11" xfId="4270"/>
    <cellStyle name="Normal 2 3 5 12" xfId="4271"/>
    <cellStyle name="Normal 2 3 5 13" xfId="4272"/>
    <cellStyle name="Normal 2 3 5 14" xfId="4273"/>
    <cellStyle name="Normal 2 3 5 15" xfId="4274"/>
    <cellStyle name="Normal 2 3 5 16" xfId="4275"/>
    <cellStyle name="Normal 2 3 5 17" xfId="4276"/>
    <cellStyle name="Normal 2 3 5 18" xfId="4277"/>
    <cellStyle name="Normal 2 3 5 19" xfId="4278"/>
    <cellStyle name="Normal 2 3 5 2" xfId="4279"/>
    <cellStyle name="Normal 2 3 5 2 2" xfId="4280"/>
    <cellStyle name="Normal 2 3 5 2 3" xfId="4281"/>
    <cellStyle name="Normal 2 3 5 2 4" xfId="4282"/>
    <cellStyle name="Normal 2 3 5 2 5" xfId="4283"/>
    <cellStyle name="Normal 2 3 5 20" xfId="4284"/>
    <cellStyle name="Normal 2 3 5 3" xfId="4285"/>
    <cellStyle name="Normal 2 3 5 3 2" xfId="4286"/>
    <cellStyle name="Normal 2 3 5 3 3" xfId="4287"/>
    <cellStyle name="Normal 2 3 5 3 4" xfId="4288"/>
    <cellStyle name="Normal 2 3 5 3 5" xfId="4289"/>
    <cellStyle name="Normal 2 3 5 4" xfId="4290"/>
    <cellStyle name="Normal 2 3 5 4 2" xfId="4291"/>
    <cellStyle name="Normal 2 3 5 4 3" xfId="4292"/>
    <cellStyle name="Normal 2 3 5 4 4" xfId="4293"/>
    <cellStyle name="Normal 2 3 5 4 5" xfId="4294"/>
    <cellStyle name="Normal 2 3 5 5" xfId="4295"/>
    <cellStyle name="Normal 2 3 5 5 2" xfId="4296"/>
    <cellStyle name="Normal 2 3 5 5 3" xfId="4297"/>
    <cellStyle name="Normal 2 3 5 5 4" xfId="4298"/>
    <cellStyle name="Normal 2 3 5 5 5" xfId="4299"/>
    <cellStyle name="Normal 2 3 5 6" xfId="4300"/>
    <cellStyle name="Normal 2 3 5 6 2" xfId="4301"/>
    <cellStyle name="Normal 2 3 5 6 3" xfId="4302"/>
    <cellStyle name="Normal 2 3 5 6 4" xfId="4303"/>
    <cellStyle name="Normal 2 3 5 6 5" xfId="4304"/>
    <cellStyle name="Normal 2 3 5 7" xfId="4305"/>
    <cellStyle name="Normal 2 3 5 7 2" xfId="4306"/>
    <cellStyle name="Normal 2 3 5 7 3" xfId="4307"/>
    <cellStyle name="Normal 2 3 5 7 4" xfId="4308"/>
    <cellStyle name="Normal 2 3 5 7 5" xfId="4309"/>
    <cellStyle name="Normal 2 3 5 8" xfId="4310"/>
    <cellStyle name="Normal 2 3 5 8 2" xfId="4311"/>
    <cellStyle name="Normal 2 3 5 8 3" xfId="4312"/>
    <cellStyle name="Normal 2 3 5 8 4" xfId="4313"/>
    <cellStyle name="Normal 2 3 5 8 5" xfId="4314"/>
    <cellStyle name="Normal 2 3 5 9" xfId="4315"/>
    <cellStyle name="Normal 2 3 50" xfId="4316"/>
    <cellStyle name="Normal 2 3 50 2" xfId="11999"/>
    <cellStyle name="Normal 2 3 51" xfId="4317"/>
    <cellStyle name="Normal 2 3 51 2" xfId="12000"/>
    <cellStyle name="Normal 2 3 52" xfId="4318"/>
    <cellStyle name="Normal 2 3 52 2" xfId="12001"/>
    <cellStyle name="Normal 2 3 53" xfId="4319"/>
    <cellStyle name="Normal 2 3 53 2" xfId="12002"/>
    <cellStyle name="Normal 2 3 54" xfId="4320"/>
    <cellStyle name="Normal 2 3 54 2" xfId="12003"/>
    <cellStyle name="Normal 2 3 55" xfId="4321"/>
    <cellStyle name="Normal 2 3 55 2" xfId="12004"/>
    <cellStyle name="Normal 2 3 56" xfId="4322"/>
    <cellStyle name="Normal 2 3 56 2" xfId="12005"/>
    <cellStyle name="Normal 2 3 57" xfId="4323"/>
    <cellStyle name="Normal 2 3 57 2" xfId="12006"/>
    <cellStyle name="Normal 2 3 58" xfId="4324"/>
    <cellStyle name="Normal 2 3 58 2" xfId="12007"/>
    <cellStyle name="Normal 2 3 59" xfId="4325"/>
    <cellStyle name="Normal 2 3 59 2" xfId="12008"/>
    <cellStyle name="Normal 2 3 6" xfId="4326"/>
    <cellStyle name="Normal 2 3 6 10" xfId="4327"/>
    <cellStyle name="Normal 2 3 6 11" xfId="4328"/>
    <cellStyle name="Normal 2 3 6 12" xfId="4329"/>
    <cellStyle name="Normal 2 3 6 13" xfId="4330"/>
    <cellStyle name="Normal 2 3 6 14" xfId="4331"/>
    <cellStyle name="Normal 2 3 6 15" xfId="4332"/>
    <cellStyle name="Normal 2 3 6 16" xfId="4333"/>
    <cellStyle name="Normal 2 3 6 17" xfId="4334"/>
    <cellStyle name="Normal 2 3 6 18" xfId="4335"/>
    <cellStyle name="Normal 2 3 6 19" xfId="4336"/>
    <cellStyle name="Normal 2 3 6 2" xfId="4337"/>
    <cellStyle name="Normal 2 3 6 2 10" xfId="4338"/>
    <cellStyle name="Normal 2 3 6 2 11" xfId="4339"/>
    <cellStyle name="Normal 2 3 6 2 12" xfId="4340"/>
    <cellStyle name="Normal 2 3 6 2 13" xfId="4341"/>
    <cellStyle name="Normal 2 3 6 2 2" xfId="4342"/>
    <cellStyle name="Normal 2 3 6 2 3" xfId="4343"/>
    <cellStyle name="Normal 2 3 6 2 4" xfId="4344"/>
    <cellStyle name="Normal 2 3 6 2 5" xfId="4345"/>
    <cellStyle name="Normal 2 3 6 2 6" xfId="4346"/>
    <cellStyle name="Normal 2 3 6 2 7" xfId="4347"/>
    <cellStyle name="Normal 2 3 6 2 8" xfId="4348"/>
    <cellStyle name="Normal 2 3 6 2 9" xfId="4349"/>
    <cellStyle name="Normal 2 3 6 20" xfId="4350"/>
    <cellStyle name="Normal 2 3 6 21" xfId="4351"/>
    <cellStyle name="Normal 2 3 6 22" xfId="4352"/>
    <cellStyle name="Normal 2 3 6 23" xfId="4353"/>
    <cellStyle name="Normal 2 3 6 24" xfId="4354"/>
    <cellStyle name="Normal 2 3 6 25" xfId="4355"/>
    <cellStyle name="Normal 2 3 6 26" xfId="4356"/>
    <cellStyle name="Normal 2 3 6 27" xfId="4357"/>
    <cellStyle name="Normal 2 3 6 28" xfId="4358"/>
    <cellStyle name="Normal 2 3 6 29" xfId="4359"/>
    <cellStyle name="Normal 2 3 6 3" xfId="4360"/>
    <cellStyle name="Normal 2 3 6 30" xfId="4361"/>
    <cellStyle name="Normal 2 3 6 31" xfId="4362"/>
    <cellStyle name="Normal 2 3 6 32" xfId="4363"/>
    <cellStyle name="Normal 2 3 6 33" xfId="4364"/>
    <cellStyle name="Normal 2 3 6 34" xfId="4365"/>
    <cellStyle name="Normal 2 3 6 35" xfId="4366"/>
    <cellStyle name="Normal 2 3 6 36" xfId="4367"/>
    <cellStyle name="Normal 2 3 6 37" xfId="4368"/>
    <cellStyle name="Normal 2 3 6 38" xfId="4369"/>
    <cellStyle name="Normal 2 3 6 38 2" xfId="12010"/>
    <cellStyle name="Normal 2 3 6 39" xfId="4370"/>
    <cellStyle name="Normal 2 3 6 39 2" xfId="12011"/>
    <cellStyle name="Normal 2 3 6 4" xfId="4371"/>
    <cellStyle name="Normal 2 3 6 40" xfId="4372"/>
    <cellStyle name="Normal 2 3 6 40 2" xfId="12012"/>
    <cellStyle name="Normal 2 3 6 41" xfId="4373"/>
    <cellStyle name="Normal 2 3 6 41 2" xfId="12013"/>
    <cellStyle name="Normal 2 3 6 42" xfId="4374"/>
    <cellStyle name="Normal 2 3 6 42 2" xfId="12014"/>
    <cellStyle name="Normal 2 3 6 43" xfId="4375"/>
    <cellStyle name="Normal 2 3 6 43 2" xfId="12015"/>
    <cellStyle name="Normal 2 3 6 44" xfId="4376"/>
    <cellStyle name="Normal 2 3 6 44 2" xfId="12016"/>
    <cellStyle name="Normal 2 3 6 45" xfId="4377"/>
    <cellStyle name="Normal 2 3 6 45 2" xfId="12017"/>
    <cellStyle name="Normal 2 3 6 46" xfId="4378"/>
    <cellStyle name="Normal 2 3 6 46 2" xfId="12018"/>
    <cellStyle name="Normal 2 3 6 47" xfId="4379"/>
    <cellStyle name="Normal 2 3 6 47 2" xfId="12019"/>
    <cellStyle name="Normal 2 3 6 48" xfId="4380"/>
    <cellStyle name="Normal 2 3 6 48 2" xfId="12020"/>
    <cellStyle name="Normal 2 3 6 49" xfId="12009"/>
    <cellStyle name="Normal 2 3 6 5" xfId="4381"/>
    <cellStyle name="Normal 2 3 6 6" xfId="4382"/>
    <cellStyle name="Normal 2 3 6 7" xfId="4383"/>
    <cellStyle name="Normal 2 3 6 8" xfId="4384"/>
    <cellStyle name="Normal 2 3 6 9" xfId="4385"/>
    <cellStyle name="Normal 2 3 60" xfId="4386"/>
    <cellStyle name="Normal 2 3 60 2" xfId="12021"/>
    <cellStyle name="Normal 2 3 61" xfId="4387"/>
    <cellStyle name="Normal 2 3 61 2" xfId="12022"/>
    <cellStyle name="Normal 2 3 62" xfId="4388"/>
    <cellStyle name="Normal 2 3 62 2" xfId="12023"/>
    <cellStyle name="Normal 2 3 63" xfId="4389"/>
    <cellStyle name="Normal 2 3 63 2" xfId="12024"/>
    <cellStyle name="Normal 2 3 64" xfId="4390"/>
    <cellStyle name="Normal 2 3 64 2" xfId="12025"/>
    <cellStyle name="Normal 2 3 65" xfId="4391"/>
    <cellStyle name="Normal 2 3 65 2" xfId="12026"/>
    <cellStyle name="Normal 2 3 66" xfId="4392"/>
    <cellStyle name="Normal 2 3 66 2" xfId="12027"/>
    <cellStyle name="Normal 2 3 67" xfId="4393"/>
    <cellStyle name="Normal 2 3 67 2" xfId="12028"/>
    <cellStyle name="Normal 2 3 68" xfId="4394"/>
    <cellStyle name="Normal 2 3 68 2" xfId="12029"/>
    <cellStyle name="Normal 2 3 69" xfId="4395"/>
    <cellStyle name="Normal 2 3 69 2" xfId="12030"/>
    <cellStyle name="Normal 2 3 7" xfId="4396"/>
    <cellStyle name="Normal 2 3 70" xfId="10720"/>
    <cellStyle name="Normal 2 3 71" xfId="10749"/>
    <cellStyle name="Normal 2 3 72" xfId="10727"/>
    <cellStyle name="Normal 2 3 73" xfId="10742"/>
    <cellStyle name="Normal 2 3 74" xfId="10752"/>
    <cellStyle name="Normal 2 3 75" xfId="10791"/>
    <cellStyle name="Normal 2 3 76" xfId="10759"/>
    <cellStyle name="Normal 2 3 8" xfId="4397"/>
    <cellStyle name="Normal 2 3 9" xfId="4398"/>
    <cellStyle name="Normal 2 30" xfId="90"/>
    <cellStyle name="Normal 2 31" xfId="91"/>
    <cellStyle name="Normal 2 32" xfId="92"/>
    <cellStyle name="Normal 2 33" xfId="93"/>
    <cellStyle name="Normal 2 34" xfId="94"/>
    <cellStyle name="Normal 2 35" xfId="95"/>
    <cellStyle name="Normal 2 36" xfId="96"/>
    <cellStyle name="Normal 2 36 10" xfId="4399"/>
    <cellStyle name="Normal 2 36 11" xfId="4400"/>
    <cellStyle name="Normal 2 36 12" xfId="4401"/>
    <cellStyle name="Normal 2 36 13" xfId="4402"/>
    <cellStyle name="Normal 2 36 14" xfId="4403"/>
    <cellStyle name="Normal 2 36 15" xfId="4404"/>
    <cellStyle name="Normal 2 36 16" xfId="4405"/>
    <cellStyle name="Normal 2 36 17" xfId="4406"/>
    <cellStyle name="Normal 2 36 18" xfId="4407"/>
    <cellStyle name="Normal 2 36 19" xfId="4408"/>
    <cellStyle name="Normal 2 36 2" xfId="4409"/>
    <cellStyle name="Normal 2 36 20" xfId="4410"/>
    <cellStyle name="Normal 2 36 3" xfId="4411"/>
    <cellStyle name="Normal 2 36 4" xfId="4412"/>
    <cellStyle name="Normal 2 36 5" xfId="4413"/>
    <cellStyle name="Normal 2 36 6" xfId="4414"/>
    <cellStyle name="Normal 2 36 7" xfId="4415"/>
    <cellStyle name="Normal 2 36 8" xfId="4416"/>
    <cellStyle name="Normal 2 36 9" xfId="4417"/>
    <cellStyle name="Normal 2 37" xfId="97"/>
    <cellStyle name="Normal 2 38" xfId="98"/>
    <cellStyle name="Normal 2 39" xfId="99"/>
    <cellStyle name="Normal 2 4" xfId="100"/>
    <cellStyle name="Normal 2 4 10" xfId="4418"/>
    <cellStyle name="Normal 2 4 11" xfId="4419"/>
    <cellStyle name="Normal 2 4 12" xfId="4420"/>
    <cellStyle name="Normal 2 4 13" xfId="4421"/>
    <cellStyle name="Normal 2 4 14" xfId="4422"/>
    <cellStyle name="Normal 2 4 15" xfId="4423"/>
    <cellStyle name="Normal 2 4 16" xfId="4424"/>
    <cellStyle name="Normal 2 4 17" xfId="4425"/>
    <cellStyle name="Normal 2 4 18" xfId="4426"/>
    <cellStyle name="Normal 2 4 19" xfId="4427"/>
    <cellStyle name="Normal 2 4 2" xfId="101"/>
    <cellStyle name="Normal 2 4 2 10" xfId="4428"/>
    <cellStyle name="Normal 2 4 2 11" xfId="4429"/>
    <cellStyle name="Normal 2 4 2 12" xfId="4430"/>
    <cellStyle name="Normal 2 4 2 13" xfId="4431"/>
    <cellStyle name="Normal 2 4 2 14" xfId="4432"/>
    <cellStyle name="Normal 2 4 2 15" xfId="4433"/>
    <cellStyle name="Normal 2 4 2 16" xfId="4434"/>
    <cellStyle name="Normal 2 4 2 17" xfId="4435"/>
    <cellStyle name="Normal 2 4 2 18" xfId="4436"/>
    <cellStyle name="Normal 2 4 2 19" xfId="4437"/>
    <cellStyle name="Normal 2 4 2 2" xfId="4438"/>
    <cellStyle name="Normal 2 4 2 2 2" xfId="4439"/>
    <cellStyle name="Normal 2 4 2 2 3" xfId="4440"/>
    <cellStyle name="Normal 2 4 2 2 4" xfId="4441"/>
    <cellStyle name="Normal 2 4 2 2 5" xfId="4442"/>
    <cellStyle name="Normal 2 4 2 20" xfId="4443"/>
    <cellStyle name="Normal 2 4 2 3" xfId="4444"/>
    <cellStyle name="Normal 2 4 2 3 2" xfId="4445"/>
    <cellStyle name="Normal 2 4 2 3 3" xfId="4446"/>
    <cellStyle name="Normal 2 4 2 3 4" xfId="4447"/>
    <cellStyle name="Normal 2 4 2 3 5" xfId="4448"/>
    <cellStyle name="Normal 2 4 2 4" xfId="4449"/>
    <cellStyle name="Normal 2 4 2 4 2" xfId="4450"/>
    <cellStyle name="Normal 2 4 2 4 3" xfId="4451"/>
    <cellStyle name="Normal 2 4 2 4 4" xfId="4452"/>
    <cellStyle name="Normal 2 4 2 4 5" xfId="4453"/>
    <cellStyle name="Normal 2 4 2 5" xfId="4454"/>
    <cellStyle name="Normal 2 4 2 5 2" xfId="4455"/>
    <cellStyle name="Normal 2 4 2 5 3" xfId="4456"/>
    <cellStyle name="Normal 2 4 2 5 4" xfId="4457"/>
    <cellStyle name="Normal 2 4 2 5 5" xfId="4458"/>
    <cellStyle name="Normal 2 4 2 6" xfId="4459"/>
    <cellStyle name="Normal 2 4 2 6 2" xfId="4460"/>
    <cellStyle name="Normal 2 4 2 6 3" xfId="4461"/>
    <cellStyle name="Normal 2 4 2 6 4" xfId="4462"/>
    <cellStyle name="Normal 2 4 2 6 5" xfId="4463"/>
    <cellStyle name="Normal 2 4 2 7" xfId="4464"/>
    <cellStyle name="Normal 2 4 2 7 2" xfId="4465"/>
    <cellStyle name="Normal 2 4 2 7 3" xfId="4466"/>
    <cellStyle name="Normal 2 4 2 7 4" xfId="4467"/>
    <cellStyle name="Normal 2 4 2 7 5" xfId="4468"/>
    <cellStyle name="Normal 2 4 2 8" xfId="4469"/>
    <cellStyle name="Normal 2 4 2 8 2" xfId="4470"/>
    <cellStyle name="Normal 2 4 2 8 3" xfId="4471"/>
    <cellStyle name="Normal 2 4 2 8 4" xfId="4472"/>
    <cellStyle name="Normal 2 4 2 8 5" xfId="4473"/>
    <cellStyle name="Normal 2 4 2 9" xfId="4474"/>
    <cellStyle name="Normal 2 4 20" xfId="4475"/>
    <cellStyle name="Normal 2 4 21" xfId="4476"/>
    <cellStyle name="Normal 2 4 22" xfId="4477"/>
    <cellStyle name="Normal 2 4 23" xfId="4478"/>
    <cellStyle name="Normal 2 4 24" xfId="4479"/>
    <cellStyle name="Normal 2 4 25" xfId="4480"/>
    <cellStyle name="Normal 2 4 26" xfId="4481"/>
    <cellStyle name="Normal 2 4 27" xfId="4482"/>
    <cellStyle name="Normal 2 4 28" xfId="4483"/>
    <cellStyle name="Normal 2 4 29" xfId="4484"/>
    <cellStyle name="Normal 2 4 3" xfId="102"/>
    <cellStyle name="Normal 2 4 3 10" xfId="4485"/>
    <cellStyle name="Normal 2 4 3 11" xfId="4486"/>
    <cellStyle name="Normal 2 4 3 12" xfId="4487"/>
    <cellStyle name="Normal 2 4 3 13" xfId="4488"/>
    <cellStyle name="Normal 2 4 3 14" xfId="4489"/>
    <cellStyle name="Normal 2 4 3 15" xfId="4490"/>
    <cellStyle name="Normal 2 4 3 16" xfId="4491"/>
    <cellStyle name="Normal 2 4 3 17" xfId="4492"/>
    <cellStyle name="Normal 2 4 3 18" xfId="4493"/>
    <cellStyle name="Normal 2 4 3 19" xfId="4494"/>
    <cellStyle name="Normal 2 4 3 2" xfId="4495"/>
    <cellStyle name="Normal 2 4 3 2 2" xfId="4496"/>
    <cellStyle name="Normal 2 4 3 2 3" xfId="4497"/>
    <cellStyle name="Normal 2 4 3 2 4" xfId="4498"/>
    <cellStyle name="Normal 2 4 3 2 5" xfId="4499"/>
    <cellStyle name="Normal 2 4 3 20" xfId="4500"/>
    <cellStyle name="Normal 2 4 3 3" xfId="4501"/>
    <cellStyle name="Normal 2 4 3 3 2" xfId="4502"/>
    <cellStyle name="Normal 2 4 3 3 3" xfId="4503"/>
    <cellStyle name="Normal 2 4 3 3 4" xfId="4504"/>
    <cellStyle name="Normal 2 4 3 3 5" xfId="4505"/>
    <cellStyle name="Normal 2 4 3 4" xfId="4506"/>
    <cellStyle name="Normal 2 4 3 4 2" xfId="4507"/>
    <cellStyle name="Normal 2 4 3 4 3" xfId="4508"/>
    <cellStyle name="Normal 2 4 3 4 4" xfId="4509"/>
    <cellStyle name="Normal 2 4 3 4 5" xfId="4510"/>
    <cellStyle name="Normal 2 4 3 5" xfId="4511"/>
    <cellStyle name="Normal 2 4 3 5 2" xfId="4512"/>
    <cellStyle name="Normal 2 4 3 5 3" xfId="4513"/>
    <cellStyle name="Normal 2 4 3 5 4" xfId="4514"/>
    <cellStyle name="Normal 2 4 3 5 5" xfId="4515"/>
    <cellStyle name="Normal 2 4 3 6" xfId="4516"/>
    <cellStyle name="Normal 2 4 3 6 2" xfId="4517"/>
    <cellStyle name="Normal 2 4 3 6 3" xfId="4518"/>
    <cellStyle name="Normal 2 4 3 6 4" xfId="4519"/>
    <cellStyle name="Normal 2 4 3 6 5" xfId="4520"/>
    <cellStyle name="Normal 2 4 3 7" xfId="4521"/>
    <cellStyle name="Normal 2 4 3 7 2" xfId="4522"/>
    <cellStyle name="Normal 2 4 3 7 3" xfId="4523"/>
    <cellStyle name="Normal 2 4 3 7 4" xfId="4524"/>
    <cellStyle name="Normal 2 4 3 7 5" xfId="4525"/>
    <cellStyle name="Normal 2 4 3 8" xfId="4526"/>
    <cellStyle name="Normal 2 4 3 8 2" xfId="4527"/>
    <cellStyle name="Normal 2 4 3 8 3" xfId="4528"/>
    <cellStyle name="Normal 2 4 3 8 4" xfId="4529"/>
    <cellStyle name="Normal 2 4 3 8 5" xfId="4530"/>
    <cellStyle name="Normal 2 4 3 9" xfId="4531"/>
    <cellStyle name="Normal 2 4 30" xfId="4532"/>
    <cellStyle name="Normal 2 4 31" xfId="10721"/>
    <cellStyle name="Normal 2 4 32" xfId="10748"/>
    <cellStyle name="Normal 2 4 33" xfId="10728"/>
    <cellStyle name="Normal 2 4 34" xfId="10741"/>
    <cellStyle name="Normal 2 4 35" xfId="10753"/>
    <cellStyle name="Normal 2 4 36" xfId="10790"/>
    <cellStyle name="Normal 2 4 37" xfId="10760"/>
    <cellStyle name="Normal 2 4 4" xfId="103"/>
    <cellStyle name="Normal 2 4 4 10" xfId="4533"/>
    <cellStyle name="Normal 2 4 4 11" xfId="4534"/>
    <cellStyle name="Normal 2 4 4 12" xfId="4535"/>
    <cellStyle name="Normal 2 4 4 13" xfId="4536"/>
    <cellStyle name="Normal 2 4 4 14" xfId="4537"/>
    <cellStyle name="Normal 2 4 4 15" xfId="4538"/>
    <cellStyle name="Normal 2 4 4 16" xfId="4539"/>
    <cellStyle name="Normal 2 4 4 17" xfId="4540"/>
    <cellStyle name="Normal 2 4 4 18" xfId="4541"/>
    <cellStyle name="Normal 2 4 4 19" xfId="4542"/>
    <cellStyle name="Normal 2 4 4 2" xfId="4543"/>
    <cellStyle name="Normal 2 4 4 2 2" xfId="4544"/>
    <cellStyle name="Normal 2 4 4 2 3" xfId="4545"/>
    <cellStyle name="Normal 2 4 4 2 4" xfId="4546"/>
    <cellStyle name="Normal 2 4 4 2 5" xfId="4547"/>
    <cellStyle name="Normal 2 4 4 20" xfId="4548"/>
    <cellStyle name="Normal 2 4 4 3" xfId="4549"/>
    <cellStyle name="Normal 2 4 4 3 2" xfId="4550"/>
    <cellStyle name="Normal 2 4 4 3 3" xfId="4551"/>
    <cellStyle name="Normal 2 4 4 3 4" xfId="4552"/>
    <cellStyle name="Normal 2 4 4 3 5" xfId="4553"/>
    <cellStyle name="Normal 2 4 4 4" xfId="4554"/>
    <cellStyle name="Normal 2 4 4 4 2" xfId="4555"/>
    <cellStyle name="Normal 2 4 4 4 3" xfId="4556"/>
    <cellStyle name="Normal 2 4 4 4 4" xfId="4557"/>
    <cellStyle name="Normal 2 4 4 4 5" xfId="4558"/>
    <cellStyle name="Normal 2 4 4 5" xfId="4559"/>
    <cellStyle name="Normal 2 4 4 5 2" xfId="4560"/>
    <cellStyle name="Normal 2 4 4 5 3" xfId="4561"/>
    <cellStyle name="Normal 2 4 4 5 4" xfId="4562"/>
    <cellStyle name="Normal 2 4 4 5 5" xfId="4563"/>
    <cellStyle name="Normal 2 4 4 6" xfId="4564"/>
    <cellStyle name="Normal 2 4 4 6 2" xfId="4565"/>
    <cellStyle name="Normal 2 4 4 6 3" xfId="4566"/>
    <cellStyle name="Normal 2 4 4 6 4" xfId="4567"/>
    <cellStyle name="Normal 2 4 4 6 5" xfId="4568"/>
    <cellStyle name="Normal 2 4 4 7" xfId="4569"/>
    <cellStyle name="Normal 2 4 4 7 2" xfId="4570"/>
    <cellStyle name="Normal 2 4 4 7 3" xfId="4571"/>
    <cellStyle name="Normal 2 4 4 7 4" xfId="4572"/>
    <cellStyle name="Normal 2 4 4 7 5" xfId="4573"/>
    <cellStyle name="Normal 2 4 4 8" xfId="4574"/>
    <cellStyle name="Normal 2 4 4 8 2" xfId="4575"/>
    <cellStyle name="Normal 2 4 4 8 3" xfId="4576"/>
    <cellStyle name="Normal 2 4 4 8 4" xfId="4577"/>
    <cellStyle name="Normal 2 4 4 8 5" xfId="4578"/>
    <cellStyle name="Normal 2 4 4 9" xfId="4579"/>
    <cellStyle name="Normal 2 4 5" xfId="104"/>
    <cellStyle name="Normal 2 4 5 10" xfId="4580"/>
    <cellStyle name="Normal 2 4 5 11" xfId="4581"/>
    <cellStyle name="Normal 2 4 5 12" xfId="4582"/>
    <cellStyle name="Normal 2 4 5 13" xfId="4583"/>
    <cellStyle name="Normal 2 4 5 14" xfId="4584"/>
    <cellStyle name="Normal 2 4 5 15" xfId="4585"/>
    <cellStyle name="Normal 2 4 5 16" xfId="4586"/>
    <cellStyle name="Normal 2 4 5 17" xfId="4587"/>
    <cellStyle name="Normal 2 4 5 18" xfId="4588"/>
    <cellStyle name="Normal 2 4 5 19" xfId="4589"/>
    <cellStyle name="Normal 2 4 5 2" xfId="4590"/>
    <cellStyle name="Normal 2 4 5 2 2" xfId="4591"/>
    <cellStyle name="Normal 2 4 5 2 3" xfId="4592"/>
    <cellStyle name="Normal 2 4 5 2 4" xfId="4593"/>
    <cellStyle name="Normal 2 4 5 2 5" xfId="4594"/>
    <cellStyle name="Normal 2 4 5 20" xfId="4595"/>
    <cellStyle name="Normal 2 4 5 3" xfId="4596"/>
    <cellStyle name="Normal 2 4 5 3 2" xfId="4597"/>
    <cellStyle name="Normal 2 4 5 3 3" xfId="4598"/>
    <cellStyle name="Normal 2 4 5 3 4" xfId="4599"/>
    <cellStyle name="Normal 2 4 5 3 5" xfId="4600"/>
    <cellStyle name="Normal 2 4 5 4" xfId="4601"/>
    <cellStyle name="Normal 2 4 5 4 2" xfId="4602"/>
    <cellStyle name="Normal 2 4 5 4 3" xfId="4603"/>
    <cellStyle name="Normal 2 4 5 4 4" xfId="4604"/>
    <cellStyle name="Normal 2 4 5 4 5" xfId="4605"/>
    <cellStyle name="Normal 2 4 5 5" xfId="4606"/>
    <cellStyle name="Normal 2 4 5 5 2" xfId="4607"/>
    <cellStyle name="Normal 2 4 5 5 3" xfId="4608"/>
    <cellStyle name="Normal 2 4 5 5 4" xfId="4609"/>
    <cellStyle name="Normal 2 4 5 5 5" xfId="4610"/>
    <cellStyle name="Normal 2 4 5 6" xfId="4611"/>
    <cellStyle name="Normal 2 4 5 6 2" xfId="4612"/>
    <cellStyle name="Normal 2 4 5 6 3" xfId="4613"/>
    <cellStyle name="Normal 2 4 5 6 4" xfId="4614"/>
    <cellStyle name="Normal 2 4 5 6 5" xfId="4615"/>
    <cellStyle name="Normal 2 4 5 7" xfId="4616"/>
    <cellStyle name="Normal 2 4 5 7 2" xfId="4617"/>
    <cellStyle name="Normal 2 4 5 7 3" xfId="4618"/>
    <cellStyle name="Normal 2 4 5 7 4" xfId="4619"/>
    <cellStyle name="Normal 2 4 5 7 5" xfId="4620"/>
    <cellStyle name="Normal 2 4 5 8" xfId="4621"/>
    <cellStyle name="Normal 2 4 5 8 2" xfId="4622"/>
    <cellStyle name="Normal 2 4 5 8 3" xfId="4623"/>
    <cellStyle name="Normal 2 4 5 8 4" xfId="4624"/>
    <cellStyle name="Normal 2 4 5 8 5" xfId="4625"/>
    <cellStyle name="Normal 2 4 5 9" xfId="4626"/>
    <cellStyle name="Normal 2 4 6" xfId="4627"/>
    <cellStyle name="Normal 2 4 7" xfId="4628"/>
    <cellStyle name="Normal 2 4 8" xfId="4629"/>
    <cellStyle name="Normal 2 4 9" xfId="4630"/>
    <cellStyle name="Normal 2 40" xfId="105"/>
    <cellStyle name="Normal 2 41" xfId="106"/>
    <cellStyle name="Normal 2 42" xfId="107"/>
    <cellStyle name="Normal 2 43" xfId="108"/>
    <cellStyle name="Normal 2 44" xfId="109"/>
    <cellStyle name="Normal 2 45" xfId="110"/>
    <cellStyle name="Normal 2 46" xfId="111"/>
    <cellStyle name="Normal 2 47" xfId="112"/>
    <cellStyle name="Normal 2 48" xfId="113"/>
    <cellStyle name="Normal 2 49" xfId="114"/>
    <cellStyle name="Normal 2 5" xfId="115"/>
    <cellStyle name="Normal 2 5 10" xfId="4631"/>
    <cellStyle name="Normal 2 5 10 2" xfId="4632"/>
    <cellStyle name="Normal 2 5 10 3" xfId="4633"/>
    <cellStyle name="Normal 2 5 10 4" xfId="4634"/>
    <cellStyle name="Normal 2 5 10 5" xfId="4635"/>
    <cellStyle name="Normal 2 5 11" xfId="4636"/>
    <cellStyle name="Normal 2 5 11 2" xfId="4637"/>
    <cellStyle name="Normal 2 5 11 3" xfId="4638"/>
    <cellStyle name="Normal 2 5 11 4" xfId="4639"/>
    <cellStyle name="Normal 2 5 11 5" xfId="4640"/>
    <cellStyle name="Normal 2 5 12" xfId="4641"/>
    <cellStyle name="Normal 2 5 12 2" xfId="4642"/>
    <cellStyle name="Normal 2 5 12 3" xfId="4643"/>
    <cellStyle name="Normal 2 5 12 4" xfId="4644"/>
    <cellStyle name="Normal 2 5 12 5" xfId="4645"/>
    <cellStyle name="Normal 2 5 13" xfId="4646"/>
    <cellStyle name="Normal 2 5 13 2" xfId="4647"/>
    <cellStyle name="Normal 2 5 13 3" xfId="4648"/>
    <cellStyle name="Normal 2 5 13 4" xfId="4649"/>
    <cellStyle name="Normal 2 5 13 5" xfId="4650"/>
    <cellStyle name="Normal 2 5 14" xfId="4651"/>
    <cellStyle name="Normal 2 5 14 2" xfId="4652"/>
    <cellStyle name="Normal 2 5 14 3" xfId="4653"/>
    <cellStyle name="Normal 2 5 14 4" xfId="4654"/>
    <cellStyle name="Normal 2 5 14 5" xfId="4655"/>
    <cellStyle name="Normal 2 5 15" xfId="4656"/>
    <cellStyle name="Normal 2 5 15 2" xfId="4657"/>
    <cellStyle name="Normal 2 5 15 3" xfId="4658"/>
    <cellStyle name="Normal 2 5 15 4" xfId="4659"/>
    <cellStyle name="Normal 2 5 15 5" xfId="4660"/>
    <cellStyle name="Normal 2 5 16" xfId="4661"/>
    <cellStyle name="Normal 2 5 16 2" xfId="4662"/>
    <cellStyle name="Normal 2 5 16 3" xfId="4663"/>
    <cellStyle name="Normal 2 5 16 4" xfId="4664"/>
    <cellStyle name="Normal 2 5 16 5" xfId="4665"/>
    <cellStyle name="Normal 2 5 17" xfId="4666"/>
    <cellStyle name="Normal 2 5 17 2" xfId="4667"/>
    <cellStyle name="Normal 2 5 17 3" xfId="4668"/>
    <cellStyle name="Normal 2 5 17 4" xfId="4669"/>
    <cellStyle name="Normal 2 5 17 5" xfId="4670"/>
    <cellStyle name="Normal 2 5 18" xfId="4671"/>
    <cellStyle name="Normal 2 5 18 2" xfId="4672"/>
    <cellStyle name="Normal 2 5 18 3" xfId="4673"/>
    <cellStyle name="Normal 2 5 18 4" xfId="4674"/>
    <cellStyle name="Normal 2 5 18 5" xfId="4675"/>
    <cellStyle name="Normal 2 5 19" xfId="4676"/>
    <cellStyle name="Normal 2 5 19 2" xfId="4677"/>
    <cellStyle name="Normal 2 5 19 3" xfId="4678"/>
    <cellStyle name="Normal 2 5 19 4" xfId="4679"/>
    <cellStyle name="Normal 2 5 19 5" xfId="4680"/>
    <cellStyle name="Normal 2 5 2" xfId="116"/>
    <cellStyle name="Normal 2 5 2 10" xfId="4681"/>
    <cellStyle name="Normal 2 5 2 11" xfId="4682"/>
    <cellStyle name="Normal 2 5 2 12" xfId="4683"/>
    <cellStyle name="Normal 2 5 2 13" xfId="4684"/>
    <cellStyle name="Normal 2 5 2 14" xfId="4685"/>
    <cellStyle name="Normal 2 5 2 15" xfId="4686"/>
    <cellStyle name="Normal 2 5 2 16" xfId="4687"/>
    <cellStyle name="Normal 2 5 2 17" xfId="4688"/>
    <cellStyle name="Normal 2 5 2 2" xfId="4689"/>
    <cellStyle name="Normal 2 5 2 3" xfId="4690"/>
    <cellStyle name="Normal 2 5 2 4" xfId="4691"/>
    <cellStyle name="Normal 2 5 2 5" xfId="4692"/>
    <cellStyle name="Normal 2 5 2 6" xfId="4693"/>
    <cellStyle name="Normal 2 5 2 7" xfId="4694"/>
    <cellStyle name="Normal 2 5 2 8" xfId="4695"/>
    <cellStyle name="Normal 2 5 2 9" xfId="4696"/>
    <cellStyle name="Normal 2 5 20" xfId="4697"/>
    <cellStyle name="Normal 2 5 20 2" xfId="4698"/>
    <cellStyle name="Normal 2 5 20 3" xfId="4699"/>
    <cellStyle name="Normal 2 5 20 4" xfId="4700"/>
    <cellStyle name="Normal 2 5 20 5" xfId="4701"/>
    <cellStyle name="Normal 2 5 21" xfId="4702"/>
    <cellStyle name="Normal 2 5 21 2" xfId="4703"/>
    <cellStyle name="Normal 2 5 21 3" xfId="4704"/>
    <cellStyle name="Normal 2 5 21 4" xfId="4705"/>
    <cellStyle name="Normal 2 5 21 5" xfId="4706"/>
    <cellStyle name="Normal 2 5 22" xfId="4707"/>
    <cellStyle name="Normal 2 5 22 2" xfId="4708"/>
    <cellStyle name="Normal 2 5 22 3" xfId="4709"/>
    <cellStyle name="Normal 2 5 22 4" xfId="4710"/>
    <cellStyle name="Normal 2 5 22 5" xfId="4711"/>
    <cellStyle name="Normal 2 5 23" xfId="4712"/>
    <cellStyle name="Normal 2 5 23 2" xfId="4713"/>
    <cellStyle name="Normal 2 5 23 3" xfId="4714"/>
    <cellStyle name="Normal 2 5 23 4" xfId="4715"/>
    <cellStyle name="Normal 2 5 23 5" xfId="4716"/>
    <cellStyle name="Normal 2 5 24" xfId="4717"/>
    <cellStyle name="Normal 2 5 25" xfId="4718"/>
    <cellStyle name="Normal 2 5 26" xfId="4719"/>
    <cellStyle name="Normal 2 5 27" xfId="4720"/>
    <cellStyle name="Normal 2 5 28" xfId="4721"/>
    <cellStyle name="Normal 2 5 29" xfId="4722"/>
    <cellStyle name="Normal 2 5 3" xfId="117"/>
    <cellStyle name="Normal 2 5 3 10" xfId="4723"/>
    <cellStyle name="Normal 2 5 3 11" xfId="4724"/>
    <cellStyle name="Normal 2 5 3 12" xfId="4725"/>
    <cellStyle name="Normal 2 5 3 13" xfId="4726"/>
    <cellStyle name="Normal 2 5 3 14" xfId="4727"/>
    <cellStyle name="Normal 2 5 3 15" xfId="4728"/>
    <cellStyle name="Normal 2 5 3 16" xfId="4729"/>
    <cellStyle name="Normal 2 5 3 17" xfId="4730"/>
    <cellStyle name="Normal 2 5 3 2" xfId="4731"/>
    <cellStyle name="Normal 2 5 3 3" xfId="4732"/>
    <cellStyle name="Normal 2 5 3 4" xfId="4733"/>
    <cellStyle name="Normal 2 5 3 5" xfId="4734"/>
    <cellStyle name="Normal 2 5 3 6" xfId="4735"/>
    <cellStyle name="Normal 2 5 3 7" xfId="4736"/>
    <cellStyle name="Normal 2 5 3 8" xfId="4737"/>
    <cellStyle name="Normal 2 5 3 9" xfId="4738"/>
    <cellStyle name="Normal 2 5 30" xfId="4739"/>
    <cellStyle name="Normal 2 5 31" xfId="4740"/>
    <cellStyle name="Normal 2 5 32" xfId="4741"/>
    <cellStyle name="Normal 2 5 33" xfId="4742"/>
    <cellStyle name="Normal 2 5 34" xfId="4743"/>
    <cellStyle name="Normal 2 5 35" xfId="4744"/>
    <cellStyle name="Normal 2 5 36" xfId="4745"/>
    <cellStyle name="Normal 2 5 37" xfId="4746"/>
    <cellStyle name="Normal 2 5 38" xfId="4747"/>
    <cellStyle name="Normal 2 5 39" xfId="4748"/>
    <cellStyle name="Normal 2 5 4" xfId="118"/>
    <cellStyle name="Normal 2 5 4 10" xfId="4749"/>
    <cellStyle name="Normal 2 5 4 11" xfId="4750"/>
    <cellStyle name="Normal 2 5 4 12" xfId="4751"/>
    <cellStyle name="Normal 2 5 4 13" xfId="4752"/>
    <cellStyle name="Normal 2 5 4 14" xfId="4753"/>
    <cellStyle name="Normal 2 5 4 15" xfId="4754"/>
    <cellStyle name="Normal 2 5 4 16" xfId="4755"/>
    <cellStyle name="Normal 2 5 4 17" xfId="4756"/>
    <cellStyle name="Normal 2 5 4 2" xfId="4757"/>
    <cellStyle name="Normal 2 5 4 3" xfId="4758"/>
    <cellStyle name="Normal 2 5 4 4" xfId="4759"/>
    <cellStyle name="Normal 2 5 4 5" xfId="4760"/>
    <cellStyle name="Normal 2 5 4 6" xfId="4761"/>
    <cellStyle name="Normal 2 5 4 7" xfId="4762"/>
    <cellStyle name="Normal 2 5 4 8" xfId="4763"/>
    <cellStyle name="Normal 2 5 4 9" xfId="4764"/>
    <cellStyle name="Normal 2 5 40" xfId="4765"/>
    <cellStyle name="Normal 2 5 41" xfId="4766"/>
    <cellStyle name="Normal 2 5 42" xfId="4767"/>
    <cellStyle name="Normal 2 5 43" xfId="4768"/>
    <cellStyle name="Normal 2 5 44" xfId="4769"/>
    <cellStyle name="Normal 2 5 45" xfId="4770"/>
    <cellStyle name="Normal 2 5 46" xfId="4771"/>
    <cellStyle name="Normal 2 5 47" xfId="10722"/>
    <cellStyle name="Normal 2 5 48" xfId="10747"/>
    <cellStyle name="Normal 2 5 49" xfId="10729"/>
    <cellStyle name="Normal 2 5 5" xfId="119"/>
    <cellStyle name="Normal 2 5 5 10" xfId="4772"/>
    <cellStyle name="Normal 2 5 5 11" xfId="4773"/>
    <cellStyle name="Normal 2 5 5 12" xfId="4774"/>
    <cellStyle name="Normal 2 5 5 13" xfId="4775"/>
    <cellStyle name="Normal 2 5 5 14" xfId="4776"/>
    <cellStyle name="Normal 2 5 5 15" xfId="4777"/>
    <cellStyle name="Normal 2 5 5 16" xfId="4778"/>
    <cellStyle name="Normal 2 5 5 17" xfId="4779"/>
    <cellStyle name="Normal 2 5 5 2" xfId="4780"/>
    <cellStyle name="Normal 2 5 5 3" xfId="4781"/>
    <cellStyle name="Normal 2 5 5 4" xfId="4782"/>
    <cellStyle name="Normal 2 5 5 5" xfId="4783"/>
    <cellStyle name="Normal 2 5 5 6" xfId="4784"/>
    <cellStyle name="Normal 2 5 5 7" xfId="4785"/>
    <cellStyle name="Normal 2 5 5 8" xfId="4786"/>
    <cellStyle name="Normal 2 5 5 9" xfId="4787"/>
    <cellStyle name="Normal 2 5 50" xfId="10740"/>
    <cellStyle name="Normal 2 5 51" xfId="10754"/>
    <cellStyle name="Normal 2 5 52" xfId="10789"/>
    <cellStyle name="Normal 2 5 53" xfId="10761"/>
    <cellStyle name="Normal 2 5 6" xfId="4788"/>
    <cellStyle name="Normal 2 5 6 2" xfId="4789"/>
    <cellStyle name="Normal 2 5 6 3" xfId="4790"/>
    <cellStyle name="Normal 2 5 6 4" xfId="4791"/>
    <cellStyle name="Normal 2 5 6 5" xfId="4792"/>
    <cellStyle name="Normal 2 5 7" xfId="4793"/>
    <cellStyle name="Normal 2 5 7 2" xfId="4794"/>
    <cellStyle name="Normal 2 5 7 3" xfId="4795"/>
    <cellStyle name="Normal 2 5 7 4" xfId="4796"/>
    <cellStyle name="Normal 2 5 7 5" xfId="4797"/>
    <cellStyle name="Normal 2 5 8" xfId="4798"/>
    <cellStyle name="Normal 2 5 8 2" xfId="4799"/>
    <cellStyle name="Normal 2 5 8 3" xfId="4800"/>
    <cellStyle name="Normal 2 5 8 4" xfId="4801"/>
    <cellStyle name="Normal 2 5 8 5" xfId="4802"/>
    <cellStyle name="Normal 2 5 9" xfId="4803"/>
    <cellStyle name="Normal 2 5 9 2" xfId="4804"/>
    <cellStyle name="Normal 2 5 9 3" xfId="4805"/>
    <cellStyle name="Normal 2 5 9 4" xfId="4806"/>
    <cellStyle name="Normal 2 5 9 5" xfId="4807"/>
    <cellStyle name="Normal 2 50" xfId="120"/>
    <cellStyle name="Normal 2 51" xfId="121"/>
    <cellStyle name="Normal 2 52" xfId="4808"/>
    <cellStyle name="Normal 2 52 2" xfId="12031"/>
    <cellStyle name="Normal 2 53" xfId="4809"/>
    <cellStyle name="Normal 2 53 2" xfId="12032"/>
    <cellStyle name="Normal 2 54" xfId="4810"/>
    <cellStyle name="Normal 2 54 2" xfId="12033"/>
    <cellStyle name="Normal 2 55" xfId="4811"/>
    <cellStyle name="Normal 2 55 2" xfId="12034"/>
    <cellStyle name="Normal 2 56" xfId="4812"/>
    <cellStyle name="Normal 2 56 2" xfId="12035"/>
    <cellStyle name="Normal 2 57" xfId="4813"/>
    <cellStyle name="Normal 2 57 2" xfId="12036"/>
    <cellStyle name="Normal 2 58" xfId="4814"/>
    <cellStyle name="Normal 2 58 2" xfId="12037"/>
    <cellStyle name="Normal 2 59" xfId="4815"/>
    <cellStyle name="Normal 2 59 2" xfId="12038"/>
    <cellStyle name="Normal 2 6" xfId="122"/>
    <cellStyle name="Normal 2 6 10" xfId="4816"/>
    <cellStyle name="Normal 2 6 10 2" xfId="4817"/>
    <cellStyle name="Normal 2 6 10 3" xfId="4818"/>
    <cellStyle name="Normal 2 6 10 4" xfId="4819"/>
    <cellStyle name="Normal 2 6 10 5" xfId="4820"/>
    <cellStyle name="Normal 2 6 11" xfId="4821"/>
    <cellStyle name="Normal 2 6 11 2" xfId="4822"/>
    <cellStyle name="Normal 2 6 11 3" xfId="4823"/>
    <cellStyle name="Normal 2 6 11 4" xfId="4824"/>
    <cellStyle name="Normal 2 6 11 5" xfId="4825"/>
    <cellStyle name="Normal 2 6 12" xfId="4826"/>
    <cellStyle name="Normal 2 6 12 2" xfId="4827"/>
    <cellStyle name="Normal 2 6 12 3" xfId="4828"/>
    <cellStyle name="Normal 2 6 12 4" xfId="4829"/>
    <cellStyle name="Normal 2 6 12 5" xfId="4830"/>
    <cellStyle name="Normal 2 6 13" xfId="4831"/>
    <cellStyle name="Normal 2 6 13 2" xfId="4832"/>
    <cellStyle name="Normal 2 6 13 3" xfId="4833"/>
    <cellStyle name="Normal 2 6 13 4" xfId="4834"/>
    <cellStyle name="Normal 2 6 13 5" xfId="4835"/>
    <cellStyle name="Normal 2 6 14" xfId="4836"/>
    <cellStyle name="Normal 2 6 14 2" xfId="4837"/>
    <cellStyle name="Normal 2 6 14 3" xfId="4838"/>
    <cellStyle name="Normal 2 6 14 4" xfId="4839"/>
    <cellStyle name="Normal 2 6 14 5" xfId="4840"/>
    <cellStyle name="Normal 2 6 15" xfId="4841"/>
    <cellStyle name="Normal 2 6 15 2" xfId="4842"/>
    <cellStyle name="Normal 2 6 15 3" xfId="4843"/>
    <cellStyle name="Normal 2 6 15 4" xfId="4844"/>
    <cellStyle name="Normal 2 6 15 5" xfId="4845"/>
    <cellStyle name="Normal 2 6 16" xfId="4846"/>
    <cellStyle name="Normal 2 6 16 2" xfId="4847"/>
    <cellStyle name="Normal 2 6 16 3" xfId="4848"/>
    <cellStyle name="Normal 2 6 16 4" xfId="4849"/>
    <cellStyle name="Normal 2 6 16 5" xfId="4850"/>
    <cellStyle name="Normal 2 6 17" xfId="4851"/>
    <cellStyle name="Normal 2 6 17 2" xfId="4852"/>
    <cellStyle name="Normal 2 6 17 3" xfId="4853"/>
    <cellStyle name="Normal 2 6 17 4" xfId="4854"/>
    <cellStyle name="Normal 2 6 17 5" xfId="4855"/>
    <cellStyle name="Normal 2 6 18" xfId="4856"/>
    <cellStyle name="Normal 2 6 18 2" xfId="4857"/>
    <cellStyle name="Normal 2 6 18 3" xfId="4858"/>
    <cellStyle name="Normal 2 6 18 4" xfId="4859"/>
    <cellStyle name="Normal 2 6 18 5" xfId="4860"/>
    <cellStyle name="Normal 2 6 19" xfId="4861"/>
    <cellStyle name="Normal 2 6 19 2" xfId="4862"/>
    <cellStyle name="Normal 2 6 19 3" xfId="4863"/>
    <cellStyle name="Normal 2 6 19 4" xfId="4864"/>
    <cellStyle name="Normal 2 6 19 5" xfId="4865"/>
    <cellStyle name="Normal 2 6 2" xfId="4866"/>
    <cellStyle name="Normal 2 6 2 2" xfId="4867"/>
    <cellStyle name="Normal 2 6 2 3" xfId="4868"/>
    <cellStyle name="Normal 2 6 2 4" xfId="4869"/>
    <cellStyle name="Normal 2 6 2 5" xfId="4870"/>
    <cellStyle name="Normal 2 6 20" xfId="4871"/>
    <cellStyle name="Normal 2 6 20 2" xfId="4872"/>
    <cellStyle name="Normal 2 6 20 3" xfId="4873"/>
    <cellStyle name="Normal 2 6 20 4" xfId="4874"/>
    <cellStyle name="Normal 2 6 20 5" xfId="4875"/>
    <cellStyle name="Normal 2 6 21" xfId="4876"/>
    <cellStyle name="Normal 2 6 21 2" xfId="4877"/>
    <cellStyle name="Normal 2 6 21 3" xfId="4878"/>
    <cellStyle name="Normal 2 6 21 4" xfId="4879"/>
    <cellStyle name="Normal 2 6 21 5" xfId="4880"/>
    <cellStyle name="Normal 2 6 22" xfId="4881"/>
    <cellStyle name="Normal 2 6 22 2" xfId="4882"/>
    <cellStyle name="Normal 2 6 22 3" xfId="4883"/>
    <cellStyle name="Normal 2 6 22 4" xfId="4884"/>
    <cellStyle name="Normal 2 6 22 5" xfId="4885"/>
    <cellStyle name="Normal 2 6 23" xfId="4886"/>
    <cellStyle name="Normal 2 6 23 2" xfId="4887"/>
    <cellStyle name="Normal 2 6 23 3" xfId="4888"/>
    <cellStyle name="Normal 2 6 23 4" xfId="4889"/>
    <cellStyle name="Normal 2 6 23 5" xfId="4890"/>
    <cellStyle name="Normal 2 6 24" xfId="4891"/>
    <cellStyle name="Normal 2 6 24 2" xfId="4892"/>
    <cellStyle name="Normal 2 6 24 3" xfId="4893"/>
    <cellStyle name="Normal 2 6 24 4" xfId="4894"/>
    <cellStyle name="Normal 2 6 24 5" xfId="4895"/>
    <cellStyle name="Normal 2 6 25" xfId="4896"/>
    <cellStyle name="Normal 2 6 25 2" xfId="4897"/>
    <cellStyle name="Normal 2 6 25 3" xfId="4898"/>
    <cellStyle name="Normal 2 6 25 4" xfId="4899"/>
    <cellStyle name="Normal 2 6 25 5" xfId="4900"/>
    <cellStyle name="Normal 2 6 26" xfId="4901"/>
    <cellStyle name="Normal 2 6 26 2" xfId="4902"/>
    <cellStyle name="Normal 2 6 26 3" xfId="4903"/>
    <cellStyle name="Normal 2 6 26 4" xfId="4904"/>
    <cellStyle name="Normal 2 6 26 5" xfId="4905"/>
    <cellStyle name="Normal 2 6 27" xfId="4906"/>
    <cellStyle name="Normal 2 6 27 2" xfId="4907"/>
    <cellStyle name="Normal 2 6 27 3" xfId="4908"/>
    <cellStyle name="Normal 2 6 27 4" xfId="4909"/>
    <cellStyle name="Normal 2 6 27 5" xfId="4910"/>
    <cellStyle name="Normal 2 6 28" xfId="4911"/>
    <cellStyle name="Normal 2 6 28 2" xfId="4912"/>
    <cellStyle name="Normal 2 6 28 3" xfId="4913"/>
    <cellStyle name="Normal 2 6 28 4" xfId="4914"/>
    <cellStyle name="Normal 2 6 28 5" xfId="4915"/>
    <cellStyle name="Normal 2 6 29" xfId="4916"/>
    <cellStyle name="Normal 2 6 29 2" xfId="4917"/>
    <cellStyle name="Normal 2 6 29 3" xfId="4918"/>
    <cellStyle name="Normal 2 6 29 4" xfId="4919"/>
    <cellStyle name="Normal 2 6 29 5" xfId="4920"/>
    <cellStyle name="Normal 2 6 3" xfId="4921"/>
    <cellStyle name="Normal 2 6 3 2" xfId="4922"/>
    <cellStyle name="Normal 2 6 3 3" xfId="4923"/>
    <cellStyle name="Normal 2 6 3 4" xfId="4924"/>
    <cellStyle name="Normal 2 6 3 5" xfId="4925"/>
    <cellStyle name="Normal 2 6 30" xfId="4926"/>
    <cellStyle name="Normal 2 6 30 2" xfId="4927"/>
    <cellStyle name="Normal 2 6 30 3" xfId="4928"/>
    <cellStyle name="Normal 2 6 30 4" xfId="4929"/>
    <cellStyle name="Normal 2 6 30 5" xfId="4930"/>
    <cellStyle name="Normal 2 6 31" xfId="4931"/>
    <cellStyle name="Normal 2 6 32" xfId="4932"/>
    <cellStyle name="Normal 2 6 33" xfId="4933"/>
    <cellStyle name="Normal 2 6 34" xfId="4934"/>
    <cellStyle name="Normal 2 6 35" xfId="4935"/>
    <cellStyle name="Normal 2 6 36" xfId="4936"/>
    <cellStyle name="Normal 2 6 37" xfId="4937"/>
    <cellStyle name="Normal 2 6 38" xfId="4938"/>
    <cellStyle name="Normal 2 6 39" xfId="4939"/>
    <cellStyle name="Normal 2 6 4" xfId="4940"/>
    <cellStyle name="Normal 2 6 4 2" xfId="4941"/>
    <cellStyle name="Normal 2 6 4 3" xfId="4942"/>
    <cellStyle name="Normal 2 6 4 4" xfId="4943"/>
    <cellStyle name="Normal 2 6 4 5" xfId="4944"/>
    <cellStyle name="Normal 2 6 40" xfId="4945"/>
    <cellStyle name="Normal 2 6 41" xfId="4946"/>
    <cellStyle name="Normal 2 6 42" xfId="4947"/>
    <cellStyle name="Normal 2 6 43" xfId="4948"/>
    <cellStyle name="Normal 2 6 44" xfId="4949"/>
    <cellStyle name="Normal 2 6 45" xfId="4950"/>
    <cellStyle name="Normal 2 6 46" xfId="4951"/>
    <cellStyle name="Normal 2 6 5" xfId="4952"/>
    <cellStyle name="Normal 2 6 5 2" xfId="4953"/>
    <cellStyle name="Normal 2 6 5 3" xfId="4954"/>
    <cellStyle name="Normal 2 6 5 4" xfId="4955"/>
    <cellStyle name="Normal 2 6 5 5" xfId="4956"/>
    <cellStyle name="Normal 2 6 6" xfId="4957"/>
    <cellStyle name="Normal 2 6 6 2" xfId="4958"/>
    <cellStyle name="Normal 2 6 6 3" xfId="4959"/>
    <cellStyle name="Normal 2 6 6 4" xfId="4960"/>
    <cellStyle name="Normal 2 6 6 5" xfId="4961"/>
    <cellStyle name="Normal 2 6 7" xfId="4962"/>
    <cellStyle name="Normal 2 6 7 2" xfId="4963"/>
    <cellStyle name="Normal 2 6 7 3" xfId="4964"/>
    <cellStyle name="Normal 2 6 7 4" xfId="4965"/>
    <cellStyle name="Normal 2 6 7 5" xfId="4966"/>
    <cellStyle name="Normal 2 6 8" xfId="4967"/>
    <cellStyle name="Normal 2 6 8 2" xfId="4968"/>
    <cellStyle name="Normal 2 6 8 3" xfId="4969"/>
    <cellStyle name="Normal 2 6 8 4" xfId="4970"/>
    <cellStyle name="Normal 2 6 8 5" xfId="4971"/>
    <cellStyle name="Normal 2 6 9" xfId="4972"/>
    <cellStyle name="Normal 2 6 9 2" xfId="4973"/>
    <cellStyle name="Normal 2 6 9 3" xfId="4974"/>
    <cellStyle name="Normal 2 6 9 4" xfId="4975"/>
    <cellStyle name="Normal 2 6 9 5" xfId="4976"/>
    <cellStyle name="Normal 2 60" xfId="4977"/>
    <cellStyle name="Normal 2 60 2" xfId="12039"/>
    <cellStyle name="Normal 2 61" xfId="4978"/>
    <cellStyle name="Normal 2 61 2" xfId="12040"/>
    <cellStyle name="Normal 2 62" xfId="4979"/>
    <cellStyle name="Normal 2 62 2" xfId="12041"/>
    <cellStyle name="Normal 2 63" xfId="4980"/>
    <cellStyle name="Normal 2 63 2" xfId="12042"/>
    <cellStyle name="Normal 2 64" xfId="4981"/>
    <cellStyle name="Normal 2 64 2" xfId="12043"/>
    <cellStyle name="Normal 2 65" xfId="4982"/>
    <cellStyle name="Normal 2 65 2" xfId="12044"/>
    <cellStyle name="Normal 2 66" xfId="4983"/>
    <cellStyle name="Normal 2 66 2" xfId="12045"/>
    <cellStyle name="Normal 2 67" xfId="4984"/>
    <cellStyle name="Normal 2 67 2" xfId="12046"/>
    <cellStyle name="Normal 2 68" xfId="4985"/>
    <cellStyle name="Normal 2 68 2" xfId="12047"/>
    <cellStyle name="Normal 2 69" xfId="4986"/>
    <cellStyle name="Normal 2 69 2" xfId="12048"/>
    <cellStyle name="Normal 2 7" xfId="123"/>
    <cellStyle name="Normal 2 7 10" xfId="4987"/>
    <cellStyle name="Normal 2 7 10 2" xfId="4988"/>
    <cellStyle name="Normal 2 7 10 3" xfId="4989"/>
    <cellStyle name="Normal 2 7 10 4" xfId="4990"/>
    <cellStyle name="Normal 2 7 10 5" xfId="4991"/>
    <cellStyle name="Normal 2 7 11" xfId="4992"/>
    <cellStyle name="Normal 2 7 11 2" xfId="4993"/>
    <cellStyle name="Normal 2 7 11 3" xfId="4994"/>
    <cellStyle name="Normal 2 7 11 4" xfId="4995"/>
    <cellStyle name="Normal 2 7 11 5" xfId="4996"/>
    <cellStyle name="Normal 2 7 12" xfId="4997"/>
    <cellStyle name="Normal 2 7 12 2" xfId="4998"/>
    <cellStyle name="Normal 2 7 12 3" xfId="4999"/>
    <cellStyle name="Normal 2 7 12 4" xfId="5000"/>
    <cellStyle name="Normal 2 7 12 5" xfId="5001"/>
    <cellStyle name="Normal 2 7 13" xfId="5002"/>
    <cellStyle name="Normal 2 7 13 2" xfId="5003"/>
    <cellStyle name="Normal 2 7 13 3" xfId="5004"/>
    <cellStyle name="Normal 2 7 13 4" xfId="5005"/>
    <cellStyle name="Normal 2 7 13 5" xfId="5006"/>
    <cellStyle name="Normal 2 7 14" xfId="5007"/>
    <cellStyle name="Normal 2 7 14 2" xfId="5008"/>
    <cellStyle name="Normal 2 7 14 3" xfId="5009"/>
    <cellStyle name="Normal 2 7 14 4" xfId="5010"/>
    <cellStyle name="Normal 2 7 14 5" xfId="5011"/>
    <cellStyle name="Normal 2 7 15" xfId="5012"/>
    <cellStyle name="Normal 2 7 15 2" xfId="5013"/>
    <cellStyle name="Normal 2 7 15 3" xfId="5014"/>
    <cellStyle name="Normal 2 7 15 4" xfId="5015"/>
    <cellStyle name="Normal 2 7 15 5" xfId="5016"/>
    <cellStyle name="Normal 2 7 16" xfId="5017"/>
    <cellStyle name="Normal 2 7 16 2" xfId="5018"/>
    <cellStyle name="Normal 2 7 16 3" xfId="5019"/>
    <cellStyle name="Normal 2 7 16 4" xfId="5020"/>
    <cellStyle name="Normal 2 7 16 5" xfId="5021"/>
    <cellStyle name="Normal 2 7 17" xfId="5022"/>
    <cellStyle name="Normal 2 7 17 2" xfId="5023"/>
    <cellStyle name="Normal 2 7 17 3" xfId="5024"/>
    <cellStyle name="Normal 2 7 17 4" xfId="5025"/>
    <cellStyle name="Normal 2 7 17 5" xfId="5026"/>
    <cellStyle name="Normal 2 7 18" xfId="5027"/>
    <cellStyle name="Normal 2 7 18 2" xfId="5028"/>
    <cellStyle name="Normal 2 7 18 3" xfId="5029"/>
    <cellStyle name="Normal 2 7 18 4" xfId="5030"/>
    <cellStyle name="Normal 2 7 18 5" xfId="5031"/>
    <cellStyle name="Normal 2 7 19" xfId="5032"/>
    <cellStyle name="Normal 2 7 19 2" xfId="5033"/>
    <cellStyle name="Normal 2 7 19 3" xfId="5034"/>
    <cellStyle name="Normal 2 7 19 4" xfId="5035"/>
    <cellStyle name="Normal 2 7 19 5" xfId="5036"/>
    <cellStyle name="Normal 2 7 2" xfId="5037"/>
    <cellStyle name="Normal 2 7 2 2" xfId="5038"/>
    <cellStyle name="Normal 2 7 2 3" xfId="5039"/>
    <cellStyle name="Normal 2 7 2 4" xfId="5040"/>
    <cellStyle name="Normal 2 7 2 5" xfId="5041"/>
    <cellStyle name="Normal 2 7 20" xfId="5042"/>
    <cellStyle name="Normal 2 7 20 2" xfId="5043"/>
    <cellStyle name="Normal 2 7 20 3" xfId="5044"/>
    <cellStyle name="Normal 2 7 20 4" xfId="5045"/>
    <cellStyle name="Normal 2 7 20 5" xfId="5046"/>
    <cellStyle name="Normal 2 7 21" xfId="5047"/>
    <cellStyle name="Normal 2 7 21 2" xfId="5048"/>
    <cellStyle name="Normal 2 7 21 3" xfId="5049"/>
    <cellStyle name="Normal 2 7 21 4" xfId="5050"/>
    <cellStyle name="Normal 2 7 21 5" xfId="5051"/>
    <cellStyle name="Normal 2 7 22" xfId="5052"/>
    <cellStyle name="Normal 2 7 22 2" xfId="5053"/>
    <cellStyle name="Normal 2 7 22 3" xfId="5054"/>
    <cellStyle name="Normal 2 7 22 4" xfId="5055"/>
    <cellStyle name="Normal 2 7 22 5" xfId="5056"/>
    <cellStyle name="Normal 2 7 23" xfId="5057"/>
    <cellStyle name="Normal 2 7 23 2" xfId="5058"/>
    <cellStyle name="Normal 2 7 23 3" xfId="5059"/>
    <cellStyle name="Normal 2 7 23 4" xfId="5060"/>
    <cellStyle name="Normal 2 7 23 5" xfId="5061"/>
    <cellStyle name="Normal 2 7 24" xfId="5062"/>
    <cellStyle name="Normal 2 7 24 2" xfId="5063"/>
    <cellStyle name="Normal 2 7 24 3" xfId="5064"/>
    <cellStyle name="Normal 2 7 24 4" xfId="5065"/>
    <cellStyle name="Normal 2 7 24 5" xfId="5066"/>
    <cellStyle name="Normal 2 7 25" xfId="5067"/>
    <cellStyle name="Normal 2 7 25 2" xfId="5068"/>
    <cellStyle name="Normal 2 7 25 3" xfId="5069"/>
    <cellStyle name="Normal 2 7 25 4" xfId="5070"/>
    <cellStyle name="Normal 2 7 25 5" xfId="5071"/>
    <cellStyle name="Normal 2 7 26" xfId="5072"/>
    <cellStyle name="Normal 2 7 26 2" xfId="5073"/>
    <cellStyle name="Normal 2 7 26 3" xfId="5074"/>
    <cellStyle name="Normal 2 7 26 4" xfId="5075"/>
    <cellStyle name="Normal 2 7 26 5" xfId="5076"/>
    <cellStyle name="Normal 2 7 27" xfId="5077"/>
    <cellStyle name="Normal 2 7 27 2" xfId="5078"/>
    <cellStyle name="Normal 2 7 27 3" xfId="5079"/>
    <cellStyle name="Normal 2 7 27 4" xfId="5080"/>
    <cellStyle name="Normal 2 7 27 5" xfId="5081"/>
    <cellStyle name="Normal 2 7 28" xfId="5082"/>
    <cellStyle name="Normal 2 7 28 2" xfId="5083"/>
    <cellStyle name="Normal 2 7 28 3" xfId="5084"/>
    <cellStyle name="Normal 2 7 28 4" xfId="5085"/>
    <cellStyle name="Normal 2 7 28 5" xfId="5086"/>
    <cellStyle name="Normal 2 7 29" xfId="5087"/>
    <cellStyle name="Normal 2 7 29 2" xfId="5088"/>
    <cellStyle name="Normal 2 7 29 3" xfId="5089"/>
    <cellStyle name="Normal 2 7 29 4" xfId="5090"/>
    <cellStyle name="Normal 2 7 29 5" xfId="5091"/>
    <cellStyle name="Normal 2 7 3" xfId="5092"/>
    <cellStyle name="Normal 2 7 3 2" xfId="5093"/>
    <cellStyle name="Normal 2 7 3 3" xfId="5094"/>
    <cellStyle name="Normal 2 7 3 4" xfId="5095"/>
    <cellStyle name="Normal 2 7 3 5" xfId="5096"/>
    <cellStyle name="Normal 2 7 30" xfId="5097"/>
    <cellStyle name="Normal 2 7 30 2" xfId="5098"/>
    <cellStyle name="Normal 2 7 30 3" xfId="5099"/>
    <cellStyle name="Normal 2 7 30 4" xfId="5100"/>
    <cellStyle name="Normal 2 7 30 5" xfId="5101"/>
    <cellStyle name="Normal 2 7 31" xfId="5102"/>
    <cellStyle name="Normal 2 7 32" xfId="5103"/>
    <cellStyle name="Normal 2 7 33" xfId="5104"/>
    <cellStyle name="Normal 2 7 34" xfId="5105"/>
    <cellStyle name="Normal 2 7 35" xfId="5106"/>
    <cellStyle name="Normal 2 7 36" xfId="5107"/>
    <cellStyle name="Normal 2 7 37" xfId="5108"/>
    <cellStyle name="Normal 2 7 38" xfId="5109"/>
    <cellStyle name="Normal 2 7 39" xfId="5110"/>
    <cellStyle name="Normal 2 7 4" xfId="5111"/>
    <cellStyle name="Normal 2 7 4 2" xfId="5112"/>
    <cellStyle name="Normal 2 7 4 3" xfId="5113"/>
    <cellStyle name="Normal 2 7 4 4" xfId="5114"/>
    <cellStyle name="Normal 2 7 4 5" xfId="5115"/>
    <cellStyle name="Normal 2 7 40" xfId="5116"/>
    <cellStyle name="Normal 2 7 41" xfId="5117"/>
    <cellStyle name="Normal 2 7 42" xfId="5118"/>
    <cellStyle name="Normal 2 7 43" xfId="5119"/>
    <cellStyle name="Normal 2 7 44" xfId="5120"/>
    <cellStyle name="Normal 2 7 45" xfId="5121"/>
    <cellStyle name="Normal 2 7 46" xfId="5122"/>
    <cellStyle name="Normal 2 7 5" xfId="5123"/>
    <cellStyle name="Normal 2 7 5 2" xfId="5124"/>
    <cellStyle name="Normal 2 7 5 3" xfId="5125"/>
    <cellStyle name="Normal 2 7 5 4" xfId="5126"/>
    <cellStyle name="Normal 2 7 5 5" xfId="5127"/>
    <cellStyle name="Normal 2 7 6" xfId="5128"/>
    <cellStyle name="Normal 2 7 6 2" xfId="5129"/>
    <cellStyle name="Normal 2 7 6 3" xfId="5130"/>
    <cellStyle name="Normal 2 7 6 4" xfId="5131"/>
    <cellStyle name="Normal 2 7 6 5" xfId="5132"/>
    <cellStyle name="Normal 2 7 7" xfId="5133"/>
    <cellStyle name="Normal 2 7 7 2" xfId="5134"/>
    <cellStyle name="Normal 2 7 7 3" xfId="5135"/>
    <cellStyle name="Normal 2 7 7 4" xfId="5136"/>
    <cellStyle name="Normal 2 7 7 5" xfId="5137"/>
    <cellStyle name="Normal 2 7 8" xfId="5138"/>
    <cellStyle name="Normal 2 7 8 2" xfId="5139"/>
    <cellStyle name="Normal 2 7 8 3" xfId="5140"/>
    <cellStyle name="Normal 2 7 8 4" xfId="5141"/>
    <cellStyle name="Normal 2 7 8 5" xfId="5142"/>
    <cellStyle name="Normal 2 7 9" xfId="5143"/>
    <cellStyle name="Normal 2 7 9 2" xfId="5144"/>
    <cellStyle name="Normal 2 7 9 3" xfId="5145"/>
    <cellStyle name="Normal 2 7 9 4" xfId="5146"/>
    <cellStyle name="Normal 2 7 9 5" xfId="5147"/>
    <cellStyle name="Normal 2 70" xfId="5148"/>
    <cellStyle name="Normal 2 70 2" xfId="12049"/>
    <cellStyle name="Normal 2 71" xfId="5149"/>
    <cellStyle name="Normal 2 71 2" xfId="12050"/>
    <cellStyle name="Normal 2 72" xfId="5150"/>
    <cellStyle name="Normal 2 72 2" xfId="12051"/>
    <cellStyle name="Normal 2 73" xfId="5151"/>
    <cellStyle name="Normal 2 73 2" xfId="12052"/>
    <cellStyle name="Normal 2 74" xfId="5152"/>
    <cellStyle name="Normal 2 74 2" xfId="12053"/>
    <cellStyle name="Normal 2 75" xfId="5153"/>
    <cellStyle name="Normal 2 75 2" xfId="12054"/>
    <cellStyle name="Normal 2 76" xfId="5154"/>
    <cellStyle name="Normal 2 76 2" xfId="12055"/>
    <cellStyle name="Normal 2 77" xfId="5155"/>
    <cellStyle name="Normal 2 77 2" xfId="12056"/>
    <cellStyle name="Normal 2 78" xfId="5156"/>
    <cellStyle name="Normal 2 78 2" xfId="12057"/>
    <cellStyle name="Normal 2 79" xfId="5157"/>
    <cellStyle name="Normal 2 79 2" xfId="12058"/>
    <cellStyle name="Normal 2 8" xfId="124"/>
    <cellStyle name="Normal 2 8 10" xfId="5158"/>
    <cellStyle name="Normal 2 8 10 2" xfId="5159"/>
    <cellStyle name="Normal 2 8 10 3" xfId="5160"/>
    <cellStyle name="Normal 2 8 10 4" xfId="5161"/>
    <cellStyle name="Normal 2 8 10 5" xfId="5162"/>
    <cellStyle name="Normal 2 8 11" xfId="5163"/>
    <cellStyle name="Normal 2 8 11 2" xfId="5164"/>
    <cellStyle name="Normal 2 8 11 3" xfId="5165"/>
    <cellStyle name="Normal 2 8 11 4" xfId="5166"/>
    <cellStyle name="Normal 2 8 11 5" xfId="5167"/>
    <cellStyle name="Normal 2 8 12" xfId="5168"/>
    <cellStyle name="Normal 2 8 12 2" xfId="5169"/>
    <cellStyle name="Normal 2 8 12 3" xfId="5170"/>
    <cellStyle name="Normal 2 8 12 4" xfId="5171"/>
    <cellStyle name="Normal 2 8 12 5" xfId="5172"/>
    <cellStyle name="Normal 2 8 13" xfId="5173"/>
    <cellStyle name="Normal 2 8 13 2" xfId="5174"/>
    <cellStyle name="Normal 2 8 13 3" xfId="5175"/>
    <cellStyle name="Normal 2 8 13 4" xfId="5176"/>
    <cellStyle name="Normal 2 8 13 5" xfId="5177"/>
    <cellStyle name="Normal 2 8 14" xfId="5178"/>
    <cellStyle name="Normal 2 8 14 2" xfId="5179"/>
    <cellStyle name="Normal 2 8 14 3" xfId="5180"/>
    <cellStyle name="Normal 2 8 14 4" xfId="5181"/>
    <cellStyle name="Normal 2 8 14 5" xfId="5182"/>
    <cellStyle name="Normal 2 8 15" xfId="5183"/>
    <cellStyle name="Normal 2 8 15 2" xfId="5184"/>
    <cellStyle name="Normal 2 8 15 3" xfId="5185"/>
    <cellStyle name="Normal 2 8 15 4" xfId="5186"/>
    <cellStyle name="Normal 2 8 15 5" xfId="5187"/>
    <cellStyle name="Normal 2 8 16" xfId="5188"/>
    <cellStyle name="Normal 2 8 16 2" xfId="5189"/>
    <cellStyle name="Normal 2 8 16 3" xfId="5190"/>
    <cellStyle name="Normal 2 8 16 4" xfId="5191"/>
    <cellStyle name="Normal 2 8 16 5" xfId="5192"/>
    <cellStyle name="Normal 2 8 17" xfId="5193"/>
    <cellStyle name="Normal 2 8 17 2" xfId="5194"/>
    <cellStyle name="Normal 2 8 17 3" xfId="5195"/>
    <cellStyle name="Normal 2 8 17 4" xfId="5196"/>
    <cellStyle name="Normal 2 8 17 5" xfId="5197"/>
    <cellStyle name="Normal 2 8 18" xfId="5198"/>
    <cellStyle name="Normal 2 8 18 2" xfId="5199"/>
    <cellStyle name="Normal 2 8 18 3" xfId="5200"/>
    <cellStyle name="Normal 2 8 18 4" xfId="5201"/>
    <cellStyle name="Normal 2 8 18 5" xfId="5202"/>
    <cellStyle name="Normal 2 8 19" xfId="5203"/>
    <cellStyle name="Normal 2 8 19 2" xfId="5204"/>
    <cellStyle name="Normal 2 8 19 3" xfId="5205"/>
    <cellStyle name="Normal 2 8 19 4" xfId="5206"/>
    <cellStyle name="Normal 2 8 19 5" xfId="5207"/>
    <cellStyle name="Normal 2 8 2" xfId="5208"/>
    <cellStyle name="Normal 2 8 2 2" xfId="5209"/>
    <cellStyle name="Normal 2 8 2 3" xfId="5210"/>
    <cellStyle name="Normal 2 8 2 4" xfId="5211"/>
    <cellStyle name="Normal 2 8 2 5" xfId="5212"/>
    <cellStyle name="Normal 2 8 20" xfId="5213"/>
    <cellStyle name="Normal 2 8 20 2" xfId="5214"/>
    <cellStyle name="Normal 2 8 20 3" xfId="5215"/>
    <cellStyle name="Normal 2 8 20 4" xfId="5216"/>
    <cellStyle name="Normal 2 8 20 5" xfId="5217"/>
    <cellStyle name="Normal 2 8 21" xfId="5218"/>
    <cellStyle name="Normal 2 8 21 2" xfId="5219"/>
    <cellStyle name="Normal 2 8 21 3" xfId="5220"/>
    <cellStyle name="Normal 2 8 21 4" xfId="5221"/>
    <cellStyle name="Normal 2 8 21 5" xfId="5222"/>
    <cellStyle name="Normal 2 8 22" xfId="5223"/>
    <cellStyle name="Normal 2 8 22 2" xfId="5224"/>
    <cellStyle name="Normal 2 8 22 3" xfId="5225"/>
    <cellStyle name="Normal 2 8 22 4" xfId="5226"/>
    <cellStyle name="Normal 2 8 22 5" xfId="5227"/>
    <cellStyle name="Normal 2 8 23" xfId="5228"/>
    <cellStyle name="Normal 2 8 23 2" xfId="5229"/>
    <cellStyle name="Normal 2 8 23 3" xfId="5230"/>
    <cellStyle name="Normal 2 8 23 4" xfId="5231"/>
    <cellStyle name="Normal 2 8 23 5" xfId="5232"/>
    <cellStyle name="Normal 2 8 24" xfId="5233"/>
    <cellStyle name="Normal 2 8 24 2" xfId="5234"/>
    <cellStyle name="Normal 2 8 24 3" xfId="5235"/>
    <cellStyle name="Normal 2 8 24 4" xfId="5236"/>
    <cellStyle name="Normal 2 8 24 5" xfId="5237"/>
    <cellStyle name="Normal 2 8 25" xfId="5238"/>
    <cellStyle name="Normal 2 8 25 2" xfId="5239"/>
    <cellStyle name="Normal 2 8 25 3" xfId="5240"/>
    <cellStyle name="Normal 2 8 25 4" xfId="5241"/>
    <cellStyle name="Normal 2 8 25 5" xfId="5242"/>
    <cellStyle name="Normal 2 8 26" xfId="5243"/>
    <cellStyle name="Normal 2 8 26 2" xfId="5244"/>
    <cellStyle name="Normal 2 8 26 3" xfId="5245"/>
    <cellStyle name="Normal 2 8 26 4" xfId="5246"/>
    <cellStyle name="Normal 2 8 26 5" xfId="5247"/>
    <cellStyle name="Normal 2 8 27" xfId="5248"/>
    <cellStyle name="Normal 2 8 27 2" xfId="5249"/>
    <cellStyle name="Normal 2 8 27 3" xfId="5250"/>
    <cellStyle name="Normal 2 8 27 4" xfId="5251"/>
    <cellStyle name="Normal 2 8 27 5" xfId="5252"/>
    <cellStyle name="Normal 2 8 28" xfId="5253"/>
    <cellStyle name="Normal 2 8 28 2" xfId="5254"/>
    <cellStyle name="Normal 2 8 28 3" xfId="5255"/>
    <cellStyle name="Normal 2 8 28 4" xfId="5256"/>
    <cellStyle name="Normal 2 8 28 5" xfId="5257"/>
    <cellStyle name="Normal 2 8 29" xfId="5258"/>
    <cellStyle name="Normal 2 8 29 2" xfId="5259"/>
    <cellStyle name="Normal 2 8 29 3" xfId="5260"/>
    <cellStyle name="Normal 2 8 29 4" xfId="5261"/>
    <cellStyle name="Normal 2 8 29 5" xfId="5262"/>
    <cellStyle name="Normal 2 8 3" xfId="5263"/>
    <cellStyle name="Normal 2 8 3 2" xfId="5264"/>
    <cellStyle name="Normal 2 8 3 3" xfId="5265"/>
    <cellStyle name="Normal 2 8 3 4" xfId="5266"/>
    <cellStyle name="Normal 2 8 3 5" xfId="5267"/>
    <cellStyle name="Normal 2 8 30" xfId="5268"/>
    <cellStyle name="Normal 2 8 30 2" xfId="5269"/>
    <cellStyle name="Normal 2 8 30 3" xfId="5270"/>
    <cellStyle name="Normal 2 8 30 4" xfId="5271"/>
    <cellStyle name="Normal 2 8 30 5" xfId="5272"/>
    <cellStyle name="Normal 2 8 31" xfId="5273"/>
    <cellStyle name="Normal 2 8 32" xfId="5274"/>
    <cellStyle name="Normal 2 8 33" xfId="5275"/>
    <cellStyle name="Normal 2 8 34" xfId="5276"/>
    <cellStyle name="Normal 2 8 35" xfId="5277"/>
    <cellStyle name="Normal 2 8 36" xfId="5278"/>
    <cellStyle name="Normal 2 8 37" xfId="5279"/>
    <cellStyle name="Normal 2 8 38" xfId="5280"/>
    <cellStyle name="Normal 2 8 39" xfId="5281"/>
    <cellStyle name="Normal 2 8 4" xfId="5282"/>
    <cellStyle name="Normal 2 8 4 2" xfId="5283"/>
    <cellStyle name="Normal 2 8 4 3" xfId="5284"/>
    <cellStyle name="Normal 2 8 4 4" xfId="5285"/>
    <cellStyle name="Normal 2 8 4 5" xfId="5286"/>
    <cellStyle name="Normal 2 8 40" xfId="5287"/>
    <cellStyle name="Normal 2 8 41" xfId="5288"/>
    <cellStyle name="Normal 2 8 42" xfId="5289"/>
    <cellStyle name="Normal 2 8 43" xfId="5290"/>
    <cellStyle name="Normal 2 8 44" xfId="5291"/>
    <cellStyle name="Normal 2 8 45" xfId="5292"/>
    <cellStyle name="Normal 2 8 46" xfId="5293"/>
    <cellStyle name="Normal 2 8 5" xfId="5294"/>
    <cellStyle name="Normal 2 8 5 2" xfId="5295"/>
    <cellStyle name="Normal 2 8 5 3" xfId="5296"/>
    <cellStyle name="Normal 2 8 5 4" xfId="5297"/>
    <cellStyle name="Normal 2 8 5 5" xfId="5298"/>
    <cellStyle name="Normal 2 8 6" xfId="5299"/>
    <cellStyle name="Normal 2 8 6 2" xfId="5300"/>
    <cellStyle name="Normal 2 8 6 3" xfId="5301"/>
    <cellStyle name="Normal 2 8 6 4" xfId="5302"/>
    <cellStyle name="Normal 2 8 6 5" xfId="5303"/>
    <cellStyle name="Normal 2 8 7" xfId="5304"/>
    <cellStyle name="Normal 2 8 7 2" xfId="5305"/>
    <cellStyle name="Normal 2 8 7 3" xfId="5306"/>
    <cellStyle name="Normal 2 8 7 4" xfId="5307"/>
    <cellStyle name="Normal 2 8 7 5" xfId="5308"/>
    <cellStyle name="Normal 2 8 8" xfId="5309"/>
    <cellStyle name="Normal 2 8 8 2" xfId="5310"/>
    <cellStyle name="Normal 2 8 8 3" xfId="5311"/>
    <cellStyle name="Normal 2 8 8 4" xfId="5312"/>
    <cellStyle name="Normal 2 8 8 5" xfId="5313"/>
    <cellStyle name="Normal 2 8 9" xfId="5314"/>
    <cellStyle name="Normal 2 8 9 2" xfId="5315"/>
    <cellStyle name="Normal 2 8 9 3" xfId="5316"/>
    <cellStyle name="Normal 2 8 9 4" xfId="5317"/>
    <cellStyle name="Normal 2 8 9 5" xfId="5318"/>
    <cellStyle name="Normal 2 80" xfId="5319"/>
    <cellStyle name="Normal 2 80 2" xfId="12059"/>
    <cellStyle name="Normal 2 81" xfId="5320"/>
    <cellStyle name="Normal 2 82" xfId="5321"/>
    <cellStyle name="Normal 2 82 2" xfId="12060"/>
    <cellStyle name="Normal 2 83" xfId="5322"/>
    <cellStyle name="Normal 2 83 2" xfId="12061"/>
    <cellStyle name="Normal 2 84" xfId="5323"/>
    <cellStyle name="Normal 2 84 2" xfId="12062"/>
    <cellStyle name="Normal 2 85" xfId="5324"/>
    <cellStyle name="Normal 2 85 2" xfId="12063"/>
    <cellStyle name="Normal 2 86" xfId="5325"/>
    <cellStyle name="Normal 2 86 2" xfId="12064"/>
    <cellStyle name="Normal 2 87" xfId="5326"/>
    <cellStyle name="Normal 2 87 2" xfId="12065"/>
    <cellStyle name="Normal 2 88" xfId="5327"/>
    <cellStyle name="Normal 2 88 2" xfId="12066"/>
    <cellStyle name="Normal 2 89" xfId="5328"/>
    <cellStyle name="Normal 2 89 2" xfId="12067"/>
    <cellStyle name="Normal 2 9" xfId="125"/>
    <cellStyle name="Normal 2 9 10" xfId="5329"/>
    <cellStyle name="Normal 2 9 10 2" xfId="5330"/>
    <cellStyle name="Normal 2 9 10 3" xfId="5331"/>
    <cellStyle name="Normal 2 9 10 4" xfId="5332"/>
    <cellStyle name="Normal 2 9 10 5" xfId="5333"/>
    <cellStyle name="Normal 2 9 11" xfId="5334"/>
    <cellStyle name="Normal 2 9 11 2" xfId="5335"/>
    <cellStyle name="Normal 2 9 11 3" xfId="5336"/>
    <cellStyle name="Normal 2 9 11 4" xfId="5337"/>
    <cellStyle name="Normal 2 9 11 5" xfId="5338"/>
    <cellStyle name="Normal 2 9 12" xfId="5339"/>
    <cellStyle name="Normal 2 9 12 2" xfId="5340"/>
    <cellStyle name="Normal 2 9 12 3" xfId="5341"/>
    <cellStyle name="Normal 2 9 12 4" xfId="5342"/>
    <cellStyle name="Normal 2 9 12 5" xfId="5343"/>
    <cellStyle name="Normal 2 9 13" xfId="5344"/>
    <cellStyle name="Normal 2 9 13 2" xfId="5345"/>
    <cellStyle name="Normal 2 9 13 3" xfId="5346"/>
    <cellStyle name="Normal 2 9 13 4" xfId="5347"/>
    <cellStyle name="Normal 2 9 13 5" xfId="5348"/>
    <cellStyle name="Normal 2 9 14" xfId="5349"/>
    <cellStyle name="Normal 2 9 14 2" xfId="5350"/>
    <cellStyle name="Normal 2 9 14 3" xfId="5351"/>
    <cellStyle name="Normal 2 9 14 4" xfId="5352"/>
    <cellStyle name="Normal 2 9 14 5" xfId="5353"/>
    <cellStyle name="Normal 2 9 15" xfId="5354"/>
    <cellStyle name="Normal 2 9 15 2" xfId="5355"/>
    <cellStyle name="Normal 2 9 15 3" xfId="5356"/>
    <cellStyle name="Normal 2 9 15 4" xfId="5357"/>
    <cellStyle name="Normal 2 9 15 5" xfId="5358"/>
    <cellStyle name="Normal 2 9 16" xfId="5359"/>
    <cellStyle name="Normal 2 9 16 2" xfId="5360"/>
    <cellStyle name="Normal 2 9 16 3" xfId="5361"/>
    <cellStyle name="Normal 2 9 16 4" xfId="5362"/>
    <cellStyle name="Normal 2 9 16 5" xfId="5363"/>
    <cellStyle name="Normal 2 9 17" xfId="5364"/>
    <cellStyle name="Normal 2 9 17 2" xfId="5365"/>
    <cellStyle name="Normal 2 9 17 3" xfId="5366"/>
    <cellStyle name="Normal 2 9 17 4" xfId="5367"/>
    <cellStyle name="Normal 2 9 17 5" xfId="5368"/>
    <cellStyle name="Normal 2 9 18" xfId="5369"/>
    <cellStyle name="Normal 2 9 18 2" xfId="5370"/>
    <cellStyle name="Normal 2 9 18 3" xfId="5371"/>
    <cellStyle name="Normal 2 9 18 4" xfId="5372"/>
    <cellStyle name="Normal 2 9 18 5" xfId="5373"/>
    <cellStyle name="Normal 2 9 19" xfId="5374"/>
    <cellStyle name="Normal 2 9 19 2" xfId="5375"/>
    <cellStyle name="Normal 2 9 19 3" xfId="5376"/>
    <cellStyle name="Normal 2 9 19 4" xfId="5377"/>
    <cellStyle name="Normal 2 9 19 5" xfId="5378"/>
    <cellStyle name="Normal 2 9 2" xfId="5379"/>
    <cellStyle name="Normal 2 9 2 2" xfId="5380"/>
    <cellStyle name="Normal 2 9 2 3" xfId="5381"/>
    <cellStyle name="Normal 2 9 2 4" xfId="5382"/>
    <cellStyle name="Normal 2 9 2 5" xfId="5383"/>
    <cellStyle name="Normal 2 9 20" xfId="5384"/>
    <cellStyle name="Normal 2 9 20 2" xfId="5385"/>
    <cellStyle name="Normal 2 9 20 3" xfId="5386"/>
    <cellStyle name="Normal 2 9 20 4" xfId="5387"/>
    <cellStyle name="Normal 2 9 20 5" xfId="5388"/>
    <cellStyle name="Normal 2 9 21" xfId="5389"/>
    <cellStyle name="Normal 2 9 21 2" xfId="5390"/>
    <cellStyle name="Normal 2 9 21 3" xfId="5391"/>
    <cellStyle name="Normal 2 9 21 4" xfId="5392"/>
    <cellStyle name="Normal 2 9 21 5" xfId="5393"/>
    <cellStyle name="Normal 2 9 22" xfId="5394"/>
    <cellStyle name="Normal 2 9 22 2" xfId="5395"/>
    <cellStyle name="Normal 2 9 22 3" xfId="5396"/>
    <cellStyle name="Normal 2 9 22 4" xfId="5397"/>
    <cellStyle name="Normal 2 9 22 5" xfId="5398"/>
    <cellStyle name="Normal 2 9 23" xfId="5399"/>
    <cellStyle name="Normal 2 9 23 2" xfId="5400"/>
    <cellStyle name="Normal 2 9 23 3" xfId="5401"/>
    <cellStyle name="Normal 2 9 23 4" xfId="5402"/>
    <cellStyle name="Normal 2 9 23 5" xfId="5403"/>
    <cellStyle name="Normal 2 9 24" xfId="5404"/>
    <cellStyle name="Normal 2 9 24 2" xfId="5405"/>
    <cellStyle name="Normal 2 9 24 3" xfId="5406"/>
    <cellStyle name="Normal 2 9 24 4" xfId="5407"/>
    <cellStyle name="Normal 2 9 24 5" xfId="5408"/>
    <cellStyle name="Normal 2 9 25" xfId="5409"/>
    <cellStyle name="Normal 2 9 25 2" xfId="5410"/>
    <cellStyle name="Normal 2 9 25 3" xfId="5411"/>
    <cellStyle name="Normal 2 9 25 4" xfId="5412"/>
    <cellStyle name="Normal 2 9 25 5" xfId="5413"/>
    <cellStyle name="Normal 2 9 26" xfId="5414"/>
    <cellStyle name="Normal 2 9 26 2" xfId="5415"/>
    <cellStyle name="Normal 2 9 26 3" xfId="5416"/>
    <cellStyle name="Normal 2 9 26 4" xfId="5417"/>
    <cellStyle name="Normal 2 9 26 5" xfId="5418"/>
    <cellStyle name="Normal 2 9 27" xfId="5419"/>
    <cellStyle name="Normal 2 9 27 2" xfId="5420"/>
    <cellStyle name="Normal 2 9 27 3" xfId="5421"/>
    <cellStyle name="Normal 2 9 27 4" xfId="5422"/>
    <cellStyle name="Normal 2 9 27 5" xfId="5423"/>
    <cellStyle name="Normal 2 9 28" xfId="5424"/>
    <cellStyle name="Normal 2 9 28 2" xfId="5425"/>
    <cellStyle name="Normal 2 9 28 3" xfId="5426"/>
    <cellStyle name="Normal 2 9 28 4" xfId="5427"/>
    <cellStyle name="Normal 2 9 28 5" xfId="5428"/>
    <cellStyle name="Normal 2 9 29" xfId="5429"/>
    <cellStyle name="Normal 2 9 29 2" xfId="5430"/>
    <cellStyle name="Normal 2 9 29 3" xfId="5431"/>
    <cellStyle name="Normal 2 9 29 4" xfId="5432"/>
    <cellStyle name="Normal 2 9 29 5" xfId="5433"/>
    <cellStyle name="Normal 2 9 3" xfId="5434"/>
    <cellStyle name="Normal 2 9 3 2" xfId="5435"/>
    <cellStyle name="Normal 2 9 3 3" xfId="5436"/>
    <cellStyle name="Normal 2 9 3 4" xfId="5437"/>
    <cellStyle name="Normal 2 9 3 5" xfId="5438"/>
    <cellStyle name="Normal 2 9 30" xfId="5439"/>
    <cellStyle name="Normal 2 9 30 2" xfId="5440"/>
    <cellStyle name="Normal 2 9 30 3" xfId="5441"/>
    <cellStyle name="Normal 2 9 30 4" xfId="5442"/>
    <cellStyle name="Normal 2 9 30 5" xfId="5443"/>
    <cellStyle name="Normal 2 9 31" xfId="5444"/>
    <cellStyle name="Normal 2 9 32" xfId="5445"/>
    <cellStyle name="Normal 2 9 33" xfId="5446"/>
    <cellStyle name="Normal 2 9 34" xfId="5447"/>
    <cellStyle name="Normal 2 9 35" xfId="5448"/>
    <cellStyle name="Normal 2 9 36" xfId="5449"/>
    <cellStyle name="Normal 2 9 37" xfId="5450"/>
    <cellStyle name="Normal 2 9 38" xfId="5451"/>
    <cellStyle name="Normal 2 9 39" xfId="5452"/>
    <cellStyle name="Normal 2 9 4" xfId="5453"/>
    <cellStyle name="Normal 2 9 4 2" xfId="5454"/>
    <cellStyle name="Normal 2 9 4 3" xfId="5455"/>
    <cellStyle name="Normal 2 9 4 4" xfId="5456"/>
    <cellStyle name="Normal 2 9 4 5" xfId="5457"/>
    <cellStyle name="Normal 2 9 40" xfId="5458"/>
    <cellStyle name="Normal 2 9 41" xfId="5459"/>
    <cellStyle name="Normal 2 9 42" xfId="5460"/>
    <cellStyle name="Normal 2 9 43" xfId="5461"/>
    <cellStyle name="Normal 2 9 44" xfId="5462"/>
    <cellStyle name="Normal 2 9 45" xfId="5463"/>
    <cellStyle name="Normal 2 9 46" xfId="5464"/>
    <cellStyle name="Normal 2 9 5" xfId="5465"/>
    <cellStyle name="Normal 2 9 5 2" xfId="5466"/>
    <cellStyle name="Normal 2 9 5 3" xfId="5467"/>
    <cellStyle name="Normal 2 9 5 4" xfId="5468"/>
    <cellStyle name="Normal 2 9 5 5" xfId="5469"/>
    <cellStyle name="Normal 2 9 6" xfId="5470"/>
    <cellStyle name="Normal 2 9 6 2" xfId="5471"/>
    <cellStyle name="Normal 2 9 6 3" xfId="5472"/>
    <cellStyle name="Normal 2 9 6 4" xfId="5473"/>
    <cellStyle name="Normal 2 9 6 5" xfId="5474"/>
    <cellStyle name="Normal 2 9 7" xfId="5475"/>
    <cellStyle name="Normal 2 9 7 2" xfId="5476"/>
    <cellStyle name="Normal 2 9 7 3" xfId="5477"/>
    <cellStyle name="Normal 2 9 7 4" xfId="5478"/>
    <cellStyle name="Normal 2 9 7 5" xfId="5479"/>
    <cellStyle name="Normal 2 9 8" xfId="5480"/>
    <cellStyle name="Normal 2 9 8 2" xfId="5481"/>
    <cellStyle name="Normal 2 9 8 3" xfId="5482"/>
    <cellStyle name="Normal 2 9 8 4" xfId="5483"/>
    <cellStyle name="Normal 2 9 8 5" xfId="5484"/>
    <cellStyle name="Normal 2 9 9" xfId="5485"/>
    <cellStyle name="Normal 2 9 9 2" xfId="5486"/>
    <cellStyle name="Normal 2 9 9 3" xfId="5487"/>
    <cellStyle name="Normal 2 9 9 4" xfId="5488"/>
    <cellStyle name="Normal 2 9 9 5" xfId="5489"/>
    <cellStyle name="Normal 2 90" xfId="5490"/>
    <cellStyle name="Normal 2 90 2" xfId="12068"/>
    <cellStyle name="Normal 2 91" xfId="5491"/>
    <cellStyle name="Normal 2 91 2" xfId="12069"/>
    <cellStyle name="Normal 2 92" xfId="5492"/>
    <cellStyle name="Normal 2 92 2" xfId="12070"/>
    <cellStyle name="Normal 2 93" xfId="11346"/>
    <cellStyle name="Normal 2 93 2" xfId="11359"/>
    <cellStyle name="Normal 2 93 2 2" xfId="12072"/>
    <cellStyle name="Normal 2 93 3" xfId="12071"/>
    <cellStyle name="Normal 2 94" xfId="11348"/>
    <cellStyle name="Normal 2 95" xfId="11353"/>
    <cellStyle name="Normal 2 95 2" xfId="12073"/>
    <cellStyle name="Normal 20" xfId="10648"/>
    <cellStyle name="Normal 21" xfId="10649"/>
    <cellStyle name="Normal 22" xfId="10650"/>
    <cellStyle name="Normal 23" xfId="10651"/>
    <cellStyle name="Normal 24" xfId="10652"/>
    <cellStyle name="Normal 25" xfId="10656"/>
    <cellStyle name="Normal 26" xfId="10657"/>
    <cellStyle name="Normal 27" xfId="10658"/>
    <cellStyle name="Normal 28" xfId="10659"/>
    <cellStyle name="Normal 29" xfId="10660"/>
    <cellStyle name="Normal 3" xfId="126"/>
    <cellStyle name="Normal 3 10" xfId="5493"/>
    <cellStyle name="Normal 3 10 10" xfId="5494"/>
    <cellStyle name="Normal 3 10 11" xfId="5495"/>
    <cellStyle name="Normal 3 10 12" xfId="5496"/>
    <cellStyle name="Normal 3 10 13" xfId="5497"/>
    <cellStyle name="Normal 3 10 14" xfId="5498"/>
    <cellStyle name="Normal 3 10 15" xfId="5499"/>
    <cellStyle name="Normal 3 10 16" xfId="5500"/>
    <cellStyle name="Normal 3 10 17" xfId="5501"/>
    <cellStyle name="Normal 3 10 2" xfId="5502"/>
    <cellStyle name="Normal 3 10 3" xfId="5503"/>
    <cellStyle name="Normal 3 10 4" xfId="5504"/>
    <cellStyle name="Normal 3 10 5" xfId="5505"/>
    <cellStyle name="Normal 3 10 6" xfId="5506"/>
    <cellStyle name="Normal 3 10 7" xfId="5507"/>
    <cellStyle name="Normal 3 10 8" xfId="5508"/>
    <cellStyle name="Normal 3 10 9" xfId="5509"/>
    <cellStyle name="Normal 3 11" xfId="5510"/>
    <cellStyle name="Normal 3 11 10" xfId="5511"/>
    <cellStyle name="Normal 3 11 11" xfId="5512"/>
    <cellStyle name="Normal 3 11 12" xfId="5513"/>
    <cellStyle name="Normal 3 11 13" xfId="5514"/>
    <cellStyle name="Normal 3 11 14" xfId="5515"/>
    <cellStyle name="Normal 3 11 15" xfId="5516"/>
    <cellStyle name="Normal 3 11 16" xfId="5517"/>
    <cellStyle name="Normal 3 11 17" xfId="5518"/>
    <cellStyle name="Normal 3 11 2" xfId="5519"/>
    <cellStyle name="Normal 3 11 3" xfId="5520"/>
    <cellStyle name="Normal 3 11 4" xfId="5521"/>
    <cellStyle name="Normal 3 11 5" xfId="5522"/>
    <cellStyle name="Normal 3 11 6" xfId="5523"/>
    <cellStyle name="Normal 3 11 7" xfId="5524"/>
    <cellStyle name="Normal 3 11 8" xfId="5525"/>
    <cellStyle name="Normal 3 11 9" xfId="5526"/>
    <cellStyle name="Normal 3 12" xfId="5527"/>
    <cellStyle name="Normal 3 12 10" xfId="5528"/>
    <cellStyle name="Normal 3 12 11" xfId="5529"/>
    <cellStyle name="Normal 3 12 12" xfId="5530"/>
    <cellStyle name="Normal 3 12 13" xfId="5531"/>
    <cellStyle name="Normal 3 12 14" xfId="5532"/>
    <cellStyle name="Normal 3 12 15" xfId="5533"/>
    <cellStyle name="Normal 3 12 16" xfId="5534"/>
    <cellStyle name="Normal 3 12 17" xfId="5535"/>
    <cellStyle name="Normal 3 12 2" xfId="5536"/>
    <cellStyle name="Normal 3 12 3" xfId="5537"/>
    <cellStyle name="Normal 3 12 4" xfId="5538"/>
    <cellStyle name="Normal 3 12 5" xfId="5539"/>
    <cellStyle name="Normal 3 12 6" xfId="5540"/>
    <cellStyle name="Normal 3 12 7" xfId="5541"/>
    <cellStyle name="Normal 3 12 8" xfId="5542"/>
    <cellStyle name="Normal 3 12 9" xfId="5543"/>
    <cellStyle name="Normal 3 13" xfId="5544"/>
    <cellStyle name="Normal 3 13 10" xfId="5545"/>
    <cellStyle name="Normal 3 13 11" xfId="5546"/>
    <cellStyle name="Normal 3 13 12" xfId="5547"/>
    <cellStyle name="Normal 3 13 13" xfId="5548"/>
    <cellStyle name="Normal 3 13 14" xfId="5549"/>
    <cellStyle name="Normal 3 13 15" xfId="5550"/>
    <cellStyle name="Normal 3 13 16" xfId="5551"/>
    <cellStyle name="Normal 3 13 17" xfId="5552"/>
    <cellStyle name="Normal 3 13 2" xfId="5553"/>
    <cellStyle name="Normal 3 13 3" xfId="5554"/>
    <cellStyle name="Normal 3 13 4" xfId="5555"/>
    <cellStyle name="Normal 3 13 5" xfId="5556"/>
    <cellStyle name="Normal 3 13 6" xfId="5557"/>
    <cellStyle name="Normal 3 13 7" xfId="5558"/>
    <cellStyle name="Normal 3 13 8" xfId="5559"/>
    <cellStyle name="Normal 3 13 9" xfId="5560"/>
    <cellStyle name="Normal 3 14" xfId="5561"/>
    <cellStyle name="Normal 3 14 10" xfId="5562"/>
    <cellStyle name="Normal 3 14 11" xfId="5563"/>
    <cellStyle name="Normal 3 14 12" xfId="5564"/>
    <cellStyle name="Normal 3 14 13" xfId="5565"/>
    <cellStyle name="Normal 3 14 14" xfId="5566"/>
    <cellStyle name="Normal 3 14 15" xfId="5567"/>
    <cellStyle name="Normal 3 14 16" xfId="5568"/>
    <cellStyle name="Normal 3 14 17" xfId="5569"/>
    <cellStyle name="Normal 3 14 2" xfId="5570"/>
    <cellStyle name="Normal 3 14 3" xfId="5571"/>
    <cellStyle name="Normal 3 14 4" xfId="5572"/>
    <cellStyle name="Normal 3 14 5" xfId="5573"/>
    <cellStyle name="Normal 3 14 6" xfId="5574"/>
    <cellStyle name="Normal 3 14 7" xfId="5575"/>
    <cellStyle name="Normal 3 14 8" xfId="5576"/>
    <cellStyle name="Normal 3 14 9" xfId="5577"/>
    <cellStyle name="Normal 3 15" xfId="5578"/>
    <cellStyle name="Normal 3 15 10" xfId="5579"/>
    <cellStyle name="Normal 3 15 11" xfId="5580"/>
    <cellStyle name="Normal 3 15 12" xfId="5581"/>
    <cellStyle name="Normal 3 15 13" xfId="5582"/>
    <cellStyle name="Normal 3 15 14" xfId="5583"/>
    <cellStyle name="Normal 3 15 15" xfId="5584"/>
    <cellStyle name="Normal 3 15 16" xfId="5585"/>
    <cellStyle name="Normal 3 15 17" xfId="5586"/>
    <cellStyle name="Normal 3 15 2" xfId="5587"/>
    <cellStyle name="Normal 3 15 3" xfId="5588"/>
    <cellStyle name="Normal 3 15 4" xfId="5589"/>
    <cellStyle name="Normal 3 15 5" xfId="5590"/>
    <cellStyle name="Normal 3 15 6" xfId="5591"/>
    <cellStyle name="Normal 3 15 7" xfId="5592"/>
    <cellStyle name="Normal 3 15 8" xfId="5593"/>
    <cellStyle name="Normal 3 15 9" xfId="5594"/>
    <cellStyle name="Normal 3 16" xfId="5595"/>
    <cellStyle name="Normal 3 16 10" xfId="5596"/>
    <cellStyle name="Normal 3 16 11" xfId="5597"/>
    <cellStyle name="Normal 3 16 12" xfId="5598"/>
    <cellStyle name="Normal 3 16 13" xfId="5599"/>
    <cellStyle name="Normal 3 16 14" xfId="5600"/>
    <cellStyle name="Normal 3 16 15" xfId="5601"/>
    <cellStyle name="Normal 3 16 16" xfId="5602"/>
    <cellStyle name="Normal 3 16 17" xfId="5603"/>
    <cellStyle name="Normal 3 16 2" xfId="5604"/>
    <cellStyle name="Normal 3 16 3" xfId="5605"/>
    <cellStyle name="Normal 3 16 4" xfId="5606"/>
    <cellStyle name="Normal 3 16 5" xfId="5607"/>
    <cellStyle name="Normal 3 16 6" xfId="5608"/>
    <cellStyle name="Normal 3 16 7" xfId="5609"/>
    <cellStyle name="Normal 3 16 8" xfId="5610"/>
    <cellStyle name="Normal 3 16 9" xfId="5611"/>
    <cellStyle name="Normal 3 17" xfId="5612"/>
    <cellStyle name="Normal 3 17 10" xfId="5613"/>
    <cellStyle name="Normal 3 17 11" xfId="5614"/>
    <cellStyle name="Normal 3 17 12" xfId="5615"/>
    <cellStyle name="Normal 3 17 13" xfId="5616"/>
    <cellStyle name="Normal 3 17 14" xfId="5617"/>
    <cellStyle name="Normal 3 17 15" xfId="5618"/>
    <cellStyle name="Normal 3 17 16" xfId="5619"/>
    <cellStyle name="Normal 3 17 17" xfId="5620"/>
    <cellStyle name="Normal 3 17 2" xfId="5621"/>
    <cellStyle name="Normal 3 17 3" xfId="5622"/>
    <cellStyle name="Normal 3 17 4" xfId="5623"/>
    <cellStyle name="Normal 3 17 5" xfId="5624"/>
    <cellStyle name="Normal 3 17 6" xfId="5625"/>
    <cellStyle name="Normal 3 17 7" xfId="5626"/>
    <cellStyle name="Normal 3 17 8" xfId="5627"/>
    <cellStyle name="Normal 3 17 9" xfId="5628"/>
    <cellStyle name="Normal 3 18" xfId="5629"/>
    <cellStyle name="Normal 3 18 10" xfId="5630"/>
    <cellStyle name="Normal 3 18 11" xfId="5631"/>
    <cellStyle name="Normal 3 18 12" xfId="5632"/>
    <cellStyle name="Normal 3 18 13" xfId="5633"/>
    <cellStyle name="Normal 3 18 14" xfId="5634"/>
    <cellStyle name="Normal 3 18 15" xfId="5635"/>
    <cellStyle name="Normal 3 18 16" xfId="5636"/>
    <cellStyle name="Normal 3 18 17" xfId="5637"/>
    <cellStyle name="Normal 3 18 2" xfId="5638"/>
    <cellStyle name="Normal 3 18 3" xfId="5639"/>
    <cellStyle name="Normal 3 18 4" xfId="5640"/>
    <cellStyle name="Normal 3 18 5" xfId="5641"/>
    <cellStyle name="Normal 3 18 6" xfId="5642"/>
    <cellStyle name="Normal 3 18 7" xfId="5643"/>
    <cellStyle name="Normal 3 18 8" xfId="5644"/>
    <cellStyle name="Normal 3 18 9" xfId="5645"/>
    <cellStyle name="Normal 3 19" xfId="5646"/>
    <cellStyle name="Normal 3 19 10" xfId="5647"/>
    <cellStyle name="Normal 3 19 11" xfId="5648"/>
    <cellStyle name="Normal 3 19 12" xfId="5649"/>
    <cellStyle name="Normal 3 19 13" xfId="5650"/>
    <cellStyle name="Normal 3 19 14" xfId="5651"/>
    <cellStyle name="Normal 3 19 15" xfId="5652"/>
    <cellStyle name="Normal 3 19 16" xfId="5653"/>
    <cellStyle name="Normal 3 19 17" xfId="5654"/>
    <cellStyle name="Normal 3 19 2" xfId="5655"/>
    <cellStyle name="Normal 3 19 3" xfId="5656"/>
    <cellStyle name="Normal 3 19 4" xfId="5657"/>
    <cellStyle name="Normal 3 19 5" xfId="5658"/>
    <cellStyle name="Normal 3 19 6" xfId="5659"/>
    <cellStyle name="Normal 3 19 7" xfId="5660"/>
    <cellStyle name="Normal 3 19 8" xfId="5661"/>
    <cellStyle name="Normal 3 19 9" xfId="5662"/>
    <cellStyle name="Normal 3 2" xfId="127"/>
    <cellStyle name="Normal 3 2 10" xfId="5663"/>
    <cellStyle name="Normal 3 2 10 10" xfId="5664"/>
    <cellStyle name="Normal 3 2 10 11" xfId="5665"/>
    <cellStyle name="Normal 3 2 10 12" xfId="5666"/>
    <cellStyle name="Normal 3 2 10 13" xfId="5667"/>
    <cellStyle name="Normal 3 2 10 14" xfId="5668"/>
    <cellStyle name="Normal 3 2 10 15" xfId="5669"/>
    <cellStyle name="Normal 3 2 10 16" xfId="5670"/>
    <cellStyle name="Normal 3 2 10 17" xfId="5671"/>
    <cellStyle name="Normal 3 2 10 2" xfId="5672"/>
    <cellStyle name="Normal 3 2 10 3" xfId="5673"/>
    <cellStyle name="Normal 3 2 10 4" xfId="5674"/>
    <cellStyle name="Normal 3 2 10 5" xfId="5675"/>
    <cellStyle name="Normal 3 2 10 6" xfId="5676"/>
    <cellStyle name="Normal 3 2 10 7" xfId="5677"/>
    <cellStyle name="Normal 3 2 10 8" xfId="5678"/>
    <cellStyle name="Normal 3 2 10 9" xfId="5679"/>
    <cellStyle name="Normal 3 2 11" xfId="5680"/>
    <cellStyle name="Normal 3 2 11 10" xfId="5681"/>
    <cellStyle name="Normal 3 2 11 11" xfId="5682"/>
    <cellStyle name="Normal 3 2 11 12" xfId="5683"/>
    <cellStyle name="Normal 3 2 11 13" xfId="5684"/>
    <cellStyle name="Normal 3 2 11 14" xfId="5685"/>
    <cellStyle name="Normal 3 2 11 15" xfId="5686"/>
    <cellStyle name="Normal 3 2 11 16" xfId="5687"/>
    <cellStyle name="Normal 3 2 11 17" xfId="5688"/>
    <cellStyle name="Normal 3 2 11 2" xfId="5689"/>
    <cellStyle name="Normal 3 2 11 3" xfId="5690"/>
    <cellStyle name="Normal 3 2 11 4" xfId="5691"/>
    <cellStyle name="Normal 3 2 11 5" xfId="5692"/>
    <cellStyle name="Normal 3 2 11 6" xfId="5693"/>
    <cellStyle name="Normal 3 2 11 7" xfId="5694"/>
    <cellStyle name="Normal 3 2 11 8" xfId="5695"/>
    <cellStyle name="Normal 3 2 11 9" xfId="5696"/>
    <cellStyle name="Normal 3 2 12" xfId="5697"/>
    <cellStyle name="Normal 3 2 12 10" xfId="5698"/>
    <cellStyle name="Normal 3 2 12 11" xfId="5699"/>
    <cellStyle name="Normal 3 2 12 12" xfId="5700"/>
    <cellStyle name="Normal 3 2 12 13" xfId="5701"/>
    <cellStyle name="Normal 3 2 12 14" xfId="5702"/>
    <cellStyle name="Normal 3 2 12 15" xfId="5703"/>
    <cellStyle name="Normal 3 2 12 16" xfId="5704"/>
    <cellStyle name="Normal 3 2 12 17" xfId="5705"/>
    <cellStyle name="Normal 3 2 12 2" xfId="5706"/>
    <cellStyle name="Normal 3 2 12 3" xfId="5707"/>
    <cellStyle name="Normal 3 2 12 4" xfId="5708"/>
    <cellStyle name="Normal 3 2 12 5" xfId="5709"/>
    <cellStyle name="Normal 3 2 12 6" xfId="5710"/>
    <cellStyle name="Normal 3 2 12 7" xfId="5711"/>
    <cellStyle name="Normal 3 2 12 8" xfId="5712"/>
    <cellStyle name="Normal 3 2 12 9" xfId="5713"/>
    <cellStyle name="Normal 3 2 13" xfId="5714"/>
    <cellStyle name="Normal 3 2 13 10" xfId="5715"/>
    <cellStyle name="Normal 3 2 13 11" xfId="5716"/>
    <cellStyle name="Normal 3 2 13 12" xfId="5717"/>
    <cellStyle name="Normal 3 2 13 13" xfId="5718"/>
    <cellStyle name="Normal 3 2 13 14" xfId="5719"/>
    <cellStyle name="Normal 3 2 13 15" xfId="5720"/>
    <cellStyle name="Normal 3 2 13 16" xfId="5721"/>
    <cellStyle name="Normal 3 2 13 17" xfId="5722"/>
    <cellStyle name="Normal 3 2 13 2" xfId="5723"/>
    <cellStyle name="Normal 3 2 13 3" xfId="5724"/>
    <cellStyle name="Normal 3 2 13 4" xfId="5725"/>
    <cellStyle name="Normal 3 2 13 5" xfId="5726"/>
    <cellStyle name="Normal 3 2 13 6" xfId="5727"/>
    <cellStyle name="Normal 3 2 13 7" xfId="5728"/>
    <cellStyle name="Normal 3 2 13 8" xfId="5729"/>
    <cellStyle name="Normal 3 2 13 9" xfId="5730"/>
    <cellStyle name="Normal 3 2 14" xfId="5731"/>
    <cellStyle name="Normal 3 2 14 10" xfId="5732"/>
    <cellStyle name="Normal 3 2 14 11" xfId="5733"/>
    <cellStyle name="Normal 3 2 14 12" xfId="5734"/>
    <cellStyle name="Normal 3 2 14 13" xfId="5735"/>
    <cellStyle name="Normal 3 2 14 14" xfId="5736"/>
    <cellStyle name="Normal 3 2 14 15" xfId="5737"/>
    <cellStyle name="Normal 3 2 14 16" xfId="5738"/>
    <cellStyle name="Normal 3 2 14 17" xfId="5739"/>
    <cellStyle name="Normal 3 2 14 2" xfId="5740"/>
    <cellStyle name="Normal 3 2 14 3" xfId="5741"/>
    <cellStyle name="Normal 3 2 14 4" xfId="5742"/>
    <cellStyle name="Normal 3 2 14 5" xfId="5743"/>
    <cellStyle name="Normal 3 2 14 6" xfId="5744"/>
    <cellStyle name="Normal 3 2 14 7" xfId="5745"/>
    <cellStyle name="Normal 3 2 14 8" xfId="5746"/>
    <cellStyle name="Normal 3 2 14 9" xfId="5747"/>
    <cellStyle name="Normal 3 2 15" xfId="5748"/>
    <cellStyle name="Normal 3 2 15 10" xfId="5749"/>
    <cellStyle name="Normal 3 2 15 11" xfId="5750"/>
    <cellStyle name="Normal 3 2 15 12" xfId="5751"/>
    <cellStyle name="Normal 3 2 15 13" xfId="5752"/>
    <cellStyle name="Normal 3 2 15 14" xfId="5753"/>
    <cellStyle name="Normal 3 2 15 15" xfId="5754"/>
    <cellStyle name="Normal 3 2 15 16" xfId="5755"/>
    <cellStyle name="Normal 3 2 15 17" xfId="5756"/>
    <cellStyle name="Normal 3 2 15 2" xfId="5757"/>
    <cellStyle name="Normal 3 2 15 3" xfId="5758"/>
    <cellStyle name="Normal 3 2 15 4" xfId="5759"/>
    <cellStyle name="Normal 3 2 15 5" xfId="5760"/>
    <cellStyle name="Normal 3 2 15 6" xfId="5761"/>
    <cellStyle name="Normal 3 2 15 7" xfId="5762"/>
    <cellStyle name="Normal 3 2 15 8" xfId="5763"/>
    <cellStyle name="Normal 3 2 15 9" xfId="5764"/>
    <cellStyle name="Normal 3 2 16" xfId="5765"/>
    <cellStyle name="Normal 3 2 16 10" xfId="5766"/>
    <cellStyle name="Normal 3 2 16 11" xfId="5767"/>
    <cellStyle name="Normal 3 2 16 12" xfId="5768"/>
    <cellStyle name="Normal 3 2 16 13" xfId="5769"/>
    <cellStyle name="Normal 3 2 16 14" xfId="5770"/>
    <cellStyle name="Normal 3 2 16 15" xfId="5771"/>
    <cellStyle name="Normal 3 2 16 16" xfId="5772"/>
    <cellStyle name="Normal 3 2 16 17" xfId="5773"/>
    <cellStyle name="Normal 3 2 16 2" xfId="5774"/>
    <cellStyle name="Normal 3 2 16 3" xfId="5775"/>
    <cellStyle name="Normal 3 2 16 4" xfId="5776"/>
    <cellStyle name="Normal 3 2 16 5" xfId="5777"/>
    <cellStyle name="Normal 3 2 16 6" xfId="5778"/>
    <cellStyle name="Normal 3 2 16 7" xfId="5779"/>
    <cellStyle name="Normal 3 2 16 8" xfId="5780"/>
    <cellStyle name="Normal 3 2 16 9" xfId="5781"/>
    <cellStyle name="Normal 3 2 17" xfId="5782"/>
    <cellStyle name="Normal 3 2 17 10" xfId="5783"/>
    <cellStyle name="Normal 3 2 17 11" xfId="5784"/>
    <cellStyle name="Normal 3 2 17 12" xfId="5785"/>
    <cellStyle name="Normal 3 2 17 13" xfId="5786"/>
    <cellStyle name="Normal 3 2 17 14" xfId="5787"/>
    <cellStyle name="Normal 3 2 17 15" xfId="5788"/>
    <cellStyle name="Normal 3 2 17 16" xfId="5789"/>
    <cellStyle name="Normal 3 2 17 17" xfId="5790"/>
    <cellStyle name="Normal 3 2 17 2" xfId="5791"/>
    <cellStyle name="Normal 3 2 17 3" xfId="5792"/>
    <cellStyle name="Normal 3 2 17 4" xfId="5793"/>
    <cellStyle name="Normal 3 2 17 5" xfId="5794"/>
    <cellStyle name="Normal 3 2 17 6" xfId="5795"/>
    <cellStyle name="Normal 3 2 17 7" xfId="5796"/>
    <cellStyle name="Normal 3 2 17 8" xfId="5797"/>
    <cellStyle name="Normal 3 2 17 9" xfId="5798"/>
    <cellStyle name="Normal 3 2 18" xfId="5799"/>
    <cellStyle name="Normal 3 2 18 10" xfId="5800"/>
    <cellStyle name="Normal 3 2 18 11" xfId="5801"/>
    <cellStyle name="Normal 3 2 18 12" xfId="5802"/>
    <cellStyle name="Normal 3 2 18 13" xfId="5803"/>
    <cellStyle name="Normal 3 2 18 14" xfId="5804"/>
    <cellStyle name="Normal 3 2 18 15" xfId="5805"/>
    <cellStyle name="Normal 3 2 18 16" xfId="5806"/>
    <cellStyle name="Normal 3 2 18 17" xfId="5807"/>
    <cellStyle name="Normal 3 2 18 2" xfId="5808"/>
    <cellStyle name="Normal 3 2 18 3" xfId="5809"/>
    <cellStyle name="Normal 3 2 18 4" xfId="5810"/>
    <cellStyle name="Normal 3 2 18 5" xfId="5811"/>
    <cellStyle name="Normal 3 2 18 6" xfId="5812"/>
    <cellStyle name="Normal 3 2 18 7" xfId="5813"/>
    <cellStyle name="Normal 3 2 18 8" xfId="5814"/>
    <cellStyle name="Normal 3 2 18 9" xfId="5815"/>
    <cellStyle name="Normal 3 2 19" xfId="5816"/>
    <cellStyle name="Normal 3 2 19 10" xfId="5817"/>
    <cellStyle name="Normal 3 2 19 11" xfId="5818"/>
    <cellStyle name="Normal 3 2 19 12" xfId="5819"/>
    <cellStyle name="Normal 3 2 19 13" xfId="5820"/>
    <cellStyle name="Normal 3 2 19 14" xfId="5821"/>
    <cellStyle name="Normal 3 2 19 15" xfId="5822"/>
    <cellStyle name="Normal 3 2 19 16" xfId="5823"/>
    <cellStyle name="Normal 3 2 19 17" xfId="5824"/>
    <cellStyle name="Normal 3 2 19 2" xfId="5825"/>
    <cellStyle name="Normal 3 2 19 3" xfId="5826"/>
    <cellStyle name="Normal 3 2 19 4" xfId="5827"/>
    <cellStyle name="Normal 3 2 19 5" xfId="5828"/>
    <cellStyle name="Normal 3 2 19 6" xfId="5829"/>
    <cellStyle name="Normal 3 2 19 7" xfId="5830"/>
    <cellStyle name="Normal 3 2 19 8" xfId="5831"/>
    <cellStyle name="Normal 3 2 19 9" xfId="5832"/>
    <cellStyle name="Normal 3 2 2" xfId="5833"/>
    <cellStyle name="Normal 3 2 2 10" xfId="5834"/>
    <cellStyle name="Normal 3 2 2 11" xfId="5835"/>
    <cellStyle name="Normal 3 2 2 12" xfId="5836"/>
    <cellStyle name="Normal 3 2 2 13" xfId="5837"/>
    <cellStyle name="Normal 3 2 2 14" xfId="5838"/>
    <cellStyle name="Normal 3 2 2 15" xfId="5839"/>
    <cellStyle name="Normal 3 2 2 16" xfId="5840"/>
    <cellStyle name="Normal 3 2 2 17" xfId="5841"/>
    <cellStyle name="Normal 3 2 2 18" xfId="5842"/>
    <cellStyle name="Normal 3 2 2 19" xfId="5843"/>
    <cellStyle name="Normal 3 2 2 2" xfId="5844"/>
    <cellStyle name="Normal 3 2 2 20" xfId="5845"/>
    <cellStyle name="Normal 3 2 2 21" xfId="5846"/>
    <cellStyle name="Normal 3 2 2 22" xfId="5847"/>
    <cellStyle name="Normal 3 2 2 23" xfId="5848"/>
    <cellStyle name="Normal 3 2 2 24" xfId="5849"/>
    <cellStyle name="Normal 3 2 2 25" xfId="5850"/>
    <cellStyle name="Normal 3 2 2 26" xfId="5851"/>
    <cellStyle name="Normal 3 2 2 27" xfId="5852"/>
    <cellStyle name="Normal 3 2 2 28" xfId="5853"/>
    <cellStyle name="Normal 3 2 2 29" xfId="5854"/>
    <cellStyle name="Normal 3 2 2 3" xfId="5855"/>
    <cellStyle name="Normal 3 2 2 30" xfId="5856"/>
    <cellStyle name="Normal 3 2 2 31" xfId="5857"/>
    <cellStyle name="Normal 3 2 2 32" xfId="5858"/>
    <cellStyle name="Normal 3 2 2 33" xfId="5859"/>
    <cellStyle name="Normal 3 2 2 34" xfId="5860"/>
    <cellStyle name="Normal 3 2 2 35" xfId="5861"/>
    <cellStyle name="Normal 3 2 2 36" xfId="5862"/>
    <cellStyle name="Normal 3 2 2 37" xfId="5863"/>
    <cellStyle name="Normal 3 2 2 38" xfId="5864"/>
    <cellStyle name="Normal 3 2 2 39" xfId="5865"/>
    <cellStyle name="Normal 3 2 2 4" xfId="5866"/>
    <cellStyle name="Normal 3 2 2 40" xfId="5867"/>
    <cellStyle name="Normal 3 2 2 41" xfId="5868"/>
    <cellStyle name="Normal 3 2 2 42" xfId="5869"/>
    <cellStyle name="Normal 3 2 2 43" xfId="5870"/>
    <cellStyle name="Normal 3 2 2 44" xfId="5871"/>
    <cellStyle name="Normal 3 2 2 45" xfId="5872"/>
    <cellStyle name="Normal 3 2 2 46" xfId="5873"/>
    <cellStyle name="Normal 3 2 2 47" xfId="5874"/>
    <cellStyle name="Normal 3 2 2 48" xfId="5875"/>
    <cellStyle name="Normal 3 2 2 5" xfId="5876"/>
    <cellStyle name="Normal 3 2 2 6" xfId="5877"/>
    <cellStyle name="Normal 3 2 2 6 10" xfId="5878"/>
    <cellStyle name="Normal 3 2 2 6 11" xfId="5879"/>
    <cellStyle name="Normal 3 2 2 6 12" xfId="5880"/>
    <cellStyle name="Normal 3 2 2 6 13" xfId="5881"/>
    <cellStyle name="Normal 3 2 2 6 2" xfId="5882"/>
    <cellStyle name="Normal 3 2 2 6 3" xfId="5883"/>
    <cellStyle name="Normal 3 2 2 6 4" xfId="5884"/>
    <cellStyle name="Normal 3 2 2 6 5" xfId="5885"/>
    <cellStyle name="Normal 3 2 2 6 6" xfId="5886"/>
    <cellStyle name="Normal 3 2 2 6 7" xfId="5887"/>
    <cellStyle name="Normal 3 2 2 6 8" xfId="5888"/>
    <cellStyle name="Normal 3 2 2 6 9" xfId="5889"/>
    <cellStyle name="Normal 3 2 2 7" xfId="5890"/>
    <cellStyle name="Normal 3 2 2 8" xfId="5891"/>
    <cellStyle name="Normal 3 2 2 9" xfId="5892"/>
    <cellStyle name="Normal 3 2 20" xfId="5893"/>
    <cellStyle name="Normal 3 2 20 10" xfId="5894"/>
    <cellStyle name="Normal 3 2 20 11" xfId="5895"/>
    <cellStyle name="Normal 3 2 20 12" xfId="5896"/>
    <cellStyle name="Normal 3 2 20 13" xfId="5897"/>
    <cellStyle name="Normal 3 2 20 14" xfId="5898"/>
    <cellStyle name="Normal 3 2 20 15" xfId="5899"/>
    <cellStyle name="Normal 3 2 20 16" xfId="5900"/>
    <cellStyle name="Normal 3 2 20 17" xfId="5901"/>
    <cellStyle name="Normal 3 2 20 2" xfId="5902"/>
    <cellStyle name="Normal 3 2 20 3" xfId="5903"/>
    <cellStyle name="Normal 3 2 20 4" xfId="5904"/>
    <cellStyle name="Normal 3 2 20 5" xfId="5905"/>
    <cellStyle name="Normal 3 2 20 6" xfId="5906"/>
    <cellStyle name="Normal 3 2 20 7" xfId="5907"/>
    <cellStyle name="Normal 3 2 20 8" xfId="5908"/>
    <cellStyle name="Normal 3 2 20 9" xfId="5909"/>
    <cellStyle name="Normal 3 2 21" xfId="5910"/>
    <cellStyle name="Normal 3 2 21 10" xfId="5911"/>
    <cellStyle name="Normal 3 2 21 11" xfId="5912"/>
    <cellStyle name="Normal 3 2 21 12" xfId="5913"/>
    <cellStyle name="Normal 3 2 21 13" xfId="5914"/>
    <cellStyle name="Normal 3 2 21 14" xfId="5915"/>
    <cellStyle name="Normal 3 2 21 15" xfId="5916"/>
    <cellStyle name="Normal 3 2 21 16" xfId="5917"/>
    <cellStyle name="Normal 3 2 21 17" xfId="5918"/>
    <cellStyle name="Normal 3 2 21 2" xfId="5919"/>
    <cellStyle name="Normal 3 2 21 3" xfId="5920"/>
    <cellStyle name="Normal 3 2 21 4" xfId="5921"/>
    <cellStyle name="Normal 3 2 21 5" xfId="5922"/>
    <cellStyle name="Normal 3 2 21 6" xfId="5923"/>
    <cellStyle name="Normal 3 2 21 7" xfId="5924"/>
    <cellStyle name="Normal 3 2 21 8" xfId="5925"/>
    <cellStyle name="Normal 3 2 21 9" xfId="5926"/>
    <cellStyle name="Normal 3 2 22" xfId="5927"/>
    <cellStyle name="Normal 3 2 22 10" xfId="5928"/>
    <cellStyle name="Normal 3 2 22 11" xfId="5929"/>
    <cellStyle name="Normal 3 2 22 12" xfId="5930"/>
    <cellStyle name="Normal 3 2 22 13" xfId="5931"/>
    <cellStyle name="Normal 3 2 22 14" xfId="5932"/>
    <cellStyle name="Normal 3 2 22 15" xfId="5933"/>
    <cellStyle name="Normal 3 2 22 16" xfId="5934"/>
    <cellStyle name="Normal 3 2 22 17" xfId="5935"/>
    <cellStyle name="Normal 3 2 22 2" xfId="5936"/>
    <cellStyle name="Normal 3 2 22 3" xfId="5937"/>
    <cellStyle name="Normal 3 2 22 4" xfId="5938"/>
    <cellStyle name="Normal 3 2 22 5" xfId="5939"/>
    <cellStyle name="Normal 3 2 22 6" xfId="5940"/>
    <cellStyle name="Normal 3 2 22 7" xfId="5941"/>
    <cellStyle name="Normal 3 2 22 8" xfId="5942"/>
    <cellStyle name="Normal 3 2 22 9" xfId="5943"/>
    <cellStyle name="Normal 3 2 23" xfId="5944"/>
    <cellStyle name="Normal 3 2 23 10" xfId="5945"/>
    <cellStyle name="Normal 3 2 23 11" xfId="5946"/>
    <cellStyle name="Normal 3 2 23 12" xfId="5947"/>
    <cellStyle name="Normal 3 2 23 13" xfId="5948"/>
    <cellStyle name="Normal 3 2 23 14" xfId="5949"/>
    <cellStyle name="Normal 3 2 23 15" xfId="5950"/>
    <cellStyle name="Normal 3 2 23 16" xfId="5951"/>
    <cellStyle name="Normal 3 2 23 17" xfId="5952"/>
    <cellStyle name="Normal 3 2 23 2" xfId="5953"/>
    <cellStyle name="Normal 3 2 23 3" xfId="5954"/>
    <cellStyle name="Normal 3 2 23 4" xfId="5955"/>
    <cellStyle name="Normal 3 2 23 5" xfId="5956"/>
    <cellStyle name="Normal 3 2 23 6" xfId="5957"/>
    <cellStyle name="Normal 3 2 23 7" xfId="5958"/>
    <cellStyle name="Normal 3 2 23 8" xfId="5959"/>
    <cellStyle name="Normal 3 2 23 9" xfId="5960"/>
    <cellStyle name="Normal 3 2 24" xfId="5961"/>
    <cellStyle name="Normal 3 2 24 10" xfId="5962"/>
    <cellStyle name="Normal 3 2 24 11" xfId="5963"/>
    <cellStyle name="Normal 3 2 24 12" xfId="5964"/>
    <cellStyle name="Normal 3 2 24 13" xfId="5965"/>
    <cellStyle name="Normal 3 2 24 14" xfId="5966"/>
    <cellStyle name="Normal 3 2 24 15" xfId="5967"/>
    <cellStyle name="Normal 3 2 24 16" xfId="5968"/>
    <cellStyle name="Normal 3 2 24 17" xfId="5969"/>
    <cellStyle name="Normal 3 2 24 2" xfId="5970"/>
    <cellStyle name="Normal 3 2 24 3" xfId="5971"/>
    <cellStyle name="Normal 3 2 24 4" xfId="5972"/>
    <cellStyle name="Normal 3 2 24 5" xfId="5973"/>
    <cellStyle name="Normal 3 2 24 6" xfId="5974"/>
    <cellStyle name="Normal 3 2 24 7" xfId="5975"/>
    <cellStyle name="Normal 3 2 24 8" xfId="5976"/>
    <cellStyle name="Normal 3 2 24 9" xfId="5977"/>
    <cellStyle name="Normal 3 2 25" xfId="5978"/>
    <cellStyle name="Normal 3 2 25 10" xfId="5979"/>
    <cellStyle name="Normal 3 2 25 11" xfId="5980"/>
    <cellStyle name="Normal 3 2 25 12" xfId="5981"/>
    <cellStyle name="Normal 3 2 25 13" xfId="5982"/>
    <cellStyle name="Normal 3 2 25 14" xfId="5983"/>
    <cellStyle name="Normal 3 2 25 15" xfId="5984"/>
    <cellStyle name="Normal 3 2 25 16" xfId="5985"/>
    <cellStyle name="Normal 3 2 25 17" xfId="5986"/>
    <cellStyle name="Normal 3 2 25 2" xfId="5987"/>
    <cellStyle name="Normal 3 2 25 3" xfId="5988"/>
    <cellStyle name="Normal 3 2 25 4" xfId="5989"/>
    <cellStyle name="Normal 3 2 25 5" xfId="5990"/>
    <cellStyle name="Normal 3 2 25 6" xfId="5991"/>
    <cellStyle name="Normal 3 2 25 7" xfId="5992"/>
    <cellStyle name="Normal 3 2 25 8" xfId="5993"/>
    <cellStyle name="Normal 3 2 25 9" xfId="5994"/>
    <cellStyle name="Normal 3 2 26" xfId="5995"/>
    <cellStyle name="Normal 3 2 26 10" xfId="5996"/>
    <cellStyle name="Normal 3 2 26 11" xfId="5997"/>
    <cellStyle name="Normal 3 2 26 12" xfId="5998"/>
    <cellStyle name="Normal 3 2 26 13" xfId="5999"/>
    <cellStyle name="Normal 3 2 26 14" xfId="6000"/>
    <cellStyle name="Normal 3 2 26 15" xfId="6001"/>
    <cellStyle name="Normal 3 2 26 16" xfId="6002"/>
    <cellStyle name="Normal 3 2 26 17" xfId="6003"/>
    <cellStyle name="Normal 3 2 26 2" xfId="6004"/>
    <cellStyle name="Normal 3 2 26 3" xfId="6005"/>
    <cellStyle name="Normal 3 2 26 4" xfId="6006"/>
    <cellStyle name="Normal 3 2 26 5" xfId="6007"/>
    <cellStyle name="Normal 3 2 26 6" xfId="6008"/>
    <cellStyle name="Normal 3 2 26 7" xfId="6009"/>
    <cellStyle name="Normal 3 2 26 8" xfId="6010"/>
    <cellStyle name="Normal 3 2 26 9" xfId="6011"/>
    <cellStyle name="Normal 3 2 27" xfId="6012"/>
    <cellStyle name="Normal 3 2 27 10" xfId="6013"/>
    <cellStyle name="Normal 3 2 27 11" xfId="6014"/>
    <cellStyle name="Normal 3 2 27 12" xfId="6015"/>
    <cellStyle name="Normal 3 2 27 13" xfId="6016"/>
    <cellStyle name="Normal 3 2 27 14" xfId="6017"/>
    <cellStyle name="Normal 3 2 27 15" xfId="6018"/>
    <cellStyle name="Normal 3 2 27 16" xfId="6019"/>
    <cellStyle name="Normal 3 2 27 17" xfId="6020"/>
    <cellStyle name="Normal 3 2 27 2" xfId="6021"/>
    <cellStyle name="Normal 3 2 27 3" xfId="6022"/>
    <cellStyle name="Normal 3 2 27 4" xfId="6023"/>
    <cellStyle name="Normal 3 2 27 5" xfId="6024"/>
    <cellStyle name="Normal 3 2 27 6" xfId="6025"/>
    <cellStyle name="Normal 3 2 27 7" xfId="6026"/>
    <cellStyle name="Normal 3 2 27 8" xfId="6027"/>
    <cellStyle name="Normal 3 2 27 9" xfId="6028"/>
    <cellStyle name="Normal 3 2 28" xfId="6029"/>
    <cellStyle name="Normal 3 2 28 10" xfId="6030"/>
    <cellStyle name="Normal 3 2 28 11" xfId="6031"/>
    <cellStyle name="Normal 3 2 28 12" xfId="6032"/>
    <cellStyle name="Normal 3 2 28 13" xfId="6033"/>
    <cellStyle name="Normal 3 2 28 14" xfId="6034"/>
    <cellStyle name="Normal 3 2 28 15" xfId="6035"/>
    <cellStyle name="Normal 3 2 28 16" xfId="6036"/>
    <cellStyle name="Normal 3 2 28 17" xfId="6037"/>
    <cellStyle name="Normal 3 2 28 2" xfId="6038"/>
    <cellStyle name="Normal 3 2 28 3" xfId="6039"/>
    <cellStyle name="Normal 3 2 28 4" xfId="6040"/>
    <cellStyle name="Normal 3 2 28 5" xfId="6041"/>
    <cellStyle name="Normal 3 2 28 6" xfId="6042"/>
    <cellStyle name="Normal 3 2 28 7" xfId="6043"/>
    <cellStyle name="Normal 3 2 28 8" xfId="6044"/>
    <cellStyle name="Normal 3 2 28 9" xfId="6045"/>
    <cellStyle name="Normal 3 2 29" xfId="6046"/>
    <cellStyle name="Normal 3 2 29 10" xfId="6047"/>
    <cellStyle name="Normal 3 2 29 11" xfId="6048"/>
    <cellStyle name="Normal 3 2 29 12" xfId="6049"/>
    <cellStyle name="Normal 3 2 29 13" xfId="6050"/>
    <cellStyle name="Normal 3 2 29 14" xfId="6051"/>
    <cellStyle name="Normal 3 2 29 15" xfId="6052"/>
    <cellStyle name="Normal 3 2 29 16" xfId="6053"/>
    <cellStyle name="Normal 3 2 29 17" xfId="6054"/>
    <cellStyle name="Normal 3 2 29 2" xfId="6055"/>
    <cellStyle name="Normal 3 2 29 3" xfId="6056"/>
    <cellStyle name="Normal 3 2 29 4" xfId="6057"/>
    <cellStyle name="Normal 3 2 29 5" xfId="6058"/>
    <cellStyle name="Normal 3 2 29 6" xfId="6059"/>
    <cellStyle name="Normal 3 2 29 7" xfId="6060"/>
    <cellStyle name="Normal 3 2 29 8" xfId="6061"/>
    <cellStyle name="Normal 3 2 29 9" xfId="6062"/>
    <cellStyle name="Normal 3 2 3" xfId="6063"/>
    <cellStyle name="Normal 3 2 3 10" xfId="6064"/>
    <cellStyle name="Normal 3 2 3 11" xfId="6065"/>
    <cellStyle name="Normal 3 2 3 12" xfId="6066"/>
    <cellStyle name="Normal 3 2 3 13" xfId="6067"/>
    <cellStyle name="Normal 3 2 3 14" xfId="6068"/>
    <cellStyle name="Normal 3 2 3 15" xfId="6069"/>
    <cellStyle name="Normal 3 2 3 16" xfId="6070"/>
    <cellStyle name="Normal 3 2 3 17" xfId="6071"/>
    <cellStyle name="Normal 3 2 3 2" xfId="6072"/>
    <cellStyle name="Normal 3 2 3 3" xfId="6073"/>
    <cellStyle name="Normal 3 2 3 4" xfId="6074"/>
    <cellStyle name="Normal 3 2 3 5" xfId="6075"/>
    <cellStyle name="Normal 3 2 3 6" xfId="6076"/>
    <cellStyle name="Normal 3 2 3 7" xfId="6077"/>
    <cellStyle name="Normal 3 2 3 8" xfId="6078"/>
    <cellStyle name="Normal 3 2 3 9" xfId="6079"/>
    <cellStyle name="Normal 3 2 30" xfId="6080"/>
    <cellStyle name="Normal 3 2 30 10" xfId="6081"/>
    <cellStyle name="Normal 3 2 30 11" xfId="6082"/>
    <cellStyle name="Normal 3 2 30 12" xfId="6083"/>
    <cellStyle name="Normal 3 2 30 13" xfId="6084"/>
    <cellStyle name="Normal 3 2 30 14" xfId="6085"/>
    <cellStyle name="Normal 3 2 30 15" xfId="6086"/>
    <cellStyle name="Normal 3 2 30 16" xfId="6087"/>
    <cellStyle name="Normal 3 2 30 17" xfId="6088"/>
    <cellStyle name="Normal 3 2 30 2" xfId="6089"/>
    <cellStyle name="Normal 3 2 30 3" xfId="6090"/>
    <cellStyle name="Normal 3 2 30 4" xfId="6091"/>
    <cellStyle name="Normal 3 2 30 5" xfId="6092"/>
    <cellStyle name="Normal 3 2 30 6" xfId="6093"/>
    <cellStyle name="Normal 3 2 30 7" xfId="6094"/>
    <cellStyle name="Normal 3 2 30 8" xfId="6095"/>
    <cellStyle name="Normal 3 2 30 9" xfId="6096"/>
    <cellStyle name="Normal 3 2 31" xfId="6097"/>
    <cellStyle name="Normal 3 2 32" xfId="6098"/>
    <cellStyle name="Normal 3 2 32 10" xfId="6099"/>
    <cellStyle name="Normal 3 2 32 11" xfId="6100"/>
    <cellStyle name="Normal 3 2 32 12" xfId="6101"/>
    <cellStyle name="Normal 3 2 32 13" xfId="6102"/>
    <cellStyle name="Normal 3 2 32 2" xfId="6103"/>
    <cellStyle name="Normal 3 2 32 3" xfId="6104"/>
    <cellStyle name="Normal 3 2 32 4" xfId="6105"/>
    <cellStyle name="Normal 3 2 32 5" xfId="6106"/>
    <cellStyle name="Normal 3 2 32 6" xfId="6107"/>
    <cellStyle name="Normal 3 2 32 7" xfId="6108"/>
    <cellStyle name="Normal 3 2 32 8" xfId="6109"/>
    <cellStyle name="Normal 3 2 32 9" xfId="6110"/>
    <cellStyle name="Normal 3 2 33" xfId="6111"/>
    <cellStyle name="Normal 3 2 33 10" xfId="6112"/>
    <cellStyle name="Normal 3 2 33 11" xfId="6113"/>
    <cellStyle name="Normal 3 2 33 12" xfId="6114"/>
    <cellStyle name="Normal 3 2 33 13" xfId="6115"/>
    <cellStyle name="Normal 3 2 33 2" xfId="6116"/>
    <cellStyle name="Normal 3 2 33 3" xfId="6117"/>
    <cellStyle name="Normal 3 2 33 4" xfId="6118"/>
    <cellStyle name="Normal 3 2 33 5" xfId="6119"/>
    <cellStyle name="Normal 3 2 33 6" xfId="6120"/>
    <cellStyle name="Normal 3 2 33 7" xfId="6121"/>
    <cellStyle name="Normal 3 2 33 8" xfId="6122"/>
    <cellStyle name="Normal 3 2 33 9" xfId="6123"/>
    <cellStyle name="Normal 3 2 34" xfId="6124"/>
    <cellStyle name="Normal 3 2 34 10" xfId="6125"/>
    <cellStyle name="Normal 3 2 34 11" xfId="6126"/>
    <cellStyle name="Normal 3 2 34 12" xfId="6127"/>
    <cellStyle name="Normal 3 2 34 13" xfId="6128"/>
    <cellStyle name="Normal 3 2 34 2" xfId="6129"/>
    <cellStyle name="Normal 3 2 34 3" xfId="6130"/>
    <cellStyle name="Normal 3 2 34 4" xfId="6131"/>
    <cellStyle name="Normal 3 2 34 5" xfId="6132"/>
    <cellStyle name="Normal 3 2 34 6" xfId="6133"/>
    <cellStyle name="Normal 3 2 34 7" xfId="6134"/>
    <cellStyle name="Normal 3 2 34 8" xfId="6135"/>
    <cellStyle name="Normal 3 2 34 9" xfId="6136"/>
    <cellStyle name="Normal 3 2 35" xfId="6137"/>
    <cellStyle name="Normal 3 2 35 10" xfId="6138"/>
    <cellStyle name="Normal 3 2 35 11" xfId="6139"/>
    <cellStyle name="Normal 3 2 35 12" xfId="6140"/>
    <cellStyle name="Normal 3 2 35 13" xfId="6141"/>
    <cellStyle name="Normal 3 2 35 2" xfId="6142"/>
    <cellStyle name="Normal 3 2 35 3" xfId="6143"/>
    <cellStyle name="Normal 3 2 35 4" xfId="6144"/>
    <cellStyle name="Normal 3 2 35 5" xfId="6145"/>
    <cellStyle name="Normal 3 2 35 6" xfId="6146"/>
    <cellStyle name="Normal 3 2 35 7" xfId="6147"/>
    <cellStyle name="Normal 3 2 35 8" xfId="6148"/>
    <cellStyle name="Normal 3 2 35 9" xfId="6149"/>
    <cellStyle name="Normal 3 2 36" xfId="6150"/>
    <cellStyle name="Normal 3 2 37" xfId="6151"/>
    <cellStyle name="Normal 3 2 38" xfId="6152"/>
    <cellStyle name="Normal 3 2 39" xfId="6153"/>
    <cellStyle name="Normal 3 2 4" xfId="6154"/>
    <cellStyle name="Normal 3 2 4 10" xfId="6155"/>
    <cellStyle name="Normal 3 2 4 11" xfId="6156"/>
    <cellStyle name="Normal 3 2 4 12" xfId="6157"/>
    <cellStyle name="Normal 3 2 4 13" xfId="6158"/>
    <cellStyle name="Normal 3 2 4 14" xfId="6159"/>
    <cellStyle name="Normal 3 2 4 15" xfId="6160"/>
    <cellStyle name="Normal 3 2 4 16" xfId="6161"/>
    <cellStyle name="Normal 3 2 4 17" xfId="6162"/>
    <cellStyle name="Normal 3 2 4 2" xfId="6163"/>
    <cellStyle name="Normal 3 2 4 3" xfId="6164"/>
    <cellStyle name="Normal 3 2 4 4" xfId="6165"/>
    <cellStyle name="Normal 3 2 4 5" xfId="6166"/>
    <cellStyle name="Normal 3 2 4 6" xfId="6167"/>
    <cellStyle name="Normal 3 2 4 7" xfId="6168"/>
    <cellStyle name="Normal 3 2 4 8" xfId="6169"/>
    <cellStyle name="Normal 3 2 4 9" xfId="6170"/>
    <cellStyle name="Normal 3 2 40" xfId="6171"/>
    <cellStyle name="Normal 3 2 41" xfId="6172"/>
    <cellStyle name="Normal 3 2 42" xfId="6173"/>
    <cellStyle name="Normal 3 2 43" xfId="6174"/>
    <cellStyle name="Normal 3 2 44" xfId="6175"/>
    <cellStyle name="Normal 3 2 45" xfId="6176"/>
    <cellStyle name="Normal 3 2 46" xfId="6177"/>
    <cellStyle name="Normal 3 2 47" xfId="6178"/>
    <cellStyle name="Normal 3 2 48" xfId="6179"/>
    <cellStyle name="Normal 3 2 49" xfId="6180"/>
    <cellStyle name="Normal 3 2 5" xfId="6181"/>
    <cellStyle name="Normal 3 2 5 10" xfId="6182"/>
    <cellStyle name="Normal 3 2 5 11" xfId="6183"/>
    <cellStyle name="Normal 3 2 5 12" xfId="6184"/>
    <cellStyle name="Normal 3 2 5 13" xfId="6185"/>
    <cellStyle name="Normal 3 2 5 14" xfId="6186"/>
    <cellStyle name="Normal 3 2 5 15" xfId="6187"/>
    <cellStyle name="Normal 3 2 5 16" xfId="6188"/>
    <cellStyle name="Normal 3 2 5 17" xfId="6189"/>
    <cellStyle name="Normal 3 2 5 2" xfId="6190"/>
    <cellStyle name="Normal 3 2 5 3" xfId="6191"/>
    <cellStyle name="Normal 3 2 5 4" xfId="6192"/>
    <cellStyle name="Normal 3 2 5 5" xfId="6193"/>
    <cellStyle name="Normal 3 2 5 6" xfId="6194"/>
    <cellStyle name="Normal 3 2 5 7" xfId="6195"/>
    <cellStyle name="Normal 3 2 5 8" xfId="6196"/>
    <cellStyle name="Normal 3 2 5 9" xfId="6197"/>
    <cellStyle name="Normal 3 2 50" xfId="6198"/>
    <cellStyle name="Normal 3 2 51" xfId="6199"/>
    <cellStyle name="Normal 3 2 52" xfId="6200"/>
    <cellStyle name="Normal 3 2 53" xfId="6201"/>
    <cellStyle name="Normal 3 2 54" xfId="6202"/>
    <cellStyle name="Normal 3 2 55" xfId="6203"/>
    <cellStyle name="Normal 3 2 56" xfId="6204"/>
    <cellStyle name="Normal 3 2 57" xfId="6205"/>
    <cellStyle name="Normal 3 2 58" xfId="6206"/>
    <cellStyle name="Normal 3 2 59" xfId="6207"/>
    <cellStyle name="Normal 3 2 6" xfId="6208"/>
    <cellStyle name="Normal 3 2 6 10" xfId="6209"/>
    <cellStyle name="Normal 3 2 6 11" xfId="6210"/>
    <cellStyle name="Normal 3 2 6 12" xfId="6211"/>
    <cellStyle name="Normal 3 2 6 13" xfId="6212"/>
    <cellStyle name="Normal 3 2 6 14" xfId="6213"/>
    <cellStyle name="Normal 3 2 6 15" xfId="6214"/>
    <cellStyle name="Normal 3 2 6 16" xfId="6215"/>
    <cellStyle name="Normal 3 2 6 17" xfId="6216"/>
    <cellStyle name="Normal 3 2 6 2" xfId="6217"/>
    <cellStyle name="Normal 3 2 6 3" xfId="6218"/>
    <cellStyle name="Normal 3 2 6 4" xfId="6219"/>
    <cellStyle name="Normal 3 2 6 5" xfId="6220"/>
    <cellStyle name="Normal 3 2 6 6" xfId="6221"/>
    <cellStyle name="Normal 3 2 6 7" xfId="6222"/>
    <cellStyle name="Normal 3 2 6 8" xfId="6223"/>
    <cellStyle name="Normal 3 2 6 9" xfId="6224"/>
    <cellStyle name="Normal 3 2 60" xfId="6225"/>
    <cellStyle name="Normal 3 2 61" xfId="6226"/>
    <cellStyle name="Normal 3 2 62" xfId="6227"/>
    <cellStyle name="Normal 3 2 63" xfId="6228"/>
    <cellStyle name="Normal 3 2 64" xfId="6229"/>
    <cellStyle name="Normal 3 2 65" xfId="6230"/>
    <cellStyle name="Normal 3 2 66" xfId="6231"/>
    <cellStyle name="Normal 3 2 67" xfId="6232"/>
    <cellStyle name="Normal 3 2 68" xfId="6233"/>
    <cellStyle name="Normal 3 2 69" xfId="6234"/>
    <cellStyle name="Normal 3 2 7" xfId="6235"/>
    <cellStyle name="Normal 3 2 7 10" xfId="6236"/>
    <cellStyle name="Normal 3 2 7 11" xfId="6237"/>
    <cellStyle name="Normal 3 2 7 12" xfId="6238"/>
    <cellStyle name="Normal 3 2 7 13" xfId="6239"/>
    <cellStyle name="Normal 3 2 7 14" xfId="6240"/>
    <cellStyle name="Normal 3 2 7 15" xfId="6241"/>
    <cellStyle name="Normal 3 2 7 16" xfId="6242"/>
    <cellStyle name="Normal 3 2 7 17" xfId="6243"/>
    <cellStyle name="Normal 3 2 7 2" xfId="6244"/>
    <cellStyle name="Normal 3 2 7 3" xfId="6245"/>
    <cellStyle name="Normal 3 2 7 4" xfId="6246"/>
    <cellStyle name="Normal 3 2 7 5" xfId="6247"/>
    <cellStyle name="Normal 3 2 7 6" xfId="6248"/>
    <cellStyle name="Normal 3 2 7 7" xfId="6249"/>
    <cellStyle name="Normal 3 2 7 8" xfId="6250"/>
    <cellStyle name="Normal 3 2 7 9" xfId="6251"/>
    <cellStyle name="Normal 3 2 70" xfId="6252"/>
    <cellStyle name="Normal 3 2 71" xfId="6253"/>
    <cellStyle name="Normal 3 2 72" xfId="6254"/>
    <cellStyle name="Normal 3 2 73" xfId="6255"/>
    <cellStyle name="Normal 3 2 74" xfId="6256"/>
    <cellStyle name="Normal 3 2 75" xfId="6257"/>
    <cellStyle name="Normal 3 2 76" xfId="6258"/>
    <cellStyle name="Normal 3 2 77" xfId="6259"/>
    <cellStyle name="Normal 3 2 8" xfId="6260"/>
    <cellStyle name="Normal 3 2 8 10" xfId="6261"/>
    <cellStyle name="Normal 3 2 8 11" xfId="6262"/>
    <cellStyle name="Normal 3 2 8 12" xfId="6263"/>
    <cellStyle name="Normal 3 2 8 13" xfId="6264"/>
    <cellStyle name="Normal 3 2 8 14" xfId="6265"/>
    <cellStyle name="Normal 3 2 8 15" xfId="6266"/>
    <cellStyle name="Normal 3 2 8 16" xfId="6267"/>
    <cellStyle name="Normal 3 2 8 17" xfId="6268"/>
    <cellStyle name="Normal 3 2 8 2" xfId="6269"/>
    <cellStyle name="Normal 3 2 8 3" xfId="6270"/>
    <cellStyle name="Normal 3 2 8 4" xfId="6271"/>
    <cellStyle name="Normal 3 2 8 5" xfId="6272"/>
    <cellStyle name="Normal 3 2 8 6" xfId="6273"/>
    <cellStyle name="Normal 3 2 8 7" xfId="6274"/>
    <cellStyle name="Normal 3 2 8 8" xfId="6275"/>
    <cellStyle name="Normal 3 2 8 9" xfId="6276"/>
    <cellStyle name="Normal 3 2 9" xfId="6277"/>
    <cellStyle name="Normal 3 2 9 10" xfId="6278"/>
    <cellStyle name="Normal 3 2 9 11" xfId="6279"/>
    <cellStyle name="Normal 3 2 9 12" xfId="6280"/>
    <cellStyle name="Normal 3 2 9 13" xfId="6281"/>
    <cellStyle name="Normal 3 2 9 14" xfId="6282"/>
    <cellStyle name="Normal 3 2 9 15" xfId="6283"/>
    <cellStyle name="Normal 3 2 9 16" xfId="6284"/>
    <cellStyle name="Normal 3 2 9 17" xfId="6285"/>
    <cellStyle name="Normal 3 2 9 2" xfId="6286"/>
    <cellStyle name="Normal 3 2 9 3" xfId="6287"/>
    <cellStyle name="Normal 3 2 9 4" xfId="6288"/>
    <cellStyle name="Normal 3 2 9 5" xfId="6289"/>
    <cellStyle name="Normal 3 2 9 6" xfId="6290"/>
    <cellStyle name="Normal 3 2 9 7" xfId="6291"/>
    <cellStyle name="Normal 3 2 9 8" xfId="6292"/>
    <cellStyle name="Normal 3 2 9 9" xfId="6293"/>
    <cellStyle name="Normal 3 20" xfId="6294"/>
    <cellStyle name="Normal 3 20 10" xfId="6295"/>
    <cellStyle name="Normal 3 20 11" xfId="6296"/>
    <cellStyle name="Normal 3 20 12" xfId="6297"/>
    <cellStyle name="Normal 3 20 13" xfId="6298"/>
    <cellStyle name="Normal 3 20 14" xfId="6299"/>
    <cellStyle name="Normal 3 20 15" xfId="6300"/>
    <cellStyle name="Normal 3 20 16" xfId="6301"/>
    <cellStyle name="Normal 3 20 17" xfId="6302"/>
    <cellStyle name="Normal 3 20 2" xfId="6303"/>
    <cellStyle name="Normal 3 20 3" xfId="6304"/>
    <cellStyle name="Normal 3 20 4" xfId="6305"/>
    <cellStyle name="Normal 3 20 5" xfId="6306"/>
    <cellStyle name="Normal 3 20 6" xfId="6307"/>
    <cellStyle name="Normal 3 20 7" xfId="6308"/>
    <cellStyle name="Normal 3 20 8" xfId="6309"/>
    <cellStyle name="Normal 3 20 9" xfId="6310"/>
    <cellStyle name="Normal 3 21" xfId="6311"/>
    <cellStyle name="Normal 3 21 10" xfId="6312"/>
    <cellStyle name="Normal 3 21 11" xfId="6313"/>
    <cellStyle name="Normal 3 21 12" xfId="6314"/>
    <cellStyle name="Normal 3 21 13" xfId="6315"/>
    <cellStyle name="Normal 3 21 14" xfId="6316"/>
    <cellStyle name="Normal 3 21 15" xfId="6317"/>
    <cellStyle name="Normal 3 21 16" xfId="6318"/>
    <cellStyle name="Normal 3 21 17" xfId="6319"/>
    <cellStyle name="Normal 3 21 2" xfId="6320"/>
    <cellStyle name="Normal 3 21 3" xfId="6321"/>
    <cellStyle name="Normal 3 21 4" xfId="6322"/>
    <cellStyle name="Normal 3 21 5" xfId="6323"/>
    <cellStyle name="Normal 3 21 6" xfId="6324"/>
    <cellStyle name="Normal 3 21 7" xfId="6325"/>
    <cellStyle name="Normal 3 21 8" xfId="6326"/>
    <cellStyle name="Normal 3 21 9" xfId="6327"/>
    <cellStyle name="Normal 3 22" xfId="6328"/>
    <cellStyle name="Normal 3 22 10" xfId="6329"/>
    <cellStyle name="Normal 3 22 11" xfId="6330"/>
    <cellStyle name="Normal 3 22 12" xfId="6331"/>
    <cellStyle name="Normal 3 22 13" xfId="6332"/>
    <cellStyle name="Normal 3 22 14" xfId="6333"/>
    <cellStyle name="Normal 3 22 15" xfId="6334"/>
    <cellStyle name="Normal 3 22 16" xfId="6335"/>
    <cellStyle name="Normal 3 22 17" xfId="6336"/>
    <cellStyle name="Normal 3 22 2" xfId="6337"/>
    <cellStyle name="Normal 3 22 3" xfId="6338"/>
    <cellStyle name="Normal 3 22 4" xfId="6339"/>
    <cellStyle name="Normal 3 22 5" xfId="6340"/>
    <cellStyle name="Normal 3 22 6" xfId="6341"/>
    <cellStyle name="Normal 3 22 7" xfId="6342"/>
    <cellStyle name="Normal 3 22 8" xfId="6343"/>
    <cellStyle name="Normal 3 22 9" xfId="6344"/>
    <cellStyle name="Normal 3 23" xfId="6345"/>
    <cellStyle name="Normal 3 23 10" xfId="6346"/>
    <cellStyle name="Normal 3 23 11" xfId="6347"/>
    <cellStyle name="Normal 3 23 12" xfId="6348"/>
    <cellStyle name="Normal 3 23 13" xfId="6349"/>
    <cellStyle name="Normal 3 23 14" xfId="6350"/>
    <cellStyle name="Normal 3 23 15" xfId="6351"/>
    <cellStyle name="Normal 3 23 16" xfId="6352"/>
    <cellStyle name="Normal 3 23 17" xfId="6353"/>
    <cellStyle name="Normal 3 23 2" xfId="6354"/>
    <cellStyle name="Normal 3 23 3" xfId="6355"/>
    <cellStyle name="Normal 3 23 4" xfId="6356"/>
    <cellStyle name="Normal 3 23 5" xfId="6357"/>
    <cellStyle name="Normal 3 23 6" xfId="6358"/>
    <cellStyle name="Normal 3 23 7" xfId="6359"/>
    <cellStyle name="Normal 3 23 8" xfId="6360"/>
    <cellStyle name="Normal 3 23 9" xfId="6361"/>
    <cellStyle name="Normal 3 24" xfId="6362"/>
    <cellStyle name="Normal 3 24 10" xfId="6363"/>
    <cellStyle name="Normal 3 24 11" xfId="6364"/>
    <cellStyle name="Normal 3 24 12" xfId="6365"/>
    <cellStyle name="Normal 3 24 13" xfId="6366"/>
    <cellStyle name="Normal 3 24 14" xfId="6367"/>
    <cellStyle name="Normal 3 24 15" xfId="6368"/>
    <cellStyle name="Normal 3 24 16" xfId="6369"/>
    <cellStyle name="Normal 3 24 17" xfId="6370"/>
    <cellStyle name="Normal 3 24 2" xfId="6371"/>
    <cellStyle name="Normal 3 24 3" xfId="6372"/>
    <cellStyle name="Normal 3 24 4" xfId="6373"/>
    <cellStyle name="Normal 3 24 5" xfId="6374"/>
    <cellStyle name="Normal 3 24 6" xfId="6375"/>
    <cellStyle name="Normal 3 24 7" xfId="6376"/>
    <cellStyle name="Normal 3 24 8" xfId="6377"/>
    <cellStyle name="Normal 3 24 9" xfId="6378"/>
    <cellStyle name="Normal 3 25" xfId="6379"/>
    <cellStyle name="Normal 3 25 10" xfId="6380"/>
    <cellStyle name="Normal 3 25 11" xfId="6381"/>
    <cellStyle name="Normal 3 25 12" xfId="6382"/>
    <cellStyle name="Normal 3 25 13" xfId="6383"/>
    <cellStyle name="Normal 3 25 14" xfId="6384"/>
    <cellStyle name="Normal 3 25 15" xfId="6385"/>
    <cellStyle name="Normal 3 25 16" xfId="6386"/>
    <cellStyle name="Normal 3 25 17" xfId="6387"/>
    <cellStyle name="Normal 3 25 2" xfId="6388"/>
    <cellStyle name="Normal 3 25 3" xfId="6389"/>
    <cellStyle name="Normal 3 25 4" xfId="6390"/>
    <cellStyle name="Normal 3 25 5" xfId="6391"/>
    <cellStyle name="Normal 3 25 6" xfId="6392"/>
    <cellStyle name="Normal 3 25 7" xfId="6393"/>
    <cellStyle name="Normal 3 25 8" xfId="6394"/>
    <cellStyle name="Normal 3 25 9" xfId="6395"/>
    <cellStyle name="Normal 3 26" xfId="6396"/>
    <cellStyle name="Normal 3 26 10" xfId="6397"/>
    <cellStyle name="Normal 3 26 11" xfId="6398"/>
    <cellStyle name="Normal 3 26 12" xfId="6399"/>
    <cellStyle name="Normal 3 26 13" xfId="6400"/>
    <cellStyle name="Normal 3 26 14" xfId="6401"/>
    <cellStyle name="Normal 3 26 15" xfId="6402"/>
    <cellStyle name="Normal 3 26 16" xfId="6403"/>
    <cellStyle name="Normal 3 26 17" xfId="6404"/>
    <cellStyle name="Normal 3 26 2" xfId="6405"/>
    <cellStyle name="Normal 3 26 3" xfId="6406"/>
    <cellStyle name="Normal 3 26 4" xfId="6407"/>
    <cellStyle name="Normal 3 26 5" xfId="6408"/>
    <cellStyle name="Normal 3 26 6" xfId="6409"/>
    <cellStyle name="Normal 3 26 7" xfId="6410"/>
    <cellStyle name="Normal 3 26 8" xfId="6411"/>
    <cellStyle name="Normal 3 26 9" xfId="6412"/>
    <cellStyle name="Normal 3 27" xfId="6413"/>
    <cellStyle name="Normal 3 27 10" xfId="6414"/>
    <cellStyle name="Normal 3 27 11" xfId="6415"/>
    <cellStyle name="Normal 3 27 12" xfId="6416"/>
    <cellStyle name="Normal 3 27 13" xfId="6417"/>
    <cellStyle name="Normal 3 27 14" xfId="6418"/>
    <cellStyle name="Normal 3 27 15" xfId="6419"/>
    <cellStyle name="Normal 3 27 16" xfId="6420"/>
    <cellStyle name="Normal 3 27 17" xfId="6421"/>
    <cellStyle name="Normal 3 27 2" xfId="6422"/>
    <cellStyle name="Normal 3 27 3" xfId="6423"/>
    <cellStyle name="Normal 3 27 4" xfId="6424"/>
    <cellStyle name="Normal 3 27 5" xfId="6425"/>
    <cellStyle name="Normal 3 27 6" xfId="6426"/>
    <cellStyle name="Normal 3 27 7" xfId="6427"/>
    <cellStyle name="Normal 3 27 8" xfId="6428"/>
    <cellStyle name="Normal 3 27 9" xfId="6429"/>
    <cellStyle name="Normal 3 28" xfId="6430"/>
    <cellStyle name="Normal 3 28 10" xfId="6431"/>
    <cellStyle name="Normal 3 28 11" xfId="6432"/>
    <cellStyle name="Normal 3 28 12" xfId="6433"/>
    <cellStyle name="Normal 3 28 13" xfId="6434"/>
    <cellStyle name="Normal 3 28 14" xfId="6435"/>
    <cellStyle name="Normal 3 28 15" xfId="6436"/>
    <cellStyle name="Normal 3 28 16" xfId="6437"/>
    <cellStyle name="Normal 3 28 17" xfId="6438"/>
    <cellStyle name="Normal 3 28 2" xfId="6439"/>
    <cellStyle name="Normal 3 28 3" xfId="6440"/>
    <cellStyle name="Normal 3 28 4" xfId="6441"/>
    <cellStyle name="Normal 3 28 5" xfId="6442"/>
    <cellStyle name="Normal 3 28 6" xfId="6443"/>
    <cellStyle name="Normal 3 28 7" xfId="6444"/>
    <cellStyle name="Normal 3 28 8" xfId="6445"/>
    <cellStyle name="Normal 3 28 9" xfId="6446"/>
    <cellStyle name="Normal 3 29" xfId="6447"/>
    <cellStyle name="Normal 3 29 10" xfId="6448"/>
    <cellStyle name="Normal 3 29 11" xfId="6449"/>
    <cellStyle name="Normal 3 29 12" xfId="6450"/>
    <cellStyle name="Normal 3 29 13" xfId="6451"/>
    <cellStyle name="Normal 3 29 14" xfId="6452"/>
    <cellStyle name="Normal 3 29 15" xfId="6453"/>
    <cellStyle name="Normal 3 29 16" xfId="6454"/>
    <cellStyle name="Normal 3 29 17" xfId="6455"/>
    <cellStyle name="Normal 3 29 2" xfId="6456"/>
    <cellStyle name="Normal 3 29 3" xfId="6457"/>
    <cellStyle name="Normal 3 29 4" xfId="6458"/>
    <cellStyle name="Normal 3 29 5" xfId="6459"/>
    <cellStyle name="Normal 3 29 6" xfId="6460"/>
    <cellStyle name="Normal 3 29 7" xfId="6461"/>
    <cellStyle name="Normal 3 29 8" xfId="6462"/>
    <cellStyle name="Normal 3 29 9" xfId="6463"/>
    <cellStyle name="Normal 3 3" xfId="128"/>
    <cellStyle name="Normal 3 3 10" xfId="6464"/>
    <cellStyle name="Normal 3 3 10 2" xfId="6465"/>
    <cellStyle name="Normal 3 3 10 3" xfId="6466"/>
    <cellStyle name="Normal 3 3 10 4" xfId="6467"/>
    <cellStyle name="Normal 3 3 10 5" xfId="6468"/>
    <cellStyle name="Normal 3 3 11" xfId="6469"/>
    <cellStyle name="Normal 3 3 11 2" xfId="6470"/>
    <cellStyle name="Normal 3 3 11 3" xfId="6471"/>
    <cellStyle name="Normal 3 3 11 4" xfId="6472"/>
    <cellStyle name="Normal 3 3 11 5" xfId="6473"/>
    <cellStyle name="Normal 3 3 12" xfId="6474"/>
    <cellStyle name="Normal 3 3 12 2" xfId="6475"/>
    <cellStyle name="Normal 3 3 12 3" xfId="6476"/>
    <cellStyle name="Normal 3 3 12 4" xfId="6477"/>
    <cellStyle name="Normal 3 3 12 5" xfId="6478"/>
    <cellStyle name="Normal 3 3 13" xfId="6479"/>
    <cellStyle name="Normal 3 3 13 2" xfId="6480"/>
    <cellStyle name="Normal 3 3 13 3" xfId="6481"/>
    <cellStyle name="Normal 3 3 13 4" xfId="6482"/>
    <cellStyle name="Normal 3 3 13 5" xfId="6483"/>
    <cellStyle name="Normal 3 3 14" xfId="6484"/>
    <cellStyle name="Normal 3 3 14 2" xfId="6485"/>
    <cellStyle name="Normal 3 3 14 3" xfId="6486"/>
    <cellStyle name="Normal 3 3 14 4" xfId="6487"/>
    <cellStyle name="Normal 3 3 14 5" xfId="6488"/>
    <cellStyle name="Normal 3 3 15" xfId="6489"/>
    <cellStyle name="Normal 3 3 15 2" xfId="6490"/>
    <cellStyle name="Normal 3 3 15 3" xfId="6491"/>
    <cellStyle name="Normal 3 3 15 4" xfId="6492"/>
    <cellStyle name="Normal 3 3 15 5" xfId="6493"/>
    <cellStyle name="Normal 3 3 16" xfId="6494"/>
    <cellStyle name="Normal 3 3 16 2" xfId="6495"/>
    <cellStyle name="Normal 3 3 16 3" xfId="6496"/>
    <cellStyle name="Normal 3 3 16 4" xfId="6497"/>
    <cellStyle name="Normal 3 3 16 5" xfId="6498"/>
    <cellStyle name="Normal 3 3 17" xfId="6499"/>
    <cellStyle name="Normal 3 3 17 2" xfId="6500"/>
    <cellStyle name="Normal 3 3 17 3" xfId="6501"/>
    <cellStyle name="Normal 3 3 17 4" xfId="6502"/>
    <cellStyle name="Normal 3 3 17 5" xfId="6503"/>
    <cellStyle name="Normal 3 3 18" xfId="6504"/>
    <cellStyle name="Normal 3 3 18 2" xfId="6505"/>
    <cellStyle name="Normal 3 3 18 3" xfId="6506"/>
    <cellStyle name="Normal 3 3 18 4" xfId="6507"/>
    <cellStyle name="Normal 3 3 18 5" xfId="6508"/>
    <cellStyle name="Normal 3 3 19" xfId="6509"/>
    <cellStyle name="Normal 3 3 19 2" xfId="6510"/>
    <cellStyle name="Normal 3 3 19 3" xfId="6511"/>
    <cellStyle name="Normal 3 3 19 4" xfId="6512"/>
    <cellStyle name="Normal 3 3 19 5" xfId="6513"/>
    <cellStyle name="Normal 3 3 2" xfId="6514"/>
    <cellStyle name="Normal 3 3 2 2" xfId="6515"/>
    <cellStyle name="Normal 3 3 2 3" xfId="6516"/>
    <cellStyle name="Normal 3 3 2 4" xfId="6517"/>
    <cellStyle name="Normal 3 3 2 5" xfId="6518"/>
    <cellStyle name="Normal 3 3 20" xfId="6519"/>
    <cellStyle name="Normal 3 3 20 2" xfId="6520"/>
    <cellStyle name="Normal 3 3 20 3" xfId="6521"/>
    <cellStyle name="Normal 3 3 20 4" xfId="6522"/>
    <cellStyle name="Normal 3 3 20 5" xfId="6523"/>
    <cellStyle name="Normal 3 3 21" xfId="6524"/>
    <cellStyle name="Normal 3 3 21 2" xfId="6525"/>
    <cellStyle name="Normal 3 3 21 3" xfId="6526"/>
    <cellStyle name="Normal 3 3 21 4" xfId="6527"/>
    <cellStyle name="Normal 3 3 21 5" xfId="6528"/>
    <cellStyle name="Normal 3 3 22" xfId="6529"/>
    <cellStyle name="Normal 3 3 22 2" xfId="6530"/>
    <cellStyle name="Normal 3 3 22 3" xfId="6531"/>
    <cellStyle name="Normal 3 3 22 4" xfId="6532"/>
    <cellStyle name="Normal 3 3 22 5" xfId="6533"/>
    <cellStyle name="Normal 3 3 23" xfId="6534"/>
    <cellStyle name="Normal 3 3 23 2" xfId="6535"/>
    <cellStyle name="Normal 3 3 23 3" xfId="6536"/>
    <cellStyle name="Normal 3 3 23 4" xfId="6537"/>
    <cellStyle name="Normal 3 3 23 5" xfId="6538"/>
    <cellStyle name="Normal 3 3 24" xfId="6539"/>
    <cellStyle name="Normal 3 3 24 2" xfId="6540"/>
    <cellStyle name="Normal 3 3 24 3" xfId="6541"/>
    <cellStyle name="Normal 3 3 24 4" xfId="6542"/>
    <cellStyle name="Normal 3 3 24 5" xfId="6543"/>
    <cellStyle name="Normal 3 3 25" xfId="6544"/>
    <cellStyle name="Normal 3 3 25 2" xfId="6545"/>
    <cellStyle name="Normal 3 3 25 3" xfId="6546"/>
    <cellStyle name="Normal 3 3 25 4" xfId="6547"/>
    <cellStyle name="Normal 3 3 25 5" xfId="6548"/>
    <cellStyle name="Normal 3 3 26" xfId="6549"/>
    <cellStyle name="Normal 3 3 26 2" xfId="6550"/>
    <cellStyle name="Normal 3 3 26 3" xfId="6551"/>
    <cellStyle name="Normal 3 3 26 4" xfId="6552"/>
    <cellStyle name="Normal 3 3 26 5" xfId="6553"/>
    <cellStyle name="Normal 3 3 27" xfId="6554"/>
    <cellStyle name="Normal 3 3 27 2" xfId="6555"/>
    <cellStyle name="Normal 3 3 27 3" xfId="6556"/>
    <cellStyle name="Normal 3 3 27 4" xfId="6557"/>
    <cellStyle name="Normal 3 3 27 5" xfId="6558"/>
    <cellStyle name="Normal 3 3 28" xfId="6559"/>
    <cellStyle name="Normal 3 3 28 2" xfId="6560"/>
    <cellStyle name="Normal 3 3 28 3" xfId="6561"/>
    <cellStyle name="Normal 3 3 28 4" xfId="6562"/>
    <cellStyle name="Normal 3 3 28 5" xfId="6563"/>
    <cellStyle name="Normal 3 3 29" xfId="6564"/>
    <cellStyle name="Normal 3 3 29 2" xfId="6565"/>
    <cellStyle name="Normal 3 3 29 3" xfId="6566"/>
    <cellStyle name="Normal 3 3 29 4" xfId="6567"/>
    <cellStyle name="Normal 3 3 29 5" xfId="6568"/>
    <cellStyle name="Normal 3 3 3" xfId="6569"/>
    <cellStyle name="Normal 3 3 3 2" xfId="6570"/>
    <cellStyle name="Normal 3 3 3 3" xfId="6571"/>
    <cellStyle name="Normal 3 3 3 4" xfId="6572"/>
    <cellStyle name="Normal 3 3 3 5" xfId="6573"/>
    <cellStyle name="Normal 3 3 30" xfId="6574"/>
    <cellStyle name="Normal 3 3 30 2" xfId="6575"/>
    <cellStyle name="Normal 3 3 30 3" xfId="6576"/>
    <cellStyle name="Normal 3 3 30 4" xfId="6577"/>
    <cellStyle name="Normal 3 3 30 5" xfId="6578"/>
    <cellStyle name="Normal 3 3 31" xfId="6579"/>
    <cellStyle name="Normal 3 3 32" xfId="6580"/>
    <cellStyle name="Normal 3 3 33" xfId="6581"/>
    <cellStyle name="Normal 3 3 34" xfId="6582"/>
    <cellStyle name="Normal 3 3 35" xfId="6583"/>
    <cellStyle name="Normal 3 3 36" xfId="6584"/>
    <cellStyle name="Normal 3 3 37" xfId="6585"/>
    <cellStyle name="Normal 3 3 38" xfId="6586"/>
    <cellStyle name="Normal 3 3 39" xfId="6587"/>
    <cellStyle name="Normal 3 3 4" xfId="6588"/>
    <cellStyle name="Normal 3 3 4 2" xfId="6589"/>
    <cellStyle name="Normal 3 3 4 3" xfId="6590"/>
    <cellStyle name="Normal 3 3 4 4" xfId="6591"/>
    <cellStyle name="Normal 3 3 4 5" xfId="6592"/>
    <cellStyle name="Normal 3 3 40" xfId="6593"/>
    <cellStyle name="Normal 3 3 41" xfId="6594"/>
    <cellStyle name="Normal 3 3 42" xfId="6595"/>
    <cellStyle name="Normal 3 3 43" xfId="6596"/>
    <cellStyle name="Normal 3 3 44" xfId="6597"/>
    <cellStyle name="Normal 3 3 45" xfId="6598"/>
    <cellStyle name="Normal 3 3 46" xfId="6599"/>
    <cellStyle name="Normal 3 3 5" xfId="6600"/>
    <cellStyle name="Normal 3 3 5 2" xfId="6601"/>
    <cellStyle name="Normal 3 3 5 3" xfId="6602"/>
    <cellStyle name="Normal 3 3 5 4" xfId="6603"/>
    <cellStyle name="Normal 3 3 5 5" xfId="6604"/>
    <cellStyle name="Normal 3 3 6" xfId="6605"/>
    <cellStyle name="Normal 3 3 6 2" xfId="6606"/>
    <cellStyle name="Normal 3 3 6 3" xfId="6607"/>
    <cellStyle name="Normal 3 3 6 4" xfId="6608"/>
    <cellStyle name="Normal 3 3 6 5" xfId="6609"/>
    <cellStyle name="Normal 3 3 7" xfId="6610"/>
    <cellStyle name="Normal 3 3 7 2" xfId="6611"/>
    <cellStyle name="Normal 3 3 7 3" xfId="6612"/>
    <cellStyle name="Normal 3 3 7 4" xfId="6613"/>
    <cellStyle name="Normal 3 3 7 5" xfId="6614"/>
    <cellStyle name="Normal 3 3 8" xfId="6615"/>
    <cellStyle name="Normal 3 3 8 2" xfId="6616"/>
    <cellStyle name="Normal 3 3 8 3" xfId="6617"/>
    <cellStyle name="Normal 3 3 8 4" xfId="6618"/>
    <cellStyle name="Normal 3 3 8 5" xfId="6619"/>
    <cellStyle name="Normal 3 3 9" xfId="6620"/>
    <cellStyle name="Normal 3 3 9 2" xfId="6621"/>
    <cellStyle name="Normal 3 3 9 3" xfId="6622"/>
    <cellStyle name="Normal 3 3 9 4" xfId="6623"/>
    <cellStyle name="Normal 3 3 9 5" xfId="6624"/>
    <cellStyle name="Normal 3 30" xfId="6625"/>
    <cellStyle name="Normal 3 30 10" xfId="6626"/>
    <cellStyle name="Normal 3 30 11" xfId="6627"/>
    <cellStyle name="Normal 3 30 12" xfId="6628"/>
    <cellStyle name="Normal 3 30 13" xfId="6629"/>
    <cellStyle name="Normal 3 30 14" xfId="6630"/>
    <cellStyle name="Normal 3 30 15" xfId="6631"/>
    <cellStyle name="Normal 3 30 16" xfId="6632"/>
    <cellStyle name="Normal 3 30 17" xfId="6633"/>
    <cellStyle name="Normal 3 30 2" xfId="6634"/>
    <cellStyle name="Normal 3 30 3" xfId="6635"/>
    <cellStyle name="Normal 3 30 4" xfId="6636"/>
    <cellStyle name="Normal 3 30 5" xfId="6637"/>
    <cellStyle name="Normal 3 30 6" xfId="6638"/>
    <cellStyle name="Normal 3 30 7" xfId="6639"/>
    <cellStyle name="Normal 3 30 8" xfId="6640"/>
    <cellStyle name="Normal 3 30 9" xfId="6641"/>
    <cellStyle name="Normal 3 31" xfId="6642"/>
    <cellStyle name="Normal 3 31 10" xfId="6643"/>
    <cellStyle name="Normal 3 31 11" xfId="6644"/>
    <cellStyle name="Normal 3 31 12" xfId="6645"/>
    <cellStyle name="Normal 3 31 13" xfId="6646"/>
    <cellStyle name="Normal 3 31 14" xfId="6647"/>
    <cellStyle name="Normal 3 31 15" xfId="6648"/>
    <cellStyle name="Normal 3 31 16" xfId="6649"/>
    <cellStyle name="Normal 3 31 17" xfId="6650"/>
    <cellStyle name="Normal 3 31 2" xfId="6651"/>
    <cellStyle name="Normal 3 31 3" xfId="6652"/>
    <cellStyle name="Normal 3 31 4" xfId="6653"/>
    <cellStyle name="Normal 3 31 5" xfId="6654"/>
    <cellStyle name="Normal 3 31 6" xfId="6655"/>
    <cellStyle name="Normal 3 31 7" xfId="6656"/>
    <cellStyle name="Normal 3 31 8" xfId="6657"/>
    <cellStyle name="Normal 3 31 9" xfId="6658"/>
    <cellStyle name="Normal 3 32" xfId="6659"/>
    <cellStyle name="Normal 3 32 10" xfId="6660"/>
    <cellStyle name="Normal 3 32 11" xfId="6661"/>
    <cellStyle name="Normal 3 32 12" xfId="6662"/>
    <cellStyle name="Normal 3 32 13" xfId="6663"/>
    <cellStyle name="Normal 3 32 14" xfId="6664"/>
    <cellStyle name="Normal 3 32 15" xfId="6665"/>
    <cellStyle name="Normal 3 32 16" xfId="6666"/>
    <cellStyle name="Normal 3 32 17" xfId="6667"/>
    <cellStyle name="Normal 3 32 2" xfId="6668"/>
    <cellStyle name="Normal 3 32 3" xfId="6669"/>
    <cellStyle name="Normal 3 32 4" xfId="6670"/>
    <cellStyle name="Normal 3 32 5" xfId="6671"/>
    <cellStyle name="Normal 3 32 6" xfId="6672"/>
    <cellStyle name="Normal 3 32 7" xfId="6673"/>
    <cellStyle name="Normal 3 32 8" xfId="6674"/>
    <cellStyle name="Normal 3 32 9" xfId="6675"/>
    <cellStyle name="Normal 3 33" xfId="6676"/>
    <cellStyle name="Normal 3 34" xfId="6677"/>
    <cellStyle name="Normal 3 35" xfId="6678"/>
    <cellStyle name="Normal 3 36" xfId="6679"/>
    <cellStyle name="Normal 3 37" xfId="6680"/>
    <cellStyle name="Normal 3 37 10" xfId="6681"/>
    <cellStyle name="Normal 3 37 11" xfId="6682"/>
    <cellStyle name="Normal 3 37 12" xfId="6683"/>
    <cellStyle name="Normal 3 37 13" xfId="6684"/>
    <cellStyle name="Normal 3 37 2" xfId="6685"/>
    <cellStyle name="Normal 3 37 3" xfId="6686"/>
    <cellStyle name="Normal 3 37 4" xfId="6687"/>
    <cellStyle name="Normal 3 37 5" xfId="6688"/>
    <cellStyle name="Normal 3 37 6" xfId="6689"/>
    <cellStyle name="Normal 3 37 7" xfId="6690"/>
    <cellStyle name="Normal 3 37 8" xfId="6691"/>
    <cellStyle name="Normal 3 37 9" xfId="6692"/>
    <cellStyle name="Normal 3 38" xfId="6693"/>
    <cellStyle name="Normal 3 39" xfId="6694"/>
    <cellStyle name="Normal 3 4" xfId="129"/>
    <cellStyle name="Normal 3 4 10" xfId="6695"/>
    <cellStyle name="Normal 3 4 11" xfId="6696"/>
    <cellStyle name="Normal 3 4 12" xfId="6697"/>
    <cellStyle name="Normal 3 4 13" xfId="6698"/>
    <cellStyle name="Normal 3 4 14" xfId="6699"/>
    <cellStyle name="Normal 3 4 15" xfId="6700"/>
    <cellStyle name="Normal 3 4 16" xfId="6701"/>
    <cellStyle name="Normal 3 4 17" xfId="6702"/>
    <cellStyle name="Normal 3 4 18" xfId="6703"/>
    <cellStyle name="Normal 3 4 19" xfId="6704"/>
    <cellStyle name="Normal 3 4 2" xfId="6705"/>
    <cellStyle name="Normal 3 4 20" xfId="6706"/>
    <cellStyle name="Normal 3 4 21" xfId="6707"/>
    <cellStyle name="Normal 3 4 22" xfId="6708"/>
    <cellStyle name="Normal 3 4 23" xfId="6709"/>
    <cellStyle name="Normal 3 4 24" xfId="6710"/>
    <cellStyle name="Normal 3 4 3" xfId="6711"/>
    <cellStyle name="Normal 3 4 4" xfId="6712"/>
    <cellStyle name="Normal 3 4 5" xfId="6713"/>
    <cellStyle name="Normal 3 4 6" xfId="6714"/>
    <cellStyle name="Normal 3 4 7" xfId="6715"/>
    <cellStyle name="Normal 3 4 8" xfId="6716"/>
    <cellStyle name="Normal 3 4 9" xfId="6717"/>
    <cellStyle name="Normal 3 40" xfId="6718"/>
    <cellStyle name="Normal 3 41" xfId="6719"/>
    <cellStyle name="Normal 3 42" xfId="6720"/>
    <cellStyle name="Normal 3 43" xfId="6721"/>
    <cellStyle name="Normal 3 44" xfId="6722"/>
    <cellStyle name="Normal 3 45" xfId="6723"/>
    <cellStyle name="Normal 3 46" xfId="6724"/>
    <cellStyle name="Normal 3 47" xfId="6725"/>
    <cellStyle name="Normal 3 48" xfId="6726"/>
    <cellStyle name="Normal 3 49" xfId="6727"/>
    <cellStyle name="Normal 3 5" xfId="130"/>
    <cellStyle name="Normal 3 5 10" xfId="6728"/>
    <cellStyle name="Normal 3 5 11" xfId="6729"/>
    <cellStyle name="Normal 3 5 12" xfId="6730"/>
    <cellStyle name="Normal 3 5 13" xfId="6731"/>
    <cellStyle name="Normal 3 5 14" xfId="6732"/>
    <cellStyle name="Normal 3 5 15" xfId="6733"/>
    <cellStyle name="Normal 3 5 16" xfId="6734"/>
    <cellStyle name="Normal 3 5 17" xfId="6735"/>
    <cellStyle name="Normal 3 5 18" xfId="6736"/>
    <cellStyle name="Normal 3 5 19" xfId="6737"/>
    <cellStyle name="Normal 3 5 2" xfId="6738"/>
    <cellStyle name="Normal 3 5 20" xfId="6739"/>
    <cellStyle name="Normal 3 5 21" xfId="6740"/>
    <cellStyle name="Normal 3 5 22" xfId="6741"/>
    <cellStyle name="Normal 3 5 23" xfId="6742"/>
    <cellStyle name="Normal 3 5 24" xfId="6743"/>
    <cellStyle name="Normal 3 5 3" xfId="6744"/>
    <cellStyle name="Normal 3 5 4" xfId="6745"/>
    <cellStyle name="Normal 3 5 5" xfId="6746"/>
    <cellStyle name="Normal 3 5 6" xfId="6747"/>
    <cellStyle name="Normal 3 5 7" xfId="6748"/>
    <cellStyle name="Normal 3 5 8" xfId="6749"/>
    <cellStyle name="Normal 3 5 9" xfId="6750"/>
    <cellStyle name="Normal 3 50" xfId="6751"/>
    <cellStyle name="Normal 3 51" xfId="6752"/>
    <cellStyle name="Normal 3 52" xfId="6753"/>
    <cellStyle name="Normal 3 53" xfId="6754"/>
    <cellStyle name="Normal 3 54" xfId="6755"/>
    <cellStyle name="Normal 3 55" xfId="6756"/>
    <cellStyle name="Normal 3 56" xfId="6757"/>
    <cellStyle name="Normal 3 57" xfId="6758"/>
    <cellStyle name="Normal 3 58" xfId="6759"/>
    <cellStyle name="Normal 3 59" xfId="6760"/>
    <cellStyle name="Normal 3 6" xfId="131"/>
    <cellStyle name="Normal 3 6 10" xfId="6761"/>
    <cellStyle name="Normal 3 6 11" xfId="6762"/>
    <cellStyle name="Normal 3 6 12" xfId="6763"/>
    <cellStyle name="Normal 3 6 13" xfId="6764"/>
    <cellStyle name="Normal 3 6 14" xfId="6765"/>
    <cellStyle name="Normal 3 6 15" xfId="6766"/>
    <cellStyle name="Normal 3 6 16" xfId="6767"/>
    <cellStyle name="Normal 3 6 17" xfId="6768"/>
    <cellStyle name="Normal 3 6 18" xfId="6769"/>
    <cellStyle name="Normal 3 6 19" xfId="6770"/>
    <cellStyle name="Normal 3 6 2" xfId="6771"/>
    <cellStyle name="Normal 3 6 20" xfId="6772"/>
    <cellStyle name="Normal 3 6 21" xfId="6773"/>
    <cellStyle name="Normal 3 6 22" xfId="6774"/>
    <cellStyle name="Normal 3 6 23" xfId="6775"/>
    <cellStyle name="Normal 3 6 24" xfId="6776"/>
    <cellStyle name="Normal 3 6 3" xfId="6777"/>
    <cellStyle name="Normal 3 6 4" xfId="6778"/>
    <cellStyle name="Normal 3 6 5" xfId="6779"/>
    <cellStyle name="Normal 3 6 6" xfId="6780"/>
    <cellStyle name="Normal 3 6 7" xfId="6781"/>
    <cellStyle name="Normal 3 6 8" xfId="6782"/>
    <cellStyle name="Normal 3 6 9" xfId="6783"/>
    <cellStyle name="Normal 3 60" xfId="6784"/>
    <cellStyle name="Normal 3 61" xfId="6785"/>
    <cellStyle name="Normal 3 62" xfId="6786"/>
    <cellStyle name="Normal 3 63" xfId="6787"/>
    <cellStyle name="Normal 3 64" xfId="6788"/>
    <cellStyle name="Normal 3 65" xfId="6789"/>
    <cellStyle name="Normal 3 66" xfId="6790"/>
    <cellStyle name="Normal 3 67" xfId="6791"/>
    <cellStyle name="Normal 3 68" xfId="6792"/>
    <cellStyle name="Normal 3 69" xfId="6793"/>
    <cellStyle name="Normal 3 7" xfId="132"/>
    <cellStyle name="Normal 3 7 10" xfId="6794"/>
    <cellStyle name="Normal 3 7 11" xfId="6795"/>
    <cellStyle name="Normal 3 7 12" xfId="6796"/>
    <cellStyle name="Normal 3 7 13" xfId="6797"/>
    <cellStyle name="Normal 3 7 14" xfId="6798"/>
    <cellStyle name="Normal 3 7 15" xfId="6799"/>
    <cellStyle name="Normal 3 7 16" xfId="6800"/>
    <cellStyle name="Normal 3 7 17" xfId="6801"/>
    <cellStyle name="Normal 3 7 18" xfId="6802"/>
    <cellStyle name="Normal 3 7 19" xfId="6803"/>
    <cellStyle name="Normal 3 7 2" xfId="6804"/>
    <cellStyle name="Normal 3 7 20" xfId="6805"/>
    <cellStyle name="Normal 3 7 21" xfId="6806"/>
    <cellStyle name="Normal 3 7 22" xfId="6807"/>
    <cellStyle name="Normal 3 7 23" xfId="6808"/>
    <cellStyle name="Normal 3 7 24" xfId="6809"/>
    <cellStyle name="Normal 3 7 3" xfId="6810"/>
    <cellStyle name="Normal 3 7 4" xfId="6811"/>
    <cellStyle name="Normal 3 7 5" xfId="6812"/>
    <cellStyle name="Normal 3 7 6" xfId="6813"/>
    <cellStyle name="Normal 3 7 7" xfId="6814"/>
    <cellStyle name="Normal 3 7 8" xfId="6815"/>
    <cellStyle name="Normal 3 7 9" xfId="6816"/>
    <cellStyle name="Normal 3 70" xfId="6817"/>
    <cellStyle name="Normal 3 71" xfId="6818"/>
    <cellStyle name="Normal 3 72" xfId="6819"/>
    <cellStyle name="Normal 3 73" xfId="6820"/>
    <cellStyle name="Normal 3 74" xfId="6821"/>
    <cellStyle name="Normal 3 75" xfId="6822"/>
    <cellStyle name="Normal 3 76" xfId="6823"/>
    <cellStyle name="Normal 3 77" xfId="6824"/>
    <cellStyle name="Normal 3 78" xfId="6825"/>
    <cellStyle name="Normal 3 79" xfId="6826"/>
    <cellStyle name="Normal 3 8" xfId="6827"/>
    <cellStyle name="Normal 3 8 10" xfId="6828"/>
    <cellStyle name="Normal 3 8 11" xfId="6829"/>
    <cellStyle name="Normal 3 8 12" xfId="6830"/>
    <cellStyle name="Normal 3 8 13" xfId="6831"/>
    <cellStyle name="Normal 3 8 14" xfId="6832"/>
    <cellStyle name="Normal 3 8 15" xfId="6833"/>
    <cellStyle name="Normal 3 8 16" xfId="6834"/>
    <cellStyle name="Normal 3 8 17" xfId="6835"/>
    <cellStyle name="Normal 3 8 18" xfId="6836"/>
    <cellStyle name="Normal 3 8 19" xfId="6837"/>
    <cellStyle name="Normal 3 8 2" xfId="6838"/>
    <cellStyle name="Normal 3 8 20" xfId="6839"/>
    <cellStyle name="Normal 3 8 21" xfId="6840"/>
    <cellStyle name="Normal 3 8 22" xfId="6841"/>
    <cellStyle name="Normal 3 8 23" xfId="6842"/>
    <cellStyle name="Normal 3 8 24" xfId="6843"/>
    <cellStyle name="Normal 3 8 25" xfId="6844"/>
    <cellStyle name="Normal 3 8 26" xfId="6845"/>
    <cellStyle name="Normal 3 8 27" xfId="6846"/>
    <cellStyle name="Normal 3 8 28" xfId="6847"/>
    <cellStyle name="Normal 3 8 29" xfId="6848"/>
    <cellStyle name="Normal 3 8 3" xfId="6849"/>
    <cellStyle name="Normal 3 8 30" xfId="6850"/>
    <cellStyle name="Normal 3 8 31" xfId="6851"/>
    <cellStyle name="Normal 3 8 32" xfId="6852"/>
    <cellStyle name="Normal 3 8 33" xfId="6853"/>
    <cellStyle name="Normal 3 8 34" xfId="6854"/>
    <cellStyle name="Normal 3 8 35" xfId="6855"/>
    <cellStyle name="Normal 3 8 36" xfId="6856"/>
    <cellStyle name="Normal 3 8 37" xfId="6857"/>
    <cellStyle name="Normal 3 8 38" xfId="6858"/>
    <cellStyle name="Normal 3 8 39" xfId="6859"/>
    <cellStyle name="Normal 3 8 4" xfId="6860"/>
    <cellStyle name="Normal 3 8 40" xfId="6861"/>
    <cellStyle name="Normal 3 8 41" xfId="6862"/>
    <cellStyle name="Normal 3 8 42" xfId="6863"/>
    <cellStyle name="Normal 3 8 43" xfId="6864"/>
    <cellStyle name="Normal 3 8 44" xfId="6865"/>
    <cellStyle name="Normal 3 8 45" xfId="6866"/>
    <cellStyle name="Normal 3 8 46" xfId="6867"/>
    <cellStyle name="Normal 3 8 47" xfId="6868"/>
    <cellStyle name="Normal 3 8 48" xfId="6869"/>
    <cellStyle name="Normal 3 8 5" xfId="6870"/>
    <cellStyle name="Normal 3 8 6" xfId="6871"/>
    <cellStyle name="Normal 3 8 6 10" xfId="6872"/>
    <cellStyle name="Normal 3 8 6 11" xfId="6873"/>
    <cellStyle name="Normal 3 8 6 12" xfId="6874"/>
    <cellStyle name="Normal 3 8 6 13" xfId="6875"/>
    <cellStyle name="Normal 3 8 6 2" xfId="6876"/>
    <cellStyle name="Normal 3 8 6 3" xfId="6877"/>
    <cellStyle name="Normal 3 8 6 4" xfId="6878"/>
    <cellStyle name="Normal 3 8 6 5" xfId="6879"/>
    <cellStyle name="Normal 3 8 6 6" xfId="6880"/>
    <cellStyle name="Normal 3 8 6 7" xfId="6881"/>
    <cellStyle name="Normal 3 8 6 8" xfId="6882"/>
    <cellStyle name="Normal 3 8 6 9" xfId="6883"/>
    <cellStyle name="Normal 3 8 7" xfId="6884"/>
    <cellStyle name="Normal 3 8 8" xfId="6885"/>
    <cellStyle name="Normal 3 8 9" xfId="6886"/>
    <cellStyle name="Normal 3 80" xfId="6887"/>
    <cellStyle name="Normal 3 81" xfId="6888"/>
    <cellStyle name="Normal 3 82" xfId="6889"/>
    <cellStyle name="Normal 3 83" xfId="10674"/>
    <cellStyle name="Normal 3 83 2" xfId="12075"/>
    <cellStyle name="Normal 3 84" xfId="11349"/>
    <cellStyle name="Normal 3 84 2" xfId="11360"/>
    <cellStyle name="Normal 3 85" xfId="11358"/>
    <cellStyle name="Normal 3 86" xfId="12074"/>
    <cellStyle name="Normal 3 9" xfId="6890"/>
    <cellStyle name="Normal 3 9 10" xfId="6891"/>
    <cellStyle name="Normal 3 9 11" xfId="6892"/>
    <cellStyle name="Normal 3 9 12" xfId="6893"/>
    <cellStyle name="Normal 3 9 13" xfId="6894"/>
    <cellStyle name="Normal 3 9 14" xfId="6895"/>
    <cellStyle name="Normal 3 9 15" xfId="6896"/>
    <cellStyle name="Normal 3 9 16" xfId="6897"/>
    <cellStyle name="Normal 3 9 17" xfId="6898"/>
    <cellStyle name="Normal 3 9 2" xfId="6899"/>
    <cellStyle name="Normal 3 9 3" xfId="6900"/>
    <cellStyle name="Normal 3 9 4" xfId="6901"/>
    <cellStyle name="Normal 3 9 5" xfId="6902"/>
    <cellStyle name="Normal 3 9 6" xfId="6903"/>
    <cellStyle name="Normal 3 9 7" xfId="6904"/>
    <cellStyle name="Normal 3 9 8" xfId="6905"/>
    <cellStyle name="Normal 3 9 9" xfId="6906"/>
    <cellStyle name="Normal 30" xfId="10661"/>
    <cellStyle name="Normal 31" xfId="10662"/>
    <cellStyle name="Normal 32" xfId="10664"/>
    <cellStyle name="Normal 33" xfId="10666"/>
    <cellStyle name="Normal 34" xfId="10667"/>
    <cellStyle name="Normal 35" xfId="10670"/>
    <cellStyle name="Normal 36" xfId="10671"/>
    <cellStyle name="Normal 37" xfId="6907"/>
    <cellStyle name="Normal 37 2" xfId="6908"/>
    <cellStyle name="Normal 37 3" xfId="6909"/>
    <cellStyle name="Normal 37 4" xfId="6910"/>
    <cellStyle name="Normal 37 5" xfId="6911"/>
    <cellStyle name="Normal 38" xfId="6912"/>
    <cellStyle name="Normal 38 2" xfId="6913"/>
    <cellStyle name="Normal 38 3" xfId="6914"/>
    <cellStyle name="Normal 38 4" xfId="6915"/>
    <cellStyle name="Normal 38 5" xfId="6916"/>
    <cellStyle name="Normal 39" xfId="6917"/>
    <cellStyle name="Normal 39 2" xfId="6918"/>
    <cellStyle name="Normal 39 3" xfId="6919"/>
    <cellStyle name="Normal 39 4" xfId="6920"/>
    <cellStyle name="Normal 39 5" xfId="6921"/>
    <cellStyle name="Normal 4" xfId="133"/>
    <cellStyle name="Normal 4 10" xfId="6922"/>
    <cellStyle name="Normal 4 10 2" xfId="12077"/>
    <cellStyle name="Normal 4 11" xfId="6923"/>
    <cellStyle name="Normal 4 11 2" xfId="12078"/>
    <cellStyle name="Normal 4 12" xfId="6924"/>
    <cellStyle name="Normal 4 12 2" xfId="12079"/>
    <cellStyle name="Normal 4 13" xfId="6925"/>
    <cellStyle name="Normal 4 13 2" xfId="12080"/>
    <cellStyle name="Normal 4 14" xfId="6926"/>
    <cellStyle name="Normal 4 14 2" xfId="12081"/>
    <cellStyle name="Normal 4 15" xfId="6927"/>
    <cellStyle name="Normal 4 15 2" xfId="12082"/>
    <cellStyle name="Normal 4 16" xfId="6928"/>
    <cellStyle name="Normal 4 16 2" xfId="12083"/>
    <cellStyle name="Normal 4 17" xfId="6929"/>
    <cellStyle name="Normal 4 17 2" xfId="12084"/>
    <cellStyle name="Normal 4 18" xfId="6930"/>
    <cellStyle name="Normal 4 18 2" xfId="12085"/>
    <cellStyle name="Normal 4 19" xfId="6931"/>
    <cellStyle name="Normal 4 19 2" xfId="12086"/>
    <cellStyle name="Normal 4 2" xfId="134"/>
    <cellStyle name="Normal 4 2 10" xfId="6932"/>
    <cellStyle name="Normal 4 2 11" xfId="6933"/>
    <cellStyle name="Normal 4 2 12" xfId="6934"/>
    <cellStyle name="Normal 4 2 13" xfId="6935"/>
    <cellStyle name="Normal 4 2 14" xfId="6936"/>
    <cellStyle name="Normal 4 2 15" xfId="6937"/>
    <cellStyle name="Normal 4 2 16" xfId="6938"/>
    <cellStyle name="Normal 4 2 17" xfId="6939"/>
    <cellStyle name="Normal 4 2 18" xfId="6940"/>
    <cellStyle name="Normal 4 2 19" xfId="6941"/>
    <cellStyle name="Normal 4 2 2" xfId="6942"/>
    <cellStyle name="Normal 4 2 2 10" xfId="6943"/>
    <cellStyle name="Normal 4 2 2 11" xfId="6944"/>
    <cellStyle name="Normal 4 2 2 12" xfId="6945"/>
    <cellStyle name="Normal 4 2 2 13" xfId="6946"/>
    <cellStyle name="Normal 4 2 2 14" xfId="6947"/>
    <cellStyle name="Normal 4 2 2 15" xfId="6948"/>
    <cellStyle name="Normal 4 2 2 16" xfId="6949"/>
    <cellStyle name="Normal 4 2 2 17" xfId="6950"/>
    <cellStyle name="Normal 4 2 2 18" xfId="6951"/>
    <cellStyle name="Normal 4 2 2 19" xfId="6952"/>
    <cellStyle name="Normal 4 2 2 2" xfId="6953"/>
    <cellStyle name="Normal 4 2 2 20" xfId="6954"/>
    <cellStyle name="Normal 4 2 2 21" xfId="6955"/>
    <cellStyle name="Normal 4 2 2 22" xfId="6956"/>
    <cellStyle name="Normal 4 2 2 23" xfId="6957"/>
    <cellStyle name="Normal 4 2 2 24" xfId="6958"/>
    <cellStyle name="Normal 4 2 2 25" xfId="6959"/>
    <cellStyle name="Normal 4 2 2 26" xfId="6960"/>
    <cellStyle name="Normal 4 2 2 27" xfId="6961"/>
    <cellStyle name="Normal 4 2 2 28" xfId="6962"/>
    <cellStyle name="Normal 4 2 2 29" xfId="6963"/>
    <cellStyle name="Normal 4 2 2 3" xfId="6964"/>
    <cellStyle name="Normal 4 2 2 30" xfId="6965"/>
    <cellStyle name="Normal 4 2 2 31" xfId="6966"/>
    <cellStyle name="Normal 4 2 2 32" xfId="6967"/>
    <cellStyle name="Normal 4 2 2 33" xfId="6968"/>
    <cellStyle name="Normal 4 2 2 34" xfId="6969"/>
    <cellStyle name="Normal 4 2 2 35" xfId="6970"/>
    <cellStyle name="Normal 4 2 2 36" xfId="6971"/>
    <cellStyle name="Normal 4 2 2 37" xfId="6972"/>
    <cellStyle name="Normal 4 2 2 38" xfId="12087"/>
    <cellStyle name="Normal 4 2 2 4" xfId="6973"/>
    <cellStyle name="Normal 4 2 2 5" xfId="6974"/>
    <cellStyle name="Normal 4 2 2 6" xfId="6975"/>
    <cellStyle name="Normal 4 2 2 7" xfId="6976"/>
    <cellStyle name="Normal 4 2 2 8" xfId="6977"/>
    <cellStyle name="Normal 4 2 2 9" xfId="6978"/>
    <cellStyle name="Normal 4 2 20" xfId="6979"/>
    <cellStyle name="Normal 4 2 21" xfId="6980"/>
    <cellStyle name="Normal 4 2 22" xfId="6981"/>
    <cellStyle name="Normal 4 2 23" xfId="6982"/>
    <cellStyle name="Normal 4 2 24" xfId="6983"/>
    <cellStyle name="Normal 4 2 25" xfId="6984"/>
    <cellStyle name="Normal 4 2 26" xfId="6985"/>
    <cellStyle name="Normal 4 2 27" xfId="6986"/>
    <cellStyle name="Normal 4 2 28" xfId="6987"/>
    <cellStyle name="Normal 4 2 29" xfId="6988"/>
    <cellStyle name="Normal 4 2 3" xfId="6989"/>
    <cellStyle name="Normal 4 2 30" xfId="6990"/>
    <cellStyle name="Normal 4 2 31" xfId="6991"/>
    <cellStyle name="Normal 4 2 32" xfId="6992"/>
    <cellStyle name="Normal 4 2 32 2" xfId="12088"/>
    <cellStyle name="Normal 4 2 33" xfId="6993"/>
    <cellStyle name="Normal 4 2 33 2" xfId="12089"/>
    <cellStyle name="Normal 4 2 34" xfId="6994"/>
    <cellStyle name="Normal 4 2 34 2" xfId="12090"/>
    <cellStyle name="Normal 4 2 35" xfId="6995"/>
    <cellStyle name="Normal 4 2 35 2" xfId="12091"/>
    <cellStyle name="Normal 4 2 36" xfId="6996"/>
    <cellStyle name="Normal 4 2 36 2" xfId="12092"/>
    <cellStyle name="Normal 4 2 37" xfId="6997"/>
    <cellStyle name="Normal 4 2 37 2" xfId="12093"/>
    <cellStyle name="Normal 4 2 38" xfId="6998"/>
    <cellStyle name="Normal 4 2 38 2" xfId="12094"/>
    <cellStyle name="Normal 4 2 39" xfId="6999"/>
    <cellStyle name="Normal 4 2 39 2" xfId="12095"/>
    <cellStyle name="Normal 4 2 4" xfId="7000"/>
    <cellStyle name="Normal 4 2 40" xfId="7001"/>
    <cellStyle name="Normal 4 2 40 2" xfId="12096"/>
    <cellStyle name="Normal 4 2 41" xfId="7002"/>
    <cellStyle name="Normal 4 2 41 2" xfId="12097"/>
    <cellStyle name="Normal 4 2 42" xfId="7003"/>
    <cellStyle name="Normal 4 2 42 2" xfId="12098"/>
    <cellStyle name="Normal 4 2 43" xfId="7004"/>
    <cellStyle name="Normal 4 2 43 2" xfId="12099"/>
    <cellStyle name="Normal 4 2 44" xfId="7005"/>
    <cellStyle name="Normal 4 2 44 2" xfId="12100"/>
    <cellStyle name="Normal 4 2 45" xfId="7006"/>
    <cellStyle name="Normal 4 2 45 2" xfId="12101"/>
    <cellStyle name="Normal 4 2 46" xfId="7007"/>
    <cellStyle name="Normal 4 2 46 2" xfId="12102"/>
    <cellStyle name="Normal 4 2 47" xfId="7008"/>
    <cellStyle name="Normal 4 2 47 2" xfId="12103"/>
    <cellStyle name="Normal 4 2 48" xfId="7009"/>
    <cellStyle name="Normal 4 2 48 2" xfId="12104"/>
    <cellStyle name="Normal 4 2 49" xfId="7010"/>
    <cellStyle name="Normal 4 2 49 2" xfId="12105"/>
    <cellStyle name="Normal 4 2 5" xfId="7011"/>
    <cellStyle name="Normal 4 2 50" xfId="7012"/>
    <cellStyle name="Normal 4 2 50 2" xfId="12106"/>
    <cellStyle name="Normal 4 2 51" xfId="7013"/>
    <cellStyle name="Normal 4 2 51 2" xfId="12107"/>
    <cellStyle name="Normal 4 2 52" xfId="7014"/>
    <cellStyle name="Normal 4 2 52 2" xfId="12108"/>
    <cellStyle name="Normal 4 2 53" xfId="7015"/>
    <cellStyle name="Normal 4 2 53 2" xfId="12109"/>
    <cellStyle name="Normal 4 2 54" xfId="7016"/>
    <cellStyle name="Normal 4 2 54 2" xfId="12110"/>
    <cellStyle name="Normal 4 2 55" xfId="7017"/>
    <cellStyle name="Normal 4 2 55 2" xfId="12111"/>
    <cellStyle name="Normal 4 2 56" xfId="7018"/>
    <cellStyle name="Normal 4 2 56 2" xfId="12112"/>
    <cellStyle name="Normal 4 2 57" xfId="7019"/>
    <cellStyle name="Normal 4 2 57 2" xfId="12113"/>
    <cellStyle name="Normal 4 2 58" xfId="7020"/>
    <cellStyle name="Normal 4 2 58 2" xfId="12114"/>
    <cellStyle name="Normal 4 2 59" xfId="7021"/>
    <cellStyle name="Normal 4 2 59 2" xfId="12115"/>
    <cellStyle name="Normal 4 2 6" xfId="7022"/>
    <cellStyle name="Normal 4 2 60" xfId="7023"/>
    <cellStyle name="Normal 4 2 60 2" xfId="12116"/>
    <cellStyle name="Normal 4 2 61" xfId="7024"/>
    <cellStyle name="Normal 4 2 61 2" xfId="12117"/>
    <cellStyle name="Normal 4 2 62" xfId="7025"/>
    <cellStyle name="Normal 4 2 62 2" xfId="12118"/>
    <cellStyle name="Normal 4 2 63" xfId="7026"/>
    <cellStyle name="Normal 4 2 63 2" xfId="12119"/>
    <cellStyle name="Normal 4 2 64" xfId="7027"/>
    <cellStyle name="Normal 4 2 64 2" xfId="12120"/>
    <cellStyle name="Normal 4 2 65" xfId="7028"/>
    <cellStyle name="Normal 4 2 65 2" xfId="12121"/>
    <cellStyle name="Normal 4 2 66" xfId="7029"/>
    <cellStyle name="Normal 4 2 66 2" xfId="12122"/>
    <cellStyle name="Normal 4 2 7" xfId="7030"/>
    <cellStyle name="Normal 4 2 8" xfId="7031"/>
    <cellStyle name="Normal 4 2 9" xfId="7032"/>
    <cellStyle name="Normal 4 20" xfId="7033"/>
    <cellStyle name="Normal 4 20 2" xfId="12123"/>
    <cellStyle name="Normal 4 21" xfId="7034"/>
    <cellStyle name="Normal 4 21 2" xfId="12124"/>
    <cellStyle name="Normal 4 22" xfId="7035"/>
    <cellStyle name="Normal 4 22 2" xfId="12125"/>
    <cellStyle name="Normal 4 23" xfId="7036"/>
    <cellStyle name="Normal 4 23 2" xfId="12126"/>
    <cellStyle name="Normal 4 24" xfId="7037"/>
    <cellStyle name="Normal 4 24 2" xfId="12127"/>
    <cellStyle name="Normal 4 25" xfId="7038"/>
    <cellStyle name="Normal 4 25 2" xfId="12128"/>
    <cellStyle name="Normal 4 26" xfId="7039"/>
    <cellStyle name="Normal 4 26 2" xfId="12129"/>
    <cellStyle name="Normal 4 27" xfId="7040"/>
    <cellStyle name="Normal 4 27 2" xfId="12130"/>
    <cellStyle name="Normal 4 28" xfId="7041"/>
    <cellStyle name="Normal 4 28 2" xfId="12131"/>
    <cellStyle name="Normal 4 29" xfId="7042"/>
    <cellStyle name="Normal 4 29 2" xfId="12132"/>
    <cellStyle name="Normal 4 3" xfId="135"/>
    <cellStyle name="Normal 4 30" xfId="7043"/>
    <cellStyle name="Normal 4 30 2" xfId="12133"/>
    <cellStyle name="Normal 4 31" xfId="7044"/>
    <cellStyle name="Normal 4 31 2" xfId="12134"/>
    <cellStyle name="Normal 4 32" xfId="7045"/>
    <cellStyle name="Normal 4 32 2" xfId="12135"/>
    <cellStyle name="Normal 4 33" xfId="7046"/>
    <cellStyle name="Normal 4 33 2" xfId="12136"/>
    <cellStyle name="Normal 4 34" xfId="7047"/>
    <cellStyle name="Normal 4 34 2" xfId="12137"/>
    <cellStyle name="Normal 4 35" xfId="7048"/>
    <cellStyle name="Normal 4 36" xfId="7049"/>
    <cellStyle name="Normal 4 37" xfId="7050"/>
    <cellStyle name="Normal 4 38" xfId="7051"/>
    <cellStyle name="Normal 4 39" xfId="7052"/>
    <cellStyle name="Normal 4 4" xfId="136"/>
    <cellStyle name="Normal 4 40" xfId="7053"/>
    <cellStyle name="Normal 4 41" xfId="7054"/>
    <cellStyle name="Normal 4 42" xfId="7055"/>
    <cellStyle name="Normal 4 43" xfId="7056"/>
    <cellStyle name="Normal 4 44" xfId="7057"/>
    <cellStyle name="Normal 4 45" xfId="7058"/>
    <cellStyle name="Normal 4 46" xfId="7059"/>
    <cellStyle name="Normal 4 47" xfId="7060"/>
    <cellStyle name="Normal 4 48" xfId="7061"/>
    <cellStyle name="Normal 4 49" xfId="7062"/>
    <cellStyle name="Normal 4 5" xfId="137"/>
    <cellStyle name="Normal 4 50" xfId="7063"/>
    <cellStyle name="Normal 4 51" xfId="7064"/>
    <cellStyle name="Normal 4 52" xfId="7065"/>
    <cellStyle name="Normal 4 53" xfId="7066"/>
    <cellStyle name="Normal 4 54" xfId="7067"/>
    <cellStyle name="Normal 4 55" xfId="7068"/>
    <cellStyle name="Normal 4 56" xfId="7069"/>
    <cellStyle name="Normal 4 57" xfId="7070"/>
    <cellStyle name="Normal 4 58" xfId="7071"/>
    <cellStyle name="Normal 4 59" xfId="7072"/>
    <cellStyle name="Normal 4 6" xfId="7073"/>
    <cellStyle name="Normal 4 6 10" xfId="7074"/>
    <cellStyle name="Normal 4 6 10 2" xfId="12138"/>
    <cellStyle name="Normal 4 6 11" xfId="7075"/>
    <cellStyle name="Normal 4 6 11 2" xfId="12139"/>
    <cellStyle name="Normal 4 6 12" xfId="7076"/>
    <cellStyle name="Normal 4 6 12 2" xfId="12140"/>
    <cellStyle name="Normal 4 6 13" xfId="7077"/>
    <cellStyle name="Normal 4 6 13 2" xfId="12141"/>
    <cellStyle name="Normal 4 6 14" xfId="7078"/>
    <cellStyle name="Normal 4 6 14 2" xfId="12142"/>
    <cellStyle name="Normal 4 6 15" xfId="7079"/>
    <cellStyle name="Normal 4 6 15 2" xfId="12143"/>
    <cellStyle name="Normal 4 6 16" xfId="7080"/>
    <cellStyle name="Normal 4 6 16 2" xfId="12144"/>
    <cellStyle name="Normal 4 6 17" xfId="7081"/>
    <cellStyle name="Normal 4 6 17 2" xfId="12145"/>
    <cellStyle name="Normal 4 6 18" xfId="7082"/>
    <cellStyle name="Normal 4 6 18 2" xfId="12146"/>
    <cellStyle name="Normal 4 6 19" xfId="7083"/>
    <cellStyle name="Normal 4 6 19 2" xfId="12147"/>
    <cellStyle name="Normal 4 6 2" xfId="7084"/>
    <cellStyle name="Normal 4 6 2 2" xfId="12148"/>
    <cellStyle name="Normal 4 6 20" xfId="7085"/>
    <cellStyle name="Normal 4 6 20 2" xfId="12149"/>
    <cellStyle name="Normal 4 6 21" xfId="7086"/>
    <cellStyle name="Normal 4 6 21 2" xfId="12150"/>
    <cellStyle name="Normal 4 6 22" xfId="7087"/>
    <cellStyle name="Normal 4 6 22 2" xfId="12151"/>
    <cellStyle name="Normal 4 6 23" xfId="7088"/>
    <cellStyle name="Normal 4 6 23 2" xfId="12152"/>
    <cellStyle name="Normal 4 6 24" xfId="7089"/>
    <cellStyle name="Normal 4 6 24 2" xfId="12153"/>
    <cellStyle name="Normal 4 6 25" xfId="7090"/>
    <cellStyle name="Normal 4 6 25 2" xfId="12154"/>
    <cellStyle name="Normal 4 6 26" xfId="7091"/>
    <cellStyle name="Normal 4 6 26 2" xfId="12155"/>
    <cellStyle name="Normal 4 6 27" xfId="7092"/>
    <cellStyle name="Normal 4 6 27 2" xfId="12156"/>
    <cellStyle name="Normal 4 6 28" xfId="7093"/>
    <cellStyle name="Normal 4 6 28 2" xfId="12157"/>
    <cellStyle name="Normal 4 6 29" xfId="7094"/>
    <cellStyle name="Normal 4 6 29 2" xfId="12158"/>
    <cellStyle name="Normal 4 6 3" xfId="7095"/>
    <cellStyle name="Normal 4 6 3 2" xfId="12159"/>
    <cellStyle name="Normal 4 6 30" xfId="7096"/>
    <cellStyle name="Normal 4 6 30 2" xfId="12160"/>
    <cellStyle name="Normal 4 6 31" xfId="7097"/>
    <cellStyle name="Normal 4 6 31 2" xfId="12161"/>
    <cellStyle name="Normal 4 6 32" xfId="7098"/>
    <cellStyle name="Normal 4 6 32 2" xfId="12162"/>
    <cellStyle name="Normal 4 6 33" xfId="7099"/>
    <cellStyle name="Normal 4 6 33 2" xfId="12163"/>
    <cellStyle name="Normal 4 6 34" xfId="7100"/>
    <cellStyle name="Normal 4 6 34 2" xfId="12164"/>
    <cellStyle name="Normal 4 6 35" xfId="7101"/>
    <cellStyle name="Normal 4 6 35 2" xfId="12165"/>
    <cellStyle name="Normal 4 6 36" xfId="7102"/>
    <cellStyle name="Normal 4 6 36 2" xfId="12166"/>
    <cellStyle name="Normal 4 6 37" xfId="7103"/>
    <cellStyle name="Normal 4 6 37 2" xfId="12167"/>
    <cellStyle name="Normal 4 6 4" xfId="7104"/>
    <cellStyle name="Normal 4 6 4 2" xfId="12168"/>
    <cellStyle name="Normal 4 6 5" xfId="7105"/>
    <cellStyle name="Normal 4 6 5 2" xfId="12169"/>
    <cellStyle name="Normal 4 6 6" xfId="7106"/>
    <cellStyle name="Normal 4 6 6 2" xfId="12170"/>
    <cellStyle name="Normal 4 6 7" xfId="7107"/>
    <cellStyle name="Normal 4 6 7 2" xfId="12171"/>
    <cellStyle name="Normal 4 6 8" xfId="7108"/>
    <cellStyle name="Normal 4 6 8 2" xfId="12172"/>
    <cellStyle name="Normal 4 6 9" xfId="7109"/>
    <cellStyle name="Normal 4 6 9 2" xfId="12173"/>
    <cellStyle name="Normal 4 60" xfId="7110"/>
    <cellStyle name="Normal 4 61" xfId="7111"/>
    <cellStyle name="Normal 4 62" xfId="7112"/>
    <cellStyle name="Normal 4 63" xfId="7113"/>
    <cellStyle name="Normal 4 64" xfId="7114"/>
    <cellStyle name="Normal 4 65" xfId="7115"/>
    <cellStyle name="Normal 4 66" xfId="7116"/>
    <cellStyle name="Normal 4 67" xfId="7117"/>
    <cellStyle name="Normal 4 68" xfId="7118"/>
    <cellStyle name="Normal 4 69" xfId="7119"/>
    <cellStyle name="Normal 4 7" xfId="7120"/>
    <cellStyle name="Normal 4 7 2" xfId="12174"/>
    <cellStyle name="Normal 4 70" xfId="12076"/>
    <cellStyle name="Normal 4 8" xfId="7121"/>
    <cellStyle name="Normal 4 8 2" xfId="12175"/>
    <cellStyle name="Normal 4 9" xfId="7122"/>
    <cellStyle name="Normal 4 9 2" xfId="12176"/>
    <cellStyle name="Normal 40" xfId="7123"/>
    <cellStyle name="Normal 40 2" xfId="7124"/>
    <cellStyle name="Normal 40 3" xfId="7125"/>
    <cellStyle name="Normal 40 4" xfId="7126"/>
    <cellStyle name="Normal 40 5" xfId="7127"/>
    <cellStyle name="Normal 41" xfId="7128"/>
    <cellStyle name="Normal 41 2" xfId="7129"/>
    <cellStyle name="Normal 41 3" xfId="7130"/>
    <cellStyle name="Normal 41 4" xfId="7131"/>
    <cellStyle name="Normal 41 5" xfId="7132"/>
    <cellStyle name="Normal 42" xfId="7133"/>
    <cellStyle name="Normal 42 2" xfId="7134"/>
    <cellStyle name="Normal 42 3" xfId="7135"/>
    <cellStyle name="Normal 42 4" xfId="7136"/>
    <cellStyle name="Normal 42 5" xfId="7137"/>
    <cellStyle name="Normal 43" xfId="7138"/>
    <cellStyle name="Normal 43 2" xfId="7139"/>
    <cellStyle name="Normal 43 3" xfId="7140"/>
    <cellStyle name="Normal 43 4" xfId="7141"/>
    <cellStyle name="Normal 43 5" xfId="7142"/>
    <cellStyle name="Normal 44" xfId="10673"/>
    <cellStyle name="Normal 45" xfId="10642"/>
    <cellStyle name="Normal 46" xfId="10643"/>
    <cellStyle name="Normal 47" xfId="10645"/>
    <cellStyle name="Normal 48" xfId="10647"/>
    <cellStyle name="Normal 49" xfId="10653"/>
    <cellStyle name="Normal 5" xfId="138"/>
    <cellStyle name="Normal 5 10" xfId="7143"/>
    <cellStyle name="Normal 5 10 2" xfId="7144"/>
    <cellStyle name="Normal 5 10 3" xfId="7145"/>
    <cellStyle name="Normal 5 10 4" xfId="7146"/>
    <cellStyle name="Normal 5 10 5" xfId="7147"/>
    <cellStyle name="Normal 5 11" xfId="7148"/>
    <cellStyle name="Normal 5 11 2" xfId="7149"/>
    <cellStyle name="Normal 5 11 3" xfId="7150"/>
    <cellStyle name="Normal 5 11 4" xfId="7151"/>
    <cellStyle name="Normal 5 11 5" xfId="7152"/>
    <cellStyle name="Normal 5 12" xfId="7153"/>
    <cellStyle name="Normal 5 12 2" xfId="7154"/>
    <cellStyle name="Normal 5 12 3" xfId="7155"/>
    <cellStyle name="Normal 5 12 4" xfId="7156"/>
    <cellStyle name="Normal 5 12 5" xfId="7157"/>
    <cellStyle name="Normal 5 13" xfId="7158"/>
    <cellStyle name="Normal 5 13 2" xfId="7159"/>
    <cellStyle name="Normal 5 13 3" xfId="7160"/>
    <cellStyle name="Normal 5 13 4" xfId="7161"/>
    <cellStyle name="Normal 5 13 5" xfId="7162"/>
    <cellStyle name="Normal 5 14" xfId="7163"/>
    <cellStyle name="Normal 5 14 2" xfId="7164"/>
    <cellStyle name="Normal 5 14 3" xfId="7165"/>
    <cellStyle name="Normal 5 14 4" xfId="7166"/>
    <cellStyle name="Normal 5 14 5" xfId="7167"/>
    <cellStyle name="Normal 5 15" xfId="7168"/>
    <cellStyle name="Normal 5 15 2" xfId="7169"/>
    <cellStyle name="Normal 5 15 3" xfId="7170"/>
    <cellStyle name="Normal 5 15 4" xfId="7171"/>
    <cellStyle name="Normal 5 15 5" xfId="7172"/>
    <cellStyle name="Normal 5 16" xfId="7173"/>
    <cellStyle name="Normal 5 16 2" xfId="7174"/>
    <cellStyle name="Normal 5 16 3" xfId="7175"/>
    <cellStyle name="Normal 5 16 4" xfId="7176"/>
    <cellStyle name="Normal 5 16 5" xfId="7177"/>
    <cellStyle name="Normal 5 17" xfId="7178"/>
    <cellStyle name="Normal 5 17 2" xfId="7179"/>
    <cellStyle name="Normal 5 17 3" xfId="7180"/>
    <cellStyle name="Normal 5 17 4" xfId="7181"/>
    <cellStyle name="Normal 5 17 5" xfId="7182"/>
    <cellStyle name="Normal 5 18" xfId="7183"/>
    <cellStyle name="Normal 5 18 2" xfId="7184"/>
    <cellStyle name="Normal 5 18 3" xfId="7185"/>
    <cellStyle name="Normal 5 18 4" xfId="7186"/>
    <cellStyle name="Normal 5 18 5" xfId="7187"/>
    <cellStyle name="Normal 5 19" xfId="7188"/>
    <cellStyle name="Normal 5 19 2" xfId="7189"/>
    <cellStyle name="Normal 5 19 3" xfId="7190"/>
    <cellStyle name="Normal 5 19 4" xfId="7191"/>
    <cellStyle name="Normal 5 19 5" xfId="7192"/>
    <cellStyle name="Normal 5 2" xfId="139"/>
    <cellStyle name="Normal 5 2 10" xfId="7193"/>
    <cellStyle name="Normal 5 2 11" xfId="7194"/>
    <cellStyle name="Normal 5 2 12" xfId="7195"/>
    <cellStyle name="Normal 5 2 13" xfId="7196"/>
    <cellStyle name="Normal 5 2 14" xfId="7197"/>
    <cellStyle name="Normal 5 2 15" xfId="7198"/>
    <cellStyle name="Normal 5 2 16" xfId="7199"/>
    <cellStyle name="Normal 5 2 17" xfId="7200"/>
    <cellStyle name="Normal 5 2 18" xfId="7201"/>
    <cellStyle name="Normal 5 2 19" xfId="7202"/>
    <cellStyle name="Normal 5 2 2" xfId="7203"/>
    <cellStyle name="Normal 5 2 20" xfId="7204"/>
    <cellStyle name="Normal 5 2 21" xfId="7205"/>
    <cellStyle name="Normal 5 2 22" xfId="7206"/>
    <cellStyle name="Normal 5 2 23" xfId="7207"/>
    <cellStyle name="Normal 5 2 24" xfId="7208"/>
    <cellStyle name="Normal 5 2 3" xfId="7209"/>
    <cellStyle name="Normal 5 2 4" xfId="7210"/>
    <cellStyle name="Normal 5 2 5" xfId="7211"/>
    <cellStyle name="Normal 5 2 6" xfId="7212"/>
    <cellStyle name="Normal 5 2 7" xfId="7213"/>
    <cellStyle name="Normal 5 2 8" xfId="7214"/>
    <cellStyle name="Normal 5 2 9" xfId="7215"/>
    <cellStyle name="Normal 5 20" xfId="7216"/>
    <cellStyle name="Normal 5 20 2" xfId="7217"/>
    <cellStyle name="Normal 5 20 3" xfId="7218"/>
    <cellStyle name="Normal 5 20 4" xfId="7219"/>
    <cellStyle name="Normal 5 20 5" xfId="7220"/>
    <cellStyle name="Normal 5 21" xfId="7221"/>
    <cellStyle name="Normal 5 21 2" xfId="7222"/>
    <cellStyle name="Normal 5 21 3" xfId="7223"/>
    <cellStyle name="Normal 5 21 4" xfId="7224"/>
    <cellStyle name="Normal 5 21 5" xfId="7225"/>
    <cellStyle name="Normal 5 22" xfId="7226"/>
    <cellStyle name="Normal 5 22 2" xfId="7227"/>
    <cellStyle name="Normal 5 22 3" xfId="7228"/>
    <cellStyle name="Normal 5 22 4" xfId="7229"/>
    <cellStyle name="Normal 5 22 5" xfId="7230"/>
    <cellStyle name="Normal 5 23" xfId="7231"/>
    <cellStyle name="Normal 5 23 2" xfId="7232"/>
    <cellStyle name="Normal 5 23 3" xfId="7233"/>
    <cellStyle name="Normal 5 23 4" xfId="7234"/>
    <cellStyle name="Normal 5 23 5" xfId="7235"/>
    <cellStyle name="Normal 5 24" xfId="7236"/>
    <cellStyle name="Normal 5 24 2" xfId="7237"/>
    <cellStyle name="Normal 5 24 3" xfId="7238"/>
    <cellStyle name="Normal 5 24 4" xfId="7239"/>
    <cellStyle name="Normal 5 24 5" xfId="7240"/>
    <cellStyle name="Normal 5 25" xfId="7241"/>
    <cellStyle name="Normal 5 25 2" xfId="7242"/>
    <cellStyle name="Normal 5 25 3" xfId="7243"/>
    <cellStyle name="Normal 5 25 4" xfId="7244"/>
    <cellStyle name="Normal 5 25 5" xfId="7245"/>
    <cellStyle name="Normal 5 26" xfId="7246"/>
    <cellStyle name="Normal 5 26 2" xfId="7247"/>
    <cellStyle name="Normal 5 26 3" xfId="7248"/>
    <cellStyle name="Normal 5 26 4" xfId="7249"/>
    <cellStyle name="Normal 5 26 5" xfId="7250"/>
    <cellStyle name="Normal 5 27" xfId="7251"/>
    <cellStyle name="Normal 5 27 2" xfId="7252"/>
    <cellStyle name="Normal 5 27 3" xfId="7253"/>
    <cellStyle name="Normal 5 27 4" xfId="7254"/>
    <cellStyle name="Normal 5 27 5" xfId="7255"/>
    <cellStyle name="Normal 5 28" xfId="7256"/>
    <cellStyle name="Normal 5 28 2" xfId="7257"/>
    <cellStyle name="Normal 5 28 3" xfId="7258"/>
    <cellStyle name="Normal 5 28 4" xfId="7259"/>
    <cellStyle name="Normal 5 28 5" xfId="7260"/>
    <cellStyle name="Normal 5 29" xfId="7261"/>
    <cellStyle name="Normal 5 29 2" xfId="7262"/>
    <cellStyle name="Normal 5 29 3" xfId="7263"/>
    <cellStyle name="Normal 5 29 4" xfId="7264"/>
    <cellStyle name="Normal 5 29 5" xfId="7265"/>
    <cellStyle name="Normal 5 3" xfId="140"/>
    <cellStyle name="Normal 5 3 10" xfId="7266"/>
    <cellStyle name="Normal 5 3 11" xfId="7267"/>
    <cellStyle name="Normal 5 3 12" xfId="7268"/>
    <cellStyle name="Normal 5 3 13" xfId="7269"/>
    <cellStyle name="Normal 5 3 14" xfId="7270"/>
    <cellStyle name="Normal 5 3 15" xfId="7271"/>
    <cellStyle name="Normal 5 3 16" xfId="7272"/>
    <cellStyle name="Normal 5 3 17" xfId="7273"/>
    <cellStyle name="Normal 5 3 18" xfId="7274"/>
    <cellStyle name="Normal 5 3 19" xfId="7275"/>
    <cellStyle name="Normal 5 3 2" xfId="7276"/>
    <cellStyle name="Normal 5 3 20" xfId="7277"/>
    <cellStyle name="Normal 5 3 21" xfId="7278"/>
    <cellStyle name="Normal 5 3 22" xfId="7279"/>
    <cellStyle name="Normal 5 3 23" xfId="7280"/>
    <cellStyle name="Normal 5 3 24" xfId="7281"/>
    <cellStyle name="Normal 5 3 3" xfId="7282"/>
    <cellStyle name="Normal 5 3 4" xfId="7283"/>
    <cellStyle name="Normal 5 3 5" xfId="7284"/>
    <cellStyle name="Normal 5 3 6" xfId="7285"/>
    <cellStyle name="Normal 5 3 7" xfId="7286"/>
    <cellStyle name="Normal 5 3 8" xfId="7287"/>
    <cellStyle name="Normal 5 3 9" xfId="7288"/>
    <cellStyle name="Normal 5 30" xfId="7289"/>
    <cellStyle name="Normal 5 30 2" xfId="7290"/>
    <cellStyle name="Normal 5 30 3" xfId="7291"/>
    <cellStyle name="Normal 5 30 4" xfId="7292"/>
    <cellStyle name="Normal 5 30 5" xfId="7293"/>
    <cellStyle name="Normal 5 31" xfId="7294"/>
    <cellStyle name="Normal 5 32" xfId="7295"/>
    <cellStyle name="Normal 5 33" xfId="7296"/>
    <cellStyle name="Normal 5 34" xfId="7297"/>
    <cellStyle name="Normal 5 35" xfId="7298"/>
    <cellStyle name="Normal 5 36" xfId="7299"/>
    <cellStyle name="Normal 5 37" xfId="7300"/>
    <cellStyle name="Normal 5 38" xfId="7301"/>
    <cellStyle name="Normal 5 39" xfId="7302"/>
    <cellStyle name="Normal 5 4" xfId="141"/>
    <cellStyle name="Normal 5 4 10" xfId="7303"/>
    <cellStyle name="Normal 5 4 11" xfId="7304"/>
    <cellStyle name="Normal 5 4 12" xfId="7305"/>
    <cellStyle name="Normal 5 4 13" xfId="7306"/>
    <cellStyle name="Normal 5 4 14" xfId="7307"/>
    <cellStyle name="Normal 5 4 15" xfId="7308"/>
    <cellStyle name="Normal 5 4 16" xfId="7309"/>
    <cellStyle name="Normal 5 4 17" xfId="7310"/>
    <cellStyle name="Normal 5 4 18" xfId="7311"/>
    <cellStyle name="Normal 5 4 19" xfId="7312"/>
    <cellStyle name="Normal 5 4 2" xfId="7313"/>
    <cellStyle name="Normal 5 4 20" xfId="7314"/>
    <cellStyle name="Normal 5 4 21" xfId="7315"/>
    <cellStyle name="Normal 5 4 22" xfId="7316"/>
    <cellStyle name="Normal 5 4 23" xfId="7317"/>
    <cellStyle name="Normal 5 4 24" xfId="7318"/>
    <cellStyle name="Normal 5 4 3" xfId="7319"/>
    <cellStyle name="Normal 5 4 4" xfId="7320"/>
    <cellStyle name="Normal 5 4 5" xfId="7321"/>
    <cellStyle name="Normal 5 4 6" xfId="7322"/>
    <cellStyle name="Normal 5 4 7" xfId="7323"/>
    <cellStyle name="Normal 5 4 8" xfId="7324"/>
    <cellStyle name="Normal 5 4 9" xfId="7325"/>
    <cellStyle name="Normal 5 40" xfId="7326"/>
    <cellStyle name="Normal 5 41" xfId="7327"/>
    <cellStyle name="Normal 5 42" xfId="7328"/>
    <cellStyle name="Normal 5 43" xfId="7329"/>
    <cellStyle name="Normal 5 44" xfId="7330"/>
    <cellStyle name="Normal 5 45" xfId="7331"/>
    <cellStyle name="Normal 5 46" xfId="7332"/>
    <cellStyle name="Normal 5 47" xfId="10675"/>
    <cellStyle name="Normal 5 47 2" xfId="12177"/>
    <cellStyle name="Normal 5 48" xfId="10723"/>
    <cellStyle name="Normal 5 48 2" xfId="12178"/>
    <cellStyle name="Normal 5 49" xfId="10746"/>
    <cellStyle name="Normal 5 49 2" xfId="12179"/>
    <cellStyle name="Normal 5 5" xfId="142"/>
    <cellStyle name="Normal 5 5 10" xfId="7333"/>
    <cellStyle name="Normal 5 5 11" xfId="7334"/>
    <cellStyle name="Normal 5 5 12" xfId="7335"/>
    <cellStyle name="Normal 5 5 13" xfId="7336"/>
    <cellStyle name="Normal 5 5 14" xfId="7337"/>
    <cellStyle name="Normal 5 5 15" xfId="7338"/>
    <cellStyle name="Normal 5 5 16" xfId="7339"/>
    <cellStyle name="Normal 5 5 17" xfId="7340"/>
    <cellStyle name="Normal 5 5 18" xfId="7341"/>
    <cellStyle name="Normal 5 5 19" xfId="7342"/>
    <cellStyle name="Normal 5 5 2" xfId="7343"/>
    <cellStyle name="Normal 5 5 20" xfId="7344"/>
    <cellStyle name="Normal 5 5 21" xfId="7345"/>
    <cellStyle name="Normal 5 5 22" xfId="7346"/>
    <cellStyle name="Normal 5 5 23" xfId="7347"/>
    <cellStyle name="Normal 5 5 24" xfId="7348"/>
    <cellStyle name="Normal 5 5 3" xfId="7349"/>
    <cellStyle name="Normal 5 5 4" xfId="7350"/>
    <cellStyle name="Normal 5 5 5" xfId="7351"/>
    <cellStyle name="Normal 5 5 6" xfId="7352"/>
    <cellStyle name="Normal 5 5 7" xfId="7353"/>
    <cellStyle name="Normal 5 5 8" xfId="7354"/>
    <cellStyle name="Normal 5 5 9" xfId="7355"/>
    <cellStyle name="Normal 5 50" xfId="10730"/>
    <cellStyle name="Normal 5 50 2" xfId="12180"/>
    <cellStyle name="Normal 5 51" xfId="10739"/>
    <cellStyle name="Normal 5 51 2" xfId="12181"/>
    <cellStyle name="Normal 5 52" xfId="10755"/>
    <cellStyle name="Normal 5 52 2" xfId="12182"/>
    <cellStyle name="Normal 5 53" xfId="10788"/>
    <cellStyle name="Normal 5 53 2" xfId="12183"/>
    <cellStyle name="Normal 5 54" xfId="10762"/>
    <cellStyle name="Normal 5 54 2" xfId="12184"/>
    <cellStyle name="Normal 5 6" xfId="7356"/>
    <cellStyle name="Normal 5 6 2" xfId="7357"/>
    <cellStyle name="Normal 5 6 3" xfId="7358"/>
    <cellStyle name="Normal 5 6 4" xfId="7359"/>
    <cellStyle name="Normal 5 6 5" xfId="7360"/>
    <cellStyle name="Normal 5 7" xfId="7361"/>
    <cellStyle name="Normal 5 7 2" xfId="7362"/>
    <cellStyle name="Normal 5 7 3" xfId="7363"/>
    <cellStyle name="Normal 5 7 4" xfId="7364"/>
    <cellStyle name="Normal 5 7 5" xfId="7365"/>
    <cellStyle name="Normal 5 8" xfId="7366"/>
    <cellStyle name="Normal 5 8 2" xfId="7367"/>
    <cellStyle name="Normal 5 8 3" xfId="7368"/>
    <cellStyle name="Normal 5 8 4" xfId="7369"/>
    <cellStyle name="Normal 5 8 5" xfId="7370"/>
    <cellStyle name="Normal 5 9" xfId="7371"/>
    <cellStyle name="Normal 5 9 2" xfId="7372"/>
    <cellStyle name="Normal 5 9 3" xfId="7373"/>
    <cellStyle name="Normal 5 9 4" xfId="7374"/>
    <cellStyle name="Normal 5 9 5" xfId="7375"/>
    <cellStyle name="Normal 50" xfId="10654"/>
    <cellStyle name="Normal 51" xfId="10655"/>
    <cellStyle name="Normal 52" xfId="10663"/>
    <cellStyle name="Normal 53" xfId="10665"/>
    <cellStyle name="Normal 54" xfId="10668"/>
    <cellStyle name="Normal 55" xfId="10669"/>
    <cellStyle name="Normal 56" xfId="10672"/>
    <cellStyle name="Normal 57" xfId="10816"/>
    <cellStyle name="Normal 58" xfId="10817"/>
    <cellStyle name="Normal 59" xfId="10818"/>
    <cellStyle name="Normal 6" xfId="143"/>
    <cellStyle name="Normal 6 10" xfId="7376"/>
    <cellStyle name="Normal 6 10 10" xfId="7377"/>
    <cellStyle name="Normal 6 10 11" xfId="7378"/>
    <cellStyle name="Normal 6 10 12" xfId="7379"/>
    <cellStyle name="Normal 6 10 13" xfId="7380"/>
    <cellStyle name="Normal 6 10 14" xfId="7381"/>
    <cellStyle name="Normal 6 10 15" xfId="7382"/>
    <cellStyle name="Normal 6 10 16" xfId="7383"/>
    <cellStyle name="Normal 6 10 17" xfId="7384"/>
    <cellStyle name="Normal 6 10 2" xfId="7385"/>
    <cellStyle name="Normal 6 10 3" xfId="7386"/>
    <cellStyle name="Normal 6 10 4" xfId="7387"/>
    <cellStyle name="Normal 6 10 5" xfId="7388"/>
    <cellStyle name="Normal 6 10 6" xfId="7389"/>
    <cellStyle name="Normal 6 10 7" xfId="7390"/>
    <cellStyle name="Normal 6 10 8" xfId="7391"/>
    <cellStyle name="Normal 6 10 9" xfId="7392"/>
    <cellStyle name="Normal 6 11" xfId="7393"/>
    <cellStyle name="Normal 6 11 10" xfId="7394"/>
    <cellStyle name="Normal 6 11 11" xfId="7395"/>
    <cellStyle name="Normal 6 11 12" xfId="7396"/>
    <cellStyle name="Normal 6 11 13" xfId="7397"/>
    <cellStyle name="Normal 6 11 14" xfId="7398"/>
    <cellStyle name="Normal 6 11 15" xfId="7399"/>
    <cellStyle name="Normal 6 11 16" xfId="7400"/>
    <cellStyle name="Normal 6 11 17" xfId="7401"/>
    <cellStyle name="Normal 6 11 2" xfId="7402"/>
    <cellStyle name="Normal 6 11 3" xfId="7403"/>
    <cellStyle name="Normal 6 11 4" xfId="7404"/>
    <cellStyle name="Normal 6 11 5" xfId="7405"/>
    <cellStyle name="Normal 6 11 6" xfId="7406"/>
    <cellStyle name="Normal 6 11 7" xfId="7407"/>
    <cellStyle name="Normal 6 11 8" xfId="7408"/>
    <cellStyle name="Normal 6 11 9" xfId="7409"/>
    <cellStyle name="Normal 6 12" xfId="7410"/>
    <cellStyle name="Normal 6 12 10" xfId="7411"/>
    <cellStyle name="Normal 6 12 11" xfId="7412"/>
    <cellStyle name="Normal 6 12 12" xfId="7413"/>
    <cellStyle name="Normal 6 12 13" xfId="7414"/>
    <cellStyle name="Normal 6 12 14" xfId="7415"/>
    <cellStyle name="Normal 6 12 15" xfId="7416"/>
    <cellStyle name="Normal 6 12 16" xfId="7417"/>
    <cellStyle name="Normal 6 12 17" xfId="7418"/>
    <cellStyle name="Normal 6 12 2" xfId="7419"/>
    <cellStyle name="Normal 6 12 3" xfId="7420"/>
    <cellStyle name="Normal 6 12 4" xfId="7421"/>
    <cellStyle name="Normal 6 12 5" xfId="7422"/>
    <cellStyle name="Normal 6 12 6" xfId="7423"/>
    <cellStyle name="Normal 6 12 7" xfId="7424"/>
    <cellStyle name="Normal 6 12 8" xfId="7425"/>
    <cellStyle name="Normal 6 12 9" xfId="7426"/>
    <cellStyle name="Normal 6 13" xfId="7427"/>
    <cellStyle name="Normal 6 13 10" xfId="7428"/>
    <cellStyle name="Normal 6 13 11" xfId="7429"/>
    <cellStyle name="Normal 6 13 12" xfId="7430"/>
    <cellStyle name="Normal 6 13 13" xfId="7431"/>
    <cellStyle name="Normal 6 13 14" xfId="7432"/>
    <cellStyle name="Normal 6 13 15" xfId="7433"/>
    <cellStyle name="Normal 6 13 16" xfId="7434"/>
    <cellStyle name="Normal 6 13 17" xfId="7435"/>
    <cellStyle name="Normal 6 13 2" xfId="7436"/>
    <cellStyle name="Normal 6 13 3" xfId="7437"/>
    <cellStyle name="Normal 6 13 4" xfId="7438"/>
    <cellStyle name="Normal 6 13 5" xfId="7439"/>
    <cellStyle name="Normal 6 13 6" xfId="7440"/>
    <cellStyle name="Normal 6 13 7" xfId="7441"/>
    <cellStyle name="Normal 6 13 8" xfId="7442"/>
    <cellStyle name="Normal 6 13 9" xfId="7443"/>
    <cellStyle name="Normal 6 14" xfId="7444"/>
    <cellStyle name="Normal 6 14 10" xfId="7445"/>
    <cellStyle name="Normal 6 14 11" xfId="7446"/>
    <cellStyle name="Normal 6 14 12" xfId="7447"/>
    <cellStyle name="Normal 6 14 13" xfId="7448"/>
    <cellStyle name="Normal 6 14 14" xfId="7449"/>
    <cellStyle name="Normal 6 14 15" xfId="7450"/>
    <cellStyle name="Normal 6 14 16" xfId="7451"/>
    <cellStyle name="Normal 6 14 17" xfId="7452"/>
    <cellStyle name="Normal 6 14 2" xfId="7453"/>
    <cellStyle name="Normal 6 14 3" xfId="7454"/>
    <cellStyle name="Normal 6 14 4" xfId="7455"/>
    <cellStyle name="Normal 6 14 5" xfId="7456"/>
    <cellStyle name="Normal 6 14 6" xfId="7457"/>
    <cellStyle name="Normal 6 14 7" xfId="7458"/>
    <cellStyle name="Normal 6 14 8" xfId="7459"/>
    <cellStyle name="Normal 6 14 9" xfId="7460"/>
    <cellStyle name="Normal 6 15" xfId="7461"/>
    <cellStyle name="Normal 6 15 10" xfId="7462"/>
    <cellStyle name="Normal 6 15 11" xfId="7463"/>
    <cellStyle name="Normal 6 15 12" xfId="7464"/>
    <cellStyle name="Normal 6 15 13" xfId="7465"/>
    <cellStyle name="Normal 6 15 14" xfId="7466"/>
    <cellStyle name="Normal 6 15 15" xfId="7467"/>
    <cellStyle name="Normal 6 15 16" xfId="7468"/>
    <cellStyle name="Normal 6 15 17" xfId="7469"/>
    <cellStyle name="Normal 6 15 2" xfId="7470"/>
    <cellStyle name="Normal 6 15 3" xfId="7471"/>
    <cellStyle name="Normal 6 15 4" xfId="7472"/>
    <cellStyle name="Normal 6 15 5" xfId="7473"/>
    <cellStyle name="Normal 6 15 6" xfId="7474"/>
    <cellStyle name="Normal 6 15 7" xfId="7475"/>
    <cellStyle name="Normal 6 15 8" xfId="7476"/>
    <cellStyle name="Normal 6 15 9" xfId="7477"/>
    <cellStyle name="Normal 6 16" xfId="7478"/>
    <cellStyle name="Normal 6 16 10" xfId="7479"/>
    <cellStyle name="Normal 6 16 11" xfId="7480"/>
    <cellStyle name="Normal 6 16 12" xfId="7481"/>
    <cellStyle name="Normal 6 16 13" xfId="7482"/>
    <cellStyle name="Normal 6 16 14" xfId="7483"/>
    <cellStyle name="Normal 6 16 15" xfId="7484"/>
    <cellStyle name="Normal 6 16 16" xfId="7485"/>
    <cellStyle name="Normal 6 16 17" xfId="7486"/>
    <cellStyle name="Normal 6 16 2" xfId="7487"/>
    <cellStyle name="Normal 6 16 3" xfId="7488"/>
    <cellStyle name="Normal 6 16 4" xfId="7489"/>
    <cellStyle name="Normal 6 16 5" xfId="7490"/>
    <cellStyle name="Normal 6 16 6" xfId="7491"/>
    <cellStyle name="Normal 6 16 7" xfId="7492"/>
    <cellStyle name="Normal 6 16 8" xfId="7493"/>
    <cellStyle name="Normal 6 16 9" xfId="7494"/>
    <cellStyle name="Normal 6 17" xfId="7495"/>
    <cellStyle name="Normal 6 17 10" xfId="7496"/>
    <cellStyle name="Normal 6 17 11" xfId="7497"/>
    <cellStyle name="Normal 6 17 12" xfId="7498"/>
    <cellStyle name="Normal 6 17 13" xfId="7499"/>
    <cellStyle name="Normal 6 17 14" xfId="7500"/>
    <cellStyle name="Normal 6 17 15" xfId="7501"/>
    <cellStyle name="Normal 6 17 16" xfId="7502"/>
    <cellStyle name="Normal 6 17 17" xfId="7503"/>
    <cellStyle name="Normal 6 17 2" xfId="7504"/>
    <cellStyle name="Normal 6 17 3" xfId="7505"/>
    <cellStyle name="Normal 6 17 4" xfId="7506"/>
    <cellStyle name="Normal 6 17 5" xfId="7507"/>
    <cellStyle name="Normal 6 17 6" xfId="7508"/>
    <cellStyle name="Normal 6 17 7" xfId="7509"/>
    <cellStyle name="Normal 6 17 8" xfId="7510"/>
    <cellStyle name="Normal 6 17 9" xfId="7511"/>
    <cellStyle name="Normal 6 18" xfId="7512"/>
    <cellStyle name="Normal 6 18 10" xfId="7513"/>
    <cellStyle name="Normal 6 18 11" xfId="7514"/>
    <cellStyle name="Normal 6 18 12" xfId="7515"/>
    <cellStyle name="Normal 6 18 13" xfId="7516"/>
    <cellStyle name="Normal 6 18 14" xfId="7517"/>
    <cellStyle name="Normal 6 18 15" xfId="7518"/>
    <cellStyle name="Normal 6 18 16" xfId="7519"/>
    <cellStyle name="Normal 6 18 17" xfId="7520"/>
    <cellStyle name="Normal 6 18 2" xfId="7521"/>
    <cellStyle name="Normal 6 18 3" xfId="7522"/>
    <cellStyle name="Normal 6 18 4" xfId="7523"/>
    <cellStyle name="Normal 6 18 5" xfId="7524"/>
    <cellStyle name="Normal 6 18 6" xfId="7525"/>
    <cellStyle name="Normal 6 18 7" xfId="7526"/>
    <cellStyle name="Normal 6 18 8" xfId="7527"/>
    <cellStyle name="Normal 6 18 9" xfId="7528"/>
    <cellStyle name="Normal 6 19" xfId="7529"/>
    <cellStyle name="Normal 6 19 10" xfId="7530"/>
    <cellStyle name="Normal 6 19 11" xfId="7531"/>
    <cellStyle name="Normal 6 19 12" xfId="7532"/>
    <cellStyle name="Normal 6 19 13" xfId="7533"/>
    <cellStyle name="Normal 6 19 14" xfId="7534"/>
    <cellStyle name="Normal 6 19 15" xfId="7535"/>
    <cellStyle name="Normal 6 19 16" xfId="7536"/>
    <cellStyle name="Normal 6 19 17" xfId="7537"/>
    <cellStyle name="Normal 6 19 2" xfId="7538"/>
    <cellStyle name="Normal 6 19 3" xfId="7539"/>
    <cellStyle name="Normal 6 19 4" xfId="7540"/>
    <cellStyle name="Normal 6 19 5" xfId="7541"/>
    <cellStyle name="Normal 6 19 6" xfId="7542"/>
    <cellStyle name="Normal 6 19 7" xfId="7543"/>
    <cellStyle name="Normal 6 19 8" xfId="7544"/>
    <cellStyle name="Normal 6 19 9" xfId="7545"/>
    <cellStyle name="Normal 6 2" xfId="144"/>
    <cellStyle name="Normal 6 2 10" xfId="7546"/>
    <cellStyle name="Normal 6 2 10 10" xfId="7547"/>
    <cellStyle name="Normal 6 2 10 11" xfId="7548"/>
    <cellStyle name="Normal 6 2 10 12" xfId="7549"/>
    <cellStyle name="Normal 6 2 10 13" xfId="7550"/>
    <cellStyle name="Normal 6 2 10 2" xfId="7551"/>
    <cellStyle name="Normal 6 2 10 3" xfId="7552"/>
    <cellStyle name="Normal 6 2 10 4" xfId="7553"/>
    <cellStyle name="Normal 6 2 10 5" xfId="7554"/>
    <cellStyle name="Normal 6 2 10 6" xfId="7555"/>
    <cellStyle name="Normal 6 2 10 7" xfId="7556"/>
    <cellStyle name="Normal 6 2 10 8" xfId="7557"/>
    <cellStyle name="Normal 6 2 10 9" xfId="7558"/>
    <cellStyle name="Normal 6 2 11" xfId="7559"/>
    <cellStyle name="Normal 6 2 11 10" xfId="7560"/>
    <cellStyle name="Normal 6 2 11 11" xfId="7561"/>
    <cellStyle name="Normal 6 2 11 12" xfId="7562"/>
    <cellStyle name="Normal 6 2 11 13" xfId="7563"/>
    <cellStyle name="Normal 6 2 11 2" xfId="7564"/>
    <cellStyle name="Normal 6 2 11 3" xfId="7565"/>
    <cellStyle name="Normal 6 2 11 4" xfId="7566"/>
    <cellStyle name="Normal 6 2 11 5" xfId="7567"/>
    <cellStyle name="Normal 6 2 11 6" xfId="7568"/>
    <cellStyle name="Normal 6 2 11 7" xfId="7569"/>
    <cellStyle name="Normal 6 2 11 8" xfId="7570"/>
    <cellStyle name="Normal 6 2 11 9" xfId="7571"/>
    <cellStyle name="Normal 6 2 12" xfId="7572"/>
    <cellStyle name="Normal 6 2 12 10" xfId="7573"/>
    <cellStyle name="Normal 6 2 12 11" xfId="7574"/>
    <cellStyle name="Normal 6 2 12 12" xfId="7575"/>
    <cellStyle name="Normal 6 2 12 13" xfId="7576"/>
    <cellStyle name="Normal 6 2 12 2" xfId="7577"/>
    <cellStyle name="Normal 6 2 12 3" xfId="7578"/>
    <cellStyle name="Normal 6 2 12 4" xfId="7579"/>
    <cellStyle name="Normal 6 2 12 5" xfId="7580"/>
    <cellStyle name="Normal 6 2 12 6" xfId="7581"/>
    <cellStyle name="Normal 6 2 12 7" xfId="7582"/>
    <cellStyle name="Normal 6 2 12 8" xfId="7583"/>
    <cellStyle name="Normal 6 2 12 9" xfId="7584"/>
    <cellStyle name="Normal 6 2 13" xfId="7585"/>
    <cellStyle name="Normal 6 2 14" xfId="7586"/>
    <cellStyle name="Normal 6 2 15" xfId="7587"/>
    <cellStyle name="Normal 6 2 16" xfId="7588"/>
    <cellStyle name="Normal 6 2 17" xfId="7589"/>
    <cellStyle name="Normal 6 2 18" xfId="7590"/>
    <cellStyle name="Normal 6 2 19" xfId="7591"/>
    <cellStyle name="Normal 6 2 2" xfId="7592"/>
    <cellStyle name="Normal 6 2 2 10" xfId="7593"/>
    <cellStyle name="Normal 6 2 2 11" xfId="7594"/>
    <cellStyle name="Normal 6 2 2 12" xfId="7595"/>
    <cellStyle name="Normal 6 2 2 13" xfId="7596"/>
    <cellStyle name="Normal 6 2 2 14" xfId="7597"/>
    <cellStyle name="Normal 6 2 2 15" xfId="7598"/>
    <cellStyle name="Normal 6 2 2 16" xfId="7599"/>
    <cellStyle name="Normal 6 2 2 17" xfId="7600"/>
    <cellStyle name="Normal 6 2 2 18" xfId="7601"/>
    <cellStyle name="Normal 6 2 2 19" xfId="7602"/>
    <cellStyle name="Normal 6 2 2 2" xfId="7603"/>
    <cellStyle name="Normal 6 2 2 2 10" xfId="7604"/>
    <cellStyle name="Normal 6 2 2 2 11" xfId="7605"/>
    <cellStyle name="Normal 6 2 2 2 12" xfId="7606"/>
    <cellStyle name="Normal 6 2 2 2 13" xfId="7607"/>
    <cellStyle name="Normal 6 2 2 2 2" xfId="7608"/>
    <cellStyle name="Normal 6 2 2 2 3" xfId="7609"/>
    <cellStyle name="Normal 6 2 2 2 4" xfId="7610"/>
    <cellStyle name="Normal 6 2 2 2 5" xfId="7611"/>
    <cellStyle name="Normal 6 2 2 2 6" xfId="7612"/>
    <cellStyle name="Normal 6 2 2 2 7" xfId="7613"/>
    <cellStyle name="Normal 6 2 2 2 8" xfId="7614"/>
    <cellStyle name="Normal 6 2 2 2 9" xfId="7615"/>
    <cellStyle name="Normal 6 2 2 20" xfId="7616"/>
    <cellStyle name="Normal 6 2 2 21" xfId="7617"/>
    <cellStyle name="Normal 6 2 2 22" xfId="7618"/>
    <cellStyle name="Normal 6 2 2 23" xfId="7619"/>
    <cellStyle name="Normal 6 2 2 24" xfId="7620"/>
    <cellStyle name="Normal 6 2 2 25" xfId="7621"/>
    <cellStyle name="Normal 6 2 2 26" xfId="7622"/>
    <cellStyle name="Normal 6 2 2 27" xfId="7623"/>
    <cellStyle name="Normal 6 2 2 28" xfId="7624"/>
    <cellStyle name="Normal 6 2 2 29" xfId="7625"/>
    <cellStyle name="Normal 6 2 2 3" xfId="7626"/>
    <cellStyle name="Normal 6 2 2 30" xfId="7627"/>
    <cellStyle name="Normal 6 2 2 31" xfId="7628"/>
    <cellStyle name="Normal 6 2 2 32" xfId="7629"/>
    <cellStyle name="Normal 6 2 2 33" xfId="7630"/>
    <cellStyle name="Normal 6 2 2 34" xfId="7631"/>
    <cellStyle name="Normal 6 2 2 35" xfId="7632"/>
    <cellStyle name="Normal 6 2 2 36" xfId="7633"/>
    <cellStyle name="Normal 6 2 2 37" xfId="7634"/>
    <cellStyle name="Normal 6 2 2 38" xfId="7635"/>
    <cellStyle name="Normal 6 2 2 39" xfId="7636"/>
    <cellStyle name="Normal 6 2 2 4" xfId="7637"/>
    <cellStyle name="Normal 6 2 2 40" xfId="7638"/>
    <cellStyle name="Normal 6 2 2 41" xfId="7639"/>
    <cellStyle name="Normal 6 2 2 42" xfId="7640"/>
    <cellStyle name="Normal 6 2 2 43" xfId="7641"/>
    <cellStyle name="Normal 6 2 2 44" xfId="7642"/>
    <cellStyle name="Normal 6 2 2 45" xfId="7643"/>
    <cellStyle name="Normal 6 2 2 46" xfId="7644"/>
    <cellStyle name="Normal 6 2 2 47" xfId="7645"/>
    <cellStyle name="Normal 6 2 2 48" xfId="7646"/>
    <cellStyle name="Normal 6 2 2 5" xfId="7647"/>
    <cellStyle name="Normal 6 2 2 6" xfId="7648"/>
    <cellStyle name="Normal 6 2 2 7" xfId="7649"/>
    <cellStyle name="Normal 6 2 2 8" xfId="7650"/>
    <cellStyle name="Normal 6 2 2 9" xfId="7651"/>
    <cellStyle name="Normal 6 2 20" xfId="7652"/>
    <cellStyle name="Normal 6 2 21" xfId="7653"/>
    <cellStyle name="Normal 6 2 22" xfId="7654"/>
    <cellStyle name="Normal 6 2 23" xfId="7655"/>
    <cellStyle name="Normal 6 2 24" xfId="7656"/>
    <cellStyle name="Normal 6 2 25" xfId="7657"/>
    <cellStyle name="Normal 6 2 26" xfId="7658"/>
    <cellStyle name="Normal 6 2 27" xfId="7659"/>
    <cellStyle name="Normal 6 2 28" xfId="7660"/>
    <cellStyle name="Normal 6 2 29" xfId="7661"/>
    <cellStyle name="Normal 6 2 3" xfId="7662"/>
    <cellStyle name="Normal 6 2 30" xfId="7663"/>
    <cellStyle name="Normal 6 2 31" xfId="7664"/>
    <cellStyle name="Normal 6 2 32" xfId="7665"/>
    <cellStyle name="Normal 6 2 33" xfId="7666"/>
    <cellStyle name="Normal 6 2 34" xfId="7667"/>
    <cellStyle name="Normal 6 2 35" xfId="7668"/>
    <cellStyle name="Normal 6 2 36" xfId="7669"/>
    <cellStyle name="Normal 6 2 37" xfId="7670"/>
    <cellStyle name="Normal 6 2 38" xfId="7671"/>
    <cellStyle name="Normal 6 2 39" xfId="7672"/>
    <cellStyle name="Normal 6 2 4" xfId="7673"/>
    <cellStyle name="Normal 6 2 40" xfId="7674"/>
    <cellStyle name="Normal 6 2 41" xfId="7675"/>
    <cellStyle name="Normal 6 2 42" xfId="7676"/>
    <cellStyle name="Normal 6 2 43" xfId="7677"/>
    <cellStyle name="Normal 6 2 44" xfId="7678"/>
    <cellStyle name="Normal 6 2 45" xfId="7679"/>
    <cellStyle name="Normal 6 2 46" xfId="7680"/>
    <cellStyle name="Normal 6 2 47" xfId="7681"/>
    <cellStyle name="Normal 6 2 48" xfId="7682"/>
    <cellStyle name="Normal 6 2 49" xfId="7683"/>
    <cellStyle name="Normal 6 2 5" xfId="7684"/>
    <cellStyle name="Normal 6 2 50" xfId="7685"/>
    <cellStyle name="Normal 6 2 51" xfId="7686"/>
    <cellStyle name="Normal 6 2 52" xfId="7687"/>
    <cellStyle name="Normal 6 2 53" xfId="7688"/>
    <cellStyle name="Normal 6 2 54" xfId="7689"/>
    <cellStyle name="Normal 6 2 55" xfId="7690"/>
    <cellStyle name="Normal 6 2 56" xfId="7691"/>
    <cellStyle name="Normal 6 2 57" xfId="7692"/>
    <cellStyle name="Normal 6 2 58" xfId="7693"/>
    <cellStyle name="Normal 6 2 59" xfId="7694"/>
    <cellStyle name="Normal 6 2 6" xfId="7695"/>
    <cellStyle name="Normal 6 2 60" xfId="7696"/>
    <cellStyle name="Normal 6 2 61" xfId="7697"/>
    <cellStyle name="Normal 6 2 62" xfId="7698"/>
    <cellStyle name="Normal 6 2 63" xfId="7699"/>
    <cellStyle name="Normal 6 2 64" xfId="7700"/>
    <cellStyle name="Normal 6 2 65" xfId="7701"/>
    <cellStyle name="Normal 6 2 66" xfId="7702"/>
    <cellStyle name="Normal 6 2 67" xfId="7703"/>
    <cellStyle name="Normal 6 2 68" xfId="7704"/>
    <cellStyle name="Normal 6 2 69" xfId="7705"/>
    <cellStyle name="Normal 6 2 7" xfId="7706"/>
    <cellStyle name="Normal 6 2 70" xfId="7707"/>
    <cellStyle name="Normal 6 2 71" xfId="7708"/>
    <cellStyle name="Normal 6 2 72" xfId="7709"/>
    <cellStyle name="Normal 6 2 73" xfId="7710"/>
    <cellStyle name="Normal 6 2 74" xfId="7711"/>
    <cellStyle name="Normal 6 2 75" xfId="7712"/>
    <cellStyle name="Normal 6 2 76" xfId="7713"/>
    <cellStyle name="Normal 6 2 77" xfId="7714"/>
    <cellStyle name="Normal 6 2 8" xfId="7715"/>
    <cellStyle name="Normal 6 2 9" xfId="7716"/>
    <cellStyle name="Normal 6 2 9 10" xfId="7717"/>
    <cellStyle name="Normal 6 2 9 11" xfId="7718"/>
    <cellStyle name="Normal 6 2 9 12" xfId="7719"/>
    <cellStyle name="Normal 6 2 9 13" xfId="7720"/>
    <cellStyle name="Normal 6 2 9 2" xfId="7721"/>
    <cellStyle name="Normal 6 2 9 3" xfId="7722"/>
    <cellStyle name="Normal 6 2 9 4" xfId="7723"/>
    <cellStyle name="Normal 6 2 9 5" xfId="7724"/>
    <cellStyle name="Normal 6 2 9 6" xfId="7725"/>
    <cellStyle name="Normal 6 2 9 7" xfId="7726"/>
    <cellStyle name="Normal 6 2 9 8" xfId="7727"/>
    <cellStyle name="Normal 6 2 9 9" xfId="7728"/>
    <cellStyle name="Normal 6 20" xfId="7729"/>
    <cellStyle name="Normal 6 20 10" xfId="7730"/>
    <cellStyle name="Normal 6 20 11" xfId="7731"/>
    <cellStyle name="Normal 6 20 12" xfId="7732"/>
    <cellStyle name="Normal 6 20 13" xfId="7733"/>
    <cellStyle name="Normal 6 20 14" xfId="7734"/>
    <cellStyle name="Normal 6 20 15" xfId="7735"/>
    <cellStyle name="Normal 6 20 16" xfId="7736"/>
    <cellStyle name="Normal 6 20 17" xfId="7737"/>
    <cellStyle name="Normal 6 20 2" xfId="7738"/>
    <cellStyle name="Normal 6 20 3" xfId="7739"/>
    <cellStyle name="Normal 6 20 4" xfId="7740"/>
    <cellStyle name="Normal 6 20 5" xfId="7741"/>
    <cellStyle name="Normal 6 20 6" xfId="7742"/>
    <cellStyle name="Normal 6 20 7" xfId="7743"/>
    <cellStyle name="Normal 6 20 8" xfId="7744"/>
    <cellStyle name="Normal 6 20 9" xfId="7745"/>
    <cellStyle name="Normal 6 21" xfId="7746"/>
    <cellStyle name="Normal 6 21 10" xfId="7747"/>
    <cellStyle name="Normal 6 21 11" xfId="7748"/>
    <cellStyle name="Normal 6 21 12" xfId="7749"/>
    <cellStyle name="Normal 6 21 13" xfId="7750"/>
    <cellStyle name="Normal 6 21 14" xfId="7751"/>
    <cellStyle name="Normal 6 21 15" xfId="7752"/>
    <cellStyle name="Normal 6 21 16" xfId="7753"/>
    <cellStyle name="Normal 6 21 17" xfId="7754"/>
    <cellStyle name="Normal 6 21 2" xfId="7755"/>
    <cellStyle name="Normal 6 21 3" xfId="7756"/>
    <cellStyle name="Normal 6 21 4" xfId="7757"/>
    <cellStyle name="Normal 6 21 5" xfId="7758"/>
    <cellStyle name="Normal 6 21 6" xfId="7759"/>
    <cellStyle name="Normal 6 21 7" xfId="7760"/>
    <cellStyle name="Normal 6 21 8" xfId="7761"/>
    <cellStyle name="Normal 6 21 9" xfId="7762"/>
    <cellStyle name="Normal 6 22" xfId="7763"/>
    <cellStyle name="Normal 6 22 10" xfId="7764"/>
    <cellStyle name="Normal 6 22 11" xfId="7765"/>
    <cellStyle name="Normal 6 22 12" xfId="7766"/>
    <cellStyle name="Normal 6 22 13" xfId="7767"/>
    <cellStyle name="Normal 6 22 14" xfId="7768"/>
    <cellStyle name="Normal 6 22 15" xfId="7769"/>
    <cellStyle name="Normal 6 22 16" xfId="7770"/>
    <cellStyle name="Normal 6 22 17" xfId="7771"/>
    <cellStyle name="Normal 6 22 2" xfId="7772"/>
    <cellStyle name="Normal 6 22 3" xfId="7773"/>
    <cellStyle name="Normal 6 22 4" xfId="7774"/>
    <cellStyle name="Normal 6 22 5" xfId="7775"/>
    <cellStyle name="Normal 6 22 6" xfId="7776"/>
    <cellStyle name="Normal 6 22 7" xfId="7777"/>
    <cellStyle name="Normal 6 22 8" xfId="7778"/>
    <cellStyle name="Normal 6 22 9" xfId="7779"/>
    <cellStyle name="Normal 6 23" xfId="7780"/>
    <cellStyle name="Normal 6 23 10" xfId="7781"/>
    <cellStyle name="Normal 6 23 11" xfId="7782"/>
    <cellStyle name="Normal 6 23 12" xfId="7783"/>
    <cellStyle name="Normal 6 23 13" xfId="7784"/>
    <cellStyle name="Normal 6 23 14" xfId="7785"/>
    <cellStyle name="Normal 6 23 15" xfId="7786"/>
    <cellStyle name="Normal 6 23 16" xfId="7787"/>
    <cellStyle name="Normal 6 23 17" xfId="7788"/>
    <cellStyle name="Normal 6 23 2" xfId="7789"/>
    <cellStyle name="Normal 6 23 3" xfId="7790"/>
    <cellStyle name="Normal 6 23 4" xfId="7791"/>
    <cellStyle name="Normal 6 23 5" xfId="7792"/>
    <cellStyle name="Normal 6 23 6" xfId="7793"/>
    <cellStyle name="Normal 6 23 7" xfId="7794"/>
    <cellStyle name="Normal 6 23 8" xfId="7795"/>
    <cellStyle name="Normal 6 23 9" xfId="7796"/>
    <cellStyle name="Normal 6 24" xfId="7797"/>
    <cellStyle name="Normal 6 24 10" xfId="7798"/>
    <cellStyle name="Normal 6 24 11" xfId="7799"/>
    <cellStyle name="Normal 6 24 12" xfId="7800"/>
    <cellStyle name="Normal 6 24 13" xfId="7801"/>
    <cellStyle name="Normal 6 24 14" xfId="7802"/>
    <cellStyle name="Normal 6 24 15" xfId="7803"/>
    <cellStyle name="Normal 6 24 16" xfId="7804"/>
    <cellStyle name="Normal 6 24 17" xfId="7805"/>
    <cellStyle name="Normal 6 24 2" xfId="7806"/>
    <cellStyle name="Normal 6 24 3" xfId="7807"/>
    <cellStyle name="Normal 6 24 4" xfId="7808"/>
    <cellStyle name="Normal 6 24 5" xfId="7809"/>
    <cellStyle name="Normal 6 24 6" xfId="7810"/>
    <cellStyle name="Normal 6 24 7" xfId="7811"/>
    <cellStyle name="Normal 6 24 8" xfId="7812"/>
    <cellStyle name="Normal 6 24 9" xfId="7813"/>
    <cellStyle name="Normal 6 25" xfId="7814"/>
    <cellStyle name="Normal 6 25 10" xfId="7815"/>
    <cellStyle name="Normal 6 25 11" xfId="7816"/>
    <cellStyle name="Normal 6 25 12" xfId="7817"/>
    <cellStyle name="Normal 6 25 13" xfId="7818"/>
    <cellStyle name="Normal 6 25 14" xfId="7819"/>
    <cellStyle name="Normal 6 25 15" xfId="7820"/>
    <cellStyle name="Normal 6 25 16" xfId="7821"/>
    <cellStyle name="Normal 6 25 17" xfId="7822"/>
    <cellStyle name="Normal 6 25 2" xfId="7823"/>
    <cellStyle name="Normal 6 25 3" xfId="7824"/>
    <cellStyle name="Normal 6 25 4" xfId="7825"/>
    <cellStyle name="Normal 6 25 5" xfId="7826"/>
    <cellStyle name="Normal 6 25 6" xfId="7827"/>
    <cellStyle name="Normal 6 25 7" xfId="7828"/>
    <cellStyle name="Normal 6 25 8" xfId="7829"/>
    <cellStyle name="Normal 6 25 9" xfId="7830"/>
    <cellStyle name="Normal 6 26" xfId="7831"/>
    <cellStyle name="Normal 6 26 10" xfId="7832"/>
    <cellStyle name="Normal 6 26 11" xfId="7833"/>
    <cellStyle name="Normal 6 26 12" xfId="7834"/>
    <cellStyle name="Normal 6 26 13" xfId="7835"/>
    <cellStyle name="Normal 6 26 14" xfId="7836"/>
    <cellStyle name="Normal 6 26 15" xfId="7837"/>
    <cellStyle name="Normal 6 26 16" xfId="7838"/>
    <cellStyle name="Normal 6 26 17" xfId="7839"/>
    <cellStyle name="Normal 6 26 2" xfId="7840"/>
    <cellStyle name="Normal 6 26 3" xfId="7841"/>
    <cellStyle name="Normal 6 26 4" xfId="7842"/>
    <cellStyle name="Normal 6 26 5" xfId="7843"/>
    <cellStyle name="Normal 6 26 6" xfId="7844"/>
    <cellStyle name="Normal 6 26 7" xfId="7845"/>
    <cellStyle name="Normal 6 26 8" xfId="7846"/>
    <cellStyle name="Normal 6 26 9" xfId="7847"/>
    <cellStyle name="Normal 6 27" xfId="7848"/>
    <cellStyle name="Normal 6 27 10" xfId="7849"/>
    <cellStyle name="Normal 6 27 11" xfId="7850"/>
    <cellStyle name="Normal 6 27 12" xfId="7851"/>
    <cellStyle name="Normal 6 27 13" xfId="7852"/>
    <cellStyle name="Normal 6 27 14" xfId="7853"/>
    <cellStyle name="Normal 6 27 15" xfId="7854"/>
    <cellStyle name="Normal 6 27 16" xfId="7855"/>
    <cellStyle name="Normal 6 27 17" xfId="7856"/>
    <cellStyle name="Normal 6 27 2" xfId="7857"/>
    <cellStyle name="Normal 6 27 3" xfId="7858"/>
    <cellStyle name="Normal 6 27 4" xfId="7859"/>
    <cellStyle name="Normal 6 27 5" xfId="7860"/>
    <cellStyle name="Normal 6 27 6" xfId="7861"/>
    <cellStyle name="Normal 6 27 7" xfId="7862"/>
    <cellStyle name="Normal 6 27 8" xfId="7863"/>
    <cellStyle name="Normal 6 27 9" xfId="7864"/>
    <cellStyle name="Normal 6 28" xfId="7865"/>
    <cellStyle name="Normal 6 28 10" xfId="7866"/>
    <cellStyle name="Normal 6 28 11" xfId="7867"/>
    <cellStyle name="Normal 6 28 12" xfId="7868"/>
    <cellStyle name="Normal 6 28 13" xfId="7869"/>
    <cellStyle name="Normal 6 28 14" xfId="7870"/>
    <cellStyle name="Normal 6 28 15" xfId="7871"/>
    <cellStyle name="Normal 6 28 16" xfId="7872"/>
    <cellStyle name="Normal 6 28 17" xfId="7873"/>
    <cellStyle name="Normal 6 28 2" xfId="7874"/>
    <cellStyle name="Normal 6 28 3" xfId="7875"/>
    <cellStyle name="Normal 6 28 4" xfId="7876"/>
    <cellStyle name="Normal 6 28 5" xfId="7877"/>
    <cellStyle name="Normal 6 28 6" xfId="7878"/>
    <cellStyle name="Normal 6 28 7" xfId="7879"/>
    <cellStyle name="Normal 6 28 8" xfId="7880"/>
    <cellStyle name="Normal 6 28 9" xfId="7881"/>
    <cellStyle name="Normal 6 29" xfId="7882"/>
    <cellStyle name="Normal 6 29 10" xfId="7883"/>
    <cellStyle name="Normal 6 29 11" xfId="7884"/>
    <cellStyle name="Normal 6 29 12" xfId="7885"/>
    <cellStyle name="Normal 6 29 13" xfId="7886"/>
    <cellStyle name="Normal 6 29 14" xfId="7887"/>
    <cellStyle name="Normal 6 29 15" xfId="7888"/>
    <cellStyle name="Normal 6 29 16" xfId="7889"/>
    <cellStyle name="Normal 6 29 17" xfId="7890"/>
    <cellStyle name="Normal 6 29 2" xfId="7891"/>
    <cellStyle name="Normal 6 29 3" xfId="7892"/>
    <cellStyle name="Normal 6 29 4" xfId="7893"/>
    <cellStyle name="Normal 6 29 5" xfId="7894"/>
    <cellStyle name="Normal 6 29 6" xfId="7895"/>
    <cellStyle name="Normal 6 29 7" xfId="7896"/>
    <cellStyle name="Normal 6 29 8" xfId="7897"/>
    <cellStyle name="Normal 6 29 9" xfId="7898"/>
    <cellStyle name="Normal 6 3" xfId="145"/>
    <cellStyle name="Normal 6 3 10" xfId="7899"/>
    <cellStyle name="Normal 6 3 11" xfId="7900"/>
    <cellStyle name="Normal 6 3 12" xfId="7901"/>
    <cellStyle name="Normal 6 3 13" xfId="7902"/>
    <cellStyle name="Normal 6 3 14" xfId="7903"/>
    <cellStyle name="Normal 6 3 15" xfId="7904"/>
    <cellStyle name="Normal 6 3 16" xfId="7905"/>
    <cellStyle name="Normal 6 3 17" xfId="7906"/>
    <cellStyle name="Normal 6 3 18" xfId="7907"/>
    <cellStyle name="Normal 6 3 19" xfId="7908"/>
    <cellStyle name="Normal 6 3 2" xfId="7909"/>
    <cellStyle name="Normal 6 3 20" xfId="7910"/>
    <cellStyle name="Normal 6 3 21" xfId="7911"/>
    <cellStyle name="Normal 6 3 22" xfId="7912"/>
    <cellStyle name="Normal 6 3 23" xfId="7913"/>
    <cellStyle name="Normal 6 3 24" xfId="7914"/>
    <cellStyle name="Normal 6 3 3" xfId="7915"/>
    <cellStyle name="Normal 6 3 4" xfId="7916"/>
    <cellStyle name="Normal 6 3 5" xfId="7917"/>
    <cellStyle name="Normal 6 3 6" xfId="7918"/>
    <cellStyle name="Normal 6 3 7" xfId="7919"/>
    <cellStyle name="Normal 6 3 8" xfId="7920"/>
    <cellStyle name="Normal 6 3 9" xfId="7921"/>
    <cellStyle name="Normal 6 30" xfId="7922"/>
    <cellStyle name="Normal 6 30 10" xfId="7923"/>
    <cellStyle name="Normal 6 30 11" xfId="7924"/>
    <cellStyle name="Normal 6 30 12" xfId="7925"/>
    <cellStyle name="Normal 6 30 13" xfId="7926"/>
    <cellStyle name="Normal 6 30 14" xfId="7927"/>
    <cellStyle name="Normal 6 30 15" xfId="7928"/>
    <cellStyle name="Normal 6 30 16" xfId="7929"/>
    <cellStyle name="Normal 6 30 17" xfId="7930"/>
    <cellStyle name="Normal 6 30 2" xfId="7931"/>
    <cellStyle name="Normal 6 30 3" xfId="7932"/>
    <cellStyle name="Normal 6 30 4" xfId="7933"/>
    <cellStyle name="Normal 6 30 5" xfId="7934"/>
    <cellStyle name="Normal 6 30 6" xfId="7935"/>
    <cellStyle name="Normal 6 30 7" xfId="7936"/>
    <cellStyle name="Normal 6 30 8" xfId="7937"/>
    <cellStyle name="Normal 6 30 9" xfId="7938"/>
    <cellStyle name="Normal 6 31" xfId="7939"/>
    <cellStyle name="Normal 6 32" xfId="7940"/>
    <cellStyle name="Normal 6 33" xfId="7941"/>
    <cellStyle name="Normal 6 34" xfId="7942"/>
    <cellStyle name="Normal 6 35" xfId="7943"/>
    <cellStyle name="Normal 6 35 10" xfId="7944"/>
    <cellStyle name="Normal 6 35 11" xfId="7945"/>
    <cellStyle name="Normal 6 35 12" xfId="7946"/>
    <cellStyle name="Normal 6 35 13" xfId="7947"/>
    <cellStyle name="Normal 6 35 2" xfId="7948"/>
    <cellStyle name="Normal 6 35 3" xfId="7949"/>
    <cellStyle name="Normal 6 35 4" xfId="7950"/>
    <cellStyle name="Normal 6 35 5" xfId="7951"/>
    <cellStyle name="Normal 6 35 6" xfId="7952"/>
    <cellStyle name="Normal 6 35 7" xfId="7953"/>
    <cellStyle name="Normal 6 35 8" xfId="7954"/>
    <cellStyle name="Normal 6 35 9" xfId="7955"/>
    <cellStyle name="Normal 6 36" xfId="7956"/>
    <cellStyle name="Normal 6 37" xfId="7957"/>
    <cellStyle name="Normal 6 38" xfId="7958"/>
    <cellStyle name="Normal 6 39" xfId="7959"/>
    <cellStyle name="Normal 6 4" xfId="146"/>
    <cellStyle name="Normal 6 4 10" xfId="7960"/>
    <cellStyle name="Normal 6 4 11" xfId="7961"/>
    <cellStyle name="Normal 6 4 12" xfId="7962"/>
    <cellStyle name="Normal 6 4 13" xfId="7963"/>
    <cellStyle name="Normal 6 4 14" xfId="7964"/>
    <cellStyle name="Normal 6 4 15" xfId="7965"/>
    <cellStyle name="Normal 6 4 16" xfId="7966"/>
    <cellStyle name="Normal 6 4 17" xfId="7967"/>
    <cellStyle name="Normal 6 4 18" xfId="7968"/>
    <cellStyle name="Normal 6 4 19" xfId="7969"/>
    <cellStyle name="Normal 6 4 2" xfId="7970"/>
    <cellStyle name="Normal 6 4 20" xfId="7971"/>
    <cellStyle name="Normal 6 4 21" xfId="7972"/>
    <cellStyle name="Normal 6 4 22" xfId="7973"/>
    <cellStyle name="Normal 6 4 23" xfId="7974"/>
    <cellStyle name="Normal 6 4 24" xfId="7975"/>
    <cellStyle name="Normal 6 4 3" xfId="7976"/>
    <cellStyle name="Normal 6 4 4" xfId="7977"/>
    <cellStyle name="Normal 6 4 5" xfId="7978"/>
    <cellStyle name="Normal 6 4 6" xfId="7979"/>
    <cellStyle name="Normal 6 4 7" xfId="7980"/>
    <cellStyle name="Normal 6 4 8" xfId="7981"/>
    <cellStyle name="Normal 6 4 9" xfId="7982"/>
    <cellStyle name="Normal 6 40" xfId="7983"/>
    <cellStyle name="Normal 6 41" xfId="7984"/>
    <cellStyle name="Normal 6 42" xfId="7985"/>
    <cellStyle name="Normal 6 43" xfId="7986"/>
    <cellStyle name="Normal 6 44" xfId="7987"/>
    <cellStyle name="Normal 6 45" xfId="7988"/>
    <cellStyle name="Normal 6 46" xfId="7989"/>
    <cellStyle name="Normal 6 47" xfId="7990"/>
    <cellStyle name="Normal 6 48" xfId="7991"/>
    <cellStyle name="Normal 6 49" xfId="7992"/>
    <cellStyle name="Normal 6 5" xfId="147"/>
    <cellStyle name="Normal 6 5 10" xfId="7993"/>
    <cellStyle name="Normal 6 5 11" xfId="7994"/>
    <cellStyle name="Normal 6 5 12" xfId="7995"/>
    <cellStyle name="Normal 6 5 13" xfId="7996"/>
    <cellStyle name="Normal 6 5 14" xfId="7997"/>
    <cellStyle name="Normal 6 5 15" xfId="7998"/>
    <cellStyle name="Normal 6 5 16" xfId="7999"/>
    <cellStyle name="Normal 6 5 17" xfId="8000"/>
    <cellStyle name="Normal 6 5 18" xfId="8001"/>
    <cellStyle name="Normal 6 5 19" xfId="8002"/>
    <cellStyle name="Normal 6 5 2" xfId="8003"/>
    <cellStyle name="Normal 6 5 20" xfId="8004"/>
    <cellStyle name="Normal 6 5 21" xfId="8005"/>
    <cellStyle name="Normal 6 5 22" xfId="8006"/>
    <cellStyle name="Normal 6 5 23" xfId="8007"/>
    <cellStyle name="Normal 6 5 24" xfId="8008"/>
    <cellStyle name="Normal 6 5 3" xfId="8009"/>
    <cellStyle name="Normal 6 5 4" xfId="8010"/>
    <cellStyle name="Normal 6 5 5" xfId="8011"/>
    <cellStyle name="Normal 6 5 6" xfId="8012"/>
    <cellStyle name="Normal 6 5 7" xfId="8013"/>
    <cellStyle name="Normal 6 5 8" xfId="8014"/>
    <cellStyle name="Normal 6 5 9" xfId="8015"/>
    <cellStyle name="Normal 6 50" xfId="8016"/>
    <cellStyle name="Normal 6 51" xfId="8017"/>
    <cellStyle name="Normal 6 52" xfId="8018"/>
    <cellStyle name="Normal 6 53" xfId="8019"/>
    <cellStyle name="Normal 6 54" xfId="8020"/>
    <cellStyle name="Normal 6 55" xfId="8021"/>
    <cellStyle name="Normal 6 56" xfId="8022"/>
    <cellStyle name="Normal 6 57" xfId="8023"/>
    <cellStyle name="Normal 6 58" xfId="8024"/>
    <cellStyle name="Normal 6 59" xfId="8025"/>
    <cellStyle name="Normal 6 6" xfId="8026"/>
    <cellStyle name="Normal 6 6 10" xfId="8027"/>
    <cellStyle name="Normal 6 6 11" xfId="8028"/>
    <cellStyle name="Normal 6 6 12" xfId="8029"/>
    <cellStyle name="Normal 6 6 13" xfId="8030"/>
    <cellStyle name="Normal 6 6 14" xfId="8031"/>
    <cellStyle name="Normal 6 6 15" xfId="8032"/>
    <cellStyle name="Normal 6 6 16" xfId="8033"/>
    <cellStyle name="Normal 6 6 17" xfId="8034"/>
    <cellStyle name="Normal 6 6 18" xfId="8035"/>
    <cellStyle name="Normal 6 6 19" xfId="8036"/>
    <cellStyle name="Normal 6 6 2" xfId="8037"/>
    <cellStyle name="Normal 6 6 20" xfId="8038"/>
    <cellStyle name="Normal 6 6 21" xfId="8039"/>
    <cellStyle name="Normal 6 6 22" xfId="8040"/>
    <cellStyle name="Normal 6 6 23" xfId="8041"/>
    <cellStyle name="Normal 6 6 24" xfId="8042"/>
    <cellStyle name="Normal 6 6 25" xfId="8043"/>
    <cellStyle name="Normal 6 6 26" xfId="8044"/>
    <cellStyle name="Normal 6 6 27" xfId="8045"/>
    <cellStyle name="Normal 6 6 28" xfId="8046"/>
    <cellStyle name="Normal 6 6 29" xfId="8047"/>
    <cellStyle name="Normal 6 6 3" xfId="8048"/>
    <cellStyle name="Normal 6 6 30" xfId="8049"/>
    <cellStyle name="Normal 6 6 31" xfId="8050"/>
    <cellStyle name="Normal 6 6 32" xfId="8051"/>
    <cellStyle name="Normal 6 6 33" xfId="8052"/>
    <cellStyle name="Normal 6 6 34" xfId="8053"/>
    <cellStyle name="Normal 6 6 35" xfId="8054"/>
    <cellStyle name="Normal 6 6 36" xfId="8055"/>
    <cellStyle name="Normal 6 6 37" xfId="8056"/>
    <cellStyle name="Normal 6 6 38" xfId="8057"/>
    <cellStyle name="Normal 6 6 39" xfId="8058"/>
    <cellStyle name="Normal 6 6 4" xfId="8059"/>
    <cellStyle name="Normal 6 6 40" xfId="8060"/>
    <cellStyle name="Normal 6 6 41" xfId="8061"/>
    <cellStyle name="Normal 6 6 42" xfId="8062"/>
    <cellStyle name="Normal 6 6 43" xfId="8063"/>
    <cellStyle name="Normal 6 6 44" xfId="8064"/>
    <cellStyle name="Normal 6 6 45" xfId="8065"/>
    <cellStyle name="Normal 6 6 46" xfId="8066"/>
    <cellStyle name="Normal 6 6 47" xfId="8067"/>
    <cellStyle name="Normal 6 6 48" xfId="8068"/>
    <cellStyle name="Normal 6 6 5" xfId="8069"/>
    <cellStyle name="Normal 6 6 6" xfId="8070"/>
    <cellStyle name="Normal 6 6 6 10" xfId="8071"/>
    <cellStyle name="Normal 6 6 6 11" xfId="8072"/>
    <cellStyle name="Normal 6 6 6 12" xfId="8073"/>
    <cellStyle name="Normal 6 6 6 13" xfId="8074"/>
    <cellStyle name="Normal 6 6 6 2" xfId="8075"/>
    <cellStyle name="Normal 6 6 6 3" xfId="8076"/>
    <cellStyle name="Normal 6 6 6 4" xfId="8077"/>
    <cellStyle name="Normal 6 6 6 5" xfId="8078"/>
    <cellStyle name="Normal 6 6 6 6" xfId="8079"/>
    <cellStyle name="Normal 6 6 6 7" xfId="8080"/>
    <cellStyle name="Normal 6 6 6 8" xfId="8081"/>
    <cellStyle name="Normal 6 6 6 9" xfId="8082"/>
    <cellStyle name="Normal 6 6 7" xfId="8083"/>
    <cellStyle name="Normal 6 6 8" xfId="8084"/>
    <cellStyle name="Normal 6 6 9" xfId="8085"/>
    <cellStyle name="Normal 6 60" xfId="8086"/>
    <cellStyle name="Normal 6 61" xfId="8087"/>
    <cellStyle name="Normal 6 62" xfId="8088"/>
    <cellStyle name="Normal 6 63" xfId="8089"/>
    <cellStyle name="Normal 6 64" xfId="8090"/>
    <cellStyle name="Normal 6 65" xfId="8091"/>
    <cellStyle name="Normal 6 66" xfId="8092"/>
    <cellStyle name="Normal 6 67" xfId="8093"/>
    <cellStyle name="Normal 6 68" xfId="8094"/>
    <cellStyle name="Normal 6 69" xfId="8095"/>
    <cellStyle name="Normal 6 7" xfId="8096"/>
    <cellStyle name="Normal 6 7 10" xfId="8097"/>
    <cellStyle name="Normal 6 7 11" xfId="8098"/>
    <cellStyle name="Normal 6 7 12" xfId="8099"/>
    <cellStyle name="Normal 6 7 13" xfId="8100"/>
    <cellStyle name="Normal 6 7 14" xfId="8101"/>
    <cellStyle name="Normal 6 7 15" xfId="8102"/>
    <cellStyle name="Normal 6 7 16" xfId="8103"/>
    <cellStyle name="Normal 6 7 17" xfId="8104"/>
    <cellStyle name="Normal 6 7 2" xfId="8105"/>
    <cellStyle name="Normal 6 7 3" xfId="8106"/>
    <cellStyle name="Normal 6 7 4" xfId="8107"/>
    <cellStyle name="Normal 6 7 5" xfId="8108"/>
    <cellStyle name="Normal 6 7 6" xfId="8109"/>
    <cellStyle name="Normal 6 7 7" xfId="8110"/>
    <cellStyle name="Normal 6 7 8" xfId="8111"/>
    <cellStyle name="Normal 6 7 9" xfId="8112"/>
    <cellStyle name="Normal 6 70" xfId="8113"/>
    <cellStyle name="Normal 6 71" xfId="8114"/>
    <cellStyle name="Normal 6 72" xfId="8115"/>
    <cellStyle name="Normal 6 73" xfId="8116"/>
    <cellStyle name="Normal 6 74" xfId="8117"/>
    <cellStyle name="Normal 6 75" xfId="8118"/>
    <cellStyle name="Normal 6 76" xfId="8119"/>
    <cellStyle name="Normal 6 77" xfId="8120"/>
    <cellStyle name="Normal 6 78" xfId="8121"/>
    <cellStyle name="Normal 6 79" xfId="8122"/>
    <cellStyle name="Normal 6 8" xfId="8123"/>
    <cellStyle name="Normal 6 8 10" xfId="8124"/>
    <cellStyle name="Normal 6 8 11" xfId="8125"/>
    <cellStyle name="Normal 6 8 12" xfId="8126"/>
    <cellStyle name="Normal 6 8 13" xfId="8127"/>
    <cellStyle name="Normal 6 8 14" xfId="8128"/>
    <cellStyle name="Normal 6 8 15" xfId="8129"/>
    <cellStyle name="Normal 6 8 16" xfId="8130"/>
    <cellStyle name="Normal 6 8 17" xfId="8131"/>
    <cellStyle name="Normal 6 8 2" xfId="8132"/>
    <cellStyle name="Normal 6 8 3" xfId="8133"/>
    <cellStyle name="Normal 6 8 4" xfId="8134"/>
    <cellStyle name="Normal 6 8 5" xfId="8135"/>
    <cellStyle name="Normal 6 8 6" xfId="8136"/>
    <cellStyle name="Normal 6 8 7" xfId="8137"/>
    <cellStyle name="Normal 6 8 8" xfId="8138"/>
    <cellStyle name="Normal 6 8 9" xfId="8139"/>
    <cellStyle name="Normal 6 80" xfId="8140"/>
    <cellStyle name="Normal 6 81" xfId="10724"/>
    <cellStyle name="Normal 6 81 2" xfId="12185"/>
    <cellStyle name="Normal 6 82" xfId="10745"/>
    <cellStyle name="Normal 6 82 2" xfId="12186"/>
    <cellStyle name="Normal 6 83" xfId="10731"/>
    <cellStyle name="Normal 6 83 2" xfId="12187"/>
    <cellStyle name="Normal 6 84" xfId="10738"/>
    <cellStyle name="Normal 6 84 2" xfId="12188"/>
    <cellStyle name="Normal 6 85" xfId="10756"/>
    <cellStyle name="Normal 6 85 2" xfId="12189"/>
    <cellStyle name="Normal 6 86" xfId="10787"/>
    <cellStyle name="Normal 6 86 2" xfId="12190"/>
    <cellStyle name="Normal 6 87" xfId="10763"/>
    <cellStyle name="Normal 6 87 2" xfId="12191"/>
    <cellStyle name="Normal 6 9" xfId="8141"/>
    <cellStyle name="Normal 6 9 10" xfId="8142"/>
    <cellStyle name="Normal 6 9 11" xfId="8143"/>
    <cellStyle name="Normal 6 9 12" xfId="8144"/>
    <cellStyle name="Normal 6 9 13" xfId="8145"/>
    <cellStyle name="Normal 6 9 14" xfId="8146"/>
    <cellStyle name="Normal 6 9 15" xfId="8147"/>
    <cellStyle name="Normal 6 9 16" xfId="8148"/>
    <cellStyle name="Normal 6 9 17" xfId="8149"/>
    <cellStyle name="Normal 6 9 2" xfId="8150"/>
    <cellStyle name="Normal 6 9 3" xfId="8151"/>
    <cellStyle name="Normal 6 9 4" xfId="8152"/>
    <cellStyle name="Normal 6 9 5" xfId="8153"/>
    <cellStyle name="Normal 6 9 6" xfId="8154"/>
    <cellStyle name="Normal 6 9 7" xfId="8155"/>
    <cellStyle name="Normal 6 9 8" xfId="8156"/>
    <cellStyle name="Normal 6 9 9" xfId="8157"/>
    <cellStyle name="Normal 60" xfId="10819"/>
    <cellStyle name="Normal 61" xfId="10820"/>
    <cellStyle name="Normal 62" xfId="10821"/>
    <cellStyle name="Normal 63" xfId="10822"/>
    <cellStyle name="Normal 64" xfId="10823"/>
    <cellStyle name="Normal 65" xfId="10824"/>
    <cellStyle name="Normal 66" xfId="10825"/>
    <cellStyle name="Normal 67" xfId="10826"/>
    <cellStyle name="Normal 68" xfId="10827"/>
    <cellStyle name="Normal 69" xfId="10836"/>
    <cellStyle name="Normal 7" xfId="148"/>
    <cellStyle name="Normal 7 10" xfId="149"/>
    <cellStyle name="Normal 7 10 10" xfId="8158"/>
    <cellStyle name="Normal 7 10 10 2" xfId="12194"/>
    <cellStyle name="Normal 7 10 11" xfId="8159"/>
    <cellStyle name="Normal 7 10 11 2" xfId="12195"/>
    <cellStyle name="Normal 7 10 12" xfId="8160"/>
    <cellStyle name="Normal 7 10 12 2" xfId="12196"/>
    <cellStyle name="Normal 7 10 13" xfId="8161"/>
    <cellStyle name="Normal 7 10 13 2" xfId="12197"/>
    <cellStyle name="Normal 7 10 14" xfId="8162"/>
    <cellStyle name="Normal 7 10 14 2" xfId="12198"/>
    <cellStyle name="Normal 7 10 15" xfId="8163"/>
    <cellStyle name="Normal 7 10 15 2" xfId="12199"/>
    <cellStyle name="Normal 7 10 16" xfId="8164"/>
    <cellStyle name="Normal 7 10 16 2" xfId="12200"/>
    <cellStyle name="Normal 7 10 17" xfId="8165"/>
    <cellStyle name="Normal 7 10 17 2" xfId="12201"/>
    <cellStyle name="Normal 7 10 18" xfId="8166"/>
    <cellStyle name="Normal 7 10 18 2" xfId="12202"/>
    <cellStyle name="Normal 7 10 19" xfId="8167"/>
    <cellStyle name="Normal 7 10 19 2" xfId="12203"/>
    <cellStyle name="Normal 7 10 2" xfId="150"/>
    <cellStyle name="Normal 7 10 2 10" xfId="8168"/>
    <cellStyle name="Normal 7 10 2 11" xfId="8169"/>
    <cellStyle name="Normal 7 10 2 12" xfId="8170"/>
    <cellStyle name="Normal 7 10 2 13" xfId="8171"/>
    <cellStyle name="Normal 7 10 2 2" xfId="8172"/>
    <cellStyle name="Normal 7 10 2 3" xfId="8173"/>
    <cellStyle name="Normal 7 10 2 4" xfId="8174"/>
    <cellStyle name="Normal 7 10 2 5" xfId="8175"/>
    <cellStyle name="Normal 7 10 2 6" xfId="8176"/>
    <cellStyle name="Normal 7 10 2 7" xfId="8177"/>
    <cellStyle name="Normal 7 10 2 8" xfId="8178"/>
    <cellStyle name="Normal 7 10 2 9" xfId="8179"/>
    <cellStyle name="Normal 7 10 20" xfId="8180"/>
    <cellStyle name="Normal 7 10 20 2" xfId="12204"/>
    <cellStyle name="Normal 7 10 21" xfId="8181"/>
    <cellStyle name="Normal 7 10 21 2" xfId="12205"/>
    <cellStyle name="Normal 7 10 22" xfId="8182"/>
    <cellStyle name="Normal 7 10 22 2" xfId="12206"/>
    <cellStyle name="Normal 7 10 23" xfId="8183"/>
    <cellStyle name="Normal 7 10 23 2" xfId="12207"/>
    <cellStyle name="Normal 7 10 24" xfId="8184"/>
    <cellStyle name="Normal 7 10 24 2" xfId="12208"/>
    <cellStyle name="Normal 7 10 25" xfId="8185"/>
    <cellStyle name="Normal 7 10 25 2" xfId="12209"/>
    <cellStyle name="Normal 7 10 26" xfId="12193"/>
    <cellStyle name="Normal 7 10 3" xfId="151"/>
    <cellStyle name="Normal 7 10 3 10" xfId="8186"/>
    <cellStyle name="Normal 7 10 3 11" xfId="8187"/>
    <cellStyle name="Normal 7 10 3 12" xfId="8188"/>
    <cellStyle name="Normal 7 10 3 13" xfId="8189"/>
    <cellStyle name="Normal 7 10 3 2" xfId="8190"/>
    <cellStyle name="Normal 7 10 3 3" xfId="8191"/>
    <cellStyle name="Normal 7 10 3 4" xfId="8192"/>
    <cellStyle name="Normal 7 10 3 5" xfId="8193"/>
    <cellStyle name="Normal 7 10 3 6" xfId="8194"/>
    <cellStyle name="Normal 7 10 3 7" xfId="8195"/>
    <cellStyle name="Normal 7 10 3 8" xfId="8196"/>
    <cellStyle name="Normal 7 10 3 9" xfId="8197"/>
    <cellStyle name="Normal 7 10 4" xfId="152"/>
    <cellStyle name="Normal 7 10 4 10" xfId="8198"/>
    <cellStyle name="Normal 7 10 4 11" xfId="8199"/>
    <cellStyle name="Normal 7 10 4 12" xfId="8200"/>
    <cellStyle name="Normal 7 10 4 13" xfId="8201"/>
    <cellStyle name="Normal 7 10 4 2" xfId="8202"/>
    <cellStyle name="Normal 7 10 4 3" xfId="8203"/>
    <cellStyle name="Normal 7 10 4 4" xfId="8204"/>
    <cellStyle name="Normal 7 10 4 5" xfId="8205"/>
    <cellStyle name="Normal 7 10 4 6" xfId="8206"/>
    <cellStyle name="Normal 7 10 4 7" xfId="8207"/>
    <cellStyle name="Normal 7 10 4 8" xfId="8208"/>
    <cellStyle name="Normal 7 10 4 9" xfId="8209"/>
    <cellStyle name="Normal 7 10 5" xfId="153"/>
    <cellStyle name="Normal 7 10 5 10" xfId="8210"/>
    <cellStyle name="Normal 7 10 5 11" xfId="8211"/>
    <cellStyle name="Normal 7 10 5 12" xfId="8212"/>
    <cellStyle name="Normal 7 10 5 13" xfId="8213"/>
    <cellStyle name="Normal 7 10 5 2" xfId="8214"/>
    <cellStyle name="Normal 7 10 5 3" xfId="8215"/>
    <cellStyle name="Normal 7 10 5 4" xfId="8216"/>
    <cellStyle name="Normal 7 10 5 5" xfId="8217"/>
    <cellStyle name="Normal 7 10 5 6" xfId="8218"/>
    <cellStyle name="Normal 7 10 5 7" xfId="8219"/>
    <cellStyle name="Normal 7 10 5 8" xfId="8220"/>
    <cellStyle name="Normal 7 10 5 9" xfId="8221"/>
    <cellStyle name="Normal 7 10 6" xfId="154"/>
    <cellStyle name="Normal 7 10 6 10" xfId="8222"/>
    <cellStyle name="Normal 7 10 6 11" xfId="8223"/>
    <cellStyle name="Normal 7 10 6 12" xfId="8224"/>
    <cellStyle name="Normal 7 10 6 13" xfId="8225"/>
    <cellStyle name="Normal 7 10 6 2" xfId="8226"/>
    <cellStyle name="Normal 7 10 6 3" xfId="8227"/>
    <cellStyle name="Normal 7 10 6 4" xfId="8228"/>
    <cellStyle name="Normal 7 10 6 5" xfId="8229"/>
    <cellStyle name="Normal 7 10 6 6" xfId="8230"/>
    <cellStyle name="Normal 7 10 6 7" xfId="8231"/>
    <cellStyle name="Normal 7 10 6 8" xfId="8232"/>
    <cellStyle name="Normal 7 10 6 9" xfId="8233"/>
    <cellStyle name="Normal 7 10 7" xfId="8234"/>
    <cellStyle name="Normal 7 10 7 10" xfId="8235"/>
    <cellStyle name="Normal 7 10 7 11" xfId="8236"/>
    <cellStyle name="Normal 7 10 7 12" xfId="8237"/>
    <cellStyle name="Normal 7 10 7 13" xfId="8238"/>
    <cellStyle name="Normal 7 10 7 2" xfId="8239"/>
    <cellStyle name="Normal 7 10 7 3" xfId="8240"/>
    <cellStyle name="Normal 7 10 7 4" xfId="8241"/>
    <cellStyle name="Normal 7 10 7 5" xfId="8242"/>
    <cellStyle name="Normal 7 10 7 6" xfId="8243"/>
    <cellStyle name="Normal 7 10 7 7" xfId="8244"/>
    <cellStyle name="Normal 7 10 7 8" xfId="8245"/>
    <cellStyle name="Normal 7 10 7 9" xfId="8246"/>
    <cellStyle name="Normal 7 10 8" xfId="8247"/>
    <cellStyle name="Normal 7 10 8 2" xfId="12210"/>
    <cellStyle name="Normal 7 10 9" xfId="8248"/>
    <cellStyle name="Normal 7 10 9 2" xfId="12211"/>
    <cellStyle name="Normal 7 100" xfId="8249"/>
    <cellStyle name="Normal 7 100 2" xfId="12212"/>
    <cellStyle name="Normal 7 101" xfId="8250"/>
    <cellStyle name="Normal 7 101 2" xfId="12213"/>
    <cellStyle name="Normal 7 102" xfId="8251"/>
    <cellStyle name="Normal 7 102 2" xfId="12214"/>
    <cellStyle name="Normal 7 103" xfId="8252"/>
    <cellStyle name="Normal 7 103 2" xfId="12215"/>
    <cellStyle name="Normal 7 104" xfId="8253"/>
    <cellStyle name="Normal 7 104 2" xfId="12216"/>
    <cellStyle name="Normal 7 105" xfId="8254"/>
    <cellStyle name="Normal 7 105 2" xfId="12217"/>
    <cellStyle name="Normal 7 106" xfId="8255"/>
    <cellStyle name="Normal 7 106 2" xfId="12218"/>
    <cellStyle name="Normal 7 107" xfId="8256"/>
    <cellStyle name="Normal 7 107 2" xfId="12219"/>
    <cellStyle name="Normal 7 108" xfId="8257"/>
    <cellStyle name="Normal 7 108 2" xfId="12220"/>
    <cellStyle name="Normal 7 109" xfId="8258"/>
    <cellStyle name="Normal 7 109 2" xfId="12221"/>
    <cellStyle name="Normal 7 11" xfId="155"/>
    <cellStyle name="Normal 7 11 10" xfId="8259"/>
    <cellStyle name="Normal 7 11 10 2" xfId="12223"/>
    <cellStyle name="Normal 7 11 11" xfId="8260"/>
    <cellStyle name="Normal 7 11 11 2" xfId="12224"/>
    <cellStyle name="Normal 7 11 12" xfId="8261"/>
    <cellStyle name="Normal 7 11 12 2" xfId="12225"/>
    <cellStyle name="Normal 7 11 13" xfId="8262"/>
    <cellStyle name="Normal 7 11 13 2" xfId="12226"/>
    <cellStyle name="Normal 7 11 14" xfId="8263"/>
    <cellStyle name="Normal 7 11 14 2" xfId="12227"/>
    <cellStyle name="Normal 7 11 15" xfId="8264"/>
    <cellStyle name="Normal 7 11 15 2" xfId="12228"/>
    <cellStyle name="Normal 7 11 16" xfId="8265"/>
    <cellStyle name="Normal 7 11 16 2" xfId="12229"/>
    <cellStyle name="Normal 7 11 17" xfId="8266"/>
    <cellStyle name="Normal 7 11 17 2" xfId="12230"/>
    <cellStyle name="Normal 7 11 18" xfId="8267"/>
    <cellStyle name="Normal 7 11 18 2" xfId="12231"/>
    <cellStyle name="Normal 7 11 19" xfId="8268"/>
    <cellStyle name="Normal 7 11 19 2" xfId="12232"/>
    <cellStyle name="Normal 7 11 2" xfId="156"/>
    <cellStyle name="Normal 7 11 2 10" xfId="8269"/>
    <cellStyle name="Normal 7 11 2 11" xfId="8270"/>
    <cellStyle name="Normal 7 11 2 12" xfId="8271"/>
    <cellStyle name="Normal 7 11 2 13" xfId="8272"/>
    <cellStyle name="Normal 7 11 2 2" xfId="8273"/>
    <cellStyle name="Normal 7 11 2 3" xfId="8274"/>
    <cellStyle name="Normal 7 11 2 4" xfId="8275"/>
    <cellStyle name="Normal 7 11 2 5" xfId="8276"/>
    <cellStyle name="Normal 7 11 2 6" xfId="8277"/>
    <cellStyle name="Normal 7 11 2 7" xfId="8278"/>
    <cellStyle name="Normal 7 11 2 8" xfId="8279"/>
    <cellStyle name="Normal 7 11 2 9" xfId="8280"/>
    <cellStyle name="Normal 7 11 20" xfId="8281"/>
    <cellStyle name="Normal 7 11 20 2" xfId="12233"/>
    <cellStyle name="Normal 7 11 21" xfId="8282"/>
    <cellStyle name="Normal 7 11 21 2" xfId="12234"/>
    <cellStyle name="Normal 7 11 22" xfId="8283"/>
    <cellStyle name="Normal 7 11 22 2" xfId="12235"/>
    <cellStyle name="Normal 7 11 23" xfId="8284"/>
    <cellStyle name="Normal 7 11 23 2" xfId="12236"/>
    <cellStyle name="Normal 7 11 24" xfId="8285"/>
    <cellStyle name="Normal 7 11 24 2" xfId="12237"/>
    <cellStyle name="Normal 7 11 25" xfId="8286"/>
    <cellStyle name="Normal 7 11 25 2" xfId="12238"/>
    <cellStyle name="Normal 7 11 26" xfId="12222"/>
    <cellStyle name="Normal 7 11 3" xfId="157"/>
    <cellStyle name="Normal 7 11 3 10" xfId="8287"/>
    <cellStyle name="Normal 7 11 3 11" xfId="8288"/>
    <cellStyle name="Normal 7 11 3 12" xfId="8289"/>
    <cellStyle name="Normal 7 11 3 13" xfId="8290"/>
    <cellStyle name="Normal 7 11 3 2" xfId="8291"/>
    <cellStyle name="Normal 7 11 3 3" xfId="8292"/>
    <cellStyle name="Normal 7 11 3 4" xfId="8293"/>
    <cellStyle name="Normal 7 11 3 5" xfId="8294"/>
    <cellStyle name="Normal 7 11 3 6" xfId="8295"/>
    <cellStyle name="Normal 7 11 3 7" xfId="8296"/>
    <cellStyle name="Normal 7 11 3 8" xfId="8297"/>
    <cellStyle name="Normal 7 11 3 9" xfId="8298"/>
    <cellStyle name="Normal 7 11 4" xfId="158"/>
    <cellStyle name="Normal 7 11 4 10" xfId="8299"/>
    <cellStyle name="Normal 7 11 4 11" xfId="8300"/>
    <cellStyle name="Normal 7 11 4 12" xfId="8301"/>
    <cellStyle name="Normal 7 11 4 13" xfId="8302"/>
    <cellStyle name="Normal 7 11 4 2" xfId="8303"/>
    <cellStyle name="Normal 7 11 4 3" xfId="8304"/>
    <cellStyle name="Normal 7 11 4 4" xfId="8305"/>
    <cellStyle name="Normal 7 11 4 5" xfId="8306"/>
    <cellStyle name="Normal 7 11 4 6" xfId="8307"/>
    <cellStyle name="Normal 7 11 4 7" xfId="8308"/>
    <cellStyle name="Normal 7 11 4 8" xfId="8309"/>
    <cellStyle name="Normal 7 11 4 9" xfId="8310"/>
    <cellStyle name="Normal 7 11 5" xfId="159"/>
    <cellStyle name="Normal 7 11 5 10" xfId="8311"/>
    <cellStyle name="Normal 7 11 5 11" xfId="8312"/>
    <cellStyle name="Normal 7 11 5 12" xfId="8313"/>
    <cellStyle name="Normal 7 11 5 13" xfId="8314"/>
    <cellStyle name="Normal 7 11 5 2" xfId="8315"/>
    <cellStyle name="Normal 7 11 5 3" xfId="8316"/>
    <cellStyle name="Normal 7 11 5 4" xfId="8317"/>
    <cellStyle name="Normal 7 11 5 5" xfId="8318"/>
    <cellStyle name="Normal 7 11 5 6" xfId="8319"/>
    <cellStyle name="Normal 7 11 5 7" xfId="8320"/>
    <cellStyle name="Normal 7 11 5 8" xfId="8321"/>
    <cellStyle name="Normal 7 11 5 9" xfId="8322"/>
    <cellStyle name="Normal 7 11 6" xfId="160"/>
    <cellStyle name="Normal 7 11 6 10" xfId="8323"/>
    <cellStyle name="Normal 7 11 6 11" xfId="8324"/>
    <cellStyle name="Normal 7 11 6 12" xfId="8325"/>
    <cellStyle name="Normal 7 11 6 13" xfId="8326"/>
    <cellStyle name="Normal 7 11 6 2" xfId="8327"/>
    <cellStyle name="Normal 7 11 6 3" xfId="8328"/>
    <cellStyle name="Normal 7 11 6 4" xfId="8329"/>
    <cellStyle name="Normal 7 11 6 5" xfId="8330"/>
    <cellStyle name="Normal 7 11 6 6" xfId="8331"/>
    <cellStyle name="Normal 7 11 6 7" xfId="8332"/>
    <cellStyle name="Normal 7 11 6 8" xfId="8333"/>
    <cellStyle name="Normal 7 11 6 9" xfId="8334"/>
    <cellStyle name="Normal 7 11 7" xfId="8335"/>
    <cellStyle name="Normal 7 11 7 10" xfId="8336"/>
    <cellStyle name="Normal 7 11 7 11" xfId="8337"/>
    <cellStyle name="Normal 7 11 7 12" xfId="8338"/>
    <cellStyle name="Normal 7 11 7 13" xfId="8339"/>
    <cellStyle name="Normal 7 11 7 2" xfId="8340"/>
    <cellStyle name="Normal 7 11 7 3" xfId="8341"/>
    <cellStyle name="Normal 7 11 7 4" xfId="8342"/>
    <cellStyle name="Normal 7 11 7 5" xfId="8343"/>
    <cellStyle name="Normal 7 11 7 6" xfId="8344"/>
    <cellStyle name="Normal 7 11 7 7" xfId="8345"/>
    <cellStyle name="Normal 7 11 7 8" xfId="8346"/>
    <cellStyle name="Normal 7 11 7 9" xfId="8347"/>
    <cellStyle name="Normal 7 11 8" xfId="8348"/>
    <cellStyle name="Normal 7 11 8 2" xfId="12239"/>
    <cellStyle name="Normal 7 11 9" xfId="8349"/>
    <cellStyle name="Normal 7 11 9 2" xfId="12240"/>
    <cellStyle name="Normal 7 110" xfId="8350"/>
    <cellStyle name="Normal 7 110 2" xfId="12241"/>
    <cellStyle name="Normal 7 111" xfId="8351"/>
    <cellStyle name="Normal 7 111 2" xfId="12242"/>
    <cellStyle name="Normal 7 112" xfId="8352"/>
    <cellStyle name="Normal 7 112 2" xfId="12243"/>
    <cellStyle name="Normal 7 113" xfId="8353"/>
    <cellStyle name="Normal 7 113 2" xfId="12244"/>
    <cellStyle name="Normal 7 114" xfId="8354"/>
    <cellStyle name="Normal 7 114 2" xfId="12245"/>
    <cellStyle name="Normal 7 115" xfId="8355"/>
    <cellStyle name="Normal 7 115 2" xfId="12246"/>
    <cellStyle name="Normal 7 116" xfId="8356"/>
    <cellStyle name="Normal 7 116 2" xfId="12247"/>
    <cellStyle name="Normal 7 117" xfId="8357"/>
    <cellStyle name="Normal 7 117 2" xfId="12248"/>
    <cellStyle name="Normal 7 118" xfId="8358"/>
    <cellStyle name="Normal 7 118 2" xfId="12249"/>
    <cellStyle name="Normal 7 119" xfId="8359"/>
    <cellStyle name="Normal 7 119 2" xfId="12250"/>
    <cellStyle name="Normal 7 12" xfId="161"/>
    <cellStyle name="Normal 7 12 10" xfId="8360"/>
    <cellStyle name="Normal 7 12 10 2" xfId="12252"/>
    <cellStyle name="Normal 7 12 11" xfId="8361"/>
    <cellStyle name="Normal 7 12 11 2" xfId="12253"/>
    <cellStyle name="Normal 7 12 12" xfId="8362"/>
    <cellStyle name="Normal 7 12 12 2" xfId="12254"/>
    <cellStyle name="Normal 7 12 13" xfId="8363"/>
    <cellStyle name="Normal 7 12 13 2" xfId="12255"/>
    <cellStyle name="Normal 7 12 14" xfId="8364"/>
    <cellStyle name="Normal 7 12 14 2" xfId="12256"/>
    <cellStyle name="Normal 7 12 15" xfId="8365"/>
    <cellStyle name="Normal 7 12 15 2" xfId="12257"/>
    <cellStyle name="Normal 7 12 16" xfId="8366"/>
    <cellStyle name="Normal 7 12 16 2" xfId="12258"/>
    <cellStyle name="Normal 7 12 17" xfId="8367"/>
    <cellStyle name="Normal 7 12 17 2" xfId="12259"/>
    <cellStyle name="Normal 7 12 18" xfId="8368"/>
    <cellStyle name="Normal 7 12 18 2" xfId="12260"/>
    <cellStyle name="Normal 7 12 19" xfId="8369"/>
    <cellStyle name="Normal 7 12 19 2" xfId="12261"/>
    <cellStyle name="Normal 7 12 2" xfId="162"/>
    <cellStyle name="Normal 7 12 2 10" xfId="8370"/>
    <cellStyle name="Normal 7 12 2 11" xfId="8371"/>
    <cellStyle name="Normal 7 12 2 12" xfId="8372"/>
    <cellStyle name="Normal 7 12 2 13" xfId="8373"/>
    <cellStyle name="Normal 7 12 2 2" xfId="8374"/>
    <cellStyle name="Normal 7 12 2 3" xfId="8375"/>
    <cellStyle name="Normal 7 12 2 4" xfId="8376"/>
    <cellStyle name="Normal 7 12 2 5" xfId="8377"/>
    <cellStyle name="Normal 7 12 2 6" xfId="8378"/>
    <cellStyle name="Normal 7 12 2 7" xfId="8379"/>
    <cellStyle name="Normal 7 12 2 8" xfId="8380"/>
    <cellStyle name="Normal 7 12 2 9" xfId="8381"/>
    <cellStyle name="Normal 7 12 20" xfId="8382"/>
    <cellStyle name="Normal 7 12 20 2" xfId="12262"/>
    <cellStyle name="Normal 7 12 21" xfId="8383"/>
    <cellStyle name="Normal 7 12 21 2" xfId="12263"/>
    <cellStyle name="Normal 7 12 22" xfId="8384"/>
    <cellStyle name="Normal 7 12 22 2" xfId="12264"/>
    <cellStyle name="Normal 7 12 23" xfId="8385"/>
    <cellStyle name="Normal 7 12 23 2" xfId="12265"/>
    <cellStyle name="Normal 7 12 24" xfId="8386"/>
    <cellStyle name="Normal 7 12 24 2" xfId="12266"/>
    <cellStyle name="Normal 7 12 25" xfId="8387"/>
    <cellStyle name="Normal 7 12 25 2" xfId="12267"/>
    <cellStyle name="Normal 7 12 26" xfId="12251"/>
    <cellStyle name="Normal 7 12 3" xfId="163"/>
    <cellStyle name="Normal 7 12 3 10" xfId="8388"/>
    <cellStyle name="Normal 7 12 3 11" xfId="8389"/>
    <cellStyle name="Normal 7 12 3 12" xfId="8390"/>
    <cellStyle name="Normal 7 12 3 13" xfId="8391"/>
    <cellStyle name="Normal 7 12 3 2" xfId="8392"/>
    <cellStyle name="Normal 7 12 3 3" xfId="8393"/>
    <cellStyle name="Normal 7 12 3 4" xfId="8394"/>
    <cellStyle name="Normal 7 12 3 5" xfId="8395"/>
    <cellStyle name="Normal 7 12 3 6" xfId="8396"/>
    <cellStyle name="Normal 7 12 3 7" xfId="8397"/>
    <cellStyle name="Normal 7 12 3 8" xfId="8398"/>
    <cellStyle name="Normal 7 12 3 9" xfId="8399"/>
    <cellStyle name="Normal 7 12 4" xfId="164"/>
    <cellStyle name="Normal 7 12 4 10" xfId="8400"/>
    <cellStyle name="Normal 7 12 4 11" xfId="8401"/>
    <cellStyle name="Normal 7 12 4 12" xfId="8402"/>
    <cellStyle name="Normal 7 12 4 13" xfId="8403"/>
    <cellStyle name="Normal 7 12 4 2" xfId="8404"/>
    <cellStyle name="Normal 7 12 4 3" xfId="8405"/>
    <cellStyle name="Normal 7 12 4 4" xfId="8406"/>
    <cellStyle name="Normal 7 12 4 5" xfId="8407"/>
    <cellStyle name="Normal 7 12 4 6" xfId="8408"/>
    <cellStyle name="Normal 7 12 4 7" xfId="8409"/>
    <cellStyle name="Normal 7 12 4 8" xfId="8410"/>
    <cellStyle name="Normal 7 12 4 9" xfId="8411"/>
    <cellStyle name="Normal 7 12 5" xfId="165"/>
    <cellStyle name="Normal 7 12 5 10" xfId="8412"/>
    <cellStyle name="Normal 7 12 5 11" xfId="8413"/>
    <cellStyle name="Normal 7 12 5 12" xfId="8414"/>
    <cellStyle name="Normal 7 12 5 13" xfId="8415"/>
    <cellStyle name="Normal 7 12 5 2" xfId="8416"/>
    <cellStyle name="Normal 7 12 5 3" xfId="8417"/>
    <cellStyle name="Normal 7 12 5 4" xfId="8418"/>
    <cellStyle name="Normal 7 12 5 5" xfId="8419"/>
    <cellStyle name="Normal 7 12 5 6" xfId="8420"/>
    <cellStyle name="Normal 7 12 5 7" xfId="8421"/>
    <cellStyle name="Normal 7 12 5 8" xfId="8422"/>
    <cellStyle name="Normal 7 12 5 9" xfId="8423"/>
    <cellStyle name="Normal 7 12 6" xfId="166"/>
    <cellStyle name="Normal 7 12 6 10" xfId="8424"/>
    <cellStyle name="Normal 7 12 6 11" xfId="8425"/>
    <cellStyle name="Normal 7 12 6 12" xfId="8426"/>
    <cellStyle name="Normal 7 12 6 13" xfId="8427"/>
    <cellStyle name="Normal 7 12 6 2" xfId="8428"/>
    <cellStyle name="Normal 7 12 6 3" xfId="8429"/>
    <cellStyle name="Normal 7 12 6 4" xfId="8430"/>
    <cellStyle name="Normal 7 12 6 5" xfId="8431"/>
    <cellStyle name="Normal 7 12 6 6" xfId="8432"/>
    <cellStyle name="Normal 7 12 6 7" xfId="8433"/>
    <cellStyle name="Normal 7 12 6 8" xfId="8434"/>
    <cellStyle name="Normal 7 12 6 9" xfId="8435"/>
    <cellStyle name="Normal 7 12 7" xfId="8436"/>
    <cellStyle name="Normal 7 12 7 10" xfId="8437"/>
    <cellStyle name="Normal 7 12 7 11" xfId="8438"/>
    <cellStyle name="Normal 7 12 7 12" xfId="8439"/>
    <cellStyle name="Normal 7 12 7 13" xfId="8440"/>
    <cellStyle name="Normal 7 12 7 2" xfId="8441"/>
    <cellStyle name="Normal 7 12 7 3" xfId="8442"/>
    <cellStyle name="Normal 7 12 7 4" xfId="8443"/>
    <cellStyle name="Normal 7 12 7 5" xfId="8444"/>
    <cellStyle name="Normal 7 12 7 6" xfId="8445"/>
    <cellStyle name="Normal 7 12 7 7" xfId="8446"/>
    <cellStyle name="Normal 7 12 7 8" xfId="8447"/>
    <cellStyle name="Normal 7 12 7 9" xfId="8448"/>
    <cellStyle name="Normal 7 12 8" xfId="8449"/>
    <cellStyle name="Normal 7 12 8 2" xfId="12268"/>
    <cellStyle name="Normal 7 12 9" xfId="8450"/>
    <cellStyle name="Normal 7 12 9 2" xfId="12269"/>
    <cellStyle name="Normal 7 120" xfId="8451"/>
    <cellStyle name="Normal 7 120 2" xfId="12270"/>
    <cellStyle name="Normal 7 121" xfId="8452"/>
    <cellStyle name="Normal 7 121 2" xfId="12271"/>
    <cellStyle name="Normal 7 122" xfId="8453"/>
    <cellStyle name="Normal 7 122 2" xfId="12272"/>
    <cellStyle name="Normal 7 123" xfId="8454"/>
    <cellStyle name="Normal 7 123 2" xfId="12273"/>
    <cellStyle name="Normal 7 124" xfId="8455"/>
    <cellStyle name="Normal 7 124 2" xfId="12274"/>
    <cellStyle name="Normal 7 125" xfId="8456"/>
    <cellStyle name="Normal 7 125 2" xfId="12275"/>
    <cellStyle name="Normal 7 126" xfId="8457"/>
    <cellStyle name="Normal 7 126 2" xfId="12276"/>
    <cellStyle name="Normal 7 127" xfId="8458"/>
    <cellStyle name="Normal 7 127 2" xfId="12277"/>
    <cellStyle name="Normal 7 128" xfId="8459"/>
    <cellStyle name="Normal 7 128 2" xfId="12278"/>
    <cellStyle name="Normal 7 129" xfId="8460"/>
    <cellStyle name="Normal 7 129 2" xfId="12279"/>
    <cellStyle name="Normal 7 13" xfId="167"/>
    <cellStyle name="Normal 7 13 2" xfId="12280"/>
    <cellStyle name="Normal 7 130" xfId="8461"/>
    <cellStyle name="Normal 7 130 2" xfId="12281"/>
    <cellStyle name="Normal 7 131" xfId="8462"/>
    <cellStyle name="Normal 7 131 2" xfId="12282"/>
    <cellStyle name="Normal 7 132" xfId="8463"/>
    <cellStyle name="Normal 7 132 2" xfId="12283"/>
    <cellStyle name="Normal 7 133" xfId="8464"/>
    <cellStyle name="Normal 7 133 2" xfId="12284"/>
    <cellStyle name="Normal 7 134" xfId="8465"/>
    <cellStyle name="Normal 7 134 2" xfId="12285"/>
    <cellStyle name="Normal 7 135" xfId="8466"/>
    <cellStyle name="Normal 7 135 2" xfId="12286"/>
    <cellStyle name="Normal 7 136" xfId="8467"/>
    <cellStyle name="Normal 7 136 2" xfId="12287"/>
    <cellStyle name="Normal 7 137" xfId="8468"/>
    <cellStyle name="Normal 7 137 2" xfId="12288"/>
    <cellStyle name="Normal 7 138" xfId="8469"/>
    <cellStyle name="Normal 7 138 2" xfId="12289"/>
    <cellStyle name="Normal 7 139" xfId="8470"/>
    <cellStyle name="Normal 7 139 2" xfId="12290"/>
    <cellStyle name="Normal 7 14" xfId="168"/>
    <cellStyle name="Normal 7 14 2" xfId="12291"/>
    <cellStyle name="Normal 7 140" xfId="8471"/>
    <cellStyle name="Normal 7 140 2" xfId="12292"/>
    <cellStyle name="Normal 7 141" xfId="8472"/>
    <cellStyle name="Normal 7 141 2" xfId="12293"/>
    <cellStyle name="Normal 7 142" xfId="12192"/>
    <cellStyle name="Normal 7 15" xfId="169"/>
    <cellStyle name="Normal 7 15 2" xfId="12294"/>
    <cellStyle name="Normal 7 16" xfId="170"/>
    <cellStyle name="Normal 7 16 2" xfId="12295"/>
    <cellStyle name="Normal 7 17" xfId="171"/>
    <cellStyle name="Normal 7 17 2" xfId="12296"/>
    <cellStyle name="Normal 7 18" xfId="172"/>
    <cellStyle name="Normal 7 18 2" xfId="12297"/>
    <cellStyle name="Normal 7 19" xfId="173"/>
    <cellStyle name="Normal 7 19 2" xfId="12298"/>
    <cellStyle name="Normal 7 2" xfId="174"/>
    <cellStyle name="Normal 7 2 2" xfId="12299"/>
    <cellStyle name="Normal 7 20" xfId="175"/>
    <cellStyle name="Normal 7 20 2" xfId="12300"/>
    <cellStyle name="Normal 7 21" xfId="176"/>
    <cellStyle name="Normal 7 21 2" xfId="12301"/>
    <cellStyle name="Normal 7 22" xfId="177"/>
    <cellStyle name="Normal 7 22 2" xfId="12302"/>
    <cellStyle name="Normal 7 23" xfId="178"/>
    <cellStyle name="Normal 7 23 2" xfId="12303"/>
    <cellStyle name="Normal 7 24" xfId="179"/>
    <cellStyle name="Normal 7 24 2" xfId="12304"/>
    <cellStyle name="Normal 7 25" xfId="180"/>
    <cellStyle name="Normal 7 25 2" xfId="12305"/>
    <cellStyle name="Normal 7 26" xfId="181"/>
    <cellStyle name="Normal 7 26 2" xfId="12306"/>
    <cellStyle name="Normal 7 27" xfId="182"/>
    <cellStyle name="Normal 7 27 2" xfId="12307"/>
    <cellStyle name="Normal 7 28" xfId="183"/>
    <cellStyle name="Normal 7 28 2" xfId="12308"/>
    <cellStyle name="Normal 7 29" xfId="184"/>
    <cellStyle name="Normal 7 29 2" xfId="12309"/>
    <cellStyle name="Normal 7 3" xfId="185"/>
    <cellStyle name="Normal 7 3 2" xfId="12310"/>
    <cellStyle name="Normal 7 30" xfId="186"/>
    <cellStyle name="Normal 7 30 2" xfId="12311"/>
    <cellStyle name="Normal 7 31" xfId="187"/>
    <cellStyle name="Normal 7 31 2" xfId="12312"/>
    <cellStyle name="Normal 7 32" xfId="188"/>
    <cellStyle name="Normal 7 32 2" xfId="12313"/>
    <cellStyle name="Normal 7 33" xfId="189"/>
    <cellStyle name="Normal 7 33 2" xfId="12314"/>
    <cellStyle name="Normal 7 34" xfId="190"/>
    <cellStyle name="Normal 7 34 2" xfId="12315"/>
    <cellStyle name="Normal 7 35" xfId="191"/>
    <cellStyle name="Normal 7 35 2" xfId="12316"/>
    <cellStyle name="Normal 7 36" xfId="192"/>
    <cellStyle name="Normal 7 36 2" xfId="12317"/>
    <cellStyle name="Normal 7 37" xfId="193"/>
    <cellStyle name="Normal 7 37 2" xfId="12318"/>
    <cellStyle name="Normal 7 38" xfId="194"/>
    <cellStyle name="Normal 7 38 2" xfId="12319"/>
    <cellStyle name="Normal 7 39" xfId="195"/>
    <cellStyle name="Normal 7 39 2" xfId="12320"/>
    <cellStyle name="Normal 7 4" xfId="196"/>
    <cellStyle name="Normal 7 4 2" xfId="12321"/>
    <cellStyle name="Normal 7 40" xfId="197"/>
    <cellStyle name="Normal 7 40 2" xfId="12322"/>
    <cellStyle name="Normal 7 41" xfId="198"/>
    <cellStyle name="Normal 7 41 2" xfId="12323"/>
    <cellStyle name="Normal 7 42" xfId="199"/>
    <cellStyle name="Normal 7 42 2" xfId="12324"/>
    <cellStyle name="Normal 7 43" xfId="200"/>
    <cellStyle name="Normal 7 43 2" xfId="12325"/>
    <cellStyle name="Normal 7 44" xfId="201"/>
    <cellStyle name="Normal 7 44 2" xfId="12326"/>
    <cellStyle name="Normal 7 45" xfId="202"/>
    <cellStyle name="Normal 7 45 2" xfId="12327"/>
    <cellStyle name="Normal 7 46" xfId="203"/>
    <cellStyle name="Normal 7 46 2" xfId="12328"/>
    <cellStyle name="Normal 7 47" xfId="204"/>
    <cellStyle name="Normal 7 47 2" xfId="12329"/>
    <cellStyle name="Normal 7 48" xfId="205"/>
    <cellStyle name="Normal 7 48 2" xfId="12330"/>
    <cellStyle name="Normal 7 49" xfId="206"/>
    <cellStyle name="Normal 7 49 2" xfId="12331"/>
    <cellStyle name="Normal 7 5" xfId="207"/>
    <cellStyle name="Normal 7 5 2" xfId="12332"/>
    <cellStyle name="Normal 7 50" xfId="208"/>
    <cellStyle name="Normal 7 50 2" xfId="12333"/>
    <cellStyle name="Normal 7 51" xfId="209"/>
    <cellStyle name="Normal 7 51 2" xfId="12334"/>
    <cellStyle name="Normal 7 52" xfId="210"/>
    <cellStyle name="Normal 7 52 2" xfId="12335"/>
    <cellStyle name="Normal 7 53" xfId="211"/>
    <cellStyle name="Normal 7 53 2" xfId="12336"/>
    <cellStyle name="Normal 7 54" xfId="212"/>
    <cellStyle name="Normal 7 54 2" xfId="12337"/>
    <cellStyle name="Normal 7 55" xfId="213"/>
    <cellStyle name="Normal 7 55 2" xfId="12338"/>
    <cellStyle name="Normal 7 56" xfId="214"/>
    <cellStyle name="Normal 7 56 2" xfId="12339"/>
    <cellStyle name="Normal 7 57" xfId="215"/>
    <cellStyle name="Normal 7 57 2" xfId="12340"/>
    <cellStyle name="Normal 7 58" xfId="216"/>
    <cellStyle name="Normal 7 58 2" xfId="12341"/>
    <cellStyle name="Normal 7 59" xfId="217"/>
    <cellStyle name="Normal 7 59 2" xfId="12342"/>
    <cellStyle name="Normal 7 6" xfId="218"/>
    <cellStyle name="Normal 7 6 2" xfId="12343"/>
    <cellStyle name="Normal 7 60" xfId="219"/>
    <cellStyle name="Normal 7 60 2" xfId="12344"/>
    <cellStyle name="Normal 7 61" xfId="220"/>
    <cellStyle name="Normal 7 61 2" xfId="12345"/>
    <cellStyle name="Normal 7 62" xfId="221"/>
    <cellStyle name="Normal 7 62 2" xfId="12346"/>
    <cellStyle name="Normal 7 63" xfId="222"/>
    <cellStyle name="Normal 7 63 2" xfId="12347"/>
    <cellStyle name="Normal 7 64" xfId="223"/>
    <cellStyle name="Normal 7 64 2" xfId="12348"/>
    <cellStyle name="Normal 7 65" xfId="224"/>
    <cellStyle name="Normal 7 65 2" xfId="12349"/>
    <cellStyle name="Normal 7 66" xfId="225"/>
    <cellStyle name="Normal 7 66 2" xfId="12350"/>
    <cellStyle name="Normal 7 67" xfId="226"/>
    <cellStyle name="Normal 7 67 2" xfId="12351"/>
    <cellStyle name="Normal 7 68" xfId="227"/>
    <cellStyle name="Normal 7 68 2" xfId="12352"/>
    <cellStyle name="Normal 7 69" xfId="228"/>
    <cellStyle name="Normal 7 69 2" xfId="12353"/>
    <cellStyle name="Normal 7 7" xfId="229"/>
    <cellStyle name="Normal 7 7 2" xfId="12354"/>
    <cellStyle name="Normal 7 70" xfId="230"/>
    <cellStyle name="Normal 7 70 2" xfId="12355"/>
    <cellStyle name="Normal 7 71" xfId="231"/>
    <cellStyle name="Normal 7 71 2" xfId="12356"/>
    <cellStyle name="Normal 7 72" xfId="232"/>
    <cellStyle name="Normal 7 72 2" xfId="12357"/>
    <cellStyle name="Normal 7 73" xfId="233"/>
    <cellStyle name="Normal 7 73 2" xfId="12358"/>
    <cellStyle name="Normal 7 74" xfId="234"/>
    <cellStyle name="Normal 7 74 2" xfId="12359"/>
    <cellStyle name="Normal 7 75" xfId="235"/>
    <cellStyle name="Normal 7 75 2" xfId="12360"/>
    <cellStyle name="Normal 7 76" xfId="236"/>
    <cellStyle name="Normal 7 76 2" xfId="12361"/>
    <cellStyle name="Normal 7 77" xfId="237"/>
    <cellStyle name="Normal 7 77 2" xfId="12362"/>
    <cellStyle name="Normal 7 78" xfId="238"/>
    <cellStyle name="Normal 7 78 2" xfId="12363"/>
    <cellStyle name="Normal 7 79" xfId="239"/>
    <cellStyle name="Normal 7 79 2" xfId="12364"/>
    <cellStyle name="Normal 7 8" xfId="240"/>
    <cellStyle name="Normal 7 8 2" xfId="12365"/>
    <cellStyle name="Normal 7 80" xfId="241"/>
    <cellStyle name="Normal 7 80 2" xfId="12366"/>
    <cellStyle name="Normal 7 81" xfId="242"/>
    <cellStyle name="Normal 7 81 2" xfId="12367"/>
    <cellStyle name="Normal 7 82" xfId="243"/>
    <cellStyle name="Normal 7 82 2" xfId="12368"/>
    <cellStyle name="Normal 7 83" xfId="244"/>
    <cellStyle name="Normal 7 83 2" xfId="12369"/>
    <cellStyle name="Normal 7 84" xfId="245"/>
    <cellStyle name="Normal 7 84 2" xfId="12370"/>
    <cellStyle name="Normal 7 85" xfId="246"/>
    <cellStyle name="Normal 7 85 2" xfId="12371"/>
    <cellStyle name="Normal 7 86" xfId="8473"/>
    <cellStyle name="Normal 7 86 2" xfId="12372"/>
    <cellStyle name="Normal 7 87" xfId="8474"/>
    <cellStyle name="Normal 7 87 2" xfId="12373"/>
    <cellStyle name="Normal 7 88" xfId="8475"/>
    <cellStyle name="Normal 7 88 2" xfId="12374"/>
    <cellStyle name="Normal 7 89" xfId="8476"/>
    <cellStyle name="Normal 7 89 2" xfId="12375"/>
    <cellStyle name="Normal 7 9" xfId="247"/>
    <cellStyle name="Normal 7 9 10" xfId="8477"/>
    <cellStyle name="Normal 7 9 10 2" xfId="12377"/>
    <cellStyle name="Normal 7 9 11" xfId="8478"/>
    <cellStyle name="Normal 7 9 11 2" xfId="12378"/>
    <cellStyle name="Normal 7 9 12" xfId="8479"/>
    <cellStyle name="Normal 7 9 12 2" xfId="12379"/>
    <cellStyle name="Normal 7 9 13" xfId="8480"/>
    <cellStyle name="Normal 7 9 13 2" xfId="12380"/>
    <cellStyle name="Normal 7 9 14" xfId="8481"/>
    <cellStyle name="Normal 7 9 14 2" xfId="12381"/>
    <cellStyle name="Normal 7 9 15" xfId="8482"/>
    <cellStyle name="Normal 7 9 15 2" xfId="12382"/>
    <cellStyle name="Normal 7 9 16" xfId="8483"/>
    <cellStyle name="Normal 7 9 16 2" xfId="12383"/>
    <cellStyle name="Normal 7 9 17" xfId="8484"/>
    <cellStyle name="Normal 7 9 17 2" xfId="12384"/>
    <cellStyle name="Normal 7 9 18" xfId="8485"/>
    <cellStyle name="Normal 7 9 18 2" xfId="12385"/>
    <cellStyle name="Normal 7 9 19" xfId="8486"/>
    <cellStyle name="Normal 7 9 19 2" xfId="12386"/>
    <cellStyle name="Normal 7 9 2" xfId="248"/>
    <cellStyle name="Normal 7 9 2 10" xfId="8487"/>
    <cellStyle name="Normal 7 9 2 11" xfId="8488"/>
    <cellStyle name="Normal 7 9 2 12" xfId="8489"/>
    <cellStyle name="Normal 7 9 2 13" xfId="8490"/>
    <cellStyle name="Normal 7 9 2 2" xfId="8491"/>
    <cellStyle name="Normal 7 9 2 3" xfId="8492"/>
    <cellStyle name="Normal 7 9 2 4" xfId="8493"/>
    <cellStyle name="Normal 7 9 2 5" xfId="8494"/>
    <cellStyle name="Normal 7 9 2 6" xfId="8495"/>
    <cellStyle name="Normal 7 9 2 7" xfId="8496"/>
    <cellStyle name="Normal 7 9 2 8" xfId="8497"/>
    <cellStyle name="Normal 7 9 2 9" xfId="8498"/>
    <cellStyle name="Normal 7 9 20" xfId="8499"/>
    <cellStyle name="Normal 7 9 20 2" xfId="12387"/>
    <cellStyle name="Normal 7 9 21" xfId="8500"/>
    <cellStyle name="Normal 7 9 21 2" xfId="12388"/>
    <cellStyle name="Normal 7 9 22" xfId="8501"/>
    <cellStyle name="Normal 7 9 22 2" xfId="12389"/>
    <cellStyle name="Normal 7 9 23" xfId="8502"/>
    <cellStyle name="Normal 7 9 23 2" xfId="12390"/>
    <cellStyle name="Normal 7 9 24" xfId="8503"/>
    <cellStyle name="Normal 7 9 24 2" xfId="12391"/>
    <cellStyle name="Normal 7 9 25" xfId="8504"/>
    <cellStyle name="Normal 7 9 25 2" xfId="12392"/>
    <cellStyle name="Normal 7 9 26" xfId="12376"/>
    <cellStyle name="Normal 7 9 3" xfId="249"/>
    <cellStyle name="Normal 7 9 3 10" xfId="8505"/>
    <cellStyle name="Normal 7 9 3 11" xfId="8506"/>
    <cellStyle name="Normal 7 9 3 12" xfId="8507"/>
    <cellStyle name="Normal 7 9 3 13" xfId="8508"/>
    <cellStyle name="Normal 7 9 3 2" xfId="8509"/>
    <cellStyle name="Normal 7 9 3 3" xfId="8510"/>
    <cellStyle name="Normal 7 9 3 4" xfId="8511"/>
    <cellStyle name="Normal 7 9 3 5" xfId="8512"/>
    <cellStyle name="Normal 7 9 3 6" xfId="8513"/>
    <cellStyle name="Normal 7 9 3 7" xfId="8514"/>
    <cellStyle name="Normal 7 9 3 8" xfId="8515"/>
    <cellStyle name="Normal 7 9 3 9" xfId="8516"/>
    <cellStyle name="Normal 7 9 4" xfId="250"/>
    <cellStyle name="Normal 7 9 4 10" xfId="8517"/>
    <cellStyle name="Normal 7 9 4 11" xfId="8518"/>
    <cellStyle name="Normal 7 9 4 12" xfId="8519"/>
    <cellStyle name="Normal 7 9 4 13" xfId="8520"/>
    <cellStyle name="Normal 7 9 4 2" xfId="8521"/>
    <cellStyle name="Normal 7 9 4 3" xfId="8522"/>
    <cellStyle name="Normal 7 9 4 4" xfId="8523"/>
    <cellStyle name="Normal 7 9 4 5" xfId="8524"/>
    <cellStyle name="Normal 7 9 4 6" xfId="8525"/>
    <cellStyle name="Normal 7 9 4 7" xfId="8526"/>
    <cellStyle name="Normal 7 9 4 8" xfId="8527"/>
    <cellStyle name="Normal 7 9 4 9" xfId="8528"/>
    <cellStyle name="Normal 7 9 5" xfId="251"/>
    <cellStyle name="Normal 7 9 5 10" xfId="8529"/>
    <cellStyle name="Normal 7 9 5 11" xfId="8530"/>
    <cellStyle name="Normal 7 9 5 12" xfId="8531"/>
    <cellStyle name="Normal 7 9 5 13" xfId="8532"/>
    <cellStyle name="Normal 7 9 5 2" xfId="8533"/>
    <cellStyle name="Normal 7 9 5 3" xfId="8534"/>
    <cellStyle name="Normal 7 9 5 4" xfId="8535"/>
    <cellStyle name="Normal 7 9 5 5" xfId="8536"/>
    <cellStyle name="Normal 7 9 5 6" xfId="8537"/>
    <cellStyle name="Normal 7 9 5 7" xfId="8538"/>
    <cellStyle name="Normal 7 9 5 8" xfId="8539"/>
    <cellStyle name="Normal 7 9 5 9" xfId="8540"/>
    <cellStyle name="Normal 7 9 6" xfId="252"/>
    <cellStyle name="Normal 7 9 6 10" xfId="8541"/>
    <cellStyle name="Normal 7 9 6 11" xfId="8542"/>
    <cellStyle name="Normal 7 9 6 12" xfId="8543"/>
    <cellStyle name="Normal 7 9 6 13" xfId="8544"/>
    <cellStyle name="Normal 7 9 6 2" xfId="8545"/>
    <cellStyle name="Normal 7 9 6 3" xfId="8546"/>
    <cellStyle name="Normal 7 9 6 4" xfId="8547"/>
    <cellStyle name="Normal 7 9 6 5" xfId="8548"/>
    <cellStyle name="Normal 7 9 6 6" xfId="8549"/>
    <cellStyle name="Normal 7 9 6 7" xfId="8550"/>
    <cellStyle name="Normal 7 9 6 8" xfId="8551"/>
    <cellStyle name="Normal 7 9 6 9" xfId="8552"/>
    <cellStyle name="Normal 7 9 7" xfId="8553"/>
    <cellStyle name="Normal 7 9 7 10" xfId="8554"/>
    <cellStyle name="Normal 7 9 7 11" xfId="8555"/>
    <cellStyle name="Normal 7 9 7 12" xfId="8556"/>
    <cellStyle name="Normal 7 9 7 13" xfId="8557"/>
    <cellStyle name="Normal 7 9 7 2" xfId="8558"/>
    <cellStyle name="Normal 7 9 7 3" xfId="8559"/>
    <cellStyle name="Normal 7 9 7 4" xfId="8560"/>
    <cellStyle name="Normal 7 9 7 5" xfId="8561"/>
    <cellStyle name="Normal 7 9 7 6" xfId="8562"/>
    <cellStyle name="Normal 7 9 7 7" xfId="8563"/>
    <cellStyle name="Normal 7 9 7 8" xfId="8564"/>
    <cellStyle name="Normal 7 9 7 9" xfId="8565"/>
    <cellStyle name="Normal 7 9 8" xfId="8566"/>
    <cellStyle name="Normal 7 9 8 2" xfId="12393"/>
    <cellStyle name="Normal 7 9 9" xfId="8567"/>
    <cellStyle name="Normal 7 9 9 2" xfId="12394"/>
    <cellStyle name="Normal 7 90" xfId="8568"/>
    <cellStyle name="Normal 7 90 2" xfId="12395"/>
    <cellStyle name="Normal 7 91" xfId="8569"/>
    <cellStyle name="Normal 7 91 2" xfId="12396"/>
    <cellStyle name="Normal 7 92" xfId="8570"/>
    <cellStyle name="Normal 7 92 2" xfId="12397"/>
    <cellStyle name="Normal 7 93" xfId="8571"/>
    <cellStyle name="Normal 7 93 2" xfId="12398"/>
    <cellStyle name="Normal 7 94" xfId="8572"/>
    <cellStyle name="Normal 7 94 2" xfId="12399"/>
    <cellStyle name="Normal 7 95" xfId="8573"/>
    <cellStyle name="Normal 7 95 2" xfId="12400"/>
    <cellStyle name="Normal 7 96" xfId="8574"/>
    <cellStyle name="Normal 7 96 2" xfId="12401"/>
    <cellStyle name="Normal 7 97" xfId="8575"/>
    <cellStyle name="Normal 7 97 2" xfId="12402"/>
    <cellStyle name="Normal 7 98" xfId="8576"/>
    <cellStyle name="Normal 7 98 2" xfId="12403"/>
    <cellStyle name="Normal 7 99" xfId="8577"/>
    <cellStyle name="Normal 7 99 2" xfId="12404"/>
    <cellStyle name="Normal 70" xfId="11336"/>
    <cellStyle name="Normal 70 2" xfId="11337"/>
    <cellStyle name="Normal 71" xfId="11338"/>
    <cellStyle name="Normal 71 2" xfId="11342"/>
    <cellStyle name="Normal 71 2 2" xfId="12406"/>
    <cellStyle name="Normal 71 3" xfId="12405"/>
    <cellStyle name="Normal 8" xfId="253"/>
    <cellStyle name="Normal 8 10" xfId="8578"/>
    <cellStyle name="Normal 8 11" xfId="8579"/>
    <cellStyle name="Normal 8 12" xfId="8580"/>
    <cellStyle name="Normal 8 13" xfId="8581"/>
    <cellStyle name="Normal 8 14" xfId="8582"/>
    <cellStyle name="Normal 8 15" xfId="8583"/>
    <cellStyle name="Normal 8 16" xfId="8584"/>
    <cellStyle name="Normal 8 17" xfId="8585"/>
    <cellStyle name="Normal 8 18" xfId="8586"/>
    <cellStyle name="Normal 8 19" xfId="8587"/>
    <cellStyle name="Normal 8 2" xfId="254"/>
    <cellStyle name="Normal 8 20" xfId="8588"/>
    <cellStyle name="Normal 8 21" xfId="8589"/>
    <cellStyle name="Normal 8 22" xfId="8590"/>
    <cellStyle name="Normal 8 23" xfId="8591"/>
    <cellStyle name="Normal 8 24" xfId="8592"/>
    <cellStyle name="Normal 8 25" xfId="8593"/>
    <cellStyle name="Normal 8 26" xfId="8594"/>
    <cellStyle name="Normal 8 27" xfId="8595"/>
    <cellStyle name="Normal 8 28" xfId="8596"/>
    <cellStyle name="Normal 8 29" xfId="8597"/>
    <cellStyle name="Normal 8 3" xfId="255"/>
    <cellStyle name="Normal 8 30" xfId="8598"/>
    <cellStyle name="Normal 8 31" xfId="10725"/>
    <cellStyle name="Normal 8 32" xfId="10744"/>
    <cellStyle name="Normal 8 33" xfId="10732"/>
    <cellStyle name="Normal 8 34" xfId="10737"/>
    <cellStyle name="Normal 8 35" xfId="10757"/>
    <cellStyle name="Normal 8 36" xfId="10786"/>
    <cellStyle name="Normal 8 37" xfId="10764"/>
    <cellStyle name="Normal 8 4" xfId="256"/>
    <cellStyle name="Normal 8 5" xfId="257"/>
    <cellStyle name="Normal 8 6" xfId="8599"/>
    <cellStyle name="Normal 8 7" xfId="8600"/>
    <cellStyle name="Normal 8 8" xfId="8601"/>
    <cellStyle name="Normal 8 9" xfId="8602"/>
    <cellStyle name="Normal 9" xfId="258"/>
    <cellStyle name="Normal 9 10" xfId="8603"/>
    <cellStyle name="Normal 9 11" xfId="8604"/>
    <cellStyle name="Normal 9 12" xfId="8605"/>
    <cellStyle name="Normal 9 13" xfId="8606"/>
    <cellStyle name="Normal 9 14" xfId="8607"/>
    <cellStyle name="Normal 9 15" xfId="8608"/>
    <cellStyle name="Normal 9 16" xfId="8609"/>
    <cellStyle name="Normal 9 17" xfId="8610"/>
    <cellStyle name="Normal 9 18" xfId="8611"/>
    <cellStyle name="Normal 9 19" xfId="8612"/>
    <cellStyle name="Normal 9 2" xfId="8613"/>
    <cellStyle name="Normal 9 20" xfId="8614"/>
    <cellStyle name="Normal 9 21" xfId="8615"/>
    <cellStyle name="Normal 9 22" xfId="8616"/>
    <cellStyle name="Normal 9 23" xfId="8617"/>
    <cellStyle name="Normal 9 24" xfId="8618"/>
    <cellStyle name="Normal 9 25" xfId="8619"/>
    <cellStyle name="Normal 9 26" xfId="8620"/>
    <cellStyle name="Normal 9 27" xfId="8621"/>
    <cellStyle name="Normal 9 28" xfId="8622"/>
    <cellStyle name="Normal 9 29" xfId="8623"/>
    <cellStyle name="Normal 9 3" xfId="8624"/>
    <cellStyle name="Normal 9 30" xfId="8625"/>
    <cellStyle name="Normal 9 4" xfId="8626"/>
    <cellStyle name="Normal 9 5" xfId="8627"/>
    <cellStyle name="Normal 9 6" xfId="8628"/>
    <cellStyle name="Normal 9 7" xfId="8629"/>
    <cellStyle name="Normal 9 8" xfId="8630"/>
    <cellStyle name="Normal 9 9" xfId="8631"/>
    <cellStyle name="Note" xfId="17" builtinId="10" customBuiltin="1"/>
    <cellStyle name="Note 10" xfId="8632"/>
    <cellStyle name="Note 11" xfId="8633"/>
    <cellStyle name="Note 12" xfId="8634"/>
    <cellStyle name="Note 13" xfId="8635"/>
    <cellStyle name="Note 14" xfId="8636"/>
    <cellStyle name="Note 15" xfId="8637"/>
    <cellStyle name="Note 16" xfId="8638"/>
    <cellStyle name="Note 17" xfId="8639"/>
    <cellStyle name="Note 18" xfId="8640"/>
    <cellStyle name="Note 19" xfId="8641"/>
    <cellStyle name="Note 2" xfId="8642"/>
    <cellStyle name="Note 2 2" xfId="8643"/>
    <cellStyle name="Note 2 3" xfId="8644"/>
    <cellStyle name="Note 2 4" xfId="8645"/>
    <cellStyle name="Note 2 5" xfId="8646"/>
    <cellStyle name="Note 20" xfId="8647"/>
    <cellStyle name="Note 3" xfId="8648"/>
    <cellStyle name="Note 3 2" xfId="8649"/>
    <cellStyle name="Note 3 3" xfId="8650"/>
    <cellStyle name="Note 3 4" xfId="8651"/>
    <cellStyle name="Note 3 5" xfId="8652"/>
    <cellStyle name="Note 4" xfId="8653"/>
    <cellStyle name="Note 4 2" xfId="8654"/>
    <cellStyle name="Note 4 3" xfId="8655"/>
    <cellStyle name="Note 4 4" xfId="8656"/>
    <cellStyle name="Note 4 5" xfId="8657"/>
    <cellStyle name="Note 5" xfId="8658"/>
    <cellStyle name="Note 5 2" xfId="8659"/>
    <cellStyle name="Note 5 3" xfId="8660"/>
    <cellStyle name="Note 5 4" xfId="8661"/>
    <cellStyle name="Note 5 5" xfId="8662"/>
    <cellStyle name="Note 6" xfId="8663"/>
    <cellStyle name="Note 6 2" xfId="8664"/>
    <cellStyle name="Note 6 3" xfId="8665"/>
    <cellStyle name="Note 6 4" xfId="8666"/>
    <cellStyle name="Note 6 5" xfId="8667"/>
    <cellStyle name="Note 7" xfId="8668"/>
    <cellStyle name="Note 7 2" xfId="8669"/>
    <cellStyle name="Note 7 3" xfId="8670"/>
    <cellStyle name="Note 7 4" xfId="8671"/>
    <cellStyle name="Note 7 5" xfId="8672"/>
    <cellStyle name="Note 8" xfId="8673"/>
    <cellStyle name="Note 8 2" xfId="8674"/>
    <cellStyle name="Note 8 3" xfId="8675"/>
    <cellStyle name="Note 8 4" xfId="8676"/>
    <cellStyle name="Note 8 5" xfId="8677"/>
    <cellStyle name="Note 9" xfId="8678"/>
    <cellStyle name="Output" xfId="12" builtinId="21" customBuiltin="1"/>
    <cellStyle name="Percent" xfId="2" builtinId="5"/>
    <cellStyle name="Percent 2" xfId="45"/>
    <cellStyle name="Percent 2 10" xfId="8679"/>
    <cellStyle name="Percent 2 10 10" xfId="8680"/>
    <cellStyle name="Percent 2 10 10 2" xfId="8681"/>
    <cellStyle name="Percent 2 10 10 3" xfId="8682"/>
    <cellStyle name="Percent 2 10 10 4" xfId="8683"/>
    <cellStyle name="Percent 2 10 10 5" xfId="8684"/>
    <cellStyle name="Percent 2 10 11" xfId="8685"/>
    <cellStyle name="Percent 2 10 11 2" xfId="8686"/>
    <cellStyle name="Percent 2 10 11 3" xfId="8687"/>
    <cellStyle name="Percent 2 10 11 4" xfId="8688"/>
    <cellStyle name="Percent 2 10 11 5" xfId="8689"/>
    <cellStyle name="Percent 2 10 12" xfId="8690"/>
    <cellStyle name="Percent 2 10 12 2" xfId="8691"/>
    <cellStyle name="Percent 2 10 12 3" xfId="8692"/>
    <cellStyle name="Percent 2 10 12 4" xfId="8693"/>
    <cellStyle name="Percent 2 10 12 5" xfId="8694"/>
    <cellStyle name="Percent 2 10 13" xfId="8695"/>
    <cellStyle name="Percent 2 10 13 2" xfId="8696"/>
    <cellStyle name="Percent 2 10 13 3" xfId="8697"/>
    <cellStyle name="Percent 2 10 13 4" xfId="8698"/>
    <cellStyle name="Percent 2 10 13 5" xfId="8699"/>
    <cellStyle name="Percent 2 10 14" xfId="8700"/>
    <cellStyle name="Percent 2 10 14 2" xfId="8701"/>
    <cellStyle name="Percent 2 10 14 3" xfId="8702"/>
    <cellStyle name="Percent 2 10 14 4" xfId="8703"/>
    <cellStyle name="Percent 2 10 14 5" xfId="8704"/>
    <cellStyle name="Percent 2 10 15" xfId="8705"/>
    <cellStyle name="Percent 2 10 15 2" xfId="8706"/>
    <cellStyle name="Percent 2 10 15 3" xfId="8707"/>
    <cellStyle name="Percent 2 10 15 4" xfId="8708"/>
    <cellStyle name="Percent 2 10 15 5" xfId="8709"/>
    <cellStyle name="Percent 2 10 16" xfId="8710"/>
    <cellStyle name="Percent 2 10 16 2" xfId="8711"/>
    <cellStyle name="Percent 2 10 16 3" xfId="8712"/>
    <cellStyle name="Percent 2 10 16 4" xfId="8713"/>
    <cellStyle name="Percent 2 10 16 5" xfId="8714"/>
    <cellStyle name="Percent 2 10 17" xfId="8715"/>
    <cellStyle name="Percent 2 10 17 2" xfId="8716"/>
    <cellStyle name="Percent 2 10 17 3" xfId="8717"/>
    <cellStyle name="Percent 2 10 17 4" xfId="8718"/>
    <cellStyle name="Percent 2 10 17 5" xfId="8719"/>
    <cellStyle name="Percent 2 10 18" xfId="8720"/>
    <cellStyle name="Percent 2 10 18 2" xfId="8721"/>
    <cellStyle name="Percent 2 10 18 3" xfId="8722"/>
    <cellStyle name="Percent 2 10 18 4" xfId="8723"/>
    <cellStyle name="Percent 2 10 18 5" xfId="8724"/>
    <cellStyle name="Percent 2 10 19" xfId="8725"/>
    <cellStyle name="Percent 2 10 19 2" xfId="8726"/>
    <cellStyle name="Percent 2 10 19 3" xfId="8727"/>
    <cellStyle name="Percent 2 10 19 4" xfId="8728"/>
    <cellStyle name="Percent 2 10 19 5" xfId="8729"/>
    <cellStyle name="Percent 2 10 2" xfId="8730"/>
    <cellStyle name="Percent 2 10 2 2" xfId="8731"/>
    <cellStyle name="Percent 2 10 2 3" xfId="8732"/>
    <cellStyle name="Percent 2 10 2 4" xfId="8733"/>
    <cellStyle name="Percent 2 10 2 5" xfId="8734"/>
    <cellStyle name="Percent 2 10 20" xfId="8735"/>
    <cellStyle name="Percent 2 10 20 2" xfId="8736"/>
    <cellStyle name="Percent 2 10 20 3" xfId="8737"/>
    <cellStyle name="Percent 2 10 20 4" xfId="8738"/>
    <cellStyle name="Percent 2 10 20 5" xfId="8739"/>
    <cellStyle name="Percent 2 10 21" xfId="8740"/>
    <cellStyle name="Percent 2 10 21 2" xfId="8741"/>
    <cellStyle name="Percent 2 10 21 3" xfId="8742"/>
    <cellStyle name="Percent 2 10 21 4" xfId="8743"/>
    <cellStyle name="Percent 2 10 21 5" xfId="8744"/>
    <cellStyle name="Percent 2 10 22" xfId="8745"/>
    <cellStyle name="Percent 2 10 22 2" xfId="8746"/>
    <cellStyle name="Percent 2 10 22 3" xfId="8747"/>
    <cellStyle name="Percent 2 10 22 4" xfId="8748"/>
    <cellStyle name="Percent 2 10 22 5" xfId="8749"/>
    <cellStyle name="Percent 2 10 23" xfId="8750"/>
    <cellStyle name="Percent 2 10 23 2" xfId="8751"/>
    <cellStyle name="Percent 2 10 23 3" xfId="8752"/>
    <cellStyle name="Percent 2 10 23 4" xfId="8753"/>
    <cellStyle name="Percent 2 10 23 5" xfId="8754"/>
    <cellStyle name="Percent 2 10 24" xfId="8755"/>
    <cellStyle name="Percent 2 10 24 2" xfId="8756"/>
    <cellStyle name="Percent 2 10 24 3" xfId="8757"/>
    <cellStyle name="Percent 2 10 24 4" xfId="8758"/>
    <cellStyle name="Percent 2 10 24 5" xfId="8759"/>
    <cellStyle name="Percent 2 10 25" xfId="8760"/>
    <cellStyle name="Percent 2 10 25 2" xfId="8761"/>
    <cellStyle name="Percent 2 10 25 3" xfId="8762"/>
    <cellStyle name="Percent 2 10 25 4" xfId="8763"/>
    <cellStyle name="Percent 2 10 25 5" xfId="8764"/>
    <cellStyle name="Percent 2 10 26" xfId="8765"/>
    <cellStyle name="Percent 2 10 26 2" xfId="8766"/>
    <cellStyle name="Percent 2 10 26 3" xfId="8767"/>
    <cellStyle name="Percent 2 10 26 4" xfId="8768"/>
    <cellStyle name="Percent 2 10 26 5" xfId="8769"/>
    <cellStyle name="Percent 2 10 27" xfId="8770"/>
    <cellStyle name="Percent 2 10 27 2" xfId="8771"/>
    <cellStyle name="Percent 2 10 27 3" xfId="8772"/>
    <cellStyle name="Percent 2 10 27 4" xfId="8773"/>
    <cellStyle name="Percent 2 10 27 5" xfId="8774"/>
    <cellStyle name="Percent 2 10 28" xfId="8775"/>
    <cellStyle name="Percent 2 10 28 2" xfId="8776"/>
    <cellStyle name="Percent 2 10 28 3" xfId="8777"/>
    <cellStyle name="Percent 2 10 28 4" xfId="8778"/>
    <cellStyle name="Percent 2 10 28 5" xfId="8779"/>
    <cellStyle name="Percent 2 10 29" xfId="8780"/>
    <cellStyle name="Percent 2 10 29 2" xfId="8781"/>
    <cellStyle name="Percent 2 10 29 3" xfId="8782"/>
    <cellStyle name="Percent 2 10 29 4" xfId="8783"/>
    <cellStyle name="Percent 2 10 29 5" xfId="8784"/>
    <cellStyle name="Percent 2 10 3" xfId="8785"/>
    <cellStyle name="Percent 2 10 3 2" xfId="8786"/>
    <cellStyle name="Percent 2 10 3 3" xfId="8787"/>
    <cellStyle name="Percent 2 10 3 4" xfId="8788"/>
    <cellStyle name="Percent 2 10 3 5" xfId="8789"/>
    <cellStyle name="Percent 2 10 30" xfId="8790"/>
    <cellStyle name="Percent 2 10 30 2" xfId="8791"/>
    <cellStyle name="Percent 2 10 30 3" xfId="8792"/>
    <cellStyle name="Percent 2 10 30 4" xfId="8793"/>
    <cellStyle name="Percent 2 10 30 5" xfId="8794"/>
    <cellStyle name="Percent 2 10 31" xfId="8795"/>
    <cellStyle name="Percent 2 10 32" xfId="8796"/>
    <cellStyle name="Percent 2 10 33" xfId="8797"/>
    <cellStyle name="Percent 2 10 34" xfId="8798"/>
    <cellStyle name="Percent 2 10 35" xfId="8799"/>
    <cellStyle name="Percent 2 10 35 2" xfId="12409"/>
    <cellStyle name="Percent 2 10 36" xfId="8800"/>
    <cellStyle name="Percent 2 10 36 2" xfId="12410"/>
    <cellStyle name="Percent 2 10 37" xfId="8801"/>
    <cellStyle name="Percent 2 10 37 2" xfId="12411"/>
    <cellStyle name="Percent 2 10 38" xfId="8802"/>
    <cellStyle name="Percent 2 10 38 2" xfId="12412"/>
    <cellStyle name="Percent 2 10 39" xfId="8803"/>
    <cellStyle name="Percent 2 10 39 2" xfId="12413"/>
    <cellStyle name="Percent 2 10 4" xfId="8804"/>
    <cellStyle name="Percent 2 10 4 2" xfId="8805"/>
    <cellStyle name="Percent 2 10 4 3" xfId="8806"/>
    <cellStyle name="Percent 2 10 4 4" xfId="8807"/>
    <cellStyle name="Percent 2 10 4 5" xfId="8808"/>
    <cellStyle name="Percent 2 10 40" xfId="8809"/>
    <cellStyle name="Percent 2 10 40 2" xfId="12414"/>
    <cellStyle name="Percent 2 10 41" xfId="8810"/>
    <cellStyle name="Percent 2 10 41 2" xfId="12415"/>
    <cellStyle name="Percent 2 10 42" xfId="8811"/>
    <cellStyle name="Percent 2 10 42 2" xfId="12416"/>
    <cellStyle name="Percent 2 10 43" xfId="8812"/>
    <cellStyle name="Percent 2 10 43 2" xfId="12417"/>
    <cellStyle name="Percent 2 10 44" xfId="8813"/>
    <cellStyle name="Percent 2 10 44 2" xfId="12418"/>
    <cellStyle name="Percent 2 10 45" xfId="8814"/>
    <cellStyle name="Percent 2 10 45 2" xfId="12419"/>
    <cellStyle name="Percent 2 10 46" xfId="8815"/>
    <cellStyle name="Percent 2 10 46 2" xfId="12420"/>
    <cellStyle name="Percent 2 10 47" xfId="12408"/>
    <cellStyle name="Percent 2 10 5" xfId="8816"/>
    <cellStyle name="Percent 2 10 5 2" xfId="8817"/>
    <cellStyle name="Percent 2 10 5 3" xfId="8818"/>
    <cellStyle name="Percent 2 10 5 4" xfId="8819"/>
    <cellStyle name="Percent 2 10 5 5" xfId="8820"/>
    <cellStyle name="Percent 2 10 6" xfId="8821"/>
    <cellStyle name="Percent 2 10 6 2" xfId="8822"/>
    <cellStyle name="Percent 2 10 6 3" xfId="8823"/>
    <cellStyle name="Percent 2 10 6 4" xfId="8824"/>
    <cellStyle name="Percent 2 10 6 5" xfId="8825"/>
    <cellStyle name="Percent 2 10 7" xfId="8826"/>
    <cellStyle name="Percent 2 10 7 2" xfId="8827"/>
    <cellStyle name="Percent 2 10 7 3" xfId="8828"/>
    <cellStyle name="Percent 2 10 7 4" xfId="8829"/>
    <cellStyle name="Percent 2 10 7 5" xfId="8830"/>
    <cellStyle name="Percent 2 10 8" xfId="8831"/>
    <cellStyle name="Percent 2 10 8 2" xfId="8832"/>
    <cellStyle name="Percent 2 10 8 3" xfId="8833"/>
    <cellStyle name="Percent 2 10 8 4" xfId="8834"/>
    <cellStyle name="Percent 2 10 8 5" xfId="8835"/>
    <cellStyle name="Percent 2 10 9" xfId="8836"/>
    <cellStyle name="Percent 2 10 9 2" xfId="8837"/>
    <cellStyle name="Percent 2 10 9 3" xfId="8838"/>
    <cellStyle name="Percent 2 10 9 4" xfId="8839"/>
    <cellStyle name="Percent 2 10 9 5" xfId="8840"/>
    <cellStyle name="Percent 2 11" xfId="8841"/>
    <cellStyle name="Percent 2 11 10" xfId="8842"/>
    <cellStyle name="Percent 2 11 10 2" xfId="8843"/>
    <cellStyle name="Percent 2 11 10 3" xfId="8844"/>
    <cellStyle name="Percent 2 11 10 4" xfId="8845"/>
    <cellStyle name="Percent 2 11 10 5" xfId="8846"/>
    <cellStyle name="Percent 2 11 11" xfId="8847"/>
    <cellStyle name="Percent 2 11 11 2" xfId="8848"/>
    <cellStyle name="Percent 2 11 11 3" xfId="8849"/>
    <cellStyle name="Percent 2 11 11 4" xfId="8850"/>
    <cellStyle name="Percent 2 11 11 5" xfId="8851"/>
    <cellStyle name="Percent 2 11 12" xfId="8852"/>
    <cellStyle name="Percent 2 11 12 2" xfId="8853"/>
    <cellStyle name="Percent 2 11 12 3" xfId="8854"/>
    <cellStyle name="Percent 2 11 12 4" xfId="8855"/>
    <cellStyle name="Percent 2 11 12 5" xfId="8856"/>
    <cellStyle name="Percent 2 11 13" xfId="8857"/>
    <cellStyle name="Percent 2 11 13 2" xfId="8858"/>
    <cellStyle name="Percent 2 11 13 3" xfId="8859"/>
    <cellStyle name="Percent 2 11 13 4" xfId="8860"/>
    <cellStyle name="Percent 2 11 13 5" xfId="8861"/>
    <cellStyle name="Percent 2 11 14" xfId="8862"/>
    <cellStyle name="Percent 2 11 14 2" xfId="8863"/>
    <cellStyle name="Percent 2 11 14 3" xfId="8864"/>
    <cellStyle name="Percent 2 11 14 4" xfId="8865"/>
    <cellStyle name="Percent 2 11 14 5" xfId="8866"/>
    <cellStyle name="Percent 2 11 15" xfId="8867"/>
    <cellStyle name="Percent 2 11 15 2" xfId="8868"/>
    <cellStyle name="Percent 2 11 15 3" xfId="8869"/>
    <cellStyle name="Percent 2 11 15 4" xfId="8870"/>
    <cellStyle name="Percent 2 11 15 5" xfId="8871"/>
    <cellStyle name="Percent 2 11 16" xfId="8872"/>
    <cellStyle name="Percent 2 11 16 2" xfId="8873"/>
    <cellStyle name="Percent 2 11 16 3" xfId="8874"/>
    <cellStyle name="Percent 2 11 16 4" xfId="8875"/>
    <cellStyle name="Percent 2 11 16 5" xfId="8876"/>
    <cellStyle name="Percent 2 11 17" xfId="8877"/>
    <cellStyle name="Percent 2 11 17 2" xfId="8878"/>
    <cellStyle name="Percent 2 11 17 3" xfId="8879"/>
    <cellStyle name="Percent 2 11 17 4" xfId="8880"/>
    <cellStyle name="Percent 2 11 17 5" xfId="8881"/>
    <cellStyle name="Percent 2 11 18" xfId="8882"/>
    <cellStyle name="Percent 2 11 18 2" xfId="8883"/>
    <cellStyle name="Percent 2 11 18 3" xfId="8884"/>
    <cellStyle name="Percent 2 11 18 4" xfId="8885"/>
    <cellStyle name="Percent 2 11 18 5" xfId="8886"/>
    <cellStyle name="Percent 2 11 19" xfId="8887"/>
    <cellStyle name="Percent 2 11 19 2" xfId="8888"/>
    <cellStyle name="Percent 2 11 19 3" xfId="8889"/>
    <cellStyle name="Percent 2 11 19 4" xfId="8890"/>
    <cellStyle name="Percent 2 11 19 5" xfId="8891"/>
    <cellStyle name="Percent 2 11 2" xfId="8892"/>
    <cellStyle name="Percent 2 11 2 2" xfId="8893"/>
    <cellStyle name="Percent 2 11 2 3" xfId="8894"/>
    <cellStyle name="Percent 2 11 2 4" xfId="8895"/>
    <cellStyle name="Percent 2 11 2 5" xfId="8896"/>
    <cellStyle name="Percent 2 11 20" xfId="8897"/>
    <cellStyle name="Percent 2 11 20 2" xfId="8898"/>
    <cellStyle name="Percent 2 11 20 3" xfId="8899"/>
    <cellStyle name="Percent 2 11 20 4" xfId="8900"/>
    <cellStyle name="Percent 2 11 20 5" xfId="8901"/>
    <cellStyle name="Percent 2 11 21" xfId="8902"/>
    <cellStyle name="Percent 2 11 21 2" xfId="8903"/>
    <cellStyle name="Percent 2 11 21 3" xfId="8904"/>
    <cellStyle name="Percent 2 11 21 4" xfId="8905"/>
    <cellStyle name="Percent 2 11 21 5" xfId="8906"/>
    <cellStyle name="Percent 2 11 22" xfId="8907"/>
    <cellStyle name="Percent 2 11 22 2" xfId="8908"/>
    <cellStyle name="Percent 2 11 22 3" xfId="8909"/>
    <cellStyle name="Percent 2 11 22 4" xfId="8910"/>
    <cellStyle name="Percent 2 11 22 5" xfId="8911"/>
    <cellStyle name="Percent 2 11 23" xfId="8912"/>
    <cellStyle name="Percent 2 11 23 2" xfId="8913"/>
    <cellStyle name="Percent 2 11 23 3" xfId="8914"/>
    <cellStyle name="Percent 2 11 23 4" xfId="8915"/>
    <cellStyle name="Percent 2 11 23 5" xfId="8916"/>
    <cellStyle name="Percent 2 11 24" xfId="8917"/>
    <cellStyle name="Percent 2 11 24 2" xfId="8918"/>
    <cellStyle name="Percent 2 11 24 3" xfId="8919"/>
    <cellStyle name="Percent 2 11 24 4" xfId="8920"/>
    <cellStyle name="Percent 2 11 24 5" xfId="8921"/>
    <cellStyle name="Percent 2 11 25" xfId="8922"/>
    <cellStyle name="Percent 2 11 25 2" xfId="8923"/>
    <cellStyle name="Percent 2 11 25 3" xfId="8924"/>
    <cellStyle name="Percent 2 11 25 4" xfId="8925"/>
    <cellStyle name="Percent 2 11 25 5" xfId="8926"/>
    <cellStyle name="Percent 2 11 26" xfId="8927"/>
    <cellStyle name="Percent 2 11 26 2" xfId="8928"/>
    <cellStyle name="Percent 2 11 26 3" xfId="8929"/>
    <cellStyle name="Percent 2 11 26 4" xfId="8930"/>
    <cellStyle name="Percent 2 11 26 5" xfId="8931"/>
    <cellStyle name="Percent 2 11 27" xfId="8932"/>
    <cellStyle name="Percent 2 11 27 2" xfId="8933"/>
    <cellStyle name="Percent 2 11 27 3" xfId="8934"/>
    <cellStyle name="Percent 2 11 27 4" xfId="8935"/>
    <cellStyle name="Percent 2 11 27 5" xfId="8936"/>
    <cellStyle name="Percent 2 11 28" xfId="8937"/>
    <cellStyle name="Percent 2 11 28 2" xfId="8938"/>
    <cellStyle name="Percent 2 11 28 3" xfId="8939"/>
    <cellStyle name="Percent 2 11 28 4" xfId="8940"/>
    <cellStyle name="Percent 2 11 28 5" xfId="8941"/>
    <cellStyle name="Percent 2 11 29" xfId="8942"/>
    <cellStyle name="Percent 2 11 29 2" xfId="8943"/>
    <cellStyle name="Percent 2 11 29 3" xfId="8944"/>
    <cellStyle name="Percent 2 11 29 4" xfId="8945"/>
    <cellStyle name="Percent 2 11 29 5" xfId="8946"/>
    <cellStyle name="Percent 2 11 3" xfId="8947"/>
    <cellStyle name="Percent 2 11 3 2" xfId="8948"/>
    <cellStyle name="Percent 2 11 3 3" xfId="8949"/>
    <cellStyle name="Percent 2 11 3 4" xfId="8950"/>
    <cellStyle name="Percent 2 11 3 5" xfId="8951"/>
    <cellStyle name="Percent 2 11 30" xfId="8952"/>
    <cellStyle name="Percent 2 11 30 2" xfId="8953"/>
    <cellStyle name="Percent 2 11 30 3" xfId="8954"/>
    <cellStyle name="Percent 2 11 30 4" xfId="8955"/>
    <cellStyle name="Percent 2 11 30 5" xfId="8956"/>
    <cellStyle name="Percent 2 11 31" xfId="8957"/>
    <cellStyle name="Percent 2 11 32" xfId="8958"/>
    <cellStyle name="Percent 2 11 33" xfId="8959"/>
    <cellStyle name="Percent 2 11 34" xfId="8960"/>
    <cellStyle name="Percent 2 11 35" xfId="8961"/>
    <cellStyle name="Percent 2 11 35 2" xfId="12422"/>
    <cellStyle name="Percent 2 11 36" xfId="8962"/>
    <cellStyle name="Percent 2 11 36 2" xfId="12423"/>
    <cellStyle name="Percent 2 11 37" xfId="8963"/>
    <cellStyle name="Percent 2 11 37 2" xfId="12424"/>
    <cellStyle name="Percent 2 11 38" xfId="8964"/>
    <cellStyle name="Percent 2 11 38 2" xfId="12425"/>
    <cellStyle name="Percent 2 11 39" xfId="8965"/>
    <cellStyle name="Percent 2 11 39 2" xfId="12426"/>
    <cellStyle name="Percent 2 11 4" xfId="8966"/>
    <cellStyle name="Percent 2 11 4 2" xfId="8967"/>
    <cellStyle name="Percent 2 11 4 3" xfId="8968"/>
    <cellStyle name="Percent 2 11 4 4" xfId="8969"/>
    <cellStyle name="Percent 2 11 4 5" xfId="8970"/>
    <cellStyle name="Percent 2 11 40" xfId="8971"/>
    <cellStyle name="Percent 2 11 40 2" xfId="12427"/>
    <cellStyle name="Percent 2 11 41" xfId="8972"/>
    <cellStyle name="Percent 2 11 41 2" xfId="12428"/>
    <cellStyle name="Percent 2 11 42" xfId="8973"/>
    <cellStyle name="Percent 2 11 42 2" xfId="12429"/>
    <cellStyle name="Percent 2 11 43" xfId="8974"/>
    <cellStyle name="Percent 2 11 43 2" xfId="12430"/>
    <cellStyle name="Percent 2 11 44" xfId="8975"/>
    <cellStyle name="Percent 2 11 44 2" xfId="12431"/>
    <cellStyle name="Percent 2 11 45" xfId="8976"/>
    <cellStyle name="Percent 2 11 45 2" xfId="12432"/>
    <cellStyle name="Percent 2 11 46" xfId="8977"/>
    <cellStyle name="Percent 2 11 46 2" xfId="12433"/>
    <cellStyle name="Percent 2 11 47" xfId="12421"/>
    <cellStyle name="Percent 2 11 5" xfId="8978"/>
    <cellStyle name="Percent 2 11 5 2" xfId="8979"/>
    <cellStyle name="Percent 2 11 5 3" xfId="8980"/>
    <cellStyle name="Percent 2 11 5 4" xfId="8981"/>
    <cellStyle name="Percent 2 11 5 5" xfId="8982"/>
    <cellStyle name="Percent 2 11 6" xfId="8983"/>
    <cellStyle name="Percent 2 11 6 2" xfId="8984"/>
    <cellStyle name="Percent 2 11 6 3" xfId="8985"/>
    <cellStyle name="Percent 2 11 6 4" xfId="8986"/>
    <cellStyle name="Percent 2 11 6 5" xfId="8987"/>
    <cellStyle name="Percent 2 11 7" xfId="8988"/>
    <cellStyle name="Percent 2 11 7 2" xfId="8989"/>
    <cellStyle name="Percent 2 11 7 3" xfId="8990"/>
    <cellStyle name="Percent 2 11 7 4" xfId="8991"/>
    <cellStyle name="Percent 2 11 7 5" xfId="8992"/>
    <cellStyle name="Percent 2 11 8" xfId="8993"/>
    <cellStyle name="Percent 2 11 8 2" xfId="8994"/>
    <cellStyle name="Percent 2 11 8 3" xfId="8995"/>
    <cellStyle name="Percent 2 11 8 4" xfId="8996"/>
    <cellStyle name="Percent 2 11 8 5" xfId="8997"/>
    <cellStyle name="Percent 2 11 9" xfId="8998"/>
    <cellStyle name="Percent 2 11 9 2" xfId="8999"/>
    <cellStyle name="Percent 2 11 9 3" xfId="9000"/>
    <cellStyle name="Percent 2 11 9 4" xfId="9001"/>
    <cellStyle name="Percent 2 11 9 5" xfId="9002"/>
    <cellStyle name="Percent 2 12" xfId="9003"/>
    <cellStyle name="Percent 2 12 2" xfId="9004"/>
    <cellStyle name="Percent 2 12 3" xfId="9005"/>
    <cellStyle name="Percent 2 12 4" xfId="9006"/>
    <cellStyle name="Percent 2 12 5" xfId="9007"/>
    <cellStyle name="Percent 2 12 6" xfId="9008"/>
    <cellStyle name="Percent 2 12 7" xfId="9009"/>
    <cellStyle name="Percent 2 12 8" xfId="9010"/>
    <cellStyle name="Percent 2 12 9" xfId="12434"/>
    <cellStyle name="Percent 2 13" xfId="9011"/>
    <cellStyle name="Percent 2 13 2" xfId="12435"/>
    <cellStyle name="Percent 2 14" xfId="9012"/>
    <cellStyle name="Percent 2 14 2" xfId="12436"/>
    <cellStyle name="Percent 2 15" xfId="9013"/>
    <cellStyle name="Percent 2 15 2" xfId="12437"/>
    <cellStyle name="Percent 2 16" xfId="9014"/>
    <cellStyle name="Percent 2 16 2" xfId="12438"/>
    <cellStyle name="Percent 2 17" xfId="9015"/>
    <cellStyle name="Percent 2 17 2" xfId="12439"/>
    <cellStyle name="Percent 2 18" xfId="9016"/>
    <cellStyle name="Percent 2 18 2" xfId="12440"/>
    <cellStyle name="Percent 2 19" xfId="9017"/>
    <cellStyle name="Percent 2 19 10" xfId="9018"/>
    <cellStyle name="Percent 2 19 10 2" xfId="12442"/>
    <cellStyle name="Percent 2 19 11" xfId="9019"/>
    <cellStyle name="Percent 2 19 11 2" xfId="12443"/>
    <cellStyle name="Percent 2 19 12" xfId="9020"/>
    <cellStyle name="Percent 2 19 12 2" xfId="12444"/>
    <cellStyle name="Percent 2 19 13" xfId="9021"/>
    <cellStyle name="Percent 2 19 13 2" xfId="12445"/>
    <cellStyle name="Percent 2 19 14" xfId="12441"/>
    <cellStyle name="Percent 2 19 2" xfId="9022"/>
    <cellStyle name="Percent 2 19 2 2" xfId="12446"/>
    <cellStyle name="Percent 2 19 3" xfId="9023"/>
    <cellStyle name="Percent 2 19 3 2" xfId="12447"/>
    <cellStyle name="Percent 2 19 4" xfId="9024"/>
    <cellStyle name="Percent 2 19 4 2" xfId="12448"/>
    <cellStyle name="Percent 2 19 5" xfId="9025"/>
    <cellStyle name="Percent 2 19 5 2" xfId="12449"/>
    <cellStyle name="Percent 2 19 6" xfId="9026"/>
    <cellStyle name="Percent 2 19 6 2" xfId="12450"/>
    <cellStyle name="Percent 2 19 7" xfId="9027"/>
    <cellStyle name="Percent 2 19 7 2" xfId="12451"/>
    <cellStyle name="Percent 2 19 8" xfId="9028"/>
    <cellStyle name="Percent 2 19 8 2" xfId="12452"/>
    <cellStyle name="Percent 2 19 9" xfId="9029"/>
    <cellStyle name="Percent 2 19 9 2" xfId="12453"/>
    <cellStyle name="Percent 2 2" xfId="9030"/>
    <cellStyle name="Percent 2 2 10" xfId="9031"/>
    <cellStyle name="Percent 2 2 10 2" xfId="12454"/>
    <cellStyle name="Percent 2 2 11" xfId="9032"/>
    <cellStyle name="Percent 2 2 11 2" xfId="12455"/>
    <cellStyle name="Percent 2 2 12" xfId="9033"/>
    <cellStyle name="Percent 2 2 13" xfId="9034"/>
    <cellStyle name="Percent 2 2 14" xfId="9035"/>
    <cellStyle name="Percent 2 2 15" xfId="9036"/>
    <cellStyle name="Percent 2 2 16" xfId="9037"/>
    <cellStyle name="Percent 2 2 17" xfId="9038"/>
    <cellStyle name="Percent 2 2 18" xfId="9039"/>
    <cellStyle name="Percent 2 2 19" xfId="9040"/>
    <cellStyle name="Percent 2 2 2" xfId="9041"/>
    <cellStyle name="Percent 2 2 2 10" xfId="9042"/>
    <cellStyle name="Percent 2 2 2 10 2" xfId="9043"/>
    <cellStyle name="Percent 2 2 2 10 3" xfId="9044"/>
    <cellStyle name="Percent 2 2 2 10 4" xfId="9045"/>
    <cellStyle name="Percent 2 2 2 10 5" xfId="9046"/>
    <cellStyle name="Percent 2 2 2 11" xfId="9047"/>
    <cellStyle name="Percent 2 2 2 11 2" xfId="9048"/>
    <cellStyle name="Percent 2 2 2 11 3" xfId="9049"/>
    <cellStyle name="Percent 2 2 2 11 4" xfId="9050"/>
    <cellStyle name="Percent 2 2 2 11 5" xfId="9051"/>
    <cellStyle name="Percent 2 2 2 12" xfId="9052"/>
    <cellStyle name="Percent 2 2 2 12 2" xfId="9053"/>
    <cellStyle name="Percent 2 2 2 12 3" xfId="9054"/>
    <cellStyle name="Percent 2 2 2 12 4" xfId="9055"/>
    <cellStyle name="Percent 2 2 2 12 5" xfId="9056"/>
    <cellStyle name="Percent 2 2 2 13" xfId="9057"/>
    <cellStyle name="Percent 2 2 2 13 2" xfId="9058"/>
    <cellStyle name="Percent 2 2 2 13 3" xfId="9059"/>
    <cellStyle name="Percent 2 2 2 13 4" xfId="9060"/>
    <cellStyle name="Percent 2 2 2 13 5" xfId="9061"/>
    <cellStyle name="Percent 2 2 2 14" xfId="9062"/>
    <cellStyle name="Percent 2 2 2 14 2" xfId="9063"/>
    <cellStyle name="Percent 2 2 2 14 3" xfId="9064"/>
    <cellStyle name="Percent 2 2 2 14 4" xfId="9065"/>
    <cellStyle name="Percent 2 2 2 14 5" xfId="9066"/>
    <cellStyle name="Percent 2 2 2 15" xfId="9067"/>
    <cellStyle name="Percent 2 2 2 15 2" xfId="9068"/>
    <cellStyle name="Percent 2 2 2 15 3" xfId="9069"/>
    <cellStyle name="Percent 2 2 2 15 4" xfId="9070"/>
    <cellStyle name="Percent 2 2 2 15 5" xfId="9071"/>
    <cellStyle name="Percent 2 2 2 16" xfId="9072"/>
    <cellStyle name="Percent 2 2 2 16 2" xfId="9073"/>
    <cellStyle name="Percent 2 2 2 16 3" xfId="9074"/>
    <cellStyle name="Percent 2 2 2 16 4" xfId="9075"/>
    <cellStyle name="Percent 2 2 2 16 5" xfId="9076"/>
    <cellStyle name="Percent 2 2 2 17" xfId="9077"/>
    <cellStyle name="Percent 2 2 2 17 2" xfId="9078"/>
    <cellStyle name="Percent 2 2 2 17 3" xfId="9079"/>
    <cellStyle name="Percent 2 2 2 17 4" xfId="9080"/>
    <cellStyle name="Percent 2 2 2 17 5" xfId="9081"/>
    <cellStyle name="Percent 2 2 2 18" xfId="9082"/>
    <cellStyle name="Percent 2 2 2 18 2" xfId="9083"/>
    <cellStyle name="Percent 2 2 2 18 3" xfId="9084"/>
    <cellStyle name="Percent 2 2 2 18 4" xfId="9085"/>
    <cellStyle name="Percent 2 2 2 18 5" xfId="9086"/>
    <cellStyle name="Percent 2 2 2 19" xfId="9087"/>
    <cellStyle name="Percent 2 2 2 19 2" xfId="9088"/>
    <cellStyle name="Percent 2 2 2 19 3" xfId="9089"/>
    <cellStyle name="Percent 2 2 2 19 4" xfId="9090"/>
    <cellStyle name="Percent 2 2 2 19 5" xfId="9091"/>
    <cellStyle name="Percent 2 2 2 2" xfId="9092"/>
    <cellStyle name="Percent 2 2 2 2 2" xfId="12457"/>
    <cellStyle name="Percent 2 2 2 20" xfId="9093"/>
    <cellStyle name="Percent 2 2 2 20 2" xfId="9094"/>
    <cellStyle name="Percent 2 2 2 20 3" xfId="9095"/>
    <cellStyle name="Percent 2 2 2 20 4" xfId="9096"/>
    <cellStyle name="Percent 2 2 2 20 5" xfId="9097"/>
    <cellStyle name="Percent 2 2 2 21" xfId="9098"/>
    <cellStyle name="Percent 2 2 2 21 2" xfId="9099"/>
    <cellStyle name="Percent 2 2 2 21 3" xfId="9100"/>
    <cellStyle name="Percent 2 2 2 21 4" xfId="9101"/>
    <cellStyle name="Percent 2 2 2 21 5" xfId="9102"/>
    <cellStyle name="Percent 2 2 2 22" xfId="9103"/>
    <cellStyle name="Percent 2 2 2 22 2" xfId="9104"/>
    <cellStyle name="Percent 2 2 2 22 3" xfId="9105"/>
    <cellStyle name="Percent 2 2 2 22 4" xfId="9106"/>
    <cellStyle name="Percent 2 2 2 22 5" xfId="9107"/>
    <cellStyle name="Percent 2 2 2 23" xfId="9108"/>
    <cellStyle name="Percent 2 2 2 23 2" xfId="9109"/>
    <cellStyle name="Percent 2 2 2 23 3" xfId="9110"/>
    <cellStyle name="Percent 2 2 2 23 4" xfId="9111"/>
    <cellStyle name="Percent 2 2 2 23 5" xfId="9112"/>
    <cellStyle name="Percent 2 2 2 24" xfId="9113"/>
    <cellStyle name="Percent 2 2 2 24 2" xfId="9114"/>
    <cellStyle name="Percent 2 2 2 24 3" xfId="9115"/>
    <cellStyle name="Percent 2 2 2 24 4" xfId="9116"/>
    <cellStyle name="Percent 2 2 2 24 5" xfId="9117"/>
    <cellStyle name="Percent 2 2 2 25" xfId="9118"/>
    <cellStyle name="Percent 2 2 2 25 2" xfId="12458"/>
    <cellStyle name="Percent 2 2 2 26" xfId="9119"/>
    <cellStyle name="Percent 2 2 2 26 2" xfId="12459"/>
    <cellStyle name="Percent 2 2 2 27" xfId="9120"/>
    <cellStyle name="Percent 2 2 2 27 2" xfId="12460"/>
    <cellStyle name="Percent 2 2 2 28" xfId="9121"/>
    <cellStyle name="Percent 2 2 2 28 2" xfId="12461"/>
    <cellStyle name="Percent 2 2 2 29" xfId="9122"/>
    <cellStyle name="Percent 2 2 2 29 2" xfId="12462"/>
    <cellStyle name="Percent 2 2 2 3" xfId="9123"/>
    <cellStyle name="Percent 2 2 2 3 2" xfId="9124"/>
    <cellStyle name="Percent 2 2 2 3 3" xfId="9125"/>
    <cellStyle name="Percent 2 2 2 3 4" xfId="9126"/>
    <cellStyle name="Percent 2 2 2 3 5" xfId="9127"/>
    <cellStyle name="Percent 2 2 2 30" xfId="9128"/>
    <cellStyle name="Percent 2 2 2 30 2" xfId="12463"/>
    <cellStyle name="Percent 2 2 2 31" xfId="9129"/>
    <cellStyle name="Percent 2 2 2 31 2" xfId="12464"/>
    <cellStyle name="Percent 2 2 2 32" xfId="9130"/>
    <cellStyle name="Percent 2 2 2 33" xfId="9131"/>
    <cellStyle name="Percent 2 2 2 34" xfId="9132"/>
    <cellStyle name="Percent 2 2 2 35" xfId="9133"/>
    <cellStyle name="Percent 2 2 2 36" xfId="9134"/>
    <cellStyle name="Percent 2 2 2 36 2" xfId="12465"/>
    <cellStyle name="Percent 2 2 2 37" xfId="9135"/>
    <cellStyle name="Percent 2 2 2 37 2" xfId="12466"/>
    <cellStyle name="Percent 2 2 2 38" xfId="9136"/>
    <cellStyle name="Percent 2 2 2 38 2" xfId="12467"/>
    <cellStyle name="Percent 2 2 2 39" xfId="9137"/>
    <cellStyle name="Percent 2 2 2 39 2" xfId="12468"/>
    <cellStyle name="Percent 2 2 2 4" xfId="9138"/>
    <cellStyle name="Percent 2 2 2 4 2" xfId="9139"/>
    <cellStyle name="Percent 2 2 2 4 3" xfId="9140"/>
    <cellStyle name="Percent 2 2 2 4 4" xfId="9141"/>
    <cellStyle name="Percent 2 2 2 4 5" xfId="9142"/>
    <cellStyle name="Percent 2 2 2 40" xfId="9143"/>
    <cellStyle name="Percent 2 2 2 40 2" xfId="12469"/>
    <cellStyle name="Percent 2 2 2 41" xfId="9144"/>
    <cellStyle name="Percent 2 2 2 41 2" xfId="12470"/>
    <cellStyle name="Percent 2 2 2 42" xfId="9145"/>
    <cellStyle name="Percent 2 2 2 42 2" xfId="12471"/>
    <cellStyle name="Percent 2 2 2 43" xfId="9146"/>
    <cellStyle name="Percent 2 2 2 43 2" xfId="12472"/>
    <cellStyle name="Percent 2 2 2 44" xfId="9147"/>
    <cellStyle name="Percent 2 2 2 44 2" xfId="12473"/>
    <cellStyle name="Percent 2 2 2 45" xfId="9148"/>
    <cellStyle name="Percent 2 2 2 45 2" xfId="12474"/>
    <cellStyle name="Percent 2 2 2 46" xfId="9149"/>
    <cellStyle name="Percent 2 2 2 46 2" xfId="12475"/>
    <cellStyle name="Percent 2 2 2 47" xfId="9150"/>
    <cellStyle name="Percent 2 2 2 47 2" xfId="12476"/>
    <cellStyle name="Percent 2 2 2 48" xfId="12456"/>
    <cellStyle name="Percent 2 2 2 5" xfId="9151"/>
    <cellStyle name="Percent 2 2 2 5 2" xfId="9152"/>
    <cellStyle name="Percent 2 2 2 5 3" xfId="9153"/>
    <cellStyle name="Percent 2 2 2 5 4" xfId="9154"/>
    <cellStyle name="Percent 2 2 2 5 5" xfId="9155"/>
    <cellStyle name="Percent 2 2 2 6" xfId="9156"/>
    <cellStyle name="Percent 2 2 2 6 2" xfId="9157"/>
    <cellStyle name="Percent 2 2 2 6 3" xfId="9158"/>
    <cellStyle name="Percent 2 2 2 6 4" xfId="9159"/>
    <cellStyle name="Percent 2 2 2 6 5" xfId="9160"/>
    <cellStyle name="Percent 2 2 2 7" xfId="9161"/>
    <cellStyle name="Percent 2 2 2 7 2" xfId="9162"/>
    <cellStyle name="Percent 2 2 2 7 3" xfId="9163"/>
    <cellStyle name="Percent 2 2 2 7 4" xfId="9164"/>
    <cellStyle name="Percent 2 2 2 7 5" xfId="9165"/>
    <cellStyle name="Percent 2 2 2 8" xfId="9166"/>
    <cellStyle name="Percent 2 2 2 8 2" xfId="9167"/>
    <cellStyle name="Percent 2 2 2 8 3" xfId="9168"/>
    <cellStyle name="Percent 2 2 2 8 4" xfId="9169"/>
    <cellStyle name="Percent 2 2 2 8 5" xfId="9170"/>
    <cellStyle name="Percent 2 2 2 9" xfId="9171"/>
    <cellStyle name="Percent 2 2 2 9 2" xfId="9172"/>
    <cellStyle name="Percent 2 2 2 9 3" xfId="9173"/>
    <cellStyle name="Percent 2 2 2 9 4" xfId="9174"/>
    <cellStyle name="Percent 2 2 2 9 5" xfId="9175"/>
    <cellStyle name="Percent 2 2 20" xfId="9176"/>
    <cellStyle name="Percent 2 2 21" xfId="9177"/>
    <cellStyle name="Percent 2 2 22" xfId="9178"/>
    <cellStyle name="Percent 2 2 23" xfId="9179"/>
    <cellStyle name="Percent 2 2 24" xfId="9180"/>
    <cellStyle name="Percent 2 2 25" xfId="9181"/>
    <cellStyle name="Percent 2 2 26" xfId="9182"/>
    <cellStyle name="Percent 2 2 27" xfId="9183"/>
    <cellStyle name="Percent 2 2 28" xfId="9184"/>
    <cellStyle name="Percent 2 2 29" xfId="9185"/>
    <cellStyle name="Percent 2 2 3" xfId="9186"/>
    <cellStyle name="Percent 2 2 3 2" xfId="12477"/>
    <cellStyle name="Percent 2 2 30" xfId="9187"/>
    <cellStyle name="Percent 2 2 31" xfId="9188"/>
    <cellStyle name="Percent 2 2 32" xfId="9189"/>
    <cellStyle name="Percent 2 2 33" xfId="9190"/>
    <cellStyle name="Percent 2 2 34" xfId="9191"/>
    <cellStyle name="Percent 2 2 34 2" xfId="9192"/>
    <cellStyle name="Percent 2 2 34 3" xfId="9193"/>
    <cellStyle name="Percent 2 2 34 4" xfId="9194"/>
    <cellStyle name="Percent 2 2 34 5" xfId="9195"/>
    <cellStyle name="Percent 2 2 35" xfId="9196"/>
    <cellStyle name="Percent 2 2 35 2" xfId="9197"/>
    <cellStyle name="Percent 2 2 35 3" xfId="9198"/>
    <cellStyle name="Percent 2 2 35 4" xfId="9199"/>
    <cellStyle name="Percent 2 2 35 5" xfId="9200"/>
    <cellStyle name="Percent 2 2 36" xfId="9201"/>
    <cellStyle name="Percent 2 2 36 2" xfId="9202"/>
    <cellStyle name="Percent 2 2 36 3" xfId="9203"/>
    <cellStyle name="Percent 2 2 36 4" xfId="9204"/>
    <cellStyle name="Percent 2 2 36 5" xfId="9205"/>
    <cellStyle name="Percent 2 2 37" xfId="9206"/>
    <cellStyle name="Percent 2 2 37 2" xfId="9207"/>
    <cellStyle name="Percent 2 2 37 3" xfId="9208"/>
    <cellStyle name="Percent 2 2 37 4" xfId="9209"/>
    <cellStyle name="Percent 2 2 37 5" xfId="9210"/>
    <cellStyle name="Percent 2 2 38" xfId="9211"/>
    <cellStyle name="Percent 2 2 38 2" xfId="9212"/>
    <cellStyle name="Percent 2 2 38 3" xfId="9213"/>
    <cellStyle name="Percent 2 2 38 4" xfId="9214"/>
    <cellStyle name="Percent 2 2 38 5" xfId="9215"/>
    <cellStyle name="Percent 2 2 39" xfId="9216"/>
    <cellStyle name="Percent 2 2 39 2" xfId="9217"/>
    <cellStyle name="Percent 2 2 39 3" xfId="9218"/>
    <cellStyle name="Percent 2 2 39 4" xfId="9219"/>
    <cellStyle name="Percent 2 2 39 5" xfId="9220"/>
    <cellStyle name="Percent 2 2 4" xfId="9221"/>
    <cellStyle name="Percent 2 2 4 2" xfId="12478"/>
    <cellStyle name="Percent 2 2 40" xfId="9222"/>
    <cellStyle name="Percent 2 2 40 2" xfId="9223"/>
    <cellStyle name="Percent 2 2 40 3" xfId="9224"/>
    <cellStyle name="Percent 2 2 40 4" xfId="9225"/>
    <cellStyle name="Percent 2 2 40 5" xfId="9226"/>
    <cellStyle name="Percent 2 2 41" xfId="9227"/>
    <cellStyle name="Percent 2 2 42" xfId="9228"/>
    <cellStyle name="Percent 2 2 43" xfId="9229"/>
    <cellStyle name="Percent 2 2 44" xfId="9230"/>
    <cellStyle name="Percent 2 2 45" xfId="9231"/>
    <cellStyle name="Percent 2 2 46" xfId="9232"/>
    <cellStyle name="Percent 2 2 47" xfId="9233"/>
    <cellStyle name="Percent 2 2 48" xfId="9234"/>
    <cellStyle name="Percent 2 2 49" xfId="9235"/>
    <cellStyle name="Percent 2 2 5" xfId="9236"/>
    <cellStyle name="Percent 2 2 5 2" xfId="12479"/>
    <cellStyle name="Percent 2 2 50" xfId="9237"/>
    <cellStyle name="Percent 2 2 51" xfId="9238"/>
    <cellStyle name="Percent 2 2 52" xfId="9239"/>
    <cellStyle name="Percent 2 2 6" xfId="9240"/>
    <cellStyle name="Percent 2 2 6 2" xfId="12480"/>
    <cellStyle name="Percent 2 2 7" xfId="9241"/>
    <cellStyle name="Percent 2 2 7 2" xfId="12481"/>
    <cellStyle name="Percent 2 2 8" xfId="9242"/>
    <cellStyle name="Percent 2 2 8 2" xfId="12482"/>
    <cellStyle name="Percent 2 2 9" xfId="9243"/>
    <cellStyle name="Percent 2 2 9 2" xfId="12483"/>
    <cellStyle name="Percent 2 20" xfId="9244"/>
    <cellStyle name="Percent 2 20 10" xfId="9245"/>
    <cellStyle name="Percent 2 20 10 2" xfId="12485"/>
    <cellStyle name="Percent 2 20 11" xfId="9246"/>
    <cellStyle name="Percent 2 20 11 2" xfId="12486"/>
    <cellStyle name="Percent 2 20 12" xfId="9247"/>
    <cellStyle name="Percent 2 20 12 2" xfId="12487"/>
    <cellStyle name="Percent 2 20 13" xfId="9248"/>
    <cellStyle name="Percent 2 20 13 2" xfId="12488"/>
    <cellStyle name="Percent 2 20 14" xfId="12484"/>
    <cellStyle name="Percent 2 20 2" xfId="9249"/>
    <cellStyle name="Percent 2 20 2 2" xfId="12489"/>
    <cellStyle name="Percent 2 20 3" xfId="9250"/>
    <cellStyle name="Percent 2 20 3 2" xfId="12490"/>
    <cellStyle name="Percent 2 20 4" xfId="9251"/>
    <cellStyle name="Percent 2 20 4 2" xfId="12491"/>
    <cellStyle name="Percent 2 20 5" xfId="9252"/>
    <cellStyle name="Percent 2 20 5 2" xfId="12492"/>
    <cellStyle name="Percent 2 20 6" xfId="9253"/>
    <cellStyle name="Percent 2 20 6 2" xfId="12493"/>
    <cellStyle name="Percent 2 20 7" xfId="9254"/>
    <cellStyle name="Percent 2 20 7 2" xfId="12494"/>
    <cellStyle name="Percent 2 20 8" xfId="9255"/>
    <cellStyle name="Percent 2 20 8 2" xfId="12495"/>
    <cellStyle name="Percent 2 20 9" xfId="9256"/>
    <cellStyle name="Percent 2 20 9 2" xfId="12496"/>
    <cellStyle name="Percent 2 21" xfId="9257"/>
    <cellStyle name="Percent 2 21 10" xfId="9258"/>
    <cellStyle name="Percent 2 21 10 2" xfId="12498"/>
    <cellStyle name="Percent 2 21 11" xfId="9259"/>
    <cellStyle name="Percent 2 21 11 2" xfId="12499"/>
    <cellStyle name="Percent 2 21 12" xfId="9260"/>
    <cellStyle name="Percent 2 21 12 2" xfId="12500"/>
    <cellStyle name="Percent 2 21 13" xfId="9261"/>
    <cellStyle name="Percent 2 21 13 2" xfId="12501"/>
    <cellStyle name="Percent 2 21 14" xfId="12497"/>
    <cellStyle name="Percent 2 21 2" xfId="9262"/>
    <cellStyle name="Percent 2 21 2 2" xfId="12502"/>
    <cellStyle name="Percent 2 21 3" xfId="9263"/>
    <cellStyle name="Percent 2 21 3 2" xfId="12503"/>
    <cellStyle name="Percent 2 21 4" xfId="9264"/>
    <cellStyle name="Percent 2 21 4 2" xfId="12504"/>
    <cellStyle name="Percent 2 21 5" xfId="9265"/>
    <cellStyle name="Percent 2 21 5 2" xfId="12505"/>
    <cellStyle name="Percent 2 21 6" xfId="9266"/>
    <cellStyle name="Percent 2 21 6 2" xfId="12506"/>
    <cellStyle name="Percent 2 21 7" xfId="9267"/>
    <cellStyle name="Percent 2 21 7 2" xfId="12507"/>
    <cellStyle name="Percent 2 21 8" xfId="9268"/>
    <cellStyle name="Percent 2 21 8 2" xfId="12508"/>
    <cellStyle name="Percent 2 21 9" xfId="9269"/>
    <cellStyle name="Percent 2 21 9 2" xfId="12509"/>
    <cellStyle name="Percent 2 22" xfId="9270"/>
    <cellStyle name="Percent 2 22 10" xfId="9271"/>
    <cellStyle name="Percent 2 22 10 2" xfId="12511"/>
    <cellStyle name="Percent 2 22 11" xfId="9272"/>
    <cellStyle name="Percent 2 22 11 2" xfId="12512"/>
    <cellStyle name="Percent 2 22 12" xfId="9273"/>
    <cellStyle name="Percent 2 22 12 2" xfId="12513"/>
    <cellStyle name="Percent 2 22 13" xfId="9274"/>
    <cellStyle name="Percent 2 22 13 2" xfId="12514"/>
    <cellStyle name="Percent 2 22 14" xfId="12510"/>
    <cellStyle name="Percent 2 22 2" xfId="9275"/>
    <cellStyle name="Percent 2 22 2 2" xfId="12515"/>
    <cellStyle name="Percent 2 22 3" xfId="9276"/>
    <cellStyle name="Percent 2 22 3 2" xfId="12516"/>
    <cellStyle name="Percent 2 22 4" xfId="9277"/>
    <cellStyle name="Percent 2 22 4 2" xfId="12517"/>
    <cellStyle name="Percent 2 22 5" xfId="9278"/>
    <cellStyle name="Percent 2 22 5 2" xfId="12518"/>
    <cellStyle name="Percent 2 22 6" xfId="9279"/>
    <cellStyle name="Percent 2 22 6 2" xfId="12519"/>
    <cellStyle name="Percent 2 22 7" xfId="9280"/>
    <cellStyle name="Percent 2 22 7 2" xfId="12520"/>
    <cellStyle name="Percent 2 22 8" xfId="9281"/>
    <cellStyle name="Percent 2 22 8 2" xfId="12521"/>
    <cellStyle name="Percent 2 22 9" xfId="9282"/>
    <cellStyle name="Percent 2 22 9 2" xfId="12522"/>
    <cellStyle name="Percent 2 23" xfId="9283"/>
    <cellStyle name="Percent 2 23 10" xfId="9284"/>
    <cellStyle name="Percent 2 23 10 2" xfId="12524"/>
    <cellStyle name="Percent 2 23 11" xfId="9285"/>
    <cellStyle name="Percent 2 23 11 2" xfId="12525"/>
    <cellStyle name="Percent 2 23 12" xfId="9286"/>
    <cellStyle name="Percent 2 23 12 2" xfId="12526"/>
    <cellStyle name="Percent 2 23 13" xfId="9287"/>
    <cellStyle name="Percent 2 23 13 2" xfId="12527"/>
    <cellStyle name="Percent 2 23 14" xfId="12523"/>
    <cellStyle name="Percent 2 23 2" xfId="9288"/>
    <cellStyle name="Percent 2 23 2 2" xfId="12528"/>
    <cellStyle name="Percent 2 23 3" xfId="9289"/>
    <cellStyle name="Percent 2 23 3 2" xfId="12529"/>
    <cellStyle name="Percent 2 23 4" xfId="9290"/>
    <cellStyle name="Percent 2 23 4 2" xfId="12530"/>
    <cellStyle name="Percent 2 23 5" xfId="9291"/>
    <cellStyle name="Percent 2 23 5 2" xfId="12531"/>
    <cellStyle name="Percent 2 23 6" xfId="9292"/>
    <cellStyle name="Percent 2 23 6 2" xfId="12532"/>
    <cellStyle name="Percent 2 23 7" xfId="9293"/>
    <cellStyle name="Percent 2 23 7 2" xfId="12533"/>
    <cellStyle name="Percent 2 23 8" xfId="9294"/>
    <cellStyle name="Percent 2 23 8 2" xfId="12534"/>
    <cellStyle name="Percent 2 23 9" xfId="9295"/>
    <cellStyle name="Percent 2 23 9 2" xfId="12535"/>
    <cellStyle name="Percent 2 24" xfId="9296"/>
    <cellStyle name="Percent 2 24 2" xfId="12536"/>
    <cellStyle name="Percent 2 25" xfId="9297"/>
    <cellStyle name="Percent 2 25 2" xfId="12537"/>
    <cellStyle name="Percent 2 26" xfId="9298"/>
    <cellStyle name="Percent 2 26 2" xfId="12538"/>
    <cellStyle name="Percent 2 27" xfId="9299"/>
    <cellStyle name="Percent 2 27 2" xfId="12539"/>
    <cellStyle name="Percent 2 28" xfId="9300"/>
    <cellStyle name="Percent 2 28 2" xfId="12540"/>
    <cellStyle name="Percent 2 29" xfId="9301"/>
    <cellStyle name="Percent 2 29 2" xfId="12541"/>
    <cellStyle name="Percent 2 3" xfId="9302"/>
    <cellStyle name="Percent 2 3 10" xfId="9303"/>
    <cellStyle name="Percent 2 3 10 2" xfId="9304"/>
    <cellStyle name="Percent 2 3 10 3" xfId="9305"/>
    <cellStyle name="Percent 2 3 10 4" xfId="9306"/>
    <cellStyle name="Percent 2 3 10 5" xfId="9307"/>
    <cellStyle name="Percent 2 3 11" xfId="9308"/>
    <cellStyle name="Percent 2 3 11 2" xfId="9309"/>
    <cellStyle name="Percent 2 3 11 3" xfId="9310"/>
    <cellStyle name="Percent 2 3 11 4" xfId="9311"/>
    <cellStyle name="Percent 2 3 11 5" xfId="9312"/>
    <cellStyle name="Percent 2 3 12" xfId="9313"/>
    <cellStyle name="Percent 2 3 12 2" xfId="9314"/>
    <cellStyle name="Percent 2 3 12 3" xfId="9315"/>
    <cellStyle name="Percent 2 3 12 4" xfId="9316"/>
    <cellStyle name="Percent 2 3 12 5" xfId="9317"/>
    <cellStyle name="Percent 2 3 13" xfId="9318"/>
    <cellStyle name="Percent 2 3 13 2" xfId="9319"/>
    <cellStyle name="Percent 2 3 13 3" xfId="9320"/>
    <cellStyle name="Percent 2 3 13 4" xfId="9321"/>
    <cellStyle name="Percent 2 3 13 5" xfId="9322"/>
    <cellStyle name="Percent 2 3 14" xfId="9323"/>
    <cellStyle name="Percent 2 3 14 2" xfId="9324"/>
    <cellStyle name="Percent 2 3 14 3" xfId="9325"/>
    <cellStyle name="Percent 2 3 14 4" xfId="9326"/>
    <cellStyle name="Percent 2 3 14 5" xfId="9327"/>
    <cellStyle name="Percent 2 3 15" xfId="9328"/>
    <cellStyle name="Percent 2 3 15 2" xfId="9329"/>
    <cellStyle name="Percent 2 3 15 3" xfId="9330"/>
    <cellStyle name="Percent 2 3 15 4" xfId="9331"/>
    <cellStyle name="Percent 2 3 15 5" xfId="9332"/>
    <cellStyle name="Percent 2 3 16" xfId="9333"/>
    <cellStyle name="Percent 2 3 16 2" xfId="9334"/>
    <cellStyle name="Percent 2 3 16 3" xfId="9335"/>
    <cellStyle name="Percent 2 3 16 4" xfId="9336"/>
    <cellStyle name="Percent 2 3 16 5" xfId="9337"/>
    <cellStyle name="Percent 2 3 17" xfId="9338"/>
    <cellStyle name="Percent 2 3 17 2" xfId="9339"/>
    <cellStyle name="Percent 2 3 17 3" xfId="9340"/>
    <cellStyle name="Percent 2 3 17 4" xfId="9341"/>
    <cellStyle name="Percent 2 3 17 5" xfId="9342"/>
    <cellStyle name="Percent 2 3 18" xfId="9343"/>
    <cellStyle name="Percent 2 3 18 2" xfId="9344"/>
    <cellStyle name="Percent 2 3 18 3" xfId="9345"/>
    <cellStyle name="Percent 2 3 18 4" xfId="9346"/>
    <cellStyle name="Percent 2 3 18 5" xfId="9347"/>
    <cellStyle name="Percent 2 3 19" xfId="9348"/>
    <cellStyle name="Percent 2 3 19 2" xfId="9349"/>
    <cellStyle name="Percent 2 3 19 3" xfId="9350"/>
    <cellStyle name="Percent 2 3 19 4" xfId="9351"/>
    <cellStyle name="Percent 2 3 19 5" xfId="9352"/>
    <cellStyle name="Percent 2 3 2" xfId="9353"/>
    <cellStyle name="Percent 2 3 2 2" xfId="9354"/>
    <cellStyle name="Percent 2 3 2 3" xfId="9355"/>
    <cellStyle name="Percent 2 3 2 4" xfId="9356"/>
    <cellStyle name="Percent 2 3 2 5" xfId="9357"/>
    <cellStyle name="Percent 2 3 20" xfId="9358"/>
    <cellStyle name="Percent 2 3 20 2" xfId="9359"/>
    <cellStyle name="Percent 2 3 20 3" xfId="9360"/>
    <cellStyle name="Percent 2 3 20 4" xfId="9361"/>
    <cellStyle name="Percent 2 3 20 5" xfId="9362"/>
    <cellStyle name="Percent 2 3 21" xfId="9363"/>
    <cellStyle name="Percent 2 3 21 2" xfId="9364"/>
    <cellStyle name="Percent 2 3 21 3" xfId="9365"/>
    <cellStyle name="Percent 2 3 21 4" xfId="9366"/>
    <cellStyle name="Percent 2 3 21 5" xfId="9367"/>
    <cellStyle name="Percent 2 3 22" xfId="9368"/>
    <cellStyle name="Percent 2 3 22 2" xfId="9369"/>
    <cellStyle name="Percent 2 3 22 3" xfId="9370"/>
    <cellStyle name="Percent 2 3 22 4" xfId="9371"/>
    <cellStyle name="Percent 2 3 22 5" xfId="9372"/>
    <cellStyle name="Percent 2 3 23" xfId="9373"/>
    <cellStyle name="Percent 2 3 23 2" xfId="9374"/>
    <cellStyle name="Percent 2 3 23 3" xfId="9375"/>
    <cellStyle name="Percent 2 3 23 4" xfId="9376"/>
    <cellStyle name="Percent 2 3 23 5" xfId="9377"/>
    <cellStyle name="Percent 2 3 24" xfId="9378"/>
    <cellStyle name="Percent 2 3 24 2" xfId="9379"/>
    <cellStyle name="Percent 2 3 24 3" xfId="9380"/>
    <cellStyle name="Percent 2 3 24 4" xfId="9381"/>
    <cellStyle name="Percent 2 3 24 5" xfId="9382"/>
    <cellStyle name="Percent 2 3 25" xfId="9383"/>
    <cellStyle name="Percent 2 3 25 2" xfId="9384"/>
    <cellStyle name="Percent 2 3 25 3" xfId="9385"/>
    <cellStyle name="Percent 2 3 25 4" xfId="9386"/>
    <cellStyle name="Percent 2 3 25 5" xfId="9387"/>
    <cellStyle name="Percent 2 3 26" xfId="9388"/>
    <cellStyle name="Percent 2 3 26 2" xfId="9389"/>
    <cellStyle name="Percent 2 3 26 3" xfId="9390"/>
    <cellStyle name="Percent 2 3 26 4" xfId="9391"/>
    <cellStyle name="Percent 2 3 26 5" xfId="9392"/>
    <cellStyle name="Percent 2 3 27" xfId="9393"/>
    <cellStyle name="Percent 2 3 27 2" xfId="9394"/>
    <cellStyle name="Percent 2 3 27 3" xfId="9395"/>
    <cellStyle name="Percent 2 3 27 4" xfId="9396"/>
    <cellStyle name="Percent 2 3 27 5" xfId="9397"/>
    <cellStyle name="Percent 2 3 28" xfId="9398"/>
    <cellStyle name="Percent 2 3 28 2" xfId="9399"/>
    <cellStyle name="Percent 2 3 28 3" xfId="9400"/>
    <cellStyle name="Percent 2 3 28 4" xfId="9401"/>
    <cellStyle name="Percent 2 3 28 5" xfId="9402"/>
    <cellStyle name="Percent 2 3 29" xfId="9403"/>
    <cellStyle name="Percent 2 3 29 2" xfId="9404"/>
    <cellStyle name="Percent 2 3 29 3" xfId="9405"/>
    <cellStyle name="Percent 2 3 29 4" xfId="9406"/>
    <cellStyle name="Percent 2 3 29 5" xfId="9407"/>
    <cellStyle name="Percent 2 3 3" xfId="9408"/>
    <cellStyle name="Percent 2 3 3 2" xfId="9409"/>
    <cellStyle name="Percent 2 3 3 3" xfId="9410"/>
    <cellStyle name="Percent 2 3 3 4" xfId="9411"/>
    <cellStyle name="Percent 2 3 3 5" xfId="9412"/>
    <cellStyle name="Percent 2 3 30" xfId="9413"/>
    <cellStyle name="Percent 2 3 30 2" xfId="9414"/>
    <cellStyle name="Percent 2 3 30 3" xfId="9415"/>
    <cellStyle name="Percent 2 3 30 4" xfId="9416"/>
    <cellStyle name="Percent 2 3 30 5" xfId="9417"/>
    <cellStyle name="Percent 2 3 31" xfId="9418"/>
    <cellStyle name="Percent 2 3 32" xfId="9419"/>
    <cellStyle name="Percent 2 3 33" xfId="9420"/>
    <cellStyle name="Percent 2 3 34" xfId="9421"/>
    <cellStyle name="Percent 2 3 35" xfId="9422"/>
    <cellStyle name="Percent 2 3 35 2" xfId="12543"/>
    <cellStyle name="Percent 2 3 36" xfId="9423"/>
    <cellStyle name="Percent 2 3 36 2" xfId="12544"/>
    <cellStyle name="Percent 2 3 37" xfId="9424"/>
    <cellStyle name="Percent 2 3 37 2" xfId="12545"/>
    <cellStyle name="Percent 2 3 38" xfId="9425"/>
    <cellStyle name="Percent 2 3 38 2" xfId="12546"/>
    <cellStyle name="Percent 2 3 39" xfId="9426"/>
    <cellStyle name="Percent 2 3 39 2" xfId="12547"/>
    <cellStyle name="Percent 2 3 4" xfId="9427"/>
    <cellStyle name="Percent 2 3 4 2" xfId="9428"/>
    <cellStyle name="Percent 2 3 4 3" xfId="9429"/>
    <cellStyle name="Percent 2 3 4 4" xfId="9430"/>
    <cellStyle name="Percent 2 3 4 5" xfId="9431"/>
    <cellStyle name="Percent 2 3 40" xfId="9432"/>
    <cellStyle name="Percent 2 3 40 2" xfId="12548"/>
    <cellStyle name="Percent 2 3 41" xfId="9433"/>
    <cellStyle name="Percent 2 3 41 2" xfId="12549"/>
    <cellStyle name="Percent 2 3 42" xfId="9434"/>
    <cellStyle name="Percent 2 3 42 2" xfId="12550"/>
    <cellStyle name="Percent 2 3 43" xfId="9435"/>
    <cellStyle name="Percent 2 3 43 2" xfId="12551"/>
    <cellStyle name="Percent 2 3 44" xfId="9436"/>
    <cellStyle name="Percent 2 3 44 2" xfId="12552"/>
    <cellStyle name="Percent 2 3 45" xfId="9437"/>
    <cellStyle name="Percent 2 3 45 2" xfId="12553"/>
    <cellStyle name="Percent 2 3 46" xfId="9438"/>
    <cellStyle name="Percent 2 3 46 2" xfId="12554"/>
    <cellStyle name="Percent 2 3 47" xfId="12542"/>
    <cellStyle name="Percent 2 3 5" xfId="9439"/>
    <cellStyle name="Percent 2 3 5 2" xfId="9440"/>
    <cellStyle name="Percent 2 3 5 3" xfId="9441"/>
    <cellStyle name="Percent 2 3 5 4" xfId="9442"/>
    <cellStyle name="Percent 2 3 5 5" xfId="9443"/>
    <cellStyle name="Percent 2 3 6" xfId="9444"/>
    <cellStyle name="Percent 2 3 6 2" xfId="9445"/>
    <cellStyle name="Percent 2 3 6 3" xfId="9446"/>
    <cellStyle name="Percent 2 3 6 4" xfId="9447"/>
    <cellStyle name="Percent 2 3 6 5" xfId="9448"/>
    <cellStyle name="Percent 2 3 7" xfId="9449"/>
    <cellStyle name="Percent 2 3 7 2" xfId="9450"/>
    <cellStyle name="Percent 2 3 7 3" xfId="9451"/>
    <cellStyle name="Percent 2 3 7 4" xfId="9452"/>
    <cellStyle name="Percent 2 3 7 5" xfId="9453"/>
    <cellStyle name="Percent 2 3 8" xfId="9454"/>
    <cellStyle name="Percent 2 3 8 2" xfId="9455"/>
    <cellStyle name="Percent 2 3 8 3" xfId="9456"/>
    <cellStyle name="Percent 2 3 8 4" xfId="9457"/>
    <cellStyle name="Percent 2 3 8 5" xfId="9458"/>
    <cellStyle name="Percent 2 3 9" xfId="9459"/>
    <cellStyle name="Percent 2 3 9 2" xfId="9460"/>
    <cellStyle name="Percent 2 3 9 3" xfId="9461"/>
    <cellStyle name="Percent 2 3 9 4" xfId="9462"/>
    <cellStyle name="Percent 2 3 9 5" xfId="9463"/>
    <cellStyle name="Percent 2 30" xfId="9464"/>
    <cellStyle name="Percent 2 30 2" xfId="12555"/>
    <cellStyle name="Percent 2 31" xfId="9465"/>
    <cellStyle name="Percent 2 31 2" xfId="12556"/>
    <cellStyle name="Percent 2 32" xfId="9466"/>
    <cellStyle name="Percent 2 32 2" xfId="12557"/>
    <cellStyle name="Percent 2 33" xfId="9467"/>
    <cellStyle name="Percent 2 34" xfId="9468"/>
    <cellStyle name="Percent 2 35" xfId="9469"/>
    <cellStyle name="Percent 2 36" xfId="9470"/>
    <cellStyle name="Percent 2 37" xfId="9471"/>
    <cellStyle name="Percent 2 38" xfId="9472"/>
    <cellStyle name="Percent 2 39" xfId="9473"/>
    <cellStyle name="Percent 2 4" xfId="9474"/>
    <cellStyle name="Percent 2 4 10" xfId="9475"/>
    <cellStyle name="Percent 2 4 10 2" xfId="9476"/>
    <cellStyle name="Percent 2 4 10 3" xfId="9477"/>
    <cellStyle name="Percent 2 4 10 4" xfId="9478"/>
    <cellStyle name="Percent 2 4 10 5" xfId="9479"/>
    <cellStyle name="Percent 2 4 11" xfId="9480"/>
    <cellStyle name="Percent 2 4 11 2" xfId="9481"/>
    <cellStyle name="Percent 2 4 11 3" xfId="9482"/>
    <cellStyle name="Percent 2 4 11 4" xfId="9483"/>
    <cellStyle name="Percent 2 4 11 5" xfId="9484"/>
    <cellStyle name="Percent 2 4 12" xfId="9485"/>
    <cellStyle name="Percent 2 4 12 2" xfId="9486"/>
    <cellStyle name="Percent 2 4 12 3" xfId="9487"/>
    <cellStyle name="Percent 2 4 12 4" xfId="9488"/>
    <cellStyle name="Percent 2 4 12 5" xfId="9489"/>
    <cellStyle name="Percent 2 4 13" xfId="9490"/>
    <cellStyle name="Percent 2 4 13 2" xfId="9491"/>
    <cellStyle name="Percent 2 4 13 3" xfId="9492"/>
    <cellStyle name="Percent 2 4 13 4" xfId="9493"/>
    <cellStyle name="Percent 2 4 13 5" xfId="9494"/>
    <cellStyle name="Percent 2 4 14" xfId="9495"/>
    <cellStyle name="Percent 2 4 14 2" xfId="9496"/>
    <cellStyle name="Percent 2 4 14 3" xfId="9497"/>
    <cellStyle name="Percent 2 4 14 4" xfId="9498"/>
    <cellStyle name="Percent 2 4 14 5" xfId="9499"/>
    <cellStyle name="Percent 2 4 15" xfId="9500"/>
    <cellStyle name="Percent 2 4 15 2" xfId="9501"/>
    <cellStyle name="Percent 2 4 15 3" xfId="9502"/>
    <cellStyle name="Percent 2 4 15 4" xfId="9503"/>
    <cellStyle name="Percent 2 4 15 5" xfId="9504"/>
    <cellStyle name="Percent 2 4 16" xfId="9505"/>
    <cellStyle name="Percent 2 4 16 2" xfId="9506"/>
    <cellStyle name="Percent 2 4 16 3" xfId="9507"/>
    <cellStyle name="Percent 2 4 16 4" xfId="9508"/>
    <cellStyle name="Percent 2 4 16 5" xfId="9509"/>
    <cellStyle name="Percent 2 4 17" xfId="9510"/>
    <cellStyle name="Percent 2 4 17 2" xfId="9511"/>
    <cellStyle name="Percent 2 4 17 3" xfId="9512"/>
    <cellStyle name="Percent 2 4 17 4" xfId="9513"/>
    <cellStyle name="Percent 2 4 17 5" xfId="9514"/>
    <cellStyle name="Percent 2 4 18" xfId="9515"/>
    <cellStyle name="Percent 2 4 18 2" xfId="9516"/>
    <cellStyle name="Percent 2 4 18 3" xfId="9517"/>
    <cellStyle name="Percent 2 4 18 4" xfId="9518"/>
    <cellStyle name="Percent 2 4 18 5" xfId="9519"/>
    <cellStyle name="Percent 2 4 19" xfId="9520"/>
    <cellStyle name="Percent 2 4 19 2" xfId="9521"/>
    <cellStyle name="Percent 2 4 19 3" xfId="9522"/>
    <cellStyle name="Percent 2 4 19 4" xfId="9523"/>
    <cellStyle name="Percent 2 4 19 5" xfId="9524"/>
    <cellStyle name="Percent 2 4 2" xfId="9525"/>
    <cellStyle name="Percent 2 4 2 2" xfId="9526"/>
    <cellStyle name="Percent 2 4 2 3" xfId="9527"/>
    <cellStyle name="Percent 2 4 2 4" xfId="9528"/>
    <cellStyle name="Percent 2 4 2 5" xfId="9529"/>
    <cellStyle name="Percent 2 4 20" xfId="9530"/>
    <cellStyle name="Percent 2 4 20 2" xfId="9531"/>
    <cellStyle name="Percent 2 4 20 3" xfId="9532"/>
    <cellStyle name="Percent 2 4 20 4" xfId="9533"/>
    <cellStyle name="Percent 2 4 20 5" xfId="9534"/>
    <cellStyle name="Percent 2 4 21" xfId="9535"/>
    <cellStyle name="Percent 2 4 21 2" xfId="9536"/>
    <cellStyle name="Percent 2 4 21 3" xfId="9537"/>
    <cellStyle name="Percent 2 4 21 4" xfId="9538"/>
    <cellStyle name="Percent 2 4 21 5" xfId="9539"/>
    <cellStyle name="Percent 2 4 22" xfId="9540"/>
    <cellStyle name="Percent 2 4 22 2" xfId="9541"/>
    <cellStyle name="Percent 2 4 22 3" xfId="9542"/>
    <cellStyle name="Percent 2 4 22 4" xfId="9543"/>
    <cellStyle name="Percent 2 4 22 5" xfId="9544"/>
    <cellStyle name="Percent 2 4 23" xfId="9545"/>
    <cellStyle name="Percent 2 4 23 2" xfId="9546"/>
    <cellStyle name="Percent 2 4 23 3" xfId="9547"/>
    <cellStyle name="Percent 2 4 23 4" xfId="9548"/>
    <cellStyle name="Percent 2 4 23 5" xfId="9549"/>
    <cellStyle name="Percent 2 4 24" xfId="9550"/>
    <cellStyle name="Percent 2 4 24 2" xfId="9551"/>
    <cellStyle name="Percent 2 4 24 3" xfId="9552"/>
    <cellStyle name="Percent 2 4 24 4" xfId="9553"/>
    <cellStyle name="Percent 2 4 24 5" xfId="9554"/>
    <cellStyle name="Percent 2 4 25" xfId="9555"/>
    <cellStyle name="Percent 2 4 25 2" xfId="9556"/>
    <cellStyle name="Percent 2 4 25 3" xfId="9557"/>
    <cellStyle name="Percent 2 4 25 4" xfId="9558"/>
    <cellStyle name="Percent 2 4 25 5" xfId="9559"/>
    <cellStyle name="Percent 2 4 26" xfId="9560"/>
    <cellStyle name="Percent 2 4 26 2" xfId="9561"/>
    <cellStyle name="Percent 2 4 26 3" xfId="9562"/>
    <cellStyle name="Percent 2 4 26 4" xfId="9563"/>
    <cellStyle name="Percent 2 4 26 5" xfId="9564"/>
    <cellStyle name="Percent 2 4 27" xfId="9565"/>
    <cellStyle name="Percent 2 4 27 2" xfId="9566"/>
    <cellStyle name="Percent 2 4 27 3" xfId="9567"/>
    <cellStyle name="Percent 2 4 27 4" xfId="9568"/>
    <cellStyle name="Percent 2 4 27 5" xfId="9569"/>
    <cellStyle name="Percent 2 4 28" xfId="9570"/>
    <cellStyle name="Percent 2 4 28 2" xfId="9571"/>
    <cellStyle name="Percent 2 4 28 3" xfId="9572"/>
    <cellStyle name="Percent 2 4 28 4" xfId="9573"/>
    <cellStyle name="Percent 2 4 28 5" xfId="9574"/>
    <cellStyle name="Percent 2 4 29" xfId="9575"/>
    <cellStyle name="Percent 2 4 29 2" xfId="9576"/>
    <cellStyle name="Percent 2 4 29 3" xfId="9577"/>
    <cellStyle name="Percent 2 4 29 4" xfId="9578"/>
    <cellStyle name="Percent 2 4 29 5" xfId="9579"/>
    <cellStyle name="Percent 2 4 3" xfId="9580"/>
    <cellStyle name="Percent 2 4 3 2" xfId="9581"/>
    <cellStyle name="Percent 2 4 3 3" xfId="9582"/>
    <cellStyle name="Percent 2 4 3 4" xfId="9583"/>
    <cellStyle name="Percent 2 4 3 5" xfId="9584"/>
    <cellStyle name="Percent 2 4 30" xfId="9585"/>
    <cellStyle name="Percent 2 4 30 2" xfId="9586"/>
    <cellStyle name="Percent 2 4 30 3" xfId="9587"/>
    <cellStyle name="Percent 2 4 30 4" xfId="9588"/>
    <cellStyle name="Percent 2 4 30 5" xfId="9589"/>
    <cellStyle name="Percent 2 4 31" xfId="9590"/>
    <cellStyle name="Percent 2 4 32" xfId="9591"/>
    <cellStyle name="Percent 2 4 33" xfId="9592"/>
    <cellStyle name="Percent 2 4 34" xfId="9593"/>
    <cellStyle name="Percent 2 4 35" xfId="9594"/>
    <cellStyle name="Percent 2 4 35 2" xfId="12559"/>
    <cellStyle name="Percent 2 4 36" xfId="9595"/>
    <cellStyle name="Percent 2 4 36 2" xfId="12560"/>
    <cellStyle name="Percent 2 4 37" xfId="9596"/>
    <cellStyle name="Percent 2 4 37 2" xfId="12561"/>
    <cellStyle name="Percent 2 4 38" xfId="9597"/>
    <cellStyle name="Percent 2 4 38 2" xfId="12562"/>
    <cellStyle name="Percent 2 4 39" xfId="9598"/>
    <cellStyle name="Percent 2 4 39 2" xfId="12563"/>
    <cellStyle name="Percent 2 4 4" xfId="9599"/>
    <cellStyle name="Percent 2 4 4 2" xfId="9600"/>
    <cellStyle name="Percent 2 4 4 3" xfId="9601"/>
    <cellStyle name="Percent 2 4 4 4" xfId="9602"/>
    <cellStyle name="Percent 2 4 4 5" xfId="9603"/>
    <cellStyle name="Percent 2 4 40" xfId="9604"/>
    <cellStyle name="Percent 2 4 40 2" xfId="12564"/>
    <cellStyle name="Percent 2 4 41" xfId="9605"/>
    <cellStyle name="Percent 2 4 41 2" xfId="12565"/>
    <cellStyle name="Percent 2 4 42" xfId="9606"/>
    <cellStyle name="Percent 2 4 42 2" xfId="12566"/>
    <cellStyle name="Percent 2 4 43" xfId="9607"/>
    <cellStyle name="Percent 2 4 43 2" xfId="12567"/>
    <cellStyle name="Percent 2 4 44" xfId="9608"/>
    <cellStyle name="Percent 2 4 44 2" xfId="12568"/>
    <cellStyle name="Percent 2 4 45" xfId="9609"/>
    <cellStyle name="Percent 2 4 45 2" xfId="12569"/>
    <cellStyle name="Percent 2 4 46" xfId="9610"/>
    <cellStyle name="Percent 2 4 46 2" xfId="12570"/>
    <cellStyle name="Percent 2 4 47" xfId="12558"/>
    <cellStyle name="Percent 2 4 5" xfId="9611"/>
    <cellStyle name="Percent 2 4 5 2" xfId="9612"/>
    <cellStyle name="Percent 2 4 5 3" xfId="9613"/>
    <cellStyle name="Percent 2 4 5 4" xfId="9614"/>
    <cellStyle name="Percent 2 4 5 5" xfId="9615"/>
    <cellStyle name="Percent 2 4 6" xfId="9616"/>
    <cellStyle name="Percent 2 4 6 2" xfId="9617"/>
    <cellStyle name="Percent 2 4 6 3" xfId="9618"/>
    <cellStyle name="Percent 2 4 6 4" xfId="9619"/>
    <cellStyle name="Percent 2 4 6 5" xfId="9620"/>
    <cellStyle name="Percent 2 4 7" xfId="9621"/>
    <cellStyle name="Percent 2 4 7 2" xfId="9622"/>
    <cellStyle name="Percent 2 4 7 3" xfId="9623"/>
    <cellStyle name="Percent 2 4 7 4" xfId="9624"/>
    <cellStyle name="Percent 2 4 7 5" xfId="9625"/>
    <cellStyle name="Percent 2 4 8" xfId="9626"/>
    <cellStyle name="Percent 2 4 8 2" xfId="9627"/>
    <cellStyle name="Percent 2 4 8 3" xfId="9628"/>
    <cellStyle name="Percent 2 4 8 4" xfId="9629"/>
    <cellStyle name="Percent 2 4 8 5" xfId="9630"/>
    <cellStyle name="Percent 2 4 9" xfId="9631"/>
    <cellStyle name="Percent 2 4 9 2" xfId="9632"/>
    <cellStyle name="Percent 2 4 9 3" xfId="9633"/>
    <cellStyle name="Percent 2 4 9 4" xfId="9634"/>
    <cellStyle name="Percent 2 4 9 5" xfId="9635"/>
    <cellStyle name="Percent 2 40" xfId="9636"/>
    <cellStyle name="Percent 2 41" xfId="9637"/>
    <cellStyle name="Percent 2 42" xfId="9638"/>
    <cellStyle name="Percent 2 43" xfId="9639"/>
    <cellStyle name="Percent 2 44" xfId="9640"/>
    <cellStyle name="Percent 2 45" xfId="9641"/>
    <cellStyle name="Percent 2 46" xfId="9642"/>
    <cellStyle name="Percent 2 47" xfId="9643"/>
    <cellStyle name="Percent 2 48" xfId="9644"/>
    <cellStyle name="Percent 2 49" xfId="9645"/>
    <cellStyle name="Percent 2 5" xfId="9646"/>
    <cellStyle name="Percent 2 5 10" xfId="9647"/>
    <cellStyle name="Percent 2 5 10 2" xfId="9648"/>
    <cellStyle name="Percent 2 5 10 3" xfId="9649"/>
    <cellStyle name="Percent 2 5 10 4" xfId="9650"/>
    <cellStyle name="Percent 2 5 10 5" xfId="9651"/>
    <cellStyle name="Percent 2 5 11" xfId="9652"/>
    <cellStyle name="Percent 2 5 11 2" xfId="9653"/>
    <cellStyle name="Percent 2 5 11 3" xfId="9654"/>
    <cellStyle name="Percent 2 5 11 4" xfId="9655"/>
    <cellStyle name="Percent 2 5 11 5" xfId="9656"/>
    <cellStyle name="Percent 2 5 12" xfId="9657"/>
    <cellStyle name="Percent 2 5 12 2" xfId="9658"/>
    <cellStyle name="Percent 2 5 12 3" xfId="9659"/>
    <cellStyle name="Percent 2 5 12 4" xfId="9660"/>
    <cellStyle name="Percent 2 5 12 5" xfId="9661"/>
    <cellStyle name="Percent 2 5 13" xfId="9662"/>
    <cellStyle name="Percent 2 5 13 2" xfId="9663"/>
    <cellStyle name="Percent 2 5 13 3" xfId="9664"/>
    <cellStyle name="Percent 2 5 13 4" xfId="9665"/>
    <cellStyle name="Percent 2 5 13 5" xfId="9666"/>
    <cellStyle name="Percent 2 5 14" xfId="9667"/>
    <cellStyle name="Percent 2 5 14 2" xfId="9668"/>
    <cellStyle name="Percent 2 5 14 3" xfId="9669"/>
    <cellStyle name="Percent 2 5 14 4" xfId="9670"/>
    <cellStyle name="Percent 2 5 14 5" xfId="9671"/>
    <cellStyle name="Percent 2 5 15" xfId="9672"/>
    <cellStyle name="Percent 2 5 15 2" xfId="9673"/>
    <cellStyle name="Percent 2 5 15 3" xfId="9674"/>
    <cellStyle name="Percent 2 5 15 4" xfId="9675"/>
    <cellStyle name="Percent 2 5 15 5" xfId="9676"/>
    <cellStyle name="Percent 2 5 16" xfId="9677"/>
    <cellStyle name="Percent 2 5 16 2" xfId="9678"/>
    <cellStyle name="Percent 2 5 16 3" xfId="9679"/>
    <cellStyle name="Percent 2 5 16 4" xfId="9680"/>
    <cellStyle name="Percent 2 5 16 5" xfId="9681"/>
    <cellStyle name="Percent 2 5 17" xfId="9682"/>
    <cellStyle name="Percent 2 5 17 2" xfId="9683"/>
    <cellStyle name="Percent 2 5 17 3" xfId="9684"/>
    <cellStyle name="Percent 2 5 17 4" xfId="9685"/>
    <cellStyle name="Percent 2 5 17 5" xfId="9686"/>
    <cellStyle name="Percent 2 5 18" xfId="9687"/>
    <cellStyle name="Percent 2 5 18 2" xfId="9688"/>
    <cellStyle name="Percent 2 5 18 3" xfId="9689"/>
    <cellStyle name="Percent 2 5 18 4" xfId="9690"/>
    <cellStyle name="Percent 2 5 18 5" xfId="9691"/>
    <cellStyle name="Percent 2 5 19" xfId="9692"/>
    <cellStyle name="Percent 2 5 19 2" xfId="9693"/>
    <cellStyle name="Percent 2 5 19 3" xfId="9694"/>
    <cellStyle name="Percent 2 5 19 4" xfId="9695"/>
    <cellStyle name="Percent 2 5 19 5" xfId="9696"/>
    <cellStyle name="Percent 2 5 2" xfId="9697"/>
    <cellStyle name="Percent 2 5 2 2" xfId="9698"/>
    <cellStyle name="Percent 2 5 2 3" xfId="9699"/>
    <cellStyle name="Percent 2 5 2 4" xfId="9700"/>
    <cellStyle name="Percent 2 5 2 5" xfId="9701"/>
    <cellStyle name="Percent 2 5 20" xfId="9702"/>
    <cellStyle name="Percent 2 5 20 2" xfId="9703"/>
    <cellStyle name="Percent 2 5 20 3" xfId="9704"/>
    <cellStyle name="Percent 2 5 20 4" xfId="9705"/>
    <cellStyle name="Percent 2 5 20 5" xfId="9706"/>
    <cellStyle name="Percent 2 5 21" xfId="9707"/>
    <cellStyle name="Percent 2 5 21 2" xfId="9708"/>
    <cellStyle name="Percent 2 5 21 3" xfId="9709"/>
    <cellStyle name="Percent 2 5 21 4" xfId="9710"/>
    <cellStyle name="Percent 2 5 21 5" xfId="9711"/>
    <cellStyle name="Percent 2 5 22" xfId="9712"/>
    <cellStyle name="Percent 2 5 22 2" xfId="9713"/>
    <cellStyle name="Percent 2 5 22 3" xfId="9714"/>
    <cellStyle name="Percent 2 5 22 4" xfId="9715"/>
    <cellStyle name="Percent 2 5 22 5" xfId="9716"/>
    <cellStyle name="Percent 2 5 23" xfId="9717"/>
    <cellStyle name="Percent 2 5 23 2" xfId="9718"/>
    <cellStyle name="Percent 2 5 23 3" xfId="9719"/>
    <cellStyle name="Percent 2 5 23 4" xfId="9720"/>
    <cellStyle name="Percent 2 5 23 5" xfId="9721"/>
    <cellStyle name="Percent 2 5 24" xfId="9722"/>
    <cellStyle name="Percent 2 5 24 2" xfId="9723"/>
    <cellStyle name="Percent 2 5 24 3" xfId="9724"/>
    <cellStyle name="Percent 2 5 24 4" xfId="9725"/>
    <cellStyle name="Percent 2 5 24 5" xfId="9726"/>
    <cellStyle name="Percent 2 5 25" xfId="9727"/>
    <cellStyle name="Percent 2 5 25 2" xfId="9728"/>
    <cellStyle name="Percent 2 5 25 3" xfId="9729"/>
    <cellStyle name="Percent 2 5 25 4" xfId="9730"/>
    <cellStyle name="Percent 2 5 25 5" xfId="9731"/>
    <cellStyle name="Percent 2 5 26" xfId="9732"/>
    <cellStyle name="Percent 2 5 26 2" xfId="9733"/>
    <cellStyle name="Percent 2 5 26 3" xfId="9734"/>
    <cellStyle name="Percent 2 5 26 4" xfId="9735"/>
    <cellStyle name="Percent 2 5 26 5" xfId="9736"/>
    <cellStyle name="Percent 2 5 27" xfId="9737"/>
    <cellStyle name="Percent 2 5 27 2" xfId="9738"/>
    <cellStyle name="Percent 2 5 27 3" xfId="9739"/>
    <cellStyle name="Percent 2 5 27 4" xfId="9740"/>
    <cellStyle name="Percent 2 5 27 5" xfId="9741"/>
    <cellStyle name="Percent 2 5 28" xfId="9742"/>
    <cellStyle name="Percent 2 5 28 2" xfId="9743"/>
    <cellStyle name="Percent 2 5 28 3" xfId="9744"/>
    <cellStyle name="Percent 2 5 28 4" xfId="9745"/>
    <cellStyle name="Percent 2 5 28 5" xfId="9746"/>
    <cellStyle name="Percent 2 5 29" xfId="9747"/>
    <cellStyle name="Percent 2 5 29 2" xfId="9748"/>
    <cellStyle name="Percent 2 5 29 3" xfId="9749"/>
    <cellStyle name="Percent 2 5 29 4" xfId="9750"/>
    <cellStyle name="Percent 2 5 29 5" xfId="9751"/>
    <cellStyle name="Percent 2 5 3" xfId="9752"/>
    <cellStyle name="Percent 2 5 3 2" xfId="9753"/>
    <cellStyle name="Percent 2 5 3 3" xfId="9754"/>
    <cellStyle name="Percent 2 5 3 4" xfId="9755"/>
    <cellStyle name="Percent 2 5 3 5" xfId="9756"/>
    <cellStyle name="Percent 2 5 30" xfId="9757"/>
    <cellStyle name="Percent 2 5 30 2" xfId="9758"/>
    <cellStyle name="Percent 2 5 30 3" xfId="9759"/>
    <cellStyle name="Percent 2 5 30 4" xfId="9760"/>
    <cellStyle name="Percent 2 5 30 5" xfId="9761"/>
    <cellStyle name="Percent 2 5 31" xfId="9762"/>
    <cellStyle name="Percent 2 5 32" xfId="9763"/>
    <cellStyle name="Percent 2 5 33" xfId="9764"/>
    <cellStyle name="Percent 2 5 34" xfId="9765"/>
    <cellStyle name="Percent 2 5 35" xfId="9766"/>
    <cellStyle name="Percent 2 5 35 2" xfId="12572"/>
    <cellStyle name="Percent 2 5 36" xfId="9767"/>
    <cellStyle name="Percent 2 5 36 2" xfId="12573"/>
    <cellStyle name="Percent 2 5 37" xfId="9768"/>
    <cellStyle name="Percent 2 5 37 2" xfId="12574"/>
    <cellStyle name="Percent 2 5 38" xfId="9769"/>
    <cellStyle name="Percent 2 5 38 2" xfId="12575"/>
    <cellStyle name="Percent 2 5 39" xfId="9770"/>
    <cellStyle name="Percent 2 5 39 2" xfId="12576"/>
    <cellStyle name="Percent 2 5 4" xfId="9771"/>
    <cellStyle name="Percent 2 5 4 2" xfId="9772"/>
    <cellStyle name="Percent 2 5 4 3" xfId="9773"/>
    <cellStyle name="Percent 2 5 4 4" xfId="9774"/>
    <cellStyle name="Percent 2 5 4 5" xfId="9775"/>
    <cellStyle name="Percent 2 5 40" xfId="9776"/>
    <cellStyle name="Percent 2 5 40 2" xfId="12577"/>
    <cellStyle name="Percent 2 5 41" xfId="9777"/>
    <cellStyle name="Percent 2 5 41 2" xfId="12578"/>
    <cellStyle name="Percent 2 5 42" xfId="9778"/>
    <cellStyle name="Percent 2 5 42 2" xfId="12579"/>
    <cellStyle name="Percent 2 5 43" xfId="9779"/>
    <cellStyle name="Percent 2 5 43 2" xfId="12580"/>
    <cellStyle name="Percent 2 5 44" xfId="9780"/>
    <cellStyle name="Percent 2 5 44 2" xfId="12581"/>
    <cellStyle name="Percent 2 5 45" xfId="9781"/>
    <cellStyle name="Percent 2 5 45 2" xfId="12582"/>
    <cellStyle name="Percent 2 5 46" xfId="9782"/>
    <cellStyle name="Percent 2 5 46 2" xfId="12583"/>
    <cellStyle name="Percent 2 5 47" xfId="12571"/>
    <cellStyle name="Percent 2 5 5" xfId="9783"/>
    <cellStyle name="Percent 2 5 5 2" xfId="9784"/>
    <cellStyle name="Percent 2 5 5 3" xfId="9785"/>
    <cellStyle name="Percent 2 5 5 4" xfId="9786"/>
    <cellStyle name="Percent 2 5 5 5" xfId="9787"/>
    <cellStyle name="Percent 2 5 6" xfId="9788"/>
    <cellStyle name="Percent 2 5 6 2" xfId="9789"/>
    <cellStyle name="Percent 2 5 6 3" xfId="9790"/>
    <cellStyle name="Percent 2 5 6 4" xfId="9791"/>
    <cellStyle name="Percent 2 5 6 5" xfId="9792"/>
    <cellStyle name="Percent 2 5 7" xfId="9793"/>
    <cellStyle name="Percent 2 5 7 2" xfId="9794"/>
    <cellStyle name="Percent 2 5 7 3" xfId="9795"/>
    <cellStyle name="Percent 2 5 7 4" xfId="9796"/>
    <cellStyle name="Percent 2 5 7 5" xfId="9797"/>
    <cellStyle name="Percent 2 5 8" xfId="9798"/>
    <cellStyle name="Percent 2 5 8 2" xfId="9799"/>
    <cellStyle name="Percent 2 5 8 3" xfId="9800"/>
    <cellStyle name="Percent 2 5 8 4" xfId="9801"/>
    <cellStyle name="Percent 2 5 8 5" xfId="9802"/>
    <cellStyle name="Percent 2 5 9" xfId="9803"/>
    <cellStyle name="Percent 2 5 9 2" xfId="9804"/>
    <cellStyle name="Percent 2 5 9 3" xfId="9805"/>
    <cellStyle name="Percent 2 5 9 4" xfId="9806"/>
    <cellStyle name="Percent 2 5 9 5" xfId="9807"/>
    <cellStyle name="Percent 2 50" xfId="9808"/>
    <cellStyle name="Percent 2 51" xfId="9809"/>
    <cellStyle name="Percent 2 52" xfId="9810"/>
    <cellStyle name="Percent 2 53" xfId="9811"/>
    <cellStyle name="Percent 2 54" xfId="9812"/>
    <cellStyle name="Percent 2 55" xfId="9813"/>
    <cellStyle name="Percent 2 56" xfId="9814"/>
    <cellStyle name="Percent 2 57" xfId="9815"/>
    <cellStyle name="Percent 2 58" xfId="9816"/>
    <cellStyle name="Percent 2 59" xfId="9817"/>
    <cellStyle name="Percent 2 6" xfId="9818"/>
    <cellStyle name="Percent 2 6 10" xfId="9819"/>
    <cellStyle name="Percent 2 6 10 2" xfId="9820"/>
    <cellStyle name="Percent 2 6 10 3" xfId="9821"/>
    <cellStyle name="Percent 2 6 10 4" xfId="9822"/>
    <cellStyle name="Percent 2 6 10 5" xfId="9823"/>
    <cellStyle name="Percent 2 6 11" xfId="9824"/>
    <cellStyle name="Percent 2 6 11 2" xfId="9825"/>
    <cellStyle name="Percent 2 6 11 3" xfId="9826"/>
    <cellStyle name="Percent 2 6 11 4" xfId="9827"/>
    <cellStyle name="Percent 2 6 11 5" xfId="9828"/>
    <cellStyle name="Percent 2 6 12" xfId="9829"/>
    <cellStyle name="Percent 2 6 12 2" xfId="9830"/>
    <cellStyle name="Percent 2 6 12 3" xfId="9831"/>
    <cellStyle name="Percent 2 6 12 4" xfId="9832"/>
    <cellStyle name="Percent 2 6 12 5" xfId="9833"/>
    <cellStyle name="Percent 2 6 13" xfId="9834"/>
    <cellStyle name="Percent 2 6 13 2" xfId="9835"/>
    <cellStyle name="Percent 2 6 13 3" xfId="9836"/>
    <cellStyle name="Percent 2 6 13 4" xfId="9837"/>
    <cellStyle name="Percent 2 6 13 5" xfId="9838"/>
    <cellStyle name="Percent 2 6 14" xfId="9839"/>
    <cellStyle name="Percent 2 6 14 2" xfId="9840"/>
    <cellStyle name="Percent 2 6 14 3" xfId="9841"/>
    <cellStyle name="Percent 2 6 14 4" xfId="9842"/>
    <cellStyle name="Percent 2 6 14 5" xfId="9843"/>
    <cellStyle name="Percent 2 6 15" xfId="9844"/>
    <cellStyle name="Percent 2 6 15 2" xfId="9845"/>
    <cellStyle name="Percent 2 6 15 3" xfId="9846"/>
    <cellStyle name="Percent 2 6 15 4" xfId="9847"/>
    <cellStyle name="Percent 2 6 15 5" xfId="9848"/>
    <cellStyle name="Percent 2 6 16" xfId="9849"/>
    <cellStyle name="Percent 2 6 16 2" xfId="9850"/>
    <cellStyle name="Percent 2 6 16 3" xfId="9851"/>
    <cellStyle name="Percent 2 6 16 4" xfId="9852"/>
    <cellStyle name="Percent 2 6 16 5" xfId="9853"/>
    <cellStyle name="Percent 2 6 17" xfId="9854"/>
    <cellStyle name="Percent 2 6 17 2" xfId="9855"/>
    <cellStyle name="Percent 2 6 17 3" xfId="9856"/>
    <cellStyle name="Percent 2 6 17 4" xfId="9857"/>
    <cellStyle name="Percent 2 6 17 5" xfId="9858"/>
    <cellStyle name="Percent 2 6 18" xfId="9859"/>
    <cellStyle name="Percent 2 6 18 2" xfId="9860"/>
    <cellStyle name="Percent 2 6 18 3" xfId="9861"/>
    <cellStyle name="Percent 2 6 18 4" xfId="9862"/>
    <cellStyle name="Percent 2 6 18 5" xfId="9863"/>
    <cellStyle name="Percent 2 6 19" xfId="9864"/>
    <cellStyle name="Percent 2 6 19 2" xfId="9865"/>
    <cellStyle name="Percent 2 6 19 3" xfId="9866"/>
    <cellStyle name="Percent 2 6 19 4" xfId="9867"/>
    <cellStyle name="Percent 2 6 19 5" xfId="9868"/>
    <cellStyle name="Percent 2 6 2" xfId="9869"/>
    <cellStyle name="Percent 2 6 2 2" xfId="9870"/>
    <cellStyle name="Percent 2 6 2 3" xfId="9871"/>
    <cellStyle name="Percent 2 6 2 4" xfId="9872"/>
    <cellStyle name="Percent 2 6 2 5" xfId="9873"/>
    <cellStyle name="Percent 2 6 20" xfId="9874"/>
    <cellStyle name="Percent 2 6 20 2" xfId="9875"/>
    <cellStyle name="Percent 2 6 20 3" xfId="9876"/>
    <cellStyle name="Percent 2 6 20 4" xfId="9877"/>
    <cellStyle name="Percent 2 6 20 5" xfId="9878"/>
    <cellStyle name="Percent 2 6 21" xfId="9879"/>
    <cellStyle name="Percent 2 6 21 2" xfId="9880"/>
    <cellStyle name="Percent 2 6 21 3" xfId="9881"/>
    <cellStyle name="Percent 2 6 21 4" xfId="9882"/>
    <cellStyle name="Percent 2 6 21 5" xfId="9883"/>
    <cellStyle name="Percent 2 6 22" xfId="9884"/>
    <cellStyle name="Percent 2 6 22 2" xfId="9885"/>
    <cellStyle name="Percent 2 6 22 3" xfId="9886"/>
    <cellStyle name="Percent 2 6 22 4" xfId="9887"/>
    <cellStyle name="Percent 2 6 22 5" xfId="9888"/>
    <cellStyle name="Percent 2 6 23" xfId="9889"/>
    <cellStyle name="Percent 2 6 23 2" xfId="9890"/>
    <cellStyle name="Percent 2 6 23 3" xfId="9891"/>
    <cellStyle name="Percent 2 6 23 4" xfId="9892"/>
    <cellStyle name="Percent 2 6 23 5" xfId="9893"/>
    <cellStyle name="Percent 2 6 24" xfId="9894"/>
    <cellStyle name="Percent 2 6 24 2" xfId="9895"/>
    <cellStyle name="Percent 2 6 24 3" xfId="9896"/>
    <cellStyle name="Percent 2 6 24 4" xfId="9897"/>
    <cellStyle name="Percent 2 6 24 5" xfId="9898"/>
    <cellStyle name="Percent 2 6 25" xfId="9899"/>
    <cellStyle name="Percent 2 6 25 2" xfId="9900"/>
    <cellStyle name="Percent 2 6 25 3" xfId="9901"/>
    <cellStyle name="Percent 2 6 25 4" xfId="9902"/>
    <cellStyle name="Percent 2 6 25 5" xfId="9903"/>
    <cellStyle name="Percent 2 6 26" xfId="9904"/>
    <cellStyle name="Percent 2 6 26 2" xfId="9905"/>
    <cellStyle name="Percent 2 6 26 3" xfId="9906"/>
    <cellStyle name="Percent 2 6 26 4" xfId="9907"/>
    <cellStyle name="Percent 2 6 26 5" xfId="9908"/>
    <cellStyle name="Percent 2 6 27" xfId="9909"/>
    <cellStyle name="Percent 2 6 27 2" xfId="9910"/>
    <cellStyle name="Percent 2 6 27 3" xfId="9911"/>
    <cellStyle name="Percent 2 6 27 4" xfId="9912"/>
    <cellStyle name="Percent 2 6 27 5" xfId="9913"/>
    <cellStyle name="Percent 2 6 28" xfId="9914"/>
    <cellStyle name="Percent 2 6 28 2" xfId="9915"/>
    <cellStyle name="Percent 2 6 28 3" xfId="9916"/>
    <cellStyle name="Percent 2 6 28 4" xfId="9917"/>
    <cellStyle name="Percent 2 6 28 5" xfId="9918"/>
    <cellStyle name="Percent 2 6 29" xfId="9919"/>
    <cellStyle name="Percent 2 6 29 2" xfId="9920"/>
    <cellStyle name="Percent 2 6 29 3" xfId="9921"/>
    <cellStyle name="Percent 2 6 29 4" xfId="9922"/>
    <cellStyle name="Percent 2 6 29 5" xfId="9923"/>
    <cellStyle name="Percent 2 6 3" xfId="9924"/>
    <cellStyle name="Percent 2 6 3 2" xfId="9925"/>
    <cellStyle name="Percent 2 6 3 3" xfId="9926"/>
    <cellStyle name="Percent 2 6 3 4" xfId="9927"/>
    <cellStyle name="Percent 2 6 3 5" xfId="9928"/>
    <cellStyle name="Percent 2 6 30" xfId="9929"/>
    <cellStyle name="Percent 2 6 30 2" xfId="9930"/>
    <cellStyle name="Percent 2 6 30 3" xfId="9931"/>
    <cellStyle name="Percent 2 6 30 4" xfId="9932"/>
    <cellStyle name="Percent 2 6 30 5" xfId="9933"/>
    <cellStyle name="Percent 2 6 31" xfId="9934"/>
    <cellStyle name="Percent 2 6 32" xfId="9935"/>
    <cellStyle name="Percent 2 6 33" xfId="9936"/>
    <cellStyle name="Percent 2 6 34" xfId="9937"/>
    <cellStyle name="Percent 2 6 35" xfId="9938"/>
    <cellStyle name="Percent 2 6 35 2" xfId="12585"/>
    <cellStyle name="Percent 2 6 36" xfId="9939"/>
    <cellStyle name="Percent 2 6 36 2" xfId="12586"/>
    <cellStyle name="Percent 2 6 37" xfId="9940"/>
    <cellStyle name="Percent 2 6 37 2" xfId="12587"/>
    <cellStyle name="Percent 2 6 38" xfId="9941"/>
    <cellStyle name="Percent 2 6 38 2" xfId="12588"/>
    <cellStyle name="Percent 2 6 39" xfId="9942"/>
    <cellStyle name="Percent 2 6 39 2" xfId="12589"/>
    <cellStyle name="Percent 2 6 4" xfId="9943"/>
    <cellStyle name="Percent 2 6 4 2" xfId="9944"/>
    <cellStyle name="Percent 2 6 4 3" xfId="9945"/>
    <cellStyle name="Percent 2 6 4 4" xfId="9946"/>
    <cellStyle name="Percent 2 6 4 5" xfId="9947"/>
    <cellStyle name="Percent 2 6 40" xfId="9948"/>
    <cellStyle name="Percent 2 6 40 2" xfId="12590"/>
    <cellStyle name="Percent 2 6 41" xfId="9949"/>
    <cellStyle name="Percent 2 6 41 2" xfId="12591"/>
    <cellStyle name="Percent 2 6 42" xfId="9950"/>
    <cellStyle name="Percent 2 6 42 2" xfId="12592"/>
    <cellStyle name="Percent 2 6 43" xfId="9951"/>
    <cellStyle name="Percent 2 6 43 2" xfId="12593"/>
    <cellStyle name="Percent 2 6 44" xfId="9952"/>
    <cellStyle name="Percent 2 6 44 2" xfId="12594"/>
    <cellStyle name="Percent 2 6 45" xfId="9953"/>
    <cellStyle name="Percent 2 6 45 2" xfId="12595"/>
    <cellStyle name="Percent 2 6 46" xfId="9954"/>
    <cellStyle name="Percent 2 6 46 2" xfId="12596"/>
    <cellStyle name="Percent 2 6 47" xfId="12584"/>
    <cellStyle name="Percent 2 6 5" xfId="9955"/>
    <cellStyle name="Percent 2 6 5 2" xfId="9956"/>
    <cellStyle name="Percent 2 6 5 3" xfId="9957"/>
    <cellStyle name="Percent 2 6 5 4" xfId="9958"/>
    <cellStyle name="Percent 2 6 5 5" xfId="9959"/>
    <cellStyle name="Percent 2 6 6" xfId="9960"/>
    <cellStyle name="Percent 2 6 6 2" xfId="9961"/>
    <cellStyle name="Percent 2 6 6 3" xfId="9962"/>
    <cellStyle name="Percent 2 6 6 4" xfId="9963"/>
    <cellStyle name="Percent 2 6 6 5" xfId="9964"/>
    <cellStyle name="Percent 2 6 7" xfId="9965"/>
    <cellStyle name="Percent 2 6 7 2" xfId="9966"/>
    <cellStyle name="Percent 2 6 7 3" xfId="9967"/>
    <cellStyle name="Percent 2 6 7 4" xfId="9968"/>
    <cellStyle name="Percent 2 6 7 5" xfId="9969"/>
    <cellStyle name="Percent 2 6 8" xfId="9970"/>
    <cellStyle name="Percent 2 6 8 2" xfId="9971"/>
    <cellStyle name="Percent 2 6 8 3" xfId="9972"/>
    <cellStyle name="Percent 2 6 8 4" xfId="9973"/>
    <cellStyle name="Percent 2 6 8 5" xfId="9974"/>
    <cellStyle name="Percent 2 6 9" xfId="9975"/>
    <cellStyle name="Percent 2 6 9 2" xfId="9976"/>
    <cellStyle name="Percent 2 6 9 3" xfId="9977"/>
    <cellStyle name="Percent 2 6 9 4" xfId="9978"/>
    <cellStyle name="Percent 2 6 9 5" xfId="9979"/>
    <cellStyle name="Percent 2 60" xfId="9980"/>
    <cellStyle name="Percent 2 61" xfId="9981"/>
    <cellStyle name="Percent 2 62" xfId="9982"/>
    <cellStyle name="Percent 2 63" xfId="9983"/>
    <cellStyle name="Percent 2 64" xfId="9984"/>
    <cellStyle name="Percent 2 65" xfId="9985"/>
    <cellStyle name="Percent 2 66" xfId="9986"/>
    <cellStyle name="Percent 2 67" xfId="9987"/>
    <cellStyle name="Percent 2 68" xfId="9988"/>
    <cellStyle name="Percent 2 69" xfId="9989"/>
    <cellStyle name="Percent 2 69 2" xfId="12597"/>
    <cellStyle name="Percent 2 7" xfId="9990"/>
    <cellStyle name="Percent 2 7 10" xfId="9991"/>
    <cellStyle name="Percent 2 7 10 2" xfId="9992"/>
    <cellStyle name="Percent 2 7 10 3" xfId="9993"/>
    <cellStyle name="Percent 2 7 10 4" xfId="9994"/>
    <cellStyle name="Percent 2 7 10 5" xfId="9995"/>
    <cellStyle name="Percent 2 7 11" xfId="9996"/>
    <cellStyle name="Percent 2 7 11 2" xfId="9997"/>
    <cellStyle name="Percent 2 7 11 3" xfId="9998"/>
    <cellStyle name="Percent 2 7 11 4" xfId="9999"/>
    <cellStyle name="Percent 2 7 11 5" xfId="10000"/>
    <cellStyle name="Percent 2 7 12" xfId="10001"/>
    <cellStyle name="Percent 2 7 12 2" xfId="10002"/>
    <cellStyle name="Percent 2 7 12 3" xfId="10003"/>
    <cellStyle name="Percent 2 7 12 4" xfId="10004"/>
    <cellStyle name="Percent 2 7 12 5" xfId="10005"/>
    <cellStyle name="Percent 2 7 13" xfId="10006"/>
    <cellStyle name="Percent 2 7 13 2" xfId="10007"/>
    <cellStyle name="Percent 2 7 13 3" xfId="10008"/>
    <cellStyle name="Percent 2 7 13 4" xfId="10009"/>
    <cellStyle name="Percent 2 7 13 5" xfId="10010"/>
    <cellStyle name="Percent 2 7 14" xfId="10011"/>
    <cellStyle name="Percent 2 7 14 2" xfId="10012"/>
    <cellStyle name="Percent 2 7 14 3" xfId="10013"/>
    <cellStyle name="Percent 2 7 14 4" xfId="10014"/>
    <cellStyle name="Percent 2 7 14 5" xfId="10015"/>
    <cellStyle name="Percent 2 7 15" xfId="10016"/>
    <cellStyle name="Percent 2 7 15 2" xfId="10017"/>
    <cellStyle name="Percent 2 7 15 3" xfId="10018"/>
    <cellStyle name="Percent 2 7 15 4" xfId="10019"/>
    <cellStyle name="Percent 2 7 15 5" xfId="10020"/>
    <cellStyle name="Percent 2 7 16" xfId="10021"/>
    <cellStyle name="Percent 2 7 16 2" xfId="10022"/>
    <cellStyle name="Percent 2 7 16 3" xfId="10023"/>
    <cellStyle name="Percent 2 7 16 4" xfId="10024"/>
    <cellStyle name="Percent 2 7 16 5" xfId="10025"/>
    <cellStyle name="Percent 2 7 17" xfId="10026"/>
    <cellStyle name="Percent 2 7 17 2" xfId="10027"/>
    <cellStyle name="Percent 2 7 17 3" xfId="10028"/>
    <cellStyle name="Percent 2 7 17 4" xfId="10029"/>
    <cellStyle name="Percent 2 7 17 5" xfId="10030"/>
    <cellStyle name="Percent 2 7 18" xfId="10031"/>
    <cellStyle name="Percent 2 7 18 2" xfId="10032"/>
    <cellStyle name="Percent 2 7 18 3" xfId="10033"/>
    <cellStyle name="Percent 2 7 18 4" xfId="10034"/>
    <cellStyle name="Percent 2 7 18 5" xfId="10035"/>
    <cellStyle name="Percent 2 7 19" xfId="10036"/>
    <cellStyle name="Percent 2 7 19 2" xfId="10037"/>
    <cellStyle name="Percent 2 7 19 3" xfId="10038"/>
    <cellStyle name="Percent 2 7 19 4" xfId="10039"/>
    <cellStyle name="Percent 2 7 19 5" xfId="10040"/>
    <cellStyle name="Percent 2 7 2" xfId="10041"/>
    <cellStyle name="Percent 2 7 2 2" xfId="10042"/>
    <cellStyle name="Percent 2 7 2 3" xfId="10043"/>
    <cellStyle name="Percent 2 7 2 4" xfId="10044"/>
    <cellStyle name="Percent 2 7 2 5" xfId="10045"/>
    <cellStyle name="Percent 2 7 20" xfId="10046"/>
    <cellStyle name="Percent 2 7 20 2" xfId="10047"/>
    <cellStyle name="Percent 2 7 20 3" xfId="10048"/>
    <cellStyle name="Percent 2 7 20 4" xfId="10049"/>
    <cellStyle name="Percent 2 7 20 5" xfId="10050"/>
    <cellStyle name="Percent 2 7 21" xfId="10051"/>
    <cellStyle name="Percent 2 7 21 2" xfId="10052"/>
    <cellStyle name="Percent 2 7 21 3" xfId="10053"/>
    <cellStyle name="Percent 2 7 21 4" xfId="10054"/>
    <cellStyle name="Percent 2 7 21 5" xfId="10055"/>
    <cellStyle name="Percent 2 7 22" xfId="10056"/>
    <cellStyle name="Percent 2 7 22 2" xfId="10057"/>
    <cellStyle name="Percent 2 7 22 3" xfId="10058"/>
    <cellStyle name="Percent 2 7 22 4" xfId="10059"/>
    <cellStyle name="Percent 2 7 22 5" xfId="10060"/>
    <cellStyle name="Percent 2 7 23" xfId="10061"/>
    <cellStyle name="Percent 2 7 23 2" xfId="10062"/>
    <cellStyle name="Percent 2 7 23 3" xfId="10063"/>
    <cellStyle name="Percent 2 7 23 4" xfId="10064"/>
    <cellStyle name="Percent 2 7 23 5" xfId="10065"/>
    <cellStyle name="Percent 2 7 24" xfId="10066"/>
    <cellStyle name="Percent 2 7 24 2" xfId="10067"/>
    <cellStyle name="Percent 2 7 24 3" xfId="10068"/>
    <cellStyle name="Percent 2 7 24 4" xfId="10069"/>
    <cellStyle name="Percent 2 7 24 5" xfId="10070"/>
    <cellStyle name="Percent 2 7 25" xfId="10071"/>
    <cellStyle name="Percent 2 7 25 2" xfId="10072"/>
    <cellStyle name="Percent 2 7 25 3" xfId="10073"/>
    <cellStyle name="Percent 2 7 25 4" xfId="10074"/>
    <cellStyle name="Percent 2 7 25 5" xfId="10075"/>
    <cellStyle name="Percent 2 7 26" xfId="10076"/>
    <cellStyle name="Percent 2 7 26 2" xfId="10077"/>
    <cellStyle name="Percent 2 7 26 3" xfId="10078"/>
    <cellStyle name="Percent 2 7 26 4" xfId="10079"/>
    <cellStyle name="Percent 2 7 26 5" xfId="10080"/>
    <cellStyle name="Percent 2 7 27" xfId="10081"/>
    <cellStyle name="Percent 2 7 27 2" xfId="10082"/>
    <cellStyle name="Percent 2 7 27 3" xfId="10083"/>
    <cellStyle name="Percent 2 7 27 4" xfId="10084"/>
    <cellStyle name="Percent 2 7 27 5" xfId="10085"/>
    <cellStyle name="Percent 2 7 28" xfId="10086"/>
    <cellStyle name="Percent 2 7 28 2" xfId="10087"/>
    <cellStyle name="Percent 2 7 28 3" xfId="10088"/>
    <cellStyle name="Percent 2 7 28 4" xfId="10089"/>
    <cellStyle name="Percent 2 7 28 5" xfId="10090"/>
    <cellStyle name="Percent 2 7 29" xfId="10091"/>
    <cellStyle name="Percent 2 7 29 2" xfId="10092"/>
    <cellStyle name="Percent 2 7 29 3" xfId="10093"/>
    <cellStyle name="Percent 2 7 29 4" xfId="10094"/>
    <cellStyle name="Percent 2 7 29 5" xfId="10095"/>
    <cellStyle name="Percent 2 7 3" xfId="10096"/>
    <cellStyle name="Percent 2 7 3 2" xfId="10097"/>
    <cellStyle name="Percent 2 7 3 3" xfId="10098"/>
    <cellStyle name="Percent 2 7 3 4" xfId="10099"/>
    <cellStyle name="Percent 2 7 3 5" xfId="10100"/>
    <cellStyle name="Percent 2 7 30" xfId="10101"/>
    <cellStyle name="Percent 2 7 30 2" xfId="10102"/>
    <cellStyle name="Percent 2 7 30 3" xfId="10103"/>
    <cellStyle name="Percent 2 7 30 4" xfId="10104"/>
    <cellStyle name="Percent 2 7 30 5" xfId="10105"/>
    <cellStyle name="Percent 2 7 31" xfId="10106"/>
    <cellStyle name="Percent 2 7 32" xfId="10107"/>
    <cellStyle name="Percent 2 7 33" xfId="10108"/>
    <cellStyle name="Percent 2 7 34" xfId="10109"/>
    <cellStyle name="Percent 2 7 35" xfId="10110"/>
    <cellStyle name="Percent 2 7 35 2" xfId="12599"/>
    <cellStyle name="Percent 2 7 36" xfId="10111"/>
    <cellStyle name="Percent 2 7 36 2" xfId="12600"/>
    <cellStyle name="Percent 2 7 37" xfId="10112"/>
    <cellStyle name="Percent 2 7 37 2" xfId="12601"/>
    <cellStyle name="Percent 2 7 38" xfId="10113"/>
    <cellStyle name="Percent 2 7 38 2" xfId="12602"/>
    <cellStyle name="Percent 2 7 39" xfId="10114"/>
    <cellStyle name="Percent 2 7 39 2" xfId="12603"/>
    <cellStyle name="Percent 2 7 4" xfId="10115"/>
    <cellStyle name="Percent 2 7 4 2" xfId="10116"/>
    <cellStyle name="Percent 2 7 4 3" xfId="10117"/>
    <cellStyle name="Percent 2 7 4 4" xfId="10118"/>
    <cellStyle name="Percent 2 7 4 5" xfId="10119"/>
    <cellStyle name="Percent 2 7 40" xfId="10120"/>
    <cellStyle name="Percent 2 7 40 2" xfId="12604"/>
    <cellStyle name="Percent 2 7 41" xfId="10121"/>
    <cellStyle name="Percent 2 7 41 2" xfId="12605"/>
    <cellStyle name="Percent 2 7 42" xfId="10122"/>
    <cellStyle name="Percent 2 7 42 2" xfId="12606"/>
    <cellStyle name="Percent 2 7 43" xfId="10123"/>
    <cellStyle name="Percent 2 7 43 2" xfId="12607"/>
    <cellStyle name="Percent 2 7 44" xfId="10124"/>
    <cellStyle name="Percent 2 7 44 2" xfId="12608"/>
    <cellStyle name="Percent 2 7 45" xfId="10125"/>
    <cellStyle name="Percent 2 7 45 2" xfId="12609"/>
    <cellStyle name="Percent 2 7 46" xfId="10126"/>
    <cellStyle name="Percent 2 7 46 2" xfId="12610"/>
    <cellStyle name="Percent 2 7 47" xfId="12598"/>
    <cellStyle name="Percent 2 7 5" xfId="10127"/>
    <cellStyle name="Percent 2 7 5 2" xfId="10128"/>
    <cellStyle name="Percent 2 7 5 3" xfId="10129"/>
    <cellStyle name="Percent 2 7 5 4" xfId="10130"/>
    <cellStyle name="Percent 2 7 5 5" xfId="10131"/>
    <cellStyle name="Percent 2 7 6" xfId="10132"/>
    <cellStyle name="Percent 2 7 6 2" xfId="10133"/>
    <cellStyle name="Percent 2 7 6 3" xfId="10134"/>
    <cellStyle name="Percent 2 7 6 4" xfId="10135"/>
    <cellStyle name="Percent 2 7 6 5" xfId="10136"/>
    <cellStyle name="Percent 2 7 7" xfId="10137"/>
    <cellStyle name="Percent 2 7 7 2" xfId="10138"/>
    <cellStyle name="Percent 2 7 7 3" xfId="10139"/>
    <cellStyle name="Percent 2 7 7 4" xfId="10140"/>
    <cellStyle name="Percent 2 7 7 5" xfId="10141"/>
    <cellStyle name="Percent 2 7 8" xfId="10142"/>
    <cellStyle name="Percent 2 7 8 2" xfId="10143"/>
    <cellStyle name="Percent 2 7 8 3" xfId="10144"/>
    <cellStyle name="Percent 2 7 8 4" xfId="10145"/>
    <cellStyle name="Percent 2 7 8 5" xfId="10146"/>
    <cellStyle name="Percent 2 7 9" xfId="10147"/>
    <cellStyle name="Percent 2 7 9 2" xfId="10148"/>
    <cellStyle name="Percent 2 7 9 3" xfId="10149"/>
    <cellStyle name="Percent 2 7 9 4" xfId="10150"/>
    <cellStyle name="Percent 2 7 9 5" xfId="10151"/>
    <cellStyle name="Percent 2 70" xfId="10152"/>
    <cellStyle name="Percent 2 70 2" xfId="12611"/>
    <cellStyle name="Percent 2 71" xfId="10153"/>
    <cellStyle name="Percent 2 71 2" xfId="12612"/>
    <cellStyle name="Percent 2 72" xfId="10154"/>
    <cellStyle name="Percent 2 72 2" xfId="12613"/>
    <cellStyle name="Percent 2 73" xfId="10155"/>
    <cellStyle name="Percent 2 73 2" xfId="12614"/>
    <cellStyle name="Percent 2 74" xfId="10156"/>
    <cellStyle name="Percent 2 74 2" xfId="12615"/>
    <cellStyle name="Percent 2 75" xfId="10157"/>
    <cellStyle name="Percent 2 75 2" xfId="12616"/>
    <cellStyle name="Percent 2 76" xfId="10158"/>
    <cellStyle name="Percent 2 76 2" xfId="12617"/>
    <cellStyle name="Percent 2 77" xfId="10159"/>
    <cellStyle name="Percent 2 77 2" xfId="12618"/>
    <cellStyle name="Percent 2 78" xfId="10160"/>
    <cellStyle name="Percent 2 78 2" xfId="12619"/>
    <cellStyle name="Percent 2 79" xfId="10161"/>
    <cellStyle name="Percent 2 79 2" xfId="12620"/>
    <cellStyle name="Percent 2 8" xfId="10162"/>
    <cellStyle name="Percent 2 8 10" xfId="10163"/>
    <cellStyle name="Percent 2 8 10 2" xfId="10164"/>
    <cellStyle name="Percent 2 8 10 3" xfId="10165"/>
    <cellStyle name="Percent 2 8 10 4" xfId="10166"/>
    <cellStyle name="Percent 2 8 10 5" xfId="10167"/>
    <cellStyle name="Percent 2 8 11" xfId="10168"/>
    <cellStyle name="Percent 2 8 11 2" xfId="10169"/>
    <cellStyle name="Percent 2 8 11 3" xfId="10170"/>
    <cellStyle name="Percent 2 8 11 4" xfId="10171"/>
    <cellStyle name="Percent 2 8 11 5" xfId="10172"/>
    <cellStyle name="Percent 2 8 12" xfId="10173"/>
    <cellStyle name="Percent 2 8 12 2" xfId="10174"/>
    <cellStyle name="Percent 2 8 12 3" xfId="10175"/>
    <cellStyle name="Percent 2 8 12 4" xfId="10176"/>
    <cellStyle name="Percent 2 8 12 5" xfId="10177"/>
    <cellStyle name="Percent 2 8 13" xfId="10178"/>
    <cellStyle name="Percent 2 8 13 2" xfId="10179"/>
    <cellStyle name="Percent 2 8 13 3" xfId="10180"/>
    <cellStyle name="Percent 2 8 13 4" xfId="10181"/>
    <cellStyle name="Percent 2 8 13 5" xfId="10182"/>
    <cellStyle name="Percent 2 8 14" xfId="10183"/>
    <cellStyle name="Percent 2 8 14 2" xfId="10184"/>
    <cellStyle name="Percent 2 8 14 3" xfId="10185"/>
    <cellStyle name="Percent 2 8 14 4" xfId="10186"/>
    <cellStyle name="Percent 2 8 14 5" xfId="10187"/>
    <cellStyle name="Percent 2 8 15" xfId="10188"/>
    <cellStyle name="Percent 2 8 15 2" xfId="10189"/>
    <cellStyle name="Percent 2 8 15 3" xfId="10190"/>
    <cellStyle name="Percent 2 8 15 4" xfId="10191"/>
    <cellStyle name="Percent 2 8 15 5" xfId="10192"/>
    <cellStyle name="Percent 2 8 16" xfId="10193"/>
    <cellStyle name="Percent 2 8 16 2" xfId="10194"/>
    <cellStyle name="Percent 2 8 16 3" xfId="10195"/>
    <cellStyle name="Percent 2 8 16 4" xfId="10196"/>
    <cellStyle name="Percent 2 8 16 5" xfId="10197"/>
    <cellStyle name="Percent 2 8 17" xfId="10198"/>
    <cellStyle name="Percent 2 8 17 2" xfId="10199"/>
    <cellStyle name="Percent 2 8 17 3" xfId="10200"/>
    <cellStyle name="Percent 2 8 17 4" xfId="10201"/>
    <cellStyle name="Percent 2 8 17 5" xfId="10202"/>
    <cellStyle name="Percent 2 8 18" xfId="10203"/>
    <cellStyle name="Percent 2 8 18 2" xfId="10204"/>
    <cellStyle name="Percent 2 8 18 3" xfId="10205"/>
    <cellStyle name="Percent 2 8 18 4" xfId="10206"/>
    <cellStyle name="Percent 2 8 18 5" xfId="10207"/>
    <cellStyle name="Percent 2 8 19" xfId="10208"/>
    <cellStyle name="Percent 2 8 19 2" xfId="10209"/>
    <cellStyle name="Percent 2 8 19 3" xfId="10210"/>
    <cellStyle name="Percent 2 8 19 4" xfId="10211"/>
    <cellStyle name="Percent 2 8 19 5" xfId="10212"/>
    <cellStyle name="Percent 2 8 2" xfId="10213"/>
    <cellStyle name="Percent 2 8 2 2" xfId="10214"/>
    <cellStyle name="Percent 2 8 2 3" xfId="10215"/>
    <cellStyle name="Percent 2 8 2 4" xfId="10216"/>
    <cellStyle name="Percent 2 8 2 5" xfId="10217"/>
    <cellStyle name="Percent 2 8 20" xfId="10218"/>
    <cellStyle name="Percent 2 8 20 2" xfId="10219"/>
    <cellStyle name="Percent 2 8 20 3" xfId="10220"/>
    <cellStyle name="Percent 2 8 20 4" xfId="10221"/>
    <cellStyle name="Percent 2 8 20 5" xfId="10222"/>
    <cellStyle name="Percent 2 8 21" xfId="10223"/>
    <cellStyle name="Percent 2 8 21 2" xfId="10224"/>
    <cellStyle name="Percent 2 8 21 3" xfId="10225"/>
    <cellStyle name="Percent 2 8 21 4" xfId="10226"/>
    <cellStyle name="Percent 2 8 21 5" xfId="10227"/>
    <cellStyle name="Percent 2 8 22" xfId="10228"/>
    <cellStyle name="Percent 2 8 22 2" xfId="10229"/>
    <cellStyle name="Percent 2 8 22 3" xfId="10230"/>
    <cellStyle name="Percent 2 8 22 4" xfId="10231"/>
    <cellStyle name="Percent 2 8 22 5" xfId="10232"/>
    <cellStyle name="Percent 2 8 23" xfId="10233"/>
    <cellStyle name="Percent 2 8 23 2" xfId="10234"/>
    <cellStyle name="Percent 2 8 23 3" xfId="10235"/>
    <cellStyle name="Percent 2 8 23 4" xfId="10236"/>
    <cellStyle name="Percent 2 8 23 5" xfId="10237"/>
    <cellStyle name="Percent 2 8 24" xfId="10238"/>
    <cellStyle name="Percent 2 8 24 2" xfId="10239"/>
    <cellStyle name="Percent 2 8 24 3" xfId="10240"/>
    <cellStyle name="Percent 2 8 24 4" xfId="10241"/>
    <cellStyle name="Percent 2 8 24 5" xfId="10242"/>
    <cellStyle name="Percent 2 8 25" xfId="10243"/>
    <cellStyle name="Percent 2 8 25 2" xfId="10244"/>
    <cellStyle name="Percent 2 8 25 3" xfId="10245"/>
    <cellStyle name="Percent 2 8 25 4" xfId="10246"/>
    <cellStyle name="Percent 2 8 25 5" xfId="10247"/>
    <cellStyle name="Percent 2 8 26" xfId="10248"/>
    <cellStyle name="Percent 2 8 26 2" xfId="10249"/>
    <cellStyle name="Percent 2 8 26 3" xfId="10250"/>
    <cellStyle name="Percent 2 8 26 4" xfId="10251"/>
    <cellStyle name="Percent 2 8 26 5" xfId="10252"/>
    <cellStyle name="Percent 2 8 27" xfId="10253"/>
    <cellStyle name="Percent 2 8 27 2" xfId="10254"/>
    <cellStyle name="Percent 2 8 27 3" xfId="10255"/>
    <cellStyle name="Percent 2 8 27 4" xfId="10256"/>
    <cellStyle name="Percent 2 8 27 5" xfId="10257"/>
    <cellStyle name="Percent 2 8 28" xfId="10258"/>
    <cellStyle name="Percent 2 8 28 2" xfId="10259"/>
    <cellStyle name="Percent 2 8 28 3" xfId="10260"/>
    <cellStyle name="Percent 2 8 28 4" xfId="10261"/>
    <cellStyle name="Percent 2 8 28 5" xfId="10262"/>
    <cellStyle name="Percent 2 8 29" xfId="10263"/>
    <cellStyle name="Percent 2 8 29 2" xfId="10264"/>
    <cellStyle name="Percent 2 8 29 3" xfId="10265"/>
    <cellStyle name="Percent 2 8 29 4" xfId="10266"/>
    <cellStyle name="Percent 2 8 29 5" xfId="10267"/>
    <cellStyle name="Percent 2 8 3" xfId="10268"/>
    <cellStyle name="Percent 2 8 3 2" xfId="10269"/>
    <cellStyle name="Percent 2 8 3 3" xfId="10270"/>
    <cellStyle name="Percent 2 8 3 4" xfId="10271"/>
    <cellStyle name="Percent 2 8 3 5" xfId="10272"/>
    <cellStyle name="Percent 2 8 30" xfId="10273"/>
    <cellStyle name="Percent 2 8 30 2" xfId="10274"/>
    <cellStyle name="Percent 2 8 30 3" xfId="10275"/>
    <cellStyle name="Percent 2 8 30 4" xfId="10276"/>
    <cellStyle name="Percent 2 8 30 5" xfId="10277"/>
    <cellStyle name="Percent 2 8 31" xfId="10278"/>
    <cellStyle name="Percent 2 8 32" xfId="10279"/>
    <cellStyle name="Percent 2 8 33" xfId="10280"/>
    <cellStyle name="Percent 2 8 34" xfId="10281"/>
    <cellStyle name="Percent 2 8 35" xfId="10282"/>
    <cellStyle name="Percent 2 8 35 2" xfId="12622"/>
    <cellStyle name="Percent 2 8 36" xfId="10283"/>
    <cellStyle name="Percent 2 8 36 2" xfId="12623"/>
    <cellStyle name="Percent 2 8 37" xfId="10284"/>
    <cellStyle name="Percent 2 8 37 2" xfId="12624"/>
    <cellStyle name="Percent 2 8 38" xfId="10285"/>
    <cellStyle name="Percent 2 8 38 2" xfId="12625"/>
    <cellStyle name="Percent 2 8 39" xfId="10286"/>
    <cellStyle name="Percent 2 8 39 2" xfId="12626"/>
    <cellStyle name="Percent 2 8 4" xfId="10287"/>
    <cellStyle name="Percent 2 8 4 2" xfId="10288"/>
    <cellStyle name="Percent 2 8 4 3" xfId="10289"/>
    <cellStyle name="Percent 2 8 4 4" xfId="10290"/>
    <cellStyle name="Percent 2 8 4 5" xfId="10291"/>
    <cellStyle name="Percent 2 8 40" xfId="10292"/>
    <cellStyle name="Percent 2 8 40 2" xfId="12627"/>
    <cellStyle name="Percent 2 8 41" xfId="10293"/>
    <cellStyle name="Percent 2 8 41 2" xfId="12628"/>
    <cellStyle name="Percent 2 8 42" xfId="10294"/>
    <cellStyle name="Percent 2 8 42 2" xfId="12629"/>
    <cellStyle name="Percent 2 8 43" xfId="10295"/>
    <cellStyle name="Percent 2 8 43 2" xfId="12630"/>
    <cellStyle name="Percent 2 8 44" xfId="10296"/>
    <cellStyle name="Percent 2 8 44 2" xfId="12631"/>
    <cellStyle name="Percent 2 8 45" xfId="10297"/>
    <cellStyle name="Percent 2 8 45 2" xfId="12632"/>
    <cellStyle name="Percent 2 8 46" xfId="10298"/>
    <cellStyle name="Percent 2 8 46 2" xfId="12633"/>
    <cellStyle name="Percent 2 8 47" xfId="12621"/>
    <cellStyle name="Percent 2 8 5" xfId="10299"/>
    <cellStyle name="Percent 2 8 5 2" xfId="10300"/>
    <cellStyle name="Percent 2 8 5 3" xfId="10301"/>
    <cellStyle name="Percent 2 8 5 4" xfId="10302"/>
    <cellStyle name="Percent 2 8 5 5" xfId="10303"/>
    <cellStyle name="Percent 2 8 6" xfId="10304"/>
    <cellStyle name="Percent 2 8 6 2" xfId="10305"/>
    <cellStyle name="Percent 2 8 6 3" xfId="10306"/>
    <cellStyle name="Percent 2 8 6 4" xfId="10307"/>
    <cellStyle name="Percent 2 8 6 5" xfId="10308"/>
    <cellStyle name="Percent 2 8 7" xfId="10309"/>
    <cellStyle name="Percent 2 8 7 2" xfId="10310"/>
    <cellStyle name="Percent 2 8 7 3" xfId="10311"/>
    <cellStyle name="Percent 2 8 7 4" xfId="10312"/>
    <cellStyle name="Percent 2 8 7 5" xfId="10313"/>
    <cellStyle name="Percent 2 8 8" xfId="10314"/>
    <cellStyle name="Percent 2 8 8 2" xfId="10315"/>
    <cellStyle name="Percent 2 8 8 3" xfId="10316"/>
    <cellStyle name="Percent 2 8 8 4" xfId="10317"/>
    <cellStyle name="Percent 2 8 8 5" xfId="10318"/>
    <cellStyle name="Percent 2 8 9" xfId="10319"/>
    <cellStyle name="Percent 2 8 9 2" xfId="10320"/>
    <cellStyle name="Percent 2 8 9 3" xfId="10321"/>
    <cellStyle name="Percent 2 8 9 4" xfId="10322"/>
    <cellStyle name="Percent 2 8 9 5" xfId="10323"/>
    <cellStyle name="Percent 2 80" xfId="11352"/>
    <cellStyle name="Percent 2 80 2" xfId="12634"/>
    <cellStyle name="Percent 2 81" xfId="11354"/>
    <cellStyle name="Percent 2 81 2" xfId="12635"/>
    <cellStyle name="Percent 2 82" xfId="12407"/>
    <cellStyle name="Percent 2 9" xfId="10324"/>
    <cellStyle name="Percent 2 9 10" xfId="10325"/>
    <cellStyle name="Percent 2 9 10 2" xfId="10326"/>
    <cellStyle name="Percent 2 9 10 3" xfId="10327"/>
    <cellStyle name="Percent 2 9 10 4" xfId="10328"/>
    <cellStyle name="Percent 2 9 10 5" xfId="10329"/>
    <cellStyle name="Percent 2 9 11" xfId="10330"/>
    <cellStyle name="Percent 2 9 11 2" xfId="10331"/>
    <cellStyle name="Percent 2 9 11 3" xfId="10332"/>
    <cellStyle name="Percent 2 9 11 4" xfId="10333"/>
    <cellStyle name="Percent 2 9 11 5" xfId="10334"/>
    <cellStyle name="Percent 2 9 12" xfId="10335"/>
    <cellStyle name="Percent 2 9 12 2" xfId="10336"/>
    <cellStyle name="Percent 2 9 12 3" xfId="10337"/>
    <cellStyle name="Percent 2 9 12 4" xfId="10338"/>
    <cellStyle name="Percent 2 9 12 5" xfId="10339"/>
    <cellStyle name="Percent 2 9 13" xfId="10340"/>
    <cellStyle name="Percent 2 9 13 2" xfId="10341"/>
    <cellStyle name="Percent 2 9 13 3" xfId="10342"/>
    <cellStyle name="Percent 2 9 13 4" xfId="10343"/>
    <cellStyle name="Percent 2 9 13 5" xfId="10344"/>
    <cellStyle name="Percent 2 9 14" xfId="10345"/>
    <cellStyle name="Percent 2 9 14 2" xfId="10346"/>
    <cellStyle name="Percent 2 9 14 3" xfId="10347"/>
    <cellStyle name="Percent 2 9 14 4" xfId="10348"/>
    <cellStyle name="Percent 2 9 14 5" xfId="10349"/>
    <cellStyle name="Percent 2 9 15" xfId="10350"/>
    <cellStyle name="Percent 2 9 15 2" xfId="10351"/>
    <cellStyle name="Percent 2 9 15 3" xfId="10352"/>
    <cellStyle name="Percent 2 9 15 4" xfId="10353"/>
    <cellStyle name="Percent 2 9 15 5" xfId="10354"/>
    <cellStyle name="Percent 2 9 16" xfId="10355"/>
    <cellStyle name="Percent 2 9 16 2" xfId="10356"/>
    <cellStyle name="Percent 2 9 16 3" xfId="10357"/>
    <cellStyle name="Percent 2 9 16 4" xfId="10358"/>
    <cellStyle name="Percent 2 9 16 5" xfId="10359"/>
    <cellStyle name="Percent 2 9 17" xfId="10360"/>
    <cellStyle name="Percent 2 9 17 2" xfId="10361"/>
    <cellStyle name="Percent 2 9 17 3" xfId="10362"/>
    <cellStyle name="Percent 2 9 17 4" xfId="10363"/>
    <cellStyle name="Percent 2 9 17 5" xfId="10364"/>
    <cellStyle name="Percent 2 9 18" xfId="10365"/>
    <cellStyle name="Percent 2 9 18 2" xfId="10366"/>
    <cellStyle name="Percent 2 9 18 3" xfId="10367"/>
    <cellStyle name="Percent 2 9 18 4" xfId="10368"/>
    <cellStyle name="Percent 2 9 18 5" xfId="10369"/>
    <cellStyle name="Percent 2 9 19" xfId="10370"/>
    <cellStyle name="Percent 2 9 19 2" xfId="10371"/>
    <cellStyle name="Percent 2 9 19 3" xfId="10372"/>
    <cellStyle name="Percent 2 9 19 4" xfId="10373"/>
    <cellStyle name="Percent 2 9 19 5" xfId="10374"/>
    <cellStyle name="Percent 2 9 2" xfId="10375"/>
    <cellStyle name="Percent 2 9 2 2" xfId="10376"/>
    <cellStyle name="Percent 2 9 2 3" xfId="10377"/>
    <cellStyle name="Percent 2 9 2 4" xfId="10378"/>
    <cellStyle name="Percent 2 9 2 5" xfId="10379"/>
    <cellStyle name="Percent 2 9 20" xfId="10380"/>
    <cellStyle name="Percent 2 9 20 2" xfId="10381"/>
    <cellStyle name="Percent 2 9 20 3" xfId="10382"/>
    <cellStyle name="Percent 2 9 20 4" xfId="10383"/>
    <cellStyle name="Percent 2 9 20 5" xfId="10384"/>
    <cellStyle name="Percent 2 9 21" xfId="10385"/>
    <cellStyle name="Percent 2 9 21 2" xfId="10386"/>
    <cellStyle name="Percent 2 9 21 3" xfId="10387"/>
    <cellStyle name="Percent 2 9 21 4" xfId="10388"/>
    <cellStyle name="Percent 2 9 21 5" xfId="10389"/>
    <cellStyle name="Percent 2 9 22" xfId="10390"/>
    <cellStyle name="Percent 2 9 22 2" xfId="10391"/>
    <cellStyle name="Percent 2 9 22 3" xfId="10392"/>
    <cellStyle name="Percent 2 9 22 4" xfId="10393"/>
    <cellStyle name="Percent 2 9 22 5" xfId="10394"/>
    <cellStyle name="Percent 2 9 23" xfId="10395"/>
    <cellStyle name="Percent 2 9 23 2" xfId="10396"/>
    <cellStyle name="Percent 2 9 23 3" xfId="10397"/>
    <cellStyle name="Percent 2 9 23 4" xfId="10398"/>
    <cellStyle name="Percent 2 9 23 5" xfId="10399"/>
    <cellStyle name="Percent 2 9 24" xfId="10400"/>
    <cellStyle name="Percent 2 9 24 2" xfId="10401"/>
    <cellStyle name="Percent 2 9 24 3" xfId="10402"/>
    <cellStyle name="Percent 2 9 24 4" xfId="10403"/>
    <cellStyle name="Percent 2 9 24 5" xfId="10404"/>
    <cellStyle name="Percent 2 9 25" xfId="10405"/>
    <cellStyle name="Percent 2 9 25 2" xfId="10406"/>
    <cellStyle name="Percent 2 9 25 3" xfId="10407"/>
    <cellStyle name="Percent 2 9 25 4" xfId="10408"/>
    <cellStyle name="Percent 2 9 25 5" xfId="10409"/>
    <cellStyle name="Percent 2 9 26" xfId="10410"/>
    <cellStyle name="Percent 2 9 26 2" xfId="10411"/>
    <cellStyle name="Percent 2 9 26 3" xfId="10412"/>
    <cellStyle name="Percent 2 9 26 4" xfId="10413"/>
    <cellStyle name="Percent 2 9 26 5" xfId="10414"/>
    <cellStyle name="Percent 2 9 27" xfId="10415"/>
    <cellStyle name="Percent 2 9 27 2" xfId="10416"/>
    <cellStyle name="Percent 2 9 27 3" xfId="10417"/>
    <cellStyle name="Percent 2 9 27 4" xfId="10418"/>
    <cellStyle name="Percent 2 9 27 5" xfId="10419"/>
    <cellStyle name="Percent 2 9 28" xfId="10420"/>
    <cellStyle name="Percent 2 9 28 2" xfId="10421"/>
    <cellStyle name="Percent 2 9 28 3" xfId="10422"/>
    <cellStyle name="Percent 2 9 28 4" xfId="10423"/>
    <cellStyle name="Percent 2 9 28 5" xfId="10424"/>
    <cellStyle name="Percent 2 9 29" xfId="10425"/>
    <cellStyle name="Percent 2 9 29 2" xfId="10426"/>
    <cellStyle name="Percent 2 9 29 3" xfId="10427"/>
    <cellStyle name="Percent 2 9 29 4" xfId="10428"/>
    <cellStyle name="Percent 2 9 29 5" xfId="10429"/>
    <cellStyle name="Percent 2 9 3" xfId="10430"/>
    <cellStyle name="Percent 2 9 3 2" xfId="10431"/>
    <cellStyle name="Percent 2 9 3 3" xfId="10432"/>
    <cellStyle name="Percent 2 9 3 4" xfId="10433"/>
    <cellStyle name="Percent 2 9 3 5" xfId="10434"/>
    <cellStyle name="Percent 2 9 30" xfId="10435"/>
    <cellStyle name="Percent 2 9 30 2" xfId="10436"/>
    <cellStyle name="Percent 2 9 30 3" xfId="10437"/>
    <cellStyle name="Percent 2 9 30 4" xfId="10438"/>
    <cellStyle name="Percent 2 9 30 5" xfId="10439"/>
    <cellStyle name="Percent 2 9 31" xfId="10440"/>
    <cellStyle name="Percent 2 9 32" xfId="10441"/>
    <cellStyle name="Percent 2 9 33" xfId="10442"/>
    <cellStyle name="Percent 2 9 34" xfId="10443"/>
    <cellStyle name="Percent 2 9 35" xfId="10444"/>
    <cellStyle name="Percent 2 9 35 2" xfId="12637"/>
    <cellStyle name="Percent 2 9 36" xfId="10445"/>
    <cellStyle name="Percent 2 9 36 2" xfId="12638"/>
    <cellStyle name="Percent 2 9 37" xfId="10446"/>
    <cellStyle name="Percent 2 9 37 2" xfId="12639"/>
    <cellStyle name="Percent 2 9 38" xfId="10447"/>
    <cellStyle name="Percent 2 9 38 2" xfId="12640"/>
    <cellStyle name="Percent 2 9 39" xfId="10448"/>
    <cellStyle name="Percent 2 9 39 2" xfId="12641"/>
    <cellStyle name="Percent 2 9 4" xfId="10449"/>
    <cellStyle name="Percent 2 9 4 2" xfId="10450"/>
    <cellStyle name="Percent 2 9 4 3" xfId="10451"/>
    <cellStyle name="Percent 2 9 4 4" xfId="10452"/>
    <cellStyle name="Percent 2 9 4 5" xfId="10453"/>
    <cellStyle name="Percent 2 9 40" xfId="10454"/>
    <cellStyle name="Percent 2 9 40 2" xfId="12642"/>
    <cellStyle name="Percent 2 9 41" xfId="10455"/>
    <cellStyle name="Percent 2 9 41 2" xfId="12643"/>
    <cellStyle name="Percent 2 9 42" xfId="10456"/>
    <cellStyle name="Percent 2 9 42 2" xfId="12644"/>
    <cellStyle name="Percent 2 9 43" xfId="10457"/>
    <cellStyle name="Percent 2 9 43 2" xfId="12645"/>
    <cellStyle name="Percent 2 9 44" xfId="10458"/>
    <cellStyle name="Percent 2 9 44 2" xfId="12646"/>
    <cellStyle name="Percent 2 9 45" xfId="10459"/>
    <cellStyle name="Percent 2 9 45 2" xfId="12647"/>
    <cellStyle name="Percent 2 9 46" xfId="10460"/>
    <cellStyle name="Percent 2 9 46 2" xfId="12648"/>
    <cellStyle name="Percent 2 9 47" xfId="12636"/>
    <cellStyle name="Percent 2 9 5" xfId="10461"/>
    <cellStyle name="Percent 2 9 5 2" xfId="10462"/>
    <cellStyle name="Percent 2 9 5 3" xfId="10463"/>
    <cellStyle name="Percent 2 9 5 4" xfId="10464"/>
    <cellStyle name="Percent 2 9 5 5" xfId="10465"/>
    <cellStyle name="Percent 2 9 6" xfId="10466"/>
    <cellStyle name="Percent 2 9 6 2" xfId="10467"/>
    <cellStyle name="Percent 2 9 6 3" xfId="10468"/>
    <cellStyle name="Percent 2 9 6 4" xfId="10469"/>
    <cellStyle name="Percent 2 9 6 5" xfId="10470"/>
    <cellStyle name="Percent 2 9 7" xfId="10471"/>
    <cellStyle name="Percent 2 9 7 2" xfId="10472"/>
    <cellStyle name="Percent 2 9 7 3" xfId="10473"/>
    <cellStyle name="Percent 2 9 7 4" xfId="10474"/>
    <cellStyle name="Percent 2 9 7 5" xfId="10475"/>
    <cellStyle name="Percent 2 9 8" xfId="10476"/>
    <cellStyle name="Percent 2 9 8 2" xfId="10477"/>
    <cellStyle name="Percent 2 9 8 3" xfId="10478"/>
    <cellStyle name="Percent 2 9 8 4" xfId="10479"/>
    <cellStyle name="Percent 2 9 8 5" xfId="10480"/>
    <cellStyle name="Percent 2 9 9" xfId="10481"/>
    <cellStyle name="Percent 2 9 9 2" xfId="10482"/>
    <cellStyle name="Percent 2 9 9 3" xfId="10483"/>
    <cellStyle name="Percent 2 9 9 4" xfId="10484"/>
    <cellStyle name="Percent 2 9 9 5" xfId="10485"/>
    <cellStyle name="Percent 3" xfId="259"/>
    <cellStyle name="Percent 3 10" xfId="10486"/>
    <cellStyle name="Percent 3 11" xfId="10487"/>
    <cellStyle name="Percent 3 12" xfId="10488"/>
    <cellStyle name="Percent 3 13" xfId="10489"/>
    <cellStyle name="Percent 3 14" xfId="10490"/>
    <cellStyle name="Percent 3 15" xfId="10491"/>
    <cellStyle name="Percent 3 16" xfId="10492"/>
    <cellStyle name="Percent 3 17" xfId="10493"/>
    <cellStyle name="Percent 3 18" xfId="10494"/>
    <cellStyle name="Percent 3 19" xfId="10495"/>
    <cellStyle name="Percent 3 2" xfId="10496"/>
    <cellStyle name="Percent 3 2 10" xfId="10497"/>
    <cellStyle name="Percent 3 2 11" xfId="10498"/>
    <cellStyle name="Percent 3 2 12" xfId="10499"/>
    <cellStyle name="Percent 3 2 13" xfId="10500"/>
    <cellStyle name="Percent 3 2 14" xfId="10501"/>
    <cellStyle name="Percent 3 2 15" xfId="10502"/>
    <cellStyle name="Percent 3 2 16" xfId="10503"/>
    <cellStyle name="Percent 3 2 17" xfId="10504"/>
    <cellStyle name="Percent 3 2 18" xfId="10505"/>
    <cellStyle name="Percent 3 2 19" xfId="10506"/>
    <cellStyle name="Percent 3 2 2" xfId="10507"/>
    <cellStyle name="Percent 3 2 2 10" xfId="10508"/>
    <cellStyle name="Percent 3 2 2 11" xfId="10509"/>
    <cellStyle name="Percent 3 2 2 12" xfId="10510"/>
    <cellStyle name="Percent 3 2 2 13" xfId="10511"/>
    <cellStyle name="Percent 3 2 2 2" xfId="10512"/>
    <cellStyle name="Percent 3 2 2 3" xfId="10513"/>
    <cellStyle name="Percent 3 2 2 4" xfId="10514"/>
    <cellStyle name="Percent 3 2 2 5" xfId="10515"/>
    <cellStyle name="Percent 3 2 2 6" xfId="10516"/>
    <cellStyle name="Percent 3 2 2 7" xfId="10517"/>
    <cellStyle name="Percent 3 2 2 8" xfId="10518"/>
    <cellStyle name="Percent 3 2 2 9" xfId="10519"/>
    <cellStyle name="Percent 3 2 20" xfId="10520"/>
    <cellStyle name="Percent 3 2 21" xfId="10521"/>
    <cellStyle name="Percent 3 2 22" xfId="10522"/>
    <cellStyle name="Percent 3 2 23" xfId="10523"/>
    <cellStyle name="Percent 3 2 24" xfId="10524"/>
    <cellStyle name="Percent 3 2 25" xfId="10525"/>
    <cellStyle name="Percent 3 2 26" xfId="10526"/>
    <cellStyle name="Percent 3 2 27" xfId="10527"/>
    <cellStyle name="Percent 3 2 28" xfId="10528"/>
    <cellStyle name="Percent 3 2 29" xfId="10529"/>
    <cellStyle name="Percent 3 2 3" xfId="10530"/>
    <cellStyle name="Percent 3 2 30" xfId="10531"/>
    <cellStyle name="Percent 3 2 31" xfId="10532"/>
    <cellStyle name="Percent 3 2 32" xfId="10533"/>
    <cellStyle name="Percent 3 2 33" xfId="10534"/>
    <cellStyle name="Percent 3 2 34" xfId="10535"/>
    <cellStyle name="Percent 3 2 35" xfId="10536"/>
    <cellStyle name="Percent 3 2 36" xfId="10537"/>
    <cellStyle name="Percent 3 2 37" xfId="10538"/>
    <cellStyle name="Percent 3 2 38" xfId="10539"/>
    <cellStyle name="Percent 3 2 39" xfId="10540"/>
    <cellStyle name="Percent 3 2 4" xfId="10541"/>
    <cellStyle name="Percent 3 2 40" xfId="10542"/>
    <cellStyle name="Percent 3 2 41" xfId="10543"/>
    <cellStyle name="Percent 3 2 42" xfId="10544"/>
    <cellStyle name="Percent 3 2 43" xfId="10545"/>
    <cellStyle name="Percent 3 2 44" xfId="10546"/>
    <cellStyle name="Percent 3 2 45" xfId="10547"/>
    <cellStyle name="Percent 3 2 46" xfId="10548"/>
    <cellStyle name="Percent 3 2 47" xfId="10549"/>
    <cellStyle name="Percent 3 2 48" xfId="10550"/>
    <cellStyle name="Percent 3 2 5" xfId="10551"/>
    <cellStyle name="Percent 3 2 6" xfId="10552"/>
    <cellStyle name="Percent 3 2 7" xfId="10553"/>
    <cellStyle name="Percent 3 2 8" xfId="10554"/>
    <cellStyle name="Percent 3 2 9" xfId="10555"/>
    <cellStyle name="Percent 3 20" xfId="10556"/>
    <cellStyle name="Percent 3 21" xfId="10557"/>
    <cellStyle name="Percent 3 22" xfId="10558"/>
    <cellStyle name="Percent 3 23" xfId="10559"/>
    <cellStyle name="Percent 3 24" xfId="10560"/>
    <cellStyle name="Percent 3 25" xfId="10561"/>
    <cellStyle name="Percent 3 26" xfId="10562"/>
    <cellStyle name="Percent 3 27" xfId="10563"/>
    <cellStyle name="Percent 3 28" xfId="10564"/>
    <cellStyle name="Percent 3 29" xfId="10565"/>
    <cellStyle name="Percent 3 3" xfId="10566"/>
    <cellStyle name="Percent 3 30" xfId="10567"/>
    <cellStyle name="Percent 3 31" xfId="10568"/>
    <cellStyle name="Percent 3 32" xfId="10569"/>
    <cellStyle name="Percent 3 33" xfId="10570"/>
    <cellStyle name="Percent 3 34" xfId="10571"/>
    <cellStyle name="Percent 3 35" xfId="10572"/>
    <cellStyle name="Percent 3 36" xfId="10573"/>
    <cellStyle name="Percent 3 37" xfId="10574"/>
    <cellStyle name="Percent 3 38" xfId="10575"/>
    <cellStyle name="Percent 3 39" xfId="10576"/>
    <cellStyle name="Percent 3 4" xfId="10577"/>
    <cellStyle name="Percent 3 40" xfId="10578"/>
    <cellStyle name="Percent 3 41" xfId="10579"/>
    <cellStyle name="Percent 3 42" xfId="10580"/>
    <cellStyle name="Percent 3 43" xfId="10581"/>
    <cellStyle name="Percent 3 44" xfId="10582"/>
    <cellStyle name="Percent 3 45" xfId="10583"/>
    <cellStyle name="Percent 3 46" xfId="10584"/>
    <cellStyle name="Percent 3 47" xfId="10585"/>
    <cellStyle name="Percent 3 48" xfId="10586"/>
    <cellStyle name="Percent 3 49" xfId="10587"/>
    <cellStyle name="Percent 3 5" xfId="10588"/>
    <cellStyle name="Percent 3 50" xfId="10589"/>
    <cellStyle name="Percent 3 51" xfId="10590"/>
    <cellStyle name="Percent 3 52" xfId="10591"/>
    <cellStyle name="Percent 3 53" xfId="10592"/>
    <cellStyle name="Percent 3 54" xfId="10593"/>
    <cellStyle name="Percent 3 55" xfId="10594"/>
    <cellStyle name="Percent 3 56" xfId="10595"/>
    <cellStyle name="Percent 3 57" xfId="10596"/>
    <cellStyle name="Percent 3 58" xfId="10597"/>
    <cellStyle name="Percent 3 59" xfId="10598"/>
    <cellStyle name="Percent 3 6" xfId="10599"/>
    <cellStyle name="Percent 3 60" xfId="10600"/>
    <cellStyle name="Percent 3 61" xfId="10601"/>
    <cellStyle name="Percent 3 62" xfId="10602"/>
    <cellStyle name="Percent 3 63" xfId="10603"/>
    <cellStyle name="Percent 3 64" xfId="10604"/>
    <cellStyle name="Percent 3 65" xfId="10605"/>
    <cellStyle name="Percent 3 66" xfId="10606"/>
    <cellStyle name="Percent 3 67" xfId="10607"/>
    <cellStyle name="Percent 3 68" xfId="10608"/>
    <cellStyle name="Percent 3 69" xfId="10609"/>
    <cellStyle name="Percent 3 7" xfId="10610"/>
    <cellStyle name="Percent 3 70" xfId="10611"/>
    <cellStyle name="Percent 3 71" xfId="10612"/>
    <cellStyle name="Percent 3 72" xfId="10613"/>
    <cellStyle name="Percent 3 73" xfId="10614"/>
    <cellStyle name="Percent 3 74" xfId="10615"/>
    <cellStyle name="Percent 3 75" xfId="10616"/>
    <cellStyle name="Percent 3 76" xfId="10617"/>
    <cellStyle name="Percent 3 77" xfId="10618"/>
    <cellStyle name="Percent 3 8" xfId="10619"/>
    <cellStyle name="Percent 3 9" xfId="10620"/>
    <cellStyle name="Percent 4" xfId="10621"/>
    <cellStyle name="Percent 4 10" xfId="10622"/>
    <cellStyle name="Percent 4 11" xfId="10623"/>
    <cellStyle name="Percent 4 12" xfId="10624"/>
    <cellStyle name="Percent 4 13" xfId="10625"/>
    <cellStyle name="Percent 4 14" xfId="10626"/>
    <cellStyle name="Percent 4 15" xfId="10627"/>
    <cellStyle name="Percent 4 16" xfId="10628"/>
    <cellStyle name="Percent 4 17" xfId="10629"/>
    <cellStyle name="Percent 4 18" xfId="10630"/>
    <cellStyle name="Percent 4 19" xfId="10631"/>
    <cellStyle name="Percent 4 2" xfId="10632"/>
    <cellStyle name="Percent 4 20" xfId="10633"/>
    <cellStyle name="Percent 4 3" xfId="10634"/>
    <cellStyle name="Percent 4 4" xfId="10635"/>
    <cellStyle name="Percent 4 5" xfId="10636"/>
    <cellStyle name="Percent 4 6" xfId="10637"/>
    <cellStyle name="Percent 4 7" xfId="10638"/>
    <cellStyle name="Percent 4 8" xfId="10639"/>
    <cellStyle name="Percent 4 9" xfId="10640"/>
    <cellStyle name="Percent 5" xfId="10641"/>
    <cellStyle name="Percent 6" xfId="11341"/>
    <cellStyle name="Percent 6 2" xfId="11345"/>
    <cellStyle name="Percent 6 2 2" xfId="12650"/>
    <cellStyle name="Percent 6 3" xfId="12649"/>
    <cellStyle name="Title" xfId="3" builtinId="15" customBuiltin="1"/>
    <cellStyle name="Total" xfId="19" builtinId="25" customBuiltin="1"/>
    <cellStyle name="Warning Text" xfId="16" builtinId="11" customBuiltin="1"/>
  </cellStyles>
  <dxfs count="319">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strike val="0"/>
      </font>
      <fill>
        <patternFill>
          <bgColor theme="0" tint="-4.9989318521683403E-2"/>
        </patternFill>
      </fill>
    </dxf>
    <dxf>
      <font>
        <b/>
        <i val="0"/>
        <strike val="0"/>
      </font>
      <fill>
        <patternFill>
          <bgColor theme="0" tint="-4.9989318521683403E-2"/>
        </patternFill>
      </fill>
    </dxf>
    <dxf>
      <font>
        <b val="0"/>
        <i/>
        <color auto="1"/>
      </font>
      <fill>
        <patternFill>
          <bgColor rgb="FFFFFF00"/>
        </patternFill>
      </fill>
    </dxf>
    <dxf>
      <fill>
        <patternFill>
          <bgColor theme="0" tint="-0.14996795556505021"/>
        </patternFill>
      </fill>
    </dxf>
    <dxf>
      <fill>
        <patternFill>
          <bgColor theme="0" tint="-4.9989318521683403E-2"/>
        </patternFill>
      </fill>
    </dxf>
    <dxf>
      <font>
        <b/>
        <i val="0"/>
        <strike val="0"/>
      </font>
      <fill>
        <patternFill>
          <bgColor theme="0" tint="-4.9989318521683403E-2"/>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theme="0" tint="-0.14996795556505021"/>
        </patternFill>
      </fill>
    </dxf>
    <dxf>
      <font>
        <b val="0"/>
        <i/>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theme="0" tint="-0.14996795556505021"/>
        </patternFill>
      </fill>
    </dxf>
    <dxf>
      <font>
        <b val="0"/>
        <i/>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val="0"/>
        <i val="0"/>
        <color auto="1"/>
      </font>
      <fill>
        <patternFill>
          <bgColor theme="0" tint="-0.14996795556505021"/>
        </patternFill>
      </fill>
    </dxf>
    <dxf>
      <font>
        <b val="0"/>
        <i val="0"/>
        <color auto="1"/>
      </font>
      <fill>
        <patternFill>
          <bgColor theme="0" tint="-0.14996795556505021"/>
        </patternFill>
      </fill>
    </dxf>
    <dxf>
      <font>
        <b val="0"/>
        <i val="0"/>
        <color auto="1"/>
      </font>
      <fill>
        <patternFill>
          <bgColor theme="0" tint="-0.14996795556505021"/>
        </patternFill>
      </fill>
    </dxf>
    <dxf>
      <font>
        <b val="0"/>
        <i val="0"/>
        <color auto="1"/>
      </font>
      <fill>
        <patternFill>
          <bgColor theme="0" tint="-0.14996795556505021"/>
        </patternFill>
      </fill>
    </dxf>
    <dxf>
      <font>
        <b val="0"/>
        <i val="0"/>
        <color auto="1"/>
      </font>
      <fill>
        <patternFill>
          <bgColor theme="0" tint="-0.14996795556505021"/>
        </patternFill>
      </fill>
    </dxf>
    <dxf>
      <font>
        <b val="0"/>
        <i/>
      </font>
      <fill>
        <patternFill>
          <bgColor rgb="FFFFFF00"/>
        </patternFill>
      </fill>
    </dxf>
    <dxf>
      <font>
        <b/>
        <i val="0"/>
      </font>
      <fill>
        <patternFill>
          <bgColor theme="0" tint="-0.14996795556505021"/>
        </patternFill>
      </fill>
    </dxf>
    <dxf>
      <font>
        <b val="0"/>
        <i/>
        <color auto="1"/>
      </font>
      <fill>
        <patternFill>
          <bgColor rgb="FFFFFF00"/>
        </patternFill>
      </fill>
    </dxf>
    <dxf>
      <font>
        <b/>
        <i val="0"/>
        <strike val="0"/>
      </font>
      <fill>
        <patternFill>
          <bgColor theme="0" tint="-4.9989318521683403E-2"/>
        </patternFill>
      </fill>
    </dxf>
    <dxf>
      <font>
        <b val="0"/>
        <i/>
        <color auto="1"/>
      </font>
      <fill>
        <patternFill>
          <bgColor rgb="FFFFFF00"/>
        </patternFill>
      </fill>
    </dxf>
    <dxf>
      <font>
        <b/>
        <i val="0"/>
        <strike val="0"/>
      </font>
      <fill>
        <patternFill>
          <bgColor theme="0" tint="-4.9989318521683403E-2"/>
        </patternFill>
      </fill>
    </dxf>
    <dxf>
      <font>
        <b val="0"/>
        <i/>
        <color auto="1"/>
      </font>
      <fill>
        <patternFill>
          <bgColor rgb="FFFFFF00"/>
        </patternFill>
      </fill>
    </dxf>
    <dxf>
      <font>
        <b/>
        <i val="0"/>
        <strike val="0"/>
      </font>
      <fill>
        <patternFill>
          <bgColor theme="0" tint="-0.24994659260841701"/>
        </patternFill>
      </fill>
    </dxf>
    <dxf>
      <font>
        <b val="0"/>
        <i/>
        <color auto="1"/>
      </font>
      <fill>
        <patternFill>
          <bgColor rgb="FFFFFF00"/>
        </patternFill>
      </fill>
    </dxf>
    <dxf>
      <font>
        <b/>
        <i val="0"/>
        <strike val="0"/>
      </font>
      <fill>
        <patternFill>
          <bgColor theme="0" tint="-4.9989318521683403E-2"/>
        </patternFill>
      </fill>
    </dxf>
    <dxf>
      <font>
        <b val="0"/>
        <i/>
        <color auto="1"/>
      </font>
      <fill>
        <patternFill>
          <bgColor rgb="FFFFFF00"/>
        </patternFill>
      </fill>
    </dxf>
    <dxf>
      <font>
        <b/>
        <i val="0"/>
        <strike val="0"/>
      </font>
      <fill>
        <patternFill>
          <bgColor theme="0" tint="-4.9989318521683403E-2"/>
        </patternFill>
      </fill>
    </dxf>
    <dxf>
      <font>
        <b val="0"/>
        <i/>
        <color auto="1"/>
      </font>
      <fill>
        <patternFill>
          <bgColor rgb="FFFFFF00"/>
        </patternFill>
      </fill>
    </dxf>
    <dxf>
      <font>
        <b/>
        <i val="0"/>
        <strike val="0"/>
      </font>
      <fill>
        <patternFill>
          <bgColor theme="0" tint="-0.24994659260841701"/>
        </patternFill>
      </fill>
    </dxf>
    <dxf>
      <font>
        <b val="0"/>
        <i/>
        <color auto="1"/>
      </font>
      <fill>
        <patternFill>
          <bgColor rgb="FFFFFF00"/>
        </patternFill>
      </fill>
    </dxf>
    <dxf>
      <font>
        <b/>
        <i val="0"/>
        <strike val="0"/>
      </font>
      <fill>
        <patternFill>
          <bgColor theme="0" tint="-4.9989318521683403E-2"/>
        </patternFill>
      </fill>
    </dxf>
    <dxf>
      <font>
        <b val="0"/>
        <i/>
        <color auto="1"/>
      </font>
      <fill>
        <patternFill>
          <bgColor rgb="FFFFFF00"/>
        </patternFill>
      </fill>
    </dxf>
    <dxf>
      <font>
        <b/>
        <i val="0"/>
        <strike val="0"/>
      </font>
      <fill>
        <patternFill>
          <bgColor theme="0" tint="-4.9989318521683403E-2"/>
        </patternFill>
      </fill>
    </dxf>
    <dxf>
      <font>
        <b val="0"/>
        <i/>
        <color auto="1"/>
      </font>
      <fill>
        <patternFill>
          <bgColor rgb="FFFFFF00"/>
        </patternFill>
      </fill>
    </dxf>
    <dxf>
      <font>
        <b/>
        <i val="0"/>
        <strike val="0"/>
      </font>
      <fill>
        <patternFill>
          <bgColor theme="0" tint="-0.24994659260841701"/>
        </patternFill>
      </fill>
    </dxf>
    <dxf>
      <font>
        <b val="0"/>
        <i/>
        <color auto="1"/>
      </font>
      <fill>
        <patternFill>
          <bgColor rgb="FFFFFF00"/>
        </patternFill>
      </fill>
    </dxf>
    <dxf>
      <font>
        <b/>
        <i val="0"/>
        <strike val="0"/>
      </font>
      <fill>
        <patternFill>
          <bgColor theme="0" tint="-4.9989318521683403E-2"/>
        </patternFill>
      </fill>
    </dxf>
    <dxf>
      <font>
        <b val="0"/>
        <i/>
        <color auto="1"/>
      </font>
      <fill>
        <patternFill>
          <bgColor rgb="FFFFFF00"/>
        </patternFill>
      </fill>
    </dxf>
    <dxf>
      <font>
        <b/>
        <i val="0"/>
        <strike val="0"/>
      </font>
      <fill>
        <patternFill>
          <bgColor theme="0" tint="-4.9989318521683403E-2"/>
        </patternFill>
      </fill>
    </dxf>
    <dxf>
      <font>
        <b val="0"/>
        <i/>
        <color auto="1"/>
      </font>
      <fill>
        <patternFill>
          <bgColor rgb="FFFFFF00"/>
        </patternFill>
      </fill>
    </dxf>
    <dxf>
      <font>
        <b/>
        <i val="0"/>
        <strike val="0"/>
      </font>
      <fill>
        <patternFill>
          <bgColor theme="0" tint="-0.24994659260841701"/>
        </patternFill>
      </fill>
    </dxf>
    <dxf>
      <font>
        <b val="0"/>
        <i/>
        <color auto="1"/>
      </font>
      <fill>
        <patternFill>
          <bgColor rgb="FFFFFF00"/>
        </patternFill>
      </fill>
    </dxf>
    <dxf>
      <font>
        <b/>
        <i val="0"/>
        <strike val="0"/>
      </font>
      <fill>
        <patternFill>
          <bgColor theme="0" tint="-4.9989318521683403E-2"/>
        </patternFill>
      </fill>
    </dxf>
    <dxf>
      <font>
        <b val="0"/>
        <i/>
        <color auto="1"/>
      </font>
      <fill>
        <patternFill>
          <bgColor rgb="FFFFFF00"/>
        </patternFill>
      </fill>
    </dxf>
    <dxf>
      <font>
        <b/>
        <i val="0"/>
        <strike val="0"/>
      </font>
      <fill>
        <patternFill>
          <bgColor theme="0" tint="-4.9989318521683403E-2"/>
        </patternFill>
      </fill>
    </dxf>
    <dxf>
      <font>
        <b val="0"/>
        <i/>
        <color auto="1"/>
      </font>
      <fill>
        <patternFill>
          <bgColor rgb="FFFFFF00"/>
        </patternFill>
      </fill>
    </dxf>
    <dxf>
      <font>
        <b/>
        <i val="0"/>
        <strike val="0"/>
      </font>
      <fill>
        <patternFill>
          <bgColor theme="0" tint="-0.24994659260841701"/>
        </patternFill>
      </fill>
    </dxf>
    <dxf>
      <font>
        <b val="0"/>
        <i/>
        <color auto="1"/>
      </font>
      <fill>
        <patternFill>
          <bgColor rgb="FFFFFF00"/>
        </patternFill>
      </fill>
    </dxf>
    <dxf>
      <font>
        <b/>
        <i val="0"/>
        <strike val="0"/>
      </font>
      <fill>
        <patternFill>
          <bgColor theme="0" tint="-4.9989318521683403E-2"/>
        </patternFill>
      </fill>
    </dxf>
    <dxf>
      <font>
        <b val="0"/>
        <i/>
        <color auto="1"/>
      </font>
      <fill>
        <patternFill>
          <bgColor rgb="FFFFFF00"/>
        </patternFill>
      </fill>
    </dxf>
    <dxf>
      <font>
        <b/>
        <i val="0"/>
        <strike val="0"/>
      </font>
      <fill>
        <patternFill>
          <bgColor theme="0" tint="-4.9989318521683403E-2"/>
        </patternFill>
      </fill>
    </dxf>
    <dxf>
      <font>
        <b val="0"/>
        <i/>
        <color auto="1"/>
      </font>
      <fill>
        <patternFill>
          <bgColor rgb="FFFFFF00"/>
        </patternFill>
      </fill>
    </dxf>
    <dxf>
      <font>
        <b/>
        <i val="0"/>
        <strike val="0"/>
      </font>
      <fill>
        <patternFill>
          <bgColor theme="0" tint="-0.24994659260841701"/>
        </patternFill>
      </fill>
    </dxf>
    <dxf>
      <font>
        <b val="0"/>
        <i/>
        <color auto="1"/>
      </font>
      <fill>
        <patternFill>
          <bgColor rgb="FFFFFF00"/>
        </patternFill>
      </fill>
    </dxf>
    <dxf>
      <font>
        <b/>
        <i val="0"/>
        <strike val="0"/>
      </font>
      <fill>
        <patternFill>
          <bgColor theme="0" tint="-4.9989318521683403E-2"/>
        </patternFill>
      </fill>
    </dxf>
    <dxf>
      <font>
        <b val="0"/>
        <i/>
        <color auto="1"/>
      </font>
      <fill>
        <patternFill>
          <bgColor rgb="FFFFFF00"/>
        </patternFill>
      </fill>
    </dxf>
    <dxf>
      <font>
        <b/>
        <i val="0"/>
        <strike val="0"/>
      </font>
      <fill>
        <patternFill>
          <bgColor theme="0" tint="-4.9989318521683403E-2"/>
        </patternFill>
      </fill>
    </dxf>
    <dxf>
      <font>
        <b val="0"/>
        <i/>
        <color auto="1"/>
      </font>
      <fill>
        <patternFill>
          <bgColor rgb="FFFFFF00"/>
        </patternFill>
      </fill>
    </dxf>
    <dxf>
      <font>
        <b/>
        <i val="0"/>
        <strike val="0"/>
      </font>
      <fill>
        <patternFill>
          <bgColor theme="0" tint="-0.24994659260841701"/>
        </patternFill>
      </fill>
    </dxf>
    <dxf>
      <fill>
        <patternFill>
          <bgColor theme="0" tint="-0.14996795556505021"/>
        </patternFill>
      </fill>
    </dxf>
    <dxf>
      <font>
        <b/>
        <i val="0"/>
      </font>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font>
      <fill>
        <patternFill>
          <bgColor theme="0" tint="-0.14996795556505021"/>
        </patternFill>
      </fill>
    </dxf>
    <dxf>
      <fill>
        <patternFill>
          <bgColor theme="0" tint="-0.14996795556505021"/>
        </patternFill>
      </fill>
    </dxf>
    <dxf>
      <fill>
        <patternFill>
          <bgColor theme="0" tint="-0.14996795556505021"/>
        </patternFill>
      </fill>
    </dxf>
    <dxf>
      <font>
        <b/>
        <i val="0"/>
      </font>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font>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font>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strike val="0"/>
      </font>
      <fill>
        <patternFill>
          <bgColor theme="0" tint="-0.24994659260841701"/>
        </patternFill>
      </fill>
    </dxf>
    <dxf>
      <font>
        <b val="0"/>
        <i/>
        <color auto="1"/>
      </font>
      <fill>
        <patternFill>
          <bgColor rgb="FFFFFF00"/>
        </patternFill>
      </fill>
    </dxf>
    <dxf>
      <font>
        <b/>
        <i val="0"/>
        <strike val="0"/>
      </font>
      <fill>
        <patternFill>
          <bgColor theme="0" tint="-4.9989318521683403E-2"/>
        </patternFill>
      </fill>
    </dxf>
    <dxf>
      <font>
        <b val="0"/>
        <i/>
        <color auto="1"/>
      </font>
      <fill>
        <patternFill>
          <bgColor rgb="FFFFFF00"/>
        </patternFill>
      </fill>
    </dxf>
    <dxf>
      <font>
        <b val="0"/>
        <i/>
        <color auto="1"/>
      </font>
      <fill>
        <patternFill>
          <bgColor rgb="FFFFFF00"/>
        </patternFill>
      </fill>
    </dxf>
    <dxf>
      <fill>
        <patternFill>
          <bgColor theme="5" tint="0.39994506668294322"/>
        </patternFill>
      </fill>
      <border>
        <right style="thin">
          <color auto="1"/>
        </right>
      </border>
    </dxf>
    <dxf>
      <fill>
        <patternFill>
          <bgColor theme="5"/>
        </patternFill>
      </fill>
      <border>
        <left style="thin">
          <color auto="1"/>
        </left>
        <right style="thin">
          <color auto="1"/>
        </right>
      </border>
    </dxf>
  </dxfs>
  <tableStyles count="1" defaultTableStyle="TableStyleMedium9" defaultPivotStyle="PivotStyleLight16">
    <tableStyle name="Table Style 1" pivot="0" count="2">
      <tableStyleElement type="firstColumnStripe" dxfId="318"/>
      <tableStyleElement type="secondColumnStripe" dxfId="317"/>
    </tableStyle>
  </tableStyles>
  <colors>
    <mruColors>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6.xml"/><Relationship Id="rId47" Type="http://schemas.openxmlformats.org/officeDocument/2006/relationships/calcChain" Target="calcChain.xml"/><Relationship Id="rId50"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46"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7.xml"/><Relationship Id="rId48" Type="http://schemas.openxmlformats.org/officeDocument/2006/relationships/customXml" Target="../customXml/item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Revenue</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'BOD Summary'!$S$4:$T$4</c:f>
              <c:strCache>
                <c:ptCount val="2"/>
                <c:pt idx="0">
                  <c:v>Total 2013 Actual</c:v>
                </c:pt>
                <c:pt idx="1">
                  <c:v>Total 2014 Projected</c:v>
                </c:pt>
              </c:strCache>
            </c:strRef>
          </c:cat>
          <c:val>
            <c:numRef>
              <c:f>'BOD Summary'!$S$6:$T$6</c:f>
              <c:numCache>
                <c:formatCode>"$"#,##0,_);[Red]\("$"#,##0,\)</c:formatCode>
                <c:ptCount val="2"/>
                <c:pt idx="0">
                  <c:v>16872222.549999997</c:v>
                </c:pt>
                <c:pt idx="1">
                  <c:v>23766437.739784963</c:v>
                </c:pt>
              </c:numCache>
            </c:numRef>
          </c:val>
        </c:ser>
        <c:ser>
          <c:idx val="1"/>
          <c:order val="1"/>
          <c:tx>
            <c:v>EBITDA</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'BOD Summary'!$S$4:$T$4</c:f>
              <c:strCache>
                <c:ptCount val="2"/>
                <c:pt idx="0">
                  <c:v>Total 2013 Actual</c:v>
                </c:pt>
                <c:pt idx="1">
                  <c:v>Total 2014 Projected</c:v>
                </c:pt>
              </c:strCache>
            </c:strRef>
          </c:cat>
          <c:val>
            <c:numRef>
              <c:f>'BOD Summary'!$S$19:$T$19</c:f>
              <c:numCache>
                <c:formatCode>"$"#,##0,_);[Red]\("$"#,##0,\)</c:formatCode>
                <c:ptCount val="2"/>
                <c:pt idx="0">
                  <c:v>519685.91999999946</c:v>
                </c:pt>
                <c:pt idx="1">
                  <c:v>1794045.5612525162</c:v>
                </c:pt>
              </c:numCache>
            </c:numRef>
          </c:val>
        </c:ser>
        <c:dLbls>
          <c:showLegendKey val="0"/>
          <c:showVal val="0"/>
          <c:showCatName val="0"/>
          <c:showSerName val="0"/>
          <c:showPercent val="0"/>
          <c:showBubbleSize val="0"/>
        </c:dLbls>
        <c:gapWidth val="30"/>
        <c:overlap val="-14"/>
        <c:axId val="372018472"/>
        <c:axId val="372018864"/>
      </c:barChart>
      <c:catAx>
        <c:axId val="372018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600" b="1" i="0" u="none" strike="noStrike" kern="1200" baseline="0">
                <a:solidFill>
                  <a:schemeClr val="tx1">
                    <a:lumMod val="75000"/>
                    <a:lumOff val="25000"/>
                  </a:schemeClr>
                </a:solidFill>
                <a:latin typeface="+mn-lt"/>
                <a:ea typeface="+mn-ea"/>
                <a:cs typeface="+mn-cs"/>
              </a:defRPr>
            </a:pPr>
            <a:endParaRPr lang="en-US"/>
          </a:p>
        </c:txPr>
        <c:crossAx val="372018864"/>
        <c:crosses val="autoZero"/>
        <c:auto val="1"/>
        <c:lblAlgn val="ctr"/>
        <c:lblOffset val="100"/>
        <c:noMultiLvlLbl val="0"/>
      </c:catAx>
      <c:valAx>
        <c:axId val="372018864"/>
        <c:scaling>
          <c:orientation val="minMax"/>
        </c:scaling>
        <c:delete val="1"/>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crossAx val="37201847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lgn="ctr">
            <a:defRPr lang="en-US" sz="1600" b="1" i="0" u="none" strike="noStrike" kern="1200" baseline="0">
              <a:solidFill>
                <a:schemeClr val="tx1">
                  <a:lumMod val="75000"/>
                  <a:lumOff val="2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Sensitivities - Cohort Activity by Age in Months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Sensativities!$H$63</c:f>
              <c:strCache>
                <c:ptCount val="1"/>
                <c:pt idx="0">
                  <c:v>Best</c:v>
                </c:pt>
              </c:strCache>
            </c:strRef>
          </c:tx>
          <c:spPr>
            <a:ln w="34925" cap="rnd">
              <a:solidFill>
                <a:schemeClr val="accent1"/>
              </a:solidFill>
              <a:round/>
            </a:ln>
            <a:effectLst>
              <a:outerShdw blurRad="40000" dist="23000" dir="5400000" rotWithShape="0">
                <a:srgbClr val="000000">
                  <a:alpha val="35000"/>
                </a:srgbClr>
              </a:outerShdw>
            </a:effectLst>
          </c:spPr>
          <c:marker>
            <c:symbol val="none"/>
          </c:marker>
          <c:val>
            <c:numRef>
              <c:f>Sensativities!$H$66:$H$78</c:f>
              <c:numCache>
                <c:formatCode>0.0%</c:formatCode>
                <c:ptCount val="13"/>
                <c:pt idx="0">
                  <c:v>0.75</c:v>
                </c:pt>
                <c:pt idx="1">
                  <c:v>0.60899999999999999</c:v>
                </c:pt>
                <c:pt idx="2">
                  <c:v>0.61916717499677598</c:v>
                </c:pt>
                <c:pt idx="3">
                  <c:v>0.57918968588110009</c:v>
                </c:pt>
                <c:pt idx="4">
                  <c:v>0.56012121297426742</c:v>
                </c:pt>
                <c:pt idx="5">
                  <c:v>0.54332017220602347</c:v>
                </c:pt>
                <c:pt idx="6">
                  <c:v>0.5216104553001697</c:v>
                </c:pt>
                <c:pt idx="7">
                  <c:v>0.51681673007680207</c:v>
                </c:pt>
                <c:pt idx="8">
                  <c:v>0.50600720902535734</c:v>
                </c:pt>
                <c:pt idx="9">
                  <c:v>0.50400422291513081</c:v>
                </c:pt>
                <c:pt idx="10">
                  <c:v>0.507055774560628</c:v>
                </c:pt>
                <c:pt idx="11">
                  <c:v>0.51345923261068394</c:v>
                </c:pt>
                <c:pt idx="12">
                  <c:v>0.21000000000000002</c:v>
                </c:pt>
              </c:numCache>
            </c:numRef>
          </c:val>
          <c:smooth val="0"/>
        </c:ser>
        <c:ser>
          <c:idx val="1"/>
          <c:order val="1"/>
          <c:tx>
            <c:strRef>
              <c:f>Sensativities!$I$63</c:f>
              <c:strCache>
                <c:ptCount val="1"/>
                <c:pt idx="0">
                  <c:v>Better</c:v>
                </c:pt>
              </c:strCache>
            </c:strRef>
          </c:tx>
          <c:spPr>
            <a:ln w="34925" cap="rnd">
              <a:solidFill>
                <a:schemeClr val="accent2"/>
              </a:solidFill>
              <a:round/>
            </a:ln>
            <a:effectLst>
              <a:outerShdw blurRad="40000" dist="23000" dir="5400000" rotWithShape="0">
                <a:srgbClr val="000000">
                  <a:alpha val="35000"/>
                </a:srgbClr>
              </a:outerShdw>
            </a:effectLst>
          </c:spPr>
          <c:marker>
            <c:symbol val="none"/>
          </c:marker>
          <c:val>
            <c:numRef>
              <c:f>Sensativities!$I$66:$I$78</c:f>
              <c:numCache>
                <c:formatCode>0.0%</c:formatCode>
                <c:ptCount val="13"/>
                <c:pt idx="0">
                  <c:v>0.75</c:v>
                </c:pt>
                <c:pt idx="1">
                  <c:v>0.60899999999999999</c:v>
                </c:pt>
                <c:pt idx="2">
                  <c:v>0.61916717499677598</c:v>
                </c:pt>
                <c:pt idx="3">
                  <c:v>0.57918968588110009</c:v>
                </c:pt>
                <c:pt idx="4">
                  <c:v>0.53</c:v>
                </c:pt>
                <c:pt idx="5">
                  <c:v>0.53</c:v>
                </c:pt>
                <c:pt idx="6">
                  <c:v>0.5216104553001697</c:v>
                </c:pt>
                <c:pt idx="7">
                  <c:v>0.48</c:v>
                </c:pt>
                <c:pt idx="8">
                  <c:v>0.42</c:v>
                </c:pt>
                <c:pt idx="9">
                  <c:v>0.4</c:v>
                </c:pt>
                <c:pt idx="10">
                  <c:v>0.4</c:v>
                </c:pt>
                <c:pt idx="11">
                  <c:v>0.4</c:v>
                </c:pt>
                <c:pt idx="12">
                  <c:v>0.21000000000000002</c:v>
                </c:pt>
              </c:numCache>
            </c:numRef>
          </c:val>
          <c:smooth val="0"/>
        </c:ser>
        <c:ser>
          <c:idx val="2"/>
          <c:order val="2"/>
          <c:tx>
            <c:strRef>
              <c:f>Sensativities!$J$63</c:f>
              <c:strCache>
                <c:ptCount val="1"/>
                <c:pt idx="0">
                  <c:v>Historical</c:v>
                </c:pt>
              </c:strCache>
            </c:strRef>
          </c:tx>
          <c:spPr>
            <a:ln w="34925" cap="rnd">
              <a:solidFill>
                <a:schemeClr val="accent3"/>
              </a:solidFill>
              <a:round/>
            </a:ln>
            <a:effectLst>
              <a:outerShdw blurRad="40000" dist="23000" dir="5400000" rotWithShape="0">
                <a:srgbClr val="000000">
                  <a:alpha val="35000"/>
                </a:srgbClr>
              </a:outerShdw>
            </a:effectLst>
          </c:spPr>
          <c:marker>
            <c:symbol val="none"/>
          </c:marker>
          <c:val>
            <c:numRef>
              <c:f>Sensativities!$J$66:$J$78</c:f>
              <c:numCache>
                <c:formatCode>0.0%</c:formatCode>
                <c:ptCount val="13"/>
                <c:pt idx="0">
                  <c:v>0.75</c:v>
                </c:pt>
                <c:pt idx="1">
                  <c:v>0.61</c:v>
                </c:pt>
                <c:pt idx="2">
                  <c:v>0.62</c:v>
                </c:pt>
                <c:pt idx="3">
                  <c:v>0.57999999999999996</c:v>
                </c:pt>
                <c:pt idx="4">
                  <c:v>0.56000000000000005</c:v>
                </c:pt>
                <c:pt idx="5">
                  <c:v>0.54</c:v>
                </c:pt>
                <c:pt idx="6">
                  <c:v>0.52</c:v>
                </c:pt>
                <c:pt idx="7">
                  <c:v>0.52</c:v>
                </c:pt>
                <c:pt idx="8">
                  <c:v>0.51</c:v>
                </c:pt>
                <c:pt idx="9">
                  <c:v>0.5</c:v>
                </c:pt>
                <c:pt idx="10">
                  <c:v>0.51</c:v>
                </c:pt>
                <c:pt idx="11">
                  <c:v>0.51</c:v>
                </c:pt>
                <c:pt idx="12">
                  <c:v>0.21</c:v>
                </c:pt>
              </c:numCache>
            </c:numRef>
          </c:val>
          <c:smooth val="0"/>
        </c:ser>
        <c:ser>
          <c:idx val="3"/>
          <c:order val="3"/>
          <c:tx>
            <c:strRef>
              <c:f>Sensativities!$K$63</c:f>
              <c:strCache>
                <c:ptCount val="1"/>
                <c:pt idx="0">
                  <c:v>Base</c:v>
                </c:pt>
              </c:strCache>
            </c:strRef>
          </c:tx>
          <c:spPr>
            <a:ln w="34925" cap="rnd">
              <a:solidFill>
                <a:schemeClr val="accent4"/>
              </a:solidFill>
              <a:round/>
            </a:ln>
            <a:effectLst>
              <a:outerShdw blurRad="40000" dist="23000" dir="5400000" rotWithShape="0">
                <a:srgbClr val="000000">
                  <a:alpha val="35000"/>
                </a:srgbClr>
              </a:outerShdw>
            </a:effectLst>
          </c:spPr>
          <c:marker>
            <c:symbol val="none"/>
          </c:marker>
          <c:val>
            <c:numRef>
              <c:f>Sensativities!$K$66:$K$78</c:f>
              <c:numCache>
                <c:formatCode>0.0%</c:formatCode>
                <c:ptCount val="13"/>
                <c:pt idx="0">
                  <c:v>0.69012174250480707</c:v>
                </c:pt>
                <c:pt idx="1">
                  <c:v>0.53872550914144657</c:v>
                </c:pt>
                <c:pt idx="2">
                  <c:v>0.56287924999706906</c:v>
                </c:pt>
                <c:pt idx="3">
                  <c:v>0.52653607807372727</c:v>
                </c:pt>
                <c:pt idx="4">
                  <c:v>0.50920110270387942</c:v>
                </c:pt>
                <c:pt idx="5">
                  <c:v>0.4939274292782031</c:v>
                </c:pt>
                <c:pt idx="6">
                  <c:v>0.47419132300015426</c:v>
                </c:pt>
                <c:pt idx="7">
                  <c:v>0.46983339097891097</c:v>
                </c:pt>
                <c:pt idx="8">
                  <c:v>0.46000655365941573</c:v>
                </c:pt>
                <c:pt idx="9">
                  <c:v>0.45818565719557341</c:v>
                </c:pt>
                <c:pt idx="10">
                  <c:v>0.46095979505511636</c:v>
                </c:pt>
                <c:pt idx="11">
                  <c:v>0.46678112055516718</c:v>
                </c:pt>
                <c:pt idx="12">
                  <c:v>0.2</c:v>
                </c:pt>
              </c:numCache>
            </c:numRef>
          </c:val>
          <c:smooth val="0"/>
        </c:ser>
        <c:ser>
          <c:idx val="4"/>
          <c:order val="4"/>
          <c:tx>
            <c:strRef>
              <c:f>Sensativities!$L$63</c:f>
              <c:strCache>
                <c:ptCount val="1"/>
                <c:pt idx="0">
                  <c:v>Worst</c:v>
                </c:pt>
              </c:strCache>
            </c:strRef>
          </c:tx>
          <c:spPr>
            <a:ln w="34925" cap="rnd">
              <a:solidFill>
                <a:schemeClr val="accent5"/>
              </a:solidFill>
              <a:round/>
            </a:ln>
            <a:effectLst>
              <a:outerShdw blurRad="40000" dist="23000" dir="5400000" rotWithShape="0">
                <a:srgbClr val="000000">
                  <a:alpha val="35000"/>
                </a:srgbClr>
              </a:outerShdw>
            </a:effectLst>
          </c:spPr>
          <c:marker>
            <c:symbol val="none"/>
          </c:marker>
          <c:val>
            <c:numRef>
              <c:f>Sensativities!$L$66:$L$78</c:f>
              <c:numCache>
                <c:formatCode>0.0%</c:formatCode>
                <c:ptCount val="13"/>
                <c:pt idx="0">
                  <c:v>0.75</c:v>
                </c:pt>
                <c:pt idx="1">
                  <c:v>0.60899999999999999</c:v>
                </c:pt>
                <c:pt idx="2">
                  <c:v>0.61916717499677598</c:v>
                </c:pt>
                <c:pt idx="3">
                  <c:v>0.57918968588110009</c:v>
                </c:pt>
                <c:pt idx="4">
                  <c:v>0.56012121297426742</c:v>
                </c:pt>
                <c:pt idx="5">
                  <c:v>0.54332017220602347</c:v>
                </c:pt>
                <c:pt idx="6">
                  <c:v>0.5216104553001697</c:v>
                </c:pt>
                <c:pt idx="7">
                  <c:v>0.51681673007680207</c:v>
                </c:pt>
                <c:pt idx="8">
                  <c:v>0.50600720902535734</c:v>
                </c:pt>
                <c:pt idx="9">
                  <c:v>0.50400422291513081</c:v>
                </c:pt>
                <c:pt idx="10">
                  <c:v>0.507055774560628</c:v>
                </c:pt>
                <c:pt idx="11">
                  <c:v>0.51345923261068394</c:v>
                </c:pt>
                <c:pt idx="12">
                  <c:v>0.21000000000000002</c:v>
                </c:pt>
              </c:numCache>
            </c:numRef>
          </c:val>
          <c:smooth val="0"/>
        </c:ser>
        <c:dLbls>
          <c:showLegendKey val="0"/>
          <c:showVal val="0"/>
          <c:showCatName val="0"/>
          <c:showSerName val="0"/>
          <c:showPercent val="0"/>
          <c:showBubbleSize val="0"/>
        </c:dLbls>
        <c:smooth val="0"/>
        <c:axId val="455414280"/>
        <c:axId val="455412320"/>
      </c:lineChart>
      <c:catAx>
        <c:axId val="455414280"/>
        <c:scaling>
          <c:orientation val="minMax"/>
        </c:scaling>
        <c:delete val="0"/>
        <c:axPos val="b"/>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5412320"/>
        <c:crosses val="autoZero"/>
        <c:auto val="1"/>
        <c:lblAlgn val="ctr"/>
        <c:lblOffset val="100"/>
        <c:noMultiLvlLbl val="0"/>
      </c:catAx>
      <c:valAx>
        <c:axId val="455412320"/>
        <c:scaling>
          <c:orientation val="minMax"/>
        </c:scaling>
        <c:delete val="0"/>
        <c:axPos val="l"/>
        <c:majorGridlines>
          <c:spPr>
            <a:ln w="9525" cap="flat" cmpd="sng" algn="ctr">
              <a:solidFill>
                <a:schemeClr val="lt1">
                  <a:lumMod val="95000"/>
                  <a:alpha val="10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5414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Sensitivities - Cohort MOU by Month Active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Sensativities!$H$63</c:f>
              <c:strCache>
                <c:ptCount val="1"/>
                <c:pt idx="0">
                  <c:v>Best</c:v>
                </c:pt>
              </c:strCache>
            </c:strRef>
          </c:tx>
          <c:spPr>
            <a:ln w="34925" cap="rnd">
              <a:solidFill>
                <a:schemeClr val="accent1"/>
              </a:solidFill>
              <a:round/>
            </a:ln>
            <a:effectLst>
              <a:outerShdw blurRad="40000" dist="23000" dir="5400000" rotWithShape="0">
                <a:srgbClr val="000000">
                  <a:alpha val="35000"/>
                </a:srgbClr>
              </a:outerShdw>
            </a:effectLst>
          </c:spPr>
          <c:marker>
            <c:symbol val="none"/>
          </c:marker>
          <c:val>
            <c:numRef>
              <c:f>Sensativities!$H$79:$H$91</c:f>
              <c:numCache>
                <c:formatCode>_(* #,##0_);_(* \(#,##0\);_(* "-"??_);_(@_)</c:formatCode>
                <c:ptCount val="13"/>
                <c:pt idx="0">
                  <c:v>1726.7959510336109</c:v>
                </c:pt>
                <c:pt idx="1">
                  <c:v>2807.7575612619453</c:v>
                </c:pt>
                <c:pt idx="2">
                  <c:v>2443.9672371574243</c:v>
                </c:pt>
                <c:pt idx="3">
                  <c:v>2399.6767412693034</c:v>
                </c:pt>
                <c:pt idx="4">
                  <c:v>2670.2066381906216</c:v>
                </c:pt>
                <c:pt idx="5">
                  <c:v>3008.6055180734152</c:v>
                </c:pt>
                <c:pt idx="6">
                  <c:v>2656.1579895951127</c:v>
                </c:pt>
                <c:pt idx="7">
                  <c:v>2080.5135907934396</c:v>
                </c:pt>
                <c:pt idx="8">
                  <c:v>1884.5411935682564</c:v>
                </c:pt>
                <c:pt idx="9">
                  <c:v>1881.5791352641322</c:v>
                </c:pt>
                <c:pt idx="10">
                  <c:v>1962.0397540595427</c:v>
                </c:pt>
                <c:pt idx="11">
                  <c:v>2152.6678376892874</c:v>
                </c:pt>
                <c:pt idx="12">
                  <c:v>3000</c:v>
                </c:pt>
              </c:numCache>
            </c:numRef>
          </c:val>
          <c:smooth val="0"/>
        </c:ser>
        <c:ser>
          <c:idx val="1"/>
          <c:order val="1"/>
          <c:tx>
            <c:strRef>
              <c:f>Sensativities!$I$63</c:f>
              <c:strCache>
                <c:ptCount val="1"/>
                <c:pt idx="0">
                  <c:v>Better</c:v>
                </c:pt>
              </c:strCache>
            </c:strRef>
          </c:tx>
          <c:spPr>
            <a:ln w="34925" cap="rnd">
              <a:solidFill>
                <a:schemeClr val="accent2"/>
              </a:solidFill>
              <a:round/>
            </a:ln>
            <a:effectLst>
              <a:outerShdw blurRad="40000" dist="23000" dir="5400000" rotWithShape="0">
                <a:srgbClr val="000000">
                  <a:alpha val="35000"/>
                </a:srgbClr>
              </a:outerShdw>
            </a:effectLst>
          </c:spPr>
          <c:marker>
            <c:symbol val="none"/>
          </c:marker>
          <c:val>
            <c:numRef>
              <c:f>Sensativities!$I$79:$I$91</c:f>
              <c:numCache>
                <c:formatCode>_(* #,##0_);_(* \(#,##0\);_(* "-"??_);_(@_)</c:formatCode>
                <c:ptCount val="13"/>
                <c:pt idx="0">
                  <c:v>1438.9966258613424</c:v>
                </c:pt>
                <c:pt idx="1">
                  <c:v>2339.797967718288</c:v>
                </c:pt>
                <c:pt idx="2">
                  <c:v>2036.6393642978535</c:v>
                </c:pt>
                <c:pt idx="3">
                  <c:v>1999.7306177244195</c:v>
                </c:pt>
                <c:pt idx="4">
                  <c:v>2225.1721984921846</c:v>
                </c:pt>
                <c:pt idx="5">
                  <c:v>2507.1712650611794</c:v>
                </c:pt>
                <c:pt idx="6">
                  <c:v>2213.4649913292606</c:v>
                </c:pt>
                <c:pt idx="7">
                  <c:v>1733.7613256611996</c:v>
                </c:pt>
                <c:pt idx="8">
                  <c:v>1570.4509946402138</c:v>
                </c:pt>
                <c:pt idx="9">
                  <c:v>1567.9826127201102</c:v>
                </c:pt>
                <c:pt idx="10">
                  <c:v>1635.0331283829523</c:v>
                </c:pt>
                <c:pt idx="11">
                  <c:v>1793.8898647410729</c:v>
                </c:pt>
                <c:pt idx="12">
                  <c:v>3000</c:v>
                </c:pt>
              </c:numCache>
            </c:numRef>
          </c:val>
          <c:smooth val="0"/>
        </c:ser>
        <c:ser>
          <c:idx val="2"/>
          <c:order val="2"/>
          <c:tx>
            <c:strRef>
              <c:f>Sensativities!$J$63</c:f>
              <c:strCache>
                <c:ptCount val="1"/>
                <c:pt idx="0">
                  <c:v>Historical</c:v>
                </c:pt>
              </c:strCache>
            </c:strRef>
          </c:tx>
          <c:spPr>
            <a:ln w="34925" cap="rnd">
              <a:solidFill>
                <a:schemeClr val="accent3"/>
              </a:solidFill>
              <a:round/>
            </a:ln>
            <a:effectLst>
              <a:outerShdw blurRad="40000" dist="23000" dir="5400000" rotWithShape="0">
                <a:srgbClr val="000000">
                  <a:alpha val="35000"/>
                </a:srgbClr>
              </a:outerShdw>
            </a:effectLst>
          </c:spPr>
          <c:marker>
            <c:symbol val="none"/>
          </c:marker>
          <c:val>
            <c:numRef>
              <c:f>Sensativities!$J$79:$J$91</c:f>
              <c:numCache>
                <c:formatCode>_(* #,##0_);_(* \(#,##0\);_(* "-"??_);_(@_)</c:formatCode>
                <c:ptCount val="13"/>
                <c:pt idx="0">
                  <c:v>700</c:v>
                </c:pt>
                <c:pt idx="1">
                  <c:v>1450</c:v>
                </c:pt>
                <c:pt idx="2">
                  <c:v>1310</c:v>
                </c:pt>
                <c:pt idx="3">
                  <c:v>1700</c:v>
                </c:pt>
                <c:pt idx="4">
                  <c:v>1854.310165410154</c:v>
                </c:pt>
                <c:pt idx="5">
                  <c:v>2089.309387550983</c:v>
                </c:pt>
                <c:pt idx="6">
                  <c:v>1844.5541594410504</c:v>
                </c:pt>
                <c:pt idx="7">
                  <c:v>1444.8011047176665</c:v>
                </c:pt>
                <c:pt idx="8">
                  <c:v>1308.7091622001783</c:v>
                </c:pt>
                <c:pt idx="9">
                  <c:v>1306.6521772667586</c:v>
                </c:pt>
                <c:pt idx="10">
                  <c:v>1362.5276069857937</c:v>
                </c:pt>
                <c:pt idx="11">
                  <c:v>1494.9082206175608</c:v>
                </c:pt>
                <c:pt idx="12">
                  <c:v>3000</c:v>
                </c:pt>
              </c:numCache>
            </c:numRef>
          </c:val>
          <c:smooth val="0"/>
        </c:ser>
        <c:ser>
          <c:idx val="3"/>
          <c:order val="3"/>
          <c:tx>
            <c:strRef>
              <c:f>Sensativities!$K$63</c:f>
              <c:strCache>
                <c:ptCount val="1"/>
                <c:pt idx="0">
                  <c:v>Base</c:v>
                </c:pt>
              </c:strCache>
            </c:strRef>
          </c:tx>
          <c:spPr>
            <a:ln w="34925" cap="rnd">
              <a:solidFill>
                <a:schemeClr val="accent4"/>
              </a:solidFill>
              <a:round/>
            </a:ln>
            <a:effectLst>
              <a:outerShdw blurRad="40000" dist="23000" dir="5400000" rotWithShape="0">
                <a:srgbClr val="000000">
                  <a:alpha val="35000"/>
                </a:srgbClr>
              </a:outerShdw>
            </a:effectLst>
          </c:spPr>
          <c:marker>
            <c:symbol val="none"/>
          </c:marker>
          <c:val>
            <c:numRef>
              <c:f>Sensativities!$K$79:$K$91</c:f>
              <c:numCache>
                <c:formatCode>_(* #,##0_);_(* \(#,##0\);_(* "-"??_);_(@_)</c:formatCode>
                <c:ptCount val="13"/>
                <c:pt idx="0">
                  <c:v>1199.1638548844521</c:v>
                </c:pt>
                <c:pt idx="1">
                  <c:v>1949.8316397652402</c:v>
                </c:pt>
                <c:pt idx="2">
                  <c:v>1697.1994702482114</c:v>
                </c:pt>
                <c:pt idx="3">
                  <c:v>1666.4421814370164</c:v>
                </c:pt>
                <c:pt idx="4">
                  <c:v>1854.310165410154</c:v>
                </c:pt>
                <c:pt idx="5">
                  <c:v>2089.309387550983</c:v>
                </c:pt>
                <c:pt idx="6">
                  <c:v>1844.5541594410504</c:v>
                </c:pt>
                <c:pt idx="7">
                  <c:v>1444.8011047176665</c:v>
                </c:pt>
                <c:pt idx="8">
                  <c:v>1308.7091622001783</c:v>
                </c:pt>
                <c:pt idx="9">
                  <c:v>1306.6521772667586</c:v>
                </c:pt>
                <c:pt idx="10">
                  <c:v>1362.5276069857937</c:v>
                </c:pt>
                <c:pt idx="11">
                  <c:v>1494.9082206175608</c:v>
                </c:pt>
                <c:pt idx="12">
                  <c:v>3000</c:v>
                </c:pt>
              </c:numCache>
            </c:numRef>
          </c:val>
          <c:smooth val="0"/>
        </c:ser>
        <c:ser>
          <c:idx val="4"/>
          <c:order val="4"/>
          <c:tx>
            <c:strRef>
              <c:f>Sensativities!$L$63</c:f>
              <c:strCache>
                <c:ptCount val="1"/>
                <c:pt idx="0">
                  <c:v>Worst</c:v>
                </c:pt>
              </c:strCache>
            </c:strRef>
          </c:tx>
          <c:spPr>
            <a:ln w="34925" cap="rnd">
              <a:solidFill>
                <a:schemeClr val="accent5"/>
              </a:solidFill>
              <a:round/>
            </a:ln>
            <a:effectLst>
              <a:outerShdw blurRad="40000" dist="23000" dir="5400000" rotWithShape="0">
                <a:srgbClr val="000000">
                  <a:alpha val="35000"/>
                </a:srgbClr>
              </a:outerShdw>
            </a:effectLst>
          </c:spPr>
          <c:marker>
            <c:symbol val="none"/>
          </c:marker>
          <c:val>
            <c:numRef>
              <c:f>Sensativities!$L$79:$L$91</c:f>
              <c:numCache>
                <c:formatCode>_(* #,##0_);_(* \(#,##0\);_(* "-"??_);_(@_)</c:formatCode>
                <c:ptCount val="13"/>
                <c:pt idx="0">
                  <c:v>650</c:v>
                </c:pt>
                <c:pt idx="1">
                  <c:v>1800</c:v>
                </c:pt>
                <c:pt idx="2">
                  <c:v>1280.622338719555</c:v>
                </c:pt>
                <c:pt idx="3">
                  <c:v>1461.8924587655522</c:v>
                </c:pt>
                <c:pt idx="4">
                  <c:v>1611.6830659707014</c:v>
                </c:pt>
                <c:pt idx="5">
                  <c:v>1794.6891499808048</c:v>
                </c:pt>
                <c:pt idx="6">
                  <c:v>1627.030641632444</c:v>
                </c:pt>
                <c:pt idx="7">
                  <c:v>1191.5500590197091</c:v>
                </c:pt>
                <c:pt idx="8">
                  <c:v>1231.5615191930046</c:v>
                </c:pt>
                <c:pt idx="9">
                  <c:v>1170.4336222584232</c:v>
                </c:pt>
                <c:pt idx="10">
                  <c:v>1224.1808169507099</c:v>
                </c:pt>
                <c:pt idx="11">
                  <c:v>1363.1400925340747</c:v>
                </c:pt>
                <c:pt idx="12">
                  <c:v>2250</c:v>
                </c:pt>
              </c:numCache>
            </c:numRef>
          </c:val>
          <c:smooth val="0"/>
        </c:ser>
        <c:dLbls>
          <c:showLegendKey val="0"/>
          <c:showVal val="0"/>
          <c:showCatName val="0"/>
          <c:showSerName val="0"/>
          <c:showPercent val="0"/>
          <c:showBubbleSize val="0"/>
        </c:dLbls>
        <c:smooth val="0"/>
        <c:axId val="455409968"/>
        <c:axId val="455411928"/>
      </c:lineChart>
      <c:catAx>
        <c:axId val="455409968"/>
        <c:scaling>
          <c:orientation val="minMax"/>
        </c:scaling>
        <c:delete val="0"/>
        <c:axPos val="b"/>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5411928"/>
        <c:crosses val="autoZero"/>
        <c:auto val="1"/>
        <c:lblAlgn val="ctr"/>
        <c:lblOffset val="100"/>
        <c:noMultiLvlLbl val="0"/>
      </c:catAx>
      <c:valAx>
        <c:axId val="455411928"/>
        <c:scaling>
          <c:orientation val="minMax"/>
        </c:scaling>
        <c:delete val="0"/>
        <c:axPos val="l"/>
        <c:majorGridlines>
          <c:spPr>
            <a:ln w="9525" cap="flat" cmpd="sng" algn="ctr">
              <a:solidFill>
                <a:schemeClr val="lt1">
                  <a:lumMod val="95000"/>
                  <a:alpha val="1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54099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Cash Flow</a:t>
            </a:r>
          </a:p>
        </c:rich>
      </c:tx>
      <c:overlay val="0"/>
    </c:title>
    <c:autoTitleDeleted val="0"/>
    <c:plotArea>
      <c:layout/>
      <c:lineChart>
        <c:grouping val="standard"/>
        <c:varyColors val="0"/>
        <c:ser>
          <c:idx val="0"/>
          <c:order val="0"/>
          <c:tx>
            <c:strRef>
              <c:f>'CF - Monthly'!$A$19</c:f>
              <c:strCache>
                <c:ptCount val="1"/>
                <c:pt idx="0">
                  <c:v>Net Cash Flow Operating</c:v>
                </c:pt>
              </c:strCache>
            </c:strRef>
          </c:tx>
          <c:spPr>
            <a:ln w="38100"/>
          </c:spPr>
          <c:marker>
            <c:symbol val="none"/>
          </c:marker>
          <c:cat>
            <c:numRef>
              <c:f>'CF - Monthly'!$E$7:$AN$7</c:f>
              <c:numCache>
                <c:formatCode>[$-409]mmm\-yy;@</c:formatCode>
                <c:ptCount val="14"/>
                <c:pt idx="0">
                  <c:v>41272</c:v>
                </c:pt>
                <c:pt idx="1">
                  <c:v>41612</c:v>
                </c:pt>
                <c:pt idx="2">
                  <c:v>41642</c:v>
                </c:pt>
                <c:pt idx="3">
                  <c:v>41675</c:v>
                </c:pt>
                <c:pt idx="4">
                  <c:v>41708</c:v>
                </c:pt>
                <c:pt idx="5">
                  <c:v>41741</c:v>
                </c:pt>
                <c:pt idx="6">
                  <c:v>41774</c:v>
                </c:pt>
                <c:pt idx="7">
                  <c:v>41807</c:v>
                </c:pt>
                <c:pt idx="8">
                  <c:v>41840</c:v>
                </c:pt>
                <c:pt idx="9">
                  <c:v>41873</c:v>
                </c:pt>
                <c:pt idx="10">
                  <c:v>41906</c:v>
                </c:pt>
                <c:pt idx="11">
                  <c:v>41939</c:v>
                </c:pt>
                <c:pt idx="12">
                  <c:v>41972</c:v>
                </c:pt>
                <c:pt idx="13">
                  <c:v>41982</c:v>
                </c:pt>
              </c:numCache>
            </c:numRef>
          </c:cat>
          <c:val>
            <c:numRef>
              <c:f>'CF - Monthly'!$E$19:$AN$19</c:f>
              <c:numCache>
                <c:formatCode>_(* #,##0_);_(* \(#,##0\);_(* "0"_);_(@_)</c:formatCode>
                <c:ptCount val="14"/>
                <c:pt idx="0">
                  <c:v>-1936252.1181943291</c:v>
                </c:pt>
                <c:pt idx="1">
                  <c:v>-452052.5599999993</c:v>
                </c:pt>
                <c:pt idx="2">
                  <c:v>651671.9979902138</c:v>
                </c:pt>
                <c:pt idx="3">
                  <c:v>115277.69745888139</c:v>
                </c:pt>
                <c:pt idx="4">
                  <c:v>-136858.08441408924</c:v>
                </c:pt>
                <c:pt idx="5">
                  <c:v>-249772.71548225399</c:v>
                </c:pt>
                <c:pt idx="6">
                  <c:v>-70264.688670052565</c:v>
                </c:pt>
                <c:pt idx="7">
                  <c:v>53640.581086194579</c:v>
                </c:pt>
                <c:pt idx="8">
                  <c:v>-79937.205275017099</c:v>
                </c:pt>
                <c:pt idx="9">
                  <c:v>215301.6838078571</c:v>
                </c:pt>
                <c:pt idx="10">
                  <c:v>564043.46166330785</c:v>
                </c:pt>
                <c:pt idx="11">
                  <c:v>544219.72808229516</c:v>
                </c:pt>
                <c:pt idx="12">
                  <c:v>546512.61632225616</c:v>
                </c:pt>
                <c:pt idx="13">
                  <c:v>-665739.36599158368</c:v>
                </c:pt>
              </c:numCache>
            </c:numRef>
          </c:val>
          <c:smooth val="0"/>
        </c:ser>
        <c:ser>
          <c:idx val="1"/>
          <c:order val="1"/>
          <c:tx>
            <c:strRef>
              <c:f>'CF - Monthly'!$A$41</c:f>
              <c:strCache>
                <c:ptCount val="1"/>
                <c:pt idx="0">
                  <c:v>Cash at end of period</c:v>
                </c:pt>
              </c:strCache>
            </c:strRef>
          </c:tx>
          <c:marker>
            <c:symbol val="none"/>
          </c:marker>
          <c:cat>
            <c:numRef>
              <c:f>'CF - Monthly'!$E$7:$AN$7</c:f>
              <c:numCache>
                <c:formatCode>[$-409]mmm\-yy;@</c:formatCode>
                <c:ptCount val="14"/>
                <c:pt idx="0">
                  <c:v>41272</c:v>
                </c:pt>
                <c:pt idx="1">
                  <c:v>41612</c:v>
                </c:pt>
                <c:pt idx="2">
                  <c:v>41642</c:v>
                </c:pt>
                <c:pt idx="3">
                  <c:v>41675</c:v>
                </c:pt>
                <c:pt idx="4">
                  <c:v>41708</c:v>
                </c:pt>
                <c:pt idx="5">
                  <c:v>41741</c:v>
                </c:pt>
                <c:pt idx="6">
                  <c:v>41774</c:v>
                </c:pt>
                <c:pt idx="7">
                  <c:v>41807</c:v>
                </c:pt>
                <c:pt idx="8">
                  <c:v>41840</c:v>
                </c:pt>
                <c:pt idx="9">
                  <c:v>41873</c:v>
                </c:pt>
                <c:pt idx="10">
                  <c:v>41906</c:v>
                </c:pt>
                <c:pt idx="11">
                  <c:v>41939</c:v>
                </c:pt>
                <c:pt idx="12">
                  <c:v>41972</c:v>
                </c:pt>
                <c:pt idx="13">
                  <c:v>41982</c:v>
                </c:pt>
              </c:numCache>
            </c:numRef>
          </c:cat>
          <c:val>
            <c:numRef>
              <c:f>'CF - Monthly'!$E$41:$AN$41</c:f>
              <c:numCache>
                <c:formatCode>_("$"* #,##0_);_("$"* \(#,##0\);_("$"* "0"_);_(@_)</c:formatCode>
                <c:ptCount val="14"/>
                <c:pt idx="0">
                  <c:v>5762943.2818056708</c:v>
                </c:pt>
                <c:pt idx="1">
                  <c:v>3758280.24</c:v>
                </c:pt>
                <c:pt idx="2">
                  <c:v>4254594.9685709784</c:v>
                </c:pt>
                <c:pt idx="3">
                  <c:v>4369872.6660298593</c:v>
                </c:pt>
                <c:pt idx="4">
                  <c:v>4233014.5816157702</c:v>
                </c:pt>
                <c:pt idx="5">
                  <c:v>3983241.8661335162</c:v>
                </c:pt>
                <c:pt idx="6">
                  <c:v>3912977.1774634635</c:v>
                </c:pt>
                <c:pt idx="7">
                  <c:v>3966617.7585496581</c:v>
                </c:pt>
                <c:pt idx="8">
                  <c:v>3886680.5532746408</c:v>
                </c:pt>
                <c:pt idx="9">
                  <c:v>4101982.2370824981</c:v>
                </c:pt>
                <c:pt idx="10">
                  <c:v>4666025.6987458058</c:v>
                </c:pt>
                <c:pt idx="11">
                  <c:v>5210245.4268281013</c:v>
                </c:pt>
                <c:pt idx="12">
                  <c:v>5756758.0431503579</c:v>
                </c:pt>
                <c:pt idx="13">
                  <c:v>5091018.6771587739</c:v>
                </c:pt>
              </c:numCache>
            </c:numRef>
          </c:val>
          <c:smooth val="0"/>
        </c:ser>
        <c:dLbls>
          <c:showLegendKey val="0"/>
          <c:showVal val="0"/>
          <c:showCatName val="0"/>
          <c:showSerName val="0"/>
          <c:showPercent val="0"/>
          <c:showBubbleSize val="0"/>
        </c:dLbls>
        <c:smooth val="0"/>
        <c:axId val="455411536"/>
        <c:axId val="455414672"/>
      </c:lineChart>
      <c:dateAx>
        <c:axId val="455411536"/>
        <c:scaling>
          <c:orientation val="minMax"/>
        </c:scaling>
        <c:delete val="0"/>
        <c:axPos val="b"/>
        <c:numFmt formatCode="[$-409]mmm\-yy;@" sourceLinked="1"/>
        <c:majorTickMark val="none"/>
        <c:minorTickMark val="none"/>
        <c:tickLblPos val="high"/>
        <c:crossAx val="455414672"/>
        <c:crosses val="autoZero"/>
        <c:auto val="1"/>
        <c:lblOffset val="100"/>
        <c:baseTimeUnit val="months"/>
      </c:dateAx>
      <c:valAx>
        <c:axId val="455414672"/>
        <c:scaling>
          <c:orientation val="minMax"/>
        </c:scaling>
        <c:delete val="0"/>
        <c:axPos val="l"/>
        <c:majorGridlines/>
        <c:numFmt formatCode="_(* #,##0_);_(* \(#,##0\);_(* &quot;0&quot;_);_(@_)" sourceLinked="1"/>
        <c:majorTickMark val="none"/>
        <c:minorTickMark val="none"/>
        <c:tickLblPos val="nextTo"/>
        <c:spPr>
          <a:ln>
            <a:solidFill>
              <a:schemeClr val="accent1"/>
            </a:solidFill>
          </a:ln>
        </c:spPr>
        <c:crossAx val="455411536"/>
        <c:crosses val="autoZero"/>
        <c:crossBetween val="between"/>
      </c:valAx>
    </c:plotArea>
    <c:legend>
      <c:legendPos val="r"/>
      <c:overlay val="0"/>
    </c:legend>
    <c:plotVisOnly val="1"/>
    <c:dispBlanksAs val="gap"/>
    <c:showDLblsOverMax val="0"/>
  </c:chart>
  <c:printSettings>
    <c:headerFooter/>
    <c:pageMargins b="0.75000000000000711" l="0.70000000000000062" r="0.70000000000000062" t="0.75000000000000711"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Principal</a:t>
            </a:r>
            <a:r>
              <a:rPr lang="en-US" baseline="0"/>
              <a:t> vs. Interest</a:t>
            </a:r>
            <a:endParaRPr lang="en-US"/>
          </a:p>
        </c:rich>
      </c:tx>
      <c:overlay val="0"/>
    </c:title>
    <c:autoTitleDeleted val="0"/>
    <c:plotArea>
      <c:layout/>
      <c:lineChart>
        <c:grouping val="standard"/>
        <c:varyColors val="0"/>
        <c:ser>
          <c:idx val="0"/>
          <c:order val="0"/>
          <c:tx>
            <c:strRef>
              <c:f>Debt!$J$2</c:f>
              <c:strCache>
                <c:ptCount val="1"/>
                <c:pt idx="0">
                  <c:v>Principal</c:v>
                </c:pt>
              </c:strCache>
            </c:strRef>
          </c:tx>
          <c:marker>
            <c:symbol val="none"/>
          </c:marker>
          <c:val>
            <c:numRef>
              <c:f>Debt!$J$3:$J$50</c:f>
              <c:numCache>
                <c:formatCode>_("$"* #,##0.00_);_("$"* \(#,##0.00\);_("$"* "-"??_);_(@_)</c:formatCode>
                <c:ptCount val="4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241613.5171159376</c:v>
                </c:pt>
                <c:pt idx="25">
                  <c:v>243828.30768950033</c:v>
                </c:pt>
                <c:pt idx="26">
                  <c:v>246063.40050998743</c:v>
                </c:pt>
                <c:pt idx="27">
                  <c:v>248318.98168132897</c:v>
                </c:pt>
                <c:pt idx="28">
                  <c:v>250595.23901340785</c:v>
                </c:pt>
                <c:pt idx="29">
                  <c:v>252892.3620376974</c:v>
                </c:pt>
                <c:pt idx="30">
                  <c:v>255210.54202304297</c:v>
                </c:pt>
                <c:pt idx="31">
                  <c:v>257549.97199158752</c:v>
                </c:pt>
                <c:pt idx="32">
                  <c:v>259910.84673484374</c:v>
                </c:pt>
                <c:pt idx="33">
                  <c:v>262293.36282991315</c:v>
                </c:pt>
                <c:pt idx="34">
                  <c:v>264697.718655854</c:v>
                </c:pt>
                <c:pt idx="35">
                  <c:v>267124.11441019934</c:v>
                </c:pt>
                <c:pt idx="36">
                  <c:v>269572.75212562614</c:v>
                </c:pt>
                <c:pt idx="37">
                  <c:v>272043.83568677772</c:v>
                </c:pt>
                <c:pt idx="38">
                  <c:v>274537.57084723987</c:v>
                </c:pt>
                <c:pt idx="39">
                  <c:v>277054.16524667293</c:v>
                </c:pt>
                <c:pt idx="40">
                  <c:v>279593.82842810074</c:v>
                </c:pt>
                <c:pt idx="41">
                  <c:v>282156.77185535833</c:v>
                </c:pt>
                <c:pt idx="42">
                  <c:v>284743.2089306991</c:v>
                </c:pt>
                <c:pt idx="43">
                  <c:v>287353.35501256387</c:v>
                </c:pt>
                <c:pt idx="44">
                  <c:v>289987.42743351235</c:v>
                </c:pt>
                <c:pt idx="45">
                  <c:v>292645.64551831956</c:v>
                </c:pt>
                <c:pt idx="46">
                  <c:v>295328.23060223745</c:v>
                </c:pt>
                <c:pt idx="47">
                  <c:v>298035.40604942467</c:v>
                </c:pt>
              </c:numCache>
            </c:numRef>
          </c:val>
          <c:smooth val="0"/>
        </c:ser>
        <c:ser>
          <c:idx val="1"/>
          <c:order val="1"/>
          <c:tx>
            <c:strRef>
              <c:f>Debt!$K$2</c:f>
              <c:strCache>
                <c:ptCount val="1"/>
                <c:pt idx="0">
                  <c:v>Interest</c:v>
                </c:pt>
              </c:strCache>
            </c:strRef>
          </c:tx>
          <c:marker>
            <c:symbol val="none"/>
          </c:marker>
          <c:val>
            <c:numRef>
              <c:f>Debt!$K$3:$K$50</c:f>
              <c:numCache>
                <c:formatCode>_("$"* #,##0.00_);_("$"* \(#,##0.00\);_("$"* "-"??_);_(@_)</c:formatCode>
                <c:ptCount val="48"/>
                <c:pt idx="0">
                  <c:v>93958.333333333328</c:v>
                </c:pt>
                <c:pt idx="1">
                  <c:v>93958.333333333328</c:v>
                </c:pt>
                <c:pt idx="2">
                  <c:v>93958.333333333328</c:v>
                </c:pt>
                <c:pt idx="3">
                  <c:v>93958.333333333328</c:v>
                </c:pt>
                <c:pt idx="4">
                  <c:v>93958.333333333328</c:v>
                </c:pt>
                <c:pt idx="5">
                  <c:v>93958.333333333328</c:v>
                </c:pt>
                <c:pt idx="6">
                  <c:v>93958.333333333328</c:v>
                </c:pt>
                <c:pt idx="7">
                  <c:v>93958.333333333328</c:v>
                </c:pt>
                <c:pt idx="8">
                  <c:v>93958.333333333328</c:v>
                </c:pt>
                <c:pt idx="9">
                  <c:v>93958.333333333328</c:v>
                </c:pt>
                <c:pt idx="10">
                  <c:v>93958.333333333328</c:v>
                </c:pt>
                <c:pt idx="11">
                  <c:v>93958.333333333328</c:v>
                </c:pt>
                <c:pt idx="12">
                  <c:v>93958.333333333328</c:v>
                </c:pt>
                <c:pt idx="13">
                  <c:v>93958.333333333328</c:v>
                </c:pt>
                <c:pt idx="14">
                  <c:v>93958.333333333328</c:v>
                </c:pt>
                <c:pt idx="15">
                  <c:v>93958.333333333328</c:v>
                </c:pt>
                <c:pt idx="16">
                  <c:v>93958.333333333328</c:v>
                </c:pt>
                <c:pt idx="17">
                  <c:v>93958.333333333328</c:v>
                </c:pt>
                <c:pt idx="18">
                  <c:v>93958.333333333328</c:v>
                </c:pt>
                <c:pt idx="19">
                  <c:v>93958.333333333328</c:v>
                </c:pt>
                <c:pt idx="20">
                  <c:v>93958.333333333328</c:v>
                </c:pt>
                <c:pt idx="21">
                  <c:v>93958.333333333328</c:v>
                </c:pt>
                <c:pt idx="22">
                  <c:v>93958.333333333328</c:v>
                </c:pt>
                <c:pt idx="23">
                  <c:v>93958.333333333328</c:v>
                </c:pt>
                <c:pt idx="24">
                  <c:v>93958.333333333328</c:v>
                </c:pt>
                <c:pt idx="25">
                  <c:v>91743.542759770571</c:v>
                </c:pt>
                <c:pt idx="26">
                  <c:v>89508.449939283484</c:v>
                </c:pt>
                <c:pt idx="27">
                  <c:v>87252.868767941938</c:v>
                </c:pt>
                <c:pt idx="28">
                  <c:v>84976.611435863088</c:v>
                </c:pt>
                <c:pt idx="29">
                  <c:v>82679.488411573519</c:v>
                </c:pt>
                <c:pt idx="30">
                  <c:v>80361.308426227959</c:v>
                </c:pt>
                <c:pt idx="31">
                  <c:v>78021.8784576834</c:v>
                </c:pt>
                <c:pt idx="32">
                  <c:v>75661.003714427192</c:v>
                </c:pt>
                <c:pt idx="33">
                  <c:v>73278.48761935778</c:v>
                </c:pt>
                <c:pt idx="34">
                  <c:v>70874.131793416906</c:v>
                </c:pt>
                <c:pt idx="35">
                  <c:v>68447.736039071591</c:v>
                </c:pt>
                <c:pt idx="36">
                  <c:v>65999.098323644765</c:v>
                </c:pt>
                <c:pt idx="37">
                  <c:v>63528.014762493185</c:v>
                </c:pt>
                <c:pt idx="38">
                  <c:v>61034.279602031056</c:v>
                </c:pt>
                <c:pt idx="39">
                  <c:v>58517.685202598019</c:v>
                </c:pt>
                <c:pt idx="40">
                  <c:v>55978.022021170182</c:v>
                </c:pt>
                <c:pt idx="41">
                  <c:v>53415.078593912593</c:v>
                </c:pt>
                <c:pt idx="42">
                  <c:v>50828.641518571814</c:v>
                </c:pt>
                <c:pt idx="43">
                  <c:v>48218.495436707068</c:v>
                </c:pt>
                <c:pt idx="44">
                  <c:v>45584.423015758563</c:v>
                </c:pt>
                <c:pt idx="45">
                  <c:v>42926.204930951368</c:v>
                </c:pt>
                <c:pt idx="46">
                  <c:v>40243.619847033442</c:v>
                </c:pt>
                <c:pt idx="47">
                  <c:v>37536.444399846267</c:v>
                </c:pt>
              </c:numCache>
            </c:numRef>
          </c:val>
          <c:smooth val="0"/>
        </c:ser>
        <c:dLbls>
          <c:showLegendKey val="0"/>
          <c:showVal val="0"/>
          <c:showCatName val="0"/>
          <c:showSerName val="0"/>
          <c:showPercent val="0"/>
          <c:showBubbleSize val="0"/>
        </c:dLbls>
        <c:smooth val="0"/>
        <c:axId val="455409184"/>
        <c:axId val="455416240"/>
      </c:lineChart>
      <c:catAx>
        <c:axId val="455409184"/>
        <c:scaling>
          <c:orientation val="minMax"/>
        </c:scaling>
        <c:delete val="0"/>
        <c:axPos val="b"/>
        <c:title>
          <c:tx>
            <c:rich>
              <a:bodyPr/>
              <a:lstStyle/>
              <a:p>
                <a:pPr>
                  <a:defRPr/>
                </a:pPr>
                <a:r>
                  <a:rPr lang="en-US"/>
                  <a:t>Payment Number</a:t>
                </a:r>
              </a:p>
            </c:rich>
          </c:tx>
          <c:overlay val="0"/>
        </c:title>
        <c:majorTickMark val="out"/>
        <c:minorTickMark val="none"/>
        <c:tickLblPos val="nextTo"/>
        <c:crossAx val="455416240"/>
        <c:crosses val="autoZero"/>
        <c:auto val="1"/>
        <c:lblAlgn val="ctr"/>
        <c:lblOffset val="100"/>
        <c:noMultiLvlLbl val="0"/>
      </c:catAx>
      <c:valAx>
        <c:axId val="455416240"/>
        <c:scaling>
          <c:orientation val="minMax"/>
        </c:scaling>
        <c:delete val="0"/>
        <c:axPos val="l"/>
        <c:majorGridlines/>
        <c:title>
          <c:tx>
            <c:rich>
              <a:bodyPr rot="-5400000" vert="horz"/>
              <a:lstStyle/>
              <a:p>
                <a:pPr>
                  <a:defRPr/>
                </a:pPr>
                <a:r>
                  <a:rPr lang="en-US"/>
                  <a:t>Payment</a:t>
                </a:r>
                <a:r>
                  <a:rPr lang="en-US" baseline="0"/>
                  <a:t> Amount</a:t>
                </a:r>
                <a:endParaRPr lang="en-US"/>
              </a:p>
            </c:rich>
          </c:tx>
          <c:overlay val="0"/>
        </c:title>
        <c:numFmt formatCode="_(&quot;$&quot;* #,##0.00_);_(&quot;$&quot;* \(#,##0.00\);_(&quot;$&quot;* &quot;-&quot;??_);_(@_)" sourceLinked="1"/>
        <c:majorTickMark val="out"/>
        <c:minorTickMark val="none"/>
        <c:tickLblPos val="nextTo"/>
        <c:crossAx val="4554091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Principal</a:t>
            </a:r>
            <a:r>
              <a:rPr lang="en-US" baseline="0"/>
              <a:t> vs. Interest</a:t>
            </a:r>
            <a:endParaRPr lang="en-US"/>
          </a:p>
        </c:rich>
      </c:tx>
      <c:overlay val="0"/>
    </c:title>
    <c:autoTitleDeleted val="0"/>
    <c:plotArea>
      <c:layout/>
      <c:lineChart>
        <c:grouping val="standard"/>
        <c:varyColors val="0"/>
        <c:ser>
          <c:idx val="0"/>
          <c:order val="0"/>
          <c:tx>
            <c:strRef>
              <c:f>EzTxtNote!$J$2</c:f>
              <c:strCache>
                <c:ptCount val="1"/>
                <c:pt idx="0">
                  <c:v>Principal</c:v>
                </c:pt>
              </c:strCache>
            </c:strRef>
          </c:tx>
          <c:marker>
            <c:symbol val="none"/>
          </c:marker>
          <c:val>
            <c:numRef>
              <c:f>EzTxtNote!$J$3:$J$25</c:f>
              <c:numCache>
                <c:formatCode>_("$"* #,##0.00_);_("$"* \(#,##0.00\);_("$"* "-"??_);_(@_)</c:formatCode>
                <c:ptCount val="23"/>
                <c:pt idx="0">
                  <c:v>98301.525631892233</c:v>
                </c:pt>
                <c:pt idx="1">
                  <c:v>98793.033260051685</c:v>
                </c:pt>
                <c:pt idx="2">
                  <c:v>99286.998426351958</c:v>
                </c:pt>
                <c:pt idx="3">
                  <c:v>99783.433418483706</c:v>
                </c:pt>
                <c:pt idx="4">
                  <c:v>100282.35058557613</c:v>
                </c:pt>
                <c:pt idx="5">
                  <c:v>100783.76233850401</c:v>
                </c:pt>
                <c:pt idx="6">
                  <c:v>101287.68115019653</c:v>
                </c:pt>
                <c:pt idx="7">
                  <c:v>101794.11955594752</c:v>
                </c:pt>
                <c:pt idx="8">
                  <c:v>102303.09015372726</c:v>
                </c:pt>
                <c:pt idx="9">
                  <c:v>102814.60560449588</c:v>
                </c:pt>
                <c:pt idx="10">
                  <c:v>103328.67863251836</c:v>
                </c:pt>
                <c:pt idx="11">
                  <c:v>103845.32202568096</c:v>
                </c:pt>
                <c:pt idx="12">
                  <c:v>104364.54863580936</c:v>
                </c:pt>
                <c:pt idx="13">
                  <c:v>104886.37137898841</c:v>
                </c:pt>
                <c:pt idx="14">
                  <c:v>105410.80323588336</c:v>
                </c:pt>
                <c:pt idx="15">
                  <c:v>105937.85725206276</c:v>
                </c:pt>
                <c:pt idx="16">
                  <c:v>106467.54653832309</c:v>
                </c:pt>
                <c:pt idx="17">
                  <c:v>106999.8842710147</c:v>
                </c:pt>
                <c:pt idx="18">
                  <c:v>107534.88369236977</c:v>
                </c:pt>
                <c:pt idx="19">
                  <c:v>108072.55811083163</c:v>
                </c:pt>
                <c:pt idx="20">
                  <c:v>108612.92090138578</c:v>
                </c:pt>
                <c:pt idx="21">
                  <c:v>109155.98550589271</c:v>
                </c:pt>
                <c:pt idx="22">
                  <c:v>109701.76543342217</c:v>
                </c:pt>
              </c:numCache>
            </c:numRef>
          </c:val>
          <c:smooth val="0"/>
        </c:ser>
        <c:ser>
          <c:idx val="1"/>
          <c:order val="1"/>
          <c:tx>
            <c:strRef>
              <c:f>EzTxtNote!$K$2</c:f>
              <c:strCache>
                <c:ptCount val="1"/>
                <c:pt idx="0">
                  <c:v>Interest</c:v>
                </c:pt>
              </c:strCache>
            </c:strRef>
          </c:tx>
          <c:marker>
            <c:symbol val="none"/>
          </c:marker>
          <c:val>
            <c:numRef>
              <c:f>EzTxtNote!$K$3:$K$25</c:f>
              <c:numCache>
                <c:formatCode>_("$"* #,##0.00_);_("$"* \(#,##0.00\);_("$"* "-"??_);_(@_)</c:formatCode>
                <c:ptCount val="23"/>
                <c:pt idx="0">
                  <c:v>12500</c:v>
                </c:pt>
                <c:pt idx="1">
                  <c:v>12008.492371840541</c:v>
                </c:pt>
                <c:pt idx="2">
                  <c:v>11514.527205540282</c:v>
                </c:pt>
                <c:pt idx="3">
                  <c:v>11018.092213408521</c:v>
                </c:pt>
                <c:pt idx="4">
                  <c:v>10519.175046316101</c:v>
                </c:pt>
                <c:pt idx="5">
                  <c:v>10017.763293388221</c:v>
                </c:pt>
                <c:pt idx="6">
                  <c:v>9513.8444816957017</c:v>
                </c:pt>
                <c:pt idx="7">
                  <c:v>9007.4060759447184</c:v>
                </c:pt>
                <c:pt idx="8">
                  <c:v>8498.4354781649799</c:v>
                </c:pt>
                <c:pt idx="9">
                  <c:v>7986.9200273963443</c:v>
                </c:pt>
                <c:pt idx="10">
                  <c:v>7472.8469993738645</c:v>
                </c:pt>
                <c:pt idx="11">
                  <c:v>6956.2036062112729</c:v>
                </c:pt>
                <c:pt idx="12">
                  <c:v>6436.9769960828689</c:v>
                </c:pt>
                <c:pt idx="13">
                  <c:v>5915.1542529038215</c:v>
                </c:pt>
                <c:pt idx="14">
                  <c:v>5390.7223960088786</c:v>
                </c:pt>
                <c:pt idx="15">
                  <c:v>4863.6683798294616</c:v>
                </c:pt>
                <c:pt idx="16">
                  <c:v>4333.9790935691481</c:v>
                </c:pt>
                <c:pt idx="17">
                  <c:v>3801.6413608775329</c:v>
                </c:pt>
                <c:pt idx="18">
                  <c:v>3266.6419395224593</c:v>
                </c:pt>
                <c:pt idx="19">
                  <c:v>2728.9675210606106</c:v>
                </c:pt>
                <c:pt idx="20">
                  <c:v>2188.6047305064521</c:v>
                </c:pt>
                <c:pt idx="21">
                  <c:v>1645.5401259995233</c:v>
                </c:pt>
                <c:pt idx="22">
                  <c:v>1099.7601984700595</c:v>
                </c:pt>
              </c:numCache>
            </c:numRef>
          </c:val>
          <c:smooth val="0"/>
        </c:ser>
        <c:dLbls>
          <c:showLegendKey val="0"/>
          <c:showVal val="0"/>
          <c:showCatName val="0"/>
          <c:showSerName val="0"/>
          <c:showPercent val="0"/>
          <c:showBubbleSize val="0"/>
        </c:dLbls>
        <c:smooth val="0"/>
        <c:axId val="455410752"/>
        <c:axId val="460696128"/>
      </c:lineChart>
      <c:catAx>
        <c:axId val="455410752"/>
        <c:scaling>
          <c:orientation val="minMax"/>
        </c:scaling>
        <c:delete val="0"/>
        <c:axPos val="b"/>
        <c:title>
          <c:tx>
            <c:rich>
              <a:bodyPr/>
              <a:lstStyle/>
              <a:p>
                <a:pPr>
                  <a:defRPr/>
                </a:pPr>
                <a:r>
                  <a:rPr lang="en-US"/>
                  <a:t>Payment Number</a:t>
                </a:r>
              </a:p>
            </c:rich>
          </c:tx>
          <c:overlay val="0"/>
        </c:title>
        <c:majorTickMark val="out"/>
        <c:minorTickMark val="none"/>
        <c:tickLblPos val="nextTo"/>
        <c:crossAx val="460696128"/>
        <c:crosses val="autoZero"/>
        <c:auto val="1"/>
        <c:lblAlgn val="ctr"/>
        <c:lblOffset val="100"/>
        <c:noMultiLvlLbl val="0"/>
      </c:catAx>
      <c:valAx>
        <c:axId val="460696128"/>
        <c:scaling>
          <c:orientation val="minMax"/>
        </c:scaling>
        <c:delete val="0"/>
        <c:axPos val="l"/>
        <c:majorGridlines/>
        <c:title>
          <c:tx>
            <c:rich>
              <a:bodyPr rot="-5400000" vert="horz"/>
              <a:lstStyle/>
              <a:p>
                <a:pPr>
                  <a:defRPr/>
                </a:pPr>
                <a:r>
                  <a:rPr lang="en-US"/>
                  <a:t>Payment</a:t>
                </a:r>
                <a:r>
                  <a:rPr lang="en-US" baseline="0"/>
                  <a:t> Amount</a:t>
                </a:r>
                <a:endParaRPr lang="en-US"/>
              </a:p>
            </c:rich>
          </c:tx>
          <c:overlay val="0"/>
        </c:title>
        <c:numFmt formatCode="_(&quot;$&quot;* #,##0.00_);_(&quot;$&quot;* \(#,##0.00\);_(&quot;$&quot;* &quot;-&quot;??_);_(@_)" sourceLinked="1"/>
        <c:majorTickMark val="out"/>
        <c:minorTickMark val="none"/>
        <c:tickLblPos val="nextTo"/>
        <c:crossAx val="45541075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723900</xdr:colOff>
      <xdr:row>3</xdr:row>
      <xdr:rowOff>0</xdr:rowOff>
    </xdr:from>
    <xdr:to>
      <xdr:col>4</xdr:col>
      <xdr:colOff>19050</xdr:colOff>
      <xdr:row>4</xdr:row>
      <xdr:rowOff>38100</xdr:rowOff>
    </xdr:to>
    <xdr:pic>
      <xdr:nvPicPr>
        <xdr:cNvPr id="4" name="Picture 3" descr="C:\Users\Ronald\AppData\Local\Temp\SNAGHTML4c3ede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24475" y="781050"/>
          <a:ext cx="26670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733425</xdr:colOff>
      <xdr:row>12</xdr:row>
      <xdr:rowOff>19050</xdr:rowOff>
    </xdr:from>
    <xdr:to>
      <xdr:col>4</xdr:col>
      <xdr:colOff>19050</xdr:colOff>
      <xdr:row>13</xdr:row>
      <xdr:rowOff>28575</xdr:rowOff>
    </xdr:to>
    <xdr:pic>
      <xdr:nvPicPr>
        <xdr:cNvPr id="5" name="Picture 4" descr="C:\Users\Ronald\AppData\Local\Temp\SNAGHTML4c4d36e.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34000" y="2886075"/>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723900</xdr:colOff>
      <xdr:row>6</xdr:row>
      <xdr:rowOff>238125</xdr:rowOff>
    </xdr:from>
    <xdr:to>
      <xdr:col>4</xdr:col>
      <xdr:colOff>19050</xdr:colOff>
      <xdr:row>8</xdr:row>
      <xdr:rowOff>19050</xdr:rowOff>
    </xdr:to>
    <xdr:pic>
      <xdr:nvPicPr>
        <xdr:cNvPr id="6" name="Picture 5" descr="C:\Users\Ronald\AppData\Local\Temp\SNAGHTML4c3ede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24475" y="1657350"/>
          <a:ext cx="26670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723900</xdr:colOff>
      <xdr:row>5</xdr:row>
      <xdr:rowOff>180975</xdr:rowOff>
    </xdr:from>
    <xdr:to>
      <xdr:col>4</xdr:col>
      <xdr:colOff>19050</xdr:colOff>
      <xdr:row>7</xdr:row>
      <xdr:rowOff>9525</xdr:rowOff>
    </xdr:to>
    <xdr:pic>
      <xdr:nvPicPr>
        <xdr:cNvPr id="7" name="Picture 6" descr="C:\Users\Ronald\AppData\Local\Temp\SNAGHTML4c3ede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24475" y="1400175"/>
          <a:ext cx="26670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733425</xdr:colOff>
      <xdr:row>13</xdr:row>
      <xdr:rowOff>0</xdr:rowOff>
    </xdr:from>
    <xdr:to>
      <xdr:col>4</xdr:col>
      <xdr:colOff>28575</xdr:colOff>
      <xdr:row>14</xdr:row>
      <xdr:rowOff>28575</xdr:rowOff>
    </xdr:to>
    <xdr:pic>
      <xdr:nvPicPr>
        <xdr:cNvPr id="8" name="Picture 7" descr="C:\Users\Ronald\AppData\Local\Temp\SNAGHTML4c3ede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34000" y="3114675"/>
          <a:ext cx="26670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733425</xdr:colOff>
      <xdr:row>13</xdr:row>
      <xdr:rowOff>238125</xdr:rowOff>
    </xdr:from>
    <xdr:to>
      <xdr:col>4</xdr:col>
      <xdr:colOff>28575</xdr:colOff>
      <xdr:row>15</xdr:row>
      <xdr:rowOff>19050</xdr:rowOff>
    </xdr:to>
    <xdr:pic>
      <xdr:nvPicPr>
        <xdr:cNvPr id="9" name="Picture 8" descr="C:\Users\Ronald\AppData\Local\Temp\SNAGHTML4c3ede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34000" y="3352800"/>
          <a:ext cx="26670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723900</xdr:colOff>
      <xdr:row>18</xdr:row>
      <xdr:rowOff>219075</xdr:rowOff>
    </xdr:from>
    <xdr:to>
      <xdr:col>4</xdr:col>
      <xdr:colOff>19050</xdr:colOff>
      <xdr:row>20</xdr:row>
      <xdr:rowOff>19050</xdr:rowOff>
    </xdr:to>
    <xdr:pic>
      <xdr:nvPicPr>
        <xdr:cNvPr id="10" name="Picture 9" descr="C:\Users\Ronald\AppData\Local\Temp\SNAGHTML4c3ede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24475" y="4543425"/>
          <a:ext cx="26670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47625</xdr:colOff>
      <xdr:row>10</xdr:row>
      <xdr:rowOff>47626</xdr:rowOff>
    </xdr:from>
    <xdr:to>
      <xdr:col>12</xdr:col>
      <xdr:colOff>47625</xdr:colOff>
      <xdr:row>32</xdr:row>
      <xdr:rowOff>100014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13</xdr:col>
      <xdr:colOff>13230</xdr:colOff>
      <xdr:row>71</xdr:row>
      <xdr:rowOff>14552</xdr:rowOff>
    </xdr:from>
    <xdr:to>
      <xdr:col>21</xdr:col>
      <xdr:colOff>37042</xdr:colOff>
      <xdr:row>91</xdr:row>
      <xdr:rowOff>133614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317499</xdr:colOff>
      <xdr:row>71</xdr:row>
      <xdr:rowOff>10584</xdr:rowOff>
    </xdr:from>
    <xdr:to>
      <xdr:col>30</xdr:col>
      <xdr:colOff>296332</xdr:colOff>
      <xdr:row>91</xdr:row>
      <xdr:rowOff>159809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298373</xdr:colOff>
      <xdr:row>58</xdr:row>
      <xdr:rowOff>126236</xdr:rowOff>
    </xdr:from>
    <xdr:to>
      <xdr:col>20</xdr:col>
      <xdr:colOff>527893</xdr:colOff>
      <xdr:row>91</xdr:row>
      <xdr:rowOff>103284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95250</xdr:colOff>
      <xdr:row>22</xdr:row>
      <xdr:rowOff>28575</xdr:rowOff>
    </xdr:from>
    <xdr:to>
      <xdr:col>3</xdr:col>
      <xdr:colOff>142874</xdr:colOff>
      <xdr:row>39</xdr:row>
      <xdr:rowOff>142875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152400</xdr:colOff>
      <xdr:row>23</xdr:row>
      <xdr:rowOff>133350</xdr:rowOff>
    </xdr:from>
    <xdr:to>
      <xdr:col>3</xdr:col>
      <xdr:colOff>200024</xdr:colOff>
      <xdr:row>41</xdr:row>
      <xdr:rowOff>95250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Documents%20and%20Settings\jgardner\Local%20Settings\Temporary%20Internet%20Files\Content.Outlook\9OSTWHCA\Series%20C%20Forecast%2012-02-2009%20Internal%20Us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rburr/Downloads/AmortizationDelux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bpalmer/Downloads/Budget2000%20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Affinity%20Data\Operations%20Budget\Budget2000%20Revised.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Documents%20and%20Settings/bmorris.WEBVISIBLE/Local%20Settings/Temporary%20Internet%20Files/Content.Outlook/MGX16K07/Series%20C%20Forecast%2011-01-2009%20Internal%20Use%20v9%20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Documents%20and%20Settings\ajani\My%20Documents\Temp\Direct%20Team%20Sales%20-%20Monthly%20formatted%20201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jpavlik/Dropbox/FP&amp;A/Models/Board%20Versions/CallFire%20Financial%20Model%20-12%2031%2013%20v2%20-%20BOD%20Q1-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sheetName val="Metrics by Quarter"/>
      <sheetName val="Sheet2"/>
      <sheetName val="Metrics by Rev Model"/>
      <sheetName val="Summary Financial Metrics"/>
      <sheetName val="Revenue Model Mapping"/>
      <sheetName val="CM by Revenue Model"/>
      <sheetName val="Charts"/>
      <sheetName val="Cust. by Agency"/>
      <sheetName val=" QB Revenue"/>
      <sheetName val="No. of Adv. Historical"/>
      <sheetName val="Monthly Income Stmt - C Round"/>
      <sheetName val="Monthly Cash Flow Fcast - C Rou"/>
      <sheetName val="Monthly Balance Sheet - C Round"/>
      <sheetName val="Bookings"/>
      <sheetName val="MC Summary"/>
      <sheetName val="MC Data"/>
      <sheetName val="Monthly Opex &amp; CD COGS Fcast C "/>
      <sheetName val="Revenue Forecast"/>
      <sheetName val="HC Forecast C Round"/>
      <sheetName val="CAPEX &amp; Depr - C Round"/>
      <sheetName val="Contibution Margin"/>
      <sheetName val="QB IS 08"/>
      <sheetName val="QB IS Actual 09"/>
      <sheetName val="QB BS 08"/>
      <sheetName val="QB BS Actual 09"/>
      <sheetName val="Revenue Forecast OLD"/>
      <sheetName val="Creative Dev HC Projections"/>
      <sheetName val="Head Count Summary - C Round"/>
      <sheetName val="Metrics HC Drivers"/>
      <sheetName val="Analysis"/>
      <sheetName val="Summary"/>
      <sheetName val="Sheet1"/>
    </sheetNames>
    <sheetDataSet>
      <sheetData sheetId="0"/>
      <sheetData sheetId="1"/>
      <sheetData sheetId="2"/>
      <sheetData sheetId="3"/>
      <sheetData sheetId="4"/>
      <sheetData sheetId="5"/>
      <sheetData sheetId="6"/>
      <sheetData sheetId="7"/>
      <sheetData sheetId="8"/>
      <sheetData sheetId="9"/>
      <sheetData sheetId="10"/>
      <sheetData sheetId="11">
        <row r="10">
          <cell r="Z10">
            <v>1707040.75</v>
          </cell>
        </row>
      </sheetData>
      <sheetData sheetId="12">
        <row r="27">
          <cell r="S27">
            <v>0</v>
          </cell>
        </row>
      </sheetData>
      <sheetData sheetId="13">
        <row r="2">
          <cell r="A2" t="str">
            <v>Forecast - C Round</v>
          </cell>
        </row>
      </sheetData>
      <sheetData sheetId="14"/>
      <sheetData sheetId="15"/>
      <sheetData sheetId="16"/>
      <sheetData sheetId="17"/>
      <sheetData sheetId="18"/>
      <sheetData sheetId="19">
        <row r="667">
          <cell r="AI667">
            <v>30783.330999999998</v>
          </cell>
        </row>
        <row r="697">
          <cell r="B697">
            <v>0.25</v>
          </cell>
        </row>
        <row r="704">
          <cell r="B704">
            <v>100</v>
          </cell>
        </row>
        <row r="705">
          <cell r="B705">
            <v>50</v>
          </cell>
        </row>
        <row r="706">
          <cell r="B706">
            <v>4000</v>
          </cell>
        </row>
        <row r="707">
          <cell r="B707">
            <v>25</v>
          </cell>
        </row>
        <row r="709">
          <cell r="B709">
            <v>100</v>
          </cell>
        </row>
        <row r="710">
          <cell r="B710">
            <v>50</v>
          </cell>
        </row>
        <row r="711">
          <cell r="B711">
            <v>4000</v>
          </cell>
        </row>
        <row r="712">
          <cell r="B712">
            <v>25</v>
          </cell>
        </row>
        <row r="715">
          <cell r="B715">
            <v>100</v>
          </cell>
        </row>
        <row r="716">
          <cell r="B716">
            <v>50</v>
          </cell>
        </row>
        <row r="717">
          <cell r="B717">
            <v>200</v>
          </cell>
        </row>
        <row r="718">
          <cell r="B718">
            <v>25</v>
          </cell>
        </row>
        <row r="724">
          <cell r="B724">
            <v>100</v>
          </cell>
        </row>
        <row r="725">
          <cell r="B725">
            <v>50</v>
          </cell>
        </row>
        <row r="726">
          <cell r="B726">
            <v>2500</v>
          </cell>
        </row>
        <row r="727">
          <cell r="B727">
            <v>0</v>
          </cell>
        </row>
        <row r="729">
          <cell r="B729">
            <v>100</v>
          </cell>
        </row>
        <row r="730">
          <cell r="B730">
            <v>50</v>
          </cell>
        </row>
        <row r="731">
          <cell r="B731">
            <v>2000</v>
          </cell>
        </row>
        <row r="732">
          <cell r="B732">
            <v>25</v>
          </cell>
        </row>
        <row r="736">
          <cell r="B736">
            <v>100</v>
          </cell>
        </row>
        <row r="737">
          <cell r="B737">
            <v>50</v>
          </cell>
        </row>
        <row r="738">
          <cell r="B738">
            <v>4500</v>
          </cell>
        </row>
        <row r="739">
          <cell r="B739">
            <v>0</v>
          </cell>
        </row>
        <row r="741">
          <cell r="B741">
            <v>100</v>
          </cell>
        </row>
        <row r="742">
          <cell r="B742">
            <v>50</v>
          </cell>
        </row>
        <row r="743">
          <cell r="B743">
            <v>1250</v>
          </cell>
        </row>
        <row r="744">
          <cell r="B744">
            <v>25</v>
          </cell>
        </row>
      </sheetData>
      <sheetData sheetId="20">
        <row r="19">
          <cell r="E19">
            <v>1470571</v>
          </cell>
        </row>
      </sheetData>
      <sheetData sheetId="21"/>
      <sheetData sheetId="22"/>
      <sheetData sheetId="23"/>
      <sheetData sheetId="24">
        <row r="10">
          <cell r="F10">
            <v>221670.21</v>
          </cell>
        </row>
      </sheetData>
      <sheetData sheetId="25">
        <row r="11">
          <cell r="G11">
            <v>2567047.58</v>
          </cell>
        </row>
      </sheetData>
      <sheetData sheetId="26"/>
      <sheetData sheetId="27"/>
      <sheetData sheetId="28"/>
      <sheetData sheetId="29"/>
      <sheetData sheetId="30"/>
      <sheetData sheetId="31"/>
      <sheetData sheetId="3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s"/>
      <sheetName val="Instructions"/>
      <sheetName val="Fixed Rate Traditional"/>
      <sheetName val="Fixed Rate Balloon"/>
      <sheetName val="Fixed Rate Interest Only"/>
      <sheetName val="Adjustable Rate Traditional"/>
      <sheetName val="Adjustable Rate Balloon"/>
      <sheetName val="Adjustable Rate Interest Only"/>
    </sheetNames>
    <sheetDataSet>
      <sheetData sheetId="0"/>
      <sheetData sheetId="1"/>
      <sheetData sheetId="2">
        <row r="27">
          <cell r="A27">
            <v>1</v>
          </cell>
          <cell r="G27">
            <v>1201.5495634547151</v>
          </cell>
          <cell r="H27">
            <v>4166.666666666667</v>
          </cell>
        </row>
        <row r="28">
          <cell r="A28">
            <v>2</v>
          </cell>
        </row>
        <row r="29">
          <cell r="A29">
            <v>3</v>
          </cell>
        </row>
        <row r="30">
          <cell r="A30">
            <v>4</v>
          </cell>
        </row>
        <row r="31">
          <cell r="A31">
            <v>5</v>
          </cell>
        </row>
        <row r="32">
          <cell r="A32">
            <v>6</v>
          </cell>
        </row>
        <row r="33">
          <cell r="A33">
            <v>7</v>
          </cell>
        </row>
        <row r="34">
          <cell r="A34">
            <v>8</v>
          </cell>
        </row>
        <row r="35">
          <cell r="A35">
            <v>9</v>
          </cell>
        </row>
        <row r="36">
          <cell r="A36">
            <v>10</v>
          </cell>
        </row>
        <row r="37">
          <cell r="A37">
            <v>11</v>
          </cell>
        </row>
        <row r="38">
          <cell r="A38">
            <v>12</v>
          </cell>
        </row>
        <row r="39">
          <cell r="A39">
            <v>13</v>
          </cell>
        </row>
        <row r="40">
          <cell r="A40">
            <v>14</v>
          </cell>
        </row>
        <row r="41">
          <cell r="A41">
            <v>15</v>
          </cell>
        </row>
        <row r="42">
          <cell r="A42">
            <v>16</v>
          </cell>
        </row>
        <row r="43">
          <cell r="A43">
            <v>17</v>
          </cell>
        </row>
        <row r="44">
          <cell r="A44">
            <v>18</v>
          </cell>
        </row>
        <row r="45">
          <cell r="A45">
            <v>19</v>
          </cell>
        </row>
        <row r="46">
          <cell r="A46">
            <v>20</v>
          </cell>
        </row>
        <row r="47">
          <cell r="A47">
            <v>21</v>
          </cell>
        </row>
        <row r="48">
          <cell r="A48">
            <v>22</v>
          </cell>
        </row>
        <row r="49">
          <cell r="A49">
            <v>23</v>
          </cell>
        </row>
        <row r="50">
          <cell r="A50">
            <v>24</v>
          </cell>
        </row>
        <row r="51">
          <cell r="A51">
            <v>25</v>
          </cell>
        </row>
        <row r="52">
          <cell r="A52">
            <v>26</v>
          </cell>
        </row>
        <row r="53">
          <cell r="A53">
            <v>27</v>
          </cell>
        </row>
        <row r="54">
          <cell r="A54">
            <v>28</v>
          </cell>
        </row>
        <row r="55">
          <cell r="A55">
            <v>29</v>
          </cell>
        </row>
        <row r="56">
          <cell r="A56">
            <v>30</v>
          </cell>
        </row>
        <row r="57">
          <cell r="A57">
            <v>31</v>
          </cell>
        </row>
        <row r="58">
          <cell r="A58">
            <v>32</v>
          </cell>
        </row>
        <row r="59">
          <cell r="A59">
            <v>33</v>
          </cell>
        </row>
        <row r="60">
          <cell r="A60">
            <v>34</v>
          </cell>
        </row>
        <row r="61">
          <cell r="A61">
            <v>35</v>
          </cell>
        </row>
        <row r="62">
          <cell r="A62">
            <v>36</v>
          </cell>
        </row>
        <row r="63">
          <cell r="A63">
            <v>37</v>
          </cell>
        </row>
        <row r="64">
          <cell r="A64">
            <v>38</v>
          </cell>
        </row>
        <row r="65">
          <cell r="A65">
            <v>39</v>
          </cell>
        </row>
        <row r="66">
          <cell r="A66">
            <v>40</v>
          </cell>
        </row>
        <row r="67">
          <cell r="A67">
            <v>41</v>
          </cell>
        </row>
        <row r="68">
          <cell r="A68">
            <v>42</v>
          </cell>
        </row>
        <row r="69">
          <cell r="A69">
            <v>43</v>
          </cell>
        </row>
        <row r="70">
          <cell r="A70">
            <v>44</v>
          </cell>
        </row>
        <row r="71">
          <cell r="A71">
            <v>45</v>
          </cell>
        </row>
        <row r="72">
          <cell r="A72">
            <v>46</v>
          </cell>
        </row>
        <row r="73">
          <cell r="A73">
            <v>47</v>
          </cell>
        </row>
        <row r="74">
          <cell r="A74">
            <v>48</v>
          </cell>
        </row>
        <row r="75">
          <cell r="A75">
            <v>49</v>
          </cell>
        </row>
        <row r="76">
          <cell r="A76">
            <v>50</v>
          </cell>
        </row>
        <row r="77">
          <cell r="A77">
            <v>51</v>
          </cell>
        </row>
        <row r="78">
          <cell r="A78">
            <v>52</v>
          </cell>
        </row>
        <row r="79">
          <cell r="A79">
            <v>53</v>
          </cell>
        </row>
        <row r="80">
          <cell r="A80">
            <v>54</v>
          </cell>
        </row>
        <row r="81">
          <cell r="A81">
            <v>55</v>
          </cell>
        </row>
        <row r="82">
          <cell r="A82">
            <v>56</v>
          </cell>
        </row>
        <row r="83">
          <cell r="A83">
            <v>57</v>
          </cell>
        </row>
        <row r="84">
          <cell r="A84">
            <v>58</v>
          </cell>
        </row>
        <row r="85">
          <cell r="A85">
            <v>59</v>
          </cell>
        </row>
        <row r="86">
          <cell r="A86">
            <v>60</v>
          </cell>
        </row>
        <row r="87">
          <cell r="A87">
            <v>61</v>
          </cell>
        </row>
        <row r="88">
          <cell r="A88">
            <v>62</v>
          </cell>
        </row>
        <row r="89">
          <cell r="A89">
            <v>63</v>
          </cell>
        </row>
        <row r="90">
          <cell r="A90">
            <v>64</v>
          </cell>
        </row>
        <row r="91">
          <cell r="A91">
            <v>65</v>
          </cell>
        </row>
        <row r="92">
          <cell r="A92">
            <v>66</v>
          </cell>
        </row>
        <row r="93">
          <cell r="A93">
            <v>67</v>
          </cell>
        </row>
        <row r="94">
          <cell r="A94">
            <v>68</v>
          </cell>
        </row>
        <row r="95">
          <cell r="A95">
            <v>69</v>
          </cell>
        </row>
        <row r="96">
          <cell r="A96">
            <v>70</v>
          </cell>
        </row>
        <row r="97">
          <cell r="A97">
            <v>71</v>
          </cell>
        </row>
        <row r="98">
          <cell r="A98">
            <v>72</v>
          </cell>
        </row>
        <row r="99">
          <cell r="A99">
            <v>73</v>
          </cell>
        </row>
        <row r="100">
          <cell r="A100">
            <v>74</v>
          </cell>
        </row>
        <row r="101">
          <cell r="A101">
            <v>75</v>
          </cell>
        </row>
        <row r="102">
          <cell r="A102">
            <v>76</v>
          </cell>
        </row>
        <row r="103">
          <cell r="A103">
            <v>77</v>
          </cell>
        </row>
        <row r="104">
          <cell r="A104">
            <v>78</v>
          </cell>
        </row>
        <row r="105">
          <cell r="A105">
            <v>79</v>
          </cell>
        </row>
        <row r="106">
          <cell r="A106">
            <v>80</v>
          </cell>
        </row>
        <row r="107">
          <cell r="A107">
            <v>81</v>
          </cell>
        </row>
        <row r="108">
          <cell r="A108">
            <v>82</v>
          </cell>
        </row>
        <row r="109">
          <cell r="A109">
            <v>83</v>
          </cell>
        </row>
        <row r="110">
          <cell r="A110">
            <v>84</v>
          </cell>
        </row>
        <row r="111">
          <cell r="A111">
            <v>85</v>
          </cell>
        </row>
        <row r="112">
          <cell r="A112">
            <v>86</v>
          </cell>
        </row>
        <row r="113">
          <cell r="A113">
            <v>87</v>
          </cell>
        </row>
        <row r="114">
          <cell r="A114">
            <v>88</v>
          </cell>
        </row>
        <row r="115">
          <cell r="A115">
            <v>89</v>
          </cell>
        </row>
        <row r="116">
          <cell r="A116">
            <v>90</v>
          </cell>
        </row>
        <row r="117">
          <cell r="A117">
            <v>91</v>
          </cell>
        </row>
        <row r="118">
          <cell r="A118">
            <v>92</v>
          </cell>
        </row>
        <row r="119">
          <cell r="A119">
            <v>93</v>
          </cell>
        </row>
        <row r="120">
          <cell r="A120">
            <v>94</v>
          </cell>
        </row>
        <row r="121">
          <cell r="A121">
            <v>95</v>
          </cell>
        </row>
        <row r="122">
          <cell r="A122">
            <v>96</v>
          </cell>
        </row>
        <row r="123">
          <cell r="A123">
            <v>97</v>
          </cell>
        </row>
        <row r="124">
          <cell r="A124">
            <v>98</v>
          </cell>
        </row>
        <row r="125">
          <cell r="A125">
            <v>99</v>
          </cell>
        </row>
        <row r="126">
          <cell r="A126">
            <v>100</v>
          </cell>
        </row>
        <row r="127">
          <cell r="A127">
            <v>101</v>
          </cell>
        </row>
        <row r="128">
          <cell r="A128">
            <v>102</v>
          </cell>
        </row>
        <row r="129">
          <cell r="A129">
            <v>103</v>
          </cell>
        </row>
        <row r="130">
          <cell r="A130">
            <v>104</v>
          </cell>
        </row>
        <row r="131">
          <cell r="A131">
            <v>105</v>
          </cell>
        </row>
        <row r="132">
          <cell r="A132">
            <v>106</v>
          </cell>
        </row>
        <row r="133">
          <cell r="A133">
            <v>107</v>
          </cell>
        </row>
        <row r="134">
          <cell r="A134">
            <v>108</v>
          </cell>
        </row>
        <row r="135">
          <cell r="A135">
            <v>109</v>
          </cell>
        </row>
        <row r="136">
          <cell r="A136">
            <v>110</v>
          </cell>
        </row>
        <row r="137">
          <cell r="A137">
            <v>111</v>
          </cell>
        </row>
        <row r="138">
          <cell r="A138">
            <v>112</v>
          </cell>
        </row>
        <row r="139">
          <cell r="A139">
            <v>113</v>
          </cell>
        </row>
        <row r="140">
          <cell r="A140">
            <v>114</v>
          </cell>
        </row>
        <row r="141">
          <cell r="A141">
            <v>115</v>
          </cell>
        </row>
        <row r="142">
          <cell r="A142">
            <v>116</v>
          </cell>
        </row>
        <row r="143">
          <cell r="A143">
            <v>117</v>
          </cell>
        </row>
        <row r="144">
          <cell r="A144">
            <v>118</v>
          </cell>
        </row>
        <row r="145">
          <cell r="A145">
            <v>119</v>
          </cell>
        </row>
        <row r="146">
          <cell r="A146">
            <v>120</v>
          </cell>
        </row>
        <row r="147">
          <cell r="A147">
            <v>121</v>
          </cell>
        </row>
        <row r="148">
          <cell r="A148">
            <v>122</v>
          </cell>
        </row>
        <row r="149">
          <cell r="A149">
            <v>123</v>
          </cell>
        </row>
        <row r="150">
          <cell r="A150">
            <v>124</v>
          </cell>
        </row>
        <row r="151">
          <cell r="A151">
            <v>125</v>
          </cell>
        </row>
        <row r="152">
          <cell r="A152">
            <v>126</v>
          </cell>
        </row>
        <row r="153">
          <cell r="A153">
            <v>127</v>
          </cell>
        </row>
        <row r="154">
          <cell r="A154">
            <v>128</v>
          </cell>
        </row>
        <row r="155">
          <cell r="A155">
            <v>129</v>
          </cell>
        </row>
        <row r="156">
          <cell r="A156">
            <v>130</v>
          </cell>
        </row>
        <row r="157">
          <cell r="A157">
            <v>131</v>
          </cell>
        </row>
        <row r="158">
          <cell r="A158">
            <v>132</v>
          </cell>
        </row>
        <row r="159">
          <cell r="A159">
            <v>133</v>
          </cell>
        </row>
        <row r="160">
          <cell r="A160">
            <v>134</v>
          </cell>
        </row>
        <row r="161">
          <cell r="A161">
            <v>135</v>
          </cell>
        </row>
        <row r="162">
          <cell r="A162">
            <v>136</v>
          </cell>
        </row>
        <row r="163">
          <cell r="A163">
            <v>137</v>
          </cell>
        </row>
        <row r="164">
          <cell r="A164">
            <v>138</v>
          </cell>
        </row>
        <row r="165">
          <cell r="A165">
            <v>139</v>
          </cell>
        </row>
        <row r="166">
          <cell r="A166">
            <v>140</v>
          </cell>
        </row>
        <row r="167">
          <cell r="A167">
            <v>141</v>
          </cell>
        </row>
        <row r="168">
          <cell r="A168">
            <v>142</v>
          </cell>
        </row>
        <row r="169">
          <cell r="A169">
            <v>143</v>
          </cell>
        </row>
        <row r="170">
          <cell r="A170">
            <v>144</v>
          </cell>
        </row>
        <row r="171">
          <cell r="A171">
            <v>145</v>
          </cell>
        </row>
        <row r="172">
          <cell r="A172">
            <v>146</v>
          </cell>
        </row>
        <row r="173">
          <cell r="A173">
            <v>147</v>
          </cell>
        </row>
        <row r="174">
          <cell r="A174">
            <v>148</v>
          </cell>
        </row>
        <row r="175">
          <cell r="A175">
            <v>149</v>
          </cell>
        </row>
        <row r="176">
          <cell r="A176">
            <v>150</v>
          </cell>
        </row>
        <row r="177">
          <cell r="A177">
            <v>151</v>
          </cell>
        </row>
        <row r="178">
          <cell r="A178">
            <v>152</v>
          </cell>
        </row>
        <row r="179">
          <cell r="A179">
            <v>153</v>
          </cell>
        </row>
        <row r="180">
          <cell r="A180">
            <v>154</v>
          </cell>
        </row>
        <row r="181">
          <cell r="A181">
            <v>155</v>
          </cell>
        </row>
        <row r="182">
          <cell r="A182">
            <v>156</v>
          </cell>
        </row>
        <row r="183">
          <cell r="A183">
            <v>157</v>
          </cell>
        </row>
        <row r="184">
          <cell r="A184">
            <v>158</v>
          </cell>
        </row>
        <row r="185">
          <cell r="A185">
            <v>159</v>
          </cell>
        </row>
        <row r="186">
          <cell r="A186">
            <v>160</v>
          </cell>
        </row>
        <row r="187">
          <cell r="A187">
            <v>161</v>
          </cell>
        </row>
        <row r="188">
          <cell r="A188">
            <v>162</v>
          </cell>
        </row>
        <row r="189">
          <cell r="A189">
            <v>163</v>
          </cell>
        </row>
        <row r="190">
          <cell r="A190">
            <v>164</v>
          </cell>
        </row>
        <row r="191">
          <cell r="A191">
            <v>165</v>
          </cell>
        </row>
        <row r="192">
          <cell r="A192">
            <v>166</v>
          </cell>
        </row>
        <row r="193">
          <cell r="A193">
            <v>167</v>
          </cell>
        </row>
        <row r="194">
          <cell r="A194">
            <v>168</v>
          </cell>
        </row>
        <row r="195">
          <cell r="A195">
            <v>169</v>
          </cell>
        </row>
        <row r="196">
          <cell r="A196">
            <v>170</v>
          </cell>
        </row>
        <row r="197">
          <cell r="A197">
            <v>171</v>
          </cell>
        </row>
        <row r="198">
          <cell r="A198">
            <v>172</v>
          </cell>
        </row>
        <row r="199">
          <cell r="A199">
            <v>173</v>
          </cell>
        </row>
        <row r="200">
          <cell r="A200">
            <v>174</v>
          </cell>
        </row>
        <row r="201">
          <cell r="A201">
            <v>175</v>
          </cell>
        </row>
        <row r="202">
          <cell r="A202">
            <v>176</v>
          </cell>
        </row>
        <row r="203">
          <cell r="A203">
            <v>177</v>
          </cell>
        </row>
        <row r="204">
          <cell r="A204">
            <v>178</v>
          </cell>
        </row>
        <row r="205">
          <cell r="A205">
            <v>179</v>
          </cell>
        </row>
        <row r="206">
          <cell r="A206">
            <v>180</v>
          </cell>
        </row>
        <row r="207">
          <cell r="A207">
            <v>181</v>
          </cell>
        </row>
        <row r="208">
          <cell r="A208">
            <v>182</v>
          </cell>
        </row>
        <row r="209">
          <cell r="A209">
            <v>183</v>
          </cell>
        </row>
        <row r="210">
          <cell r="A210">
            <v>184</v>
          </cell>
        </row>
        <row r="211">
          <cell r="A211">
            <v>185</v>
          </cell>
        </row>
        <row r="212">
          <cell r="A212">
            <v>186</v>
          </cell>
        </row>
        <row r="213">
          <cell r="A213">
            <v>187</v>
          </cell>
        </row>
        <row r="214">
          <cell r="A214">
            <v>188</v>
          </cell>
        </row>
        <row r="215">
          <cell r="A215">
            <v>189</v>
          </cell>
        </row>
        <row r="216">
          <cell r="A216">
            <v>190</v>
          </cell>
        </row>
        <row r="217">
          <cell r="A217">
            <v>191</v>
          </cell>
        </row>
        <row r="218">
          <cell r="A218">
            <v>192</v>
          </cell>
        </row>
        <row r="219">
          <cell r="A219">
            <v>193</v>
          </cell>
        </row>
        <row r="220">
          <cell r="A220">
            <v>194</v>
          </cell>
        </row>
        <row r="221">
          <cell r="A221">
            <v>195</v>
          </cell>
        </row>
        <row r="222">
          <cell r="A222">
            <v>196</v>
          </cell>
        </row>
        <row r="223">
          <cell r="A223">
            <v>197</v>
          </cell>
        </row>
        <row r="224">
          <cell r="A224">
            <v>198</v>
          </cell>
        </row>
        <row r="225">
          <cell r="A225">
            <v>199</v>
          </cell>
        </row>
        <row r="226">
          <cell r="A226">
            <v>200</v>
          </cell>
        </row>
        <row r="227">
          <cell r="A227">
            <v>201</v>
          </cell>
        </row>
        <row r="228">
          <cell r="A228">
            <v>202</v>
          </cell>
        </row>
        <row r="229">
          <cell r="A229">
            <v>203</v>
          </cell>
        </row>
        <row r="230">
          <cell r="A230">
            <v>204</v>
          </cell>
        </row>
        <row r="231">
          <cell r="A231">
            <v>205</v>
          </cell>
        </row>
        <row r="232">
          <cell r="A232">
            <v>206</v>
          </cell>
        </row>
        <row r="233">
          <cell r="A233">
            <v>207</v>
          </cell>
        </row>
        <row r="234">
          <cell r="A234">
            <v>208</v>
          </cell>
        </row>
        <row r="235">
          <cell r="A235">
            <v>209</v>
          </cell>
        </row>
        <row r="236">
          <cell r="A236">
            <v>210</v>
          </cell>
        </row>
        <row r="237">
          <cell r="A237">
            <v>211</v>
          </cell>
        </row>
        <row r="238">
          <cell r="A238">
            <v>212</v>
          </cell>
        </row>
        <row r="239">
          <cell r="A239">
            <v>213</v>
          </cell>
        </row>
        <row r="240">
          <cell r="A240">
            <v>214</v>
          </cell>
        </row>
        <row r="241">
          <cell r="A241">
            <v>215</v>
          </cell>
        </row>
        <row r="242">
          <cell r="A242">
            <v>216</v>
          </cell>
        </row>
        <row r="243">
          <cell r="A243">
            <v>217</v>
          </cell>
        </row>
        <row r="244">
          <cell r="A244">
            <v>218</v>
          </cell>
        </row>
        <row r="245">
          <cell r="A245">
            <v>219</v>
          </cell>
        </row>
        <row r="246">
          <cell r="A246">
            <v>220</v>
          </cell>
        </row>
        <row r="247">
          <cell r="A247">
            <v>221</v>
          </cell>
        </row>
        <row r="248">
          <cell r="A248">
            <v>222</v>
          </cell>
        </row>
        <row r="249">
          <cell r="A249">
            <v>223</v>
          </cell>
        </row>
        <row r="250">
          <cell r="A250">
            <v>224</v>
          </cell>
        </row>
        <row r="251">
          <cell r="A251">
            <v>225</v>
          </cell>
        </row>
        <row r="252">
          <cell r="A252">
            <v>226</v>
          </cell>
        </row>
        <row r="253">
          <cell r="A253">
            <v>227</v>
          </cell>
        </row>
        <row r="254">
          <cell r="A254">
            <v>228</v>
          </cell>
        </row>
        <row r="255">
          <cell r="A255">
            <v>229</v>
          </cell>
        </row>
        <row r="256">
          <cell r="A256">
            <v>230</v>
          </cell>
        </row>
        <row r="257">
          <cell r="A257">
            <v>231</v>
          </cell>
        </row>
        <row r="258">
          <cell r="A258">
            <v>232</v>
          </cell>
        </row>
        <row r="259">
          <cell r="A259">
            <v>233</v>
          </cell>
        </row>
        <row r="260">
          <cell r="A260">
            <v>234</v>
          </cell>
        </row>
        <row r="261">
          <cell r="A261">
            <v>235</v>
          </cell>
        </row>
        <row r="262">
          <cell r="A262">
            <v>236</v>
          </cell>
        </row>
        <row r="263">
          <cell r="A263">
            <v>237</v>
          </cell>
        </row>
        <row r="264">
          <cell r="A264">
            <v>238</v>
          </cell>
        </row>
        <row r="265">
          <cell r="A265">
            <v>239</v>
          </cell>
        </row>
        <row r="266">
          <cell r="A266">
            <v>240</v>
          </cell>
        </row>
        <row r="267">
          <cell r="A267">
            <v>241</v>
          </cell>
        </row>
        <row r="268">
          <cell r="A268">
            <v>242</v>
          </cell>
        </row>
        <row r="269">
          <cell r="A269">
            <v>243</v>
          </cell>
        </row>
        <row r="270">
          <cell r="A270">
            <v>244</v>
          </cell>
        </row>
        <row r="271">
          <cell r="A271">
            <v>245</v>
          </cell>
        </row>
        <row r="272">
          <cell r="A272">
            <v>246</v>
          </cell>
        </row>
        <row r="273">
          <cell r="A273">
            <v>247</v>
          </cell>
        </row>
        <row r="274">
          <cell r="A274">
            <v>248</v>
          </cell>
        </row>
        <row r="275">
          <cell r="A275">
            <v>249</v>
          </cell>
        </row>
        <row r="276">
          <cell r="A276">
            <v>250</v>
          </cell>
        </row>
        <row r="277">
          <cell r="A277">
            <v>251</v>
          </cell>
        </row>
        <row r="278">
          <cell r="A278">
            <v>252</v>
          </cell>
        </row>
        <row r="279">
          <cell r="A279">
            <v>253</v>
          </cell>
        </row>
        <row r="280">
          <cell r="A280">
            <v>254</v>
          </cell>
        </row>
        <row r="281">
          <cell r="A281">
            <v>255</v>
          </cell>
        </row>
        <row r="282">
          <cell r="A282">
            <v>256</v>
          </cell>
        </row>
        <row r="283">
          <cell r="A283">
            <v>257</v>
          </cell>
        </row>
        <row r="284">
          <cell r="A284">
            <v>258</v>
          </cell>
        </row>
        <row r="285">
          <cell r="A285">
            <v>259</v>
          </cell>
        </row>
        <row r="286">
          <cell r="A286">
            <v>260</v>
          </cell>
        </row>
        <row r="287">
          <cell r="A287">
            <v>261</v>
          </cell>
        </row>
        <row r="288">
          <cell r="A288">
            <v>262</v>
          </cell>
        </row>
        <row r="289">
          <cell r="A289">
            <v>263</v>
          </cell>
        </row>
        <row r="290">
          <cell r="A290">
            <v>264</v>
          </cell>
        </row>
        <row r="291">
          <cell r="A291">
            <v>265</v>
          </cell>
        </row>
        <row r="292">
          <cell r="A292">
            <v>266</v>
          </cell>
        </row>
        <row r="293">
          <cell r="A293">
            <v>267</v>
          </cell>
        </row>
        <row r="294">
          <cell r="A294">
            <v>268</v>
          </cell>
        </row>
        <row r="295">
          <cell r="A295">
            <v>269</v>
          </cell>
        </row>
        <row r="296">
          <cell r="A296">
            <v>270</v>
          </cell>
        </row>
        <row r="297">
          <cell r="A297">
            <v>271</v>
          </cell>
        </row>
        <row r="298">
          <cell r="A298">
            <v>272</v>
          </cell>
        </row>
        <row r="299">
          <cell r="A299">
            <v>273</v>
          </cell>
        </row>
        <row r="300">
          <cell r="A300">
            <v>274</v>
          </cell>
        </row>
        <row r="301">
          <cell r="A301">
            <v>275</v>
          </cell>
        </row>
        <row r="302">
          <cell r="A302">
            <v>276</v>
          </cell>
        </row>
        <row r="303">
          <cell r="A303">
            <v>277</v>
          </cell>
        </row>
        <row r="304">
          <cell r="A304">
            <v>278</v>
          </cell>
        </row>
        <row r="305">
          <cell r="A305">
            <v>279</v>
          </cell>
        </row>
        <row r="306">
          <cell r="A306">
            <v>280</v>
          </cell>
        </row>
        <row r="307">
          <cell r="A307">
            <v>281</v>
          </cell>
        </row>
        <row r="308">
          <cell r="A308">
            <v>282</v>
          </cell>
        </row>
        <row r="309">
          <cell r="A309">
            <v>283</v>
          </cell>
        </row>
        <row r="310">
          <cell r="A310">
            <v>284</v>
          </cell>
        </row>
        <row r="311">
          <cell r="A311">
            <v>285</v>
          </cell>
        </row>
        <row r="312">
          <cell r="A312">
            <v>286</v>
          </cell>
        </row>
        <row r="313">
          <cell r="A313">
            <v>287</v>
          </cell>
        </row>
        <row r="314">
          <cell r="A314">
            <v>288</v>
          </cell>
        </row>
        <row r="315">
          <cell r="A315">
            <v>289</v>
          </cell>
        </row>
        <row r="316">
          <cell r="A316">
            <v>290</v>
          </cell>
        </row>
        <row r="317">
          <cell r="A317">
            <v>291</v>
          </cell>
        </row>
        <row r="318">
          <cell r="A318">
            <v>292</v>
          </cell>
        </row>
        <row r="319">
          <cell r="A319">
            <v>293</v>
          </cell>
        </row>
        <row r="320">
          <cell r="A320">
            <v>294</v>
          </cell>
        </row>
        <row r="321">
          <cell r="A321">
            <v>295</v>
          </cell>
        </row>
        <row r="322">
          <cell r="A322">
            <v>296</v>
          </cell>
        </row>
        <row r="323">
          <cell r="A323">
            <v>297</v>
          </cell>
        </row>
        <row r="324">
          <cell r="A324">
            <v>298</v>
          </cell>
        </row>
        <row r="325">
          <cell r="A325">
            <v>299</v>
          </cell>
        </row>
        <row r="326">
          <cell r="A326">
            <v>300</v>
          </cell>
        </row>
        <row r="327">
          <cell r="A327">
            <v>301</v>
          </cell>
        </row>
        <row r="328">
          <cell r="A328">
            <v>302</v>
          </cell>
        </row>
        <row r="329">
          <cell r="A329">
            <v>303</v>
          </cell>
        </row>
        <row r="330">
          <cell r="A330">
            <v>304</v>
          </cell>
        </row>
        <row r="331">
          <cell r="A331">
            <v>305</v>
          </cell>
        </row>
        <row r="332">
          <cell r="A332">
            <v>306</v>
          </cell>
        </row>
        <row r="333">
          <cell r="A333">
            <v>307</v>
          </cell>
        </row>
        <row r="334">
          <cell r="A334">
            <v>308</v>
          </cell>
        </row>
        <row r="335">
          <cell r="A335">
            <v>309</v>
          </cell>
        </row>
        <row r="336">
          <cell r="A336">
            <v>310</v>
          </cell>
        </row>
        <row r="337">
          <cell r="A337">
            <v>311</v>
          </cell>
        </row>
        <row r="338">
          <cell r="A338">
            <v>312</v>
          </cell>
        </row>
        <row r="339">
          <cell r="A339">
            <v>313</v>
          </cell>
        </row>
        <row r="340">
          <cell r="A340">
            <v>314</v>
          </cell>
        </row>
        <row r="341">
          <cell r="A341">
            <v>315</v>
          </cell>
        </row>
        <row r="342">
          <cell r="A342">
            <v>316</v>
          </cell>
        </row>
        <row r="343">
          <cell r="A343">
            <v>317</v>
          </cell>
        </row>
        <row r="344">
          <cell r="A344">
            <v>318</v>
          </cell>
        </row>
        <row r="345">
          <cell r="A345">
            <v>319</v>
          </cell>
        </row>
        <row r="346">
          <cell r="A346">
            <v>320</v>
          </cell>
        </row>
        <row r="347">
          <cell r="A347">
            <v>321</v>
          </cell>
        </row>
        <row r="348">
          <cell r="A348">
            <v>322</v>
          </cell>
        </row>
        <row r="349">
          <cell r="A349">
            <v>323</v>
          </cell>
        </row>
        <row r="350">
          <cell r="A350">
            <v>324</v>
          </cell>
        </row>
        <row r="351">
          <cell r="A351">
            <v>325</v>
          </cell>
        </row>
        <row r="352">
          <cell r="A352">
            <v>326</v>
          </cell>
        </row>
        <row r="353">
          <cell r="A353">
            <v>327</v>
          </cell>
        </row>
        <row r="354">
          <cell r="A354">
            <v>328</v>
          </cell>
        </row>
        <row r="355">
          <cell r="A355">
            <v>329</v>
          </cell>
        </row>
        <row r="356">
          <cell r="A356">
            <v>330</v>
          </cell>
        </row>
        <row r="357">
          <cell r="A357">
            <v>331</v>
          </cell>
        </row>
        <row r="358">
          <cell r="A358">
            <v>332</v>
          </cell>
        </row>
        <row r="359">
          <cell r="A359">
            <v>333</v>
          </cell>
        </row>
        <row r="360">
          <cell r="A360">
            <v>334</v>
          </cell>
        </row>
        <row r="361">
          <cell r="A361">
            <v>335</v>
          </cell>
        </row>
        <row r="362">
          <cell r="A362">
            <v>336</v>
          </cell>
        </row>
        <row r="363">
          <cell r="A363">
            <v>337</v>
          </cell>
        </row>
        <row r="364">
          <cell r="A364">
            <v>338</v>
          </cell>
        </row>
        <row r="365">
          <cell r="A365">
            <v>339</v>
          </cell>
        </row>
        <row r="366">
          <cell r="A366">
            <v>340</v>
          </cell>
        </row>
        <row r="367">
          <cell r="A367">
            <v>341</v>
          </cell>
        </row>
        <row r="368">
          <cell r="A368">
            <v>342</v>
          </cell>
        </row>
        <row r="369">
          <cell r="A369">
            <v>343</v>
          </cell>
        </row>
        <row r="370">
          <cell r="A370">
            <v>344</v>
          </cell>
        </row>
        <row r="371">
          <cell r="A371">
            <v>345</v>
          </cell>
        </row>
        <row r="372">
          <cell r="A372">
            <v>346</v>
          </cell>
        </row>
        <row r="373">
          <cell r="A373">
            <v>347</v>
          </cell>
        </row>
        <row r="374">
          <cell r="A374">
            <v>348</v>
          </cell>
        </row>
        <row r="375">
          <cell r="A375">
            <v>349</v>
          </cell>
        </row>
        <row r="376">
          <cell r="A376">
            <v>350</v>
          </cell>
        </row>
        <row r="377">
          <cell r="A377">
            <v>351</v>
          </cell>
        </row>
        <row r="378">
          <cell r="A378">
            <v>352</v>
          </cell>
        </row>
        <row r="379">
          <cell r="A379">
            <v>353</v>
          </cell>
        </row>
        <row r="380">
          <cell r="A380">
            <v>354</v>
          </cell>
        </row>
        <row r="381">
          <cell r="A381">
            <v>355</v>
          </cell>
        </row>
        <row r="382">
          <cell r="A382">
            <v>356</v>
          </cell>
        </row>
        <row r="383">
          <cell r="A383">
            <v>357</v>
          </cell>
        </row>
        <row r="384">
          <cell r="A384">
            <v>358</v>
          </cell>
        </row>
        <row r="385">
          <cell r="A385">
            <v>359</v>
          </cell>
        </row>
        <row r="386">
          <cell r="A386">
            <v>360</v>
          </cell>
        </row>
        <row r="387">
          <cell r="A387" t="str">
            <v/>
          </cell>
        </row>
        <row r="388">
          <cell r="A388" t="str">
            <v/>
          </cell>
        </row>
        <row r="389">
          <cell r="A389" t="str">
            <v/>
          </cell>
        </row>
        <row r="390">
          <cell r="A390" t="str">
            <v/>
          </cell>
        </row>
        <row r="391">
          <cell r="A391" t="str">
            <v/>
          </cell>
        </row>
        <row r="392">
          <cell r="A392" t="str">
            <v/>
          </cell>
        </row>
        <row r="393">
          <cell r="A393" t="str">
            <v/>
          </cell>
        </row>
        <row r="394">
          <cell r="A394" t="str">
            <v/>
          </cell>
        </row>
        <row r="395">
          <cell r="A395" t="str">
            <v/>
          </cell>
        </row>
        <row r="396">
          <cell r="A396" t="str">
            <v/>
          </cell>
        </row>
        <row r="397">
          <cell r="A397" t="str">
            <v/>
          </cell>
        </row>
        <row r="398">
          <cell r="A398" t="str">
            <v/>
          </cell>
        </row>
        <row r="399">
          <cell r="A399" t="str">
            <v/>
          </cell>
        </row>
        <row r="400">
          <cell r="A400" t="str">
            <v/>
          </cell>
        </row>
        <row r="401">
          <cell r="A401" t="str">
            <v/>
          </cell>
        </row>
        <row r="402">
          <cell r="A402" t="str">
            <v/>
          </cell>
        </row>
        <row r="403">
          <cell r="A403" t="str">
            <v/>
          </cell>
        </row>
        <row r="404">
          <cell r="A404" t="str">
            <v/>
          </cell>
        </row>
        <row r="405">
          <cell r="A405" t="str">
            <v/>
          </cell>
        </row>
        <row r="406">
          <cell r="A406" t="str">
            <v/>
          </cell>
        </row>
        <row r="407">
          <cell r="A407" t="str">
            <v/>
          </cell>
        </row>
        <row r="408">
          <cell r="A408" t="str">
            <v/>
          </cell>
        </row>
        <row r="409">
          <cell r="A409" t="str">
            <v/>
          </cell>
        </row>
        <row r="410">
          <cell r="A410" t="str">
            <v/>
          </cell>
        </row>
        <row r="411">
          <cell r="A411" t="str">
            <v/>
          </cell>
        </row>
        <row r="412">
          <cell r="A412" t="str">
            <v/>
          </cell>
        </row>
        <row r="413">
          <cell r="A413" t="str">
            <v/>
          </cell>
        </row>
        <row r="414">
          <cell r="A414" t="str">
            <v/>
          </cell>
        </row>
        <row r="415">
          <cell r="A415" t="str">
            <v/>
          </cell>
        </row>
        <row r="416">
          <cell r="A416" t="str">
            <v/>
          </cell>
        </row>
        <row r="417">
          <cell r="A417" t="str">
            <v/>
          </cell>
        </row>
        <row r="418">
          <cell r="A418" t="str">
            <v/>
          </cell>
        </row>
        <row r="419">
          <cell r="A419" t="str">
            <v/>
          </cell>
        </row>
        <row r="420">
          <cell r="A420" t="str">
            <v/>
          </cell>
        </row>
        <row r="421">
          <cell r="A421" t="str">
            <v/>
          </cell>
        </row>
        <row r="422">
          <cell r="A422" t="str">
            <v/>
          </cell>
        </row>
        <row r="423">
          <cell r="A423" t="str">
            <v/>
          </cell>
        </row>
        <row r="424">
          <cell r="A424" t="str">
            <v/>
          </cell>
        </row>
        <row r="425">
          <cell r="A425" t="str">
            <v/>
          </cell>
        </row>
        <row r="426">
          <cell r="A426" t="str">
            <v/>
          </cell>
        </row>
        <row r="427">
          <cell r="A427" t="str">
            <v/>
          </cell>
        </row>
        <row r="428">
          <cell r="A428" t="str">
            <v/>
          </cell>
        </row>
        <row r="429">
          <cell r="A429" t="str">
            <v/>
          </cell>
        </row>
        <row r="430">
          <cell r="A430" t="str">
            <v/>
          </cell>
        </row>
        <row r="431">
          <cell r="A431" t="str">
            <v/>
          </cell>
        </row>
        <row r="432">
          <cell r="A432" t="str">
            <v/>
          </cell>
        </row>
        <row r="433">
          <cell r="A433" t="str">
            <v/>
          </cell>
        </row>
        <row r="434">
          <cell r="A434" t="str">
            <v/>
          </cell>
        </row>
        <row r="435">
          <cell r="A435" t="str">
            <v/>
          </cell>
        </row>
        <row r="436">
          <cell r="A436" t="str">
            <v/>
          </cell>
        </row>
        <row r="437">
          <cell r="A437" t="str">
            <v/>
          </cell>
        </row>
        <row r="438">
          <cell r="A438" t="str">
            <v/>
          </cell>
        </row>
        <row r="439">
          <cell r="A439" t="str">
            <v/>
          </cell>
        </row>
        <row r="440">
          <cell r="A440" t="str">
            <v/>
          </cell>
        </row>
        <row r="441">
          <cell r="A441" t="str">
            <v/>
          </cell>
        </row>
        <row r="442">
          <cell r="A442" t="str">
            <v/>
          </cell>
        </row>
        <row r="443">
          <cell r="A443" t="str">
            <v/>
          </cell>
        </row>
        <row r="444">
          <cell r="A444" t="str">
            <v/>
          </cell>
        </row>
        <row r="445">
          <cell r="A445" t="str">
            <v/>
          </cell>
        </row>
        <row r="446">
          <cell r="A446" t="str">
            <v/>
          </cell>
        </row>
        <row r="447">
          <cell r="A447" t="str">
            <v/>
          </cell>
        </row>
        <row r="448">
          <cell r="A448" t="str">
            <v/>
          </cell>
        </row>
        <row r="449">
          <cell r="A449" t="str">
            <v/>
          </cell>
        </row>
        <row r="450">
          <cell r="A450" t="str">
            <v/>
          </cell>
        </row>
        <row r="451">
          <cell r="A451" t="str">
            <v/>
          </cell>
        </row>
        <row r="452">
          <cell r="A452" t="str">
            <v/>
          </cell>
        </row>
        <row r="453">
          <cell r="A453" t="str">
            <v/>
          </cell>
        </row>
        <row r="454">
          <cell r="A454" t="str">
            <v/>
          </cell>
        </row>
        <row r="455">
          <cell r="A455" t="str">
            <v/>
          </cell>
        </row>
        <row r="456">
          <cell r="A456" t="str">
            <v/>
          </cell>
        </row>
        <row r="457">
          <cell r="A457" t="str">
            <v/>
          </cell>
        </row>
        <row r="458">
          <cell r="A458" t="str">
            <v/>
          </cell>
        </row>
        <row r="459">
          <cell r="A459" t="str">
            <v/>
          </cell>
        </row>
        <row r="460">
          <cell r="A460" t="str">
            <v/>
          </cell>
        </row>
        <row r="461">
          <cell r="A461" t="str">
            <v/>
          </cell>
        </row>
        <row r="462">
          <cell r="A462" t="str">
            <v/>
          </cell>
        </row>
        <row r="463">
          <cell r="A463" t="str">
            <v/>
          </cell>
        </row>
        <row r="464">
          <cell r="A464" t="str">
            <v/>
          </cell>
        </row>
        <row r="465">
          <cell r="A465" t="str">
            <v/>
          </cell>
        </row>
        <row r="466">
          <cell r="A466" t="str">
            <v/>
          </cell>
        </row>
        <row r="467">
          <cell r="A467" t="str">
            <v/>
          </cell>
        </row>
        <row r="468">
          <cell r="A468" t="str">
            <v/>
          </cell>
        </row>
        <row r="469">
          <cell r="A469" t="str">
            <v/>
          </cell>
        </row>
        <row r="470">
          <cell r="A470" t="str">
            <v/>
          </cell>
        </row>
        <row r="471">
          <cell r="A471" t="str">
            <v/>
          </cell>
        </row>
        <row r="472">
          <cell r="A472" t="str">
            <v/>
          </cell>
        </row>
        <row r="473">
          <cell r="A473" t="str">
            <v/>
          </cell>
        </row>
        <row r="474">
          <cell r="A474" t="str">
            <v/>
          </cell>
        </row>
        <row r="475">
          <cell r="A475" t="str">
            <v/>
          </cell>
        </row>
        <row r="476">
          <cell r="A476" t="str">
            <v/>
          </cell>
        </row>
        <row r="477">
          <cell r="A477" t="str">
            <v/>
          </cell>
        </row>
        <row r="478">
          <cell r="A478" t="str">
            <v/>
          </cell>
        </row>
        <row r="479">
          <cell r="A479" t="str">
            <v/>
          </cell>
        </row>
        <row r="480">
          <cell r="A480" t="str">
            <v/>
          </cell>
        </row>
        <row r="481">
          <cell r="A481" t="str">
            <v/>
          </cell>
        </row>
        <row r="482">
          <cell r="A482" t="str">
            <v/>
          </cell>
        </row>
        <row r="483">
          <cell r="A483" t="str">
            <v/>
          </cell>
        </row>
        <row r="484">
          <cell r="A484" t="str">
            <v/>
          </cell>
        </row>
        <row r="485">
          <cell r="A485" t="str">
            <v/>
          </cell>
        </row>
        <row r="486">
          <cell r="A486" t="str">
            <v/>
          </cell>
        </row>
        <row r="487">
          <cell r="A487" t="str">
            <v/>
          </cell>
        </row>
        <row r="488">
          <cell r="A488" t="str">
            <v/>
          </cell>
        </row>
        <row r="489">
          <cell r="A489" t="str">
            <v/>
          </cell>
        </row>
        <row r="490">
          <cell r="A490" t="str">
            <v/>
          </cell>
        </row>
        <row r="491">
          <cell r="A491" t="str">
            <v/>
          </cell>
        </row>
        <row r="492">
          <cell r="A492" t="str">
            <v/>
          </cell>
        </row>
        <row r="493">
          <cell r="A493" t="str">
            <v/>
          </cell>
        </row>
        <row r="494">
          <cell r="A494" t="str">
            <v/>
          </cell>
        </row>
        <row r="495">
          <cell r="A495" t="str">
            <v/>
          </cell>
        </row>
        <row r="496">
          <cell r="A496" t="str">
            <v/>
          </cell>
        </row>
        <row r="497">
          <cell r="A497" t="str">
            <v/>
          </cell>
        </row>
        <row r="498">
          <cell r="A498" t="str">
            <v/>
          </cell>
        </row>
        <row r="499">
          <cell r="A499" t="str">
            <v/>
          </cell>
        </row>
        <row r="500">
          <cell r="A500" t="str">
            <v/>
          </cell>
        </row>
        <row r="501">
          <cell r="A501" t="str">
            <v/>
          </cell>
        </row>
        <row r="502">
          <cell r="A502" t="str">
            <v/>
          </cell>
        </row>
        <row r="503">
          <cell r="A503" t="str">
            <v/>
          </cell>
        </row>
        <row r="504">
          <cell r="A504" t="str">
            <v/>
          </cell>
        </row>
        <row r="505">
          <cell r="A505" t="str">
            <v/>
          </cell>
        </row>
        <row r="506">
          <cell r="A506" t="str">
            <v/>
          </cell>
        </row>
        <row r="507">
          <cell r="A507" t="str">
            <v/>
          </cell>
        </row>
        <row r="508">
          <cell r="A508" t="str">
            <v/>
          </cell>
        </row>
        <row r="509">
          <cell r="A509" t="str">
            <v/>
          </cell>
        </row>
        <row r="510">
          <cell r="A510" t="str">
            <v/>
          </cell>
        </row>
        <row r="511">
          <cell r="A511" t="str">
            <v/>
          </cell>
        </row>
        <row r="512">
          <cell r="A512" t="str">
            <v/>
          </cell>
        </row>
        <row r="513">
          <cell r="A513" t="str">
            <v/>
          </cell>
        </row>
        <row r="514">
          <cell r="A514" t="str">
            <v/>
          </cell>
        </row>
        <row r="515">
          <cell r="A515" t="str">
            <v/>
          </cell>
        </row>
        <row r="516">
          <cell r="A516" t="str">
            <v/>
          </cell>
        </row>
        <row r="517">
          <cell r="A517" t="str">
            <v/>
          </cell>
        </row>
        <row r="518">
          <cell r="A518" t="str">
            <v/>
          </cell>
        </row>
        <row r="519">
          <cell r="A519" t="str">
            <v/>
          </cell>
        </row>
        <row r="520">
          <cell r="A520" t="str">
            <v/>
          </cell>
        </row>
        <row r="521">
          <cell r="A521" t="str">
            <v/>
          </cell>
        </row>
        <row r="522">
          <cell r="A522" t="str">
            <v/>
          </cell>
        </row>
        <row r="523">
          <cell r="A523" t="str">
            <v/>
          </cell>
        </row>
        <row r="524">
          <cell r="A524" t="str">
            <v/>
          </cell>
        </row>
        <row r="525">
          <cell r="A525" t="str">
            <v/>
          </cell>
        </row>
        <row r="526">
          <cell r="A526" t="str">
            <v/>
          </cell>
        </row>
        <row r="527">
          <cell r="A527" t="str">
            <v/>
          </cell>
        </row>
        <row r="528">
          <cell r="A528" t="str">
            <v/>
          </cell>
        </row>
        <row r="529">
          <cell r="A529" t="str">
            <v/>
          </cell>
        </row>
        <row r="530">
          <cell r="A530" t="str">
            <v/>
          </cell>
        </row>
        <row r="531">
          <cell r="A531" t="str">
            <v/>
          </cell>
        </row>
        <row r="532">
          <cell r="A532" t="str">
            <v/>
          </cell>
        </row>
        <row r="533">
          <cell r="A533" t="str">
            <v/>
          </cell>
        </row>
        <row r="534">
          <cell r="A534" t="str">
            <v/>
          </cell>
        </row>
        <row r="535">
          <cell r="A535" t="str">
            <v/>
          </cell>
        </row>
        <row r="536">
          <cell r="A536" t="str">
            <v/>
          </cell>
        </row>
        <row r="537">
          <cell r="A537" t="str">
            <v/>
          </cell>
        </row>
        <row r="538">
          <cell r="A538" t="str">
            <v/>
          </cell>
        </row>
        <row r="539">
          <cell r="A539" t="str">
            <v/>
          </cell>
        </row>
        <row r="540">
          <cell r="A540" t="str">
            <v/>
          </cell>
        </row>
        <row r="541">
          <cell r="A541" t="str">
            <v/>
          </cell>
        </row>
        <row r="542">
          <cell r="A542" t="str">
            <v/>
          </cell>
        </row>
        <row r="543">
          <cell r="A543" t="str">
            <v/>
          </cell>
        </row>
        <row r="544">
          <cell r="A544" t="str">
            <v/>
          </cell>
        </row>
        <row r="545">
          <cell r="A545" t="str">
            <v/>
          </cell>
        </row>
        <row r="546">
          <cell r="A546" t="str">
            <v/>
          </cell>
        </row>
        <row r="547">
          <cell r="A547" t="str">
            <v/>
          </cell>
        </row>
        <row r="548">
          <cell r="A548" t="str">
            <v/>
          </cell>
        </row>
        <row r="549">
          <cell r="A549" t="str">
            <v/>
          </cell>
        </row>
        <row r="550">
          <cell r="A550" t="str">
            <v/>
          </cell>
        </row>
        <row r="551">
          <cell r="A551" t="str">
            <v/>
          </cell>
        </row>
        <row r="552">
          <cell r="A552" t="str">
            <v/>
          </cell>
        </row>
        <row r="553">
          <cell r="A553" t="str">
            <v/>
          </cell>
        </row>
        <row r="554">
          <cell r="A554" t="str">
            <v/>
          </cell>
        </row>
        <row r="555">
          <cell r="A555" t="str">
            <v/>
          </cell>
        </row>
        <row r="556">
          <cell r="A556" t="str">
            <v/>
          </cell>
        </row>
        <row r="557">
          <cell r="A557" t="str">
            <v/>
          </cell>
        </row>
        <row r="558">
          <cell r="A558" t="str">
            <v/>
          </cell>
        </row>
        <row r="559">
          <cell r="A559" t="str">
            <v/>
          </cell>
        </row>
        <row r="560">
          <cell r="A560" t="str">
            <v/>
          </cell>
        </row>
        <row r="561">
          <cell r="A561" t="str">
            <v/>
          </cell>
        </row>
        <row r="562">
          <cell r="A562" t="str">
            <v/>
          </cell>
        </row>
        <row r="563">
          <cell r="A563" t="str">
            <v/>
          </cell>
        </row>
        <row r="564">
          <cell r="A564" t="str">
            <v/>
          </cell>
        </row>
        <row r="565">
          <cell r="A565" t="str">
            <v/>
          </cell>
        </row>
        <row r="566">
          <cell r="A566" t="str">
            <v/>
          </cell>
        </row>
        <row r="567">
          <cell r="A567" t="str">
            <v/>
          </cell>
        </row>
        <row r="568">
          <cell r="A568" t="str">
            <v/>
          </cell>
        </row>
        <row r="569">
          <cell r="A569" t="str">
            <v/>
          </cell>
        </row>
        <row r="570">
          <cell r="A570" t="str">
            <v/>
          </cell>
        </row>
        <row r="571">
          <cell r="A571" t="str">
            <v/>
          </cell>
        </row>
        <row r="572">
          <cell r="A572" t="str">
            <v/>
          </cell>
        </row>
        <row r="573">
          <cell r="A573" t="str">
            <v/>
          </cell>
        </row>
        <row r="574">
          <cell r="A574" t="str">
            <v/>
          </cell>
        </row>
        <row r="575">
          <cell r="A575" t="str">
            <v/>
          </cell>
        </row>
        <row r="576">
          <cell r="A576" t="str">
            <v/>
          </cell>
        </row>
        <row r="577">
          <cell r="A577" t="str">
            <v/>
          </cell>
        </row>
        <row r="578">
          <cell r="A578" t="str">
            <v/>
          </cell>
        </row>
        <row r="579">
          <cell r="A579" t="str">
            <v/>
          </cell>
        </row>
        <row r="580">
          <cell r="A580" t="str">
            <v/>
          </cell>
        </row>
        <row r="581">
          <cell r="A581" t="str">
            <v/>
          </cell>
        </row>
        <row r="582">
          <cell r="A582" t="str">
            <v/>
          </cell>
        </row>
        <row r="583">
          <cell r="A583" t="str">
            <v/>
          </cell>
        </row>
        <row r="584">
          <cell r="A584" t="str">
            <v/>
          </cell>
        </row>
        <row r="585">
          <cell r="A585" t="str">
            <v/>
          </cell>
        </row>
        <row r="586">
          <cell r="A586" t="str">
            <v/>
          </cell>
        </row>
        <row r="587">
          <cell r="A587" t="str">
            <v/>
          </cell>
        </row>
        <row r="588">
          <cell r="A588" t="str">
            <v/>
          </cell>
        </row>
        <row r="589">
          <cell r="A589" t="str">
            <v/>
          </cell>
        </row>
        <row r="590">
          <cell r="A590" t="str">
            <v/>
          </cell>
        </row>
        <row r="591">
          <cell r="A591" t="str">
            <v/>
          </cell>
        </row>
        <row r="592">
          <cell r="A592" t="str">
            <v/>
          </cell>
        </row>
        <row r="593">
          <cell r="A593" t="str">
            <v/>
          </cell>
        </row>
        <row r="594">
          <cell r="A594" t="str">
            <v/>
          </cell>
        </row>
        <row r="595">
          <cell r="A595" t="str">
            <v/>
          </cell>
        </row>
        <row r="596">
          <cell r="A596" t="str">
            <v/>
          </cell>
        </row>
        <row r="597">
          <cell r="A597" t="str">
            <v/>
          </cell>
        </row>
        <row r="598">
          <cell r="A598" t="str">
            <v/>
          </cell>
        </row>
        <row r="599">
          <cell r="A599" t="str">
            <v/>
          </cell>
        </row>
        <row r="600">
          <cell r="A600" t="str">
            <v/>
          </cell>
        </row>
        <row r="601">
          <cell r="A601" t="str">
            <v/>
          </cell>
        </row>
        <row r="602">
          <cell r="A602" t="str">
            <v/>
          </cell>
        </row>
        <row r="603">
          <cell r="A603" t="str">
            <v/>
          </cell>
        </row>
        <row r="604">
          <cell r="A604" t="str">
            <v/>
          </cell>
        </row>
        <row r="605">
          <cell r="A605" t="str">
            <v/>
          </cell>
        </row>
        <row r="606">
          <cell r="A606" t="str">
            <v/>
          </cell>
        </row>
        <row r="607">
          <cell r="A607" t="str">
            <v/>
          </cell>
        </row>
        <row r="608">
          <cell r="A608" t="str">
            <v/>
          </cell>
        </row>
        <row r="609">
          <cell r="A609" t="str">
            <v/>
          </cell>
        </row>
        <row r="610">
          <cell r="A610" t="str">
            <v/>
          </cell>
        </row>
        <row r="611">
          <cell r="A611" t="str">
            <v/>
          </cell>
        </row>
        <row r="612">
          <cell r="A612" t="str">
            <v/>
          </cell>
        </row>
        <row r="613">
          <cell r="A613" t="str">
            <v/>
          </cell>
        </row>
        <row r="614">
          <cell r="A614" t="str">
            <v/>
          </cell>
        </row>
        <row r="615">
          <cell r="A615" t="str">
            <v/>
          </cell>
        </row>
        <row r="616">
          <cell r="A616" t="str">
            <v/>
          </cell>
        </row>
        <row r="617">
          <cell r="A617" t="str">
            <v/>
          </cell>
        </row>
        <row r="618">
          <cell r="A618" t="str">
            <v/>
          </cell>
        </row>
        <row r="619">
          <cell r="A619" t="str">
            <v/>
          </cell>
        </row>
        <row r="620">
          <cell r="A620" t="str">
            <v/>
          </cell>
        </row>
        <row r="621">
          <cell r="A621" t="str">
            <v/>
          </cell>
        </row>
        <row r="622">
          <cell r="A622" t="str">
            <v/>
          </cell>
        </row>
        <row r="623">
          <cell r="A623" t="str">
            <v/>
          </cell>
        </row>
        <row r="624">
          <cell r="A624" t="str">
            <v/>
          </cell>
        </row>
        <row r="625">
          <cell r="A625" t="str">
            <v/>
          </cell>
        </row>
        <row r="626">
          <cell r="A626" t="str">
            <v/>
          </cell>
        </row>
        <row r="627">
          <cell r="A627" t="str">
            <v/>
          </cell>
        </row>
        <row r="628">
          <cell r="A628" t="str">
            <v/>
          </cell>
        </row>
        <row r="629">
          <cell r="A629" t="str">
            <v/>
          </cell>
        </row>
        <row r="630">
          <cell r="A630" t="str">
            <v/>
          </cell>
        </row>
        <row r="631">
          <cell r="A631" t="str">
            <v/>
          </cell>
        </row>
        <row r="632">
          <cell r="A632" t="str">
            <v/>
          </cell>
        </row>
        <row r="633">
          <cell r="A633" t="str">
            <v/>
          </cell>
        </row>
        <row r="634">
          <cell r="A634" t="str">
            <v/>
          </cell>
        </row>
        <row r="635">
          <cell r="A635" t="str">
            <v/>
          </cell>
        </row>
        <row r="636">
          <cell r="A636" t="str">
            <v/>
          </cell>
        </row>
        <row r="637">
          <cell r="A637" t="str">
            <v/>
          </cell>
        </row>
        <row r="638">
          <cell r="A638" t="str">
            <v/>
          </cell>
        </row>
        <row r="639">
          <cell r="A639" t="str">
            <v/>
          </cell>
        </row>
        <row r="640">
          <cell r="A640" t="str">
            <v/>
          </cell>
        </row>
        <row r="641">
          <cell r="A641" t="str">
            <v/>
          </cell>
        </row>
        <row r="642">
          <cell r="A642" t="str">
            <v/>
          </cell>
        </row>
        <row r="643">
          <cell r="A643" t="str">
            <v/>
          </cell>
        </row>
        <row r="644">
          <cell r="A644" t="str">
            <v/>
          </cell>
        </row>
        <row r="645">
          <cell r="A645" t="str">
            <v/>
          </cell>
        </row>
        <row r="646">
          <cell r="A646" t="str">
            <v/>
          </cell>
        </row>
        <row r="647">
          <cell r="A647" t="str">
            <v/>
          </cell>
        </row>
        <row r="648">
          <cell r="A648" t="str">
            <v/>
          </cell>
        </row>
        <row r="649">
          <cell r="A649" t="str">
            <v/>
          </cell>
        </row>
        <row r="650">
          <cell r="A650" t="str">
            <v/>
          </cell>
        </row>
        <row r="651">
          <cell r="A651" t="str">
            <v/>
          </cell>
        </row>
        <row r="652">
          <cell r="A652" t="str">
            <v/>
          </cell>
        </row>
        <row r="653">
          <cell r="A653" t="str">
            <v/>
          </cell>
        </row>
        <row r="654">
          <cell r="A654" t="str">
            <v/>
          </cell>
        </row>
        <row r="655">
          <cell r="A655" t="str">
            <v/>
          </cell>
        </row>
        <row r="656">
          <cell r="A656" t="str">
            <v/>
          </cell>
        </row>
        <row r="657">
          <cell r="A657" t="str">
            <v/>
          </cell>
        </row>
        <row r="658">
          <cell r="A658" t="str">
            <v/>
          </cell>
        </row>
        <row r="659">
          <cell r="A659" t="str">
            <v/>
          </cell>
        </row>
        <row r="660">
          <cell r="A660" t="str">
            <v/>
          </cell>
        </row>
        <row r="661">
          <cell r="A661" t="str">
            <v/>
          </cell>
        </row>
        <row r="662">
          <cell r="A662" t="str">
            <v/>
          </cell>
        </row>
        <row r="663">
          <cell r="A663" t="str">
            <v/>
          </cell>
        </row>
        <row r="664">
          <cell r="A664" t="str">
            <v/>
          </cell>
        </row>
        <row r="665">
          <cell r="A665" t="str">
            <v/>
          </cell>
        </row>
        <row r="666">
          <cell r="A666" t="str">
            <v/>
          </cell>
        </row>
        <row r="667">
          <cell r="A667" t="str">
            <v/>
          </cell>
        </row>
        <row r="668">
          <cell r="A668" t="str">
            <v/>
          </cell>
        </row>
        <row r="669">
          <cell r="A669" t="str">
            <v/>
          </cell>
        </row>
        <row r="670">
          <cell r="A670" t="str">
            <v/>
          </cell>
        </row>
        <row r="671">
          <cell r="A671" t="str">
            <v/>
          </cell>
        </row>
        <row r="672">
          <cell r="A672" t="str">
            <v/>
          </cell>
        </row>
        <row r="673">
          <cell r="A673" t="str">
            <v/>
          </cell>
        </row>
        <row r="674">
          <cell r="A674" t="str">
            <v/>
          </cell>
        </row>
        <row r="675">
          <cell r="A675" t="str">
            <v/>
          </cell>
        </row>
        <row r="676">
          <cell r="A676" t="str">
            <v/>
          </cell>
        </row>
        <row r="677">
          <cell r="A677" t="str">
            <v/>
          </cell>
        </row>
        <row r="678">
          <cell r="A678" t="str">
            <v/>
          </cell>
        </row>
        <row r="679">
          <cell r="A679" t="str">
            <v/>
          </cell>
        </row>
        <row r="680">
          <cell r="A680" t="str">
            <v/>
          </cell>
        </row>
        <row r="681">
          <cell r="A681" t="str">
            <v/>
          </cell>
        </row>
        <row r="682">
          <cell r="A682" t="str">
            <v/>
          </cell>
        </row>
        <row r="683">
          <cell r="A683" t="str">
            <v/>
          </cell>
        </row>
        <row r="684">
          <cell r="A684" t="str">
            <v/>
          </cell>
        </row>
        <row r="685">
          <cell r="A685" t="str">
            <v/>
          </cell>
        </row>
        <row r="686">
          <cell r="A686" t="str">
            <v/>
          </cell>
        </row>
        <row r="687">
          <cell r="A687" t="str">
            <v/>
          </cell>
        </row>
        <row r="688">
          <cell r="A688" t="str">
            <v/>
          </cell>
        </row>
        <row r="689">
          <cell r="A689" t="str">
            <v/>
          </cell>
        </row>
        <row r="690">
          <cell r="A690" t="str">
            <v/>
          </cell>
        </row>
        <row r="691">
          <cell r="A691" t="str">
            <v/>
          </cell>
        </row>
        <row r="692">
          <cell r="A692" t="str">
            <v/>
          </cell>
        </row>
        <row r="693">
          <cell r="A693" t="str">
            <v/>
          </cell>
        </row>
        <row r="694">
          <cell r="A694" t="str">
            <v/>
          </cell>
        </row>
        <row r="695">
          <cell r="A695" t="str">
            <v/>
          </cell>
        </row>
        <row r="696">
          <cell r="A696" t="str">
            <v/>
          </cell>
        </row>
        <row r="697">
          <cell r="A697" t="str">
            <v/>
          </cell>
        </row>
        <row r="698">
          <cell r="A698" t="str">
            <v/>
          </cell>
        </row>
        <row r="699">
          <cell r="A699" t="str">
            <v/>
          </cell>
        </row>
        <row r="700">
          <cell r="A700" t="str">
            <v/>
          </cell>
        </row>
        <row r="701">
          <cell r="A701" t="str">
            <v/>
          </cell>
        </row>
        <row r="702">
          <cell r="A702" t="str">
            <v/>
          </cell>
        </row>
        <row r="703">
          <cell r="A703" t="str">
            <v/>
          </cell>
        </row>
        <row r="704">
          <cell r="A704" t="str">
            <v/>
          </cell>
        </row>
        <row r="705">
          <cell r="A705" t="str">
            <v/>
          </cell>
        </row>
        <row r="706">
          <cell r="A706" t="str">
            <v/>
          </cell>
        </row>
        <row r="707">
          <cell r="A707" t="str">
            <v/>
          </cell>
        </row>
        <row r="708">
          <cell r="A708" t="str">
            <v/>
          </cell>
        </row>
        <row r="709">
          <cell r="A709" t="str">
            <v/>
          </cell>
        </row>
        <row r="710">
          <cell r="A710" t="str">
            <v/>
          </cell>
        </row>
        <row r="711">
          <cell r="A711" t="str">
            <v/>
          </cell>
        </row>
        <row r="712">
          <cell r="A712" t="str">
            <v/>
          </cell>
        </row>
        <row r="713">
          <cell r="A713" t="str">
            <v/>
          </cell>
        </row>
        <row r="714">
          <cell r="A714" t="str">
            <v/>
          </cell>
        </row>
        <row r="715">
          <cell r="A715" t="str">
            <v/>
          </cell>
        </row>
        <row r="716">
          <cell r="A716" t="str">
            <v/>
          </cell>
        </row>
        <row r="717">
          <cell r="A717" t="str">
            <v/>
          </cell>
        </row>
        <row r="718">
          <cell r="A718" t="str">
            <v/>
          </cell>
        </row>
        <row r="719">
          <cell r="A719" t="str">
            <v/>
          </cell>
        </row>
        <row r="720">
          <cell r="A720" t="str">
            <v/>
          </cell>
        </row>
        <row r="721">
          <cell r="A721" t="str">
            <v/>
          </cell>
        </row>
        <row r="722">
          <cell r="A722" t="str">
            <v/>
          </cell>
        </row>
        <row r="723">
          <cell r="A723" t="str">
            <v/>
          </cell>
        </row>
        <row r="724">
          <cell r="A724" t="str">
            <v/>
          </cell>
        </row>
        <row r="725">
          <cell r="A725" t="str">
            <v/>
          </cell>
        </row>
        <row r="726">
          <cell r="A726" t="str">
            <v/>
          </cell>
        </row>
        <row r="727">
          <cell r="A727" t="str">
            <v/>
          </cell>
        </row>
        <row r="728">
          <cell r="A728" t="str">
            <v/>
          </cell>
        </row>
        <row r="729">
          <cell r="A729" t="str">
            <v/>
          </cell>
        </row>
        <row r="730">
          <cell r="A730" t="str">
            <v/>
          </cell>
        </row>
        <row r="731">
          <cell r="A731" t="str">
            <v/>
          </cell>
        </row>
        <row r="732">
          <cell r="A732" t="str">
            <v/>
          </cell>
        </row>
        <row r="733">
          <cell r="A733" t="str">
            <v/>
          </cell>
        </row>
        <row r="734">
          <cell r="A734" t="str">
            <v/>
          </cell>
        </row>
        <row r="735">
          <cell r="A735" t="str">
            <v/>
          </cell>
        </row>
        <row r="736">
          <cell r="A736" t="str">
            <v/>
          </cell>
        </row>
        <row r="737">
          <cell r="A737" t="str">
            <v/>
          </cell>
        </row>
        <row r="738">
          <cell r="A738" t="str">
            <v/>
          </cell>
        </row>
        <row r="739">
          <cell r="A739" t="str">
            <v/>
          </cell>
        </row>
        <row r="740">
          <cell r="A740" t="str">
            <v/>
          </cell>
        </row>
        <row r="741">
          <cell r="A741" t="str">
            <v/>
          </cell>
        </row>
        <row r="742">
          <cell r="A742" t="str">
            <v/>
          </cell>
        </row>
        <row r="743">
          <cell r="A743" t="str">
            <v/>
          </cell>
        </row>
        <row r="744">
          <cell r="A744" t="str">
            <v/>
          </cell>
        </row>
        <row r="745">
          <cell r="A745" t="str">
            <v/>
          </cell>
        </row>
        <row r="746">
          <cell r="A746" t="str">
            <v/>
          </cell>
        </row>
        <row r="747">
          <cell r="A747" t="str">
            <v/>
          </cell>
        </row>
        <row r="748">
          <cell r="A748" t="str">
            <v/>
          </cell>
        </row>
        <row r="749">
          <cell r="A749" t="str">
            <v/>
          </cell>
        </row>
        <row r="750">
          <cell r="A750" t="str">
            <v/>
          </cell>
        </row>
        <row r="751">
          <cell r="A751" t="str">
            <v/>
          </cell>
        </row>
        <row r="752">
          <cell r="A752" t="str">
            <v/>
          </cell>
        </row>
        <row r="753">
          <cell r="A753" t="str">
            <v/>
          </cell>
        </row>
        <row r="754">
          <cell r="A754" t="str">
            <v/>
          </cell>
        </row>
        <row r="755">
          <cell r="A755" t="str">
            <v/>
          </cell>
        </row>
        <row r="756">
          <cell r="A756" t="str">
            <v/>
          </cell>
        </row>
        <row r="757">
          <cell r="A757" t="str">
            <v/>
          </cell>
        </row>
        <row r="758">
          <cell r="A758" t="str">
            <v/>
          </cell>
        </row>
        <row r="759">
          <cell r="A759" t="str">
            <v/>
          </cell>
        </row>
        <row r="760">
          <cell r="A760" t="str">
            <v/>
          </cell>
        </row>
        <row r="761">
          <cell r="A761" t="str">
            <v/>
          </cell>
        </row>
        <row r="762">
          <cell r="A762" t="str">
            <v/>
          </cell>
        </row>
        <row r="763">
          <cell r="A763" t="str">
            <v/>
          </cell>
        </row>
        <row r="764">
          <cell r="A764" t="str">
            <v/>
          </cell>
        </row>
        <row r="765">
          <cell r="A765" t="str">
            <v/>
          </cell>
        </row>
        <row r="766">
          <cell r="A766" t="str">
            <v/>
          </cell>
        </row>
        <row r="767">
          <cell r="A767" t="str">
            <v/>
          </cell>
        </row>
        <row r="768">
          <cell r="A768" t="str">
            <v/>
          </cell>
        </row>
        <row r="769">
          <cell r="A769" t="str">
            <v/>
          </cell>
        </row>
        <row r="770">
          <cell r="A770" t="str">
            <v/>
          </cell>
        </row>
        <row r="771">
          <cell r="A771" t="str">
            <v/>
          </cell>
        </row>
        <row r="772">
          <cell r="A772" t="str">
            <v/>
          </cell>
        </row>
        <row r="773">
          <cell r="A773" t="str">
            <v/>
          </cell>
        </row>
        <row r="774">
          <cell r="A774" t="str">
            <v/>
          </cell>
        </row>
        <row r="775">
          <cell r="A775" t="str">
            <v/>
          </cell>
        </row>
        <row r="776">
          <cell r="A776" t="str">
            <v/>
          </cell>
        </row>
        <row r="777">
          <cell r="A777" t="str">
            <v/>
          </cell>
        </row>
        <row r="778">
          <cell r="A778" t="str">
            <v/>
          </cell>
        </row>
        <row r="779">
          <cell r="A779" t="str">
            <v/>
          </cell>
        </row>
        <row r="780">
          <cell r="A780" t="str">
            <v/>
          </cell>
        </row>
        <row r="781">
          <cell r="A781" t="str">
            <v/>
          </cell>
        </row>
        <row r="782">
          <cell r="A782" t="str">
            <v/>
          </cell>
        </row>
        <row r="783">
          <cell r="A783" t="str">
            <v/>
          </cell>
        </row>
        <row r="784">
          <cell r="A784" t="str">
            <v/>
          </cell>
        </row>
        <row r="785">
          <cell r="A785" t="str">
            <v/>
          </cell>
        </row>
        <row r="786">
          <cell r="A786" t="str">
            <v/>
          </cell>
        </row>
        <row r="787">
          <cell r="A787" t="str">
            <v/>
          </cell>
        </row>
        <row r="788">
          <cell r="A788" t="str">
            <v/>
          </cell>
        </row>
        <row r="789">
          <cell r="A789" t="str">
            <v/>
          </cell>
        </row>
        <row r="790">
          <cell r="A790" t="str">
            <v/>
          </cell>
        </row>
        <row r="791">
          <cell r="A791" t="str">
            <v/>
          </cell>
        </row>
        <row r="792">
          <cell r="A792" t="str">
            <v/>
          </cell>
        </row>
        <row r="793">
          <cell r="A793" t="str">
            <v/>
          </cell>
        </row>
        <row r="794">
          <cell r="A794" t="str">
            <v/>
          </cell>
        </row>
        <row r="795">
          <cell r="A795" t="str">
            <v/>
          </cell>
        </row>
        <row r="796">
          <cell r="A796" t="str">
            <v/>
          </cell>
        </row>
        <row r="797">
          <cell r="A797" t="str">
            <v/>
          </cell>
        </row>
        <row r="798">
          <cell r="A798" t="str">
            <v/>
          </cell>
        </row>
        <row r="799">
          <cell r="A799" t="str">
            <v/>
          </cell>
        </row>
        <row r="800">
          <cell r="A800" t="str">
            <v/>
          </cell>
        </row>
        <row r="801">
          <cell r="A801" t="str">
            <v/>
          </cell>
        </row>
        <row r="802">
          <cell r="A802" t="str">
            <v/>
          </cell>
        </row>
        <row r="803">
          <cell r="A803" t="str">
            <v/>
          </cell>
        </row>
        <row r="804">
          <cell r="A804" t="str">
            <v/>
          </cell>
        </row>
        <row r="805">
          <cell r="A805" t="str">
            <v/>
          </cell>
        </row>
        <row r="806">
          <cell r="A806" t="str">
            <v/>
          </cell>
        </row>
        <row r="807">
          <cell r="A807" t="str">
            <v/>
          </cell>
        </row>
        <row r="808">
          <cell r="A808" t="str">
            <v/>
          </cell>
        </row>
        <row r="809">
          <cell r="A809" t="str">
            <v/>
          </cell>
        </row>
        <row r="810">
          <cell r="A810" t="str">
            <v/>
          </cell>
        </row>
        <row r="811">
          <cell r="A811" t="str">
            <v/>
          </cell>
        </row>
        <row r="812">
          <cell r="A812" t="str">
            <v/>
          </cell>
        </row>
        <row r="813">
          <cell r="A813" t="str">
            <v/>
          </cell>
        </row>
        <row r="814">
          <cell r="A814" t="str">
            <v/>
          </cell>
        </row>
        <row r="815">
          <cell r="A815" t="str">
            <v/>
          </cell>
        </row>
        <row r="816">
          <cell r="A816" t="str">
            <v/>
          </cell>
        </row>
        <row r="817">
          <cell r="A817" t="str">
            <v/>
          </cell>
        </row>
        <row r="818">
          <cell r="A818" t="str">
            <v/>
          </cell>
        </row>
        <row r="819">
          <cell r="A819" t="str">
            <v/>
          </cell>
        </row>
        <row r="820">
          <cell r="A820" t="str">
            <v/>
          </cell>
        </row>
        <row r="821">
          <cell r="A821" t="str">
            <v/>
          </cell>
        </row>
        <row r="822">
          <cell r="A822" t="str">
            <v/>
          </cell>
        </row>
        <row r="823">
          <cell r="A823" t="str">
            <v/>
          </cell>
        </row>
        <row r="824">
          <cell r="A824" t="str">
            <v/>
          </cell>
        </row>
        <row r="825">
          <cell r="A825" t="str">
            <v/>
          </cell>
        </row>
        <row r="826">
          <cell r="A826" t="str">
            <v/>
          </cell>
        </row>
        <row r="827">
          <cell r="A827" t="str">
            <v/>
          </cell>
        </row>
        <row r="828">
          <cell r="A828" t="str">
            <v/>
          </cell>
        </row>
        <row r="829">
          <cell r="A829" t="str">
            <v/>
          </cell>
        </row>
        <row r="830">
          <cell r="A830" t="str">
            <v/>
          </cell>
        </row>
        <row r="831">
          <cell r="A831" t="str">
            <v/>
          </cell>
        </row>
        <row r="832">
          <cell r="A832" t="str">
            <v/>
          </cell>
        </row>
        <row r="833">
          <cell r="A833" t="str">
            <v/>
          </cell>
        </row>
        <row r="834">
          <cell r="A834" t="str">
            <v/>
          </cell>
        </row>
        <row r="835">
          <cell r="A835" t="str">
            <v/>
          </cell>
        </row>
        <row r="836">
          <cell r="A836" t="str">
            <v/>
          </cell>
        </row>
        <row r="837">
          <cell r="A837" t="str">
            <v/>
          </cell>
        </row>
        <row r="838">
          <cell r="A838" t="str">
            <v/>
          </cell>
        </row>
        <row r="839">
          <cell r="A839" t="str">
            <v/>
          </cell>
        </row>
        <row r="840">
          <cell r="A840" t="str">
            <v/>
          </cell>
        </row>
        <row r="841">
          <cell r="A841" t="str">
            <v/>
          </cell>
        </row>
        <row r="842">
          <cell r="A842" t="str">
            <v/>
          </cell>
        </row>
        <row r="843">
          <cell r="A843" t="str">
            <v/>
          </cell>
        </row>
        <row r="844">
          <cell r="A844" t="str">
            <v/>
          </cell>
        </row>
        <row r="845">
          <cell r="A845" t="str">
            <v/>
          </cell>
        </row>
        <row r="846">
          <cell r="A846" t="str">
            <v/>
          </cell>
        </row>
        <row r="847">
          <cell r="A847" t="str">
            <v/>
          </cell>
        </row>
        <row r="848">
          <cell r="A848" t="str">
            <v/>
          </cell>
        </row>
        <row r="849">
          <cell r="A849" t="str">
            <v/>
          </cell>
        </row>
        <row r="850">
          <cell r="A850" t="str">
            <v/>
          </cell>
        </row>
        <row r="851">
          <cell r="A851" t="str">
            <v/>
          </cell>
        </row>
        <row r="852">
          <cell r="A852" t="str">
            <v/>
          </cell>
        </row>
        <row r="853">
          <cell r="A853" t="str">
            <v/>
          </cell>
        </row>
        <row r="854">
          <cell r="A854" t="str">
            <v/>
          </cell>
        </row>
        <row r="855">
          <cell r="A855" t="str">
            <v/>
          </cell>
        </row>
        <row r="856">
          <cell r="A856" t="str">
            <v/>
          </cell>
        </row>
        <row r="857">
          <cell r="A857" t="str">
            <v/>
          </cell>
        </row>
        <row r="858">
          <cell r="A858" t="str">
            <v/>
          </cell>
        </row>
        <row r="859">
          <cell r="A859" t="str">
            <v/>
          </cell>
        </row>
        <row r="860">
          <cell r="A860" t="str">
            <v/>
          </cell>
        </row>
        <row r="861">
          <cell r="A861" t="str">
            <v/>
          </cell>
        </row>
        <row r="862">
          <cell r="A862" t="str">
            <v/>
          </cell>
        </row>
        <row r="863">
          <cell r="A863" t="str">
            <v/>
          </cell>
        </row>
        <row r="864">
          <cell r="A864" t="str">
            <v/>
          </cell>
        </row>
        <row r="865">
          <cell r="A865" t="str">
            <v/>
          </cell>
        </row>
        <row r="866">
          <cell r="A866" t="str">
            <v/>
          </cell>
        </row>
        <row r="867">
          <cell r="A867" t="str">
            <v/>
          </cell>
        </row>
        <row r="868">
          <cell r="A868" t="str">
            <v/>
          </cell>
        </row>
        <row r="869">
          <cell r="A869" t="str">
            <v/>
          </cell>
        </row>
        <row r="870">
          <cell r="A870" t="str">
            <v/>
          </cell>
        </row>
        <row r="871">
          <cell r="A871" t="str">
            <v/>
          </cell>
        </row>
        <row r="872">
          <cell r="A872" t="str">
            <v/>
          </cell>
        </row>
        <row r="873">
          <cell r="A873" t="str">
            <v/>
          </cell>
        </row>
        <row r="874">
          <cell r="A874" t="str">
            <v/>
          </cell>
        </row>
        <row r="875">
          <cell r="A875" t="str">
            <v/>
          </cell>
        </row>
        <row r="876">
          <cell r="A876" t="str">
            <v/>
          </cell>
        </row>
        <row r="877">
          <cell r="A877" t="str">
            <v/>
          </cell>
        </row>
        <row r="878">
          <cell r="A878" t="str">
            <v/>
          </cell>
        </row>
        <row r="879">
          <cell r="A879" t="str">
            <v/>
          </cell>
        </row>
        <row r="880">
          <cell r="A880" t="str">
            <v/>
          </cell>
        </row>
        <row r="881">
          <cell r="A881" t="str">
            <v/>
          </cell>
        </row>
        <row r="882">
          <cell r="A882" t="str">
            <v/>
          </cell>
        </row>
        <row r="883">
          <cell r="A883" t="str">
            <v/>
          </cell>
        </row>
        <row r="884">
          <cell r="A884" t="str">
            <v/>
          </cell>
        </row>
        <row r="885">
          <cell r="A885" t="str">
            <v/>
          </cell>
        </row>
        <row r="886">
          <cell r="A886" t="str">
            <v/>
          </cell>
        </row>
        <row r="887">
          <cell r="A887" t="str">
            <v/>
          </cell>
        </row>
        <row r="888">
          <cell r="A888" t="str">
            <v/>
          </cell>
        </row>
        <row r="889">
          <cell r="A889" t="str">
            <v/>
          </cell>
        </row>
        <row r="890">
          <cell r="A890" t="str">
            <v/>
          </cell>
        </row>
        <row r="891">
          <cell r="A891" t="str">
            <v/>
          </cell>
        </row>
        <row r="892">
          <cell r="A892" t="str">
            <v/>
          </cell>
        </row>
        <row r="893">
          <cell r="A893" t="str">
            <v/>
          </cell>
        </row>
        <row r="894">
          <cell r="A894" t="str">
            <v/>
          </cell>
        </row>
        <row r="895">
          <cell r="A895" t="str">
            <v/>
          </cell>
        </row>
        <row r="896">
          <cell r="A896" t="str">
            <v/>
          </cell>
        </row>
        <row r="897">
          <cell r="A897" t="str">
            <v/>
          </cell>
        </row>
        <row r="898">
          <cell r="A898" t="str">
            <v/>
          </cell>
        </row>
        <row r="899">
          <cell r="A899" t="str">
            <v/>
          </cell>
        </row>
        <row r="900">
          <cell r="A900" t="str">
            <v/>
          </cell>
        </row>
        <row r="901">
          <cell r="A901" t="str">
            <v/>
          </cell>
        </row>
        <row r="902">
          <cell r="A902" t="str">
            <v/>
          </cell>
        </row>
        <row r="903">
          <cell r="A903" t="str">
            <v/>
          </cell>
        </row>
        <row r="904">
          <cell r="A904" t="str">
            <v/>
          </cell>
        </row>
        <row r="905">
          <cell r="A905" t="str">
            <v/>
          </cell>
        </row>
        <row r="906">
          <cell r="A906" t="str">
            <v/>
          </cell>
        </row>
        <row r="907">
          <cell r="A907" t="str">
            <v/>
          </cell>
        </row>
        <row r="908">
          <cell r="A908" t="str">
            <v/>
          </cell>
        </row>
        <row r="909">
          <cell r="A909" t="str">
            <v/>
          </cell>
        </row>
        <row r="910">
          <cell r="A910" t="str">
            <v/>
          </cell>
        </row>
        <row r="911">
          <cell r="A911" t="str">
            <v/>
          </cell>
        </row>
        <row r="912">
          <cell r="A912" t="str">
            <v/>
          </cell>
        </row>
        <row r="913">
          <cell r="A913" t="str">
            <v/>
          </cell>
        </row>
        <row r="914">
          <cell r="A914" t="str">
            <v/>
          </cell>
        </row>
        <row r="915">
          <cell r="A915" t="str">
            <v/>
          </cell>
        </row>
        <row r="916">
          <cell r="A916" t="str">
            <v/>
          </cell>
        </row>
        <row r="917">
          <cell r="A917" t="str">
            <v/>
          </cell>
        </row>
        <row r="918">
          <cell r="A918" t="str">
            <v/>
          </cell>
        </row>
        <row r="919">
          <cell r="A919" t="str">
            <v/>
          </cell>
        </row>
        <row r="920">
          <cell r="A920" t="str">
            <v/>
          </cell>
        </row>
        <row r="921">
          <cell r="A921" t="str">
            <v/>
          </cell>
        </row>
        <row r="922">
          <cell r="A922" t="str">
            <v/>
          </cell>
        </row>
        <row r="923">
          <cell r="A923" t="str">
            <v/>
          </cell>
        </row>
        <row r="924">
          <cell r="A924" t="str">
            <v/>
          </cell>
        </row>
        <row r="925">
          <cell r="A925" t="str">
            <v/>
          </cell>
        </row>
        <row r="926">
          <cell r="A926" t="str">
            <v/>
          </cell>
        </row>
        <row r="927">
          <cell r="A927" t="str">
            <v/>
          </cell>
        </row>
        <row r="928">
          <cell r="A928" t="str">
            <v/>
          </cell>
        </row>
        <row r="929">
          <cell r="A929" t="str">
            <v/>
          </cell>
        </row>
        <row r="930">
          <cell r="A930" t="str">
            <v/>
          </cell>
        </row>
        <row r="931">
          <cell r="A931" t="str">
            <v/>
          </cell>
        </row>
        <row r="932">
          <cell r="A932" t="str">
            <v/>
          </cell>
        </row>
        <row r="933">
          <cell r="A933" t="str">
            <v/>
          </cell>
        </row>
        <row r="934">
          <cell r="A934" t="str">
            <v/>
          </cell>
        </row>
        <row r="935">
          <cell r="A935" t="str">
            <v/>
          </cell>
        </row>
        <row r="936">
          <cell r="A936" t="str">
            <v/>
          </cell>
        </row>
        <row r="937">
          <cell r="A937" t="str">
            <v/>
          </cell>
        </row>
        <row r="938">
          <cell r="A938" t="str">
            <v/>
          </cell>
        </row>
        <row r="939">
          <cell r="A939" t="str">
            <v/>
          </cell>
        </row>
        <row r="940">
          <cell r="A940" t="str">
            <v/>
          </cell>
        </row>
        <row r="941">
          <cell r="A941" t="str">
            <v/>
          </cell>
        </row>
        <row r="942">
          <cell r="A942" t="str">
            <v/>
          </cell>
        </row>
        <row r="943">
          <cell r="A943" t="str">
            <v/>
          </cell>
        </row>
        <row r="944">
          <cell r="A944" t="str">
            <v/>
          </cell>
        </row>
        <row r="945">
          <cell r="A945" t="str">
            <v/>
          </cell>
        </row>
        <row r="946">
          <cell r="A946" t="str">
            <v/>
          </cell>
        </row>
        <row r="947">
          <cell r="A947" t="str">
            <v/>
          </cell>
        </row>
        <row r="948">
          <cell r="A948" t="str">
            <v/>
          </cell>
        </row>
        <row r="949">
          <cell r="A949" t="str">
            <v/>
          </cell>
        </row>
        <row r="950">
          <cell r="A950" t="str">
            <v/>
          </cell>
        </row>
        <row r="951">
          <cell r="A951" t="str">
            <v/>
          </cell>
        </row>
        <row r="952">
          <cell r="A952" t="str">
            <v/>
          </cell>
        </row>
        <row r="953">
          <cell r="A953" t="str">
            <v/>
          </cell>
        </row>
        <row r="954">
          <cell r="A954" t="str">
            <v/>
          </cell>
        </row>
        <row r="955">
          <cell r="A955" t="str">
            <v/>
          </cell>
        </row>
        <row r="956">
          <cell r="A956" t="str">
            <v/>
          </cell>
        </row>
        <row r="957">
          <cell r="A957" t="str">
            <v/>
          </cell>
        </row>
        <row r="958">
          <cell r="A958" t="str">
            <v/>
          </cell>
        </row>
        <row r="959">
          <cell r="A959" t="str">
            <v/>
          </cell>
        </row>
        <row r="960">
          <cell r="A960" t="str">
            <v/>
          </cell>
        </row>
        <row r="961">
          <cell r="A961" t="str">
            <v/>
          </cell>
        </row>
        <row r="962">
          <cell r="A962" t="str">
            <v/>
          </cell>
        </row>
        <row r="963">
          <cell r="A963" t="str">
            <v/>
          </cell>
        </row>
        <row r="964">
          <cell r="A964" t="str">
            <v/>
          </cell>
        </row>
        <row r="965">
          <cell r="A965" t="str">
            <v/>
          </cell>
        </row>
        <row r="966">
          <cell r="A966" t="str">
            <v/>
          </cell>
        </row>
        <row r="967">
          <cell r="A967" t="str">
            <v/>
          </cell>
        </row>
        <row r="968">
          <cell r="A968" t="str">
            <v/>
          </cell>
        </row>
        <row r="969">
          <cell r="A969" t="str">
            <v/>
          </cell>
        </row>
        <row r="970">
          <cell r="A970" t="str">
            <v/>
          </cell>
        </row>
        <row r="971">
          <cell r="A971" t="str">
            <v/>
          </cell>
        </row>
        <row r="972">
          <cell r="A972" t="str">
            <v/>
          </cell>
        </row>
        <row r="973">
          <cell r="A973" t="str">
            <v/>
          </cell>
        </row>
        <row r="974">
          <cell r="A974" t="str">
            <v/>
          </cell>
        </row>
        <row r="975">
          <cell r="A975" t="str">
            <v/>
          </cell>
        </row>
        <row r="976">
          <cell r="A976" t="str">
            <v/>
          </cell>
        </row>
        <row r="977">
          <cell r="A977" t="str">
            <v/>
          </cell>
        </row>
        <row r="978">
          <cell r="A978" t="str">
            <v/>
          </cell>
        </row>
        <row r="979">
          <cell r="A979" t="str">
            <v/>
          </cell>
        </row>
        <row r="980">
          <cell r="A980" t="str">
            <v/>
          </cell>
        </row>
        <row r="981">
          <cell r="A981" t="str">
            <v/>
          </cell>
        </row>
        <row r="982">
          <cell r="A982" t="str">
            <v/>
          </cell>
        </row>
        <row r="983">
          <cell r="A983" t="str">
            <v/>
          </cell>
        </row>
        <row r="984">
          <cell r="A984" t="str">
            <v/>
          </cell>
        </row>
        <row r="985">
          <cell r="A985" t="str">
            <v/>
          </cell>
        </row>
        <row r="986">
          <cell r="A986" t="str">
            <v/>
          </cell>
        </row>
        <row r="987">
          <cell r="A987" t="str">
            <v/>
          </cell>
        </row>
        <row r="988">
          <cell r="A988" t="str">
            <v/>
          </cell>
        </row>
        <row r="989">
          <cell r="A989" t="str">
            <v/>
          </cell>
        </row>
        <row r="990">
          <cell r="A990" t="str">
            <v/>
          </cell>
        </row>
        <row r="991">
          <cell r="A991" t="str">
            <v/>
          </cell>
        </row>
        <row r="992">
          <cell r="A992" t="str">
            <v/>
          </cell>
        </row>
        <row r="993">
          <cell r="A993" t="str">
            <v/>
          </cell>
        </row>
        <row r="994">
          <cell r="A994" t="str">
            <v/>
          </cell>
        </row>
        <row r="995">
          <cell r="A995" t="str">
            <v/>
          </cell>
        </row>
        <row r="996">
          <cell r="A996" t="str">
            <v/>
          </cell>
        </row>
        <row r="997">
          <cell r="A997" t="str">
            <v/>
          </cell>
        </row>
        <row r="998">
          <cell r="A998" t="str">
            <v/>
          </cell>
        </row>
        <row r="999">
          <cell r="A999" t="str">
            <v/>
          </cell>
        </row>
        <row r="1000">
          <cell r="A1000" t="str">
            <v/>
          </cell>
        </row>
        <row r="1001">
          <cell r="A1001" t="str">
            <v/>
          </cell>
        </row>
        <row r="1002">
          <cell r="A1002" t="str">
            <v/>
          </cell>
        </row>
        <row r="1003">
          <cell r="A1003" t="str">
            <v/>
          </cell>
        </row>
        <row r="1004">
          <cell r="A1004" t="str">
            <v/>
          </cell>
        </row>
        <row r="1005">
          <cell r="A1005" t="str">
            <v/>
          </cell>
        </row>
        <row r="1006">
          <cell r="A1006" t="str">
            <v/>
          </cell>
        </row>
        <row r="1007">
          <cell r="A1007" t="str">
            <v/>
          </cell>
        </row>
        <row r="1008">
          <cell r="A1008" t="str">
            <v/>
          </cell>
        </row>
        <row r="1009">
          <cell r="A1009" t="str">
            <v/>
          </cell>
        </row>
        <row r="1010">
          <cell r="A1010" t="str">
            <v/>
          </cell>
        </row>
        <row r="1011">
          <cell r="A1011" t="str">
            <v/>
          </cell>
        </row>
        <row r="1012">
          <cell r="A1012" t="str">
            <v/>
          </cell>
        </row>
        <row r="1013">
          <cell r="A1013" t="str">
            <v/>
          </cell>
        </row>
        <row r="1014">
          <cell r="A1014" t="str">
            <v/>
          </cell>
        </row>
        <row r="1015">
          <cell r="A1015" t="str">
            <v/>
          </cell>
        </row>
        <row r="1016">
          <cell r="A1016" t="str">
            <v/>
          </cell>
        </row>
        <row r="1017">
          <cell r="A1017" t="str">
            <v/>
          </cell>
        </row>
        <row r="1018">
          <cell r="A1018" t="str">
            <v/>
          </cell>
        </row>
        <row r="1019">
          <cell r="A1019" t="str">
            <v/>
          </cell>
        </row>
        <row r="1020">
          <cell r="A1020" t="str">
            <v/>
          </cell>
        </row>
        <row r="1021">
          <cell r="A1021" t="str">
            <v/>
          </cell>
        </row>
        <row r="1022">
          <cell r="A1022" t="str">
            <v/>
          </cell>
        </row>
        <row r="1023">
          <cell r="A1023" t="str">
            <v/>
          </cell>
        </row>
        <row r="1024">
          <cell r="A1024" t="str">
            <v/>
          </cell>
        </row>
        <row r="1025">
          <cell r="A1025" t="str">
            <v/>
          </cell>
        </row>
        <row r="1026">
          <cell r="A1026" t="str">
            <v/>
          </cell>
        </row>
      </sheetData>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sheetName val="Print Macros"/>
      <sheetName val="P&amp;L Summary"/>
      <sheetName val="P&amp;L Detail"/>
      <sheetName val="Measures"/>
      <sheetName val="Balance Sheet"/>
      <sheetName val="Purchase Acct"/>
      <sheetName val="Cash Flows"/>
      <sheetName val="Acquisitions"/>
      <sheetName val="Acq Expenses"/>
      <sheetName val="Customer Buildup"/>
      <sheetName val="Revenue Buildup"/>
      <sheetName val="Salaries"/>
      <sheetName val="Headcount"/>
      <sheetName val="Travel"/>
      <sheetName val="Consultants"/>
      <sheetName val="Cap Ex"/>
      <sheetName val="Other Exp"/>
      <sheetName val="Historical Financial"/>
      <sheetName val="Sheet4"/>
      <sheetName val="Sheet3"/>
      <sheetName val="Rent"/>
      <sheetName val="Marketing TP"/>
      <sheetName val="Intl BD TP"/>
      <sheetName val="IT TP"/>
      <sheetName val="Cust Care TP"/>
      <sheetName val="Sheet2"/>
      <sheetName val="Sheet1"/>
    </sheetNames>
    <sheetDataSet>
      <sheetData sheetId="0">
        <row r="53">
          <cell r="C53" t="str">
            <v>Virtual Hosting - Advanced</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sheetName val="Metrics by Quarter"/>
      <sheetName val="Cust. by Agency"/>
      <sheetName val=" QB Revenue"/>
      <sheetName val="No. of Adv. Historical"/>
      <sheetName val="Summary Financial Metrics"/>
      <sheetName val="Revenue Model Mapping"/>
      <sheetName val="CM by Revenue Model"/>
      <sheetName val="Charts"/>
      <sheetName val="Metrics by Rev Model"/>
      <sheetName val="Monthly Income Stmt - C Round"/>
      <sheetName val="Monthly Cash Flow Fcast - C Rou"/>
      <sheetName val="Monthly Balance Sheet - C Round"/>
      <sheetName val="Bookings"/>
      <sheetName val="MC Summary"/>
      <sheetName val="MC Data"/>
      <sheetName val="Monthly Opex &amp; CD COGS Fcast C "/>
      <sheetName val="Revenue Forecast"/>
      <sheetName val="HC Forecast C Round"/>
      <sheetName val="CAPEX &amp; Depr - C Round"/>
      <sheetName val="Contibution Margin"/>
      <sheetName val="QB IS 08"/>
      <sheetName val="QB IS Actual 09"/>
      <sheetName val="QB BS 08"/>
      <sheetName val="QB BS Actual 09"/>
      <sheetName val="Revenue Forecast OLD"/>
      <sheetName val="Creative Dev HC Projections"/>
      <sheetName val="Head Count Summary - C Round"/>
      <sheetName val="Metrics HC Drivers"/>
      <sheetName val="Analysis"/>
      <sheetName val="Summary"/>
    </sheetNames>
    <sheetDataSet>
      <sheetData sheetId="0" refreshError="1"/>
      <sheetData sheetId="1" refreshError="1"/>
      <sheetData sheetId="2">
        <row r="10">
          <cell r="O10">
            <v>41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697">
          <cell r="B697">
            <v>0.25</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mes List"/>
      <sheetName val="Lead Gen Budget"/>
      <sheetName val="Jan"/>
    </sheetNames>
    <sheetDataSet>
      <sheetData sheetId="0">
        <row r="2">
          <cell r="A2" t="str">
            <v>Adria Holmes</v>
          </cell>
        </row>
        <row r="3">
          <cell r="A3" t="str">
            <v>Adrienne Rosado</v>
          </cell>
        </row>
        <row r="4">
          <cell r="A4" t="str">
            <v>Alan Karelitz</v>
          </cell>
        </row>
        <row r="5">
          <cell r="A5" t="str">
            <v>Alex Del Angel</v>
          </cell>
        </row>
        <row r="6">
          <cell r="A6" t="str">
            <v>Alex MacFarland MIT</v>
          </cell>
        </row>
        <row r="7">
          <cell r="A7" t="str">
            <v>Alise Posilico</v>
          </cell>
        </row>
        <row r="8">
          <cell r="A8" t="str">
            <v>Allison McMahan</v>
          </cell>
        </row>
        <row r="9">
          <cell r="A9" t="str">
            <v>Ana-Lynn Sabino</v>
          </cell>
        </row>
        <row r="10">
          <cell r="A10" t="str">
            <v>Andre Jones</v>
          </cell>
        </row>
        <row r="11">
          <cell r="A11" t="str">
            <v>Andrew Maynes</v>
          </cell>
        </row>
        <row r="12">
          <cell r="A12" t="str">
            <v>Angelique Wagner</v>
          </cell>
        </row>
        <row r="13">
          <cell r="A13" t="str">
            <v>Anthony Boyle</v>
          </cell>
        </row>
        <row r="14">
          <cell r="A14" t="str">
            <v>April Williams</v>
          </cell>
        </row>
        <row r="15">
          <cell r="A15" t="str">
            <v>Ben Wright</v>
          </cell>
        </row>
        <row r="16">
          <cell r="A16" t="str">
            <v>Beth Harewood</v>
          </cell>
        </row>
        <row r="17">
          <cell r="A17" t="str">
            <v>Blair Bothwell</v>
          </cell>
        </row>
        <row r="18">
          <cell r="A18" t="str">
            <v>Brandi Rhea</v>
          </cell>
        </row>
        <row r="19">
          <cell r="A19" t="str">
            <v>Brandon Dalton</v>
          </cell>
        </row>
        <row r="20">
          <cell r="A20" t="str">
            <v>Brendan Dwyer</v>
          </cell>
        </row>
        <row r="21">
          <cell r="A21" t="str">
            <v>Brent Ryan</v>
          </cell>
        </row>
        <row r="22">
          <cell r="A22" t="str">
            <v>Carolyn Stittgen</v>
          </cell>
        </row>
        <row r="23">
          <cell r="A23" t="str">
            <v>Cate Morin</v>
          </cell>
        </row>
        <row r="24">
          <cell r="A24" t="str">
            <v>Chad Naumescu</v>
          </cell>
        </row>
        <row r="25">
          <cell r="A25" t="str">
            <v>Chad Patterson</v>
          </cell>
        </row>
        <row r="26">
          <cell r="A26" t="str">
            <v>Christopher Shea</v>
          </cell>
        </row>
        <row r="27">
          <cell r="A27" t="str">
            <v>Contest</v>
          </cell>
        </row>
        <row r="28">
          <cell r="A28" t="str">
            <v>Corey Hanvey</v>
          </cell>
        </row>
        <row r="29">
          <cell r="A29" t="str">
            <v>Craig Maloney</v>
          </cell>
        </row>
        <row r="30">
          <cell r="A30" t="str">
            <v>Daniel Flores</v>
          </cell>
        </row>
        <row r="31">
          <cell r="A31" t="str">
            <v>Darrel Chavez</v>
          </cell>
        </row>
        <row r="32">
          <cell r="A32" t="str">
            <v>Dave Vandenberg</v>
          </cell>
        </row>
        <row r="33">
          <cell r="A33" t="str">
            <v>David Allen</v>
          </cell>
        </row>
        <row r="34">
          <cell r="A34" t="str">
            <v>David Facter</v>
          </cell>
        </row>
        <row r="35">
          <cell r="A35" t="str">
            <v>David Lynn</v>
          </cell>
        </row>
        <row r="36">
          <cell r="A36" t="str">
            <v>Diana Wood</v>
          </cell>
        </row>
        <row r="37">
          <cell r="A37" t="str">
            <v>Don Lee</v>
          </cell>
        </row>
        <row r="38">
          <cell r="A38" t="str">
            <v>Ed Korb</v>
          </cell>
        </row>
        <row r="39">
          <cell r="A39" t="str">
            <v>Ed Kuras</v>
          </cell>
        </row>
        <row r="40">
          <cell r="A40" t="str">
            <v>Elizabeth Nitz MIT</v>
          </cell>
        </row>
        <row r="41">
          <cell r="A41" t="str">
            <v>Eric Dickerson MIT</v>
          </cell>
        </row>
        <row r="42">
          <cell r="A42" t="str">
            <v>Eric McClelland</v>
          </cell>
        </row>
        <row r="43">
          <cell r="A43" t="str">
            <v>Frank Gutierrez</v>
          </cell>
        </row>
        <row r="44">
          <cell r="A44" t="str">
            <v>Freddie Cepeda</v>
          </cell>
        </row>
        <row r="45">
          <cell r="A45" t="str">
            <v>George McGuire</v>
          </cell>
        </row>
        <row r="46">
          <cell r="A46" t="str">
            <v>Glenn Costa</v>
          </cell>
        </row>
        <row r="47">
          <cell r="A47" t="str">
            <v>Greg Scott</v>
          </cell>
        </row>
        <row r="48">
          <cell r="A48" t="str">
            <v>Ian Olson</v>
          </cell>
        </row>
        <row r="49">
          <cell r="A49" t="str">
            <v>Jared Magouirk</v>
          </cell>
        </row>
        <row r="50">
          <cell r="A50" t="str">
            <v>Jason Dupree</v>
          </cell>
        </row>
        <row r="51">
          <cell r="A51" t="str">
            <v>Jason Nelson</v>
          </cell>
        </row>
        <row r="52">
          <cell r="A52" t="str">
            <v>Jason Perez</v>
          </cell>
        </row>
        <row r="53">
          <cell r="A53" t="str">
            <v>Jason Redwine</v>
          </cell>
        </row>
        <row r="54">
          <cell r="A54" t="str">
            <v>Jeff Jonas</v>
          </cell>
        </row>
        <row r="55">
          <cell r="A55" t="str">
            <v>Jeff Wu</v>
          </cell>
        </row>
        <row r="56">
          <cell r="A56" t="str">
            <v>Jen Lunde</v>
          </cell>
        </row>
        <row r="57">
          <cell r="A57" t="str">
            <v>Jennifer Brunacini</v>
          </cell>
        </row>
        <row r="58">
          <cell r="A58" t="str">
            <v>Jennifer Sola</v>
          </cell>
        </row>
        <row r="59">
          <cell r="A59" t="str">
            <v>Jim Dunn</v>
          </cell>
        </row>
        <row r="60">
          <cell r="A60" t="str">
            <v>Jim Vlasicak</v>
          </cell>
        </row>
        <row r="61">
          <cell r="A61" t="str">
            <v>Jim Zamer</v>
          </cell>
        </row>
        <row r="62">
          <cell r="A62" t="str">
            <v>Joe Mattair</v>
          </cell>
        </row>
        <row r="63">
          <cell r="A63" t="str">
            <v>Joey DeCamilla</v>
          </cell>
        </row>
        <row r="64">
          <cell r="A64" t="str">
            <v>John Iskarous</v>
          </cell>
        </row>
        <row r="65">
          <cell r="A65" t="str">
            <v>John Thacher</v>
          </cell>
        </row>
        <row r="66">
          <cell r="A66" t="str">
            <v>Johnny Polanco (MGR)</v>
          </cell>
        </row>
        <row r="67">
          <cell r="A67" t="str">
            <v>Jonathan Pollard</v>
          </cell>
        </row>
        <row r="68">
          <cell r="A68" t="str">
            <v>Joseph Stagnaro</v>
          </cell>
        </row>
        <row r="69">
          <cell r="A69" t="str">
            <v>Josh Phillips</v>
          </cell>
        </row>
        <row r="70">
          <cell r="A70" t="str">
            <v>Josh Pierson</v>
          </cell>
        </row>
        <row r="71">
          <cell r="A71" t="str">
            <v>Josh Pittman</v>
          </cell>
        </row>
        <row r="72">
          <cell r="A72" t="str">
            <v>Justin Derby</v>
          </cell>
        </row>
        <row r="73">
          <cell r="A73" t="str">
            <v>Justin Smith</v>
          </cell>
        </row>
        <row r="74">
          <cell r="A74" t="str">
            <v>Kara Focht</v>
          </cell>
        </row>
        <row r="75">
          <cell r="A75" t="str">
            <v>Katherine Gillis</v>
          </cell>
        </row>
        <row r="76">
          <cell r="A76" t="str">
            <v>Kathryn Willaims</v>
          </cell>
        </row>
        <row r="77">
          <cell r="A77" t="str">
            <v>Katy Santoyo</v>
          </cell>
        </row>
        <row r="78">
          <cell r="A78" t="str">
            <v>Keith Curro</v>
          </cell>
        </row>
        <row r="79">
          <cell r="A79" t="str">
            <v>Kelly Bigham</v>
          </cell>
        </row>
        <row r="80">
          <cell r="A80" t="str">
            <v>Ken Harper</v>
          </cell>
        </row>
        <row r="81">
          <cell r="A81" t="str">
            <v>Kenneth Pio</v>
          </cell>
        </row>
        <row r="82">
          <cell r="A82" t="str">
            <v>Khalel Dumaz</v>
          </cell>
        </row>
        <row r="83">
          <cell r="A83" t="str">
            <v>Kristi Reid</v>
          </cell>
        </row>
        <row r="84">
          <cell r="A84" t="str">
            <v>Kristin Barton</v>
          </cell>
        </row>
        <row r="85">
          <cell r="A85" t="str">
            <v>Kyle O'Campo</v>
          </cell>
        </row>
        <row r="86">
          <cell r="A86" t="str">
            <v>Kyle Rohl</v>
          </cell>
        </row>
        <row r="87">
          <cell r="A87" t="str">
            <v>Lacey Wilson</v>
          </cell>
        </row>
        <row r="88">
          <cell r="A88" t="str">
            <v>Larry Michlovich</v>
          </cell>
        </row>
        <row r="89">
          <cell r="A89" t="str">
            <v>Lauren Cash</v>
          </cell>
        </row>
        <row r="90">
          <cell r="A90" t="str">
            <v>Lauren Shippey</v>
          </cell>
        </row>
        <row r="91">
          <cell r="A91" t="str">
            <v>Lee Abbey</v>
          </cell>
        </row>
        <row r="92">
          <cell r="A92" t="str">
            <v>Lee Parker</v>
          </cell>
        </row>
        <row r="93">
          <cell r="A93" t="str">
            <v>Lindsay Gibson</v>
          </cell>
        </row>
        <row r="94">
          <cell r="A94" t="str">
            <v>Lindsay Nagy</v>
          </cell>
        </row>
        <row r="95">
          <cell r="A95" t="str">
            <v>Mathew Hastings</v>
          </cell>
        </row>
        <row r="96">
          <cell r="A96" t="str">
            <v>Matt Baker</v>
          </cell>
        </row>
        <row r="97">
          <cell r="A97" t="str">
            <v>Matt Chila</v>
          </cell>
        </row>
        <row r="98">
          <cell r="A98" t="str">
            <v>Matt Culver MIT</v>
          </cell>
        </row>
        <row r="99">
          <cell r="A99" t="str">
            <v>Matt Flanagan</v>
          </cell>
        </row>
        <row r="100">
          <cell r="A100" t="str">
            <v>Megan Haley</v>
          </cell>
        </row>
        <row r="101">
          <cell r="A101" t="str">
            <v>Melissa Grandstaff</v>
          </cell>
        </row>
        <row r="102">
          <cell r="A102" t="str">
            <v>Michael Broadnax</v>
          </cell>
        </row>
        <row r="103">
          <cell r="A103" t="str">
            <v>Michael Gatto</v>
          </cell>
        </row>
        <row r="104">
          <cell r="A104" t="str">
            <v>Michael Winn</v>
          </cell>
        </row>
        <row r="105">
          <cell r="A105" t="str">
            <v>Natalie Tracy</v>
          </cell>
        </row>
        <row r="106">
          <cell r="A106" t="str">
            <v>Naveen Tejwani</v>
          </cell>
        </row>
        <row r="107">
          <cell r="A107" t="str">
            <v>Neal Merry</v>
          </cell>
        </row>
        <row r="108">
          <cell r="A108" t="str">
            <v>Niaz Chakravarty</v>
          </cell>
        </row>
        <row r="109">
          <cell r="A109" t="str">
            <v>Nicole Maready</v>
          </cell>
        </row>
        <row r="110">
          <cell r="A110" t="str">
            <v>Niko Megariots</v>
          </cell>
        </row>
        <row r="111">
          <cell r="A111" t="str">
            <v>Open</v>
          </cell>
        </row>
        <row r="112">
          <cell r="A112" t="str">
            <v>Open1</v>
          </cell>
        </row>
        <row r="113">
          <cell r="A113" t="str">
            <v>Patricia Kawa</v>
          </cell>
        </row>
        <row r="114">
          <cell r="A114" t="str">
            <v>Patrick O'Neill</v>
          </cell>
        </row>
        <row r="115">
          <cell r="A115" t="str">
            <v>Paul Grande</v>
          </cell>
        </row>
        <row r="116">
          <cell r="A116" t="str">
            <v>Radley Soni</v>
          </cell>
        </row>
        <row r="117">
          <cell r="A117" t="str">
            <v>Ralph Milan</v>
          </cell>
        </row>
        <row r="118">
          <cell r="A118" t="str">
            <v>Rich Mithoff</v>
          </cell>
        </row>
        <row r="119">
          <cell r="A119" t="str">
            <v>Roger Leeper</v>
          </cell>
        </row>
        <row r="120">
          <cell r="A120" t="str">
            <v>Ryan Conley</v>
          </cell>
        </row>
        <row r="121">
          <cell r="A121" t="str">
            <v>Saad Ahmed</v>
          </cell>
        </row>
        <row r="122">
          <cell r="A122" t="str">
            <v>Samantha Painter</v>
          </cell>
        </row>
        <row r="123">
          <cell r="A123" t="str">
            <v>Sara Hernandez</v>
          </cell>
        </row>
        <row r="124">
          <cell r="A124" t="str">
            <v>Sean Rayborn</v>
          </cell>
        </row>
        <row r="125">
          <cell r="A125" t="str">
            <v>Shawn Fago</v>
          </cell>
        </row>
        <row r="126">
          <cell r="A126" t="str">
            <v>Stephen Shapiro</v>
          </cell>
        </row>
        <row r="127">
          <cell r="A127" t="str">
            <v>Steven Kelly</v>
          </cell>
        </row>
        <row r="128">
          <cell r="A128" t="str">
            <v>Tara Cook</v>
          </cell>
        </row>
        <row r="129">
          <cell r="A129" t="str">
            <v>TBD</v>
          </cell>
        </row>
        <row r="130">
          <cell r="A130" t="str">
            <v xml:space="preserve">Teresa Levister </v>
          </cell>
        </row>
        <row r="131">
          <cell r="A131" t="str">
            <v>Terry Wall</v>
          </cell>
        </row>
        <row r="132">
          <cell r="A132" t="str">
            <v>Thaddeus Walton</v>
          </cell>
        </row>
        <row r="133">
          <cell r="A133" t="str">
            <v>Tim Petrinic</v>
          </cell>
        </row>
        <row r="134">
          <cell r="A134" t="str">
            <v>Vlad Moane</v>
          </cell>
        </row>
        <row r="135">
          <cell r="A135" t="str">
            <v>Whitney Evans</v>
          </cell>
        </row>
        <row r="136">
          <cell r="A136" t="str">
            <v>William Rush</v>
          </cell>
        </row>
        <row r="137">
          <cell r="A137" t="str">
            <v>Chris Juliano</v>
          </cell>
        </row>
        <row r="138">
          <cell r="A138" t="str">
            <v>Michelle Robbe</v>
          </cell>
        </row>
        <row r="139">
          <cell r="A139" t="str">
            <v>David Castaneda</v>
          </cell>
        </row>
      </sheetData>
      <sheetData sheetId="1"/>
      <sheetData sheetId="2"/>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ard MidQtr"/>
      <sheetName val="BOD Summary"/>
      <sheetName val="Metrics"/>
      <sheetName val="Sensativities"/>
      <sheetName val="CAC Update"/>
      <sheetName val="P&amp;L - Monthly"/>
      <sheetName val="BS - Monthly"/>
      <sheetName val="CF - Monthly"/>
      <sheetName val="HC Summary"/>
      <sheetName val="Debt"/>
      <sheetName val="EzTxtNote"/>
      <sheetName val="Voice Revenue"/>
      <sheetName val="SMS Revenue"/>
      <sheetName val="SMS Sub"/>
      <sheetName val="SMS Exp"/>
      <sheetName val="Voice Exp"/>
      <sheetName val="Headcount"/>
      <sheetName val="New Hires Forecast"/>
      <sheetName val="Direct People Department Costs"/>
      <sheetName val="Controllable Expenses Forecast"/>
      <sheetName val="Sales"/>
      <sheetName val="Marketing"/>
      <sheetName val="Software"/>
      <sheetName val="Finance"/>
      <sheetName val="Dev Ops"/>
      <sheetName val="Exec"/>
      <sheetName val="CAPEX &amp; Depr "/>
      <sheetName val="Cost Summary"/>
      <sheetName val="BS - CF Actuals"/>
      <sheetName val="Gross Margin Actuals"/>
      <sheetName val="Dept. Cost Actuals"/>
      <sheetName val="P&amp;L - Qtrly"/>
      <sheetName val="P&amp;L - Yrly"/>
    </sheetNames>
    <sheetDataSet>
      <sheetData sheetId="0"/>
      <sheetData sheetId="1"/>
      <sheetData sheetId="2"/>
      <sheetData sheetId="3">
        <row r="13">
          <cell r="AA13">
            <v>2.5000000000000001E-2</v>
          </cell>
        </row>
      </sheetData>
      <sheetData sheetId="4"/>
      <sheetData sheetId="5"/>
      <sheetData sheetId="6"/>
      <sheetData sheetId="7"/>
      <sheetData sheetId="8"/>
      <sheetData sheetId="9"/>
      <sheetData sheetId="10"/>
      <sheetData sheetId="11">
        <row r="65">
          <cell r="Y65">
            <v>739618.95730616804</v>
          </cell>
        </row>
      </sheetData>
      <sheetData sheetId="12">
        <row r="66">
          <cell r="Y66">
            <v>469991.40913263574</v>
          </cell>
        </row>
      </sheetData>
      <sheetData sheetId="13">
        <row r="66">
          <cell r="Y66">
            <v>240929.39196085054</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ow r="39">
          <cell r="AA39">
            <v>34944.81</v>
          </cell>
        </row>
      </sheetData>
      <sheetData sheetId="30"/>
      <sheetData sheetId="31"/>
      <sheetData sheetId="3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9.vml"/><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2.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3.v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4.v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5.v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6.vml"/><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26"/>
  <sheetViews>
    <sheetView showGridLines="0" workbookViewId="0">
      <selection activeCell="G4" sqref="G4"/>
    </sheetView>
  </sheetViews>
  <sheetFormatPr defaultRowHeight="14.5" x14ac:dyDescent="0.35"/>
  <cols>
    <col min="2" max="2" width="46.1796875" customWidth="1"/>
    <col min="3" max="3" width="13.7265625" style="438" customWidth="1"/>
    <col min="4" max="4" width="14.54296875" customWidth="1"/>
    <col min="5" max="5" width="1.453125" style="438" customWidth="1"/>
    <col min="6" max="6" width="15.453125" customWidth="1"/>
    <col min="7" max="7" width="13.54296875" bestFit="1" customWidth="1"/>
    <col min="10" max="10" width="10" bestFit="1" customWidth="1"/>
  </cols>
  <sheetData>
    <row r="3" spans="2:10" ht="31" x14ac:dyDescent="0.35">
      <c r="B3" s="135" t="s">
        <v>163</v>
      </c>
      <c r="C3" s="538" t="s">
        <v>691</v>
      </c>
      <c r="D3" s="137" t="s">
        <v>557</v>
      </c>
      <c r="E3" s="337"/>
      <c r="F3" s="515" t="s">
        <v>692</v>
      </c>
      <c r="J3" s="438"/>
    </row>
    <row r="4" spans="2:10" ht="18.5" x14ac:dyDescent="0.45">
      <c r="B4" s="163" t="s">
        <v>70</v>
      </c>
      <c r="C4" s="525">
        <v>3971670.3548373305</v>
      </c>
      <c r="D4" s="161">
        <v>4295012.7899999991</v>
      </c>
      <c r="E4" s="168"/>
      <c r="F4" s="161">
        <v>1418253.7400000002</v>
      </c>
      <c r="G4" s="139"/>
      <c r="J4" s="438"/>
    </row>
    <row r="5" spans="2:10" ht="15.5" x14ac:dyDescent="0.35">
      <c r="B5" s="465" t="s">
        <v>552</v>
      </c>
      <c r="C5" s="466"/>
      <c r="D5" s="466">
        <v>0.44471914383542477</v>
      </c>
      <c r="E5" s="352"/>
      <c r="F5" s="516">
        <v>0.36104377091305384</v>
      </c>
      <c r="J5" s="438"/>
    </row>
    <row r="6" spans="2:10" ht="15.5" x14ac:dyDescent="0.35">
      <c r="B6" s="455" t="s">
        <v>553</v>
      </c>
      <c r="C6" s="463"/>
      <c r="D6" s="463">
        <v>7.1627030861058039E-2</v>
      </c>
      <c r="E6" s="352"/>
      <c r="F6" s="463">
        <v>8.5064967237665989E-2</v>
      </c>
      <c r="J6" s="438"/>
    </row>
    <row r="7" spans="2:10" ht="19" thickBot="1" x14ac:dyDescent="0.5">
      <c r="B7" s="521" t="s">
        <v>73</v>
      </c>
      <c r="C7" s="526">
        <v>793523.29845732986</v>
      </c>
      <c r="D7" s="522">
        <v>469523.67999999993</v>
      </c>
      <c r="E7" s="168"/>
      <c r="F7" s="522">
        <v>218321.64</v>
      </c>
      <c r="J7" s="438"/>
    </row>
    <row r="8" spans="2:10" ht="19" thickBot="1" x14ac:dyDescent="0.5">
      <c r="B8" s="523" t="s">
        <v>690</v>
      </c>
      <c r="C8" s="527">
        <v>3178565.6122366432</v>
      </c>
      <c r="D8" s="524">
        <v>3825489.1099999994</v>
      </c>
      <c r="E8" s="168"/>
      <c r="F8" s="524">
        <v>1199932.1000000001</v>
      </c>
      <c r="J8" s="438"/>
    </row>
    <row r="9" spans="2:10" ht="18.5" x14ac:dyDescent="0.45">
      <c r="B9" s="454" t="s">
        <v>164</v>
      </c>
      <c r="C9" s="528">
        <v>0.80022519226069089</v>
      </c>
      <c r="D9" s="462">
        <v>0.89068165731818461</v>
      </c>
      <c r="E9" s="352"/>
      <c r="F9" s="462">
        <v>0.8460630606198859</v>
      </c>
      <c r="J9" s="438"/>
    </row>
    <row r="10" spans="2:10" ht="18.5" x14ac:dyDescent="0.45">
      <c r="B10" s="453" t="s">
        <v>17</v>
      </c>
      <c r="C10" s="529"/>
      <c r="D10" s="464">
        <v>1118955.73</v>
      </c>
      <c r="E10" s="539"/>
      <c r="F10" s="464">
        <v>377383.79000000004</v>
      </c>
      <c r="J10" s="438"/>
    </row>
    <row r="11" spans="2:10" ht="18.5" x14ac:dyDescent="0.45">
      <c r="B11" s="467" t="s">
        <v>18</v>
      </c>
      <c r="C11" s="530"/>
      <c r="D11" s="468">
        <v>780364.09</v>
      </c>
      <c r="E11" s="539"/>
      <c r="F11" s="468">
        <v>332103.89999999997</v>
      </c>
      <c r="J11" s="438"/>
    </row>
    <row r="12" spans="2:10" ht="18.5" x14ac:dyDescent="0.45">
      <c r="B12" s="453" t="s">
        <v>19</v>
      </c>
      <c r="C12" s="529"/>
      <c r="D12" s="464">
        <v>632838.10000000009</v>
      </c>
      <c r="E12" s="539"/>
      <c r="F12" s="464">
        <v>178063.37000000002</v>
      </c>
      <c r="J12" s="438"/>
    </row>
    <row r="13" spans="2:10" ht="19" thickBot="1" x14ac:dyDescent="0.5">
      <c r="B13" s="519" t="s">
        <v>165</v>
      </c>
      <c r="C13" s="531">
        <v>2426071.79</v>
      </c>
      <c r="D13" s="520">
        <v>2532157.92</v>
      </c>
      <c r="E13" s="168"/>
      <c r="F13" s="520">
        <v>887551.05999999994</v>
      </c>
      <c r="J13" s="438"/>
    </row>
    <row r="14" spans="2:10" ht="19" thickBot="1" x14ac:dyDescent="0.5">
      <c r="B14" s="517" t="s">
        <v>566</v>
      </c>
      <c r="C14" s="532">
        <v>752493.82223664317</v>
      </c>
      <c r="D14" s="518">
        <v>1293331.1899999995</v>
      </c>
      <c r="E14" s="168"/>
      <c r="F14" s="518">
        <v>312381.04000000015</v>
      </c>
      <c r="J14" s="438"/>
    </row>
    <row r="15" spans="2:10" ht="19" thickTop="1" x14ac:dyDescent="0.45">
      <c r="B15" s="497" t="s">
        <v>592</v>
      </c>
      <c r="C15" s="533" t="s">
        <v>235</v>
      </c>
      <c r="D15" s="168">
        <v>1309080.9999999991</v>
      </c>
      <c r="E15" s="168"/>
      <c r="F15" s="168">
        <v>89177.880000000237</v>
      </c>
      <c r="G15" s="139"/>
      <c r="J15" s="438"/>
    </row>
    <row r="16" spans="2:10" ht="18.5" x14ac:dyDescent="0.45">
      <c r="B16" s="469" t="s">
        <v>166</v>
      </c>
      <c r="C16" s="534">
        <v>7110265.1151574869</v>
      </c>
      <c r="D16" s="470">
        <v>6699887.0899999999</v>
      </c>
      <c r="E16" s="168"/>
      <c r="F16" s="470">
        <v>6684013.5</v>
      </c>
      <c r="J16" s="438"/>
    </row>
    <row r="17" spans="2:10" ht="18.5" x14ac:dyDescent="0.45">
      <c r="B17" s="469" t="s">
        <v>92</v>
      </c>
      <c r="C17" s="534">
        <v>0</v>
      </c>
      <c r="D17" s="470">
        <v>167102.87</v>
      </c>
      <c r="E17" s="168"/>
      <c r="F17" s="470">
        <v>179385.39</v>
      </c>
      <c r="J17" s="438"/>
    </row>
    <row r="18" spans="2:10" ht="18.5" x14ac:dyDescent="0.45">
      <c r="B18" s="469" t="s">
        <v>185</v>
      </c>
      <c r="C18" s="535">
        <v>50</v>
      </c>
      <c r="D18" s="485">
        <v>50</v>
      </c>
      <c r="E18" s="540"/>
      <c r="F18" s="485">
        <v>52</v>
      </c>
      <c r="J18" s="438"/>
    </row>
    <row r="19" spans="2:10" ht="18.5" x14ac:dyDescent="0.45">
      <c r="B19" s="162" t="s">
        <v>168</v>
      </c>
      <c r="C19" s="537">
        <f>(C4*4)/C18</f>
        <v>317733.62838698644</v>
      </c>
      <c r="D19" s="160">
        <v>343601.02319999994</v>
      </c>
      <c r="E19" s="168"/>
      <c r="F19" s="160">
        <v>327289.32461538468</v>
      </c>
      <c r="J19" s="438"/>
    </row>
    <row r="20" spans="2:10" ht="18.5" x14ac:dyDescent="0.45">
      <c r="B20" s="469" t="s">
        <v>241</v>
      </c>
      <c r="C20" s="536">
        <v>0.189</v>
      </c>
      <c r="D20" s="486">
        <v>0.30112394380087509</v>
      </c>
      <c r="E20" s="541"/>
      <c r="F20" s="486">
        <v>0.22025751188923365</v>
      </c>
      <c r="J20" s="438"/>
    </row>
    <row r="21" spans="2:10" x14ac:dyDescent="0.35">
      <c r="E21" s="157"/>
      <c r="J21" s="438"/>
    </row>
    <row r="22" spans="2:10" x14ac:dyDescent="0.35">
      <c r="C22" s="139"/>
      <c r="D22" s="139"/>
      <c r="E22" s="139"/>
      <c r="J22" s="438"/>
    </row>
    <row r="23" spans="2:10" x14ac:dyDescent="0.35">
      <c r="J23" s="438"/>
    </row>
    <row r="24" spans="2:10" x14ac:dyDescent="0.35">
      <c r="J24" s="438"/>
    </row>
    <row r="25" spans="2:10" x14ac:dyDescent="0.35">
      <c r="J25" s="438"/>
    </row>
    <row r="26" spans="2:10" x14ac:dyDescent="0.35">
      <c r="J26" s="438"/>
    </row>
  </sheetData>
  <pageMargins left="0.7" right="0.7" top="0.75" bottom="0.75" header="0.3" footer="0.3"/>
  <pageSetup orientation="landscape" r:id="rId1"/>
  <headerFooter>
    <oddHeader>&amp;C&amp;"-,Bold"&amp;16CallFire YTD Financial Performance
&amp;12Q2 2013 Mid-Quarter Review</oddHeader>
    <oddFooter>&amp;R&amp;D</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6" tint="-0.499984740745262"/>
    <pageSetUpPr fitToPage="1"/>
  </sheetPr>
  <dimension ref="A1:AI81"/>
  <sheetViews>
    <sheetView showGridLines="0" zoomScale="80" zoomScaleNormal="80" workbookViewId="0">
      <pane xSplit="2" ySplit="4" topLeftCell="I5" activePane="bottomRight" state="frozen"/>
      <selection pane="topRight" activeCell="C1" sqref="C1"/>
      <selection pane="bottomLeft" activeCell="A5" sqref="A5"/>
      <selection pane="bottomRight" activeCell="T9" sqref="T9"/>
    </sheetView>
  </sheetViews>
  <sheetFormatPr defaultRowHeight="14.5" outlineLevelRow="1" outlineLevelCol="1" x14ac:dyDescent="0.35"/>
  <cols>
    <col min="1" max="1" width="2.81640625" style="151" customWidth="1"/>
    <col min="2" max="2" width="27.7265625" customWidth="1"/>
    <col min="3" max="3" width="10.54296875" style="134" customWidth="1"/>
    <col min="4" max="10" width="10.54296875" customWidth="1"/>
    <col min="11" max="13" width="10.54296875" customWidth="1" outlineLevel="1"/>
    <col min="14" max="14" width="10.54296875" customWidth="1" outlineLevel="1" collapsed="1"/>
    <col min="15" max="15" width="2" style="438" customWidth="1" outlineLevel="1"/>
    <col min="16" max="16" width="17" style="287" customWidth="1"/>
    <col min="17" max="20" width="17" customWidth="1"/>
    <col min="21" max="25" width="19" customWidth="1"/>
    <col min="26" max="26" width="11" bestFit="1" customWidth="1"/>
    <col min="27" max="27" width="19.7265625" style="288" customWidth="1"/>
    <col min="28" max="28" width="22.7265625" style="288" bestFit="1" customWidth="1"/>
    <col min="29" max="32" width="9.26953125" style="288" bestFit="1" customWidth="1"/>
    <col min="33" max="34" width="9.26953125" bestFit="1" customWidth="1"/>
  </cols>
  <sheetData>
    <row r="1" spans="2:35" s="407" customFormat="1" x14ac:dyDescent="0.35">
      <c r="O1" s="438"/>
      <c r="S1" s="139"/>
      <c r="AA1" s="288"/>
      <c r="AB1" s="288"/>
      <c r="AC1" s="288"/>
      <c r="AD1" s="288"/>
      <c r="AE1" s="288"/>
      <c r="AF1" s="288"/>
    </row>
    <row r="2" spans="2:35" s="438" customFormat="1" x14ac:dyDescent="0.35">
      <c r="H2" s="408"/>
      <c r="I2" s="408"/>
      <c r="J2" s="587"/>
      <c r="AA2" s="288"/>
      <c r="AB2" s="288"/>
      <c r="AC2" s="288"/>
      <c r="AD2" s="288"/>
      <c r="AE2" s="288"/>
      <c r="AF2" s="288"/>
    </row>
    <row r="3" spans="2:35" ht="15" customHeight="1" x14ac:dyDescent="0.35">
      <c r="C3"/>
      <c r="D3" s="134"/>
      <c r="F3" s="139"/>
      <c r="G3" s="139"/>
      <c r="H3" s="139"/>
      <c r="I3" s="139"/>
      <c r="J3" s="139"/>
      <c r="L3" s="139"/>
      <c r="Q3" s="287"/>
      <c r="AA3" s="62"/>
    </row>
    <row r="4" spans="2:35" ht="33" customHeight="1" x14ac:dyDescent="0.35">
      <c r="B4" s="1071" t="s">
        <v>163</v>
      </c>
      <c r="C4" s="1072" t="s">
        <v>1153</v>
      </c>
      <c r="D4" s="1072" t="s">
        <v>554</v>
      </c>
      <c r="E4" s="1072" t="s">
        <v>555</v>
      </c>
      <c r="F4" s="1072" t="s">
        <v>556</v>
      </c>
      <c r="G4" s="1072" t="s">
        <v>557</v>
      </c>
      <c r="H4" s="1072" t="s">
        <v>759</v>
      </c>
      <c r="I4" s="1072" t="s">
        <v>787</v>
      </c>
      <c r="J4" s="1072" t="s">
        <v>1156</v>
      </c>
      <c r="K4" s="1072" t="s">
        <v>231</v>
      </c>
      <c r="L4" s="1072" t="s">
        <v>232</v>
      </c>
      <c r="M4" s="1072" t="s">
        <v>233</v>
      </c>
      <c r="N4" s="1072" t="s">
        <v>234</v>
      </c>
      <c r="O4" s="1073"/>
      <c r="P4" s="1074" t="s">
        <v>318</v>
      </c>
      <c r="Q4" s="1075" t="s">
        <v>317</v>
      </c>
      <c r="R4" s="1075" t="s">
        <v>1321</v>
      </c>
      <c r="S4" s="1075" t="s">
        <v>1154</v>
      </c>
      <c r="T4" s="1075" t="s">
        <v>1155</v>
      </c>
      <c r="U4" s="1075" t="s">
        <v>238</v>
      </c>
      <c r="V4" s="1075" t="s">
        <v>239</v>
      </c>
      <c r="W4" s="1075" t="s">
        <v>240</v>
      </c>
      <c r="X4" s="1075" t="s">
        <v>243</v>
      </c>
      <c r="Y4" s="1076" t="s">
        <v>244</v>
      </c>
      <c r="AA4" s="515"/>
      <c r="AB4" s="515">
        <v>41365</v>
      </c>
      <c r="AC4" s="413"/>
      <c r="AD4" s="413"/>
      <c r="AE4" s="413"/>
      <c r="AF4" s="413"/>
      <c r="AG4" s="413"/>
      <c r="AH4" s="413"/>
      <c r="AI4" s="169"/>
    </row>
    <row r="5" spans="2:35" s="574" customFormat="1" ht="23.25" customHeight="1" x14ac:dyDescent="0.45">
      <c r="B5" s="1077" t="s">
        <v>763</v>
      </c>
      <c r="C5" s="160"/>
      <c r="D5" s="160"/>
      <c r="E5" s="160"/>
      <c r="F5" s="160"/>
      <c r="G5" s="160">
        <v>3574503.3193535977</v>
      </c>
      <c r="H5" s="160">
        <v>3815145.4076421168</v>
      </c>
      <c r="I5" s="160">
        <v>4266443.0442678221</v>
      </c>
      <c r="J5" s="160">
        <v>5043959.1000000006</v>
      </c>
      <c r="K5" s="160"/>
      <c r="L5" s="160"/>
      <c r="M5" s="160"/>
      <c r="N5" s="160"/>
      <c r="O5" s="559"/>
      <c r="P5" s="606"/>
      <c r="Q5" s="607"/>
      <c r="R5" s="607"/>
      <c r="S5" s="607">
        <f>SUM(G5:J5)</f>
        <v>16700050.871263538</v>
      </c>
      <c r="T5" s="607">
        <f>T6</f>
        <v>23766437.739784963</v>
      </c>
      <c r="U5" s="607"/>
      <c r="V5" s="607"/>
      <c r="W5" s="607"/>
      <c r="X5" s="607"/>
      <c r="Y5" s="1078"/>
      <c r="AA5" s="608"/>
      <c r="AB5" s="609"/>
      <c r="AC5" s="413"/>
      <c r="AD5" s="413"/>
      <c r="AE5" s="413"/>
      <c r="AF5" s="413"/>
      <c r="AG5" s="413"/>
      <c r="AH5" s="413"/>
      <c r="AI5" s="169"/>
    </row>
    <row r="6" spans="2:35" ht="25.5" customHeight="1" x14ac:dyDescent="0.45">
      <c r="B6" s="1077" t="s">
        <v>70</v>
      </c>
      <c r="C6" s="160">
        <f>'P&amp;L - Qtrly'!C17</f>
        <v>3269458.4664017661</v>
      </c>
      <c r="D6" s="160">
        <f>'P&amp;L - Qtrly'!D17</f>
        <v>3627187.7350404416</v>
      </c>
      <c r="E6" s="160">
        <f>'P&amp;L - Qtrly'!E17</f>
        <v>3582771.8416368566</v>
      </c>
      <c r="F6" s="160">
        <f>'P&amp;L - Qtrly'!F17</f>
        <v>4324633.2051690742</v>
      </c>
      <c r="G6" s="160">
        <f>'P&amp;L - Qtrly'!G17</f>
        <v>3864279.8199999994</v>
      </c>
      <c r="H6" s="160">
        <f>'P&amp;L - Qtrly'!H17</f>
        <v>4219091.37</v>
      </c>
      <c r="I6" s="160">
        <f>'P&amp;L - Qtrly'!I17</f>
        <v>4126854.5000000005</v>
      </c>
      <c r="J6" s="160">
        <f>'P&amp;L - Qtrly'!J17</f>
        <v>4661996.8599999994</v>
      </c>
      <c r="K6" s="160">
        <f>'P&amp;L - Qtrly'!K17</f>
        <v>4548142.3269410422</v>
      </c>
      <c r="L6" s="160">
        <f>'P&amp;L - Qtrly'!L17</f>
        <v>5513542.3421206381</v>
      </c>
      <c r="M6" s="160">
        <f>'P&amp;L - Qtrly'!M17</f>
        <v>6326706.5684103398</v>
      </c>
      <c r="N6" s="160">
        <f>'P&amp;L - Qtrly'!N17</f>
        <v>7378046.5023129405</v>
      </c>
      <c r="O6" s="559"/>
      <c r="P6" s="606">
        <v>8100314</v>
      </c>
      <c r="Q6" s="607">
        <v>10993737</v>
      </c>
      <c r="R6" s="607">
        <f>SUM(C6:F6)</f>
        <v>14804051.248248139</v>
      </c>
      <c r="S6" s="607">
        <f>SUM(G6:J6)</f>
        <v>16872222.549999997</v>
      </c>
      <c r="T6" s="607">
        <f>SUM('P&amp;L - Monthly'!AC22:AN22)</f>
        <v>23766437.739784963</v>
      </c>
      <c r="U6" s="607">
        <f>SUM('P&amp;L - Monthly'!AO22:AZ22)</f>
        <v>42878882.56161508</v>
      </c>
      <c r="V6" s="607">
        <f>U6+(U6*V28)</f>
        <v>56294126.165015735</v>
      </c>
      <c r="W6" s="607">
        <f>V6+(V6*W28)</f>
        <v>99462766.244405061</v>
      </c>
      <c r="X6" s="607">
        <f>W6+(W6*X28)</f>
        <v>134274734.42994684</v>
      </c>
      <c r="Y6" s="1078">
        <f>X6+(X6*Y28)</f>
        <v>181270891.48042822</v>
      </c>
      <c r="AA6" s="308"/>
      <c r="AB6" s="161">
        <f>'P&amp;L - Monthly'!T22</f>
        <v>1489918.32</v>
      </c>
      <c r="AC6" s="409"/>
      <c r="AD6" s="409"/>
      <c r="AE6" s="409"/>
      <c r="AF6" s="409"/>
      <c r="AG6" s="409"/>
      <c r="AH6" s="409"/>
      <c r="AI6" s="169"/>
    </row>
    <row r="7" spans="2:35" s="574" customFormat="1" ht="25.5" customHeight="1" x14ac:dyDescent="0.45">
      <c r="B7" s="1079" t="s">
        <v>814</v>
      </c>
      <c r="C7" s="1068">
        <v>-239907.11502696094</v>
      </c>
      <c r="D7" s="1068">
        <v>-291317.57515588612</v>
      </c>
      <c r="E7" s="1068">
        <f>-257392.172744041-186103.68</f>
        <v>-443495.85274404101</v>
      </c>
      <c r="F7" s="1068">
        <f>-324734.892886147-283941.65</f>
        <v>-608676.54288614704</v>
      </c>
      <c r="G7" s="593"/>
      <c r="H7" s="593"/>
      <c r="I7" s="593"/>
      <c r="J7" s="593"/>
      <c r="K7" s="593"/>
      <c r="L7" s="593"/>
      <c r="M7" s="593"/>
      <c r="N7" s="593"/>
      <c r="O7" s="1069"/>
      <c r="P7" s="1070">
        <f>-819964-250125</f>
        <v>-1070089</v>
      </c>
      <c r="Q7" s="1070">
        <f>-877134-196196</f>
        <v>-1073330</v>
      </c>
      <c r="R7" s="1070">
        <f>SUM(C7:F7)</f>
        <v>-1583397.0858130353</v>
      </c>
      <c r="S7" s="646"/>
      <c r="T7" s="646"/>
      <c r="U7" s="646"/>
      <c r="V7" s="606"/>
      <c r="W7" s="606"/>
      <c r="X7" s="606"/>
      <c r="Y7" s="1080"/>
      <c r="AA7" s="579"/>
      <c r="AB7" s="161"/>
      <c r="AC7" s="409"/>
      <c r="AD7" s="409"/>
      <c r="AE7" s="409"/>
      <c r="AF7" s="409"/>
      <c r="AG7" s="409"/>
      <c r="AH7" s="409"/>
      <c r="AI7" s="169"/>
    </row>
    <row r="8" spans="2:35" s="574" customFormat="1" ht="25.5" customHeight="1" x14ac:dyDescent="0.45">
      <c r="B8" s="1077" t="s">
        <v>808</v>
      </c>
      <c r="C8" s="160">
        <f t="shared" ref="C8:N8" si="0">SUM(C6:C7)</f>
        <v>3029551.351374805</v>
      </c>
      <c r="D8" s="160">
        <f t="shared" si="0"/>
        <v>3335870.1598845553</v>
      </c>
      <c r="E8" s="160">
        <f t="shared" si="0"/>
        <v>3139275.9888928155</v>
      </c>
      <c r="F8" s="160">
        <f t="shared" si="0"/>
        <v>3715956.662282927</v>
      </c>
      <c r="G8" s="160">
        <f t="shared" si="0"/>
        <v>3864279.8199999994</v>
      </c>
      <c r="H8" s="160">
        <f t="shared" si="0"/>
        <v>4219091.37</v>
      </c>
      <c r="I8" s="160">
        <f t="shared" si="0"/>
        <v>4126854.5000000005</v>
      </c>
      <c r="J8" s="160">
        <f t="shared" si="0"/>
        <v>4661996.8599999994</v>
      </c>
      <c r="K8" s="160">
        <f t="shared" si="0"/>
        <v>4548142.3269410422</v>
      </c>
      <c r="L8" s="160">
        <f t="shared" si="0"/>
        <v>5513542.3421206381</v>
      </c>
      <c r="M8" s="160">
        <f t="shared" si="0"/>
        <v>6326706.5684103398</v>
      </c>
      <c r="N8" s="160">
        <f t="shared" si="0"/>
        <v>7378046.5023129405</v>
      </c>
      <c r="O8" s="559"/>
      <c r="P8" s="606">
        <f>SUM(P6:P7)</f>
        <v>7030225</v>
      </c>
      <c r="Q8" s="607">
        <f>SUM(Q6:Q7)</f>
        <v>9920407</v>
      </c>
      <c r="R8" s="607">
        <f>SUM(R6:R7)</f>
        <v>13220654.162435103</v>
      </c>
      <c r="S8" s="607">
        <f>SUM(G8:J8)</f>
        <v>16872222.549999997</v>
      </c>
      <c r="T8" s="607">
        <f>SUM(T6:T7)</f>
        <v>23766437.739784963</v>
      </c>
      <c r="U8" s="607">
        <v>33054598.477001786</v>
      </c>
      <c r="V8" s="607">
        <v>41195444.625880271</v>
      </c>
      <c r="W8" s="607">
        <v>68379176.871282488</v>
      </c>
      <c r="X8" s="607">
        <v>92311888.776231349</v>
      </c>
      <c r="Y8" s="1078">
        <v>124621049.84791231</v>
      </c>
      <c r="AA8" s="579"/>
      <c r="AB8" s="161"/>
      <c r="AC8" s="409"/>
      <c r="AD8" s="409"/>
      <c r="AE8" s="409"/>
      <c r="AF8" s="409"/>
      <c r="AG8" s="409"/>
      <c r="AH8" s="409"/>
      <c r="AI8" s="169"/>
    </row>
    <row r="9" spans="2:35" s="456" customFormat="1" ht="25.5" customHeight="1" x14ac:dyDescent="0.45">
      <c r="B9" s="1081" t="s">
        <v>552</v>
      </c>
      <c r="C9" s="462">
        <f>C8/C48-1</f>
        <v>0.1659034647139237</v>
      </c>
      <c r="D9" s="462">
        <f>D8/D48-1</f>
        <v>0.23374143146039272</v>
      </c>
      <c r="E9" s="462">
        <f>E8/E48-1</f>
        <v>0.16299375939586125</v>
      </c>
      <c r="F9" s="462">
        <f>F8/F48-1</f>
        <v>0.24191944716380909</v>
      </c>
      <c r="G9" s="462">
        <f t="shared" ref="G9:N9" si="1">G8/C8-1</f>
        <v>0.27552874066531219</v>
      </c>
      <c r="H9" s="462">
        <f t="shared" si="1"/>
        <v>0.26476486427337753</v>
      </c>
      <c r="I9" s="462">
        <f t="shared" si="1"/>
        <v>0.3145879860838523</v>
      </c>
      <c r="J9" s="462">
        <f t="shared" si="1"/>
        <v>0.25458859822543389</v>
      </c>
      <c r="K9" s="462">
        <f t="shared" si="1"/>
        <v>0.17697023476448015</v>
      </c>
      <c r="L9" s="462">
        <f t="shared" si="1"/>
        <v>0.30680799693623073</v>
      </c>
      <c r="M9" s="462">
        <f t="shared" si="1"/>
        <v>0.53305782125595624</v>
      </c>
      <c r="N9" s="462">
        <f t="shared" si="1"/>
        <v>0.5825936232640323</v>
      </c>
      <c r="O9" s="560"/>
      <c r="P9" s="556">
        <f>P8/G46-1</f>
        <v>0.25211423542085054</v>
      </c>
      <c r="Q9" s="460">
        <f>Q8/P8-1</f>
        <v>0.41110803708273913</v>
      </c>
      <c r="R9" s="460">
        <f>R8/Q8-1</f>
        <v>0.33267255692585018</v>
      </c>
      <c r="S9" s="460">
        <f t="shared" ref="S9:Y9" si="2">S8/R8-1</f>
        <v>0.27620179324714389</v>
      </c>
      <c r="T9" s="460">
        <f t="shared" si="2"/>
        <v>0.40861333883869189</v>
      </c>
      <c r="U9" s="460">
        <f t="shared" si="2"/>
        <v>0.39080996651292255</v>
      </c>
      <c r="V9" s="460">
        <f t="shared" si="2"/>
        <v>0.24628482946306529</v>
      </c>
      <c r="W9" s="460">
        <f t="shared" si="2"/>
        <v>0.65987228666357312</v>
      </c>
      <c r="X9" s="460">
        <f t="shared" si="2"/>
        <v>0.34999999999999987</v>
      </c>
      <c r="Y9" s="1082">
        <f t="shared" si="2"/>
        <v>0.34999999999999987</v>
      </c>
      <c r="AA9" s="457"/>
      <c r="AB9" s="516">
        <f>AB6/'P&amp;L - Monthly'!H17-1</f>
        <v>0.27835954897793069</v>
      </c>
      <c r="AC9" s="458"/>
      <c r="AD9" s="458"/>
      <c r="AE9" s="458"/>
      <c r="AF9" s="458"/>
      <c r="AG9" s="458"/>
      <c r="AH9" s="458"/>
      <c r="AI9" s="459"/>
    </row>
    <row r="10" spans="2:35" s="456" customFormat="1" ht="25.5" customHeight="1" x14ac:dyDescent="0.45">
      <c r="B10" s="1081" t="s">
        <v>553</v>
      </c>
      <c r="C10" s="462">
        <f>C8/F48-1</f>
        <v>1.2514160254568862E-2</v>
      </c>
      <c r="D10" s="462">
        <f t="shared" ref="D10:N10" si="3">D8/C8-1</f>
        <v>0.10111028762418672</v>
      </c>
      <c r="E10" s="462">
        <f t="shared" si="3"/>
        <v>-5.893340015324311E-2</v>
      </c>
      <c r="F10" s="462">
        <f t="shared" si="3"/>
        <v>0.18369862204867804</v>
      </c>
      <c r="G10" s="462">
        <f t="shared" si="3"/>
        <v>3.9915201170820147E-2</v>
      </c>
      <c r="H10" s="462">
        <f t="shared" si="3"/>
        <v>9.1818286078465317E-2</v>
      </c>
      <c r="I10" s="462">
        <f t="shared" si="3"/>
        <v>-2.186178537299599E-2</v>
      </c>
      <c r="J10" s="462">
        <f t="shared" si="3"/>
        <v>0.12967318329250488</v>
      </c>
      <c r="K10" s="1154">
        <f t="shared" si="3"/>
        <v>-2.4421838211825198E-2</v>
      </c>
      <c r="L10" s="1154">
        <f t="shared" si="3"/>
        <v>0.21226248999751474</v>
      </c>
      <c r="M10" s="1154">
        <f t="shared" si="3"/>
        <v>0.14748489733678904</v>
      </c>
      <c r="N10" s="1154">
        <f t="shared" si="3"/>
        <v>0.1661749162118582</v>
      </c>
      <c r="O10" s="561"/>
      <c r="P10" s="611"/>
      <c r="Q10" s="605"/>
      <c r="R10" s="605"/>
      <c r="S10" s="605"/>
      <c r="T10" s="605"/>
      <c r="U10" s="605"/>
      <c r="V10" s="605"/>
      <c r="W10" s="605"/>
      <c r="X10" s="605"/>
      <c r="Y10" s="1083"/>
      <c r="AA10" s="457"/>
      <c r="AB10" s="463">
        <f>(AB6/('P&amp;L - Monthly'!S11+'P&amp;L - Monthly'!S12))-1</f>
        <v>2.5553464589025632E-2</v>
      </c>
      <c r="AC10" s="458"/>
      <c r="AD10" s="458"/>
      <c r="AE10" s="458"/>
      <c r="AF10" s="458"/>
      <c r="AG10" s="458"/>
      <c r="AH10" s="458"/>
      <c r="AI10" s="459"/>
    </row>
    <row r="11" spans="2:35" s="456" customFormat="1" ht="25.5" customHeight="1" x14ac:dyDescent="0.45">
      <c r="B11" s="1081" t="s">
        <v>764</v>
      </c>
      <c r="C11" s="466"/>
      <c r="D11" s="466"/>
      <c r="E11" s="466"/>
      <c r="F11" s="466"/>
      <c r="G11" s="462">
        <f>G6/G5</f>
        <v>1.0810676266762578</v>
      </c>
      <c r="H11" s="462">
        <f>H6/H5</f>
        <v>1.1058795718634313</v>
      </c>
      <c r="I11" s="462">
        <f>I6/I5</f>
        <v>0.96728222014931953</v>
      </c>
      <c r="J11" s="462">
        <f>J6/J5</f>
        <v>0.92427332727578992</v>
      </c>
      <c r="K11" s="610"/>
      <c r="L11" s="610"/>
      <c r="M11" s="610"/>
      <c r="N11" s="610"/>
      <c r="O11" s="561"/>
      <c r="P11" s="612"/>
      <c r="Q11" s="613"/>
      <c r="R11" s="613"/>
      <c r="S11" s="1242">
        <f>SUM(G6:J6)/S5</f>
        <v>1.0103096499563795</v>
      </c>
      <c r="T11" s="613"/>
      <c r="U11" s="613"/>
      <c r="V11" s="613"/>
      <c r="W11" s="613"/>
      <c r="X11" s="613"/>
      <c r="Y11" s="1084"/>
      <c r="AA11" s="457"/>
      <c r="AB11" s="463"/>
      <c r="AC11" s="458"/>
      <c r="AD11" s="458"/>
      <c r="AE11" s="458"/>
      <c r="AF11" s="458"/>
      <c r="AG11" s="458"/>
      <c r="AH11" s="458"/>
      <c r="AI11" s="459"/>
    </row>
    <row r="12" spans="2:35" ht="25.5" customHeight="1" x14ac:dyDescent="0.45">
      <c r="B12" s="1077" t="s">
        <v>73</v>
      </c>
      <c r="C12" s="160">
        <f>'P&amp;L - Qtrly'!C25</f>
        <v>633916.82999999996</v>
      </c>
      <c r="D12" s="160">
        <f>'P&amp;L - Qtrly'!D25</f>
        <v>759706.59000000008</v>
      </c>
      <c r="E12" s="160">
        <f>'P&amp;L - Qtrly'!E25</f>
        <v>534293.86</v>
      </c>
      <c r="F12" s="160">
        <f>'P&amp;L - Qtrly'!F25</f>
        <v>776484.22</v>
      </c>
      <c r="G12" s="160">
        <f>'P&amp;L - Qtrly'!G25</f>
        <v>492507.08</v>
      </c>
      <c r="H12" s="160">
        <f>'P&amp;L - Qtrly'!H25</f>
        <v>610604.66</v>
      </c>
      <c r="I12" s="160">
        <f>'P&amp;L - Qtrly'!I25</f>
        <v>645933.07999999996</v>
      </c>
      <c r="J12" s="160">
        <f>'P&amp;L - Qtrly'!J25</f>
        <v>730127.29</v>
      </c>
      <c r="K12" s="160">
        <f>'P&amp;L - Qtrly'!K25</f>
        <v>737604.16642484674</v>
      </c>
      <c r="L12" s="160">
        <f>'P&amp;L - Qtrly'!L25</f>
        <v>858379.80138054083</v>
      </c>
      <c r="M12" s="160">
        <f>'P&amp;L - Qtrly'!M25</f>
        <v>950793.61151508405</v>
      </c>
      <c r="N12" s="160">
        <f>'P&amp;L - Qtrly'!N25</f>
        <v>1077317.9881241296</v>
      </c>
      <c r="O12" s="562"/>
      <c r="P12" s="555">
        <v>1936086.2400000002</v>
      </c>
      <c r="Q12" s="472">
        <f>2485624</f>
        <v>2485624</v>
      </c>
      <c r="R12" s="472">
        <f>SUM(C12:F12)</f>
        <v>2704401.5</v>
      </c>
      <c r="S12" s="472">
        <f>SUM(G12:J12)</f>
        <v>2479172.11</v>
      </c>
      <c r="T12" s="472">
        <f>SUM(K12:N12)</f>
        <v>3624095.5674446011</v>
      </c>
      <c r="U12" s="472">
        <f>U6-U13</f>
        <v>8575776.5123230144</v>
      </c>
      <c r="V12" s="472">
        <f>V6-V13</f>
        <v>11258825.233003147</v>
      </c>
      <c r="W12" s="472">
        <f>W6-W13</f>
        <v>19892553.248881012</v>
      </c>
      <c r="X12" s="472">
        <f>X6-X13</f>
        <v>26854946.885989368</v>
      </c>
      <c r="Y12" s="1085">
        <f>Y6-Y13</f>
        <v>36254178.296085626</v>
      </c>
      <c r="AA12" s="62"/>
      <c r="AB12" s="160">
        <f>'P&amp;L - Monthly'!T30</f>
        <v>218548.87</v>
      </c>
      <c r="AC12" s="409"/>
      <c r="AD12" s="409"/>
      <c r="AE12" s="409"/>
      <c r="AF12" s="409"/>
      <c r="AG12" s="409"/>
      <c r="AH12" s="409"/>
      <c r="AI12" s="169"/>
    </row>
    <row r="13" spans="2:35" ht="25.5" customHeight="1" x14ac:dyDescent="0.45">
      <c r="B13" s="1077" t="s">
        <v>690</v>
      </c>
      <c r="C13" s="160">
        <f t="shared" ref="C13:N13" si="4">C6-C12</f>
        <v>2635541.636401766</v>
      </c>
      <c r="D13" s="160">
        <f t="shared" si="4"/>
        <v>2867481.1450404413</v>
      </c>
      <c r="E13" s="160">
        <f t="shared" si="4"/>
        <v>3048477.9816368567</v>
      </c>
      <c r="F13" s="160">
        <f t="shared" si="4"/>
        <v>3548148.9851690745</v>
      </c>
      <c r="G13" s="160">
        <f t="shared" si="4"/>
        <v>3371772.7399999993</v>
      </c>
      <c r="H13" s="160">
        <f t="shared" si="4"/>
        <v>3608486.71</v>
      </c>
      <c r="I13" s="160">
        <f t="shared" si="4"/>
        <v>3480921.4200000004</v>
      </c>
      <c r="J13" s="160">
        <f t="shared" si="4"/>
        <v>3931869.5699999994</v>
      </c>
      <c r="K13" s="160">
        <f t="shared" si="4"/>
        <v>3810538.1605161955</v>
      </c>
      <c r="L13" s="160">
        <f t="shared" si="4"/>
        <v>4655162.5407400969</v>
      </c>
      <c r="M13" s="160">
        <f t="shared" si="4"/>
        <v>5375912.9568952555</v>
      </c>
      <c r="N13" s="160">
        <f t="shared" si="4"/>
        <v>6300728.5141888112</v>
      </c>
      <c r="O13" s="562"/>
      <c r="P13" s="555">
        <f>P6-P12</f>
        <v>6164227.7599999998</v>
      </c>
      <c r="Q13" s="472">
        <f>Q6-Q12</f>
        <v>8508113</v>
      </c>
      <c r="R13" s="472">
        <f>R6-R12</f>
        <v>12099649.748248139</v>
      </c>
      <c r="S13" s="472">
        <f>S6-S12</f>
        <v>14393050.439999998</v>
      </c>
      <c r="T13" s="472">
        <f>T6-T12</f>
        <v>20142342.172340363</v>
      </c>
      <c r="U13" s="472">
        <f>U6*U14</f>
        <v>34303106.049292065</v>
      </c>
      <c r="V13" s="472">
        <f>V6*V14</f>
        <v>45035300.932012588</v>
      </c>
      <c r="W13" s="472">
        <f>W6*W14</f>
        <v>79570212.995524049</v>
      </c>
      <c r="X13" s="472">
        <f>X6*X14</f>
        <v>107419787.54395747</v>
      </c>
      <c r="Y13" s="1085">
        <f>Y6*Y14</f>
        <v>145016713.18434259</v>
      </c>
      <c r="AB13" s="160">
        <f>AB6-AB12</f>
        <v>1271369.4500000002</v>
      </c>
      <c r="AC13" s="409"/>
      <c r="AD13" s="409"/>
      <c r="AE13" s="409"/>
      <c r="AF13" s="409"/>
      <c r="AG13" s="409"/>
      <c r="AH13" s="409"/>
      <c r="AI13" s="169"/>
    </row>
    <row r="14" spans="2:35" ht="25.5" customHeight="1" x14ac:dyDescent="0.35">
      <c r="B14" s="1081" t="s">
        <v>164</v>
      </c>
      <c r="C14" s="462">
        <f t="shared" ref="C14:N14" si="5">C13/C6</f>
        <v>0.80610953265980367</v>
      </c>
      <c r="D14" s="462">
        <f t="shared" si="5"/>
        <v>0.79055217278641077</v>
      </c>
      <c r="E14" s="462">
        <f t="shared" si="5"/>
        <v>0.8508713689800862</v>
      </c>
      <c r="F14" s="462">
        <f t="shared" si="5"/>
        <v>0.82045084908660071</v>
      </c>
      <c r="G14" s="462">
        <f t="shared" si="5"/>
        <v>0.87254880522601486</v>
      </c>
      <c r="H14" s="462">
        <f t="shared" si="5"/>
        <v>0.85527579128963016</v>
      </c>
      <c r="I14" s="462">
        <f t="shared" si="5"/>
        <v>0.8434805297836403</v>
      </c>
      <c r="J14" s="462">
        <f t="shared" si="5"/>
        <v>0.84338743419917273</v>
      </c>
      <c r="K14" s="462">
        <f t="shared" si="5"/>
        <v>0.83782298059239946</v>
      </c>
      <c r="L14" s="462">
        <f t="shared" si="5"/>
        <v>0.84431428143337917</v>
      </c>
      <c r="M14" s="462">
        <f t="shared" si="5"/>
        <v>0.84971744757968404</v>
      </c>
      <c r="N14" s="462">
        <f t="shared" si="5"/>
        <v>0.85398330197750838</v>
      </c>
      <c r="O14" s="563"/>
      <c r="P14" s="556">
        <f>P13/P6</f>
        <v>0.76098627287781684</v>
      </c>
      <c r="Q14" s="460">
        <f>Q13/Q6</f>
        <v>0.77390545180405901</v>
      </c>
      <c r="R14" s="460">
        <f>R13/R6</f>
        <v>0.81732017441374172</v>
      </c>
      <c r="S14" s="460">
        <f>S13/S6</f>
        <v>0.85306191269981801</v>
      </c>
      <c r="T14" s="460">
        <f>T13/T6</f>
        <v>0.847512041681456</v>
      </c>
      <c r="U14" s="460">
        <v>0.8</v>
      </c>
      <c r="V14" s="460">
        <v>0.8</v>
      </c>
      <c r="W14" s="460">
        <v>0.8</v>
      </c>
      <c r="X14" s="460">
        <v>0.8</v>
      </c>
      <c r="Y14" s="1082">
        <v>0.8</v>
      </c>
      <c r="AB14" s="462">
        <f>AB13/AB6</f>
        <v>0.85331486493836795</v>
      </c>
      <c r="AC14" s="410"/>
      <c r="AD14" s="410"/>
      <c r="AE14" s="410"/>
      <c r="AF14" s="410"/>
      <c r="AG14" s="410"/>
      <c r="AH14" s="410"/>
      <c r="AI14" s="169"/>
    </row>
    <row r="15" spans="2:35" s="438" customFormat="1" ht="25.5" customHeight="1" outlineLevel="1" x14ac:dyDescent="0.45">
      <c r="B15" s="1081" t="s">
        <v>17</v>
      </c>
      <c r="C15" s="591">
        <f>'P&amp;L - Qtrly'!C35</f>
        <v>580997.61897818674</v>
      </c>
      <c r="D15" s="591">
        <f>'P&amp;L - Qtrly'!D35</f>
        <v>637911.48888346902</v>
      </c>
      <c r="E15" s="591">
        <f>'P&amp;L - Qtrly'!E35</f>
        <v>652436.19963213021</v>
      </c>
      <c r="F15" s="591">
        <f>'P&amp;L - Qtrly'!F35</f>
        <v>580916.49592302949</v>
      </c>
      <c r="G15" s="591">
        <f>'P&amp;L - Qtrly'!G35</f>
        <v>1151510.9100000001</v>
      </c>
      <c r="H15" s="591">
        <f>'P&amp;L - Qtrly'!H35</f>
        <v>1419823.35</v>
      </c>
      <c r="I15" s="591">
        <f>'P&amp;L - Qtrly'!I35</f>
        <v>2288234.6</v>
      </c>
      <c r="J15" s="591">
        <f>'P&amp;L - Qtrly'!J35</f>
        <v>1703936.85</v>
      </c>
      <c r="K15" s="591">
        <f>'P&amp;L - Qtrly'!K35</f>
        <v>1890726.321929398</v>
      </c>
      <c r="L15" s="591">
        <f>'P&amp;L - Qtrly'!L35</f>
        <v>2992200.0648607565</v>
      </c>
      <c r="M15" s="591">
        <f>'P&amp;L - Qtrly'!M35</f>
        <v>2617047.3418863323</v>
      </c>
      <c r="N15" s="591">
        <f>'P&amp;L - Qtrly'!N35</f>
        <v>2926773.9825895675</v>
      </c>
      <c r="O15" s="564"/>
      <c r="P15" s="595">
        <v>1500239.0994844069</v>
      </c>
      <c r="Q15" s="596">
        <v>2440063.9781391416</v>
      </c>
      <c r="R15" s="596">
        <f t="shared" ref="R15:R20" si="6">SUM(C15:F15)</f>
        <v>2452261.8034168156</v>
      </c>
      <c r="S15" s="596">
        <f t="shared" ref="S15:S20" si="7">SUM(G15:J15)</f>
        <v>6563505.7100000009</v>
      </c>
      <c r="T15" s="596">
        <f t="shared" ref="T15:T20" si="8">SUM(K15:N15)</f>
        <v>10426747.711266054</v>
      </c>
      <c r="U15" s="596">
        <f>SUM('P&amp;L - Qtrly'!O17:R17)</f>
        <v>42878882.561615087</v>
      </c>
      <c r="V15" s="596"/>
      <c r="W15" s="596"/>
      <c r="X15" s="596"/>
      <c r="Y15" s="1086"/>
      <c r="AA15" s="288"/>
      <c r="AB15" s="464">
        <f>'P&amp;L - Monthly'!T40</f>
        <v>395112.8</v>
      </c>
      <c r="AC15" s="410"/>
      <c r="AD15" s="410"/>
      <c r="AE15" s="410"/>
      <c r="AF15" s="410"/>
      <c r="AG15" s="410"/>
      <c r="AH15" s="410"/>
      <c r="AI15" s="169"/>
    </row>
    <row r="16" spans="2:35" s="438" customFormat="1" ht="25.5" customHeight="1" outlineLevel="1" x14ac:dyDescent="0.45">
      <c r="B16" s="1081" t="s">
        <v>18</v>
      </c>
      <c r="C16" s="592">
        <f>'P&amp;L - Qtrly'!C40</f>
        <v>274666.38064428722</v>
      </c>
      <c r="D16" s="592">
        <f>'P&amp;L - Qtrly'!D40</f>
        <v>379415.27288901276</v>
      </c>
      <c r="E16" s="592">
        <f>'P&amp;L - Qtrly'!E40</f>
        <v>484503.65908424038</v>
      </c>
      <c r="F16" s="592">
        <f>'P&amp;L - Qtrly'!F40</f>
        <v>691351.7951991735</v>
      </c>
      <c r="G16" s="592">
        <f>'P&amp;L - Qtrly'!G40</f>
        <v>875374.96</v>
      </c>
      <c r="H16" s="592">
        <f>'P&amp;L - Qtrly'!H40</f>
        <v>1020473.09</v>
      </c>
      <c r="I16" s="592">
        <f>'P&amp;L - Qtrly'!I40</f>
        <v>1181525.77</v>
      </c>
      <c r="J16" s="592">
        <f>'P&amp;L - Qtrly'!J40</f>
        <v>1153050.3399999999</v>
      </c>
      <c r="K16" s="592">
        <f>'P&amp;L - Qtrly'!K40</f>
        <v>930035.65003958333</v>
      </c>
      <c r="L16" s="592">
        <f>'P&amp;L - Qtrly'!L40</f>
        <v>963451.76347801776</v>
      </c>
      <c r="M16" s="592">
        <f>'P&amp;L - Qtrly'!M40</f>
        <v>1067911.1959168143</v>
      </c>
      <c r="N16" s="592">
        <f>'P&amp;L - Qtrly'!N40</f>
        <v>1727965.8848971592</v>
      </c>
      <c r="O16" s="565"/>
      <c r="P16" s="595">
        <v>770782.63838044857</v>
      </c>
      <c r="Q16" s="596">
        <v>972114.73047552921</v>
      </c>
      <c r="R16" s="596">
        <f t="shared" si="6"/>
        <v>1829937.1078167139</v>
      </c>
      <c r="S16" s="596">
        <f t="shared" si="7"/>
        <v>4230424.16</v>
      </c>
      <c r="T16" s="596">
        <f t="shared" si="8"/>
        <v>4689364.494331575</v>
      </c>
      <c r="U16" s="596">
        <f>SUM('P&amp;L - Qtrly'!O40:R40)</f>
        <v>5712310.1960396878</v>
      </c>
      <c r="V16" s="596"/>
      <c r="W16" s="596"/>
      <c r="X16" s="596"/>
      <c r="Y16" s="1086"/>
      <c r="AA16" s="288"/>
      <c r="AB16" s="468">
        <f>'P&amp;L - Monthly'!T45</f>
        <v>365783.22000000003</v>
      </c>
      <c r="AC16" s="410"/>
      <c r="AD16" s="410"/>
      <c r="AE16" s="410"/>
      <c r="AF16" s="410"/>
      <c r="AG16" s="410"/>
      <c r="AH16" s="410"/>
      <c r="AI16" s="169"/>
    </row>
    <row r="17" spans="2:35" s="438" customFormat="1" ht="25.5" customHeight="1" outlineLevel="1" x14ac:dyDescent="0.45">
      <c r="B17" s="1081" t="s">
        <v>19</v>
      </c>
      <c r="C17" s="600">
        <f>'P&amp;L - Qtrly'!C56</f>
        <v>438843.67563554551</v>
      </c>
      <c r="D17" s="600">
        <f>'P&amp;L - Qtrly'!D56</f>
        <v>791838.62063374394</v>
      </c>
      <c r="E17" s="600">
        <f>'P&amp;L - Qtrly'!E56</f>
        <v>1149897.0897435877</v>
      </c>
      <c r="F17" s="600">
        <f>'P&amp;L - Qtrly'!F56</f>
        <v>1657440.9392442009</v>
      </c>
      <c r="G17" s="600">
        <f>'P&amp;L - Qtrly'!G56</f>
        <v>666673.92000000004</v>
      </c>
      <c r="H17" s="600">
        <f>'P&amp;L - Qtrly'!H56</f>
        <v>702806.83</v>
      </c>
      <c r="I17" s="600">
        <f>'P&amp;L - Qtrly'!I56</f>
        <v>806303.89000000013</v>
      </c>
      <c r="J17" s="600">
        <f>'P&amp;L - Qtrly'!J56</f>
        <v>903650.01</v>
      </c>
      <c r="K17" s="600">
        <f>'P&amp;L - Qtrly'!K56</f>
        <v>681969.76551759266</v>
      </c>
      <c r="L17" s="600">
        <f>'P&amp;L - Qtrly'!L56</f>
        <v>708073.52496679255</v>
      </c>
      <c r="M17" s="600">
        <f>'P&amp;L - Qtrly'!M56</f>
        <v>713874.6850844</v>
      </c>
      <c r="N17" s="600">
        <f>'P&amp;L - Qtrly'!N56</f>
        <v>1128266.4299214277</v>
      </c>
      <c r="O17" s="564"/>
      <c r="P17" s="595">
        <v>2036369.7451354342</v>
      </c>
      <c r="Q17" s="596">
        <v>2320040.796982476</v>
      </c>
      <c r="R17" s="596">
        <f t="shared" si="6"/>
        <v>4038020.3252570783</v>
      </c>
      <c r="S17" s="596">
        <f t="shared" si="7"/>
        <v>3079434.6500000004</v>
      </c>
      <c r="T17" s="596">
        <f t="shared" si="8"/>
        <v>3232184.4054902131</v>
      </c>
      <c r="U17" s="596">
        <f>SUM('P&amp;L - Qtrly'!O56:R56)</f>
        <v>3052698.1045318074</v>
      </c>
      <c r="V17" s="596"/>
      <c r="W17" s="596"/>
      <c r="X17" s="596"/>
      <c r="Y17" s="1086"/>
      <c r="AA17" s="288"/>
      <c r="AB17" s="464">
        <f>'P&amp;L - Monthly'!T61</f>
        <v>214846.01</v>
      </c>
      <c r="AC17" s="410"/>
      <c r="AD17" s="410"/>
      <c r="AE17" s="410"/>
      <c r="AF17" s="410"/>
      <c r="AG17" s="410"/>
      <c r="AH17" s="410"/>
      <c r="AI17" s="169"/>
    </row>
    <row r="18" spans="2:35" ht="25.5" customHeight="1" thickBot="1" x14ac:dyDescent="0.5">
      <c r="B18" s="1077" t="s">
        <v>165</v>
      </c>
      <c r="C18" s="160">
        <f>'P&amp;L - Qtrly'!C58</f>
        <v>1294507.6752580192</v>
      </c>
      <c r="D18" s="160">
        <f>'P&amp;L - Qtrly'!D58</f>
        <v>1809165.3824062259</v>
      </c>
      <c r="E18" s="160">
        <f>'P&amp;L - Qtrly'!E58</f>
        <v>2286836.9484599582</v>
      </c>
      <c r="F18" s="160">
        <f>'P&amp;L - Qtrly'!F58</f>
        <v>2929709.2303664042</v>
      </c>
      <c r="G18" s="160">
        <f>'P&amp;L - Qtrly'!G58</f>
        <v>2693559.79</v>
      </c>
      <c r="H18" s="160">
        <f>'P&amp;L - Qtrly'!H58</f>
        <v>3143103.2699999996</v>
      </c>
      <c r="I18" s="160">
        <f>'P&amp;L - Qtrly'!I58</f>
        <v>4276064.26</v>
      </c>
      <c r="J18" s="160">
        <f>'P&amp;L - Qtrly'!J58</f>
        <v>3760637.2</v>
      </c>
      <c r="K18" s="160">
        <f>'P&amp;L - Qtrly'!K58</f>
        <v>3502731.7374865739</v>
      </c>
      <c r="L18" s="160">
        <f>'P&amp;L - Qtrly'!L58</f>
        <v>4663725.3533055671</v>
      </c>
      <c r="M18" s="160">
        <f>'P&amp;L - Qtrly'!M58</f>
        <v>4398833.2228875468</v>
      </c>
      <c r="N18" s="160">
        <f>'P&amp;L - Qtrly'!N58</f>
        <v>5783006.2974081552</v>
      </c>
      <c r="O18" s="566"/>
      <c r="P18" s="160">
        <f>SUM(P15:P17)</f>
        <v>4307391.4830002896</v>
      </c>
      <c r="Q18" s="472">
        <f>SUM(Q15:Q17)</f>
        <v>5732219.5055971462</v>
      </c>
      <c r="R18" s="472">
        <f t="shared" si="6"/>
        <v>8320219.2364906082</v>
      </c>
      <c r="S18" s="472">
        <f t="shared" si="7"/>
        <v>13873364.52</v>
      </c>
      <c r="T18" s="472">
        <f t="shared" si="8"/>
        <v>18348296.611087844</v>
      </c>
      <c r="U18" s="599">
        <f>U13-U19</f>
        <v>21439441.28080754</v>
      </c>
      <c r="V18" s="599">
        <f>V13-V19</f>
        <v>28147063.082507867</v>
      </c>
      <c r="W18" s="599">
        <f>W13-W19</f>
        <v>49731383.122202531</v>
      </c>
      <c r="X18" s="599">
        <f>X13-X19</f>
        <v>67137367.21497342</v>
      </c>
      <c r="Y18" s="1087">
        <f>Y13-Y19</f>
        <v>90635445.740214139</v>
      </c>
      <c r="AB18" s="470">
        <f>'P&amp;L - Monthly'!T63</f>
        <v>975742.03</v>
      </c>
      <c r="AC18" s="409"/>
      <c r="AD18" s="409"/>
      <c r="AE18" s="409"/>
      <c r="AF18" s="409"/>
      <c r="AG18" s="409"/>
      <c r="AH18" s="409"/>
      <c r="AI18" s="169"/>
    </row>
    <row r="19" spans="2:35" ht="25.5" customHeight="1" thickBot="1" x14ac:dyDescent="0.5">
      <c r="B19" s="1088" t="s">
        <v>566</v>
      </c>
      <c r="C19" s="601">
        <f t="shared" ref="C19:N19" si="9">C13-C18</f>
        <v>1341033.9611437467</v>
      </c>
      <c r="D19" s="601">
        <f t="shared" si="9"/>
        <v>1058315.7626342154</v>
      </c>
      <c r="E19" s="601">
        <f t="shared" si="9"/>
        <v>761641.03317689849</v>
      </c>
      <c r="F19" s="601">
        <f t="shared" si="9"/>
        <v>618439.75480267033</v>
      </c>
      <c r="G19" s="601">
        <f t="shared" si="9"/>
        <v>678212.94999999925</v>
      </c>
      <c r="H19" s="601">
        <f t="shared" si="9"/>
        <v>465383.44000000041</v>
      </c>
      <c r="I19" s="1067">
        <f t="shared" si="9"/>
        <v>-795142.83999999939</v>
      </c>
      <c r="J19" s="601">
        <f t="shared" si="9"/>
        <v>171232.36999999918</v>
      </c>
      <c r="K19" s="601">
        <f t="shared" si="9"/>
        <v>307806.4230296216</v>
      </c>
      <c r="L19" s="1067">
        <f t="shared" si="9"/>
        <v>-8562.8125654701144</v>
      </c>
      <c r="M19" s="601">
        <f t="shared" si="9"/>
        <v>977079.73400770873</v>
      </c>
      <c r="N19" s="601">
        <f t="shared" si="9"/>
        <v>517722.21678065602</v>
      </c>
      <c r="O19" s="567"/>
      <c r="P19" s="602">
        <f>P13-P18</f>
        <v>1856836.2769997101</v>
      </c>
      <c r="Q19" s="603">
        <f>Q13-Q18</f>
        <v>2775893.4944028538</v>
      </c>
      <c r="R19" s="603">
        <f t="shared" si="6"/>
        <v>3779430.5117575307</v>
      </c>
      <c r="S19" s="603">
        <f t="shared" si="7"/>
        <v>519685.91999999946</v>
      </c>
      <c r="T19" s="603">
        <f t="shared" si="8"/>
        <v>1794045.5612525162</v>
      </c>
      <c r="U19" s="603">
        <f>U6*U27</f>
        <v>12863664.768484524</v>
      </c>
      <c r="V19" s="603">
        <f>V6*V27</f>
        <v>16888237.84950472</v>
      </c>
      <c r="W19" s="603">
        <f>W6*W27</f>
        <v>29838829.873321518</v>
      </c>
      <c r="X19" s="603">
        <f>X6*X27</f>
        <v>40282420.328984052</v>
      </c>
      <c r="Y19" s="1089">
        <f>Y6*Y27</f>
        <v>54381267.444128461</v>
      </c>
      <c r="AB19" s="471">
        <f>AB13-AB18</f>
        <v>295627.42000000016</v>
      </c>
      <c r="AC19" s="411"/>
      <c r="AD19" s="411"/>
      <c r="AE19" s="411"/>
      <c r="AF19" s="411"/>
      <c r="AG19" s="411"/>
      <c r="AH19" s="411"/>
      <c r="AI19" s="169"/>
    </row>
    <row r="20" spans="2:35" s="438" customFormat="1" ht="25.5" customHeight="1" thickTop="1" x14ac:dyDescent="0.45">
      <c r="B20" s="1090" t="s">
        <v>592</v>
      </c>
      <c r="C20" s="604">
        <f>Metrics!C38</f>
        <v>1397119.9765850985</v>
      </c>
      <c r="D20" s="604">
        <f>Metrics!D38</f>
        <v>1964193.3081237744</v>
      </c>
      <c r="E20" s="604">
        <f>Metrics!E38</f>
        <v>1113322.6420700417</v>
      </c>
      <c r="F20" s="604">
        <f>Metrics!F38</f>
        <v>821392.01304643601</v>
      </c>
      <c r="G20" s="604">
        <f>Metrics!G38</f>
        <v>1117746.6799999997</v>
      </c>
      <c r="H20" s="604">
        <f>Metrics!H38</f>
        <v>37542.240000000209</v>
      </c>
      <c r="I20" s="1065">
        <f>Metrics!I38</f>
        <v>-730194.57999999903</v>
      </c>
      <c r="J20" s="1065">
        <f>Metrics!K38</f>
        <v>-1344808.8599999994</v>
      </c>
      <c r="K20" s="604">
        <f>Metrics!L38</f>
        <v>687055.19103500596</v>
      </c>
      <c r="L20" s="1065">
        <f>Metrics!M38</f>
        <v>-266396.823066112</v>
      </c>
      <c r="M20" s="604">
        <f>Metrics!N38</f>
        <v>699407.94019614789</v>
      </c>
      <c r="N20" s="604">
        <f>Metrics!O38</f>
        <v>424992.97841296752</v>
      </c>
      <c r="O20" s="566"/>
      <c r="P20" s="555">
        <v>3600727</v>
      </c>
      <c r="Q20" s="472">
        <v>3908286</v>
      </c>
      <c r="R20" s="472">
        <f t="shared" si="6"/>
        <v>5296027.9398253504</v>
      </c>
      <c r="S20" s="1066">
        <f t="shared" si="7"/>
        <v>-919714.51999999851</v>
      </c>
      <c r="T20" s="472">
        <f t="shared" si="8"/>
        <v>1545059.2865780094</v>
      </c>
      <c r="U20" s="472">
        <f>Metrics!V38</f>
        <v>17364010.491967</v>
      </c>
      <c r="V20" s="472"/>
      <c r="W20" s="472"/>
      <c r="X20" s="472"/>
      <c r="Y20" s="1085"/>
      <c r="AA20" s="288"/>
      <c r="AB20" s="168">
        <f>'CF - Monthly'!T19-'CF - Monthly'!T25</f>
        <v>131625.29000000044</v>
      </c>
      <c r="AC20" s="411"/>
      <c r="AD20" s="411"/>
      <c r="AE20" s="411"/>
      <c r="AF20" s="411"/>
      <c r="AG20" s="411"/>
      <c r="AH20" s="411"/>
      <c r="AI20" s="169"/>
    </row>
    <row r="21" spans="2:35" ht="25.5" hidden="1" customHeight="1" outlineLevel="1" x14ac:dyDescent="0.45">
      <c r="B21" s="1077" t="s">
        <v>166</v>
      </c>
      <c r="C21" s="160">
        <f>'BS - Monthly'!H8</f>
        <v>1562923.57</v>
      </c>
      <c r="D21" s="160">
        <f>'BS - Monthly'!K8</f>
        <v>2439482.09</v>
      </c>
      <c r="E21" s="160">
        <f>'BS - Monthly'!N8</f>
        <v>2469471.3199999998</v>
      </c>
      <c r="F21" s="160">
        <f>'BS - Monthly'!Q8</f>
        <v>5762942.2999999998</v>
      </c>
      <c r="G21" s="160">
        <f>'BS - Monthly'!T8</f>
        <v>6699887.0899999999</v>
      </c>
      <c r="H21" s="160">
        <f>'BS - Monthly'!W8</f>
        <v>6453230.3499999996</v>
      </c>
      <c r="I21" s="160">
        <f>'BS - Monthly'!Z8</f>
        <v>5413089.0899999999</v>
      </c>
      <c r="J21" s="160">
        <f>'BS - Monthly'!AC8</f>
        <v>3757928.56</v>
      </c>
      <c r="K21" s="160">
        <f>'BS - Monthly'!AF8</f>
        <v>4233014.5816157702</v>
      </c>
      <c r="L21" s="160">
        <f>'BS - Monthly'!AI8</f>
        <v>3966617.7585496581</v>
      </c>
      <c r="M21" s="160">
        <f>'BS - Monthly'!AL8</f>
        <v>4666025.6987458058</v>
      </c>
      <c r="N21" s="160">
        <f>'BS - Monthly'!AO8</f>
        <v>5091018.6771587739</v>
      </c>
      <c r="O21" s="566"/>
      <c r="P21" s="555">
        <v>1546119</v>
      </c>
      <c r="Q21" s="472">
        <v>1662215</v>
      </c>
      <c r="R21" s="472">
        <f>F21</f>
        <v>5762942.2999999998</v>
      </c>
      <c r="S21" s="472">
        <f>J21</f>
        <v>3757928.56</v>
      </c>
      <c r="T21" s="472">
        <f>N21</f>
        <v>5091018.6771587739</v>
      </c>
      <c r="U21" s="472">
        <f>T21+(U6*4%)</f>
        <v>6806173.9796233773</v>
      </c>
      <c r="V21" s="472">
        <f>U21+(V6*4%)</f>
        <v>9057939.026224006</v>
      </c>
      <c r="W21" s="472">
        <f>V21+(W6*4%)</f>
        <v>13036449.676000208</v>
      </c>
      <c r="X21" s="472">
        <f>W21+(X6*4%)</f>
        <v>18407439.053198081</v>
      </c>
      <c r="Y21" s="1085">
        <f>X21+(Y6*4%)</f>
        <v>25658274.712415211</v>
      </c>
      <c r="AB21" s="470">
        <f>'BS - Monthly'!U8</f>
        <v>6684013.5</v>
      </c>
      <c r="AC21" s="409"/>
      <c r="AD21" s="409"/>
      <c r="AE21" s="409"/>
      <c r="AF21" s="409"/>
      <c r="AG21" s="409"/>
      <c r="AH21" s="409"/>
      <c r="AI21" s="169"/>
    </row>
    <row r="22" spans="2:35" s="438" customFormat="1" ht="25.5" hidden="1" customHeight="1" outlineLevel="1" x14ac:dyDescent="0.45">
      <c r="B22" s="1077" t="s">
        <v>567</v>
      </c>
      <c r="C22" s="160">
        <f>C62</f>
        <v>3306031.2199999997</v>
      </c>
      <c r="D22" s="160">
        <f>D62</f>
        <v>4561317.6500000004</v>
      </c>
      <c r="E22" s="160">
        <f>E62</f>
        <v>4035022.7700000005</v>
      </c>
      <c r="F22" s="160">
        <f>F62</f>
        <v>4304869.9800000004</v>
      </c>
      <c r="G22" s="160">
        <f>C63</f>
        <v>4328898</v>
      </c>
      <c r="H22" s="160">
        <f>D63</f>
        <v>4175823.87</v>
      </c>
      <c r="I22" s="160">
        <f>E63</f>
        <v>4239557</v>
      </c>
      <c r="J22" s="160">
        <f>F63</f>
        <v>4009253.59</v>
      </c>
      <c r="K22" s="160">
        <f>C64</f>
        <v>5801360.9718344286</v>
      </c>
      <c r="L22" s="160">
        <f>D64</f>
        <v>5352607.3526995834</v>
      </c>
      <c r="M22" s="160">
        <f>E64</f>
        <v>6130539.5129613774</v>
      </c>
      <c r="N22" s="160">
        <f>F64</f>
        <v>7390798.4368647058</v>
      </c>
      <c r="O22" s="562"/>
      <c r="P22" s="555">
        <f>G60</f>
        <v>10089524.459999997</v>
      </c>
      <c r="Q22" s="472">
        <f>G61</f>
        <v>11842064.920000002</v>
      </c>
      <c r="R22" s="472">
        <f>G62</f>
        <v>16209253.620000001</v>
      </c>
      <c r="S22" s="472">
        <f>SUM(G22:J22)</f>
        <v>16753532.460000001</v>
      </c>
      <c r="T22" s="472">
        <f>SUM(K22:N22)</f>
        <v>24675306.274360098</v>
      </c>
      <c r="U22" s="472">
        <f>G65</f>
        <v>49298023.432058141</v>
      </c>
      <c r="V22" s="472"/>
      <c r="W22" s="472"/>
      <c r="X22" s="472"/>
      <c r="Y22" s="1085"/>
      <c r="AA22" s="288"/>
      <c r="AB22" s="160"/>
      <c r="AC22" s="409"/>
      <c r="AD22" s="409"/>
      <c r="AE22" s="409"/>
      <c r="AF22" s="409"/>
      <c r="AG22" s="409"/>
      <c r="AH22" s="409"/>
      <c r="AI22" s="169"/>
    </row>
    <row r="23" spans="2:35" ht="25.5" customHeight="1" collapsed="1" x14ac:dyDescent="0.45">
      <c r="B23" s="1077" t="s">
        <v>92</v>
      </c>
      <c r="C23" s="593">
        <f>'BS - Monthly'!H9+'BS - Monthly'!H10</f>
        <v>191231.68</v>
      </c>
      <c r="D23" s="160">
        <f>'BS - Monthly'!K9+'BS - Monthly'!K10</f>
        <v>470798.19</v>
      </c>
      <c r="E23" s="160">
        <f>'BS - Monthly'!N9+'BS - Monthly'!N10</f>
        <v>107082.9</v>
      </c>
      <c r="F23" s="160">
        <f>'BS - Monthly'!Q9+'BS - Monthly'!Q10</f>
        <v>122001.32</v>
      </c>
      <c r="G23" s="160">
        <f>'BS - Monthly'!T9+'BS - Monthly'!T10</f>
        <v>168475.67</v>
      </c>
      <c r="H23" s="160">
        <f>'BS - Monthly'!W9+'BS - Monthly'!W10</f>
        <v>96790.7</v>
      </c>
      <c r="I23" s="160">
        <f>'BS - Monthly'!Z9+'BS - Monthly'!Z10</f>
        <v>203163.07</v>
      </c>
      <c r="J23" s="160">
        <f>'BS - Monthly'!AC9+'BS - Monthly'!AC10</f>
        <v>450042.34</v>
      </c>
      <c r="K23" s="160">
        <f>'BS - Monthly'!AF9+'BS - Monthly'!AF10</f>
        <v>172633.32837788615</v>
      </c>
      <c r="L23" s="160">
        <f>'BS - Monthly'!AI9+'BS - Monthly'!AI10</f>
        <v>216470.0746178462</v>
      </c>
      <c r="M23" s="160">
        <f>'BS - Monthly'!AL9+'BS - Monthly'!AL10</f>
        <v>260757.70106298837</v>
      </c>
      <c r="N23" s="160">
        <f>'BS - Monthly'!AO9+'BS - Monthly'!AO10</f>
        <v>268122.92933366483</v>
      </c>
      <c r="O23" s="566"/>
      <c r="P23" s="555" t="s">
        <v>235</v>
      </c>
      <c r="Q23" s="472" t="s">
        <v>235</v>
      </c>
      <c r="R23" s="472">
        <f>F23</f>
        <v>122001.32</v>
      </c>
      <c r="S23" s="472">
        <f>J23</f>
        <v>450042.34</v>
      </c>
      <c r="T23" s="472">
        <f>N23</f>
        <v>268122.92933366483</v>
      </c>
      <c r="U23" s="472">
        <f>T23</f>
        <v>268122.92933366483</v>
      </c>
      <c r="V23" s="472">
        <f>U23</f>
        <v>268122.92933366483</v>
      </c>
      <c r="W23" s="472">
        <f>V23</f>
        <v>268122.92933366483</v>
      </c>
      <c r="X23" s="472">
        <f>W23</f>
        <v>268122.92933366483</v>
      </c>
      <c r="Y23" s="1085">
        <f>X23</f>
        <v>268122.92933366483</v>
      </c>
      <c r="AB23" s="470">
        <f>'BS - Monthly'!U9</f>
        <v>181522.59</v>
      </c>
      <c r="AC23" s="409"/>
      <c r="AD23" s="409"/>
      <c r="AE23" s="409"/>
      <c r="AF23" s="409"/>
      <c r="AG23" s="409"/>
      <c r="AH23" s="409"/>
      <c r="AI23" s="169"/>
    </row>
    <row r="24" spans="2:35" ht="25.5" customHeight="1" outlineLevel="1" x14ac:dyDescent="0.45">
      <c r="B24" s="1077" t="s">
        <v>167</v>
      </c>
      <c r="C24" s="461">
        <f>C23/('P&amp;L - Qtrly'!C12)*90</f>
        <v>5.2641290222418906</v>
      </c>
      <c r="D24" s="461">
        <f>D23/('P&amp;L - Qtrly'!D12)*90</f>
        <v>11.681732569468885</v>
      </c>
      <c r="E24" s="461">
        <f>E23/('P&amp;L - Qtrly'!E12)*90</f>
        <v>2.6899455019711622</v>
      </c>
      <c r="F24" s="461">
        <f>F23/('P&amp;L - Qtrly'!F12)*90</f>
        <v>2.5389711171055778</v>
      </c>
      <c r="G24" s="461">
        <f>G23/('P&amp;L - Qtrly'!G12)*90</f>
        <v>3.9238385951046379</v>
      </c>
      <c r="H24" s="461">
        <f>H23/('P&amp;L - Qtrly'!H12)*90</f>
        <v>2.0647011965517112</v>
      </c>
      <c r="I24" s="461">
        <f>I23/('P&amp;L - Qtrly'!I12)*90</f>
        <v>4.4306568840747831</v>
      </c>
      <c r="J24" s="461">
        <f>J23/('P&amp;L - Qtrly'!J12)*90</f>
        <v>8.6880819134657266</v>
      </c>
      <c r="K24" s="461">
        <v>5</v>
      </c>
      <c r="L24" s="461">
        <v>5</v>
      </c>
      <c r="M24" s="461">
        <v>5</v>
      </c>
      <c r="N24" s="461">
        <v>5</v>
      </c>
      <c r="O24" s="568"/>
      <c r="P24" s="555"/>
      <c r="Q24" s="472"/>
      <c r="R24" s="472"/>
      <c r="S24" s="472"/>
      <c r="T24" s="472"/>
      <c r="U24" s="472"/>
      <c r="V24" s="472"/>
      <c r="W24" s="472"/>
      <c r="X24" s="472"/>
      <c r="Y24" s="1085"/>
      <c r="AB24" s="461"/>
      <c r="AC24" s="412"/>
      <c r="AD24" s="412"/>
      <c r="AE24" s="412"/>
      <c r="AF24" s="412"/>
      <c r="AG24" s="412"/>
      <c r="AH24" s="412"/>
      <c r="AI24" s="169"/>
    </row>
    <row r="25" spans="2:35" ht="25.5" customHeight="1" outlineLevel="1" x14ac:dyDescent="0.45">
      <c r="B25" s="1077" t="s">
        <v>185</v>
      </c>
      <c r="C25" s="461">
        <f>AVERAGE('HC Summary'!C14:E14)</f>
        <v>21.333333333333332</v>
      </c>
      <c r="D25" s="461">
        <f>AVERAGE('HC Summary'!D14:F14)</f>
        <v>23</v>
      </c>
      <c r="E25" s="461">
        <f>AVERAGE('HC Summary'!E14:G14)</f>
        <v>23.333333333333332</v>
      </c>
      <c r="F25" s="461">
        <f>AVERAGE('HC Summary'!F14:H14)</f>
        <v>24</v>
      </c>
      <c r="G25" s="461">
        <f>AVERAGE('HC Summary'!O14:Q14)</f>
        <v>54</v>
      </c>
      <c r="H25" s="461">
        <f>AVERAGE('HC Summary'!R14:T14)</f>
        <v>60</v>
      </c>
      <c r="I25" s="461">
        <f>AVERAGE('HC Summary'!U14:W14)</f>
        <v>61.333333333333336</v>
      </c>
      <c r="J25" s="461">
        <f>AVERAGE('HC Summary'!X14:Z14)</f>
        <v>62</v>
      </c>
      <c r="K25" s="461">
        <f>AVERAGE('HC Summary'!AA14:AC14)</f>
        <v>71.666666666666671</v>
      </c>
      <c r="L25" s="461">
        <f>AVERAGE('HC Summary'!AD14:AF14)</f>
        <v>75.333333333333329</v>
      </c>
      <c r="M25" s="461">
        <f>AVERAGE('HC Summary'!AG14:AI14)</f>
        <v>80</v>
      </c>
      <c r="N25" s="461">
        <f>AVERAGE('HC Summary'!AJ14:AL14)</f>
        <v>81</v>
      </c>
      <c r="O25" s="568"/>
      <c r="P25" s="1243">
        <v>20</v>
      </c>
      <c r="Q25" s="597">
        <v>28</v>
      </c>
      <c r="R25" s="597">
        <f>AVERAGE('HC Summary'!C14:N14)</f>
        <v>27.333333333333332</v>
      </c>
      <c r="S25" s="597">
        <f>AVERAGE('HC Summary'!O14:Z14)</f>
        <v>59.333333333333336</v>
      </c>
      <c r="T25" s="597">
        <f>AVERAGE('HC Summary'!AA14:AL14)</f>
        <v>77</v>
      </c>
      <c r="U25" s="597">
        <f>U6/U26</f>
        <v>168.91438100889545</v>
      </c>
      <c r="V25" s="597">
        <f>V6/V26</f>
        <v>221.76155038407177</v>
      </c>
      <c r="W25" s="597">
        <f>W6/W26</f>
        <v>391.81738398766066</v>
      </c>
      <c r="X25" s="597">
        <f>X6/X26</f>
        <v>528.95346838334194</v>
      </c>
      <c r="Y25" s="1091">
        <f>Y6/Y26</f>
        <v>714.08718231751152</v>
      </c>
      <c r="AB25" s="485">
        <v>52</v>
      </c>
      <c r="AC25" s="414"/>
      <c r="AD25" s="414"/>
      <c r="AE25" s="414"/>
      <c r="AF25" s="414"/>
      <c r="AG25" s="414"/>
      <c r="AH25" s="414"/>
      <c r="AI25" s="169"/>
    </row>
    <row r="26" spans="2:35" ht="25.5" customHeight="1" outlineLevel="1" x14ac:dyDescent="0.45">
      <c r="B26" s="1077" t="s">
        <v>1157</v>
      </c>
      <c r="C26" s="160">
        <f t="shared" ref="C26:N26" si="10">C6/C25*4</f>
        <v>613023.46245033119</v>
      </c>
      <c r="D26" s="160">
        <f t="shared" si="10"/>
        <v>630815.25826790289</v>
      </c>
      <c r="E26" s="160">
        <f t="shared" si="10"/>
        <v>614189.45856631827</v>
      </c>
      <c r="F26" s="160">
        <f t="shared" si="10"/>
        <v>720772.20086151233</v>
      </c>
      <c r="G26" s="160">
        <f t="shared" si="10"/>
        <v>286242.94962962955</v>
      </c>
      <c r="H26" s="160">
        <f t="shared" si="10"/>
        <v>281272.75800000003</v>
      </c>
      <c r="I26" s="160">
        <f t="shared" si="10"/>
        <v>269142.6847826087</v>
      </c>
      <c r="J26" s="160">
        <f t="shared" si="10"/>
        <v>300773.99096774188</v>
      </c>
      <c r="K26" s="160">
        <f t="shared" si="10"/>
        <v>253849.80429438374</v>
      </c>
      <c r="L26" s="160">
        <f t="shared" si="10"/>
        <v>292754.46064357372</v>
      </c>
      <c r="M26" s="160">
        <f t="shared" si="10"/>
        <v>316335.32842051698</v>
      </c>
      <c r="N26" s="160">
        <f t="shared" si="10"/>
        <v>364347.97542286129</v>
      </c>
      <c r="O26" s="562"/>
      <c r="P26" s="557">
        <v>488217.65</v>
      </c>
      <c r="Q26" s="488">
        <v>425491.64285714284</v>
      </c>
      <c r="R26" s="488">
        <f>R6/R25</f>
        <v>541611.63103346853</v>
      </c>
      <c r="S26" s="488">
        <f>S6/S25</f>
        <v>284363.30140449433</v>
      </c>
      <c r="T26" s="488">
        <f>T6/T25</f>
        <v>308655.03558162291</v>
      </c>
      <c r="U26" s="488">
        <f>MIN(G26:T26)</f>
        <v>253849.80429438374</v>
      </c>
      <c r="V26" s="488">
        <f t="shared" ref="V26:Y27" si="11">U26</f>
        <v>253849.80429438374</v>
      </c>
      <c r="W26" s="488">
        <f t="shared" si="11"/>
        <v>253849.80429438374</v>
      </c>
      <c r="X26" s="488">
        <f t="shared" si="11"/>
        <v>253849.80429438374</v>
      </c>
      <c r="Y26" s="1092">
        <f t="shared" si="11"/>
        <v>253849.80429438374</v>
      </c>
      <c r="AB26" s="160">
        <f>(AB6/AB25)*12</f>
        <v>343827.30461538467</v>
      </c>
      <c r="AC26" s="409"/>
      <c r="AD26" s="409"/>
      <c r="AE26" s="409"/>
      <c r="AF26" s="409"/>
      <c r="AG26" s="409"/>
      <c r="AH26" s="409"/>
      <c r="AI26" s="169"/>
    </row>
    <row r="27" spans="2:35" ht="25.5" customHeight="1" outlineLevel="1" x14ac:dyDescent="0.45">
      <c r="B27" s="1077" t="s">
        <v>241</v>
      </c>
      <c r="C27" s="594">
        <f t="shared" ref="C27:N27" si="12">C19/C6</f>
        <v>0.41017005566051268</v>
      </c>
      <c r="D27" s="594">
        <f t="shared" si="12"/>
        <v>0.29177308701459193</v>
      </c>
      <c r="E27" s="594">
        <f t="shared" si="12"/>
        <v>0.21258429697519574</v>
      </c>
      <c r="F27" s="594">
        <f t="shared" si="12"/>
        <v>0.14300397871048859</v>
      </c>
      <c r="G27" s="594">
        <f t="shared" si="12"/>
        <v>0.17550823998040582</v>
      </c>
      <c r="H27" s="594">
        <f t="shared" si="12"/>
        <v>0.11030418618310235</v>
      </c>
      <c r="I27" s="594">
        <f t="shared" si="12"/>
        <v>-0.19267527847177537</v>
      </c>
      <c r="J27" s="594">
        <f t="shared" si="12"/>
        <v>3.6729404832760701E-2</v>
      </c>
      <c r="K27" s="594">
        <f t="shared" si="12"/>
        <v>6.7677394615890105E-2</v>
      </c>
      <c r="L27" s="594">
        <f t="shared" si="12"/>
        <v>-1.5530510213106761E-3</v>
      </c>
      <c r="M27" s="594">
        <f t="shared" si="12"/>
        <v>0.15443734009829566</v>
      </c>
      <c r="N27" s="594">
        <f t="shared" si="12"/>
        <v>7.0170636172915898E-2</v>
      </c>
      <c r="O27" s="569"/>
      <c r="P27" s="558">
        <v>0.43123707223612257</v>
      </c>
      <c r="Q27" s="138">
        <v>0.37100955315053191</v>
      </c>
      <c r="R27" s="138">
        <f>R19/R6</f>
        <v>0.25529704324718383</v>
      </c>
      <c r="S27" s="138">
        <f>S19/S6</f>
        <v>3.0801272236656192E-2</v>
      </c>
      <c r="T27" s="138">
        <f>T19/T6</f>
        <v>7.5486515097266255E-2</v>
      </c>
      <c r="U27" s="138">
        <v>0.3</v>
      </c>
      <c r="V27" s="138">
        <f t="shared" si="11"/>
        <v>0.3</v>
      </c>
      <c r="W27" s="138">
        <f t="shared" si="11"/>
        <v>0.3</v>
      </c>
      <c r="X27" s="138">
        <f t="shared" si="11"/>
        <v>0.3</v>
      </c>
      <c r="Y27" s="1093">
        <f t="shared" si="11"/>
        <v>0.3</v>
      </c>
      <c r="AB27" s="486">
        <f>AB19/AB6</f>
        <v>0.19841854149427476</v>
      </c>
    </row>
    <row r="28" spans="2:35" ht="21.75" customHeight="1" x14ac:dyDescent="0.45">
      <c r="B28" s="1124" t="s">
        <v>378</v>
      </c>
      <c r="C28" s="1125"/>
      <c r="D28" s="1126"/>
      <c r="E28" s="1126"/>
      <c r="F28" s="1126"/>
      <c r="G28" s="1126"/>
      <c r="H28" s="1126"/>
      <c r="I28" s="1126"/>
      <c r="J28" s="1126"/>
      <c r="K28" s="1126"/>
      <c r="L28" s="1126"/>
      <c r="M28" s="1126"/>
      <c r="N28" s="1127"/>
      <c r="O28" s="1128"/>
      <c r="P28" s="1129">
        <v>0.65473468799098833</v>
      </c>
      <c r="Q28" s="1130">
        <f>((Q8/1000000)^(1/4))-1</f>
        <v>0.7747303345175085</v>
      </c>
      <c r="R28" s="1130">
        <f>((R8/2832064)^(1/4))-1</f>
        <v>0.46989891832899877</v>
      </c>
      <c r="S28" s="1130">
        <f>((S8/4272135)^(1/5))-1</f>
        <v>0.31615023439247447</v>
      </c>
      <c r="T28" s="1130">
        <f>((T8/5655161)^(1/5))-1</f>
        <v>0.33261231892160459</v>
      </c>
      <c r="U28" s="1130">
        <v>0.35</v>
      </c>
      <c r="V28" s="598">
        <f>((U6/Q6)^(1/5))-1</f>
        <v>0.31286364760377183</v>
      </c>
      <c r="W28" s="598">
        <f>((V6/C6)^(1/5))-1</f>
        <v>0.76684093031035783</v>
      </c>
      <c r="X28" s="598">
        <v>0.35</v>
      </c>
      <c r="Y28" s="1094">
        <v>0.35</v>
      </c>
      <c r="AB28" s="462"/>
    </row>
    <row r="29" spans="2:35" ht="17.25" hidden="1" customHeight="1" x14ac:dyDescent="0.45">
      <c r="B29" s="1095" t="s">
        <v>242</v>
      </c>
      <c r="C29" s="1096"/>
      <c r="D29" s="1123"/>
      <c r="E29" s="1123"/>
      <c r="F29" s="1123"/>
      <c r="G29" s="1123"/>
      <c r="H29" s="1123"/>
      <c r="I29" s="1123"/>
      <c r="J29" s="1123"/>
      <c r="K29" s="1123"/>
      <c r="L29" s="1123"/>
      <c r="M29" s="1123"/>
      <c r="N29" s="1097"/>
      <c r="O29" s="1098"/>
      <c r="P29" s="1099">
        <v>0.45829457086073577</v>
      </c>
      <c r="Q29" s="1100">
        <v>1.3035645651037875</v>
      </c>
      <c r="R29" s="1100">
        <f>R28</f>
        <v>0.46989891832899877</v>
      </c>
      <c r="S29" s="1100">
        <f>S28</f>
        <v>0.31615023439247447</v>
      </c>
      <c r="T29" s="1100">
        <f>T28</f>
        <v>0.33261231892160459</v>
      </c>
      <c r="U29" s="1100">
        <v>0.35</v>
      </c>
      <c r="V29" s="1100">
        <v>0.35</v>
      </c>
      <c r="W29" s="1100">
        <v>0.35</v>
      </c>
      <c r="X29" s="1100">
        <v>0.35</v>
      </c>
      <c r="Y29" s="1101">
        <v>0.35</v>
      </c>
      <c r="AB29" s="487"/>
    </row>
    <row r="30" spans="2:35" ht="17.25" customHeight="1" x14ac:dyDescent="0.35">
      <c r="B30" s="10">
        <v>2009</v>
      </c>
      <c r="C30" s="10">
        <v>2011</v>
      </c>
      <c r="P30" s="10"/>
      <c r="Q30" s="10">
        <v>2010</v>
      </c>
      <c r="U30" s="1244" t="s">
        <v>437</v>
      </c>
      <c r="V30" s="1244"/>
      <c r="W30" s="1244"/>
      <c r="X30" s="1244"/>
      <c r="Y30" s="1244"/>
    </row>
    <row r="31" spans="2:35" ht="17.25" customHeight="1" x14ac:dyDescent="0.45">
      <c r="B31" s="451"/>
      <c r="C31" s="10"/>
      <c r="P31" s="10"/>
      <c r="Q31" s="426"/>
      <c r="R31" s="426"/>
      <c r="S31" s="426"/>
      <c r="T31" s="426"/>
      <c r="U31" s="139"/>
    </row>
    <row r="32" spans="2:35" ht="12.75" customHeight="1" x14ac:dyDescent="0.45">
      <c r="C32" s="505"/>
      <c r="D32" s="505"/>
      <c r="E32" s="505"/>
      <c r="F32" s="505"/>
      <c r="G32" s="62"/>
      <c r="H32" s="62"/>
      <c r="I32" s="62"/>
      <c r="J32" s="62"/>
      <c r="K32" s="62"/>
      <c r="L32" s="62"/>
      <c r="M32" s="62"/>
      <c r="N32" s="62"/>
      <c r="O32" s="62"/>
      <c r="P32" s="62"/>
      <c r="Q32" s="62"/>
      <c r="R32" s="62"/>
      <c r="S32" s="62"/>
      <c r="T32" s="62"/>
      <c r="U32" s="168"/>
    </row>
    <row r="33" spans="1:32" ht="14.25" customHeight="1" thickBot="1" x14ac:dyDescent="0.4">
      <c r="C33" s="408"/>
      <c r="D33" s="408"/>
      <c r="E33" s="408"/>
      <c r="F33" s="408"/>
      <c r="G33" s="408"/>
      <c r="H33" s="408"/>
      <c r="I33" s="408"/>
      <c r="J33" s="408"/>
      <c r="K33" s="408"/>
      <c r="L33" s="408"/>
      <c r="M33" s="408"/>
      <c r="N33" s="408"/>
      <c r="O33" s="408"/>
      <c r="Q33" s="408"/>
      <c r="R33" s="408"/>
      <c r="S33" s="408"/>
      <c r="T33" s="408"/>
      <c r="U33" s="1250" t="s">
        <v>437</v>
      </c>
      <c r="V33" s="1250"/>
      <c r="W33" s="1250"/>
      <c r="X33" s="1250"/>
      <c r="Y33" s="1250"/>
    </row>
    <row r="34" spans="1:32" ht="15.5" x14ac:dyDescent="0.35">
      <c r="B34" s="136" t="s">
        <v>504</v>
      </c>
      <c r="C34" s="136"/>
      <c r="F34" s="1245" t="s">
        <v>761</v>
      </c>
      <c r="G34" s="1246"/>
      <c r="H34" s="1246"/>
      <c r="I34" s="1246"/>
      <c r="T34" s="139"/>
    </row>
    <row r="35" spans="1:32" ht="37" x14ac:dyDescent="0.45">
      <c r="B35" s="163" t="s">
        <v>450</v>
      </c>
      <c r="C35" s="163" t="str">
        <f>Sensativities!B18</f>
        <v>Historical</v>
      </c>
      <c r="D35" s="173"/>
      <c r="E35" s="173"/>
      <c r="F35" s="161">
        <v>3971670.3548373305</v>
      </c>
      <c r="G35" s="161">
        <v>4239050.4529356854</v>
      </c>
      <c r="H35" s="161">
        <v>4740492.2714086911</v>
      </c>
      <c r="I35" s="161">
        <v>5604399</v>
      </c>
      <c r="J35" s="173"/>
      <c r="S35" s="173"/>
      <c r="V35" s="407"/>
      <c r="W35" s="407"/>
    </row>
    <row r="36" spans="1:32" s="173" customFormat="1" ht="18.5" x14ac:dyDescent="0.45">
      <c r="B36" s="163" t="s">
        <v>175</v>
      </c>
      <c r="C36" s="163" t="str">
        <f>Sensativities!B45</f>
        <v>Worst</v>
      </c>
      <c r="D36" s="312">
        <f>AVERAGE(Sensativities!P45:AA45)</f>
        <v>375.49065787325412</v>
      </c>
      <c r="O36" s="438"/>
      <c r="S36" s="308"/>
      <c r="T36" s="308"/>
      <c r="U36" s="308"/>
      <c r="V36" s="308"/>
      <c r="AA36" s="288"/>
      <c r="AB36" s="288"/>
      <c r="AC36" s="288"/>
      <c r="AD36" s="288"/>
      <c r="AE36" s="288"/>
      <c r="AF36" s="288"/>
    </row>
    <row r="37" spans="1:32" s="173" customFormat="1" ht="18.5" x14ac:dyDescent="0.45">
      <c r="B37" s="163" t="s">
        <v>451</v>
      </c>
      <c r="C37" s="163" t="str">
        <f>Sensativities!B46</f>
        <v>Ad Hoc</v>
      </c>
      <c r="D37" s="288" t="e">
        <f>SUM(#REF!)</f>
        <v>#REF!</v>
      </c>
      <c r="F37" s="1245" t="s">
        <v>762</v>
      </c>
      <c r="G37" s="1246"/>
      <c r="H37" s="1246"/>
      <c r="I37" s="1246"/>
      <c r="O37" s="438"/>
      <c r="U37" s="308"/>
      <c r="V37" s="308"/>
      <c r="AB37" s="288"/>
      <c r="AC37" s="288"/>
      <c r="AD37" s="288"/>
      <c r="AE37" s="288"/>
      <c r="AF37" s="288"/>
    </row>
    <row r="38" spans="1:32" s="173" customFormat="1" ht="21.75" customHeight="1" x14ac:dyDescent="0.45">
      <c r="B38" s="163" t="s">
        <v>543</v>
      </c>
      <c r="C38" s="163" t="str">
        <f>Sensativities!B55</f>
        <v>Ad Hoc</v>
      </c>
      <c r="D38" s="312">
        <f>AVERAGE(Sensativities!P55:AA55)</f>
        <v>60</v>
      </c>
      <c r="F38" s="161">
        <f>F35*0.9</f>
        <v>3574503.3193535977</v>
      </c>
      <c r="G38" s="161">
        <f>G35*0.9</f>
        <v>3815145.4076421168</v>
      </c>
      <c r="H38" s="161">
        <f>H35*0.9</f>
        <v>4266443.0442678221</v>
      </c>
      <c r="I38" s="161">
        <f>I35*0.9</f>
        <v>5043959.1000000006</v>
      </c>
      <c r="O38" s="438"/>
      <c r="V38" s="407"/>
      <c r="W38" s="407"/>
      <c r="AB38" s="288"/>
      <c r="AC38" s="288"/>
      <c r="AD38" s="288"/>
      <c r="AE38" s="288"/>
      <c r="AF38" s="288"/>
    </row>
    <row r="39" spans="1:32" s="173" customFormat="1" x14ac:dyDescent="0.35">
      <c r="B39"/>
      <c r="C39" s="134"/>
      <c r="D39"/>
      <c r="E39"/>
      <c r="F39"/>
      <c r="G39"/>
      <c r="H39"/>
      <c r="I39"/>
      <c r="J39"/>
      <c r="K39"/>
      <c r="O39" s="438"/>
      <c r="P39" s="287"/>
      <c r="Q39"/>
      <c r="R39"/>
      <c r="S39"/>
      <c r="AB39" s="288"/>
      <c r="AC39" s="288"/>
      <c r="AD39" s="288"/>
      <c r="AE39" s="288"/>
      <c r="AF39" s="288"/>
    </row>
    <row r="42" spans="1:32" x14ac:dyDescent="0.35">
      <c r="A42" s="169"/>
      <c r="B42" s="169"/>
      <c r="C42" s="169"/>
      <c r="D42" s="169"/>
      <c r="E42" s="169"/>
      <c r="F42" s="169"/>
      <c r="P42" s="169"/>
      <c r="Q42" s="169"/>
      <c r="R42" s="169"/>
    </row>
    <row r="43" spans="1:32" ht="16" thickBot="1" x14ac:dyDescent="0.4">
      <c r="A43" s="169"/>
      <c r="B43" s="335"/>
      <c r="C43" s="336"/>
      <c r="D43" s="337"/>
      <c r="E43" s="337"/>
      <c r="F43" s="169"/>
      <c r="G43" s="152"/>
      <c r="H43" s="152"/>
      <c r="I43" s="152"/>
      <c r="J43" s="152"/>
      <c r="K43" s="152"/>
      <c r="P43" s="335"/>
      <c r="Q43" s="433"/>
      <c r="R43" s="338"/>
      <c r="S43" s="152"/>
    </row>
    <row r="44" spans="1:32" s="152" customFormat="1" ht="31.5" customHeight="1" x14ac:dyDescent="0.35">
      <c r="A44" s="338"/>
      <c r="B44" s="1247" t="s">
        <v>562</v>
      </c>
      <c r="C44" s="1248"/>
      <c r="D44" s="1248"/>
      <c r="E44" s="1248"/>
      <c r="F44" s="1249"/>
      <c r="G44"/>
      <c r="H44"/>
      <c r="P44" s="339"/>
      <c r="Q44" s="298"/>
      <c r="R44" s="169"/>
      <c r="S44"/>
      <c r="AA44" s="292"/>
      <c r="AB44" s="292"/>
      <c r="AC44" s="292"/>
      <c r="AD44" s="292"/>
      <c r="AE44" s="292"/>
      <c r="AF44" s="292"/>
    </row>
    <row r="45" spans="1:32" s="80" customFormat="1" ht="17.25" customHeight="1" x14ac:dyDescent="0.45">
      <c r="A45" s="169"/>
      <c r="B45" s="163"/>
      <c r="C45" s="163" t="s">
        <v>558</v>
      </c>
      <c r="D45" s="163" t="s">
        <v>559</v>
      </c>
      <c r="E45" s="163" t="s">
        <v>560</v>
      </c>
      <c r="F45" s="163" t="s">
        <v>561</v>
      </c>
      <c r="P45" s="340"/>
      <c r="Q45" s="341"/>
      <c r="R45" s="342"/>
      <c r="W45" s="290"/>
      <c r="X45" s="290"/>
      <c r="Y45" s="290"/>
      <c r="Z45" s="290"/>
      <c r="AA45" s="290"/>
      <c r="AB45" s="293"/>
      <c r="AC45" s="293"/>
      <c r="AD45" s="293"/>
      <c r="AE45" s="293"/>
      <c r="AF45" s="293"/>
    </row>
    <row r="46" spans="1:32" s="80" customFormat="1" ht="17.25" customHeight="1" x14ac:dyDescent="0.45">
      <c r="A46" s="169"/>
      <c r="B46" s="163">
        <v>2009</v>
      </c>
      <c r="C46" s="643">
        <f>(C53+C54)*0.9</f>
        <v>1205990.946</v>
      </c>
      <c r="D46" s="643">
        <f>(D53+D54)*0.9</f>
        <v>1390424.5889999999</v>
      </c>
      <c r="E46" s="643">
        <f>(E53+E54)*0.9</f>
        <v>1465667.2440000002</v>
      </c>
      <c r="F46" s="643">
        <f>(F53+F54)*0.9</f>
        <v>1552600.611</v>
      </c>
      <c r="G46" s="642">
        <f>SUM(C46:F46)</f>
        <v>5614683.3900000006</v>
      </c>
      <c r="P46" s="340"/>
      <c r="Q46" s="341"/>
      <c r="R46" s="342"/>
      <c r="W46" s="290"/>
      <c r="X46" s="290"/>
      <c r="Y46" s="290"/>
      <c r="Z46" s="290"/>
      <c r="AA46" s="290"/>
      <c r="AB46" s="293"/>
      <c r="AC46" s="293"/>
      <c r="AD46" s="293"/>
      <c r="AE46" s="293"/>
      <c r="AF46" s="293"/>
    </row>
    <row r="47" spans="1:32" s="80" customFormat="1" ht="17.25" customHeight="1" x14ac:dyDescent="0.45">
      <c r="A47" s="169"/>
      <c r="B47" s="163">
        <v>2010</v>
      </c>
      <c r="C47" s="643">
        <v>1567760.1801906913</v>
      </c>
      <c r="D47" s="643">
        <v>1899513.858118854</v>
      </c>
      <c r="E47" s="643">
        <v>2234399.8725286084</v>
      </c>
      <c r="F47" s="643">
        <v>2398639.9478380335</v>
      </c>
      <c r="G47" s="642">
        <f t="shared" ref="G47:G50" si="13">SUM(C47:F47)</f>
        <v>8100313.8586761868</v>
      </c>
      <c r="P47" s="340"/>
      <c r="Q47" s="341"/>
      <c r="R47" s="342"/>
      <c r="W47" s="290"/>
      <c r="X47" s="290"/>
      <c r="Y47" s="290"/>
      <c r="Z47" s="290"/>
      <c r="AA47" s="290"/>
      <c r="AB47" s="293"/>
      <c r="AC47" s="293"/>
      <c r="AD47" s="293"/>
      <c r="AE47" s="293"/>
      <c r="AF47" s="293"/>
    </row>
    <row r="48" spans="1:32" s="80" customFormat="1" ht="17.25" customHeight="1" x14ac:dyDescent="0.45">
      <c r="A48" s="342"/>
      <c r="B48" s="163">
        <v>2011</v>
      </c>
      <c r="C48" s="643">
        <v>2598458.1426028805</v>
      </c>
      <c r="D48" s="643">
        <v>2703864.9062274341</v>
      </c>
      <c r="E48" s="643">
        <v>2699305.9623325672</v>
      </c>
      <c r="F48" s="643">
        <v>2992107.6369076236</v>
      </c>
      <c r="G48" s="642">
        <f t="shared" si="13"/>
        <v>10993736.648070505</v>
      </c>
      <c r="P48" s="340"/>
      <c r="Q48" s="343"/>
      <c r="R48" s="342"/>
      <c r="W48" s="308"/>
      <c r="X48" s="310"/>
      <c r="AB48" s="293"/>
      <c r="AC48" s="293"/>
      <c r="AD48" s="293"/>
      <c r="AE48" s="293"/>
      <c r="AF48" s="293"/>
    </row>
    <row r="49" spans="1:32" s="80" customFormat="1" ht="17.25" customHeight="1" x14ac:dyDescent="0.45">
      <c r="A49" s="342"/>
      <c r="B49" s="163">
        <v>2012</v>
      </c>
      <c r="C49" s="643">
        <v>3269458.4664017661</v>
      </c>
      <c r="D49" s="643">
        <v>3627187.7350404416</v>
      </c>
      <c r="E49" s="643">
        <v>3582771.8416368566</v>
      </c>
      <c r="F49" s="643">
        <v>4324633.2051690742</v>
      </c>
      <c r="G49" s="642">
        <f t="shared" si="13"/>
        <v>14804051.248248139</v>
      </c>
      <c r="P49" s="339"/>
      <c r="Q49" s="298"/>
      <c r="R49" s="346"/>
      <c r="W49" s="308"/>
      <c r="X49" s="310"/>
      <c r="AB49" s="293"/>
      <c r="AC49" s="293"/>
      <c r="AD49" s="293"/>
      <c r="AE49" s="293"/>
      <c r="AF49" s="293"/>
    </row>
    <row r="50" spans="1:32" s="80" customFormat="1" ht="17.25" customHeight="1" x14ac:dyDescent="0.45">
      <c r="A50" s="169"/>
      <c r="B50" s="163">
        <v>2013</v>
      </c>
      <c r="C50" s="1030">
        <v>4300225.1927841995</v>
      </c>
      <c r="D50" s="1030">
        <v>229202.61</v>
      </c>
      <c r="E50" s="1030">
        <v>229202.61</v>
      </c>
      <c r="F50" s="1030">
        <v>229202.61</v>
      </c>
      <c r="G50" s="1031">
        <f t="shared" si="13"/>
        <v>4987833.0227842005</v>
      </c>
      <c r="H50" t="s">
        <v>1127</v>
      </c>
      <c r="I50"/>
      <c r="J50"/>
      <c r="K50"/>
      <c r="P50" s="339"/>
      <c r="Q50" s="298"/>
      <c r="R50" s="169"/>
      <c r="S50"/>
      <c r="W50" s="308"/>
      <c r="X50" s="308"/>
      <c r="Y50" s="310"/>
      <c r="Z50" s="310"/>
      <c r="AA50" s="425"/>
      <c r="AB50" s="293"/>
      <c r="AC50" s="293"/>
      <c r="AD50" s="293"/>
      <c r="AE50" s="293"/>
      <c r="AF50" s="293"/>
    </row>
    <row r="51" spans="1:32" ht="17.25" customHeight="1" x14ac:dyDescent="0.35">
      <c r="A51" s="169"/>
      <c r="B51" s="339"/>
      <c r="C51" s="298"/>
      <c r="D51" s="344"/>
      <c r="E51" s="345"/>
      <c r="F51" s="169"/>
      <c r="P51" s="339"/>
      <c r="Q51" s="298"/>
      <c r="R51" s="169"/>
    </row>
    <row r="52" spans="1:32" ht="17.25" customHeight="1" x14ac:dyDescent="0.35">
      <c r="A52" s="169"/>
      <c r="B52" s="340"/>
      <c r="C52" s="260"/>
      <c r="D52" s="347"/>
      <c r="E52" s="348"/>
      <c r="F52" s="169"/>
      <c r="P52" s="340"/>
      <c r="Q52" s="260"/>
      <c r="R52" s="169"/>
    </row>
    <row r="53" spans="1:32" ht="17.25" customHeight="1" x14ac:dyDescent="0.35">
      <c r="A53" s="169"/>
      <c r="B53" s="349" t="s">
        <v>565</v>
      </c>
      <c r="C53" s="80">
        <v>578441.38</v>
      </c>
      <c r="D53" s="80">
        <v>698500.59</v>
      </c>
      <c r="E53" s="80">
        <v>746113.3</v>
      </c>
      <c r="F53" s="80">
        <v>764032.86</v>
      </c>
      <c r="G53" s="80">
        <v>2787088.13</v>
      </c>
      <c r="H53" s="151"/>
      <c r="I53" s="151"/>
      <c r="J53" s="151"/>
      <c r="K53" s="151"/>
      <c r="P53" s="349"/>
      <c r="Q53" s="298"/>
      <c r="R53" s="169"/>
      <c r="S53" s="151"/>
    </row>
    <row r="54" spans="1:32" s="151" customFormat="1" ht="17.25" customHeight="1" x14ac:dyDescent="0.35">
      <c r="A54" s="169"/>
      <c r="B54" s="349" t="s">
        <v>564</v>
      </c>
      <c r="C54" s="80">
        <v>761548.56</v>
      </c>
      <c r="D54" s="80">
        <v>846415.62</v>
      </c>
      <c r="E54" s="80">
        <v>882405.86</v>
      </c>
      <c r="F54" s="80">
        <v>961078.93</v>
      </c>
      <c r="G54" s="80">
        <v>3451448.97</v>
      </c>
      <c r="O54" s="438"/>
      <c r="P54" s="349"/>
      <c r="Q54" s="298"/>
      <c r="R54" s="169"/>
      <c r="AA54" s="288"/>
      <c r="AB54" s="288"/>
      <c r="AC54" s="288"/>
      <c r="AD54" s="288"/>
      <c r="AE54" s="288"/>
      <c r="AF54" s="288"/>
    </row>
    <row r="55" spans="1:32" s="151" customFormat="1" ht="17.25" customHeight="1" x14ac:dyDescent="0.35">
      <c r="A55" s="169"/>
      <c r="B55" s="349"/>
      <c r="C55" s="298"/>
      <c r="D55" s="344"/>
      <c r="E55" s="345"/>
      <c r="F55" s="169"/>
      <c r="O55" s="438"/>
      <c r="P55" s="349"/>
      <c r="Q55" s="298"/>
      <c r="R55" s="169"/>
      <c r="AA55" s="288"/>
      <c r="AB55" s="288"/>
      <c r="AC55" s="288"/>
      <c r="AD55" s="288"/>
      <c r="AE55" s="288"/>
      <c r="AF55" s="288"/>
    </row>
    <row r="56" spans="1:32" s="151" customFormat="1" ht="17.25" customHeight="1" thickBot="1" x14ac:dyDescent="0.4">
      <c r="A56" s="169"/>
      <c r="B56" s="339"/>
      <c r="C56" s="298"/>
      <c r="D56" s="344"/>
      <c r="E56" s="345"/>
      <c r="F56" s="169"/>
      <c r="O56" s="438"/>
      <c r="P56" s="339"/>
      <c r="Q56" s="298"/>
      <c r="R56" s="169"/>
      <c r="AA56" s="288"/>
      <c r="AB56" s="288"/>
      <c r="AC56" s="288"/>
      <c r="AD56" s="288"/>
      <c r="AE56" s="288"/>
      <c r="AF56" s="288"/>
    </row>
    <row r="57" spans="1:32" s="151" customFormat="1" ht="17.25" customHeight="1" x14ac:dyDescent="0.35">
      <c r="A57" s="169"/>
      <c r="B57" s="1247" t="s">
        <v>568</v>
      </c>
      <c r="C57" s="1248"/>
      <c r="D57" s="1248"/>
      <c r="E57" s="1248"/>
      <c r="F57" s="1249"/>
      <c r="O57" s="438"/>
      <c r="P57" s="339"/>
      <c r="Q57" s="350"/>
      <c r="R57" s="169"/>
      <c r="AA57" s="288"/>
      <c r="AB57" s="288"/>
      <c r="AC57" s="288"/>
      <c r="AD57" s="288"/>
      <c r="AE57" s="288"/>
      <c r="AF57" s="288"/>
    </row>
    <row r="58" spans="1:32" s="151" customFormat="1" ht="17.25" customHeight="1" x14ac:dyDescent="0.45">
      <c r="A58" s="169"/>
      <c r="B58" s="163"/>
      <c r="C58" s="163" t="s">
        <v>558</v>
      </c>
      <c r="D58" s="163" t="s">
        <v>559</v>
      </c>
      <c r="E58" s="163" t="s">
        <v>560</v>
      </c>
      <c r="F58" s="163" t="s">
        <v>561</v>
      </c>
      <c r="G58"/>
      <c r="H58"/>
      <c r="I58"/>
      <c r="J58"/>
      <c r="K58"/>
      <c r="O58" s="438"/>
      <c r="P58" s="339"/>
      <c r="Q58" s="298"/>
      <c r="R58" s="169"/>
      <c r="S58"/>
      <c r="AA58" s="288"/>
      <c r="AB58" s="288"/>
      <c r="AC58" s="288"/>
      <c r="AD58" s="288"/>
      <c r="AE58" s="288"/>
      <c r="AF58" s="288"/>
    </row>
    <row r="59" spans="1:32" ht="17.25" customHeight="1" x14ac:dyDescent="0.45">
      <c r="A59" s="169"/>
      <c r="B59" s="163">
        <v>2009</v>
      </c>
      <c r="C59" s="643">
        <f>SUM(C53+C54)</f>
        <v>1339989.94</v>
      </c>
      <c r="D59" s="643">
        <f>SUM(D53+D54)</f>
        <v>1544916.21</v>
      </c>
      <c r="E59" s="643">
        <f>SUM(E53+E54)</f>
        <v>1628519.1600000001</v>
      </c>
      <c r="F59" s="643">
        <f>SUM(F53+F54)</f>
        <v>1725111.79</v>
      </c>
      <c r="G59" s="432">
        <f>SUM(C59:F59)</f>
        <v>6238537.1000000006</v>
      </c>
      <c r="H59" s="151"/>
      <c r="I59" s="151"/>
      <c r="J59" s="151"/>
      <c r="K59" s="151"/>
      <c r="P59" s="340"/>
      <c r="Q59" s="341"/>
      <c r="R59" s="169"/>
      <c r="S59" s="151"/>
    </row>
    <row r="60" spans="1:32" s="151" customFormat="1" ht="17.25" customHeight="1" x14ac:dyDescent="0.45">
      <c r="A60" s="169"/>
      <c r="B60" s="163">
        <v>2010</v>
      </c>
      <c r="C60" s="643">
        <v>2522381.1149999993</v>
      </c>
      <c r="D60" s="643">
        <v>2522381.1149999993</v>
      </c>
      <c r="E60" s="643">
        <v>2522381.1149999993</v>
      </c>
      <c r="F60" s="643">
        <v>2522381.1149999993</v>
      </c>
      <c r="G60" s="432">
        <f>SUM(C60:F60)</f>
        <v>10089524.459999997</v>
      </c>
      <c r="H60"/>
      <c r="I60"/>
      <c r="J60"/>
      <c r="K60"/>
      <c r="O60" s="438"/>
      <c r="P60" s="339"/>
      <c r="Q60" s="298"/>
      <c r="R60" s="169"/>
      <c r="S60"/>
      <c r="AA60" s="288"/>
      <c r="AB60" s="288"/>
      <c r="AC60" s="288"/>
      <c r="AD60" s="288"/>
      <c r="AE60" s="288"/>
      <c r="AF60" s="288"/>
    </row>
    <row r="61" spans="1:32" ht="17.25" customHeight="1" x14ac:dyDescent="0.45">
      <c r="A61" s="169"/>
      <c r="B61" s="163">
        <v>2011</v>
      </c>
      <c r="C61" s="643">
        <v>2795131.4400000004</v>
      </c>
      <c r="D61" s="643">
        <v>2921651.3000000007</v>
      </c>
      <c r="E61" s="643">
        <v>2865188.9300000006</v>
      </c>
      <c r="F61" s="643">
        <v>3258082.25</v>
      </c>
      <c r="G61" s="644">
        <f>SUM(B61:F61)</f>
        <v>11842064.920000002</v>
      </c>
      <c r="P61" s="339"/>
      <c r="Q61" s="298"/>
      <c r="R61" s="169"/>
    </row>
    <row r="62" spans="1:32" ht="17.25" customHeight="1" x14ac:dyDescent="0.45">
      <c r="A62" s="169"/>
      <c r="B62" s="163">
        <v>2012</v>
      </c>
      <c r="C62" s="643">
        <v>3306031.2199999997</v>
      </c>
      <c r="D62" s="643">
        <v>4561317.6500000004</v>
      </c>
      <c r="E62" s="643">
        <v>4035022.7700000005</v>
      </c>
      <c r="F62" s="643">
        <v>4304869.9800000004</v>
      </c>
      <c r="G62" s="644">
        <f>SUM(B62:F62)</f>
        <v>16209253.620000001</v>
      </c>
      <c r="P62" s="339"/>
      <c r="Q62" s="351"/>
      <c r="R62" s="169"/>
    </row>
    <row r="63" spans="1:32" ht="17.25" customHeight="1" x14ac:dyDescent="0.45">
      <c r="A63" s="169"/>
      <c r="B63" s="163">
        <v>2013</v>
      </c>
      <c r="C63" s="643">
        <v>4328898</v>
      </c>
      <c r="D63" s="643">
        <v>4175823.87</v>
      </c>
      <c r="E63" s="643">
        <v>4239557</v>
      </c>
      <c r="F63" s="1030">
        <v>4009253.59</v>
      </c>
      <c r="G63" s="644">
        <f>SUM(B63:F63)</f>
        <v>16755545.460000001</v>
      </c>
      <c r="P63" s="216"/>
      <c r="Q63" s="216"/>
      <c r="R63" s="169"/>
    </row>
    <row r="64" spans="1:32" ht="18.5" x14ac:dyDescent="0.45">
      <c r="A64" s="169"/>
      <c r="B64" s="163">
        <v>2014</v>
      </c>
      <c r="C64" s="643">
        <f>K20+K18+K12+SUM('BS - Monthly'!AD29:AF29)-SUM('BS - Monthly'!AA29:AC29)</f>
        <v>5801360.9718344286</v>
      </c>
      <c r="D64" s="643">
        <f>L20+L18+L12+SUM('BS - Monthly'!AG29:AI29)-SUM('BS - Monthly'!AD29:AF29)</f>
        <v>5352607.3526995834</v>
      </c>
      <c r="E64" s="643">
        <f>M20+M18+M12+SUM('BS - Monthly'!AJ29:AL29)-SUM('BS - Monthly'!AG29:AI29)</f>
        <v>6130539.5129613774</v>
      </c>
      <c r="F64" s="643">
        <f>N20+N18+N12+(SUM('BS - Monthly'!AM29:AO29))-(SUM('BS - Monthly'!AJ29:AL29))</f>
        <v>7390798.4368647058</v>
      </c>
      <c r="G64" s="644">
        <f>SUM(B64:F64)</f>
        <v>24677320.274360098</v>
      </c>
      <c r="K64" s="312"/>
      <c r="M64" s="628"/>
      <c r="P64" s="335"/>
      <c r="Q64" s="336"/>
      <c r="R64" s="169"/>
    </row>
    <row r="65" spans="1:18" ht="18.5" x14ac:dyDescent="0.45">
      <c r="A65" s="169"/>
      <c r="B65" s="163">
        <v>2015</v>
      </c>
      <c r="C65" s="643"/>
      <c r="D65" s="643"/>
      <c r="E65" s="643"/>
      <c r="F65" s="643"/>
      <c r="G65" s="408">
        <f>U12+U18+U20+(SUM('BS - Monthly'!AP29:BA29))-(SUM('BS - Monthly'!AD29:AO29))</f>
        <v>49298023.432058141</v>
      </c>
      <c r="P65" s="339"/>
      <c r="Q65" s="298"/>
      <c r="R65" s="169"/>
    </row>
    <row r="66" spans="1:18" ht="15.5" x14ac:dyDescent="0.35">
      <c r="A66" s="169"/>
      <c r="B66" s="340"/>
      <c r="C66"/>
      <c r="D66" t="s">
        <v>563</v>
      </c>
      <c r="F66" s="152"/>
      <c r="P66" s="340"/>
      <c r="Q66" s="341"/>
      <c r="R66" s="169"/>
    </row>
    <row r="67" spans="1:18" ht="15.5" x14ac:dyDescent="0.35">
      <c r="A67" s="169"/>
      <c r="B67" s="340"/>
      <c r="C67" s="80"/>
      <c r="D67" s="80"/>
      <c r="E67" s="80"/>
      <c r="F67" s="80"/>
      <c r="P67" s="340"/>
      <c r="Q67" s="343"/>
      <c r="R67" s="169"/>
    </row>
    <row r="68" spans="1:18" ht="15.5" x14ac:dyDescent="0.35">
      <c r="A68" s="169"/>
      <c r="B68" s="339"/>
      <c r="C68" s="80"/>
      <c r="D68" s="80"/>
      <c r="E68" s="80"/>
      <c r="F68" s="80"/>
      <c r="P68" s="339"/>
      <c r="Q68" s="298"/>
      <c r="R68" s="169"/>
    </row>
    <row r="69" spans="1:18" ht="15.5" x14ac:dyDescent="0.35">
      <c r="A69" s="169"/>
      <c r="B69" s="339"/>
      <c r="C69" s="298"/>
      <c r="D69" s="298"/>
      <c r="E69" s="260"/>
      <c r="F69" s="169"/>
      <c r="P69" s="339"/>
      <c r="Q69" s="298"/>
      <c r="R69" s="169"/>
    </row>
    <row r="70" spans="1:18" ht="15.5" x14ac:dyDescent="0.35">
      <c r="A70" s="169"/>
      <c r="B70" s="339"/>
      <c r="C70" s="298"/>
      <c r="D70" s="298"/>
      <c r="E70" s="260"/>
      <c r="F70" s="169"/>
      <c r="P70" s="339"/>
      <c r="Q70" s="298"/>
      <c r="R70" s="169"/>
    </row>
    <row r="71" spans="1:18" ht="15.5" x14ac:dyDescent="0.35">
      <c r="A71" s="169"/>
      <c r="B71" s="340"/>
      <c r="C71" s="260"/>
      <c r="D71" s="260"/>
      <c r="E71" s="353"/>
      <c r="F71" s="169"/>
      <c r="P71" s="340"/>
      <c r="Q71" s="260"/>
      <c r="R71" s="169"/>
    </row>
    <row r="72" spans="1:18" ht="15.5" x14ac:dyDescent="0.35">
      <c r="A72" s="169"/>
      <c r="B72" s="349"/>
      <c r="C72" s="298"/>
      <c r="D72" s="298"/>
      <c r="E72" s="260"/>
      <c r="F72" s="169"/>
      <c r="P72" s="349"/>
      <c r="Q72" s="298"/>
      <c r="R72" s="169"/>
    </row>
    <row r="73" spans="1:18" ht="15.5" x14ac:dyDescent="0.35">
      <c r="A73" s="169"/>
      <c r="B73" s="349"/>
      <c r="C73" s="298"/>
      <c r="D73" s="298"/>
      <c r="E73" s="260"/>
      <c r="F73" s="169"/>
      <c r="P73" s="349"/>
      <c r="Q73" s="298"/>
      <c r="R73" s="169"/>
    </row>
    <row r="74" spans="1:18" ht="15.5" x14ac:dyDescent="0.35">
      <c r="A74" s="169"/>
      <c r="B74" s="349"/>
      <c r="C74" s="298"/>
      <c r="D74" s="298"/>
      <c r="E74" s="260"/>
      <c r="F74" s="169"/>
      <c r="P74" s="349"/>
      <c r="Q74" s="298"/>
      <c r="R74" s="169"/>
    </row>
    <row r="75" spans="1:18" ht="15.5" x14ac:dyDescent="0.35">
      <c r="A75" s="169"/>
      <c r="B75" s="339"/>
      <c r="C75" s="298"/>
      <c r="D75" s="298"/>
      <c r="E75" s="260"/>
      <c r="F75" s="169"/>
      <c r="P75" s="339"/>
      <c r="Q75" s="298"/>
      <c r="R75" s="169"/>
    </row>
    <row r="76" spans="1:18" ht="15.5" x14ac:dyDescent="0.35">
      <c r="A76" s="169"/>
      <c r="B76" s="339"/>
      <c r="C76" s="350"/>
      <c r="D76" s="350"/>
      <c r="E76" s="260"/>
      <c r="F76" s="169"/>
      <c r="P76" s="339"/>
      <c r="Q76" s="350"/>
      <c r="R76" s="169"/>
    </row>
    <row r="77" spans="1:18" ht="15.5" x14ac:dyDescent="0.35">
      <c r="A77" s="169"/>
      <c r="B77" s="339"/>
      <c r="C77" s="298"/>
      <c r="D77" s="298"/>
      <c r="E77" s="260"/>
      <c r="F77" s="169"/>
      <c r="P77" s="339"/>
      <c r="Q77" s="298"/>
      <c r="R77" s="169"/>
    </row>
    <row r="78" spans="1:18" ht="15.5" x14ac:dyDescent="0.35">
      <c r="A78" s="169"/>
      <c r="B78" s="340"/>
      <c r="C78" s="341"/>
      <c r="D78" s="341"/>
      <c r="E78" s="352"/>
      <c r="F78" s="169"/>
      <c r="P78" s="340"/>
      <c r="Q78" s="341"/>
      <c r="R78" s="169"/>
    </row>
    <row r="79" spans="1:18" ht="15.5" x14ac:dyDescent="0.35">
      <c r="A79" s="169"/>
      <c r="B79" s="339"/>
      <c r="C79" s="298"/>
      <c r="D79" s="298"/>
      <c r="E79" s="260"/>
      <c r="F79" s="169"/>
      <c r="P79" s="339"/>
      <c r="Q79" s="298"/>
      <c r="R79" s="169"/>
    </row>
    <row r="80" spans="1:18" ht="15.5" x14ac:dyDescent="0.35">
      <c r="A80" s="169"/>
      <c r="B80" s="339"/>
      <c r="C80" s="298"/>
      <c r="D80" s="298"/>
      <c r="E80" s="260"/>
      <c r="F80" s="169"/>
      <c r="P80" s="339"/>
      <c r="Q80" s="298"/>
      <c r="R80" s="169"/>
    </row>
    <row r="81" spans="1:18" ht="15.5" x14ac:dyDescent="0.35">
      <c r="A81" s="169"/>
      <c r="B81" s="339"/>
      <c r="C81" s="351"/>
      <c r="D81" s="351"/>
      <c r="E81" s="260"/>
      <c r="F81" s="169"/>
      <c r="P81" s="339"/>
      <c r="Q81" s="351"/>
      <c r="R81" s="169"/>
    </row>
  </sheetData>
  <mergeCells count="6">
    <mergeCell ref="U30:Y30"/>
    <mergeCell ref="F34:I34"/>
    <mergeCell ref="B44:F44"/>
    <mergeCell ref="B57:F57"/>
    <mergeCell ref="U33:Y33"/>
    <mergeCell ref="F37:I37"/>
  </mergeCells>
  <printOptions horizontalCentered="1" verticalCentered="1"/>
  <pageMargins left="0.25" right="0.25" top="1" bottom="0.75" header="0.3" footer="0.3"/>
  <pageSetup scale="85" fitToWidth="2" orientation="landscape" r:id="rId1"/>
  <headerFooter>
    <oddHeader>&amp;L&amp;G&amp;C&amp;"-,Bold"&amp;18CallFire Proforma Summary Financials 2010 - 2014</oddHeader>
    <oddFooter>&amp;L&amp;8CallFire Confidential&amp;C&amp;8Not GAAP.  Assumes Companies combnied as of 1/1/2010&amp;R&amp;8Page &amp;P of &amp;N</oddFooter>
  </headerFooter>
  <colBreaks count="1" manualBreakCount="1">
    <brk id="14" min="3" max="27" man="1"/>
  </colBreaks>
  <ignoredErrors>
    <ignoredError sqref="S8 R22 S21:T21" formula="1"/>
  </ignoredErrors>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499984740745262"/>
  </sheetPr>
  <dimension ref="P9:R12"/>
  <sheetViews>
    <sheetView tabSelected="1" workbookViewId="0">
      <selection activeCell="T13" sqref="T13"/>
    </sheetView>
  </sheetViews>
  <sheetFormatPr defaultRowHeight="14.5" x14ac:dyDescent="0.35"/>
  <cols>
    <col min="17" max="17" width="13.6328125" bestFit="1" customWidth="1"/>
    <col min="18" max="18" width="12.1796875" customWidth="1"/>
  </cols>
  <sheetData>
    <row r="9" spans="16:18" x14ac:dyDescent="0.35">
      <c r="P9" t="s">
        <v>1323</v>
      </c>
      <c r="Q9">
        <v>21</v>
      </c>
    </row>
    <row r="10" spans="16:18" x14ac:dyDescent="0.35">
      <c r="P10" t="s">
        <v>1322</v>
      </c>
      <c r="Q10">
        <v>5</v>
      </c>
    </row>
    <row r="11" spans="16:18" x14ac:dyDescent="0.35">
      <c r="P11" t="s">
        <v>1324</v>
      </c>
      <c r="Q11" s="288">
        <v>397770</v>
      </c>
      <c r="R11" s="233">
        <f>Q11/Q10</f>
        <v>79554</v>
      </c>
    </row>
    <row r="12" spans="16:18" x14ac:dyDescent="0.35">
      <c r="Q12" s="288">
        <f>Q11/Q10*Q9</f>
        <v>1670634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tabColor theme="6" tint="-0.499984740745262"/>
    <pageSetUpPr fitToPage="1"/>
  </sheetPr>
  <dimension ref="A1:AZ150"/>
  <sheetViews>
    <sheetView showGridLines="0" zoomScale="90" zoomScaleNormal="90" zoomScalePageLayoutView="60" workbookViewId="0">
      <selection activeCell="L4" sqref="L4"/>
    </sheetView>
  </sheetViews>
  <sheetFormatPr defaultColWidth="9.1796875" defaultRowHeight="14.5" outlineLevelRow="1" x14ac:dyDescent="0.35"/>
  <cols>
    <col min="1" max="1" width="9.1796875" style="305"/>
    <col min="2" max="2" width="42.1796875" style="305" customWidth="1"/>
    <col min="3" max="3" width="11.26953125" style="305" customWidth="1"/>
    <col min="4" max="8" width="10.453125" style="305" customWidth="1"/>
    <col min="9" max="9" width="8.453125" style="305" customWidth="1"/>
    <col min="10" max="10" width="2.453125" style="574" customWidth="1"/>
    <col min="11" max="11" width="10.1796875" style="305" customWidth="1"/>
    <col min="12" max="15" width="12.453125" style="305" customWidth="1"/>
    <col min="16" max="20" width="12.7265625" style="305" customWidth="1"/>
    <col min="21" max="21" width="13.7265625" style="305" bestFit="1" customWidth="1"/>
    <col min="22" max="22" width="13.1796875" style="305" hidden="1" customWidth="1"/>
    <col min="23" max="23" width="69.81640625" style="305" customWidth="1"/>
    <col min="24" max="24" width="12.26953125" style="305" bestFit="1" customWidth="1"/>
    <col min="25" max="25" width="24.7265625" style="305" customWidth="1"/>
    <col min="26" max="26" width="13.453125" style="305" customWidth="1"/>
    <col min="27" max="27" width="12.26953125" style="305" bestFit="1" customWidth="1"/>
    <col min="28" max="30" width="14.26953125" style="305" bestFit="1" customWidth="1"/>
    <col min="31" max="33" width="13.453125" style="305" customWidth="1"/>
    <col min="34" max="37" width="18.26953125" style="305" bestFit="1" customWidth="1"/>
    <col min="38" max="38" width="19.81640625" style="305" customWidth="1"/>
    <col min="39" max="39" width="18.453125" style="305" customWidth="1"/>
    <col min="40" max="40" width="13.54296875" style="305" customWidth="1"/>
    <col min="41" max="41" width="13.1796875" style="305" bestFit="1" customWidth="1"/>
    <col min="42" max="42" width="12.453125" style="305" bestFit="1" customWidth="1"/>
    <col min="43" max="43" width="11" style="305" bestFit="1" customWidth="1"/>
    <col min="44" max="45" width="11.7265625" style="305" bestFit="1" customWidth="1"/>
    <col min="46" max="46" width="11.453125" style="305" bestFit="1" customWidth="1"/>
    <col min="47" max="47" width="11" style="305" bestFit="1" customWidth="1"/>
    <col min="48" max="49" width="11.7265625" style="305" bestFit="1" customWidth="1"/>
    <col min="50" max="50" width="11" style="305" bestFit="1" customWidth="1"/>
    <col min="51" max="51" width="10.54296875" style="305" bestFit="1" customWidth="1"/>
    <col min="52" max="16384" width="9.1796875" style="305"/>
  </cols>
  <sheetData>
    <row r="1" spans="1:49" s="438" customFormat="1" ht="44.25" customHeight="1" x14ac:dyDescent="0.35">
      <c r="B1" s="157"/>
      <c r="C1" s="157"/>
      <c r="D1" s="482" t="s">
        <v>382</v>
      </c>
      <c r="J1" s="574"/>
    </row>
    <row r="2" spans="1:49" s="438" customFormat="1" ht="11.25" customHeight="1" x14ac:dyDescent="0.35">
      <c r="B2" s="157"/>
      <c r="C2" s="157"/>
      <c r="D2" s="512"/>
      <c r="E2" s="512"/>
      <c r="F2" s="512"/>
      <c r="G2" s="512"/>
      <c r="H2" s="512"/>
      <c r="I2" s="512"/>
      <c r="J2" s="512"/>
      <c r="K2" s="512"/>
      <c r="L2" s="512"/>
      <c r="M2" s="512"/>
      <c r="N2" s="512"/>
      <c r="O2" s="512"/>
      <c r="P2" s="512"/>
      <c r="Q2" s="512"/>
      <c r="R2" s="512"/>
      <c r="S2" s="512"/>
      <c r="T2" s="512"/>
      <c r="U2" s="512"/>
      <c r="V2" s="512"/>
    </row>
    <row r="3" spans="1:49" s="438" customFormat="1" ht="8.25" customHeight="1" x14ac:dyDescent="0.35">
      <c r="B3" s="157"/>
      <c r="C3" s="157"/>
      <c r="J3" s="574"/>
    </row>
    <row r="4" spans="1:49" s="438" customFormat="1" ht="21" x14ac:dyDescent="0.5">
      <c r="B4" s="450"/>
      <c r="C4" s="473"/>
      <c r="J4" s="574"/>
      <c r="L4" s="576"/>
      <c r="P4" s="473"/>
      <c r="Q4" s="174"/>
      <c r="R4" s="174"/>
      <c r="S4" s="174"/>
      <c r="T4" s="174"/>
      <c r="W4" s="438">
        <f>V4*3</f>
        <v>0</v>
      </c>
    </row>
    <row r="5" spans="1:49" s="224" customFormat="1" ht="32.15" customHeight="1" x14ac:dyDescent="0.35">
      <c r="A5" s="224" t="s">
        <v>383</v>
      </c>
      <c r="B5" s="513" t="s">
        <v>588</v>
      </c>
      <c r="C5" s="1251" t="s">
        <v>544</v>
      </c>
      <c r="D5" s="1251"/>
      <c r="E5" s="1251"/>
      <c r="F5" s="1251"/>
      <c r="G5" s="1251"/>
      <c r="H5" s="1251"/>
      <c r="I5" s="1251"/>
      <c r="J5" s="1251"/>
      <c r="K5" s="1251"/>
      <c r="L5" s="1251"/>
      <c r="M5" s="1251"/>
      <c r="N5" s="1251"/>
      <c r="O5" s="1252"/>
      <c r="P5" s="1253" t="s">
        <v>507</v>
      </c>
      <c r="Q5" s="1251"/>
      <c r="R5" s="1251"/>
      <c r="S5" s="1251"/>
      <c r="T5" s="1251"/>
      <c r="U5" s="1251"/>
      <c r="V5" s="1252"/>
    </row>
    <row r="6" spans="1:49" s="224" customFormat="1" ht="32.15" customHeight="1" x14ac:dyDescent="0.35">
      <c r="B6" s="489" t="s">
        <v>572</v>
      </c>
      <c r="C6" s="1062" t="s">
        <v>31</v>
      </c>
      <c r="D6" s="1062" t="s">
        <v>32</v>
      </c>
      <c r="E6" s="1062" t="s">
        <v>33</v>
      </c>
      <c r="F6" s="1062" t="s">
        <v>34</v>
      </c>
      <c r="G6" s="1062" t="s">
        <v>35</v>
      </c>
      <c r="H6" s="1062" t="s">
        <v>36</v>
      </c>
      <c r="I6" s="1254" t="s">
        <v>37</v>
      </c>
      <c r="J6" s="1254"/>
      <c r="K6" s="1062" t="s">
        <v>38</v>
      </c>
      <c r="L6" s="1062" t="s">
        <v>39</v>
      </c>
      <c r="M6" s="1062" t="s">
        <v>40</v>
      </c>
      <c r="N6" s="1062" t="s">
        <v>41</v>
      </c>
      <c r="O6" s="1062" t="s">
        <v>42</v>
      </c>
      <c r="P6" s="543" t="s">
        <v>547</v>
      </c>
      <c r="Q6" s="1062" t="s">
        <v>546</v>
      </c>
      <c r="R6" s="1062" t="s">
        <v>548</v>
      </c>
      <c r="S6" s="1062" t="s">
        <v>549</v>
      </c>
      <c r="T6" s="1062" t="s">
        <v>550</v>
      </c>
      <c r="U6" s="1062" t="s">
        <v>551</v>
      </c>
      <c r="V6" s="635" t="s">
        <v>584</v>
      </c>
    </row>
    <row r="7" spans="1:49" s="224" customFormat="1" ht="21" outlineLevel="1" x14ac:dyDescent="0.35">
      <c r="B7" s="477" t="s">
        <v>569</v>
      </c>
      <c r="C7" s="1036">
        <v>12536</v>
      </c>
      <c r="D7" s="1036">
        <v>12763</v>
      </c>
      <c r="E7" s="1036">
        <v>13772</v>
      </c>
      <c r="F7" s="1036">
        <v>17117</v>
      </c>
      <c r="G7" s="1036">
        <v>26521</v>
      </c>
      <c r="H7" s="1036">
        <v>20431</v>
      </c>
      <c r="I7" s="1261">
        <v>26109</v>
      </c>
      <c r="J7" s="1261"/>
      <c r="K7" s="1036">
        <v>24676</v>
      </c>
      <c r="L7" s="483">
        <f>SUM('CAC Update'!AC51:AE51)</f>
        <v>28589.436619718315</v>
      </c>
      <c r="M7" s="483">
        <f>SUM('CAC Update'!AF51:AH51)</f>
        <v>41523.809523809527</v>
      </c>
      <c r="N7" s="483">
        <f>SUM('CAC Update'!AI51:AK51)</f>
        <v>31746.031746031749</v>
      </c>
      <c r="O7" s="484">
        <f>SUM('CAC Update'!AL51:AN51)</f>
        <v>37500</v>
      </c>
      <c r="P7" s="1036">
        <v>18484</v>
      </c>
      <c r="Q7" s="1036">
        <v>24333</v>
      </c>
      <c r="R7" s="1036">
        <v>38553</v>
      </c>
      <c r="S7" s="1036">
        <f>SUM(C7:F7)</f>
        <v>56188</v>
      </c>
      <c r="T7" s="1036">
        <f>SUM(G7:K7)</f>
        <v>97737</v>
      </c>
      <c r="U7" s="483">
        <f>SUM(L7:O7)</f>
        <v>139359.27788955957</v>
      </c>
      <c r="V7" s="484">
        <f>SUM('CAC Update'!AO51:AZ51)</f>
        <v>150000</v>
      </c>
      <c r="AA7" s="169"/>
    </row>
    <row r="8" spans="1:49" s="224" customFormat="1" ht="21" customHeight="1" outlineLevel="1" x14ac:dyDescent="0.35">
      <c r="B8" s="476" t="s">
        <v>583</v>
      </c>
      <c r="C8" s="1058">
        <f t="shared" ref="C8:O8" si="0">C9/C7</f>
        <v>0.24026802807913211</v>
      </c>
      <c r="D8" s="1058">
        <f t="shared" si="0"/>
        <v>0.25464232547206772</v>
      </c>
      <c r="E8" s="1058">
        <f t="shared" si="0"/>
        <v>0.21500145222189951</v>
      </c>
      <c r="F8" s="1058">
        <f t="shared" si="0"/>
        <v>0.18823391949523866</v>
      </c>
      <c r="G8" s="1058">
        <f t="shared" si="0"/>
        <v>0.13419554315448134</v>
      </c>
      <c r="H8" s="1058">
        <f t="shared" si="0"/>
        <v>0.19529146884636092</v>
      </c>
      <c r="I8" s="1256">
        <f t="shared" si="0"/>
        <v>0.16611130261595619</v>
      </c>
      <c r="J8" s="1256"/>
      <c r="K8" s="1058">
        <f t="shared" si="0"/>
        <v>0.15371210893175555</v>
      </c>
      <c r="L8" s="1034">
        <f t="shared" si="0"/>
        <v>0.16150716153129027</v>
      </c>
      <c r="M8" s="1034">
        <f t="shared" si="0"/>
        <v>0.14999999999999997</v>
      </c>
      <c r="N8" s="1034">
        <f t="shared" si="0"/>
        <v>0.15</v>
      </c>
      <c r="O8" s="1047">
        <f t="shared" si="0"/>
        <v>0.18</v>
      </c>
      <c r="P8" s="1058">
        <f t="shared" ref="P8:U8" si="1">P9/P7</f>
        <v>0.3584721921661978</v>
      </c>
      <c r="Q8" s="1058">
        <f t="shared" si="1"/>
        <v>0.33222372909217934</v>
      </c>
      <c r="R8" s="1058">
        <f t="shared" si="1"/>
        <v>0.28916037662438721</v>
      </c>
      <c r="S8" s="1058">
        <f t="shared" si="1"/>
        <v>0.22148857407275574</v>
      </c>
      <c r="T8" s="1058">
        <f t="shared" si="1"/>
        <v>0.16042031165270063</v>
      </c>
      <c r="U8" s="1034">
        <f t="shared" si="1"/>
        <v>0.16043334385259911</v>
      </c>
      <c r="V8" s="1047">
        <f>V9/V7</f>
        <v>0.18</v>
      </c>
      <c r="Y8" s="355" t="s">
        <v>805</v>
      </c>
      <c r="Z8" s="224" t="s">
        <v>804</v>
      </c>
      <c r="AA8" s="574">
        <v>1</v>
      </c>
      <c r="AB8" s="574">
        <v>2</v>
      </c>
      <c r="AC8" s="574">
        <v>3</v>
      </c>
      <c r="AD8" s="574">
        <v>4</v>
      </c>
      <c r="AF8" s="224" t="s">
        <v>1126</v>
      </c>
      <c r="AG8" s="574"/>
      <c r="AH8" s="574">
        <v>1</v>
      </c>
      <c r="AI8" s="574">
        <v>2</v>
      </c>
      <c r="AJ8" s="574">
        <v>3</v>
      </c>
      <c r="AK8" s="574">
        <v>4</v>
      </c>
    </row>
    <row r="9" spans="1:49" s="452" customFormat="1" ht="21" x14ac:dyDescent="0.35">
      <c r="B9" s="477" t="s">
        <v>760</v>
      </c>
      <c r="C9" s="1059">
        <v>3012</v>
      </c>
      <c r="D9" s="1059">
        <v>3250</v>
      </c>
      <c r="E9" s="1059">
        <v>2961</v>
      </c>
      <c r="F9" s="1059">
        <v>3222</v>
      </c>
      <c r="G9" s="1059">
        <v>3559</v>
      </c>
      <c r="H9" s="1059">
        <v>3990</v>
      </c>
      <c r="I9" s="1260">
        <v>4337</v>
      </c>
      <c r="J9" s="1260"/>
      <c r="K9" s="1059">
        <v>3793</v>
      </c>
      <c r="L9" s="483">
        <f>SUM('CAC Update'!AC50:AE50)</f>
        <v>4617.3987582294312</v>
      </c>
      <c r="M9" s="483">
        <f>SUM('CAC Update'!AF50:AH50)</f>
        <v>6228.5714285714275</v>
      </c>
      <c r="N9" s="483">
        <f>SUM('CAC Update'!AI50:AK50)</f>
        <v>4761.9047619047624</v>
      </c>
      <c r="O9" s="484">
        <f>SUM('CAC Update'!AL50:AN50)</f>
        <v>6750</v>
      </c>
      <c r="P9" s="1057">
        <v>6626</v>
      </c>
      <c r="Q9" s="1057">
        <v>8084</v>
      </c>
      <c r="R9" s="1057">
        <v>11148</v>
      </c>
      <c r="S9" s="1036">
        <f>SUM(C9:F9)</f>
        <v>12445</v>
      </c>
      <c r="T9" s="1036">
        <f>SUM(G9:K9)</f>
        <v>15679</v>
      </c>
      <c r="U9" s="483">
        <f>SUM(L9:O9)</f>
        <v>22357.874948705623</v>
      </c>
      <c r="V9" s="484">
        <f>SUM('CAC Update'!AO50:AZ50)</f>
        <v>27000</v>
      </c>
      <c r="W9" s="224"/>
      <c r="X9"/>
      <c r="Y9" s="574">
        <v>2009</v>
      </c>
      <c r="Z9" s="629">
        <f>SUM(AA9:AD9)</f>
        <v>15922</v>
      </c>
      <c r="AA9" s="574">
        <v>3368</v>
      </c>
      <c r="AB9" s="574">
        <v>3890</v>
      </c>
      <c r="AC9" s="574">
        <v>3963</v>
      </c>
      <c r="AD9" s="574">
        <v>4701</v>
      </c>
      <c r="AF9" s="574">
        <v>2009</v>
      </c>
    </row>
    <row r="10" spans="1:49" s="452" customFormat="1" ht="19.5" customHeight="1" x14ac:dyDescent="0.35">
      <c r="B10" s="476" t="s">
        <v>797</v>
      </c>
      <c r="C10" s="1058">
        <f>(C9/2444)-1</f>
        <v>0.23240589198035999</v>
      </c>
      <c r="D10" s="1058">
        <f>D9/C9-1</f>
        <v>7.9017264276228349E-2</v>
      </c>
      <c r="E10" s="1058">
        <f t="shared" ref="E10:I10" si="2">E9/D9-1</f>
        <v>-8.8923076923076882E-2</v>
      </c>
      <c r="F10" s="1058">
        <f t="shared" si="2"/>
        <v>8.8145896656534939E-2</v>
      </c>
      <c r="G10" s="1058">
        <f t="shared" si="2"/>
        <v>0.10459342023587825</v>
      </c>
      <c r="H10" s="1058">
        <f t="shared" si="2"/>
        <v>0.1211014329867941</v>
      </c>
      <c r="I10" s="1256">
        <f t="shared" si="2"/>
        <v>8.6967418546365804E-2</v>
      </c>
      <c r="J10" s="1256"/>
      <c r="K10" s="1058">
        <f>K9/I9-1</f>
        <v>-0.12543232649296754</v>
      </c>
      <c r="L10" s="1034">
        <f>L9/K9-1</f>
        <v>0.21734741846280814</v>
      </c>
      <c r="M10" s="1034">
        <f t="shared" ref="M10:O10" si="3">M9/L9-1</f>
        <v>0.34893513744518145</v>
      </c>
      <c r="N10" s="1034">
        <f t="shared" si="3"/>
        <v>-0.23547400611620772</v>
      </c>
      <c r="O10" s="1047">
        <f t="shared" si="3"/>
        <v>0.41749999999999976</v>
      </c>
      <c r="P10" s="1058">
        <v>0</v>
      </c>
      <c r="Q10" s="1058">
        <f t="shared" ref="Q10:T10" si="4">Q9/P9-1</f>
        <v>0.22004225777241171</v>
      </c>
      <c r="R10" s="1058">
        <f t="shared" si="4"/>
        <v>0.37902028698664036</v>
      </c>
      <c r="S10" s="1058">
        <f t="shared" si="4"/>
        <v>0.11634373878722637</v>
      </c>
      <c r="T10" s="1058">
        <f t="shared" si="4"/>
        <v>0.25986339895540378</v>
      </c>
      <c r="U10" s="1034">
        <f t="shared" ref="U10" si="5">U9/T9-1</f>
        <v>0.4259758242684879</v>
      </c>
      <c r="V10" s="1047">
        <f t="shared" ref="V10" si="6">V9/U9-1</f>
        <v>0.20762818747061318</v>
      </c>
      <c r="Y10" s="574">
        <v>2010</v>
      </c>
      <c r="Z10" s="629">
        <f t="shared" ref="Z10:Z15" si="7">SUM(AA10:AD10)</f>
        <v>23067</v>
      </c>
      <c r="AA10" s="574">
        <v>5101</v>
      </c>
      <c r="AB10" s="574">
        <v>5524</v>
      </c>
      <c r="AC10" s="574">
        <v>5978</v>
      </c>
      <c r="AD10" s="574">
        <v>6464</v>
      </c>
      <c r="AF10" s="574">
        <v>2010</v>
      </c>
    </row>
    <row r="11" spans="1:49" s="224" customFormat="1" ht="21" hidden="1" customHeight="1" x14ac:dyDescent="0.35">
      <c r="B11" s="588" t="s">
        <v>570</v>
      </c>
      <c r="C11" s="1059">
        <v>500</v>
      </c>
      <c r="D11" s="1059">
        <v>472</v>
      </c>
      <c r="E11" s="1059">
        <v>538</v>
      </c>
      <c r="F11" s="1059">
        <v>478</v>
      </c>
      <c r="G11" s="1059">
        <v>511</v>
      </c>
      <c r="H11" s="1059">
        <v>560</v>
      </c>
      <c r="I11" s="1260">
        <v>669</v>
      </c>
      <c r="J11" s="1260"/>
      <c r="K11" s="1059">
        <v>603</v>
      </c>
      <c r="L11" s="1035">
        <f>SUM('SMS Sub'!Z6:AB6)</f>
        <v>622.70685791427616</v>
      </c>
      <c r="M11" s="1035">
        <f>SUM('SMS Sub'!AC6:AE6)</f>
        <v>739.95428571428556</v>
      </c>
      <c r="N11" s="1035">
        <f>SUM('SMS Sub'!AF6:AH6)</f>
        <v>565.71428571428578</v>
      </c>
      <c r="O11" s="1105">
        <f>SUM('SMS Sub'!AI6:AK6)</f>
        <v>801.90000000000009</v>
      </c>
      <c r="P11" s="1059">
        <v>842</v>
      </c>
      <c r="Q11" s="1059">
        <v>1932</v>
      </c>
      <c r="R11" s="1059">
        <v>2102</v>
      </c>
      <c r="S11" s="1036">
        <f>SUM(C11:F11)</f>
        <v>1988</v>
      </c>
      <c r="T11" s="1036">
        <f>SUM(G11:K11)</f>
        <v>2343</v>
      </c>
      <c r="U11" s="1048">
        <f>SUM(L11:O11)</f>
        <v>2730.2754293428475</v>
      </c>
      <c r="V11" s="1050">
        <f>SUM('SMS Sub'!AL6:AW6)</f>
        <v>3207.6000000000008</v>
      </c>
      <c r="Y11" s="574">
        <v>2011</v>
      </c>
      <c r="Z11" s="629">
        <f t="shared" si="7"/>
        <v>32631</v>
      </c>
      <c r="AA11" s="574">
        <v>7491</v>
      </c>
      <c r="AB11" s="574">
        <v>8311</v>
      </c>
      <c r="AC11" s="574">
        <v>8391</v>
      </c>
      <c r="AD11" s="574">
        <v>8438</v>
      </c>
      <c r="AF11" s="574">
        <v>2011</v>
      </c>
    </row>
    <row r="12" spans="1:49" s="224" customFormat="1" ht="21" hidden="1" customHeight="1" x14ac:dyDescent="0.35">
      <c r="B12" s="589" t="s">
        <v>590</v>
      </c>
      <c r="C12" s="1131">
        <v>0.18099999999999999</v>
      </c>
      <c r="D12" s="1060">
        <v>0.17</v>
      </c>
      <c r="E12" s="1060">
        <v>0.17799999999999999</v>
      </c>
      <c r="F12" s="1131">
        <v>0.161</v>
      </c>
      <c r="G12" s="1060">
        <v>0.16400000000000001</v>
      </c>
      <c r="H12" s="1060">
        <v>0.16700000000000001</v>
      </c>
      <c r="I12" s="1262">
        <v>0.16700000000000001</v>
      </c>
      <c r="J12" s="1262"/>
      <c r="K12" s="1060">
        <v>0.16700000000000001</v>
      </c>
      <c r="L12" s="1035"/>
      <c r="M12" s="1132"/>
      <c r="N12" s="495"/>
      <c r="O12" s="496"/>
      <c r="P12" s="1103"/>
      <c r="Q12" s="1103"/>
      <c r="R12" s="1103"/>
      <c r="S12" s="1103">
        <f>AVERAGE(C12:F12)</f>
        <v>0.17249999999999999</v>
      </c>
      <c r="T12" s="1103">
        <f>(SUM(G12:J12)+I12)/4</f>
        <v>0.16625000000000001</v>
      </c>
      <c r="U12" s="495"/>
      <c r="V12" s="496"/>
      <c r="Y12" s="574">
        <v>2012</v>
      </c>
      <c r="Z12" s="629">
        <f t="shared" si="7"/>
        <v>39393</v>
      </c>
      <c r="AA12" s="640">
        <v>9121</v>
      </c>
      <c r="AB12" s="640">
        <v>9744</v>
      </c>
      <c r="AC12" s="640">
        <v>9899</v>
      </c>
      <c r="AD12" s="640">
        <v>10629</v>
      </c>
      <c r="AF12" s="574">
        <v>2012</v>
      </c>
    </row>
    <row r="13" spans="1:49" s="224" customFormat="1" ht="21" outlineLevel="1" x14ac:dyDescent="0.45">
      <c r="B13" s="477" t="s">
        <v>591</v>
      </c>
      <c r="C13" s="1119">
        <v>12904</v>
      </c>
      <c r="D13" s="1119">
        <v>14039</v>
      </c>
      <c r="E13" s="1119">
        <v>14837</v>
      </c>
      <c r="F13" s="1119">
        <v>15827</v>
      </c>
      <c r="G13" s="1119">
        <v>16631</v>
      </c>
      <c r="H13" s="1119">
        <v>17999</v>
      </c>
      <c r="I13" s="1263">
        <v>19354</v>
      </c>
      <c r="J13" s="1263"/>
      <c r="K13" s="1119">
        <v>19849</v>
      </c>
      <c r="L13" s="1035">
        <f>(1+AVERAGE(G14,C14))*K13</f>
        <v>20686.226248795578</v>
      </c>
      <c r="M13" s="1035">
        <f>(1+AVERAGE(H14,D14))*L13</f>
        <v>22446.761153640502</v>
      </c>
      <c r="N13" s="1035">
        <f>(1+AVERAGE(I14,E14))*M13</f>
        <v>23929.634773553913</v>
      </c>
      <c r="O13" s="1105">
        <f>(1+AVERAGE(K14,F14))*N13</f>
        <v>25034.001626477555</v>
      </c>
      <c r="P13" s="1119">
        <v>9502</v>
      </c>
      <c r="Q13" s="1119">
        <v>12913</v>
      </c>
      <c r="R13" s="1119">
        <v>18595</v>
      </c>
      <c r="S13" s="1119">
        <v>24473</v>
      </c>
      <c r="T13" s="1119">
        <v>31204</v>
      </c>
      <c r="U13" s="1048">
        <f>((Q9*0.28)+(R9*0.34)+(S9*0.39)+(T9*0.39)+(U9))</f>
        <v>39380.074948705624</v>
      </c>
      <c r="V13" s="1050">
        <f>((Q9*0.2)+(R9*0.28)+(S9*0.34)+(T9*0.39)+(U9*0.39)+(V9))</f>
        <v>50803.921229995198</v>
      </c>
      <c r="X13" s="300"/>
      <c r="Z13" s="629"/>
      <c r="AF13" s="574">
        <v>2013</v>
      </c>
      <c r="AH13" s="1032">
        <f>'BOD Summary'!G6</f>
        <v>3864279.8199999994</v>
      </c>
      <c r="AI13" s="1032">
        <f>'BOD Summary'!H6</f>
        <v>4219091.37</v>
      </c>
      <c r="AJ13" s="1032">
        <f>'BOD Summary'!I6</f>
        <v>4126854.5000000005</v>
      </c>
      <c r="AK13" s="1032">
        <f>'BOD Summary'!J6</f>
        <v>4661996.8599999994</v>
      </c>
    </row>
    <row r="14" spans="1:49" s="224" customFormat="1" ht="18.5" outlineLevel="1" x14ac:dyDescent="0.35">
      <c r="B14" s="476" t="s">
        <v>797</v>
      </c>
      <c r="C14" s="1058">
        <f>(C13/12485)-1</f>
        <v>3.356027232679204E-2</v>
      </c>
      <c r="D14" s="1058">
        <f>D13/C13-1</f>
        <v>8.7957222566646065E-2</v>
      </c>
      <c r="E14" s="1058">
        <f>E13/D13-1</f>
        <v>5.6841655388560453E-2</v>
      </c>
      <c r="F14" s="1058">
        <f>F13/E13-1</f>
        <v>6.6725079193907133E-2</v>
      </c>
      <c r="G14" s="1058">
        <f>G13/F13-1</f>
        <v>5.0799267075251064E-2</v>
      </c>
      <c r="H14" s="1058">
        <f>H13/G13-1</f>
        <v>8.225602789970532E-2</v>
      </c>
      <c r="I14" s="1256">
        <f t="shared" ref="I14" si="8">I13/H13-1</f>
        <v>7.5281960108894985E-2</v>
      </c>
      <c r="J14" s="1256"/>
      <c r="K14" s="1058">
        <f>K13/I13-1</f>
        <v>2.5576108298026146E-2</v>
      </c>
      <c r="L14" s="1051">
        <f>L13/K13-1</f>
        <v>4.2179769701021552E-2</v>
      </c>
      <c r="M14" s="1051">
        <f>M13/L13-1</f>
        <v>8.5106625233175581E-2</v>
      </c>
      <c r="N14" s="1051">
        <f t="shared" ref="N14:Q14" si="9">N13/M13-1</f>
        <v>6.606180774872783E-2</v>
      </c>
      <c r="O14" s="1106">
        <f t="shared" si="9"/>
        <v>4.6150593745966528E-2</v>
      </c>
      <c r="P14" s="1058"/>
      <c r="Q14" s="1058">
        <f t="shared" si="9"/>
        <v>0.35897705746158692</v>
      </c>
      <c r="R14" s="1058">
        <f t="shared" ref="R14" si="10">R13/Q13-1</f>
        <v>0.44002168357469218</v>
      </c>
      <c r="S14" s="1058">
        <f t="shared" ref="S14" si="11">S13/R13-1</f>
        <v>0.31610648023662269</v>
      </c>
      <c r="T14" s="1058">
        <f t="shared" ref="T14:V14" si="12">T13/S13-1</f>
        <v>0.27503779675560813</v>
      </c>
      <c r="U14" s="1034">
        <f t="shared" si="12"/>
        <v>0.26202009193390663</v>
      </c>
      <c r="V14" s="1047">
        <f t="shared" si="12"/>
        <v>0.29009204010326695</v>
      </c>
      <c r="X14" s="300"/>
      <c r="Z14" s="629"/>
      <c r="AH14" s="434">
        <f>AH13-AH24</f>
        <v>2114624.9799999986</v>
      </c>
      <c r="AI14" s="434">
        <f t="shared" ref="AI14:AK14" si="13">AI13-AI24</f>
        <v>2300760.91</v>
      </c>
      <c r="AJ14" s="434">
        <f t="shared" si="13"/>
        <v>2189579.8500000006</v>
      </c>
      <c r="AK14" s="434">
        <f t="shared" si="13"/>
        <v>2568190.7199999997</v>
      </c>
    </row>
    <row r="15" spans="1:49" s="224" customFormat="1" ht="21" x14ac:dyDescent="0.35">
      <c r="B15" s="477" t="s">
        <v>794</v>
      </c>
      <c r="C15" s="1059">
        <v>9121</v>
      </c>
      <c r="D15" s="1059">
        <v>9744</v>
      </c>
      <c r="E15" s="1059">
        <v>9899</v>
      </c>
      <c r="F15" s="1059">
        <v>10629</v>
      </c>
      <c r="G15" s="1057">
        <v>11269</v>
      </c>
      <c r="H15" s="1057">
        <v>12512</v>
      </c>
      <c r="I15" s="1261">
        <v>13688</v>
      </c>
      <c r="J15" s="1261"/>
      <c r="K15" s="1057">
        <v>13928</v>
      </c>
      <c r="L15" s="1150">
        <f>(1+AVERAGE(G16,C16))*K15</f>
        <v>14912.794884683695</v>
      </c>
      <c r="M15" s="1150">
        <f>(1+AVERAGE(H16,D16))*L15</f>
        <v>16244.556039587798</v>
      </c>
      <c r="N15" s="1150">
        <v>17000</v>
      </c>
      <c r="O15" s="1151">
        <v>20000</v>
      </c>
      <c r="P15" s="1036">
        <v>9199</v>
      </c>
      <c r="Q15" s="1046">
        <v>12324</v>
      </c>
      <c r="R15" s="1046">
        <v>17255</v>
      </c>
      <c r="S15" s="1046">
        <v>20754</v>
      </c>
      <c r="T15" s="1046">
        <v>26165</v>
      </c>
      <c r="U15" s="1117"/>
      <c r="V15" s="1133"/>
      <c r="X15" s="300"/>
      <c r="Y15" s="574">
        <v>2013</v>
      </c>
      <c r="Z15" s="629">
        <f t="shared" si="7"/>
        <v>51397</v>
      </c>
      <c r="AA15" s="629">
        <v>11269</v>
      </c>
      <c r="AB15" s="629">
        <v>12512</v>
      </c>
      <c r="AC15" s="629">
        <v>13688</v>
      </c>
      <c r="AD15" s="629">
        <v>13928</v>
      </c>
      <c r="AH15" s="1033">
        <f>AH14/Z24</f>
        <v>6.9645480138966374E-3</v>
      </c>
      <c r="AI15" s="1033">
        <f t="shared" ref="AI15:AK15" si="14">AI14/AA24</f>
        <v>3.1383334686007867E-2</v>
      </c>
      <c r="AJ15" s="1033">
        <f t="shared" si="14"/>
        <v>2.881166271996153E-2</v>
      </c>
      <c r="AK15" s="1033">
        <f t="shared" si="14"/>
        <v>3.4556235221679679E-2</v>
      </c>
    </row>
    <row r="16" spans="1:49" ht="18.5" x14ac:dyDescent="0.35">
      <c r="B16" s="476" t="s">
        <v>797</v>
      </c>
      <c r="C16" s="1058">
        <f>(C15/8436)-1</f>
        <v>8.1199620673304773E-2</v>
      </c>
      <c r="D16" s="1058">
        <f>D15/C15-1</f>
        <v>6.8303914044512748E-2</v>
      </c>
      <c r="E16" s="1058">
        <f>E15/D15-1</f>
        <v>1.590722495894914E-2</v>
      </c>
      <c r="F16" s="1058">
        <f>F15/E15-1</f>
        <v>7.3744822709364666E-2</v>
      </c>
      <c r="G16" s="1058">
        <f>G15/F15-1</f>
        <v>6.0212625834979772E-2</v>
      </c>
      <c r="H16" s="1058">
        <f>H15/G15-1</f>
        <v>0.11030260005324344</v>
      </c>
      <c r="I16" s="1256">
        <f t="shared" ref="I16" si="15">I15/H15-1</f>
        <v>9.3989769820971958E-2</v>
      </c>
      <c r="J16" s="1256"/>
      <c r="K16" s="1058">
        <f>K15/I15-1</f>
        <v>1.7533606078316666E-2</v>
      </c>
      <c r="L16" s="1152">
        <f>L15/K15-1</f>
        <v>7.0706123254142383E-2</v>
      </c>
      <c r="M16" s="1152">
        <f>M15/L15-1</f>
        <v>8.9303257048878093E-2</v>
      </c>
      <c r="N16" s="1152">
        <f t="shared" ref="N16:O16" si="16">N15/M15-1</f>
        <v>4.6504438691411076E-2</v>
      </c>
      <c r="O16" s="1153">
        <f t="shared" si="16"/>
        <v>0.17647058823529416</v>
      </c>
      <c r="P16" s="1058"/>
      <c r="Q16" s="1058">
        <f>Q15/P15-1</f>
        <v>0.33971083813457992</v>
      </c>
      <c r="R16" s="1058">
        <f t="shared" ref="R16:T16" si="17">R15/Q15-1</f>
        <v>0.40011359948068814</v>
      </c>
      <c r="S16" s="1058">
        <f t="shared" si="17"/>
        <v>0.20278180237612276</v>
      </c>
      <c r="T16" s="1058">
        <f t="shared" si="17"/>
        <v>0.26072082490122384</v>
      </c>
      <c r="U16" s="1118"/>
      <c r="V16" s="1134"/>
      <c r="X16" s="169"/>
      <c r="Y16" s="169"/>
      <c r="Z16" s="169"/>
      <c r="AA16" s="169"/>
      <c r="AB16" s="354"/>
      <c r="AC16" s="354"/>
      <c r="AD16" s="354"/>
      <c r="AE16" s="354"/>
      <c r="AF16" s="354"/>
      <c r="AG16" s="354"/>
      <c r="AH16" s="354"/>
      <c r="AI16" s="354"/>
      <c r="AJ16" s="354"/>
      <c r="AK16" s="354"/>
      <c r="AL16" s="354"/>
      <c r="AM16" s="354"/>
      <c r="AN16" s="354"/>
      <c r="AO16" s="354"/>
      <c r="AP16" s="354"/>
      <c r="AQ16" s="354"/>
      <c r="AR16" s="354"/>
      <c r="AS16" s="354"/>
      <c r="AT16" s="354"/>
      <c r="AU16" s="169"/>
      <c r="AV16" s="169"/>
      <c r="AW16" s="169"/>
    </row>
    <row r="17" spans="2:49" ht="51.75" hidden="1" customHeight="1" x14ac:dyDescent="0.35">
      <c r="B17" s="475" t="s">
        <v>384</v>
      </c>
      <c r="C17" s="474"/>
      <c r="D17" s="481"/>
      <c r="E17" s="481"/>
      <c r="F17" s="481"/>
      <c r="G17" s="481"/>
      <c r="H17" s="481"/>
      <c r="I17" s="632"/>
      <c r="J17" s="632"/>
      <c r="K17" s="481"/>
      <c r="L17" s="481"/>
      <c r="M17" s="481"/>
      <c r="N17" s="481"/>
      <c r="O17" s="1107"/>
      <c r="P17" s="481"/>
      <c r="Q17" s="481"/>
      <c r="R17" s="481"/>
      <c r="S17" s="481"/>
      <c r="T17" s="481"/>
      <c r="U17" s="481"/>
      <c r="V17" s="1107"/>
      <c r="X17" s="169"/>
      <c r="Y17" s="355"/>
      <c r="Z17" s="169"/>
      <c r="AA17" s="169"/>
      <c r="AB17" s="169"/>
      <c r="AC17" s="169"/>
      <c r="AD17" s="169"/>
      <c r="AE17" s="169"/>
      <c r="AF17" s="169"/>
      <c r="AG17" s="169"/>
      <c r="AH17" s="169"/>
      <c r="AI17" s="169"/>
      <c r="AJ17" s="169"/>
      <c r="AK17" s="169"/>
      <c r="AL17" s="169"/>
      <c r="AM17" s="169"/>
      <c r="AN17" s="169"/>
      <c r="AO17" s="169"/>
      <c r="AP17" s="169"/>
      <c r="AQ17" s="169"/>
      <c r="AR17" s="169"/>
      <c r="AS17" s="169"/>
      <c r="AT17" s="169"/>
      <c r="AU17" s="169"/>
      <c r="AV17" s="169"/>
      <c r="AW17" s="169"/>
    </row>
    <row r="18" spans="2:49" ht="32.15" customHeight="1" x14ac:dyDescent="0.35">
      <c r="B18" s="489" t="s">
        <v>571</v>
      </c>
      <c r="C18" s="490"/>
      <c r="D18" s="490"/>
      <c r="E18" s="490"/>
      <c r="F18" s="490"/>
      <c r="G18" s="490"/>
      <c r="H18" s="490"/>
      <c r="I18" s="633"/>
      <c r="J18" s="633"/>
      <c r="K18" s="490"/>
      <c r="L18" s="490"/>
      <c r="M18" s="490"/>
      <c r="N18" s="490"/>
      <c r="O18" s="492"/>
      <c r="P18" s="490"/>
      <c r="Q18" s="490"/>
      <c r="R18" s="490"/>
      <c r="S18" s="490"/>
      <c r="T18" s="490"/>
      <c r="U18" s="490"/>
      <c r="V18" s="491"/>
      <c r="X18" s="169"/>
      <c r="Y18" s="355"/>
      <c r="Z18" s="169"/>
      <c r="AA18" s="169"/>
      <c r="AB18" s="169"/>
      <c r="AC18" s="169"/>
      <c r="AD18" s="169"/>
      <c r="AE18" s="169"/>
      <c r="AF18" s="355"/>
      <c r="AG18" s="169"/>
      <c r="AH18" s="169"/>
      <c r="AI18" s="169"/>
      <c r="AJ18" s="169"/>
      <c r="AK18" s="169"/>
      <c r="AL18" s="169"/>
      <c r="AM18" s="169"/>
      <c r="AN18" s="169"/>
      <c r="AO18" s="169"/>
      <c r="AP18" s="169"/>
      <c r="AQ18" s="169"/>
      <c r="AR18" s="169"/>
      <c r="AS18" s="169"/>
      <c r="AT18" s="169"/>
      <c r="AU18" s="169"/>
      <c r="AV18" s="169"/>
      <c r="AW18" s="169"/>
    </row>
    <row r="19" spans="2:49" ht="21" x14ac:dyDescent="0.35">
      <c r="B19" s="480" t="s">
        <v>581</v>
      </c>
      <c r="C19" s="1039">
        <f>'BOD Summary'!C15/Metrics!C9</f>
        <v>192.89429580949096</v>
      </c>
      <c r="D19" s="1061">
        <f>'BOD Summary'!D15/Metrics!D9</f>
        <v>196.28045811799046</v>
      </c>
      <c r="E19" s="1061">
        <f>'BOD Summary'!E15/Metrics!E9</f>
        <v>220.34319474236077</v>
      </c>
      <c r="F19" s="1061">
        <f>'BOD Summary'!F15/Metrics!F9</f>
        <v>180.29686403570128</v>
      </c>
      <c r="G19" s="1061">
        <f>'BOD Summary'!G15/Metrics!G9</f>
        <v>323.5490053385783</v>
      </c>
      <c r="H19" s="1061">
        <f>'BOD Summary'!H15/Metrics!H9</f>
        <v>355.84545112781956</v>
      </c>
      <c r="I19" s="1258">
        <f>'BOD Summary'!I15/Metrics!I9</f>
        <v>527.60770117592813</v>
      </c>
      <c r="J19" s="1258"/>
      <c r="K19" s="1061">
        <f>'BOD Summary'!J15/Metrics!K9</f>
        <v>449.23196678091222</v>
      </c>
      <c r="L19" s="545">
        <f>'BOD Summary'!K15/Metrics!L9</f>
        <v>409.47867423397673</v>
      </c>
      <c r="M19" s="545">
        <f>'BOD Summary'!L15/Metrics!M9</f>
        <v>480.39909298223165</v>
      </c>
      <c r="N19" s="545">
        <f>'BOD Summary'!M15/Metrics!N9</f>
        <v>549.57994179612967</v>
      </c>
      <c r="O19" s="1108">
        <f>'BOD Summary'!N15/Metrics!O9</f>
        <v>433.5961455688248</v>
      </c>
      <c r="P19" s="1143">
        <f>661064/3331</f>
        <v>198.45812068447913</v>
      </c>
      <c r="Q19" s="1143">
        <f>934142/3600</f>
        <v>259.48388888888888</v>
      </c>
      <c r="R19" s="1143">
        <f>1120118/6133</f>
        <v>182.63786075330182</v>
      </c>
      <c r="S19" s="1143">
        <f>'BOD Summary'!R15/S9</f>
        <v>197.04795527656211</v>
      </c>
      <c r="T19" s="1143">
        <f>('BOD Summary'!S15)/T9</f>
        <v>418.61762293513624</v>
      </c>
      <c r="U19" s="545">
        <f>('BOD Summary'!T15)/U9</f>
        <v>466.35683110257736</v>
      </c>
      <c r="V19" s="1108">
        <f>('BOD Summary'!U15)/V9</f>
        <v>1588.1067615412994</v>
      </c>
      <c r="X19" s="169"/>
      <c r="Y19" s="355" t="s">
        <v>800</v>
      </c>
      <c r="Z19" s="169"/>
      <c r="AA19" s="356"/>
      <c r="AB19" s="356"/>
      <c r="AC19" s="356"/>
      <c r="AD19" s="356"/>
      <c r="AE19" s="356"/>
      <c r="AF19" s="355" t="s">
        <v>801</v>
      </c>
      <c r="AG19" s="356"/>
      <c r="AH19" s="574">
        <v>1</v>
      </c>
      <c r="AI19" s="574">
        <v>2</v>
      </c>
      <c r="AJ19" s="574">
        <v>3</v>
      </c>
      <c r="AK19" s="574">
        <v>4</v>
      </c>
      <c r="AL19" s="356"/>
      <c r="AM19" s="356"/>
      <c r="AN19" s="356"/>
      <c r="AO19" s="356"/>
      <c r="AP19" s="356"/>
      <c r="AQ19" s="356"/>
      <c r="AR19" s="356"/>
      <c r="AS19" s="356"/>
      <c r="AT19" s="356"/>
      <c r="AU19" s="356"/>
      <c r="AV19" s="356"/>
      <c r="AW19" s="356"/>
    </row>
    <row r="20" spans="2:49" ht="20.25" customHeight="1" x14ac:dyDescent="0.35">
      <c r="B20" s="478" t="s">
        <v>589</v>
      </c>
      <c r="C20" s="1039">
        <f>AH29/(C9*C21)</f>
        <v>199.70916334661354</v>
      </c>
      <c r="D20" s="1061">
        <f>AI29/(D9*D21)</f>
        <v>243.74646153846155</v>
      </c>
      <c r="E20" s="1061">
        <f>AJ29/(E9*E21)</f>
        <v>249.50894967916244</v>
      </c>
      <c r="F20" s="1061">
        <f>AK29/(F9*F21)</f>
        <v>307.51458721291124</v>
      </c>
      <c r="G20" s="1061">
        <f>AH30/(G9*G21)</f>
        <v>507.3207489335615</v>
      </c>
      <c r="H20" s="1061">
        <f>AI30/(H9*H21)</f>
        <v>1414.7391516949319</v>
      </c>
      <c r="I20" s="1258">
        <f>AJ30/(I9*I21)</f>
        <v>594.66053933735429</v>
      </c>
      <c r="J20" s="1258"/>
      <c r="K20" s="1061">
        <f>AK30/(K9*K21)</f>
        <v>567.52931762779144</v>
      </c>
      <c r="L20" s="545"/>
      <c r="M20" s="545"/>
      <c r="N20" s="545"/>
      <c r="O20" s="1108"/>
      <c r="P20" s="1143">
        <f>AG26/(P9*P21)</f>
        <v>390.43600362209474</v>
      </c>
      <c r="Q20" s="1143">
        <f>AG27/(Q9*Q21)</f>
        <v>450.55621474517562</v>
      </c>
      <c r="R20" s="1143">
        <f>AG28/(R9*R21)</f>
        <v>369.2327987082885</v>
      </c>
      <c r="S20" s="1143">
        <f>AG29/(S9*S21)</f>
        <v>250.96958135797507</v>
      </c>
      <c r="T20" s="1147">
        <f>AG30/(T9*T21)</f>
        <v>654.42783096046196</v>
      </c>
      <c r="U20" s="1104">
        <f>(SUM('CAC Update'!AC48:AN48)/(U9*U21))</f>
        <v>505.41475994140472</v>
      </c>
      <c r="V20" s="1135">
        <f>(SUM('CAC Update'!AO48:AZ48)/(V9*V21))</f>
        <v>395.06172839506172</v>
      </c>
      <c r="W20" s="626"/>
      <c r="X20" s="169"/>
      <c r="Y20" s="574">
        <v>2009</v>
      </c>
      <c r="Z20" s="310">
        <v>90682615</v>
      </c>
      <c r="AA20" s="169"/>
      <c r="AB20" s="169"/>
      <c r="AC20" s="169"/>
      <c r="AD20" s="169"/>
      <c r="AE20" s="169"/>
      <c r="AF20" s="574">
        <v>2009</v>
      </c>
      <c r="AG20" s="169">
        <v>3042554.6598499999</v>
      </c>
      <c r="AH20" s="169"/>
      <c r="AI20" s="169"/>
      <c r="AJ20" s="169"/>
      <c r="AK20" s="169"/>
      <c r="AL20" s="169"/>
      <c r="AM20" s="169"/>
      <c r="AN20" s="169"/>
      <c r="AO20" s="169"/>
      <c r="AP20" s="169"/>
      <c r="AQ20" s="169"/>
      <c r="AR20" s="169"/>
      <c r="AS20" s="169"/>
      <c r="AT20" s="169"/>
      <c r="AU20" s="169"/>
      <c r="AV20" s="169"/>
      <c r="AW20" s="169"/>
    </row>
    <row r="21" spans="2:49" ht="20.25" customHeight="1" x14ac:dyDescent="0.35">
      <c r="B21" s="479" t="s">
        <v>573</v>
      </c>
      <c r="C21" s="1058">
        <v>0.25</v>
      </c>
      <c r="D21" s="1058">
        <v>0.25</v>
      </c>
      <c r="E21" s="1058">
        <v>0.25</v>
      </c>
      <c r="F21" s="1058">
        <v>0.25</v>
      </c>
      <c r="G21" s="1058">
        <v>0.33</v>
      </c>
      <c r="H21" s="1058">
        <v>0.1389</v>
      </c>
      <c r="I21" s="1256">
        <v>0.56830000000000003</v>
      </c>
      <c r="J21" s="1256"/>
      <c r="K21" s="1058">
        <v>0.44829999999999998</v>
      </c>
      <c r="L21" s="1102">
        <v>0.45</v>
      </c>
      <c r="M21" s="1102">
        <v>0.45</v>
      </c>
      <c r="N21" s="1102">
        <v>0.45</v>
      </c>
      <c r="O21" s="1109">
        <v>0.45</v>
      </c>
      <c r="P21" s="1144">
        <v>0.25</v>
      </c>
      <c r="Q21" s="1144">
        <v>0.25</v>
      </c>
      <c r="R21" s="1144">
        <v>0.25</v>
      </c>
      <c r="S21" s="1144">
        <v>0.25</v>
      </c>
      <c r="T21" s="1144">
        <f>(SUM(G21:K21))/4</f>
        <v>0.37137499999999996</v>
      </c>
      <c r="U21" s="1102">
        <v>0.45</v>
      </c>
      <c r="V21" s="1109">
        <v>0.45</v>
      </c>
      <c r="X21" s="305" t="s">
        <v>1128</v>
      </c>
      <c r="Y21" s="574">
        <v>2010</v>
      </c>
      <c r="Z21" s="169">
        <v>166946686</v>
      </c>
      <c r="AF21" s="574">
        <v>2010</v>
      </c>
      <c r="AG21" s="305">
        <v>4592762.7899999861</v>
      </c>
    </row>
    <row r="22" spans="2:49" ht="20.25" customHeight="1" x14ac:dyDescent="0.35">
      <c r="B22" s="477" t="s">
        <v>811</v>
      </c>
      <c r="C22" s="1061">
        <f>SUM('Cost Summary'!M49:O49)/C13</f>
        <v>73.585493699439652</v>
      </c>
      <c r="D22" s="1061">
        <f>SUM('Cost Summary'!N49:P49)/D13</f>
        <v>60.932529142929553</v>
      </c>
      <c r="E22" s="1061">
        <f>SUM('Cost Summary'!O49:Q49)/E13</f>
        <v>45.08056615218711</v>
      </c>
      <c r="F22" s="1061">
        <f>SUM('Cost Summary'!P49:R49)/F13</f>
        <v>47.53828773614709</v>
      </c>
      <c r="G22" s="1061">
        <f>SUM('Cost Summary'!Q49:S49)/G13</f>
        <v>50.851494798869595</v>
      </c>
      <c r="H22" s="1061">
        <f>SUM('Cost Summary'!R49:T49)/H13</f>
        <v>47.529850547252629</v>
      </c>
      <c r="I22" s="1258">
        <f>SUM('Cost Summary'!U49:W49)/I13</f>
        <v>49.809377389686887</v>
      </c>
      <c r="J22" s="1258"/>
      <c r="K22" s="1061">
        <f>SUM('Cost Summary'!X49:Z49)/K13</f>
        <v>54.466321225250645</v>
      </c>
      <c r="L22" s="545">
        <f>SUM('Cost Summary'!AA49:AC49)/L13</f>
        <v>51.100257682889627</v>
      </c>
      <c r="M22" s="545">
        <f>SUM('Cost Summary'!AD49:AF49)/M13</f>
        <v>53.737720351559283</v>
      </c>
      <c r="N22" s="545">
        <f>SUM('Cost Summary'!AG49:AI49)/N13</f>
        <v>54.458058967631018</v>
      </c>
      <c r="O22" s="1108">
        <f>SUM('Cost Summary'!AJ49:AL49)/O13</f>
        <v>65.499997363586971</v>
      </c>
      <c r="P22" s="1147">
        <f>1276787.33/P13</f>
        <v>134.3703778151968</v>
      </c>
      <c r="Q22" s="1147">
        <f>('BOD Summary'!P12+168733)/Q13</f>
        <v>163.00001858592117</v>
      </c>
      <c r="R22" s="1147">
        <f>('BOD Summary'!Q12+288413)/R13</f>
        <v>149.18187684861522</v>
      </c>
      <c r="S22" s="1147">
        <f>(SUM('Cost Summary'!C49:N49)/S13)</f>
        <v>129.2255317637526</v>
      </c>
      <c r="T22" s="1147">
        <f>(SUM('Cost Summary'!O49:Z49)/T13)</f>
        <v>114.39119471862583</v>
      </c>
      <c r="U22" s="1104">
        <f>(SUM('Cost Summary'!AA49:AL49)/U13)</f>
        <v>132.20385624863044</v>
      </c>
      <c r="V22" s="1135">
        <f>(SUM('Cost Summary'!AM49:AX49)/V13)</f>
        <v>154.21416609156825</v>
      </c>
      <c r="Y22" s="574">
        <v>2011</v>
      </c>
      <c r="Z22" s="169">
        <v>206184044</v>
      </c>
      <c r="AF22" s="574">
        <v>2011</v>
      </c>
      <c r="AG22" s="305">
        <v>5540625.6899999715</v>
      </c>
    </row>
    <row r="23" spans="2:49" s="438" customFormat="1" ht="32.15" customHeight="1" x14ac:dyDescent="0.35">
      <c r="B23" s="489" t="s">
        <v>574</v>
      </c>
      <c r="C23" s="492"/>
      <c r="D23" s="492"/>
      <c r="E23" s="492"/>
      <c r="F23" s="492"/>
      <c r="G23" s="492"/>
      <c r="H23" s="492"/>
      <c r="I23" s="634"/>
      <c r="J23" s="634"/>
      <c r="K23" s="492"/>
      <c r="L23" s="492"/>
      <c r="M23" s="492"/>
      <c r="N23" s="492"/>
      <c r="O23" s="492"/>
      <c r="P23" s="492"/>
      <c r="Q23" s="492"/>
      <c r="R23" s="492"/>
      <c r="S23" s="492"/>
      <c r="T23" s="492"/>
      <c r="U23" s="492"/>
      <c r="V23" s="493"/>
      <c r="Y23" s="574">
        <v>2012</v>
      </c>
      <c r="Z23" s="169">
        <f>SUM(AA23:AD23)</f>
        <v>246632305</v>
      </c>
      <c r="AA23" s="438">
        <v>51711280</v>
      </c>
      <c r="AB23" s="438">
        <v>59190046</v>
      </c>
      <c r="AC23" s="438">
        <v>60568500</v>
      </c>
      <c r="AD23" s="438">
        <v>75162479</v>
      </c>
      <c r="AF23" s="574">
        <v>2012</v>
      </c>
      <c r="AG23" s="438">
        <v>6589705.0399999674</v>
      </c>
      <c r="AH23" s="574">
        <v>1428659.1800000006</v>
      </c>
      <c r="AI23" s="574">
        <v>1611518.2800000005</v>
      </c>
      <c r="AJ23" s="574">
        <v>1681216.4800000004</v>
      </c>
      <c r="AK23" s="574">
        <v>1868311.0999999996</v>
      </c>
    </row>
    <row r="24" spans="2:49" s="438" customFormat="1" ht="24" x14ac:dyDescent="0.35">
      <c r="B24" s="479" t="s">
        <v>813</v>
      </c>
      <c r="C24" s="1061">
        <f>('BOD Summary'!C6/Metrics!C15)</f>
        <v>358.45394873388511</v>
      </c>
      <c r="D24" s="1061">
        <f>('BOD Summary'!D6/Metrics!D15)</f>
        <v>372.24833077180227</v>
      </c>
      <c r="E24" s="1061">
        <f>('BOD Summary'!E6/Metrics!E15)</f>
        <v>361.9327044789228</v>
      </c>
      <c r="F24" s="1061">
        <f>('BOD Summary'!F6/Metrics!F15)</f>
        <v>406.87112665058561</v>
      </c>
      <c r="G24" s="1061">
        <f>('BOD Summary'!G6/Metrics!G15)</f>
        <v>342.91239861567124</v>
      </c>
      <c r="H24" s="1061">
        <f>('BOD Summary'!H6/Metrics!H15)</f>
        <v>337.20359414961638</v>
      </c>
      <c r="I24" s="1258">
        <f>('BOD Summary'!I6/Metrics!I15)</f>
        <v>301.49433810637061</v>
      </c>
      <c r="J24" s="1258"/>
      <c r="K24" s="1061">
        <f>('BOD Summary'!J6/Metrics!K15)</f>
        <v>334.72119902354962</v>
      </c>
      <c r="L24" s="545">
        <f>('BOD Summary'!K6/Metrics!L15)</f>
        <v>304.98255773719842</v>
      </c>
      <c r="M24" s="545">
        <f>('BOD Summary'!L6/Metrics!M15)</f>
        <v>339.40861964366388</v>
      </c>
      <c r="N24" s="545">
        <f>('BOD Summary'!M6/Metrics!N15)</f>
        <v>372.15920990649056</v>
      </c>
      <c r="O24" s="1108">
        <f>('BOD Summary'!N6/Metrics!O15)</f>
        <v>368.90232511564705</v>
      </c>
      <c r="P24" s="1043"/>
      <c r="Q24" s="1043"/>
      <c r="R24" s="1043"/>
      <c r="S24" s="1143">
        <f>(AVERAGE(C24:F24)*4)</f>
        <v>1499.5061106351959</v>
      </c>
      <c r="T24" s="1143">
        <f>(AVERAGE(G24:K24)*4)</f>
        <v>1316.331529895208</v>
      </c>
      <c r="U24" s="545">
        <f>(AVERAGE(L24:O24)*4)</f>
        <v>1385.4527124029999</v>
      </c>
      <c r="V24" s="1149"/>
      <c r="W24" s="62"/>
      <c r="Y24" s="574">
        <v>2013</v>
      </c>
      <c r="Z24" s="310">
        <f>SUM(AA24:AD24)</f>
        <v>303627023</v>
      </c>
      <c r="AA24" s="438">
        <v>73311550</v>
      </c>
      <c r="AB24" s="438">
        <v>75996303</v>
      </c>
      <c r="AC24" s="438">
        <v>74319170</v>
      </c>
      <c r="AD24" s="625">
        <v>80000000</v>
      </c>
      <c r="AF24" s="574">
        <v>2013</v>
      </c>
      <c r="AG24" s="574">
        <f>SUM(AH24:AK24)</f>
        <v>7699066.0900000008</v>
      </c>
      <c r="AH24" s="574">
        <v>1749654.840000001</v>
      </c>
      <c r="AI24" s="574">
        <v>1918330.46</v>
      </c>
      <c r="AJ24" s="574">
        <v>1937274.6500000001</v>
      </c>
      <c r="AK24" s="628">
        <v>2093806.14</v>
      </c>
    </row>
    <row r="25" spans="2:49" s="438" customFormat="1" ht="21" hidden="1" outlineLevel="1" x14ac:dyDescent="0.35">
      <c r="B25" s="590" t="s">
        <v>575</v>
      </c>
      <c r="C25" s="1061">
        <f>AA29/AA41</f>
        <v>351.8707817836812</v>
      </c>
      <c r="D25" s="1061">
        <f>AB29/AB41</f>
        <v>399.37819629629627</v>
      </c>
      <c r="E25" s="1061">
        <f>AC29/AC41</f>
        <v>397.75477439664218</v>
      </c>
      <c r="F25" s="1061">
        <f>AD29/AD41</f>
        <v>425.5887483176312</v>
      </c>
      <c r="G25" s="1061">
        <f>AA30/AA42</f>
        <v>391.45692662059889</v>
      </c>
      <c r="H25" s="1061">
        <f>AB30/AB42</f>
        <v>401.46307120743035</v>
      </c>
      <c r="I25" s="1258">
        <f>AC30/AC42</f>
        <v>390.43650427350423</v>
      </c>
      <c r="J25" s="1258"/>
      <c r="K25" s="1061">
        <f>AD30/AD42</f>
        <v>392.41637281659393</v>
      </c>
      <c r="L25" s="1113"/>
      <c r="M25" s="1113"/>
      <c r="N25" s="1113"/>
      <c r="O25" s="1114"/>
      <c r="P25" s="1043"/>
      <c r="Q25" s="1037"/>
      <c r="R25" s="1037"/>
      <c r="S25" s="1143">
        <f>SUM(C25:F25)</f>
        <v>1574.5925007942508</v>
      </c>
      <c r="T25" s="1143">
        <f>(SUM(G25:K25))</f>
        <v>1575.7728749181274</v>
      </c>
      <c r="U25" s="1113"/>
      <c r="V25" s="1114"/>
      <c r="Y25" s="438" t="s">
        <v>798</v>
      </c>
      <c r="AA25" s="438">
        <v>1</v>
      </c>
      <c r="AB25" s="438">
        <v>2</v>
      </c>
      <c r="AC25" s="438">
        <v>3</v>
      </c>
      <c r="AD25" s="438">
        <v>4</v>
      </c>
      <c r="AF25" s="438" t="s">
        <v>802</v>
      </c>
      <c r="AG25" s="574" t="s">
        <v>1124</v>
      </c>
    </row>
    <row r="26" spans="2:49" s="438" customFormat="1" ht="21" hidden="1" outlineLevel="1" x14ac:dyDescent="0.35">
      <c r="B26" s="590" t="s">
        <v>576</v>
      </c>
      <c r="C26" s="1058">
        <f>AA29/AA36</f>
        <v>0.28358809861879553</v>
      </c>
      <c r="D26" s="1058">
        <f>AB29/AB36</f>
        <v>0.29728848043427147</v>
      </c>
      <c r="E26" s="1058">
        <f>AC29/AC36</f>
        <v>0.31740254480744651</v>
      </c>
      <c r="F26" s="1058">
        <f>AD29/AD36</f>
        <v>0.29247561584833875</v>
      </c>
      <c r="G26" s="1058">
        <f>AA30/AA37</f>
        <v>0.30785491256552461</v>
      </c>
      <c r="H26" s="1058">
        <f>AB30/AB37</f>
        <v>0.30734720161384538</v>
      </c>
      <c r="I26" s="1256">
        <f>AC30/AC37</f>
        <v>0.33805076756704783</v>
      </c>
      <c r="J26" s="1256"/>
      <c r="K26" s="1058"/>
      <c r="L26" s="1113"/>
      <c r="M26" s="1113"/>
      <c r="N26" s="1113"/>
      <c r="O26" s="1114"/>
      <c r="P26" s="1045"/>
      <c r="Q26" s="1045"/>
      <c r="R26" s="1045"/>
      <c r="S26" s="1148">
        <f>Z29/Z36</f>
        <v>0.29772467185437312</v>
      </c>
      <c r="T26" s="1148">
        <f>Z30/Z37</f>
        <v>1.5747971211141842E-3</v>
      </c>
      <c r="U26" s="1116"/>
      <c r="V26" s="1114"/>
      <c r="Y26" s="438">
        <v>2009</v>
      </c>
      <c r="Z26" s="438">
        <v>1133705.1399999999</v>
      </c>
      <c r="AA26" s="438">
        <v>180811.24498987201</v>
      </c>
      <c r="AB26" s="438">
        <v>264490.13997507101</v>
      </c>
      <c r="AC26" s="438">
        <v>292415.96000385279</v>
      </c>
      <c r="AD26" s="438">
        <v>395987.79503774637</v>
      </c>
      <c r="AF26" s="574">
        <v>2009</v>
      </c>
      <c r="AG26" s="438">
        <v>646757.24</v>
      </c>
    </row>
    <row r="27" spans="2:49" s="438" customFormat="1" ht="21" collapsed="1" x14ac:dyDescent="0.35">
      <c r="B27" s="479" t="s">
        <v>795</v>
      </c>
      <c r="C27" s="1064">
        <v>4.0847493593050933E-2</v>
      </c>
      <c r="D27" s="1064">
        <v>4.2796391778878902E-2</v>
      </c>
      <c r="E27" s="1064">
        <v>4.1557768717793139E-2</v>
      </c>
      <c r="F27" s="1064">
        <v>3.4090966150881655E-2</v>
      </c>
      <c r="G27" s="1064">
        <v>4.4530880214703535E-2</v>
      </c>
      <c r="H27" s="1064">
        <v>4.4673594335411432E-2</v>
      </c>
      <c r="I27" s="1259">
        <v>5.9945617541199585E-2</v>
      </c>
      <c r="J27" s="1259"/>
      <c r="K27" s="1064">
        <v>3.6936010310661398E-2</v>
      </c>
      <c r="L27" s="1113"/>
      <c r="M27" s="1113"/>
      <c r="N27" s="1113"/>
      <c r="O27" s="1114"/>
      <c r="P27" s="1038"/>
      <c r="Q27" s="1038"/>
      <c r="R27" s="1038"/>
      <c r="S27" s="1146">
        <v>3.9409429538381509E-2</v>
      </c>
      <c r="T27" s="1146">
        <v>5.2075978466881098E-2</v>
      </c>
      <c r="U27" s="1113"/>
      <c r="V27" s="1114"/>
      <c r="W27" s="574"/>
      <c r="Y27" s="438">
        <v>2010</v>
      </c>
      <c r="Z27" s="438">
        <v>2387716.16</v>
      </c>
      <c r="AA27" s="438">
        <v>477891.34003925318</v>
      </c>
      <c r="AB27" s="438">
        <v>518666.36999320978</v>
      </c>
      <c r="AC27" s="438">
        <v>626263.74008131027</v>
      </c>
      <c r="AD27" s="438">
        <v>766019.70979785919</v>
      </c>
      <c r="AE27" s="574"/>
      <c r="AF27" s="574">
        <v>2010</v>
      </c>
      <c r="AG27" s="438">
        <v>910574.11</v>
      </c>
    </row>
    <row r="28" spans="2:49" s="438" customFormat="1" ht="21" x14ac:dyDescent="0.35">
      <c r="B28" s="479" t="s">
        <v>796</v>
      </c>
      <c r="C28" s="1064">
        <f>AH23/AA23</f>
        <v>2.7627612002642375E-2</v>
      </c>
      <c r="D28" s="1064">
        <f>AI23/AB23</f>
        <v>2.7226170427372205E-2</v>
      </c>
      <c r="E28" s="1064">
        <f t="shared" ref="E28:F28" si="18">AJ23/AC23</f>
        <v>2.7757274490865722E-2</v>
      </c>
      <c r="F28" s="1064">
        <f t="shared" si="18"/>
        <v>2.4856964869399794E-2</v>
      </c>
      <c r="G28" s="1064">
        <f>AH24/AA24</f>
        <v>2.3866018928804546E-2</v>
      </c>
      <c r="H28" s="1064">
        <f t="shared" ref="H28:I28" si="19">AI24/AB24</f>
        <v>2.5242418173947224E-2</v>
      </c>
      <c r="I28" s="1259">
        <f t="shared" si="19"/>
        <v>2.6066957556172925E-2</v>
      </c>
      <c r="J28" s="1259"/>
      <c r="K28" s="1064">
        <f>AK24/AD24</f>
        <v>2.6172576749999999E-2</v>
      </c>
      <c r="L28" s="1115"/>
      <c r="M28" s="1113"/>
      <c r="N28" s="1113"/>
      <c r="O28" s="1114"/>
      <c r="P28" s="1038"/>
      <c r="Q28" s="1038"/>
      <c r="R28" s="1038"/>
      <c r="S28" s="1146">
        <f>AG23/Z23</f>
        <v>2.6718742461576423E-2</v>
      </c>
      <c r="T28" s="1146">
        <f>AG24/Z24</f>
        <v>2.5356985731800296E-2</v>
      </c>
      <c r="U28" s="1113"/>
      <c r="V28" s="1114"/>
      <c r="Y28" s="438">
        <v>2011</v>
      </c>
      <c r="Z28" s="438">
        <v>3405622.21</v>
      </c>
      <c r="AA28" s="438">
        <v>772979.60016822815</v>
      </c>
      <c r="AB28" s="438">
        <v>822359.23000431061</v>
      </c>
      <c r="AC28" s="438">
        <v>865471.29003238678</v>
      </c>
      <c r="AD28" s="920">
        <v>947137.08991718292</v>
      </c>
      <c r="AF28" s="574">
        <v>2011</v>
      </c>
      <c r="AG28" s="438">
        <v>1029051.81</v>
      </c>
    </row>
    <row r="29" spans="2:49" s="438" customFormat="1" ht="32.15" customHeight="1" x14ac:dyDescent="0.35">
      <c r="B29" s="489" t="s">
        <v>577</v>
      </c>
      <c r="C29" s="492"/>
      <c r="D29" s="492"/>
      <c r="E29" s="492"/>
      <c r="F29" s="492"/>
      <c r="G29" s="492"/>
      <c r="H29" s="492"/>
      <c r="I29" s="634"/>
      <c r="J29" s="634"/>
      <c r="K29" s="492"/>
      <c r="L29" s="492"/>
      <c r="M29" s="492"/>
      <c r="N29" s="492"/>
      <c r="O29" s="492"/>
      <c r="P29" s="492"/>
      <c r="Q29" s="492"/>
      <c r="R29" s="492"/>
      <c r="S29" s="492"/>
      <c r="T29" s="492"/>
      <c r="U29" s="492"/>
      <c r="V29" s="493"/>
      <c r="Y29" s="438">
        <v>2012</v>
      </c>
      <c r="Z29" s="438">
        <v>4407531.3</v>
      </c>
      <c r="AA29" s="628">
        <v>927179.51</v>
      </c>
      <c r="AB29" s="628">
        <v>1078321.1299999999</v>
      </c>
      <c r="AC29" s="628">
        <v>1137180.8999999999</v>
      </c>
      <c r="AD29" s="628">
        <v>1264849.76</v>
      </c>
      <c r="AF29" s="574">
        <v>2012</v>
      </c>
      <c r="AG29" s="628">
        <v>780829.11</v>
      </c>
      <c r="AH29" s="628">
        <v>150381</v>
      </c>
      <c r="AI29" s="438">
        <v>198044</v>
      </c>
      <c r="AJ29" s="438">
        <v>184699</v>
      </c>
      <c r="AK29" s="438">
        <v>247703</v>
      </c>
    </row>
    <row r="30" spans="2:49" ht="21" x14ac:dyDescent="0.35">
      <c r="B30" s="477" t="s">
        <v>580</v>
      </c>
      <c r="C30" s="1039">
        <f t="shared" ref="C30:H30" si="20">C24*8</f>
        <v>2867.6315898710809</v>
      </c>
      <c r="D30" s="1061">
        <f t="shared" si="20"/>
        <v>2977.9866461744182</v>
      </c>
      <c r="E30" s="1061">
        <f t="shared" si="20"/>
        <v>2895.4616358313824</v>
      </c>
      <c r="F30" s="1061">
        <f t="shared" si="20"/>
        <v>3254.9690132046849</v>
      </c>
      <c r="G30" s="1061">
        <f t="shared" si="20"/>
        <v>2743.2991889253699</v>
      </c>
      <c r="H30" s="1061">
        <f t="shared" si="20"/>
        <v>2697.628753196931</v>
      </c>
      <c r="I30" s="1258">
        <f>I24*10</f>
        <v>3014.9433810637061</v>
      </c>
      <c r="J30" s="1258"/>
      <c r="K30" s="1061">
        <f>K24*10</f>
        <v>3347.2119902354962</v>
      </c>
      <c r="L30" s="545">
        <f t="shared" ref="L30:O30" si="21">L24*10</f>
        <v>3049.8255773719843</v>
      </c>
      <c r="M30" s="545">
        <f t="shared" si="21"/>
        <v>3394.0861964366386</v>
      </c>
      <c r="N30" s="545">
        <f t="shared" si="21"/>
        <v>3721.5920990649056</v>
      </c>
      <c r="O30" s="1108">
        <f t="shared" si="21"/>
        <v>3689.0232511564705</v>
      </c>
      <c r="P30" s="1043"/>
      <c r="Q30" s="1043"/>
      <c r="R30" s="1043"/>
      <c r="S30" s="1143">
        <f t="shared" ref="S30:S31" si="22">S24*2</f>
        <v>2999.0122212703918</v>
      </c>
      <c r="T30" s="1143">
        <f>T24*2.5</f>
        <v>3290.8288247380196</v>
      </c>
      <c r="U30" s="631">
        <f>U24*2.5</f>
        <v>3463.6317810074997</v>
      </c>
      <c r="V30" s="1114"/>
      <c r="W30" s="636"/>
      <c r="X30" s="575"/>
      <c r="Y30" s="305">
        <v>2013</v>
      </c>
      <c r="Z30" s="920">
        <f>SUM(AA30:AD30)</f>
        <v>5294609.04</v>
      </c>
      <c r="AA30" s="920">
        <v>1189637.6000000001</v>
      </c>
      <c r="AB30" s="920">
        <v>1296725.72</v>
      </c>
      <c r="AC30" s="169">
        <v>1370432.13</v>
      </c>
      <c r="AD30" s="628">
        <v>1437813.59</v>
      </c>
      <c r="AF30" s="574">
        <v>2013</v>
      </c>
      <c r="AG30" s="305">
        <f>SUM(AH30:AK30)</f>
        <v>3810594.93</v>
      </c>
      <c r="AH30" s="305">
        <v>595833</v>
      </c>
      <c r="AI30" s="305">
        <v>784064</v>
      </c>
      <c r="AJ30" s="305">
        <v>1465670</v>
      </c>
      <c r="AK30" s="406">
        <f>SUM(Marketing!X49:Z49)</f>
        <v>965027.93</v>
      </c>
    </row>
    <row r="31" spans="2:49" s="438" customFormat="1" ht="21" hidden="1" customHeight="1" x14ac:dyDescent="0.35">
      <c r="B31" s="637" t="s">
        <v>578</v>
      </c>
      <c r="C31" s="1061">
        <f t="shared" ref="C31:H31" si="23">C25*8</f>
        <v>2814.9662542694496</v>
      </c>
      <c r="D31" s="1061">
        <f t="shared" si="23"/>
        <v>3195.0255703703701</v>
      </c>
      <c r="E31" s="1061">
        <f t="shared" si="23"/>
        <v>3182.0381951731374</v>
      </c>
      <c r="F31" s="1061">
        <f t="shared" si="23"/>
        <v>3404.7099865410496</v>
      </c>
      <c r="G31" s="1061">
        <f t="shared" si="23"/>
        <v>3131.6554129647911</v>
      </c>
      <c r="H31" s="1061">
        <f t="shared" si="23"/>
        <v>3211.7045696594428</v>
      </c>
      <c r="I31" s="1258">
        <f>I25*10</f>
        <v>3904.3650427350422</v>
      </c>
      <c r="J31" s="1258"/>
      <c r="K31" s="1061">
        <f t="shared" ref="K31" si="24">K25*8</f>
        <v>3139.3309825327515</v>
      </c>
      <c r="L31" s="545"/>
      <c r="M31" s="545"/>
      <c r="N31" s="545"/>
      <c r="O31" s="1110"/>
      <c r="P31" s="1043"/>
      <c r="Q31" s="1043"/>
      <c r="R31" s="1043"/>
      <c r="S31" s="1143">
        <f t="shared" si="22"/>
        <v>3149.1850015885016</v>
      </c>
      <c r="T31" s="1143">
        <f>T25*2.25</f>
        <v>3545.4889685657868</v>
      </c>
      <c r="U31" s="631">
        <f>U25*2.25</f>
        <v>0</v>
      </c>
      <c r="V31" s="1114"/>
      <c r="Y31" s="438" t="s">
        <v>237</v>
      </c>
      <c r="Z31" s="920"/>
      <c r="AA31" s="920"/>
      <c r="AB31" s="920"/>
      <c r="AF31" s="574" t="s">
        <v>575</v>
      </c>
      <c r="AG31" s="438" t="s">
        <v>804</v>
      </c>
      <c r="AH31" s="438">
        <v>1</v>
      </c>
      <c r="AI31" s="438">
        <v>2</v>
      </c>
      <c r="AJ31" s="438">
        <v>3</v>
      </c>
      <c r="AK31" s="438">
        <v>4</v>
      </c>
    </row>
    <row r="32" spans="2:49" ht="21" x14ac:dyDescent="0.35">
      <c r="B32" s="479" t="s">
        <v>579</v>
      </c>
      <c r="C32" s="1061">
        <f t="shared" ref="C32:H32" si="25">C30-(C19+(8*C22))</f>
        <v>2086.0533444660728</v>
      </c>
      <c r="D32" s="1061">
        <f t="shared" si="25"/>
        <v>2294.2459549129912</v>
      </c>
      <c r="E32" s="1061">
        <f t="shared" si="25"/>
        <v>2314.4739118715247</v>
      </c>
      <c r="F32" s="1061">
        <f t="shared" si="25"/>
        <v>2694.365847279807</v>
      </c>
      <c r="G32" s="1061">
        <f t="shared" si="25"/>
        <v>2012.9382251958348</v>
      </c>
      <c r="H32" s="1061">
        <f t="shared" si="25"/>
        <v>1961.5444976910903</v>
      </c>
      <c r="I32" s="1258">
        <f>I30-(I19+(10*I22))</f>
        <v>1989.2419059909091</v>
      </c>
      <c r="J32" s="1258"/>
      <c r="K32" s="1061">
        <f t="shared" ref="K32:O32" si="26">K30-(K19+(8*K22))</f>
        <v>2462.2494536525787</v>
      </c>
      <c r="L32" s="545">
        <f t="shared" si="26"/>
        <v>2231.5448416748904</v>
      </c>
      <c r="M32" s="545">
        <f t="shared" si="26"/>
        <v>2483.7853406419326</v>
      </c>
      <c r="N32" s="545">
        <f t="shared" si="26"/>
        <v>2736.3476855277277</v>
      </c>
      <c r="O32" s="1108">
        <f t="shared" si="26"/>
        <v>2731.4271266789501</v>
      </c>
      <c r="P32" s="1043"/>
      <c r="Q32" s="1043"/>
      <c r="R32" s="1043"/>
      <c r="S32" s="1143">
        <f>S30-(S19+(2*S22))</f>
        <v>2543.5132024663244</v>
      </c>
      <c r="T32" s="1143">
        <f>T30-(T19+(2.25*T22))</f>
        <v>2614.8310136859754</v>
      </c>
      <c r="U32" s="631">
        <f>U30-(U19+(2.25*U22))</f>
        <v>2699.8162733455038</v>
      </c>
      <c r="V32" s="1114"/>
      <c r="X32" s="305" t="s">
        <v>1123</v>
      </c>
      <c r="Y32" s="574">
        <v>2009</v>
      </c>
      <c r="Z32" s="920">
        <v>5655161.7000000002</v>
      </c>
      <c r="AA32" s="920">
        <f>(3451449+2832064)*90%</f>
        <v>5655161.7000000002</v>
      </c>
      <c r="AB32" s="920">
        <v>1680630</v>
      </c>
      <c r="AE32" s="305" t="s">
        <v>1125</v>
      </c>
      <c r="AF32" s="574">
        <v>2009</v>
      </c>
      <c r="AG32" s="305" t="e">
        <f>SUM(AH32:AK32)</f>
        <v>#REF!</v>
      </c>
      <c r="AH32" s="305" t="e">
        <f>AA26/#REF!</f>
        <v>#REF!</v>
      </c>
      <c r="AI32" s="574" t="e">
        <f>AB26/#REF!</f>
        <v>#REF!</v>
      </c>
      <c r="AJ32" s="574" t="e">
        <f>AC26/#REF!</f>
        <v>#REF!</v>
      </c>
      <c r="AK32" s="574" t="e">
        <f>AD26/#REF!</f>
        <v>#REF!</v>
      </c>
    </row>
    <row r="33" spans="1:37" s="574" customFormat="1" ht="21" hidden="1" customHeight="1" x14ac:dyDescent="0.35">
      <c r="B33" s="637" t="s">
        <v>803</v>
      </c>
      <c r="C33" s="1061">
        <f>C31-(C19+(8*C22))</f>
        <v>2033.3880088644414</v>
      </c>
      <c r="D33" s="1061">
        <f t="shared" ref="D33:J33" si="27">D31-(D19+(8*D22))</f>
        <v>2511.2848791089432</v>
      </c>
      <c r="E33" s="1061">
        <f t="shared" si="27"/>
        <v>2601.0504712132797</v>
      </c>
      <c r="F33" s="1061">
        <f t="shared" si="27"/>
        <v>2844.1068206161717</v>
      </c>
      <c r="G33" s="1061">
        <f t="shared" si="27"/>
        <v>2401.2944492352563</v>
      </c>
      <c r="H33" s="1061">
        <f t="shared" si="27"/>
        <v>2475.6203141536021</v>
      </c>
      <c r="I33" s="1258">
        <f>I31-(I19+(10*I22))</f>
        <v>2878.6635676622454</v>
      </c>
      <c r="J33" s="1258">
        <f t="shared" si="27"/>
        <v>0</v>
      </c>
      <c r="K33" s="1061">
        <f t="shared" ref="K33:O33" si="28">K31-(K19+(8*K22))</f>
        <v>2254.368445949834</v>
      </c>
      <c r="L33" s="545">
        <f t="shared" si="28"/>
        <v>-818.28073569709375</v>
      </c>
      <c r="M33" s="545">
        <f t="shared" si="28"/>
        <v>-910.30085579470597</v>
      </c>
      <c r="N33" s="545">
        <f t="shared" si="28"/>
        <v>-985.24441353717782</v>
      </c>
      <c r="O33" s="1108">
        <f t="shared" si="28"/>
        <v>-957.59612447752056</v>
      </c>
      <c r="P33" s="1043"/>
      <c r="Q33" s="1043"/>
      <c r="R33" s="1043"/>
      <c r="S33" s="1143">
        <f>S31-(S19+(2*S22))</f>
        <v>2693.6859827844341</v>
      </c>
      <c r="T33" s="1143">
        <f>T31-(T19+(2.25*T22))</f>
        <v>2869.4911575137421</v>
      </c>
      <c r="U33" s="631">
        <f>U31-(U19+(2.25*U22))</f>
        <v>-763.81550766199587</v>
      </c>
      <c r="V33" s="1114"/>
      <c r="Z33" s="920"/>
      <c r="AA33" s="920"/>
      <c r="AB33" s="920"/>
      <c r="AF33" s="574">
        <v>2010</v>
      </c>
      <c r="AG33" s="574">
        <f t="shared" ref="AG33:AG36" si="29">SUM(AH33:AK33)</f>
        <v>1531.6605710492793</v>
      </c>
      <c r="AH33" s="574">
        <f t="shared" ref="AH33:AK36" si="30">AA27/AA39</f>
        <v>401.2521746761152</v>
      </c>
      <c r="AI33" s="574">
        <f t="shared" si="30"/>
        <v>376.66403049615815</v>
      </c>
      <c r="AJ33" s="574">
        <f t="shared" si="30"/>
        <v>370.35111772992917</v>
      </c>
      <c r="AK33" s="574">
        <f t="shared" si="30"/>
        <v>383.39324814707669</v>
      </c>
    </row>
    <row r="34" spans="1:37" s="438" customFormat="1" ht="21" x14ac:dyDescent="0.35">
      <c r="B34" s="480" t="s">
        <v>582</v>
      </c>
      <c r="C34" s="1040">
        <f t="shared" ref="C34:I34" si="31">C32/C19</f>
        <v>10.814489540563351</v>
      </c>
      <c r="D34" s="1063">
        <f t="shared" si="31"/>
        <v>11.688611168483449</v>
      </c>
      <c r="E34" s="1063">
        <f t="shared" si="31"/>
        <v>10.50395005199845</v>
      </c>
      <c r="F34" s="1063">
        <f t="shared" si="31"/>
        <v>14.944052752610746</v>
      </c>
      <c r="G34" s="1063">
        <f t="shared" si="31"/>
        <v>6.221432277590818</v>
      </c>
      <c r="H34" s="1063">
        <f t="shared" si="31"/>
        <v>5.512349508681802</v>
      </c>
      <c r="I34" s="1257">
        <f t="shared" si="31"/>
        <v>3.7703049094190657</v>
      </c>
      <c r="J34" s="1257"/>
      <c r="K34" s="1063">
        <f t="shared" ref="K34:O34" si="32">K32/K19</f>
        <v>5.4810201315290712</v>
      </c>
      <c r="L34" s="542">
        <f t="shared" si="32"/>
        <v>5.4497217610892781</v>
      </c>
      <c r="M34" s="542">
        <f t="shared" si="32"/>
        <v>5.170254017806398</v>
      </c>
      <c r="N34" s="542">
        <f t="shared" si="32"/>
        <v>4.9789802673380574</v>
      </c>
      <c r="O34" s="1111">
        <f t="shared" si="32"/>
        <v>6.2994728034209198</v>
      </c>
      <c r="P34" s="1044"/>
      <c r="Q34" s="1044"/>
      <c r="R34" s="1044"/>
      <c r="S34" s="1145">
        <f>S32/S19</f>
        <v>12.908092341767441</v>
      </c>
      <c r="T34" s="1145">
        <f>T32/T19</f>
        <v>6.2463471923424905</v>
      </c>
      <c r="U34" s="630">
        <f>U32/U19</f>
        <v>5.7891642049340248</v>
      </c>
      <c r="V34" s="1136"/>
      <c r="Y34" s="574">
        <v>2010</v>
      </c>
      <c r="Z34" s="920">
        <v>8100314</v>
      </c>
      <c r="AA34" s="920"/>
      <c r="AB34" s="920"/>
      <c r="AF34" s="574">
        <v>2011</v>
      </c>
      <c r="AG34" s="574">
        <f t="shared" si="29"/>
        <v>1397.4614465954564</v>
      </c>
      <c r="AH34" s="438">
        <f t="shared" si="30"/>
        <v>344.0051625136752</v>
      </c>
      <c r="AI34" s="574">
        <f t="shared" si="30"/>
        <v>334.97320977772324</v>
      </c>
      <c r="AJ34" s="574">
        <f t="shared" si="30"/>
        <v>346.32704683168737</v>
      </c>
      <c r="AK34" s="574">
        <f t="shared" si="30"/>
        <v>372.15602747237051</v>
      </c>
    </row>
    <row r="35" spans="1:37" ht="32.15" customHeight="1" x14ac:dyDescent="0.35">
      <c r="B35" s="489" t="s">
        <v>693</v>
      </c>
      <c r="C35" s="492"/>
      <c r="D35" s="494"/>
      <c r="E35" s="494"/>
      <c r="F35" s="494"/>
      <c r="G35" s="494"/>
      <c r="H35" s="494"/>
      <c r="I35" s="1120"/>
      <c r="J35" s="1120"/>
      <c r="K35" s="494"/>
      <c r="L35" s="494"/>
      <c r="M35" s="494"/>
      <c r="N35" s="494"/>
      <c r="O35" s="492"/>
      <c r="P35" s="494"/>
      <c r="Q35" s="494"/>
      <c r="R35" s="494"/>
      <c r="S35" s="494"/>
      <c r="T35" s="494"/>
      <c r="U35" s="494"/>
      <c r="V35" s="1137"/>
      <c r="Y35" s="574">
        <v>2011</v>
      </c>
      <c r="Z35" s="574">
        <v>10993737</v>
      </c>
      <c r="AA35" s="574"/>
      <c r="AB35" s="574"/>
      <c r="AF35" s="574">
        <v>2012</v>
      </c>
      <c r="AG35" s="574">
        <f t="shared" si="29"/>
        <v>1574.5925007942508</v>
      </c>
      <c r="AH35" s="305">
        <f t="shared" si="30"/>
        <v>351.8707817836812</v>
      </c>
      <c r="AI35" s="574">
        <f t="shared" si="30"/>
        <v>399.37819629629627</v>
      </c>
      <c r="AJ35" s="574">
        <f t="shared" si="30"/>
        <v>397.75477439664218</v>
      </c>
      <c r="AK35" s="574">
        <f t="shared" si="30"/>
        <v>425.5887483176312</v>
      </c>
    </row>
    <row r="36" spans="1:37" ht="21" x14ac:dyDescent="0.35">
      <c r="B36" s="479" t="s">
        <v>585</v>
      </c>
      <c r="C36" s="1041">
        <f>+'CF - Monthly'!E19+'CF - Monthly'!F19+'CF - Monthly'!G19</f>
        <v>1428578.8665850984</v>
      </c>
      <c r="D36" s="1121">
        <f>+'CF - Monthly'!H19+'CF - Monthly'!I19+'CF - Monthly'!J19</f>
        <v>2013290.8281237744</v>
      </c>
      <c r="E36" s="1121">
        <f>+'CF - Monthly'!K19+'CF - Monthly'!L19+'CF - Monthly'!M19</f>
        <v>1161289.4020700417</v>
      </c>
      <c r="F36" s="1121">
        <f>+('CF - Monthly'!N19+'CF - Monthly'!O19+'CF - Monthly'!P19)-('CF - Monthly'!P17+'CF - Monthly'!P18)</f>
        <v>898460.01304643601</v>
      </c>
      <c r="G36" s="1121">
        <f>+'CF - Monthly'!Q19+'CF - Monthly'!R19+'CF - Monthly'!S19</f>
        <v>1238659.9299999997</v>
      </c>
      <c r="H36" s="1121">
        <f>+'CF - Monthly'!T19+'CF - Monthly'!U19+'CF - Monthly'!V19</f>
        <v>97984.380000000223</v>
      </c>
      <c r="I36" s="1255">
        <f>SUM('CF - Monthly'!W19:Y19)</f>
        <v>-686648.04999999912</v>
      </c>
      <c r="J36" s="1255"/>
      <c r="K36" s="1042">
        <f>SUM('CF - Monthly'!Z19:AB19)</f>
        <v>-1157981.8299999994</v>
      </c>
      <c r="L36" s="649">
        <f>SUM('CF - Monthly'!AC19:AE19)</f>
        <v>630091.611035006</v>
      </c>
      <c r="M36" s="649">
        <f>SUM('CF - Monthly'!AF19:AH19)</f>
        <v>-266396.823066112</v>
      </c>
      <c r="N36" s="649">
        <f>SUM('CF - Monthly'!AI19:AK19)</f>
        <v>699407.94019614789</v>
      </c>
      <c r="O36" s="1112">
        <f>SUM('CF - Monthly'!AL19:AN19)</f>
        <v>424992.97841296752</v>
      </c>
      <c r="P36" s="1121">
        <f>432808+143811</f>
        <v>576619</v>
      </c>
      <c r="Q36" s="1121">
        <v>3600728</v>
      </c>
      <c r="R36" s="1121">
        <v>3908285</v>
      </c>
      <c r="S36" s="1121">
        <f>SUM(C36:F36)</f>
        <v>5501619.1098253503</v>
      </c>
      <c r="T36" s="1121">
        <f>SUM(G36:K36)</f>
        <v>-507985.56999999867</v>
      </c>
      <c r="U36" s="1052">
        <f>SUM(L36:O36)</f>
        <v>1488095.7065780093</v>
      </c>
      <c r="V36" s="1138">
        <f>SUM('CF - Monthly'!AO19:AZ19)</f>
        <v>17364010.491967</v>
      </c>
      <c r="Y36" s="574">
        <v>2012</v>
      </c>
      <c r="Z36" s="574">
        <v>14804051.248248139</v>
      </c>
      <c r="AA36" s="574">
        <v>3269458.4664017661</v>
      </c>
      <c r="AB36" s="574">
        <v>3627187.7350404416</v>
      </c>
      <c r="AC36" s="305">
        <v>3582771.8416368566</v>
      </c>
      <c r="AD36" s="305">
        <v>4324633.2051690742</v>
      </c>
      <c r="AF36" s="574">
        <v>2013</v>
      </c>
      <c r="AG36" s="574">
        <f t="shared" si="29"/>
        <v>1575.7728749181274</v>
      </c>
      <c r="AH36" s="305">
        <f t="shared" si="30"/>
        <v>391.45692662059889</v>
      </c>
      <c r="AI36" s="574">
        <f t="shared" si="30"/>
        <v>401.46307120743035</v>
      </c>
      <c r="AJ36" s="574">
        <f t="shared" si="30"/>
        <v>390.43650427350423</v>
      </c>
      <c r="AK36" s="574">
        <f t="shared" si="30"/>
        <v>392.41637281659393</v>
      </c>
    </row>
    <row r="37" spans="1:37" s="438" customFormat="1" ht="21" x14ac:dyDescent="0.35">
      <c r="B37" s="479" t="s">
        <v>586</v>
      </c>
      <c r="C37" s="1121">
        <f>+'CF - Monthly'!E22+'CF - Monthly'!F22+'CF - Monthly'!G22</f>
        <v>-31458.890000000014</v>
      </c>
      <c r="D37" s="1121">
        <f>+'CF - Monthly'!H22+'CF - Monthly'!I22+'CF - Monthly'!J22</f>
        <v>-49097.520000000019</v>
      </c>
      <c r="E37" s="1121">
        <f>+'CF - Monthly'!K22+'CF - Monthly'!L22+'CF - Monthly'!M22</f>
        <v>-47966.759999999951</v>
      </c>
      <c r="F37" s="1121">
        <f>+'CF - Monthly'!N22+'CF - Monthly'!O22+'CF - Monthly'!P22</f>
        <v>-77068</v>
      </c>
      <c r="G37" s="1121">
        <f>+'CF - Monthly'!Q22+'CF - Monthly'!R22+'CF - Monthly'!S22</f>
        <v>-120913.24999999999</v>
      </c>
      <c r="H37" s="1121">
        <f>+'CF - Monthly'!T22+'CF - Monthly'!U22+'CF - Monthly'!V22</f>
        <v>-60442.140000000014</v>
      </c>
      <c r="I37" s="1255">
        <f>SUM('CF - Monthly'!W22:Y22)</f>
        <v>-43499.330000000053</v>
      </c>
      <c r="J37" s="1255"/>
      <c r="K37" s="1121">
        <f>SUM('CF - Monthly'!Z22:AB22)</f>
        <v>-186827.02999999994</v>
      </c>
      <c r="L37" s="649">
        <f>SUM('CF - Monthly'!AC22:AE22)</f>
        <v>56963.579999999958</v>
      </c>
      <c r="M37" s="649">
        <f>SUM('CF - Monthly'!AF22:AH22)</f>
        <v>0</v>
      </c>
      <c r="N37" s="649">
        <f>SUM('CF - Monthly'!AI22:AK22)</f>
        <v>0</v>
      </c>
      <c r="O37" s="1112">
        <f>SUM('CF - Monthly'!AL22:AN22)</f>
        <v>0</v>
      </c>
      <c r="P37" s="1121">
        <v>0</v>
      </c>
      <c r="Q37" s="1121">
        <v>188755</v>
      </c>
      <c r="R37" s="1121">
        <v>143001</v>
      </c>
      <c r="S37" s="1121">
        <f>SUM(C37:F37)</f>
        <v>-205591.16999999998</v>
      </c>
      <c r="T37" s="1121">
        <f>SUM(G37:K37)</f>
        <v>-411681.75</v>
      </c>
      <c r="U37" s="1052">
        <f>SUM(L37:O37)</f>
        <v>56963.579999999958</v>
      </c>
      <c r="V37" s="1138">
        <f>SUM('CF - Monthly'!AO22:AZ22)</f>
        <v>0</v>
      </c>
      <c r="Y37" s="574">
        <v>2013</v>
      </c>
      <c r="Z37" s="438">
        <f>SUM(AA37:AD37)</f>
        <v>3362089610.79</v>
      </c>
      <c r="AA37" s="574">
        <v>3864280.0599999996</v>
      </c>
      <c r="AB37" s="574">
        <v>4219090.7</v>
      </c>
      <c r="AC37" s="438">
        <v>4053924.0300000003</v>
      </c>
      <c r="AD37" s="574">
        <v>3349952316</v>
      </c>
    </row>
    <row r="38" spans="1:37" s="438" customFormat="1" ht="21" x14ac:dyDescent="0.35">
      <c r="B38" s="479" t="s">
        <v>587</v>
      </c>
      <c r="C38" s="1121">
        <f>+C36+C37</f>
        <v>1397119.9765850985</v>
      </c>
      <c r="D38" s="1121">
        <f t="shared" ref="D38:O38" si="33">+D36+D37</f>
        <v>1964193.3081237744</v>
      </c>
      <c r="E38" s="1121">
        <f t="shared" si="33"/>
        <v>1113322.6420700417</v>
      </c>
      <c r="F38" s="1121">
        <f t="shared" si="33"/>
        <v>821392.01304643601</v>
      </c>
      <c r="G38" s="1121">
        <f t="shared" si="33"/>
        <v>1117746.6799999997</v>
      </c>
      <c r="H38" s="1121">
        <f t="shared" si="33"/>
        <v>37542.240000000209</v>
      </c>
      <c r="I38" s="1121">
        <f>-730194.579999999</f>
        <v>-730194.57999999903</v>
      </c>
      <c r="J38" s="1122">
        <v>1</v>
      </c>
      <c r="K38" s="1121">
        <f t="shared" si="33"/>
        <v>-1344808.8599999994</v>
      </c>
      <c r="L38" s="649">
        <f t="shared" si="33"/>
        <v>687055.19103500596</v>
      </c>
      <c r="M38" s="649">
        <f t="shared" si="33"/>
        <v>-266396.823066112</v>
      </c>
      <c r="N38" s="649">
        <f t="shared" si="33"/>
        <v>699407.94019614789</v>
      </c>
      <c r="O38" s="1112">
        <f t="shared" si="33"/>
        <v>424992.97841296752</v>
      </c>
      <c r="P38" s="1121">
        <f>P36+P37</f>
        <v>576619</v>
      </c>
      <c r="Q38" s="1121">
        <f>'BOD Summary'!P20</f>
        <v>3600727</v>
      </c>
      <c r="R38" s="1121">
        <f>'BOD Summary'!Q20</f>
        <v>3908286</v>
      </c>
      <c r="S38" s="1121">
        <f>'BOD Summary'!R20</f>
        <v>5296027.9398253504</v>
      </c>
      <c r="T38" s="1121">
        <f>'BOD Summary'!S20</f>
        <v>-919714.51999999851</v>
      </c>
      <c r="U38" s="1052">
        <f>'BOD Summary'!T20</f>
        <v>1545059.2865780094</v>
      </c>
      <c r="V38" s="1138">
        <f>V36+V37</f>
        <v>17364010.491967</v>
      </c>
      <c r="Y38" s="438" t="s">
        <v>799</v>
      </c>
      <c r="AF38" s="438" t="s">
        <v>806</v>
      </c>
      <c r="AH38" s="574">
        <v>1</v>
      </c>
      <c r="AI38" s="574">
        <v>2</v>
      </c>
      <c r="AJ38" s="574">
        <v>3</v>
      </c>
      <c r="AK38" s="574">
        <v>4</v>
      </c>
    </row>
    <row r="39" spans="1:37" s="438" customFormat="1" x14ac:dyDescent="0.35">
      <c r="B39" s="1139"/>
      <c r="C39" s="1140"/>
      <c r="D39" s="1140"/>
      <c r="E39" s="1140"/>
      <c r="F39" s="1140"/>
      <c r="G39" s="1141"/>
      <c r="H39" s="1141"/>
      <c r="I39" s="1141"/>
      <c r="J39" s="1141"/>
      <c r="K39" s="1141"/>
      <c r="L39" s="1141"/>
      <c r="M39" s="1141"/>
      <c r="N39" s="1141"/>
      <c r="O39" s="1141"/>
      <c r="P39" s="1141"/>
      <c r="Q39" s="1141"/>
      <c r="R39" s="1141"/>
      <c r="S39" s="1141"/>
      <c r="T39" s="1141"/>
      <c r="U39" s="1141"/>
      <c r="V39" s="1142"/>
      <c r="Y39" s="574">
        <v>2010</v>
      </c>
      <c r="Z39" s="629">
        <f t="shared" ref="Z39:Z41" si="34">SUM(AA39:AD39)</f>
        <v>6257</v>
      </c>
      <c r="AA39" s="574">
        <v>1191</v>
      </c>
      <c r="AB39" s="574">
        <v>1377</v>
      </c>
      <c r="AC39" s="574">
        <v>1691</v>
      </c>
      <c r="AD39" s="574">
        <v>1998</v>
      </c>
      <c r="AF39" s="574">
        <v>2010</v>
      </c>
      <c r="AH39" s="574">
        <f>'BOD Summary'!C60</f>
        <v>2522381.1149999993</v>
      </c>
      <c r="AI39" s="574">
        <f>'BOD Summary'!D60</f>
        <v>2522381.1149999993</v>
      </c>
      <c r="AJ39" s="574">
        <f>'BOD Summary'!E60</f>
        <v>2522381.1149999993</v>
      </c>
      <c r="AK39" s="574">
        <f>'BOD Summary'!F60</f>
        <v>2522381.1149999993</v>
      </c>
    </row>
    <row r="40" spans="1:37" s="438" customFormat="1" ht="3.75" customHeight="1" x14ac:dyDescent="0.35">
      <c r="B40" s="30"/>
      <c r="C40" s="357"/>
      <c r="D40" s="357"/>
      <c r="E40" s="357"/>
      <c r="F40" s="357"/>
      <c r="G40" s="62"/>
      <c r="H40" s="62"/>
      <c r="I40" s="62"/>
      <c r="J40" s="62"/>
      <c r="K40" s="62"/>
      <c r="L40" s="62"/>
      <c r="M40" s="62"/>
      <c r="N40" s="62"/>
      <c r="O40" s="62"/>
      <c r="P40" s="62"/>
      <c r="Q40" s="62"/>
      <c r="R40" s="62"/>
      <c r="S40" s="62"/>
      <c r="T40" s="62"/>
      <c r="U40" s="62"/>
      <c r="Y40" s="574">
        <v>2011</v>
      </c>
      <c r="Z40" s="629">
        <f t="shared" si="34"/>
        <v>9746</v>
      </c>
      <c r="AA40" s="574">
        <v>2247</v>
      </c>
      <c r="AB40" s="574">
        <v>2455</v>
      </c>
      <c r="AC40" s="574">
        <v>2499</v>
      </c>
      <c r="AD40" s="574">
        <v>2545</v>
      </c>
      <c r="AF40" s="574">
        <v>2011</v>
      </c>
      <c r="AH40" s="574">
        <f>'BOD Summary'!C61</f>
        <v>2795131.4400000004</v>
      </c>
      <c r="AI40" s="574">
        <f>'BOD Summary'!D61</f>
        <v>2921651.3000000007</v>
      </c>
      <c r="AJ40" s="574">
        <f>'BOD Summary'!E61</f>
        <v>2865188.9300000006</v>
      </c>
      <c r="AK40" s="574">
        <f>'BOD Summary'!F61</f>
        <v>3258082.25</v>
      </c>
    </row>
    <row r="41" spans="1:37" s="438" customFormat="1" ht="15.75" customHeight="1" x14ac:dyDescent="0.35">
      <c r="B41" s="30" t="s">
        <v>790</v>
      </c>
      <c r="C41" s="357"/>
      <c r="D41" s="357"/>
      <c r="E41" s="357"/>
      <c r="F41" s="357"/>
      <c r="G41" s="62"/>
      <c r="H41" s="62"/>
      <c r="I41" s="62"/>
      <c r="J41" s="62"/>
      <c r="K41" s="62"/>
      <c r="L41" s="62"/>
      <c r="M41" s="62"/>
      <c r="N41" s="62"/>
      <c r="O41" s="62"/>
      <c r="P41" s="62"/>
      <c r="Q41" s="62"/>
      <c r="R41" s="62"/>
      <c r="S41" s="62"/>
      <c r="T41" s="62"/>
      <c r="U41" s="62"/>
      <c r="Y41" s="574">
        <v>2012</v>
      </c>
      <c r="Z41" s="629">
        <f t="shared" si="34"/>
        <v>11166</v>
      </c>
      <c r="AA41" s="629">
        <v>2635</v>
      </c>
      <c r="AB41" s="438">
        <v>2700</v>
      </c>
      <c r="AC41" s="438">
        <v>2859</v>
      </c>
      <c r="AD41" s="438">
        <v>2972</v>
      </c>
      <c r="AF41" s="574">
        <v>2012</v>
      </c>
      <c r="AH41" s="574">
        <f>'BOD Summary'!C62</f>
        <v>3306031.2199999997</v>
      </c>
      <c r="AI41" s="574">
        <f>'BOD Summary'!D62</f>
        <v>4561317.6500000004</v>
      </c>
      <c r="AJ41" s="574">
        <f>'BOD Summary'!E62</f>
        <v>4035022.7700000005</v>
      </c>
      <c r="AK41" s="574">
        <f>'BOD Summary'!F62</f>
        <v>4304869.9800000004</v>
      </c>
    </row>
    <row r="42" spans="1:37" s="438" customFormat="1" ht="15.75" customHeight="1" x14ac:dyDescent="0.35">
      <c r="B42" s="627" t="s">
        <v>791</v>
      </c>
      <c r="C42" s="357"/>
      <c r="D42" s="357"/>
      <c r="E42" s="357"/>
      <c r="F42" s="357"/>
      <c r="G42" s="62"/>
      <c r="H42" s="62"/>
      <c r="I42" s="544"/>
      <c r="J42" s="544"/>
      <c r="K42" s="62"/>
      <c r="L42" s="62"/>
      <c r="M42" s="62"/>
      <c r="N42" s="62"/>
      <c r="O42" s="62"/>
      <c r="P42" s="62"/>
      <c r="Q42" s="62"/>
      <c r="R42" s="62"/>
      <c r="S42" s="62"/>
      <c r="T42" s="62"/>
      <c r="U42" s="62"/>
      <c r="Y42" s="574">
        <v>2013</v>
      </c>
      <c r="Z42" s="629">
        <f>SUM(AA42:AD42)</f>
        <v>13443</v>
      </c>
      <c r="AA42" s="574">
        <v>3039</v>
      </c>
      <c r="AB42" s="574">
        <v>3230</v>
      </c>
      <c r="AC42" s="574">
        <v>3510</v>
      </c>
      <c r="AD42" s="574">
        <v>3664</v>
      </c>
      <c r="AF42" s="574">
        <v>2013</v>
      </c>
      <c r="AH42" s="574">
        <f>'BOD Summary'!C63</f>
        <v>4328898</v>
      </c>
      <c r="AI42" s="574">
        <f>'BOD Summary'!D63</f>
        <v>4175823.87</v>
      </c>
      <c r="AJ42" s="574">
        <f>'BOD Summary'!E63</f>
        <v>4239557</v>
      </c>
      <c r="AK42" s="574">
        <f>'BOD Summary'!F63</f>
        <v>4009253.59</v>
      </c>
    </row>
    <row r="43" spans="1:37" s="438" customFormat="1" ht="17.5" x14ac:dyDescent="0.35">
      <c r="B43" s="645" t="s">
        <v>809</v>
      </c>
      <c r="C43" s="574"/>
      <c r="D43" s="357"/>
      <c r="E43" s="357"/>
      <c r="F43" s="357"/>
      <c r="G43" s="62"/>
      <c r="H43" s="62"/>
      <c r="I43" s="62"/>
      <c r="J43" s="62"/>
      <c r="K43" s="62"/>
      <c r="L43" s="62"/>
      <c r="M43" s="62"/>
      <c r="N43" s="62"/>
      <c r="O43" s="62"/>
      <c r="P43" s="62"/>
      <c r="Q43" s="62"/>
      <c r="R43" s="62"/>
      <c r="S43" s="62"/>
      <c r="T43" s="62"/>
      <c r="U43" s="62"/>
    </row>
    <row r="44" spans="1:37" s="438" customFormat="1" ht="17.5" x14ac:dyDescent="0.35">
      <c r="B44" s="645" t="s">
        <v>810</v>
      </c>
      <c r="C44" s="357"/>
      <c r="D44" s="357"/>
      <c r="E44" s="357"/>
      <c r="F44" s="357"/>
      <c r="G44" s="62"/>
      <c r="H44" s="62"/>
      <c r="I44" s="62"/>
      <c r="J44" s="62"/>
      <c r="K44" s="62"/>
      <c r="L44" s="62"/>
      <c r="M44" s="62"/>
      <c r="N44" s="62"/>
      <c r="O44" s="62"/>
      <c r="P44" s="62"/>
      <c r="Q44" s="62"/>
      <c r="R44" s="62"/>
      <c r="S44" s="62"/>
      <c r="T44" s="62"/>
      <c r="U44" s="62"/>
      <c r="AF44" s="438" t="s">
        <v>545</v>
      </c>
      <c r="AG44" s="438" t="s">
        <v>807</v>
      </c>
      <c r="AH44" s="574">
        <v>1</v>
      </c>
      <c r="AI44" s="574">
        <v>2</v>
      </c>
      <c r="AJ44" s="574">
        <v>3</v>
      </c>
      <c r="AK44" s="574">
        <v>4</v>
      </c>
    </row>
    <row r="45" spans="1:37" s="438" customFormat="1" x14ac:dyDescent="0.35">
      <c r="B45" s="30"/>
      <c r="C45" s="357"/>
      <c r="D45" s="357"/>
      <c r="E45" s="357"/>
      <c r="F45" s="357"/>
      <c r="G45" s="62"/>
      <c r="H45" s="62"/>
      <c r="I45" s="62"/>
      <c r="J45" s="62"/>
      <c r="K45" s="62"/>
      <c r="L45" s="62"/>
      <c r="M45" s="62"/>
      <c r="N45" s="62"/>
      <c r="O45" s="62"/>
      <c r="P45" s="62"/>
      <c r="Q45" s="62"/>
      <c r="R45" s="62"/>
      <c r="S45" s="62"/>
      <c r="T45" s="62"/>
      <c r="U45" s="62"/>
      <c r="AF45" s="574">
        <v>2009</v>
      </c>
      <c r="AG45" s="438" t="e">
        <f>SUM(AH45:AK45)</f>
        <v>#REF!</v>
      </c>
      <c r="AH45" s="438" t="e">
        <f>#REF!/AA9</f>
        <v>#REF!</v>
      </c>
      <c r="AI45" s="574" t="e">
        <f>#REF!/AB9</f>
        <v>#REF!</v>
      </c>
      <c r="AJ45" s="574" t="e">
        <f>#REF!/AC9</f>
        <v>#REF!</v>
      </c>
      <c r="AK45" s="574" t="e">
        <f>#REF!/AD9</f>
        <v>#REF!</v>
      </c>
    </row>
    <row r="46" spans="1:37" x14ac:dyDescent="0.35">
      <c r="AF46" s="574">
        <v>2010</v>
      </c>
      <c r="AG46" s="574">
        <f t="shared" ref="AG46:AG49" si="35">SUM(AH46:AK46)</f>
        <v>1763.2736200254885</v>
      </c>
      <c r="AH46" s="574">
        <f t="shared" ref="AH46:AK48" si="36">AH39/AA10</f>
        <v>494.48757400509692</v>
      </c>
      <c r="AI46" s="574">
        <f t="shared" si="36"/>
        <v>456.62221488052126</v>
      </c>
      <c r="AJ46" s="574">
        <f t="shared" si="36"/>
        <v>421.94398042823673</v>
      </c>
      <c r="AK46" s="574">
        <f t="shared" si="36"/>
        <v>390.21985071163357</v>
      </c>
    </row>
    <row r="47" spans="1:37" x14ac:dyDescent="0.35">
      <c r="A47" s="359"/>
      <c r="B47" s="30" t="s">
        <v>386</v>
      </c>
      <c r="AF47" s="574">
        <v>2011</v>
      </c>
      <c r="AG47" s="574">
        <f t="shared" si="35"/>
        <v>1452.2522045775095</v>
      </c>
      <c r="AH47" s="574">
        <f t="shared" si="36"/>
        <v>373.13195034040854</v>
      </c>
      <c r="AI47" s="574">
        <f t="shared" si="36"/>
        <v>351.54028396101563</v>
      </c>
      <c r="AJ47" s="574">
        <f t="shared" si="36"/>
        <v>341.45976999165782</v>
      </c>
      <c r="AK47" s="574">
        <f t="shared" si="36"/>
        <v>386.1202002844276</v>
      </c>
    </row>
    <row r="48" spans="1:37" x14ac:dyDescent="0.35">
      <c r="A48" s="359"/>
      <c r="B48" s="305" t="s">
        <v>387</v>
      </c>
      <c r="AF48" s="574">
        <v>2012</v>
      </c>
      <c r="AG48" s="574">
        <f t="shared" si="35"/>
        <v>1643.2101914261757</v>
      </c>
      <c r="AH48" s="574">
        <f t="shared" si="36"/>
        <v>362.46367942111607</v>
      </c>
      <c r="AI48" s="574">
        <f t="shared" si="36"/>
        <v>468.11552237274225</v>
      </c>
      <c r="AJ48" s="574">
        <f t="shared" si="36"/>
        <v>407.61923123547837</v>
      </c>
      <c r="AK48" s="574">
        <f t="shared" si="36"/>
        <v>405.0117583968389</v>
      </c>
    </row>
    <row r="49" spans="1:52" x14ac:dyDescent="0.35">
      <c r="A49" s="359"/>
      <c r="B49" s="305" t="s">
        <v>388</v>
      </c>
      <c r="AF49" s="574">
        <v>2013</v>
      </c>
      <c r="AG49" s="574">
        <f t="shared" si="35"/>
        <v>1315.4713407001</v>
      </c>
      <c r="AH49" s="574">
        <f>AH42/AA15</f>
        <v>384.1421599077114</v>
      </c>
      <c r="AI49" s="574">
        <f>AI42/AB15</f>
        <v>333.74551390664965</v>
      </c>
      <c r="AJ49" s="574">
        <f>AJ42/AC15</f>
        <v>309.72800993571013</v>
      </c>
      <c r="AK49" s="574">
        <f>AK42/AD15</f>
        <v>287.85565695002873</v>
      </c>
    </row>
    <row r="50" spans="1:52" x14ac:dyDescent="0.35">
      <c r="A50" s="359"/>
      <c r="B50" s="305" t="s">
        <v>389</v>
      </c>
      <c r="Y50" s="288"/>
      <c r="Z50" s="288"/>
      <c r="AA50" s="288"/>
      <c r="AB50" s="288"/>
      <c r="AC50" s="288"/>
      <c r="AD50" s="288"/>
      <c r="AE50" s="288"/>
      <c r="AF50" s="288"/>
      <c r="AG50" s="288"/>
      <c r="AH50" s="288"/>
      <c r="AI50" s="288"/>
    </row>
    <row r="51" spans="1:52" x14ac:dyDescent="0.35">
      <c r="A51" s="152"/>
      <c r="B51" s="305" t="s">
        <v>390</v>
      </c>
    </row>
    <row r="52" spans="1:52" x14ac:dyDescent="0.35">
      <c r="AD52" s="30"/>
    </row>
    <row r="53" spans="1:52" x14ac:dyDescent="0.35">
      <c r="A53" s="152"/>
      <c r="AT53" s="305">
        <v>21</v>
      </c>
      <c r="AU53" s="305">
        <v>22</v>
      </c>
      <c r="AV53" s="305">
        <v>23</v>
      </c>
      <c r="AW53" s="305">
        <v>24</v>
      </c>
    </row>
    <row r="54" spans="1:52" x14ac:dyDescent="0.35">
      <c r="A54" s="152"/>
    </row>
    <row r="55" spans="1:52" x14ac:dyDescent="0.35">
      <c r="B55" s="152"/>
    </row>
    <row r="56" spans="1:52" x14ac:dyDescent="0.35">
      <c r="B56" s="305" t="s">
        <v>436</v>
      </c>
      <c r="Z56" s="288"/>
      <c r="AA56" s="288"/>
      <c r="AB56" s="288"/>
      <c r="AC56" s="288"/>
      <c r="AD56" s="288"/>
      <c r="AE56" s="288"/>
      <c r="AF56" s="288"/>
      <c r="AG56" s="288"/>
      <c r="AH56" s="288"/>
      <c r="AI56" s="288"/>
      <c r="AJ56" s="288"/>
      <c r="AK56" s="288"/>
      <c r="AL56" s="288"/>
      <c r="AM56" s="288"/>
      <c r="AN56" s="288"/>
      <c r="AO56" s="288"/>
      <c r="AP56" s="288"/>
      <c r="AQ56" s="288"/>
    </row>
    <row r="57" spans="1:52" x14ac:dyDescent="0.35">
      <c r="AB57" s="288"/>
      <c r="AC57" s="288"/>
      <c r="AD57" s="288"/>
      <c r="AE57" s="288"/>
      <c r="AF57" s="288"/>
      <c r="AG57" s="288"/>
      <c r="AH57" s="288"/>
      <c r="AI57" s="288"/>
      <c r="AJ57" s="288"/>
      <c r="AK57" s="288"/>
      <c r="AL57" s="288"/>
      <c r="AM57" s="288"/>
      <c r="AN57" s="288"/>
      <c r="AO57" s="288"/>
      <c r="AP57" s="288"/>
      <c r="AQ57" s="288"/>
    </row>
    <row r="58" spans="1:52" x14ac:dyDescent="0.35">
      <c r="Z58" s="288"/>
      <c r="AA58" s="288"/>
      <c r="AB58" s="288"/>
      <c r="AC58" s="288"/>
      <c r="AD58" s="288"/>
      <c r="AE58" s="288"/>
      <c r="AF58" s="288"/>
      <c r="AG58" s="288"/>
      <c r="AH58" s="288"/>
      <c r="AI58" s="288"/>
      <c r="AJ58" s="288"/>
      <c r="AK58" s="288"/>
      <c r="AL58" s="288"/>
      <c r="AM58" s="288"/>
      <c r="AN58" s="288"/>
      <c r="AO58" s="288"/>
      <c r="AP58" s="288"/>
      <c r="AQ58" s="288"/>
    </row>
    <row r="59" spans="1:52" x14ac:dyDescent="0.35">
      <c r="A59" s="224"/>
      <c r="B59" s="224"/>
      <c r="C59" s="224"/>
      <c r="AN59" s="288"/>
      <c r="AO59" s="360"/>
      <c r="AP59" s="360"/>
      <c r="AQ59" s="360"/>
      <c r="AR59" s="361"/>
      <c r="AS59" s="361"/>
      <c r="AT59" s="361"/>
      <c r="AU59" s="361"/>
      <c r="AV59" s="361"/>
      <c r="AW59" s="361"/>
      <c r="AX59" s="361"/>
      <c r="AY59" s="361"/>
      <c r="AZ59" s="361"/>
    </row>
    <row r="60" spans="1:52" x14ac:dyDescent="0.35">
      <c r="A60" s="224"/>
      <c r="B60" s="638">
        <v>400000000</v>
      </c>
      <c r="Z60" s="288"/>
      <c r="AA60" s="288"/>
      <c r="AB60" s="288"/>
      <c r="AC60" s="288"/>
      <c r="AD60" s="288"/>
      <c r="AE60" s="288"/>
      <c r="AF60" s="288"/>
      <c r="AG60" s="288"/>
      <c r="AH60" s="288"/>
      <c r="AI60" s="288"/>
      <c r="AJ60" s="288"/>
      <c r="AK60" s="288"/>
      <c r="AL60" s="288"/>
      <c r="AM60" s="288"/>
      <c r="AN60" s="288"/>
      <c r="AO60" s="360"/>
      <c r="AP60" s="360"/>
      <c r="AQ60" s="361"/>
      <c r="AR60" s="361"/>
      <c r="AS60" s="361"/>
      <c r="AT60" s="361">
        <v>538871</v>
      </c>
      <c r="AU60" s="361">
        <v>463119</v>
      </c>
      <c r="AV60" s="361">
        <v>373483</v>
      </c>
      <c r="AW60" s="361">
        <v>286240</v>
      </c>
      <c r="AX60" s="361">
        <v>175712</v>
      </c>
      <c r="AY60" s="361">
        <v>96680</v>
      </c>
      <c r="AZ60" s="361"/>
    </row>
    <row r="61" spans="1:52" x14ac:dyDescent="0.35">
      <c r="A61" s="224"/>
      <c r="B61" s="638">
        <f>B60/12</f>
        <v>33333333.333333332</v>
      </c>
      <c r="Z61" s="288"/>
      <c r="AA61" s="288"/>
      <c r="AB61" s="288"/>
      <c r="AC61" s="288"/>
      <c r="AD61" s="288"/>
      <c r="AE61" s="288"/>
      <c r="AF61" s="288"/>
      <c r="AG61" s="288"/>
      <c r="AH61" s="288"/>
      <c r="AI61" s="288"/>
      <c r="AJ61" s="288"/>
      <c r="AK61" s="288"/>
      <c r="AL61" s="288"/>
      <c r="AM61" s="288"/>
      <c r="AN61" s="288"/>
      <c r="AO61" s="360"/>
      <c r="AP61" s="360"/>
      <c r="AQ61" s="360"/>
      <c r="AR61" s="361"/>
      <c r="AS61" s="361"/>
      <c r="AT61" s="361"/>
      <c r="AU61" s="361"/>
      <c r="AV61" s="361"/>
      <c r="AW61" s="361"/>
      <c r="AX61" s="361"/>
      <c r="AY61" s="361"/>
      <c r="AZ61" s="361"/>
    </row>
    <row r="62" spans="1:52" x14ac:dyDescent="0.35">
      <c r="A62" s="224"/>
      <c r="B62" s="639">
        <f>B61/(T24/3)</f>
        <v>75968.703726150896</v>
      </c>
      <c r="C62" s="157"/>
      <c r="Z62" s="288"/>
      <c r="AA62" s="288"/>
      <c r="AB62" s="288"/>
      <c r="AC62" s="288"/>
      <c r="AD62" s="288"/>
      <c r="AE62" s="288"/>
      <c r="AF62" s="288"/>
      <c r="AG62" s="288"/>
      <c r="AH62" s="288"/>
      <c r="AI62" s="288"/>
      <c r="AJ62" s="288"/>
      <c r="AK62" s="288"/>
      <c r="AL62" s="288"/>
      <c r="AM62" s="288"/>
      <c r="AN62" s="288"/>
      <c r="AO62" s="362"/>
      <c r="AP62" s="362"/>
      <c r="AQ62" s="362"/>
      <c r="AR62" s="362"/>
      <c r="AS62" s="362"/>
      <c r="AT62" s="362">
        <f t="shared" ref="AT62:AY62" si="37">SUM(AT60:AT61)</f>
        <v>538871</v>
      </c>
      <c r="AU62" s="362">
        <f t="shared" si="37"/>
        <v>463119</v>
      </c>
      <c r="AV62" s="362">
        <f t="shared" si="37"/>
        <v>373483</v>
      </c>
      <c r="AW62" s="362">
        <f t="shared" si="37"/>
        <v>286240</v>
      </c>
      <c r="AX62" s="362">
        <f t="shared" si="37"/>
        <v>175712</v>
      </c>
      <c r="AY62" s="362">
        <f t="shared" si="37"/>
        <v>96680</v>
      </c>
      <c r="AZ62" s="361"/>
    </row>
    <row r="63" spans="1:52" x14ac:dyDescent="0.35">
      <c r="A63" s="224"/>
      <c r="B63" s="506"/>
      <c r="C63" s="224"/>
      <c r="AO63" s="361"/>
      <c r="AP63" s="361"/>
      <c r="AQ63" s="361"/>
      <c r="AR63" s="361"/>
      <c r="AS63" s="361"/>
      <c r="AT63" s="361"/>
      <c r="AU63" s="361"/>
      <c r="AV63" s="361"/>
      <c r="AW63" s="361"/>
      <c r="AX63" s="361"/>
      <c r="AY63" s="361"/>
      <c r="AZ63" s="361"/>
    </row>
    <row r="64" spans="1:52" x14ac:dyDescent="0.35">
      <c r="A64" s="224"/>
      <c r="B64" s="508"/>
      <c r="C64" s="224"/>
      <c r="Z64" s="288"/>
      <c r="AA64" s="288"/>
      <c r="AB64" s="288"/>
      <c r="AC64" s="288"/>
      <c r="AD64" s="288"/>
      <c r="AE64" s="288"/>
      <c r="AF64" s="288"/>
      <c r="AG64" s="288"/>
      <c r="AH64" s="288"/>
      <c r="AI64" s="288"/>
      <c r="AJ64" s="288"/>
      <c r="AK64" s="288"/>
      <c r="AL64" s="233"/>
      <c r="AO64" s="361"/>
      <c r="AP64" s="363"/>
      <c r="AQ64" s="361"/>
      <c r="AR64" s="361"/>
      <c r="AS64" s="361"/>
      <c r="AT64" s="361"/>
      <c r="AU64" s="361"/>
      <c r="AV64" s="361"/>
      <c r="AW64" s="361"/>
      <c r="AX64" s="361"/>
      <c r="AY64" s="361"/>
      <c r="AZ64" s="361"/>
    </row>
    <row r="65" spans="1:52" x14ac:dyDescent="0.35">
      <c r="A65" s="224"/>
      <c r="B65" s="507"/>
      <c r="C65" s="224"/>
      <c r="Z65" s="288"/>
      <c r="AA65" s="288"/>
      <c r="AB65" s="288"/>
      <c r="AC65" s="288"/>
      <c r="AD65" s="288"/>
      <c r="AE65" s="288"/>
      <c r="AF65" s="288"/>
      <c r="AG65" s="288"/>
      <c r="AH65" s="288"/>
      <c r="AI65" s="288"/>
      <c r="AJ65" s="288"/>
      <c r="AK65" s="288"/>
      <c r="AL65" s="233"/>
      <c r="AO65" s="361"/>
      <c r="AP65" s="361"/>
      <c r="AQ65" s="361"/>
      <c r="AR65" s="361"/>
      <c r="AS65" s="361"/>
      <c r="AT65" s="361"/>
      <c r="AU65" s="361"/>
      <c r="AV65" s="361"/>
      <c r="AW65" s="361"/>
      <c r="AX65" s="361"/>
      <c r="AY65" s="361"/>
      <c r="AZ65" s="361"/>
    </row>
    <row r="66" spans="1:52" x14ac:dyDescent="0.35">
      <c r="A66" s="224"/>
      <c r="B66" s="507"/>
      <c r="C66" s="224"/>
      <c r="Z66" s="288"/>
      <c r="AA66" s="288"/>
      <c r="AB66" s="288"/>
      <c r="AC66" s="288"/>
      <c r="AD66" s="288"/>
      <c r="AE66" s="288"/>
      <c r="AF66" s="288"/>
      <c r="AG66" s="288"/>
      <c r="AH66" s="288"/>
      <c r="AI66" s="288"/>
      <c r="AJ66" s="288"/>
      <c r="AK66" s="288"/>
      <c r="AL66" s="233"/>
      <c r="AM66" s="233"/>
    </row>
    <row r="67" spans="1:52" x14ac:dyDescent="0.35">
      <c r="A67" s="224"/>
      <c r="B67" s="508">
        <v>20754</v>
      </c>
      <c r="C67" s="224"/>
    </row>
    <row r="68" spans="1:52" x14ac:dyDescent="0.35">
      <c r="A68" s="224"/>
      <c r="B68" s="506">
        <v>22881</v>
      </c>
      <c r="C68" s="224"/>
      <c r="Z68" s="288"/>
      <c r="AA68" s="288"/>
      <c r="AB68" s="288"/>
      <c r="AC68" s="288"/>
      <c r="AD68" s="288"/>
      <c r="AE68" s="288"/>
      <c r="AF68" s="288"/>
      <c r="AG68" s="288"/>
      <c r="AH68" s="288"/>
      <c r="AI68" s="288"/>
      <c r="AJ68" s="288"/>
      <c r="AK68" s="288"/>
      <c r="AL68" s="233"/>
    </row>
    <row r="69" spans="1:52" x14ac:dyDescent="0.35">
      <c r="A69" s="224"/>
      <c r="B69" s="506">
        <f>B68-B67</f>
        <v>2127</v>
      </c>
      <c r="C69" s="224"/>
      <c r="AH69" s="288"/>
      <c r="AI69" s="288"/>
      <c r="AJ69" s="288"/>
      <c r="AK69" s="288"/>
      <c r="AL69" s="233"/>
    </row>
    <row r="70" spans="1:52" x14ac:dyDescent="0.35">
      <c r="A70" s="224"/>
      <c r="B70" s="509">
        <f>B69/3</f>
        <v>709</v>
      </c>
      <c r="C70" s="224"/>
      <c r="AL70" s="233"/>
      <c r="AM70" s="233"/>
    </row>
    <row r="71" spans="1:52" x14ac:dyDescent="0.35">
      <c r="A71" s="224"/>
      <c r="B71" s="510">
        <f>B68+B70</f>
        <v>23590</v>
      </c>
      <c r="C71" s="224"/>
      <c r="AM71" s="233"/>
    </row>
    <row r="72" spans="1:52" x14ac:dyDescent="0.35">
      <c r="A72" s="224"/>
      <c r="B72" s="509"/>
      <c r="C72" s="224"/>
      <c r="Z72" s="288"/>
      <c r="AA72" s="288"/>
      <c r="AB72" s="288"/>
      <c r="AC72" s="288"/>
      <c r="AD72" s="288"/>
      <c r="AE72" s="288"/>
      <c r="AF72" s="288"/>
      <c r="AG72" s="288"/>
      <c r="AH72" s="288"/>
      <c r="AI72" s="288"/>
      <c r="AJ72" s="288"/>
      <c r="AK72" s="288"/>
      <c r="AL72" s="233"/>
      <c r="AM72" s="233"/>
    </row>
    <row r="73" spans="1:52" x14ac:dyDescent="0.35">
      <c r="A73" s="224"/>
      <c r="B73" s="511"/>
      <c r="C73" s="224"/>
      <c r="AH73" s="288"/>
      <c r="AI73" s="288"/>
      <c r="AJ73" s="288"/>
      <c r="AK73" s="288"/>
      <c r="AL73" s="233"/>
      <c r="AM73" s="233"/>
    </row>
    <row r="74" spans="1:52" x14ac:dyDescent="0.35">
      <c r="A74" s="224"/>
      <c r="B74" s="510"/>
      <c r="C74" s="224"/>
      <c r="AL74" s="233"/>
      <c r="AM74" s="233"/>
    </row>
    <row r="75" spans="1:52" x14ac:dyDescent="0.35">
      <c r="A75" s="224"/>
      <c r="B75" s="509"/>
      <c r="C75" s="224"/>
      <c r="AM75" s="233"/>
    </row>
    <row r="76" spans="1:52" x14ac:dyDescent="0.35">
      <c r="A76" s="224"/>
      <c r="B76" s="510"/>
      <c r="C76" s="224"/>
      <c r="Z76" s="288"/>
      <c r="AA76" s="288"/>
      <c r="AB76" s="288"/>
      <c r="AC76" s="288"/>
      <c r="AD76" s="288"/>
      <c r="AE76" s="288"/>
      <c r="AF76" s="288"/>
      <c r="AG76" s="288"/>
      <c r="AH76" s="288"/>
      <c r="AI76" s="288"/>
      <c r="AJ76" s="288"/>
      <c r="AK76" s="288"/>
      <c r="AL76" s="233"/>
      <c r="AM76" s="233"/>
    </row>
    <row r="77" spans="1:52" x14ac:dyDescent="0.35">
      <c r="A77" s="224"/>
      <c r="B77" s="511"/>
      <c r="C77" s="224"/>
      <c r="AH77" s="288"/>
      <c r="AI77" s="288"/>
      <c r="AJ77" s="288"/>
      <c r="AK77" s="288"/>
      <c r="AL77" s="233"/>
      <c r="AM77" s="233"/>
    </row>
    <row r="78" spans="1:52" x14ac:dyDescent="0.35">
      <c r="A78" s="224"/>
      <c r="B78" s="224"/>
      <c r="C78" s="224"/>
      <c r="AL78" s="233"/>
      <c r="AM78" s="233"/>
    </row>
    <row r="79" spans="1:52" x14ac:dyDescent="0.35">
      <c r="AM79" s="233"/>
    </row>
    <row r="80" spans="1:52" x14ac:dyDescent="0.35">
      <c r="Z80" s="288"/>
      <c r="AA80" s="288"/>
      <c r="AB80" s="288"/>
      <c r="AC80" s="288"/>
      <c r="AD80" s="288"/>
      <c r="AE80" s="288"/>
      <c r="AF80" s="288"/>
      <c r="AG80" s="288"/>
      <c r="AH80" s="288"/>
      <c r="AI80" s="288"/>
      <c r="AJ80" s="288"/>
      <c r="AK80" s="288"/>
      <c r="AL80" s="233"/>
      <c r="AM80" s="233"/>
    </row>
    <row r="81" spans="26:39" x14ac:dyDescent="0.35">
      <c r="AH81" s="288"/>
      <c r="AI81" s="288"/>
      <c r="AJ81" s="288"/>
      <c r="AK81" s="288"/>
      <c r="AL81" s="233"/>
      <c r="AM81" s="233"/>
    </row>
    <row r="82" spans="26:39" x14ac:dyDescent="0.35">
      <c r="AL82" s="233"/>
      <c r="AM82" s="233"/>
    </row>
    <row r="83" spans="26:39" x14ac:dyDescent="0.35">
      <c r="AM83" s="233"/>
    </row>
    <row r="84" spans="26:39" x14ac:dyDescent="0.35">
      <c r="Z84" s="288"/>
      <c r="AA84" s="288"/>
      <c r="AB84" s="288"/>
      <c r="AC84" s="288"/>
      <c r="AD84" s="288"/>
      <c r="AE84" s="288"/>
      <c r="AF84" s="288"/>
      <c r="AG84" s="288"/>
      <c r="AH84" s="288"/>
      <c r="AI84" s="288"/>
      <c r="AJ84" s="288"/>
      <c r="AK84" s="288"/>
      <c r="AL84" s="233"/>
      <c r="AM84" s="233"/>
    </row>
    <row r="85" spans="26:39" x14ac:dyDescent="0.35">
      <c r="AH85" s="288"/>
      <c r="AI85" s="288"/>
      <c r="AJ85" s="288"/>
      <c r="AK85" s="288"/>
      <c r="AL85" s="233"/>
      <c r="AM85" s="233"/>
    </row>
    <row r="86" spans="26:39" x14ac:dyDescent="0.35">
      <c r="AL86" s="233"/>
      <c r="AM86" s="233"/>
    </row>
    <row r="87" spans="26:39" x14ac:dyDescent="0.35">
      <c r="AM87" s="233"/>
    </row>
    <row r="88" spans="26:39" x14ac:dyDescent="0.35">
      <c r="Z88" s="288"/>
      <c r="AA88" s="288"/>
      <c r="AB88" s="288"/>
      <c r="AC88" s="288"/>
      <c r="AD88" s="288"/>
      <c r="AE88" s="288"/>
      <c r="AF88" s="288"/>
      <c r="AG88" s="288"/>
      <c r="AH88" s="288"/>
      <c r="AI88" s="288"/>
      <c r="AJ88" s="288"/>
      <c r="AK88" s="288"/>
      <c r="AL88" s="233"/>
      <c r="AM88" s="233"/>
    </row>
    <row r="89" spans="26:39" x14ac:dyDescent="0.35">
      <c r="AH89" s="288"/>
      <c r="AI89" s="288"/>
      <c r="AJ89" s="288"/>
      <c r="AK89" s="288"/>
      <c r="AL89" s="233"/>
      <c r="AM89" s="233"/>
    </row>
    <row r="90" spans="26:39" x14ac:dyDescent="0.35">
      <c r="AL90" s="233"/>
      <c r="AM90" s="233"/>
    </row>
    <row r="91" spans="26:39" x14ac:dyDescent="0.35">
      <c r="AM91" s="233"/>
    </row>
    <row r="92" spans="26:39" x14ac:dyDescent="0.35">
      <c r="Z92" s="288"/>
      <c r="AA92" s="288"/>
      <c r="AB92" s="288"/>
      <c r="AC92" s="288"/>
      <c r="AD92" s="288"/>
      <c r="AE92" s="288"/>
      <c r="AF92" s="288"/>
      <c r="AG92" s="288"/>
      <c r="AH92" s="288"/>
      <c r="AI92" s="288"/>
      <c r="AJ92" s="288"/>
      <c r="AK92" s="288"/>
      <c r="AL92" s="233"/>
      <c r="AM92" s="233"/>
    </row>
    <row r="93" spans="26:39" x14ac:dyDescent="0.35">
      <c r="AH93" s="288"/>
      <c r="AI93" s="288"/>
      <c r="AJ93" s="288"/>
      <c r="AK93" s="288"/>
      <c r="AL93" s="233"/>
      <c r="AM93" s="233"/>
    </row>
    <row r="94" spans="26:39" x14ac:dyDescent="0.35">
      <c r="AL94" s="233"/>
      <c r="AM94" s="233"/>
    </row>
    <row r="95" spans="26:39" x14ac:dyDescent="0.35">
      <c r="AM95" s="233"/>
    </row>
    <row r="96" spans="26:39" x14ac:dyDescent="0.35">
      <c r="Z96" s="288"/>
      <c r="AA96" s="288"/>
      <c r="AB96" s="288"/>
      <c r="AC96" s="288"/>
      <c r="AD96" s="288"/>
      <c r="AE96" s="288"/>
      <c r="AF96" s="288"/>
      <c r="AG96" s="288"/>
      <c r="AH96" s="288"/>
      <c r="AI96" s="288"/>
      <c r="AJ96" s="288"/>
      <c r="AK96" s="288"/>
      <c r="AL96" s="233"/>
      <c r="AM96" s="233"/>
    </row>
    <row r="97" spans="26:39" x14ac:dyDescent="0.35">
      <c r="AH97" s="288"/>
      <c r="AI97" s="288"/>
      <c r="AJ97" s="288"/>
      <c r="AK97" s="288"/>
      <c r="AL97" s="233"/>
      <c r="AM97" s="233"/>
    </row>
    <row r="98" spans="26:39" x14ac:dyDescent="0.35">
      <c r="AL98" s="233"/>
      <c r="AM98" s="233"/>
    </row>
    <row r="99" spans="26:39" x14ac:dyDescent="0.35">
      <c r="AM99" s="233"/>
    </row>
    <row r="100" spans="26:39" x14ac:dyDescent="0.35">
      <c r="Z100" s="288"/>
      <c r="AA100" s="288"/>
      <c r="AB100" s="288"/>
      <c r="AC100" s="288"/>
      <c r="AD100" s="288"/>
      <c r="AE100" s="288"/>
      <c r="AF100" s="288"/>
      <c r="AG100" s="288"/>
      <c r="AH100" s="288"/>
      <c r="AI100" s="288"/>
      <c r="AJ100" s="288"/>
      <c r="AK100" s="288"/>
      <c r="AL100" s="233"/>
      <c r="AM100" s="233"/>
    </row>
    <row r="101" spans="26:39" x14ac:dyDescent="0.35">
      <c r="AH101" s="288"/>
      <c r="AI101" s="288"/>
      <c r="AJ101" s="288"/>
      <c r="AK101" s="288"/>
      <c r="AL101" s="233"/>
      <c r="AM101" s="233"/>
    </row>
    <row r="102" spans="26:39" x14ac:dyDescent="0.35">
      <c r="AL102" s="233"/>
      <c r="AM102" s="233"/>
    </row>
    <row r="103" spans="26:39" x14ac:dyDescent="0.35">
      <c r="AM103" s="233"/>
    </row>
    <row r="104" spans="26:39" x14ac:dyDescent="0.35">
      <c r="Z104" s="288"/>
      <c r="AA104" s="288"/>
      <c r="AB104" s="288"/>
      <c r="AC104" s="288"/>
      <c r="AD104" s="288"/>
      <c r="AE104" s="288"/>
      <c r="AF104" s="288"/>
      <c r="AG104" s="288"/>
      <c r="AH104" s="288"/>
      <c r="AI104" s="288"/>
      <c r="AJ104" s="288"/>
      <c r="AK104" s="288"/>
      <c r="AL104" s="233"/>
      <c r="AM104" s="233"/>
    </row>
    <row r="105" spans="26:39" x14ac:dyDescent="0.35">
      <c r="AH105" s="288"/>
      <c r="AI105" s="288"/>
      <c r="AJ105" s="288"/>
      <c r="AK105" s="288"/>
      <c r="AL105" s="233"/>
      <c r="AM105" s="233"/>
    </row>
    <row r="106" spans="26:39" x14ac:dyDescent="0.35">
      <c r="AL106" s="233"/>
      <c r="AM106" s="233"/>
    </row>
    <row r="107" spans="26:39" x14ac:dyDescent="0.35">
      <c r="AM107" s="233"/>
    </row>
    <row r="108" spans="26:39" x14ac:dyDescent="0.35">
      <c r="Z108" s="288"/>
      <c r="AA108" s="288"/>
      <c r="AB108" s="288"/>
      <c r="AC108" s="288"/>
      <c r="AD108" s="288"/>
      <c r="AE108" s="288"/>
      <c r="AF108" s="288"/>
      <c r="AG108" s="288"/>
      <c r="AH108" s="288"/>
      <c r="AI108" s="288"/>
      <c r="AJ108" s="288"/>
      <c r="AK108" s="288"/>
      <c r="AL108" s="233"/>
      <c r="AM108" s="233"/>
    </row>
    <row r="109" spans="26:39" x14ac:dyDescent="0.35">
      <c r="AH109" s="288"/>
      <c r="AI109" s="288"/>
      <c r="AJ109" s="288"/>
      <c r="AK109" s="288"/>
      <c r="AL109" s="233"/>
      <c r="AM109" s="233"/>
    </row>
    <row r="110" spans="26:39" x14ac:dyDescent="0.35">
      <c r="AL110" s="233"/>
      <c r="AM110" s="233"/>
    </row>
    <row r="111" spans="26:39" x14ac:dyDescent="0.35">
      <c r="AM111" s="233"/>
    </row>
    <row r="112" spans="26:39" x14ac:dyDescent="0.35">
      <c r="Z112" s="288"/>
      <c r="AA112" s="288"/>
      <c r="AB112" s="288"/>
      <c r="AC112" s="288"/>
      <c r="AD112" s="288"/>
      <c r="AE112" s="288"/>
      <c r="AF112" s="288"/>
      <c r="AG112" s="288"/>
      <c r="AH112" s="288"/>
      <c r="AI112" s="288"/>
      <c r="AJ112" s="288"/>
      <c r="AK112" s="288"/>
      <c r="AL112" s="233"/>
      <c r="AM112" s="233"/>
    </row>
    <row r="113" spans="26:39" x14ac:dyDescent="0.35">
      <c r="AH113" s="288"/>
      <c r="AI113" s="288"/>
      <c r="AJ113" s="288"/>
      <c r="AK113" s="288"/>
      <c r="AL113" s="233"/>
      <c r="AM113" s="233"/>
    </row>
    <row r="114" spans="26:39" x14ac:dyDescent="0.35">
      <c r="AL114" s="233"/>
      <c r="AM114" s="233"/>
    </row>
    <row r="115" spans="26:39" x14ac:dyDescent="0.35">
      <c r="AM115" s="233"/>
    </row>
    <row r="116" spans="26:39" x14ac:dyDescent="0.35">
      <c r="Z116" s="288"/>
      <c r="AA116" s="288"/>
      <c r="AB116" s="288"/>
      <c r="AC116" s="288"/>
      <c r="AD116" s="288"/>
      <c r="AE116" s="288"/>
      <c r="AF116" s="288"/>
      <c r="AG116" s="288"/>
      <c r="AH116" s="288"/>
      <c r="AI116" s="288"/>
      <c r="AJ116" s="288"/>
      <c r="AK116" s="288"/>
      <c r="AL116" s="233"/>
      <c r="AM116" s="233"/>
    </row>
    <row r="117" spans="26:39" x14ac:dyDescent="0.35">
      <c r="AA117" s="233"/>
      <c r="AB117" s="233"/>
      <c r="AC117" s="233"/>
      <c r="AH117" s="288"/>
      <c r="AI117" s="288"/>
      <c r="AJ117" s="288"/>
      <c r="AK117" s="288"/>
      <c r="AL117" s="233"/>
      <c r="AM117" s="233"/>
    </row>
    <row r="118" spans="26:39" x14ac:dyDescent="0.35">
      <c r="AA118" s="233"/>
      <c r="AB118" s="233"/>
      <c r="AC118" s="233"/>
      <c r="AL118" s="233"/>
      <c r="AM118" s="233"/>
    </row>
    <row r="119" spans="26:39" x14ac:dyDescent="0.35">
      <c r="AA119" s="233"/>
      <c r="AB119" s="233"/>
      <c r="AC119" s="233"/>
      <c r="AM119" s="233"/>
    </row>
    <row r="120" spans="26:39" x14ac:dyDescent="0.35">
      <c r="Z120" s="288"/>
      <c r="AA120" s="288"/>
      <c r="AB120" s="288"/>
      <c r="AC120" s="288"/>
      <c r="AD120" s="288"/>
      <c r="AE120" s="288"/>
      <c r="AF120" s="288"/>
      <c r="AG120" s="288"/>
      <c r="AH120" s="288"/>
      <c r="AI120" s="288"/>
      <c r="AJ120" s="288"/>
      <c r="AK120" s="288"/>
      <c r="AL120" s="233"/>
      <c r="AM120" s="233"/>
    </row>
    <row r="121" spans="26:39" x14ac:dyDescent="0.35">
      <c r="AA121" s="233"/>
      <c r="AB121" s="233"/>
      <c r="AC121" s="233"/>
      <c r="AH121" s="288"/>
      <c r="AI121" s="288"/>
      <c r="AJ121" s="288"/>
      <c r="AK121" s="288"/>
      <c r="AL121" s="233"/>
      <c r="AM121" s="233"/>
    </row>
    <row r="122" spans="26:39" x14ac:dyDescent="0.35">
      <c r="AA122" s="233"/>
      <c r="AB122" s="233"/>
      <c r="AC122" s="233"/>
      <c r="AL122" s="233"/>
      <c r="AM122" s="233"/>
    </row>
    <row r="123" spans="26:39" x14ac:dyDescent="0.35">
      <c r="AA123" s="233"/>
      <c r="AB123" s="233"/>
      <c r="AC123" s="233"/>
      <c r="AM123" s="233"/>
    </row>
    <row r="124" spans="26:39" x14ac:dyDescent="0.35">
      <c r="Z124" s="288"/>
      <c r="AA124" s="288"/>
      <c r="AB124" s="288"/>
      <c r="AC124" s="288"/>
      <c r="AD124" s="288"/>
      <c r="AE124" s="288"/>
      <c r="AF124" s="288"/>
      <c r="AG124" s="288"/>
      <c r="AH124" s="288"/>
      <c r="AI124" s="288"/>
      <c r="AJ124" s="288"/>
      <c r="AK124" s="288"/>
      <c r="AL124" s="233"/>
      <c r="AM124" s="233"/>
    </row>
    <row r="125" spans="26:39" x14ac:dyDescent="0.35">
      <c r="AH125" s="288"/>
      <c r="AI125" s="288"/>
      <c r="AJ125" s="288"/>
      <c r="AK125" s="288"/>
      <c r="AL125" s="233"/>
      <c r="AM125" s="233"/>
    </row>
    <row r="126" spans="26:39" x14ac:dyDescent="0.35">
      <c r="AL126" s="233"/>
      <c r="AM126" s="233"/>
    </row>
    <row r="127" spans="26:39" x14ac:dyDescent="0.35">
      <c r="AM127" s="233"/>
    </row>
    <row r="128" spans="26:39" x14ac:dyDescent="0.35">
      <c r="Z128" s="288"/>
      <c r="AA128" s="288"/>
      <c r="AB128" s="288"/>
      <c r="AC128" s="288"/>
      <c r="AD128" s="288"/>
      <c r="AE128" s="288"/>
      <c r="AF128" s="288"/>
      <c r="AG128" s="288"/>
      <c r="AH128" s="288"/>
      <c r="AI128" s="288"/>
      <c r="AJ128" s="288"/>
      <c r="AK128" s="288"/>
      <c r="AL128" s="233"/>
      <c r="AM128" s="233"/>
    </row>
    <row r="129" spans="26:39" x14ac:dyDescent="0.35">
      <c r="AH129" s="288"/>
      <c r="AI129" s="288"/>
      <c r="AJ129" s="288"/>
      <c r="AK129" s="288"/>
      <c r="AL129" s="233"/>
      <c r="AM129" s="233"/>
    </row>
    <row r="130" spans="26:39" x14ac:dyDescent="0.35">
      <c r="AL130" s="233"/>
      <c r="AM130" s="233"/>
    </row>
    <row r="131" spans="26:39" x14ac:dyDescent="0.35">
      <c r="AM131" s="233"/>
    </row>
    <row r="132" spans="26:39" x14ac:dyDescent="0.35">
      <c r="Z132" s="288"/>
      <c r="AA132" s="288"/>
      <c r="AB132" s="288"/>
      <c r="AC132" s="288"/>
      <c r="AD132" s="288"/>
      <c r="AE132" s="288"/>
      <c r="AF132" s="288"/>
      <c r="AG132" s="288"/>
      <c r="AH132" s="288"/>
      <c r="AI132" s="288"/>
      <c r="AJ132" s="288"/>
      <c r="AK132" s="288"/>
      <c r="AL132" s="233"/>
      <c r="AM132" s="233"/>
    </row>
    <row r="133" spans="26:39" x14ac:dyDescent="0.35">
      <c r="AH133" s="288"/>
      <c r="AI133" s="288"/>
      <c r="AJ133" s="288"/>
      <c r="AK133" s="288"/>
      <c r="AL133" s="233"/>
      <c r="AM133" s="233"/>
    </row>
    <row r="134" spans="26:39" x14ac:dyDescent="0.35">
      <c r="AL134" s="233"/>
      <c r="AM134" s="233"/>
    </row>
    <row r="135" spans="26:39" x14ac:dyDescent="0.35">
      <c r="AM135" s="233"/>
    </row>
    <row r="136" spans="26:39" x14ac:dyDescent="0.35">
      <c r="Z136" s="288"/>
      <c r="AA136" s="288"/>
      <c r="AB136" s="288"/>
      <c r="AC136" s="288"/>
      <c r="AD136" s="288"/>
      <c r="AE136" s="288"/>
      <c r="AF136" s="288"/>
      <c r="AG136" s="288"/>
      <c r="AH136" s="288"/>
      <c r="AI136" s="288"/>
      <c r="AJ136" s="288"/>
      <c r="AK136" s="288"/>
      <c r="AL136" s="233"/>
      <c r="AM136" s="233"/>
    </row>
    <row r="137" spans="26:39" x14ac:dyDescent="0.35">
      <c r="AH137" s="288"/>
      <c r="AI137" s="288"/>
      <c r="AJ137" s="288"/>
      <c r="AK137" s="288"/>
      <c r="AL137" s="233"/>
      <c r="AM137" s="233"/>
    </row>
    <row r="138" spans="26:39" x14ac:dyDescent="0.35">
      <c r="AL138" s="233"/>
      <c r="AM138" s="233"/>
    </row>
    <row r="139" spans="26:39" x14ac:dyDescent="0.35">
      <c r="AM139" s="233"/>
    </row>
    <row r="140" spans="26:39" x14ac:dyDescent="0.35">
      <c r="Z140" s="288"/>
      <c r="AA140" s="288"/>
      <c r="AB140" s="288"/>
      <c r="AC140" s="288"/>
      <c r="AD140" s="288"/>
      <c r="AE140" s="288"/>
      <c r="AF140" s="288"/>
      <c r="AG140" s="288"/>
      <c r="AH140" s="288"/>
      <c r="AI140" s="288"/>
      <c r="AJ140" s="288"/>
      <c r="AK140" s="288"/>
      <c r="AL140" s="233"/>
      <c r="AM140" s="233"/>
    </row>
    <row r="141" spans="26:39" x14ac:dyDescent="0.35">
      <c r="AH141" s="288"/>
      <c r="AI141" s="288"/>
      <c r="AJ141" s="288"/>
      <c r="AK141" s="288"/>
      <c r="AL141" s="233"/>
      <c r="AM141" s="233"/>
    </row>
    <row r="142" spans="26:39" x14ac:dyDescent="0.35">
      <c r="AL142" s="233"/>
      <c r="AM142" s="233"/>
    </row>
    <row r="143" spans="26:39" x14ac:dyDescent="0.35">
      <c r="AM143" s="233"/>
    </row>
    <row r="144" spans="26:39" x14ac:dyDescent="0.35">
      <c r="Z144" s="288"/>
      <c r="AA144" s="288"/>
      <c r="AB144" s="288"/>
      <c r="AC144" s="288"/>
      <c r="AD144" s="288"/>
      <c r="AE144" s="288"/>
      <c r="AF144" s="288"/>
      <c r="AG144" s="288"/>
      <c r="AH144" s="288"/>
      <c r="AI144" s="288"/>
      <c r="AJ144" s="288"/>
      <c r="AK144" s="288"/>
      <c r="AL144" s="233"/>
      <c r="AM144" s="233"/>
    </row>
    <row r="145" spans="26:39" x14ac:dyDescent="0.35">
      <c r="AH145" s="288"/>
      <c r="AI145" s="288"/>
      <c r="AJ145" s="288"/>
      <c r="AK145" s="288"/>
      <c r="AL145" s="233"/>
      <c r="AM145" s="233"/>
    </row>
    <row r="146" spans="26:39" x14ac:dyDescent="0.35">
      <c r="AL146" s="233"/>
      <c r="AM146" s="233"/>
    </row>
    <row r="147" spans="26:39" x14ac:dyDescent="0.35">
      <c r="AM147" s="233"/>
    </row>
    <row r="148" spans="26:39" x14ac:dyDescent="0.35">
      <c r="Z148" s="288"/>
      <c r="AA148" s="288"/>
      <c r="AB148" s="288"/>
      <c r="AC148" s="288"/>
      <c r="AD148" s="288"/>
      <c r="AE148" s="288"/>
      <c r="AF148" s="288"/>
      <c r="AG148" s="288"/>
      <c r="AH148" s="288"/>
      <c r="AI148" s="288"/>
      <c r="AJ148" s="288"/>
      <c r="AK148" s="288"/>
      <c r="AL148" s="233"/>
      <c r="AM148" s="233"/>
    </row>
    <row r="149" spans="26:39" x14ac:dyDescent="0.35">
      <c r="AH149" s="288"/>
      <c r="AI149" s="288"/>
      <c r="AJ149" s="288"/>
      <c r="AK149" s="288"/>
      <c r="AL149" s="233"/>
      <c r="AM149" s="233"/>
    </row>
    <row r="150" spans="26:39" x14ac:dyDescent="0.35">
      <c r="AL150" s="233"/>
      <c r="AM150" s="233"/>
    </row>
  </sheetData>
  <mergeCells count="29">
    <mergeCell ref="I32:J32"/>
    <mergeCell ref="I37:J37"/>
    <mergeCell ref="I16:J16"/>
    <mergeCell ref="I15:J15"/>
    <mergeCell ref="I19:J19"/>
    <mergeCell ref="I20:J20"/>
    <mergeCell ref="I22:J22"/>
    <mergeCell ref="I30:J30"/>
    <mergeCell ref="I7:J7"/>
    <mergeCell ref="I8:J8"/>
    <mergeCell ref="I9:J9"/>
    <mergeCell ref="I12:J12"/>
    <mergeCell ref="I13:J13"/>
    <mergeCell ref="C5:O5"/>
    <mergeCell ref="P5:V5"/>
    <mergeCell ref="I6:J6"/>
    <mergeCell ref="I36:J36"/>
    <mergeCell ref="I21:J21"/>
    <mergeCell ref="I34:J34"/>
    <mergeCell ref="I26:J26"/>
    <mergeCell ref="I25:J25"/>
    <mergeCell ref="I24:J24"/>
    <mergeCell ref="I31:J31"/>
    <mergeCell ref="I27:J27"/>
    <mergeCell ref="I28:J28"/>
    <mergeCell ref="I33:J33"/>
    <mergeCell ref="I10:J10"/>
    <mergeCell ref="I11:J11"/>
    <mergeCell ref="I14:J14"/>
  </mergeCells>
  <pageMargins left="0.25" right="0.25" top="0.75" bottom="0.75" header="0.3" footer="0.3"/>
  <pageSetup scale="52" fitToHeight="0" orientation="landscape" r:id="rId1"/>
  <headerFooter>
    <oddHeader>&amp;L&amp;G</oddHeader>
    <oddFooter>&amp;R&amp;D</oddFooter>
  </headerFooter>
  <ignoredErrors>
    <ignoredError sqref="P6:V6 U12:V12" numberStoredAsText="1"/>
    <ignoredError sqref="S7" numberStoredAsText="1" formulaRange="1"/>
    <ignoredError sqref="S8:V8 L14:O14 L15:M15" formula="1"/>
    <ignoredError sqref="S9:V11" formula="1" formulaRange="1"/>
    <ignoredError sqref="T7 T21" formulaRange="1"/>
  </ignoredErrors>
  <legacyDrawing r:id="rId2"/>
  <legacyDrawingHF r:id="rId3"/>
  <extLst>
    <ext xmlns:x14="http://schemas.microsoft.com/office/spreadsheetml/2009/9/main" uri="{05C60535-1F16-4fd2-B633-F4F36F0B64E0}">
      <x14:sparklineGroups xmlns:xm="http://schemas.microsoft.com/office/excel/2006/main">
        <x14:sparklineGroup manualMax="0" manualMin="0" type="column" displayEmptyCellsAs="gap" high="1" low="1">
          <x14:colorSeries theme="9" tint="-0.249977111117893"/>
          <x14:colorNegative theme="4"/>
          <x14:colorAxis rgb="FF000000"/>
          <x14:colorMarkers theme="4" tint="-0.249977111117893"/>
          <x14:colorFirst theme="4" tint="-0.249977111117893"/>
          <x14:colorLast theme="4" tint="-0.249977111117893"/>
          <x14:colorHigh theme="4" tint="-0.249977111117893"/>
          <x14:colorLow theme="4" tint="-0.249977111117893"/>
          <x14:sparklines>
            <x14:sparkline>
              <xm:f>Metrics!C21:V21</xm:f>
              <xm:sqref>A20</xm:sqref>
            </x14:sparkline>
          </x14:sparklines>
        </x14:sparklineGroup>
        <x14:sparklineGroup manualMax="0" manualMin="0" lineWeight="3" displayEmptyCellsAs="gap">
          <x14:colorSeries theme="9" tint="-0.499984740745262"/>
          <x14:colorNegative theme="4"/>
          <x14:colorAxis rgb="FF000000"/>
          <x14:colorMarkers theme="9" tint="-0.499984740745262"/>
          <x14:colorFirst theme="9" tint="0.39997558519241921"/>
          <x14:colorLast theme="9" tint="0.39997558519241921"/>
          <x14:colorHigh theme="9"/>
          <x14:colorLow theme="9"/>
          <x14:sparklines>
            <x14:sparkline>
              <xm:f>Metrics!C21:V21</xm:f>
              <xm:sqref>A21</xm:sqref>
            </x14:sparkline>
          </x14:sparklines>
        </x14:sparklineGroup>
        <x14:sparklineGroup manualMax="0" manualMin="0" displayEmptyCellsAs="gap" high="1">
          <x14:colorSeries theme="4" tint="0.39997558519241921"/>
          <x14:colorNegative theme="0" tint="-0.499984740745262"/>
          <x14:colorAxis rgb="FF000000"/>
          <x14:colorMarkers theme="4" tint="0.79998168889431442"/>
          <x14:colorFirst theme="4" tint="-0.249977111117893"/>
          <x14:colorLast theme="4" tint="-0.249977111117893"/>
          <x14:colorHigh theme="4" tint="-0.499984740745262"/>
          <x14:colorLow theme="4" tint="-0.499984740745262"/>
          <x14:sparklines>
            <x14:sparkline>
              <xm:f>Metrics!C19:V19</xm:f>
              <xm:sqref>A19</xm:sqref>
            </x14:sparkline>
          </x14:sparklines>
        </x14:sparklineGroup>
        <x14:sparklineGroup manualMax="0" manualMin="0" type="column" displayEmptyCellsAs="gap" high="1" low="1">
          <x14:colorSeries theme="4" tint="-0.249977111117893"/>
          <x14:colorNegative theme="5"/>
          <x14:colorAxis rgb="FF000000"/>
          <x14:colorMarkers theme="5" tint="-0.249977111117893"/>
          <x14:colorFirst theme="5" tint="-0.249977111117893"/>
          <x14:colorLast theme="5" tint="-0.249977111117893"/>
          <x14:colorHigh theme="5" tint="-0.249977111117893"/>
          <x14:colorLow theme="5" tint="-0.249977111117893"/>
          <x14:sparklines>
            <x14:sparkline>
              <xm:f>Metrics!C18:V18</xm:f>
              <xm:sqref>A18</xm:sqref>
            </x14:sparkline>
          </x14:sparklines>
        </x14:sparklineGroup>
        <x14:sparklineGroup manualMax="0" manualMin="0" type="column" displayEmptyCellsAs="gap" high="1" low="1">
          <x14:colorSeries theme="8" tint="-0.249977111117893"/>
          <x14:colorNegative theme="9"/>
          <x14:colorAxis rgb="FF000000"/>
          <x14:colorMarkers theme="9" tint="-0.249977111117893"/>
          <x14:colorFirst theme="9" tint="-0.249977111117893"/>
          <x14:colorLast theme="9" tint="-0.249977111117893"/>
          <x14:colorHigh theme="9" tint="-0.249977111117893"/>
          <x14:colorLow theme="9" tint="-0.249977111117893"/>
          <x14:sparklines>
            <x14:sparkline>
              <xm:f>Metrics!C17:V17</xm:f>
              <xm:sqref>A17</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tabColor rgb="FFFFFF00"/>
  </sheetPr>
  <dimension ref="A1:BL167"/>
  <sheetViews>
    <sheetView zoomScale="80" zoomScaleNormal="80" workbookViewId="0">
      <pane xSplit="3" ySplit="2" topLeftCell="D36" activePane="bottomRight" state="frozenSplit"/>
      <selection pane="topRight" activeCell="C1" sqref="C1"/>
      <selection pane="bottomLeft" activeCell="A12" sqref="A12"/>
      <selection pane="bottomRight" activeCell="B5" sqref="B5"/>
    </sheetView>
  </sheetViews>
  <sheetFormatPr defaultRowHeight="14.5" x14ac:dyDescent="0.35"/>
  <cols>
    <col min="1" max="1" width="42.1796875" customWidth="1"/>
    <col min="2" max="2" width="15" customWidth="1"/>
    <col min="3" max="3" width="3" style="407" customWidth="1"/>
    <col min="4" max="4" width="11.26953125" bestFit="1" customWidth="1"/>
    <col min="5" max="7" width="12.26953125" bestFit="1" customWidth="1"/>
    <col min="8" max="8" width="11.26953125" bestFit="1" customWidth="1"/>
    <col min="9" max="9" width="12.26953125" bestFit="1" customWidth="1"/>
    <col min="10" max="11" width="11.26953125" bestFit="1" customWidth="1"/>
    <col min="12" max="12" width="12.26953125" bestFit="1" customWidth="1"/>
    <col min="13" max="13" width="13.54296875" bestFit="1" customWidth="1"/>
    <col min="14" max="39" width="12.26953125" bestFit="1" customWidth="1"/>
    <col min="40" max="40" width="11.26953125" bestFit="1" customWidth="1"/>
    <col min="41" max="41" width="10.81640625" bestFit="1" customWidth="1"/>
    <col min="42" max="46" width="11.26953125" bestFit="1" customWidth="1"/>
    <col min="47" max="47" width="10.81640625" bestFit="1" customWidth="1"/>
    <col min="48" max="48" width="10.54296875" bestFit="1" customWidth="1"/>
    <col min="49" max="52" width="10.81640625" bestFit="1" customWidth="1"/>
    <col min="53" max="57" width="11.26953125" bestFit="1" customWidth="1"/>
    <col min="58" max="58" width="10.81640625" bestFit="1" customWidth="1"/>
    <col min="59" max="59" width="10.54296875" bestFit="1" customWidth="1"/>
    <col min="60" max="63" width="10.81640625" bestFit="1" customWidth="1"/>
  </cols>
  <sheetData>
    <row r="1" spans="1:63" ht="46" x14ac:dyDescent="1">
      <c r="A1" s="212"/>
      <c r="B1" s="213"/>
      <c r="C1" s="213"/>
      <c r="D1" s="213"/>
      <c r="E1" s="213"/>
      <c r="F1" s="213"/>
      <c r="G1" s="213"/>
      <c r="H1" s="213"/>
      <c r="I1" s="213"/>
      <c r="J1" s="213"/>
      <c r="K1" s="213"/>
      <c r="L1" s="213"/>
      <c r="M1" s="213"/>
      <c r="N1" s="213"/>
      <c r="O1" s="213"/>
      <c r="P1" s="213"/>
      <c r="Q1" s="213"/>
      <c r="R1" s="213"/>
      <c r="S1" s="213"/>
      <c r="T1" s="213"/>
      <c r="U1" s="213"/>
      <c r="V1" s="213"/>
      <c r="W1" s="213"/>
      <c r="X1" s="213"/>
      <c r="Y1" s="213"/>
      <c r="Z1" s="213"/>
      <c r="AA1" s="213"/>
      <c r="AB1" s="213"/>
      <c r="AC1" s="213"/>
      <c r="AD1" s="213"/>
      <c r="AE1" s="213"/>
      <c r="AF1" s="213"/>
      <c r="AG1" s="213"/>
      <c r="AH1" s="213"/>
      <c r="AI1" s="213"/>
      <c r="AJ1" s="213"/>
      <c r="AK1" s="213"/>
      <c r="AL1" s="213"/>
      <c r="AM1" s="213"/>
      <c r="AN1" s="213"/>
      <c r="AO1" s="213"/>
      <c r="AP1" s="213"/>
      <c r="AQ1" s="213"/>
      <c r="AR1" s="213"/>
      <c r="AS1" s="213"/>
      <c r="AT1" s="213"/>
      <c r="AU1" s="213"/>
      <c r="AV1" s="213"/>
      <c r="AW1" s="213"/>
      <c r="AX1" s="213"/>
      <c r="AY1" s="213"/>
      <c r="AZ1" s="213"/>
      <c r="BA1" s="213"/>
      <c r="BB1" s="213"/>
      <c r="BC1" s="213"/>
      <c r="BD1" s="213"/>
      <c r="BE1" s="213"/>
      <c r="BF1" s="213"/>
      <c r="BG1" s="213"/>
      <c r="BH1" s="213"/>
      <c r="BI1" s="213"/>
      <c r="BJ1" s="213"/>
      <c r="BK1" s="213"/>
    </row>
    <row r="2" spans="1:63" x14ac:dyDescent="0.35">
      <c r="A2" s="213"/>
      <c r="B2" s="213"/>
      <c r="C2" s="213"/>
      <c r="D2" s="214">
        <f>B3</f>
        <v>40909</v>
      </c>
      <c r="E2" s="214">
        <f t="shared" ref="E2:AM2" si="0">D2+DAY(DATE(YEAR(D2),MONTH(D2)+1,))</f>
        <v>40940</v>
      </c>
      <c r="F2" s="214">
        <f t="shared" si="0"/>
        <v>40969</v>
      </c>
      <c r="G2" s="214">
        <f t="shared" si="0"/>
        <v>41000</v>
      </c>
      <c r="H2" s="214">
        <f t="shared" si="0"/>
        <v>41030</v>
      </c>
      <c r="I2" s="214">
        <f t="shared" si="0"/>
        <v>41061</v>
      </c>
      <c r="J2" s="214">
        <f t="shared" si="0"/>
        <v>41091</v>
      </c>
      <c r="K2" s="214">
        <f t="shared" si="0"/>
        <v>41122</v>
      </c>
      <c r="L2" s="214">
        <f t="shared" si="0"/>
        <v>41153</v>
      </c>
      <c r="M2" s="214">
        <f t="shared" si="0"/>
        <v>41183</v>
      </c>
      <c r="N2" s="214">
        <f t="shared" si="0"/>
        <v>41214</v>
      </c>
      <c r="O2" s="214">
        <f t="shared" si="0"/>
        <v>41244</v>
      </c>
      <c r="P2" s="214">
        <f t="shared" si="0"/>
        <v>41275</v>
      </c>
      <c r="Q2" s="214">
        <f t="shared" si="0"/>
        <v>41306</v>
      </c>
      <c r="R2" s="214">
        <f t="shared" si="0"/>
        <v>41334</v>
      </c>
      <c r="S2" s="214">
        <f t="shared" si="0"/>
        <v>41365</v>
      </c>
      <c r="T2" s="214">
        <f t="shared" si="0"/>
        <v>41395</v>
      </c>
      <c r="U2" s="214">
        <f t="shared" si="0"/>
        <v>41426</v>
      </c>
      <c r="V2" s="214">
        <f t="shared" si="0"/>
        <v>41456</v>
      </c>
      <c r="W2" s="214">
        <f t="shared" si="0"/>
        <v>41487</v>
      </c>
      <c r="X2" s="214">
        <f t="shared" si="0"/>
        <v>41518</v>
      </c>
      <c r="Y2" s="214">
        <f t="shared" si="0"/>
        <v>41548</v>
      </c>
      <c r="Z2" s="214">
        <f t="shared" si="0"/>
        <v>41579</v>
      </c>
      <c r="AA2" s="214">
        <f t="shared" si="0"/>
        <v>41609</v>
      </c>
      <c r="AB2" s="214">
        <f t="shared" si="0"/>
        <v>41640</v>
      </c>
      <c r="AC2" s="214">
        <f t="shared" si="0"/>
        <v>41671</v>
      </c>
      <c r="AD2" s="214">
        <f t="shared" si="0"/>
        <v>41699</v>
      </c>
      <c r="AE2" s="214">
        <f t="shared" si="0"/>
        <v>41730</v>
      </c>
      <c r="AF2" s="214">
        <f t="shared" si="0"/>
        <v>41760</v>
      </c>
      <c r="AG2" s="214">
        <f t="shared" si="0"/>
        <v>41791</v>
      </c>
      <c r="AH2" s="214">
        <f t="shared" si="0"/>
        <v>41821</v>
      </c>
      <c r="AI2" s="214">
        <f t="shared" si="0"/>
        <v>41852</v>
      </c>
      <c r="AJ2" s="214">
        <f t="shared" si="0"/>
        <v>41883</v>
      </c>
      <c r="AK2" s="214">
        <f t="shared" si="0"/>
        <v>41913</v>
      </c>
      <c r="AL2" s="214">
        <f t="shared" si="0"/>
        <v>41944</v>
      </c>
      <c r="AM2" s="214">
        <f t="shared" si="0"/>
        <v>41974</v>
      </c>
      <c r="AN2" s="214">
        <f t="shared" ref="AN2" si="1">AM2+DAY(DATE(YEAR(AM2),MONTH(AM2)+1,))</f>
        <v>42005</v>
      </c>
      <c r="AO2" s="214">
        <f t="shared" ref="AO2" si="2">AN2+DAY(DATE(YEAR(AN2),MONTH(AN2)+1,))</f>
        <v>42036</v>
      </c>
      <c r="AP2" s="214">
        <f t="shared" ref="AP2" si="3">AO2+DAY(DATE(YEAR(AO2),MONTH(AO2)+1,))</f>
        <v>42064</v>
      </c>
      <c r="AQ2" s="214">
        <f t="shared" ref="AQ2" si="4">AP2+DAY(DATE(YEAR(AP2),MONTH(AP2)+1,))</f>
        <v>42095</v>
      </c>
      <c r="AR2" s="214">
        <f t="shared" ref="AR2" si="5">AQ2+DAY(DATE(YEAR(AQ2),MONTH(AQ2)+1,))</f>
        <v>42125</v>
      </c>
      <c r="AS2" s="214">
        <f t="shared" ref="AS2" si="6">AR2+DAY(DATE(YEAR(AR2),MONTH(AR2)+1,))</f>
        <v>42156</v>
      </c>
      <c r="AT2" s="214">
        <f t="shared" ref="AT2" si="7">AS2+DAY(DATE(YEAR(AS2),MONTH(AS2)+1,))</f>
        <v>42186</v>
      </c>
      <c r="AU2" s="214">
        <f t="shared" ref="AU2" si="8">AT2+DAY(DATE(YEAR(AT2),MONTH(AT2)+1,))</f>
        <v>42217</v>
      </c>
      <c r="AV2" s="214">
        <f t="shared" ref="AV2" si="9">AU2+DAY(DATE(YEAR(AU2),MONTH(AU2)+1,))</f>
        <v>42248</v>
      </c>
      <c r="AW2" s="214">
        <f t="shared" ref="AW2" si="10">AV2+DAY(DATE(YEAR(AV2),MONTH(AV2)+1,))</f>
        <v>42278</v>
      </c>
      <c r="AX2" s="214">
        <f t="shared" ref="AX2" si="11">AW2+DAY(DATE(YEAR(AW2),MONTH(AW2)+1,))</f>
        <v>42309</v>
      </c>
      <c r="AY2" s="214">
        <f t="shared" ref="AY2" si="12">AX2+DAY(DATE(YEAR(AX2),MONTH(AX2)+1,))</f>
        <v>42339</v>
      </c>
      <c r="AZ2" s="214">
        <f t="shared" ref="AZ2" si="13">AY2+DAY(DATE(YEAR(AY2),MONTH(AY2)+1,))</f>
        <v>42370</v>
      </c>
      <c r="BA2" s="214">
        <f t="shared" ref="BA2" si="14">AZ2+DAY(DATE(YEAR(AZ2),MONTH(AZ2)+1,))</f>
        <v>42401</v>
      </c>
      <c r="BB2" s="214">
        <f t="shared" ref="BB2" si="15">BA2+DAY(DATE(YEAR(BA2),MONTH(BA2)+1,))</f>
        <v>42430</v>
      </c>
      <c r="BC2" s="214">
        <f t="shared" ref="BC2" si="16">BB2+DAY(DATE(YEAR(BB2),MONTH(BB2)+1,))</f>
        <v>42461</v>
      </c>
      <c r="BD2" s="214">
        <f t="shared" ref="BD2" si="17">BC2+DAY(DATE(YEAR(BC2),MONTH(BC2)+1,))</f>
        <v>42491</v>
      </c>
      <c r="BE2" s="214">
        <f t="shared" ref="BE2" si="18">BD2+DAY(DATE(YEAR(BD2),MONTH(BD2)+1,))</f>
        <v>42522</v>
      </c>
      <c r="BF2" s="214">
        <f t="shared" ref="BF2" si="19">BE2+DAY(DATE(YEAR(BE2),MONTH(BE2)+1,))</f>
        <v>42552</v>
      </c>
      <c r="BG2" s="214">
        <f t="shared" ref="BG2" si="20">BF2+DAY(DATE(YEAR(BF2),MONTH(BF2)+1,))</f>
        <v>42583</v>
      </c>
      <c r="BH2" s="214">
        <f t="shared" ref="BH2" si="21">BG2+DAY(DATE(YEAR(BG2),MONTH(BG2)+1,))</f>
        <v>42614</v>
      </c>
      <c r="BI2" s="214">
        <f t="shared" ref="BI2" si="22">BH2+DAY(DATE(YEAR(BH2),MONTH(BH2)+1,))</f>
        <v>42644</v>
      </c>
      <c r="BJ2" s="214">
        <f t="shared" ref="BJ2" si="23">BI2+DAY(DATE(YEAR(BI2),MONTH(BI2)+1,))</f>
        <v>42675</v>
      </c>
      <c r="BK2" s="214">
        <f t="shared" ref="BK2" si="24">BJ2+DAY(DATE(YEAR(BJ2),MONTH(BJ2)+1,))</f>
        <v>42705</v>
      </c>
    </row>
    <row r="3" spans="1:63" s="236" customFormat="1" x14ac:dyDescent="0.35">
      <c r="A3" s="213" t="s">
        <v>187</v>
      </c>
      <c r="B3" s="365">
        <v>40909</v>
      </c>
      <c r="C3" s="365"/>
      <c r="AN3" s="574"/>
      <c r="AO3" s="574"/>
      <c r="AP3" s="574"/>
      <c r="AQ3" s="574"/>
      <c r="AR3" s="574"/>
      <c r="AS3" s="574"/>
      <c r="AT3" s="574"/>
      <c r="AU3" s="574"/>
      <c r="AV3" s="574"/>
      <c r="AW3" s="574"/>
      <c r="AX3" s="574"/>
      <c r="AY3" s="574"/>
      <c r="AZ3" s="574"/>
      <c r="BA3" s="574"/>
      <c r="BB3" s="574"/>
      <c r="BC3" s="574"/>
      <c r="BD3" s="574"/>
      <c r="BE3" s="574"/>
      <c r="BF3" s="574"/>
      <c r="BG3" s="574"/>
      <c r="BH3" s="574"/>
      <c r="BI3" s="574"/>
      <c r="BJ3" s="574"/>
      <c r="BK3" s="574"/>
    </row>
    <row r="4" spans="1:63" s="236" customFormat="1" x14ac:dyDescent="0.35">
      <c r="A4" s="213" t="s">
        <v>198</v>
      </c>
      <c r="B4" s="366" t="s">
        <v>199</v>
      </c>
      <c r="C4" s="366"/>
      <c r="AN4" s="574"/>
      <c r="AO4" s="574"/>
      <c r="AP4" s="574"/>
      <c r="AQ4" s="574"/>
      <c r="AR4" s="574"/>
      <c r="AS4" s="574"/>
      <c r="AT4" s="574"/>
      <c r="AU4" s="574"/>
      <c r="AV4" s="574"/>
      <c r="AW4" s="574"/>
      <c r="AX4" s="574"/>
      <c r="AY4" s="574"/>
      <c r="AZ4" s="574"/>
      <c r="BA4" s="574"/>
      <c r="BB4" s="574"/>
      <c r="BC4" s="574"/>
      <c r="BD4" s="574"/>
      <c r="BE4" s="574"/>
      <c r="BF4" s="574"/>
      <c r="BG4" s="574"/>
      <c r="BH4" s="574"/>
      <c r="BI4" s="574"/>
      <c r="BJ4" s="574"/>
      <c r="BK4" s="574"/>
    </row>
    <row r="5" spans="1:63" s="236" customFormat="1" x14ac:dyDescent="0.35">
      <c r="A5" s="213" t="s">
        <v>226</v>
      </c>
      <c r="B5" s="366">
        <v>48</v>
      </c>
      <c r="C5" s="366"/>
      <c r="AN5" s="574"/>
      <c r="AO5" s="574"/>
      <c r="AP5" s="574"/>
      <c r="AQ5" s="574"/>
      <c r="AR5" s="574"/>
      <c r="AS5" s="574"/>
      <c r="AT5" s="574"/>
      <c r="AU5" s="574"/>
      <c r="AV5" s="574"/>
      <c r="AW5" s="574"/>
      <c r="AX5" s="574"/>
      <c r="AY5" s="574"/>
      <c r="AZ5" s="574"/>
      <c r="BA5" s="574"/>
      <c r="BB5" s="574"/>
      <c r="BC5" s="574"/>
      <c r="BD5" s="574"/>
      <c r="BE5" s="574"/>
      <c r="BF5" s="574"/>
      <c r="BG5" s="574"/>
      <c r="BH5" s="574"/>
      <c r="BI5" s="574"/>
      <c r="BJ5" s="574"/>
      <c r="BK5" s="574"/>
    </row>
    <row r="6" spans="1:63" s="236" customFormat="1" x14ac:dyDescent="0.35">
      <c r="A6" s="213" t="s">
        <v>182</v>
      </c>
      <c r="B6" s="366">
        <v>5</v>
      </c>
      <c r="C6" s="366"/>
      <c r="AN6" s="574"/>
      <c r="AO6" s="574"/>
      <c r="AP6" s="574"/>
      <c r="AQ6" s="574"/>
      <c r="AR6" s="574"/>
      <c r="AS6" s="574"/>
      <c r="AT6" s="574"/>
      <c r="AU6" s="574"/>
      <c r="AV6" s="574"/>
      <c r="AW6" s="574"/>
      <c r="AX6" s="574"/>
      <c r="AY6" s="574"/>
      <c r="AZ6" s="574"/>
      <c r="BA6" s="574"/>
      <c r="BB6" s="574"/>
      <c r="BC6" s="574"/>
      <c r="BD6" s="574"/>
      <c r="BE6" s="574"/>
      <c r="BF6" s="574"/>
      <c r="BG6" s="574"/>
      <c r="BH6" s="574"/>
      <c r="BI6" s="574"/>
      <c r="BJ6" s="574"/>
      <c r="BK6" s="574"/>
    </row>
    <row r="7" spans="1:63" s="236" customFormat="1" x14ac:dyDescent="0.35">
      <c r="A7" s="213" t="s">
        <v>183</v>
      </c>
      <c r="B7" s="366">
        <v>30</v>
      </c>
      <c r="C7" s="366"/>
      <c r="AN7" s="574"/>
      <c r="AO7" s="574"/>
      <c r="AP7" s="574"/>
      <c r="AQ7" s="574"/>
      <c r="AR7" s="574"/>
      <c r="AS7" s="574"/>
      <c r="AT7" s="574"/>
      <c r="AU7" s="574"/>
      <c r="AV7" s="574"/>
      <c r="AW7" s="574"/>
      <c r="AX7" s="574"/>
      <c r="AY7" s="574"/>
      <c r="AZ7" s="574"/>
      <c r="BA7" s="574"/>
      <c r="BB7" s="574"/>
      <c r="BC7" s="574"/>
      <c r="BD7" s="574"/>
      <c r="BE7" s="574"/>
      <c r="BF7" s="574"/>
      <c r="BG7" s="574"/>
      <c r="BH7" s="574"/>
      <c r="BI7" s="574"/>
      <c r="BJ7" s="574"/>
      <c r="BK7" s="574"/>
    </row>
    <row r="8" spans="1:63" s="211" customFormat="1" x14ac:dyDescent="0.35">
      <c r="A8" s="213" t="s">
        <v>539</v>
      </c>
      <c r="B8" s="442">
        <v>0.1</v>
      </c>
      <c r="C8" s="366"/>
      <c r="H8" s="10"/>
      <c r="AN8" s="574"/>
      <c r="AO8" s="574"/>
      <c r="AP8" s="574"/>
      <c r="AQ8" s="574"/>
      <c r="AR8" s="574"/>
      <c r="AS8" s="574"/>
      <c r="AT8" s="574"/>
      <c r="AU8" s="574"/>
      <c r="AV8" s="574"/>
      <c r="AW8" s="574"/>
      <c r="AX8" s="574"/>
      <c r="AY8" s="574"/>
      <c r="AZ8" s="574"/>
      <c r="BA8" s="574"/>
      <c r="BB8" s="574"/>
      <c r="BC8" s="574"/>
      <c r="BD8" s="574"/>
      <c r="BE8" s="574"/>
      <c r="BF8" s="574"/>
      <c r="BG8" s="574"/>
      <c r="BH8" s="574"/>
      <c r="BI8" s="574"/>
      <c r="BJ8" s="574"/>
      <c r="BK8" s="574"/>
    </row>
    <row r="9" spans="1:63" s="438" customFormat="1" x14ac:dyDescent="0.35">
      <c r="A9" s="213" t="s">
        <v>540</v>
      </c>
      <c r="B9" s="367">
        <f>100%-B8</f>
        <v>0.9</v>
      </c>
      <c r="H9" s="10"/>
      <c r="AN9" s="574"/>
      <c r="AO9" s="574"/>
      <c r="AP9" s="574"/>
      <c r="AQ9" s="574"/>
      <c r="AR9" s="574"/>
      <c r="AS9" s="574"/>
      <c r="AT9" s="574"/>
      <c r="AU9" s="574"/>
      <c r="AV9" s="574"/>
      <c r="AW9" s="574"/>
      <c r="AX9" s="574"/>
      <c r="AY9" s="574"/>
      <c r="AZ9" s="574"/>
      <c r="BA9" s="574"/>
      <c r="BB9" s="574"/>
      <c r="BC9" s="574"/>
      <c r="BD9" s="574"/>
      <c r="BE9" s="574"/>
      <c r="BF9" s="574"/>
      <c r="BG9" s="574"/>
      <c r="BH9" s="574"/>
      <c r="BI9" s="574"/>
      <c r="BJ9" s="574"/>
      <c r="BK9" s="574"/>
    </row>
    <row r="10" spans="1:63" x14ac:dyDescent="0.35">
      <c r="A10" s="213" t="s">
        <v>694</v>
      </c>
      <c r="B10" s="366" t="s">
        <v>715</v>
      </c>
      <c r="D10" s="437"/>
      <c r="AN10" s="574"/>
      <c r="AO10" s="574"/>
      <c r="AP10" s="574"/>
      <c r="AQ10" s="574"/>
      <c r="AR10" s="574"/>
      <c r="AS10" s="574"/>
      <c r="AT10" s="574"/>
      <c r="AU10" s="574"/>
      <c r="AV10" s="574"/>
      <c r="AW10" s="574"/>
      <c r="AX10" s="574"/>
      <c r="AY10" s="574"/>
      <c r="AZ10" s="574"/>
      <c r="BA10" s="574"/>
      <c r="BB10" s="574"/>
      <c r="BC10" s="574"/>
      <c r="BD10" s="574"/>
      <c r="BE10" s="574"/>
      <c r="BF10" s="574"/>
      <c r="BG10" s="574"/>
      <c r="BH10" s="574"/>
      <c r="BI10" s="574"/>
      <c r="BJ10" s="574"/>
      <c r="BK10" s="574"/>
    </row>
    <row r="11" spans="1:63" x14ac:dyDescent="0.35">
      <c r="A11" s="213" t="s">
        <v>695</v>
      </c>
      <c r="B11" s="546">
        <v>2754465.53</v>
      </c>
      <c r="D11" s="437"/>
      <c r="AN11" s="574"/>
      <c r="AO11" s="574"/>
      <c r="AP11" s="574"/>
      <c r="AQ11" s="574"/>
      <c r="AR11" s="574"/>
      <c r="AS11" s="574"/>
      <c r="AT11" s="574"/>
      <c r="AU11" s="574"/>
      <c r="AV11" s="574"/>
      <c r="AW11" s="574"/>
      <c r="AX11" s="574"/>
      <c r="AY11" s="574"/>
      <c r="AZ11" s="574"/>
      <c r="BA11" s="574"/>
      <c r="BB11" s="574"/>
      <c r="BC11" s="574"/>
      <c r="BD11" s="574"/>
      <c r="BE11" s="574"/>
      <c r="BF11" s="574"/>
      <c r="BG11" s="574"/>
      <c r="BH11" s="574"/>
      <c r="BI11" s="574"/>
      <c r="BJ11" s="574"/>
      <c r="BK11" s="574"/>
    </row>
    <row r="12" spans="1:63" x14ac:dyDescent="0.35">
      <c r="AN12" s="574"/>
      <c r="AO12" s="574"/>
      <c r="AP12" s="574"/>
      <c r="AQ12" s="574"/>
      <c r="AR12" s="574"/>
      <c r="AS12" s="574"/>
      <c r="AT12" s="574"/>
      <c r="AU12" s="574"/>
      <c r="AV12" s="574"/>
      <c r="AW12" s="574"/>
      <c r="AX12" s="574"/>
      <c r="AY12" s="574"/>
      <c r="AZ12" s="574"/>
      <c r="BA12" s="574"/>
      <c r="BB12" s="574"/>
      <c r="BC12" s="574"/>
      <c r="BD12" s="574"/>
      <c r="BE12" s="574"/>
      <c r="BF12" s="574"/>
      <c r="BG12" s="574"/>
      <c r="BH12" s="574"/>
      <c r="BI12" s="574"/>
      <c r="BJ12" s="574"/>
      <c r="BK12" s="574"/>
    </row>
    <row r="13" spans="1:63" x14ac:dyDescent="0.35">
      <c r="A13" s="220" t="s">
        <v>225</v>
      </c>
      <c r="D13" s="255">
        <v>2.5000000000000001E-2</v>
      </c>
      <c r="E13" s="255">
        <v>2.5000000000000001E-2</v>
      </c>
      <c r="F13" s="255">
        <v>2.5000000000000001E-2</v>
      </c>
      <c r="G13" s="255">
        <v>2.5000000000000001E-2</v>
      </c>
      <c r="H13" s="255">
        <v>2.5000000000000001E-2</v>
      </c>
      <c r="I13" s="255">
        <v>2.5000000000000001E-2</v>
      </c>
      <c r="J13" s="255">
        <v>2.5000000000000001E-2</v>
      </c>
      <c r="K13" s="255">
        <v>2.5000000000000001E-2</v>
      </c>
      <c r="L13" s="255">
        <v>2.5000000000000001E-2</v>
      </c>
      <c r="M13" s="255">
        <v>2.5000000000000001E-2</v>
      </c>
      <c r="N13" s="255">
        <v>2.5000000000000001E-2</v>
      </c>
      <c r="O13" s="255">
        <v>2.5000000000000001E-2</v>
      </c>
      <c r="P13" s="255">
        <v>2.5000000000000001E-2</v>
      </c>
      <c r="Q13" s="255">
        <v>2.5000000000000001E-2</v>
      </c>
      <c r="R13" s="255">
        <v>2.5000000000000001E-2</v>
      </c>
      <c r="S13" s="255">
        <v>2.5000000000000001E-2</v>
      </c>
      <c r="T13" s="255">
        <v>2.5000000000000001E-2</v>
      </c>
      <c r="U13" s="255">
        <v>2.5000000000000001E-2</v>
      </c>
      <c r="V13" s="255">
        <v>2.5000000000000001E-2</v>
      </c>
      <c r="W13" s="255">
        <v>2.5000000000000001E-2</v>
      </c>
      <c r="X13" s="255">
        <v>2.5000000000000001E-2</v>
      </c>
      <c r="Y13" s="255">
        <v>2.5000000000000001E-2</v>
      </c>
      <c r="Z13" s="255">
        <v>2.5000000000000001E-2</v>
      </c>
      <c r="AA13" s="255">
        <v>2.5000000000000001E-2</v>
      </c>
      <c r="AB13" s="255">
        <v>2.5000000000000001E-2</v>
      </c>
      <c r="AC13" s="255">
        <v>2.5000000000000001E-2</v>
      </c>
      <c r="AD13" s="255">
        <v>2.5000000000000001E-2</v>
      </c>
      <c r="AE13" s="255">
        <v>2.5000000000000001E-2</v>
      </c>
      <c r="AF13" s="255">
        <v>2.5000000000000001E-2</v>
      </c>
      <c r="AG13" s="255">
        <v>2.5000000000000001E-2</v>
      </c>
      <c r="AH13" s="255">
        <v>2.5000000000000001E-2</v>
      </c>
      <c r="AI13" s="255">
        <v>2.5000000000000001E-2</v>
      </c>
      <c r="AJ13" s="255">
        <v>2.5000000000000001E-2</v>
      </c>
      <c r="AK13" s="255">
        <v>2.5000000000000001E-2</v>
      </c>
      <c r="AL13" s="255">
        <v>2.5000000000000001E-2</v>
      </c>
      <c r="AM13" s="255">
        <v>2.5000000000000001E-2</v>
      </c>
      <c r="AN13" s="255">
        <v>2.5000000000000001E-2</v>
      </c>
      <c r="AO13" s="255">
        <v>2.5000000000000001E-2</v>
      </c>
      <c r="AP13" s="255">
        <v>2.5000000000000001E-2</v>
      </c>
      <c r="AQ13" s="255">
        <v>2.5000000000000001E-2</v>
      </c>
      <c r="AR13" s="255">
        <v>2.5000000000000001E-2</v>
      </c>
      <c r="AS13" s="255">
        <v>2.5000000000000001E-2</v>
      </c>
      <c r="AT13" s="255">
        <v>2.5000000000000001E-2</v>
      </c>
      <c r="AU13" s="255">
        <v>2.5000000000000001E-2</v>
      </c>
      <c r="AV13" s="255">
        <v>2.5000000000000001E-2</v>
      </c>
      <c r="AW13" s="255">
        <v>2.5000000000000001E-2</v>
      </c>
      <c r="AX13" s="255">
        <v>2.5000000000000001E-2</v>
      </c>
      <c r="AY13" s="255">
        <v>2.5000000000000001E-2</v>
      </c>
      <c r="AZ13" s="255">
        <v>2.5000000000000001E-2</v>
      </c>
      <c r="BA13" s="255">
        <v>2.5000000000000001E-2</v>
      </c>
      <c r="BB13" s="255">
        <v>2.5000000000000001E-2</v>
      </c>
      <c r="BC13" s="255">
        <v>2.5000000000000001E-2</v>
      </c>
      <c r="BD13" s="255">
        <v>2.5000000000000001E-2</v>
      </c>
      <c r="BE13" s="255">
        <v>2.5000000000000001E-2</v>
      </c>
      <c r="BF13" s="255">
        <v>2.5000000000000001E-2</v>
      </c>
      <c r="BG13" s="255">
        <v>2.5000000000000001E-2</v>
      </c>
      <c r="BH13" s="255">
        <v>2.5000000000000001E-2</v>
      </c>
      <c r="BI13" s="255">
        <v>2.5000000000000001E-2</v>
      </c>
      <c r="BJ13" s="255">
        <v>2.5000000000000001E-2</v>
      </c>
      <c r="BK13" s="255">
        <v>2.5000000000000001E-2</v>
      </c>
    </row>
    <row r="14" spans="1:63" x14ac:dyDescent="0.35">
      <c r="A14" s="220" t="s">
        <v>541</v>
      </c>
      <c r="D14" s="255">
        <v>8.0000000000000002E-3</v>
      </c>
      <c r="E14" s="255">
        <v>8.0000000000000002E-3</v>
      </c>
      <c r="F14" s="255">
        <v>8.0000000000000002E-3</v>
      </c>
      <c r="G14" s="255">
        <v>8.0000000000000002E-3</v>
      </c>
      <c r="H14" s="255">
        <v>8.0000000000000002E-3</v>
      </c>
      <c r="I14" s="255">
        <v>8.0000000000000002E-3</v>
      </c>
      <c r="J14" s="255">
        <v>8.0000000000000002E-3</v>
      </c>
      <c r="K14" s="255">
        <v>8.0000000000000002E-3</v>
      </c>
      <c r="L14" s="255">
        <v>8.0000000000000002E-3</v>
      </c>
      <c r="M14" s="255">
        <v>8.0000000000000002E-3</v>
      </c>
      <c r="N14" s="255">
        <v>8.0000000000000002E-3</v>
      </c>
      <c r="O14" s="255">
        <v>8.0000000000000002E-3</v>
      </c>
      <c r="P14" s="255">
        <v>0.05</v>
      </c>
      <c r="Q14" s="255">
        <v>0.05</v>
      </c>
      <c r="R14" s="255">
        <v>0.05</v>
      </c>
      <c r="S14" s="255">
        <v>0.03</v>
      </c>
      <c r="T14" s="255">
        <v>0.03</v>
      </c>
      <c r="U14" s="255">
        <v>0.03</v>
      </c>
      <c r="V14" s="255">
        <v>0.03</v>
      </c>
      <c r="W14" s="255">
        <v>0.03</v>
      </c>
      <c r="X14" s="255">
        <v>0.03</v>
      </c>
      <c r="Y14" s="255">
        <v>0.01</v>
      </c>
      <c r="Z14" s="255">
        <v>0.01</v>
      </c>
      <c r="AA14" s="255">
        <v>0.01</v>
      </c>
      <c r="AB14" s="255">
        <v>0.01</v>
      </c>
      <c r="AC14" s="255">
        <v>0.01</v>
      </c>
      <c r="AD14" s="255">
        <v>0.01</v>
      </c>
      <c r="AE14" s="255">
        <v>0.01</v>
      </c>
      <c r="AF14" s="255">
        <v>0.01</v>
      </c>
      <c r="AG14" s="255">
        <v>0.01</v>
      </c>
      <c r="AH14" s="255">
        <v>0.01</v>
      </c>
      <c r="AI14" s="255">
        <v>0.01</v>
      </c>
      <c r="AJ14" s="255">
        <v>0.01</v>
      </c>
      <c r="AK14" s="255">
        <v>0.01</v>
      </c>
      <c r="AL14" s="255">
        <v>0.01</v>
      </c>
      <c r="AM14" s="255">
        <v>0.01</v>
      </c>
      <c r="AN14" s="255">
        <v>0.01</v>
      </c>
      <c r="AO14" s="255">
        <v>0.01</v>
      </c>
      <c r="AP14" s="255">
        <v>0.01</v>
      </c>
      <c r="AQ14" s="255">
        <v>0.01</v>
      </c>
      <c r="AR14" s="255">
        <v>0.01</v>
      </c>
      <c r="AS14" s="255">
        <v>0.01</v>
      </c>
      <c r="AT14" s="255">
        <v>0.01</v>
      </c>
      <c r="AU14" s="255">
        <v>0.01</v>
      </c>
      <c r="AV14" s="255">
        <v>0.01</v>
      </c>
      <c r="AW14" s="255">
        <v>0.01</v>
      </c>
      <c r="AX14" s="255">
        <v>0.01</v>
      </c>
      <c r="AY14" s="255">
        <v>0.01</v>
      </c>
      <c r="AZ14" s="255">
        <v>0.01</v>
      </c>
      <c r="BA14" s="255">
        <v>0.01</v>
      </c>
      <c r="BB14" s="255">
        <v>0.01</v>
      </c>
      <c r="BC14" s="255">
        <v>0.01</v>
      </c>
      <c r="BD14" s="255">
        <v>0.01</v>
      </c>
      <c r="BE14" s="255">
        <v>0.01</v>
      </c>
      <c r="BF14" s="255">
        <v>0.01</v>
      </c>
      <c r="BG14" s="255">
        <v>0.01</v>
      </c>
      <c r="BH14" s="255">
        <v>0.01</v>
      </c>
      <c r="BI14" s="255">
        <v>0.01</v>
      </c>
      <c r="BJ14" s="255">
        <v>0.01</v>
      </c>
      <c r="BK14" s="255">
        <v>0.01</v>
      </c>
    </row>
    <row r="15" spans="1:63" x14ac:dyDescent="0.35">
      <c r="A15" s="220" t="s">
        <v>503</v>
      </c>
      <c r="D15" s="222">
        <v>0</v>
      </c>
      <c r="E15" s="222">
        <v>0</v>
      </c>
      <c r="F15" s="222">
        <v>0</v>
      </c>
      <c r="G15" s="222">
        <v>0</v>
      </c>
      <c r="H15" s="222">
        <v>0</v>
      </c>
      <c r="I15" s="222">
        <v>0</v>
      </c>
      <c r="J15" s="222">
        <v>0</v>
      </c>
      <c r="K15" s="222">
        <v>0</v>
      </c>
      <c r="L15" s="222">
        <v>0</v>
      </c>
      <c r="M15" s="222">
        <v>0</v>
      </c>
      <c r="N15" s="222">
        <v>0</v>
      </c>
      <c r="O15" s="222">
        <v>0</v>
      </c>
      <c r="P15" s="222">
        <v>0</v>
      </c>
      <c r="Q15" s="222">
        <v>0</v>
      </c>
      <c r="R15" s="222">
        <v>0</v>
      </c>
      <c r="S15" s="222">
        <v>0</v>
      </c>
      <c r="T15" s="222">
        <v>0</v>
      </c>
      <c r="U15" s="222">
        <v>0</v>
      </c>
      <c r="V15" s="222">
        <v>0</v>
      </c>
      <c r="W15" s="222">
        <v>0</v>
      </c>
      <c r="X15" s="222">
        <v>0</v>
      </c>
      <c r="Y15" s="222">
        <v>0</v>
      </c>
      <c r="Z15" s="222">
        <v>0</v>
      </c>
      <c r="AA15" s="222">
        <v>0</v>
      </c>
      <c r="AB15" s="222">
        <v>0</v>
      </c>
      <c r="AC15" s="222">
        <v>0</v>
      </c>
      <c r="AD15" s="222">
        <v>0</v>
      </c>
      <c r="AE15" s="222">
        <v>0</v>
      </c>
      <c r="AF15" s="222">
        <v>0</v>
      </c>
      <c r="AG15" s="222">
        <v>0</v>
      </c>
      <c r="AH15" s="222">
        <v>0</v>
      </c>
      <c r="AI15" s="222">
        <v>0</v>
      </c>
      <c r="AJ15" s="222">
        <v>0</v>
      </c>
      <c r="AK15" s="222">
        <v>0</v>
      </c>
      <c r="AL15" s="222">
        <v>0</v>
      </c>
      <c r="AM15" s="222">
        <v>0</v>
      </c>
      <c r="AN15" s="222">
        <v>0</v>
      </c>
      <c r="AO15" s="222">
        <v>0</v>
      </c>
      <c r="AP15" s="222">
        <v>0</v>
      </c>
      <c r="AQ15" s="222">
        <v>0</v>
      </c>
      <c r="AR15" s="222">
        <v>0</v>
      </c>
      <c r="AS15" s="222">
        <v>0</v>
      </c>
      <c r="AT15" s="222">
        <v>0</v>
      </c>
      <c r="AU15" s="222">
        <v>0</v>
      </c>
      <c r="AV15" s="222">
        <v>0</v>
      </c>
      <c r="AW15" s="222">
        <v>0</v>
      </c>
      <c r="AX15" s="222">
        <v>0</v>
      </c>
      <c r="AY15" s="222">
        <v>0</v>
      </c>
      <c r="AZ15" s="222">
        <v>0</v>
      </c>
      <c r="BA15" s="222">
        <v>0</v>
      </c>
      <c r="BB15" s="222">
        <v>0</v>
      </c>
      <c r="BC15" s="222">
        <v>0</v>
      </c>
      <c r="BD15" s="222">
        <v>0</v>
      </c>
      <c r="BE15" s="222">
        <v>0</v>
      </c>
      <c r="BF15" s="222">
        <v>0</v>
      </c>
      <c r="BG15" s="222">
        <v>0</v>
      </c>
      <c r="BH15" s="222">
        <v>0</v>
      </c>
      <c r="BI15" s="222">
        <v>0</v>
      </c>
      <c r="BJ15" s="222">
        <v>0</v>
      </c>
      <c r="BK15" s="222">
        <v>0</v>
      </c>
    </row>
    <row r="16" spans="1:63" x14ac:dyDescent="0.35">
      <c r="A16" s="220" t="s">
        <v>281</v>
      </c>
      <c r="D16" s="246">
        <v>0</v>
      </c>
      <c r="E16" s="246">
        <v>0</v>
      </c>
      <c r="F16" s="246">
        <v>0</v>
      </c>
      <c r="G16" s="246">
        <v>0</v>
      </c>
      <c r="H16" s="246">
        <v>0</v>
      </c>
      <c r="I16" s="246">
        <v>0</v>
      </c>
      <c r="J16" s="246">
        <v>0</v>
      </c>
      <c r="K16" s="246">
        <v>0</v>
      </c>
      <c r="L16" s="246">
        <v>0</v>
      </c>
      <c r="M16" s="246">
        <v>88</v>
      </c>
      <c r="N16" s="246">
        <v>88</v>
      </c>
      <c r="O16" s="246">
        <v>88</v>
      </c>
      <c r="P16" s="246">
        <v>88</v>
      </c>
      <c r="Q16" s="246">
        <v>88</v>
      </c>
      <c r="R16" s="246">
        <v>88</v>
      </c>
      <c r="S16" s="246">
        <v>88</v>
      </c>
      <c r="T16" s="246">
        <v>88</v>
      </c>
      <c r="U16" s="246">
        <v>88</v>
      </c>
      <c r="V16" s="246">
        <v>88</v>
      </c>
      <c r="W16" s="246">
        <v>88</v>
      </c>
      <c r="X16" s="246">
        <v>88</v>
      </c>
      <c r="Y16" s="246">
        <v>88</v>
      </c>
      <c r="Z16" s="246">
        <v>88</v>
      </c>
      <c r="AA16" s="246">
        <v>88</v>
      </c>
      <c r="AB16" s="246">
        <v>88</v>
      </c>
      <c r="AC16" s="246">
        <v>88</v>
      </c>
      <c r="AD16" s="246">
        <v>88</v>
      </c>
      <c r="AE16" s="246">
        <v>88</v>
      </c>
      <c r="AF16" s="246">
        <v>88</v>
      </c>
      <c r="AG16" s="246">
        <v>88</v>
      </c>
      <c r="AH16" s="246">
        <v>88</v>
      </c>
      <c r="AI16" s="246">
        <v>88</v>
      </c>
      <c r="AJ16" s="246">
        <v>88</v>
      </c>
      <c r="AK16" s="246">
        <v>88</v>
      </c>
      <c r="AL16" s="246">
        <v>88</v>
      </c>
      <c r="AM16" s="246">
        <v>88</v>
      </c>
      <c r="AN16" s="246">
        <v>88</v>
      </c>
      <c r="AO16" s="246">
        <v>88</v>
      </c>
      <c r="AP16" s="246">
        <v>88</v>
      </c>
      <c r="AQ16" s="246">
        <v>88</v>
      </c>
      <c r="AR16" s="246">
        <v>88</v>
      </c>
      <c r="AS16" s="246">
        <v>88</v>
      </c>
      <c r="AT16" s="246">
        <v>88</v>
      </c>
      <c r="AU16" s="246">
        <v>88</v>
      </c>
      <c r="AV16" s="246">
        <v>88</v>
      </c>
      <c r="AW16" s="246">
        <v>88</v>
      </c>
      <c r="AX16" s="246">
        <v>88</v>
      </c>
      <c r="AY16" s="246">
        <v>88</v>
      </c>
      <c r="AZ16" s="246">
        <v>88</v>
      </c>
      <c r="BA16" s="246">
        <v>88</v>
      </c>
      <c r="BB16" s="246">
        <v>88</v>
      </c>
      <c r="BC16" s="246">
        <v>88</v>
      </c>
      <c r="BD16" s="246">
        <v>88</v>
      </c>
      <c r="BE16" s="246">
        <v>88</v>
      </c>
      <c r="BF16" s="246">
        <v>88</v>
      </c>
      <c r="BG16" s="246">
        <v>88</v>
      </c>
      <c r="BH16" s="246">
        <v>88</v>
      </c>
      <c r="BI16" s="246">
        <v>88</v>
      </c>
      <c r="BJ16" s="246">
        <v>88</v>
      </c>
      <c r="BK16" s="246">
        <v>88</v>
      </c>
    </row>
    <row r="17" spans="1:63" x14ac:dyDescent="0.35">
      <c r="A17" s="220" t="s">
        <v>280</v>
      </c>
      <c r="D17" s="259">
        <v>5.1999999999999998E-2</v>
      </c>
      <c r="E17" s="259">
        <v>5.1999999999999998E-2</v>
      </c>
      <c r="F17" s="259">
        <v>5.1999999999999998E-2</v>
      </c>
      <c r="G17" s="259">
        <v>5.1999999999999998E-2</v>
      </c>
      <c r="H17" s="259">
        <v>5.1999999999999998E-2</v>
      </c>
      <c r="I17" s="259">
        <v>5.1999999999999998E-2</v>
      </c>
      <c r="J17" s="259">
        <v>5.1999999999999998E-2</v>
      </c>
      <c r="K17" s="259">
        <v>5.1999999999999998E-2</v>
      </c>
      <c r="L17" s="259">
        <v>5.1999999999999998E-2</v>
      </c>
      <c r="M17" s="259">
        <v>5.1999999999999998E-2</v>
      </c>
      <c r="N17" s="259">
        <v>5.1999999999999998E-2</v>
      </c>
      <c r="O17" s="259">
        <v>5.1999999999999998E-2</v>
      </c>
      <c r="P17" s="259">
        <v>0.05</v>
      </c>
      <c r="Q17" s="259">
        <v>0.05</v>
      </c>
      <c r="R17" s="259">
        <v>0.05</v>
      </c>
      <c r="S17" s="259">
        <v>0.05</v>
      </c>
      <c r="T17" s="259">
        <v>0.05</v>
      </c>
      <c r="U17" s="259">
        <v>0.05</v>
      </c>
      <c r="V17" s="259">
        <v>0.05</v>
      </c>
      <c r="W17" s="259">
        <v>0.05</v>
      </c>
      <c r="X17" s="259">
        <v>0.05</v>
      </c>
      <c r="Y17" s="259">
        <v>0.05</v>
      </c>
      <c r="Z17" s="259">
        <v>0.05</v>
      </c>
      <c r="AA17" s="259">
        <v>0.05</v>
      </c>
      <c r="AB17" s="259">
        <v>0.05</v>
      </c>
      <c r="AC17" s="259">
        <v>0.05</v>
      </c>
      <c r="AD17" s="259">
        <v>0.05</v>
      </c>
      <c r="AE17" s="259">
        <v>0.05</v>
      </c>
      <c r="AF17" s="259">
        <v>0.05</v>
      </c>
      <c r="AG17" s="259">
        <v>0.05</v>
      </c>
      <c r="AH17" s="259">
        <v>3.5000000000000003E-2</v>
      </c>
      <c r="AI17" s="259">
        <v>3.5000000000000003E-2</v>
      </c>
      <c r="AJ17" s="259">
        <v>0.06</v>
      </c>
      <c r="AK17" s="259">
        <v>0.06</v>
      </c>
      <c r="AL17" s="259">
        <v>0.04</v>
      </c>
      <c r="AM17" s="259">
        <v>0.03</v>
      </c>
      <c r="AN17" s="259">
        <v>0.05</v>
      </c>
      <c r="AO17" s="259">
        <v>0.05</v>
      </c>
      <c r="AP17" s="259">
        <v>0.05</v>
      </c>
      <c r="AQ17" s="259">
        <v>0.05</v>
      </c>
      <c r="AR17" s="259">
        <v>0.05</v>
      </c>
      <c r="AS17" s="259">
        <v>0.05</v>
      </c>
      <c r="AT17" s="259">
        <v>0.05</v>
      </c>
      <c r="AU17" s="259">
        <v>0.05</v>
      </c>
      <c r="AV17" s="259">
        <v>0.05</v>
      </c>
      <c r="AW17" s="259">
        <v>0.05</v>
      </c>
      <c r="AX17" s="259">
        <v>0.05</v>
      </c>
      <c r="AY17" s="259">
        <v>0.05</v>
      </c>
      <c r="AZ17" s="259">
        <v>0.05</v>
      </c>
      <c r="BA17" s="259">
        <v>0.05</v>
      </c>
      <c r="BB17" s="259">
        <v>0.05</v>
      </c>
      <c r="BC17" s="259">
        <v>0.05</v>
      </c>
      <c r="BD17" s="259">
        <v>0.05</v>
      </c>
      <c r="BE17" s="259">
        <v>0.05</v>
      </c>
      <c r="BF17" s="259">
        <v>0.05</v>
      </c>
      <c r="BG17" s="259">
        <v>0.05</v>
      </c>
      <c r="BH17" s="259">
        <v>0.05</v>
      </c>
      <c r="BI17" s="259">
        <v>0.05</v>
      </c>
      <c r="BJ17" s="259">
        <v>0.05</v>
      </c>
      <c r="BK17" s="259">
        <v>0.05</v>
      </c>
    </row>
    <row r="18" spans="1:63" s="305" customFormat="1" x14ac:dyDescent="0.35">
      <c r="A18" s="220" t="s">
        <v>396</v>
      </c>
      <c r="B18" s="374" t="s">
        <v>542</v>
      </c>
      <c r="C18" s="374"/>
      <c r="D18" s="259"/>
      <c r="E18" s="259"/>
      <c r="F18" s="259"/>
      <c r="G18" s="259"/>
      <c r="H18" s="259"/>
      <c r="I18" s="259"/>
      <c r="J18" s="259"/>
      <c r="K18" s="259"/>
      <c r="L18" s="259"/>
      <c r="M18" s="259"/>
      <c r="N18" s="259"/>
      <c r="O18" s="259"/>
      <c r="P18" s="259"/>
      <c r="Q18" s="259"/>
      <c r="R18" s="259"/>
      <c r="S18" s="259"/>
      <c r="T18" s="259"/>
      <c r="U18" s="259"/>
      <c r="V18" s="259"/>
      <c r="W18" s="259"/>
      <c r="X18" s="259"/>
      <c r="Y18" s="259"/>
      <c r="Z18" s="259"/>
      <c r="AA18" s="259"/>
      <c r="AB18" s="259"/>
      <c r="AC18" s="259"/>
      <c r="AD18" s="259"/>
      <c r="AE18" s="259"/>
      <c r="AF18" s="259"/>
      <c r="AG18" s="259"/>
      <c r="AH18" s="259"/>
      <c r="AI18" s="259"/>
      <c r="AJ18" s="259"/>
      <c r="AK18" s="259"/>
      <c r="AL18" s="259"/>
      <c r="AM18" s="259"/>
      <c r="AN18" s="259"/>
      <c r="AO18" s="259"/>
      <c r="AP18" s="259"/>
      <c r="AQ18" s="259"/>
      <c r="AR18" s="259"/>
      <c r="AS18" s="259"/>
      <c r="AT18" s="259"/>
      <c r="AU18" s="259"/>
      <c r="AV18" s="259"/>
      <c r="AW18" s="259"/>
      <c r="AX18" s="259"/>
      <c r="AY18" s="259"/>
      <c r="AZ18" s="259"/>
      <c r="BA18" s="259"/>
      <c r="BB18" s="259"/>
      <c r="BC18" s="259"/>
      <c r="BD18" s="259"/>
      <c r="BE18" s="259"/>
      <c r="BF18" s="259"/>
      <c r="BG18" s="259"/>
      <c r="BH18" s="259"/>
      <c r="BI18" s="259"/>
      <c r="BJ18" s="259"/>
      <c r="BK18" s="259"/>
    </row>
    <row r="19" spans="1:63" x14ac:dyDescent="0.35">
      <c r="A19" s="251" t="s">
        <v>251</v>
      </c>
      <c r="D19" s="367">
        <f t="array" ref="D19:BK44">IF(B18="Base",INDEX(K66:K91,0,0),IF(B18="Historical",INDEX(J66:J91,0,0),IF(B18="Best",INDEX(H66:H91,0,0),IF(B18="Better",INDEX(I66:I91,0,0),INDEX(L66:L91,0,0)))))</f>
        <v>0.75</v>
      </c>
      <c r="E19" s="367">
        <v>0.75</v>
      </c>
      <c r="F19" s="367">
        <v>0.75</v>
      </c>
      <c r="G19" s="367">
        <v>0.75</v>
      </c>
      <c r="H19" s="367">
        <v>0.75</v>
      </c>
      <c r="I19" s="367">
        <v>0.75</v>
      </c>
      <c r="J19" s="367">
        <v>0.75</v>
      </c>
      <c r="K19" s="367">
        <v>0.75</v>
      </c>
      <c r="L19" s="367">
        <v>0.75</v>
      </c>
      <c r="M19" s="367">
        <v>0.75</v>
      </c>
      <c r="N19" s="367">
        <v>0.75</v>
      </c>
      <c r="O19" s="367">
        <v>0.75</v>
      </c>
      <c r="P19" s="367">
        <v>0.75</v>
      </c>
      <c r="Q19" s="367">
        <v>0.75</v>
      </c>
      <c r="R19" s="367">
        <v>0.75</v>
      </c>
      <c r="S19" s="367">
        <v>0.75</v>
      </c>
      <c r="T19" s="367">
        <v>0.75</v>
      </c>
      <c r="U19" s="367">
        <v>0.75</v>
      </c>
      <c r="V19" s="367">
        <v>0.75</v>
      </c>
      <c r="W19" s="367">
        <v>0.75</v>
      </c>
      <c r="X19" s="367">
        <v>0.75</v>
      </c>
      <c r="Y19" s="367">
        <v>0.75</v>
      </c>
      <c r="Z19" s="367">
        <v>0.75</v>
      </c>
      <c r="AA19" s="367">
        <v>0.75</v>
      </c>
      <c r="AB19" s="367">
        <v>0.75</v>
      </c>
      <c r="AC19" s="367">
        <v>0.75</v>
      </c>
      <c r="AD19" s="367">
        <v>0.75</v>
      </c>
      <c r="AE19" s="289">
        <v>0.75</v>
      </c>
      <c r="AF19" s="289">
        <v>0.75</v>
      </c>
      <c r="AG19" s="289">
        <v>0.75</v>
      </c>
      <c r="AH19" s="289">
        <v>0.75</v>
      </c>
      <c r="AI19" s="289">
        <v>0.75</v>
      </c>
      <c r="AJ19" s="289">
        <v>0.75</v>
      </c>
      <c r="AK19" s="289">
        <v>0.75</v>
      </c>
      <c r="AL19" s="289">
        <v>0.75</v>
      </c>
      <c r="AM19" s="289">
        <v>0.75</v>
      </c>
      <c r="AN19" s="367">
        <v>0.75</v>
      </c>
      <c r="AO19" s="367">
        <v>0.75</v>
      </c>
      <c r="AP19" s="367">
        <v>0.75</v>
      </c>
      <c r="AQ19" s="367">
        <v>0.75</v>
      </c>
      <c r="AR19" s="367">
        <v>0.75</v>
      </c>
      <c r="AS19" s="367">
        <v>0.75</v>
      </c>
      <c r="AT19" s="367">
        <v>0.75</v>
      </c>
      <c r="AU19" s="367">
        <v>0.75</v>
      </c>
      <c r="AV19" s="367">
        <v>0.75</v>
      </c>
      <c r="AW19" s="367">
        <v>0.75</v>
      </c>
      <c r="AX19" s="367">
        <v>0.75</v>
      </c>
      <c r="AY19" s="367">
        <v>0.75</v>
      </c>
      <c r="AZ19" s="367">
        <v>0.75</v>
      </c>
      <c r="BA19" s="367">
        <v>0.75</v>
      </c>
      <c r="BB19" s="367">
        <v>0.75</v>
      </c>
      <c r="BC19" s="367">
        <v>0.75</v>
      </c>
      <c r="BD19" s="367">
        <v>0.75</v>
      </c>
      <c r="BE19" s="367">
        <v>0.75</v>
      </c>
      <c r="BF19" s="367">
        <v>0.75</v>
      </c>
      <c r="BG19" s="367">
        <v>0.75</v>
      </c>
      <c r="BH19" s="367">
        <v>0.75</v>
      </c>
      <c r="BI19" s="367">
        <v>0.75</v>
      </c>
      <c r="BJ19" s="367">
        <v>0.75</v>
      </c>
      <c r="BK19" s="367">
        <v>0.75</v>
      </c>
    </row>
    <row r="20" spans="1:63" x14ac:dyDescent="0.35">
      <c r="A20" s="251" t="s">
        <v>252</v>
      </c>
      <c r="D20" s="367">
        <v>0.61</v>
      </c>
      <c r="E20" s="367">
        <v>0.61</v>
      </c>
      <c r="F20" s="367">
        <v>0.61</v>
      </c>
      <c r="G20" s="367">
        <v>0.61</v>
      </c>
      <c r="H20" s="367">
        <v>0.61</v>
      </c>
      <c r="I20" s="367">
        <v>0.61</v>
      </c>
      <c r="J20" s="367">
        <v>0.61</v>
      </c>
      <c r="K20" s="367">
        <v>0.61</v>
      </c>
      <c r="L20" s="367">
        <v>0.61</v>
      </c>
      <c r="M20" s="367">
        <v>0.61</v>
      </c>
      <c r="N20" s="367">
        <v>0.61</v>
      </c>
      <c r="O20" s="367">
        <v>0.61</v>
      </c>
      <c r="P20" s="367">
        <v>0.61</v>
      </c>
      <c r="Q20" s="367">
        <v>0.61</v>
      </c>
      <c r="R20" s="367">
        <v>0.61</v>
      </c>
      <c r="S20" s="367">
        <v>0.61</v>
      </c>
      <c r="T20" s="367">
        <v>0.61</v>
      </c>
      <c r="U20" s="367">
        <v>0.61</v>
      </c>
      <c r="V20" s="367">
        <v>0.61</v>
      </c>
      <c r="W20" s="367">
        <v>0.61</v>
      </c>
      <c r="X20" s="367">
        <v>0.61</v>
      </c>
      <c r="Y20" s="367">
        <v>0.61</v>
      </c>
      <c r="Z20" s="367">
        <v>0.61</v>
      </c>
      <c r="AA20" s="367">
        <v>0.61</v>
      </c>
      <c r="AB20" s="367">
        <v>0.61</v>
      </c>
      <c r="AC20" s="367">
        <v>0.61</v>
      </c>
      <c r="AD20" s="367">
        <v>0.61</v>
      </c>
      <c r="AE20" s="289">
        <v>0.61</v>
      </c>
      <c r="AF20" s="289">
        <v>0.61</v>
      </c>
      <c r="AG20" s="289">
        <v>0.61</v>
      </c>
      <c r="AH20" s="289">
        <v>0.61</v>
      </c>
      <c r="AI20" s="289">
        <v>0.61</v>
      </c>
      <c r="AJ20" s="289">
        <v>0.61</v>
      </c>
      <c r="AK20" s="289">
        <v>0.61</v>
      </c>
      <c r="AL20" s="289">
        <v>0.61</v>
      </c>
      <c r="AM20" s="289">
        <v>0.61</v>
      </c>
      <c r="AN20" s="367">
        <v>0.61</v>
      </c>
      <c r="AO20" s="367">
        <v>0.61</v>
      </c>
      <c r="AP20" s="367">
        <v>0.61</v>
      </c>
      <c r="AQ20" s="367">
        <v>0.61</v>
      </c>
      <c r="AR20" s="367">
        <v>0.61</v>
      </c>
      <c r="AS20" s="367">
        <v>0.61</v>
      </c>
      <c r="AT20" s="367">
        <v>0.61</v>
      </c>
      <c r="AU20" s="367">
        <v>0.61</v>
      </c>
      <c r="AV20" s="367">
        <v>0.61</v>
      </c>
      <c r="AW20" s="367">
        <v>0.61</v>
      </c>
      <c r="AX20" s="367">
        <v>0.61</v>
      </c>
      <c r="AY20" s="367">
        <v>0.61</v>
      </c>
      <c r="AZ20" s="367">
        <v>0.61</v>
      </c>
      <c r="BA20" s="367">
        <v>0.61</v>
      </c>
      <c r="BB20" s="367">
        <v>0.61</v>
      </c>
      <c r="BC20" s="367">
        <v>0.61</v>
      </c>
      <c r="BD20" s="367">
        <v>0.61</v>
      </c>
      <c r="BE20" s="367">
        <v>0.61</v>
      </c>
      <c r="BF20" s="367">
        <v>0.61</v>
      </c>
      <c r="BG20" s="367">
        <v>0.61</v>
      </c>
      <c r="BH20" s="367">
        <v>0.61</v>
      </c>
      <c r="BI20" s="367">
        <v>0.61</v>
      </c>
      <c r="BJ20" s="367">
        <v>0.61</v>
      </c>
      <c r="BK20" s="367">
        <v>0.61</v>
      </c>
    </row>
    <row r="21" spans="1:63" x14ac:dyDescent="0.35">
      <c r="A21" s="251" t="s">
        <v>253</v>
      </c>
      <c r="D21" s="367">
        <v>0.62</v>
      </c>
      <c r="E21" s="367">
        <v>0.62</v>
      </c>
      <c r="F21" s="367">
        <v>0.62</v>
      </c>
      <c r="G21" s="367">
        <v>0.62</v>
      </c>
      <c r="H21" s="367">
        <v>0.62</v>
      </c>
      <c r="I21" s="367">
        <v>0.62</v>
      </c>
      <c r="J21" s="367">
        <v>0.62</v>
      </c>
      <c r="K21" s="367">
        <v>0.62</v>
      </c>
      <c r="L21" s="367">
        <v>0.62</v>
      </c>
      <c r="M21" s="367">
        <v>0.62</v>
      </c>
      <c r="N21" s="367">
        <v>0.62</v>
      </c>
      <c r="O21" s="367">
        <v>0.62</v>
      </c>
      <c r="P21" s="367">
        <v>0.62</v>
      </c>
      <c r="Q21" s="367">
        <v>0.62</v>
      </c>
      <c r="R21" s="367">
        <v>0.62</v>
      </c>
      <c r="S21" s="367">
        <v>0.62</v>
      </c>
      <c r="T21" s="367">
        <v>0.62</v>
      </c>
      <c r="U21" s="367">
        <v>0.62</v>
      </c>
      <c r="V21" s="367">
        <v>0.62</v>
      </c>
      <c r="W21" s="367">
        <v>0.62</v>
      </c>
      <c r="X21" s="367">
        <v>0.62</v>
      </c>
      <c r="Y21" s="367">
        <v>0.62</v>
      </c>
      <c r="Z21" s="367">
        <v>0.62</v>
      </c>
      <c r="AA21" s="367">
        <v>0.62</v>
      </c>
      <c r="AB21" s="367">
        <v>0.62</v>
      </c>
      <c r="AC21" s="367">
        <v>0.62</v>
      </c>
      <c r="AD21" s="367">
        <v>0.62</v>
      </c>
      <c r="AE21" s="289">
        <v>0.62</v>
      </c>
      <c r="AF21" s="289">
        <v>0.62</v>
      </c>
      <c r="AG21" s="289">
        <v>0.62</v>
      </c>
      <c r="AH21" s="289">
        <v>0.62</v>
      </c>
      <c r="AI21" s="289">
        <v>0.62</v>
      </c>
      <c r="AJ21" s="289">
        <v>0.62</v>
      </c>
      <c r="AK21" s="289">
        <v>0.62</v>
      </c>
      <c r="AL21" s="289">
        <v>0.62</v>
      </c>
      <c r="AM21" s="289">
        <v>0.62</v>
      </c>
      <c r="AN21" s="367">
        <v>0.62</v>
      </c>
      <c r="AO21" s="367">
        <v>0.62</v>
      </c>
      <c r="AP21" s="367">
        <v>0.62</v>
      </c>
      <c r="AQ21" s="367">
        <v>0.62</v>
      </c>
      <c r="AR21" s="367">
        <v>0.62</v>
      </c>
      <c r="AS21" s="367">
        <v>0.62</v>
      </c>
      <c r="AT21" s="367">
        <v>0.62</v>
      </c>
      <c r="AU21" s="367">
        <v>0.62</v>
      </c>
      <c r="AV21" s="367">
        <v>0.62</v>
      </c>
      <c r="AW21" s="367">
        <v>0.62</v>
      </c>
      <c r="AX21" s="367">
        <v>0.62</v>
      </c>
      <c r="AY21" s="367">
        <v>0.62</v>
      </c>
      <c r="AZ21" s="367">
        <v>0.62</v>
      </c>
      <c r="BA21" s="367">
        <v>0.62</v>
      </c>
      <c r="BB21" s="367">
        <v>0.62</v>
      </c>
      <c r="BC21" s="367">
        <v>0.62</v>
      </c>
      <c r="BD21" s="367">
        <v>0.62</v>
      </c>
      <c r="BE21" s="367">
        <v>0.62</v>
      </c>
      <c r="BF21" s="367">
        <v>0.62</v>
      </c>
      <c r="BG21" s="367">
        <v>0.62</v>
      </c>
      <c r="BH21" s="367">
        <v>0.62</v>
      </c>
      <c r="BI21" s="367">
        <v>0.62</v>
      </c>
      <c r="BJ21" s="367">
        <v>0.62</v>
      </c>
      <c r="BK21" s="367">
        <v>0.62</v>
      </c>
    </row>
    <row r="22" spans="1:63" x14ac:dyDescent="0.35">
      <c r="A22" s="251" t="s">
        <v>254</v>
      </c>
      <c r="D22" s="367">
        <v>0.57999999999999996</v>
      </c>
      <c r="E22" s="367">
        <v>0.57999999999999996</v>
      </c>
      <c r="F22" s="367">
        <v>0.57999999999999996</v>
      </c>
      <c r="G22" s="367">
        <v>0.57999999999999996</v>
      </c>
      <c r="H22" s="367">
        <v>0.57999999999999996</v>
      </c>
      <c r="I22" s="367">
        <v>0.57999999999999996</v>
      </c>
      <c r="J22" s="367">
        <v>0.57999999999999996</v>
      </c>
      <c r="K22" s="367">
        <v>0.57999999999999996</v>
      </c>
      <c r="L22" s="367">
        <v>0.57999999999999996</v>
      </c>
      <c r="M22" s="367">
        <v>0.57999999999999996</v>
      </c>
      <c r="N22" s="367">
        <v>0.57999999999999996</v>
      </c>
      <c r="O22" s="367">
        <v>0.57999999999999996</v>
      </c>
      <c r="P22" s="367">
        <v>0.57999999999999996</v>
      </c>
      <c r="Q22" s="367">
        <v>0.57999999999999996</v>
      </c>
      <c r="R22" s="367">
        <v>0.57999999999999996</v>
      </c>
      <c r="S22" s="367">
        <v>0.57999999999999996</v>
      </c>
      <c r="T22" s="367">
        <v>0.57999999999999996</v>
      </c>
      <c r="U22" s="367">
        <v>0.57999999999999996</v>
      </c>
      <c r="V22" s="367">
        <v>0.57999999999999996</v>
      </c>
      <c r="W22" s="367">
        <v>0.57999999999999996</v>
      </c>
      <c r="X22" s="367">
        <v>0.57999999999999996</v>
      </c>
      <c r="Y22" s="367">
        <v>0.57999999999999996</v>
      </c>
      <c r="Z22" s="367">
        <v>0.57999999999999996</v>
      </c>
      <c r="AA22" s="367">
        <v>0.57999999999999996</v>
      </c>
      <c r="AB22" s="367">
        <v>0.57999999999999996</v>
      </c>
      <c r="AC22" s="367">
        <v>0.57999999999999996</v>
      </c>
      <c r="AD22" s="367">
        <v>0.57999999999999996</v>
      </c>
      <c r="AE22" s="289">
        <v>0.57999999999999996</v>
      </c>
      <c r="AF22" s="289">
        <v>0.57999999999999996</v>
      </c>
      <c r="AG22" s="289">
        <v>0.57999999999999996</v>
      </c>
      <c r="AH22" s="289">
        <v>0.57999999999999996</v>
      </c>
      <c r="AI22" s="289">
        <v>0.57999999999999996</v>
      </c>
      <c r="AJ22" s="289">
        <v>0.57999999999999996</v>
      </c>
      <c r="AK22" s="289">
        <v>0.57999999999999996</v>
      </c>
      <c r="AL22" s="289">
        <v>0.57999999999999996</v>
      </c>
      <c r="AM22" s="289">
        <v>0.57999999999999996</v>
      </c>
      <c r="AN22" s="367">
        <v>0.57999999999999996</v>
      </c>
      <c r="AO22" s="367">
        <v>0.57999999999999996</v>
      </c>
      <c r="AP22" s="367">
        <v>0.57999999999999996</v>
      </c>
      <c r="AQ22" s="367">
        <v>0.57999999999999996</v>
      </c>
      <c r="AR22" s="367">
        <v>0.57999999999999996</v>
      </c>
      <c r="AS22" s="367">
        <v>0.57999999999999996</v>
      </c>
      <c r="AT22" s="367">
        <v>0.57999999999999996</v>
      </c>
      <c r="AU22" s="367">
        <v>0.57999999999999996</v>
      </c>
      <c r="AV22" s="367">
        <v>0.57999999999999996</v>
      </c>
      <c r="AW22" s="367">
        <v>0.57999999999999996</v>
      </c>
      <c r="AX22" s="367">
        <v>0.57999999999999996</v>
      </c>
      <c r="AY22" s="367">
        <v>0.57999999999999996</v>
      </c>
      <c r="AZ22" s="367">
        <v>0.57999999999999996</v>
      </c>
      <c r="BA22" s="367">
        <v>0.57999999999999996</v>
      </c>
      <c r="BB22" s="367">
        <v>0.57999999999999996</v>
      </c>
      <c r="BC22" s="367">
        <v>0.57999999999999996</v>
      </c>
      <c r="BD22" s="367">
        <v>0.57999999999999996</v>
      </c>
      <c r="BE22" s="367">
        <v>0.57999999999999996</v>
      </c>
      <c r="BF22" s="367">
        <v>0.57999999999999996</v>
      </c>
      <c r="BG22" s="367">
        <v>0.57999999999999996</v>
      </c>
      <c r="BH22" s="367">
        <v>0.57999999999999996</v>
      </c>
      <c r="BI22" s="367">
        <v>0.57999999999999996</v>
      </c>
      <c r="BJ22" s="367">
        <v>0.57999999999999996</v>
      </c>
      <c r="BK22" s="367">
        <v>0.57999999999999996</v>
      </c>
    </row>
    <row r="23" spans="1:63" x14ac:dyDescent="0.35">
      <c r="A23" s="251" t="s">
        <v>250</v>
      </c>
      <c r="D23" s="367">
        <v>0.56000000000000005</v>
      </c>
      <c r="E23" s="367">
        <v>0.56000000000000005</v>
      </c>
      <c r="F23" s="367">
        <v>0.56000000000000005</v>
      </c>
      <c r="G23" s="367">
        <v>0.56000000000000005</v>
      </c>
      <c r="H23" s="367">
        <v>0.56000000000000005</v>
      </c>
      <c r="I23" s="367">
        <v>0.56000000000000005</v>
      </c>
      <c r="J23" s="367">
        <v>0.56000000000000005</v>
      </c>
      <c r="K23" s="367">
        <v>0.56000000000000005</v>
      </c>
      <c r="L23" s="367">
        <v>0.56000000000000005</v>
      </c>
      <c r="M23" s="367">
        <v>0.56000000000000005</v>
      </c>
      <c r="N23" s="367">
        <v>0.56000000000000005</v>
      </c>
      <c r="O23" s="367">
        <v>0.56000000000000005</v>
      </c>
      <c r="P23" s="367">
        <v>0.56000000000000005</v>
      </c>
      <c r="Q23" s="367">
        <v>0.56000000000000005</v>
      </c>
      <c r="R23" s="367">
        <v>0.56000000000000005</v>
      </c>
      <c r="S23" s="367">
        <v>0.56000000000000005</v>
      </c>
      <c r="T23" s="367">
        <v>0.56000000000000005</v>
      </c>
      <c r="U23" s="367">
        <v>0.56000000000000005</v>
      </c>
      <c r="V23" s="367">
        <v>0.56000000000000005</v>
      </c>
      <c r="W23" s="367">
        <v>0.56000000000000005</v>
      </c>
      <c r="X23" s="367">
        <v>0.56000000000000005</v>
      </c>
      <c r="Y23" s="367">
        <v>0.56000000000000005</v>
      </c>
      <c r="Z23" s="367">
        <v>0.56000000000000005</v>
      </c>
      <c r="AA23" s="367">
        <v>0.56000000000000005</v>
      </c>
      <c r="AB23" s="367">
        <v>0.56000000000000005</v>
      </c>
      <c r="AC23" s="367">
        <v>0.56000000000000005</v>
      </c>
      <c r="AD23" s="367">
        <v>0.56000000000000005</v>
      </c>
      <c r="AE23" s="289">
        <v>0.56000000000000005</v>
      </c>
      <c r="AF23" s="289">
        <v>0.56000000000000005</v>
      </c>
      <c r="AG23" s="289">
        <v>0.56000000000000005</v>
      </c>
      <c r="AH23" s="289">
        <v>0.56000000000000005</v>
      </c>
      <c r="AI23" s="289">
        <v>0.56000000000000005</v>
      </c>
      <c r="AJ23" s="289">
        <v>0.56000000000000005</v>
      </c>
      <c r="AK23" s="289">
        <v>0.56000000000000005</v>
      </c>
      <c r="AL23" s="289">
        <v>0.56000000000000005</v>
      </c>
      <c r="AM23" s="289">
        <v>0.56000000000000005</v>
      </c>
      <c r="AN23" s="367">
        <v>0.56000000000000005</v>
      </c>
      <c r="AO23" s="367">
        <v>0.56000000000000005</v>
      </c>
      <c r="AP23" s="367">
        <v>0.56000000000000005</v>
      </c>
      <c r="AQ23" s="367">
        <v>0.56000000000000005</v>
      </c>
      <c r="AR23" s="367">
        <v>0.56000000000000005</v>
      </c>
      <c r="AS23" s="367">
        <v>0.56000000000000005</v>
      </c>
      <c r="AT23" s="367">
        <v>0.56000000000000005</v>
      </c>
      <c r="AU23" s="367">
        <v>0.56000000000000005</v>
      </c>
      <c r="AV23" s="367">
        <v>0.56000000000000005</v>
      </c>
      <c r="AW23" s="367">
        <v>0.56000000000000005</v>
      </c>
      <c r="AX23" s="367">
        <v>0.56000000000000005</v>
      </c>
      <c r="AY23" s="367">
        <v>0.56000000000000005</v>
      </c>
      <c r="AZ23" s="367">
        <v>0.56000000000000005</v>
      </c>
      <c r="BA23" s="367">
        <v>0.56000000000000005</v>
      </c>
      <c r="BB23" s="367">
        <v>0.56000000000000005</v>
      </c>
      <c r="BC23" s="367">
        <v>0.56000000000000005</v>
      </c>
      <c r="BD23" s="367">
        <v>0.56000000000000005</v>
      </c>
      <c r="BE23" s="367">
        <v>0.56000000000000005</v>
      </c>
      <c r="BF23" s="367">
        <v>0.56000000000000005</v>
      </c>
      <c r="BG23" s="367">
        <v>0.56000000000000005</v>
      </c>
      <c r="BH23" s="367">
        <v>0.56000000000000005</v>
      </c>
      <c r="BI23" s="367">
        <v>0.56000000000000005</v>
      </c>
      <c r="BJ23" s="367">
        <v>0.56000000000000005</v>
      </c>
      <c r="BK23" s="367">
        <v>0.56000000000000005</v>
      </c>
    </row>
    <row r="24" spans="1:63" s="236" customFormat="1" x14ac:dyDescent="0.35">
      <c r="A24" s="251" t="s">
        <v>255</v>
      </c>
      <c r="C24" s="407"/>
      <c r="D24" s="367">
        <v>0.54</v>
      </c>
      <c r="E24" s="367">
        <v>0.54</v>
      </c>
      <c r="F24" s="367">
        <v>0.54</v>
      </c>
      <c r="G24" s="367">
        <v>0.54</v>
      </c>
      <c r="H24" s="367">
        <v>0.54</v>
      </c>
      <c r="I24" s="367">
        <v>0.54</v>
      </c>
      <c r="J24" s="367">
        <v>0.54</v>
      </c>
      <c r="K24" s="367">
        <v>0.54</v>
      </c>
      <c r="L24" s="367">
        <v>0.54</v>
      </c>
      <c r="M24" s="367">
        <v>0.54</v>
      </c>
      <c r="N24" s="367">
        <v>0.54</v>
      </c>
      <c r="O24" s="367">
        <v>0.54</v>
      </c>
      <c r="P24" s="367">
        <v>0.54</v>
      </c>
      <c r="Q24" s="367">
        <v>0.54</v>
      </c>
      <c r="R24" s="367">
        <v>0.54</v>
      </c>
      <c r="S24" s="367">
        <v>0.54</v>
      </c>
      <c r="T24" s="367">
        <v>0.54</v>
      </c>
      <c r="U24" s="367">
        <v>0.54</v>
      </c>
      <c r="V24" s="367">
        <v>0.54</v>
      </c>
      <c r="W24" s="367">
        <v>0.54</v>
      </c>
      <c r="X24" s="367">
        <v>0.54</v>
      </c>
      <c r="Y24" s="367">
        <v>0.54</v>
      </c>
      <c r="Z24" s="367">
        <v>0.54</v>
      </c>
      <c r="AA24" s="367">
        <v>0.54</v>
      </c>
      <c r="AB24" s="367">
        <v>0.54</v>
      </c>
      <c r="AC24" s="367">
        <v>0.54</v>
      </c>
      <c r="AD24" s="367">
        <v>0.54</v>
      </c>
      <c r="AE24" s="289">
        <v>0.54</v>
      </c>
      <c r="AF24" s="289">
        <v>0.54</v>
      </c>
      <c r="AG24" s="289">
        <v>0.54</v>
      </c>
      <c r="AH24" s="289">
        <v>0.54</v>
      </c>
      <c r="AI24" s="289">
        <v>0.54</v>
      </c>
      <c r="AJ24" s="289">
        <v>0.54</v>
      </c>
      <c r="AK24" s="289">
        <v>0.54</v>
      </c>
      <c r="AL24" s="289">
        <v>0.54</v>
      </c>
      <c r="AM24" s="289">
        <v>0.54</v>
      </c>
      <c r="AN24" s="367">
        <v>0.54</v>
      </c>
      <c r="AO24" s="367">
        <v>0.54</v>
      </c>
      <c r="AP24" s="367">
        <v>0.54</v>
      </c>
      <c r="AQ24" s="367">
        <v>0.54</v>
      </c>
      <c r="AR24" s="367">
        <v>0.54</v>
      </c>
      <c r="AS24" s="367">
        <v>0.54</v>
      </c>
      <c r="AT24" s="367">
        <v>0.54</v>
      </c>
      <c r="AU24" s="367">
        <v>0.54</v>
      </c>
      <c r="AV24" s="367">
        <v>0.54</v>
      </c>
      <c r="AW24" s="367">
        <v>0.54</v>
      </c>
      <c r="AX24" s="367">
        <v>0.54</v>
      </c>
      <c r="AY24" s="367">
        <v>0.54</v>
      </c>
      <c r="AZ24" s="367">
        <v>0.54</v>
      </c>
      <c r="BA24" s="367">
        <v>0.54</v>
      </c>
      <c r="BB24" s="367">
        <v>0.54</v>
      </c>
      <c r="BC24" s="367">
        <v>0.54</v>
      </c>
      <c r="BD24" s="367">
        <v>0.54</v>
      </c>
      <c r="BE24" s="367">
        <v>0.54</v>
      </c>
      <c r="BF24" s="367">
        <v>0.54</v>
      </c>
      <c r="BG24" s="367">
        <v>0.54</v>
      </c>
      <c r="BH24" s="367">
        <v>0.54</v>
      </c>
      <c r="BI24" s="367">
        <v>0.54</v>
      </c>
      <c r="BJ24" s="367">
        <v>0.54</v>
      </c>
      <c r="BK24" s="367">
        <v>0.54</v>
      </c>
    </row>
    <row r="25" spans="1:63" s="236" customFormat="1" x14ac:dyDescent="0.35">
      <c r="A25" s="251" t="s">
        <v>256</v>
      </c>
      <c r="C25" s="407"/>
      <c r="D25" s="367">
        <v>0.52</v>
      </c>
      <c r="E25" s="367">
        <v>0.52</v>
      </c>
      <c r="F25" s="367">
        <v>0.52</v>
      </c>
      <c r="G25" s="367">
        <v>0.52</v>
      </c>
      <c r="H25" s="367">
        <v>0.52</v>
      </c>
      <c r="I25" s="367">
        <v>0.52</v>
      </c>
      <c r="J25" s="367">
        <v>0.52</v>
      </c>
      <c r="K25" s="367">
        <v>0.52</v>
      </c>
      <c r="L25" s="367">
        <v>0.52</v>
      </c>
      <c r="M25" s="367">
        <v>0.52</v>
      </c>
      <c r="N25" s="367">
        <v>0.52</v>
      </c>
      <c r="O25" s="367">
        <v>0.52</v>
      </c>
      <c r="P25" s="367">
        <v>0.52</v>
      </c>
      <c r="Q25" s="367">
        <v>0.52</v>
      </c>
      <c r="R25" s="367">
        <v>0.52</v>
      </c>
      <c r="S25" s="367">
        <v>0.52</v>
      </c>
      <c r="T25" s="367">
        <v>0.52</v>
      </c>
      <c r="U25" s="367">
        <v>0.52</v>
      </c>
      <c r="V25" s="367">
        <v>0.52</v>
      </c>
      <c r="W25" s="367">
        <v>0.52</v>
      </c>
      <c r="X25" s="367">
        <v>0.52</v>
      </c>
      <c r="Y25" s="367">
        <v>0.52</v>
      </c>
      <c r="Z25" s="367">
        <v>0.52</v>
      </c>
      <c r="AA25" s="367">
        <v>0.52</v>
      </c>
      <c r="AB25" s="367">
        <v>0.52</v>
      </c>
      <c r="AC25" s="367">
        <v>0.52</v>
      </c>
      <c r="AD25" s="367">
        <v>0.52</v>
      </c>
      <c r="AE25" s="289">
        <v>0.52</v>
      </c>
      <c r="AF25" s="289">
        <v>0.52</v>
      </c>
      <c r="AG25" s="289">
        <v>0.52</v>
      </c>
      <c r="AH25" s="289">
        <v>0.52</v>
      </c>
      <c r="AI25" s="289">
        <v>0.52</v>
      </c>
      <c r="AJ25" s="289">
        <v>0.52</v>
      </c>
      <c r="AK25" s="289">
        <v>0.52</v>
      </c>
      <c r="AL25" s="289">
        <v>0.52</v>
      </c>
      <c r="AM25" s="289">
        <v>0.52</v>
      </c>
      <c r="AN25" s="367">
        <v>0.52</v>
      </c>
      <c r="AO25" s="367">
        <v>0.52</v>
      </c>
      <c r="AP25" s="367">
        <v>0.52</v>
      </c>
      <c r="AQ25" s="367">
        <v>0.52</v>
      </c>
      <c r="AR25" s="367">
        <v>0.52</v>
      </c>
      <c r="AS25" s="367">
        <v>0.52</v>
      </c>
      <c r="AT25" s="367">
        <v>0.52</v>
      </c>
      <c r="AU25" s="367">
        <v>0.52</v>
      </c>
      <c r="AV25" s="367">
        <v>0.52</v>
      </c>
      <c r="AW25" s="367">
        <v>0.52</v>
      </c>
      <c r="AX25" s="367">
        <v>0.52</v>
      </c>
      <c r="AY25" s="367">
        <v>0.52</v>
      </c>
      <c r="AZ25" s="367">
        <v>0.52</v>
      </c>
      <c r="BA25" s="367">
        <v>0.52</v>
      </c>
      <c r="BB25" s="367">
        <v>0.52</v>
      </c>
      <c r="BC25" s="367">
        <v>0.52</v>
      </c>
      <c r="BD25" s="367">
        <v>0.52</v>
      </c>
      <c r="BE25" s="367">
        <v>0.52</v>
      </c>
      <c r="BF25" s="367">
        <v>0.52</v>
      </c>
      <c r="BG25" s="367">
        <v>0.52</v>
      </c>
      <c r="BH25" s="367">
        <v>0.52</v>
      </c>
      <c r="BI25" s="367">
        <v>0.52</v>
      </c>
      <c r="BJ25" s="367">
        <v>0.52</v>
      </c>
      <c r="BK25" s="367">
        <v>0.52</v>
      </c>
    </row>
    <row r="26" spans="1:63" s="236" customFormat="1" x14ac:dyDescent="0.35">
      <c r="A26" s="251" t="s">
        <v>257</v>
      </c>
      <c r="C26" s="407"/>
      <c r="D26" s="367">
        <v>0.52</v>
      </c>
      <c r="E26" s="367">
        <v>0.52</v>
      </c>
      <c r="F26" s="367">
        <v>0.52</v>
      </c>
      <c r="G26" s="367">
        <v>0.52</v>
      </c>
      <c r="H26" s="367">
        <v>0.52</v>
      </c>
      <c r="I26" s="367">
        <v>0.52</v>
      </c>
      <c r="J26" s="367">
        <v>0.52</v>
      </c>
      <c r="K26" s="367">
        <v>0.52</v>
      </c>
      <c r="L26" s="367">
        <v>0.52</v>
      </c>
      <c r="M26" s="367">
        <v>0.52</v>
      </c>
      <c r="N26" s="367">
        <v>0.52</v>
      </c>
      <c r="O26" s="367">
        <v>0.52</v>
      </c>
      <c r="P26" s="367">
        <v>0.52</v>
      </c>
      <c r="Q26" s="367">
        <v>0.52</v>
      </c>
      <c r="R26" s="367">
        <v>0.52</v>
      </c>
      <c r="S26" s="367">
        <v>0.52</v>
      </c>
      <c r="T26" s="367">
        <v>0.52</v>
      </c>
      <c r="U26" s="367">
        <v>0.52</v>
      </c>
      <c r="V26" s="367">
        <v>0.52</v>
      </c>
      <c r="W26" s="367">
        <v>0.52</v>
      </c>
      <c r="X26" s="367">
        <v>0.52</v>
      </c>
      <c r="Y26" s="367">
        <v>0.52</v>
      </c>
      <c r="Z26" s="367">
        <v>0.52</v>
      </c>
      <c r="AA26" s="367">
        <v>0.52</v>
      </c>
      <c r="AB26" s="367">
        <v>0.52</v>
      </c>
      <c r="AC26" s="367">
        <v>0.52</v>
      </c>
      <c r="AD26" s="367">
        <v>0.52</v>
      </c>
      <c r="AE26" s="289">
        <v>0.52</v>
      </c>
      <c r="AF26" s="289">
        <v>0.52</v>
      </c>
      <c r="AG26" s="289">
        <v>0.52</v>
      </c>
      <c r="AH26" s="289">
        <v>0.52</v>
      </c>
      <c r="AI26" s="289">
        <v>0.52</v>
      </c>
      <c r="AJ26" s="289">
        <v>0.52</v>
      </c>
      <c r="AK26" s="289">
        <v>0.52</v>
      </c>
      <c r="AL26" s="289">
        <v>0.52</v>
      </c>
      <c r="AM26" s="289">
        <v>0.52</v>
      </c>
      <c r="AN26" s="367">
        <v>0.52</v>
      </c>
      <c r="AO26" s="367">
        <v>0.52</v>
      </c>
      <c r="AP26" s="367">
        <v>0.52</v>
      </c>
      <c r="AQ26" s="367">
        <v>0.52</v>
      </c>
      <c r="AR26" s="367">
        <v>0.52</v>
      </c>
      <c r="AS26" s="367">
        <v>0.52</v>
      </c>
      <c r="AT26" s="367">
        <v>0.52</v>
      </c>
      <c r="AU26" s="367">
        <v>0.52</v>
      </c>
      <c r="AV26" s="367">
        <v>0.52</v>
      </c>
      <c r="AW26" s="367">
        <v>0.52</v>
      </c>
      <c r="AX26" s="367">
        <v>0.52</v>
      </c>
      <c r="AY26" s="367">
        <v>0.52</v>
      </c>
      <c r="AZ26" s="367">
        <v>0.52</v>
      </c>
      <c r="BA26" s="367">
        <v>0.52</v>
      </c>
      <c r="BB26" s="367">
        <v>0.52</v>
      </c>
      <c r="BC26" s="367">
        <v>0.52</v>
      </c>
      <c r="BD26" s="367">
        <v>0.52</v>
      </c>
      <c r="BE26" s="367">
        <v>0.52</v>
      </c>
      <c r="BF26" s="367">
        <v>0.52</v>
      </c>
      <c r="BG26" s="367">
        <v>0.52</v>
      </c>
      <c r="BH26" s="367">
        <v>0.52</v>
      </c>
      <c r="BI26" s="367">
        <v>0.52</v>
      </c>
      <c r="BJ26" s="367">
        <v>0.52</v>
      </c>
      <c r="BK26" s="367">
        <v>0.52</v>
      </c>
    </row>
    <row r="27" spans="1:63" s="236" customFormat="1" x14ac:dyDescent="0.35">
      <c r="A27" s="251" t="s">
        <v>258</v>
      </c>
      <c r="C27" s="407"/>
      <c r="D27" s="367">
        <v>0.51</v>
      </c>
      <c r="E27" s="367">
        <v>0.51</v>
      </c>
      <c r="F27" s="367">
        <v>0.51</v>
      </c>
      <c r="G27" s="367">
        <v>0.51</v>
      </c>
      <c r="H27" s="367">
        <v>0.51</v>
      </c>
      <c r="I27" s="367">
        <v>0.51</v>
      </c>
      <c r="J27" s="367">
        <v>0.51</v>
      </c>
      <c r="K27" s="367">
        <v>0.51</v>
      </c>
      <c r="L27" s="367">
        <v>0.51</v>
      </c>
      <c r="M27" s="367">
        <v>0.51</v>
      </c>
      <c r="N27" s="367">
        <v>0.51</v>
      </c>
      <c r="O27" s="367">
        <v>0.51</v>
      </c>
      <c r="P27" s="367">
        <v>0.51</v>
      </c>
      <c r="Q27" s="367">
        <v>0.51</v>
      </c>
      <c r="R27" s="367">
        <v>0.51</v>
      </c>
      <c r="S27" s="367">
        <v>0.51</v>
      </c>
      <c r="T27" s="367">
        <v>0.51</v>
      </c>
      <c r="U27" s="367">
        <v>0.51</v>
      </c>
      <c r="V27" s="367">
        <v>0.51</v>
      </c>
      <c r="W27" s="367">
        <v>0.51</v>
      </c>
      <c r="X27" s="367">
        <v>0.51</v>
      </c>
      <c r="Y27" s="367">
        <v>0.51</v>
      </c>
      <c r="Z27" s="367">
        <v>0.51</v>
      </c>
      <c r="AA27" s="367">
        <v>0.51</v>
      </c>
      <c r="AB27" s="367">
        <v>0.51</v>
      </c>
      <c r="AC27" s="367">
        <v>0.51</v>
      </c>
      <c r="AD27" s="367">
        <v>0.51</v>
      </c>
      <c r="AE27" s="289">
        <v>0.51</v>
      </c>
      <c r="AF27" s="289">
        <v>0.51</v>
      </c>
      <c r="AG27" s="289">
        <v>0.51</v>
      </c>
      <c r="AH27" s="289">
        <v>0.51</v>
      </c>
      <c r="AI27" s="289">
        <v>0.51</v>
      </c>
      <c r="AJ27" s="289">
        <v>0.51</v>
      </c>
      <c r="AK27" s="289">
        <v>0.51</v>
      </c>
      <c r="AL27" s="289">
        <v>0.51</v>
      </c>
      <c r="AM27" s="289">
        <v>0.51</v>
      </c>
      <c r="AN27" s="367">
        <v>0.51</v>
      </c>
      <c r="AO27" s="367">
        <v>0.51</v>
      </c>
      <c r="AP27" s="367">
        <v>0.51</v>
      </c>
      <c r="AQ27" s="367">
        <v>0.51</v>
      </c>
      <c r="AR27" s="367">
        <v>0.51</v>
      </c>
      <c r="AS27" s="367">
        <v>0.51</v>
      </c>
      <c r="AT27" s="367">
        <v>0.51</v>
      </c>
      <c r="AU27" s="367">
        <v>0.51</v>
      </c>
      <c r="AV27" s="367">
        <v>0.51</v>
      </c>
      <c r="AW27" s="367">
        <v>0.51</v>
      </c>
      <c r="AX27" s="367">
        <v>0.51</v>
      </c>
      <c r="AY27" s="367">
        <v>0.51</v>
      </c>
      <c r="AZ27" s="367">
        <v>0.51</v>
      </c>
      <c r="BA27" s="367">
        <v>0.51</v>
      </c>
      <c r="BB27" s="367">
        <v>0.51</v>
      </c>
      <c r="BC27" s="367">
        <v>0.51</v>
      </c>
      <c r="BD27" s="367">
        <v>0.51</v>
      </c>
      <c r="BE27" s="367">
        <v>0.51</v>
      </c>
      <c r="BF27" s="367">
        <v>0.51</v>
      </c>
      <c r="BG27" s="367">
        <v>0.51</v>
      </c>
      <c r="BH27" s="367">
        <v>0.51</v>
      </c>
      <c r="BI27" s="367">
        <v>0.51</v>
      </c>
      <c r="BJ27" s="367">
        <v>0.51</v>
      </c>
      <c r="BK27" s="367">
        <v>0.51</v>
      </c>
    </row>
    <row r="28" spans="1:63" s="236" customFormat="1" x14ac:dyDescent="0.35">
      <c r="A28" s="251" t="s">
        <v>259</v>
      </c>
      <c r="C28" s="407"/>
      <c r="D28" s="367">
        <v>0.5</v>
      </c>
      <c r="E28" s="367">
        <v>0.5</v>
      </c>
      <c r="F28" s="367">
        <v>0.5</v>
      </c>
      <c r="G28" s="367">
        <v>0.5</v>
      </c>
      <c r="H28" s="367">
        <v>0.5</v>
      </c>
      <c r="I28" s="367">
        <v>0.5</v>
      </c>
      <c r="J28" s="367">
        <v>0.5</v>
      </c>
      <c r="K28" s="367">
        <v>0.5</v>
      </c>
      <c r="L28" s="367">
        <v>0.5</v>
      </c>
      <c r="M28" s="367">
        <v>0.5</v>
      </c>
      <c r="N28" s="367">
        <v>0.5</v>
      </c>
      <c r="O28" s="367">
        <v>0.5</v>
      </c>
      <c r="P28" s="367">
        <v>0.5</v>
      </c>
      <c r="Q28" s="367">
        <v>0.5</v>
      </c>
      <c r="R28" s="367">
        <v>0.5</v>
      </c>
      <c r="S28" s="367">
        <v>0.5</v>
      </c>
      <c r="T28" s="367">
        <v>0.5</v>
      </c>
      <c r="U28" s="367">
        <v>0.5</v>
      </c>
      <c r="V28" s="367">
        <v>0.5</v>
      </c>
      <c r="W28" s="367">
        <v>0.5</v>
      </c>
      <c r="X28" s="367">
        <v>0.5</v>
      </c>
      <c r="Y28" s="367">
        <v>0.5</v>
      </c>
      <c r="Z28" s="367">
        <v>0.5</v>
      </c>
      <c r="AA28" s="367">
        <v>0.5</v>
      </c>
      <c r="AB28" s="367">
        <v>0.5</v>
      </c>
      <c r="AC28" s="367">
        <v>0.5</v>
      </c>
      <c r="AD28" s="367">
        <v>0.5</v>
      </c>
      <c r="AE28" s="289">
        <v>0.5</v>
      </c>
      <c r="AF28" s="289">
        <v>0.5</v>
      </c>
      <c r="AG28" s="289">
        <v>0.5</v>
      </c>
      <c r="AH28" s="289">
        <v>0.5</v>
      </c>
      <c r="AI28" s="289">
        <v>0.5</v>
      </c>
      <c r="AJ28" s="289">
        <v>0.5</v>
      </c>
      <c r="AK28" s="289">
        <v>0.5</v>
      </c>
      <c r="AL28" s="289">
        <v>0.5</v>
      </c>
      <c r="AM28" s="289">
        <v>0.5</v>
      </c>
      <c r="AN28" s="367">
        <v>0.5</v>
      </c>
      <c r="AO28" s="367">
        <v>0.5</v>
      </c>
      <c r="AP28" s="367">
        <v>0.5</v>
      </c>
      <c r="AQ28" s="367">
        <v>0.5</v>
      </c>
      <c r="AR28" s="367">
        <v>0.5</v>
      </c>
      <c r="AS28" s="367">
        <v>0.5</v>
      </c>
      <c r="AT28" s="367">
        <v>0.5</v>
      </c>
      <c r="AU28" s="367">
        <v>0.5</v>
      </c>
      <c r="AV28" s="367">
        <v>0.5</v>
      </c>
      <c r="AW28" s="367">
        <v>0.5</v>
      </c>
      <c r="AX28" s="367">
        <v>0.5</v>
      </c>
      <c r="AY28" s="367">
        <v>0.5</v>
      </c>
      <c r="AZ28" s="367">
        <v>0.5</v>
      </c>
      <c r="BA28" s="367">
        <v>0.5</v>
      </c>
      <c r="BB28" s="367">
        <v>0.5</v>
      </c>
      <c r="BC28" s="367">
        <v>0.5</v>
      </c>
      <c r="BD28" s="367">
        <v>0.5</v>
      </c>
      <c r="BE28" s="367">
        <v>0.5</v>
      </c>
      <c r="BF28" s="367">
        <v>0.5</v>
      </c>
      <c r="BG28" s="367">
        <v>0.5</v>
      </c>
      <c r="BH28" s="367">
        <v>0.5</v>
      </c>
      <c r="BI28" s="367">
        <v>0.5</v>
      </c>
      <c r="BJ28" s="367">
        <v>0.5</v>
      </c>
      <c r="BK28" s="367">
        <v>0.5</v>
      </c>
    </row>
    <row r="29" spans="1:63" s="236" customFormat="1" x14ac:dyDescent="0.35">
      <c r="A29" s="251" t="s">
        <v>260</v>
      </c>
      <c r="C29" s="407"/>
      <c r="D29" s="367">
        <v>0.51</v>
      </c>
      <c r="E29" s="367">
        <v>0.51</v>
      </c>
      <c r="F29" s="367">
        <v>0.51</v>
      </c>
      <c r="G29" s="367">
        <v>0.51</v>
      </c>
      <c r="H29" s="367">
        <v>0.51</v>
      </c>
      <c r="I29" s="367">
        <v>0.51</v>
      </c>
      <c r="J29" s="367">
        <v>0.51</v>
      </c>
      <c r="K29" s="367">
        <v>0.51</v>
      </c>
      <c r="L29" s="367">
        <v>0.51</v>
      </c>
      <c r="M29" s="367">
        <v>0.51</v>
      </c>
      <c r="N29" s="367">
        <v>0.51</v>
      </c>
      <c r="O29" s="367">
        <v>0.51</v>
      </c>
      <c r="P29" s="367">
        <v>0.51</v>
      </c>
      <c r="Q29" s="367">
        <v>0.51</v>
      </c>
      <c r="R29" s="367">
        <v>0.51</v>
      </c>
      <c r="S29" s="367">
        <v>0.51</v>
      </c>
      <c r="T29" s="367">
        <v>0.51</v>
      </c>
      <c r="U29" s="367">
        <v>0.51</v>
      </c>
      <c r="V29" s="367">
        <v>0.51</v>
      </c>
      <c r="W29" s="367">
        <v>0.51</v>
      </c>
      <c r="X29" s="367">
        <v>0.51</v>
      </c>
      <c r="Y29" s="367">
        <v>0.51</v>
      </c>
      <c r="Z29" s="367">
        <v>0.51</v>
      </c>
      <c r="AA29" s="367">
        <v>0.51</v>
      </c>
      <c r="AB29" s="367">
        <v>0.51</v>
      </c>
      <c r="AC29" s="367">
        <v>0.51</v>
      </c>
      <c r="AD29" s="367">
        <v>0.51</v>
      </c>
      <c r="AE29" s="289">
        <v>0.51</v>
      </c>
      <c r="AF29" s="289">
        <v>0.51</v>
      </c>
      <c r="AG29" s="289">
        <v>0.51</v>
      </c>
      <c r="AH29" s="289">
        <v>0.51</v>
      </c>
      <c r="AI29" s="289">
        <v>0.51</v>
      </c>
      <c r="AJ29" s="289">
        <v>0.51</v>
      </c>
      <c r="AK29" s="289">
        <v>0.51</v>
      </c>
      <c r="AL29" s="289">
        <v>0.51</v>
      </c>
      <c r="AM29" s="289">
        <v>0.51</v>
      </c>
      <c r="AN29" s="367">
        <v>0.51</v>
      </c>
      <c r="AO29" s="367">
        <v>0.51</v>
      </c>
      <c r="AP29" s="367">
        <v>0.51</v>
      </c>
      <c r="AQ29" s="367">
        <v>0.51</v>
      </c>
      <c r="AR29" s="367">
        <v>0.51</v>
      </c>
      <c r="AS29" s="367">
        <v>0.51</v>
      </c>
      <c r="AT29" s="367">
        <v>0.51</v>
      </c>
      <c r="AU29" s="367">
        <v>0.51</v>
      </c>
      <c r="AV29" s="367">
        <v>0.51</v>
      </c>
      <c r="AW29" s="367">
        <v>0.51</v>
      </c>
      <c r="AX29" s="367">
        <v>0.51</v>
      </c>
      <c r="AY29" s="367">
        <v>0.51</v>
      </c>
      <c r="AZ29" s="367">
        <v>0.51</v>
      </c>
      <c r="BA29" s="367">
        <v>0.51</v>
      </c>
      <c r="BB29" s="367">
        <v>0.51</v>
      </c>
      <c r="BC29" s="367">
        <v>0.51</v>
      </c>
      <c r="BD29" s="367">
        <v>0.51</v>
      </c>
      <c r="BE29" s="367">
        <v>0.51</v>
      </c>
      <c r="BF29" s="367">
        <v>0.51</v>
      </c>
      <c r="BG29" s="367">
        <v>0.51</v>
      </c>
      <c r="BH29" s="367">
        <v>0.51</v>
      </c>
      <c r="BI29" s="367">
        <v>0.51</v>
      </c>
      <c r="BJ29" s="367">
        <v>0.51</v>
      </c>
      <c r="BK29" s="367">
        <v>0.51</v>
      </c>
    </row>
    <row r="30" spans="1:63" s="236" customFormat="1" x14ac:dyDescent="0.35">
      <c r="A30" s="251" t="s">
        <v>261</v>
      </c>
      <c r="C30" s="407"/>
      <c r="D30" s="367">
        <v>0.51</v>
      </c>
      <c r="E30" s="367">
        <v>0.51</v>
      </c>
      <c r="F30" s="367">
        <v>0.51</v>
      </c>
      <c r="G30" s="367">
        <v>0.51</v>
      </c>
      <c r="H30" s="367">
        <v>0.51</v>
      </c>
      <c r="I30" s="367">
        <v>0.51</v>
      </c>
      <c r="J30" s="367">
        <v>0.51</v>
      </c>
      <c r="K30" s="367">
        <v>0.51</v>
      </c>
      <c r="L30" s="367">
        <v>0.51</v>
      </c>
      <c r="M30" s="367">
        <v>0.51</v>
      </c>
      <c r="N30" s="367">
        <v>0.51</v>
      </c>
      <c r="O30" s="367">
        <v>0.51</v>
      </c>
      <c r="P30" s="367">
        <v>0.51</v>
      </c>
      <c r="Q30" s="367">
        <v>0.51</v>
      </c>
      <c r="R30" s="367">
        <v>0.51</v>
      </c>
      <c r="S30" s="367">
        <v>0.51</v>
      </c>
      <c r="T30" s="367">
        <v>0.51</v>
      </c>
      <c r="U30" s="367">
        <v>0.51</v>
      </c>
      <c r="V30" s="367">
        <v>0.51</v>
      </c>
      <c r="W30" s="367">
        <v>0.51</v>
      </c>
      <c r="X30" s="367">
        <v>0.51</v>
      </c>
      <c r="Y30" s="367">
        <v>0.51</v>
      </c>
      <c r="Z30" s="367">
        <v>0.51</v>
      </c>
      <c r="AA30" s="367">
        <v>0.51</v>
      </c>
      <c r="AB30" s="367">
        <v>0.51</v>
      </c>
      <c r="AC30" s="367">
        <v>0.51</v>
      </c>
      <c r="AD30" s="367">
        <v>0.51</v>
      </c>
      <c r="AE30" s="289">
        <v>0.51</v>
      </c>
      <c r="AF30" s="289">
        <v>0.51</v>
      </c>
      <c r="AG30" s="289">
        <v>0.51</v>
      </c>
      <c r="AH30" s="289">
        <v>0.51</v>
      </c>
      <c r="AI30" s="289">
        <v>0.51</v>
      </c>
      <c r="AJ30" s="289">
        <v>0.51</v>
      </c>
      <c r="AK30" s="289">
        <v>0.51</v>
      </c>
      <c r="AL30" s="289">
        <v>0.51</v>
      </c>
      <c r="AM30" s="289">
        <v>0.51</v>
      </c>
      <c r="AN30" s="367">
        <v>0.51</v>
      </c>
      <c r="AO30" s="367">
        <v>0.51</v>
      </c>
      <c r="AP30" s="367">
        <v>0.51</v>
      </c>
      <c r="AQ30" s="367">
        <v>0.51</v>
      </c>
      <c r="AR30" s="367">
        <v>0.51</v>
      </c>
      <c r="AS30" s="367">
        <v>0.51</v>
      </c>
      <c r="AT30" s="367">
        <v>0.51</v>
      </c>
      <c r="AU30" s="367">
        <v>0.51</v>
      </c>
      <c r="AV30" s="367">
        <v>0.51</v>
      </c>
      <c r="AW30" s="367">
        <v>0.51</v>
      </c>
      <c r="AX30" s="367">
        <v>0.51</v>
      </c>
      <c r="AY30" s="367">
        <v>0.51</v>
      </c>
      <c r="AZ30" s="367">
        <v>0.51</v>
      </c>
      <c r="BA30" s="367">
        <v>0.51</v>
      </c>
      <c r="BB30" s="367">
        <v>0.51</v>
      </c>
      <c r="BC30" s="367">
        <v>0.51</v>
      </c>
      <c r="BD30" s="367">
        <v>0.51</v>
      </c>
      <c r="BE30" s="367">
        <v>0.51</v>
      </c>
      <c r="BF30" s="367">
        <v>0.51</v>
      </c>
      <c r="BG30" s="367">
        <v>0.51</v>
      </c>
      <c r="BH30" s="367">
        <v>0.51</v>
      </c>
      <c r="BI30" s="367">
        <v>0.51</v>
      </c>
      <c r="BJ30" s="367">
        <v>0.51</v>
      </c>
      <c r="BK30" s="367">
        <v>0.51</v>
      </c>
    </row>
    <row r="31" spans="1:63" s="287" customFormat="1" x14ac:dyDescent="0.35">
      <c r="A31" s="251" t="s">
        <v>314</v>
      </c>
      <c r="C31" s="407"/>
      <c r="D31" s="367">
        <v>0.21</v>
      </c>
      <c r="E31" s="367">
        <v>0.21</v>
      </c>
      <c r="F31" s="367">
        <v>0.21</v>
      </c>
      <c r="G31" s="367">
        <v>0.21</v>
      </c>
      <c r="H31" s="367">
        <v>0.21</v>
      </c>
      <c r="I31" s="367">
        <v>0.21</v>
      </c>
      <c r="J31" s="367">
        <v>0.21</v>
      </c>
      <c r="K31" s="367">
        <v>0.21</v>
      </c>
      <c r="L31" s="367">
        <v>0.21</v>
      </c>
      <c r="M31" s="367">
        <v>0.21</v>
      </c>
      <c r="N31" s="367">
        <v>0.21</v>
      </c>
      <c r="O31" s="367">
        <v>0.21</v>
      </c>
      <c r="P31" s="367">
        <v>0.21</v>
      </c>
      <c r="Q31" s="367">
        <v>0.21</v>
      </c>
      <c r="R31" s="367">
        <v>0.21</v>
      </c>
      <c r="S31" s="367">
        <v>0.21</v>
      </c>
      <c r="T31" s="367">
        <v>0.21</v>
      </c>
      <c r="U31" s="367">
        <v>0.21</v>
      </c>
      <c r="V31" s="367">
        <v>0.21</v>
      </c>
      <c r="W31" s="367">
        <v>0.21</v>
      </c>
      <c r="X31" s="367">
        <v>0.21</v>
      </c>
      <c r="Y31" s="367">
        <v>0.21</v>
      </c>
      <c r="Z31" s="367">
        <v>0.21</v>
      </c>
      <c r="AA31" s="367">
        <v>0.21</v>
      </c>
      <c r="AB31" s="367">
        <v>0.21</v>
      </c>
      <c r="AC31" s="367">
        <v>0.21</v>
      </c>
      <c r="AD31" s="367">
        <v>0.21</v>
      </c>
      <c r="AE31" s="289">
        <v>0.21</v>
      </c>
      <c r="AF31" s="289">
        <v>0.21</v>
      </c>
      <c r="AG31" s="289">
        <v>0.21</v>
      </c>
      <c r="AH31" s="289">
        <v>0.21</v>
      </c>
      <c r="AI31" s="289">
        <v>0.21</v>
      </c>
      <c r="AJ31" s="289">
        <v>0.21</v>
      </c>
      <c r="AK31" s="289">
        <v>0.21</v>
      </c>
      <c r="AL31" s="289">
        <v>0.21</v>
      </c>
      <c r="AM31" s="289">
        <v>0.21</v>
      </c>
      <c r="AN31" s="367">
        <v>0.21</v>
      </c>
      <c r="AO31" s="367">
        <v>0.21</v>
      </c>
      <c r="AP31" s="367">
        <v>0.21</v>
      </c>
      <c r="AQ31" s="367">
        <v>0.21</v>
      </c>
      <c r="AR31" s="367">
        <v>0.21</v>
      </c>
      <c r="AS31" s="367">
        <v>0.21</v>
      </c>
      <c r="AT31" s="367">
        <v>0.21</v>
      </c>
      <c r="AU31" s="367">
        <v>0.21</v>
      </c>
      <c r="AV31" s="367">
        <v>0.21</v>
      </c>
      <c r="AW31" s="367">
        <v>0.21</v>
      </c>
      <c r="AX31" s="367">
        <v>0.21</v>
      </c>
      <c r="AY31" s="367">
        <v>0.21</v>
      </c>
      <c r="AZ31" s="367">
        <v>0.21</v>
      </c>
      <c r="BA31" s="367">
        <v>0.21</v>
      </c>
      <c r="BB31" s="367">
        <v>0.21</v>
      </c>
      <c r="BC31" s="367">
        <v>0.21</v>
      </c>
      <c r="BD31" s="367">
        <v>0.21</v>
      </c>
      <c r="BE31" s="367">
        <v>0.21</v>
      </c>
      <c r="BF31" s="367">
        <v>0.21</v>
      </c>
      <c r="BG31" s="367">
        <v>0.21</v>
      </c>
      <c r="BH31" s="367">
        <v>0.21</v>
      </c>
      <c r="BI31" s="367">
        <v>0.21</v>
      </c>
      <c r="BJ31" s="367">
        <v>0.21</v>
      </c>
      <c r="BK31" s="367">
        <v>0.21</v>
      </c>
    </row>
    <row r="32" spans="1:63" x14ac:dyDescent="0.35">
      <c r="A32" s="250" t="s">
        <v>208</v>
      </c>
      <c r="D32" s="368">
        <v>700</v>
      </c>
      <c r="E32" s="368">
        <v>700</v>
      </c>
      <c r="F32" s="368">
        <v>700</v>
      </c>
      <c r="G32" s="368">
        <v>700</v>
      </c>
      <c r="H32" s="368">
        <v>700</v>
      </c>
      <c r="I32" s="368">
        <v>700</v>
      </c>
      <c r="J32" s="368">
        <v>700</v>
      </c>
      <c r="K32" s="368">
        <v>700</v>
      </c>
      <c r="L32" s="368">
        <v>700</v>
      </c>
      <c r="M32" s="368">
        <v>700</v>
      </c>
      <c r="N32" s="368">
        <v>700</v>
      </c>
      <c r="O32" s="368">
        <v>700</v>
      </c>
      <c r="P32" s="368">
        <v>700</v>
      </c>
      <c r="Q32" s="368">
        <v>700</v>
      </c>
      <c r="R32" s="368">
        <v>700</v>
      </c>
      <c r="S32" s="368">
        <v>700</v>
      </c>
      <c r="T32" s="368">
        <v>700</v>
      </c>
      <c r="U32" s="368">
        <v>700</v>
      </c>
      <c r="V32" s="368">
        <v>700</v>
      </c>
      <c r="W32" s="368">
        <v>700</v>
      </c>
      <c r="X32" s="368">
        <v>700</v>
      </c>
      <c r="Y32" s="368">
        <v>700</v>
      </c>
      <c r="Z32" s="368">
        <v>700</v>
      </c>
      <c r="AA32" s="368">
        <v>700</v>
      </c>
      <c r="AB32" s="368">
        <v>700</v>
      </c>
      <c r="AC32" s="368">
        <v>700</v>
      </c>
      <c r="AD32" s="368">
        <v>700</v>
      </c>
      <c r="AE32" s="269">
        <v>700</v>
      </c>
      <c r="AF32" s="269">
        <v>700</v>
      </c>
      <c r="AG32" s="269">
        <v>700</v>
      </c>
      <c r="AH32" s="269">
        <v>700</v>
      </c>
      <c r="AI32" s="269">
        <v>700</v>
      </c>
      <c r="AJ32" s="269">
        <v>700</v>
      </c>
      <c r="AK32" s="269">
        <v>700</v>
      </c>
      <c r="AL32" s="269">
        <v>700</v>
      </c>
      <c r="AM32" s="269">
        <v>700</v>
      </c>
      <c r="AN32" s="368">
        <v>700</v>
      </c>
      <c r="AO32" s="368">
        <v>700</v>
      </c>
      <c r="AP32" s="368">
        <v>700</v>
      </c>
      <c r="AQ32" s="368">
        <v>700</v>
      </c>
      <c r="AR32" s="368">
        <v>700</v>
      </c>
      <c r="AS32" s="368">
        <v>700</v>
      </c>
      <c r="AT32" s="368">
        <v>700</v>
      </c>
      <c r="AU32" s="368">
        <v>700</v>
      </c>
      <c r="AV32" s="368">
        <v>700</v>
      </c>
      <c r="AW32" s="368">
        <v>700</v>
      </c>
      <c r="AX32" s="368">
        <v>700</v>
      </c>
      <c r="AY32" s="368">
        <v>700</v>
      </c>
      <c r="AZ32" s="368">
        <v>700</v>
      </c>
      <c r="BA32" s="368">
        <v>700</v>
      </c>
      <c r="BB32" s="368">
        <v>700</v>
      </c>
      <c r="BC32" s="368">
        <v>700</v>
      </c>
      <c r="BD32" s="368">
        <v>700</v>
      </c>
      <c r="BE32" s="368">
        <v>700</v>
      </c>
      <c r="BF32" s="368">
        <v>700</v>
      </c>
      <c r="BG32" s="368">
        <v>700</v>
      </c>
      <c r="BH32" s="368">
        <v>700</v>
      </c>
      <c r="BI32" s="368">
        <v>700</v>
      </c>
      <c r="BJ32" s="368">
        <v>700</v>
      </c>
      <c r="BK32" s="368">
        <v>700</v>
      </c>
    </row>
    <row r="33" spans="1:63" x14ac:dyDescent="0.35">
      <c r="A33" s="250" t="s">
        <v>209</v>
      </c>
      <c r="D33" s="368">
        <v>1450</v>
      </c>
      <c r="E33" s="368">
        <v>1450</v>
      </c>
      <c r="F33" s="368">
        <v>1450</v>
      </c>
      <c r="G33" s="368">
        <v>1450</v>
      </c>
      <c r="H33" s="368">
        <v>1450</v>
      </c>
      <c r="I33" s="368">
        <v>1450</v>
      </c>
      <c r="J33" s="368">
        <v>1450</v>
      </c>
      <c r="K33" s="368">
        <v>1450</v>
      </c>
      <c r="L33" s="368">
        <v>1450</v>
      </c>
      <c r="M33" s="368">
        <v>1450</v>
      </c>
      <c r="N33" s="368">
        <v>1450</v>
      </c>
      <c r="O33" s="368">
        <v>1450</v>
      </c>
      <c r="P33" s="368">
        <v>1450</v>
      </c>
      <c r="Q33" s="368">
        <v>1450</v>
      </c>
      <c r="R33" s="368">
        <v>1450</v>
      </c>
      <c r="S33" s="368">
        <v>1450</v>
      </c>
      <c r="T33" s="368">
        <v>1450</v>
      </c>
      <c r="U33" s="368">
        <v>1450</v>
      </c>
      <c r="V33" s="368">
        <v>1450</v>
      </c>
      <c r="W33" s="368">
        <v>1450</v>
      </c>
      <c r="X33" s="368">
        <v>1450</v>
      </c>
      <c r="Y33" s="368">
        <v>1450</v>
      </c>
      <c r="Z33" s="368">
        <v>1450</v>
      </c>
      <c r="AA33" s="368">
        <v>1450</v>
      </c>
      <c r="AB33" s="368">
        <v>1450</v>
      </c>
      <c r="AC33" s="368">
        <v>1450</v>
      </c>
      <c r="AD33" s="368">
        <v>1450</v>
      </c>
      <c r="AE33" s="269">
        <v>1450</v>
      </c>
      <c r="AF33" s="269">
        <v>1450</v>
      </c>
      <c r="AG33" s="269">
        <v>1450</v>
      </c>
      <c r="AH33" s="269">
        <v>1450</v>
      </c>
      <c r="AI33" s="269">
        <v>1450</v>
      </c>
      <c r="AJ33" s="269">
        <v>1450</v>
      </c>
      <c r="AK33" s="269">
        <v>1450</v>
      </c>
      <c r="AL33" s="269">
        <v>1450</v>
      </c>
      <c r="AM33" s="269">
        <v>1450</v>
      </c>
      <c r="AN33" s="368">
        <v>1450</v>
      </c>
      <c r="AO33" s="368">
        <v>1450</v>
      </c>
      <c r="AP33" s="368">
        <v>1450</v>
      </c>
      <c r="AQ33" s="368">
        <v>1450</v>
      </c>
      <c r="AR33" s="368">
        <v>1450</v>
      </c>
      <c r="AS33" s="368">
        <v>1450</v>
      </c>
      <c r="AT33" s="368">
        <v>1450</v>
      </c>
      <c r="AU33" s="368">
        <v>1450</v>
      </c>
      <c r="AV33" s="368">
        <v>1450</v>
      </c>
      <c r="AW33" s="368">
        <v>1450</v>
      </c>
      <c r="AX33" s="368">
        <v>1450</v>
      </c>
      <c r="AY33" s="368">
        <v>1450</v>
      </c>
      <c r="AZ33" s="368">
        <v>1450</v>
      </c>
      <c r="BA33" s="368">
        <v>1450</v>
      </c>
      <c r="BB33" s="368">
        <v>1450</v>
      </c>
      <c r="BC33" s="368">
        <v>1450</v>
      </c>
      <c r="BD33" s="368">
        <v>1450</v>
      </c>
      <c r="BE33" s="368">
        <v>1450</v>
      </c>
      <c r="BF33" s="368">
        <v>1450</v>
      </c>
      <c r="BG33" s="368">
        <v>1450</v>
      </c>
      <c r="BH33" s="368">
        <v>1450</v>
      </c>
      <c r="BI33" s="368">
        <v>1450</v>
      </c>
      <c r="BJ33" s="368">
        <v>1450</v>
      </c>
      <c r="BK33" s="368">
        <v>1450</v>
      </c>
    </row>
    <row r="34" spans="1:63" s="236" customFormat="1" x14ac:dyDescent="0.35">
      <c r="A34" s="250" t="s">
        <v>210</v>
      </c>
      <c r="C34" s="407"/>
      <c r="D34" s="368">
        <v>1310</v>
      </c>
      <c r="E34" s="368">
        <v>1310</v>
      </c>
      <c r="F34" s="368">
        <v>1310</v>
      </c>
      <c r="G34" s="368">
        <v>1310</v>
      </c>
      <c r="H34" s="368">
        <v>1310</v>
      </c>
      <c r="I34" s="368">
        <v>1310</v>
      </c>
      <c r="J34" s="368">
        <v>1310</v>
      </c>
      <c r="K34" s="368">
        <v>1310</v>
      </c>
      <c r="L34" s="368">
        <v>1310</v>
      </c>
      <c r="M34" s="368">
        <v>1310</v>
      </c>
      <c r="N34" s="368">
        <v>1310</v>
      </c>
      <c r="O34" s="368">
        <v>1310</v>
      </c>
      <c r="P34" s="368">
        <v>1310</v>
      </c>
      <c r="Q34" s="368">
        <v>1310</v>
      </c>
      <c r="R34" s="368">
        <v>1310</v>
      </c>
      <c r="S34" s="368">
        <v>1310</v>
      </c>
      <c r="T34" s="368">
        <v>1310</v>
      </c>
      <c r="U34" s="368">
        <v>1310</v>
      </c>
      <c r="V34" s="368">
        <v>1310</v>
      </c>
      <c r="W34" s="368">
        <v>1310</v>
      </c>
      <c r="X34" s="368">
        <v>1310</v>
      </c>
      <c r="Y34" s="368">
        <v>1310</v>
      </c>
      <c r="Z34" s="368">
        <v>1310</v>
      </c>
      <c r="AA34" s="368">
        <v>1310</v>
      </c>
      <c r="AB34" s="368">
        <v>1310</v>
      </c>
      <c r="AC34" s="368">
        <v>1310</v>
      </c>
      <c r="AD34" s="368">
        <v>1310</v>
      </c>
      <c r="AE34" s="269">
        <v>1310</v>
      </c>
      <c r="AF34" s="269">
        <v>1310</v>
      </c>
      <c r="AG34" s="269">
        <v>1310</v>
      </c>
      <c r="AH34" s="269">
        <v>1310</v>
      </c>
      <c r="AI34" s="269">
        <v>1310</v>
      </c>
      <c r="AJ34" s="269">
        <v>1310</v>
      </c>
      <c r="AK34" s="269">
        <v>1310</v>
      </c>
      <c r="AL34" s="269">
        <v>1310</v>
      </c>
      <c r="AM34" s="269">
        <v>1310</v>
      </c>
      <c r="AN34" s="368">
        <v>1310</v>
      </c>
      <c r="AO34" s="368">
        <v>1310</v>
      </c>
      <c r="AP34" s="368">
        <v>1310</v>
      </c>
      <c r="AQ34" s="368">
        <v>1310</v>
      </c>
      <c r="AR34" s="368">
        <v>1310</v>
      </c>
      <c r="AS34" s="368">
        <v>1310</v>
      </c>
      <c r="AT34" s="368">
        <v>1310</v>
      </c>
      <c r="AU34" s="368">
        <v>1310</v>
      </c>
      <c r="AV34" s="368">
        <v>1310</v>
      </c>
      <c r="AW34" s="368">
        <v>1310</v>
      </c>
      <c r="AX34" s="368">
        <v>1310</v>
      </c>
      <c r="AY34" s="368">
        <v>1310</v>
      </c>
      <c r="AZ34" s="368">
        <v>1310</v>
      </c>
      <c r="BA34" s="368">
        <v>1310</v>
      </c>
      <c r="BB34" s="368">
        <v>1310</v>
      </c>
      <c r="BC34" s="368">
        <v>1310</v>
      </c>
      <c r="BD34" s="368">
        <v>1310</v>
      </c>
      <c r="BE34" s="368">
        <v>1310</v>
      </c>
      <c r="BF34" s="368">
        <v>1310</v>
      </c>
      <c r="BG34" s="368">
        <v>1310</v>
      </c>
      <c r="BH34" s="368">
        <v>1310</v>
      </c>
      <c r="BI34" s="368">
        <v>1310</v>
      </c>
      <c r="BJ34" s="368">
        <v>1310</v>
      </c>
      <c r="BK34" s="368">
        <v>1310</v>
      </c>
    </row>
    <row r="35" spans="1:63" s="236" customFormat="1" x14ac:dyDescent="0.35">
      <c r="A35" s="250" t="s">
        <v>211</v>
      </c>
      <c r="C35" s="407"/>
      <c r="D35" s="368">
        <v>1700</v>
      </c>
      <c r="E35" s="368">
        <v>1700</v>
      </c>
      <c r="F35" s="368">
        <v>1700</v>
      </c>
      <c r="G35" s="368">
        <v>1700</v>
      </c>
      <c r="H35" s="368">
        <v>1700</v>
      </c>
      <c r="I35" s="368">
        <v>1700</v>
      </c>
      <c r="J35" s="368">
        <v>1700</v>
      </c>
      <c r="K35" s="368">
        <v>1700</v>
      </c>
      <c r="L35" s="368">
        <v>1700</v>
      </c>
      <c r="M35" s="368">
        <v>1700</v>
      </c>
      <c r="N35" s="368">
        <v>1700</v>
      </c>
      <c r="O35" s="368">
        <v>1700</v>
      </c>
      <c r="P35" s="368">
        <v>1700</v>
      </c>
      <c r="Q35" s="368">
        <v>1700</v>
      </c>
      <c r="R35" s="368">
        <v>1700</v>
      </c>
      <c r="S35" s="368">
        <v>1700</v>
      </c>
      <c r="T35" s="368">
        <v>1700</v>
      </c>
      <c r="U35" s="368">
        <v>1700</v>
      </c>
      <c r="V35" s="368">
        <v>1700</v>
      </c>
      <c r="W35" s="368">
        <v>1700</v>
      </c>
      <c r="X35" s="368">
        <v>1700</v>
      </c>
      <c r="Y35" s="368">
        <v>1700</v>
      </c>
      <c r="Z35" s="368">
        <v>1700</v>
      </c>
      <c r="AA35" s="368">
        <v>1700</v>
      </c>
      <c r="AB35" s="368">
        <v>1700</v>
      </c>
      <c r="AC35" s="368">
        <v>1700</v>
      </c>
      <c r="AD35" s="368">
        <v>1700</v>
      </c>
      <c r="AE35" s="269">
        <v>1700</v>
      </c>
      <c r="AF35" s="269">
        <v>1700</v>
      </c>
      <c r="AG35" s="269">
        <v>1700</v>
      </c>
      <c r="AH35" s="269">
        <v>1700</v>
      </c>
      <c r="AI35" s="269">
        <v>1700</v>
      </c>
      <c r="AJ35" s="269">
        <v>1700</v>
      </c>
      <c r="AK35" s="269">
        <v>1700</v>
      </c>
      <c r="AL35" s="269">
        <v>1700</v>
      </c>
      <c r="AM35" s="269">
        <v>1700</v>
      </c>
      <c r="AN35" s="368">
        <v>1700</v>
      </c>
      <c r="AO35" s="368">
        <v>1700</v>
      </c>
      <c r="AP35" s="368">
        <v>1700</v>
      </c>
      <c r="AQ35" s="368">
        <v>1700</v>
      </c>
      <c r="AR35" s="368">
        <v>1700</v>
      </c>
      <c r="AS35" s="368">
        <v>1700</v>
      </c>
      <c r="AT35" s="368">
        <v>1700</v>
      </c>
      <c r="AU35" s="368">
        <v>1700</v>
      </c>
      <c r="AV35" s="368">
        <v>1700</v>
      </c>
      <c r="AW35" s="368">
        <v>1700</v>
      </c>
      <c r="AX35" s="368">
        <v>1700</v>
      </c>
      <c r="AY35" s="368">
        <v>1700</v>
      </c>
      <c r="AZ35" s="368">
        <v>1700</v>
      </c>
      <c r="BA35" s="368">
        <v>1700</v>
      </c>
      <c r="BB35" s="368">
        <v>1700</v>
      </c>
      <c r="BC35" s="368">
        <v>1700</v>
      </c>
      <c r="BD35" s="368">
        <v>1700</v>
      </c>
      <c r="BE35" s="368">
        <v>1700</v>
      </c>
      <c r="BF35" s="368">
        <v>1700</v>
      </c>
      <c r="BG35" s="368">
        <v>1700</v>
      </c>
      <c r="BH35" s="368">
        <v>1700</v>
      </c>
      <c r="BI35" s="368">
        <v>1700</v>
      </c>
      <c r="BJ35" s="368">
        <v>1700</v>
      </c>
      <c r="BK35" s="368">
        <v>1700</v>
      </c>
    </row>
    <row r="36" spans="1:63" x14ac:dyDescent="0.35">
      <c r="A36" s="250" t="s">
        <v>212</v>
      </c>
      <c r="D36" s="368">
        <v>1854.310165410154</v>
      </c>
      <c r="E36" s="368">
        <v>1854.310165410154</v>
      </c>
      <c r="F36" s="368">
        <v>1854.310165410154</v>
      </c>
      <c r="G36" s="368">
        <v>1854.310165410154</v>
      </c>
      <c r="H36" s="368">
        <v>1854.310165410154</v>
      </c>
      <c r="I36" s="368">
        <v>1854.310165410154</v>
      </c>
      <c r="J36" s="368">
        <v>1854.310165410154</v>
      </c>
      <c r="K36" s="368">
        <v>1854.310165410154</v>
      </c>
      <c r="L36" s="368">
        <v>1854.310165410154</v>
      </c>
      <c r="M36" s="368">
        <v>1854.310165410154</v>
      </c>
      <c r="N36" s="368">
        <v>1854.310165410154</v>
      </c>
      <c r="O36" s="368">
        <v>1854.310165410154</v>
      </c>
      <c r="P36" s="368">
        <v>1854.310165410154</v>
      </c>
      <c r="Q36" s="368">
        <v>1854.310165410154</v>
      </c>
      <c r="R36" s="368">
        <v>1854.310165410154</v>
      </c>
      <c r="S36" s="368">
        <v>1854.310165410154</v>
      </c>
      <c r="T36" s="368">
        <v>1854.310165410154</v>
      </c>
      <c r="U36" s="368">
        <v>1854.310165410154</v>
      </c>
      <c r="V36" s="368">
        <v>1854.310165410154</v>
      </c>
      <c r="W36" s="368">
        <v>1854.310165410154</v>
      </c>
      <c r="X36" s="368">
        <v>1854.310165410154</v>
      </c>
      <c r="Y36" s="368">
        <v>1854.310165410154</v>
      </c>
      <c r="Z36" s="368">
        <v>1854.310165410154</v>
      </c>
      <c r="AA36" s="368">
        <v>1854.310165410154</v>
      </c>
      <c r="AB36" s="368">
        <v>1854.310165410154</v>
      </c>
      <c r="AC36" s="368">
        <v>1854.310165410154</v>
      </c>
      <c r="AD36" s="368">
        <v>1854.310165410154</v>
      </c>
      <c r="AE36" s="269">
        <v>1854.310165410154</v>
      </c>
      <c r="AF36" s="269">
        <v>1854.310165410154</v>
      </c>
      <c r="AG36" s="269">
        <v>1854.310165410154</v>
      </c>
      <c r="AH36" s="269">
        <v>1854.310165410154</v>
      </c>
      <c r="AI36" s="269">
        <v>1854.310165410154</v>
      </c>
      <c r="AJ36" s="269">
        <v>1854.310165410154</v>
      </c>
      <c r="AK36" s="269">
        <v>1854.310165410154</v>
      </c>
      <c r="AL36" s="269">
        <v>1854.310165410154</v>
      </c>
      <c r="AM36" s="269">
        <v>1854.310165410154</v>
      </c>
      <c r="AN36" s="368">
        <v>1854.310165410154</v>
      </c>
      <c r="AO36" s="368">
        <v>1854.310165410154</v>
      </c>
      <c r="AP36" s="368">
        <v>1854.310165410154</v>
      </c>
      <c r="AQ36" s="368">
        <v>1854.310165410154</v>
      </c>
      <c r="AR36" s="368">
        <v>1854.310165410154</v>
      </c>
      <c r="AS36" s="368">
        <v>1854.310165410154</v>
      </c>
      <c r="AT36" s="368">
        <v>1854.310165410154</v>
      </c>
      <c r="AU36" s="368">
        <v>1854.310165410154</v>
      </c>
      <c r="AV36" s="368">
        <v>1854.310165410154</v>
      </c>
      <c r="AW36" s="368">
        <v>1854.310165410154</v>
      </c>
      <c r="AX36" s="368">
        <v>1854.310165410154</v>
      </c>
      <c r="AY36" s="368">
        <v>1854.310165410154</v>
      </c>
      <c r="AZ36" s="368">
        <v>1854.310165410154</v>
      </c>
      <c r="BA36" s="368">
        <v>1854.310165410154</v>
      </c>
      <c r="BB36" s="368">
        <v>1854.310165410154</v>
      </c>
      <c r="BC36" s="368">
        <v>1854.310165410154</v>
      </c>
      <c r="BD36" s="368">
        <v>1854.310165410154</v>
      </c>
      <c r="BE36" s="368">
        <v>1854.310165410154</v>
      </c>
      <c r="BF36" s="368">
        <v>1854.310165410154</v>
      </c>
      <c r="BG36" s="368">
        <v>1854.310165410154</v>
      </c>
      <c r="BH36" s="368">
        <v>1854.310165410154</v>
      </c>
      <c r="BI36" s="368">
        <v>1854.310165410154</v>
      </c>
      <c r="BJ36" s="368">
        <v>1854.310165410154</v>
      </c>
      <c r="BK36" s="368">
        <v>1854.310165410154</v>
      </c>
    </row>
    <row r="37" spans="1:63" s="236" customFormat="1" x14ac:dyDescent="0.35">
      <c r="A37" s="250" t="s">
        <v>262</v>
      </c>
      <c r="C37" s="407"/>
      <c r="D37" s="368">
        <v>2089.309387550983</v>
      </c>
      <c r="E37" s="368">
        <v>2089.309387550983</v>
      </c>
      <c r="F37" s="368">
        <v>2089.309387550983</v>
      </c>
      <c r="G37" s="368">
        <v>2089.309387550983</v>
      </c>
      <c r="H37" s="368">
        <v>2089.309387550983</v>
      </c>
      <c r="I37" s="368">
        <v>2089.309387550983</v>
      </c>
      <c r="J37" s="368">
        <v>2089.309387550983</v>
      </c>
      <c r="K37" s="368">
        <v>2089.309387550983</v>
      </c>
      <c r="L37" s="368">
        <v>2089.309387550983</v>
      </c>
      <c r="M37" s="368">
        <v>2089.309387550983</v>
      </c>
      <c r="N37" s="368">
        <v>2089.309387550983</v>
      </c>
      <c r="O37" s="368">
        <v>2089.309387550983</v>
      </c>
      <c r="P37" s="368">
        <v>2089.309387550983</v>
      </c>
      <c r="Q37" s="368">
        <v>2089.309387550983</v>
      </c>
      <c r="R37" s="368">
        <v>2089.309387550983</v>
      </c>
      <c r="S37" s="368">
        <v>2089.309387550983</v>
      </c>
      <c r="T37" s="368">
        <v>2089.309387550983</v>
      </c>
      <c r="U37" s="368">
        <v>2089.309387550983</v>
      </c>
      <c r="V37" s="368">
        <v>2089.309387550983</v>
      </c>
      <c r="W37" s="368">
        <v>2089.309387550983</v>
      </c>
      <c r="X37" s="368">
        <v>2089.309387550983</v>
      </c>
      <c r="Y37" s="368">
        <v>2089.309387550983</v>
      </c>
      <c r="Z37" s="368">
        <v>2089.309387550983</v>
      </c>
      <c r="AA37" s="368">
        <v>2089.309387550983</v>
      </c>
      <c r="AB37" s="368">
        <v>2089.309387550983</v>
      </c>
      <c r="AC37" s="368">
        <v>2089.309387550983</v>
      </c>
      <c r="AD37" s="368">
        <v>2089.309387550983</v>
      </c>
      <c r="AE37" s="269">
        <v>2089.309387550983</v>
      </c>
      <c r="AF37" s="269">
        <v>2089.309387550983</v>
      </c>
      <c r="AG37" s="269">
        <v>2089.309387550983</v>
      </c>
      <c r="AH37" s="269">
        <v>2089.309387550983</v>
      </c>
      <c r="AI37" s="269">
        <v>2089.309387550983</v>
      </c>
      <c r="AJ37" s="269">
        <v>2089.309387550983</v>
      </c>
      <c r="AK37" s="269">
        <v>2089.309387550983</v>
      </c>
      <c r="AL37" s="269">
        <v>2089.309387550983</v>
      </c>
      <c r="AM37" s="269">
        <v>2089.309387550983</v>
      </c>
      <c r="AN37" s="368">
        <v>2089.309387550983</v>
      </c>
      <c r="AO37" s="368">
        <v>2089.309387550983</v>
      </c>
      <c r="AP37" s="368">
        <v>2089.309387550983</v>
      </c>
      <c r="AQ37" s="368">
        <v>2089.309387550983</v>
      </c>
      <c r="AR37" s="368">
        <v>2089.309387550983</v>
      </c>
      <c r="AS37" s="368">
        <v>2089.309387550983</v>
      </c>
      <c r="AT37" s="368">
        <v>2089.309387550983</v>
      </c>
      <c r="AU37" s="368">
        <v>2089.309387550983</v>
      </c>
      <c r="AV37" s="368">
        <v>2089.309387550983</v>
      </c>
      <c r="AW37" s="368">
        <v>2089.309387550983</v>
      </c>
      <c r="AX37" s="368">
        <v>2089.309387550983</v>
      </c>
      <c r="AY37" s="368">
        <v>2089.309387550983</v>
      </c>
      <c r="AZ37" s="368">
        <v>2089.309387550983</v>
      </c>
      <c r="BA37" s="368">
        <v>2089.309387550983</v>
      </c>
      <c r="BB37" s="368">
        <v>2089.309387550983</v>
      </c>
      <c r="BC37" s="368">
        <v>2089.309387550983</v>
      </c>
      <c r="BD37" s="368">
        <v>2089.309387550983</v>
      </c>
      <c r="BE37" s="368">
        <v>2089.309387550983</v>
      </c>
      <c r="BF37" s="368">
        <v>2089.309387550983</v>
      </c>
      <c r="BG37" s="368">
        <v>2089.309387550983</v>
      </c>
      <c r="BH37" s="368">
        <v>2089.309387550983</v>
      </c>
      <c r="BI37" s="368">
        <v>2089.309387550983</v>
      </c>
      <c r="BJ37" s="368">
        <v>2089.309387550983</v>
      </c>
      <c r="BK37" s="368">
        <v>2089.309387550983</v>
      </c>
    </row>
    <row r="38" spans="1:63" s="236" customFormat="1" x14ac:dyDescent="0.35">
      <c r="A38" s="250" t="s">
        <v>263</v>
      </c>
      <c r="C38" s="407"/>
      <c r="D38" s="368">
        <v>1844.5541594410504</v>
      </c>
      <c r="E38" s="368">
        <v>1844.5541594410504</v>
      </c>
      <c r="F38" s="368">
        <v>1844.5541594410504</v>
      </c>
      <c r="G38" s="368">
        <v>1844.5541594410504</v>
      </c>
      <c r="H38" s="368">
        <v>1844.5541594410504</v>
      </c>
      <c r="I38" s="368">
        <v>1844.5541594410504</v>
      </c>
      <c r="J38" s="368">
        <v>1844.5541594410504</v>
      </c>
      <c r="K38" s="368">
        <v>1844.5541594410504</v>
      </c>
      <c r="L38" s="368">
        <v>1844.5541594410504</v>
      </c>
      <c r="M38" s="368">
        <v>1844.5541594410504</v>
      </c>
      <c r="N38" s="368">
        <v>1844.5541594410504</v>
      </c>
      <c r="O38" s="368">
        <v>1844.5541594410504</v>
      </c>
      <c r="P38" s="368">
        <v>1844.5541594410504</v>
      </c>
      <c r="Q38" s="368">
        <v>1844.5541594410504</v>
      </c>
      <c r="R38" s="368">
        <v>1844.5541594410504</v>
      </c>
      <c r="S38" s="368">
        <v>1844.5541594410504</v>
      </c>
      <c r="T38" s="368">
        <v>1844.5541594410504</v>
      </c>
      <c r="U38" s="368">
        <v>1844.5541594410504</v>
      </c>
      <c r="V38" s="368">
        <v>1844.5541594410504</v>
      </c>
      <c r="W38" s="368">
        <v>1844.5541594410504</v>
      </c>
      <c r="X38" s="368">
        <v>1844.5541594410504</v>
      </c>
      <c r="Y38" s="368">
        <v>1844.5541594410504</v>
      </c>
      <c r="Z38" s="368">
        <v>1844.5541594410504</v>
      </c>
      <c r="AA38" s="368">
        <v>1844.5541594410504</v>
      </c>
      <c r="AB38" s="368">
        <v>1844.5541594410504</v>
      </c>
      <c r="AC38" s="368">
        <v>1844.5541594410504</v>
      </c>
      <c r="AD38" s="368">
        <v>1844.5541594410504</v>
      </c>
      <c r="AE38" s="269">
        <v>1844.5541594410504</v>
      </c>
      <c r="AF38" s="269">
        <v>1844.5541594410504</v>
      </c>
      <c r="AG38" s="269">
        <v>1844.5541594410504</v>
      </c>
      <c r="AH38" s="269">
        <v>1844.5541594410504</v>
      </c>
      <c r="AI38" s="269">
        <v>1844.5541594410504</v>
      </c>
      <c r="AJ38" s="269">
        <v>1844.5541594410504</v>
      </c>
      <c r="AK38" s="269">
        <v>1844.5541594410504</v>
      </c>
      <c r="AL38" s="269">
        <v>1844.5541594410504</v>
      </c>
      <c r="AM38" s="269">
        <v>1844.5541594410504</v>
      </c>
      <c r="AN38" s="368">
        <v>1844.5541594410504</v>
      </c>
      <c r="AO38" s="368">
        <v>1844.5541594410504</v>
      </c>
      <c r="AP38" s="368">
        <v>1844.5541594410504</v>
      </c>
      <c r="AQ38" s="368">
        <v>1844.5541594410504</v>
      </c>
      <c r="AR38" s="368">
        <v>1844.5541594410504</v>
      </c>
      <c r="AS38" s="368">
        <v>1844.5541594410504</v>
      </c>
      <c r="AT38" s="368">
        <v>1844.5541594410504</v>
      </c>
      <c r="AU38" s="368">
        <v>1844.5541594410504</v>
      </c>
      <c r="AV38" s="368">
        <v>1844.5541594410504</v>
      </c>
      <c r="AW38" s="368">
        <v>1844.5541594410504</v>
      </c>
      <c r="AX38" s="368">
        <v>1844.5541594410504</v>
      </c>
      <c r="AY38" s="368">
        <v>1844.5541594410504</v>
      </c>
      <c r="AZ38" s="368">
        <v>1844.5541594410504</v>
      </c>
      <c r="BA38" s="368">
        <v>1844.5541594410504</v>
      </c>
      <c r="BB38" s="368">
        <v>1844.5541594410504</v>
      </c>
      <c r="BC38" s="368">
        <v>1844.5541594410504</v>
      </c>
      <c r="BD38" s="368">
        <v>1844.5541594410504</v>
      </c>
      <c r="BE38" s="368">
        <v>1844.5541594410504</v>
      </c>
      <c r="BF38" s="368">
        <v>1844.5541594410504</v>
      </c>
      <c r="BG38" s="368">
        <v>1844.5541594410504</v>
      </c>
      <c r="BH38" s="368">
        <v>1844.5541594410504</v>
      </c>
      <c r="BI38" s="368">
        <v>1844.5541594410504</v>
      </c>
      <c r="BJ38" s="368">
        <v>1844.5541594410504</v>
      </c>
      <c r="BK38" s="368">
        <v>1844.5541594410504</v>
      </c>
    </row>
    <row r="39" spans="1:63" s="236" customFormat="1" x14ac:dyDescent="0.35">
      <c r="A39" s="250" t="s">
        <v>264</v>
      </c>
      <c r="C39" s="407"/>
      <c r="D39" s="368">
        <v>1444.8011047176665</v>
      </c>
      <c r="E39" s="368">
        <v>1444.8011047176665</v>
      </c>
      <c r="F39" s="368">
        <v>1444.8011047176665</v>
      </c>
      <c r="G39" s="368">
        <v>1444.8011047176665</v>
      </c>
      <c r="H39" s="368">
        <v>1444.8011047176665</v>
      </c>
      <c r="I39" s="368">
        <v>1444.8011047176665</v>
      </c>
      <c r="J39" s="368">
        <v>1444.8011047176665</v>
      </c>
      <c r="K39" s="368">
        <v>1444.8011047176665</v>
      </c>
      <c r="L39" s="368">
        <v>1444.8011047176665</v>
      </c>
      <c r="M39" s="368">
        <v>1444.8011047176665</v>
      </c>
      <c r="N39" s="368">
        <v>1444.8011047176665</v>
      </c>
      <c r="O39" s="368">
        <v>1444.8011047176665</v>
      </c>
      <c r="P39" s="368">
        <v>1444.8011047176665</v>
      </c>
      <c r="Q39" s="368">
        <v>1444.8011047176665</v>
      </c>
      <c r="R39" s="368">
        <v>1444.8011047176665</v>
      </c>
      <c r="S39" s="368">
        <v>1444.8011047176665</v>
      </c>
      <c r="T39" s="368">
        <v>1444.8011047176665</v>
      </c>
      <c r="U39" s="368">
        <v>1444.8011047176665</v>
      </c>
      <c r="V39" s="368">
        <v>1444.8011047176665</v>
      </c>
      <c r="W39" s="368">
        <v>1444.8011047176665</v>
      </c>
      <c r="X39" s="368">
        <v>1444.8011047176665</v>
      </c>
      <c r="Y39" s="368">
        <v>1444.8011047176665</v>
      </c>
      <c r="Z39" s="368">
        <v>1444.8011047176665</v>
      </c>
      <c r="AA39" s="368">
        <v>1444.8011047176665</v>
      </c>
      <c r="AB39" s="368">
        <v>1444.8011047176665</v>
      </c>
      <c r="AC39" s="368">
        <v>1444.8011047176665</v>
      </c>
      <c r="AD39" s="368">
        <v>1444.8011047176665</v>
      </c>
      <c r="AE39" s="269">
        <v>1444.8011047176665</v>
      </c>
      <c r="AF39" s="269">
        <v>1444.8011047176665</v>
      </c>
      <c r="AG39" s="269">
        <v>1444.8011047176665</v>
      </c>
      <c r="AH39" s="269">
        <v>1444.8011047176665</v>
      </c>
      <c r="AI39" s="269">
        <v>1444.8011047176665</v>
      </c>
      <c r="AJ39" s="269">
        <v>1444.8011047176665</v>
      </c>
      <c r="AK39" s="269">
        <v>1444.8011047176665</v>
      </c>
      <c r="AL39" s="269">
        <v>1444.8011047176665</v>
      </c>
      <c r="AM39" s="269">
        <v>1444.8011047176665</v>
      </c>
      <c r="AN39" s="368">
        <v>1444.8011047176665</v>
      </c>
      <c r="AO39" s="368">
        <v>1444.8011047176665</v>
      </c>
      <c r="AP39" s="368">
        <v>1444.8011047176665</v>
      </c>
      <c r="AQ39" s="368">
        <v>1444.8011047176665</v>
      </c>
      <c r="AR39" s="368">
        <v>1444.8011047176665</v>
      </c>
      <c r="AS39" s="368">
        <v>1444.8011047176665</v>
      </c>
      <c r="AT39" s="368">
        <v>1444.8011047176665</v>
      </c>
      <c r="AU39" s="368">
        <v>1444.8011047176665</v>
      </c>
      <c r="AV39" s="368">
        <v>1444.8011047176665</v>
      </c>
      <c r="AW39" s="368">
        <v>1444.8011047176665</v>
      </c>
      <c r="AX39" s="368">
        <v>1444.8011047176665</v>
      </c>
      <c r="AY39" s="368">
        <v>1444.8011047176665</v>
      </c>
      <c r="AZ39" s="368">
        <v>1444.8011047176665</v>
      </c>
      <c r="BA39" s="368">
        <v>1444.8011047176665</v>
      </c>
      <c r="BB39" s="368">
        <v>1444.8011047176665</v>
      </c>
      <c r="BC39" s="368">
        <v>1444.8011047176665</v>
      </c>
      <c r="BD39" s="368">
        <v>1444.8011047176665</v>
      </c>
      <c r="BE39" s="368">
        <v>1444.8011047176665</v>
      </c>
      <c r="BF39" s="368">
        <v>1444.8011047176665</v>
      </c>
      <c r="BG39" s="368">
        <v>1444.8011047176665</v>
      </c>
      <c r="BH39" s="368">
        <v>1444.8011047176665</v>
      </c>
      <c r="BI39" s="368">
        <v>1444.8011047176665</v>
      </c>
      <c r="BJ39" s="368">
        <v>1444.8011047176665</v>
      </c>
      <c r="BK39" s="368">
        <v>1444.8011047176665</v>
      </c>
    </row>
    <row r="40" spans="1:63" s="236" customFormat="1" x14ac:dyDescent="0.35">
      <c r="A40" s="250" t="s">
        <v>265</v>
      </c>
      <c r="C40" s="407"/>
      <c r="D40" s="368">
        <v>1308.7091622001783</v>
      </c>
      <c r="E40" s="368">
        <v>1308.7091622001783</v>
      </c>
      <c r="F40" s="368">
        <v>1308.7091622001783</v>
      </c>
      <c r="G40" s="368">
        <v>1308.7091622001783</v>
      </c>
      <c r="H40" s="368">
        <v>1308.7091622001783</v>
      </c>
      <c r="I40" s="368">
        <v>1308.7091622001783</v>
      </c>
      <c r="J40" s="368">
        <v>1308.7091622001783</v>
      </c>
      <c r="K40" s="368">
        <v>1308.7091622001783</v>
      </c>
      <c r="L40" s="368">
        <v>1308.7091622001783</v>
      </c>
      <c r="M40" s="368">
        <v>1308.7091622001783</v>
      </c>
      <c r="N40" s="368">
        <v>1308.7091622001783</v>
      </c>
      <c r="O40" s="368">
        <v>1308.7091622001783</v>
      </c>
      <c r="P40" s="368">
        <v>1308.7091622001783</v>
      </c>
      <c r="Q40" s="368">
        <v>1308.7091622001783</v>
      </c>
      <c r="R40" s="368">
        <v>1308.7091622001783</v>
      </c>
      <c r="S40" s="368">
        <v>1308.7091622001783</v>
      </c>
      <c r="T40" s="368">
        <v>1308.7091622001783</v>
      </c>
      <c r="U40" s="368">
        <v>1308.7091622001783</v>
      </c>
      <c r="V40" s="368">
        <v>1308.7091622001783</v>
      </c>
      <c r="W40" s="368">
        <v>1308.7091622001783</v>
      </c>
      <c r="X40" s="368">
        <v>1308.7091622001783</v>
      </c>
      <c r="Y40" s="368">
        <v>1308.7091622001783</v>
      </c>
      <c r="Z40" s="368">
        <v>1308.7091622001783</v>
      </c>
      <c r="AA40" s="368">
        <v>1308.7091622001783</v>
      </c>
      <c r="AB40" s="368">
        <v>1308.7091622001783</v>
      </c>
      <c r="AC40" s="368">
        <v>1308.7091622001783</v>
      </c>
      <c r="AD40" s="368">
        <v>1308.7091622001783</v>
      </c>
      <c r="AE40" s="269">
        <v>1308.7091622001783</v>
      </c>
      <c r="AF40" s="269">
        <v>1308.7091622001783</v>
      </c>
      <c r="AG40" s="269">
        <v>1308.7091622001783</v>
      </c>
      <c r="AH40" s="269">
        <v>1308.7091622001783</v>
      </c>
      <c r="AI40" s="269">
        <v>1308.7091622001783</v>
      </c>
      <c r="AJ40" s="269">
        <v>1308.7091622001783</v>
      </c>
      <c r="AK40" s="269">
        <v>1308.7091622001783</v>
      </c>
      <c r="AL40" s="269">
        <v>1308.7091622001783</v>
      </c>
      <c r="AM40" s="269">
        <v>1308.7091622001783</v>
      </c>
      <c r="AN40" s="368">
        <v>1308.7091622001783</v>
      </c>
      <c r="AO40" s="368">
        <v>1308.7091622001783</v>
      </c>
      <c r="AP40" s="368">
        <v>1308.7091622001783</v>
      </c>
      <c r="AQ40" s="368">
        <v>1308.7091622001783</v>
      </c>
      <c r="AR40" s="368">
        <v>1308.7091622001783</v>
      </c>
      <c r="AS40" s="368">
        <v>1308.7091622001783</v>
      </c>
      <c r="AT40" s="368">
        <v>1308.7091622001783</v>
      </c>
      <c r="AU40" s="368">
        <v>1308.7091622001783</v>
      </c>
      <c r="AV40" s="368">
        <v>1308.7091622001783</v>
      </c>
      <c r="AW40" s="368">
        <v>1308.7091622001783</v>
      </c>
      <c r="AX40" s="368">
        <v>1308.7091622001783</v>
      </c>
      <c r="AY40" s="368">
        <v>1308.7091622001783</v>
      </c>
      <c r="AZ40" s="368">
        <v>1308.7091622001783</v>
      </c>
      <c r="BA40" s="368">
        <v>1308.7091622001783</v>
      </c>
      <c r="BB40" s="368">
        <v>1308.7091622001783</v>
      </c>
      <c r="BC40" s="368">
        <v>1308.7091622001783</v>
      </c>
      <c r="BD40" s="368">
        <v>1308.7091622001783</v>
      </c>
      <c r="BE40" s="368">
        <v>1308.7091622001783</v>
      </c>
      <c r="BF40" s="368">
        <v>1308.7091622001783</v>
      </c>
      <c r="BG40" s="368">
        <v>1308.7091622001783</v>
      </c>
      <c r="BH40" s="368">
        <v>1308.7091622001783</v>
      </c>
      <c r="BI40" s="368">
        <v>1308.7091622001783</v>
      </c>
      <c r="BJ40" s="368">
        <v>1308.7091622001783</v>
      </c>
      <c r="BK40" s="368">
        <v>1308.7091622001783</v>
      </c>
    </row>
    <row r="41" spans="1:63" s="236" customFormat="1" x14ac:dyDescent="0.35">
      <c r="A41" s="250" t="s">
        <v>266</v>
      </c>
      <c r="C41" s="407"/>
      <c r="D41" s="368">
        <v>1306.6521772667586</v>
      </c>
      <c r="E41" s="368">
        <v>1306.6521772667586</v>
      </c>
      <c r="F41" s="368">
        <v>1306.6521772667586</v>
      </c>
      <c r="G41" s="368">
        <v>1306.6521772667586</v>
      </c>
      <c r="H41" s="368">
        <v>1306.6521772667586</v>
      </c>
      <c r="I41" s="368">
        <v>1306.6521772667586</v>
      </c>
      <c r="J41" s="368">
        <v>1306.6521772667586</v>
      </c>
      <c r="K41" s="368">
        <v>1306.6521772667586</v>
      </c>
      <c r="L41" s="368">
        <v>1306.6521772667586</v>
      </c>
      <c r="M41" s="368">
        <v>1306.6521772667586</v>
      </c>
      <c r="N41" s="368">
        <v>1306.6521772667586</v>
      </c>
      <c r="O41" s="368">
        <v>1306.6521772667586</v>
      </c>
      <c r="P41" s="368">
        <v>1306.6521772667586</v>
      </c>
      <c r="Q41" s="368">
        <v>1306.6521772667586</v>
      </c>
      <c r="R41" s="368">
        <v>1306.6521772667586</v>
      </c>
      <c r="S41" s="368">
        <v>1306.6521772667586</v>
      </c>
      <c r="T41" s="368">
        <v>1306.6521772667586</v>
      </c>
      <c r="U41" s="368">
        <v>1306.6521772667586</v>
      </c>
      <c r="V41" s="368">
        <v>1306.6521772667586</v>
      </c>
      <c r="W41" s="368">
        <v>1306.6521772667586</v>
      </c>
      <c r="X41" s="368">
        <v>1306.6521772667586</v>
      </c>
      <c r="Y41" s="368">
        <v>1306.6521772667586</v>
      </c>
      <c r="Z41" s="368">
        <v>1306.6521772667586</v>
      </c>
      <c r="AA41" s="368">
        <v>1306.6521772667586</v>
      </c>
      <c r="AB41" s="368">
        <v>1306.6521772667586</v>
      </c>
      <c r="AC41" s="368">
        <v>1306.6521772667586</v>
      </c>
      <c r="AD41" s="368">
        <v>1306.6521772667586</v>
      </c>
      <c r="AE41" s="269">
        <v>1306.6521772667586</v>
      </c>
      <c r="AF41" s="269">
        <v>1306.6521772667586</v>
      </c>
      <c r="AG41" s="269">
        <v>1306.6521772667586</v>
      </c>
      <c r="AH41" s="269">
        <v>1306.6521772667586</v>
      </c>
      <c r="AI41" s="269">
        <v>1306.6521772667586</v>
      </c>
      <c r="AJ41" s="269">
        <v>1306.6521772667586</v>
      </c>
      <c r="AK41" s="269">
        <v>1306.6521772667586</v>
      </c>
      <c r="AL41" s="269">
        <v>1306.6521772667586</v>
      </c>
      <c r="AM41" s="269">
        <v>1306.6521772667586</v>
      </c>
      <c r="AN41" s="368">
        <v>1306.6521772667586</v>
      </c>
      <c r="AO41" s="368">
        <v>1306.6521772667586</v>
      </c>
      <c r="AP41" s="368">
        <v>1306.6521772667586</v>
      </c>
      <c r="AQ41" s="368">
        <v>1306.6521772667586</v>
      </c>
      <c r="AR41" s="368">
        <v>1306.6521772667586</v>
      </c>
      <c r="AS41" s="368">
        <v>1306.6521772667586</v>
      </c>
      <c r="AT41" s="368">
        <v>1306.6521772667586</v>
      </c>
      <c r="AU41" s="368">
        <v>1306.6521772667586</v>
      </c>
      <c r="AV41" s="368">
        <v>1306.6521772667586</v>
      </c>
      <c r="AW41" s="368">
        <v>1306.6521772667586</v>
      </c>
      <c r="AX41" s="368">
        <v>1306.6521772667586</v>
      </c>
      <c r="AY41" s="368">
        <v>1306.6521772667586</v>
      </c>
      <c r="AZ41" s="368">
        <v>1306.6521772667586</v>
      </c>
      <c r="BA41" s="368">
        <v>1306.6521772667586</v>
      </c>
      <c r="BB41" s="368">
        <v>1306.6521772667586</v>
      </c>
      <c r="BC41" s="368">
        <v>1306.6521772667586</v>
      </c>
      <c r="BD41" s="368">
        <v>1306.6521772667586</v>
      </c>
      <c r="BE41" s="368">
        <v>1306.6521772667586</v>
      </c>
      <c r="BF41" s="368">
        <v>1306.6521772667586</v>
      </c>
      <c r="BG41" s="368">
        <v>1306.6521772667586</v>
      </c>
      <c r="BH41" s="368">
        <v>1306.6521772667586</v>
      </c>
      <c r="BI41" s="368">
        <v>1306.6521772667586</v>
      </c>
      <c r="BJ41" s="368">
        <v>1306.6521772667586</v>
      </c>
      <c r="BK41" s="368">
        <v>1306.6521772667586</v>
      </c>
    </row>
    <row r="42" spans="1:63" s="236" customFormat="1" x14ac:dyDescent="0.35">
      <c r="A42" s="250" t="s">
        <v>267</v>
      </c>
      <c r="C42" s="407"/>
      <c r="D42" s="368">
        <v>1362.5276069857937</v>
      </c>
      <c r="E42" s="368">
        <v>1362.5276069857937</v>
      </c>
      <c r="F42" s="368">
        <v>1362.5276069857937</v>
      </c>
      <c r="G42" s="368">
        <v>1362.5276069857937</v>
      </c>
      <c r="H42" s="368">
        <v>1362.5276069857937</v>
      </c>
      <c r="I42" s="368">
        <v>1362.5276069857937</v>
      </c>
      <c r="J42" s="368">
        <v>1362.5276069857937</v>
      </c>
      <c r="K42" s="368">
        <v>1362.5276069857937</v>
      </c>
      <c r="L42" s="368">
        <v>1362.5276069857937</v>
      </c>
      <c r="M42" s="368">
        <v>1362.5276069857937</v>
      </c>
      <c r="N42" s="368">
        <v>1362.5276069857937</v>
      </c>
      <c r="O42" s="368">
        <v>1362.5276069857937</v>
      </c>
      <c r="P42" s="368">
        <v>1362.5276069857937</v>
      </c>
      <c r="Q42" s="368">
        <v>1362.5276069857937</v>
      </c>
      <c r="R42" s="368">
        <v>1362.5276069857937</v>
      </c>
      <c r="S42" s="368">
        <v>1362.5276069857937</v>
      </c>
      <c r="T42" s="368">
        <v>1362.5276069857937</v>
      </c>
      <c r="U42" s="368">
        <v>1362.5276069857937</v>
      </c>
      <c r="V42" s="368">
        <v>1362.5276069857937</v>
      </c>
      <c r="W42" s="368">
        <v>1362.5276069857937</v>
      </c>
      <c r="X42" s="368">
        <v>1362.5276069857937</v>
      </c>
      <c r="Y42" s="368">
        <v>1362.5276069857937</v>
      </c>
      <c r="Z42" s="368">
        <v>1362.5276069857937</v>
      </c>
      <c r="AA42" s="368">
        <v>1362.5276069857937</v>
      </c>
      <c r="AB42" s="368">
        <v>1362.5276069857937</v>
      </c>
      <c r="AC42" s="368">
        <v>1362.5276069857937</v>
      </c>
      <c r="AD42" s="368">
        <v>1362.5276069857937</v>
      </c>
      <c r="AE42" s="269">
        <v>1362.5276069857937</v>
      </c>
      <c r="AF42" s="269">
        <v>1362.5276069857937</v>
      </c>
      <c r="AG42" s="269">
        <v>1362.5276069857937</v>
      </c>
      <c r="AH42" s="269">
        <v>1362.5276069857937</v>
      </c>
      <c r="AI42" s="269">
        <v>1362.5276069857937</v>
      </c>
      <c r="AJ42" s="269">
        <v>1362.5276069857937</v>
      </c>
      <c r="AK42" s="269">
        <v>1362.5276069857937</v>
      </c>
      <c r="AL42" s="269">
        <v>1362.5276069857937</v>
      </c>
      <c r="AM42" s="269">
        <v>1362.5276069857937</v>
      </c>
      <c r="AN42" s="368">
        <v>1362.5276069857937</v>
      </c>
      <c r="AO42" s="368">
        <v>1362.5276069857937</v>
      </c>
      <c r="AP42" s="368">
        <v>1362.5276069857937</v>
      </c>
      <c r="AQ42" s="368">
        <v>1362.5276069857937</v>
      </c>
      <c r="AR42" s="368">
        <v>1362.5276069857937</v>
      </c>
      <c r="AS42" s="368">
        <v>1362.5276069857937</v>
      </c>
      <c r="AT42" s="368">
        <v>1362.5276069857937</v>
      </c>
      <c r="AU42" s="368">
        <v>1362.5276069857937</v>
      </c>
      <c r="AV42" s="368">
        <v>1362.5276069857937</v>
      </c>
      <c r="AW42" s="368">
        <v>1362.5276069857937</v>
      </c>
      <c r="AX42" s="368">
        <v>1362.5276069857937</v>
      </c>
      <c r="AY42" s="368">
        <v>1362.5276069857937</v>
      </c>
      <c r="AZ42" s="368">
        <v>1362.5276069857937</v>
      </c>
      <c r="BA42" s="368">
        <v>1362.5276069857937</v>
      </c>
      <c r="BB42" s="368">
        <v>1362.5276069857937</v>
      </c>
      <c r="BC42" s="368">
        <v>1362.5276069857937</v>
      </c>
      <c r="BD42" s="368">
        <v>1362.5276069857937</v>
      </c>
      <c r="BE42" s="368">
        <v>1362.5276069857937</v>
      </c>
      <c r="BF42" s="368">
        <v>1362.5276069857937</v>
      </c>
      <c r="BG42" s="368">
        <v>1362.5276069857937</v>
      </c>
      <c r="BH42" s="368">
        <v>1362.5276069857937</v>
      </c>
      <c r="BI42" s="368">
        <v>1362.5276069857937</v>
      </c>
      <c r="BJ42" s="368">
        <v>1362.5276069857937</v>
      </c>
      <c r="BK42" s="368">
        <v>1362.5276069857937</v>
      </c>
    </row>
    <row r="43" spans="1:63" s="236" customFormat="1" x14ac:dyDescent="0.35">
      <c r="A43" s="250" t="s">
        <v>268</v>
      </c>
      <c r="C43" s="407"/>
      <c r="D43" s="368">
        <v>1494.9082206175608</v>
      </c>
      <c r="E43" s="368">
        <v>1494.9082206175608</v>
      </c>
      <c r="F43" s="368">
        <v>1494.9082206175608</v>
      </c>
      <c r="G43" s="368">
        <v>1494.9082206175608</v>
      </c>
      <c r="H43" s="368">
        <v>1494.9082206175608</v>
      </c>
      <c r="I43" s="368">
        <v>1494.9082206175608</v>
      </c>
      <c r="J43" s="368">
        <v>1494.9082206175608</v>
      </c>
      <c r="K43" s="368">
        <v>1494.9082206175608</v>
      </c>
      <c r="L43" s="368">
        <v>1494.9082206175608</v>
      </c>
      <c r="M43" s="368">
        <v>1494.9082206175608</v>
      </c>
      <c r="N43" s="368">
        <v>1494.9082206175608</v>
      </c>
      <c r="O43" s="368">
        <v>1494.9082206175608</v>
      </c>
      <c r="P43" s="368">
        <v>1494.9082206175608</v>
      </c>
      <c r="Q43" s="368">
        <v>1494.9082206175608</v>
      </c>
      <c r="R43" s="368">
        <v>1494.9082206175608</v>
      </c>
      <c r="S43" s="368">
        <v>1494.9082206175608</v>
      </c>
      <c r="T43" s="368">
        <v>1494.9082206175608</v>
      </c>
      <c r="U43" s="368">
        <v>1494.9082206175608</v>
      </c>
      <c r="V43" s="368">
        <v>1494.9082206175608</v>
      </c>
      <c r="W43" s="368">
        <v>1494.9082206175608</v>
      </c>
      <c r="X43" s="368">
        <v>1494.9082206175608</v>
      </c>
      <c r="Y43" s="368">
        <v>1494.9082206175608</v>
      </c>
      <c r="Z43" s="368">
        <v>1494.9082206175608</v>
      </c>
      <c r="AA43" s="368">
        <v>1494.9082206175608</v>
      </c>
      <c r="AB43" s="368">
        <v>1494.9082206175608</v>
      </c>
      <c r="AC43" s="368">
        <v>1494.9082206175608</v>
      </c>
      <c r="AD43" s="368">
        <v>1494.9082206175608</v>
      </c>
      <c r="AE43" s="269">
        <v>1494.9082206175608</v>
      </c>
      <c r="AF43" s="269">
        <v>1494.9082206175608</v>
      </c>
      <c r="AG43" s="269">
        <v>1494.9082206175608</v>
      </c>
      <c r="AH43" s="269">
        <v>1494.9082206175608</v>
      </c>
      <c r="AI43" s="269">
        <v>1494.9082206175608</v>
      </c>
      <c r="AJ43" s="269">
        <v>1494.9082206175608</v>
      </c>
      <c r="AK43" s="269">
        <v>1494.9082206175608</v>
      </c>
      <c r="AL43" s="269">
        <v>1494.9082206175608</v>
      </c>
      <c r="AM43" s="269">
        <v>1494.9082206175608</v>
      </c>
      <c r="AN43" s="368">
        <v>1494.9082206175608</v>
      </c>
      <c r="AO43" s="368">
        <v>1494.9082206175608</v>
      </c>
      <c r="AP43" s="368">
        <v>1494.9082206175608</v>
      </c>
      <c r="AQ43" s="368">
        <v>1494.9082206175608</v>
      </c>
      <c r="AR43" s="368">
        <v>1494.9082206175608</v>
      </c>
      <c r="AS43" s="368">
        <v>1494.9082206175608</v>
      </c>
      <c r="AT43" s="368">
        <v>1494.9082206175608</v>
      </c>
      <c r="AU43" s="368">
        <v>1494.9082206175608</v>
      </c>
      <c r="AV43" s="368">
        <v>1494.9082206175608</v>
      </c>
      <c r="AW43" s="368">
        <v>1494.9082206175608</v>
      </c>
      <c r="AX43" s="368">
        <v>1494.9082206175608</v>
      </c>
      <c r="AY43" s="368">
        <v>1494.9082206175608</v>
      </c>
      <c r="AZ43" s="368">
        <v>1494.9082206175608</v>
      </c>
      <c r="BA43" s="368">
        <v>1494.9082206175608</v>
      </c>
      <c r="BB43" s="368">
        <v>1494.9082206175608</v>
      </c>
      <c r="BC43" s="368">
        <v>1494.9082206175608</v>
      </c>
      <c r="BD43" s="368">
        <v>1494.9082206175608</v>
      </c>
      <c r="BE43" s="368">
        <v>1494.9082206175608</v>
      </c>
      <c r="BF43" s="368">
        <v>1494.9082206175608</v>
      </c>
      <c r="BG43" s="368">
        <v>1494.9082206175608</v>
      </c>
      <c r="BH43" s="368">
        <v>1494.9082206175608</v>
      </c>
      <c r="BI43" s="368">
        <v>1494.9082206175608</v>
      </c>
      <c r="BJ43" s="368">
        <v>1494.9082206175608</v>
      </c>
      <c r="BK43" s="368">
        <v>1494.9082206175608</v>
      </c>
    </row>
    <row r="44" spans="1:63" s="287" customFormat="1" x14ac:dyDescent="0.35">
      <c r="A44" s="250" t="s">
        <v>315</v>
      </c>
      <c r="C44" s="407"/>
      <c r="D44" s="368">
        <v>3000</v>
      </c>
      <c r="E44" s="368">
        <v>3000</v>
      </c>
      <c r="F44" s="368">
        <v>3000</v>
      </c>
      <c r="G44" s="368">
        <v>3000</v>
      </c>
      <c r="H44" s="368">
        <v>3000</v>
      </c>
      <c r="I44" s="368">
        <v>3000</v>
      </c>
      <c r="J44" s="368">
        <v>3000</v>
      </c>
      <c r="K44" s="368">
        <v>3000</v>
      </c>
      <c r="L44" s="368">
        <v>3000</v>
      </c>
      <c r="M44" s="368">
        <v>3000</v>
      </c>
      <c r="N44" s="368">
        <v>3000</v>
      </c>
      <c r="O44" s="368">
        <v>3000</v>
      </c>
      <c r="P44" s="368">
        <v>3000</v>
      </c>
      <c r="Q44" s="368">
        <v>3000</v>
      </c>
      <c r="R44" s="368">
        <v>3000</v>
      </c>
      <c r="S44" s="368">
        <v>3000</v>
      </c>
      <c r="T44" s="368">
        <v>3000</v>
      </c>
      <c r="U44" s="368">
        <v>3000</v>
      </c>
      <c r="V44" s="368">
        <v>3000</v>
      </c>
      <c r="W44" s="368">
        <v>3000</v>
      </c>
      <c r="X44" s="368">
        <v>3000</v>
      </c>
      <c r="Y44" s="368">
        <v>3000</v>
      </c>
      <c r="Z44" s="368">
        <v>3000</v>
      </c>
      <c r="AA44" s="368">
        <v>3000</v>
      </c>
      <c r="AB44" s="368">
        <v>3000</v>
      </c>
      <c r="AC44" s="368">
        <v>3000</v>
      </c>
      <c r="AD44" s="368">
        <v>3000</v>
      </c>
      <c r="AE44" s="269">
        <v>3000</v>
      </c>
      <c r="AF44" s="269">
        <v>3000</v>
      </c>
      <c r="AG44" s="269">
        <v>3000</v>
      </c>
      <c r="AH44" s="269">
        <v>3000</v>
      </c>
      <c r="AI44" s="269">
        <v>3000</v>
      </c>
      <c r="AJ44" s="269">
        <v>3000</v>
      </c>
      <c r="AK44" s="269">
        <v>3000</v>
      </c>
      <c r="AL44" s="269">
        <v>3000</v>
      </c>
      <c r="AM44" s="269">
        <v>3000</v>
      </c>
      <c r="AN44" s="368">
        <v>3000</v>
      </c>
      <c r="AO44" s="368">
        <v>3000</v>
      </c>
      <c r="AP44" s="368">
        <v>3000</v>
      </c>
      <c r="AQ44" s="368">
        <v>3000</v>
      </c>
      <c r="AR44" s="368">
        <v>3000</v>
      </c>
      <c r="AS44" s="368">
        <v>3000</v>
      </c>
      <c r="AT44" s="368">
        <v>3000</v>
      </c>
      <c r="AU44" s="368">
        <v>3000</v>
      </c>
      <c r="AV44" s="368">
        <v>3000</v>
      </c>
      <c r="AW44" s="368">
        <v>3000</v>
      </c>
      <c r="AX44" s="368">
        <v>3000</v>
      </c>
      <c r="AY44" s="368">
        <v>3000</v>
      </c>
      <c r="AZ44" s="368">
        <v>3000</v>
      </c>
      <c r="BA44" s="368">
        <v>3000</v>
      </c>
      <c r="BB44" s="368">
        <v>3000</v>
      </c>
      <c r="BC44" s="368">
        <v>3000</v>
      </c>
      <c r="BD44" s="368">
        <v>3000</v>
      </c>
      <c r="BE44" s="368">
        <v>3000</v>
      </c>
      <c r="BF44" s="368">
        <v>3000</v>
      </c>
      <c r="BG44" s="368">
        <v>3000</v>
      </c>
      <c r="BH44" s="368">
        <v>3000</v>
      </c>
      <c r="BI44" s="368">
        <v>3000</v>
      </c>
      <c r="BJ44" s="368">
        <v>3000</v>
      </c>
      <c r="BK44" s="368">
        <v>3000</v>
      </c>
    </row>
    <row r="45" spans="1:63" s="236" customFormat="1" x14ac:dyDescent="0.35">
      <c r="A45" s="220" t="s">
        <v>175</v>
      </c>
      <c r="B45" s="374" t="s">
        <v>207</v>
      </c>
      <c r="C45" s="374"/>
      <c r="D45" s="291">
        <f>'Cost Summary'!C19/('Voice Revenue'!B6+'SMS Revenue'!B6)</f>
        <v>217.72430260795647</v>
      </c>
      <c r="E45" s="291">
        <f>'Cost Summary'!D19/('Voice Revenue'!C6+'SMS Revenue'!C6)</f>
        <v>228.98492859238837</v>
      </c>
      <c r="F45" s="291">
        <f>'Cost Summary'!E19/('Voice Revenue'!D6+'SMS Revenue'!D6)</f>
        <v>223.87941409661394</v>
      </c>
      <c r="G45" s="291">
        <f>'Cost Summary'!F19/('Voice Revenue'!E6+'SMS Revenue'!E6)</f>
        <v>223.15086943811167</v>
      </c>
      <c r="H45" s="291">
        <f>'Cost Summary'!G19/('Voice Revenue'!F6+'SMS Revenue'!F6)</f>
        <v>181.09090386488009</v>
      </c>
      <c r="I45" s="291">
        <f>'Cost Summary'!H19/('Voice Revenue'!G6+'SMS Revenue'!G6)</f>
        <v>265.86750047630363</v>
      </c>
      <c r="J45" s="291">
        <f>'Cost Summary'!I19/('Voice Revenue'!H6+'SMS Revenue'!H6)</f>
        <v>259.15869543519699</v>
      </c>
      <c r="K45" s="291">
        <f>'Cost Summary'!J19/('Voice Revenue'!I6+'SMS Revenue'!I6)</f>
        <v>276.33039892273013</v>
      </c>
      <c r="L45" s="291">
        <f>'Cost Summary'!K18/('Voice Revenue'!J6+'SMS Revenue'!J6)</f>
        <v>185.39264867176371</v>
      </c>
      <c r="M45" s="277">
        <f>'CAC Update'!N17</f>
        <v>138.33783819112477</v>
      </c>
      <c r="N45" s="277">
        <f>'CAC Update'!O17</f>
        <v>258.10893413386242</v>
      </c>
      <c r="O45" s="277">
        <f>'CAC Update'!P17</f>
        <v>890.16558898755522</v>
      </c>
      <c r="P45" s="277">
        <f>'CAC Update'!Q17</f>
        <v>367.22099775464494</v>
      </c>
      <c r="Q45" s="277">
        <f>'CAC Update'!R17</f>
        <v>267.6505705343148</v>
      </c>
      <c r="R45" s="277">
        <f>'CAC Update'!S17</f>
        <v>317.14642430306554</v>
      </c>
      <c r="S45" s="277">
        <f>'CAC Update'!T17</f>
        <v>248.91847328162262</v>
      </c>
      <c r="T45" s="277">
        <f>'CAC Update'!U17</f>
        <v>191.29042676527624</v>
      </c>
      <c r="U45" s="277">
        <f>'CAC Update'!V17</f>
        <v>374.74375623810431</v>
      </c>
      <c r="V45" s="277">
        <f>'CAC Update'!W17</f>
        <v>533.97294847787748</v>
      </c>
      <c r="W45" s="277">
        <f>'CAC Update'!X17</f>
        <v>417.20643509171634</v>
      </c>
      <c r="X45" s="277">
        <f>'CAC Update'!Y17</f>
        <v>279.26911263976319</v>
      </c>
      <c r="Y45" s="277">
        <f>'CAC Update'!Z17</f>
        <v>566.39667398141432</v>
      </c>
      <c r="Z45" s="277">
        <f>'CAC Update'!AA17</f>
        <v>443.14321862607284</v>
      </c>
      <c r="AA45" s="277">
        <f>'CAC Update'!AB17</f>
        <v>498.92885678517683</v>
      </c>
      <c r="AB45" s="277">
        <f>'CAC Update'!AC17</f>
        <v>447.74149213647468</v>
      </c>
      <c r="AC45" s="277">
        <f>'CAC Update'!AD17</f>
        <v>398.25418209991795</v>
      </c>
      <c r="AD45" s="277">
        <f>'CAC Update'!AE17</f>
        <v>553.07224899044195</v>
      </c>
      <c r="AE45" s="277">
        <f>'CAC Update'!AF17</f>
        <v>472.19581367681707</v>
      </c>
      <c r="AF45" s="277">
        <f>'CAC Update'!AG17</f>
        <v>457.67976738760547</v>
      </c>
      <c r="AG45" s="277">
        <f>'CAC Update'!AH17</f>
        <v>495.91402830285944</v>
      </c>
      <c r="AH45" s="277">
        <f>'CAC Update'!AI17</f>
        <v>538.01721475807142</v>
      </c>
      <c r="AI45" s="277">
        <f>'CAC Update'!AJ17</f>
        <v>560.95671699160789</v>
      </c>
      <c r="AJ45" s="277">
        <f>'CAC Update'!AK17</f>
        <v>561.58767470445025</v>
      </c>
      <c r="AK45" s="277">
        <f>'CAC Update'!AL17</f>
        <v>380.3715902910958</v>
      </c>
      <c r="AL45" s="277">
        <f>'CAC Update'!AM17</f>
        <v>380.5999459511562</v>
      </c>
      <c r="AM45" s="277">
        <f>'CAC Update'!AN17</f>
        <v>756.43102310140682</v>
      </c>
      <c r="AN45" s="277">
        <f>'CAC Update'!AO17</f>
        <v>381.99234250973404</v>
      </c>
      <c r="AO45" s="277">
        <f>'CAC Update'!AP17</f>
        <v>386.33423102011307</v>
      </c>
      <c r="AP45" s="277">
        <f>'CAC Update'!AQ17</f>
        <v>386.86283777135134</v>
      </c>
      <c r="AQ45" s="277">
        <f>'CAC Update'!AR17</f>
        <v>387.10394783777741</v>
      </c>
      <c r="AR45" s="277">
        <f>'CAC Update'!AS17</f>
        <v>387.31501585910252</v>
      </c>
      <c r="AS45" s="277">
        <f>'CAC Update'!AT17</f>
        <v>387.54210102529595</v>
      </c>
      <c r="AT45" s="277">
        <f>'CAC Update'!AU17</f>
        <v>387.76421526102763</v>
      </c>
      <c r="AU45" s="277">
        <f>'CAC Update'!AV17</f>
        <v>387.93862108180463</v>
      </c>
      <c r="AV45" s="277">
        <f>'CAC Update'!AW17</f>
        <v>388.09625474612642</v>
      </c>
      <c r="AW45" s="277">
        <f>'CAC Update'!AX17</f>
        <v>388.23265625575908</v>
      </c>
      <c r="AX45" s="277">
        <f>'CAC Update'!AY17</f>
        <v>388.37868962134212</v>
      </c>
      <c r="AY45" s="277">
        <f>'CAC Update'!AZ17</f>
        <v>775.10260433545147</v>
      </c>
      <c r="AZ45" s="277" t="e">
        <f>'CAC Update'!BA17</f>
        <v>#VALUE!</v>
      </c>
      <c r="BA45" s="277" t="e">
        <f>'CAC Update'!BB17</f>
        <v>#VALUE!</v>
      </c>
      <c r="BB45" s="277" t="e">
        <f>'CAC Update'!BC17</f>
        <v>#VALUE!</v>
      </c>
      <c r="BC45" s="277" t="e">
        <f>'CAC Update'!BD17</f>
        <v>#VALUE!</v>
      </c>
      <c r="BD45" s="277" t="e">
        <f>'CAC Update'!BE17</f>
        <v>#VALUE!</v>
      </c>
      <c r="BE45" s="277" t="e">
        <f>'CAC Update'!BF17</f>
        <v>#VALUE!</v>
      </c>
      <c r="BF45" s="277" t="e">
        <f>'CAC Update'!BG17</f>
        <v>#VALUE!</v>
      </c>
      <c r="BG45" s="277" t="e">
        <f>'CAC Update'!BH17</f>
        <v>#VALUE!</v>
      </c>
      <c r="BH45" s="277" t="e">
        <f>'CAC Update'!BI17</f>
        <v>#VALUE!</v>
      </c>
      <c r="BI45" s="277" t="e">
        <f>'CAC Update'!BJ17</f>
        <v>#VALUE!</v>
      </c>
      <c r="BJ45" s="277" t="e">
        <f>'CAC Update'!BK17</f>
        <v>#VALUE!</v>
      </c>
      <c r="BK45" s="277" t="e">
        <f>'CAC Update'!BL17</f>
        <v>#VALUE!</v>
      </c>
    </row>
    <row r="46" spans="1:63" s="407" customFormat="1" x14ac:dyDescent="0.35">
      <c r="A46" s="220" t="s">
        <v>449</v>
      </c>
      <c r="B46" s="374" t="s">
        <v>496</v>
      </c>
      <c r="C46" s="374"/>
      <c r="D46" s="424">
        <v>66955.239999999991</v>
      </c>
      <c r="E46" s="424">
        <v>117273.04000000001</v>
      </c>
      <c r="F46" s="424">
        <v>111961.93</v>
      </c>
      <c r="G46" s="424">
        <v>140068.5</v>
      </c>
      <c r="H46" s="424">
        <v>96064.320000000007</v>
      </c>
      <c r="I46" s="424">
        <v>100778.07</v>
      </c>
      <c r="J46" s="424">
        <v>97579.95</v>
      </c>
      <c r="K46" s="424">
        <v>97200.08</v>
      </c>
      <c r="L46" s="424">
        <v>116000</v>
      </c>
      <c r="M46" s="422">
        <f>'CAC Update'!N9</f>
        <v>156742.78</v>
      </c>
      <c r="N46" s="422">
        <f>'CAC Update'!O9</f>
        <v>88581.16</v>
      </c>
      <c r="O46" s="422">
        <f>'CAC Update'!P9</f>
        <v>60219.11</v>
      </c>
      <c r="P46" s="422">
        <f>'CAC Update'!Q9</f>
        <v>253256.75</v>
      </c>
      <c r="Q46" s="422">
        <f>'CAC Update'!R9</f>
        <v>176428.62999999998</v>
      </c>
      <c r="R46" s="422">
        <f>'CAC Update'!S9</f>
        <v>245214.31</v>
      </c>
      <c r="S46" s="422">
        <f>'CAC Update'!T9</f>
        <v>235310.52000000002</v>
      </c>
      <c r="T46" s="422">
        <f>'CAC Update'!U9</f>
        <v>270919.63</v>
      </c>
      <c r="U46" s="422">
        <f>'CAC Update'!V9</f>
        <v>441594.77</v>
      </c>
      <c r="V46" s="422">
        <f>'CAC Update'!W9</f>
        <v>690294.7</v>
      </c>
      <c r="W46" s="422">
        <f>'CAC Update'!X9</f>
        <v>648530.91</v>
      </c>
      <c r="X46" s="422">
        <f>'CAC Update'!Y9</f>
        <v>424936.93</v>
      </c>
      <c r="Y46" s="422">
        <f>'CAC Update'!Z9</f>
        <v>380685.58</v>
      </c>
      <c r="Z46" s="422">
        <f>'CAC Update'!AA9</f>
        <v>414441.6</v>
      </c>
      <c r="AA46" s="422">
        <f>'CAC Update'!AB9</f>
        <v>336322.19</v>
      </c>
      <c r="AB46" s="422">
        <f>'CAC Update'!AC9</f>
        <v>235000</v>
      </c>
      <c r="AC46" s="422">
        <f>'CAC Update'!AD9</f>
        <v>300000</v>
      </c>
      <c r="AD46" s="422">
        <f>'CAC Update'!AE9</f>
        <v>465000</v>
      </c>
      <c r="AE46" s="422">
        <f>'CAC Update'!AF9</f>
        <v>565000</v>
      </c>
      <c r="AF46" s="422">
        <f>'CAC Update'!AG9</f>
        <v>570000</v>
      </c>
      <c r="AG46" s="422">
        <f>'CAC Update'!AH9</f>
        <v>500000</v>
      </c>
      <c r="AH46" s="422">
        <f>'CAC Update'!AI9</f>
        <v>450000</v>
      </c>
      <c r="AI46" s="422">
        <f>'CAC Update'!AJ9</f>
        <v>400000</v>
      </c>
      <c r="AJ46" s="422">
        <f>'CAC Update'!AK9</f>
        <v>400000</v>
      </c>
      <c r="AK46" s="422">
        <f>'CAC Update'!AL9</f>
        <v>400000</v>
      </c>
      <c r="AL46" s="422">
        <f>'CAC Update'!AM9</f>
        <v>400000</v>
      </c>
      <c r="AM46" s="422">
        <f>'CAC Update'!AN9</f>
        <v>400000</v>
      </c>
      <c r="AN46" s="422">
        <f>'CAC Update'!AO9</f>
        <v>400000</v>
      </c>
      <c r="AO46" s="422">
        <f>'CAC Update'!AP9</f>
        <v>400000</v>
      </c>
      <c r="AP46" s="422">
        <f>'CAC Update'!AQ9</f>
        <v>400000</v>
      </c>
      <c r="AQ46" s="422">
        <f>'CAC Update'!AR9</f>
        <v>400000</v>
      </c>
      <c r="AR46" s="422">
        <f>'CAC Update'!AS9</f>
        <v>400000</v>
      </c>
      <c r="AS46" s="422">
        <f>'CAC Update'!AT9</f>
        <v>400000</v>
      </c>
      <c r="AT46" s="422">
        <f>'CAC Update'!AU9</f>
        <v>400000</v>
      </c>
      <c r="AU46" s="422">
        <f>'CAC Update'!AV9</f>
        <v>400000</v>
      </c>
      <c r="AV46" s="422">
        <f>'CAC Update'!AW9</f>
        <v>400000</v>
      </c>
      <c r="AW46" s="422">
        <f>'CAC Update'!AX9</f>
        <v>400000</v>
      </c>
      <c r="AX46" s="422">
        <f>'CAC Update'!AY9</f>
        <v>400000</v>
      </c>
      <c r="AY46" s="422">
        <f>'CAC Update'!AZ9</f>
        <v>400000</v>
      </c>
      <c r="AZ46" s="422">
        <f>'CAC Update'!BA9</f>
        <v>400000</v>
      </c>
      <c r="BA46" s="422">
        <f>'CAC Update'!BB9</f>
        <v>400000</v>
      </c>
      <c r="BB46" s="422">
        <f>'CAC Update'!BC9</f>
        <v>400000</v>
      </c>
      <c r="BC46" s="422">
        <f>'CAC Update'!BD9</f>
        <v>400000</v>
      </c>
      <c r="BD46" s="422">
        <f>'CAC Update'!BE9</f>
        <v>400000</v>
      </c>
      <c r="BE46" s="422">
        <f>'CAC Update'!BF9</f>
        <v>400000</v>
      </c>
      <c r="BF46" s="422">
        <f>'CAC Update'!BG9</f>
        <v>400000</v>
      </c>
      <c r="BG46" s="422">
        <f>'CAC Update'!BH9</f>
        <v>400000</v>
      </c>
      <c r="BH46" s="422">
        <f>'CAC Update'!BI9</f>
        <v>400000</v>
      </c>
      <c r="BI46" s="422">
        <f>'CAC Update'!BJ9</f>
        <v>400000</v>
      </c>
      <c r="BJ46" s="422">
        <f>'CAC Update'!BK9</f>
        <v>400000</v>
      </c>
      <c r="BK46" s="422">
        <f>'CAC Update'!BL9</f>
        <v>400000</v>
      </c>
    </row>
    <row r="47" spans="1:63" x14ac:dyDescent="0.35">
      <c r="A47" s="220" t="s">
        <v>213</v>
      </c>
      <c r="B47">
        <v>6</v>
      </c>
      <c r="P47" s="308"/>
      <c r="AN47" s="574"/>
      <c r="AO47" s="574"/>
      <c r="AP47" s="574"/>
      <c r="AQ47" s="574"/>
      <c r="AR47" s="574"/>
      <c r="AS47" s="574"/>
      <c r="AT47" s="574"/>
      <c r="AU47" s="574"/>
      <c r="AV47" s="574"/>
      <c r="AW47" s="574"/>
      <c r="AX47" s="574"/>
      <c r="AY47" s="574"/>
      <c r="AZ47" s="574"/>
      <c r="BA47" s="574"/>
      <c r="BB47" s="574"/>
      <c r="BC47" s="574"/>
      <c r="BD47" s="574"/>
      <c r="BE47" s="574"/>
      <c r="BF47" s="574"/>
      <c r="BG47" s="574"/>
      <c r="BH47" s="574"/>
      <c r="BI47" s="574"/>
      <c r="BJ47" s="574"/>
      <c r="BK47" s="574"/>
    </row>
    <row r="48" spans="1:63" s="236" customFormat="1" x14ac:dyDescent="0.35">
      <c r="A48" s="220" t="s">
        <v>214</v>
      </c>
      <c r="B48" s="236">
        <v>60</v>
      </c>
      <c r="C48" s="407"/>
      <c r="AN48" s="574"/>
      <c r="AO48" s="574"/>
      <c r="AP48" s="574"/>
      <c r="AQ48" s="574"/>
      <c r="AR48" s="574"/>
      <c r="AS48" s="574"/>
      <c r="AT48" s="574"/>
      <c r="AU48" s="574"/>
      <c r="AV48" s="574"/>
      <c r="AW48" s="574"/>
      <c r="AX48" s="574"/>
      <c r="AY48" s="574"/>
      <c r="AZ48" s="574"/>
      <c r="BA48" s="574"/>
      <c r="BB48" s="574"/>
      <c r="BC48" s="574"/>
      <c r="BD48" s="574"/>
      <c r="BE48" s="574"/>
      <c r="BF48" s="574"/>
      <c r="BG48" s="574"/>
      <c r="BH48" s="574"/>
      <c r="BI48" s="574"/>
      <c r="BJ48" s="574"/>
      <c r="BK48" s="574"/>
    </row>
    <row r="49" spans="1:64" s="236" customFormat="1" x14ac:dyDescent="0.35">
      <c r="A49" s="220" t="s">
        <v>215</v>
      </c>
      <c r="B49" s="236">
        <v>5</v>
      </c>
      <c r="C49" s="407"/>
      <c r="AN49" s="574"/>
      <c r="AO49" s="574"/>
      <c r="AP49" s="574"/>
      <c r="AQ49" s="574"/>
      <c r="AR49" s="574"/>
      <c r="AS49" s="574"/>
      <c r="AT49" s="574"/>
      <c r="AU49" s="574"/>
      <c r="AV49" s="574"/>
      <c r="AW49" s="574"/>
      <c r="AX49" s="574"/>
      <c r="AY49" s="574"/>
      <c r="AZ49" s="574"/>
      <c r="BA49" s="574"/>
      <c r="BB49" s="574"/>
      <c r="BC49" s="574"/>
      <c r="BD49" s="574"/>
      <c r="BE49" s="574"/>
      <c r="BF49" s="574"/>
      <c r="BG49" s="574"/>
      <c r="BH49" s="574"/>
      <c r="BI49" s="574"/>
      <c r="BJ49" s="574"/>
      <c r="BK49" s="574"/>
    </row>
    <row r="50" spans="1:64" s="236" customFormat="1" x14ac:dyDescent="0.35">
      <c r="A50" s="220" t="s">
        <v>216</v>
      </c>
      <c r="B50" s="225">
        <v>122292</v>
      </c>
      <c r="C50" s="308"/>
      <c r="AN50" s="574"/>
      <c r="AO50" s="574"/>
      <c r="AP50" s="574"/>
      <c r="AQ50" s="574"/>
      <c r="AR50" s="574"/>
      <c r="AS50" s="574"/>
      <c r="AT50" s="574"/>
      <c r="AU50" s="574"/>
      <c r="AV50" s="574"/>
      <c r="AW50" s="574"/>
      <c r="AX50" s="574"/>
      <c r="AY50" s="574"/>
      <c r="AZ50" s="574"/>
      <c r="BA50" s="574"/>
      <c r="BB50" s="574"/>
      <c r="BC50" s="574"/>
      <c r="BD50" s="574"/>
      <c r="BE50" s="574"/>
      <c r="BF50" s="574"/>
      <c r="BG50" s="574"/>
      <c r="BH50" s="574"/>
      <c r="BI50" s="574"/>
      <c r="BJ50" s="574"/>
      <c r="BK50" s="574"/>
    </row>
    <row r="51" spans="1:64" s="236" customFormat="1" x14ac:dyDescent="0.35">
      <c r="A51" s="220" t="s">
        <v>218</v>
      </c>
      <c r="B51" s="225">
        <f>B50*145%</f>
        <v>177323.4</v>
      </c>
      <c r="C51" s="308"/>
      <c r="AN51" s="574"/>
      <c r="AO51" s="574"/>
      <c r="AP51" s="574"/>
      <c r="AQ51" s="574"/>
      <c r="AR51" s="574"/>
      <c r="AS51" s="574"/>
      <c r="AT51" s="574"/>
      <c r="AU51" s="574"/>
      <c r="AV51" s="574"/>
      <c r="AW51" s="574"/>
      <c r="AX51" s="574"/>
      <c r="AY51" s="574"/>
      <c r="AZ51" s="574"/>
      <c r="BA51" s="574"/>
      <c r="BB51" s="574"/>
      <c r="BC51" s="574"/>
      <c r="BD51" s="574"/>
      <c r="BE51" s="574"/>
      <c r="BF51" s="574"/>
      <c r="BG51" s="574"/>
      <c r="BH51" s="574"/>
      <c r="BI51" s="574"/>
      <c r="BJ51" s="574"/>
      <c r="BK51" s="574"/>
    </row>
    <row r="52" spans="1:64" s="236" customFormat="1" x14ac:dyDescent="0.35">
      <c r="A52" s="220" t="s">
        <v>287</v>
      </c>
      <c r="B52" s="62">
        <v>0.05</v>
      </c>
      <c r="C52" s="62"/>
      <c r="AN52" s="574"/>
      <c r="AO52" s="574"/>
      <c r="AP52" s="574"/>
      <c r="AQ52" s="574"/>
      <c r="AR52" s="574"/>
      <c r="AS52" s="574"/>
      <c r="AT52" s="574"/>
      <c r="AU52" s="574"/>
      <c r="AV52" s="574"/>
      <c r="AW52" s="574"/>
      <c r="AX52" s="574"/>
      <c r="AY52" s="574"/>
      <c r="AZ52" s="574"/>
      <c r="BA52" s="574"/>
      <c r="BB52" s="574"/>
      <c r="BC52" s="574"/>
      <c r="BD52" s="574"/>
      <c r="BE52" s="574"/>
      <c r="BF52" s="574"/>
      <c r="BG52" s="574"/>
      <c r="BH52" s="574"/>
      <c r="BI52" s="574"/>
      <c r="BJ52" s="574"/>
      <c r="BK52" s="574"/>
    </row>
    <row r="53" spans="1:64" s="305" customFormat="1" x14ac:dyDescent="0.35">
      <c r="A53" s="220" t="s">
        <v>454</v>
      </c>
      <c r="B53" s="369">
        <v>0.64</v>
      </c>
      <c r="C53" s="374"/>
      <c r="D53" s="229">
        <f>100%-B53</f>
        <v>0.36</v>
      </c>
      <c r="AN53" s="574"/>
      <c r="AO53" s="574"/>
      <c r="AP53" s="574"/>
      <c r="AQ53" s="574"/>
      <c r="AR53" s="574"/>
      <c r="AS53" s="574"/>
      <c r="AT53" s="574"/>
      <c r="AU53" s="574"/>
      <c r="AV53" s="574"/>
      <c r="AW53" s="574"/>
      <c r="AX53" s="574"/>
      <c r="AY53" s="574"/>
      <c r="AZ53" s="574"/>
      <c r="BA53" s="574"/>
      <c r="BB53" s="574"/>
      <c r="BC53" s="574"/>
      <c r="BD53" s="574"/>
      <c r="BE53" s="574"/>
      <c r="BF53" s="574"/>
      <c r="BG53" s="574"/>
      <c r="BH53" s="574"/>
      <c r="BI53" s="574"/>
      <c r="BJ53" s="574"/>
      <c r="BK53" s="574"/>
    </row>
    <row r="54" spans="1:64" x14ac:dyDescent="0.35">
      <c r="A54" s="220" t="s">
        <v>478</v>
      </c>
      <c r="B54">
        <v>1.89</v>
      </c>
      <c r="AN54" s="574"/>
      <c r="AO54" s="574"/>
      <c r="AP54" s="574"/>
      <c r="AQ54" s="574"/>
      <c r="AR54" s="574"/>
      <c r="AS54" s="574"/>
      <c r="AT54" s="574"/>
      <c r="AU54" s="574"/>
      <c r="AV54" s="574"/>
      <c r="AW54" s="574"/>
      <c r="AX54" s="574"/>
      <c r="AY54" s="574"/>
      <c r="AZ54" s="574"/>
      <c r="BA54" s="574"/>
      <c r="BB54" s="574"/>
      <c r="BC54" s="574"/>
      <c r="BD54" s="574"/>
      <c r="BE54" s="574"/>
      <c r="BF54" s="574"/>
      <c r="BG54" s="574"/>
      <c r="BH54" s="574"/>
      <c r="BI54" s="574"/>
      <c r="BJ54" s="574"/>
      <c r="BK54" s="574"/>
    </row>
    <row r="55" spans="1:64" x14ac:dyDescent="0.35">
      <c r="A55" s="220" t="s">
        <v>479</v>
      </c>
      <c r="B55" s="374" t="s">
        <v>496</v>
      </c>
      <c r="C55" s="374"/>
      <c r="H55" s="221"/>
      <c r="P55" s="277">
        <f>IF($B$55="Low",INDEX(P112:AP112,0,0),IF($B$55="Target-Base",INDEX(P111:AP111,0,0),IF($B$55="Medium",INDEX(P110:AP110,0,0),IF($B$55="High",INDEX(P109:AP109,0,0),INDEX(P108:AP108,0,0)))))</f>
        <v>59</v>
      </c>
      <c r="Q55" s="277">
        <v>71</v>
      </c>
      <c r="R55" s="277">
        <f t="shared" ref="R55:BK55" si="25">IF($B$55="Low",INDEX(R112:AR112,0,0),IF($B$55="Target-Base",INDEX(R111:AR111,0,0),IF($B$55="Medium",INDEX(R110:AR110,0,0),IF($B$55="High",INDEX(R109:AR109,0,0),INDEX(R108:AR108,0,0)))))</f>
        <v>59</v>
      </c>
      <c r="S55" s="277">
        <f t="shared" si="25"/>
        <v>59</v>
      </c>
      <c r="T55" s="277">
        <f t="shared" si="25"/>
        <v>59</v>
      </c>
      <c r="U55" s="277">
        <f t="shared" si="25"/>
        <v>59</v>
      </c>
      <c r="V55" s="277">
        <f t="shared" si="25"/>
        <v>59</v>
      </c>
      <c r="W55" s="277">
        <f t="shared" si="25"/>
        <v>59</v>
      </c>
      <c r="X55" s="277">
        <f t="shared" si="25"/>
        <v>59</v>
      </c>
      <c r="Y55" s="277">
        <f t="shared" si="25"/>
        <v>59</v>
      </c>
      <c r="Z55" s="277">
        <f t="shared" si="25"/>
        <v>59</v>
      </c>
      <c r="AA55" s="277">
        <f t="shared" si="25"/>
        <v>59</v>
      </c>
      <c r="AB55" s="277">
        <f t="shared" si="25"/>
        <v>59</v>
      </c>
      <c r="AC55" s="277">
        <f t="shared" si="25"/>
        <v>59</v>
      </c>
      <c r="AD55" s="277">
        <f t="shared" si="25"/>
        <v>59</v>
      </c>
      <c r="AE55" s="277">
        <f t="shared" si="25"/>
        <v>59</v>
      </c>
      <c r="AF55" s="277">
        <f t="shared" si="25"/>
        <v>59</v>
      </c>
      <c r="AG55" s="277">
        <f t="shared" si="25"/>
        <v>59</v>
      </c>
      <c r="AH55" s="277">
        <f t="shared" si="25"/>
        <v>59</v>
      </c>
      <c r="AI55" s="277">
        <f t="shared" si="25"/>
        <v>59</v>
      </c>
      <c r="AJ55" s="277">
        <f t="shared" si="25"/>
        <v>59</v>
      </c>
      <c r="AK55" s="277">
        <f t="shared" si="25"/>
        <v>59</v>
      </c>
      <c r="AL55" s="277">
        <f t="shared" si="25"/>
        <v>59</v>
      </c>
      <c r="AM55" s="277">
        <f t="shared" si="25"/>
        <v>59</v>
      </c>
      <c r="AN55" s="277">
        <f t="shared" si="25"/>
        <v>59</v>
      </c>
      <c r="AO55" s="277">
        <f t="shared" si="25"/>
        <v>59</v>
      </c>
      <c r="AP55" s="277">
        <f t="shared" si="25"/>
        <v>59</v>
      </c>
      <c r="AQ55" s="277">
        <f t="shared" si="25"/>
        <v>59</v>
      </c>
      <c r="AR55" s="277">
        <f t="shared" si="25"/>
        <v>59</v>
      </c>
      <c r="AS55" s="277">
        <f t="shared" si="25"/>
        <v>59</v>
      </c>
      <c r="AT55" s="277">
        <f t="shared" si="25"/>
        <v>59</v>
      </c>
      <c r="AU55" s="277">
        <f t="shared" si="25"/>
        <v>59</v>
      </c>
      <c r="AV55" s="277">
        <f t="shared" si="25"/>
        <v>59</v>
      </c>
      <c r="AW55" s="277">
        <f t="shared" si="25"/>
        <v>59</v>
      </c>
      <c r="AX55" s="277">
        <f t="shared" si="25"/>
        <v>59</v>
      </c>
      <c r="AY55" s="277">
        <f t="shared" si="25"/>
        <v>59</v>
      </c>
      <c r="AZ55" s="277">
        <f t="shared" si="25"/>
        <v>59</v>
      </c>
      <c r="BA55" s="277">
        <f t="shared" si="25"/>
        <v>59</v>
      </c>
      <c r="BB55" s="277">
        <f t="shared" si="25"/>
        <v>59</v>
      </c>
      <c r="BC55" s="277">
        <f t="shared" si="25"/>
        <v>59</v>
      </c>
      <c r="BD55" s="277">
        <f t="shared" si="25"/>
        <v>59</v>
      </c>
      <c r="BE55" s="277">
        <f t="shared" si="25"/>
        <v>59</v>
      </c>
      <c r="BF55" s="277">
        <f t="shared" si="25"/>
        <v>59</v>
      </c>
      <c r="BG55" s="277">
        <f t="shared" si="25"/>
        <v>59</v>
      </c>
      <c r="BH55" s="277">
        <f t="shared" si="25"/>
        <v>59</v>
      </c>
      <c r="BI55" s="277">
        <f t="shared" si="25"/>
        <v>59</v>
      </c>
      <c r="BJ55" s="277">
        <f t="shared" si="25"/>
        <v>59</v>
      </c>
      <c r="BK55" s="277">
        <f t="shared" si="25"/>
        <v>59</v>
      </c>
    </row>
    <row r="56" spans="1:64" s="574" customFormat="1" x14ac:dyDescent="0.35">
      <c r="A56" s="220" t="s">
        <v>818</v>
      </c>
      <c r="B56" s="574">
        <v>2.0299999999999998</v>
      </c>
      <c r="I56" s="289"/>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7"/>
      <c r="AR56" s="277"/>
      <c r="AS56" s="277"/>
      <c r="AT56" s="277"/>
      <c r="AU56" s="277"/>
      <c r="AV56" s="277"/>
      <c r="AW56" s="277"/>
      <c r="AX56" s="277"/>
      <c r="AY56" s="277"/>
      <c r="AZ56" s="277"/>
      <c r="BA56" s="277"/>
      <c r="BB56" s="277"/>
      <c r="BC56" s="277"/>
      <c r="BD56" s="277"/>
      <c r="BE56" s="277"/>
      <c r="BF56" s="277"/>
      <c r="BG56" s="277"/>
      <c r="BH56" s="277"/>
      <c r="BI56" s="277"/>
      <c r="BJ56" s="277"/>
      <c r="BK56" s="277"/>
      <c r="BL56" s="277"/>
    </row>
    <row r="57" spans="1:64" s="574" customFormat="1" x14ac:dyDescent="0.35">
      <c r="A57" s="220" t="s">
        <v>815</v>
      </c>
      <c r="B57" s="374" t="s">
        <v>496</v>
      </c>
      <c r="C57" s="374"/>
      <c r="I57" s="289"/>
      <c r="P57" s="277">
        <f>IF($B$57="Low",INDEX(P118:AP118,0,0),IF($B$57="Target-Base",INDEX(P117:AP117,0,0),IF($B$57="Medium",INDEX(P116:AP116,0,0),IF($B$57="High",INDEX(P115:AP115,0,0),INDEX(P114:AP114,0,0)))))</f>
        <v>81</v>
      </c>
      <c r="Q57" s="277">
        <f t="shared" ref="Q57:BK57" si="26">IF($B$57="Low",INDEX(Q118:AQ118,0,0),IF($B$57="Target-Base",INDEX(Q117:AQ117,0,0),IF($B$57="Medium",INDEX(Q116:AQ116,0,0),IF($B$57="High",INDEX(Q115:AQ115,0,0),INDEX(Q114:AQ114,0,0)))))</f>
        <v>81</v>
      </c>
      <c r="R57" s="277">
        <f t="shared" si="26"/>
        <v>81</v>
      </c>
      <c r="S57" s="277">
        <f t="shared" si="26"/>
        <v>81</v>
      </c>
      <c r="T57" s="277">
        <f t="shared" si="26"/>
        <v>81</v>
      </c>
      <c r="U57" s="277">
        <f t="shared" si="26"/>
        <v>81</v>
      </c>
      <c r="V57" s="277">
        <f t="shared" si="26"/>
        <v>81</v>
      </c>
      <c r="W57" s="277">
        <f t="shared" si="26"/>
        <v>81</v>
      </c>
      <c r="X57" s="277">
        <f t="shared" si="26"/>
        <v>81</v>
      </c>
      <c r="Y57" s="277">
        <f t="shared" si="26"/>
        <v>81</v>
      </c>
      <c r="Z57" s="277">
        <f t="shared" si="26"/>
        <v>81</v>
      </c>
      <c r="AA57" s="277">
        <f t="shared" si="26"/>
        <v>81</v>
      </c>
      <c r="AB57" s="277">
        <f t="shared" si="26"/>
        <v>81</v>
      </c>
      <c r="AC57" s="277">
        <f t="shared" si="26"/>
        <v>81</v>
      </c>
      <c r="AD57" s="277">
        <f t="shared" si="26"/>
        <v>81</v>
      </c>
      <c r="AE57" s="277">
        <f t="shared" si="26"/>
        <v>81</v>
      </c>
      <c r="AF57" s="277">
        <f t="shared" si="26"/>
        <v>81</v>
      </c>
      <c r="AG57" s="277">
        <f t="shared" si="26"/>
        <v>81</v>
      </c>
      <c r="AH57" s="277">
        <f t="shared" si="26"/>
        <v>81</v>
      </c>
      <c r="AI57" s="277">
        <f t="shared" si="26"/>
        <v>81</v>
      </c>
      <c r="AJ57" s="277">
        <f t="shared" si="26"/>
        <v>81</v>
      </c>
      <c r="AK57" s="277">
        <f t="shared" si="26"/>
        <v>81</v>
      </c>
      <c r="AL57" s="277">
        <f t="shared" si="26"/>
        <v>81</v>
      </c>
      <c r="AM57" s="277">
        <f t="shared" si="26"/>
        <v>81</v>
      </c>
      <c r="AN57" s="277">
        <f t="shared" si="26"/>
        <v>81</v>
      </c>
      <c r="AO57" s="277">
        <f t="shared" si="26"/>
        <v>81</v>
      </c>
      <c r="AP57" s="277">
        <f t="shared" si="26"/>
        <v>81</v>
      </c>
      <c r="AQ57" s="277">
        <f t="shared" si="26"/>
        <v>81</v>
      </c>
      <c r="AR57" s="277">
        <f t="shared" si="26"/>
        <v>81</v>
      </c>
      <c r="AS57" s="277">
        <f t="shared" si="26"/>
        <v>81</v>
      </c>
      <c r="AT57" s="277">
        <f t="shared" si="26"/>
        <v>81</v>
      </c>
      <c r="AU57" s="277">
        <f t="shared" si="26"/>
        <v>81</v>
      </c>
      <c r="AV57" s="277">
        <f t="shared" si="26"/>
        <v>81</v>
      </c>
      <c r="AW57" s="277">
        <f t="shared" si="26"/>
        <v>81</v>
      </c>
      <c r="AX57" s="277">
        <f t="shared" si="26"/>
        <v>81</v>
      </c>
      <c r="AY57" s="277">
        <f t="shared" si="26"/>
        <v>81</v>
      </c>
      <c r="AZ57" s="277">
        <f t="shared" si="26"/>
        <v>81</v>
      </c>
      <c r="BA57" s="277">
        <f t="shared" si="26"/>
        <v>81</v>
      </c>
      <c r="BB57" s="277">
        <f t="shared" si="26"/>
        <v>81</v>
      </c>
      <c r="BC57" s="277">
        <f t="shared" si="26"/>
        <v>81</v>
      </c>
      <c r="BD57" s="277">
        <f t="shared" si="26"/>
        <v>81</v>
      </c>
      <c r="BE57" s="277">
        <f t="shared" si="26"/>
        <v>81</v>
      </c>
      <c r="BF57" s="277">
        <f t="shared" si="26"/>
        <v>81</v>
      </c>
      <c r="BG57" s="277">
        <f t="shared" si="26"/>
        <v>81</v>
      </c>
      <c r="BH57" s="277">
        <f t="shared" si="26"/>
        <v>81</v>
      </c>
      <c r="BI57" s="277">
        <f t="shared" si="26"/>
        <v>81</v>
      </c>
      <c r="BJ57" s="277">
        <f t="shared" si="26"/>
        <v>81</v>
      </c>
      <c r="BK57" s="277">
        <f t="shared" si="26"/>
        <v>81</v>
      </c>
      <c r="BL57" s="277"/>
    </row>
    <row r="58" spans="1:64" s="574" customFormat="1" x14ac:dyDescent="0.35">
      <c r="A58" s="220" t="s">
        <v>816</v>
      </c>
      <c r="B58" s="62">
        <v>0.33</v>
      </c>
      <c r="I58" s="289"/>
      <c r="P58" s="277"/>
      <c r="Q58" s="277"/>
      <c r="R58" s="277"/>
      <c r="S58" s="277"/>
      <c r="T58" s="277"/>
      <c r="U58" s="277"/>
      <c r="V58" s="277"/>
      <c r="W58" s="277"/>
      <c r="X58" s="277"/>
      <c r="Y58" s="277"/>
      <c r="Z58" s="277"/>
      <c r="AA58" s="277"/>
      <c r="AB58" s="277"/>
      <c r="AC58" s="277"/>
      <c r="AD58" s="277"/>
      <c r="AE58" s="277"/>
      <c r="AF58" s="277"/>
      <c r="AG58" s="277"/>
      <c r="AH58" s="277"/>
      <c r="AI58" s="277"/>
      <c r="AJ58" s="277"/>
      <c r="AK58" s="277"/>
      <c r="AL58" s="277"/>
      <c r="AM58" s="277"/>
      <c r="AN58" s="277"/>
      <c r="AO58" s="277"/>
      <c r="AP58" s="277"/>
      <c r="AQ58" s="277"/>
      <c r="AR58" s="277"/>
      <c r="AS58" s="277"/>
      <c r="AT58" s="277"/>
      <c r="AU58" s="277"/>
      <c r="AV58" s="277"/>
      <c r="AW58" s="277"/>
      <c r="AX58" s="277"/>
      <c r="AY58" s="277"/>
      <c r="AZ58" s="277"/>
      <c r="BA58" s="277"/>
      <c r="BB58" s="277"/>
      <c r="BC58" s="277"/>
      <c r="BD58" s="277"/>
      <c r="BE58" s="277"/>
      <c r="BF58" s="277"/>
      <c r="BG58" s="277"/>
      <c r="BH58" s="277"/>
      <c r="BI58" s="277"/>
      <c r="BJ58" s="277"/>
      <c r="BK58" s="277"/>
      <c r="BL58" s="277"/>
    </row>
    <row r="59" spans="1:64" s="574" customFormat="1" x14ac:dyDescent="0.35">
      <c r="A59" s="220" t="s">
        <v>819</v>
      </c>
      <c r="B59" s="62">
        <f>1-B58</f>
        <v>0.66999999999999993</v>
      </c>
      <c r="I59" s="289"/>
      <c r="P59" s="277"/>
      <c r="Q59" s="277"/>
      <c r="R59" s="277"/>
      <c r="S59" s="277"/>
      <c r="T59" s="277"/>
      <c r="U59" s="277"/>
      <c r="V59" s="277"/>
      <c r="W59" s="277"/>
      <c r="X59" s="277"/>
      <c r="Y59" s="277"/>
      <c r="Z59" s="277"/>
      <c r="AA59" s="277"/>
      <c r="AB59" s="277"/>
      <c r="AC59" s="277"/>
      <c r="AD59" s="277"/>
      <c r="AE59" s="277"/>
      <c r="AF59" s="277"/>
      <c r="AG59" s="277"/>
      <c r="AH59" s="277"/>
      <c r="AI59" s="277"/>
      <c r="AJ59" s="277"/>
      <c r="AK59" s="277"/>
      <c r="AL59" s="277"/>
      <c r="AM59" s="277"/>
      <c r="AN59" s="277"/>
      <c r="AO59" s="277"/>
      <c r="AP59" s="277"/>
      <c r="AQ59" s="277"/>
      <c r="AR59" s="277"/>
      <c r="AS59" s="277"/>
      <c r="AT59" s="277"/>
      <c r="AU59" s="277"/>
      <c r="AV59" s="277"/>
      <c r="AW59" s="277"/>
      <c r="AX59" s="277"/>
      <c r="AY59" s="277"/>
      <c r="AZ59" s="277"/>
      <c r="BA59" s="277"/>
      <c r="BB59" s="277"/>
      <c r="BC59" s="277"/>
      <c r="BD59" s="277"/>
      <c r="BE59" s="277"/>
      <c r="BF59" s="277"/>
      <c r="BG59" s="277"/>
      <c r="BH59" s="277"/>
      <c r="BI59" s="277"/>
      <c r="BJ59" s="277"/>
      <c r="BK59" s="277"/>
      <c r="BL59" s="277"/>
    </row>
    <row r="60" spans="1:64" x14ac:dyDescent="0.35">
      <c r="AN60" s="574"/>
      <c r="AO60" s="574"/>
      <c r="AP60" s="574"/>
      <c r="AQ60" s="574"/>
      <c r="AR60" s="574"/>
      <c r="AS60" s="574"/>
      <c r="AT60" s="574"/>
      <c r="AU60" s="574"/>
      <c r="AV60" s="574"/>
      <c r="AW60" s="574"/>
      <c r="AX60" s="574"/>
      <c r="AY60" s="574"/>
      <c r="AZ60" s="574"/>
      <c r="BA60" s="574"/>
      <c r="BB60" s="574"/>
      <c r="BC60" s="574"/>
      <c r="BD60" s="574"/>
      <c r="BE60" s="574"/>
      <c r="BF60" s="574"/>
      <c r="BG60" s="574"/>
      <c r="BH60" s="574"/>
      <c r="BI60" s="574"/>
      <c r="BJ60" s="574"/>
      <c r="BK60" s="574"/>
    </row>
    <row r="61" spans="1:64" x14ac:dyDescent="0.35">
      <c r="A61" s="30" t="s">
        <v>205</v>
      </c>
      <c r="AN61" s="574"/>
      <c r="AO61" s="574"/>
      <c r="AP61" s="574"/>
      <c r="AQ61" s="574"/>
      <c r="AR61" s="574"/>
      <c r="AS61" s="574"/>
      <c r="AT61" s="574"/>
      <c r="AU61" s="574"/>
      <c r="AV61" s="574"/>
      <c r="AW61" s="574"/>
      <c r="AX61" s="574"/>
      <c r="AY61" s="574"/>
      <c r="AZ61" s="574"/>
      <c r="BA61" s="574"/>
      <c r="BB61" s="574"/>
      <c r="BC61" s="574"/>
      <c r="BD61" s="574"/>
      <c r="BE61" s="574"/>
      <c r="BF61" s="574"/>
      <c r="BG61" s="574"/>
      <c r="BH61" s="574"/>
      <c r="BI61" s="574"/>
      <c r="BJ61" s="574"/>
      <c r="BK61" s="574"/>
    </row>
    <row r="62" spans="1:64" ht="15.5" x14ac:dyDescent="0.35">
      <c r="A62" t="s">
        <v>335</v>
      </c>
      <c r="W62" s="282"/>
      <c r="X62" s="224"/>
      <c r="Y62" s="224"/>
      <c r="Z62" s="224"/>
      <c r="AA62" s="224"/>
      <c r="AB62" s="224"/>
      <c r="AC62" s="224"/>
      <c r="AD62" s="224"/>
      <c r="AE62" s="224"/>
      <c r="AF62" s="224"/>
      <c r="AG62" s="224"/>
      <c r="AH62" s="224"/>
      <c r="AN62" s="574"/>
      <c r="AO62" s="574"/>
      <c r="AP62" s="574"/>
      <c r="AQ62" s="574"/>
      <c r="AR62" s="574"/>
      <c r="AS62" s="574"/>
      <c r="AT62" s="574"/>
      <c r="AU62" s="574"/>
      <c r="AV62" s="574"/>
      <c r="AW62" s="574"/>
      <c r="AX62" s="574"/>
      <c r="AY62" s="574"/>
      <c r="AZ62" s="574"/>
      <c r="BA62" s="574"/>
      <c r="BB62" s="574"/>
      <c r="BC62" s="574"/>
      <c r="BD62" s="574"/>
      <c r="BE62" s="574"/>
      <c r="BF62" s="574"/>
      <c r="BG62" s="574"/>
      <c r="BH62" s="574"/>
      <c r="BI62" s="574"/>
      <c r="BJ62" s="574"/>
      <c r="BK62" s="574"/>
    </row>
    <row r="63" spans="1:64" ht="15.5" x14ac:dyDescent="0.35">
      <c r="A63" s="249" t="s">
        <v>320</v>
      </c>
      <c r="B63" s="49"/>
      <c r="C63" s="49"/>
      <c r="D63" s="49"/>
      <c r="E63" s="49" t="s">
        <v>712</v>
      </c>
      <c r="F63" s="49"/>
      <c r="G63" s="49"/>
      <c r="H63" s="371" t="s">
        <v>206</v>
      </c>
      <c r="I63" s="371" t="s">
        <v>395</v>
      </c>
      <c r="J63" s="372" t="s">
        <v>542</v>
      </c>
      <c r="K63" s="372" t="s">
        <v>392</v>
      </c>
      <c r="L63" s="371" t="s">
        <v>207</v>
      </c>
      <c r="W63" s="224"/>
      <c r="X63" s="224"/>
      <c r="Y63" s="224"/>
      <c r="Z63" s="224"/>
      <c r="AA63" s="224"/>
      <c r="AB63" s="224"/>
      <c r="AC63" s="224"/>
      <c r="AD63" s="224"/>
      <c r="AE63" s="224"/>
      <c r="AF63" s="224"/>
      <c r="AG63" s="224"/>
      <c r="AH63" s="224"/>
      <c r="AN63" s="574"/>
      <c r="AO63" s="574"/>
      <c r="AP63" s="574"/>
      <c r="AQ63" s="574"/>
      <c r="AR63" s="574"/>
      <c r="AS63" s="574"/>
      <c r="AT63" s="574"/>
      <c r="AU63" s="574"/>
      <c r="AV63" s="574"/>
      <c r="AW63" s="574"/>
      <c r="AX63" s="574"/>
      <c r="AY63" s="574"/>
      <c r="AZ63" s="574"/>
      <c r="BA63" s="574"/>
      <c r="BB63" s="574"/>
      <c r="BC63" s="574"/>
      <c r="BD63" s="574"/>
      <c r="BE63" s="574"/>
      <c r="BF63" s="574"/>
      <c r="BG63" s="574"/>
      <c r="BH63" s="574"/>
      <c r="BI63" s="574"/>
      <c r="BJ63" s="574"/>
      <c r="BK63" s="574"/>
    </row>
    <row r="64" spans="1:64" x14ac:dyDescent="0.35">
      <c r="A64" s="49"/>
      <c r="B64" s="49"/>
      <c r="C64" s="49"/>
      <c r="D64" s="49"/>
      <c r="E64" s="49"/>
      <c r="F64" s="49"/>
      <c r="G64" s="49"/>
      <c r="H64" s="49"/>
      <c r="I64" s="49"/>
      <c r="J64" s="49"/>
      <c r="K64" s="49"/>
      <c r="L64" s="49"/>
      <c r="W64" s="224"/>
      <c r="X64" s="224"/>
      <c r="Y64" s="224"/>
      <c r="Z64" s="224"/>
      <c r="AA64" s="224"/>
      <c r="AB64" s="224"/>
      <c r="AC64" s="224"/>
      <c r="AD64" s="224"/>
      <c r="AE64" s="224"/>
      <c r="AF64" s="224"/>
      <c r="AG64" s="224"/>
      <c r="AH64" s="224"/>
      <c r="AN64" s="574"/>
      <c r="AO64" s="574"/>
      <c r="AP64" s="574"/>
      <c r="AQ64" s="574"/>
      <c r="AR64" s="574"/>
      <c r="AS64" s="574"/>
      <c r="AT64" s="574"/>
      <c r="AU64" s="574"/>
      <c r="AV64" s="574"/>
      <c r="AW64" s="574"/>
      <c r="AX64" s="574"/>
      <c r="AY64" s="574"/>
      <c r="AZ64" s="574"/>
      <c r="BA64" s="574"/>
      <c r="BB64" s="574"/>
      <c r="BC64" s="574"/>
      <c r="BD64" s="574"/>
      <c r="BE64" s="574"/>
      <c r="BF64" s="574"/>
      <c r="BG64" s="574"/>
      <c r="BH64" s="574"/>
      <c r="BI64" s="574"/>
      <c r="BJ64" s="574"/>
      <c r="BK64" s="574"/>
    </row>
    <row r="65" spans="1:63" x14ac:dyDescent="0.35">
      <c r="A65" s="49" t="s">
        <v>321</v>
      </c>
      <c r="B65" s="49"/>
      <c r="C65" s="49"/>
      <c r="D65" s="49"/>
      <c r="E65" s="49"/>
      <c r="F65" s="49"/>
      <c r="G65" s="49"/>
      <c r="H65" s="49"/>
      <c r="I65" s="49"/>
      <c r="J65" s="49"/>
      <c r="K65" s="49"/>
      <c r="L65" s="49"/>
      <c r="W65" s="65"/>
      <c r="X65" s="224"/>
      <c r="Y65" s="224"/>
      <c r="Z65" s="224"/>
      <c r="AA65" s="224"/>
      <c r="AB65" s="224"/>
      <c r="AC65" s="280"/>
      <c r="AD65" s="280"/>
      <c r="AE65" s="280"/>
      <c r="AF65" s="280"/>
      <c r="AG65" s="280"/>
      <c r="AH65" s="280"/>
      <c r="AN65" s="574"/>
      <c r="AO65" s="574"/>
      <c r="AP65" s="574"/>
      <c r="AQ65" s="574"/>
      <c r="AR65" s="574"/>
      <c r="AS65" s="574"/>
      <c r="AT65" s="574"/>
      <c r="AU65" s="574"/>
      <c r="AV65" s="574"/>
      <c r="AW65" s="574"/>
      <c r="AX65" s="574"/>
      <c r="AY65" s="574"/>
      <c r="AZ65" s="574"/>
      <c r="BA65" s="574"/>
      <c r="BB65" s="574"/>
      <c r="BC65" s="574"/>
      <c r="BD65" s="574"/>
      <c r="BE65" s="574"/>
      <c r="BF65" s="574"/>
      <c r="BG65" s="574"/>
      <c r="BH65" s="574"/>
      <c r="BI65" s="574"/>
      <c r="BJ65" s="574"/>
      <c r="BK65" s="574"/>
    </row>
    <row r="66" spans="1:63" x14ac:dyDescent="0.35">
      <c r="A66" s="256" t="s">
        <v>323</v>
      </c>
      <c r="B66" s="49"/>
      <c r="C66" s="49"/>
      <c r="D66" s="49"/>
      <c r="E66" s="369">
        <v>0.79</v>
      </c>
      <c r="F66" s="49"/>
      <c r="G66" s="49"/>
      <c r="H66" s="369">
        <v>0.75</v>
      </c>
      <c r="I66" s="369">
        <v>0.75</v>
      </c>
      <c r="J66" s="369">
        <v>0.75</v>
      </c>
      <c r="K66" s="369">
        <v>0.69012174250480707</v>
      </c>
      <c r="L66" s="369">
        <v>0.75</v>
      </c>
      <c r="N66" s="62"/>
      <c r="O66" s="299"/>
      <c r="P66" s="62"/>
      <c r="Q66" s="297"/>
      <c r="R66" s="62"/>
      <c r="W66" s="65"/>
      <c r="X66" s="224"/>
      <c r="Y66" s="224"/>
      <c r="Z66" s="224"/>
      <c r="AA66" s="224"/>
      <c r="AB66" s="224"/>
      <c r="AC66" s="280"/>
      <c r="AD66" s="280"/>
      <c r="AE66" s="280"/>
      <c r="AF66" s="280"/>
      <c r="AG66" s="280"/>
      <c r="AH66" s="370">
        <v>1199.1638548844521</v>
      </c>
      <c r="AI66" s="167">
        <f>AH66*120%</f>
        <v>1438.9966258613424</v>
      </c>
      <c r="AJ66" s="167">
        <f>AI66*120%</f>
        <v>1726.7959510336109</v>
      </c>
      <c r="AN66" s="576">
        <f t="shared" ref="AN66:AN77" si="27">AM66*120%</f>
        <v>0</v>
      </c>
      <c r="AO66" s="574"/>
      <c r="AP66" s="574"/>
      <c r="AQ66" s="574"/>
      <c r="AR66" s="576">
        <f t="shared" ref="AR66:AR77" si="28">AQ66*120%</f>
        <v>0</v>
      </c>
      <c r="AS66" s="574"/>
      <c r="AT66" s="574"/>
      <c r="AU66" s="574"/>
      <c r="AV66" s="576">
        <f t="shared" ref="AV66:AV77" si="29">AU66*120%</f>
        <v>0</v>
      </c>
      <c r="AW66" s="574"/>
      <c r="AX66" s="574"/>
      <c r="AY66" s="574"/>
      <c r="AZ66" s="576">
        <f t="shared" ref="AZ66:AZ77" si="30">AY66*120%</f>
        <v>0</v>
      </c>
      <c r="BA66" s="574"/>
      <c r="BB66" s="576">
        <f>BA66*120%</f>
        <v>0</v>
      </c>
      <c r="BC66" s="574"/>
      <c r="BD66" s="574"/>
      <c r="BE66" s="574"/>
      <c r="BF66" s="576">
        <f t="shared" ref="BF66" si="31">BE66*120%</f>
        <v>0</v>
      </c>
      <c r="BG66" s="576">
        <f>BF66*120%</f>
        <v>0</v>
      </c>
      <c r="BH66" s="574"/>
      <c r="BI66" s="574"/>
      <c r="BJ66" s="574"/>
      <c r="BK66" s="576">
        <f t="shared" ref="BK66" si="32">BJ66*120%</f>
        <v>0</v>
      </c>
    </row>
    <row r="67" spans="1:63" x14ac:dyDescent="0.35">
      <c r="A67" s="256" t="s">
        <v>324</v>
      </c>
      <c r="B67" s="49"/>
      <c r="C67" s="49"/>
      <c r="D67" s="49"/>
      <c r="E67" s="369">
        <v>0.63800000000000001</v>
      </c>
      <c r="F67" s="49"/>
      <c r="G67" s="49"/>
      <c r="H67" s="369">
        <v>0.60899999999999999</v>
      </c>
      <c r="I67" s="369">
        <v>0.60899999999999999</v>
      </c>
      <c r="J67" s="369">
        <v>0.61</v>
      </c>
      <c r="K67" s="369">
        <v>0.53872550914144657</v>
      </c>
      <c r="L67" s="369">
        <v>0.60899999999999999</v>
      </c>
      <c r="N67" s="62"/>
      <c r="O67" s="299"/>
      <c r="P67" s="62"/>
      <c r="Q67" s="297"/>
      <c r="R67" s="62"/>
      <c r="W67" s="224"/>
      <c r="X67" s="224"/>
      <c r="Y67" s="224"/>
      <c r="Z67" s="224"/>
      <c r="AA67" s="224"/>
      <c r="AB67" s="224"/>
      <c r="AC67" s="224"/>
      <c r="AD67" s="224"/>
      <c r="AE67" s="224"/>
      <c r="AF67" s="224"/>
      <c r="AG67" s="224"/>
      <c r="AH67" s="370">
        <v>1949.8316397652402</v>
      </c>
      <c r="AI67" s="167">
        <f t="shared" ref="AI67:AJ77" si="33">AH67*120%</f>
        <v>2339.797967718288</v>
      </c>
      <c r="AJ67" s="167">
        <f t="shared" si="33"/>
        <v>2807.7575612619453</v>
      </c>
      <c r="AN67" s="576">
        <f t="shared" si="27"/>
        <v>0</v>
      </c>
      <c r="AO67" s="574"/>
      <c r="AP67" s="574"/>
      <c r="AQ67" s="574"/>
      <c r="AR67" s="576">
        <f t="shared" si="28"/>
        <v>0</v>
      </c>
      <c r="AS67" s="574"/>
      <c r="AT67" s="574"/>
      <c r="AU67" s="574"/>
      <c r="AV67" s="576">
        <f t="shared" si="29"/>
        <v>0</v>
      </c>
      <c r="AW67" s="574"/>
      <c r="AX67" s="574"/>
      <c r="AY67" s="574"/>
      <c r="AZ67" s="576">
        <f t="shared" si="30"/>
        <v>0</v>
      </c>
      <c r="BA67" s="574"/>
      <c r="BB67" s="576">
        <f t="shared" ref="BB67:BB77" si="34">BA67*120%</f>
        <v>0</v>
      </c>
      <c r="BC67" s="574"/>
      <c r="BD67" s="574"/>
      <c r="BE67" s="574"/>
      <c r="BF67" s="576">
        <f t="shared" ref="BF67" si="35">BE67*120%</f>
        <v>0</v>
      </c>
      <c r="BG67" s="576">
        <f t="shared" ref="BG67:BG77" si="36">BF67*120%</f>
        <v>0</v>
      </c>
      <c r="BH67" s="574"/>
      <c r="BI67" s="574"/>
      <c r="BJ67" s="574"/>
      <c r="BK67" s="576">
        <f t="shared" ref="BK67" si="37">BJ67*120%</f>
        <v>0</v>
      </c>
    </row>
    <row r="68" spans="1:63" x14ac:dyDescent="0.35">
      <c r="A68" s="256" t="s">
        <v>325</v>
      </c>
      <c r="B68" s="49"/>
      <c r="C68" s="49"/>
      <c r="D68" s="49"/>
      <c r="E68" s="369">
        <v>0.68108389249645362</v>
      </c>
      <c r="F68" s="49"/>
      <c r="G68" s="49"/>
      <c r="H68" s="369">
        <v>0.61916717499677598</v>
      </c>
      <c r="I68" s="369">
        <v>0.61916717499677598</v>
      </c>
      <c r="J68" s="369">
        <v>0.62</v>
      </c>
      <c r="K68" s="369">
        <v>0.56287924999706906</v>
      </c>
      <c r="L68" s="369">
        <v>0.61916717499677598</v>
      </c>
      <c r="N68" s="62"/>
      <c r="O68" s="299"/>
      <c r="P68" s="62"/>
      <c r="Q68" s="297"/>
      <c r="R68" s="62"/>
      <c r="W68" s="65"/>
      <c r="X68" s="224"/>
      <c r="Y68" s="224"/>
      <c r="Z68" s="224"/>
      <c r="AA68" s="224"/>
      <c r="AB68" s="224"/>
      <c r="AC68" s="224"/>
      <c r="AD68" s="224"/>
      <c r="AE68" s="224"/>
      <c r="AF68" s="224"/>
      <c r="AG68" s="224"/>
      <c r="AH68" s="370">
        <v>1697.1994702482114</v>
      </c>
      <c r="AI68" s="167">
        <f t="shared" si="33"/>
        <v>2036.6393642978535</v>
      </c>
      <c r="AJ68" s="167">
        <f t="shared" si="33"/>
        <v>2443.9672371574243</v>
      </c>
      <c r="AN68" s="576">
        <f t="shared" si="27"/>
        <v>0</v>
      </c>
      <c r="AO68" s="574"/>
      <c r="AP68" s="574"/>
      <c r="AQ68" s="574"/>
      <c r="AR68" s="576">
        <f t="shared" si="28"/>
        <v>0</v>
      </c>
      <c r="AS68" s="574"/>
      <c r="AT68" s="574"/>
      <c r="AU68" s="574"/>
      <c r="AV68" s="576">
        <f t="shared" si="29"/>
        <v>0</v>
      </c>
      <c r="AW68" s="574"/>
      <c r="AX68" s="574"/>
      <c r="AY68" s="574"/>
      <c r="AZ68" s="576">
        <f t="shared" si="30"/>
        <v>0</v>
      </c>
      <c r="BA68" s="574"/>
      <c r="BB68" s="576">
        <f t="shared" si="34"/>
        <v>0</v>
      </c>
      <c r="BC68" s="574"/>
      <c r="BD68" s="574"/>
      <c r="BE68" s="574"/>
      <c r="BF68" s="576">
        <f t="shared" ref="BF68" si="38">BE68*120%</f>
        <v>0</v>
      </c>
      <c r="BG68" s="576">
        <f t="shared" si="36"/>
        <v>0</v>
      </c>
      <c r="BH68" s="574"/>
      <c r="BI68" s="574"/>
      <c r="BJ68" s="574"/>
      <c r="BK68" s="576">
        <f t="shared" ref="BK68" si="39">BJ68*120%</f>
        <v>0</v>
      </c>
    </row>
    <row r="69" spans="1:63" x14ac:dyDescent="0.35">
      <c r="A69" s="256" t="s">
        <v>326</v>
      </c>
      <c r="B69" s="49"/>
      <c r="C69" s="49"/>
      <c r="D69" s="49"/>
      <c r="E69" s="369">
        <v>0.63710865446921017</v>
      </c>
      <c r="F69" s="49"/>
      <c r="G69" s="49"/>
      <c r="H69" s="369">
        <v>0.57918968588110009</v>
      </c>
      <c r="I69" s="369">
        <v>0.57918968588110009</v>
      </c>
      <c r="J69" s="369">
        <v>0.57999999999999996</v>
      </c>
      <c r="K69" s="369">
        <v>0.52653607807372727</v>
      </c>
      <c r="L69" s="369">
        <v>0.57918968588110009</v>
      </c>
      <c r="N69" s="62"/>
      <c r="O69" s="299"/>
      <c r="P69" s="62"/>
      <c r="Q69" s="297"/>
      <c r="R69" s="62"/>
      <c r="W69" s="65"/>
      <c r="X69" s="224"/>
      <c r="Y69" s="224"/>
      <c r="Z69" s="224"/>
      <c r="AA69" s="224"/>
      <c r="AB69" s="224"/>
      <c r="AC69" s="280"/>
      <c r="AD69" s="280"/>
      <c r="AE69" s="280"/>
      <c r="AF69" s="280"/>
      <c r="AG69" s="280"/>
      <c r="AH69" s="370">
        <v>1666.4421814370164</v>
      </c>
      <c r="AI69" s="167">
        <f t="shared" si="33"/>
        <v>1999.7306177244195</v>
      </c>
      <c r="AJ69" s="167">
        <f t="shared" si="33"/>
        <v>2399.6767412693034</v>
      </c>
      <c r="AN69" s="576">
        <f t="shared" si="27"/>
        <v>0</v>
      </c>
      <c r="AO69" s="574"/>
      <c r="AP69" s="574"/>
      <c r="AQ69" s="574"/>
      <c r="AR69" s="576">
        <f t="shared" si="28"/>
        <v>0</v>
      </c>
      <c r="AS69" s="574"/>
      <c r="AT69" s="574"/>
      <c r="AU69" s="574"/>
      <c r="AV69" s="576">
        <f t="shared" si="29"/>
        <v>0</v>
      </c>
      <c r="AW69" s="574"/>
      <c r="AX69" s="574"/>
      <c r="AY69" s="574"/>
      <c r="AZ69" s="576">
        <f t="shared" si="30"/>
        <v>0</v>
      </c>
      <c r="BA69" s="574"/>
      <c r="BB69" s="576">
        <f t="shared" si="34"/>
        <v>0</v>
      </c>
      <c r="BC69" s="574"/>
      <c r="BD69" s="574"/>
      <c r="BE69" s="574"/>
      <c r="BF69" s="576">
        <f t="shared" ref="BF69" si="40">BE69*120%</f>
        <v>0</v>
      </c>
      <c r="BG69" s="576">
        <f t="shared" si="36"/>
        <v>0</v>
      </c>
      <c r="BH69" s="574"/>
      <c r="BI69" s="574"/>
      <c r="BJ69" s="574"/>
      <c r="BK69" s="576">
        <f t="shared" ref="BK69" si="41">BJ69*120%</f>
        <v>0</v>
      </c>
    </row>
    <row r="70" spans="1:63" x14ac:dyDescent="0.35">
      <c r="A70" s="256" t="s">
        <v>327</v>
      </c>
      <c r="B70" s="49"/>
      <c r="C70" s="49"/>
      <c r="D70" s="49"/>
      <c r="E70" s="369">
        <v>0.61613333427169426</v>
      </c>
      <c r="F70" s="49"/>
      <c r="G70" s="49"/>
      <c r="H70" s="369">
        <v>0.56012121297426742</v>
      </c>
      <c r="I70" s="369">
        <v>0.53</v>
      </c>
      <c r="J70" s="369">
        <v>0.56000000000000005</v>
      </c>
      <c r="K70" s="369">
        <v>0.50920110270387942</v>
      </c>
      <c r="L70" s="369">
        <v>0.56012121297426742</v>
      </c>
      <c r="N70" s="62"/>
      <c r="O70" s="299"/>
      <c r="P70" s="62"/>
      <c r="Q70" s="297"/>
      <c r="R70" s="62"/>
      <c r="W70" s="224"/>
      <c r="X70" s="224"/>
      <c r="Y70" s="224"/>
      <c r="Z70" s="224"/>
      <c r="AA70" s="224"/>
      <c r="AB70" s="224"/>
      <c r="AC70" s="224"/>
      <c r="AD70" s="224"/>
      <c r="AE70" s="224"/>
      <c r="AF70" s="224"/>
      <c r="AG70" s="224"/>
      <c r="AH70" s="370">
        <v>1854.310165410154</v>
      </c>
      <c r="AI70" s="167">
        <f t="shared" si="33"/>
        <v>2225.1721984921846</v>
      </c>
      <c r="AJ70" s="167">
        <f t="shared" si="33"/>
        <v>2670.2066381906216</v>
      </c>
      <c r="AN70" s="576">
        <f t="shared" si="27"/>
        <v>0</v>
      </c>
      <c r="AO70" s="574"/>
      <c r="AP70" s="574"/>
      <c r="AQ70" s="574"/>
      <c r="AR70" s="576">
        <f t="shared" si="28"/>
        <v>0</v>
      </c>
      <c r="AS70" s="574"/>
      <c r="AT70" s="574"/>
      <c r="AU70" s="574"/>
      <c r="AV70" s="576">
        <f t="shared" si="29"/>
        <v>0</v>
      </c>
      <c r="AW70" s="574"/>
      <c r="AX70" s="574"/>
      <c r="AY70" s="574"/>
      <c r="AZ70" s="576">
        <f t="shared" si="30"/>
        <v>0</v>
      </c>
      <c r="BA70" s="574"/>
      <c r="BB70" s="576">
        <f t="shared" si="34"/>
        <v>0</v>
      </c>
      <c r="BC70" s="574"/>
      <c r="BD70" s="574"/>
      <c r="BE70" s="574"/>
      <c r="BF70" s="576">
        <f t="shared" ref="BF70" si="42">BE70*120%</f>
        <v>0</v>
      </c>
      <c r="BG70" s="576">
        <f t="shared" si="36"/>
        <v>0</v>
      </c>
      <c r="BH70" s="574"/>
      <c r="BI70" s="574"/>
      <c r="BJ70" s="574"/>
      <c r="BK70" s="576">
        <f t="shared" ref="BK70" si="43">BJ70*120%</f>
        <v>0</v>
      </c>
    </row>
    <row r="71" spans="1:63" s="287" customFormat="1" x14ac:dyDescent="0.35">
      <c r="A71" s="256" t="s">
        <v>328</v>
      </c>
      <c r="B71" s="49"/>
      <c r="C71" s="49"/>
      <c r="D71" s="49"/>
      <c r="E71" s="369">
        <v>0.5976521894266259</v>
      </c>
      <c r="F71" s="49"/>
      <c r="G71" s="49"/>
      <c r="H71" s="369">
        <v>0.54332017220602347</v>
      </c>
      <c r="I71" s="369">
        <v>0.53</v>
      </c>
      <c r="J71" s="369">
        <v>0.54</v>
      </c>
      <c r="K71" s="369">
        <v>0.4939274292782031</v>
      </c>
      <c r="L71" s="369">
        <v>0.54332017220602347</v>
      </c>
      <c r="N71" s="62"/>
      <c r="O71" s="299"/>
      <c r="P71" s="62"/>
      <c r="Q71" s="297"/>
      <c r="R71" s="62"/>
      <c r="W71" s="224"/>
      <c r="X71" s="224"/>
      <c r="Y71" s="224"/>
      <c r="Z71" s="224"/>
      <c r="AA71" s="224"/>
      <c r="AB71" s="224"/>
      <c r="AC71" s="224"/>
      <c r="AD71" s="224"/>
      <c r="AE71" s="224"/>
      <c r="AF71" s="224"/>
      <c r="AG71" s="224"/>
      <c r="AH71" s="370">
        <v>2089.309387550983</v>
      </c>
      <c r="AI71" s="167">
        <f t="shared" si="33"/>
        <v>2507.1712650611794</v>
      </c>
      <c r="AJ71" s="167">
        <f t="shared" si="33"/>
        <v>3008.6055180734152</v>
      </c>
      <c r="AN71" s="576">
        <f t="shared" si="27"/>
        <v>0</v>
      </c>
      <c r="AO71" s="574"/>
      <c r="AP71" s="574"/>
      <c r="AQ71" s="574"/>
      <c r="AR71" s="576">
        <f t="shared" si="28"/>
        <v>0</v>
      </c>
      <c r="AS71" s="574"/>
      <c r="AT71" s="574"/>
      <c r="AU71" s="574"/>
      <c r="AV71" s="576">
        <f t="shared" si="29"/>
        <v>0</v>
      </c>
      <c r="AW71" s="574"/>
      <c r="AX71" s="574"/>
      <c r="AY71" s="574"/>
      <c r="AZ71" s="576">
        <f t="shared" si="30"/>
        <v>0</v>
      </c>
      <c r="BA71" s="574"/>
      <c r="BB71" s="576">
        <f t="shared" si="34"/>
        <v>0</v>
      </c>
      <c r="BC71" s="574"/>
      <c r="BD71" s="574"/>
      <c r="BE71" s="574"/>
      <c r="BF71" s="576">
        <f t="shared" ref="BF71" si="44">BE71*120%</f>
        <v>0</v>
      </c>
      <c r="BG71" s="576">
        <f t="shared" si="36"/>
        <v>0</v>
      </c>
      <c r="BH71" s="574"/>
      <c r="BI71" s="574"/>
      <c r="BJ71" s="574"/>
      <c r="BK71" s="576">
        <f t="shared" ref="BK71" si="45">BJ71*120%</f>
        <v>0</v>
      </c>
    </row>
    <row r="72" spans="1:63" s="287" customFormat="1" x14ac:dyDescent="0.35">
      <c r="A72" s="256" t="s">
        <v>329</v>
      </c>
      <c r="B72" s="49"/>
      <c r="C72" s="49"/>
      <c r="D72" s="49"/>
      <c r="E72" s="369">
        <v>0.57377150083018669</v>
      </c>
      <c r="F72" s="49"/>
      <c r="G72" s="49"/>
      <c r="H72" s="369">
        <v>0.5216104553001697</v>
      </c>
      <c r="I72" s="369">
        <v>0.5216104553001697</v>
      </c>
      <c r="J72" s="369">
        <v>0.52</v>
      </c>
      <c r="K72" s="369">
        <v>0.47419132300015426</v>
      </c>
      <c r="L72" s="369">
        <v>0.5216104553001697</v>
      </c>
      <c r="N72" s="62"/>
      <c r="O72" s="299"/>
      <c r="P72" s="62"/>
      <c r="Q72" s="297"/>
      <c r="R72" s="62"/>
      <c r="W72" s="224"/>
      <c r="X72" s="224"/>
      <c r="Y72" s="224"/>
      <c r="Z72" s="224"/>
      <c r="AA72" s="224"/>
      <c r="AB72" s="224"/>
      <c r="AC72" s="224"/>
      <c r="AD72" s="224"/>
      <c r="AE72" s="224"/>
      <c r="AF72" s="224"/>
      <c r="AG72" s="224"/>
      <c r="AH72" s="370">
        <v>1844.5541594410504</v>
      </c>
      <c r="AI72" s="167">
        <f t="shared" si="33"/>
        <v>2213.4649913292606</v>
      </c>
      <c r="AJ72" s="167">
        <f t="shared" si="33"/>
        <v>2656.1579895951127</v>
      </c>
      <c r="AN72" s="576">
        <f t="shared" si="27"/>
        <v>0</v>
      </c>
      <c r="AO72" s="574"/>
      <c r="AP72" s="574"/>
      <c r="AQ72" s="574"/>
      <c r="AR72" s="576">
        <f t="shared" si="28"/>
        <v>0</v>
      </c>
      <c r="AS72" s="574"/>
      <c r="AT72" s="574"/>
      <c r="AU72" s="574"/>
      <c r="AV72" s="576">
        <f t="shared" si="29"/>
        <v>0</v>
      </c>
      <c r="AW72" s="574"/>
      <c r="AX72" s="574"/>
      <c r="AY72" s="574"/>
      <c r="AZ72" s="576">
        <f t="shared" si="30"/>
        <v>0</v>
      </c>
      <c r="BA72" s="574"/>
      <c r="BB72" s="576">
        <f t="shared" si="34"/>
        <v>0</v>
      </c>
      <c r="BC72" s="574"/>
      <c r="BD72" s="574"/>
      <c r="BE72" s="574"/>
      <c r="BF72" s="576">
        <f t="shared" ref="BF72" si="46">BE72*120%</f>
        <v>0</v>
      </c>
      <c r="BG72" s="576">
        <f t="shared" si="36"/>
        <v>0</v>
      </c>
      <c r="BH72" s="574"/>
      <c r="BI72" s="574"/>
      <c r="BJ72" s="574"/>
      <c r="BK72" s="576">
        <f t="shared" ref="BK72" si="47">BJ72*120%</f>
        <v>0</v>
      </c>
    </row>
    <row r="73" spans="1:63" s="287" customFormat="1" x14ac:dyDescent="0.35">
      <c r="A73" s="256" t="s">
        <v>330</v>
      </c>
      <c r="B73" s="49"/>
      <c r="C73" s="49"/>
      <c r="D73" s="49"/>
      <c r="E73" s="369">
        <v>0.5684984030844823</v>
      </c>
      <c r="F73" s="49"/>
      <c r="G73" s="49"/>
      <c r="H73" s="369">
        <v>0.51681673007680207</v>
      </c>
      <c r="I73" s="369">
        <v>0.48</v>
      </c>
      <c r="J73" s="369">
        <v>0.52</v>
      </c>
      <c r="K73" s="369">
        <v>0.46983339097891097</v>
      </c>
      <c r="L73" s="369">
        <v>0.51681673007680207</v>
      </c>
      <c r="N73" s="62"/>
      <c r="O73" s="299"/>
      <c r="P73" s="62"/>
      <c r="Q73" s="297"/>
      <c r="R73" s="62"/>
      <c r="W73" s="224"/>
      <c r="X73" s="224"/>
      <c r="Y73" s="224"/>
      <c r="Z73" s="224"/>
      <c r="AA73" s="224"/>
      <c r="AB73" s="224"/>
      <c r="AC73" s="224"/>
      <c r="AD73" s="224"/>
      <c r="AE73" s="224"/>
      <c r="AF73" s="224"/>
      <c r="AG73" s="224"/>
      <c r="AH73" s="370">
        <v>1444.8011047176665</v>
      </c>
      <c r="AI73" s="167">
        <f t="shared" si="33"/>
        <v>1733.7613256611996</v>
      </c>
      <c r="AJ73" s="167">
        <f t="shared" si="33"/>
        <v>2080.5135907934396</v>
      </c>
      <c r="AN73" s="576">
        <f t="shared" si="27"/>
        <v>0</v>
      </c>
      <c r="AO73" s="574"/>
      <c r="AP73" s="574"/>
      <c r="AQ73" s="574"/>
      <c r="AR73" s="576">
        <f t="shared" si="28"/>
        <v>0</v>
      </c>
      <c r="AS73" s="574"/>
      <c r="AT73" s="574"/>
      <c r="AU73" s="574"/>
      <c r="AV73" s="576">
        <f t="shared" si="29"/>
        <v>0</v>
      </c>
      <c r="AW73" s="574"/>
      <c r="AX73" s="574"/>
      <c r="AY73" s="574"/>
      <c r="AZ73" s="576">
        <f t="shared" si="30"/>
        <v>0</v>
      </c>
      <c r="BA73" s="574"/>
      <c r="BB73" s="576">
        <f t="shared" si="34"/>
        <v>0</v>
      </c>
      <c r="BC73" s="574"/>
      <c r="BD73" s="574"/>
      <c r="BE73" s="574"/>
      <c r="BF73" s="576">
        <f t="shared" ref="BF73" si="48">BE73*120%</f>
        <v>0</v>
      </c>
      <c r="BG73" s="576">
        <f t="shared" si="36"/>
        <v>0</v>
      </c>
      <c r="BH73" s="574"/>
      <c r="BI73" s="574"/>
      <c r="BJ73" s="574"/>
      <c r="BK73" s="576">
        <f t="shared" ref="BK73" si="49">BJ73*120%</f>
        <v>0</v>
      </c>
    </row>
    <row r="74" spans="1:63" s="287" customFormat="1" x14ac:dyDescent="0.35">
      <c r="A74" s="256" t="s">
        <v>331</v>
      </c>
      <c r="B74" s="49"/>
      <c r="C74" s="49"/>
      <c r="D74" s="49"/>
      <c r="E74" s="369">
        <v>0.5566079299278931</v>
      </c>
      <c r="F74" s="49"/>
      <c r="G74" s="49"/>
      <c r="H74" s="369">
        <v>0.50600720902535734</v>
      </c>
      <c r="I74" s="369">
        <v>0.42</v>
      </c>
      <c r="J74" s="369">
        <v>0.51</v>
      </c>
      <c r="K74" s="369">
        <v>0.46000655365941573</v>
      </c>
      <c r="L74" s="369">
        <v>0.50600720902535734</v>
      </c>
      <c r="N74" s="62"/>
      <c r="O74" s="299"/>
      <c r="P74" s="62"/>
      <c r="Q74" s="297"/>
      <c r="R74" s="62"/>
      <c r="W74" s="224"/>
      <c r="X74" s="224"/>
      <c r="Y74" s="224"/>
      <c r="Z74" s="224"/>
      <c r="AA74" s="224"/>
      <c r="AB74" s="224"/>
      <c r="AC74" s="224"/>
      <c r="AD74" s="224"/>
      <c r="AE74" s="224"/>
      <c r="AF74" s="224"/>
      <c r="AG74" s="224"/>
      <c r="AH74" s="370">
        <v>1308.7091622001783</v>
      </c>
      <c r="AI74" s="167">
        <f t="shared" si="33"/>
        <v>1570.4509946402138</v>
      </c>
      <c r="AJ74" s="167">
        <f t="shared" si="33"/>
        <v>1884.5411935682564</v>
      </c>
      <c r="AN74" s="576">
        <f t="shared" si="27"/>
        <v>0</v>
      </c>
      <c r="AO74" s="574"/>
      <c r="AP74" s="574"/>
      <c r="AQ74" s="574"/>
      <c r="AR74" s="576">
        <f t="shared" si="28"/>
        <v>0</v>
      </c>
      <c r="AS74" s="574"/>
      <c r="AT74" s="574"/>
      <c r="AU74" s="574"/>
      <c r="AV74" s="576">
        <f t="shared" si="29"/>
        <v>0</v>
      </c>
      <c r="AW74" s="574"/>
      <c r="AX74" s="574"/>
      <c r="AY74" s="574"/>
      <c r="AZ74" s="576">
        <f t="shared" si="30"/>
        <v>0</v>
      </c>
      <c r="BA74" s="574"/>
      <c r="BB74" s="576">
        <f t="shared" si="34"/>
        <v>0</v>
      </c>
      <c r="BC74" s="574"/>
      <c r="BD74" s="574"/>
      <c r="BE74" s="574"/>
      <c r="BF74" s="576">
        <f t="shared" ref="BF74" si="50">BE74*120%</f>
        <v>0</v>
      </c>
      <c r="BG74" s="576">
        <f t="shared" si="36"/>
        <v>0</v>
      </c>
      <c r="BH74" s="574"/>
      <c r="BI74" s="574"/>
      <c r="BJ74" s="574"/>
      <c r="BK74" s="576">
        <f t="shared" ref="BK74" si="51">BJ74*120%</f>
        <v>0</v>
      </c>
    </row>
    <row r="75" spans="1:63" s="287" customFormat="1" x14ac:dyDescent="0.35">
      <c r="A75" s="256" t="s">
        <v>332</v>
      </c>
      <c r="B75" s="49"/>
      <c r="C75" s="49"/>
      <c r="D75" s="49"/>
      <c r="E75" s="369">
        <v>0.5544046452066439</v>
      </c>
      <c r="F75" s="49"/>
      <c r="G75" s="49"/>
      <c r="H75" s="369">
        <v>0.50400422291513081</v>
      </c>
      <c r="I75" s="369">
        <v>0.4</v>
      </c>
      <c r="J75" s="369">
        <v>0.5</v>
      </c>
      <c r="K75" s="369">
        <v>0.45818565719557341</v>
      </c>
      <c r="L75" s="369">
        <v>0.50400422291513081</v>
      </c>
      <c r="N75" s="62"/>
      <c r="O75" s="299"/>
      <c r="P75" s="62"/>
      <c r="Q75" s="297"/>
      <c r="R75" s="62"/>
      <c r="W75" s="224"/>
      <c r="X75" s="224"/>
      <c r="Y75" s="224"/>
      <c r="Z75" s="224"/>
      <c r="AA75" s="224"/>
      <c r="AB75" s="224"/>
      <c r="AC75" s="224"/>
      <c r="AD75" s="224"/>
      <c r="AE75" s="224"/>
      <c r="AF75" s="224"/>
      <c r="AG75" s="224"/>
      <c r="AH75" s="370">
        <v>1306.6521772667586</v>
      </c>
      <c r="AI75" s="167">
        <f t="shared" si="33"/>
        <v>1567.9826127201102</v>
      </c>
      <c r="AJ75" s="167">
        <f t="shared" si="33"/>
        <v>1881.5791352641322</v>
      </c>
      <c r="AN75" s="576">
        <f t="shared" si="27"/>
        <v>0</v>
      </c>
      <c r="AO75" s="574"/>
      <c r="AP75" s="574"/>
      <c r="AQ75" s="574"/>
      <c r="AR75" s="576">
        <f t="shared" si="28"/>
        <v>0</v>
      </c>
      <c r="AS75" s="574"/>
      <c r="AT75" s="574"/>
      <c r="AU75" s="574"/>
      <c r="AV75" s="576">
        <f t="shared" si="29"/>
        <v>0</v>
      </c>
      <c r="AW75" s="574"/>
      <c r="AX75" s="574"/>
      <c r="AY75" s="574"/>
      <c r="AZ75" s="576">
        <f t="shared" si="30"/>
        <v>0</v>
      </c>
      <c r="BA75" s="574"/>
      <c r="BB75" s="576">
        <f t="shared" si="34"/>
        <v>0</v>
      </c>
      <c r="BC75" s="574"/>
      <c r="BD75" s="574"/>
      <c r="BE75" s="574"/>
      <c r="BF75" s="576">
        <f t="shared" ref="BF75" si="52">BE75*120%</f>
        <v>0</v>
      </c>
      <c r="BG75" s="576">
        <f t="shared" si="36"/>
        <v>0</v>
      </c>
      <c r="BH75" s="574"/>
      <c r="BI75" s="574"/>
      <c r="BJ75" s="574"/>
      <c r="BK75" s="576">
        <f t="shared" ref="BK75" si="53">BJ75*120%</f>
        <v>0</v>
      </c>
    </row>
    <row r="76" spans="1:63" s="287" customFormat="1" x14ac:dyDescent="0.35">
      <c r="A76" s="256" t="s">
        <v>333</v>
      </c>
      <c r="B76" s="49"/>
      <c r="C76" s="49"/>
      <c r="D76" s="49"/>
      <c r="E76" s="369">
        <v>0.55776135201669086</v>
      </c>
      <c r="F76" s="49"/>
      <c r="G76" s="49"/>
      <c r="H76" s="369">
        <v>0.507055774560628</v>
      </c>
      <c r="I76" s="369">
        <v>0.4</v>
      </c>
      <c r="J76" s="369">
        <v>0.51</v>
      </c>
      <c r="K76" s="369">
        <v>0.46095979505511636</v>
      </c>
      <c r="L76" s="369">
        <v>0.507055774560628</v>
      </c>
      <c r="N76" s="62"/>
      <c r="O76" s="299"/>
      <c r="P76" s="62"/>
      <c r="Q76" s="297"/>
      <c r="R76" s="62"/>
      <c r="W76" s="224"/>
      <c r="X76" s="224"/>
      <c r="Y76" s="224"/>
      <c r="Z76" s="224"/>
      <c r="AA76" s="224"/>
      <c r="AB76" s="224"/>
      <c r="AC76" s="224"/>
      <c r="AD76" s="224"/>
      <c r="AE76" s="224"/>
      <c r="AF76" s="224"/>
      <c r="AG76" s="224"/>
      <c r="AH76" s="370">
        <v>1362.5276069857937</v>
      </c>
      <c r="AI76" s="167">
        <f t="shared" si="33"/>
        <v>1635.0331283829523</v>
      </c>
      <c r="AJ76" s="167">
        <f t="shared" si="33"/>
        <v>1962.0397540595427</v>
      </c>
      <c r="AN76" s="576">
        <f t="shared" si="27"/>
        <v>0</v>
      </c>
      <c r="AO76" s="574"/>
      <c r="AP76" s="574"/>
      <c r="AQ76" s="574"/>
      <c r="AR76" s="576">
        <f t="shared" si="28"/>
        <v>0</v>
      </c>
      <c r="AS76" s="574"/>
      <c r="AT76" s="574"/>
      <c r="AU76" s="574"/>
      <c r="AV76" s="576">
        <f t="shared" si="29"/>
        <v>0</v>
      </c>
      <c r="AW76" s="574"/>
      <c r="AX76" s="574"/>
      <c r="AY76" s="574"/>
      <c r="AZ76" s="576">
        <f t="shared" si="30"/>
        <v>0</v>
      </c>
      <c r="BA76" s="574"/>
      <c r="BB76" s="576">
        <f t="shared" si="34"/>
        <v>0</v>
      </c>
      <c r="BC76" s="574"/>
      <c r="BD76" s="574"/>
      <c r="BE76" s="574"/>
      <c r="BF76" s="576">
        <f t="shared" ref="BF76" si="54">BE76*120%</f>
        <v>0</v>
      </c>
      <c r="BG76" s="576">
        <f t="shared" si="36"/>
        <v>0</v>
      </c>
      <c r="BH76" s="574"/>
      <c r="BI76" s="574"/>
      <c r="BJ76" s="574"/>
      <c r="BK76" s="576">
        <f t="shared" ref="BK76" si="55">BJ76*120%</f>
        <v>0</v>
      </c>
    </row>
    <row r="77" spans="1:63" s="287" customFormat="1" x14ac:dyDescent="0.35">
      <c r="A77" s="256" t="s">
        <v>334</v>
      </c>
      <c r="B77" s="49"/>
      <c r="C77" s="49"/>
      <c r="D77" s="49"/>
      <c r="E77" s="369">
        <v>0.5648051558717524</v>
      </c>
      <c r="F77" s="49"/>
      <c r="G77" s="49"/>
      <c r="H77" s="369">
        <v>0.51345923261068394</v>
      </c>
      <c r="I77" s="369">
        <v>0.4</v>
      </c>
      <c r="J77" s="369">
        <v>0.51</v>
      </c>
      <c r="K77" s="369">
        <v>0.46678112055516718</v>
      </c>
      <c r="L77" s="369">
        <v>0.51345923261068394</v>
      </c>
      <c r="N77" s="62"/>
      <c r="O77" s="299"/>
      <c r="P77" s="62"/>
      <c r="Q77" s="297"/>
      <c r="R77" s="62"/>
      <c r="W77" s="224"/>
      <c r="X77" s="224"/>
      <c r="Y77" s="224"/>
      <c r="Z77" s="224"/>
      <c r="AA77" s="224"/>
      <c r="AB77" s="224"/>
      <c r="AC77" s="224"/>
      <c r="AD77" s="224"/>
      <c r="AE77" s="224"/>
      <c r="AF77" s="224"/>
      <c r="AG77" s="224"/>
      <c r="AH77" s="370">
        <v>1494.9082206175608</v>
      </c>
      <c r="AI77" s="167">
        <f t="shared" si="33"/>
        <v>1793.8898647410729</v>
      </c>
      <c r="AJ77" s="167">
        <f t="shared" si="33"/>
        <v>2152.6678376892874</v>
      </c>
      <c r="AN77" s="576">
        <f t="shared" si="27"/>
        <v>0</v>
      </c>
      <c r="AO77" s="574"/>
      <c r="AP77" s="574"/>
      <c r="AQ77" s="574"/>
      <c r="AR77" s="576">
        <f t="shared" si="28"/>
        <v>0</v>
      </c>
      <c r="AS77" s="574"/>
      <c r="AT77" s="574"/>
      <c r="AU77" s="574"/>
      <c r="AV77" s="576">
        <f t="shared" si="29"/>
        <v>0</v>
      </c>
      <c r="AW77" s="574"/>
      <c r="AX77" s="574"/>
      <c r="AY77" s="574"/>
      <c r="AZ77" s="576">
        <f t="shared" si="30"/>
        <v>0</v>
      </c>
      <c r="BA77" s="574"/>
      <c r="BB77" s="576">
        <f t="shared" si="34"/>
        <v>0</v>
      </c>
      <c r="BC77" s="574"/>
      <c r="BD77" s="574"/>
      <c r="BE77" s="574"/>
      <c r="BF77" s="576">
        <f t="shared" ref="BF77" si="56">BE77*120%</f>
        <v>0</v>
      </c>
      <c r="BG77" s="576">
        <f t="shared" si="36"/>
        <v>0</v>
      </c>
      <c r="BH77" s="574"/>
      <c r="BI77" s="574"/>
      <c r="BJ77" s="574"/>
      <c r="BK77" s="576">
        <f t="shared" ref="BK77" si="57">BJ77*120%</f>
        <v>0</v>
      </c>
    </row>
    <row r="78" spans="1:63" s="287" customFormat="1" x14ac:dyDescent="0.35">
      <c r="A78" s="256" t="s">
        <v>322</v>
      </c>
      <c r="B78" s="49"/>
      <c r="C78" s="49"/>
      <c r="D78" s="49"/>
      <c r="E78" s="369">
        <v>0.25</v>
      </c>
      <c r="F78" s="49"/>
      <c r="G78" s="49"/>
      <c r="H78" s="369">
        <v>0.21000000000000002</v>
      </c>
      <c r="I78" s="369">
        <v>0.21000000000000002</v>
      </c>
      <c r="J78" s="369">
        <v>0.21</v>
      </c>
      <c r="K78" s="369">
        <v>0.2</v>
      </c>
      <c r="L78" s="369">
        <v>0.21000000000000002</v>
      </c>
      <c r="N78" s="62"/>
      <c r="O78" s="299"/>
      <c r="P78" s="62"/>
      <c r="Q78" s="297"/>
      <c r="R78" s="62"/>
      <c r="W78" s="224"/>
      <c r="X78" s="224"/>
      <c r="Y78" s="224"/>
      <c r="Z78" s="224"/>
      <c r="AA78" s="224"/>
      <c r="AB78" s="224"/>
      <c r="AC78" s="224"/>
      <c r="AD78" s="224"/>
      <c r="AE78" s="224"/>
      <c r="AF78" s="224"/>
      <c r="AG78" s="224"/>
      <c r="AH78" s="370">
        <v>3000</v>
      </c>
      <c r="AI78" s="370">
        <v>3000</v>
      </c>
      <c r="AJ78" s="370">
        <v>3000</v>
      </c>
      <c r="AN78" s="370">
        <v>3000</v>
      </c>
      <c r="AO78" s="574"/>
      <c r="AP78" s="574"/>
      <c r="AQ78" s="574"/>
      <c r="AR78" s="370">
        <v>3000</v>
      </c>
      <c r="AS78" s="574"/>
      <c r="AT78" s="574"/>
      <c r="AU78" s="574"/>
      <c r="AV78" s="370">
        <v>3000</v>
      </c>
      <c r="AW78" s="574"/>
      <c r="AX78" s="574"/>
      <c r="AY78" s="574"/>
      <c r="AZ78" s="370">
        <v>3000</v>
      </c>
      <c r="BA78" s="574"/>
      <c r="BB78" s="370">
        <v>3000</v>
      </c>
      <c r="BC78" s="574"/>
      <c r="BD78" s="574"/>
      <c r="BE78" s="574"/>
      <c r="BF78" s="370">
        <v>3000</v>
      </c>
      <c r="BG78" s="370">
        <v>3000</v>
      </c>
      <c r="BH78" s="574"/>
      <c r="BI78" s="574"/>
      <c r="BJ78" s="574"/>
      <c r="BK78" s="370">
        <v>3000</v>
      </c>
    </row>
    <row r="79" spans="1:63" x14ac:dyDescent="0.35">
      <c r="A79" s="256" t="s">
        <v>208</v>
      </c>
      <c r="B79" s="49"/>
      <c r="C79" s="49"/>
      <c r="D79" s="49"/>
      <c r="E79" s="370">
        <v>3495.6617295107562</v>
      </c>
      <c r="F79" s="49"/>
      <c r="G79" s="49"/>
      <c r="H79" s="370">
        <v>1726.7959510336109</v>
      </c>
      <c r="I79" s="370">
        <v>1438.9966258613424</v>
      </c>
      <c r="J79" s="370">
        <v>700</v>
      </c>
      <c r="K79" s="370">
        <v>1199.1638548844521</v>
      </c>
      <c r="L79" s="370">
        <v>650</v>
      </c>
      <c r="O79" s="370">
        <v>2395.6358708189932</v>
      </c>
      <c r="W79" s="224"/>
      <c r="X79" s="224"/>
      <c r="Y79" s="224"/>
      <c r="Z79" s="224"/>
      <c r="AA79" s="224"/>
      <c r="AB79" s="224"/>
      <c r="AC79" s="224"/>
      <c r="AD79" s="224"/>
      <c r="AE79" s="224"/>
      <c r="AF79" s="224"/>
      <c r="AG79" s="224"/>
      <c r="AH79" s="224"/>
      <c r="AN79" s="574"/>
      <c r="AO79" s="574"/>
      <c r="AP79" s="574"/>
      <c r="AQ79" s="574"/>
      <c r="AR79" s="574"/>
      <c r="AS79" s="574"/>
      <c r="AT79" s="574"/>
      <c r="AU79" s="574"/>
      <c r="AV79" s="574"/>
      <c r="AW79" s="574"/>
      <c r="AX79" s="574"/>
      <c r="AY79" s="574"/>
      <c r="AZ79" s="574"/>
      <c r="BA79" s="574"/>
      <c r="BB79" s="574"/>
      <c r="BC79" s="574"/>
      <c r="BD79" s="574"/>
      <c r="BE79" s="574"/>
      <c r="BF79" s="574"/>
      <c r="BG79" s="574"/>
      <c r="BH79" s="574"/>
      <c r="BI79" s="574"/>
      <c r="BJ79" s="574"/>
      <c r="BK79" s="574"/>
    </row>
    <row r="80" spans="1:63" x14ac:dyDescent="0.35">
      <c r="A80" s="256" t="s">
        <v>209</v>
      </c>
      <c r="B80" s="49"/>
      <c r="C80" s="49"/>
      <c r="D80" s="49"/>
      <c r="E80" s="370">
        <v>4634.1102324893045</v>
      </c>
      <c r="F80" s="49"/>
      <c r="G80" s="49"/>
      <c r="H80" s="370">
        <v>2807.7575612619453</v>
      </c>
      <c r="I80" s="370">
        <v>2339.797967718288</v>
      </c>
      <c r="J80" s="370">
        <v>1450</v>
      </c>
      <c r="K80" s="370">
        <v>1949.8316397652402</v>
      </c>
      <c r="L80" s="370">
        <v>1800</v>
      </c>
      <c r="O80" s="370">
        <v>3299.8840465054354</v>
      </c>
      <c r="W80" s="65"/>
      <c r="X80" s="224"/>
      <c r="Y80" s="224"/>
      <c r="Z80" s="224"/>
      <c r="AA80" s="224"/>
      <c r="AB80" s="224"/>
      <c r="AC80" s="280"/>
      <c r="AD80" s="280"/>
      <c r="AE80" s="280"/>
      <c r="AF80" s="280"/>
      <c r="AG80" s="280"/>
      <c r="AH80" s="280"/>
      <c r="AN80" s="574"/>
      <c r="AO80" s="574"/>
      <c r="AP80" s="574"/>
      <c r="AQ80" s="574"/>
      <c r="AR80" s="574"/>
      <c r="AS80" s="574"/>
      <c r="AT80" s="574"/>
      <c r="AU80" s="574"/>
      <c r="AV80" s="574"/>
      <c r="AW80" s="574"/>
      <c r="AX80" s="574"/>
      <c r="AY80" s="574"/>
      <c r="AZ80" s="574"/>
      <c r="BA80" s="574"/>
      <c r="BB80" s="574"/>
      <c r="BC80" s="574"/>
      <c r="BD80" s="574"/>
      <c r="BE80" s="574"/>
      <c r="BF80" s="574"/>
      <c r="BG80" s="574"/>
      <c r="BH80" s="574"/>
      <c r="BI80" s="574"/>
      <c r="BJ80" s="574"/>
      <c r="BK80" s="574"/>
    </row>
    <row r="81" spans="1:63" x14ac:dyDescent="0.35">
      <c r="A81" s="256" t="s">
        <v>210</v>
      </c>
      <c r="B81" s="49"/>
      <c r="C81" s="49"/>
      <c r="D81" s="49"/>
      <c r="E81" s="370">
        <v>3785.1365710968435</v>
      </c>
      <c r="F81" s="49"/>
      <c r="G81" s="49"/>
      <c r="H81" s="370">
        <v>2443.9672371574243</v>
      </c>
      <c r="I81" s="370">
        <v>2036.6393642978535</v>
      </c>
      <c r="J81" s="370">
        <v>1310</v>
      </c>
      <c r="K81" s="370">
        <v>1697.1994702482114</v>
      </c>
      <c r="L81" s="370">
        <v>1280.622338719555</v>
      </c>
      <c r="O81" s="370">
        <v>2746.3165113614587</v>
      </c>
      <c r="W81" s="65"/>
      <c r="X81" s="224"/>
      <c r="Y81" s="224"/>
      <c r="Z81" s="224"/>
      <c r="AA81" s="224"/>
      <c r="AB81" s="224"/>
      <c r="AC81" s="224"/>
      <c r="AD81" s="224"/>
      <c r="AE81" s="224"/>
      <c r="AF81" s="224"/>
      <c r="AG81" s="224"/>
      <c r="AH81" s="224"/>
      <c r="AN81" s="574"/>
      <c r="AO81" s="574"/>
      <c r="AP81" s="574"/>
      <c r="AQ81" s="574"/>
      <c r="AR81" s="574"/>
      <c r="AS81" s="574"/>
      <c r="AT81" s="574"/>
      <c r="AU81" s="574"/>
      <c r="AV81" s="574"/>
      <c r="AW81" s="574"/>
      <c r="AX81" s="574"/>
      <c r="AY81" s="574"/>
      <c r="AZ81" s="574"/>
      <c r="BA81" s="574"/>
      <c r="BB81" s="574"/>
      <c r="BC81" s="574"/>
      <c r="BD81" s="574"/>
      <c r="BE81" s="574"/>
      <c r="BF81" s="574"/>
      <c r="BG81" s="574"/>
      <c r="BH81" s="574"/>
      <c r="BI81" s="574"/>
      <c r="BJ81" s="574"/>
      <c r="BK81" s="574"/>
    </row>
    <row r="82" spans="1:63" x14ac:dyDescent="0.35">
      <c r="A82" s="256" t="s">
        <v>211</v>
      </c>
      <c r="B82" s="49"/>
      <c r="C82" s="49"/>
      <c r="D82" s="49"/>
      <c r="E82" s="370">
        <v>3657.0703438376295</v>
      </c>
      <c r="F82" s="49"/>
      <c r="G82" s="49"/>
      <c r="H82" s="370">
        <v>2399.6767412693034</v>
      </c>
      <c r="I82" s="370">
        <v>1999.7306177244195</v>
      </c>
      <c r="J82" s="370">
        <v>1700</v>
      </c>
      <c r="K82" s="370">
        <v>1666.4421814370164</v>
      </c>
      <c r="L82" s="370">
        <v>1461.8924587655522</v>
      </c>
      <c r="O82" s="370">
        <v>2803.130144429183</v>
      </c>
      <c r="AN82" s="574"/>
      <c r="AO82" s="574"/>
      <c r="AP82" s="574"/>
      <c r="AQ82" s="574"/>
      <c r="AR82" s="574"/>
      <c r="AS82" s="574"/>
      <c r="AT82" s="574"/>
      <c r="AU82" s="574"/>
      <c r="AV82" s="574"/>
      <c r="AW82" s="574"/>
      <c r="AX82" s="574"/>
      <c r="AY82" s="574"/>
      <c r="AZ82" s="574"/>
      <c r="BA82" s="574"/>
      <c r="BB82" s="574"/>
      <c r="BC82" s="574"/>
      <c r="BD82" s="574"/>
      <c r="BE82" s="574"/>
      <c r="BF82" s="574"/>
      <c r="BG82" s="574"/>
      <c r="BH82" s="574"/>
      <c r="BI82" s="574"/>
      <c r="BJ82" s="574"/>
      <c r="BK82" s="574"/>
    </row>
    <row r="83" spans="1:63" x14ac:dyDescent="0.35">
      <c r="A83" s="256" t="s">
        <v>212</v>
      </c>
      <c r="B83" s="257"/>
      <c r="C83" s="257"/>
      <c r="D83" s="257"/>
      <c r="E83" s="370">
        <v>4242.0525639503085</v>
      </c>
      <c r="F83" s="257"/>
      <c r="G83" s="257"/>
      <c r="H83" s="370">
        <v>2670.2066381906216</v>
      </c>
      <c r="I83" s="370">
        <v>2225.1721984921846</v>
      </c>
      <c r="J83" s="370">
        <v>1854.310165410154</v>
      </c>
      <c r="K83" s="370">
        <v>1854.310165410154</v>
      </c>
      <c r="L83" s="370">
        <v>1611.6830659707014</v>
      </c>
      <c r="O83" s="370">
        <v>3195.4816592889551</v>
      </c>
      <c r="AN83" s="574"/>
      <c r="AO83" s="574"/>
      <c r="AP83" s="574"/>
      <c r="AQ83" s="574"/>
      <c r="AR83" s="574"/>
      <c r="AS83" s="574"/>
      <c r="AT83" s="574"/>
      <c r="AU83" s="574"/>
      <c r="AV83" s="574"/>
      <c r="AW83" s="574"/>
      <c r="AX83" s="574"/>
      <c r="AY83" s="574"/>
      <c r="AZ83" s="574"/>
      <c r="BA83" s="574"/>
      <c r="BB83" s="574"/>
      <c r="BC83" s="574"/>
      <c r="BD83" s="574"/>
      <c r="BE83" s="574"/>
      <c r="BF83" s="574"/>
      <c r="BG83" s="574"/>
      <c r="BH83" s="574"/>
      <c r="BI83" s="574"/>
      <c r="BJ83" s="574"/>
      <c r="BK83" s="574"/>
    </row>
    <row r="84" spans="1:63" s="287" customFormat="1" x14ac:dyDescent="0.35">
      <c r="A84" s="256" t="s">
        <v>262</v>
      </c>
      <c r="B84" s="257"/>
      <c r="C84" s="257"/>
      <c r="D84" s="257"/>
      <c r="E84" s="370">
        <v>4056.8147324178617</v>
      </c>
      <c r="F84" s="257"/>
      <c r="G84" s="257"/>
      <c r="H84" s="370">
        <v>3008.6055180734152</v>
      </c>
      <c r="I84" s="370">
        <v>2507.1712650611794</v>
      </c>
      <c r="J84" s="370">
        <v>2089.309387550983</v>
      </c>
      <c r="K84" s="370">
        <v>2089.309387550983</v>
      </c>
      <c r="L84" s="370">
        <v>1794.6891499808048</v>
      </c>
      <c r="O84" s="370">
        <v>3224.8667995294672</v>
      </c>
      <c r="AN84" s="574"/>
      <c r="AO84" s="574"/>
      <c r="AP84" s="574"/>
      <c r="AQ84" s="574"/>
      <c r="AR84" s="574"/>
      <c r="AS84" s="574"/>
      <c r="AT84" s="574"/>
      <c r="AU84" s="574"/>
      <c r="AV84" s="574"/>
      <c r="AW84" s="574"/>
      <c r="AX84" s="574"/>
      <c r="AY84" s="574"/>
      <c r="AZ84" s="574"/>
      <c r="BA84" s="574"/>
      <c r="BB84" s="574"/>
      <c r="BC84" s="574"/>
      <c r="BD84" s="574"/>
      <c r="BE84" s="574"/>
      <c r="BF84" s="574"/>
      <c r="BG84" s="574"/>
      <c r="BH84" s="574"/>
      <c r="BI84" s="574"/>
      <c r="BJ84" s="574"/>
      <c r="BK84" s="574"/>
    </row>
    <row r="85" spans="1:63" s="287" customFormat="1" x14ac:dyDescent="0.35">
      <c r="A85" s="256" t="s">
        <v>263</v>
      </c>
      <c r="B85" s="257"/>
      <c r="C85" s="257"/>
      <c r="D85" s="257"/>
      <c r="E85" s="370">
        <v>4143.5626874537656</v>
      </c>
      <c r="F85" s="257"/>
      <c r="G85" s="257"/>
      <c r="H85" s="370">
        <v>2656.1579895951127</v>
      </c>
      <c r="I85" s="370">
        <v>2213.4649913292606</v>
      </c>
      <c r="J85" s="370">
        <v>1844.5541594410504</v>
      </c>
      <c r="K85" s="370">
        <v>1844.5541594410504</v>
      </c>
      <c r="L85" s="370">
        <v>1627.030641632444</v>
      </c>
      <c r="O85" s="370">
        <v>3156.4684381485122</v>
      </c>
      <c r="AN85" s="574"/>
      <c r="AO85" s="574"/>
      <c r="AP85" s="574"/>
      <c r="AQ85" s="574"/>
      <c r="AR85" s="574"/>
      <c r="AS85" s="574"/>
      <c r="AT85" s="574"/>
      <c r="AU85" s="574"/>
      <c r="AV85" s="574"/>
      <c r="AW85" s="574"/>
      <c r="AX85" s="574"/>
      <c r="AY85" s="574"/>
      <c r="AZ85" s="574"/>
      <c r="BA85" s="574"/>
      <c r="BB85" s="574"/>
      <c r="BC85" s="574"/>
      <c r="BD85" s="574"/>
      <c r="BE85" s="574"/>
      <c r="BF85" s="574"/>
      <c r="BG85" s="574"/>
      <c r="BH85" s="574"/>
      <c r="BI85" s="574"/>
      <c r="BJ85" s="574"/>
      <c r="BK85" s="574"/>
    </row>
    <row r="86" spans="1:63" s="287" customFormat="1" x14ac:dyDescent="0.35">
      <c r="A86" s="256" t="s">
        <v>264</v>
      </c>
      <c r="B86" s="257"/>
      <c r="C86" s="257"/>
      <c r="D86" s="257"/>
      <c r="E86" s="370">
        <v>5503.1578263365454</v>
      </c>
      <c r="F86" s="257"/>
      <c r="G86" s="257"/>
      <c r="H86" s="370">
        <v>2080.5135907934396</v>
      </c>
      <c r="I86" s="370">
        <v>1733.7613256611996</v>
      </c>
      <c r="J86" s="370">
        <v>1444.8011047176665</v>
      </c>
      <c r="K86" s="370">
        <v>1444.8011047176665</v>
      </c>
      <c r="L86" s="370">
        <v>1191.5500590197091</v>
      </c>
      <c r="O86" s="370">
        <v>3545.945619181412</v>
      </c>
      <c r="AN86" s="574"/>
      <c r="AO86" s="574"/>
      <c r="AP86" s="574"/>
      <c r="AQ86" s="574"/>
      <c r="AR86" s="574"/>
      <c r="AS86" s="574"/>
      <c r="AT86" s="574"/>
      <c r="AU86" s="574"/>
      <c r="AV86" s="574"/>
      <c r="AW86" s="574"/>
      <c r="AX86" s="574"/>
      <c r="AY86" s="574"/>
      <c r="AZ86" s="574"/>
      <c r="BA86" s="574"/>
      <c r="BB86" s="574"/>
      <c r="BC86" s="574"/>
      <c r="BD86" s="574"/>
      <c r="BE86" s="574"/>
      <c r="BF86" s="574"/>
      <c r="BG86" s="574"/>
      <c r="BH86" s="574"/>
      <c r="BI86" s="574"/>
      <c r="BJ86" s="574"/>
      <c r="BK86" s="574"/>
    </row>
    <row r="87" spans="1:63" s="287" customFormat="1" x14ac:dyDescent="0.35">
      <c r="A87" s="256" t="s">
        <v>265</v>
      </c>
      <c r="B87" s="257"/>
      <c r="C87" s="257"/>
      <c r="D87" s="257"/>
      <c r="E87" s="370">
        <v>4800.5133871399667</v>
      </c>
      <c r="F87" s="257"/>
      <c r="G87" s="257"/>
      <c r="H87" s="370">
        <v>1884.5411935682564</v>
      </c>
      <c r="I87" s="370">
        <v>1570.4509946402138</v>
      </c>
      <c r="J87" s="370">
        <v>1308.7091622001783</v>
      </c>
      <c r="K87" s="370">
        <v>1308.7091622001783</v>
      </c>
      <c r="L87" s="370">
        <v>1231.5615191930046</v>
      </c>
      <c r="O87" s="370">
        <v>3221.2977063653198</v>
      </c>
      <c r="AN87" s="574"/>
      <c r="AO87" s="574"/>
      <c r="AP87" s="574"/>
      <c r="AQ87" s="574"/>
      <c r="AR87" s="574"/>
      <c r="AS87" s="574"/>
      <c r="AT87" s="574"/>
      <c r="AU87" s="574"/>
      <c r="AV87" s="574"/>
      <c r="AW87" s="574"/>
      <c r="AX87" s="574"/>
      <c r="AY87" s="574"/>
      <c r="AZ87" s="574"/>
      <c r="BA87" s="574"/>
      <c r="BB87" s="574"/>
      <c r="BC87" s="574"/>
      <c r="BD87" s="574"/>
      <c r="BE87" s="574"/>
      <c r="BF87" s="574"/>
      <c r="BG87" s="574"/>
      <c r="BH87" s="574"/>
      <c r="BI87" s="574"/>
      <c r="BJ87" s="574"/>
      <c r="BK87" s="574"/>
    </row>
    <row r="88" spans="1:63" s="287" customFormat="1" x14ac:dyDescent="0.35">
      <c r="A88" s="256" t="s">
        <v>266</v>
      </c>
      <c r="B88" s="257"/>
      <c r="C88" s="257"/>
      <c r="D88" s="257"/>
      <c r="E88" s="370">
        <v>5235.095465926086</v>
      </c>
      <c r="F88" s="257"/>
      <c r="G88" s="257"/>
      <c r="H88" s="370">
        <v>1881.5791352641322</v>
      </c>
      <c r="I88" s="370">
        <v>1567.9826127201102</v>
      </c>
      <c r="J88" s="370">
        <v>1306.6521772667586</v>
      </c>
      <c r="K88" s="370">
        <v>1306.6521772667586</v>
      </c>
      <c r="L88" s="370">
        <v>1170.4336222584232</v>
      </c>
      <c r="O88" s="370">
        <v>3397.8368144686583</v>
      </c>
      <c r="AN88" s="574"/>
      <c r="AO88" s="574"/>
      <c r="AP88" s="574"/>
      <c r="AQ88" s="574"/>
      <c r="AR88" s="574"/>
      <c r="AS88" s="574"/>
      <c r="AT88" s="574"/>
      <c r="AU88" s="574"/>
      <c r="AV88" s="574"/>
      <c r="AW88" s="574"/>
      <c r="AX88" s="574"/>
      <c r="AY88" s="574"/>
      <c r="AZ88" s="574"/>
      <c r="BA88" s="574"/>
      <c r="BB88" s="574"/>
      <c r="BC88" s="574"/>
      <c r="BD88" s="574"/>
      <c r="BE88" s="574"/>
      <c r="BF88" s="574"/>
      <c r="BG88" s="574"/>
      <c r="BH88" s="574"/>
      <c r="BI88" s="574"/>
      <c r="BJ88" s="574"/>
      <c r="BK88" s="574"/>
    </row>
    <row r="89" spans="1:63" s="287" customFormat="1" x14ac:dyDescent="0.35">
      <c r="A89" s="256" t="s">
        <v>267</v>
      </c>
      <c r="B89" s="257"/>
      <c r="C89" s="257"/>
      <c r="D89" s="257"/>
      <c r="E89" s="370">
        <v>5815.1950576279578</v>
      </c>
      <c r="F89" s="257"/>
      <c r="G89" s="257"/>
      <c r="H89" s="370">
        <v>1962.0397540595427</v>
      </c>
      <c r="I89" s="370">
        <v>1635.0331283829523</v>
      </c>
      <c r="J89" s="370">
        <v>1362.5276069857937</v>
      </c>
      <c r="K89" s="370">
        <v>1362.5276069857937</v>
      </c>
      <c r="L89" s="370">
        <v>1224.1808169507099</v>
      </c>
      <c r="O89" s="370">
        <v>3723.7180734477856</v>
      </c>
      <c r="AN89" s="574"/>
      <c r="AO89" s="574"/>
      <c r="AP89" s="574"/>
      <c r="AQ89" s="574"/>
      <c r="AR89" s="574"/>
      <c r="AS89" s="574"/>
      <c r="AT89" s="574"/>
      <c r="AU89" s="574"/>
      <c r="AV89" s="574"/>
      <c r="AW89" s="574"/>
      <c r="AX89" s="574"/>
      <c r="AY89" s="574"/>
      <c r="AZ89" s="574"/>
      <c r="BA89" s="574"/>
      <c r="BB89" s="574"/>
      <c r="BC89" s="574"/>
      <c r="BD89" s="574"/>
      <c r="BE89" s="574"/>
      <c r="BF89" s="574"/>
      <c r="BG89" s="574"/>
      <c r="BH89" s="574"/>
      <c r="BI89" s="574"/>
      <c r="BJ89" s="574"/>
      <c r="BK89" s="574"/>
    </row>
    <row r="90" spans="1:63" s="287" customFormat="1" x14ac:dyDescent="0.35">
      <c r="A90" s="256" t="s">
        <v>268</v>
      </c>
      <c r="B90" s="257"/>
      <c r="C90" s="257"/>
      <c r="D90" s="257"/>
      <c r="E90" s="370">
        <v>6599.0717638556389</v>
      </c>
      <c r="F90" s="257"/>
      <c r="G90" s="257"/>
      <c r="H90" s="370">
        <v>2152.6678376892874</v>
      </c>
      <c r="I90" s="370">
        <v>1793.8898647410729</v>
      </c>
      <c r="J90" s="370">
        <v>1494.9082206175608</v>
      </c>
      <c r="K90" s="370">
        <v>1494.9082206175608</v>
      </c>
      <c r="L90" s="370">
        <v>1363.1400925340747</v>
      </c>
      <c r="O90" s="370">
        <v>4208.2959436172023</v>
      </c>
      <c r="AN90" s="574"/>
      <c r="AO90" s="574"/>
      <c r="AP90" s="574"/>
      <c r="AQ90" s="574"/>
      <c r="AR90" s="574"/>
      <c r="AS90" s="574"/>
      <c r="AT90" s="574"/>
      <c r="AU90" s="574"/>
      <c r="AV90" s="574"/>
      <c r="AW90" s="574"/>
      <c r="AX90" s="574"/>
      <c r="AY90" s="574"/>
      <c r="AZ90" s="574"/>
      <c r="BA90" s="574"/>
      <c r="BB90" s="574"/>
      <c r="BC90" s="574"/>
      <c r="BD90" s="574"/>
      <c r="BE90" s="574"/>
      <c r="BF90" s="574"/>
      <c r="BG90" s="574"/>
      <c r="BH90" s="574"/>
      <c r="BI90" s="574"/>
      <c r="BJ90" s="574"/>
      <c r="BK90" s="574"/>
    </row>
    <row r="91" spans="1:63" s="287" customFormat="1" x14ac:dyDescent="0.35">
      <c r="A91" s="256" t="s">
        <v>319</v>
      </c>
      <c r="B91" s="257"/>
      <c r="C91" s="257"/>
      <c r="D91" s="257"/>
      <c r="E91" s="370">
        <v>6776.2158213186003</v>
      </c>
      <c r="F91" s="257"/>
      <c r="G91" s="257"/>
      <c r="H91" s="370">
        <v>3000</v>
      </c>
      <c r="I91" s="370">
        <v>3000</v>
      </c>
      <c r="J91" s="370">
        <v>3000</v>
      </c>
      <c r="K91" s="370">
        <v>3000</v>
      </c>
      <c r="L91" s="370">
        <v>2250</v>
      </c>
      <c r="O91" s="370">
        <v>4888.1079106593006</v>
      </c>
      <c r="AN91" s="574"/>
      <c r="AO91" s="574"/>
      <c r="AP91" s="574"/>
      <c r="AQ91" s="574"/>
      <c r="AR91" s="574"/>
      <c r="AS91" s="574"/>
      <c r="AT91" s="574"/>
      <c r="AU91" s="574"/>
      <c r="AV91" s="574"/>
      <c r="AW91" s="574"/>
      <c r="AX91" s="574"/>
      <c r="AY91" s="574"/>
      <c r="AZ91" s="574"/>
      <c r="BA91" s="574"/>
      <c r="BB91" s="574"/>
      <c r="BC91" s="574"/>
      <c r="BD91" s="574"/>
      <c r="BE91" s="574"/>
      <c r="BF91" s="574"/>
      <c r="BG91" s="574"/>
      <c r="BH91" s="574"/>
      <c r="BI91" s="574"/>
      <c r="BJ91" s="574"/>
      <c r="BK91" s="574"/>
    </row>
    <row r="92" spans="1:63" s="287" customFormat="1" x14ac:dyDescent="0.35">
      <c r="A92" s="256"/>
      <c r="B92" s="257"/>
      <c r="C92" s="257"/>
      <c r="D92" s="257"/>
      <c r="E92" s="257"/>
      <c r="F92" s="257"/>
      <c r="G92" s="257"/>
      <c r="H92" s="257"/>
      <c r="I92" s="257"/>
      <c r="J92" s="257"/>
      <c r="K92" s="257"/>
      <c r="L92" s="257"/>
      <c r="AN92" s="574"/>
      <c r="AO92" s="574"/>
      <c r="AP92" s="574"/>
      <c r="AQ92" s="574"/>
      <c r="AR92" s="574"/>
      <c r="AS92" s="574"/>
      <c r="AT92" s="574"/>
      <c r="AU92" s="574"/>
      <c r="AV92" s="574"/>
      <c r="AW92" s="574"/>
      <c r="AX92" s="574"/>
      <c r="AY92" s="574"/>
      <c r="AZ92" s="574"/>
      <c r="BA92" s="574"/>
      <c r="BB92" s="574"/>
      <c r="BC92" s="574"/>
      <c r="BD92" s="574"/>
      <c r="BE92" s="574"/>
      <c r="BF92" s="574"/>
      <c r="BG92" s="574"/>
      <c r="BH92" s="574"/>
      <c r="BI92" s="574"/>
      <c r="BJ92" s="574"/>
      <c r="BK92" s="574"/>
    </row>
    <row r="93" spans="1:63" s="287" customFormat="1" x14ac:dyDescent="0.35">
      <c r="A93" s="256"/>
      <c r="B93" s="257"/>
      <c r="C93" s="257"/>
      <c r="D93" s="257"/>
      <c r="E93" s="257"/>
      <c r="F93" s="257"/>
      <c r="G93" s="257"/>
      <c r="H93" s="257"/>
      <c r="I93" s="257"/>
      <c r="J93" s="257"/>
      <c r="K93" s="257"/>
      <c r="L93" s="257"/>
      <c r="AN93" s="574"/>
      <c r="AO93" s="574"/>
      <c r="AP93" s="574"/>
      <c r="AQ93" s="574"/>
      <c r="AR93" s="574"/>
      <c r="AS93" s="574"/>
      <c r="AT93" s="574"/>
      <c r="AU93" s="574"/>
      <c r="AV93" s="574"/>
      <c r="AW93" s="574"/>
      <c r="AX93" s="574"/>
      <c r="AY93" s="574"/>
      <c r="AZ93" s="574"/>
      <c r="BA93" s="574"/>
      <c r="BB93" s="574"/>
      <c r="BC93" s="574"/>
      <c r="BD93" s="574"/>
      <c r="BE93" s="574"/>
      <c r="BF93" s="574"/>
      <c r="BG93" s="574"/>
      <c r="BH93" s="574"/>
      <c r="BI93" s="574"/>
      <c r="BJ93" s="574"/>
      <c r="BK93" s="574"/>
    </row>
    <row r="94" spans="1:63" x14ac:dyDescent="0.35">
      <c r="AN94" s="574"/>
      <c r="AO94" s="574"/>
      <c r="AP94" s="574"/>
      <c r="AQ94" s="574"/>
      <c r="AR94" s="574"/>
      <c r="AS94" s="574"/>
      <c r="AT94" s="574"/>
      <c r="AU94" s="574"/>
      <c r="AV94" s="574"/>
      <c r="AW94" s="574"/>
      <c r="AX94" s="574"/>
      <c r="AY94" s="574"/>
      <c r="AZ94" s="574"/>
      <c r="BA94" s="574"/>
      <c r="BB94" s="574"/>
      <c r="BC94" s="574"/>
      <c r="BD94" s="574"/>
      <c r="BE94" s="574"/>
      <c r="BF94" s="574"/>
      <c r="BG94" s="574"/>
      <c r="BH94" s="574"/>
      <c r="BI94" s="574"/>
      <c r="BJ94" s="574"/>
      <c r="BK94" s="574"/>
    </row>
    <row r="95" spans="1:63" ht="15.5" x14ac:dyDescent="0.35">
      <c r="A95" s="658" t="s">
        <v>391</v>
      </c>
      <c r="B95" s="224" t="s">
        <v>175</v>
      </c>
      <c r="C95" s="224"/>
      <c r="D95" s="258">
        <v>76.16805128205128</v>
      </c>
      <c r="E95" s="258">
        <v>117.92</v>
      </c>
      <c r="F95" s="258">
        <v>90.062746441750136</v>
      </c>
      <c r="G95" s="258">
        <v>80.525608801955983</v>
      </c>
      <c r="H95" s="258">
        <v>75.970882084095066</v>
      </c>
      <c r="I95" s="258">
        <v>102.65585145888595</v>
      </c>
      <c r="J95" s="258">
        <v>113.96303843807199</v>
      </c>
      <c r="K95" s="258">
        <v>138.10107975460124</v>
      </c>
      <c r="L95" s="258">
        <v>78.056338028169009</v>
      </c>
      <c r="M95" s="373">
        <v>125</v>
      </c>
      <c r="N95" s="373">
        <v>125</v>
      </c>
      <c r="O95" s="373">
        <v>125</v>
      </c>
      <c r="P95" s="373">
        <v>125</v>
      </c>
      <c r="Q95" s="373">
        <v>125</v>
      </c>
      <c r="R95" s="373">
        <v>125</v>
      </c>
      <c r="S95" s="373">
        <v>125</v>
      </c>
      <c r="T95" s="373">
        <v>125</v>
      </c>
      <c r="U95" s="373">
        <v>125</v>
      </c>
      <c r="V95" s="373">
        <v>125</v>
      </c>
      <c r="W95" s="373">
        <v>125</v>
      </c>
      <c r="X95" s="373">
        <v>125</v>
      </c>
      <c r="Y95" s="373">
        <v>125</v>
      </c>
      <c r="Z95" s="373">
        <v>125</v>
      </c>
      <c r="AA95" s="373">
        <v>125</v>
      </c>
      <c r="AB95" s="373">
        <v>125</v>
      </c>
      <c r="AC95" s="373">
        <v>225</v>
      </c>
      <c r="AD95" s="373">
        <v>225</v>
      </c>
      <c r="AE95" s="373">
        <v>225</v>
      </c>
      <c r="AF95" s="373">
        <v>225</v>
      </c>
      <c r="AG95" s="373">
        <v>225</v>
      </c>
      <c r="AH95" s="373">
        <v>225</v>
      </c>
      <c r="AI95" s="373">
        <v>225</v>
      </c>
      <c r="AJ95" s="373">
        <v>225</v>
      </c>
      <c r="AK95" s="373">
        <v>225</v>
      </c>
      <c r="AL95" s="373">
        <v>225</v>
      </c>
      <c r="AM95" s="373">
        <v>225</v>
      </c>
      <c r="AN95" s="373">
        <v>225</v>
      </c>
      <c r="AO95" s="373">
        <v>225</v>
      </c>
      <c r="AP95" s="373">
        <v>225</v>
      </c>
      <c r="AQ95" s="373">
        <v>225</v>
      </c>
      <c r="AR95" s="373">
        <v>225</v>
      </c>
      <c r="AS95" s="373">
        <v>225</v>
      </c>
      <c r="AT95" s="373">
        <v>225</v>
      </c>
      <c r="AU95" s="373">
        <v>225</v>
      </c>
      <c r="AV95" s="373">
        <v>225</v>
      </c>
      <c r="AW95" s="373">
        <v>225</v>
      </c>
      <c r="AX95" s="373">
        <v>225</v>
      </c>
      <c r="AY95" s="373">
        <v>225</v>
      </c>
      <c r="AZ95" s="373">
        <v>225</v>
      </c>
      <c r="BA95" s="373">
        <v>225</v>
      </c>
      <c r="BB95" s="373">
        <v>225</v>
      </c>
      <c r="BC95" s="373">
        <v>225</v>
      </c>
      <c r="BD95" s="373">
        <v>225</v>
      </c>
      <c r="BE95" s="373">
        <v>225</v>
      </c>
      <c r="BF95" s="373">
        <v>225</v>
      </c>
      <c r="BG95" s="373">
        <v>225</v>
      </c>
      <c r="BH95" s="373">
        <v>225</v>
      </c>
      <c r="BI95" s="373">
        <v>225</v>
      </c>
      <c r="BJ95" s="373">
        <v>225</v>
      </c>
      <c r="BK95" s="373">
        <v>225</v>
      </c>
    </row>
    <row r="96" spans="1:63" x14ac:dyDescent="0.35">
      <c r="A96" s="656" t="s">
        <v>392</v>
      </c>
      <c r="B96" s="224" t="s">
        <v>175</v>
      </c>
      <c r="C96" s="224"/>
      <c r="D96" s="258">
        <v>76.16805128205128</v>
      </c>
      <c r="E96" s="258">
        <v>117.92</v>
      </c>
      <c r="F96" s="258">
        <v>90.062746441750136</v>
      </c>
      <c r="G96" s="258">
        <v>80.525608801955983</v>
      </c>
      <c r="H96" s="258">
        <v>75.970882084095066</v>
      </c>
      <c r="I96" s="258">
        <v>102.65585145888595</v>
      </c>
      <c r="J96" s="258">
        <v>113.96303843807199</v>
      </c>
      <c r="K96" s="258">
        <v>138.10107975460124</v>
      </c>
      <c r="L96" s="258">
        <v>78.056338028169009</v>
      </c>
      <c r="M96" s="258">
        <v>125</v>
      </c>
      <c r="N96" s="258">
        <v>125</v>
      </c>
      <c r="O96" s="258">
        <v>125</v>
      </c>
      <c r="P96" s="258">
        <v>300</v>
      </c>
      <c r="Q96" s="258">
        <v>300</v>
      </c>
      <c r="R96" s="258">
        <v>300</v>
      </c>
      <c r="S96" s="258">
        <v>300</v>
      </c>
      <c r="T96" s="258">
        <v>300</v>
      </c>
      <c r="U96" s="258">
        <v>300</v>
      </c>
      <c r="V96" s="258">
        <v>300</v>
      </c>
      <c r="W96" s="258">
        <v>300</v>
      </c>
      <c r="X96" s="258">
        <v>300</v>
      </c>
      <c r="Y96" s="258">
        <v>300</v>
      </c>
      <c r="Z96" s="258">
        <v>300</v>
      </c>
      <c r="AA96" s="258">
        <v>300</v>
      </c>
      <c r="AB96" s="258">
        <v>300</v>
      </c>
      <c r="AC96" s="258">
        <v>300</v>
      </c>
      <c r="AD96" s="258">
        <v>300</v>
      </c>
      <c r="AE96" s="258">
        <v>300</v>
      </c>
      <c r="AF96" s="258">
        <v>300</v>
      </c>
      <c r="AG96" s="258">
        <v>300</v>
      </c>
      <c r="AH96" s="258">
        <v>300</v>
      </c>
      <c r="AI96" s="258">
        <v>300</v>
      </c>
      <c r="AJ96" s="258">
        <v>300</v>
      </c>
      <c r="AK96" s="258">
        <v>300</v>
      </c>
      <c r="AL96" s="258">
        <v>300</v>
      </c>
      <c r="AM96" s="258">
        <v>300</v>
      </c>
      <c r="AN96" s="258">
        <v>300</v>
      </c>
      <c r="AO96" s="258">
        <v>300</v>
      </c>
      <c r="AP96" s="258">
        <v>300</v>
      </c>
      <c r="AQ96" s="258">
        <v>300</v>
      </c>
      <c r="AR96" s="258">
        <v>300</v>
      </c>
      <c r="AS96" s="258">
        <v>300</v>
      </c>
      <c r="AT96" s="258">
        <v>300</v>
      </c>
      <c r="AU96" s="258">
        <v>300</v>
      </c>
      <c r="AV96" s="258">
        <v>300</v>
      </c>
      <c r="AW96" s="258">
        <v>300</v>
      </c>
      <c r="AX96" s="258">
        <v>300</v>
      </c>
      <c r="AY96" s="258">
        <v>300</v>
      </c>
      <c r="AZ96" s="258">
        <v>300</v>
      </c>
      <c r="BA96" s="258">
        <v>300</v>
      </c>
      <c r="BB96" s="258">
        <v>300</v>
      </c>
      <c r="BC96" s="258">
        <v>300</v>
      </c>
      <c r="BD96" s="258">
        <v>300</v>
      </c>
      <c r="BE96" s="258">
        <v>300</v>
      </c>
      <c r="BF96" s="258">
        <v>300</v>
      </c>
      <c r="BG96" s="258">
        <v>300</v>
      </c>
      <c r="BH96" s="258">
        <v>300</v>
      </c>
      <c r="BI96" s="258">
        <v>300</v>
      </c>
      <c r="BJ96" s="258">
        <v>300</v>
      </c>
      <c r="BK96" s="258">
        <v>300</v>
      </c>
    </row>
    <row r="97" spans="1:63" s="407" customFormat="1" x14ac:dyDescent="0.35">
      <c r="A97" s="656" t="s">
        <v>455</v>
      </c>
      <c r="B97" s="224" t="s">
        <v>175</v>
      </c>
      <c r="C97" s="224"/>
      <c r="D97" s="258">
        <v>76.16805128205128</v>
      </c>
      <c r="E97" s="258">
        <v>117.92</v>
      </c>
      <c r="F97" s="258">
        <v>90.062746441750136</v>
      </c>
      <c r="G97" s="258">
        <v>80.525608801955983</v>
      </c>
      <c r="H97" s="258">
        <v>75.970882084095066</v>
      </c>
      <c r="I97" s="258">
        <v>102.65585145888595</v>
      </c>
      <c r="J97" s="258">
        <v>113.96303843807199</v>
      </c>
      <c r="K97" s="258">
        <v>138.10107975460124</v>
      </c>
      <c r="L97" s="258">
        <v>78.056338028169009</v>
      </c>
      <c r="M97" s="373">
        <v>125</v>
      </c>
      <c r="N97" s="373">
        <v>125</v>
      </c>
      <c r="O97" s="373">
        <v>125</v>
      </c>
      <c r="P97" s="373">
        <v>225</v>
      </c>
      <c r="Q97" s="373">
        <v>225</v>
      </c>
      <c r="R97" s="373">
        <v>225</v>
      </c>
      <c r="S97" s="373">
        <v>225</v>
      </c>
      <c r="T97" s="373">
        <v>225</v>
      </c>
      <c r="U97" s="373">
        <v>225</v>
      </c>
      <c r="V97" s="373">
        <v>225</v>
      </c>
      <c r="W97" s="373">
        <v>225</v>
      </c>
      <c r="X97" s="373">
        <v>225</v>
      </c>
      <c r="Y97" s="373">
        <v>225</v>
      </c>
      <c r="Z97" s="373">
        <v>225</v>
      </c>
      <c r="AA97" s="373">
        <v>225</v>
      </c>
      <c r="AB97" s="373">
        <v>225</v>
      </c>
      <c r="AC97" s="373">
        <v>225</v>
      </c>
      <c r="AD97" s="373">
        <v>225</v>
      </c>
      <c r="AE97" s="373">
        <v>225</v>
      </c>
      <c r="AF97" s="373">
        <v>225</v>
      </c>
      <c r="AG97" s="373">
        <v>225</v>
      </c>
      <c r="AH97" s="373">
        <v>225</v>
      </c>
      <c r="AI97" s="373">
        <v>225</v>
      </c>
      <c r="AJ97" s="373">
        <v>225</v>
      </c>
      <c r="AK97" s="373">
        <v>225</v>
      </c>
      <c r="AL97" s="373">
        <v>225</v>
      </c>
      <c r="AM97" s="373">
        <v>225</v>
      </c>
      <c r="AN97" s="373">
        <v>225</v>
      </c>
      <c r="AO97" s="373">
        <v>225</v>
      </c>
      <c r="AP97" s="373">
        <v>225</v>
      </c>
      <c r="AQ97" s="373">
        <v>225</v>
      </c>
      <c r="AR97" s="373">
        <v>225</v>
      </c>
      <c r="AS97" s="373">
        <v>225</v>
      </c>
      <c r="AT97" s="373">
        <v>225</v>
      </c>
      <c r="AU97" s="373">
        <v>225</v>
      </c>
      <c r="AV97" s="373">
        <v>225</v>
      </c>
      <c r="AW97" s="373">
        <v>225</v>
      </c>
      <c r="AX97" s="373">
        <v>225</v>
      </c>
      <c r="AY97" s="373">
        <v>225</v>
      </c>
      <c r="AZ97" s="373">
        <v>225</v>
      </c>
      <c r="BA97" s="373">
        <v>225</v>
      </c>
      <c r="BB97" s="373">
        <v>225</v>
      </c>
      <c r="BC97" s="373">
        <v>225</v>
      </c>
      <c r="BD97" s="373">
        <v>225</v>
      </c>
      <c r="BE97" s="373">
        <v>225</v>
      </c>
      <c r="BF97" s="373">
        <v>225</v>
      </c>
      <c r="BG97" s="373">
        <v>225</v>
      </c>
      <c r="BH97" s="373">
        <v>225</v>
      </c>
      <c r="BI97" s="373">
        <v>225</v>
      </c>
      <c r="BJ97" s="373">
        <v>225</v>
      </c>
      <c r="BK97" s="373">
        <v>225</v>
      </c>
    </row>
    <row r="98" spans="1:63" x14ac:dyDescent="0.35">
      <c r="A98" s="652" t="s">
        <v>496</v>
      </c>
      <c r="B98" t="s">
        <v>175</v>
      </c>
      <c r="D98" s="258">
        <v>76.16805128205128</v>
      </c>
      <c r="E98" s="258">
        <v>117.92</v>
      </c>
      <c r="F98" s="258">
        <v>90.062746441750136</v>
      </c>
      <c r="G98" s="258">
        <v>80.525608801955983</v>
      </c>
      <c r="H98" s="258">
        <v>75.970882084095066</v>
      </c>
      <c r="I98" s="258">
        <v>102.65585145888595</v>
      </c>
      <c r="J98" s="258">
        <v>113.96303843807199</v>
      </c>
      <c r="K98" s="258">
        <v>138.10107975460124</v>
      </c>
      <c r="L98" s="258">
        <v>78.056338028169009</v>
      </c>
      <c r="M98" s="373">
        <v>125</v>
      </c>
      <c r="N98" s="373">
        <v>125</v>
      </c>
      <c r="O98" s="373">
        <v>125</v>
      </c>
      <c r="P98" s="373">
        <v>250</v>
      </c>
      <c r="Q98" s="373">
        <v>250</v>
      </c>
      <c r="R98" s="373">
        <v>250</v>
      </c>
      <c r="S98" s="373">
        <v>250</v>
      </c>
      <c r="T98" s="373">
        <v>250</v>
      </c>
      <c r="U98" s="373">
        <v>250</v>
      </c>
      <c r="V98" s="373">
        <v>250</v>
      </c>
      <c r="W98" s="373">
        <v>250</v>
      </c>
      <c r="X98" s="373">
        <v>250</v>
      </c>
      <c r="Y98" s="373">
        <v>500</v>
      </c>
      <c r="Z98" s="373">
        <v>500</v>
      </c>
      <c r="AA98" s="373">
        <v>500</v>
      </c>
      <c r="AB98" s="373">
        <v>550</v>
      </c>
      <c r="AC98" s="373">
        <v>550</v>
      </c>
      <c r="AD98" s="373">
        <v>550</v>
      </c>
      <c r="AE98" s="373">
        <v>550</v>
      </c>
      <c r="AF98" s="373">
        <v>550</v>
      </c>
      <c r="AG98" s="373">
        <v>550</v>
      </c>
      <c r="AH98" s="373">
        <v>550</v>
      </c>
      <c r="AI98" s="373">
        <v>550</v>
      </c>
      <c r="AJ98" s="373">
        <v>550</v>
      </c>
      <c r="AK98" s="373">
        <v>550</v>
      </c>
      <c r="AL98" s="373">
        <v>550</v>
      </c>
      <c r="AM98" s="373">
        <v>550</v>
      </c>
      <c r="AN98" s="373">
        <v>550</v>
      </c>
      <c r="AO98" s="373">
        <v>550</v>
      </c>
      <c r="AP98" s="373">
        <v>550</v>
      </c>
      <c r="AQ98" s="373">
        <v>550</v>
      </c>
      <c r="AR98" s="373">
        <v>550</v>
      </c>
      <c r="AS98" s="373">
        <v>550</v>
      </c>
      <c r="AT98" s="373">
        <v>550</v>
      </c>
      <c r="AU98" s="373">
        <v>550</v>
      </c>
      <c r="AV98" s="373">
        <v>550</v>
      </c>
      <c r="AW98" s="373">
        <v>550</v>
      </c>
      <c r="AX98" s="373">
        <v>550</v>
      </c>
      <c r="AY98" s="373">
        <v>550</v>
      </c>
      <c r="AZ98" s="373">
        <v>550</v>
      </c>
      <c r="BA98" s="373">
        <v>550</v>
      </c>
      <c r="BB98" s="373">
        <v>550</v>
      </c>
      <c r="BC98" s="373">
        <v>550</v>
      </c>
      <c r="BD98" s="373">
        <v>550</v>
      </c>
      <c r="BE98" s="373">
        <v>550</v>
      </c>
      <c r="BF98" s="373">
        <v>550</v>
      </c>
      <c r="BG98" s="373">
        <v>550</v>
      </c>
      <c r="BH98" s="373">
        <v>550</v>
      </c>
      <c r="BI98" s="373">
        <v>550</v>
      </c>
      <c r="BJ98" s="373">
        <v>550</v>
      </c>
      <c r="BK98" s="373">
        <v>550</v>
      </c>
    </row>
    <row r="99" spans="1:63" x14ac:dyDescent="0.35">
      <c r="A99" s="656" t="s">
        <v>207</v>
      </c>
      <c r="B99" s="224" t="s">
        <v>175</v>
      </c>
      <c r="C99" s="224"/>
      <c r="D99" s="258">
        <v>76.16805128205128</v>
      </c>
      <c r="E99" s="258">
        <v>117.92</v>
      </c>
      <c r="F99" s="258">
        <v>90.062746441750136</v>
      </c>
      <c r="G99" s="258">
        <v>80.525608801955983</v>
      </c>
      <c r="H99" s="258">
        <v>75.970882084095066</v>
      </c>
      <c r="I99" s="258">
        <v>102.65585145888595</v>
      </c>
      <c r="J99" s="258">
        <v>113.96303843807199</v>
      </c>
      <c r="K99" s="258">
        <v>138.10107975460124</v>
      </c>
      <c r="L99" s="258">
        <v>78.056338028169009</v>
      </c>
      <c r="M99" s="373">
        <v>125</v>
      </c>
      <c r="N99" s="373">
        <v>125</v>
      </c>
      <c r="O99" s="373">
        <v>125</v>
      </c>
      <c r="P99" s="373">
        <v>500</v>
      </c>
      <c r="Q99" s="373">
        <v>500</v>
      </c>
      <c r="R99" s="373">
        <v>500</v>
      </c>
      <c r="S99" s="373">
        <v>500</v>
      </c>
      <c r="T99" s="373">
        <v>500</v>
      </c>
      <c r="U99" s="373">
        <v>500</v>
      </c>
      <c r="V99" s="373">
        <v>500</v>
      </c>
      <c r="W99" s="373">
        <v>500</v>
      </c>
      <c r="X99" s="373">
        <v>500</v>
      </c>
      <c r="Y99" s="373">
        <v>500</v>
      </c>
      <c r="Z99" s="373">
        <v>500</v>
      </c>
      <c r="AA99" s="373">
        <v>500</v>
      </c>
      <c r="AB99" s="373">
        <v>500</v>
      </c>
      <c r="AC99" s="373">
        <v>500</v>
      </c>
      <c r="AD99" s="373">
        <v>500</v>
      </c>
      <c r="AE99" s="373">
        <v>500</v>
      </c>
      <c r="AF99" s="373">
        <v>500</v>
      </c>
      <c r="AG99" s="373">
        <v>500</v>
      </c>
      <c r="AH99" s="373">
        <v>500</v>
      </c>
      <c r="AI99" s="373">
        <v>500</v>
      </c>
      <c r="AJ99" s="373">
        <v>500</v>
      </c>
      <c r="AK99" s="373">
        <v>500</v>
      </c>
      <c r="AL99" s="373">
        <v>500</v>
      </c>
      <c r="AM99" s="373">
        <v>500</v>
      </c>
      <c r="AN99" s="373">
        <v>500</v>
      </c>
      <c r="AO99" s="373">
        <v>500</v>
      </c>
      <c r="AP99" s="373">
        <v>500</v>
      </c>
      <c r="AQ99" s="373">
        <v>500</v>
      </c>
      <c r="AR99" s="373">
        <v>500</v>
      </c>
      <c r="AS99" s="373">
        <v>500</v>
      </c>
      <c r="AT99" s="373">
        <v>500</v>
      </c>
      <c r="AU99" s="373">
        <v>500</v>
      </c>
      <c r="AV99" s="373">
        <v>500</v>
      </c>
      <c r="AW99" s="373">
        <v>500</v>
      </c>
      <c r="AX99" s="373">
        <v>500</v>
      </c>
      <c r="AY99" s="373">
        <v>500</v>
      </c>
      <c r="AZ99" s="373">
        <v>500</v>
      </c>
      <c r="BA99" s="373">
        <v>500</v>
      </c>
      <c r="BB99" s="373">
        <v>500</v>
      </c>
      <c r="BC99" s="373">
        <v>500</v>
      </c>
      <c r="BD99" s="373">
        <v>500</v>
      </c>
      <c r="BE99" s="373">
        <v>500</v>
      </c>
      <c r="BF99" s="373">
        <v>500</v>
      </c>
      <c r="BG99" s="373">
        <v>500</v>
      </c>
      <c r="BH99" s="373">
        <v>500</v>
      </c>
      <c r="BI99" s="373">
        <v>500</v>
      </c>
      <c r="BJ99" s="373">
        <v>500</v>
      </c>
      <c r="BK99" s="373">
        <v>500</v>
      </c>
    </row>
    <row r="100" spans="1:63" s="407" customFormat="1" x14ac:dyDescent="0.35">
      <c r="A100" s="656"/>
      <c r="B100" s="224"/>
      <c r="C100" s="224"/>
      <c r="D100" s="258"/>
      <c r="E100" s="258"/>
      <c r="F100" s="258"/>
      <c r="G100" s="258"/>
      <c r="H100" s="258"/>
      <c r="I100" s="258"/>
      <c r="J100" s="258"/>
      <c r="K100" s="258"/>
      <c r="L100" s="258"/>
      <c r="M100" s="373"/>
      <c r="N100" s="373"/>
      <c r="O100" s="373"/>
      <c r="P100" s="373"/>
      <c r="Q100" s="373"/>
      <c r="R100" s="373"/>
      <c r="S100" s="373"/>
      <c r="T100" s="373"/>
      <c r="U100" s="373"/>
      <c r="V100" s="373"/>
      <c r="W100" s="373"/>
      <c r="X100" s="373"/>
      <c r="Y100" s="373"/>
      <c r="Z100" s="373"/>
      <c r="AA100" s="373"/>
      <c r="AB100" s="373"/>
      <c r="AC100" s="373"/>
      <c r="AD100" s="373"/>
      <c r="AE100" s="373"/>
      <c r="AF100" s="373"/>
      <c r="AG100" s="373"/>
      <c r="AH100" s="373"/>
      <c r="AI100" s="373"/>
      <c r="AJ100" s="373"/>
      <c r="AK100" s="373"/>
      <c r="AL100" s="373"/>
      <c r="AM100" s="373"/>
      <c r="AN100" s="373"/>
      <c r="AO100" s="373"/>
      <c r="AP100" s="373"/>
      <c r="AQ100" s="373"/>
      <c r="AR100" s="373"/>
      <c r="AS100" s="373"/>
      <c r="AT100" s="373"/>
      <c r="AU100" s="373"/>
      <c r="AV100" s="373"/>
      <c r="AW100" s="373"/>
      <c r="AX100" s="373"/>
      <c r="AY100" s="373"/>
      <c r="AZ100" s="373"/>
      <c r="BA100" s="373"/>
      <c r="BB100" s="373"/>
      <c r="BC100" s="373"/>
      <c r="BD100" s="373"/>
      <c r="BE100" s="373"/>
      <c r="BF100" s="373"/>
      <c r="BG100" s="373"/>
      <c r="BH100" s="373"/>
      <c r="BI100" s="373"/>
      <c r="BJ100" s="373"/>
      <c r="BK100" s="373"/>
    </row>
    <row r="101" spans="1:63" x14ac:dyDescent="0.35">
      <c r="A101" s="659"/>
      <c r="B101" s="224"/>
      <c r="C101" s="224"/>
      <c r="D101" s="224"/>
      <c r="E101" s="224"/>
      <c r="F101" s="224"/>
      <c r="G101" s="224"/>
      <c r="H101" s="294"/>
      <c r="I101" s="294"/>
      <c r="J101" s="294"/>
      <c r="K101" s="224"/>
      <c r="L101" s="224"/>
      <c r="M101" s="224"/>
      <c r="AN101" s="574"/>
      <c r="AO101" s="574"/>
      <c r="AP101" s="574"/>
      <c r="AQ101" s="574"/>
      <c r="AR101" s="574"/>
      <c r="AS101" s="574"/>
      <c r="AT101" s="574"/>
      <c r="AU101" s="574"/>
      <c r="AV101" s="574"/>
      <c r="AW101" s="574"/>
      <c r="AX101" s="574"/>
      <c r="AY101" s="574"/>
      <c r="AZ101" s="574"/>
      <c r="BA101" s="574"/>
      <c r="BB101" s="574"/>
      <c r="BC101" s="574"/>
      <c r="BD101" s="574"/>
      <c r="BE101" s="574"/>
      <c r="BF101" s="574"/>
      <c r="BG101" s="574"/>
      <c r="BH101" s="574"/>
      <c r="BI101" s="574"/>
      <c r="BJ101" s="574"/>
      <c r="BK101" s="574"/>
    </row>
    <row r="102" spans="1:63" x14ac:dyDescent="0.35">
      <c r="A102" s="652" t="s">
        <v>496</v>
      </c>
      <c r="B102" s="421" t="s">
        <v>449</v>
      </c>
      <c r="C102" s="421"/>
      <c r="D102" s="424">
        <v>66955.239999999991</v>
      </c>
      <c r="E102" s="424">
        <v>117273.04000000001</v>
      </c>
      <c r="F102" s="424">
        <v>111961.93</v>
      </c>
      <c r="G102" s="424">
        <v>140068.5</v>
      </c>
      <c r="H102" s="424">
        <v>96064.320000000007</v>
      </c>
      <c r="I102" s="424">
        <v>100778.07</v>
      </c>
      <c r="J102" s="424">
        <v>97579.95</v>
      </c>
      <c r="K102" s="424">
        <v>97200.08</v>
      </c>
      <c r="L102" s="424">
        <v>116000</v>
      </c>
      <c r="M102" s="424">
        <f>40000+67163+17388</f>
        <v>124551</v>
      </c>
      <c r="N102" s="423">
        <v>150000</v>
      </c>
      <c r="O102" s="423">
        <v>50000</v>
      </c>
      <c r="P102" s="423">
        <f>P104</f>
        <v>200000</v>
      </c>
      <c r="Q102" s="423">
        <v>300000</v>
      </c>
      <c r="R102" s="423">
        <v>500000</v>
      </c>
      <c r="S102" s="423">
        <f>S103*200%</f>
        <v>1400000</v>
      </c>
      <c r="T102" s="423">
        <f t="shared" ref="T102:X102" si="58">T103*200%</f>
        <v>1400000</v>
      </c>
      <c r="U102" s="423">
        <f t="shared" si="58"/>
        <v>1400000</v>
      </c>
      <c r="V102" s="423">
        <f t="shared" si="58"/>
        <v>1400000</v>
      </c>
      <c r="W102" s="423">
        <f t="shared" si="58"/>
        <v>1400000</v>
      </c>
      <c r="X102" s="423">
        <f t="shared" si="58"/>
        <v>1400000</v>
      </c>
      <c r="Y102" s="423">
        <v>600000</v>
      </c>
      <c r="Z102" s="423">
        <v>600000</v>
      </c>
      <c r="AA102" s="423">
        <v>600000</v>
      </c>
      <c r="AB102" s="423">
        <v>600000</v>
      </c>
      <c r="AC102" s="423">
        <v>600000</v>
      </c>
      <c r="AD102" s="423">
        <v>600000</v>
      </c>
      <c r="AE102" s="423">
        <v>600000</v>
      </c>
      <c r="AF102" s="423">
        <v>600000</v>
      </c>
      <c r="AG102" s="423">
        <v>600000</v>
      </c>
      <c r="AH102" s="423">
        <v>600000</v>
      </c>
      <c r="AI102" s="423">
        <v>600000</v>
      </c>
      <c r="AJ102" s="423">
        <v>600000</v>
      </c>
      <c r="AK102" s="423">
        <v>600000</v>
      </c>
      <c r="AL102" s="423">
        <v>600000</v>
      </c>
      <c r="AM102" s="423">
        <v>600000</v>
      </c>
      <c r="AN102" s="423">
        <v>600000</v>
      </c>
      <c r="AO102" s="423">
        <v>600000</v>
      </c>
      <c r="AP102" s="423">
        <v>600000</v>
      </c>
      <c r="AQ102" s="423">
        <v>600000</v>
      </c>
      <c r="AR102" s="423">
        <v>600000</v>
      </c>
      <c r="AS102" s="423">
        <v>600000</v>
      </c>
      <c r="AT102" s="423">
        <v>600000</v>
      </c>
      <c r="AU102" s="423">
        <v>600000</v>
      </c>
      <c r="AV102" s="423">
        <v>600000</v>
      </c>
      <c r="AW102" s="423">
        <v>600000</v>
      </c>
      <c r="AX102" s="423">
        <v>600000</v>
      </c>
      <c r="AY102" s="423">
        <v>600000</v>
      </c>
      <c r="AZ102" s="423">
        <v>600000</v>
      </c>
      <c r="BA102" s="423">
        <v>600000</v>
      </c>
      <c r="BB102" s="423">
        <v>600000</v>
      </c>
      <c r="BC102" s="423">
        <v>600000</v>
      </c>
      <c r="BD102" s="423">
        <v>600000</v>
      </c>
      <c r="BE102" s="423">
        <v>600000</v>
      </c>
      <c r="BF102" s="423">
        <v>600000</v>
      </c>
      <c r="BG102" s="423">
        <v>600000</v>
      </c>
      <c r="BH102" s="423">
        <v>600000</v>
      </c>
      <c r="BI102" s="423">
        <v>600000</v>
      </c>
      <c r="BJ102" s="423">
        <v>600000</v>
      </c>
      <c r="BK102" s="423">
        <v>600000</v>
      </c>
    </row>
    <row r="103" spans="1:63" s="407" customFormat="1" x14ac:dyDescent="0.35">
      <c r="A103" s="652" t="s">
        <v>446</v>
      </c>
      <c r="B103" s="421" t="s">
        <v>449</v>
      </c>
      <c r="C103" s="421"/>
      <c r="D103" s="424">
        <v>66955.239999999991</v>
      </c>
      <c r="E103" s="424">
        <v>117273.04000000001</v>
      </c>
      <c r="F103" s="424">
        <v>111961.93</v>
      </c>
      <c r="G103" s="424">
        <v>140068.5</v>
      </c>
      <c r="H103" s="424">
        <v>96064.320000000007</v>
      </c>
      <c r="I103" s="424">
        <v>100778.07</v>
      </c>
      <c r="J103" s="424">
        <v>97579.95</v>
      </c>
      <c r="K103" s="424">
        <v>97200.08</v>
      </c>
      <c r="L103" s="424">
        <v>116000</v>
      </c>
      <c r="M103" s="424">
        <f t="shared" ref="M103:M106" si="59">40000+67163+17388</f>
        <v>124551</v>
      </c>
      <c r="N103" s="423">
        <v>150000</v>
      </c>
      <c r="O103" s="423">
        <v>50000</v>
      </c>
      <c r="P103" s="423">
        <v>200000</v>
      </c>
      <c r="Q103" s="423">
        <v>300000</v>
      </c>
      <c r="R103" s="423">
        <v>500000</v>
      </c>
      <c r="S103" s="423">
        <v>700000</v>
      </c>
      <c r="T103" s="423">
        <v>700000</v>
      </c>
      <c r="U103" s="423">
        <v>700000</v>
      </c>
      <c r="V103" s="423">
        <v>700000</v>
      </c>
      <c r="W103" s="423">
        <v>700000</v>
      </c>
      <c r="X103" s="423">
        <v>700000</v>
      </c>
      <c r="Y103" s="423">
        <v>600000</v>
      </c>
      <c r="Z103" s="423">
        <v>600000</v>
      </c>
      <c r="AA103" s="423">
        <v>600000</v>
      </c>
      <c r="AB103" s="423">
        <v>800000</v>
      </c>
      <c r="AC103" s="423">
        <v>800000</v>
      </c>
      <c r="AD103" s="423">
        <v>800000</v>
      </c>
      <c r="AE103" s="423">
        <v>1000000</v>
      </c>
      <c r="AF103" s="423">
        <v>1000000</v>
      </c>
      <c r="AG103" s="423">
        <v>1000000</v>
      </c>
      <c r="AH103" s="423">
        <v>1000000</v>
      </c>
      <c r="AI103" s="423">
        <v>1000000</v>
      </c>
      <c r="AJ103" s="423">
        <v>1000000</v>
      </c>
      <c r="AK103" s="423">
        <v>800000</v>
      </c>
      <c r="AL103" s="423">
        <v>800000</v>
      </c>
      <c r="AM103" s="423">
        <v>800000</v>
      </c>
      <c r="AN103" s="423">
        <v>700000</v>
      </c>
      <c r="AO103" s="423">
        <v>640000</v>
      </c>
      <c r="AP103" s="423">
        <v>580000</v>
      </c>
      <c r="AQ103" s="423">
        <v>520000</v>
      </c>
      <c r="AR103" s="423">
        <v>460000</v>
      </c>
      <c r="AS103" s="423">
        <v>400000</v>
      </c>
      <c r="AT103" s="423">
        <v>340000</v>
      </c>
      <c r="AU103" s="423">
        <v>280000</v>
      </c>
      <c r="AV103" s="423">
        <v>220000</v>
      </c>
      <c r="AW103" s="423">
        <v>160000</v>
      </c>
      <c r="AX103" s="423">
        <v>100000</v>
      </c>
      <c r="AY103" s="423">
        <v>40000</v>
      </c>
      <c r="AZ103" s="423">
        <v>-20000</v>
      </c>
      <c r="BA103" s="423">
        <v>-80000</v>
      </c>
      <c r="BB103" s="423">
        <v>-140000</v>
      </c>
      <c r="BC103" s="423">
        <v>-200000</v>
      </c>
      <c r="BD103" s="423">
        <v>-260000</v>
      </c>
      <c r="BE103" s="423">
        <v>-320000</v>
      </c>
      <c r="BF103" s="423">
        <v>-380000</v>
      </c>
      <c r="BG103" s="423">
        <v>-440000</v>
      </c>
      <c r="BH103" s="423">
        <v>-500000</v>
      </c>
      <c r="BI103" s="423">
        <v>-560000</v>
      </c>
      <c r="BJ103" s="423">
        <v>-620000</v>
      </c>
      <c r="BK103" s="423">
        <v>-680000</v>
      </c>
    </row>
    <row r="104" spans="1:63" ht="15.5" x14ac:dyDescent="0.35">
      <c r="A104" s="658" t="s">
        <v>455</v>
      </c>
      <c r="B104" s="421" t="s">
        <v>449</v>
      </c>
      <c r="C104" s="421"/>
      <c r="D104" s="424">
        <v>66955.239999999991</v>
      </c>
      <c r="E104" s="424">
        <v>117273.04000000001</v>
      </c>
      <c r="F104" s="424">
        <v>111961.93</v>
      </c>
      <c r="G104" s="424">
        <v>140068.5</v>
      </c>
      <c r="H104" s="424">
        <v>96064.320000000007</v>
      </c>
      <c r="I104" s="424">
        <v>100778.07</v>
      </c>
      <c r="J104" s="424">
        <v>97579.95</v>
      </c>
      <c r="K104" s="424">
        <v>97200.08</v>
      </c>
      <c r="L104" s="424">
        <v>116000</v>
      </c>
      <c r="M104" s="424">
        <f t="shared" si="59"/>
        <v>124551</v>
      </c>
      <c r="N104" s="423">
        <v>150000</v>
      </c>
      <c r="O104" s="423">
        <v>50000</v>
      </c>
      <c r="P104" s="423">
        <v>200000</v>
      </c>
      <c r="Q104" s="423">
        <v>200000</v>
      </c>
      <c r="R104" s="423">
        <v>300000</v>
      </c>
      <c r="S104" s="423">
        <v>350000</v>
      </c>
      <c r="T104" s="423">
        <v>350000</v>
      </c>
      <c r="U104" s="423">
        <v>350000</v>
      </c>
      <c r="V104" s="423">
        <v>350000</v>
      </c>
      <c r="W104" s="423">
        <v>350000</v>
      </c>
      <c r="X104" s="423">
        <v>350000</v>
      </c>
      <c r="Y104" s="423">
        <v>300000</v>
      </c>
      <c r="Z104" s="423">
        <v>300000</v>
      </c>
      <c r="AA104" s="423">
        <v>300000</v>
      </c>
      <c r="AB104" s="423">
        <v>400000</v>
      </c>
      <c r="AC104" s="423">
        <v>400000</v>
      </c>
      <c r="AD104" s="423">
        <v>400000</v>
      </c>
      <c r="AE104" s="423">
        <v>500000</v>
      </c>
      <c r="AF104" s="423">
        <v>500000</v>
      </c>
      <c r="AG104" s="423">
        <v>500000</v>
      </c>
      <c r="AH104" s="423">
        <v>500000</v>
      </c>
      <c r="AI104" s="423">
        <v>500000</v>
      </c>
      <c r="AJ104" s="423">
        <v>500000</v>
      </c>
      <c r="AK104" s="423">
        <v>400000</v>
      </c>
      <c r="AL104" s="423">
        <v>400000</v>
      </c>
      <c r="AM104" s="423">
        <v>400000</v>
      </c>
      <c r="AN104" s="423">
        <v>350000</v>
      </c>
      <c r="AO104" s="423">
        <v>320000</v>
      </c>
      <c r="AP104" s="423">
        <v>290000</v>
      </c>
      <c r="AQ104" s="423">
        <v>260000</v>
      </c>
      <c r="AR104" s="423">
        <v>230000</v>
      </c>
      <c r="AS104" s="423">
        <v>200000</v>
      </c>
      <c r="AT104" s="423">
        <v>170000</v>
      </c>
      <c r="AU104" s="423">
        <v>140000</v>
      </c>
      <c r="AV104" s="423">
        <v>110000</v>
      </c>
      <c r="AW104" s="423">
        <v>80000</v>
      </c>
      <c r="AX104" s="423">
        <v>50000</v>
      </c>
      <c r="AY104" s="423">
        <v>20000</v>
      </c>
      <c r="AZ104" s="423">
        <v>-10000</v>
      </c>
      <c r="BA104" s="423">
        <v>-40000</v>
      </c>
      <c r="BB104" s="423">
        <v>-70000.000000000102</v>
      </c>
      <c r="BC104" s="423">
        <v>-100000</v>
      </c>
      <c r="BD104" s="423">
        <v>-130000</v>
      </c>
      <c r="BE104" s="423">
        <v>-160000</v>
      </c>
      <c r="BF104" s="423">
        <v>-190000</v>
      </c>
      <c r="BG104" s="423">
        <v>-220000</v>
      </c>
      <c r="BH104" s="423">
        <v>-250000</v>
      </c>
      <c r="BI104" s="423">
        <v>-280000</v>
      </c>
      <c r="BJ104" s="423">
        <v>-310000</v>
      </c>
      <c r="BK104" s="423">
        <v>-340000</v>
      </c>
    </row>
    <row r="105" spans="1:63" x14ac:dyDescent="0.35">
      <c r="A105" s="656" t="s">
        <v>448</v>
      </c>
      <c r="B105" s="421" t="s">
        <v>449</v>
      </c>
      <c r="C105" s="421"/>
      <c r="D105" s="424">
        <v>66955.239999999991</v>
      </c>
      <c r="E105" s="424">
        <v>117273.04000000001</v>
      </c>
      <c r="F105" s="424">
        <v>111961.93</v>
      </c>
      <c r="G105" s="424">
        <v>140068.5</v>
      </c>
      <c r="H105" s="424">
        <v>96064.320000000007</v>
      </c>
      <c r="I105" s="424">
        <v>100778.07</v>
      </c>
      <c r="J105" s="424">
        <v>97579.95</v>
      </c>
      <c r="K105" s="424">
        <v>97200.08</v>
      </c>
      <c r="L105" s="424">
        <v>116000</v>
      </c>
      <c r="M105" s="424">
        <f t="shared" si="59"/>
        <v>124551</v>
      </c>
      <c r="N105" s="424">
        <v>150000</v>
      </c>
      <c r="O105" s="424">
        <v>50000</v>
      </c>
      <c r="P105" s="424">
        <v>150000</v>
      </c>
      <c r="Q105" s="424">
        <v>150000</v>
      </c>
      <c r="R105" s="424">
        <v>150000</v>
      </c>
      <c r="S105" s="424">
        <v>150000</v>
      </c>
      <c r="T105" s="424">
        <v>150000</v>
      </c>
      <c r="U105" s="424">
        <v>150000</v>
      </c>
      <c r="V105" s="424">
        <v>150000</v>
      </c>
      <c r="W105" s="424">
        <v>150000</v>
      </c>
      <c r="X105" s="424">
        <v>300000</v>
      </c>
      <c r="Y105" s="424">
        <v>300000</v>
      </c>
      <c r="Z105" s="424">
        <v>300000</v>
      </c>
      <c r="AA105" s="424">
        <v>300000</v>
      </c>
      <c r="AB105" s="424">
        <v>300000</v>
      </c>
      <c r="AC105" s="424">
        <v>300000</v>
      </c>
      <c r="AD105" s="424">
        <v>300000</v>
      </c>
      <c r="AE105" s="424">
        <v>300000</v>
      </c>
      <c r="AF105" s="424">
        <v>300000</v>
      </c>
      <c r="AG105" s="424">
        <v>300000</v>
      </c>
      <c r="AH105" s="424">
        <v>300000</v>
      </c>
      <c r="AI105" s="424">
        <v>300000</v>
      </c>
      <c r="AJ105" s="424">
        <v>300000</v>
      </c>
      <c r="AK105" s="424">
        <v>300000</v>
      </c>
      <c r="AL105" s="424">
        <v>300000</v>
      </c>
      <c r="AM105" s="424">
        <v>300000</v>
      </c>
      <c r="AN105" s="424">
        <v>300000</v>
      </c>
      <c r="AO105" s="424">
        <v>300000</v>
      </c>
      <c r="AP105" s="424">
        <v>300000</v>
      </c>
      <c r="AQ105" s="424">
        <v>300000</v>
      </c>
      <c r="AR105" s="424">
        <v>300000</v>
      </c>
      <c r="AS105" s="424">
        <v>300000</v>
      </c>
      <c r="AT105" s="424">
        <v>300000</v>
      </c>
      <c r="AU105" s="424">
        <v>300000</v>
      </c>
      <c r="AV105" s="424">
        <v>300000</v>
      </c>
      <c r="AW105" s="424">
        <v>300000</v>
      </c>
      <c r="AX105" s="424">
        <v>300000</v>
      </c>
      <c r="AY105" s="424">
        <v>300000</v>
      </c>
      <c r="AZ105" s="424">
        <v>300000</v>
      </c>
      <c r="BA105" s="424">
        <v>300000</v>
      </c>
      <c r="BB105" s="424">
        <v>300000</v>
      </c>
      <c r="BC105" s="424">
        <v>300000</v>
      </c>
      <c r="BD105" s="424">
        <v>300000</v>
      </c>
      <c r="BE105" s="424">
        <v>300000</v>
      </c>
      <c r="BF105" s="424">
        <v>300000</v>
      </c>
      <c r="BG105" s="424">
        <v>300000</v>
      </c>
      <c r="BH105" s="424">
        <v>300000</v>
      </c>
      <c r="BI105" s="424">
        <v>300000</v>
      </c>
      <c r="BJ105" s="424">
        <v>300000</v>
      </c>
      <c r="BK105" s="424">
        <v>300000</v>
      </c>
    </row>
    <row r="106" spans="1:63" x14ac:dyDescent="0.35">
      <c r="A106" s="656" t="s">
        <v>447</v>
      </c>
      <c r="B106" s="421" t="s">
        <v>449</v>
      </c>
      <c r="C106" s="421"/>
      <c r="D106" s="424">
        <v>66955.239999999991</v>
      </c>
      <c r="E106" s="424">
        <v>117273.04000000001</v>
      </c>
      <c r="F106" s="424">
        <v>111961.93</v>
      </c>
      <c r="G106" s="424">
        <v>140068.5</v>
      </c>
      <c r="H106" s="424">
        <v>96064.320000000007</v>
      </c>
      <c r="I106" s="424">
        <v>100778.07</v>
      </c>
      <c r="J106" s="424">
        <v>97579.95</v>
      </c>
      <c r="K106" s="424">
        <v>97200.08</v>
      </c>
      <c r="L106" s="424">
        <v>116000</v>
      </c>
      <c r="M106" s="424">
        <f t="shared" si="59"/>
        <v>124551</v>
      </c>
      <c r="N106" s="423">
        <v>150000</v>
      </c>
      <c r="O106" s="423">
        <v>50000</v>
      </c>
      <c r="P106" s="423">
        <v>150000</v>
      </c>
      <c r="Q106" s="423">
        <v>150000</v>
      </c>
      <c r="R106" s="423">
        <v>150000</v>
      </c>
      <c r="S106" s="423">
        <v>150000</v>
      </c>
      <c r="T106" s="423">
        <v>150000</v>
      </c>
      <c r="U106" s="423">
        <v>150000</v>
      </c>
      <c r="V106" s="423">
        <v>150000</v>
      </c>
      <c r="W106" s="423">
        <v>150000</v>
      </c>
      <c r="X106" s="423">
        <v>150000</v>
      </c>
      <c r="Y106" s="423">
        <v>150000</v>
      </c>
      <c r="Z106" s="423">
        <v>150000</v>
      </c>
      <c r="AA106" s="423">
        <v>150000</v>
      </c>
      <c r="AB106" s="423">
        <v>150000</v>
      </c>
      <c r="AC106" s="423">
        <v>150000</v>
      </c>
      <c r="AD106" s="423">
        <v>150000</v>
      </c>
      <c r="AE106" s="423">
        <v>150000</v>
      </c>
      <c r="AF106" s="423">
        <v>150000</v>
      </c>
      <c r="AG106" s="423">
        <v>150000</v>
      </c>
      <c r="AH106" s="423">
        <v>150000</v>
      </c>
      <c r="AI106" s="423">
        <v>150000</v>
      </c>
      <c r="AJ106" s="423">
        <v>150000</v>
      </c>
      <c r="AK106" s="423">
        <v>150000</v>
      </c>
      <c r="AL106" s="423">
        <v>150000</v>
      </c>
      <c r="AM106" s="423">
        <v>150000</v>
      </c>
      <c r="AN106" s="423">
        <v>150000</v>
      </c>
      <c r="AO106" s="423">
        <v>150000</v>
      </c>
      <c r="AP106" s="423">
        <v>150000</v>
      </c>
      <c r="AQ106" s="423">
        <v>150000</v>
      </c>
      <c r="AR106" s="423">
        <v>150000</v>
      </c>
      <c r="AS106" s="423">
        <v>150000</v>
      </c>
      <c r="AT106" s="423">
        <v>150000</v>
      </c>
      <c r="AU106" s="423">
        <v>150000</v>
      </c>
      <c r="AV106" s="423">
        <v>150000</v>
      </c>
      <c r="AW106" s="423">
        <v>150000</v>
      </c>
      <c r="AX106" s="423">
        <v>150000</v>
      </c>
      <c r="AY106" s="423">
        <v>150000</v>
      </c>
      <c r="AZ106" s="423">
        <v>150000</v>
      </c>
      <c r="BA106" s="423">
        <v>150000</v>
      </c>
      <c r="BB106" s="423">
        <v>150000</v>
      </c>
      <c r="BC106" s="423">
        <v>150000</v>
      </c>
      <c r="BD106" s="423">
        <v>150000</v>
      </c>
      <c r="BE106" s="423">
        <v>150000</v>
      </c>
      <c r="BF106" s="423">
        <v>150000</v>
      </c>
      <c r="BG106" s="423">
        <v>150000</v>
      </c>
      <c r="BH106" s="423">
        <v>150000</v>
      </c>
      <c r="BI106" s="423">
        <v>150000</v>
      </c>
      <c r="BJ106" s="423">
        <v>150000</v>
      </c>
      <c r="BK106" s="423">
        <v>150000</v>
      </c>
    </row>
    <row r="107" spans="1:63" x14ac:dyDescent="0.35">
      <c r="A107" s="224"/>
      <c r="B107" s="224"/>
      <c r="C107" s="224"/>
      <c r="D107" s="224"/>
      <c r="E107" s="224"/>
      <c r="F107" s="224"/>
      <c r="G107" s="224"/>
      <c r="H107" s="224"/>
      <c r="I107" s="224"/>
      <c r="J107" s="224"/>
      <c r="K107" s="224"/>
      <c r="L107" s="224"/>
      <c r="M107" s="224"/>
      <c r="AN107" s="574"/>
      <c r="AO107" s="574"/>
      <c r="AP107" s="574"/>
      <c r="AQ107" s="574"/>
      <c r="AR107" s="574"/>
      <c r="AS107" s="574"/>
      <c r="AT107" s="574"/>
      <c r="AU107" s="574"/>
      <c r="AV107" s="574"/>
      <c r="AW107" s="574"/>
      <c r="AX107" s="574"/>
      <c r="AY107" s="574"/>
      <c r="AZ107" s="574"/>
      <c r="BA107" s="574"/>
      <c r="BB107" s="574"/>
      <c r="BC107" s="574"/>
      <c r="BD107" s="574"/>
      <c r="BE107" s="574"/>
      <c r="BF107" s="574"/>
      <c r="BG107" s="574"/>
      <c r="BH107" s="574"/>
      <c r="BI107" s="574"/>
      <c r="BJ107" s="574"/>
      <c r="BK107" s="574"/>
    </row>
    <row r="108" spans="1:63" x14ac:dyDescent="0.35">
      <c r="A108" s="30" t="s">
        <v>496</v>
      </c>
      <c r="B108" s="421" t="s">
        <v>479</v>
      </c>
      <c r="C108" s="224"/>
      <c r="D108" s="224"/>
      <c r="E108" s="224"/>
      <c r="F108" s="224"/>
      <c r="G108" s="224"/>
      <c r="H108" s="296"/>
      <c r="I108" s="296"/>
      <c r="J108" s="296"/>
      <c r="K108" s="224"/>
      <c r="L108" s="224"/>
      <c r="M108" s="224"/>
      <c r="P108" s="423">
        <v>59</v>
      </c>
      <c r="Q108" s="423">
        <v>59</v>
      </c>
      <c r="R108" s="423">
        <v>59</v>
      </c>
      <c r="S108" s="423">
        <v>59</v>
      </c>
      <c r="T108" s="423">
        <v>59</v>
      </c>
      <c r="U108" s="423">
        <v>59</v>
      </c>
      <c r="V108" s="423">
        <v>59</v>
      </c>
      <c r="W108" s="423">
        <v>59</v>
      </c>
      <c r="X108" s="423">
        <v>59</v>
      </c>
      <c r="Y108" s="423">
        <v>59</v>
      </c>
      <c r="Z108" s="423">
        <v>59</v>
      </c>
      <c r="AA108" s="423">
        <v>59</v>
      </c>
      <c r="AB108" s="423">
        <v>59</v>
      </c>
      <c r="AC108" s="423">
        <v>59</v>
      </c>
      <c r="AD108" s="423">
        <v>59</v>
      </c>
      <c r="AE108" s="423">
        <v>59</v>
      </c>
      <c r="AF108" s="423">
        <v>59</v>
      </c>
      <c r="AG108" s="423">
        <v>59</v>
      </c>
      <c r="AH108" s="423">
        <v>59</v>
      </c>
      <c r="AI108" s="423">
        <v>59</v>
      </c>
      <c r="AJ108" s="423">
        <v>59</v>
      </c>
      <c r="AK108" s="423">
        <v>59</v>
      </c>
      <c r="AL108" s="423">
        <v>59</v>
      </c>
      <c r="AM108" s="423">
        <v>59</v>
      </c>
      <c r="AN108" s="423">
        <v>59</v>
      </c>
      <c r="AO108" s="423">
        <v>59</v>
      </c>
      <c r="AP108" s="423">
        <v>59</v>
      </c>
      <c r="AQ108" s="423">
        <v>59</v>
      </c>
      <c r="AR108" s="423">
        <v>59</v>
      </c>
      <c r="AS108" s="423">
        <v>59</v>
      </c>
      <c r="AT108" s="423">
        <v>59</v>
      </c>
      <c r="AU108" s="423">
        <v>59</v>
      </c>
      <c r="AV108" s="423">
        <v>59</v>
      </c>
      <c r="AW108" s="423">
        <v>59</v>
      </c>
      <c r="AX108" s="423">
        <v>59</v>
      </c>
      <c r="AY108" s="423">
        <v>59</v>
      </c>
      <c r="AZ108" s="423">
        <v>59</v>
      </c>
      <c r="BA108" s="423">
        <v>59</v>
      </c>
      <c r="BB108" s="423">
        <v>59</v>
      </c>
      <c r="BC108" s="423">
        <v>59</v>
      </c>
      <c r="BD108" s="423">
        <v>59</v>
      </c>
      <c r="BE108" s="423">
        <v>59</v>
      </c>
      <c r="BF108" s="423">
        <v>59</v>
      </c>
      <c r="BG108" s="423">
        <v>59</v>
      </c>
      <c r="BH108" s="423">
        <v>59</v>
      </c>
      <c r="BI108" s="423">
        <v>59</v>
      </c>
      <c r="BJ108" s="423">
        <v>59</v>
      </c>
      <c r="BK108" s="423">
        <v>59</v>
      </c>
    </row>
    <row r="109" spans="1:63" x14ac:dyDescent="0.35">
      <c r="A109" s="30" t="s">
        <v>446</v>
      </c>
      <c r="B109" s="421" t="s">
        <v>479</v>
      </c>
      <c r="C109" s="224"/>
      <c r="D109" s="224"/>
      <c r="E109" s="224"/>
      <c r="F109" s="224"/>
      <c r="G109" s="224"/>
      <c r="H109" s="296"/>
      <c r="I109" s="296"/>
      <c r="J109" s="296"/>
      <c r="K109" s="224"/>
      <c r="L109" s="224"/>
      <c r="M109" s="224"/>
      <c r="P109" s="423">
        <v>80</v>
      </c>
      <c r="Q109" s="423">
        <v>80</v>
      </c>
      <c r="R109" s="423">
        <v>80</v>
      </c>
      <c r="S109" s="423">
        <v>80</v>
      </c>
      <c r="T109" s="423">
        <v>80</v>
      </c>
      <c r="U109" s="423">
        <v>80</v>
      </c>
      <c r="V109" s="423">
        <v>80</v>
      </c>
      <c r="W109" s="423">
        <v>80</v>
      </c>
      <c r="X109" s="423">
        <v>80</v>
      </c>
      <c r="Y109" s="423">
        <v>80</v>
      </c>
      <c r="Z109" s="423">
        <v>80</v>
      </c>
      <c r="AA109" s="423">
        <v>80</v>
      </c>
      <c r="AB109" s="423">
        <v>80</v>
      </c>
      <c r="AC109" s="423">
        <v>80</v>
      </c>
      <c r="AD109" s="423">
        <v>80</v>
      </c>
      <c r="AE109" s="423">
        <v>80</v>
      </c>
      <c r="AF109" s="423">
        <v>80</v>
      </c>
      <c r="AG109" s="423">
        <v>80</v>
      </c>
      <c r="AH109" s="423">
        <v>80</v>
      </c>
      <c r="AI109" s="423">
        <v>80</v>
      </c>
      <c r="AJ109" s="423">
        <v>80</v>
      </c>
      <c r="AK109" s="423">
        <v>80</v>
      </c>
      <c r="AL109" s="423">
        <v>80</v>
      </c>
      <c r="AM109" s="423">
        <v>80</v>
      </c>
      <c r="AN109" s="423">
        <v>80</v>
      </c>
      <c r="AO109" s="423">
        <v>80</v>
      </c>
      <c r="AP109" s="423">
        <v>80</v>
      </c>
      <c r="AQ109" s="423">
        <v>80</v>
      </c>
      <c r="AR109" s="423">
        <v>80</v>
      </c>
      <c r="AS109" s="423">
        <v>80</v>
      </c>
      <c r="AT109" s="423">
        <v>80</v>
      </c>
      <c r="AU109" s="423">
        <v>80</v>
      </c>
      <c r="AV109" s="423">
        <v>80</v>
      </c>
      <c r="AW109" s="423">
        <v>80</v>
      </c>
      <c r="AX109" s="423">
        <v>80</v>
      </c>
      <c r="AY109" s="423">
        <v>80</v>
      </c>
      <c r="AZ109" s="423">
        <v>80</v>
      </c>
      <c r="BA109" s="423">
        <v>80</v>
      </c>
      <c r="BB109" s="423">
        <v>80</v>
      </c>
      <c r="BC109" s="423">
        <v>80</v>
      </c>
      <c r="BD109" s="423">
        <v>80</v>
      </c>
      <c r="BE109" s="423">
        <v>80</v>
      </c>
      <c r="BF109" s="423">
        <v>80</v>
      </c>
      <c r="BG109" s="423">
        <v>80</v>
      </c>
      <c r="BH109" s="423">
        <v>80</v>
      </c>
      <c r="BI109" s="423">
        <v>80</v>
      </c>
      <c r="BJ109" s="423">
        <v>80</v>
      </c>
      <c r="BK109" s="423">
        <v>80</v>
      </c>
    </row>
    <row r="110" spans="1:63" ht="15.5" x14ac:dyDescent="0.35">
      <c r="A110" s="282" t="s">
        <v>455</v>
      </c>
      <c r="B110" s="421" t="s">
        <v>479</v>
      </c>
      <c r="C110" s="224"/>
      <c r="D110" s="224"/>
      <c r="E110" s="224"/>
      <c r="F110" s="224"/>
      <c r="G110" s="224"/>
      <c r="H110" s="296"/>
      <c r="I110" s="296"/>
      <c r="J110" s="296"/>
      <c r="K110" s="224"/>
      <c r="L110" s="224"/>
      <c r="M110" s="224"/>
      <c r="P110" s="423">
        <v>77</v>
      </c>
      <c r="Q110" s="423">
        <v>77</v>
      </c>
      <c r="R110" s="423">
        <v>77</v>
      </c>
      <c r="S110" s="423">
        <v>77</v>
      </c>
      <c r="T110" s="423">
        <v>77</v>
      </c>
      <c r="U110" s="423">
        <v>77</v>
      </c>
      <c r="V110" s="423">
        <v>77</v>
      </c>
      <c r="W110" s="423">
        <v>77</v>
      </c>
      <c r="X110" s="423">
        <v>77</v>
      </c>
      <c r="Y110" s="423">
        <v>77</v>
      </c>
      <c r="Z110" s="423">
        <v>77</v>
      </c>
      <c r="AA110" s="423">
        <v>77</v>
      </c>
      <c r="AB110" s="423">
        <v>77</v>
      </c>
      <c r="AC110" s="423">
        <v>77</v>
      </c>
      <c r="AD110" s="423">
        <v>77</v>
      </c>
      <c r="AE110" s="423">
        <v>77</v>
      </c>
      <c r="AF110" s="423">
        <v>77</v>
      </c>
      <c r="AG110" s="423">
        <v>77</v>
      </c>
      <c r="AH110" s="423">
        <v>77</v>
      </c>
      <c r="AI110" s="423">
        <v>77</v>
      </c>
      <c r="AJ110" s="423">
        <v>77</v>
      </c>
      <c r="AK110" s="423">
        <v>77</v>
      </c>
      <c r="AL110" s="423">
        <v>77</v>
      </c>
      <c r="AM110" s="423">
        <v>77</v>
      </c>
      <c r="AN110" s="423">
        <v>77</v>
      </c>
      <c r="AO110" s="423">
        <v>77</v>
      </c>
      <c r="AP110" s="423">
        <v>77</v>
      </c>
      <c r="AQ110" s="423">
        <v>77</v>
      </c>
      <c r="AR110" s="423">
        <v>77</v>
      </c>
      <c r="AS110" s="423">
        <v>77</v>
      </c>
      <c r="AT110" s="423">
        <v>77</v>
      </c>
      <c r="AU110" s="423">
        <v>77</v>
      </c>
      <c r="AV110" s="423">
        <v>77</v>
      </c>
      <c r="AW110" s="423">
        <v>77</v>
      </c>
      <c r="AX110" s="423">
        <v>77</v>
      </c>
      <c r="AY110" s="423">
        <v>77</v>
      </c>
      <c r="AZ110" s="423">
        <v>77</v>
      </c>
      <c r="BA110" s="423">
        <v>77</v>
      </c>
      <c r="BB110" s="423">
        <v>77</v>
      </c>
      <c r="BC110" s="423">
        <v>77</v>
      </c>
      <c r="BD110" s="423">
        <v>77</v>
      </c>
      <c r="BE110" s="423">
        <v>77</v>
      </c>
      <c r="BF110" s="423">
        <v>77</v>
      </c>
      <c r="BG110" s="423">
        <v>77</v>
      </c>
      <c r="BH110" s="423">
        <v>77</v>
      </c>
      <c r="BI110" s="423">
        <v>77</v>
      </c>
      <c r="BJ110" s="423">
        <v>77</v>
      </c>
      <c r="BK110" s="423">
        <v>77</v>
      </c>
    </row>
    <row r="111" spans="1:63" x14ac:dyDescent="0.35">
      <c r="A111" s="309" t="s">
        <v>448</v>
      </c>
      <c r="B111" s="421" t="s">
        <v>479</v>
      </c>
      <c r="C111" s="224"/>
      <c r="D111" s="224"/>
      <c r="E111" s="224"/>
      <c r="F111" s="224"/>
      <c r="G111" s="224"/>
      <c r="H111" s="296"/>
      <c r="I111" s="296"/>
      <c r="J111" s="296"/>
      <c r="K111" s="224"/>
      <c r="L111" s="224"/>
      <c r="M111" s="224"/>
      <c r="P111" s="423">
        <v>75</v>
      </c>
      <c r="Q111" s="423">
        <v>75</v>
      </c>
      <c r="R111" s="423">
        <v>75</v>
      </c>
      <c r="S111" s="423">
        <v>75</v>
      </c>
      <c r="T111" s="423">
        <v>75</v>
      </c>
      <c r="U111" s="423">
        <v>75</v>
      </c>
      <c r="V111" s="423">
        <v>75</v>
      </c>
      <c r="W111" s="423">
        <v>75</v>
      </c>
      <c r="X111" s="423">
        <v>75</v>
      </c>
      <c r="Y111" s="423">
        <v>75</v>
      </c>
      <c r="Z111" s="423">
        <v>75</v>
      </c>
      <c r="AA111" s="423">
        <v>75</v>
      </c>
      <c r="AB111" s="423">
        <v>75</v>
      </c>
      <c r="AC111" s="423">
        <v>75</v>
      </c>
      <c r="AD111" s="423">
        <v>75</v>
      </c>
      <c r="AE111" s="423">
        <v>75</v>
      </c>
      <c r="AF111" s="423">
        <v>75</v>
      </c>
      <c r="AG111" s="423">
        <v>75</v>
      </c>
      <c r="AH111" s="423">
        <v>75</v>
      </c>
      <c r="AI111" s="423">
        <v>75</v>
      </c>
      <c r="AJ111" s="423">
        <v>75</v>
      </c>
      <c r="AK111" s="423">
        <v>75</v>
      </c>
      <c r="AL111" s="423">
        <v>75</v>
      </c>
      <c r="AM111" s="423">
        <v>75</v>
      </c>
      <c r="AN111" s="423">
        <v>75</v>
      </c>
      <c r="AO111" s="423">
        <v>75</v>
      </c>
      <c r="AP111" s="423">
        <v>75</v>
      </c>
      <c r="AQ111" s="423">
        <v>75</v>
      </c>
      <c r="AR111" s="423">
        <v>75</v>
      </c>
      <c r="AS111" s="423">
        <v>75</v>
      </c>
      <c r="AT111" s="423">
        <v>75</v>
      </c>
      <c r="AU111" s="423">
        <v>75</v>
      </c>
      <c r="AV111" s="423">
        <v>75</v>
      </c>
      <c r="AW111" s="423">
        <v>75</v>
      </c>
      <c r="AX111" s="423">
        <v>75</v>
      </c>
      <c r="AY111" s="423">
        <v>75</v>
      </c>
      <c r="AZ111" s="423">
        <v>75</v>
      </c>
      <c r="BA111" s="423">
        <v>75</v>
      </c>
      <c r="BB111" s="423">
        <v>75</v>
      </c>
      <c r="BC111" s="423">
        <v>75</v>
      </c>
      <c r="BD111" s="423">
        <v>75</v>
      </c>
      <c r="BE111" s="423">
        <v>75</v>
      </c>
      <c r="BF111" s="423">
        <v>75</v>
      </c>
      <c r="BG111" s="423">
        <v>75</v>
      </c>
      <c r="BH111" s="423">
        <v>75</v>
      </c>
      <c r="BI111" s="423">
        <v>75</v>
      </c>
      <c r="BJ111" s="423">
        <v>75</v>
      </c>
      <c r="BK111" s="423">
        <v>75</v>
      </c>
    </row>
    <row r="112" spans="1:63" x14ac:dyDescent="0.35">
      <c r="A112" s="309" t="s">
        <v>447</v>
      </c>
      <c r="B112" s="421" t="s">
        <v>479</v>
      </c>
      <c r="C112" s="224"/>
      <c r="D112" s="224"/>
      <c r="E112" s="224"/>
      <c r="F112" s="224"/>
      <c r="G112" s="224"/>
      <c r="H112" s="296"/>
      <c r="I112" s="296"/>
      <c r="J112" s="296"/>
      <c r="K112" s="224"/>
      <c r="L112" s="224"/>
      <c r="M112" s="224"/>
      <c r="P112" s="423">
        <v>67</v>
      </c>
      <c r="Q112" s="423">
        <v>67</v>
      </c>
      <c r="R112" s="423">
        <v>67</v>
      </c>
      <c r="S112" s="423">
        <v>67</v>
      </c>
      <c r="T112" s="423">
        <v>67</v>
      </c>
      <c r="U112" s="423">
        <v>67</v>
      </c>
      <c r="V112" s="423">
        <v>67</v>
      </c>
      <c r="W112" s="423">
        <v>67</v>
      </c>
      <c r="X112" s="423">
        <v>67</v>
      </c>
      <c r="Y112" s="423">
        <v>67</v>
      </c>
      <c r="Z112" s="423">
        <v>67</v>
      </c>
      <c r="AA112" s="423">
        <v>67</v>
      </c>
      <c r="AB112" s="423">
        <v>67</v>
      </c>
      <c r="AC112" s="423">
        <v>67</v>
      </c>
      <c r="AD112" s="423">
        <v>67</v>
      </c>
      <c r="AE112" s="423">
        <v>67</v>
      </c>
      <c r="AF112" s="423">
        <v>67</v>
      </c>
      <c r="AG112" s="423">
        <v>67</v>
      </c>
      <c r="AH112" s="423">
        <v>67</v>
      </c>
      <c r="AI112" s="423">
        <v>67</v>
      </c>
      <c r="AJ112" s="423">
        <v>67</v>
      </c>
      <c r="AK112" s="423">
        <v>67</v>
      </c>
      <c r="AL112" s="423">
        <v>67</v>
      </c>
      <c r="AM112" s="423">
        <v>67</v>
      </c>
      <c r="AN112" s="423">
        <v>67</v>
      </c>
      <c r="AO112" s="423">
        <v>67</v>
      </c>
      <c r="AP112" s="423">
        <v>67</v>
      </c>
      <c r="AQ112" s="423">
        <v>67</v>
      </c>
      <c r="AR112" s="423">
        <v>67</v>
      </c>
      <c r="AS112" s="423">
        <v>67</v>
      </c>
      <c r="AT112" s="423">
        <v>67</v>
      </c>
      <c r="AU112" s="423">
        <v>67</v>
      </c>
      <c r="AV112" s="423">
        <v>67</v>
      </c>
      <c r="AW112" s="423">
        <v>67</v>
      </c>
      <c r="AX112" s="423">
        <v>67</v>
      </c>
      <c r="AY112" s="423">
        <v>67</v>
      </c>
      <c r="AZ112" s="423">
        <v>67</v>
      </c>
      <c r="BA112" s="423">
        <v>67</v>
      </c>
      <c r="BB112" s="423">
        <v>67</v>
      </c>
      <c r="BC112" s="423">
        <v>67</v>
      </c>
      <c r="BD112" s="423">
        <v>67</v>
      </c>
      <c r="BE112" s="423">
        <v>67</v>
      </c>
      <c r="BF112" s="423">
        <v>67</v>
      </c>
      <c r="BG112" s="423">
        <v>67</v>
      </c>
      <c r="BH112" s="423">
        <v>67</v>
      </c>
      <c r="BI112" s="423">
        <v>67</v>
      </c>
      <c r="BJ112" s="423">
        <v>67</v>
      </c>
      <c r="BK112" s="423">
        <v>67</v>
      </c>
    </row>
    <row r="113" spans="1:63" x14ac:dyDescent="0.35">
      <c r="A113" s="65"/>
      <c r="B113" s="224"/>
      <c r="C113" s="224"/>
      <c r="D113" s="224"/>
      <c r="E113" s="224"/>
      <c r="F113" s="224"/>
      <c r="G113" s="224"/>
      <c r="H113" s="155"/>
      <c r="I113" s="155"/>
      <c r="J113" s="155"/>
      <c r="K113" s="224"/>
      <c r="L113" s="224"/>
      <c r="M113" s="224"/>
    </row>
    <row r="114" spans="1:63" x14ac:dyDescent="0.35">
      <c r="A114" s="575" t="s">
        <v>496</v>
      </c>
      <c r="B114" s="421" t="s">
        <v>815</v>
      </c>
      <c r="C114" s="224"/>
      <c r="D114" s="224"/>
      <c r="E114" s="224"/>
      <c r="F114" s="224"/>
      <c r="G114" s="224"/>
      <c r="H114" s="155"/>
      <c r="I114" s="155"/>
      <c r="J114" s="155"/>
      <c r="K114" s="224"/>
      <c r="L114" s="224"/>
      <c r="M114" s="224"/>
      <c r="P114" s="423">
        <v>81</v>
      </c>
      <c r="Q114" s="423">
        <v>81</v>
      </c>
      <c r="R114" s="423">
        <v>81</v>
      </c>
      <c r="S114" s="423">
        <v>81</v>
      </c>
      <c r="T114" s="423">
        <v>81</v>
      </c>
      <c r="U114" s="423">
        <v>81</v>
      </c>
      <c r="V114" s="423">
        <v>81</v>
      </c>
      <c r="W114" s="423">
        <v>81</v>
      </c>
      <c r="X114" s="423">
        <v>81</v>
      </c>
      <c r="Y114" s="423">
        <v>81</v>
      </c>
      <c r="Z114" s="423">
        <v>81</v>
      </c>
      <c r="AA114" s="423">
        <v>81</v>
      </c>
      <c r="AB114" s="423">
        <v>81</v>
      </c>
      <c r="AC114" s="423">
        <v>81</v>
      </c>
      <c r="AD114" s="423">
        <v>81</v>
      </c>
      <c r="AE114" s="423">
        <v>81</v>
      </c>
      <c r="AF114" s="423">
        <v>81</v>
      </c>
      <c r="AG114" s="423">
        <v>81</v>
      </c>
      <c r="AH114" s="423">
        <v>81</v>
      </c>
      <c r="AI114" s="423">
        <v>81</v>
      </c>
      <c r="AJ114" s="423">
        <v>81</v>
      </c>
      <c r="AK114" s="423">
        <v>81</v>
      </c>
      <c r="AL114" s="423">
        <v>81</v>
      </c>
      <c r="AM114" s="423">
        <v>81</v>
      </c>
      <c r="AN114" s="423">
        <v>81</v>
      </c>
      <c r="AO114" s="423">
        <v>81</v>
      </c>
      <c r="AP114" s="423">
        <v>81</v>
      </c>
      <c r="AQ114" s="423">
        <v>81</v>
      </c>
      <c r="AR114" s="423">
        <v>81</v>
      </c>
      <c r="AS114" s="423">
        <v>81</v>
      </c>
      <c r="AT114" s="423">
        <v>81</v>
      </c>
      <c r="AU114" s="423">
        <v>81</v>
      </c>
      <c r="AV114" s="423">
        <v>81</v>
      </c>
      <c r="AW114" s="423">
        <v>81</v>
      </c>
      <c r="AX114" s="423">
        <v>81</v>
      </c>
      <c r="AY114" s="423">
        <v>81</v>
      </c>
      <c r="AZ114" s="423">
        <v>81</v>
      </c>
      <c r="BA114" s="423">
        <v>81</v>
      </c>
      <c r="BB114" s="423">
        <v>81</v>
      </c>
      <c r="BC114" s="423">
        <v>81</v>
      </c>
      <c r="BD114" s="423">
        <v>81</v>
      </c>
      <c r="BE114" s="423">
        <v>81</v>
      </c>
      <c r="BF114" s="423">
        <v>81</v>
      </c>
      <c r="BG114" s="423">
        <v>81</v>
      </c>
      <c r="BH114" s="423">
        <v>81</v>
      </c>
      <c r="BI114" s="423">
        <v>81</v>
      </c>
      <c r="BJ114" s="423">
        <v>81</v>
      </c>
      <c r="BK114" s="423">
        <v>81</v>
      </c>
    </row>
    <row r="115" spans="1:63" x14ac:dyDescent="0.35">
      <c r="A115" s="575" t="s">
        <v>446</v>
      </c>
      <c r="B115" s="421" t="s">
        <v>815</v>
      </c>
      <c r="C115" s="224"/>
      <c r="D115" s="224"/>
      <c r="E115" s="224"/>
      <c r="F115" s="224"/>
      <c r="G115" s="224"/>
      <c r="H115" s="155"/>
      <c r="I115" s="155"/>
      <c r="J115" s="155"/>
      <c r="K115" s="224"/>
      <c r="L115" s="224"/>
      <c r="M115" s="224"/>
      <c r="P115" s="423">
        <v>80</v>
      </c>
      <c r="Q115" s="423">
        <v>80</v>
      </c>
      <c r="R115" s="423">
        <v>80</v>
      </c>
      <c r="S115" s="423">
        <v>80</v>
      </c>
      <c r="T115" s="423">
        <v>80</v>
      </c>
      <c r="U115" s="423">
        <v>80</v>
      </c>
      <c r="V115" s="423">
        <v>80</v>
      </c>
      <c r="W115" s="423">
        <v>80</v>
      </c>
      <c r="X115" s="423">
        <v>80</v>
      </c>
      <c r="Y115" s="423">
        <v>80</v>
      </c>
      <c r="Z115" s="423">
        <v>80</v>
      </c>
      <c r="AA115" s="423">
        <v>80</v>
      </c>
      <c r="AB115" s="423">
        <v>80</v>
      </c>
      <c r="AC115" s="423">
        <v>80</v>
      </c>
      <c r="AD115" s="423">
        <v>80</v>
      </c>
      <c r="AE115" s="423">
        <v>80</v>
      </c>
      <c r="AF115" s="423">
        <v>80</v>
      </c>
      <c r="AG115" s="423">
        <v>80</v>
      </c>
      <c r="AH115" s="423">
        <v>80</v>
      </c>
      <c r="AI115" s="423">
        <v>80</v>
      </c>
      <c r="AJ115" s="423">
        <v>80</v>
      </c>
      <c r="AK115" s="423">
        <v>80</v>
      </c>
      <c r="AL115" s="423">
        <v>80</v>
      </c>
      <c r="AM115" s="423">
        <v>80</v>
      </c>
      <c r="AN115" s="423">
        <v>80</v>
      </c>
      <c r="AO115" s="423">
        <v>80</v>
      </c>
      <c r="AP115" s="423">
        <v>80</v>
      </c>
      <c r="AQ115" s="423">
        <v>80</v>
      </c>
      <c r="AR115" s="423">
        <v>80</v>
      </c>
      <c r="AS115" s="423">
        <v>80</v>
      </c>
      <c r="AT115" s="423">
        <v>80</v>
      </c>
      <c r="AU115" s="423">
        <v>80</v>
      </c>
      <c r="AV115" s="423">
        <v>80</v>
      </c>
      <c r="AW115" s="423">
        <v>80</v>
      </c>
      <c r="AX115" s="423">
        <v>80</v>
      </c>
      <c r="AY115" s="423">
        <v>80</v>
      </c>
      <c r="AZ115" s="423">
        <v>80</v>
      </c>
      <c r="BA115" s="423">
        <v>80</v>
      </c>
      <c r="BB115" s="423">
        <v>80</v>
      </c>
      <c r="BC115" s="423">
        <v>80</v>
      </c>
      <c r="BD115" s="423">
        <v>80</v>
      </c>
      <c r="BE115" s="423">
        <v>80</v>
      </c>
      <c r="BF115" s="423">
        <v>80</v>
      </c>
      <c r="BG115" s="423">
        <v>80</v>
      </c>
      <c r="BH115" s="423">
        <v>80</v>
      </c>
      <c r="BI115" s="423">
        <v>80</v>
      </c>
      <c r="BJ115" s="423">
        <v>80</v>
      </c>
      <c r="BK115" s="423">
        <v>80</v>
      </c>
    </row>
    <row r="116" spans="1:63" ht="15.5" x14ac:dyDescent="0.35">
      <c r="A116" s="282" t="s">
        <v>455</v>
      </c>
      <c r="B116" s="421" t="s">
        <v>815</v>
      </c>
      <c r="C116" s="224"/>
      <c r="D116" s="224"/>
      <c r="E116" s="224"/>
      <c r="F116" s="224"/>
      <c r="G116" s="224"/>
      <c r="H116" s="155"/>
      <c r="I116" s="155"/>
      <c r="J116" s="155"/>
      <c r="K116" s="224"/>
      <c r="L116" s="224"/>
      <c r="M116" s="224"/>
      <c r="P116" s="423">
        <v>77</v>
      </c>
      <c r="Q116" s="423">
        <v>77</v>
      </c>
      <c r="R116" s="423">
        <v>77</v>
      </c>
      <c r="S116" s="423">
        <v>77</v>
      </c>
      <c r="T116" s="423">
        <v>77</v>
      </c>
      <c r="U116" s="423">
        <v>77</v>
      </c>
      <c r="V116" s="423">
        <v>77</v>
      </c>
      <c r="W116" s="423">
        <v>77</v>
      </c>
      <c r="X116" s="423">
        <v>77</v>
      </c>
      <c r="Y116" s="423">
        <v>77</v>
      </c>
      <c r="Z116" s="423">
        <v>77</v>
      </c>
      <c r="AA116" s="423">
        <v>77</v>
      </c>
      <c r="AB116" s="423">
        <v>77</v>
      </c>
      <c r="AC116" s="423">
        <v>77</v>
      </c>
      <c r="AD116" s="423">
        <v>77</v>
      </c>
      <c r="AE116" s="423">
        <v>77</v>
      </c>
      <c r="AF116" s="423">
        <v>77</v>
      </c>
      <c r="AG116" s="423">
        <v>77</v>
      </c>
      <c r="AH116" s="423">
        <v>77</v>
      </c>
      <c r="AI116" s="423">
        <v>77</v>
      </c>
      <c r="AJ116" s="423">
        <v>77</v>
      </c>
      <c r="AK116" s="423">
        <v>77</v>
      </c>
      <c r="AL116" s="423">
        <v>77</v>
      </c>
      <c r="AM116" s="423">
        <v>77</v>
      </c>
      <c r="AN116" s="423">
        <v>77</v>
      </c>
      <c r="AO116" s="423">
        <v>77</v>
      </c>
      <c r="AP116" s="423">
        <v>77</v>
      </c>
      <c r="AQ116" s="423">
        <v>77</v>
      </c>
      <c r="AR116" s="423">
        <v>77</v>
      </c>
      <c r="AS116" s="423">
        <v>77</v>
      </c>
      <c r="AT116" s="423">
        <v>77</v>
      </c>
      <c r="AU116" s="423">
        <v>77</v>
      </c>
      <c r="AV116" s="423">
        <v>77</v>
      </c>
      <c r="AW116" s="423">
        <v>77</v>
      </c>
      <c r="AX116" s="423">
        <v>77</v>
      </c>
      <c r="AY116" s="423">
        <v>77</v>
      </c>
      <c r="AZ116" s="423">
        <v>77</v>
      </c>
      <c r="BA116" s="423">
        <v>77</v>
      </c>
      <c r="BB116" s="423">
        <v>77</v>
      </c>
      <c r="BC116" s="423">
        <v>77</v>
      </c>
      <c r="BD116" s="423">
        <v>77</v>
      </c>
      <c r="BE116" s="423">
        <v>77</v>
      </c>
      <c r="BF116" s="423">
        <v>77</v>
      </c>
      <c r="BG116" s="423">
        <v>77</v>
      </c>
      <c r="BH116" s="423">
        <v>77</v>
      </c>
      <c r="BI116" s="423">
        <v>77</v>
      </c>
      <c r="BJ116" s="423">
        <v>77</v>
      </c>
      <c r="BK116" s="423">
        <v>77</v>
      </c>
    </row>
    <row r="117" spans="1:63" x14ac:dyDescent="0.35">
      <c r="A117" s="309" t="s">
        <v>448</v>
      </c>
      <c r="B117" s="421" t="s">
        <v>815</v>
      </c>
      <c r="C117" s="155"/>
      <c r="D117" s="155"/>
      <c r="E117" s="155"/>
      <c r="F117" s="155"/>
      <c r="G117" s="155"/>
      <c r="H117" s="155"/>
      <c r="I117" s="155"/>
      <c r="J117" s="155"/>
      <c r="K117" s="224"/>
      <c r="L117" s="224"/>
      <c r="M117" s="224"/>
      <c r="P117" s="423">
        <v>75</v>
      </c>
      <c r="Q117" s="423">
        <v>75</v>
      </c>
      <c r="R117" s="423">
        <v>75</v>
      </c>
      <c r="S117" s="423">
        <v>75</v>
      </c>
      <c r="T117" s="423">
        <v>75</v>
      </c>
      <c r="U117" s="423">
        <v>75</v>
      </c>
      <c r="V117" s="423">
        <v>75</v>
      </c>
      <c r="W117" s="423">
        <v>75</v>
      </c>
      <c r="X117" s="423">
        <v>75</v>
      </c>
      <c r="Y117" s="423">
        <v>75</v>
      </c>
      <c r="Z117" s="423">
        <v>75</v>
      </c>
      <c r="AA117" s="423">
        <v>75</v>
      </c>
      <c r="AB117" s="423">
        <v>75</v>
      </c>
      <c r="AC117" s="423">
        <v>75</v>
      </c>
      <c r="AD117" s="423">
        <v>75</v>
      </c>
      <c r="AE117" s="423">
        <v>75</v>
      </c>
      <c r="AF117" s="423">
        <v>75</v>
      </c>
      <c r="AG117" s="423">
        <v>75</v>
      </c>
      <c r="AH117" s="423">
        <v>75</v>
      </c>
      <c r="AI117" s="423">
        <v>75</v>
      </c>
      <c r="AJ117" s="423">
        <v>75</v>
      </c>
      <c r="AK117" s="423">
        <v>75</v>
      </c>
      <c r="AL117" s="423">
        <v>75</v>
      </c>
      <c r="AM117" s="423">
        <v>75</v>
      </c>
      <c r="AN117" s="423">
        <v>75</v>
      </c>
      <c r="AO117" s="423">
        <v>75</v>
      </c>
      <c r="AP117" s="423">
        <v>75</v>
      </c>
      <c r="AQ117" s="423">
        <v>75</v>
      </c>
      <c r="AR117" s="423">
        <v>75</v>
      </c>
      <c r="AS117" s="423">
        <v>75</v>
      </c>
      <c r="AT117" s="423">
        <v>75</v>
      </c>
      <c r="AU117" s="423">
        <v>75</v>
      </c>
      <c r="AV117" s="423">
        <v>75</v>
      </c>
      <c r="AW117" s="423">
        <v>75</v>
      </c>
      <c r="AX117" s="423">
        <v>75</v>
      </c>
      <c r="AY117" s="423">
        <v>75</v>
      </c>
      <c r="AZ117" s="423">
        <v>75</v>
      </c>
      <c r="BA117" s="423">
        <v>75</v>
      </c>
      <c r="BB117" s="423">
        <v>75</v>
      </c>
      <c r="BC117" s="423">
        <v>75</v>
      </c>
      <c r="BD117" s="423">
        <v>75</v>
      </c>
      <c r="BE117" s="423">
        <v>75</v>
      </c>
      <c r="BF117" s="423">
        <v>75</v>
      </c>
      <c r="BG117" s="423">
        <v>75</v>
      </c>
      <c r="BH117" s="423">
        <v>75</v>
      </c>
      <c r="BI117" s="423">
        <v>75</v>
      </c>
      <c r="BJ117" s="423">
        <v>75</v>
      </c>
      <c r="BK117" s="423">
        <v>75</v>
      </c>
    </row>
    <row r="118" spans="1:63" x14ac:dyDescent="0.35">
      <c r="A118" s="309" t="s">
        <v>447</v>
      </c>
      <c r="B118" s="421" t="s">
        <v>815</v>
      </c>
      <c r="C118" s="224"/>
      <c r="D118" s="224"/>
      <c r="E118" s="224"/>
      <c r="F118" s="224"/>
      <c r="G118" s="224"/>
      <c r="H118" s="224"/>
      <c r="I118" s="224"/>
      <c r="J118" s="224"/>
      <c r="K118" s="224"/>
      <c r="L118" s="224"/>
      <c r="M118" s="224"/>
      <c r="P118" s="423">
        <v>67</v>
      </c>
      <c r="Q118" s="423">
        <v>67</v>
      </c>
      <c r="R118" s="423">
        <v>67</v>
      </c>
      <c r="S118" s="423">
        <v>67</v>
      </c>
      <c r="T118" s="423">
        <v>67</v>
      </c>
      <c r="U118" s="423">
        <v>67</v>
      </c>
      <c r="V118" s="423">
        <v>67</v>
      </c>
      <c r="W118" s="423">
        <v>67</v>
      </c>
      <c r="X118" s="423">
        <v>67</v>
      </c>
      <c r="Y118" s="423">
        <v>67</v>
      </c>
      <c r="Z118" s="423">
        <v>67</v>
      </c>
      <c r="AA118" s="423">
        <v>67</v>
      </c>
      <c r="AB118" s="423">
        <v>67</v>
      </c>
      <c r="AC118" s="423">
        <v>67</v>
      </c>
      <c r="AD118" s="423">
        <v>67</v>
      </c>
      <c r="AE118" s="423">
        <v>67</v>
      </c>
      <c r="AF118" s="423">
        <v>67</v>
      </c>
      <c r="AG118" s="423">
        <v>67</v>
      </c>
      <c r="AH118" s="423">
        <v>67</v>
      </c>
      <c r="AI118" s="423">
        <v>67</v>
      </c>
      <c r="AJ118" s="423">
        <v>67</v>
      </c>
      <c r="AK118" s="423">
        <v>67</v>
      </c>
      <c r="AL118" s="423">
        <v>67</v>
      </c>
      <c r="AM118" s="423">
        <v>67</v>
      </c>
      <c r="AN118" s="423">
        <v>67</v>
      </c>
      <c r="AO118" s="423">
        <v>67</v>
      </c>
      <c r="AP118" s="423">
        <v>67</v>
      </c>
      <c r="AQ118" s="423">
        <v>67</v>
      </c>
      <c r="AR118" s="423">
        <v>67</v>
      </c>
      <c r="AS118" s="423">
        <v>67</v>
      </c>
      <c r="AT118" s="423">
        <v>67</v>
      </c>
      <c r="AU118" s="423">
        <v>67</v>
      </c>
      <c r="AV118" s="423">
        <v>67</v>
      </c>
      <c r="AW118" s="423">
        <v>67</v>
      </c>
      <c r="AX118" s="423">
        <v>67</v>
      </c>
      <c r="AY118" s="423">
        <v>67</v>
      </c>
      <c r="AZ118" s="423">
        <v>67</v>
      </c>
      <c r="BA118" s="423">
        <v>67</v>
      </c>
      <c r="BB118" s="423">
        <v>67</v>
      </c>
      <c r="BC118" s="423">
        <v>67</v>
      </c>
      <c r="BD118" s="423">
        <v>67</v>
      </c>
      <c r="BE118" s="423">
        <v>67</v>
      </c>
      <c r="BF118" s="423">
        <v>67</v>
      </c>
      <c r="BG118" s="423">
        <v>67</v>
      </c>
      <c r="BH118" s="423">
        <v>67</v>
      </c>
      <c r="BI118" s="423">
        <v>67</v>
      </c>
      <c r="BJ118" s="423">
        <v>67</v>
      </c>
      <c r="BK118" s="423">
        <v>67</v>
      </c>
    </row>
    <row r="119" spans="1:63" x14ac:dyDescent="0.35">
      <c r="A119" s="224"/>
      <c r="B119" s="224"/>
      <c r="C119" s="224"/>
      <c r="D119" s="224"/>
      <c r="E119" s="224"/>
      <c r="F119" s="224"/>
      <c r="G119" s="224"/>
      <c r="H119" s="224"/>
      <c r="I119" s="224"/>
      <c r="J119" s="224"/>
      <c r="K119" s="224"/>
      <c r="L119" s="224"/>
      <c r="M119" s="224"/>
    </row>
    <row r="120" spans="1:63" x14ac:dyDescent="0.35">
      <c r="A120" s="224"/>
      <c r="B120" s="224"/>
      <c r="C120" s="224"/>
      <c r="D120" s="224"/>
      <c r="E120" s="224"/>
      <c r="F120" s="224"/>
      <c r="G120" s="224"/>
      <c r="H120" s="224"/>
      <c r="I120" s="224"/>
      <c r="J120" s="224"/>
      <c r="K120" s="224"/>
      <c r="L120" s="224"/>
      <c r="M120" s="224"/>
    </row>
    <row r="121" spans="1:63" x14ac:dyDescent="0.35">
      <c r="A121" s="224"/>
      <c r="B121" s="224"/>
      <c r="C121" s="224"/>
      <c r="D121" s="224"/>
      <c r="E121" s="224"/>
      <c r="F121" s="224"/>
      <c r="G121" s="224"/>
      <c r="H121" s="224"/>
      <c r="I121" s="224"/>
      <c r="J121" s="224"/>
      <c r="K121" s="224"/>
      <c r="L121" s="224"/>
      <c r="M121" s="224"/>
    </row>
    <row r="122" spans="1:63" ht="15.5" x14ac:dyDescent="0.35">
      <c r="A122" s="282"/>
      <c r="B122" s="224"/>
      <c r="C122" s="224"/>
      <c r="D122" s="224"/>
      <c r="E122" s="224"/>
      <c r="F122" s="224"/>
      <c r="G122" s="224"/>
      <c r="H122" s="224"/>
      <c r="I122" s="224"/>
      <c r="J122" s="224"/>
      <c r="K122" s="224"/>
      <c r="L122" s="224"/>
      <c r="M122" s="224"/>
    </row>
    <row r="123" spans="1:63" x14ac:dyDescent="0.35">
      <c r="A123" s="224"/>
      <c r="B123" s="224"/>
      <c r="C123" s="224"/>
      <c r="D123" s="224"/>
      <c r="E123" s="224"/>
      <c r="F123" s="224"/>
      <c r="G123" s="224"/>
      <c r="H123" s="224"/>
      <c r="I123" s="224"/>
      <c r="J123" s="224"/>
      <c r="K123" s="224"/>
      <c r="L123" s="224"/>
      <c r="M123" s="224"/>
    </row>
    <row r="124" spans="1:63" x14ac:dyDescent="0.35">
      <c r="A124" s="224"/>
      <c r="B124" s="224"/>
      <c r="C124" s="224"/>
      <c r="D124" s="224"/>
      <c r="E124" s="224"/>
      <c r="F124" s="224"/>
      <c r="G124" s="224"/>
      <c r="H124" s="224"/>
      <c r="I124" s="224"/>
      <c r="J124" s="224"/>
      <c r="K124" s="224"/>
      <c r="L124" s="224"/>
      <c r="M124" s="224"/>
    </row>
    <row r="125" spans="1:63" x14ac:dyDescent="0.35">
      <c r="A125" s="65"/>
      <c r="B125" s="224"/>
      <c r="C125" s="224"/>
      <c r="D125" s="224"/>
      <c r="E125" s="224"/>
      <c r="F125" s="224"/>
      <c r="G125" s="224"/>
      <c r="H125" s="155"/>
      <c r="I125" s="155"/>
      <c r="J125" s="155"/>
      <c r="K125" s="224"/>
      <c r="L125" s="224"/>
      <c r="M125" s="224"/>
    </row>
    <row r="126" spans="1:63" x14ac:dyDescent="0.35">
      <c r="A126" s="65"/>
      <c r="B126" s="224"/>
      <c r="C126" s="224"/>
      <c r="D126" s="224"/>
      <c r="E126" s="224"/>
      <c r="F126" s="224"/>
      <c r="G126" s="224"/>
      <c r="H126" s="294"/>
      <c r="I126" s="294"/>
      <c r="J126" s="294"/>
      <c r="K126" s="224"/>
      <c r="L126" s="224"/>
      <c r="M126" s="224"/>
    </row>
    <row r="127" spans="1:63" x14ac:dyDescent="0.35">
      <c r="A127" s="65"/>
      <c r="B127" s="224"/>
      <c r="C127" s="224"/>
      <c r="D127" s="224"/>
      <c r="E127" s="224"/>
      <c r="F127" s="224"/>
      <c r="G127" s="224"/>
      <c r="H127" s="295"/>
      <c r="I127" s="295"/>
      <c r="J127" s="295"/>
      <c r="K127" s="224"/>
      <c r="L127" s="224"/>
      <c r="M127" s="224"/>
    </row>
    <row r="128" spans="1:63" x14ac:dyDescent="0.35">
      <c r="A128" s="65"/>
      <c r="B128" s="224"/>
      <c r="C128" s="224"/>
      <c r="D128" s="224"/>
      <c r="E128" s="224"/>
      <c r="F128" s="224"/>
      <c r="G128" s="224"/>
      <c r="H128" s="281"/>
      <c r="I128" s="281"/>
      <c r="J128" s="281"/>
      <c r="K128" s="224"/>
      <c r="L128" s="224"/>
      <c r="M128" s="224"/>
    </row>
    <row r="129" spans="1:13" x14ac:dyDescent="0.35">
      <c r="A129" s="65"/>
      <c r="B129" s="224"/>
      <c r="C129" s="224"/>
      <c r="D129" s="224"/>
      <c r="E129" s="224"/>
      <c r="F129" s="224"/>
      <c r="G129" s="224"/>
      <c r="H129" s="281"/>
      <c r="I129" s="281"/>
      <c r="J129" s="281"/>
      <c r="K129" s="224"/>
      <c r="L129" s="224"/>
      <c r="M129" s="224"/>
    </row>
    <row r="130" spans="1:13" x14ac:dyDescent="0.35">
      <c r="A130" s="224"/>
      <c r="B130" s="224"/>
      <c r="C130" s="224"/>
      <c r="D130" s="224"/>
      <c r="E130" s="224"/>
      <c r="F130" s="224"/>
      <c r="G130" s="224"/>
      <c r="H130" s="224"/>
      <c r="I130" s="224"/>
      <c r="J130" s="224"/>
      <c r="K130" s="224"/>
      <c r="L130" s="224"/>
      <c r="M130" s="224"/>
    </row>
    <row r="131" spans="1:13" x14ac:dyDescent="0.35">
      <c r="A131" s="224"/>
      <c r="B131" s="224"/>
      <c r="C131" s="224"/>
      <c r="D131" s="224"/>
      <c r="E131" s="224"/>
      <c r="F131" s="224"/>
      <c r="G131" s="224"/>
      <c r="H131" s="224"/>
      <c r="I131" s="224"/>
      <c r="J131" s="224"/>
      <c r="K131" s="224"/>
      <c r="L131" s="224"/>
      <c r="M131" s="224"/>
    </row>
    <row r="132" spans="1:13" x14ac:dyDescent="0.35">
      <c r="A132" s="65"/>
      <c r="B132" s="224"/>
      <c r="C132" s="224"/>
      <c r="D132" s="224"/>
      <c r="E132" s="224"/>
      <c r="F132" s="224"/>
      <c r="G132" s="224"/>
      <c r="H132" s="224"/>
      <c r="I132" s="224"/>
      <c r="J132" s="224"/>
      <c r="K132" s="224"/>
      <c r="L132" s="224"/>
      <c r="M132" s="224"/>
    </row>
    <row r="133" spans="1:13" x14ac:dyDescent="0.35">
      <c r="A133" s="65"/>
      <c r="B133" s="224"/>
      <c r="C133" s="224"/>
      <c r="D133" s="224"/>
      <c r="E133" s="224"/>
      <c r="F133" s="224"/>
      <c r="G133" s="224"/>
      <c r="H133" s="224"/>
      <c r="I133" s="224"/>
      <c r="J133" s="224"/>
      <c r="K133" s="224"/>
      <c r="L133" s="224"/>
      <c r="M133" s="224"/>
    </row>
    <row r="134" spans="1:13" x14ac:dyDescent="0.35">
      <c r="A134" s="65"/>
      <c r="B134" s="224"/>
      <c r="C134" s="224"/>
      <c r="D134" s="224"/>
      <c r="E134" s="224"/>
      <c r="F134" s="224"/>
      <c r="G134" s="224"/>
      <c r="H134" s="224"/>
      <c r="I134" s="224"/>
      <c r="J134" s="224"/>
      <c r="K134" s="224"/>
      <c r="L134" s="224"/>
      <c r="M134" s="224"/>
    </row>
    <row r="135" spans="1:13" x14ac:dyDescent="0.35">
      <c r="A135" s="65"/>
      <c r="B135" s="224"/>
      <c r="C135" s="224"/>
      <c r="D135" s="224"/>
      <c r="E135" s="224"/>
      <c r="F135" s="224"/>
      <c r="G135" s="224"/>
      <c r="H135" s="296"/>
      <c r="I135" s="296"/>
      <c r="J135" s="296"/>
      <c r="K135" s="224"/>
      <c r="L135" s="224"/>
      <c r="M135" s="224"/>
    </row>
    <row r="136" spans="1:13" x14ac:dyDescent="0.35">
      <c r="A136" s="65"/>
      <c r="B136" s="224"/>
      <c r="C136" s="224"/>
      <c r="D136" s="224"/>
      <c r="E136" s="224"/>
      <c r="F136" s="224"/>
      <c r="G136" s="224"/>
      <c r="H136" s="296"/>
      <c r="I136" s="296"/>
      <c r="J136" s="296"/>
      <c r="K136" s="224"/>
      <c r="L136" s="224"/>
      <c r="M136" s="224"/>
    </row>
    <row r="137" spans="1:13" x14ac:dyDescent="0.35">
      <c r="A137" s="65"/>
      <c r="B137" s="224"/>
      <c r="C137" s="224"/>
      <c r="D137" s="224"/>
      <c r="E137" s="224"/>
      <c r="F137" s="224"/>
      <c r="G137" s="224"/>
      <c r="H137" s="296"/>
      <c r="I137" s="296"/>
      <c r="J137" s="296"/>
      <c r="K137" s="224"/>
      <c r="L137" s="224"/>
      <c r="M137" s="224"/>
    </row>
    <row r="138" spans="1:13" x14ac:dyDescent="0.35">
      <c r="A138" s="65"/>
      <c r="B138" s="224"/>
      <c r="C138" s="224"/>
      <c r="D138" s="224"/>
      <c r="E138" s="224"/>
      <c r="F138" s="224"/>
      <c r="G138" s="224"/>
      <c r="H138" s="296"/>
      <c r="I138" s="296"/>
      <c r="J138" s="296"/>
      <c r="K138" s="224"/>
      <c r="L138" s="224"/>
      <c r="M138" s="224"/>
    </row>
    <row r="139" spans="1:13" x14ac:dyDescent="0.35">
      <c r="A139" s="65"/>
      <c r="B139" s="224"/>
      <c r="C139" s="224"/>
      <c r="D139" s="224"/>
      <c r="E139" s="224"/>
      <c r="F139" s="224"/>
      <c r="G139" s="224"/>
      <c r="H139" s="296"/>
      <c r="I139" s="296"/>
      <c r="J139" s="296"/>
      <c r="K139" s="224"/>
      <c r="L139" s="224"/>
      <c r="M139" s="224"/>
    </row>
    <row r="140" spans="1:13" x14ac:dyDescent="0.35">
      <c r="A140" s="65"/>
      <c r="B140" s="224"/>
      <c r="C140" s="224"/>
      <c r="D140" s="224"/>
      <c r="E140" s="224"/>
      <c r="F140" s="224"/>
      <c r="G140" s="224"/>
      <c r="H140" s="155"/>
      <c r="I140" s="155"/>
      <c r="J140" s="155"/>
      <c r="K140" s="224"/>
      <c r="L140" s="224"/>
      <c r="M140" s="224"/>
    </row>
    <row r="141" spans="1:13" x14ac:dyDescent="0.35">
      <c r="A141" s="65"/>
      <c r="B141" s="224"/>
      <c r="C141" s="224"/>
      <c r="D141" s="224"/>
      <c r="E141" s="224"/>
      <c r="F141" s="224"/>
      <c r="G141" s="224"/>
      <c r="H141" s="155"/>
      <c r="I141" s="155"/>
      <c r="J141" s="155"/>
      <c r="K141" s="224"/>
      <c r="L141" s="224"/>
      <c r="M141" s="224"/>
    </row>
    <row r="142" spans="1:13" x14ac:dyDescent="0.35">
      <c r="A142" s="65"/>
      <c r="B142" s="224"/>
      <c r="C142" s="224"/>
      <c r="D142" s="224"/>
      <c r="E142" s="224"/>
      <c r="F142" s="224"/>
      <c r="G142" s="224"/>
      <c r="H142" s="155"/>
      <c r="I142" s="155"/>
      <c r="J142" s="155"/>
      <c r="K142" s="224"/>
      <c r="L142" s="224"/>
      <c r="M142" s="224"/>
    </row>
    <row r="143" spans="1:13" x14ac:dyDescent="0.35">
      <c r="A143" s="65"/>
      <c r="B143" s="224"/>
      <c r="C143" s="224"/>
      <c r="D143" s="224"/>
      <c r="E143" s="224"/>
      <c r="F143" s="224"/>
      <c r="G143" s="224"/>
      <c r="H143" s="155"/>
      <c r="I143" s="155"/>
      <c r="J143" s="155"/>
      <c r="K143" s="224"/>
      <c r="L143" s="224"/>
      <c r="M143" s="224"/>
    </row>
    <row r="144" spans="1:13" x14ac:dyDescent="0.35">
      <c r="A144" s="65"/>
      <c r="B144" s="155"/>
      <c r="C144" s="155"/>
      <c r="D144" s="155"/>
      <c r="E144" s="155"/>
      <c r="F144" s="155"/>
      <c r="G144" s="155"/>
      <c r="H144" s="155"/>
      <c r="I144" s="155"/>
      <c r="J144" s="155"/>
      <c r="K144" s="224"/>
      <c r="L144" s="224"/>
      <c r="M144" s="224"/>
    </row>
    <row r="145" spans="1:13" x14ac:dyDescent="0.35">
      <c r="A145" s="224"/>
      <c r="B145" s="224"/>
      <c r="C145" s="224"/>
      <c r="D145" s="224"/>
      <c r="E145" s="224"/>
      <c r="F145" s="224"/>
      <c r="G145" s="224"/>
      <c r="H145" s="224"/>
      <c r="I145" s="224"/>
      <c r="J145" s="224"/>
      <c r="K145" s="224"/>
      <c r="L145" s="224"/>
      <c r="M145" s="224"/>
    </row>
    <row r="146" spans="1:13" x14ac:dyDescent="0.35">
      <c r="A146" s="224"/>
      <c r="B146" s="224"/>
      <c r="C146" s="224"/>
      <c r="D146" s="224"/>
      <c r="E146" s="224"/>
      <c r="F146" s="224"/>
      <c r="G146" s="224"/>
      <c r="H146" s="224"/>
      <c r="I146" s="224"/>
      <c r="J146" s="224"/>
      <c r="K146" s="224"/>
      <c r="L146" s="224"/>
      <c r="M146" s="224"/>
    </row>
    <row r="147" spans="1:13" x14ac:dyDescent="0.35">
      <c r="A147" s="224"/>
      <c r="B147" s="224"/>
      <c r="C147" s="224"/>
      <c r="D147" s="224"/>
      <c r="E147" s="224"/>
      <c r="F147" s="224"/>
      <c r="G147" s="224"/>
      <c r="H147" s="224"/>
      <c r="I147" s="224"/>
      <c r="J147" s="224"/>
      <c r="K147" s="224"/>
      <c r="L147" s="224"/>
      <c r="M147" s="224"/>
    </row>
    <row r="148" spans="1:13" x14ac:dyDescent="0.35">
      <c r="A148" s="224"/>
      <c r="B148" s="224"/>
      <c r="C148" s="224"/>
      <c r="D148" s="224"/>
      <c r="E148" s="224"/>
      <c r="F148" s="224"/>
      <c r="G148" s="224"/>
      <c r="H148" s="224"/>
      <c r="I148" s="224"/>
      <c r="J148" s="224"/>
      <c r="K148" s="224"/>
      <c r="L148" s="224"/>
      <c r="M148" s="224"/>
    </row>
    <row r="149" spans="1:13" x14ac:dyDescent="0.35">
      <c r="A149" s="224"/>
      <c r="B149" s="224"/>
      <c r="C149" s="224"/>
      <c r="D149" s="224"/>
      <c r="E149" s="224"/>
      <c r="F149" s="224"/>
      <c r="G149" s="224"/>
      <c r="H149" s="224"/>
      <c r="I149" s="224"/>
      <c r="J149" s="224"/>
      <c r="K149" s="224"/>
      <c r="L149" s="224"/>
      <c r="M149" s="224"/>
    </row>
    <row r="150" spans="1:13" x14ac:dyDescent="0.35">
      <c r="A150" s="224"/>
      <c r="B150" s="224"/>
      <c r="C150" s="224"/>
      <c r="D150" s="224"/>
      <c r="E150" s="224"/>
      <c r="F150" s="224"/>
      <c r="G150" s="224"/>
      <c r="H150" s="224"/>
      <c r="I150" s="224"/>
      <c r="J150" s="224"/>
      <c r="K150" s="224"/>
      <c r="L150" s="224"/>
      <c r="M150" s="224"/>
    </row>
    <row r="151" spans="1:13" x14ac:dyDescent="0.35">
      <c r="A151" s="224"/>
      <c r="B151" s="224"/>
      <c r="C151" s="224"/>
      <c r="D151" s="224"/>
      <c r="E151" s="224"/>
      <c r="F151" s="224"/>
      <c r="G151" s="224"/>
      <c r="H151" s="224"/>
      <c r="I151" s="224"/>
      <c r="J151" s="224"/>
      <c r="K151" s="224"/>
      <c r="L151" s="224"/>
      <c r="M151" s="224"/>
    </row>
    <row r="152" spans="1:13" x14ac:dyDescent="0.35">
      <c r="A152" s="224"/>
      <c r="B152" s="224"/>
      <c r="C152" s="224"/>
      <c r="D152" s="224"/>
      <c r="E152" s="224"/>
      <c r="F152" s="224"/>
      <c r="G152" s="224"/>
      <c r="H152" s="224"/>
      <c r="I152" s="224"/>
      <c r="J152" s="224"/>
      <c r="K152" s="224"/>
      <c r="L152" s="224"/>
      <c r="M152" s="224"/>
    </row>
    <row r="153" spans="1:13" x14ac:dyDescent="0.35">
      <c r="A153" s="224"/>
      <c r="B153" s="224"/>
      <c r="C153" s="224"/>
      <c r="D153" s="224"/>
      <c r="E153" s="224"/>
      <c r="F153" s="224"/>
      <c r="G153" s="224"/>
      <c r="H153" s="224"/>
      <c r="I153" s="224"/>
      <c r="J153" s="224"/>
      <c r="K153" s="224"/>
      <c r="L153" s="224"/>
      <c r="M153" s="224"/>
    </row>
    <row r="154" spans="1:13" x14ac:dyDescent="0.35">
      <c r="A154" s="224"/>
      <c r="B154" s="224"/>
      <c r="C154" s="224"/>
      <c r="D154" s="224"/>
      <c r="E154" s="224"/>
      <c r="F154" s="224"/>
      <c r="G154" s="224"/>
      <c r="H154" s="224"/>
      <c r="I154" s="224"/>
      <c r="J154" s="224"/>
      <c r="K154" s="224"/>
      <c r="L154" s="224"/>
      <c r="M154" s="224"/>
    </row>
    <row r="155" spans="1:13" x14ac:dyDescent="0.35">
      <c r="L155" s="289"/>
      <c r="M155" s="269"/>
    </row>
    <row r="156" spans="1:13" x14ac:dyDescent="0.35">
      <c r="L156" s="289"/>
      <c r="M156" s="269"/>
    </row>
    <row r="157" spans="1:13" x14ac:dyDescent="0.35">
      <c r="L157" s="289"/>
      <c r="M157" s="269"/>
    </row>
    <row r="158" spans="1:13" x14ac:dyDescent="0.35">
      <c r="L158" s="289"/>
      <c r="M158" s="269"/>
    </row>
    <row r="159" spans="1:13" x14ac:dyDescent="0.35">
      <c r="L159" s="289"/>
      <c r="M159" s="269"/>
    </row>
    <row r="160" spans="1:13" x14ac:dyDescent="0.35">
      <c r="L160" s="289"/>
      <c r="M160" s="269"/>
    </row>
    <row r="161" spans="12:13" x14ac:dyDescent="0.35">
      <c r="L161" s="289"/>
      <c r="M161" s="269"/>
    </row>
    <row r="162" spans="12:13" x14ac:dyDescent="0.35">
      <c r="L162" s="289"/>
      <c r="M162" s="269"/>
    </row>
    <row r="163" spans="12:13" x14ac:dyDescent="0.35">
      <c r="L163" s="289"/>
      <c r="M163" s="269"/>
    </row>
    <row r="164" spans="12:13" x14ac:dyDescent="0.35">
      <c r="L164" s="289"/>
      <c r="M164" s="269"/>
    </row>
    <row r="165" spans="12:13" x14ac:dyDescent="0.35">
      <c r="L165" s="289"/>
      <c r="M165" s="269"/>
    </row>
    <row r="166" spans="12:13" x14ac:dyDescent="0.35">
      <c r="L166" s="289"/>
      <c r="M166" s="269"/>
    </row>
    <row r="167" spans="12:13" x14ac:dyDescent="0.35">
      <c r="L167" s="289"/>
      <c r="M167" s="269"/>
    </row>
  </sheetData>
  <protectedRanges>
    <protectedRange password="C269" sqref="B2:C2" name="Inputs_2"/>
  </protectedRanges>
  <dataValidations count="5">
    <dataValidation type="list" allowBlank="1" showInputMessage="1" showErrorMessage="1" sqref="B18:C18">
      <formula1>$H$63:$L$63</formula1>
    </dataValidation>
    <dataValidation type="list" allowBlank="1" showInputMessage="1" showErrorMessage="1" sqref="B46:C46">
      <formula1>$A$102:$A$106</formula1>
    </dataValidation>
    <dataValidation type="list" allowBlank="1" showInputMessage="1" showErrorMessage="1" sqref="C45">
      <formula1>$A$98:$A$99</formula1>
    </dataValidation>
    <dataValidation type="list" allowBlank="1" showInputMessage="1" showErrorMessage="1" sqref="B45">
      <formula1>$A$95:$A$99</formula1>
    </dataValidation>
    <dataValidation type="list" allowBlank="1" showInputMessage="1" showErrorMessage="1" sqref="C56:C59 B57 B55">
      <formula1>$A$108:$A$112</formula1>
    </dataValidation>
  </dataValidation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184"/>
  <sheetViews>
    <sheetView zoomScale="80" zoomScaleNormal="80" workbookViewId="0">
      <pane xSplit="1" ySplit="2" topLeftCell="B14" activePane="bottomRight" state="frozen"/>
      <selection pane="topRight" activeCell="B1" sqref="B1"/>
      <selection pane="bottomLeft" activeCell="A3" sqref="A3"/>
      <selection pane="bottomRight" activeCell="C49" sqref="C49"/>
    </sheetView>
  </sheetViews>
  <sheetFormatPr defaultColWidth="9.1796875" defaultRowHeight="14.5" outlineLevelCol="1" x14ac:dyDescent="0.35"/>
  <cols>
    <col min="1" max="1" width="2.1796875" style="574" customWidth="1"/>
    <col min="2" max="2" width="42.26953125" style="574" bestFit="1" customWidth="1"/>
    <col min="3" max="3" width="19.1796875" style="574" customWidth="1"/>
    <col min="4" max="4" width="24.54296875" style="574" bestFit="1" customWidth="1"/>
    <col min="5" max="5" width="12.453125" style="574" bestFit="1" customWidth="1"/>
    <col min="6" max="15" width="12.453125" style="574" hidden="1" customWidth="1" outlineLevel="1"/>
    <col min="16" max="16" width="12.453125" style="574" customWidth="1" collapsed="1"/>
    <col min="17" max="17" width="12" style="574" customWidth="1"/>
    <col min="18" max="18" width="11.7265625" style="574" hidden="1" customWidth="1" outlineLevel="1"/>
    <col min="19" max="24" width="11.54296875" style="574" hidden="1" customWidth="1" outlineLevel="1"/>
    <col min="25" max="26" width="14.1796875" style="574" hidden="1" customWidth="1" outlineLevel="1"/>
    <col min="27" max="27" width="13.81640625" style="574" hidden="1" customWidth="1" outlineLevel="1"/>
    <col min="28" max="28" width="13.81640625" style="574" bestFit="1" customWidth="1" collapsed="1"/>
    <col min="29" max="29" width="13.81640625" style="574" bestFit="1" customWidth="1"/>
    <col min="30" max="31" width="13.81640625" style="574" customWidth="1" outlineLevel="1"/>
    <col min="32" max="37" width="15.453125" style="574" customWidth="1" outlineLevel="1"/>
    <col min="38" max="39" width="13.81640625" style="574" customWidth="1" outlineLevel="1"/>
    <col min="40" max="41" width="13.81640625" style="574" bestFit="1" customWidth="1"/>
    <col min="42" max="51" width="13.81640625" style="574" customWidth="1" outlineLevel="1"/>
    <col min="52" max="52" width="13.81640625" style="574" bestFit="1" customWidth="1"/>
    <col min="53" max="53" width="13.7265625" style="574" bestFit="1" customWidth="1"/>
    <col min="54" max="54" width="13.7265625" style="574" hidden="1" customWidth="1" outlineLevel="1"/>
    <col min="55" max="63" width="14.453125" style="574" hidden="1" customWidth="1" outlineLevel="1"/>
    <col min="64" max="64" width="14.453125" style="574" bestFit="1" customWidth="1" collapsed="1"/>
    <col min="65" max="16384" width="9.1796875" style="574"/>
  </cols>
  <sheetData>
    <row r="1" spans="1:74" x14ac:dyDescent="0.35">
      <c r="B1" s="575" t="s">
        <v>1160</v>
      </c>
    </row>
    <row r="2" spans="1:74" x14ac:dyDescent="0.35">
      <c r="B2" s="880">
        <v>40909</v>
      </c>
      <c r="C2" s="788"/>
      <c r="D2" s="789"/>
      <c r="E2" s="789">
        <f>B2</f>
        <v>40909</v>
      </c>
      <c r="F2" s="789">
        <f t="shared" ref="F2:BL2" si="0">E2+DAY(DATE(YEAR(E2),MONTH(E2)+1,))</f>
        <v>40940</v>
      </c>
      <c r="G2" s="789">
        <f t="shared" si="0"/>
        <v>40969</v>
      </c>
      <c r="H2" s="789">
        <f t="shared" si="0"/>
        <v>41000</v>
      </c>
      <c r="I2" s="789">
        <f t="shared" si="0"/>
        <v>41030</v>
      </c>
      <c r="J2" s="789">
        <f t="shared" si="0"/>
        <v>41061</v>
      </c>
      <c r="K2" s="789">
        <f t="shared" si="0"/>
        <v>41091</v>
      </c>
      <c r="L2" s="789">
        <f t="shared" si="0"/>
        <v>41122</v>
      </c>
      <c r="M2" s="789">
        <f t="shared" si="0"/>
        <v>41153</v>
      </c>
      <c r="N2" s="789">
        <f t="shared" si="0"/>
        <v>41183</v>
      </c>
      <c r="O2" s="789">
        <f t="shared" si="0"/>
        <v>41214</v>
      </c>
      <c r="P2" s="789">
        <f t="shared" si="0"/>
        <v>41244</v>
      </c>
      <c r="Q2" s="789">
        <f t="shared" si="0"/>
        <v>41275</v>
      </c>
      <c r="R2" s="789">
        <f t="shared" si="0"/>
        <v>41306</v>
      </c>
      <c r="S2" s="789">
        <f t="shared" si="0"/>
        <v>41334</v>
      </c>
      <c r="T2" s="789">
        <f t="shared" si="0"/>
        <v>41365</v>
      </c>
      <c r="U2" s="789">
        <f t="shared" si="0"/>
        <v>41395</v>
      </c>
      <c r="V2" s="789">
        <f t="shared" si="0"/>
        <v>41426</v>
      </c>
      <c r="W2" s="789">
        <f t="shared" si="0"/>
        <v>41456</v>
      </c>
      <c r="X2" s="789">
        <f t="shared" si="0"/>
        <v>41487</v>
      </c>
      <c r="Y2" s="789">
        <f t="shared" si="0"/>
        <v>41518</v>
      </c>
      <c r="Z2" s="789">
        <f t="shared" si="0"/>
        <v>41548</v>
      </c>
      <c r="AA2" s="789">
        <f t="shared" si="0"/>
        <v>41579</v>
      </c>
      <c r="AB2" s="789">
        <f t="shared" si="0"/>
        <v>41609</v>
      </c>
      <c r="AC2" s="789">
        <f t="shared" si="0"/>
        <v>41640</v>
      </c>
      <c r="AD2" s="789">
        <f t="shared" si="0"/>
        <v>41671</v>
      </c>
      <c r="AE2" s="789">
        <f t="shared" si="0"/>
        <v>41699</v>
      </c>
      <c r="AF2" s="789">
        <f t="shared" si="0"/>
        <v>41730</v>
      </c>
      <c r="AG2" s="789">
        <f t="shared" si="0"/>
        <v>41760</v>
      </c>
      <c r="AH2" s="789">
        <f t="shared" si="0"/>
        <v>41791</v>
      </c>
      <c r="AI2" s="789">
        <f t="shared" si="0"/>
        <v>41821</v>
      </c>
      <c r="AJ2" s="789">
        <f t="shared" si="0"/>
        <v>41852</v>
      </c>
      <c r="AK2" s="789">
        <f t="shared" si="0"/>
        <v>41883</v>
      </c>
      <c r="AL2" s="789">
        <f t="shared" si="0"/>
        <v>41913</v>
      </c>
      <c r="AM2" s="789">
        <f t="shared" si="0"/>
        <v>41944</v>
      </c>
      <c r="AN2" s="789">
        <f t="shared" si="0"/>
        <v>41974</v>
      </c>
      <c r="AO2" s="789">
        <f t="shared" si="0"/>
        <v>42005</v>
      </c>
      <c r="AP2" s="789">
        <f t="shared" si="0"/>
        <v>42036</v>
      </c>
      <c r="AQ2" s="789">
        <f t="shared" si="0"/>
        <v>42064</v>
      </c>
      <c r="AR2" s="789">
        <f t="shared" si="0"/>
        <v>42095</v>
      </c>
      <c r="AS2" s="789">
        <f t="shared" si="0"/>
        <v>42125</v>
      </c>
      <c r="AT2" s="789">
        <f t="shared" si="0"/>
        <v>42156</v>
      </c>
      <c r="AU2" s="789">
        <f t="shared" si="0"/>
        <v>42186</v>
      </c>
      <c r="AV2" s="789">
        <f t="shared" si="0"/>
        <v>42217</v>
      </c>
      <c r="AW2" s="789">
        <f t="shared" si="0"/>
        <v>42248</v>
      </c>
      <c r="AX2" s="789">
        <f t="shared" si="0"/>
        <v>42278</v>
      </c>
      <c r="AY2" s="789">
        <f t="shared" si="0"/>
        <v>42309</v>
      </c>
      <c r="AZ2" s="789">
        <f t="shared" si="0"/>
        <v>42339</v>
      </c>
      <c r="BA2" s="789">
        <f t="shared" si="0"/>
        <v>42370</v>
      </c>
      <c r="BB2" s="789">
        <f t="shared" si="0"/>
        <v>42401</v>
      </c>
      <c r="BC2" s="789">
        <f t="shared" si="0"/>
        <v>42430</v>
      </c>
      <c r="BD2" s="789">
        <f t="shared" si="0"/>
        <v>42461</v>
      </c>
      <c r="BE2" s="789">
        <f t="shared" si="0"/>
        <v>42491</v>
      </c>
      <c r="BF2" s="789">
        <f t="shared" si="0"/>
        <v>42522</v>
      </c>
      <c r="BG2" s="789">
        <f t="shared" si="0"/>
        <v>42552</v>
      </c>
      <c r="BH2" s="789">
        <f t="shared" si="0"/>
        <v>42583</v>
      </c>
      <c r="BI2" s="789">
        <f t="shared" si="0"/>
        <v>42614</v>
      </c>
      <c r="BJ2" s="789">
        <f t="shared" si="0"/>
        <v>42644</v>
      </c>
      <c r="BK2" s="789">
        <f t="shared" si="0"/>
        <v>42675</v>
      </c>
      <c r="BL2" s="790">
        <f t="shared" si="0"/>
        <v>42705</v>
      </c>
    </row>
    <row r="3" spans="1:74" x14ac:dyDescent="0.35">
      <c r="B3" s="1155"/>
      <c r="C3" s="1156"/>
      <c r="D3" s="1156"/>
      <c r="E3" s="1156" t="str">
        <f>'BS - Monthly'!F3</f>
        <v>Actual</v>
      </c>
      <c r="F3" s="1156" t="str">
        <f>'BS - Monthly'!G3</f>
        <v>Actual</v>
      </c>
      <c r="G3" s="1156" t="str">
        <f>'BS - Monthly'!H3</f>
        <v>Actual</v>
      </c>
      <c r="H3" s="1156" t="str">
        <f>'BS - Monthly'!I3</f>
        <v>Actual</v>
      </c>
      <c r="I3" s="1156" t="str">
        <f>'BS - Monthly'!J3</f>
        <v>Actual</v>
      </c>
      <c r="J3" s="1156" t="str">
        <f>'BS - Monthly'!K3</f>
        <v>Actual</v>
      </c>
      <c r="K3" s="1156" t="str">
        <f>'BS - Monthly'!L3</f>
        <v>Actual</v>
      </c>
      <c r="L3" s="1156" t="str">
        <f>'BS - Monthly'!M3</f>
        <v>Actual</v>
      </c>
      <c r="M3" s="1156" t="str">
        <f>'BS - Monthly'!N3</f>
        <v>Actual</v>
      </c>
      <c r="N3" s="1156" t="str">
        <f>'BS - Monthly'!O3</f>
        <v>Actual</v>
      </c>
      <c r="O3" s="1156" t="str">
        <f>'BS - Monthly'!P3</f>
        <v>Actual</v>
      </c>
      <c r="P3" s="1156" t="str">
        <f>'BS - Monthly'!Q3</f>
        <v>Actual</v>
      </c>
      <c r="Q3" s="1156" t="str">
        <f>'BS - Monthly'!R3</f>
        <v>Actual</v>
      </c>
      <c r="R3" s="1156" t="str">
        <f>'BS - Monthly'!S3</f>
        <v>Actual</v>
      </c>
      <c r="S3" s="1156" t="str">
        <f>'BS - Monthly'!T3</f>
        <v>Actual</v>
      </c>
      <c r="T3" s="1156" t="str">
        <f>'BS - Monthly'!U3</f>
        <v>Actual</v>
      </c>
      <c r="U3" s="1156" t="str">
        <f>'BS - Monthly'!V3</f>
        <v>Actual</v>
      </c>
      <c r="V3" s="1156" t="str">
        <f>'BS - Monthly'!W3</f>
        <v>Actual</v>
      </c>
      <c r="W3" s="1156" t="str">
        <f>'BS - Monthly'!X3</f>
        <v>Actual</v>
      </c>
      <c r="X3" s="1156" t="str">
        <f>'BS - Monthly'!Y3</f>
        <v>Actual</v>
      </c>
      <c r="Y3" s="1156" t="str">
        <f>'BS - Monthly'!Z3</f>
        <v>Actual</v>
      </c>
      <c r="Z3" s="1156" t="str">
        <f>'BS - Monthly'!AA3</f>
        <v>Actual</v>
      </c>
      <c r="AA3" s="1157" t="str">
        <f>'BS - Monthly'!AB3</f>
        <v>Actual</v>
      </c>
      <c r="AB3" s="1157" t="str">
        <f>'BS - Monthly'!AC3</f>
        <v>Actual</v>
      </c>
      <c r="AC3" s="1157" t="str">
        <f>'BS - Monthly'!AD3</f>
        <v>Forecast</v>
      </c>
      <c r="AD3" s="1157" t="str">
        <f>'BS - Monthly'!AE3</f>
        <v>Forecast</v>
      </c>
      <c r="AE3" s="1157" t="str">
        <f>'BS - Monthly'!AF3</f>
        <v>Forecast</v>
      </c>
      <c r="AF3" s="1157" t="str">
        <f>'BS - Monthly'!AG3</f>
        <v>Forecast</v>
      </c>
      <c r="AG3" s="1157" t="str">
        <f>'BS - Monthly'!AH3</f>
        <v>Forecast</v>
      </c>
      <c r="AH3" s="1157" t="str">
        <f>'BS - Monthly'!AI3</f>
        <v>Forecast</v>
      </c>
      <c r="AI3" s="1157" t="str">
        <f>'BS - Monthly'!AJ3</f>
        <v>Forecast</v>
      </c>
      <c r="AJ3" s="1157" t="str">
        <f>'BS - Monthly'!AK3</f>
        <v>Forecast</v>
      </c>
      <c r="AK3" s="1157" t="str">
        <f>'BS - Monthly'!AL3</f>
        <v>Forecast</v>
      </c>
      <c r="AL3" s="1157" t="str">
        <f>'BS - Monthly'!AM3</f>
        <v>Forecast</v>
      </c>
      <c r="AM3" s="1157" t="str">
        <f>'BS - Monthly'!AN3</f>
        <v>Forecast</v>
      </c>
      <c r="AN3" s="1157" t="str">
        <f>'BS - Monthly'!AO3</f>
        <v>Forecast</v>
      </c>
      <c r="AO3" s="1157" t="str">
        <f>'BS - Monthly'!AP3</f>
        <v>Forecast</v>
      </c>
      <c r="AP3" s="1157" t="str">
        <f>'BS - Monthly'!AQ3</f>
        <v>Forecast</v>
      </c>
      <c r="AQ3" s="1157" t="str">
        <f>'BS - Monthly'!AR3</f>
        <v>Forecast</v>
      </c>
      <c r="AR3" s="1157" t="str">
        <f>'BS - Monthly'!AS3</f>
        <v>Forecast</v>
      </c>
      <c r="AS3" s="1157" t="str">
        <f>'BS - Monthly'!AT3</f>
        <v>Forecast</v>
      </c>
      <c r="AT3" s="1157" t="str">
        <f>'BS - Monthly'!AU3</f>
        <v>Forecast</v>
      </c>
      <c r="AU3" s="1157" t="str">
        <f>'BS - Monthly'!AV3</f>
        <v>Forecast</v>
      </c>
      <c r="AV3" s="1157" t="str">
        <f>'BS - Monthly'!AW3</f>
        <v>Forecast</v>
      </c>
      <c r="AW3" s="1157" t="str">
        <f>'BS - Monthly'!AX3</f>
        <v>Forecast</v>
      </c>
      <c r="AX3" s="1157" t="str">
        <f>'BS - Monthly'!AY3</f>
        <v>Forecast</v>
      </c>
      <c r="AY3" s="1157" t="str">
        <f>'BS - Monthly'!AZ3</f>
        <v>Forecast</v>
      </c>
      <c r="AZ3" s="1157" t="str">
        <f>'BS - Monthly'!BA3</f>
        <v>Forecast</v>
      </c>
      <c r="BA3" s="1157" t="str">
        <f>'BS - Monthly'!BB3</f>
        <v>Forecast</v>
      </c>
      <c r="BB3" s="1157" t="str">
        <f>'BS - Monthly'!BC3</f>
        <v>Forecast</v>
      </c>
      <c r="BC3" s="1157" t="str">
        <f>'BS - Monthly'!BD3</f>
        <v>Forecast</v>
      </c>
      <c r="BD3" s="1157" t="str">
        <f>'BS - Monthly'!BE3</f>
        <v>Forecast</v>
      </c>
      <c r="BE3" s="1157" t="str">
        <f>'BS - Monthly'!BF3</f>
        <v>Forecast</v>
      </c>
      <c r="BF3" s="1157" t="str">
        <f>'BS - Monthly'!BG3</f>
        <v>Forecast</v>
      </c>
      <c r="BG3" s="1157" t="str">
        <f>'BS - Monthly'!BH3</f>
        <v>Forecast</v>
      </c>
      <c r="BH3" s="1157" t="str">
        <f>'BS - Monthly'!BI3</f>
        <v>Forecast</v>
      </c>
      <c r="BI3" s="1157" t="str">
        <f>'BS - Monthly'!BJ3</f>
        <v>Forecast</v>
      </c>
      <c r="BJ3" s="1157" t="str">
        <f>'BS - Monthly'!BK3</f>
        <v>Forecast</v>
      </c>
      <c r="BK3" s="1157" t="str">
        <f>'BS - Monthly'!BL3</f>
        <v>Forecast</v>
      </c>
      <c r="BL3" s="1158" t="str">
        <f>'BS - Monthly'!BM3</f>
        <v>Forecast</v>
      </c>
      <c r="BM3" s="792"/>
      <c r="BN3" s="792"/>
      <c r="BO3" s="792"/>
      <c r="BP3" s="792"/>
      <c r="BQ3" s="792"/>
      <c r="BR3" s="792"/>
      <c r="BS3" s="792"/>
      <c r="BT3" s="792"/>
      <c r="BU3" s="792"/>
      <c r="BV3" s="793"/>
    </row>
    <row r="4" spans="1:74" x14ac:dyDescent="0.35">
      <c r="A4" s="306"/>
      <c r="B4" s="652" t="s">
        <v>820</v>
      </c>
      <c r="C4" s="574" t="s">
        <v>821</v>
      </c>
    </row>
    <row r="5" spans="1:74" x14ac:dyDescent="0.35">
      <c r="B5" s="164" t="s">
        <v>822</v>
      </c>
      <c r="C5" s="164"/>
      <c r="D5" s="164"/>
      <c r="E5" s="1163">
        <f>Sales!C26+Marketing!C26</f>
        <v>62131.364553065243</v>
      </c>
      <c r="F5" s="1163">
        <f>Sales!D26+Marketing!D26</f>
        <v>60052.672349472188</v>
      </c>
      <c r="G5" s="1163">
        <f>Sales!E26+Marketing!E26</f>
        <v>57270.122734290315</v>
      </c>
      <c r="H5" s="1163">
        <f>Sales!F26+Marketing!F26</f>
        <v>64644.680505027434</v>
      </c>
      <c r="I5" s="1163">
        <f>Sales!G26+Marketing!G26</f>
        <v>69338.170492118617</v>
      </c>
      <c r="J5" s="1163">
        <f>Sales!H26+Marketing!H26</f>
        <v>88724.326130866684</v>
      </c>
      <c r="K5" s="1163">
        <f>Sales!I26+Marketing!I26</f>
        <v>66897.984697169421</v>
      </c>
      <c r="L5" s="1163">
        <f>Sales!J26+Marketing!J26</f>
        <v>88651.352509896649</v>
      </c>
      <c r="M5" s="1163">
        <f>Sales!K26+Marketing!K26</f>
        <v>66968.199630652525</v>
      </c>
      <c r="N5" s="1163">
        <f>Sales!L26+Marketing!L26</f>
        <v>64236.583806622752</v>
      </c>
      <c r="O5" s="1163">
        <f>Sales!M26+Marketing!M26</f>
        <v>92095.270297621697</v>
      </c>
      <c r="P5" s="1163">
        <f>Sales!N26+Marketing!N26</f>
        <v>102152.14044102572</v>
      </c>
      <c r="Q5" s="1163">
        <f>Sales!O26+Marketing!O26</f>
        <v>143764.82</v>
      </c>
      <c r="R5" s="1163">
        <f>Sales!P26+Marketing!P26</f>
        <v>107225.18</v>
      </c>
      <c r="S5" s="1163">
        <f>Sales!Q26+Marketing!Q26</f>
        <v>183005.86</v>
      </c>
      <c r="T5" s="1163">
        <f>Sales!R26+Marketing!R26</f>
        <v>141240.5</v>
      </c>
      <c r="U5" s="1163">
        <f>Sales!S26+Marketing!S26</f>
        <v>151992</v>
      </c>
      <c r="V5" s="1163">
        <f>Sales!T26+Marketing!T26</f>
        <v>134714.5</v>
      </c>
      <c r="W5" s="1163">
        <f>Sales!U26+Marketing!U26</f>
        <v>167968.15</v>
      </c>
      <c r="X5" s="1163">
        <f>Sales!V26+Marketing!V26</f>
        <v>150841.5</v>
      </c>
      <c r="Y5" s="1163">
        <f>Sales!W26+Marketing!W26</f>
        <v>169797.77</v>
      </c>
      <c r="Z5" s="1163">
        <f>Sales!X26+Marketing!X26</f>
        <v>209855.99000000002</v>
      </c>
      <c r="AA5" s="1163">
        <f>Sales!Y26+Marketing!Y26</f>
        <v>165036.23000000001</v>
      </c>
      <c r="AB5" s="1163">
        <f>Sales!Z26+Marketing!Z26</f>
        <v>262539.42</v>
      </c>
      <c r="AC5" s="665">
        <f>Sales!AA26+Marketing!AA26</f>
        <v>179939.261</v>
      </c>
      <c r="AD5" s="665">
        <f>Sales!AB26+Marketing!AB26</f>
        <v>196237.85794444446</v>
      </c>
      <c r="AE5" s="665">
        <f>Sales!AC26+Marketing!AC26</f>
        <v>196130.99296759261</v>
      </c>
      <c r="AF5" s="665">
        <f>Sales!AD26+Marketing!AD26</f>
        <v>225672.63757600309</v>
      </c>
      <c r="AG5" s="665">
        <f>Sales!AE26+Marketing!AE26</f>
        <v>211909.46173511446</v>
      </c>
      <c r="AH5" s="665">
        <f>Sales!AF26+Marketing!AF26</f>
        <v>222299.07457415177</v>
      </c>
      <c r="AI5" s="665">
        <f>Sales!AG26+Marketing!AG26</f>
        <v>236157.61264977552</v>
      </c>
      <c r="AJ5" s="665">
        <f>Sales!AH26+Marketing!AH26</f>
        <v>227395.59389836792</v>
      </c>
      <c r="AK5" s="665">
        <f>Sales!AI26+Marketing!AI26</f>
        <v>227876.32358434302</v>
      </c>
      <c r="AL5" s="665">
        <f>Sales!AJ26+Marketing!AJ26</f>
        <v>227918.03907748274</v>
      </c>
      <c r="AM5" s="665">
        <f>Sales!AK26+Marketing!AK26</f>
        <v>228174.93919505074</v>
      </c>
      <c r="AN5" s="665">
        <f>Sales!AL26+Marketing!AL26</f>
        <v>650984.90098908264</v>
      </c>
      <c r="AO5" s="665">
        <f>Sales!AM26+Marketing!AM26</f>
        <v>229741.38532345076</v>
      </c>
      <c r="AP5" s="665">
        <f>Sales!AN26+Marketing!AN26</f>
        <v>234626.00989762723</v>
      </c>
      <c r="AQ5" s="665">
        <f>Sales!AO26+Marketing!AO26</f>
        <v>235220.69249277032</v>
      </c>
      <c r="AR5" s="665">
        <f>Sales!AP26+Marketing!AP26</f>
        <v>235491.94131749964</v>
      </c>
      <c r="AS5" s="665">
        <f>Sales!AQ26+Marketing!AQ26</f>
        <v>235729.39284149033</v>
      </c>
      <c r="AT5" s="665">
        <f>Sales!AR26+Marketing!AR26</f>
        <v>235984.86365345793</v>
      </c>
      <c r="AU5" s="665">
        <f>Sales!AS26+Marketing!AS26</f>
        <v>236234.74216865606</v>
      </c>
      <c r="AV5" s="665">
        <f>Sales!AT26+Marketing!AT26</f>
        <v>236430.94871703029</v>
      </c>
      <c r="AW5" s="665">
        <f>Sales!AU26+Marketing!AU26</f>
        <v>236608.28658939226</v>
      </c>
      <c r="AX5" s="665">
        <f>Sales!AV26+Marketing!AV26</f>
        <v>236761.73828772904</v>
      </c>
      <c r="AY5" s="665">
        <f>Sales!AW26+Marketing!AW26</f>
        <v>236926.02582400985</v>
      </c>
      <c r="AZ5" s="665">
        <f>Sales!AX26+Marketing!AX26</f>
        <v>671990.42987738294</v>
      </c>
      <c r="BA5" s="665">
        <f>Sales!AY26+Marketing!AY26</f>
        <v>240894.62625668535</v>
      </c>
      <c r="BB5" s="665">
        <f>Sales!AZ26+Marketing!AZ26</f>
        <v>245969.43523249449</v>
      </c>
      <c r="BC5" s="665">
        <f>Sales!BA26+Marketing!BA26</f>
        <v>246224.26767483517</v>
      </c>
      <c r="BD5" s="665">
        <f>Sales!BB26+Marketing!BB26</f>
        <v>246451.04986750364</v>
      </c>
      <c r="BE5" s="665">
        <f>Sales!BC26+Marketing!BC26</f>
        <v>246674.29015924956</v>
      </c>
      <c r="BF5" s="665">
        <f>Sales!BD26+Marketing!BD26</f>
        <v>246896.79350846593</v>
      </c>
      <c r="BG5" s="665">
        <f>Sales!BE26+Marketing!BE26</f>
        <v>247116.9187029865</v>
      </c>
      <c r="BH5" s="665">
        <f>Sales!BF26+Marketing!BF26</f>
        <v>247334.8373008635</v>
      </c>
      <c r="BI5" s="665">
        <f>Sales!BG26+Marketing!BG26</f>
        <v>247555.13354143593</v>
      </c>
      <c r="BJ5" s="665">
        <f>Sales!BH26+Marketing!BH26</f>
        <v>247779.51278447284</v>
      </c>
      <c r="BK5" s="665">
        <f>Sales!BI26+Marketing!BI26</f>
        <v>248010.22390530427</v>
      </c>
      <c r="BL5" s="665">
        <f>Sales!BJ26+Marketing!BJ26</f>
        <v>696200.14554372721</v>
      </c>
    </row>
    <row r="6" spans="1:74" x14ac:dyDescent="0.35">
      <c r="B6" s="164" t="s">
        <v>823</v>
      </c>
      <c r="C6" s="574" t="s">
        <v>824</v>
      </c>
      <c r="E6" s="1163">
        <f>E24</f>
        <v>0</v>
      </c>
      <c r="F6" s="1163">
        <f t="shared" ref="F6:AZ6" si="1">F24</f>
        <v>0</v>
      </c>
      <c r="G6" s="1163">
        <f t="shared" si="1"/>
        <v>0</v>
      </c>
      <c r="H6" s="1163">
        <f t="shared" si="1"/>
        <v>0</v>
      </c>
      <c r="I6" s="1163">
        <f t="shared" si="1"/>
        <v>0</v>
      </c>
      <c r="J6" s="1163">
        <f t="shared" si="1"/>
        <v>0</v>
      </c>
      <c r="K6" s="1163">
        <f t="shared" si="1"/>
        <v>0</v>
      </c>
      <c r="L6" s="1163">
        <f t="shared" si="1"/>
        <v>0</v>
      </c>
      <c r="M6" s="1163">
        <f t="shared" si="1"/>
        <v>0</v>
      </c>
      <c r="N6" s="1163">
        <f t="shared" si="1"/>
        <v>0</v>
      </c>
      <c r="O6" s="1163">
        <f t="shared" si="1"/>
        <v>0</v>
      </c>
      <c r="P6" s="1163">
        <f t="shared" si="1"/>
        <v>0</v>
      </c>
      <c r="Q6" s="1163">
        <f t="shared" si="1"/>
        <v>0</v>
      </c>
      <c r="R6" s="1163">
        <f t="shared" si="1"/>
        <v>0</v>
      </c>
      <c r="S6" s="1163">
        <f t="shared" si="1"/>
        <v>0</v>
      </c>
      <c r="T6" s="1163">
        <f t="shared" si="1"/>
        <v>0</v>
      </c>
      <c r="U6" s="1163">
        <f t="shared" si="1"/>
        <v>0</v>
      </c>
      <c r="V6" s="1163">
        <f t="shared" si="1"/>
        <v>0</v>
      </c>
      <c r="W6" s="1163">
        <f t="shared" si="1"/>
        <v>0</v>
      </c>
      <c r="X6" s="1163">
        <f t="shared" si="1"/>
        <v>0</v>
      </c>
      <c r="Y6" s="1163">
        <f t="shared" si="1"/>
        <v>0</v>
      </c>
      <c r="Z6" s="1163">
        <f t="shared" si="1"/>
        <v>0</v>
      </c>
      <c r="AA6" s="1163">
        <f t="shared" si="1"/>
        <v>0</v>
      </c>
      <c r="AB6" s="1163">
        <f t="shared" si="1"/>
        <v>0</v>
      </c>
      <c r="AC6" s="665">
        <f t="shared" si="1"/>
        <v>0</v>
      </c>
      <c r="AD6" s="665">
        <f t="shared" si="1"/>
        <v>0</v>
      </c>
      <c r="AE6" s="665">
        <f t="shared" si="1"/>
        <v>0</v>
      </c>
      <c r="AF6" s="665">
        <f t="shared" si="1"/>
        <v>0</v>
      </c>
      <c r="AG6" s="665">
        <f t="shared" si="1"/>
        <v>0</v>
      </c>
      <c r="AH6" s="665">
        <f t="shared" si="1"/>
        <v>0</v>
      </c>
      <c r="AI6" s="665">
        <f t="shared" si="1"/>
        <v>0</v>
      </c>
      <c r="AJ6" s="665">
        <f t="shared" si="1"/>
        <v>0</v>
      </c>
      <c r="AK6" s="665">
        <f t="shared" si="1"/>
        <v>0</v>
      </c>
      <c r="AL6" s="665">
        <f t="shared" si="1"/>
        <v>0</v>
      </c>
      <c r="AM6" s="665">
        <f t="shared" si="1"/>
        <v>0</v>
      </c>
      <c r="AN6" s="665">
        <f t="shared" si="1"/>
        <v>0</v>
      </c>
      <c r="AO6" s="665">
        <f t="shared" si="1"/>
        <v>0</v>
      </c>
      <c r="AP6" s="665">
        <f t="shared" si="1"/>
        <v>0</v>
      </c>
      <c r="AQ6" s="665">
        <f t="shared" si="1"/>
        <v>0</v>
      </c>
      <c r="AR6" s="665">
        <f t="shared" si="1"/>
        <v>0</v>
      </c>
      <c r="AS6" s="665">
        <f t="shared" si="1"/>
        <v>0</v>
      </c>
      <c r="AT6" s="665">
        <f t="shared" si="1"/>
        <v>0</v>
      </c>
      <c r="AU6" s="665">
        <f t="shared" si="1"/>
        <v>0</v>
      </c>
      <c r="AV6" s="665">
        <f t="shared" si="1"/>
        <v>0</v>
      </c>
      <c r="AW6" s="665">
        <f t="shared" si="1"/>
        <v>0</v>
      </c>
      <c r="AX6" s="665">
        <f t="shared" si="1"/>
        <v>0</v>
      </c>
      <c r="AY6" s="665">
        <f t="shared" si="1"/>
        <v>0</v>
      </c>
      <c r="AZ6" s="665">
        <f t="shared" si="1"/>
        <v>0</v>
      </c>
      <c r="BA6" s="665">
        <f t="shared" ref="BA6:BL6" si="2">BA24</f>
        <v>0</v>
      </c>
      <c r="BB6" s="665">
        <f t="shared" si="2"/>
        <v>0</v>
      </c>
      <c r="BC6" s="665">
        <f t="shared" si="2"/>
        <v>0</v>
      </c>
      <c r="BD6" s="665">
        <f t="shared" si="2"/>
        <v>0</v>
      </c>
      <c r="BE6" s="665">
        <f t="shared" si="2"/>
        <v>0</v>
      </c>
      <c r="BF6" s="665">
        <f t="shared" si="2"/>
        <v>0</v>
      </c>
      <c r="BG6" s="665">
        <f t="shared" si="2"/>
        <v>0</v>
      </c>
      <c r="BH6" s="665">
        <f t="shared" si="2"/>
        <v>0</v>
      </c>
      <c r="BI6" s="665">
        <f t="shared" si="2"/>
        <v>0</v>
      </c>
      <c r="BJ6" s="665">
        <f t="shared" si="2"/>
        <v>0</v>
      </c>
      <c r="BK6" s="665">
        <f t="shared" si="2"/>
        <v>0</v>
      </c>
      <c r="BL6" s="665">
        <f t="shared" si="2"/>
        <v>0</v>
      </c>
    </row>
    <row r="7" spans="1:74" x14ac:dyDescent="0.35">
      <c r="C7" s="574" t="s">
        <v>825</v>
      </c>
      <c r="E7" s="1163">
        <f>E32</f>
        <v>0</v>
      </c>
      <c r="F7" s="1163">
        <f t="shared" ref="F7:AZ7" si="3">F32</f>
        <v>0</v>
      </c>
      <c r="G7" s="1163">
        <f t="shared" si="3"/>
        <v>0</v>
      </c>
      <c r="H7" s="1163">
        <f t="shared" si="3"/>
        <v>0</v>
      </c>
      <c r="I7" s="1163">
        <f t="shared" si="3"/>
        <v>0</v>
      </c>
      <c r="J7" s="1163">
        <f t="shared" si="3"/>
        <v>0</v>
      </c>
      <c r="K7" s="1163">
        <f t="shared" si="3"/>
        <v>0</v>
      </c>
      <c r="L7" s="1163">
        <f t="shared" si="3"/>
        <v>0</v>
      </c>
      <c r="M7" s="1163">
        <f t="shared" si="3"/>
        <v>0</v>
      </c>
      <c r="N7" s="1163">
        <f t="shared" si="3"/>
        <v>0</v>
      </c>
      <c r="O7" s="1163">
        <f t="shared" si="3"/>
        <v>0</v>
      </c>
      <c r="P7" s="1163">
        <f t="shared" si="3"/>
        <v>0</v>
      </c>
      <c r="Q7" s="1163">
        <f t="shared" si="3"/>
        <v>0</v>
      </c>
      <c r="R7" s="1163">
        <f t="shared" si="3"/>
        <v>0</v>
      </c>
      <c r="S7" s="1163">
        <f t="shared" si="3"/>
        <v>0</v>
      </c>
      <c r="T7" s="1163">
        <f t="shared" si="3"/>
        <v>0</v>
      </c>
      <c r="U7" s="1163">
        <f t="shared" si="3"/>
        <v>0</v>
      </c>
      <c r="V7" s="1163">
        <f t="shared" si="3"/>
        <v>0</v>
      </c>
      <c r="W7" s="1163">
        <f t="shared" si="3"/>
        <v>0</v>
      </c>
      <c r="X7" s="1163">
        <f t="shared" si="3"/>
        <v>0</v>
      </c>
      <c r="Y7" s="1163">
        <f t="shared" si="3"/>
        <v>0</v>
      </c>
      <c r="Z7" s="1163">
        <f t="shared" si="3"/>
        <v>0</v>
      </c>
      <c r="AA7" s="1163">
        <f t="shared" si="3"/>
        <v>0</v>
      </c>
      <c r="AB7" s="1163">
        <f t="shared" si="3"/>
        <v>0</v>
      </c>
      <c r="AC7" s="665">
        <f t="shared" si="3"/>
        <v>0</v>
      </c>
      <c r="AD7" s="665">
        <f t="shared" si="3"/>
        <v>0</v>
      </c>
      <c r="AE7" s="665">
        <f t="shared" si="3"/>
        <v>0</v>
      </c>
      <c r="AF7" s="665">
        <f t="shared" si="3"/>
        <v>0</v>
      </c>
      <c r="AG7" s="665">
        <f t="shared" si="3"/>
        <v>0</v>
      </c>
      <c r="AH7" s="665">
        <f t="shared" si="3"/>
        <v>0</v>
      </c>
      <c r="AI7" s="665">
        <f t="shared" si="3"/>
        <v>0</v>
      </c>
      <c r="AJ7" s="665">
        <f t="shared" si="3"/>
        <v>0</v>
      </c>
      <c r="AK7" s="665">
        <f t="shared" si="3"/>
        <v>0</v>
      </c>
      <c r="AL7" s="665">
        <f t="shared" si="3"/>
        <v>0</v>
      </c>
      <c r="AM7" s="665">
        <f t="shared" si="3"/>
        <v>0</v>
      </c>
      <c r="AN7" s="665">
        <f t="shared" si="3"/>
        <v>0</v>
      </c>
      <c r="AO7" s="665">
        <f t="shared" si="3"/>
        <v>0</v>
      </c>
      <c r="AP7" s="665">
        <f t="shared" si="3"/>
        <v>0</v>
      </c>
      <c r="AQ7" s="665">
        <f t="shared" si="3"/>
        <v>0</v>
      </c>
      <c r="AR7" s="665">
        <f t="shared" si="3"/>
        <v>0</v>
      </c>
      <c r="AS7" s="665">
        <f t="shared" si="3"/>
        <v>0</v>
      </c>
      <c r="AT7" s="665">
        <f t="shared" si="3"/>
        <v>0</v>
      </c>
      <c r="AU7" s="665">
        <f t="shared" si="3"/>
        <v>0</v>
      </c>
      <c r="AV7" s="665">
        <f t="shared" si="3"/>
        <v>0</v>
      </c>
      <c r="AW7" s="665">
        <f t="shared" si="3"/>
        <v>0</v>
      </c>
      <c r="AX7" s="665">
        <f t="shared" si="3"/>
        <v>0</v>
      </c>
      <c r="AY7" s="665">
        <f t="shared" si="3"/>
        <v>0</v>
      </c>
      <c r="AZ7" s="665">
        <f t="shared" si="3"/>
        <v>0</v>
      </c>
      <c r="BA7" s="665">
        <f t="shared" ref="BA7:BL7" si="4">BA32</f>
        <v>0</v>
      </c>
      <c r="BB7" s="665">
        <f t="shared" si="4"/>
        <v>0</v>
      </c>
      <c r="BC7" s="665">
        <f t="shared" si="4"/>
        <v>0</v>
      </c>
      <c r="BD7" s="665">
        <f t="shared" si="4"/>
        <v>0</v>
      </c>
      <c r="BE7" s="665">
        <f t="shared" si="4"/>
        <v>0</v>
      </c>
      <c r="BF7" s="665">
        <f t="shared" si="4"/>
        <v>0</v>
      </c>
      <c r="BG7" s="665">
        <f t="shared" si="4"/>
        <v>0</v>
      </c>
      <c r="BH7" s="665">
        <f t="shared" si="4"/>
        <v>0</v>
      </c>
      <c r="BI7" s="665">
        <f t="shared" si="4"/>
        <v>0</v>
      </c>
      <c r="BJ7" s="665">
        <f t="shared" si="4"/>
        <v>0</v>
      </c>
      <c r="BK7" s="665">
        <f t="shared" si="4"/>
        <v>0</v>
      </c>
      <c r="BL7" s="665">
        <f t="shared" si="4"/>
        <v>0</v>
      </c>
    </row>
    <row r="8" spans="1:74" x14ac:dyDescent="0.35">
      <c r="C8" s="574" t="s">
        <v>826</v>
      </c>
      <c r="E8" s="1163">
        <f>E40</f>
        <v>0</v>
      </c>
      <c r="F8" s="1163">
        <f t="shared" ref="F8:AZ8" si="5">F40</f>
        <v>0</v>
      </c>
      <c r="G8" s="1163">
        <f t="shared" si="5"/>
        <v>0</v>
      </c>
      <c r="H8" s="1163">
        <f t="shared" si="5"/>
        <v>0</v>
      </c>
      <c r="I8" s="1163">
        <f t="shared" si="5"/>
        <v>0</v>
      </c>
      <c r="J8" s="1163">
        <f t="shared" si="5"/>
        <v>0</v>
      </c>
      <c r="K8" s="1163">
        <f t="shared" si="5"/>
        <v>0</v>
      </c>
      <c r="L8" s="1163">
        <f t="shared" si="5"/>
        <v>0</v>
      </c>
      <c r="M8" s="1163">
        <f t="shared" si="5"/>
        <v>0</v>
      </c>
      <c r="N8" s="1163">
        <f t="shared" si="5"/>
        <v>0</v>
      </c>
      <c r="O8" s="1163">
        <f t="shared" si="5"/>
        <v>0</v>
      </c>
      <c r="P8" s="1163">
        <f t="shared" si="5"/>
        <v>0</v>
      </c>
      <c r="Q8" s="1163">
        <f t="shared" si="5"/>
        <v>0</v>
      </c>
      <c r="R8" s="1163">
        <f t="shared" si="5"/>
        <v>0</v>
      </c>
      <c r="S8" s="1163">
        <f t="shared" si="5"/>
        <v>0</v>
      </c>
      <c r="T8" s="1163">
        <f t="shared" si="5"/>
        <v>0</v>
      </c>
      <c r="U8" s="1163">
        <f t="shared" si="5"/>
        <v>0</v>
      </c>
      <c r="V8" s="1163">
        <f t="shared" si="5"/>
        <v>0</v>
      </c>
      <c r="W8" s="1163">
        <f t="shared" si="5"/>
        <v>0</v>
      </c>
      <c r="X8" s="1163">
        <f t="shared" si="5"/>
        <v>0</v>
      </c>
      <c r="Y8" s="1163">
        <f t="shared" si="5"/>
        <v>0</v>
      </c>
      <c r="Z8" s="1163">
        <f t="shared" si="5"/>
        <v>0</v>
      </c>
      <c r="AA8" s="1163">
        <f t="shared" si="5"/>
        <v>0</v>
      </c>
      <c r="AB8" s="1163">
        <f t="shared" si="5"/>
        <v>0</v>
      </c>
      <c r="AC8" s="665">
        <f t="shared" si="5"/>
        <v>0</v>
      </c>
      <c r="AD8" s="665">
        <f t="shared" si="5"/>
        <v>0</v>
      </c>
      <c r="AE8" s="665">
        <f t="shared" si="5"/>
        <v>0</v>
      </c>
      <c r="AF8" s="665">
        <f t="shared" si="5"/>
        <v>0</v>
      </c>
      <c r="AG8" s="665">
        <f t="shared" si="5"/>
        <v>0</v>
      </c>
      <c r="AH8" s="665">
        <f t="shared" si="5"/>
        <v>0</v>
      </c>
      <c r="AI8" s="665">
        <f t="shared" si="5"/>
        <v>0</v>
      </c>
      <c r="AJ8" s="665">
        <f t="shared" si="5"/>
        <v>0</v>
      </c>
      <c r="AK8" s="665">
        <f t="shared" si="5"/>
        <v>0</v>
      </c>
      <c r="AL8" s="665">
        <f t="shared" si="5"/>
        <v>0</v>
      </c>
      <c r="AM8" s="665">
        <f t="shared" si="5"/>
        <v>0</v>
      </c>
      <c r="AN8" s="665">
        <f t="shared" si="5"/>
        <v>0</v>
      </c>
      <c r="AO8" s="665">
        <f t="shared" si="5"/>
        <v>0</v>
      </c>
      <c r="AP8" s="665">
        <f t="shared" si="5"/>
        <v>0</v>
      </c>
      <c r="AQ8" s="665">
        <f t="shared" si="5"/>
        <v>0</v>
      </c>
      <c r="AR8" s="665">
        <f t="shared" si="5"/>
        <v>0</v>
      </c>
      <c r="AS8" s="665">
        <f t="shared" si="5"/>
        <v>0</v>
      </c>
      <c r="AT8" s="665">
        <f t="shared" si="5"/>
        <v>0</v>
      </c>
      <c r="AU8" s="665">
        <f t="shared" si="5"/>
        <v>0</v>
      </c>
      <c r="AV8" s="665">
        <f t="shared" si="5"/>
        <v>0</v>
      </c>
      <c r="AW8" s="665">
        <f t="shared" si="5"/>
        <v>0</v>
      </c>
      <c r="AX8" s="665">
        <f t="shared" si="5"/>
        <v>0</v>
      </c>
      <c r="AY8" s="665">
        <f t="shared" si="5"/>
        <v>0</v>
      </c>
      <c r="AZ8" s="665">
        <f t="shared" si="5"/>
        <v>0</v>
      </c>
      <c r="BA8" s="665">
        <f t="shared" ref="BA8:BL8" si="6">BA40</f>
        <v>0</v>
      </c>
      <c r="BB8" s="665">
        <f t="shared" si="6"/>
        <v>0</v>
      </c>
      <c r="BC8" s="665">
        <f t="shared" si="6"/>
        <v>0</v>
      </c>
      <c r="BD8" s="665">
        <f t="shared" si="6"/>
        <v>0</v>
      </c>
      <c r="BE8" s="665">
        <f t="shared" si="6"/>
        <v>0</v>
      </c>
      <c r="BF8" s="665">
        <f t="shared" si="6"/>
        <v>0</v>
      </c>
      <c r="BG8" s="665">
        <f t="shared" si="6"/>
        <v>0</v>
      </c>
      <c r="BH8" s="665">
        <f t="shared" si="6"/>
        <v>0</v>
      </c>
      <c r="BI8" s="665">
        <f t="shared" si="6"/>
        <v>0</v>
      </c>
      <c r="BJ8" s="665">
        <f t="shared" si="6"/>
        <v>0</v>
      </c>
      <c r="BK8" s="665">
        <f t="shared" si="6"/>
        <v>0</v>
      </c>
      <c r="BL8" s="665">
        <f t="shared" si="6"/>
        <v>0</v>
      </c>
    </row>
    <row r="9" spans="1:74" x14ac:dyDescent="0.35">
      <c r="C9" s="574" t="s">
        <v>49</v>
      </c>
      <c r="E9" s="1163">
        <f>E48</f>
        <v>91250.8</v>
      </c>
      <c r="F9" s="1163">
        <f t="shared" ref="F9:AZ9" si="7">F48</f>
        <v>137787.19999999998</v>
      </c>
      <c r="G9" s="1163">
        <f t="shared" si="7"/>
        <v>162742.02000000002</v>
      </c>
      <c r="H9" s="1163">
        <f t="shared" si="7"/>
        <v>151877.41</v>
      </c>
      <c r="I9" s="1163">
        <f t="shared" si="7"/>
        <v>115310.32</v>
      </c>
      <c r="J9" s="1163">
        <f t="shared" si="7"/>
        <v>133316.34</v>
      </c>
      <c r="K9" s="1163">
        <f t="shared" si="7"/>
        <v>125631.40000000001</v>
      </c>
      <c r="L9" s="1163">
        <f t="shared" si="7"/>
        <v>142464.76</v>
      </c>
      <c r="M9" s="1163">
        <f t="shared" si="7"/>
        <v>143788.80000000005</v>
      </c>
      <c r="N9" s="1163">
        <f t="shared" si="7"/>
        <v>156742.78</v>
      </c>
      <c r="O9" s="1163">
        <f t="shared" si="7"/>
        <v>88581.16</v>
      </c>
      <c r="P9" s="1163">
        <f t="shared" si="7"/>
        <v>60219.11</v>
      </c>
      <c r="Q9" s="1163">
        <f t="shared" si="7"/>
        <v>253256.75</v>
      </c>
      <c r="R9" s="1163">
        <f t="shared" si="7"/>
        <v>176428.62999999998</v>
      </c>
      <c r="S9" s="1163">
        <f t="shared" si="7"/>
        <v>245214.31</v>
      </c>
      <c r="T9" s="1163">
        <f t="shared" si="7"/>
        <v>235310.52000000002</v>
      </c>
      <c r="U9" s="1163">
        <f t="shared" si="7"/>
        <v>270919.63</v>
      </c>
      <c r="V9" s="1163">
        <f t="shared" si="7"/>
        <v>441594.77</v>
      </c>
      <c r="W9" s="1163">
        <f t="shared" si="7"/>
        <v>690294.7</v>
      </c>
      <c r="X9" s="1163">
        <f t="shared" si="7"/>
        <v>648530.91</v>
      </c>
      <c r="Y9" s="1163">
        <f t="shared" si="7"/>
        <v>424936.93</v>
      </c>
      <c r="Z9" s="1163">
        <f t="shared" si="7"/>
        <v>380685.58</v>
      </c>
      <c r="AA9" s="1163">
        <f t="shared" si="7"/>
        <v>414441.6</v>
      </c>
      <c r="AB9" s="1163">
        <f t="shared" si="7"/>
        <v>336322.19</v>
      </c>
      <c r="AC9" s="665">
        <f t="shared" si="7"/>
        <v>235000</v>
      </c>
      <c r="AD9" s="665">
        <f t="shared" si="7"/>
        <v>300000</v>
      </c>
      <c r="AE9" s="665">
        <f t="shared" si="7"/>
        <v>465000</v>
      </c>
      <c r="AF9" s="665">
        <f t="shared" si="7"/>
        <v>565000</v>
      </c>
      <c r="AG9" s="665">
        <f t="shared" si="7"/>
        <v>570000</v>
      </c>
      <c r="AH9" s="665">
        <f t="shared" si="7"/>
        <v>500000</v>
      </c>
      <c r="AI9" s="665">
        <f t="shared" si="7"/>
        <v>450000</v>
      </c>
      <c r="AJ9" s="665">
        <f t="shared" si="7"/>
        <v>400000</v>
      </c>
      <c r="AK9" s="665">
        <f t="shared" si="7"/>
        <v>400000</v>
      </c>
      <c r="AL9" s="665">
        <f t="shared" si="7"/>
        <v>400000</v>
      </c>
      <c r="AM9" s="665">
        <f t="shared" si="7"/>
        <v>400000</v>
      </c>
      <c r="AN9" s="665">
        <f t="shared" si="7"/>
        <v>400000</v>
      </c>
      <c r="AO9" s="665">
        <f t="shared" si="7"/>
        <v>400000</v>
      </c>
      <c r="AP9" s="665">
        <f t="shared" si="7"/>
        <v>400000</v>
      </c>
      <c r="AQ9" s="665">
        <f t="shared" si="7"/>
        <v>400000</v>
      </c>
      <c r="AR9" s="665">
        <f t="shared" si="7"/>
        <v>400000</v>
      </c>
      <c r="AS9" s="665">
        <f t="shared" si="7"/>
        <v>400000</v>
      </c>
      <c r="AT9" s="665">
        <f t="shared" si="7"/>
        <v>400000</v>
      </c>
      <c r="AU9" s="665">
        <f t="shared" si="7"/>
        <v>400000</v>
      </c>
      <c r="AV9" s="665">
        <f t="shared" si="7"/>
        <v>400000</v>
      </c>
      <c r="AW9" s="665">
        <f t="shared" si="7"/>
        <v>400000</v>
      </c>
      <c r="AX9" s="665">
        <f t="shared" si="7"/>
        <v>400000</v>
      </c>
      <c r="AY9" s="665">
        <f t="shared" si="7"/>
        <v>400000</v>
      </c>
      <c r="AZ9" s="665">
        <f t="shared" si="7"/>
        <v>400000</v>
      </c>
      <c r="BA9" s="665">
        <f t="shared" ref="BA9:BL9" si="8">BA48</f>
        <v>400000</v>
      </c>
      <c r="BB9" s="665">
        <f t="shared" si="8"/>
        <v>400000</v>
      </c>
      <c r="BC9" s="665">
        <f t="shared" si="8"/>
        <v>400000</v>
      </c>
      <c r="BD9" s="665">
        <f t="shared" si="8"/>
        <v>400000</v>
      </c>
      <c r="BE9" s="665">
        <f t="shared" si="8"/>
        <v>400000</v>
      </c>
      <c r="BF9" s="665">
        <f t="shared" si="8"/>
        <v>400000</v>
      </c>
      <c r="BG9" s="665">
        <f t="shared" si="8"/>
        <v>400000</v>
      </c>
      <c r="BH9" s="665">
        <f t="shared" si="8"/>
        <v>400000</v>
      </c>
      <c r="BI9" s="665">
        <f t="shared" si="8"/>
        <v>400000</v>
      </c>
      <c r="BJ9" s="665">
        <f t="shared" si="8"/>
        <v>400000</v>
      </c>
      <c r="BK9" s="665">
        <f t="shared" si="8"/>
        <v>400000</v>
      </c>
      <c r="BL9" s="665">
        <f t="shared" si="8"/>
        <v>400000</v>
      </c>
    </row>
    <row r="10" spans="1:74" x14ac:dyDescent="0.35">
      <c r="B10" s="11" t="s">
        <v>50</v>
      </c>
      <c r="C10" s="11"/>
      <c r="D10" s="11"/>
      <c r="E10" s="1163">
        <f>SUM(E5:E9)</f>
        <v>153382.16455306526</v>
      </c>
      <c r="F10" s="1163">
        <f t="shared" ref="F10:AZ10" si="9">SUM(F5:F9)</f>
        <v>197839.87234947216</v>
      </c>
      <c r="G10" s="1163">
        <f t="shared" si="9"/>
        <v>220012.14273429033</v>
      </c>
      <c r="H10" s="1163">
        <f t="shared" si="9"/>
        <v>216522.09050502745</v>
      </c>
      <c r="I10" s="1163">
        <f t="shared" si="9"/>
        <v>184648.49049211864</v>
      </c>
      <c r="J10" s="1163">
        <f t="shared" si="9"/>
        <v>222040.66613086668</v>
      </c>
      <c r="K10" s="1163">
        <f t="shared" si="9"/>
        <v>192529.38469716941</v>
      </c>
      <c r="L10" s="1163">
        <f t="shared" si="9"/>
        <v>231116.11250989666</v>
      </c>
      <c r="M10" s="1163">
        <f t="shared" si="9"/>
        <v>210756.99963065257</v>
      </c>
      <c r="N10" s="1163">
        <f t="shared" si="9"/>
        <v>220979.36380662274</v>
      </c>
      <c r="O10" s="1163">
        <f t="shared" si="9"/>
        <v>180676.4302976217</v>
      </c>
      <c r="P10" s="1163">
        <f t="shared" si="9"/>
        <v>162371.25044102571</v>
      </c>
      <c r="Q10" s="1163">
        <f t="shared" si="9"/>
        <v>397021.57</v>
      </c>
      <c r="R10" s="1163">
        <f t="shared" si="9"/>
        <v>283653.80999999994</v>
      </c>
      <c r="S10" s="1163">
        <f t="shared" si="9"/>
        <v>428220.17</v>
      </c>
      <c r="T10" s="1163">
        <f t="shared" si="9"/>
        <v>376551.02</v>
      </c>
      <c r="U10" s="1163">
        <f t="shared" si="9"/>
        <v>422911.63</v>
      </c>
      <c r="V10" s="1163">
        <f t="shared" si="9"/>
        <v>576309.27</v>
      </c>
      <c r="W10" s="1163">
        <f t="shared" si="9"/>
        <v>858262.85</v>
      </c>
      <c r="X10" s="1163">
        <f t="shared" si="9"/>
        <v>799372.41</v>
      </c>
      <c r="Y10" s="1163">
        <f t="shared" si="9"/>
        <v>594734.69999999995</v>
      </c>
      <c r="Z10" s="1163">
        <f t="shared" si="9"/>
        <v>590541.57000000007</v>
      </c>
      <c r="AA10" s="1163">
        <f t="shared" si="9"/>
        <v>579477.82999999996</v>
      </c>
      <c r="AB10" s="1163">
        <f t="shared" si="9"/>
        <v>598861.61</v>
      </c>
      <c r="AC10" s="665">
        <f t="shared" si="9"/>
        <v>414939.261</v>
      </c>
      <c r="AD10" s="665">
        <f t="shared" si="9"/>
        <v>496237.85794444446</v>
      </c>
      <c r="AE10" s="665">
        <f t="shared" si="9"/>
        <v>661130.99296759255</v>
      </c>
      <c r="AF10" s="665">
        <f t="shared" si="9"/>
        <v>790672.63757600309</v>
      </c>
      <c r="AG10" s="665">
        <f t="shared" si="9"/>
        <v>781909.46173511446</v>
      </c>
      <c r="AH10" s="665">
        <f t="shared" si="9"/>
        <v>722299.07457415177</v>
      </c>
      <c r="AI10" s="665">
        <f t="shared" si="9"/>
        <v>686157.61264977558</v>
      </c>
      <c r="AJ10" s="665">
        <f t="shared" si="9"/>
        <v>627395.59389836795</v>
      </c>
      <c r="AK10" s="665">
        <f t="shared" si="9"/>
        <v>627876.32358434307</v>
      </c>
      <c r="AL10" s="665">
        <f t="shared" si="9"/>
        <v>627918.03907748277</v>
      </c>
      <c r="AM10" s="665">
        <f t="shared" si="9"/>
        <v>628174.93919505074</v>
      </c>
      <c r="AN10" s="665">
        <f t="shared" si="9"/>
        <v>1050984.9009890826</v>
      </c>
      <c r="AO10" s="665">
        <f t="shared" si="9"/>
        <v>629741.38532345078</v>
      </c>
      <c r="AP10" s="665">
        <f t="shared" si="9"/>
        <v>634626.00989762717</v>
      </c>
      <c r="AQ10" s="665">
        <f t="shared" si="9"/>
        <v>635220.69249277026</v>
      </c>
      <c r="AR10" s="665">
        <f t="shared" si="9"/>
        <v>635491.94131749962</v>
      </c>
      <c r="AS10" s="665">
        <f t="shared" si="9"/>
        <v>635729.39284149033</v>
      </c>
      <c r="AT10" s="665">
        <f t="shared" si="9"/>
        <v>635984.86365345796</v>
      </c>
      <c r="AU10" s="665">
        <f t="shared" si="9"/>
        <v>636234.74216865608</v>
      </c>
      <c r="AV10" s="665">
        <f t="shared" si="9"/>
        <v>636430.94871703023</v>
      </c>
      <c r="AW10" s="665">
        <f t="shared" si="9"/>
        <v>636608.28658939223</v>
      </c>
      <c r="AX10" s="665">
        <f t="shared" si="9"/>
        <v>636761.73828772898</v>
      </c>
      <c r="AY10" s="665">
        <f t="shared" si="9"/>
        <v>636926.02582400991</v>
      </c>
      <c r="AZ10" s="665">
        <f t="shared" si="9"/>
        <v>1071990.4298773829</v>
      </c>
      <c r="BA10" s="665">
        <f t="shared" ref="BA10:BL10" si="10">SUM(BA5:BA9)</f>
        <v>640894.62625668535</v>
      </c>
      <c r="BB10" s="665">
        <f t="shared" si="10"/>
        <v>645969.43523249449</v>
      </c>
      <c r="BC10" s="665">
        <f t="shared" si="10"/>
        <v>646224.26767483517</v>
      </c>
      <c r="BD10" s="665">
        <f t="shared" si="10"/>
        <v>646451.04986750358</v>
      </c>
      <c r="BE10" s="665">
        <f t="shared" si="10"/>
        <v>646674.29015924956</v>
      </c>
      <c r="BF10" s="665">
        <f t="shared" si="10"/>
        <v>646896.79350846587</v>
      </c>
      <c r="BG10" s="665">
        <f t="shared" si="10"/>
        <v>647116.91870298656</v>
      </c>
      <c r="BH10" s="665">
        <f t="shared" si="10"/>
        <v>647334.83730086347</v>
      </c>
      <c r="BI10" s="665">
        <f t="shared" si="10"/>
        <v>647555.13354143593</v>
      </c>
      <c r="BJ10" s="665">
        <f t="shared" si="10"/>
        <v>647779.5127844729</v>
      </c>
      <c r="BK10" s="665">
        <f t="shared" si="10"/>
        <v>648010.22390530421</v>
      </c>
      <c r="BL10" s="665">
        <f t="shared" si="10"/>
        <v>1096200.1455437271</v>
      </c>
    </row>
    <row r="11" spans="1:74" x14ac:dyDescent="0.35">
      <c r="E11" s="49"/>
      <c r="F11" s="49"/>
      <c r="G11" s="49"/>
      <c r="H11" s="49"/>
      <c r="I11" s="49"/>
      <c r="J11" s="49"/>
      <c r="K11" s="49"/>
      <c r="L11" s="49"/>
      <c r="M11" s="49"/>
      <c r="N11" s="49"/>
      <c r="O11" s="49"/>
      <c r="P11" s="49"/>
      <c r="Q11" s="49"/>
      <c r="R11" s="49"/>
      <c r="S11" s="49"/>
      <c r="T11" s="49"/>
      <c r="U11" s="49"/>
      <c r="V11" s="49"/>
      <c r="W11" s="49"/>
      <c r="X11" s="49"/>
      <c r="Y11" s="49"/>
      <c r="Z11" s="49"/>
      <c r="AA11" s="49"/>
      <c r="AB11" s="49"/>
      <c r="AC11" s="224"/>
      <c r="AD11" s="224"/>
      <c r="AE11" s="224"/>
      <c r="AF11" s="224"/>
      <c r="AG11" s="224"/>
      <c r="AH11" s="224"/>
      <c r="AI11" s="224"/>
      <c r="AJ11" s="224"/>
      <c r="AK11" s="224"/>
      <c r="AL11" s="224"/>
      <c r="AM11" s="224"/>
      <c r="AN11" s="224"/>
      <c r="AO11" s="224"/>
      <c r="AP11" s="224"/>
      <c r="AQ11" s="224"/>
      <c r="AR11" s="224"/>
      <c r="AS11" s="224"/>
      <c r="AT11" s="224"/>
      <c r="AU11" s="224"/>
      <c r="AV11" s="224"/>
      <c r="AW11" s="224"/>
      <c r="AX11" s="224"/>
      <c r="AY11" s="224"/>
      <c r="AZ11" s="224"/>
      <c r="BA11" s="224"/>
      <c r="BB11" s="224"/>
      <c r="BC11" s="224"/>
      <c r="BD11" s="224"/>
      <c r="BE11" s="224"/>
      <c r="BF11" s="224"/>
      <c r="BG11" s="224"/>
      <c r="BH11" s="224"/>
      <c r="BI11" s="224"/>
      <c r="BJ11" s="224"/>
      <c r="BK11" s="224"/>
      <c r="BL11" s="224"/>
    </row>
    <row r="12" spans="1:74" x14ac:dyDescent="0.35">
      <c r="B12" s="164" t="s">
        <v>827</v>
      </c>
      <c r="C12" s="574" t="s">
        <v>824</v>
      </c>
      <c r="E12" s="257">
        <f>E26</f>
        <v>0</v>
      </c>
      <c r="F12" s="257">
        <f t="shared" ref="F12:AZ12" si="11">F26</f>
        <v>0</v>
      </c>
      <c r="G12" s="257">
        <f t="shared" si="11"/>
        <v>0</v>
      </c>
      <c r="H12" s="257">
        <f t="shared" si="11"/>
        <v>0</v>
      </c>
      <c r="I12" s="257">
        <f t="shared" si="11"/>
        <v>0</v>
      </c>
      <c r="J12" s="257">
        <f t="shared" si="11"/>
        <v>0</v>
      </c>
      <c r="K12" s="257">
        <f t="shared" si="11"/>
        <v>0</v>
      </c>
      <c r="L12" s="257">
        <f t="shared" si="11"/>
        <v>0</v>
      </c>
      <c r="M12" s="257">
        <f t="shared" si="11"/>
        <v>0</v>
      </c>
      <c r="N12" s="257">
        <f t="shared" si="11"/>
        <v>0</v>
      </c>
      <c r="O12" s="257">
        <f t="shared" si="11"/>
        <v>0</v>
      </c>
      <c r="P12" s="257">
        <f t="shared" si="11"/>
        <v>0</v>
      </c>
      <c r="Q12" s="257">
        <f t="shared" si="11"/>
        <v>0</v>
      </c>
      <c r="R12" s="257">
        <f t="shared" si="11"/>
        <v>0</v>
      </c>
      <c r="S12" s="257">
        <f t="shared" si="11"/>
        <v>0</v>
      </c>
      <c r="T12" s="257">
        <f t="shared" si="11"/>
        <v>0</v>
      </c>
      <c r="U12" s="257">
        <f t="shared" si="11"/>
        <v>0</v>
      </c>
      <c r="V12" s="257">
        <f t="shared" si="11"/>
        <v>0</v>
      </c>
      <c r="W12" s="257">
        <f t="shared" si="11"/>
        <v>0</v>
      </c>
      <c r="X12" s="257">
        <f t="shared" si="11"/>
        <v>0</v>
      </c>
      <c r="Y12" s="257">
        <f t="shared" si="11"/>
        <v>0</v>
      </c>
      <c r="Z12" s="257">
        <f t="shared" si="11"/>
        <v>0</v>
      </c>
      <c r="AA12" s="257">
        <f t="shared" si="11"/>
        <v>0</v>
      </c>
      <c r="AB12" s="257">
        <f t="shared" si="11"/>
        <v>0</v>
      </c>
      <c r="AC12" s="577">
        <f t="shared" si="11"/>
        <v>0</v>
      </c>
      <c r="AD12" s="577">
        <f t="shared" si="11"/>
        <v>0</v>
      </c>
      <c r="AE12" s="577">
        <f t="shared" si="11"/>
        <v>0</v>
      </c>
      <c r="AF12" s="577">
        <f t="shared" si="11"/>
        <v>0</v>
      </c>
      <c r="AG12" s="577">
        <f t="shared" si="11"/>
        <v>0</v>
      </c>
      <c r="AH12" s="577">
        <f t="shared" si="11"/>
        <v>0</v>
      </c>
      <c r="AI12" s="577">
        <f t="shared" si="11"/>
        <v>0</v>
      </c>
      <c r="AJ12" s="577">
        <f t="shared" si="11"/>
        <v>0</v>
      </c>
      <c r="AK12" s="577">
        <f t="shared" si="11"/>
        <v>0</v>
      </c>
      <c r="AL12" s="577">
        <f t="shared" si="11"/>
        <v>0</v>
      </c>
      <c r="AM12" s="577">
        <f t="shared" si="11"/>
        <v>0</v>
      </c>
      <c r="AN12" s="577">
        <f t="shared" si="11"/>
        <v>0</v>
      </c>
      <c r="AO12" s="577">
        <f t="shared" si="11"/>
        <v>0</v>
      </c>
      <c r="AP12" s="577">
        <f t="shared" si="11"/>
        <v>0</v>
      </c>
      <c r="AQ12" s="577">
        <f t="shared" si="11"/>
        <v>0</v>
      </c>
      <c r="AR12" s="577">
        <f t="shared" si="11"/>
        <v>0</v>
      </c>
      <c r="AS12" s="577">
        <f t="shared" si="11"/>
        <v>0</v>
      </c>
      <c r="AT12" s="577">
        <f t="shared" si="11"/>
        <v>0</v>
      </c>
      <c r="AU12" s="577">
        <f t="shared" si="11"/>
        <v>0</v>
      </c>
      <c r="AV12" s="577">
        <f t="shared" si="11"/>
        <v>0</v>
      </c>
      <c r="AW12" s="577">
        <f t="shared" si="11"/>
        <v>0</v>
      </c>
      <c r="AX12" s="577">
        <f t="shared" si="11"/>
        <v>0</v>
      </c>
      <c r="AY12" s="577">
        <f t="shared" si="11"/>
        <v>0</v>
      </c>
      <c r="AZ12" s="577">
        <f t="shared" si="11"/>
        <v>0</v>
      </c>
      <c r="BA12" s="577">
        <f t="shared" ref="BA12:BL12" si="12">BA26</f>
        <v>0</v>
      </c>
      <c r="BB12" s="577">
        <f t="shared" si="12"/>
        <v>0</v>
      </c>
      <c r="BC12" s="577">
        <f t="shared" si="12"/>
        <v>0</v>
      </c>
      <c r="BD12" s="577">
        <f t="shared" si="12"/>
        <v>0</v>
      </c>
      <c r="BE12" s="577">
        <f t="shared" si="12"/>
        <v>0</v>
      </c>
      <c r="BF12" s="577">
        <f t="shared" si="12"/>
        <v>0</v>
      </c>
      <c r="BG12" s="577">
        <f t="shared" si="12"/>
        <v>0</v>
      </c>
      <c r="BH12" s="577">
        <f t="shared" si="12"/>
        <v>0</v>
      </c>
      <c r="BI12" s="577">
        <f t="shared" si="12"/>
        <v>0</v>
      </c>
      <c r="BJ12" s="577">
        <f t="shared" si="12"/>
        <v>0</v>
      </c>
      <c r="BK12" s="577">
        <f t="shared" si="12"/>
        <v>0</v>
      </c>
      <c r="BL12" s="577">
        <f t="shared" si="12"/>
        <v>0</v>
      </c>
    </row>
    <row r="13" spans="1:74" x14ac:dyDescent="0.35">
      <c r="C13" s="574" t="s">
        <v>825</v>
      </c>
      <c r="E13" s="257">
        <f>E34</f>
        <v>0</v>
      </c>
      <c r="F13" s="257">
        <f t="shared" ref="F13:AZ13" si="13">F34</f>
        <v>0</v>
      </c>
      <c r="G13" s="257">
        <f t="shared" si="13"/>
        <v>0</v>
      </c>
      <c r="H13" s="257">
        <f t="shared" si="13"/>
        <v>0</v>
      </c>
      <c r="I13" s="257">
        <f t="shared" si="13"/>
        <v>0</v>
      </c>
      <c r="J13" s="257">
        <f t="shared" si="13"/>
        <v>0</v>
      </c>
      <c r="K13" s="257">
        <f t="shared" si="13"/>
        <v>0</v>
      </c>
      <c r="L13" s="257">
        <f t="shared" si="13"/>
        <v>0</v>
      </c>
      <c r="M13" s="257">
        <f t="shared" si="13"/>
        <v>0</v>
      </c>
      <c r="N13" s="257">
        <f t="shared" si="13"/>
        <v>0</v>
      </c>
      <c r="O13" s="257">
        <f t="shared" si="13"/>
        <v>0</v>
      </c>
      <c r="P13" s="257">
        <f t="shared" si="13"/>
        <v>0</v>
      </c>
      <c r="Q13" s="257">
        <f t="shared" si="13"/>
        <v>0</v>
      </c>
      <c r="R13" s="257">
        <f t="shared" si="13"/>
        <v>0</v>
      </c>
      <c r="S13" s="257">
        <f t="shared" si="13"/>
        <v>0</v>
      </c>
      <c r="T13" s="257">
        <f t="shared" si="13"/>
        <v>0</v>
      </c>
      <c r="U13" s="257">
        <f t="shared" si="13"/>
        <v>0</v>
      </c>
      <c r="V13" s="257">
        <f t="shared" si="13"/>
        <v>0</v>
      </c>
      <c r="W13" s="257">
        <f t="shared" si="13"/>
        <v>0</v>
      </c>
      <c r="X13" s="257">
        <f t="shared" si="13"/>
        <v>0</v>
      </c>
      <c r="Y13" s="257">
        <f t="shared" si="13"/>
        <v>0</v>
      </c>
      <c r="Z13" s="257">
        <f t="shared" si="13"/>
        <v>0</v>
      </c>
      <c r="AA13" s="257">
        <f t="shared" si="13"/>
        <v>0</v>
      </c>
      <c r="AB13" s="257">
        <f t="shared" si="13"/>
        <v>0</v>
      </c>
      <c r="AC13" s="577">
        <f t="shared" si="13"/>
        <v>0</v>
      </c>
      <c r="AD13" s="577">
        <f t="shared" si="13"/>
        <v>0</v>
      </c>
      <c r="AE13" s="577">
        <f t="shared" si="13"/>
        <v>0</v>
      </c>
      <c r="AF13" s="577">
        <f t="shared" si="13"/>
        <v>0</v>
      </c>
      <c r="AG13" s="577">
        <f t="shared" si="13"/>
        <v>0</v>
      </c>
      <c r="AH13" s="577">
        <f t="shared" si="13"/>
        <v>0</v>
      </c>
      <c r="AI13" s="577">
        <f t="shared" si="13"/>
        <v>0</v>
      </c>
      <c r="AJ13" s="577">
        <f t="shared" si="13"/>
        <v>0</v>
      </c>
      <c r="AK13" s="577">
        <f t="shared" si="13"/>
        <v>0</v>
      </c>
      <c r="AL13" s="577">
        <f t="shared" si="13"/>
        <v>0</v>
      </c>
      <c r="AM13" s="577">
        <f t="shared" si="13"/>
        <v>0</v>
      </c>
      <c r="AN13" s="577">
        <f t="shared" si="13"/>
        <v>0</v>
      </c>
      <c r="AO13" s="577">
        <f t="shared" si="13"/>
        <v>0</v>
      </c>
      <c r="AP13" s="577">
        <f t="shared" si="13"/>
        <v>0</v>
      </c>
      <c r="AQ13" s="577">
        <f t="shared" si="13"/>
        <v>0</v>
      </c>
      <c r="AR13" s="577">
        <f t="shared" si="13"/>
        <v>0</v>
      </c>
      <c r="AS13" s="577">
        <f t="shared" si="13"/>
        <v>0</v>
      </c>
      <c r="AT13" s="577">
        <f t="shared" si="13"/>
        <v>0</v>
      </c>
      <c r="AU13" s="577">
        <f t="shared" si="13"/>
        <v>0</v>
      </c>
      <c r="AV13" s="577">
        <f t="shared" si="13"/>
        <v>0</v>
      </c>
      <c r="AW13" s="577">
        <f t="shared" si="13"/>
        <v>0</v>
      </c>
      <c r="AX13" s="577">
        <f t="shared" si="13"/>
        <v>0</v>
      </c>
      <c r="AY13" s="577">
        <f t="shared" si="13"/>
        <v>0</v>
      </c>
      <c r="AZ13" s="577">
        <f t="shared" si="13"/>
        <v>0</v>
      </c>
      <c r="BA13" s="577">
        <f t="shared" ref="BA13:BL13" si="14">BA34</f>
        <v>0</v>
      </c>
      <c r="BB13" s="577">
        <f t="shared" si="14"/>
        <v>0</v>
      </c>
      <c r="BC13" s="577">
        <f t="shared" si="14"/>
        <v>0</v>
      </c>
      <c r="BD13" s="577">
        <f t="shared" si="14"/>
        <v>0</v>
      </c>
      <c r="BE13" s="577">
        <f t="shared" si="14"/>
        <v>0</v>
      </c>
      <c r="BF13" s="577">
        <f t="shared" si="14"/>
        <v>0</v>
      </c>
      <c r="BG13" s="577">
        <f t="shared" si="14"/>
        <v>0</v>
      </c>
      <c r="BH13" s="577">
        <f t="shared" si="14"/>
        <v>0</v>
      </c>
      <c r="BI13" s="577">
        <f t="shared" si="14"/>
        <v>0</v>
      </c>
      <c r="BJ13" s="577">
        <f t="shared" si="14"/>
        <v>0</v>
      </c>
      <c r="BK13" s="577">
        <f t="shared" si="14"/>
        <v>0</v>
      </c>
      <c r="BL13" s="577">
        <f t="shared" si="14"/>
        <v>0</v>
      </c>
    </row>
    <row r="14" spans="1:74" x14ac:dyDescent="0.35">
      <c r="C14" s="574" t="s">
        <v>826</v>
      </c>
      <c r="E14" s="257">
        <f>E42</f>
        <v>0</v>
      </c>
      <c r="F14" s="257">
        <f t="shared" ref="F14:AZ14" si="15">F34</f>
        <v>0</v>
      </c>
      <c r="G14" s="257">
        <f t="shared" si="15"/>
        <v>0</v>
      </c>
      <c r="H14" s="257">
        <f t="shared" si="15"/>
        <v>0</v>
      </c>
      <c r="I14" s="257">
        <f t="shared" si="15"/>
        <v>0</v>
      </c>
      <c r="J14" s="257">
        <f t="shared" si="15"/>
        <v>0</v>
      </c>
      <c r="K14" s="257">
        <f t="shared" si="15"/>
        <v>0</v>
      </c>
      <c r="L14" s="257">
        <f t="shared" si="15"/>
        <v>0</v>
      </c>
      <c r="M14" s="257">
        <f t="shared" si="15"/>
        <v>0</v>
      </c>
      <c r="N14" s="257">
        <f t="shared" si="15"/>
        <v>0</v>
      </c>
      <c r="O14" s="257">
        <f t="shared" si="15"/>
        <v>0</v>
      </c>
      <c r="P14" s="257">
        <f t="shared" si="15"/>
        <v>0</v>
      </c>
      <c r="Q14" s="257">
        <f t="shared" si="15"/>
        <v>0</v>
      </c>
      <c r="R14" s="257">
        <f t="shared" si="15"/>
        <v>0</v>
      </c>
      <c r="S14" s="257">
        <f t="shared" si="15"/>
        <v>0</v>
      </c>
      <c r="T14" s="257">
        <f t="shared" si="15"/>
        <v>0</v>
      </c>
      <c r="U14" s="257">
        <f t="shared" si="15"/>
        <v>0</v>
      </c>
      <c r="V14" s="257">
        <f t="shared" si="15"/>
        <v>0</v>
      </c>
      <c r="W14" s="257">
        <f t="shared" si="15"/>
        <v>0</v>
      </c>
      <c r="X14" s="257">
        <f t="shared" si="15"/>
        <v>0</v>
      </c>
      <c r="Y14" s="257">
        <f t="shared" si="15"/>
        <v>0</v>
      </c>
      <c r="Z14" s="257">
        <f t="shared" si="15"/>
        <v>0</v>
      </c>
      <c r="AA14" s="257">
        <f t="shared" si="15"/>
        <v>0</v>
      </c>
      <c r="AB14" s="257">
        <f t="shared" si="15"/>
        <v>0</v>
      </c>
      <c r="AC14" s="577">
        <f t="shared" si="15"/>
        <v>0</v>
      </c>
      <c r="AD14" s="577">
        <f t="shared" si="15"/>
        <v>0</v>
      </c>
      <c r="AE14" s="577">
        <f t="shared" si="15"/>
        <v>0</v>
      </c>
      <c r="AF14" s="577">
        <f t="shared" si="15"/>
        <v>0</v>
      </c>
      <c r="AG14" s="577">
        <f t="shared" si="15"/>
        <v>0</v>
      </c>
      <c r="AH14" s="577">
        <f t="shared" si="15"/>
        <v>0</v>
      </c>
      <c r="AI14" s="577">
        <f t="shared" si="15"/>
        <v>0</v>
      </c>
      <c r="AJ14" s="577">
        <f t="shared" si="15"/>
        <v>0</v>
      </c>
      <c r="AK14" s="577">
        <f t="shared" si="15"/>
        <v>0</v>
      </c>
      <c r="AL14" s="577">
        <f t="shared" si="15"/>
        <v>0</v>
      </c>
      <c r="AM14" s="577">
        <f t="shared" si="15"/>
        <v>0</v>
      </c>
      <c r="AN14" s="577">
        <f t="shared" si="15"/>
        <v>0</v>
      </c>
      <c r="AO14" s="577">
        <f t="shared" si="15"/>
        <v>0</v>
      </c>
      <c r="AP14" s="577">
        <f t="shared" si="15"/>
        <v>0</v>
      </c>
      <c r="AQ14" s="577">
        <f t="shared" si="15"/>
        <v>0</v>
      </c>
      <c r="AR14" s="577">
        <f t="shared" si="15"/>
        <v>0</v>
      </c>
      <c r="AS14" s="577">
        <f t="shared" si="15"/>
        <v>0</v>
      </c>
      <c r="AT14" s="577">
        <f t="shared" si="15"/>
        <v>0</v>
      </c>
      <c r="AU14" s="577">
        <f t="shared" si="15"/>
        <v>0</v>
      </c>
      <c r="AV14" s="577">
        <f t="shared" si="15"/>
        <v>0</v>
      </c>
      <c r="AW14" s="577">
        <f t="shared" si="15"/>
        <v>0</v>
      </c>
      <c r="AX14" s="577">
        <f t="shared" si="15"/>
        <v>0</v>
      </c>
      <c r="AY14" s="577">
        <f t="shared" si="15"/>
        <v>0</v>
      </c>
      <c r="AZ14" s="577">
        <f t="shared" si="15"/>
        <v>0</v>
      </c>
      <c r="BA14" s="577">
        <f t="shared" ref="BA14:BL14" si="16">BA34</f>
        <v>0</v>
      </c>
      <c r="BB14" s="577">
        <f t="shared" si="16"/>
        <v>0</v>
      </c>
      <c r="BC14" s="577">
        <f t="shared" si="16"/>
        <v>0</v>
      </c>
      <c r="BD14" s="577">
        <f t="shared" si="16"/>
        <v>0</v>
      </c>
      <c r="BE14" s="577">
        <f t="shared" si="16"/>
        <v>0</v>
      </c>
      <c r="BF14" s="577">
        <f t="shared" si="16"/>
        <v>0</v>
      </c>
      <c r="BG14" s="577">
        <f t="shared" si="16"/>
        <v>0</v>
      </c>
      <c r="BH14" s="577">
        <f t="shared" si="16"/>
        <v>0</v>
      </c>
      <c r="BI14" s="577">
        <f t="shared" si="16"/>
        <v>0</v>
      </c>
      <c r="BJ14" s="577">
        <f t="shared" si="16"/>
        <v>0</v>
      </c>
      <c r="BK14" s="577">
        <f t="shared" si="16"/>
        <v>0</v>
      </c>
      <c r="BL14" s="577">
        <f t="shared" si="16"/>
        <v>0</v>
      </c>
    </row>
    <row r="15" spans="1:74" x14ac:dyDescent="0.35">
      <c r="C15" s="574" t="s">
        <v>49</v>
      </c>
      <c r="E15" s="257">
        <f>E50</f>
        <v>4522.5134241917012</v>
      </c>
      <c r="F15" s="257">
        <f t="shared" ref="F15:AZ15" si="17">F50</f>
        <v>953.89397533837291</v>
      </c>
      <c r="G15" s="257">
        <f t="shared" si="17"/>
        <v>1380.5484428631873</v>
      </c>
      <c r="H15" s="257">
        <f t="shared" si="17"/>
        <v>1381.5123845377782</v>
      </c>
      <c r="I15" s="257">
        <f t="shared" si="17"/>
        <v>1136.2576679468675</v>
      </c>
      <c r="J15" s="257">
        <f t="shared" si="17"/>
        <v>895.7560895421127</v>
      </c>
      <c r="K15" s="257">
        <f t="shared" si="17"/>
        <v>753.18345465442872</v>
      </c>
      <c r="L15" s="257">
        <f t="shared" si="17"/>
        <v>1134.9652393542513</v>
      </c>
      <c r="M15" s="257">
        <f t="shared" si="17"/>
        <v>2201.9562055716879</v>
      </c>
      <c r="N15" s="257">
        <f t="shared" si="17"/>
        <v>2061.7348900537027</v>
      </c>
      <c r="O15" s="257">
        <f t="shared" si="17"/>
        <v>1056.8084421819217</v>
      </c>
      <c r="P15" s="257">
        <f t="shared" si="17"/>
        <v>297.16200463658851</v>
      </c>
      <c r="Q15" s="257">
        <f t="shared" si="17"/>
        <v>1472.6456093377346</v>
      </c>
      <c r="R15" s="257">
        <f t="shared" si="17"/>
        <v>1460.407834063953</v>
      </c>
      <c r="S15" s="257">
        <f t="shared" si="17"/>
        <v>1927.267606258463</v>
      </c>
      <c r="T15" s="257">
        <f t="shared" si="17"/>
        <v>2080.1650965220988</v>
      </c>
      <c r="U15" s="257">
        <f t="shared" si="17"/>
        <v>3005.3967661718798</v>
      </c>
      <c r="V15" s="257">
        <f t="shared" si="17"/>
        <v>1897.3598843585014</v>
      </c>
      <c r="W15" s="257">
        <f t="shared" si="17"/>
        <v>1921.8782579254889</v>
      </c>
      <c r="X15" s="257">
        <f t="shared" si="17"/>
        <v>2277.5629282686168</v>
      </c>
      <c r="Y15" s="257">
        <f t="shared" si="17"/>
        <v>2737.6191472566861</v>
      </c>
      <c r="Z15" s="257">
        <f t="shared" si="17"/>
        <v>1413.1395835602386</v>
      </c>
      <c r="AA15" s="257">
        <f t="shared" si="17"/>
        <v>1680.0754896087574</v>
      </c>
      <c r="AB15" s="257">
        <f t="shared" si="17"/>
        <v>1726.5007190612196</v>
      </c>
      <c r="AC15" s="577">
        <f t="shared" si="17"/>
        <v>1328.6204929577466</v>
      </c>
      <c r="AD15" s="577">
        <f t="shared" si="17"/>
        <v>1738.7782652716846</v>
      </c>
      <c r="AE15" s="577">
        <f t="shared" si="17"/>
        <v>1550.0000000000002</v>
      </c>
      <c r="AF15" s="577">
        <f t="shared" si="17"/>
        <v>2152.3809523809523</v>
      </c>
      <c r="AG15" s="577">
        <f t="shared" si="17"/>
        <v>2171.4285714285711</v>
      </c>
      <c r="AH15" s="577">
        <f t="shared" si="17"/>
        <v>1904.7619047619046</v>
      </c>
      <c r="AI15" s="577">
        <f t="shared" si="17"/>
        <v>1714.2857142857144</v>
      </c>
      <c r="AJ15" s="577">
        <f t="shared" si="17"/>
        <v>1523.8095238095239</v>
      </c>
      <c r="AK15" s="577">
        <f t="shared" si="17"/>
        <v>1523.8095238095239</v>
      </c>
      <c r="AL15" s="577">
        <f t="shared" si="17"/>
        <v>2250</v>
      </c>
      <c r="AM15" s="577">
        <f t="shared" si="17"/>
        <v>2250</v>
      </c>
      <c r="AN15" s="577">
        <f t="shared" si="17"/>
        <v>2250</v>
      </c>
      <c r="AO15" s="577">
        <f t="shared" si="17"/>
        <v>2250</v>
      </c>
      <c r="AP15" s="577">
        <f t="shared" si="17"/>
        <v>2250</v>
      </c>
      <c r="AQ15" s="577">
        <f t="shared" si="17"/>
        <v>2250</v>
      </c>
      <c r="AR15" s="577">
        <f t="shared" si="17"/>
        <v>2250</v>
      </c>
      <c r="AS15" s="577">
        <f t="shared" si="17"/>
        <v>2250</v>
      </c>
      <c r="AT15" s="577">
        <f t="shared" si="17"/>
        <v>2250</v>
      </c>
      <c r="AU15" s="577">
        <f t="shared" si="17"/>
        <v>2250</v>
      </c>
      <c r="AV15" s="577">
        <f t="shared" si="17"/>
        <v>2250</v>
      </c>
      <c r="AW15" s="577">
        <f t="shared" si="17"/>
        <v>2250</v>
      </c>
      <c r="AX15" s="577">
        <f t="shared" si="17"/>
        <v>2250</v>
      </c>
      <c r="AY15" s="577">
        <f t="shared" si="17"/>
        <v>2250</v>
      </c>
      <c r="AZ15" s="577">
        <f t="shared" si="17"/>
        <v>2250</v>
      </c>
      <c r="BA15" s="577" t="e">
        <f t="shared" ref="BA15:BL15" si="18">BA50</f>
        <v>#VALUE!</v>
      </c>
      <c r="BB15" s="577" t="e">
        <f t="shared" si="18"/>
        <v>#VALUE!</v>
      </c>
      <c r="BC15" s="577" t="e">
        <f t="shared" si="18"/>
        <v>#VALUE!</v>
      </c>
      <c r="BD15" s="577" t="e">
        <f t="shared" si="18"/>
        <v>#VALUE!</v>
      </c>
      <c r="BE15" s="577" t="e">
        <f t="shared" si="18"/>
        <v>#VALUE!</v>
      </c>
      <c r="BF15" s="577" t="e">
        <f t="shared" si="18"/>
        <v>#VALUE!</v>
      </c>
      <c r="BG15" s="577" t="e">
        <f t="shared" si="18"/>
        <v>#VALUE!</v>
      </c>
      <c r="BH15" s="577" t="e">
        <f t="shared" si="18"/>
        <v>#VALUE!</v>
      </c>
      <c r="BI15" s="577" t="e">
        <f t="shared" si="18"/>
        <v>#VALUE!</v>
      </c>
      <c r="BJ15" s="577" t="e">
        <f t="shared" si="18"/>
        <v>#VALUE!</v>
      </c>
      <c r="BK15" s="577" t="e">
        <f t="shared" si="18"/>
        <v>#VALUE!</v>
      </c>
      <c r="BL15" s="577" t="e">
        <f t="shared" si="18"/>
        <v>#VALUE!</v>
      </c>
    </row>
    <row r="16" spans="1:74" x14ac:dyDescent="0.35">
      <c r="B16" s="11" t="s">
        <v>50</v>
      </c>
      <c r="C16" s="11"/>
      <c r="D16" s="11"/>
      <c r="E16" s="257">
        <f>SUM(E12:E15)</f>
        <v>4522.5134241917012</v>
      </c>
      <c r="F16" s="257">
        <f t="shared" ref="F16:AZ16" si="19">SUM(F12:F15)</f>
        <v>953.89397533837291</v>
      </c>
      <c r="G16" s="257">
        <f t="shared" si="19"/>
        <v>1380.5484428631873</v>
      </c>
      <c r="H16" s="257">
        <f t="shared" si="19"/>
        <v>1381.5123845377782</v>
      </c>
      <c r="I16" s="257">
        <f t="shared" si="19"/>
        <v>1136.2576679468675</v>
      </c>
      <c r="J16" s="257">
        <f t="shared" si="19"/>
        <v>895.7560895421127</v>
      </c>
      <c r="K16" s="257">
        <f t="shared" si="19"/>
        <v>753.18345465442872</v>
      </c>
      <c r="L16" s="257">
        <f t="shared" si="19"/>
        <v>1134.9652393542513</v>
      </c>
      <c r="M16" s="257">
        <f t="shared" si="19"/>
        <v>2201.9562055716879</v>
      </c>
      <c r="N16" s="257">
        <f t="shared" si="19"/>
        <v>2061.7348900537027</v>
      </c>
      <c r="O16" s="257">
        <f t="shared" si="19"/>
        <v>1056.8084421819217</v>
      </c>
      <c r="P16" s="257">
        <f t="shared" si="19"/>
        <v>297.16200463658851</v>
      </c>
      <c r="Q16" s="257">
        <f t="shared" si="19"/>
        <v>1472.6456093377346</v>
      </c>
      <c r="R16" s="257">
        <f t="shared" si="19"/>
        <v>1460.407834063953</v>
      </c>
      <c r="S16" s="257">
        <f t="shared" si="19"/>
        <v>1927.267606258463</v>
      </c>
      <c r="T16" s="257">
        <f t="shared" si="19"/>
        <v>2080.1650965220988</v>
      </c>
      <c r="U16" s="257">
        <f t="shared" si="19"/>
        <v>3005.3967661718798</v>
      </c>
      <c r="V16" s="257">
        <f t="shared" si="19"/>
        <v>1897.3598843585014</v>
      </c>
      <c r="W16" s="257">
        <f t="shared" si="19"/>
        <v>1921.8782579254889</v>
      </c>
      <c r="X16" s="257">
        <f t="shared" si="19"/>
        <v>2277.5629282686168</v>
      </c>
      <c r="Y16" s="257">
        <f t="shared" si="19"/>
        <v>2737.6191472566861</v>
      </c>
      <c r="Z16" s="257">
        <f t="shared" si="19"/>
        <v>1413.1395835602386</v>
      </c>
      <c r="AA16" s="257">
        <f t="shared" si="19"/>
        <v>1680.0754896087574</v>
      </c>
      <c r="AB16" s="257">
        <f t="shared" si="19"/>
        <v>1726.5007190612196</v>
      </c>
      <c r="AC16" s="577">
        <f t="shared" si="19"/>
        <v>1328.6204929577466</v>
      </c>
      <c r="AD16" s="577">
        <f t="shared" si="19"/>
        <v>1738.7782652716846</v>
      </c>
      <c r="AE16" s="577">
        <f t="shared" si="19"/>
        <v>1550.0000000000002</v>
      </c>
      <c r="AF16" s="577">
        <f t="shared" si="19"/>
        <v>2152.3809523809523</v>
      </c>
      <c r="AG16" s="577">
        <f t="shared" si="19"/>
        <v>2171.4285714285711</v>
      </c>
      <c r="AH16" s="577">
        <f t="shared" si="19"/>
        <v>1904.7619047619046</v>
      </c>
      <c r="AI16" s="577">
        <f t="shared" si="19"/>
        <v>1714.2857142857144</v>
      </c>
      <c r="AJ16" s="577">
        <f t="shared" si="19"/>
        <v>1523.8095238095239</v>
      </c>
      <c r="AK16" s="577">
        <f t="shared" si="19"/>
        <v>1523.8095238095239</v>
      </c>
      <c r="AL16" s="577">
        <f t="shared" si="19"/>
        <v>2250</v>
      </c>
      <c r="AM16" s="577">
        <f t="shared" si="19"/>
        <v>2250</v>
      </c>
      <c r="AN16" s="577">
        <f t="shared" si="19"/>
        <v>2250</v>
      </c>
      <c r="AO16" s="577">
        <f t="shared" si="19"/>
        <v>2250</v>
      </c>
      <c r="AP16" s="577">
        <f t="shared" si="19"/>
        <v>2250</v>
      </c>
      <c r="AQ16" s="577">
        <f t="shared" si="19"/>
        <v>2250</v>
      </c>
      <c r="AR16" s="577">
        <f t="shared" si="19"/>
        <v>2250</v>
      </c>
      <c r="AS16" s="577">
        <f t="shared" si="19"/>
        <v>2250</v>
      </c>
      <c r="AT16" s="577">
        <f t="shared" si="19"/>
        <v>2250</v>
      </c>
      <c r="AU16" s="577">
        <f t="shared" si="19"/>
        <v>2250</v>
      </c>
      <c r="AV16" s="577">
        <f t="shared" si="19"/>
        <v>2250</v>
      </c>
      <c r="AW16" s="577">
        <f t="shared" si="19"/>
        <v>2250</v>
      </c>
      <c r="AX16" s="577">
        <f t="shared" si="19"/>
        <v>2250</v>
      </c>
      <c r="AY16" s="577">
        <f t="shared" si="19"/>
        <v>2250</v>
      </c>
      <c r="AZ16" s="577">
        <f t="shared" si="19"/>
        <v>2250</v>
      </c>
      <c r="BA16" s="577" t="e">
        <f t="shared" ref="BA16:BL16" si="20">SUM(BA12:BA15)</f>
        <v>#VALUE!</v>
      </c>
      <c r="BB16" s="577" t="e">
        <f t="shared" si="20"/>
        <v>#VALUE!</v>
      </c>
      <c r="BC16" s="577" t="e">
        <f t="shared" si="20"/>
        <v>#VALUE!</v>
      </c>
      <c r="BD16" s="577" t="e">
        <f t="shared" si="20"/>
        <v>#VALUE!</v>
      </c>
      <c r="BE16" s="577" t="e">
        <f t="shared" si="20"/>
        <v>#VALUE!</v>
      </c>
      <c r="BF16" s="577" t="e">
        <f t="shared" si="20"/>
        <v>#VALUE!</v>
      </c>
      <c r="BG16" s="577" t="e">
        <f t="shared" si="20"/>
        <v>#VALUE!</v>
      </c>
      <c r="BH16" s="577" t="e">
        <f t="shared" si="20"/>
        <v>#VALUE!</v>
      </c>
      <c r="BI16" s="577" t="e">
        <f t="shared" si="20"/>
        <v>#VALUE!</v>
      </c>
      <c r="BJ16" s="577" t="e">
        <f t="shared" si="20"/>
        <v>#VALUE!</v>
      </c>
      <c r="BK16" s="577" t="e">
        <f t="shared" si="20"/>
        <v>#VALUE!</v>
      </c>
      <c r="BL16" s="577" t="e">
        <f t="shared" si="20"/>
        <v>#VALUE!</v>
      </c>
    </row>
    <row r="17" spans="2:102" s="41" customFormat="1" x14ac:dyDescent="0.35">
      <c r="B17" s="892" t="s">
        <v>828</v>
      </c>
      <c r="C17" s="893"/>
      <c r="D17" s="893"/>
      <c r="E17" s="893">
        <f>(SUM(E5,E10)/E16)</f>
        <v>47.65348577039299</v>
      </c>
      <c r="F17" s="893">
        <f t="shared" ref="F17:AZ17" si="21">(SUM(F5,F10)/F16)</f>
        <v>270.3576617175537</v>
      </c>
      <c r="G17" s="893">
        <f t="shared" si="21"/>
        <v>200.84935584984711</v>
      </c>
      <c r="H17" s="893">
        <f t="shared" si="21"/>
        <v>203.52099203520837</v>
      </c>
      <c r="I17" s="893">
        <f t="shared" si="21"/>
        <v>223.52910624856079</v>
      </c>
      <c r="J17" s="893">
        <f t="shared" si="21"/>
        <v>346.93037076710067</v>
      </c>
      <c r="K17" s="893">
        <f t="shared" si="21"/>
        <v>344.44114218277377</v>
      </c>
      <c r="L17" s="893">
        <f t="shared" si="21"/>
        <v>281.74207802322468</v>
      </c>
      <c r="M17" s="893">
        <f t="shared" si="21"/>
        <v>126.12657715833184</v>
      </c>
      <c r="N17" s="893">
        <f t="shared" si="21"/>
        <v>138.33783819112477</v>
      </c>
      <c r="O17" s="893">
        <f t="shared" si="21"/>
        <v>258.10893413386242</v>
      </c>
      <c r="P17" s="893">
        <f t="shared" si="21"/>
        <v>890.16558898755522</v>
      </c>
      <c r="Q17" s="893">
        <f t="shared" si="21"/>
        <v>367.22099775464494</v>
      </c>
      <c r="R17" s="893">
        <f t="shared" si="21"/>
        <v>267.6505705343148</v>
      </c>
      <c r="S17" s="893">
        <f t="shared" si="21"/>
        <v>317.14642430306554</v>
      </c>
      <c r="T17" s="893">
        <f t="shared" si="21"/>
        <v>248.91847328162262</v>
      </c>
      <c r="U17" s="893">
        <f t="shared" si="21"/>
        <v>191.29042676527624</v>
      </c>
      <c r="V17" s="893">
        <f t="shared" si="21"/>
        <v>374.74375623810431</v>
      </c>
      <c r="W17" s="893">
        <f t="shared" si="21"/>
        <v>533.97294847787748</v>
      </c>
      <c r="X17" s="893">
        <f t="shared" si="21"/>
        <v>417.20643509171634</v>
      </c>
      <c r="Y17" s="893">
        <f t="shared" si="21"/>
        <v>279.26911263976319</v>
      </c>
      <c r="Z17" s="893">
        <f t="shared" si="21"/>
        <v>566.39667398141432</v>
      </c>
      <c r="AA17" s="893">
        <f t="shared" si="21"/>
        <v>443.14321862607284</v>
      </c>
      <c r="AB17" s="893">
        <f t="shared" si="21"/>
        <v>498.92885678517683</v>
      </c>
      <c r="AC17" s="893">
        <f t="shared" si="21"/>
        <v>447.74149213647468</v>
      </c>
      <c r="AD17" s="893">
        <f t="shared" si="21"/>
        <v>398.25418209991795</v>
      </c>
      <c r="AE17" s="893">
        <f t="shared" si="21"/>
        <v>553.07224899044195</v>
      </c>
      <c r="AF17" s="893">
        <f t="shared" si="21"/>
        <v>472.19581367681707</v>
      </c>
      <c r="AG17" s="893">
        <f t="shared" si="21"/>
        <v>457.67976738760547</v>
      </c>
      <c r="AH17" s="893">
        <f t="shared" si="21"/>
        <v>495.91402830285944</v>
      </c>
      <c r="AI17" s="893">
        <f t="shared" si="21"/>
        <v>538.01721475807142</v>
      </c>
      <c r="AJ17" s="893">
        <f t="shared" si="21"/>
        <v>560.95671699160789</v>
      </c>
      <c r="AK17" s="893">
        <f t="shared" si="21"/>
        <v>561.58767470445025</v>
      </c>
      <c r="AL17" s="893">
        <f t="shared" si="21"/>
        <v>380.3715902910958</v>
      </c>
      <c r="AM17" s="893">
        <f t="shared" si="21"/>
        <v>380.5999459511562</v>
      </c>
      <c r="AN17" s="893">
        <f t="shared" si="21"/>
        <v>756.43102310140682</v>
      </c>
      <c r="AO17" s="893">
        <f t="shared" si="21"/>
        <v>381.99234250973404</v>
      </c>
      <c r="AP17" s="893">
        <f t="shared" si="21"/>
        <v>386.33423102011307</v>
      </c>
      <c r="AQ17" s="893">
        <f t="shared" si="21"/>
        <v>386.86283777135134</v>
      </c>
      <c r="AR17" s="893">
        <f t="shared" si="21"/>
        <v>387.10394783777741</v>
      </c>
      <c r="AS17" s="893">
        <f t="shared" si="21"/>
        <v>387.31501585910252</v>
      </c>
      <c r="AT17" s="893">
        <f t="shared" si="21"/>
        <v>387.54210102529595</v>
      </c>
      <c r="AU17" s="893">
        <f t="shared" si="21"/>
        <v>387.76421526102763</v>
      </c>
      <c r="AV17" s="893">
        <f t="shared" si="21"/>
        <v>387.93862108180463</v>
      </c>
      <c r="AW17" s="893">
        <f t="shared" si="21"/>
        <v>388.09625474612642</v>
      </c>
      <c r="AX17" s="893">
        <f t="shared" si="21"/>
        <v>388.23265625575908</v>
      </c>
      <c r="AY17" s="893">
        <f t="shared" si="21"/>
        <v>388.37868962134212</v>
      </c>
      <c r="AZ17" s="893">
        <f t="shared" si="21"/>
        <v>775.10260433545147</v>
      </c>
      <c r="BA17" s="893" t="e">
        <f t="shared" ref="BA17:BL17" si="22">(SUM(BA5,BA10)/BA16)</f>
        <v>#VALUE!</v>
      </c>
      <c r="BB17" s="893" t="e">
        <f t="shared" si="22"/>
        <v>#VALUE!</v>
      </c>
      <c r="BC17" s="893" t="e">
        <f t="shared" si="22"/>
        <v>#VALUE!</v>
      </c>
      <c r="BD17" s="893" t="e">
        <f t="shared" si="22"/>
        <v>#VALUE!</v>
      </c>
      <c r="BE17" s="893" t="e">
        <f t="shared" si="22"/>
        <v>#VALUE!</v>
      </c>
      <c r="BF17" s="893" t="e">
        <f t="shared" si="22"/>
        <v>#VALUE!</v>
      </c>
      <c r="BG17" s="893" t="e">
        <f t="shared" si="22"/>
        <v>#VALUE!</v>
      </c>
      <c r="BH17" s="893" t="e">
        <f t="shared" si="22"/>
        <v>#VALUE!</v>
      </c>
      <c r="BI17" s="893" t="e">
        <f t="shared" si="22"/>
        <v>#VALUE!</v>
      </c>
      <c r="BJ17" s="893" t="e">
        <f t="shared" si="22"/>
        <v>#VALUE!</v>
      </c>
      <c r="BK17" s="893" t="e">
        <f t="shared" si="22"/>
        <v>#VALUE!</v>
      </c>
      <c r="BL17" s="893" t="e">
        <f t="shared" si="22"/>
        <v>#VALUE!</v>
      </c>
    </row>
    <row r="21" spans="2:102" s="224" customFormat="1" hidden="1" x14ac:dyDescent="0.35">
      <c r="B21" s="656" t="s">
        <v>829</v>
      </c>
    </row>
    <row r="22" spans="2:102" hidden="1" x14ac:dyDescent="0.35">
      <c r="B22" s="164" t="s">
        <v>1135</v>
      </c>
      <c r="C22" s="574" t="s">
        <v>391</v>
      </c>
      <c r="E22" s="664">
        <f t="shared" ref="E22:AZ22" si="23">IF($C$22="Target",INDEX($E$57:$AZ$57,0,0),IF($C$22="Base",INDEX($E$58:$AZ$58,0,0),IF($C$22="High",INDEX($E$59:$AZ$59,0,0),IF($C$22="Medium",INDEX($E$60:$AZ$60,0,0),IF($C$22="Worst",INDEX($E$61:$AZ$61,0,0),INDEX($E$62:$AZ$62,0,0))))))</f>
        <v>0</v>
      </c>
      <c r="F22" s="664">
        <f t="shared" si="23"/>
        <v>0</v>
      </c>
      <c r="G22" s="664">
        <f t="shared" si="23"/>
        <v>0</v>
      </c>
      <c r="H22" s="664">
        <f t="shared" si="23"/>
        <v>0</v>
      </c>
      <c r="I22" s="664">
        <f t="shared" si="23"/>
        <v>0</v>
      </c>
      <c r="J22" s="664">
        <f t="shared" si="23"/>
        <v>0</v>
      </c>
      <c r="K22" s="664">
        <f t="shared" si="23"/>
        <v>0</v>
      </c>
      <c r="L22" s="664">
        <f t="shared" si="23"/>
        <v>0</v>
      </c>
      <c r="M22" s="664">
        <f t="shared" si="23"/>
        <v>0</v>
      </c>
      <c r="N22" s="664">
        <f t="shared" si="23"/>
        <v>0</v>
      </c>
      <c r="O22" s="664">
        <f t="shared" si="23"/>
        <v>0</v>
      </c>
      <c r="P22" s="664">
        <f t="shared" si="23"/>
        <v>0</v>
      </c>
      <c r="Q22" s="664">
        <f t="shared" si="23"/>
        <v>0</v>
      </c>
      <c r="R22" s="664">
        <f t="shared" si="23"/>
        <v>0</v>
      </c>
      <c r="S22" s="664">
        <f t="shared" si="23"/>
        <v>0</v>
      </c>
      <c r="T22" s="664">
        <f t="shared" si="23"/>
        <v>0</v>
      </c>
      <c r="U22" s="664">
        <f t="shared" si="23"/>
        <v>0</v>
      </c>
      <c r="V22" s="664">
        <f t="shared" si="23"/>
        <v>0</v>
      </c>
      <c r="W22" s="664">
        <f t="shared" si="23"/>
        <v>0</v>
      </c>
      <c r="X22" s="664">
        <f t="shared" si="23"/>
        <v>0</v>
      </c>
      <c r="Y22" s="664">
        <f t="shared" si="23"/>
        <v>0</v>
      </c>
      <c r="Z22" s="664">
        <f t="shared" si="23"/>
        <v>0</v>
      </c>
      <c r="AA22" s="664">
        <f t="shared" si="23"/>
        <v>0</v>
      </c>
      <c r="AB22" s="664">
        <f t="shared" si="23"/>
        <v>0</v>
      </c>
      <c r="AC22" s="664">
        <f t="shared" si="23"/>
        <v>0</v>
      </c>
      <c r="AD22" s="664">
        <f t="shared" si="23"/>
        <v>0</v>
      </c>
      <c r="AE22" s="664">
        <f t="shared" si="23"/>
        <v>0</v>
      </c>
      <c r="AF22" s="664">
        <f t="shared" si="23"/>
        <v>0</v>
      </c>
      <c r="AG22" s="664">
        <f t="shared" si="23"/>
        <v>0</v>
      </c>
      <c r="AH22" s="664">
        <f t="shared" si="23"/>
        <v>0</v>
      </c>
      <c r="AI22" s="664">
        <f t="shared" si="23"/>
        <v>0</v>
      </c>
      <c r="AJ22" s="664">
        <f t="shared" si="23"/>
        <v>0</v>
      </c>
      <c r="AK22" s="664">
        <f t="shared" si="23"/>
        <v>0</v>
      </c>
      <c r="AL22" s="664">
        <f t="shared" si="23"/>
        <v>0</v>
      </c>
      <c r="AM22" s="664">
        <f t="shared" si="23"/>
        <v>0</v>
      </c>
      <c r="AN22" s="664">
        <f t="shared" si="23"/>
        <v>0</v>
      </c>
      <c r="AO22" s="664">
        <f t="shared" si="23"/>
        <v>0</v>
      </c>
      <c r="AP22" s="664">
        <f t="shared" si="23"/>
        <v>0</v>
      </c>
      <c r="AQ22" s="664">
        <f t="shared" si="23"/>
        <v>0</v>
      </c>
      <c r="AR22" s="664">
        <f t="shared" si="23"/>
        <v>0</v>
      </c>
      <c r="AS22" s="664">
        <f t="shared" si="23"/>
        <v>0</v>
      </c>
      <c r="AT22" s="664">
        <f t="shared" si="23"/>
        <v>0</v>
      </c>
      <c r="AU22" s="664">
        <f t="shared" si="23"/>
        <v>0</v>
      </c>
      <c r="AV22" s="664">
        <f t="shared" si="23"/>
        <v>0</v>
      </c>
      <c r="AW22" s="664">
        <f t="shared" si="23"/>
        <v>0</v>
      </c>
      <c r="AX22" s="664">
        <f t="shared" si="23"/>
        <v>0</v>
      </c>
      <c r="AY22" s="664">
        <f t="shared" si="23"/>
        <v>0</v>
      </c>
      <c r="AZ22" s="664">
        <f t="shared" si="23"/>
        <v>0</v>
      </c>
      <c r="BA22" s="664">
        <f t="shared" ref="BA22:BL22" si="24">IF($C$22="Target",INDEX($E$57:$BL$57,0,0),IF($C$22="Base",INDEX($E$58:$BL$58,0,0),IF($C$22="High",INDEX($E$59:$BL$59,0,0),IF($C$22="Medium",INDEX($E$60:$BL$60,0,0),IF($C$22="Worst",INDEX($E$61:$BL$61,0,0),INDEX($E$62:$BL$62,0,0))))))</f>
        <v>0</v>
      </c>
      <c r="BB22" s="664">
        <f t="shared" si="24"/>
        <v>0</v>
      </c>
      <c r="BC22" s="664">
        <f t="shared" si="24"/>
        <v>0</v>
      </c>
      <c r="BD22" s="664">
        <f t="shared" si="24"/>
        <v>0</v>
      </c>
      <c r="BE22" s="664">
        <f t="shared" si="24"/>
        <v>0</v>
      </c>
      <c r="BF22" s="664">
        <f t="shared" si="24"/>
        <v>0</v>
      </c>
      <c r="BG22" s="664">
        <f t="shared" si="24"/>
        <v>0</v>
      </c>
      <c r="BH22" s="664">
        <f t="shared" si="24"/>
        <v>0</v>
      </c>
      <c r="BI22" s="664">
        <f t="shared" si="24"/>
        <v>0</v>
      </c>
      <c r="BJ22" s="664">
        <f t="shared" si="24"/>
        <v>0</v>
      </c>
      <c r="BK22" s="664">
        <f t="shared" si="24"/>
        <v>0</v>
      </c>
      <c r="BL22" s="664">
        <f t="shared" si="24"/>
        <v>0</v>
      </c>
    </row>
    <row r="23" spans="2:102" hidden="1" x14ac:dyDescent="0.35">
      <c r="B23" s="164" t="s">
        <v>1134</v>
      </c>
      <c r="C23" s="574" t="s">
        <v>391</v>
      </c>
      <c r="E23" s="662">
        <f t="shared" ref="E23:AZ23" si="25">IF($C$23="Target",INDEX($E$83:$AZ$83,0,0),IF($C$23="Base",INDEX($E$84:$AZ$84,0,0),IF($C$23="High",INDEX($E$85:$AZ$85,0,0),IF($C$23="Medium",INDEX($E$86:$AZ$86,0,0),IF($C$23="Worst",INDEX($E$87:$AZ$87,0,0),INDEX($E$88:$AZ$88,0,0))))))</f>
        <v>0</v>
      </c>
      <c r="F23" s="662">
        <f t="shared" si="25"/>
        <v>0</v>
      </c>
      <c r="G23" s="662">
        <f t="shared" si="25"/>
        <v>0</v>
      </c>
      <c r="H23" s="662">
        <f t="shared" si="25"/>
        <v>0</v>
      </c>
      <c r="I23" s="662">
        <f t="shared" si="25"/>
        <v>0</v>
      </c>
      <c r="J23" s="662">
        <f t="shared" si="25"/>
        <v>0</v>
      </c>
      <c r="K23" s="662">
        <f t="shared" si="25"/>
        <v>0</v>
      </c>
      <c r="L23" s="662">
        <f t="shared" si="25"/>
        <v>0</v>
      </c>
      <c r="M23" s="662">
        <f t="shared" si="25"/>
        <v>0</v>
      </c>
      <c r="N23" s="662">
        <f t="shared" si="25"/>
        <v>0</v>
      </c>
      <c r="O23" s="662">
        <f t="shared" si="25"/>
        <v>0</v>
      </c>
      <c r="P23" s="662">
        <f t="shared" si="25"/>
        <v>0</v>
      </c>
      <c r="Q23" s="662">
        <f t="shared" si="25"/>
        <v>0</v>
      </c>
      <c r="R23" s="662">
        <f t="shared" si="25"/>
        <v>0</v>
      </c>
      <c r="S23" s="662">
        <f t="shared" si="25"/>
        <v>0</v>
      </c>
      <c r="T23" s="662">
        <f t="shared" si="25"/>
        <v>0</v>
      </c>
      <c r="U23" s="662">
        <f t="shared" si="25"/>
        <v>0</v>
      </c>
      <c r="V23" s="662">
        <f t="shared" si="25"/>
        <v>0</v>
      </c>
      <c r="W23" s="662">
        <f t="shared" si="25"/>
        <v>0</v>
      </c>
      <c r="X23" s="662">
        <f t="shared" si="25"/>
        <v>0</v>
      </c>
      <c r="Y23" s="662">
        <f t="shared" si="25"/>
        <v>0</v>
      </c>
      <c r="Z23" s="662">
        <f t="shared" si="25"/>
        <v>0</v>
      </c>
      <c r="AA23" s="662">
        <f t="shared" si="25"/>
        <v>0</v>
      </c>
      <c r="AB23" s="662">
        <f t="shared" si="25"/>
        <v>0</v>
      </c>
      <c r="AC23" s="662">
        <f t="shared" si="25"/>
        <v>0</v>
      </c>
      <c r="AD23" s="662">
        <f t="shared" si="25"/>
        <v>0</v>
      </c>
      <c r="AE23" s="662">
        <f t="shared" si="25"/>
        <v>0</v>
      </c>
      <c r="AF23" s="662">
        <f t="shared" si="25"/>
        <v>0</v>
      </c>
      <c r="AG23" s="662">
        <f t="shared" si="25"/>
        <v>0</v>
      </c>
      <c r="AH23" s="662">
        <f t="shared" si="25"/>
        <v>0</v>
      </c>
      <c r="AI23" s="662">
        <f t="shared" si="25"/>
        <v>0</v>
      </c>
      <c r="AJ23" s="662">
        <f t="shared" si="25"/>
        <v>0</v>
      </c>
      <c r="AK23" s="662">
        <f t="shared" si="25"/>
        <v>0</v>
      </c>
      <c r="AL23" s="662">
        <f t="shared" si="25"/>
        <v>0</v>
      </c>
      <c r="AM23" s="662">
        <f t="shared" si="25"/>
        <v>0</v>
      </c>
      <c r="AN23" s="662">
        <f t="shared" si="25"/>
        <v>0</v>
      </c>
      <c r="AO23" s="662">
        <f t="shared" si="25"/>
        <v>0</v>
      </c>
      <c r="AP23" s="662">
        <f t="shared" si="25"/>
        <v>0</v>
      </c>
      <c r="AQ23" s="662">
        <f t="shared" si="25"/>
        <v>0</v>
      </c>
      <c r="AR23" s="662">
        <f t="shared" si="25"/>
        <v>0</v>
      </c>
      <c r="AS23" s="662">
        <f t="shared" si="25"/>
        <v>0</v>
      </c>
      <c r="AT23" s="662">
        <f t="shared" si="25"/>
        <v>0</v>
      </c>
      <c r="AU23" s="662">
        <f t="shared" si="25"/>
        <v>0</v>
      </c>
      <c r="AV23" s="662">
        <f t="shared" si="25"/>
        <v>0</v>
      </c>
      <c r="AW23" s="662">
        <f t="shared" si="25"/>
        <v>0</v>
      </c>
      <c r="AX23" s="662">
        <f t="shared" si="25"/>
        <v>0</v>
      </c>
      <c r="AY23" s="662">
        <f t="shared" si="25"/>
        <v>0</v>
      </c>
      <c r="AZ23" s="662">
        <f t="shared" si="25"/>
        <v>0</v>
      </c>
      <c r="BA23" s="662">
        <f t="shared" ref="BA23:BL23" si="26">IF($C$23="Target",INDEX($E$83:$BL$83,0,0),IF($C$23="Base",INDEX($E$84:$BL$84,0,0),IF($C$23="High",INDEX($E$85:$BL$85,0,0),IF($C$23="Medium",INDEX($E$86:$BL$86,0,0),IF($C$23="Worst",INDEX($E$87:$BL$87,0,0),INDEX($E$88:$BL$88,0,0))))))</f>
        <v>0</v>
      </c>
      <c r="BB23" s="662">
        <f t="shared" si="26"/>
        <v>0</v>
      </c>
      <c r="BC23" s="662">
        <f t="shared" si="26"/>
        <v>0</v>
      </c>
      <c r="BD23" s="662">
        <f t="shared" si="26"/>
        <v>0</v>
      </c>
      <c r="BE23" s="662">
        <f t="shared" si="26"/>
        <v>0</v>
      </c>
      <c r="BF23" s="662">
        <f t="shared" si="26"/>
        <v>0</v>
      </c>
      <c r="BG23" s="662">
        <f t="shared" si="26"/>
        <v>0</v>
      </c>
      <c r="BH23" s="662">
        <f t="shared" si="26"/>
        <v>0</v>
      </c>
      <c r="BI23" s="662">
        <f t="shared" si="26"/>
        <v>0</v>
      </c>
      <c r="BJ23" s="662">
        <f t="shared" si="26"/>
        <v>0</v>
      </c>
      <c r="BK23" s="662">
        <f t="shared" si="26"/>
        <v>0</v>
      </c>
      <c r="BL23" s="662">
        <f t="shared" si="26"/>
        <v>0</v>
      </c>
    </row>
    <row r="24" spans="2:102" hidden="1" x14ac:dyDescent="0.35">
      <c r="B24" s="164" t="s">
        <v>831</v>
      </c>
      <c r="C24" s="574" t="s">
        <v>391</v>
      </c>
      <c r="E24" s="664">
        <f t="shared" ref="E24:AZ24" si="27">IF($C$24="Target",INDEX($E$109:$AZ$109,0,0),IF($C$24="Base",INDEX($E$110:$AZ$110,0,0),IF($C$24="High",INDEX($E$111:$AZ$111,0,0),IF($C$24="Medium",INDEX($E$112:$AZ$112,0,0),IF($C$24="Worst",INDEX($E$113:$AZ$113,0,0),INDEX($E$114:$AZ$114,0,0))))))</f>
        <v>0</v>
      </c>
      <c r="F24" s="664">
        <f t="shared" si="27"/>
        <v>0</v>
      </c>
      <c r="G24" s="664">
        <f t="shared" si="27"/>
        <v>0</v>
      </c>
      <c r="H24" s="664">
        <f t="shared" si="27"/>
        <v>0</v>
      </c>
      <c r="I24" s="664">
        <f t="shared" si="27"/>
        <v>0</v>
      </c>
      <c r="J24" s="664">
        <f t="shared" si="27"/>
        <v>0</v>
      </c>
      <c r="K24" s="664">
        <f t="shared" si="27"/>
        <v>0</v>
      </c>
      <c r="L24" s="664">
        <f t="shared" si="27"/>
        <v>0</v>
      </c>
      <c r="M24" s="664">
        <f t="shared" si="27"/>
        <v>0</v>
      </c>
      <c r="N24" s="664">
        <f t="shared" si="27"/>
        <v>0</v>
      </c>
      <c r="O24" s="664">
        <f t="shared" si="27"/>
        <v>0</v>
      </c>
      <c r="P24" s="664">
        <f t="shared" si="27"/>
        <v>0</v>
      </c>
      <c r="Q24" s="664">
        <f t="shared" si="27"/>
        <v>0</v>
      </c>
      <c r="R24" s="664">
        <f t="shared" si="27"/>
        <v>0</v>
      </c>
      <c r="S24" s="664">
        <f t="shared" si="27"/>
        <v>0</v>
      </c>
      <c r="T24" s="664">
        <f t="shared" si="27"/>
        <v>0</v>
      </c>
      <c r="U24" s="664">
        <f t="shared" si="27"/>
        <v>0</v>
      </c>
      <c r="V24" s="664">
        <f t="shared" si="27"/>
        <v>0</v>
      </c>
      <c r="W24" s="664">
        <f t="shared" si="27"/>
        <v>0</v>
      </c>
      <c r="X24" s="664">
        <f t="shared" si="27"/>
        <v>0</v>
      </c>
      <c r="Y24" s="664">
        <f t="shared" si="27"/>
        <v>0</v>
      </c>
      <c r="Z24" s="664">
        <f t="shared" si="27"/>
        <v>0</v>
      </c>
      <c r="AA24" s="664">
        <f t="shared" si="27"/>
        <v>0</v>
      </c>
      <c r="AB24" s="664">
        <f t="shared" si="27"/>
        <v>0</v>
      </c>
      <c r="AC24" s="664">
        <f t="shared" si="27"/>
        <v>0</v>
      </c>
      <c r="AD24" s="664">
        <f t="shared" si="27"/>
        <v>0</v>
      </c>
      <c r="AE24" s="664">
        <f t="shared" si="27"/>
        <v>0</v>
      </c>
      <c r="AF24" s="664">
        <f t="shared" si="27"/>
        <v>0</v>
      </c>
      <c r="AG24" s="664">
        <f t="shared" si="27"/>
        <v>0</v>
      </c>
      <c r="AH24" s="664">
        <f t="shared" si="27"/>
        <v>0</v>
      </c>
      <c r="AI24" s="664">
        <f t="shared" si="27"/>
        <v>0</v>
      </c>
      <c r="AJ24" s="664">
        <f t="shared" si="27"/>
        <v>0</v>
      </c>
      <c r="AK24" s="664">
        <f t="shared" si="27"/>
        <v>0</v>
      </c>
      <c r="AL24" s="664">
        <f t="shared" si="27"/>
        <v>0</v>
      </c>
      <c r="AM24" s="664">
        <f t="shared" si="27"/>
        <v>0</v>
      </c>
      <c r="AN24" s="664">
        <f t="shared" si="27"/>
        <v>0</v>
      </c>
      <c r="AO24" s="664">
        <f t="shared" si="27"/>
        <v>0</v>
      </c>
      <c r="AP24" s="664">
        <f t="shared" si="27"/>
        <v>0</v>
      </c>
      <c r="AQ24" s="664">
        <f t="shared" si="27"/>
        <v>0</v>
      </c>
      <c r="AR24" s="664">
        <f t="shared" si="27"/>
        <v>0</v>
      </c>
      <c r="AS24" s="664">
        <f t="shared" si="27"/>
        <v>0</v>
      </c>
      <c r="AT24" s="664">
        <f t="shared" si="27"/>
        <v>0</v>
      </c>
      <c r="AU24" s="664">
        <f t="shared" si="27"/>
        <v>0</v>
      </c>
      <c r="AV24" s="664">
        <f t="shared" si="27"/>
        <v>0</v>
      </c>
      <c r="AW24" s="664">
        <f t="shared" si="27"/>
        <v>0</v>
      </c>
      <c r="AX24" s="664">
        <f t="shared" si="27"/>
        <v>0</v>
      </c>
      <c r="AY24" s="664">
        <f t="shared" si="27"/>
        <v>0</v>
      </c>
      <c r="AZ24" s="664">
        <f t="shared" si="27"/>
        <v>0</v>
      </c>
      <c r="BA24" s="664">
        <f t="shared" ref="BA24:BL24" si="28">IF($C$24="Target",INDEX($E$109:$BL$109,0,0),IF($C$24="Base",INDEX($E$110:$BL$110,0,0),IF($C$24="High",INDEX($E$111:$BL$111,0,0),IF($C$24="Medium",INDEX($E$112:$BL$112,0,0),IF($C$24="Worst",INDEX($E$113:$BL$113,0,0),INDEX($E$114:$BL$114,0,0))))))</f>
        <v>0</v>
      </c>
      <c r="BB24" s="664">
        <f t="shared" si="28"/>
        <v>0</v>
      </c>
      <c r="BC24" s="664">
        <f t="shared" si="28"/>
        <v>0</v>
      </c>
      <c r="BD24" s="664">
        <f t="shared" si="28"/>
        <v>0</v>
      </c>
      <c r="BE24" s="664">
        <f t="shared" si="28"/>
        <v>0</v>
      </c>
      <c r="BF24" s="664">
        <f t="shared" si="28"/>
        <v>0</v>
      </c>
      <c r="BG24" s="664">
        <f t="shared" si="28"/>
        <v>0</v>
      </c>
      <c r="BH24" s="664">
        <f t="shared" si="28"/>
        <v>0</v>
      </c>
      <c r="BI24" s="664">
        <f t="shared" si="28"/>
        <v>0</v>
      </c>
      <c r="BJ24" s="664">
        <f t="shared" si="28"/>
        <v>0</v>
      </c>
      <c r="BK24" s="664">
        <f t="shared" si="28"/>
        <v>0</v>
      </c>
      <c r="BL24" s="664">
        <f t="shared" si="28"/>
        <v>0</v>
      </c>
    </row>
    <row r="25" spans="2:102" hidden="1" x14ac:dyDescent="0.35">
      <c r="B25" s="164" t="s">
        <v>1130</v>
      </c>
      <c r="C25" s="574" t="s">
        <v>391</v>
      </c>
      <c r="E25" s="664"/>
      <c r="F25" s="664"/>
      <c r="G25" s="664"/>
      <c r="H25" s="664"/>
      <c r="I25" s="664"/>
      <c r="J25" s="664"/>
      <c r="K25" s="664"/>
      <c r="L25" s="664"/>
      <c r="M25" s="664"/>
      <c r="N25" s="664"/>
      <c r="O25" s="664"/>
      <c r="P25" s="664"/>
      <c r="Q25" s="664"/>
      <c r="R25" s="664"/>
      <c r="S25" s="664"/>
      <c r="T25" s="664"/>
      <c r="U25" s="664"/>
      <c r="V25" s="664"/>
      <c r="W25" s="664"/>
      <c r="X25" s="664"/>
      <c r="Y25" s="664"/>
      <c r="Z25" s="664"/>
      <c r="AA25" s="664"/>
      <c r="AB25" s="664"/>
      <c r="AC25" s="664"/>
      <c r="AD25" s="664"/>
      <c r="AE25" s="664"/>
      <c r="AF25" s="664"/>
      <c r="AG25" s="664"/>
      <c r="AH25" s="664"/>
      <c r="AI25" s="664"/>
      <c r="AJ25" s="664"/>
      <c r="AK25" s="664"/>
      <c r="AL25" s="664"/>
      <c r="AM25" s="664"/>
      <c r="AN25" s="664"/>
      <c r="AO25" s="664"/>
      <c r="AP25" s="664"/>
      <c r="AQ25" s="664"/>
      <c r="AR25" s="664"/>
      <c r="AS25" s="664"/>
      <c r="AT25" s="664"/>
      <c r="AU25" s="664"/>
      <c r="AV25" s="664"/>
      <c r="AW25" s="664"/>
      <c r="AX25" s="664"/>
      <c r="AY25" s="664"/>
      <c r="AZ25" s="664"/>
      <c r="BA25" s="664"/>
      <c r="BB25" s="664"/>
      <c r="BC25" s="664"/>
      <c r="BD25" s="664"/>
      <c r="BE25" s="664"/>
      <c r="BF25" s="664"/>
      <c r="BG25" s="664"/>
      <c r="BH25" s="664"/>
      <c r="BI25" s="664"/>
      <c r="BJ25" s="664"/>
      <c r="BK25" s="664"/>
      <c r="BL25" s="664"/>
    </row>
    <row r="26" spans="2:102" hidden="1" x14ac:dyDescent="0.35">
      <c r="B26" s="164" t="s">
        <v>832</v>
      </c>
      <c r="C26" s="574" t="s">
        <v>391</v>
      </c>
      <c r="E26" s="663">
        <f t="shared" ref="E26:AJ26" si="29">E22*E23</f>
        <v>0</v>
      </c>
      <c r="F26" s="663">
        <f t="shared" si="29"/>
        <v>0</v>
      </c>
      <c r="G26" s="663">
        <f t="shared" si="29"/>
        <v>0</v>
      </c>
      <c r="H26" s="663">
        <f t="shared" si="29"/>
        <v>0</v>
      </c>
      <c r="I26" s="663">
        <f t="shared" si="29"/>
        <v>0</v>
      </c>
      <c r="J26" s="663">
        <f t="shared" si="29"/>
        <v>0</v>
      </c>
      <c r="K26" s="663">
        <f t="shared" si="29"/>
        <v>0</v>
      </c>
      <c r="L26" s="663">
        <f t="shared" si="29"/>
        <v>0</v>
      </c>
      <c r="M26" s="663">
        <f t="shared" si="29"/>
        <v>0</v>
      </c>
      <c r="N26" s="663">
        <f t="shared" si="29"/>
        <v>0</v>
      </c>
      <c r="O26" s="663">
        <f t="shared" si="29"/>
        <v>0</v>
      </c>
      <c r="P26" s="663">
        <f t="shared" si="29"/>
        <v>0</v>
      </c>
      <c r="Q26" s="663">
        <f t="shared" si="29"/>
        <v>0</v>
      </c>
      <c r="R26" s="663">
        <f t="shared" si="29"/>
        <v>0</v>
      </c>
      <c r="S26" s="663">
        <f t="shared" si="29"/>
        <v>0</v>
      </c>
      <c r="T26" s="663">
        <f t="shared" si="29"/>
        <v>0</v>
      </c>
      <c r="U26" s="663">
        <f t="shared" si="29"/>
        <v>0</v>
      </c>
      <c r="V26" s="663">
        <f t="shared" si="29"/>
        <v>0</v>
      </c>
      <c r="W26" s="663">
        <f t="shared" si="29"/>
        <v>0</v>
      </c>
      <c r="X26" s="663">
        <f t="shared" si="29"/>
        <v>0</v>
      </c>
      <c r="Y26" s="663">
        <f t="shared" si="29"/>
        <v>0</v>
      </c>
      <c r="Z26" s="663">
        <f t="shared" si="29"/>
        <v>0</v>
      </c>
      <c r="AA26" s="663">
        <f t="shared" si="29"/>
        <v>0</v>
      </c>
      <c r="AB26" s="663">
        <f t="shared" si="29"/>
        <v>0</v>
      </c>
      <c r="AC26" s="663">
        <f t="shared" si="29"/>
        <v>0</v>
      </c>
      <c r="AD26" s="663">
        <f t="shared" si="29"/>
        <v>0</v>
      </c>
      <c r="AE26" s="663">
        <f t="shared" si="29"/>
        <v>0</v>
      </c>
      <c r="AF26" s="663">
        <f t="shared" si="29"/>
        <v>0</v>
      </c>
      <c r="AG26" s="663">
        <f t="shared" si="29"/>
        <v>0</v>
      </c>
      <c r="AH26" s="663">
        <f t="shared" si="29"/>
        <v>0</v>
      </c>
      <c r="AI26" s="663">
        <f t="shared" si="29"/>
        <v>0</v>
      </c>
      <c r="AJ26" s="663">
        <f t="shared" si="29"/>
        <v>0</v>
      </c>
      <c r="AK26" s="663">
        <f t="shared" ref="AK26:BL26" si="30">AK22*AK23</f>
        <v>0</v>
      </c>
      <c r="AL26" s="663">
        <f t="shared" si="30"/>
        <v>0</v>
      </c>
      <c r="AM26" s="663">
        <f t="shared" si="30"/>
        <v>0</v>
      </c>
      <c r="AN26" s="663">
        <f t="shared" si="30"/>
        <v>0</v>
      </c>
      <c r="AO26" s="663">
        <f t="shared" si="30"/>
        <v>0</v>
      </c>
      <c r="AP26" s="663">
        <f t="shared" si="30"/>
        <v>0</v>
      </c>
      <c r="AQ26" s="663">
        <f t="shared" si="30"/>
        <v>0</v>
      </c>
      <c r="AR26" s="663">
        <f t="shared" si="30"/>
        <v>0</v>
      </c>
      <c r="AS26" s="663">
        <f t="shared" si="30"/>
        <v>0</v>
      </c>
      <c r="AT26" s="663">
        <f t="shared" si="30"/>
        <v>0</v>
      </c>
      <c r="AU26" s="663">
        <f t="shared" si="30"/>
        <v>0</v>
      </c>
      <c r="AV26" s="663">
        <f t="shared" si="30"/>
        <v>0</v>
      </c>
      <c r="AW26" s="663">
        <f t="shared" si="30"/>
        <v>0</v>
      </c>
      <c r="AX26" s="663">
        <f t="shared" si="30"/>
        <v>0</v>
      </c>
      <c r="AY26" s="663">
        <f t="shared" si="30"/>
        <v>0</v>
      </c>
      <c r="AZ26" s="663">
        <f t="shared" si="30"/>
        <v>0</v>
      </c>
      <c r="BA26" s="663">
        <f t="shared" si="30"/>
        <v>0</v>
      </c>
      <c r="BB26" s="663">
        <f t="shared" si="30"/>
        <v>0</v>
      </c>
      <c r="BC26" s="663">
        <f t="shared" si="30"/>
        <v>0</v>
      </c>
      <c r="BD26" s="663">
        <f t="shared" si="30"/>
        <v>0</v>
      </c>
      <c r="BE26" s="663">
        <f t="shared" si="30"/>
        <v>0</v>
      </c>
      <c r="BF26" s="663">
        <f t="shared" si="30"/>
        <v>0</v>
      </c>
      <c r="BG26" s="663">
        <f t="shared" si="30"/>
        <v>0</v>
      </c>
      <c r="BH26" s="663">
        <f t="shared" si="30"/>
        <v>0</v>
      </c>
      <c r="BI26" s="663">
        <f t="shared" si="30"/>
        <v>0</v>
      </c>
      <c r="BJ26" s="663">
        <f t="shared" si="30"/>
        <v>0</v>
      </c>
      <c r="BK26" s="663">
        <f t="shared" si="30"/>
        <v>0</v>
      </c>
      <c r="BL26" s="663">
        <f t="shared" si="30"/>
        <v>0</v>
      </c>
    </row>
    <row r="27" spans="2:102" hidden="1" x14ac:dyDescent="0.35">
      <c r="B27" s="654" t="s">
        <v>833</v>
      </c>
      <c r="C27" s="655"/>
      <c r="D27" s="655"/>
      <c r="E27" s="667" t="e">
        <f t="shared" ref="E27:AJ27" si="31">E24/E26</f>
        <v>#DIV/0!</v>
      </c>
      <c r="F27" s="667" t="e">
        <f t="shared" si="31"/>
        <v>#DIV/0!</v>
      </c>
      <c r="G27" s="667" t="e">
        <f t="shared" si="31"/>
        <v>#DIV/0!</v>
      </c>
      <c r="H27" s="667" t="e">
        <f t="shared" si="31"/>
        <v>#DIV/0!</v>
      </c>
      <c r="I27" s="667" t="e">
        <f t="shared" si="31"/>
        <v>#DIV/0!</v>
      </c>
      <c r="J27" s="667" t="e">
        <f t="shared" si="31"/>
        <v>#DIV/0!</v>
      </c>
      <c r="K27" s="667" t="e">
        <f t="shared" si="31"/>
        <v>#DIV/0!</v>
      </c>
      <c r="L27" s="667" t="e">
        <f t="shared" si="31"/>
        <v>#DIV/0!</v>
      </c>
      <c r="M27" s="667" t="e">
        <f t="shared" si="31"/>
        <v>#DIV/0!</v>
      </c>
      <c r="N27" s="667" t="e">
        <f t="shared" si="31"/>
        <v>#DIV/0!</v>
      </c>
      <c r="O27" s="667" t="e">
        <f t="shared" si="31"/>
        <v>#DIV/0!</v>
      </c>
      <c r="P27" s="667" t="e">
        <f t="shared" si="31"/>
        <v>#DIV/0!</v>
      </c>
      <c r="Q27" s="667" t="e">
        <f t="shared" si="31"/>
        <v>#DIV/0!</v>
      </c>
      <c r="R27" s="667" t="e">
        <f t="shared" si="31"/>
        <v>#DIV/0!</v>
      </c>
      <c r="S27" s="667" t="e">
        <f t="shared" si="31"/>
        <v>#DIV/0!</v>
      </c>
      <c r="T27" s="667" t="e">
        <f t="shared" si="31"/>
        <v>#DIV/0!</v>
      </c>
      <c r="U27" s="667" t="e">
        <f t="shared" si="31"/>
        <v>#DIV/0!</v>
      </c>
      <c r="V27" s="667" t="e">
        <f t="shared" si="31"/>
        <v>#DIV/0!</v>
      </c>
      <c r="W27" s="667" t="e">
        <f t="shared" si="31"/>
        <v>#DIV/0!</v>
      </c>
      <c r="X27" s="667" t="e">
        <f t="shared" si="31"/>
        <v>#DIV/0!</v>
      </c>
      <c r="Y27" s="667" t="e">
        <f t="shared" si="31"/>
        <v>#DIV/0!</v>
      </c>
      <c r="Z27" s="667" t="e">
        <f t="shared" si="31"/>
        <v>#DIV/0!</v>
      </c>
      <c r="AA27" s="667" t="e">
        <f t="shared" si="31"/>
        <v>#DIV/0!</v>
      </c>
      <c r="AB27" s="667" t="e">
        <f t="shared" si="31"/>
        <v>#DIV/0!</v>
      </c>
      <c r="AC27" s="667" t="e">
        <f t="shared" si="31"/>
        <v>#DIV/0!</v>
      </c>
      <c r="AD27" s="667" t="e">
        <f t="shared" si="31"/>
        <v>#DIV/0!</v>
      </c>
      <c r="AE27" s="667" t="e">
        <f t="shared" si="31"/>
        <v>#DIV/0!</v>
      </c>
      <c r="AF27" s="667" t="e">
        <f t="shared" si="31"/>
        <v>#DIV/0!</v>
      </c>
      <c r="AG27" s="667" t="e">
        <f t="shared" si="31"/>
        <v>#DIV/0!</v>
      </c>
      <c r="AH27" s="667" t="e">
        <f t="shared" si="31"/>
        <v>#DIV/0!</v>
      </c>
      <c r="AI27" s="667" t="e">
        <f t="shared" si="31"/>
        <v>#DIV/0!</v>
      </c>
      <c r="AJ27" s="667" t="e">
        <f t="shared" si="31"/>
        <v>#DIV/0!</v>
      </c>
      <c r="AK27" s="667" t="e">
        <f t="shared" ref="AK27:BL27" si="32">AK24/AK26</f>
        <v>#DIV/0!</v>
      </c>
      <c r="AL27" s="667" t="e">
        <f t="shared" si="32"/>
        <v>#DIV/0!</v>
      </c>
      <c r="AM27" s="667" t="e">
        <f t="shared" si="32"/>
        <v>#DIV/0!</v>
      </c>
      <c r="AN27" s="667" t="e">
        <f t="shared" si="32"/>
        <v>#DIV/0!</v>
      </c>
      <c r="AO27" s="667" t="e">
        <f t="shared" si="32"/>
        <v>#DIV/0!</v>
      </c>
      <c r="AP27" s="667" t="e">
        <f t="shared" si="32"/>
        <v>#DIV/0!</v>
      </c>
      <c r="AQ27" s="667" t="e">
        <f t="shared" si="32"/>
        <v>#DIV/0!</v>
      </c>
      <c r="AR27" s="667" t="e">
        <f t="shared" si="32"/>
        <v>#DIV/0!</v>
      </c>
      <c r="AS27" s="667" t="e">
        <f t="shared" si="32"/>
        <v>#DIV/0!</v>
      </c>
      <c r="AT27" s="667" t="e">
        <f t="shared" si="32"/>
        <v>#DIV/0!</v>
      </c>
      <c r="AU27" s="667" t="e">
        <f t="shared" si="32"/>
        <v>#DIV/0!</v>
      </c>
      <c r="AV27" s="667" t="e">
        <f t="shared" si="32"/>
        <v>#DIV/0!</v>
      </c>
      <c r="AW27" s="667" t="e">
        <f t="shared" si="32"/>
        <v>#DIV/0!</v>
      </c>
      <c r="AX27" s="667" t="e">
        <f t="shared" si="32"/>
        <v>#DIV/0!</v>
      </c>
      <c r="AY27" s="667" t="e">
        <f t="shared" si="32"/>
        <v>#DIV/0!</v>
      </c>
      <c r="AZ27" s="667" t="e">
        <f t="shared" si="32"/>
        <v>#DIV/0!</v>
      </c>
      <c r="BA27" s="667" t="e">
        <f t="shared" si="32"/>
        <v>#DIV/0!</v>
      </c>
      <c r="BB27" s="667" t="e">
        <f t="shared" si="32"/>
        <v>#DIV/0!</v>
      </c>
      <c r="BC27" s="667" t="e">
        <f t="shared" si="32"/>
        <v>#DIV/0!</v>
      </c>
      <c r="BD27" s="667" t="e">
        <f t="shared" si="32"/>
        <v>#DIV/0!</v>
      </c>
      <c r="BE27" s="667" t="e">
        <f t="shared" si="32"/>
        <v>#DIV/0!</v>
      </c>
      <c r="BF27" s="667" t="e">
        <f t="shared" si="32"/>
        <v>#DIV/0!</v>
      </c>
      <c r="BG27" s="667" t="e">
        <f t="shared" si="32"/>
        <v>#DIV/0!</v>
      </c>
      <c r="BH27" s="667" t="e">
        <f t="shared" si="32"/>
        <v>#DIV/0!</v>
      </c>
      <c r="BI27" s="667" t="e">
        <f t="shared" si="32"/>
        <v>#DIV/0!</v>
      </c>
      <c r="BJ27" s="667" t="e">
        <f t="shared" si="32"/>
        <v>#DIV/0!</v>
      </c>
      <c r="BK27" s="667" t="e">
        <f t="shared" si="32"/>
        <v>#DIV/0!</v>
      </c>
      <c r="BL27" s="667" t="e">
        <f t="shared" si="32"/>
        <v>#DIV/0!</v>
      </c>
      <c r="BM27" s="665"/>
      <c r="BN27" s="665"/>
      <c r="BO27" s="665"/>
      <c r="BP27" s="665"/>
      <c r="BQ27" s="665"/>
      <c r="BR27" s="665"/>
      <c r="BS27" s="665"/>
      <c r="BT27" s="665"/>
      <c r="BU27" s="665"/>
      <c r="BV27" s="665"/>
      <c r="BW27" s="665"/>
      <c r="BX27" s="665"/>
      <c r="BY27" s="665"/>
      <c r="BZ27" s="665"/>
      <c r="CA27" s="665"/>
      <c r="CB27" s="665"/>
      <c r="CC27" s="665"/>
      <c r="CD27" s="665"/>
      <c r="CE27" s="665"/>
      <c r="CF27" s="665"/>
      <c r="CG27" s="665"/>
      <c r="CH27" s="665"/>
      <c r="CI27" s="665"/>
      <c r="CJ27" s="665"/>
      <c r="CK27" s="665"/>
      <c r="CL27" s="665"/>
      <c r="CM27" s="665"/>
      <c r="CN27" s="665"/>
      <c r="CO27" s="665"/>
      <c r="CP27" s="665"/>
      <c r="CQ27" s="665"/>
      <c r="CR27" s="665"/>
      <c r="CS27" s="665"/>
      <c r="CT27" s="665"/>
      <c r="CU27" s="665"/>
      <c r="CV27" s="665"/>
      <c r="CW27" s="665"/>
      <c r="CX27" s="665"/>
    </row>
    <row r="28" spans="2:102" hidden="1" x14ac:dyDescent="0.35">
      <c r="BM28" s="666"/>
      <c r="BN28" s="666"/>
      <c r="BO28" s="666"/>
      <c r="BP28" s="666"/>
      <c r="BQ28" s="666"/>
      <c r="BR28" s="666"/>
      <c r="BS28" s="666"/>
      <c r="BT28" s="666"/>
      <c r="BU28" s="666"/>
      <c r="BV28" s="666"/>
      <c r="BW28" s="666"/>
      <c r="BX28" s="666"/>
      <c r="BY28" s="666"/>
      <c r="BZ28" s="666"/>
      <c r="CA28" s="666"/>
      <c r="CB28" s="666"/>
      <c r="CC28" s="666"/>
      <c r="CD28" s="666"/>
      <c r="CE28" s="666"/>
      <c r="CF28" s="666"/>
      <c r="CG28" s="666"/>
      <c r="CH28" s="666"/>
      <c r="CI28" s="666"/>
      <c r="CJ28" s="666"/>
      <c r="CK28" s="666"/>
      <c r="CL28" s="666"/>
      <c r="CM28" s="666"/>
      <c r="CN28" s="666"/>
      <c r="CO28" s="666"/>
      <c r="CP28" s="666"/>
      <c r="CQ28" s="666"/>
      <c r="CR28" s="666"/>
      <c r="CS28" s="666"/>
      <c r="CT28" s="666"/>
      <c r="CU28" s="666"/>
      <c r="CV28" s="666"/>
      <c r="CW28" s="666"/>
      <c r="CX28" s="666"/>
    </row>
    <row r="29" spans="2:102" hidden="1" x14ac:dyDescent="0.35">
      <c r="B29" s="652" t="s">
        <v>834</v>
      </c>
      <c r="BM29" s="665"/>
      <c r="BN29" s="665"/>
      <c r="BO29" s="665"/>
      <c r="BP29" s="665"/>
      <c r="BQ29" s="665"/>
      <c r="BR29" s="665"/>
      <c r="BS29" s="665"/>
      <c r="BT29" s="665"/>
      <c r="BU29" s="665"/>
      <c r="BV29" s="665"/>
      <c r="BW29" s="665"/>
      <c r="BX29" s="665"/>
      <c r="BY29" s="665"/>
      <c r="BZ29" s="665"/>
      <c r="CA29" s="665"/>
      <c r="CB29" s="665"/>
      <c r="CC29" s="665"/>
      <c r="CD29" s="665"/>
      <c r="CE29" s="665"/>
      <c r="CF29" s="665"/>
      <c r="CG29" s="665"/>
      <c r="CH29" s="665"/>
      <c r="CI29" s="665"/>
      <c r="CJ29" s="665"/>
      <c r="CK29" s="665"/>
      <c r="CL29" s="665"/>
      <c r="CM29" s="665"/>
      <c r="CN29" s="665"/>
      <c r="CO29" s="665"/>
      <c r="CP29" s="665"/>
      <c r="CQ29" s="665"/>
      <c r="CR29" s="665"/>
      <c r="CS29" s="665"/>
      <c r="CT29" s="665"/>
      <c r="CU29" s="665"/>
      <c r="CV29" s="665"/>
      <c r="CW29" s="665"/>
      <c r="CX29" s="665"/>
    </row>
    <row r="30" spans="2:102" hidden="1" x14ac:dyDescent="0.35">
      <c r="B30" s="164" t="s">
        <v>1136</v>
      </c>
      <c r="C30" s="574" t="s">
        <v>391</v>
      </c>
      <c r="E30" s="664">
        <f t="shared" ref="E30:AZ30" si="33">IF($C$30="Target",INDEX($E$63:$AZ$63,0,0),IF($C$30="Base",INDEX($E$64:$AZ$64,0,0),IF($C$30="High",INDEX($E$65:$AZ$65,0,0),IF($C$30="Medium",INDEX($E$66:$AZ$66,0,0),IF($C$30="Worst",INDEX($E$67:$AZ$67,0,0),INDEX($E$68:$AZ$68,0,0))))))</f>
        <v>0</v>
      </c>
      <c r="F30" s="664">
        <f t="shared" si="33"/>
        <v>0</v>
      </c>
      <c r="G30" s="664">
        <f t="shared" si="33"/>
        <v>0</v>
      </c>
      <c r="H30" s="664">
        <f t="shared" si="33"/>
        <v>0</v>
      </c>
      <c r="I30" s="664">
        <f t="shared" si="33"/>
        <v>0</v>
      </c>
      <c r="J30" s="664">
        <f t="shared" si="33"/>
        <v>0</v>
      </c>
      <c r="K30" s="664">
        <f t="shared" si="33"/>
        <v>0</v>
      </c>
      <c r="L30" s="664">
        <f t="shared" si="33"/>
        <v>0</v>
      </c>
      <c r="M30" s="664">
        <f t="shared" si="33"/>
        <v>0</v>
      </c>
      <c r="N30" s="664">
        <f t="shared" si="33"/>
        <v>0</v>
      </c>
      <c r="O30" s="664">
        <f t="shared" si="33"/>
        <v>0</v>
      </c>
      <c r="P30" s="664">
        <f t="shared" si="33"/>
        <v>0</v>
      </c>
      <c r="Q30" s="664">
        <f t="shared" si="33"/>
        <v>0</v>
      </c>
      <c r="R30" s="664">
        <f t="shared" si="33"/>
        <v>0</v>
      </c>
      <c r="S30" s="664">
        <f t="shared" si="33"/>
        <v>0</v>
      </c>
      <c r="T30" s="664">
        <f t="shared" si="33"/>
        <v>0</v>
      </c>
      <c r="U30" s="664">
        <f t="shared" si="33"/>
        <v>0</v>
      </c>
      <c r="V30" s="664">
        <f t="shared" si="33"/>
        <v>0</v>
      </c>
      <c r="W30" s="664">
        <f t="shared" si="33"/>
        <v>0</v>
      </c>
      <c r="X30" s="664">
        <f t="shared" si="33"/>
        <v>0</v>
      </c>
      <c r="Y30" s="664">
        <f t="shared" si="33"/>
        <v>0</v>
      </c>
      <c r="Z30" s="664">
        <f t="shared" si="33"/>
        <v>0</v>
      </c>
      <c r="AA30" s="664">
        <f t="shared" si="33"/>
        <v>0</v>
      </c>
      <c r="AB30" s="664">
        <f t="shared" si="33"/>
        <v>0</v>
      </c>
      <c r="AC30" s="664">
        <f t="shared" si="33"/>
        <v>0</v>
      </c>
      <c r="AD30" s="664">
        <f t="shared" si="33"/>
        <v>0</v>
      </c>
      <c r="AE30" s="664">
        <f t="shared" si="33"/>
        <v>0</v>
      </c>
      <c r="AF30" s="664">
        <f t="shared" si="33"/>
        <v>0</v>
      </c>
      <c r="AG30" s="664">
        <f t="shared" si="33"/>
        <v>0</v>
      </c>
      <c r="AH30" s="664">
        <f t="shared" si="33"/>
        <v>0</v>
      </c>
      <c r="AI30" s="664">
        <f t="shared" si="33"/>
        <v>0</v>
      </c>
      <c r="AJ30" s="664">
        <f t="shared" si="33"/>
        <v>0</v>
      </c>
      <c r="AK30" s="664">
        <f t="shared" si="33"/>
        <v>0</v>
      </c>
      <c r="AL30" s="664">
        <f t="shared" si="33"/>
        <v>0</v>
      </c>
      <c r="AM30" s="664">
        <f t="shared" si="33"/>
        <v>0</v>
      </c>
      <c r="AN30" s="664">
        <f t="shared" si="33"/>
        <v>0</v>
      </c>
      <c r="AO30" s="664">
        <f t="shared" si="33"/>
        <v>0</v>
      </c>
      <c r="AP30" s="664">
        <f t="shared" si="33"/>
        <v>0</v>
      </c>
      <c r="AQ30" s="664">
        <f t="shared" si="33"/>
        <v>0</v>
      </c>
      <c r="AR30" s="664">
        <f t="shared" si="33"/>
        <v>0</v>
      </c>
      <c r="AS30" s="664">
        <f t="shared" si="33"/>
        <v>0</v>
      </c>
      <c r="AT30" s="664">
        <f t="shared" si="33"/>
        <v>0</v>
      </c>
      <c r="AU30" s="664">
        <f t="shared" si="33"/>
        <v>0</v>
      </c>
      <c r="AV30" s="664">
        <f t="shared" si="33"/>
        <v>0</v>
      </c>
      <c r="AW30" s="664">
        <f t="shared" si="33"/>
        <v>0</v>
      </c>
      <c r="AX30" s="664">
        <f t="shared" si="33"/>
        <v>0</v>
      </c>
      <c r="AY30" s="664">
        <f t="shared" si="33"/>
        <v>0</v>
      </c>
      <c r="AZ30" s="664">
        <f t="shared" si="33"/>
        <v>0</v>
      </c>
      <c r="BA30" s="664">
        <f t="shared" ref="BA30:BL30" si="34">IF($C$30="Target",INDEX($E$63:$BL$63,0,0),IF($C$30="Base",INDEX($E$64:$BL$64,0,0),IF($C$30="High",INDEX($E$65:$BL$65,0,0),IF($C$30="Medium",INDEX($E$66:$BL$66,0,0),IF($C$30="Worst",INDEX($E$67:$BL$67,0,0),INDEX($E$68:$BL$68,0,0))))))</f>
        <v>0</v>
      </c>
      <c r="BB30" s="664">
        <f t="shared" si="34"/>
        <v>0</v>
      </c>
      <c r="BC30" s="664">
        <f t="shared" si="34"/>
        <v>0</v>
      </c>
      <c r="BD30" s="664">
        <f t="shared" si="34"/>
        <v>0</v>
      </c>
      <c r="BE30" s="664">
        <f t="shared" si="34"/>
        <v>0</v>
      </c>
      <c r="BF30" s="664">
        <f t="shared" si="34"/>
        <v>0</v>
      </c>
      <c r="BG30" s="664">
        <f t="shared" si="34"/>
        <v>0</v>
      </c>
      <c r="BH30" s="664">
        <f t="shared" si="34"/>
        <v>0</v>
      </c>
      <c r="BI30" s="664">
        <f t="shared" si="34"/>
        <v>0</v>
      </c>
      <c r="BJ30" s="664">
        <f t="shared" si="34"/>
        <v>0</v>
      </c>
      <c r="BK30" s="664">
        <f t="shared" si="34"/>
        <v>0</v>
      </c>
      <c r="BL30" s="664">
        <f t="shared" si="34"/>
        <v>0</v>
      </c>
      <c r="BM30" s="577"/>
      <c r="BN30" s="577"/>
      <c r="BO30" s="577"/>
      <c r="BP30" s="577"/>
      <c r="BQ30" s="577"/>
      <c r="BR30" s="577"/>
      <c r="BS30" s="577"/>
      <c r="BT30" s="577"/>
      <c r="BU30" s="577"/>
      <c r="BV30" s="577"/>
      <c r="BW30" s="577"/>
      <c r="BX30" s="577"/>
      <c r="BY30" s="577"/>
      <c r="BZ30" s="577"/>
      <c r="CA30" s="577"/>
      <c r="CB30" s="577"/>
      <c r="CC30" s="577"/>
      <c r="CD30" s="577"/>
      <c r="CE30" s="577"/>
      <c r="CF30" s="577"/>
      <c r="CG30" s="577"/>
      <c r="CH30" s="577"/>
      <c r="CI30" s="577"/>
      <c r="CJ30" s="577"/>
      <c r="CK30" s="577"/>
      <c r="CL30" s="577"/>
      <c r="CM30" s="577"/>
      <c r="CN30" s="577"/>
      <c r="CO30" s="577"/>
      <c r="CP30" s="577"/>
      <c r="CQ30" s="577"/>
      <c r="CR30" s="577"/>
      <c r="CS30" s="577"/>
      <c r="CT30" s="577"/>
      <c r="CU30" s="577"/>
      <c r="CV30" s="577"/>
      <c r="CW30" s="577"/>
      <c r="CX30" s="577"/>
    </row>
    <row r="31" spans="2:102" hidden="1" x14ac:dyDescent="0.35">
      <c r="B31" s="164" t="s">
        <v>1142</v>
      </c>
      <c r="C31" s="574" t="s">
        <v>391</v>
      </c>
      <c r="E31" s="662">
        <f t="shared" ref="E31:AZ31" si="35">IF($C$31="Target",INDEX($E$89:$AZ$89,0,0),IF($C$31="Base",INDEX($E$90:$AZ$90,0,0),IF($C$31="High",INDEX($E$91:$AZ$91,0,0),IF($C$31="Medium",INDEX($E$92:$AZ$92,0,0),IF($C$31="Worst",INDEX($E$93:$AZ$93,0,0),INDEX($E$94:$AZ$94,0,0))))))</f>
        <v>0</v>
      </c>
      <c r="F31" s="662">
        <f t="shared" si="35"/>
        <v>0</v>
      </c>
      <c r="G31" s="662">
        <f t="shared" si="35"/>
        <v>0</v>
      </c>
      <c r="H31" s="662">
        <f t="shared" si="35"/>
        <v>0</v>
      </c>
      <c r="I31" s="662">
        <f t="shared" si="35"/>
        <v>0</v>
      </c>
      <c r="J31" s="662">
        <f t="shared" si="35"/>
        <v>0</v>
      </c>
      <c r="K31" s="662">
        <f t="shared" si="35"/>
        <v>0</v>
      </c>
      <c r="L31" s="662">
        <f t="shared" si="35"/>
        <v>0</v>
      </c>
      <c r="M31" s="662">
        <f t="shared" si="35"/>
        <v>0</v>
      </c>
      <c r="N31" s="662">
        <f t="shared" si="35"/>
        <v>0</v>
      </c>
      <c r="O31" s="662">
        <f t="shared" si="35"/>
        <v>0</v>
      </c>
      <c r="P31" s="662">
        <f t="shared" si="35"/>
        <v>0</v>
      </c>
      <c r="Q31" s="662">
        <f t="shared" si="35"/>
        <v>0</v>
      </c>
      <c r="R31" s="662">
        <f t="shared" si="35"/>
        <v>0</v>
      </c>
      <c r="S31" s="662">
        <f t="shared" si="35"/>
        <v>0</v>
      </c>
      <c r="T31" s="662">
        <f t="shared" si="35"/>
        <v>0</v>
      </c>
      <c r="U31" s="662">
        <f t="shared" si="35"/>
        <v>0</v>
      </c>
      <c r="V31" s="662">
        <f t="shared" si="35"/>
        <v>0</v>
      </c>
      <c r="W31" s="662">
        <f t="shared" si="35"/>
        <v>0</v>
      </c>
      <c r="X31" s="662">
        <f t="shared" si="35"/>
        <v>0</v>
      </c>
      <c r="Y31" s="662">
        <f t="shared" si="35"/>
        <v>0</v>
      </c>
      <c r="Z31" s="662">
        <f t="shared" si="35"/>
        <v>0</v>
      </c>
      <c r="AA31" s="662">
        <f t="shared" si="35"/>
        <v>0</v>
      </c>
      <c r="AB31" s="662">
        <f t="shared" si="35"/>
        <v>0</v>
      </c>
      <c r="AC31" s="662">
        <f t="shared" si="35"/>
        <v>0</v>
      </c>
      <c r="AD31" s="662">
        <f t="shared" si="35"/>
        <v>0</v>
      </c>
      <c r="AE31" s="662">
        <f t="shared" si="35"/>
        <v>0</v>
      </c>
      <c r="AF31" s="662">
        <f t="shared" si="35"/>
        <v>0</v>
      </c>
      <c r="AG31" s="662">
        <f t="shared" si="35"/>
        <v>0</v>
      </c>
      <c r="AH31" s="662">
        <f t="shared" si="35"/>
        <v>0</v>
      </c>
      <c r="AI31" s="662">
        <f t="shared" si="35"/>
        <v>0</v>
      </c>
      <c r="AJ31" s="662">
        <f t="shared" si="35"/>
        <v>0</v>
      </c>
      <c r="AK31" s="662">
        <f t="shared" si="35"/>
        <v>0</v>
      </c>
      <c r="AL31" s="662">
        <f t="shared" si="35"/>
        <v>0</v>
      </c>
      <c r="AM31" s="662">
        <f t="shared" si="35"/>
        <v>0</v>
      </c>
      <c r="AN31" s="662">
        <f t="shared" si="35"/>
        <v>0</v>
      </c>
      <c r="AO31" s="662">
        <f t="shared" si="35"/>
        <v>0</v>
      </c>
      <c r="AP31" s="662">
        <f t="shared" si="35"/>
        <v>0</v>
      </c>
      <c r="AQ31" s="662">
        <f t="shared" si="35"/>
        <v>0</v>
      </c>
      <c r="AR31" s="662">
        <f t="shared" si="35"/>
        <v>0</v>
      </c>
      <c r="AS31" s="662">
        <f t="shared" si="35"/>
        <v>0</v>
      </c>
      <c r="AT31" s="662">
        <f t="shared" si="35"/>
        <v>0</v>
      </c>
      <c r="AU31" s="662">
        <f t="shared" si="35"/>
        <v>0</v>
      </c>
      <c r="AV31" s="662">
        <f t="shared" si="35"/>
        <v>0</v>
      </c>
      <c r="AW31" s="662">
        <f t="shared" si="35"/>
        <v>0</v>
      </c>
      <c r="AX31" s="662">
        <f t="shared" si="35"/>
        <v>0</v>
      </c>
      <c r="AY31" s="662">
        <f t="shared" si="35"/>
        <v>0</v>
      </c>
      <c r="AZ31" s="662">
        <f t="shared" si="35"/>
        <v>0</v>
      </c>
      <c r="BA31" s="662">
        <f t="shared" ref="BA31:BL31" si="36">IF($C$31="Target",INDEX($E$89:$BL$89,0,0),IF($C$31="Base",INDEX($E$90:$BL$90,0,0),IF($C$31="High",INDEX($E$91:$BL$91,0,0),IF($C$31="Medium",INDEX($E$92:$BL$92,0,0),IF($C$31="Worst",INDEX($E$93:$BL$93,0,0),INDEX($E$94:$BL$94,0,0))))))</f>
        <v>0</v>
      </c>
      <c r="BB31" s="662">
        <f t="shared" si="36"/>
        <v>0</v>
      </c>
      <c r="BC31" s="662">
        <f t="shared" si="36"/>
        <v>0</v>
      </c>
      <c r="BD31" s="662">
        <f t="shared" si="36"/>
        <v>0</v>
      </c>
      <c r="BE31" s="662">
        <f t="shared" si="36"/>
        <v>0</v>
      </c>
      <c r="BF31" s="662">
        <f t="shared" si="36"/>
        <v>0</v>
      </c>
      <c r="BG31" s="662">
        <f t="shared" si="36"/>
        <v>0</v>
      </c>
      <c r="BH31" s="662">
        <f t="shared" si="36"/>
        <v>0</v>
      </c>
      <c r="BI31" s="662">
        <f t="shared" si="36"/>
        <v>0</v>
      </c>
      <c r="BJ31" s="662">
        <f t="shared" si="36"/>
        <v>0</v>
      </c>
      <c r="BK31" s="662">
        <f t="shared" si="36"/>
        <v>0</v>
      </c>
      <c r="BL31" s="662">
        <f t="shared" si="36"/>
        <v>0</v>
      </c>
    </row>
    <row r="32" spans="2:102" hidden="1" x14ac:dyDescent="0.35">
      <c r="B32" s="164" t="s">
        <v>836</v>
      </c>
      <c r="C32" s="574" t="s">
        <v>391</v>
      </c>
      <c r="E32" s="664">
        <f t="shared" ref="E32:AZ32" si="37">IF($C$32="Target",INDEX($E$115:$AZ$115,0,0),IF($C$32="Base",INDEX($E$116:$AZ$116,0,0),IF($C$32="High",INDEX($E$117:$AZ$117,0,0),IF($C$32="Medium",INDEX($E$118:$AZ$118,0,0),IF($C$32="Worst",INDEX($E$119:$AZ$119,0,0),INDEX($E$120:$AZ$120,0,0))))))</f>
        <v>0</v>
      </c>
      <c r="F32" s="664">
        <f t="shared" si="37"/>
        <v>0</v>
      </c>
      <c r="G32" s="664">
        <f t="shared" si="37"/>
        <v>0</v>
      </c>
      <c r="H32" s="664">
        <f t="shared" si="37"/>
        <v>0</v>
      </c>
      <c r="I32" s="664">
        <f t="shared" si="37"/>
        <v>0</v>
      </c>
      <c r="J32" s="664">
        <f t="shared" si="37"/>
        <v>0</v>
      </c>
      <c r="K32" s="664">
        <f t="shared" si="37"/>
        <v>0</v>
      </c>
      <c r="L32" s="664">
        <f t="shared" si="37"/>
        <v>0</v>
      </c>
      <c r="M32" s="664">
        <f t="shared" si="37"/>
        <v>0</v>
      </c>
      <c r="N32" s="664">
        <f t="shared" si="37"/>
        <v>0</v>
      </c>
      <c r="O32" s="664">
        <f t="shared" si="37"/>
        <v>0</v>
      </c>
      <c r="P32" s="664">
        <f t="shared" si="37"/>
        <v>0</v>
      </c>
      <c r="Q32" s="664">
        <f t="shared" si="37"/>
        <v>0</v>
      </c>
      <c r="R32" s="664">
        <f t="shared" si="37"/>
        <v>0</v>
      </c>
      <c r="S32" s="664">
        <f t="shared" si="37"/>
        <v>0</v>
      </c>
      <c r="T32" s="664">
        <f t="shared" si="37"/>
        <v>0</v>
      </c>
      <c r="U32" s="664">
        <f t="shared" si="37"/>
        <v>0</v>
      </c>
      <c r="V32" s="664">
        <f t="shared" si="37"/>
        <v>0</v>
      </c>
      <c r="W32" s="664">
        <f t="shared" si="37"/>
        <v>0</v>
      </c>
      <c r="X32" s="664">
        <f t="shared" si="37"/>
        <v>0</v>
      </c>
      <c r="Y32" s="664">
        <f t="shared" si="37"/>
        <v>0</v>
      </c>
      <c r="Z32" s="664">
        <f t="shared" si="37"/>
        <v>0</v>
      </c>
      <c r="AA32" s="664">
        <f t="shared" si="37"/>
        <v>0</v>
      </c>
      <c r="AB32" s="664">
        <f t="shared" si="37"/>
        <v>0</v>
      </c>
      <c r="AC32" s="664">
        <f t="shared" si="37"/>
        <v>0</v>
      </c>
      <c r="AD32" s="664">
        <f t="shared" si="37"/>
        <v>0</v>
      </c>
      <c r="AE32" s="664">
        <f t="shared" si="37"/>
        <v>0</v>
      </c>
      <c r="AF32" s="664">
        <f t="shared" si="37"/>
        <v>0</v>
      </c>
      <c r="AG32" s="664">
        <f t="shared" si="37"/>
        <v>0</v>
      </c>
      <c r="AH32" s="664">
        <f t="shared" si="37"/>
        <v>0</v>
      </c>
      <c r="AI32" s="664">
        <f t="shared" si="37"/>
        <v>0</v>
      </c>
      <c r="AJ32" s="664">
        <f t="shared" si="37"/>
        <v>0</v>
      </c>
      <c r="AK32" s="664">
        <f t="shared" si="37"/>
        <v>0</v>
      </c>
      <c r="AL32" s="664">
        <f t="shared" si="37"/>
        <v>0</v>
      </c>
      <c r="AM32" s="664">
        <f t="shared" si="37"/>
        <v>0</v>
      </c>
      <c r="AN32" s="664">
        <f t="shared" si="37"/>
        <v>0</v>
      </c>
      <c r="AO32" s="664">
        <f t="shared" si="37"/>
        <v>0</v>
      </c>
      <c r="AP32" s="664">
        <f t="shared" si="37"/>
        <v>0</v>
      </c>
      <c r="AQ32" s="664">
        <f t="shared" si="37"/>
        <v>0</v>
      </c>
      <c r="AR32" s="664">
        <f t="shared" si="37"/>
        <v>0</v>
      </c>
      <c r="AS32" s="664">
        <f t="shared" si="37"/>
        <v>0</v>
      </c>
      <c r="AT32" s="664">
        <f t="shared" si="37"/>
        <v>0</v>
      </c>
      <c r="AU32" s="664">
        <f t="shared" si="37"/>
        <v>0</v>
      </c>
      <c r="AV32" s="664">
        <f t="shared" si="37"/>
        <v>0</v>
      </c>
      <c r="AW32" s="664">
        <f t="shared" si="37"/>
        <v>0</v>
      </c>
      <c r="AX32" s="664">
        <f t="shared" si="37"/>
        <v>0</v>
      </c>
      <c r="AY32" s="664">
        <f t="shared" si="37"/>
        <v>0</v>
      </c>
      <c r="AZ32" s="664">
        <f t="shared" si="37"/>
        <v>0</v>
      </c>
      <c r="BA32" s="664">
        <f t="shared" ref="BA32:BL32" si="38">IF($C$32="Target",INDEX($E$115:$BL$115,0,0),IF($C$32="Base",INDEX($E$116:$BL$116,0,0),IF($C$32="High",INDEX($E$117:$BL$117,0,0),IF($C$32="Medium",INDEX($E$118:$BL$118,0,0),IF($C$32="Worst",INDEX($E$119:$BL$119,0,0),INDEX($E$120:$BL$120,0,0))))))</f>
        <v>0</v>
      </c>
      <c r="BB32" s="664">
        <f t="shared" si="38"/>
        <v>0</v>
      </c>
      <c r="BC32" s="664">
        <f t="shared" si="38"/>
        <v>0</v>
      </c>
      <c r="BD32" s="664">
        <f t="shared" si="38"/>
        <v>0</v>
      </c>
      <c r="BE32" s="664">
        <f t="shared" si="38"/>
        <v>0</v>
      </c>
      <c r="BF32" s="664">
        <f t="shared" si="38"/>
        <v>0</v>
      </c>
      <c r="BG32" s="664">
        <f t="shared" si="38"/>
        <v>0</v>
      </c>
      <c r="BH32" s="664">
        <f t="shared" si="38"/>
        <v>0</v>
      </c>
      <c r="BI32" s="664">
        <f t="shared" si="38"/>
        <v>0</v>
      </c>
      <c r="BJ32" s="664">
        <f t="shared" si="38"/>
        <v>0</v>
      </c>
      <c r="BK32" s="664">
        <f t="shared" si="38"/>
        <v>0</v>
      </c>
      <c r="BL32" s="664">
        <f t="shared" si="38"/>
        <v>0</v>
      </c>
    </row>
    <row r="33" spans="2:64" hidden="1" x14ac:dyDescent="0.35">
      <c r="B33" s="164" t="s">
        <v>1131</v>
      </c>
      <c r="C33" s="574" t="s">
        <v>391</v>
      </c>
      <c r="E33" s="664"/>
      <c r="F33" s="664"/>
      <c r="G33" s="664"/>
      <c r="H33" s="664"/>
      <c r="I33" s="664"/>
      <c r="J33" s="664"/>
      <c r="K33" s="664"/>
      <c r="L33" s="664"/>
      <c r="M33" s="664"/>
      <c r="N33" s="664"/>
      <c r="O33" s="664"/>
      <c r="P33" s="664"/>
      <c r="Q33" s="664"/>
      <c r="R33" s="664"/>
      <c r="S33" s="664"/>
      <c r="T33" s="664"/>
      <c r="U33" s="664"/>
      <c r="V33" s="664"/>
      <c r="W33" s="664"/>
      <c r="X33" s="664"/>
      <c r="Y33" s="664"/>
      <c r="Z33" s="664"/>
      <c r="AA33" s="664"/>
      <c r="AB33" s="664"/>
      <c r="AC33" s="664"/>
      <c r="AD33" s="664"/>
      <c r="AE33" s="664"/>
      <c r="AF33" s="664"/>
      <c r="AG33" s="664"/>
      <c r="AH33" s="664"/>
      <c r="AI33" s="664"/>
      <c r="AJ33" s="664"/>
      <c r="AK33" s="664"/>
      <c r="AL33" s="664"/>
      <c r="AM33" s="664"/>
      <c r="AN33" s="664"/>
      <c r="AO33" s="664"/>
      <c r="AP33" s="664"/>
      <c r="AQ33" s="664"/>
      <c r="AR33" s="664"/>
      <c r="AS33" s="664"/>
      <c r="AT33" s="664"/>
      <c r="AU33" s="664"/>
      <c r="AV33" s="664"/>
      <c r="AW33" s="664"/>
      <c r="AX33" s="664"/>
      <c r="AY33" s="664"/>
      <c r="AZ33" s="664"/>
      <c r="BA33" s="664"/>
      <c r="BB33" s="664"/>
      <c r="BC33" s="664"/>
      <c r="BD33" s="664"/>
      <c r="BE33" s="664"/>
      <c r="BF33" s="664"/>
      <c r="BG33" s="664"/>
      <c r="BH33" s="664"/>
      <c r="BI33" s="664"/>
      <c r="BJ33" s="664"/>
      <c r="BK33" s="664"/>
      <c r="BL33" s="664"/>
    </row>
    <row r="34" spans="2:64" hidden="1" x14ac:dyDescent="0.35">
      <c r="B34" s="164" t="s">
        <v>1142</v>
      </c>
      <c r="C34" s="574" t="s">
        <v>391</v>
      </c>
      <c r="E34" s="663">
        <f>E30*E31</f>
        <v>0</v>
      </c>
      <c r="F34" s="663">
        <f t="shared" ref="F34:AZ34" si="39">F30*F31</f>
        <v>0</v>
      </c>
      <c r="G34" s="663">
        <f t="shared" si="39"/>
        <v>0</v>
      </c>
      <c r="H34" s="663">
        <f t="shared" si="39"/>
        <v>0</v>
      </c>
      <c r="I34" s="663">
        <f t="shared" si="39"/>
        <v>0</v>
      </c>
      <c r="J34" s="663">
        <f t="shared" si="39"/>
        <v>0</v>
      </c>
      <c r="K34" s="663">
        <f t="shared" si="39"/>
        <v>0</v>
      </c>
      <c r="L34" s="663">
        <f t="shared" si="39"/>
        <v>0</v>
      </c>
      <c r="M34" s="663">
        <f t="shared" si="39"/>
        <v>0</v>
      </c>
      <c r="N34" s="663">
        <f t="shared" si="39"/>
        <v>0</v>
      </c>
      <c r="O34" s="663">
        <f t="shared" si="39"/>
        <v>0</v>
      </c>
      <c r="P34" s="663">
        <f t="shared" si="39"/>
        <v>0</v>
      </c>
      <c r="Q34" s="663">
        <f t="shared" si="39"/>
        <v>0</v>
      </c>
      <c r="R34" s="663">
        <f t="shared" si="39"/>
        <v>0</v>
      </c>
      <c r="S34" s="663">
        <f t="shared" si="39"/>
        <v>0</v>
      </c>
      <c r="T34" s="663">
        <f t="shared" si="39"/>
        <v>0</v>
      </c>
      <c r="U34" s="663">
        <f t="shared" si="39"/>
        <v>0</v>
      </c>
      <c r="V34" s="663">
        <f t="shared" si="39"/>
        <v>0</v>
      </c>
      <c r="W34" s="663">
        <f t="shared" si="39"/>
        <v>0</v>
      </c>
      <c r="X34" s="663">
        <f t="shared" si="39"/>
        <v>0</v>
      </c>
      <c r="Y34" s="663">
        <f t="shared" si="39"/>
        <v>0</v>
      </c>
      <c r="Z34" s="663">
        <f t="shared" si="39"/>
        <v>0</v>
      </c>
      <c r="AA34" s="663">
        <f t="shared" si="39"/>
        <v>0</v>
      </c>
      <c r="AB34" s="663">
        <f t="shared" si="39"/>
        <v>0</v>
      </c>
      <c r="AC34" s="663">
        <f t="shared" si="39"/>
        <v>0</v>
      </c>
      <c r="AD34" s="663">
        <f t="shared" si="39"/>
        <v>0</v>
      </c>
      <c r="AE34" s="663">
        <f t="shared" si="39"/>
        <v>0</v>
      </c>
      <c r="AF34" s="663">
        <f t="shared" si="39"/>
        <v>0</v>
      </c>
      <c r="AG34" s="663">
        <f t="shared" si="39"/>
        <v>0</v>
      </c>
      <c r="AH34" s="663">
        <f t="shared" si="39"/>
        <v>0</v>
      </c>
      <c r="AI34" s="663">
        <f t="shared" si="39"/>
        <v>0</v>
      </c>
      <c r="AJ34" s="663">
        <f t="shared" si="39"/>
        <v>0</v>
      </c>
      <c r="AK34" s="663">
        <f t="shared" si="39"/>
        <v>0</v>
      </c>
      <c r="AL34" s="663">
        <f t="shared" si="39"/>
        <v>0</v>
      </c>
      <c r="AM34" s="663">
        <f t="shared" si="39"/>
        <v>0</v>
      </c>
      <c r="AN34" s="663">
        <f t="shared" si="39"/>
        <v>0</v>
      </c>
      <c r="AO34" s="663">
        <f t="shared" si="39"/>
        <v>0</v>
      </c>
      <c r="AP34" s="663">
        <f t="shared" si="39"/>
        <v>0</v>
      </c>
      <c r="AQ34" s="663">
        <f t="shared" si="39"/>
        <v>0</v>
      </c>
      <c r="AR34" s="663">
        <f t="shared" si="39"/>
        <v>0</v>
      </c>
      <c r="AS34" s="663">
        <f t="shared" si="39"/>
        <v>0</v>
      </c>
      <c r="AT34" s="663">
        <f t="shared" si="39"/>
        <v>0</v>
      </c>
      <c r="AU34" s="663">
        <f t="shared" si="39"/>
        <v>0</v>
      </c>
      <c r="AV34" s="663">
        <f t="shared" si="39"/>
        <v>0</v>
      </c>
      <c r="AW34" s="663">
        <f t="shared" si="39"/>
        <v>0</v>
      </c>
      <c r="AX34" s="663">
        <f t="shared" si="39"/>
        <v>0</v>
      </c>
      <c r="AY34" s="663">
        <f t="shared" si="39"/>
        <v>0</v>
      </c>
      <c r="AZ34" s="663">
        <f t="shared" si="39"/>
        <v>0</v>
      </c>
      <c r="BA34" s="663">
        <f t="shared" ref="BA34:BL34" si="40">BA30*BA31</f>
        <v>0</v>
      </c>
      <c r="BB34" s="663">
        <f t="shared" si="40"/>
        <v>0</v>
      </c>
      <c r="BC34" s="663">
        <f t="shared" si="40"/>
        <v>0</v>
      </c>
      <c r="BD34" s="663">
        <f t="shared" si="40"/>
        <v>0</v>
      </c>
      <c r="BE34" s="663">
        <f t="shared" si="40"/>
        <v>0</v>
      </c>
      <c r="BF34" s="663">
        <f t="shared" si="40"/>
        <v>0</v>
      </c>
      <c r="BG34" s="663">
        <f t="shared" si="40"/>
        <v>0</v>
      </c>
      <c r="BH34" s="663">
        <f t="shared" si="40"/>
        <v>0</v>
      </c>
      <c r="BI34" s="663">
        <f t="shared" si="40"/>
        <v>0</v>
      </c>
      <c r="BJ34" s="663">
        <f t="shared" si="40"/>
        <v>0</v>
      </c>
      <c r="BK34" s="663">
        <f t="shared" si="40"/>
        <v>0</v>
      </c>
      <c r="BL34" s="663">
        <f t="shared" si="40"/>
        <v>0</v>
      </c>
    </row>
    <row r="35" spans="2:64" hidden="1" x14ac:dyDescent="0.35">
      <c r="B35" s="654" t="s">
        <v>1137</v>
      </c>
      <c r="C35" s="655"/>
      <c r="D35" s="655"/>
      <c r="E35" s="667" t="e">
        <f t="shared" ref="E35:AJ35" si="41">E32/E34</f>
        <v>#DIV/0!</v>
      </c>
      <c r="F35" s="667" t="e">
        <f t="shared" si="41"/>
        <v>#DIV/0!</v>
      </c>
      <c r="G35" s="667" t="e">
        <f t="shared" si="41"/>
        <v>#DIV/0!</v>
      </c>
      <c r="H35" s="667" t="e">
        <f t="shared" si="41"/>
        <v>#DIV/0!</v>
      </c>
      <c r="I35" s="667" t="e">
        <f t="shared" si="41"/>
        <v>#DIV/0!</v>
      </c>
      <c r="J35" s="667" t="e">
        <f t="shared" si="41"/>
        <v>#DIV/0!</v>
      </c>
      <c r="K35" s="667" t="e">
        <f t="shared" si="41"/>
        <v>#DIV/0!</v>
      </c>
      <c r="L35" s="667" t="e">
        <f t="shared" si="41"/>
        <v>#DIV/0!</v>
      </c>
      <c r="M35" s="667" t="e">
        <f t="shared" si="41"/>
        <v>#DIV/0!</v>
      </c>
      <c r="N35" s="667" t="e">
        <f t="shared" si="41"/>
        <v>#DIV/0!</v>
      </c>
      <c r="O35" s="667" t="e">
        <f t="shared" si="41"/>
        <v>#DIV/0!</v>
      </c>
      <c r="P35" s="667" t="e">
        <f t="shared" si="41"/>
        <v>#DIV/0!</v>
      </c>
      <c r="Q35" s="667" t="e">
        <f t="shared" si="41"/>
        <v>#DIV/0!</v>
      </c>
      <c r="R35" s="667" t="e">
        <f t="shared" si="41"/>
        <v>#DIV/0!</v>
      </c>
      <c r="S35" s="667" t="e">
        <f t="shared" si="41"/>
        <v>#DIV/0!</v>
      </c>
      <c r="T35" s="667" t="e">
        <f t="shared" si="41"/>
        <v>#DIV/0!</v>
      </c>
      <c r="U35" s="667" t="e">
        <f t="shared" si="41"/>
        <v>#DIV/0!</v>
      </c>
      <c r="V35" s="667" t="e">
        <f t="shared" si="41"/>
        <v>#DIV/0!</v>
      </c>
      <c r="W35" s="667" t="e">
        <f t="shared" si="41"/>
        <v>#DIV/0!</v>
      </c>
      <c r="X35" s="667" t="e">
        <f t="shared" si="41"/>
        <v>#DIV/0!</v>
      </c>
      <c r="Y35" s="667" t="e">
        <f t="shared" si="41"/>
        <v>#DIV/0!</v>
      </c>
      <c r="Z35" s="667" t="e">
        <f t="shared" si="41"/>
        <v>#DIV/0!</v>
      </c>
      <c r="AA35" s="667" t="e">
        <f t="shared" si="41"/>
        <v>#DIV/0!</v>
      </c>
      <c r="AB35" s="667" t="e">
        <f t="shared" si="41"/>
        <v>#DIV/0!</v>
      </c>
      <c r="AC35" s="667" t="e">
        <f t="shared" si="41"/>
        <v>#DIV/0!</v>
      </c>
      <c r="AD35" s="667" t="e">
        <f t="shared" si="41"/>
        <v>#DIV/0!</v>
      </c>
      <c r="AE35" s="667" t="e">
        <f t="shared" si="41"/>
        <v>#DIV/0!</v>
      </c>
      <c r="AF35" s="667" t="e">
        <f t="shared" si="41"/>
        <v>#DIV/0!</v>
      </c>
      <c r="AG35" s="667" t="e">
        <f t="shared" si="41"/>
        <v>#DIV/0!</v>
      </c>
      <c r="AH35" s="667" t="e">
        <f t="shared" si="41"/>
        <v>#DIV/0!</v>
      </c>
      <c r="AI35" s="667" t="e">
        <f t="shared" si="41"/>
        <v>#DIV/0!</v>
      </c>
      <c r="AJ35" s="667" t="e">
        <f t="shared" si="41"/>
        <v>#DIV/0!</v>
      </c>
      <c r="AK35" s="667" t="e">
        <f t="shared" ref="AK35:BL35" si="42">AK32/AK34</f>
        <v>#DIV/0!</v>
      </c>
      <c r="AL35" s="667" t="e">
        <f t="shared" si="42"/>
        <v>#DIV/0!</v>
      </c>
      <c r="AM35" s="667" t="e">
        <f t="shared" si="42"/>
        <v>#DIV/0!</v>
      </c>
      <c r="AN35" s="667" t="e">
        <f t="shared" si="42"/>
        <v>#DIV/0!</v>
      </c>
      <c r="AO35" s="667" t="e">
        <f t="shared" si="42"/>
        <v>#DIV/0!</v>
      </c>
      <c r="AP35" s="667" t="e">
        <f t="shared" si="42"/>
        <v>#DIV/0!</v>
      </c>
      <c r="AQ35" s="667" t="e">
        <f t="shared" si="42"/>
        <v>#DIV/0!</v>
      </c>
      <c r="AR35" s="667" t="e">
        <f t="shared" si="42"/>
        <v>#DIV/0!</v>
      </c>
      <c r="AS35" s="667" t="e">
        <f t="shared" si="42"/>
        <v>#DIV/0!</v>
      </c>
      <c r="AT35" s="667" t="e">
        <f t="shared" si="42"/>
        <v>#DIV/0!</v>
      </c>
      <c r="AU35" s="667" t="e">
        <f t="shared" si="42"/>
        <v>#DIV/0!</v>
      </c>
      <c r="AV35" s="667" t="e">
        <f t="shared" si="42"/>
        <v>#DIV/0!</v>
      </c>
      <c r="AW35" s="667" t="e">
        <f t="shared" si="42"/>
        <v>#DIV/0!</v>
      </c>
      <c r="AX35" s="667" t="e">
        <f t="shared" si="42"/>
        <v>#DIV/0!</v>
      </c>
      <c r="AY35" s="667" t="e">
        <f t="shared" si="42"/>
        <v>#DIV/0!</v>
      </c>
      <c r="AZ35" s="667" t="e">
        <f t="shared" si="42"/>
        <v>#DIV/0!</v>
      </c>
      <c r="BA35" s="667" t="e">
        <f t="shared" si="42"/>
        <v>#DIV/0!</v>
      </c>
      <c r="BB35" s="667" t="e">
        <f t="shared" si="42"/>
        <v>#DIV/0!</v>
      </c>
      <c r="BC35" s="667" t="e">
        <f t="shared" si="42"/>
        <v>#DIV/0!</v>
      </c>
      <c r="BD35" s="667" t="e">
        <f t="shared" si="42"/>
        <v>#DIV/0!</v>
      </c>
      <c r="BE35" s="667" t="e">
        <f t="shared" si="42"/>
        <v>#DIV/0!</v>
      </c>
      <c r="BF35" s="667" t="e">
        <f t="shared" si="42"/>
        <v>#DIV/0!</v>
      </c>
      <c r="BG35" s="667" t="e">
        <f t="shared" si="42"/>
        <v>#DIV/0!</v>
      </c>
      <c r="BH35" s="667" t="e">
        <f t="shared" si="42"/>
        <v>#DIV/0!</v>
      </c>
      <c r="BI35" s="667" t="e">
        <f t="shared" si="42"/>
        <v>#DIV/0!</v>
      </c>
      <c r="BJ35" s="667" t="e">
        <f t="shared" si="42"/>
        <v>#DIV/0!</v>
      </c>
      <c r="BK35" s="667" t="e">
        <f t="shared" si="42"/>
        <v>#DIV/0!</v>
      </c>
      <c r="BL35" s="667" t="e">
        <f t="shared" si="42"/>
        <v>#DIV/0!</v>
      </c>
    </row>
    <row r="36" spans="2:64" hidden="1" x14ac:dyDescent="0.35"/>
    <row r="37" spans="2:64" hidden="1" x14ac:dyDescent="0.35">
      <c r="B37" s="652" t="s">
        <v>837</v>
      </c>
    </row>
    <row r="38" spans="2:64" hidden="1" x14ac:dyDescent="0.35">
      <c r="B38" s="164" t="s">
        <v>1139</v>
      </c>
      <c r="C38" s="574" t="s">
        <v>391</v>
      </c>
      <c r="E38" s="664">
        <f t="shared" ref="E38:AZ38" si="43">IF($C$38="Target",INDEX($E$69:$AZ$69,0,0),IF($C$38="Base",INDEX($E$70:$AZ$70,0,0),IF($C$38="High",INDEX($E$71:$AZ$71,0,0),IF($C$38="Medium",INDEX($E$72:$AZ$72,0,0),IF($C$38="Worst",INDEX($E$73:$AZ$73,0,0),INDEX($E$74:$AZ$74,0,0))))))</f>
        <v>0</v>
      </c>
      <c r="F38" s="664">
        <f t="shared" si="43"/>
        <v>0</v>
      </c>
      <c r="G38" s="664">
        <f t="shared" si="43"/>
        <v>0</v>
      </c>
      <c r="H38" s="664">
        <f t="shared" si="43"/>
        <v>0</v>
      </c>
      <c r="I38" s="664">
        <f t="shared" si="43"/>
        <v>0</v>
      </c>
      <c r="J38" s="664">
        <f t="shared" si="43"/>
        <v>0</v>
      </c>
      <c r="K38" s="664">
        <f t="shared" si="43"/>
        <v>0</v>
      </c>
      <c r="L38" s="664">
        <f t="shared" si="43"/>
        <v>0</v>
      </c>
      <c r="M38" s="664">
        <f t="shared" si="43"/>
        <v>0</v>
      </c>
      <c r="N38" s="664">
        <f t="shared" si="43"/>
        <v>0</v>
      </c>
      <c r="O38" s="664">
        <f t="shared" si="43"/>
        <v>0</v>
      </c>
      <c r="P38" s="664">
        <f t="shared" si="43"/>
        <v>0</v>
      </c>
      <c r="Q38" s="664">
        <f t="shared" si="43"/>
        <v>0</v>
      </c>
      <c r="R38" s="664">
        <f t="shared" si="43"/>
        <v>0</v>
      </c>
      <c r="S38" s="664">
        <f t="shared" si="43"/>
        <v>0</v>
      </c>
      <c r="T38" s="664">
        <f t="shared" si="43"/>
        <v>0</v>
      </c>
      <c r="U38" s="664">
        <f t="shared" si="43"/>
        <v>0</v>
      </c>
      <c r="V38" s="664">
        <f t="shared" si="43"/>
        <v>0</v>
      </c>
      <c r="W38" s="664">
        <f t="shared" si="43"/>
        <v>0</v>
      </c>
      <c r="X38" s="664">
        <f t="shared" si="43"/>
        <v>0</v>
      </c>
      <c r="Y38" s="664">
        <f t="shared" si="43"/>
        <v>0</v>
      </c>
      <c r="Z38" s="664">
        <f t="shared" si="43"/>
        <v>0</v>
      </c>
      <c r="AA38" s="664">
        <f t="shared" si="43"/>
        <v>0</v>
      </c>
      <c r="AB38" s="664">
        <f t="shared" si="43"/>
        <v>0</v>
      </c>
      <c r="AC38" s="664">
        <f t="shared" si="43"/>
        <v>0</v>
      </c>
      <c r="AD38" s="664">
        <f t="shared" si="43"/>
        <v>0</v>
      </c>
      <c r="AE38" s="664">
        <f t="shared" si="43"/>
        <v>0</v>
      </c>
      <c r="AF38" s="664">
        <f t="shared" si="43"/>
        <v>0</v>
      </c>
      <c r="AG38" s="664">
        <f t="shared" si="43"/>
        <v>0</v>
      </c>
      <c r="AH38" s="664">
        <f t="shared" si="43"/>
        <v>0</v>
      </c>
      <c r="AI38" s="664">
        <f t="shared" si="43"/>
        <v>0</v>
      </c>
      <c r="AJ38" s="664">
        <f t="shared" si="43"/>
        <v>0</v>
      </c>
      <c r="AK38" s="664">
        <f t="shared" si="43"/>
        <v>0</v>
      </c>
      <c r="AL38" s="664">
        <f t="shared" si="43"/>
        <v>0</v>
      </c>
      <c r="AM38" s="664">
        <f t="shared" si="43"/>
        <v>0</v>
      </c>
      <c r="AN38" s="664">
        <f t="shared" si="43"/>
        <v>0</v>
      </c>
      <c r="AO38" s="664">
        <f t="shared" si="43"/>
        <v>0</v>
      </c>
      <c r="AP38" s="664">
        <f t="shared" si="43"/>
        <v>0</v>
      </c>
      <c r="AQ38" s="664">
        <f t="shared" si="43"/>
        <v>0</v>
      </c>
      <c r="AR38" s="664">
        <f t="shared" si="43"/>
        <v>0</v>
      </c>
      <c r="AS38" s="664">
        <f t="shared" si="43"/>
        <v>0</v>
      </c>
      <c r="AT38" s="664">
        <f t="shared" si="43"/>
        <v>0</v>
      </c>
      <c r="AU38" s="664">
        <f t="shared" si="43"/>
        <v>0</v>
      </c>
      <c r="AV38" s="664">
        <f t="shared" si="43"/>
        <v>0</v>
      </c>
      <c r="AW38" s="664">
        <f t="shared" si="43"/>
        <v>0</v>
      </c>
      <c r="AX38" s="664">
        <f t="shared" si="43"/>
        <v>0</v>
      </c>
      <c r="AY38" s="664">
        <f t="shared" si="43"/>
        <v>0</v>
      </c>
      <c r="AZ38" s="664">
        <f t="shared" si="43"/>
        <v>0</v>
      </c>
      <c r="BA38" s="664">
        <f t="shared" ref="BA38:BL38" si="44">IF($C$38="Target",INDEX($E$69:$BL$69,0,0),IF($C$38="Base",INDEX($E$70:$BL$70,0,0),IF($C$38="High",INDEX($E$71:$BL$71,0,0),IF($C$38="Medium",INDEX($E$72:$BL$72,0,0),IF($C$38="Worst",INDEX($E$73:$BL$73,0,0),INDEX($E$74:$BL$74,0,0))))))</f>
        <v>0</v>
      </c>
      <c r="BB38" s="664">
        <f t="shared" si="44"/>
        <v>0</v>
      </c>
      <c r="BC38" s="664">
        <f t="shared" si="44"/>
        <v>0</v>
      </c>
      <c r="BD38" s="664">
        <f t="shared" si="44"/>
        <v>0</v>
      </c>
      <c r="BE38" s="664">
        <f t="shared" si="44"/>
        <v>0</v>
      </c>
      <c r="BF38" s="664">
        <f t="shared" si="44"/>
        <v>0</v>
      </c>
      <c r="BG38" s="664">
        <f t="shared" si="44"/>
        <v>0</v>
      </c>
      <c r="BH38" s="664">
        <f t="shared" si="44"/>
        <v>0</v>
      </c>
      <c r="BI38" s="664">
        <f t="shared" si="44"/>
        <v>0</v>
      </c>
      <c r="BJ38" s="664">
        <f t="shared" si="44"/>
        <v>0</v>
      </c>
      <c r="BK38" s="664">
        <f t="shared" si="44"/>
        <v>0</v>
      </c>
      <c r="BL38" s="664">
        <f t="shared" si="44"/>
        <v>0</v>
      </c>
    </row>
    <row r="39" spans="2:64" hidden="1" x14ac:dyDescent="0.35">
      <c r="B39" s="164" t="s">
        <v>1141</v>
      </c>
      <c r="C39" s="574" t="s">
        <v>391</v>
      </c>
      <c r="E39" s="662">
        <f t="shared" ref="E39:AZ39" si="45">IF($C$39="Target",INDEX($E$95:$AZ$95,0,0),IF($C$39="Base",INDEX($E$96:$AZ$96,0,0),IF($C$39="High",INDEX($E$97:$AZ$97,0,0),IF($C$39="Medium",INDEX($E$98:$AZ$98,0,0),IF($C$39="Worst",INDEX($E$99:$AZ$99,0,0),INDEX($E$100:$AZ$100,0,0))))))</f>
        <v>0</v>
      </c>
      <c r="F39" s="662">
        <f t="shared" si="45"/>
        <v>0</v>
      </c>
      <c r="G39" s="662">
        <f t="shared" si="45"/>
        <v>0</v>
      </c>
      <c r="H39" s="662">
        <f t="shared" si="45"/>
        <v>0</v>
      </c>
      <c r="I39" s="662">
        <f t="shared" si="45"/>
        <v>0</v>
      </c>
      <c r="J39" s="662">
        <f t="shared" si="45"/>
        <v>0</v>
      </c>
      <c r="K39" s="662">
        <f t="shared" si="45"/>
        <v>0</v>
      </c>
      <c r="L39" s="662">
        <f t="shared" si="45"/>
        <v>0</v>
      </c>
      <c r="M39" s="662">
        <f t="shared" si="45"/>
        <v>0</v>
      </c>
      <c r="N39" s="662">
        <f t="shared" si="45"/>
        <v>0</v>
      </c>
      <c r="O39" s="662">
        <f t="shared" si="45"/>
        <v>0</v>
      </c>
      <c r="P39" s="662">
        <f t="shared" si="45"/>
        <v>0</v>
      </c>
      <c r="Q39" s="662">
        <f t="shared" si="45"/>
        <v>0</v>
      </c>
      <c r="R39" s="662">
        <f t="shared" si="45"/>
        <v>0</v>
      </c>
      <c r="S39" s="662">
        <f t="shared" si="45"/>
        <v>0</v>
      </c>
      <c r="T39" s="662">
        <f t="shared" si="45"/>
        <v>0</v>
      </c>
      <c r="U39" s="662">
        <f t="shared" si="45"/>
        <v>0</v>
      </c>
      <c r="V39" s="662">
        <f t="shared" si="45"/>
        <v>0</v>
      </c>
      <c r="W39" s="662">
        <f t="shared" si="45"/>
        <v>0</v>
      </c>
      <c r="X39" s="662">
        <f t="shared" si="45"/>
        <v>0</v>
      </c>
      <c r="Y39" s="662">
        <f t="shared" si="45"/>
        <v>0</v>
      </c>
      <c r="Z39" s="662">
        <f t="shared" si="45"/>
        <v>0</v>
      </c>
      <c r="AA39" s="662">
        <f t="shared" si="45"/>
        <v>0</v>
      </c>
      <c r="AB39" s="662">
        <f t="shared" si="45"/>
        <v>0</v>
      </c>
      <c r="AC39" s="662">
        <f t="shared" si="45"/>
        <v>0</v>
      </c>
      <c r="AD39" s="662">
        <f t="shared" si="45"/>
        <v>0</v>
      </c>
      <c r="AE39" s="662">
        <f t="shared" si="45"/>
        <v>0</v>
      </c>
      <c r="AF39" s="662">
        <f t="shared" si="45"/>
        <v>0</v>
      </c>
      <c r="AG39" s="662">
        <f t="shared" si="45"/>
        <v>0</v>
      </c>
      <c r="AH39" s="662">
        <f t="shared" si="45"/>
        <v>0</v>
      </c>
      <c r="AI39" s="662">
        <f t="shared" si="45"/>
        <v>0</v>
      </c>
      <c r="AJ39" s="662">
        <f t="shared" si="45"/>
        <v>0</v>
      </c>
      <c r="AK39" s="662">
        <f t="shared" si="45"/>
        <v>0</v>
      </c>
      <c r="AL39" s="662">
        <f t="shared" si="45"/>
        <v>0</v>
      </c>
      <c r="AM39" s="662">
        <f t="shared" si="45"/>
        <v>0</v>
      </c>
      <c r="AN39" s="662">
        <f t="shared" si="45"/>
        <v>0</v>
      </c>
      <c r="AO39" s="662">
        <f t="shared" si="45"/>
        <v>0</v>
      </c>
      <c r="AP39" s="662">
        <f t="shared" si="45"/>
        <v>0</v>
      </c>
      <c r="AQ39" s="662">
        <f t="shared" si="45"/>
        <v>0</v>
      </c>
      <c r="AR39" s="662">
        <f t="shared" si="45"/>
        <v>0</v>
      </c>
      <c r="AS39" s="662">
        <f t="shared" si="45"/>
        <v>0</v>
      </c>
      <c r="AT39" s="662">
        <f t="shared" si="45"/>
        <v>0</v>
      </c>
      <c r="AU39" s="662">
        <f t="shared" si="45"/>
        <v>0</v>
      </c>
      <c r="AV39" s="662">
        <f t="shared" si="45"/>
        <v>0</v>
      </c>
      <c r="AW39" s="662">
        <f t="shared" si="45"/>
        <v>0</v>
      </c>
      <c r="AX39" s="662">
        <f t="shared" si="45"/>
        <v>0</v>
      </c>
      <c r="AY39" s="662">
        <f t="shared" si="45"/>
        <v>0</v>
      </c>
      <c r="AZ39" s="662">
        <f t="shared" si="45"/>
        <v>0</v>
      </c>
      <c r="BA39" s="662">
        <f t="shared" ref="BA39:BL39" si="46">IF($C$39="Target",INDEX($E$95:$BL$95,0,0),IF($C$39="Base",INDEX($E$96:$BL$96,0,0),IF($C$39="High",INDEX($E$97:$BL$97,0,0),IF($C$39="Medium",INDEX($E$98:$BL$98,0,0),IF($C$39="Worst",INDEX($E$99:$BL$99,0,0),INDEX($E$100:$BL$100,0,0))))))</f>
        <v>0</v>
      </c>
      <c r="BB39" s="662">
        <f t="shared" si="46"/>
        <v>0</v>
      </c>
      <c r="BC39" s="662">
        <f t="shared" si="46"/>
        <v>0</v>
      </c>
      <c r="BD39" s="662">
        <f t="shared" si="46"/>
        <v>0</v>
      </c>
      <c r="BE39" s="662">
        <f t="shared" si="46"/>
        <v>0</v>
      </c>
      <c r="BF39" s="662">
        <f t="shared" si="46"/>
        <v>0</v>
      </c>
      <c r="BG39" s="662">
        <f t="shared" si="46"/>
        <v>0</v>
      </c>
      <c r="BH39" s="662">
        <f t="shared" si="46"/>
        <v>0</v>
      </c>
      <c r="BI39" s="662">
        <f t="shared" si="46"/>
        <v>0</v>
      </c>
      <c r="BJ39" s="662">
        <f t="shared" si="46"/>
        <v>0</v>
      </c>
      <c r="BK39" s="662">
        <f t="shared" si="46"/>
        <v>0</v>
      </c>
      <c r="BL39" s="662">
        <f t="shared" si="46"/>
        <v>0</v>
      </c>
    </row>
    <row r="40" spans="2:64" hidden="1" x14ac:dyDescent="0.35">
      <c r="B40" s="164" t="s">
        <v>839</v>
      </c>
      <c r="C40" s="574" t="s">
        <v>391</v>
      </c>
      <c r="E40" s="664">
        <f t="shared" ref="E40:AZ40" si="47">IF($C$40="Target",INDEX($E$121:$AZ$121,0,0),IF($C$40="Base",INDEX($E$122:$AZ$122,0,0),IF($C$40="High",INDEX($E$123:$AZ$123,0,0),IF($C$40="Medium",INDEX($E$124:$AZ$124,0,0),IF($C$40="Worst",INDEX($E$125:$AZ$125,0,0),INDEX($E$126:$AZ$126,0,0))))))</f>
        <v>0</v>
      </c>
      <c r="F40" s="664">
        <f t="shared" si="47"/>
        <v>0</v>
      </c>
      <c r="G40" s="664">
        <f t="shared" si="47"/>
        <v>0</v>
      </c>
      <c r="H40" s="664">
        <f t="shared" si="47"/>
        <v>0</v>
      </c>
      <c r="I40" s="664">
        <f t="shared" si="47"/>
        <v>0</v>
      </c>
      <c r="J40" s="664">
        <f t="shared" si="47"/>
        <v>0</v>
      </c>
      <c r="K40" s="664">
        <f t="shared" si="47"/>
        <v>0</v>
      </c>
      <c r="L40" s="664">
        <f t="shared" si="47"/>
        <v>0</v>
      </c>
      <c r="M40" s="664">
        <f t="shared" si="47"/>
        <v>0</v>
      </c>
      <c r="N40" s="664">
        <f t="shared" si="47"/>
        <v>0</v>
      </c>
      <c r="O40" s="664">
        <f t="shared" si="47"/>
        <v>0</v>
      </c>
      <c r="P40" s="664">
        <f t="shared" si="47"/>
        <v>0</v>
      </c>
      <c r="Q40" s="664">
        <f t="shared" si="47"/>
        <v>0</v>
      </c>
      <c r="R40" s="664">
        <f t="shared" si="47"/>
        <v>0</v>
      </c>
      <c r="S40" s="664">
        <f t="shared" si="47"/>
        <v>0</v>
      </c>
      <c r="T40" s="664">
        <f t="shared" si="47"/>
        <v>0</v>
      </c>
      <c r="U40" s="664">
        <f t="shared" si="47"/>
        <v>0</v>
      </c>
      <c r="V40" s="664">
        <f t="shared" si="47"/>
        <v>0</v>
      </c>
      <c r="W40" s="664">
        <f t="shared" si="47"/>
        <v>0</v>
      </c>
      <c r="X40" s="664">
        <f t="shared" si="47"/>
        <v>0</v>
      </c>
      <c r="Y40" s="664">
        <f t="shared" si="47"/>
        <v>0</v>
      </c>
      <c r="Z40" s="664">
        <f t="shared" si="47"/>
        <v>0</v>
      </c>
      <c r="AA40" s="664">
        <f t="shared" si="47"/>
        <v>0</v>
      </c>
      <c r="AB40" s="664">
        <f t="shared" si="47"/>
        <v>0</v>
      </c>
      <c r="AC40" s="664">
        <f t="shared" si="47"/>
        <v>0</v>
      </c>
      <c r="AD40" s="664">
        <f t="shared" si="47"/>
        <v>0</v>
      </c>
      <c r="AE40" s="664">
        <f t="shared" si="47"/>
        <v>0</v>
      </c>
      <c r="AF40" s="664">
        <f t="shared" si="47"/>
        <v>0</v>
      </c>
      <c r="AG40" s="664">
        <f t="shared" si="47"/>
        <v>0</v>
      </c>
      <c r="AH40" s="664">
        <f t="shared" si="47"/>
        <v>0</v>
      </c>
      <c r="AI40" s="664">
        <f t="shared" si="47"/>
        <v>0</v>
      </c>
      <c r="AJ40" s="664">
        <f t="shared" si="47"/>
        <v>0</v>
      </c>
      <c r="AK40" s="664">
        <f t="shared" si="47"/>
        <v>0</v>
      </c>
      <c r="AL40" s="664">
        <f t="shared" si="47"/>
        <v>0</v>
      </c>
      <c r="AM40" s="664">
        <f t="shared" si="47"/>
        <v>0</v>
      </c>
      <c r="AN40" s="664">
        <f t="shared" si="47"/>
        <v>0</v>
      </c>
      <c r="AO40" s="664">
        <f t="shared" si="47"/>
        <v>0</v>
      </c>
      <c r="AP40" s="664">
        <f t="shared" si="47"/>
        <v>0</v>
      </c>
      <c r="AQ40" s="664">
        <f t="shared" si="47"/>
        <v>0</v>
      </c>
      <c r="AR40" s="664">
        <f t="shared" si="47"/>
        <v>0</v>
      </c>
      <c r="AS40" s="664">
        <f t="shared" si="47"/>
        <v>0</v>
      </c>
      <c r="AT40" s="664">
        <f t="shared" si="47"/>
        <v>0</v>
      </c>
      <c r="AU40" s="664">
        <f t="shared" si="47"/>
        <v>0</v>
      </c>
      <c r="AV40" s="664">
        <f t="shared" si="47"/>
        <v>0</v>
      </c>
      <c r="AW40" s="664">
        <f t="shared" si="47"/>
        <v>0</v>
      </c>
      <c r="AX40" s="664">
        <f t="shared" si="47"/>
        <v>0</v>
      </c>
      <c r="AY40" s="664">
        <f t="shared" si="47"/>
        <v>0</v>
      </c>
      <c r="AZ40" s="664">
        <f t="shared" si="47"/>
        <v>0</v>
      </c>
      <c r="BA40" s="664">
        <f t="shared" ref="BA40:BL40" si="48">IF($C$40="Target",INDEX($E$121:$BL$121,0,0),IF($C$40="Base",INDEX($E$122:$BL$122,0,0),IF($C$40="High",INDEX($E$123:$BL$123,0,0),IF($C$40="Medium",INDEX($E$124:$BL$124,0,0),IF($C$40="Worst",INDEX($E$125:$BL$125,0,0),INDEX($E$126:$BL$126,0,0))))))</f>
        <v>0</v>
      </c>
      <c r="BB40" s="664">
        <f t="shared" si="48"/>
        <v>0</v>
      </c>
      <c r="BC40" s="664">
        <f t="shared" si="48"/>
        <v>0</v>
      </c>
      <c r="BD40" s="664">
        <f t="shared" si="48"/>
        <v>0</v>
      </c>
      <c r="BE40" s="664">
        <f t="shared" si="48"/>
        <v>0</v>
      </c>
      <c r="BF40" s="664">
        <f t="shared" si="48"/>
        <v>0</v>
      </c>
      <c r="BG40" s="664">
        <f t="shared" si="48"/>
        <v>0</v>
      </c>
      <c r="BH40" s="664">
        <f t="shared" si="48"/>
        <v>0</v>
      </c>
      <c r="BI40" s="664">
        <f t="shared" si="48"/>
        <v>0</v>
      </c>
      <c r="BJ40" s="664">
        <f t="shared" si="48"/>
        <v>0</v>
      </c>
      <c r="BK40" s="664">
        <f t="shared" si="48"/>
        <v>0</v>
      </c>
      <c r="BL40" s="664">
        <f t="shared" si="48"/>
        <v>0</v>
      </c>
    </row>
    <row r="41" spans="2:64" hidden="1" x14ac:dyDescent="0.35">
      <c r="B41" s="164" t="s">
        <v>1132</v>
      </c>
      <c r="C41" s="574" t="s">
        <v>391</v>
      </c>
      <c r="E41" s="664"/>
      <c r="F41" s="664"/>
      <c r="G41" s="664"/>
      <c r="H41" s="664"/>
      <c r="I41" s="664"/>
      <c r="J41" s="664"/>
      <c r="K41" s="664"/>
      <c r="L41" s="664"/>
      <c r="M41" s="664"/>
      <c r="N41" s="664"/>
      <c r="O41" s="664"/>
      <c r="P41" s="664"/>
      <c r="Q41" s="664"/>
      <c r="R41" s="664"/>
      <c r="S41" s="664"/>
      <c r="T41" s="664"/>
      <c r="U41" s="664"/>
      <c r="V41" s="664"/>
      <c r="W41" s="664"/>
      <c r="X41" s="664"/>
      <c r="Y41" s="664"/>
      <c r="Z41" s="664"/>
      <c r="AA41" s="664"/>
      <c r="AB41" s="664"/>
      <c r="AC41" s="664"/>
      <c r="AD41" s="664"/>
      <c r="AE41" s="664"/>
      <c r="AF41" s="664"/>
      <c r="AG41" s="664"/>
      <c r="AH41" s="664"/>
      <c r="AI41" s="664"/>
      <c r="AJ41" s="664"/>
      <c r="AK41" s="664"/>
      <c r="AL41" s="664"/>
      <c r="AM41" s="664"/>
      <c r="AN41" s="664"/>
      <c r="AO41" s="664"/>
      <c r="AP41" s="664"/>
      <c r="AQ41" s="664"/>
      <c r="AR41" s="664"/>
      <c r="AS41" s="664"/>
      <c r="AT41" s="664"/>
      <c r="AU41" s="664"/>
      <c r="AV41" s="664"/>
      <c r="AW41" s="664"/>
      <c r="AX41" s="664"/>
      <c r="AY41" s="664"/>
      <c r="AZ41" s="664"/>
      <c r="BA41" s="664"/>
      <c r="BB41" s="664"/>
      <c r="BC41" s="664"/>
      <c r="BD41" s="664"/>
      <c r="BE41" s="664"/>
      <c r="BF41" s="664"/>
      <c r="BG41" s="664"/>
      <c r="BH41" s="664"/>
      <c r="BI41" s="664"/>
      <c r="BJ41" s="664"/>
      <c r="BK41" s="664"/>
      <c r="BL41" s="664"/>
    </row>
    <row r="42" spans="2:64" hidden="1" x14ac:dyDescent="0.35">
      <c r="B42" s="164" t="s">
        <v>840</v>
      </c>
      <c r="C42" s="574" t="s">
        <v>391</v>
      </c>
      <c r="E42" s="663">
        <f>E38*E39</f>
        <v>0</v>
      </c>
      <c r="F42" s="663">
        <f t="shared" ref="F42:AZ42" si="49">F38*F39</f>
        <v>0</v>
      </c>
      <c r="G42" s="663">
        <f t="shared" si="49"/>
        <v>0</v>
      </c>
      <c r="H42" s="663">
        <f t="shared" si="49"/>
        <v>0</v>
      </c>
      <c r="I42" s="663">
        <f t="shared" si="49"/>
        <v>0</v>
      </c>
      <c r="J42" s="663">
        <f t="shared" si="49"/>
        <v>0</v>
      </c>
      <c r="K42" s="663">
        <f t="shared" si="49"/>
        <v>0</v>
      </c>
      <c r="L42" s="663">
        <f t="shared" si="49"/>
        <v>0</v>
      </c>
      <c r="M42" s="663">
        <f t="shared" si="49"/>
        <v>0</v>
      </c>
      <c r="N42" s="663">
        <f t="shared" si="49"/>
        <v>0</v>
      </c>
      <c r="O42" s="663">
        <f t="shared" si="49"/>
        <v>0</v>
      </c>
      <c r="P42" s="663">
        <f t="shared" si="49"/>
        <v>0</v>
      </c>
      <c r="Q42" s="663">
        <f t="shared" si="49"/>
        <v>0</v>
      </c>
      <c r="R42" s="663">
        <f t="shared" si="49"/>
        <v>0</v>
      </c>
      <c r="S42" s="663">
        <f t="shared" si="49"/>
        <v>0</v>
      </c>
      <c r="T42" s="663">
        <f t="shared" si="49"/>
        <v>0</v>
      </c>
      <c r="U42" s="663">
        <f t="shared" si="49"/>
        <v>0</v>
      </c>
      <c r="V42" s="663">
        <f t="shared" si="49"/>
        <v>0</v>
      </c>
      <c r="W42" s="663">
        <f t="shared" si="49"/>
        <v>0</v>
      </c>
      <c r="X42" s="663">
        <f t="shared" si="49"/>
        <v>0</v>
      </c>
      <c r="Y42" s="663">
        <f t="shared" si="49"/>
        <v>0</v>
      </c>
      <c r="Z42" s="663">
        <f t="shared" si="49"/>
        <v>0</v>
      </c>
      <c r="AA42" s="663">
        <f t="shared" si="49"/>
        <v>0</v>
      </c>
      <c r="AB42" s="663">
        <f t="shared" si="49"/>
        <v>0</v>
      </c>
      <c r="AC42" s="663">
        <f t="shared" si="49"/>
        <v>0</v>
      </c>
      <c r="AD42" s="663">
        <f t="shared" si="49"/>
        <v>0</v>
      </c>
      <c r="AE42" s="663">
        <f t="shared" si="49"/>
        <v>0</v>
      </c>
      <c r="AF42" s="663">
        <f t="shared" si="49"/>
        <v>0</v>
      </c>
      <c r="AG42" s="663">
        <f t="shared" si="49"/>
        <v>0</v>
      </c>
      <c r="AH42" s="663">
        <f t="shared" si="49"/>
        <v>0</v>
      </c>
      <c r="AI42" s="663">
        <f t="shared" si="49"/>
        <v>0</v>
      </c>
      <c r="AJ42" s="663">
        <f t="shared" si="49"/>
        <v>0</v>
      </c>
      <c r="AK42" s="663">
        <f t="shared" si="49"/>
        <v>0</v>
      </c>
      <c r="AL42" s="663">
        <f t="shared" si="49"/>
        <v>0</v>
      </c>
      <c r="AM42" s="663">
        <f t="shared" si="49"/>
        <v>0</v>
      </c>
      <c r="AN42" s="663">
        <f t="shared" si="49"/>
        <v>0</v>
      </c>
      <c r="AO42" s="663">
        <f t="shared" si="49"/>
        <v>0</v>
      </c>
      <c r="AP42" s="663">
        <f t="shared" si="49"/>
        <v>0</v>
      </c>
      <c r="AQ42" s="663">
        <f t="shared" si="49"/>
        <v>0</v>
      </c>
      <c r="AR42" s="663">
        <f t="shared" si="49"/>
        <v>0</v>
      </c>
      <c r="AS42" s="663">
        <f t="shared" si="49"/>
        <v>0</v>
      </c>
      <c r="AT42" s="663">
        <f t="shared" si="49"/>
        <v>0</v>
      </c>
      <c r="AU42" s="663">
        <f t="shared" si="49"/>
        <v>0</v>
      </c>
      <c r="AV42" s="663">
        <f t="shared" si="49"/>
        <v>0</v>
      </c>
      <c r="AW42" s="663">
        <f t="shared" si="49"/>
        <v>0</v>
      </c>
      <c r="AX42" s="663">
        <f t="shared" si="49"/>
        <v>0</v>
      </c>
      <c r="AY42" s="663">
        <f t="shared" si="49"/>
        <v>0</v>
      </c>
      <c r="AZ42" s="663">
        <f t="shared" si="49"/>
        <v>0</v>
      </c>
      <c r="BA42" s="663">
        <f t="shared" ref="BA42:BL42" si="50">BA38*BA39</f>
        <v>0</v>
      </c>
      <c r="BB42" s="663">
        <f t="shared" si="50"/>
        <v>0</v>
      </c>
      <c r="BC42" s="663">
        <f t="shared" si="50"/>
        <v>0</v>
      </c>
      <c r="BD42" s="663">
        <f t="shared" si="50"/>
        <v>0</v>
      </c>
      <c r="BE42" s="663">
        <f t="shared" si="50"/>
        <v>0</v>
      </c>
      <c r="BF42" s="663">
        <f t="shared" si="50"/>
        <v>0</v>
      </c>
      <c r="BG42" s="663">
        <f t="shared" si="50"/>
        <v>0</v>
      </c>
      <c r="BH42" s="663">
        <f t="shared" si="50"/>
        <v>0</v>
      </c>
      <c r="BI42" s="663">
        <f t="shared" si="50"/>
        <v>0</v>
      </c>
      <c r="BJ42" s="663">
        <f t="shared" si="50"/>
        <v>0</v>
      </c>
      <c r="BK42" s="663">
        <f t="shared" si="50"/>
        <v>0</v>
      </c>
      <c r="BL42" s="663">
        <f t="shared" si="50"/>
        <v>0</v>
      </c>
    </row>
    <row r="43" spans="2:64" hidden="1" x14ac:dyDescent="0.35">
      <c r="B43" s="654" t="s">
        <v>1138</v>
      </c>
      <c r="C43" s="655"/>
      <c r="D43" s="655"/>
      <c r="E43" s="667" t="e">
        <f t="shared" ref="E43:AJ43" si="51">E40/E42</f>
        <v>#DIV/0!</v>
      </c>
      <c r="F43" s="667" t="e">
        <f t="shared" si="51"/>
        <v>#DIV/0!</v>
      </c>
      <c r="G43" s="667" t="e">
        <f t="shared" si="51"/>
        <v>#DIV/0!</v>
      </c>
      <c r="H43" s="667" t="e">
        <f t="shared" si="51"/>
        <v>#DIV/0!</v>
      </c>
      <c r="I43" s="667" t="e">
        <f t="shared" si="51"/>
        <v>#DIV/0!</v>
      </c>
      <c r="J43" s="667" t="e">
        <f t="shared" si="51"/>
        <v>#DIV/0!</v>
      </c>
      <c r="K43" s="667" t="e">
        <f t="shared" si="51"/>
        <v>#DIV/0!</v>
      </c>
      <c r="L43" s="667" t="e">
        <f t="shared" si="51"/>
        <v>#DIV/0!</v>
      </c>
      <c r="M43" s="667" t="e">
        <f t="shared" si="51"/>
        <v>#DIV/0!</v>
      </c>
      <c r="N43" s="667" t="e">
        <f t="shared" si="51"/>
        <v>#DIV/0!</v>
      </c>
      <c r="O43" s="667" t="e">
        <f t="shared" si="51"/>
        <v>#DIV/0!</v>
      </c>
      <c r="P43" s="667" t="e">
        <f t="shared" si="51"/>
        <v>#DIV/0!</v>
      </c>
      <c r="Q43" s="667" t="e">
        <f t="shared" si="51"/>
        <v>#DIV/0!</v>
      </c>
      <c r="R43" s="667" t="e">
        <f t="shared" si="51"/>
        <v>#DIV/0!</v>
      </c>
      <c r="S43" s="667" t="e">
        <f t="shared" si="51"/>
        <v>#DIV/0!</v>
      </c>
      <c r="T43" s="667" t="e">
        <f t="shared" si="51"/>
        <v>#DIV/0!</v>
      </c>
      <c r="U43" s="667" t="e">
        <f t="shared" si="51"/>
        <v>#DIV/0!</v>
      </c>
      <c r="V43" s="667" t="e">
        <f t="shared" si="51"/>
        <v>#DIV/0!</v>
      </c>
      <c r="W43" s="667" t="e">
        <f t="shared" si="51"/>
        <v>#DIV/0!</v>
      </c>
      <c r="X43" s="667" t="e">
        <f t="shared" si="51"/>
        <v>#DIV/0!</v>
      </c>
      <c r="Y43" s="667" t="e">
        <f t="shared" si="51"/>
        <v>#DIV/0!</v>
      </c>
      <c r="Z43" s="667" t="e">
        <f t="shared" si="51"/>
        <v>#DIV/0!</v>
      </c>
      <c r="AA43" s="667" t="e">
        <f t="shared" si="51"/>
        <v>#DIV/0!</v>
      </c>
      <c r="AB43" s="667" t="e">
        <f t="shared" si="51"/>
        <v>#DIV/0!</v>
      </c>
      <c r="AC43" s="667" t="e">
        <f t="shared" si="51"/>
        <v>#DIV/0!</v>
      </c>
      <c r="AD43" s="667" t="e">
        <f t="shared" si="51"/>
        <v>#DIV/0!</v>
      </c>
      <c r="AE43" s="667" t="e">
        <f t="shared" si="51"/>
        <v>#DIV/0!</v>
      </c>
      <c r="AF43" s="667" t="e">
        <f t="shared" si="51"/>
        <v>#DIV/0!</v>
      </c>
      <c r="AG43" s="667" t="e">
        <f t="shared" si="51"/>
        <v>#DIV/0!</v>
      </c>
      <c r="AH43" s="667" t="e">
        <f t="shared" si="51"/>
        <v>#DIV/0!</v>
      </c>
      <c r="AI43" s="667" t="e">
        <f t="shared" si="51"/>
        <v>#DIV/0!</v>
      </c>
      <c r="AJ43" s="667" t="e">
        <f t="shared" si="51"/>
        <v>#DIV/0!</v>
      </c>
      <c r="AK43" s="667" t="e">
        <f t="shared" ref="AK43:BL43" si="52">AK40/AK42</f>
        <v>#DIV/0!</v>
      </c>
      <c r="AL43" s="667" t="e">
        <f t="shared" si="52"/>
        <v>#DIV/0!</v>
      </c>
      <c r="AM43" s="667" t="e">
        <f t="shared" si="52"/>
        <v>#DIV/0!</v>
      </c>
      <c r="AN43" s="667" t="e">
        <f t="shared" si="52"/>
        <v>#DIV/0!</v>
      </c>
      <c r="AO43" s="667" t="e">
        <f t="shared" si="52"/>
        <v>#DIV/0!</v>
      </c>
      <c r="AP43" s="667" t="e">
        <f t="shared" si="52"/>
        <v>#DIV/0!</v>
      </c>
      <c r="AQ43" s="667" t="e">
        <f t="shared" si="52"/>
        <v>#DIV/0!</v>
      </c>
      <c r="AR43" s="667" t="e">
        <f t="shared" si="52"/>
        <v>#DIV/0!</v>
      </c>
      <c r="AS43" s="667" t="e">
        <f t="shared" si="52"/>
        <v>#DIV/0!</v>
      </c>
      <c r="AT43" s="667" t="e">
        <f t="shared" si="52"/>
        <v>#DIV/0!</v>
      </c>
      <c r="AU43" s="667" t="e">
        <f t="shared" si="52"/>
        <v>#DIV/0!</v>
      </c>
      <c r="AV43" s="667" t="e">
        <f t="shared" si="52"/>
        <v>#DIV/0!</v>
      </c>
      <c r="AW43" s="667" t="e">
        <f t="shared" si="52"/>
        <v>#DIV/0!</v>
      </c>
      <c r="AX43" s="667" t="e">
        <f t="shared" si="52"/>
        <v>#DIV/0!</v>
      </c>
      <c r="AY43" s="667" t="e">
        <f t="shared" si="52"/>
        <v>#DIV/0!</v>
      </c>
      <c r="AZ43" s="667" t="e">
        <f t="shared" si="52"/>
        <v>#DIV/0!</v>
      </c>
      <c r="BA43" s="667" t="e">
        <f t="shared" si="52"/>
        <v>#DIV/0!</v>
      </c>
      <c r="BB43" s="667" t="e">
        <f t="shared" si="52"/>
        <v>#DIV/0!</v>
      </c>
      <c r="BC43" s="667" t="e">
        <f t="shared" si="52"/>
        <v>#DIV/0!</v>
      </c>
      <c r="BD43" s="667" t="e">
        <f t="shared" si="52"/>
        <v>#DIV/0!</v>
      </c>
      <c r="BE43" s="667" t="e">
        <f t="shared" si="52"/>
        <v>#DIV/0!</v>
      </c>
      <c r="BF43" s="667" t="e">
        <f t="shared" si="52"/>
        <v>#DIV/0!</v>
      </c>
      <c r="BG43" s="667" t="e">
        <f t="shared" si="52"/>
        <v>#DIV/0!</v>
      </c>
      <c r="BH43" s="667" t="e">
        <f t="shared" si="52"/>
        <v>#DIV/0!</v>
      </c>
      <c r="BI43" s="667" t="e">
        <f t="shared" si="52"/>
        <v>#DIV/0!</v>
      </c>
      <c r="BJ43" s="667" t="e">
        <f t="shared" si="52"/>
        <v>#DIV/0!</v>
      </c>
      <c r="BK43" s="667" t="e">
        <f t="shared" si="52"/>
        <v>#DIV/0!</v>
      </c>
      <c r="BL43" s="667" t="e">
        <f t="shared" si="52"/>
        <v>#DIV/0!</v>
      </c>
    </row>
    <row r="44" spans="2:64" hidden="1" x14ac:dyDescent="0.35"/>
    <row r="45" spans="2:64" x14ac:dyDescent="0.35">
      <c r="B45" s="652" t="s">
        <v>841</v>
      </c>
    </row>
    <row r="46" spans="2:64" x14ac:dyDescent="0.35">
      <c r="B46" s="164" t="s">
        <v>1140</v>
      </c>
      <c r="C46" s="574" t="s">
        <v>496</v>
      </c>
      <c r="E46" s="1159">
        <f t="shared" ref="E46:AJ46" si="53">IF($C$46="Target",INDEX($E$179:$AZ$179,0,0),IF($C$46="Base",INDEX($E$180:$AZ$180,0,0),IF($C$46="High",INDEX($E$181:$AZ$181,0,0),IF($C$46="Medium",INDEX($E$182:$AZ$182,0,0),IF($C$46="Worst",INDEX($E$183:$AZ$183,0,0),INDEX($E$184:$AZ$184,0,0))))))</f>
        <v>3.1852497969741628E-2</v>
      </c>
      <c r="F46" s="1159">
        <f t="shared" si="53"/>
        <v>3.5747817106374993E-2</v>
      </c>
      <c r="G46" s="1159">
        <f t="shared" si="53"/>
        <v>3.5674060452821517E-2</v>
      </c>
      <c r="H46" s="1159">
        <f t="shared" si="53"/>
        <v>3.7609980302035453E-2</v>
      </c>
      <c r="I46" s="1159">
        <f t="shared" si="53"/>
        <v>4.5968712394705173E-2</v>
      </c>
      <c r="J46" s="1159">
        <f t="shared" si="53"/>
        <v>3.920539074122692E-2</v>
      </c>
      <c r="K46" s="1159">
        <f t="shared" si="53"/>
        <v>3.4075104311543807E-2</v>
      </c>
      <c r="L46" s="1159">
        <f t="shared" si="53"/>
        <v>3.1664559002206848E-2</v>
      </c>
      <c r="M46" s="1159">
        <f t="shared" si="53"/>
        <v>5.6402439024390252E-2</v>
      </c>
      <c r="N46" s="1159">
        <f t="shared" si="53"/>
        <v>6.4630846540394277E-2</v>
      </c>
      <c r="O46" s="1159">
        <f t="shared" si="53"/>
        <v>6.3965598333669285E-2</v>
      </c>
      <c r="P46" s="1159">
        <f t="shared" si="53"/>
        <v>5.4297838306191823E-2</v>
      </c>
      <c r="Q46" s="1159">
        <f t="shared" si="53"/>
        <v>6.0189270081832502E-2</v>
      </c>
      <c r="R46" s="1159">
        <f t="shared" si="53"/>
        <v>0.22775130222764051</v>
      </c>
      <c r="S46" s="1159">
        <f t="shared" si="53"/>
        <v>7.4512560583077439E-2</v>
      </c>
      <c r="T46" s="1159">
        <f t="shared" si="53"/>
        <v>7.0596096774827533E-2</v>
      </c>
      <c r="U46" s="1159">
        <f t="shared" si="53"/>
        <v>7.8371023740264611E-2</v>
      </c>
      <c r="V46" s="1159">
        <f t="shared" si="53"/>
        <v>6.5810622251267284E-2</v>
      </c>
      <c r="W46" s="1159">
        <f t="shared" si="53"/>
        <v>5.764411027568922E-2</v>
      </c>
      <c r="X46" s="1159">
        <f t="shared" si="53"/>
        <v>6.825158298976354E-2</v>
      </c>
      <c r="Y46" s="1159">
        <f t="shared" si="53"/>
        <v>7.5916882964527158E-2</v>
      </c>
      <c r="Z46" s="1159">
        <f t="shared" si="53"/>
        <v>6.4148946819007305E-2</v>
      </c>
      <c r="AA46" s="1159">
        <f t="shared" si="53"/>
        <v>7.2767467928758253E-2</v>
      </c>
      <c r="AB46" s="1159">
        <f t="shared" si="53"/>
        <v>7.1453882230328294E-2</v>
      </c>
      <c r="AC46" s="666">
        <f t="shared" si="53"/>
        <v>7.0300000000000001E-2</v>
      </c>
      <c r="AD46" s="666">
        <f t="shared" si="53"/>
        <v>7.0000000000000007E-2</v>
      </c>
      <c r="AE46" s="666">
        <f t="shared" si="53"/>
        <v>7.0000000000000007E-2</v>
      </c>
      <c r="AF46" s="666">
        <f t="shared" si="53"/>
        <v>0.08</v>
      </c>
      <c r="AG46" s="666">
        <f t="shared" si="53"/>
        <v>0.08</v>
      </c>
      <c r="AH46" s="666">
        <f t="shared" si="53"/>
        <v>0.08</v>
      </c>
      <c r="AI46" s="666">
        <f t="shared" si="53"/>
        <v>0.08</v>
      </c>
      <c r="AJ46" s="666">
        <f t="shared" si="53"/>
        <v>0.08</v>
      </c>
      <c r="AK46" s="666">
        <f t="shared" ref="AK46:BL46" si="54">IF($C$46="Target",INDEX($E$179:$AZ$179,0,0),IF($C$46="Base",INDEX($E$180:$AZ$180,0,0),IF($C$46="High",INDEX($E$181:$AZ$181,0,0),IF($C$46="Medium",INDEX($E$182:$AZ$182,0,0),IF($C$46="Worst",INDEX($E$183:$AZ$183,0,0),INDEX($E$184:$AZ$184,0,0))))))</f>
        <v>0.08</v>
      </c>
      <c r="AL46" s="666">
        <f t="shared" si="54"/>
        <v>0.08</v>
      </c>
      <c r="AM46" s="666">
        <f t="shared" si="54"/>
        <v>0.08</v>
      </c>
      <c r="AN46" s="666">
        <f t="shared" si="54"/>
        <v>0.08</v>
      </c>
      <c r="AO46" s="666">
        <f t="shared" si="54"/>
        <v>0.08</v>
      </c>
      <c r="AP46" s="666">
        <f t="shared" si="54"/>
        <v>0.08</v>
      </c>
      <c r="AQ46" s="666">
        <f t="shared" si="54"/>
        <v>0.08</v>
      </c>
      <c r="AR46" s="666">
        <f t="shared" si="54"/>
        <v>0.08</v>
      </c>
      <c r="AS46" s="666">
        <f t="shared" si="54"/>
        <v>0.08</v>
      </c>
      <c r="AT46" s="666">
        <f t="shared" si="54"/>
        <v>0.08</v>
      </c>
      <c r="AU46" s="666">
        <f t="shared" si="54"/>
        <v>0.08</v>
      </c>
      <c r="AV46" s="666">
        <f t="shared" si="54"/>
        <v>0.08</v>
      </c>
      <c r="AW46" s="666">
        <f t="shared" si="54"/>
        <v>0.08</v>
      </c>
      <c r="AX46" s="666">
        <f t="shared" si="54"/>
        <v>0.08</v>
      </c>
      <c r="AY46" s="666">
        <f t="shared" si="54"/>
        <v>0.08</v>
      </c>
      <c r="AZ46" s="666">
        <f t="shared" si="54"/>
        <v>0.08</v>
      </c>
      <c r="BA46" s="666" t="e">
        <f t="shared" si="54"/>
        <v>#VALUE!</v>
      </c>
      <c r="BB46" s="666" t="e">
        <f t="shared" si="54"/>
        <v>#VALUE!</v>
      </c>
      <c r="BC46" s="666" t="e">
        <f t="shared" si="54"/>
        <v>#VALUE!</v>
      </c>
      <c r="BD46" s="666" t="e">
        <f t="shared" si="54"/>
        <v>#VALUE!</v>
      </c>
      <c r="BE46" s="666" t="e">
        <f t="shared" si="54"/>
        <v>#VALUE!</v>
      </c>
      <c r="BF46" s="666" t="e">
        <f t="shared" si="54"/>
        <v>#VALUE!</v>
      </c>
      <c r="BG46" s="666" t="e">
        <f t="shared" si="54"/>
        <v>#VALUE!</v>
      </c>
      <c r="BH46" s="666" t="e">
        <f t="shared" si="54"/>
        <v>#VALUE!</v>
      </c>
      <c r="BI46" s="666" t="e">
        <f t="shared" si="54"/>
        <v>#VALUE!</v>
      </c>
      <c r="BJ46" s="666" t="e">
        <f t="shared" si="54"/>
        <v>#VALUE!</v>
      </c>
      <c r="BK46" s="666" t="e">
        <f t="shared" si="54"/>
        <v>#VALUE!</v>
      </c>
      <c r="BL46" s="666" t="e">
        <f t="shared" si="54"/>
        <v>#VALUE!</v>
      </c>
    </row>
    <row r="47" spans="2:64" x14ac:dyDescent="0.35">
      <c r="B47" s="164" t="s">
        <v>1143</v>
      </c>
      <c r="C47" s="574" t="s">
        <v>496</v>
      </c>
      <c r="E47" s="1159">
        <f t="shared" ref="E47:AZ47" si="55">IF($C$47="Target",INDEX($E$101:$AZ$101,0,0),IF($C$47="Base",INDEX($E$102:$AZ$102,0,0),IF($C$47="High",INDEX($E$103:$AZ$103,0,0),IF($C$47="Medium",INDEX($E$104:$AZ$104,0,0),IF($C$47="Worst",INDEX($E$105:$AZ$105,0,0),INDEX($E$106:$AZ$106,0,0))))))</f>
        <v>0.21989657719773459</v>
      </c>
      <c r="F47" s="1159">
        <f t="shared" si="55"/>
        <v>0.25265444015444022</v>
      </c>
      <c r="G47" s="1159">
        <f t="shared" si="55"/>
        <v>0.27247515599722671</v>
      </c>
      <c r="H47" s="1159">
        <f t="shared" si="55"/>
        <v>0.27543729982754372</v>
      </c>
      <c r="I47" s="1159">
        <f t="shared" si="55"/>
        <v>0.2521891418563923</v>
      </c>
      <c r="J47" s="1159">
        <f t="shared" si="55"/>
        <v>0.21779066956731929</v>
      </c>
      <c r="K47" s="1159">
        <f t="shared" si="55"/>
        <v>0.23239257564200361</v>
      </c>
      <c r="L47" s="1159">
        <f t="shared" si="55"/>
        <v>0.2493940862821134</v>
      </c>
      <c r="M47" s="1159">
        <f t="shared" si="55"/>
        <v>0.21834992887624466</v>
      </c>
      <c r="N47" s="1159">
        <f t="shared" si="55"/>
        <v>0.22816985645933013</v>
      </c>
      <c r="O47" s="1159">
        <f t="shared" si="55"/>
        <v>0.21603641456582634</v>
      </c>
      <c r="P47" s="1159">
        <f t="shared" si="55"/>
        <v>0.22135842880523732</v>
      </c>
      <c r="Q47" s="1159">
        <f t="shared" si="55"/>
        <v>0.2161540672607071</v>
      </c>
      <c r="R47" s="1159">
        <f t="shared" si="55"/>
        <v>6.1411192214111919E-2</v>
      </c>
      <c r="S47" s="1159">
        <f t="shared" si="55"/>
        <v>0.19091360476663358</v>
      </c>
      <c r="T47" s="1159">
        <f t="shared" si="55"/>
        <v>0.21742761692650334</v>
      </c>
      <c r="U47" s="1159">
        <f t="shared" si="55"/>
        <v>0.23347701149425287</v>
      </c>
      <c r="V47" s="1159">
        <f t="shared" si="55"/>
        <v>0.20316693505099301</v>
      </c>
      <c r="W47" s="1159">
        <f t="shared" si="55"/>
        <v>0.16205533596837945</v>
      </c>
      <c r="X47" s="1159">
        <f t="shared" si="55"/>
        <v>0.17839668799397818</v>
      </c>
      <c r="Y47" s="1159">
        <f t="shared" si="55"/>
        <v>0.1674715085957118</v>
      </c>
      <c r="Z47" s="1159">
        <f t="shared" si="55"/>
        <v>0.1560410164957646</v>
      </c>
      <c r="AA47" s="1159">
        <f t="shared" si="55"/>
        <v>0.14698331193838254</v>
      </c>
      <c r="AB47" s="1159">
        <f t="shared" si="55"/>
        <v>0.1572345390898483</v>
      </c>
      <c r="AC47" s="666">
        <f t="shared" si="55"/>
        <v>0.17130000000000001</v>
      </c>
      <c r="AD47" s="666">
        <f t="shared" si="55"/>
        <v>0.1655979300258747</v>
      </c>
      <c r="AE47" s="666">
        <f t="shared" si="55"/>
        <v>0.15</v>
      </c>
      <c r="AF47" s="666">
        <f t="shared" si="55"/>
        <v>0.15</v>
      </c>
      <c r="AG47" s="666">
        <f t="shared" si="55"/>
        <v>0.15</v>
      </c>
      <c r="AH47" s="666">
        <f t="shared" si="55"/>
        <v>0.15</v>
      </c>
      <c r="AI47" s="666">
        <f t="shared" si="55"/>
        <v>0.15</v>
      </c>
      <c r="AJ47" s="666">
        <f t="shared" si="55"/>
        <v>0.15</v>
      </c>
      <c r="AK47" s="666">
        <f t="shared" si="55"/>
        <v>0.15</v>
      </c>
      <c r="AL47" s="666">
        <f t="shared" si="55"/>
        <v>0.18</v>
      </c>
      <c r="AM47" s="666">
        <f t="shared" si="55"/>
        <v>0.18</v>
      </c>
      <c r="AN47" s="666">
        <f t="shared" si="55"/>
        <v>0.18</v>
      </c>
      <c r="AO47" s="666">
        <f t="shared" si="55"/>
        <v>0.18</v>
      </c>
      <c r="AP47" s="666">
        <f t="shared" si="55"/>
        <v>0.18</v>
      </c>
      <c r="AQ47" s="666">
        <f t="shared" si="55"/>
        <v>0.18</v>
      </c>
      <c r="AR47" s="666">
        <f t="shared" si="55"/>
        <v>0.18</v>
      </c>
      <c r="AS47" s="666">
        <f t="shared" si="55"/>
        <v>0.18</v>
      </c>
      <c r="AT47" s="666">
        <f t="shared" si="55"/>
        <v>0.18</v>
      </c>
      <c r="AU47" s="666">
        <f t="shared" si="55"/>
        <v>0.18</v>
      </c>
      <c r="AV47" s="666">
        <f t="shared" si="55"/>
        <v>0.18</v>
      </c>
      <c r="AW47" s="666">
        <f t="shared" si="55"/>
        <v>0.18</v>
      </c>
      <c r="AX47" s="666">
        <f t="shared" si="55"/>
        <v>0.18</v>
      </c>
      <c r="AY47" s="666">
        <f t="shared" si="55"/>
        <v>0.18</v>
      </c>
      <c r="AZ47" s="666">
        <f t="shared" si="55"/>
        <v>0.18</v>
      </c>
      <c r="BA47" s="666">
        <f t="shared" ref="BA47:BL47" si="56">IF($C$47="Target",INDEX($E$101:$BL$101,0,0),IF($C$47="Base",INDEX($E$102:$BL$102,0,0),IF($C$47="High",INDEX($E$103:$BL$103,0,0),IF($C$47="Medium",INDEX($E$104:$BL$104,0,0),IF($C$47="Worst",INDEX($E$105:$BL$105,0,0),INDEX($E$106:$BL$106,0,0))))))</f>
        <v>0.18</v>
      </c>
      <c r="BB47" s="666">
        <f t="shared" si="56"/>
        <v>0.18</v>
      </c>
      <c r="BC47" s="666">
        <f t="shared" si="56"/>
        <v>0.18</v>
      </c>
      <c r="BD47" s="666">
        <f t="shared" si="56"/>
        <v>0.18</v>
      </c>
      <c r="BE47" s="666">
        <f t="shared" si="56"/>
        <v>0.18</v>
      </c>
      <c r="BF47" s="666">
        <f t="shared" si="56"/>
        <v>0.18</v>
      </c>
      <c r="BG47" s="666">
        <f t="shared" si="56"/>
        <v>0.18</v>
      </c>
      <c r="BH47" s="666">
        <f t="shared" si="56"/>
        <v>0.18</v>
      </c>
      <c r="BI47" s="666">
        <f t="shared" si="56"/>
        <v>0.18</v>
      </c>
      <c r="BJ47" s="666">
        <f t="shared" si="56"/>
        <v>0.18</v>
      </c>
      <c r="BK47" s="666">
        <f t="shared" si="56"/>
        <v>0.18</v>
      </c>
      <c r="BL47" s="666">
        <f t="shared" si="56"/>
        <v>0.18</v>
      </c>
    </row>
    <row r="48" spans="2:64" x14ac:dyDescent="0.35">
      <c r="B48" s="164" t="s">
        <v>843</v>
      </c>
      <c r="C48" s="574" t="s">
        <v>496</v>
      </c>
      <c r="E48" s="1163">
        <f t="shared" ref="E48:AZ48" si="57">IF($C$48="Target",INDEX($E$127:$AZ$127,0,0),IF($C$48="Base",INDEX($E$128:$AZ$128,0,0),IF($C$48="High",INDEX($E$129:$AZ$129,0,0),IF($C$48="Medium",INDEX($E$130:$AZ$130,0,0),IF($C$48="Worst",INDEX($E$131:$AZ$131,0,0),INDEX($E$132:$AZ$132,0,0))))))</f>
        <v>91250.8</v>
      </c>
      <c r="F48" s="1163">
        <f t="shared" si="57"/>
        <v>137787.19999999998</v>
      </c>
      <c r="G48" s="1163">
        <f t="shared" si="57"/>
        <v>162742.02000000002</v>
      </c>
      <c r="H48" s="1163">
        <f t="shared" si="57"/>
        <v>151877.41</v>
      </c>
      <c r="I48" s="1163">
        <f t="shared" si="57"/>
        <v>115310.32</v>
      </c>
      <c r="J48" s="1163">
        <f t="shared" si="57"/>
        <v>133316.34</v>
      </c>
      <c r="K48" s="1163">
        <f t="shared" si="57"/>
        <v>125631.40000000001</v>
      </c>
      <c r="L48" s="1163">
        <f t="shared" si="57"/>
        <v>142464.76</v>
      </c>
      <c r="M48" s="1163">
        <f t="shared" si="57"/>
        <v>143788.80000000005</v>
      </c>
      <c r="N48" s="1163">
        <f t="shared" si="57"/>
        <v>156742.78</v>
      </c>
      <c r="O48" s="1163">
        <f t="shared" si="57"/>
        <v>88581.16</v>
      </c>
      <c r="P48" s="1163">
        <f t="shared" si="57"/>
        <v>60219.11</v>
      </c>
      <c r="Q48" s="1163">
        <f t="shared" si="57"/>
        <v>253256.75</v>
      </c>
      <c r="R48" s="1163">
        <f t="shared" si="57"/>
        <v>176428.62999999998</v>
      </c>
      <c r="S48" s="1163">
        <f t="shared" si="57"/>
        <v>245214.31</v>
      </c>
      <c r="T48" s="1163">
        <f t="shared" si="57"/>
        <v>235310.52000000002</v>
      </c>
      <c r="U48" s="1163">
        <f t="shared" si="57"/>
        <v>270919.63</v>
      </c>
      <c r="V48" s="1163">
        <f t="shared" si="57"/>
        <v>441594.77</v>
      </c>
      <c r="W48" s="1163">
        <f t="shared" si="57"/>
        <v>690294.7</v>
      </c>
      <c r="X48" s="1163">
        <f t="shared" si="57"/>
        <v>648530.91</v>
      </c>
      <c r="Y48" s="1163">
        <f t="shared" si="57"/>
        <v>424936.93</v>
      </c>
      <c r="Z48" s="1163">
        <f t="shared" si="57"/>
        <v>380685.58</v>
      </c>
      <c r="AA48" s="1163">
        <f t="shared" si="57"/>
        <v>414441.6</v>
      </c>
      <c r="AB48" s="1163">
        <f t="shared" si="57"/>
        <v>336322.19</v>
      </c>
      <c r="AC48" s="665">
        <f t="shared" si="57"/>
        <v>235000</v>
      </c>
      <c r="AD48" s="665">
        <f t="shared" si="57"/>
        <v>300000</v>
      </c>
      <c r="AE48" s="665">
        <f t="shared" si="57"/>
        <v>465000</v>
      </c>
      <c r="AF48" s="665">
        <f t="shared" si="57"/>
        <v>565000</v>
      </c>
      <c r="AG48" s="665">
        <f t="shared" si="57"/>
        <v>570000</v>
      </c>
      <c r="AH48" s="665">
        <f t="shared" si="57"/>
        <v>500000</v>
      </c>
      <c r="AI48" s="665">
        <f t="shared" si="57"/>
        <v>450000</v>
      </c>
      <c r="AJ48" s="665">
        <f t="shared" si="57"/>
        <v>400000</v>
      </c>
      <c r="AK48" s="665">
        <f t="shared" si="57"/>
        <v>400000</v>
      </c>
      <c r="AL48" s="665">
        <f t="shared" si="57"/>
        <v>400000</v>
      </c>
      <c r="AM48" s="665">
        <f t="shared" si="57"/>
        <v>400000</v>
      </c>
      <c r="AN48" s="665">
        <f t="shared" si="57"/>
        <v>400000</v>
      </c>
      <c r="AO48" s="665">
        <f t="shared" si="57"/>
        <v>400000</v>
      </c>
      <c r="AP48" s="665">
        <f t="shared" si="57"/>
        <v>400000</v>
      </c>
      <c r="AQ48" s="665">
        <f t="shared" si="57"/>
        <v>400000</v>
      </c>
      <c r="AR48" s="665">
        <f t="shared" si="57"/>
        <v>400000</v>
      </c>
      <c r="AS48" s="665">
        <f t="shared" si="57"/>
        <v>400000</v>
      </c>
      <c r="AT48" s="665">
        <f t="shared" si="57"/>
        <v>400000</v>
      </c>
      <c r="AU48" s="665">
        <f t="shared" si="57"/>
        <v>400000</v>
      </c>
      <c r="AV48" s="665">
        <f t="shared" si="57"/>
        <v>400000</v>
      </c>
      <c r="AW48" s="665">
        <f t="shared" si="57"/>
        <v>400000</v>
      </c>
      <c r="AX48" s="665">
        <f t="shared" si="57"/>
        <v>400000</v>
      </c>
      <c r="AY48" s="665">
        <f t="shared" si="57"/>
        <v>400000</v>
      </c>
      <c r="AZ48" s="665">
        <f t="shared" si="57"/>
        <v>400000</v>
      </c>
      <c r="BA48" s="665">
        <f t="shared" ref="BA48:BL48" si="58">IF($C$48="Target",INDEX($E$127:$BL$127,0,0),IF($C$48="Base",INDEX($E$128:$BL$128,0,0),IF($C$48="High",INDEX($E$129:$BL$129,0,0),IF($C$48="Medium",INDEX($E$130:$BL$130,0,0),IF($C$48="Worst",INDEX($E$131:$BL$131,0,0),INDEX($E$132:$BL$132,0,0))))))</f>
        <v>400000</v>
      </c>
      <c r="BB48" s="665">
        <f t="shared" si="58"/>
        <v>400000</v>
      </c>
      <c r="BC48" s="665">
        <f t="shared" si="58"/>
        <v>400000</v>
      </c>
      <c r="BD48" s="665">
        <f t="shared" si="58"/>
        <v>400000</v>
      </c>
      <c r="BE48" s="665">
        <f t="shared" si="58"/>
        <v>400000</v>
      </c>
      <c r="BF48" s="665">
        <f t="shared" si="58"/>
        <v>400000</v>
      </c>
      <c r="BG48" s="665">
        <f t="shared" si="58"/>
        <v>400000</v>
      </c>
      <c r="BH48" s="665">
        <f t="shared" si="58"/>
        <v>400000</v>
      </c>
      <c r="BI48" s="665">
        <f t="shared" si="58"/>
        <v>400000</v>
      </c>
      <c r="BJ48" s="665">
        <f t="shared" si="58"/>
        <v>400000</v>
      </c>
      <c r="BK48" s="665">
        <f t="shared" si="58"/>
        <v>400000</v>
      </c>
      <c r="BL48" s="665">
        <f t="shared" si="58"/>
        <v>400000</v>
      </c>
    </row>
    <row r="49" spans="2:82" x14ac:dyDescent="0.35">
      <c r="B49" s="164" t="s">
        <v>1133</v>
      </c>
      <c r="C49" s="574" t="s">
        <v>496</v>
      </c>
      <c r="E49" s="1164">
        <f>IF($C$49="Target",INDEX($E$153:$AZ$153,0,0),IF($C$49="Base",INDEX($E$154:$AZ$154,0,0),IF($C$49="High",INDEX($E$155:$AZ$155,0,0),IF($C$49="Medium",INDEX($E$156:$AZ$156,0,0),IF($C$49="Worst",INDEX($E$157:$AZ$157,0,0),INDEX($E$158:$AZ$158,0,0))))))</f>
        <v>0.14132493099317739</v>
      </c>
      <c r="F49" s="1164">
        <f t="shared" ref="F49:BL49" si="59">IF($C$49="Target",INDEX($E$153:$AZ$153,0,0),IF($C$49="Base",INDEX($E$154:$AZ$154,0,0),IF($C$49="High",INDEX($E$155:$AZ$155,0,0),IF($C$49="Medium",INDEX($E$156:$AZ$156,0,0),IF($C$49="Worst",INDEX($E$157:$AZ$157,0,0),INDEX($E$158:$AZ$158,0,0))))))</f>
        <v>1.304623602484472</v>
      </c>
      <c r="G49" s="1164">
        <f t="shared" si="59"/>
        <v>1.1458493049600129</v>
      </c>
      <c r="H49" s="1164">
        <f t="shared" si="59"/>
        <v>1.1388440525895001</v>
      </c>
      <c r="I49" s="1164">
        <f t="shared" si="59"/>
        <v>1.176467876628438</v>
      </c>
      <c r="J49" s="1164">
        <f t="shared" si="59"/>
        <v>1.2708042824491761</v>
      </c>
      <c r="K49" s="1164">
        <f t="shared" si="59"/>
        <v>1.320860252564013</v>
      </c>
      <c r="L49" s="1164">
        <f t="shared" si="59"/>
        <v>0.9912529327970504</v>
      </c>
      <c r="M49" s="1164">
        <f t="shared" si="59"/>
        <v>0.80420602357049331</v>
      </c>
      <c r="N49" s="1164">
        <f t="shared" si="59"/>
        <v>1.1211219056203781</v>
      </c>
      <c r="O49" s="1164">
        <f t="shared" si="59"/>
        <v>1.158293226971135</v>
      </c>
      <c r="P49" s="1164">
        <f t="shared" si="59"/>
        <v>2.4356767842493849</v>
      </c>
      <c r="Q49" s="1164">
        <f t="shared" si="59"/>
        <v>2.2374084345562721</v>
      </c>
      <c r="R49" s="1164">
        <f t="shared" si="59"/>
        <v>1.68967549379313</v>
      </c>
      <c r="S49" s="1164">
        <f t="shared" si="59"/>
        <v>1.8099649083270291</v>
      </c>
      <c r="T49" s="1164">
        <f t="shared" si="59"/>
        <v>1.7363566482111721</v>
      </c>
      <c r="U49" s="1164">
        <f t="shared" si="59"/>
        <v>1.649446769320257</v>
      </c>
      <c r="V49" s="1164">
        <f t="shared" si="59"/>
        <v>3.1118828072118641</v>
      </c>
      <c r="W49" s="1164">
        <f t="shared" si="59"/>
        <v>3.3552658850894592</v>
      </c>
      <c r="X49" s="1164">
        <f t="shared" si="59"/>
        <v>3.4670476518544029</v>
      </c>
      <c r="Y49" s="1164">
        <f t="shared" si="59"/>
        <v>1.9734709917302391</v>
      </c>
      <c r="Z49" s="1164">
        <f t="shared" si="59"/>
        <v>2.6965573811614201</v>
      </c>
      <c r="AA49" s="1164">
        <f t="shared" si="59"/>
        <v>2.6383951370252912</v>
      </c>
      <c r="AB49" s="1164">
        <f t="shared" si="59"/>
        <v>2.188580576307364</v>
      </c>
      <c r="AC49" s="1049">
        <f t="shared" si="59"/>
        <v>2.13</v>
      </c>
      <c r="AD49" s="1049">
        <f t="shared" si="59"/>
        <v>2</v>
      </c>
      <c r="AE49" s="1049">
        <f t="shared" si="59"/>
        <v>3.15</v>
      </c>
      <c r="AF49" s="1049">
        <f t="shared" si="59"/>
        <v>3.15</v>
      </c>
      <c r="AG49" s="1049">
        <f t="shared" si="59"/>
        <v>3.15</v>
      </c>
      <c r="AH49" s="1049">
        <f t="shared" si="59"/>
        <v>3.15</v>
      </c>
      <c r="AI49" s="1049">
        <f t="shared" si="59"/>
        <v>3.15</v>
      </c>
      <c r="AJ49" s="1049">
        <f t="shared" si="59"/>
        <v>3.15</v>
      </c>
      <c r="AK49" s="1049">
        <f t="shared" si="59"/>
        <v>3.15</v>
      </c>
      <c r="AL49" s="1049">
        <f t="shared" si="59"/>
        <v>2.56</v>
      </c>
      <c r="AM49" s="1049">
        <f t="shared" si="59"/>
        <v>2.56</v>
      </c>
      <c r="AN49" s="1049">
        <f t="shared" si="59"/>
        <v>2.56</v>
      </c>
      <c r="AO49" s="1049">
        <f t="shared" si="59"/>
        <v>2.56</v>
      </c>
      <c r="AP49" s="1049">
        <f t="shared" si="59"/>
        <v>2.56</v>
      </c>
      <c r="AQ49" s="1049">
        <f t="shared" si="59"/>
        <v>2.56</v>
      </c>
      <c r="AR49" s="1049">
        <f t="shared" si="59"/>
        <v>2.56</v>
      </c>
      <c r="AS49" s="1049">
        <f t="shared" si="59"/>
        <v>2.56</v>
      </c>
      <c r="AT49" s="1049">
        <f t="shared" si="59"/>
        <v>2.56</v>
      </c>
      <c r="AU49" s="1049">
        <f t="shared" si="59"/>
        <v>2.56</v>
      </c>
      <c r="AV49" s="1049">
        <f t="shared" si="59"/>
        <v>2.56</v>
      </c>
      <c r="AW49" s="1049">
        <f t="shared" si="59"/>
        <v>2.56</v>
      </c>
      <c r="AX49" s="1049">
        <f t="shared" si="59"/>
        <v>2.56</v>
      </c>
      <c r="AY49" s="1049">
        <f t="shared" si="59"/>
        <v>2.56</v>
      </c>
      <c r="AZ49" s="1049">
        <f t="shared" si="59"/>
        <v>2.56</v>
      </c>
      <c r="BA49" s="1049" t="e">
        <f t="shared" si="59"/>
        <v>#VALUE!</v>
      </c>
      <c r="BB49" s="1049" t="e">
        <f t="shared" si="59"/>
        <v>#VALUE!</v>
      </c>
      <c r="BC49" s="1049" t="e">
        <f t="shared" si="59"/>
        <v>#VALUE!</v>
      </c>
      <c r="BD49" s="1049" t="e">
        <f t="shared" si="59"/>
        <v>#VALUE!</v>
      </c>
      <c r="BE49" s="1049" t="e">
        <f t="shared" si="59"/>
        <v>#VALUE!</v>
      </c>
      <c r="BF49" s="1049" t="e">
        <f t="shared" si="59"/>
        <v>#VALUE!</v>
      </c>
      <c r="BG49" s="1049" t="e">
        <f t="shared" si="59"/>
        <v>#VALUE!</v>
      </c>
      <c r="BH49" s="1049" t="e">
        <f t="shared" si="59"/>
        <v>#VALUE!</v>
      </c>
      <c r="BI49" s="1049" t="e">
        <f t="shared" si="59"/>
        <v>#VALUE!</v>
      </c>
      <c r="BJ49" s="1049" t="e">
        <f t="shared" si="59"/>
        <v>#VALUE!</v>
      </c>
      <c r="BK49" s="1049" t="e">
        <f t="shared" si="59"/>
        <v>#VALUE!</v>
      </c>
      <c r="BL49" s="1049" t="e">
        <f t="shared" si="59"/>
        <v>#VALUE!</v>
      </c>
    </row>
    <row r="50" spans="2:82" x14ac:dyDescent="0.35">
      <c r="B50" s="164" t="s">
        <v>844</v>
      </c>
      <c r="E50" s="257">
        <f>(((E48/E49)*E46)*E47)</f>
        <v>4522.5134241917012</v>
      </c>
      <c r="F50" s="257">
        <f t="shared" ref="F50:BA50" si="60">(((F48/F49)*F46)*F47)</f>
        <v>953.89397533837291</v>
      </c>
      <c r="G50" s="257">
        <f t="shared" si="60"/>
        <v>1380.5484428631873</v>
      </c>
      <c r="H50" s="257">
        <f t="shared" si="60"/>
        <v>1381.5123845377782</v>
      </c>
      <c r="I50" s="257">
        <f t="shared" si="60"/>
        <v>1136.2576679468675</v>
      </c>
      <c r="J50" s="257">
        <f t="shared" si="60"/>
        <v>895.7560895421127</v>
      </c>
      <c r="K50" s="257">
        <f t="shared" si="60"/>
        <v>753.18345465442872</v>
      </c>
      <c r="L50" s="257">
        <f t="shared" si="60"/>
        <v>1134.9652393542513</v>
      </c>
      <c r="M50" s="257">
        <f t="shared" si="60"/>
        <v>2201.9562055716879</v>
      </c>
      <c r="N50" s="257">
        <f t="shared" si="60"/>
        <v>2061.7348900537027</v>
      </c>
      <c r="O50" s="257">
        <f t="shared" si="60"/>
        <v>1056.8084421819217</v>
      </c>
      <c r="P50" s="257">
        <f t="shared" si="60"/>
        <v>297.16200463658851</v>
      </c>
      <c r="Q50" s="257">
        <f t="shared" si="60"/>
        <v>1472.6456093377346</v>
      </c>
      <c r="R50" s="257">
        <f t="shared" si="60"/>
        <v>1460.407834063953</v>
      </c>
      <c r="S50" s="257">
        <f t="shared" si="60"/>
        <v>1927.267606258463</v>
      </c>
      <c r="T50" s="257">
        <f t="shared" si="60"/>
        <v>2080.1650965220988</v>
      </c>
      <c r="U50" s="257">
        <f t="shared" si="60"/>
        <v>3005.3967661718798</v>
      </c>
      <c r="V50" s="257">
        <f t="shared" si="60"/>
        <v>1897.3598843585014</v>
      </c>
      <c r="W50" s="257">
        <f t="shared" si="60"/>
        <v>1921.8782579254889</v>
      </c>
      <c r="X50" s="257">
        <f t="shared" si="60"/>
        <v>2277.5629282686168</v>
      </c>
      <c r="Y50" s="257">
        <f t="shared" si="60"/>
        <v>2737.6191472566861</v>
      </c>
      <c r="Z50" s="257">
        <f t="shared" si="60"/>
        <v>1413.1395835602386</v>
      </c>
      <c r="AA50" s="257">
        <f t="shared" si="60"/>
        <v>1680.0754896087574</v>
      </c>
      <c r="AB50" s="257">
        <f t="shared" si="60"/>
        <v>1726.5007190612196</v>
      </c>
      <c r="AC50" s="577">
        <f t="shared" si="60"/>
        <v>1328.6204929577466</v>
      </c>
      <c r="AD50" s="577">
        <f t="shared" si="60"/>
        <v>1738.7782652716846</v>
      </c>
      <c r="AE50" s="577">
        <f t="shared" si="60"/>
        <v>1550.0000000000002</v>
      </c>
      <c r="AF50" s="577">
        <f t="shared" si="60"/>
        <v>2152.3809523809523</v>
      </c>
      <c r="AG50" s="577">
        <f t="shared" si="60"/>
        <v>2171.4285714285711</v>
      </c>
      <c r="AH50" s="577">
        <f t="shared" si="60"/>
        <v>1904.7619047619046</v>
      </c>
      <c r="AI50" s="577">
        <f t="shared" si="60"/>
        <v>1714.2857142857144</v>
      </c>
      <c r="AJ50" s="577">
        <f t="shared" si="60"/>
        <v>1523.8095238095239</v>
      </c>
      <c r="AK50" s="577">
        <f t="shared" si="60"/>
        <v>1523.8095238095239</v>
      </c>
      <c r="AL50" s="577">
        <f t="shared" si="60"/>
        <v>2250</v>
      </c>
      <c r="AM50" s="577">
        <f t="shared" si="60"/>
        <v>2250</v>
      </c>
      <c r="AN50" s="577">
        <f t="shared" si="60"/>
        <v>2250</v>
      </c>
      <c r="AO50" s="577">
        <f t="shared" si="60"/>
        <v>2250</v>
      </c>
      <c r="AP50" s="577">
        <f t="shared" si="60"/>
        <v>2250</v>
      </c>
      <c r="AQ50" s="577">
        <f t="shared" si="60"/>
        <v>2250</v>
      </c>
      <c r="AR50" s="577">
        <f t="shared" si="60"/>
        <v>2250</v>
      </c>
      <c r="AS50" s="577">
        <f t="shared" si="60"/>
        <v>2250</v>
      </c>
      <c r="AT50" s="577">
        <f t="shared" si="60"/>
        <v>2250</v>
      </c>
      <c r="AU50" s="577">
        <f t="shared" si="60"/>
        <v>2250</v>
      </c>
      <c r="AV50" s="577">
        <f t="shared" si="60"/>
        <v>2250</v>
      </c>
      <c r="AW50" s="577">
        <f t="shared" si="60"/>
        <v>2250</v>
      </c>
      <c r="AX50" s="577">
        <f t="shared" si="60"/>
        <v>2250</v>
      </c>
      <c r="AY50" s="577">
        <f t="shared" si="60"/>
        <v>2250</v>
      </c>
      <c r="AZ50" s="577">
        <f t="shared" si="60"/>
        <v>2250</v>
      </c>
      <c r="BA50" s="577" t="e">
        <f t="shared" si="60"/>
        <v>#VALUE!</v>
      </c>
      <c r="BB50" s="577" t="e">
        <f t="shared" ref="BB50:BL50" si="61">BB46*BB47</f>
        <v>#VALUE!</v>
      </c>
      <c r="BC50" s="577" t="e">
        <f t="shared" si="61"/>
        <v>#VALUE!</v>
      </c>
      <c r="BD50" s="577" t="e">
        <f t="shared" si="61"/>
        <v>#VALUE!</v>
      </c>
      <c r="BE50" s="577" t="e">
        <f t="shared" si="61"/>
        <v>#VALUE!</v>
      </c>
      <c r="BF50" s="577" t="e">
        <f t="shared" si="61"/>
        <v>#VALUE!</v>
      </c>
      <c r="BG50" s="577" t="e">
        <f t="shared" si="61"/>
        <v>#VALUE!</v>
      </c>
      <c r="BH50" s="577" t="e">
        <f t="shared" si="61"/>
        <v>#VALUE!</v>
      </c>
      <c r="BI50" s="577" t="e">
        <f t="shared" si="61"/>
        <v>#VALUE!</v>
      </c>
      <c r="BJ50" s="577" t="e">
        <f t="shared" si="61"/>
        <v>#VALUE!</v>
      </c>
      <c r="BK50" s="577" t="e">
        <f t="shared" si="61"/>
        <v>#VALUE!</v>
      </c>
      <c r="BL50" s="577" t="e">
        <f t="shared" si="61"/>
        <v>#VALUE!</v>
      </c>
    </row>
    <row r="51" spans="2:82" x14ac:dyDescent="0.35">
      <c r="B51" s="164" t="s">
        <v>842</v>
      </c>
      <c r="E51" s="257">
        <f>((E48/E49)*E46)</f>
        <v>20566.547609902012</v>
      </c>
      <c r="F51" s="257">
        <f t="shared" ref="F51:BL51" si="62">((F48/F49)*F46)</f>
        <v>3775.4886664777614</v>
      </c>
      <c r="G51" s="257">
        <f t="shared" si="62"/>
        <v>5066.6947517124781</v>
      </c>
      <c r="H51" s="257">
        <f t="shared" si="62"/>
        <v>5015.7055177449392</v>
      </c>
      <c r="I51" s="257">
        <f t="shared" si="62"/>
        <v>4505.5772805393153</v>
      </c>
      <c r="J51" s="257">
        <f t="shared" si="62"/>
        <v>4112.9222446567373</v>
      </c>
      <c r="K51" s="257">
        <f t="shared" si="62"/>
        <v>3240.9962003893515</v>
      </c>
      <c r="L51" s="257">
        <f t="shared" si="62"/>
        <v>4550.8907459432858</v>
      </c>
      <c r="M51" s="257">
        <f t="shared" si="62"/>
        <v>10084.529071771314</v>
      </c>
      <c r="N51" s="257">
        <f t="shared" si="62"/>
        <v>9035.9652324240924</v>
      </c>
      <c r="O51" s="257">
        <f t="shared" si="62"/>
        <v>4891.8069868258799</v>
      </c>
      <c r="P51" s="257">
        <f t="shared" si="62"/>
        <v>1342.4472076373795</v>
      </c>
      <c r="Q51" s="257">
        <f t="shared" si="62"/>
        <v>6812.9442485185891</v>
      </c>
      <c r="R51" s="257">
        <f t="shared" si="62"/>
        <v>23780.809025367857</v>
      </c>
      <c r="S51" s="257">
        <f t="shared" si="62"/>
        <v>10094.972585187372</v>
      </c>
      <c r="T51" s="257">
        <f t="shared" si="62"/>
        <v>9567.1613658225087</v>
      </c>
      <c r="U51" s="257">
        <f t="shared" si="62"/>
        <v>12872.345533880789</v>
      </c>
      <c r="V51" s="257">
        <f t="shared" si="62"/>
        <v>9338.9206461291633</v>
      </c>
      <c r="W51" s="257">
        <f t="shared" si="62"/>
        <v>11859.395103784114</v>
      </c>
      <c r="X51" s="257">
        <f t="shared" si="62"/>
        <v>12766.845359514165</v>
      </c>
      <c r="Y51" s="257">
        <f t="shared" si="62"/>
        <v>16346.775461762243</v>
      </c>
      <c r="Z51" s="257">
        <f t="shared" si="62"/>
        <v>9056.2059597874722</v>
      </c>
      <c r="AA51" s="257">
        <f t="shared" si="62"/>
        <v>11430.382588691895</v>
      </c>
      <c r="AB51" s="257">
        <f t="shared" si="62"/>
        <v>10980.41644701644</v>
      </c>
      <c r="AC51" s="577">
        <f t="shared" si="62"/>
        <v>7756.1032863849769</v>
      </c>
      <c r="AD51" s="577">
        <f t="shared" si="62"/>
        <v>10500.000000000002</v>
      </c>
      <c r="AE51" s="577">
        <f t="shared" si="62"/>
        <v>10333.333333333336</v>
      </c>
      <c r="AF51" s="577">
        <f t="shared" si="62"/>
        <v>14349.20634920635</v>
      </c>
      <c r="AG51" s="577">
        <f t="shared" si="62"/>
        <v>14476.190476190475</v>
      </c>
      <c r="AH51" s="577">
        <f t="shared" si="62"/>
        <v>12698.412698412698</v>
      </c>
      <c r="AI51" s="577">
        <f t="shared" si="62"/>
        <v>11428.571428571429</v>
      </c>
      <c r="AJ51" s="577">
        <f t="shared" si="62"/>
        <v>10158.730158730159</v>
      </c>
      <c r="AK51" s="577">
        <f t="shared" si="62"/>
        <v>10158.730158730159</v>
      </c>
      <c r="AL51" s="577">
        <f t="shared" si="62"/>
        <v>12500</v>
      </c>
      <c r="AM51" s="577">
        <f t="shared" si="62"/>
        <v>12500</v>
      </c>
      <c r="AN51" s="577">
        <f t="shared" si="62"/>
        <v>12500</v>
      </c>
      <c r="AO51" s="577">
        <f t="shared" si="62"/>
        <v>12500</v>
      </c>
      <c r="AP51" s="577">
        <f t="shared" si="62"/>
        <v>12500</v>
      </c>
      <c r="AQ51" s="577">
        <f t="shared" si="62"/>
        <v>12500</v>
      </c>
      <c r="AR51" s="577">
        <f t="shared" si="62"/>
        <v>12500</v>
      </c>
      <c r="AS51" s="577">
        <f t="shared" si="62"/>
        <v>12500</v>
      </c>
      <c r="AT51" s="577">
        <f t="shared" si="62"/>
        <v>12500</v>
      </c>
      <c r="AU51" s="577">
        <f t="shared" si="62"/>
        <v>12500</v>
      </c>
      <c r="AV51" s="577">
        <f t="shared" si="62"/>
        <v>12500</v>
      </c>
      <c r="AW51" s="577">
        <f t="shared" si="62"/>
        <v>12500</v>
      </c>
      <c r="AX51" s="577">
        <f t="shared" si="62"/>
        <v>12500</v>
      </c>
      <c r="AY51" s="577">
        <f t="shared" si="62"/>
        <v>12500</v>
      </c>
      <c r="AZ51" s="577">
        <f t="shared" si="62"/>
        <v>12500</v>
      </c>
      <c r="BA51" s="577" t="e">
        <f t="shared" si="62"/>
        <v>#VALUE!</v>
      </c>
      <c r="BB51" s="577" t="e">
        <f t="shared" si="62"/>
        <v>#VALUE!</v>
      </c>
      <c r="BC51" s="577" t="e">
        <f t="shared" si="62"/>
        <v>#VALUE!</v>
      </c>
      <c r="BD51" s="577" t="e">
        <f t="shared" si="62"/>
        <v>#VALUE!</v>
      </c>
      <c r="BE51" s="577" t="e">
        <f t="shared" si="62"/>
        <v>#VALUE!</v>
      </c>
      <c r="BF51" s="577" t="e">
        <f t="shared" si="62"/>
        <v>#VALUE!</v>
      </c>
      <c r="BG51" s="577" t="e">
        <f t="shared" si="62"/>
        <v>#VALUE!</v>
      </c>
      <c r="BH51" s="577" t="e">
        <f t="shared" si="62"/>
        <v>#VALUE!</v>
      </c>
      <c r="BI51" s="577" t="e">
        <f t="shared" si="62"/>
        <v>#VALUE!</v>
      </c>
      <c r="BJ51" s="577" t="e">
        <f t="shared" si="62"/>
        <v>#VALUE!</v>
      </c>
      <c r="BK51" s="577" t="e">
        <f t="shared" si="62"/>
        <v>#VALUE!</v>
      </c>
      <c r="BL51" s="577" t="e">
        <f t="shared" si="62"/>
        <v>#VALUE!</v>
      </c>
    </row>
    <row r="52" spans="2:82" s="41" customFormat="1" x14ac:dyDescent="0.35">
      <c r="B52" s="892" t="s">
        <v>848</v>
      </c>
      <c r="C52" s="893"/>
      <c r="D52" s="893"/>
      <c r="E52" s="893">
        <f>E48/E50</f>
        <v>20.177010312868017</v>
      </c>
      <c r="F52" s="893">
        <f t="shared" ref="F52:AZ52" si="63">F48/F50</f>
        <v>144.44708066336514</v>
      </c>
      <c r="G52" s="893">
        <f t="shared" si="63"/>
        <v>117.88215099680338</v>
      </c>
      <c r="H52" s="893">
        <f t="shared" si="63"/>
        <v>109.9356123765873</v>
      </c>
      <c r="I52" s="893">
        <f t="shared" si="63"/>
        <v>101.48254507127518</v>
      </c>
      <c r="J52" s="893">
        <f t="shared" si="63"/>
        <v>148.83107305265193</v>
      </c>
      <c r="K52" s="893">
        <f t="shared" si="63"/>
        <v>166.80053076529873</v>
      </c>
      <c r="L52" s="893">
        <f t="shared" si="63"/>
        <v>125.52345663119746</v>
      </c>
      <c r="M52" s="893">
        <f t="shared" si="63"/>
        <v>65.300481288486182</v>
      </c>
      <c r="N52" s="893">
        <f t="shared" si="63"/>
        <v>76.024701699604677</v>
      </c>
      <c r="O52" s="893">
        <f t="shared" si="63"/>
        <v>83.819504523556233</v>
      </c>
      <c r="P52" s="893">
        <f t="shared" si="63"/>
        <v>202.64740801450844</v>
      </c>
      <c r="Q52" s="893">
        <f t="shared" si="63"/>
        <v>171.97399591195088</v>
      </c>
      <c r="R52" s="893">
        <f t="shared" si="63"/>
        <v>120.80778114497156</v>
      </c>
      <c r="S52" s="893">
        <f t="shared" si="63"/>
        <v>127.2341781720969</v>
      </c>
      <c r="T52" s="893">
        <f t="shared" si="63"/>
        <v>113.12107889581647</v>
      </c>
      <c r="U52" s="893">
        <f t="shared" si="63"/>
        <v>90.144380618697326</v>
      </c>
      <c r="V52" s="893">
        <f t="shared" si="63"/>
        <v>232.74170263661051</v>
      </c>
      <c r="W52" s="893">
        <f t="shared" si="63"/>
        <v>359.17712121116188</v>
      </c>
      <c r="X52" s="893">
        <f t="shared" si="63"/>
        <v>284.74774591321938</v>
      </c>
      <c r="Y52" s="893">
        <f t="shared" si="63"/>
        <v>155.22134641183411</v>
      </c>
      <c r="Z52" s="893">
        <f t="shared" si="63"/>
        <v>269.3899346028561</v>
      </c>
      <c r="AA52" s="893">
        <f t="shared" si="63"/>
        <v>246.68034416507786</v>
      </c>
      <c r="AB52" s="893">
        <f t="shared" si="63"/>
        <v>194.79991307670832</v>
      </c>
      <c r="AC52" s="893">
        <f t="shared" si="63"/>
        <v>176.87518839698762</v>
      </c>
      <c r="AD52" s="893">
        <f t="shared" si="63"/>
        <v>172.5349378881987</v>
      </c>
      <c r="AE52" s="893">
        <f t="shared" si="63"/>
        <v>299.99999999999994</v>
      </c>
      <c r="AF52" s="893">
        <f t="shared" si="63"/>
        <v>262.5</v>
      </c>
      <c r="AG52" s="893">
        <f t="shared" si="63"/>
        <v>262.50000000000006</v>
      </c>
      <c r="AH52" s="893">
        <f t="shared" si="63"/>
        <v>262.5</v>
      </c>
      <c r="AI52" s="893">
        <f t="shared" si="63"/>
        <v>262.5</v>
      </c>
      <c r="AJ52" s="893">
        <f t="shared" si="63"/>
        <v>262.5</v>
      </c>
      <c r="AK52" s="893">
        <f t="shared" si="63"/>
        <v>262.5</v>
      </c>
      <c r="AL52" s="893">
        <f t="shared" si="63"/>
        <v>177.77777777777777</v>
      </c>
      <c r="AM52" s="893">
        <f t="shared" si="63"/>
        <v>177.77777777777777</v>
      </c>
      <c r="AN52" s="893">
        <f t="shared" si="63"/>
        <v>177.77777777777777</v>
      </c>
      <c r="AO52" s="893">
        <f t="shared" si="63"/>
        <v>177.77777777777777</v>
      </c>
      <c r="AP52" s="893">
        <f t="shared" si="63"/>
        <v>177.77777777777777</v>
      </c>
      <c r="AQ52" s="893">
        <f t="shared" si="63"/>
        <v>177.77777777777777</v>
      </c>
      <c r="AR52" s="893">
        <f t="shared" si="63"/>
        <v>177.77777777777777</v>
      </c>
      <c r="AS52" s="893">
        <f t="shared" si="63"/>
        <v>177.77777777777777</v>
      </c>
      <c r="AT52" s="893">
        <f t="shared" si="63"/>
        <v>177.77777777777777</v>
      </c>
      <c r="AU52" s="893">
        <f t="shared" si="63"/>
        <v>177.77777777777777</v>
      </c>
      <c r="AV52" s="893">
        <f t="shared" si="63"/>
        <v>177.77777777777777</v>
      </c>
      <c r="AW52" s="893">
        <f t="shared" si="63"/>
        <v>177.77777777777777</v>
      </c>
      <c r="AX52" s="893">
        <f t="shared" si="63"/>
        <v>177.77777777777777</v>
      </c>
      <c r="AY52" s="893">
        <f t="shared" si="63"/>
        <v>177.77777777777777</v>
      </c>
      <c r="AZ52" s="893">
        <f t="shared" si="63"/>
        <v>177.77777777777777</v>
      </c>
      <c r="BA52" s="893" t="e">
        <f t="shared" ref="BA52:BL52" si="64">BA48/BA50</f>
        <v>#VALUE!</v>
      </c>
      <c r="BB52" s="893" t="e">
        <f t="shared" si="64"/>
        <v>#VALUE!</v>
      </c>
      <c r="BC52" s="893" t="e">
        <f t="shared" si="64"/>
        <v>#VALUE!</v>
      </c>
      <c r="BD52" s="893" t="e">
        <f t="shared" si="64"/>
        <v>#VALUE!</v>
      </c>
      <c r="BE52" s="893" t="e">
        <f t="shared" si="64"/>
        <v>#VALUE!</v>
      </c>
      <c r="BF52" s="893" t="e">
        <f t="shared" si="64"/>
        <v>#VALUE!</v>
      </c>
      <c r="BG52" s="893" t="e">
        <f t="shared" si="64"/>
        <v>#VALUE!</v>
      </c>
      <c r="BH52" s="893" t="e">
        <f t="shared" si="64"/>
        <v>#VALUE!</v>
      </c>
      <c r="BI52" s="893" t="e">
        <f t="shared" si="64"/>
        <v>#VALUE!</v>
      </c>
      <c r="BJ52" s="893" t="e">
        <f t="shared" si="64"/>
        <v>#VALUE!</v>
      </c>
      <c r="BK52" s="893" t="e">
        <f t="shared" si="64"/>
        <v>#VALUE!</v>
      </c>
      <c r="BL52" s="893" t="e">
        <f t="shared" si="64"/>
        <v>#VALUE!</v>
      </c>
    </row>
    <row r="53" spans="2:82" x14ac:dyDescent="0.35">
      <c r="E53" s="158"/>
    </row>
    <row r="55" spans="2:82" x14ac:dyDescent="0.35">
      <c r="B55" s="652" t="s">
        <v>845</v>
      </c>
    </row>
    <row r="56" spans="2:82" x14ac:dyDescent="0.35">
      <c r="B56" s="499" t="s">
        <v>846</v>
      </c>
      <c r="Y56" s="577"/>
      <c r="Z56" s="577"/>
      <c r="AA56" s="577"/>
      <c r="AB56" s="577"/>
      <c r="AC56" s="577"/>
      <c r="AD56" s="577"/>
      <c r="AE56" s="577"/>
      <c r="AF56" s="577"/>
      <c r="AG56" s="577"/>
      <c r="AH56" s="577"/>
      <c r="AI56" s="577"/>
      <c r="AJ56" s="577"/>
      <c r="AK56" s="577"/>
      <c r="AL56" s="577"/>
      <c r="AM56" s="577"/>
      <c r="AN56" s="577"/>
      <c r="AO56" s="577"/>
      <c r="AP56" s="577"/>
      <c r="AQ56" s="577"/>
      <c r="AR56" s="577"/>
      <c r="AS56" s="577"/>
      <c r="AT56" s="577"/>
      <c r="AU56" s="577"/>
      <c r="AV56" s="577"/>
      <c r="AW56" s="577"/>
      <c r="AX56" s="577"/>
      <c r="AY56" s="577"/>
      <c r="AZ56" s="577"/>
      <c r="BA56" s="577"/>
      <c r="BB56" s="577"/>
      <c r="BC56" s="577"/>
      <c r="BD56" s="577"/>
      <c r="BE56" s="577"/>
      <c r="BF56" s="577"/>
      <c r="BG56" s="577"/>
      <c r="BH56" s="577"/>
      <c r="BI56" s="577"/>
      <c r="BJ56" s="577"/>
      <c r="BK56" s="577"/>
      <c r="BL56" s="577"/>
      <c r="BM56" s="577"/>
      <c r="BN56" s="577"/>
      <c r="BO56" s="577"/>
      <c r="BP56" s="577"/>
      <c r="BQ56" s="577"/>
      <c r="BR56" s="577"/>
      <c r="BS56" s="577"/>
      <c r="BT56" s="577"/>
      <c r="BU56" s="577"/>
      <c r="BV56" s="577"/>
      <c r="BW56" s="577"/>
      <c r="BX56" s="577"/>
      <c r="BY56" s="577"/>
      <c r="BZ56" s="577"/>
      <c r="CA56" s="577"/>
      <c r="CB56" s="577"/>
      <c r="CC56" s="577"/>
      <c r="CD56" s="577"/>
    </row>
    <row r="57" spans="2:82" hidden="1" x14ac:dyDescent="0.35">
      <c r="B57" s="50" t="s">
        <v>824</v>
      </c>
      <c r="C57" s="435" t="s">
        <v>391</v>
      </c>
      <c r="D57" s="164" t="s">
        <v>830</v>
      </c>
      <c r="E57" s="653"/>
      <c r="F57" s="653"/>
      <c r="G57" s="653"/>
      <c r="H57" s="653"/>
      <c r="I57" s="653"/>
      <c r="J57" s="653"/>
      <c r="K57" s="653"/>
      <c r="L57" s="653"/>
      <c r="M57" s="653"/>
      <c r="N57" s="653"/>
      <c r="O57" s="653"/>
      <c r="P57" s="653"/>
      <c r="Q57" s="653"/>
      <c r="AB57" s="653"/>
      <c r="AC57" s="653"/>
      <c r="AD57" s="653"/>
      <c r="AE57" s="653"/>
      <c r="AF57" s="653"/>
      <c r="AG57" s="653"/>
      <c r="AH57" s="653"/>
      <c r="AI57" s="653"/>
      <c r="AJ57" s="653"/>
      <c r="AK57" s="653"/>
      <c r="AL57" s="653"/>
      <c r="AM57" s="653"/>
      <c r="AN57" s="653"/>
      <c r="AO57" s="653"/>
      <c r="AP57" s="653"/>
      <c r="AQ57" s="653"/>
      <c r="AR57" s="653"/>
      <c r="AS57" s="653"/>
      <c r="AT57" s="653"/>
      <c r="AU57" s="653"/>
      <c r="AV57" s="653"/>
      <c r="AW57" s="653"/>
      <c r="AX57" s="653"/>
      <c r="AY57" s="653"/>
      <c r="AZ57" s="653"/>
      <c r="BA57" s="653"/>
      <c r="BL57" s="653"/>
      <c r="BM57" s="577"/>
      <c r="BN57" s="577"/>
      <c r="BO57" s="577"/>
      <c r="BP57" s="577"/>
      <c r="BQ57" s="577"/>
      <c r="BR57" s="577"/>
      <c r="BS57" s="577"/>
      <c r="BT57" s="577"/>
      <c r="BU57" s="577"/>
      <c r="BV57" s="577"/>
      <c r="BW57" s="577"/>
      <c r="BX57" s="577"/>
      <c r="BY57" s="577"/>
      <c r="BZ57" s="577"/>
      <c r="CA57" s="577"/>
      <c r="CB57" s="577"/>
      <c r="CC57" s="577"/>
      <c r="CD57" s="577"/>
    </row>
    <row r="58" spans="2:82" hidden="1" x14ac:dyDescent="0.35">
      <c r="B58" s="499"/>
      <c r="C58" s="435" t="s">
        <v>392</v>
      </c>
      <c r="D58" s="164" t="s">
        <v>830</v>
      </c>
      <c r="E58" s="653"/>
      <c r="F58" s="653"/>
      <c r="G58" s="653"/>
      <c r="H58" s="653"/>
      <c r="I58" s="653"/>
      <c r="J58" s="653"/>
      <c r="K58" s="653"/>
      <c r="L58" s="653"/>
      <c r="M58" s="653"/>
      <c r="N58" s="653"/>
      <c r="O58" s="653"/>
      <c r="P58" s="653"/>
      <c r="Q58" s="653"/>
      <c r="AB58" s="653"/>
      <c r="AC58" s="653"/>
      <c r="AD58" s="653"/>
      <c r="AE58" s="653"/>
      <c r="AF58" s="653"/>
      <c r="AG58" s="653"/>
      <c r="AH58" s="653"/>
      <c r="AI58" s="653"/>
      <c r="AJ58" s="653"/>
      <c r="AK58" s="653"/>
      <c r="AL58" s="653"/>
      <c r="AM58" s="653"/>
      <c r="AN58" s="653"/>
      <c r="AO58" s="653"/>
      <c r="AP58" s="653"/>
      <c r="AQ58" s="653"/>
      <c r="AR58" s="653"/>
      <c r="AS58" s="653"/>
      <c r="AT58" s="653"/>
      <c r="AU58" s="653"/>
      <c r="AV58" s="653"/>
      <c r="AW58" s="653"/>
      <c r="AX58" s="653"/>
      <c r="AY58" s="653"/>
      <c r="AZ58" s="653"/>
      <c r="BA58" s="653"/>
      <c r="BL58" s="653"/>
      <c r="BM58" s="577"/>
      <c r="BN58" s="577"/>
      <c r="BO58" s="577"/>
      <c r="BP58" s="577"/>
      <c r="BQ58" s="577"/>
      <c r="BR58" s="577"/>
      <c r="BS58" s="577"/>
      <c r="BT58" s="577"/>
      <c r="BU58" s="577"/>
      <c r="BV58" s="577"/>
      <c r="BW58" s="577"/>
      <c r="BX58" s="577"/>
      <c r="BY58" s="577"/>
      <c r="BZ58" s="577"/>
      <c r="CA58" s="577"/>
      <c r="CB58" s="577"/>
      <c r="CC58" s="577"/>
      <c r="CD58" s="577"/>
    </row>
    <row r="59" spans="2:82" hidden="1" x14ac:dyDescent="0.35">
      <c r="B59" s="499"/>
      <c r="C59" s="435" t="s">
        <v>446</v>
      </c>
      <c r="D59" s="164" t="s">
        <v>830</v>
      </c>
      <c r="E59" s="653"/>
      <c r="F59" s="653"/>
      <c r="G59" s="653"/>
      <c r="H59" s="653"/>
      <c r="I59" s="653"/>
      <c r="J59" s="653"/>
      <c r="K59" s="653"/>
      <c r="L59" s="653"/>
      <c r="M59" s="653"/>
      <c r="N59" s="653"/>
      <c r="O59" s="653"/>
      <c r="P59" s="653"/>
      <c r="Q59" s="653"/>
      <c r="AB59" s="653"/>
      <c r="AC59" s="653"/>
      <c r="AD59" s="653"/>
      <c r="AE59" s="653"/>
      <c r="AF59" s="653"/>
      <c r="AG59" s="653"/>
      <c r="AH59" s="653"/>
      <c r="AI59" s="653"/>
      <c r="AJ59" s="653"/>
      <c r="AK59" s="653"/>
      <c r="AL59" s="653"/>
      <c r="AM59" s="653"/>
      <c r="AN59" s="653"/>
      <c r="AO59" s="653"/>
      <c r="AP59" s="653"/>
      <c r="AQ59" s="653"/>
      <c r="AR59" s="653"/>
      <c r="AS59" s="653"/>
      <c r="AT59" s="653"/>
      <c r="AU59" s="653"/>
      <c r="AV59" s="653"/>
      <c r="AW59" s="653"/>
      <c r="AX59" s="653"/>
      <c r="AY59" s="653"/>
      <c r="AZ59" s="653"/>
      <c r="BA59" s="653"/>
      <c r="BL59" s="653"/>
      <c r="BM59" s="577"/>
      <c r="BN59" s="577"/>
      <c r="BO59" s="577"/>
      <c r="BP59" s="577"/>
      <c r="BQ59" s="577"/>
      <c r="BR59" s="577"/>
      <c r="BS59" s="577"/>
      <c r="BT59" s="577"/>
      <c r="BU59" s="577"/>
      <c r="BV59" s="577"/>
      <c r="BW59" s="577"/>
      <c r="BX59" s="577"/>
      <c r="BY59" s="577"/>
      <c r="BZ59" s="577"/>
      <c r="CA59" s="577"/>
      <c r="CB59" s="577"/>
      <c r="CC59" s="577"/>
      <c r="CD59" s="577"/>
    </row>
    <row r="60" spans="2:82" hidden="1" x14ac:dyDescent="0.35">
      <c r="B60" s="499"/>
      <c r="C60" s="435" t="s">
        <v>455</v>
      </c>
      <c r="D60" s="164" t="s">
        <v>830</v>
      </c>
      <c r="E60" s="653"/>
      <c r="F60" s="653"/>
      <c r="G60" s="653"/>
      <c r="H60" s="653"/>
      <c r="I60" s="653"/>
      <c r="J60" s="653"/>
      <c r="K60" s="653"/>
      <c r="L60" s="653"/>
      <c r="M60" s="653"/>
      <c r="N60" s="653"/>
      <c r="O60" s="653"/>
      <c r="P60" s="653"/>
      <c r="Q60" s="653"/>
      <c r="AB60" s="653"/>
      <c r="AC60" s="653"/>
      <c r="AD60" s="653"/>
      <c r="AE60" s="653"/>
      <c r="AF60" s="653"/>
      <c r="AG60" s="653"/>
      <c r="AH60" s="653"/>
      <c r="AI60" s="653"/>
      <c r="AJ60" s="653"/>
      <c r="AK60" s="653"/>
      <c r="AL60" s="653"/>
      <c r="AM60" s="653"/>
      <c r="AN60" s="653"/>
      <c r="AO60" s="653"/>
      <c r="AP60" s="653"/>
      <c r="AQ60" s="653"/>
      <c r="AR60" s="653"/>
      <c r="AS60" s="653"/>
      <c r="AT60" s="653"/>
      <c r="AU60" s="653"/>
      <c r="AV60" s="653"/>
      <c r="AW60" s="653"/>
      <c r="AX60" s="653"/>
      <c r="AY60" s="653"/>
      <c r="AZ60" s="653"/>
      <c r="BA60" s="653"/>
      <c r="BL60" s="653"/>
      <c r="BM60" s="577"/>
      <c r="BN60" s="577"/>
      <c r="BO60" s="577"/>
      <c r="BP60" s="577"/>
      <c r="BQ60" s="577"/>
      <c r="BR60" s="577"/>
      <c r="BS60" s="577"/>
      <c r="BT60" s="577"/>
      <c r="BU60" s="577"/>
      <c r="BV60" s="577"/>
      <c r="BW60" s="577"/>
      <c r="BX60" s="577"/>
      <c r="BY60" s="577"/>
      <c r="BZ60" s="577"/>
      <c r="CA60" s="577"/>
      <c r="CB60" s="577"/>
      <c r="CC60" s="577"/>
      <c r="CD60" s="577"/>
    </row>
    <row r="61" spans="2:82" hidden="1" x14ac:dyDescent="0.35">
      <c r="B61" s="499"/>
      <c r="C61" s="435" t="s">
        <v>207</v>
      </c>
      <c r="D61" s="164" t="s">
        <v>830</v>
      </c>
      <c r="E61" s="657"/>
      <c r="F61" s="653"/>
      <c r="G61" s="653"/>
      <c r="H61" s="653"/>
      <c r="I61" s="653"/>
      <c r="J61" s="653"/>
      <c r="K61" s="653"/>
      <c r="L61" s="653"/>
      <c r="M61" s="653"/>
      <c r="N61" s="653"/>
      <c r="O61" s="653"/>
      <c r="P61" s="653"/>
      <c r="Q61" s="653"/>
      <c r="AB61" s="657"/>
      <c r="AC61" s="653"/>
      <c r="AD61" s="653"/>
      <c r="AE61" s="653"/>
      <c r="AF61" s="653"/>
      <c r="AG61" s="653"/>
      <c r="AH61" s="653"/>
      <c r="AI61" s="653"/>
      <c r="AJ61" s="653"/>
      <c r="AK61" s="653"/>
      <c r="AL61" s="653"/>
      <c r="AM61" s="653"/>
      <c r="AN61" s="653"/>
      <c r="AO61" s="657"/>
      <c r="AP61" s="653"/>
      <c r="AQ61" s="653"/>
      <c r="AR61" s="653"/>
      <c r="AS61" s="653"/>
      <c r="AT61" s="653"/>
      <c r="AU61" s="653"/>
      <c r="AV61" s="653"/>
      <c r="AW61" s="653"/>
      <c r="AX61" s="653"/>
      <c r="AY61" s="653"/>
      <c r="AZ61" s="653"/>
      <c r="BA61" s="653"/>
      <c r="BL61" s="653"/>
      <c r="BM61" s="577"/>
      <c r="BN61" s="577"/>
      <c r="BO61" s="577"/>
      <c r="BP61" s="577"/>
      <c r="BQ61" s="577"/>
      <c r="BR61" s="577"/>
      <c r="BS61" s="577"/>
      <c r="BT61" s="577"/>
      <c r="BU61" s="577"/>
      <c r="BV61" s="577"/>
      <c r="BW61" s="577"/>
      <c r="BX61" s="577"/>
      <c r="BY61" s="577"/>
      <c r="BZ61" s="577"/>
      <c r="CA61" s="577"/>
      <c r="CB61" s="577"/>
      <c r="CC61" s="577"/>
      <c r="CD61" s="577"/>
    </row>
    <row r="62" spans="2:82" hidden="1" x14ac:dyDescent="0.35">
      <c r="B62" s="499"/>
      <c r="C62" s="435" t="s">
        <v>496</v>
      </c>
      <c r="D62" s="164" t="s">
        <v>830</v>
      </c>
      <c r="E62" s="657"/>
      <c r="F62" s="653"/>
      <c r="G62" s="653"/>
      <c r="H62" s="653"/>
      <c r="I62" s="653"/>
      <c r="J62" s="653"/>
      <c r="K62" s="653"/>
      <c r="L62" s="653"/>
      <c r="M62" s="653"/>
      <c r="N62" s="653"/>
      <c r="O62" s="653"/>
      <c r="P62" s="653"/>
      <c r="Q62" s="653"/>
      <c r="AB62" s="657"/>
      <c r="AC62" s="653"/>
      <c r="AD62" s="653"/>
      <c r="AE62" s="653"/>
      <c r="AF62" s="653"/>
      <c r="AG62" s="653"/>
      <c r="AH62" s="653"/>
      <c r="AI62" s="653"/>
      <c r="AJ62" s="653"/>
      <c r="AK62" s="653"/>
      <c r="AL62" s="653"/>
      <c r="AM62" s="653"/>
      <c r="AN62" s="653"/>
      <c r="AO62" s="657"/>
      <c r="AP62" s="653"/>
      <c r="AQ62" s="653"/>
      <c r="AR62" s="653"/>
      <c r="AS62" s="653"/>
      <c r="AT62" s="653"/>
      <c r="AU62" s="653"/>
      <c r="AV62" s="653"/>
      <c r="AW62" s="653"/>
      <c r="AX62" s="653"/>
      <c r="AY62" s="653"/>
      <c r="AZ62" s="653"/>
      <c r="BA62" s="653"/>
      <c r="BL62" s="653"/>
      <c r="BM62" s="577"/>
      <c r="BN62" s="577"/>
      <c r="BO62" s="577"/>
      <c r="BP62" s="577"/>
      <c r="BQ62" s="577"/>
      <c r="BR62" s="577"/>
      <c r="BS62" s="577"/>
      <c r="BT62" s="577"/>
      <c r="BU62" s="577"/>
      <c r="BV62" s="577"/>
      <c r="BW62" s="577"/>
      <c r="BX62" s="577"/>
      <c r="BY62" s="577"/>
      <c r="BZ62" s="577"/>
      <c r="CA62" s="577"/>
      <c r="CB62" s="577"/>
      <c r="CC62" s="577"/>
      <c r="CD62" s="577"/>
    </row>
    <row r="63" spans="2:82" hidden="1" x14ac:dyDescent="0.35">
      <c r="B63" s="50" t="s">
        <v>825</v>
      </c>
      <c r="C63" s="435" t="s">
        <v>391</v>
      </c>
      <c r="D63" s="164" t="s">
        <v>835</v>
      </c>
      <c r="E63" s="657"/>
      <c r="F63" s="653"/>
      <c r="G63" s="653"/>
      <c r="H63" s="653"/>
      <c r="I63" s="653"/>
      <c r="J63" s="653"/>
      <c r="K63" s="653"/>
      <c r="L63" s="653"/>
      <c r="M63" s="653"/>
      <c r="N63" s="653"/>
      <c r="O63" s="653"/>
      <c r="P63" s="653"/>
      <c r="Q63" s="653"/>
      <c r="AB63" s="657"/>
      <c r="AC63" s="653"/>
      <c r="AD63" s="653"/>
      <c r="AE63" s="653"/>
      <c r="AF63" s="653"/>
      <c r="AG63" s="653"/>
      <c r="AH63" s="653"/>
      <c r="AI63" s="653"/>
      <c r="AJ63" s="653"/>
      <c r="AK63" s="653"/>
      <c r="AL63" s="653"/>
      <c r="AM63" s="653"/>
      <c r="AN63" s="653"/>
      <c r="AO63" s="657"/>
      <c r="AP63" s="653"/>
      <c r="AQ63" s="653"/>
      <c r="AR63" s="653"/>
      <c r="AS63" s="653"/>
      <c r="AT63" s="653"/>
      <c r="AU63" s="653"/>
      <c r="AV63" s="653"/>
      <c r="AW63" s="653"/>
      <c r="AX63" s="653"/>
      <c r="AY63" s="653"/>
      <c r="AZ63" s="653"/>
      <c r="BA63" s="653"/>
      <c r="BL63" s="653"/>
      <c r="BM63" s="577"/>
      <c r="BN63" s="577"/>
      <c r="BO63" s="577"/>
      <c r="BP63" s="577"/>
      <c r="BQ63" s="577"/>
      <c r="BR63" s="577"/>
      <c r="BS63" s="577"/>
      <c r="BT63" s="577"/>
      <c r="BU63" s="577"/>
      <c r="BV63" s="577"/>
      <c r="BW63" s="577"/>
      <c r="BX63" s="577"/>
      <c r="BY63" s="577"/>
      <c r="BZ63" s="577"/>
      <c r="CA63" s="577"/>
      <c r="CB63" s="577"/>
      <c r="CC63" s="577"/>
      <c r="CD63" s="577"/>
    </row>
    <row r="64" spans="2:82" hidden="1" x14ac:dyDescent="0.35">
      <c r="B64" s="499"/>
      <c r="C64" s="435" t="s">
        <v>392</v>
      </c>
      <c r="D64" s="164" t="s">
        <v>835</v>
      </c>
      <c r="E64" s="657"/>
      <c r="F64" s="653"/>
      <c r="G64" s="653"/>
      <c r="H64" s="653"/>
      <c r="I64" s="653"/>
      <c r="J64" s="653"/>
      <c r="K64" s="653"/>
      <c r="L64" s="653"/>
      <c r="M64" s="653"/>
      <c r="N64" s="653"/>
      <c r="O64" s="653"/>
      <c r="P64" s="653"/>
      <c r="Q64" s="653"/>
      <c r="AB64" s="657"/>
      <c r="AC64" s="653"/>
      <c r="AD64" s="653"/>
      <c r="AE64" s="653"/>
      <c r="AF64" s="653"/>
      <c r="AG64" s="653"/>
      <c r="AH64" s="653"/>
      <c r="AI64" s="653"/>
      <c r="AJ64" s="653"/>
      <c r="AK64" s="653"/>
      <c r="AL64" s="653"/>
      <c r="AM64" s="653"/>
      <c r="AN64" s="653"/>
      <c r="AO64" s="657"/>
      <c r="AP64" s="653"/>
      <c r="AQ64" s="653"/>
      <c r="AR64" s="653"/>
      <c r="AS64" s="653"/>
      <c r="AT64" s="653"/>
      <c r="AU64" s="653"/>
      <c r="AV64" s="653"/>
      <c r="AW64" s="653"/>
      <c r="AX64" s="653"/>
      <c r="AY64" s="653"/>
      <c r="AZ64" s="653"/>
      <c r="BA64" s="653"/>
      <c r="BL64" s="653"/>
      <c r="BM64" s="577"/>
      <c r="BN64" s="577"/>
      <c r="BO64" s="577"/>
      <c r="BP64" s="577"/>
      <c r="BQ64" s="577"/>
      <c r="BR64" s="577"/>
      <c r="BS64" s="577"/>
      <c r="BT64" s="577"/>
      <c r="BU64" s="577"/>
      <c r="BV64" s="577"/>
      <c r="BW64" s="577"/>
      <c r="BX64" s="577"/>
      <c r="BY64" s="577"/>
      <c r="BZ64" s="577"/>
      <c r="CA64" s="577"/>
      <c r="CB64" s="577"/>
      <c r="CC64" s="577"/>
      <c r="CD64" s="577"/>
    </row>
    <row r="65" spans="2:82" hidden="1" x14ac:dyDescent="0.35">
      <c r="B65" s="499"/>
      <c r="C65" s="435" t="s">
        <v>446</v>
      </c>
      <c r="D65" s="164" t="s">
        <v>835</v>
      </c>
      <c r="E65" s="657"/>
      <c r="F65" s="653"/>
      <c r="G65" s="653"/>
      <c r="H65" s="653"/>
      <c r="I65" s="653"/>
      <c r="J65" s="653"/>
      <c r="K65" s="653"/>
      <c r="L65" s="653"/>
      <c r="M65" s="653"/>
      <c r="N65" s="653"/>
      <c r="O65" s="653"/>
      <c r="P65" s="653"/>
      <c r="Q65" s="653"/>
      <c r="AB65" s="657"/>
      <c r="AC65" s="653"/>
      <c r="AD65" s="653"/>
      <c r="AE65" s="653"/>
      <c r="AF65" s="653"/>
      <c r="AG65" s="653"/>
      <c r="AH65" s="653"/>
      <c r="AI65" s="653"/>
      <c r="AJ65" s="653"/>
      <c r="AK65" s="653"/>
      <c r="AL65" s="653"/>
      <c r="AM65" s="653"/>
      <c r="AN65" s="653"/>
      <c r="AO65" s="657"/>
      <c r="AP65" s="653"/>
      <c r="AQ65" s="653"/>
      <c r="AR65" s="653"/>
      <c r="AS65" s="653"/>
      <c r="AT65" s="653"/>
      <c r="AU65" s="653"/>
      <c r="AV65" s="653"/>
      <c r="AW65" s="653"/>
      <c r="AX65" s="653"/>
      <c r="AY65" s="653"/>
      <c r="AZ65" s="653"/>
      <c r="BA65" s="653"/>
      <c r="BL65" s="653"/>
      <c r="BM65" s="577"/>
      <c r="BN65" s="577"/>
      <c r="BO65" s="577"/>
      <c r="BP65" s="577"/>
      <c r="BQ65" s="577"/>
      <c r="BR65" s="577"/>
      <c r="BS65" s="577"/>
      <c r="BT65" s="577"/>
      <c r="BU65" s="577"/>
      <c r="BV65" s="577"/>
      <c r="BW65" s="577"/>
      <c r="BX65" s="577"/>
      <c r="BY65" s="577"/>
      <c r="BZ65" s="577"/>
      <c r="CA65" s="577"/>
      <c r="CB65" s="577"/>
      <c r="CC65" s="577"/>
      <c r="CD65" s="577"/>
    </row>
    <row r="66" spans="2:82" hidden="1" x14ac:dyDescent="0.35">
      <c r="B66" s="499"/>
      <c r="C66" s="435" t="s">
        <v>455</v>
      </c>
      <c r="D66" s="164" t="s">
        <v>835</v>
      </c>
      <c r="E66" s="657"/>
      <c r="F66" s="653"/>
      <c r="G66" s="653"/>
      <c r="H66" s="653"/>
      <c r="I66" s="653"/>
      <c r="J66" s="653"/>
      <c r="K66" s="653"/>
      <c r="L66" s="653"/>
      <c r="M66" s="653"/>
      <c r="N66" s="653"/>
      <c r="O66" s="653"/>
      <c r="P66" s="653"/>
      <c r="Q66" s="653"/>
      <c r="AB66" s="657"/>
      <c r="AC66" s="653"/>
      <c r="AD66" s="653"/>
      <c r="AE66" s="653"/>
      <c r="AF66" s="653"/>
      <c r="AG66" s="653"/>
      <c r="AH66" s="653"/>
      <c r="AI66" s="653"/>
      <c r="AJ66" s="653"/>
      <c r="AK66" s="653"/>
      <c r="AL66" s="653"/>
      <c r="AM66" s="653"/>
      <c r="AN66" s="653"/>
      <c r="AO66" s="657"/>
      <c r="AP66" s="653"/>
      <c r="AQ66" s="653"/>
      <c r="AR66" s="653"/>
      <c r="AS66" s="653"/>
      <c r="AT66" s="653"/>
      <c r="AU66" s="653"/>
      <c r="AV66" s="653"/>
      <c r="AW66" s="653"/>
      <c r="AX66" s="653"/>
      <c r="AY66" s="653"/>
      <c r="AZ66" s="653"/>
      <c r="BA66" s="653"/>
      <c r="BL66" s="653"/>
      <c r="BM66" s="577"/>
      <c r="BN66" s="577"/>
      <c r="BO66" s="577"/>
      <c r="BP66" s="577"/>
      <c r="BQ66" s="577"/>
      <c r="BR66" s="577"/>
      <c r="BS66" s="577"/>
      <c r="BT66" s="577"/>
      <c r="BU66" s="577"/>
      <c r="BV66" s="577"/>
      <c r="BW66" s="577"/>
      <c r="BX66" s="577"/>
      <c r="BY66" s="577"/>
      <c r="BZ66" s="577"/>
      <c r="CA66" s="577"/>
      <c r="CB66" s="577"/>
      <c r="CC66" s="577"/>
      <c r="CD66" s="577"/>
    </row>
    <row r="67" spans="2:82" hidden="1" x14ac:dyDescent="0.35">
      <c r="B67" s="499"/>
      <c r="C67" s="435" t="s">
        <v>207</v>
      </c>
      <c r="D67" s="164" t="s">
        <v>835</v>
      </c>
      <c r="E67" s="657"/>
      <c r="F67" s="653"/>
      <c r="G67" s="653"/>
      <c r="H67" s="653"/>
      <c r="I67" s="653"/>
      <c r="J67" s="653"/>
      <c r="K67" s="653"/>
      <c r="L67" s="653"/>
      <c r="M67" s="653"/>
      <c r="N67" s="653"/>
      <c r="O67" s="653"/>
      <c r="P67" s="653"/>
      <c r="Q67" s="653"/>
      <c r="AB67" s="657"/>
      <c r="AC67" s="653"/>
      <c r="AD67" s="653"/>
      <c r="AE67" s="653"/>
      <c r="AF67" s="653"/>
      <c r="AG67" s="653"/>
      <c r="AH67" s="653"/>
      <c r="AI67" s="653"/>
      <c r="AJ67" s="653"/>
      <c r="AK67" s="653"/>
      <c r="AL67" s="653"/>
      <c r="AM67" s="653"/>
      <c r="AN67" s="653"/>
      <c r="AO67" s="657"/>
      <c r="AP67" s="653"/>
      <c r="AQ67" s="653"/>
      <c r="AR67" s="653"/>
      <c r="AS67" s="653"/>
      <c r="AT67" s="653"/>
      <c r="AU67" s="653"/>
      <c r="AV67" s="653"/>
      <c r="AW67" s="653"/>
      <c r="AX67" s="653"/>
      <c r="AY67" s="653"/>
      <c r="AZ67" s="653"/>
      <c r="BA67" s="653"/>
      <c r="BL67" s="653"/>
      <c r="BM67" s="577"/>
      <c r="BN67" s="577"/>
      <c r="BO67" s="577"/>
      <c r="BP67" s="577"/>
      <c r="BQ67" s="577"/>
      <c r="BR67" s="577"/>
      <c r="BS67" s="577"/>
      <c r="BT67" s="577"/>
      <c r="BU67" s="577"/>
      <c r="BV67" s="577"/>
      <c r="BW67" s="577"/>
      <c r="BX67" s="577"/>
      <c r="BY67" s="577"/>
      <c r="BZ67" s="577"/>
      <c r="CA67" s="577"/>
      <c r="CB67" s="577"/>
      <c r="CC67" s="577"/>
      <c r="CD67" s="577"/>
    </row>
    <row r="68" spans="2:82" hidden="1" x14ac:dyDescent="0.35">
      <c r="B68" s="499"/>
      <c r="C68" s="435" t="s">
        <v>496</v>
      </c>
      <c r="D68" s="164" t="s">
        <v>835</v>
      </c>
      <c r="E68" s="657"/>
      <c r="F68" s="653"/>
      <c r="G68" s="653"/>
      <c r="H68" s="653"/>
      <c r="I68" s="653"/>
      <c r="J68" s="653"/>
      <c r="K68" s="653"/>
      <c r="L68" s="653"/>
      <c r="M68" s="653"/>
      <c r="N68" s="653"/>
      <c r="O68" s="653"/>
      <c r="P68" s="653"/>
      <c r="Q68" s="653"/>
      <c r="AB68" s="657"/>
      <c r="AC68" s="653"/>
      <c r="AD68" s="653"/>
      <c r="AE68" s="653"/>
      <c r="AF68" s="653"/>
      <c r="AG68" s="653"/>
      <c r="AH68" s="653"/>
      <c r="AI68" s="653"/>
      <c r="AJ68" s="653"/>
      <c r="AK68" s="653"/>
      <c r="AL68" s="653"/>
      <c r="AM68" s="653"/>
      <c r="AN68" s="653"/>
      <c r="AO68" s="657"/>
      <c r="AP68" s="653"/>
      <c r="AQ68" s="653"/>
      <c r="AR68" s="653"/>
      <c r="AS68" s="653"/>
      <c r="AT68" s="653"/>
      <c r="AU68" s="653"/>
      <c r="AV68" s="653"/>
      <c r="AW68" s="653"/>
      <c r="AX68" s="653"/>
      <c r="AY68" s="653"/>
      <c r="AZ68" s="653"/>
      <c r="BA68" s="653"/>
      <c r="BL68" s="653"/>
      <c r="BM68" s="577"/>
      <c r="BN68" s="577"/>
      <c r="BO68" s="577"/>
      <c r="BP68" s="577"/>
      <c r="BQ68" s="577"/>
      <c r="BR68" s="577"/>
      <c r="BS68" s="577"/>
      <c r="BT68" s="577"/>
      <c r="BU68" s="577"/>
      <c r="BV68" s="577"/>
      <c r="BW68" s="577"/>
      <c r="BX68" s="577"/>
      <c r="BY68" s="577"/>
      <c r="BZ68" s="577"/>
      <c r="CA68" s="577"/>
      <c r="CB68" s="577"/>
      <c r="CC68" s="577"/>
      <c r="CD68" s="577"/>
    </row>
    <row r="69" spans="2:82" hidden="1" x14ac:dyDescent="0.35">
      <c r="B69" s="50" t="s">
        <v>826</v>
      </c>
      <c r="C69" s="435" t="s">
        <v>391</v>
      </c>
      <c r="D69" s="164" t="s">
        <v>838</v>
      </c>
      <c r="E69" s="657"/>
      <c r="F69" s="653"/>
      <c r="G69" s="653"/>
      <c r="H69" s="653"/>
      <c r="I69" s="653"/>
      <c r="J69" s="653"/>
      <c r="K69" s="653"/>
      <c r="L69" s="653"/>
      <c r="M69" s="653"/>
      <c r="N69" s="653"/>
      <c r="O69" s="653"/>
      <c r="P69" s="653"/>
      <c r="Q69" s="653"/>
      <c r="AB69" s="657"/>
      <c r="AC69" s="653"/>
      <c r="AD69" s="653"/>
      <c r="AE69" s="653"/>
      <c r="AF69" s="653"/>
      <c r="AG69" s="653"/>
      <c r="AH69" s="653"/>
      <c r="AI69" s="653"/>
      <c r="AJ69" s="653"/>
      <c r="AK69" s="653"/>
      <c r="AL69" s="653"/>
      <c r="AM69" s="653"/>
      <c r="AN69" s="653"/>
      <c r="AO69" s="657"/>
      <c r="AP69" s="653"/>
      <c r="AQ69" s="653"/>
      <c r="AR69" s="653"/>
      <c r="AS69" s="653"/>
      <c r="AT69" s="653"/>
      <c r="AU69" s="653"/>
      <c r="AV69" s="653"/>
      <c r="AW69" s="653"/>
      <c r="AX69" s="653"/>
      <c r="AY69" s="653"/>
      <c r="AZ69" s="653"/>
      <c r="BA69" s="653"/>
      <c r="BL69" s="653"/>
      <c r="BM69" s="577"/>
      <c r="BN69" s="577"/>
      <c r="BO69" s="577"/>
      <c r="BP69" s="577"/>
      <c r="BQ69" s="577"/>
      <c r="BR69" s="577"/>
      <c r="BS69" s="577"/>
      <c r="BT69" s="577"/>
      <c r="BU69" s="577"/>
      <c r="BV69" s="577"/>
      <c r="BW69" s="577"/>
      <c r="BX69" s="577"/>
      <c r="BY69" s="577"/>
      <c r="BZ69" s="577"/>
      <c r="CA69" s="577"/>
      <c r="CB69" s="577"/>
      <c r="CC69" s="577"/>
      <c r="CD69" s="577"/>
    </row>
    <row r="70" spans="2:82" hidden="1" x14ac:dyDescent="0.35">
      <c r="B70" s="499"/>
      <c r="C70" s="435" t="s">
        <v>392</v>
      </c>
      <c r="D70" s="164" t="s">
        <v>838</v>
      </c>
      <c r="E70" s="657"/>
      <c r="F70" s="653"/>
      <c r="G70" s="653"/>
      <c r="H70" s="653"/>
      <c r="I70" s="653"/>
      <c r="J70" s="653"/>
      <c r="K70" s="653"/>
      <c r="L70" s="653"/>
      <c r="M70" s="653"/>
      <c r="N70" s="653"/>
      <c r="O70" s="653"/>
      <c r="P70" s="653"/>
      <c r="Q70" s="653"/>
      <c r="AB70" s="657"/>
      <c r="AC70" s="653"/>
      <c r="AD70" s="653"/>
      <c r="AE70" s="653"/>
      <c r="AF70" s="653"/>
      <c r="AG70" s="653"/>
      <c r="AH70" s="653"/>
      <c r="AI70" s="653"/>
      <c r="AJ70" s="653"/>
      <c r="AK70" s="653"/>
      <c r="AL70" s="653"/>
      <c r="AM70" s="653"/>
      <c r="AN70" s="653"/>
      <c r="AO70" s="657"/>
      <c r="AP70" s="653"/>
      <c r="AQ70" s="653"/>
      <c r="AR70" s="653"/>
      <c r="AS70" s="653"/>
      <c r="AT70" s="653"/>
      <c r="AU70" s="653"/>
      <c r="AV70" s="653"/>
      <c r="AW70" s="653"/>
      <c r="AX70" s="653"/>
      <c r="AY70" s="653"/>
      <c r="AZ70" s="653"/>
      <c r="BA70" s="653"/>
      <c r="BL70" s="653"/>
      <c r="BM70" s="577"/>
      <c r="BN70" s="577"/>
      <c r="BO70" s="577"/>
      <c r="BP70" s="577"/>
      <c r="BQ70" s="577"/>
      <c r="BR70" s="577"/>
      <c r="BS70" s="577"/>
      <c r="BT70" s="577"/>
      <c r="BU70" s="577"/>
      <c r="BV70" s="577"/>
      <c r="BW70" s="577"/>
      <c r="BX70" s="577"/>
      <c r="BY70" s="577"/>
      <c r="BZ70" s="577"/>
      <c r="CA70" s="577"/>
      <c r="CB70" s="577"/>
      <c r="CC70" s="577"/>
      <c r="CD70" s="577"/>
    </row>
    <row r="71" spans="2:82" hidden="1" x14ac:dyDescent="0.35">
      <c r="B71" s="499"/>
      <c r="C71" s="435" t="s">
        <v>446</v>
      </c>
      <c r="D71" s="164" t="s">
        <v>838</v>
      </c>
      <c r="E71" s="657"/>
      <c r="F71" s="653"/>
      <c r="G71" s="653"/>
      <c r="H71" s="653"/>
      <c r="I71" s="653"/>
      <c r="J71" s="653"/>
      <c r="K71" s="653"/>
      <c r="L71" s="653"/>
      <c r="M71" s="653"/>
      <c r="N71" s="653"/>
      <c r="O71" s="653"/>
      <c r="P71" s="653"/>
      <c r="Q71" s="653"/>
      <c r="AB71" s="657"/>
      <c r="AC71" s="653"/>
      <c r="AD71" s="653"/>
      <c r="AE71" s="653"/>
      <c r="AF71" s="653"/>
      <c r="AG71" s="653"/>
      <c r="AH71" s="653"/>
      <c r="AI71" s="653"/>
      <c r="AJ71" s="653"/>
      <c r="AK71" s="653"/>
      <c r="AL71" s="653"/>
      <c r="AM71" s="653"/>
      <c r="AN71" s="653"/>
      <c r="AO71" s="657"/>
      <c r="AP71" s="653"/>
      <c r="AQ71" s="653"/>
      <c r="AR71" s="653"/>
      <c r="AS71" s="653"/>
      <c r="AT71" s="653"/>
      <c r="AU71" s="653"/>
      <c r="AV71" s="653"/>
      <c r="AW71" s="653"/>
      <c r="AX71" s="653"/>
      <c r="AY71" s="653"/>
      <c r="AZ71" s="653"/>
      <c r="BA71" s="653"/>
      <c r="BL71" s="653"/>
      <c r="BM71" s="577"/>
      <c r="BN71" s="577"/>
      <c r="BO71" s="577"/>
      <c r="BP71" s="577"/>
      <c r="BQ71" s="577"/>
      <c r="BR71" s="577"/>
      <c r="BS71" s="577"/>
      <c r="BT71" s="577"/>
      <c r="BU71" s="577"/>
      <c r="BV71" s="577"/>
      <c r="BW71" s="577"/>
      <c r="BX71" s="577"/>
      <c r="BY71" s="577"/>
      <c r="BZ71" s="577"/>
      <c r="CA71" s="577"/>
      <c r="CB71" s="577"/>
      <c r="CC71" s="577"/>
      <c r="CD71" s="577"/>
    </row>
    <row r="72" spans="2:82" hidden="1" x14ac:dyDescent="0.35">
      <c r="B72" s="499"/>
      <c r="C72" s="435" t="s">
        <v>455</v>
      </c>
      <c r="D72" s="164" t="s">
        <v>838</v>
      </c>
      <c r="E72" s="657"/>
      <c r="F72" s="653"/>
      <c r="G72" s="653"/>
      <c r="H72" s="653"/>
      <c r="I72" s="653"/>
      <c r="J72" s="653"/>
      <c r="K72" s="653"/>
      <c r="L72" s="653"/>
      <c r="M72" s="653"/>
      <c r="N72" s="653"/>
      <c r="O72" s="653"/>
      <c r="P72" s="653"/>
      <c r="Q72" s="653"/>
      <c r="AB72" s="657"/>
      <c r="AC72" s="653"/>
      <c r="AD72" s="653"/>
      <c r="AE72" s="653"/>
      <c r="AF72" s="653"/>
      <c r="AG72" s="653"/>
      <c r="AH72" s="653"/>
      <c r="AI72" s="653"/>
      <c r="AJ72" s="653"/>
      <c r="AK72" s="653"/>
      <c r="AL72" s="653"/>
      <c r="AM72" s="653"/>
      <c r="AN72" s="653"/>
      <c r="AO72" s="657"/>
      <c r="AP72" s="653"/>
      <c r="AQ72" s="653"/>
      <c r="AR72" s="653"/>
      <c r="AS72" s="653"/>
      <c r="AT72" s="653"/>
      <c r="AU72" s="653"/>
      <c r="AV72" s="653"/>
      <c r="AW72" s="653"/>
      <c r="AX72" s="653"/>
      <c r="AY72" s="653"/>
      <c r="AZ72" s="653"/>
      <c r="BA72" s="653"/>
      <c r="BL72" s="653"/>
      <c r="BM72" s="577"/>
      <c r="BN72" s="577"/>
      <c r="BO72" s="577"/>
      <c r="BP72" s="577"/>
      <c r="BQ72" s="577"/>
      <c r="BR72" s="577"/>
      <c r="BS72" s="577"/>
      <c r="BT72" s="577"/>
      <c r="BU72" s="577"/>
      <c r="BV72" s="577"/>
      <c r="BW72" s="577"/>
      <c r="BX72" s="577"/>
      <c r="BY72" s="577"/>
      <c r="BZ72" s="577"/>
      <c r="CA72" s="577"/>
      <c r="CB72" s="577"/>
      <c r="CC72" s="577"/>
      <c r="CD72" s="577"/>
    </row>
    <row r="73" spans="2:82" hidden="1" x14ac:dyDescent="0.35">
      <c r="B73" s="499"/>
      <c r="C73" s="435" t="s">
        <v>207</v>
      </c>
      <c r="D73" s="164" t="s">
        <v>838</v>
      </c>
      <c r="E73" s="657"/>
      <c r="F73" s="653"/>
      <c r="G73" s="653"/>
      <c r="H73" s="653"/>
      <c r="I73" s="653"/>
      <c r="J73" s="653"/>
      <c r="K73" s="653"/>
      <c r="L73" s="653"/>
      <c r="M73" s="653"/>
      <c r="N73" s="653"/>
      <c r="O73" s="653"/>
      <c r="P73" s="653"/>
      <c r="Q73" s="653"/>
      <c r="AB73" s="657"/>
      <c r="AC73" s="653"/>
      <c r="AD73" s="653"/>
      <c r="AE73" s="653"/>
      <c r="AF73" s="653"/>
      <c r="AG73" s="653"/>
      <c r="AH73" s="653"/>
      <c r="AI73" s="653"/>
      <c r="AJ73" s="653"/>
      <c r="AK73" s="653"/>
      <c r="AL73" s="653"/>
      <c r="AM73" s="653"/>
      <c r="AN73" s="653"/>
      <c r="AO73" s="657"/>
      <c r="AP73" s="653"/>
      <c r="AQ73" s="653"/>
      <c r="AR73" s="653"/>
      <c r="AS73" s="653"/>
      <c r="AT73" s="653"/>
      <c r="AU73" s="653"/>
      <c r="AV73" s="653"/>
      <c r="AW73" s="653"/>
      <c r="AX73" s="653"/>
      <c r="AY73" s="653"/>
      <c r="AZ73" s="653"/>
      <c r="BA73" s="653"/>
      <c r="BL73" s="653"/>
      <c r="BM73" s="577"/>
      <c r="BN73" s="577"/>
      <c r="BO73" s="577"/>
      <c r="BP73" s="577"/>
      <c r="BQ73" s="577"/>
      <c r="BR73" s="577"/>
      <c r="BS73" s="577"/>
      <c r="BT73" s="577"/>
      <c r="BU73" s="577"/>
      <c r="BV73" s="577"/>
      <c r="BW73" s="577"/>
      <c r="BX73" s="577"/>
      <c r="BY73" s="577"/>
      <c r="BZ73" s="577"/>
      <c r="CA73" s="577"/>
      <c r="CB73" s="577"/>
      <c r="CC73" s="577"/>
      <c r="CD73" s="577"/>
    </row>
    <row r="74" spans="2:82" hidden="1" x14ac:dyDescent="0.35">
      <c r="B74" s="499"/>
      <c r="C74" s="435" t="s">
        <v>496</v>
      </c>
      <c r="D74" s="164" t="s">
        <v>838</v>
      </c>
      <c r="E74" s="657"/>
      <c r="F74" s="653"/>
      <c r="G74" s="653"/>
      <c r="H74" s="653"/>
      <c r="I74" s="653"/>
      <c r="J74" s="653"/>
      <c r="K74" s="653"/>
      <c r="L74" s="653"/>
      <c r="M74" s="653"/>
      <c r="N74" s="653"/>
      <c r="O74" s="653"/>
      <c r="P74" s="653"/>
      <c r="Q74" s="653"/>
      <c r="AB74" s="657"/>
      <c r="AC74" s="653"/>
      <c r="AD74" s="653"/>
      <c r="AE74" s="653"/>
      <c r="AF74" s="653"/>
      <c r="AG74" s="653"/>
      <c r="AH74" s="653"/>
      <c r="AI74" s="653"/>
      <c r="AJ74" s="653"/>
      <c r="AK74" s="653"/>
      <c r="AL74" s="653"/>
      <c r="AM74" s="653"/>
      <c r="AN74" s="653"/>
      <c r="AO74" s="657"/>
      <c r="AP74" s="653"/>
      <c r="AQ74" s="653"/>
      <c r="AR74" s="653"/>
      <c r="AS74" s="653"/>
      <c r="AT74" s="653"/>
      <c r="AU74" s="653"/>
      <c r="AV74" s="653"/>
      <c r="AW74" s="653"/>
      <c r="AX74" s="653"/>
      <c r="AY74" s="653"/>
      <c r="AZ74" s="653"/>
      <c r="BA74" s="653"/>
      <c r="BL74" s="653"/>
      <c r="BM74" s="577"/>
      <c r="BN74" s="577"/>
      <c r="BO74" s="577"/>
      <c r="BP74" s="577"/>
      <c r="BQ74" s="577"/>
      <c r="BR74" s="577"/>
      <c r="BS74" s="577"/>
      <c r="BT74" s="577"/>
      <c r="BU74" s="577"/>
      <c r="BV74" s="577"/>
      <c r="BW74" s="577"/>
      <c r="BX74" s="577"/>
      <c r="BY74" s="577"/>
      <c r="BZ74" s="577"/>
      <c r="CA74" s="577"/>
      <c r="CB74" s="577"/>
      <c r="CC74" s="577"/>
      <c r="CD74" s="577"/>
    </row>
    <row r="75" spans="2:82" x14ac:dyDescent="0.35">
      <c r="B75" s="50" t="s">
        <v>49</v>
      </c>
      <c r="C75" s="435" t="s">
        <v>391</v>
      </c>
      <c r="D75" s="164" t="s">
        <v>842</v>
      </c>
      <c r="E75" s="577">
        <v>4061</v>
      </c>
      <c r="F75" s="577">
        <v>4144</v>
      </c>
      <c r="G75" s="577">
        <v>4327</v>
      </c>
      <c r="H75" s="577">
        <v>4059</v>
      </c>
      <c r="I75" s="577">
        <v>4568</v>
      </c>
      <c r="J75" s="577">
        <v>4137</v>
      </c>
      <c r="K75" s="577">
        <v>3933</v>
      </c>
      <c r="L75" s="577">
        <v>4126</v>
      </c>
      <c r="M75" s="577">
        <v>5710</v>
      </c>
      <c r="N75" s="577">
        <v>6624</v>
      </c>
      <c r="O75" s="577">
        <v>5638</v>
      </c>
      <c r="P75" s="577">
        <v>4848</v>
      </c>
      <c r="Q75" s="577">
        <v>6501</v>
      </c>
      <c r="R75" s="577">
        <v>12994</v>
      </c>
      <c r="S75" s="577">
        <v>7027</v>
      </c>
      <c r="T75" s="577">
        <v>6735</v>
      </c>
      <c r="U75" s="577">
        <v>7069</v>
      </c>
      <c r="V75" s="577">
        <v>6622</v>
      </c>
      <c r="W75" s="577">
        <v>8260</v>
      </c>
      <c r="X75" s="577">
        <v>8889</v>
      </c>
      <c r="Y75" s="577"/>
      <c r="Z75" s="577"/>
      <c r="AA75" s="577"/>
      <c r="AB75" s="577"/>
      <c r="AC75" s="577"/>
      <c r="AD75" s="577"/>
      <c r="AE75" s="577"/>
      <c r="AF75" s="577"/>
      <c r="AG75" s="577"/>
      <c r="AH75" s="577"/>
      <c r="AI75" s="577"/>
      <c r="AJ75" s="577"/>
      <c r="AK75" s="577"/>
      <c r="AL75" s="577"/>
      <c r="AM75" s="577"/>
      <c r="AN75" s="577"/>
      <c r="AO75" s="577"/>
      <c r="AP75" s="577"/>
      <c r="AQ75" s="577"/>
      <c r="AR75" s="577"/>
      <c r="AS75" s="577"/>
      <c r="AT75" s="577"/>
      <c r="AU75" s="577"/>
      <c r="AV75" s="577"/>
      <c r="AW75" s="577"/>
      <c r="AX75" s="577"/>
      <c r="AY75" s="577"/>
      <c r="AZ75" s="577"/>
      <c r="BA75" s="577"/>
      <c r="BB75" s="577"/>
      <c r="BC75" s="577"/>
      <c r="BD75" s="577"/>
      <c r="BE75" s="577"/>
      <c r="BF75" s="577"/>
      <c r="BG75" s="577"/>
      <c r="BH75" s="577"/>
      <c r="BI75" s="577"/>
      <c r="BJ75" s="577"/>
      <c r="BK75" s="577"/>
      <c r="BL75" s="577"/>
      <c r="BM75" s="577"/>
      <c r="BN75" s="577"/>
      <c r="BO75" s="577"/>
      <c r="BP75" s="577"/>
      <c r="BQ75" s="577"/>
      <c r="BR75" s="577"/>
      <c r="BS75" s="577"/>
      <c r="BT75" s="577"/>
      <c r="BU75" s="577"/>
      <c r="BV75" s="577"/>
      <c r="BW75" s="577"/>
      <c r="BX75" s="577"/>
      <c r="BY75" s="577"/>
      <c r="BZ75" s="577"/>
      <c r="CA75" s="577"/>
      <c r="CB75" s="577"/>
      <c r="CC75" s="577"/>
      <c r="CD75" s="577"/>
    </row>
    <row r="76" spans="2:82" x14ac:dyDescent="0.35">
      <c r="B76" s="668" t="s">
        <v>849</v>
      </c>
      <c r="C76" s="435" t="s">
        <v>392</v>
      </c>
      <c r="D76" s="164" t="s">
        <v>842</v>
      </c>
      <c r="E76" s="577">
        <v>4061</v>
      </c>
      <c r="F76" s="577">
        <v>4144</v>
      </c>
      <c r="G76" s="577">
        <v>4327</v>
      </c>
      <c r="H76" s="577">
        <v>4059</v>
      </c>
      <c r="I76" s="577">
        <v>4568</v>
      </c>
      <c r="J76" s="577">
        <v>4137</v>
      </c>
      <c r="K76" s="577">
        <v>3933</v>
      </c>
      <c r="L76" s="577">
        <v>4126</v>
      </c>
      <c r="M76" s="577">
        <v>5710</v>
      </c>
      <c r="N76" s="577">
        <v>6624</v>
      </c>
      <c r="O76" s="577">
        <v>5638</v>
      </c>
      <c r="P76" s="577">
        <v>4848</v>
      </c>
      <c r="Q76" s="577">
        <v>6501</v>
      </c>
      <c r="R76" s="577">
        <v>12994</v>
      </c>
      <c r="S76" s="577">
        <v>7027</v>
      </c>
      <c r="T76" s="577">
        <v>6735</v>
      </c>
      <c r="U76" s="577">
        <v>7069</v>
      </c>
      <c r="V76" s="577">
        <v>6622</v>
      </c>
      <c r="W76" s="577">
        <v>8260</v>
      </c>
      <c r="X76" s="577">
        <v>8889</v>
      </c>
      <c r="Y76" s="577">
        <v>8952</v>
      </c>
      <c r="Z76" s="577">
        <v>8747</v>
      </c>
      <c r="AA76" s="577">
        <f>AVERAGE(Q76:Z76)</f>
        <v>8179.6</v>
      </c>
      <c r="AB76" s="577">
        <v>8179.6</v>
      </c>
      <c r="AC76" s="577">
        <v>8179.6</v>
      </c>
      <c r="AD76" s="577">
        <v>8179.6</v>
      </c>
      <c r="AE76" s="577">
        <v>8179.6</v>
      </c>
      <c r="AF76" s="577">
        <v>8179.6</v>
      </c>
      <c r="AG76" s="577">
        <v>8179.6</v>
      </c>
      <c r="AH76" s="577">
        <v>8179.6</v>
      </c>
      <c r="AI76" s="577">
        <v>8179.6</v>
      </c>
      <c r="AJ76" s="577">
        <v>8179.6</v>
      </c>
      <c r="AK76" s="577">
        <v>8179.6</v>
      </c>
      <c r="AL76" s="577">
        <v>8179.6</v>
      </c>
      <c r="AM76" s="577">
        <v>8179.6</v>
      </c>
      <c r="AN76" s="577">
        <v>8179.6</v>
      </c>
      <c r="AO76" s="577">
        <v>8179.6</v>
      </c>
      <c r="AP76" s="577">
        <v>8179.6</v>
      </c>
      <c r="AQ76" s="577">
        <v>8179.6</v>
      </c>
      <c r="AR76" s="577">
        <v>8179.6</v>
      </c>
      <c r="AS76" s="577">
        <v>8179.6</v>
      </c>
      <c r="AT76" s="577">
        <v>8179.6</v>
      </c>
      <c r="AU76" s="577">
        <v>8179.6</v>
      </c>
      <c r="AV76" s="577">
        <v>8179.6</v>
      </c>
      <c r="AW76" s="577">
        <v>8179.6</v>
      </c>
      <c r="AX76" s="577">
        <v>8179.6</v>
      </c>
      <c r="AY76" s="577">
        <v>8179.6</v>
      </c>
      <c r="AZ76" s="577">
        <v>8179.6</v>
      </c>
      <c r="BA76" s="577">
        <v>8179.6</v>
      </c>
      <c r="BB76" s="577">
        <v>8179.6</v>
      </c>
      <c r="BC76" s="577">
        <v>8179.6</v>
      </c>
      <c r="BD76" s="577">
        <v>8179.6</v>
      </c>
      <c r="BE76" s="577">
        <v>8179.6</v>
      </c>
      <c r="BF76" s="577">
        <v>8179.6</v>
      </c>
      <c r="BG76" s="577">
        <v>8179.6</v>
      </c>
      <c r="BH76" s="577">
        <v>8179.6</v>
      </c>
      <c r="BI76" s="577">
        <v>8179.6</v>
      </c>
      <c r="BJ76" s="577">
        <v>8179.6</v>
      </c>
      <c r="BK76" s="577">
        <v>8179.6</v>
      </c>
      <c r="BL76" s="577">
        <v>8179.6</v>
      </c>
      <c r="BM76" s="577"/>
      <c r="BN76" s="577"/>
      <c r="BO76" s="577"/>
      <c r="BP76" s="577"/>
      <c r="BQ76" s="577"/>
      <c r="BR76" s="577"/>
      <c r="BS76" s="577"/>
      <c r="BT76" s="577"/>
      <c r="BU76" s="577"/>
      <c r="BV76" s="577"/>
      <c r="BW76" s="577"/>
      <c r="BX76" s="577"/>
      <c r="BY76" s="577"/>
      <c r="BZ76" s="577"/>
      <c r="CA76" s="577"/>
      <c r="CB76" s="577"/>
      <c r="CC76" s="577"/>
      <c r="CD76" s="577"/>
    </row>
    <row r="77" spans="2:82" x14ac:dyDescent="0.35">
      <c r="B77" s="668" t="s">
        <v>850</v>
      </c>
      <c r="C77" s="435" t="s">
        <v>446</v>
      </c>
      <c r="D77" s="164" t="s">
        <v>842</v>
      </c>
      <c r="E77" s="577">
        <v>4061</v>
      </c>
      <c r="F77" s="577">
        <v>4144</v>
      </c>
      <c r="G77" s="577">
        <v>4327</v>
      </c>
      <c r="H77" s="577">
        <v>4059</v>
      </c>
      <c r="I77" s="577">
        <v>4568</v>
      </c>
      <c r="J77" s="577">
        <v>4137</v>
      </c>
      <c r="K77" s="577">
        <v>3933</v>
      </c>
      <c r="L77" s="577">
        <v>4126</v>
      </c>
      <c r="M77" s="577">
        <v>5710</v>
      </c>
      <c r="N77" s="577">
        <v>6624</v>
      </c>
      <c r="O77" s="577">
        <v>5638</v>
      </c>
      <c r="P77" s="577">
        <v>4848</v>
      </c>
      <c r="Q77" s="577">
        <v>6501</v>
      </c>
      <c r="R77" s="577">
        <v>12994</v>
      </c>
      <c r="S77" s="577">
        <v>7027</v>
      </c>
      <c r="T77" s="577">
        <v>6735</v>
      </c>
      <c r="U77" s="577">
        <v>7069</v>
      </c>
      <c r="V77" s="577">
        <v>6622</v>
      </c>
      <c r="W77" s="577">
        <v>8260</v>
      </c>
      <c r="X77" s="577">
        <v>8889</v>
      </c>
      <c r="Y77" s="577">
        <v>12994</v>
      </c>
      <c r="Z77" s="577">
        <v>12994</v>
      </c>
      <c r="AA77" s="577">
        <v>12994</v>
      </c>
      <c r="AB77" s="577">
        <v>12994</v>
      </c>
      <c r="AC77" s="577">
        <v>12994</v>
      </c>
      <c r="AD77" s="577">
        <v>12994</v>
      </c>
      <c r="AE77" s="577">
        <v>12994</v>
      </c>
      <c r="AF77" s="577">
        <v>12994</v>
      </c>
      <c r="AG77" s="577">
        <v>12994</v>
      </c>
      <c r="AH77" s="577">
        <v>12994</v>
      </c>
      <c r="AI77" s="577">
        <v>12994</v>
      </c>
      <c r="AJ77" s="577">
        <v>12994</v>
      </c>
      <c r="AK77" s="577">
        <v>12994</v>
      </c>
      <c r="AL77" s="577">
        <v>12994</v>
      </c>
      <c r="AM77" s="577">
        <v>12994</v>
      </c>
      <c r="AN77" s="577">
        <v>12994</v>
      </c>
      <c r="AO77" s="577">
        <v>12994</v>
      </c>
      <c r="AP77" s="577">
        <v>12994</v>
      </c>
      <c r="AQ77" s="577">
        <v>12994</v>
      </c>
      <c r="AR77" s="577">
        <v>12994</v>
      </c>
      <c r="AS77" s="577">
        <v>12994</v>
      </c>
      <c r="AT77" s="577">
        <v>12994</v>
      </c>
      <c r="AU77" s="577">
        <v>12994</v>
      </c>
      <c r="AV77" s="577">
        <v>12994</v>
      </c>
      <c r="AW77" s="577">
        <v>12994</v>
      </c>
      <c r="AX77" s="577">
        <v>12994</v>
      </c>
      <c r="AY77" s="577">
        <v>12994</v>
      </c>
      <c r="AZ77" s="577">
        <v>12994</v>
      </c>
      <c r="BA77" s="577">
        <v>12994</v>
      </c>
      <c r="BB77" s="577">
        <v>12994</v>
      </c>
      <c r="BC77" s="577">
        <v>12994</v>
      </c>
      <c r="BD77" s="577">
        <v>12994</v>
      </c>
      <c r="BE77" s="577">
        <v>12994</v>
      </c>
      <c r="BF77" s="577">
        <v>12994</v>
      </c>
      <c r="BG77" s="577">
        <v>12994</v>
      </c>
      <c r="BH77" s="577">
        <v>12994</v>
      </c>
      <c r="BI77" s="577">
        <v>12994</v>
      </c>
      <c r="BJ77" s="577">
        <v>12994</v>
      </c>
      <c r="BK77" s="577">
        <v>12994</v>
      </c>
      <c r="BL77" s="577">
        <v>12994</v>
      </c>
      <c r="BM77" s="577"/>
      <c r="BN77" s="577"/>
      <c r="BO77" s="577"/>
      <c r="BP77" s="577"/>
      <c r="BQ77" s="577"/>
      <c r="BR77" s="577"/>
      <c r="BS77" s="577"/>
      <c r="BT77" s="577"/>
      <c r="BU77" s="577"/>
      <c r="BV77" s="577"/>
      <c r="BW77" s="577"/>
      <c r="BX77" s="577"/>
      <c r="BY77" s="577"/>
      <c r="BZ77" s="577"/>
      <c r="CA77" s="577"/>
      <c r="CB77" s="577"/>
      <c r="CC77" s="577"/>
      <c r="CD77" s="577"/>
    </row>
    <row r="78" spans="2:82" x14ac:dyDescent="0.35">
      <c r="B78" s="668" t="s">
        <v>851</v>
      </c>
      <c r="C78" s="435" t="s">
        <v>455</v>
      </c>
      <c r="D78" s="164" t="s">
        <v>842</v>
      </c>
      <c r="E78" s="577">
        <v>4061</v>
      </c>
      <c r="F78" s="577">
        <v>4144</v>
      </c>
      <c r="G78" s="577">
        <v>4327</v>
      </c>
      <c r="H78" s="577">
        <v>4059</v>
      </c>
      <c r="I78" s="577">
        <v>4568</v>
      </c>
      <c r="J78" s="577">
        <v>4137</v>
      </c>
      <c r="K78" s="577">
        <v>3933</v>
      </c>
      <c r="L78" s="577">
        <v>4126</v>
      </c>
      <c r="M78" s="577">
        <v>5710</v>
      </c>
      <c r="N78" s="577">
        <v>6624</v>
      </c>
      <c r="O78" s="577">
        <v>5638</v>
      </c>
      <c r="P78" s="577">
        <v>4848</v>
      </c>
      <c r="Q78" s="577">
        <v>6501</v>
      </c>
      <c r="R78" s="577">
        <v>12994</v>
      </c>
      <c r="S78" s="577">
        <v>7027</v>
      </c>
      <c r="T78" s="577">
        <v>6735</v>
      </c>
      <c r="U78" s="577">
        <v>7069</v>
      </c>
      <c r="V78" s="577">
        <v>6622</v>
      </c>
      <c r="W78" s="577">
        <v>8260</v>
      </c>
      <c r="X78" s="577">
        <v>8889</v>
      </c>
      <c r="Y78" s="577">
        <v>9747.5</v>
      </c>
      <c r="Z78" s="577">
        <v>9747.5</v>
      </c>
      <c r="AA78" s="577">
        <v>9747.5</v>
      </c>
      <c r="AB78" s="577">
        <v>9747.5</v>
      </c>
      <c r="AC78" s="577">
        <v>9747.5</v>
      </c>
      <c r="AD78" s="577">
        <v>9747.5</v>
      </c>
      <c r="AE78" s="577">
        <v>9747.5</v>
      </c>
      <c r="AF78" s="577">
        <v>9747.5</v>
      </c>
      <c r="AG78" s="577">
        <v>9747.5</v>
      </c>
      <c r="AH78" s="577">
        <v>9747.5</v>
      </c>
      <c r="AI78" s="577">
        <v>9747.5</v>
      </c>
      <c r="AJ78" s="577">
        <v>9747.5</v>
      </c>
      <c r="AK78" s="577">
        <v>9747.5</v>
      </c>
      <c r="AL78" s="577">
        <v>9747.5</v>
      </c>
      <c r="AM78" s="577">
        <v>9747.5</v>
      </c>
      <c r="AN78" s="577">
        <v>9747.5</v>
      </c>
      <c r="AO78" s="577">
        <v>9747.5</v>
      </c>
      <c r="AP78" s="577">
        <v>9747.5</v>
      </c>
      <c r="AQ78" s="577">
        <v>9747.5</v>
      </c>
      <c r="AR78" s="577">
        <v>9747.5</v>
      </c>
      <c r="AS78" s="577">
        <v>9747.5</v>
      </c>
      <c r="AT78" s="577">
        <v>9747.5</v>
      </c>
      <c r="AU78" s="577">
        <v>9747.5</v>
      </c>
      <c r="AV78" s="577">
        <v>9747.5</v>
      </c>
      <c r="AW78" s="577">
        <v>9747.5</v>
      </c>
      <c r="AX78" s="577">
        <v>9747.5</v>
      </c>
      <c r="AY78" s="577">
        <v>9747.5</v>
      </c>
      <c r="AZ78" s="577">
        <v>9747.5</v>
      </c>
      <c r="BA78" s="577">
        <v>9747.5</v>
      </c>
      <c r="BB78" s="577">
        <v>9747.5</v>
      </c>
      <c r="BC78" s="577">
        <v>9747.5</v>
      </c>
      <c r="BD78" s="577">
        <v>9747.5</v>
      </c>
      <c r="BE78" s="577">
        <v>9747.5</v>
      </c>
      <c r="BF78" s="577">
        <v>9747.5</v>
      </c>
      <c r="BG78" s="577">
        <v>9747.5</v>
      </c>
      <c r="BH78" s="577">
        <v>9747.5</v>
      </c>
      <c r="BI78" s="577">
        <v>9747.5</v>
      </c>
      <c r="BJ78" s="577">
        <v>9747.5</v>
      </c>
      <c r="BK78" s="577">
        <v>9747.5</v>
      </c>
      <c r="BL78" s="577">
        <v>9747.5</v>
      </c>
      <c r="BM78" s="577"/>
      <c r="BN78" s="577"/>
      <c r="BO78" s="577"/>
      <c r="BP78" s="577"/>
      <c r="BQ78" s="577"/>
      <c r="BR78" s="577"/>
      <c r="BS78" s="577"/>
      <c r="BT78" s="577"/>
      <c r="BU78" s="577"/>
      <c r="BV78" s="577"/>
      <c r="BW78" s="577"/>
      <c r="BX78" s="577"/>
      <c r="BY78" s="577"/>
      <c r="BZ78" s="577"/>
      <c r="CA78" s="577"/>
      <c r="CB78" s="577"/>
      <c r="CC78" s="577"/>
      <c r="CD78" s="577"/>
    </row>
    <row r="79" spans="2:82" x14ac:dyDescent="0.35">
      <c r="B79" s="668" t="s">
        <v>852</v>
      </c>
      <c r="C79" s="435" t="s">
        <v>207</v>
      </c>
      <c r="D79" s="164" t="s">
        <v>842</v>
      </c>
      <c r="E79" s="577">
        <v>4061</v>
      </c>
      <c r="F79" s="577">
        <v>4144</v>
      </c>
      <c r="G79" s="577">
        <v>4327</v>
      </c>
      <c r="H79" s="577">
        <v>4059</v>
      </c>
      <c r="I79" s="577">
        <v>4568</v>
      </c>
      <c r="J79" s="577">
        <v>4137</v>
      </c>
      <c r="K79" s="577">
        <v>3933</v>
      </c>
      <c r="L79" s="577">
        <v>4126</v>
      </c>
      <c r="M79" s="577">
        <v>5710</v>
      </c>
      <c r="N79" s="577">
        <v>6624</v>
      </c>
      <c r="O79" s="577">
        <v>5638</v>
      </c>
      <c r="P79" s="577">
        <v>4848</v>
      </c>
      <c r="Q79" s="577">
        <v>6501</v>
      </c>
      <c r="R79" s="577">
        <v>12994</v>
      </c>
      <c r="S79" s="577">
        <v>7027</v>
      </c>
      <c r="T79" s="577">
        <v>6735</v>
      </c>
      <c r="U79" s="577">
        <v>7069</v>
      </c>
      <c r="V79" s="577">
        <v>6622</v>
      </c>
      <c r="W79" s="577">
        <v>8260</v>
      </c>
      <c r="X79" s="577">
        <v>8889</v>
      </c>
      <c r="Y79" s="577">
        <v>6501</v>
      </c>
      <c r="Z79" s="577">
        <v>6501</v>
      </c>
      <c r="AA79" s="577">
        <v>6501</v>
      </c>
      <c r="AB79" s="577">
        <v>6501</v>
      </c>
      <c r="AC79" s="577">
        <v>6501</v>
      </c>
      <c r="AD79" s="577">
        <v>6501</v>
      </c>
      <c r="AE79" s="577">
        <v>6501</v>
      </c>
      <c r="AF79" s="577">
        <v>6501</v>
      </c>
      <c r="AG79" s="577">
        <v>6501</v>
      </c>
      <c r="AH79" s="577">
        <v>6501</v>
      </c>
      <c r="AI79" s="577">
        <v>6501</v>
      </c>
      <c r="AJ79" s="577">
        <v>6501</v>
      </c>
      <c r="AK79" s="577">
        <v>6501</v>
      </c>
      <c r="AL79" s="577">
        <v>6501</v>
      </c>
      <c r="AM79" s="577">
        <v>6501</v>
      </c>
      <c r="AN79" s="577">
        <v>6501</v>
      </c>
      <c r="AO79" s="577">
        <v>6501</v>
      </c>
      <c r="AP79" s="577">
        <v>6501</v>
      </c>
      <c r="AQ79" s="577">
        <v>6501</v>
      </c>
      <c r="AR79" s="577">
        <v>6501</v>
      </c>
      <c r="AS79" s="577">
        <v>6501</v>
      </c>
      <c r="AT79" s="577">
        <v>6501</v>
      </c>
      <c r="AU79" s="577">
        <v>6501</v>
      </c>
      <c r="AV79" s="577">
        <v>6501</v>
      </c>
      <c r="AW79" s="577">
        <v>6501</v>
      </c>
      <c r="AX79" s="577">
        <v>6501</v>
      </c>
      <c r="AY79" s="577">
        <v>6501</v>
      </c>
      <c r="AZ79" s="577">
        <v>6501</v>
      </c>
      <c r="BA79" s="577">
        <v>6501</v>
      </c>
      <c r="BB79" s="577">
        <v>6501</v>
      </c>
      <c r="BC79" s="577">
        <v>6501</v>
      </c>
      <c r="BD79" s="577">
        <v>6501</v>
      </c>
      <c r="BE79" s="577">
        <v>6501</v>
      </c>
      <c r="BF79" s="577">
        <v>6501</v>
      </c>
      <c r="BG79" s="577">
        <v>6501</v>
      </c>
      <c r="BH79" s="577">
        <v>6501</v>
      </c>
      <c r="BI79" s="577">
        <v>6501</v>
      </c>
      <c r="BJ79" s="577">
        <v>6501</v>
      </c>
      <c r="BK79" s="577">
        <v>6501</v>
      </c>
      <c r="BL79" s="577">
        <v>6501</v>
      </c>
      <c r="BM79" s="577"/>
      <c r="BN79" s="577"/>
      <c r="BO79" s="577"/>
      <c r="BP79" s="577"/>
      <c r="BQ79" s="577"/>
      <c r="BR79" s="577"/>
      <c r="BS79" s="577"/>
      <c r="BT79" s="577"/>
      <c r="BU79" s="577"/>
      <c r="BV79" s="577"/>
      <c r="BW79" s="577"/>
      <c r="BX79" s="577"/>
      <c r="BY79" s="577"/>
      <c r="BZ79" s="577"/>
      <c r="CA79" s="577"/>
      <c r="CB79" s="577"/>
      <c r="CC79" s="577"/>
      <c r="CD79" s="577"/>
    </row>
    <row r="80" spans="2:82" x14ac:dyDescent="0.35">
      <c r="B80" s="499"/>
      <c r="C80" s="435" t="s">
        <v>496</v>
      </c>
      <c r="D80" s="164" t="s">
        <v>842</v>
      </c>
      <c r="E80" s="577">
        <v>4061</v>
      </c>
      <c r="F80" s="577">
        <v>4144</v>
      </c>
      <c r="G80" s="577">
        <v>4327</v>
      </c>
      <c r="H80" s="577">
        <v>4059</v>
      </c>
      <c r="I80" s="577">
        <v>4568</v>
      </c>
      <c r="J80" s="577">
        <v>4137</v>
      </c>
      <c r="K80" s="577">
        <v>3933</v>
      </c>
      <c r="L80" s="577">
        <v>4126</v>
      </c>
      <c r="M80" s="577">
        <v>5710</v>
      </c>
      <c r="N80" s="577">
        <v>6624</v>
      </c>
      <c r="O80" s="577">
        <v>5638</v>
      </c>
      <c r="P80" s="577">
        <v>4848</v>
      </c>
      <c r="Q80" s="577">
        <v>6501</v>
      </c>
      <c r="R80" s="577">
        <v>12994</v>
      </c>
      <c r="S80" s="577">
        <v>7027</v>
      </c>
      <c r="T80" s="577">
        <v>6735</v>
      </c>
      <c r="U80" s="577">
        <v>7069</v>
      </c>
      <c r="V80" s="577">
        <v>6622</v>
      </c>
      <c r="W80" s="577">
        <v>8260</v>
      </c>
      <c r="X80" s="577">
        <v>8889</v>
      </c>
      <c r="Y80" s="577"/>
      <c r="Z80" s="577"/>
      <c r="AA80" s="577"/>
      <c r="AB80" s="577"/>
      <c r="AC80" s="577"/>
      <c r="AD80" s="577"/>
      <c r="AE80" s="577"/>
      <c r="AF80" s="577"/>
      <c r="AG80" s="577"/>
      <c r="AH80" s="577"/>
      <c r="AI80" s="577"/>
      <c r="AJ80" s="577"/>
      <c r="AK80" s="577"/>
      <c r="AL80" s="577"/>
      <c r="AM80" s="577"/>
      <c r="AN80" s="577"/>
      <c r="AO80" s="577"/>
      <c r="AP80" s="577"/>
      <c r="AQ80" s="577"/>
      <c r="AR80" s="577"/>
      <c r="AS80" s="577"/>
      <c r="AT80" s="577"/>
      <c r="AU80" s="577"/>
      <c r="AV80" s="577"/>
      <c r="AW80" s="577"/>
      <c r="AX80" s="577"/>
      <c r="AY80" s="577"/>
      <c r="AZ80" s="577"/>
      <c r="BA80" s="577"/>
      <c r="BB80" s="577"/>
      <c r="BC80" s="577"/>
      <c r="BD80" s="577"/>
      <c r="BE80" s="577"/>
      <c r="BF80" s="577"/>
      <c r="BG80" s="577"/>
      <c r="BH80" s="577"/>
      <c r="BI80" s="577"/>
      <c r="BJ80" s="577"/>
      <c r="BK80" s="577"/>
      <c r="BL80" s="577"/>
      <c r="BM80" s="577"/>
      <c r="BN80" s="577"/>
      <c r="BO80" s="577"/>
      <c r="BP80" s="577"/>
      <c r="BQ80" s="577"/>
      <c r="BR80" s="577"/>
      <c r="BS80" s="577"/>
      <c r="BT80" s="577"/>
      <c r="BU80" s="577"/>
      <c r="BV80" s="577"/>
      <c r="BW80" s="577"/>
      <c r="BX80" s="577"/>
      <c r="BY80" s="577"/>
      <c r="BZ80" s="577"/>
      <c r="CA80" s="577"/>
      <c r="CB80" s="577"/>
      <c r="CC80" s="577"/>
      <c r="CD80" s="577"/>
    </row>
    <row r="81" spans="2:64" x14ac:dyDescent="0.35">
      <c r="E81" s="224"/>
      <c r="F81" s="224"/>
      <c r="G81" s="224"/>
      <c r="H81" s="224"/>
      <c r="I81" s="224"/>
      <c r="J81" s="224"/>
      <c r="K81" s="224"/>
      <c r="L81" s="224"/>
      <c r="M81" s="224"/>
      <c r="N81" s="224"/>
      <c r="O81" s="224"/>
      <c r="P81" s="224"/>
      <c r="Q81" s="224"/>
      <c r="R81" s="224"/>
      <c r="S81" s="224"/>
      <c r="T81" s="224"/>
      <c r="U81" s="224"/>
      <c r="V81" s="224"/>
      <c r="W81" s="224"/>
      <c r="X81" s="434"/>
      <c r="Y81" s="158"/>
    </row>
    <row r="82" spans="2:64" x14ac:dyDescent="0.35">
      <c r="B82" s="499" t="s">
        <v>1159</v>
      </c>
      <c r="E82" s="224"/>
      <c r="F82" s="224"/>
      <c r="G82" s="224"/>
      <c r="H82" s="224"/>
      <c r="I82" s="224"/>
      <c r="J82" s="224"/>
      <c r="K82" s="224"/>
      <c r="L82" s="224"/>
      <c r="M82" s="224"/>
      <c r="N82" s="224"/>
      <c r="O82" s="224"/>
      <c r="P82" s="224"/>
      <c r="Q82" s="224"/>
      <c r="R82" s="224"/>
      <c r="S82" s="224"/>
      <c r="T82" s="224"/>
      <c r="U82" s="224"/>
      <c r="V82" s="224"/>
      <c r="W82" s="224"/>
      <c r="X82" s="224"/>
    </row>
    <row r="83" spans="2:64" hidden="1" x14ac:dyDescent="0.35">
      <c r="B83" s="50" t="s">
        <v>824</v>
      </c>
      <c r="C83" s="435" t="s">
        <v>391</v>
      </c>
      <c r="D83" s="164" t="s">
        <v>1134</v>
      </c>
      <c r="E83" s="653"/>
      <c r="F83" s="653"/>
      <c r="G83" s="653"/>
      <c r="H83" s="653"/>
      <c r="I83" s="653"/>
      <c r="J83" s="653"/>
      <c r="K83" s="653"/>
      <c r="L83" s="653"/>
      <c r="M83" s="653"/>
      <c r="N83" s="653"/>
      <c r="O83" s="653"/>
      <c r="P83" s="653"/>
      <c r="Q83" s="653"/>
      <c r="AB83" s="653"/>
      <c r="AC83" s="653"/>
      <c r="AD83" s="653"/>
      <c r="AE83" s="653"/>
      <c r="AF83" s="653"/>
      <c r="AG83" s="653"/>
      <c r="AH83" s="653"/>
      <c r="AI83" s="653"/>
      <c r="AJ83" s="653"/>
      <c r="AK83" s="653"/>
      <c r="AL83" s="653"/>
      <c r="AM83" s="653"/>
      <c r="AN83" s="653"/>
      <c r="AO83" s="653"/>
      <c r="AP83" s="653"/>
      <c r="AQ83" s="653"/>
      <c r="AR83" s="653"/>
      <c r="AS83" s="653"/>
      <c r="AT83" s="653"/>
      <c r="AU83" s="653"/>
      <c r="AV83" s="653"/>
      <c r="AW83" s="653"/>
      <c r="AX83" s="653"/>
      <c r="AY83" s="653"/>
      <c r="AZ83" s="653"/>
      <c r="BA83" s="653"/>
      <c r="BL83" s="653"/>
    </row>
    <row r="84" spans="2:64" hidden="1" x14ac:dyDescent="0.35">
      <c r="B84" s="499"/>
      <c r="C84" s="435" t="s">
        <v>392</v>
      </c>
      <c r="D84" s="164" t="s">
        <v>1134</v>
      </c>
      <c r="E84" s="653"/>
      <c r="F84" s="653"/>
      <c r="G84" s="653"/>
      <c r="H84" s="653"/>
      <c r="I84" s="653"/>
      <c r="J84" s="653"/>
      <c r="K84" s="653"/>
      <c r="L84" s="653"/>
      <c r="M84" s="653"/>
      <c r="N84" s="653"/>
      <c r="O84" s="653"/>
      <c r="P84" s="653"/>
      <c r="Q84" s="653"/>
      <c r="AB84" s="653"/>
      <c r="AC84" s="653"/>
      <c r="AD84" s="653"/>
      <c r="AE84" s="653"/>
      <c r="AF84" s="653"/>
      <c r="AG84" s="653"/>
      <c r="AH84" s="653"/>
      <c r="AI84" s="653"/>
      <c r="AJ84" s="653"/>
      <c r="AK84" s="653"/>
      <c r="AL84" s="653"/>
      <c r="AM84" s="653"/>
      <c r="AN84" s="653"/>
      <c r="AO84" s="653"/>
      <c r="AP84" s="653"/>
      <c r="AQ84" s="653"/>
      <c r="AR84" s="653"/>
      <c r="AS84" s="653"/>
      <c r="AT84" s="653"/>
      <c r="AU84" s="653"/>
      <c r="AV84" s="653"/>
      <c r="AW84" s="653"/>
      <c r="AX84" s="653"/>
      <c r="AY84" s="653"/>
      <c r="AZ84" s="653"/>
      <c r="BA84" s="653"/>
      <c r="BL84" s="653"/>
    </row>
    <row r="85" spans="2:64" hidden="1" x14ac:dyDescent="0.35">
      <c r="B85" s="499"/>
      <c r="C85" s="435" t="s">
        <v>446</v>
      </c>
      <c r="D85" s="164" t="s">
        <v>1134</v>
      </c>
      <c r="E85" s="653"/>
      <c r="F85" s="653"/>
      <c r="G85" s="653"/>
      <c r="H85" s="653"/>
      <c r="I85" s="653"/>
      <c r="J85" s="653"/>
      <c r="K85" s="653"/>
      <c r="L85" s="653"/>
      <c r="M85" s="653"/>
      <c r="N85" s="653"/>
      <c r="O85" s="653"/>
      <c r="P85" s="653"/>
      <c r="Q85" s="653"/>
      <c r="AB85" s="653"/>
      <c r="AC85" s="653"/>
      <c r="AD85" s="653"/>
      <c r="AE85" s="653"/>
      <c r="AF85" s="653"/>
      <c r="AG85" s="653"/>
      <c r="AH85" s="653"/>
      <c r="AI85" s="653"/>
      <c r="AJ85" s="653"/>
      <c r="AK85" s="653"/>
      <c r="AL85" s="653"/>
      <c r="AM85" s="653"/>
      <c r="AN85" s="653"/>
      <c r="AO85" s="653"/>
      <c r="AP85" s="653"/>
      <c r="AQ85" s="653"/>
      <c r="AR85" s="653"/>
      <c r="AS85" s="653"/>
      <c r="AT85" s="653"/>
      <c r="AU85" s="653"/>
      <c r="AV85" s="653"/>
      <c r="AW85" s="653"/>
      <c r="AX85" s="653"/>
      <c r="AY85" s="653"/>
      <c r="AZ85" s="653"/>
      <c r="BA85" s="653"/>
      <c r="BL85" s="653"/>
    </row>
    <row r="86" spans="2:64" hidden="1" x14ac:dyDescent="0.35">
      <c r="B86" s="499"/>
      <c r="C86" s="435" t="s">
        <v>455</v>
      </c>
      <c r="D86" s="164" t="s">
        <v>1134</v>
      </c>
      <c r="E86" s="653"/>
      <c r="F86" s="653"/>
      <c r="G86" s="653"/>
      <c r="H86" s="653"/>
      <c r="I86" s="653"/>
      <c r="J86" s="653"/>
      <c r="K86" s="653"/>
      <c r="L86" s="653"/>
      <c r="M86" s="653"/>
      <c r="N86" s="653"/>
      <c r="O86" s="653"/>
      <c r="P86" s="653"/>
      <c r="Q86" s="653"/>
      <c r="AB86" s="653"/>
      <c r="AC86" s="653"/>
      <c r="AD86" s="653"/>
      <c r="AE86" s="653"/>
      <c r="AF86" s="653"/>
      <c r="AG86" s="653"/>
      <c r="AH86" s="653"/>
      <c r="AI86" s="653"/>
      <c r="AJ86" s="653"/>
      <c r="AK86" s="653"/>
      <c r="AL86" s="653"/>
      <c r="AM86" s="653"/>
      <c r="AN86" s="653"/>
      <c r="AO86" s="653"/>
      <c r="AP86" s="653"/>
      <c r="AQ86" s="653"/>
      <c r="AR86" s="653"/>
      <c r="AS86" s="653"/>
      <c r="AT86" s="653"/>
      <c r="AU86" s="653"/>
      <c r="AV86" s="653"/>
      <c r="AW86" s="653"/>
      <c r="AX86" s="653"/>
      <c r="AY86" s="653"/>
      <c r="AZ86" s="653"/>
      <c r="BA86" s="653"/>
      <c r="BL86" s="653"/>
    </row>
    <row r="87" spans="2:64" hidden="1" x14ac:dyDescent="0.35">
      <c r="B87" s="499"/>
      <c r="C87" s="435" t="s">
        <v>207</v>
      </c>
      <c r="D87" s="164" t="s">
        <v>1134</v>
      </c>
      <c r="E87" s="657"/>
      <c r="F87" s="653"/>
      <c r="G87" s="653"/>
      <c r="H87" s="653"/>
      <c r="I87" s="653"/>
      <c r="J87" s="653"/>
      <c r="K87" s="653"/>
      <c r="L87" s="653"/>
      <c r="M87" s="653"/>
      <c r="N87" s="653"/>
      <c r="O87" s="653"/>
      <c r="P87" s="653"/>
      <c r="Q87" s="653"/>
      <c r="AB87" s="657"/>
      <c r="AC87" s="653"/>
      <c r="AD87" s="653"/>
      <c r="AE87" s="653"/>
      <c r="AF87" s="653"/>
      <c r="AG87" s="653"/>
      <c r="AH87" s="653"/>
      <c r="AI87" s="653"/>
      <c r="AJ87" s="653"/>
      <c r="AK87" s="653"/>
      <c r="AL87" s="653"/>
      <c r="AM87" s="653"/>
      <c r="AN87" s="653"/>
      <c r="AO87" s="657"/>
      <c r="AP87" s="653"/>
      <c r="AQ87" s="653"/>
      <c r="AR87" s="653"/>
      <c r="AS87" s="653"/>
      <c r="AT87" s="653"/>
      <c r="AU87" s="653"/>
      <c r="AV87" s="653"/>
      <c r="AW87" s="653"/>
      <c r="AX87" s="653"/>
      <c r="AY87" s="653"/>
      <c r="AZ87" s="653"/>
      <c r="BA87" s="653"/>
      <c r="BL87" s="653"/>
    </row>
    <row r="88" spans="2:64" hidden="1" x14ac:dyDescent="0.35">
      <c r="B88" s="499"/>
      <c r="C88" s="435" t="s">
        <v>496</v>
      </c>
      <c r="D88" s="164" t="s">
        <v>1134</v>
      </c>
      <c r="E88" s="657"/>
      <c r="F88" s="653"/>
      <c r="G88" s="653"/>
      <c r="H88" s="653"/>
      <c r="I88" s="653"/>
      <c r="J88" s="653"/>
      <c r="K88" s="653"/>
      <c r="L88" s="653"/>
      <c r="M88" s="653"/>
      <c r="N88" s="653"/>
      <c r="O88" s="653"/>
      <c r="P88" s="653"/>
      <c r="Q88" s="653"/>
      <c r="AB88" s="657"/>
      <c r="AC88" s="653"/>
      <c r="AD88" s="653"/>
      <c r="AE88" s="653"/>
      <c r="AF88" s="653"/>
      <c r="AG88" s="653"/>
      <c r="AH88" s="653"/>
      <c r="AI88" s="653"/>
      <c r="AJ88" s="653"/>
      <c r="AK88" s="653"/>
      <c r="AL88" s="653"/>
      <c r="AM88" s="653"/>
      <c r="AN88" s="653"/>
      <c r="AO88" s="657"/>
      <c r="AP88" s="653"/>
      <c r="AQ88" s="653"/>
      <c r="AR88" s="653"/>
      <c r="AS88" s="653"/>
      <c r="AT88" s="653"/>
      <c r="AU88" s="653"/>
      <c r="AV88" s="653"/>
      <c r="AW88" s="653"/>
      <c r="AX88" s="653"/>
      <c r="AY88" s="653"/>
      <c r="AZ88" s="653"/>
      <c r="BA88" s="653"/>
      <c r="BL88" s="653"/>
    </row>
    <row r="89" spans="2:64" hidden="1" x14ac:dyDescent="0.35">
      <c r="B89" s="50" t="s">
        <v>825</v>
      </c>
      <c r="C89" s="435" t="s">
        <v>391</v>
      </c>
      <c r="D89" s="164" t="s">
        <v>1142</v>
      </c>
      <c r="E89" s="657"/>
      <c r="F89" s="653"/>
      <c r="G89" s="653"/>
      <c r="H89" s="653"/>
      <c r="I89" s="653"/>
      <c r="J89" s="653"/>
      <c r="K89" s="653"/>
      <c r="L89" s="653"/>
      <c r="M89" s="653"/>
      <c r="N89" s="653"/>
      <c r="O89" s="653"/>
      <c r="P89" s="653"/>
      <c r="Q89" s="653"/>
      <c r="AB89" s="657"/>
      <c r="AC89" s="653"/>
      <c r="AD89" s="653"/>
      <c r="AE89" s="653"/>
      <c r="AF89" s="653"/>
      <c r="AG89" s="653"/>
      <c r="AH89" s="653"/>
      <c r="AI89" s="653"/>
      <c r="AJ89" s="653"/>
      <c r="AK89" s="653"/>
      <c r="AL89" s="653"/>
      <c r="AM89" s="653"/>
      <c r="AN89" s="653"/>
      <c r="AO89" s="657"/>
      <c r="AP89" s="653"/>
      <c r="AQ89" s="653"/>
      <c r="AR89" s="653"/>
      <c r="AS89" s="653"/>
      <c r="AT89" s="653"/>
      <c r="AU89" s="653"/>
      <c r="AV89" s="653"/>
      <c r="AW89" s="653"/>
      <c r="AX89" s="653"/>
      <c r="AY89" s="653"/>
      <c r="AZ89" s="653"/>
      <c r="BA89" s="653"/>
      <c r="BL89" s="653"/>
    </row>
    <row r="90" spans="2:64" hidden="1" x14ac:dyDescent="0.35">
      <c r="B90" s="499"/>
      <c r="C90" s="435" t="s">
        <v>392</v>
      </c>
      <c r="D90" s="164" t="s">
        <v>1142</v>
      </c>
      <c r="E90" s="657"/>
      <c r="F90" s="653"/>
      <c r="G90" s="653"/>
      <c r="H90" s="653"/>
      <c r="I90" s="653"/>
      <c r="J90" s="653"/>
      <c r="K90" s="653"/>
      <c r="L90" s="653"/>
      <c r="M90" s="653"/>
      <c r="N90" s="653"/>
      <c r="O90" s="653"/>
      <c r="P90" s="653"/>
      <c r="Q90" s="653"/>
      <c r="AB90" s="657"/>
      <c r="AC90" s="653"/>
      <c r="AD90" s="653"/>
      <c r="AE90" s="653"/>
      <c r="AF90" s="653"/>
      <c r="AG90" s="653"/>
      <c r="AH90" s="653"/>
      <c r="AI90" s="653"/>
      <c r="AJ90" s="653"/>
      <c r="AK90" s="653"/>
      <c r="AL90" s="653"/>
      <c r="AM90" s="653"/>
      <c r="AN90" s="653"/>
      <c r="AO90" s="657"/>
      <c r="AP90" s="653"/>
      <c r="AQ90" s="653"/>
      <c r="AR90" s="653"/>
      <c r="AS90" s="653"/>
      <c r="AT90" s="653"/>
      <c r="AU90" s="653"/>
      <c r="AV90" s="653"/>
      <c r="AW90" s="653"/>
      <c r="AX90" s="653"/>
      <c r="AY90" s="653"/>
      <c r="AZ90" s="653"/>
      <c r="BA90" s="653"/>
      <c r="BL90" s="653"/>
    </row>
    <row r="91" spans="2:64" hidden="1" x14ac:dyDescent="0.35">
      <c r="B91" s="499"/>
      <c r="C91" s="435" t="s">
        <v>446</v>
      </c>
      <c r="D91" s="164" t="s">
        <v>1142</v>
      </c>
      <c r="E91" s="657"/>
      <c r="F91" s="653"/>
      <c r="G91" s="653"/>
      <c r="H91" s="653"/>
      <c r="I91" s="653"/>
      <c r="J91" s="653"/>
      <c r="K91" s="653"/>
      <c r="L91" s="653"/>
      <c r="M91" s="653"/>
      <c r="N91" s="653"/>
      <c r="O91" s="653"/>
      <c r="P91" s="653"/>
      <c r="Q91" s="653"/>
      <c r="AB91" s="657"/>
      <c r="AC91" s="653"/>
      <c r="AD91" s="653"/>
      <c r="AE91" s="653"/>
      <c r="AF91" s="653"/>
      <c r="AG91" s="653"/>
      <c r="AH91" s="653"/>
      <c r="AI91" s="653"/>
      <c r="AJ91" s="653"/>
      <c r="AK91" s="653"/>
      <c r="AL91" s="653"/>
      <c r="AM91" s="653"/>
      <c r="AN91" s="653"/>
      <c r="AO91" s="657"/>
      <c r="AP91" s="653"/>
      <c r="AQ91" s="653"/>
      <c r="AR91" s="653"/>
      <c r="AS91" s="653"/>
      <c r="AT91" s="653"/>
      <c r="AU91" s="653"/>
      <c r="AV91" s="653"/>
      <c r="AW91" s="653"/>
      <c r="AX91" s="653"/>
      <c r="AY91" s="653"/>
      <c r="AZ91" s="653"/>
      <c r="BA91" s="653"/>
      <c r="BL91" s="653"/>
    </row>
    <row r="92" spans="2:64" hidden="1" x14ac:dyDescent="0.35">
      <c r="B92" s="499"/>
      <c r="C92" s="435" t="s">
        <v>455</v>
      </c>
      <c r="D92" s="164" t="s">
        <v>1142</v>
      </c>
      <c r="E92" s="657"/>
      <c r="F92" s="653"/>
      <c r="G92" s="653"/>
      <c r="H92" s="653"/>
      <c r="I92" s="653"/>
      <c r="J92" s="653"/>
      <c r="K92" s="653"/>
      <c r="L92" s="653"/>
      <c r="M92" s="653"/>
      <c r="N92" s="653"/>
      <c r="O92" s="653"/>
      <c r="P92" s="653"/>
      <c r="Q92" s="653"/>
      <c r="AB92" s="657"/>
      <c r="AC92" s="653"/>
      <c r="AD92" s="653"/>
      <c r="AE92" s="653"/>
      <c r="AF92" s="653"/>
      <c r="AG92" s="653"/>
      <c r="AH92" s="653"/>
      <c r="AI92" s="653"/>
      <c r="AJ92" s="653"/>
      <c r="AK92" s="653"/>
      <c r="AL92" s="653"/>
      <c r="AM92" s="653"/>
      <c r="AN92" s="653"/>
      <c r="AO92" s="657"/>
      <c r="AP92" s="653"/>
      <c r="AQ92" s="653"/>
      <c r="AR92" s="653"/>
      <c r="AS92" s="653"/>
      <c r="AT92" s="653"/>
      <c r="AU92" s="653"/>
      <c r="AV92" s="653"/>
      <c r="AW92" s="653"/>
      <c r="AX92" s="653"/>
      <c r="AY92" s="653"/>
      <c r="AZ92" s="653"/>
      <c r="BA92" s="653"/>
      <c r="BL92" s="653"/>
    </row>
    <row r="93" spans="2:64" hidden="1" x14ac:dyDescent="0.35">
      <c r="B93" s="499"/>
      <c r="C93" s="435" t="s">
        <v>207</v>
      </c>
      <c r="D93" s="164" t="s">
        <v>1142</v>
      </c>
      <c r="E93" s="657"/>
      <c r="F93" s="653"/>
      <c r="G93" s="653"/>
      <c r="H93" s="653"/>
      <c r="I93" s="653"/>
      <c r="J93" s="653"/>
      <c r="K93" s="653"/>
      <c r="L93" s="653"/>
      <c r="M93" s="653"/>
      <c r="N93" s="653"/>
      <c r="O93" s="653"/>
      <c r="P93" s="653"/>
      <c r="Q93" s="653"/>
      <c r="AB93" s="657"/>
      <c r="AC93" s="653"/>
      <c r="AD93" s="653"/>
      <c r="AE93" s="653"/>
      <c r="AF93" s="653"/>
      <c r="AG93" s="653"/>
      <c r="AH93" s="653"/>
      <c r="AI93" s="653"/>
      <c r="AJ93" s="653"/>
      <c r="AK93" s="653"/>
      <c r="AL93" s="653"/>
      <c r="AM93" s="653"/>
      <c r="AN93" s="653"/>
      <c r="AO93" s="657"/>
      <c r="AP93" s="653"/>
      <c r="AQ93" s="653"/>
      <c r="AR93" s="653"/>
      <c r="AS93" s="653"/>
      <c r="AT93" s="653"/>
      <c r="AU93" s="653"/>
      <c r="AV93" s="653"/>
      <c r="AW93" s="653"/>
      <c r="AX93" s="653"/>
      <c r="AY93" s="653"/>
      <c r="AZ93" s="653"/>
      <c r="BA93" s="653"/>
      <c r="BL93" s="653"/>
    </row>
    <row r="94" spans="2:64" hidden="1" x14ac:dyDescent="0.35">
      <c r="B94" s="499"/>
      <c r="C94" s="435" t="s">
        <v>496</v>
      </c>
      <c r="D94" s="164" t="s">
        <v>1142</v>
      </c>
      <c r="E94" s="657"/>
      <c r="F94" s="653"/>
      <c r="G94" s="653"/>
      <c r="H94" s="653"/>
      <c r="I94" s="653"/>
      <c r="J94" s="653"/>
      <c r="K94" s="653"/>
      <c r="L94" s="653"/>
      <c r="M94" s="653"/>
      <c r="N94" s="653"/>
      <c r="O94" s="653"/>
      <c r="P94" s="653"/>
      <c r="Q94" s="653"/>
      <c r="AB94" s="657"/>
      <c r="AC94" s="653"/>
      <c r="AD94" s="653"/>
      <c r="AE94" s="653"/>
      <c r="AF94" s="653"/>
      <c r="AG94" s="653"/>
      <c r="AH94" s="653"/>
      <c r="AI94" s="653"/>
      <c r="AJ94" s="653"/>
      <c r="AK94" s="653"/>
      <c r="AL94" s="653"/>
      <c r="AM94" s="653"/>
      <c r="AN94" s="653"/>
      <c r="AO94" s="657"/>
      <c r="AP94" s="653"/>
      <c r="AQ94" s="653"/>
      <c r="AR94" s="653"/>
      <c r="AS94" s="653"/>
      <c r="AT94" s="653"/>
      <c r="AU94" s="653"/>
      <c r="AV94" s="653"/>
      <c r="AW94" s="653"/>
      <c r="AX94" s="653"/>
      <c r="AY94" s="653"/>
      <c r="AZ94" s="653"/>
      <c r="BA94" s="653"/>
      <c r="BL94" s="653"/>
    </row>
    <row r="95" spans="2:64" hidden="1" x14ac:dyDescent="0.35">
      <c r="B95" s="50" t="s">
        <v>826</v>
      </c>
      <c r="C95" s="435" t="s">
        <v>391</v>
      </c>
      <c r="D95" s="164" t="s">
        <v>1141</v>
      </c>
      <c r="E95" s="657"/>
      <c r="F95" s="653"/>
      <c r="G95" s="653"/>
      <c r="H95" s="653"/>
      <c r="I95" s="653"/>
      <c r="J95" s="653"/>
      <c r="K95" s="653"/>
      <c r="L95" s="653"/>
      <c r="M95" s="653"/>
      <c r="N95" s="653"/>
      <c r="O95" s="653"/>
      <c r="P95" s="653"/>
      <c r="Q95" s="653"/>
      <c r="AB95" s="657"/>
      <c r="AC95" s="653"/>
      <c r="AD95" s="653"/>
      <c r="AE95" s="653"/>
      <c r="AF95" s="653"/>
      <c r="AG95" s="653"/>
      <c r="AH95" s="653"/>
      <c r="AI95" s="653"/>
      <c r="AJ95" s="653"/>
      <c r="AK95" s="653"/>
      <c r="AL95" s="653"/>
      <c r="AM95" s="653"/>
      <c r="AN95" s="653"/>
      <c r="AO95" s="657"/>
      <c r="AP95" s="653"/>
      <c r="AQ95" s="653"/>
      <c r="AR95" s="653"/>
      <c r="AS95" s="653"/>
      <c r="AT95" s="653"/>
      <c r="AU95" s="653"/>
      <c r="AV95" s="653"/>
      <c r="AW95" s="653"/>
      <c r="AX95" s="653"/>
      <c r="AY95" s="653"/>
      <c r="AZ95" s="653"/>
      <c r="BA95" s="653"/>
      <c r="BL95" s="653"/>
    </row>
    <row r="96" spans="2:64" hidden="1" x14ac:dyDescent="0.35">
      <c r="B96" s="499"/>
      <c r="C96" s="435" t="s">
        <v>392</v>
      </c>
      <c r="D96" s="164" t="s">
        <v>1141</v>
      </c>
      <c r="E96" s="657"/>
      <c r="F96" s="653"/>
      <c r="G96" s="653"/>
      <c r="H96" s="653"/>
      <c r="I96" s="653"/>
      <c r="J96" s="653"/>
      <c r="K96" s="653"/>
      <c r="L96" s="653"/>
      <c r="M96" s="653"/>
      <c r="N96" s="653"/>
      <c r="O96" s="653"/>
      <c r="P96" s="653"/>
      <c r="Q96" s="653"/>
      <c r="AB96" s="657"/>
      <c r="AC96" s="653"/>
      <c r="AD96" s="653"/>
      <c r="AE96" s="653"/>
      <c r="AF96" s="653"/>
      <c r="AG96" s="653"/>
      <c r="AH96" s="653"/>
      <c r="AI96" s="653"/>
      <c r="AJ96" s="653"/>
      <c r="AK96" s="653"/>
      <c r="AL96" s="653"/>
      <c r="AM96" s="653"/>
      <c r="AN96" s="653"/>
      <c r="AO96" s="657"/>
      <c r="AP96" s="653"/>
      <c r="AQ96" s="653"/>
      <c r="AR96" s="653"/>
      <c r="AS96" s="653"/>
      <c r="AT96" s="653"/>
      <c r="AU96" s="653"/>
      <c r="AV96" s="653"/>
      <c r="AW96" s="653"/>
      <c r="AX96" s="653"/>
      <c r="AY96" s="653"/>
      <c r="AZ96" s="653"/>
      <c r="BA96" s="653"/>
      <c r="BL96" s="653"/>
    </row>
    <row r="97" spans="2:64" hidden="1" x14ac:dyDescent="0.35">
      <c r="B97" s="499"/>
      <c r="C97" s="435" t="s">
        <v>446</v>
      </c>
      <c r="D97" s="164" t="s">
        <v>1141</v>
      </c>
      <c r="E97" s="657"/>
      <c r="F97" s="653"/>
      <c r="G97" s="653"/>
      <c r="H97" s="653"/>
      <c r="I97" s="653"/>
      <c r="J97" s="653"/>
      <c r="K97" s="653"/>
      <c r="L97" s="653"/>
      <c r="M97" s="653"/>
      <c r="N97" s="653"/>
      <c r="O97" s="653"/>
      <c r="P97" s="653"/>
      <c r="Q97" s="653"/>
      <c r="AB97" s="657"/>
      <c r="AC97" s="653"/>
      <c r="AD97" s="653"/>
      <c r="AE97" s="653"/>
      <c r="AF97" s="653"/>
      <c r="AG97" s="653"/>
      <c r="AH97" s="653"/>
      <c r="AI97" s="653"/>
      <c r="AJ97" s="653"/>
      <c r="AK97" s="653"/>
      <c r="AL97" s="653"/>
      <c r="AM97" s="653"/>
      <c r="AN97" s="653"/>
      <c r="AO97" s="657"/>
      <c r="AP97" s="653"/>
      <c r="AQ97" s="653"/>
      <c r="AR97" s="653"/>
      <c r="AS97" s="653"/>
      <c r="AT97" s="653"/>
      <c r="AU97" s="653"/>
      <c r="AV97" s="653"/>
      <c r="AW97" s="653"/>
      <c r="AX97" s="653"/>
      <c r="AY97" s="653"/>
      <c r="AZ97" s="653"/>
      <c r="BA97" s="653"/>
      <c r="BL97" s="653"/>
    </row>
    <row r="98" spans="2:64" hidden="1" x14ac:dyDescent="0.35">
      <c r="B98" s="499"/>
      <c r="C98" s="435" t="s">
        <v>455</v>
      </c>
      <c r="D98" s="164" t="s">
        <v>1141</v>
      </c>
      <c r="E98" s="657"/>
      <c r="F98" s="653"/>
      <c r="G98" s="653"/>
      <c r="H98" s="653"/>
      <c r="I98" s="653"/>
      <c r="J98" s="653"/>
      <c r="K98" s="653"/>
      <c r="L98" s="653"/>
      <c r="M98" s="653"/>
      <c r="N98" s="653"/>
      <c r="O98" s="653"/>
      <c r="P98" s="653"/>
      <c r="Q98" s="653"/>
      <c r="AB98" s="657"/>
      <c r="AC98" s="653"/>
      <c r="AD98" s="653"/>
      <c r="AE98" s="653"/>
      <c r="AF98" s="653"/>
      <c r="AG98" s="653"/>
      <c r="AH98" s="653"/>
      <c r="AI98" s="653"/>
      <c r="AJ98" s="653"/>
      <c r="AK98" s="653"/>
      <c r="AL98" s="653"/>
      <c r="AM98" s="653"/>
      <c r="AN98" s="653"/>
      <c r="AO98" s="657"/>
      <c r="AP98" s="653"/>
      <c r="AQ98" s="653"/>
      <c r="AR98" s="653"/>
      <c r="AS98" s="653"/>
      <c r="AT98" s="653"/>
      <c r="AU98" s="653"/>
      <c r="AV98" s="653"/>
      <c r="AW98" s="653"/>
      <c r="AX98" s="653"/>
      <c r="AY98" s="653"/>
      <c r="AZ98" s="653"/>
      <c r="BA98" s="653"/>
      <c r="BL98" s="653"/>
    </row>
    <row r="99" spans="2:64" hidden="1" x14ac:dyDescent="0.35">
      <c r="B99" s="499"/>
      <c r="C99" s="435" t="s">
        <v>207</v>
      </c>
      <c r="D99" s="164" t="s">
        <v>1141</v>
      </c>
      <c r="E99" s="657"/>
      <c r="F99" s="653"/>
      <c r="G99" s="653"/>
      <c r="H99" s="653"/>
      <c r="I99" s="653"/>
      <c r="J99" s="653"/>
      <c r="K99" s="653"/>
      <c r="L99" s="653"/>
      <c r="M99" s="653"/>
      <c r="N99" s="653"/>
      <c r="O99" s="653"/>
      <c r="P99" s="653"/>
      <c r="Q99" s="653"/>
      <c r="AB99" s="657"/>
      <c r="AC99" s="653"/>
      <c r="AD99" s="653"/>
      <c r="AE99" s="653"/>
      <c r="AF99" s="653"/>
      <c r="AG99" s="653"/>
      <c r="AH99" s="653"/>
      <c r="AI99" s="653"/>
      <c r="AJ99" s="653"/>
      <c r="AK99" s="653"/>
      <c r="AL99" s="653"/>
      <c r="AM99" s="653"/>
      <c r="AN99" s="653"/>
      <c r="AO99" s="657"/>
      <c r="AP99" s="653"/>
      <c r="AQ99" s="653"/>
      <c r="AR99" s="653"/>
      <c r="AS99" s="653"/>
      <c r="AT99" s="653"/>
      <c r="AU99" s="653"/>
      <c r="AV99" s="653"/>
      <c r="AW99" s="653"/>
      <c r="AX99" s="653"/>
      <c r="AY99" s="653"/>
      <c r="AZ99" s="653"/>
      <c r="BA99" s="653"/>
      <c r="BL99" s="653"/>
    </row>
    <row r="100" spans="2:64" hidden="1" x14ac:dyDescent="0.35">
      <c r="B100" s="499"/>
      <c r="C100" s="435" t="s">
        <v>496</v>
      </c>
      <c r="D100" s="164" t="s">
        <v>1141</v>
      </c>
      <c r="E100" s="657"/>
      <c r="F100" s="653"/>
      <c r="G100" s="653"/>
      <c r="H100" s="653"/>
      <c r="I100" s="653"/>
      <c r="J100" s="653"/>
      <c r="K100" s="653"/>
      <c r="L100" s="653"/>
      <c r="M100" s="653"/>
      <c r="N100" s="653"/>
      <c r="O100" s="653"/>
      <c r="P100" s="653"/>
      <c r="Q100" s="653"/>
      <c r="AB100" s="657"/>
      <c r="AC100" s="653"/>
      <c r="AD100" s="653"/>
      <c r="AE100" s="653"/>
      <c r="AF100" s="653"/>
      <c r="AG100" s="653"/>
      <c r="AH100" s="653"/>
      <c r="AI100" s="653"/>
      <c r="AJ100" s="653"/>
      <c r="AK100" s="653"/>
      <c r="AL100" s="653"/>
      <c r="AM100" s="653"/>
      <c r="AN100" s="653"/>
      <c r="AO100" s="657"/>
      <c r="AP100" s="653"/>
      <c r="AQ100" s="653"/>
      <c r="AR100" s="653"/>
      <c r="AS100" s="653"/>
      <c r="AT100" s="653"/>
      <c r="AU100" s="653"/>
      <c r="AV100" s="653"/>
      <c r="AW100" s="653"/>
      <c r="AX100" s="653"/>
      <c r="AY100" s="653"/>
      <c r="AZ100" s="653"/>
      <c r="BA100" s="653"/>
      <c r="BL100" s="653"/>
    </row>
    <row r="101" spans="2:64" x14ac:dyDescent="0.35">
      <c r="B101" s="668" t="s">
        <v>49</v>
      </c>
      <c r="C101" s="435" t="s">
        <v>391</v>
      </c>
      <c r="D101" s="164" t="s">
        <v>1143</v>
      </c>
      <c r="E101" s="1159">
        <v>0.21989657719773459</v>
      </c>
      <c r="F101" s="1159">
        <v>0.25265444015444022</v>
      </c>
      <c r="G101" s="1159">
        <v>0.27247515599722671</v>
      </c>
      <c r="H101" s="1159">
        <v>0.27543729982754372</v>
      </c>
      <c r="I101" s="1159">
        <v>0.2521891418563923</v>
      </c>
      <c r="J101" s="1159">
        <v>0.21779066956731929</v>
      </c>
      <c r="K101" s="1159">
        <v>0.23239257564200361</v>
      </c>
      <c r="L101" s="1159">
        <v>0.2493940862821134</v>
      </c>
      <c r="M101" s="1159">
        <v>0.21834992887624466</v>
      </c>
      <c r="N101" s="1159">
        <v>0.22816985645933013</v>
      </c>
      <c r="O101" s="1159">
        <v>0.21603641456582634</v>
      </c>
      <c r="P101" s="1159">
        <v>0.22135842880523732</v>
      </c>
      <c r="Q101" s="1159">
        <v>0.2161540672607071</v>
      </c>
      <c r="R101" s="1159">
        <v>6.1411192214111919E-2</v>
      </c>
      <c r="S101" s="1159">
        <v>0.19091360476663358</v>
      </c>
      <c r="T101" s="1159">
        <v>0.21742761692650334</v>
      </c>
      <c r="U101" s="1159">
        <v>0.23347701149425287</v>
      </c>
      <c r="V101" s="1159">
        <v>0.20316693505099301</v>
      </c>
      <c r="W101" s="1159">
        <v>0.16205533596837945</v>
      </c>
      <c r="X101" s="1159">
        <v>0.17839668799397818</v>
      </c>
      <c r="Y101" s="1159">
        <v>0.1674715085957118</v>
      </c>
      <c r="Z101" s="1159">
        <v>0.1560410164957646</v>
      </c>
      <c r="AA101" s="1159">
        <v>0.14698331193838254</v>
      </c>
      <c r="AB101" s="1159">
        <v>0.1572345390898483</v>
      </c>
      <c r="AC101" s="1159">
        <v>0.17130000000000001</v>
      </c>
      <c r="AD101" s="661"/>
      <c r="AE101" s="661"/>
      <c r="AF101" s="661"/>
      <c r="AG101" s="661"/>
      <c r="AH101" s="661"/>
      <c r="AI101" s="661"/>
      <c r="AJ101" s="661"/>
      <c r="AK101" s="661"/>
      <c r="AL101" s="661"/>
      <c r="AM101" s="661"/>
      <c r="AN101" s="661"/>
      <c r="AO101" s="661"/>
      <c r="AP101" s="661"/>
      <c r="AQ101" s="661"/>
      <c r="AR101" s="661"/>
      <c r="AS101" s="661"/>
      <c r="AT101" s="661"/>
      <c r="AU101" s="661"/>
      <c r="AV101" s="661"/>
      <c r="AW101" s="661"/>
      <c r="AX101" s="661"/>
      <c r="AY101" s="661"/>
      <c r="AZ101" s="661"/>
      <c r="BA101" s="661"/>
      <c r="BB101" s="661"/>
      <c r="BC101" s="661"/>
      <c r="BD101" s="661"/>
      <c r="BE101" s="661"/>
      <c r="BF101" s="661"/>
      <c r="BG101" s="661"/>
      <c r="BH101" s="661"/>
      <c r="BI101" s="661"/>
      <c r="BJ101" s="661"/>
      <c r="BK101" s="661"/>
      <c r="BL101" s="661"/>
    </row>
    <row r="102" spans="2:64" x14ac:dyDescent="0.35">
      <c r="B102" s="668" t="s">
        <v>849</v>
      </c>
      <c r="C102" s="435" t="s">
        <v>392</v>
      </c>
      <c r="D102" s="164" t="s">
        <v>1143</v>
      </c>
      <c r="E102" s="1159">
        <v>0.21989657719773459</v>
      </c>
      <c r="F102" s="1159">
        <v>0.25265444015444022</v>
      </c>
      <c r="G102" s="1159">
        <v>0.27247515599722671</v>
      </c>
      <c r="H102" s="1159">
        <v>0.27543729982754372</v>
      </c>
      <c r="I102" s="1159">
        <v>0.2521891418563923</v>
      </c>
      <c r="J102" s="1159">
        <v>0.21779066956731929</v>
      </c>
      <c r="K102" s="1159">
        <v>0.23239257564200361</v>
      </c>
      <c r="L102" s="1159">
        <v>0.2493940862821134</v>
      </c>
      <c r="M102" s="1159">
        <v>0.21834992887624466</v>
      </c>
      <c r="N102" s="1159">
        <v>0.22816985645933013</v>
      </c>
      <c r="O102" s="1159">
        <v>0.21603641456582634</v>
      </c>
      <c r="P102" s="1159">
        <v>0.22135842880523732</v>
      </c>
      <c r="Q102" s="1159">
        <v>0.2161540672607071</v>
      </c>
      <c r="R102" s="1159">
        <v>6.1411192214111919E-2</v>
      </c>
      <c r="S102" s="1159">
        <v>0.19091360476663358</v>
      </c>
      <c r="T102" s="1159">
        <v>0.21742761692650334</v>
      </c>
      <c r="U102" s="1159">
        <v>0.23347701149425287</v>
      </c>
      <c r="V102" s="1159">
        <v>0.20316693505099301</v>
      </c>
      <c r="W102" s="1159">
        <v>0.16205533596837945</v>
      </c>
      <c r="X102" s="1159">
        <v>0.17839668799397818</v>
      </c>
      <c r="Y102" s="1159">
        <v>0.1674715085957118</v>
      </c>
      <c r="Z102" s="1159">
        <v>0.1560410164957646</v>
      </c>
      <c r="AA102" s="1159">
        <v>0.14698331193838254</v>
      </c>
      <c r="AB102" s="1159">
        <v>0.1572345390898483</v>
      </c>
      <c r="AC102" s="1159">
        <v>0.17130000000000001</v>
      </c>
      <c r="AD102" s="661">
        <v>0.16497553327853828</v>
      </c>
      <c r="AE102" s="661">
        <v>0.16497553327853828</v>
      </c>
      <c r="AF102" s="661">
        <v>0.16497553327853828</v>
      </c>
      <c r="AG102" s="661">
        <v>0.16497553327853828</v>
      </c>
      <c r="AH102" s="661">
        <v>0.16497553327853828</v>
      </c>
      <c r="AI102" s="661">
        <v>0.16497553327853828</v>
      </c>
      <c r="AJ102" s="661">
        <v>0.16497553327853828</v>
      </c>
      <c r="AK102" s="661">
        <v>0.16497553327853828</v>
      </c>
      <c r="AL102" s="661">
        <v>0.16497553327853828</v>
      </c>
      <c r="AM102" s="661">
        <v>0.16497553327853828</v>
      </c>
      <c r="AN102" s="661">
        <v>0.16497553327853828</v>
      </c>
      <c r="AO102" s="661">
        <v>0.16497553327853828</v>
      </c>
      <c r="AP102" s="661">
        <v>0.16497553327853828</v>
      </c>
      <c r="AQ102" s="661">
        <v>0.16497553327853828</v>
      </c>
      <c r="AR102" s="661">
        <v>0.16497553327853828</v>
      </c>
      <c r="AS102" s="661">
        <v>0.16497553327853828</v>
      </c>
      <c r="AT102" s="661">
        <v>0.16497553327853828</v>
      </c>
      <c r="AU102" s="661">
        <v>0.16497553327853828</v>
      </c>
      <c r="AV102" s="661">
        <v>0.16497553327853828</v>
      </c>
      <c r="AW102" s="661">
        <v>0.16497553327853828</v>
      </c>
      <c r="AX102" s="661">
        <v>0.16497553327853828</v>
      </c>
      <c r="AY102" s="661">
        <v>0.16497553327853828</v>
      </c>
      <c r="AZ102" s="661">
        <v>0.16497553327853828</v>
      </c>
      <c r="BA102" s="661">
        <v>0.16497553327853828</v>
      </c>
      <c r="BB102" s="661">
        <v>0.16497553327853828</v>
      </c>
      <c r="BC102" s="661">
        <v>0.16497553327853828</v>
      </c>
      <c r="BD102" s="661">
        <v>0.16497553327853828</v>
      </c>
      <c r="BE102" s="661">
        <v>0.16497553327853828</v>
      </c>
      <c r="BF102" s="661">
        <v>0.16497553327853828</v>
      </c>
      <c r="BG102" s="661">
        <v>0.16497553327853828</v>
      </c>
      <c r="BH102" s="661">
        <v>0.16497553327853828</v>
      </c>
      <c r="BI102" s="661">
        <v>0.16497553327853828</v>
      </c>
      <c r="BJ102" s="661">
        <v>0.16497553327853828</v>
      </c>
      <c r="BK102" s="661">
        <v>0.16497553327853828</v>
      </c>
      <c r="BL102" s="661">
        <v>0.16497553327853828</v>
      </c>
    </row>
    <row r="103" spans="2:64" x14ac:dyDescent="0.35">
      <c r="B103" s="668" t="s">
        <v>850</v>
      </c>
      <c r="C103" s="435" t="s">
        <v>446</v>
      </c>
      <c r="D103" s="164" t="s">
        <v>1143</v>
      </c>
      <c r="E103" s="1159">
        <v>0.21989657719773459</v>
      </c>
      <c r="F103" s="1159">
        <v>0.25265444015444022</v>
      </c>
      <c r="G103" s="1159">
        <v>0.27247515599722671</v>
      </c>
      <c r="H103" s="1159">
        <v>0.27543729982754372</v>
      </c>
      <c r="I103" s="1159">
        <v>0.2521891418563923</v>
      </c>
      <c r="J103" s="1159">
        <v>0.21779066956731929</v>
      </c>
      <c r="K103" s="1159">
        <v>0.23239257564200361</v>
      </c>
      <c r="L103" s="1159">
        <v>0.2493940862821134</v>
      </c>
      <c r="M103" s="1159">
        <v>0.21834992887624466</v>
      </c>
      <c r="N103" s="1159">
        <v>0.22816985645933013</v>
      </c>
      <c r="O103" s="1159">
        <v>0.21603641456582634</v>
      </c>
      <c r="P103" s="1159">
        <v>0.22135842880523732</v>
      </c>
      <c r="Q103" s="1159">
        <v>0.2161540672607071</v>
      </c>
      <c r="R103" s="1159">
        <v>6.1411192214111919E-2</v>
      </c>
      <c r="S103" s="1159">
        <v>0.19091360476663358</v>
      </c>
      <c r="T103" s="1159">
        <v>0.21742761692650334</v>
      </c>
      <c r="U103" s="1159">
        <v>0.23347701149425287</v>
      </c>
      <c r="V103" s="1159">
        <v>0.20316693505099301</v>
      </c>
      <c r="W103" s="1159">
        <v>0.16205533596837945</v>
      </c>
      <c r="X103" s="1159">
        <v>0.17839668799397818</v>
      </c>
      <c r="Y103" s="1159">
        <v>0.1674715085957118</v>
      </c>
      <c r="Z103" s="1159">
        <v>0.1560410164957646</v>
      </c>
      <c r="AA103" s="1159">
        <v>0.14698331193838254</v>
      </c>
      <c r="AB103" s="1159">
        <v>0.1572345390898483</v>
      </c>
      <c r="AC103" s="1159">
        <v>0.17130000000000001</v>
      </c>
      <c r="AD103" s="666">
        <v>0.20130145706606309</v>
      </c>
      <c r="AE103" s="666">
        <v>0.20130145706606309</v>
      </c>
      <c r="AF103" s="666">
        <v>0.20130145706606309</v>
      </c>
      <c r="AG103" s="666">
        <v>0.20130145706606309</v>
      </c>
      <c r="AH103" s="666">
        <v>0.20130145706606309</v>
      </c>
      <c r="AI103" s="666">
        <v>0.20130145706606309</v>
      </c>
      <c r="AJ103" s="666">
        <v>0.20130145706606309</v>
      </c>
      <c r="AK103" s="666">
        <v>0.20130145706606309</v>
      </c>
      <c r="AL103" s="666">
        <v>0.20130145706606309</v>
      </c>
      <c r="AM103" s="666">
        <v>0.20130145706606309</v>
      </c>
      <c r="AN103" s="666">
        <v>0.20130145706606309</v>
      </c>
      <c r="AO103" s="666">
        <v>0.20130145706606309</v>
      </c>
      <c r="AP103" s="666">
        <v>0.20130145706606309</v>
      </c>
      <c r="AQ103" s="666">
        <v>0.20130145706606309</v>
      </c>
      <c r="AR103" s="666">
        <v>0.20130145706606309</v>
      </c>
      <c r="AS103" s="666">
        <v>0.20130145706606309</v>
      </c>
      <c r="AT103" s="666">
        <v>0.20130145706606309</v>
      </c>
      <c r="AU103" s="666">
        <v>0.20130145706606309</v>
      </c>
      <c r="AV103" s="666">
        <v>0.20130145706606309</v>
      </c>
      <c r="AW103" s="666">
        <v>0.20130145706606309</v>
      </c>
      <c r="AX103" s="666">
        <v>0.20130145706606309</v>
      </c>
      <c r="AY103" s="666">
        <v>0.20130145706606309</v>
      </c>
      <c r="AZ103" s="666">
        <v>0.20130145706606309</v>
      </c>
      <c r="BA103" s="666">
        <v>0.20130145706606309</v>
      </c>
      <c r="BB103" s="666">
        <v>0.20130145706606309</v>
      </c>
      <c r="BC103" s="666">
        <v>0.20130145706606309</v>
      </c>
      <c r="BD103" s="666">
        <v>0.20130145706606309</v>
      </c>
      <c r="BE103" s="666">
        <v>0.20130145706606309</v>
      </c>
      <c r="BF103" s="666">
        <v>0.20130145706606309</v>
      </c>
      <c r="BG103" s="666">
        <v>0.20130145706606309</v>
      </c>
      <c r="BH103" s="666">
        <v>0.20130145706606309</v>
      </c>
      <c r="BI103" s="666">
        <v>0.20130145706606309</v>
      </c>
      <c r="BJ103" s="666">
        <v>0.20130145706606309</v>
      </c>
      <c r="BK103" s="666">
        <v>0.20130145706606309</v>
      </c>
      <c r="BL103" s="666">
        <v>0.20130145706606309</v>
      </c>
    </row>
    <row r="104" spans="2:64" x14ac:dyDescent="0.35">
      <c r="B104" s="668" t="s">
        <v>851</v>
      </c>
      <c r="C104" s="435" t="s">
        <v>455</v>
      </c>
      <c r="D104" s="164" t="s">
        <v>1143</v>
      </c>
      <c r="E104" s="1159">
        <v>0.21989657719773459</v>
      </c>
      <c r="F104" s="1159">
        <v>0.25265444015444022</v>
      </c>
      <c r="G104" s="1159">
        <v>0.27247515599722671</v>
      </c>
      <c r="H104" s="1159">
        <v>0.27543729982754372</v>
      </c>
      <c r="I104" s="1159">
        <v>0.2521891418563923</v>
      </c>
      <c r="J104" s="1159">
        <v>0.21779066956731929</v>
      </c>
      <c r="K104" s="1159">
        <v>0.23239257564200361</v>
      </c>
      <c r="L104" s="1159">
        <v>0.2493940862821134</v>
      </c>
      <c r="M104" s="1159">
        <v>0.21834992887624466</v>
      </c>
      <c r="N104" s="1159">
        <v>0.22816985645933013</v>
      </c>
      <c r="O104" s="1159">
        <v>0.21603641456582634</v>
      </c>
      <c r="P104" s="1159">
        <v>0.22135842880523732</v>
      </c>
      <c r="Q104" s="1159">
        <v>0.2161540672607071</v>
      </c>
      <c r="R104" s="1159">
        <v>6.1411192214111919E-2</v>
      </c>
      <c r="S104" s="1159">
        <v>0.19091360476663358</v>
      </c>
      <c r="T104" s="1159">
        <v>0.21742761692650334</v>
      </c>
      <c r="U104" s="1159">
        <v>0.23347701149425287</v>
      </c>
      <c r="V104" s="1159">
        <v>0.20316693505099301</v>
      </c>
      <c r="W104" s="1159">
        <v>0.16205533596837945</v>
      </c>
      <c r="X104" s="1159">
        <v>0.17839668799397818</v>
      </c>
      <c r="Y104" s="1159">
        <v>0.1674715085957118</v>
      </c>
      <c r="Z104" s="1159">
        <v>0.1560410164957646</v>
      </c>
      <c r="AA104" s="1159">
        <v>0.14698331193838254</v>
      </c>
      <c r="AB104" s="1159">
        <v>0.1572345390898483</v>
      </c>
      <c r="AC104" s="1159">
        <v>0.17130000000000001</v>
      </c>
      <c r="AD104" s="666">
        <v>0.14228532911791686</v>
      </c>
      <c r="AE104" s="666">
        <v>0.14228532911791686</v>
      </c>
      <c r="AF104" s="666">
        <v>0.14228532911791686</v>
      </c>
      <c r="AG104" s="666">
        <v>0.14228532911791686</v>
      </c>
      <c r="AH104" s="666">
        <v>0.14228532911791686</v>
      </c>
      <c r="AI104" s="666">
        <v>0.14228532911791686</v>
      </c>
      <c r="AJ104" s="666">
        <v>0.14228532911791686</v>
      </c>
      <c r="AK104" s="666">
        <v>0.14228532911791686</v>
      </c>
      <c r="AL104" s="666">
        <v>0.14228532911791686</v>
      </c>
      <c r="AM104" s="666">
        <v>0.14228532911791686</v>
      </c>
      <c r="AN104" s="666">
        <v>0.14228532911791686</v>
      </c>
      <c r="AO104" s="666">
        <v>0.14228532911791686</v>
      </c>
      <c r="AP104" s="666">
        <v>0.14228532911791686</v>
      </c>
      <c r="AQ104" s="666">
        <v>0.14228532911791686</v>
      </c>
      <c r="AR104" s="666">
        <v>0.14228532911791686</v>
      </c>
      <c r="AS104" s="666">
        <v>0.14228532911791686</v>
      </c>
      <c r="AT104" s="666">
        <v>0.14228532911791686</v>
      </c>
      <c r="AU104" s="666">
        <v>0.14228532911791686</v>
      </c>
      <c r="AV104" s="666">
        <v>0.14228532911791686</v>
      </c>
      <c r="AW104" s="666">
        <v>0.14228532911791686</v>
      </c>
      <c r="AX104" s="666">
        <v>0.14228532911791686</v>
      </c>
      <c r="AY104" s="666">
        <v>0.14228532911791686</v>
      </c>
      <c r="AZ104" s="666">
        <v>0.14228532911791686</v>
      </c>
      <c r="BA104" s="666">
        <v>0.14228532911791686</v>
      </c>
      <c r="BB104" s="666">
        <v>0.14228532911791686</v>
      </c>
      <c r="BC104" s="666">
        <v>0.14228532911791686</v>
      </c>
      <c r="BD104" s="666">
        <v>0.14228532911791686</v>
      </c>
      <c r="BE104" s="666">
        <v>0.14228532911791686</v>
      </c>
      <c r="BF104" s="666">
        <v>0.14228532911791686</v>
      </c>
      <c r="BG104" s="666">
        <v>0.14228532911791686</v>
      </c>
      <c r="BH104" s="666">
        <v>0.14228532911791686</v>
      </c>
      <c r="BI104" s="666">
        <v>0.14228532911791686</v>
      </c>
      <c r="BJ104" s="666">
        <v>0.14228532911791686</v>
      </c>
      <c r="BK104" s="666">
        <v>0.14228532911791686</v>
      </c>
      <c r="BL104" s="666">
        <v>0.14228532911791686</v>
      </c>
    </row>
    <row r="105" spans="2:64" x14ac:dyDescent="0.35">
      <c r="B105" s="668" t="s">
        <v>852</v>
      </c>
      <c r="C105" s="435" t="s">
        <v>207</v>
      </c>
      <c r="D105" s="164" t="s">
        <v>1143</v>
      </c>
      <c r="E105" s="1159">
        <v>0.21989657719773459</v>
      </c>
      <c r="F105" s="1159">
        <v>0.25265444015444022</v>
      </c>
      <c r="G105" s="1159">
        <v>0.27247515599722671</v>
      </c>
      <c r="H105" s="1159">
        <v>0.27543729982754372</v>
      </c>
      <c r="I105" s="1159">
        <v>0.2521891418563923</v>
      </c>
      <c r="J105" s="1159">
        <v>0.21779066956731929</v>
      </c>
      <c r="K105" s="1159">
        <v>0.23239257564200361</v>
      </c>
      <c r="L105" s="1159">
        <v>0.2493940862821134</v>
      </c>
      <c r="M105" s="1159">
        <v>0.21834992887624466</v>
      </c>
      <c r="N105" s="1159">
        <v>0.22816985645933013</v>
      </c>
      <c r="O105" s="1159">
        <v>0.21603641456582634</v>
      </c>
      <c r="P105" s="1159">
        <v>0.22135842880523732</v>
      </c>
      <c r="Q105" s="1159">
        <v>0.2161540672607071</v>
      </c>
      <c r="R105" s="1159">
        <v>6.1411192214111919E-2</v>
      </c>
      <c r="S105" s="1159">
        <v>0.19091360476663358</v>
      </c>
      <c r="T105" s="1159">
        <v>0.21742761692650334</v>
      </c>
      <c r="U105" s="1159">
        <v>0.23347701149425287</v>
      </c>
      <c r="V105" s="1159">
        <v>0.20316693505099301</v>
      </c>
      <c r="W105" s="1159">
        <v>0.16205533596837945</v>
      </c>
      <c r="X105" s="1159">
        <v>0.17839668799397818</v>
      </c>
      <c r="Y105" s="1159">
        <v>0.1674715085957118</v>
      </c>
      <c r="Z105" s="1159">
        <v>0.1560410164957646</v>
      </c>
      <c r="AA105" s="1159">
        <v>0.14698331193838254</v>
      </c>
      <c r="AB105" s="1159">
        <v>0.1572345390898483</v>
      </c>
      <c r="AC105" s="1159">
        <v>0.17130000000000001</v>
      </c>
      <c r="AD105" s="666">
        <v>8.3269201169770657E-2</v>
      </c>
      <c r="AE105" s="666">
        <v>8.3269201169770657E-2</v>
      </c>
      <c r="AF105" s="666">
        <v>8.3269201169770657E-2</v>
      </c>
      <c r="AG105" s="666">
        <v>8.3269201169770657E-2</v>
      </c>
      <c r="AH105" s="666">
        <v>8.3269201169770657E-2</v>
      </c>
      <c r="AI105" s="666">
        <v>8.3269201169770657E-2</v>
      </c>
      <c r="AJ105" s="666">
        <v>8.3269201169770657E-2</v>
      </c>
      <c r="AK105" s="666">
        <v>8.3269201169770657E-2</v>
      </c>
      <c r="AL105" s="666">
        <v>8.3269201169770657E-2</v>
      </c>
      <c r="AM105" s="666">
        <v>8.3269201169770657E-2</v>
      </c>
      <c r="AN105" s="666">
        <v>8.3269201169770657E-2</v>
      </c>
      <c r="AO105" s="666">
        <v>8.3269201169770657E-2</v>
      </c>
      <c r="AP105" s="666">
        <v>8.3269201169770657E-2</v>
      </c>
      <c r="AQ105" s="666">
        <v>8.3269201169770657E-2</v>
      </c>
      <c r="AR105" s="666">
        <v>8.3269201169770657E-2</v>
      </c>
      <c r="AS105" s="666">
        <v>8.3269201169770657E-2</v>
      </c>
      <c r="AT105" s="666">
        <v>8.3269201169770657E-2</v>
      </c>
      <c r="AU105" s="666">
        <v>8.3269201169770657E-2</v>
      </c>
      <c r="AV105" s="666">
        <v>8.3269201169770657E-2</v>
      </c>
      <c r="AW105" s="666">
        <v>8.3269201169770657E-2</v>
      </c>
      <c r="AX105" s="666">
        <v>8.3269201169770657E-2</v>
      </c>
      <c r="AY105" s="666">
        <v>8.3269201169770657E-2</v>
      </c>
      <c r="AZ105" s="666">
        <v>8.3269201169770657E-2</v>
      </c>
      <c r="BA105" s="666">
        <v>8.3269201169770657E-2</v>
      </c>
      <c r="BB105" s="666">
        <v>8.3269201169770657E-2</v>
      </c>
      <c r="BC105" s="666">
        <v>8.3269201169770657E-2</v>
      </c>
      <c r="BD105" s="666">
        <v>8.3269201169770657E-2</v>
      </c>
      <c r="BE105" s="666">
        <v>8.3269201169770657E-2</v>
      </c>
      <c r="BF105" s="666">
        <v>8.3269201169770657E-2</v>
      </c>
      <c r="BG105" s="666">
        <v>8.3269201169770657E-2</v>
      </c>
      <c r="BH105" s="666">
        <v>8.3269201169770657E-2</v>
      </c>
      <c r="BI105" s="666">
        <v>8.3269201169770657E-2</v>
      </c>
      <c r="BJ105" s="666">
        <v>8.3269201169770657E-2</v>
      </c>
      <c r="BK105" s="666">
        <v>8.3269201169770657E-2</v>
      </c>
      <c r="BL105" s="666">
        <v>8.3269201169770657E-2</v>
      </c>
    </row>
    <row r="106" spans="2:64" x14ac:dyDescent="0.35">
      <c r="B106" s="499"/>
      <c r="C106" s="435" t="s">
        <v>496</v>
      </c>
      <c r="D106" s="164" t="s">
        <v>1143</v>
      </c>
      <c r="E106" s="1159">
        <v>0.21989657719773459</v>
      </c>
      <c r="F106" s="1159">
        <v>0.25265444015444022</v>
      </c>
      <c r="G106" s="1159">
        <v>0.27247515599722671</v>
      </c>
      <c r="H106" s="1159">
        <v>0.27543729982754372</v>
      </c>
      <c r="I106" s="1159">
        <v>0.2521891418563923</v>
      </c>
      <c r="J106" s="1159">
        <v>0.21779066956731929</v>
      </c>
      <c r="K106" s="1159">
        <v>0.23239257564200361</v>
      </c>
      <c r="L106" s="1159">
        <v>0.2493940862821134</v>
      </c>
      <c r="M106" s="1159">
        <v>0.21834992887624466</v>
      </c>
      <c r="N106" s="1159">
        <v>0.22816985645933013</v>
      </c>
      <c r="O106" s="1159">
        <v>0.21603641456582634</v>
      </c>
      <c r="P106" s="1159">
        <v>0.22135842880523732</v>
      </c>
      <c r="Q106" s="1159">
        <v>0.2161540672607071</v>
      </c>
      <c r="R106" s="1159">
        <v>6.1411192214111919E-2</v>
      </c>
      <c r="S106" s="1159">
        <v>0.19091360476663358</v>
      </c>
      <c r="T106" s="1159">
        <v>0.21742761692650334</v>
      </c>
      <c r="U106" s="1159">
        <v>0.23347701149425287</v>
      </c>
      <c r="V106" s="1159">
        <v>0.20316693505099301</v>
      </c>
      <c r="W106" s="1159">
        <v>0.16205533596837945</v>
      </c>
      <c r="X106" s="1159">
        <v>0.17839668799397818</v>
      </c>
      <c r="Y106" s="1159">
        <v>0.1674715085957118</v>
      </c>
      <c r="Z106" s="1159">
        <v>0.1560410164957646</v>
      </c>
      <c r="AA106" s="1159">
        <v>0.14698331193838254</v>
      </c>
      <c r="AB106" s="1159">
        <v>0.1572345390898483</v>
      </c>
      <c r="AC106" s="1159">
        <v>0.17130000000000001</v>
      </c>
      <c r="AD106" s="666">
        <v>0.1655979300258747</v>
      </c>
      <c r="AE106" s="666">
        <v>0.15</v>
      </c>
      <c r="AF106" s="666">
        <v>0.15</v>
      </c>
      <c r="AG106" s="666">
        <v>0.15</v>
      </c>
      <c r="AH106" s="666">
        <v>0.15</v>
      </c>
      <c r="AI106" s="666">
        <v>0.15</v>
      </c>
      <c r="AJ106" s="666">
        <v>0.15</v>
      </c>
      <c r="AK106" s="666">
        <v>0.15</v>
      </c>
      <c r="AL106" s="666">
        <v>0.18</v>
      </c>
      <c r="AM106" s="666">
        <v>0.18</v>
      </c>
      <c r="AN106" s="666">
        <v>0.18</v>
      </c>
      <c r="AO106" s="666">
        <v>0.18</v>
      </c>
      <c r="AP106" s="666">
        <v>0.18</v>
      </c>
      <c r="AQ106" s="666">
        <v>0.18</v>
      </c>
      <c r="AR106" s="666">
        <v>0.18</v>
      </c>
      <c r="AS106" s="666">
        <v>0.18</v>
      </c>
      <c r="AT106" s="666">
        <v>0.18</v>
      </c>
      <c r="AU106" s="666">
        <v>0.18</v>
      </c>
      <c r="AV106" s="666">
        <v>0.18</v>
      </c>
      <c r="AW106" s="666">
        <v>0.18</v>
      </c>
      <c r="AX106" s="666">
        <v>0.18</v>
      </c>
      <c r="AY106" s="666">
        <v>0.18</v>
      </c>
      <c r="AZ106" s="666">
        <v>0.18</v>
      </c>
      <c r="BA106" s="666">
        <v>0.18</v>
      </c>
      <c r="BB106" s="666">
        <v>0.18</v>
      </c>
      <c r="BC106" s="666">
        <v>0.18</v>
      </c>
      <c r="BD106" s="666">
        <v>0.18</v>
      </c>
      <c r="BE106" s="666">
        <v>0.18</v>
      </c>
      <c r="BF106" s="666">
        <v>0.18</v>
      </c>
      <c r="BG106" s="666">
        <v>0.18</v>
      </c>
      <c r="BH106" s="666">
        <v>0.18</v>
      </c>
      <c r="BI106" s="666">
        <v>0.18</v>
      </c>
      <c r="BJ106" s="666">
        <v>0.18</v>
      </c>
      <c r="BK106" s="666">
        <v>0.18</v>
      </c>
      <c r="BL106" s="666">
        <v>0.18</v>
      </c>
    </row>
    <row r="107" spans="2:64" x14ac:dyDescent="0.35">
      <c r="E107" s="224"/>
      <c r="F107" s="224"/>
      <c r="G107" s="224"/>
      <c r="H107" s="224"/>
      <c r="I107" s="224"/>
      <c r="J107" s="224"/>
      <c r="K107" s="224"/>
      <c r="L107" s="224"/>
      <c r="M107" s="224"/>
      <c r="N107" s="224"/>
      <c r="O107" s="224"/>
      <c r="P107" s="224"/>
      <c r="Q107" s="224"/>
      <c r="R107" s="224"/>
      <c r="S107" s="224"/>
      <c r="T107" s="224"/>
      <c r="U107" s="224"/>
      <c r="V107" s="224"/>
      <c r="W107" s="224"/>
      <c r="X107" s="224"/>
    </row>
    <row r="108" spans="2:64" x14ac:dyDescent="0.35">
      <c r="B108" s="499" t="s">
        <v>847</v>
      </c>
      <c r="E108" s="224"/>
      <c r="F108" s="224"/>
      <c r="G108" s="224"/>
      <c r="H108" s="224"/>
      <c r="I108" s="224"/>
      <c r="J108" s="224"/>
      <c r="K108" s="224"/>
      <c r="L108" s="224"/>
      <c r="M108" s="224"/>
      <c r="N108" s="224"/>
      <c r="O108" s="224"/>
      <c r="P108" s="224"/>
      <c r="Q108" s="224"/>
      <c r="R108" s="224"/>
      <c r="S108" s="224"/>
      <c r="T108" s="224"/>
      <c r="U108" s="224"/>
      <c r="V108" s="224"/>
      <c r="W108" s="224"/>
      <c r="X108" s="224"/>
    </row>
    <row r="109" spans="2:64" hidden="1" x14ac:dyDescent="0.35">
      <c r="B109" s="50" t="s">
        <v>824</v>
      </c>
      <c r="C109" s="435" t="s">
        <v>391</v>
      </c>
      <c r="D109" s="164" t="s">
        <v>831</v>
      </c>
      <c r="E109" s="653"/>
      <c r="F109" s="653"/>
      <c r="G109" s="653"/>
      <c r="H109" s="653"/>
      <c r="I109" s="653"/>
      <c r="J109" s="653"/>
      <c r="K109" s="653"/>
      <c r="L109" s="653"/>
      <c r="M109" s="653"/>
      <c r="N109" s="653"/>
      <c r="O109" s="653"/>
      <c r="P109" s="653"/>
      <c r="Q109" s="653"/>
      <c r="AB109" s="653"/>
      <c r="AC109" s="653"/>
      <c r="AD109" s="653"/>
      <c r="AE109" s="653"/>
      <c r="AF109" s="653"/>
      <c r="AG109" s="653"/>
      <c r="AH109" s="653"/>
      <c r="AI109" s="653"/>
      <c r="AJ109" s="653"/>
      <c r="AK109" s="653"/>
      <c r="AL109" s="653"/>
      <c r="AM109" s="653"/>
      <c r="AN109" s="653"/>
      <c r="AO109" s="653"/>
      <c r="AP109" s="653"/>
      <c r="AQ109" s="653"/>
      <c r="AR109" s="653"/>
      <c r="AS109" s="653"/>
      <c r="AT109" s="653"/>
      <c r="AU109" s="653"/>
      <c r="AV109" s="653"/>
      <c r="AW109" s="653"/>
      <c r="AX109" s="653"/>
      <c r="AY109" s="653"/>
      <c r="AZ109" s="653"/>
      <c r="BA109" s="653"/>
      <c r="BL109" s="653"/>
    </row>
    <row r="110" spans="2:64" hidden="1" x14ac:dyDescent="0.35">
      <c r="B110" s="499"/>
      <c r="C110" s="435" t="s">
        <v>392</v>
      </c>
      <c r="D110" s="164" t="s">
        <v>831</v>
      </c>
      <c r="E110" s="653"/>
      <c r="F110" s="653"/>
      <c r="G110" s="653"/>
      <c r="H110" s="653"/>
      <c r="I110" s="653"/>
      <c r="J110" s="653"/>
      <c r="K110" s="653"/>
      <c r="L110" s="653"/>
      <c r="M110" s="653"/>
      <c r="N110" s="653"/>
      <c r="O110" s="653"/>
      <c r="P110" s="653"/>
      <c r="Q110" s="653"/>
      <c r="AB110" s="653"/>
      <c r="AC110" s="653"/>
      <c r="AD110" s="653"/>
      <c r="AE110" s="653"/>
      <c r="AF110" s="653"/>
      <c r="AG110" s="653"/>
      <c r="AH110" s="653"/>
      <c r="AI110" s="653"/>
      <c r="AJ110" s="653"/>
      <c r="AK110" s="653"/>
      <c r="AL110" s="653"/>
      <c r="AM110" s="653"/>
      <c r="AN110" s="653"/>
      <c r="AO110" s="653"/>
      <c r="AP110" s="653"/>
      <c r="AQ110" s="653"/>
      <c r="AR110" s="653"/>
      <c r="AS110" s="653"/>
      <c r="AT110" s="653"/>
      <c r="AU110" s="653"/>
      <c r="AV110" s="653"/>
      <c r="AW110" s="653"/>
      <c r="AX110" s="653"/>
      <c r="AY110" s="653"/>
      <c r="AZ110" s="653"/>
      <c r="BA110" s="653"/>
      <c r="BL110" s="653"/>
    </row>
    <row r="111" spans="2:64" hidden="1" x14ac:dyDescent="0.35">
      <c r="B111" s="499"/>
      <c r="C111" s="435" t="s">
        <v>446</v>
      </c>
      <c r="D111" s="164" t="s">
        <v>831</v>
      </c>
      <c r="E111" s="653"/>
      <c r="F111" s="653"/>
      <c r="G111" s="653"/>
      <c r="H111" s="653"/>
      <c r="I111" s="653"/>
      <c r="J111" s="653"/>
      <c r="K111" s="653"/>
      <c r="L111" s="653"/>
      <c r="M111" s="653"/>
      <c r="N111" s="653"/>
      <c r="O111" s="653"/>
      <c r="P111" s="653"/>
      <c r="Q111" s="653"/>
      <c r="AB111" s="653"/>
      <c r="AC111" s="653"/>
      <c r="AD111" s="653"/>
      <c r="AE111" s="653"/>
      <c r="AF111" s="653"/>
      <c r="AG111" s="653"/>
      <c r="AH111" s="653"/>
      <c r="AI111" s="653"/>
      <c r="AJ111" s="653"/>
      <c r="AK111" s="653"/>
      <c r="AL111" s="653"/>
      <c r="AM111" s="653"/>
      <c r="AN111" s="653"/>
      <c r="AO111" s="653"/>
      <c r="AP111" s="653"/>
      <c r="AQ111" s="653"/>
      <c r="AR111" s="653"/>
      <c r="AS111" s="653"/>
      <c r="AT111" s="653"/>
      <c r="AU111" s="653"/>
      <c r="AV111" s="653"/>
      <c r="AW111" s="653"/>
      <c r="AX111" s="653"/>
      <c r="AY111" s="653"/>
      <c r="AZ111" s="653"/>
      <c r="BA111" s="653"/>
      <c r="BL111" s="653"/>
    </row>
    <row r="112" spans="2:64" hidden="1" x14ac:dyDescent="0.35">
      <c r="B112" s="499"/>
      <c r="C112" s="435" t="s">
        <v>455</v>
      </c>
      <c r="D112" s="164" t="s">
        <v>831</v>
      </c>
      <c r="E112" s="653"/>
      <c r="F112" s="653"/>
      <c r="G112" s="653"/>
      <c r="H112" s="653"/>
      <c r="I112" s="653"/>
      <c r="J112" s="653"/>
      <c r="K112" s="653"/>
      <c r="L112" s="653"/>
      <c r="M112" s="653"/>
      <c r="N112" s="653"/>
      <c r="O112" s="653"/>
      <c r="P112" s="653"/>
      <c r="Q112" s="653"/>
      <c r="AB112" s="653"/>
      <c r="AC112" s="653"/>
      <c r="AD112" s="653"/>
      <c r="AE112" s="653"/>
      <c r="AF112" s="653"/>
      <c r="AG112" s="653"/>
      <c r="AH112" s="653"/>
      <c r="AI112" s="653"/>
      <c r="AJ112" s="653"/>
      <c r="AK112" s="653"/>
      <c r="AL112" s="653"/>
      <c r="AM112" s="653"/>
      <c r="AN112" s="653"/>
      <c r="AO112" s="653"/>
      <c r="AP112" s="653"/>
      <c r="AQ112" s="653"/>
      <c r="AR112" s="653"/>
      <c r="AS112" s="653"/>
      <c r="AT112" s="653"/>
      <c r="AU112" s="653"/>
      <c r="AV112" s="653"/>
      <c r="AW112" s="653"/>
      <c r="AX112" s="653"/>
      <c r="AY112" s="653"/>
      <c r="AZ112" s="653"/>
      <c r="BA112" s="653"/>
      <c r="BL112" s="653"/>
    </row>
    <row r="113" spans="2:64" hidden="1" x14ac:dyDescent="0.35">
      <c r="B113" s="499"/>
      <c r="C113" s="435" t="s">
        <v>207</v>
      </c>
      <c r="D113" s="164" t="s">
        <v>831</v>
      </c>
      <c r="E113" s="657"/>
      <c r="F113" s="653"/>
      <c r="G113" s="653"/>
      <c r="H113" s="653"/>
      <c r="I113" s="653"/>
      <c r="J113" s="653"/>
      <c r="K113" s="653"/>
      <c r="L113" s="653"/>
      <c r="M113" s="653"/>
      <c r="N113" s="653"/>
      <c r="O113" s="653"/>
      <c r="P113" s="653"/>
      <c r="Q113" s="653"/>
      <c r="AB113" s="657"/>
      <c r="AC113" s="653"/>
      <c r="AD113" s="653"/>
      <c r="AE113" s="653"/>
      <c r="AF113" s="653"/>
      <c r="AG113" s="653"/>
      <c r="AH113" s="653"/>
      <c r="AI113" s="653"/>
      <c r="AJ113" s="653"/>
      <c r="AK113" s="653"/>
      <c r="AL113" s="653"/>
      <c r="AM113" s="653"/>
      <c r="AN113" s="653"/>
      <c r="AO113" s="657"/>
      <c r="AP113" s="653"/>
      <c r="AQ113" s="653"/>
      <c r="AR113" s="653"/>
      <c r="AS113" s="653"/>
      <c r="AT113" s="653"/>
      <c r="AU113" s="653"/>
      <c r="AV113" s="653"/>
      <c r="AW113" s="653"/>
      <c r="AX113" s="653"/>
      <c r="AY113" s="653"/>
      <c r="AZ113" s="653"/>
      <c r="BA113" s="653"/>
      <c r="BL113" s="653"/>
    </row>
    <row r="114" spans="2:64" hidden="1" x14ac:dyDescent="0.35">
      <c r="B114" s="499"/>
      <c r="C114" s="435" t="s">
        <v>496</v>
      </c>
      <c r="D114" s="164" t="s">
        <v>831</v>
      </c>
      <c r="E114" s="657"/>
      <c r="F114" s="653"/>
      <c r="G114" s="653"/>
      <c r="H114" s="653"/>
      <c r="I114" s="653"/>
      <c r="J114" s="653"/>
      <c r="K114" s="653"/>
      <c r="L114" s="653"/>
      <c r="M114" s="653"/>
      <c r="N114" s="653"/>
      <c r="O114" s="653"/>
      <c r="P114" s="653"/>
      <c r="Q114" s="653"/>
      <c r="AB114" s="657"/>
      <c r="AC114" s="653"/>
      <c r="AD114" s="653"/>
      <c r="AE114" s="653"/>
      <c r="AF114" s="653"/>
      <c r="AG114" s="653"/>
      <c r="AH114" s="653"/>
      <c r="AI114" s="653"/>
      <c r="AJ114" s="653"/>
      <c r="AK114" s="653"/>
      <c r="AL114" s="653"/>
      <c r="AM114" s="653"/>
      <c r="AN114" s="653"/>
      <c r="AO114" s="657"/>
      <c r="AP114" s="653"/>
      <c r="AQ114" s="653"/>
      <c r="AR114" s="653"/>
      <c r="AS114" s="653"/>
      <c r="AT114" s="653"/>
      <c r="AU114" s="653"/>
      <c r="AV114" s="653"/>
      <c r="AW114" s="653"/>
      <c r="AX114" s="653"/>
      <c r="AY114" s="653"/>
      <c r="AZ114" s="653"/>
      <c r="BA114" s="653"/>
      <c r="BL114" s="653"/>
    </row>
    <row r="115" spans="2:64" hidden="1" x14ac:dyDescent="0.35">
      <c r="B115" s="50" t="s">
        <v>825</v>
      </c>
      <c r="C115" s="435" t="s">
        <v>391</v>
      </c>
      <c r="D115" s="164" t="s">
        <v>836</v>
      </c>
      <c r="E115" s="657"/>
      <c r="F115" s="653"/>
      <c r="G115" s="653"/>
      <c r="H115" s="653"/>
      <c r="I115" s="653"/>
      <c r="J115" s="653"/>
      <c r="K115" s="653"/>
      <c r="L115" s="653"/>
      <c r="M115" s="653"/>
      <c r="N115" s="653"/>
      <c r="O115" s="653"/>
      <c r="P115" s="653"/>
      <c r="Q115" s="653"/>
      <c r="AB115" s="657"/>
      <c r="AC115" s="653"/>
      <c r="AD115" s="653"/>
      <c r="AE115" s="653"/>
      <c r="AF115" s="653"/>
      <c r="AG115" s="653"/>
      <c r="AH115" s="653"/>
      <c r="AI115" s="653"/>
      <c r="AJ115" s="653"/>
      <c r="AK115" s="653"/>
      <c r="AL115" s="653"/>
      <c r="AM115" s="653"/>
      <c r="AN115" s="653"/>
      <c r="AO115" s="657"/>
      <c r="AP115" s="653"/>
      <c r="AQ115" s="653"/>
      <c r="AR115" s="653"/>
      <c r="AS115" s="653"/>
      <c r="AT115" s="653"/>
      <c r="AU115" s="653"/>
      <c r="AV115" s="653"/>
      <c r="AW115" s="653"/>
      <c r="AX115" s="653"/>
      <c r="AY115" s="653"/>
      <c r="AZ115" s="653"/>
      <c r="BA115" s="653"/>
      <c r="BL115" s="653"/>
    </row>
    <row r="116" spans="2:64" hidden="1" x14ac:dyDescent="0.35">
      <c r="B116" s="499"/>
      <c r="C116" s="435" t="s">
        <v>392</v>
      </c>
      <c r="D116" s="164" t="s">
        <v>836</v>
      </c>
      <c r="E116" s="657"/>
      <c r="F116" s="653"/>
      <c r="G116" s="653"/>
      <c r="H116" s="653"/>
      <c r="I116" s="653"/>
      <c r="J116" s="653"/>
      <c r="K116" s="653"/>
      <c r="L116" s="653"/>
      <c r="M116" s="653"/>
      <c r="N116" s="653"/>
      <c r="O116" s="653"/>
      <c r="P116" s="653"/>
      <c r="Q116" s="653"/>
      <c r="AB116" s="657"/>
      <c r="AC116" s="653"/>
      <c r="AD116" s="653"/>
      <c r="AE116" s="653"/>
      <c r="AF116" s="653"/>
      <c r="AG116" s="653"/>
      <c r="AH116" s="653"/>
      <c r="AI116" s="653"/>
      <c r="AJ116" s="653"/>
      <c r="AK116" s="653"/>
      <c r="AL116" s="653"/>
      <c r="AM116" s="653"/>
      <c r="AN116" s="653"/>
      <c r="AO116" s="657"/>
      <c r="AP116" s="653"/>
      <c r="AQ116" s="653"/>
      <c r="AR116" s="653"/>
      <c r="AS116" s="653"/>
      <c r="AT116" s="653"/>
      <c r="AU116" s="653"/>
      <c r="AV116" s="653"/>
      <c r="AW116" s="653"/>
      <c r="AX116" s="653"/>
      <c r="AY116" s="653"/>
      <c r="AZ116" s="653"/>
      <c r="BA116" s="653"/>
      <c r="BL116" s="653"/>
    </row>
    <row r="117" spans="2:64" hidden="1" x14ac:dyDescent="0.35">
      <c r="B117" s="499"/>
      <c r="C117" s="435" t="s">
        <v>446</v>
      </c>
      <c r="D117" s="164" t="s">
        <v>836</v>
      </c>
      <c r="E117" s="657"/>
      <c r="F117" s="653"/>
      <c r="G117" s="653"/>
      <c r="H117" s="653"/>
      <c r="I117" s="653"/>
      <c r="J117" s="653"/>
      <c r="K117" s="653"/>
      <c r="L117" s="653"/>
      <c r="M117" s="653"/>
      <c r="N117" s="653"/>
      <c r="O117" s="653"/>
      <c r="P117" s="653"/>
      <c r="Q117" s="653"/>
      <c r="AB117" s="657"/>
      <c r="AC117" s="653"/>
      <c r="AD117" s="653"/>
      <c r="AE117" s="653"/>
      <c r="AF117" s="653"/>
      <c r="AG117" s="653"/>
      <c r="AH117" s="653"/>
      <c r="AI117" s="653"/>
      <c r="AJ117" s="653"/>
      <c r="AK117" s="653"/>
      <c r="AL117" s="653"/>
      <c r="AM117" s="653"/>
      <c r="AN117" s="653"/>
      <c r="AO117" s="657"/>
      <c r="AP117" s="653"/>
      <c r="AQ117" s="653"/>
      <c r="AR117" s="653"/>
      <c r="AS117" s="653"/>
      <c r="AT117" s="653"/>
      <c r="AU117" s="653"/>
      <c r="AV117" s="653"/>
      <c r="AW117" s="653"/>
      <c r="AX117" s="653"/>
      <c r="AY117" s="653"/>
      <c r="AZ117" s="653"/>
      <c r="BA117" s="653"/>
      <c r="BL117" s="653"/>
    </row>
    <row r="118" spans="2:64" hidden="1" x14ac:dyDescent="0.35">
      <c r="B118" s="499"/>
      <c r="C118" s="435" t="s">
        <v>455</v>
      </c>
      <c r="D118" s="164" t="s">
        <v>836</v>
      </c>
      <c r="E118" s="657"/>
      <c r="F118" s="653"/>
      <c r="G118" s="653"/>
      <c r="H118" s="653"/>
      <c r="I118" s="653"/>
      <c r="J118" s="653"/>
      <c r="K118" s="653"/>
      <c r="L118" s="653"/>
      <c r="M118" s="653"/>
      <c r="N118" s="653"/>
      <c r="O118" s="653"/>
      <c r="P118" s="653"/>
      <c r="Q118" s="653"/>
      <c r="AB118" s="657"/>
      <c r="AC118" s="653"/>
      <c r="AD118" s="653"/>
      <c r="AE118" s="653"/>
      <c r="AF118" s="653"/>
      <c r="AG118" s="653"/>
      <c r="AH118" s="653"/>
      <c r="AI118" s="653"/>
      <c r="AJ118" s="653"/>
      <c r="AK118" s="653"/>
      <c r="AL118" s="653"/>
      <c r="AM118" s="653"/>
      <c r="AN118" s="653"/>
      <c r="AO118" s="657"/>
      <c r="AP118" s="653"/>
      <c r="AQ118" s="653"/>
      <c r="AR118" s="653"/>
      <c r="AS118" s="653"/>
      <c r="AT118" s="653"/>
      <c r="AU118" s="653"/>
      <c r="AV118" s="653"/>
      <c r="AW118" s="653"/>
      <c r="AX118" s="653"/>
      <c r="AY118" s="653"/>
      <c r="AZ118" s="653"/>
      <c r="BA118" s="653"/>
      <c r="BL118" s="653"/>
    </row>
    <row r="119" spans="2:64" hidden="1" x14ac:dyDescent="0.35">
      <c r="B119" s="499"/>
      <c r="C119" s="435" t="s">
        <v>207</v>
      </c>
      <c r="D119" s="164" t="s">
        <v>836</v>
      </c>
      <c r="E119" s="657"/>
      <c r="F119" s="653"/>
      <c r="G119" s="653"/>
      <c r="H119" s="653"/>
      <c r="I119" s="653"/>
      <c r="J119" s="653"/>
      <c r="K119" s="653"/>
      <c r="L119" s="653"/>
      <c r="M119" s="653"/>
      <c r="N119" s="653"/>
      <c r="O119" s="653"/>
      <c r="P119" s="653"/>
      <c r="Q119" s="653"/>
      <c r="AB119" s="657"/>
      <c r="AC119" s="653"/>
      <c r="AD119" s="653"/>
      <c r="AE119" s="653"/>
      <c r="AF119" s="653"/>
      <c r="AG119" s="653"/>
      <c r="AH119" s="653"/>
      <c r="AI119" s="653"/>
      <c r="AJ119" s="653"/>
      <c r="AK119" s="653"/>
      <c r="AL119" s="653"/>
      <c r="AM119" s="653"/>
      <c r="AN119" s="653"/>
      <c r="AO119" s="657"/>
      <c r="AP119" s="653"/>
      <c r="AQ119" s="653"/>
      <c r="AR119" s="653"/>
      <c r="AS119" s="653"/>
      <c r="AT119" s="653"/>
      <c r="AU119" s="653"/>
      <c r="AV119" s="653"/>
      <c r="AW119" s="653"/>
      <c r="AX119" s="653"/>
      <c r="AY119" s="653"/>
      <c r="AZ119" s="653"/>
      <c r="BA119" s="653"/>
      <c r="BL119" s="653"/>
    </row>
    <row r="120" spans="2:64" hidden="1" x14ac:dyDescent="0.35">
      <c r="B120" s="499"/>
      <c r="C120" s="435" t="s">
        <v>496</v>
      </c>
      <c r="D120" s="164" t="s">
        <v>836</v>
      </c>
      <c r="E120" s="657"/>
      <c r="F120" s="653"/>
      <c r="G120" s="653"/>
      <c r="H120" s="653"/>
      <c r="I120" s="653"/>
      <c r="J120" s="653"/>
      <c r="K120" s="653"/>
      <c r="L120" s="653"/>
      <c r="M120" s="653"/>
      <c r="N120" s="653"/>
      <c r="O120" s="653"/>
      <c r="P120" s="653"/>
      <c r="Q120" s="653"/>
      <c r="AB120" s="657"/>
      <c r="AC120" s="653"/>
      <c r="AD120" s="653"/>
      <c r="AE120" s="653"/>
      <c r="AF120" s="653"/>
      <c r="AG120" s="653"/>
      <c r="AH120" s="653"/>
      <c r="AI120" s="653"/>
      <c r="AJ120" s="653"/>
      <c r="AK120" s="653"/>
      <c r="AL120" s="653"/>
      <c r="AM120" s="653"/>
      <c r="AN120" s="653"/>
      <c r="AO120" s="657"/>
      <c r="AP120" s="653"/>
      <c r="AQ120" s="653"/>
      <c r="AR120" s="653"/>
      <c r="AS120" s="653"/>
      <c r="AT120" s="653"/>
      <c r="AU120" s="653"/>
      <c r="AV120" s="653"/>
      <c r="AW120" s="653"/>
      <c r="AX120" s="653"/>
      <c r="AY120" s="653"/>
      <c r="AZ120" s="653"/>
      <c r="BA120" s="653"/>
      <c r="BL120" s="653"/>
    </row>
    <row r="121" spans="2:64" hidden="1" x14ac:dyDescent="0.35">
      <c r="B121" s="50" t="s">
        <v>826</v>
      </c>
      <c r="C121" s="435" t="s">
        <v>391</v>
      </c>
      <c r="D121" s="164" t="s">
        <v>839</v>
      </c>
      <c r="E121" s="657"/>
      <c r="F121" s="653"/>
      <c r="G121" s="653"/>
      <c r="H121" s="653"/>
      <c r="I121" s="653"/>
      <c r="J121" s="653"/>
      <c r="K121" s="653"/>
      <c r="L121" s="653"/>
      <c r="M121" s="653"/>
      <c r="N121" s="653"/>
      <c r="O121" s="653"/>
      <c r="P121" s="653"/>
      <c r="Q121" s="653"/>
      <c r="AB121" s="657"/>
      <c r="AC121" s="653"/>
      <c r="AD121" s="653"/>
      <c r="AE121" s="653"/>
      <c r="AF121" s="653"/>
      <c r="AG121" s="653"/>
      <c r="AH121" s="653"/>
      <c r="AI121" s="653"/>
      <c r="AJ121" s="653"/>
      <c r="AK121" s="653"/>
      <c r="AL121" s="653"/>
      <c r="AM121" s="653"/>
      <c r="AN121" s="653"/>
      <c r="AO121" s="657"/>
      <c r="AP121" s="653"/>
      <c r="AQ121" s="653"/>
      <c r="AR121" s="653"/>
      <c r="AS121" s="653"/>
      <c r="AT121" s="653"/>
      <c r="AU121" s="653"/>
      <c r="AV121" s="653"/>
      <c r="AW121" s="653"/>
      <c r="AX121" s="653"/>
      <c r="AY121" s="653"/>
      <c r="AZ121" s="653"/>
      <c r="BA121" s="653"/>
      <c r="BL121" s="653"/>
    </row>
    <row r="122" spans="2:64" hidden="1" x14ac:dyDescent="0.35">
      <c r="B122" s="499"/>
      <c r="C122" s="435" t="s">
        <v>392</v>
      </c>
      <c r="D122" s="164" t="s">
        <v>839</v>
      </c>
      <c r="E122" s="657"/>
      <c r="F122" s="653"/>
      <c r="G122" s="653"/>
      <c r="H122" s="653"/>
      <c r="I122" s="653"/>
      <c r="J122" s="653"/>
      <c r="K122" s="653"/>
      <c r="L122" s="653"/>
      <c r="M122" s="653"/>
      <c r="N122" s="653"/>
      <c r="O122" s="653"/>
      <c r="P122" s="653"/>
      <c r="Q122" s="653"/>
      <c r="AB122" s="657"/>
      <c r="AC122" s="653"/>
      <c r="AD122" s="653"/>
      <c r="AE122" s="653"/>
      <c r="AF122" s="653"/>
      <c r="AG122" s="653"/>
      <c r="AH122" s="653"/>
      <c r="AI122" s="653"/>
      <c r="AJ122" s="653"/>
      <c r="AK122" s="653"/>
      <c r="AL122" s="653"/>
      <c r="AM122" s="653"/>
      <c r="AN122" s="653"/>
      <c r="AO122" s="657"/>
      <c r="AP122" s="653"/>
      <c r="AQ122" s="653"/>
      <c r="AR122" s="653"/>
      <c r="AS122" s="653"/>
      <c r="AT122" s="653"/>
      <c r="AU122" s="653"/>
      <c r="AV122" s="653"/>
      <c r="AW122" s="653"/>
      <c r="AX122" s="653"/>
      <c r="AY122" s="653"/>
      <c r="AZ122" s="653"/>
      <c r="BA122" s="653"/>
      <c r="BL122" s="653"/>
    </row>
    <row r="123" spans="2:64" hidden="1" x14ac:dyDescent="0.35">
      <c r="B123" s="499"/>
      <c r="C123" s="435" t="s">
        <v>446</v>
      </c>
      <c r="D123" s="164" t="s">
        <v>839</v>
      </c>
      <c r="E123" s="657"/>
      <c r="F123" s="653"/>
      <c r="G123" s="653"/>
      <c r="H123" s="653"/>
      <c r="I123" s="653"/>
      <c r="J123" s="653"/>
      <c r="K123" s="653"/>
      <c r="L123" s="653"/>
      <c r="M123" s="653"/>
      <c r="N123" s="653"/>
      <c r="O123" s="653"/>
      <c r="P123" s="653"/>
      <c r="Q123" s="653"/>
      <c r="AB123" s="657"/>
      <c r="AC123" s="653"/>
      <c r="AD123" s="653"/>
      <c r="AE123" s="653"/>
      <c r="AF123" s="653"/>
      <c r="AG123" s="653"/>
      <c r="AH123" s="653"/>
      <c r="AI123" s="653"/>
      <c r="AJ123" s="653"/>
      <c r="AK123" s="653"/>
      <c r="AL123" s="653"/>
      <c r="AM123" s="653"/>
      <c r="AN123" s="653"/>
      <c r="AO123" s="657"/>
      <c r="AP123" s="653"/>
      <c r="AQ123" s="653"/>
      <c r="AR123" s="653"/>
      <c r="AS123" s="653"/>
      <c r="AT123" s="653"/>
      <c r="AU123" s="653"/>
      <c r="AV123" s="653"/>
      <c r="AW123" s="653"/>
      <c r="AX123" s="653"/>
      <c r="AY123" s="653"/>
      <c r="AZ123" s="653"/>
      <c r="BA123" s="653"/>
      <c r="BL123" s="653"/>
    </row>
    <row r="124" spans="2:64" hidden="1" x14ac:dyDescent="0.35">
      <c r="B124" s="499"/>
      <c r="C124" s="435" t="s">
        <v>455</v>
      </c>
      <c r="D124" s="164" t="s">
        <v>839</v>
      </c>
      <c r="E124" s="657"/>
      <c r="F124" s="653"/>
      <c r="G124" s="653"/>
      <c r="H124" s="653"/>
      <c r="I124" s="653"/>
      <c r="J124" s="653"/>
      <c r="K124" s="653"/>
      <c r="L124" s="653"/>
      <c r="M124" s="653"/>
      <c r="N124" s="653"/>
      <c r="O124" s="653"/>
      <c r="P124" s="653"/>
      <c r="Q124" s="653"/>
      <c r="AB124" s="657"/>
      <c r="AC124" s="653"/>
      <c r="AD124" s="653"/>
      <c r="AE124" s="653"/>
      <c r="AF124" s="653"/>
      <c r="AG124" s="653"/>
      <c r="AH124" s="653"/>
      <c r="AI124" s="653"/>
      <c r="AJ124" s="653"/>
      <c r="AK124" s="653"/>
      <c r="AL124" s="653"/>
      <c r="AM124" s="653"/>
      <c r="AN124" s="653"/>
      <c r="AO124" s="657"/>
      <c r="AP124" s="653"/>
      <c r="AQ124" s="653"/>
      <c r="AR124" s="653"/>
      <c r="AS124" s="653"/>
      <c r="AT124" s="653"/>
      <c r="AU124" s="653"/>
      <c r="AV124" s="653"/>
      <c r="AW124" s="653"/>
      <c r="AX124" s="653"/>
      <c r="AY124" s="653"/>
      <c r="AZ124" s="653"/>
      <c r="BA124" s="653"/>
      <c r="BL124" s="653"/>
    </row>
    <row r="125" spans="2:64" hidden="1" x14ac:dyDescent="0.35">
      <c r="B125" s="499"/>
      <c r="C125" s="435" t="s">
        <v>207</v>
      </c>
      <c r="D125" s="164" t="s">
        <v>839</v>
      </c>
      <c r="E125" s="657"/>
      <c r="F125" s="653"/>
      <c r="G125" s="653"/>
      <c r="H125" s="653"/>
      <c r="I125" s="653"/>
      <c r="J125" s="653"/>
      <c r="K125" s="653"/>
      <c r="L125" s="653"/>
      <c r="M125" s="653"/>
      <c r="N125" s="653"/>
      <c r="O125" s="653"/>
      <c r="P125" s="653"/>
      <c r="Q125" s="653"/>
      <c r="AB125" s="657"/>
      <c r="AC125" s="653"/>
      <c r="AD125" s="653"/>
      <c r="AE125" s="653"/>
      <c r="AF125" s="653"/>
      <c r="AG125" s="653"/>
      <c r="AH125" s="653"/>
      <c r="AI125" s="653"/>
      <c r="AJ125" s="653"/>
      <c r="AK125" s="653"/>
      <c r="AL125" s="653"/>
      <c r="AM125" s="653"/>
      <c r="AN125" s="653"/>
      <c r="AO125" s="657"/>
      <c r="AP125" s="653"/>
      <c r="AQ125" s="653"/>
      <c r="AR125" s="653"/>
      <c r="AS125" s="653"/>
      <c r="AT125" s="653"/>
      <c r="AU125" s="653"/>
      <c r="AV125" s="653"/>
      <c r="AW125" s="653"/>
      <c r="AX125" s="653"/>
      <c r="AY125" s="653"/>
      <c r="AZ125" s="653"/>
      <c r="BA125" s="653"/>
      <c r="BL125" s="653"/>
    </row>
    <row r="126" spans="2:64" hidden="1" x14ac:dyDescent="0.35">
      <c r="B126" s="499"/>
      <c r="C126" s="435" t="s">
        <v>496</v>
      </c>
      <c r="D126" s="164" t="s">
        <v>839</v>
      </c>
      <c r="E126" s="657"/>
      <c r="F126" s="653"/>
      <c r="G126" s="653"/>
      <c r="H126" s="653"/>
      <c r="I126" s="653"/>
      <c r="J126" s="653"/>
      <c r="K126" s="653"/>
      <c r="L126" s="653"/>
      <c r="M126" s="653"/>
      <c r="N126" s="653"/>
      <c r="O126" s="653"/>
      <c r="P126" s="653"/>
      <c r="Q126" s="653"/>
      <c r="AB126" s="657"/>
      <c r="AC126" s="653"/>
      <c r="AD126" s="653"/>
      <c r="AE126" s="653"/>
      <c r="AF126" s="653"/>
      <c r="AG126" s="653"/>
      <c r="AH126" s="653"/>
      <c r="AI126" s="653"/>
      <c r="AJ126" s="653"/>
      <c r="AK126" s="653"/>
      <c r="AL126" s="653"/>
      <c r="AM126" s="653"/>
      <c r="AN126" s="653"/>
      <c r="AO126" s="657"/>
      <c r="AP126" s="653"/>
      <c r="AQ126" s="653"/>
      <c r="AR126" s="653"/>
      <c r="AS126" s="653"/>
      <c r="AT126" s="653"/>
      <c r="AU126" s="653"/>
      <c r="AV126" s="653"/>
      <c r="AW126" s="653"/>
      <c r="AX126" s="653"/>
      <c r="AY126" s="653"/>
      <c r="AZ126" s="653"/>
      <c r="BA126" s="653"/>
      <c r="BL126" s="653"/>
    </row>
    <row r="127" spans="2:64" x14ac:dyDescent="0.35">
      <c r="B127" s="50" t="s">
        <v>49</v>
      </c>
      <c r="C127" s="435" t="s">
        <v>391</v>
      </c>
      <c r="D127" s="164" t="s">
        <v>843</v>
      </c>
      <c r="E127" s="1160">
        <v>91250.8</v>
      </c>
      <c r="F127" s="1160">
        <v>137787.19999999998</v>
      </c>
      <c r="G127" s="1160">
        <v>162742.02000000002</v>
      </c>
      <c r="H127" s="1160">
        <v>151877.41</v>
      </c>
      <c r="I127" s="1160">
        <v>115310.32</v>
      </c>
      <c r="J127" s="1160">
        <v>133316.34</v>
      </c>
      <c r="K127" s="1160">
        <v>125631.40000000001</v>
      </c>
      <c r="L127" s="1160">
        <v>142464.76</v>
      </c>
      <c r="M127" s="1160">
        <v>143788.80000000005</v>
      </c>
      <c r="N127" s="1160">
        <v>156742.78</v>
      </c>
      <c r="O127" s="1160">
        <v>88581.16</v>
      </c>
      <c r="P127" s="1160">
        <v>60219.11</v>
      </c>
      <c r="Q127" s="1160">
        <v>253256.75</v>
      </c>
      <c r="R127" s="1160">
        <v>176428.62999999998</v>
      </c>
      <c r="S127" s="1160">
        <v>245214.31</v>
      </c>
      <c r="T127" s="1160">
        <v>235310.52000000002</v>
      </c>
      <c r="U127" s="1160">
        <v>270919.63</v>
      </c>
      <c r="V127" s="1160">
        <v>441594.77</v>
      </c>
      <c r="W127" s="1160">
        <v>690294.7</v>
      </c>
      <c r="X127" s="1160">
        <v>648530.91</v>
      </c>
      <c r="Y127" s="1161">
        <v>424936.93</v>
      </c>
      <c r="Z127" s="1161">
        <v>380685.58</v>
      </c>
      <c r="AA127" s="1161">
        <v>414441.6</v>
      </c>
      <c r="AB127" s="1161">
        <v>336322.19</v>
      </c>
      <c r="AC127" s="660">
        <v>300000</v>
      </c>
      <c r="AD127" s="660">
        <v>300000</v>
      </c>
      <c r="AE127" s="660">
        <v>300000</v>
      </c>
      <c r="AF127" s="660">
        <v>300000</v>
      </c>
      <c r="AG127" s="660">
        <v>300000</v>
      </c>
      <c r="AH127" s="660">
        <v>300000</v>
      </c>
      <c r="AI127" s="660">
        <v>300000</v>
      </c>
      <c r="AJ127" s="660">
        <v>300000</v>
      </c>
      <c r="AK127" s="660">
        <v>300000</v>
      </c>
      <c r="AL127" s="660">
        <v>300000</v>
      </c>
      <c r="AM127" s="660">
        <v>300000</v>
      </c>
      <c r="AN127" s="660">
        <v>300000</v>
      </c>
      <c r="AO127" s="660">
        <v>300000</v>
      </c>
      <c r="AP127" s="660">
        <v>300000</v>
      </c>
      <c r="AQ127" s="660">
        <v>300000</v>
      </c>
      <c r="AR127" s="660">
        <v>300000</v>
      </c>
      <c r="AS127" s="660">
        <v>300000</v>
      </c>
      <c r="AT127" s="660">
        <v>300000</v>
      </c>
      <c r="AU127" s="660">
        <v>300000</v>
      </c>
      <c r="AV127" s="660">
        <v>300000</v>
      </c>
      <c r="AW127" s="660">
        <v>300000</v>
      </c>
      <c r="AX127" s="660">
        <v>300000</v>
      </c>
      <c r="AY127" s="660">
        <v>300000</v>
      </c>
      <c r="AZ127" s="660">
        <v>300000</v>
      </c>
      <c r="BA127" s="660">
        <v>300000</v>
      </c>
      <c r="BB127" s="660">
        <v>300000</v>
      </c>
      <c r="BC127" s="660">
        <v>300000</v>
      </c>
      <c r="BD127" s="660">
        <v>300000</v>
      </c>
      <c r="BE127" s="660">
        <v>300000</v>
      </c>
      <c r="BF127" s="660">
        <v>300000</v>
      </c>
      <c r="BG127" s="660">
        <v>300000</v>
      </c>
      <c r="BH127" s="660">
        <v>300000</v>
      </c>
      <c r="BI127" s="660">
        <v>300000</v>
      </c>
      <c r="BJ127" s="660">
        <v>300000</v>
      </c>
      <c r="BK127" s="660">
        <v>300000</v>
      </c>
      <c r="BL127" s="660">
        <v>300000</v>
      </c>
    </row>
    <row r="128" spans="2:64" x14ac:dyDescent="0.35">
      <c r="B128" s="668"/>
      <c r="C128" s="435" t="s">
        <v>392</v>
      </c>
      <c r="D128" s="164" t="s">
        <v>843</v>
      </c>
      <c r="E128" s="1160">
        <v>91250.8</v>
      </c>
      <c r="F128" s="1160">
        <v>137787.19999999998</v>
      </c>
      <c r="G128" s="1160">
        <v>162742.02000000002</v>
      </c>
      <c r="H128" s="1160">
        <v>151877.41</v>
      </c>
      <c r="I128" s="1160">
        <v>115310.32</v>
      </c>
      <c r="J128" s="1160">
        <v>133316.34</v>
      </c>
      <c r="K128" s="1160">
        <v>125631.40000000001</v>
      </c>
      <c r="L128" s="1160">
        <v>142464.76</v>
      </c>
      <c r="M128" s="1160">
        <v>143788.80000000005</v>
      </c>
      <c r="N128" s="1160">
        <v>156742.78</v>
      </c>
      <c r="O128" s="1160">
        <v>88581.16</v>
      </c>
      <c r="P128" s="1160">
        <v>60219.11</v>
      </c>
      <c r="Q128" s="1160">
        <v>253256.75</v>
      </c>
      <c r="R128" s="1160">
        <v>176428.62999999998</v>
      </c>
      <c r="S128" s="1160">
        <v>245214.31</v>
      </c>
      <c r="T128" s="1160">
        <v>235310.52000000002</v>
      </c>
      <c r="U128" s="1160">
        <v>270919.63</v>
      </c>
      <c r="V128" s="1160">
        <v>441594.77</v>
      </c>
      <c r="W128" s="1160">
        <v>690294.7</v>
      </c>
      <c r="X128" s="1160">
        <v>648530.91</v>
      </c>
      <c r="Y128" s="1161">
        <v>424936.93</v>
      </c>
      <c r="Z128" s="1161">
        <v>380685.58</v>
      </c>
      <c r="AA128" s="1161">
        <v>414441.6</v>
      </c>
      <c r="AB128" s="1161">
        <v>336322.19</v>
      </c>
      <c r="AC128" s="660">
        <v>200000</v>
      </c>
      <c r="AD128" s="660">
        <v>200000</v>
      </c>
      <c r="AE128" s="660">
        <v>200000</v>
      </c>
      <c r="AF128" s="660">
        <v>300000</v>
      </c>
      <c r="AG128" s="660">
        <v>300000</v>
      </c>
      <c r="AH128" s="660">
        <v>300000</v>
      </c>
      <c r="AI128" s="660">
        <v>300000</v>
      </c>
      <c r="AJ128" s="660">
        <v>200000</v>
      </c>
      <c r="AK128" s="660">
        <v>200000</v>
      </c>
      <c r="AL128" s="660">
        <v>300000</v>
      </c>
      <c r="AM128" s="660">
        <v>300000</v>
      </c>
      <c r="AN128" s="660">
        <v>300000</v>
      </c>
      <c r="AO128" s="660">
        <v>300000</v>
      </c>
      <c r="AP128" s="660">
        <v>300000</v>
      </c>
      <c r="AQ128" s="660">
        <v>300000</v>
      </c>
      <c r="AR128" s="660">
        <v>300000</v>
      </c>
      <c r="AS128" s="660">
        <v>300000</v>
      </c>
      <c r="AT128" s="660">
        <v>300000</v>
      </c>
      <c r="AU128" s="660">
        <v>300000</v>
      </c>
      <c r="AV128" s="660">
        <v>300000</v>
      </c>
      <c r="AW128" s="660">
        <v>300000</v>
      </c>
      <c r="AX128" s="660">
        <v>300000</v>
      </c>
      <c r="AY128" s="660">
        <v>300000</v>
      </c>
      <c r="AZ128" s="660">
        <v>300000</v>
      </c>
      <c r="BA128" s="660">
        <v>300000</v>
      </c>
      <c r="BB128" s="660">
        <v>300000</v>
      </c>
      <c r="BC128" s="660">
        <v>300000</v>
      </c>
      <c r="BD128" s="660">
        <v>300000</v>
      </c>
      <c r="BE128" s="660">
        <v>300000</v>
      </c>
      <c r="BF128" s="660">
        <v>300000</v>
      </c>
      <c r="BG128" s="660">
        <v>300000</v>
      </c>
      <c r="BH128" s="660">
        <v>300000</v>
      </c>
      <c r="BI128" s="660">
        <v>300000</v>
      </c>
      <c r="BJ128" s="660">
        <v>300000</v>
      </c>
      <c r="BK128" s="660">
        <v>300000</v>
      </c>
      <c r="BL128" s="660">
        <v>300000</v>
      </c>
    </row>
    <row r="129" spans="2:64" x14ac:dyDescent="0.35">
      <c r="B129" s="668"/>
      <c r="C129" s="435" t="s">
        <v>446</v>
      </c>
      <c r="D129" s="164" t="s">
        <v>843</v>
      </c>
      <c r="E129" s="1160">
        <v>91250.8</v>
      </c>
      <c r="F129" s="1160">
        <v>137787.19999999998</v>
      </c>
      <c r="G129" s="1160">
        <v>162742.02000000002</v>
      </c>
      <c r="H129" s="1160">
        <v>151877.41</v>
      </c>
      <c r="I129" s="1160">
        <v>115310.32</v>
      </c>
      <c r="J129" s="1160">
        <v>133316.34</v>
      </c>
      <c r="K129" s="1160">
        <v>125631.40000000001</v>
      </c>
      <c r="L129" s="1160">
        <v>142464.76</v>
      </c>
      <c r="M129" s="1160">
        <v>143788.80000000005</v>
      </c>
      <c r="N129" s="1160">
        <v>156742.78</v>
      </c>
      <c r="O129" s="1160">
        <v>88581.16</v>
      </c>
      <c r="P129" s="1160">
        <v>60219.11</v>
      </c>
      <c r="Q129" s="1160">
        <v>253256.75</v>
      </c>
      <c r="R129" s="1160">
        <v>176428.62999999998</v>
      </c>
      <c r="S129" s="1160">
        <v>245214.31</v>
      </c>
      <c r="T129" s="1160">
        <v>235310.52000000002</v>
      </c>
      <c r="U129" s="1160">
        <v>270919.63</v>
      </c>
      <c r="V129" s="1160">
        <v>441594.77</v>
      </c>
      <c r="W129" s="1160">
        <v>690294.7</v>
      </c>
      <c r="X129" s="1160">
        <v>648530.91</v>
      </c>
      <c r="Y129" s="1161">
        <v>424936.93</v>
      </c>
      <c r="Z129" s="1161">
        <v>380685.58</v>
      </c>
      <c r="AA129" s="1161">
        <v>414441.6</v>
      </c>
      <c r="AB129" s="1161">
        <v>336322.19</v>
      </c>
      <c r="AC129" s="660">
        <v>800000</v>
      </c>
      <c r="AD129" s="660">
        <v>800000</v>
      </c>
      <c r="AE129" s="660">
        <v>800000</v>
      </c>
      <c r="AF129" s="660">
        <v>1000000</v>
      </c>
      <c r="AG129" s="660">
        <v>1000000</v>
      </c>
      <c r="AH129" s="660">
        <v>1000000</v>
      </c>
      <c r="AI129" s="660">
        <v>1000000</v>
      </c>
      <c r="AJ129" s="660">
        <v>1000000</v>
      </c>
      <c r="AK129" s="660">
        <v>1000000</v>
      </c>
      <c r="AL129" s="660">
        <v>800000</v>
      </c>
      <c r="AM129" s="660">
        <v>800000</v>
      </c>
      <c r="AN129" s="660">
        <v>800000</v>
      </c>
      <c r="AO129" s="660">
        <v>700000</v>
      </c>
      <c r="AP129" s="660">
        <v>640000</v>
      </c>
      <c r="AQ129" s="660">
        <v>580000</v>
      </c>
      <c r="AR129" s="660">
        <v>520000</v>
      </c>
      <c r="AS129" s="660">
        <v>460000</v>
      </c>
      <c r="AT129" s="660">
        <v>400000</v>
      </c>
      <c r="AU129" s="660">
        <v>340000</v>
      </c>
      <c r="AV129" s="660">
        <v>280000</v>
      </c>
      <c r="AW129" s="660">
        <v>220000</v>
      </c>
      <c r="AX129" s="660">
        <v>160000</v>
      </c>
      <c r="AY129" s="660">
        <v>100000</v>
      </c>
      <c r="AZ129" s="660">
        <v>40000</v>
      </c>
      <c r="BA129" s="660">
        <v>20000</v>
      </c>
      <c r="BB129" s="660">
        <v>80000</v>
      </c>
      <c r="BC129" s="660">
        <v>140000</v>
      </c>
      <c r="BD129" s="660">
        <v>200000</v>
      </c>
      <c r="BE129" s="660">
        <v>260000</v>
      </c>
      <c r="BF129" s="660">
        <v>320000</v>
      </c>
      <c r="BG129" s="660">
        <v>380000</v>
      </c>
      <c r="BH129" s="660">
        <v>440000</v>
      </c>
      <c r="BI129" s="660">
        <v>500000</v>
      </c>
      <c r="BJ129" s="660">
        <v>560000</v>
      </c>
      <c r="BK129" s="660">
        <v>620000</v>
      </c>
      <c r="BL129" s="660">
        <v>680000</v>
      </c>
    </row>
    <row r="130" spans="2:64" x14ac:dyDescent="0.35">
      <c r="B130" s="668"/>
      <c r="C130" s="435" t="s">
        <v>455</v>
      </c>
      <c r="D130" s="164" t="s">
        <v>843</v>
      </c>
      <c r="E130" s="1160">
        <v>91250.8</v>
      </c>
      <c r="F130" s="1160">
        <v>137787.19999999998</v>
      </c>
      <c r="G130" s="1160">
        <v>162742.02000000002</v>
      </c>
      <c r="H130" s="1160">
        <v>151877.41</v>
      </c>
      <c r="I130" s="1160">
        <v>115310.32</v>
      </c>
      <c r="J130" s="1160">
        <v>133316.34</v>
      </c>
      <c r="K130" s="1160">
        <v>125631.40000000001</v>
      </c>
      <c r="L130" s="1160">
        <v>142464.76</v>
      </c>
      <c r="M130" s="1160">
        <v>143788.80000000005</v>
      </c>
      <c r="N130" s="1160">
        <v>156742.78</v>
      </c>
      <c r="O130" s="1160">
        <v>88581.16</v>
      </c>
      <c r="P130" s="1160">
        <v>60219.11</v>
      </c>
      <c r="Q130" s="1160">
        <v>253256.75</v>
      </c>
      <c r="R130" s="1160">
        <v>176428.62999999998</v>
      </c>
      <c r="S130" s="1160">
        <v>245214.31</v>
      </c>
      <c r="T130" s="1160">
        <v>235310.52000000002</v>
      </c>
      <c r="U130" s="1160">
        <v>270919.63</v>
      </c>
      <c r="V130" s="1160">
        <v>441594.77</v>
      </c>
      <c r="W130" s="1160">
        <v>690294.7</v>
      </c>
      <c r="X130" s="1160">
        <v>648530.91</v>
      </c>
      <c r="Y130" s="1161">
        <v>424936.93</v>
      </c>
      <c r="Z130" s="1161">
        <v>380685.58</v>
      </c>
      <c r="AA130" s="1161">
        <v>414441.6</v>
      </c>
      <c r="AB130" s="1161">
        <v>336322.19</v>
      </c>
      <c r="AC130" s="660">
        <v>400000</v>
      </c>
      <c r="AD130" s="660">
        <v>400000</v>
      </c>
      <c r="AE130" s="660">
        <v>400000</v>
      </c>
      <c r="AF130" s="660">
        <v>500000</v>
      </c>
      <c r="AG130" s="660">
        <v>500000</v>
      </c>
      <c r="AH130" s="660">
        <v>500000</v>
      </c>
      <c r="AI130" s="660">
        <v>500000</v>
      </c>
      <c r="AJ130" s="660">
        <v>500000</v>
      </c>
      <c r="AK130" s="660">
        <v>500000</v>
      </c>
      <c r="AL130" s="660">
        <v>400000</v>
      </c>
      <c r="AM130" s="660">
        <v>400000</v>
      </c>
      <c r="AN130" s="660">
        <v>400000</v>
      </c>
      <c r="AO130" s="660">
        <v>350000</v>
      </c>
      <c r="AP130" s="660">
        <v>320000</v>
      </c>
      <c r="AQ130" s="660">
        <v>290000</v>
      </c>
      <c r="AR130" s="660">
        <v>260000</v>
      </c>
      <c r="AS130" s="660">
        <v>230000</v>
      </c>
      <c r="AT130" s="660">
        <v>200000</v>
      </c>
      <c r="AU130" s="660">
        <v>170000</v>
      </c>
      <c r="AV130" s="660">
        <v>140000</v>
      </c>
      <c r="AW130" s="660">
        <v>110000</v>
      </c>
      <c r="AX130" s="660">
        <v>80000</v>
      </c>
      <c r="AY130" s="660">
        <v>50000</v>
      </c>
      <c r="AZ130" s="660">
        <v>20000</v>
      </c>
      <c r="BA130" s="660">
        <v>10000</v>
      </c>
      <c r="BB130" s="660">
        <v>40000</v>
      </c>
      <c r="BC130" s="660">
        <v>70000.000000000102</v>
      </c>
      <c r="BD130" s="660">
        <v>100000</v>
      </c>
      <c r="BE130" s="660">
        <v>130000</v>
      </c>
      <c r="BF130" s="660">
        <v>160000</v>
      </c>
      <c r="BG130" s="660">
        <v>190000</v>
      </c>
      <c r="BH130" s="660">
        <v>220000</v>
      </c>
      <c r="BI130" s="660">
        <v>250000</v>
      </c>
      <c r="BJ130" s="660">
        <v>280000</v>
      </c>
      <c r="BK130" s="660">
        <v>310000</v>
      </c>
      <c r="BL130" s="660">
        <v>340000</v>
      </c>
    </row>
    <row r="131" spans="2:64" x14ac:dyDescent="0.35">
      <c r="B131" s="668"/>
      <c r="C131" s="435" t="s">
        <v>207</v>
      </c>
      <c r="D131" s="164" t="s">
        <v>843</v>
      </c>
      <c r="E131" s="1160">
        <v>91250.8</v>
      </c>
      <c r="F131" s="1160">
        <v>137787.19999999998</v>
      </c>
      <c r="G131" s="1160">
        <v>162742.02000000002</v>
      </c>
      <c r="H131" s="1160">
        <v>151877.41</v>
      </c>
      <c r="I131" s="1160">
        <v>115310.32</v>
      </c>
      <c r="J131" s="1160">
        <v>133316.34</v>
      </c>
      <c r="K131" s="1160">
        <v>125631.40000000001</v>
      </c>
      <c r="L131" s="1160">
        <v>142464.76</v>
      </c>
      <c r="M131" s="1160">
        <v>143788.80000000005</v>
      </c>
      <c r="N131" s="1160">
        <v>156742.78</v>
      </c>
      <c r="O131" s="1160">
        <v>88581.16</v>
      </c>
      <c r="P131" s="1160">
        <v>60219.11</v>
      </c>
      <c r="Q131" s="1160">
        <v>253256.75</v>
      </c>
      <c r="R131" s="1160">
        <v>176428.62999999998</v>
      </c>
      <c r="S131" s="1160">
        <v>245214.31</v>
      </c>
      <c r="T131" s="1160">
        <v>235310.52000000002</v>
      </c>
      <c r="U131" s="1160">
        <v>270919.63</v>
      </c>
      <c r="V131" s="1160">
        <v>441594.77</v>
      </c>
      <c r="W131" s="1160">
        <v>690294.7</v>
      </c>
      <c r="X131" s="1160">
        <v>648530.91</v>
      </c>
      <c r="Y131" s="1161">
        <v>424936.93</v>
      </c>
      <c r="Z131" s="1161">
        <v>380685.58</v>
      </c>
      <c r="AA131" s="1161">
        <v>414441.6</v>
      </c>
      <c r="AB131" s="1161">
        <v>336322.19</v>
      </c>
      <c r="AC131" s="660">
        <v>150000</v>
      </c>
      <c r="AD131" s="660">
        <v>150000</v>
      </c>
      <c r="AE131" s="660">
        <v>150000</v>
      </c>
      <c r="AF131" s="660">
        <v>150000</v>
      </c>
      <c r="AG131" s="660">
        <v>150000</v>
      </c>
      <c r="AH131" s="660">
        <v>150000</v>
      </c>
      <c r="AI131" s="660">
        <v>150000</v>
      </c>
      <c r="AJ131" s="660">
        <v>150000</v>
      </c>
      <c r="AK131" s="660">
        <v>150000</v>
      </c>
      <c r="AL131" s="660">
        <v>150000</v>
      </c>
      <c r="AM131" s="660">
        <v>150000</v>
      </c>
      <c r="AN131" s="660">
        <v>150000</v>
      </c>
      <c r="AO131" s="660">
        <v>150000</v>
      </c>
      <c r="AP131" s="660">
        <v>150000</v>
      </c>
      <c r="AQ131" s="660">
        <v>150000</v>
      </c>
      <c r="AR131" s="660">
        <v>150000</v>
      </c>
      <c r="AS131" s="660">
        <v>150000</v>
      </c>
      <c r="AT131" s="660">
        <v>150000</v>
      </c>
      <c r="AU131" s="660">
        <v>150000</v>
      </c>
      <c r="AV131" s="660">
        <v>150000</v>
      </c>
      <c r="AW131" s="660">
        <v>150000</v>
      </c>
      <c r="AX131" s="660">
        <v>150000</v>
      </c>
      <c r="AY131" s="660">
        <v>150000</v>
      </c>
      <c r="AZ131" s="660">
        <v>150000</v>
      </c>
      <c r="BA131" s="660">
        <v>150000</v>
      </c>
      <c r="BB131" s="660">
        <v>150000</v>
      </c>
      <c r="BC131" s="660">
        <v>150000</v>
      </c>
      <c r="BD131" s="660">
        <v>150000</v>
      </c>
      <c r="BE131" s="660">
        <v>150000</v>
      </c>
      <c r="BF131" s="660">
        <v>150000</v>
      </c>
      <c r="BG131" s="660">
        <v>150000</v>
      </c>
      <c r="BH131" s="660">
        <v>150000</v>
      </c>
      <c r="BI131" s="660">
        <v>150000</v>
      </c>
      <c r="BJ131" s="660">
        <v>150000</v>
      </c>
      <c r="BK131" s="660">
        <v>150000</v>
      </c>
      <c r="BL131" s="660">
        <v>150000</v>
      </c>
    </row>
    <row r="132" spans="2:64" x14ac:dyDescent="0.35">
      <c r="B132" s="903" t="s">
        <v>1120</v>
      </c>
      <c r="C132" s="435" t="s">
        <v>496</v>
      </c>
      <c r="D132" s="164" t="s">
        <v>843</v>
      </c>
      <c r="E132" s="1160">
        <v>91250.8</v>
      </c>
      <c r="F132" s="1160">
        <v>137787.19999999998</v>
      </c>
      <c r="G132" s="1160">
        <v>162742.02000000002</v>
      </c>
      <c r="H132" s="1160">
        <v>151877.41</v>
      </c>
      <c r="I132" s="1160">
        <v>115310.32</v>
      </c>
      <c r="J132" s="1160">
        <v>133316.34</v>
      </c>
      <c r="K132" s="1160">
        <v>125631.40000000001</v>
      </c>
      <c r="L132" s="1160">
        <v>142464.76</v>
      </c>
      <c r="M132" s="1160">
        <v>143788.80000000005</v>
      </c>
      <c r="N132" s="1160">
        <v>156742.78</v>
      </c>
      <c r="O132" s="1160">
        <v>88581.16</v>
      </c>
      <c r="P132" s="1160">
        <v>60219.11</v>
      </c>
      <c r="Q132" s="1160">
        <v>253256.75</v>
      </c>
      <c r="R132" s="1160">
        <v>176428.62999999998</v>
      </c>
      <c r="S132" s="1160">
        <v>245214.31</v>
      </c>
      <c r="T132" s="1160">
        <v>235310.52000000002</v>
      </c>
      <c r="U132" s="1160">
        <v>270919.63</v>
      </c>
      <c r="V132" s="1160">
        <v>441594.77</v>
      </c>
      <c r="W132" s="1160">
        <v>690294.7</v>
      </c>
      <c r="X132" s="1160">
        <v>648530.91</v>
      </c>
      <c r="Y132" s="1161">
        <v>424936.93</v>
      </c>
      <c r="Z132" s="1161">
        <v>380685.58</v>
      </c>
      <c r="AA132" s="1161">
        <v>414441.6</v>
      </c>
      <c r="AB132" s="1161">
        <v>336322.19</v>
      </c>
      <c r="AC132" s="870">
        <v>235000</v>
      </c>
      <c r="AD132" s="870">
        <v>300000</v>
      </c>
      <c r="AE132" s="870">
        <v>465000</v>
      </c>
      <c r="AF132" s="870">
        <v>565000</v>
      </c>
      <c r="AG132" s="870">
        <v>570000</v>
      </c>
      <c r="AH132" s="870">
        <v>500000</v>
      </c>
      <c r="AI132" s="870">
        <v>450000</v>
      </c>
      <c r="AJ132" s="870">
        <v>400000</v>
      </c>
      <c r="AK132" s="870">
        <v>400000</v>
      </c>
      <c r="AL132" s="870">
        <v>400000</v>
      </c>
      <c r="AM132" s="870">
        <v>400000</v>
      </c>
      <c r="AN132" s="870">
        <v>400000</v>
      </c>
      <c r="AO132" s="870">
        <v>400000</v>
      </c>
      <c r="AP132" s="870">
        <v>400000</v>
      </c>
      <c r="AQ132" s="870">
        <v>400000</v>
      </c>
      <c r="AR132" s="870">
        <v>400000</v>
      </c>
      <c r="AS132" s="870">
        <v>400000</v>
      </c>
      <c r="AT132" s="870">
        <v>400000</v>
      </c>
      <c r="AU132" s="870">
        <v>400000</v>
      </c>
      <c r="AV132" s="870">
        <v>400000</v>
      </c>
      <c r="AW132" s="870">
        <v>400000</v>
      </c>
      <c r="AX132" s="870">
        <v>400000</v>
      </c>
      <c r="AY132" s="870">
        <v>400000</v>
      </c>
      <c r="AZ132" s="870">
        <v>400000</v>
      </c>
      <c r="BA132" s="870">
        <v>400000</v>
      </c>
      <c r="BB132" s="870">
        <v>400000</v>
      </c>
      <c r="BC132" s="870">
        <v>400000</v>
      </c>
      <c r="BD132" s="870">
        <v>400000</v>
      </c>
      <c r="BE132" s="870">
        <v>400000</v>
      </c>
      <c r="BF132" s="870">
        <v>400000</v>
      </c>
      <c r="BG132" s="870">
        <v>400000</v>
      </c>
      <c r="BH132" s="870">
        <v>400000</v>
      </c>
      <c r="BI132" s="870">
        <v>400000</v>
      </c>
      <c r="BJ132" s="870">
        <v>400000</v>
      </c>
      <c r="BK132" s="870">
        <v>400000</v>
      </c>
      <c r="BL132" s="870">
        <v>400000</v>
      </c>
    </row>
    <row r="133" spans="2:64" x14ac:dyDescent="0.35">
      <c r="E133" s="224"/>
      <c r="F133" s="224"/>
      <c r="G133" s="224"/>
      <c r="H133" s="224"/>
      <c r="I133" s="224"/>
      <c r="J133" s="224"/>
      <c r="K133" s="224"/>
      <c r="L133" s="224"/>
      <c r="M133" s="224"/>
      <c r="N133" s="224"/>
      <c r="O133" s="224"/>
      <c r="P133" s="224"/>
      <c r="Q133" s="224"/>
      <c r="R133" s="224"/>
      <c r="S133" s="224"/>
      <c r="T133" s="224"/>
      <c r="U133" s="224"/>
      <c r="V133" s="224"/>
      <c r="W133" s="224"/>
      <c r="X133" s="224"/>
    </row>
    <row r="134" spans="2:64" x14ac:dyDescent="0.35">
      <c r="B134" s="499" t="s">
        <v>1129</v>
      </c>
      <c r="BA134" s="576"/>
      <c r="BB134" s="576"/>
      <c r="BC134" s="576"/>
      <c r="BD134" s="576"/>
      <c r="BE134" s="576"/>
      <c r="BF134" s="576"/>
      <c r="BG134" s="576"/>
      <c r="BH134" s="576"/>
      <c r="BI134" s="576"/>
      <c r="BJ134" s="576"/>
      <c r="BK134" s="576"/>
      <c r="BL134" s="576"/>
    </row>
    <row r="135" spans="2:64" hidden="1" x14ac:dyDescent="0.35">
      <c r="B135" s="50" t="s">
        <v>824</v>
      </c>
      <c r="C135" s="435" t="s">
        <v>391</v>
      </c>
      <c r="D135" s="164" t="s">
        <v>1130</v>
      </c>
      <c r="E135" s="653"/>
      <c r="F135" s="653"/>
      <c r="G135" s="653"/>
      <c r="H135" s="653"/>
      <c r="I135" s="653"/>
      <c r="J135" s="653"/>
      <c r="K135" s="653"/>
      <c r="L135" s="653"/>
      <c r="M135" s="653"/>
      <c r="N135" s="653"/>
      <c r="O135" s="653"/>
      <c r="P135" s="653"/>
      <c r="Q135" s="653"/>
      <c r="AB135" s="653"/>
      <c r="AC135" s="653"/>
      <c r="AD135" s="653"/>
      <c r="AE135" s="653"/>
      <c r="AF135" s="653"/>
      <c r="AG135" s="653"/>
      <c r="AH135" s="653"/>
      <c r="AI135" s="653"/>
      <c r="AJ135" s="653"/>
      <c r="AK135" s="653"/>
      <c r="AL135" s="653"/>
      <c r="AM135" s="653"/>
      <c r="AN135" s="653"/>
      <c r="AO135" s="653"/>
      <c r="AP135" s="653"/>
      <c r="AQ135" s="653"/>
      <c r="AR135" s="653"/>
      <c r="AS135" s="653"/>
      <c r="AT135" s="653"/>
      <c r="AU135" s="653"/>
      <c r="AV135" s="653"/>
      <c r="AW135" s="653"/>
      <c r="AX135" s="653"/>
      <c r="AY135" s="653"/>
      <c r="AZ135" s="653"/>
      <c r="BA135" s="653"/>
      <c r="BL135" s="653"/>
    </row>
    <row r="136" spans="2:64" hidden="1" x14ac:dyDescent="0.35">
      <c r="B136" s="499"/>
      <c r="C136" s="435" t="s">
        <v>392</v>
      </c>
      <c r="D136" s="164" t="s">
        <v>1130</v>
      </c>
      <c r="E136" s="653"/>
      <c r="F136" s="653"/>
      <c r="G136" s="653"/>
      <c r="H136" s="653"/>
      <c r="I136" s="653"/>
      <c r="J136" s="653"/>
      <c r="K136" s="653"/>
      <c r="L136" s="653"/>
      <c r="M136" s="653"/>
      <c r="N136" s="653"/>
      <c r="O136" s="653"/>
      <c r="P136" s="653"/>
      <c r="Q136" s="653"/>
      <c r="AB136" s="653"/>
      <c r="AC136" s="653"/>
      <c r="AD136" s="653"/>
      <c r="AE136" s="653"/>
      <c r="AF136" s="653"/>
      <c r="AG136" s="653"/>
      <c r="AH136" s="653"/>
      <c r="AI136" s="653"/>
      <c r="AJ136" s="653"/>
      <c r="AK136" s="653"/>
      <c r="AL136" s="653"/>
      <c r="AM136" s="653"/>
      <c r="AN136" s="653"/>
      <c r="AO136" s="653"/>
      <c r="AP136" s="653"/>
      <c r="AQ136" s="653"/>
      <c r="AR136" s="653"/>
      <c r="AS136" s="653"/>
      <c r="AT136" s="653"/>
      <c r="AU136" s="653"/>
      <c r="AV136" s="653"/>
      <c r="AW136" s="653"/>
      <c r="AX136" s="653"/>
      <c r="AY136" s="653"/>
      <c r="AZ136" s="653"/>
      <c r="BA136" s="653"/>
      <c r="BL136" s="653"/>
    </row>
    <row r="137" spans="2:64" hidden="1" x14ac:dyDescent="0.35">
      <c r="B137" s="499"/>
      <c r="C137" s="435" t="s">
        <v>446</v>
      </c>
      <c r="D137" s="164" t="s">
        <v>1130</v>
      </c>
      <c r="E137" s="653"/>
      <c r="F137" s="653"/>
      <c r="G137" s="653"/>
      <c r="H137" s="653"/>
      <c r="I137" s="653"/>
      <c r="J137" s="653"/>
      <c r="K137" s="653"/>
      <c r="L137" s="653"/>
      <c r="M137" s="653"/>
      <c r="N137" s="653"/>
      <c r="O137" s="653"/>
      <c r="P137" s="653"/>
      <c r="Q137" s="653"/>
      <c r="AB137" s="653"/>
      <c r="AC137" s="653"/>
      <c r="AD137" s="653"/>
      <c r="AE137" s="653"/>
      <c r="AF137" s="653"/>
      <c r="AG137" s="653"/>
      <c r="AH137" s="653"/>
      <c r="AI137" s="653"/>
      <c r="AJ137" s="653"/>
      <c r="AK137" s="653"/>
      <c r="AL137" s="653"/>
      <c r="AM137" s="653"/>
      <c r="AN137" s="653"/>
      <c r="AO137" s="653"/>
      <c r="AP137" s="653"/>
      <c r="AQ137" s="653"/>
      <c r="AR137" s="653"/>
      <c r="AS137" s="653"/>
      <c r="AT137" s="653"/>
      <c r="AU137" s="653"/>
      <c r="AV137" s="653"/>
      <c r="AW137" s="653"/>
      <c r="AX137" s="653"/>
      <c r="AY137" s="653"/>
      <c r="AZ137" s="653"/>
      <c r="BA137" s="653"/>
      <c r="BL137" s="653"/>
    </row>
    <row r="138" spans="2:64" hidden="1" x14ac:dyDescent="0.35">
      <c r="B138" s="499"/>
      <c r="C138" s="435" t="s">
        <v>455</v>
      </c>
      <c r="D138" s="164" t="s">
        <v>1130</v>
      </c>
      <c r="E138" s="653"/>
      <c r="F138" s="653"/>
      <c r="G138" s="653"/>
      <c r="H138" s="653"/>
      <c r="I138" s="653"/>
      <c r="J138" s="653"/>
      <c r="K138" s="653"/>
      <c r="L138" s="653"/>
      <c r="M138" s="653"/>
      <c r="N138" s="653"/>
      <c r="O138" s="653"/>
      <c r="P138" s="653"/>
      <c r="Q138" s="653"/>
      <c r="AB138" s="653"/>
      <c r="AC138" s="653"/>
      <c r="AD138" s="653"/>
      <c r="AE138" s="653"/>
      <c r="AF138" s="653"/>
      <c r="AG138" s="653"/>
      <c r="AH138" s="653"/>
      <c r="AI138" s="653"/>
      <c r="AJ138" s="653"/>
      <c r="AK138" s="653"/>
      <c r="AL138" s="653"/>
      <c r="AM138" s="653"/>
      <c r="AN138" s="653"/>
      <c r="AO138" s="653"/>
      <c r="AP138" s="653"/>
      <c r="AQ138" s="653"/>
      <c r="AR138" s="653"/>
      <c r="AS138" s="653"/>
      <c r="AT138" s="653"/>
      <c r="AU138" s="653"/>
      <c r="AV138" s="653"/>
      <c r="AW138" s="653"/>
      <c r="AX138" s="653"/>
      <c r="AY138" s="653"/>
      <c r="AZ138" s="653"/>
      <c r="BA138" s="653"/>
      <c r="BL138" s="653"/>
    </row>
    <row r="139" spans="2:64" hidden="1" x14ac:dyDescent="0.35">
      <c r="B139" s="499"/>
      <c r="C139" s="435" t="s">
        <v>207</v>
      </c>
      <c r="D139" s="164" t="s">
        <v>1130</v>
      </c>
      <c r="E139" s="657"/>
      <c r="F139" s="653"/>
      <c r="G139" s="653"/>
      <c r="H139" s="653"/>
      <c r="I139" s="653"/>
      <c r="J139" s="653"/>
      <c r="K139" s="653"/>
      <c r="L139" s="653"/>
      <c r="M139" s="653"/>
      <c r="N139" s="653"/>
      <c r="O139" s="653"/>
      <c r="P139" s="653"/>
      <c r="Q139" s="653"/>
      <c r="AB139" s="657"/>
      <c r="AC139" s="653"/>
      <c r="AD139" s="653"/>
      <c r="AE139" s="653"/>
      <c r="AF139" s="653"/>
      <c r="AG139" s="653"/>
      <c r="AH139" s="653"/>
      <c r="AI139" s="653"/>
      <c r="AJ139" s="653"/>
      <c r="AK139" s="653"/>
      <c r="AL139" s="653"/>
      <c r="AM139" s="653"/>
      <c r="AN139" s="653"/>
      <c r="AO139" s="657"/>
      <c r="AP139" s="653"/>
      <c r="AQ139" s="653"/>
      <c r="AR139" s="653"/>
      <c r="AS139" s="653"/>
      <c r="AT139" s="653"/>
      <c r="AU139" s="653"/>
      <c r="AV139" s="653"/>
      <c r="AW139" s="653"/>
      <c r="AX139" s="653"/>
      <c r="AY139" s="653"/>
      <c r="AZ139" s="653"/>
      <c r="BA139" s="653"/>
      <c r="BL139" s="653"/>
    </row>
    <row r="140" spans="2:64" hidden="1" x14ac:dyDescent="0.35">
      <c r="B140" s="499"/>
      <c r="C140" s="435" t="s">
        <v>496</v>
      </c>
      <c r="D140" s="164" t="s">
        <v>1130</v>
      </c>
      <c r="E140" s="657"/>
      <c r="F140" s="653"/>
      <c r="G140" s="653"/>
      <c r="H140" s="653"/>
      <c r="I140" s="653"/>
      <c r="J140" s="653"/>
      <c r="K140" s="653"/>
      <c r="L140" s="653"/>
      <c r="M140" s="653"/>
      <c r="N140" s="653"/>
      <c r="O140" s="653"/>
      <c r="P140" s="653"/>
      <c r="Q140" s="653"/>
      <c r="AB140" s="657"/>
      <c r="AC140" s="653"/>
      <c r="AD140" s="653"/>
      <c r="AE140" s="653"/>
      <c r="AF140" s="653"/>
      <c r="AG140" s="653"/>
      <c r="AH140" s="653"/>
      <c r="AI140" s="653"/>
      <c r="AJ140" s="653"/>
      <c r="AK140" s="653"/>
      <c r="AL140" s="653"/>
      <c r="AM140" s="653"/>
      <c r="AN140" s="653"/>
      <c r="AO140" s="657"/>
      <c r="AP140" s="653"/>
      <c r="AQ140" s="653"/>
      <c r="AR140" s="653"/>
      <c r="AS140" s="653"/>
      <c r="AT140" s="653"/>
      <c r="AU140" s="653"/>
      <c r="AV140" s="653"/>
      <c r="AW140" s="653"/>
      <c r="AX140" s="653"/>
      <c r="AY140" s="653"/>
      <c r="AZ140" s="653"/>
      <c r="BA140" s="653"/>
      <c r="BL140" s="653"/>
    </row>
    <row r="141" spans="2:64" hidden="1" x14ac:dyDescent="0.35">
      <c r="B141" s="50" t="s">
        <v>825</v>
      </c>
      <c r="C141" s="435" t="s">
        <v>391</v>
      </c>
      <c r="D141" s="164" t="s">
        <v>1131</v>
      </c>
      <c r="E141" s="657"/>
      <c r="F141" s="653"/>
      <c r="G141" s="653"/>
      <c r="H141" s="653"/>
      <c r="I141" s="653"/>
      <c r="J141" s="653"/>
      <c r="K141" s="653"/>
      <c r="L141" s="653"/>
      <c r="M141" s="653"/>
      <c r="N141" s="653"/>
      <c r="O141" s="653"/>
      <c r="P141" s="653"/>
      <c r="Q141" s="653"/>
      <c r="AB141" s="657"/>
      <c r="AC141" s="653"/>
      <c r="AD141" s="653"/>
      <c r="AE141" s="653"/>
      <c r="AF141" s="653"/>
      <c r="AG141" s="653"/>
      <c r="AH141" s="653"/>
      <c r="AI141" s="653"/>
      <c r="AJ141" s="653"/>
      <c r="AK141" s="653"/>
      <c r="AL141" s="653"/>
      <c r="AM141" s="653"/>
      <c r="AN141" s="653"/>
      <c r="AO141" s="657"/>
      <c r="AP141" s="653"/>
      <c r="AQ141" s="653"/>
      <c r="AR141" s="653"/>
      <c r="AS141" s="653"/>
      <c r="AT141" s="653"/>
      <c r="AU141" s="653"/>
      <c r="AV141" s="653"/>
      <c r="AW141" s="653"/>
      <c r="AX141" s="653"/>
      <c r="AY141" s="653"/>
      <c r="AZ141" s="653"/>
      <c r="BA141" s="653"/>
      <c r="BL141" s="653"/>
    </row>
    <row r="142" spans="2:64" hidden="1" x14ac:dyDescent="0.35">
      <c r="B142" s="499"/>
      <c r="C142" s="435" t="s">
        <v>392</v>
      </c>
      <c r="D142" s="164" t="s">
        <v>1131</v>
      </c>
      <c r="E142" s="657"/>
      <c r="F142" s="653"/>
      <c r="G142" s="653"/>
      <c r="H142" s="653"/>
      <c r="I142" s="653"/>
      <c r="J142" s="653"/>
      <c r="K142" s="653"/>
      <c r="L142" s="653"/>
      <c r="M142" s="653"/>
      <c r="N142" s="653"/>
      <c r="O142" s="653"/>
      <c r="P142" s="653"/>
      <c r="Q142" s="653"/>
      <c r="AB142" s="657"/>
      <c r="AC142" s="653"/>
      <c r="AD142" s="653"/>
      <c r="AE142" s="653"/>
      <c r="AF142" s="653"/>
      <c r="AG142" s="653"/>
      <c r="AH142" s="653"/>
      <c r="AI142" s="653"/>
      <c r="AJ142" s="653"/>
      <c r="AK142" s="653"/>
      <c r="AL142" s="653"/>
      <c r="AM142" s="653"/>
      <c r="AN142" s="653"/>
      <c r="AO142" s="657"/>
      <c r="AP142" s="653"/>
      <c r="AQ142" s="653"/>
      <c r="AR142" s="653"/>
      <c r="AS142" s="653"/>
      <c r="AT142" s="653"/>
      <c r="AU142" s="653"/>
      <c r="AV142" s="653"/>
      <c r="AW142" s="653"/>
      <c r="AX142" s="653"/>
      <c r="AY142" s="653"/>
      <c r="AZ142" s="653"/>
      <c r="BA142" s="653"/>
      <c r="BL142" s="653"/>
    </row>
    <row r="143" spans="2:64" hidden="1" x14ac:dyDescent="0.35">
      <c r="B143" s="499"/>
      <c r="C143" s="435" t="s">
        <v>446</v>
      </c>
      <c r="D143" s="164" t="s">
        <v>1131</v>
      </c>
      <c r="E143" s="657"/>
      <c r="F143" s="653"/>
      <c r="G143" s="653"/>
      <c r="H143" s="653"/>
      <c r="I143" s="653"/>
      <c r="J143" s="653"/>
      <c r="K143" s="653"/>
      <c r="L143" s="653"/>
      <c r="M143" s="653"/>
      <c r="N143" s="653"/>
      <c r="O143" s="653"/>
      <c r="P143" s="653"/>
      <c r="Q143" s="653"/>
      <c r="AB143" s="657"/>
      <c r="AC143" s="653"/>
      <c r="AD143" s="653"/>
      <c r="AE143" s="653"/>
      <c r="AF143" s="653"/>
      <c r="AG143" s="653"/>
      <c r="AH143" s="653"/>
      <c r="AI143" s="653"/>
      <c r="AJ143" s="653"/>
      <c r="AK143" s="653"/>
      <c r="AL143" s="653"/>
      <c r="AM143" s="653"/>
      <c r="AN143" s="653"/>
      <c r="AO143" s="657"/>
      <c r="AP143" s="653"/>
      <c r="AQ143" s="653"/>
      <c r="AR143" s="653"/>
      <c r="AS143" s="653"/>
      <c r="AT143" s="653"/>
      <c r="AU143" s="653"/>
      <c r="AV143" s="653"/>
      <c r="AW143" s="653"/>
      <c r="AX143" s="653"/>
      <c r="AY143" s="653"/>
      <c r="AZ143" s="653"/>
      <c r="BA143" s="653"/>
      <c r="BL143" s="653"/>
    </row>
    <row r="144" spans="2:64" hidden="1" x14ac:dyDescent="0.35">
      <c r="B144" s="499"/>
      <c r="C144" s="435" t="s">
        <v>455</v>
      </c>
      <c r="D144" s="164" t="s">
        <v>1131</v>
      </c>
      <c r="E144" s="657"/>
      <c r="F144" s="653"/>
      <c r="G144" s="653"/>
      <c r="H144" s="653"/>
      <c r="I144" s="653"/>
      <c r="J144" s="653"/>
      <c r="K144" s="653"/>
      <c r="L144" s="653"/>
      <c r="M144" s="653"/>
      <c r="N144" s="653"/>
      <c r="O144" s="653"/>
      <c r="P144" s="653"/>
      <c r="Q144" s="653"/>
      <c r="AB144" s="657"/>
      <c r="AC144" s="653"/>
      <c r="AD144" s="653"/>
      <c r="AE144" s="653"/>
      <c r="AF144" s="653"/>
      <c r="AG144" s="653"/>
      <c r="AH144" s="653"/>
      <c r="AI144" s="653"/>
      <c r="AJ144" s="653"/>
      <c r="AK144" s="653"/>
      <c r="AL144" s="653"/>
      <c r="AM144" s="653"/>
      <c r="AN144" s="653"/>
      <c r="AO144" s="657"/>
      <c r="AP144" s="653"/>
      <c r="AQ144" s="653"/>
      <c r="AR144" s="653"/>
      <c r="AS144" s="653"/>
      <c r="AT144" s="653"/>
      <c r="AU144" s="653"/>
      <c r="AV144" s="653"/>
      <c r="AW144" s="653"/>
      <c r="AX144" s="653"/>
      <c r="AY144" s="653"/>
      <c r="AZ144" s="653"/>
      <c r="BA144" s="653"/>
      <c r="BL144" s="653"/>
    </row>
    <row r="145" spans="2:64" hidden="1" x14ac:dyDescent="0.35">
      <c r="B145" s="499"/>
      <c r="C145" s="435" t="s">
        <v>207</v>
      </c>
      <c r="D145" s="164" t="s">
        <v>1131</v>
      </c>
      <c r="E145" s="657"/>
      <c r="F145" s="653"/>
      <c r="G145" s="653"/>
      <c r="H145" s="653"/>
      <c r="I145" s="653"/>
      <c r="J145" s="653"/>
      <c r="K145" s="653"/>
      <c r="L145" s="653"/>
      <c r="M145" s="653"/>
      <c r="N145" s="653"/>
      <c r="O145" s="653"/>
      <c r="P145" s="653"/>
      <c r="Q145" s="653"/>
      <c r="AB145" s="657"/>
      <c r="AC145" s="653"/>
      <c r="AD145" s="653"/>
      <c r="AE145" s="653"/>
      <c r="AF145" s="653"/>
      <c r="AG145" s="653"/>
      <c r="AH145" s="653"/>
      <c r="AI145" s="653"/>
      <c r="AJ145" s="653"/>
      <c r="AK145" s="653"/>
      <c r="AL145" s="653"/>
      <c r="AM145" s="653"/>
      <c r="AN145" s="653"/>
      <c r="AO145" s="657"/>
      <c r="AP145" s="653"/>
      <c r="AQ145" s="653"/>
      <c r="AR145" s="653"/>
      <c r="AS145" s="653"/>
      <c r="AT145" s="653"/>
      <c r="AU145" s="653"/>
      <c r="AV145" s="653"/>
      <c r="AW145" s="653"/>
      <c r="AX145" s="653"/>
      <c r="AY145" s="653"/>
      <c r="AZ145" s="653"/>
      <c r="BA145" s="653"/>
      <c r="BL145" s="653"/>
    </row>
    <row r="146" spans="2:64" hidden="1" x14ac:dyDescent="0.35">
      <c r="B146" s="499"/>
      <c r="C146" s="435" t="s">
        <v>496</v>
      </c>
      <c r="D146" s="164" t="s">
        <v>1131</v>
      </c>
      <c r="E146" s="657"/>
      <c r="F146" s="653"/>
      <c r="G146" s="653"/>
      <c r="H146" s="653"/>
      <c r="I146" s="653"/>
      <c r="J146" s="653"/>
      <c r="K146" s="653"/>
      <c r="L146" s="653"/>
      <c r="M146" s="653"/>
      <c r="N146" s="653"/>
      <c r="O146" s="653"/>
      <c r="P146" s="653"/>
      <c r="Q146" s="653"/>
      <c r="AB146" s="657"/>
      <c r="AC146" s="653"/>
      <c r="AD146" s="653"/>
      <c r="AE146" s="653"/>
      <c r="AF146" s="653"/>
      <c r="AG146" s="653"/>
      <c r="AH146" s="653"/>
      <c r="AI146" s="653"/>
      <c r="AJ146" s="653"/>
      <c r="AK146" s="653"/>
      <c r="AL146" s="653"/>
      <c r="AM146" s="653"/>
      <c r="AN146" s="653"/>
      <c r="AO146" s="657"/>
      <c r="AP146" s="653"/>
      <c r="AQ146" s="653"/>
      <c r="AR146" s="653"/>
      <c r="AS146" s="653"/>
      <c r="AT146" s="653"/>
      <c r="AU146" s="653"/>
      <c r="AV146" s="653"/>
      <c r="AW146" s="653"/>
      <c r="AX146" s="653"/>
      <c r="AY146" s="653"/>
      <c r="AZ146" s="653"/>
      <c r="BA146" s="653"/>
      <c r="BL146" s="653"/>
    </row>
    <row r="147" spans="2:64" hidden="1" x14ac:dyDescent="0.35">
      <c r="B147" s="50" t="s">
        <v>826</v>
      </c>
      <c r="C147" s="435" t="s">
        <v>391</v>
      </c>
      <c r="D147" s="164" t="s">
        <v>1132</v>
      </c>
      <c r="E147" s="657"/>
      <c r="F147" s="653"/>
      <c r="G147" s="653"/>
      <c r="H147" s="653"/>
      <c r="I147" s="653"/>
      <c r="J147" s="653"/>
      <c r="K147" s="653"/>
      <c r="L147" s="653"/>
      <c r="M147" s="653"/>
      <c r="N147" s="653"/>
      <c r="O147" s="653"/>
      <c r="P147" s="653"/>
      <c r="Q147" s="653"/>
      <c r="AB147" s="657"/>
      <c r="AC147" s="653"/>
      <c r="AD147" s="653"/>
      <c r="AE147" s="653"/>
      <c r="AF147" s="653"/>
      <c r="AG147" s="653"/>
      <c r="AH147" s="653"/>
      <c r="AI147" s="653"/>
      <c r="AJ147" s="653"/>
      <c r="AK147" s="653"/>
      <c r="AL147" s="653"/>
      <c r="AM147" s="653"/>
      <c r="AN147" s="653"/>
      <c r="AO147" s="657"/>
      <c r="AP147" s="653"/>
      <c r="AQ147" s="653"/>
      <c r="AR147" s="653"/>
      <c r="AS147" s="653"/>
      <c r="AT147" s="653"/>
      <c r="AU147" s="653"/>
      <c r="AV147" s="653"/>
      <c r="AW147" s="653"/>
      <c r="AX147" s="653"/>
      <c r="AY147" s="653"/>
      <c r="AZ147" s="653"/>
      <c r="BA147" s="653"/>
      <c r="BL147" s="653"/>
    </row>
    <row r="148" spans="2:64" hidden="1" x14ac:dyDescent="0.35">
      <c r="B148" s="499"/>
      <c r="C148" s="435" t="s">
        <v>392</v>
      </c>
      <c r="D148" s="164" t="s">
        <v>1132</v>
      </c>
      <c r="E148" s="657"/>
      <c r="F148" s="653"/>
      <c r="G148" s="653"/>
      <c r="H148" s="653"/>
      <c r="I148" s="653"/>
      <c r="J148" s="653"/>
      <c r="K148" s="653"/>
      <c r="L148" s="653"/>
      <c r="M148" s="653"/>
      <c r="N148" s="653"/>
      <c r="O148" s="653"/>
      <c r="P148" s="653"/>
      <c r="Q148" s="653"/>
      <c r="AB148" s="657"/>
      <c r="AC148" s="653"/>
      <c r="AD148" s="653"/>
      <c r="AE148" s="653"/>
      <c r="AF148" s="653"/>
      <c r="AG148" s="653"/>
      <c r="AH148" s="653"/>
      <c r="AI148" s="653"/>
      <c r="AJ148" s="653"/>
      <c r="AK148" s="653"/>
      <c r="AL148" s="653"/>
      <c r="AM148" s="653"/>
      <c r="AN148" s="653"/>
      <c r="AO148" s="657"/>
      <c r="AP148" s="653"/>
      <c r="AQ148" s="653"/>
      <c r="AR148" s="653"/>
      <c r="AS148" s="653"/>
      <c r="AT148" s="653"/>
      <c r="AU148" s="653"/>
      <c r="AV148" s="653"/>
      <c r="AW148" s="653"/>
      <c r="AX148" s="653"/>
      <c r="AY148" s="653"/>
      <c r="AZ148" s="653"/>
      <c r="BA148" s="653"/>
      <c r="BL148" s="653"/>
    </row>
    <row r="149" spans="2:64" hidden="1" x14ac:dyDescent="0.35">
      <c r="B149" s="499"/>
      <c r="C149" s="435" t="s">
        <v>446</v>
      </c>
      <c r="D149" s="164" t="s">
        <v>1132</v>
      </c>
      <c r="E149" s="657"/>
      <c r="F149" s="653"/>
      <c r="G149" s="653"/>
      <c r="H149" s="653"/>
      <c r="I149" s="653"/>
      <c r="J149" s="653"/>
      <c r="K149" s="653"/>
      <c r="L149" s="653"/>
      <c r="M149" s="653"/>
      <c r="N149" s="653"/>
      <c r="O149" s="653"/>
      <c r="P149" s="653"/>
      <c r="Q149" s="653"/>
      <c r="AB149" s="657"/>
      <c r="AC149" s="653"/>
      <c r="AD149" s="653"/>
      <c r="AE149" s="653"/>
      <c r="AF149" s="653"/>
      <c r="AG149" s="653"/>
      <c r="AH149" s="653"/>
      <c r="AI149" s="653"/>
      <c r="AJ149" s="653"/>
      <c r="AK149" s="653"/>
      <c r="AL149" s="653"/>
      <c r="AM149" s="653"/>
      <c r="AN149" s="653"/>
      <c r="AO149" s="657"/>
      <c r="AP149" s="653"/>
      <c r="AQ149" s="653"/>
      <c r="AR149" s="653"/>
      <c r="AS149" s="653"/>
      <c r="AT149" s="653"/>
      <c r="AU149" s="653"/>
      <c r="AV149" s="653"/>
      <c r="AW149" s="653"/>
      <c r="AX149" s="653"/>
      <c r="AY149" s="653"/>
      <c r="AZ149" s="653"/>
      <c r="BA149" s="653"/>
      <c r="BL149" s="653"/>
    </row>
    <row r="150" spans="2:64" hidden="1" x14ac:dyDescent="0.35">
      <c r="B150" s="499"/>
      <c r="C150" s="435" t="s">
        <v>455</v>
      </c>
      <c r="D150" s="164" t="s">
        <v>1132</v>
      </c>
      <c r="E150" s="657"/>
      <c r="F150" s="653"/>
      <c r="G150" s="653"/>
      <c r="H150" s="653"/>
      <c r="I150" s="653"/>
      <c r="J150" s="653"/>
      <c r="K150" s="653"/>
      <c r="L150" s="653"/>
      <c r="M150" s="653"/>
      <c r="N150" s="653"/>
      <c r="O150" s="653"/>
      <c r="P150" s="653"/>
      <c r="Q150" s="653"/>
      <c r="AB150" s="657"/>
      <c r="AC150" s="653"/>
      <c r="AD150" s="653"/>
      <c r="AE150" s="653"/>
      <c r="AF150" s="653"/>
      <c r="AG150" s="653"/>
      <c r="AH150" s="653"/>
      <c r="AI150" s="653"/>
      <c r="AJ150" s="653"/>
      <c r="AK150" s="653"/>
      <c r="AL150" s="653"/>
      <c r="AM150" s="653"/>
      <c r="AN150" s="653"/>
      <c r="AO150" s="657"/>
      <c r="AP150" s="653"/>
      <c r="AQ150" s="653"/>
      <c r="AR150" s="653"/>
      <c r="AS150" s="653"/>
      <c r="AT150" s="653"/>
      <c r="AU150" s="653"/>
      <c r="AV150" s="653"/>
      <c r="AW150" s="653"/>
      <c r="AX150" s="653"/>
      <c r="AY150" s="653"/>
      <c r="AZ150" s="653"/>
      <c r="BA150" s="653"/>
      <c r="BL150" s="653"/>
    </row>
    <row r="151" spans="2:64" hidden="1" x14ac:dyDescent="0.35">
      <c r="B151" s="499"/>
      <c r="C151" s="435" t="s">
        <v>207</v>
      </c>
      <c r="D151" s="164" t="s">
        <v>1132</v>
      </c>
      <c r="E151" s="657"/>
      <c r="F151" s="653"/>
      <c r="G151" s="653"/>
      <c r="H151" s="653"/>
      <c r="I151" s="653"/>
      <c r="J151" s="653"/>
      <c r="K151" s="653"/>
      <c r="L151" s="653"/>
      <c r="M151" s="653"/>
      <c r="N151" s="653"/>
      <c r="O151" s="653"/>
      <c r="P151" s="653"/>
      <c r="Q151" s="653"/>
      <c r="AB151" s="657"/>
      <c r="AC151" s="653"/>
      <c r="AD151" s="653"/>
      <c r="AE151" s="653"/>
      <c r="AF151" s="653"/>
      <c r="AG151" s="653"/>
      <c r="AH151" s="653"/>
      <c r="AI151" s="653"/>
      <c r="AJ151" s="653"/>
      <c r="AK151" s="653"/>
      <c r="AL151" s="653"/>
      <c r="AM151" s="653"/>
      <c r="AN151" s="653"/>
      <c r="AO151" s="657"/>
      <c r="AP151" s="653"/>
      <c r="AQ151" s="653"/>
      <c r="AR151" s="653"/>
      <c r="AS151" s="653"/>
      <c r="AT151" s="653"/>
      <c r="AU151" s="653"/>
      <c r="AV151" s="653"/>
      <c r="AW151" s="653"/>
      <c r="AX151" s="653"/>
      <c r="AY151" s="653"/>
      <c r="AZ151" s="653"/>
      <c r="BA151" s="653"/>
      <c r="BL151" s="653"/>
    </row>
    <row r="152" spans="2:64" hidden="1" x14ac:dyDescent="0.35">
      <c r="B152" s="499"/>
      <c r="C152" s="435" t="s">
        <v>496</v>
      </c>
      <c r="D152" s="164" t="s">
        <v>1132</v>
      </c>
      <c r="E152" s="657"/>
      <c r="F152" s="653"/>
      <c r="G152" s="653"/>
      <c r="H152" s="653"/>
      <c r="I152" s="653"/>
      <c r="J152" s="653"/>
      <c r="K152" s="653"/>
      <c r="L152" s="653"/>
      <c r="M152" s="653"/>
      <c r="N152" s="653"/>
      <c r="O152" s="653"/>
      <c r="P152" s="653"/>
      <c r="Q152" s="653"/>
      <c r="AB152" s="657"/>
      <c r="AC152" s="653"/>
      <c r="AD152" s="653"/>
      <c r="AE152" s="653"/>
      <c r="AF152" s="653"/>
      <c r="AG152" s="653"/>
      <c r="AH152" s="653"/>
      <c r="AI152" s="653"/>
      <c r="AJ152" s="653"/>
      <c r="AK152" s="653"/>
      <c r="AL152" s="653"/>
      <c r="AM152" s="653"/>
      <c r="AN152" s="653"/>
      <c r="AO152" s="657"/>
      <c r="AP152" s="653"/>
      <c r="AQ152" s="653"/>
      <c r="AR152" s="653"/>
      <c r="AS152" s="653"/>
      <c r="AT152" s="653"/>
      <c r="AU152" s="653"/>
      <c r="AV152" s="653"/>
      <c r="AW152" s="653"/>
      <c r="AX152" s="653"/>
      <c r="AY152" s="653"/>
      <c r="AZ152" s="653"/>
      <c r="BA152" s="653"/>
      <c r="BL152" s="653"/>
    </row>
    <row r="153" spans="2:64" x14ac:dyDescent="0.35">
      <c r="B153" s="50" t="s">
        <v>49</v>
      </c>
      <c r="C153" s="435" t="s">
        <v>391</v>
      </c>
      <c r="D153" s="164" t="s">
        <v>1133</v>
      </c>
      <c r="E153" s="1162">
        <v>0.14132493099317739</v>
      </c>
      <c r="F153" s="1162">
        <v>1.304623602484472</v>
      </c>
      <c r="G153" s="1162">
        <v>1.1458493049600129</v>
      </c>
      <c r="H153" s="1162">
        <v>1.1388440525895001</v>
      </c>
      <c r="I153" s="1162">
        <v>1.176467876628438</v>
      </c>
      <c r="J153" s="1162">
        <v>1.2708042824491761</v>
      </c>
      <c r="K153" s="1162">
        <v>1.320860252564013</v>
      </c>
      <c r="L153" s="1162">
        <v>0.9912529327970504</v>
      </c>
      <c r="M153" s="1162">
        <v>0.80420602357049331</v>
      </c>
      <c r="N153" s="1162">
        <v>1.1211219056203781</v>
      </c>
      <c r="O153" s="1162">
        <v>1.158293226971135</v>
      </c>
      <c r="P153" s="1162">
        <v>2.4356767842493849</v>
      </c>
      <c r="Q153" s="1162">
        <v>2.2374084345562721</v>
      </c>
      <c r="R153" s="1162">
        <v>1.68967549379313</v>
      </c>
      <c r="S153" s="1162">
        <v>1.8099649083270291</v>
      </c>
      <c r="T153" s="1162">
        <v>1.7363566482111721</v>
      </c>
      <c r="U153" s="1162">
        <v>1.649446769320257</v>
      </c>
      <c r="V153" s="1162">
        <v>3.1118828072118641</v>
      </c>
      <c r="W153" s="1162">
        <v>3.3552658850894592</v>
      </c>
      <c r="X153" s="1162">
        <v>3.4670476518544029</v>
      </c>
      <c r="Y153" s="1162">
        <v>1.9734709917302391</v>
      </c>
      <c r="Z153" s="1162">
        <v>2.6965573811614201</v>
      </c>
      <c r="AA153" s="1162">
        <v>2.6383951370252912</v>
      </c>
      <c r="AB153" s="1162">
        <v>2.188580576307364</v>
      </c>
      <c r="AC153" s="1162">
        <v>2.13</v>
      </c>
      <c r="AD153" s="574">
        <v>1.76</v>
      </c>
      <c r="AE153" s="574">
        <v>1.76</v>
      </c>
      <c r="AF153" s="574">
        <v>1.76</v>
      </c>
      <c r="AG153" s="574">
        <v>1.76</v>
      </c>
      <c r="AH153" s="574">
        <v>1.76</v>
      </c>
      <c r="AI153" s="574">
        <v>1.76</v>
      </c>
      <c r="AJ153" s="574">
        <v>1.76</v>
      </c>
      <c r="AK153" s="574">
        <v>1.76</v>
      </c>
      <c r="AL153" s="574">
        <v>1.76</v>
      </c>
      <c r="AM153" s="574">
        <v>1.76</v>
      </c>
      <c r="AN153" s="574">
        <v>1.76</v>
      </c>
      <c r="AO153" s="574">
        <v>1.76</v>
      </c>
      <c r="AP153" s="574">
        <v>1.76</v>
      </c>
      <c r="AQ153" s="574">
        <v>1.76</v>
      </c>
      <c r="AR153" s="574">
        <v>1.76</v>
      </c>
      <c r="AS153" s="574">
        <v>1.76</v>
      </c>
      <c r="AT153" s="574">
        <v>1.76</v>
      </c>
      <c r="AU153" s="574">
        <v>1.76</v>
      </c>
      <c r="AV153" s="574">
        <v>1.76</v>
      </c>
      <c r="AW153" s="574">
        <v>1.76</v>
      </c>
      <c r="AX153" s="574">
        <v>1.76</v>
      </c>
      <c r="AY153" s="574">
        <v>1.76</v>
      </c>
      <c r="AZ153" s="574">
        <v>1.76</v>
      </c>
      <c r="BA153" s="574">
        <v>1.76</v>
      </c>
      <c r="BB153" s="574">
        <v>1.76</v>
      </c>
      <c r="BC153" s="574">
        <v>1.76</v>
      </c>
      <c r="BD153" s="574">
        <v>1.76</v>
      </c>
      <c r="BE153" s="574">
        <v>1.76</v>
      </c>
      <c r="BF153" s="574">
        <v>1.76</v>
      </c>
      <c r="BG153" s="574">
        <v>1.76</v>
      </c>
      <c r="BH153" s="574">
        <v>1.76</v>
      </c>
      <c r="BI153" s="574">
        <v>1.76</v>
      </c>
      <c r="BJ153" s="574">
        <v>1.76</v>
      </c>
      <c r="BK153" s="574">
        <v>1.76</v>
      </c>
      <c r="BL153" s="574">
        <v>1.76</v>
      </c>
    </row>
    <row r="154" spans="2:64" x14ac:dyDescent="0.35">
      <c r="B154" s="668" t="s">
        <v>849</v>
      </c>
      <c r="C154" s="435" t="s">
        <v>392</v>
      </c>
      <c r="D154" s="164" t="s">
        <v>1133</v>
      </c>
      <c r="E154" s="1162">
        <v>0.14132493099317739</v>
      </c>
      <c r="F154" s="1162">
        <v>1.304623602484472</v>
      </c>
      <c r="G154" s="1162">
        <v>1.1458493049600129</v>
      </c>
      <c r="H154" s="1162">
        <v>1.1388440525895001</v>
      </c>
      <c r="I154" s="1162">
        <v>1.176467876628438</v>
      </c>
      <c r="J154" s="1162">
        <v>1.2708042824491761</v>
      </c>
      <c r="K154" s="1162">
        <v>1.320860252564013</v>
      </c>
      <c r="L154" s="1162">
        <v>0.9912529327970504</v>
      </c>
      <c r="M154" s="1162">
        <v>0.80420602357049331</v>
      </c>
      <c r="N154" s="1162">
        <v>1.1211219056203781</v>
      </c>
      <c r="O154" s="1162">
        <v>1.158293226971135</v>
      </c>
      <c r="P154" s="1162">
        <v>2.4356767842493849</v>
      </c>
      <c r="Q154" s="1162">
        <v>2.2374084345562721</v>
      </c>
      <c r="R154" s="1162">
        <v>1.68967549379313</v>
      </c>
      <c r="S154" s="1162">
        <v>1.8099649083270291</v>
      </c>
      <c r="T154" s="1162">
        <v>1.7363566482111721</v>
      </c>
      <c r="U154" s="1162">
        <v>1.649446769320257</v>
      </c>
      <c r="V154" s="1162">
        <v>3.1118828072118641</v>
      </c>
      <c r="W154" s="1162">
        <v>3.3552658850894592</v>
      </c>
      <c r="X154" s="1162">
        <v>3.4670476518544029</v>
      </c>
      <c r="Y154" s="1162">
        <v>1.9734709917302391</v>
      </c>
      <c r="Z154" s="1162">
        <v>2.6965573811614201</v>
      </c>
      <c r="AA154" s="1162">
        <v>2.6383951370252912</v>
      </c>
      <c r="AB154" s="1162">
        <v>2.188580576307364</v>
      </c>
      <c r="AC154" s="1162">
        <v>2.13</v>
      </c>
      <c r="AD154" s="574">
        <v>2.38</v>
      </c>
      <c r="AE154" s="574">
        <v>2.38</v>
      </c>
      <c r="AF154" s="574">
        <v>2.38</v>
      </c>
      <c r="AG154" s="574">
        <v>2.38</v>
      </c>
      <c r="AH154" s="574">
        <v>2.38</v>
      </c>
      <c r="AI154" s="574">
        <v>2.38</v>
      </c>
      <c r="AJ154" s="574">
        <v>2.38</v>
      </c>
      <c r="AK154" s="574">
        <v>2.38</v>
      </c>
      <c r="AL154" s="574">
        <v>2.38</v>
      </c>
      <c r="AM154" s="574">
        <v>2.38</v>
      </c>
      <c r="AN154" s="574">
        <v>2.38</v>
      </c>
      <c r="AO154" s="574">
        <v>2.38</v>
      </c>
      <c r="AP154" s="574">
        <v>2.38</v>
      </c>
      <c r="AQ154" s="574">
        <v>2.38</v>
      </c>
      <c r="AR154" s="574">
        <v>2.38</v>
      </c>
      <c r="AS154" s="574">
        <v>2.38</v>
      </c>
      <c r="AT154" s="574">
        <v>2.38</v>
      </c>
      <c r="AU154" s="574">
        <v>2.38</v>
      </c>
      <c r="AV154" s="574">
        <v>2.38</v>
      </c>
      <c r="AW154" s="574">
        <v>2.38</v>
      </c>
      <c r="AX154" s="574">
        <v>2.38</v>
      </c>
      <c r="AY154" s="574">
        <v>2.38</v>
      </c>
      <c r="AZ154" s="574">
        <v>2.38</v>
      </c>
      <c r="BA154" s="574">
        <v>2.38</v>
      </c>
      <c r="BB154" s="574">
        <v>2.38</v>
      </c>
      <c r="BC154" s="574">
        <v>2.38</v>
      </c>
      <c r="BD154" s="574">
        <v>2.38</v>
      </c>
      <c r="BE154" s="574">
        <v>2.38</v>
      </c>
      <c r="BF154" s="574">
        <v>2.38</v>
      </c>
      <c r="BG154" s="574">
        <v>2.38</v>
      </c>
      <c r="BH154" s="574">
        <v>2.38</v>
      </c>
      <c r="BI154" s="574">
        <v>2.38</v>
      </c>
      <c r="BJ154" s="574">
        <v>2.38</v>
      </c>
      <c r="BK154" s="574">
        <v>2.38</v>
      </c>
      <c r="BL154" s="574">
        <v>2.38</v>
      </c>
    </row>
    <row r="155" spans="2:64" x14ac:dyDescent="0.35">
      <c r="B155" s="668" t="s">
        <v>850</v>
      </c>
      <c r="C155" s="435" t="s">
        <v>446</v>
      </c>
      <c r="D155" s="164" t="s">
        <v>1133</v>
      </c>
      <c r="E155" s="1162">
        <v>0.14132493099317739</v>
      </c>
      <c r="F155" s="1162">
        <v>1.304623602484472</v>
      </c>
      <c r="G155" s="1162">
        <v>1.1458493049600129</v>
      </c>
      <c r="H155" s="1162">
        <v>1.1388440525895001</v>
      </c>
      <c r="I155" s="1162">
        <v>1.176467876628438</v>
      </c>
      <c r="J155" s="1162">
        <v>1.2708042824491761</v>
      </c>
      <c r="K155" s="1162">
        <v>1.320860252564013</v>
      </c>
      <c r="L155" s="1162">
        <v>0.9912529327970504</v>
      </c>
      <c r="M155" s="1162">
        <v>0.80420602357049331</v>
      </c>
      <c r="N155" s="1162">
        <v>1.1211219056203781</v>
      </c>
      <c r="O155" s="1162">
        <v>1.158293226971135</v>
      </c>
      <c r="P155" s="1162">
        <v>2.4356767842493849</v>
      </c>
      <c r="Q155" s="1162">
        <v>2.2374084345562721</v>
      </c>
      <c r="R155" s="1162">
        <v>1.68967549379313</v>
      </c>
      <c r="S155" s="1162">
        <v>1.8099649083270291</v>
      </c>
      <c r="T155" s="1162">
        <v>1.7363566482111721</v>
      </c>
      <c r="U155" s="1162">
        <v>1.649446769320257</v>
      </c>
      <c r="V155" s="1162">
        <v>3.1118828072118641</v>
      </c>
      <c r="W155" s="1162">
        <v>3.3552658850894592</v>
      </c>
      <c r="X155" s="1162">
        <v>3.4670476518544029</v>
      </c>
      <c r="Y155" s="1162">
        <v>1.9734709917302391</v>
      </c>
      <c r="Z155" s="1162">
        <v>2.6965573811614201</v>
      </c>
      <c r="AA155" s="1162">
        <v>2.6383951370252912</v>
      </c>
      <c r="AB155" s="1162">
        <v>2.188580576307364</v>
      </c>
      <c r="AC155" s="1162">
        <v>2.13</v>
      </c>
      <c r="AD155" s="574">
        <v>3.47</v>
      </c>
      <c r="AE155" s="574">
        <v>3.47</v>
      </c>
      <c r="AF155" s="574">
        <v>3.47</v>
      </c>
      <c r="AG155" s="574">
        <v>3.47</v>
      </c>
      <c r="AH155" s="574">
        <v>3.47</v>
      </c>
      <c r="AI155" s="574">
        <v>3.47</v>
      </c>
      <c r="AJ155" s="574">
        <v>3.47</v>
      </c>
      <c r="AK155" s="574">
        <v>3.47</v>
      </c>
      <c r="AL155" s="574">
        <v>3.47</v>
      </c>
      <c r="AM155" s="574">
        <v>3.47</v>
      </c>
      <c r="AN155" s="574">
        <v>3.47</v>
      </c>
      <c r="AO155" s="574">
        <v>3.47</v>
      </c>
      <c r="AP155" s="574">
        <v>3.47</v>
      </c>
      <c r="AQ155" s="574">
        <v>3.47</v>
      </c>
      <c r="AR155" s="574">
        <v>3.47</v>
      </c>
      <c r="AS155" s="574">
        <v>3.47</v>
      </c>
      <c r="AT155" s="574">
        <v>3.47</v>
      </c>
      <c r="AU155" s="574">
        <v>3.47</v>
      </c>
      <c r="AV155" s="574">
        <v>3.47</v>
      </c>
      <c r="AW155" s="574">
        <v>3.47</v>
      </c>
      <c r="AX155" s="574">
        <v>3.47</v>
      </c>
      <c r="AY155" s="574">
        <v>3.47</v>
      </c>
      <c r="AZ155" s="574">
        <v>3.47</v>
      </c>
      <c r="BA155" s="574">
        <v>3.47</v>
      </c>
      <c r="BB155" s="574">
        <v>3.47</v>
      </c>
      <c r="BC155" s="574">
        <v>3.47</v>
      </c>
      <c r="BD155" s="574">
        <v>3.47</v>
      </c>
      <c r="BE155" s="574">
        <v>3.47</v>
      </c>
      <c r="BF155" s="574">
        <v>3.47</v>
      </c>
      <c r="BG155" s="574">
        <v>3.47</v>
      </c>
      <c r="BH155" s="574">
        <v>3.47</v>
      </c>
      <c r="BI155" s="574">
        <v>3.47</v>
      </c>
      <c r="BJ155" s="574">
        <v>3.47</v>
      </c>
      <c r="BK155" s="574">
        <v>3.47</v>
      </c>
      <c r="BL155" s="574">
        <v>3.47</v>
      </c>
    </row>
    <row r="156" spans="2:64" x14ac:dyDescent="0.35">
      <c r="B156" s="668" t="s">
        <v>851</v>
      </c>
      <c r="C156" s="435" t="s">
        <v>455</v>
      </c>
      <c r="D156" s="164" t="s">
        <v>1133</v>
      </c>
      <c r="E156" s="1162">
        <v>0.14132493099317739</v>
      </c>
      <c r="F156" s="1162">
        <v>1.304623602484472</v>
      </c>
      <c r="G156" s="1162">
        <v>1.1458493049600129</v>
      </c>
      <c r="H156" s="1162">
        <v>1.1388440525895001</v>
      </c>
      <c r="I156" s="1162">
        <v>1.176467876628438</v>
      </c>
      <c r="J156" s="1162">
        <v>1.2708042824491761</v>
      </c>
      <c r="K156" s="1162">
        <v>1.320860252564013</v>
      </c>
      <c r="L156" s="1162">
        <v>0.9912529327970504</v>
      </c>
      <c r="M156" s="1162">
        <v>0.80420602357049331</v>
      </c>
      <c r="N156" s="1162">
        <v>1.1211219056203781</v>
      </c>
      <c r="O156" s="1162">
        <v>1.158293226971135</v>
      </c>
      <c r="P156" s="1162">
        <v>2.4356767842493849</v>
      </c>
      <c r="Q156" s="1162">
        <v>2.2374084345562721</v>
      </c>
      <c r="R156" s="1162">
        <v>1.68967549379313</v>
      </c>
      <c r="S156" s="1162">
        <v>1.8099649083270291</v>
      </c>
      <c r="T156" s="1162">
        <v>1.7363566482111721</v>
      </c>
      <c r="U156" s="1162">
        <v>1.649446769320257</v>
      </c>
      <c r="V156" s="1162">
        <v>3.1118828072118641</v>
      </c>
      <c r="W156" s="1162">
        <v>3.3552658850894592</v>
      </c>
      <c r="X156" s="1162">
        <v>3.4670476518544029</v>
      </c>
      <c r="Y156" s="1162">
        <v>1.9734709917302391</v>
      </c>
      <c r="Z156" s="1162">
        <v>2.6965573811614201</v>
      </c>
      <c r="AA156" s="1162">
        <v>2.6383951370252912</v>
      </c>
      <c r="AB156" s="1162">
        <v>2.188580576307364</v>
      </c>
      <c r="AC156" s="1162">
        <v>2.13</v>
      </c>
      <c r="AD156" s="574">
        <v>2.56</v>
      </c>
      <c r="AE156" s="574">
        <v>2.56</v>
      </c>
      <c r="AF156" s="574">
        <v>2.56</v>
      </c>
      <c r="AG156" s="574">
        <v>2.56</v>
      </c>
      <c r="AH156" s="574">
        <v>2.56</v>
      </c>
      <c r="AI156" s="574">
        <v>2.56</v>
      </c>
      <c r="AJ156" s="574">
        <v>2.56</v>
      </c>
      <c r="AK156" s="574">
        <v>2.56</v>
      </c>
      <c r="AL156" s="574">
        <v>2.56</v>
      </c>
      <c r="AM156" s="574">
        <v>2.56</v>
      </c>
      <c r="AN156" s="574">
        <v>2.56</v>
      </c>
      <c r="AO156" s="574">
        <v>2.56</v>
      </c>
      <c r="AP156" s="574">
        <v>2.56</v>
      </c>
      <c r="AQ156" s="574">
        <v>2.56</v>
      </c>
      <c r="AR156" s="574">
        <v>2.56</v>
      </c>
      <c r="AS156" s="574">
        <v>2.56</v>
      </c>
      <c r="AT156" s="574">
        <v>2.56</v>
      </c>
      <c r="AU156" s="574">
        <v>2.56</v>
      </c>
      <c r="AV156" s="574">
        <v>2.56</v>
      </c>
      <c r="AW156" s="574">
        <v>2.56</v>
      </c>
      <c r="AX156" s="574">
        <v>2.56</v>
      </c>
      <c r="AY156" s="574">
        <v>2.56</v>
      </c>
      <c r="AZ156" s="574">
        <v>2.56</v>
      </c>
      <c r="BA156" s="574">
        <v>2.56</v>
      </c>
      <c r="BB156" s="574">
        <v>2.56</v>
      </c>
      <c r="BC156" s="574">
        <v>2.56</v>
      </c>
      <c r="BD156" s="574">
        <v>2.56</v>
      </c>
      <c r="BE156" s="574">
        <v>2.56</v>
      </c>
      <c r="BF156" s="574">
        <v>2.56</v>
      </c>
      <c r="BG156" s="574">
        <v>2.56</v>
      </c>
      <c r="BH156" s="574">
        <v>2.56</v>
      </c>
      <c r="BI156" s="574">
        <v>2.56</v>
      </c>
      <c r="BJ156" s="574">
        <v>2.56</v>
      </c>
      <c r="BK156" s="574">
        <v>2.56</v>
      </c>
      <c r="BL156" s="574">
        <v>2.56</v>
      </c>
    </row>
    <row r="157" spans="2:64" x14ac:dyDescent="0.35">
      <c r="B157" s="668" t="s">
        <v>852</v>
      </c>
      <c r="C157" s="435" t="s">
        <v>207</v>
      </c>
      <c r="D157" s="164" t="s">
        <v>1133</v>
      </c>
      <c r="E157" s="1162">
        <v>0.14132493099317739</v>
      </c>
      <c r="F157" s="1162">
        <v>1.304623602484472</v>
      </c>
      <c r="G157" s="1162">
        <v>1.1458493049600129</v>
      </c>
      <c r="H157" s="1162">
        <v>1.1388440525895001</v>
      </c>
      <c r="I157" s="1162">
        <v>1.176467876628438</v>
      </c>
      <c r="J157" s="1162">
        <v>1.2708042824491761</v>
      </c>
      <c r="K157" s="1162">
        <v>1.320860252564013</v>
      </c>
      <c r="L157" s="1162">
        <v>0.9912529327970504</v>
      </c>
      <c r="M157" s="1162">
        <v>0.80420602357049331</v>
      </c>
      <c r="N157" s="1162">
        <v>1.1211219056203781</v>
      </c>
      <c r="O157" s="1162">
        <v>1.158293226971135</v>
      </c>
      <c r="P157" s="1162">
        <v>2.4356767842493849</v>
      </c>
      <c r="Q157" s="1162">
        <v>2.2374084345562721</v>
      </c>
      <c r="R157" s="1162">
        <v>1.68967549379313</v>
      </c>
      <c r="S157" s="1162">
        <v>1.8099649083270291</v>
      </c>
      <c r="T157" s="1162">
        <v>1.7363566482111721</v>
      </c>
      <c r="U157" s="1162">
        <v>1.649446769320257</v>
      </c>
      <c r="V157" s="1162">
        <v>3.1118828072118641</v>
      </c>
      <c r="W157" s="1162">
        <v>3.3552658850894592</v>
      </c>
      <c r="X157" s="1162">
        <v>3.4670476518544029</v>
      </c>
      <c r="Y157" s="1162">
        <v>1.9734709917302391</v>
      </c>
      <c r="Z157" s="1162">
        <v>2.6965573811614201</v>
      </c>
      <c r="AA157" s="1162">
        <v>2.6383951370252912</v>
      </c>
      <c r="AB157" s="1162">
        <v>2.188580576307364</v>
      </c>
      <c r="AC157" s="1162">
        <v>2.13</v>
      </c>
      <c r="AD157" s="574">
        <v>1.65</v>
      </c>
      <c r="AE157" s="574">
        <v>1.65</v>
      </c>
      <c r="AF157" s="574">
        <v>1.65</v>
      </c>
      <c r="AG157" s="574">
        <v>1.65</v>
      </c>
      <c r="AH157" s="574">
        <v>1.65</v>
      </c>
      <c r="AI157" s="574">
        <v>1.65</v>
      </c>
      <c r="AJ157" s="574">
        <v>1.65</v>
      </c>
      <c r="AK157" s="574">
        <v>1.65</v>
      </c>
      <c r="AL157" s="574">
        <v>1.65</v>
      </c>
      <c r="AM157" s="574">
        <v>1.65</v>
      </c>
      <c r="AN157" s="574">
        <v>1.65</v>
      </c>
      <c r="AO157" s="574">
        <v>1.65</v>
      </c>
      <c r="AP157" s="574">
        <v>1.65</v>
      </c>
      <c r="AQ157" s="574">
        <v>1.65</v>
      </c>
      <c r="AR157" s="574">
        <v>1.65</v>
      </c>
      <c r="AS157" s="574">
        <v>1.65</v>
      </c>
      <c r="AT157" s="574">
        <v>1.65</v>
      </c>
      <c r="AU157" s="574">
        <v>1.65</v>
      </c>
      <c r="AV157" s="574">
        <v>1.65</v>
      </c>
      <c r="AW157" s="574">
        <v>1.65</v>
      </c>
      <c r="AX157" s="574">
        <v>1.65</v>
      </c>
      <c r="AY157" s="574">
        <v>1.65</v>
      </c>
      <c r="AZ157" s="574">
        <v>1.65</v>
      </c>
      <c r="BA157" s="574">
        <v>1.65</v>
      </c>
      <c r="BB157" s="574">
        <v>1.65</v>
      </c>
      <c r="BC157" s="574">
        <v>1.65</v>
      </c>
      <c r="BD157" s="574">
        <v>1.65</v>
      </c>
      <c r="BE157" s="574">
        <v>1.65</v>
      </c>
      <c r="BF157" s="574">
        <v>1.65</v>
      </c>
      <c r="BG157" s="574">
        <v>1.65</v>
      </c>
      <c r="BH157" s="574">
        <v>1.65</v>
      </c>
      <c r="BI157" s="574">
        <v>1.65</v>
      </c>
      <c r="BJ157" s="574">
        <v>1.65</v>
      </c>
      <c r="BK157" s="574">
        <v>1.65</v>
      </c>
      <c r="BL157" s="574">
        <v>1.65</v>
      </c>
    </row>
    <row r="158" spans="2:64" x14ac:dyDescent="0.35">
      <c r="B158" s="903"/>
      <c r="C158" s="435" t="s">
        <v>496</v>
      </c>
      <c r="D158" s="164" t="s">
        <v>1133</v>
      </c>
      <c r="E158" s="1162">
        <v>0.14132493099317739</v>
      </c>
      <c r="F158" s="1162">
        <v>1.304623602484472</v>
      </c>
      <c r="G158" s="1162">
        <v>1.1458493049600129</v>
      </c>
      <c r="H158" s="1162">
        <v>1.1388440525895001</v>
      </c>
      <c r="I158" s="1162">
        <v>1.176467876628438</v>
      </c>
      <c r="J158" s="1162">
        <v>1.2708042824491761</v>
      </c>
      <c r="K158" s="1162">
        <v>1.320860252564013</v>
      </c>
      <c r="L158" s="1162">
        <v>0.9912529327970504</v>
      </c>
      <c r="M158" s="1162">
        <v>0.80420602357049331</v>
      </c>
      <c r="N158" s="1162">
        <v>1.1211219056203781</v>
      </c>
      <c r="O158" s="1162">
        <v>1.158293226971135</v>
      </c>
      <c r="P158" s="1162">
        <v>2.4356767842493849</v>
      </c>
      <c r="Q158" s="1162">
        <v>2.2374084345562721</v>
      </c>
      <c r="R158" s="1162">
        <v>1.68967549379313</v>
      </c>
      <c r="S158" s="1162">
        <v>1.8099649083270291</v>
      </c>
      <c r="T158" s="1162">
        <v>1.7363566482111721</v>
      </c>
      <c r="U158" s="1162">
        <v>1.649446769320257</v>
      </c>
      <c r="V158" s="1162">
        <v>3.1118828072118641</v>
      </c>
      <c r="W158" s="1162">
        <v>3.3552658850894592</v>
      </c>
      <c r="X158" s="1162">
        <v>3.4670476518544029</v>
      </c>
      <c r="Y158" s="1162">
        <v>1.9734709917302391</v>
      </c>
      <c r="Z158" s="1162">
        <v>2.6965573811614201</v>
      </c>
      <c r="AA158" s="1162">
        <v>2.6383951370252912</v>
      </c>
      <c r="AB158" s="1162">
        <v>2.188580576307364</v>
      </c>
      <c r="AC158" s="1162">
        <v>2.13</v>
      </c>
      <c r="AD158" s="1180">
        <v>2</v>
      </c>
      <c r="AE158" s="574">
        <v>3.15</v>
      </c>
      <c r="AF158" s="574">
        <v>3.15</v>
      </c>
      <c r="AG158" s="574">
        <v>3.15</v>
      </c>
      <c r="AH158" s="574">
        <v>3.15</v>
      </c>
      <c r="AI158" s="574">
        <v>3.15</v>
      </c>
      <c r="AJ158" s="574">
        <v>3.15</v>
      </c>
      <c r="AK158" s="574">
        <v>3.15</v>
      </c>
      <c r="AL158" s="574">
        <v>2.56</v>
      </c>
      <c r="AM158" s="574">
        <v>2.56</v>
      </c>
      <c r="AN158" s="574">
        <v>2.56</v>
      </c>
      <c r="AO158" s="574">
        <v>2.56</v>
      </c>
      <c r="AP158" s="574">
        <v>2.56</v>
      </c>
      <c r="AQ158" s="574">
        <v>2.56</v>
      </c>
      <c r="AR158" s="574">
        <v>2.56</v>
      </c>
      <c r="AS158" s="574">
        <v>2.56</v>
      </c>
      <c r="AT158" s="574">
        <v>2.56</v>
      </c>
      <c r="AU158" s="574">
        <v>2.56</v>
      </c>
      <c r="AV158" s="574">
        <v>2.56</v>
      </c>
      <c r="AW158" s="574">
        <v>2.56</v>
      </c>
      <c r="AX158" s="574">
        <v>2.56</v>
      </c>
      <c r="AY158" s="574">
        <v>2.56</v>
      </c>
      <c r="AZ158" s="574">
        <v>2.56</v>
      </c>
      <c r="BA158" s="574">
        <v>2.56</v>
      </c>
      <c r="BB158" s="574">
        <v>2.56</v>
      </c>
      <c r="BC158" s="574">
        <v>2.56</v>
      </c>
      <c r="BD158" s="574">
        <v>2.56</v>
      </c>
      <c r="BE158" s="574">
        <v>2.56</v>
      </c>
      <c r="BF158" s="574">
        <v>2.56</v>
      </c>
      <c r="BG158" s="574">
        <v>2.56</v>
      </c>
      <c r="BH158" s="574">
        <v>2.56</v>
      </c>
      <c r="BI158" s="574">
        <v>2.56</v>
      </c>
      <c r="BJ158" s="574">
        <v>2.56</v>
      </c>
      <c r="BK158" s="574">
        <v>2.56</v>
      </c>
      <c r="BL158" s="574">
        <v>2.56</v>
      </c>
    </row>
    <row r="160" spans="2:64" x14ac:dyDescent="0.35">
      <c r="B160" s="499" t="s">
        <v>1158</v>
      </c>
    </row>
    <row r="161" spans="2:64" hidden="1" x14ac:dyDescent="0.35">
      <c r="B161" s="50" t="s">
        <v>824</v>
      </c>
      <c r="C161" s="435" t="s">
        <v>391</v>
      </c>
      <c r="D161" s="164" t="s">
        <v>1144</v>
      </c>
      <c r="E161" s="653"/>
      <c r="F161" s="653"/>
      <c r="G161" s="653"/>
      <c r="H161" s="653"/>
      <c r="I161" s="653"/>
      <c r="J161" s="653"/>
      <c r="K161" s="653"/>
      <c r="L161" s="653"/>
      <c r="M161" s="653"/>
      <c r="N161" s="653"/>
      <c r="O161" s="653"/>
      <c r="P161" s="653"/>
      <c r="Q161" s="653"/>
      <c r="AB161" s="653"/>
      <c r="AC161" s="653"/>
      <c r="AD161" s="653"/>
      <c r="AE161" s="653"/>
      <c r="AF161" s="653"/>
      <c r="AG161" s="653"/>
      <c r="AH161" s="653"/>
      <c r="AI161" s="653"/>
      <c r="AJ161" s="653"/>
      <c r="AK161" s="653"/>
      <c r="AL161" s="653"/>
      <c r="AM161" s="653"/>
      <c r="AN161" s="653"/>
      <c r="AO161" s="653"/>
      <c r="AP161" s="653"/>
      <c r="AQ161" s="653"/>
      <c r="AR161" s="653"/>
      <c r="AS161" s="653"/>
      <c r="AT161" s="653"/>
      <c r="AU161" s="653"/>
      <c r="AV161" s="653"/>
      <c r="AW161" s="653"/>
      <c r="AX161" s="653"/>
      <c r="AY161" s="653"/>
      <c r="AZ161" s="653"/>
      <c r="BA161" s="653"/>
      <c r="BL161" s="653"/>
    </row>
    <row r="162" spans="2:64" hidden="1" x14ac:dyDescent="0.35">
      <c r="B162" s="499"/>
      <c r="C162" s="435" t="s">
        <v>392</v>
      </c>
      <c r="D162" s="164" t="s">
        <v>1144</v>
      </c>
      <c r="E162" s="653"/>
      <c r="F162" s="653"/>
      <c r="G162" s="653"/>
      <c r="H162" s="653"/>
      <c r="I162" s="653"/>
      <c r="J162" s="653"/>
      <c r="K162" s="653"/>
      <c r="L162" s="653"/>
      <c r="M162" s="653"/>
      <c r="N162" s="653"/>
      <c r="O162" s="653"/>
      <c r="P162" s="653"/>
      <c r="Q162" s="653"/>
      <c r="AB162" s="653"/>
      <c r="AC162" s="653"/>
      <c r="AD162" s="653"/>
      <c r="AE162" s="653"/>
      <c r="AF162" s="653"/>
      <c r="AG162" s="653"/>
      <c r="AH162" s="653"/>
      <c r="AI162" s="653"/>
      <c r="AJ162" s="653"/>
      <c r="AK162" s="653"/>
      <c r="AL162" s="653"/>
      <c r="AM162" s="653"/>
      <c r="AN162" s="653"/>
      <c r="AO162" s="653"/>
      <c r="AP162" s="653"/>
      <c r="AQ162" s="653"/>
      <c r="AR162" s="653"/>
      <c r="AS162" s="653"/>
      <c r="AT162" s="653"/>
      <c r="AU162" s="653"/>
      <c r="AV162" s="653"/>
      <c r="AW162" s="653"/>
      <c r="AX162" s="653"/>
      <c r="AY162" s="653"/>
      <c r="AZ162" s="653"/>
      <c r="BA162" s="653"/>
      <c r="BL162" s="653"/>
    </row>
    <row r="163" spans="2:64" hidden="1" x14ac:dyDescent="0.35">
      <c r="B163" s="499"/>
      <c r="C163" s="435" t="s">
        <v>446</v>
      </c>
      <c r="D163" s="164" t="s">
        <v>1144</v>
      </c>
      <c r="E163" s="653"/>
      <c r="F163" s="653"/>
      <c r="G163" s="653"/>
      <c r="H163" s="653"/>
      <c r="I163" s="653"/>
      <c r="J163" s="653"/>
      <c r="K163" s="653"/>
      <c r="L163" s="653"/>
      <c r="M163" s="653"/>
      <c r="N163" s="653"/>
      <c r="O163" s="653"/>
      <c r="P163" s="653"/>
      <c r="Q163" s="653"/>
      <c r="AB163" s="653"/>
      <c r="AC163" s="653"/>
      <c r="AD163" s="653"/>
      <c r="AE163" s="653"/>
      <c r="AF163" s="653"/>
      <c r="AG163" s="653"/>
      <c r="AH163" s="653"/>
      <c r="AI163" s="653"/>
      <c r="AJ163" s="653"/>
      <c r="AK163" s="653"/>
      <c r="AL163" s="653"/>
      <c r="AM163" s="653"/>
      <c r="AN163" s="653"/>
      <c r="AO163" s="653"/>
      <c r="AP163" s="653"/>
      <c r="AQ163" s="653"/>
      <c r="AR163" s="653"/>
      <c r="AS163" s="653"/>
      <c r="AT163" s="653"/>
      <c r="AU163" s="653"/>
      <c r="AV163" s="653"/>
      <c r="AW163" s="653"/>
      <c r="AX163" s="653"/>
      <c r="AY163" s="653"/>
      <c r="AZ163" s="653"/>
      <c r="BA163" s="653"/>
      <c r="BL163" s="653"/>
    </row>
    <row r="164" spans="2:64" hidden="1" x14ac:dyDescent="0.35">
      <c r="B164" s="499"/>
      <c r="C164" s="435" t="s">
        <v>455</v>
      </c>
      <c r="D164" s="164" t="s">
        <v>1144</v>
      </c>
      <c r="E164" s="653"/>
      <c r="F164" s="653"/>
      <c r="G164" s="653"/>
      <c r="H164" s="653"/>
      <c r="I164" s="653"/>
      <c r="J164" s="653"/>
      <c r="K164" s="653"/>
      <c r="L164" s="653"/>
      <c r="M164" s="653"/>
      <c r="N164" s="653"/>
      <c r="O164" s="653"/>
      <c r="P164" s="653"/>
      <c r="Q164" s="653"/>
      <c r="AB164" s="653"/>
      <c r="AC164" s="653"/>
      <c r="AD164" s="653"/>
      <c r="AE164" s="653"/>
      <c r="AF164" s="653"/>
      <c r="AG164" s="653"/>
      <c r="AH164" s="653"/>
      <c r="AI164" s="653"/>
      <c r="AJ164" s="653"/>
      <c r="AK164" s="653"/>
      <c r="AL164" s="653"/>
      <c r="AM164" s="653"/>
      <c r="AN164" s="653"/>
      <c r="AO164" s="653"/>
      <c r="AP164" s="653"/>
      <c r="AQ164" s="653"/>
      <c r="AR164" s="653"/>
      <c r="AS164" s="653"/>
      <c r="AT164" s="653"/>
      <c r="AU164" s="653"/>
      <c r="AV164" s="653"/>
      <c r="AW164" s="653"/>
      <c r="AX164" s="653"/>
      <c r="AY164" s="653"/>
      <c r="AZ164" s="653"/>
      <c r="BA164" s="653"/>
      <c r="BL164" s="653"/>
    </row>
    <row r="165" spans="2:64" hidden="1" x14ac:dyDescent="0.35">
      <c r="B165" s="499"/>
      <c r="C165" s="435" t="s">
        <v>207</v>
      </c>
      <c r="D165" s="164" t="s">
        <v>1144</v>
      </c>
      <c r="E165" s="657"/>
      <c r="F165" s="653"/>
      <c r="G165" s="653"/>
      <c r="H165" s="653"/>
      <c r="I165" s="653"/>
      <c r="J165" s="653"/>
      <c r="K165" s="653"/>
      <c r="L165" s="653"/>
      <c r="M165" s="653"/>
      <c r="N165" s="653"/>
      <c r="O165" s="653"/>
      <c r="P165" s="653"/>
      <c r="Q165" s="653"/>
      <c r="AB165" s="657"/>
      <c r="AC165" s="653"/>
      <c r="AD165" s="653"/>
      <c r="AE165" s="653"/>
      <c r="AF165" s="653"/>
      <c r="AG165" s="653"/>
      <c r="AH165" s="653"/>
      <c r="AI165" s="653"/>
      <c r="AJ165" s="653"/>
      <c r="AK165" s="653"/>
      <c r="AL165" s="653"/>
      <c r="AM165" s="653"/>
      <c r="AN165" s="653"/>
      <c r="AO165" s="657"/>
      <c r="AP165" s="653"/>
      <c r="AQ165" s="653"/>
      <c r="AR165" s="653"/>
      <c r="AS165" s="653"/>
      <c r="AT165" s="653"/>
      <c r="AU165" s="653"/>
      <c r="AV165" s="653"/>
      <c r="AW165" s="653"/>
      <c r="AX165" s="653"/>
      <c r="AY165" s="653"/>
      <c r="AZ165" s="653"/>
      <c r="BA165" s="653"/>
      <c r="BL165" s="653"/>
    </row>
    <row r="166" spans="2:64" hidden="1" x14ac:dyDescent="0.35">
      <c r="B166" s="499"/>
      <c r="C166" s="435" t="s">
        <v>496</v>
      </c>
      <c r="D166" s="164" t="s">
        <v>1144</v>
      </c>
      <c r="E166" s="657"/>
      <c r="F166" s="653"/>
      <c r="G166" s="653"/>
      <c r="H166" s="653"/>
      <c r="I166" s="653"/>
      <c r="J166" s="653"/>
      <c r="K166" s="653"/>
      <c r="L166" s="653"/>
      <c r="M166" s="653"/>
      <c r="N166" s="653"/>
      <c r="O166" s="653"/>
      <c r="P166" s="653"/>
      <c r="Q166" s="653"/>
      <c r="AB166" s="657"/>
      <c r="AC166" s="653"/>
      <c r="AD166" s="653"/>
      <c r="AE166" s="653"/>
      <c r="AF166" s="653"/>
      <c r="AG166" s="653"/>
      <c r="AH166" s="653"/>
      <c r="AI166" s="653"/>
      <c r="AJ166" s="653"/>
      <c r="AK166" s="653"/>
      <c r="AL166" s="653"/>
      <c r="AM166" s="653"/>
      <c r="AN166" s="653"/>
      <c r="AO166" s="657"/>
      <c r="AP166" s="653"/>
      <c r="AQ166" s="653"/>
      <c r="AR166" s="653"/>
      <c r="AS166" s="653"/>
      <c r="AT166" s="653"/>
      <c r="AU166" s="653"/>
      <c r="AV166" s="653"/>
      <c r="AW166" s="653"/>
      <c r="AX166" s="653"/>
      <c r="AY166" s="653"/>
      <c r="AZ166" s="653"/>
      <c r="BA166" s="653"/>
      <c r="BL166" s="653"/>
    </row>
    <row r="167" spans="2:64" hidden="1" x14ac:dyDescent="0.35">
      <c r="B167" s="50" t="s">
        <v>825</v>
      </c>
      <c r="C167" s="435" t="s">
        <v>391</v>
      </c>
      <c r="D167" s="164" t="s">
        <v>1145</v>
      </c>
      <c r="E167" s="657"/>
      <c r="F167" s="653"/>
      <c r="G167" s="653"/>
      <c r="H167" s="653"/>
      <c r="I167" s="653"/>
      <c r="J167" s="653"/>
      <c r="K167" s="653"/>
      <c r="L167" s="653"/>
      <c r="M167" s="653"/>
      <c r="N167" s="653"/>
      <c r="O167" s="653"/>
      <c r="P167" s="653"/>
      <c r="Q167" s="653"/>
      <c r="AB167" s="657"/>
      <c r="AC167" s="653"/>
      <c r="AD167" s="653"/>
      <c r="AE167" s="653"/>
      <c r="AF167" s="653"/>
      <c r="AG167" s="653"/>
      <c r="AH167" s="653"/>
      <c r="AI167" s="653"/>
      <c r="AJ167" s="653"/>
      <c r="AK167" s="653"/>
      <c r="AL167" s="653"/>
      <c r="AM167" s="653"/>
      <c r="AN167" s="653"/>
      <c r="AO167" s="657"/>
      <c r="AP167" s="653"/>
      <c r="AQ167" s="653"/>
      <c r="AR167" s="653"/>
      <c r="AS167" s="653"/>
      <c r="AT167" s="653"/>
      <c r="AU167" s="653"/>
      <c r="AV167" s="653"/>
      <c r="AW167" s="653"/>
      <c r="AX167" s="653"/>
      <c r="AY167" s="653"/>
      <c r="AZ167" s="653"/>
      <c r="BA167" s="653"/>
      <c r="BL167" s="653"/>
    </row>
    <row r="168" spans="2:64" hidden="1" x14ac:dyDescent="0.35">
      <c r="B168" s="499"/>
      <c r="C168" s="435" t="s">
        <v>392</v>
      </c>
      <c r="D168" s="164" t="s">
        <v>1145</v>
      </c>
      <c r="E168" s="657"/>
      <c r="F168" s="653"/>
      <c r="G168" s="653"/>
      <c r="H168" s="653"/>
      <c r="I168" s="653"/>
      <c r="J168" s="653"/>
      <c r="K168" s="653"/>
      <c r="L168" s="653"/>
      <c r="M168" s="653"/>
      <c r="N168" s="653"/>
      <c r="O168" s="653"/>
      <c r="P168" s="653"/>
      <c r="Q168" s="653"/>
      <c r="AB168" s="657"/>
      <c r="AC168" s="653"/>
      <c r="AD168" s="653"/>
      <c r="AE168" s="653"/>
      <c r="AF168" s="653"/>
      <c r="AG168" s="653"/>
      <c r="AH168" s="653"/>
      <c r="AI168" s="653"/>
      <c r="AJ168" s="653"/>
      <c r="AK168" s="653"/>
      <c r="AL168" s="653"/>
      <c r="AM168" s="653"/>
      <c r="AN168" s="653"/>
      <c r="AO168" s="657"/>
      <c r="AP168" s="653"/>
      <c r="AQ168" s="653"/>
      <c r="AR168" s="653"/>
      <c r="AS168" s="653"/>
      <c r="AT168" s="653"/>
      <c r="AU168" s="653"/>
      <c r="AV168" s="653"/>
      <c r="AW168" s="653"/>
      <c r="AX168" s="653"/>
      <c r="AY168" s="653"/>
      <c r="AZ168" s="653"/>
      <c r="BA168" s="653"/>
      <c r="BL168" s="653"/>
    </row>
    <row r="169" spans="2:64" hidden="1" x14ac:dyDescent="0.35">
      <c r="B169" s="499"/>
      <c r="C169" s="435" t="s">
        <v>446</v>
      </c>
      <c r="D169" s="164" t="s">
        <v>1145</v>
      </c>
      <c r="E169" s="657"/>
      <c r="F169" s="653"/>
      <c r="G169" s="653"/>
      <c r="H169" s="653"/>
      <c r="I169" s="653"/>
      <c r="J169" s="653"/>
      <c r="K169" s="653"/>
      <c r="L169" s="653"/>
      <c r="M169" s="653"/>
      <c r="N169" s="653"/>
      <c r="O169" s="653"/>
      <c r="P169" s="653"/>
      <c r="Q169" s="653"/>
      <c r="AB169" s="657"/>
      <c r="AC169" s="653"/>
      <c r="AD169" s="653"/>
      <c r="AE169" s="653"/>
      <c r="AF169" s="653"/>
      <c r="AG169" s="653"/>
      <c r="AH169" s="653"/>
      <c r="AI169" s="653"/>
      <c r="AJ169" s="653"/>
      <c r="AK169" s="653"/>
      <c r="AL169" s="653"/>
      <c r="AM169" s="653"/>
      <c r="AN169" s="653"/>
      <c r="AO169" s="657"/>
      <c r="AP169" s="653"/>
      <c r="AQ169" s="653"/>
      <c r="AR169" s="653"/>
      <c r="AS169" s="653"/>
      <c r="AT169" s="653"/>
      <c r="AU169" s="653"/>
      <c r="AV169" s="653"/>
      <c r="AW169" s="653"/>
      <c r="AX169" s="653"/>
      <c r="AY169" s="653"/>
      <c r="AZ169" s="653"/>
      <c r="BA169" s="653"/>
      <c r="BL169" s="653"/>
    </row>
    <row r="170" spans="2:64" hidden="1" x14ac:dyDescent="0.35">
      <c r="B170" s="499"/>
      <c r="C170" s="435" t="s">
        <v>455</v>
      </c>
      <c r="D170" s="164" t="s">
        <v>1145</v>
      </c>
      <c r="E170" s="657"/>
      <c r="F170" s="653"/>
      <c r="G170" s="653"/>
      <c r="H170" s="653"/>
      <c r="I170" s="653"/>
      <c r="J170" s="653"/>
      <c r="K170" s="653"/>
      <c r="L170" s="653"/>
      <c r="M170" s="653"/>
      <c r="N170" s="653"/>
      <c r="O170" s="653"/>
      <c r="P170" s="653"/>
      <c r="Q170" s="653"/>
      <c r="AB170" s="657"/>
      <c r="AC170" s="653"/>
      <c r="AD170" s="653"/>
      <c r="AE170" s="653"/>
      <c r="AF170" s="653"/>
      <c r="AG170" s="653"/>
      <c r="AH170" s="653"/>
      <c r="AI170" s="653"/>
      <c r="AJ170" s="653"/>
      <c r="AK170" s="653"/>
      <c r="AL170" s="653"/>
      <c r="AM170" s="653"/>
      <c r="AN170" s="653"/>
      <c r="AO170" s="657"/>
      <c r="AP170" s="653"/>
      <c r="AQ170" s="653"/>
      <c r="AR170" s="653"/>
      <c r="AS170" s="653"/>
      <c r="AT170" s="653"/>
      <c r="AU170" s="653"/>
      <c r="AV170" s="653"/>
      <c r="AW170" s="653"/>
      <c r="AX170" s="653"/>
      <c r="AY170" s="653"/>
      <c r="AZ170" s="653"/>
      <c r="BA170" s="653"/>
      <c r="BL170" s="653"/>
    </row>
    <row r="171" spans="2:64" hidden="1" x14ac:dyDescent="0.35">
      <c r="B171" s="499"/>
      <c r="C171" s="435" t="s">
        <v>207</v>
      </c>
      <c r="D171" s="164" t="s">
        <v>1145</v>
      </c>
      <c r="E171" s="657"/>
      <c r="F171" s="653"/>
      <c r="G171" s="653"/>
      <c r="H171" s="653"/>
      <c r="I171" s="653"/>
      <c r="J171" s="653"/>
      <c r="K171" s="653"/>
      <c r="L171" s="653"/>
      <c r="M171" s="653"/>
      <c r="N171" s="653"/>
      <c r="O171" s="653"/>
      <c r="P171" s="653"/>
      <c r="Q171" s="653"/>
      <c r="AB171" s="657"/>
      <c r="AC171" s="653"/>
      <c r="AD171" s="653"/>
      <c r="AE171" s="653"/>
      <c r="AF171" s="653"/>
      <c r="AG171" s="653"/>
      <c r="AH171" s="653"/>
      <c r="AI171" s="653"/>
      <c r="AJ171" s="653"/>
      <c r="AK171" s="653"/>
      <c r="AL171" s="653"/>
      <c r="AM171" s="653"/>
      <c r="AN171" s="653"/>
      <c r="AO171" s="657"/>
      <c r="AP171" s="653"/>
      <c r="AQ171" s="653"/>
      <c r="AR171" s="653"/>
      <c r="AS171" s="653"/>
      <c r="AT171" s="653"/>
      <c r="AU171" s="653"/>
      <c r="AV171" s="653"/>
      <c r="AW171" s="653"/>
      <c r="AX171" s="653"/>
      <c r="AY171" s="653"/>
      <c r="AZ171" s="653"/>
      <c r="BA171" s="653"/>
      <c r="BL171" s="653"/>
    </row>
    <row r="172" spans="2:64" hidden="1" x14ac:dyDescent="0.35">
      <c r="B172" s="499"/>
      <c r="C172" s="435" t="s">
        <v>496</v>
      </c>
      <c r="D172" s="164" t="s">
        <v>1145</v>
      </c>
      <c r="E172" s="657"/>
      <c r="F172" s="653"/>
      <c r="G172" s="653"/>
      <c r="H172" s="653"/>
      <c r="I172" s="653"/>
      <c r="J172" s="653"/>
      <c r="K172" s="653"/>
      <c r="L172" s="653"/>
      <c r="M172" s="653"/>
      <c r="N172" s="653"/>
      <c r="O172" s="653"/>
      <c r="P172" s="653"/>
      <c r="Q172" s="653"/>
      <c r="AB172" s="657"/>
      <c r="AC172" s="653"/>
      <c r="AD172" s="653"/>
      <c r="AE172" s="653"/>
      <c r="AF172" s="653"/>
      <c r="AG172" s="653"/>
      <c r="AH172" s="653"/>
      <c r="AI172" s="653"/>
      <c r="AJ172" s="653"/>
      <c r="AK172" s="653"/>
      <c r="AL172" s="653"/>
      <c r="AM172" s="653"/>
      <c r="AN172" s="653"/>
      <c r="AO172" s="657"/>
      <c r="AP172" s="653"/>
      <c r="AQ172" s="653"/>
      <c r="AR172" s="653"/>
      <c r="AS172" s="653"/>
      <c r="AT172" s="653"/>
      <c r="AU172" s="653"/>
      <c r="AV172" s="653"/>
      <c r="AW172" s="653"/>
      <c r="AX172" s="653"/>
      <c r="AY172" s="653"/>
      <c r="AZ172" s="653"/>
      <c r="BA172" s="653"/>
      <c r="BL172" s="653"/>
    </row>
    <row r="173" spans="2:64" hidden="1" x14ac:dyDescent="0.35">
      <c r="B173" s="50" t="s">
        <v>826</v>
      </c>
      <c r="C173" s="435" t="s">
        <v>391</v>
      </c>
      <c r="D173" s="164" t="s">
        <v>1146</v>
      </c>
      <c r="E173" s="657"/>
      <c r="F173" s="653"/>
      <c r="G173" s="653"/>
      <c r="H173" s="653"/>
      <c r="I173" s="653"/>
      <c r="J173" s="653"/>
      <c r="K173" s="653"/>
      <c r="L173" s="653"/>
      <c r="M173" s="653"/>
      <c r="N173" s="653"/>
      <c r="O173" s="653"/>
      <c r="P173" s="653"/>
      <c r="Q173" s="653"/>
      <c r="AB173" s="657"/>
      <c r="AC173" s="653"/>
      <c r="AD173" s="653"/>
      <c r="AE173" s="653"/>
      <c r="AF173" s="653"/>
      <c r="AG173" s="653"/>
      <c r="AH173" s="653"/>
      <c r="AI173" s="653"/>
      <c r="AJ173" s="653"/>
      <c r="AK173" s="653"/>
      <c r="AL173" s="653"/>
      <c r="AM173" s="653"/>
      <c r="AN173" s="653"/>
      <c r="AO173" s="657"/>
      <c r="AP173" s="653"/>
      <c r="AQ173" s="653"/>
      <c r="AR173" s="653"/>
      <c r="AS173" s="653"/>
      <c r="AT173" s="653"/>
      <c r="AU173" s="653"/>
      <c r="AV173" s="653"/>
      <c r="AW173" s="653"/>
      <c r="AX173" s="653"/>
      <c r="AY173" s="653"/>
      <c r="AZ173" s="653"/>
      <c r="BA173" s="653"/>
      <c r="BL173" s="653"/>
    </row>
    <row r="174" spans="2:64" hidden="1" x14ac:dyDescent="0.35">
      <c r="B174" s="499"/>
      <c r="C174" s="435" t="s">
        <v>392</v>
      </c>
      <c r="D174" s="164" t="s">
        <v>1146</v>
      </c>
      <c r="E174" s="657"/>
      <c r="F174" s="653"/>
      <c r="G174" s="653"/>
      <c r="H174" s="653"/>
      <c r="I174" s="653"/>
      <c r="J174" s="653"/>
      <c r="K174" s="653"/>
      <c r="L174" s="653"/>
      <c r="M174" s="653"/>
      <c r="N174" s="653"/>
      <c r="O174" s="653"/>
      <c r="P174" s="653"/>
      <c r="Q174" s="653"/>
      <c r="AB174" s="657"/>
      <c r="AC174" s="653"/>
      <c r="AD174" s="653"/>
      <c r="AE174" s="653"/>
      <c r="AF174" s="653"/>
      <c r="AG174" s="653"/>
      <c r="AH174" s="653"/>
      <c r="AI174" s="653"/>
      <c r="AJ174" s="653"/>
      <c r="AK174" s="653"/>
      <c r="AL174" s="653"/>
      <c r="AM174" s="653"/>
      <c r="AN174" s="653"/>
      <c r="AO174" s="657"/>
      <c r="AP174" s="653"/>
      <c r="AQ174" s="653"/>
      <c r="AR174" s="653"/>
      <c r="AS174" s="653"/>
      <c r="AT174" s="653"/>
      <c r="AU174" s="653"/>
      <c r="AV174" s="653"/>
      <c r="AW174" s="653"/>
      <c r="AX174" s="653"/>
      <c r="AY174" s="653"/>
      <c r="AZ174" s="653"/>
      <c r="BA174" s="653"/>
      <c r="BL174" s="653"/>
    </row>
    <row r="175" spans="2:64" hidden="1" x14ac:dyDescent="0.35">
      <c r="B175" s="499"/>
      <c r="C175" s="435" t="s">
        <v>446</v>
      </c>
      <c r="D175" s="164" t="s">
        <v>1146</v>
      </c>
      <c r="E175" s="657"/>
      <c r="F175" s="653"/>
      <c r="G175" s="653"/>
      <c r="H175" s="653"/>
      <c r="I175" s="653"/>
      <c r="J175" s="653"/>
      <c r="K175" s="653"/>
      <c r="L175" s="653"/>
      <c r="M175" s="653"/>
      <c r="N175" s="653"/>
      <c r="O175" s="653"/>
      <c r="P175" s="653"/>
      <c r="Q175" s="653"/>
      <c r="AB175" s="657"/>
      <c r="AC175" s="653"/>
      <c r="AD175" s="653"/>
      <c r="AE175" s="653"/>
      <c r="AF175" s="653"/>
      <c r="AG175" s="653"/>
      <c r="AH175" s="653"/>
      <c r="AI175" s="653"/>
      <c r="AJ175" s="653"/>
      <c r="AK175" s="653"/>
      <c r="AL175" s="653"/>
      <c r="AM175" s="653"/>
      <c r="AN175" s="653"/>
      <c r="AO175" s="657"/>
      <c r="AP175" s="653"/>
      <c r="AQ175" s="653"/>
      <c r="AR175" s="653"/>
      <c r="AS175" s="653"/>
      <c r="AT175" s="653"/>
      <c r="AU175" s="653"/>
      <c r="AV175" s="653"/>
      <c r="AW175" s="653"/>
      <c r="AX175" s="653"/>
      <c r="AY175" s="653"/>
      <c r="AZ175" s="653"/>
      <c r="BA175" s="653"/>
      <c r="BL175" s="653"/>
    </row>
    <row r="176" spans="2:64" hidden="1" x14ac:dyDescent="0.35">
      <c r="B176" s="499"/>
      <c r="C176" s="435" t="s">
        <v>455</v>
      </c>
      <c r="D176" s="164" t="s">
        <v>1146</v>
      </c>
      <c r="E176" s="657"/>
      <c r="F176" s="653"/>
      <c r="G176" s="653"/>
      <c r="H176" s="653"/>
      <c r="I176" s="653"/>
      <c r="J176" s="653"/>
      <c r="K176" s="653"/>
      <c r="L176" s="653"/>
      <c r="M176" s="653"/>
      <c r="N176" s="653"/>
      <c r="O176" s="653"/>
      <c r="P176" s="653"/>
      <c r="Q176" s="653"/>
      <c r="AB176" s="657"/>
      <c r="AC176" s="653"/>
      <c r="AD176" s="653"/>
      <c r="AE176" s="653"/>
      <c r="AF176" s="653"/>
      <c r="AG176" s="653"/>
      <c r="AH176" s="653"/>
      <c r="AI176" s="653"/>
      <c r="AJ176" s="653"/>
      <c r="AK176" s="653"/>
      <c r="AL176" s="653"/>
      <c r="AM176" s="653"/>
      <c r="AN176" s="653"/>
      <c r="AO176" s="657"/>
      <c r="AP176" s="653"/>
      <c r="AQ176" s="653"/>
      <c r="AR176" s="653"/>
      <c r="AS176" s="653"/>
      <c r="AT176" s="653"/>
      <c r="AU176" s="653"/>
      <c r="AV176" s="653"/>
      <c r="AW176" s="653"/>
      <c r="AX176" s="653"/>
      <c r="AY176" s="653"/>
      <c r="AZ176" s="653"/>
      <c r="BA176" s="653"/>
      <c r="BL176" s="653"/>
    </row>
    <row r="177" spans="2:64" hidden="1" x14ac:dyDescent="0.35">
      <c r="B177" s="499"/>
      <c r="C177" s="435" t="s">
        <v>207</v>
      </c>
      <c r="D177" s="164" t="s">
        <v>1146</v>
      </c>
      <c r="E177" s="657"/>
      <c r="F177" s="653"/>
      <c r="G177" s="653"/>
      <c r="H177" s="653"/>
      <c r="I177" s="653"/>
      <c r="J177" s="653"/>
      <c r="K177" s="653"/>
      <c r="L177" s="653"/>
      <c r="M177" s="653"/>
      <c r="N177" s="653"/>
      <c r="O177" s="653"/>
      <c r="P177" s="653"/>
      <c r="Q177" s="653"/>
      <c r="AB177" s="657"/>
      <c r="AC177" s="653"/>
      <c r="AD177" s="653"/>
      <c r="AE177" s="653"/>
      <c r="AF177" s="653"/>
      <c r="AG177" s="653"/>
      <c r="AH177" s="653"/>
      <c r="AI177" s="653"/>
      <c r="AJ177" s="653"/>
      <c r="AK177" s="653"/>
      <c r="AL177" s="653"/>
      <c r="AM177" s="653"/>
      <c r="AN177" s="653"/>
      <c r="AO177" s="657"/>
      <c r="AP177" s="653"/>
      <c r="AQ177" s="653"/>
      <c r="AR177" s="653"/>
      <c r="AS177" s="653"/>
      <c r="AT177" s="653"/>
      <c r="AU177" s="653"/>
      <c r="AV177" s="653"/>
      <c r="AW177" s="653"/>
      <c r="AX177" s="653"/>
      <c r="AY177" s="653"/>
      <c r="AZ177" s="653"/>
      <c r="BA177" s="653"/>
      <c r="BL177" s="653"/>
    </row>
    <row r="178" spans="2:64" hidden="1" x14ac:dyDescent="0.35">
      <c r="B178" s="499"/>
      <c r="C178" s="435" t="s">
        <v>496</v>
      </c>
      <c r="D178" s="164" t="s">
        <v>1146</v>
      </c>
      <c r="E178" s="657"/>
      <c r="F178" s="653"/>
      <c r="G178" s="653"/>
      <c r="H178" s="653"/>
      <c r="I178" s="653"/>
      <c r="J178" s="653"/>
      <c r="K178" s="653"/>
      <c r="L178" s="653"/>
      <c r="M178" s="653"/>
      <c r="N178" s="653"/>
      <c r="O178" s="653"/>
      <c r="P178" s="653"/>
      <c r="Q178" s="653"/>
      <c r="AB178" s="657"/>
      <c r="AC178" s="653"/>
      <c r="AD178" s="653"/>
      <c r="AE178" s="653"/>
      <c r="AF178" s="653"/>
      <c r="AG178" s="653"/>
      <c r="AH178" s="653"/>
      <c r="AI178" s="653"/>
      <c r="AJ178" s="653"/>
      <c r="AK178" s="653"/>
      <c r="AL178" s="653"/>
      <c r="AM178" s="653"/>
      <c r="AN178" s="653"/>
      <c r="AO178" s="657"/>
      <c r="AP178" s="653"/>
      <c r="AQ178" s="653"/>
      <c r="AR178" s="653"/>
      <c r="AS178" s="653"/>
      <c r="AT178" s="653"/>
      <c r="AU178" s="653"/>
      <c r="AV178" s="653"/>
      <c r="AW178" s="653"/>
      <c r="AX178" s="653"/>
      <c r="AY178" s="653"/>
      <c r="AZ178" s="653"/>
      <c r="BA178" s="653"/>
      <c r="BL178" s="653"/>
    </row>
    <row r="179" spans="2:64" x14ac:dyDescent="0.35">
      <c r="B179" s="668" t="s">
        <v>49</v>
      </c>
      <c r="C179" s="435" t="s">
        <v>391</v>
      </c>
      <c r="D179" s="164" t="s">
        <v>1147</v>
      </c>
      <c r="E179" s="1159">
        <v>3.1852497969741628E-2</v>
      </c>
      <c r="F179" s="1159">
        <v>3.5747817106374993E-2</v>
      </c>
      <c r="G179" s="1159">
        <v>3.5674060452821517E-2</v>
      </c>
      <c r="H179" s="1159">
        <v>3.7609980302035453E-2</v>
      </c>
      <c r="I179" s="1159">
        <v>4.5968712394705173E-2</v>
      </c>
      <c r="J179" s="1159">
        <v>3.920539074122692E-2</v>
      </c>
      <c r="K179" s="1159">
        <v>3.4075104311543807E-2</v>
      </c>
      <c r="L179" s="1159">
        <v>3.1664559002206848E-2</v>
      </c>
      <c r="M179" s="1159">
        <v>5.6402439024390252E-2</v>
      </c>
      <c r="N179" s="1159">
        <v>6.4630846540394277E-2</v>
      </c>
      <c r="O179" s="1159">
        <v>6.3965598333669285E-2</v>
      </c>
      <c r="P179" s="1159">
        <v>5.4297838306191823E-2</v>
      </c>
      <c r="Q179" s="1159">
        <v>6.0189270081832502E-2</v>
      </c>
      <c r="R179" s="1159">
        <v>0.22775130222764051</v>
      </c>
      <c r="S179" s="1159">
        <v>7.4512560583077439E-2</v>
      </c>
      <c r="T179" s="1159">
        <v>7.0596096774827533E-2</v>
      </c>
      <c r="U179" s="1159">
        <v>7.8371023740264611E-2</v>
      </c>
      <c r="V179" s="1159">
        <v>6.5810622251267284E-2</v>
      </c>
      <c r="W179" s="1159">
        <v>5.764411027568922E-2</v>
      </c>
      <c r="X179" s="1159">
        <v>6.825158298976354E-2</v>
      </c>
      <c r="Y179" s="1159">
        <v>7.5916882964527158E-2</v>
      </c>
      <c r="Z179" s="1159">
        <v>6.4148946819007305E-2</v>
      </c>
      <c r="AA179" s="1159">
        <v>7.2767467928758253E-2</v>
      </c>
      <c r="AB179" s="1159">
        <v>7.1453882230328294E-2</v>
      </c>
      <c r="AC179" s="1175">
        <v>7.0300000000000001E-2</v>
      </c>
      <c r="AD179" s="666">
        <v>5.2999999999999999E-2</v>
      </c>
      <c r="AE179" s="666">
        <v>5.2999999999999999E-2</v>
      </c>
      <c r="AF179" s="666">
        <v>5.2999999999999999E-2</v>
      </c>
      <c r="AG179" s="666">
        <v>5.2999999999999999E-2</v>
      </c>
      <c r="AH179" s="666">
        <v>5.2999999999999999E-2</v>
      </c>
      <c r="AI179" s="666">
        <v>5.2999999999999999E-2</v>
      </c>
      <c r="AJ179" s="666">
        <v>5.2999999999999999E-2</v>
      </c>
      <c r="AK179" s="666">
        <v>5.2999999999999999E-2</v>
      </c>
      <c r="AL179" s="666">
        <v>5.2999999999999999E-2</v>
      </c>
      <c r="AM179" s="666">
        <v>5.2999999999999999E-2</v>
      </c>
      <c r="AN179" s="666">
        <v>5.2999999999999999E-2</v>
      </c>
      <c r="AO179" s="666">
        <v>5.2999999999999999E-2</v>
      </c>
      <c r="AP179" s="666">
        <v>5.2999999999999999E-2</v>
      </c>
      <c r="AQ179" s="666">
        <v>5.2999999999999999E-2</v>
      </c>
      <c r="AR179" s="666">
        <v>5.2999999999999999E-2</v>
      </c>
      <c r="AS179" s="666">
        <v>5.2999999999999999E-2</v>
      </c>
      <c r="AT179" s="666">
        <v>5.2999999999999999E-2</v>
      </c>
      <c r="AU179" s="666">
        <v>5.2999999999999999E-2</v>
      </c>
      <c r="AV179" s="666">
        <v>5.2999999999999999E-2</v>
      </c>
      <c r="AW179" s="666">
        <v>5.2999999999999999E-2</v>
      </c>
      <c r="AX179" s="666">
        <v>5.2999999999999999E-2</v>
      </c>
      <c r="AY179" s="666">
        <v>5.2999999999999999E-2</v>
      </c>
      <c r="AZ179" s="666">
        <v>5.2999999999999999E-2</v>
      </c>
      <c r="BA179" s="666">
        <v>5.2999999999999999E-2</v>
      </c>
      <c r="BB179" s="666">
        <v>5.2999999999999999E-2</v>
      </c>
      <c r="BC179" s="666">
        <v>5.2999999999999999E-2</v>
      </c>
      <c r="BD179" s="666">
        <v>5.2999999999999999E-2</v>
      </c>
      <c r="BE179" s="666">
        <v>5.2999999999999999E-2</v>
      </c>
      <c r="BF179" s="666">
        <v>5.2999999999999999E-2</v>
      </c>
      <c r="BG179" s="666">
        <v>5.2999999999999999E-2</v>
      </c>
      <c r="BH179" s="666">
        <v>5.2999999999999999E-2</v>
      </c>
      <c r="BI179" s="666">
        <v>5.2999999999999999E-2</v>
      </c>
      <c r="BJ179" s="666">
        <v>5.2999999999999999E-2</v>
      </c>
      <c r="BK179" s="666">
        <v>5.2999999999999999E-2</v>
      </c>
      <c r="BL179" s="666">
        <v>5.2999999999999999E-2</v>
      </c>
    </row>
    <row r="180" spans="2:64" x14ac:dyDescent="0.35">
      <c r="B180" s="668" t="s">
        <v>849</v>
      </c>
      <c r="C180" s="435" t="s">
        <v>392</v>
      </c>
      <c r="D180" s="164" t="s">
        <v>1147</v>
      </c>
      <c r="E180" s="1159">
        <v>3.1852497969741628E-2</v>
      </c>
      <c r="F180" s="1159">
        <v>3.5747817106374993E-2</v>
      </c>
      <c r="G180" s="1159">
        <v>3.5674060452821517E-2</v>
      </c>
      <c r="H180" s="1159">
        <v>3.7609980302035453E-2</v>
      </c>
      <c r="I180" s="1159">
        <v>4.5968712394705173E-2</v>
      </c>
      <c r="J180" s="1159">
        <v>3.920539074122692E-2</v>
      </c>
      <c r="K180" s="1159">
        <v>3.4075104311543807E-2</v>
      </c>
      <c r="L180" s="1159">
        <v>3.1664559002206848E-2</v>
      </c>
      <c r="M180" s="1159">
        <v>5.6402439024390252E-2</v>
      </c>
      <c r="N180" s="1159">
        <v>6.4630846540394277E-2</v>
      </c>
      <c r="O180" s="1159">
        <v>6.3965598333669285E-2</v>
      </c>
      <c r="P180" s="1159">
        <v>5.4297838306191823E-2</v>
      </c>
      <c r="Q180" s="1159">
        <v>6.0189270081832502E-2</v>
      </c>
      <c r="R180" s="1159">
        <v>0.22775130222764051</v>
      </c>
      <c r="S180" s="1159">
        <v>7.4512560583077439E-2</v>
      </c>
      <c r="T180" s="1159">
        <v>7.0596096774827533E-2</v>
      </c>
      <c r="U180" s="1159">
        <v>7.8371023740264611E-2</v>
      </c>
      <c r="V180" s="1159">
        <v>6.5810622251267284E-2</v>
      </c>
      <c r="W180" s="1159">
        <v>5.764411027568922E-2</v>
      </c>
      <c r="X180" s="1159">
        <v>6.825158298976354E-2</v>
      </c>
      <c r="Y180" s="1159">
        <v>7.5916882964527158E-2</v>
      </c>
      <c r="Z180" s="1159">
        <v>6.4148946819007305E-2</v>
      </c>
      <c r="AA180" s="1159">
        <v>7.2767467928758253E-2</v>
      </c>
      <c r="AB180" s="1159">
        <v>7.1453882230328294E-2</v>
      </c>
      <c r="AC180" s="1175">
        <v>7.0300000000000001E-2</v>
      </c>
      <c r="AD180" s="666">
        <v>8.2000000000000003E-2</v>
      </c>
      <c r="AE180" s="666">
        <v>8.2000000000000003E-2</v>
      </c>
      <c r="AF180" s="666">
        <v>8.2000000000000003E-2</v>
      </c>
      <c r="AG180" s="666">
        <v>8.2000000000000003E-2</v>
      </c>
      <c r="AH180" s="666">
        <v>8.2000000000000003E-2</v>
      </c>
      <c r="AI180" s="666">
        <v>8.2000000000000003E-2</v>
      </c>
      <c r="AJ180" s="666">
        <v>8.2000000000000003E-2</v>
      </c>
      <c r="AK180" s="666">
        <v>8.2000000000000003E-2</v>
      </c>
      <c r="AL180" s="666">
        <v>8.2000000000000003E-2</v>
      </c>
      <c r="AM180" s="666">
        <v>8.2000000000000003E-2</v>
      </c>
      <c r="AN180" s="666">
        <v>8.2000000000000003E-2</v>
      </c>
      <c r="AO180" s="666">
        <v>8.2000000000000003E-2</v>
      </c>
      <c r="AP180" s="666">
        <v>8.2000000000000003E-2</v>
      </c>
      <c r="AQ180" s="666">
        <v>8.2000000000000003E-2</v>
      </c>
      <c r="AR180" s="666">
        <v>8.2000000000000003E-2</v>
      </c>
      <c r="AS180" s="666">
        <v>8.2000000000000003E-2</v>
      </c>
      <c r="AT180" s="666">
        <v>8.2000000000000003E-2</v>
      </c>
      <c r="AU180" s="666">
        <v>8.2000000000000003E-2</v>
      </c>
      <c r="AV180" s="666">
        <v>8.2000000000000003E-2</v>
      </c>
      <c r="AW180" s="666">
        <v>8.2000000000000003E-2</v>
      </c>
      <c r="AX180" s="666">
        <v>8.2000000000000003E-2</v>
      </c>
      <c r="AY180" s="666">
        <v>8.2000000000000003E-2</v>
      </c>
      <c r="AZ180" s="666">
        <v>8.2000000000000003E-2</v>
      </c>
      <c r="BA180" s="666">
        <v>8.2000000000000003E-2</v>
      </c>
      <c r="BB180" s="666">
        <v>8.2000000000000003E-2</v>
      </c>
      <c r="BC180" s="666">
        <v>8.2000000000000003E-2</v>
      </c>
      <c r="BD180" s="666">
        <v>8.2000000000000003E-2</v>
      </c>
      <c r="BE180" s="666">
        <v>8.2000000000000003E-2</v>
      </c>
      <c r="BF180" s="666">
        <v>8.2000000000000003E-2</v>
      </c>
      <c r="BG180" s="666">
        <v>8.2000000000000003E-2</v>
      </c>
      <c r="BH180" s="666">
        <v>8.2000000000000003E-2</v>
      </c>
      <c r="BI180" s="666">
        <v>8.2000000000000003E-2</v>
      </c>
      <c r="BJ180" s="666">
        <v>8.2000000000000003E-2</v>
      </c>
      <c r="BK180" s="666">
        <v>8.2000000000000003E-2</v>
      </c>
      <c r="BL180" s="666">
        <v>8.2000000000000003E-2</v>
      </c>
    </row>
    <row r="181" spans="2:64" x14ac:dyDescent="0.35">
      <c r="B181" s="668" t="s">
        <v>850</v>
      </c>
      <c r="C181" s="435" t="s">
        <v>446</v>
      </c>
      <c r="D181" s="164" t="s">
        <v>1147</v>
      </c>
      <c r="E181" s="1159">
        <v>3.1852497969741628E-2</v>
      </c>
      <c r="F181" s="1159">
        <v>3.5747817106374993E-2</v>
      </c>
      <c r="G181" s="1159">
        <v>3.5674060452821517E-2</v>
      </c>
      <c r="H181" s="1159">
        <v>3.7609980302035453E-2</v>
      </c>
      <c r="I181" s="1159">
        <v>4.5968712394705173E-2</v>
      </c>
      <c r="J181" s="1159">
        <v>3.920539074122692E-2</v>
      </c>
      <c r="K181" s="1159">
        <v>3.4075104311543807E-2</v>
      </c>
      <c r="L181" s="1159">
        <v>3.1664559002206848E-2</v>
      </c>
      <c r="M181" s="1159">
        <v>5.6402439024390252E-2</v>
      </c>
      <c r="N181" s="1159">
        <v>6.4630846540394277E-2</v>
      </c>
      <c r="O181" s="1159">
        <v>6.3965598333669285E-2</v>
      </c>
      <c r="P181" s="1159">
        <v>5.4297838306191823E-2</v>
      </c>
      <c r="Q181" s="1159">
        <v>6.0189270081832502E-2</v>
      </c>
      <c r="R181" s="1159">
        <v>0.22775130222764051</v>
      </c>
      <c r="S181" s="1159">
        <v>7.4512560583077439E-2</v>
      </c>
      <c r="T181" s="1159">
        <v>7.0596096774827533E-2</v>
      </c>
      <c r="U181" s="1159">
        <v>7.8371023740264611E-2</v>
      </c>
      <c r="V181" s="1159">
        <v>6.5810622251267284E-2</v>
      </c>
      <c r="W181" s="1159">
        <v>5.764411027568922E-2</v>
      </c>
      <c r="X181" s="1159">
        <v>6.825158298976354E-2</v>
      </c>
      <c r="Y181" s="1159">
        <v>7.5916882964527158E-2</v>
      </c>
      <c r="Z181" s="1159">
        <v>6.4148946819007305E-2</v>
      </c>
      <c r="AA181" s="1159">
        <v>7.2767467928758253E-2</v>
      </c>
      <c r="AB181" s="1159">
        <v>7.1453882230328294E-2</v>
      </c>
      <c r="AC181" s="1175">
        <v>7.0300000000000001E-2</v>
      </c>
      <c r="AD181" s="666">
        <v>7.8E-2</v>
      </c>
      <c r="AE181" s="666">
        <v>7.8E-2</v>
      </c>
      <c r="AF181" s="666">
        <v>7.8E-2</v>
      </c>
      <c r="AG181" s="666">
        <v>7.8E-2</v>
      </c>
      <c r="AH181" s="666">
        <v>7.8E-2</v>
      </c>
      <c r="AI181" s="666">
        <v>7.8E-2</v>
      </c>
      <c r="AJ181" s="666">
        <v>7.8E-2</v>
      </c>
      <c r="AK181" s="666">
        <v>7.8E-2</v>
      </c>
      <c r="AL181" s="666">
        <v>7.8E-2</v>
      </c>
      <c r="AM181" s="666">
        <v>7.8E-2</v>
      </c>
      <c r="AN181" s="666">
        <v>7.8E-2</v>
      </c>
      <c r="AO181" s="666">
        <v>7.8E-2</v>
      </c>
      <c r="AP181" s="666">
        <v>7.8E-2</v>
      </c>
      <c r="AQ181" s="666">
        <v>7.8E-2</v>
      </c>
      <c r="AR181" s="666">
        <v>7.8E-2</v>
      </c>
      <c r="AS181" s="666">
        <v>7.8E-2</v>
      </c>
      <c r="AT181" s="666">
        <v>7.8E-2</v>
      </c>
      <c r="AU181" s="666">
        <v>7.8E-2</v>
      </c>
      <c r="AV181" s="666">
        <v>7.8E-2</v>
      </c>
      <c r="AW181" s="666">
        <v>7.8E-2</v>
      </c>
      <c r="AX181" s="666">
        <v>7.8E-2</v>
      </c>
      <c r="AY181" s="666">
        <v>7.8E-2</v>
      </c>
      <c r="AZ181" s="666">
        <v>7.8E-2</v>
      </c>
      <c r="BA181" s="666">
        <v>7.8E-2</v>
      </c>
      <c r="BB181" s="666">
        <v>7.8E-2</v>
      </c>
      <c r="BC181" s="666">
        <v>7.8E-2</v>
      </c>
      <c r="BD181" s="666">
        <v>7.8E-2</v>
      </c>
      <c r="BE181" s="666">
        <v>7.8E-2</v>
      </c>
      <c r="BF181" s="666">
        <v>7.8E-2</v>
      </c>
      <c r="BG181" s="666">
        <v>7.8E-2</v>
      </c>
      <c r="BH181" s="666">
        <v>7.8E-2</v>
      </c>
      <c r="BI181" s="666">
        <v>7.8E-2</v>
      </c>
      <c r="BJ181" s="666">
        <v>7.8E-2</v>
      </c>
      <c r="BK181" s="666">
        <v>7.8E-2</v>
      </c>
      <c r="BL181" s="666">
        <v>7.8E-2</v>
      </c>
    </row>
    <row r="182" spans="2:64" x14ac:dyDescent="0.35">
      <c r="B182" s="668" t="s">
        <v>851</v>
      </c>
      <c r="C182" s="435" t="s">
        <v>455</v>
      </c>
      <c r="D182" s="164" t="s">
        <v>1147</v>
      </c>
      <c r="E182" s="1159">
        <v>3.1852497969741628E-2</v>
      </c>
      <c r="F182" s="1159">
        <v>3.5747817106374993E-2</v>
      </c>
      <c r="G182" s="1159">
        <v>3.5674060452821517E-2</v>
      </c>
      <c r="H182" s="1159">
        <v>3.7609980302035453E-2</v>
      </c>
      <c r="I182" s="1159">
        <v>4.5968712394705173E-2</v>
      </c>
      <c r="J182" s="1159">
        <v>3.920539074122692E-2</v>
      </c>
      <c r="K182" s="1159">
        <v>3.4075104311543807E-2</v>
      </c>
      <c r="L182" s="1159">
        <v>3.1664559002206848E-2</v>
      </c>
      <c r="M182" s="1159">
        <v>5.6402439024390252E-2</v>
      </c>
      <c r="N182" s="1159">
        <v>6.4630846540394277E-2</v>
      </c>
      <c r="O182" s="1159">
        <v>6.3965598333669285E-2</v>
      </c>
      <c r="P182" s="1159">
        <v>5.4297838306191823E-2</v>
      </c>
      <c r="Q182" s="1159">
        <v>6.0189270081832502E-2</v>
      </c>
      <c r="R182" s="1159">
        <v>0.22775130222764051</v>
      </c>
      <c r="S182" s="1159">
        <v>7.4512560583077439E-2</v>
      </c>
      <c r="T182" s="1159">
        <v>7.0596096774827533E-2</v>
      </c>
      <c r="U182" s="1159">
        <v>7.8371023740264611E-2</v>
      </c>
      <c r="V182" s="1159">
        <v>6.5810622251267284E-2</v>
      </c>
      <c r="W182" s="1159">
        <v>5.764411027568922E-2</v>
      </c>
      <c r="X182" s="1159">
        <v>6.825158298976354E-2</v>
      </c>
      <c r="Y182" s="1159">
        <v>7.5916882964527158E-2</v>
      </c>
      <c r="Z182" s="1159">
        <v>6.4148946819007305E-2</v>
      </c>
      <c r="AA182" s="1159">
        <v>7.2767467928758253E-2</v>
      </c>
      <c r="AB182" s="1159">
        <v>7.1453882230328294E-2</v>
      </c>
      <c r="AC182" s="1175">
        <v>7.0300000000000001E-2</v>
      </c>
      <c r="AD182" s="666">
        <v>5.8000000000000003E-2</v>
      </c>
      <c r="AE182" s="666">
        <v>5.8000000000000003E-2</v>
      </c>
      <c r="AF182" s="666">
        <v>5.8000000000000003E-2</v>
      </c>
      <c r="AG182" s="666">
        <v>5.8000000000000003E-2</v>
      </c>
      <c r="AH182" s="666">
        <v>5.8000000000000003E-2</v>
      </c>
      <c r="AI182" s="666">
        <v>5.8000000000000003E-2</v>
      </c>
      <c r="AJ182" s="666">
        <v>5.8000000000000003E-2</v>
      </c>
      <c r="AK182" s="666">
        <v>5.8000000000000003E-2</v>
      </c>
      <c r="AL182" s="666">
        <v>5.8000000000000003E-2</v>
      </c>
      <c r="AM182" s="666">
        <v>5.8000000000000003E-2</v>
      </c>
      <c r="AN182" s="666">
        <v>5.8000000000000003E-2</v>
      </c>
      <c r="AO182" s="666">
        <v>5.8000000000000003E-2</v>
      </c>
      <c r="AP182" s="666">
        <v>5.8000000000000003E-2</v>
      </c>
      <c r="AQ182" s="666">
        <v>5.8000000000000003E-2</v>
      </c>
      <c r="AR182" s="666">
        <v>5.8000000000000003E-2</v>
      </c>
      <c r="AS182" s="666">
        <v>5.8000000000000003E-2</v>
      </c>
      <c r="AT182" s="666">
        <v>5.8000000000000003E-2</v>
      </c>
      <c r="AU182" s="666">
        <v>5.8000000000000003E-2</v>
      </c>
      <c r="AV182" s="666">
        <v>5.8000000000000003E-2</v>
      </c>
      <c r="AW182" s="666">
        <v>5.8000000000000003E-2</v>
      </c>
      <c r="AX182" s="666">
        <v>5.8000000000000003E-2</v>
      </c>
      <c r="AY182" s="666">
        <v>5.8000000000000003E-2</v>
      </c>
      <c r="AZ182" s="666">
        <v>5.8000000000000003E-2</v>
      </c>
      <c r="BA182" s="666">
        <v>5.8000000000000003E-2</v>
      </c>
      <c r="BB182" s="666">
        <v>5.8000000000000003E-2</v>
      </c>
      <c r="BC182" s="666">
        <v>5.8000000000000003E-2</v>
      </c>
      <c r="BD182" s="666">
        <v>5.8000000000000003E-2</v>
      </c>
      <c r="BE182" s="666">
        <v>5.8000000000000003E-2</v>
      </c>
      <c r="BF182" s="666">
        <v>5.8000000000000003E-2</v>
      </c>
      <c r="BG182" s="666">
        <v>5.8000000000000003E-2</v>
      </c>
      <c r="BH182" s="666">
        <v>5.8000000000000003E-2</v>
      </c>
      <c r="BI182" s="666">
        <v>5.8000000000000003E-2</v>
      </c>
      <c r="BJ182" s="666">
        <v>5.8000000000000003E-2</v>
      </c>
      <c r="BK182" s="666">
        <v>5.8000000000000003E-2</v>
      </c>
      <c r="BL182" s="666">
        <v>5.8000000000000003E-2</v>
      </c>
    </row>
    <row r="183" spans="2:64" x14ac:dyDescent="0.35">
      <c r="B183" s="668" t="s">
        <v>852</v>
      </c>
      <c r="C183" s="435" t="s">
        <v>207</v>
      </c>
      <c r="D183" s="164" t="s">
        <v>1147</v>
      </c>
      <c r="E183" s="1159">
        <v>3.1852497969741628E-2</v>
      </c>
      <c r="F183" s="1159">
        <v>3.5747817106374993E-2</v>
      </c>
      <c r="G183" s="1159">
        <v>3.5674060452821517E-2</v>
      </c>
      <c r="H183" s="1159">
        <v>3.7609980302035453E-2</v>
      </c>
      <c r="I183" s="1159">
        <v>4.5968712394705173E-2</v>
      </c>
      <c r="J183" s="1159">
        <v>3.920539074122692E-2</v>
      </c>
      <c r="K183" s="1159">
        <v>3.4075104311543807E-2</v>
      </c>
      <c r="L183" s="1159">
        <v>3.1664559002206848E-2</v>
      </c>
      <c r="M183" s="1159">
        <v>5.6402439024390252E-2</v>
      </c>
      <c r="N183" s="1159">
        <v>6.4630846540394277E-2</v>
      </c>
      <c r="O183" s="1159">
        <v>6.3965598333669285E-2</v>
      </c>
      <c r="P183" s="1159">
        <v>5.4297838306191823E-2</v>
      </c>
      <c r="Q183" s="1159">
        <v>6.0189270081832502E-2</v>
      </c>
      <c r="R183" s="1159">
        <v>0.22775130222764051</v>
      </c>
      <c r="S183" s="1159">
        <v>7.4512560583077439E-2</v>
      </c>
      <c r="T183" s="1159">
        <v>7.0596096774827533E-2</v>
      </c>
      <c r="U183" s="1159">
        <v>7.8371023740264611E-2</v>
      </c>
      <c r="V183" s="1159">
        <v>6.5810622251267284E-2</v>
      </c>
      <c r="W183" s="1159">
        <v>5.764411027568922E-2</v>
      </c>
      <c r="X183" s="1159">
        <v>6.825158298976354E-2</v>
      </c>
      <c r="Y183" s="1159">
        <v>7.5916882964527158E-2</v>
      </c>
      <c r="Z183" s="1159">
        <v>6.4148946819007305E-2</v>
      </c>
      <c r="AA183" s="1159">
        <v>7.2767467928758253E-2</v>
      </c>
      <c r="AB183" s="1159">
        <v>7.1453882230328294E-2</v>
      </c>
      <c r="AC183" s="1175">
        <v>7.0300000000000001E-2</v>
      </c>
      <c r="AD183" s="666">
        <v>6.8000000000000005E-2</v>
      </c>
      <c r="AE183" s="666">
        <v>6.8000000000000005E-2</v>
      </c>
      <c r="AF183" s="666">
        <v>6.8000000000000005E-2</v>
      </c>
      <c r="AG183" s="666">
        <v>6.8000000000000005E-2</v>
      </c>
      <c r="AH183" s="666">
        <v>6.8000000000000005E-2</v>
      </c>
      <c r="AI183" s="666">
        <v>6.8000000000000005E-2</v>
      </c>
      <c r="AJ183" s="666">
        <v>6.8000000000000005E-2</v>
      </c>
      <c r="AK183" s="666">
        <v>6.8000000000000005E-2</v>
      </c>
      <c r="AL183" s="666">
        <v>6.8000000000000005E-2</v>
      </c>
      <c r="AM183" s="666">
        <v>6.8000000000000005E-2</v>
      </c>
      <c r="AN183" s="666">
        <v>6.8000000000000005E-2</v>
      </c>
      <c r="AO183" s="666">
        <v>6.8000000000000005E-2</v>
      </c>
      <c r="AP183" s="666">
        <v>6.8000000000000005E-2</v>
      </c>
      <c r="AQ183" s="666">
        <v>6.8000000000000005E-2</v>
      </c>
      <c r="AR183" s="666">
        <v>6.8000000000000005E-2</v>
      </c>
      <c r="AS183" s="666">
        <v>6.8000000000000005E-2</v>
      </c>
      <c r="AT183" s="666">
        <v>6.8000000000000005E-2</v>
      </c>
      <c r="AU183" s="666">
        <v>6.8000000000000005E-2</v>
      </c>
      <c r="AV183" s="666">
        <v>6.8000000000000005E-2</v>
      </c>
      <c r="AW183" s="666">
        <v>6.8000000000000005E-2</v>
      </c>
      <c r="AX183" s="666">
        <v>6.8000000000000005E-2</v>
      </c>
      <c r="AY183" s="666">
        <v>6.8000000000000005E-2</v>
      </c>
      <c r="AZ183" s="666">
        <v>6.8000000000000005E-2</v>
      </c>
      <c r="BA183" s="666">
        <v>6.8000000000000005E-2</v>
      </c>
      <c r="BB183" s="666">
        <v>6.8000000000000005E-2</v>
      </c>
      <c r="BC183" s="666">
        <v>6.8000000000000005E-2</v>
      </c>
      <c r="BD183" s="666">
        <v>6.8000000000000005E-2</v>
      </c>
      <c r="BE183" s="666">
        <v>6.8000000000000005E-2</v>
      </c>
      <c r="BF183" s="666">
        <v>6.8000000000000005E-2</v>
      </c>
      <c r="BG183" s="666">
        <v>6.8000000000000005E-2</v>
      </c>
      <c r="BH183" s="666">
        <v>6.8000000000000005E-2</v>
      </c>
      <c r="BI183" s="666">
        <v>6.8000000000000005E-2</v>
      </c>
      <c r="BJ183" s="666">
        <v>6.8000000000000005E-2</v>
      </c>
      <c r="BK183" s="666">
        <v>6.8000000000000005E-2</v>
      </c>
      <c r="BL183" s="666">
        <v>6.8000000000000005E-2</v>
      </c>
    </row>
    <row r="184" spans="2:64" x14ac:dyDescent="0.35">
      <c r="B184" s="903"/>
      <c r="C184" s="435" t="s">
        <v>496</v>
      </c>
      <c r="D184" s="164" t="s">
        <v>1147</v>
      </c>
      <c r="E184" s="1159">
        <v>3.1852497969741628E-2</v>
      </c>
      <c r="F184" s="1159">
        <v>3.5747817106374993E-2</v>
      </c>
      <c r="G184" s="1159">
        <v>3.5674060452821517E-2</v>
      </c>
      <c r="H184" s="1159">
        <v>3.7609980302035453E-2</v>
      </c>
      <c r="I184" s="1159">
        <v>4.5968712394705173E-2</v>
      </c>
      <c r="J184" s="1159">
        <v>3.920539074122692E-2</v>
      </c>
      <c r="K184" s="1159">
        <v>3.4075104311543807E-2</v>
      </c>
      <c r="L184" s="1159">
        <v>3.1664559002206848E-2</v>
      </c>
      <c r="M184" s="1159">
        <v>5.6402439024390252E-2</v>
      </c>
      <c r="N184" s="1159">
        <v>6.4630846540394277E-2</v>
      </c>
      <c r="O184" s="1159">
        <v>6.3965598333669285E-2</v>
      </c>
      <c r="P184" s="1159">
        <v>5.4297838306191823E-2</v>
      </c>
      <c r="Q184" s="1159">
        <v>6.0189270081832502E-2</v>
      </c>
      <c r="R184" s="1159">
        <v>0.22775130222764051</v>
      </c>
      <c r="S184" s="1159">
        <v>7.4512560583077439E-2</v>
      </c>
      <c r="T184" s="1159">
        <v>7.0596096774827533E-2</v>
      </c>
      <c r="U184" s="1159">
        <v>7.8371023740264611E-2</v>
      </c>
      <c r="V184" s="1159">
        <v>6.5810622251267284E-2</v>
      </c>
      <c r="W184" s="1159">
        <v>5.764411027568922E-2</v>
      </c>
      <c r="X184" s="1159">
        <v>6.825158298976354E-2</v>
      </c>
      <c r="Y184" s="1159">
        <v>7.5916882964527158E-2</v>
      </c>
      <c r="Z184" s="1159">
        <v>6.4148946819007305E-2</v>
      </c>
      <c r="AA184" s="1159">
        <v>7.2767467928758253E-2</v>
      </c>
      <c r="AB184" s="1159">
        <v>7.1453882230328294E-2</v>
      </c>
      <c r="AC184" s="1175">
        <v>7.0300000000000001E-2</v>
      </c>
      <c r="AD184" s="666">
        <v>7.0000000000000007E-2</v>
      </c>
      <c r="AE184" s="666">
        <v>7.0000000000000007E-2</v>
      </c>
      <c r="AF184" s="666">
        <v>0.08</v>
      </c>
      <c r="AG184" s="666">
        <v>0.08</v>
      </c>
      <c r="AH184" s="666">
        <v>0.08</v>
      </c>
      <c r="AI184" s="666">
        <v>0.08</v>
      </c>
      <c r="AJ184" s="666">
        <v>0.08</v>
      </c>
      <c r="AK184" s="666">
        <v>0.08</v>
      </c>
      <c r="AL184" s="666">
        <v>0.08</v>
      </c>
      <c r="AM184" s="666">
        <v>0.08</v>
      </c>
      <c r="AN184" s="666">
        <v>0.08</v>
      </c>
      <c r="AO184" s="666">
        <v>0.08</v>
      </c>
      <c r="AP184" s="666">
        <v>0.08</v>
      </c>
      <c r="AQ184" s="666">
        <v>0.08</v>
      </c>
      <c r="AR184" s="666">
        <v>0.08</v>
      </c>
      <c r="AS184" s="666">
        <v>0.08</v>
      </c>
      <c r="AT184" s="666">
        <v>0.08</v>
      </c>
      <c r="AU184" s="666">
        <v>0.08</v>
      </c>
      <c r="AV184" s="666">
        <v>0.08</v>
      </c>
      <c r="AW184" s="666">
        <v>0.08</v>
      </c>
      <c r="AX184" s="666">
        <v>0.08</v>
      </c>
      <c r="AY184" s="666">
        <v>0.08</v>
      </c>
      <c r="AZ184" s="666">
        <v>0.08</v>
      </c>
      <c r="BA184" s="666">
        <v>0.08</v>
      </c>
      <c r="BB184" s="666">
        <v>0.08</v>
      </c>
      <c r="BC184" s="666">
        <v>0.08</v>
      </c>
      <c r="BD184" s="666">
        <v>0.08</v>
      </c>
      <c r="BE184" s="666">
        <v>0.08</v>
      </c>
      <c r="BF184" s="666">
        <v>0.08</v>
      </c>
      <c r="BG184" s="666">
        <v>0.08</v>
      </c>
      <c r="BH184" s="666">
        <v>0.08</v>
      </c>
      <c r="BI184" s="666">
        <v>0.08</v>
      </c>
      <c r="BJ184" s="666">
        <v>0.08</v>
      </c>
      <c r="BK184" s="666">
        <v>0.08</v>
      </c>
      <c r="BL184" s="666">
        <v>0.08</v>
      </c>
    </row>
  </sheetData>
  <conditionalFormatting sqref="AA3:BV3">
    <cfRule type="containsText" dxfId="316" priority="6" operator="containsText" text="forecast">
      <formula>NOT(ISERROR(SEARCH("forecast",AA3)))</formula>
    </cfRule>
  </conditionalFormatting>
  <conditionalFormatting sqref="C3:Z3">
    <cfRule type="containsText" dxfId="315" priority="4" operator="containsText" text="forecast">
      <formula>NOT(ISERROR(SEARCH("forecast",C3)))</formula>
    </cfRule>
  </conditionalFormatting>
  <conditionalFormatting sqref="B3">
    <cfRule type="containsText" dxfId="314" priority="1" operator="containsText" text="actual">
      <formula>NOT(ISERROR(SEARCH("actual",B3)))</formula>
    </cfRule>
    <cfRule type="containsText" dxfId="313" priority="2" operator="containsText" text="forecast">
      <formula>NOT(ISERROR(SEARCH("forecast",B3)))</formula>
    </cfRule>
  </conditionalFormatting>
  <conditionalFormatting sqref="A3:BV3">
    <cfRule type="containsText" dxfId="312" priority="5" operator="containsText" text="actual">
      <formula>NOT(ISERROR(SEARCH("actual",A3)))</formula>
    </cfRule>
  </conditionalFormatting>
  <dataValidations count="11">
    <dataValidation type="list" allowBlank="1" showInputMessage="1" showErrorMessage="1" sqref="C24">
      <formula1>$C$109:$C$114</formula1>
    </dataValidation>
    <dataValidation type="list" allowBlank="1" showInputMessage="1" showErrorMessage="1" sqref="C23">
      <formula1>$C$83:$C$88</formula1>
    </dataValidation>
    <dataValidation type="list" allowBlank="1" showInputMessage="1" showErrorMessage="1" sqref="C26 C42 C31:C32 C39:C40 C47:C48 C34">
      <formula1>$C$57:$C$62</formula1>
    </dataValidation>
    <dataValidation type="list" allowBlank="1" showInputMessage="1" showErrorMessage="1" sqref="C22">
      <formula1>$C$161:$C$166</formula1>
    </dataValidation>
    <dataValidation type="list" allowBlank="1" showInputMessage="1" showErrorMessage="1" sqref="C30">
      <formula1>$C$167:$C$172</formula1>
    </dataValidation>
    <dataValidation type="list" allowBlank="1" showInputMessage="1" showErrorMessage="1" sqref="C38">
      <formula1>$C$173:$C$178</formula1>
    </dataValidation>
    <dataValidation type="list" allowBlank="1" showInputMessage="1" showErrorMessage="1" sqref="C46">
      <formula1>$C$179:$C$184</formula1>
    </dataValidation>
    <dataValidation type="list" allowBlank="1" showInputMessage="1" showErrorMessage="1" sqref="C25">
      <formula1>$C$135:$C$140</formula1>
    </dataValidation>
    <dataValidation type="list" allowBlank="1" showInputMessage="1" showErrorMessage="1" sqref="C33">
      <formula1>$C$141:$C$146</formula1>
    </dataValidation>
    <dataValidation type="list" allowBlank="1" showInputMessage="1" showErrorMessage="1" sqref="C41">
      <formula1>$C$147:$C$152</formula1>
    </dataValidation>
    <dataValidation type="list" allowBlank="1" showInputMessage="1" showErrorMessage="1" sqref="C49">
      <formula1>$C$153:$C$158</formula1>
    </dataValidation>
  </dataValidations>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3" tint="0.39997558519241921"/>
  </sheetPr>
  <dimension ref="A1:BY164"/>
  <sheetViews>
    <sheetView showGridLines="0" zoomScale="70" zoomScaleNormal="70" zoomScaleSheetLayoutView="40" workbookViewId="0">
      <pane xSplit="3" ySplit="4" topLeftCell="P25" activePane="bottomRight" state="frozen"/>
      <selection activeCell="C20" sqref="C20"/>
      <selection pane="topRight" activeCell="C20" sqref="C20"/>
      <selection pane="bottomLeft" activeCell="C20" sqref="C20"/>
      <selection pane="bottomRight" activeCell="AN39" sqref="AC39:AN39"/>
    </sheetView>
  </sheetViews>
  <sheetFormatPr defaultColWidth="13.1796875" defaultRowHeight="14.5" outlineLevelRow="2" outlineLevelCol="1" x14ac:dyDescent="0.35"/>
  <cols>
    <col min="1" max="1" width="3.453125" customWidth="1"/>
    <col min="2" max="2" width="12.7265625" bestFit="1" customWidth="1"/>
    <col min="3" max="3" width="33" style="41" customWidth="1"/>
    <col min="4" max="4" width="19.26953125" style="438" hidden="1" customWidth="1"/>
    <col min="5" max="5" width="19.26953125" hidden="1" customWidth="1" outlineLevel="1"/>
    <col min="6" max="9" width="14.453125" hidden="1" customWidth="1" outlineLevel="1"/>
    <col min="10" max="12" width="14.54296875" hidden="1" customWidth="1" outlineLevel="1"/>
    <col min="13" max="13" width="15.81640625" hidden="1" customWidth="1" outlineLevel="1"/>
    <col min="14" max="14" width="14.54296875" hidden="1" customWidth="1" outlineLevel="1"/>
    <col min="15" max="15" width="15" hidden="1" customWidth="1" outlineLevel="1"/>
    <col min="16" max="16" width="13.54296875" bestFit="1" customWidth="1" collapsed="1"/>
    <col min="17" max="17" width="20" hidden="1" customWidth="1" outlineLevel="1"/>
    <col min="18" max="18" width="15.453125" hidden="1" customWidth="1" outlineLevel="1"/>
    <col min="19" max="19" width="16" hidden="1" customWidth="1" outlineLevel="1"/>
    <col min="20" max="21" width="13.54296875" hidden="1" customWidth="1" outlineLevel="1"/>
    <col min="22" max="22" width="17.26953125" hidden="1" customWidth="1" outlineLevel="1"/>
    <col min="23" max="26" width="14.453125" hidden="1" customWidth="1" outlineLevel="1"/>
    <col min="27" max="27" width="15.81640625" hidden="1" customWidth="1" outlineLevel="1"/>
    <col min="28" max="28" width="15.81640625" bestFit="1" customWidth="1" collapsed="1"/>
    <col min="29" max="29" width="16.81640625" customWidth="1" outlineLevel="1"/>
    <col min="30" max="33" width="14.54296875" customWidth="1" outlineLevel="1"/>
    <col min="34" max="34" width="15.81640625" customWidth="1" outlineLevel="1"/>
    <col min="35" max="35" width="15.81640625" bestFit="1" customWidth="1" outlineLevel="1"/>
    <col min="36" max="39" width="14.54296875" customWidth="1" outlineLevel="1"/>
    <col min="40" max="40" width="15.81640625" bestFit="1" customWidth="1"/>
    <col min="41" max="41" width="15" customWidth="1" outlineLevel="1"/>
    <col min="42" max="45" width="15.453125" customWidth="1" outlineLevel="1"/>
    <col min="46" max="46" width="15" customWidth="1" outlineLevel="1"/>
    <col min="47" max="51" width="15.453125" customWidth="1" outlineLevel="1"/>
    <col min="52" max="52" width="15" bestFit="1" customWidth="1"/>
    <col min="53" max="53" width="15.453125" hidden="1" customWidth="1" outlineLevel="1"/>
    <col min="54" max="54" width="15" hidden="1" customWidth="1" outlineLevel="1"/>
    <col min="55" max="61" width="15.453125" hidden="1" customWidth="1" outlineLevel="1"/>
    <col min="62" max="63" width="15" hidden="1" customWidth="1" outlineLevel="1"/>
    <col min="64" max="64" width="12.1796875" bestFit="1" customWidth="1" collapsed="1"/>
    <col min="65" max="65" width="13.1796875" hidden="1" customWidth="1" outlineLevel="1"/>
    <col min="66" max="75" width="13.1796875" style="574" hidden="1" customWidth="1" outlineLevel="1"/>
    <col min="76" max="76" width="13.1796875" style="574" collapsed="1"/>
  </cols>
  <sheetData>
    <row r="1" spans="1:77" ht="18.5" thickBot="1" x14ac:dyDescent="0.45">
      <c r="A1" s="88" t="str">
        <f>Sensativities!B4</f>
        <v>CallFire</v>
      </c>
      <c r="B1" s="88"/>
      <c r="D1" s="13"/>
      <c r="E1" s="13">
        <f>'Cost Summary'!C3</f>
        <v>40909</v>
      </c>
      <c r="F1" s="13">
        <f>'Cost Summary'!D3</f>
        <v>40942</v>
      </c>
      <c r="G1" s="13">
        <f>'Cost Summary'!E3</f>
        <v>40975</v>
      </c>
      <c r="H1" s="13">
        <f>'Cost Summary'!F3</f>
        <v>41008</v>
      </c>
      <c r="I1" s="13">
        <f>'Cost Summary'!G3</f>
        <v>41041</v>
      </c>
      <c r="J1" s="13">
        <f>'Cost Summary'!H3</f>
        <v>41074</v>
      </c>
      <c r="K1" s="13">
        <f>'Cost Summary'!I3</f>
        <v>41107</v>
      </c>
      <c r="L1" s="13">
        <f>'Cost Summary'!J3</f>
        <v>41140</v>
      </c>
      <c r="M1" s="13">
        <f>'Cost Summary'!K3</f>
        <v>41173</v>
      </c>
      <c r="N1" s="13">
        <f>'Cost Summary'!L3</f>
        <v>41206</v>
      </c>
      <c r="O1" s="13">
        <f>'Cost Summary'!M3</f>
        <v>41239</v>
      </c>
      <c r="P1" s="13">
        <f>'Cost Summary'!N3</f>
        <v>41272</v>
      </c>
      <c r="Q1" s="12">
        <f>'Cost Summary'!O3</f>
        <v>41282</v>
      </c>
      <c r="R1" s="12">
        <f>'Cost Summary'!P3</f>
        <v>41312</v>
      </c>
      <c r="S1" s="12">
        <f>'Cost Summary'!Q3</f>
        <v>41342</v>
      </c>
      <c r="T1" s="12">
        <f>'Cost Summary'!R3</f>
        <v>41372</v>
      </c>
      <c r="U1" s="12">
        <f>'Cost Summary'!S3</f>
        <v>41402</v>
      </c>
      <c r="V1" s="12">
        <f>'Cost Summary'!T3</f>
        <v>41432</v>
      </c>
      <c r="W1" s="12">
        <f>'Cost Summary'!U3</f>
        <v>41462</v>
      </c>
      <c r="X1" s="12">
        <f>'Cost Summary'!V3</f>
        <v>41492</v>
      </c>
      <c r="Y1" s="12">
        <f>'Cost Summary'!W3</f>
        <v>41522</v>
      </c>
      <c r="Z1" s="12">
        <f>'Cost Summary'!X3</f>
        <v>41552</v>
      </c>
      <c r="AA1" s="12">
        <f>'Cost Summary'!Y3</f>
        <v>41582</v>
      </c>
      <c r="AB1" s="12">
        <f>'Cost Summary'!Z3</f>
        <v>41612</v>
      </c>
      <c r="AC1" s="13">
        <f>'Cost Summary'!AA3</f>
        <v>41642</v>
      </c>
      <c r="AD1" s="13">
        <f>'Cost Summary'!AB3</f>
        <v>41675</v>
      </c>
      <c r="AE1" s="13">
        <f>'Cost Summary'!AC3</f>
        <v>41708</v>
      </c>
      <c r="AF1" s="13">
        <f>'Cost Summary'!AD3</f>
        <v>41741</v>
      </c>
      <c r="AG1" s="13">
        <f>'Cost Summary'!AE3</f>
        <v>41774</v>
      </c>
      <c r="AH1" s="13">
        <f>'Cost Summary'!AF3</f>
        <v>41807</v>
      </c>
      <c r="AI1" s="13">
        <f>'Cost Summary'!AG3</f>
        <v>41840</v>
      </c>
      <c r="AJ1" s="13">
        <f>'Cost Summary'!AH3</f>
        <v>41873</v>
      </c>
      <c r="AK1" s="13">
        <f>'Cost Summary'!AI3</f>
        <v>41906</v>
      </c>
      <c r="AL1" s="13">
        <f>'Cost Summary'!AJ3</f>
        <v>41939</v>
      </c>
      <c r="AM1" s="13">
        <f>'Cost Summary'!AK3</f>
        <v>41972</v>
      </c>
      <c r="AN1" s="13">
        <f>'Cost Summary'!AL3</f>
        <v>41982</v>
      </c>
      <c r="AO1" s="12">
        <f>'Cost Summary'!AM3</f>
        <v>42012</v>
      </c>
      <c r="AP1" s="12">
        <f>'Cost Summary'!AN3</f>
        <v>42042</v>
      </c>
      <c r="AQ1" s="12">
        <f>'Cost Summary'!AO3</f>
        <v>42072</v>
      </c>
      <c r="AR1" s="12">
        <f>'Cost Summary'!AP3</f>
        <v>42102</v>
      </c>
      <c r="AS1" s="12">
        <f>'Cost Summary'!AQ3</f>
        <v>42132</v>
      </c>
      <c r="AT1" s="12">
        <f>'Cost Summary'!AR3</f>
        <v>42162</v>
      </c>
      <c r="AU1" s="12">
        <f>'Cost Summary'!AS3</f>
        <v>42192</v>
      </c>
      <c r="AV1" s="12">
        <f>'Cost Summary'!AT3</f>
        <v>42222</v>
      </c>
      <c r="AW1" s="12">
        <f>'Cost Summary'!AU3</f>
        <v>42252</v>
      </c>
      <c r="AX1" s="12">
        <f>'Cost Summary'!AV3</f>
        <v>42282</v>
      </c>
      <c r="AY1" s="12">
        <f>'Cost Summary'!AW3</f>
        <v>42312</v>
      </c>
      <c r="AZ1" s="12">
        <f>'Cost Summary'!AX3</f>
        <v>42342</v>
      </c>
      <c r="BA1" s="13">
        <f>'Cost Summary'!AY3</f>
        <v>42372</v>
      </c>
      <c r="BB1" s="13">
        <f>'Cost Summary'!AZ3</f>
        <v>42402</v>
      </c>
      <c r="BC1" s="13">
        <f>'Cost Summary'!BA3</f>
        <v>42432</v>
      </c>
      <c r="BD1" s="13">
        <f>'Cost Summary'!BB3</f>
        <v>42462</v>
      </c>
      <c r="BE1" s="13">
        <f>'Cost Summary'!BC3</f>
        <v>42492</v>
      </c>
      <c r="BF1" s="13">
        <f>'Cost Summary'!BD3</f>
        <v>42522</v>
      </c>
      <c r="BG1" s="13">
        <f>'Cost Summary'!BE3</f>
        <v>42555</v>
      </c>
      <c r="BH1" s="13">
        <f>'Cost Summary'!BF3</f>
        <v>42585</v>
      </c>
      <c r="BI1" s="13">
        <f>'Cost Summary'!BG3</f>
        <v>42615</v>
      </c>
      <c r="BJ1" s="13">
        <f>'Cost Summary'!BH3</f>
        <v>42645</v>
      </c>
      <c r="BK1" s="13">
        <f>'Cost Summary'!BI3</f>
        <v>42675</v>
      </c>
      <c r="BL1" s="13">
        <f>'Cost Summary'!BJ3</f>
        <v>42705</v>
      </c>
      <c r="BM1" s="13">
        <v>42736</v>
      </c>
      <c r="BN1" s="13">
        <v>42767</v>
      </c>
      <c r="BO1" s="13">
        <v>42795</v>
      </c>
      <c r="BP1" s="13">
        <v>42826</v>
      </c>
      <c r="BQ1" s="13">
        <v>42856</v>
      </c>
      <c r="BR1" s="13">
        <v>42887</v>
      </c>
      <c r="BS1" s="13">
        <v>42917</v>
      </c>
      <c r="BT1" s="13">
        <v>42948</v>
      </c>
      <c r="BU1" s="13">
        <v>42979</v>
      </c>
      <c r="BV1" s="13">
        <v>43009</v>
      </c>
      <c r="BW1" s="13">
        <v>43040</v>
      </c>
      <c r="BX1" s="13">
        <v>43070</v>
      </c>
      <c r="BY1" s="997"/>
    </row>
    <row r="2" spans="1:77" ht="15.5" x14ac:dyDescent="0.35">
      <c r="A2" s="91"/>
      <c r="B2" s="16"/>
      <c r="D2" s="13"/>
      <c r="E2" s="13" t="str">
        <f t="shared" ref="E2:BE2" si="0">CONCATENATE(IF(MONTH(E1)&lt;4,"1Q",IF(MONTH(E1)&lt;7,"2Q",IF(MONTH(E1)&lt;10,"3Q","4Q")))&amp; ""&amp;YEAR(E1))</f>
        <v>1Q2012</v>
      </c>
      <c r="F2" s="13" t="str">
        <f t="shared" si="0"/>
        <v>1Q2012</v>
      </c>
      <c r="G2" s="13" t="str">
        <f t="shared" si="0"/>
        <v>1Q2012</v>
      </c>
      <c r="H2" s="13" t="str">
        <f t="shared" si="0"/>
        <v>2Q2012</v>
      </c>
      <c r="I2" s="13" t="str">
        <f t="shared" si="0"/>
        <v>2Q2012</v>
      </c>
      <c r="J2" s="13" t="str">
        <f t="shared" si="0"/>
        <v>2Q2012</v>
      </c>
      <c r="K2" s="13" t="str">
        <f t="shared" si="0"/>
        <v>3Q2012</v>
      </c>
      <c r="L2" s="13" t="str">
        <f t="shared" si="0"/>
        <v>3Q2012</v>
      </c>
      <c r="M2" s="13" t="str">
        <f t="shared" si="0"/>
        <v>3Q2012</v>
      </c>
      <c r="N2" s="13" t="str">
        <f t="shared" si="0"/>
        <v>4Q2012</v>
      </c>
      <c r="O2" s="13" t="str">
        <f t="shared" si="0"/>
        <v>4Q2012</v>
      </c>
      <c r="P2" s="13" t="str">
        <f t="shared" si="0"/>
        <v>4Q2012</v>
      </c>
      <c r="Q2" s="12" t="str">
        <f t="shared" si="0"/>
        <v>1Q2013</v>
      </c>
      <c r="R2" s="12" t="str">
        <f t="shared" si="0"/>
        <v>1Q2013</v>
      </c>
      <c r="S2" s="12" t="str">
        <f t="shared" si="0"/>
        <v>1Q2013</v>
      </c>
      <c r="T2" s="12" t="str">
        <f t="shared" si="0"/>
        <v>2Q2013</v>
      </c>
      <c r="U2" s="12" t="str">
        <f t="shared" si="0"/>
        <v>2Q2013</v>
      </c>
      <c r="V2" s="12" t="str">
        <f t="shared" si="0"/>
        <v>2Q2013</v>
      </c>
      <c r="W2" s="12" t="str">
        <f t="shared" si="0"/>
        <v>3Q2013</v>
      </c>
      <c r="X2" s="12" t="str">
        <f t="shared" si="0"/>
        <v>3Q2013</v>
      </c>
      <c r="Y2" s="12" t="str">
        <f t="shared" si="0"/>
        <v>3Q2013</v>
      </c>
      <c r="Z2" s="12" t="str">
        <f t="shared" si="0"/>
        <v>4Q2013</v>
      </c>
      <c r="AA2" s="12" t="str">
        <f t="shared" si="0"/>
        <v>4Q2013</v>
      </c>
      <c r="AB2" s="12" t="str">
        <f t="shared" si="0"/>
        <v>4Q2013</v>
      </c>
      <c r="AC2" s="13" t="str">
        <f t="shared" si="0"/>
        <v>1Q2014</v>
      </c>
      <c r="AD2" s="13" t="str">
        <f t="shared" si="0"/>
        <v>1Q2014</v>
      </c>
      <c r="AE2" s="13" t="str">
        <f t="shared" si="0"/>
        <v>1Q2014</v>
      </c>
      <c r="AF2" s="13" t="str">
        <f t="shared" si="0"/>
        <v>2Q2014</v>
      </c>
      <c r="AG2" s="13" t="str">
        <f t="shared" si="0"/>
        <v>2Q2014</v>
      </c>
      <c r="AH2" s="13" t="str">
        <f t="shared" si="0"/>
        <v>2Q2014</v>
      </c>
      <c r="AI2" s="13" t="str">
        <f t="shared" si="0"/>
        <v>3Q2014</v>
      </c>
      <c r="AJ2" s="13" t="str">
        <f t="shared" si="0"/>
        <v>3Q2014</v>
      </c>
      <c r="AK2" s="13" t="str">
        <f t="shared" si="0"/>
        <v>3Q2014</v>
      </c>
      <c r="AL2" s="13" t="str">
        <f t="shared" si="0"/>
        <v>4Q2014</v>
      </c>
      <c r="AM2" s="13" t="str">
        <f t="shared" si="0"/>
        <v>4Q2014</v>
      </c>
      <c r="AN2" s="13" t="str">
        <f t="shared" si="0"/>
        <v>4Q2014</v>
      </c>
      <c r="AO2" s="12" t="str">
        <f t="shared" si="0"/>
        <v>1Q2015</v>
      </c>
      <c r="AP2" s="12" t="str">
        <f t="shared" si="0"/>
        <v>1Q2015</v>
      </c>
      <c r="AQ2" s="12" t="str">
        <f t="shared" si="0"/>
        <v>1Q2015</v>
      </c>
      <c r="AR2" s="12" t="str">
        <f t="shared" si="0"/>
        <v>2Q2015</v>
      </c>
      <c r="AS2" s="12" t="str">
        <f t="shared" si="0"/>
        <v>2Q2015</v>
      </c>
      <c r="AT2" s="12" t="str">
        <f t="shared" si="0"/>
        <v>2Q2015</v>
      </c>
      <c r="AU2" s="12" t="str">
        <f t="shared" si="0"/>
        <v>3Q2015</v>
      </c>
      <c r="AV2" s="12" t="str">
        <f t="shared" si="0"/>
        <v>3Q2015</v>
      </c>
      <c r="AW2" s="12" t="str">
        <f t="shared" si="0"/>
        <v>3Q2015</v>
      </c>
      <c r="AX2" s="12" t="str">
        <f t="shared" si="0"/>
        <v>4Q2015</v>
      </c>
      <c r="AY2" s="12" t="str">
        <f t="shared" si="0"/>
        <v>4Q2015</v>
      </c>
      <c r="AZ2" s="12" t="str">
        <f t="shared" si="0"/>
        <v>4Q2015</v>
      </c>
      <c r="BA2" s="13" t="str">
        <f t="shared" si="0"/>
        <v>1Q2016</v>
      </c>
      <c r="BB2" s="13" t="str">
        <f t="shared" si="0"/>
        <v>1Q2016</v>
      </c>
      <c r="BC2" s="13" t="str">
        <f t="shared" si="0"/>
        <v>1Q2016</v>
      </c>
      <c r="BD2" s="13" t="str">
        <f t="shared" si="0"/>
        <v>2Q2016</v>
      </c>
      <c r="BE2" s="13" t="str">
        <f t="shared" si="0"/>
        <v>2Q2016</v>
      </c>
      <c r="BF2" s="13" t="str">
        <f t="shared" ref="BF2:BM2" si="1">CONCATENATE(IF(MONTH(BF1)&lt;4,"1Q",IF(MONTH(BF1)&lt;7,"2Q",IF(MONTH(BF1)&lt;10,"3Q","4Q")))&amp; ""&amp;YEAR(BF1))</f>
        <v>2Q2016</v>
      </c>
      <c r="BG2" s="13" t="str">
        <f t="shared" si="1"/>
        <v>3Q2016</v>
      </c>
      <c r="BH2" s="13" t="str">
        <f t="shared" si="1"/>
        <v>3Q2016</v>
      </c>
      <c r="BI2" s="13" t="str">
        <f t="shared" si="1"/>
        <v>3Q2016</v>
      </c>
      <c r="BJ2" s="13" t="str">
        <f t="shared" si="1"/>
        <v>4Q2016</v>
      </c>
      <c r="BK2" s="13" t="str">
        <f t="shared" si="1"/>
        <v>4Q2016</v>
      </c>
      <c r="BL2" s="13" t="str">
        <f t="shared" si="1"/>
        <v>4Q2016</v>
      </c>
      <c r="BM2" s="12" t="str">
        <f t="shared" si="1"/>
        <v>1Q2017</v>
      </c>
      <c r="BN2" s="12" t="str">
        <f t="shared" ref="BN2:BX2" si="2">CONCATENATE(IF(MONTH(BN1)&lt;4,"1Q",IF(MONTH(BN1)&lt;7,"2Q",IF(MONTH(BN1)&lt;10,"3Q","4Q")))&amp; ""&amp;YEAR(BN1))</f>
        <v>1Q2017</v>
      </c>
      <c r="BO2" s="12" t="str">
        <f t="shared" si="2"/>
        <v>1Q2017</v>
      </c>
      <c r="BP2" s="12" t="str">
        <f t="shared" si="2"/>
        <v>2Q2017</v>
      </c>
      <c r="BQ2" s="12" t="str">
        <f t="shared" si="2"/>
        <v>2Q2017</v>
      </c>
      <c r="BR2" s="12" t="str">
        <f t="shared" si="2"/>
        <v>2Q2017</v>
      </c>
      <c r="BS2" s="12" t="str">
        <f t="shared" si="2"/>
        <v>3Q2017</v>
      </c>
      <c r="BT2" s="12" t="str">
        <f t="shared" si="2"/>
        <v>3Q2017</v>
      </c>
      <c r="BU2" s="12" t="str">
        <f t="shared" si="2"/>
        <v>3Q2017</v>
      </c>
      <c r="BV2" s="12" t="str">
        <f t="shared" si="2"/>
        <v>4Q2017</v>
      </c>
      <c r="BW2" s="12" t="str">
        <f t="shared" si="2"/>
        <v>4Q2017</v>
      </c>
      <c r="BX2" s="12" t="str">
        <f t="shared" si="2"/>
        <v>4Q2017</v>
      </c>
    </row>
    <row r="3" spans="1:77" ht="15.5" x14ac:dyDescent="0.35">
      <c r="A3" s="93" t="s">
        <v>186</v>
      </c>
      <c r="B3" s="16"/>
      <c r="D3" s="15"/>
      <c r="E3" s="15">
        <f t="shared" ref="E3:BE3" si="3">YEAR(E1)</f>
        <v>2012</v>
      </c>
      <c r="F3" s="15">
        <f t="shared" si="3"/>
        <v>2012</v>
      </c>
      <c r="G3" s="15">
        <f t="shared" si="3"/>
        <v>2012</v>
      </c>
      <c r="H3" s="15">
        <f t="shared" si="3"/>
        <v>2012</v>
      </c>
      <c r="I3" s="15">
        <f t="shared" si="3"/>
        <v>2012</v>
      </c>
      <c r="J3" s="15">
        <f t="shared" si="3"/>
        <v>2012</v>
      </c>
      <c r="K3" s="15">
        <f t="shared" si="3"/>
        <v>2012</v>
      </c>
      <c r="L3" s="15">
        <f t="shared" si="3"/>
        <v>2012</v>
      </c>
      <c r="M3" s="15">
        <f t="shared" si="3"/>
        <v>2012</v>
      </c>
      <c r="N3" s="15">
        <f t="shared" si="3"/>
        <v>2012</v>
      </c>
      <c r="O3" s="15">
        <f t="shared" si="3"/>
        <v>2012</v>
      </c>
      <c r="P3" s="15">
        <f t="shared" si="3"/>
        <v>2012</v>
      </c>
      <c r="Q3" s="14">
        <f t="shared" si="3"/>
        <v>2013</v>
      </c>
      <c r="R3" s="14">
        <f t="shared" si="3"/>
        <v>2013</v>
      </c>
      <c r="S3" s="14">
        <f t="shared" si="3"/>
        <v>2013</v>
      </c>
      <c r="T3" s="14">
        <f t="shared" si="3"/>
        <v>2013</v>
      </c>
      <c r="U3" s="14">
        <f t="shared" si="3"/>
        <v>2013</v>
      </c>
      <c r="V3" s="14">
        <f t="shared" si="3"/>
        <v>2013</v>
      </c>
      <c r="W3" s="14">
        <f t="shared" si="3"/>
        <v>2013</v>
      </c>
      <c r="X3" s="14">
        <f t="shared" si="3"/>
        <v>2013</v>
      </c>
      <c r="Y3" s="14">
        <f t="shared" si="3"/>
        <v>2013</v>
      </c>
      <c r="Z3" s="14">
        <f t="shared" si="3"/>
        <v>2013</v>
      </c>
      <c r="AA3" s="14">
        <f t="shared" si="3"/>
        <v>2013</v>
      </c>
      <c r="AB3" s="14">
        <f t="shared" si="3"/>
        <v>2013</v>
      </c>
      <c r="AC3" s="15">
        <f t="shared" si="3"/>
        <v>2014</v>
      </c>
      <c r="AD3" s="15">
        <f t="shared" si="3"/>
        <v>2014</v>
      </c>
      <c r="AE3" s="15">
        <f t="shared" si="3"/>
        <v>2014</v>
      </c>
      <c r="AF3" s="15">
        <f t="shared" si="3"/>
        <v>2014</v>
      </c>
      <c r="AG3" s="15">
        <f t="shared" si="3"/>
        <v>2014</v>
      </c>
      <c r="AH3" s="15">
        <f t="shared" si="3"/>
        <v>2014</v>
      </c>
      <c r="AI3" s="15">
        <f t="shared" si="3"/>
        <v>2014</v>
      </c>
      <c r="AJ3" s="15">
        <f t="shared" si="3"/>
        <v>2014</v>
      </c>
      <c r="AK3" s="15">
        <f t="shared" si="3"/>
        <v>2014</v>
      </c>
      <c r="AL3" s="15">
        <f t="shared" si="3"/>
        <v>2014</v>
      </c>
      <c r="AM3" s="15">
        <f t="shared" si="3"/>
        <v>2014</v>
      </c>
      <c r="AN3" s="15">
        <f t="shared" si="3"/>
        <v>2014</v>
      </c>
      <c r="AO3" s="14">
        <f t="shared" si="3"/>
        <v>2015</v>
      </c>
      <c r="AP3" s="14">
        <f t="shared" si="3"/>
        <v>2015</v>
      </c>
      <c r="AQ3" s="14">
        <f t="shared" si="3"/>
        <v>2015</v>
      </c>
      <c r="AR3" s="14">
        <f t="shared" si="3"/>
        <v>2015</v>
      </c>
      <c r="AS3" s="14">
        <f t="shared" si="3"/>
        <v>2015</v>
      </c>
      <c r="AT3" s="14">
        <f t="shared" si="3"/>
        <v>2015</v>
      </c>
      <c r="AU3" s="14">
        <f t="shared" si="3"/>
        <v>2015</v>
      </c>
      <c r="AV3" s="14">
        <f t="shared" si="3"/>
        <v>2015</v>
      </c>
      <c r="AW3" s="14">
        <f t="shared" si="3"/>
        <v>2015</v>
      </c>
      <c r="AX3" s="14">
        <f t="shared" si="3"/>
        <v>2015</v>
      </c>
      <c r="AY3" s="14">
        <f t="shared" si="3"/>
        <v>2015</v>
      </c>
      <c r="AZ3" s="14">
        <f t="shared" si="3"/>
        <v>2015</v>
      </c>
      <c r="BA3" s="15">
        <f t="shared" si="3"/>
        <v>2016</v>
      </c>
      <c r="BB3" s="15">
        <f t="shared" si="3"/>
        <v>2016</v>
      </c>
      <c r="BC3" s="15">
        <f t="shared" si="3"/>
        <v>2016</v>
      </c>
      <c r="BD3" s="15">
        <f t="shared" si="3"/>
        <v>2016</v>
      </c>
      <c r="BE3" s="15">
        <f t="shared" si="3"/>
        <v>2016</v>
      </c>
      <c r="BF3" s="15">
        <f t="shared" ref="BF3:BM3" si="4">YEAR(BF1)</f>
        <v>2016</v>
      </c>
      <c r="BG3" s="15">
        <f t="shared" si="4"/>
        <v>2016</v>
      </c>
      <c r="BH3" s="15">
        <f t="shared" si="4"/>
        <v>2016</v>
      </c>
      <c r="BI3" s="15">
        <f t="shared" si="4"/>
        <v>2016</v>
      </c>
      <c r="BJ3" s="15">
        <f t="shared" si="4"/>
        <v>2016</v>
      </c>
      <c r="BK3" s="15">
        <f t="shared" si="4"/>
        <v>2016</v>
      </c>
      <c r="BL3" s="15">
        <f t="shared" si="4"/>
        <v>2016</v>
      </c>
      <c r="BM3" s="14">
        <f t="shared" si="4"/>
        <v>2017</v>
      </c>
      <c r="BN3" s="14">
        <f t="shared" ref="BN3:BX3" si="5">YEAR(BN1)</f>
        <v>2017</v>
      </c>
      <c r="BO3" s="14">
        <f t="shared" si="5"/>
        <v>2017</v>
      </c>
      <c r="BP3" s="14">
        <f t="shared" si="5"/>
        <v>2017</v>
      </c>
      <c r="BQ3" s="14">
        <f t="shared" si="5"/>
        <v>2017</v>
      </c>
      <c r="BR3" s="14">
        <f t="shared" si="5"/>
        <v>2017</v>
      </c>
      <c r="BS3" s="14">
        <f t="shared" si="5"/>
        <v>2017</v>
      </c>
      <c r="BT3" s="14">
        <f t="shared" si="5"/>
        <v>2017</v>
      </c>
      <c r="BU3" s="14">
        <f t="shared" si="5"/>
        <v>2017</v>
      </c>
      <c r="BV3" s="14">
        <f t="shared" si="5"/>
        <v>2017</v>
      </c>
      <c r="BW3" s="14">
        <f t="shared" si="5"/>
        <v>2017</v>
      </c>
      <c r="BX3" s="14">
        <f t="shared" si="5"/>
        <v>2017</v>
      </c>
    </row>
    <row r="4" spans="1:77" s="2" customFormat="1" x14ac:dyDescent="0.35">
      <c r="C4" s="43"/>
      <c r="D4" s="228"/>
      <c r="E4" s="228" t="str">
        <f>'Gross Margin Actual'!D3</f>
        <v>Actual</v>
      </c>
      <c r="F4" s="228" t="str">
        <f>'Gross Margin Actual'!E3</f>
        <v>Actual</v>
      </c>
      <c r="G4" s="228" t="str">
        <f>'Gross Margin Actual'!F3</f>
        <v>Actual</v>
      </c>
      <c r="H4" s="228" t="str">
        <f>'Gross Margin Actual'!G3</f>
        <v>Actual</v>
      </c>
      <c r="I4" s="228" t="str">
        <f>'Gross Margin Actual'!H3</f>
        <v>Actual</v>
      </c>
      <c r="J4" s="228" t="str">
        <f>'Gross Margin Actual'!I3</f>
        <v>Actual</v>
      </c>
      <c r="K4" s="228" t="str">
        <f>'Gross Margin Actual'!J3</f>
        <v>Actual</v>
      </c>
      <c r="L4" s="228" t="str">
        <f>'Gross Margin Actual'!K3</f>
        <v>Actual</v>
      </c>
      <c r="M4" s="228" t="str">
        <f>'Gross Margin Actual'!L3</f>
        <v>Actual</v>
      </c>
      <c r="N4" s="228" t="str">
        <f>'Gross Margin Actual'!M3</f>
        <v>Actual</v>
      </c>
      <c r="O4" s="228" t="str">
        <f>'Gross Margin Actual'!N3</f>
        <v>Actual</v>
      </c>
      <c r="P4" s="584" t="str">
        <f>'Gross Margin Actual'!O3</f>
        <v>Actual</v>
      </c>
      <c r="Q4" s="228" t="str">
        <f>'Gross Margin Actual'!P3</f>
        <v>Actual</v>
      </c>
      <c r="R4" s="228" t="str">
        <f>'Gross Margin Actual'!Q3</f>
        <v>Actual</v>
      </c>
      <c r="S4" s="228" t="str">
        <f>'Gross Margin Actual'!R3</f>
        <v>Actual</v>
      </c>
      <c r="T4" s="228" t="str">
        <f>'Gross Margin Actual'!S3</f>
        <v>Actual</v>
      </c>
      <c r="U4" s="228" t="str">
        <f>'Gross Margin Actual'!T3</f>
        <v>Actual</v>
      </c>
      <c r="V4" s="228" t="str">
        <f>'Gross Margin Actual'!U3</f>
        <v>Actual</v>
      </c>
      <c r="W4" s="228" t="str">
        <f>'Gross Margin Actual'!V3</f>
        <v>Actual</v>
      </c>
      <c r="X4" s="228" t="str">
        <f>'Gross Margin Actual'!W3</f>
        <v>Actual</v>
      </c>
      <c r="Y4" s="228" t="str">
        <f>'Gross Margin Actual'!X3</f>
        <v>Actual</v>
      </c>
      <c r="Z4" s="228" t="str">
        <f>'Gross Margin Actual'!Y3</f>
        <v>Actual</v>
      </c>
      <c r="AA4" s="228" t="str">
        <f>'Gross Margin Actual'!Z3</f>
        <v>Actual</v>
      </c>
      <c r="AB4" s="228" t="str">
        <f>'Gross Margin Actual'!AA3</f>
        <v>Actual</v>
      </c>
      <c r="AC4" s="228" t="str">
        <f>'Gross Margin Actual'!AB3</f>
        <v>Forecast</v>
      </c>
      <c r="AD4" s="228" t="str">
        <f>'Gross Margin Actual'!AC3</f>
        <v>Forecast</v>
      </c>
      <c r="AE4" s="228" t="str">
        <f>'Gross Margin Actual'!AD3</f>
        <v>Forecast</v>
      </c>
      <c r="AF4" s="228" t="str">
        <f>'Gross Margin Actual'!AE3</f>
        <v>Forecast</v>
      </c>
      <c r="AG4" s="228" t="str">
        <f>'Gross Margin Actual'!AF3</f>
        <v>Forecast</v>
      </c>
      <c r="AH4" s="228" t="str">
        <f>'Gross Margin Actual'!AG3</f>
        <v>Forecast</v>
      </c>
      <c r="AI4" s="228" t="str">
        <f>'Gross Margin Actual'!AH3</f>
        <v>Forecast</v>
      </c>
      <c r="AJ4" s="228" t="str">
        <f>'Gross Margin Actual'!AI3</f>
        <v>Forecast</v>
      </c>
      <c r="AK4" s="228" t="str">
        <f>'Gross Margin Actual'!AJ3</f>
        <v>Forecast</v>
      </c>
      <c r="AL4" s="228" t="str">
        <f>'Gross Margin Actual'!AK3</f>
        <v>Forecast</v>
      </c>
      <c r="AM4" s="228" t="str">
        <f>'Gross Margin Actual'!AL3</f>
        <v>Forecast</v>
      </c>
      <c r="AN4" s="228" t="str">
        <f>'Gross Margin Actual'!AM3</f>
        <v>Forecast</v>
      </c>
      <c r="AO4" s="228" t="str">
        <f>'Gross Margin Actual'!AN3</f>
        <v>Forecast</v>
      </c>
      <c r="AP4" s="228" t="str">
        <f>'Gross Margin Actual'!AO3</f>
        <v>Forecast</v>
      </c>
      <c r="AQ4" s="228" t="str">
        <f>'Gross Margin Actual'!AP3</f>
        <v>Forecast</v>
      </c>
      <c r="AR4" s="228" t="str">
        <f>'Gross Margin Actual'!AQ3</f>
        <v>Forecast</v>
      </c>
      <c r="AS4" s="228" t="str">
        <f>'Gross Margin Actual'!AR3</f>
        <v>Forecast</v>
      </c>
      <c r="AT4" s="228" t="str">
        <f>'Gross Margin Actual'!AS3</f>
        <v>Forecast</v>
      </c>
      <c r="AU4" s="228" t="str">
        <f>'Gross Margin Actual'!AT3</f>
        <v>Forecast</v>
      </c>
      <c r="AV4" s="228" t="str">
        <f>'Gross Margin Actual'!AU3</f>
        <v>Forecast</v>
      </c>
      <c r="AW4" s="228" t="str">
        <f>'Gross Margin Actual'!AV3</f>
        <v>Forecast</v>
      </c>
      <c r="AX4" s="228" t="str">
        <f>'Gross Margin Actual'!AW3</f>
        <v>Forecast</v>
      </c>
      <c r="AY4" s="228" t="str">
        <f>'Gross Margin Actual'!AX3</f>
        <v>Forecast</v>
      </c>
      <c r="AZ4" s="228" t="str">
        <f>'Gross Margin Actual'!AY3</f>
        <v>Forecast</v>
      </c>
      <c r="BA4" s="228" t="str">
        <f>'Gross Margin Actual'!AZ3</f>
        <v>Forecast</v>
      </c>
      <c r="BB4" s="228" t="str">
        <f>'Gross Margin Actual'!BA3</f>
        <v>Forecast</v>
      </c>
      <c r="BC4" s="228" t="str">
        <f>'Gross Margin Actual'!BB3</f>
        <v>Forecast</v>
      </c>
      <c r="BD4" s="228" t="str">
        <f>'Gross Margin Actual'!BC3</f>
        <v>Forecast</v>
      </c>
      <c r="BE4" s="228" t="str">
        <f>'Gross Margin Actual'!BD3</f>
        <v>Forecast</v>
      </c>
      <c r="BF4" s="228" t="str">
        <f>'Gross Margin Actual'!BE3</f>
        <v>Forecast</v>
      </c>
      <c r="BG4" s="228" t="str">
        <f>'Gross Margin Actual'!BF3</f>
        <v>Forecast</v>
      </c>
      <c r="BH4" s="228" t="str">
        <f>'Gross Margin Actual'!BG3</f>
        <v>Forecast</v>
      </c>
      <c r="BI4" s="228" t="str">
        <f>'Gross Margin Actual'!BH3</f>
        <v>Forecast</v>
      </c>
      <c r="BJ4" s="228" t="str">
        <f>'Gross Margin Actual'!BI3</f>
        <v>Forecast</v>
      </c>
      <c r="BK4" s="228" t="str">
        <f>'Gross Margin Actual'!BJ3</f>
        <v>Forecast</v>
      </c>
      <c r="BL4" s="228" t="str">
        <f>'Gross Margin Actual'!BK3</f>
        <v>Forecast</v>
      </c>
      <c r="BM4" s="228" t="str">
        <f>'Gross Margin Actual'!BL3</f>
        <v>Forecast</v>
      </c>
      <c r="BN4" s="228" t="str">
        <f>'Gross Margin Actual'!BM3</f>
        <v>Forecast</v>
      </c>
      <c r="BO4" s="228" t="str">
        <f>'Gross Margin Actual'!BN3</f>
        <v>Forecast</v>
      </c>
      <c r="BP4" s="228" t="str">
        <f>'Gross Margin Actual'!BO3</f>
        <v>Forecast</v>
      </c>
      <c r="BQ4" s="228" t="str">
        <f>'Gross Margin Actual'!BP3</f>
        <v>Forecast</v>
      </c>
      <c r="BR4" s="228" t="str">
        <f>'Gross Margin Actual'!BQ3</f>
        <v>Forecast</v>
      </c>
      <c r="BS4" s="228" t="str">
        <f>'Gross Margin Actual'!BR3</f>
        <v>Forecast</v>
      </c>
      <c r="BT4" s="228" t="str">
        <f>'Gross Margin Actual'!BS3</f>
        <v>Forecast</v>
      </c>
      <c r="BU4" s="228" t="str">
        <f>'Gross Margin Actual'!BT3</f>
        <v>Forecast</v>
      </c>
      <c r="BV4" s="228" t="str">
        <f>'Gross Margin Actual'!BU3</f>
        <v>Forecast</v>
      </c>
      <c r="BW4" s="228" t="str">
        <f>'Gross Margin Actual'!BV3</f>
        <v>Forecast</v>
      </c>
      <c r="BX4" s="228">
        <f>'Gross Margin Actual'!BW3</f>
        <v>0</v>
      </c>
    </row>
    <row r="5" spans="1:77" s="134" customFormat="1" x14ac:dyDescent="0.35">
      <c r="B5" s="30"/>
      <c r="C5" s="41"/>
      <c r="D5" s="158"/>
      <c r="E5" s="158"/>
      <c r="G5" s="173"/>
      <c r="H5" s="158"/>
      <c r="I5" s="158"/>
      <c r="J5" s="158"/>
      <c r="BN5" s="574"/>
      <c r="BO5" s="574"/>
      <c r="BP5" s="574"/>
      <c r="BQ5" s="574"/>
      <c r="BR5" s="574"/>
      <c r="BS5" s="574"/>
      <c r="BT5" s="574"/>
      <c r="BU5" s="574"/>
      <c r="BV5" s="574"/>
      <c r="BW5" s="574"/>
      <c r="BX5" s="574"/>
    </row>
    <row r="6" spans="1:77" s="438" customFormat="1" x14ac:dyDescent="0.35">
      <c r="B6" s="30" t="s">
        <v>567</v>
      </c>
      <c r="C6" s="41"/>
      <c r="D6" s="158"/>
      <c r="E6" s="158"/>
      <c r="H6" s="158"/>
      <c r="I6" s="158"/>
      <c r="J6" s="158"/>
      <c r="BN6" s="574"/>
      <c r="BO6" s="574"/>
      <c r="BP6" s="574"/>
      <c r="BQ6" s="574"/>
      <c r="BR6" s="574"/>
      <c r="BS6" s="574"/>
      <c r="BT6" s="574"/>
      <c r="BU6" s="574"/>
      <c r="BV6" s="574"/>
      <c r="BW6" s="574"/>
      <c r="BX6" s="574"/>
    </row>
    <row r="7" spans="1:77" s="438" customFormat="1" x14ac:dyDescent="0.35">
      <c r="B7" s="30"/>
      <c r="C7" s="41"/>
      <c r="D7" s="158"/>
      <c r="E7" s="158"/>
      <c r="H7" s="158"/>
      <c r="I7" s="158"/>
      <c r="J7" s="158"/>
      <c r="BN7" s="574"/>
      <c r="BO7" s="574"/>
      <c r="BP7" s="574"/>
      <c r="BQ7" s="574"/>
      <c r="BR7" s="574"/>
      <c r="BS7" s="574"/>
      <c r="BT7" s="574"/>
      <c r="BU7" s="574"/>
      <c r="BV7" s="574"/>
      <c r="BW7" s="574"/>
      <c r="BX7" s="574"/>
    </row>
    <row r="8" spans="1:77" s="134" customFormat="1" x14ac:dyDescent="0.35">
      <c r="B8" s="30" t="s">
        <v>70</v>
      </c>
      <c r="C8" s="41"/>
      <c r="D8" s="438"/>
      <c r="G8" s="158"/>
      <c r="S8" s="574"/>
      <c r="T8" s="574"/>
      <c r="U8" s="574"/>
      <c r="BN8" s="574"/>
      <c r="BO8" s="574"/>
      <c r="BP8" s="574"/>
      <c r="BQ8" s="574"/>
      <c r="BR8" s="574"/>
      <c r="BS8" s="574"/>
      <c r="BT8" s="574"/>
      <c r="BU8" s="574"/>
      <c r="BV8" s="574"/>
      <c r="BW8" s="574"/>
      <c r="BX8" s="574"/>
    </row>
    <row r="9" spans="1:77" outlineLevel="1" x14ac:dyDescent="0.35">
      <c r="D9" s="167"/>
      <c r="E9" s="29"/>
      <c r="F9" s="29"/>
      <c r="G9" s="167"/>
      <c r="H9" s="29"/>
      <c r="I9" s="29"/>
      <c r="J9" s="29"/>
      <c r="K9" s="29"/>
      <c r="L9" s="29"/>
      <c r="M9" s="29"/>
      <c r="N9" s="29"/>
      <c r="O9" s="29"/>
      <c r="P9" s="29"/>
      <c r="Q9" s="233"/>
      <c r="R9" s="233"/>
      <c r="S9" s="233"/>
      <c r="T9" s="233"/>
      <c r="U9" s="233"/>
      <c r="V9" s="233"/>
      <c r="W9" s="233"/>
      <c r="X9" s="233"/>
      <c r="Y9" s="233"/>
      <c r="Z9" s="233"/>
      <c r="AA9" s="233"/>
      <c r="AB9" s="233"/>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row>
    <row r="10" spans="1:77" outlineLevel="2" x14ac:dyDescent="0.35">
      <c r="A10" s="16"/>
      <c r="B10" s="16"/>
      <c r="C10" s="30" t="s">
        <v>221</v>
      </c>
      <c r="D10" s="434"/>
      <c r="E10" s="434"/>
      <c r="F10" s="224"/>
      <c r="G10" s="224"/>
      <c r="H10" s="224"/>
      <c r="I10" s="224"/>
      <c r="J10" s="224"/>
      <c r="K10" s="224"/>
      <c r="L10" s="224"/>
      <c r="M10" s="224"/>
      <c r="N10" s="224"/>
      <c r="O10" s="224"/>
      <c r="P10" s="224"/>
      <c r="Q10" s="224"/>
      <c r="R10" s="224"/>
      <c r="S10" s="224"/>
      <c r="T10" s="224"/>
      <c r="U10" s="224"/>
      <c r="V10" s="224"/>
      <c r="W10" s="224"/>
      <c r="X10" s="224"/>
      <c r="Y10" s="224"/>
      <c r="Z10" s="224"/>
      <c r="AA10" s="224"/>
      <c r="AB10" s="224"/>
      <c r="AC10" s="224"/>
      <c r="AD10" s="224"/>
      <c r="AE10" s="224"/>
      <c r="AF10" s="224"/>
      <c r="AG10" s="224"/>
      <c r="AH10" s="224"/>
      <c r="AI10" s="224"/>
      <c r="AJ10" s="224"/>
      <c r="AK10" s="224"/>
      <c r="AL10" s="224"/>
      <c r="AM10" s="224"/>
      <c r="AN10" s="224"/>
      <c r="AO10" s="224"/>
      <c r="AP10" s="224"/>
      <c r="AQ10" s="224"/>
      <c r="AR10" s="224"/>
      <c r="AS10" s="224"/>
      <c r="AT10" s="224"/>
      <c r="AU10" s="224"/>
      <c r="AV10" s="224"/>
      <c r="AW10" s="224"/>
      <c r="AX10" s="224"/>
      <c r="AY10" s="224"/>
      <c r="AZ10" s="224"/>
      <c r="BA10" s="224"/>
      <c r="BB10" s="224"/>
      <c r="BC10" s="224"/>
      <c r="BD10" s="224"/>
      <c r="BE10" s="224"/>
      <c r="BF10" s="224"/>
      <c r="BG10" s="224"/>
      <c r="BH10" s="224"/>
      <c r="BI10" s="224"/>
      <c r="BJ10" s="224"/>
      <c r="BK10" s="224"/>
      <c r="BL10" s="224"/>
      <c r="BM10" s="224"/>
      <c r="BN10" s="224"/>
      <c r="BO10" s="224"/>
      <c r="BP10" s="224"/>
      <c r="BQ10" s="224"/>
      <c r="BR10" s="224"/>
      <c r="BS10" s="224"/>
      <c r="BT10" s="224"/>
      <c r="BU10" s="224"/>
      <c r="BV10" s="224"/>
      <c r="BW10" s="224"/>
      <c r="BX10" s="224"/>
    </row>
    <row r="11" spans="1:77" outlineLevel="2" x14ac:dyDescent="0.35">
      <c r="A11" s="16"/>
      <c r="B11" s="2"/>
      <c r="C11" s="1171" t="s">
        <v>223</v>
      </c>
      <c r="D11" s="155"/>
      <c r="E11" s="155">
        <f>IF(E4="forecast",'SMS Sub'!B66,'Gross Margin Actual'!D7)</f>
        <v>0</v>
      </c>
      <c r="F11" s="577">
        <f>IF(F4="forecast",'SMS Sub'!C66,'Gross Margin Actual'!E7)</f>
        <v>0</v>
      </c>
      <c r="G11" s="577">
        <f>IF(G4="forecast",'SMS Sub'!D66,'Gross Margin Actual'!F7)</f>
        <v>0</v>
      </c>
      <c r="H11" s="577">
        <f>IF(H4="forecast",'SMS Sub'!E66,'Gross Margin Actual'!G7)</f>
        <v>0</v>
      </c>
      <c r="I11" s="577">
        <f>IF(I4="forecast",'SMS Sub'!F66,'Gross Margin Actual'!H7)</f>
        <v>0</v>
      </c>
      <c r="J11" s="577">
        <f>IF(J4="forecast",'SMS Sub'!G66,'Gross Margin Actual'!I7)</f>
        <v>0</v>
      </c>
      <c r="K11" s="577">
        <f>IF(K4="forecast",'SMS Sub'!H66,'Gross Margin Actual'!J7)</f>
        <v>0</v>
      </c>
      <c r="L11" s="577">
        <f>IF(L4="forecast",'SMS Sub'!I66,'Gross Margin Actual'!K7)</f>
        <v>0</v>
      </c>
      <c r="M11" s="577">
        <f>IF(M4="forecast",'SMS Sub'!J66,'Gross Margin Actual'!L7)</f>
        <v>0</v>
      </c>
      <c r="N11" s="577">
        <f>IF(N4="forecast",'SMS Sub'!K66,'Gross Margin Actual'!M7)</f>
        <v>0</v>
      </c>
      <c r="O11" s="577">
        <f>IF(O4="forecast",'SMS Sub'!L66,'Gross Margin Actual'!N7)</f>
        <v>0</v>
      </c>
      <c r="P11" s="577">
        <f>IF(P4="forecast",'SMS Sub'!M66,'Gross Margin Actual'!O7)</f>
        <v>0</v>
      </c>
      <c r="Q11" s="577">
        <f>IF(Q4="forecast",'SMS Sub'!N66,'Gross Margin Actual'!P7)</f>
        <v>68568.25</v>
      </c>
      <c r="R11" s="577">
        <f>IF(R4="forecast",'SMS Sub'!O66,'Gross Margin Actual'!Q7)</f>
        <v>81802.92</v>
      </c>
      <c r="S11" s="577">
        <f>IF(S4="forecast",'SMS Sub'!P66,'Gross Margin Actual'!R7)</f>
        <v>90480.9</v>
      </c>
      <c r="T11" s="577">
        <f>IF(T4="forecast",'SMS Sub'!Q66,'Gross Margin Actual'!S7)</f>
        <v>97542.61</v>
      </c>
      <c r="U11" s="577">
        <f>IF(U4="forecast",'SMS Sub'!R66,'Gross Margin Actual'!T7)</f>
        <v>112808.73</v>
      </c>
      <c r="V11" s="577">
        <f>IF(V4="forecast",'SMS Sub'!S66,'Gross Margin Actual'!U7)</f>
        <v>114358.57</v>
      </c>
      <c r="W11" s="577">
        <f>IF(W4="forecast",'SMS Sub'!T66,'Gross Margin Actual'!V7)</f>
        <v>133498.74</v>
      </c>
      <c r="X11" s="577">
        <f>IF(X4="forecast",'SMS Sub'!U66,'Gross Margin Actual'!W7)</f>
        <v>118553.86</v>
      </c>
      <c r="Y11" s="577">
        <f>IF(Y4="forecast",'SMS Sub'!V66,'Gross Margin Actual'!X7)</f>
        <v>120864.5</v>
      </c>
      <c r="Z11" s="577">
        <f>IF(Z4="forecast",'SMS Sub'!W66,'Gross Margin Actual'!Y7)</f>
        <v>135994.17000000001</v>
      </c>
      <c r="AA11" s="577">
        <f>IF(AA4="forecast",'SMS Sub'!X66,'Gross Margin Actual'!Z7)</f>
        <v>145638.19</v>
      </c>
      <c r="AB11" s="577">
        <f>IF(AB4="forecast",'SMS Sub'!Y66,'Gross Margin Actual'!AA7)</f>
        <v>506348.82</v>
      </c>
      <c r="AC11" s="577">
        <f>IF(AC4="forecast",'SMS Sub'!Z66,'Gross Margin Actual'!AB7)</f>
        <v>269001.81</v>
      </c>
      <c r="AD11" s="577">
        <f>IF(AD4="forecast",'SMS Sub'!AA66,'Gross Margin Actual'!AC7)</f>
        <v>292036.08032602089</v>
      </c>
      <c r="AE11" s="577">
        <f>IF(AE4="forecast",'SMS Sub'!AB66,'Gross Margin Actual'!AD7)</f>
        <v>290562.37172602094</v>
      </c>
      <c r="AF11" s="577">
        <f>IF(AF4="forecast",'SMS Sub'!AC66,'Gross Margin Actual'!AE7)</f>
        <v>324914.00732602092</v>
      </c>
      <c r="AG11" s="577">
        <f>IF(AG4="forecast",'SMS Sub'!AD66,'Gross Margin Actual'!AF7)</f>
        <v>352453.15412602091</v>
      </c>
      <c r="AH11" s="577">
        <f>IF(AH4="forecast",'SMS Sub'!AE66,'Gross Margin Actual'!AG7)</f>
        <v>377686.2741260209</v>
      </c>
      <c r="AI11" s="577">
        <f>IF(AI4="forecast",'SMS Sub'!AF66,'Gross Margin Actual'!AH7)</f>
        <v>400396.08212602092</v>
      </c>
      <c r="AJ11" s="577">
        <f>IF(AJ4="forecast",'SMS Sub'!AG66,'Gross Margin Actual'!AI7)</f>
        <v>420582.5781260209</v>
      </c>
      <c r="AK11" s="577">
        <f>IF(AK4="forecast",'SMS Sub'!AH66,'Gross Margin Actual'!AJ7)</f>
        <v>440769.07412602089</v>
      </c>
      <c r="AL11" s="577">
        <f>IF(AL4="forecast",'SMS Sub'!AI66,'Gross Margin Actual'!AK7)</f>
        <v>470575.69712602091</v>
      </c>
      <c r="AM11" s="577">
        <f>IF(AM4="forecast",'SMS Sub'!AJ66,'Gross Margin Actual'!AL7)</f>
        <v>500382.32012602093</v>
      </c>
      <c r="AN11" s="577">
        <f>IF(AN4="forecast",'SMS Sub'!AK66,'Gross Margin Actual'!AM7)</f>
        <v>530188.94312602095</v>
      </c>
      <c r="AO11" s="577">
        <f>IF(AO4="forecast",'SMS Sub'!AL66,'Gross Margin Actual'!AN7)</f>
        <v>559995.56612602097</v>
      </c>
      <c r="AP11" s="577">
        <f>IF(AP4="forecast",'SMS Sub'!AM66,'Gross Margin Actual'!AO7)</f>
        <v>589802.18912602088</v>
      </c>
      <c r="AQ11" s="577">
        <f>IF(AQ4="forecast",'SMS Sub'!AN66,'Gross Margin Actual'!AP7)</f>
        <v>619608.8121260209</v>
      </c>
      <c r="AR11" s="577">
        <f>IF(AR4="forecast",'SMS Sub'!AO66,'Gross Margin Actual'!AQ7)</f>
        <v>649415.43512602081</v>
      </c>
      <c r="AS11" s="577">
        <f>IF(AS4="forecast",'SMS Sub'!AP66,'Gross Margin Actual'!AR7)</f>
        <v>679222.05812602083</v>
      </c>
      <c r="AT11" s="577">
        <f>IF(AT4="forecast",'SMS Sub'!AQ66,'Gross Margin Actual'!AS7)</f>
        <v>709028.68112602085</v>
      </c>
      <c r="AU11" s="577">
        <f>IF(AU4="forecast",'SMS Sub'!AR66,'Gross Margin Actual'!AT7)</f>
        <v>738835.30412602075</v>
      </c>
      <c r="AV11" s="577">
        <f>IF(AV4="forecast",'SMS Sub'!AS66,'Gross Margin Actual'!AU7)</f>
        <v>768641.92712602078</v>
      </c>
      <c r="AW11" s="577">
        <f>IF(AW4="forecast",'SMS Sub'!AT66,'Gross Margin Actual'!AV7)</f>
        <v>798448.55012602068</v>
      </c>
      <c r="AX11" s="577">
        <f>IF(AX4="forecast",'SMS Sub'!AU66,'Gross Margin Actual'!AW7)</f>
        <v>828255.1731260207</v>
      </c>
      <c r="AY11" s="577">
        <f>IF(AY4="forecast",'SMS Sub'!AV66,'Gross Margin Actual'!AX7)</f>
        <v>858061.79612602072</v>
      </c>
      <c r="AZ11" s="577">
        <f>IF(AZ4="forecast",'SMS Sub'!AW66,'Gross Margin Actual'!AY7)</f>
        <v>887868.41912602074</v>
      </c>
      <c r="BA11" s="577">
        <f>IF(BA4="forecast",'SMS Sub'!AX66,'Gross Margin Actual'!AZ7)</f>
        <v>0</v>
      </c>
      <c r="BB11" s="577">
        <f>IF(BB4="forecast",'SMS Sub'!AY66,'Gross Margin Actual'!BA7)</f>
        <v>0</v>
      </c>
      <c r="BC11" s="577">
        <f>IF(BC4="forecast",'SMS Sub'!AZ66,'Gross Margin Actual'!BB7)</f>
        <v>0</v>
      </c>
      <c r="BD11" s="577">
        <f>IF(BD4="forecast",'SMS Sub'!BA66,'Gross Margin Actual'!BC7)</f>
        <v>0</v>
      </c>
      <c r="BE11" s="577">
        <f>IF(BE4="forecast",'SMS Sub'!BB66,'Gross Margin Actual'!BD7)</f>
        <v>0</v>
      </c>
      <c r="BF11" s="577">
        <f>IF(BF4="forecast",'SMS Sub'!BC66,'Gross Margin Actual'!BE7)</f>
        <v>0</v>
      </c>
      <c r="BG11" s="577">
        <f>IF(BG4="forecast",'SMS Sub'!BD66,'Gross Margin Actual'!BF7)</f>
        <v>0</v>
      </c>
      <c r="BH11" s="577">
        <f>IF(BH4="forecast",'SMS Sub'!BE66,'Gross Margin Actual'!BG7)</f>
        <v>0</v>
      </c>
      <c r="BI11" s="577">
        <f>IF(BI4="forecast",'SMS Sub'!BF66,'Gross Margin Actual'!BH7)</f>
        <v>0</v>
      </c>
      <c r="BJ11" s="577">
        <f>IF(BJ4="forecast",'SMS Sub'!BG66,'Gross Margin Actual'!BI7)</f>
        <v>0</v>
      </c>
      <c r="BK11" s="577">
        <f>IF(BK4="forecast",'SMS Sub'!BH66,'Gross Margin Actual'!BJ7)</f>
        <v>0</v>
      </c>
      <c r="BL11" s="577">
        <f>IF(BL4="forecast",'SMS Sub'!BI66,'Gross Margin Actual'!BK7)</f>
        <v>0</v>
      </c>
      <c r="BM11" s="577">
        <f>IF(BM4="forecast",'SMS Sub'!BJ66,'Gross Margin Actual'!BL7)</f>
        <v>0</v>
      </c>
      <c r="BN11" s="577">
        <f>IF(BN4="forecast",'SMS Sub'!BK66,'Gross Margin Actual'!BM7)</f>
        <v>0</v>
      </c>
      <c r="BO11" s="577">
        <f>IF(BO4="forecast",'SMS Sub'!BL66,'Gross Margin Actual'!BN7)</f>
        <v>0</v>
      </c>
      <c r="BP11" s="577">
        <f>IF(BP4="forecast",'SMS Sub'!BM66,'Gross Margin Actual'!BO7)</f>
        <v>0</v>
      </c>
      <c r="BQ11" s="577">
        <f>IF(BQ4="forecast",'SMS Sub'!BN66,'Gross Margin Actual'!BP7)</f>
        <v>0</v>
      </c>
      <c r="BR11" s="577">
        <f>IF(BR4="forecast",'SMS Sub'!BO66,'Gross Margin Actual'!BQ7)</f>
        <v>0</v>
      </c>
      <c r="BS11" s="577">
        <f>IF(BS4="forecast",'SMS Sub'!BP66,'Gross Margin Actual'!BR7)</f>
        <v>0</v>
      </c>
      <c r="BT11" s="577">
        <f>IF(BT4="forecast",'SMS Sub'!BQ66,'Gross Margin Actual'!BS7)</f>
        <v>0</v>
      </c>
      <c r="BU11" s="577">
        <f>IF(BU4="forecast",'SMS Sub'!BR66,'Gross Margin Actual'!BT7)</f>
        <v>0</v>
      </c>
      <c r="BV11" s="577">
        <f>IF(BV4="forecast",'SMS Sub'!BS66,'Gross Margin Actual'!BU7)</f>
        <v>0</v>
      </c>
      <c r="BW11" s="577">
        <f>IF(BW4="forecast",'SMS Sub'!BT66,'Gross Margin Actual'!BV7)</f>
        <v>0</v>
      </c>
      <c r="BX11" s="577">
        <f>IF(BX4="forecast",'SMS Sub'!BU66,'Gross Margin Actual'!BW7)</f>
        <v>0</v>
      </c>
    </row>
    <row r="12" spans="1:77" s="305" customFormat="1" outlineLevel="2" x14ac:dyDescent="0.35">
      <c r="B12" s="224"/>
      <c r="C12" s="1171" t="s">
        <v>1169</v>
      </c>
      <c r="D12" s="155"/>
      <c r="E12" s="155">
        <f>IF(E4="forecast",'SMS Revenue'!B66+'Voice Revenue'!B65,'Gross Margin Actual'!D18)</f>
        <v>0</v>
      </c>
      <c r="F12" s="577">
        <f>IF(F4="forecast",'SMS Revenue'!C66+'Voice Revenue'!C65,'Gross Margin Actual'!E18)</f>
        <v>0</v>
      </c>
      <c r="G12" s="577">
        <f>IF(G4="forecast",'SMS Revenue'!D66+'Voice Revenue'!D65,'Gross Margin Actual'!F18)</f>
        <v>0</v>
      </c>
      <c r="H12" s="577">
        <f>IF(H4="forecast",'SMS Revenue'!E66+'Voice Revenue'!E65,'Gross Margin Actual'!G18)</f>
        <v>0</v>
      </c>
      <c r="I12" s="577">
        <f>IF(I4="forecast",'SMS Revenue'!F66+'Voice Revenue'!F65,'Gross Margin Actual'!H18)</f>
        <v>0</v>
      </c>
      <c r="J12" s="577">
        <f>IF(J4="forecast",'SMS Revenue'!G66+'Voice Revenue'!G65,'Gross Margin Actual'!I18)</f>
        <v>0</v>
      </c>
      <c r="K12" s="577">
        <f>IF(K4="forecast",'SMS Revenue'!H66+'Voice Revenue'!H65,'Gross Margin Actual'!J18)</f>
        <v>0</v>
      </c>
      <c r="L12" s="577">
        <f>IF(L4="forecast",'SMS Revenue'!I66+'Voice Revenue'!I65,'Gross Margin Actual'!K18)</f>
        <v>0</v>
      </c>
      <c r="M12" s="577">
        <f>IF(M4="forecast",'SMS Revenue'!J66+'Voice Revenue'!J65,'Gross Margin Actual'!L18)</f>
        <v>0</v>
      </c>
      <c r="N12" s="577">
        <f>IF(N4="forecast",'SMS Revenue'!K66+'Voice Revenue'!K65,'Gross Margin Actual'!M18)</f>
        <v>0</v>
      </c>
      <c r="O12" s="577">
        <f>IF(O4="forecast",'SMS Revenue'!L66+'Voice Revenue'!L65,'Gross Margin Actual'!N18)</f>
        <v>0</v>
      </c>
      <c r="P12" s="577">
        <f>IF(P4="forecast",'SMS Revenue'!M66+'Voice Revenue'!M65,'Gross Margin Actual'!O18)</f>
        <v>0</v>
      </c>
      <c r="Q12" s="577">
        <f>IF(Q4="forecast",'SMS Revenue'!N66+'Voice Revenue'!N65,'Gross Margin Actual'!P18)</f>
        <v>1019534.02</v>
      </c>
      <c r="R12" s="577">
        <f>IF(R4="forecast",'SMS Revenue'!O66+'Voice Revenue'!O65,'Gross Margin Actual'!Q18)</f>
        <v>1241014.96</v>
      </c>
      <c r="S12" s="577">
        <f>IF(S4="forecast",'SMS Revenue'!P66+'Voice Revenue'!P65,'Gross Margin Actual'!R18)</f>
        <v>1362313.49</v>
      </c>
      <c r="T12" s="577">
        <f>IF(T4="forecast",'SMS Revenue'!Q66+'Voice Revenue'!Q65,'Gross Margin Actual'!S18)</f>
        <v>1392493.31</v>
      </c>
      <c r="U12" s="577">
        <f>IF(U4="forecast",'SMS Revenue'!R66+'Voice Revenue'!R65,'Gross Margin Actual'!T18)</f>
        <v>1348735.31</v>
      </c>
      <c r="V12" s="577">
        <f>IF(V4="forecast",'SMS Revenue'!S66+'Voice Revenue'!S65,'Gross Margin Actual'!U18)</f>
        <v>1146631.24</v>
      </c>
      <c r="W12" s="577">
        <f>IF(W4="forecast",'SMS Revenue'!T66+'Voice Revenue'!T65,'Gross Margin Actual'!V18)</f>
        <v>1178908.0900000001</v>
      </c>
      <c r="X12" s="577">
        <f>IF(X4="forecast",'SMS Revenue'!U66+'Voice Revenue'!U65,'Gross Margin Actual'!W18)</f>
        <v>1194857.31</v>
      </c>
      <c r="Y12" s="577">
        <f>IF(Y4="forecast",'SMS Revenue'!V66+'Voice Revenue'!V65,'Gross Margin Actual'!X18)</f>
        <v>1346716.8</v>
      </c>
      <c r="Z12" s="577">
        <f>IF(Z4="forecast",'SMS Revenue'!W66+'Voice Revenue'!W65,'Gross Margin Actual'!Y18)</f>
        <v>1545437.35</v>
      </c>
      <c r="AA12" s="577">
        <f>IF(AA4="forecast",'SMS Revenue'!X66+'Voice Revenue'!X65,'Gross Margin Actual'!Z18)</f>
        <v>1239368.58</v>
      </c>
      <c r="AB12" s="577">
        <f>IF(AB4="forecast",'SMS Revenue'!Y66+'Voice Revenue'!Y65,'Gross Margin Actual'!AA18)</f>
        <v>1084636.5699999998</v>
      </c>
      <c r="AC12" s="577">
        <f>IF(AC4="forecast",'SMS Revenue'!Z66+'Voice Revenue'!Z65,'Gross Margin Actual'!AB18)</f>
        <v>1179676.2128209583</v>
      </c>
      <c r="AD12" s="577">
        <f>IF(AD4="forecast",'SMS Revenue'!AA66+'Voice Revenue'!AA65,'Gross Margin Actual'!AC18)</f>
        <v>1251019.0823125413</v>
      </c>
      <c r="AE12" s="577">
        <f>IF(AE4="forecast",'SMS Revenue'!AB66+'Voice Revenue'!AB65,'Gross Margin Actual'!AD18)</f>
        <v>1285800.4010545062</v>
      </c>
      <c r="AF12" s="577">
        <f>IF(AF4="forecast",'SMS Revenue'!AC66+'Voice Revenue'!AC65,'Gross Margin Actual'!AE18)</f>
        <v>1387267.2477374328</v>
      </c>
      <c r="AG12" s="577">
        <f>IF(AG4="forecast",'SMS Revenue'!AD66+'Voice Revenue'!AD65,'Gross Margin Actual'!AF18)</f>
        <v>1496180.8101884001</v>
      </c>
      <c r="AH12" s="577">
        <f>IF(AH4="forecast",'SMS Revenue'!AE66+'Voice Revenue'!AE65,'Gross Margin Actual'!AG18)</f>
        <v>1598584.675532009</v>
      </c>
      <c r="AI12" s="577">
        <f>IF(AI4="forecast",'SMS Revenue'!AF66+'Voice Revenue'!AF65,'Gross Margin Actual'!AH18)</f>
        <v>1540669.5168862771</v>
      </c>
      <c r="AJ12" s="577">
        <f>IF(AJ4="forecast",'SMS Revenue'!AG66+'Voice Revenue'!AG65,'Gross Margin Actual'!AI18)</f>
        <v>1609453.7330726595</v>
      </c>
      <c r="AK12" s="577">
        <f>IF(AK4="forecast",'SMS Revenue'!AH66+'Voice Revenue'!AH65,'Gross Margin Actual'!AJ18)</f>
        <v>1940252.5683248665</v>
      </c>
      <c r="AL12" s="577">
        <f>IF(AL4="forecast",'SMS Revenue'!AI66+'Voice Revenue'!AI65,'Gross Margin Actual'!AK18)</f>
        <v>2051725.1412955648</v>
      </c>
      <c r="AM12" s="577">
        <f>IF(AM4="forecast",'SMS Revenue'!AJ66+'Voice Revenue'!AJ65,'Gross Margin Actual'!AL18)</f>
        <v>1938154.5943503291</v>
      </c>
      <c r="AN12" s="577">
        <f>IF(AN4="forecast",'SMS Revenue'!AK66+'Voice Revenue'!AK65,'Gross Margin Actual'!AM18)</f>
        <v>1915728.5858324552</v>
      </c>
      <c r="AO12" s="577">
        <f>IF(AO4="forecast",'SMS Revenue'!AL66+'Voice Revenue'!AL65,'Gross Margin Actual'!AN18)</f>
        <v>2256614.2885399871</v>
      </c>
      <c r="AP12" s="577">
        <f>IF(AP4="forecast",'SMS Revenue'!AM66+'Voice Revenue'!AM65,'Gross Margin Actual'!AO18)</f>
        <v>2369381.5267481292</v>
      </c>
      <c r="AQ12" s="577">
        <f>IF(AQ4="forecast",'SMS Revenue'!AN66+'Voice Revenue'!AN65,'Gross Margin Actual'!AP18)</f>
        <v>2488261.0357307177</v>
      </c>
      <c r="AR12" s="577">
        <f>IF(AR4="forecast",'SMS Revenue'!AO66+'Voice Revenue'!AO65,'Gross Margin Actual'!AQ18)</f>
        <v>2600943.3426284697</v>
      </c>
      <c r="AS12" s="577">
        <f>IF(AS4="forecast",'SMS Revenue'!AP66+'Voice Revenue'!AP65,'Gross Margin Actual'!AR18)</f>
        <v>2707970.9879477737</v>
      </c>
      <c r="AT12" s="577">
        <f>IF(AT4="forecast",'SMS Revenue'!AQ66+'Voice Revenue'!AQ65,'Gross Margin Actual'!AS18)</f>
        <v>2813514.9947316991</v>
      </c>
      <c r="AU12" s="577">
        <f>IF(AU4="forecast",'SMS Revenue'!AR66+'Voice Revenue'!AR65,'Gross Margin Actual'!AT18)</f>
        <v>2919126.4966179454</v>
      </c>
      <c r="AV12" s="577">
        <f>IF(AV4="forecast",'SMS Revenue'!AS66+'Voice Revenue'!AS65,'Gross Margin Actual'!AU18)</f>
        <v>3026510.872228737</v>
      </c>
      <c r="AW12" s="577">
        <f>IF(AW4="forecast",'SMS Revenue'!AT66+'Voice Revenue'!AT65,'Gross Margin Actual'!AV18)</f>
        <v>3135464.1472262274</v>
      </c>
      <c r="AX12" s="577">
        <f>IF(AX4="forecast",'SMS Revenue'!AU66+'Voice Revenue'!AU65,'Gross Margin Actual'!AW18)</f>
        <v>3241340.6242262274</v>
      </c>
      <c r="AY12" s="577">
        <f>IF(AY4="forecast",'SMS Revenue'!AV66+'Voice Revenue'!AV65,'Gross Margin Actual'!AX18)</f>
        <v>3347217.1012262274</v>
      </c>
      <c r="AZ12" s="577">
        <f>IF(AZ4="forecast",'SMS Revenue'!AW66+'Voice Revenue'!AW65,'Gross Margin Actual'!AY18)</f>
        <v>3453093.5782262268</v>
      </c>
      <c r="BA12" s="577">
        <f>IF(BA4="forecast",'SMS Revenue'!AX66+'Voice Revenue'!AX65,'Gross Margin Actual'!AZ18)</f>
        <v>0</v>
      </c>
      <c r="BB12" s="577">
        <f>IF(BB4="forecast",'SMS Revenue'!AY66+'Voice Revenue'!AY65,'Gross Margin Actual'!BA18)</f>
        <v>0</v>
      </c>
      <c r="BC12" s="577">
        <f>IF(BC4="forecast",'SMS Revenue'!AZ66+'Voice Revenue'!AZ65,'Gross Margin Actual'!BB18)</f>
        <v>0</v>
      </c>
      <c r="BD12" s="577">
        <f>IF(BD4="forecast",'SMS Revenue'!BA66+'Voice Revenue'!BA65,'Gross Margin Actual'!BC18)</f>
        <v>0</v>
      </c>
      <c r="BE12" s="577">
        <f>IF(BE4="forecast",'SMS Revenue'!BB66+'Voice Revenue'!BB65,'Gross Margin Actual'!BD18)</f>
        <v>0</v>
      </c>
      <c r="BF12" s="577">
        <f>IF(BF4="forecast",'SMS Revenue'!BC66+'Voice Revenue'!BC65,'Gross Margin Actual'!BE18)</f>
        <v>0</v>
      </c>
      <c r="BG12" s="577">
        <f>IF(BG4="forecast",'SMS Revenue'!BD66+'Voice Revenue'!BD65,'Gross Margin Actual'!BF18)</f>
        <v>0</v>
      </c>
      <c r="BH12" s="577">
        <f>IF(BH4="forecast",'SMS Revenue'!BE66+'Voice Revenue'!BE65,'Gross Margin Actual'!BG18)</f>
        <v>0</v>
      </c>
      <c r="BI12" s="577">
        <f>IF(BI4="forecast",'SMS Revenue'!BF66+'Voice Revenue'!BF65,'Gross Margin Actual'!BH18)</f>
        <v>0</v>
      </c>
      <c r="BJ12" s="577">
        <f>IF(BJ4="forecast",'SMS Revenue'!BG66+'Voice Revenue'!BG65,'Gross Margin Actual'!BI18)</f>
        <v>0</v>
      </c>
      <c r="BK12" s="577">
        <f>IF(BK4="forecast",'SMS Revenue'!BH66+'Voice Revenue'!BH65,'Gross Margin Actual'!BJ18)</f>
        <v>0</v>
      </c>
      <c r="BL12" s="577">
        <f>IF(BL4="forecast",'SMS Revenue'!BI66+'Voice Revenue'!BI65,'Gross Margin Actual'!BK18)</f>
        <v>0</v>
      </c>
      <c r="BM12" s="577">
        <f>IF(BM4="forecast",'SMS Revenue'!BJ66+'Voice Revenue'!BJ65,'Gross Margin Actual'!BL18)</f>
        <v>0</v>
      </c>
      <c r="BN12" s="577">
        <f>IF(BN4="forecast",'SMS Revenue'!BK66+'Voice Revenue'!BK65,'Gross Margin Actual'!BM18)</f>
        <v>0</v>
      </c>
      <c r="BO12" s="577">
        <f>IF(BO4="forecast",'SMS Revenue'!BL66+'Voice Revenue'!BL65,'Gross Margin Actual'!BN18)</f>
        <v>0</v>
      </c>
      <c r="BP12" s="577">
        <f>IF(BP4="forecast",'SMS Revenue'!BM66+'Voice Revenue'!BM65,'Gross Margin Actual'!BO18)</f>
        <v>0</v>
      </c>
      <c r="BQ12" s="577">
        <f>IF(BQ4="forecast",'SMS Revenue'!BN66+'Voice Revenue'!BN65,'Gross Margin Actual'!BP18)</f>
        <v>0</v>
      </c>
      <c r="BR12" s="577">
        <f>IF(BR4="forecast",'SMS Revenue'!BO66+'Voice Revenue'!BO65,'Gross Margin Actual'!BQ18)</f>
        <v>0</v>
      </c>
      <c r="BS12" s="577">
        <f>IF(BS4="forecast",'SMS Revenue'!BP66+'Voice Revenue'!BP65,'Gross Margin Actual'!BR18)</f>
        <v>0</v>
      </c>
      <c r="BT12" s="577">
        <f>IF(BT4="forecast",'SMS Revenue'!BQ66+'Voice Revenue'!BQ65,'Gross Margin Actual'!BS18)</f>
        <v>0</v>
      </c>
      <c r="BU12" s="577">
        <f>IF(BU4="forecast",'SMS Revenue'!BR66+'Voice Revenue'!BR65,'Gross Margin Actual'!BT18)</f>
        <v>0</v>
      </c>
      <c r="BV12" s="577">
        <f>IF(BV4="forecast",'SMS Revenue'!BS66+'Voice Revenue'!BS65,'Gross Margin Actual'!BU18)</f>
        <v>0</v>
      </c>
      <c r="BW12" s="577">
        <f>IF(BW4="forecast",'SMS Revenue'!BT66+'Voice Revenue'!BT65,'Gross Margin Actual'!BV18)</f>
        <v>0</v>
      </c>
      <c r="BX12" s="577">
        <f>IF(BX4="forecast",'SMS Revenue'!BU66+'Voice Revenue'!BU65,'Gross Margin Actual'!BW18)</f>
        <v>0</v>
      </c>
    </row>
    <row r="13" spans="1:77" outlineLevel="2" x14ac:dyDescent="0.35">
      <c r="A13" s="16"/>
      <c r="B13" s="2"/>
      <c r="C13" s="1171" t="s">
        <v>1172</v>
      </c>
      <c r="D13" s="38"/>
      <c r="E13" s="577">
        <f>IF(E5="forecast",0,'Gross Margin Actual'!D21)</f>
        <v>595548.63982311776</v>
      </c>
      <c r="F13" s="577">
        <f>IF(F5="forecast",0,'Gross Margin Actual'!E21)</f>
        <v>580440.09466499661</v>
      </c>
      <c r="G13" s="577">
        <f>IF(G5="forecast",0,'Gross Margin Actual'!F21)</f>
        <v>671595.83191365201</v>
      </c>
      <c r="H13" s="577">
        <f>IF(H5="forecast",0,'Gross Margin Actual'!G21)</f>
        <v>660069.11362604168</v>
      </c>
      <c r="I13" s="577">
        <f>IF(I5="forecast",0,'Gross Margin Actual'!H21)</f>
        <v>740347.44057044201</v>
      </c>
      <c r="J13" s="577">
        <f>IF(J5="forecast",0,'Gross Margin Actual'!I21)</f>
        <v>669721.04084395675</v>
      </c>
      <c r="K13" s="577">
        <f>IF(K5="forecast",0,'Gross Margin Actual'!J21)</f>
        <v>657184.24009060545</v>
      </c>
      <c r="L13" s="577">
        <f>IF(L5="forecast",0,'Gross Margin Actual'!K21)</f>
        <v>678064.25643054035</v>
      </c>
      <c r="M13" s="577">
        <f>IF(M5="forecast",0,'Gross Margin Actual'!L21)</f>
        <v>608564.75511571288</v>
      </c>
      <c r="N13" s="577">
        <f>IF(N5="forecast",0,'Gross Margin Actual'!M21)</f>
        <v>952364.663915299</v>
      </c>
      <c r="O13" s="577">
        <f>IF(O5="forecast",0,'Gross Margin Actual'!N21)</f>
        <v>1014359.5598609357</v>
      </c>
      <c r="P13" s="577">
        <f>IF(P5="forecast",0,'Gross Margin Actual'!O21)</f>
        <v>528197.921392838</v>
      </c>
      <c r="Q13" s="577">
        <f>IF(Q5="forecast",0,'Gross Margin Actual'!P21)</f>
        <v>0</v>
      </c>
      <c r="R13" s="577">
        <f>IF(R5="forecast",0,'Gross Margin Actual'!Q21)</f>
        <v>0</v>
      </c>
      <c r="S13" s="577">
        <f>IF(S5="forecast",0,'Gross Margin Actual'!R21)</f>
        <v>0</v>
      </c>
      <c r="T13" s="577">
        <f>IF(T5="forecast",0,'Gross Margin Actual'!S21)</f>
        <v>0</v>
      </c>
      <c r="U13" s="577">
        <f>IF(U5="forecast",0,'Gross Margin Actual'!T21)</f>
        <v>0</v>
      </c>
      <c r="V13" s="577">
        <f>IF(V5="forecast",0,'Gross Margin Actual'!U21)</f>
        <v>0</v>
      </c>
      <c r="W13" s="577">
        <f>IF(W5="forecast",0,'Gross Margin Actual'!V21)</f>
        <v>0</v>
      </c>
      <c r="X13" s="577">
        <f>IF(X5="forecast",0,'Gross Margin Actual'!W21)</f>
        <v>0</v>
      </c>
      <c r="Y13" s="577">
        <f>IF(Y5="forecast",0,'Gross Margin Actual'!X21)</f>
        <v>0</v>
      </c>
      <c r="Z13" s="577">
        <f>IF(Z5="forecast",0,'Gross Margin Actual'!Y21)</f>
        <v>0</v>
      </c>
      <c r="AA13" s="577">
        <f>IF(AA5="forecast",0,'Gross Margin Actual'!Z21)</f>
        <v>0</v>
      </c>
      <c r="AB13" s="577">
        <f>IF(AB5="forecast",0,'Gross Margin Actual'!AA21)</f>
        <v>0</v>
      </c>
      <c r="AC13" s="577">
        <f>IF(AC5="forecast",0,'Gross Margin Actual'!AB21)</f>
        <v>0</v>
      </c>
      <c r="AD13" s="577">
        <f>IF(AD5="forecast",0,'Gross Margin Actual'!AC21)</f>
        <v>0</v>
      </c>
      <c r="AE13" s="577">
        <f>IF(AE5="forecast",0,'Gross Margin Actual'!AD21)</f>
        <v>0</v>
      </c>
      <c r="AF13" s="577">
        <f>IF(AF5="forecast",0,'Gross Margin Actual'!AE21)</f>
        <v>0</v>
      </c>
      <c r="AG13" s="577">
        <f>IF(AG5="forecast",0,'Gross Margin Actual'!AF21)</f>
        <v>0</v>
      </c>
      <c r="AH13" s="577">
        <f>IF(AH5="forecast",0,'Gross Margin Actual'!AG21)</f>
        <v>0</v>
      </c>
      <c r="AI13" s="577">
        <f>IF(AI5="forecast",0,'Gross Margin Actual'!AH21)</f>
        <v>0</v>
      </c>
      <c r="AJ13" s="577">
        <f>IF(AJ5="forecast",0,'Gross Margin Actual'!AI21)</f>
        <v>0</v>
      </c>
      <c r="AK13" s="577">
        <f>IF(AK5="forecast",0,'Gross Margin Actual'!AJ21)</f>
        <v>0</v>
      </c>
      <c r="AL13" s="577">
        <f>IF(AL5="forecast",0,'Gross Margin Actual'!AK21)</f>
        <v>0</v>
      </c>
      <c r="AM13" s="577">
        <f>IF(AM5="forecast",0,'Gross Margin Actual'!AL21)</f>
        <v>0</v>
      </c>
      <c r="AN13" s="577">
        <f>IF(AN5="forecast",0,'Gross Margin Actual'!AM21)</f>
        <v>0</v>
      </c>
      <c r="AO13" s="577">
        <f>IF(AO5="forecast",0,'Gross Margin Actual'!AN21)</f>
        <v>0</v>
      </c>
      <c r="AP13" s="577">
        <f>IF(AP5="forecast",0,'Gross Margin Actual'!AO21)</f>
        <v>0</v>
      </c>
      <c r="AQ13" s="577">
        <f>IF(AQ5="forecast",0,'Gross Margin Actual'!AP21)</f>
        <v>0</v>
      </c>
      <c r="AR13" s="577">
        <f>IF(AR5="forecast",0,'Gross Margin Actual'!AQ21)</f>
        <v>0</v>
      </c>
      <c r="AS13" s="577">
        <f>IF(AS5="forecast",0,'Gross Margin Actual'!AR21)</f>
        <v>0</v>
      </c>
      <c r="AT13" s="577">
        <f>IF(AT5="forecast",0,'Gross Margin Actual'!AS21)</f>
        <v>0</v>
      </c>
      <c r="AU13" s="577">
        <f>IF(AU5="forecast",0,'Gross Margin Actual'!AT21)</f>
        <v>0</v>
      </c>
      <c r="AV13" s="577">
        <f>IF(AV5="forecast",0,'Gross Margin Actual'!AU21)</f>
        <v>0</v>
      </c>
      <c r="AW13" s="577">
        <f>IF(AW5="forecast",0,'Gross Margin Actual'!AV21)</f>
        <v>0</v>
      </c>
      <c r="AX13" s="577">
        <f>IF(AX5="forecast",0,'Gross Margin Actual'!AW21)</f>
        <v>0</v>
      </c>
      <c r="AY13" s="577">
        <f>IF(AY5="forecast",0,'Gross Margin Actual'!AX21)</f>
        <v>0</v>
      </c>
      <c r="AZ13" s="577">
        <f>IF(AZ5="forecast",0,'Gross Margin Actual'!AY21)</f>
        <v>0</v>
      </c>
      <c r="BA13" s="577">
        <f>IF(BA5="forecast",0,'Gross Margin Actual'!AZ21)</f>
        <v>0</v>
      </c>
      <c r="BB13" s="577">
        <f>IF(BB5="forecast",0,'Gross Margin Actual'!BA21)</f>
        <v>0</v>
      </c>
      <c r="BC13" s="577">
        <f>IF(BC5="forecast",0,'Gross Margin Actual'!BB21)</f>
        <v>0</v>
      </c>
      <c r="BD13" s="577">
        <f>IF(BD5="forecast",0,'Gross Margin Actual'!BC21)</f>
        <v>0</v>
      </c>
      <c r="BE13" s="577">
        <f>IF(BE5="forecast",0,'Gross Margin Actual'!BD21)</f>
        <v>0</v>
      </c>
      <c r="BF13" s="577">
        <f>IF(BF5="forecast",0,'Gross Margin Actual'!BE21)</f>
        <v>0</v>
      </c>
      <c r="BG13" s="577">
        <f>IF(BG5="forecast",0,'Gross Margin Actual'!BF21)</f>
        <v>0</v>
      </c>
      <c r="BH13" s="577">
        <f>IF(BH5="forecast",0,'Gross Margin Actual'!BG21)</f>
        <v>0</v>
      </c>
      <c r="BI13" s="577">
        <f>IF(BI5="forecast",0,'Gross Margin Actual'!BH21)</f>
        <v>0</v>
      </c>
      <c r="BJ13" s="577">
        <f>IF(BJ5="forecast",0,'Gross Margin Actual'!BI21)</f>
        <v>0</v>
      </c>
      <c r="BK13" s="577">
        <f>IF(BK5="forecast",0,'Gross Margin Actual'!BJ21)</f>
        <v>0</v>
      </c>
      <c r="BL13" s="577">
        <f>IF(BL5="forecast",0,'Gross Margin Actual'!BK21)</f>
        <v>0</v>
      </c>
      <c r="BM13" s="577">
        <f>IF(BM5="forecast",0,'Gross Margin Actual'!BL21)</f>
        <v>0</v>
      </c>
      <c r="BN13" s="577">
        <f>IF(BN5="forecast",0,'Gross Margin Actual'!BM21)</f>
        <v>0</v>
      </c>
      <c r="BO13" s="577">
        <f>IF(BO5="forecast",0,'Gross Margin Actual'!BN21)</f>
        <v>0</v>
      </c>
      <c r="BP13" s="577">
        <f>IF(BP5="forecast",0,'Gross Margin Actual'!BO21)</f>
        <v>0</v>
      </c>
      <c r="BQ13" s="577">
        <f>IF(BQ5="forecast",0,'Gross Margin Actual'!BP21)</f>
        <v>0</v>
      </c>
      <c r="BR13" s="577">
        <f>IF(BR5="forecast",0,'Gross Margin Actual'!BQ21)</f>
        <v>0</v>
      </c>
      <c r="BS13" s="577">
        <f>IF(BS5="forecast",0,'Gross Margin Actual'!BR21)</f>
        <v>0</v>
      </c>
      <c r="BT13" s="577">
        <f>IF(BT5="forecast",0,'Gross Margin Actual'!BS21)</f>
        <v>0</v>
      </c>
      <c r="BU13" s="577">
        <f>IF(BU5="forecast",0,'Gross Margin Actual'!BT21)</f>
        <v>0</v>
      </c>
      <c r="BV13" s="577">
        <f>IF(BV5="forecast",0,'Gross Margin Actual'!BU21)</f>
        <v>0</v>
      </c>
      <c r="BW13" s="577">
        <f>IF(BW5="forecast",0,'Gross Margin Actual'!BV21)</f>
        <v>0</v>
      </c>
      <c r="BX13" s="577">
        <f>IF(BX5="forecast",0,'Gross Margin Actual'!BW21)</f>
        <v>0</v>
      </c>
    </row>
    <row r="14" spans="1:77" s="574" customFormat="1" outlineLevel="2" x14ac:dyDescent="0.35">
      <c r="B14" s="224"/>
      <c r="C14" s="1171" t="s">
        <v>1173</v>
      </c>
      <c r="D14" s="38"/>
      <c r="E14" s="577">
        <f>IF(E6="forecast",0,'Gross Margin Actual'!D22)</f>
        <v>480551.16999999993</v>
      </c>
      <c r="F14" s="577">
        <f>IF(F6="forecast",0,'Gross Margin Actual'!E22)</f>
        <v>447063.2999999997</v>
      </c>
      <c r="G14" s="577">
        <f>IF(G6="forecast",0,'Gross Margin Actual'!F22)</f>
        <v>494259.43000000005</v>
      </c>
      <c r="H14" s="577">
        <f>IF(H6="forecast",0,'Gross Margin Actual'!G22)</f>
        <v>480383.95000000036</v>
      </c>
      <c r="I14" s="577">
        <f>IF(I6="forecast",0,'Gross Margin Actual'!H22)</f>
        <v>542539.2100000002</v>
      </c>
      <c r="J14" s="577">
        <f>IF(J6="forecast",0,'Gross Margin Actual'!I22)</f>
        <v>534126.98000000033</v>
      </c>
      <c r="K14" s="577">
        <f>IF(K6="forecast",0,'Gross Margin Actual'!J22)</f>
        <v>550080.10999999894</v>
      </c>
      <c r="L14" s="577">
        <f>IF(L6="forecast",0,'Gross Margin Actual'!K22)</f>
        <v>536258.29000000015</v>
      </c>
      <c r="M14" s="577">
        <f>IF(M6="forecast",0,'Gross Margin Actual'!L22)</f>
        <v>552620.18999999913</v>
      </c>
      <c r="N14" s="577">
        <f>IF(N6="forecast",0,'Gross Margin Actual'!M22)</f>
        <v>603240.44000000088</v>
      </c>
      <c r="O14" s="577">
        <f>IF(O6="forecast",0,'Gross Margin Actual'!N22)</f>
        <v>613875.14000000036</v>
      </c>
      <c r="P14" s="577">
        <f>IF(P6="forecast",0,'Gross Margin Actual'!O22)</f>
        <v>612595.48000000056</v>
      </c>
      <c r="Q14" s="577">
        <f>IF(Q6="forecast",0,'Gross Margin Actual'!P22)</f>
        <v>1073.4000000000001</v>
      </c>
      <c r="R14" s="577">
        <f>IF(R6="forecast",0,'Gross Margin Actual'!Q22)</f>
        <v>-78.42</v>
      </c>
      <c r="S14" s="577">
        <f>IF(S6="forecast",0,'Gross Margin Actual'!R22)</f>
        <v>-2232.1999999999998</v>
      </c>
      <c r="T14" s="577">
        <f>IF(T6="forecast",0,'Gross Margin Actual'!S22)</f>
        <v>-117.6</v>
      </c>
      <c r="U14" s="577">
        <f>IF(U6="forecast",0,'Gross Margin Actual'!T22)</f>
        <v>69.599999999999994</v>
      </c>
      <c r="V14" s="577">
        <f>IF(V6="forecast",0,'Gross Margin Actual'!U22)</f>
        <v>69.599999999999994</v>
      </c>
      <c r="W14" s="577">
        <f>IF(W6="forecast",0,'Gross Margin Actual'!V22)</f>
        <v>237.6</v>
      </c>
      <c r="X14" s="577">
        <f>IF(X6="forecast",0,'Gross Margin Actual'!W22)</f>
        <v>6000</v>
      </c>
      <c r="Y14" s="577">
        <f>IF(Y6="forecast",0,'Gross Margin Actual'!X22)</f>
        <v>16117.6</v>
      </c>
      <c r="Z14" s="577">
        <f>IF(Z6="forecast",0,'Gross Margin Actual'!Y22)</f>
        <v>0</v>
      </c>
      <c r="AA14" s="577">
        <f>IF(AA6="forecast",0,'Gross Margin Actual'!Z22)</f>
        <v>0</v>
      </c>
      <c r="AB14" s="577">
        <f>IF(AB6="forecast",0,'Gross Margin Actual'!AA22)</f>
        <v>3000</v>
      </c>
      <c r="AC14" s="577">
        <f>IF(AC6="forecast",0,'Gross Margin Actual'!AB22)</f>
        <v>0</v>
      </c>
      <c r="AD14" s="577">
        <f>IF(AD6="forecast",0,'Gross Margin Actual'!AC22)</f>
        <v>0</v>
      </c>
      <c r="AE14" s="577">
        <f>IF(AE6="forecast",0,'Gross Margin Actual'!AD22)</f>
        <v>0</v>
      </c>
      <c r="AF14" s="577">
        <f>IF(AF6="forecast",0,'Gross Margin Actual'!AE22)</f>
        <v>0</v>
      </c>
      <c r="AG14" s="577">
        <f>IF(AG6="forecast",0,'Gross Margin Actual'!AF22)</f>
        <v>0</v>
      </c>
      <c r="AH14" s="577">
        <f>IF(AH6="forecast",0,'Gross Margin Actual'!AG22)</f>
        <v>0</v>
      </c>
      <c r="AI14" s="577">
        <f>IF(AI6="forecast",0,'Gross Margin Actual'!AH22)</f>
        <v>0</v>
      </c>
      <c r="AJ14" s="577">
        <f>IF(AJ6="forecast",0,'Gross Margin Actual'!AI22)</f>
        <v>0</v>
      </c>
      <c r="AK14" s="577">
        <f>IF(AK6="forecast",0,'Gross Margin Actual'!AJ22)</f>
        <v>0</v>
      </c>
      <c r="AL14" s="577">
        <f>IF(AL6="forecast",0,'Gross Margin Actual'!AK22)</f>
        <v>0</v>
      </c>
      <c r="AM14" s="577">
        <f>IF(AM6="forecast",0,'Gross Margin Actual'!AL22)</f>
        <v>0</v>
      </c>
      <c r="AN14" s="577">
        <f>IF(AN6="forecast",0,'Gross Margin Actual'!AM22)</f>
        <v>0</v>
      </c>
      <c r="AO14" s="577">
        <f>IF(AO6="forecast",0,'Gross Margin Actual'!AN22)</f>
        <v>0</v>
      </c>
      <c r="AP14" s="577">
        <f>IF(AP6="forecast",0,'Gross Margin Actual'!AO22)</f>
        <v>0</v>
      </c>
      <c r="AQ14" s="577">
        <f>IF(AQ6="forecast",0,'Gross Margin Actual'!AP22)</f>
        <v>0</v>
      </c>
      <c r="AR14" s="577">
        <f>IF(AR6="forecast",0,'Gross Margin Actual'!AQ22)</f>
        <v>0</v>
      </c>
      <c r="AS14" s="577">
        <f>IF(AS6="forecast",0,'Gross Margin Actual'!AR22)</f>
        <v>0</v>
      </c>
      <c r="AT14" s="577">
        <f>IF(AT6="forecast",0,'Gross Margin Actual'!AS22)</f>
        <v>0</v>
      </c>
      <c r="AU14" s="577">
        <f>IF(AU6="forecast",0,'Gross Margin Actual'!AT22)</f>
        <v>0</v>
      </c>
      <c r="AV14" s="577">
        <f>IF(AV6="forecast",0,'Gross Margin Actual'!AU22)</f>
        <v>0</v>
      </c>
      <c r="AW14" s="577">
        <f>IF(AW6="forecast",0,'Gross Margin Actual'!AV22)</f>
        <v>0</v>
      </c>
      <c r="AX14" s="577">
        <f>IF(AX6="forecast",0,'Gross Margin Actual'!AW22)</f>
        <v>0</v>
      </c>
      <c r="AY14" s="577">
        <f>IF(AY6="forecast",0,'Gross Margin Actual'!AX22)</f>
        <v>0</v>
      </c>
      <c r="AZ14" s="577">
        <f>IF(AZ6="forecast",0,'Gross Margin Actual'!AY22)</f>
        <v>0</v>
      </c>
      <c r="BA14" s="577">
        <f>IF(BA6="forecast",0,'Gross Margin Actual'!AZ22)</f>
        <v>0</v>
      </c>
      <c r="BB14" s="577">
        <f>IF(BB6="forecast",0,'Gross Margin Actual'!BA22)</f>
        <v>0</v>
      </c>
      <c r="BC14" s="577">
        <f>IF(BC6="forecast",0,'Gross Margin Actual'!BB22)</f>
        <v>0</v>
      </c>
      <c r="BD14" s="577">
        <f>IF(BD6="forecast",0,'Gross Margin Actual'!BC22)</f>
        <v>0</v>
      </c>
      <c r="BE14" s="577">
        <f>IF(BE6="forecast",0,'Gross Margin Actual'!BD22)</f>
        <v>0</v>
      </c>
      <c r="BF14" s="577">
        <f>IF(BF6="forecast",0,'Gross Margin Actual'!BE22)</f>
        <v>0</v>
      </c>
      <c r="BG14" s="577">
        <f>IF(BG6="forecast",0,'Gross Margin Actual'!BF22)</f>
        <v>0</v>
      </c>
      <c r="BH14" s="577">
        <f>IF(BH6="forecast",0,'Gross Margin Actual'!BG22)</f>
        <v>0</v>
      </c>
      <c r="BI14" s="577">
        <f>IF(BI6="forecast",0,'Gross Margin Actual'!BH22)</f>
        <v>0</v>
      </c>
      <c r="BJ14" s="577">
        <f>IF(BJ6="forecast",0,'Gross Margin Actual'!BI22)</f>
        <v>0</v>
      </c>
      <c r="BK14" s="577">
        <f>IF(BK6="forecast",0,'Gross Margin Actual'!BJ22)</f>
        <v>0</v>
      </c>
      <c r="BL14" s="577">
        <f>IF(BL6="forecast",0,'Gross Margin Actual'!BK22)</f>
        <v>0</v>
      </c>
      <c r="BM14" s="577">
        <f>IF(BM6="forecast",0,'Gross Margin Actual'!BL22)</f>
        <v>0</v>
      </c>
      <c r="BN14" s="577">
        <f>IF(BN6="forecast",0,'Gross Margin Actual'!BM22)</f>
        <v>0</v>
      </c>
      <c r="BO14" s="577">
        <f>IF(BO6="forecast",0,'Gross Margin Actual'!BN22)</f>
        <v>0</v>
      </c>
      <c r="BP14" s="577">
        <f>IF(BP6="forecast",0,'Gross Margin Actual'!BO22)</f>
        <v>0</v>
      </c>
      <c r="BQ14" s="577">
        <f>IF(BQ6="forecast",0,'Gross Margin Actual'!BP22)</f>
        <v>0</v>
      </c>
      <c r="BR14" s="577">
        <f>IF(BR6="forecast",0,'Gross Margin Actual'!BQ22)</f>
        <v>0</v>
      </c>
      <c r="BS14" s="577">
        <f>IF(BS6="forecast",0,'Gross Margin Actual'!BR22)</f>
        <v>0</v>
      </c>
      <c r="BT14" s="577">
        <f>IF(BT6="forecast",0,'Gross Margin Actual'!BS22)</f>
        <v>0</v>
      </c>
      <c r="BU14" s="577">
        <f>IF(BU6="forecast",0,'Gross Margin Actual'!BT22)</f>
        <v>0</v>
      </c>
      <c r="BV14" s="577">
        <f>IF(BV6="forecast",0,'Gross Margin Actual'!BU22)</f>
        <v>0</v>
      </c>
      <c r="BW14" s="577">
        <f>IF(BW6="forecast",0,'Gross Margin Actual'!BV22)</f>
        <v>0</v>
      </c>
      <c r="BX14" s="577">
        <f>IF(BX6="forecast",0,'Gross Margin Actual'!BW22)</f>
        <v>0</v>
      </c>
    </row>
    <row r="15" spans="1:77" s="574" customFormat="1" outlineLevel="2" x14ac:dyDescent="0.35">
      <c r="B15" s="224"/>
      <c r="C15" s="1171" t="s">
        <v>1175</v>
      </c>
      <c r="D15" s="38"/>
      <c r="E15" s="579">
        <f>'Gross Margin Actual'!D23</f>
        <v>0</v>
      </c>
      <c r="F15" s="579">
        <f>'Gross Margin Actual'!E23</f>
        <v>0</v>
      </c>
      <c r="G15" s="579">
        <f>'Gross Margin Actual'!F23</f>
        <v>0</v>
      </c>
      <c r="H15" s="579">
        <f>'Gross Margin Actual'!G23</f>
        <v>0</v>
      </c>
      <c r="I15" s="579">
        <f>'Gross Margin Actual'!H23</f>
        <v>0</v>
      </c>
      <c r="J15" s="579">
        <f>'Gross Margin Actual'!I23</f>
        <v>0</v>
      </c>
      <c r="K15" s="579">
        <f>'Gross Margin Actual'!J23</f>
        <v>0</v>
      </c>
      <c r="L15" s="579">
        <f>'Gross Margin Actual'!K23</f>
        <v>0</v>
      </c>
      <c r="M15" s="579">
        <f>'Gross Margin Actual'!L23</f>
        <v>0</v>
      </c>
      <c r="N15" s="579">
        <f>'Gross Margin Actual'!M23</f>
        <v>0</v>
      </c>
      <c r="O15" s="579">
        <f>'Gross Margin Actual'!N23</f>
        <v>0</v>
      </c>
      <c r="P15" s="579">
        <f>'Gross Margin Actual'!O23</f>
        <v>0</v>
      </c>
      <c r="Q15" s="579">
        <f>'Gross Margin Actual'!P23</f>
        <v>0</v>
      </c>
      <c r="R15" s="579">
        <f>'Gross Margin Actual'!Q23</f>
        <v>0</v>
      </c>
      <c r="S15" s="579">
        <f>'Gross Margin Actual'!R23</f>
        <v>0</v>
      </c>
      <c r="T15" s="579">
        <f>'Gross Margin Actual'!S23</f>
        <v>0</v>
      </c>
      <c r="U15" s="579">
        <f>'Gross Margin Actual'!T23</f>
        <v>0</v>
      </c>
      <c r="V15" s="579">
        <f>'Gross Margin Actual'!U23</f>
        <v>5000</v>
      </c>
      <c r="W15" s="579">
        <f>'Gross Margin Actual'!V23</f>
        <v>0</v>
      </c>
      <c r="X15" s="579">
        <f>'Gross Margin Actual'!W23</f>
        <v>9600</v>
      </c>
      <c r="Y15" s="579">
        <f>'Gross Margin Actual'!X23</f>
        <v>0</v>
      </c>
      <c r="Z15" s="579">
        <f>'Gross Margin Actual'!Y23</f>
        <v>0</v>
      </c>
      <c r="AA15" s="579">
        <f>'Gross Margin Actual'!Z23</f>
        <v>0</v>
      </c>
      <c r="AB15" s="579">
        <f>'Gross Margin Actual'!AA23</f>
        <v>0</v>
      </c>
      <c r="AC15" s="579">
        <f>'Gross Margin Actual'!AB23</f>
        <v>0</v>
      </c>
      <c r="AD15" s="579">
        <f>'Gross Margin Actual'!AC23</f>
        <v>0</v>
      </c>
      <c r="AE15" s="579">
        <f>'Gross Margin Actual'!AD23</f>
        <v>0</v>
      </c>
      <c r="AF15" s="579">
        <f>'Gross Margin Actual'!AE23</f>
        <v>0</v>
      </c>
      <c r="AG15" s="579">
        <f>'Gross Margin Actual'!AF23</f>
        <v>0</v>
      </c>
      <c r="AH15" s="579">
        <f>'Gross Margin Actual'!AG23</f>
        <v>0</v>
      </c>
      <c r="AI15" s="579">
        <f>'Gross Margin Actual'!AH23</f>
        <v>0</v>
      </c>
      <c r="AJ15" s="579">
        <f>'Gross Margin Actual'!AI23</f>
        <v>0</v>
      </c>
      <c r="AK15" s="579">
        <f>'Gross Margin Actual'!AJ23</f>
        <v>0</v>
      </c>
      <c r="AL15" s="579">
        <f>'Gross Margin Actual'!AK23</f>
        <v>0</v>
      </c>
      <c r="AM15" s="579">
        <f>'Gross Margin Actual'!AL23</f>
        <v>0</v>
      </c>
      <c r="AN15" s="579">
        <f>'Gross Margin Actual'!AM23</f>
        <v>0</v>
      </c>
      <c r="AO15" s="579">
        <f>'Gross Margin Actual'!AN23</f>
        <v>0</v>
      </c>
      <c r="AP15" s="579">
        <f>'Gross Margin Actual'!AO23</f>
        <v>0</v>
      </c>
      <c r="AQ15" s="579">
        <f>'Gross Margin Actual'!AP23</f>
        <v>0</v>
      </c>
      <c r="AR15" s="579">
        <f>'Gross Margin Actual'!AQ23</f>
        <v>0</v>
      </c>
      <c r="AS15" s="579">
        <f>'Gross Margin Actual'!AR23</f>
        <v>0</v>
      </c>
      <c r="AT15" s="579">
        <f>'Gross Margin Actual'!AS23</f>
        <v>0</v>
      </c>
      <c r="AU15" s="579">
        <f>'Gross Margin Actual'!AT23</f>
        <v>0</v>
      </c>
      <c r="AV15" s="579">
        <f>'Gross Margin Actual'!AU23</f>
        <v>0</v>
      </c>
      <c r="AW15" s="579">
        <f>'Gross Margin Actual'!AV23</f>
        <v>0</v>
      </c>
      <c r="AX15" s="579">
        <f>'Gross Margin Actual'!AW23</f>
        <v>0</v>
      </c>
      <c r="AY15" s="579">
        <f>'Gross Margin Actual'!AX23</f>
        <v>0</v>
      </c>
      <c r="AZ15" s="579">
        <f>'Gross Margin Actual'!AY23</f>
        <v>0</v>
      </c>
      <c r="BA15" s="579">
        <f>'Gross Margin Actual'!AZ23</f>
        <v>0</v>
      </c>
      <c r="BB15" s="579">
        <f>'Gross Margin Actual'!BA23</f>
        <v>0</v>
      </c>
      <c r="BC15" s="579">
        <f>'Gross Margin Actual'!BB23</f>
        <v>0</v>
      </c>
      <c r="BD15" s="579">
        <f>'Gross Margin Actual'!BC23</f>
        <v>0</v>
      </c>
      <c r="BE15" s="579">
        <f>'Gross Margin Actual'!BD23</f>
        <v>0</v>
      </c>
      <c r="BF15" s="579">
        <f>'Gross Margin Actual'!BE23</f>
        <v>0</v>
      </c>
      <c r="BG15" s="579">
        <f>'Gross Margin Actual'!BF23</f>
        <v>0</v>
      </c>
      <c r="BH15" s="579">
        <f>'Gross Margin Actual'!BG23</f>
        <v>0</v>
      </c>
      <c r="BI15" s="579">
        <f>'Gross Margin Actual'!BH23</f>
        <v>0</v>
      </c>
      <c r="BJ15" s="579">
        <f>'Gross Margin Actual'!BI23</f>
        <v>0</v>
      </c>
      <c r="BK15" s="579">
        <f>'Gross Margin Actual'!BJ23</f>
        <v>0</v>
      </c>
      <c r="BL15" s="579">
        <f>'Gross Margin Actual'!BK23</f>
        <v>0</v>
      </c>
      <c r="BM15" s="579">
        <f>'Gross Margin Actual'!BL23</f>
        <v>0</v>
      </c>
      <c r="BN15" s="579">
        <f>'Gross Margin Actual'!BM23</f>
        <v>0</v>
      </c>
      <c r="BO15" s="579">
        <f>'Gross Margin Actual'!BN23</f>
        <v>0</v>
      </c>
      <c r="BP15" s="579">
        <f>'Gross Margin Actual'!BO23</f>
        <v>0</v>
      </c>
      <c r="BQ15" s="579">
        <f>'Gross Margin Actual'!BP23</f>
        <v>0</v>
      </c>
      <c r="BR15" s="579">
        <f>'Gross Margin Actual'!BQ23</f>
        <v>0</v>
      </c>
      <c r="BS15" s="579">
        <f>'Gross Margin Actual'!BR23</f>
        <v>0</v>
      </c>
      <c r="BT15" s="579">
        <f>'Gross Margin Actual'!BS23</f>
        <v>0</v>
      </c>
      <c r="BU15" s="579">
        <f>'Gross Margin Actual'!BT23</f>
        <v>0</v>
      </c>
      <c r="BV15" s="579">
        <f>'Gross Margin Actual'!BU23</f>
        <v>0</v>
      </c>
      <c r="BW15" s="579">
        <f>'Gross Margin Actual'!BV23</f>
        <v>0</v>
      </c>
      <c r="BX15" s="579">
        <f>'Gross Margin Actual'!BW23</f>
        <v>0</v>
      </c>
    </row>
    <row r="16" spans="1:77" s="438" customFormat="1" outlineLevel="2" x14ac:dyDescent="0.35">
      <c r="B16" s="224"/>
      <c r="C16" s="1171" t="s">
        <v>1174</v>
      </c>
      <c r="D16" s="176"/>
      <c r="E16" s="176">
        <f>IF(E5="forecast",0,'Gross Margin Actual'!D24)</f>
        <v>25039.321666666667</v>
      </c>
      <c r="F16" s="578">
        <f>IF(F5="forecast",0,'Gross Margin Actual'!E24)</f>
        <v>25039.321666666667</v>
      </c>
      <c r="G16" s="578">
        <f>IF(G5="forecast",0,'Gross Margin Actual'!F24)</f>
        <v>25039.321666666667</v>
      </c>
      <c r="H16" s="578">
        <f>IF(H5="forecast",0,'Gross Margin Actual'!G24)</f>
        <v>25039.321666666667</v>
      </c>
      <c r="I16" s="578">
        <f>IF(I5="forecast",0,'Gross Margin Actual'!H24)</f>
        <v>25039.321666666667</v>
      </c>
      <c r="J16" s="578">
        <f>IF(J5="forecast",0,'Gross Margin Actual'!I24)</f>
        <v>25039.321666666667</v>
      </c>
      <c r="K16" s="578">
        <f>IF(K5="forecast",0,'Gross Margin Actual'!J24)</f>
        <v>25039.321666666667</v>
      </c>
      <c r="L16" s="578">
        <f>IF(L5="forecast",0,'Gross Margin Actual'!K24)</f>
        <v>25039.321666666667</v>
      </c>
      <c r="M16" s="578">
        <f>IF(M5="forecast",0,'Gross Margin Actual'!L24)</f>
        <v>25039.321666666667</v>
      </c>
      <c r="N16" s="578">
        <f>IF(N5="forecast",0,'Gross Margin Actual'!M24)</f>
        <v>25039.321666666667</v>
      </c>
      <c r="O16" s="578">
        <f>IF(O5="forecast",0,'Gross Margin Actual'!N24)</f>
        <v>25039.321666666667</v>
      </c>
      <c r="P16" s="578">
        <f>IF(P5="forecast",0,'Gross Margin Actual'!O24)</f>
        <v>25039.321666666667</v>
      </c>
      <c r="Q16" s="578">
        <f>IF(Q5="forecast",0,'Gross Margin Actual'!P24)</f>
        <v>0</v>
      </c>
      <c r="R16" s="578">
        <f>IF(R5="forecast",0,'Gross Margin Actual'!Q24)</f>
        <v>-2140</v>
      </c>
      <c r="S16" s="578">
        <f>IF(S5="forecast",0,'Gross Margin Actual'!R24)</f>
        <v>3942.5</v>
      </c>
      <c r="T16" s="578">
        <f>IF(T5="forecast",0,'Gross Margin Actual'!S24)</f>
        <v>0</v>
      </c>
      <c r="U16" s="578">
        <f>IF(U5="forecast",0,'Gross Margin Actual'!T24)</f>
        <v>1000</v>
      </c>
      <c r="V16" s="578">
        <f>IF(V5="forecast",0,'Gross Margin Actual'!U24)</f>
        <v>500</v>
      </c>
      <c r="W16" s="578">
        <f>IF(W5="forecast",0,'Gross Margin Actual'!V24)</f>
        <v>500</v>
      </c>
      <c r="X16" s="578">
        <f>IF(X5="forecast",0,'Gross Margin Actual'!W24)</f>
        <v>500</v>
      </c>
      <c r="Y16" s="578">
        <f>IF(Y5="forecast",0,'Gross Margin Actual'!X24)</f>
        <v>500</v>
      </c>
      <c r="Z16" s="578">
        <f>IF(Z5="forecast",0,'Gross Margin Actual'!Y24)</f>
        <v>500</v>
      </c>
      <c r="AA16" s="578">
        <f>IF(AA5="forecast",0,'Gross Margin Actual'!Z24)</f>
        <v>500</v>
      </c>
      <c r="AB16" s="578">
        <f>IF(AB5="forecast",0,'Gross Margin Actual'!AA24)</f>
        <v>573.17999999999995</v>
      </c>
      <c r="AC16" s="578">
        <f>IF(AC5="forecast",0,'Gross Margin Actual'!AB24)</f>
        <v>0</v>
      </c>
      <c r="AD16" s="578">
        <f>IF(AD5="forecast",0,'Gross Margin Actual'!AC24)</f>
        <v>0</v>
      </c>
      <c r="AE16" s="578">
        <f>IF(AE5="forecast",0,'Gross Margin Actual'!AD24)</f>
        <v>0</v>
      </c>
      <c r="AF16" s="578">
        <f>IF(AF5="forecast",0,'Gross Margin Actual'!AE24)</f>
        <v>0</v>
      </c>
      <c r="AG16" s="578">
        <f>IF(AG5="forecast",0,'Gross Margin Actual'!AF24)</f>
        <v>0</v>
      </c>
      <c r="AH16" s="578">
        <f>IF(AH5="forecast",0,'Gross Margin Actual'!AG24)</f>
        <v>0</v>
      </c>
      <c r="AI16" s="578">
        <f>IF(AI5="forecast",0,'Gross Margin Actual'!AH24)</f>
        <v>0</v>
      </c>
      <c r="AJ16" s="578">
        <f>IF(AJ5="forecast",0,'Gross Margin Actual'!AI24)</f>
        <v>0</v>
      </c>
      <c r="AK16" s="578">
        <f>IF(AK5="forecast",0,'Gross Margin Actual'!AJ24)</f>
        <v>0</v>
      </c>
      <c r="AL16" s="578">
        <f>IF(AL5="forecast",0,'Gross Margin Actual'!AK24)</f>
        <v>0</v>
      </c>
      <c r="AM16" s="578">
        <f>IF(AM5="forecast",0,'Gross Margin Actual'!AL24)</f>
        <v>0</v>
      </c>
      <c r="AN16" s="578">
        <f>IF(AN5="forecast",0,'Gross Margin Actual'!AM24)</f>
        <v>0</v>
      </c>
      <c r="AO16" s="578">
        <f>IF(AO5="forecast",0,'Gross Margin Actual'!AN24)</f>
        <v>0</v>
      </c>
      <c r="AP16" s="578">
        <f>IF(AP5="forecast",0,'Gross Margin Actual'!AO24)</f>
        <v>0</v>
      </c>
      <c r="AQ16" s="578">
        <f>IF(AQ5="forecast",0,'Gross Margin Actual'!AP24)</f>
        <v>0</v>
      </c>
      <c r="AR16" s="578">
        <f>IF(AR5="forecast",0,'Gross Margin Actual'!AQ24)</f>
        <v>0</v>
      </c>
      <c r="AS16" s="578">
        <f>IF(AS5="forecast",0,'Gross Margin Actual'!AR24)</f>
        <v>0</v>
      </c>
      <c r="AT16" s="578">
        <f>IF(AT5="forecast",0,'Gross Margin Actual'!AS24)</f>
        <v>0</v>
      </c>
      <c r="AU16" s="578">
        <f>IF(AU5="forecast",0,'Gross Margin Actual'!AT24)</f>
        <v>0</v>
      </c>
      <c r="AV16" s="578">
        <f>IF(AV5="forecast",0,'Gross Margin Actual'!AU24)</f>
        <v>0</v>
      </c>
      <c r="AW16" s="578">
        <f>IF(AW5="forecast",0,'Gross Margin Actual'!AV24)</f>
        <v>0</v>
      </c>
      <c r="AX16" s="578">
        <f>IF(AX5="forecast",0,'Gross Margin Actual'!AW24)</f>
        <v>0</v>
      </c>
      <c r="AY16" s="578">
        <f>IF(AY5="forecast",0,'Gross Margin Actual'!AX24)</f>
        <v>0</v>
      </c>
      <c r="AZ16" s="578">
        <f>IF(AZ5="forecast",0,'Gross Margin Actual'!AY24)</f>
        <v>0</v>
      </c>
      <c r="BA16" s="578">
        <f>IF(BA5="forecast",0,'Gross Margin Actual'!AZ24)</f>
        <v>0</v>
      </c>
      <c r="BB16" s="578">
        <f>IF(BB5="forecast",0,'Gross Margin Actual'!BA24)</f>
        <v>0</v>
      </c>
      <c r="BC16" s="578">
        <f>IF(BC5="forecast",0,'Gross Margin Actual'!BB24)</f>
        <v>0</v>
      </c>
      <c r="BD16" s="578">
        <f>IF(BD5="forecast",0,'Gross Margin Actual'!BC24)</f>
        <v>0</v>
      </c>
      <c r="BE16" s="578">
        <f>IF(BE5="forecast",0,'Gross Margin Actual'!BD24)</f>
        <v>0</v>
      </c>
      <c r="BF16" s="578">
        <f>IF(BF5="forecast",0,'Gross Margin Actual'!BE24)</f>
        <v>0</v>
      </c>
      <c r="BG16" s="578">
        <f>IF(BG5="forecast",0,'Gross Margin Actual'!BF24)</f>
        <v>0</v>
      </c>
      <c r="BH16" s="578">
        <f>IF(BH5="forecast",0,'Gross Margin Actual'!BG24)</f>
        <v>0</v>
      </c>
      <c r="BI16" s="578">
        <f>IF(BI5="forecast",0,'Gross Margin Actual'!BH24)</f>
        <v>0</v>
      </c>
      <c r="BJ16" s="578">
        <f>IF(BJ5="forecast",0,'Gross Margin Actual'!BI24)</f>
        <v>0</v>
      </c>
      <c r="BK16" s="578">
        <f>IF(BK5="forecast",0,'Gross Margin Actual'!BJ24)</f>
        <v>0</v>
      </c>
      <c r="BL16" s="578">
        <f>IF(BL5="forecast",0,'Gross Margin Actual'!BK24)</f>
        <v>0</v>
      </c>
      <c r="BM16" s="578">
        <f>IF(BM5="forecast",0,'Gross Margin Actual'!BL24)</f>
        <v>0</v>
      </c>
      <c r="BN16" s="578">
        <f>IF(BN5="forecast",0,'Gross Margin Actual'!BM24)</f>
        <v>0</v>
      </c>
      <c r="BO16" s="578">
        <f>IF(BO5="forecast",0,'Gross Margin Actual'!BN24)</f>
        <v>0</v>
      </c>
      <c r="BP16" s="578">
        <f>IF(BP5="forecast",0,'Gross Margin Actual'!BO24)</f>
        <v>0</v>
      </c>
      <c r="BQ16" s="578">
        <f>IF(BQ5="forecast",0,'Gross Margin Actual'!BP24)</f>
        <v>0</v>
      </c>
      <c r="BR16" s="578">
        <f>IF(BR5="forecast",0,'Gross Margin Actual'!BQ24)</f>
        <v>0</v>
      </c>
      <c r="BS16" s="578">
        <f>IF(BS5="forecast",0,'Gross Margin Actual'!BR24)</f>
        <v>0</v>
      </c>
      <c r="BT16" s="578">
        <f>IF(BT5="forecast",0,'Gross Margin Actual'!BS24)</f>
        <v>0</v>
      </c>
      <c r="BU16" s="578">
        <f>IF(BU5="forecast",0,'Gross Margin Actual'!BT24)</f>
        <v>0</v>
      </c>
      <c r="BV16" s="578">
        <f>IF(BV5="forecast",0,'Gross Margin Actual'!BU24)</f>
        <v>0</v>
      </c>
      <c r="BW16" s="578">
        <f>IF(BW5="forecast",0,'Gross Margin Actual'!BV24)</f>
        <v>0</v>
      </c>
      <c r="BX16" s="578">
        <f>IF(BX5="forecast",0,'Gross Margin Actual'!BW24)</f>
        <v>0</v>
      </c>
    </row>
    <row r="17" spans="1:76" outlineLevel="1" x14ac:dyDescent="0.35">
      <c r="A17" s="16"/>
      <c r="B17" s="16"/>
      <c r="C17" s="40" t="s">
        <v>222</v>
      </c>
      <c r="D17" s="166">
        <f>SUM(D11:D16)</f>
        <v>0</v>
      </c>
      <c r="E17" s="8">
        <f>SUM(E11:E16)</f>
        <v>1101139.1314897845</v>
      </c>
      <c r="F17" s="166">
        <f t="shared" ref="F17:BL17" si="6">SUM(F11:F16)</f>
        <v>1052542.7163316631</v>
      </c>
      <c r="G17" s="166">
        <f t="shared" si="6"/>
        <v>1190894.5835803188</v>
      </c>
      <c r="H17" s="166">
        <f t="shared" si="6"/>
        <v>1165492.3852927089</v>
      </c>
      <c r="I17" s="166">
        <f t="shared" si="6"/>
        <v>1307925.972237109</v>
      </c>
      <c r="J17" s="166">
        <f t="shared" si="6"/>
        <v>1228887.3425106239</v>
      </c>
      <c r="K17" s="166">
        <f t="shared" si="6"/>
        <v>1232303.671757271</v>
      </c>
      <c r="L17" s="166">
        <f t="shared" si="6"/>
        <v>1239361.8680972073</v>
      </c>
      <c r="M17" s="166">
        <f t="shared" si="6"/>
        <v>1186224.2667823788</v>
      </c>
      <c r="N17" s="166">
        <f t="shared" si="6"/>
        <v>1580644.4255819665</v>
      </c>
      <c r="O17" s="166">
        <f t="shared" si="6"/>
        <v>1653274.0215276028</v>
      </c>
      <c r="P17" s="166">
        <f t="shared" si="6"/>
        <v>1165832.7230595052</v>
      </c>
      <c r="Q17" s="166">
        <f t="shared" si="6"/>
        <v>1089175.67</v>
      </c>
      <c r="R17" s="166">
        <f t="shared" si="6"/>
        <v>1320599.46</v>
      </c>
      <c r="S17" s="166">
        <f t="shared" si="6"/>
        <v>1454504.69</v>
      </c>
      <c r="T17" s="166">
        <f t="shared" si="6"/>
        <v>1489918.32</v>
      </c>
      <c r="U17" s="166">
        <f t="shared" si="6"/>
        <v>1462613.6400000001</v>
      </c>
      <c r="V17" s="166">
        <f t="shared" si="6"/>
        <v>1266559.4100000001</v>
      </c>
      <c r="W17" s="166">
        <f t="shared" si="6"/>
        <v>1313144.4300000002</v>
      </c>
      <c r="X17" s="166">
        <f t="shared" si="6"/>
        <v>1329511.1700000002</v>
      </c>
      <c r="Y17" s="166">
        <f t="shared" si="6"/>
        <v>1484198.9000000001</v>
      </c>
      <c r="Z17" s="166">
        <f t="shared" si="6"/>
        <v>1681931.52</v>
      </c>
      <c r="AA17" s="166">
        <f t="shared" si="6"/>
        <v>1385506.77</v>
      </c>
      <c r="AB17" s="166">
        <f t="shared" si="6"/>
        <v>1594558.5699999998</v>
      </c>
      <c r="AC17" s="166">
        <f t="shared" si="6"/>
        <v>1448678.0228209584</v>
      </c>
      <c r="AD17" s="166">
        <f t="shared" si="6"/>
        <v>1543055.1626385623</v>
      </c>
      <c r="AE17" s="166">
        <f t="shared" si="6"/>
        <v>1576362.7727805271</v>
      </c>
      <c r="AF17" s="166">
        <f t="shared" si="6"/>
        <v>1712181.2550634537</v>
      </c>
      <c r="AG17" s="166">
        <f t="shared" si="6"/>
        <v>1848633.9643144209</v>
      </c>
      <c r="AH17" s="166">
        <f t="shared" si="6"/>
        <v>1976270.9496580299</v>
      </c>
      <c r="AI17" s="166">
        <f t="shared" si="6"/>
        <v>1941065.599012298</v>
      </c>
      <c r="AJ17" s="166">
        <f t="shared" si="6"/>
        <v>2030036.3111986804</v>
      </c>
      <c r="AK17" s="166">
        <f t="shared" si="6"/>
        <v>2381021.6424508872</v>
      </c>
      <c r="AL17" s="166">
        <f t="shared" si="6"/>
        <v>2522300.838421586</v>
      </c>
      <c r="AM17" s="166">
        <f t="shared" si="6"/>
        <v>2438536.9144763499</v>
      </c>
      <c r="AN17" s="166">
        <f t="shared" si="6"/>
        <v>2445917.5289584761</v>
      </c>
      <c r="AO17" s="166">
        <f t="shared" si="6"/>
        <v>2816609.8546660081</v>
      </c>
      <c r="AP17" s="166">
        <f t="shared" si="6"/>
        <v>2959183.7158741499</v>
      </c>
      <c r="AQ17" s="166">
        <f t="shared" si="6"/>
        <v>3107869.8478567386</v>
      </c>
      <c r="AR17" s="166">
        <f t="shared" si="6"/>
        <v>3250358.7777544903</v>
      </c>
      <c r="AS17" s="166">
        <f t="shared" si="6"/>
        <v>3387193.0460737944</v>
      </c>
      <c r="AT17" s="166">
        <f t="shared" si="6"/>
        <v>3522543.67585772</v>
      </c>
      <c r="AU17" s="166">
        <f t="shared" si="6"/>
        <v>3657961.8007439664</v>
      </c>
      <c r="AV17" s="166">
        <f t="shared" si="6"/>
        <v>3795152.7993547576</v>
      </c>
      <c r="AW17" s="166">
        <f t="shared" si="6"/>
        <v>3933912.6973522482</v>
      </c>
      <c r="AX17" s="166">
        <f t="shared" si="6"/>
        <v>4069595.7973522479</v>
      </c>
      <c r="AY17" s="166">
        <f t="shared" si="6"/>
        <v>4205278.8973522484</v>
      </c>
      <c r="AZ17" s="166">
        <f t="shared" si="6"/>
        <v>4340961.9973522481</v>
      </c>
      <c r="BA17" s="166">
        <f t="shared" si="6"/>
        <v>0</v>
      </c>
      <c r="BB17" s="166">
        <f t="shared" si="6"/>
        <v>0</v>
      </c>
      <c r="BC17" s="166">
        <f t="shared" si="6"/>
        <v>0</v>
      </c>
      <c r="BD17" s="166">
        <f t="shared" si="6"/>
        <v>0</v>
      </c>
      <c r="BE17" s="166">
        <f t="shared" si="6"/>
        <v>0</v>
      </c>
      <c r="BF17" s="166">
        <f t="shared" si="6"/>
        <v>0</v>
      </c>
      <c r="BG17" s="166">
        <f t="shared" si="6"/>
        <v>0</v>
      </c>
      <c r="BH17" s="166">
        <f t="shared" si="6"/>
        <v>0</v>
      </c>
      <c r="BI17" s="166">
        <f t="shared" si="6"/>
        <v>0</v>
      </c>
      <c r="BJ17" s="166">
        <f t="shared" si="6"/>
        <v>0</v>
      </c>
      <c r="BK17" s="166">
        <f t="shared" si="6"/>
        <v>0</v>
      </c>
      <c r="BL17" s="166">
        <f t="shared" si="6"/>
        <v>0</v>
      </c>
      <c r="BM17" s="166">
        <f t="shared" ref="BM17:BX17" si="7">SUM(BM11:BM13)</f>
        <v>0</v>
      </c>
      <c r="BN17" s="166">
        <f t="shared" si="7"/>
        <v>0</v>
      </c>
      <c r="BO17" s="166">
        <f t="shared" si="7"/>
        <v>0</v>
      </c>
      <c r="BP17" s="166">
        <f t="shared" si="7"/>
        <v>0</v>
      </c>
      <c r="BQ17" s="166">
        <f t="shared" si="7"/>
        <v>0</v>
      </c>
      <c r="BR17" s="166">
        <f t="shared" si="7"/>
        <v>0</v>
      </c>
      <c r="BS17" s="166">
        <f t="shared" si="7"/>
        <v>0</v>
      </c>
      <c r="BT17" s="166">
        <f t="shared" si="7"/>
        <v>0</v>
      </c>
      <c r="BU17" s="166">
        <f t="shared" si="7"/>
        <v>0</v>
      </c>
      <c r="BV17" s="166">
        <f t="shared" si="7"/>
        <v>0</v>
      </c>
      <c r="BW17" s="166">
        <f t="shared" si="7"/>
        <v>0</v>
      </c>
      <c r="BX17" s="166">
        <f t="shared" si="7"/>
        <v>0</v>
      </c>
    </row>
    <row r="18" spans="1:76" outlineLevel="1" x14ac:dyDescent="0.35">
      <c r="A18" s="16"/>
      <c r="B18" s="16"/>
      <c r="D18" s="166"/>
      <c r="E18" s="166"/>
      <c r="F18" s="166"/>
      <c r="G18" s="166"/>
      <c r="H18" s="166"/>
      <c r="I18" s="166"/>
      <c r="J18" s="166"/>
      <c r="K18" s="17"/>
      <c r="L18" s="17"/>
      <c r="M18" s="17"/>
      <c r="N18" s="17"/>
      <c r="O18" s="17"/>
      <c r="P18" s="17"/>
      <c r="Q18" s="234"/>
      <c r="R18" s="234"/>
      <c r="S18" s="234"/>
      <c r="T18" s="288"/>
      <c r="U18" s="234"/>
      <c r="V18" s="234"/>
      <c r="W18" s="234"/>
      <c r="X18" s="234"/>
      <c r="Y18" s="234"/>
      <c r="Z18" s="234"/>
      <c r="AA18" s="234"/>
      <c r="AB18" s="234"/>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6"/>
      <c r="BI18" s="16"/>
      <c r="BJ18" s="16"/>
      <c r="BK18" s="16"/>
      <c r="BL18" s="16"/>
      <c r="BM18" s="574"/>
    </row>
    <row r="19" spans="1:76" s="16" customFormat="1" outlineLevel="1" x14ac:dyDescent="0.35">
      <c r="C19" s="30" t="s">
        <v>149</v>
      </c>
      <c r="D19" s="308"/>
      <c r="E19" s="17"/>
      <c r="F19" s="579"/>
      <c r="G19" s="579"/>
      <c r="H19" s="579"/>
      <c r="I19" s="579"/>
      <c r="J19" s="579"/>
      <c r="K19" s="579"/>
      <c r="L19" s="579"/>
      <c r="M19" s="579"/>
      <c r="N19" s="579"/>
      <c r="O19" s="579"/>
      <c r="P19" s="579"/>
      <c r="Q19" s="579"/>
      <c r="R19" s="579"/>
      <c r="S19" s="579"/>
      <c r="T19" s="579"/>
      <c r="U19" s="579"/>
      <c r="V19" s="579"/>
      <c r="W19" s="579"/>
      <c r="X19" s="579"/>
      <c r="Y19" s="579"/>
      <c r="Z19" s="579"/>
      <c r="AA19" s="579"/>
      <c r="AB19" s="579"/>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579"/>
      <c r="BN19" s="579"/>
      <c r="BO19" s="579"/>
      <c r="BP19" s="579"/>
      <c r="BQ19" s="579"/>
      <c r="BR19" s="579"/>
      <c r="BS19" s="579"/>
      <c r="BT19" s="579"/>
      <c r="BU19" s="579"/>
      <c r="BV19" s="579"/>
      <c r="BW19" s="579"/>
      <c r="BX19" s="579"/>
    </row>
    <row r="20" spans="1:76" outlineLevel="1" x14ac:dyDescent="0.35">
      <c r="A20" s="16"/>
      <c r="B20" s="2"/>
      <c r="C20" s="32" t="s">
        <v>1178</v>
      </c>
      <c r="D20" s="308"/>
      <c r="E20" s="17">
        <f>'Cost Summary'!C11</f>
        <v>0</v>
      </c>
      <c r="F20" s="579">
        <f>'Cost Summary'!D11</f>
        <v>0</v>
      </c>
      <c r="G20" s="579">
        <f>'Cost Summary'!E11</f>
        <v>0</v>
      </c>
      <c r="H20" s="579">
        <f>'Cost Summary'!F11</f>
        <v>0</v>
      </c>
      <c r="I20" s="579">
        <f>'Cost Summary'!G11</f>
        <v>0</v>
      </c>
      <c r="J20" s="579">
        <f>'Cost Summary'!H11</f>
        <v>0</v>
      </c>
      <c r="K20" s="579">
        <f>'Cost Summary'!I11</f>
        <v>0</v>
      </c>
      <c r="L20" s="579">
        <f>'Cost Summary'!J11</f>
        <v>0</v>
      </c>
      <c r="M20" s="579">
        <f>'Cost Summary'!K11</f>
        <v>0</v>
      </c>
      <c r="N20" s="579">
        <f>'Cost Summary'!L11</f>
        <v>0</v>
      </c>
      <c r="O20" s="579">
        <f>'Cost Summary'!M11</f>
        <v>0</v>
      </c>
      <c r="P20" s="579">
        <f>'Cost Summary'!N11</f>
        <v>0</v>
      </c>
      <c r="Q20" s="579">
        <f>'Cost Summary'!O11</f>
        <v>0</v>
      </c>
      <c r="R20" s="579">
        <f>'Cost Summary'!P11</f>
        <v>0</v>
      </c>
      <c r="S20" s="579">
        <f>'Cost Summary'!Q11</f>
        <v>0</v>
      </c>
      <c r="T20" s="579">
        <f>'Cost Summary'!R11</f>
        <v>0</v>
      </c>
      <c r="U20" s="579">
        <f>'Cost Summary'!S11</f>
        <v>0</v>
      </c>
      <c r="V20" s="579">
        <f>'Cost Summary'!T11</f>
        <v>0</v>
      </c>
      <c r="W20" s="579">
        <f>'Cost Summary'!U11</f>
        <v>0</v>
      </c>
      <c r="X20" s="579">
        <f>'Cost Summary'!V11</f>
        <v>0</v>
      </c>
      <c r="Y20" s="579">
        <f>'Cost Summary'!W11</f>
        <v>0</v>
      </c>
      <c r="Z20" s="579">
        <f>'Cost Summary'!X11</f>
        <v>0</v>
      </c>
      <c r="AA20" s="579">
        <f>'Cost Summary'!Y11</f>
        <v>0</v>
      </c>
      <c r="AB20" s="579">
        <f>'Cost Summary'!Z11</f>
        <v>0</v>
      </c>
      <c r="AC20" s="17">
        <f>'Cost Summary'!AA11</f>
        <v>6369.4948282095838</v>
      </c>
      <c r="AD20" s="17">
        <f>'Cost Summary'!AB11</f>
        <v>6615.2580346880204</v>
      </c>
      <c r="AE20" s="17">
        <f>'Cost Summary'!AC11</f>
        <v>6968.8784361076687</v>
      </c>
      <c r="AF20" s="17">
        <f>'Cost Summary'!AD11</f>
        <v>7333.1959589369344</v>
      </c>
      <c r="AG20" s="17">
        <f>'Cost Summary'!AE11</f>
        <v>7849.4505514466064</v>
      </c>
      <c r="AH20" s="17">
        <f>'Cost Summary'!AF11</f>
        <v>8361.1804048826962</v>
      </c>
      <c r="AI20" s="17">
        <f>'Cost Summary'!AG11</f>
        <v>7320.9508984253771</v>
      </c>
      <c r="AJ20" s="17">
        <f>'Cost Summary'!AH11</f>
        <v>7598.9460202892005</v>
      </c>
      <c r="AK20" s="17">
        <f>'Cost Summary'!AI11</f>
        <v>10497.08733281127</v>
      </c>
      <c r="AL20" s="17">
        <f>'Cost Summary'!AJ11</f>
        <v>11006.648292518254</v>
      </c>
      <c r="AM20" s="17">
        <f>'Cost Summary'!AK11</f>
        <v>9265.7780530658965</v>
      </c>
      <c r="AN20" s="17">
        <f>'Cost Summary'!AL11</f>
        <v>8436.3531978871561</v>
      </c>
      <c r="AO20" s="17">
        <f>'Cost Summary'!AM11</f>
        <v>11240.045454962476</v>
      </c>
      <c r="AP20" s="17">
        <f>'Cost Summary'!AN11</f>
        <v>11762.553067043898</v>
      </c>
      <c r="AQ20" s="17">
        <f>'Cost Summary'!AO11</f>
        <v>12346.183386869785</v>
      </c>
      <c r="AR20" s="17">
        <f>'Cost Summary'!AP11</f>
        <v>12867.84168584731</v>
      </c>
      <c r="AS20" s="17">
        <f>'Cost Summary'!AQ11</f>
        <v>13332.953369040346</v>
      </c>
      <c r="AT20" s="17">
        <f>'Cost Summary'!AR11</f>
        <v>13783.228666879599</v>
      </c>
      <c r="AU20" s="17">
        <f>'Cost Summary'!AS11</f>
        <v>14234.178915742063</v>
      </c>
      <c r="AV20" s="17">
        <f>'Cost Summary'!AT11</f>
        <v>14702.857901849977</v>
      </c>
      <c r="AW20" s="17">
        <f>'Cost Summary'!AU11</f>
        <v>15187.225881824883</v>
      </c>
      <c r="AX20" s="17">
        <f>'Cost Summary'!AV11</f>
        <v>15640.825881824883</v>
      </c>
      <c r="AY20" s="17">
        <f>'Cost Summary'!AW11</f>
        <v>16094.425881824882</v>
      </c>
      <c r="AZ20" s="17">
        <f>'Cost Summary'!AX11</f>
        <v>16548.025881824884</v>
      </c>
      <c r="BA20" s="17">
        <f>'Cost Summary'!AY11</f>
        <v>0</v>
      </c>
      <c r="BB20" s="17">
        <f>'Cost Summary'!AZ11</f>
        <v>0</v>
      </c>
      <c r="BC20" s="17">
        <f>'Cost Summary'!BA11</f>
        <v>0</v>
      </c>
      <c r="BD20" s="17">
        <f>'Cost Summary'!BB11</f>
        <v>0</v>
      </c>
      <c r="BE20" s="17">
        <f>'Cost Summary'!BC11</f>
        <v>0</v>
      </c>
      <c r="BF20" s="17">
        <f>'Cost Summary'!BD11</f>
        <v>0</v>
      </c>
      <c r="BG20" s="17">
        <f>'Cost Summary'!BE11</f>
        <v>0</v>
      </c>
      <c r="BH20" s="17">
        <f>'Cost Summary'!BF11</f>
        <v>0</v>
      </c>
      <c r="BI20" s="17">
        <f>'Cost Summary'!BG11</f>
        <v>0</v>
      </c>
      <c r="BJ20" s="17">
        <f>'Cost Summary'!BH11</f>
        <v>0</v>
      </c>
      <c r="BK20" s="17">
        <f>'Cost Summary'!BI11</f>
        <v>0</v>
      </c>
      <c r="BL20" s="17">
        <f>'Cost Summary'!BJ11</f>
        <v>0</v>
      </c>
      <c r="BM20" s="579">
        <f>'Cost Summary'!BK11</f>
        <v>0</v>
      </c>
      <c r="BN20" s="579">
        <f>'Cost Summary'!BL11</f>
        <v>0</v>
      </c>
      <c r="BO20" s="579">
        <f>'Cost Summary'!BM11</f>
        <v>0</v>
      </c>
      <c r="BP20" s="579">
        <f>'Cost Summary'!BN11</f>
        <v>0</v>
      </c>
      <c r="BQ20" s="579">
        <f>'Cost Summary'!BO11</f>
        <v>0</v>
      </c>
      <c r="BR20" s="579">
        <f>'Cost Summary'!BP11</f>
        <v>0</v>
      </c>
      <c r="BS20" s="579">
        <f>'Cost Summary'!BQ11</f>
        <v>0</v>
      </c>
      <c r="BT20" s="579">
        <f>'Cost Summary'!BR11</f>
        <v>0</v>
      </c>
      <c r="BU20" s="579">
        <f>'Cost Summary'!BS11</f>
        <v>0</v>
      </c>
      <c r="BV20" s="579">
        <f>'Cost Summary'!BT11</f>
        <v>0</v>
      </c>
      <c r="BW20" s="579">
        <f>'Cost Summary'!BU11</f>
        <v>0</v>
      </c>
      <c r="BX20" s="579">
        <f>'Cost Summary'!BV11</f>
        <v>0</v>
      </c>
    </row>
    <row r="21" spans="1:76" outlineLevel="1" x14ac:dyDescent="0.35">
      <c r="A21" s="16"/>
      <c r="B21" s="16"/>
      <c r="C21" s="16"/>
      <c r="E21" s="16"/>
      <c r="F21" s="16"/>
      <c r="G21" s="173"/>
      <c r="H21" s="16"/>
      <c r="I21" s="16"/>
      <c r="J21" s="16"/>
      <c r="K21" s="16"/>
      <c r="L21" s="16"/>
      <c r="M21" s="16"/>
      <c r="N21" s="16"/>
      <c r="O21" s="16"/>
      <c r="P21" s="16"/>
      <c r="Q21" s="16"/>
      <c r="R21" s="16"/>
      <c r="S21" s="16"/>
      <c r="T21" s="16"/>
      <c r="U21" s="16"/>
      <c r="V21" s="16"/>
      <c r="W21" s="16"/>
      <c r="X21" s="16"/>
      <c r="Y21" s="16"/>
      <c r="Z21" s="16"/>
      <c r="AA21" s="574"/>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6"/>
      <c r="BI21" s="16"/>
      <c r="BJ21" s="16"/>
      <c r="BK21" s="16"/>
      <c r="BL21" s="16"/>
      <c r="BM21" s="574"/>
    </row>
    <row r="22" spans="1:76" x14ac:dyDescent="0.35">
      <c r="A22" s="16"/>
      <c r="B22" s="16"/>
      <c r="C22" s="3" t="s">
        <v>72</v>
      </c>
      <c r="D22" s="47">
        <f>+D17+D19-D20</f>
        <v>0</v>
      </c>
      <c r="E22" s="47">
        <f>+E17+E19-E20</f>
        <v>1101139.1314897845</v>
      </c>
      <c r="F22" s="47">
        <f>+F17+F19-F20</f>
        <v>1052542.7163316631</v>
      </c>
      <c r="G22" s="47">
        <f>+G17+G19-G20</f>
        <v>1190894.5835803188</v>
      </c>
      <c r="H22" s="47">
        <f t="shared" ref="H22:BL22" si="8">+H17+H19-H20</f>
        <v>1165492.3852927089</v>
      </c>
      <c r="I22" s="47">
        <f t="shared" si="8"/>
        <v>1307925.972237109</v>
      </c>
      <c r="J22" s="47">
        <f t="shared" si="8"/>
        <v>1228887.3425106239</v>
      </c>
      <c r="K22" s="47">
        <f t="shared" si="8"/>
        <v>1232303.671757271</v>
      </c>
      <c r="L22" s="47">
        <f t="shared" si="8"/>
        <v>1239361.8680972073</v>
      </c>
      <c r="M22" s="47">
        <f t="shared" si="8"/>
        <v>1186224.2667823788</v>
      </c>
      <c r="N22" s="47">
        <f t="shared" si="8"/>
        <v>1580644.4255819665</v>
      </c>
      <c r="O22" s="47">
        <f t="shared" si="8"/>
        <v>1653274.0215276028</v>
      </c>
      <c r="P22" s="47">
        <f t="shared" si="8"/>
        <v>1165832.7230595052</v>
      </c>
      <c r="Q22" s="47">
        <f t="shared" si="8"/>
        <v>1089175.67</v>
      </c>
      <c r="R22" s="47">
        <f t="shared" si="8"/>
        <v>1320599.46</v>
      </c>
      <c r="S22" s="47">
        <f t="shared" si="8"/>
        <v>1454504.69</v>
      </c>
      <c r="T22" s="47">
        <f t="shared" si="8"/>
        <v>1489918.32</v>
      </c>
      <c r="U22" s="47">
        <f>+U17+U19-U20</f>
        <v>1462613.6400000001</v>
      </c>
      <c r="V22" s="47">
        <f t="shared" si="8"/>
        <v>1266559.4100000001</v>
      </c>
      <c r="W22" s="47">
        <f t="shared" si="8"/>
        <v>1313144.4300000002</v>
      </c>
      <c r="X22" s="47">
        <f t="shared" si="8"/>
        <v>1329511.1700000002</v>
      </c>
      <c r="Y22" s="47">
        <f t="shared" si="8"/>
        <v>1484198.9000000001</v>
      </c>
      <c r="Z22" s="47">
        <f t="shared" si="8"/>
        <v>1681931.52</v>
      </c>
      <c r="AA22" s="47">
        <f t="shared" ref="AA22" si="9">+AA17+AA19-AA20</f>
        <v>1385506.77</v>
      </c>
      <c r="AB22" s="47">
        <f t="shared" si="8"/>
        <v>1594558.5699999998</v>
      </c>
      <c r="AC22" s="47">
        <f t="shared" si="8"/>
        <v>1442308.5279927489</v>
      </c>
      <c r="AD22" s="47">
        <f t="shared" si="8"/>
        <v>1536439.9046038743</v>
      </c>
      <c r="AE22" s="47">
        <f t="shared" si="8"/>
        <v>1569393.8943444195</v>
      </c>
      <c r="AF22" s="47">
        <f t="shared" si="8"/>
        <v>1704848.0591045169</v>
      </c>
      <c r="AG22" s="47">
        <f t="shared" si="8"/>
        <v>1840784.5137629744</v>
      </c>
      <c r="AH22" s="47">
        <f t="shared" si="8"/>
        <v>1967909.7692531473</v>
      </c>
      <c r="AI22" s="47">
        <f t="shared" si="8"/>
        <v>1933744.6481138726</v>
      </c>
      <c r="AJ22" s="47">
        <f t="shared" si="8"/>
        <v>2022437.3651783913</v>
      </c>
      <c r="AK22" s="47">
        <f t="shared" si="8"/>
        <v>2370524.555118076</v>
      </c>
      <c r="AL22" s="47">
        <f t="shared" si="8"/>
        <v>2511294.1901290677</v>
      </c>
      <c r="AM22" s="47">
        <f t="shared" si="8"/>
        <v>2429271.1364232842</v>
      </c>
      <c r="AN22" s="47">
        <f t="shared" si="8"/>
        <v>2437481.1757605891</v>
      </c>
      <c r="AO22" s="47">
        <f t="shared" si="8"/>
        <v>2805369.8092110455</v>
      </c>
      <c r="AP22" s="47">
        <f t="shared" si="8"/>
        <v>2947421.162807106</v>
      </c>
      <c r="AQ22" s="47">
        <f t="shared" si="8"/>
        <v>3095523.6644698689</v>
      </c>
      <c r="AR22" s="47">
        <f t="shared" si="8"/>
        <v>3237490.9360686429</v>
      </c>
      <c r="AS22" s="47">
        <f t="shared" si="8"/>
        <v>3373860.0927047539</v>
      </c>
      <c r="AT22" s="47">
        <f t="shared" si="8"/>
        <v>3508760.4471908403</v>
      </c>
      <c r="AU22" s="47">
        <f t="shared" si="8"/>
        <v>3643727.6218282245</v>
      </c>
      <c r="AV22" s="47">
        <f t="shared" si="8"/>
        <v>3780449.9414529079</v>
      </c>
      <c r="AW22" s="47">
        <f t="shared" si="8"/>
        <v>3918725.4714704235</v>
      </c>
      <c r="AX22" s="47">
        <f t="shared" si="8"/>
        <v>4053954.971470423</v>
      </c>
      <c r="AY22" s="47">
        <f t="shared" si="8"/>
        <v>4189184.4714704235</v>
      </c>
      <c r="AZ22" s="47">
        <f t="shared" si="8"/>
        <v>4324413.971470423</v>
      </c>
      <c r="BA22" s="47">
        <f t="shared" si="8"/>
        <v>0</v>
      </c>
      <c r="BB22" s="47">
        <f t="shared" si="8"/>
        <v>0</v>
      </c>
      <c r="BC22" s="47">
        <f t="shared" si="8"/>
        <v>0</v>
      </c>
      <c r="BD22" s="47">
        <f t="shared" si="8"/>
        <v>0</v>
      </c>
      <c r="BE22" s="47">
        <f t="shared" si="8"/>
        <v>0</v>
      </c>
      <c r="BF22" s="47">
        <f t="shared" si="8"/>
        <v>0</v>
      </c>
      <c r="BG22" s="47">
        <f t="shared" si="8"/>
        <v>0</v>
      </c>
      <c r="BH22" s="47">
        <f t="shared" si="8"/>
        <v>0</v>
      </c>
      <c r="BI22" s="47">
        <f t="shared" si="8"/>
        <v>0</v>
      </c>
      <c r="BJ22" s="47">
        <f t="shared" si="8"/>
        <v>0</v>
      </c>
      <c r="BK22" s="47">
        <f t="shared" si="8"/>
        <v>0</v>
      </c>
      <c r="BL22" s="47">
        <f t="shared" si="8"/>
        <v>0</v>
      </c>
      <c r="BM22" s="47">
        <f t="shared" ref="BM22:BX22" si="10">+BM17+BM19-BM20</f>
        <v>0</v>
      </c>
      <c r="BN22" s="47">
        <f t="shared" si="10"/>
        <v>0</v>
      </c>
      <c r="BO22" s="47">
        <f t="shared" si="10"/>
        <v>0</v>
      </c>
      <c r="BP22" s="47">
        <f t="shared" si="10"/>
        <v>0</v>
      </c>
      <c r="BQ22" s="47">
        <f t="shared" si="10"/>
        <v>0</v>
      </c>
      <c r="BR22" s="47">
        <f t="shared" si="10"/>
        <v>0</v>
      </c>
      <c r="BS22" s="47">
        <f t="shared" si="10"/>
        <v>0</v>
      </c>
      <c r="BT22" s="47">
        <f t="shared" si="10"/>
        <v>0</v>
      </c>
      <c r="BU22" s="47">
        <f t="shared" si="10"/>
        <v>0</v>
      </c>
      <c r="BV22" s="47">
        <f t="shared" si="10"/>
        <v>0</v>
      </c>
      <c r="BW22" s="47">
        <f t="shared" si="10"/>
        <v>0</v>
      </c>
      <c r="BX22" s="47">
        <f t="shared" si="10"/>
        <v>0</v>
      </c>
    </row>
    <row r="23" spans="1:76" x14ac:dyDescent="0.35">
      <c r="A23" s="16"/>
      <c r="B23" s="16"/>
      <c r="D23" s="167"/>
      <c r="E23" s="167"/>
      <c r="F23" s="576"/>
      <c r="G23" s="576"/>
      <c r="H23" s="576"/>
      <c r="I23" s="576"/>
      <c r="J23" s="576"/>
      <c r="K23" s="576"/>
      <c r="L23" s="576"/>
      <c r="M23" s="576"/>
      <c r="N23" s="576"/>
      <c r="O23" s="57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6"/>
      <c r="BI23" s="16"/>
      <c r="BJ23" s="16"/>
      <c r="BK23" s="16"/>
      <c r="BL23" s="16"/>
      <c r="BM23" s="574"/>
    </row>
    <row r="24" spans="1:76" x14ac:dyDescent="0.35">
      <c r="A24" s="16"/>
      <c r="B24" s="16"/>
      <c r="D24" s="167"/>
      <c r="E24" s="439"/>
      <c r="F24" s="439"/>
      <c r="G24" s="439"/>
      <c r="H24" s="439"/>
      <c r="I24" s="439"/>
      <c r="J24" s="439"/>
      <c r="K24" s="439"/>
      <c r="L24" s="439"/>
      <c r="M24" s="439"/>
      <c r="N24" s="439"/>
      <c r="O24" s="439"/>
      <c r="P24" s="167"/>
      <c r="Q24" s="167"/>
      <c r="R24" s="167"/>
      <c r="S24" s="167"/>
      <c r="T24" s="167"/>
      <c r="U24" s="167"/>
      <c r="V24" s="167"/>
      <c r="W24" s="167"/>
      <c r="X24" s="167">
        <f>AVERAGE(X22:Z22)</f>
        <v>1498547.1966666665</v>
      </c>
      <c r="Y24" s="167"/>
      <c r="Z24" s="167"/>
      <c r="AA24" s="167"/>
      <c r="AB24" s="167"/>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6"/>
      <c r="BH24" s="16"/>
      <c r="BI24" s="16"/>
      <c r="BJ24" s="16"/>
      <c r="BK24" s="16"/>
      <c r="BL24" s="16"/>
      <c r="BM24" s="574"/>
    </row>
    <row r="25" spans="1:76" x14ac:dyDescent="0.35">
      <c r="B25" s="45" t="s">
        <v>73</v>
      </c>
      <c r="E25" s="173"/>
      <c r="F25" s="142"/>
      <c r="G25" s="142"/>
      <c r="H25" s="142"/>
      <c r="I25" s="142"/>
      <c r="J25" s="142"/>
      <c r="K25" s="173"/>
      <c r="L25" s="173"/>
      <c r="M25" s="173"/>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6"/>
      <c r="BI25" s="16"/>
      <c r="BJ25" s="16"/>
      <c r="BK25" s="16"/>
      <c r="BL25" s="16"/>
      <c r="BM25" s="574"/>
    </row>
    <row r="26" spans="1:76" outlineLevel="1" x14ac:dyDescent="0.35">
      <c r="B26" s="17"/>
      <c r="C26" s="44" t="s">
        <v>220</v>
      </c>
      <c r="D26" s="155"/>
      <c r="E26" s="155">
        <f>'Cost Summary'!C8</f>
        <v>114123.61</v>
      </c>
      <c r="F26" s="155">
        <f>'Cost Summary'!D8</f>
        <v>154940.40000000002</v>
      </c>
      <c r="G26" s="155">
        <f>'Cost Summary'!E8</f>
        <v>153693.6</v>
      </c>
      <c r="H26" s="155">
        <f>'Cost Summary'!F8</f>
        <v>140652.93</v>
      </c>
      <c r="I26" s="155">
        <f>'Cost Summary'!G8</f>
        <v>151105.10999999999</v>
      </c>
      <c r="J26" s="155">
        <f>'Cost Summary'!H8</f>
        <v>174986.84</v>
      </c>
      <c r="K26" s="155">
        <f>'Cost Summary'!I8</f>
        <v>124185.39</v>
      </c>
      <c r="L26" s="155">
        <f>'Cost Summary'!J8</f>
        <v>37615.32</v>
      </c>
      <c r="M26" s="155">
        <f>'Cost Summary'!K8</f>
        <v>102063.34</v>
      </c>
      <c r="N26" s="155">
        <f>'Cost Summary'!L8</f>
        <v>54380.88</v>
      </c>
      <c r="O26" s="155">
        <f>'Cost Summary'!M8</f>
        <v>130805.63999999998</v>
      </c>
      <c r="P26" s="155">
        <f>'Cost Summary'!N8</f>
        <v>251407.58</v>
      </c>
      <c r="Q26" s="155">
        <f>'Cost Summary'!O8</f>
        <v>64638.600000000006</v>
      </c>
      <c r="R26" s="155">
        <f>'Cost Summary'!P8</f>
        <v>75914.48</v>
      </c>
      <c r="S26" s="155">
        <f>'Cost Summary'!Q8</f>
        <v>103069.56999999999</v>
      </c>
      <c r="T26" s="155">
        <f>'Cost Summary'!R8</f>
        <v>87362.32</v>
      </c>
      <c r="U26" s="155">
        <f>'Cost Summary'!S8</f>
        <v>98240.57</v>
      </c>
      <c r="V26" s="155">
        <f>'Cost Summary'!T8</f>
        <v>86387.87000000001</v>
      </c>
      <c r="W26" s="155">
        <f>'Cost Summary'!U8</f>
        <v>100398.06000000001</v>
      </c>
      <c r="X26" s="155">
        <f>'Cost Summary'!V8</f>
        <v>80790.740000000005</v>
      </c>
      <c r="Y26" s="155">
        <f>'Cost Summary'!W8</f>
        <v>107041.31</v>
      </c>
      <c r="Z26" s="155">
        <f>'Cost Summary'!X8</f>
        <v>119074.54999999999</v>
      </c>
      <c r="AA26" s="577">
        <f>'Cost Summary'!Y8</f>
        <v>110198.93999999999</v>
      </c>
      <c r="AB26" s="155">
        <f>'Cost Summary'!Z8</f>
        <v>103516.61</v>
      </c>
      <c r="AC26" s="155">
        <f>'Cost Summary'!AA8</f>
        <v>95542.422423143755</v>
      </c>
      <c r="AD26" s="155">
        <f>'Cost Summary'!AB8</f>
        <v>99228.870520320299</v>
      </c>
      <c r="AE26" s="155">
        <f>'Cost Summary'!AC8</f>
        <v>104533.17654161502</v>
      </c>
      <c r="AF26" s="155">
        <f>'Cost Summary'!AD8</f>
        <v>109997.939384054</v>
      </c>
      <c r="AG26" s="155">
        <f>'Cost Summary'!AE8</f>
        <v>117741.75827169909</v>
      </c>
      <c r="AH26" s="155">
        <f>'Cost Summary'!AF8</f>
        <v>125417.70607324044</v>
      </c>
      <c r="AI26" s="155">
        <f>'Cost Summary'!AG8</f>
        <v>109814.26347638064</v>
      </c>
      <c r="AJ26" s="155">
        <f>'Cost Summary'!AH8</f>
        <v>113984.19030433802</v>
      </c>
      <c r="AK26" s="155">
        <f>'Cost Summary'!AI8</f>
        <v>157456.30999216903</v>
      </c>
      <c r="AL26" s="155">
        <f>'Cost Summary'!AJ8</f>
        <v>165099.72438777381</v>
      </c>
      <c r="AM26" s="155">
        <f>'Cost Summary'!AK8</f>
        <v>138986.67079598844</v>
      </c>
      <c r="AN26" s="155">
        <f>'Cost Summary'!AL8</f>
        <v>126545.29796830734</v>
      </c>
      <c r="AO26" s="155">
        <f>'Cost Summary'!AM8</f>
        <v>168600.68182443711</v>
      </c>
      <c r="AP26" s="155">
        <f>'Cost Summary'!AN8</f>
        <v>176438.29600565849</v>
      </c>
      <c r="AQ26" s="155">
        <f>'Cost Summary'!AO8</f>
        <v>185192.75080304677</v>
      </c>
      <c r="AR26" s="155">
        <f>'Cost Summary'!AP8</f>
        <v>193017.62528770964</v>
      </c>
      <c r="AS26" s="155">
        <f>'Cost Summary'!AQ8</f>
        <v>199994.30053560517</v>
      </c>
      <c r="AT26" s="155">
        <f>'Cost Summary'!AR8</f>
        <v>206748.43000319396</v>
      </c>
      <c r="AU26" s="155">
        <f>'Cost Summary'!AS8</f>
        <v>213512.68373613094</v>
      </c>
      <c r="AV26" s="155">
        <f>'Cost Summary'!AT8</f>
        <v>220542.86852774964</v>
      </c>
      <c r="AW26" s="155">
        <f>'Cost Summary'!AU8</f>
        <v>227808.38822737322</v>
      </c>
      <c r="AX26" s="155">
        <f>'Cost Summary'!AV8</f>
        <v>234612.38822737322</v>
      </c>
      <c r="AY26" s="155">
        <f>'Cost Summary'!AW8</f>
        <v>241416.38822737322</v>
      </c>
      <c r="AZ26" s="155">
        <f>'Cost Summary'!AX8</f>
        <v>248220.38822737322</v>
      </c>
      <c r="BA26" s="155">
        <f>'Cost Summary'!AY8</f>
        <v>0</v>
      </c>
      <c r="BB26" s="155">
        <f>'Cost Summary'!AZ8</f>
        <v>0</v>
      </c>
      <c r="BC26" s="155">
        <f>'Cost Summary'!BA8</f>
        <v>0</v>
      </c>
      <c r="BD26" s="155">
        <f>'Cost Summary'!BB8</f>
        <v>0</v>
      </c>
      <c r="BE26" s="155">
        <f>'Cost Summary'!BC8</f>
        <v>0</v>
      </c>
      <c r="BF26" s="155">
        <f>'Cost Summary'!BD8</f>
        <v>0</v>
      </c>
      <c r="BG26" s="155">
        <f>'Cost Summary'!BE8</f>
        <v>0</v>
      </c>
      <c r="BH26" s="155">
        <f>'Cost Summary'!BF8</f>
        <v>0</v>
      </c>
      <c r="BI26" s="155">
        <f>'Cost Summary'!BG8</f>
        <v>0</v>
      </c>
      <c r="BJ26" s="155">
        <f>'Cost Summary'!BH8</f>
        <v>0</v>
      </c>
      <c r="BK26" s="155">
        <f>'Cost Summary'!BI8</f>
        <v>0</v>
      </c>
      <c r="BL26" s="155">
        <f>'Cost Summary'!BJ8</f>
        <v>0</v>
      </c>
      <c r="BM26" s="577">
        <f>'Cost Summary'!BK8</f>
        <v>0</v>
      </c>
      <c r="BN26" s="577">
        <f>'Cost Summary'!BL8</f>
        <v>0</v>
      </c>
      <c r="BO26" s="577">
        <f>'Cost Summary'!BM8</f>
        <v>0</v>
      </c>
      <c r="BP26" s="577">
        <f>'Cost Summary'!BN8</f>
        <v>0</v>
      </c>
      <c r="BQ26" s="577">
        <f>'Cost Summary'!BO8</f>
        <v>0</v>
      </c>
      <c r="BR26" s="577">
        <f>'Cost Summary'!BP8</f>
        <v>0</v>
      </c>
      <c r="BS26" s="577">
        <f>'Cost Summary'!BQ8</f>
        <v>0</v>
      </c>
      <c r="BT26" s="577">
        <f>'Cost Summary'!BR8</f>
        <v>0</v>
      </c>
      <c r="BU26" s="577">
        <f>'Cost Summary'!BS8</f>
        <v>0</v>
      </c>
      <c r="BV26" s="577">
        <f>'Cost Summary'!BT8</f>
        <v>0</v>
      </c>
      <c r="BW26" s="577">
        <f>'Cost Summary'!BU8</f>
        <v>0</v>
      </c>
      <c r="BX26" s="577">
        <f>'Cost Summary'!BV8</f>
        <v>0</v>
      </c>
    </row>
    <row r="27" spans="1:76" outlineLevel="1" x14ac:dyDescent="0.35">
      <c r="B27" s="17"/>
      <c r="C27" s="44" t="s">
        <v>219</v>
      </c>
      <c r="D27" s="155"/>
      <c r="E27" s="155">
        <f>'Cost Summary'!C9</f>
        <v>28462.22</v>
      </c>
      <c r="F27" s="155">
        <f>'Cost Summary'!D9</f>
        <v>32415.870000000003</v>
      </c>
      <c r="G27" s="155">
        <f>'Cost Summary'!E9</f>
        <v>33964.15</v>
      </c>
      <c r="H27" s="155">
        <f>'Cost Summary'!F9</f>
        <v>32920.99</v>
      </c>
      <c r="I27" s="155">
        <f>'Cost Summary'!G9</f>
        <v>38367.51</v>
      </c>
      <c r="J27" s="155">
        <f>'Cost Summary'!H9</f>
        <v>69265.509999999995</v>
      </c>
      <c r="K27" s="155">
        <f>'Cost Summary'!I9</f>
        <v>41789.490000000005</v>
      </c>
      <c r="L27" s="155">
        <f>'Cost Summary'!J9</f>
        <v>39656.43</v>
      </c>
      <c r="M27" s="155">
        <f>'Cost Summary'!K9</f>
        <v>40158.36</v>
      </c>
      <c r="N27" s="155">
        <f>'Cost Summary'!L9</f>
        <v>48012.869999999995</v>
      </c>
      <c r="O27" s="155">
        <f>'Cost Summary'!M9</f>
        <v>43573.91</v>
      </c>
      <c r="P27" s="155">
        <f>'Cost Summary'!N9</f>
        <v>69313.539999999994</v>
      </c>
      <c r="Q27" s="155">
        <f>'Cost Summary'!O9</f>
        <v>28986.98</v>
      </c>
      <c r="R27" s="155">
        <f>'Cost Summary'!P9</f>
        <v>27795.119999999999</v>
      </c>
      <c r="S27" s="155">
        <f>'Cost Summary'!Q9</f>
        <v>35112.93</v>
      </c>
      <c r="T27" s="155">
        <f>'Cost Summary'!R9</f>
        <v>64951.85</v>
      </c>
      <c r="U27" s="155">
        <f>'Cost Summary'!S9</f>
        <v>41650.379999999997</v>
      </c>
      <c r="V27" s="155">
        <f>'Cost Summary'!T9</f>
        <v>41628.949999999997</v>
      </c>
      <c r="W27" s="155">
        <f>'Cost Summary'!U9</f>
        <v>46305.83</v>
      </c>
      <c r="X27" s="155">
        <f>'Cost Summary'!V9</f>
        <v>47929.09</v>
      </c>
      <c r="Y27" s="155">
        <f>'Cost Summary'!W9</f>
        <v>55027.8</v>
      </c>
      <c r="Z27" s="155">
        <f>'Cost Summary'!X9</f>
        <v>69821.600000000006</v>
      </c>
      <c r="AA27" s="577">
        <f>'Cost Summary'!Y9</f>
        <v>59081.45</v>
      </c>
      <c r="AB27" s="155">
        <f>'Cost Summary'!Z9</f>
        <v>34317.17</v>
      </c>
      <c r="AC27" s="155">
        <f>'Cost Summary'!AA9</f>
        <v>79472.997799999983</v>
      </c>
      <c r="AD27" s="155">
        <f>'Cost Summary'!AB9</f>
        <v>84359.055141883233</v>
      </c>
      <c r="AE27" s="155">
        <f>'Cost Summary'!AC9</f>
        <v>84215.24504188323</v>
      </c>
      <c r="AF27" s="155">
        <f>'Cost Summary'!AD9</f>
        <v>91172.316141883231</v>
      </c>
      <c r="AG27" s="155">
        <f>'Cost Summary'!AE9</f>
        <v>97110.223641883233</v>
      </c>
      <c r="AH27" s="155">
        <f>'Cost Summary'!AF9</f>
        <v>102462.70364188323</v>
      </c>
      <c r="AI27" s="155">
        <f>'Cost Summary'!AG9</f>
        <v>107279.93564188322</v>
      </c>
      <c r="AJ27" s="155">
        <f>'Cost Summary'!AH9</f>
        <v>111561.91964188323</v>
      </c>
      <c r="AK27" s="155">
        <f>'Cost Summary'!AI9</f>
        <v>115843.90364188324</v>
      </c>
      <c r="AL27" s="155">
        <f>'Cost Summary'!AJ9</f>
        <v>122166.52064188324</v>
      </c>
      <c r="AM27" s="155">
        <f>'Cost Summary'!AK9</f>
        <v>128489.13764188322</v>
      </c>
      <c r="AN27" s="155">
        <f>'Cost Summary'!AL9</f>
        <v>134811.75464188325</v>
      </c>
      <c r="AO27" s="155">
        <f>'Cost Summary'!AM9</f>
        <v>141134.37164188325</v>
      </c>
      <c r="AP27" s="155">
        <f>'Cost Summary'!AN9</f>
        <v>147456.98864188322</v>
      </c>
      <c r="AQ27" s="155">
        <f>'Cost Summary'!AO9</f>
        <v>141134.37164188325</v>
      </c>
      <c r="AR27" s="155">
        <f>'Cost Summary'!AP9</f>
        <v>147456.98864188322</v>
      </c>
      <c r="AS27" s="155">
        <f>'Cost Summary'!AQ9</f>
        <v>153779.60564188322</v>
      </c>
      <c r="AT27" s="155">
        <f>'Cost Summary'!AR9</f>
        <v>160102.22264188319</v>
      </c>
      <c r="AU27" s="155">
        <f>'Cost Summary'!AS9</f>
        <v>166424.83964188321</v>
      </c>
      <c r="AV27" s="155">
        <f>'Cost Summary'!AT9</f>
        <v>172747.45664188321</v>
      </c>
      <c r="AW27" s="155">
        <f>'Cost Summary'!AU9</f>
        <v>179070.07364188318</v>
      </c>
      <c r="AX27" s="155">
        <f>'Cost Summary'!AV9</f>
        <v>185392.69064188324</v>
      </c>
      <c r="AY27" s="155">
        <f>'Cost Summary'!AW9</f>
        <v>191715.30764188321</v>
      </c>
      <c r="AZ27" s="155">
        <f>'Cost Summary'!AX9</f>
        <v>198037.92464188318</v>
      </c>
      <c r="BA27" s="155">
        <f>'Cost Summary'!AY9</f>
        <v>204360.54164188317</v>
      </c>
      <c r="BB27" s="155">
        <f>'Cost Summary'!AZ9</f>
        <v>210683.1586418832</v>
      </c>
      <c r="BC27" s="155">
        <f>'Cost Summary'!BA9</f>
        <v>22652</v>
      </c>
      <c r="BD27" s="155">
        <f>'Cost Summary'!BB9</f>
        <v>22652</v>
      </c>
      <c r="BE27" s="155">
        <f>'Cost Summary'!BC9</f>
        <v>22652</v>
      </c>
      <c r="BF27" s="155">
        <f>'Cost Summary'!BD9</f>
        <v>0</v>
      </c>
      <c r="BG27" s="155">
        <f>'Cost Summary'!BE9</f>
        <v>0</v>
      </c>
      <c r="BH27" s="155">
        <f>'Cost Summary'!BF9</f>
        <v>0</v>
      </c>
      <c r="BI27" s="155">
        <f>'Cost Summary'!BG9</f>
        <v>0</v>
      </c>
      <c r="BJ27" s="155">
        <f>'Cost Summary'!BH9</f>
        <v>0</v>
      </c>
      <c r="BK27" s="155">
        <f>'Cost Summary'!BI9</f>
        <v>0</v>
      </c>
      <c r="BL27" s="155">
        <f>'Cost Summary'!BJ9</f>
        <v>0</v>
      </c>
      <c r="BM27" s="577">
        <f>'Cost Summary'!BK9</f>
        <v>0</v>
      </c>
      <c r="BN27" s="577">
        <f>'Cost Summary'!BL9</f>
        <v>0</v>
      </c>
      <c r="BO27" s="577">
        <f>'Cost Summary'!BM9</f>
        <v>0</v>
      </c>
      <c r="BP27" s="577">
        <f>'Cost Summary'!BN9</f>
        <v>0</v>
      </c>
      <c r="BQ27" s="577">
        <f>'Cost Summary'!BO9</f>
        <v>0</v>
      </c>
      <c r="BR27" s="577">
        <f>'Cost Summary'!BP9</f>
        <v>0</v>
      </c>
      <c r="BS27" s="577">
        <f>'Cost Summary'!BQ9</f>
        <v>0</v>
      </c>
      <c r="BT27" s="577">
        <f>'Cost Summary'!BR9</f>
        <v>0</v>
      </c>
      <c r="BU27" s="577">
        <f>'Cost Summary'!BS9</f>
        <v>0</v>
      </c>
      <c r="BV27" s="577">
        <f>'Cost Summary'!BT9</f>
        <v>0</v>
      </c>
      <c r="BW27" s="577">
        <f>'Cost Summary'!BU9</f>
        <v>0</v>
      </c>
      <c r="BX27" s="577">
        <f>'Cost Summary'!BV9</f>
        <v>0</v>
      </c>
    </row>
    <row r="28" spans="1:76" outlineLevel="1" x14ac:dyDescent="0.35">
      <c r="B28" s="17"/>
      <c r="C28" s="44" t="s">
        <v>181</v>
      </c>
      <c r="D28" s="308"/>
      <c r="E28" s="17">
        <f>'Cost Summary'!C12</f>
        <v>22161.71</v>
      </c>
      <c r="F28" s="17">
        <f>'Cost Summary'!D12</f>
        <v>16538.16</v>
      </c>
      <c r="G28" s="175">
        <f>'Cost Summary'!E12</f>
        <v>16577.8</v>
      </c>
      <c r="H28" s="17">
        <f>'Cost Summary'!F12</f>
        <v>27760.080000000002</v>
      </c>
      <c r="I28" s="17">
        <f>'Cost Summary'!G12</f>
        <v>25496.159999999996</v>
      </c>
      <c r="J28" s="17">
        <f>'Cost Summary'!H12</f>
        <v>18014.29</v>
      </c>
      <c r="K28" s="17">
        <f>'Cost Summary'!I12</f>
        <v>21669.42</v>
      </c>
      <c r="L28" s="17">
        <f>'Cost Summary'!J12</f>
        <v>24773.83</v>
      </c>
      <c r="M28" s="17">
        <f>'Cost Summary'!K12</f>
        <v>21977.45</v>
      </c>
      <c r="N28" s="225">
        <f>'Cost Summary'!L12</f>
        <v>21326.42</v>
      </c>
      <c r="O28" s="225">
        <f>'Cost Summary'!M12</f>
        <v>22974</v>
      </c>
      <c r="P28" s="225">
        <f>'Cost Summary'!N12</f>
        <v>39383.899999999994</v>
      </c>
      <c r="Q28" s="225">
        <f>'Cost Summary'!O12</f>
        <v>23677.3</v>
      </c>
      <c r="R28" s="225">
        <f>'Cost Summary'!P12</f>
        <v>35916.199999999997</v>
      </c>
      <c r="S28" s="225">
        <f>'Cost Summary'!Q12</f>
        <v>25322.559999999998</v>
      </c>
      <c r="T28" s="225">
        <f>'Cost Summary'!R12</f>
        <v>33812.629999999997</v>
      </c>
      <c r="U28" s="225">
        <f>'Cost Summary'!S12</f>
        <v>28943.33</v>
      </c>
      <c r="V28" s="225">
        <f>'Cost Summary'!T12</f>
        <v>28552.67</v>
      </c>
      <c r="W28" s="225">
        <f>'Cost Summary'!U12</f>
        <v>23645.519999999997</v>
      </c>
      <c r="X28" s="225">
        <f>'Cost Summary'!V12</f>
        <v>43556.01</v>
      </c>
      <c r="Y28" s="225">
        <f>'Cost Summary'!W12</f>
        <v>37610.559999999998</v>
      </c>
      <c r="Z28" s="225">
        <f>'Cost Summary'!X12</f>
        <v>46571.200000000004</v>
      </c>
      <c r="AA28" s="579">
        <f>'Cost Summary'!Y12</f>
        <v>36427.620000000003</v>
      </c>
      <c r="AB28" s="225">
        <f>'Cost Summary'!Z12</f>
        <v>36977.99</v>
      </c>
      <c r="AC28" s="17">
        <f>'Cost Summary'!AA12</f>
        <v>25350</v>
      </c>
      <c r="AD28" s="17">
        <f>'Cost Summary'!AB12</f>
        <v>25350</v>
      </c>
      <c r="AE28" s="17">
        <f>'Cost Summary'!AC12</f>
        <v>25350</v>
      </c>
      <c r="AF28" s="17">
        <f>'Cost Summary'!AD12</f>
        <v>25350</v>
      </c>
      <c r="AG28" s="17">
        <f>'Cost Summary'!AE12</f>
        <v>25350</v>
      </c>
      <c r="AH28" s="17">
        <f>'Cost Summary'!AF12</f>
        <v>25350</v>
      </c>
      <c r="AI28" s="17">
        <f>'Cost Summary'!AG12</f>
        <v>25350</v>
      </c>
      <c r="AJ28" s="17">
        <f>'Cost Summary'!AH12</f>
        <v>25350</v>
      </c>
      <c r="AK28" s="17">
        <f>'Cost Summary'!AI12</f>
        <v>25350</v>
      </c>
      <c r="AL28" s="17">
        <f>'Cost Summary'!AJ12</f>
        <v>25350</v>
      </c>
      <c r="AM28" s="17">
        <f>'Cost Summary'!AK12</f>
        <v>25350</v>
      </c>
      <c r="AN28" s="17">
        <f>'Cost Summary'!AL12</f>
        <v>25350</v>
      </c>
      <c r="AO28" s="17">
        <f>'Cost Summary'!AM12</f>
        <v>25350</v>
      </c>
      <c r="AP28" s="17">
        <f>'Cost Summary'!AN12</f>
        <v>25350</v>
      </c>
      <c r="AQ28" s="17">
        <f>'Cost Summary'!AO12</f>
        <v>25350</v>
      </c>
      <c r="AR28" s="17">
        <f>'Cost Summary'!AP12</f>
        <v>25350</v>
      </c>
      <c r="AS28" s="17">
        <f>'Cost Summary'!AQ12</f>
        <v>25350</v>
      </c>
      <c r="AT28" s="17">
        <f>'Cost Summary'!AR12</f>
        <v>25350</v>
      </c>
      <c r="AU28" s="17">
        <f>'Cost Summary'!AS12</f>
        <v>25350</v>
      </c>
      <c r="AV28" s="17">
        <f>'Cost Summary'!AT12</f>
        <v>25350</v>
      </c>
      <c r="AW28" s="17">
        <f>'Cost Summary'!AU12</f>
        <v>25350</v>
      </c>
      <c r="AX28" s="17">
        <f>'Cost Summary'!AV12</f>
        <v>25350</v>
      </c>
      <c r="AY28" s="17">
        <f>'Cost Summary'!AW12</f>
        <v>25350</v>
      </c>
      <c r="AZ28" s="17">
        <f>'Cost Summary'!AX12</f>
        <v>25350</v>
      </c>
      <c r="BA28" s="17">
        <f>'Cost Summary'!AY12</f>
        <v>25350</v>
      </c>
      <c r="BB28" s="17">
        <f>'Cost Summary'!AZ12</f>
        <v>25350</v>
      </c>
      <c r="BC28" s="17">
        <f>'Cost Summary'!BA12</f>
        <v>25350</v>
      </c>
      <c r="BD28" s="17">
        <f>'Cost Summary'!BB12</f>
        <v>25350</v>
      </c>
      <c r="BE28" s="17">
        <f>'Cost Summary'!BC12</f>
        <v>25350</v>
      </c>
      <c r="BF28" s="17">
        <f>'Cost Summary'!BD12</f>
        <v>25350</v>
      </c>
      <c r="BG28" s="17">
        <f>'Cost Summary'!BE12</f>
        <v>25350</v>
      </c>
      <c r="BH28" s="17">
        <f>'Cost Summary'!BF12</f>
        <v>25350</v>
      </c>
      <c r="BI28" s="17">
        <f>'Cost Summary'!BG12</f>
        <v>25350</v>
      </c>
      <c r="BJ28" s="17">
        <f>'Cost Summary'!BH12</f>
        <v>25350</v>
      </c>
      <c r="BK28" s="17">
        <f>'Cost Summary'!BI12</f>
        <v>25350</v>
      </c>
      <c r="BL28" s="17">
        <f>'Cost Summary'!BJ12</f>
        <v>25350</v>
      </c>
      <c r="BM28" s="579">
        <f>'Cost Summary'!BK12</f>
        <v>25350</v>
      </c>
      <c r="BN28" s="579">
        <f>'Cost Summary'!BL12</f>
        <v>25350</v>
      </c>
      <c r="BO28" s="579">
        <f>'Cost Summary'!BM12</f>
        <v>25350</v>
      </c>
      <c r="BP28" s="579">
        <f>'Cost Summary'!BN12</f>
        <v>25350</v>
      </c>
      <c r="BQ28" s="579">
        <f>'Cost Summary'!BO12</f>
        <v>25350</v>
      </c>
      <c r="BR28" s="579">
        <f>'Cost Summary'!BP12</f>
        <v>25350</v>
      </c>
      <c r="BS28" s="579">
        <f>'Cost Summary'!BQ12</f>
        <v>25350</v>
      </c>
      <c r="BT28" s="579">
        <f>'Cost Summary'!BR12</f>
        <v>25350</v>
      </c>
      <c r="BU28" s="579">
        <f>'Cost Summary'!BS12</f>
        <v>25350</v>
      </c>
      <c r="BV28" s="579">
        <f>'Cost Summary'!BT12</f>
        <v>25350</v>
      </c>
      <c r="BW28" s="579">
        <f>'Cost Summary'!BU12</f>
        <v>25350</v>
      </c>
      <c r="BX28" s="579">
        <f>'Cost Summary'!BV12</f>
        <v>25350</v>
      </c>
    </row>
    <row r="29" spans="1:76" outlineLevel="1" x14ac:dyDescent="0.35">
      <c r="B29" s="17"/>
      <c r="C29" s="44" t="s">
        <v>74</v>
      </c>
      <c r="D29" s="308"/>
      <c r="E29" s="17">
        <f>'Cost Summary'!C13</f>
        <v>20576.849999999999</v>
      </c>
      <c r="F29" s="17">
        <f>'Cost Summary'!D13</f>
        <v>20279.760000000002</v>
      </c>
      <c r="G29" s="175">
        <f>'Cost Summary'!E13</f>
        <v>20182.7</v>
      </c>
      <c r="H29" s="17">
        <f>'Cost Summary'!F13</f>
        <v>25924.18</v>
      </c>
      <c r="I29" s="17">
        <f>'Cost Summary'!G13</f>
        <v>26600.04</v>
      </c>
      <c r="J29" s="17">
        <f>'Cost Summary'!H13</f>
        <v>28612.95</v>
      </c>
      <c r="K29" s="17">
        <f>'Cost Summary'!I13</f>
        <v>26847.27</v>
      </c>
      <c r="L29" s="17">
        <f>'Cost Summary'!J13</f>
        <v>26671.67</v>
      </c>
      <c r="M29" s="17">
        <f>'Cost Summary'!K13</f>
        <v>26885.89</v>
      </c>
      <c r="N29" s="17">
        <f>'Cost Summary'!L13</f>
        <v>29707.010000000002</v>
      </c>
      <c r="O29" s="17">
        <f>'Cost Summary'!M13</f>
        <v>33841.120000000003</v>
      </c>
      <c r="P29" s="17">
        <f>'Cost Summary'!N13</f>
        <v>31757.35</v>
      </c>
      <c r="Q29" s="17">
        <f>'Cost Summary'!O13</f>
        <v>15810.7</v>
      </c>
      <c r="R29" s="17">
        <f>'Cost Summary'!P13</f>
        <v>28578.89</v>
      </c>
      <c r="S29" s="17">
        <f>'Cost Summary'!Q13</f>
        <v>27683.75</v>
      </c>
      <c r="T29" s="17">
        <f>'Cost Summary'!R13</f>
        <v>32422.07</v>
      </c>
      <c r="U29" s="17">
        <f>'Cost Summary'!S13</f>
        <v>30649.41</v>
      </c>
      <c r="V29" s="17">
        <f>'Cost Summary'!T13</f>
        <v>36002.61</v>
      </c>
      <c r="W29" s="17">
        <f>'Cost Summary'!U13</f>
        <v>37367.67</v>
      </c>
      <c r="X29" s="17">
        <f>'Cost Summary'!V13</f>
        <v>30284.080000000002</v>
      </c>
      <c r="Y29" s="17">
        <f>'Cost Summary'!W13</f>
        <v>35976.410000000003</v>
      </c>
      <c r="Z29" s="17">
        <f>'Cost Summary'!X13</f>
        <v>43264.55</v>
      </c>
      <c r="AA29" s="579">
        <f>'Cost Summary'!Y13</f>
        <v>35930.800000000003</v>
      </c>
      <c r="AB29" s="17">
        <f>'Cost Summary'!Z13</f>
        <v>34944.81</v>
      </c>
      <c r="AC29" s="17">
        <f>'Cost Summary'!AA13</f>
        <v>36216.950570523964</v>
      </c>
      <c r="AD29" s="17">
        <f>'Cost Summary'!AB13</f>
        <v>38576.379065964058</v>
      </c>
      <c r="AE29" s="17">
        <f>'Cost Summary'!AC13</f>
        <v>39409.069319513183</v>
      </c>
      <c r="AF29" s="17">
        <f>'Cost Summary'!AD13</f>
        <v>42804.531376586347</v>
      </c>
      <c r="AG29" s="17">
        <f>'Cost Summary'!AE13</f>
        <v>46215.849107860529</v>
      </c>
      <c r="AH29" s="17">
        <f>'Cost Summary'!AF13</f>
        <v>49406.77374145075</v>
      </c>
      <c r="AI29" s="17">
        <f>'Cost Summary'!AG13</f>
        <v>48526.639975307451</v>
      </c>
      <c r="AJ29" s="17">
        <f>'Cost Summary'!AH13</f>
        <v>50750.907779967012</v>
      </c>
      <c r="AK29" s="17">
        <f>'Cost Summary'!AI13</f>
        <v>59525.541061272183</v>
      </c>
      <c r="AL29" s="17">
        <f>'Cost Summary'!AJ13</f>
        <v>63057.520960539652</v>
      </c>
      <c r="AM29" s="17">
        <f>'Cost Summary'!AK13</f>
        <v>60963.422861908752</v>
      </c>
      <c r="AN29" s="17">
        <f>'Cost Summary'!AL13</f>
        <v>61147.938223961908</v>
      </c>
      <c r="AO29" s="17">
        <f>'Cost Summary'!AM13</f>
        <v>70415.246366650201</v>
      </c>
      <c r="AP29" s="17">
        <f>'Cost Summary'!AN13</f>
        <v>73979.592896853748</v>
      </c>
      <c r="AQ29" s="17">
        <f>'Cost Summary'!AO13</f>
        <v>77696.746196418462</v>
      </c>
      <c r="AR29" s="17">
        <f>'Cost Summary'!AP13</f>
        <v>81258.969443862268</v>
      </c>
      <c r="AS29" s="17">
        <f>'Cost Summary'!AQ13</f>
        <v>84679.826151844871</v>
      </c>
      <c r="AT29" s="17">
        <f>'Cost Summary'!AR13</f>
        <v>88063.591896443002</v>
      </c>
      <c r="AU29" s="17">
        <f>'Cost Summary'!AS13</f>
        <v>91449.045018599165</v>
      </c>
      <c r="AV29" s="17">
        <f>'Cost Summary'!AT13</f>
        <v>94878.819983868947</v>
      </c>
      <c r="AW29" s="17">
        <f>'Cost Summary'!AU13</f>
        <v>98347.817433806209</v>
      </c>
      <c r="AX29" s="17">
        <f>'Cost Summary'!AV13</f>
        <v>101739.89493380621</v>
      </c>
      <c r="AY29" s="17">
        <f>'Cost Summary'!AW13</f>
        <v>105131.97243380622</v>
      </c>
      <c r="AZ29" s="17">
        <f>'Cost Summary'!AX13</f>
        <v>108524.04993380621</v>
      </c>
      <c r="BA29" s="17">
        <f>'Cost Summary'!AY13</f>
        <v>0</v>
      </c>
      <c r="BB29" s="17">
        <f>'Cost Summary'!AZ13</f>
        <v>0</v>
      </c>
      <c r="BC29" s="17">
        <f>'Cost Summary'!BA13</f>
        <v>0</v>
      </c>
      <c r="BD29" s="17">
        <f>'Cost Summary'!BB13</f>
        <v>0</v>
      </c>
      <c r="BE29" s="17">
        <f>'Cost Summary'!BC13</f>
        <v>0</v>
      </c>
      <c r="BF29" s="17">
        <f>'Cost Summary'!BD13</f>
        <v>0</v>
      </c>
      <c r="BG29" s="17">
        <f>'Cost Summary'!BE13</f>
        <v>0</v>
      </c>
      <c r="BH29" s="17">
        <f>'Cost Summary'!BF13</f>
        <v>0</v>
      </c>
      <c r="BI29" s="17">
        <f>'Cost Summary'!BG13</f>
        <v>0</v>
      </c>
      <c r="BJ29" s="17">
        <f>'Cost Summary'!BH13</f>
        <v>0</v>
      </c>
      <c r="BK29" s="17">
        <f>'Cost Summary'!BI13</f>
        <v>0</v>
      </c>
      <c r="BL29" s="17">
        <f>'Cost Summary'!BJ13</f>
        <v>0</v>
      </c>
      <c r="BM29" s="579">
        <f>'Cost Summary'!BK13</f>
        <v>0</v>
      </c>
      <c r="BN29" s="579">
        <f>'Cost Summary'!BL13</f>
        <v>0</v>
      </c>
      <c r="BO29" s="579">
        <f>'Cost Summary'!BM13</f>
        <v>0</v>
      </c>
      <c r="BP29" s="579">
        <f>'Cost Summary'!BN13</f>
        <v>0</v>
      </c>
      <c r="BQ29" s="579">
        <f>'Cost Summary'!BO13</f>
        <v>0</v>
      </c>
      <c r="BR29" s="579">
        <f>'Cost Summary'!BP13</f>
        <v>0</v>
      </c>
      <c r="BS29" s="579">
        <f>'Cost Summary'!BQ13</f>
        <v>0</v>
      </c>
      <c r="BT29" s="579">
        <f>'Cost Summary'!BR13</f>
        <v>0</v>
      </c>
      <c r="BU29" s="579">
        <f>'Cost Summary'!BS13</f>
        <v>0</v>
      </c>
      <c r="BV29" s="579">
        <f>'Cost Summary'!BT13</f>
        <v>0</v>
      </c>
      <c r="BW29" s="579">
        <f>'Cost Summary'!BU13</f>
        <v>0</v>
      </c>
      <c r="BX29" s="579">
        <f>'Cost Summary'!BV13</f>
        <v>0</v>
      </c>
    </row>
    <row r="30" spans="1:76" x14ac:dyDescent="0.35">
      <c r="C30" s="48" t="s">
        <v>73</v>
      </c>
      <c r="D30" s="7"/>
      <c r="E30" s="7">
        <f t="shared" ref="E30:AJ30" si="11">SUM(E27:E29)+E26</f>
        <v>185324.39</v>
      </c>
      <c r="F30" s="7">
        <f t="shared" si="11"/>
        <v>224174.19000000003</v>
      </c>
      <c r="G30" s="7">
        <f t="shared" si="11"/>
        <v>224418.25</v>
      </c>
      <c r="H30" s="7">
        <f t="shared" si="11"/>
        <v>227258.18</v>
      </c>
      <c r="I30" s="7">
        <f t="shared" si="11"/>
        <v>241568.81999999998</v>
      </c>
      <c r="J30" s="7">
        <f t="shared" si="11"/>
        <v>290879.58999999997</v>
      </c>
      <c r="K30" s="7">
        <f t="shared" si="11"/>
        <v>214491.57</v>
      </c>
      <c r="L30" s="7">
        <f t="shared" si="11"/>
        <v>128717.25</v>
      </c>
      <c r="M30" s="7">
        <f t="shared" si="11"/>
        <v>191085.03999999998</v>
      </c>
      <c r="N30" s="7">
        <f t="shared" si="11"/>
        <v>153427.18</v>
      </c>
      <c r="O30" s="7">
        <f t="shared" si="11"/>
        <v>231194.66999999998</v>
      </c>
      <c r="P30" s="7">
        <f t="shared" si="11"/>
        <v>391862.37</v>
      </c>
      <c r="Q30" s="7">
        <f t="shared" si="11"/>
        <v>133113.58000000002</v>
      </c>
      <c r="R30" s="7">
        <f t="shared" si="11"/>
        <v>168204.69</v>
      </c>
      <c r="S30" s="7">
        <f t="shared" si="11"/>
        <v>191188.81</v>
      </c>
      <c r="T30" s="7">
        <f t="shared" si="11"/>
        <v>218548.87</v>
      </c>
      <c r="U30" s="7">
        <f t="shared" si="11"/>
        <v>199483.69</v>
      </c>
      <c r="V30" s="7">
        <f t="shared" si="11"/>
        <v>192572.1</v>
      </c>
      <c r="W30" s="7">
        <f t="shared" si="11"/>
        <v>207717.08000000002</v>
      </c>
      <c r="X30" s="7">
        <f t="shared" si="11"/>
        <v>202559.92</v>
      </c>
      <c r="Y30" s="7">
        <f t="shared" si="11"/>
        <v>235656.08000000002</v>
      </c>
      <c r="Z30" s="7">
        <f t="shared" si="11"/>
        <v>278731.90000000002</v>
      </c>
      <c r="AA30" s="7">
        <f t="shared" si="11"/>
        <v>241638.81</v>
      </c>
      <c r="AB30" s="7">
        <f t="shared" si="11"/>
        <v>209756.58000000002</v>
      </c>
      <c r="AC30" s="7">
        <f t="shared" si="11"/>
        <v>236582.37079366771</v>
      </c>
      <c r="AD30" s="7">
        <f t="shared" si="11"/>
        <v>247514.3047281676</v>
      </c>
      <c r="AE30" s="7">
        <f t="shared" si="11"/>
        <v>253507.49090301144</v>
      </c>
      <c r="AF30" s="7">
        <f t="shared" si="11"/>
        <v>269324.7869025236</v>
      </c>
      <c r="AG30" s="7">
        <f t="shared" si="11"/>
        <v>286417.83102144283</v>
      </c>
      <c r="AH30" s="7">
        <f t="shared" si="11"/>
        <v>302637.18345657445</v>
      </c>
      <c r="AI30" s="7">
        <f t="shared" si="11"/>
        <v>290970.8390935713</v>
      </c>
      <c r="AJ30" s="7">
        <f t="shared" si="11"/>
        <v>301647.01772618823</v>
      </c>
      <c r="AK30" s="7">
        <f t="shared" ref="AK30:BL30" si="12">SUM(AK27:AK29)+AK26</f>
        <v>358175.75469532446</v>
      </c>
      <c r="AL30" s="7">
        <f t="shared" si="12"/>
        <v>375673.76599019673</v>
      </c>
      <c r="AM30" s="7">
        <f t="shared" si="12"/>
        <v>353789.23129978043</v>
      </c>
      <c r="AN30" s="7">
        <f t="shared" si="12"/>
        <v>347854.9908341525</v>
      </c>
      <c r="AO30" s="7">
        <f t="shared" si="12"/>
        <v>405500.29983297054</v>
      </c>
      <c r="AP30" s="7">
        <f t="shared" si="12"/>
        <v>423224.87754439545</v>
      </c>
      <c r="AQ30" s="7">
        <f t="shared" si="12"/>
        <v>429373.86864134844</v>
      </c>
      <c r="AR30" s="7">
        <f t="shared" si="12"/>
        <v>447083.5833734551</v>
      </c>
      <c r="AS30" s="7">
        <f t="shared" si="12"/>
        <v>463803.73232933326</v>
      </c>
      <c r="AT30" s="7">
        <f t="shared" si="12"/>
        <v>480264.24454152014</v>
      </c>
      <c r="AU30" s="7">
        <f t="shared" si="12"/>
        <v>496736.56839661335</v>
      </c>
      <c r="AV30" s="7">
        <f t="shared" si="12"/>
        <v>513519.14515350177</v>
      </c>
      <c r="AW30" s="7">
        <f t="shared" si="12"/>
        <v>530576.27930306259</v>
      </c>
      <c r="AX30" s="7">
        <f t="shared" si="12"/>
        <v>547094.97380306269</v>
      </c>
      <c r="AY30" s="7">
        <f t="shared" si="12"/>
        <v>563613.66830306267</v>
      </c>
      <c r="AZ30" s="7">
        <f t="shared" si="12"/>
        <v>580132.36280306266</v>
      </c>
      <c r="BA30" s="7">
        <f t="shared" si="12"/>
        <v>229710.54164188317</v>
      </c>
      <c r="BB30" s="7">
        <f t="shared" si="12"/>
        <v>236033.1586418832</v>
      </c>
      <c r="BC30" s="7">
        <f t="shared" si="12"/>
        <v>48002</v>
      </c>
      <c r="BD30" s="7">
        <f t="shared" si="12"/>
        <v>48002</v>
      </c>
      <c r="BE30" s="7">
        <f t="shared" si="12"/>
        <v>48002</v>
      </c>
      <c r="BF30" s="7">
        <f t="shared" si="12"/>
        <v>25350</v>
      </c>
      <c r="BG30" s="7">
        <f t="shared" si="12"/>
        <v>25350</v>
      </c>
      <c r="BH30" s="7">
        <f t="shared" si="12"/>
        <v>25350</v>
      </c>
      <c r="BI30" s="7">
        <f t="shared" si="12"/>
        <v>25350</v>
      </c>
      <c r="BJ30" s="7">
        <f t="shared" si="12"/>
        <v>25350</v>
      </c>
      <c r="BK30" s="7">
        <f t="shared" si="12"/>
        <v>25350</v>
      </c>
      <c r="BL30" s="7">
        <f t="shared" si="12"/>
        <v>25350</v>
      </c>
      <c r="BM30" s="7">
        <f t="shared" ref="BM30:BX30" si="13">SUM(BM27:BM29)+BM26</f>
        <v>25350</v>
      </c>
      <c r="BN30" s="7">
        <f t="shared" si="13"/>
        <v>25350</v>
      </c>
      <c r="BO30" s="7">
        <f t="shared" si="13"/>
        <v>25350</v>
      </c>
      <c r="BP30" s="7">
        <f t="shared" si="13"/>
        <v>25350</v>
      </c>
      <c r="BQ30" s="7">
        <f t="shared" si="13"/>
        <v>25350</v>
      </c>
      <c r="BR30" s="7">
        <f t="shared" si="13"/>
        <v>25350</v>
      </c>
      <c r="BS30" s="7">
        <f t="shared" si="13"/>
        <v>25350</v>
      </c>
      <c r="BT30" s="7">
        <f t="shared" si="13"/>
        <v>25350</v>
      </c>
      <c r="BU30" s="7">
        <f t="shared" si="13"/>
        <v>25350</v>
      </c>
      <c r="BV30" s="7">
        <f t="shared" si="13"/>
        <v>25350</v>
      </c>
      <c r="BW30" s="7">
        <f t="shared" si="13"/>
        <v>25350</v>
      </c>
      <c r="BX30" s="7">
        <f t="shared" si="13"/>
        <v>25350</v>
      </c>
    </row>
    <row r="31" spans="1:76" x14ac:dyDescent="0.35">
      <c r="A31" s="16"/>
      <c r="B31" s="16"/>
      <c r="C31" s="45"/>
      <c r="D31" s="167"/>
      <c r="E31" s="167"/>
      <c r="F31" s="167"/>
      <c r="G31" s="167"/>
      <c r="H31" s="167"/>
      <c r="I31" s="167"/>
      <c r="J31" s="167"/>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16"/>
      <c r="BH31" s="16"/>
      <c r="BI31" s="16"/>
      <c r="BJ31" s="16"/>
      <c r="BK31" s="16"/>
      <c r="BL31" s="16"/>
      <c r="BM31" s="574"/>
    </row>
    <row r="32" spans="1:76" x14ac:dyDescent="0.35">
      <c r="A32" s="16"/>
      <c r="B32" s="16"/>
      <c r="C32" s="45"/>
      <c r="D32" s="182"/>
      <c r="E32" s="182"/>
      <c r="F32" s="182"/>
      <c r="G32" s="182"/>
      <c r="H32" s="182"/>
      <c r="I32" s="182"/>
      <c r="J32" s="182"/>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6"/>
      <c r="BI32" s="16"/>
      <c r="BJ32" s="16"/>
      <c r="BK32" s="16"/>
      <c r="BL32" s="16"/>
      <c r="BM32" s="574"/>
    </row>
    <row r="33" spans="1:76" ht="15" thickBot="1" x14ac:dyDescent="0.4">
      <c r="B33" s="51" t="s">
        <v>76</v>
      </c>
      <c r="C33" s="52"/>
      <c r="D33" s="53"/>
      <c r="E33" s="53">
        <f t="shared" ref="E33:AJ33" si="14">E22-E30</f>
        <v>915814.74148978444</v>
      </c>
      <c r="F33" s="53">
        <f t="shared" si="14"/>
        <v>828368.52633166302</v>
      </c>
      <c r="G33" s="53">
        <f t="shared" si="14"/>
        <v>966476.33358031884</v>
      </c>
      <c r="H33" s="53">
        <f t="shared" si="14"/>
        <v>938234.20529270894</v>
      </c>
      <c r="I33" s="53">
        <f t="shared" si="14"/>
        <v>1066357.1522371089</v>
      </c>
      <c r="J33" s="53">
        <f t="shared" si="14"/>
        <v>938007.75251062389</v>
      </c>
      <c r="K33" s="53">
        <f t="shared" si="14"/>
        <v>1017812.101757271</v>
      </c>
      <c r="L33" s="53">
        <f t="shared" si="14"/>
        <v>1110644.6180972073</v>
      </c>
      <c r="M33" s="53">
        <f t="shared" si="14"/>
        <v>995139.22678237874</v>
      </c>
      <c r="N33" s="53">
        <f t="shared" si="14"/>
        <v>1427217.2455819666</v>
      </c>
      <c r="O33" s="53">
        <f t="shared" si="14"/>
        <v>1422079.3515276029</v>
      </c>
      <c r="P33" s="53">
        <f t="shared" si="14"/>
        <v>773970.35305950523</v>
      </c>
      <c r="Q33" s="53">
        <f t="shared" si="14"/>
        <v>956062.08999999985</v>
      </c>
      <c r="R33" s="53">
        <f t="shared" si="14"/>
        <v>1152394.77</v>
      </c>
      <c r="S33" s="53">
        <f t="shared" si="14"/>
        <v>1263315.8799999999</v>
      </c>
      <c r="T33" s="53">
        <f t="shared" si="14"/>
        <v>1271369.4500000002</v>
      </c>
      <c r="U33" s="53">
        <f t="shared" si="14"/>
        <v>1263129.9500000002</v>
      </c>
      <c r="V33" s="53">
        <f t="shared" si="14"/>
        <v>1073987.31</v>
      </c>
      <c r="W33" s="53">
        <f t="shared" si="14"/>
        <v>1105427.3500000001</v>
      </c>
      <c r="X33" s="53">
        <f t="shared" si="14"/>
        <v>1126951.2500000002</v>
      </c>
      <c r="Y33" s="53">
        <f t="shared" si="14"/>
        <v>1248542.82</v>
      </c>
      <c r="Z33" s="53">
        <f>Z22-Z30</f>
        <v>1403199.62</v>
      </c>
      <c r="AA33" s="53">
        <f>AA22-AA30</f>
        <v>1143867.96</v>
      </c>
      <c r="AB33" s="53">
        <f>AB22-AB30</f>
        <v>1384801.9899999998</v>
      </c>
      <c r="AC33" s="53">
        <f t="shared" si="14"/>
        <v>1205726.1571990813</v>
      </c>
      <c r="AD33" s="53">
        <f t="shared" si="14"/>
        <v>1288925.5998757067</v>
      </c>
      <c r="AE33" s="53">
        <f t="shared" si="14"/>
        <v>1315886.403441408</v>
      </c>
      <c r="AF33" s="53">
        <f t="shared" si="14"/>
        <v>1435523.2722019933</v>
      </c>
      <c r="AG33" s="53">
        <f t="shared" si="14"/>
        <v>1554366.6827415316</v>
      </c>
      <c r="AH33" s="53">
        <f t="shared" si="14"/>
        <v>1665272.5857965727</v>
      </c>
      <c r="AI33" s="53">
        <f t="shared" si="14"/>
        <v>1642773.8090203013</v>
      </c>
      <c r="AJ33" s="53">
        <f t="shared" si="14"/>
        <v>1720790.347452203</v>
      </c>
      <c r="AK33" s="53">
        <f t="shared" ref="AK33:BL33" si="15">AK22-AK30</f>
        <v>2012348.8004227516</v>
      </c>
      <c r="AL33" s="53">
        <f t="shared" si="15"/>
        <v>2135620.424138871</v>
      </c>
      <c r="AM33" s="53">
        <f t="shared" si="15"/>
        <v>2075481.9051235039</v>
      </c>
      <c r="AN33" s="53">
        <f t="shared" si="15"/>
        <v>2089626.1849264365</v>
      </c>
      <c r="AO33" s="53">
        <f t="shared" si="15"/>
        <v>2399869.5093780751</v>
      </c>
      <c r="AP33" s="53">
        <f t="shared" si="15"/>
        <v>2524196.2852627104</v>
      </c>
      <c r="AQ33" s="53">
        <f t="shared" si="15"/>
        <v>2666149.7958285203</v>
      </c>
      <c r="AR33" s="53">
        <f t="shared" si="15"/>
        <v>2790407.3526951876</v>
      </c>
      <c r="AS33" s="53">
        <f t="shared" si="15"/>
        <v>2910056.3603754207</v>
      </c>
      <c r="AT33" s="53">
        <f t="shared" si="15"/>
        <v>3028496.20264932</v>
      </c>
      <c r="AU33" s="53">
        <f t="shared" si="15"/>
        <v>3146991.053431611</v>
      </c>
      <c r="AV33" s="53">
        <f t="shared" si="15"/>
        <v>3266930.7962994063</v>
      </c>
      <c r="AW33" s="53">
        <f t="shared" si="15"/>
        <v>3388149.1921673608</v>
      </c>
      <c r="AX33" s="53">
        <f t="shared" si="15"/>
        <v>3506859.9976673601</v>
      </c>
      <c r="AY33" s="53">
        <f t="shared" si="15"/>
        <v>3625570.8031673608</v>
      </c>
      <c r="AZ33" s="53">
        <f t="shared" si="15"/>
        <v>3744281.6086673606</v>
      </c>
      <c r="BA33" s="53">
        <f t="shared" si="15"/>
        <v>-229710.54164188317</v>
      </c>
      <c r="BB33" s="53">
        <f t="shared" si="15"/>
        <v>-236033.1586418832</v>
      </c>
      <c r="BC33" s="53">
        <f t="shared" si="15"/>
        <v>-48002</v>
      </c>
      <c r="BD33" s="53">
        <f t="shared" si="15"/>
        <v>-48002</v>
      </c>
      <c r="BE33" s="53">
        <f t="shared" si="15"/>
        <v>-48002</v>
      </c>
      <c r="BF33" s="53">
        <f t="shared" si="15"/>
        <v>-25350</v>
      </c>
      <c r="BG33" s="53">
        <f t="shared" si="15"/>
        <v>-25350</v>
      </c>
      <c r="BH33" s="53">
        <f t="shared" si="15"/>
        <v>-25350</v>
      </c>
      <c r="BI33" s="53">
        <f t="shared" si="15"/>
        <v>-25350</v>
      </c>
      <c r="BJ33" s="53">
        <f t="shared" si="15"/>
        <v>-25350</v>
      </c>
      <c r="BK33" s="53">
        <f t="shared" si="15"/>
        <v>-25350</v>
      </c>
      <c r="BL33" s="53">
        <f t="shared" si="15"/>
        <v>-25350</v>
      </c>
      <c r="BM33" s="53">
        <f t="shared" ref="BM33:BX33" si="16">BM22-BM30</f>
        <v>-25350</v>
      </c>
      <c r="BN33" s="53">
        <f t="shared" si="16"/>
        <v>-25350</v>
      </c>
      <c r="BO33" s="53">
        <f t="shared" si="16"/>
        <v>-25350</v>
      </c>
      <c r="BP33" s="53">
        <f t="shared" si="16"/>
        <v>-25350</v>
      </c>
      <c r="BQ33" s="53">
        <f t="shared" si="16"/>
        <v>-25350</v>
      </c>
      <c r="BR33" s="53">
        <f t="shared" si="16"/>
        <v>-25350</v>
      </c>
      <c r="BS33" s="53">
        <f t="shared" si="16"/>
        <v>-25350</v>
      </c>
      <c r="BT33" s="53">
        <f t="shared" si="16"/>
        <v>-25350</v>
      </c>
      <c r="BU33" s="53">
        <f t="shared" si="16"/>
        <v>-25350</v>
      </c>
      <c r="BV33" s="53">
        <f t="shared" si="16"/>
        <v>-25350</v>
      </c>
      <c r="BW33" s="53">
        <f t="shared" si="16"/>
        <v>-25350</v>
      </c>
      <c r="BX33" s="53">
        <f t="shared" si="16"/>
        <v>-25350</v>
      </c>
    </row>
    <row r="34" spans="1:76" x14ac:dyDescent="0.35">
      <c r="C34" s="80" t="s">
        <v>146</v>
      </c>
      <c r="D34" s="125"/>
      <c r="E34" s="125">
        <f t="shared" ref="E34:AJ34" si="17">E33/E22</f>
        <v>0.83169757145106116</v>
      </c>
      <c r="F34" s="125">
        <f t="shared" si="17"/>
        <v>0.78701653954597195</v>
      </c>
      <c r="G34" s="125">
        <f t="shared" si="17"/>
        <v>0.81155489906981826</v>
      </c>
      <c r="H34" s="125">
        <f t="shared" si="17"/>
        <v>0.80501101262628594</v>
      </c>
      <c r="I34" s="125">
        <f t="shared" si="17"/>
        <v>0.81530390471043646</v>
      </c>
      <c r="J34" s="125">
        <f t="shared" si="17"/>
        <v>0.76329840829369167</v>
      </c>
      <c r="K34" s="125">
        <f t="shared" si="17"/>
        <v>0.82594260252902274</v>
      </c>
      <c r="L34" s="125">
        <f t="shared" si="17"/>
        <v>0.89614231862916705</v>
      </c>
      <c r="M34" s="125">
        <f t="shared" si="17"/>
        <v>0.83891322631738408</v>
      </c>
      <c r="N34" s="125">
        <f t="shared" si="17"/>
        <v>0.90293377971866717</v>
      </c>
      <c r="O34" s="125">
        <f t="shared" si="17"/>
        <v>0.86015949746408094</v>
      </c>
      <c r="P34" s="125">
        <f t="shared" si="17"/>
        <v>0.66387770539530566</v>
      </c>
      <c r="Q34" s="125">
        <f t="shared" si="17"/>
        <v>0.87778502250238466</v>
      </c>
      <c r="R34" s="125">
        <f t="shared" si="17"/>
        <v>0.87263004787235032</v>
      </c>
      <c r="S34" s="125">
        <f t="shared" si="17"/>
        <v>0.86855400926895598</v>
      </c>
      <c r="T34" s="125">
        <f t="shared" si="17"/>
        <v>0.85331486493836795</v>
      </c>
      <c r="U34" s="125">
        <f t="shared" si="17"/>
        <v>0.86361149346316779</v>
      </c>
      <c r="V34" s="125">
        <f t="shared" si="17"/>
        <v>0.84795652025513746</v>
      </c>
      <c r="W34" s="125">
        <f t="shared" si="17"/>
        <v>0.84181703455118029</v>
      </c>
      <c r="X34" s="125">
        <f t="shared" si="17"/>
        <v>0.8476433108869631</v>
      </c>
      <c r="Y34" s="125">
        <f t="shared" si="17"/>
        <v>0.84122338320018963</v>
      </c>
      <c r="Z34" s="125">
        <f t="shared" si="17"/>
        <v>0.83427868692299678</v>
      </c>
      <c r="AA34" s="125">
        <f t="shared" si="17"/>
        <v>0.82559535959539188</v>
      </c>
      <c r="AB34" s="125">
        <f t="shared" si="17"/>
        <v>0.86845476613631067</v>
      </c>
      <c r="AC34" s="125">
        <f t="shared" si="17"/>
        <v>0.83596965129027023</v>
      </c>
      <c r="AD34" s="125">
        <f t="shared" si="17"/>
        <v>0.83890401180905161</v>
      </c>
      <c r="AE34" s="125">
        <f t="shared" si="17"/>
        <v>0.8384679003680533</v>
      </c>
      <c r="AF34" s="125">
        <f t="shared" si="17"/>
        <v>0.84202417015156861</v>
      </c>
      <c r="AG34" s="125">
        <f t="shared" si="17"/>
        <v>0.844404475982938</v>
      </c>
      <c r="AH34" s="125">
        <f t="shared" si="17"/>
        <v>0.84621389243296952</v>
      </c>
      <c r="AI34" s="125">
        <f t="shared" si="17"/>
        <v>0.84952985422487026</v>
      </c>
      <c r="AJ34" s="125">
        <f t="shared" si="17"/>
        <v>0.8508497603338232</v>
      </c>
      <c r="AK34" s="125">
        <f t="shared" ref="AK34:BL34" si="18">AK33/AK22</f>
        <v>0.8489044317545642</v>
      </c>
      <c r="AL34" s="125">
        <f t="shared" si="18"/>
        <v>0.85040630943725115</v>
      </c>
      <c r="AM34" s="125">
        <f t="shared" si="18"/>
        <v>0.85436404113347397</v>
      </c>
      <c r="AN34" s="125">
        <f t="shared" si="18"/>
        <v>0.85728915804832495</v>
      </c>
      <c r="AO34" s="125">
        <f t="shared" si="18"/>
        <v>0.85545566987226929</v>
      </c>
      <c r="AP34" s="125">
        <f t="shared" si="18"/>
        <v>0.85640841462191353</v>
      </c>
      <c r="AQ34" s="125">
        <f t="shared" si="18"/>
        <v>0.86129200898392033</v>
      </c>
      <c r="AR34" s="125">
        <f t="shared" si="18"/>
        <v>0.86190429804990931</v>
      </c>
      <c r="AS34" s="125">
        <f t="shared" si="18"/>
        <v>0.86253024144889445</v>
      </c>
      <c r="AT34" s="125">
        <f t="shared" si="18"/>
        <v>0.86312424237282259</v>
      </c>
      <c r="AU34" s="125">
        <f t="shared" si="18"/>
        <v>0.86367351790489266</v>
      </c>
      <c r="AV34" s="125">
        <f t="shared" si="18"/>
        <v>0.8641645430818361</v>
      </c>
      <c r="AW34" s="125">
        <f t="shared" si="18"/>
        <v>0.86460488667404034</v>
      </c>
      <c r="AX34" s="125">
        <f t="shared" si="18"/>
        <v>0.86504660815099677</v>
      </c>
      <c r="AY34" s="125">
        <f t="shared" si="18"/>
        <v>0.86545981153576856</v>
      </c>
      <c r="AZ34" s="125">
        <f t="shared" si="18"/>
        <v>0.8658471722109895</v>
      </c>
      <c r="BA34" s="125" t="e">
        <f t="shared" si="18"/>
        <v>#DIV/0!</v>
      </c>
      <c r="BB34" s="125" t="e">
        <f t="shared" si="18"/>
        <v>#DIV/0!</v>
      </c>
      <c r="BC34" s="125" t="e">
        <f t="shared" si="18"/>
        <v>#DIV/0!</v>
      </c>
      <c r="BD34" s="125" t="e">
        <f t="shared" si="18"/>
        <v>#DIV/0!</v>
      </c>
      <c r="BE34" s="125" t="e">
        <f t="shared" si="18"/>
        <v>#DIV/0!</v>
      </c>
      <c r="BF34" s="125" t="e">
        <f t="shared" si="18"/>
        <v>#DIV/0!</v>
      </c>
      <c r="BG34" s="125" t="e">
        <f t="shared" si="18"/>
        <v>#DIV/0!</v>
      </c>
      <c r="BH34" s="125" t="e">
        <f t="shared" si="18"/>
        <v>#DIV/0!</v>
      </c>
      <c r="BI34" s="125" t="e">
        <f t="shared" si="18"/>
        <v>#DIV/0!</v>
      </c>
      <c r="BJ34" s="125" t="e">
        <f t="shared" si="18"/>
        <v>#DIV/0!</v>
      </c>
      <c r="BK34" s="125" t="e">
        <f t="shared" si="18"/>
        <v>#DIV/0!</v>
      </c>
      <c r="BL34" s="125" t="e">
        <f t="shared" si="18"/>
        <v>#DIV/0!</v>
      </c>
      <c r="BM34" s="125" t="e">
        <f t="shared" ref="BM34:BX34" si="19">BM33/BM22</f>
        <v>#DIV/0!</v>
      </c>
      <c r="BN34" s="125" t="e">
        <f t="shared" si="19"/>
        <v>#DIV/0!</v>
      </c>
      <c r="BO34" s="125" t="e">
        <f t="shared" si="19"/>
        <v>#DIV/0!</v>
      </c>
      <c r="BP34" s="125" t="e">
        <f t="shared" si="19"/>
        <v>#DIV/0!</v>
      </c>
      <c r="BQ34" s="125" t="e">
        <f t="shared" si="19"/>
        <v>#DIV/0!</v>
      </c>
      <c r="BR34" s="125" t="e">
        <f t="shared" si="19"/>
        <v>#DIV/0!</v>
      </c>
      <c r="BS34" s="125" t="e">
        <f t="shared" si="19"/>
        <v>#DIV/0!</v>
      </c>
      <c r="BT34" s="125" t="e">
        <f t="shared" si="19"/>
        <v>#DIV/0!</v>
      </c>
      <c r="BU34" s="125" t="e">
        <f t="shared" si="19"/>
        <v>#DIV/0!</v>
      </c>
      <c r="BV34" s="125" t="e">
        <f t="shared" si="19"/>
        <v>#DIV/0!</v>
      </c>
      <c r="BW34" s="125" t="e">
        <f t="shared" si="19"/>
        <v>#DIV/0!</v>
      </c>
      <c r="BX34" s="125" t="e">
        <f t="shared" si="19"/>
        <v>#DIV/0!</v>
      </c>
    </row>
    <row r="35" spans="1:76" s="16" customFormat="1" x14ac:dyDescent="0.35">
      <c r="C35" s="41"/>
      <c r="D35" s="438"/>
      <c r="G35" s="173"/>
      <c r="L35" s="167"/>
      <c r="BM35" s="574"/>
      <c r="BN35" s="574"/>
      <c r="BO35" s="574"/>
      <c r="BP35" s="574"/>
      <c r="BQ35" s="574"/>
      <c r="BR35" s="574"/>
      <c r="BS35" s="574"/>
      <c r="BT35" s="574"/>
      <c r="BU35" s="574"/>
      <c r="BV35" s="574"/>
      <c r="BW35" s="574"/>
      <c r="BX35" s="574"/>
    </row>
    <row r="36" spans="1:76" x14ac:dyDescent="0.35">
      <c r="B36" s="30" t="s">
        <v>16</v>
      </c>
      <c r="E36" s="16"/>
      <c r="F36" s="16"/>
      <c r="G36" s="173"/>
      <c r="H36" s="16"/>
      <c r="I36" s="16"/>
      <c r="J36" s="16"/>
      <c r="K36" s="16"/>
      <c r="L36" s="16"/>
      <c r="M36" s="16"/>
      <c r="N36" s="16"/>
      <c r="O36" s="16"/>
      <c r="P36" s="16"/>
      <c r="Q36" s="16"/>
      <c r="R36" s="16"/>
      <c r="S36" s="16"/>
      <c r="T36" s="158">
        <f>T40/1401</f>
        <v>282.02198429693078</v>
      </c>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c r="BK36" s="16"/>
      <c r="BL36" s="16"/>
      <c r="BM36" s="574"/>
    </row>
    <row r="37" spans="1:76" outlineLevel="1" x14ac:dyDescent="0.35">
      <c r="C37" s="30" t="s">
        <v>17</v>
      </c>
      <c r="E37" s="16"/>
      <c r="F37" s="16"/>
      <c r="G37" s="173"/>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c r="BK37" s="16"/>
      <c r="BL37" s="16"/>
      <c r="BM37" s="574"/>
    </row>
    <row r="38" spans="1:76" outlineLevel="1" x14ac:dyDescent="0.35">
      <c r="B38" s="134"/>
      <c r="C38" s="41" t="s">
        <v>224</v>
      </c>
      <c r="D38" s="308"/>
      <c r="E38" s="17">
        <f>'Cost Summary'!C17</f>
        <v>34017.993182829588</v>
      </c>
      <c r="F38" s="17">
        <f>'Cost Summary'!D17</f>
        <v>34542.950694408944</v>
      </c>
      <c r="G38" s="175">
        <f>'Cost Summary'!E17</f>
        <v>30852.619057067925</v>
      </c>
      <c r="H38" s="17">
        <f>'Cost Summary'!F17</f>
        <v>35093.753123859191</v>
      </c>
      <c r="I38" s="17">
        <f>'Cost Summary'!G17</f>
        <v>39242.344685416538</v>
      </c>
      <c r="J38" s="17">
        <f>'Cost Summary'!H17</f>
        <v>58312.66824735266</v>
      </c>
      <c r="K38" s="17">
        <f>'Cost Summary'!I17</f>
        <v>49675.559127334956</v>
      </c>
      <c r="L38" s="17">
        <f>'Cost Summary'!J17</f>
        <v>63917.624901386007</v>
      </c>
      <c r="M38" s="225">
        <f>'Cost Summary'!K17</f>
        <v>49268.545660767471</v>
      </c>
      <c r="N38" s="225">
        <f>'Cost Summary'!L17</f>
        <v>44395.188025324504</v>
      </c>
      <c r="O38" s="17">
        <f>'Cost Summary'!M17</f>
        <v>68735.622734345045</v>
      </c>
      <c r="P38" s="17">
        <f>'Cost Summary'!N17</f>
        <v>68706.519374703275</v>
      </c>
      <c r="Q38" s="17">
        <f>'Cost Summary'!O17</f>
        <v>108819.14</v>
      </c>
      <c r="R38" s="17">
        <f>'Cost Summary'!P17</f>
        <v>88746.52</v>
      </c>
      <c r="S38" s="17">
        <f>'Cost Summary'!Q17</f>
        <v>147580.19</v>
      </c>
      <c r="T38" s="17">
        <f>'Cost Summary'!R17</f>
        <v>118226.94</v>
      </c>
      <c r="U38" s="17">
        <f>'Cost Summary'!S17</f>
        <v>122808.24</v>
      </c>
      <c r="V38" s="17">
        <f>'Cost Summary'!T17</f>
        <v>103263.89</v>
      </c>
      <c r="W38" s="17">
        <f>'Cost Summary'!U17</f>
        <v>132491.95000000001</v>
      </c>
      <c r="X38" s="17">
        <f>'Cost Summary'!V17</f>
        <v>115863.47</v>
      </c>
      <c r="Y38" s="17">
        <f>'Cost Summary'!W17</f>
        <v>131784.16</v>
      </c>
      <c r="Z38" s="17">
        <f>'Cost Summary'!X17</f>
        <v>163135.63</v>
      </c>
      <c r="AA38" s="579">
        <f>'Cost Summary'!Y17</f>
        <v>129571.93</v>
      </c>
      <c r="AB38" s="17">
        <f>'Cost Summary'!Z17</f>
        <v>137228.06</v>
      </c>
      <c r="AC38" s="17">
        <f>'Cost Summary'!AA17</f>
        <v>144027.24220833334</v>
      </c>
      <c r="AD38" s="17">
        <f>'Cost Summary'!AB17</f>
        <v>135392.84186111111</v>
      </c>
      <c r="AE38" s="17">
        <f>'Cost Summary'!AC17</f>
        <v>130940.9614849537</v>
      </c>
      <c r="AF38" s="17">
        <f>'Cost Summary'!AD17</f>
        <v>153619.79357744986</v>
      </c>
      <c r="AG38" s="17">
        <f>'Cost Summary'!AE17</f>
        <v>140513.79501098732</v>
      </c>
      <c r="AH38" s="17">
        <f>'Cost Summary'!AF17</f>
        <v>140859.85989731961</v>
      </c>
      <c r="AI38" s="17">
        <f>'Cost Summary'!AG17</f>
        <v>159422.40019084624</v>
      </c>
      <c r="AJ38" s="17">
        <f>'Cost Summary'!AH17</f>
        <v>150727.44800883342</v>
      </c>
      <c r="AK38" s="17">
        <f>'Cost Summary'!AI17</f>
        <v>151348.37731165288</v>
      </c>
      <c r="AL38" s="17">
        <f>'Cost Summary'!AJ17</f>
        <v>151450.6123897073</v>
      </c>
      <c r="AM38" s="17">
        <f>'Cost Summary'!AK17</f>
        <v>151599.98289093291</v>
      </c>
      <c r="AN38" s="17">
        <f>'Cost Summary'!AL17</f>
        <v>392836.77093392727</v>
      </c>
      <c r="AO38" s="17">
        <f>'Cost Summary'!AM17</f>
        <v>152289.5165689768</v>
      </c>
      <c r="AP38" s="17">
        <f>'Cost Summary'!AN17</f>
        <v>155523.28934165777</v>
      </c>
      <c r="AQ38" s="17">
        <f>'Cost Summary'!AO17</f>
        <v>155816.27044724728</v>
      </c>
      <c r="AR38" s="17">
        <f>'Cost Summary'!AP17</f>
        <v>156122.41361772199</v>
      </c>
      <c r="AS38" s="17">
        <f>'Cost Summary'!AQ17</f>
        <v>156027.52292795226</v>
      </c>
      <c r="AT38" s="17">
        <f>'Cost Summary'!AR17</f>
        <v>156251.11138101851</v>
      </c>
      <c r="AU38" s="17">
        <f>'Cost Summary'!AS17</f>
        <v>156465.46157623705</v>
      </c>
      <c r="AV38" s="17">
        <f>'Cost Summary'!AT17</f>
        <v>156614.01945175036</v>
      </c>
      <c r="AW38" s="17">
        <f>'Cost Summary'!AU17</f>
        <v>156733.6110656003</v>
      </c>
      <c r="AX38" s="17">
        <f>'Cost Summary'!AV17</f>
        <v>156812.23371865368</v>
      </c>
      <c r="AY38" s="17">
        <f>'Cost Summary'!AW17</f>
        <v>156889.77202440336</v>
      </c>
      <c r="AZ38" s="17">
        <f>'Cost Summary'!AX17</f>
        <v>405528.58364283131</v>
      </c>
      <c r="BA38" s="17">
        <f>'Cost Summary'!AY17</f>
        <v>163608.65540486306</v>
      </c>
      <c r="BB38" s="17">
        <f>'Cost Summary'!AZ17</f>
        <v>166790.76342648716</v>
      </c>
      <c r="BC38" s="17">
        <f>'Cost Summary'!BA17</f>
        <v>166943.5354985288</v>
      </c>
      <c r="BD38" s="17">
        <f>'Cost Summary'!BB17</f>
        <v>167084.62317143445</v>
      </c>
      <c r="BE38" s="17">
        <f>'Cost Summary'!BC17</f>
        <v>167211.85593599215</v>
      </c>
      <c r="BF38" s="17">
        <f>'Cost Summary'!BD17</f>
        <v>167357.79290901372</v>
      </c>
      <c r="BG38" s="17">
        <f>'Cost Summary'!BE17</f>
        <v>167497.38933021043</v>
      </c>
      <c r="BH38" s="17">
        <f>'Cost Summary'!BF17</f>
        <v>167630.80988529915</v>
      </c>
      <c r="BI38" s="17">
        <f>'Cost Summary'!BG17</f>
        <v>167763.34314840447</v>
      </c>
      <c r="BJ38" s="17">
        <f>'Cost Summary'!BH17</f>
        <v>167897.29538446857</v>
      </c>
      <c r="BK38" s="17">
        <f>'Cost Summary'!BI17</f>
        <v>168036.15595917613</v>
      </c>
      <c r="BL38" s="17">
        <f>'Cost Summary'!BJ17</f>
        <v>424203.65441333991</v>
      </c>
      <c r="BM38" s="579">
        <f>'Cost Summary'!BK17</f>
        <v>168993.80029523751</v>
      </c>
      <c r="BN38" s="579">
        <f>'Cost Summary'!BL17</f>
        <v>172257.68360993278</v>
      </c>
      <c r="BO38" s="579">
        <f>'Cost Summary'!BM17</f>
        <v>172412.84983831286</v>
      </c>
      <c r="BP38" s="579">
        <f>'Cost Summary'!BN17</f>
        <v>172568.3958300759</v>
      </c>
      <c r="BQ38" s="579">
        <f>'Cost Summary'!BO17</f>
        <v>172725.34348374006</v>
      </c>
      <c r="BR38" s="579">
        <f>'Cost Summary'!BP17</f>
        <v>172884.99141300117</v>
      </c>
      <c r="BS38" s="579">
        <f>'Cost Summary'!BQ17</f>
        <v>173046.00871725855</v>
      </c>
      <c r="BT38" s="579">
        <f>'Cost Summary'!BR17</f>
        <v>173209.04672620646</v>
      </c>
      <c r="BU38" s="579">
        <f>'Cost Summary'!BS17</f>
        <v>173374.8051722153</v>
      </c>
      <c r="BV38" s="579">
        <f>'Cost Summary'!BT17</f>
        <v>173543.57353111982</v>
      </c>
      <c r="BW38" s="579">
        <f>'Cost Summary'!BU17</f>
        <v>173715.47527374918</v>
      </c>
      <c r="BX38" s="579">
        <f>'Cost Summary'!BV17</f>
        <v>437594.33884853567</v>
      </c>
    </row>
    <row r="39" spans="1:76" ht="15" outlineLevel="1" thickBot="1" x14ac:dyDescent="0.4">
      <c r="B39" s="134"/>
      <c r="C39" s="42" t="s">
        <v>5</v>
      </c>
      <c r="D39" s="226"/>
      <c r="E39" s="20">
        <f>'Cost Summary'!C18</f>
        <v>122743.50469489908</v>
      </c>
      <c r="F39" s="20">
        <f>'Cost Summary'!D18</f>
        <v>165589.8768953385</v>
      </c>
      <c r="G39" s="20">
        <f>'Cost Summary'!E18</f>
        <v>193250.67445364263</v>
      </c>
      <c r="H39" s="20">
        <f>'Cost Summary'!F18</f>
        <v>185825.60761987136</v>
      </c>
      <c r="I39" s="20">
        <f>'Cost Summary'!G18</f>
        <v>149635.4680456534</v>
      </c>
      <c r="J39" s="20">
        <f>'Cost Summary'!H18</f>
        <v>169801.64716131589</v>
      </c>
      <c r="K39" s="20">
        <f>'Cost Summary'!I18</f>
        <v>149358.31896689636</v>
      </c>
      <c r="L39" s="20">
        <f>'Cost Summary'!J18</f>
        <v>172621.196576471</v>
      </c>
      <c r="M39" s="226">
        <f>'Cost Summary'!K18</f>
        <v>167594.9543992744</v>
      </c>
      <c r="N39" s="226">
        <f>'Cost Summary'!L18</f>
        <v>180125.49536517385</v>
      </c>
      <c r="O39" s="20">
        <f>'Cost Summary'!M18</f>
        <v>120151.07289570948</v>
      </c>
      <c r="P39" s="20">
        <f>'Cost Summary'!N18</f>
        <v>98802.597527773381</v>
      </c>
      <c r="Q39" s="20">
        <f>'Cost Summary'!O18</f>
        <v>296216.34999999998</v>
      </c>
      <c r="R39" s="20">
        <f>'Cost Summary'!P18</f>
        <v>221717.66</v>
      </c>
      <c r="S39" s="20">
        <f>'Cost Summary'!Q18</f>
        <v>288431.05</v>
      </c>
      <c r="T39" s="20">
        <f>'Cost Summary'!R18</f>
        <v>276885.86</v>
      </c>
      <c r="U39" s="20">
        <f>'Cost Summary'!S18</f>
        <v>308903.64</v>
      </c>
      <c r="V39" s="20">
        <f>'Cost Summary'!T18</f>
        <v>489734.78</v>
      </c>
      <c r="W39" s="20">
        <f>'Cost Summary'!U18</f>
        <v>734273.72</v>
      </c>
      <c r="X39" s="20">
        <f>'Cost Summary'!V18</f>
        <v>694948.04</v>
      </c>
      <c r="Y39" s="20">
        <f>'Cost Summary'!W18</f>
        <v>478873.26</v>
      </c>
      <c r="Z39" s="20">
        <f>'Cost Summary'!X18</f>
        <v>431771.88</v>
      </c>
      <c r="AA39" s="226">
        <f>'Cost Summary'!Y18</f>
        <v>469217.29</v>
      </c>
      <c r="AB39" s="20">
        <f>'Cost Summary'!Z18</f>
        <v>373012.06</v>
      </c>
      <c r="AC39" s="20">
        <f>'Cost Summary'!AA18</f>
        <v>323465.86545833328</v>
      </c>
      <c r="AD39" s="20">
        <f>'Cost Summary'!AB18</f>
        <v>409607.20545833337</v>
      </c>
      <c r="AE39" s="20">
        <f>'Cost Summary'!AC18</f>
        <v>747292.20545833325</v>
      </c>
      <c r="AF39" s="20">
        <f>'Cost Summary'!AD18</f>
        <v>910542.20545833325</v>
      </c>
      <c r="AG39" s="20">
        <f>'Cost Summary'!AE18</f>
        <v>821789.70545833325</v>
      </c>
      <c r="AH39" s="20">
        <f>'Cost Summary'!AF18</f>
        <v>824874.70545833325</v>
      </c>
      <c r="AI39" s="20">
        <f>'Cost Summary'!AG18</f>
        <v>841899.70545833325</v>
      </c>
      <c r="AJ39" s="20">
        <f>'Cost Summary'!AH18</f>
        <v>646824.70545833337</v>
      </c>
      <c r="AK39" s="20">
        <f>'Cost Summary'!AI18</f>
        <v>666824.70545833337</v>
      </c>
      <c r="AL39" s="20">
        <f>'Cost Summary'!AJ18</f>
        <v>756924.70545833337</v>
      </c>
      <c r="AM39" s="20">
        <f>'Cost Summary'!AK18</f>
        <v>646824.70545833337</v>
      </c>
      <c r="AN39" s="20">
        <f>'Cost Summary'!AL18</f>
        <v>827137.20545833337</v>
      </c>
      <c r="AO39" s="20">
        <f>'Cost Summary'!AM18</f>
        <v>617039.45342736121</v>
      </c>
      <c r="AP39" s="20">
        <f>'Cost Summary'!AN18</f>
        <v>625943.11672937497</v>
      </c>
      <c r="AQ39" s="20">
        <f>'Cost Summary'!AO18</f>
        <v>634418.00211879564</v>
      </c>
      <c r="AR39" s="20">
        <f>'Cost Summary'!AP18</f>
        <v>634509.05828118185</v>
      </c>
      <c r="AS39" s="20">
        <f>'Cost Summary'!AQ18</f>
        <v>630278.91458841087</v>
      </c>
      <c r="AT39" s="20">
        <f>'Cost Summary'!AR18</f>
        <v>633126.04744236788</v>
      </c>
      <c r="AU39" s="20">
        <f>'Cost Summary'!AS18</f>
        <v>630957.97612804966</v>
      </c>
      <c r="AV39" s="20">
        <f>'Cost Summary'!AT18</f>
        <v>622640.97501226282</v>
      </c>
      <c r="AW39" s="20">
        <f>'Cost Summary'!AU18</f>
        <v>625721.0117856235</v>
      </c>
      <c r="AX39" s="20">
        <f>'Cost Summary'!AV18</f>
        <v>627391.63892058923</v>
      </c>
      <c r="AY39" s="20">
        <f>'Cost Summary'!AW18</f>
        <v>621693.79278286675</v>
      </c>
      <c r="AZ39" s="20">
        <f>'Cost Summary'!AX18</f>
        <v>811036.70103689888</v>
      </c>
      <c r="BA39" s="20">
        <f>'Cost Summary'!AY18</f>
        <v>625126.30727076705</v>
      </c>
      <c r="BB39" s="20">
        <f>'Cost Summary'!AZ18</f>
        <v>627706.73753712361</v>
      </c>
      <c r="BC39" s="20">
        <f>'Cost Summary'!BA18</f>
        <v>627949.43703723175</v>
      </c>
      <c r="BD39" s="20">
        <f>'Cost Summary'!BB18</f>
        <v>627506.39195596578</v>
      </c>
      <c r="BE39" s="20">
        <f>'Cost Summary'!BC18</f>
        <v>627019.10237302841</v>
      </c>
      <c r="BF39" s="20">
        <f>'Cost Summary'!BD18</f>
        <v>626843.97070546472</v>
      </c>
      <c r="BG39" s="20">
        <f>'Cost Summary'!BE18</f>
        <v>626417.22239012888</v>
      </c>
      <c r="BH39" s="20">
        <f>'Cost Summary'!BF18</f>
        <v>626135.80355639395</v>
      </c>
      <c r="BI39" s="20">
        <f>'Cost Summary'!BG18</f>
        <v>626524.21073334827</v>
      </c>
      <c r="BJ39" s="20">
        <f>'Cost Summary'!BH18</f>
        <v>626688.47808019491</v>
      </c>
      <c r="BK39" s="20">
        <f>'Cost Summary'!BI18</f>
        <v>626727.33915370854</v>
      </c>
      <c r="BL39" s="20">
        <f>'Cost Summary'!BJ18</f>
        <v>819174.40668999427</v>
      </c>
      <c r="BM39" s="226">
        <f>'Cost Summary'!BK18</f>
        <v>227938.75734187043</v>
      </c>
      <c r="BN39" s="226">
        <f>'Cost Summary'!BL18</f>
        <v>229859.92168979137</v>
      </c>
      <c r="BO39" s="226">
        <f>'Cost Summary'!BM18</f>
        <v>229860.93330710504</v>
      </c>
      <c r="BP39" s="226">
        <f>'Cost Summary'!BN18</f>
        <v>229841.98399296825</v>
      </c>
      <c r="BQ39" s="226">
        <f>'Cost Summary'!BO18</f>
        <v>229858.54735967907</v>
      </c>
      <c r="BR39" s="226">
        <f>'Cost Summary'!BP18</f>
        <v>229917.26135367921</v>
      </c>
      <c r="BS39" s="226">
        <f>'Cost Summary'!BQ18</f>
        <v>229995.61706952762</v>
      </c>
      <c r="BT39" s="226">
        <f>'Cost Summary'!BR18</f>
        <v>230116.21165800921</v>
      </c>
      <c r="BU39" s="226">
        <f>'Cost Summary'!BS18</f>
        <v>230270.44760189205</v>
      </c>
      <c r="BV39" s="226">
        <f>'Cost Summary'!BT18</f>
        <v>230405.30457084673</v>
      </c>
      <c r="BW39" s="226">
        <f>'Cost Summary'!BU18</f>
        <v>230537.84346314293</v>
      </c>
      <c r="BX39" s="226">
        <f>'Cost Summary'!BV18</f>
        <v>428366.29584825959</v>
      </c>
    </row>
    <row r="40" spans="1:76" ht="15" thickTop="1" x14ac:dyDescent="0.35">
      <c r="A40" s="30"/>
      <c r="B40" s="30"/>
      <c r="C40" s="30" t="s">
        <v>17</v>
      </c>
      <c r="D40" s="166"/>
      <c r="E40" s="8">
        <f t="shared" ref="E40:M40" si="20">SUM(E38:E39)</f>
        <v>156761.49787772866</v>
      </c>
      <c r="F40" s="8">
        <f t="shared" si="20"/>
        <v>200132.82758974744</v>
      </c>
      <c r="G40" s="166">
        <f t="shared" si="20"/>
        <v>224103.29351071056</v>
      </c>
      <c r="H40" s="8">
        <f t="shared" si="20"/>
        <v>220919.36074373056</v>
      </c>
      <c r="I40" s="8">
        <f t="shared" si="20"/>
        <v>188877.81273106992</v>
      </c>
      <c r="J40" s="8">
        <f t="shared" si="20"/>
        <v>228114.31540866854</v>
      </c>
      <c r="K40" s="8">
        <f t="shared" si="20"/>
        <v>199033.8780942313</v>
      </c>
      <c r="L40" s="8">
        <f t="shared" si="20"/>
        <v>236538.82147785701</v>
      </c>
      <c r="M40" s="8">
        <f t="shared" si="20"/>
        <v>216863.50006004187</v>
      </c>
      <c r="N40" s="8">
        <f>SUM(N38:N39)</f>
        <v>224520.68339049834</v>
      </c>
      <c r="O40" s="8">
        <f t="shared" ref="O40:AT40" si="21">SUM(O38:O39)</f>
        <v>188886.69563005451</v>
      </c>
      <c r="P40" s="8">
        <f t="shared" si="21"/>
        <v>167509.11690247664</v>
      </c>
      <c r="Q40" s="8">
        <f t="shared" si="21"/>
        <v>405035.49</v>
      </c>
      <c r="R40" s="8">
        <f t="shared" si="21"/>
        <v>310464.18</v>
      </c>
      <c r="S40" s="8">
        <f t="shared" si="21"/>
        <v>436011.24</v>
      </c>
      <c r="T40" s="8">
        <f t="shared" si="21"/>
        <v>395112.8</v>
      </c>
      <c r="U40" s="8">
        <f t="shared" si="21"/>
        <v>431711.88</v>
      </c>
      <c r="V40" s="8">
        <f t="shared" si="21"/>
        <v>592998.67000000004</v>
      </c>
      <c r="W40" s="8">
        <f t="shared" si="21"/>
        <v>866765.66999999993</v>
      </c>
      <c r="X40" s="8">
        <f t="shared" si="21"/>
        <v>810811.51</v>
      </c>
      <c r="Y40" s="8">
        <f t="shared" si="21"/>
        <v>610657.42000000004</v>
      </c>
      <c r="Z40" s="8">
        <f t="shared" si="21"/>
        <v>594907.51</v>
      </c>
      <c r="AA40" s="166">
        <f t="shared" ref="AA40" si="22">SUM(AA38:AA39)</f>
        <v>598789.22</v>
      </c>
      <c r="AB40" s="8">
        <f t="shared" si="21"/>
        <v>510240.12</v>
      </c>
      <c r="AC40" s="8">
        <f t="shared" si="21"/>
        <v>467493.10766666662</v>
      </c>
      <c r="AD40" s="8">
        <f t="shared" si="21"/>
        <v>545000.04731944448</v>
      </c>
      <c r="AE40" s="8">
        <f t="shared" si="21"/>
        <v>878233.16694328701</v>
      </c>
      <c r="AF40" s="8">
        <f t="shared" si="21"/>
        <v>1064161.9990357831</v>
      </c>
      <c r="AG40" s="8">
        <f t="shared" si="21"/>
        <v>962303.50046932057</v>
      </c>
      <c r="AH40" s="8">
        <f t="shared" si="21"/>
        <v>965734.56535565283</v>
      </c>
      <c r="AI40" s="8">
        <f t="shared" si="21"/>
        <v>1001322.1056491795</v>
      </c>
      <c r="AJ40" s="8">
        <f t="shared" si="21"/>
        <v>797552.15346716682</v>
      </c>
      <c r="AK40" s="8">
        <f t="shared" si="21"/>
        <v>818173.08276998624</v>
      </c>
      <c r="AL40" s="8">
        <f t="shared" si="21"/>
        <v>908375.31784804072</v>
      </c>
      <c r="AM40" s="8">
        <f t="shared" si="21"/>
        <v>798424.6883492663</v>
      </c>
      <c r="AN40" s="8">
        <f t="shared" si="21"/>
        <v>1219973.9763922608</v>
      </c>
      <c r="AO40" s="8">
        <f t="shared" si="21"/>
        <v>769328.96999633801</v>
      </c>
      <c r="AP40" s="8">
        <f t="shared" si="21"/>
        <v>781466.40607103275</v>
      </c>
      <c r="AQ40" s="8">
        <f t="shared" si="21"/>
        <v>790234.27256604296</v>
      </c>
      <c r="AR40" s="8">
        <f t="shared" si="21"/>
        <v>790631.47189890384</v>
      </c>
      <c r="AS40" s="8">
        <f t="shared" si="21"/>
        <v>786306.4375163631</v>
      </c>
      <c r="AT40" s="8">
        <f t="shared" si="21"/>
        <v>789377.15882338642</v>
      </c>
      <c r="AU40" s="8">
        <f t="shared" ref="AU40:BL40" si="23">SUM(AU38:AU39)</f>
        <v>787423.43770428677</v>
      </c>
      <c r="AV40" s="8">
        <f t="shared" si="23"/>
        <v>779254.99446401314</v>
      </c>
      <c r="AW40" s="8">
        <f t="shared" si="23"/>
        <v>782454.6228512238</v>
      </c>
      <c r="AX40" s="8">
        <f t="shared" si="23"/>
        <v>784203.87263924291</v>
      </c>
      <c r="AY40" s="8">
        <f t="shared" si="23"/>
        <v>778583.56480727007</v>
      </c>
      <c r="AZ40" s="8">
        <f t="shared" si="23"/>
        <v>1216565.2846797302</v>
      </c>
      <c r="BA40" s="8">
        <f t="shared" si="23"/>
        <v>788734.96267563011</v>
      </c>
      <c r="BB40" s="8">
        <f t="shared" si="23"/>
        <v>794497.50096361083</v>
      </c>
      <c r="BC40" s="8">
        <f t="shared" si="23"/>
        <v>794892.97253576061</v>
      </c>
      <c r="BD40" s="8">
        <f t="shared" si="23"/>
        <v>794591.01512740017</v>
      </c>
      <c r="BE40" s="8">
        <f t="shared" si="23"/>
        <v>794230.95830902061</v>
      </c>
      <c r="BF40" s="8">
        <f t="shared" si="23"/>
        <v>794201.7636144784</v>
      </c>
      <c r="BG40" s="8">
        <f t="shared" si="23"/>
        <v>793914.61172033928</v>
      </c>
      <c r="BH40" s="8">
        <f t="shared" si="23"/>
        <v>793766.61344169313</v>
      </c>
      <c r="BI40" s="8">
        <f t="shared" si="23"/>
        <v>794287.55388175277</v>
      </c>
      <c r="BJ40" s="8">
        <f t="shared" si="23"/>
        <v>794585.77346466342</v>
      </c>
      <c r="BK40" s="8">
        <f t="shared" si="23"/>
        <v>794763.49511288467</v>
      </c>
      <c r="BL40" s="8">
        <f t="shared" si="23"/>
        <v>1243378.0611033342</v>
      </c>
      <c r="BM40" s="166">
        <f t="shared" ref="BM40:BX40" si="24">SUM(BM38:BM39)</f>
        <v>396932.55763710791</v>
      </c>
      <c r="BN40" s="166">
        <f t="shared" si="24"/>
        <v>402117.60529972415</v>
      </c>
      <c r="BO40" s="166">
        <f t="shared" si="24"/>
        <v>402273.78314541792</v>
      </c>
      <c r="BP40" s="166">
        <f t="shared" si="24"/>
        <v>402410.37982304418</v>
      </c>
      <c r="BQ40" s="166">
        <f t="shared" si="24"/>
        <v>402583.89084341913</v>
      </c>
      <c r="BR40" s="166">
        <f t="shared" si="24"/>
        <v>402802.25276668038</v>
      </c>
      <c r="BS40" s="166">
        <f t="shared" si="24"/>
        <v>403041.6257867862</v>
      </c>
      <c r="BT40" s="166">
        <f t="shared" si="24"/>
        <v>403325.25838421565</v>
      </c>
      <c r="BU40" s="166">
        <f t="shared" si="24"/>
        <v>403645.25277410739</v>
      </c>
      <c r="BV40" s="166">
        <f t="shared" si="24"/>
        <v>403948.87810196658</v>
      </c>
      <c r="BW40" s="166">
        <f t="shared" si="24"/>
        <v>404253.31873689208</v>
      </c>
      <c r="BX40" s="166">
        <f t="shared" si="24"/>
        <v>865960.63469679526</v>
      </c>
    </row>
    <row r="41" spans="1:76" x14ac:dyDescent="0.35">
      <c r="D41" s="308"/>
      <c r="E41" s="17"/>
      <c r="F41" s="17"/>
      <c r="G41" s="175"/>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579"/>
      <c r="BN41" s="579"/>
      <c r="BO41" s="579"/>
      <c r="BP41" s="579"/>
      <c r="BQ41" s="579"/>
      <c r="BR41" s="579"/>
      <c r="BS41" s="579"/>
      <c r="BT41" s="579"/>
      <c r="BU41" s="579"/>
      <c r="BV41" s="579"/>
      <c r="BW41" s="579"/>
      <c r="BX41" s="579"/>
    </row>
    <row r="42" spans="1:76" outlineLevel="1" x14ac:dyDescent="0.35">
      <c r="C42" s="30" t="s">
        <v>18</v>
      </c>
      <c r="D42" s="308"/>
      <c r="E42" s="17"/>
      <c r="F42" s="17"/>
      <c r="G42" s="175"/>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579"/>
      <c r="BN42" s="579"/>
      <c r="BO42" s="579"/>
      <c r="BP42" s="579"/>
      <c r="BQ42" s="579"/>
      <c r="BR42" s="579"/>
      <c r="BS42" s="579"/>
      <c r="BT42" s="579"/>
      <c r="BU42" s="579"/>
      <c r="BV42" s="579"/>
      <c r="BW42" s="579"/>
      <c r="BX42" s="579"/>
    </row>
    <row r="43" spans="1:76" s="151" customFormat="1" outlineLevel="1" x14ac:dyDescent="0.35">
      <c r="C43" s="43" t="s">
        <v>342</v>
      </c>
      <c r="D43" s="308"/>
      <c r="E43" s="17">
        <f>'Cost Summary'!C21</f>
        <v>28936.194989697571</v>
      </c>
      <c r="F43" s="17">
        <f>'Cost Summary'!D21</f>
        <v>29068.38469970796</v>
      </c>
      <c r="G43" s="175">
        <f>'Cost Summary'!E21</f>
        <v>24260.562355377435</v>
      </c>
      <c r="H43" s="17">
        <f>'Cost Summary'!F21</f>
        <v>33096.835246874049</v>
      </c>
      <c r="I43" s="17">
        <f>'Cost Summary'!G21</f>
        <v>30687.359681435475</v>
      </c>
      <c r="J43" s="17">
        <f>'Cost Summary'!H21</f>
        <v>42573.263429405881</v>
      </c>
      <c r="K43" s="17">
        <f>'Cost Summary'!I21</f>
        <v>31775.717145368864</v>
      </c>
      <c r="L43" s="17">
        <f>'Cost Summary'!J21</f>
        <v>37195.632062964993</v>
      </c>
      <c r="M43" s="17">
        <f>'Cost Summary'!K21</f>
        <v>32910.646091064053</v>
      </c>
      <c r="N43" s="225">
        <f>'Cost Summary'!L21</f>
        <v>39324.872454851429</v>
      </c>
      <c r="O43" s="225">
        <f>'Cost Summary'!M21</f>
        <v>67613.394059981336</v>
      </c>
      <c r="P43" s="225">
        <f>'Cost Summary'!N21</f>
        <v>60692.076637588005</v>
      </c>
      <c r="Q43" s="225">
        <f>'Cost Summary'!O21</f>
        <v>65071.12</v>
      </c>
      <c r="R43" s="225">
        <f>'Cost Summary'!P21</f>
        <v>36487.94</v>
      </c>
      <c r="S43" s="225">
        <f>'Cost Summary'!Q21</f>
        <v>74794.22</v>
      </c>
      <c r="T43" s="225">
        <f>'Cost Summary'!R21</f>
        <v>63163.95</v>
      </c>
      <c r="U43" s="225">
        <f>'Cost Summary'!S21</f>
        <v>98531.67</v>
      </c>
      <c r="V43" s="225">
        <f>'Cost Summary'!T21</f>
        <v>83189.5</v>
      </c>
      <c r="W43" s="225">
        <f>'Cost Summary'!U21</f>
        <v>111312.5</v>
      </c>
      <c r="X43" s="225">
        <f>'Cost Summary'!V21</f>
        <v>108879.77</v>
      </c>
      <c r="Y43" s="225">
        <f>'Cost Summary'!W21</f>
        <v>97885.34</v>
      </c>
      <c r="Z43" s="225">
        <f>'Cost Summary'!X21</f>
        <v>110090.17</v>
      </c>
      <c r="AA43" s="579">
        <f>'Cost Summary'!Y21</f>
        <v>105787.7</v>
      </c>
      <c r="AB43" s="225">
        <f>'Cost Summary'!Z21</f>
        <v>135096.85</v>
      </c>
      <c r="AC43" s="225">
        <f>'Cost Summary'!AA21</f>
        <v>84161.439775000006</v>
      </c>
      <c r="AD43" s="225">
        <f>'Cost Summary'!AB21</f>
        <v>107531.45095555557</v>
      </c>
      <c r="AE43" s="225">
        <f>'Cost Summary'!AC21</f>
        <v>107820.80334560186</v>
      </c>
      <c r="AF43" s="225">
        <f>'Cost Summary'!AD21</f>
        <v>107910.08093481867</v>
      </c>
      <c r="AG43" s="225">
        <f>'Cost Summary'!AE21</f>
        <v>108136.3958231369</v>
      </c>
      <c r="AH43" s="225">
        <f>'Cost Summary'!AF21</f>
        <v>108267.66861881496</v>
      </c>
      <c r="AI43" s="225">
        <f>'Cost Summary'!AG21</f>
        <v>108702.26914746621</v>
      </c>
      <c r="AJ43" s="225">
        <f>'Cost Summary'!AH21</f>
        <v>109037.3988868384</v>
      </c>
      <c r="AK43" s="225">
        <f>'Cost Summary'!AI21</f>
        <v>109211.19777115827</v>
      </c>
      <c r="AL43" s="225">
        <f>'Cost Summary'!AJ21</f>
        <v>109548.02572917147</v>
      </c>
      <c r="AM43" s="225">
        <f>'Cost Summary'!AK21</f>
        <v>109465.30351701909</v>
      </c>
      <c r="AN43" s="225">
        <f>'Cost Summary'!AL21</f>
        <v>314686.9436205207</v>
      </c>
      <c r="AO43" s="225">
        <f>'Cost Summary'!AM21</f>
        <v>109196.1579933974</v>
      </c>
      <c r="AP43" s="225">
        <f>'Cost Summary'!AN21</f>
        <v>130403.95867202079</v>
      </c>
      <c r="AQ43" s="225">
        <f>'Cost Summary'!AO21</f>
        <v>130497.86898880667</v>
      </c>
      <c r="AR43" s="225">
        <f>'Cost Summary'!AP21</f>
        <v>130575.51015963417</v>
      </c>
      <c r="AS43" s="225">
        <f>'Cost Summary'!AQ21</f>
        <v>130652.20094431157</v>
      </c>
      <c r="AT43" s="225">
        <f>'Cost Summary'!AR21</f>
        <v>130716.44413964461</v>
      </c>
      <c r="AU43" s="225">
        <f>'Cost Summary'!AS21</f>
        <v>130775.12455378754</v>
      </c>
      <c r="AV43" s="225">
        <f>'Cost Summary'!AT21</f>
        <v>130802.50342062027</v>
      </c>
      <c r="AW43" s="225">
        <f>'Cost Summary'!AU21</f>
        <v>130804.26381378928</v>
      </c>
      <c r="AX43" s="225">
        <f>'Cost Summary'!AV21</f>
        <v>130791.71761304521</v>
      </c>
      <c r="AY43" s="225">
        <f>'Cost Summary'!AW21</f>
        <v>130750.0895912307</v>
      </c>
      <c r="AZ43" s="225">
        <f>'Cost Summary'!AX21</f>
        <v>370054.55677421833</v>
      </c>
      <c r="BA43" s="225">
        <f>'Cost Summary'!AY21</f>
        <v>137322.00924683985</v>
      </c>
      <c r="BB43" s="225">
        <f>'Cost Summary'!AZ21</f>
        <v>140979.17122190606</v>
      </c>
      <c r="BC43" s="225">
        <f>'Cost Summary'!BA21</f>
        <v>141004.57982696529</v>
      </c>
      <c r="BD43" s="225">
        <f>'Cost Summary'!BB21</f>
        <v>141024.29377005633</v>
      </c>
      <c r="BE43" s="225">
        <f>'Cost Summary'!BC21</f>
        <v>141039.19390256016</v>
      </c>
      <c r="BF43" s="225">
        <f>'Cost Summary'!BD21</f>
        <v>141048.95773554945</v>
      </c>
      <c r="BG43" s="225">
        <f>'Cost Summary'!BE21</f>
        <v>141054.19379476795</v>
      </c>
      <c r="BH43" s="225">
        <f>'Cost Summary'!BF21</f>
        <v>141054.98733664045</v>
      </c>
      <c r="BI43" s="225">
        <f>'Cost Summary'!BG21</f>
        <v>141053.5753349138</v>
      </c>
      <c r="BJ43" s="225">
        <f>'Cost Summary'!BH21</f>
        <v>141051.90725997198</v>
      </c>
      <c r="BK43" s="225">
        <f>'Cost Summary'!BI21</f>
        <v>141051.15200359077</v>
      </c>
      <c r="BL43" s="225">
        <f>'Cost Summary'!BJ21</f>
        <v>387576.72075053176</v>
      </c>
      <c r="BM43" s="579">
        <f>'Cost Summary'!BK21</f>
        <v>141059.86424822651</v>
      </c>
      <c r="BN43" s="579">
        <f>'Cost Summary'!BL21</f>
        <v>144839.6363013373</v>
      </c>
      <c r="BO43" s="579">
        <f>'Cost Summary'!BM21</f>
        <v>144847.61776483097</v>
      </c>
      <c r="BP43" s="579">
        <f>'Cost Summary'!BN21</f>
        <v>144854.15613095276</v>
      </c>
      <c r="BQ43" s="579">
        <f>'Cost Summary'!BO21</f>
        <v>144859.6052705406</v>
      </c>
      <c r="BR43" s="579">
        <f>'Cost Summary'!BP21</f>
        <v>144864.27513291594</v>
      </c>
      <c r="BS43" s="579">
        <f>'Cost Summary'!BQ21</f>
        <v>144868.52838014014</v>
      </c>
      <c r="BT43" s="579">
        <f>'Cost Summary'!BR21</f>
        <v>144872.7072154514</v>
      </c>
      <c r="BU43" s="579">
        <f>'Cost Summary'!BS21</f>
        <v>144877.17530940322</v>
      </c>
      <c r="BV43" s="579">
        <f>'Cost Summary'!BT21</f>
        <v>144882.14031016361</v>
      </c>
      <c r="BW43" s="579">
        <f>'Cost Summary'!BU21</f>
        <v>144887.66483826708</v>
      </c>
      <c r="BX43" s="579">
        <f>'Cost Summary'!BV21</f>
        <v>398812.32096671656</v>
      </c>
    </row>
    <row r="44" spans="1:76" outlineLevel="1" x14ac:dyDescent="0.35">
      <c r="C44" s="41" t="s">
        <v>67</v>
      </c>
      <c r="D44" s="308"/>
      <c r="E44" s="17">
        <f>'Cost Summary'!C22</f>
        <v>60951.026543432119</v>
      </c>
      <c r="F44" s="17">
        <f>'Cost Summary'!D22</f>
        <v>54573.897326367412</v>
      </c>
      <c r="G44" s="175">
        <f>'Cost Summary'!E22</f>
        <v>76876.314729704696</v>
      </c>
      <c r="H44" s="17">
        <f>'Cost Summary'!F22</f>
        <v>86237.985625780828</v>
      </c>
      <c r="I44" s="17">
        <f>'Cost Summary'!G22</f>
        <v>79829.350699418079</v>
      </c>
      <c r="J44" s="17">
        <f>'Cost Summary'!H22</f>
        <v>106990.47820609846</v>
      </c>
      <c r="K44" s="17">
        <f>'Cost Summary'!I22</f>
        <v>117372.99168759244</v>
      </c>
      <c r="L44" s="17">
        <f>'Cost Summary'!J22</f>
        <v>130340.79026891006</v>
      </c>
      <c r="M44" s="17">
        <f>'Cost Summary'!K22</f>
        <v>134907.88182833997</v>
      </c>
      <c r="N44" s="225">
        <f>'Cost Summary'!L22</f>
        <v>135611.68798628659</v>
      </c>
      <c r="O44" s="225">
        <f>'Cost Summary'!M22</f>
        <v>179290.10190158105</v>
      </c>
      <c r="P44" s="225">
        <f>'Cost Summary'!N22</f>
        <v>208819.66215888504</v>
      </c>
      <c r="Q44" s="225">
        <f>'Cost Summary'!O22</f>
        <v>223525.13</v>
      </c>
      <c r="R44" s="225">
        <f>'Cost Summary'!P22</f>
        <v>203616.35</v>
      </c>
      <c r="S44" s="225">
        <f>'Cost Summary'!Q22</f>
        <v>271880.2</v>
      </c>
      <c r="T44" s="225">
        <f>'Cost Summary'!R22</f>
        <v>302619.27</v>
      </c>
      <c r="U44" s="225">
        <f>'Cost Summary'!S22</f>
        <v>256681.38</v>
      </c>
      <c r="V44" s="225">
        <f>'Cost Summary'!T22</f>
        <v>216287.32</v>
      </c>
      <c r="W44" s="225">
        <f>'Cost Summary'!U22</f>
        <v>307011.43</v>
      </c>
      <c r="X44" s="225">
        <f>'Cost Summary'!V22</f>
        <v>296560.23</v>
      </c>
      <c r="Y44" s="225">
        <f>'Cost Summary'!W22</f>
        <v>259876.5</v>
      </c>
      <c r="Z44" s="225">
        <f>'Cost Summary'!X22</f>
        <v>285864.71999999997</v>
      </c>
      <c r="AA44" s="579">
        <f>'Cost Summary'!Y22</f>
        <v>277660.88</v>
      </c>
      <c r="AB44" s="225">
        <f>'Cost Summary'!Z22</f>
        <v>238550.02000000002</v>
      </c>
      <c r="AC44" s="225">
        <f>'Cost Summary'!AA22</f>
        <v>200964.33657499999</v>
      </c>
      <c r="AD44" s="225">
        <f>'Cost Summary'!AB22</f>
        <v>218681.45976944445</v>
      </c>
      <c r="AE44" s="225">
        <f>'Cost Summary'!AC22</f>
        <v>210876.1596189815</v>
      </c>
      <c r="AF44" s="225">
        <f>'Cost Summary'!AD22</f>
        <v>216993.25945597995</v>
      </c>
      <c r="AG44" s="225">
        <f>'Cost Summary'!AE22</f>
        <v>211072.68261272827</v>
      </c>
      <c r="AH44" s="225">
        <f>'Cost Summary'!AF22</f>
        <v>211071.67603253896</v>
      </c>
      <c r="AI44" s="225">
        <f>'Cost Summary'!AG22</f>
        <v>278426.37390400056</v>
      </c>
      <c r="AJ44" s="225">
        <f>'Cost Summary'!AH22</f>
        <v>231194.44770919505</v>
      </c>
      <c r="AK44" s="225">
        <f>'Cost Summary'!AI22</f>
        <v>231339.50849815574</v>
      </c>
      <c r="AL44" s="225">
        <f>'Cost Summary'!AJ22</f>
        <v>265039.61351952981</v>
      </c>
      <c r="AM44" s="225">
        <f>'Cost Summary'!AK22</f>
        <v>241184.47534824064</v>
      </c>
      <c r="AN44" s="225">
        <f>'Cost Summary'!AL22</f>
        <v>688041.52316267742</v>
      </c>
      <c r="AO44" s="225">
        <f>'Cost Summary'!AM22</f>
        <v>243413.79306473382</v>
      </c>
      <c r="AP44" s="225">
        <f>'Cost Summary'!AN22</f>
        <v>288529.74676577409</v>
      </c>
      <c r="AQ44" s="225">
        <f>'Cost Summary'!AO22</f>
        <v>288549.96417640982</v>
      </c>
      <c r="AR44" s="225">
        <f>'Cost Summary'!AP22</f>
        <v>288597.46140009066</v>
      </c>
      <c r="AS44" s="225">
        <f>'Cost Summary'!AQ22</f>
        <v>288555.99247933057</v>
      </c>
      <c r="AT44" s="225">
        <f>'Cost Summary'!AR22</f>
        <v>288587.96530439146</v>
      </c>
      <c r="AU44" s="225">
        <f>'Cost Summary'!AS22</f>
        <v>288622.88591779571</v>
      </c>
      <c r="AV44" s="225">
        <f>'Cost Summary'!AT22</f>
        <v>288653.59844107565</v>
      </c>
      <c r="AW44" s="225">
        <f>'Cost Summary'!AU22</f>
        <v>288689.76861433272</v>
      </c>
      <c r="AX44" s="225">
        <f>'Cost Summary'!AV22</f>
        <v>288717.12412079144</v>
      </c>
      <c r="AY44" s="225">
        <f>'Cost Summary'!AW22</f>
        <v>288741.47828881984</v>
      </c>
      <c r="AZ44" s="225">
        <f>'Cost Summary'!AX22</f>
        <v>796630.02080163499</v>
      </c>
      <c r="BA44" s="225">
        <f>'Cost Summary'!AY22</f>
        <v>296170.00945675542</v>
      </c>
      <c r="BB44" s="225">
        <f>'Cost Summary'!AZ22</f>
        <v>303018.81926500838</v>
      </c>
      <c r="BC44" s="225">
        <f>'Cost Summary'!BA22</f>
        <v>303050.52856298332</v>
      </c>
      <c r="BD44" s="225">
        <f>'Cost Summary'!BB22</f>
        <v>303083.31524443143</v>
      </c>
      <c r="BE44" s="225">
        <f>'Cost Summary'!BC22</f>
        <v>303114.99269140774</v>
      </c>
      <c r="BF44" s="225">
        <f>'Cost Summary'!BD22</f>
        <v>303152.87765983603</v>
      </c>
      <c r="BG44" s="225">
        <f>'Cost Summary'!BE22</f>
        <v>303191.36081121722</v>
      </c>
      <c r="BH44" s="225">
        <f>'Cost Summary'!BF22</f>
        <v>303230.23772841407</v>
      </c>
      <c r="BI44" s="225">
        <f>'Cost Summary'!BG22</f>
        <v>303269.88081647782</v>
      </c>
      <c r="BJ44" s="225">
        <f>'Cost Summary'!BH22</f>
        <v>303309.88518987381</v>
      </c>
      <c r="BK44" s="225">
        <f>'Cost Summary'!BI22</f>
        <v>303350.99830770009</v>
      </c>
      <c r="BL44" s="225">
        <f>'Cost Summary'!BJ22</f>
        <v>826469.347355337</v>
      </c>
      <c r="BM44" s="579">
        <f>'Cost Summary'!BK22</f>
        <v>304390.45264433278</v>
      </c>
      <c r="BN44" s="579">
        <f>'Cost Summary'!BL22</f>
        <v>311453.99494928803</v>
      </c>
      <c r="BO44" s="579">
        <f>'Cost Summary'!BM22</f>
        <v>311495.99830012047</v>
      </c>
      <c r="BP44" s="579">
        <f>'Cost Summary'!BN22</f>
        <v>311538.93891688378</v>
      </c>
      <c r="BQ44" s="579">
        <f>'Cost Summary'!BO22</f>
        <v>311582.80142913241</v>
      </c>
      <c r="BR44" s="579">
        <f>'Cost Summary'!BP22</f>
        <v>311627.75134762767</v>
      </c>
      <c r="BS44" s="579">
        <f>'Cost Summary'!BQ22</f>
        <v>311673.35832882475</v>
      </c>
      <c r="BT44" s="579">
        <f>'Cost Summary'!BR22</f>
        <v>311719.62387051724</v>
      </c>
      <c r="BU44" s="579">
        <f>'Cost Summary'!BS22</f>
        <v>311766.56710746163</v>
      </c>
      <c r="BV44" s="579">
        <f>'Cost Summary'!BT22</f>
        <v>311814.17848244158</v>
      </c>
      <c r="BW44" s="579">
        <f>'Cost Summary'!BU22</f>
        <v>311862.48245886434</v>
      </c>
      <c r="BX44" s="579">
        <f>'Cost Summary'!BV22</f>
        <v>850679.52453515644</v>
      </c>
    </row>
    <row r="45" spans="1:76" x14ac:dyDescent="0.35">
      <c r="A45" s="30"/>
      <c r="B45" s="30"/>
      <c r="C45" s="30" t="s">
        <v>18</v>
      </c>
      <c r="D45" s="166"/>
      <c r="E45" s="8">
        <f t="shared" ref="E45:AJ45" si="25">SUM(E43:E44)</f>
        <v>89887.22153312969</v>
      </c>
      <c r="F45" s="8">
        <f t="shared" si="25"/>
        <v>83642.28202607538</v>
      </c>
      <c r="G45" s="166">
        <f t="shared" si="25"/>
        <v>101136.87708508213</v>
      </c>
      <c r="H45" s="8">
        <f t="shared" si="25"/>
        <v>119334.82087265488</v>
      </c>
      <c r="I45" s="8">
        <f t="shared" si="25"/>
        <v>110516.71038085356</v>
      </c>
      <c r="J45" s="8">
        <f t="shared" si="25"/>
        <v>149563.74163550435</v>
      </c>
      <c r="K45" s="8">
        <f t="shared" si="25"/>
        <v>149148.7088329613</v>
      </c>
      <c r="L45" s="8">
        <f t="shared" si="25"/>
        <v>167536.42233187504</v>
      </c>
      <c r="M45" s="8">
        <f t="shared" si="25"/>
        <v>167818.52791940403</v>
      </c>
      <c r="N45" s="8">
        <f t="shared" si="25"/>
        <v>174936.56044113802</v>
      </c>
      <c r="O45" s="8">
        <f t="shared" si="25"/>
        <v>246903.49596156238</v>
      </c>
      <c r="P45" s="8">
        <f t="shared" si="25"/>
        <v>269511.73879647302</v>
      </c>
      <c r="Q45" s="8">
        <f t="shared" si="25"/>
        <v>288596.25</v>
      </c>
      <c r="R45" s="8">
        <f t="shared" si="25"/>
        <v>240104.29</v>
      </c>
      <c r="S45" s="8">
        <f t="shared" si="25"/>
        <v>346674.42000000004</v>
      </c>
      <c r="T45" s="8">
        <f t="shared" si="25"/>
        <v>365783.22000000003</v>
      </c>
      <c r="U45" s="8">
        <f t="shared" si="25"/>
        <v>355213.05</v>
      </c>
      <c r="V45" s="8">
        <f t="shared" si="25"/>
        <v>299476.82</v>
      </c>
      <c r="W45" s="8">
        <f t="shared" si="25"/>
        <v>418323.93</v>
      </c>
      <c r="X45" s="8">
        <f t="shared" si="25"/>
        <v>405440</v>
      </c>
      <c r="Y45" s="8">
        <f t="shared" si="25"/>
        <v>357761.83999999997</v>
      </c>
      <c r="Z45" s="8">
        <f t="shared" si="25"/>
        <v>395954.88999999996</v>
      </c>
      <c r="AA45" s="166">
        <f t="shared" ref="AA45" si="26">SUM(AA43:AA44)</f>
        <v>383448.58</v>
      </c>
      <c r="AB45" s="8">
        <f t="shared" si="25"/>
        <v>373646.87</v>
      </c>
      <c r="AC45" s="8">
        <f t="shared" si="25"/>
        <v>285125.77635</v>
      </c>
      <c r="AD45" s="8">
        <f t="shared" si="25"/>
        <v>326212.91072500002</v>
      </c>
      <c r="AE45" s="8">
        <f t="shared" si="25"/>
        <v>318696.96296458336</v>
      </c>
      <c r="AF45" s="8">
        <f t="shared" si="25"/>
        <v>324903.34039079864</v>
      </c>
      <c r="AG45" s="8">
        <f t="shared" si="25"/>
        <v>319209.07843586517</v>
      </c>
      <c r="AH45" s="8">
        <f t="shared" si="25"/>
        <v>319339.34465135389</v>
      </c>
      <c r="AI45" s="8">
        <f t="shared" si="25"/>
        <v>387128.64305146679</v>
      </c>
      <c r="AJ45" s="8">
        <f t="shared" si="25"/>
        <v>340231.84659603343</v>
      </c>
      <c r="AK45" s="8">
        <f t="shared" ref="AK45:BL45" si="27">SUM(AK43:AK44)</f>
        <v>340550.70626931405</v>
      </c>
      <c r="AL45" s="8">
        <f t="shared" si="27"/>
        <v>374587.63924870128</v>
      </c>
      <c r="AM45" s="8">
        <f t="shared" si="27"/>
        <v>350649.77886525972</v>
      </c>
      <c r="AN45" s="8">
        <f t="shared" si="27"/>
        <v>1002728.4667831981</v>
      </c>
      <c r="AO45" s="8">
        <f t="shared" si="27"/>
        <v>352609.95105813124</v>
      </c>
      <c r="AP45" s="8">
        <f t="shared" si="27"/>
        <v>418933.70543779491</v>
      </c>
      <c r="AQ45" s="8">
        <f t="shared" si="27"/>
        <v>419047.83316521649</v>
      </c>
      <c r="AR45" s="8">
        <f t="shared" si="27"/>
        <v>419172.97155972483</v>
      </c>
      <c r="AS45" s="8">
        <f t="shared" si="27"/>
        <v>419208.19342364214</v>
      </c>
      <c r="AT45" s="8">
        <f t="shared" si="27"/>
        <v>419304.40944403608</v>
      </c>
      <c r="AU45" s="8">
        <f t="shared" si="27"/>
        <v>419398.01047158323</v>
      </c>
      <c r="AV45" s="8">
        <f t="shared" si="27"/>
        <v>419456.10186169593</v>
      </c>
      <c r="AW45" s="8">
        <f t="shared" si="27"/>
        <v>419494.03242812201</v>
      </c>
      <c r="AX45" s="8">
        <f t="shared" si="27"/>
        <v>419508.84173383669</v>
      </c>
      <c r="AY45" s="8">
        <f t="shared" si="27"/>
        <v>419491.56788005051</v>
      </c>
      <c r="AZ45" s="8">
        <f t="shared" si="27"/>
        <v>1166684.5775758533</v>
      </c>
      <c r="BA45" s="8">
        <f t="shared" si="27"/>
        <v>433492.01870359527</v>
      </c>
      <c r="BB45" s="8">
        <f t="shared" si="27"/>
        <v>443997.99048691441</v>
      </c>
      <c r="BC45" s="8">
        <f t="shared" si="27"/>
        <v>444055.10838994861</v>
      </c>
      <c r="BD45" s="8">
        <f t="shared" si="27"/>
        <v>444107.60901448777</v>
      </c>
      <c r="BE45" s="8">
        <f t="shared" si="27"/>
        <v>444154.1865939679</v>
      </c>
      <c r="BF45" s="8">
        <f t="shared" si="27"/>
        <v>444201.83539538551</v>
      </c>
      <c r="BG45" s="8">
        <f t="shared" si="27"/>
        <v>444245.55460598518</v>
      </c>
      <c r="BH45" s="8">
        <f t="shared" si="27"/>
        <v>444285.22506505449</v>
      </c>
      <c r="BI45" s="8">
        <f t="shared" si="27"/>
        <v>444323.45615139161</v>
      </c>
      <c r="BJ45" s="8">
        <f t="shared" si="27"/>
        <v>444361.79244984582</v>
      </c>
      <c r="BK45" s="8">
        <f t="shared" si="27"/>
        <v>444402.15031129087</v>
      </c>
      <c r="BL45" s="8">
        <f t="shared" si="27"/>
        <v>1214046.0681058688</v>
      </c>
      <c r="BM45" s="166">
        <f t="shared" ref="BM45:BX45" si="28">SUM(BM43:BM44)</f>
        <v>445450.31689255929</v>
      </c>
      <c r="BN45" s="166">
        <f t="shared" si="28"/>
        <v>456293.63125062536</v>
      </c>
      <c r="BO45" s="166">
        <f t="shared" si="28"/>
        <v>456343.61606495141</v>
      </c>
      <c r="BP45" s="166">
        <f t="shared" si="28"/>
        <v>456393.09504783654</v>
      </c>
      <c r="BQ45" s="166">
        <f t="shared" si="28"/>
        <v>456442.40669967304</v>
      </c>
      <c r="BR45" s="166">
        <f t="shared" si="28"/>
        <v>456492.0264805436</v>
      </c>
      <c r="BS45" s="166">
        <f t="shared" si="28"/>
        <v>456541.88670896488</v>
      </c>
      <c r="BT45" s="166">
        <f t="shared" si="28"/>
        <v>456592.33108596865</v>
      </c>
      <c r="BU45" s="166">
        <f t="shared" si="28"/>
        <v>456643.74241686484</v>
      </c>
      <c r="BV45" s="166">
        <f t="shared" si="28"/>
        <v>456696.31879260519</v>
      </c>
      <c r="BW45" s="166">
        <f t="shared" si="28"/>
        <v>456750.14729713142</v>
      </c>
      <c r="BX45" s="166">
        <f t="shared" si="28"/>
        <v>1249491.8455018729</v>
      </c>
    </row>
    <row r="46" spans="1:76" x14ac:dyDescent="0.35">
      <c r="D46" s="308"/>
      <c r="E46" s="17"/>
      <c r="F46" s="17"/>
      <c r="G46" s="175"/>
      <c r="H46" s="17"/>
      <c r="I46" s="17"/>
      <c r="J46" s="17"/>
      <c r="K46" s="17"/>
      <c r="L46" s="17"/>
      <c r="M46" s="17"/>
      <c r="N46" s="17"/>
      <c r="O46" s="17"/>
      <c r="P46" s="17"/>
      <c r="Q46" s="17"/>
      <c r="R46" s="17"/>
      <c r="S46" s="17"/>
      <c r="T46" s="17"/>
      <c r="U46" s="17"/>
      <c r="V46" s="17"/>
      <c r="W46" s="17"/>
      <c r="X46" s="17"/>
      <c r="Y46" s="17"/>
      <c r="Z46" s="17"/>
      <c r="AA46" s="579"/>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579"/>
      <c r="BN46" s="579"/>
      <c r="BO46" s="579"/>
      <c r="BP46" s="579"/>
      <c r="BQ46" s="579"/>
      <c r="BR46" s="579"/>
      <c r="BS46" s="579"/>
      <c r="BT46" s="579"/>
      <c r="BU46" s="579"/>
      <c r="BV46" s="579"/>
      <c r="BW46" s="579"/>
      <c r="BX46" s="579"/>
    </row>
    <row r="47" spans="1:76" hidden="1" outlineLevel="1" x14ac:dyDescent="0.35">
      <c r="C47" s="30" t="s">
        <v>19</v>
      </c>
      <c r="D47" s="308"/>
      <c r="E47" s="17"/>
      <c r="F47" s="17"/>
      <c r="G47" s="175"/>
      <c r="H47" s="17"/>
      <c r="I47" s="17"/>
      <c r="J47" s="17"/>
      <c r="K47" s="17"/>
      <c r="L47" s="17"/>
      <c r="M47" s="17"/>
      <c r="N47" s="17"/>
      <c r="O47" s="17"/>
      <c r="P47" s="17"/>
      <c r="Q47" s="17"/>
      <c r="R47" s="17"/>
      <c r="S47" s="17"/>
      <c r="T47" s="17"/>
      <c r="U47" s="17"/>
      <c r="V47" s="17"/>
      <c r="W47" s="17"/>
      <c r="X47" s="17"/>
      <c r="Y47" s="17"/>
      <c r="Z47" s="17"/>
      <c r="AA47" s="579"/>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579"/>
      <c r="BN47" s="579"/>
      <c r="BO47" s="579"/>
      <c r="BP47" s="579"/>
      <c r="BQ47" s="579"/>
      <c r="BR47" s="579"/>
      <c r="BS47" s="579"/>
      <c r="BT47" s="579"/>
      <c r="BU47" s="579"/>
      <c r="BV47" s="579"/>
      <c r="BW47" s="579"/>
      <c r="BX47" s="579"/>
    </row>
    <row r="48" spans="1:76" hidden="1" outlineLevel="1" x14ac:dyDescent="0.35">
      <c r="C48" s="41" t="s">
        <v>4</v>
      </c>
      <c r="D48" s="308"/>
      <c r="E48" s="17">
        <f>'Cost Summary'!C25</f>
        <v>9654.4841038329723</v>
      </c>
      <c r="F48" s="175">
        <f>'Cost Summary'!D25</f>
        <v>9291.879721282683</v>
      </c>
      <c r="G48" s="175">
        <f>'Cost Summary'!E25</f>
        <v>9380.4989089633636</v>
      </c>
      <c r="H48" s="175">
        <f>'Cost Summary'!F25</f>
        <v>9910.8241899511377</v>
      </c>
      <c r="I48" s="175">
        <f>'Cost Summary'!G25</f>
        <v>6711.0024330387223</v>
      </c>
      <c r="J48" s="175">
        <f>'Cost Summary'!H25</f>
        <v>10545.033272667006</v>
      </c>
      <c r="K48" s="175">
        <f>'Cost Summary'!I25</f>
        <v>9863.7178412196627</v>
      </c>
      <c r="L48" s="175">
        <f>'Cost Summary'!J25</f>
        <v>12184.214045134417</v>
      </c>
      <c r="M48" s="175">
        <f>'Cost Summary'!K25</f>
        <v>10281.679894524765</v>
      </c>
      <c r="N48" s="225">
        <f>'Cost Summary'!L25</f>
        <v>11679.999297338611</v>
      </c>
      <c r="O48" s="175">
        <f>'Cost Summary'!M25</f>
        <v>15738.931776853529</v>
      </c>
      <c r="P48" s="175">
        <f>'Cost Summary'!N25</f>
        <v>12722.432056562415</v>
      </c>
      <c r="Q48" s="175">
        <f>'Cost Summary'!O25</f>
        <v>18751.82</v>
      </c>
      <c r="R48" s="175">
        <f>'Cost Summary'!P25</f>
        <v>42229.19</v>
      </c>
      <c r="S48" s="175">
        <f>'Cost Summary'!Q25</f>
        <v>21295.49</v>
      </c>
      <c r="T48" s="175">
        <f>'Cost Summary'!R25</f>
        <v>13352.83</v>
      </c>
      <c r="U48" s="175">
        <f>'Cost Summary'!S25</f>
        <v>32762.05</v>
      </c>
      <c r="V48" s="175">
        <f>'Cost Summary'!T25</f>
        <v>21728.84</v>
      </c>
      <c r="W48" s="175">
        <f>'Cost Summary'!U25</f>
        <v>53607.71</v>
      </c>
      <c r="X48" s="175">
        <f>'Cost Summary'!V25</f>
        <v>51547.13</v>
      </c>
      <c r="Y48" s="175">
        <f>'Cost Summary'!W25</f>
        <v>41961.1</v>
      </c>
      <c r="Z48" s="175">
        <f>'Cost Summary'!X25</f>
        <v>40709.93</v>
      </c>
      <c r="AA48" s="579">
        <f>'Cost Summary'!Y25</f>
        <v>43557.17</v>
      </c>
      <c r="AB48" s="175">
        <f>'Cost Summary'!Z25</f>
        <v>74841.59</v>
      </c>
      <c r="AC48" s="175">
        <f>'Cost Summary'!AA25</f>
        <v>48664.392291666663</v>
      </c>
      <c r="AD48" s="175">
        <f>'Cost Summary'!AB25</f>
        <v>54208.116874999992</v>
      </c>
      <c r="AE48" s="175">
        <f>'Cost Summary'!AC25</f>
        <v>53398.864895833336</v>
      </c>
      <c r="AF48" s="175">
        <f>'Cost Summary'!AD25</f>
        <v>76904.957751736103</v>
      </c>
      <c r="AG48" s="175">
        <f>'Cost Summary'!AE25</f>
        <v>78020.119456741901</v>
      </c>
      <c r="AH48" s="175">
        <f>'Cost Summary'!AF25</f>
        <v>78485.433803831489</v>
      </c>
      <c r="AI48" s="175">
        <f>'Cost Summary'!AG25</f>
        <v>79902.535179845232</v>
      </c>
      <c r="AJ48" s="175">
        <f>'Cost Summary'!AH25</f>
        <v>79075.242503860121</v>
      </c>
      <c r="AK48" s="175">
        <f>'Cost Summary'!AI25</f>
        <v>78978.612104876243</v>
      </c>
      <c r="AL48" s="175">
        <f>'Cost Summary'!AJ25</f>
        <v>79514.649172643694</v>
      </c>
      <c r="AM48" s="175">
        <f>'Cost Summary'!AK25</f>
        <v>80719.412662725124</v>
      </c>
      <c r="AN48" s="175">
        <f>'Cost Summary'!AL25</f>
        <v>242268.24811031335</v>
      </c>
      <c r="AO48" s="175">
        <f>'Cost Summary'!AM25</f>
        <v>79468.182679783888</v>
      </c>
      <c r="AP48" s="175">
        <f>'Cost Summary'!AN25</f>
        <v>80614.125540981157</v>
      </c>
      <c r="AQ48" s="175">
        <f>'Cost Summary'!AO25</f>
        <v>80758.686191038025</v>
      </c>
      <c r="AR48" s="175">
        <f>'Cost Summary'!AP25</f>
        <v>80982.774607433297</v>
      </c>
      <c r="AS48" s="175">
        <f>'Cost Summary'!AQ25</f>
        <v>81176.46556654718</v>
      </c>
      <c r="AT48" s="175">
        <f>'Cost Summary'!AR25</f>
        <v>81293.418995028216</v>
      </c>
      <c r="AU48" s="175">
        <f>'Cost Summary'!AS25</f>
        <v>81381.398784150966</v>
      </c>
      <c r="AV48" s="175">
        <f>'Cost Summary'!AT25</f>
        <v>81358.680051634496</v>
      </c>
      <c r="AW48" s="175">
        <f>'Cost Summary'!AU25</f>
        <v>81403.07640598061</v>
      </c>
      <c r="AX48" s="175">
        <f>'Cost Summary'!AV25</f>
        <v>81459.298413349767</v>
      </c>
      <c r="AY48" s="175">
        <f>'Cost Summary'!AW25</f>
        <v>81475.615986426012</v>
      </c>
      <c r="AZ48" s="175">
        <f>'Cost Summary'!AX25</f>
        <v>246517.43390128217</v>
      </c>
      <c r="BA48" s="175">
        <f>'Cost Summary'!AY25</f>
        <v>83205.706059664648</v>
      </c>
      <c r="BB48" s="175">
        <f>'Cost Summary'!AZ25</f>
        <v>84216.266005856625</v>
      </c>
      <c r="BC48" s="175">
        <f>'Cost Summary'!BA25</f>
        <v>84271.744341729209</v>
      </c>
      <c r="BD48" s="175">
        <f>'Cost Summary'!BB25</f>
        <v>84319.833020369319</v>
      </c>
      <c r="BE48" s="175">
        <f>'Cost Summary'!BC25</f>
        <v>84353.288051247509</v>
      </c>
      <c r="BF48" s="175">
        <f>'Cost Summary'!BD25</f>
        <v>84373.421768817236</v>
      </c>
      <c r="BG48" s="175">
        <f>'Cost Summary'!BE25</f>
        <v>84385.517022919841</v>
      </c>
      <c r="BH48" s="175">
        <f>'Cost Summary'!BF25</f>
        <v>84391.315973999706</v>
      </c>
      <c r="BI48" s="175">
        <f>'Cost Summary'!BG25</f>
        <v>84399.515671724002</v>
      </c>
      <c r="BJ48" s="175">
        <f>'Cost Summary'!BH25</f>
        <v>84404.719314095288</v>
      </c>
      <c r="BK48" s="175">
        <f>'Cost Summary'!BI25</f>
        <v>84405.68689208485</v>
      </c>
      <c r="BL48" s="175">
        <f>'Cost Summary'!BJ25</f>
        <v>254483.56834011516</v>
      </c>
      <c r="BM48" s="579">
        <f>'Cost Summary'!BK25</f>
        <v>85141.314763728064</v>
      </c>
      <c r="BN48" s="579">
        <f>'Cost Summary'!BL25</f>
        <v>86134.231949130946</v>
      </c>
      <c r="BO48" s="579">
        <f>'Cost Summary'!BM25</f>
        <v>86153.553287887189</v>
      </c>
      <c r="BP48" s="579">
        <f>'Cost Summary'!BN25</f>
        <v>86169.884012730632</v>
      </c>
      <c r="BQ48" s="579">
        <f>'Cost Summary'!BO25</f>
        <v>86183.58966562571</v>
      </c>
      <c r="BR48" s="579">
        <f>'Cost Summary'!BP25</f>
        <v>86195.669900378998</v>
      </c>
      <c r="BS48" s="579">
        <f>'Cost Summary'!BQ25</f>
        <v>86207.098337496907</v>
      </c>
      <c r="BT48" s="579">
        <f>'Cost Summary'!BR25</f>
        <v>86218.489568146499</v>
      </c>
      <c r="BU48" s="579">
        <f>'Cost Summary'!BS25</f>
        <v>86230.364354434219</v>
      </c>
      <c r="BV48" s="579">
        <f>'Cost Summary'!BT25</f>
        <v>86242.562312548078</v>
      </c>
      <c r="BW48" s="579">
        <f>'Cost Summary'!BU25</f>
        <v>86255.359731413133</v>
      </c>
      <c r="BX48" s="579">
        <f>'Cost Summary'!BV25</f>
        <v>261449.68868050541</v>
      </c>
    </row>
    <row r="49" spans="1:76" hidden="1" outlineLevel="1" x14ac:dyDescent="0.35">
      <c r="C49" s="41" t="s">
        <v>3</v>
      </c>
      <c r="D49" s="308"/>
      <c r="E49" s="17">
        <f>'Cost Summary'!C26</f>
        <v>47661.500332229232</v>
      </c>
      <c r="F49" s="17">
        <f>'Cost Summary'!D26</f>
        <v>44989.780784252755</v>
      </c>
      <c r="G49" s="175">
        <f>'Cost Summary'!E26</f>
        <v>44796.259181668371</v>
      </c>
      <c r="H49" s="17">
        <f>'Cost Summary'!F26</f>
        <v>60301.242320323072</v>
      </c>
      <c r="I49" s="17">
        <f>'Cost Summary'!G26</f>
        <v>366717.49332946772</v>
      </c>
      <c r="J49" s="17">
        <f>'Cost Summary'!H26</f>
        <v>80603.399601296202</v>
      </c>
      <c r="K49" s="17">
        <f>'Cost Summary'!I26</f>
        <v>370233.86024954426</v>
      </c>
      <c r="L49" s="17">
        <f>'Cost Summary'!J26</f>
        <v>368731.60355271678</v>
      </c>
      <c r="M49" s="17">
        <f>'Cost Summary'!K26</f>
        <v>62833.924114907975</v>
      </c>
      <c r="N49" s="225">
        <f>'Cost Summary'!L26</f>
        <v>400376.50327900762</v>
      </c>
      <c r="O49" s="17">
        <f>'Cost Summary'!M26</f>
        <v>158348.36421068647</v>
      </c>
      <c r="P49" s="17">
        <f>'Cost Summary'!N26</f>
        <v>80846.813170008187</v>
      </c>
      <c r="Q49" s="17">
        <f>'Cost Summary'!O26</f>
        <v>177465.02</v>
      </c>
      <c r="R49" s="17">
        <f>'Cost Summary'!P26</f>
        <v>165701.10999999999</v>
      </c>
      <c r="S49" s="17">
        <f>'Cost Summary'!Q26</f>
        <v>145047.78</v>
      </c>
      <c r="T49" s="17">
        <f>'Cost Summary'!R26</f>
        <v>155192.48000000001</v>
      </c>
      <c r="U49" s="17">
        <f>'Cost Summary'!S26</f>
        <v>152088.53</v>
      </c>
      <c r="V49" s="17">
        <f>'Cost Summary'!T26</f>
        <v>133638.82999999999</v>
      </c>
      <c r="W49" s="17">
        <f>'Cost Summary'!U26</f>
        <v>147125.71</v>
      </c>
      <c r="X49" s="17">
        <f>'Cost Summary'!V26</f>
        <v>119536.23</v>
      </c>
      <c r="Y49" s="17">
        <f>'Cost Summary'!W26</f>
        <v>136799.23000000001</v>
      </c>
      <c r="Z49" s="17">
        <f>'Cost Summary'!X26</f>
        <v>145528.28</v>
      </c>
      <c r="AA49" s="579">
        <f>'Cost Summary'!Y26</f>
        <v>140337.62</v>
      </c>
      <c r="AB49" s="17">
        <f>'Cost Summary'!Z26</f>
        <v>76650.789999999994</v>
      </c>
      <c r="AC49" s="17">
        <f>'Cost Summary'!AA26</f>
        <v>115898.730975</v>
      </c>
      <c r="AD49" s="17">
        <f>'Cost Summary'!AB26</f>
        <v>63425.511669444444</v>
      </c>
      <c r="AE49" s="17">
        <f>'Cost Summary'!AC26</f>
        <v>63509.148810648156</v>
      </c>
      <c r="AF49" s="17">
        <f>'Cost Summary'!AD26</f>
        <v>63713.706546952162</v>
      </c>
      <c r="AG49" s="17">
        <f>'Cost Summary'!AE26</f>
        <v>64010.446594614841</v>
      </c>
      <c r="AH49" s="17">
        <f>'Cost Summary'!AF26</f>
        <v>64073.860812916078</v>
      </c>
      <c r="AI49" s="17">
        <f>'Cost Summary'!AG26</f>
        <v>64199.324549409081</v>
      </c>
      <c r="AJ49" s="17">
        <f>'Cost Summary'!AH26</f>
        <v>64230.678597276506</v>
      </c>
      <c r="AK49" s="17">
        <f>'Cost Summary'!AI26</f>
        <v>64623.292149132889</v>
      </c>
      <c r="AL49" s="17">
        <f>'Cost Summary'!AJ26</f>
        <v>65097.950996977292</v>
      </c>
      <c r="AM49" s="17">
        <f>'Cost Summary'!AK26</f>
        <v>65519.369748808735</v>
      </c>
      <c r="AN49" s="17">
        <f>'Cost Summary'!AL26</f>
        <v>312281.79922995943</v>
      </c>
      <c r="AO49" s="17">
        <f>'Cost Summary'!AM26</f>
        <v>64356.70915628942</v>
      </c>
      <c r="AP49" s="17">
        <f>'Cost Summary'!AN26</f>
        <v>64446.204104514924</v>
      </c>
      <c r="AQ49" s="17">
        <f>'Cost Summary'!AO26</f>
        <v>64519.667559434565</v>
      </c>
      <c r="AR49" s="17">
        <f>'Cost Summary'!AP26</f>
        <v>64592.300900643881</v>
      </c>
      <c r="AS49" s="17">
        <f>'Cost Summary'!AQ26</f>
        <v>64653.959857644295</v>
      </c>
      <c r="AT49" s="17">
        <f>'Cost Summary'!AR26</f>
        <v>64696.049809715238</v>
      </c>
      <c r="AU49" s="17">
        <f>'Cost Summary'!AS26</f>
        <v>64736.385758438948</v>
      </c>
      <c r="AV49" s="17">
        <f>'Cost Summary'!AT26</f>
        <v>64769.652853747393</v>
      </c>
      <c r="AW49" s="17">
        <f>'Cost Summary'!AU26</f>
        <v>64803.10680205714</v>
      </c>
      <c r="AX49" s="17">
        <f>'Cost Summary'!AV26</f>
        <v>64806.660730420859</v>
      </c>
      <c r="AY49" s="17">
        <f>'Cost Summary'!AW26</f>
        <v>64770.988607653839</v>
      </c>
      <c r="AZ49" s="17">
        <f>'Cost Summary'!AX26</f>
        <v>312197.26126761083</v>
      </c>
      <c r="BA49" s="17">
        <f>'Cost Summary'!AY26</f>
        <v>63194.761047811917</v>
      </c>
      <c r="BB49" s="17">
        <f>'Cost Summary'!AZ26</f>
        <v>63221.939417245943</v>
      </c>
      <c r="BC49" s="17">
        <f>'Cost Summary'!BA26</f>
        <v>63243.938753458991</v>
      </c>
      <c r="BD49" s="17">
        <f>'Cost Summary'!BB26</f>
        <v>63261.663227122175</v>
      </c>
      <c r="BE49" s="17">
        <f>'Cost Summary'!BC26</f>
        <v>63274.825420213994</v>
      </c>
      <c r="BF49" s="17">
        <f>'Cost Summary'!BD26</f>
        <v>63283.959137813392</v>
      </c>
      <c r="BG49" s="17">
        <f>'Cost Summary'!BE26</f>
        <v>63290.358675631331</v>
      </c>
      <c r="BH49" s="17">
        <f>'Cost Summary'!BF26</f>
        <v>63293.941358104807</v>
      </c>
      <c r="BI49" s="17">
        <f>'Cost Summary'!BG26</f>
        <v>63295.060239656261</v>
      </c>
      <c r="BJ49" s="17">
        <f>'Cost Summary'!BH26</f>
        <v>63293.492825337351</v>
      </c>
      <c r="BK49" s="17">
        <f>'Cost Summary'!BI26</f>
        <v>63291.504940538602</v>
      </c>
      <c r="BL49" s="17">
        <f>'Cost Summary'!BJ26</f>
        <v>310792.3279651067</v>
      </c>
      <c r="BM49" s="579">
        <f>'Cost Summary'!BK26</f>
        <v>63299.364494649912</v>
      </c>
      <c r="BN49" s="579">
        <f>'Cost Summary'!BL26</f>
        <v>63308.515570437143</v>
      </c>
      <c r="BO49" s="579">
        <f>'Cost Summary'!BM26</f>
        <v>63316.173943480237</v>
      </c>
      <c r="BP49" s="579">
        <f>'Cost Summary'!BN26</f>
        <v>63322.646400684454</v>
      </c>
      <c r="BQ49" s="579">
        <f>'Cost Summary'!BO26</f>
        <v>63328.18992806389</v>
      </c>
      <c r="BR49" s="579">
        <f>'Cost Summary'!BP26</f>
        <v>63333.106872164477</v>
      </c>
      <c r="BS49" s="579">
        <f>'Cost Summary'!BQ26</f>
        <v>63337.680300873486</v>
      </c>
      <c r="BT49" s="579">
        <f>'Cost Summary'!BR26</f>
        <v>63342.109042910059</v>
      </c>
      <c r="BU49" s="579">
        <f>'Cost Summary'!BS26</f>
        <v>63346.615440764188</v>
      </c>
      <c r="BV49" s="579">
        <f>'Cost Summary'!BT26</f>
        <v>63351.411030478906</v>
      </c>
      <c r="BW49" s="579">
        <f>'Cost Summary'!BU26</f>
        <v>63356.743641564317</v>
      </c>
      <c r="BX49" s="579">
        <f>'Cost Summary'!BV26</f>
        <v>310862.69310744578</v>
      </c>
    </row>
    <row r="50" spans="1:76" hidden="1" outlineLevel="1" x14ac:dyDescent="0.35">
      <c r="C50" s="41" t="s">
        <v>20</v>
      </c>
      <c r="D50" s="308"/>
      <c r="E50" s="17">
        <f>'Cost Summary'!C27</f>
        <v>0</v>
      </c>
      <c r="F50" s="17">
        <f>'Cost Summary'!D27</f>
        <v>0</v>
      </c>
      <c r="G50" s="175">
        <f>'Cost Summary'!E27</f>
        <v>0</v>
      </c>
      <c r="H50" s="175">
        <f>'Cost Summary'!F27</f>
        <v>0</v>
      </c>
      <c r="I50" s="175">
        <f>'Cost Summary'!G27</f>
        <v>0</v>
      </c>
      <c r="J50" s="175">
        <f>'Cost Summary'!H27</f>
        <v>0</v>
      </c>
      <c r="K50" s="225">
        <f>'Cost Summary'!I27</f>
        <v>0</v>
      </c>
      <c r="L50" s="225">
        <f>'Cost Summary'!J27</f>
        <v>0</v>
      </c>
      <c r="M50" s="225">
        <f>'Cost Summary'!K27</f>
        <v>0</v>
      </c>
      <c r="N50" s="225">
        <f>'Cost Summary'!L27</f>
        <v>0</v>
      </c>
      <c r="O50" s="225">
        <f>'Cost Summary'!M27</f>
        <v>0</v>
      </c>
      <c r="P50" s="225">
        <f>'Cost Summary'!N27</f>
        <v>0</v>
      </c>
      <c r="Q50" s="225">
        <f>'Cost Summary'!O27</f>
        <v>0</v>
      </c>
      <c r="R50" s="225">
        <f>'Cost Summary'!P27</f>
        <v>0</v>
      </c>
      <c r="S50" s="225">
        <f>'Cost Summary'!Q27</f>
        <v>0</v>
      </c>
      <c r="T50" s="225">
        <f>'Cost Summary'!R27</f>
        <v>0</v>
      </c>
      <c r="U50" s="225">
        <f>'Cost Summary'!S27</f>
        <v>0</v>
      </c>
      <c r="V50" s="225">
        <f>'Cost Summary'!T27</f>
        <v>0</v>
      </c>
      <c r="W50" s="225">
        <f>'Cost Summary'!U27</f>
        <v>0</v>
      </c>
      <c r="X50" s="225">
        <f>'Cost Summary'!V27</f>
        <v>0</v>
      </c>
      <c r="Y50" s="225">
        <f>'Cost Summary'!W27</f>
        <v>0</v>
      </c>
      <c r="Z50" s="225">
        <f>'Cost Summary'!X27</f>
        <v>0</v>
      </c>
      <c r="AA50" s="579">
        <f>'Cost Summary'!Y27</f>
        <v>0</v>
      </c>
      <c r="AB50" s="225">
        <f>'Cost Summary'!Z27</f>
        <v>0</v>
      </c>
      <c r="AC50" s="225">
        <f>'Cost Summary'!AA27</f>
        <v>7250</v>
      </c>
      <c r="AD50" s="225">
        <f>'Cost Summary'!AB27</f>
        <v>7250</v>
      </c>
      <c r="AE50" s="225">
        <f>'Cost Summary'!AC27</f>
        <v>7250</v>
      </c>
      <c r="AF50" s="225">
        <f>'Cost Summary'!AD27</f>
        <v>7250</v>
      </c>
      <c r="AG50" s="225">
        <f>'Cost Summary'!AE27</f>
        <v>7250</v>
      </c>
      <c r="AH50" s="225">
        <f>'Cost Summary'!AF27</f>
        <v>7250</v>
      </c>
      <c r="AI50" s="225">
        <f>'Cost Summary'!AG27</f>
        <v>7250</v>
      </c>
      <c r="AJ50" s="225">
        <f>'Cost Summary'!AH27</f>
        <v>7250</v>
      </c>
      <c r="AK50" s="225">
        <f>'Cost Summary'!AI27</f>
        <v>7250</v>
      </c>
      <c r="AL50" s="225">
        <f>'Cost Summary'!AJ27</f>
        <v>7250</v>
      </c>
      <c r="AM50" s="225">
        <f>'Cost Summary'!AK27</f>
        <v>7250</v>
      </c>
      <c r="AN50" s="225">
        <f>'Cost Summary'!AL27</f>
        <v>7250</v>
      </c>
      <c r="AO50" s="225">
        <f>'Cost Summary'!AM27</f>
        <v>7250</v>
      </c>
      <c r="AP50" s="225">
        <f>'Cost Summary'!AN27</f>
        <v>7250</v>
      </c>
      <c r="AQ50" s="225">
        <f>'Cost Summary'!AO27</f>
        <v>7250</v>
      </c>
      <c r="AR50" s="225">
        <f>'Cost Summary'!AP27</f>
        <v>7250</v>
      </c>
      <c r="AS50" s="225">
        <f>'Cost Summary'!AQ27</f>
        <v>7250</v>
      </c>
      <c r="AT50" s="225">
        <f>'Cost Summary'!AR27</f>
        <v>7250</v>
      </c>
      <c r="AU50" s="225">
        <f>'Cost Summary'!AS27</f>
        <v>7250</v>
      </c>
      <c r="AV50" s="225">
        <f>'Cost Summary'!AT27</f>
        <v>7250</v>
      </c>
      <c r="AW50" s="225">
        <f>'Cost Summary'!AU27</f>
        <v>7250</v>
      </c>
      <c r="AX50" s="225">
        <f>'Cost Summary'!AV27</f>
        <v>7250</v>
      </c>
      <c r="AY50" s="225">
        <f>'Cost Summary'!AW27</f>
        <v>7250</v>
      </c>
      <c r="AZ50" s="225">
        <f>'Cost Summary'!AX27</f>
        <v>7250</v>
      </c>
      <c r="BA50" s="225">
        <f>'Cost Summary'!AY27</f>
        <v>1000</v>
      </c>
      <c r="BB50" s="225">
        <f>'Cost Summary'!AZ27</f>
        <v>1000</v>
      </c>
      <c r="BC50" s="225">
        <f>'Cost Summary'!BA27</f>
        <v>1000</v>
      </c>
      <c r="BD50" s="225">
        <f>'Cost Summary'!BB27</f>
        <v>1000</v>
      </c>
      <c r="BE50" s="225">
        <f>'Cost Summary'!BC27</f>
        <v>1000</v>
      </c>
      <c r="BF50" s="225">
        <f>'Cost Summary'!BD27</f>
        <v>1000</v>
      </c>
      <c r="BG50" s="225">
        <f>'Cost Summary'!BE27</f>
        <v>1000</v>
      </c>
      <c r="BH50" s="225">
        <f>'Cost Summary'!BF27</f>
        <v>1000</v>
      </c>
      <c r="BI50" s="225">
        <f>'Cost Summary'!BG27</f>
        <v>1000</v>
      </c>
      <c r="BJ50" s="225">
        <f>'Cost Summary'!BH27</f>
        <v>1000</v>
      </c>
      <c r="BK50" s="225">
        <f>'Cost Summary'!BI27</f>
        <v>1000</v>
      </c>
      <c r="BL50" s="225">
        <f>'Cost Summary'!BJ27</f>
        <v>1000</v>
      </c>
      <c r="BM50" s="579">
        <f>'Cost Summary'!BK27</f>
        <v>1000</v>
      </c>
      <c r="BN50" s="579">
        <f>'Cost Summary'!BL27</f>
        <v>1000</v>
      </c>
      <c r="BO50" s="579">
        <f>'Cost Summary'!BM27</f>
        <v>1000</v>
      </c>
      <c r="BP50" s="579">
        <f>'Cost Summary'!BN27</f>
        <v>1000</v>
      </c>
      <c r="BQ50" s="579">
        <f>'Cost Summary'!BO27</f>
        <v>1000</v>
      </c>
      <c r="BR50" s="579">
        <f>'Cost Summary'!BP27</f>
        <v>1000</v>
      </c>
      <c r="BS50" s="579">
        <f>'Cost Summary'!BQ27</f>
        <v>1000</v>
      </c>
      <c r="BT50" s="579">
        <f>'Cost Summary'!BR27</f>
        <v>1000</v>
      </c>
      <c r="BU50" s="579">
        <f>'Cost Summary'!BS27</f>
        <v>1000</v>
      </c>
      <c r="BV50" s="579">
        <f>'Cost Summary'!BT27</f>
        <v>1000</v>
      </c>
      <c r="BW50" s="579">
        <f>'Cost Summary'!BU27</f>
        <v>1000</v>
      </c>
      <c r="BX50" s="579">
        <f>'Cost Summary'!BV27</f>
        <v>1000</v>
      </c>
    </row>
    <row r="51" spans="1:76" hidden="1" outlineLevel="1" x14ac:dyDescent="0.35">
      <c r="C51" s="41" t="s">
        <v>21</v>
      </c>
      <c r="D51" s="308"/>
      <c r="E51" s="17">
        <f>'Cost Summary'!C28</f>
        <v>0</v>
      </c>
      <c r="F51" s="17">
        <f>'Cost Summary'!D28</f>
        <v>0</v>
      </c>
      <c r="G51" s="175">
        <f>'Cost Summary'!E28</f>
        <v>0</v>
      </c>
      <c r="H51" s="17">
        <f>'Cost Summary'!F28</f>
        <v>0</v>
      </c>
      <c r="I51" s="17">
        <f>'Cost Summary'!G28</f>
        <v>0</v>
      </c>
      <c r="J51" s="17">
        <f>'Cost Summary'!H28</f>
        <v>0</v>
      </c>
      <c r="K51" s="17">
        <f>'Cost Summary'!I28</f>
        <v>0</v>
      </c>
      <c r="L51" s="17">
        <f>'Cost Summary'!J28</f>
        <v>0</v>
      </c>
      <c r="M51" s="17">
        <f>'Cost Summary'!K28</f>
        <v>0</v>
      </c>
      <c r="N51" s="225">
        <f>'Cost Summary'!L28</f>
        <v>0</v>
      </c>
      <c r="O51" s="225">
        <f>'Cost Summary'!M28</f>
        <v>0</v>
      </c>
      <c r="P51" s="225">
        <f>'Cost Summary'!N28</f>
        <v>0</v>
      </c>
      <c r="Q51" s="225">
        <f>'Cost Summary'!O28</f>
        <v>0</v>
      </c>
      <c r="R51" s="225">
        <f>'Cost Summary'!P28</f>
        <v>0</v>
      </c>
      <c r="S51" s="225">
        <f>'Cost Summary'!Q28</f>
        <v>0</v>
      </c>
      <c r="T51" s="225">
        <f>'Cost Summary'!R28</f>
        <v>0</v>
      </c>
      <c r="U51" s="225">
        <f>'Cost Summary'!S28</f>
        <v>0</v>
      </c>
      <c r="V51" s="225">
        <f>'Cost Summary'!T28</f>
        <v>0</v>
      </c>
      <c r="W51" s="225">
        <f>'Cost Summary'!U28</f>
        <v>0</v>
      </c>
      <c r="X51" s="225">
        <f>'Cost Summary'!V28</f>
        <v>0</v>
      </c>
      <c r="Y51" s="225">
        <f>'Cost Summary'!W28</f>
        <v>0</v>
      </c>
      <c r="Z51" s="225">
        <f>'Cost Summary'!X28</f>
        <v>0</v>
      </c>
      <c r="AA51" s="579">
        <f>'Cost Summary'!Y28</f>
        <v>0</v>
      </c>
      <c r="AB51" s="225">
        <f>'Cost Summary'!Z28</f>
        <v>0</v>
      </c>
      <c r="AC51" s="225">
        <f>'Cost Summary'!AA28</f>
        <v>8000</v>
      </c>
      <c r="AD51" s="225">
        <f>'Cost Summary'!AB28</f>
        <v>8000</v>
      </c>
      <c r="AE51" s="225">
        <f>'Cost Summary'!AC28</f>
        <v>8000</v>
      </c>
      <c r="AF51" s="225">
        <f>'Cost Summary'!AD28</f>
        <v>8000</v>
      </c>
      <c r="AG51" s="225">
        <f>'Cost Summary'!AE28</f>
        <v>8000</v>
      </c>
      <c r="AH51" s="225">
        <f>'Cost Summary'!AF28</f>
        <v>8000</v>
      </c>
      <c r="AI51" s="225">
        <f>'Cost Summary'!AG28</f>
        <v>8000</v>
      </c>
      <c r="AJ51" s="225">
        <f>'Cost Summary'!AH28</f>
        <v>8000</v>
      </c>
      <c r="AK51" s="225">
        <f>'Cost Summary'!AI28</f>
        <v>8000</v>
      </c>
      <c r="AL51" s="225">
        <f>'Cost Summary'!AJ28</f>
        <v>8000</v>
      </c>
      <c r="AM51" s="225">
        <f>'Cost Summary'!AK28</f>
        <v>8000</v>
      </c>
      <c r="AN51" s="225">
        <f>'Cost Summary'!AL28</f>
        <v>8000</v>
      </c>
      <c r="AO51" s="225">
        <f>'Cost Summary'!AM28</f>
        <v>8000</v>
      </c>
      <c r="AP51" s="225">
        <f>'Cost Summary'!AN28</f>
        <v>8000</v>
      </c>
      <c r="AQ51" s="225">
        <f>'Cost Summary'!AO28</f>
        <v>8000</v>
      </c>
      <c r="AR51" s="225">
        <f>'Cost Summary'!AP28</f>
        <v>8000</v>
      </c>
      <c r="AS51" s="225">
        <f>'Cost Summary'!AQ28</f>
        <v>8000</v>
      </c>
      <c r="AT51" s="225">
        <f>'Cost Summary'!AR28</f>
        <v>8000</v>
      </c>
      <c r="AU51" s="225">
        <f>'Cost Summary'!AS28</f>
        <v>8000</v>
      </c>
      <c r="AV51" s="225">
        <f>'Cost Summary'!AT28</f>
        <v>8000</v>
      </c>
      <c r="AW51" s="225">
        <f>'Cost Summary'!AU28</f>
        <v>8000</v>
      </c>
      <c r="AX51" s="225">
        <f>'Cost Summary'!AV28</f>
        <v>8000</v>
      </c>
      <c r="AY51" s="225">
        <f>'Cost Summary'!AW28</f>
        <v>8000</v>
      </c>
      <c r="AZ51" s="225">
        <f>'Cost Summary'!AX28</f>
        <v>8000</v>
      </c>
      <c r="BA51" s="225">
        <f>'Cost Summary'!AY28</f>
        <v>8000</v>
      </c>
      <c r="BB51" s="225">
        <f>'Cost Summary'!AZ28</f>
        <v>8000</v>
      </c>
      <c r="BC51" s="225">
        <f>'Cost Summary'!BA28</f>
        <v>8000</v>
      </c>
      <c r="BD51" s="225">
        <f>'Cost Summary'!BB28</f>
        <v>8000</v>
      </c>
      <c r="BE51" s="225">
        <f>'Cost Summary'!BC28</f>
        <v>8000</v>
      </c>
      <c r="BF51" s="225">
        <f>'Cost Summary'!BD28</f>
        <v>8000</v>
      </c>
      <c r="BG51" s="225">
        <f>'Cost Summary'!BE28</f>
        <v>8000</v>
      </c>
      <c r="BH51" s="225">
        <f>'Cost Summary'!BF28</f>
        <v>8000</v>
      </c>
      <c r="BI51" s="225">
        <f>'Cost Summary'!BG28</f>
        <v>8000</v>
      </c>
      <c r="BJ51" s="225">
        <f>'Cost Summary'!BH28</f>
        <v>8000</v>
      </c>
      <c r="BK51" s="225">
        <f>'Cost Summary'!BI28</f>
        <v>8000</v>
      </c>
      <c r="BL51" s="225">
        <f>'Cost Summary'!BJ28</f>
        <v>8000</v>
      </c>
      <c r="BM51" s="579">
        <f>'Cost Summary'!BK28</f>
        <v>8000</v>
      </c>
      <c r="BN51" s="579">
        <f>'Cost Summary'!BL28</f>
        <v>8000</v>
      </c>
      <c r="BO51" s="579">
        <f>'Cost Summary'!BM28</f>
        <v>8000</v>
      </c>
      <c r="BP51" s="579">
        <f>'Cost Summary'!BN28</f>
        <v>8000</v>
      </c>
      <c r="BQ51" s="579">
        <f>'Cost Summary'!BO28</f>
        <v>8000</v>
      </c>
      <c r="BR51" s="579">
        <f>'Cost Summary'!BP28</f>
        <v>8000</v>
      </c>
      <c r="BS51" s="579">
        <f>'Cost Summary'!BQ28</f>
        <v>8000</v>
      </c>
      <c r="BT51" s="579">
        <f>'Cost Summary'!BR28</f>
        <v>8000</v>
      </c>
      <c r="BU51" s="579">
        <f>'Cost Summary'!BS28</f>
        <v>8000</v>
      </c>
      <c r="BV51" s="579">
        <f>'Cost Summary'!BT28</f>
        <v>8000</v>
      </c>
      <c r="BW51" s="579">
        <f>'Cost Summary'!BU28</f>
        <v>8000</v>
      </c>
      <c r="BX51" s="579">
        <f>'Cost Summary'!BV28</f>
        <v>8000</v>
      </c>
    </row>
    <row r="52" spans="1:76" hidden="1" outlineLevel="1" x14ac:dyDescent="0.35">
      <c r="C52" s="41" t="s">
        <v>433</v>
      </c>
      <c r="D52" s="308"/>
      <c r="E52" s="225">
        <f>'Cost Summary'!C29</f>
        <v>0</v>
      </c>
      <c r="F52" s="175">
        <f>'Cost Summary'!D29</f>
        <v>0</v>
      </c>
      <c r="G52" s="175">
        <f>'Cost Summary'!E29</f>
        <v>0</v>
      </c>
      <c r="H52" s="175">
        <f>'Cost Summary'!F29</f>
        <v>0</v>
      </c>
      <c r="I52" s="175">
        <f>'Cost Summary'!G29</f>
        <v>0</v>
      </c>
      <c r="J52" s="175">
        <f>'Cost Summary'!H29</f>
        <v>0</v>
      </c>
      <c r="K52" s="225">
        <f>'Cost Summary'!I29</f>
        <v>0</v>
      </c>
      <c r="L52" s="225">
        <f>'Cost Summary'!J29</f>
        <v>0</v>
      </c>
      <c r="M52" s="225">
        <f>'Cost Summary'!K29</f>
        <v>0</v>
      </c>
      <c r="N52" s="225">
        <f>'Cost Summary'!L29</f>
        <v>0</v>
      </c>
      <c r="O52" s="225">
        <f>'Cost Summary'!M29</f>
        <v>0</v>
      </c>
      <c r="P52" s="225">
        <f>'Cost Summary'!N29</f>
        <v>0</v>
      </c>
      <c r="Q52" s="225">
        <f>'Cost Summary'!O29</f>
        <v>0</v>
      </c>
      <c r="R52" s="225">
        <f>'Cost Summary'!P29</f>
        <v>0</v>
      </c>
      <c r="S52" s="225">
        <f>'Cost Summary'!Q29</f>
        <v>0</v>
      </c>
      <c r="T52" s="225">
        <f>'Cost Summary'!R29</f>
        <v>0</v>
      </c>
      <c r="U52" s="225">
        <f>'Cost Summary'!S29</f>
        <v>0</v>
      </c>
      <c r="V52" s="225">
        <f>'Cost Summary'!T29</f>
        <v>0</v>
      </c>
      <c r="W52" s="225">
        <f>'Cost Summary'!U29</f>
        <v>0</v>
      </c>
      <c r="X52" s="225">
        <f>'Cost Summary'!V29</f>
        <v>0</v>
      </c>
      <c r="Y52" s="225">
        <f>'Cost Summary'!W29</f>
        <v>0</v>
      </c>
      <c r="Z52" s="225">
        <f>'Cost Summary'!X29</f>
        <v>0</v>
      </c>
      <c r="AA52" s="579">
        <f>'Cost Summary'!Y29</f>
        <v>0</v>
      </c>
      <c r="AB52" s="225">
        <f>'Cost Summary'!Z29</f>
        <v>0</v>
      </c>
      <c r="AC52" s="225">
        <f>'Cost Summary'!AA29</f>
        <v>0</v>
      </c>
      <c r="AD52" s="225">
        <f>'Cost Summary'!AB29</f>
        <v>0</v>
      </c>
      <c r="AE52" s="225">
        <f>'Cost Summary'!AC29</f>
        <v>0</v>
      </c>
      <c r="AF52" s="225">
        <f>'Cost Summary'!AD29</f>
        <v>0</v>
      </c>
      <c r="AG52" s="225">
        <f>'Cost Summary'!AE29</f>
        <v>0</v>
      </c>
      <c r="AH52" s="225">
        <f>'Cost Summary'!AF29</f>
        <v>0</v>
      </c>
      <c r="AI52" s="225">
        <f>'Cost Summary'!AG29</f>
        <v>0</v>
      </c>
      <c r="AJ52" s="225">
        <f>'Cost Summary'!AH29</f>
        <v>0</v>
      </c>
      <c r="AK52" s="225">
        <f>'Cost Summary'!AI29</f>
        <v>0</v>
      </c>
      <c r="AL52" s="225">
        <f>'Cost Summary'!AJ29</f>
        <v>0</v>
      </c>
      <c r="AM52" s="225">
        <f>'Cost Summary'!AK29</f>
        <v>0</v>
      </c>
      <c r="AN52" s="225">
        <f>'Cost Summary'!AL29</f>
        <v>0</v>
      </c>
      <c r="AO52" s="225">
        <f>'Cost Summary'!AM29</f>
        <v>0</v>
      </c>
      <c r="AP52" s="225">
        <f>'Cost Summary'!AN29</f>
        <v>0</v>
      </c>
      <c r="AQ52" s="225">
        <f>'Cost Summary'!AO29</f>
        <v>0</v>
      </c>
      <c r="AR52" s="225">
        <f>'Cost Summary'!AP29</f>
        <v>0</v>
      </c>
      <c r="AS52" s="225">
        <f>'Cost Summary'!AQ29</f>
        <v>0</v>
      </c>
      <c r="AT52" s="225">
        <f>'Cost Summary'!AR29</f>
        <v>0</v>
      </c>
      <c r="AU52" s="225">
        <f>'Cost Summary'!AS29</f>
        <v>0</v>
      </c>
      <c r="AV52" s="225">
        <f>'Cost Summary'!AT29</f>
        <v>0</v>
      </c>
      <c r="AW52" s="225">
        <f>'Cost Summary'!AU29</f>
        <v>0</v>
      </c>
      <c r="AX52" s="225">
        <f>'Cost Summary'!AV29</f>
        <v>0</v>
      </c>
      <c r="AY52" s="225">
        <f>'Cost Summary'!AW29</f>
        <v>0</v>
      </c>
      <c r="AZ52" s="225">
        <f>'Cost Summary'!AX29</f>
        <v>0</v>
      </c>
      <c r="BA52" s="225">
        <f>'Cost Summary'!AY29</f>
        <v>0</v>
      </c>
      <c r="BB52" s="225">
        <f>'Cost Summary'!AZ29</f>
        <v>0</v>
      </c>
      <c r="BC52" s="225">
        <f>'Cost Summary'!BA29</f>
        <v>0</v>
      </c>
      <c r="BD52" s="225">
        <f>'Cost Summary'!BB29</f>
        <v>0</v>
      </c>
      <c r="BE52" s="225">
        <f>'Cost Summary'!BC29</f>
        <v>0</v>
      </c>
      <c r="BF52" s="225">
        <f>'Cost Summary'!BD29</f>
        <v>0</v>
      </c>
      <c r="BG52" s="225">
        <f>'Cost Summary'!BE29</f>
        <v>0</v>
      </c>
      <c r="BH52" s="225">
        <f>'Cost Summary'!BF29</f>
        <v>0</v>
      </c>
      <c r="BI52" s="225">
        <f>'Cost Summary'!BG29</f>
        <v>0</v>
      </c>
      <c r="BJ52" s="225">
        <f>'Cost Summary'!BH29</f>
        <v>0</v>
      </c>
      <c r="BK52" s="225">
        <f>'Cost Summary'!BI29</f>
        <v>0</v>
      </c>
      <c r="BL52" s="225">
        <f>'Cost Summary'!BJ29</f>
        <v>0</v>
      </c>
      <c r="BM52" s="579">
        <f>'Cost Summary'!BK29</f>
        <v>0</v>
      </c>
      <c r="BN52" s="579">
        <f>'Cost Summary'!BL29</f>
        <v>0</v>
      </c>
      <c r="BO52" s="579">
        <f>'Cost Summary'!BM29</f>
        <v>0</v>
      </c>
      <c r="BP52" s="579">
        <f>'Cost Summary'!BN29</f>
        <v>0</v>
      </c>
      <c r="BQ52" s="579">
        <f>'Cost Summary'!BO29</f>
        <v>0</v>
      </c>
      <c r="BR52" s="579">
        <f>'Cost Summary'!BP29</f>
        <v>0</v>
      </c>
      <c r="BS52" s="579">
        <f>'Cost Summary'!BQ29</f>
        <v>0</v>
      </c>
      <c r="BT52" s="579">
        <f>'Cost Summary'!BR29</f>
        <v>0</v>
      </c>
      <c r="BU52" s="579">
        <f>'Cost Summary'!BS29</f>
        <v>0</v>
      </c>
      <c r="BV52" s="579">
        <f>'Cost Summary'!BT29</f>
        <v>0</v>
      </c>
      <c r="BW52" s="579">
        <f>'Cost Summary'!BU29</f>
        <v>0</v>
      </c>
      <c r="BX52" s="579">
        <f>'Cost Summary'!BV29</f>
        <v>0</v>
      </c>
    </row>
    <row r="53" spans="1:76" hidden="1" outlineLevel="1" x14ac:dyDescent="0.35">
      <c r="C53" s="41" t="s">
        <v>23</v>
      </c>
      <c r="D53" s="308"/>
      <c r="E53" s="17">
        <f>'Cost Summary'!C30</f>
        <v>0</v>
      </c>
      <c r="F53" s="17">
        <f>'Cost Summary'!D30</f>
        <v>0</v>
      </c>
      <c r="G53" s="175">
        <f>'Cost Summary'!E30</f>
        <v>0</v>
      </c>
      <c r="H53" s="175">
        <f>'Cost Summary'!F30</f>
        <v>0</v>
      </c>
      <c r="I53" s="175">
        <f>'Cost Summary'!G30</f>
        <v>0</v>
      </c>
      <c r="J53" s="175">
        <f>'Cost Summary'!H30</f>
        <v>0</v>
      </c>
      <c r="K53" s="225">
        <f>'Cost Summary'!I30</f>
        <v>0</v>
      </c>
      <c r="L53" s="225">
        <f>'Cost Summary'!J30</f>
        <v>0</v>
      </c>
      <c r="M53" s="225">
        <f>'Cost Summary'!K30</f>
        <v>0</v>
      </c>
      <c r="N53" s="225">
        <f>'Cost Summary'!L30</f>
        <v>0</v>
      </c>
      <c r="O53" s="225">
        <f>'Cost Summary'!M30</f>
        <v>0</v>
      </c>
      <c r="P53" s="225">
        <f>'Cost Summary'!N30</f>
        <v>0</v>
      </c>
      <c r="Q53" s="225">
        <f>'Cost Summary'!O30</f>
        <v>0</v>
      </c>
      <c r="R53" s="225">
        <f>'Cost Summary'!P30</f>
        <v>0</v>
      </c>
      <c r="S53" s="225">
        <f>'Cost Summary'!Q30</f>
        <v>0</v>
      </c>
      <c r="T53" s="225">
        <f>'Cost Summary'!R30</f>
        <v>0</v>
      </c>
      <c r="U53" s="225">
        <f>'Cost Summary'!S30</f>
        <v>0</v>
      </c>
      <c r="V53" s="225">
        <f>'Cost Summary'!T30</f>
        <v>0</v>
      </c>
      <c r="W53" s="225">
        <f>'Cost Summary'!U30</f>
        <v>0</v>
      </c>
      <c r="X53" s="225">
        <f>'Cost Summary'!V30</f>
        <v>0</v>
      </c>
      <c r="Y53" s="225">
        <f>'Cost Summary'!W30</f>
        <v>0</v>
      </c>
      <c r="Z53" s="225">
        <f>'Cost Summary'!X30</f>
        <v>0</v>
      </c>
      <c r="AA53" s="579">
        <f>'Cost Summary'!Y30</f>
        <v>0</v>
      </c>
      <c r="AB53" s="225">
        <f>'Cost Summary'!Z30</f>
        <v>0</v>
      </c>
      <c r="AC53" s="225">
        <f>'Cost Summary'!AA30</f>
        <v>500</v>
      </c>
      <c r="AD53" s="225">
        <f>'Cost Summary'!AB30</f>
        <v>500</v>
      </c>
      <c r="AE53" s="225">
        <f>'Cost Summary'!AC30</f>
        <v>500</v>
      </c>
      <c r="AF53" s="225">
        <f>'Cost Summary'!AD30</f>
        <v>500</v>
      </c>
      <c r="AG53" s="225">
        <f>'Cost Summary'!AE30</f>
        <v>500</v>
      </c>
      <c r="AH53" s="225">
        <f>'Cost Summary'!AF30</f>
        <v>500</v>
      </c>
      <c r="AI53" s="225">
        <f>'Cost Summary'!AG30</f>
        <v>500</v>
      </c>
      <c r="AJ53" s="225">
        <f>'Cost Summary'!AH30</f>
        <v>500</v>
      </c>
      <c r="AK53" s="225">
        <f>'Cost Summary'!AI30</f>
        <v>500</v>
      </c>
      <c r="AL53" s="225">
        <f>'Cost Summary'!AJ30</f>
        <v>500</v>
      </c>
      <c r="AM53" s="225">
        <f>'Cost Summary'!AK30</f>
        <v>500</v>
      </c>
      <c r="AN53" s="225">
        <f>'Cost Summary'!AL30</f>
        <v>500</v>
      </c>
      <c r="AO53" s="225">
        <f>'Cost Summary'!AM30</f>
        <v>500</v>
      </c>
      <c r="AP53" s="225">
        <f>'Cost Summary'!AN30</f>
        <v>500</v>
      </c>
      <c r="AQ53" s="225">
        <f>'Cost Summary'!AO30</f>
        <v>500</v>
      </c>
      <c r="AR53" s="225">
        <f>'Cost Summary'!AP30</f>
        <v>500</v>
      </c>
      <c r="AS53" s="225">
        <f>'Cost Summary'!AQ30</f>
        <v>500</v>
      </c>
      <c r="AT53" s="225">
        <f>'Cost Summary'!AR30</f>
        <v>500</v>
      </c>
      <c r="AU53" s="225">
        <f>'Cost Summary'!AS30</f>
        <v>500</v>
      </c>
      <c r="AV53" s="225">
        <f>'Cost Summary'!AT30</f>
        <v>500</v>
      </c>
      <c r="AW53" s="225">
        <f>'Cost Summary'!AU30</f>
        <v>500</v>
      </c>
      <c r="AX53" s="225">
        <f>'Cost Summary'!AV30</f>
        <v>500</v>
      </c>
      <c r="AY53" s="225">
        <f>'Cost Summary'!AW30</f>
        <v>500</v>
      </c>
      <c r="AZ53" s="225">
        <f>'Cost Summary'!AX30</f>
        <v>500</v>
      </c>
      <c r="BA53" s="225">
        <f>'Cost Summary'!AY30</f>
        <v>500</v>
      </c>
      <c r="BB53" s="225">
        <f>'Cost Summary'!AZ30</f>
        <v>500</v>
      </c>
      <c r="BC53" s="225">
        <f>'Cost Summary'!BA30</f>
        <v>500</v>
      </c>
      <c r="BD53" s="225">
        <f>'Cost Summary'!BB30</f>
        <v>500</v>
      </c>
      <c r="BE53" s="225">
        <f>'Cost Summary'!BC30</f>
        <v>500</v>
      </c>
      <c r="BF53" s="225">
        <f>'Cost Summary'!BD30</f>
        <v>500</v>
      </c>
      <c r="BG53" s="225">
        <f>'Cost Summary'!BE30</f>
        <v>500</v>
      </c>
      <c r="BH53" s="225">
        <f>'Cost Summary'!BF30</f>
        <v>500</v>
      </c>
      <c r="BI53" s="225">
        <f>'Cost Summary'!BG30</f>
        <v>500</v>
      </c>
      <c r="BJ53" s="225">
        <f>'Cost Summary'!BH30</f>
        <v>500</v>
      </c>
      <c r="BK53" s="225">
        <f>'Cost Summary'!BI30</f>
        <v>500</v>
      </c>
      <c r="BL53" s="225">
        <f>'Cost Summary'!BJ30</f>
        <v>500</v>
      </c>
      <c r="BM53" s="579">
        <f>'Cost Summary'!BK30</f>
        <v>500</v>
      </c>
      <c r="BN53" s="579">
        <f>'Cost Summary'!BL30</f>
        <v>500</v>
      </c>
      <c r="BO53" s="579">
        <f>'Cost Summary'!BM30</f>
        <v>500</v>
      </c>
      <c r="BP53" s="579">
        <f>'Cost Summary'!BN30</f>
        <v>500</v>
      </c>
      <c r="BQ53" s="579">
        <f>'Cost Summary'!BO30</f>
        <v>500</v>
      </c>
      <c r="BR53" s="579">
        <f>'Cost Summary'!BP30</f>
        <v>500</v>
      </c>
      <c r="BS53" s="579">
        <f>'Cost Summary'!BQ30</f>
        <v>500</v>
      </c>
      <c r="BT53" s="579">
        <f>'Cost Summary'!BR30</f>
        <v>500</v>
      </c>
      <c r="BU53" s="579">
        <f>'Cost Summary'!BS30</f>
        <v>500</v>
      </c>
      <c r="BV53" s="579">
        <f>'Cost Summary'!BT30</f>
        <v>500</v>
      </c>
      <c r="BW53" s="579">
        <f>'Cost Summary'!BU30</f>
        <v>500</v>
      </c>
      <c r="BX53" s="579">
        <f>'Cost Summary'!BV30</f>
        <v>500</v>
      </c>
    </row>
    <row r="54" spans="1:76" hidden="1" outlineLevel="1" x14ac:dyDescent="0.35">
      <c r="C54" s="41" t="s">
        <v>24</v>
      </c>
      <c r="D54" s="308"/>
      <c r="E54" s="17">
        <f>'Cost Summary'!C31</f>
        <v>0</v>
      </c>
      <c r="F54" s="17">
        <f>'Cost Summary'!D31</f>
        <v>0</v>
      </c>
      <c r="G54" s="175">
        <f>'Cost Summary'!E31</f>
        <v>0</v>
      </c>
      <c r="H54" s="175">
        <f>'Cost Summary'!F31</f>
        <v>0</v>
      </c>
      <c r="I54" s="175">
        <f>'Cost Summary'!G31</f>
        <v>0</v>
      </c>
      <c r="J54" s="175">
        <f>'Cost Summary'!H31</f>
        <v>0</v>
      </c>
      <c r="K54" s="225">
        <f>'Cost Summary'!I31</f>
        <v>0</v>
      </c>
      <c r="L54" s="225">
        <f>'Cost Summary'!J31</f>
        <v>0</v>
      </c>
      <c r="M54" s="225">
        <f>'Cost Summary'!K31</f>
        <v>0</v>
      </c>
      <c r="N54" s="225">
        <f>'Cost Summary'!L31</f>
        <v>0</v>
      </c>
      <c r="O54" s="225">
        <f>'Cost Summary'!M31</f>
        <v>0</v>
      </c>
      <c r="P54" s="225">
        <f>'Cost Summary'!N31</f>
        <v>0</v>
      </c>
      <c r="Q54" s="225">
        <f>'Cost Summary'!O31</f>
        <v>0</v>
      </c>
      <c r="R54" s="225">
        <f>'Cost Summary'!P31</f>
        <v>0</v>
      </c>
      <c r="S54" s="225">
        <f>'Cost Summary'!Q31</f>
        <v>0</v>
      </c>
      <c r="T54" s="225">
        <f>'Cost Summary'!R31</f>
        <v>0</v>
      </c>
      <c r="U54" s="225">
        <f>'Cost Summary'!S31</f>
        <v>0</v>
      </c>
      <c r="V54" s="225">
        <f>'Cost Summary'!T31</f>
        <v>0</v>
      </c>
      <c r="W54" s="225">
        <f>'Cost Summary'!U31</f>
        <v>0</v>
      </c>
      <c r="X54" s="225">
        <f>'Cost Summary'!V31</f>
        <v>0</v>
      </c>
      <c r="Y54" s="225">
        <f>'Cost Summary'!W31</f>
        <v>0</v>
      </c>
      <c r="Z54" s="225">
        <f>'Cost Summary'!X31</f>
        <v>0</v>
      </c>
      <c r="AA54" s="579">
        <f>'Cost Summary'!Y31</f>
        <v>0</v>
      </c>
      <c r="AB54" s="225">
        <f>'Cost Summary'!Z31</f>
        <v>0</v>
      </c>
      <c r="AC54" s="225">
        <f>'Cost Summary'!AA31</f>
        <v>0</v>
      </c>
      <c r="AD54" s="225">
        <f>'Cost Summary'!AB31</f>
        <v>0</v>
      </c>
      <c r="AE54" s="225">
        <f>'Cost Summary'!AC31</f>
        <v>0</v>
      </c>
      <c r="AF54" s="225">
        <f>'Cost Summary'!AD31</f>
        <v>0</v>
      </c>
      <c r="AG54" s="225">
        <f>'Cost Summary'!AE31</f>
        <v>0</v>
      </c>
      <c r="AH54" s="225">
        <f>'Cost Summary'!AF31</f>
        <v>0</v>
      </c>
      <c r="AI54" s="225">
        <f>'Cost Summary'!AG31</f>
        <v>0</v>
      </c>
      <c r="AJ54" s="225">
        <f>'Cost Summary'!AH31</f>
        <v>0</v>
      </c>
      <c r="AK54" s="225">
        <f>'Cost Summary'!AI31</f>
        <v>0</v>
      </c>
      <c r="AL54" s="225">
        <f>'Cost Summary'!AJ31</f>
        <v>0</v>
      </c>
      <c r="AM54" s="225">
        <f>'Cost Summary'!AK31</f>
        <v>0</v>
      </c>
      <c r="AN54" s="225">
        <f>'Cost Summary'!AL31</f>
        <v>0</v>
      </c>
      <c r="AO54" s="225">
        <f>'Cost Summary'!AM31</f>
        <v>0</v>
      </c>
      <c r="AP54" s="225">
        <f>'Cost Summary'!AN31</f>
        <v>0</v>
      </c>
      <c r="AQ54" s="225">
        <f>'Cost Summary'!AO31</f>
        <v>0</v>
      </c>
      <c r="AR54" s="225">
        <f>'Cost Summary'!AP31</f>
        <v>0</v>
      </c>
      <c r="AS54" s="225">
        <f>'Cost Summary'!AQ31</f>
        <v>0</v>
      </c>
      <c r="AT54" s="225">
        <f>'Cost Summary'!AR31</f>
        <v>0</v>
      </c>
      <c r="AU54" s="225">
        <f>'Cost Summary'!AS31</f>
        <v>0</v>
      </c>
      <c r="AV54" s="225">
        <f>'Cost Summary'!AT31</f>
        <v>0</v>
      </c>
      <c r="AW54" s="225">
        <f>'Cost Summary'!AU31</f>
        <v>0</v>
      </c>
      <c r="AX54" s="225">
        <f>'Cost Summary'!AV31</f>
        <v>0</v>
      </c>
      <c r="AY54" s="225">
        <f>'Cost Summary'!AW31</f>
        <v>0</v>
      </c>
      <c r="AZ54" s="225">
        <f>'Cost Summary'!AX31</f>
        <v>0</v>
      </c>
      <c r="BA54" s="225">
        <f>'Cost Summary'!AY31</f>
        <v>0</v>
      </c>
      <c r="BB54" s="225">
        <f>'Cost Summary'!AZ31</f>
        <v>0</v>
      </c>
      <c r="BC54" s="225">
        <f>'Cost Summary'!BA31</f>
        <v>0</v>
      </c>
      <c r="BD54" s="225">
        <f>'Cost Summary'!BB31</f>
        <v>0</v>
      </c>
      <c r="BE54" s="225">
        <f>'Cost Summary'!BC31</f>
        <v>0</v>
      </c>
      <c r="BF54" s="225">
        <f>'Cost Summary'!BD31</f>
        <v>0</v>
      </c>
      <c r="BG54" s="225">
        <f>'Cost Summary'!BE31</f>
        <v>0</v>
      </c>
      <c r="BH54" s="225">
        <f>'Cost Summary'!BF31</f>
        <v>0</v>
      </c>
      <c r="BI54" s="225">
        <f>'Cost Summary'!BG31</f>
        <v>0</v>
      </c>
      <c r="BJ54" s="225">
        <f>'Cost Summary'!BH31</f>
        <v>0</v>
      </c>
      <c r="BK54" s="225">
        <f>'Cost Summary'!BI31</f>
        <v>0</v>
      </c>
      <c r="BL54" s="225">
        <f>'Cost Summary'!BJ31</f>
        <v>0</v>
      </c>
      <c r="BM54" s="579">
        <f>'Cost Summary'!BK31</f>
        <v>0</v>
      </c>
      <c r="BN54" s="579">
        <f>'Cost Summary'!BL31</f>
        <v>0</v>
      </c>
      <c r="BO54" s="579">
        <f>'Cost Summary'!BM31</f>
        <v>0</v>
      </c>
      <c r="BP54" s="579">
        <f>'Cost Summary'!BN31</f>
        <v>0</v>
      </c>
      <c r="BQ54" s="579">
        <f>'Cost Summary'!BO31</f>
        <v>0</v>
      </c>
      <c r="BR54" s="579">
        <f>'Cost Summary'!BP31</f>
        <v>0</v>
      </c>
      <c r="BS54" s="579">
        <f>'Cost Summary'!BQ31</f>
        <v>0</v>
      </c>
      <c r="BT54" s="579">
        <f>'Cost Summary'!BR31</f>
        <v>0</v>
      </c>
      <c r="BU54" s="579">
        <f>'Cost Summary'!BS31</f>
        <v>0</v>
      </c>
      <c r="BV54" s="579">
        <f>'Cost Summary'!BT31</f>
        <v>0</v>
      </c>
      <c r="BW54" s="579">
        <f>'Cost Summary'!BU31</f>
        <v>0</v>
      </c>
      <c r="BX54" s="579">
        <f>'Cost Summary'!BV31</f>
        <v>0</v>
      </c>
    </row>
    <row r="55" spans="1:76" hidden="1" outlineLevel="1" x14ac:dyDescent="0.35">
      <c r="C55" s="41" t="s">
        <v>25</v>
      </c>
      <c r="D55" s="308"/>
      <c r="E55" s="17">
        <f>'Cost Summary'!C32</f>
        <v>0</v>
      </c>
      <c r="F55" s="17">
        <f>'Cost Summary'!D32</f>
        <v>0</v>
      </c>
      <c r="G55" s="175">
        <f>'Cost Summary'!E32</f>
        <v>0</v>
      </c>
      <c r="H55" s="175">
        <f>'Cost Summary'!F32</f>
        <v>0</v>
      </c>
      <c r="I55" s="175">
        <f>'Cost Summary'!G32</f>
        <v>0</v>
      </c>
      <c r="J55" s="175">
        <f>'Cost Summary'!H32</f>
        <v>0</v>
      </c>
      <c r="K55" s="225">
        <f>'Cost Summary'!I32</f>
        <v>0</v>
      </c>
      <c r="L55" s="225">
        <f>'Cost Summary'!J32</f>
        <v>0</v>
      </c>
      <c r="M55" s="225">
        <f>'Cost Summary'!K32</f>
        <v>0</v>
      </c>
      <c r="N55" s="225">
        <f>'Cost Summary'!L32</f>
        <v>0</v>
      </c>
      <c r="O55" s="225">
        <f>'Cost Summary'!M32</f>
        <v>0</v>
      </c>
      <c r="P55" s="225">
        <f>'Cost Summary'!N32</f>
        <v>0</v>
      </c>
      <c r="Q55" s="225">
        <f>'Cost Summary'!O32</f>
        <v>0</v>
      </c>
      <c r="R55" s="225">
        <f>'Cost Summary'!P32</f>
        <v>0</v>
      </c>
      <c r="S55" s="225">
        <f>'Cost Summary'!Q32</f>
        <v>0</v>
      </c>
      <c r="T55" s="225">
        <f>'Cost Summary'!R32</f>
        <v>0</v>
      </c>
      <c r="U55" s="225">
        <f>'Cost Summary'!S32</f>
        <v>0</v>
      </c>
      <c r="V55" s="225">
        <f>'Cost Summary'!T32</f>
        <v>0</v>
      </c>
      <c r="W55" s="225">
        <f>'Cost Summary'!U32</f>
        <v>0</v>
      </c>
      <c r="X55" s="225">
        <f>'Cost Summary'!V32</f>
        <v>0</v>
      </c>
      <c r="Y55" s="225">
        <f>'Cost Summary'!W32</f>
        <v>0</v>
      </c>
      <c r="Z55" s="225">
        <f>'Cost Summary'!X32</f>
        <v>0</v>
      </c>
      <c r="AA55" s="579">
        <f>'Cost Summary'!Y32</f>
        <v>0</v>
      </c>
      <c r="AB55" s="225">
        <f>'Cost Summary'!Z32</f>
        <v>0</v>
      </c>
      <c r="AC55" s="225">
        <f>'Cost Summary'!AA32</f>
        <v>20000</v>
      </c>
      <c r="AD55" s="225">
        <f>'Cost Summary'!AB32</f>
        <v>20000</v>
      </c>
      <c r="AE55" s="225">
        <f>'Cost Summary'!AC32</f>
        <v>20000</v>
      </c>
      <c r="AF55" s="225">
        <f>'Cost Summary'!AD32</f>
        <v>20000</v>
      </c>
      <c r="AG55" s="225">
        <f>'Cost Summary'!AE32</f>
        <v>20000</v>
      </c>
      <c r="AH55" s="225">
        <f>'Cost Summary'!AF32</f>
        <v>20000</v>
      </c>
      <c r="AI55" s="225">
        <f>'Cost Summary'!AG32</f>
        <v>20000</v>
      </c>
      <c r="AJ55" s="225">
        <f>'Cost Summary'!AH32</f>
        <v>20000</v>
      </c>
      <c r="AK55" s="225">
        <f>'Cost Summary'!AI32</f>
        <v>20000</v>
      </c>
      <c r="AL55" s="225">
        <f>'Cost Summary'!AJ32</f>
        <v>20000</v>
      </c>
      <c r="AM55" s="225">
        <f>'Cost Summary'!AK32</f>
        <v>20000</v>
      </c>
      <c r="AN55" s="225">
        <f>'Cost Summary'!AL32</f>
        <v>20000</v>
      </c>
      <c r="AO55" s="225">
        <f>'Cost Summary'!AM32</f>
        <v>10000</v>
      </c>
      <c r="AP55" s="225">
        <f>'Cost Summary'!AN32</f>
        <v>10000</v>
      </c>
      <c r="AQ55" s="225">
        <f>'Cost Summary'!AO32</f>
        <v>10000</v>
      </c>
      <c r="AR55" s="225">
        <f>'Cost Summary'!AP32</f>
        <v>10000</v>
      </c>
      <c r="AS55" s="225">
        <f>'Cost Summary'!AQ32</f>
        <v>10000</v>
      </c>
      <c r="AT55" s="225">
        <f>'Cost Summary'!AR32</f>
        <v>10000</v>
      </c>
      <c r="AU55" s="225">
        <f>'Cost Summary'!AS32</f>
        <v>10000</v>
      </c>
      <c r="AV55" s="225">
        <f>'Cost Summary'!AT32</f>
        <v>10000</v>
      </c>
      <c r="AW55" s="225">
        <f>'Cost Summary'!AU32</f>
        <v>10000</v>
      </c>
      <c r="AX55" s="225">
        <f>'Cost Summary'!AV32</f>
        <v>10000</v>
      </c>
      <c r="AY55" s="225">
        <f>'Cost Summary'!AW32</f>
        <v>10000</v>
      </c>
      <c r="AZ55" s="225">
        <f>'Cost Summary'!AX32</f>
        <v>10000</v>
      </c>
      <c r="BA55" s="225">
        <f>'Cost Summary'!AY32</f>
        <v>10000</v>
      </c>
      <c r="BB55" s="225">
        <f>'Cost Summary'!AZ32</f>
        <v>10000</v>
      </c>
      <c r="BC55" s="225">
        <f>'Cost Summary'!BA32</f>
        <v>10000</v>
      </c>
      <c r="BD55" s="225">
        <f>'Cost Summary'!BB32</f>
        <v>10000</v>
      </c>
      <c r="BE55" s="225">
        <f>'Cost Summary'!BC32</f>
        <v>10000</v>
      </c>
      <c r="BF55" s="225">
        <f>'Cost Summary'!BD32</f>
        <v>10000</v>
      </c>
      <c r="BG55" s="225">
        <f>'Cost Summary'!BE32</f>
        <v>10000</v>
      </c>
      <c r="BH55" s="225">
        <f>'Cost Summary'!BF32</f>
        <v>10000</v>
      </c>
      <c r="BI55" s="225">
        <f>'Cost Summary'!BG32</f>
        <v>10000</v>
      </c>
      <c r="BJ55" s="225">
        <f>'Cost Summary'!BH32</f>
        <v>10000</v>
      </c>
      <c r="BK55" s="225">
        <f>'Cost Summary'!BI32</f>
        <v>10000</v>
      </c>
      <c r="BL55" s="225">
        <f>'Cost Summary'!BJ32</f>
        <v>10000</v>
      </c>
      <c r="BM55" s="579">
        <f>'Cost Summary'!BK32</f>
        <v>10000</v>
      </c>
      <c r="BN55" s="579">
        <f>'Cost Summary'!BL32</f>
        <v>10000</v>
      </c>
      <c r="BO55" s="579">
        <f>'Cost Summary'!BM32</f>
        <v>10000</v>
      </c>
      <c r="BP55" s="579">
        <f>'Cost Summary'!BN32</f>
        <v>10000</v>
      </c>
      <c r="BQ55" s="579">
        <f>'Cost Summary'!BO32</f>
        <v>10000</v>
      </c>
      <c r="BR55" s="579">
        <f>'Cost Summary'!BP32</f>
        <v>10000</v>
      </c>
      <c r="BS55" s="579">
        <f>'Cost Summary'!BQ32</f>
        <v>10000</v>
      </c>
      <c r="BT55" s="579">
        <f>'Cost Summary'!BR32</f>
        <v>10000</v>
      </c>
      <c r="BU55" s="579">
        <f>'Cost Summary'!BS32</f>
        <v>10000</v>
      </c>
      <c r="BV55" s="579">
        <f>'Cost Summary'!BT32</f>
        <v>10000</v>
      </c>
      <c r="BW55" s="579">
        <f>'Cost Summary'!BU32</f>
        <v>10000</v>
      </c>
      <c r="BX55" s="579">
        <f>'Cost Summary'!BV32</f>
        <v>10000</v>
      </c>
    </row>
    <row r="56" spans="1:76" hidden="1" outlineLevel="1" x14ac:dyDescent="0.35">
      <c r="C56" s="41" t="s">
        <v>26</v>
      </c>
      <c r="D56" s="308"/>
      <c r="E56" s="17">
        <f>'Cost Summary'!C33</f>
        <v>0</v>
      </c>
      <c r="F56" s="17">
        <f>'Cost Summary'!D33</f>
        <v>0</v>
      </c>
      <c r="G56" s="175">
        <f>'Cost Summary'!E33</f>
        <v>0</v>
      </c>
      <c r="H56" s="17">
        <f>'Cost Summary'!F33</f>
        <v>0</v>
      </c>
      <c r="I56" s="17">
        <f>'Cost Summary'!G33</f>
        <v>0</v>
      </c>
      <c r="J56" s="17">
        <f>'Cost Summary'!H33</f>
        <v>0</v>
      </c>
      <c r="K56" s="17">
        <f>'Cost Summary'!I33</f>
        <v>0</v>
      </c>
      <c r="L56" s="17">
        <f>'Cost Summary'!J33</f>
        <v>0</v>
      </c>
      <c r="M56" s="17">
        <f>'Cost Summary'!K33</f>
        <v>0</v>
      </c>
      <c r="N56" s="225">
        <f>'Cost Summary'!L33</f>
        <v>0</v>
      </c>
      <c r="O56" s="225">
        <f>'Cost Summary'!M33</f>
        <v>0</v>
      </c>
      <c r="P56" s="225">
        <f>'Cost Summary'!N33</f>
        <v>0</v>
      </c>
      <c r="Q56" s="225">
        <f>'Cost Summary'!O33</f>
        <v>0</v>
      </c>
      <c r="R56" s="225">
        <f>'Cost Summary'!P33</f>
        <v>0</v>
      </c>
      <c r="S56" s="225">
        <f>'Cost Summary'!Q33</f>
        <v>0</v>
      </c>
      <c r="T56" s="225">
        <f>'Cost Summary'!R33</f>
        <v>0</v>
      </c>
      <c r="U56" s="225">
        <f>'Cost Summary'!S33</f>
        <v>0</v>
      </c>
      <c r="V56" s="225">
        <f>'Cost Summary'!T33</f>
        <v>0</v>
      </c>
      <c r="W56" s="225">
        <f>'Cost Summary'!U33</f>
        <v>0</v>
      </c>
      <c r="X56" s="225">
        <f>'Cost Summary'!V33</f>
        <v>0</v>
      </c>
      <c r="Y56" s="225">
        <f>'Cost Summary'!W33</f>
        <v>0</v>
      </c>
      <c r="Z56" s="225">
        <f>'Cost Summary'!X33</f>
        <v>0</v>
      </c>
      <c r="AA56" s="579">
        <f>'Cost Summary'!Y33</f>
        <v>0</v>
      </c>
      <c r="AB56" s="225">
        <f>'Cost Summary'!Z33</f>
        <v>0</v>
      </c>
      <c r="AC56" s="225">
        <f>'Cost Summary'!AA33</f>
        <v>6105</v>
      </c>
      <c r="AD56" s="225">
        <f>'Cost Summary'!AB33</f>
        <v>6105</v>
      </c>
      <c r="AE56" s="225">
        <f>'Cost Summary'!AC33</f>
        <v>6105</v>
      </c>
      <c r="AF56" s="225">
        <f>'Cost Summary'!AD33</f>
        <v>6105</v>
      </c>
      <c r="AG56" s="225">
        <f>'Cost Summary'!AE33</f>
        <v>6105</v>
      </c>
      <c r="AH56" s="225">
        <f>'Cost Summary'!AF33</f>
        <v>6105</v>
      </c>
      <c r="AI56" s="225">
        <f>'Cost Summary'!AG33</f>
        <v>6105</v>
      </c>
      <c r="AJ56" s="225">
        <f>'Cost Summary'!AH33</f>
        <v>6105</v>
      </c>
      <c r="AK56" s="225">
        <f>'Cost Summary'!AI33</f>
        <v>6105</v>
      </c>
      <c r="AL56" s="225">
        <f>'Cost Summary'!AJ33</f>
        <v>6105</v>
      </c>
      <c r="AM56" s="225">
        <f>'Cost Summary'!AK33</f>
        <v>6105</v>
      </c>
      <c r="AN56" s="225">
        <f>'Cost Summary'!AL33</f>
        <v>6105</v>
      </c>
      <c r="AO56" s="225">
        <f>'Cost Summary'!AM33</f>
        <v>6105</v>
      </c>
      <c r="AP56" s="225">
        <f>'Cost Summary'!AN33</f>
        <v>6105</v>
      </c>
      <c r="AQ56" s="225">
        <f>'Cost Summary'!AO33</f>
        <v>6105</v>
      </c>
      <c r="AR56" s="225">
        <f>'Cost Summary'!AP33</f>
        <v>6105</v>
      </c>
      <c r="AS56" s="225">
        <f>'Cost Summary'!AQ33</f>
        <v>6105</v>
      </c>
      <c r="AT56" s="225">
        <f>'Cost Summary'!AR33</f>
        <v>6105</v>
      </c>
      <c r="AU56" s="225">
        <f>'Cost Summary'!AS33</f>
        <v>6105</v>
      </c>
      <c r="AV56" s="225">
        <f>'Cost Summary'!AT33</f>
        <v>6105</v>
      </c>
      <c r="AW56" s="225">
        <f>'Cost Summary'!AU33</f>
        <v>6105</v>
      </c>
      <c r="AX56" s="225">
        <f>'Cost Summary'!AV33</f>
        <v>6105</v>
      </c>
      <c r="AY56" s="225">
        <f>'Cost Summary'!AW33</f>
        <v>6105</v>
      </c>
      <c r="AZ56" s="225">
        <f>'Cost Summary'!AX33</f>
        <v>6105</v>
      </c>
      <c r="BA56" s="225">
        <f>'Cost Summary'!AY33</f>
        <v>6105</v>
      </c>
      <c r="BB56" s="225">
        <f>'Cost Summary'!AZ33</f>
        <v>6105</v>
      </c>
      <c r="BC56" s="225">
        <f>'Cost Summary'!BA33</f>
        <v>6105</v>
      </c>
      <c r="BD56" s="225">
        <f>'Cost Summary'!BB33</f>
        <v>6105</v>
      </c>
      <c r="BE56" s="225">
        <f>'Cost Summary'!BC33</f>
        <v>6105</v>
      </c>
      <c r="BF56" s="225">
        <f>'Cost Summary'!BD33</f>
        <v>6105</v>
      </c>
      <c r="BG56" s="225">
        <f>'Cost Summary'!BE33</f>
        <v>6105</v>
      </c>
      <c r="BH56" s="225">
        <f>'Cost Summary'!BF33</f>
        <v>6105</v>
      </c>
      <c r="BI56" s="225">
        <f>'Cost Summary'!BG33</f>
        <v>6105</v>
      </c>
      <c r="BJ56" s="225">
        <f>'Cost Summary'!BH33</f>
        <v>6105</v>
      </c>
      <c r="BK56" s="225">
        <f>'Cost Summary'!BI33</f>
        <v>6105</v>
      </c>
      <c r="BL56" s="225">
        <f>'Cost Summary'!BJ33</f>
        <v>6105</v>
      </c>
      <c r="BM56" s="579">
        <f>'Cost Summary'!BK33</f>
        <v>6105</v>
      </c>
      <c r="BN56" s="579">
        <f>'Cost Summary'!BL33</f>
        <v>6105</v>
      </c>
      <c r="BO56" s="579">
        <f>'Cost Summary'!BM33</f>
        <v>6105</v>
      </c>
      <c r="BP56" s="579">
        <f>'Cost Summary'!BN33</f>
        <v>6105</v>
      </c>
      <c r="BQ56" s="579">
        <f>'Cost Summary'!BO33</f>
        <v>6105</v>
      </c>
      <c r="BR56" s="579">
        <f>'Cost Summary'!BP33</f>
        <v>6105</v>
      </c>
      <c r="BS56" s="579">
        <f>'Cost Summary'!BQ33</f>
        <v>6105</v>
      </c>
      <c r="BT56" s="579">
        <f>'Cost Summary'!BR33</f>
        <v>6105</v>
      </c>
      <c r="BU56" s="579">
        <f>'Cost Summary'!BS33</f>
        <v>6105</v>
      </c>
      <c r="BV56" s="579">
        <f>'Cost Summary'!BT33</f>
        <v>6105</v>
      </c>
      <c r="BW56" s="579">
        <f>'Cost Summary'!BU33</f>
        <v>6105</v>
      </c>
      <c r="BX56" s="579">
        <f>'Cost Summary'!BV33</f>
        <v>6105</v>
      </c>
    </row>
    <row r="57" spans="1:76" hidden="1" outlineLevel="1" x14ac:dyDescent="0.35">
      <c r="C57" s="41" t="s">
        <v>27</v>
      </c>
      <c r="D57" s="308"/>
      <c r="E57" s="17">
        <f>'Cost Summary'!C34</f>
        <v>0</v>
      </c>
      <c r="F57" s="17">
        <f>'Cost Summary'!D34</f>
        <v>0</v>
      </c>
      <c r="G57" s="175">
        <f>'Cost Summary'!E34</f>
        <v>0</v>
      </c>
      <c r="H57" s="17">
        <f>'Cost Summary'!F34</f>
        <v>0</v>
      </c>
      <c r="I57" s="17">
        <f>'Cost Summary'!G34</f>
        <v>0</v>
      </c>
      <c r="J57" s="17">
        <f>'Cost Summary'!H34</f>
        <v>0</v>
      </c>
      <c r="K57" s="17">
        <f>'Cost Summary'!I34</f>
        <v>0</v>
      </c>
      <c r="L57" s="17">
        <f>'Cost Summary'!J34</f>
        <v>0</v>
      </c>
      <c r="M57" s="17">
        <f>'Cost Summary'!K34</f>
        <v>0</v>
      </c>
      <c r="N57" s="225">
        <f>'Cost Summary'!L34</f>
        <v>0</v>
      </c>
      <c r="O57" s="225">
        <f>'Cost Summary'!M34</f>
        <v>0</v>
      </c>
      <c r="P57" s="225">
        <f>'Cost Summary'!N34</f>
        <v>0</v>
      </c>
      <c r="Q57" s="225">
        <f>'Cost Summary'!O34</f>
        <v>0</v>
      </c>
      <c r="R57" s="225">
        <f>'Cost Summary'!P34</f>
        <v>0</v>
      </c>
      <c r="S57" s="225">
        <f>'Cost Summary'!Q34</f>
        <v>0</v>
      </c>
      <c r="T57" s="225">
        <f>'Cost Summary'!R34</f>
        <v>0</v>
      </c>
      <c r="U57" s="225">
        <f>'Cost Summary'!S34</f>
        <v>0</v>
      </c>
      <c r="V57" s="225">
        <f>'Cost Summary'!T34</f>
        <v>0</v>
      </c>
      <c r="W57" s="225">
        <f>'Cost Summary'!U34</f>
        <v>0</v>
      </c>
      <c r="X57" s="225">
        <f>'Cost Summary'!V34</f>
        <v>0</v>
      </c>
      <c r="Y57" s="225">
        <f>'Cost Summary'!W34</f>
        <v>0</v>
      </c>
      <c r="Z57" s="225">
        <f>'Cost Summary'!X34</f>
        <v>0</v>
      </c>
      <c r="AA57" s="579">
        <f>'Cost Summary'!Y34</f>
        <v>0</v>
      </c>
      <c r="AB57" s="225">
        <f>'Cost Summary'!Z34</f>
        <v>0</v>
      </c>
      <c r="AC57" s="225">
        <f>'Cost Summary'!AA34</f>
        <v>3100</v>
      </c>
      <c r="AD57" s="225">
        <f>'Cost Summary'!AB34</f>
        <v>3100</v>
      </c>
      <c r="AE57" s="225">
        <f>'Cost Summary'!AC34</f>
        <v>3100</v>
      </c>
      <c r="AF57" s="225">
        <f>'Cost Summary'!AD34</f>
        <v>3100</v>
      </c>
      <c r="AG57" s="225">
        <f>'Cost Summary'!AE34</f>
        <v>3100</v>
      </c>
      <c r="AH57" s="225">
        <f>'Cost Summary'!AF34</f>
        <v>3100</v>
      </c>
      <c r="AI57" s="225">
        <f>'Cost Summary'!AG34</f>
        <v>3100</v>
      </c>
      <c r="AJ57" s="225">
        <f>'Cost Summary'!AH34</f>
        <v>3100</v>
      </c>
      <c r="AK57" s="225">
        <f>'Cost Summary'!AI34</f>
        <v>3100</v>
      </c>
      <c r="AL57" s="225">
        <f>'Cost Summary'!AJ34</f>
        <v>3100</v>
      </c>
      <c r="AM57" s="225">
        <f>'Cost Summary'!AK34</f>
        <v>3100</v>
      </c>
      <c r="AN57" s="225">
        <f>'Cost Summary'!AL34</f>
        <v>3100</v>
      </c>
      <c r="AO57" s="225">
        <f>'Cost Summary'!AM34</f>
        <v>3100</v>
      </c>
      <c r="AP57" s="225">
        <f>'Cost Summary'!AN34</f>
        <v>3100</v>
      </c>
      <c r="AQ57" s="225">
        <f>'Cost Summary'!AO34</f>
        <v>3100</v>
      </c>
      <c r="AR57" s="225">
        <f>'Cost Summary'!AP34</f>
        <v>3100</v>
      </c>
      <c r="AS57" s="225">
        <f>'Cost Summary'!AQ34</f>
        <v>3100</v>
      </c>
      <c r="AT57" s="225">
        <f>'Cost Summary'!AR34</f>
        <v>3100</v>
      </c>
      <c r="AU57" s="225">
        <f>'Cost Summary'!AS34</f>
        <v>3100</v>
      </c>
      <c r="AV57" s="225">
        <f>'Cost Summary'!AT34</f>
        <v>3100</v>
      </c>
      <c r="AW57" s="225">
        <f>'Cost Summary'!AU34</f>
        <v>3100</v>
      </c>
      <c r="AX57" s="225">
        <f>'Cost Summary'!AV34</f>
        <v>3100</v>
      </c>
      <c r="AY57" s="225">
        <f>'Cost Summary'!AW34</f>
        <v>3100</v>
      </c>
      <c r="AZ57" s="225">
        <f>'Cost Summary'!AX34</f>
        <v>3100</v>
      </c>
      <c r="BA57" s="225">
        <f>'Cost Summary'!AY34</f>
        <v>3100</v>
      </c>
      <c r="BB57" s="225">
        <f>'Cost Summary'!AZ34</f>
        <v>3100</v>
      </c>
      <c r="BC57" s="225">
        <f>'Cost Summary'!BA34</f>
        <v>3100</v>
      </c>
      <c r="BD57" s="225">
        <f>'Cost Summary'!BB34</f>
        <v>3100</v>
      </c>
      <c r="BE57" s="225">
        <f>'Cost Summary'!BC34</f>
        <v>3100</v>
      </c>
      <c r="BF57" s="225">
        <f>'Cost Summary'!BD34</f>
        <v>3100</v>
      </c>
      <c r="BG57" s="225">
        <f>'Cost Summary'!BE34</f>
        <v>3100</v>
      </c>
      <c r="BH57" s="225">
        <f>'Cost Summary'!BF34</f>
        <v>3100</v>
      </c>
      <c r="BI57" s="225">
        <f>'Cost Summary'!BG34</f>
        <v>3100</v>
      </c>
      <c r="BJ57" s="225">
        <f>'Cost Summary'!BH34</f>
        <v>3100</v>
      </c>
      <c r="BK57" s="225">
        <f>'Cost Summary'!BI34</f>
        <v>3100</v>
      </c>
      <c r="BL57" s="225">
        <f>'Cost Summary'!BJ34</f>
        <v>3100</v>
      </c>
      <c r="BM57" s="579">
        <f>'Cost Summary'!BK34</f>
        <v>3100</v>
      </c>
      <c r="BN57" s="579">
        <f>'Cost Summary'!BL34</f>
        <v>3100</v>
      </c>
      <c r="BO57" s="579">
        <f>'Cost Summary'!BM34</f>
        <v>3100</v>
      </c>
      <c r="BP57" s="579">
        <f>'Cost Summary'!BN34</f>
        <v>3100</v>
      </c>
      <c r="BQ57" s="579">
        <f>'Cost Summary'!BO34</f>
        <v>3100</v>
      </c>
      <c r="BR57" s="579">
        <f>'Cost Summary'!BP34</f>
        <v>3100</v>
      </c>
      <c r="BS57" s="579">
        <f>'Cost Summary'!BQ34</f>
        <v>3100</v>
      </c>
      <c r="BT57" s="579">
        <f>'Cost Summary'!BR34</f>
        <v>3100</v>
      </c>
      <c r="BU57" s="579">
        <f>'Cost Summary'!BS34</f>
        <v>3100</v>
      </c>
      <c r="BV57" s="579">
        <f>'Cost Summary'!BT34</f>
        <v>3100</v>
      </c>
      <c r="BW57" s="579">
        <f>'Cost Summary'!BU34</f>
        <v>3100</v>
      </c>
      <c r="BX57" s="579">
        <f>'Cost Summary'!BV34</f>
        <v>3100</v>
      </c>
    </row>
    <row r="58" spans="1:76" hidden="1" outlineLevel="1" x14ac:dyDescent="0.35">
      <c r="C58" s="43" t="s">
        <v>28</v>
      </c>
      <c r="D58" s="308"/>
      <c r="E58" s="225">
        <f>'Cost Summary'!C35</f>
        <v>0</v>
      </c>
      <c r="F58" s="17">
        <f>'Cost Summary'!D35</f>
        <v>0</v>
      </c>
      <c r="G58" s="175">
        <f>'Cost Summary'!E35</f>
        <v>0</v>
      </c>
      <c r="H58" s="175">
        <f>'Cost Summary'!F35</f>
        <v>0</v>
      </c>
      <c r="I58" s="175">
        <f>'Cost Summary'!G35</f>
        <v>0</v>
      </c>
      <c r="J58" s="175">
        <f>'Cost Summary'!H35</f>
        <v>0</v>
      </c>
      <c r="K58" s="225">
        <f>'Cost Summary'!I35</f>
        <v>0</v>
      </c>
      <c r="L58" s="225">
        <f>'Cost Summary'!J35</f>
        <v>0</v>
      </c>
      <c r="M58" s="225">
        <f>'Cost Summary'!K35</f>
        <v>0</v>
      </c>
      <c r="N58" s="225">
        <f>'Cost Summary'!L35</f>
        <v>0</v>
      </c>
      <c r="O58" s="225">
        <f>'Cost Summary'!M35</f>
        <v>0</v>
      </c>
      <c r="P58" s="225">
        <f>'Cost Summary'!N35</f>
        <v>0</v>
      </c>
      <c r="Q58" s="225">
        <f>'Cost Summary'!O35</f>
        <v>0</v>
      </c>
      <c r="R58" s="225">
        <f>'Cost Summary'!P35</f>
        <v>0</v>
      </c>
      <c r="S58" s="225">
        <f>'Cost Summary'!Q35</f>
        <v>0</v>
      </c>
      <c r="T58" s="225">
        <f>'Cost Summary'!R35</f>
        <v>0</v>
      </c>
      <c r="U58" s="225">
        <f>'Cost Summary'!S35</f>
        <v>0</v>
      </c>
      <c r="V58" s="225">
        <f>'Cost Summary'!T35</f>
        <v>0</v>
      </c>
      <c r="W58" s="225">
        <f>'Cost Summary'!U35</f>
        <v>0</v>
      </c>
      <c r="X58" s="225">
        <f>'Cost Summary'!V35</f>
        <v>0</v>
      </c>
      <c r="Y58" s="225">
        <f>'Cost Summary'!W35</f>
        <v>0</v>
      </c>
      <c r="Z58" s="225">
        <f>'Cost Summary'!X35</f>
        <v>0</v>
      </c>
      <c r="AA58" s="579">
        <f>'Cost Summary'!Y35</f>
        <v>0</v>
      </c>
      <c r="AB58" s="225">
        <f>'Cost Summary'!Z35</f>
        <v>0</v>
      </c>
      <c r="AC58" s="225">
        <f>'Cost Summary'!AA35</f>
        <v>1000</v>
      </c>
      <c r="AD58" s="225">
        <f>'Cost Summary'!AB35</f>
        <v>1000</v>
      </c>
      <c r="AE58" s="225">
        <f>'Cost Summary'!AC35</f>
        <v>1000</v>
      </c>
      <c r="AF58" s="225">
        <f>'Cost Summary'!AD35</f>
        <v>1000</v>
      </c>
      <c r="AG58" s="225">
        <f>'Cost Summary'!AE35</f>
        <v>1000</v>
      </c>
      <c r="AH58" s="225">
        <f>'Cost Summary'!AF35</f>
        <v>1000</v>
      </c>
      <c r="AI58" s="225">
        <f>'Cost Summary'!AG35</f>
        <v>1000</v>
      </c>
      <c r="AJ58" s="225">
        <f>'Cost Summary'!AH35</f>
        <v>1000</v>
      </c>
      <c r="AK58" s="225">
        <f>'Cost Summary'!AI35</f>
        <v>1000</v>
      </c>
      <c r="AL58" s="225">
        <f>'Cost Summary'!AJ35</f>
        <v>1000</v>
      </c>
      <c r="AM58" s="225">
        <f>'Cost Summary'!AK35</f>
        <v>1000</v>
      </c>
      <c r="AN58" s="225">
        <f>'Cost Summary'!AL35</f>
        <v>1000</v>
      </c>
      <c r="AO58" s="225">
        <f>'Cost Summary'!AM35</f>
        <v>1000</v>
      </c>
      <c r="AP58" s="225">
        <f>'Cost Summary'!AN35</f>
        <v>1000</v>
      </c>
      <c r="AQ58" s="225">
        <f>'Cost Summary'!AO35</f>
        <v>1000</v>
      </c>
      <c r="AR58" s="225">
        <f>'Cost Summary'!AP35</f>
        <v>1000</v>
      </c>
      <c r="AS58" s="225">
        <f>'Cost Summary'!AQ35</f>
        <v>1000</v>
      </c>
      <c r="AT58" s="225">
        <f>'Cost Summary'!AR35</f>
        <v>1000</v>
      </c>
      <c r="AU58" s="225">
        <f>'Cost Summary'!AS35</f>
        <v>1000</v>
      </c>
      <c r="AV58" s="225">
        <f>'Cost Summary'!AT35</f>
        <v>1000</v>
      </c>
      <c r="AW58" s="225">
        <f>'Cost Summary'!AU35</f>
        <v>1000</v>
      </c>
      <c r="AX58" s="225">
        <f>'Cost Summary'!AV35</f>
        <v>1000</v>
      </c>
      <c r="AY58" s="225">
        <f>'Cost Summary'!AW35</f>
        <v>1000</v>
      </c>
      <c r="AZ58" s="225">
        <f>'Cost Summary'!AX35</f>
        <v>1000</v>
      </c>
      <c r="BA58" s="225">
        <f>'Cost Summary'!AY35</f>
        <v>1000</v>
      </c>
      <c r="BB58" s="225">
        <f>'Cost Summary'!AZ35</f>
        <v>1000</v>
      </c>
      <c r="BC58" s="225">
        <f>'Cost Summary'!BA35</f>
        <v>1000</v>
      </c>
      <c r="BD58" s="225">
        <f>'Cost Summary'!BB35</f>
        <v>1000</v>
      </c>
      <c r="BE58" s="225">
        <f>'Cost Summary'!BC35</f>
        <v>1000</v>
      </c>
      <c r="BF58" s="225">
        <f>'Cost Summary'!BD35</f>
        <v>1000</v>
      </c>
      <c r="BG58" s="225">
        <f>'Cost Summary'!BE35</f>
        <v>1000</v>
      </c>
      <c r="BH58" s="225">
        <f>'Cost Summary'!BF35</f>
        <v>1000</v>
      </c>
      <c r="BI58" s="225">
        <f>'Cost Summary'!BG35</f>
        <v>1000</v>
      </c>
      <c r="BJ58" s="225">
        <f>'Cost Summary'!BH35</f>
        <v>1000</v>
      </c>
      <c r="BK58" s="225">
        <f>'Cost Summary'!BI35</f>
        <v>1000</v>
      </c>
      <c r="BL58" s="225">
        <f>'Cost Summary'!BJ35</f>
        <v>1000</v>
      </c>
      <c r="BM58" s="579">
        <f>'Cost Summary'!BK35</f>
        <v>1000</v>
      </c>
      <c r="BN58" s="579">
        <f>'Cost Summary'!BL35</f>
        <v>1000</v>
      </c>
      <c r="BO58" s="579">
        <f>'Cost Summary'!BM35</f>
        <v>1000</v>
      </c>
      <c r="BP58" s="579">
        <f>'Cost Summary'!BN35</f>
        <v>1000</v>
      </c>
      <c r="BQ58" s="579">
        <f>'Cost Summary'!BO35</f>
        <v>1000</v>
      </c>
      <c r="BR58" s="579">
        <f>'Cost Summary'!BP35</f>
        <v>1000</v>
      </c>
      <c r="BS58" s="579">
        <f>'Cost Summary'!BQ35</f>
        <v>1000</v>
      </c>
      <c r="BT58" s="579">
        <f>'Cost Summary'!BR35</f>
        <v>1000</v>
      </c>
      <c r="BU58" s="579">
        <f>'Cost Summary'!BS35</f>
        <v>1000</v>
      </c>
      <c r="BV58" s="579">
        <f>'Cost Summary'!BT35</f>
        <v>1000</v>
      </c>
      <c r="BW58" s="579">
        <f>'Cost Summary'!BU35</f>
        <v>1000</v>
      </c>
      <c r="BX58" s="579">
        <f>'Cost Summary'!BV35</f>
        <v>1000</v>
      </c>
    </row>
    <row r="59" spans="1:76" hidden="1" outlineLevel="1" x14ac:dyDescent="0.35">
      <c r="C59" s="41" t="s">
        <v>48</v>
      </c>
      <c r="D59" s="308"/>
      <c r="E59" s="17">
        <f>'Cost Summary'!C36</f>
        <v>0</v>
      </c>
      <c r="F59" s="17">
        <f>'Cost Summary'!D36</f>
        <v>0</v>
      </c>
      <c r="G59" s="175">
        <f>'Cost Summary'!E36</f>
        <v>0</v>
      </c>
      <c r="H59" s="17">
        <f>'Cost Summary'!F36</f>
        <v>0</v>
      </c>
      <c r="I59" s="17">
        <f>'Cost Summary'!G36</f>
        <v>0</v>
      </c>
      <c r="J59" s="17">
        <f>'Cost Summary'!H36</f>
        <v>0</v>
      </c>
      <c r="K59" s="17">
        <f>'Cost Summary'!I36</f>
        <v>0</v>
      </c>
      <c r="L59" s="17">
        <f>'Cost Summary'!J36</f>
        <v>0</v>
      </c>
      <c r="M59" s="17">
        <f>'Cost Summary'!K36</f>
        <v>0</v>
      </c>
      <c r="N59" s="225">
        <f>'Cost Summary'!L36</f>
        <v>0</v>
      </c>
      <c r="O59" s="225">
        <f>'Cost Summary'!M36</f>
        <v>0</v>
      </c>
      <c r="P59" s="225">
        <f>'Cost Summary'!N36</f>
        <v>0</v>
      </c>
      <c r="Q59" s="225">
        <f>'Cost Summary'!O36</f>
        <v>0</v>
      </c>
      <c r="R59" s="225">
        <f>'Cost Summary'!P36</f>
        <v>0</v>
      </c>
      <c r="S59" s="225">
        <f>'Cost Summary'!Q36</f>
        <v>0</v>
      </c>
      <c r="T59" s="225">
        <f>'Cost Summary'!R36</f>
        <v>0</v>
      </c>
      <c r="U59" s="225">
        <f>'Cost Summary'!S36</f>
        <v>0</v>
      </c>
      <c r="V59" s="225">
        <f>'Cost Summary'!T36</f>
        <v>0</v>
      </c>
      <c r="W59" s="225">
        <f>'Cost Summary'!U36</f>
        <v>0</v>
      </c>
      <c r="X59" s="225">
        <f>'Cost Summary'!V36</f>
        <v>0</v>
      </c>
      <c r="Y59" s="225">
        <f>'Cost Summary'!W36</f>
        <v>0</v>
      </c>
      <c r="Z59" s="225">
        <f>'Cost Summary'!X36</f>
        <v>0</v>
      </c>
      <c r="AA59" s="579">
        <f>'Cost Summary'!Y36</f>
        <v>0</v>
      </c>
      <c r="AB59" s="225">
        <f>'Cost Summary'!Z36</f>
        <v>0</v>
      </c>
      <c r="AC59" s="225">
        <f>'Cost Summary'!AA36</f>
        <v>40000</v>
      </c>
      <c r="AD59" s="225">
        <f>'Cost Summary'!AB36</f>
        <v>40000</v>
      </c>
      <c r="AE59" s="225">
        <f>'Cost Summary'!AC36</f>
        <v>40000</v>
      </c>
      <c r="AF59" s="225">
        <f>'Cost Summary'!AD36</f>
        <v>40000</v>
      </c>
      <c r="AG59" s="225">
        <f>'Cost Summary'!AE36</f>
        <v>40000</v>
      </c>
      <c r="AH59" s="225">
        <f>'Cost Summary'!AF36</f>
        <v>40000</v>
      </c>
      <c r="AI59" s="225">
        <f>'Cost Summary'!AG36</f>
        <v>40000</v>
      </c>
      <c r="AJ59" s="225">
        <f>'Cost Summary'!AH36</f>
        <v>40000</v>
      </c>
      <c r="AK59" s="225">
        <f>'Cost Summary'!AI36</f>
        <v>40000</v>
      </c>
      <c r="AL59" s="225">
        <f>'Cost Summary'!AJ36</f>
        <v>40000</v>
      </c>
      <c r="AM59" s="225">
        <f>'Cost Summary'!AK36</f>
        <v>40000</v>
      </c>
      <c r="AN59" s="225">
        <f>'Cost Summary'!AL36</f>
        <v>40000</v>
      </c>
      <c r="AO59" s="225">
        <f>'Cost Summary'!AM36</f>
        <v>30000</v>
      </c>
      <c r="AP59" s="225">
        <f>'Cost Summary'!AN36</f>
        <v>30000</v>
      </c>
      <c r="AQ59" s="225">
        <f>'Cost Summary'!AO36</f>
        <v>30000</v>
      </c>
      <c r="AR59" s="225">
        <f>'Cost Summary'!AP36</f>
        <v>30000</v>
      </c>
      <c r="AS59" s="225">
        <f>'Cost Summary'!AQ36</f>
        <v>30000</v>
      </c>
      <c r="AT59" s="225">
        <f>'Cost Summary'!AR36</f>
        <v>30000</v>
      </c>
      <c r="AU59" s="225">
        <f>'Cost Summary'!AS36</f>
        <v>30000</v>
      </c>
      <c r="AV59" s="225">
        <f>'Cost Summary'!AT36</f>
        <v>30000</v>
      </c>
      <c r="AW59" s="225">
        <f>'Cost Summary'!AU36</f>
        <v>30000</v>
      </c>
      <c r="AX59" s="225">
        <f>'Cost Summary'!AV36</f>
        <v>30000</v>
      </c>
      <c r="AY59" s="225">
        <f>'Cost Summary'!AW36</f>
        <v>30000</v>
      </c>
      <c r="AZ59" s="225">
        <f>'Cost Summary'!AX36</f>
        <v>30000</v>
      </c>
      <c r="BA59" s="225">
        <f>'Cost Summary'!AY36</f>
        <v>30000</v>
      </c>
      <c r="BB59" s="225">
        <f>'Cost Summary'!AZ36</f>
        <v>30000</v>
      </c>
      <c r="BC59" s="225">
        <f>'Cost Summary'!BA36</f>
        <v>30000</v>
      </c>
      <c r="BD59" s="225">
        <f>'Cost Summary'!BB36</f>
        <v>30000</v>
      </c>
      <c r="BE59" s="225">
        <f>'Cost Summary'!BC36</f>
        <v>30000</v>
      </c>
      <c r="BF59" s="225">
        <f>'Cost Summary'!BD36</f>
        <v>30000</v>
      </c>
      <c r="BG59" s="225">
        <f>'Cost Summary'!BE36</f>
        <v>30000</v>
      </c>
      <c r="BH59" s="225">
        <f>'Cost Summary'!BF36</f>
        <v>30000</v>
      </c>
      <c r="BI59" s="225">
        <f>'Cost Summary'!BG36</f>
        <v>30000</v>
      </c>
      <c r="BJ59" s="225">
        <f>'Cost Summary'!BH36</f>
        <v>30000</v>
      </c>
      <c r="BK59" s="225">
        <f>'Cost Summary'!BI36</f>
        <v>30000</v>
      </c>
      <c r="BL59" s="225">
        <f>'Cost Summary'!BJ36</f>
        <v>30000</v>
      </c>
      <c r="BM59" s="579">
        <f>'Cost Summary'!BK36</f>
        <v>30000</v>
      </c>
      <c r="BN59" s="579">
        <f>'Cost Summary'!BL36</f>
        <v>30000</v>
      </c>
      <c r="BO59" s="579">
        <f>'Cost Summary'!BM36</f>
        <v>30000</v>
      </c>
      <c r="BP59" s="579">
        <f>'Cost Summary'!BN36</f>
        <v>30000</v>
      </c>
      <c r="BQ59" s="579">
        <f>'Cost Summary'!BO36</f>
        <v>30000</v>
      </c>
      <c r="BR59" s="579">
        <f>'Cost Summary'!BP36</f>
        <v>30000</v>
      </c>
      <c r="BS59" s="579">
        <f>'Cost Summary'!BQ36</f>
        <v>30000</v>
      </c>
      <c r="BT59" s="579">
        <f>'Cost Summary'!BR36</f>
        <v>30000</v>
      </c>
      <c r="BU59" s="579">
        <f>'Cost Summary'!BS36</f>
        <v>30000</v>
      </c>
      <c r="BV59" s="579">
        <f>'Cost Summary'!BT36</f>
        <v>30000</v>
      </c>
      <c r="BW59" s="579">
        <f>'Cost Summary'!BU36</f>
        <v>30000</v>
      </c>
      <c r="BX59" s="579">
        <f>'Cost Summary'!BV36</f>
        <v>30000</v>
      </c>
    </row>
    <row r="60" spans="1:76" ht="15" hidden="1" outlineLevel="1" thickBot="1" x14ac:dyDescent="0.4">
      <c r="C60" s="42" t="s">
        <v>29</v>
      </c>
      <c r="D60" s="226"/>
      <c r="E60" s="20">
        <f>'Cost Summary'!C37</f>
        <v>54155.791188657087</v>
      </c>
      <c r="F60" s="20">
        <f>'Cost Summary'!D37</f>
        <v>117062.92674858254</v>
      </c>
      <c r="G60" s="20">
        <f>'Cost Summary'!E37-588</f>
        <v>101850.55466607647</v>
      </c>
      <c r="H60" s="20">
        <f>'Cost Summary'!F37+274</f>
        <v>88706.521710669942</v>
      </c>
      <c r="I60" s="20">
        <f>'Cost Summary'!G37</f>
        <v>76196.03035387455</v>
      </c>
      <c r="J60" s="20">
        <f>'Cost Summary'!H37</f>
        <v>92147.073422455593</v>
      </c>
      <c r="K60" s="20">
        <f>'Cost Summary'!I37</f>
        <v>136538.9817708265</v>
      </c>
      <c r="L60" s="20">
        <f>'Cost Summary'!J37</f>
        <v>102769.32266103722</v>
      </c>
      <c r="M60" s="20">
        <f>'Cost Summary'!K37</f>
        <v>76459.78561367598</v>
      </c>
      <c r="N60" s="226">
        <f>'Cost Summary'!L37</f>
        <v>284102.44433745445</v>
      </c>
      <c r="O60" s="226">
        <f>'Cost Summary'!M37</f>
        <v>164100.98997017735</v>
      </c>
      <c r="P60" s="226">
        <f>'Cost Summary'!N37+332579</f>
        <v>529524.4611461123</v>
      </c>
      <c r="Q60" s="226">
        <f>'Cost Summary'!O37</f>
        <v>82749.41</v>
      </c>
      <c r="R60" s="226">
        <f>'Cost Summary'!P37</f>
        <v>47805.14</v>
      </c>
      <c r="S60" s="226">
        <f>'Cost Summary'!Q37</f>
        <v>-34371.040000000001</v>
      </c>
      <c r="T60" s="226">
        <f>'Cost Summary'!R37</f>
        <v>46300.7</v>
      </c>
      <c r="U60" s="226">
        <f>'Cost Summary'!S37</f>
        <v>49087.58</v>
      </c>
      <c r="V60" s="226">
        <f>'Cost Summary'!T37</f>
        <v>98654.99</v>
      </c>
      <c r="W60" s="226">
        <f>'Cost Summary'!U37</f>
        <v>86600.91</v>
      </c>
      <c r="X60" s="226">
        <f>'Cost Summary'!V37</f>
        <v>67998.14</v>
      </c>
      <c r="Y60" s="226">
        <f>'Cost Summary'!W37</f>
        <v>101127.73</v>
      </c>
      <c r="Z60" s="226">
        <f>'Cost Summary'!X37</f>
        <v>163591.07999999999</v>
      </c>
      <c r="AA60" s="226">
        <f>'Cost Summary'!Y37</f>
        <v>76076.22</v>
      </c>
      <c r="AB60" s="226">
        <f>'Cost Summary'!Z37</f>
        <v>142357.33000000002</v>
      </c>
      <c r="AC60" s="226">
        <f>'Cost Summary'!AA37</f>
        <v>8333.3333333333339</v>
      </c>
      <c r="AD60" s="226">
        <f>'Cost Summary'!AB37</f>
        <v>8333.3333333333339</v>
      </c>
      <c r="AE60" s="226">
        <f>'Cost Summary'!AC37</f>
        <v>8333.3333333333339</v>
      </c>
      <c r="AF60" s="226">
        <f>'Cost Summary'!AD37</f>
        <v>8333.3333333333339</v>
      </c>
      <c r="AG60" s="226">
        <f>'Cost Summary'!AE37</f>
        <v>8333.3333333333339</v>
      </c>
      <c r="AH60" s="226">
        <f>'Cost Summary'!AF37</f>
        <v>8333.3333333333339</v>
      </c>
      <c r="AI60" s="226">
        <f>'Cost Summary'!AG37</f>
        <v>8333.3333333333339</v>
      </c>
      <c r="AJ60" s="226">
        <f>'Cost Summary'!AH37</f>
        <v>8333.3333333333339</v>
      </c>
      <c r="AK60" s="226">
        <f>'Cost Summary'!AI37</f>
        <v>8333.3333333333339</v>
      </c>
      <c r="AL60" s="226">
        <f>'Cost Summary'!AJ37</f>
        <v>8333.3333333333339</v>
      </c>
      <c r="AM60" s="226">
        <f>'Cost Summary'!AK37</f>
        <v>8333.3333333333339</v>
      </c>
      <c r="AN60" s="226">
        <f>'Cost Summary'!AL37</f>
        <v>8333.3333333333339</v>
      </c>
      <c r="AO60" s="226">
        <f>'Cost Summary'!AM37</f>
        <v>8333.3333333333339</v>
      </c>
      <c r="AP60" s="226">
        <f>'Cost Summary'!AN37</f>
        <v>8333.3333333333339</v>
      </c>
      <c r="AQ60" s="226">
        <f>'Cost Summary'!AO37</f>
        <v>8333.3333333333339</v>
      </c>
      <c r="AR60" s="226">
        <f>'Cost Summary'!AP37</f>
        <v>8333.3333333333339</v>
      </c>
      <c r="AS60" s="226">
        <f>'Cost Summary'!AQ37</f>
        <v>8333.3333333333339</v>
      </c>
      <c r="AT60" s="226">
        <f>'Cost Summary'!AR37</f>
        <v>8333.3333333333339</v>
      </c>
      <c r="AU60" s="226">
        <f>'Cost Summary'!AS37</f>
        <v>8333.3333333333339</v>
      </c>
      <c r="AV60" s="226">
        <f>'Cost Summary'!AT37</f>
        <v>8333.3333333333339</v>
      </c>
      <c r="AW60" s="226">
        <f>'Cost Summary'!AU37</f>
        <v>8333.3333333333339</v>
      </c>
      <c r="AX60" s="226">
        <f>'Cost Summary'!AV37</f>
        <v>8333.3333333333339</v>
      </c>
      <c r="AY60" s="226">
        <f>'Cost Summary'!AW37</f>
        <v>8333.3333333333339</v>
      </c>
      <c r="AZ60" s="226">
        <f>'Cost Summary'!AX37</f>
        <v>8333.3333333333339</v>
      </c>
      <c r="BA60" s="226">
        <f>'Cost Summary'!AY37</f>
        <v>8333.3333333333339</v>
      </c>
      <c r="BB60" s="226">
        <f>'Cost Summary'!AZ37</f>
        <v>8333.3333333333339</v>
      </c>
      <c r="BC60" s="226">
        <f>'Cost Summary'!BA37</f>
        <v>8333.3333333333339</v>
      </c>
      <c r="BD60" s="226">
        <f>'Cost Summary'!BB37</f>
        <v>8333.3333333333339</v>
      </c>
      <c r="BE60" s="226">
        <f>'Cost Summary'!BC37</f>
        <v>8333.3333333333339</v>
      </c>
      <c r="BF60" s="226">
        <f>'Cost Summary'!BD37</f>
        <v>8333.3333333333339</v>
      </c>
      <c r="BG60" s="226">
        <f>'Cost Summary'!BE37</f>
        <v>8333.3333333333339</v>
      </c>
      <c r="BH60" s="226">
        <f>'Cost Summary'!BF37</f>
        <v>8333.3333333333339</v>
      </c>
      <c r="BI60" s="226">
        <f>'Cost Summary'!BG37</f>
        <v>8333.3333333333339</v>
      </c>
      <c r="BJ60" s="226">
        <f>'Cost Summary'!BH37</f>
        <v>8333.3333333333339</v>
      </c>
      <c r="BK60" s="226">
        <f>'Cost Summary'!BI37</f>
        <v>8333.3333333333339</v>
      </c>
      <c r="BL60" s="226">
        <f>'Cost Summary'!BJ37</f>
        <v>8333.3333333333339</v>
      </c>
      <c r="BM60" s="226">
        <f>'Cost Summary'!BK37</f>
        <v>8333.3333333333339</v>
      </c>
      <c r="BN60" s="226">
        <f>'Cost Summary'!BL37</f>
        <v>8333.3333333333339</v>
      </c>
      <c r="BO60" s="226">
        <f>'Cost Summary'!BM37</f>
        <v>8333.3333333333339</v>
      </c>
      <c r="BP60" s="226">
        <f>'Cost Summary'!BN37</f>
        <v>8333.3333333333339</v>
      </c>
      <c r="BQ60" s="226">
        <f>'Cost Summary'!BO37</f>
        <v>8333.3333333333339</v>
      </c>
      <c r="BR60" s="226">
        <f>'Cost Summary'!BP37</f>
        <v>8333.3333333333339</v>
      </c>
      <c r="BS60" s="226">
        <f>'Cost Summary'!BQ37</f>
        <v>8333.3333333333339</v>
      </c>
      <c r="BT60" s="226">
        <f>'Cost Summary'!BR37</f>
        <v>8333.3333333333339</v>
      </c>
      <c r="BU60" s="226">
        <f>'Cost Summary'!BS37</f>
        <v>8333.3333333333339</v>
      </c>
      <c r="BV60" s="226">
        <f>'Cost Summary'!BT37</f>
        <v>8333.3333333333339</v>
      </c>
      <c r="BW60" s="226">
        <f>'Cost Summary'!BU37</f>
        <v>8333.3333333333339</v>
      </c>
      <c r="BX60" s="226">
        <f>'Cost Summary'!BV37</f>
        <v>8333.3333333333339</v>
      </c>
    </row>
    <row r="61" spans="1:76" collapsed="1" x14ac:dyDescent="0.35">
      <c r="A61" s="30"/>
      <c r="B61" s="19"/>
      <c r="C61" s="30" t="s">
        <v>19</v>
      </c>
      <c r="D61" s="166"/>
      <c r="E61" s="8">
        <f t="shared" ref="E61:AJ61" si="29">SUM(E48:E60)</f>
        <v>111471.7756247193</v>
      </c>
      <c r="F61" s="8">
        <f t="shared" si="29"/>
        <v>171344.58725411797</v>
      </c>
      <c r="G61" s="166">
        <f t="shared" si="29"/>
        <v>156027.31275670818</v>
      </c>
      <c r="H61" s="8">
        <f t="shared" si="29"/>
        <v>158918.58822094416</v>
      </c>
      <c r="I61" s="8">
        <f t="shared" si="29"/>
        <v>449624.52611638099</v>
      </c>
      <c r="J61" s="8">
        <f t="shared" si="29"/>
        <v>183295.50629641878</v>
      </c>
      <c r="K61" s="8">
        <f t="shared" si="29"/>
        <v>516636.55986159045</v>
      </c>
      <c r="L61" s="8">
        <f t="shared" si="29"/>
        <v>483685.14025888842</v>
      </c>
      <c r="M61" s="8">
        <f t="shared" si="29"/>
        <v>149575.38962310873</v>
      </c>
      <c r="N61" s="8">
        <f t="shared" si="29"/>
        <v>696158.94691380067</v>
      </c>
      <c r="O61" s="8">
        <f t="shared" si="29"/>
        <v>338188.28595771734</v>
      </c>
      <c r="P61" s="8">
        <f t="shared" si="29"/>
        <v>623093.70637268294</v>
      </c>
      <c r="Q61" s="8">
        <f t="shared" si="29"/>
        <v>278966.25</v>
      </c>
      <c r="R61" s="8">
        <f t="shared" si="29"/>
        <v>255735.44</v>
      </c>
      <c r="S61" s="8">
        <f t="shared" si="29"/>
        <v>131972.22999999998</v>
      </c>
      <c r="T61" s="8">
        <f t="shared" si="29"/>
        <v>214846.01</v>
      </c>
      <c r="U61" s="8">
        <f t="shared" si="29"/>
        <v>233938.15999999997</v>
      </c>
      <c r="V61" s="8">
        <f t="shared" si="29"/>
        <v>254022.65999999997</v>
      </c>
      <c r="W61" s="8">
        <f t="shared" si="29"/>
        <v>287334.32999999996</v>
      </c>
      <c r="X61" s="8">
        <f t="shared" si="29"/>
        <v>239081.5</v>
      </c>
      <c r="Y61" s="8">
        <f t="shared" si="29"/>
        <v>279888.06</v>
      </c>
      <c r="Z61" s="8">
        <f t="shared" si="29"/>
        <v>349829.29</v>
      </c>
      <c r="AA61" s="166">
        <f t="shared" ref="AA61" si="30">SUM(AA48:AA60)</f>
        <v>259971.00999999998</v>
      </c>
      <c r="AB61" s="8">
        <f t="shared" si="29"/>
        <v>293849.71000000002</v>
      </c>
      <c r="AC61" s="8">
        <f t="shared" si="29"/>
        <v>258851.4566</v>
      </c>
      <c r="AD61" s="8">
        <f t="shared" si="29"/>
        <v>211921.96187777779</v>
      </c>
      <c r="AE61" s="8">
        <f t="shared" si="29"/>
        <v>211196.34703981483</v>
      </c>
      <c r="AF61" s="8">
        <f t="shared" si="29"/>
        <v>234906.99763202161</v>
      </c>
      <c r="AG61" s="8">
        <f t="shared" si="29"/>
        <v>236318.89938469007</v>
      </c>
      <c r="AH61" s="8">
        <f t="shared" si="29"/>
        <v>236847.6279500809</v>
      </c>
      <c r="AI61" s="8">
        <f t="shared" si="29"/>
        <v>238390.19306258767</v>
      </c>
      <c r="AJ61" s="8">
        <f t="shared" si="29"/>
        <v>237594.25443446997</v>
      </c>
      <c r="AK61" s="8">
        <f t="shared" ref="AK61:BL61" si="31">SUM(AK48:AK60)</f>
        <v>237890.23758734248</v>
      </c>
      <c r="AL61" s="8">
        <f t="shared" si="31"/>
        <v>238900.93350295434</v>
      </c>
      <c r="AM61" s="8">
        <f t="shared" si="31"/>
        <v>240527.11574486722</v>
      </c>
      <c r="AN61" s="8">
        <f t="shared" si="31"/>
        <v>648838.38067360618</v>
      </c>
      <c r="AO61" s="8">
        <f t="shared" si="31"/>
        <v>218113.22516940665</v>
      </c>
      <c r="AP61" s="8">
        <f t="shared" si="31"/>
        <v>219348.66297882944</v>
      </c>
      <c r="AQ61" s="8">
        <f t="shared" si="31"/>
        <v>219566.68708380594</v>
      </c>
      <c r="AR61" s="8">
        <f t="shared" si="31"/>
        <v>219863.40884141051</v>
      </c>
      <c r="AS61" s="8">
        <f t="shared" si="31"/>
        <v>220118.7587575248</v>
      </c>
      <c r="AT61" s="8">
        <f t="shared" si="31"/>
        <v>220277.8021380768</v>
      </c>
      <c r="AU61" s="8">
        <f t="shared" si="31"/>
        <v>220406.11787592326</v>
      </c>
      <c r="AV61" s="8">
        <f t="shared" si="31"/>
        <v>220416.66623871523</v>
      </c>
      <c r="AW61" s="8">
        <f t="shared" si="31"/>
        <v>220494.51654137109</v>
      </c>
      <c r="AX61" s="8">
        <f t="shared" si="31"/>
        <v>220554.29247710397</v>
      </c>
      <c r="AY61" s="8">
        <f t="shared" si="31"/>
        <v>220534.93792741318</v>
      </c>
      <c r="AZ61" s="8">
        <f t="shared" si="31"/>
        <v>633003.02850222634</v>
      </c>
      <c r="BA61" s="8">
        <f t="shared" si="31"/>
        <v>214438.80044080989</v>
      </c>
      <c r="BB61" s="8">
        <f t="shared" si="31"/>
        <v>215476.53875643591</v>
      </c>
      <c r="BC61" s="8">
        <f t="shared" si="31"/>
        <v>215554.01642852154</v>
      </c>
      <c r="BD61" s="8">
        <f t="shared" si="31"/>
        <v>215619.82958082485</v>
      </c>
      <c r="BE61" s="8">
        <f t="shared" si="31"/>
        <v>215666.44680479486</v>
      </c>
      <c r="BF61" s="8">
        <f t="shared" si="31"/>
        <v>215695.71423996397</v>
      </c>
      <c r="BG61" s="8">
        <f t="shared" si="31"/>
        <v>215714.20903188453</v>
      </c>
      <c r="BH61" s="8">
        <f t="shared" si="31"/>
        <v>215723.59066543786</v>
      </c>
      <c r="BI61" s="8">
        <f t="shared" si="31"/>
        <v>215732.90924471361</v>
      </c>
      <c r="BJ61" s="8">
        <f t="shared" si="31"/>
        <v>215736.54547276598</v>
      </c>
      <c r="BK61" s="8">
        <f t="shared" si="31"/>
        <v>215735.52516595679</v>
      </c>
      <c r="BL61" s="8">
        <f t="shared" si="31"/>
        <v>633314.2296385552</v>
      </c>
      <c r="BM61" s="166">
        <f t="shared" ref="BM61:BX61" si="32">SUM(BM48:BM60)</f>
        <v>216479.01259171133</v>
      </c>
      <c r="BN61" s="166">
        <f t="shared" si="32"/>
        <v>217481.08085290142</v>
      </c>
      <c r="BO61" s="166">
        <f t="shared" si="32"/>
        <v>217508.06056470078</v>
      </c>
      <c r="BP61" s="166">
        <f t="shared" si="32"/>
        <v>217530.86374674842</v>
      </c>
      <c r="BQ61" s="166">
        <f t="shared" si="32"/>
        <v>217550.11292702294</v>
      </c>
      <c r="BR61" s="166">
        <f t="shared" si="32"/>
        <v>217567.11010587681</v>
      </c>
      <c r="BS61" s="166">
        <f t="shared" si="32"/>
        <v>217583.11197170374</v>
      </c>
      <c r="BT61" s="166">
        <f t="shared" si="32"/>
        <v>217598.93194438991</v>
      </c>
      <c r="BU61" s="166">
        <f t="shared" si="32"/>
        <v>217615.31312853176</v>
      </c>
      <c r="BV61" s="166">
        <f t="shared" si="32"/>
        <v>217632.30667636034</v>
      </c>
      <c r="BW61" s="166">
        <f t="shared" si="32"/>
        <v>217650.43670631081</v>
      </c>
      <c r="BX61" s="166">
        <f t="shared" si="32"/>
        <v>640350.71512128459</v>
      </c>
    </row>
    <row r="62" spans="1:76" x14ac:dyDescent="0.35">
      <c r="D62" s="167"/>
      <c r="E62" s="167"/>
      <c r="F62" s="167"/>
      <c r="G62" s="167"/>
      <c r="H62" s="167"/>
      <c r="I62" s="167"/>
      <c r="J62" s="167"/>
      <c r="K62" s="167"/>
      <c r="L62" s="167"/>
      <c r="M62" s="16"/>
      <c r="N62" s="16"/>
      <c r="O62" s="16"/>
      <c r="P62" s="16"/>
      <c r="Q62" s="16"/>
      <c r="R62" s="16"/>
      <c r="S62" s="16"/>
      <c r="T62" s="16"/>
      <c r="U62" s="16"/>
      <c r="V62" s="16"/>
      <c r="W62" s="16"/>
      <c r="X62" s="16"/>
      <c r="Y62" s="16"/>
      <c r="Z62" s="16"/>
      <c r="AA62" s="574"/>
      <c r="AB62" s="16"/>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c r="BG62" s="16"/>
      <c r="BH62" s="16"/>
      <c r="BI62" s="16"/>
      <c r="BJ62" s="16"/>
      <c r="BK62" s="16"/>
      <c r="BL62" s="16"/>
      <c r="BM62" s="574"/>
    </row>
    <row r="63" spans="1:76" s="16" customFormat="1" x14ac:dyDescent="0.35">
      <c r="C63" s="30" t="s">
        <v>145</v>
      </c>
      <c r="D63" s="308"/>
      <c r="E63" s="17">
        <f t="shared" ref="E63:AJ63" si="33">E40+E45+E61</f>
        <v>358120.49503557768</v>
      </c>
      <c r="F63" s="17">
        <f t="shared" si="33"/>
        <v>455119.69686994073</v>
      </c>
      <c r="G63" s="175">
        <f t="shared" si="33"/>
        <v>481267.48335250089</v>
      </c>
      <c r="H63" s="17">
        <f t="shared" si="33"/>
        <v>499172.76983732963</v>
      </c>
      <c r="I63" s="17">
        <f t="shared" si="33"/>
        <v>749019.04922830453</v>
      </c>
      <c r="J63" s="17">
        <f t="shared" si="33"/>
        <v>560973.56334059173</v>
      </c>
      <c r="K63" s="17">
        <f t="shared" si="33"/>
        <v>864819.14678878314</v>
      </c>
      <c r="L63" s="17">
        <f t="shared" si="33"/>
        <v>887760.38406862039</v>
      </c>
      <c r="M63" s="17">
        <f t="shared" si="33"/>
        <v>534257.41760255466</v>
      </c>
      <c r="N63" s="17">
        <f t="shared" si="33"/>
        <v>1095616.1907454371</v>
      </c>
      <c r="O63" s="17">
        <f t="shared" si="33"/>
        <v>773978.47754933429</v>
      </c>
      <c r="P63" s="17">
        <f>P40+P45+P61</f>
        <v>1060114.5620716326</v>
      </c>
      <c r="Q63" s="308">
        <f t="shared" si="33"/>
        <v>972597.99</v>
      </c>
      <c r="R63" s="308">
        <f t="shared" si="33"/>
        <v>806303.90999999992</v>
      </c>
      <c r="S63" s="308">
        <f t="shared" si="33"/>
        <v>914657.89</v>
      </c>
      <c r="T63" s="17">
        <f t="shared" si="33"/>
        <v>975742.03</v>
      </c>
      <c r="U63" s="17">
        <f t="shared" si="33"/>
        <v>1020863.0899999999</v>
      </c>
      <c r="V63" s="17">
        <f t="shared" si="33"/>
        <v>1146498.1499999999</v>
      </c>
      <c r="W63" s="17">
        <f t="shared" si="33"/>
        <v>1572423.9299999997</v>
      </c>
      <c r="X63" s="17">
        <f t="shared" si="33"/>
        <v>1455333.01</v>
      </c>
      <c r="Y63" s="17">
        <f t="shared" si="33"/>
        <v>1248307.32</v>
      </c>
      <c r="Z63" s="17">
        <f t="shared" si="33"/>
        <v>1340691.69</v>
      </c>
      <c r="AA63" s="579">
        <f t="shared" ref="AA63" si="34">AA40+AA45+AA61</f>
        <v>1242208.81</v>
      </c>
      <c r="AB63" s="17">
        <f t="shared" si="33"/>
        <v>1177736.7</v>
      </c>
      <c r="AC63" s="17">
        <f t="shared" si="33"/>
        <v>1011470.3406166666</v>
      </c>
      <c r="AD63" s="17">
        <f t="shared" si="33"/>
        <v>1083134.9199222222</v>
      </c>
      <c r="AE63" s="17">
        <f t="shared" si="33"/>
        <v>1408126.4769476852</v>
      </c>
      <c r="AF63" s="17">
        <f t="shared" si="33"/>
        <v>1623972.3370586033</v>
      </c>
      <c r="AG63" s="17">
        <f t="shared" si="33"/>
        <v>1517831.4782898757</v>
      </c>
      <c r="AH63" s="17">
        <f t="shared" si="33"/>
        <v>1521921.5379570876</v>
      </c>
      <c r="AI63" s="17">
        <f t="shared" si="33"/>
        <v>1626840.9417632339</v>
      </c>
      <c r="AJ63" s="17">
        <f t="shared" si="33"/>
        <v>1375378.2544976701</v>
      </c>
      <c r="AK63" s="17">
        <f t="shared" ref="AK63:BL63" si="35">AK40+AK45+AK61</f>
        <v>1396614.0266266428</v>
      </c>
      <c r="AL63" s="17">
        <f t="shared" si="35"/>
        <v>1521863.8905996964</v>
      </c>
      <c r="AM63" s="17">
        <f t="shared" si="35"/>
        <v>1389601.5829593933</v>
      </c>
      <c r="AN63" s="17">
        <f t="shared" si="35"/>
        <v>2871540.8238490652</v>
      </c>
      <c r="AO63" s="17">
        <f t="shared" si="35"/>
        <v>1340052.1462238759</v>
      </c>
      <c r="AP63" s="17">
        <f t="shared" si="35"/>
        <v>1419748.774487657</v>
      </c>
      <c r="AQ63" s="17">
        <f t="shared" si="35"/>
        <v>1428848.7928150655</v>
      </c>
      <c r="AR63" s="17">
        <f t="shared" si="35"/>
        <v>1429667.852300039</v>
      </c>
      <c r="AS63" s="17">
        <f t="shared" si="35"/>
        <v>1425633.3896975301</v>
      </c>
      <c r="AT63" s="17">
        <f t="shared" si="35"/>
        <v>1428959.3704054994</v>
      </c>
      <c r="AU63" s="17">
        <f t="shared" si="35"/>
        <v>1427227.5660517931</v>
      </c>
      <c r="AV63" s="17">
        <f t="shared" si="35"/>
        <v>1419127.7625644242</v>
      </c>
      <c r="AW63" s="17">
        <f t="shared" si="35"/>
        <v>1422443.1718207169</v>
      </c>
      <c r="AX63" s="17">
        <f t="shared" si="35"/>
        <v>1424267.0068501835</v>
      </c>
      <c r="AY63" s="17">
        <f t="shared" si="35"/>
        <v>1418610.0706147337</v>
      </c>
      <c r="AZ63" s="17">
        <f t="shared" si="35"/>
        <v>3016252.8907578099</v>
      </c>
      <c r="BA63" s="17">
        <f t="shared" si="35"/>
        <v>1436665.7818200353</v>
      </c>
      <c r="BB63" s="17">
        <f t="shared" si="35"/>
        <v>1453972.0302069613</v>
      </c>
      <c r="BC63" s="17">
        <f t="shared" si="35"/>
        <v>1454502.0973542307</v>
      </c>
      <c r="BD63" s="17">
        <f t="shared" si="35"/>
        <v>1454318.4537227128</v>
      </c>
      <c r="BE63" s="17">
        <f t="shared" si="35"/>
        <v>1454051.5917077835</v>
      </c>
      <c r="BF63" s="17">
        <f t="shared" si="35"/>
        <v>1454099.3132498281</v>
      </c>
      <c r="BG63" s="17">
        <f t="shared" si="35"/>
        <v>1453874.375358209</v>
      </c>
      <c r="BH63" s="17">
        <f t="shared" si="35"/>
        <v>1453775.4291721852</v>
      </c>
      <c r="BI63" s="17">
        <f t="shared" si="35"/>
        <v>1454343.919277858</v>
      </c>
      <c r="BJ63" s="17">
        <f t="shared" si="35"/>
        <v>1454684.1113872754</v>
      </c>
      <c r="BK63" s="17">
        <f t="shared" si="35"/>
        <v>1454901.1705901322</v>
      </c>
      <c r="BL63" s="17">
        <f t="shared" si="35"/>
        <v>3090738.3588477578</v>
      </c>
      <c r="BM63" s="579">
        <f t="shared" ref="BM63:BX63" si="36">BM40+BM45+BM61</f>
        <v>1058861.8871213784</v>
      </c>
      <c r="BN63" s="579">
        <f t="shared" si="36"/>
        <v>1075892.3174032508</v>
      </c>
      <c r="BO63" s="579">
        <f t="shared" si="36"/>
        <v>1076125.4597750702</v>
      </c>
      <c r="BP63" s="579">
        <f t="shared" si="36"/>
        <v>1076334.3386176291</v>
      </c>
      <c r="BQ63" s="579">
        <f t="shared" si="36"/>
        <v>1076576.410470115</v>
      </c>
      <c r="BR63" s="579">
        <f t="shared" si="36"/>
        <v>1076861.3893531007</v>
      </c>
      <c r="BS63" s="579">
        <f t="shared" si="36"/>
        <v>1077166.6244674549</v>
      </c>
      <c r="BT63" s="579">
        <f t="shared" si="36"/>
        <v>1077516.5214145742</v>
      </c>
      <c r="BU63" s="579">
        <f t="shared" si="36"/>
        <v>1077904.3083195039</v>
      </c>
      <c r="BV63" s="579">
        <f t="shared" si="36"/>
        <v>1078277.5035709322</v>
      </c>
      <c r="BW63" s="579">
        <f t="shared" si="36"/>
        <v>1078653.9027403344</v>
      </c>
      <c r="BX63" s="579">
        <f t="shared" si="36"/>
        <v>2755803.1953199529</v>
      </c>
    </row>
    <row r="64" spans="1:76" s="438" customFormat="1" x14ac:dyDescent="0.35">
      <c r="C64" s="30"/>
      <c r="D64" s="308"/>
      <c r="E64" s="308">
        <v>358120</v>
      </c>
      <c r="F64" s="308">
        <v>455120</v>
      </c>
      <c r="G64" s="308">
        <v>481258</v>
      </c>
      <c r="H64" s="308">
        <v>499173</v>
      </c>
      <c r="I64" s="308">
        <v>749019</v>
      </c>
      <c r="J64" s="308">
        <v>560974</v>
      </c>
      <c r="K64" s="308">
        <v>864819</v>
      </c>
      <c r="L64" s="308">
        <v>887760</v>
      </c>
      <c r="M64" s="308">
        <v>534257</v>
      </c>
      <c r="N64" s="308">
        <v>1095616</v>
      </c>
      <c r="O64" s="308">
        <v>773978</v>
      </c>
      <c r="P64" s="308">
        <v>1060115</v>
      </c>
      <c r="Q64" s="308"/>
      <c r="R64" s="308"/>
      <c r="S64" s="308"/>
      <c r="T64" s="308"/>
      <c r="U64" s="308"/>
      <c r="V64" s="308"/>
      <c r="W64" s="308"/>
      <c r="X64" s="308"/>
      <c r="Y64" s="308"/>
      <c r="Z64" s="308"/>
      <c r="AA64" s="579"/>
      <c r="AB64" s="308"/>
      <c r="AC64" s="308"/>
      <c r="AD64" s="308"/>
      <c r="AE64" s="308"/>
      <c r="AF64" s="308"/>
      <c r="AG64" s="308"/>
      <c r="AH64" s="308"/>
      <c r="AI64" s="308"/>
      <c r="AJ64" s="308"/>
      <c r="AK64" s="308"/>
      <c r="AL64" s="308"/>
      <c r="AM64" s="308"/>
      <c r="AN64" s="308"/>
      <c r="AO64" s="308"/>
      <c r="AP64" s="308"/>
      <c r="AQ64" s="308"/>
      <c r="AR64" s="308"/>
      <c r="AS64" s="308"/>
      <c r="AT64" s="308"/>
      <c r="AU64" s="308"/>
      <c r="AV64" s="308"/>
      <c r="AW64" s="308"/>
      <c r="AX64" s="308"/>
      <c r="AY64" s="308"/>
      <c r="AZ64" s="308"/>
      <c r="BA64" s="308"/>
      <c r="BB64" s="308"/>
      <c r="BC64" s="308"/>
      <c r="BD64" s="308"/>
      <c r="BE64" s="308"/>
      <c r="BF64" s="308"/>
      <c r="BG64" s="308"/>
      <c r="BH64" s="308"/>
      <c r="BI64" s="308"/>
      <c r="BJ64" s="308"/>
      <c r="BK64" s="308"/>
      <c r="BL64" s="308"/>
      <c r="BM64" s="579"/>
      <c r="BN64" s="579"/>
      <c r="BO64" s="579"/>
      <c r="BP64" s="579"/>
      <c r="BQ64" s="579"/>
      <c r="BR64" s="579"/>
      <c r="BS64" s="579"/>
      <c r="BT64" s="579"/>
      <c r="BU64" s="579"/>
      <c r="BV64" s="579"/>
      <c r="BW64" s="579"/>
      <c r="BX64" s="579"/>
    </row>
    <row r="65" spans="1:76" x14ac:dyDescent="0.35">
      <c r="D65" s="167"/>
      <c r="E65" s="167">
        <f>+E63-E64</f>
        <v>0.49503557768184692</v>
      </c>
      <c r="F65" s="167">
        <f t="shared" ref="F65:P65" si="37">+F63-F64</f>
        <v>-0.30313005927018821</v>
      </c>
      <c r="G65" s="167">
        <f t="shared" si="37"/>
        <v>9.483352500887122</v>
      </c>
      <c r="H65" s="167">
        <f t="shared" si="37"/>
        <v>-0.23016267037019134</v>
      </c>
      <c r="I65" s="167">
        <f t="shared" si="37"/>
        <v>4.9228304531425238E-2</v>
      </c>
      <c r="J65" s="167">
        <f t="shared" si="37"/>
        <v>-0.43665940826758742</v>
      </c>
      <c r="K65" s="167">
        <f t="shared" si="37"/>
        <v>0.14678878313861787</v>
      </c>
      <c r="L65" s="167">
        <f t="shared" si="37"/>
        <v>0.38406862039119005</v>
      </c>
      <c r="M65" s="167">
        <f t="shared" si="37"/>
        <v>0.41760255466215312</v>
      </c>
      <c r="N65" s="167">
        <f t="shared" si="37"/>
        <v>0.1907454370521009</v>
      </c>
      <c r="O65" s="167">
        <f t="shared" si="37"/>
        <v>0.47754933428950608</v>
      </c>
      <c r="P65" s="167">
        <f t="shared" si="37"/>
        <v>-0.43792836740612984</v>
      </c>
      <c r="Q65" s="16"/>
      <c r="R65" s="16"/>
      <c r="S65" s="16"/>
      <c r="T65" s="16"/>
      <c r="U65" s="16"/>
      <c r="V65" s="16"/>
      <c r="W65" s="16"/>
      <c r="X65" s="16"/>
      <c r="Y65" s="16"/>
      <c r="Z65" s="16"/>
      <c r="AA65" s="574"/>
      <c r="AB65" s="16"/>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16"/>
      <c r="BE65" s="16"/>
      <c r="BF65" s="16"/>
      <c r="BG65" s="16"/>
      <c r="BH65" s="16"/>
      <c r="BI65" s="16"/>
      <c r="BJ65" s="16"/>
      <c r="BK65" s="16"/>
      <c r="BL65" s="16"/>
      <c r="BM65" s="574"/>
    </row>
    <row r="66" spans="1:76" ht="15" thickBot="1" x14ac:dyDescent="0.4">
      <c r="A66" s="16"/>
      <c r="B66" s="51" t="s">
        <v>529</v>
      </c>
      <c r="C66" s="52"/>
      <c r="D66" s="54"/>
      <c r="E66" s="54">
        <f>E33-E40-E45-E61</f>
        <v>557694.24645420676</v>
      </c>
      <c r="F66" s="54">
        <f t="shared" ref="F66:O66" si="38">F33-F40-F45-F61</f>
        <v>373248.82946172229</v>
      </c>
      <c r="G66" s="54">
        <f t="shared" si="38"/>
        <v>485208.85022781795</v>
      </c>
      <c r="H66" s="54">
        <f t="shared" si="38"/>
        <v>439061.43545537931</v>
      </c>
      <c r="I66" s="54">
        <f t="shared" si="38"/>
        <v>317338.10300880432</v>
      </c>
      <c r="J66" s="54">
        <f t="shared" si="38"/>
        <v>377034.1891700321</v>
      </c>
      <c r="K66" s="54">
        <f t="shared" si="38"/>
        <v>152992.95496848802</v>
      </c>
      <c r="L66" s="54">
        <f t="shared" si="38"/>
        <v>222884.23402858683</v>
      </c>
      <c r="M66" s="54">
        <f t="shared" si="38"/>
        <v>460881.80917982414</v>
      </c>
      <c r="N66" s="54">
        <f t="shared" si="38"/>
        <v>331601.05483652954</v>
      </c>
      <c r="O66" s="54">
        <f t="shared" si="38"/>
        <v>648100.8739782687</v>
      </c>
      <c r="P66" s="54">
        <f>P33-P40-P45-P61</f>
        <v>-286144.20901212736</v>
      </c>
      <c r="Q66" s="54">
        <f t="shared" ref="Q66:BL66" si="39">Q33-Q63</f>
        <v>-16535.90000000014</v>
      </c>
      <c r="R66" s="54">
        <f t="shared" si="39"/>
        <v>346090.8600000001</v>
      </c>
      <c r="S66" s="54">
        <f>S33-S63</f>
        <v>348657.98999999987</v>
      </c>
      <c r="T66" s="54">
        <f t="shared" si="39"/>
        <v>295627.42000000016</v>
      </c>
      <c r="U66" s="54">
        <f t="shared" si="39"/>
        <v>242266.86000000034</v>
      </c>
      <c r="V66" s="54">
        <f t="shared" si="39"/>
        <v>-72510.839999999851</v>
      </c>
      <c r="W66" s="54">
        <f t="shared" si="39"/>
        <v>-466996.57999999961</v>
      </c>
      <c r="X66" s="54">
        <f t="shared" si="39"/>
        <v>-328381.75999999978</v>
      </c>
      <c r="Y66" s="54">
        <f t="shared" si="39"/>
        <v>235.5</v>
      </c>
      <c r="Z66" s="54">
        <f t="shared" si="39"/>
        <v>62507.930000000168</v>
      </c>
      <c r="AA66" s="581">
        <f t="shared" ref="AA66:AB66" si="40">AA33-AA63</f>
        <v>-98340.850000000093</v>
      </c>
      <c r="AB66" s="581">
        <f t="shared" si="40"/>
        <v>207065.2899999998</v>
      </c>
      <c r="AC66" s="54">
        <f t="shared" si="39"/>
        <v>194255.81658241467</v>
      </c>
      <c r="AD66" s="54">
        <f t="shared" si="39"/>
        <v>205790.67995348456</v>
      </c>
      <c r="AE66" s="54">
        <f t="shared" si="39"/>
        <v>-92240.073506277287</v>
      </c>
      <c r="AF66" s="54">
        <f t="shared" si="39"/>
        <v>-188449.06485661003</v>
      </c>
      <c r="AG66" s="54">
        <f t="shared" si="39"/>
        <v>36535.204451655969</v>
      </c>
      <c r="AH66" s="54">
        <f t="shared" si="39"/>
        <v>143351.04783948511</v>
      </c>
      <c r="AI66" s="54">
        <f t="shared" si="39"/>
        <v>15932.867257067468</v>
      </c>
      <c r="AJ66" s="54">
        <f t="shared" si="39"/>
        <v>345412.09295453294</v>
      </c>
      <c r="AK66" s="54">
        <f t="shared" si="39"/>
        <v>615734.77379610878</v>
      </c>
      <c r="AL66" s="54">
        <f t="shared" si="39"/>
        <v>613756.53353917459</v>
      </c>
      <c r="AM66" s="54">
        <f t="shared" si="39"/>
        <v>685880.32216411061</v>
      </c>
      <c r="AN66" s="54">
        <f t="shared" si="39"/>
        <v>-781914.63892262871</v>
      </c>
      <c r="AO66" s="54">
        <f t="shared" si="39"/>
        <v>1059817.3631541992</v>
      </c>
      <c r="AP66" s="54">
        <f t="shared" si="39"/>
        <v>1104447.5107750534</v>
      </c>
      <c r="AQ66" s="54">
        <f t="shared" si="39"/>
        <v>1237301.0030134548</v>
      </c>
      <c r="AR66" s="54">
        <f t="shared" si="39"/>
        <v>1360739.5003951485</v>
      </c>
      <c r="AS66" s="54">
        <f t="shared" si="39"/>
        <v>1484422.9706778906</v>
      </c>
      <c r="AT66" s="54">
        <f t="shared" si="39"/>
        <v>1599536.8322438207</v>
      </c>
      <c r="AU66" s="54">
        <f t="shared" si="39"/>
        <v>1719763.487379818</v>
      </c>
      <c r="AV66" s="54">
        <f t="shared" si="39"/>
        <v>1847803.0337349821</v>
      </c>
      <c r="AW66" s="54">
        <f t="shared" si="39"/>
        <v>1965706.0203466439</v>
      </c>
      <c r="AX66" s="54">
        <f t="shared" si="39"/>
        <v>2082592.9908171766</v>
      </c>
      <c r="AY66" s="54">
        <f t="shared" si="39"/>
        <v>2206960.7325526271</v>
      </c>
      <c r="AZ66" s="54">
        <f t="shared" si="39"/>
        <v>728028.71790955076</v>
      </c>
      <c r="BA66" s="54">
        <f t="shared" si="39"/>
        <v>-1666376.3234619184</v>
      </c>
      <c r="BB66" s="54">
        <f t="shared" si="39"/>
        <v>-1690005.1888488445</v>
      </c>
      <c r="BC66" s="54">
        <f t="shared" si="39"/>
        <v>-1502504.0973542307</v>
      </c>
      <c r="BD66" s="54">
        <f t="shared" si="39"/>
        <v>-1502320.4537227128</v>
      </c>
      <c r="BE66" s="54">
        <f t="shared" si="39"/>
        <v>-1502053.5917077835</v>
      </c>
      <c r="BF66" s="54">
        <f t="shared" si="39"/>
        <v>-1479449.3132498281</v>
      </c>
      <c r="BG66" s="54">
        <f t="shared" si="39"/>
        <v>-1479224.375358209</v>
      </c>
      <c r="BH66" s="54">
        <f t="shared" si="39"/>
        <v>-1479125.4291721852</v>
      </c>
      <c r="BI66" s="54">
        <f t="shared" si="39"/>
        <v>-1479693.919277858</v>
      </c>
      <c r="BJ66" s="54">
        <f t="shared" si="39"/>
        <v>-1480034.1113872754</v>
      </c>
      <c r="BK66" s="54">
        <f t="shared" si="39"/>
        <v>-1480251.1705901322</v>
      </c>
      <c r="BL66" s="54">
        <f t="shared" si="39"/>
        <v>-3116088.3588477578</v>
      </c>
      <c r="BM66" s="581">
        <f t="shared" ref="BM66:BX66" si="41">BM33-BM63</f>
        <v>-1084211.8871213784</v>
      </c>
      <c r="BN66" s="581">
        <f t="shared" si="41"/>
        <v>-1101242.3174032508</v>
      </c>
      <c r="BO66" s="581">
        <f t="shared" si="41"/>
        <v>-1101475.4597750702</v>
      </c>
      <c r="BP66" s="581">
        <f t="shared" si="41"/>
        <v>-1101684.3386176291</v>
      </c>
      <c r="BQ66" s="581">
        <f t="shared" si="41"/>
        <v>-1101926.410470115</v>
      </c>
      <c r="BR66" s="581">
        <f t="shared" si="41"/>
        <v>-1102211.3893531007</v>
      </c>
      <c r="BS66" s="581">
        <f t="shared" si="41"/>
        <v>-1102516.6244674549</v>
      </c>
      <c r="BT66" s="581">
        <f t="shared" si="41"/>
        <v>-1102866.5214145742</v>
      </c>
      <c r="BU66" s="581">
        <f t="shared" si="41"/>
        <v>-1103254.3083195039</v>
      </c>
      <c r="BV66" s="581">
        <f t="shared" si="41"/>
        <v>-1103627.5035709322</v>
      </c>
      <c r="BW66" s="581">
        <f t="shared" si="41"/>
        <v>-1104003.9027403344</v>
      </c>
      <c r="BX66" s="581">
        <f t="shared" si="41"/>
        <v>-2781153.1953199529</v>
      </c>
    </row>
    <row r="67" spans="1:76" s="16" customFormat="1" x14ac:dyDescent="0.35">
      <c r="B67" s="5"/>
      <c r="C67" s="129"/>
      <c r="D67" s="85"/>
      <c r="E67" s="85"/>
      <c r="F67" s="85"/>
      <c r="G67" s="85"/>
      <c r="H67" s="85"/>
      <c r="I67" s="85"/>
      <c r="J67" s="85"/>
      <c r="K67" s="85"/>
      <c r="L67" s="85"/>
      <c r="M67" s="85"/>
      <c r="N67" s="85"/>
      <c r="O67" s="85"/>
      <c r="P67" s="85"/>
      <c r="Q67" s="85"/>
      <c r="R67" s="85"/>
      <c r="S67" s="85"/>
      <c r="T67" s="85"/>
      <c r="U67" s="85"/>
      <c r="V67" s="85"/>
      <c r="W67" s="85"/>
      <c r="X67" s="85"/>
      <c r="Y67" s="85"/>
      <c r="Z67" s="85"/>
      <c r="AA67" s="85"/>
      <c r="AB67" s="149"/>
      <c r="AC67" s="85"/>
      <c r="AD67" s="85"/>
      <c r="AE67" s="85"/>
      <c r="AF67" s="85"/>
      <c r="AG67" s="85"/>
      <c r="AH67" s="85"/>
      <c r="AI67" s="85"/>
      <c r="AJ67" s="85"/>
      <c r="AK67" s="85"/>
      <c r="AL67" s="85"/>
      <c r="AM67" s="85"/>
      <c r="AN67" s="85"/>
      <c r="AO67" s="85"/>
      <c r="AP67" s="85"/>
      <c r="AQ67" s="85"/>
      <c r="AR67" s="85"/>
      <c r="AS67" s="85"/>
      <c r="AT67" s="85"/>
      <c r="AU67" s="85"/>
      <c r="AV67" s="85"/>
      <c r="AW67" s="85"/>
      <c r="AX67" s="85"/>
      <c r="AY67" s="85"/>
      <c r="AZ67" s="85"/>
      <c r="BA67" s="85"/>
      <c r="BB67" s="85"/>
      <c r="BC67" s="85"/>
      <c r="BD67" s="85"/>
      <c r="BE67" s="85"/>
      <c r="BF67" s="85"/>
      <c r="BG67" s="85"/>
      <c r="BH67" s="85"/>
      <c r="BI67" s="85"/>
      <c r="BJ67" s="85"/>
      <c r="BK67" s="85"/>
      <c r="BL67" s="85"/>
      <c r="BM67" s="85"/>
      <c r="BN67" s="85"/>
      <c r="BO67" s="85"/>
      <c r="BP67" s="85"/>
      <c r="BQ67" s="85"/>
      <c r="BR67" s="85"/>
      <c r="BS67" s="85"/>
      <c r="BT67" s="85"/>
      <c r="BU67" s="85"/>
      <c r="BV67" s="85"/>
      <c r="BW67" s="85"/>
      <c r="BX67" s="85"/>
    </row>
    <row r="68" spans="1:76" s="16" customFormat="1" hidden="1" outlineLevel="1" x14ac:dyDescent="0.35">
      <c r="B68" s="5"/>
      <c r="C68" s="129"/>
      <c r="D68" s="85"/>
      <c r="E68" s="85"/>
      <c r="F68" s="85"/>
      <c r="G68" s="85"/>
      <c r="H68" s="85"/>
      <c r="I68" s="85"/>
      <c r="J68" s="85"/>
      <c r="K68" s="85"/>
      <c r="L68" s="85"/>
      <c r="M68" s="85"/>
      <c r="N68" s="85"/>
      <c r="O68" s="85"/>
      <c r="P68" s="85"/>
      <c r="Q68" s="85"/>
      <c r="R68" s="85"/>
      <c r="S68" s="85"/>
      <c r="T68" s="85"/>
      <c r="U68" s="85"/>
      <c r="V68" s="85"/>
      <c r="W68" s="85"/>
      <c r="X68" s="85"/>
      <c r="Y68" s="85"/>
      <c r="Z68" s="85"/>
      <c r="AA68" s="85"/>
      <c r="AB68" s="85"/>
      <c r="AC68" s="85"/>
      <c r="AD68" s="85"/>
      <c r="AE68" s="85"/>
      <c r="AF68" s="85"/>
      <c r="AG68" s="85"/>
      <c r="AH68" s="85"/>
      <c r="AI68" s="85"/>
      <c r="AJ68" s="85"/>
      <c r="AK68" s="85"/>
      <c r="AL68" s="85"/>
      <c r="AM68" s="85"/>
      <c r="AN68" s="85"/>
      <c r="AO68" s="85"/>
      <c r="AP68" s="85"/>
      <c r="AQ68" s="85"/>
      <c r="AR68" s="85"/>
      <c r="AS68" s="85"/>
      <c r="AT68" s="85"/>
      <c r="AU68" s="85"/>
      <c r="AV68" s="85"/>
      <c r="AW68" s="85"/>
      <c r="AX68" s="85"/>
      <c r="AY68" s="85"/>
      <c r="AZ68" s="85"/>
      <c r="BA68" s="85"/>
      <c r="BB68" s="85"/>
      <c r="BC68" s="85"/>
      <c r="BD68" s="85"/>
      <c r="BE68" s="85"/>
      <c r="BF68" s="85"/>
      <c r="BG68" s="85"/>
      <c r="BH68" s="85"/>
      <c r="BI68" s="85"/>
      <c r="BJ68" s="85"/>
      <c r="BK68" s="85"/>
      <c r="BL68" s="85"/>
      <c r="BM68" s="85"/>
      <c r="BN68" s="85"/>
      <c r="BO68" s="85"/>
      <c r="BP68" s="85"/>
      <c r="BQ68" s="85"/>
      <c r="BR68" s="85"/>
      <c r="BS68" s="85"/>
      <c r="BT68" s="85"/>
      <c r="BU68" s="85"/>
      <c r="BV68" s="85"/>
      <c r="BW68" s="85"/>
      <c r="BX68" s="85"/>
    </row>
    <row r="69" spans="1:76" s="16" customFormat="1" hidden="1" outlineLevel="1" x14ac:dyDescent="0.35">
      <c r="B69" s="5"/>
      <c r="C69" s="126" t="s">
        <v>147</v>
      </c>
      <c r="D69" s="127"/>
      <c r="E69" s="127">
        <f t="shared" ref="E69:AJ69" si="42">E66/E22</f>
        <v>0.50647028200666633</v>
      </c>
      <c r="F69" s="127">
        <f t="shared" si="42"/>
        <v>0.35461632451609609</v>
      </c>
      <c r="G69" s="127">
        <f t="shared" si="42"/>
        <v>0.40743224204537115</v>
      </c>
      <c r="H69" s="127">
        <f t="shared" si="42"/>
        <v>0.37671754959180687</v>
      </c>
      <c r="I69" s="127">
        <f t="shared" si="42"/>
        <v>0.24262696035160261</v>
      </c>
      <c r="J69" s="127">
        <f t="shared" si="42"/>
        <v>0.30680940077041491</v>
      </c>
      <c r="K69" s="127">
        <f t="shared" si="42"/>
        <v>0.12415199148949976</v>
      </c>
      <c r="L69" s="127">
        <f t="shared" si="42"/>
        <v>0.17983789865245819</v>
      </c>
      <c r="M69" s="127">
        <f t="shared" si="42"/>
        <v>0.38852839390140059</v>
      </c>
      <c r="N69" s="127">
        <f t="shared" si="42"/>
        <v>0.20978852009327756</v>
      </c>
      <c r="O69" s="127">
        <f t="shared" si="42"/>
        <v>0.3920105593744419</v>
      </c>
      <c r="P69" s="127">
        <f t="shared" si="42"/>
        <v>-0.24544190890541875</v>
      </c>
      <c r="Q69" s="127">
        <f t="shared" si="42"/>
        <v>-1.5182032114250349E-2</v>
      </c>
      <c r="R69" s="127">
        <f t="shared" si="42"/>
        <v>0.26207102947020749</v>
      </c>
      <c r="S69" s="127">
        <f t="shared" si="42"/>
        <v>0.23970908612195668</v>
      </c>
      <c r="T69" s="127">
        <f t="shared" si="42"/>
        <v>0.19841854149427476</v>
      </c>
      <c r="U69" s="127">
        <f t="shared" si="42"/>
        <v>0.16563968321805089</v>
      </c>
      <c r="V69" s="127">
        <f t="shared" si="42"/>
        <v>-5.7250247740056541E-2</v>
      </c>
      <c r="W69" s="127">
        <f t="shared" si="42"/>
        <v>-0.3556323046658314</v>
      </c>
      <c r="X69" s="127">
        <f t="shared" si="42"/>
        <v>-0.2469943595885695</v>
      </c>
      <c r="Y69" s="127">
        <f t="shared" si="42"/>
        <v>1.5867145569236035E-4</v>
      </c>
      <c r="Z69" s="127">
        <f t="shared" si="42"/>
        <v>3.7164372780171318E-2</v>
      </c>
      <c r="AA69" s="127">
        <f t="shared" ref="AA69" si="43">AA66/AA22</f>
        <v>-7.0978252960828256E-2</v>
      </c>
      <c r="AB69" s="127">
        <f t="shared" si="42"/>
        <v>0.12985743759791765</v>
      </c>
      <c r="AC69" s="127">
        <f t="shared" si="42"/>
        <v>0.13468395479347209</v>
      </c>
      <c r="AD69" s="127">
        <f t="shared" si="42"/>
        <v>0.13393994736588258</v>
      </c>
      <c r="AE69" s="127">
        <f t="shared" si="42"/>
        <v>-5.8774329273664334E-2</v>
      </c>
      <c r="AF69" s="127">
        <f t="shared" si="42"/>
        <v>-0.11053716127382882</v>
      </c>
      <c r="AG69" s="127">
        <f t="shared" si="42"/>
        <v>1.9847627019074523E-2</v>
      </c>
      <c r="AH69" s="127">
        <f t="shared" si="42"/>
        <v>7.2844319429284141E-2</v>
      </c>
      <c r="AI69" s="127">
        <f t="shared" si="42"/>
        <v>8.2393853152265984E-3</v>
      </c>
      <c r="AJ69" s="127">
        <f t="shared" si="42"/>
        <v>0.1707900075926779</v>
      </c>
      <c r="AK69" s="127">
        <f t="shared" ref="AK69:BL69" si="44">AK66/AK22</f>
        <v>0.25974621206378473</v>
      </c>
      <c r="AL69" s="127">
        <f t="shared" si="44"/>
        <v>0.24439850016442344</v>
      </c>
      <c r="AM69" s="127">
        <f t="shared" si="44"/>
        <v>0.28233996274864587</v>
      </c>
      <c r="AN69" s="127">
        <f t="shared" si="44"/>
        <v>-0.3207879702614076</v>
      </c>
      <c r="AO69" s="127">
        <f t="shared" si="44"/>
        <v>0.3777816955448921</v>
      </c>
      <c r="AP69" s="127">
        <f t="shared" si="44"/>
        <v>0.37471655721002706</v>
      </c>
      <c r="AQ69" s="127">
        <f t="shared" si="44"/>
        <v>0.39970652371845194</v>
      </c>
      <c r="AR69" s="127">
        <f t="shared" si="44"/>
        <v>0.42030681390803359</v>
      </c>
      <c r="AS69" s="127">
        <f t="shared" si="44"/>
        <v>0.43997763093011344</v>
      </c>
      <c r="AT69" s="127">
        <f t="shared" si="44"/>
        <v>0.45586948904546359</v>
      </c>
      <c r="AU69" s="127">
        <f t="shared" si="44"/>
        <v>0.47197915592739453</v>
      </c>
      <c r="AV69" s="127">
        <f t="shared" si="44"/>
        <v>0.48877860105319415</v>
      </c>
      <c r="AW69" s="127">
        <f t="shared" si="44"/>
        <v>0.50161871114922785</v>
      </c>
      <c r="AX69" s="127">
        <f t="shared" si="44"/>
        <v>0.51371882654675682</v>
      </c>
      <c r="AY69" s="127">
        <f t="shared" si="44"/>
        <v>0.52682347783504824</v>
      </c>
      <c r="AZ69" s="127">
        <f t="shared" si="44"/>
        <v>0.16835315090382072</v>
      </c>
      <c r="BA69" s="127" t="e">
        <f t="shared" si="44"/>
        <v>#DIV/0!</v>
      </c>
      <c r="BB69" s="127" t="e">
        <f t="shared" si="44"/>
        <v>#DIV/0!</v>
      </c>
      <c r="BC69" s="127" t="e">
        <f t="shared" si="44"/>
        <v>#DIV/0!</v>
      </c>
      <c r="BD69" s="127" t="e">
        <f t="shared" si="44"/>
        <v>#DIV/0!</v>
      </c>
      <c r="BE69" s="127" t="e">
        <f t="shared" si="44"/>
        <v>#DIV/0!</v>
      </c>
      <c r="BF69" s="127" t="e">
        <f t="shared" si="44"/>
        <v>#DIV/0!</v>
      </c>
      <c r="BG69" s="127" t="e">
        <f t="shared" si="44"/>
        <v>#DIV/0!</v>
      </c>
      <c r="BH69" s="127" t="e">
        <f t="shared" si="44"/>
        <v>#DIV/0!</v>
      </c>
      <c r="BI69" s="127" t="e">
        <f t="shared" si="44"/>
        <v>#DIV/0!</v>
      </c>
      <c r="BJ69" s="127" t="e">
        <f t="shared" si="44"/>
        <v>#DIV/0!</v>
      </c>
      <c r="BK69" s="127" t="e">
        <f t="shared" si="44"/>
        <v>#DIV/0!</v>
      </c>
      <c r="BL69" s="127" t="e">
        <f t="shared" si="44"/>
        <v>#DIV/0!</v>
      </c>
      <c r="BM69" s="127" t="e">
        <f t="shared" ref="BM69:BX69" si="45">BM66/BM22</f>
        <v>#DIV/0!</v>
      </c>
      <c r="BN69" s="127" t="e">
        <f t="shared" si="45"/>
        <v>#DIV/0!</v>
      </c>
      <c r="BO69" s="127" t="e">
        <f t="shared" si="45"/>
        <v>#DIV/0!</v>
      </c>
      <c r="BP69" s="127" t="e">
        <f t="shared" si="45"/>
        <v>#DIV/0!</v>
      </c>
      <c r="BQ69" s="127" t="e">
        <f t="shared" si="45"/>
        <v>#DIV/0!</v>
      </c>
      <c r="BR69" s="127" t="e">
        <f t="shared" si="45"/>
        <v>#DIV/0!</v>
      </c>
      <c r="BS69" s="127" t="e">
        <f t="shared" si="45"/>
        <v>#DIV/0!</v>
      </c>
      <c r="BT69" s="127" t="e">
        <f t="shared" si="45"/>
        <v>#DIV/0!</v>
      </c>
      <c r="BU69" s="127" t="e">
        <f t="shared" si="45"/>
        <v>#DIV/0!</v>
      </c>
      <c r="BV69" s="127" t="e">
        <f t="shared" si="45"/>
        <v>#DIV/0!</v>
      </c>
      <c r="BW69" s="127" t="e">
        <f t="shared" si="45"/>
        <v>#DIV/0!</v>
      </c>
      <c r="BX69" s="127" t="e">
        <f t="shared" si="45"/>
        <v>#DIV/0!</v>
      </c>
    </row>
    <row r="70" spans="1:76" collapsed="1" x14ac:dyDescent="0.35">
      <c r="G70" s="173"/>
      <c r="J70" s="167"/>
      <c r="K70" s="167"/>
      <c r="AA70" s="574"/>
      <c r="BM70" s="574"/>
    </row>
    <row r="71" spans="1:76" s="16" customFormat="1" x14ac:dyDescent="0.35">
      <c r="C71" s="41" t="s">
        <v>139</v>
      </c>
      <c r="D71" s="308"/>
      <c r="E71" s="17">
        <f>'Cost Summary'!C42</f>
        <v>0</v>
      </c>
      <c r="F71" s="17">
        <f>'Cost Summary'!D42</f>
        <v>0</v>
      </c>
      <c r="G71" s="175">
        <f>'Cost Summary'!E42</f>
        <v>0</v>
      </c>
      <c r="H71" s="17">
        <f>'Cost Summary'!F42</f>
        <v>0</v>
      </c>
      <c r="I71" s="17">
        <f>'Cost Summary'!G42</f>
        <v>0</v>
      </c>
      <c r="J71" s="17">
        <f>'Cost Summary'!H42</f>
        <v>0</v>
      </c>
      <c r="K71" s="17">
        <f>'Cost Summary'!I42</f>
        <v>0</v>
      </c>
      <c r="L71" s="17">
        <f>'Cost Summary'!J42</f>
        <v>0</v>
      </c>
      <c r="M71" s="17">
        <f>'Cost Summary'!K42</f>
        <v>0</v>
      </c>
      <c r="N71" s="17">
        <f>'Cost Summary'!L42</f>
        <v>0</v>
      </c>
      <c r="O71" s="17">
        <f>'Cost Summary'!M42</f>
        <v>0</v>
      </c>
      <c r="P71" s="17">
        <f>'Cost Summary'!N42</f>
        <v>0</v>
      </c>
      <c r="Q71" s="17">
        <f>'Cost Summary'!O42</f>
        <v>0</v>
      </c>
      <c r="R71" s="17">
        <f>'Cost Summary'!P42</f>
        <v>0</v>
      </c>
      <c r="S71" s="17">
        <f>'Cost Summary'!Q42</f>
        <v>0</v>
      </c>
      <c r="T71" s="17">
        <f>'Cost Summary'!R42</f>
        <v>0</v>
      </c>
      <c r="U71" s="17">
        <f>'Cost Summary'!S42</f>
        <v>0</v>
      </c>
      <c r="V71" s="17">
        <f>'Cost Summary'!T42</f>
        <v>0</v>
      </c>
      <c r="W71" s="17">
        <f>'Cost Summary'!U42</f>
        <v>0</v>
      </c>
      <c r="X71" s="17">
        <f>'Cost Summary'!V42</f>
        <v>0</v>
      </c>
      <c r="Y71" s="17">
        <f>'Cost Summary'!W42</f>
        <v>0</v>
      </c>
      <c r="Z71" s="17">
        <f>'Cost Summary'!X42</f>
        <v>0</v>
      </c>
      <c r="AA71" s="579">
        <f>'Cost Summary'!Y42</f>
        <v>0</v>
      </c>
      <c r="AB71" s="17">
        <f>'Cost Summary'!Z42</f>
        <v>0</v>
      </c>
      <c r="AC71" s="17">
        <f>'Cost Summary'!AA42</f>
        <v>0</v>
      </c>
      <c r="AD71" s="17">
        <f>'Cost Summary'!AB42</f>
        <v>0</v>
      </c>
      <c r="AE71" s="17">
        <f>'Cost Summary'!AC42</f>
        <v>0</v>
      </c>
      <c r="AF71" s="17">
        <f>'Cost Summary'!AD42</f>
        <v>0</v>
      </c>
      <c r="AG71" s="17">
        <f>'Cost Summary'!AE42</f>
        <v>0</v>
      </c>
      <c r="AH71" s="17">
        <f>'Cost Summary'!AF42</f>
        <v>0</v>
      </c>
      <c r="AI71" s="17">
        <f>'Cost Summary'!AG42</f>
        <v>0</v>
      </c>
      <c r="AJ71" s="17">
        <f>'Cost Summary'!AH42</f>
        <v>0</v>
      </c>
      <c r="AK71" s="17">
        <f>'Cost Summary'!AI42</f>
        <v>0</v>
      </c>
      <c r="AL71" s="17">
        <f>'Cost Summary'!AJ42</f>
        <v>0</v>
      </c>
      <c r="AM71" s="17">
        <f>'Cost Summary'!AK42</f>
        <v>0</v>
      </c>
      <c r="AN71" s="17">
        <f>'Cost Summary'!AL42</f>
        <v>0</v>
      </c>
      <c r="AO71" s="17">
        <f>'Cost Summary'!AM42</f>
        <v>0</v>
      </c>
      <c r="AP71" s="17">
        <f>'Cost Summary'!AN42</f>
        <v>0</v>
      </c>
      <c r="AQ71" s="17">
        <f>'Cost Summary'!AO42</f>
        <v>0</v>
      </c>
      <c r="AR71" s="17">
        <f>'Cost Summary'!AP42</f>
        <v>0</v>
      </c>
      <c r="AS71" s="17">
        <f>'Cost Summary'!AQ42</f>
        <v>0</v>
      </c>
      <c r="AT71" s="17">
        <f>'Cost Summary'!AR42</f>
        <v>0</v>
      </c>
      <c r="AU71" s="17">
        <f>'Cost Summary'!AS42</f>
        <v>0</v>
      </c>
      <c r="AV71" s="17">
        <f>'Cost Summary'!AT42</f>
        <v>0</v>
      </c>
      <c r="AW71" s="17">
        <f>'Cost Summary'!AU42</f>
        <v>0</v>
      </c>
      <c r="AX71" s="17">
        <f>'Cost Summary'!AV42</f>
        <v>0</v>
      </c>
      <c r="AY71" s="17">
        <f>'Cost Summary'!AW42</f>
        <v>0</v>
      </c>
      <c r="AZ71" s="17">
        <f>'Cost Summary'!AX42</f>
        <v>0</v>
      </c>
      <c r="BA71" s="17">
        <f>'Cost Summary'!AY42</f>
        <v>0</v>
      </c>
      <c r="BB71" s="17">
        <f>'Cost Summary'!AZ42</f>
        <v>0</v>
      </c>
      <c r="BC71" s="17">
        <f>'Cost Summary'!BA42</f>
        <v>0</v>
      </c>
      <c r="BD71" s="17">
        <f>'Cost Summary'!BB42</f>
        <v>0</v>
      </c>
      <c r="BE71" s="17">
        <f>'Cost Summary'!BC42</f>
        <v>0</v>
      </c>
      <c r="BF71" s="17">
        <f>'Cost Summary'!BD42</f>
        <v>0</v>
      </c>
      <c r="BG71" s="17">
        <f>'Cost Summary'!BE42</f>
        <v>0</v>
      </c>
      <c r="BH71" s="17">
        <f>'Cost Summary'!BF42</f>
        <v>0</v>
      </c>
      <c r="BI71" s="17">
        <f>'Cost Summary'!BG42</f>
        <v>0</v>
      </c>
      <c r="BJ71" s="17">
        <f>'Cost Summary'!BH42</f>
        <v>0</v>
      </c>
      <c r="BK71" s="17">
        <f>'Cost Summary'!BI42</f>
        <v>0</v>
      </c>
      <c r="BL71" s="17">
        <f>'Cost Summary'!BJ42</f>
        <v>0</v>
      </c>
      <c r="BM71" s="579">
        <f>'Cost Summary'!BK42</f>
        <v>0</v>
      </c>
      <c r="BN71" s="579">
        <f>'Cost Summary'!BL42</f>
        <v>0</v>
      </c>
      <c r="BO71" s="579">
        <f>'Cost Summary'!BM42</f>
        <v>0</v>
      </c>
      <c r="BP71" s="579">
        <f>'Cost Summary'!BN42</f>
        <v>0</v>
      </c>
      <c r="BQ71" s="579">
        <f>'Cost Summary'!BO42</f>
        <v>0</v>
      </c>
      <c r="BR71" s="579">
        <f>'Cost Summary'!BP42</f>
        <v>0</v>
      </c>
      <c r="BS71" s="579">
        <f>'Cost Summary'!BQ42</f>
        <v>0</v>
      </c>
      <c r="BT71" s="579">
        <f>'Cost Summary'!BR42</f>
        <v>0</v>
      </c>
      <c r="BU71" s="579">
        <f>'Cost Summary'!BS42</f>
        <v>0</v>
      </c>
      <c r="BV71" s="579">
        <f>'Cost Summary'!BT42</f>
        <v>0</v>
      </c>
      <c r="BW71" s="579">
        <f>'Cost Summary'!BU42</f>
        <v>0</v>
      </c>
      <c r="BX71" s="579">
        <f>'Cost Summary'!BV42</f>
        <v>0</v>
      </c>
    </row>
    <row r="72" spans="1:76" s="16" customFormat="1" x14ac:dyDescent="0.35">
      <c r="C72" s="41" t="s">
        <v>140</v>
      </c>
      <c r="D72" s="308"/>
      <c r="E72" s="579">
        <f>IF(E4="actual",('BS - CF Actuals'!I59-'BS - CF Actuals'!J59)-('BS - CF Actuals'!J70-'BS - CF Actuals'!I70),'CAPEX &amp; Depr '!C19+'CAPEX &amp; Depr '!C45)</f>
        <v>12909.999999999971</v>
      </c>
      <c r="F72" s="579">
        <f>IF(F4="actual",('BS - CF Actuals'!J59-'BS - CF Actuals'!K59)-('BS - CF Actuals'!K70-'BS - CF Actuals'!J70),'CAPEX &amp; Depr '!D19+'CAPEX &amp; Depr '!D45)</f>
        <v>12910</v>
      </c>
      <c r="G72" s="579">
        <f>IF(G4="actual",('BS - CF Actuals'!K59-'BS - CF Actuals'!L59)-('BS - CF Actuals'!L70-'BS - CF Actuals'!K70),'CAPEX &amp; Depr '!E19+'CAPEX &amp; Depr '!E45)</f>
        <v>12910</v>
      </c>
      <c r="H72" s="579">
        <f>IF(H4="actual",('BS - CF Actuals'!L59-'BS - CF Actuals'!M59)-('BS - CF Actuals'!M70-'BS - CF Actuals'!L70),'CAPEX &amp; Depr '!F19+'CAPEX &amp; Depr '!F45)</f>
        <v>12910</v>
      </c>
      <c r="I72" s="579">
        <f>IF(I4="actual",('BS - CF Actuals'!M59-'BS - CF Actuals'!N59)-('BS - CF Actuals'!N70-'BS - CF Actuals'!M70),'CAPEX &amp; Depr '!G19+'CAPEX &amp; Depr '!G45)</f>
        <v>12910</v>
      </c>
      <c r="J72" s="579">
        <f>IF(J4="actual",('BS - CF Actuals'!N59-'BS - CF Actuals'!O59)-('BS - CF Actuals'!O70-'BS - CF Actuals'!N70),'CAPEX &amp; Depr '!H19+'CAPEX &amp; Depr '!H45)</f>
        <v>12910</v>
      </c>
      <c r="K72" s="579">
        <f>IF(K4="actual",('BS - CF Actuals'!O59-'BS - CF Actuals'!P59)-('BS - CF Actuals'!P70-'BS - CF Actuals'!O70),'CAPEX &amp; Depr '!I19+'CAPEX &amp; Depr '!I45)</f>
        <v>12910</v>
      </c>
      <c r="L72" s="579">
        <f>IF(L4="actual",('BS - CF Actuals'!P59-'BS - CF Actuals'!Q59)-('BS - CF Actuals'!Q70-'BS - CF Actuals'!P70),'CAPEX &amp; Depr '!J19+'CAPEX &amp; Depr '!J45)</f>
        <v>12910</v>
      </c>
      <c r="M72" s="579">
        <f>IF(M4="actual",('BS - CF Actuals'!Q59-'BS - CF Actuals'!R59)-('BS - CF Actuals'!R70-'BS - CF Actuals'!Q70),'CAPEX &amp; Depr '!K19+'CAPEX &amp; Depr '!K45)</f>
        <v>12910</v>
      </c>
      <c r="N72" s="579">
        <f>IF(N4="actual",('BS - CF Actuals'!R59-'BS - CF Actuals'!S59)-('BS - CF Actuals'!S70-'BS - CF Actuals'!R70),'CAPEX &amp; Depr '!L19+'CAPEX &amp; Depr '!L45)</f>
        <v>12910</v>
      </c>
      <c r="O72" s="579">
        <f>IF(O4="actual",('BS - CF Actuals'!S59-'BS - CF Actuals'!T59)-('BS - CF Actuals'!T70-'BS - CF Actuals'!S70),'CAPEX &amp; Depr '!M19+'CAPEX &amp; Depr '!M45)</f>
        <v>12910</v>
      </c>
      <c r="P72" s="579">
        <f>IF(P4="actual",('BS - CF Actuals'!T59-'BS - CF Actuals'!U59)-('BS - CF Actuals'!U70-'BS - CF Actuals'!T70),'CAPEX &amp; Depr '!N19+'CAPEX &amp; Depr '!N45)</f>
        <v>-630921.57999999996</v>
      </c>
      <c r="Q72" s="579">
        <f>IF(Q4="actual",('BS - CF Actuals'!U59-'BS - CF Actuals'!V59)-('BS - CF Actuals'!V70-'BS - CF Actuals'!U70),'CAPEX &amp; Depr '!O19+'CAPEX &amp; Depr '!O45)</f>
        <v>246487.33000000005</v>
      </c>
      <c r="R72" s="579">
        <f>IF(R4="actual",('BS - CF Actuals'!V59-'BS - CF Actuals'!W59)-('BS - CF Actuals'!W70-'BS - CF Actuals'!V70),'CAPEX &amp; Depr '!P19+'CAPEX &amp; Depr '!P45)</f>
        <v>247289.5</v>
      </c>
      <c r="S72" s="579">
        <f>IF(S4="actual",('BS - CF Actuals'!W59-'BS - CF Actuals'!X59)-('BS - CF Actuals'!X70-'BS - CF Actuals'!W70),'CAPEX &amp; Depr '!Q19+'CAPEX &amp; Depr '!Q45)</f>
        <v>247721.76</v>
      </c>
      <c r="T72" s="579">
        <f>IF(T4="actual",('BS - CF Actuals'!X59-'BS - CF Actuals'!Y59)-('BS - CF Actuals'!Y70-'BS - CF Actuals'!X70),'CAPEX &amp; Depr '!R19+'CAPEX &amp; Depr '!R45)</f>
        <v>248057</v>
      </c>
      <c r="U72" s="579">
        <f>IF(U4="actual",('BS - CF Actuals'!Y59-'BS - CF Actuals'!Z59)-('BS - CF Actuals'!Z70-'BS - CF Actuals'!Y70),'CAPEX &amp; Depr '!S19+'CAPEX &amp; Depr '!S45)</f>
        <v>248220.49999999994</v>
      </c>
      <c r="V72" s="579">
        <f>IF(V4="actual",('BS - CF Actuals'!Z59-'BS - CF Actuals'!AA59)-('BS - CF Actuals'!AA70-'BS - CF Actuals'!Z70),'CAPEX &amp; Depr '!T19+'CAPEX &amp; Depr '!T45)</f>
        <v>248303.5</v>
      </c>
      <c r="W72" s="579">
        <f>IF(W4="actual",('BS - CF Actuals'!AA59-'BS - CF Actuals'!AB59)-('BS - CF Actuals'!AB70-'BS - CF Actuals'!AA70),'CAPEX &amp; Depr '!U19+'CAPEX &amp; Depr '!U45)</f>
        <v>248354.16999999998</v>
      </c>
      <c r="X72" s="579">
        <f>IF(X4="actual",('BS - CF Actuals'!AB59-'BS - CF Actuals'!AC59)-('BS - CF Actuals'!AC70-'BS - CF Actuals'!AB70),'CAPEX &amp; Depr '!V19+'CAPEX &amp; Depr '!V45)</f>
        <v>248475.74000000005</v>
      </c>
      <c r="Y72" s="579">
        <f>IF(Y4="actual",('BS - CF Actuals'!AC59-'BS - CF Actuals'!AD59)-('BS - CF Actuals'!AD70-'BS - CF Actuals'!AC70),'CAPEX &amp; Depr '!W19+'CAPEX &amp; Depr '!W45)</f>
        <v>248544.33000000002</v>
      </c>
      <c r="Z72" s="579">
        <f>IF(Z4="actual",('BS - CF Actuals'!AD59-'BS - CF Actuals'!AE59)-('BS - CF Actuals'!AE70-'BS - CF Actuals'!AD70),'CAPEX &amp; Depr '!X19+'CAPEX &amp; Depr '!X45)</f>
        <v>248784.32999999996</v>
      </c>
      <c r="AA72" s="579">
        <f>IF(AA4="actual",('BS - CF Actuals'!AE59-'BS - CF Actuals'!AF59)-('BS - CF Actuals'!AF70-'BS - CF Actuals'!AE70),'CAPEX &amp; Depr '!Y19+'CAPEX &amp; Depr '!Y45)</f>
        <v>248884.25</v>
      </c>
      <c r="AB72" s="579">
        <f>IF(AB4="actual",('BS - CF Actuals'!AF59-'BS - CF Actuals'!AG59)-('BS - CF Actuals'!AG70-'BS - CF Actuals'!AF70),'CAPEX &amp; Depr '!Z19+'CAPEX &amp; Depr '!Z45)</f>
        <v>248884.25000000006</v>
      </c>
      <c r="AC72" s="579">
        <f>IF(AC4="actual",('BS - CF Actuals'!AG59-'BS - CF Actuals'!AH59)-('BS - CF Actuals'!AH70-'BS - CF Actuals'!AG70),'CAPEX &amp; Depr '!AA19+'CAPEX &amp; Depr '!AA45)</f>
        <v>249197.190004</v>
      </c>
      <c r="AD72" s="579">
        <f>IF(AD4="actual",('BS - CF Actuals'!AH59-'BS - CF Actuals'!AI59)-('BS - CF Actuals'!AI70-'BS - CF Actuals'!AH70),'CAPEX &amp; Depr '!AB19+'CAPEX &amp; Depr '!AB45)</f>
        <v>249492.67537409198</v>
      </c>
      <c r="AE72" s="579">
        <f>IF(AE4="actual",('BS - CF Actuals'!AI59-'BS - CF Actuals'!AJ59)-('BS - CF Actuals'!AJ70-'BS - CF Actuals'!AI70),'CAPEX &amp; Depr '!AC19+'CAPEX &amp; Depr '!AC45)</f>
        <v>249794.95690769612</v>
      </c>
      <c r="AF72" s="579">
        <f>IF(AF4="actual",('BS - CF Actuals'!AJ59-'BS - CF Actuals'!AK59)-('BS - CF Actuals'!AK70-'BS - CF Actuals'!AJ70),'CAPEX &amp; Depr '!AD19+'CAPEX &amp; Depr '!AD45)</f>
        <v>250104.1909165731</v>
      </c>
      <c r="AG72" s="579">
        <f>IF(AG4="actual",('BS - CF Actuals'!AK59-'BS - CF Actuals'!AL59)-('BS - CF Actuals'!AL70-'BS - CF Actuals'!AK70),'CAPEX &amp; Depr '!AE19+'CAPEX &amp; Depr '!AE45)</f>
        <v>250420.5373076543</v>
      </c>
      <c r="AH72" s="579">
        <f>IF(AH4="actual",('BS - CF Actuals'!AL59-'BS - CF Actuals'!AM59)-('BS - CF Actuals'!AM70-'BS - CF Actuals'!AL70),'CAPEX &amp; Depr '!AF19+'CAPEX &amp; Depr '!AF45)</f>
        <v>250744.15966573035</v>
      </c>
      <c r="AI72" s="579">
        <f>IF(AI4="actual",('BS - CF Actuals'!AM59-'BS - CF Actuals'!AN59)-('BS - CF Actuals'!AN70-'BS - CF Actuals'!AM70),'CAPEX &amp; Depr '!AG19+'CAPEX &amp; Depr '!AG45)</f>
        <v>251075.22533804213</v>
      </c>
      <c r="AJ72" s="579">
        <f>IF(AJ4="actual",('BS - CF Actuals'!AN59-'BS - CF Actuals'!AO59)-('BS - CF Actuals'!AO70-'BS - CF Actuals'!AN70),'CAPEX &amp; Depr '!AH19+'CAPEX &amp; Depr '!AH45)</f>
        <v>251413.90552081712</v>
      </c>
      <c r="AK72" s="579">
        <f>IF(AK4="actual",('BS - CF Actuals'!AO59-'BS - CF Actuals'!AP59)-('BS - CF Actuals'!AP70-'BS - CF Actuals'!AO70),'CAPEX &amp; Depr '!AI19+'CAPEX &amp; Depr '!AI45)</f>
        <v>251760.3753477959</v>
      </c>
      <c r="AL72" s="579">
        <f>IF(AL4="actual",('BS - CF Actuals'!AP59-'BS - CF Actuals'!AQ59)-('BS - CF Actuals'!AQ70-'BS - CF Actuals'!AP70),'CAPEX &amp; Depr '!AJ19+'CAPEX &amp; Depr '!AJ45)</f>
        <v>252114.81398079521</v>
      </c>
      <c r="AM72" s="579">
        <f>IF(AM4="actual",('BS - CF Actuals'!AQ59-'BS - CF Actuals'!AR59)-('BS - CF Actuals'!AR70-'BS - CF Actuals'!AQ70),'CAPEX &amp; Depr '!AK19+'CAPEX &amp; Depr '!AK45)</f>
        <v>252477.40470235349</v>
      </c>
      <c r="AN72" s="579">
        <f>IF(AN4="actual",('BS - CF Actuals'!AR59-'BS - CF Actuals'!AS59)-('BS - CF Actuals'!AS70-'BS - CF Actuals'!AR70),'CAPEX &amp; Depr '!AL19+'CAPEX &amp; Depr '!AL45)</f>
        <v>252848.33501050761</v>
      </c>
      <c r="AO72" s="579">
        <f>IF(AO4="actual",('BS - CF Actuals'!AS59-'BS - CF Actuals'!AT59)-('BS - CF Actuals'!AT70-'BS - CF Actuals'!AS70),'CAPEX &amp; Depr '!AM19+'CAPEX &amp; Depr '!AM45)</f>
        <v>253227.79671574931</v>
      </c>
      <c r="AP72" s="579">
        <f>IF(AP4="actual",('BS - CF Actuals'!AT59-'BS - CF Actuals'!AU59)-('BS - CF Actuals'!AU70-'BS - CF Actuals'!AT70),'CAPEX &amp; Depr '!AN19+'CAPEX &amp; Depr '!AN45)</f>
        <v>253615.98604021152</v>
      </c>
      <c r="AQ72" s="579">
        <f>IF(AQ4="actual",('BS - CF Actuals'!AU59-'BS - CF Actuals'!AV59)-('BS - CF Actuals'!AV70-'BS - CF Actuals'!AU70),'CAPEX &amp; Depr '!AO19+'CAPEX &amp; Depr '!AO45)</f>
        <v>254013.10371913639</v>
      </c>
      <c r="AR72" s="579">
        <f>IF(AR4="actual",('BS - CF Actuals'!AV59-'BS - CF Actuals'!AW59)-('BS - CF Actuals'!AW70-'BS - CF Actuals'!AV70),'CAPEX &amp; Depr '!AP19+'CAPEX &amp; Depr '!AP45)</f>
        <v>254419.35510467654</v>
      </c>
      <c r="AS72" s="579">
        <f>IF(AS4="actual",('BS - CF Actuals'!AW59-'BS - CF Actuals'!AX59)-('BS - CF Actuals'!AX70-'BS - CF Actuals'!AW70),'CAPEX &amp; Depr '!AQ19+'CAPEX &amp; Depr '!AQ45)</f>
        <v>254834.9502720841</v>
      </c>
      <c r="AT72" s="579">
        <f>IF(AT4="actual",('BS - CF Actuals'!AX59-'BS - CF Actuals'!AY59)-('BS - CF Actuals'!AY70-'BS - CF Actuals'!AX70),'CAPEX &amp; Depr '!AR19+'CAPEX &amp; Depr '!AR45)</f>
        <v>255260.10412834201</v>
      </c>
      <c r="AU72" s="579">
        <f>IF(AU4="actual",('BS - CF Actuals'!AY59-'BS - CF Actuals'!AZ59)-('BS - CF Actuals'!AZ70-'BS - CF Actuals'!AY70),'CAPEX &amp; Depr '!AS19+'CAPEX &amp; Depr '!AS45)</f>
        <v>255695.03652329388</v>
      </c>
      <c r="AV72" s="579">
        <f>IF(AV4="actual",('BS - CF Actuals'!AZ59-'BS - CF Actuals'!BA59)-('BS - CF Actuals'!BA70-'BS - CF Actuals'!AZ70),'CAPEX &amp; Depr '!AT19+'CAPEX &amp; Depr '!AT45)</f>
        <v>256139.97236332964</v>
      </c>
      <c r="AW72" s="579">
        <f>IF(AW4="actual",('BS - CF Actuals'!BA59-'BS - CF Actuals'!BB59)-('BS - CF Actuals'!BB70-'BS - CF Actuals'!BA70),'CAPEX &amp; Depr '!AU19+'CAPEX &amp; Depr '!AU45)</f>
        <v>256595.14172768622</v>
      </c>
      <c r="AX72" s="579">
        <f>IF(AX4="actual",('BS - CF Actuals'!BB59-'BS - CF Actuals'!BC59)-('BS - CF Actuals'!BC70-'BS - CF Actuals'!BB70),'CAPEX &amp; Depr '!AV19+'CAPEX &amp; Depr '!AV45)</f>
        <v>257060.77998742301</v>
      </c>
      <c r="AY72" s="579">
        <f>IF(AY4="actual",('BS - CF Actuals'!BC59-'BS - CF Actuals'!BD59)-('BS - CF Actuals'!BD70-'BS - CF Actuals'!BC70),'CAPEX &amp; Depr '!AW19+'CAPEX &amp; Depr '!AW45)</f>
        <v>257537.12792713373</v>
      </c>
      <c r="AZ72" s="579">
        <f>IF(AZ4="actual",('BS - CF Actuals'!BD59-'BS - CF Actuals'!BE59)-('BS - CF Actuals'!BE70-'BS - CF Actuals'!BD70),'CAPEX &amp; Depr '!AX19+'CAPEX &amp; Depr '!AX45)</f>
        <v>258024.4318694578</v>
      </c>
      <c r="BA72" s="579">
        <f>IF(BA4="actual",('BS - CF Actuals'!BE59-'BS - CF Actuals'!BF59)-('BS - CF Actuals'!BF70-'BS - CF Actuals'!BE70),'CAPEX &amp; Depr '!AY19+'CAPEX &amp; Depr '!AY45)</f>
        <v>258522.94380245532</v>
      </c>
      <c r="BB72" s="579">
        <f>IF(BB4="actual",('BS - CF Actuals'!BF59-'BS - CF Actuals'!BG59)-('BS - CF Actuals'!BG70-'BS - CF Actuals'!BF70),'CAPEX &amp; Depr '!AZ19+'CAPEX &amp; Depr '!AZ45)</f>
        <v>236350</v>
      </c>
      <c r="BC72" s="579">
        <f>IF(BC4="actual",('BS - CF Actuals'!BG59-'BS - CF Actuals'!BH59)-('BS - CF Actuals'!BH70-'BS - CF Actuals'!BG70),'CAPEX &amp; Depr '!BA19+'CAPEX &amp; Depr '!BA45)</f>
        <v>236350</v>
      </c>
      <c r="BD72" s="579">
        <f>IF(BD4="actual",('BS - CF Actuals'!BH59-'BS - CF Actuals'!BI59)-('BS - CF Actuals'!BI70-'BS - CF Actuals'!BH70),'CAPEX &amp; Depr '!BB19+'CAPEX &amp; Depr '!BB45)</f>
        <v>236350</v>
      </c>
      <c r="BE72" s="579">
        <f>IF(BE4="actual",('BS - CF Actuals'!BI59-'BS - CF Actuals'!BJ59)-('BS - CF Actuals'!BJ70-'BS - CF Actuals'!BI70),'CAPEX &amp; Depr '!BC19+'CAPEX &amp; Depr '!BC45)</f>
        <v>236350</v>
      </c>
      <c r="BF72" s="579">
        <f>IF(BF4="actual",('BS - CF Actuals'!BJ59-'BS - CF Actuals'!BK59)-('BS - CF Actuals'!BK70-'BS - CF Actuals'!BJ70),'CAPEX &amp; Depr '!BD19+'CAPEX &amp; Depr '!BD45)</f>
        <v>236350</v>
      </c>
      <c r="BG72" s="579">
        <f>IF(BG4="actual",('BS - CF Actuals'!BK59-'BS - CF Actuals'!BL59)-('BS - CF Actuals'!BL70-'BS - CF Actuals'!BK70),'CAPEX &amp; Depr '!BE19+'CAPEX &amp; Depr '!BE45)</f>
        <v>236350</v>
      </c>
      <c r="BH72" s="579">
        <f>IF(BH4="actual",('BS - CF Actuals'!BL59-'BS - CF Actuals'!BM59)-('BS - CF Actuals'!BM70-'BS - CF Actuals'!BL70),'CAPEX &amp; Depr '!BF19+'CAPEX &amp; Depr '!BF45)</f>
        <v>236350</v>
      </c>
      <c r="BI72" s="579">
        <f>IF(BI4="actual",('BS - CF Actuals'!BM59-'BS - CF Actuals'!BN59)-('BS - CF Actuals'!BN70-'BS - CF Actuals'!BM70),'CAPEX &amp; Depr '!BG19+'CAPEX &amp; Depr '!BG45)</f>
        <v>236350</v>
      </c>
      <c r="BJ72" s="579">
        <f>IF(BJ4="actual",('BS - CF Actuals'!BN59-'BS - CF Actuals'!BO59)-('BS - CF Actuals'!BO70-'BS - CF Actuals'!BN70),'CAPEX &amp; Depr '!BH19+'CAPEX &amp; Depr '!BH45)</f>
        <v>236350</v>
      </c>
      <c r="BK72" s="579">
        <f>IF(BK4="actual",('BS - CF Actuals'!BO59-'BS - CF Actuals'!BP59)-('BS - CF Actuals'!BP70-'BS - CF Actuals'!BO70),'CAPEX &amp; Depr '!BI19+'CAPEX &amp; Depr '!BI45)</f>
        <v>236350</v>
      </c>
      <c r="BL72" s="579">
        <f>IF(BL4="actual",('BS - CF Actuals'!BP59-'BS - CF Actuals'!BQ59)-('BS - CF Actuals'!BQ70-'BS - CF Actuals'!BP70),'CAPEX &amp; Depr '!BJ19+'CAPEX &amp; Depr '!BJ45)</f>
        <v>236350</v>
      </c>
      <c r="BM72" s="579">
        <f>IF(BM4="actual",('BS - CF Actuals'!BQ59-'BS - CF Actuals'!BR59)-('BS - CF Actuals'!BR70-'BS - CF Actuals'!BQ70),'CAPEX &amp; Depr '!BK19+'CAPEX &amp; Depr '!BK45)</f>
        <v>236350</v>
      </c>
      <c r="BN72" s="579">
        <f>IF(BN4="actual",('BS - CF Actuals'!BR59-'BS - CF Actuals'!BS59)-('BS - CF Actuals'!BS70-'BS - CF Actuals'!BR70),'CAPEX &amp; Depr '!BL19+'CAPEX &amp; Depr '!BL45)</f>
        <v>236350</v>
      </c>
      <c r="BO72" s="579">
        <f>IF(BO4="actual",('BS - CF Actuals'!BS59-'BS - CF Actuals'!BT59)-('BS - CF Actuals'!BT70-'BS - CF Actuals'!BS70),'CAPEX &amp; Depr '!BM19+'CAPEX &amp; Depr '!BM45)</f>
        <v>236350</v>
      </c>
      <c r="BP72" s="579">
        <f>IF(BP4="actual",('BS - CF Actuals'!BT59-'BS - CF Actuals'!BU59)-('BS - CF Actuals'!BU70-'BS - CF Actuals'!BT70),'CAPEX &amp; Depr '!BN19+'CAPEX &amp; Depr '!BN45)</f>
        <v>236350</v>
      </c>
      <c r="BQ72" s="579">
        <f>IF(BQ4="actual",('BS - CF Actuals'!BU59-'BS - CF Actuals'!BV59)-('BS - CF Actuals'!BV70-'BS - CF Actuals'!BU70),'CAPEX &amp; Depr '!BO19+'CAPEX &amp; Depr '!BO45)</f>
        <v>236350</v>
      </c>
      <c r="BR72" s="579">
        <f>IF(BR4="actual",('BS - CF Actuals'!BV59-'BS - CF Actuals'!BW59)-('BS - CF Actuals'!BW70-'BS - CF Actuals'!BV70),'CAPEX &amp; Depr '!BP19+'CAPEX &amp; Depr '!BP45)</f>
        <v>236350</v>
      </c>
      <c r="BS72" s="579">
        <f>IF(BS4="actual",('BS - CF Actuals'!BW59-'BS - CF Actuals'!BX59)-('BS - CF Actuals'!BX70-'BS - CF Actuals'!BW70),'CAPEX &amp; Depr '!BQ19+'CAPEX &amp; Depr '!BQ45)</f>
        <v>236350</v>
      </c>
      <c r="BT72" s="579">
        <f>IF(BT4="actual",('BS - CF Actuals'!BX59-'BS - CF Actuals'!BY59)-('BS - CF Actuals'!BY70-'BS - CF Actuals'!BX70),'CAPEX &amp; Depr '!BR19+'CAPEX &amp; Depr '!BR45)</f>
        <v>236350</v>
      </c>
      <c r="BU72" s="579">
        <f>IF(BU4="actual",('BS - CF Actuals'!BY59-'BS - CF Actuals'!BZ59)-('BS - CF Actuals'!BZ70-'BS - CF Actuals'!BY70),'CAPEX &amp; Depr '!BS19+'CAPEX &amp; Depr '!BS45)</f>
        <v>236350</v>
      </c>
      <c r="BV72" s="579">
        <f>IF(BV4="actual",('BS - CF Actuals'!BZ59-'BS - CF Actuals'!CA59)-('BS - CF Actuals'!CA70-'BS - CF Actuals'!BZ70),'CAPEX &amp; Depr '!BT19+'CAPEX &amp; Depr '!BT45)</f>
        <v>236350</v>
      </c>
      <c r="BW72" s="579">
        <f>IF(BW4="actual",('BS - CF Actuals'!CA59-'BS - CF Actuals'!CB59)-('BS - CF Actuals'!CB70-'BS - CF Actuals'!CA70),'CAPEX &amp; Depr '!BU19+'CAPEX &amp; Depr '!BU45)</f>
        <v>236350</v>
      </c>
      <c r="BX72" s="579">
        <f>IF(BX4="actual",('BS - CF Actuals'!CB59-'BS - CF Actuals'!CC59)-('BS - CF Actuals'!CC70-'BS - CF Actuals'!CB70),'CAPEX &amp; Depr '!BV19+'CAPEX &amp; Depr '!BV45)</f>
        <v>236350</v>
      </c>
    </row>
    <row r="73" spans="1:76" x14ac:dyDescent="0.35">
      <c r="B73" s="28"/>
      <c r="G73" s="173"/>
      <c r="AA73" s="574"/>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c r="BG73" s="16"/>
      <c r="BH73" s="16"/>
      <c r="BI73" s="16"/>
      <c r="BJ73" s="16"/>
      <c r="BK73" s="16"/>
      <c r="BL73" s="16"/>
      <c r="BM73" s="574"/>
    </row>
    <row r="74" spans="1:76" s="16" customFormat="1" ht="15" thickBot="1" x14ac:dyDescent="0.4">
      <c r="B74" s="51" t="s">
        <v>141</v>
      </c>
      <c r="C74" s="52"/>
      <c r="D74" s="54"/>
      <c r="E74" s="54">
        <f>E66-E71-E72</f>
        <v>544784.24645420676</v>
      </c>
      <c r="F74" s="54">
        <f t="shared" ref="F74:AJ74" si="46">F66-F71-F72</f>
        <v>360338.82946172229</v>
      </c>
      <c r="G74" s="54">
        <f t="shared" si="46"/>
        <v>472298.85022781795</v>
      </c>
      <c r="H74" s="54">
        <f t="shared" si="46"/>
        <v>426151.43545537931</v>
      </c>
      <c r="I74" s="54">
        <f t="shared" si="46"/>
        <v>304428.10300880432</v>
      </c>
      <c r="J74" s="54">
        <f t="shared" si="46"/>
        <v>364124.1891700321</v>
      </c>
      <c r="K74" s="54">
        <f t="shared" si="46"/>
        <v>140082.95496848802</v>
      </c>
      <c r="L74" s="54">
        <f t="shared" si="46"/>
        <v>209974.23402858683</v>
      </c>
      <c r="M74" s="581">
        <f t="shared" si="46"/>
        <v>447971.80917982414</v>
      </c>
      <c r="N74" s="581">
        <f t="shared" si="46"/>
        <v>318691.05483652954</v>
      </c>
      <c r="O74" s="54">
        <f t="shared" si="46"/>
        <v>635190.8739782687</v>
      </c>
      <c r="P74" s="54">
        <f t="shared" si="46"/>
        <v>344777.37098787259</v>
      </c>
      <c r="Q74" s="54">
        <f t="shared" si="46"/>
        <v>-263023.23000000021</v>
      </c>
      <c r="R74" s="54">
        <f t="shared" si="46"/>
        <v>98801.360000000102</v>
      </c>
      <c r="S74" s="54">
        <f t="shared" si="46"/>
        <v>100936.22999999986</v>
      </c>
      <c r="T74" s="54">
        <f t="shared" si="46"/>
        <v>47570.420000000158</v>
      </c>
      <c r="U74" s="54">
        <f t="shared" si="46"/>
        <v>-5953.6399999996065</v>
      </c>
      <c r="V74" s="581">
        <f t="shared" si="46"/>
        <v>-320814.33999999985</v>
      </c>
      <c r="W74" s="54">
        <f t="shared" si="46"/>
        <v>-715350.74999999953</v>
      </c>
      <c r="X74" s="54">
        <f t="shared" si="46"/>
        <v>-576857.49999999977</v>
      </c>
      <c r="Y74" s="54">
        <f>Y66-Y71-Y72</f>
        <v>-248308.83000000002</v>
      </c>
      <c r="Z74" s="581">
        <f>Z66-Z71-Z72</f>
        <v>-186276.39999999979</v>
      </c>
      <c r="AA74" s="581">
        <f>AA66-AA71-AA72</f>
        <v>-347225.10000000009</v>
      </c>
      <c r="AB74" s="581">
        <f>AB66-AB71-AB72</f>
        <v>-41818.960000000254</v>
      </c>
      <c r="AC74" s="54">
        <f t="shared" si="46"/>
        <v>-54941.373421585333</v>
      </c>
      <c r="AD74" s="54">
        <f t="shared" si="46"/>
        <v>-43701.995420607418</v>
      </c>
      <c r="AE74" s="54">
        <f t="shared" si="46"/>
        <v>-342035.03041397338</v>
      </c>
      <c r="AF74" s="54">
        <f t="shared" si="46"/>
        <v>-438553.25577318313</v>
      </c>
      <c r="AG74" s="54">
        <f t="shared" si="46"/>
        <v>-213885.33285599833</v>
      </c>
      <c r="AH74" s="54">
        <f t="shared" si="46"/>
        <v>-107393.11182624524</v>
      </c>
      <c r="AI74" s="54">
        <f t="shared" si="46"/>
        <v>-235142.35808097466</v>
      </c>
      <c r="AJ74" s="54">
        <f t="shared" si="46"/>
        <v>93998.187433715822</v>
      </c>
      <c r="AK74" s="54">
        <f t="shared" ref="AK74:BL74" si="47">AK66-AK71-AK72</f>
        <v>363974.39844831289</v>
      </c>
      <c r="AL74" s="54">
        <f>AL66-AL71-AL72</f>
        <v>361641.71955837938</v>
      </c>
      <c r="AM74" s="54">
        <f t="shared" si="47"/>
        <v>433402.91746175708</v>
      </c>
      <c r="AN74" s="54">
        <f t="shared" si="47"/>
        <v>-1034762.9739331363</v>
      </c>
      <c r="AO74" s="54">
        <f t="shared" si="47"/>
        <v>806589.5664384499</v>
      </c>
      <c r="AP74" s="54">
        <f t="shared" si="47"/>
        <v>850831.52473484189</v>
      </c>
      <c r="AQ74" s="54">
        <f t="shared" si="47"/>
        <v>983287.8992943184</v>
      </c>
      <c r="AR74" s="54">
        <f t="shared" si="47"/>
        <v>1106320.1452904721</v>
      </c>
      <c r="AS74" s="54">
        <f t="shared" si="47"/>
        <v>1229588.0204058066</v>
      </c>
      <c r="AT74" s="54">
        <f t="shared" si="47"/>
        <v>1344276.7281154785</v>
      </c>
      <c r="AU74" s="54">
        <f t="shared" si="47"/>
        <v>1464068.4508565241</v>
      </c>
      <c r="AV74" s="54">
        <f t="shared" si="47"/>
        <v>1591663.0613716524</v>
      </c>
      <c r="AW74" s="54">
        <f t="shared" si="47"/>
        <v>1709110.8786189577</v>
      </c>
      <c r="AX74" s="54">
        <f t="shared" si="47"/>
        <v>1825532.2108297537</v>
      </c>
      <c r="AY74" s="54">
        <f t="shared" si="47"/>
        <v>1949423.6046254933</v>
      </c>
      <c r="AZ74" s="54">
        <f t="shared" si="47"/>
        <v>470004.28604009293</v>
      </c>
      <c r="BA74" s="54">
        <f t="shared" si="47"/>
        <v>-1924899.2672643736</v>
      </c>
      <c r="BB74" s="54">
        <f t="shared" si="47"/>
        <v>-1926355.1888488445</v>
      </c>
      <c r="BC74" s="54">
        <f t="shared" si="47"/>
        <v>-1738854.0973542307</v>
      </c>
      <c r="BD74" s="54">
        <f t="shared" si="47"/>
        <v>-1738670.4537227128</v>
      </c>
      <c r="BE74" s="54">
        <f t="shared" si="47"/>
        <v>-1738403.5917077835</v>
      </c>
      <c r="BF74" s="54">
        <f t="shared" si="47"/>
        <v>-1715799.3132498281</v>
      </c>
      <c r="BG74" s="54">
        <f t="shared" si="47"/>
        <v>-1715574.375358209</v>
      </c>
      <c r="BH74" s="54">
        <f t="shared" si="47"/>
        <v>-1715475.4291721852</v>
      </c>
      <c r="BI74" s="54">
        <f t="shared" si="47"/>
        <v>-1716043.919277858</v>
      </c>
      <c r="BJ74" s="54">
        <f t="shared" si="47"/>
        <v>-1716384.1113872754</v>
      </c>
      <c r="BK74" s="54">
        <f t="shared" si="47"/>
        <v>-1716601.1705901322</v>
      </c>
      <c r="BL74" s="54">
        <f t="shared" si="47"/>
        <v>-3352438.3588477578</v>
      </c>
      <c r="BM74" s="581">
        <f t="shared" ref="BM74:BX74" si="48">BM66-BM71-BM72</f>
        <v>-1320561.8871213784</v>
      </c>
      <c r="BN74" s="581">
        <f t="shared" si="48"/>
        <v>-1337592.3174032508</v>
      </c>
      <c r="BO74" s="581">
        <f t="shared" si="48"/>
        <v>-1337825.4597750702</v>
      </c>
      <c r="BP74" s="581">
        <f t="shared" si="48"/>
        <v>-1338034.3386176291</v>
      </c>
      <c r="BQ74" s="581">
        <f t="shared" si="48"/>
        <v>-1338276.410470115</v>
      </c>
      <c r="BR74" s="581">
        <f t="shared" si="48"/>
        <v>-1338561.3893531007</v>
      </c>
      <c r="BS74" s="581">
        <f t="shared" si="48"/>
        <v>-1338866.6244674549</v>
      </c>
      <c r="BT74" s="581">
        <f t="shared" si="48"/>
        <v>-1339216.5214145742</v>
      </c>
      <c r="BU74" s="581">
        <f t="shared" si="48"/>
        <v>-1339604.3083195039</v>
      </c>
      <c r="BV74" s="581">
        <f t="shared" si="48"/>
        <v>-1339977.5035709322</v>
      </c>
      <c r="BW74" s="581">
        <f t="shared" si="48"/>
        <v>-1340353.9027403344</v>
      </c>
      <c r="BX74" s="581">
        <f t="shared" si="48"/>
        <v>-3017503.1953199529</v>
      </c>
    </row>
    <row r="75" spans="1:76" x14ac:dyDescent="0.35">
      <c r="B75" s="28"/>
      <c r="E75" s="16"/>
      <c r="F75" s="16"/>
      <c r="G75" s="173"/>
      <c r="H75" s="16"/>
      <c r="I75" s="16"/>
      <c r="J75" s="16"/>
      <c r="K75" s="16"/>
      <c r="L75" s="16"/>
      <c r="M75" s="16"/>
      <c r="N75" s="16"/>
      <c r="O75" s="16"/>
      <c r="P75" s="16"/>
      <c r="Q75" s="16"/>
      <c r="R75" s="16"/>
      <c r="S75" s="16"/>
      <c r="T75" s="16"/>
      <c r="U75" s="16"/>
      <c r="V75" s="16"/>
      <c r="W75" s="16"/>
      <c r="X75" s="16"/>
      <c r="Y75" s="16"/>
      <c r="Z75" s="16"/>
      <c r="AA75" s="574"/>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c r="BK75" s="16"/>
      <c r="BL75" s="16"/>
      <c r="BM75" s="574"/>
    </row>
    <row r="76" spans="1:76" s="16" customFormat="1" x14ac:dyDescent="0.35">
      <c r="C76" s="173" t="s">
        <v>722</v>
      </c>
      <c r="D76" s="308"/>
      <c r="E76" s="17">
        <f>+'Cost Summary'!C45+'Cost Summary'!C46</f>
        <v>-408</v>
      </c>
      <c r="F76" s="308">
        <f>+'Cost Summary'!D45+'Cost Summary'!D46</f>
        <v>-378</v>
      </c>
      <c r="G76" s="308">
        <f>+'Cost Summary'!E45+'Cost Summary'!E46</f>
        <v>-282</v>
      </c>
      <c r="H76" s="308">
        <f>+'Cost Summary'!F45+'Cost Summary'!F46</f>
        <v>37532</v>
      </c>
      <c r="I76" s="308">
        <f>+'Cost Summary'!G45+'Cost Summary'!G46</f>
        <v>54</v>
      </c>
      <c r="J76" s="308">
        <f>+'Cost Summary'!H45+'Cost Summary'!H46</f>
        <v>-30</v>
      </c>
      <c r="K76" s="308">
        <f>+'Cost Summary'!I45+'Cost Summary'!I46</f>
        <v>-90</v>
      </c>
      <c r="L76" s="308">
        <f>+'Cost Summary'!J45+'Cost Summary'!J46</f>
        <v>-132</v>
      </c>
      <c r="M76" s="308">
        <f>+'Cost Summary'!K45+'Cost Summary'!K46</f>
        <v>662</v>
      </c>
      <c r="N76" s="308">
        <f>+'Cost Summary'!L45+'Cost Summary'!L46</f>
        <v>39</v>
      </c>
      <c r="O76" s="308">
        <f>+'Cost Summary'!M45+'Cost Summary'!M46</f>
        <v>80</v>
      </c>
      <c r="P76" s="308">
        <f>+'Cost Summary'!N45+'Cost Summary'!N46</f>
        <v>2</v>
      </c>
      <c r="Q76" s="308">
        <f>IF(Q4="forecast",'CF - Monthly'!Q57,('Cost Summary'!O45-'Cost Summary'!O46))</f>
        <v>101076.48000000001</v>
      </c>
      <c r="R76" s="308">
        <f>IF(R4="forecast",'CF - Monthly'!R57,('Cost Summary'!P45-'Cost Summary'!P46))</f>
        <v>86769.51</v>
      </c>
      <c r="S76" s="308">
        <f>IF(S4="forecast",'CF - Monthly'!S57,('Cost Summary'!Q45-'Cost Summary'!Q46))</f>
        <v>100866.6</v>
      </c>
      <c r="T76" s="308">
        <f>IF(T4="forecast",'CF - Monthly'!T57,('Cost Summary'!R45-'Cost Summary'!R46))</f>
        <v>116739.4</v>
      </c>
      <c r="U76" s="308">
        <f>IF(U4="forecast",'CF - Monthly'!U57,('Cost Summary'!S45-'Cost Summary'!S46))</f>
        <v>177781.7</v>
      </c>
      <c r="V76" s="579">
        <f>IF(V4="forecast",'CF - Monthly'!V57,('Cost Summary'!T45-'Cost Summary'!T46))</f>
        <v>98905.97</v>
      </c>
      <c r="W76" s="579">
        <f>IF(W4="forecast",'CF - Monthly'!W57,('Cost Summary'!U45-'Cost Summary'!U46))</f>
        <v>99814.58</v>
      </c>
      <c r="X76" s="579">
        <f>IF(X4="forecast",'CF - Monthly'!X57,('Cost Summary'!V45-'Cost Summary'!V46))</f>
        <v>95822.080000000002</v>
      </c>
      <c r="Y76" s="579">
        <f>IF(Y4="forecast",'CF - Monthly'!Y57,('Cost Summary'!W45-'Cost Summary'!W46))</f>
        <v>91262.73</v>
      </c>
      <c r="Z76" s="579">
        <f>IF(Z4="forecast",'CF - Monthly'!Z57,('Cost Summary'!X45-'Cost Summary'!X46))</f>
        <v>97921.91</v>
      </c>
      <c r="AA76" s="579">
        <f>IF(AA4="forecast",'CF - Monthly'!AA57,('Cost Summary'!Y45-'Cost Summary'!Y46))</f>
        <v>91940.73000000001</v>
      </c>
      <c r="AB76" s="308">
        <f>IF(AB4="forecast",'CF - Monthly'!AB57,'Cost Summary'!Z45)</f>
        <v>93180.29</v>
      </c>
      <c r="AC76" s="308">
        <f>IF(AC4="forecast",'CF - Monthly'!AC57,'Cost Summary'!AA45)</f>
        <v>99428.359998737156</v>
      </c>
      <c r="AD76" s="308">
        <f>IF(AD4="forecast",'CF - Monthly'!AD57,'Cost Summary'!AB45)</f>
        <v>104032.38004214942</v>
      </c>
      <c r="AE76" s="308">
        <f>IF(AE4="forecast",'CF - Monthly'!AE57,'Cost Summary'!AC45)</f>
        <v>98376.872625662785</v>
      </c>
      <c r="AF76" s="308">
        <f>IF(AF4="forecast",'CF - Monthly'!AF57,'Cost Summary'!AD45)</f>
        <v>97847.182589402466</v>
      </c>
      <c r="AG76" s="308">
        <f>IF(AG4="forecast",'CF - Monthly'!AG57,'Cost Summary'!AE45)</f>
        <v>97314.844106710865</v>
      </c>
      <c r="AH76" s="308">
        <f>IF(AH4="forecast",'CF - Monthly'!AH57,'Cost Summary'!AF45)</f>
        <v>96779.843935355791</v>
      </c>
      <c r="AI76" s="308">
        <f>IF(AI4="forecast",'CF - Monthly'!AI57,'Cost Summary'!AG45)</f>
        <v>96242.168766893941</v>
      </c>
      <c r="AJ76" s="308">
        <f>IF(AJ4="forecast",'CF - Monthly'!AJ57,'Cost Summary'!AH45)</f>
        <v>95701.805226339784</v>
      </c>
      <c r="AK76" s="308">
        <f>IF(AK4="forecast",'CF - Monthly'!AK57,'Cost Summary'!AI45)</f>
        <v>95158.739871832862</v>
      </c>
      <c r="AL76" s="308">
        <f>IF(AL4="forecast",'CF - Monthly'!AL57,'Cost Summary'!AJ45)</f>
        <v>94612.959194303388</v>
      </c>
      <c r="AM76" s="308">
        <f>IF(AM4="forecast",'CF - Monthly'!AM57,'Cost Summary'!AK45)</f>
        <v>94064.44961713627</v>
      </c>
      <c r="AN76" s="308">
        <f>IF(AN4="forecast",'CF - Monthly'!AN57,'Cost Summary'!AL45)</f>
        <v>93513.19749583333</v>
      </c>
      <c r="AO76" s="308">
        <f>'CF - Monthly'!AO55</f>
        <v>98292.31242690247</v>
      </c>
      <c r="AP76" s="308">
        <f>'CF - Monthly'!AP55</f>
        <v>97759.974694210861</v>
      </c>
      <c r="AQ76" s="308">
        <f>'CF - Monthly'!AQ55</f>
        <v>97224.975272855794</v>
      </c>
      <c r="AR76" s="308">
        <f>'CF - Monthly'!AR55</f>
        <v>96687.300854393936</v>
      </c>
      <c r="AS76" s="308">
        <f>'CF - Monthly'!AS55</f>
        <v>96146.938063839785</v>
      </c>
      <c r="AT76" s="308">
        <f>'CF - Monthly'!AT55</f>
        <v>95603.873459332855</v>
      </c>
      <c r="AU76" s="308">
        <f>'CF - Monthly'!AU55</f>
        <v>95058.093531803388</v>
      </c>
      <c r="AV76" s="308">
        <f>'CF - Monthly'!AV55</f>
        <v>94509.584704636276</v>
      </c>
      <c r="AW76" s="308">
        <f>'CF - Monthly'!AW55</f>
        <v>93958.333333333328</v>
      </c>
      <c r="AX76" s="308">
        <f>'CF - Monthly'!AX55</f>
        <v>98292.31242690247</v>
      </c>
      <c r="AY76" s="308">
        <f>'CF - Monthly'!AY55</f>
        <v>97759.974694210861</v>
      </c>
      <c r="AZ76" s="308">
        <f>'CF - Monthly'!AZ55</f>
        <v>97224.975272855794</v>
      </c>
      <c r="BA76" s="308">
        <f>IF(BA4="forecast",'CF - Monthly'!BA57,'Cost Summary'!AY45)</f>
        <v>97314.829106710866</v>
      </c>
      <c r="BB76" s="308">
        <f>IF(BB4="forecast",'CF - Monthly'!BB57,'Cost Summary'!AZ45)</f>
        <v>96779.828935355792</v>
      </c>
      <c r="BC76" s="308">
        <f>IF(BC4="forecast",'CF - Monthly'!BC57,'Cost Summary'!BA45)</f>
        <v>97314.827606710867</v>
      </c>
      <c r="BD76" s="308">
        <f>IF(BD4="forecast",'CF - Monthly'!BD57,'Cost Summary'!BB45)</f>
        <v>96779.827435355794</v>
      </c>
      <c r="BE76" s="308">
        <f>IF(BE4="forecast",'CF - Monthly'!BE57,'Cost Summary'!BC45)</f>
        <v>97314.826106710854</v>
      </c>
      <c r="BF76" s="308">
        <f>IF(BF4="forecast",'CF - Monthly'!BF57,'Cost Summary'!BD45)</f>
        <v>96779.825935355795</v>
      </c>
      <c r="BG76" s="308">
        <f>IF(BG4="forecast",'CF - Monthly'!BG57,'Cost Summary'!BE45)</f>
        <v>97314.824606710856</v>
      </c>
      <c r="BH76" s="308">
        <f>IF(BH4="forecast",'CF - Monthly'!BH57,'Cost Summary'!BF45)</f>
        <v>96779.824435355797</v>
      </c>
      <c r="BI76" s="308">
        <f>IF(BI4="forecast",'CF - Monthly'!BI57,'Cost Summary'!BG45)</f>
        <v>97314.823106710857</v>
      </c>
      <c r="BJ76" s="308">
        <f>IF(BJ4="forecast",'CF - Monthly'!BJ57,'Cost Summary'!BH45)</f>
        <v>96779.822935355798</v>
      </c>
      <c r="BK76" s="308">
        <f>IF(BK4="forecast",'CF - Monthly'!BK57,'Cost Summary'!BI45)</f>
        <v>97314.821606710859</v>
      </c>
      <c r="BL76" s="308">
        <f>IF(BL4="forecast",'CF - Monthly'!BL57,'Cost Summary'!BJ45)</f>
        <v>96779.8214353558</v>
      </c>
      <c r="BM76" s="579">
        <f>'CF - Monthly'!BM55</f>
        <v>97759.974694210861</v>
      </c>
      <c r="BN76" s="579">
        <f>IF(BN4="forecast",'CF - Monthly'!BN57,'Cost Summary'!BL45)</f>
        <v>96779.819935355801</v>
      </c>
      <c r="BO76" s="579">
        <f>IF(BO4="forecast",'CF - Monthly'!BO57,'Cost Summary'!BM45)</f>
        <v>97314.818606710862</v>
      </c>
      <c r="BP76" s="579">
        <f>IF(BP4="forecast",'CF - Monthly'!BP57,'Cost Summary'!BN45)</f>
        <v>96779.818435355788</v>
      </c>
      <c r="BQ76" s="579">
        <f>IF(BQ4="forecast",'CF - Monthly'!BQ57,'Cost Summary'!BO45)</f>
        <v>97314.817106710863</v>
      </c>
      <c r="BR76" s="579">
        <f>IF(BR4="forecast",'CF - Monthly'!BR57,'Cost Summary'!BP45)</f>
        <v>96779.81693535579</v>
      </c>
      <c r="BS76" s="579">
        <f>IF(BS4="forecast",'CF - Monthly'!BS57,'Cost Summary'!BQ45)</f>
        <v>97314.815606710865</v>
      </c>
      <c r="BT76" s="579">
        <f>IF(BT4="forecast",'CF - Monthly'!BT57,'Cost Summary'!BR45)</f>
        <v>97314.814856710858</v>
      </c>
      <c r="BU76" s="579">
        <f>IF(BU4="forecast",'CF - Monthly'!BU57,'Cost Summary'!BS45)</f>
        <v>96779.814685355799</v>
      </c>
      <c r="BV76" s="579">
        <f>IF(BV4="forecast",'CF - Monthly'!BV57,'Cost Summary'!BT45)</f>
        <v>97314.81335671086</v>
      </c>
      <c r="BW76" s="579">
        <f>IF(BW4="forecast",'CF - Monthly'!BW57,'Cost Summary'!BU45)</f>
        <v>0</v>
      </c>
      <c r="BX76" s="579">
        <f>IF(BX4="forecast",'CF - Monthly'!BX57,'Cost Summary'!BV45)</f>
        <v>0</v>
      </c>
    </row>
    <row r="77" spans="1:76" x14ac:dyDescent="0.35">
      <c r="B77" s="28"/>
      <c r="E77" s="16"/>
      <c r="F77" s="16"/>
      <c r="G77" s="173"/>
      <c r="H77" s="16"/>
      <c r="I77" s="16"/>
      <c r="J77" s="16"/>
      <c r="K77" s="16"/>
      <c r="L77" s="16"/>
      <c r="M77" s="16"/>
      <c r="N77" s="16"/>
      <c r="O77" s="16"/>
      <c r="P77" s="16"/>
      <c r="Q77" s="16"/>
      <c r="R77" s="16"/>
      <c r="S77" s="16"/>
      <c r="T77" s="16"/>
      <c r="U77" s="16"/>
      <c r="V77" s="16"/>
      <c r="W77" s="16"/>
      <c r="X77" s="16"/>
      <c r="Y77" s="16"/>
      <c r="Z77" s="407"/>
      <c r="AA77" s="574"/>
      <c r="AB77" s="407"/>
      <c r="AC77" s="407"/>
      <c r="AD77" s="407"/>
      <c r="AE77" s="407"/>
      <c r="AF77" s="407"/>
      <c r="AG77" s="407"/>
      <c r="AH77" s="407"/>
      <c r="AI77" s="407"/>
      <c r="AJ77" s="407"/>
      <c r="AK77" s="407"/>
      <c r="AL77" s="407"/>
      <c r="AM77" s="407"/>
      <c r="AN77" s="407"/>
      <c r="AO77" s="16"/>
      <c r="AP77" s="16"/>
      <c r="AQ77" s="16"/>
      <c r="AR77" s="16"/>
      <c r="AS77" s="16"/>
      <c r="AT77" s="16"/>
      <c r="AU77" s="16"/>
      <c r="AV77" s="16"/>
      <c r="AW77" s="16"/>
      <c r="AX77" s="16"/>
      <c r="AY77" s="16"/>
      <c r="AZ77" s="16"/>
      <c r="BA77" s="16"/>
      <c r="BB77" s="16"/>
      <c r="BC77" s="16"/>
      <c r="BD77" s="16"/>
      <c r="BE77" s="16"/>
      <c r="BF77" s="16"/>
      <c r="BG77" s="16"/>
      <c r="BH77" s="16"/>
      <c r="BI77" s="16"/>
      <c r="BJ77" s="16"/>
      <c r="BK77" s="16"/>
      <c r="BL77" s="16"/>
      <c r="BM77" s="574"/>
    </row>
    <row r="78" spans="1:76" s="16" customFormat="1" ht="15" thickBot="1" x14ac:dyDescent="0.4">
      <c r="B78" s="51" t="s">
        <v>142</v>
      </c>
      <c r="C78" s="52"/>
      <c r="D78" s="54"/>
      <c r="E78" s="54">
        <f>E74+E76</f>
        <v>544376.24645420676</v>
      </c>
      <c r="F78" s="54">
        <f t="shared" ref="F78:P78" si="49">F74+F76</f>
        <v>359960.82946172229</v>
      </c>
      <c r="G78" s="54">
        <f>G74+G76</f>
        <v>472016.85022781795</v>
      </c>
      <c r="H78" s="54">
        <f t="shared" si="49"/>
        <v>463683.43545537931</v>
      </c>
      <c r="I78" s="54">
        <f t="shared" si="49"/>
        <v>304482.10300880432</v>
      </c>
      <c r="J78" s="54">
        <f t="shared" si="49"/>
        <v>364094.1891700321</v>
      </c>
      <c r="K78" s="54">
        <f t="shared" si="49"/>
        <v>139992.95496848802</v>
      </c>
      <c r="L78" s="54">
        <f t="shared" si="49"/>
        <v>209842.23402858683</v>
      </c>
      <c r="M78" s="54">
        <f t="shared" si="49"/>
        <v>448633.80917982414</v>
      </c>
      <c r="N78" s="54">
        <f t="shared" si="49"/>
        <v>318730.05483652954</v>
      </c>
      <c r="O78" s="54">
        <f t="shared" si="49"/>
        <v>635270.8739782687</v>
      </c>
      <c r="P78" s="54">
        <f t="shared" si="49"/>
        <v>344779.37098787259</v>
      </c>
      <c r="Q78" s="54">
        <f>Q74-Q76</f>
        <v>-364099.7100000002</v>
      </c>
      <c r="R78" s="54">
        <f t="shared" ref="R78:V78" si="50">R74-R76</f>
        <v>12031.850000000108</v>
      </c>
      <c r="S78" s="54">
        <f t="shared" si="50"/>
        <v>69.629999999859137</v>
      </c>
      <c r="T78" s="54">
        <f t="shared" si="50"/>
        <v>-69168.979999999836</v>
      </c>
      <c r="U78" s="54">
        <f t="shared" si="50"/>
        <v>-183735.33999999962</v>
      </c>
      <c r="V78" s="581">
        <f t="shared" si="50"/>
        <v>-419720.30999999982</v>
      </c>
      <c r="W78" s="581">
        <f>W74-W76</f>
        <v>-815165.32999999949</v>
      </c>
      <c r="X78" s="581">
        <f t="shared" ref="X78:AN78" si="51">X74-X76</f>
        <v>-672679.57999999973</v>
      </c>
      <c r="Y78" s="581">
        <f t="shared" si="51"/>
        <v>-339571.56</v>
      </c>
      <c r="Z78" s="581">
        <f t="shared" si="51"/>
        <v>-284198.30999999982</v>
      </c>
      <c r="AA78" s="581">
        <f t="shared" ref="AA78" si="52">AA74-AA76</f>
        <v>-439165.83000000007</v>
      </c>
      <c r="AB78" s="581">
        <f t="shared" si="51"/>
        <v>-134999.25000000023</v>
      </c>
      <c r="AC78" s="581">
        <f t="shared" si="51"/>
        <v>-154369.73342032247</v>
      </c>
      <c r="AD78" s="581">
        <f t="shared" si="51"/>
        <v>-147734.37546275684</v>
      </c>
      <c r="AE78" s="581">
        <f t="shared" si="51"/>
        <v>-440411.90303963615</v>
      </c>
      <c r="AF78" s="581">
        <f t="shared" si="51"/>
        <v>-536400.43836258561</v>
      </c>
      <c r="AG78" s="581">
        <f t="shared" si="51"/>
        <v>-311200.17696270917</v>
      </c>
      <c r="AH78" s="581">
        <f t="shared" si="51"/>
        <v>-204172.95576160104</v>
      </c>
      <c r="AI78" s="581">
        <f t="shared" si="51"/>
        <v>-331384.52684786858</v>
      </c>
      <c r="AJ78" s="581">
        <f t="shared" si="51"/>
        <v>-1703.6177926239616</v>
      </c>
      <c r="AK78" s="581">
        <f t="shared" si="51"/>
        <v>268815.65857648</v>
      </c>
      <c r="AL78" s="581">
        <f t="shared" si="51"/>
        <v>267028.76036407601</v>
      </c>
      <c r="AM78" s="581">
        <f t="shared" si="51"/>
        <v>339338.46784462081</v>
      </c>
      <c r="AN78" s="581">
        <f t="shared" si="51"/>
        <v>-1128276.1714289696</v>
      </c>
      <c r="AO78" s="54">
        <f t="shared" ref="AO78:BL78" si="53">AO74-AO76</f>
        <v>708297.25401154743</v>
      </c>
      <c r="AP78" s="54">
        <f t="shared" si="53"/>
        <v>753071.55004063109</v>
      </c>
      <c r="AQ78" s="54">
        <f t="shared" si="53"/>
        <v>886062.92402146256</v>
      </c>
      <c r="AR78" s="54">
        <f t="shared" si="53"/>
        <v>1009632.8444360781</v>
      </c>
      <c r="AS78" s="54">
        <f t="shared" si="53"/>
        <v>1133441.0823419669</v>
      </c>
      <c r="AT78" s="54">
        <f t="shared" si="53"/>
        <v>1248672.8546561457</v>
      </c>
      <c r="AU78" s="54">
        <f t="shared" si="53"/>
        <v>1369010.3573247206</v>
      </c>
      <c r="AV78" s="54">
        <f t="shared" si="53"/>
        <v>1497153.476667016</v>
      </c>
      <c r="AW78" s="54">
        <f t="shared" si="53"/>
        <v>1615152.5452856245</v>
      </c>
      <c r="AX78" s="54">
        <f t="shared" si="53"/>
        <v>1727239.8984028511</v>
      </c>
      <c r="AY78" s="54">
        <f t="shared" si="53"/>
        <v>1851663.6299312825</v>
      </c>
      <c r="AZ78" s="54">
        <f t="shared" si="53"/>
        <v>372779.31076723716</v>
      </c>
      <c r="BA78" s="54">
        <f t="shared" si="53"/>
        <v>-2022214.0963710845</v>
      </c>
      <c r="BB78" s="54">
        <f t="shared" si="53"/>
        <v>-2023135.0177842004</v>
      </c>
      <c r="BC78" s="54">
        <f t="shared" si="53"/>
        <v>-1836168.9249609415</v>
      </c>
      <c r="BD78" s="54">
        <f t="shared" si="53"/>
        <v>-1835450.2811580687</v>
      </c>
      <c r="BE78" s="54">
        <f t="shared" si="53"/>
        <v>-1835718.4178144943</v>
      </c>
      <c r="BF78" s="54">
        <f t="shared" si="53"/>
        <v>-1812579.1391851839</v>
      </c>
      <c r="BG78" s="54">
        <f t="shared" si="53"/>
        <v>-1812889.1999649198</v>
      </c>
      <c r="BH78" s="54">
        <f t="shared" si="53"/>
        <v>-1812255.2536075411</v>
      </c>
      <c r="BI78" s="54">
        <f t="shared" si="53"/>
        <v>-1813358.7423845688</v>
      </c>
      <c r="BJ78" s="54">
        <f t="shared" si="53"/>
        <v>-1813163.9343226312</v>
      </c>
      <c r="BK78" s="54">
        <f t="shared" si="53"/>
        <v>-1813915.992196843</v>
      </c>
      <c r="BL78" s="54">
        <f t="shared" si="53"/>
        <v>-3449218.1802831134</v>
      </c>
      <c r="BM78" s="581">
        <f t="shared" ref="BM78:BX78" si="54">BM74-BM76</f>
        <v>-1418321.8618155892</v>
      </c>
      <c r="BN78" s="581">
        <f t="shared" si="54"/>
        <v>-1434372.1373386066</v>
      </c>
      <c r="BO78" s="581">
        <f t="shared" si="54"/>
        <v>-1435140.278381781</v>
      </c>
      <c r="BP78" s="581">
        <f t="shared" si="54"/>
        <v>-1434814.1570529849</v>
      </c>
      <c r="BQ78" s="581">
        <f t="shared" si="54"/>
        <v>-1435591.2275768258</v>
      </c>
      <c r="BR78" s="581">
        <f t="shared" si="54"/>
        <v>-1435341.2062884565</v>
      </c>
      <c r="BS78" s="581">
        <f t="shared" si="54"/>
        <v>-1436181.4400741658</v>
      </c>
      <c r="BT78" s="581">
        <f t="shared" si="54"/>
        <v>-1436531.3362712851</v>
      </c>
      <c r="BU78" s="581">
        <f t="shared" si="54"/>
        <v>-1436384.1230048598</v>
      </c>
      <c r="BV78" s="581">
        <f t="shared" si="54"/>
        <v>-1437292.316927643</v>
      </c>
      <c r="BW78" s="581">
        <f t="shared" si="54"/>
        <v>-1340353.9027403344</v>
      </c>
      <c r="BX78" s="581">
        <f t="shared" si="54"/>
        <v>-3017503.1953199529</v>
      </c>
    </row>
    <row r="79" spans="1:76" x14ac:dyDescent="0.35">
      <c r="B79" s="28"/>
      <c r="E79" s="16"/>
      <c r="F79" s="16"/>
      <c r="G79" s="173"/>
      <c r="H79" s="16"/>
      <c r="I79" s="16"/>
      <c r="J79" s="16"/>
      <c r="K79" s="16"/>
      <c r="L79" s="16"/>
      <c r="M79" s="16"/>
      <c r="N79" s="16"/>
      <c r="O79" s="16"/>
      <c r="P79" s="16"/>
      <c r="Q79" s="16"/>
      <c r="R79" s="16"/>
      <c r="S79" s="16"/>
      <c r="T79" s="16"/>
      <c r="U79" s="16"/>
      <c r="V79" s="16"/>
      <c r="W79" s="16"/>
      <c r="X79" s="16"/>
      <c r="Y79" s="16"/>
      <c r="Z79" s="16"/>
      <c r="AA79" s="574"/>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6"/>
      <c r="BH79" s="16"/>
      <c r="BI79" s="16"/>
      <c r="BJ79" s="16"/>
      <c r="BK79" s="16"/>
      <c r="BL79" s="16"/>
      <c r="BM79" s="574"/>
    </row>
    <row r="80" spans="1:76" s="16" customFormat="1" x14ac:dyDescent="0.35">
      <c r="C80" s="41" t="s">
        <v>143</v>
      </c>
      <c r="D80" s="308"/>
      <c r="E80" s="17">
        <v>0</v>
      </c>
      <c r="F80" s="17">
        <v>0</v>
      </c>
      <c r="G80" s="175">
        <v>0</v>
      </c>
      <c r="H80" s="17">
        <v>0</v>
      </c>
      <c r="I80" s="17">
        <v>0</v>
      </c>
      <c r="J80" s="17">
        <v>0</v>
      </c>
      <c r="K80" s="17">
        <v>0</v>
      </c>
      <c r="L80" s="17">
        <v>0</v>
      </c>
      <c r="M80" s="17">
        <v>0</v>
      </c>
      <c r="N80" s="17">
        <v>0</v>
      </c>
      <c r="O80" s="17">
        <v>0</v>
      </c>
      <c r="P80" s="17">
        <v>0</v>
      </c>
      <c r="Q80" s="17">
        <v>0</v>
      </c>
      <c r="R80" s="17">
        <v>0</v>
      </c>
      <c r="S80" s="17">
        <v>0</v>
      </c>
      <c r="T80" s="17">
        <v>0</v>
      </c>
      <c r="U80" s="17">
        <v>0</v>
      </c>
      <c r="V80" s="17">
        <v>0</v>
      </c>
      <c r="W80" s="17">
        <v>0</v>
      </c>
      <c r="X80" s="17">
        <v>0</v>
      </c>
      <c r="Y80" s="17">
        <v>0</v>
      </c>
      <c r="Z80" s="17">
        <v>0</v>
      </c>
      <c r="AA80" s="579">
        <v>0</v>
      </c>
      <c r="AB80" s="17"/>
      <c r="AC80" s="17">
        <v>0</v>
      </c>
      <c r="AD80" s="17">
        <v>0</v>
      </c>
      <c r="AE80" s="17">
        <v>0</v>
      </c>
      <c r="AF80" s="17">
        <v>0</v>
      </c>
      <c r="AG80" s="17">
        <v>0</v>
      </c>
      <c r="AH80" s="17">
        <v>0</v>
      </c>
      <c r="AI80" s="17">
        <v>0</v>
      </c>
      <c r="AJ80" s="17">
        <v>0</v>
      </c>
      <c r="AK80" s="17">
        <v>0</v>
      </c>
      <c r="AL80" s="17">
        <v>0</v>
      </c>
      <c r="AM80" s="17">
        <v>0</v>
      </c>
      <c r="AN80" s="17">
        <v>0</v>
      </c>
      <c r="AO80" s="17">
        <v>0</v>
      </c>
      <c r="AP80" s="17">
        <v>0</v>
      </c>
      <c r="AQ80" s="17">
        <v>0</v>
      </c>
      <c r="AR80" s="17">
        <v>0</v>
      </c>
      <c r="AS80" s="17">
        <v>0</v>
      </c>
      <c r="AT80" s="17">
        <v>0</v>
      </c>
      <c r="AU80" s="17">
        <v>0</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579">
        <v>0</v>
      </c>
      <c r="BN80" s="579">
        <v>0</v>
      </c>
      <c r="BO80" s="579">
        <v>0</v>
      </c>
      <c r="BP80" s="579">
        <v>0</v>
      </c>
      <c r="BQ80" s="579">
        <v>0</v>
      </c>
      <c r="BR80" s="579">
        <v>0</v>
      </c>
      <c r="BS80" s="579">
        <v>0</v>
      </c>
      <c r="BT80" s="579">
        <v>0</v>
      </c>
      <c r="BU80" s="579">
        <v>0</v>
      </c>
      <c r="BV80" s="579">
        <v>0</v>
      </c>
      <c r="BW80" s="579">
        <v>0</v>
      </c>
      <c r="BX80" s="579">
        <v>0</v>
      </c>
    </row>
    <row r="81" spans="2:76" x14ac:dyDescent="0.35">
      <c r="B81" s="28"/>
      <c r="E81" s="16"/>
      <c r="F81" s="16"/>
      <c r="G81" s="173"/>
      <c r="H81" s="16"/>
      <c r="I81" s="16"/>
      <c r="J81" s="16"/>
      <c r="K81" s="16"/>
      <c r="L81" s="16"/>
      <c r="M81" s="16"/>
      <c r="N81" s="16"/>
      <c r="O81" s="16"/>
      <c r="P81" s="16"/>
      <c r="Q81" s="16"/>
      <c r="R81" s="16"/>
      <c r="S81" s="16"/>
      <c r="T81" s="16"/>
      <c r="U81" s="16"/>
      <c r="V81" s="16"/>
      <c r="W81" s="16"/>
      <c r="X81" s="16"/>
      <c r="Y81" s="16"/>
      <c r="Z81" s="16"/>
      <c r="AA81" s="574"/>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16"/>
      <c r="BH81" s="16"/>
      <c r="BI81" s="16"/>
      <c r="BJ81" s="16"/>
      <c r="BK81" s="16"/>
      <c r="BL81" s="16"/>
      <c r="BM81" s="574"/>
    </row>
    <row r="82" spans="2:76" s="16" customFormat="1" ht="15" thickBot="1" x14ac:dyDescent="0.4">
      <c r="B82" s="51" t="s">
        <v>113</v>
      </c>
      <c r="C82" s="52"/>
      <c r="D82" s="54"/>
      <c r="E82" s="54">
        <f>E78-E80</f>
        <v>544376.24645420676</v>
      </c>
      <c r="F82" s="54">
        <f t="shared" ref="F82:X82" si="55">F78-F80</f>
        <v>359960.82946172229</v>
      </c>
      <c r="G82" s="54">
        <f>G78-G80</f>
        <v>472016.85022781795</v>
      </c>
      <c r="H82" s="54">
        <f t="shared" si="55"/>
        <v>463683.43545537931</v>
      </c>
      <c r="I82" s="54">
        <f t="shared" si="55"/>
        <v>304482.10300880432</v>
      </c>
      <c r="J82" s="54">
        <f t="shared" si="55"/>
        <v>364094.1891700321</v>
      </c>
      <c r="K82" s="54">
        <f t="shared" si="55"/>
        <v>139992.95496848802</v>
      </c>
      <c r="L82" s="54">
        <f t="shared" si="55"/>
        <v>209842.23402858683</v>
      </c>
      <c r="M82" s="54">
        <f t="shared" si="55"/>
        <v>448633.80917982414</v>
      </c>
      <c r="N82" s="54">
        <f t="shared" si="55"/>
        <v>318730.05483652954</v>
      </c>
      <c r="O82" s="54">
        <f t="shared" si="55"/>
        <v>635270.8739782687</v>
      </c>
      <c r="P82" s="54">
        <f t="shared" si="55"/>
        <v>344779.37098787259</v>
      </c>
      <c r="Q82" s="54">
        <f t="shared" si="55"/>
        <v>-364099.7100000002</v>
      </c>
      <c r="R82" s="54">
        <f t="shared" si="55"/>
        <v>12031.850000000108</v>
      </c>
      <c r="S82" s="54">
        <f t="shared" si="55"/>
        <v>69.629999999859137</v>
      </c>
      <c r="T82" s="54">
        <f t="shared" si="55"/>
        <v>-69168.979999999836</v>
      </c>
      <c r="U82" s="54">
        <f t="shared" si="55"/>
        <v>-183735.33999999962</v>
      </c>
      <c r="V82" s="54">
        <f t="shared" si="55"/>
        <v>-419720.30999999982</v>
      </c>
      <c r="W82" s="54">
        <f t="shared" si="55"/>
        <v>-815165.32999999949</v>
      </c>
      <c r="X82" s="54">
        <f t="shared" si="55"/>
        <v>-672679.57999999973</v>
      </c>
      <c r="Y82" s="54">
        <f>Y78-Y80</f>
        <v>-339571.56</v>
      </c>
      <c r="Z82" s="581">
        <f>Z78-Z80</f>
        <v>-284198.30999999982</v>
      </c>
      <c r="AA82" s="581">
        <f>AA78-AA80</f>
        <v>-439165.83000000007</v>
      </c>
      <c r="AB82" s="54">
        <f>AB78-AB80</f>
        <v>-134999.25000000023</v>
      </c>
      <c r="AC82" s="54">
        <f t="shared" ref="AC82:BL82" si="56">AC78-AC80</f>
        <v>-154369.73342032247</v>
      </c>
      <c r="AD82" s="54">
        <f t="shared" si="56"/>
        <v>-147734.37546275684</v>
      </c>
      <c r="AE82" s="54">
        <f t="shared" si="56"/>
        <v>-440411.90303963615</v>
      </c>
      <c r="AF82" s="54">
        <f t="shared" si="56"/>
        <v>-536400.43836258561</v>
      </c>
      <c r="AG82" s="54">
        <f t="shared" si="56"/>
        <v>-311200.17696270917</v>
      </c>
      <c r="AH82" s="54">
        <f t="shared" si="56"/>
        <v>-204172.95576160104</v>
      </c>
      <c r="AI82" s="54">
        <f t="shared" si="56"/>
        <v>-331384.52684786858</v>
      </c>
      <c r="AJ82" s="54">
        <f t="shared" si="56"/>
        <v>-1703.6177926239616</v>
      </c>
      <c r="AK82" s="54">
        <f t="shared" si="56"/>
        <v>268815.65857648</v>
      </c>
      <c r="AL82" s="54">
        <f t="shared" si="56"/>
        <v>267028.76036407601</v>
      </c>
      <c r="AM82" s="54">
        <f t="shared" si="56"/>
        <v>339338.46784462081</v>
      </c>
      <c r="AN82" s="54">
        <f t="shared" si="56"/>
        <v>-1128276.1714289696</v>
      </c>
      <c r="AO82" s="54">
        <f t="shared" si="56"/>
        <v>708297.25401154743</v>
      </c>
      <c r="AP82" s="54">
        <f t="shared" si="56"/>
        <v>753071.55004063109</v>
      </c>
      <c r="AQ82" s="54">
        <f t="shared" si="56"/>
        <v>886062.92402146256</v>
      </c>
      <c r="AR82" s="54">
        <f t="shared" si="56"/>
        <v>1009632.8444360781</v>
      </c>
      <c r="AS82" s="54">
        <f t="shared" si="56"/>
        <v>1133441.0823419669</v>
      </c>
      <c r="AT82" s="54">
        <f t="shared" si="56"/>
        <v>1248672.8546561457</v>
      </c>
      <c r="AU82" s="54">
        <f t="shared" si="56"/>
        <v>1369010.3573247206</v>
      </c>
      <c r="AV82" s="54">
        <f t="shared" si="56"/>
        <v>1497153.476667016</v>
      </c>
      <c r="AW82" s="54">
        <f t="shared" si="56"/>
        <v>1615152.5452856245</v>
      </c>
      <c r="AX82" s="54">
        <f t="shared" si="56"/>
        <v>1727239.8984028511</v>
      </c>
      <c r="AY82" s="54">
        <f t="shared" si="56"/>
        <v>1851663.6299312825</v>
      </c>
      <c r="AZ82" s="54">
        <f t="shared" si="56"/>
        <v>372779.31076723716</v>
      </c>
      <c r="BA82" s="54">
        <f t="shared" si="56"/>
        <v>-2022214.0963710845</v>
      </c>
      <c r="BB82" s="54">
        <f t="shared" si="56"/>
        <v>-2023135.0177842004</v>
      </c>
      <c r="BC82" s="54">
        <f t="shared" si="56"/>
        <v>-1836168.9249609415</v>
      </c>
      <c r="BD82" s="54">
        <f t="shared" si="56"/>
        <v>-1835450.2811580687</v>
      </c>
      <c r="BE82" s="54">
        <f t="shared" si="56"/>
        <v>-1835718.4178144943</v>
      </c>
      <c r="BF82" s="54">
        <f t="shared" si="56"/>
        <v>-1812579.1391851839</v>
      </c>
      <c r="BG82" s="54">
        <f t="shared" si="56"/>
        <v>-1812889.1999649198</v>
      </c>
      <c r="BH82" s="54">
        <f t="shared" si="56"/>
        <v>-1812255.2536075411</v>
      </c>
      <c r="BI82" s="54">
        <f t="shared" si="56"/>
        <v>-1813358.7423845688</v>
      </c>
      <c r="BJ82" s="54">
        <f t="shared" si="56"/>
        <v>-1813163.9343226312</v>
      </c>
      <c r="BK82" s="54">
        <f t="shared" si="56"/>
        <v>-1813915.992196843</v>
      </c>
      <c r="BL82" s="54">
        <f t="shared" si="56"/>
        <v>-3449218.1802831134</v>
      </c>
      <c r="BM82" s="581">
        <f t="shared" ref="BM82:BX82" si="57">BM78-BM80</f>
        <v>-1418321.8618155892</v>
      </c>
      <c r="BN82" s="581">
        <f t="shared" si="57"/>
        <v>-1434372.1373386066</v>
      </c>
      <c r="BO82" s="581">
        <f t="shared" si="57"/>
        <v>-1435140.278381781</v>
      </c>
      <c r="BP82" s="581">
        <f t="shared" si="57"/>
        <v>-1434814.1570529849</v>
      </c>
      <c r="BQ82" s="581">
        <f t="shared" si="57"/>
        <v>-1435591.2275768258</v>
      </c>
      <c r="BR82" s="581">
        <f t="shared" si="57"/>
        <v>-1435341.2062884565</v>
      </c>
      <c r="BS82" s="581">
        <f t="shared" si="57"/>
        <v>-1436181.4400741658</v>
      </c>
      <c r="BT82" s="581">
        <f t="shared" si="57"/>
        <v>-1436531.3362712851</v>
      </c>
      <c r="BU82" s="581">
        <f t="shared" si="57"/>
        <v>-1436384.1230048598</v>
      </c>
      <c r="BV82" s="581">
        <f t="shared" si="57"/>
        <v>-1437292.316927643</v>
      </c>
      <c r="BW82" s="581">
        <f t="shared" si="57"/>
        <v>-1340353.9027403344</v>
      </c>
      <c r="BX82" s="581">
        <f t="shared" si="57"/>
        <v>-3017503.1953199529</v>
      </c>
    </row>
    <row r="83" spans="2:76" x14ac:dyDescent="0.35">
      <c r="AC83" s="574"/>
      <c r="AD83" s="574"/>
      <c r="AE83" s="574"/>
      <c r="AF83" s="574"/>
      <c r="AG83" s="574"/>
      <c r="AH83" s="574"/>
      <c r="AI83" s="574"/>
      <c r="AJ83" s="574"/>
      <c r="AK83" s="574"/>
      <c r="AL83" s="574"/>
      <c r="AM83" s="574"/>
      <c r="AN83" s="574"/>
      <c r="AO83" s="574"/>
      <c r="AP83" s="574"/>
      <c r="AQ83" s="574"/>
      <c r="AR83" s="574"/>
      <c r="AS83" s="574"/>
      <c r="AT83" s="574"/>
      <c r="AU83" s="574"/>
      <c r="AV83" s="574"/>
      <c r="AW83" s="574"/>
      <c r="AX83" s="574"/>
      <c r="AY83" s="574"/>
      <c r="AZ83" s="574"/>
      <c r="BA83" s="574"/>
      <c r="BB83" s="574"/>
      <c r="BC83" s="574"/>
      <c r="BD83" s="574"/>
      <c r="BE83" s="574"/>
      <c r="BF83" s="574"/>
      <c r="BG83" s="574"/>
      <c r="BH83" s="574"/>
      <c r="BI83" s="574"/>
      <c r="BJ83" s="574"/>
      <c r="BK83" s="574"/>
      <c r="BL83" s="574"/>
      <c r="BM83" s="574"/>
    </row>
    <row r="84" spans="2:76" x14ac:dyDescent="0.35">
      <c r="D84" s="167"/>
      <c r="E84" s="167">
        <v>535494</v>
      </c>
      <c r="F84">
        <v>351078</v>
      </c>
      <c r="G84">
        <v>463144</v>
      </c>
      <c r="H84">
        <v>454800</v>
      </c>
      <c r="I84">
        <v>295600</v>
      </c>
      <c r="J84">
        <v>355212</v>
      </c>
      <c r="K84">
        <v>131111</v>
      </c>
      <c r="L84">
        <v>200960</v>
      </c>
      <c r="M84">
        <v>439751</v>
      </c>
      <c r="N84">
        <v>309848</v>
      </c>
      <c r="O84">
        <v>626388</v>
      </c>
      <c r="P84">
        <v>-425457</v>
      </c>
      <c r="Q84" s="574">
        <f>'BS - Monthly'!R50</f>
        <v>-364100.71</v>
      </c>
      <c r="R84" s="574">
        <f>'BS - Monthly'!S50-'BS - Monthly'!R50</f>
        <v>12031.850000000035</v>
      </c>
      <c r="S84" s="574">
        <f>'BS - Monthly'!T50-'BS - Monthly'!S50</f>
        <v>69.75</v>
      </c>
      <c r="T84" s="574">
        <f>'BS - Monthly'!U50-'BS - Monthly'!T50</f>
        <v>-69168.98000000004</v>
      </c>
      <c r="U84" s="574">
        <f>'BS - Monthly'!V50-'BS - Monthly'!U50</f>
        <v>-183735.34000000003</v>
      </c>
      <c r="V84" s="574">
        <f>'BS - Monthly'!W50-'BS - Monthly'!V50</f>
        <v>-419720.30999999994</v>
      </c>
      <c r="W84" s="574">
        <f>'BS - Monthly'!X50-'BS - Monthly'!W50</f>
        <v>-815159.21</v>
      </c>
      <c r="X84" s="574">
        <f>'BS - Monthly'!Y50-'BS - Monthly'!X50</f>
        <v>-672679.57999999984</v>
      </c>
      <c r="Y84" s="574">
        <f>'BS - Monthly'!Z50-'BS - Monthly'!Y50</f>
        <v>-339571.56000000006</v>
      </c>
      <c r="Z84" s="574">
        <f>'BS - Monthly'!AA50-'BS - Monthly'!Z50</f>
        <v>-284198.31000000006</v>
      </c>
      <c r="AA84" s="574">
        <f>'BS - Monthly'!AB50-'BS - Monthly'!AA50</f>
        <v>-439165.8300000038</v>
      </c>
      <c r="AB84" s="574">
        <f>'BS - Monthly'!AC50-'BS - Monthly'!AB50</f>
        <v>-135350.92999999644</v>
      </c>
      <c r="AC84" s="574">
        <f>'BS - Monthly'!AD50-'BS - Monthly'!AC50</f>
        <v>-154369.73342032265</v>
      </c>
      <c r="AD84" s="574">
        <f>'BS - Monthly'!AE50-'BS - Monthly'!AD50</f>
        <v>-147734.37546275696</v>
      </c>
      <c r="AE84" s="574">
        <f>'BS - Monthly'!AF50-'BS - Monthly'!AE50</f>
        <v>-440411.90303963656</v>
      </c>
      <c r="AF84" s="574">
        <f>'BS - Monthly'!AG50-'BS - Monthly'!AF50</f>
        <v>-536400.43836258538</v>
      </c>
      <c r="AG84" s="574">
        <f>'BS - Monthly'!AH50-'BS - Monthly'!AG50</f>
        <v>-311200.17696270905</v>
      </c>
      <c r="AH84" s="574">
        <f>'BS - Monthly'!AI50-'BS - Monthly'!AH50</f>
        <v>-204172.95576160122</v>
      </c>
      <c r="AI84" s="574">
        <f>'BS - Monthly'!AJ50-'BS - Monthly'!AI50</f>
        <v>-331384.52684786823</v>
      </c>
      <c r="AJ84" s="574">
        <f>'BS - Monthly'!AK50-'BS - Monthly'!AJ50</f>
        <v>-1703.6177926240489</v>
      </c>
      <c r="AK84" s="574">
        <f>'BS - Monthly'!AL50-'BS - Monthly'!AK50</f>
        <v>268815.65857648011</v>
      </c>
      <c r="AL84" s="574">
        <f>'BS - Monthly'!AM50-'BS - Monthly'!AL50</f>
        <v>267028.76036407612</v>
      </c>
      <c r="AM84" s="574">
        <f>'BS - Monthly'!AN50-'BS - Monthly'!AM50</f>
        <v>339338.46784462128</v>
      </c>
      <c r="AN84" s="574">
        <f>'BS - Monthly'!AO50-'BS - Monthly'!AN50</f>
        <v>-1128276.1714289691</v>
      </c>
      <c r="AO84" s="574">
        <f>'BS - Monthly'!AP50-'BS - Monthly'!AO50</f>
        <v>708297.25401154719</v>
      </c>
      <c r="AP84" s="574">
        <f>'BS - Monthly'!AQ50-'BS - Monthly'!AP50</f>
        <v>753071.55004063062</v>
      </c>
      <c r="AQ84" s="574">
        <f>'BS - Monthly'!AR50-'BS - Monthly'!AQ50</f>
        <v>886062.92402146244</v>
      </c>
      <c r="AR84" s="574">
        <f>'BS - Monthly'!AS50-'BS - Monthly'!AR50</f>
        <v>1009632.8444360779</v>
      </c>
      <c r="AS84" s="574">
        <f>'BS - Monthly'!AT50-'BS - Monthly'!AS50</f>
        <v>1133441.0823419669</v>
      </c>
      <c r="AT84" s="574">
        <f>'BS - Monthly'!AU50-'BS - Monthly'!AT50</f>
        <v>1248672.8546561457</v>
      </c>
      <c r="AU84" s="574">
        <f>'BS - Monthly'!AV50-'BS - Monthly'!AU50</f>
        <v>1369010.3573247206</v>
      </c>
      <c r="AV84" s="574">
        <f>'BS - Monthly'!AW50-'BS - Monthly'!AV50</f>
        <v>1497153.476667016</v>
      </c>
      <c r="AW84" s="574">
        <f>'BS - Monthly'!AX50-'BS - Monthly'!AW50</f>
        <v>1615152.5452856245</v>
      </c>
      <c r="AX84" s="574">
        <f>'BS - Monthly'!AY50-'BS - Monthly'!AX50</f>
        <v>1727239.8984028511</v>
      </c>
      <c r="AY84" s="574">
        <f>'BS - Monthly'!AZ50-'BS - Monthly'!AY50</f>
        <v>1851663.6299312823</v>
      </c>
      <c r="AZ84" s="574">
        <f>'BS - Monthly'!BA50-'BS - Monthly'!AZ50</f>
        <v>372779.3107672371</v>
      </c>
      <c r="BA84" s="574">
        <f>'BS - Monthly'!BB50-'BS - Monthly'!BA50</f>
        <v>-2022214.0963710845</v>
      </c>
      <c r="BB84" s="574">
        <f>'BS - Monthly'!BC50-'BS - Monthly'!BB50</f>
        <v>-2023135.0177842006</v>
      </c>
      <c r="BC84" s="574">
        <f>'BS - Monthly'!BD50-'BS - Monthly'!BC50</f>
        <v>-1836168.9249609415</v>
      </c>
      <c r="BD84" s="574">
        <f>'BS - Monthly'!BE50-'BS - Monthly'!BD50</f>
        <v>-1835450.2811580687</v>
      </c>
      <c r="BE84" s="574">
        <f>'BS - Monthly'!BF50-'BS - Monthly'!BE50</f>
        <v>-1835718.4178144943</v>
      </c>
      <c r="BF84" s="574">
        <f>'BS - Monthly'!BG50-'BS - Monthly'!BF50</f>
        <v>-1812579.1391851839</v>
      </c>
      <c r="BG84" s="574">
        <f>'BS - Monthly'!BH50-'BS - Monthly'!BG50</f>
        <v>-1812889.1999649196</v>
      </c>
      <c r="BH84" s="574">
        <f>'BS - Monthly'!BI50-'BS - Monthly'!BH50</f>
        <v>-1812255.2536075413</v>
      </c>
      <c r="BI84" s="574">
        <f>'BS - Monthly'!BJ50-'BS - Monthly'!BI50</f>
        <v>-1813358.7423845688</v>
      </c>
      <c r="BJ84" s="574">
        <f>'BS - Monthly'!BK50-'BS - Monthly'!BJ50</f>
        <v>-1813163.934322631</v>
      </c>
      <c r="BK84" s="574">
        <f>'BS - Monthly'!BL50-'BS - Monthly'!BK50</f>
        <v>-1813915.992196843</v>
      </c>
      <c r="BL84" s="574">
        <f>'BS - Monthly'!BM50-'BS - Monthly'!BL50</f>
        <v>-3449218.1802831125</v>
      </c>
      <c r="BM84" s="574">
        <f>'BS - Monthly'!BN50-'BS - Monthly'!BM50</f>
        <v>-1418321.8618155904</v>
      </c>
      <c r="BN84" s="574">
        <f>'BS - Monthly'!BO50-'BS - Monthly'!BN50</f>
        <v>-1434372.1373386048</v>
      </c>
      <c r="BO84" s="574">
        <f>'BS - Monthly'!BP50-'BS - Monthly'!BO50</f>
        <v>-1435140.2783817798</v>
      </c>
      <c r="BP84" s="574">
        <f>'BS - Monthly'!BQ50-'BS - Monthly'!BP50</f>
        <v>-1434814.1570529863</v>
      </c>
      <c r="BQ84" s="574">
        <f>'BS - Monthly'!BR50-'BS - Monthly'!BQ50</f>
        <v>-1435591.2275768258</v>
      </c>
      <c r="BR84" s="574">
        <f>'BS - Monthly'!BS50-'BS - Monthly'!BR50</f>
        <v>-1435341.2062884569</v>
      </c>
      <c r="BS84" s="574">
        <f>'BS - Monthly'!BT50-'BS - Monthly'!BS50</f>
        <v>-1436181.4400741644</v>
      </c>
      <c r="BT84" s="574">
        <f>'BS - Monthly'!BU50-'BS - Monthly'!BT50</f>
        <v>-1436531.336271286</v>
      </c>
      <c r="BU84" s="574">
        <f>'BS - Monthly'!BV50-'BS - Monthly'!BU50</f>
        <v>-1436384.1230048612</v>
      </c>
      <c r="BV84" s="574">
        <f>'BS - Monthly'!BW50-'BS - Monthly'!BV50</f>
        <v>-1437292.3169276416</v>
      </c>
      <c r="BW84" s="574">
        <f>'BS - Monthly'!BX50-'BS - Monthly'!BW50</f>
        <v>-1340353.9027403332</v>
      </c>
    </row>
    <row r="85" spans="2:76" x14ac:dyDescent="0.35">
      <c r="D85" s="167"/>
      <c r="E85" s="167">
        <f>+E84-E82</f>
        <v>-8882.246454206761</v>
      </c>
      <c r="F85" s="167">
        <f>+F84-F82</f>
        <v>-8882.8294617222855</v>
      </c>
      <c r="G85" s="167">
        <f t="shared" ref="G85:T85" si="58">+G84-G82</f>
        <v>-8872.8502278179512</v>
      </c>
      <c r="H85" s="167">
        <f t="shared" si="58"/>
        <v>-8883.4354553793091</v>
      </c>
      <c r="I85" s="167">
        <f t="shared" si="58"/>
        <v>-8882.103008804319</v>
      </c>
      <c r="J85" s="167">
        <f t="shared" si="58"/>
        <v>-8882.1891700320994</v>
      </c>
      <c r="K85" s="167">
        <f t="shared" si="58"/>
        <v>-8881.9549684880185</v>
      </c>
      <c r="L85" s="167">
        <f t="shared" si="58"/>
        <v>-8882.2340285868268</v>
      </c>
      <c r="M85" s="167">
        <f t="shared" si="58"/>
        <v>-8882.8091798241367</v>
      </c>
      <c r="N85" s="167">
        <f t="shared" si="58"/>
        <v>-8882.0548365295399</v>
      </c>
      <c r="O85" s="167">
        <f t="shared" si="58"/>
        <v>-8882.8739782687044</v>
      </c>
      <c r="P85" s="167">
        <f t="shared" si="58"/>
        <v>-770236.37098787259</v>
      </c>
      <c r="Q85" s="167">
        <f t="shared" si="58"/>
        <v>-0.99999999982537702</v>
      </c>
      <c r="R85" s="167">
        <f t="shared" si="58"/>
        <v>-7.2759576141834259E-11</v>
      </c>
      <c r="S85" s="167">
        <f t="shared" si="58"/>
        <v>0.12000000014086254</v>
      </c>
      <c r="T85" s="167">
        <f t="shared" si="58"/>
        <v>-2.0372681319713593E-10</v>
      </c>
      <c r="U85" s="167">
        <f>+U84-U82</f>
        <v>-4.0745362639427185E-10</v>
      </c>
      <c r="V85" s="576">
        <f>+V84-V82</f>
        <v>0</v>
      </c>
      <c r="W85" s="576">
        <f>+W84-W82</f>
        <v>6.1199999995296821</v>
      </c>
      <c r="X85" s="576">
        <f>+X82-X84</f>
        <v>0</v>
      </c>
      <c r="Y85" s="576">
        <f t="shared" ref="Y85:BV85" si="59">+Y82-Y84</f>
        <v>0</v>
      </c>
      <c r="Z85" s="576">
        <f t="shared" si="59"/>
        <v>0</v>
      </c>
      <c r="AA85" s="576">
        <f t="shared" si="59"/>
        <v>3.7252902984619141E-9</v>
      </c>
      <c r="AB85" s="576">
        <f t="shared" si="59"/>
        <v>351.67999999620952</v>
      </c>
      <c r="AC85" s="576">
        <f t="shared" si="59"/>
        <v>0</v>
      </c>
      <c r="AD85" s="576">
        <f t="shared" si="59"/>
        <v>0</v>
      </c>
      <c r="AE85" s="576">
        <f t="shared" si="59"/>
        <v>0</v>
      </c>
      <c r="AF85" s="576">
        <f t="shared" si="59"/>
        <v>0</v>
      </c>
      <c r="AG85" s="576">
        <f t="shared" si="59"/>
        <v>0</v>
      </c>
      <c r="AH85" s="576">
        <f t="shared" si="59"/>
        <v>0</v>
      </c>
      <c r="AI85" s="576">
        <f t="shared" si="59"/>
        <v>0</v>
      </c>
      <c r="AJ85" s="576">
        <f t="shared" si="59"/>
        <v>8.7311491370201111E-11</v>
      </c>
      <c r="AK85" s="576">
        <f t="shared" si="59"/>
        <v>0</v>
      </c>
      <c r="AL85" s="576">
        <f t="shared" si="59"/>
        <v>0</v>
      </c>
      <c r="AM85" s="576">
        <f t="shared" si="59"/>
        <v>-4.6566128730773926E-10</v>
      </c>
      <c r="AN85" s="576">
        <f t="shared" si="59"/>
        <v>0</v>
      </c>
      <c r="AO85" s="576">
        <f t="shared" si="59"/>
        <v>0</v>
      </c>
      <c r="AP85" s="576">
        <f t="shared" si="59"/>
        <v>0</v>
      </c>
      <c r="AQ85" s="576">
        <f t="shared" si="59"/>
        <v>0</v>
      </c>
      <c r="AR85" s="576">
        <f t="shared" si="59"/>
        <v>0</v>
      </c>
      <c r="AS85" s="576">
        <f t="shared" si="59"/>
        <v>0</v>
      </c>
      <c r="AT85" s="576">
        <f t="shared" si="59"/>
        <v>0</v>
      </c>
      <c r="AU85" s="576">
        <f t="shared" si="59"/>
        <v>0</v>
      </c>
      <c r="AV85" s="576">
        <f t="shared" si="59"/>
        <v>0</v>
      </c>
      <c r="AW85" s="576">
        <f t="shared" si="59"/>
        <v>0</v>
      </c>
      <c r="AX85" s="576">
        <f t="shared" si="59"/>
        <v>0</v>
      </c>
      <c r="AY85" s="576">
        <f t="shared" si="59"/>
        <v>0</v>
      </c>
      <c r="AZ85" s="576">
        <f t="shared" si="59"/>
        <v>0</v>
      </c>
      <c r="BA85" s="576">
        <f t="shared" si="59"/>
        <v>0</v>
      </c>
      <c r="BB85" s="576">
        <f t="shared" si="59"/>
        <v>0</v>
      </c>
      <c r="BC85" s="576">
        <f t="shared" si="59"/>
        <v>0</v>
      </c>
      <c r="BD85" s="576">
        <f t="shared" si="59"/>
        <v>0</v>
      </c>
      <c r="BE85" s="576">
        <f t="shared" si="59"/>
        <v>0</v>
      </c>
      <c r="BF85" s="576">
        <f t="shared" si="59"/>
        <v>0</v>
      </c>
      <c r="BG85" s="576">
        <f t="shared" si="59"/>
        <v>0</v>
      </c>
      <c r="BH85" s="576">
        <f t="shared" si="59"/>
        <v>0</v>
      </c>
      <c r="BI85" s="576">
        <f t="shared" si="59"/>
        <v>0</v>
      </c>
      <c r="BJ85" s="576">
        <f t="shared" si="59"/>
        <v>0</v>
      </c>
      <c r="BK85" s="576">
        <f t="shared" si="59"/>
        <v>0</v>
      </c>
      <c r="BL85" s="576">
        <f t="shared" si="59"/>
        <v>0</v>
      </c>
      <c r="BM85" s="576">
        <f t="shared" si="59"/>
        <v>0</v>
      </c>
      <c r="BN85" s="576">
        <f t="shared" si="59"/>
        <v>-1.862645149230957E-9</v>
      </c>
      <c r="BO85" s="576">
        <f t="shared" si="59"/>
        <v>0</v>
      </c>
      <c r="BP85" s="576">
        <f t="shared" si="59"/>
        <v>0</v>
      </c>
      <c r="BQ85" s="576">
        <f t="shared" si="59"/>
        <v>0</v>
      </c>
      <c r="BR85" s="576">
        <f t="shared" si="59"/>
        <v>0</v>
      </c>
      <c r="BS85" s="576">
        <f t="shared" si="59"/>
        <v>0</v>
      </c>
      <c r="BT85" s="576">
        <f t="shared" si="59"/>
        <v>0</v>
      </c>
      <c r="BU85" s="576">
        <f t="shared" si="59"/>
        <v>0</v>
      </c>
      <c r="BV85" s="576">
        <f t="shared" si="59"/>
        <v>0</v>
      </c>
    </row>
    <row r="86" spans="2:76" x14ac:dyDescent="0.35">
      <c r="D86" s="570"/>
      <c r="E86" s="570">
        <f>+E85-E32</f>
        <v>-8882.246454206761</v>
      </c>
      <c r="Q86" s="167"/>
      <c r="R86" s="167">
        <f>+R82-R84</f>
        <v>7.2759576141834259E-11</v>
      </c>
      <c r="S86" s="167">
        <f>+S82-S84</f>
        <v>-0.12000000014086254</v>
      </c>
      <c r="T86" s="167">
        <f>+T82-T84</f>
        <v>2.0372681319713593E-10</v>
      </c>
      <c r="U86" s="167">
        <f>+U82-U84</f>
        <v>4.0745362639427185E-10</v>
      </c>
      <c r="V86" s="576">
        <f>+V82-V84</f>
        <v>0</v>
      </c>
      <c r="W86" s="576">
        <f t="shared" ref="W86:BV86" si="60">+W82-W84</f>
        <v>-6.1199999995296821</v>
      </c>
      <c r="X86" s="576">
        <f t="shared" si="60"/>
        <v>0</v>
      </c>
      <c r="Y86" s="576">
        <f t="shared" si="60"/>
        <v>0</v>
      </c>
      <c r="Z86" s="576">
        <f t="shared" si="60"/>
        <v>0</v>
      </c>
      <c r="AA86" s="576">
        <f t="shared" si="60"/>
        <v>3.7252902984619141E-9</v>
      </c>
      <c r="AB86" s="576">
        <f t="shared" si="60"/>
        <v>351.67999999620952</v>
      </c>
      <c r="AC86" s="576">
        <f t="shared" si="60"/>
        <v>0</v>
      </c>
      <c r="AD86" s="576">
        <f t="shared" si="60"/>
        <v>0</v>
      </c>
      <c r="AE86" s="576">
        <f t="shared" si="60"/>
        <v>0</v>
      </c>
      <c r="AF86" s="576">
        <f t="shared" si="60"/>
        <v>0</v>
      </c>
      <c r="AG86" s="576">
        <f t="shared" si="60"/>
        <v>0</v>
      </c>
      <c r="AH86" s="576">
        <f t="shared" si="60"/>
        <v>0</v>
      </c>
      <c r="AI86" s="576">
        <f t="shared" si="60"/>
        <v>0</v>
      </c>
      <c r="AJ86" s="576">
        <f t="shared" si="60"/>
        <v>8.7311491370201111E-11</v>
      </c>
      <c r="AK86" s="576">
        <f t="shared" si="60"/>
        <v>0</v>
      </c>
      <c r="AL86" s="576">
        <f t="shared" si="60"/>
        <v>0</v>
      </c>
      <c r="AM86" s="576">
        <f t="shared" si="60"/>
        <v>-4.6566128730773926E-10</v>
      </c>
      <c r="AN86" s="576">
        <f t="shared" si="60"/>
        <v>0</v>
      </c>
      <c r="AO86" s="576">
        <f t="shared" si="60"/>
        <v>0</v>
      </c>
      <c r="AP86" s="576">
        <f t="shared" si="60"/>
        <v>0</v>
      </c>
      <c r="AQ86" s="576">
        <f t="shared" si="60"/>
        <v>0</v>
      </c>
      <c r="AR86" s="576">
        <f t="shared" si="60"/>
        <v>0</v>
      </c>
      <c r="AS86" s="576">
        <f t="shared" si="60"/>
        <v>0</v>
      </c>
      <c r="AT86" s="576">
        <f t="shared" si="60"/>
        <v>0</v>
      </c>
      <c r="AU86" s="576">
        <f t="shared" si="60"/>
        <v>0</v>
      </c>
      <c r="AV86" s="576">
        <f t="shared" si="60"/>
        <v>0</v>
      </c>
      <c r="AW86" s="576">
        <f t="shared" si="60"/>
        <v>0</v>
      </c>
      <c r="AX86" s="576">
        <f t="shared" si="60"/>
        <v>0</v>
      </c>
      <c r="AY86" s="576">
        <f t="shared" si="60"/>
        <v>0</v>
      </c>
      <c r="AZ86" s="576">
        <f t="shared" si="60"/>
        <v>0</v>
      </c>
      <c r="BA86" s="576">
        <f t="shared" si="60"/>
        <v>0</v>
      </c>
      <c r="BB86" s="576">
        <f t="shared" si="60"/>
        <v>0</v>
      </c>
      <c r="BC86" s="576">
        <f t="shared" si="60"/>
        <v>0</v>
      </c>
      <c r="BD86" s="576">
        <f t="shared" si="60"/>
        <v>0</v>
      </c>
      <c r="BE86" s="576">
        <f t="shared" si="60"/>
        <v>0</v>
      </c>
      <c r="BF86" s="576">
        <f t="shared" si="60"/>
        <v>0</v>
      </c>
      <c r="BG86" s="576">
        <f t="shared" si="60"/>
        <v>0</v>
      </c>
      <c r="BH86" s="576">
        <f t="shared" si="60"/>
        <v>0</v>
      </c>
      <c r="BI86" s="576">
        <f t="shared" si="60"/>
        <v>0</v>
      </c>
      <c r="BJ86" s="576">
        <f t="shared" si="60"/>
        <v>0</v>
      </c>
      <c r="BK86" s="576">
        <f t="shared" si="60"/>
        <v>0</v>
      </c>
      <c r="BL86" s="576">
        <f t="shared" si="60"/>
        <v>0</v>
      </c>
      <c r="BM86" s="576">
        <f t="shared" si="60"/>
        <v>0</v>
      </c>
      <c r="BN86" s="576">
        <f t="shared" si="60"/>
        <v>-1.862645149230957E-9</v>
      </c>
      <c r="BO86" s="576">
        <f t="shared" si="60"/>
        <v>0</v>
      </c>
      <c r="BP86" s="576">
        <f t="shared" si="60"/>
        <v>0</v>
      </c>
      <c r="BQ86" s="576">
        <f t="shared" si="60"/>
        <v>0</v>
      </c>
      <c r="BR86" s="576">
        <f t="shared" si="60"/>
        <v>0</v>
      </c>
      <c r="BS86" s="576">
        <f t="shared" si="60"/>
        <v>0</v>
      </c>
      <c r="BT86" s="576">
        <f t="shared" si="60"/>
        <v>0</v>
      </c>
      <c r="BU86" s="576">
        <f t="shared" si="60"/>
        <v>0</v>
      </c>
      <c r="BV86" s="576">
        <f t="shared" si="60"/>
        <v>0</v>
      </c>
    </row>
    <row r="87" spans="2:76" s="134" customFormat="1" x14ac:dyDescent="0.35">
      <c r="C87" s="30"/>
      <c r="D87" s="144"/>
      <c r="E87" s="144"/>
      <c r="F87" s="144"/>
      <c r="G87" s="144"/>
      <c r="H87" s="144"/>
      <c r="I87" s="144"/>
      <c r="J87" s="144"/>
      <c r="K87" s="144"/>
      <c r="L87" s="144"/>
      <c r="M87" s="144"/>
      <c r="N87" s="144"/>
      <c r="O87" s="144"/>
      <c r="P87" s="144"/>
      <c r="Q87" s="144"/>
      <c r="R87" s="144"/>
      <c r="S87" s="144"/>
      <c r="T87" s="144"/>
      <c r="U87" s="144"/>
      <c r="V87" s="144"/>
      <c r="W87" s="144"/>
      <c r="X87" s="144"/>
      <c r="Y87" s="144"/>
      <c r="Z87" s="144"/>
      <c r="AA87" s="144"/>
      <c r="AB87" s="144"/>
      <c r="BN87" s="574"/>
      <c r="BO87" s="574"/>
      <c r="BP87" s="574"/>
      <c r="BQ87" s="574"/>
      <c r="BR87" s="574"/>
      <c r="BS87" s="574"/>
      <c r="BT87" s="574"/>
      <c r="BU87" s="574"/>
      <c r="BV87" s="574"/>
      <c r="BW87" s="574"/>
      <c r="BX87" s="574"/>
    </row>
    <row r="88" spans="2:76" s="134" customFormat="1" x14ac:dyDescent="0.35">
      <c r="C88" s="30"/>
      <c r="D88" s="166"/>
      <c r="E88" s="8"/>
      <c r="F88" s="166"/>
      <c r="G88" s="166"/>
      <c r="H88" s="166"/>
      <c r="I88" s="166"/>
      <c r="J88" s="166"/>
      <c r="K88" s="166"/>
      <c r="L88" s="166"/>
      <c r="M88" s="166"/>
      <c r="N88" s="166"/>
      <c r="O88" s="166"/>
      <c r="P88" s="166"/>
      <c r="Q88" s="166"/>
      <c r="R88" s="166"/>
      <c r="S88" s="166"/>
      <c r="T88" s="166"/>
      <c r="U88" s="166"/>
      <c r="V88" s="166"/>
      <c r="W88" s="166"/>
      <c r="X88" s="166"/>
      <c r="Y88" s="166"/>
      <c r="Z88" s="166"/>
      <c r="AA88" s="166"/>
      <c r="AB88" s="166"/>
      <c r="BN88" s="574"/>
      <c r="BO88" s="574"/>
      <c r="BP88" s="574"/>
      <c r="BQ88" s="574"/>
      <c r="BR88" s="574"/>
      <c r="BS88" s="574"/>
      <c r="BT88" s="574"/>
      <c r="BU88" s="574"/>
      <c r="BV88" s="574"/>
      <c r="BW88" s="574"/>
      <c r="BX88" s="574"/>
    </row>
    <row r="89" spans="2:76" s="134" customFormat="1" x14ac:dyDescent="0.35">
      <c r="C89" s="30"/>
      <c r="D89" s="166"/>
      <c r="E89" s="166"/>
      <c r="F89" s="166"/>
      <c r="G89" s="166"/>
      <c r="H89" s="166"/>
      <c r="I89" s="166"/>
      <c r="J89" s="166"/>
      <c r="K89" s="166"/>
      <c r="L89" s="166"/>
      <c r="M89" s="166"/>
      <c r="N89" s="166"/>
      <c r="O89" s="166"/>
      <c r="P89" s="166"/>
      <c r="Q89" s="166"/>
      <c r="R89" s="166"/>
      <c r="S89" s="166"/>
      <c r="T89" s="166"/>
      <c r="U89" s="166"/>
      <c r="V89" s="166"/>
      <c r="W89" s="166"/>
      <c r="X89" s="166"/>
      <c r="Y89" s="166"/>
      <c r="Z89" s="166"/>
      <c r="AA89" s="166"/>
      <c r="AB89" s="166"/>
      <c r="BN89" s="574"/>
      <c r="BO89" s="574"/>
      <c r="BP89" s="574"/>
      <c r="BQ89" s="574"/>
      <c r="BR89" s="574"/>
      <c r="BS89" s="574"/>
      <c r="BT89" s="574"/>
      <c r="BU89" s="574"/>
      <c r="BV89" s="574"/>
      <c r="BW89" s="574"/>
      <c r="BX89" s="574"/>
    </row>
    <row r="90" spans="2:76" s="134" customFormat="1" x14ac:dyDescent="0.35">
      <c r="C90" s="30"/>
      <c r="D90" s="145"/>
      <c r="E90" s="145"/>
      <c r="F90" s="145"/>
      <c r="G90" s="145"/>
      <c r="H90" s="145"/>
      <c r="I90" s="145"/>
      <c r="J90" s="145"/>
      <c r="K90" s="145"/>
      <c r="L90" s="145"/>
      <c r="M90" s="145"/>
      <c r="N90" s="145"/>
      <c r="O90" s="145"/>
      <c r="P90" s="145"/>
      <c r="Q90" s="19"/>
      <c r="R90" s="19"/>
      <c r="S90" s="19"/>
      <c r="T90" s="19"/>
      <c r="U90" s="19"/>
      <c r="V90" s="145"/>
      <c r="W90" s="145"/>
      <c r="X90" s="145"/>
      <c r="Y90" s="145"/>
      <c r="Z90" s="145"/>
      <c r="AA90" s="145"/>
      <c r="AB90" s="145"/>
      <c r="BN90" s="574"/>
      <c r="BO90" s="574"/>
      <c r="BP90" s="574"/>
      <c r="BQ90" s="574"/>
      <c r="BR90" s="574"/>
      <c r="BS90" s="574"/>
      <c r="BT90" s="574"/>
      <c r="BU90" s="574"/>
      <c r="BV90" s="574"/>
      <c r="BW90" s="574"/>
      <c r="BX90" s="574"/>
    </row>
    <row r="91" spans="2:76" s="134" customFormat="1" x14ac:dyDescent="0.35">
      <c r="C91" s="30"/>
      <c r="D91" s="30"/>
      <c r="E91" s="30"/>
      <c r="F91" s="30"/>
      <c r="G91" s="30"/>
      <c r="H91" s="30"/>
      <c r="I91" s="30"/>
      <c r="J91" s="30"/>
      <c r="K91" s="30"/>
      <c r="L91" s="30"/>
      <c r="M91" s="30"/>
      <c r="N91" s="30"/>
      <c r="O91" s="30"/>
      <c r="P91" s="30"/>
      <c r="Q91" s="19"/>
      <c r="R91" s="19"/>
      <c r="S91" s="19"/>
      <c r="T91" s="19"/>
      <c r="U91" s="19"/>
      <c r="V91" s="30"/>
      <c r="W91" s="30"/>
      <c r="X91" s="30"/>
      <c r="Y91" s="30"/>
      <c r="Z91" s="30"/>
      <c r="AA91" s="30"/>
      <c r="AB91" s="30"/>
      <c r="BN91" s="574"/>
      <c r="BO91" s="574"/>
      <c r="BP91" s="574"/>
      <c r="BQ91" s="574"/>
      <c r="BR91" s="574"/>
      <c r="BS91" s="574"/>
      <c r="BT91" s="574"/>
      <c r="BU91" s="574"/>
      <c r="BV91" s="574"/>
      <c r="BW91" s="574"/>
      <c r="BX91" s="574"/>
    </row>
    <row r="92" spans="2:76" s="134" customFormat="1" x14ac:dyDescent="0.35">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BN92" s="574"/>
      <c r="BO92" s="574"/>
      <c r="BP92" s="574"/>
      <c r="BQ92" s="574"/>
      <c r="BR92" s="574"/>
      <c r="BS92" s="574"/>
      <c r="BT92" s="574"/>
      <c r="BU92" s="574"/>
      <c r="BV92" s="574"/>
      <c r="BW92" s="574"/>
      <c r="BX92" s="574"/>
    </row>
    <row r="93" spans="2:76" s="134" customFormat="1" x14ac:dyDescent="0.35">
      <c r="C93" s="146"/>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BN93" s="574"/>
      <c r="BO93" s="574"/>
      <c r="BP93" s="574"/>
      <c r="BQ93" s="574"/>
      <c r="BR93" s="574"/>
      <c r="BS93" s="574"/>
      <c r="BT93" s="574"/>
      <c r="BU93" s="574"/>
      <c r="BV93" s="574"/>
      <c r="BW93" s="574"/>
      <c r="BX93" s="574"/>
    </row>
    <row r="94" spans="2:76" s="134" customFormat="1" x14ac:dyDescent="0.35">
      <c r="C94" s="30"/>
      <c r="D94" s="30"/>
      <c r="E94" s="30"/>
      <c r="F94" s="30"/>
      <c r="G94" s="30"/>
      <c r="H94" s="30"/>
      <c r="I94" s="30"/>
      <c r="J94" s="30"/>
      <c r="K94" s="30"/>
      <c r="L94" s="30"/>
      <c r="M94" s="30"/>
      <c r="N94" s="30"/>
      <c r="O94" s="30"/>
      <c r="P94" s="30"/>
      <c r="Q94" s="1171"/>
      <c r="R94" s="30"/>
      <c r="S94" s="30"/>
      <c r="T94" s="30"/>
      <c r="U94" s="30"/>
      <c r="V94" s="30"/>
      <c r="W94" s="30"/>
      <c r="X94" s="30"/>
      <c r="Y94" s="30"/>
      <c r="Z94" s="30"/>
      <c r="AA94" s="30"/>
      <c r="AB94" s="30"/>
      <c r="BN94" s="574"/>
      <c r="BO94" s="574"/>
      <c r="BP94" s="574"/>
      <c r="BQ94" s="574"/>
      <c r="BR94" s="574"/>
      <c r="BS94" s="574"/>
      <c r="BT94" s="574"/>
      <c r="BU94" s="574"/>
      <c r="BV94" s="574"/>
      <c r="BW94" s="574"/>
      <c r="BX94" s="574"/>
    </row>
    <row r="95" spans="2:76" s="134" customFormat="1" x14ac:dyDescent="0.35">
      <c r="C95" s="30"/>
      <c r="D95" s="144"/>
      <c r="E95" s="144"/>
      <c r="F95" s="144"/>
      <c r="G95" s="144"/>
      <c r="H95" s="144"/>
      <c r="I95" s="144"/>
      <c r="J95" s="144"/>
      <c r="K95" s="144"/>
      <c r="L95" s="144"/>
      <c r="M95" s="144"/>
      <c r="N95" s="144"/>
      <c r="O95" s="144"/>
      <c r="P95" s="144"/>
      <c r="Q95" s="1171"/>
      <c r="R95" s="144"/>
      <c r="S95" s="144"/>
      <c r="T95" s="144"/>
      <c r="U95" s="144"/>
      <c r="V95" s="144"/>
      <c r="W95" s="144"/>
      <c r="X95" s="144"/>
      <c r="Y95" s="144"/>
      <c r="Z95" s="144"/>
      <c r="AA95" s="144"/>
      <c r="AB95" s="144"/>
      <c r="BN95" s="574"/>
      <c r="BO95" s="574"/>
      <c r="BP95" s="574"/>
      <c r="BQ95" s="574"/>
      <c r="BR95" s="574"/>
      <c r="BS95" s="574"/>
      <c r="BT95" s="574"/>
      <c r="BU95" s="574"/>
      <c r="BV95" s="574"/>
      <c r="BW95" s="574"/>
      <c r="BX95" s="574"/>
    </row>
    <row r="96" spans="2:76" s="134" customFormat="1" x14ac:dyDescent="0.35">
      <c r="C96" s="147"/>
      <c r="D96" s="22"/>
      <c r="E96" s="22"/>
      <c r="F96" s="22"/>
      <c r="G96" s="22"/>
      <c r="H96" s="22"/>
      <c r="I96" s="22"/>
      <c r="J96" s="22"/>
      <c r="K96" s="22"/>
      <c r="L96" s="22"/>
      <c r="M96" s="22"/>
      <c r="N96" s="22"/>
      <c r="O96" s="22"/>
      <c r="P96" s="22"/>
      <c r="Q96" s="1166"/>
      <c r="R96" s="22"/>
      <c r="S96" s="22"/>
      <c r="T96" s="22"/>
      <c r="U96" s="22"/>
      <c r="V96" s="22"/>
      <c r="W96" s="22"/>
      <c r="X96" s="22"/>
      <c r="Y96" s="22"/>
      <c r="Z96" s="22"/>
      <c r="AA96" s="22"/>
      <c r="AB96" s="22"/>
      <c r="BN96" s="574"/>
      <c r="BO96" s="574"/>
      <c r="BP96" s="574"/>
      <c r="BQ96" s="574"/>
      <c r="BR96" s="574"/>
      <c r="BS96" s="574"/>
      <c r="BT96" s="574"/>
      <c r="BU96" s="574"/>
      <c r="BV96" s="574"/>
      <c r="BW96" s="574"/>
      <c r="BX96" s="574"/>
    </row>
    <row r="97" spans="3:76" s="134" customFormat="1" x14ac:dyDescent="0.35">
      <c r="C97" s="147"/>
      <c r="D97" s="22"/>
      <c r="E97" s="22"/>
      <c r="F97" s="22"/>
      <c r="G97" s="22"/>
      <c r="H97" s="22"/>
      <c r="I97" s="22"/>
      <c r="J97" s="22"/>
      <c r="K97" s="22"/>
      <c r="L97" s="22"/>
      <c r="M97" s="22"/>
      <c r="N97" s="22"/>
      <c r="O97" s="22"/>
      <c r="P97" s="22"/>
      <c r="Q97" s="1166"/>
      <c r="R97" s="22"/>
      <c r="S97" s="22"/>
      <c r="T97" s="22"/>
      <c r="U97" s="22"/>
      <c r="V97" s="22"/>
      <c r="W97" s="22"/>
      <c r="X97" s="22"/>
      <c r="Y97" s="22"/>
      <c r="Z97" s="22"/>
      <c r="AA97" s="22"/>
      <c r="AB97" s="22"/>
      <c r="BN97" s="574"/>
      <c r="BO97" s="574"/>
      <c r="BP97" s="574"/>
      <c r="BQ97" s="574"/>
      <c r="BR97" s="574"/>
      <c r="BS97" s="574"/>
      <c r="BT97" s="574"/>
      <c r="BU97" s="574"/>
      <c r="BV97" s="574"/>
      <c r="BW97" s="574"/>
      <c r="BX97" s="574"/>
    </row>
    <row r="98" spans="3:76" s="134" customFormat="1" x14ac:dyDescent="0.35">
      <c r="C98" s="30"/>
      <c r="D98" s="144"/>
      <c r="E98" s="144"/>
      <c r="F98" s="144"/>
      <c r="G98" s="144"/>
      <c r="H98" s="144"/>
      <c r="I98" s="144"/>
      <c r="J98" s="144"/>
      <c r="K98" s="144"/>
      <c r="L98" s="144"/>
      <c r="M98" s="144"/>
      <c r="N98" s="144"/>
      <c r="O98" s="144"/>
      <c r="P98" s="144"/>
      <c r="Q98" s="1171"/>
      <c r="R98" s="144"/>
      <c r="S98" s="144"/>
      <c r="T98" s="144"/>
      <c r="U98" s="144"/>
      <c r="V98" s="144"/>
      <c r="W98" s="144"/>
      <c r="X98" s="144"/>
      <c r="Y98" s="144"/>
      <c r="Z98" s="144"/>
      <c r="AA98" s="144"/>
      <c r="AB98" s="144"/>
      <c r="BN98" s="574"/>
      <c r="BO98" s="574"/>
      <c r="BP98" s="574"/>
      <c r="BQ98" s="574"/>
      <c r="BR98" s="574"/>
      <c r="BS98" s="574"/>
      <c r="BT98" s="574"/>
      <c r="BU98" s="574"/>
      <c r="BV98" s="574"/>
      <c r="BW98" s="574"/>
      <c r="BX98" s="574"/>
    </row>
    <row r="99" spans="3:76" s="134" customFormat="1" x14ac:dyDescent="0.35">
      <c r="C99" s="50"/>
      <c r="D99" s="148"/>
      <c r="E99" s="148"/>
      <c r="F99" s="148"/>
      <c r="G99" s="148"/>
      <c r="H99" s="148"/>
      <c r="I99" s="148"/>
      <c r="J99" s="148"/>
      <c r="K99" s="148"/>
      <c r="L99" s="148"/>
      <c r="M99" s="148"/>
      <c r="N99" s="148"/>
      <c r="O99" s="148"/>
      <c r="P99" s="148"/>
      <c r="Q99" s="1171"/>
      <c r="R99" s="148"/>
      <c r="S99" s="148"/>
      <c r="T99" s="148"/>
      <c r="U99" s="148"/>
      <c r="V99" s="148"/>
      <c r="W99" s="148"/>
      <c r="X99" s="148"/>
      <c r="Y99" s="148"/>
      <c r="Z99" s="148"/>
      <c r="AA99" s="148"/>
      <c r="AB99" s="148"/>
      <c r="BN99" s="574"/>
      <c r="BO99" s="574"/>
      <c r="BP99" s="574"/>
      <c r="BQ99" s="574"/>
      <c r="BR99" s="574"/>
      <c r="BS99" s="574"/>
      <c r="BT99" s="574"/>
      <c r="BU99" s="574"/>
      <c r="BV99" s="574"/>
      <c r="BW99" s="574"/>
      <c r="BX99" s="574"/>
    </row>
    <row r="100" spans="3:76" s="134" customFormat="1" x14ac:dyDescent="0.35">
      <c r="C100" s="50"/>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BN100" s="574"/>
      <c r="BO100" s="574"/>
      <c r="BP100" s="574"/>
      <c r="BQ100" s="574"/>
      <c r="BR100" s="574"/>
      <c r="BS100" s="574"/>
      <c r="BT100" s="574"/>
      <c r="BU100" s="574"/>
      <c r="BV100" s="574"/>
      <c r="BW100" s="574"/>
      <c r="BX100" s="574"/>
    </row>
    <row r="101" spans="3:76" s="134" customFormat="1" x14ac:dyDescent="0.35">
      <c r="C101" s="143"/>
      <c r="D101" s="71"/>
      <c r="E101" s="71"/>
      <c r="F101" s="71"/>
      <c r="G101" s="71"/>
      <c r="H101" s="71"/>
      <c r="I101" s="71"/>
      <c r="J101" s="71"/>
      <c r="K101" s="71"/>
      <c r="L101" s="71"/>
      <c r="M101" s="71"/>
      <c r="N101" s="71"/>
      <c r="O101" s="71"/>
      <c r="P101" s="71"/>
      <c r="Q101" s="71"/>
      <c r="R101" s="71"/>
      <c r="S101" s="71"/>
      <c r="T101" s="71"/>
      <c r="U101" s="71"/>
      <c r="V101" s="71"/>
      <c r="W101" s="71"/>
      <c r="X101" s="71"/>
      <c r="Y101" s="71"/>
      <c r="Z101" s="71"/>
      <c r="AA101" s="71"/>
      <c r="AB101" s="71"/>
      <c r="BN101" s="574"/>
      <c r="BO101" s="574"/>
      <c r="BP101" s="574"/>
      <c r="BQ101" s="574"/>
      <c r="BR101" s="574"/>
      <c r="BS101" s="574"/>
      <c r="BT101" s="574"/>
      <c r="BU101" s="574"/>
      <c r="BV101" s="574"/>
      <c r="BW101" s="574"/>
      <c r="BX101" s="574"/>
    </row>
    <row r="102" spans="3:76" s="134" customFormat="1" x14ac:dyDescent="0.35">
      <c r="C102" s="143"/>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BN102" s="574"/>
      <c r="BO102" s="574"/>
      <c r="BP102" s="574"/>
      <c r="BQ102" s="574"/>
      <c r="BR102" s="574"/>
      <c r="BS102" s="574"/>
      <c r="BT102" s="574"/>
      <c r="BU102" s="574"/>
      <c r="BV102" s="574"/>
      <c r="BW102" s="574"/>
      <c r="BX102" s="574"/>
    </row>
    <row r="103" spans="3:76" s="134" customFormat="1" x14ac:dyDescent="0.35">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BN103" s="574"/>
      <c r="BO103" s="574"/>
      <c r="BP103" s="574"/>
      <c r="BQ103" s="574"/>
      <c r="BR103" s="574"/>
      <c r="BS103" s="574"/>
      <c r="BT103" s="574"/>
      <c r="BU103" s="574"/>
      <c r="BV103" s="574"/>
      <c r="BW103" s="574"/>
      <c r="BX103" s="574"/>
    </row>
    <row r="104" spans="3:76" s="134" customFormat="1" x14ac:dyDescent="0.35">
      <c r="C104" s="147"/>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BN104" s="574"/>
      <c r="BO104" s="574"/>
      <c r="BP104" s="574"/>
      <c r="BQ104" s="574"/>
      <c r="BR104" s="574"/>
      <c r="BS104" s="574"/>
      <c r="BT104" s="574"/>
      <c r="BU104" s="574"/>
      <c r="BV104" s="574"/>
      <c r="BW104" s="574"/>
      <c r="BX104" s="574"/>
    </row>
    <row r="105" spans="3:76" s="134" customFormat="1" x14ac:dyDescent="0.35">
      <c r="C105" s="147"/>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BN105" s="574"/>
      <c r="BO105" s="574"/>
      <c r="BP105" s="574"/>
      <c r="BQ105" s="574"/>
      <c r="BR105" s="574"/>
      <c r="BS105" s="574"/>
      <c r="BT105" s="574"/>
      <c r="BU105" s="574"/>
      <c r="BV105" s="574"/>
      <c r="BW105" s="574"/>
      <c r="BX105" s="574"/>
    </row>
    <row r="106" spans="3:76" s="134" customFormat="1" x14ac:dyDescent="0.35">
      <c r="C106" s="147"/>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BN106" s="574"/>
      <c r="BO106" s="574"/>
      <c r="BP106" s="574"/>
      <c r="BQ106" s="574"/>
      <c r="BR106" s="574"/>
      <c r="BS106" s="574"/>
      <c r="BT106" s="574"/>
      <c r="BU106" s="574"/>
      <c r="BV106" s="574"/>
      <c r="BW106" s="574"/>
      <c r="BX106" s="574"/>
    </row>
    <row r="107" spans="3:76" s="134" customFormat="1" x14ac:dyDescent="0.35">
      <c r="C107" s="147"/>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BN107" s="574"/>
      <c r="BO107" s="574"/>
      <c r="BP107" s="574"/>
      <c r="BQ107" s="574"/>
      <c r="BR107" s="574"/>
      <c r="BS107" s="574"/>
      <c r="BT107" s="574"/>
      <c r="BU107" s="574"/>
      <c r="BV107" s="574"/>
      <c r="BW107" s="574"/>
      <c r="BX107" s="574"/>
    </row>
    <row r="108" spans="3:76" s="134" customFormat="1" x14ac:dyDescent="0.35">
      <c r="C108" s="147"/>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BN108" s="574"/>
      <c r="BO108" s="574"/>
      <c r="BP108" s="574"/>
      <c r="BQ108" s="574"/>
      <c r="BR108" s="574"/>
      <c r="BS108" s="574"/>
      <c r="BT108" s="574"/>
      <c r="BU108" s="574"/>
      <c r="BV108" s="574"/>
      <c r="BW108" s="574"/>
      <c r="BX108" s="574"/>
    </row>
    <row r="109" spans="3:76" s="134" customFormat="1" x14ac:dyDescent="0.35">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BN109" s="574"/>
      <c r="BO109" s="574"/>
      <c r="BP109" s="574"/>
      <c r="BQ109" s="574"/>
      <c r="BR109" s="574"/>
      <c r="BS109" s="574"/>
      <c r="BT109" s="574"/>
      <c r="BU109" s="574"/>
      <c r="BV109" s="574"/>
      <c r="BW109" s="574"/>
      <c r="BX109" s="574"/>
    </row>
    <row r="110" spans="3:76" s="134" customFormat="1" x14ac:dyDescent="0.35">
      <c r="C110" s="30"/>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BN110" s="574"/>
      <c r="BO110" s="574"/>
      <c r="BP110" s="574"/>
      <c r="BQ110" s="574"/>
      <c r="BR110" s="574"/>
      <c r="BS110" s="574"/>
      <c r="BT110" s="574"/>
      <c r="BU110" s="574"/>
      <c r="BV110" s="574"/>
      <c r="BW110" s="574"/>
      <c r="BX110" s="574"/>
    </row>
    <row r="111" spans="3:76" s="134" customFormat="1" x14ac:dyDescent="0.35">
      <c r="C111" s="30"/>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BN111" s="574"/>
      <c r="BO111" s="574"/>
      <c r="BP111" s="574"/>
      <c r="BQ111" s="574"/>
      <c r="BR111" s="574"/>
      <c r="BS111" s="574"/>
      <c r="BT111" s="574"/>
      <c r="BU111" s="574"/>
      <c r="BV111" s="574"/>
      <c r="BW111" s="574"/>
      <c r="BX111" s="574"/>
    </row>
    <row r="112" spans="3:76" s="134" customFormat="1" x14ac:dyDescent="0.35">
      <c r="C112" s="30"/>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BN112" s="574"/>
      <c r="BO112" s="574"/>
      <c r="BP112" s="574"/>
      <c r="BQ112" s="574"/>
      <c r="BR112" s="574"/>
      <c r="BS112" s="574"/>
      <c r="BT112" s="574"/>
      <c r="BU112" s="574"/>
      <c r="BV112" s="574"/>
      <c r="BW112" s="574"/>
      <c r="BX112" s="574"/>
    </row>
    <row r="113" spans="3:76" s="134" customFormat="1" x14ac:dyDescent="0.35">
      <c r="C113" s="146"/>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BN113" s="574"/>
      <c r="BO113" s="574"/>
      <c r="BP113" s="574"/>
      <c r="BQ113" s="574"/>
      <c r="BR113" s="574"/>
      <c r="BS113" s="574"/>
      <c r="BT113" s="574"/>
      <c r="BU113" s="574"/>
      <c r="BV113" s="574"/>
      <c r="BW113" s="574"/>
      <c r="BX113" s="574"/>
    </row>
    <row r="114" spans="3:76" s="134" customFormat="1" x14ac:dyDescent="0.35">
      <c r="C114" s="30"/>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BN114" s="574"/>
      <c r="BO114" s="574"/>
      <c r="BP114" s="574"/>
      <c r="BQ114" s="574"/>
      <c r="BR114" s="574"/>
      <c r="BS114" s="574"/>
      <c r="BT114" s="574"/>
      <c r="BU114" s="574"/>
      <c r="BV114" s="574"/>
      <c r="BW114" s="574"/>
      <c r="BX114" s="574"/>
    </row>
    <row r="115" spans="3:76" s="134" customFormat="1" x14ac:dyDescent="0.35">
      <c r="C115" s="146"/>
      <c r="D115" s="79"/>
      <c r="E115" s="79"/>
      <c r="F115" s="79"/>
      <c r="G115" s="79"/>
      <c r="H115" s="79"/>
      <c r="I115" s="79"/>
      <c r="J115" s="79"/>
      <c r="K115" s="79"/>
      <c r="L115" s="79"/>
      <c r="M115" s="79"/>
      <c r="N115" s="79"/>
      <c r="O115" s="79"/>
      <c r="P115" s="79"/>
      <c r="Q115" s="79"/>
      <c r="R115" s="79"/>
      <c r="S115" s="79"/>
      <c r="T115" s="79"/>
      <c r="U115" s="79"/>
      <c r="V115" s="79"/>
      <c r="W115" s="79"/>
      <c r="X115" s="79"/>
      <c r="Y115" s="79"/>
      <c r="Z115" s="79"/>
      <c r="AA115" s="79"/>
      <c r="AB115" s="79"/>
      <c r="BN115" s="574"/>
      <c r="BO115" s="574"/>
      <c r="BP115" s="574"/>
      <c r="BQ115" s="574"/>
      <c r="BR115" s="574"/>
      <c r="BS115" s="574"/>
      <c r="BT115" s="574"/>
      <c r="BU115" s="574"/>
      <c r="BV115" s="574"/>
      <c r="BW115" s="574"/>
      <c r="BX115" s="574"/>
    </row>
    <row r="116" spans="3:76" s="134" customFormat="1" x14ac:dyDescent="0.35">
      <c r="C116" s="143"/>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BN116" s="574"/>
      <c r="BO116" s="574"/>
      <c r="BP116" s="574"/>
      <c r="BQ116" s="574"/>
      <c r="BR116" s="574"/>
      <c r="BS116" s="574"/>
      <c r="BT116" s="574"/>
      <c r="BU116" s="574"/>
      <c r="BV116" s="574"/>
      <c r="BW116" s="574"/>
      <c r="BX116" s="574"/>
    </row>
    <row r="117" spans="3:76" s="134" customFormat="1" x14ac:dyDescent="0.35">
      <c r="C117" s="30"/>
      <c r="D117" s="144"/>
      <c r="E117" s="144"/>
      <c r="F117" s="144"/>
      <c r="G117" s="144"/>
      <c r="H117" s="144"/>
      <c r="I117" s="144"/>
      <c r="J117" s="144"/>
      <c r="K117" s="144"/>
      <c r="L117" s="144"/>
      <c r="M117" s="144"/>
      <c r="N117" s="144"/>
      <c r="O117" s="144"/>
      <c r="P117" s="144"/>
      <c r="Q117" s="144"/>
      <c r="R117" s="144"/>
      <c r="S117" s="144"/>
      <c r="T117" s="144"/>
      <c r="U117" s="144"/>
      <c r="V117" s="144"/>
      <c r="W117" s="144"/>
      <c r="X117" s="144"/>
      <c r="Y117" s="144"/>
      <c r="Z117" s="144"/>
      <c r="AA117" s="144"/>
      <c r="AB117" s="144"/>
      <c r="BN117" s="574"/>
      <c r="BO117" s="574"/>
      <c r="BP117" s="574"/>
      <c r="BQ117" s="574"/>
      <c r="BR117" s="574"/>
      <c r="BS117" s="574"/>
      <c r="BT117" s="574"/>
      <c r="BU117" s="574"/>
      <c r="BV117" s="574"/>
      <c r="BW117" s="574"/>
      <c r="BX117" s="574"/>
    </row>
    <row r="118" spans="3:76" s="134" customFormat="1" x14ac:dyDescent="0.35">
      <c r="C118" s="147"/>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BN118" s="574"/>
      <c r="BO118" s="574"/>
      <c r="BP118" s="574"/>
      <c r="BQ118" s="574"/>
      <c r="BR118" s="574"/>
      <c r="BS118" s="574"/>
      <c r="BT118" s="574"/>
      <c r="BU118" s="574"/>
      <c r="BV118" s="574"/>
      <c r="BW118" s="574"/>
      <c r="BX118" s="574"/>
    </row>
    <row r="119" spans="3:76" s="134" customFormat="1" x14ac:dyDescent="0.35">
      <c r="C119" s="147"/>
      <c r="D119" s="148"/>
      <c r="E119" s="148"/>
      <c r="F119" s="148"/>
      <c r="G119" s="148"/>
      <c r="H119" s="148"/>
      <c r="I119" s="148"/>
      <c r="J119" s="148"/>
      <c r="K119" s="148"/>
      <c r="L119" s="148"/>
      <c r="M119" s="148"/>
      <c r="N119" s="148"/>
      <c r="O119" s="148"/>
      <c r="P119" s="148"/>
      <c r="Q119" s="148"/>
      <c r="R119" s="148"/>
      <c r="S119" s="148"/>
      <c r="T119" s="148"/>
      <c r="U119" s="148"/>
      <c r="V119" s="148"/>
      <c r="W119" s="148"/>
      <c r="X119" s="148"/>
      <c r="Y119" s="148"/>
      <c r="Z119" s="148"/>
      <c r="AA119" s="148"/>
      <c r="AB119" s="148"/>
      <c r="BN119" s="574"/>
      <c r="BO119" s="574"/>
      <c r="BP119" s="574"/>
      <c r="BQ119" s="574"/>
      <c r="BR119" s="574"/>
      <c r="BS119" s="574"/>
      <c r="BT119" s="574"/>
      <c r="BU119" s="574"/>
      <c r="BV119" s="574"/>
      <c r="BW119" s="574"/>
      <c r="BX119" s="574"/>
    </row>
    <row r="120" spans="3:76" s="134" customFormat="1" x14ac:dyDescent="0.35">
      <c r="C120" s="50"/>
      <c r="D120" s="148"/>
      <c r="E120" s="148"/>
      <c r="F120" s="148"/>
      <c r="G120" s="148"/>
      <c r="H120" s="148"/>
      <c r="I120" s="148"/>
      <c r="J120" s="148"/>
      <c r="K120" s="148"/>
      <c r="L120" s="148"/>
      <c r="M120" s="148"/>
      <c r="N120" s="148"/>
      <c r="O120" s="148"/>
      <c r="P120" s="148"/>
      <c r="Q120" s="148"/>
      <c r="R120" s="148"/>
      <c r="S120" s="148"/>
      <c r="T120" s="148"/>
      <c r="U120" s="148"/>
      <c r="V120" s="148"/>
      <c r="W120" s="148"/>
      <c r="X120" s="148"/>
      <c r="Y120" s="148"/>
      <c r="Z120" s="148"/>
      <c r="AA120" s="148"/>
      <c r="AB120" s="148"/>
      <c r="BN120" s="574"/>
      <c r="BO120" s="574"/>
      <c r="BP120" s="574"/>
      <c r="BQ120" s="574"/>
      <c r="BR120" s="574"/>
      <c r="BS120" s="574"/>
      <c r="BT120" s="574"/>
      <c r="BU120" s="574"/>
      <c r="BV120" s="574"/>
      <c r="BW120" s="574"/>
      <c r="BX120" s="574"/>
    </row>
    <row r="121" spans="3:76" s="134" customFormat="1" x14ac:dyDescent="0.35">
      <c r="C121" s="30"/>
      <c r="D121" s="148"/>
      <c r="E121" s="148"/>
      <c r="F121" s="148"/>
      <c r="G121" s="148"/>
      <c r="H121" s="148"/>
      <c r="I121" s="148"/>
      <c r="J121" s="148"/>
      <c r="K121" s="148"/>
      <c r="L121" s="148"/>
      <c r="M121" s="148"/>
      <c r="N121" s="148"/>
      <c r="O121" s="148"/>
      <c r="P121" s="148"/>
      <c r="Q121" s="148"/>
      <c r="R121" s="148"/>
      <c r="S121" s="148"/>
      <c r="T121" s="148"/>
      <c r="U121" s="148"/>
      <c r="V121" s="148"/>
      <c r="W121" s="148"/>
      <c r="X121" s="148"/>
      <c r="Y121" s="148"/>
      <c r="Z121" s="148"/>
      <c r="AA121" s="148"/>
      <c r="AB121" s="148"/>
      <c r="BN121" s="574"/>
      <c r="BO121" s="574"/>
      <c r="BP121" s="574"/>
      <c r="BQ121" s="574"/>
      <c r="BR121" s="574"/>
      <c r="BS121" s="574"/>
      <c r="BT121" s="574"/>
      <c r="BU121" s="574"/>
      <c r="BV121" s="574"/>
      <c r="BW121" s="574"/>
      <c r="BX121" s="574"/>
    </row>
    <row r="122" spans="3:76" s="134" customFormat="1" x14ac:dyDescent="0.35">
      <c r="C122" s="30"/>
      <c r="D122" s="148"/>
      <c r="E122" s="148"/>
      <c r="F122" s="148"/>
      <c r="G122" s="148"/>
      <c r="H122" s="148"/>
      <c r="I122" s="148"/>
      <c r="J122" s="148"/>
      <c r="K122" s="148"/>
      <c r="L122" s="148"/>
      <c r="M122" s="148"/>
      <c r="N122" s="148"/>
      <c r="O122" s="148"/>
      <c r="P122" s="148"/>
      <c r="Q122" s="148"/>
      <c r="R122" s="148"/>
      <c r="S122" s="148"/>
      <c r="T122" s="148"/>
      <c r="U122" s="148"/>
      <c r="V122" s="148"/>
      <c r="W122" s="148"/>
      <c r="X122" s="148"/>
      <c r="Y122" s="148"/>
      <c r="Z122" s="148"/>
      <c r="AA122" s="148"/>
      <c r="AB122" s="148"/>
      <c r="BN122" s="574"/>
      <c r="BO122" s="574"/>
      <c r="BP122" s="574"/>
      <c r="BQ122" s="574"/>
      <c r="BR122" s="574"/>
      <c r="BS122" s="574"/>
      <c r="BT122" s="574"/>
      <c r="BU122" s="574"/>
      <c r="BV122" s="574"/>
      <c r="BW122" s="574"/>
      <c r="BX122" s="574"/>
    </row>
    <row r="123" spans="3:76" s="134" customFormat="1" x14ac:dyDescent="0.35">
      <c r="C123" s="30"/>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BN123" s="574"/>
      <c r="BO123" s="574"/>
      <c r="BP123" s="574"/>
      <c r="BQ123" s="574"/>
      <c r="BR123" s="574"/>
      <c r="BS123" s="574"/>
      <c r="BT123" s="574"/>
      <c r="BU123" s="574"/>
      <c r="BV123" s="574"/>
      <c r="BW123" s="574"/>
      <c r="BX123" s="574"/>
    </row>
    <row r="124" spans="3:76" s="134" customFormat="1" x14ac:dyDescent="0.35">
      <c r="C124" s="146"/>
      <c r="D124" s="148"/>
      <c r="E124" s="148"/>
      <c r="F124" s="148"/>
      <c r="G124" s="148"/>
      <c r="H124" s="148"/>
      <c r="I124" s="148"/>
      <c r="J124" s="148"/>
      <c r="K124" s="148"/>
      <c r="L124" s="148"/>
      <c r="M124" s="148"/>
      <c r="N124" s="148"/>
      <c r="O124" s="148"/>
      <c r="P124" s="148"/>
      <c r="Q124" s="148"/>
      <c r="R124" s="148"/>
      <c r="S124" s="148"/>
      <c r="T124" s="148"/>
      <c r="U124" s="148"/>
      <c r="V124" s="148"/>
      <c r="W124" s="148"/>
      <c r="X124" s="148"/>
      <c r="Y124" s="148"/>
      <c r="Z124" s="148"/>
      <c r="AA124" s="148"/>
      <c r="AB124" s="148"/>
      <c r="BN124" s="574"/>
      <c r="BO124" s="574"/>
      <c r="BP124" s="574"/>
      <c r="BQ124" s="574"/>
      <c r="BR124" s="574"/>
      <c r="BS124" s="574"/>
      <c r="BT124" s="574"/>
      <c r="BU124" s="574"/>
      <c r="BV124" s="574"/>
      <c r="BW124" s="574"/>
      <c r="BX124" s="574"/>
    </row>
    <row r="125" spans="3:76" s="134" customFormat="1" x14ac:dyDescent="0.35">
      <c r="C125" s="30"/>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c r="BN125" s="574"/>
      <c r="BO125" s="574"/>
      <c r="BP125" s="574"/>
      <c r="BQ125" s="574"/>
      <c r="BR125" s="574"/>
      <c r="BS125" s="574"/>
      <c r="BT125" s="574"/>
      <c r="BU125" s="574"/>
      <c r="BV125" s="574"/>
      <c r="BW125" s="574"/>
      <c r="BX125" s="574"/>
    </row>
    <row r="140" spans="3:76" s="151" customFormat="1" x14ac:dyDescent="0.35">
      <c r="D140" s="128"/>
      <c r="E140" s="128"/>
      <c r="F140" s="128"/>
      <c r="G140" s="128"/>
      <c r="H140" s="128"/>
      <c r="I140" s="128"/>
      <c r="J140" s="128"/>
      <c r="K140" s="128"/>
      <c r="L140" s="128"/>
      <c r="M140" s="128"/>
      <c r="N140" s="128"/>
      <c r="O140" s="128"/>
      <c r="P140" s="128"/>
      <c r="Q140" s="128"/>
      <c r="R140" s="128"/>
      <c r="S140" s="128"/>
      <c r="T140" s="128"/>
      <c r="U140" s="128"/>
      <c r="V140" s="128"/>
      <c r="W140" s="128"/>
      <c r="X140" s="128"/>
      <c r="Y140" s="128"/>
      <c r="Z140" s="128"/>
      <c r="AA140" s="128"/>
      <c r="AB140" s="128"/>
      <c r="AC140" s="128"/>
      <c r="AD140" s="128"/>
      <c r="AE140" s="128"/>
      <c r="AF140" s="128"/>
      <c r="AG140" s="128"/>
      <c r="AH140" s="128"/>
      <c r="AI140" s="128"/>
      <c r="AJ140" s="128"/>
      <c r="AK140" s="128"/>
      <c r="AL140" s="128"/>
      <c r="AM140" s="128"/>
      <c r="AN140" s="128"/>
      <c r="BN140" s="574"/>
      <c r="BO140" s="574"/>
      <c r="BP140" s="574"/>
      <c r="BQ140" s="574"/>
      <c r="BR140" s="574"/>
      <c r="BS140" s="574"/>
      <c r="BT140" s="574"/>
      <c r="BU140" s="574"/>
      <c r="BV140" s="574"/>
      <c r="BW140" s="574"/>
      <c r="BX140" s="574"/>
    </row>
    <row r="141" spans="3:76" s="151" customFormat="1" x14ac:dyDescent="0.35">
      <c r="C141" s="41"/>
      <c r="D141" s="22"/>
      <c r="E141" s="22"/>
      <c r="F141" s="22"/>
      <c r="G141" s="22"/>
      <c r="H141" s="22"/>
      <c r="I141" s="22"/>
      <c r="J141" s="22"/>
      <c r="K141" s="22"/>
      <c r="L141" s="22"/>
      <c r="M141" s="22"/>
      <c r="N141" s="22"/>
      <c r="O141" s="22"/>
      <c r="P141" s="22"/>
      <c r="BN141" s="574"/>
      <c r="BO141" s="574"/>
      <c r="BP141" s="574"/>
      <c r="BQ141" s="574"/>
      <c r="BR141" s="574"/>
      <c r="BS141" s="574"/>
      <c r="BT141" s="574"/>
      <c r="BU141" s="574"/>
      <c r="BV141" s="574"/>
      <c r="BW141" s="574"/>
      <c r="BX141" s="574"/>
    </row>
    <row r="142" spans="3:76" s="151" customFormat="1" x14ac:dyDescent="0.35">
      <c r="C142" s="41"/>
      <c r="D142" s="22"/>
      <c r="E142" s="22"/>
      <c r="F142" s="22"/>
      <c r="G142" s="22"/>
      <c r="H142" s="22"/>
      <c r="I142" s="22"/>
      <c r="J142" s="22"/>
      <c r="K142" s="22"/>
      <c r="L142" s="22"/>
      <c r="M142" s="22"/>
      <c r="N142" s="22"/>
      <c r="O142" s="22"/>
      <c r="P142" s="22"/>
      <c r="BN142" s="574"/>
      <c r="BO142" s="574"/>
      <c r="BP142" s="574"/>
      <c r="BQ142" s="574"/>
      <c r="BR142" s="574"/>
      <c r="BS142" s="574"/>
      <c r="BT142" s="574"/>
      <c r="BU142" s="574"/>
      <c r="BV142" s="574"/>
      <c r="BW142" s="574"/>
      <c r="BX142" s="574"/>
    </row>
    <row r="143" spans="3:76" s="151" customFormat="1" x14ac:dyDescent="0.35">
      <c r="C143" s="41"/>
      <c r="D143" s="22"/>
      <c r="E143" s="22"/>
      <c r="F143" s="22"/>
      <c r="G143" s="22"/>
      <c r="H143" s="22"/>
      <c r="I143" s="22"/>
      <c r="J143" s="22"/>
      <c r="K143" s="22"/>
      <c r="L143" s="22"/>
      <c r="M143" s="22"/>
      <c r="N143" s="22"/>
      <c r="O143" s="22"/>
      <c r="P143" s="22"/>
      <c r="BN143" s="574"/>
      <c r="BO143" s="574"/>
      <c r="BP143" s="574"/>
      <c r="BQ143" s="574"/>
      <c r="BR143" s="574"/>
      <c r="BS143" s="574"/>
      <c r="BT143" s="574"/>
      <c r="BU143" s="574"/>
      <c r="BV143" s="574"/>
      <c r="BW143" s="574"/>
      <c r="BX143" s="574"/>
    </row>
    <row r="144" spans="3:76" s="151" customFormat="1" x14ac:dyDescent="0.35">
      <c r="C144" s="41"/>
      <c r="D144" s="22"/>
      <c r="E144" s="22"/>
      <c r="F144" s="22"/>
      <c r="G144" s="22"/>
      <c r="H144" s="22"/>
      <c r="I144" s="22"/>
      <c r="J144" s="22"/>
      <c r="K144" s="22"/>
      <c r="L144" s="22"/>
      <c r="M144" s="22"/>
      <c r="N144" s="22"/>
      <c r="O144" s="22"/>
      <c r="P144" s="22"/>
      <c r="BN144" s="574"/>
      <c r="BO144" s="574"/>
      <c r="BP144" s="574"/>
      <c r="BQ144" s="574"/>
      <c r="BR144" s="574"/>
      <c r="BS144" s="574"/>
      <c r="BT144" s="574"/>
      <c r="BU144" s="574"/>
      <c r="BV144" s="574"/>
      <c r="BW144" s="574"/>
      <c r="BX144" s="574"/>
    </row>
    <row r="145" spans="3:76" s="151" customFormat="1" x14ac:dyDescent="0.35">
      <c r="C145" s="41"/>
      <c r="D145" s="22"/>
      <c r="E145" s="22"/>
      <c r="F145" s="22"/>
      <c r="G145" s="22"/>
      <c r="H145" s="22"/>
      <c r="I145" s="22"/>
      <c r="J145" s="22"/>
      <c r="K145" s="22"/>
      <c r="L145" s="22"/>
      <c r="M145" s="22"/>
      <c r="N145" s="22"/>
      <c r="O145" s="22"/>
      <c r="P145" s="22"/>
      <c r="BN145" s="574"/>
      <c r="BO145" s="574"/>
      <c r="BP145" s="574"/>
      <c r="BQ145" s="574"/>
      <c r="BR145" s="574"/>
      <c r="BS145" s="574"/>
      <c r="BT145" s="574"/>
      <c r="BU145" s="574"/>
      <c r="BV145" s="574"/>
      <c r="BW145" s="574"/>
      <c r="BX145" s="574"/>
    </row>
    <row r="146" spans="3:76" s="151" customFormat="1" x14ac:dyDescent="0.35">
      <c r="C146" s="41"/>
      <c r="D146" s="22"/>
      <c r="E146" s="22"/>
      <c r="F146" s="22"/>
      <c r="G146" s="22"/>
      <c r="H146" s="22"/>
      <c r="I146" s="22"/>
      <c r="J146" s="22"/>
      <c r="K146" s="22"/>
      <c r="L146" s="22"/>
      <c r="M146" s="22"/>
      <c r="N146" s="22"/>
      <c r="O146" s="22"/>
      <c r="P146" s="22"/>
      <c r="BN146" s="574"/>
      <c r="BO146" s="574"/>
      <c r="BP146" s="574"/>
      <c r="BQ146" s="574"/>
      <c r="BR146" s="574"/>
      <c r="BS146" s="574"/>
      <c r="BT146" s="574"/>
      <c r="BU146" s="574"/>
      <c r="BV146" s="574"/>
      <c r="BW146" s="574"/>
      <c r="BX146" s="574"/>
    </row>
    <row r="147" spans="3:76" s="151" customFormat="1" x14ac:dyDescent="0.35">
      <c r="C147" s="41"/>
      <c r="D147" s="22"/>
      <c r="E147" s="22"/>
      <c r="F147" s="22"/>
      <c r="G147" s="22"/>
      <c r="H147" s="22"/>
      <c r="I147" s="22"/>
      <c r="J147" s="22"/>
      <c r="K147" s="22"/>
      <c r="L147" s="22"/>
      <c r="M147" s="22"/>
      <c r="N147" s="22"/>
      <c r="O147" s="22"/>
      <c r="P147" s="22"/>
      <c r="BN147" s="574"/>
      <c r="BO147" s="574"/>
      <c r="BP147" s="574"/>
      <c r="BQ147" s="574"/>
      <c r="BR147" s="574"/>
      <c r="BS147" s="574"/>
      <c r="BT147" s="574"/>
      <c r="BU147" s="574"/>
      <c r="BV147" s="574"/>
      <c r="BW147" s="574"/>
      <c r="BX147" s="574"/>
    </row>
    <row r="148" spans="3:76" s="151" customFormat="1" x14ac:dyDescent="0.35">
      <c r="C148" s="41"/>
      <c r="D148" s="22"/>
      <c r="E148" s="22"/>
      <c r="F148" s="22"/>
      <c r="G148" s="22"/>
      <c r="H148" s="22"/>
      <c r="I148" s="22"/>
      <c r="J148" s="22"/>
      <c r="K148" s="22"/>
      <c r="L148" s="22"/>
      <c r="M148" s="22"/>
      <c r="N148" s="22"/>
      <c r="O148" s="22"/>
      <c r="P148" s="22"/>
      <c r="BN148" s="574"/>
      <c r="BO148" s="574"/>
      <c r="BP148" s="574"/>
      <c r="BQ148" s="574"/>
      <c r="BR148" s="574"/>
      <c r="BS148" s="574"/>
      <c r="BT148" s="574"/>
      <c r="BU148" s="574"/>
      <c r="BV148" s="574"/>
      <c r="BW148" s="574"/>
      <c r="BX148" s="574"/>
    </row>
    <row r="149" spans="3:76" s="151" customFormat="1" x14ac:dyDescent="0.35">
      <c r="C149" s="41"/>
      <c r="D149" s="22"/>
      <c r="E149" s="22"/>
      <c r="F149" s="22"/>
      <c r="G149" s="22"/>
      <c r="H149" s="22"/>
      <c r="I149" s="22"/>
      <c r="J149" s="22"/>
      <c r="K149" s="22"/>
      <c r="L149" s="22"/>
      <c r="M149" s="22"/>
      <c r="N149" s="22"/>
      <c r="O149" s="22"/>
      <c r="P149" s="22"/>
      <c r="BN149" s="574"/>
      <c r="BO149" s="574"/>
      <c r="BP149" s="574"/>
      <c r="BQ149" s="574"/>
      <c r="BR149" s="574"/>
      <c r="BS149" s="574"/>
      <c r="BT149" s="574"/>
      <c r="BU149" s="574"/>
      <c r="BV149" s="574"/>
      <c r="BW149" s="574"/>
      <c r="BX149" s="574"/>
    </row>
    <row r="150" spans="3:76" s="151" customFormat="1" x14ac:dyDescent="0.35">
      <c r="C150" s="41"/>
      <c r="D150" s="22"/>
      <c r="E150" s="22"/>
      <c r="F150" s="22"/>
      <c r="G150" s="22"/>
      <c r="H150" s="22"/>
      <c r="I150" s="22"/>
      <c r="J150" s="22"/>
      <c r="K150" s="22"/>
      <c r="L150" s="22"/>
      <c r="M150" s="22"/>
      <c r="N150" s="22"/>
      <c r="O150" s="22"/>
      <c r="P150" s="22"/>
      <c r="BN150" s="574"/>
      <c r="BO150" s="574"/>
      <c r="BP150" s="574"/>
      <c r="BQ150" s="574"/>
      <c r="BR150" s="574"/>
      <c r="BS150" s="574"/>
      <c r="BT150" s="574"/>
      <c r="BU150" s="574"/>
      <c r="BV150" s="574"/>
      <c r="BW150" s="574"/>
      <c r="BX150" s="574"/>
    </row>
    <row r="151" spans="3:76" s="151" customFormat="1" x14ac:dyDescent="0.35">
      <c r="C151" s="41"/>
      <c r="D151" s="22"/>
      <c r="E151" s="22"/>
      <c r="F151" s="22"/>
      <c r="G151" s="22"/>
      <c r="H151" s="22"/>
      <c r="I151" s="22"/>
      <c r="J151" s="22"/>
      <c r="K151" s="22"/>
      <c r="L151" s="22"/>
      <c r="M151" s="22"/>
      <c r="N151" s="22"/>
      <c r="O151" s="22"/>
      <c r="P151" s="22"/>
      <c r="BN151" s="574"/>
      <c r="BO151" s="574"/>
      <c r="BP151" s="574"/>
      <c r="BQ151" s="574"/>
      <c r="BR151" s="574"/>
      <c r="BS151" s="574"/>
      <c r="BT151" s="574"/>
      <c r="BU151" s="574"/>
      <c r="BV151" s="574"/>
      <c r="BW151" s="574"/>
      <c r="BX151" s="574"/>
    </row>
    <row r="152" spans="3:76" s="151" customFormat="1" x14ac:dyDescent="0.35">
      <c r="C152" s="41"/>
      <c r="D152" s="22"/>
      <c r="E152" s="22"/>
      <c r="F152" s="22"/>
      <c r="G152" s="22"/>
      <c r="H152" s="22"/>
      <c r="I152" s="22"/>
      <c r="J152" s="22"/>
      <c r="K152" s="22"/>
      <c r="L152" s="22"/>
      <c r="M152" s="22"/>
      <c r="N152" s="22"/>
      <c r="O152" s="22"/>
      <c r="P152" s="22"/>
      <c r="BN152" s="574"/>
      <c r="BO152" s="574"/>
      <c r="BP152" s="574"/>
      <c r="BQ152" s="574"/>
      <c r="BR152" s="574"/>
      <c r="BS152" s="574"/>
      <c r="BT152" s="574"/>
      <c r="BU152" s="574"/>
      <c r="BV152" s="574"/>
      <c r="BW152" s="574"/>
      <c r="BX152" s="574"/>
    </row>
    <row r="153" spans="3:76" s="151" customFormat="1" x14ac:dyDescent="0.35">
      <c r="C153" s="41"/>
      <c r="D153" s="22"/>
      <c r="E153" s="22"/>
      <c r="F153" s="22"/>
      <c r="G153" s="22"/>
      <c r="H153" s="22"/>
      <c r="I153" s="22"/>
      <c r="J153" s="22"/>
      <c r="K153" s="22"/>
      <c r="L153" s="22"/>
      <c r="M153" s="22"/>
      <c r="N153" s="22"/>
      <c r="O153" s="22"/>
      <c r="P153" s="22"/>
      <c r="BN153" s="574"/>
      <c r="BO153" s="574"/>
      <c r="BP153" s="574"/>
      <c r="BQ153" s="574"/>
      <c r="BR153" s="574"/>
      <c r="BS153" s="574"/>
      <c r="BT153" s="574"/>
      <c r="BU153" s="574"/>
      <c r="BV153" s="574"/>
      <c r="BW153" s="574"/>
      <c r="BX153" s="574"/>
    </row>
    <row r="154" spans="3:76" s="151" customFormat="1" x14ac:dyDescent="0.35">
      <c r="C154" s="41"/>
      <c r="D154" s="22"/>
      <c r="E154" s="22"/>
      <c r="F154" s="22"/>
      <c r="G154" s="22"/>
      <c r="H154" s="22"/>
      <c r="I154" s="22"/>
      <c r="J154" s="22"/>
      <c r="K154" s="22"/>
      <c r="L154" s="22"/>
      <c r="M154" s="22"/>
      <c r="N154" s="22"/>
      <c r="O154" s="22"/>
      <c r="P154" s="22"/>
      <c r="BN154" s="574"/>
      <c r="BO154" s="574"/>
      <c r="BP154" s="574"/>
      <c r="BQ154" s="574"/>
      <c r="BR154" s="574"/>
      <c r="BS154" s="574"/>
      <c r="BT154" s="574"/>
      <c r="BU154" s="574"/>
      <c r="BV154" s="574"/>
      <c r="BW154" s="574"/>
      <c r="BX154" s="574"/>
    </row>
    <row r="155" spans="3:76" s="151" customFormat="1" x14ac:dyDescent="0.35">
      <c r="C155" s="41"/>
      <c r="D155" s="22"/>
      <c r="E155" s="22"/>
      <c r="F155" s="22"/>
      <c r="G155" s="22"/>
      <c r="H155" s="22"/>
      <c r="I155" s="22"/>
      <c r="J155" s="22"/>
      <c r="K155" s="22"/>
      <c r="L155" s="22"/>
      <c r="M155" s="22"/>
      <c r="N155" s="22"/>
      <c r="O155" s="22"/>
      <c r="P155" s="22"/>
      <c r="BN155" s="574"/>
      <c r="BO155" s="574"/>
      <c r="BP155" s="574"/>
      <c r="BQ155" s="574"/>
      <c r="BR155" s="574"/>
      <c r="BS155" s="574"/>
      <c r="BT155" s="574"/>
      <c r="BU155" s="574"/>
      <c r="BV155" s="574"/>
      <c r="BW155" s="574"/>
      <c r="BX155" s="574"/>
    </row>
    <row r="156" spans="3:76" s="151" customFormat="1" x14ac:dyDescent="0.35">
      <c r="C156" s="41"/>
      <c r="D156" s="22"/>
      <c r="E156" s="22"/>
      <c r="F156" s="22"/>
      <c r="G156" s="22"/>
      <c r="H156" s="22"/>
      <c r="I156" s="22"/>
      <c r="J156" s="22"/>
      <c r="K156" s="22"/>
      <c r="L156" s="22"/>
      <c r="M156" s="22"/>
      <c r="N156" s="22"/>
      <c r="O156" s="22"/>
      <c r="P156" s="22"/>
      <c r="BN156" s="574"/>
      <c r="BO156" s="574"/>
      <c r="BP156" s="574"/>
      <c r="BQ156" s="574"/>
      <c r="BR156" s="574"/>
      <c r="BS156" s="574"/>
      <c r="BT156" s="574"/>
      <c r="BU156" s="574"/>
      <c r="BV156" s="574"/>
      <c r="BW156" s="574"/>
      <c r="BX156" s="574"/>
    </row>
    <row r="157" spans="3:76" s="151" customFormat="1" x14ac:dyDescent="0.35">
      <c r="C157" s="41"/>
      <c r="D157" s="22"/>
      <c r="E157" s="22"/>
      <c r="F157" s="22"/>
      <c r="G157" s="22"/>
      <c r="H157" s="22"/>
      <c r="I157" s="22"/>
      <c r="J157" s="22"/>
      <c r="K157" s="22"/>
      <c r="L157" s="22"/>
      <c r="M157" s="22"/>
      <c r="N157" s="22"/>
      <c r="O157" s="22"/>
      <c r="P157" s="22"/>
      <c r="BN157" s="574"/>
      <c r="BO157" s="574"/>
      <c r="BP157" s="574"/>
      <c r="BQ157" s="574"/>
      <c r="BR157" s="574"/>
      <c r="BS157" s="574"/>
      <c r="BT157" s="574"/>
      <c r="BU157" s="574"/>
      <c r="BV157" s="574"/>
      <c r="BW157" s="574"/>
      <c r="BX157" s="574"/>
    </row>
    <row r="158" spans="3:76" s="151" customFormat="1" x14ac:dyDescent="0.35">
      <c r="C158" s="41"/>
      <c r="D158" s="22"/>
      <c r="E158" s="22"/>
      <c r="F158" s="22"/>
      <c r="G158" s="22"/>
      <c r="H158" s="22"/>
      <c r="I158" s="22"/>
      <c r="J158" s="22"/>
      <c r="K158" s="22"/>
      <c r="L158" s="22"/>
      <c r="M158" s="22"/>
      <c r="N158" s="22"/>
      <c r="O158" s="22"/>
      <c r="P158" s="22"/>
      <c r="BN158" s="574"/>
      <c r="BO158" s="574"/>
      <c r="BP158" s="574"/>
      <c r="BQ158" s="574"/>
      <c r="BR158" s="574"/>
      <c r="BS158" s="574"/>
      <c r="BT158" s="574"/>
      <c r="BU158" s="574"/>
      <c r="BV158" s="574"/>
      <c r="BW158" s="574"/>
      <c r="BX158" s="574"/>
    </row>
    <row r="159" spans="3:76" s="151" customFormat="1" x14ac:dyDescent="0.35">
      <c r="C159" s="41"/>
      <c r="D159" s="22"/>
      <c r="E159" s="22"/>
      <c r="F159" s="22"/>
      <c r="G159" s="22"/>
      <c r="H159" s="22"/>
      <c r="I159" s="22"/>
      <c r="J159" s="22"/>
      <c r="K159" s="22"/>
      <c r="L159" s="22"/>
      <c r="M159" s="22"/>
      <c r="N159" s="22"/>
      <c r="O159" s="22"/>
      <c r="P159" s="22"/>
      <c r="BN159" s="574"/>
      <c r="BO159" s="574"/>
      <c r="BP159" s="574"/>
      <c r="BQ159" s="574"/>
      <c r="BR159" s="574"/>
      <c r="BS159" s="574"/>
      <c r="BT159" s="574"/>
      <c r="BU159" s="574"/>
      <c r="BV159" s="574"/>
      <c r="BW159" s="574"/>
      <c r="BX159" s="574"/>
    </row>
    <row r="160" spans="3:76" s="151" customFormat="1" x14ac:dyDescent="0.35">
      <c r="C160" s="41"/>
      <c r="D160" s="22"/>
      <c r="E160" s="22"/>
      <c r="F160" s="22"/>
      <c r="G160" s="22"/>
      <c r="H160" s="22"/>
      <c r="I160" s="22"/>
      <c r="J160" s="22"/>
      <c r="K160" s="22"/>
      <c r="L160" s="22"/>
      <c r="M160" s="22"/>
      <c r="N160" s="22"/>
      <c r="O160" s="22"/>
      <c r="P160" s="22"/>
      <c r="BN160" s="574"/>
      <c r="BO160" s="574"/>
      <c r="BP160" s="574"/>
      <c r="BQ160" s="574"/>
      <c r="BR160" s="574"/>
      <c r="BS160" s="574"/>
      <c r="BT160" s="574"/>
      <c r="BU160" s="574"/>
      <c r="BV160" s="574"/>
      <c r="BW160" s="574"/>
      <c r="BX160" s="574"/>
    </row>
    <row r="161" spans="3:76" s="151" customFormat="1" x14ac:dyDescent="0.35">
      <c r="C161" s="41"/>
      <c r="D161" s="22"/>
      <c r="E161" s="22"/>
      <c r="F161" s="22"/>
      <c r="G161" s="22"/>
      <c r="H161" s="22"/>
      <c r="I161" s="22"/>
      <c r="J161" s="22"/>
      <c r="K161" s="22"/>
      <c r="L161" s="22"/>
      <c r="M161" s="22"/>
      <c r="N161" s="22"/>
      <c r="O161" s="22"/>
      <c r="P161" s="22"/>
      <c r="BN161" s="574"/>
      <c r="BO161" s="574"/>
      <c r="BP161" s="574"/>
      <c r="BQ161" s="574"/>
      <c r="BR161" s="574"/>
      <c r="BS161" s="574"/>
      <c r="BT161" s="574"/>
      <c r="BU161" s="574"/>
      <c r="BV161" s="574"/>
      <c r="BW161" s="574"/>
      <c r="BX161" s="574"/>
    </row>
    <row r="162" spans="3:76" s="151" customFormat="1" x14ac:dyDescent="0.35">
      <c r="C162" s="41"/>
      <c r="D162" s="22"/>
      <c r="E162" s="22"/>
      <c r="F162" s="22"/>
      <c r="G162" s="22"/>
      <c r="H162" s="22"/>
      <c r="I162" s="22"/>
      <c r="J162" s="22"/>
      <c r="K162" s="22"/>
      <c r="L162" s="22"/>
      <c r="M162" s="22"/>
      <c r="N162" s="22"/>
      <c r="O162" s="22"/>
      <c r="P162" s="22"/>
      <c r="BN162" s="574"/>
      <c r="BO162" s="574"/>
      <c r="BP162" s="574"/>
      <c r="BQ162" s="574"/>
      <c r="BR162" s="574"/>
      <c r="BS162" s="574"/>
      <c r="BT162" s="574"/>
      <c r="BU162" s="574"/>
      <c r="BV162" s="574"/>
      <c r="BW162" s="574"/>
      <c r="BX162" s="574"/>
    </row>
    <row r="163" spans="3:76" s="151" customFormat="1" x14ac:dyDescent="0.35">
      <c r="C163" s="41"/>
      <c r="D163" s="22"/>
      <c r="E163" s="22"/>
      <c r="F163" s="22"/>
      <c r="G163" s="22"/>
      <c r="H163" s="22"/>
      <c r="I163" s="22"/>
      <c r="J163" s="22"/>
      <c r="K163" s="22"/>
      <c r="L163" s="22"/>
      <c r="M163" s="22"/>
      <c r="N163" s="22"/>
      <c r="O163" s="22"/>
      <c r="P163" s="22"/>
      <c r="BN163" s="574"/>
      <c r="BO163" s="574"/>
      <c r="BP163" s="574"/>
      <c r="BQ163" s="574"/>
      <c r="BR163" s="574"/>
      <c r="BS163" s="574"/>
      <c r="BT163" s="574"/>
      <c r="BU163" s="574"/>
      <c r="BV163" s="574"/>
      <c r="BW163" s="574"/>
      <c r="BX163" s="574"/>
    </row>
    <row r="164" spans="3:76" s="151" customFormat="1" x14ac:dyDescent="0.35">
      <c r="C164" s="41"/>
      <c r="D164" s="22"/>
      <c r="E164" s="22"/>
      <c r="F164" s="22"/>
      <c r="G164" s="22"/>
      <c r="H164" s="22"/>
      <c r="I164" s="22"/>
      <c r="J164" s="22"/>
      <c r="K164" s="22"/>
      <c r="L164" s="22"/>
      <c r="M164" s="22"/>
      <c r="N164" s="22"/>
      <c r="O164" s="22"/>
      <c r="P164" s="22"/>
      <c r="BN164" s="574"/>
      <c r="BO164" s="574"/>
      <c r="BP164" s="574"/>
      <c r="BQ164" s="574"/>
      <c r="BR164" s="574"/>
      <c r="BS164" s="574"/>
      <c r="BT164" s="574"/>
      <c r="BU164" s="574"/>
      <c r="BV164" s="574"/>
      <c r="BW164" s="574"/>
      <c r="BX164" s="574"/>
    </row>
  </sheetData>
  <conditionalFormatting sqref="E26:BX29 E38:BX39 E43:BX44 E63:BX64 E48:BX60 E76:BX76 E71:BX72 E80:BX80 E19:BX20 E4:BX4 E16:BX16 E11:BX12">
    <cfRule type="expression" dxfId="311" priority="73">
      <formula>E$4="Actual"</formula>
    </cfRule>
  </conditionalFormatting>
  <conditionalFormatting sqref="I72 AF72 BC72 BP72">
    <cfRule type="expression" dxfId="310" priority="24">
      <formula>I$4="Actual"</formula>
    </cfRule>
  </conditionalFormatting>
  <conditionalFormatting sqref="I76">
    <cfRule type="expression" dxfId="309" priority="23">
      <formula>I$4="Actual"</formula>
    </cfRule>
  </conditionalFormatting>
  <conditionalFormatting sqref="K18:P18">
    <cfRule type="expression" dxfId="308" priority="18">
      <formula>K$3="actual"</formula>
    </cfRule>
  </conditionalFormatting>
  <conditionalFormatting sqref="D80 D19:D20 D43:D44 D38:D39 D26:D29 D4 D11:D12 D63:D64 D48:D60 D76 D71:D72 D16">
    <cfRule type="expression" dxfId="307" priority="5">
      <formula>D$4="Actual"</formula>
    </cfRule>
  </conditionalFormatting>
  <conditionalFormatting sqref="D13:D15">
    <cfRule type="expression" dxfId="306" priority="4">
      <formula>D$4="Actual"</formula>
    </cfRule>
  </conditionalFormatting>
  <conditionalFormatting sqref="E13:BX13">
    <cfRule type="expression" dxfId="305" priority="3">
      <formula>E$4="Actual"</formula>
    </cfRule>
  </conditionalFormatting>
  <conditionalFormatting sqref="E14:BX14">
    <cfRule type="expression" dxfId="304" priority="2">
      <formula>E$4="Actual"</formula>
    </cfRule>
  </conditionalFormatting>
  <conditionalFormatting sqref="E15:BX15">
    <cfRule type="expression" dxfId="303" priority="1">
      <formula>E$4="Actual"</formula>
    </cfRule>
  </conditionalFormatting>
  <pageMargins left="0.25" right="0.25" top="0.75" bottom="0.75" header="0.3" footer="0.3"/>
  <pageSetup scale="54" fitToWidth="2" fitToHeight="2" orientation="landscape" r:id="rId1"/>
  <headerFooter>
    <oddHeader>&amp;L&amp;"-,Bold"&amp;12CallFire Financial Model&amp;C&amp;"-,Bold"&amp;12&amp;A</oddHeader>
    <oddFooter>&amp;L&amp;8CallFire Confidential&amp;R&amp;8Page &amp;P of  &amp;N</oddFooter>
  </headerFooter>
  <colBreaks count="2" manualBreakCount="2">
    <brk id="16" max="76" man="1"/>
    <brk id="28" max="76" man="1"/>
  </colBreaks>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1">
    <tabColor theme="3" tint="0.39997558519241921"/>
    <pageSetUpPr fitToPage="1"/>
  </sheetPr>
  <dimension ref="A1:BY84"/>
  <sheetViews>
    <sheetView showGridLines="0" zoomScale="80" zoomScaleNormal="80" zoomScaleSheetLayoutView="85" zoomScalePageLayoutView="30" workbookViewId="0">
      <pane xSplit="3" ySplit="3" topLeftCell="AC21" activePane="bottomRight" state="frozen"/>
      <selection pane="topRight" activeCell="D1" sqref="D1"/>
      <selection pane="bottomLeft" activeCell="A4" sqref="A4"/>
      <selection pane="bottomRight" activeCell="AN24" sqref="AN24"/>
    </sheetView>
  </sheetViews>
  <sheetFormatPr defaultColWidth="9.1796875" defaultRowHeight="12.5" outlineLevelRow="1" outlineLevelCol="1" x14ac:dyDescent="0.25"/>
  <cols>
    <col min="1" max="1" width="4.7265625" style="27" customWidth="1"/>
    <col min="2" max="2" width="35.54296875" style="27" customWidth="1"/>
    <col min="3" max="3" width="18.54296875" style="27" customWidth="1"/>
    <col min="4" max="16" width="14.54296875" style="27" customWidth="1" outlineLevel="1"/>
    <col min="17" max="17" width="14.54296875" style="27" customWidth="1"/>
    <col min="18" max="28" width="14.54296875" style="27" hidden="1" customWidth="1" outlineLevel="1"/>
    <col min="29" max="29" width="14.453125" style="27" bestFit="1" customWidth="1" collapsed="1"/>
    <col min="30" max="35" width="14.453125" style="27" customWidth="1" outlineLevel="1"/>
    <col min="36" max="36" width="14.1796875" style="27" customWidth="1" outlineLevel="1"/>
    <col min="37" max="38" width="14.453125" style="27" customWidth="1" outlineLevel="1"/>
    <col min="39" max="39" width="14.1796875" style="27" customWidth="1" outlineLevel="1"/>
    <col min="40" max="40" width="14.453125" style="27" customWidth="1" outlineLevel="1"/>
    <col min="41" max="41" width="13.453125" style="27" bestFit="1" customWidth="1"/>
    <col min="42" max="52" width="13.453125" style="27" customWidth="1" outlineLevel="1"/>
    <col min="53" max="53" width="13.453125" style="27" bestFit="1" customWidth="1"/>
    <col min="54" max="54" width="13.453125" style="27" bestFit="1" customWidth="1" collapsed="1"/>
    <col min="55" max="64" width="13.453125" style="27" bestFit="1" customWidth="1" outlineLevel="1" collapsed="1"/>
    <col min="65" max="65" width="13.453125" style="27" bestFit="1" customWidth="1"/>
    <col min="66" max="76" width="12.54296875" style="27" hidden="1" customWidth="1" outlineLevel="1" collapsed="1"/>
    <col min="77" max="77" width="12.54296875" style="27" customWidth="1" collapsed="1"/>
    <col min="78" max="16384" width="9.1796875" style="27"/>
  </cols>
  <sheetData>
    <row r="1" spans="1:77" ht="18.5" thickBot="1" x14ac:dyDescent="0.45">
      <c r="A1" s="88" t="str">
        <f>Sensativities!B4</f>
        <v>CallFire</v>
      </c>
      <c r="B1" s="89"/>
      <c r="C1" s="89"/>
    </row>
    <row r="2" spans="1:77" ht="15.5" x14ac:dyDescent="0.35">
      <c r="A2" s="91"/>
      <c r="D2" s="398">
        <v>40513</v>
      </c>
      <c r="E2" s="398">
        <v>40878</v>
      </c>
      <c r="F2" s="398">
        <f>'BS - CF Actuals'!J3</f>
        <v>40909</v>
      </c>
      <c r="G2" s="131">
        <f>'BS - CF Actuals'!K3</f>
        <v>40942</v>
      </c>
      <c r="H2" s="404">
        <f>'BS - CF Actuals'!L3</f>
        <v>40975</v>
      </c>
      <c r="I2" s="131">
        <f>'BS - CF Actuals'!M3</f>
        <v>41008</v>
      </c>
      <c r="J2" s="131">
        <f>'BS - CF Actuals'!N3</f>
        <v>41041</v>
      </c>
      <c r="K2" s="404">
        <f>'BS - CF Actuals'!O3</f>
        <v>41074</v>
      </c>
      <c r="L2" s="398">
        <f>'BS - CF Actuals'!P3</f>
        <v>41107</v>
      </c>
      <c r="M2" s="398">
        <f>'BS - CF Actuals'!Q3</f>
        <v>41140</v>
      </c>
      <c r="N2" s="404">
        <f>'BS - CF Actuals'!R3</f>
        <v>41173</v>
      </c>
      <c r="O2" s="398">
        <f>'BS - CF Actuals'!S3</f>
        <v>41206</v>
      </c>
      <c r="P2" s="398">
        <f>'BS - CF Actuals'!T3</f>
        <v>41239</v>
      </c>
      <c r="Q2" s="404">
        <f>'BS - CF Actuals'!U3</f>
        <v>41272</v>
      </c>
      <c r="R2" s="398">
        <f>'BS - CF Actuals'!V3</f>
        <v>41282</v>
      </c>
      <c r="S2" s="398">
        <f>'BS - CF Actuals'!W3</f>
        <v>41312</v>
      </c>
      <c r="T2" s="404">
        <f>'BS - CF Actuals'!X3</f>
        <v>41342</v>
      </c>
      <c r="U2" s="398">
        <f>'BS - CF Actuals'!Y3</f>
        <v>41372</v>
      </c>
      <c r="V2" s="398">
        <f>'BS - CF Actuals'!Z3</f>
        <v>41402</v>
      </c>
      <c r="W2" s="398">
        <f>'BS - CF Actuals'!AA3</f>
        <v>41432</v>
      </c>
      <c r="X2" s="398">
        <f>'BS - CF Actuals'!AB3</f>
        <v>41462</v>
      </c>
      <c r="Y2" s="398">
        <f>'BS - CF Actuals'!AC3</f>
        <v>41492</v>
      </c>
      <c r="Z2" s="398">
        <f>'BS - CF Actuals'!AD3</f>
        <v>41522</v>
      </c>
      <c r="AA2" s="398">
        <f>'BS - CF Actuals'!AE3</f>
        <v>41552</v>
      </c>
      <c r="AB2" s="398">
        <f>'BS - CF Actuals'!AF3</f>
        <v>41582</v>
      </c>
      <c r="AC2" s="398">
        <f>'BS - CF Actuals'!AG3</f>
        <v>41612</v>
      </c>
      <c r="AD2" s="398">
        <f>'BS - CF Actuals'!AH3</f>
        <v>41642</v>
      </c>
      <c r="AE2" s="398">
        <f>'BS - CF Actuals'!AI3</f>
        <v>41675</v>
      </c>
      <c r="AF2" s="398">
        <f>'BS - CF Actuals'!AJ3</f>
        <v>41708</v>
      </c>
      <c r="AG2" s="398">
        <f>'BS - CF Actuals'!AK3</f>
        <v>41741</v>
      </c>
      <c r="AH2" s="398">
        <f>'BS - CF Actuals'!AL3</f>
        <v>41774</v>
      </c>
      <c r="AI2" s="398">
        <f>'BS - CF Actuals'!AM3</f>
        <v>41807</v>
      </c>
      <c r="AJ2" s="398">
        <f>'BS - CF Actuals'!AN3</f>
        <v>41840</v>
      </c>
      <c r="AK2" s="398">
        <f>'BS - CF Actuals'!AO3</f>
        <v>41873</v>
      </c>
      <c r="AL2" s="398">
        <f>'BS - CF Actuals'!AP3</f>
        <v>41906</v>
      </c>
      <c r="AM2" s="398">
        <f>'BS - CF Actuals'!AQ3</f>
        <v>41939</v>
      </c>
      <c r="AN2" s="398">
        <f>'BS - CF Actuals'!AR3</f>
        <v>41972</v>
      </c>
      <c r="AO2" s="398">
        <f>'BS - CF Actuals'!AS3</f>
        <v>41982</v>
      </c>
      <c r="AP2" s="398">
        <f>'BS - CF Actuals'!AT3</f>
        <v>42012</v>
      </c>
      <c r="AQ2" s="398">
        <f>'BS - CF Actuals'!AU3</f>
        <v>42042</v>
      </c>
      <c r="AR2" s="398">
        <f>'BS - CF Actuals'!AV3</f>
        <v>42072</v>
      </c>
      <c r="AS2" s="398">
        <f>'BS - CF Actuals'!AW3</f>
        <v>42102</v>
      </c>
      <c r="AT2" s="398">
        <f>'BS - CF Actuals'!AX3</f>
        <v>42132</v>
      </c>
      <c r="AU2" s="398">
        <f>'BS - CF Actuals'!AY3</f>
        <v>42162</v>
      </c>
      <c r="AV2" s="398">
        <f>'BS - CF Actuals'!AZ3</f>
        <v>42192</v>
      </c>
      <c r="AW2" s="398">
        <f>'BS - CF Actuals'!BA3</f>
        <v>42222</v>
      </c>
      <c r="AX2" s="398">
        <f>'BS - CF Actuals'!BB3</f>
        <v>42252</v>
      </c>
      <c r="AY2" s="398">
        <f>'BS - CF Actuals'!BC3</f>
        <v>42282</v>
      </c>
      <c r="AZ2" s="398">
        <f>'BS - CF Actuals'!BD3</f>
        <v>42312</v>
      </c>
      <c r="BA2" s="398">
        <f>'BS - CF Actuals'!BE3</f>
        <v>42342</v>
      </c>
      <c r="BB2" s="398">
        <f>'BS - CF Actuals'!BF3</f>
        <v>42372</v>
      </c>
      <c r="BC2" s="398">
        <f>'BS - CF Actuals'!BG3</f>
        <v>42403</v>
      </c>
      <c r="BD2" s="398">
        <f>'BS - CF Actuals'!BH3</f>
        <v>42432</v>
      </c>
      <c r="BE2" s="398">
        <f>'BS - CF Actuals'!BI3</f>
        <v>42463</v>
      </c>
      <c r="BF2" s="398">
        <f>'BS - CF Actuals'!BJ3</f>
        <v>42493</v>
      </c>
      <c r="BG2" s="398">
        <f>'BS - CF Actuals'!BK3</f>
        <v>42524</v>
      </c>
      <c r="BH2" s="398">
        <f>'BS - CF Actuals'!BL3</f>
        <v>42554</v>
      </c>
      <c r="BI2" s="398">
        <f>'BS - CF Actuals'!BM3</f>
        <v>42585</v>
      </c>
      <c r="BJ2" s="398">
        <f>'BS - CF Actuals'!BN3</f>
        <v>42616</v>
      </c>
      <c r="BK2" s="398">
        <f>'BS - CF Actuals'!BO3</f>
        <v>42646</v>
      </c>
      <c r="BL2" s="398">
        <f>'BS - CF Actuals'!BP3</f>
        <v>42677</v>
      </c>
      <c r="BM2" s="398">
        <f>'BS - CF Actuals'!BQ3</f>
        <v>42707</v>
      </c>
      <c r="BN2" s="398">
        <f>'BS - CF Actuals'!BR3</f>
        <v>42738</v>
      </c>
      <c r="BO2" s="398">
        <f>'BS - CF Actuals'!BS3</f>
        <v>42769</v>
      </c>
      <c r="BP2" s="398">
        <f>'BS - CF Actuals'!BT3</f>
        <v>42797</v>
      </c>
      <c r="BQ2" s="398">
        <f>'BS - CF Actuals'!BU3</f>
        <v>42828</v>
      </c>
      <c r="BR2" s="398">
        <f>'BS - CF Actuals'!BV3</f>
        <v>42858</v>
      </c>
      <c r="BS2" s="398">
        <f>'BS - CF Actuals'!BW3</f>
        <v>42889</v>
      </c>
      <c r="BT2" s="398">
        <f>'BS - CF Actuals'!BX3</f>
        <v>42919</v>
      </c>
      <c r="BU2" s="398">
        <f>'BS - CF Actuals'!BY3</f>
        <v>42950</v>
      </c>
      <c r="BV2" s="398">
        <f>'BS - CF Actuals'!BZ3</f>
        <v>42981</v>
      </c>
      <c r="BW2" s="398">
        <f>'BS - CF Actuals'!CA3</f>
        <v>43011</v>
      </c>
      <c r="BX2" s="398">
        <f>'BS - CF Actuals'!CB3</f>
        <v>43042</v>
      </c>
      <c r="BY2" s="398">
        <f>'BS - CF Actuals'!CC3</f>
        <v>43072</v>
      </c>
    </row>
    <row r="3" spans="1:77" ht="15.5" x14ac:dyDescent="0.35">
      <c r="A3" s="93" t="s">
        <v>88</v>
      </c>
      <c r="D3" s="398" t="s">
        <v>6</v>
      </c>
      <c r="E3" s="398" t="s">
        <v>6</v>
      </c>
      <c r="F3" s="398" t="str">
        <f>'BS - CF Actuals'!J4</f>
        <v>Actual</v>
      </c>
      <c r="G3" s="131" t="str">
        <f>'BS - CF Actuals'!K4</f>
        <v>Actual</v>
      </c>
      <c r="H3" s="398" t="str">
        <f>'BS - CF Actuals'!L4</f>
        <v>Actual</v>
      </c>
      <c r="I3" s="131" t="str">
        <f>'BS - CF Actuals'!M4</f>
        <v>Actual</v>
      </c>
      <c r="J3" s="131" t="str">
        <f>'BS - CF Actuals'!N4</f>
        <v>Actual</v>
      </c>
      <c r="K3" s="398" t="str">
        <f>'BS - CF Actuals'!O4</f>
        <v>Actual</v>
      </c>
      <c r="L3" s="398" t="str">
        <f>'BS - CF Actuals'!P4</f>
        <v>Actual</v>
      </c>
      <c r="M3" s="398" t="str">
        <f>'BS - CF Actuals'!Q4</f>
        <v>Actual</v>
      </c>
      <c r="N3" s="398" t="str">
        <f>'BS - CF Actuals'!R4</f>
        <v>Actual</v>
      </c>
      <c r="O3" s="398" t="str">
        <f>'BS - CF Actuals'!S4</f>
        <v>Actual</v>
      </c>
      <c r="P3" s="398" t="str">
        <f>'BS - CF Actuals'!T4</f>
        <v>Actual</v>
      </c>
      <c r="Q3" s="398" t="str">
        <f>'BS - CF Actuals'!U4</f>
        <v>Actual</v>
      </c>
      <c r="R3" s="398" t="str">
        <f>'BS - CF Actuals'!V4</f>
        <v>Actual</v>
      </c>
      <c r="S3" s="398" t="str">
        <f>'BS - CF Actuals'!W4</f>
        <v>Actual</v>
      </c>
      <c r="T3" s="398" t="str">
        <f>'BS - CF Actuals'!X4</f>
        <v>Actual</v>
      </c>
      <c r="U3" s="398" t="str">
        <f>'BS - CF Actuals'!Y4</f>
        <v>Actual</v>
      </c>
      <c r="V3" s="398" t="str">
        <f>'BS - CF Actuals'!Z4</f>
        <v>Actual</v>
      </c>
      <c r="W3" s="398" t="str">
        <f>'BS - CF Actuals'!AA4</f>
        <v>Actual</v>
      </c>
      <c r="X3" s="398" t="str">
        <f>'BS - CF Actuals'!AB4</f>
        <v>Actual</v>
      </c>
      <c r="Y3" s="398" t="str">
        <f>'BS - CF Actuals'!AC4</f>
        <v>Actual</v>
      </c>
      <c r="Z3" s="398" t="str">
        <f>'BS - CF Actuals'!AD4</f>
        <v>Actual</v>
      </c>
      <c r="AA3" s="398" t="str">
        <f>'BS - CF Actuals'!AE4</f>
        <v>Actual</v>
      </c>
      <c r="AB3" s="131" t="str">
        <f>'BS - CF Actuals'!AF4</f>
        <v>Actual</v>
      </c>
      <c r="AC3" s="131" t="str">
        <f>'BS - CF Actuals'!AG4</f>
        <v>Actual</v>
      </c>
      <c r="AD3" s="131" t="str">
        <f>'BS - CF Actuals'!AH4</f>
        <v>Forecast</v>
      </c>
      <c r="AE3" s="131" t="str">
        <f>'BS - CF Actuals'!AI4</f>
        <v>Forecast</v>
      </c>
      <c r="AF3" s="131" t="str">
        <f>'BS - CF Actuals'!AJ4</f>
        <v>Forecast</v>
      </c>
      <c r="AG3" s="131" t="str">
        <f>'BS - CF Actuals'!AK4</f>
        <v>Forecast</v>
      </c>
      <c r="AH3" s="131" t="str">
        <f>'BS - CF Actuals'!AL4</f>
        <v>Forecast</v>
      </c>
      <c r="AI3" s="131" t="str">
        <f>'BS - CF Actuals'!AM4</f>
        <v>Forecast</v>
      </c>
      <c r="AJ3" s="131" t="str">
        <f>'BS - CF Actuals'!AN4</f>
        <v>Forecast</v>
      </c>
      <c r="AK3" s="131" t="str">
        <f>'BS - CF Actuals'!AO4</f>
        <v>Forecast</v>
      </c>
      <c r="AL3" s="131" t="str">
        <f>'BS - CF Actuals'!AP4</f>
        <v>Forecast</v>
      </c>
      <c r="AM3" s="131" t="str">
        <f>'BS - CF Actuals'!AQ4</f>
        <v>Forecast</v>
      </c>
      <c r="AN3" s="131" t="str">
        <f>'BS - CF Actuals'!AR4</f>
        <v>Forecast</v>
      </c>
      <c r="AO3" s="131" t="str">
        <f>'BS - CF Actuals'!AS4</f>
        <v>Forecast</v>
      </c>
      <c r="AP3" s="131" t="str">
        <f>'BS - CF Actuals'!AT4</f>
        <v>Forecast</v>
      </c>
      <c r="AQ3" s="131" t="str">
        <f>'BS - CF Actuals'!AU4</f>
        <v>Forecast</v>
      </c>
      <c r="AR3" s="131" t="str">
        <f>'BS - CF Actuals'!AV4</f>
        <v>Forecast</v>
      </c>
      <c r="AS3" s="131" t="str">
        <f>'BS - CF Actuals'!AW4</f>
        <v>Forecast</v>
      </c>
      <c r="AT3" s="131" t="str">
        <f>'BS - CF Actuals'!AX4</f>
        <v>Forecast</v>
      </c>
      <c r="AU3" s="131" t="str">
        <f>'BS - CF Actuals'!AY4</f>
        <v>Forecast</v>
      </c>
      <c r="AV3" s="131" t="str">
        <f>'BS - CF Actuals'!AZ4</f>
        <v>Forecast</v>
      </c>
      <c r="AW3" s="131" t="str">
        <f>'BS - CF Actuals'!BA4</f>
        <v>Forecast</v>
      </c>
      <c r="AX3" s="131" t="str">
        <f>'BS - CF Actuals'!BB4</f>
        <v>Forecast</v>
      </c>
      <c r="AY3" s="131" t="str">
        <f>'BS - CF Actuals'!BC4</f>
        <v>Forecast</v>
      </c>
      <c r="AZ3" s="131" t="str">
        <f>'BS - CF Actuals'!BD4</f>
        <v>Forecast</v>
      </c>
      <c r="BA3" s="131" t="str">
        <f>'BS - CF Actuals'!BE4</f>
        <v>Forecast</v>
      </c>
      <c r="BB3" s="131" t="str">
        <f>'BS - CF Actuals'!BF4</f>
        <v>Forecast</v>
      </c>
      <c r="BC3" s="131" t="str">
        <f>'BS - CF Actuals'!BG4</f>
        <v>Forecast</v>
      </c>
      <c r="BD3" s="131" t="str">
        <f>'BS - CF Actuals'!BH4</f>
        <v>Forecast</v>
      </c>
      <c r="BE3" s="131" t="str">
        <f>'BS - CF Actuals'!BI4</f>
        <v>Forecast</v>
      </c>
      <c r="BF3" s="131" t="str">
        <f>'BS - CF Actuals'!BJ4</f>
        <v>Forecast</v>
      </c>
      <c r="BG3" s="131" t="str">
        <f>'BS - CF Actuals'!BK4</f>
        <v>Forecast</v>
      </c>
      <c r="BH3" s="131" t="str">
        <f>'BS - CF Actuals'!BL4</f>
        <v>Forecast</v>
      </c>
      <c r="BI3" s="131" t="str">
        <f>'BS - CF Actuals'!BM4</f>
        <v>Forecast</v>
      </c>
      <c r="BJ3" s="131" t="str">
        <f>'BS - CF Actuals'!BN4</f>
        <v>Forecast</v>
      </c>
      <c r="BK3" s="131" t="str">
        <f>'BS - CF Actuals'!BO4</f>
        <v>Forecast</v>
      </c>
      <c r="BL3" s="131" t="str">
        <f>'BS - CF Actuals'!BP4</f>
        <v>Forecast</v>
      </c>
      <c r="BM3" s="131" t="str">
        <f>'BS - CF Actuals'!BQ4</f>
        <v>Forecast</v>
      </c>
      <c r="BN3" s="131" t="str">
        <f>'BS - CF Actuals'!BR4</f>
        <v>Forecast</v>
      </c>
      <c r="BO3" s="131" t="str">
        <f>'BS - CF Actuals'!BS4</f>
        <v>Forecast</v>
      </c>
      <c r="BP3" s="131" t="str">
        <f>'BS - CF Actuals'!BT4</f>
        <v>Forecast</v>
      </c>
      <c r="BQ3" s="131" t="str">
        <f>'BS - CF Actuals'!BU4</f>
        <v>Forecast</v>
      </c>
      <c r="BR3" s="131" t="str">
        <f>'BS - CF Actuals'!BV4</f>
        <v>Forecast</v>
      </c>
      <c r="BS3" s="131" t="str">
        <f>'BS - CF Actuals'!BW4</f>
        <v>Forecast</v>
      </c>
      <c r="BT3" s="131" t="str">
        <f>'BS - CF Actuals'!BX4</f>
        <v>Forecast</v>
      </c>
      <c r="BU3" s="131" t="str">
        <f>'BS - CF Actuals'!BY4</f>
        <v>Forecast</v>
      </c>
      <c r="BV3" s="131" t="str">
        <f>'BS - CF Actuals'!BZ4</f>
        <v>Forecast</v>
      </c>
      <c r="BW3" s="131" t="str">
        <f>'BS - CF Actuals'!CA4</f>
        <v>Forecast</v>
      </c>
      <c r="BX3" s="131" t="str">
        <f>'BS - CF Actuals'!CB4</f>
        <v>Forecast</v>
      </c>
      <c r="BY3" s="131" t="str">
        <f>'BS - CF Actuals'!CC4</f>
        <v>Forecast</v>
      </c>
    </row>
    <row r="4" spans="1:77" x14ac:dyDescent="0.25">
      <c r="D4" s="97"/>
      <c r="E4" s="97"/>
      <c r="F4" s="97"/>
      <c r="H4" s="97"/>
      <c r="K4" s="97"/>
      <c r="L4" s="97"/>
      <c r="M4" s="97"/>
      <c r="N4" s="97"/>
      <c r="O4" s="97"/>
      <c r="P4" s="97"/>
      <c r="Q4" s="97"/>
      <c r="R4" s="97"/>
      <c r="S4" s="97"/>
      <c r="T4" s="97"/>
      <c r="U4" s="97"/>
      <c r="V4" s="97"/>
      <c r="W4" s="97"/>
      <c r="X4" s="97"/>
      <c r="Y4" s="97"/>
      <c r="Z4" s="97"/>
      <c r="AA4" s="97"/>
    </row>
    <row r="5" spans="1:77" ht="14.5" x14ac:dyDescent="0.35">
      <c r="D5" s="157"/>
      <c r="E5" s="157"/>
      <c r="F5" s="157"/>
      <c r="G5" s="16"/>
      <c r="H5" s="157"/>
      <c r="I5" s="16"/>
      <c r="J5" s="16"/>
      <c r="K5" s="157"/>
      <c r="L5" s="157"/>
      <c r="M5" s="157"/>
      <c r="N5" s="157"/>
      <c r="O5" s="419"/>
      <c r="P5" s="157"/>
      <c r="Q5" s="157"/>
      <c r="R5" s="157"/>
      <c r="S5" s="157"/>
      <c r="T5" s="157"/>
      <c r="U5" s="157"/>
      <c r="V5" s="157"/>
      <c r="W5" s="157"/>
      <c r="X5" s="157"/>
      <c r="Y5" s="785">
        <f>AVERAGE(Y9:AA9)</f>
        <v>169519.14333333334</v>
      </c>
      <c r="Z5" s="157">
        <v>1498547.1966666665</v>
      </c>
      <c r="AA5" s="786">
        <f>Y5/Z5</f>
        <v>0.11312232521632136</v>
      </c>
      <c r="AB5" s="16"/>
      <c r="AC5" s="134"/>
      <c r="AD5" s="305"/>
      <c r="AE5" s="305"/>
      <c r="AF5" s="305"/>
      <c r="AG5" s="305"/>
      <c r="AH5" s="305"/>
      <c r="AI5" s="305"/>
      <c r="AJ5" s="305"/>
      <c r="AK5" s="305"/>
      <c r="AL5" s="305"/>
      <c r="AM5" s="305"/>
      <c r="AN5" s="305"/>
      <c r="AO5" s="305"/>
    </row>
    <row r="6" spans="1:77" ht="13" x14ac:dyDescent="0.3">
      <c r="A6" s="95" t="s">
        <v>89</v>
      </c>
      <c r="B6" s="96"/>
      <c r="C6" s="97"/>
      <c r="D6" s="98"/>
      <c r="E6" s="98"/>
      <c r="F6" s="98"/>
      <c r="G6" s="98"/>
      <c r="H6" s="98"/>
      <c r="I6" s="98"/>
      <c r="J6" s="98"/>
      <c r="K6" s="98"/>
      <c r="L6" s="98"/>
      <c r="M6" s="98"/>
      <c r="N6" s="237"/>
      <c r="O6" s="420"/>
      <c r="P6" s="98"/>
      <c r="Q6" s="98"/>
      <c r="R6" s="98"/>
      <c r="S6" s="98"/>
      <c r="T6" s="98"/>
      <c r="U6" s="98"/>
      <c r="V6" s="98"/>
      <c r="W6" s="98"/>
      <c r="X6" s="98"/>
      <c r="Y6" s="98"/>
      <c r="Z6" s="98"/>
      <c r="AA6" s="98"/>
      <c r="AB6" s="98"/>
      <c r="AC6" s="98"/>
      <c r="AD6" s="98"/>
      <c r="AE6" s="98"/>
      <c r="AF6" s="98"/>
      <c r="AG6" s="98"/>
      <c r="AH6" s="98"/>
      <c r="AI6" s="98"/>
      <c r="AJ6" s="98"/>
      <c r="AK6" s="98"/>
      <c r="AL6" s="98"/>
      <c r="AM6" s="98"/>
      <c r="AN6" s="98"/>
      <c r="AO6" s="98"/>
      <c r="AP6" s="98"/>
      <c r="AQ6" s="98"/>
      <c r="AR6" s="98"/>
      <c r="AS6" s="98"/>
      <c r="AT6" s="98"/>
      <c r="AU6" s="98"/>
      <c r="AV6" s="98"/>
      <c r="AW6" s="98"/>
      <c r="AX6" s="98"/>
      <c r="AY6" s="98"/>
      <c r="AZ6" s="98"/>
      <c r="BA6" s="98"/>
      <c r="BB6" s="98"/>
      <c r="BC6" s="98"/>
      <c r="BD6" s="98"/>
      <c r="BE6" s="98"/>
      <c r="BF6" s="98"/>
      <c r="BG6" s="98"/>
      <c r="BH6" s="98"/>
      <c r="BI6" s="98"/>
      <c r="BJ6" s="98"/>
      <c r="BK6" s="98"/>
      <c r="BL6" s="98"/>
      <c r="BM6" s="98"/>
      <c r="BN6" s="98"/>
      <c r="BO6" s="98"/>
      <c r="BP6" s="98"/>
      <c r="BQ6" s="98"/>
      <c r="BR6" s="98"/>
      <c r="BS6" s="98"/>
      <c r="BT6" s="98"/>
      <c r="BU6" s="98"/>
      <c r="BV6" s="98"/>
      <c r="BW6" s="98"/>
      <c r="BX6" s="98"/>
      <c r="BY6" s="98"/>
    </row>
    <row r="7" spans="1:77" ht="13" x14ac:dyDescent="0.3">
      <c r="A7" s="99" t="s">
        <v>90</v>
      </c>
      <c r="B7" s="97"/>
      <c r="C7" s="97"/>
      <c r="D7" s="100"/>
      <c r="E7" s="100"/>
      <c r="F7" s="100"/>
      <c r="G7" s="400"/>
      <c r="H7" s="400"/>
      <c r="I7" s="400"/>
      <c r="J7" s="400"/>
      <c r="K7" s="400"/>
      <c r="L7" s="100"/>
      <c r="M7" s="100"/>
      <c r="N7" s="400"/>
      <c r="O7" s="400"/>
      <c r="P7" s="400"/>
      <c r="Q7" s="400"/>
      <c r="R7" s="400"/>
      <c r="S7" s="400"/>
      <c r="T7" s="400"/>
      <c r="U7" s="400"/>
      <c r="V7" s="400"/>
      <c r="W7" s="400"/>
      <c r="X7" s="400"/>
      <c r="Y7" s="400"/>
      <c r="Z7" s="400"/>
      <c r="AA7" s="400"/>
      <c r="AB7" s="400"/>
      <c r="AC7" s="400"/>
      <c r="AD7" s="400"/>
      <c r="AE7" s="400"/>
      <c r="AF7" s="400"/>
      <c r="AG7" s="400"/>
      <c r="AH7" s="400"/>
      <c r="AI7" s="400"/>
      <c r="AJ7" s="400"/>
      <c r="AK7" s="400"/>
      <c r="AL7" s="400"/>
      <c r="AM7" s="400"/>
      <c r="AN7" s="400"/>
      <c r="AO7" s="400"/>
    </row>
    <row r="8" spans="1:77" x14ac:dyDescent="0.25">
      <c r="B8" s="27" t="s">
        <v>91</v>
      </c>
      <c r="D8" s="240">
        <f>IF(D3="forecast",'CF - Monthly'!C41,'BS - CF Actuals'!H17)</f>
        <v>3594930.3999999994</v>
      </c>
      <c r="E8" s="240">
        <f>IF(E3="forecast",'CF - Monthly'!D41,'BS - CF Actuals'!I17)</f>
        <v>4672646.8099999996</v>
      </c>
      <c r="F8" s="240">
        <f>IF(F3="forecast",'CF - Monthly'!E41,'BS - CF Actuals'!J17)</f>
        <v>1572588.96</v>
      </c>
      <c r="G8" s="240">
        <f>IF(G3="forecast",'CF - Monthly'!F41,'BS - CF Actuals'!K17)</f>
        <v>1390004.54</v>
      </c>
      <c r="H8" s="240">
        <f>IF(H3="forecast",'CF - Monthly'!G41,'BS - CF Actuals'!L17)</f>
        <v>1562923.57</v>
      </c>
      <c r="I8" s="240">
        <f>IF(I3="forecast",'CF - Monthly'!H41,'BS - CF Actuals'!M17)</f>
        <v>1655539.08</v>
      </c>
      <c r="J8" s="240">
        <f>IF(J3="forecast",'CF - Monthly'!I41,'BS - CF Actuals'!N17)</f>
        <v>2522633.6199999996</v>
      </c>
      <c r="K8" s="240">
        <f>IF(K3="forecast",'CF - Monthly'!J41,'BS - CF Actuals'!O17)</f>
        <v>2439482.09</v>
      </c>
      <c r="L8" s="240">
        <f>IF(L3="forecast",'CF - Monthly'!K41,'BS - CF Actuals'!P17)</f>
        <v>2672024.4699999997</v>
      </c>
      <c r="M8" s="240">
        <f>IF(M3="forecast",'CF - Monthly'!L41,'BS - CF Actuals'!Q17)</f>
        <v>2738927.5500000003</v>
      </c>
      <c r="N8" s="240">
        <f>IF(N3="forecast",'CF - Monthly'!M41,'BS - CF Actuals'!R17)</f>
        <v>2469471.3199999998</v>
      </c>
      <c r="O8" s="240">
        <f>IF(O3="forecast",'CF - Monthly'!N41,'BS - CF Actuals'!S17)</f>
        <v>2267774.33</v>
      </c>
      <c r="P8" s="240">
        <f>IF(P3="forecast",'CF - Monthly'!O41,'BS - CF Actuals'!T17)</f>
        <v>1614256.28</v>
      </c>
      <c r="Q8" s="240">
        <f>IF(Q3="forecast",'CF - Monthly'!P41,'BS - CF Actuals'!U17)</f>
        <v>5762942.2999999998</v>
      </c>
      <c r="R8" s="240">
        <f>IF(R3="forecast",'CF - Monthly'!Q41,'BS - CF Actuals'!V17)</f>
        <v>5602920.8500000006</v>
      </c>
      <c r="S8" s="240">
        <f>IF(S3="forecast",'CF - Monthly'!R41,'BS - CF Actuals'!W17)</f>
        <v>5609004</v>
      </c>
      <c r="T8" s="240">
        <f>IF(T3="forecast",'CF - Monthly'!S41,'BS - CF Actuals'!X17)</f>
        <v>6699887.0899999999</v>
      </c>
      <c r="U8" s="240">
        <f>IF(U3="forecast",'CF - Monthly'!T41,'BS - CF Actuals'!Y17)</f>
        <v>6684013.5</v>
      </c>
      <c r="V8" s="240">
        <f>IF(V3="forecast",'CF - Monthly'!U41,'BS - CF Actuals'!Z17)</f>
        <v>6513340.0199999996</v>
      </c>
      <c r="W8" s="240">
        <f>IF(W3="forecast",'CF - Monthly'!V41,'BS - CF Actuals'!AA17)</f>
        <v>6453230.3499999996</v>
      </c>
      <c r="X8" s="240">
        <f>IF(X3="forecast",'CF - Monthly'!W41,'BS - CF Actuals'!AB17)</f>
        <v>5989799.46</v>
      </c>
      <c r="Y8" s="240">
        <f>IF(Y3="forecast",'CF - Monthly'!X41,'BS - CF Actuals'!AC17)</f>
        <v>5073684.67</v>
      </c>
      <c r="Z8" s="240">
        <f>IF(Z3="forecast",'CF - Monthly'!Y41,'BS - CF Actuals'!AD17)</f>
        <v>5413089.0899999999</v>
      </c>
      <c r="AA8" s="240">
        <f>IF(AA3="forecast",'CF - Monthly'!Z41,'BS - CF Actuals'!AE17)</f>
        <v>4842112.95</v>
      </c>
      <c r="AB8" s="240">
        <f>IF(AB3="forecast",'CF - Monthly'!AA41,'BS - CF Actuals'!AF17)</f>
        <v>4363408.34</v>
      </c>
      <c r="AC8" s="240">
        <f>IF(AC3="forecast",'CF - Monthly'!AB41,'BS - CF Actuals'!AG17)</f>
        <v>3757928.56</v>
      </c>
      <c r="AD8" s="240">
        <f>IF(AD3="forecast",'CF - Monthly'!AC41,'BS - CF Actuals'!AH17)</f>
        <v>4254594.9685709784</v>
      </c>
      <c r="AE8" s="240">
        <f>IF(AE3="forecast",'CF - Monthly'!AD41,'BS - CF Actuals'!AI17)</f>
        <v>4369872.6660298593</v>
      </c>
      <c r="AF8" s="240">
        <f>IF(AF3="forecast",'CF - Monthly'!AE41,'BS - CF Actuals'!AJ17)</f>
        <v>4233014.5816157702</v>
      </c>
      <c r="AG8" s="240">
        <f>IF(AG3="forecast",'CF - Monthly'!AF41,'BS - CF Actuals'!AK17)</f>
        <v>3983241.8661335162</v>
      </c>
      <c r="AH8" s="240">
        <f>IF(AH3="forecast",'CF - Monthly'!AG41,'BS - CF Actuals'!AL17)</f>
        <v>3912977.1774634635</v>
      </c>
      <c r="AI8" s="240">
        <f>IF(AI3="forecast",'CF - Monthly'!AH41,'BS - CF Actuals'!AM17)</f>
        <v>3966617.7585496581</v>
      </c>
      <c r="AJ8" s="240">
        <f>IF(AJ3="forecast",'CF - Monthly'!AI41,'BS - CF Actuals'!AN17)</f>
        <v>3886680.5532746408</v>
      </c>
      <c r="AK8" s="240">
        <f>IF(AK3="forecast",'CF - Monthly'!AJ41,'BS - CF Actuals'!AO17)</f>
        <v>4101982.2370824981</v>
      </c>
      <c r="AL8" s="240">
        <f>IF(AL3="forecast",'CF - Monthly'!AK41,'BS - CF Actuals'!AP17)</f>
        <v>4666025.6987458058</v>
      </c>
      <c r="AM8" s="240">
        <f>IF(AM3="forecast",'CF - Monthly'!AL41,'BS - CF Actuals'!AQ17)</f>
        <v>5210245.4268281013</v>
      </c>
      <c r="AN8" s="240">
        <f>IF(AN3="forecast",'CF - Monthly'!AM41,'BS - CF Actuals'!AR17)</f>
        <v>5756758.0431503579</v>
      </c>
      <c r="AO8" s="240">
        <f>IF(AO3="forecast",'CF - Monthly'!AN41,'BS - CF Actuals'!AS17)</f>
        <v>5091018.6771587739</v>
      </c>
      <c r="AP8" s="240">
        <f>IF(AP3="forecast",'CF - Monthly'!AO41,'BS - CF Actuals'!AT17)</f>
        <v>5861477.2929896256</v>
      </c>
      <c r="AQ8" s="240">
        <f>IF(AQ3="forecast",'CF - Monthly'!AP41,'BS - CF Actuals'!AU17)</f>
        <v>6886593.3413831713</v>
      </c>
      <c r="AR8" s="240">
        <f>IF(AR3="forecast",'CF - Monthly'!AQ41,'BS - CF Actuals'!AV17)</f>
        <v>8035371.688495148</v>
      </c>
      <c r="AS8" s="240">
        <f>IF(AS3="forecast",'CF - Monthly'!AR41,'BS - CF Actuals'!AW17)</f>
        <v>9306010.4955096021</v>
      </c>
      <c r="AT8" s="240">
        <f>IF(AT3="forecast",'CF - Monthly'!AS41,'BS - CF Actuals'!AX17)</f>
        <v>10699348.091678368</v>
      </c>
      <c r="AU8" s="240">
        <f>IF(AU3="forecast",'CF - Monthly'!AT41,'BS - CF Actuals'!AY17)</f>
        <v>12209238.196259659</v>
      </c>
      <c r="AV8" s="240">
        <f>IF(AV3="forecast",'CF - Monthly'!AU41,'BS - CF Actuals'!AZ17)</f>
        <v>13839152.448847018</v>
      </c>
      <c r="AW8" s="240">
        <f>IF(AW3="forecast",'CF - Monthly'!AV41,'BS - CF Actuals'!BA17)</f>
        <v>15596940.756848242</v>
      </c>
      <c r="AX8" s="240">
        <f>IF(AX3="forecast",'CF - Monthly'!AW41,'BS - CF Actuals'!BB17)</f>
        <v>17475126.765971251</v>
      </c>
      <c r="AY8" s="240">
        <f>IF(AY3="forecast",'CF - Monthly'!AX41,'BS - CF Actuals'!BC17)</f>
        <v>19465208.75128261</v>
      </c>
      <c r="AZ8" s="240">
        <f>IF(AZ3="forecast",'CF - Monthly'!AY41,'BS - CF Actuals'!BD17)</f>
        <v>21579069.557515234</v>
      </c>
      <c r="BA8" s="240">
        <f>IF(BA3="forecast",'CF - Monthly'!AZ41,'BS - CF Actuals'!BE17)</f>
        <v>22455029.169125773</v>
      </c>
      <c r="BB8" s="240">
        <f>IF(BB3="forecast",'CF - Monthly'!BA41,'BS - CF Actuals'!BF17)</f>
        <v>20247782.280068006</v>
      </c>
      <c r="BC8" s="240">
        <f>IF(BC3="forecast",'CF - Monthly'!BB41,'BS - CF Actuals'!BG17)</f>
        <v>18463607.580494225</v>
      </c>
      <c r="BD8" s="240">
        <f>IF(BD3="forecast",'CF - Monthly'!BC41,'BS - CF Actuals'!BH17)</f>
        <v>16863883.546557754</v>
      </c>
      <c r="BE8" s="240">
        <f>IF(BE3="forecast",'CF - Monthly'!BD41,'BS - CF Actuals'!BI17)</f>
        <v>15264772.099807339</v>
      </c>
      <c r="BF8" s="240">
        <f>IF(BF3="forecast",'CF - Monthly'!BE41,'BS - CF Actuals'!BJ17)</f>
        <v>13665381.033642987</v>
      </c>
      <c r="BG8" s="240">
        <f>IF(BG3="forecast",'CF - Monthly'!BF41,'BS - CF Actuals'!BK17)</f>
        <v>12089177.43364149</v>
      </c>
      <c r="BH8" s="240">
        <f>IF(BH3="forecast",'CF - Monthly'!BG41,'BS - CF Actuals'!BL17)</f>
        <v>10512623.873945208</v>
      </c>
      <c r="BI8" s="240">
        <f>IF(BI3="forecast",'CF - Monthly'!BH41,'BS - CF Actuals'!BM17)</f>
        <v>8936724.1593621448</v>
      </c>
      <c r="BJ8" s="240">
        <f>IF(BJ3="forecast",'CF - Monthly'!BI41,'BS - CF Actuals'!BN17)</f>
        <v>7359822.0714458078</v>
      </c>
      <c r="BK8" s="240">
        <f>IF(BK3="forecast",'CF - Monthly'!BJ41,'BS - CF Actuals'!BO17)</f>
        <v>5783081.5468919706</v>
      </c>
      <c r="BL8" s="240">
        <f>IF(BL3="forecast",'CF - Monthly'!BK41,'BS - CF Actuals'!BP17)</f>
        <v>4205571.4945279369</v>
      </c>
      <c r="BM8" s="240">
        <f>IF(BM3="forecast",'CF - Monthly'!BL41,'BS - CF Actuals'!BQ17)</f>
        <v>1238103.2734358483</v>
      </c>
      <c r="BN8" s="240">
        <f>IF(BN3="forecast",'CF - Monthly'!BM41,'BS - CF Actuals'!BR17)</f>
        <v>-248624.67818631674</v>
      </c>
      <c r="BO8" s="240">
        <f>IF(BO3="forecast",'CF - Monthly'!BN41,'BS - CF Actuals'!BS17)</f>
        <v>-1444065.8700302613</v>
      </c>
      <c r="BP8" s="240">
        <f>IF(BP3="forecast",'CF - Monthly'!BO41,'BS - CF Actuals'!BT17)</f>
        <v>-2642793.7961038882</v>
      </c>
      <c r="BQ8" s="240">
        <f>IF(BQ3="forecast",'CF - Monthly'!BP41,'BS - CF Actuals'!BU17)</f>
        <v>-3841198.2403781083</v>
      </c>
      <c r="BR8" s="240">
        <f>IF(BR3="forecast",'CF - Monthly'!BQ41,'BS - CF Actuals'!BV17)</f>
        <v>-5040373.7762246802</v>
      </c>
      <c r="BS8" s="240">
        <f>IF(BS3="forecast",'CF - Monthly'!BR41,'BS - CF Actuals'!BW17)</f>
        <v>-6239291.8547283076</v>
      </c>
      <c r="BT8" s="240">
        <f>IF(BT3="forecast",'CF - Monthly'!BS41,'BS - CF Actuals'!BX17)</f>
        <v>-7439046.1285829395</v>
      </c>
      <c r="BU8" s="240">
        <f>IF(BU3="forecast",'CF - Monthly'!BT41,'BS - CF Actuals'!BY17)</f>
        <v>-8639142.599359775</v>
      </c>
      <c r="BV8" s="240">
        <f>IF(BV3="forecast",'CF - Monthly'!BU41,'BS - CF Actuals'!BZ17)</f>
        <v>-9839085.1733765136</v>
      </c>
      <c r="BW8" s="240">
        <f>IF(BW3="forecast",'CF - Monthly'!BV41,'BS - CF Actuals'!CA17)</f>
        <v>-11039937.130064061</v>
      </c>
      <c r="BX8" s="240">
        <f>IF(BX3="forecast",'CF - Monthly'!BW41,'BS - CF Actuals'!CB17)</f>
        <v>0</v>
      </c>
      <c r="BY8" s="240">
        <f>IF(BY3="forecast",'CF - Monthly'!BX41,'BS - CF Actuals'!CC17)</f>
        <v>0</v>
      </c>
    </row>
    <row r="9" spans="1:77" x14ac:dyDescent="0.25">
      <c r="B9" s="27" t="s">
        <v>92</v>
      </c>
      <c r="D9" s="107">
        <f>IF(D3="forecast",0,'BS - CF Actuals'!H20)</f>
        <v>43393.87</v>
      </c>
      <c r="E9" s="107">
        <f>IF(E3="forecast",0,'BS - CF Actuals'!I20)</f>
        <v>238713.42</v>
      </c>
      <c r="F9" s="107">
        <f>IF(F3="forecast",0,'BS - CF Actuals'!J20)</f>
        <v>164788.24</v>
      </c>
      <c r="G9" s="107">
        <f>IF(G3="forecast",0,'BS - CF Actuals'!K20)</f>
        <v>166599.56999999998</v>
      </c>
      <c r="H9" s="107">
        <f>IF(H3="forecast",0,'BS - CF Actuals'!L20)</f>
        <v>191231.68</v>
      </c>
      <c r="I9" s="107">
        <f>IF(I3="forecast",0,'BS - CF Actuals'!M20)</f>
        <v>1058598.46</v>
      </c>
      <c r="J9" s="107">
        <f>IF(J3="forecast",0,'BS - CF Actuals'!N20)</f>
        <v>481639.58999999997</v>
      </c>
      <c r="K9" s="107">
        <f>IF(K3="forecast",0,'BS - CF Actuals'!O20)</f>
        <v>470798.19</v>
      </c>
      <c r="L9" s="107">
        <f>IF(L3="forecast",0,'BS - CF Actuals'!P20)</f>
        <v>171448.87</v>
      </c>
      <c r="M9" s="107">
        <f>IF(M3="forecast",0,'BS - CF Actuals'!Q20)</f>
        <v>162626.36000000002</v>
      </c>
      <c r="N9" s="107">
        <f>IF(N3="forecast",0,'BS - CF Actuals'!R20)</f>
        <v>107082.9</v>
      </c>
      <c r="O9" s="107">
        <f>IF(O3="forecast",0,'BS - CF Actuals'!S20)</f>
        <v>76979.429999999993</v>
      </c>
      <c r="P9" s="107">
        <f>IF(P3="forecast",0,'BS - CF Actuals'!T20)</f>
        <v>151692.14000000001</v>
      </c>
      <c r="Q9" s="107">
        <f>IF(Q3="forecast",0,'BS - CF Actuals'!U20)</f>
        <v>122001.32</v>
      </c>
      <c r="R9" s="107">
        <f>IF(R3="forecast",0,'BS - CF Actuals'!V20)</f>
        <v>1071884.29</v>
      </c>
      <c r="S9" s="107">
        <f>IF(S3="forecast",0,'BS - CF Actuals'!W20)</f>
        <v>992059.81</v>
      </c>
      <c r="T9" s="107">
        <f>IF(T3="forecast",0,'BS - CF Actuals'!X20)</f>
        <v>168475.67</v>
      </c>
      <c r="U9" s="107">
        <f>IF(U3="forecast",0,'BS - CF Actuals'!Y20)</f>
        <v>181522.59</v>
      </c>
      <c r="V9" s="107">
        <f>IF(V3="forecast",0,'BS - CF Actuals'!Z20)</f>
        <v>76470.039999999994</v>
      </c>
      <c r="W9" s="107">
        <f>IF(W3="forecast",0,'BS - CF Actuals'!AA20)</f>
        <v>96790.7</v>
      </c>
      <c r="X9" s="107">
        <f>IF(X3="forecast",0,'BS - CF Actuals'!AB20)</f>
        <v>73573.72</v>
      </c>
      <c r="Y9" s="107">
        <f>IF(Y3="forecast",0,'BS - CF Actuals'!AC20)</f>
        <v>95000.48</v>
      </c>
      <c r="Z9" s="107">
        <f>IF(Z3="forecast",0,'BS - CF Actuals'!AD20)</f>
        <v>203163.07</v>
      </c>
      <c r="AA9" s="107">
        <f>IF(AA3="forecast",0,'BS - CF Actuals'!AE20)</f>
        <v>210393.88</v>
      </c>
      <c r="AB9" s="107">
        <f>IF(AB3="forecast",0,'BS - CF Actuals'!AF20)</f>
        <v>177051.64</v>
      </c>
      <c r="AC9" s="107">
        <f>IF(AC3="forecast",(0.11*'P&amp;L - Monthly'!AB22),'BS - CF Actuals'!AG20)</f>
        <v>450042.34</v>
      </c>
      <c r="AD9" s="107">
        <f>IF(AD3="forecast",(0.11*'P&amp;L - Monthly'!AC22),'BS - CF Actuals'!AH20)</f>
        <v>158653.93807920237</v>
      </c>
      <c r="AE9" s="107">
        <f>IF(AE3="forecast",(0.11*'P&amp;L - Monthly'!AD22),'BS - CF Actuals'!AI20)</f>
        <v>169008.38950642617</v>
      </c>
      <c r="AF9" s="107">
        <f>IF(AF3="forecast",(0.11*'P&amp;L - Monthly'!AE22),'BS - CF Actuals'!AJ20)</f>
        <v>172633.32837788615</v>
      </c>
      <c r="AG9" s="107">
        <f>IF(AG3="forecast",(0.11*'P&amp;L - Monthly'!AF22),'BS - CF Actuals'!AK20)</f>
        <v>187533.28650149686</v>
      </c>
      <c r="AH9" s="107">
        <f>IF(AH3="forecast",(0.11*'P&amp;L - Monthly'!AG22),'BS - CF Actuals'!AL20)</f>
        <v>202486.2965139272</v>
      </c>
      <c r="AI9" s="107">
        <f>IF(AI3="forecast",(0.11*'P&amp;L - Monthly'!AH22),'BS - CF Actuals'!AM20)</f>
        <v>216470.0746178462</v>
      </c>
      <c r="AJ9" s="107">
        <f>IF(AJ3="forecast",(0.11*'P&amp;L - Monthly'!AI22),'BS - CF Actuals'!AN20)</f>
        <v>212711.911292526</v>
      </c>
      <c r="AK9" s="107">
        <f>IF(AK3="forecast",(0.11*'P&amp;L - Monthly'!AJ22),'BS - CF Actuals'!AO20)</f>
        <v>222468.11016962305</v>
      </c>
      <c r="AL9" s="107">
        <f>IF(AL3="forecast",(0.11*'P&amp;L - Monthly'!AK22),'BS - CF Actuals'!AP20)</f>
        <v>260757.70106298837</v>
      </c>
      <c r="AM9" s="107">
        <f>IF(AM3="forecast",(0.11*'P&amp;L - Monthly'!AL22),'BS - CF Actuals'!AQ20)</f>
        <v>276242.36091419746</v>
      </c>
      <c r="AN9" s="107">
        <f>IF(AN3="forecast",(0.11*'P&amp;L - Monthly'!AM22),'BS - CF Actuals'!AR20)</f>
        <v>267219.82500656124</v>
      </c>
      <c r="AO9" s="107">
        <f>IF(AO3="forecast",(0.11*'P&amp;L - Monthly'!AN22),'BS - CF Actuals'!AS20)</f>
        <v>268122.92933366483</v>
      </c>
      <c r="AP9" s="107">
        <f>IF(AP3="forecast",(0.11*'P&amp;L - Monthly'!AO22),'BS - CF Actuals'!AT20)</f>
        <v>308590.67901321501</v>
      </c>
      <c r="AQ9" s="107">
        <f>IF(AQ3="forecast",(0.11*'P&amp;L - Monthly'!AP22),'BS - CF Actuals'!AU20)</f>
        <v>324216.32790878165</v>
      </c>
      <c r="AR9" s="107">
        <f>IF(AR3="forecast",(0.11*'P&amp;L - Monthly'!AQ22),'BS - CF Actuals'!AV20)</f>
        <v>340507.60309168557</v>
      </c>
      <c r="AS9" s="107">
        <f>IF(AS3="forecast",(0.11*'P&amp;L - Monthly'!AR22),'BS - CF Actuals'!AW20)</f>
        <v>356124.00296755071</v>
      </c>
      <c r="AT9" s="107">
        <f>IF(AT3="forecast",(0.11*'P&amp;L - Monthly'!AS22),'BS - CF Actuals'!AX20)</f>
        <v>371124.61019752291</v>
      </c>
      <c r="AU9" s="107">
        <f>IF(AU3="forecast",(0.11*'P&amp;L - Monthly'!AT22),'BS - CF Actuals'!AY20)</f>
        <v>385963.64919099241</v>
      </c>
      <c r="AV9" s="107">
        <f>IF(AV3="forecast",(0.11*'P&amp;L - Monthly'!AU22),'BS - CF Actuals'!AZ20)</f>
        <v>400810.03840110468</v>
      </c>
      <c r="AW9" s="107">
        <f>IF(AW3="forecast",(0.11*'P&amp;L - Monthly'!AV22),'BS - CF Actuals'!BA20)</f>
        <v>415849.49355981988</v>
      </c>
      <c r="AX9" s="107">
        <f>IF(AX3="forecast",(0.11*'P&amp;L - Monthly'!AW22),'BS - CF Actuals'!BB20)</f>
        <v>431059.80186174659</v>
      </c>
      <c r="AY9" s="107">
        <f>IF(AY3="forecast",(0.11*'P&amp;L - Monthly'!AX22),'BS - CF Actuals'!BC20)</f>
        <v>445935.04686174652</v>
      </c>
      <c r="AZ9" s="107">
        <f>IF(AZ3="forecast",(0.11*'P&amp;L - Monthly'!AY22),'BS - CF Actuals'!BD20)</f>
        <v>460810.29186174658</v>
      </c>
      <c r="BA9" s="107">
        <f>IF(BA3="forecast",(0.11*'P&amp;L - Monthly'!AZ22),'BS - CF Actuals'!BE20)</f>
        <v>475685.53686174651</v>
      </c>
      <c r="BB9" s="107">
        <f>IF(BB3="forecast",(0.11*'P&amp;L - Monthly'!BA22),'BS - CF Actuals'!BF20)</f>
        <v>0</v>
      </c>
      <c r="BC9" s="107">
        <f>IF(BC3="forecast",(0.11*'P&amp;L - Monthly'!BB22),'BS - CF Actuals'!BG20)</f>
        <v>0</v>
      </c>
      <c r="BD9" s="107">
        <f>IF(BD3="forecast",(0.11*'P&amp;L - Monthly'!BC22),'BS - CF Actuals'!BH20)</f>
        <v>0</v>
      </c>
      <c r="BE9" s="107">
        <f>IF(BE3="forecast",(0.11*'P&amp;L - Monthly'!BD22),'BS - CF Actuals'!BI20)</f>
        <v>0</v>
      </c>
      <c r="BF9" s="107">
        <f>IF(BF3="forecast",(0.11*'P&amp;L - Monthly'!BE22),'BS - CF Actuals'!BJ20)</f>
        <v>0</v>
      </c>
      <c r="BG9" s="107">
        <f>IF(BG3="forecast",(0.11*'P&amp;L - Monthly'!BF22),'BS - CF Actuals'!BK20)</f>
        <v>0</v>
      </c>
      <c r="BH9" s="107">
        <f>IF(BH3="forecast",(0.11*'P&amp;L - Monthly'!BG22),'BS - CF Actuals'!BL20)</f>
        <v>0</v>
      </c>
      <c r="BI9" s="107">
        <f>IF(BI3="forecast",(0.11*'P&amp;L - Monthly'!BH22),'BS - CF Actuals'!BM20)</f>
        <v>0</v>
      </c>
      <c r="BJ9" s="107">
        <f>IF(BJ3="forecast",(0.11*'P&amp;L - Monthly'!BI22),'BS - CF Actuals'!BN20)</f>
        <v>0</v>
      </c>
      <c r="BK9" s="107">
        <f>IF(BK3="forecast",(0.11*'P&amp;L - Monthly'!BJ22),'BS - CF Actuals'!BO20)</f>
        <v>0</v>
      </c>
      <c r="BL9" s="107">
        <f>IF(BL3="forecast",(0.11*'P&amp;L - Monthly'!BK22),'BS - CF Actuals'!BP20)</f>
        <v>0</v>
      </c>
      <c r="BM9" s="107">
        <f>IF(BM3="forecast",(0.11*'P&amp;L - Monthly'!BL22),'BS - CF Actuals'!BQ20)</f>
        <v>0</v>
      </c>
      <c r="BN9" s="107">
        <f>IF(BN3="forecast",(0.11*'P&amp;L - Monthly'!BM22),'BS - CF Actuals'!BR20)</f>
        <v>0</v>
      </c>
      <c r="BO9" s="107">
        <f>IF(BO3="forecast",(0.11*'P&amp;L - Monthly'!BN22),'BS - CF Actuals'!BS20)</f>
        <v>0</v>
      </c>
      <c r="BP9" s="107">
        <f>IF(BP3="forecast",(0.11*'P&amp;L - Monthly'!BO22),'BS - CF Actuals'!BT20)</f>
        <v>0</v>
      </c>
      <c r="BQ9" s="107">
        <f>IF(BQ3="forecast",(0.11*'P&amp;L - Monthly'!BP22),'BS - CF Actuals'!BU20)</f>
        <v>0</v>
      </c>
      <c r="BR9" s="107">
        <f>IF(BR3="forecast",(0.11*'P&amp;L - Monthly'!BQ22),'BS - CF Actuals'!BV20)</f>
        <v>0</v>
      </c>
      <c r="BS9" s="107">
        <f>IF(BS3="forecast",(0.11*'P&amp;L - Monthly'!BR22),'BS - CF Actuals'!BW20)</f>
        <v>0</v>
      </c>
      <c r="BT9" s="107">
        <f>IF(BT3="forecast",(0.11*'P&amp;L - Monthly'!BS22),'BS - CF Actuals'!BX20)</f>
        <v>0</v>
      </c>
      <c r="BU9" s="107">
        <f>IF(BU3="forecast",(0.11*'P&amp;L - Monthly'!BT22),'BS - CF Actuals'!BY20)</f>
        <v>0</v>
      </c>
      <c r="BV9" s="107">
        <f>IF(BV3="forecast",(0.11*'P&amp;L - Monthly'!BU22),'BS - CF Actuals'!BZ20)</f>
        <v>0</v>
      </c>
      <c r="BW9" s="107">
        <f>IF(BW3="forecast",(0.11*'P&amp;L - Monthly'!BV22),'BS - CF Actuals'!CA20)</f>
        <v>0</v>
      </c>
      <c r="BX9" s="107">
        <f>IF(BX3="forecast",(0.11*'P&amp;L - Monthly'!BW22),'BS - CF Actuals'!CB20)</f>
        <v>0</v>
      </c>
      <c r="BY9" s="107">
        <f>IF(BY3="forecast",(0.11*'P&amp;L - Monthly'!BX22),'BS - CF Actuals'!CC20)</f>
        <v>0</v>
      </c>
    </row>
    <row r="10" spans="1:77" x14ac:dyDescent="0.25">
      <c r="B10" s="27" t="s">
        <v>93</v>
      </c>
      <c r="D10" s="240"/>
      <c r="E10" s="240"/>
      <c r="F10" s="107"/>
      <c r="G10" s="107"/>
      <c r="H10" s="107"/>
      <c r="I10" s="107"/>
      <c r="J10" s="107"/>
      <c r="K10" s="107"/>
      <c r="L10" s="107"/>
      <c r="M10" s="107"/>
      <c r="N10" s="107"/>
      <c r="O10" s="107"/>
      <c r="P10" s="107"/>
      <c r="Q10" s="107"/>
      <c r="R10" s="107"/>
      <c r="S10" s="107"/>
      <c r="T10" s="107"/>
      <c r="U10" s="107"/>
      <c r="V10" s="107"/>
      <c r="W10" s="107"/>
      <c r="X10" s="107"/>
      <c r="Y10" s="107"/>
      <c r="Z10" s="107"/>
      <c r="AA10" s="107"/>
      <c r="AB10" s="107"/>
      <c r="AC10" s="107"/>
      <c r="AD10" s="107"/>
      <c r="AE10" s="107"/>
      <c r="AF10" s="107"/>
      <c r="AG10" s="107"/>
      <c r="AH10" s="107"/>
      <c r="AI10" s="107"/>
      <c r="AJ10" s="107"/>
      <c r="AK10" s="107"/>
      <c r="AL10" s="107"/>
      <c r="AM10" s="107"/>
      <c r="AN10" s="107"/>
      <c r="AO10" s="107"/>
      <c r="AP10" s="107"/>
      <c r="AQ10" s="107"/>
      <c r="AR10" s="107"/>
      <c r="AS10" s="107"/>
      <c r="AT10" s="107"/>
      <c r="AU10" s="107"/>
      <c r="AV10" s="107"/>
      <c r="AW10" s="107"/>
      <c r="AX10" s="107"/>
      <c r="AY10" s="107"/>
      <c r="AZ10" s="107"/>
      <c r="BA10" s="107"/>
      <c r="BB10" s="107"/>
      <c r="BC10" s="107"/>
      <c r="BD10" s="107"/>
      <c r="BE10" s="107"/>
      <c r="BF10" s="107"/>
      <c r="BG10" s="107"/>
      <c r="BH10" s="107"/>
      <c r="BI10" s="107"/>
      <c r="BJ10" s="107"/>
      <c r="BK10" s="107"/>
      <c r="BL10" s="107"/>
      <c r="BM10" s="107"/>
      <c r="BN10" s="107"/>
      <c r="BO10" s="107"/>
      <c r="BP10" s="107"/>
      <c r="BQ10" s="107"/>
      <c r="BR10" s="107"/>
      <c r="BS10" s="107"/>
      <c r="BT10" s="107"/>
      <c r="BU10" s="107"/>
      <c r="BV10" s="107"/>
      <c r="BW10" s="107"/>
      <c r="BX10" s="107"/>
      <c r="BY10" s="107"/>
    </row>
    <row r="11" spans="1:77" x14ac:dyDescent="0.25">
      <c r="B11" s="27" t="s">
        <v>94</v>
      </c>
      <c r="D11" s="111">
        <f>IF(D3="forecast",0,'BS - CF Actuals'!H35)</f>
        <v>48055.22</v>
      </c>
      <c r="E11" s="111">
        <f>IF(E3="forecast",0,'BS - CF Actuals'!I35)</f>
        <v>11277.72</v>
      </c>
      <c r="F11" s="111">
        <f>IF(F3="forecast",0,'BS - CF Actuals'!J35)</f>
        <v>10223.86</v>
      </c>
      <c r="G11" s="111">
        <f>IF(G3="forecast",0,'BS - CF Actuals'!K35)</f>
        <v>11574.36</v>
      </c>
      <c r="H11" s="111">
        <f>IF(H3="forecast",0,'BS - CF Actuals'!L35)</f>
        <v>4821.21</v>
      </c>
      <c r="I11" s="111">
        <f>IF(I3="forecast",0,'BS - CF Actuals'!M35)</f>
        <v>11922.36</v>
      </c>
      <c r="J11" s="111">
        <f>IF(J3="forecast",0,'BS - CF Actuals'!N35)</f>
        <v>3696.21</v>
      </c>
      <c r="K11" s="111">
        <f>IF(K3="forecast",0,'BS - CF Actuals'!O35)</f>
        <v>12674.05</v>
      </c>
      <c r="L11" s="111">
        <f>IF(L3="forecast",0,'BS - CF Actuals'!P35)</f>
        <v>774.95</v>
      </c>
      <c r="M11" s="111">
        <f>IF(M3="forecast",0,'BS - CF Actuals'!Q35)</f>
        <v>500</v>
      </c>
      <c r="N11" s="111">
        <f>IF(N3="forecast",0,'BS - CF Actuals'!R35)</f>
        <v>500</v>
      </c>
      <c r="O11" s="111">
        <f>IF(O3="forecast",0,'BS - CF Actuals'!S35)</f>
        <v>617.70000000000005</v>
      </c>
      <c r="P11" s="111">
        <f>IF(P3="forecast",0,'BS - CF Actuals'!T35)</f>
        <v>1572.45</v>
      </c>
      <c r="Q11" s="111">
        <f>IF(Q3="forecast",0,'BS - CF Actuals'!U35)</f>
        <v>232035.08</v>
      </c>
      <c r="R11" s="111">
        <f>IF(R3="forecast",0,'BS - CF Actuals'!V35)</f>
        <v>252359.34999999998</v>
      </c>
      <c r="S11" s="111">
        <f>IF(S3="forecast",0,'BS - CF Actuals'!W35)</f>
        <v>281761.32</v>
      </c>
      <c r="T11" s="111">
        <f>IF(T3="forecast",0,'BS - CF Actuals'!X35)</f>
        <v>278168.07999999996</v>
      </c>
      <c r="U11" s="111">
        <f>IF(U3="forecast",0,'BS - CF Actuals'!Y35)</f>
        <v>347414.59</v>
      </c>
      <c r="V11" s="111">
        <f>IF(V3="forecast",0,'BS - CF Actuals'!Z35)</f>
        <v>412624.41000000003</v>
      </c>
      <c r="W11" s="111">
        <f>IF(W3="forecast",0,'BS - CF Actuals'!AA35)</f>
        <v>415117.09</v>
      </c>
      <c r="X11" s="111">
        <f>IF(X3="forecast",0,'BS - CF Actuals'!AB35)</f>
        <v>378341.10000000003</v>
      </c>
      <c r="Y11" s="111">
        <f>IF(Y3="forecast",0,'BS - CF Actuals'!AC35)</f>
        <v>448209.37999999995</v>
      </c>
      <c r="Z11" s="1028">
        <f>IF(Z3="forecast",0,'BS - CF Actuals'!AD35)</f>
        <v>393233.01</v>
      </c>
      <c r="AA11" s="1028">
        <f>IF(AA3="forecast",0,'BS - CF Actuals'!AE35)</f>
        <v>403479.23</v>
      </c>
      <c r="AB11" s="1028">
        <f>IF(AB3="forecast",0,'BS - CF Actuals'!AF35)</f>
        <v>506969.88</v>
      </c>
      <c r="AC11" s="617">
        <f>IF(AC3="forecast",AB11,'BS - CF Actuals'!AG35)</f>
        <v>490614.11</v>
      </c>
      <c r="AD11" s="1028">
        <f>IF(AD3="forecast",AC11,'BS - CF Actuals'!AH35)</f>
        <v>490614.11</v>
      </c>
      <c r="AE11" s="1028">
        <f>IF(AE3="forecast",AD11,'BS - CF Actuals'!AI35)</f>
        <v>490614.11</v>
      </c>
      <c r="AF11" s="1028">
        <f>IF(AF3="forecast",AE11,'BS - CF Actuals'!AJ35)</f>
        <v>490614.11</v>
      </c>
      <c r="AG11" s="1028">
        <f>IF(AG3="forecast",AF11,'BS - CF Actuals'!AK35)</f>
        <v>490614.11</v>
      </c>
      <c r="AH11" s="1028">
        <f>IF(AH3="forecast",AG11,'BS - CF Actuals'!AL35)</f>
        <v>490614.11</v>
      </c>
      <c r="AI11" s="1028">
        <f>IF(AI3="forecast",AH11,'BS - CF Actuals'!AM35)</f>
        <v>490614.11</v>
      </c>
      <c r="AJ11" s="1028">
        <f>IF(AJ3="forecast",AI11,'BS - CF Actuals'!AN35)</f>
        <v>490614.11</v>
      </c>
      <c r="AK11" s="1028">
        <f>IF(AK3="forecast",AJ11,'BS - CF Actuals'!AO35)</f>
        <v>490614.11</v>
      </c>
      <c r="AL11" s="1028">
        <f>IF(AL3="forecast",AK11,'BS - CF Actuals'!AP35)</f>
        <v>490614.11</v>
      </c>
      <c r="AM11" s="1028">
        <f>IF(AM3="forecast",AL11,'BS - CF Actuals'!AQ35)</f>
        <v>490614.11</v>
      </c>
      <c r="AN11" s="1028">
        <f>IF(AN3="forecast",AM11,'BS - CF Actuals'!AR35)</f>
        <v>490614.11</v>
      </c>
      <c r="AO11" s="1028">
        <f>IF(AO3="forecast",AN11,'BS - CF Actuals'!AS35)</f>
        <v>490614.11</v>
      </c>
      <c r="AP11" s="1028">
        <f>IF(AP3="forecast",AO11,'BS - CF Actuals'!AT35)</f>
        <v>490614.11</v>
      </c>
      <c r="AQ11" s="1028">
        <f>IF(AQ3="forecast",AP11,'BS - CF Actuals'!AU35)</f>
        <v>490614.11</v>
      </c>
      <c r="AR11" s="1028">
        <f>IF(AR3="forecast",AQ11,'BS - CF Actuals'!AV35)</f>
        <v>490614.11</v>
      </c>
      <c r="AS11" s="1028">
        <f>IF(AS3="forecast",AR11,'BS - CF Actuals'!AW35)</f>
        <v>490614.11</v>
      </c>
      <c r="AT11" s="1028">
        <f>IF(AT3="forecast",AS11,'BS - CF Actuals'!AX35)</f>
        <v>490614.11</v>
      </c>
      <c r="AU11" s="1028">
        <f>IF(AU3="forecast",AT11,'BS - CF Actuals'!AY35)</f>
        <v>490614.11</v>
      </c>
      <c r="AV11" s="1028">
        <f>IF(AV3="forecast",AU11,'BS - CF Actuals'!AZ35)</f>
        <v>490614.11</v>
      </c>
      <c r="AW11" s="1028">
        <f>IF(AW3="forecast",AV11,'BS - CF Actuals'!BA35)</f>
        <v>490614.11</v>
      </c>
      <c r="AX11" s="1028">
        <f>IF(AX3="forecast",AW11,'BS - CF Actuals'!BB35)</f>
        <v>490614.11</v>
      </c>
      <c r="AY11" s="1028">
        <f>IF(AY3="forecast",AX11,'BS - CF Actuals'!BC35)</f>
        <v>490614.11</v>
      </c>
      <c r="AZ11" s="1028">
        <f>IF(AZ3="forecast",AY11,'BS - CF Actuals'!BD35)</f>
        <v>490614.11</v>
      </c>
      <c r="BA11" s="1028">
        <f>IF(BA3="forecast",AZ11,'BS - CF Actuals'!BE35)</f>
        <v>490614.11</v>
      </c>
      <c r="BB11" s="1028">
        <f>IF(BB3="forecast",BA11,'BS - CF Actuals'!BF35)</f>
        <v>490614.11</v>
      </c>
      <c r="BC11" s="1028">
        <f>IF(BC3="forecast",BB11,'BS - CF Actuals'!BG35)</f>
        <v>490614.11</v>
      </c>
      <c r="BD11" s="1028">
        <f>IF(BD3="forecast",BC11,'BS - CF Actuals'!BH35)</f>
        <v>490614.11</v>
      </c>
      <c r="BE11" s="1028">
        <f>IF(BE3="forecast",BD11,'BS - CF Actuals'!BI35)</f>
        <v>490614.11</v>
      </c>
      <c r="BF11" s="1028">
        <f>IF(BF3="forecast",BE11,'BS - CF Actuals'!BJ35)</f>
        <v>490614.11</v>
      </c>
      <c r="BG11" s="1028">
        <f>IF(BG3="forecast",BF11,'BS - CF Actuals'!BK35)</f>
        <v>490614.11</v>
      </c>
      <c r="BH11" s="1028">
        <f>IF(BH3="forecast",BG11,'BS - CF Actuals'!BL35)</f>
        <v>490614.11</v>
      </c>
      <c r="BI11" s="1028">
        <f>IF(BI3="forecast",BH11,'BS - CF Actuals'!BM35)</f>
        <v>490614.11</v>
      </c>
      <c r="BJ11" s="1028">
        <f>IF(BJ3="forecast",BI11,'BS - CF Actuals'!BN35)</f>
        <v>490614.11</v>
      </c>
      <c r="BK11" s="1028">
        <f>IF(BK3="forecast",BJ11,'BS - CF Actuals'!BO35)</f>
        <v>490614.11</v>
      </c>
      <c r="BL11" s="1028">
        <f>IF(BL3="forecast",BK11,'BS - CF Actuals'!BP35)</f>
        <v>490614.11</v>
      </c>
      <c r="BM11" s="1028">
        <f>IF(BM3="forecast",BL11,'BS - CF Actuals'!BQ35)</f>
        <v>490614.11</v>
      </c>
      <c r="BN11" s="1028">
        <f>IF(BN3="forecast",BM11,'BS - CF Actuals'!BR35)</f>
        <v>490614.11</v>
      </c>
      <c r="BO11" s="1028">
        <f>IF(BO3="forecast",BN11,'BS - CF Actuals'!BS35)</f>
        <v>490614.11</v>
      </c>
      <c r="BP11" s="1028">
        <f>IF(BP3="forecast",BO11,'BS - CF Actuals'!BT35)</f>
        <v>490614.11</v>
      </c>
      <c r="BQ11" s="1028">
        <f>IF(BQ3="forecast",BP11,'BS - CF Actuals'!BU35)</f>
        <v>490614.11</v>
      </c>
      <c r="BR11" s="1028">
        <f>IF(BR3="forecast",BQ11,'BS - CF Actuals'!BV35)</f>
        <v>490614.11</v>
      </c>
      <c r="BS11" s="1028">
        <f>IF(BS3="forecast",BR11,'BS - CF Actuals'!BW35)</f>
        <v>490614.11</v>
      </c>
      <c r="BT11" s="1028">
        <f>IF(BT3="forecast",BS11,'BS - CF Actuals'!BX35)</f>
        <v>490614.11</v>
      </c>
      <c r="BU11" s="1028">
        <f>IF(BU3="forecast",BT11,'BS - CF Actuals'!BY35)</f>
        <v>490614.11</v>
      </c>
      <c r="BV11" s="1028">
        <f>IF(BV3="forecast",BU11,'BS - CF Actuals'!BZ35)</f>
        <v>490614.11</v>
      </c>
      <c r="BW11" s="1028">
        <f>IF(BW3="forecast",BV11,'BS - CF Actuals'!CA35)</f>
        <v>490614.11</v>
      </c>
      <c r="BX11" s="1028">
        <f>IF(BX3="forecast",BW11,'BS - CF Actuals'!CB35)</f>
        <v>490614.11</v>
      </c>
      <c r="BY11" s="1028">
        <f>IF(BY3="forecast",BX11,'BS - CF Actuals'!CC35)</f>
        <v>490614.11</v>
      </c>
    </row>
    <row r="12" spans="1:77" s="101" customFormat="1" ht="13" x14ac:dyDescent="0.3">
      <c r="A12" s="105" t="s">
        <v>95</v>
      </c>
      <c r="D12" s="106">
        <f t="shared" ref="D12:E12" si="0">SUM(D8:D11)</f>
        <v>3686379.4899999998</v>
      </c>
      <c r="E12" s="106">
        <f t="shared" si="0"/>
        <v>4922637.9499999993</v>
      </c>
      <c r="F12" s="106">
        <f>SUM(F8:F11)</f>
        <v>1747601.06</v>
      </c>
      <c r="G12" s="106">
        <f>SUM(G8:G11)</f>
        <v>1568178.4700000002</v>
      </c>
      <c r="H12" s="106">
        <f t="shared" ref="H12:M12" si="1">SUM(H8:H11)</f>
        <v>1758976.46</v>
      </c>
      <c r="I12" s="106">
        <f t="shared" si="1"/>
        <v>2726059.9</v>
      </c>
      <c r="J12" s="106">
        <f t="shared" si="1"/>
        <v>3007969.4199999995</v>
      </c>
      <c r="K12" s="106">
        <f t="shared" si="1"/>
        <v>2922954.3299999996</v>
      </c>
      <c r="L12" s="106">
        <f t="shared" si="1"/>
        <v>2844248.29</v>
      </c>
      <c r="M12" s="106">
        <f t="shared" si="1"/>
        <v>2902053.91</v>
      </c>
      <c r="N12" s="106">
        <f t="shared" ref="N12:AO12" si="2">SUM(N8:N11)</f>
        <v>2577054.2199999997</v>
      </c>
      <c r="O12" s="106">
        <f t="shared" si="2"/>
        <v>2345371.4600000004</v>
      </c>
      <c r="P12" s="106">
        <f t="shared" si="2"/>
        <v>1767520.8699999999</v>
      </c>
      <c r="Q12" s="106">
        <f t="shared" si="2"/>
        <v>6116978.7000000002</v>
      </c>
      <c r="R12" s="106">
        <f t="shared" si="2"/>
        <v>6927164.4900000002</v>
      </c>
      <c r="S12" s="106">
        <f t="shared" si="2"/>
        <v>6882825.1300000008</v>
      </c>
      <c r="T12" s="106">
        <f t="shared" si="2"/>
        <v>7146530.8399999999</v>
      </c>
      <c r="U12" s="106">
        <f t="shared" si="2"/>
        <v>7212950.6799999997</v>
      </c>
      <c r="V12" s="106">
        <f t="shared" si="2"/>
        <v>7002434.4699999997</v>
      </c>
      <c r="W12" s="106">
        <f t="shared" si="2"/>
        <v>6965138.1399999997</v>
      </c>
      <c r="X12" s="106">
        <f t="shared" si="2"/>
        <v>6441714.2799999993</v>
      </c>
      <c r="Y12" s="106">
        <f t="shared" ref="Y12" si="3">SUM(Y8:Y11)</f>
        <v>5616894.5300000003</v>
      </c>
      <c r="Z12" s="106">
        <f>SUM(Z8:Z11)</f>
        <v>6009485.1699999999</v>
      </c>
      <c r="AA12" s="106">
        <f t="shared" si="2"/>
        <v>5455986.0600000005</v>
      </c>
      <c r="AB12" s="106">
        <f t="shared" si="2"/>
        <v>5047429.8599999994</v>
      </c>
      <c r="AC12" s="239">
        <f t="shared" si="2"/>
        <v>4698585.0100000007</v>
      </c>
      <c r="AD12" s="239">
        <f t="shared" si="2"/>
        <v>4903863.0166501813</v>
      </c>
      <c r="AE12" s="239">
        <f t="shared" si="2"/>
        <v>5029495.1655362854</v>
      </c>
      <c r="AF12" s="239">
        <f t="shared" si="2"/>
        <v>4896262.0199936563</v>
      </c>
      <c r="AG12" s="239">
        <f t="shared" si="2"/>
        <v>4661389.2626350131</v>
      </c>
      <c r="AH12" s="239">
        <f t="shared" si="2"/>
        <v>4606077.583977391</v>
      </c>
      <c r="AI12" s="239">
        <f t="shared" si="2"/>
        <v>4673701.9431675049</v>
      </c>
      <c r="AJ12" s="239">
        <f t="shared" si="2"/>
        <v>4590006.5745671671</v>
      </c>
      <c r="AK12" s="239">
        <f t="shared" si="2"/>
        <v>4815064.4572521215</v>
      </c>
      <c r="AL12" s="239">
        <f t="shared" si="2"/>
        <v>5417397.5098087946</v>
      </c>
      <c r="AM12" s="239">
        <f t="shared" si="2"/>
        <v>5977101.8977422994</v>
      </c>
      <c r="AN12" s="239">
        <f t="shared" si="2"/>
        <v>6514591.9781569196</v>
      </c>
      <c r="AO12" s="239">
        <f t="shared" si="2"/>
        <v>5849755.7164924387</v>
      </c>
      <c r="AP12" s="239">
        <f t="shared" ref="AP12:BA12" si="4">SUM(AP8:AP11)</f>
        <v>6660682.0820028409</v>
      </c>
      <c r="AQ12" s="239">
        <f t="shared" si="4"/>
        <v>7701423.779291953</v>
      </c>
      <c r="AR12" s="239">
        <f t="shared" si="4"/>
        <v>8866493.4015868325</v>
      </c>
      <c r="AS12" s="239">
        <f t="shared" si="4"/>
        <v>10152748.608477153</v>
      </c>
      <c r="AT12" s="239">
        <f t="shared" si="4"/>
        <v>11561086.811875891</v>
      </c>
      <c r="AU12" s="239">
        <f t="shared" si="4"/>
        <v>13085815.95545065</v>
      </c>
      <c r="AV12" s="239">
        <f t="shared" si="4"/>
        <v>14730576.597248122</v>
      </c>
      <c r="AW12" s="239">
        <f t="shared" si="4"/>
        <v>16503404.360408062</v>
      </c>
      <c r="AX12" s="239">
        <f t="shared" si="4"/>
        <v>18396800.677832998</v>
      </c>
      <c r="AY12" s="239">
        <f t="shared" si="4"/>
        <v>20401757.908144355</v>
      </c>
      <c r="AZ12" s="239">
        <f t="shared" si="4"/>
        <v>22530493.95937698</v>
      </c>
      <c r="BA12" s="239">
        <f t="shared" si="4"/>
        <v>23421328.81598752</v>
      </c>
      <c r="BB12" s="239">
        <f t="shared" ref="BB12:BK12" si="5">SUM(BB8:BB11)</f>
        <v>20738396.390068006</v>
      </c>
      <c r="BC12" s="239">
        <f t="shared" si="5"/>
        <v>18954221.690494224</v>
      </c>
      <c r="BD12" s="239">
        <f t="shared" si="5"/>
        <v>17354497.656557754</v>
      </c>
      <c r="BE12" s="239">
        <f t="shared" si="5"/>
        <v>15755386.209807338</v>
      </c>
      <c r="BF12" s="239">
        <f t="shared" si="5"/>
        <v>14155995.143642986</v>
      </c>
      <c r="BG12" s="239">
        <f t="shared" si="5"/>
        <v>12579791.543641489</v>
      </c>
      <c r="BH12" s="239">
        <f t="shared" si="5"/>
        <v>11003237.983945208</v>
      </c>
      <c r="BI12" s="239">
        <f t="shared" si="5"/>
        <v>9427338.2693621442</v>
      </c>
      <c r="BJ12" s="239">
        <f t="shared" si="5"/>
        <v>7850436.1814458081</v>
      </c>
      <c r="BK12" s="239">
        <f t="shared" si="5"/>
        <v>6273695.6568919709</v>
      </c>
      <c r="BL12" s="239">
        <f t="shared" ref="BL12:BW12" si="6">SUM(BL8:BL11)</f>
        <v>4696185.6045279372</v>
      </c>
      <c r="BM12" s="239">
        <f t="shared" si="6"/>
        <v>1728717.3834358482</v>
      </c>
      <c r="BN12" s="239">
        <f t="shared" si="6"/>
        <v>241989.43181368324</v>
      </c>
      <c r="BO12" s="239">
        <f t="shared" si="6"/>
        <v>-953451.76003026136</v>
      </c>
      <c r="BP12" s="239">
        <f t="shared" si="6"/>
        <v>-2152179.6861038883</v>
      </c>
      <c r="BQ12" s="239">
        <f t="shared" si="6"/>
        <v>-3350584.1303781085</v>
      </c>
      <c r="BR12" s="239">
        <f t="shared" si="6"/>
        <v>-4549759.6662246799</v>
      </c>
      <c r="BS12" s="239">
        <f t="shared" si="6"/>
        <v>-5748677.7447283072</v>
      </c>
      <c r="BT12" s="239">
        <f t="shared" si="6"/>
        <v>-6948432.0185829392</v>
      </c>
      <c r="BU12" s="239">
        <f t="shared" si="6"/>
        <v>-8148528.4893597746</v>
      </c>
      <c r="BV12" s="239">
        <f t="shared" si="6"/>
        <v>-9348471.0633765142</v>
      </c>
      <c r="BW12" s="239">
        <f t="shared" si="6"/>
        <v>-10549323.020064062</v>
      </c>
      <c r="BX12" s="239">
        <f t="shared" ref="BX12:BY12" si="7">SUM(BX8:BX11)</f>
        <v>490614.11</v>
      </c>
      <c r="BY12" s="239">
        <f t="shared" si="7"/>
        <v>490614.11</v>
      </c>
    </row>
    <row r="13" spans="1:77" ht="6" customHeight="1" x14ac:dyDescent="0.3">
      <c r="A13" s="23"/>
      <c r="D13" s="107"/>
      <c r="E13" s="107"/>
      <c r="F13" s="107"/>
      <c r="G13" s="107"/>
      <c r="H13" s="107"/>
      <c r="I13" s="107"/>
      <c r="J13" s="107"/>
      <c r="K13" s="107"/>
      <c r="L13" s="107"/>
      <c r="M13" s="107"/>
      <c r="N13" s="107"/>
      <c r="O13" s="107"/>
      <c r="P13" s="107"/>
      <c r="Q13" s="107"/>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c r="BE13" s="107"/>
      <c r="BF13" s="107"/>
      <c r="BG13" s="107"/>
      <c r="BH13" s="107"/>
      <c r="BI13" s="107"/>
      <c r="BJ13" s="107"/>
      <c r="BK13" s="107"/>
      <c r="BL13" s="107"/>
      <c r="BM13" s="107"/>
      <c r="BN13" s="107"/>
      <c r="BO13" s="107"/>
      <c r="BP13" s="107"/>
      <c r="BQ13" s="107"/>
      <c r="BR13" s="107"/>
      <c r="BS13" s="107"/>
      <c r="BT13" s="107"/>
      <c r="BU13" s="107"/>
      <c r="BV13" s="107"/>
      <c r="BW13" s="107"/>
      <c r="BX13" s="107"/>
      <c r="BY13" s="107"/>
    </row>
    <row r="14" spans="1:77" ht="13" x14ac:dyDescent="0.3">
      <c r="A14" s="105" t="s">
        <v>96</v>
      </c>
      <c r="D14" s="107"/>
      <c r="E14" s="107"/>
      <c r="F14" s="107"/>
      <c r="G14" s="107"/>
      <c r="H14" s="107"/>
      <c r="I14" s="107"/>
      <c r="J14" s="107"/>
      <c r="K14" s="107"/>
      <c r="L14" s="107"/>
      <c r="M14" s="107"/>
      <c r="N14" s="107"/>
      <c r="O14" s="107"/>
      <c r="P14" s="107"/>
      <c r="Q14" s="107"/>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c r="BE14" s="107"/>
      <c r="BF14" s="107"/>
      <c r="BG14" s="107"/>
      <c r="BH14" s="107"/>
      <c r="BI14" s="107"/>
      <c r="BJ14" s="107"/>
      <c r="BK14" s="107"/>
      <c r="BL14" s="107"/>
      <c r="BM14" s="107"/>
      <c r="BN14" s="107"/>
      <c r="BO14" s="107"/>
      <c r="BP14" s="107"/>
      <c r="BQ14" s="107"/>
      <c r="BR14" s="107"/>
      <c r="BS14" s="107"/>
      <c r="BT14" s="107"/>
      <c r="BU14" s="107"/>
      <c r="BV14" s="107"/>
      <c r="BW14" s="107"/>
      <c r="BX14" s="107"/>
      <c r="BY14" s="107"/>
    </row>
    <row r="15" spans="1:77" s="28" customFormat="1" x14ac:dyDescent="0.25">
      <c r="B15" s="28" t="s">
        <v>97</v>
      </c>
      <c r="D15" s="198">
        <f>IF(D3="forecast",#REF!,'BS - CF Actuals'!H45+'BS - CF Actuals'!H49)</f>
        <v>123177.64</v>
      </c>
      <c r="E15" s="198">
        <f>IF(E3="forecast",#REF!,'BS - CF Actuals'!I45+'BS - CF Actuals'!I49)</f>
        <v>160766.24</v>
      </c>
      <c r="F15" s="198">
        <f>IF(F3="forecast",#REF!,'BS - CF Actuals'!J45+'BS - CF Actuals'!J49)</f>
        <v>161800.12</v>
      </c>
      <c r="G15" s="198">
        <f>IF(G3="forecast",#REF!,'BS - CF Actuals'!K45+'BS - CF Actuals'!K49)</f>
        <v>168911.1</v>
      </c>
      <c r="H15" s="198">
        <f>IF(H3="forecast",#REF!,'BS - CF Actuals'!L45+'BS - CF Actuals'!L49)</f>
        <v>172829.16</v>
      </c>
      <c r="I15" s="198">
        <f>IF(I3="forecast",#REF!,'BS - CF Actuals'!M45+'BS - CF Actuals'!M49)</f>
        <v>178814.28</v>
      </c>
      <c r="J15" s="198">
        <f>IF(J3="forecast",#REF!,'BS - CF Actuals'!N45+'BS - CF Actuals'!N49)</f>
        <v>180033.28</v>
      </c>
      <c r="K15" s="198">
        <f>IF(K3="forecast",#REF!,'BS - CF Actuals'!O45+'BS - CF Actuals'!O49)</f>
        <v>188816.75</v>
      </c>
      <c r="L15" s="198">
        <f>IF(L3="forecast",#REF!,'BS - CF Actuals'!P45+'BS - CF Actuals'!P49)</f>
        <v>209850.96000000002</v>
      </c>
      <c r="M15" s="198">
        <f>IF(M3="forecast",#REF!,'BS - CF Actuals'!Q45+'BS - CF Actuals'!Q49)</f>
        <v>222747.24</v>
      </c>
      <c r="N15" s="198">
        <f>IF(N3="forecast",#REF!,'BS - CF Actuals'!R45+'BS - CF Actuals'!R49)</f>
        <v>234383.51</v>
      </c>
      <c r="O15" s="198">
        <f>IF(O3="forecast",#REF!,'BS - CF Actuals'!S45+'BS - CF Actuals'!S49)</f>
        <v>248406.51</v>
      </c>
      <c r="P15" s="198">
        <f>IF(P3="forecast",#REF!,'BS - CF Actuals'!T45+'BS - CF Actuals'!T49)</f>
        <v>255582.27000000002</v>
      </c>
      <c r="Q15" s="198">
        <f>IF(Q3="forecast",#REF!,'BS - CF Actuals'!U45+'BS - CF Actuals'!U49)</f>
        <v>264164.8</v>
      </c>
      <c r="R15" s="198">
        <f>IF(R3="forecast",#REF!,'BS - CF Actuals'!V45+'BS - CF Actuals'!V49)</f>
        <v>280415.81</v>
      </c>
      <c r="S15" s="198">
        <f>IF(S3="forecast",#REF!,'BS - CF Actuals'!W45+'BS - CF Actuals'!W49)</f>
        <v>287238.53999999998</v>
      </c>
      <c r="T15" s="198">
        <f>IF(T3="forecast",#REF!,'BS - CF Actuals'!X45+'BS - CF Actuals'!X49)</f>
        <v>299315.68</v>
      </c>
      <c r="U15" s="198">
        <f>IF(U3="forecast",#REF!,'BS - CF Actuals'!Y45+'BS - CF Actuals'!Y49)</f>
        <v>324498.96000000002</v>
      </c>
      <c r="V15" s="198">
        <f>IF(V3="forecast",#REF!,'BS - CF Actuals'!Z45+'BS - CF Actuals'!Z49)</f>
        <v>336671.58999999997</v>
      </c>
      <c r="W15" s="198">
        <f>IF(W3="forecast",#REF!,'BS - CF Actuals'!AA45+'BS - CF Actuals'!AA49)</f>
        <v>349957.82</v>
      </c>
      <c r="X15" s="198">
        <f>IF(X3="forecast",#REF!,'BS - CF Actuals'!AB45+'BS - CF Actuals'!AB49)</f>
        <v>349957.82</v>
      </c>
      <c r="Y15" s="198">
        <f>IF(Y3="forecast",#REF!,'BS - CF Actuals'!AC45+'BS - CF Actuals'!AC49)</f>
        <v>369664.7</v>
      </c>
      <c r="Z15" s="1029">
        <f>IF(Z3="forecast",Y15,'BS - CF Actuals'!AD45+'BS - CF Actuals'!AD49)</f>
        <v>382658.59</v>
      </c>
      <c r="AA15" s="1029">
        <f>IF(AA3="forecast",Z15,'BS - CF Actuals'!AE45+'BS - CF Actuals'!AE49)</f>
        <v>478935.35</v>
      </c>
      <c r="AB15" s="1029">
        <f>IF(AB3="forecast",AA15,'BS - CF Actuals'!AF45+'BS - CF Actuals'!AF49)</f>
        <v>519743.41000000003</v>
      </c>
      <c r="AC15" s="616">
        <f>IF(AC3="forecast",'CAPEX &amp; Depr '!AB5,'BS - CF Actuals'!AG45+'BS - CF Actuals'!AG49)</f>
        <v>569485.62</v>
      </c>
      <c r="AD15" s="1029">
        <f>IF(AD3="forecast",'CAPEX &amp; Depr '!AC5,'BS - CF Actuals'!AH45+'BS - CF Actuals'!AH49)</f>
        <v>478935.35</v>
      </c>
      <c r="AE15" s="1029">
        <f>IF(AE3="forecast",'CAPEX &amp; Depr '!AD5,'BS - CF Actuals'!AI45+'BS - CF Actuals'!AI49)</f>
        <v>478935.35</v>
      </c>
      <c r="AF15" s="1029">
        <f>IF(AF3="forecast",'CAPEX &amp; Depr '!AE5,'BS - CF Actuals'!AJ45+'BS - CF Actuals'!AJ49)</f>
        <v>478935.35</v>
      </c>
      <c r="AG15" s="1029">
        <f>IF(AG3="forecast",'CAPEX &amp; Depr '!AF5,'BS - CF Actuals'!AK45+'BS - CF Actuals'!AK49)</f>
        <v>478935.35</v>
      </c>
      <c r="AH15" s="1029">
        <f>IF(AH3="forecast",'CAPEX &amp; Depr '!AG5,'BS - CF Actuals'!AL45+'BS - CF Actuals'!AL49)</f>
        <v>478935.35</v>
      </c>
      <c r="AI15" s="1029">
        <f>IF(AI3="forecast",'CAPEX &amp; Depr '!AH5,'BS - CF Actuals'!AM45+'BS - CF Actuals'!AM49)</f>
        <v>478935.35</v>
      </c>
      <c r="AJ15" s="1029">
        <f>IF(AJ3="forecast",'CAPEX &amp; Depr '!AI5,'BS - CF Actuals'!AN45+'BS - CF Actuals'!AN49)</f>
        <v>478935.35</v>
      </c>
      <c r="AK15" s="1029">
        <f>IF(AK3="forecast",'CAPEX &amp; Depr '!AJ5,'BS - CF Actuals'!AO45+'BS - CF Actuals'!AO49)</f>
        <v>478935.35</v>
      </c>
      <c r="AL15" s="1029">
        <f>IF(AL3="forecast",'CAPEX &amp; Depr '!AK5,'BS - CF Actuals'!AP45+'BS - CF Actuals'!AP49)</f>
        <v>478935.35</v>
      </c>
      <c r="AM15" s="1029">
        <f>IF(AM3="forecast",'CAPEX &amp; Depr '!AL5,'BS - CF Actuals'!AQ45+'BS - CF Actuals'!AQ49)</f>
        <v>478935.35</v>
      </c>
      <c r="AN15" s="1029">
        <f>IF(AN3="forecast",'CAPEX &amp; Depr '!AM5,'BS - CF Actuals'!AR45+'BS - CF Actuals'!AR49)</f>
        <v>478935.35</v>
      </c>
      <c r="AO15" s="1029">
        <f>IF(AO3="forecast",'CAPEX &amp; Depr '!AN5,'BS - CF Actuals'!AS45+'BS - CF Actuals'!AS49)</f>
        <v>478935.35</v>
      </c>
      <c r="AP15" s="1029">
        <f>IF(AP3="forecast",'CAPEX &amp; Depr '!AO5,'BS - CF Actuals'!AT45+'BS - CF Actuals'!AT49)</f>
        <v>478935.35</v>
      </c>
      <c r="AQ15" s="1029">
        <f>IF(AQ3="forecast",'CAPEX &amp; Depr '!AP5,'BS - CF Actuals'!AU45+'BS - CF Actuals'!AU49)</f>
        <v>478935.35</v>
      </c>
      <c r="AR15" s="1029">
        <f>IF(AR3="forecast",'CAPEX &amp; Depr '!AQ5,'BS - CF Actuals'!AV45+'BS - CF Actuals'!AV49)</f>
        <v>478935.35</v>
      </c>
      <c r="AS15" s="1029">
        <f>IF(AS3="forecast",'CAPEX &amp; Depr '!AR5,'BS - CF Actuals'!AW45+'BS - CF Actuals'!AW49)</f>
        <v>478935.35</v>
      </c>
      <c r="AT15" s="1029">
        <f>IF(AT3="forecast",'CAPEX &amp; Depr '!AS5,'BS - CF Actuals'!AX45+'BS - CF Actuals'!AX49)</f>
        <v>478935.35</v>
      </c>
      <c r="AU15" s="1029">
        <f>IF(AU3="forecast",'CAPEX &amp; Depr '!AT5,'BS - CF Actuals'!AY45+'BS - CF Actuals'!AY49)</f>
        <v>478935.35</v>
      </c>
      <c r="AV15" s="1029">
        <f>IF(AV3="forecast",'CAPEX &amp; Depr '!AU5,'BS - CF Actuals'!AZ45+'BS - CF Actuals'!AZ49)</f>
        <v>478935.35</v>
      </c>
      <c r="AW15" s="1029">
        <f>IF(AW3="forecast",'CAPEX &amp; Depr '!AV5,'BS - CF Actuals'!BA45+'BS - CF Actuals'!BA49)</f>
        <v>478935.35</v>
      </c>
      <c r="AX15" s="1029">
        <f>IF(AX3="forecast",'CAPEX &amp; Depr '!AW5,'BS - CF Actuals'!BB45+'BS - CF Actuals'!BB49)</f>
        <v>478935.35</v>
      </c>
      <c r="AY15" s="1029">
        <f>IF(AY3="forecast",'CAPEX &amp; Depr '!AX5,'BS - CF Actuals'!BC45+'BS - CF Actuals'!BC49)</f>
        <v>478935.35</v>
      </c>
      <c r="AZ15" s="1029">
        <f>IF(AZ3="forecast",'CAPEX &amp; Depr '!AY5,'BS - CF Actuals'!BD45+'BS - CF Actuals'!BD49)</f>
        <v>478935.35</v>
      </c>
      <c r="BA15" s="1029">
        <f>IF(BA3="forecast",'CAPEX &amp; Depr '!AZ5,'BS - CF Actuals'!BE45+'BS - CF Actuals'!BE49)</f>
        <v>478935.35</v>
      </c>
      <c r="BB15" s="1029">
        <f>IF(BB3="forecast",'CAPEX &amp; Depr '!BA5,'BS - CF Actuals'!BF45+'BS - CF Actuals'!BF49)</f>
        <v>478935.35</v>
      </c>
      <c r="BC15" s="1029">
        <f>IF(BC3="forecast",'CAPEX &amp; Depr '!BB5,'BS - CF Actuals'!BG45+'BS - CF Actuals'!BG49)</f>
        <v>478935.35</v>
      </c>
      <c r="BD15" s="1029">
        <f>IF(BD3="forecast",'CAPEX &amp; Depr '!BC5,'BS - CF Actuals'!BH45+'BS - CF Actuals'!BH49)</f>
        <v>478935.35</v>
      </c>
      <c r="BE15" s="1029">
        <f>IF(BE3="forecast",'CAPEX &amp; Depr '!BD5,'BS - CF Actuals'!BI45+'BS - CF Actuals'!BI49)</f>
        <v>478935.35</v>
      </c>
      <c r="BF15" s="1029">
        <f>IF(BF3="forecast",'CAPEX &amp; Depr '!BE5,'BS - CF Actuals'!BJ45+'BS - CF Actuals'!BJ49)</f>
        <v>478935.35</v>
      </c>
      <c r="BG15" s="1029">
        <f>IF(BG3="forecast",'CAPEX &amp; Depr '!BF5,'BS - CF Actuals'!BK45+'BS - CF Actuals'!BK49)</f>
        <v>478935.35</v>
      </c>
      <c r="BH15" s="1029">
        <f>IF(BH3="forecast",'CAPEX &amp; Depr '!BG5,'BS - CF Actuals'!BL45+'BS - CF Actuals'!BL49)</f>
        <v>478935.35</v>
      </c>
      <c r="BI15" s="1029">
        <f>IF(BI3="forecast",'CAPEX &amp; Depr '!BH5,'BS - CF Actuals'!BM45+'BS - CF Actuals'!BM49)</f>
        <v>478935.35</v>
      </c>
      <c r="BJ15" s="1029">
        <f>IF(BJ3="forecast",'CAPEX &amp; Depr '!BI5,'BS - CF Actuals'!BN45+'BS - CF Actuals'!BN49)</f>
        <v>478935.35</v>
      </c>
      <c r="BK15" s="1029">
        <f>IF(BK3="forecast",'CAPEX &amp; Depr '!BJ5,'BS - CF Actuals'!BO45+'BS - CF Actuals'!BO49)</f>
        <v>478935.35</v>
      </c>
      <c r="BL15" s="1029">
        <f>IF(BL3="forecast",'CAPEX &amp; Depr '!BK5,'BS - CF Actuals'!BP45+'BS - CF Actuals'!BP49)</f>
        <v>478935.35</v>
      </c>
      <c r="BM15" s="1029">
        <f>IF(BM3="forecast",'CAPEX &amp; Depr '!BL5,'BS - CF Actuals'!BQ45+'BS - CF Actuals'!BQ49)</f>
        <v>478935.35</v>
      </c>
      <c r="BN15" s="1029">
        <f>IF(BN3="forecast",'CAPEX &amp; Depr '!BM5,'BS - CF Actuals'!BR45+'BS - CF Actuals'!BR49)</f>
        <v>478935.35</v>
      </c>
      <c r="BO15" s="1029">
        <f>IF(BO3="forecast",'CAPEX &amp; Depr '!BN5,'BS - CF Actuals'!BS45+'BS - CF Actuals'!BS49)</f>
        <v>478935.35</v>
      </c>
      <c r="BP15" s="1029">
        <f>IF(BP3="forecast",'CAPEX &amp; Depr '!BO5,'BS - CF Actuals'!BT45+'BS - CF Actuals'!BT49)</f>
        <v>478935.35</v>
      </c>
      <c r="BQ15" s="1029">
        <f>IF(BQ3="forecast",'CAPEX &amp; Depr '!BP5,'BS - CF Actuals'!BU45+'BS - CF Actuals'!BU49)</f>
        <v>478935.35</v>
      </c>
      <c r="BR15" s="1029">
        <f>IF(BR3="forecast",'CAPEX &amp; Depr '!BQ5,'BS - CF Actuals'!BV45+'BS - CF Actuals'!BV49)</f>
        <v>478935.35</v>
      </c>
      <c r="BS15" s="1029">
        <f>IF(BS3="forecast",'CAPEX &amp; Depr '!BR5,'BS - CF Actuals'!BW45+'BS - CF Actuals'!BW49)</f>
        <v>478935.35</v>
      </c>
      <c r="BT15" s="1029">
        <f>IF(BT3="forecast",'CAPEX &amp; Depr '!BS5,'BS - CF Actuals'!BX45+'BS - CF Actuals'!BX49)</f>
        <v>478935.35</v>
      </c>
      <c r="BU15" s="1029">
        <f>IF(BU3="forecast",'CAPEX &amp; Depr '!BT5,'BS - CF Actuals'!BY45+'BS - CF Actuals'!BY49)</f>
        <v>478935.35</v>
      </c>
      <c r="BV15" s="1029">
        <f>IF(BV3="forecast",'CAPEX &amp; Depr '!BU5,'BS - CF Actuals'!BZ45+'BS - CF Actuals'!BZ49)</f>
        <v>478935.35</v>
      </c>
      <c r="BW15" s="1029">
        <f>IF(BW3="forecast",'CAPEX &amp; Depr '!BV5,'BS - CF Actuals'!CA45+'BS - CF Actuals'!CA49)</f>
        <v>478935.35</v>
      </c>
      <c r="BX15" s="1029">
        <f>IF(BX3="forecast",'CAPEX &amp; Depr '!BW5,'BS - CF Actuals'!CB45+'BS - CF Actuals'!CB49)</f>
        <v>478935.35</v>
      </c>
      <c r="BY15" s="1029">
        <f>IF(BY3="forecast",'CAPEX &amp; Depr '!BX5,'BS - CF Actuals'!CC45+'BS - CF Actuals'!CC49)</f>
        <v>0</v>
      </c>
    </row>
    <row r="16" spans="1:77" s="28" customFormat="1" x14ac:dyDescent="0.25">
      <c r="B16" s="28" t="s">
        <v>444</v>
      </c>
      <c r="D16" s="198">
        <f>IF(D3="forecast",#REF!,'BS - CF Actuals'!H53+'BS - CF Actuals'!H57)</f>
        <v>218701.44</v>
      </c>
      <c r="E16" s="198">
        <f>IF(E3="forecast",#REF!,'BS - CF Actuals'!I53+'BS - CF Actuals'!I57)</f>
        <v>321612.34999999998</v>
      </c>
      <c r="F16" s="198">
        <f>IF(F3="forecast",#REF!,'BS - CF Actuals'!J53+'BS - CF Actuals'!J57)</f>
        <v>324949.84999999998</v>
      </c>
      <c r="G16" s="198">
        <f>IF(G3="forecast",#REF!,'BS - CF Actuals'!K53+'BS - CF Actuals'!K57)</f>
        <v>324949.84999999998</v>
      </c>
      <c r="H16" s="198">
        <f>IF(H3="forecast",#REF!,'BS - CF Actuals'!L53+'BS - CF Actuals'!L57)</f>
        <v>341008.32</v>
      </c>
      <c r="I16" s="198">
        <f>IF(I3="forecast",#REF!,'BS - CF Actuals'!M53+'BS - CF Actuals'!M57)</f>
        <v>373612.26</v>
      </c>
      <c r="J16" s="198">
        <f>IF(J3="forecast",#REF!,'BS - CF Actuals'!N53+'BS - CF Actuals'!N57)</f>
        <v>373612.26</v>
      </c>
      <c r="K16" s="198">
        <f>IF(K3="forecast",#REF!,'BS - CF Actuals'!O53+'BS - CF Actuals'!O57)</f>
        <v>374118.25</v>
      </c>
      <c r="L16" s="198">
        <f>IF(L3="forecast",#REF!,'BS - CF Actuals'!P53+'BS - CF Actuals'!P57)</f>
        <v>376518.25</v>
      </c>
      <c r="M16" s="198">
        <f>IF(M3="forecast",#REF!,'BS - CF Actuals'!Q53+'BS - CF Actuals'!Q57)</f>
        <v>376518.25</v>
      </c>
      <c r="N16" s="198">
        <f>IF(N3="forecast",#REF!,'BS - CF Actuals'!R53+'BS - CF Actuals'!R57)</f>
        <v>376518.25</v>
      </c>
      <c r="O16" s="198">
        <f>IF(O3="forecast",#REF!,'BS - CF Actuals'!S53+'BS - CF Actuals'!S57)</f>
        <v>416973.49</v>
      </c>
      <c r="P16" s="198">
        <f>IF(P3="forecast",#REF!,'BS - CF Actuals'!T53+'BS - CF Actuals'!T57)</f>
        <v>416973.49</v>
      </c>
      <c r="Q16" s="198">
        <f>IF(Q3="forecast",'CAPEX &amp; Depr '!N6+'CAPEX &amp; Depr '!N7,'BS - CF Actuals'!T53+'BS - CF Actuals'!T57)</f>
        <v>416973.49</v>
      </c>
      <c r="R16" s="198">
        <f>IF(R3="forecast",'CAPEX &amp; Depr '!O6+'CAPEX &amp; Depr '!O7,'BS - CF Actuals'!U53+'BS - CF Actuals'!U57)</f>
        <v>416384.7</v>
      </c>
      <c r="S16" s="198">
        <f>IF(S3="forecast",'CAPEX &amp; Depr '!P6+'CAPEX &amp; Depr '!P7,'BS - CF Actuals'!V53+'BS - CF Actuals'!V57)</f>
        <v>431756.89</v>
      </c>
      <c r="T16" s="198">
        <f>IF(T3="forecast",'CAPEX &amp; Depr '!Q6+'CAPEX &amp; Depr '!Q7,'BS - CF Actuals'!W53+'BS - CF Actuals'!W57)</f>
        <v>482146.62</v>
      </c>
      <c r="U16" s="198">
        <f>IF(U3="forecast",'CAPEX &amp; Depr '!R6+'CAPEX &amp; Depr '!R7,'BS - CF Actuals'!X53+'BS - CF Actuals'!X57)</f>
        <v>502147.06999999995</v>
      </c>
      <c r="V16" s="198">
        <f>IF(V3="forecast",'CAPEX &amp; Depr '!S6+'CAPEX &amp; Depr '!S7,'BS - CF Actuals'!Y53+'BS - CF Actuals'!Y57)</f>
        <v>511947.06999999995</v>
      </c>
      <c r="W16" s="198">
        <f>IF(W3="forecast",'CAPEX &amp; Depr '!T6+'CAPEX &amp; Depr '!T7,'BS - CF Actuals'!Z53+'BS - CF Actuals'!Z57)</f>
        <v>511947.06999999995</v>
      </c>
      <c r="X16" s="198">
        <f>IF(X3="forecast",'CAPEX &amp; Depr '!U6+'CAPEX &amp; Depr '!U7,'BS - CF Actuals'!AA53+'BS - CF Actuals'!AA57)</f>
        <v>511947.06999999995</v>
      </c>
      <c r="Y16" s="198">
        <f>IF(Y3="forecast",'CAPEX &amp; Depr '!V6+'CAPEX &amp; Depr '!V7,'BS - CF Actuals'!AB53+'BS - CF Actuals'!AB57)</f>
        <v>515595.75</v>
      </c>
      <c r="Z16" s="198">
        <f>IF(Z3="forecast",'CAPEX &amp; Depr '!W6+'CAPEX &amp; Depr '!W7,'BS - CF Actuals'!AC53+'BS - CF Actuals'!AC57)</f>
        <v>521881.78</v>
      </c>
      <c r="AA16" s="198">
        <f>IF(AA3="forecast",'CAPEX &amp; Depr '!X6+'CAPEX &amp; Depr '!X7,'BS - CF Actuals'!AD53+'BS - CF Actuals'!AD57)</f>
        <v>522745.63</v>
      </c>
      <c r="AB16" s="198">
        <f>IF(AB3="forecast",'CAPEX &amp; Depr '!Y6+'CAPEX &amp; Depr '!Y7,'BS - CF Actuals'!AE53+'BS - CF Actuals'!AE57)</f>
        <v>522745.63</v>
      </c>
      <c r="AC16" s="198">
        <f>IF(AC3="forecast",'CAPEX &amp; Depr '!Z6+'CAPEX &amp; Depr '!Z7,'BS - CF Actuals'!AF53+'BS - CF Actuals'!AF57)</f>
        <v>522745.63</v>
      </c>
      <c r="AD16" s="198">
        <f>IF(AD3="forecast",'CAPEX &amp; Depr '!AA6+'CAPEX &amp; Depr '!AA7,'BS - CF Actuals'!AG53+'BS - CF Actuals'!AG57)</f>
        <v>556332.32000000007</v>
      </c>
      <c r="AE16" s="198">
        <f>IF(AE3="forecast",'CAPEX &amp; Depr '!AB6+'CAPEX &amp; Depr '!AB7,'BS - CF Actuals'!AH53+'BS - CF Actuals'!AH57)</f>
        <v>556332.32000000007</v>
      </c>
      <c r="AF16" s="198">
        <f>IF(AF3="forecast",'CAPEX &amp; Depr '!AC6+'CAPEX &amp; Depr '!AC7,'BS - CF Actuals'!AI53+'BS - CF Actuals'!AI57)</f>
        <v>556332.32000000007</v>
      </c>
      <c r="AG16" s="198">
        <f>IF(AG3="forecast",'CAPEX &amp; Depr '!AD6+'CAPEX &amp; Depr '!AD7,'BS - CF Actuals'!AJ53+'BS - CF Actuals'!AJ57)</f>
        <v>556332.32000000007</v>
      </c>
      <c r="AH16" s="198">
        <f>IF(AH3="forecast",'CAPEX &amp; Depr '!AE6+'CAPEX &amp; Depr '!AE7,'BS - CF Actuals'!AK53+'BS - CF Actuals'!AK57)</f>
        <v>556332.32000000007</v>
      </c>
      <c r="AI16" s="198">
        <f>IF(AI3="forecast",'CAPEX &amp; Depr '!AF6+'CAPEX &amp; Depr '!AF7,'BS - CF Actuals'!AL53+'BS - CF Actuals'!AL57)</f>
        <v>556332.32000000007</v>
      </c>
      <c r="AJ16" s="198">
        <f>IF(AJ3="forecast",'CAPEX &amp; Depr '!AG6+'CAPEX &amp; Depr '!AG7,'BS - CF Actuals'!AM53+'BS - CF Actuals'!AM57)</f>
        <v>556332.32000000007</v>
      </c>
      <c r="AK16" s="198">
        <f>IF(AK3="forecast",'CAPEX &amp; Depr '!AH6+'CAPEX &amp; Depr '!AH7,'BS - CF Actuals'!AN53+'BS - CF Actuals'!AN57)</f>
        <v>556332.32000000007</v>
      </c>
      <c r="AL16" s="198">
        <f>IF(AL3="forecast",'CAPEX &amp; Depr '!AI6+'CAPEX &amp; Depr '!AI7,'BS - CF Actuals'!AO53+'BS - CF Actuals'!AO57)</f>
        <v>556332.32000000007</v>
      </c>
      <c r="AM16" s="198">
        <f>IF(AM3="forecast",'CAPEX &amp; Depr '!AJ6+'CAPEX &amp; Depr '!AJ7,'BS - CF Actuals'!AP53+'BS - CF Actuals'!AP57)</f>
        <v>556332.32000000007</v>
      </c>
      <c r="AN16" s="198">
        <f>IF(AN3="forecast",'CAPEX &amp; Depr '!AK6+'CAPEX &amp; Depr '!AK7,'BS - CF Actuals'!AQ53+'BS - CF Actuals'!AQ57)</f>
        <v>556332.32000000007</v>
      </c>
      <c r="AO16" s="198">
        <f>IF(AO3="forecast",'CAPEX &amp; Depr '!AL6+'CAPEX &amp; Depr '!AL7,'BS - CF Actuals'!AR53+'BS - CF Actuals'!AR57)</f>
        <v>556332.32000000007</v>
      </c>
      <c r="AP16" s="198">
        <f>IF(AP3="forecast",'CAPEX &amp; Depr '!AM6+'CAPEX &amp; Depr '!AM7,'BS - CF Actuals'!AS53+'BS - CF Actuals'!AS57)</f>
        <v>556332.32000000007</v>
      </c>
      <c r="AQ16" s="198">
        <f>IF(AQ3="forecast",'CAPEX &amp; Depr '!AN6+'CAPEX &amp; Depr '!AN7,'BS - CF Actuals'!AT53+'BS - CF Actuals'!AT57)</f>
        <v>556332.32000000007</v>
      </c>
      <c r="AR16" s="198">
        <f>IF(AR3="forecast",'CAPEX &amp; Depr '!AO6+'CAPEX &amp; Depr '!AO7,'BS - CF Actuals'!AU53+'BS - CF Actuals'!AU57)</f>
        <v>556332.32000000007</v>
      </c>
      <c r="AS16" s="198">
        <f>IF(AS3="forecast",'CAPEX &amp; Depr '!AP6+'CAPEX &amp; Depr '!AP7,'BS - CF Actuals'!AV53+'BS - CF Actuals'!AV57)</f>
        <v>556332.32000000007</v>
      </c>
      <c r="AT16" s="198">
        <f>IF(AT3="forecast",'CAPEX &amp; Depr '!AQ6+'CAPEX &amp; Depr '!AQ7,'BS - CF Actuals'!AW53+'BS - CF Actuals'!AW57)</f>
        <v>556332.32000000007</v>
      </c>
      <c r="AU16" s="198">
        <f>IF(AU3="forecast",'CAPEX &amp; Depr '!AR6+'CAPEX &amp; Depr '!AR7,'BS - CF Actuals'!AX53+'BS - CF Actuals'!AX57)</f>
        <v>556332.32000000007</v>
      </c>
      <c r="AV16" s="198">
        <f>IF(AV3="forecast",'CAPEX &amp; Depr '!AS6+'CAPEX &amp; Depr '!AS7,'BS - CF Actuals'!AY53+'BS - CF Actuals'!AY57)</f>
        <v>556332.32000000007</v>
      </c>
      <c r="AW16" s="198">
        <f>IF(AW3="forecast",'CAPEX &amp; Depr '!AT6+'CAPEX &amp; Depr '!AT7,'BS - CF Actuals'!AZ53+'BS - CF Actuals'!AZ57)</f>
        <v>556332.32000000007</v>
      </c>
      <c r="AX16" s="198">
        <f>IF(AX3="forecast",'CAPEX &amp; Depr '!AU6+'CAPEX &amp; Depr '!AU7,'BS - CF Actuals'!BA53+'BS - CF Actuals'!BA57)</f>
        <v>556332.32000000007</v>
      </c>
      <c r="AY16" s="198">
        <f>IF(AY3="forecast",'CAPEX &amp; Depr '!AV6+'CAPEX &amp; Depr '!AV7,'BS - CF Actuals'!BB53+'BS - CF Actuals'!BB57)</f>
        <v>556332.32000000007</v>
      </c>
      <c r="AZ16" s="198">
        <f>IF(AZ3="forecast",'CAPEX &amp; Depr '!AW6+'CAPEX &amp; Depr '!AW7,'BS - CF Actuals'!BC53+'BS - CF Actuals'!BC57)</f>
        <v>556332.32000000007</v>
      </c>
      <c r="BA16" s="198">
        <f>IF(BA3="forecast",'CAPEX &amp; Depr '!AX6+'CAPEX &amp; Depr '!AX7,'BS - CF Actuals'!BD53+'BS - CF Actuals'!BD57)</f>
        <v>556332.32000000007</v>
      </c>
      <c r="BB16" s="198">
        <f>IF(BB3="forecast",'CAPEX &amp; Depr '!AY6+'CAPEX &amp; Depr '!AY7,'BS - CF Actuals'!BE53+'BS - CF Actuals'!BE57)</f>
        <v>556332.32000000007</v>
      </c>
      <c r="BC16" s="198">
        <f>IF(BC3="forecast",'CAPEX &amp; Depr '!AZ6+'CAPEX &amp; Depr '!AZ7,'BS - CF Actuals'!BF53+'BS - CF Actuals'!BF57)</f>
        <v>556332.32000000007</v>
      </c>
      <c r="BD16" s="198">
        <f>IF(BD3="forecast",'CAPEX &amp; Depr '!BA6+'CAPEX &amp; Depr '!BA7,'BS - CF Actuals'!BG53+'BS - CF Actuals'!BG57)</f>
        <v>556332.32000000007</v>
      </c>
      <c r="BE16" s="198">
        <f>IF(BE3="forecast",'CAPEX &amp; Depr '!BB6+'CAPEX &amp; Depr '!BB7,'BS - CF Actuals'!BH53+'BS - CF Actuals'!BH57)</f>
        <v>556332.32000000007</v>
      </c>
      <c r="BF16" s="198">
        <f>IF(BF3="forecast",'CAPEX &amp; Depr '!BC6+'CAPEX &amp; Depr '!BC7,'BS - CF Actuals'!BI53+'BS - CF Actuals'!BI57)</f>
        <v>556332.32000000007</v>
      </c>
      <c r="BG16" s="198">
        <f>IF(BG3="forecast",'CAPEX &amp; Depr '!BD6+'CAPEX &amp; Depr '!BD7,'BS - CF Actuals'!BJ53+'BS - CF Actuals'!BJ57)</f>
        <v>556332.32000000007</v>
      </c>
      <c r="BH16" s="198">
        <f>IF(BH3="forecast",'CAPEX &amp; Depr '!BE6+'CAPEX &amp; Depr '!BE7,'BS - CF Actuals'!BK53+'BS - CF Actuals'!BK57)</f>
        <v>556332.32000000007</v>
      </c>
      <c r="BI16" s="198">
        <f>IF(BI3="forecast",'CAPEX &amp; Depr '!BF6+'CAPEX &amp; Depr '!BF7,'BS - CF Actuals'!BL53+'BS - CF Actuals'!BL57)</f>
        <v>556332.32000000007</v>
      </c>
      <c r="BJ16" s="198">
        <f>IF(BJ3="forecast",'CAPEX &amp; Depr '!BG6+'CAPEX &amp; Depr '!BG7,'BS - CF Actuals'!BM53+'BS - CF Actuals'!BM57)</f>
        <v>556332.32000000007</v>
      </c>
      <c r="BK16" s="198">
        <f>IF(BK3="forecast",'CAPEX &amp; Depr '!BH6+'CAPEX &amp; Depr '!BH7,'BS - CF Actuals'!BN53+'BS - CF Actuals'!BN57)</f>
        <v>556332.32000000007</v>
      </c>
      <c r="BL16" s="198">
        <f>IF(BL3="forecast",'CAPEX &amp; Depr '!BI6+'CAPEX &amp; Depr '!BI7,'BS - CF Actuals'!BO53+'BS - CF Actuals'!BO57)</f>
        <v>556332.32000000007</v>
      </c>
      <c r="BM16" s="198">
        <f>IF(BM3="forecast",'CAPEX &amp; Depr '!BJ6+'CAPEX &amp; Depr '!BJ7,'BS - CF Actuals'!BP53+'BS - CF Actuals'!BP57)</f>
        <v>556332.32000000007</v>
      </c>
      <c r="BN16" s="198">
        <f>IF(BN3="forecast",'CAPEX &amp; Depr '!BK6+'CAPEX &amp; Depr '!BK7,'BS - CF Actuals'!BQ53+'BS - CF Actuals'!BQ57)</f>
        <v>556332.32000000007</v>
      </c>
      <c r="BO16" s="198">
        <f>IF(BO3="forecast",'CAPEX &amp; Depr '!BL6+'CAPEX &amp; Depr '!BL7,'BS - CF Actuals'!BR53+'BS - CF Actuals'!BR57)</f>
        <v>556332.32000000007</v>
      </c>
      <c r="BP16" s="198">
        <f>IF(BP3="forecast",'CAPEX &amp; Depr '!BM6+'CAPEX &amp; Depr '!BM7,'BS - CF Actuals'!BS53+'BS - CF Actuals'!BS57)</f>
        <v>556332.32000000007</v>
      </c>
      <c r="BQ16" s="198">
        <f>IF(BQ3="forecast",'CAPEX &amp; Depr '!BN6+'CAPEX &amp; Depr '!BN7,'BS - CF Actuals'!BT53+'BS - CF Actuals'!BT57)</f>
        <v>556332.32000000007</v>
      </c>
      <c r="BR16" s="198">
        <f>IF(BR3="forecast",'CAPEX &amp; Depr '!BO6+'CAPEX &amp; Depr '!BO7,'BS - CF Actuals'!BU53+'BS - CF Actuals'!BU57)</f>
        <v>556332.32000000007</v>
      </c>
      <c r="BS16" s="198">
        <f>IF(BS3="forecast",'CAPEX &amp; Depr '!BP6+'CAPEX &amp; Depr '!BP7,'BS - CF Actuals'!BV53+'BS - CF Actuals'!BV57)</f>
        <v>556332.32000000007</v>
      </c>
      <c r="BT16" s="198">
        <f>IF(BT3="forecast",'CAPEX &amp; Depr '!BQ6+'CAPEX &amp; Depr '!BQ7,'BS - CF Actuals'!BW53+'BS - CF Actuals'!BW57)</f>
        <v>556332.32000000007</v>
      </c>
      <c r="BU16" s="198">
        <f>IF(BU3="forecast",'CAPEX &amp; Depr '!BR6+'CAPEX &amp; Depr '!BR7,'BS - CF Actuals'!BX53+'BS - CF Actuals'!BX57)</f>
        <v>556332.32000000007</v>
      </c>
      <c r="BV16" s="198">
        <f>IF(BV3="forecast",'CAPEX &amp; Depr '!BS6+'CAPEX &amp; Depr '!BS7,'BS - CF Actuals'!BY53+'BS - CF Actuals'!BY57)</f>
        <v>556332.32000000007</v>
      </c>
      <c r="BW16" s="198">
        <f>IF(BW3="forecast",'CAPEX &amp; Depr '!BT6+'CAPEX &amp; Depr '!BT7,'BS - CF Actuals'!BZ53+'BS - CF Actuals'!BZ57)</f>
        <v>556332.32000000007</v>
      </c>
      <c r="BX16" s="198">
        <f>IF(BX3="forecast",'CAPEX &amp; Depr '!BU6+'CAPEX &amp; Depr '!BU7,'BS - CF Actuals'!CA53+'BS - CF Actuals'!CA57)</f>
        <v>556332.32000000007</v>
      </c>
      <c r="BY16" s="198">
        <f>IF(BY3="forecast",'CAPEX &amp; Depr '!BV6+'CAPEX &amp; Depr '!BV7,'BS - CF Actuals'!CB53+'BS - CF Actuals'!CB57)</f>
        <v>556332.32000000007</v>
      </c>
    </row>
    <row r="17" spans="1:77" s="28" customFormat="1" x14ac:dyDescent="0.25">
      <c r="B17" s="28" t="s">
        <v>98</v>
      </c>
      <c r="D17" s="108">
        <f>IF(D3="forecast",A17-#REF!,'BS - CF Actuals'!H59)</f>
        <v>-112017.22</v>
      </c>
      <c r="E17" s="108">
        <f>IF(E3="forecast",B17-#REF!,'BS - CF Actuals'!I59)</f>
        <v>-182957.23</v>
      </c>
      <c r="F17" s="108">
        <f>IF(F3="forecast",C17-#REF!,'BS - CF Actuals'!J59)</f>
        <v>-182957.22999999998</v>
      </c>
      <c r="G17" s="108">
        <f>IF(G3="forecast",F17-#REF!,'BS - CF Actuals'!K59)</f>
        <v>-182957.22999999998</v>
      </c>
      <c r="H17" s="108">
        <f>IF(H3="forecast",G17-#REF!,'BS - CF Actuals'!L59)</f>
        <v>-182957.22999999998</v>
      </c>
      <c r="I17" s="108">
        <f>IF(I3="forecast",H17-#REF!,'BS - CF Actuals'!M59)</f>
        <v>-182957.22999999998</v>
      </c>
      <c r="J17" s="108">
        <f>IF(J3="forecast",I17-#REF!,'BS - CF Actuals'!N59)</f>
        <v>-182957.22999999998</v>
      </c>
      <c r="K17" s="108">
        <f>IF(K3="forecast",J17-#REF!,'BS - CF Actuals'!O59)</f>
        <v>-182957.22999999998</v>
      </c>
      <c r="L17" s="108">
        <f>IF(L3="forecast",K17-#REF!,'BS - CF Actuals'!P59)</f>
        <v>-182957.22999999998</v>
      </c>
      <c r="M17" s="108">
        <f>IF(M3="forecast",L17-#REF!,'BS - CF Actuals'!Q59)</f>
        <v>-182957.22999999998</v>
      </c>
      <c r="N17" s="108">
        <f>IF(N3="forecast",M17-#REF!,'BS - CF Actuals'!R59)</f>
        <v>-182957.22999999998</v>
      </c>
      <c r="O17" s="108">
        <f>IF(O3="forecast",N17-#REF!,'BS - CF Actuals'!S59)</f>
        <v>-182957.22999999998</v>
      </c>
      <c r="P17" s="108">
        <f>IF(P3="forecast",O17-#REF!,'BS - CF Actuals'!T59)</f>
        <v>-182957.22999999998</v>
      </c>
      <c r="Q17" s="108">
        <f>IF(Q3="forecast",P17-'CAPEX &amp; Depr '!N19,'BS - CF Actuals'!T59)</f>
        <v>-182957.22999999998</v>
      </c>
      <c r="R17" s="108">
        <f>IF(R3="forecast",Q17-'CAPEX &amp; Depr '!O19,'BS - CF Actuals'!U59)</f>
        <v>-280493.88</v>
      </c>
      <c r="S17" s="108">
        <f>IF(S3="forecast",R17-'CAPEX &amp; Depr '!P19,'BS - CF Actuals'!V59)</f>
        <v>-290631.21000000002</v>
      </c>
      <c r="T17" s="108">
        <f>IF(T3="forecast",S17-'CAPEX &amp; Depr '!Q19,'BS - CF Actuals'!W59)</f>
        <v>-301570.71000000002</v>
      </c>
      <c r="U17" s="108">
        <f>IF(U3="forecast",T17-'CAPEX &amp; Depr '!R19,'BS - CF Actuals'!X59)</f>
        <v>-312942.47000000003</v>
      </c>
      <c r="V17" s="108">
        <f>IF(V3="forecast",U17-'CAPEX &amp; Depr '!S19,'BS - CF Actuals'!Y59)</f>
        <v>-324649.47000000003</v>
      </c>
      <c r="W17" s="108">
        <f>IF(W3="forecast",V17-'CAPEX &amp; Depr '!T19,'BS - CF Actuals'!Z59)</f>
        <v>-336519.97</v>
      </c>
      <c r="X17" s="108">
        <f>IF(X3="forecast",W17-'CAPEX &amp; Depr '!U19,'BS - CF Actuals'!AA59)</f>
        <v>-348473.47</v>
      </c>
      <c r="Y17" s="108">
        <f>IF(Y3="forecast",X17-'CAPEX &amp; Depr '!V19,'BS - CF Actuals'!AB59)</f>
        <v>-360477.63999999996</v>
      </c>
      <c r="Z17" s="108">
        <f>IF(Z3="forecast",Y17-'CAPEX &amp; Depr '!W19,'BS - CF Actuals'!AC59)</f>
        <v>-372603.38</v>
      </c>
      <c r="AA17" s="108">
        <f>IF(AA3="forecast",Z17-'CAPEX &amp; Depr '!X19,'BS - CF Actuals'!AD59)</f>
        <v>-384797.71</v>
      </c>
      <c r="AB17" s="108">
        <f>IF(AB3="forecast",AA17-'CAPEX &amp; Depr '!Y19,'BS - CF Actuals'!AF59)</f>
        <v>-409766.29</v>
      </c>
      <c r="AC17" s="108">
        <f>IF(AC3="forecast",AB17-'CAPEX &amp; Depr '!Z19,'BS - CF Actuals'!AF59)</f>
        <v>-409766.29</v>
      </c>
      <c r="AD17" s="108">
        <f>IF(AD3="forecast",AC17-'CAPEX &amp; Depr '!AA19,'BS - CF Actuals'!AG59)</f>
        <v>-422613.48000399995</v>
      </c>
      <c r="AE17" s="108">
        <f>IF(AE3="forecast",AD17-'CAPEX &amp; Depr '!AB19,'BS - CF Actuals'!AH59)</f>
        <v>-435756.15537809196</v>
      </c>
      <c r="AF17" s="108">
        <f>IF(AF3="forecast",AE17-'CAPEX &amp; Depr '!AC19,'BS - CF Actuals'!AI59)</f>
        <v>-449201.11228578805</v>
      </c>
      <c r="AG17" s="108">
        <f>IF(AG3="forecast",AF17-'CAPEX &amp; Depr '!AD19,'BS - CF Actuals'!AJ59)</f>
        <v>-462955.30320236116</v>
      </c>
      <c r="AH17" s="108">
        <f>IF(AH3="forecast",AG17-'CAPEX &amp; Depr '!AE19,'BS - CF Actuals'!AK59)</f>
        <v>-477025.84051001543</v>
      </c>
      <c r="AI17" s="108">
        <f>IF(AI3="forecast",AH17-'CAPEX &amp; Depr '!AF19,'BS - CF Actuals'!AL59)</f>
        <v>-491420.00017574581</v>
      </c>
      <c r="AJ17" s="108">
        <f>IF(AJ3="forecast",AI17-'CAPEX &amp; Depr '!AG19,'BS - CF Actuals'!AM59)</f>
        <v>-506145.22551378794</v>
      </c>
      <c r="AK17" s="108">
        <f>IF(AK3="forecast",AJ17-'CAPEX &amp; Depr '!AH19,'BS - CF Actuals'!AN59)</f>
        <v>-521209.13103460503</v>
      </c>
      <c r="AL17" s="108">
        <f>IF(AL3="forecast",AK17-'CAPEX &amp; Depr '!AI19,'BS - CF Actuals'!AO59)</f>
        <v>-536619.50638240098</v>
      </c>
      <c r="AM17" s="108">
        <f>IF(AM3="forecast",AL17-'CAPEX &amp; Depr '!AJ19,'BS - CF Actuals'!AP59)</f>
        <v>-552384.3203631962</v>
      </c>
      <c r="AN17" s="108">
        <f>IF(AN3="forecast",AM17-'CAPEX &amp; Depr '!AK19,'BS - CF Actuals'!AQ59)</f>
        <v>-568511.72506554972</v>
      </c>
      <c r="AO17" s="108">
        <f>IF(AO3="forecast",AN17-'CAPEX &amp; Depr '!AL19,'BS - CF Actuals'!AR59)</f>
        <v>-585010.06007605733</v>
      </c>
      <c r="AP17" s="108">
        <f>IF(AP3="forecast",AO17-'CAPEX &amp; Depr '!AM19,'BS - CF Actuals'!AS59)</f>
        <v>-601887.85679180664</v>
      </c>
      <c r="AQ17" s="108">
        <f>IF(AQ3="forecast",AP17-'CAPEX &amp; Depr '!AN19,'BS - CF Actuals'!AT59)</f>
        <v>-619153.84283201816</v>
      </c>
      <c r="AR17" s="108">
        <f>IF(AR3="forecast",AQ17-'CAPEX &amp; Depr '!AO19,'BS - CF Actuals'!AU59)</f>
        <v>-636816.9465511546</v>
      </c>
      <c r="AS17" s="108">
        <f>IF(AS3="forecast",AR17-'CAPEX &amp; Depr '!AP19,'BS - CF Actuals'!AV59)</f>
        <v>-654886.30165583116</v>
      </c>
      <c r="AT17" s="108">
        <f>IF(AT3="forecast",AS17-'CAPEX &amp; Depr '!AQ19,'BS - CF Actuals'!AW59)</f>
        <v>-673371.25192791526</v>
      </c>
      <c r="AU17" s="108">
        <f>IF(AU3="forecast",AT17-'CAPEX &amp; Depr '!AR19,'BS - CF Actuals'!AX59)</f>
        <v>-692281.35605625727</v>
      </c>
      <c r="AV17" s="108">
        <f>IF(AV3="forecast",AU17-'CAPEX &amp; Depr '!AS19,'BS - CF Actuals'!AY59)</f>
        <v>-711626.3925795512</v>
      </c>
      <c r="AW17" s="108">
        <f>IF(AW3="forecast",AV17-'CAPEX &amp; Depr '!AT19,'BS - CF Actuals'!AZ59)</f>
        <v>-731416.36494288081</v>
      </c>
      <c r="AX17" s="108">
        <f>IF(AX3="forecast",AW17-'CAPEX &amp; Depr '!AU19,'BS - CF Actuals'!BA59)</f>
        <v>-751661.50667056709</v>
      </c>
      <c r="AY17" s="108">
        <f>IF(AY3="forecast",AX17-'CAPEX &amp; Depr '!AV19,'BS - CF Actuals'!BB59)</f>
        <v>-772372.28665799007</v>
      </c>
      <c r="AZ17" s="108">
        <f>IF(AZ3="forecast",AY17-'CAPEX &amp; Depr '!AW19,'BS - CF Actuals'!BC59)</f>
        <v>-793559.41458512377</v>
      </c>
      <c r="BA17" s="108">
        <f>IF(BA3="forecast",AZ17-'CAPEX &amp; Depr '!AX19,'BS - CF Actuals'!BD59)</f>
        <v>-815233.8464545816</v>
      </c>
      <c r="BB17" s="108">
        <f>IF(BB3="forecast",BA17-'CAPEX &amp; Depr '!AY19,'BS - CF Actuals'!BE59)</f>
        <v>-837406.79025703692</v>
      </c>
      <c r="BC17" s="108">
        <f>IF(BC3="forecast",BB17-'CAPEX &amp; Depr '!AZ19,'BS - CF Actuals'!BF59)</f>
        <v>-837406.79025703692</v>
      </c>
      <c r="BD17" s="108">
        <f>IF(BD3="forecast",BC17-'CAPEX &amp; Depr '!BA19,'BS - CF Actuals'!BG59)</f>
        <v>-837406.79025703692</v>
      </c>
      <c r="BE17" s="108">
        <f>IF(BE3="forecast",BD17-'CAPEX &amp; Depr '!BB19,'BS - CF Actuals'!BH59)</f>
        <v>-837406.79025703692</v>
      </c>
      <c r="BF17" s="108">
        <f>IF(BF3="forecast",BE17-'CAPEX &amp; Depr '!BC19,'BS - CF Actuals'!BI59)</f>
        <v>-837406.79025703692</v>
      </c>
      <c r="BG17" s="108">
        <f>IF(BG3="forecast",BF17-'CAPEX &amp; Depr '!BD19,'BS - CF Actuals'!BJ59)</f>
        <v>-837406.79025703692</v>
      </c>
      <c r="BH17" s="108">
        <f>IF(BH3="forecast",BG17-'CAPEX &amp; Depr '!BE19,'BS - CF Actuals'!BK59)</f>
        <v>-837406.79025703692</v>
      </c>
      <c r="BI17" s="108">
        <f>IF(BI3="forecast",BH17-'CAPEX &amp; Depr '!BF19,'BS - CF Actuals'!BL59)</f>
        <v>-837406.79025703692</v>
      </c>
      <c r="BJ17" s="108">
        <f>IF(BJ3="forecast",BI17-'CAPEX &amp; Depr '!BG19,'BS - CF Actuals'!BM59)</f>
        <v>-837406.79025703692</v>
      </c>
      <c r="BK17" s="108">
        <f>IF(BK3="forecast",BJ17-'CAPEX &amp; Depr '!BH19,'BS - CF Actuals'!BN59)</f>
        <v>-837406.79025703692</v>
      </c>
      <c r="BL17" s="108">
        <f>IF(BL3="forecast",BK17-'CAPEX &amp; Depr '!BI19,'BS - CF Actuals'!BO59)</f>
        <v>-837406.79025703692</v>
      </c>
      <c r="BM17" s="108">
        <f>IF(BM3="forecast",BL17-'CAPEX &amp; Depr '!BJ19,'BS - CF Actuals'!BP59)</f>
        <v>-837406.79025703692</v>
      </c>
      <c r="BN17" s="108">
        <f>IF(BN3="forecast",BM17-'CAPEX &amp; Depr '!BK19,'BS - CF Actuals'!BQ59)</f>
        <v>-837406.79025703692</v>
      </c>
      <c r="BO17" s="108">
        <f>IF(BO3="forecast",BN17-'CAPEX &amp; Depr '!BL19,'BS - CF Actuals'!BR59)</f>
        <v>-837406.79025703692</v>
      </c>
      <c r="BP17" s="108">
        <f>IF(BP3="forecast",BO17-'CAPEX &amp; Depr '!BM19,'BS - CF Actuals'!BS59)</f>
        <v>-837406.79025703692</v>
      </c>
      <c r="BQ17" s="108">
        <f>IF(BQ3="forecast",BP17-'CAPEX &amp; Depr '!BN19,'BS - CF Actuals'!BT59)</f>
        <v>-837406.79025703692</v>
      </c>
      <c r="BR17" s="108">
        <f>IF(BR3="forecast",BQ17-'CAPEX &amp; Depr '!BO19,'BS - CF Actuals'!BU59)</f>
        <v>-837406.79025703692</v>
      </c>
      <c r="BS17" s="108">
        <f>IF(BS3="forecast",BR17-'CAPEX &amp; Depr '!BP19,'BS - CF Actuals'!BV59)</f>
        <v>-837406.79025703692</v>
      </c>
      <c r="BT17" s="108">
        <f>IF(BT3="forecast",BS17-'CAPEX &amp; Depr '!BQ19,'BS - CF Actuals'!BW59)</f>
        <v>-837406.79025703692</v>
      </c>
      <c r="BU17" s="108">
        <f>IF(BU3="forecast",BT17-'CAPEX &amp; Depr '!BR19,'BS - CF Actuals'!BX59)</f>
        <v>-837406.79025703692</v>
      </c>
      <c r="BV17" s="108">
        <f>IF(BV3="forecast",BU17-'CAPEX &amp; Depr '!BS19,'BS - CF Actuals'!BY59)</f>
        <v>-837406.79025703692</v>
      </c>
      <c r="BW17" s="108">
        <f>IF(BW3="forecast",BV17-'CAPEX &amp; Depr '!BT19,'BS - CF Actuals'!BZ59)</f>
        <v>-837406.79025703692</v>
      </c>
      <c r="BX17" s="108">
        <f>IF(BX3="forecast",BW17-'CAPEX &amp; Depr '!BU19,'BS - CF Actuals'!CA59)</f>
        <v>-837406.79025703692</v>
      </c>
      <c r="BY17" s="108">
        <f>IF(BY3="forecast",BX17-'CAPEX &amp; Depr '!BV19,'BS - CF Actuals'!CB59)</f>
        <v>-837406.79025703692</v>
      </c>
    </row>
    <row r="18" spans="1:77" s="101" customFormat="1" ht="13" x14ac:dyDescent="0.3">
      <c r="A18" s="105" t="s">
        <v>99</v>
      </c>
      <c r="D18" s="112">
        <f t="shared" ref="D18:E18" si="8">SUM(D15:D17)</f>
        <v>229861.86000000002</v>
      </c>
      <c r="E18" s="112">
        <f t="shared" si="8"/>
        <v>299421.36</v>
      </c>
      <c r="F18" s="112">
        <f>SUM(F15:F17)</f>
        <v>303792.74</v>
      </c>
      <c r="G18" s="112">
        <f>SUM(G15:G17)</f>
        <v>310903.71999999997</v>
      </c>
      <c r="H18" s="112">
        <f t="shared" ref="H18:AC18" si="9">SUM(H15:H17)</f>
        <v>330880.25</v>
      </c>
      <c r="I18" s="112">
        <f t="shared" si="9"/>
        <v>369469.31000000006</v>
      </c>
      <c r="J18" s="112">
        <f t="shared" si="9"/>
        <v>370688.31000000006</v>
      </c>
      <c r="K18" s="112">
        <f t="shared" si="9"/>
        <v>379977.77</v>
      </c>
      <c r="L18" s="112">
        <f t="shared" si="9"/>
        <v>403411.98</v>
      </c>
      <c r="M18" s="112">
        <f t="shared" si="9"/>
        <v>416308.26</v>
      </c>
      <c r="N18" s="112">
        <f t="shared" si="9"/>
        <v>427944.53</v>
      </c>
      <c r="O18" s="112">
        <f t="shared" si="9"/>
        <v>482422.77</v>
      </c>
      <c r="P18" s="112">
        <f t="shared" si="9"/>
        <v>489598.53</v>
      </c>
      <c r="Q18" s="112">
        <f t="shared" si="9"/>
        <v>498181.06000000006</v>
      </c>
      <c r="R18" s="112">
        <f t="shared" si="9"/>
        <v>416306.63</v>
      </c>
      <c r="S18" s="112">
        <f t="shared" si="9"/>
        <v>428364.21999999991</v>
      </c>
      <c r="T18" s="112">
        <f t="shared" si="9"/>
        <v>479891.59</v>
      </c>
      <c r="U18" s="112">
        <f t="shared" si="9"/>
        <v>513703.56</v>
      </c>
      <c r="V18" s="112">
        <f t="shared" si="9"/>
        <v>523969.18999999989</v>
      </c>
      <c r="W18" s="112">
        <f t="shared" si="9"/>
        <v>525384.91999999993</v>
      </c>
      <c r="X18" s="112">
        <f t="shared" si="9"/>
        <v>513431.41999999993</v>
      </c>
      <c r="Y18" s="112">
        <f t="shared" ref="Y18" si="10">SUM(Y15:Y17)</f>
        <v>524782.81000000006</v>
      </c>
      <c r="Z18" s="112">
        <f>SUM(Z15:Z17)</f>
        <v>531936.99000000011</v>
      </c>
      <c r="AA18" s="112">
        <f t="shared" si="9"/>
        <v>616883.27</v>
      </c>
      <c r="AB18" s="112">
        <f t="shared" si="9"/>
        <v>632722.75</v>
      </c>
      <c r="AC18" s="112">
        <f t="shared" si="9"/>
        <v>682464.96</v>
      </c>
      <c r="AD18" s="112">
        <f t="shared" ref="AD18:AO18" si="11">SUM(AD15:AD17)</f>
        <v>612654.18999600015</v>
      </c>
      <c r="AE18" s="112">
        <f t="shared" si="11"/>
        <v>599511.51462190808</v>
      </c>
      <c r="AF18" s="112">
        <f t="shared" si="11"/>
        <v>586066.55771421199</v>
      </c>
      <c r="AG18" s="112">
        <f t="shared" si="11"/>
        <v>572312.36679763882</v>
      </c>
      <c r="AH18" s="112">
        <f t="shared" si="11"/>
        <v>558241.82948998455</v>
      </c>
      <c r="AI18" s="112">
        <f t="shared" si="11"/>
        <v>543847.66982425423</v>
      </c>
      <c r="AJ18" s="112">
        <f t="shared" si="11"/>
        <v>529122.4444862121</v>
      </c>
      <c r="AK18" s="112">
        <f t="shared" si="11"/>
        <v>514058.53896539501</v>
      </c>
      <c r="AL18" s="112">
        <f t="shared" si="11"/>
        <v>498648.16361759906</v>
      </c>
      <c r="AM18" s="112">
        <f t="shared" si="11"/>
        <v>482883.34963680385</v>
      </c>
      <c r="AN18" s="112">
        <f t="shared" si="11"/>
        <v>466755.94493445032</v>
      </c>
      <c r="AO18" s="112">
        <f t="shared" si="11"/>
        <v>450257.60992394271</v>
      </c>
      <c r="AP18" s="112">
        <f t="shared" ref="AP18:BA18" si="12">SUM(AP15:AP17)</f>
        <v>433379.8132081934</v>
      </c>
      <c r="AQ18" s="112">
        <f t="shared" si="12"/>
        <v>416113.82716798189</v>
      </c>
      <c r="AR18" s="112">
        <f t="shared" si="12"/>
        <v>398450.72344884544</v>
      </c>
      <c r="AS18" s="112">
        <f t="shared" si="12"/>
        <v>380381.36834416888</v>
      </c>
      <c r="AT18" s="112">
        <f t="shared" si="12"/>
        <v>361896.41807208478</v>
      </c>
      <c r="AU18" s="112">
        <f t="shared" si="12"/>
        <v>342986.31394374277</v>
      </c>
      <c r="AV18" s="112">
        <f t="shared" si="12"/>
        <v>323641.27742044884</v>
      </c>
      <c r="AW18" s="112">
        <f t="shared" si="12"/>
        <v>303851.30505711923</v>
      </c>
      <c r="AX18" s="112">
        <f t="shared" si="12"/>
        <v>283606.16332943295</v>
      </c>
      <c r="AY18" s="112">
        <f t="shared" si="12"/>
        <v>262895.38334200997</v>
      </c>
      <c r="AZ18" s="112">
        <f t="shared" si="12"/>
        <v>241708.25541487627</v>
      </c>
      <c r="BA18" s="112">
        <f t="shared" si="12"/>
        <v>220033.82354541845</v>
      </c>
      <c r="BB18" s="112">
        <f t="shared" ref="BB18:BK18" si="13">SUM(BB15:BB17)</f>
        <v>197860.87974296312</v>
      </c>
      <c r="BC18" s="112">
        <f t="shared" si="13"/>
        <v>197860.87974296312</v>
      </c>
      <c r="BD18" s="112">
        <f t="shared" si="13"/>
        <v>197860.87974296312</v>
      </c>
      <c r="BE18" s="112">
        <f t="shared" si="13"/>
        <v>197860.87974296312</v>
      </c>
      <c r="BF18" s="112">
        <f t="shared" si="13"/>
        <v>197860.87974296312</v>
      </c>
      <c r="BG18" s="112">
        <f t="shared" si="13"/>
        <v>197860.87974296312</v>
      </c>
      <c r="BH18" s="112">
        <f t="shared" si="13"/>
        <v>197860.87974296312</v>
      </c>
      <c r="BI18" s="112">
        <f t="shared" si="13"/>
        <v>197860.87974296312</v>
      </c>
      <c r="BJ18" s="112">
        <f t="shared" si="13"/>
        <v>197860.87974296312</v>
      </c>
      <c r="BK18" s="112">
        <f t="shared" si="13"/>
        <v>197860.87974296312</v>
      </c>
      <c r="BL18" s="112">
        <f t="shared" ref="BL18:BW18" si="14">SUM(BL15:BL17)</f>
        <v>197860.87974296312</v>
      </c>
      <c r="BM18" s="112">
        <f t="shared" si="14"/>
        <v>197860.87974296312</v>
      </c>
      <c r="BN18" s="112">
        <f t="shared" si="14"/>
        <v>197860.87974296312</v>
      </c>
      <c r="BO18" s="112">
        <f t="shared" si="14"/>
        <v>197860.87974296312</v>
      </c>
      <c r="BP18" s="112">
        <f t="shared" si="14"/>
        <v>197860.87974296312</v>
      </c>
      <c r="BQ18" s="112">
        <f t="shared" si="14"/>
        <v>197860.87974296312</v>
      </c>
      <c r="BR18" s="112">
        <f t="shared" si="14"/>
        <v>197860.87974296312</v>
      </c>
      <c r="BS18" s="112">
        <f t="shared" si="14"/>
        <v>197860.87974296312</v>
      </c>
      <c r="BT18" s="112">
        <f t="shared" si="14"/>
        <v>197860.87974296312</v>
      </c>
      <c r="BU18" s="112">
        <f t="shared" si="14"/>
        <v>197860.87974296312</v>
      </c>
      <c r="BV18" s="112">
        <f t="shared" si="14"/>
        <v>197860.87974296312</v>
      </c>
      <c r="BW18" s="112">
        <f t="shared" si="14"/>
        <v>197860.87974296312</v>
      </c>
      <c r="BX18" s="112">
        <f t="shared" ref="BX18:BY18" si="15">SUM(BX15:BX17)</f>
        <v>197860.87974296312</v>
      </c>
      <c r="BY18" s="112">
        <f t="shared" si="15"/>
        <v>-281074.47025703685</v>
      </c>
    </row>
    <row r="19" spans="1:77" ht="6" customHeight="1" x14ac:dyDescent="0.3">
      <c r="A19" s="23"/>
      <c r="D19" s="107"/>
      <c r="E19" s="107"/>
      <c r="F19" s="107"/>
      <c r="G19" s="107"/>
      <c r="H19" s="107"/>
      <c r="I19" s="107"/>
      <c r="J19" s="107"/>
      <c r="K19" s="107"/>
      <c r="L19" s="107"/>
      <c r="M19" s="107"/>
      <c r="N19" s="107"/>
      <c r="O19" s="107"/>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c r="BE19" s="107"/>
      <c r="BF19" s="107"/>
      <c r="BG19" s="107"/>
      <c r="BH19" s="107"/>
      <c r="BI19" s="107"/>
      <c r="BJ19" s="107"/>
      <c r="BK19" s="107"/>
      <c r="BL19" s="107"/>
      <c r="BM19" s="107"/>
      <c r="BN19" s="107"/>
      <c r="BO19" s="107"/>
      <c r="BP19" s="107"/>
      <c r="BQ19" s="107"/>
      <c r="BR19" s="107"/>
      <c r="BS19" s="107"/>
      <c r="BT19" s="107"/>
      <c r="BU19" s="107"/>
      <c r="BV19" s="107"/>
      <c r="BW19" s="107"/>
      <c r="BX19" s="107"/>
      <c r="BY19" s="107"/>
    </row>
    <row r="20" spans="1:77" x14ac:dyDescent="0.25">
      <c r="B20" s="27" t="s">
        <v>100</v>
      </c>
      <c r="D20" s="107">
        <f>IF(D3="forecast",21500000,'BS - CF Actuals'!H72)</f>
        <v>1876281</v>
      </c>
      <c r="E20" s="107">
        <f>IF(E3="forecast",21500000,'BS - CF Actuals'!I72)</f>
        <v>1723468</v>
      </c>
      <c r="F20" s="107">
        <f>IF(F3="forecast",21500000,'BS - CF Actuals'!J72)</f>
        <v>1713109</v>
      </c>
      <c r="G20" s="107">
        <f>IF(G3="forecast",21500000,'BS - CF Actuals'!K72)</f>
        <v>1700199</v>
      </c>
      <c r="H20" s="107">
        <f>IF(H3="forecast",21500000,'BS - CF Actuals'!L72)</f>
        <v>1687289</v>
      </c>
      <c r="I20" s="107">
        <f>IF(I3="forecast",21500000,'BS - CF Actuals'!M72)</f>
        <v>1674379</v>
      </c>
      <c r="J20" s="107">
        <f>IF(J3="forecast",21500000,'BS - CF Actuals'!N72)</f>
        <v>1661469</v>
      </c>
      <c r="K20" s="107">
        <f>IF(K3="forecast",21500000,'BS - CF Actuals'!O72)</f>
        <v>1648559</v>
      </c>
      <c r="L20" s="107">
        <f>IF(L3="forecast",21500000,'BS - CF Actuals'!P72)</f>
        <v>1635649</v>
      </c>
      <c r="M20" s="107">
        <f>IF(M3="forecast",21500000,'BS - CF Actuals'!Q72)</f>
        <v>1622739</v>
      </c>
      <c r="N20" s="107">
        <f>IF(N3="forecast",21500000,'BS - CF Actuals'!R72)</f>
        <v>1609829</v>
      </c>
      <c r="O20" s="107">
        <f>IF(O3="forecast",21500000,'BS - CF Actuals'!S72)</f>
        <v>1596919</v>
      </c>
      <c r="P20" s="107">
        <f>IF(P3="forecast",21500000,'BS - CF Actuals'!T72)</f>
        <v>1584009</v>
      </c>
      <c r="Q20" s="107">
        <f>IF(Q3="forecast",21500000,'BS - CF Actuals'!U72)</f>
        <v>23624705.580000002</v>
      </c>
      <c r="R20" s="107">
        <f>IF(R3="forecast",21500000,'BS - CF Actuals'!V72)</f>
        <v>23388355.580000002</v>
      </c>
      <c r="S20" s="107">
        <f>IF(S3="forecast",21500000,'BS - CF Actuals'!W72)</f>
        <v>23152005.580000002</v>
      </c>
      <c r="T20" s="107">
        <f>IF(T3="forecast",21500000,'BS - CF Actuals'!X72)</f>
        <v>22916337.580000002</v>
      </c>
      <c r="U20" s="107">
        <f>IF(U3="forecast",21500000,'BS - CF Actuals'!Y72)</f>
        <v>22679987.580000002</v>
      </c>
      <c r="V20" s="107">
        <f>IF(V3="forecast",21500000,'BS - CF Actuals'!Z72)</f>
        <v>22443637.580000002</v>
      </c>
      <c r="W20" s="107">
        <f>IF(W3="forecast",21500000,'BS - CF Actuals'!AA72)</f>
        <v>22225287.580000002</v>
      </c>
      <c r="X20" s="107">
        <f>IF(X3="forecast",'BS - CF Actuals'!AA72-#REF!,'BS - CF Actuals'!AB72)</f>
        <v>21951091.580000002</v>
      </c>
      <c r="Y20" s="107">
        <f>IF(Y3="forecast",'BS - CF Actuals'!AB72-#REF!,'BS - CF Actuals'!AC72)</f>
        <v>21753903.580000002</v>
      </c>
      <c r="Z20" s="107">
        <f>IF(Z3="forecast",'BS - CF Actuals'!AC72-#REF!,'BS - CF Actuals'!AD72)</f>
        <v>21516871.580000002</v>
      </c>
      <c r="AA20" s="107">
        <f>IF(AA3="forecast",(Z20-#REF!),'BS - CF Actuals'!AE72)</f>
        <v>21337339.279999997</v>
      </c>
      <c r="AB20" s="107">
        <f>IF(AB3="forecast",(AA20-'CAPEX &amp; Depr '!Y45),'BS - CF Actuals'!AF72)</f>
        <v>21103487.279999997</v>
      </c>
      <c r="AC20" s="107">
        <f>IF(AC3="forecast",(AB20-'CAPEX &amp; Depr '!Z45),'BS - CF Actuals'!AG72)</f>
        <v>20867137.279999997</v>
      </c>
      <c r="AD20" s="107">
        <f>IF(AD3="forecast",(AC20-'CAPEX &amp; Depr '!AA45),'BS - CF Actuals'!AH72)</f>
        <v>20630787.279999997</v>
      </c>
      <c r="AE20" s="107">
        <f>IF(AE3="forecast",(AD20-'CAPEX &amp; Depr '!AB45),'BS - CF Actuals'!AI72)</f>
        <v>20394437.279999997</v>
      </c>
      <c r="AF20" s="107">
        <f>IF(AF3="forecast",(AE20-'CAPEX &amp; Depr '!AC45),'BS - CF Actuals'!AJ72)</f>
        <v>20158087.279999997</v>
      </c>
      <c r="AG20" s="107">
        <f>IF(AG3="forecast",(AF20-'CAPEX &amp; Depr '!AD45),'BS - CF Actuals'!AK72)</f>
        <v>19921737.279999997</v>
      </c>
      <c r="AH20" s="107">
        <f>IF(AH3="forecast",(AG20-'CAPEX &amp; Depr '!AE45),'BS - CF Actuals'!AL72)</f>
        <v>19685387.279999997</v>
      </c>
      <c r="AI20" s="107">
        <f>IF(AI3="forecast",(AH20-'CAPEX &amp; Depr '!AF45),'BS - CF Actuals'!AM72)</f>
        <v>19449037.279999997</v>
      </c>
      <c r="AJ20" s="107">
        <f>IF(AJ3="forecast",(AI20-'CAPEX &amp; Depr '!AG45),'BS - CF Actuals'!AN72)</f>
        <v>19212687.279999997</v>
      </c>
      <c r="AK20" s="107">
        <f>IF(AK3="forecast",(AJ20-'CAPEX &amp; Depr '!AH45),'BS - CF Actuals'!AO72)</f>
        <v>18976337.279999997</v>
      </c>
      <c r="AL20" s="107">
        <f>IF(AL3="forecast",(AK20-'CAPEX &amp; Depr '!AI45),'BS - CF Actuals'!AP72)</f>
        <v>18739987.279999997</v>
      </c>
      <c r="AM20" s="107">
        <f>IF(AM3="forecast",(AL20-'CAPEX &amp; Depr '!AJ45),'BS - CF Actuals'!AQ72)</f>
        <v>18503637.279999997</v>
      </c>
      <c r="AN20" s="107">
        <f>IF(AN3="forecast",(AM20-'CAPEX &amp; Depr '!AK45),'BS - CF Actuals'!AR72)</f>
        <v>18267287.279999997</v>
      </c>
      <c r="AO20" s="107">
        <f>IF(AO3="forecast",(AN20-'CAPEX &amp; Depr '!AL45),'BS - CF Actuals'!AS72)</f>
        <v>18030937.279999997</v>
      </c>
      <c r="AP20" s="107">
        <f>IF(AP3="forecast",(AO20-'CAPEX &amp; Depr '!AM45),'BS - CF Actuals'!AT72)</f>
        <v>17794587.279999997</v>
      </c>
      <c r="AQ20" s="107">
        <f>IF(AQ3="forecast",(AP20-'CAPEX &amp; Depr '!AN45),'BS - CF Actuals'!AU72)</f>
        <v>17558237.279999997</v>
      </c>
      <c r="AR20" s="107">
        <f>IF(AR3="forecast",(AQ20-'CAPEX &amp; Depr '!AO45),'BS - CF Actuals'!AV72)</f>
        <v>17321887.279999997</v>
      </c>
      <c r="AS20" s="107">
        <f>IF(AS3="forecast",(AR20-'CAPEX &amp; Depr '!AP45),'BS - CF Actuals'!AW72)</f>
        <v>17085537.279999997</v>
      </c>
      <c r="AT20" s="107">
        <f>IF(AT3="forecast",(AS20-'CAPEX &amp; Depr '!AQ45),'BS - CF Actuals'!AX72)</f>
        <v>16849187.279999997</v>
      </c>
      <c r="AU20" s="107">
        <f>IF(AU3="forecast",(AT20-'CAPEX &amp; Depr '!AR45),'BS - CF Actuals'!AY72)</f>
        <v>16612837.279999997</v>
      </c>
      <c r="AV20" s="107">
        <f>IF(AV3="forecast",(AU20-'CAPEX &amp; Depr '!AS45),'BS - CF Actuals'!AZ72)</f>
        <v>16376487.279999997</v>
      </c>
      <c r="AW20" s="107">
        <f>IF(AW3="forecast",(AV20-'CAPEX &amp; Depr '!AT45),'BS - CF Actuals'!BA72)</f>
        <v>16140137.279999997</v>
      </c>
      <c r="AX20" s="107">
        <f>IF(AX3="forecast",(AW20-'CAPEX &amp; Depr '!AU45),'BS - CF Actuals'!BB72)</f>
        <v>15903787.279999997</v>
      </c>
      <c r="AY20" s="107">
        <f>IF(AY3="forecast",(AX20-'CAPEX &amp; Depr '!AV45),'BS - CF Actuals'!BC72)</f>
        <v>15667437.279999997</v>
      </c>
      <c r="AZ20" s="107">
        <f>IF(AZ3="forecast",(AY20-'CAPEX &amp; Depr '!AW45),'BS - CF Actuals'!BD72)</f>
        <v>15431087.279999997</v>
      </c>
      <c r="BA20" s="107">
        <f>IF(BA3="forecast",(AZ20-'CAPEX &amp; Depr '!AX45),'BS - CF Actuals'!BE72)</f>
        <v>15194737.279999997</v>
      </c>
      <c r="BB20" s="107">
        <f>IF(BB3="forecast",(BA20-'CAPEX &amp; Depr '!AY45),'BS - CF Actuals'!BF72)</f>
        <v>14958387.279999997</v>
      </c>
      <c r="BC20" s="107">
        <f>IF(BC3="forecast",(BB20-'CAPEX &amp; Depr '!AZ45),'BS - CF Actuals'!BG72)</f>
        <v>14722037.279999997</v>
      </c>
      <c r="BD20" s="107">
        <f>IF(BD3="forecast",(BC20-'CAPEX &amp; Depr '!BA45),'BS - CF Actuals'!BH72)</f>
        <v>14485687.279999997</v>
      </c>
      <c r="BE20" s="107">
        <f>IF(BE3="forecast",(BD20-'CAPEX &amp; Depr '!BB45),'BS - CF Actuals'!BI72)</f>
        <v>14249337.279999997</v>
      </c>
      <c r="BF20" s="107">
        <f>IF(BF3="forecast",(BE20-'CAPEX &amp; Depr '!BC45),'BS - CF Actuals'!BJ72)</f>
        <v>14012987.279999997</v>
      </c>
      <c r="BG20" s="107">
        <f>IF(BG3="forecast",(BF20-'CAPEX &amp; Depr '!BD45),'BS - CF Actuals'!BK72)</f>
        <v>13776637.279999997</v>
      </c>
      <c r="BH20" s="107">
        <f>IF(BH3="forecast",(BG20-'CAPEX &amp; Depr '!BE45),'BS - CF Actuals'!BL72)</f>
        <v>13540287.279999997</v>
      </c>
      <c r="BI20" s="107">
        <f>IF(BI3="forecast",(BH20-'CAPEX &amp; Depr '!BF45),'BS - CF Actuals'!BM72)</f>
        <v>13303937.279999997</v>
      </c>
      <c r="BJ20" s="107">
        <f>IF(BJ3="forecast",(BI20-'CAPEX &amp; Depr '!BG45),'BS - CF Actuals'!BN72)</f>
        <v>13067587.279999997</v>
      </c>
      <c r="BK20" s="107">
        <f>IF(BK3="forecast",(BJ20-'CAPEX &amp; Depr '!BH45),'BS - CF Actuals'!BO72)</f>
        <v>12831237.279999997</v>
      </c>
      <c r="BL20" s="107">
        <f>IF(BL3="forecast",(BK20-'CAPEX &amp; Depr '!BI45),'BS - CF Actuals'!BP72)</f>
        <v>12594887.279999997</v>
      </c>
      <c r="BM20" s="107">
        <f>IF(BM3="forecast",(BL20-'CAPEX &amp; Depr '!BJ45),'BS - CF Actuals'!BQ72)</f>
        <v>12358537.279999997</v>
      </c>
      <c r="BN20" s="107">
        <f>IF(BN3="forecast",(BM20-'CAPEX &amp; Depr '!BK45),'BS - CF Actuals'!BR72)</f>
        <v>12122187.279999997</v>
      </c>
      <c r="BO20" s="107">
        <f>IF(BO3="forecast",(BN20-'CAPEX &amp; Depr '!BL45),'BS - CF Actuals'!BS72)</f>
        <v>11885837.279999997</v>
      </c>
      <c r="BP20" s="107">
        <f>IF(BP3="forecast",(BO20-'CAPEX &amp; Depr '!BM45),'BS - CF Actuals'!BT72)</f>
        <v>11649487.279999997</v>
      </c>
      <c r="BQ20" s="107">
        <f>IF(BQ3="forecast",(BP20-'CAPEX &amp; Depr '!BN45),'BS - CF Actuals'!BU72)</f>
        <v>11413137.279999997</v>
      </c>
      <c r="BR20" s="107">
        <f>IF(BR3="forecast",(BQ20-'CAPEX &amp; Depr '!BO45),'BS - CF Actuals'!BV72)</f>
        <v>11176787.279999997</v>
      </c>
      <c r="BS20" s="107">
        <f>IF(BS3="forecast",(BR20-'CAPEX &amp; Depr '!BP45),'BS - CF Actuals'!BW72)</f>
        <v>10940437.279999997</v>
      </c>
      <c r="BT20" s="107">
        <f>IF(BT3="forecast",(BS20-'CAPEX &amp; Depr '!BQ45),'BS - CF Actuals'!BX72)</f>
        <v>10704087.279999997</v>
      </c>
      <c r="BU20" s="107">
        <f>IF(BU3="forecast",(BT20-'CAPEX &amp; Depr '!BR45),'BS - CF Actuals'!BY72)</f>
        <v>10467737.279999997</v>
      </c>
      <c r="BV20" s="107">
        <f>IF(BV3="forecast",(BU20-'CAPEX &amp; Depr '!BS45),'BS - CF Actuals'!BZ72)</f>
        <v>10231387.279999997</v>
      </c>
      <c r="BW20" s="107">
        <f>IF(BW3="forecast",(BV20-'CAPEX &amp; Depr '!BT45),'BS - CF Actuals'!CA72)</f>
        <v>9995037.2799999975</v>
      </c>
      <c r="BX20" s="107">
        <f>IF(BX3="forecast",(BW20-'CAPEX &amp; Depr '!BU45),'BS - CF Actuals'!CB72)</f>
        <v>9758687.2799999975</v>
      </c>
      <c r="BY20" s="107">
        <f>IF(BY3="forecast",(BX20-'CAPEX &amp; Depr '!BV45),'BS - CF Actuals'!CC72)</f>
        <v>9522337.2799999975</v>
      </c>
    </row>
    <row r="21" spans="1:77" x14ac:dyDescent="0.25">
      <c r="D21" s="111"/>
      <c r="E21" s="111"/>
      <c r="F21" s="111"/>
      <c r="G21" s="111"/>
      <c r="H21" s="111"/>
      <c r="I21" s="111"/>
      <c r="J21" s="111"/>
      <c r="K21" s="111"/>
      <c r="L21" s="111"/>
      <c r="M21" s="111"/>
      <c r="N21" s="111"/>
      <c r="O21" s="111"/>
      <c r="P21" s="111"/>
      <c r="Q21" s="111"/>
      <c r="R21" s="111"/>
      <c r="S21" s="111"/>
      <c r="T21" s="111"/>
      <c r="U21" s="111"/>
      <c r="V21" s="111"/>
      <c r="W21" s="111"/>
      <c r="X21" s="111"/>
      <c r="Y21" s="111"/>
      <c r="Z21" s="111"/>
      <c r="AA21" s="111"/>
      <c r="AB21" s="111"/>
      <c r="AC21" s="111"/>
      <c r="AD21" s="111"/>
      <c r="AE21" s="111"/>
      <c r="AF21" s="111"/>
      <c r="AG21" s="111"/>
      <c r="AH21" s="111"/>
      <c r="AI21" s="111"/>
      <c r="AJ21" s="111"/>
      <c r="AK21" s="111"/>
      <c r="AL21" s="111"/>
      <c r="AM21" s="111"/>
      <c r="AN21" s="111"/>
      <c r="AO21" s="111"/>
      <c r="AP21" s="111"/>
      <c r="AQ21" s="111"/>
      <c r="AR21" s="111"/>
      <c r="AS21" s="111"/>
      <c r="AT21" s="111"/>
      <c r="AU21" s="111"/>
      <c r="AV21" s="111"/>
      <c r="AW21" s="111"/>
      <c r="AX21" s="111"/>
      <c r="AY21" s="111"/>
      <c r="AZ21" s="111"/>
      <c r="BA21" s="111"/>
      <c r="BB21" s="111"/>
      <c r="BC21" s="111"/>
      <c r="BD21" s="111"/>
      <c r="BE21" s="111"/>
      <c r="BF21" s="111"/>
      <c r="BG21" s="111"/>
      <c r="BH21" s="111"/>
      <c r="BI21" s="111"/>
      <c r="BJ21" s="111"/>
      <c r="BK21" s="111"/>
      <c r="BL21" s="111"/>
      <c r="BM21" s="111"/>
      <c r="BN21" s="111"/>
      <c r="BO21" s="111"/>
      <c r="BP21" s="111"/>
      <c r="BQ21" s="111"/>
      <c r="BR21" s="111"/>
      <c r="BS21" s="111"/>
      <c r="BT21" s="111"/>
      <c r="BU21" s="111"/>
      <c r="BV21" s="111"/>
      <c r="BW21" s="111"/>
      <c r="BX21" s="111"/>
      <c r="BY21" s="111"/>
    </row>
    <row r="22" spans="1:77" s="101" customFormat="1" ht="13" x14ac:dyDescent="0.3">
      <c r="A22" s="105" t="s">
        <v>101</v>
      </c>
      <c r="D22" s="399">
        <f t="shared" ref="D22:M22" si="16">SUM(D20:D21)</f>
        <v>1876281</v>
      </c>
      <c r="E22" s="399">
        <f t="shared" si="16"/>
        <v>1723468</v>
      </c>
      <c r="F22" s="399">
        <f t="shared" si="16"/>
        <v>1713109</v>
      </c>
      <c r="G22" s="399">
        <f t="shared" si="16"/>
        <v>1700199</v>
      </c>
      <c r="H22" s="399">
        <f t="shared" si="16"/>
        <v>1687289</v>
      </c>
      <c r="I22" s="399">
        <f t="shared" si="16"/>
        <v>1674379</v>
      </c>
      <c r="J22" s="399">
        <f t="shared" si="16"/>
        <v>1661469</v>
      </c>
      <c r="K22" s="399">
        <f t="shared" si="16"/>
        <v>1648559</v>
      </c>
      <c r="L22" s="399">
        <f t="shared" si="16"/>
        <v>1635649</v>
      </c>
      <c r="M22" s="399">
        <f t="shared" si="16"/>
        <v>1622739</v>
      </c>
      <c r="N22" s="399">
        <f>SUM(N20:N21)</f>
        <v>1609829</v>
      </c>
      <c r="O22" s="399">
        <f t="shared" ref="O22:AO22" si="17">SUM(O20:O21)</f>
        <v>1596919</v>
      </c>
      <c r="P22" s="399">
        <f t="shared" si="17"/>
        <v>1584009</v>
      </c>
      <c r="Q22" s="399">
        <f t="shared" si="17"/>
        <v>23624705.580000002</v>
      </c>
      <c r="R22" s="399">
        <f t="shared" si="17"/>
        <v>23388355.580000002</v>
      </c>
      <c r="S22" s="399">
        <f t="shared" si="17"/>
        <v>23152005.580000002</v>
      </c>
      <c r="T22" s="399">
        <f t="shared" si="17"/>
        <v>22916337.580000002</v>
      </c>
      <c r="U22" s="399">
        <f>SUM(U20:U21)</f>
        <v>22679987.580000002</v>
      </c>
      <c r="V22" s="399">
        <f t="shared" si="17"/>
        <v>22443637.580000002</v>
      </c>
      <c r="W22" s="399">
        <f t="shared" si="17"/>
        <v>22225287.580000002</v>
      </c>
      <c r="X22" s="399">
        <f t="shared" si="17"/>
        <v>21951091.580000002</v>
      </c>
      <c r="Y22" s="399">
        <f t="shared" ref="Y22" si="18">SUM(Y20:Y21)</f>
        <v>21753903.580000002</v>
      </c>
      <c r="Z22" s="399">
        <f>SUM(Z20:Z21)</f>
        <v>21516871.580000002</v>
      </c>
      <c r="AA22" s="399">
        <f t="shared" si="17"/>
        <v>21337339.279999997</v>
      </c>
      <c r="AB22" s="399">
        <f t="shared" si="17"/>
        <v>21103487.279999997</v>
      </c>
      <c r="AC22" s="399">
        <f t="shared" si="17"/>
        <v>20867137.279999997</v>
      </c>
      <c r="AD22" s="399">
        <f t="shared" si="17"/>
        <v>20630787.279999997</v>
      </c>
      <c r="AE22" s="399">
        <f t="shared" si="17"/>
        <v>20394437.279999997</v>
      </c>
      <c r="AF22" s="399">
        <f t="shared" si="17"/>
        <v>20158087.279999997</v>
      </c>
      <c r="AG22" s="399">
        <f t="shared" si="17"/>
        <v>19921737.279999997</v>
      </c>
      <c r="AH22" s="399">
        <f t="shared" si="17"/>
        <v>19685387.279999997</v>
      </c>
      <c r="AI22" s="399">
        <f t="shared" si="17"/>
        <v>19449037.279999997</v>
      </c>
      <c r="AJ22" s="399">
        <f t="shared" si="17"/>
        <v>19212687.279999997</v>
      </c>
      <c r="AK22" s="399">
        <f t="shared" si="17"/>
        <v>18976337.279999997</v>
      </c>
      <c r="AL22" s="399">
        <f t="shared" si="17"/>
        <v>18739987.279999997</v>
      </c>
      <c r="AM22" s="399">
        <f t="shared" si="17"/>
        <v>18503637.279999997</v>
      </c>
      <c r="AN22" s="399">
        <f t="shared" si="17"/>
        <v>18267287.279999997</v>
      </c>
      <c r="AO22" s="399">
        <f t="shared" si="17"/>
        <v>18030937.279999997</v>
      </c>
      <c r="AP22" s="399">
        <f t="shared" ref="AP22:BA22" si="19">SUM(AP20:AP21)</f>
        <v>17794587.279999997</v>
      </c>
      <c r="AQ22" s="399">
        <f t="shared" si="19"/>
        <v>17558237.279999997</v>
      </c>
      <c r="AR22" s="399">
        <f t="shared" si="19"/>
        <v>17321887.279999997</v>
      </c>
      <c r="AS22" s="399">
        <f t="shared" si="19"/>
        <v>17085537.279999997</v>
      </c>
      <c r="AT22" s="399">
        <f t="shared" si="19"/>
        <v>16849187.279999997</v>
      </c>
      <c r="AU22" s="399">
        <f t="shared" si="19"/>
        <v>16612837.279999997</v>
      </c>
      <c r="AV22" s="399">
        <f t="shared" si="19"/>
        <v>16376487.279999997</v>
      </c>
      <c r="AW22" s="399">
        <f t="shared" si="19"/>
        <v>16140137.279999997</v>
      </c>
      <c r="AX22" s="399">
        <f t="shared" si="19"/>
        <v>15903787.279999997</v>
      </c>
      <c r="AY22" s="399">
        <f t="shared" si="19"/>
        <v>15667437.279999997</v>
      </c>
      <c r="AZ22" s="399">
        <f t="shared" si="19"/>
        <v>15431087.279999997</v>
      </c>
      <c r="BA22" s="399">
        <f t="shared" si="19"/>
        <v>15194737.279999997</v>
      </c>
      <c r="BB22" s="399">
        <f t="shared" ref="BB22:BK22" si="20">SUM(BB20:BB21)</f>
        <v>14958387.279999997</v>
      </c>
      <c r="BC22" s="399">
        <f t="shared" si="20"/>
        <v>14722037.279999997</v>
      </c>
      <c r="BD22" s="399">
        <f t="shared" si="20"/>
        <v>14485687.279999997</v>
      </c>
      <c r="BE22" s="399">
        <f t="shared" si="20"/>
        <v>14249337.279999997</v>
      </c>
      <c r="BF22" s="399">
        <f t="shared" si="20"/>
        <v>14012987.279999997</v>
      </c>
      <c r="BG22" s="399">
        <f t="shared" si="20"/>
        <v>13776637.279999997</v>
      </c>
      <c r="BH22" s="399">
        <f t="shared" si="20"/>
        <v>13540287.279999997</v>
      </c>
      <c r="BI22" s="399">
        <f t="shared" si="20"/>
        <v>13303937.279999997</v>
      </c>
      <c r="BJ22" s="399">
        <f t="shared" si="20"/>
        <v>13067587.279999997</v>
      </c>
      <c r="BK22" s="399">
        <f t="shared" si="20"/>
        <v>12831237.279999997</v>
      </c>
      <c r="BL22" s="399">
        <f t="shared" ref="BL22:BW22" si="21">SUM(BL20:BL21)</f>
        <v>12594887.279999997</v>
      </c>
      <c r="BM22" s="399">
        <f t="shared" si="21"/>
        <v>12358537.279999997</v>
      </c>
      <c r="BN22" s="399">
        <f t="shared" si="21"/>
        <v>12122187.279999997</v>
      </c>
      <c r="BO22" s="399">
        <f t="shared" si="21"/>
        <v>11885837.279999997</v>
      </c>
      <c r="BP22" s="399">
        <f t="shared" si="21"/>
        <v>11649487.279999997</v>
      </c>
      <c r="BQ22" s="399">
        <f t="shared" si="21"/>
        <v>11413137.279999997</v>
      </c>
      <c r="BR22" s="399">
        <f t="shared" si="21"/>
        <v>11176787.279999997</v>
      </c>
      <c r="BS22" s="399">
        <f t="shared" si="21"/>
        <v>10940437.279999997</v>
      </c>
      <c r="BT22" s="399">
        <f t="shared" si="21"/>
        <v>10704087.279999997</v>
      </c>
      <c r="BU22" s="399">
        <f t="shared" si="21"/>
        <v>10467737.279999997</v>
      </c>
      <c r="BV22" s="399">
        <f t="shared" si="21"/>
        <v>10231387.279999997</v>
      </c>
      <c r="BW22" s="399">
        <f t="shared" si="21"/>
        <v>9995037.2799999975</v>
      </c>
      <c r="BX22" s="399">
        <f t="shared" ref="BX22:BY22" si="22">SUM(BX20:BX21)</f>
        <v>9758687.2799999975</v>
      </c>
      <c r="BY22" s="399">
        <f t="shared" si="22"/>
        <v>9522337.2799999975</v>
      </c>
    </row>
    <row r="23" spans="1:77" ht="13" x14ac:dyDescent="0.3">
      <c r="A23" s="105"/>
      <c r="D23" s="97"/>
      <c r="E23" s="97"/>
      <c r="F23" s="97"/>
      <c r="G23" s="97"/>
      <c r="H23" s="97"/>
      <c r="I23" s="97"/>
      <c r="J23" s="97"/>
      <c r="K23" s="97"/>
      <c r="N23" s="97"/>
      <c r="O23" s="97"/>
      <c r="P23" s="97"/>
      <c r="Q23" s="97"/>
      <c r="R23" s="97"/>
      <c r="S23" s="97"/>
      <c r="T23" s="97"/>
      <c r="U23" s="97"/>
      <c r="V23" s="97"/>
      <c r="W23" s="97"/>
      <c r="X23" s="97"/>
      <c r="Y23" s="97"/>
      <c r="Z23" s="97"/>
      <c r="AA23" s="97"/>
      <c r="AB23" s="97"/>
      <c r="AC23" s="97"/>
      <c r="AD23" s="97"/>
      <c r="AE23" s="97"/>
      <c r="AF23" s="97"/>
      <c r="AG23" s="97"/>
      <c r="AH23" s="97"/>
      <c r="AI23" s="97"/>
      <c r="AJ23" s="97"/>
      <c r="AK23" s="97"/>
      <c r="AL23" s="97"/>
      <c r="AM23" s="97"/>
      <c r="AN23" s="97"/>
      <c r="AO23" s="97"/>
      <c r="AP23" s="97"/>
      <c r="AQ23" s="97"/>
      <c r="AR23" s="97"/>
      <c r="AS23" s="97"/>
      <c r="AT23" s="97"/>
      <c r="AU23" s="97"/>
      <c r="AV23" s="97"/>
      <c r="AW23" s="97"/>
      <c r="AX23" s="97"/>
      <c r="AY23" s="97"/>
      <c r="AZ23" s="97"/>
      <c r="BA23" s="97"/>
      <c r="BB23" s="97"/>
      <c r="BC23" s="97"/>
      <c r="BD23" s="97"/>
      <c r="BE23" s="97"/>
      <c r="BF23" s="97"/>
      <c r="BG23" s="97"/>
      <c r="BH23" s="97"/>
      <c r="BI23" s="97"/>
      <c r="BJ23" s="97"/>
      <c r="BK23" s="97"/>
      <c r="BL23" s="97"/>
      <c r="BM23" s="97"/>
      <c r="BN23" s="97"/>
      <c r="BO23" s="97"/>
      <c r="BP23" s="97"/>
      <c r="BQ23" s="97"/>
      <c r="BR23" s="97"/>
      <c r="BS23" s="97"/>
      <c r="BT23" s="97"/>
      <c r="BU23" s="97"/>
      <c r="BV23" s="97"/>
      <c r="BW23" s="97"/>
      <c r="BX23" s="97"/>
      <c r="BY23" s="97"/>
    </row>
    <row r="24" spans="1:77" s="101" customFormat="1" ht="13.5" thickBot="1" x14ac:dyDescent="0.35">
      <c r="A24" s="23" t="s">
        <v>102</v>
      </c>
      <c r="D24" s="401">
        <f>IF(D3="forecast",+D12+D18+D22,'BS - CF Actuals'!H73)</f>
        <v>5749128.4799999995</v>
      </c>
      <c r="E24" s="401">
        <f>IF(E3="forecast",+E12+E18+E22,'BS - CF Actuals'!I73)</f>
        <v>6945527.3099999987</v>
      </c>
      <c r="F24" s="401">
        <f>IF(F3="forecast",+F12+F18+F22,'BS - CF Actuals'!J73)</f>
        <v>3764502.8</v>
      </c>
      <c r="G24" s="401">
        <f>IF(G3="forecast",+G12+G18+G22,'BS - CF Actuals'!K73)</f>
        <v>3579281.19</v>
      </c>
      <c r="H24" s="401">
        <f>IF(H3="forecast",+H12+H18+H22,'BS - CF Actuals'!L73)</f>
        <v>3777145.71</v>
      </c>
      <c r="I24" s="401">
        <f>IF(I3="forecast",+I12+I18+I22,'BS - CF Actuals'!M73)</f>
        <v>4769908.2100000009</v>
      </c>
      <c r="J24" s="401">
        <f>IF(J3="forecast",+J12+J18+J22,'BS - CF Actuals'!N73)</f>
        <v>5040126.7299999995</v>
      </c>
      <c r="K24" s="401">
        <f>IF(K3="forecast",+K12+K18+K22,'BS - CF Actuals'!O73)</f>
        <v>4951491.0999999996</v>
      </c>
      <c r="L24" s="401">
        <f>IF(L3="forecast",+L12+L18+L22,'BS - CF Actuals'!P73)</f>
        <v>4883309.2699999996</v>
      </c>
      <c r="M24" s="401">
        <f>IF(M3="forecast",+M12+M18+M22,'BS - CF Actuals'!Q73)</f>
        <v>4941101.17</v>
      </c>
      <c r="N24" s="401">
        <f>IF(N3="forecast",+N12+N18+N22,'BS - CF Actuals'!R73)</f>
        <v>4614827.75</v>
      </c>
      <c r="O24" s="401">
        <f>IF(O3="forecast",+O12+O18+O22,'BS - CF Actuals'!S73)</f>
        <v>4424713.2300000004</v>
      </c>
      <c r="P24" s="401">
        <f>IF(P3="forecast",+P12+P18+P22,'BS - CF Actuals'!T73)</f>
        <v>3841128.4000000004</v>
      </c>
      <c r="Q24" s="401">
        <f>IF(Q3="forecast",+Q12+Q18+Q22,'BS - CF Actuals'!U73)</f>
        <v>30141739.900000002</v>
      </c>
      <c r="R24" s="401">
        <f>IF(R3="forecast",+R12+R18+R22,'BS - CF Actuals'!V73)</f>
        <v>30737061.560000002</v>
      </c>
      <c r="S24" s="401">
        <f>IF(S3="forecast",+S12+S18+S22,'BS - CF Actuals'!W73)</f>
        <v>30502645.16</v>
      </c>
      <c r="T24" s="401">
        <f>IF(T3="forecast",+T12+T18+T22,'BS - CF Actuals'!X73)</f>
        <v>30551388.700000003</v>
      </c>
      <c r="U24" s="401">
        <f>IF(U3="forecast",+U12+U18+U22,'BS - CF Actuals'!Y73)</f>
        <v>30404734.82</v>
      </c>
      <c r="V24" s="401">
        <f>IF(V3="forecast",+V12+V18+V22,'BS - CF Actuals'!Z73)</f>
        <v>29958170.740000002</v>
      </c>
      <c r="W24" s="401">
        <f>IF(W3="forecast",+W12+W18+W22,'BS - CF Actuals'!AA73)</f>
        <v>29703857.140000004</v>
      </c>
      <c r="X24" s="401">
        <f>IF(X3="forecast",+X12+X18+X22,'BS - CF Actuals'!AB73)</f>
        <v>28937043.790000003</v>
      </c>
      <c r="Y24" s="401">
        <f>IF(Y3="forecast",+Y12+Y18+Y22,'BS - CF Actuals'!AC73)</f>
        <v>27889741.210000005</v>
      </c>
      <c r="Z24" s="401">
        <f>IF(Z3="forecast",+Z12+Z18+Z22,'BS - CF Actuals'!AD73)</f>
        <v>28046963.260000005</v>
      </c>
      <c r="AA24" s="401">
        <f>IF(AA3="forecast",+AA12+AA18+AA22,'BS - CF Actuals'!AE73)</f>
        <v>27397774.280000001</v>
      </c>
      <c r="AB24" s="401">
        <f>IF(AB3="forecast",+AB12+AB18+AB22,'BS - CF Actuals'!AF73)</f>
        <v>26783639.889999997</v>
      </c>
      <c r="AC24" s="401">
        <f>IF(AC3="forecast",+AC12+AC18+AC22,'BS - CF Actuals'!AG73)</f>
        <v>26235653</v>
      </c>
      <c r="AD24" s="401">
        <f>IF(AD3="forecast",+AD12+AD18+AD22,'BS - CF Actuals'!AH73)</f>
        <v>26147304.486646179</v>
      </c>
      <c r="AE24" s="401">
        <f>IF(AE3="forecast",+AE12+AE18+AE22,'BS - CF Actuals'!AI73)</f>
        <v>26023443.960158192</v>
      </c>
      <c r="AF24" s="401">
        <f>IF(AF3="forecast",+AF12+AF18+AF22,'BS - CF Actuals'!AJ73)</f>
        <v>25640415.857707866</v>
      </c>
      <c r="AG24" s="401">
        <f>IF(AG3="forecast",+AG12+AG18+AG22,'BS - CF Actuals'!AK73)</f>
        <v>25155438.90943265</v>
      </c>
      <c r="AH24" s="401">
        <f>IF(AH3="forecast",+AH12+AH18+AH22,'BS - CF Actuals'!AL73)</f>
        <v>24849706.693467371</v>
      </c>
      <c r="AI24" s="401">
        <f>IF(AI3="forecast",+AI12+AI18+AI22,'BS - CF Actuals'!AM73)</f>
        <v>24666586.892991759</v>
      </c>
      <c r="AJ24" s="401">
        <f>IF(AJ3="forecast",+AJ12+AJ18+AJ22,'BS - CF Actuals'!AN73)</f>
        <v>24331816.299053378</v>
      </c>
      <c r="AK24" s="401">
        <f>IF(AK3="forecast",+AK12+AK18+AK22,'BS - CF Actuals'!AO73)</f>
        <v>24305460.276217513</v>
      </c>
      <c r="AL24" s="401">
        <f>IF(AL3="forecast",+AL12+AL18+AL22,'BS - CF Actuals'!AP73)</f>
        <v>24656032.953426391</v>
      </c>
      <c r="AM24" s="401">
        <f>IF(AM3="forecast",+AM12+AM18+AM22,'BS - CF Actuals'!AQ73)</f>
        <v>24963622.527379103</v>
      </c>
      <c r="AN24" s="401">
        <f>IF(AN3="forecast",+AN12+AN18+AN22,'BS - CF Actuals'!AR73)</f>
        <v>25248635.203091368</v>
      </c>
      <c r="AO24" s="401">
        <f>IF(AO3="forecast",+AO12+AO18+AO22,'BS - CF Actuals'!AS73)</f>
        <v>24330950.606416378</v>
      </c>
      <c r="AP24" s="401">
        <f>IF(AP3="forecast",+AP12+AP18+AP22,'BS - CF Actuals'!AT73)</f>
        <v>24888649.175211031</v>
      </c>
      <c r="AQ24" s="401">
        <f>IF(AQ3="forecast",+AQ12+AQ18+AQ22,'BS - CF Actuals'!AU73)</f>
        <v>25675774.886459932</v>
      </c>
      <c r="AR24" s="401">
        <f>IF(AR3="forecast",+AR12+AR18+AR22,'BS - CF Actuals'!AV73)</f>
        <v>26586831.405035675</v>
      </c>
      <c r="AS24" s="401">
        <f>IF(AS3="forecast",+AS12+AS18+AS22,'BS - CF Actuals'!AW73)</f>
        <v>27618667.256821319</v>
      </c>
      <c r="AT24" s="401">
        <f>IF(AT3="forecast",+AT12+AT18+AT22,'BS - CF Actuals'!AX73)</f>
        <v>28772170.509947971</v>
      </c>
      <c r="AU24" s="401">
        <f>IF(AU3="forecast",+AU12+AU18+AU22,'BS - CF Actuals'!AY73)</f>
        <v>30041639.549394391</v>
      </c>
      <c r="AV24" s="401">
        <f>IF(AV3="forecast",+AV12+AV18+AV22,'BS - CF Actuals'!AZ73)</f>
        <v>31430705.15466857</v>
      </c>
      <c r="AW24" s="401">
        <f>IF(AW3="forecast",+AW12+AW18+AW22,'BS - CF Actuals'!BA73)</f>
        <v>32947392.945465177</v>
      </c>
      <c r="AX24" s="401">
        <f>IF(AX3="forecast",+AX12+AX18+AX22,'BS - CF Actuals'!BB73)</f>
        <v>34584194.121162429</v>
      </c>
      <c r="AY24" s="401">
        <f>IF(AY3="forecast",+AY12+AY18+AY22,'BS - CF Actuals'!BC73)</f>
        <v>36332090.571486361</v>
      </c>
      <c r="AZ24" s="401">
        <f>IF(AZ3="forecast",+AZ12+AZ18+AZ22,'BS - CF Actuals'!BD73)</f>
        <v>38203289.49479185</v>
      </c>
      <c r="BA24" s="401">
        <f>IF(BA3="forecast",+BA12+BA18+BA22,'BS - CF Actuals'!BE73)</f>
        <v>38836099.91953294</v>
      </c>
      <c r="BB24" s="401">
        <f>IF(BB3="forecast",+BB12+BB18+BB22,'BS - CF Actuals'!BF73)</f>
        <v>35894644.549810961</v>
      </c>
      <c r="BC24" s="401">
        <f>IF(BC3="forecast",+BC12+BC18+BC22,'BS - CF Actuals'!BG73)</f>
        <v>33874119.850237183</v>
      </c>
      <c r="BD24" s="401">
        <f>IF(BD3="forecast",+BD12+BD18+BD22,'BS - CF Actuals'!BH73)</f>
        <v>32038045.816300713</v>
      </c>
      <c r="BE24" s="401">
        <f>IF(BE3="forecast",+BE12+BE18+BE22,'BS - CF Actuals'!BI73)</f>
        <v>30202584.369550299</v>
      </c>
      <c r="BF24" s="401">
        <f>IF(BF3="forecast",+BF12+BF18+BF22,'BS - CF Actuals'!BJ73)</f>
        <v>28366843.303385947</v>
      </c>
      <c r="BG24" s="401">
        <f>IF(BG3="forecast",+BG12+BG18+BG22,'BS - CF Actuals'!BK73)</f>
        <v>26554289.703384452</v>
      </c>
      <c r="BH24" s="401">
        <f>IF(BH3="forecast",+BH12+BH18+BH22,'BS - CF Actuals'!BL73)</f>
        <v>24741386.143688168</v>
      </c>
      <c r="BI24" s="401">
        <f>IF(BI3="forecast",+BI12+BI18+BI22,'BS - CF Actuals'!BM73)</f>
        <v>22929136.429105103</v>
      </c>
      <c r="BJ24" s="401">
        <f>IF(BJ3="forecast",+BJ12+BJ18+BJ22,'BS - CF Actuals'!BN73)</f>
        <v>21115884.34118877</v>
      </c>
      <c r="BK24" s="401">
        <f>IF(BK3="forecast",+BK12+BK18+BK22,'BS - CF Actuals'!BO73)</f>
        <v>19302793.816634931</v>
      </c>
      <c r="BL24" s="401">
        <f>IF(BL3="forecast",+BL12+BL18+BL22,'BS - CF Actuals'!BP73)</f>
        <v>17488933.764270898</v>
      </c>
      <c r="BM24" s="401">
        <f>IF(BM3="forecast",+BM12+BM18+BM22,'BS - CF Actuals'!BQ73)</f>
        <v>14285115.543178808</v>
      </c>
      <c r="BN24" s="401">
        <f>IF(BN3="forecast",+BN12+BN18+BN22,'BS - CF Actuals'!BR73)</f>
        <v>12562037.591556644</v>
      </c>
      <c r="BO24" s="401">
        <f>IF(BO3="forecast",+BO12+BO18+BO22,'BS - CF Actuals'!BS73)</f>
        <v>11130246.399712699</v>
      </c>
      <c r="BP24" s="401">
        <f>IF(BP3="forecast",+BP12+BP18+BP22,'BS - CF Actuals'!BT73)</f>
        <v>9695168.4736390729</v>
      </c>
      <c r="BQ24" s="401">
        <f>IF(BQ3="forecast",+BQ12+BQ18+BQ22,'BS - CF Actuals'!BU73)</f>
        <v>8260414.0293648522</v>
      </c>
      <c r="BR24" s="401">
        <f>IF(BR3="forecast",+BR12+BR18+BR22,'BS - CF Actuals'!BV73)</f>
        <v>6824888.4935182808</v>
      </c>
      <c r="BS24" s="401">
        <f>IF(BS3="forecast",+BS12+BS18+BS22,'BS - CF Actuals'!BW73)</f>
        <v>5389620.4150146535</v>
      </c>
      <c r="BT24" s="401">
        <f>IF(BT3="forecast",+BT12+BT18+BT22,'BS - CF Actuals'!BX73)</f>
        <v>3953516.1411600215</v>
      </c>
      <c r="BU24" s="401">
        <f>IF(BU3="forecast",+BU12+BU18+BU22,'BS - CF Actuals'!BY73)</f>
        <v>2517069.6703831861</v>
      </c>
      <c r="BV24" s="401">
        <f>IF(BV3="forecast",+BV12+BV18+BV22,'BS - CF Actuals'!BZ73)</f>
        <v>1080777.0963664465</v>
      </c>
      <c r="BW24" s="401">
        <f>IF(BW3="forecast",+BW12+BW18+BW22,'BS - CF Actuals'!CA73)</f>
        <v>-356424.8603211008</v>
      </c>
      <c r="BX24" s="401">
        <f>IF(BX3="forecast",+BX12+BX18+BX22,'BS - CF Actuals'!CB73)</f>
        <v>10447162.26974296</v>
      </c>
      <c r="BY24" s="401">
        <f>IF(BY3="forecast",+BY12+BY18+BY22,'BS - CF Actuals'!CC73)</f>
        <v>9731876.9197429605</v>
      </c>
    </row>
    <row r="25" spans="1:77" ht="13" thickTop="1" x14ac:dyDescent="0.25">
      <c r="D25" s="402"/>
      <c r="E25" s="402"/>
      <c r="F25" s="402"/>
      <c r="G25" s="118"/>
      <c r="H25" s="118"/>
      <c r="I25" s="402"/>
      <c r="J25" s="118"/>
      <c r="K25" s="402"/>
      <c r="L25" s="110"/>
      <c r="M25" s="402"/>
      <c r="N25" s="402"/>
      <c r="O25" s="402"/>
      <c r="P25" s="402"/>
      <c r="Q25" s="118"/>
      <c r="R25" s="402"/>
      <c r="S25" s="402"/>
      <c r="T25" s="118">
        <f>T8-T29</f>
        <v>4097497.31</v>
      </c>
      <c r="U25" s="402"/>
      <c r="V25" s="402"/>
      <c r="W25" s="402"/>
      <c r="X25" s="402"/>
      <c r="Y25" s="402"/>
      <c r="Z25" s="402"/>
      <c r="AA25" s="402"/>
      <c r="AB25" s="402"/>
      <c r="AC25" s="110"/>
      <c r="AD25" s="110"/>
      <c r="AE25" s="110"/>
      <c r="AF25" s="110"/>
      <c r="AG25" s="110"/>
      <c r="AH25" s="110"/>
      <c r="AI25" s="110"/>
      <c r="AJ25" s="110"/>
      <c r="AK25" s="110"/>
      <c r="AL25" s="110"/>
      <c r="AM25" s="110"/>
      <c r="AN25" s="110"/>
      <c r="AO25" s="110"/>
      <c r="AP25" s="110"/>
      <c r="AQ25" s="110"/>
      <c r="AR25" s="110"/>
      <c r="AS25" s="110"/>
      <c r="AT25" s="110"/>
      <c r="AU25" s="110"/>
      <c r="AV25" s="110"/>
      <c r="AW25" s="110"/>
      <c r="AX25" s="110"/>
      <c r="AY25" s="110"/>
      <c r="AZ25" s="110"/>
      <c r="BA25" s="110"/>
      <c r="BB25" s="110"/>
      <c r="BC25" s="110"/>
      <c r="BD25" s="110"/>
      <c r="BE25" s="110"/>
      <c r="BF25" s="110"/>
      <c r="BG25" s="110"/>
      <c r="BH25" s="110"/>
      <c r="BI25" s="110"/>
      <c r="BJ25" s="110"/>
      <c r="BK25" s="110"/>
      <c r="BL25" s="110"/>
      <c r="BM25" s="110"/>
      <c r="BN25" s="110"/>
      <c r="BO25" s="110"/>
      <c r="BP25" s="110"/>
      <c r="BQ25" s="110"/>
      <c r="BR25" s="110"/>
      <c r="BS25" s="110"/>
      <c r="BT25" s="110"/>
      <c r="BU25" s="110"/>
      <c r="BV25" s="110"/>
      <c r="BW25" s="110"/>
      <c r="BX25" s="110"/>
      <c r="BY25" s="110"/>
    </row>
    <row r="26" spans="1:77" ht="13" x14ac:dyDescent="0.3">
      <c r="A26" s="95" t="s">
        <v>103</v>
      </c>
      <c r="B26" s="96"/>
      <c r="C26" s="97"/>
      <c r="D26" s="402"/>
      <c r="E26" s="402"/>
      <c r="F26" s="402"/>
      <c r="G26" s="403"/>
      <c r="H26" s="118"/>
      <c r="I26" s="402"/>
      <c r="J26" s="402"/>
      <c r="K26" s="402"/>
      <c r="L26" s="110"/>
      <c r="M26" s="402"/>
      <c r="N26" s="402"/>
      <c r="O26" s="402"/>
      <c r="P26" s="402"/>
      <c r="Q26" s="118"/>
      <c r="R26" s="118"/>
      <c r="S26" s="118"/>
      <c r="T26" s="118"/>
      <c r="U26" s="118"/>
      <c r="V26" s="403"/>
      <c r="W26" s="402"/>
      <c r="X26" s="402"/>
      <c r="Y26" s="402"/>
      <c r="Z26" s="402"/>
      <c r="AA26" s="402"/>
      <c r="AB26" s="402"/>
      <c r="AC26" s="102"/>
      <c r="AD26" s="102"/>
      <c r="AE26" s="110"/>
      <c r="AF26" s="102"/>
      <c r="AG26" s="102"/>
      <c r="AH26" s="102"/>
      <c r="AI26" s="110"/>
      <c r="AJ26" s="110"/>
      <c r="AK26" s="110"/>
      <c r="AL26" s="110"/>
      <c r="AM26" s="110"/>
      <c r="AN26" s="110"/>
      <c r="AO26" s="110"/>
      <c r="AP26" s="110"/>
      <c r="AQ26" s="110"/>
      <c r="AR26" s="110"/>
      <c r="AS26" s="110"/>
      <c r="AT26" s="110"/>
      <c r="AU26" s="110"/>
      <c r="AV26" s="110"/>
      <c r="AW26" s="110"/>
      <c r="AX26" s="110"/>
      <c r="AY26" s="110"/>
      <c r="AZ26" s="110"/>
      <c r="BA26" s="110"/>
      <c r="BB26" s="110"/>
      <c r="BC26" s="110"/>
      <c r="BD26" s="110"/>
      <c r="BE26" s="110"/>
      <c r="BF26" s="110"/>
      <c r="BG26" s="110"/>
      <c r="BH26" s="110"/>
      <c r="BI26" s="110"/>
      <c r="BJ26" s="110"/>
      <c r="BK26" s="110"/>
      <c r="BL26" s="110"/>
      <c r="BM26" s="110"/>
      <c r="BN26" s="110"/>
      <c r="BO26" s="110"/>
      <c r="BP26" s="110"/>
      <c r="BQ26" s="110"/>
      <c r="BR26" s="110"/>
      <c r="BS26" s="110"/>
      <c r="BT26" s="110"/>
      <c r="BU26" s="110"/>
      <c r="BV26" s="110"/>
      <c r="BW26" s="110"/>
      <c r="BX26" s="110"/>
      <c r="BY26" s="110"/>
    </row>
    <row r="27" spans="1:77" ht="13" x14ac:dyDescent="0.3">
      <c r="A27" s="99" t="s">
        <v>104</v>
      </c>
      <c r="B27" s="97"/>
      <c r="C27" s="97"/>
      <c r="D27" s="402"/>
      <c r="E27" s="402"/>
      <c r="F27" s="402"/>
      <c r="G27" s="107"/>
      <c r="H27" s="402"/>
      <c r="I27" s="402"/>
      <c r="J27" s="402"/>
      <c r="K27" s="402"/>
      <c r="L27" s="110"/>
      <c r="M27" s="402"/>
      <c r="N27" s="402"/>
      <c r="O27" s="402"/>
      <c r="P27" s="402"/>
      <c r="Q27" s="402"/>
      <c r="R27" s="402"/>
      <c r="S27" s="402"/>
      <c r="T27" s="402"/>
      <c r="U27" s="402"/>
      <c r="V27" s="118"/>
      <c r="W27" s="402"/>
      <c r="X27" s="402"/>
      <c r="Y27" s="402"/>
      <c r="Z27" s="402"/>
      <c r="AA27" s="787"/>
      <c r="AB27" s="402"/>
      <c r="AC27" s="110"/>
      <c r="AD27" s="110"/>
      <c r="AE27" s="110"/>
      <c r="AF27" s="110"/>
      <c r="AG27" s="110"/>
      <c r="AH27" s="110"/>
      <c r="AI27" s="110"/>
      <c r="AJ27" s="110"/>
      <c r="AK27" s="110"/>
      <c r="AL27" s="110"/>
      <c r="AM27" s="110"/>
      <c r="AN27" s="110"/>
      <c r="AO27" s="110"/>
      <c r="AP27" s="110"/>
      <c r="AQ27" s="110"/>
      <c r="AR27" s="110"/>
      <c r="AS27" s="110"/>
      <c r="AT27" s="110"/>
      <c r="AU27" s="110"/>
      <c r="AV27" s="110"/>
      <c r="AW27" s="110"/>
      <c r="AX27" s="110"/>
      <c r="AY27" s="110"/>
      <c r="AZ27" s="110"/>
      <c r="BA27" s="110"/>
      <c r="BB27" s="110"/>
      <c r="BC27" s="110"/>
      <c r="BD27" s="110"/>
      <c r="BE27" s="110"/>
      <c r="BF27" s="110"/>
      <c r="BG27" s="110"/>
      <c r="BH27" s="110"/>
      <c r="BI27" s="110"/>
      <c r="BJ27" s="110"/>
      <c r="BK27" s="110"/>
      <c r="BL27" s="110"/>
      <c r="BM27" s="110"/>
      <c r="BN27" s="110"/>
      <c r="BO27" s="110"/>
      <c r="BP27" s="110"/>
      <c r="BQ27" s="110"/>
      <c r="BR27" s="110"/>
      <c r="BS27" s="110"/>
      <c r="BT27" s="110"/>
      <c r="BU27" s="110"/>
      <c r="BV27" s="110"/>
      <c r="BW27" s="110"/>
      <c r="BX27" s="110"/>
      <c r="BY27" s="110"/>
    </row>
    <row r="28" spans="1:77" x14ac:dyDescent="0.25">
      <c r="B28" s="27" t="s">
        <v>105</v>
      </c>
      <c r="D28" s="118">
        <f>IF(D3="forecast",('P&amp;L - Monthly'!B26+'P&amp;L - Monthly'!B28+'P&amp;L - Monthly'!B63*0.15)*D55/30,'BS - CF Actuals'!H79)</f>
        <v>10166.129999999999</v>
      </c>
      <c r="E28" s="118">
        <f>IF(E3="forecast",('P&amp;L - Monthly'!C26+'P&amp;L - Monthly'!C28+'P&amp;L - Monthly'!C63*0.15)*E55/30,'BS - CF Actuals'!I79)</f>
        <v>127466.18</v>
      </c>
      <c r="F28" s="118">
        <f>IF(F3="forecast",('P&amp;L - Monthly'!E26+'P&amp;L - Monthly'!E28+'P&amp;L - Monthly'!E63*0.15)*F55/30,'BS - CF Actuals'!J79)</f>
        <v>117600.45000000001</v>
      </c>
      <c r="G28" s="118">
        <f>IF(G3="forecast",('P&amp;L - Monthly'!F26+'P&amp;L - Monthly'!F28+'P&amp;L - Monthly'!F63*0.15)*G55/30,'BS - CF Actuals'!K79)</f>
        <v>137742.41999999998</v>
      </c>
      <c r="H28" s="118">
        <f>IF(H3="forecast",('P&amp;L - Monthly'!G26+'P&amp;L - Monthly'!G28+'P&amp;L - Monthly'!G63*0.15)*H55/30,'BS - CF Actuals'!L79)</f>
        <v>154613.62</v>
      </c>
      <c r="I28" s="118">
        <f>IF(I3="forecast",('P&amp;L - Monthly'!H26+'P&amp;L - Monthly'!H28+'P&amp;L - Monthly'!H63*0.15)*I55/30,'BS - CF Actuals'!M79)</f>
        <v>141940.87</v>
      </c>
      <c r="J28" s="118">
        <f>IF(J3="forecast",('P&amp;L - Monthly'!I26+'P&amp;L - Monthly'!I28+'P&amp;L - Monthly'!I63*0.15)*J55/30,'BS - CF Actuals'!N79)</f>
        <v>295779.82</v>
      </c>
      <c r="K28" s="118">
        <f>IF(K3="forecast",('P&amp;L - Monthly'!J26+'P&amp;L - Monthly'!J28+'P&amp;L - Monthly'!J63*0.15)*K55/30,'BS - CF Actuals'!O79)</f>
        <v>150972.02000000002</v>
      </c>
      <c r="L28" s="118">
        <f>IF(L3="forecast",('P&amp;L - Monthly'!K26+'P&amp;L - Monthly'!K28+'P&amp;L - Monthly'!K63*0.15)*L55/30,'BS - CF Actuals'!P79)</f>
        <v>149805.26</v>
      </c>
      <c r="M28" s="118">
        <f>IF(M3="forecast",('P&amp;L - Monthly'!L26+'P&amp;L - Monthly'!L28+'P&amp;L - Monthly'!L63*0.15)*M55/30,'BS - CF Actuals'!Q79)</f>
        <v>61495.99</v>
      </c>
      <c r="N28" s="118">
        <f>IF(N3="forecast",('P&amp;L - Monthly'!M26+'P&amp;L - Monthly'!M28+'P&amp;L - Monthly'!M63*0.15)*N55/30,'BS - CF Actuals'!R79)</f>
        <v>76277.840000000011</v>
      </c>
      <c r="O28" s="118">
        <f>IF(O3="forecast",('P&amp;L - Monthly'!N26+'P&amp;L - Monthly'!N28+'P&amp;L - Monthly'!N63*0.15)*O55/30,'BS - CF Actuals'!S79)</f>
        <v>44856.979999999996</v>
      </c>
      <c r="P28" s="118">
        <f>IF(P3="forecast",('P&amp;L - Monthly'!O26+'P&amp;L - Monthly'!O28+'P&amp;L - Monthly'!O63*0.15)*P55/30,'BS - CF Actuals'!T79)</f>
        <v>244320.17</v>
      </c>
      <c r="Q28" s="118">
        <f>IF(Q3="forecast",('P&amp;L - Monthly'!P26+'P&amp;L - Monthly'!P28+'P&amp;L - Monthly'!P63*0.15)*Q55/30,'BS - CF Actuals'!U79)</f>
        <v>114346.3</v>
      </c>
      <c r="R28" s="118">
        <f>IF(R3="forecast",('P&amp;L - Monthly'!Q26+'P&amp;L - Monthly'!Q28+'P&amp;L - Monthly'!Q63*0.15)*R55/30,'BS - CF Actuals'!V79)</f>
        <v>150397.99</v>
      </c>
      <c r="S28" s="118">
        <f>IF(S3="forecast",('P&amp;L - Monthly'!R26+'P&amp;L - Monthly'!R28+'P&amp;L - Monthly'!R63*0.15)*S55/30,'BS - CF Actuals'!W79)</f>
        <v>249877.71</v>
      </c>
      <c r="T28" s="118">
        <f>IF(T3="forecast",('P&amp;L - Monthly'!S26+'P&amp;L - Monthly'!S28+'P&amp;L - Monthly'!S63*0.15)*T55/30,'BS - CF Actuals'!X79)</f>
        <v>188670.67</v>
      </c>
      <c r="U28" s="118">
        <f>IF(U3="forecast",('P&amp;L - Monthly'!T26+'P&amp;L - Monthly'!T28+'P&amp;L - Monthly'!T63*0.15)*U55/30,'BS - CF Actuals'!Y79)</f>
        <v>209251.75</v>
      </c>
      <c r="V28" s="118">
        <f>IF(V3="forecast",('P&amp;L - Monthly'!U26+'P&amp;L - Monthly'!U28+'P&amp;L - Monthly'!U63*0.15)*V55/30,'BS - CF Actuals'!Z79)</f>
        <v>115568.56</v>
      </c>
      <c r="W28" s="118">
        <f>IF(W3="forecast",('P&amp;L - Monthly'!V26+'P&amp;L - Monthly'!V28+'P&amp;L - Monthly'!V63*0.15)*W55/30,'BS - CF Actuals'!AA79)</f>
        <v>92513.37</v>
      </c>
      <c r="X28" s="118">
        <f>IF(X3="forecast",('P&amp;L - Monthly'!W26+'P&amp;L - Monthly'!W28+'P&amp;L - Monthly'!W63*0.15)*X55/30,'BS - CF Actuals'!AB79)</f>
        <v>194947.13</v>
      </c>
      <c r="Y28" s="118">
        <f>IF(Y3="forecast",('P&amp;L - Monthly'!X26+'P&amp;L - Monthly'!X28+'P&amp;L - Monthly'!X63*0.15)*Y55/30,'BS - CF Actuals'!AC79)</f>
        <v>206551.45</v>
      </c>
      <c r="Z28" s="118">
        <f>IF(Z3="forecast",('P&amp;L - Monthly'!Y26+'P&amp;L - Monthly'!Y28+'P&amp;L - Monthly'!Y63*0.15)*Z55/30,'BS - CF Actuals'!AD79)</f>
        <v>239669.88</v>
      </c>
      <c r="AA28" s="118">
        <f>IF(AA3="forecast",('P&amp;L - Monthly'!Z26+'P&amp;L - Monthly'!Z28+'P&amp;L - Monthly'!Z63*0.15)*AA55/30,'BS - CF Actuals'!AE79)</f>
        <v>150453.07999999999</v>
      </c>
      <c r="AB28" s="118">
        <f>IF(AB3="forecast",('P&amp;L - Monthly'!AA26+'P&amp;L - Monthly'!AA28+'P&amp;L - Monthly'!AA63*0.15)*AB55/30,'BS - CF Actuals'!AF79)</f>
        <v>217494.95</v>
      </c>
      <c r="AC28" s="118">
        <f>IF(AC3="forecast",('P&amp;L - Monthly'!AB26+'P&amp;L - Monthly'!AB28+'P&amp;L - Monthly'!AB63*0.15)*AC55/30,'BS - CF Actuals'!AG79)</f>
        <v>322892.3</v>
      </c>
      <c r="AD28" s="118">
        <f>IF(AD3="forecast",('P&amp;L - Monthly'!AC26+'P&amp;L - Monthly'!AC28+'P&amp;L - Monthly'!AC63*0.15)*AD55/30,'BS - CF Actuals'!AH79)</f>
        <v>272612.97351564374</v>
      </c>
      <c r="AE28" s="118">
        <f>IF(AE3="forecast",('P&amp;L - Monthly'!AD26+'P&amp;L - Monthly'!AD28+'P&amp;L - Monthly'!AD63*0.15)*AE55/30,'BS - CF Actuals'!AI79)</f>
        <v>287049.10850865359</v>
      </c>
      <c r="AF28" s="118">
        <f>IF(AF3="forecast",('P&amp;L - Monthly'!AE26+'P&amp;L - Monthly'!AE28+'P&amp;L - Monthly'!AE63*0.15)*AF55/30,'BS - CF Actuals'!AJ79)</f>
        <v>341102.1480837678</v>
      </c>
      <c r="AG28" s="118">
        <f>IF(AG3="forecast",('P&amp;L - Monthly'!AF26+'P&amp;L - Monthly'!AF28+'P&amp;L - Monthly'!AF63*0.15)*AG55/30,'BS - CF Actuals'!AK79)</f>
        <v>378943.78994284448</v>
      </c>
      <c r="AH28" s="118">
        <f>IF(AH3="forecast",('P&amp;L - Monthly'!AG26+'P&amp;L - Monthly'!AG28+'P&amp;L - Monthly'!AG63*0.15)*AH55/30,'BS - CF Actuals'!AL79)</f>
        <v>370766.48001518042</v>
      </c>
      <c r="AI28" s="118">
        <f>IF(AI3="forecast",('P&amp;L - Monthly'!AH26+'P&amp;L - Monthly'!AH28+'P&amp;L - Monthly'!AH63*0.15)*AI55/30,'BS - CF Actuals'!AM79)</f>
        <v>379055.93676680361</v>
      </c>
      <c r="AJ28" s="118">
        <f>IF(AJ3="forecast",('P&amp;L - Monthly'!AI26+'P&amp;L - Monthly'!AI28+'P&amp;L - Monthly'!AI63*0.15)*AJ55/30,'BS - CF Actuals'!AN79)</f>
        <v>379190.40474086569</v>
      </c>
      <c r="AK28" s="118">
        <f>IF(AK3="forecast",('P&amp;L - Monthly'!AJ26+'P&amp;L - Monthly'!AJ28+'P&amp;L - Monthly'!AJ63*0.15)*AK55/30,'BS - CF Actuals'!AO79)</f>
        <v>345640.92847898847</v>
      </c>
      <c r="AL28" s="118">
        <f>IF(AL3="forecast",('P&amp;L - Monthly'!AK26+'P&amp;L - Monthly'!AK28+'P&amp;L - Monthly'!AK63*0.15)*AL55/30,'BS - CF Actuals'!AP79)</f>
        <v>392298.41398616543</v>
      </c>
      <c r="AM28" s="118">
        <f>IF(AM3="forecast",('P&amp;L - Monthly'!AL26+'P&amp;L - Monthly'!AL28+'P&amp;L - Monthly'!AL63*0.15)*AM55/30,'BS - CF Actuals'!AQ79)</f>
        <v>418729.30797772825</v>
      </c>
      <c r="AN28" s="118">
        <f>IF(AN3="forecast",('P&amp;L - Monthly'!AM26+'P&amp;L - Monthly'!AM28+'P&amp;L - Monthly'!AM63*0.15)*AN55/30,'BS - CF Actuals'!AR79)</f>
        <v>372776.90823989746</v>
      </c>
      <c r="AO28" s="118">
        <f>IF(AO3="forecast",('P&amp;L - Monthly'!AN26+'P&amp;L - Monthly'!AN28+'P&amp;L - Monthly'!AN63*0.15)*AO55/30,'BS - CF Actuals'!AS79)</f>
        <v>582626.42154566711</v>
      </c>
      <c r="AP28" s="118">
        <f>IF(AP3="forecast",('P&amp;L - Monthly'!AO26+'P&amp;L - Monthly'!AO28+'P&amp;L - Monthly'!AO63*0.15)*AP55/30,'BS - CF Actuals'!AT79)</f>
        <v>394958.50375801849</v>
      </c>
      <c r="AQ28" s="118">
        <f>IF(AQ3="forecast",('P&amp;L - Monthly'!AP26+'P&amp;L - Monthly'!AP28+'P&amp;L - Monthly'!AP63*0.15)*AQ55/30,'BS - CF Actuals'!AU79)</f>
        <v>414750.61217880703</v>
      </c>
      <c r="AR28" s="118">
        <f>IF(AR3="forecast",('P&amp;L - Monthly'!AQ26+'P&amp;L - Monthly'!AQ28+'P&amp;L - Monthly'!AQ63*0.15)*AR55/30,'BS - CF Actuals'!AV79)</f>
        <v>424870.06972530659</v>
      </c>
      <c r="AS28" s="118">
        <f>IF(AS3="forecast",('P&amp;L - Monthly'!AR26+'P&amp;L - Monthly'!AR28+'P&amp;L - Monthly'!AR63*0.15)*AS55/30,'BS - CF Actuals'!AW79)</f>
        <v>432817.80313271552</v>
      </c>
      <c r="AT28" s="118">
        <f>IF(AT3="forecast",('P&amp;L - Monthly'!AS26+'P&amp;L - Monthly'!AS28+'P&amp;L - Monthly'!AS63*0.15)*AT55/30,'BS - CF Actuals'!AX79)</f>
        <v>439189.30899023468</v>
      </c>
      <c r="AU28" s="118">
        <f>IF(AU3="forecast",('P&amp;L - Monthly'!AT26+'P&amp;L - Monthly'!AT28+'P&amp;L - Monthly'!AT63*0.15)*AU55/30,'BS - CF Actuals'!AY79)</f>
        <v>446442.33556401887</v>
      </c>
      <c r="AV28" s="118">
        <f>IF(AV3="forecast",('P&amp;L - Monthly'!AU26+'P&amp;L - Monthly'!AU28+'P&amp;L - Monthly'!AU63*0.15)*AV55/30,'BS - CF Actuals'!AZ79)</f>
        <v>452946.81864389987</v>
      </c>
      <c r="AW28" s="118">
        <f>IF(AW3="forecast",('P&amp;L - Monthly'!AV26+'P&amp;L - Monthly'!AV28+'P&amp;L - Monthly'!AV63*0.15)*AW55/30,'BS - CF Actuals'!BA79)</f>
        <v>458762.03291241324</v>
      </c>
      <c r="AX28" s="118">
        <f>IF(AX3="forecast",('P&amp;L - Monthly'!AW26+'P&amp;L - Monthly'!AW28+'P&amp;L - Monthly'!AW63*0.15)*AX55/30,'BS - CF Actuals'!BB79)</f>
        <v>466524.86400048074</v>
      </c>
      <c r="AY28" s="118">
        <f>IF(AY3="forecast",('P&amp;L - Monthly'!AX26+'P&amp;L - Monthly'!AX28+'P&amp;L - Monthly'!AX63*0.15)*AY55/30,'BS - CF Actuals'!BC79)</f>
        <v>473602.43925490073</v>
      </c>
      <c r="AZ28" s="118">
        <f>IF(AZ3="forecast",('P&amp;L - Monthly'!AY26+'P&amp;L - Monthly'!AY28+'P&amp;L - Monthly'!AY63*0.15)*AZ55/30,'BS - CF Actuals'!BD79)</f>
        <v>479557.89881958329</v>
      </c>
      <c r="BA28" s="118">
        <f>IF(BA3="forecast",('P&amp;L - Monthly'!AZ26+'P&amp;L - Monthly'!AZ28+'P&amp;L - Monthly'!AZ63*0.15)*BA55/30,'BS - CF Actuals'!BE79)</f>
        <v>726008.3218410447</v>
      </c>
      <c r="BB28" s="118">
        <f>IF(BB3="forecast",('P&amp;L - Monthly'!BA26+'P&amp;L - Monthly'!BA28+'P&amp;L - Monthly'!BA63*0.15)*BB55/30,'BS - CF Actuals'!BF79)</f>
        <v>240849.86727300528</v>
      </c>
      <c r="BC28" s="118">
        <f>IF(BC3="forecast",('P&amp;L - Monthly'!BB26+'P&amp;L - Monthly'!BB28+'P&amp;L - Monthly'!BB63*0.15)*BC55/30,'BS - CF Actuals'!BG79)</f>
        <v>243445.80453104418</v>
      </c>
      <c r="BD28" s="118">
        <f>IF(BD3="forecast",('P&amp;L - Monthly'!BC26+'P&amp;L - Monthly'!BC28+'P&amp;L - Monthly'!BC63*0.15)*BD55/30,'BS - CF Actuals'!BH79)</f>
        <v>243525.31460313461</v>
      </c>
      <c r="BE28" s="118">
        <f>IF(BE3="forecast",('P&amp;L - Monthly'!BD26+'P&amp;L - Monthly'!BD28+'P&amp;L - Monthly'!BD63*0.15)*BE55/30,'BS - CF Actuals'!BI79)</f>
        <v>243497.76805840692</v>
      </c>
      <c r="BF28" s="118">
        <f>IF(BF3="forecast",('P&amp;L - Monthly'!BE26+'P&amp;L - Monthly'!BE28+'P&amp;L - Monthly'!BE63*0.15)*BF55/30,'BS - CF Actuals'!BJ79)</f>
        <v>243457.73875616753</v>
      </c>
      <c r="BG28" s="118">
        <f>IF(BG3="forecast",('P&amp;L - Monthly'!BF26+'P&amp;L - Monthly'!BF28+'P&amp;L - Monthly'!BF63*0.15)*BG55/30,'BS - CF Actuals'!BK79)</f>
        <v>243464.8969874742</v>
      </c>
      <c r="BH28" s="118">
        <f>IF(BH3="forecast",('P&amp;L - Monthly'!BG26+'P&amp;L - Monthly'!BG28+'P&amp;L - Monthly'!BG63*0.15)*BH55/30,'BS - CF Actuals'!BL79)</f>
        <v>243431.15630373135</v>
      </c>
      <c r="BI28" s="118">
        <f>IF(BI3="forecast",('P&amp;L - Monthly'!BH26+'P&amp;L - Monthly'!BH28+'P&amp;L - Monthly'!BH63*0.15)*BI55/30,'BS - CF Actuals'!BM79)</f>
        <v>243416.31437582776</v>
      </c>
      <c r="BJ28" s="118">
        <f>IF(BJ3="forecast",('P&amp;L - Monthly'!BI26+'P&amp;L - Monthly'!BI28+'P&amp;L - Monthly'!BI63*0.15)*BJ55/30,'BS - CF Actuals'!BN79)</f>
        <v>243501.5878916787</v>
      </c>
      <c r="BK28" s="118">
        <f>IF(BK3="forecast",('P&amp;L - Monthly'!BJ26+'P&amp;L - Monthly'!BJ28+'P&amp;L - Monthly'!BJ63*0.15)*BK55/30,'BS - CF Actuals'!BO79)</f>
        <v>243552.61670809131</v>
      </c>
      <c r="BL28" s="118">
        <f>IF(BL3="forecast",('P&amp;L - Monthly'!BK26+'P&amp;L - Monthly'!BK28+'P&amp;L - Monthly'!BK63*0.15)*BL55/30,'BS - CF Actuals'!BP79)</f>
        <v>243585.17558851984</v>
      </c>
      <c r="BM28" s="118">
        <f>IF(BM3="forecast",('P&amp;L - Monthly'!BL26+'P&amp;L - Monthly'!BL28+'P&amp;L - Monthly'!BL63*0.15)*BM55/30,'BS - CF Actuals'!BQ79)</f>
        <v>488960.75382716366</v>
      </c>
      <c r="BN28" s="118">
        <f>IF(BN3="forecast",('P&amp;L - Monthly'!BM26+'P&amp;L - Monthly'!BM28+'P&amp;L - Monthly'!BM63*0.15)*BN55/30,'BS - CF Actuals'!BR79)</f>
        <v>184179.28306820677</v>
      </c>
      <c r="BO28" s="118">
        <f>IF(BO3="forecast",('P&amp;L - Monthly'!BN26+'P&amp;L - Monthly'!BN28+'P&amp;L - Monthly'!BN63*0.15)*BO55/30,'BS - CF Actuals'!BS79)</f>
        <v>186733.84761048763</v>
      </c>
      <c r="BP28" s="118">
        <f>IF(BP3="forecast",('P&amp;L - Monthly'!BO26+'P&amp;L - Monthly'!BO28+'P&amp;L - Monthly'!BO63*0.15)*BP55/30,'BS - CF Actuals'!BT79)</f>
        <v>186768.81896626053</v>
      </c>
      <c r="BQ28" s="118">
        <f>IF(BQ3="forecast",('P&amp;L - Monthly'!BP26+'P&amp;L - Monthly'!BP28+'P&amp;L - Monthly'!BP63*0.15)*BQ55/30,'BS - CF Actuals'!BU79)</f>
        <v>186800.15079264436</v>
      </c>
      <c r="BR28" s="118">
        <f>IF(BR3="forecast",('P&amp;L - Monthly'!BQ26+'P&amp;L - Monthly'!BQ28+'P&amp;L - Monthly'!BQ63*0.15)*BR55/30,'BS - CF Actuals'!BV79)</f>
        <v>186836.46157051725</v>
      </c>
      <c r="BS28" s="118">
        <f>IF(BS3="forecast",('P&amp;L - Monthly'!BR26+'P&amp;L - Monthly'!BR28+'P&amp;L - Monthly'!BR63*0.15)*BS55/30,'BS - CF Actuals'!BW79)</f>
        <v>186879.2084029651</v>
      </c>
      <c r="BT28" s="118">
        <f>IF(BT3="forecast",('P&amp;L - Monthly'!BS26+'P&amp;L - Monthly'!BS28+'P&amp;L - Monthly'!BS63*0.15)*BT55/30,'BS - CF Actuals'!BX79)</f>
        <v>186924.99367011822</v>
      </c>
      <c r="BU28" s="118">
        <f>IF(BU3="forecast",('P&amp;L - Monthly'!BT26+'P&amp;L - Monthly'!BT28+'P&amp;L - Monthly'!BT63*0.15)*BU55/30,'BS - CF Actuals'!BY79)</f>
        <v>186977.47821218614</v>
      </c>
      <c r="BV28" s="118">
        <f>IF(BV3="forecast",('P&amp;L - Monthly'!BU26+'P&amp;L - Monthly'!BU28+'P&amp;L - Monthly'!BU63*0.15)*BV55/30,'BS - CF Actuals'!BZ79)</f>
        <v>187035.64624792559</v>
      </c>
      <c r="BW28" s="118">
        <f>IF(BW3="forecast",('P&amp;L - Monthly'!BV26+'P&amp;L - Monthly'!BV28+'P&amp;L - Monthly'!BV63*0.15)*BW55/30,'BS - CF Actuals'!CA79)</f>
        <v>187091.62553563982</v>
      </c>
      <c r="BX28" s="118">
        <f>IF(BX3="forecast",('P&amp;L - Monthly'!BW26+'P&amp;L - Monthly'!BW28+'P&amp;L - Monthly'!BW63*0.15)*BX55/30,'BS - CF Actuals'!CB79)</f>
        <v>187148.08541105015</v>
      </c>
      <c r="BY28" s="118">
        <f>IF(BY3="forecast",('P&amp;L - Monthly'!BX26+'P&amp;L - Monthly'!BX28+'P&amp;L - Monthly'!BX63*0.15)*BY55/30,'BS - CF Actuals'!CC79)</f>
        <v>438720.47929799295</v>
      </c>
    </row>
    <row r="29" spans="1:77" x14ac:dyDescent="0.25">
      <c r="B29" s="27" t="s">
        <v>511</v>
      </c>
      <c r="D29" s="118">
        <f>IF(D3="forecast",,IF(Sensativities!$B$10="GAAP",'BS - CF Actuals'!H99,'BS - CF Actuals'!H99-Sensativities!$B$11))</f>
        <v>1465072.79</v>
      </c>
      <c r="E29" s="118">
        <f>IF(E3="forecast",,IF(Sensativities!$B$10="GAAP",'BS - CF Actuals'!I99,'BS - CF Actuals'!I99-Sensativities!$B$11))</f>
        <v>2448176.83</v>
      </c>
      <c r="F29" s="118">
        <f>IF(F3="forecast",,IF(Sensativities!$B$10="GAAP",'BS - CF Actuals'!J99,'BS - CF Actuals'!J99-Sensativities!$B$11))</f>
        <v>2451443.6811143844</v>
      </c>
      <c r="G29" s="118">
        <f>IF(G3="forecast",,IF(Sensativities!$B$10="GAAP",'BS - CF Actuals'!K99,'BS - CF Actuals'!K99-Sensativities!$B$11))</f>
        <v>2411815.7549593886</v>
      </c>
      <c r="H29" s="118">
        <f>IF(H3="forecast",,IF(Sensativities!$B$10="GAAP",'BS - CF Actuals'!L99,'BS - CF Actuals'!L99-Sensativities!$B$11))</f>
        <v>2359010.9015557361</v>
      </c>
      <c r="I29" s="118">
        <f>IF(I3="forecast",,IF(Sensativities!$B$10="GAAP",'BS - CF Actuals'!M99,'BS - CF Actuals'!M99-Sensativities!$B$11))</f>
        <v>3303695.0664396943</v>
      </c>
      <c r="J29" s="118">
        <f>IF(J3="forecast",,IF(Sensativities!$B$10="GAAP",'BS - CF Actuals'!N99,'BS - CF Actuals'!N99-Sensativities!$B$11))</f>
        <v>3565567.1843792517</v>
      </c>
      <c r="K29" s="118">
        <f>IF(K3="forecast",,IF(Sensativities!$B$10="GAAP",'BS - CF Actuals'!O99,'BS - CF Actuals'!O99-Sensativities!$B$11))</f>
        <v>3497235.7020452945</v>
      </c>
      <c r="L29" s="118">
        <f>IF(L3="forecast",,IF(Sensativities!$B$10="GAAP",'BS - CF Actuals'!P99,'BS - CF Actuals'!P99-Sensativities!$B$11))</f>
        <v>3504387.7004646901</v>
      </c>
      <c r="M29" s="118">
        <f>IF(M3="forecast",,IF(Sensativities!$B$10="GAAP",'BS - CF Actuals'!Q99,'BS - CF Actuals'!Q99-Sensativities!$B$11))</f>
        <v>3457435.0925441496</v>
      </c>
      <c r="N29" s="118">
        <f>IF(N3="forecast",,IF(Sensativities!$B$10="GAAP",'BS - CF Actuals'!R99,'BS - CF Actuals'!R99-Sensativities!$B$11))</f>
        <v>3411836.1159384376</v>
      </c>
      <c r="O29" s="118">
        <f>IF(O3="forecast",,IF(Sensativities!$B$10="GAAP",'BS - CF Actuals'!S99,'BS - CF Actuals'!S99-Sensativities!$B$11))</f>
        <v>3608558.6505331378</v>
      </c>
      <c r="P29" s="118">
        <f>IF(P3="forecast",,IF(Sensativities!$B$10="GAAP",'BS - CF Actuals'!T99,'BS - CF Actuals'!T99-Sensativities!$B$11))</f>
        <v>3389939.2191822021</v>
      </c>
      <c r="Q29" s="118">
        <f>IF(Q3="forecast",,IF(Sensativities!$B$10="GAAP",'BS - CF Actuals'!U99,'BS - CF Actuals'!U99-Sensativities!$B$11))</f>
        <v>2110394.37</v>
      </c>
      <c r="R29" s="118">
        <f>IF(R3="forecast",,IF(Sensativities!$B$10="GAAP",'BS - CF Actuals'!V99,'BS - CF Actuals'!V99-Sensativities!$B$11))</f>
        <v>3091002.33</v>
      </c>
      <c r="S29" s="118">
        <f>IF(S3="forecast",S69,IF(Sensativities!$B$10="GAAP",'BS - CF Actuals'!W99,'BS - CF Actuals'!W99-Sensativities!$B$11))</f>
        <v>2766690.83</v>
      </c>
      <c r="T29" s="118">
        <f>IF(T3="forecast",T69,IF(Sensativities!$B$10="GAAP",'BS - CF Actuals'!X99,'BS - CF Actuals'!X99-Sensativities!$B$11))</f>
        <v>2602389.7799999998</v>
      </c>
      <c r="U29" s="118">
        <f>IF(U3="forecast",U69,IF(Sensativities!$B$10="GAAP",'BS - CF Actuals'!Y99,'BS - CF Actuals'!Y99-Sensativities!$B$11))</f>
        <v>2431390.27</v>
      </c>
      <c r="V29" s="118">
        <f>IF(V3="Forecast",V65,'BS - CF Actuals'!Z99)</f>
        <v>2374179.9500000002</v>
      </c>
      <c r="W29" s="118">
        <f>IF(W3="Forecast",W65,'BS - CF Actuals'!AA99)</f>
        <v>2484153.2799999998</v>
      </c>
      <c r="X29" s="118">
        <f>IF(X3="Forecast",X65,'BS - CF Actuals'!AB99)</f>
        <v>2312820.5499999998</v>
      </c>
      <c r="Y29" s="118">
        <f>IF(Y3="Forecast",Y65,'BS - CF Actuals'!AC99)</f>
        <v>2351706.7000000002</v>
      </c>
      <c r="Z29" s="118">
        <f>IF(Z3="Forecast",Z65,'BS - CF Actuals'!AD99)</f>
        <v>2702980.32</v>
      </c>
      <c r="AA29" s="118">
        <f>IF(AA3="Forecast",AA65,'BS - CF Actuals'!AE99)</f>
        <v>2390645.64</v>
      </c>
      <c r="AB29" s="118">
        <f>IF(AB3="Forecast",AB65,'BS - CF Actuals'!AF99)</f>
        <v>2326548.5499999998</v>
      </c>
      <c r="AC29" s="118">
        <f>IF(AC3="Forecast",AC65,'BS - CF Actuals'!AG99)</f>
        <v>2310875.7400000002</v>
      </c>
      <c r="AD29" s="118">
        <f>IF(AD3="Forecast",AD65,'BS - CF Actuals'!AH99)</f>
        <v>2626611.205970095</v>
      </c>
      <c r="AE29" s="118">
        <f>IF(AE3="Forecast",AE65,'BS - CF Actuals'!AI99)</f>
        <v>2636048.9199518552</v>
      </c>
      <c r="AF29" s="118">
        <f>IF(AF3="Forecast",AF65,'BS - CF Actuals'!AJ99)</f>
        <v>2639379.6809660518</v>
      </c>
      <c r="AG29" s="118">
        <f>IF(AG3="Forecast",AG65,'BS - CF Actuals'!AK99)</f>
        <v>2652961.5291943443</v>
      </c>
      <c r="AH29" s="118">
        <f>IF(AH3="Forecast",AH65,'BS - CF Actuals'!AL99)</f>
        <v>2666606.800119441</v>
      </c>
      <c r="AI29" s="118">
        <f>IF(AI3="Forecast",AI65,'BS - CF Actuals'!AM99)</f>
        <v>2679370.4986538021</v>
      </c>
      <c r="AJ29" s="118">
        <f>IF(AJ3="Forecast",AJ65,'BS - CF Actuals'!AN99)</f>
        <v>2675849.9635892292</v>
      </c>
      <c r="AK29" s="118">
        <f>IF(AK3="Forecast",AK65,'BS - CF Actuals'!AO99)</f>
        <v>2684747.0348078674</v>
      </c>
      <c r="AL29" s="118">
        <f>IF(AL3="Forecast",AL65,'BS - CF Actuals'!AP99)</f>
        <v>2719846.5679330877</v>
      </c>
      <c r="AM29" s="118">
        <f>IF(AM3="Forecast",AM65,'BS - CF Actuals'!AQ99)</f>
        <v>2733976.4875301579</v>
      </c>
      <c r="AN29" s="118">
        <f>IF(AN3="Forecast",AN65,'BS - CF Actuals'!AR99)</f>
        <v>2725603.0951356343</v>
      </c>
      <c r="AO29" s="118">
        <f>IF(AO3="Forecast",AO65,'BS - CF Actuals'!AS99)</f>
        <v>2726345.1565838465</v>
      </c>
      <c r="AP29" s="118">
        <f>IF(AP3="Forecast",AP65,'BS - CF Actuals'!AT99)</f>
        <v>2763414.3891546</v>
      </c>
      <c r="AQ29" s="118">
        <f>IF(AQ3="Forecast",AQ65,'BS - CF Actuals'!AU99)</f>
        <v>2777676.4419420809</v>
      </c>
      <c r="AR29" s="118">
        <f>IF(AR3="Forecast",AR65,'BS - CF Actuals'!AV99)</f>
        <v>2792550.5789498631</v>
      </c>
      <c r="AS29" s="118">
        <f>IF(AS3="Forecast",AS65,'BS - CF Actuals'!AW99)</f>
        <v>2806805.8528920198</v>
      </c>
      <c r="AT29" s="118">
        <f>IF(AT3="Forecast",AT65,'BS - CF Actuals'!AX99)</f>
        <v>2820496.5178191876</v>
      </c>
      <c r="AU29" s="118">
        <f>IF(AU3="Forecast",AU65,'BS - CF Actuals'!AY99)</f>
        <v>2834039.6760356752</v>
      </c>
      <c r="AV29" s="118">
        <f>IF(AV3="Forecast",AV65,'BS - CF Actuals'!AZ99)</f>
        <v>2847590.440905252</v>
      </c>
      <c r="AW29" s="118">
        <f>IF(AW3="Forecast",AW65,'BS - CF Actuals'!BA99)</f>
        <v>2861309.5407663314</v>
      </c>
      <c r="AX29" s="118">
        <f>IF(AX3="Forecast",AX65,'BS - CF Actuals'!BB99)</f>
        <v>2875195.3400898902</v>
      </c>
      <c r="AY29" s="118">
        <f>IF(AY3="Forecast",AY65,'BS - CF Actuals'!BC99)</f>
        <v>2888774.3167565567</v>
      </c>
      <c r="AZ29" s="118">
        <f>IF(AZ3="Forecast",AZ65,'BS - CF Actuals'!BD99)</f>
        <v>2902354.1505660801</v>
      </c>
      <c r="BA29" s="118">
        <f>IF(BA3="Forecast",BA65,'BS - CF Actuals'!BE99)</f>
        <v>2915934.8415184612</v>
      </c>
      <c r="BB29" s="118">
        <f>IF(BB3="Forecast",BB65,'BS - CF Actuals'!BF99)</f>
        <v>2481852.0227356176</v>
      </c>
      <c r="BC29" s="118">
        <f>IF(BC3="Forecast",BC65,'BS - CF Actuals'!BG99)</f>
        <v>2481866.4036879987</v>
      </c>
      <c r="BD29" s="118">
        <f>IF(BD3="Forecast",BD65,'BS - CF Actuals'!BH99)</f>
        <v>2481881.7846403797</v>
      </c>
      <c r="BE29" s="118">
        <f>IF(BE3="Forecast",BE65,'BS - CF Actuals'!BI99)</f>
        <v>2481898.1655927608</v>
      </c>
      <c r="BF29" s="118">
        <f>IF(BF3="Forecast",BF65,'BS - CF Actuals'!BJ99)</f>
        <v>2481915.5465451418</v>
      </c>
      <c r="BG29" s="118">
        <f>IF(BG3="Forecast",BG65,'BS - CF Actuals'!BK99)</f>
        <v>2481933.9274975229</v>
      </c>
      <c r="BH29" s="118">
        <f>IF(BH3="Forecast",BH65,'BS - CF Actuals'!BL99)</f>
        <v>2481953.308449904</v>
      </c>
      <c r="BI29" s="118">
        <f>IF(BI3="Forecast",BI65,'BS - CF Actuals'!BM99)</f>
        <v>2481973.689402285</v>
      </c>
      <c r="BJ29" s="118">
        <f>IF(BJ3="Forecast",BJ65,'BS - CF Actuals'!BN99)</f>
        <v>2481995.0703546661</v>
      </c>
      <c r="BK29" s="118">
        <f>IF(BK3="Forecast",BK65,'BS - CF Actuals'!BO99)</f>
        <v>2482017.4513070472</v>
      </c>
      <c r="BL29" s="118">
        <f>IF(BL3="Forecast",BL65,'BS - CF Actuals'!BP99)</f>
        <v>2482040.8322594282</v>
      </c>
      <c r="BM29" s="118">
        <f>IF(BM3="Forecast",BM65,'BS - CF Actuals'!BQ99)</f>
        <v>2482065.2132118093</v>
      </c>
      <c r="BN29" s="118">
        <f>IF(BN3="Forecast",BN65,'BS - CF Actuals'!BR99)</f>
        <v>2482090.5941641903</v>
      </c>
      <c r="BO29" s="118">
        <f>IF(BO3="Forecast",BO65,'BS - CF Actuals'!BS99)</f>
        <v>2482116.9751165714</v>
      </c>
      <c r="BP29" s="118">
        <f>IF(BP3="Forecast",BP65,'BS - CF Actuals'!BT99)</f>
        <v>2482144.3560689525</v>
      </c>
      <c r="BQ29" s="118">
        <f>IF(BQ3="Forecast",BQ65,'BS - CF Actuals'!BU99)</f>
        <v>2482172.7370213335</v>
      </c>
      <c r="BR29" s="118">
        <f>IF(BR3="Forecast",BR65,'BS - CF Actuals'!BV99)</f>
        <v>2482202.1179737146</v>
      </c>
      <c r="BS29" s="118">
        <f>IF(BS3="Forecast",BS65,'BS - CF Actuals'!BW99)</f>
        <v>2482232.4989260957</v>
      </c>
      <c r="BT29" s="118">
        <f>IF(BT3="Forecast",BT65,'BS - CF Actuals'!BX99)</f>
        <v>2482263.8798784767</v>
      </c>
      <c r="BU29" s="118">
        <f>IF(BU3="Forecast",BU65,'BS - CF Actuals'!BY99)</f>
        <v>2482296.2608308578</v>
      </c>
      <c r="BV29" s="118">
        <f>IF(BV3="Forecast",BV65,'BS - CF Actuals'!BZ99)</f>
        <v>2482329.6417832389</v>
      </c>
      <c r="BW29" s="118">
        <f>IF(BW3="Forecast",BW65,'BS - CF Actuals'!CA99)</f>
        <v>2482364.0227356199</v>
      </c>
      <c r="BX29" s="118">
        <f>IF(BX3="Forecast",BX65,'BS - CF Actuals'!CB99)</f>
        <v>2482399.403688001</v>
      </c>
      <c r="BY29" s="118">
        <f>IF(BY3="Forecast",BY65,'BS - CF Actuals'!CC99)</f>
        <v>2482435.784640382</v>
      </c>
    </row>
    <row r="30" spans="1:77" x14ac:dyDescent="0.25">
      <c r="B30" s="27" t="s">
        <v>106</v>
      </c>
      <c r="D30" s="198">
        <f>IF(D3="forecast",0,('BS - CF Actuals'!H100-D29))</f>
        <v>46777.100000000093</v>
      </c>
      <c r="E30" s="198">
        <f>IF(E3="forecast",0,('BS - CF Actuals'!I100-E29))</f>
        <v>70896.669999999925</v>
      </c>
      <c r="F30" s="198">
        <f>IF(F3="forecast",0,('BS - CF Actuals'!J100-F29))</f>
        <v>37979.449999999721</v>
      </c>
      <c r="G30" s="198">
        <f>IF(G3="forecast",0,('BS - CF Actuals'!K100-G29))</f>
        <v>66583.75</v>
      </c>
      <c r="H30" s="198">
        <f>IF(H3="forecast",0,('BS - CF Actuals'!L100-H29))</f>
        <v>95022.55999999959</v>
      </c>
      <c r="I30" s="198">
        <f>IF(I3="forecast",0,('BS - CF Actuals'!M100-I29))</f>
        <v>246391.54000000004</v>
      </c>
      <c r="J30" s="198">
        <f>IF(J3="forecast",0,('BS - CF Actuals'!N100-J29))</f>
        <v>13083.399999999907</v>
      </c>
      <c r="K30" s="198">
        <f>IF(K3="forecast",0,('BS - CF Actuals'!O100-K29))</f>
        <v>90159.810000000056</v>
      </c>
      <c r="L30" s="198">
        <f>IF(L3="forecast",0,('BS - CF Actuals'!P100-L29))</f>
        <v>92666.259999999776</v>
      </c>
      <c r="M30" s="198">
        <f>IF(M3="forecast",0,('BS - CF Actuals'!Q100-M29))</f>
        <v>92544.429999999702</v>
      </c>
      <c r="N30" s="198">
        <f>IF(N3="forecast",0,('BS - CF Actuals'!R100-N29))</f>
        <v>198454.63999999966</v>
      </c>
      <c r="O30" s="198">
        <f>IF(O3="forecast",0,('BS - CF Actuals'!S100-O29))</f>
        <v>124308.53000000026</v>
      </c>
      <c r="P30" s="198">
        <f>IF(P3="forecast",0,('BS - CF Actuals'!T100-P29))</f>
        <v>-120.75</v>
      </c>
      <c r="Q30" s="198">
        <f>IF(Q3="forecast",0,('BS - CF Actuals'!U100-Q29))</f>
        <v>633517.87000000011</v>
      </c>
      <c r="R30" s="198">
        <f>IF(R3="forecast",0,('BS - CF Actuals'!V100-R29))</f>
        <v>636730.58000000007</v>
      </c>
      <c r="S30" s="198">
        <f>IF(S3="forecast",0,('BS - CF Actuals'!W100-S29))</f>
        <v>675381.10999999987</v>
      </c>
      <c r="T30" s="198">
        <f>IF(T3="forecast",0,('BS - CF Actuals'!X100-T29))</f>
        <v>1009647.0100000002</v>
      </c>
      <c r="U30" s="198">
        <f>IF(U3="forecast",0,('BS - CF Actuals'!Y100-U29))</f>
        <v>1160112.8600000003</v>
      </c>
      <c r="V30" s="198">
        <f>IF(V3="forecast",0,('BS - CF Actuals'!Z100-V29))</f>
        <v>1151510.96</v>
      </c>
      <c r="W30" s="198">
        <f>IF(W3="forecast",0,('BS - CF Actuals'!AA100-W29))</f>
        <v>1333332.8599999999</v>
      </c>
      <c r="X30" s="198">
        <f>IF(X3="forecast",0,('BS - CF Actuals'!AB100-X29))</f>
        <v>1553911.0199999996</v>
      </c>
      <c r="Y30" s="198">
        <f>IF(Y3="forecast",0,('BS - CF Actuals'!AC100-Y29))</f>
        <v>1232130.8900000001</v>
      </c>
      <c r="Z30" s="198">
        <f>IF(Z3="forecast",0,('BS - CF Actuals'!AD100-Z29))</f>
        <v>1447865.7799999998</v>
      </c>
      <c r="AA30" s="198">
        <f>IF(AA3="forecast",0,('BS - CF Actuals'!AE100-AA29))</f>
        <v>1587759.92</v>
      </c>
      <c r="AB30" s="198">
        <f>IF(AB3="forecast",AA30,('BS - CF Actuals'!AF100-AB29))</f>
        <v>1513179.9099999997</v>
      </c>
      <c r="AC30" s="198">
        <f>IF(AC3="forecast",AB30,('BS - CF Actuals'!AG100-AC29))</f>
        <v>1114152.7400000002</v>
      </c>
      <c r="AD30" s="198">
        <f>IF(AD3="forecast",AC30,('BS - CF Actuals'!AG100-AC290))</f>
        <v>1114152.7400000002</v>
      </c>
      <c r="AE30" s="198">
        <f>IF(AE3="forecast",AD30,('BS - CF Actuals'!AH100-AD290))</f>
        <v>1114152.7400000002</v>
      </c>
      <c r="AF30" s="198">
        <f>IF(AF3="forecast",AE30,('BS - CF Actuals'!AI100-AE290))</f>
        <v>1114152.7400000002</v>
      </c>
      <c r="AG30" s="198">
        <f>IF(AG3="forecast",AF30,('BS - CF Actuals'!AJ100-AF290))</f>
        <v>1114152.7400000002</v>
      </c>
      <c r="AH30" s="198">
        <f>IF(AH3="forecast",AG30,('BS - CF Actuals'!AK100-AG290))</f>
        <v>1114152.7400000002</v>
      </c>
      <c r="AI30" s="198">
        <f>IF(AI3="forecast",AH30,('BS - CF Actuals'!AL100-AH290))</f>
        <v>1114152.7400000002</v>
      </c>
      <c r="AJ30" s="198">
        <f>IF(AJ3="forecast",AI30,('BS - CF Actuals'!AM100-AI290))</f>
        <v>1114152.7400000002</v>
      </c>
      <c r="AK30" s="198">
        <f>IF(AK3="forecast",AJ30,('BS - CF Actuals'!AN100-AJ290))</f>
        <v>1114152.7400000002</v>
      </c>
      <c r="AL30" s="198">
        <f>IF(AL3="forecast",AK30,('BS - CF Actuals'!AO100-AK290))</f>
        <v>1114152.7400000002</v>
      </c>
      <c r="AM30" s="198">
        <f>IF(AM3="forecast",AL30,('BS - CF Actuals'!AP100-AL290))</f>
        <v>1114152.7400000002</v>
      </c>
      <c r="AN30" s="198">
        <f>IF(AN3="forecast",AM30,('BS - CF Actuals'!AQ100-AM290))</f>
        <v>1114152.7400000002</v>
      </c>
      <c r="AO30" s="198">
        <f>IF(AO3="forecast",AN30,('BS - CF Actuals'!AR100-AN290))</f>
        <v>1114152.7400000002</v>
      </c>
      <c r="AP30" s="198">
        <f>IF(AP3="forecast",AO30,('BS - CF Actuals'!AS100-AO290))</f>
        <v>1114152.7400000002</v>
      </c>
      <c r="AQ30" s="198">
        <f>IF(AQ3="forecast",AP30,('BS - CF Actuals'!AT100-AP290))</f>
        <v>1114152.7400000002</v>
      </c>
      <c r="AR30" s="198">
        <f>IF(AR3="forecast",AQ30,('BS - CF Actuals'!AU100-AQ290))</f>
        <v>1114152.7400000002</v>
      </c>
      <c r="AS30" s="198">
        <f>IF(AS3="forecast",AR30,('BS - CF Actuals'!AV100-AR290))</f>
        <v>1114152.7400000002</v>
      </c>
      <c r="AT30" s="198">
        <f>IF(AT3="forecast",AS30,('BS - CF Actuals'!AW100-AS290))</f>
        <v>1114152.7400000002</v>
      </c>
      <c r="AU30" s="198">
        <f>IF(AU3="forecast",AT30,('BS - CF Actuals'!AX100-AT290))</f>
        <v>1114152.7400000002</v>
      </c>
      <c r="AV30" s="198">
        <f>IF(AV3="forecast",AU30,('BS - CF Actuals'!AY100-AU290))</f>
        <v>1114152.7400000002</v>
      </c>
      <c r="AW30" s="198">
        <f>IF(AW3="forecast",AV30,('BS - CF Actuals'!AZ100-AV290))</f>
        <v>1114152.7400000002</v>
      </c>
      <c r="AX30" s="198">
        <f>IF(AX3="forecast",AW30,('BS - CF Actuals'!BA100-AW290))</f>
        <v>1114152.7400000002</v>
      </c>
      <c r="AY30" s="198">
        <f>IF(AY3="forecast",AX30,('BS - CF Actuals'!BB100-AX290))</f>
        <v>1114152.7400000002</v>
      </c>
      <c r="AZ30" s="198">
        <f>IF(AZ3="forecast",AY30,('BS - CF Actuals'!BC100-AY290))</f>
        <v>1114152.7400000002</v>
      </c>
      <c r="BA30" s="198">
        <f>IF(BA3="forecast",AZ30,('BS - CF Actuals'!BD100-AZ290))</f>
        <v>1114152.7400000002</v>
      </c>
      <c r="BB30" s="198">
        <f>IF(BB3="forecast",BA30,('BS - CF Actuals'!BE100-BA290))</f>
        <v>1114152.7400000002</v>
      </c>
      <c r="BC30" s="198">
        <f>IF(BC3="forecast",BB30,('BS - CF Actuals'!BF100-BB290))</f>
        <v>1114152.7400000002</v>
      </c>
      <c r="BD30" s="198">
        <f>IF(BD3="forecast",BC30,('BS - CF Actuals'!BG100-BC290))</f>
        <v>1114152.7400000002</v>
      </c>
      <c r="BE30" s="198">
        <f>IF(BE3="forecast",BD30,('BS - CF Actuals'!BH100-BD290))</f>
        <v>1114152.7400000002</v>
      </c>
      <c r="BF30" s="198">
        <f>IF(BF3="forecast",BE30,('BS - CF Actuals'!BI100-BE290))</f>
        <v>1114152.7400000002</v>
      </c>
      <c r="BG30" s="198">
        <f>IF(BG3="forecast",BF30,('BS - CF Actuals'!BJ100-BF290))</f>
        <v>1114152.7400000002</v>
      </c>
      <c r="BH30" s="198">
        <f>IF(BH3="forecast",BG30,('BS - CF Actuals'!BK100-BG290))</f>
        <v>1114152.7400000002</v>
      </c>
      <c r="BI30" s="198">
        <f>IF(BI3="forecast",BH30,('BS - CF Actuals'!BL100-BH290))</f>
        <v>1114152.7400000002</v>
      </c>
      <c r="BJ30" s="198">
        <f>IF(BJ3="forecast",BI30,('BS - CF Actuals'!BM100-BI290))</f>
        <v>1114152.7400000002</v>
      </c>
      <c r="BK30" s="198">
        <f>IF(BK3="forecast",BJ30,('BS - CF Actuals'!BN100-BJ290))</f>
        <v>1114152.7400000002</v>
      </c>
      <c r="BL30" s="198">
        <f>IF(BL3="forecast",BK30,('BS - CF Actuals'!BO100-BK290))</f>
        <v>1114152.7400000002</v>
      </c>
      <c r="BM30" s="198">
        <f>IF(BM3="forecast",BL30,('BS - CF Actuals'!BP100-BL290))</f>
        <v>1114152.7400000002</v>
      </c>
      <c r="BN30" s="198">
        <f>IF(BN3="forecast",BM30,('BS - CF Actuals'!BQ100-BM290))</f>
        <v>1114152.7400000002</v>
      </c>
      <c r="BO30" s="198">
        <f>IF(BO3="forecast",BN30,('BS - CF Actuals'!BR100-BN290))</f>
        <v>1114152.7400000002</v>
      </c>
      <c r="BP30" s="198">
        <f>IF(BP3="forecast",BO30,('BS - CF Actuals'!BS100-BO290))</f>
        <v>1114152.7400000002</v>
      </c>
      <c r="BQ30" s="198">
        <f>IF(BQ3="forecast",BP30,('BS - CF Actuals'!BT100-BP290))</f>
        <v>1114152.7400000002</v>
      </c>
      <c r="BR30" s="198">
        <f>IF(BR3="forecast",BQ30,('BS - CF Actuals'!BU100-BQ290))</f>
        <v>1114152.7400000002</v>
      </c>
      <c r="BS30" s="198">
        <f>IF(BS3="forecast",BR30,('BS - CF Actuals'!BV100-BR290))</f>
        <v>1114152.7400000002</v>
      </c>
      <c r="BT30" s="198">
        <f>IF(BT3="forecast",BS30,('BS - CF Actuals'!BW100-BS290))</f>
        <v>1114152.7400000002</v>
      </c>
      <c r="BU30" s="198">
        <f>IF(BU3="forecast",BT30,('BS - CF Actuals'!BX100-BT290))</f>
        <v>1114152.7400000002</v>
      </c>
      <c r="BV30" s="198">
        <f>IF(BV3="forecast",BU30,('BS - CF Actuals'!BY100-BU290))</f>
        <v>1114152.7400000002</v>
      </c>
      <c r="BW30" s="198">
        <f>IF(BW3="forecast",BV30,('BS - CF Actuals'!BZ100-BV290))</f>
        <v>1114152.7400000002</v>
      </c>
      <c r="BX30" s="198">
        <f>IF(BX3="forecast",BW30,('BS - CF Actuals'!CA100-BW290))</f>
        <v>1114152.7400000002</v>
      </c>
      <c r="BY30" s="198">
        <f>IF(BY3="forecast",BX30,('BS - CF Actuals'!CB100-BX290))</f>
        <v>1114152.7400000002</v>
      </c>
    </row>
    <row r="31" spans="1:77" x14ac:dyDescent="0.25">
      <c r="B31" s="27" t="s">
        <v>366</v>
      </c>
      <c r="D31" s="198">
        <f>IF(D3="forecast",EzTxtNote!$L4,'BS - CF Actuals'!H105)</f>
        <v>0</v>
      </c>
      <c r="E31" s="198">
        <f>IF(E3="forecast",EzTxtNote!$L4,'BS - CF Actuals'!I105)</f>
        <v>0</v>
      </c>
      <c r="F31" s="198">
        <f>IF(F3="forecast",EzTxtNote!$L4,'BS - CF Actuals'!J105)</f>
        <v>0</v>
      </c>
      <c r="G31" s="198">
        <f>IF(G3="forecast",EzTxtNote!$L4,'BS - CF Actuals'!K105)</f>
        <v>0</v>
      </c>
      <c r="H31" s="198">
        <f>IF(H3="forecast",EzTxtNote!$L4,'BS - CF Actuals'!L105)</f>
        <v>0</v>
      </c>
      <c r="I31" s="198">
        <f>IF(I3="forecast",EzTxtNote!$L4,'BS - CF Actuals'!M105)</f>
        <v>0</v>
      </c>
      <c r="J31" s="198">
        <f>IF(J3="forecast",EzTxtNote!$L4,'BS - CF Actuals'!N105)</f>
        <v>0</v>
      </c>
      <c r="K31" s="198">
        <f>IF(K3="forecast",EzTxtNote!$L4,'BS - CF Actuals'!O105)</f>
        <v>0</v>
      </c>
      <c r="L31" s="198">
        <f>IF(L3="forecast",EzTxtNote!$L4,'BS - CF Actuals'!P105)</f>
        <v>0</v>
      </c>
      <c r="M31" s="198">
        <f>IF(M3="forecast",EzTxtNote!$L4,'BS - CF Actuals'!Q105)</f>
        <v>0</v>
      </c>
      <c r="N31" s="198">
        <f>IF(N3="forecast",EzTxtNote!$L4,'BS - CF Actuals'!R105)</f>
        <v>0</v>
      </c>
      <c r="O31" s="198">
        <f>IF(O3="forecast",EzTxtNote!$L4,'BS - CF Actuals'!S105)</f>
        <v>0</v>
      </c>
      <c r="P31" s="198">
        <f>IF(P3="forecast",EzTxtNote!$L4,'BS - CF Actuals'!T105)</f>
        <v>0</v>
      </c>
      <c r="Q31" s="198">
        <f>IF(Q3="forecast",EzTxtNote!$L4,'BS - CF Actuals'!U105)</f>
        <v>2480000</v>
      </c>
      <c r="R31" s="198">
        <f>IF(R3="forecast",EzTxtNote!$L4,'BS - CF Actuals'!V105)</f>
        <v>2419550.0099999998</v>
      </c>
      <c r="S31" s="198">
        <v>2359283</v>
      </c>
      <c r="T31" s="198">
        <v>2299198.98</v>
      </c>
      <c r="U31" s="198">
        <v>2221666.66</v>
      </c>
      <c r="V31" s="198">
        <f>IF(V3="forecast",EzTxtNote!$L8, 'BS - CF Actuals'!Z105)</f>
        <v>2118333.33</v>
      </c>
      <c r="W31" s="198">
        <f>IF(W3="forecast",EzTxtNote!$L8, 'BS - CF Actuals'!AA105)</f>
        <v>2015000</v>
      </c>
      <c r="X31" s="198">
        <f>IF(X3="forecast",EzTxtNote!$L8, 'BS - CF Actuals'!AB105)</f>
        <v>1911666.67</v>
      </c>
      <c r="Y31" s="198">
        <f>IF(Y3="forecast",EzTxtNote!$L11, 'BS - CF Actuals'!AC105)</f>
        <v>1808333.34</v>
      </c>
      <c r="Z31" s="198">
        <f>IF(Z3="forecast",EzTxtNote!$L12, 'BS - CF Actuals'!AD105)</f>
        <v>1705000.01</v>
      </c>
      <c r="AA31" s="198">
        <f>IF(AA3="forecast",EzTxtNote!$L13, 'BS - CF Actuals'!AE105)</f>
        <v>1601666.68</v>
      </c>
      <c r="AB31" s="198">
        <f>IF(AB3="forecast",EzTxtNote!$L14, 'BS - CF Actuals'!AF105)</f>
        <v>1498333.35</v>
      </c>
      <c r="AC31" s="198">
        <f>IF(AC3="forecast",EzTxtNote!$L15, 'BS - CF Actuals'!AG105)</f>
        <v>1395000.02</v>
      </c>
      <c r="AD31" s="198">
        <f>IF(AD3="forecast",EzTxtNote!$L15, 'BS - CF Actuals'!AH105)</f>
        <v>1183030.8505807642</v>
      </c>
      <c r="AE31" s="198">
        <f>IF(AE3="forecast",EzTxtNote!$L15, 'BS - CF Actuals'!AI105)</f>
        <v>1183030.8505807642</v>
      </c>
      <c r="AF31" s="198">
        <f>IF(AF3="forecast",EzTxtNote!$L15, 'BS - CF Actuals'!AJ105)</f>
        <v>1183030.8505807642</v>
      </c>
      <c r="AG31" s="198">
        <f>IF(AG3="forecast",EzTxtNote!$L15, 'BS - CF Actuals'!AK105)</f>
        <v>1183030.8505807642</v>
      </c>
      <c r="AH31" s="198">
        <f>IF(AH3="forecast",EzTxtNote!$L15, 'BS - CF Actuals'!AL105)</f>
        <v>1183030.8505807642</v>
      </c>
      <c r="AI31" s="198">
        <f>IF(AI3="forecast",EzTxtNote!$L15, 'BS - CF Actuals'!AM105)</f>
        <v>1183030.8505807642</v>
      </c>
      <c r="AJ31" s="198">
        <f>IF(AJ3="forecast",EzTxtNote!$L15, 'BS - CF Actuals'!AN105)</f>
        <v>1183030.8505807642</v>
      </c>
      <c r="AK31" s="198">
        <f>IF(AK3="forecast",EzTxtNote!$L15, 'BS - CF Actuals'!AO105)</f>
        <v>1183030.8505807642</v>
      </c>
      <c r="AL31" s="198">
        <f>IF(AL3="forecast",EzTxtNote!$L15, 'BS - CF Actuals'!AP105)</f>
        <v>1183030.8505807642</v>
      </c>
      <c r="AM31" s="198">
        <f>IF(AM3="forecast",EzTxtNote!$L15, 'BS - CF Actuals'!AQ105)</f>
        <v>1183030.8505807642</v>
      </c>
      <c r="AN31" s="198">
        <f>IF(AN3="forecast",EzTxtNote!$L15, 'BS - CF Actuals'!AR105)</f>
        <v>1183030.8505807642</v>
      </c>
      <c r="AO31" s="198">
        <f>IF(AO3="forecast",EzTxtNote!$L15, 'BS - CF Actuals'!AS105)</f>
        <v>1183030.8505807642</v>
      </c>
      <c r="AP31" s="198">
        <f>IF(AP3="forecast",EzTxtNote!$L15, 'BS - CF Actuals'!AT105)</f>
        <v>1183030.8505807642</v>
      </c>
      <c r="AQ31" s="198">
        <f>IF(AQ3="forecast",EzTxtNote!$L15, 'BS - CF Actuals'!AU105)</f>
        <v>1183030.8505807642</v>
      </c>
      <c r="AR31" s="198">
        <f>IF(AR3="forecast",EzTxtNote!$L15, 'BS - CF Actuals'!AV105)</f>
        <v>1183030.8505807642</v>
      </c>
      <c r="AS31" s="198">
        <f>IF(AS3="forecast",EzTxtNote!$L15, 'BS - CF Actuals'!AW105)</f>
        <v>1183030.8505807642</v>
      </c>
      <c r="AT31" s="198">
        <f>IF(AT3="forecast",EzTxtNote!$L15, 'BS - CF Actuals'!AX105)</f>
        <v>1183030.8505807642</v>
      </c>
      <c r="AU31" s="198">
        <f>IF(AU3="forecast",EzTxtNote!$L15, 'BS - CF Actuals'!AY105)</f>
        <v>1183030.8505807642</v>
      </c>
      <c r="AV31" s="198">
        <f>IF(AV3="forecast",EzTxtNote!$L15, 'BS - CF Actuals'!AZ105)</f>
        <v>1183030.8505807642</v>
      </c>
      <c r="AW31" s="198">
        <f>IF(AW3="forecast",EzTxtNote!$L15, 'BS - CF Actuals'!BA105)</f>
        <v>1183030.8505807642</v>
      </c>
      <c r="AX31" s="198">
        <f>IF(AX3="forecast",EzTxtNote!$L15, 'BS - CF Actuals'!BB105)</f>
        <v>1183030.8505807642</v>
      </c>
      <c r="AY31" s="198">
        <f>IF(AY3="forecast",EzTxtNote!$L15, 'BS - CF Actuals'!BC105)</f>
        <v>1183030.8505807642</v>
      </c>
      <c r="AZ31" s="198">
        <f>IF(AZ3="forecast",EzTxtNote!$L15, 'BS - CF Actuals'!BD105)</f>
        <v>1183030.8505807642</v>
      </c>
      <c r="BA31" s="198">
        <f>IF(BA3="forecast",EzTxtNote!$L15, 'BS - CF Actuals'!BE105)</f>
        <v>1183030.8505807642</v>
      </c>
      <c r="BB31" s="198">
        <f>IF(BB3="forecast",EzTxtNote!$L15, 'BS - CF Actuals'!BF105)</f>
        <v>1183030.8505807642</v>
      </c>
      <c r="BC31" s="198">
        <f>IF(BC3="forecast",EzTxtNote!$L15, 'BS - CF Actuals'!BG105)</f>
        <v>1183030.8505807642</v>
      </c>
      <c r="BD31" s="198">
        <f>IF(BD3="forecast",EzTxtNote!$L15, 'BS - CF Actuals'!BH105)</f>
        <v>1183030.8505807642</v>
      </c>
      <c r="BE31" s="198">
        <f>IF(BE3="forecast",EzTxtNote!$L15, 'BS - CF Actuals'!BI105)</f>
        <v>1183030.8505807642</v>
      </c>
      <c r="BF31" s="198">
        <f>IF(BF3="forecast",EzTxtNote!$L15, 'BS - CF Actuals'!BJ105)</f>
        <v>1183030.8505807642</v>
      </c>
      <c r="BG31" s="198">
        <f>IF(BG3="forecast",EzTxtNote!$L15, 'BS - CF Actuals'!BK105)</f>
        <v>1183030.8505807642</v>
      </c>
      <c r="BH31" s="198">
        <f>IF(BH3="forecast",EzTxtNote!$L15, 'BS - CF Actuals'!BL105)</f>
        <v>1183030.8505807642</v>
      </c>
      <c r="BI31" s="198">
        <f>IF(BI3="forecast",EzTxtNote!$L15, 'BS - CF Actuals'!BM105)</f>
        <v>1183030.8505807642</v>
      </c>
      <c r="BJ31" s="198">
        <f>IF(BJ3="forecast",EzTxtNote!$L15, 'BS - CF Actuals'!BN105)</f>
        <v>1183030.8505807642</v>
      </c>
      <c r="BK31" s="198">
        <f>IF(BK3="forecast",EzTxtNote!$L15, 'BS - CF Actuals'!BO105)</f>
        <v>1183030.8505807642</v>
      </c>
      <c r="BL31" s="198">
        <f>IF(BL3="forecast",EzTxtNote!$L15, 'BS - CF Actuals'!BP105)</f>
        <v>1183030.8505807642</v>
      </c>
      <c r="BM31" s="198">
        <f>IF(BM3="forecast",EzTxtNote!$L15, 'BS - CF Actuals'!BQ105)</f>
        <v>1183030.8505807642</v>
      </c>
      <c r="BN31" s="198">
        <f>IF(BN3="forecast",EzTxtNote!$L15, 'BS - CF Actuals'!BR105)</f>
        <v>1183030.8505807642</v>
      </c>
      <c r="BO31" s="198">
        <f>IF(BO3="forecast",EzTxtNote!$L15, 'BS - CF Actuals'!BS105)</f>
        <v>1183030.8505807642</v>
      </c>
      <c r="BP31" s="198">
        <f>IF(BP3="forecast",EzTxtNote!$L15, 'BS - CF Actuals'!BT105)</f>
        <v>1183030.8505807642</v>
      </c>
      <c r="BQ31" s="198">
        <f>IF(BQ3="forecast",EzTxtNote!$L15, 'BS - CF Actuals'!BU105)</f>
        <v>1183030.8505807642</v>
      </c>
      <c r="BR31" s="198">
        <f>IF(BR3="forecast",EzTxtNote!$L15, 'BS - CF Actuals'!BV105)</f>
        <v>1183030.8505807642</v>
      </c>
      <c r="BS31" s="198">
        <f>IF(BS3="forecast",EzTxtNote!$L15, 'BS - CF Actuals'!BW105)</f>
        <v>1183030.8505807642</v>
      </c>
      <c r="BT31" s="198">
        <f>IF(BT3="forecast",EzTxtNote!$L15, 'BS - CF Actuals'!BX105)</f>
        <v>1183030.8505807642</v>
      </c>
      <c r="BU31" s="198">
        <f>IF(BU3="forecast",EzTxtNote!$L15, 'BS - CF Actuals'!BY105)</f>
        <v>1183030.8505807642</v>
      </c>
      <c r="BV31" s="198">
        <f>IF(BV3="forecast",EzTxtNote!$L15, 'BS - CF Actuals'!BZ105)</f>
        <v>1183030.8505807642</v>
      </c>
      <c r="BW31" s="198">
        <f>IF(BW3="forecast",EzTxtNote!$L15, 'BS - CF Actuals'!CA105)</f>
        <v>1183030.8505807642</v>
      </c>
      <c r="BX31" s="198">
        <f>IF(BX3="forecast",EzTxtNote!$L27, 'BS - CF Actuals'!CB105)</f>
        <v>0</v>
      </c>
      <c r="BY31" s="198">
        <f>IF(BY3="forecast",EzTxtNote!$L27, 'BS - CF Actuals'!CC105)</f>
        <v>0</v>
      </c>
    </row>
    <row r="32" spans="1:77" x14ac:dyDescent="0.25">
      <c r="B32" s="230" t="s">
        <v>438</v>
      </c>
      <c r="D32" s="107">
        <f>IF(D3="forecast",Debt!$L4,'BS - CF Actuals'!H104)</f>
        <v>0</v>
      </c>
      <c r="E32" s="107">
        <f>IF(E3="forecast",Debt!$L4,'BS - CF Actuals'!I104)</f>
        <v>0</v>
      </c>
      <c r="F32" s="107">
        <f>IF(F3="forecast",Debt!$L4,'BS - CF Actuals'!J104)</f>
        <v>0</v>
      </c>
      <c r="G32" s="107">
        <f>IF(G3="forecast",Debt!$L4,'BS - CF Actuals'!K104)</f>
        <v>0</v>
      </c>
      <c r="H32" s="107">
        <f>IF(H3="forecast",Debt!$L4,'BS - CF Actuals'!L104)</f>
        <v>0</v>
      </c>
      <c r="I32" s="107">
        <f>IF(I3="forecast",Debt!$L4,'BS - CF Actuals'!M104)</f>
        <v>0</v>
      </c>
      <c r="J32" s="107">
        <f>IF(J3="forecast",Debt!$L4,'BS - CF Actuals'!N104)</f>
        <v>0</v>
      </c>
      <c r="K32" s="107">
        <f>IF(K3="forecast",Debt!$L4,'BS - CF Actuals'!O104)</f>
        <v>0</v>
      </c>
      <c r="L32" s="107">
        <f>IF(L3="forecast",Debt!$L4,'BS - CF Actuals'!P104)</f>
        <v>0</v>
      </c>
      <c r="M32" s="107">
        <f>IF(M3="forecast",Debt!$L4,'BS - CF Actuals'!Q104)</f>
        <v>0</v>
      </c>
      <c r="N32" s="107">
        <f>IF(N3="forecast",Debt!$L4,'BS - CF Actuals'!R104)</f>
        <v>0</v>
      </c>
      <c r="O32" s="107">
        <f>IF(O3="forecast",Debt!$L4,'BS - CF Actuals'!S104)</f>
        <v>0</v>
      </c>
      <c r="P32" s="107">
        <f>IF(P3="forecast",Debt!$L4,'BS - CF Actuals'!T104)</f>
        <v>0</v>
      </c>
      <c r="Q32" s="107">
        <f>IF(Q3="forecast",Debt!$L4,'BS - CF Actuals'!U104)</f>
        <v>10250000</v>
      </c>
      <c r="R32" s="107">
        <f>IF(R3="forecast",Debt!$L4,'BS - CF Actuals'!V104)</f>
        <v>10250000</v>
      </c>
      <c r="S32" s="107">
        <f>Debt!$L5</f>
        <v>10250000</v>
      </c>
      <c r="T32" s="107">
        <f>Debt!$L6</f>
        <v>10250000</v>
      </c>
      <c r="U32" s="107">
        <f>Debt!$L7</f>
        <v>10250000</v>
      </c>
      <c r="V32" s="107">
        <f>Debt!$L8</f>
        <v>10250000</v>
      </c>
      <c r="W32" s="107">
        <f>Debt!$L8</f>
        <v>10250000</v>
      </c>
      <c r="X32" s="107">
        <f>Debt!$L10</f>
        <v>10250000</v>
      </c>
      <c r="Y32" s="107">
        <f>Debt!$L11</f>
        <v>10250000</v>
      </c>
      <c r="Z32" s="107">
        <f>Debt!$L11</f>
        <v>10250000</v>
      </c>
      <c r="AA32" s="107">
        <f>Debt!$L11</f>
        <v>10250000</v>
      </c>
      <c r="AB32" s="107">
        <f>Debt!$L11</f>
        <v>10250000</v>
      </c>
      <c r="AC32" s="107">
        <f>Debt!$L11</f>
        <v>10250000</v>
      </c>
      <c r="AD32" s="107">
        <f>Debt!$L11</f>
        <v>10250000</v>
      </c>
      <c r="AE32" s="107">
        <f>Debt!$L11</f>
        <v>10250000</v>
      </c>
      <c r="AF32" s="107">
        <f>Debt!$L11</f>
        <v>10250000</v>
      </c>
      <c r="AG32" s="107">
        <f>Debt!$L11</f>
        <v>10250000</v>
      </c>
      <c r="AH32" s="107">
        <f>Debt!$L11</f>
        <v>10250000</v>
      </c>
      <c r="AI32" s="107">
        <f>Debt!$L11</f>
        <v>10250000</v>
      </c>
      <c r="AJ32" s="107">
        <f>Debt!$L11</f>
        <v>10250000</v>
      </c>
      <c r="AK32" s="107">
        <f>Debt!$L11</f>
        <v>10250000</v>
      </c>
      <c r="AL32" s="107">
        <f>Debt!$L11</f>
        <v>10250000</v>
      </c>
      <c r="AM32" s="107">
        <f>Debt!$L11</f>
        <v>10250000</v>
      </c>
      <c r="AN32" s="107">
        <f>Debt!$L11</f>
        <v>10250000</v>
      </c>
      <c r="AO32" s="107">
        <f>Debt!$L11</f>
        <v>10250000</v>
      </c>
      <c r="AP32" s="107">
        <f>Debt!$L11</f>
        <v>10250000</v>
      </c>
      <c r="AQ32" s="107">
        <f>Debt!$L11</f>
        <v>10250000</v>
      </c>
      <c r="AR32" s="107">
        <f>Debt!$L11</f>
        <v>10250000</v>
      </c>
      <c r="AS32" s="107">
        <f>Debt!$L11</f>
        <v>10250000</v>
      </c>
      <c r="AT32" s="107">
        <f>Debt!$L11</f>
        <v>10250000</v>
      </c>
      <c r="AU32" s="107">
        <f>Debt!$L11</f>
        <v>10250000</v>
      </c>
      <c r="AV32" s="107">
        <f>Debt!$L11</f>
        <v>10250000</v>
      </c>
      <c r="AW32" s="107">
        <f>Debt!$L11</f>
        <v>10250000</v>
      </c>
      <c r="AX32" s="107">
        <f>Debt!$L11</f>
        <v>10250000</v>
      </c>
      <c r="AY32" s="107">
        <f>Debt!$L11</f>
        <v>10250000</v>
      </c>
      <c r="AZ32" s="107">
        <f>Debt!$L11</f>
        <v>10250000</v>
      </c>
      <c r="BA32" s="107">
        <f>Debt!$L11</f>
        <v>10250000</v>
      </c>
      <c r="BB32" s="107">
        <f>Debt!$L11</f>
        <v>10250000</v>
      </c>
      <c r="BC32" s="107">
        <f>Debt!$L11</f>
        <v>10250000</v>
      </c>
      <c r="BD32" s="107">
        <f>Debt!$L11</f>
        <v>10250000</v>
      </c>
      <c r="BE32" s="107">
        <f>Debt!$L11</f>
        <v>10250000</v>
      </c>
      <c r="BF32" s="107">
        <f>Debt!$L11</f>
        <v>10250000</v>
      </c>
      <c r="BG32" s="107">
        <f>Debt!$L11</f>
        <v>10250000</v>
      </c>
      <c r="BH32" s="107">
        <f>Debt!$L11</f>
        <v>10250000</v>
      </c>
      <c r="BI32" s="107">
        <f>Debt!$L11</f>
        <v>10250000</v>
      </c>
      <c r="BJ32" s="107">
        <f>Debt!$L11</f>
        <v>10250000</v>
      </c>
      <c r="BK32" s="107">
        <f>Debt!$L11</f>
        <v>10250000</v>
      </c>
      <c r="BL32" s="107">
        <f>Debt!$L11</f>
        <v>10250000</v>
      </c>
      <c r="BM32" s="107">
        <f>Debt!$L11</f>
        <v>10250000</v>
      </c>
      <c r="BN32" s="107">
        <f>Debt!$L11</f>
        <v>10250000</v>
      </c>
      <c r="BO32" s="107">
        <f>Debt!$L11</f>
        <v>10250000</v>
      </c>
      <c r="BP32" s="107">
        <f>Debt!$L11</f>
        <v>10250000</v>
      </c>
      <c r="BQ32" s="107">
        <f>Debt!$L11</f>
        <v>10250000</v>
      </c>
      <c r="BR32" s="107">
        <f>Debt!$L11</f>
        <v>10250000</v>
      </c>
      <c r="BS32" s="107">
        <f>Debt!$L11</f>
        <v>10250000</v>
      </c>
      <c r="BT32" s="107">
        <f>Debt!$L11</f>
        <v>10250000</v>
      </c>
      <c r="BU32" s="107">
        <f>Debt!$L11</f>
        <v>10250000</v>
      </c>
      <c r="BV32" s="107">
        <f>Debt!$L11</f>
        <v>10250000</v>
      </c>
      <c r="BW32" s="107">
        <f>Debt!$L11</f>
        <v>10250000</v>
      </c>
      <c r="BX32" s="107">
        <f>Debt!$L11</f>
        <v>10250000</v>
      </c>
      <c r="BY32" s="107">
        <f>Debt!$L11</f>
        <v>10250000</v>
      </c>
    </row>
    <row r="33" spans="1:77" s="101" customFormat="1" ht="13" x14ac:dyDescent="0.3">
      <c r="A33" s="105" t="s">
        <v>107</v>
      </c>
      <c r="D33" s="112">
        <f t="shared" ref="D33:M33" si="23">SUM(D28:D32)</f>
        <v>1522016.02</v>
      </c>
      <c r="E33" s="112">
        <f t="shared" si="23"/>
        <v>2646539.6800000002</v>
      </c>
      <c r="F33" s="112">
        <f t="shared" si="23"/>
        <v>2607023.5811143843</v>
      </c>
      <c r="G33" s="112">
        <f t="shared" si="23"/>
        <v>2616141.9249593886</v>
      </c>
      <c r="H33" s="112">
        <f t="shared" si="23"/>
        <v>2608647.0815557358</v>
      </c>
      <c r="I33" s="112">
        <f t="shared" si="23"/>
        <v>3692027.4764396944</v>
      </c>
      <c r="J33" s="112">
        <f t="shared" si="23"/>
        <v>3874430.4043792514</v>
      </c>
      <c r="K33" s="112">
        <f t="shared" si="23"/>
        <v>3738367.5320452945</v>
      </c>
      <c r="L33" s="112">
        <f t="shared" si="23"/>
        <v>3746859.2204646897</v>
      </c>
      <c r="M33" s="112">
        <f t="shared" si="23"/>
        <v>3611475.5125441495</v>
      </c>
      <c r="N33" s="112">
        <f t="shared" ref="N33:AO33" si="24">SUM(N28:N32)</f>
        <v>3686568.5959384372</v>
      </c>
      <c r="O33" s="112">
        <f t="shared" si="24"/>
        <v>3777724.1605331381</v>
      </c>
      <c r="P33" s="112">
        <f t="shared" si="24"/>
        <v>3634138.6391822021</v>
      </c>
      <c r="Q33" s="112">
        <f>SUM(Q28:Q32)</f>
        <v>15588258.539999999</v>
      </c>
      <c r="R33" s="112">
        <f t="shared" si="24"/>
        <v>16547680.91</v>
      </c>
      <c r="S33" s="112">
        <f>SUM(S28:S32)</f>
        <v>16301232.65</v>
      </c>
      <c r="T33" s="112">
        <f t="shared" si="24"/>
        <v>16349906.439999999</v>
      </c>
      <c r="U33" s="112">
        <f t="shared" si="24"/>
        <v>16272421.540000001</v>
      </c>
      <c r="V33" s="112">
        <f t="shared" si="24"/>
        <v>16009592.800000001</v>
      </c>
      <c r="W33" s="112">
        <f>SUM(W28:W32)</f>
        <v>16174999.51</v>
      </c>
      <c r="X33" s="112">
        <f t="shared" si="24"/>
        <v>16223345.369999999</v>
      </c>
      <c r="Y33" s="112">
        <f t="shared" ref="Y33" si="25">SUM(Y28:Y32)</f>
        <v>15848722.380000001</v>
      </c>
      <c r="Z33" s="112">
        <f>SUM(Z28:Z32)</f>
        <v>16345515.989999998</v>
      </c>
      <c r="AA33" s="112">
        <f t="shared" si="24"/>
        <v>15980525.32</v>
      </c>
      <c r="AB33" s="112">
        <f t="shared" si="24"/>
        <v>15805556.76</v>
      </c>
      <c r="AC33" s="112">
        <f t="shared" si="24"/>
        <v>15392920.800000001</v>
      </c>
      <c r="AD33" s="112">
        <f t="shared" si="24"/>
        <v>15446407.770066503</v>
      </c>
      <c r="AE33" s="112">
        <f t="shared" si="24"/>
        <v>15470281.619041273</v>
      </c>
      <c r="AF33" s="112">
        <f t="shared" si="24"/>
        <v>15527665.419630583</v>
      </c>
      <c r="AG33" s="112">
        <f t="shared" si="24"/>
        <v>15579088.909717953</v>
      </c>
      <c r="AH33" s="112">
        <f t="shared" si="24"/>
        <v>15584556.870715387</v>
      </c>
      <c r="AI33" s="112">
        <f t="shared" si="24"/>
        <v>15605610.026001371</v>
      </c>
      <c r="AJ33" s="112">
        <f t="shared" si="24"/>
        <v>15602223.95891086</v>
      </c>
      <c r="AK33" s="112">
        <f t="shared" si="24"/>
        <v>15577571.553867619</v>
      </c>
      <c r="AL33" s="112">
        <f t="shared" si="24"/>
        <v>15659328.572500017</v>
      </c>
      <c r="AM33" s="112">
        <f t="shared" si="24"/>
        <v>15699889.386088651</v>
      </c>
      <c r="AN33" s="112">
        <f t="shared" si="24"/>
        <v>15645563.593956295</v>
      </c>
      <c r="AO33" s="112">
        <f t="shared" si="24"/>
        <v>15856155.168710276</v>
      </c>
      <c r="AP33" s="112">
        <f t="shared" ref="AP33:BA33" si="26">SUM(AP28:AP32)</f>
        <v>15705556.483493384</v>
      </c>
      <c r="AQ33" s="112">
        <f t="shared" si="26"/>
        <v>15739610.644701652</v>
      </c>
      <c r="AR33" s="112">
        <f t="shared" si="26"/>
        <v>15764604.239255935</v>
      </c>
      <c r="AS33" s="112">
        <f t="shared" si="26"/>
        <v>15786807.246605501</v>
      </c>
      <c r="AT33" s="112">
        <f t="shared" si="26"/>
        <v>15806869.417390186</v>
      </c>
      <c r="AU33" s="112">
        <f t="shared" si="26"/>
        <v>15827665.602180459</v>
      </c>
      <c r="AV33" s="112">
        <f t="shared" si="26"/>
        <v>15847720.850129917</v>
      </c>
      <c r="AW33" s="112">
        <f t="shared" si="26"/>
        <v>15867255.164259508</v>
      </c>
      <c r="AX33" s="112">
        <f t="shared" si="26"/>
        <v>15888903.794671135</v>
      </c>
      <c r="AY33" s="112">
        <f t="shared" si="26"/>
        <v>15909560.346592221</v>
      </c>
      <c r="AZ33" s="112">
        <f t="shared" si="26"/>
        <v>15929095.639966428</v>
      </c>
      <c r="BA33" s="112">
        <f t="shared" si="26"/>
        <v>16189126.753940269</v>
      </c>
      <c r="BB33" s="112">
        <f t="shared" ref="BB33:BK33" si="27">SUM(BB28:BB32)</f>
        <v>15269885.480589386</v>
      </c>
      <c r="BC33" s="112">
        <f t="shared" si="27"/>
        <v>15272495.798799807</v>
      </c>
      <c r="BD33" s="112">
        <f t="shared" si="27"/>
        <v>15272590.689824279</v>
      </c>
      <c r="BE33" s="112">
        <f t="shared" si="27"/>
        <v>15272579.524231933</v>
      </c>
      <c r="BF33" s="112">
        <f t="shared" si="27"/>
        <v>15272556.875882074</v>
      </c>
      <c r="BG33" s="112">
        <f t="shared" si="27"/>
        <v>15272582.415065762</v>
      </c>
      <c r="BH33" s="112">
        <f t="shared" si="27"/>
        <v>15272568.0553344</v>
      </c>
      <c r="BI33" s="112">
        <f t="shared" si="27"/>
        <v>15272573.594358876</v>
      </c>
      <c r="BJ33" s="112">
        <f t="shared" si="27"/>
        <v>15272680.248827109</v>
      </c>
      <c r="BK33" s="112">
        <f t="shared" si="27"/>
        <v>15272753.658595903</v>
      </c>
      <c r="BL33" s="112">
        <f t="shared" ref="BL33:BW33" si="28">SUM(BL28:BL32)</f>
        <v>15272809.598428711</v>
      </c>
      <c r="BM33" s="112">
        <f t="shared" si="28"/>
        <v>15518209.557619737</v>
      </c>
      <c r="BN33" s="112">
        <f t="shared" si="28"/>
        <v>15213453.46781316</v>
      </c>
      <c r="BO33" s="112">
        <f t="shared" si="28"/>
        <v>15216034.413307823</v>
      </c>
      <c r="BP33" s="112">
        <f t="shared" si="28"/>
        <v>15216096.765615977</v>
      </c>
      <c r="BQ33" s="112">
        <f t="shared" si="28"/>
        <v>15216156.478394743</v>
      </c>
      <c r="BR33" s="112">
        <f t="shared" si="28"/>
        <v>15216222.170124996</v>
      </c>
      <c r="BS33" s="112">
        <f t="shared" si="28"/>
        <v>15216295.297909826</v>
      </c>
      <c r="BT33" s="112">
        <f t="shared" si="28"/>
        <v>15216372.464129359</v>
      </c>
      <c r="BU33" s="112">
        <f t="shared" si="28"/>
        <v>15216457.329623807</v>
      </c>
      <c r="BV33" s="112">
        <f t="shared" si="28"/>
        <v>15216548.87861193</v>
      </c>
      <c r="BW33" s="112">
        <f t="shared" si="28"/>
        <v>15216639.238852024</v>
      </c>
      <c r="BX33" s="112">
        <f t="shared" ref="BX33:BY33" si="29">SUM(BX28:BX32)</f>
        <v>14033700.229099052</v>
      </c>
      <c r="BY33" s="112">
        <f t="shared" si="29"/>
        <v>14285309.003938375</v>
      </c>
    </row>
    <row r="34" spans="1:77" ht="6" customHeight="1" x14ac:dyDescent="0.3">
      <c r="A34" s="23"/>
      <c r="D34" s="107"/>
      <c r="E34" s="107"/>
      <c r="F34" s="107"/>
      <c r="G34" s="107"/>
      <c r="H34" s="107"/>
      <c r="I34" s="107"/>
      <c r="J34" s="107"/>
      <c r="K34" s="107"/>
      <c r="L34" s="107"/>
      <c r="M34" s="107"/>
      <c r="N34" s="107"/>
      <c r="O34" s="107"/>
      <c r="P34" s="107"/>
      <c r="Q34" s="107"/>
      <c r="R34" s="107"/>
      <c r="S34" s="107"/>
      <c r="T34" s="107"/>
      <c r="U34" s="107"/>
      <c r="V34" s="107"/>
      <c r="W34" s="107"/>
      <c r="X34" s="107"/>
      <c r="Y34" s="107"/>
      <c r="Z34" s="107"/>
      <c r="AA34" s="107"/>
      <c r="AB34" s="107"/>
      <c r="AC34" s="107"/>
      <c r="AD34" s="107"/>
      <c r="AE34" s="107"/>
      <c r="AF34" s="107"/>
      <c r="AG34" s="107"/>
      <c r="AH34" s="107"/>
      <c r="AI34" s="107"/>
      <c r="AJ34" s="107"/>
      <c r="AK34" s="107"/>
      <c r="AL34" s="107"/>
      <c r="AM34" s="107"/>
      <c r="AN34" s="107"/>
      <c r="AO34" s="107"/>
      <c r="AP34" s="107"/>
      <c r="AQ34" s="107"/>
      <c r="AR34" s="107"/>
      <c r="AS34" s="107"/>
      <c r="AT34" s="107"/>
      <c r="AU34" s="107"/>
      <c r="AV34" s="107"/>
      <c r="AW34" s="107"/>
      <c r="AX34" s="107"/>
      <c r="AY34" s="107"/>
      <c r="AZ34" s="107"/>
      <c r="BA34" s="107"/>
      <c r="BB34" s="107"/>
      <c r="BC34" s="107"/>
      <c r="BD34" s="107"/>
      <c r="BE34" s="107"/>
      <c r="BF34" s="107"/>
      <c r="BG34" s="107"/>
      <c r="BH34" s="107"/>
      <c r="BI34" s="107"/>
      <c r="BJ34" s="107"/>
      <c r="BK34" s="107"/>
      <c r="BL34" s="107"/>
      <c r="BM34" s="107"/>
      <c r="BN34" s="107"/>
      <c r="BO34" s="107"/>
      <c r="BP34" s="107"/>
      <c r="BQ34" s="107"/>
      <c r="BR34" s="107"/>
      <c r="BS34" s="107"/>
      <c r="BT34" s="107"/>
      <c r="BU34" s="107"/>
      <c r="BV34" s="107"/>
      <c r="BW34" s="107"/>
      <c r="BX34" s="107"/>
      <c r="BY34" s="107"/>
    </row>
    <row r="35" spans="1:77" x14ac:dyDescent="0.25">
      <c r="B35" s="27" t="s">
        <v>108</v>
      </c>
      <c r="D35" s="111">
        <f>+'BS - CF Actuals'!H106</f>
        <v>380690.15</v>
      </c>
      <c r="E35" s="111">
        <f>+'BS - CF Actuals'!I106</f>
        <v>183333.66</v>
      </c>
      <c r="F35" s="111">
        <f>+'BS - CF Actuals'!J106</f>
        <v>166667</v>
      </c>
      <c r="G35" s="111">
        <f>+'BS - CF Actuals'!K106</f>
        <v>150000.34</v>
      </c>
      <c r="H35" s="111">
        <f>+'BS - CF Actuals'!L106</f>
        <v>133333.68</v>
      </c>
      <c r="I35" s="111">
        <f>+'BS - CF Actuals'!M106</f>
        <v>116667.02</v>
      </c>
      <c r="J35" s="111">
        <f>+'BS - CF Actuals'!N106</f>
        <v>100000.36</v>
      </c>
      <c r="K35" s="111">
        <f>+'BS - CF Actuals'!O106</f>
        <v>83333.7</v>
      </c>
      <c r="L35" s="111">
        <f>+'BS - CF Actuals'!P106</f>
        <v>66667.039999999994</v>
      </c>
      <c r="M35" s="107">
        <f>+'BS - CF Actuals'!Q106</f>
        <v>50000</v>
      </c>
      <c r="N35" s="107">
        <v>0</v>
      </c>
      <c r="O35" s="107">
        <v>0</v>
      </c>
      <c r="P35" s="111">
        <f>O35</f>
        <v>0</v>
      </c>
      <c r="Q35" s="107">
        <f t="shared" ref="Q35:AC35" si="30">P35</f>
        <v>0</v>
      </c>
      <c r="R35" s="107">
        <f t="shared" si="30"/>
        <v>0</v>
      </c>
      <c r="S35" s="111">
        <f t="shared" si="30"/>
        <v>0</v>
      </c>
      <c r="T35" s="111">
        <f t="shared" si="30"/>
        <v>0</v>
      </c>
      <c r="U35" s="107">
        <f t="shared" si="30"/>
        <v>0</v>
      </c>
      <c r="V35" s="111">
        <f t="shared" si="30"/>
        <v>0</v>
      </c>
      <c r="W35" s="111">
        <f t="shared" si="30"/>
        <v>0</v>
      </c>
      <c r="X35" s="107">
        <f t="shared" si="30"/>
        <v>0</v>
      </c>
      <c r="Y35" s="107">
        <f t="shared" si="30"/>
        <v>0</v>
      </c>
      <c r="Z35" s="111">
        <f>Y35</f>
        <v>0</v>
      </c>
      <c r="AA35" s="107">
        <f t="shared" si="30"/>
        <v>0</v>
      </c>
      <c r="AB35" s="107">
        <f t="shared" si="30"/>
        <v>0</v>
      </c>
      <c r="AC35" s="104">
        <f t="shared" si="30"/>
        <v>0</v>
      </c>
      <c r="AD35" s="104">
        <f t="shared" ref="AD35:AO35" si="31">AC35</f>
        <v>0</v>
      </c>
      <c r="AE35" s="104">
        <f t="shared" si="31"/>
        <v>0</v>
      </c>
      <c r="AF35" s="104">
        <f t="shared" si="31"/>
        <v>0</v>
      </c>
      <c r="AG35" s="104">
        <f t="shared" si="31"/>
        <v>0</v>
      </c>
      <c r="AH35" s="104">
        <f t="shared" si="31"/>
        <v>0</v>
      </c>
      <c r="AI35" s="104">
        <f t="shared" si="31"/>
        <v>0</v>
      </c>
      <c r="AJ35" s="104">
        <f t="shared" si="31"/>
        <v>0</v>
      </c>
      <c r="AK35" s="104">
        <f t="shared" si="31"/>
        <v>0</v>
      </c>
      <c r="AL35" s="104">
        <f t="shared" si="31"/>
        <v>0</v>
      </c>
      <c r="AM35" s="104">
        <f t="shared" si="31"/>
        <v>0</v>
      </c>
      <c r="AN35" s="104">
        <f t="shared" si="31"/>
        <v>0</v>
      </c>
      <c r="AO35" s="104">
        <f t="shared" si="31"/>
        <v>0</v>
      </c>
      <c r="AP35" s="104">
        <f t="shared" ref="AP35" si="32">AO35</f>
        <v>0</v>
      </c>
      <c r="AQ35" s="104">
        <f t="shared" ref="AQ35" si="33">AP35</f>
        <v>0</v>
      </c>
      <c r="AR35" s="104">
        <f t="shared" ref="AR35" si="34">AQ35</f>
        <v>0</v>
      </c>
      <c r="AS35" s="104">
        <f t="shared" ref="AS35" si="35">AR35</f>
        <v>0</v>
      </c>
      <c r="AT35" s="104">
        <f t="shared" ref="AT35" si="36">AS35</f>
        <v>0</v>
      </c>
      <c r="AU35" s="104">
        <f t="shared" ref="AU35" si="37">AT35</f>
        <v>0</v>
      </c>
      <c r="AV35" s="104">
        <f t="shared" ref="AV35" si="38">AU35</f>
        <v>0</v>
      </c>
      <c r="AW35" s="104">
        <f t="shared" ref="AW35" si="39">AV35</f>
        <v>0</v>
      </c>
      <c r="AX35" s="104">
        <f t="shared" ref="AX35" si="40">AW35</f>
        <v>0</v>
      </c>
      <c r="AY35" s="104">
        <f t="shared" ref="AY35" si="41">AX35</f>
        <v>0</v>
      </c>
      <c r="AZ35" s="104">
        <f t="shared" ref="AZ35" si="42">AY35</f>
        <v>0</v>
      </c>
      <c r="BA35" s="104">
        <f t="shared" ref="BA35" si="43">AZ35</f>
        <v>0</v>
      </c>
      <c r="BB35" s="104">
        <f t="shared" ref="BB35" si="44">BA35</f>
        <v>0</v>
      </c>
      <c r="BC35" s="104">
        <f t="shared" ref="BC35" si="45">BB35</f>
        <v>0</v>
      </c>
      <c r="BD35" s="104">
        <f t="shared" ref="BD35" si="46">BC35</f>
        <v>0</v>
      </c>
      <c r="BE35" s="104">
        <f t="shared" ref="BE35" si="47">BD35</f>
        <v>0</v>
      </c>
      <c r="BF35" s="104">
        <f t="shared" ref="BF35" si="48">BE35</f>
        <v>0</v>
      </c>
      <c r="BG35" s="104">
        <f t="shared" ref="BG35" si="49">BF35</f>
        <v>0</v>
      </c>
      <c r="BH35" s="104">
        <f t="shared" ref="BH35" si="50">BG35</f>
        <v>0</v>
      </c>
      <c r="BI35" s="104">
        <f t="shared" ref="BI35" si="51">BH35</f>
        <v>0</v>
      </c>
      <c r="BJ35" s="104">
        <f t="shared" ref="BJ35" si="52">BI35</f>
        <v>0</v>
      </c>
      <c r="BK35" s="104">
        <f t="shared" ref="BK35" si="53">BJ35</f>
        <v>0</v>
      </c>
      <c r="BL35" s="104">
        <f t="shared" ref="BL35" si="54">BK35</f>
        <v>0</v>
      </c>
      <c r="BM35" s="104">
        <f t="shared" ref="BM35" si="55">BL35</f>
        <v>0</v>
      </c>
      <c r="BN35" s="104">
        <f t="shared" ref="BN35" si="56">BM35</f>
        <v>0</v>
      </c>
      <c r="BO35" s="104">
        <f t="shared" ref="BO35" si="57">BN35</f>
        <v>0</v>
      </c>
      <c r="BP35" s="104">
        <f t="shared" ref="BP35" si="58">BO35</f>
        <v>0</v>
      </c>
      <c r="BQ35" s="104">
        <f t="shared" ref="BQ35" si="59">BP35</f>
        <v>0</v>
      </c>
      <c r="BR35" s="104">
        <f t="shared" ref="BR35" si="60">BQ35</f>
        <v>0</v>
      </c>
      <c r="BS35" s="104">
        <f t="shared" ref="BS35" si="61">BR35</f>
        <v>0</v>
      </c>
      <c r="BT35" s="104">
        <f t="shared" ref="BT35" si="62">BS35</f>
        <v>0</v>
      </c>
      <c r="BU35" s="104">
        <f t="shared" ref="BU35" si="63">BT35</f>
        <v>0</v>
      </c>
      <c r="BV35" s="104">
        <f t="shared" ref="BV35" si="64">BU35</f>
        <v>0</v>
      </c>
      <c r="BW35" s="104">
        <f t="shared" ref="BW35" si="65">BV35</f>
        <v>0</v>
      </c>
      <c r="BX35" s="104">
        <f t="shared" ref="BX35" si="66">BW35</f>
        <v>0</v>
      </c>
      <c r="BY35" s="104">
        <f t="shared" ref="BY35" si="67">BX35</f>
        <v>0</v>
      </c>
    </row>
    <row r="36" spans="1:77" s="101" customFormat="1" ht="13" x14ac:dyDescent="0.3">
      <c r="A36" s="105" t="s">
        <v>109</v>
      </c>
      <c r="D36" s="114">
        <f t="shared" ref="D36:M36" si="68">SUM(D33:D35)</f>
        <v>1902706.17</v>
      </c>
      <c r="E36" s="114">
        <f t="shared" si="68"/>
        <v>2829873.3400000003</v>
      </c>
      <c r="F36" s="114">
        <f t="shared" si="68"/>
        <v>2773690.5811143843</v>
      </c>
      <c r="G36" s="416">
        <f t="shared" si="68"/>
        <v>2766142.2649593884</v>
      </c>
      <c r="H36" s="416">
        <f t="shared" si="68"/>
        <v>2741980.761555736</v>
      </c>
      <c r="I36" s="416">
        <f t="shared" si="68"/>
        <v>3808694.4964396944</v>
      </c>
      <c r="J36" s="416">
        <f t="shared" si="68"/>
        <v>3974430.7643792513</v>
      </c>
      <c r="K36" s="416">
        <f t="shared" si="68"/>
        <v>3821701.2320452947</v>
      </c>
      <c r="L36" s="416">
        <f t="shared" si="68"/>
        <v>3813526.2604646897</v>
      </c>
      <c r="M36" s="114">
        <f t="shared" si="68"/>
        <v>3661475.5125441495</v>
      </c>
      <c r="N36" s="114">
        <f t="shared" ref="N36:AO36" si="69">SUM(N33:N35)</f>
        <v>3686568.5959384372</v>
      </c>
      <c r="O36" s="114">
        <f t="shared" si="69"/>
        <v>3777724.1605331381</v>
      </c>
      <c r="P36" s="114">
        <f t="shared" si="69"/>
        <v>3634138.6391822021</v>
      </c>
      <c r="Q36" s="114">
        <f t="shared" si="69"/>
        <v>15588258.539999999</v>
      </c>
      <c r="R36" s="114">
        <f t="shared" si="69"/>
        <v>16547680.91</v>
      </c>
      <c r="S36" s="114">
        <f>SUM(S33:S35)</f>
        <v>16301232.65</v>
      </c>
      <c r="T36" s="114">
        <f t="shared" si="69"/>
        <v>16349906.439999999</v>
      </c>
      <c r="U36" s="114">
        <f t="shared" si="69"/>
        <v>16272421.540000001</v>
      </c>
      <c r="V36" s="114">
        <f t="shared" si="69"/>
        <v>16009592.800000001</v>
      </c>
      <c r="W36" s="114">
        <f t="shared" si="69"/>
        <v>16174999.51</v>
      </c>
      <c r="X36" s="114">
        <f t="shared" si="69"/>
        <v>16223345.369999999</v>
      </c>
      <c r="Y36" s="114">
        <f t="shared" ref="Y36" si="70">SUM(Y33:Y35)</f>
        <v>15848722.380000001</v>
      </c>
      <c r="Z36" s="114">
        <f>SUM(Z33:Z35)</f>
        <v>16345515.989999998</v>
      </c>
      <c r="AA36" s="114">
        <f t="shared" si="69"/>
        <v>15980525.32</v>
      </c>
      <c r="AB36" s="114">
        <f t="shared" si="69"/>
        <v>15805556.76</v>
      </c>
      <c r="AC36" s="114">
        <f t="shared" si="69"/>
        <v>15392920.800000001</v>
      </c>
      <c r="AD36" s="114">
        <f t="shared" si="69"/>
        <v>15446407.770066503</v>
      </c>
      <c r="AE36" s="114">
        <f t="shared" si="69"/>
        <v>15470281.619041273</v>
      </c>
      <c r="AF36" s="114">
        <f t="shared" si="69"/>
        <v>15527665.419630583</v>
      </c>
      <c r="AG36" s="114">
        <f t="shared" si="69"/>
        <v>15579088.909717953</v>
      </c>
      <c r="AH36" s="114">
        <f t="shared" si="69"/>
        <v>15584556.870715387</v>
      </c>
      <c r="AI36" s="114">
        <f t="shared" si="69"/>
        <v>15605610.026001371</v>
      </c>
      <c r="AJ36" s="114">
        <f t="shared" si="69"/>
        <v>15602223.95891086</v>
      </c>
      <c r="AK36" s="114">
        <f t="shared" si="69"/>
        <v>15577571.553867619</v>
      </c>
      <c r="AL36" s="114">
        <f t="shared" si="69"/>
        <v>15659328.572500017</v>
      </c>
      <c r="AM36" s="114">
        <f t="shared" si="69"/>
        <v>15699889.386088651</v>
      </c>
      <c r="AN36" s="114">
        <f t="shared" si="69"/>
        <v>15645563.593956295</v>
      </c>
      <c r="AO36" s="114">
        <f t="shared" si="69"/>
        <v>15856155.168710276</v>
      </c>
      <c r="AP36" s="114">
        <f t="shared" ref="AP36:BA36" si="71">SUM(AP33:AP35)</f>
        <v>15705556.483493384</v>
      </c>
      <c r="AQ36" s="114">
        <f t="shared" si="71"/>
        <v>15739610.644701652</v>
      </c>
      <c r="AR36" s="114">
        <f t="shared" si="71"/>
        <v>15764604.239255935</v>
      </c>
      <c r="AS36" s="114">
        <f t="shared" si="71"/>
        <v>15786807.246605501</v>
      </c>
      <c r="AT36" s="114">
        <f t="shared" si="71"/>
        <v>15806869.417390186</v>
      </c>
      <c r="AU36" s="114">
        <f t="shared" si="71"/>
        <v>15827665.602180459</v>
      </c>
      <c r="AV36" s="114">
        <f t="shared" si="71"/>
        <v>15847720.850129917</v>
      </c>
      <c r="AW36" s="114">
        <f t="shared" si="71"/>
        <v>15867255.164259508</v>
      </c>
      <c r="AX36" s="114">
        <f t="shared" si="71"/>
        <v>15888903.794671135</v>
      </c>
      <c r="AY36" s="114">
        <f t="shared" si="71"/>
        <v>15909560.346592221</v>
      </c>
      <c r="AZ36" s="114">
        <f t="shared" si="71"/>
        <v>15929095.639966428</v>
      </c>
      <c r="BA36" s="114">
        <f t="shared" si="71"/>
        <v>16189126.753940269</v>
      </c>
      <c r="BB36" s="114">
        <f t="shared" ref="BB36:BK36" si="72">SUM(BB33:BB35)</f>
        <v>15269885.480589386</v>
      </c>
      <c r="BC36" s="114">
        <f t="shared" si="72"/>
        <v>15272495.798799807</v>
      </c>
      <c r="BD36" s="114">
        <f t="shared" si="72"/>
        <v>15272590.689824279</v>
      </c>
      <c r="BE36" s="114">
        <f t="shared" si="72"/>
        <v>15272579.524231933</v>
      </c>
      <c r="BF36" s="114">
        <f t="shared" si="72"/>
        <v>15272556.875882074</v>
      </c>
      <c r="BG36" s="114">
        <f t="shared" si="72"/>
        <v>15272582.415065762</v>
      </c>
      <c r="BH36" s="114">
        <f t="shared" si="72"/>
        <v>15272568.0553344</v>
      </c>
      <c r="BI36" s="114">
        <f t="shared" si="72"/>
        <v>15272573.594358876</v>
      </c>
      <c r="BJ36" s="114">
        <f t="shared" si="72"/>
        <v>15272680.248827109</v>
      </c>
      <c r="BK36" s="114">
        <f t="shared" si="72"/>
        <v>15272753.658595903</v>
      </c>
      <c r="BL36" s="114">
        <f t="shared" ref="BL36:BW36" si="73">SUM(BL33:BL35)</f>
        <v>15272809.598428711</v>
      </c>
      <c r="BM36" s="114">
        <f t="shared" si="73"/>
        <v>15518209.557619737</v>
      </c>
      <c r="BN36" s="114">
        <f t="shared" si="73"/>
        <v>15213453.46781316</v>
      </c>
      <c r="BO36" s="114">
        <f t="shared" si="73"/>
        <v>15216034.413307823</v>
      </c>
      <c r="BP36" s="114">
        <f t="shared" si="73"/>
        <v>15216096.765615977</v>
      </c>
      <c r="BQ36" s="114">
        <f t="shared" si="73"/>
        <v>15216156.478394743</v>
      </c>
      <c r="BR36" s="114">
        <f t="shared" si="73"/>
        <v>15216222.170124996</v>
      </c>
      <c r="BS36" s="114">
        <f t="shared" si="73"/>
        <v>15216295.297909826</v>
      </c>
      <c r="BT36" s="114">
        <f t="shared" si="73"/>
        <v>15216372.464129359</v>
      </c>
      <c r="BU36" s="114">
        <f t="shared" si="73"/>
        <v>15216457.329623807</v>
      </c>
      <c r="BV36" s="114">
        <f t="shared" si="73"/>
        <v>15216548.87861193</v>
      </c>
      <c r="BW36" s="114">
        <f t="shared" si="73"/>
        <v>15216639.238852024</v>
      </c>
      <c r="BX36" s="114">
        <f t="shared" ref="BX36:BY36" si="74">SUM(BX33:BX35)</f>
        <v>14033700.229099052</v>
      </c>
      <c r="BY36" s="114">
        <f t="shared" si="74"/>
        <v>14285309.003938375</v>
      </c>
    </row>
    <row r="37" spans="1:77" ht="6" customHeight="1" x14ac:dyDescent="0.3">
      <c r="A37" s="23"/>
      <c r="D37" s="107"/>
      <c r="E37" s="107"/>
      <c r="F37" s="107"/>
      <c r="G37" s="107"/>
      <c r="H37" s="107"/>
      <c r="I37" s="107"/>
      <c r="J37" s="107"/>
      <c r="K37" s="107"/>
      <c r="L37" s="107"/>
      <c r="M37" s="107"/>
      <c r="N37" s="107"/>
      <c r="O37" s="107"/>
      <c r="P37" s="107"/>
      <c r="Q37" s="107"/>
      <c r="R37" s="107"/>
      <c r="S37" s="107"/>
      <c r="T37" s="107"/>
      <c r="U37" s="107"/>
      <c r="V37" s="107"/>
      <c r="W37" s="107"/>
      <c r="X37" s="107"/>
      <c r="Y37" s="107"/>
      <c r="Z37" s="107"/>
      <c r="AA37" s="107"/>
      <c r="AB37" s="107"/>
      <c r="AC37" s="107"/>
      <c r="AD37" s="107"/>
      <c r="AE37" s="107"/>
      <c r="AF37" s="107"/>
      <c r="AG37" s="107"/>
      <c r="AH37" s="107"/>
      <c r="AI37" s="107"/>
      <c r="AJ37" s="107"/>
      <c r="AK37" s="107"/>
      <c r="AL37" s="107"/>
      <c r="AM37" s="107"/>
      <c r="AN37" s="107"/>
      <c r="AO37" s="107"/>
      <c r="AP37" s="107"/>
      <c r="AQ37" s="107"/>
      <c r="AR37" s="107"/>
      <c r="AS37" s="107"/>
      <c r="AT37" s="107"/>
      <c r="AU37" s="107"/>
      <c r="AV37" s="107"/>
      <c r="AW37" s="107"/>
      <c r="AX37" s="107"/>
      <c r="AY37" s="107"/>
      <c r="AZ37" s="107"/>
      <c r="BA37" s="107"/>
      <c r="BB37" s="107"/>
      <c r="BC37" s="107"/>
      <c r="BD37" s="107"/>
      <c r="BE37" s="107"/>
      <c r="BF37" s="107"/>
      <c r="BG37" s="107"/>
      <c r="BH37" s="107"/>
      <c r="BI37" s="107"/>
      <c r="BJ37" s="107"/>
      <c r="BK37" s="107"/>
      <c r="BL37" s="107"/>
      <c r="BM37" s="107"/>
      <c r="BN37" s="107"/>
      <c r="BO37" s="107"/>
      <c r="BP37" s="107"/>
      <c r="BQ37" s="107"/>
      <c r="BR37" s="107"/>
      <c r="BS37" s="107"/>
      <c r="BT37" s="107"/>
      <c r="BU37" s="107"/>
      <c r="BV37" s="107"/>
      <c r="BW37" s="107"/>
      <c r="BX37" s="107"/>
      <c r="BY37" s="107"/>
    </row>
    <row r="38" spans="1:77" ht="13" x14ac:dyDescent="0.3">
      <c r="A38" s="105" t="s">
        <v>110</v>
      </c>
      <c r="D38" s="107"/>
      <c r="E38" s="107"/>
      <c r="F38" s="107"/>
      <c r="G38" s="107"/>
      <c r="H38" s="107"/>
      <c r="I38" s="107"/>
      <c r="J38" s="107"/>
      <c r="K38" s="107"/>
      <c r="L38" s="107"/>
      <c r="M38" s="107"/>
      <c r="N38" s="107"/>
      <c r="O38" s="107"/>
      <c r="P38" s="107"/>
      <c r="Q38" s="107"/>
      <c r="R38" s="107"/>
      <c r="S38" s="107"/>
      <c r="T38" s="107"/>
      <c r="U38" s="107"/>
      <c r="V38" s="107"/>
      <c r="W38" s="107"/>
      <c r="X38" s="107"/>
      <c r="Y38" s="107"/>
      <c r="Z38" s="107"/>
      <c r="AA38" s="107"/>
      <c r="AB38" s="107"/>
      <c r="AC38" s="107"/>
      <c r="AD38" s="107"/>
      <c r="AE38" s="107"/>
      <c r="AF38" s="107"/>
      <c r="AG38" s="107"/>
      <c r="AH38" s="107"/>
      <c r="AI38" s="107"/>
      <c r="AJ38" s="107"/>
      <c r="AK38" s="107"/>
      <c r="AL38" s="107"/>
      <c r="AM38" s="107"/>
      <c r="AN38" s="107"/>
      <c r="AO38" s="107"/>
      <c r="AP38" s="107"/>
      <c r="AQ38" s="107"/>
      <c r="AR38" s="107"/>
      <c r="AS38" s="107"/>
      <c r="AT38" s="107"/>
      <c r="AU38" s="107"/>
      <c r="AV38" s="107"/>
      <c r="AW38" s="107"/>
      <c r="AX38" s="107"/>
      <c r="AY38" s="107"/>
      <c r="AZ38" s="107"/>
      <c r="BA38" s="107"/>
      <c r="BB38" s="107"/>
      <c r="BC38" s="107"/>
      <c r="BD38" s="107"/>
      <c r="BE38" s="107"/>
      <c r="BF38" s="107"/>
      <c r="BG38" s="107"/>
      <c r="BH38" s="107"/>
      <c r="BI38" s="107"/>
      <c r="BJ38" s="107"/>
      <c r="BK38" s="107"/>
      <c r="BL38" s="107"/>
      <c r="BM38" s="107"/>
      <c r="BN38" s="107"/>
      <c r="BO38" s="107"/>
      <c r="BP38" s="107"/>
      <c r="BQ38" s="107"/>
      <c r="BR38" s="107"/>
      <c r="BS38" s="107"/>
      <c r="BT38" s="107"/>
      <c r="BU38" s="107"/>
      <c r="BV38" s="107"/>
      <c r="BW38" s="107"/>
      <c r="BX38" s="107"/>
      <c r="BY38" s="107"/>
    </row>
    <row r="39" spans="1:77" ht="13" x14ac:dyDescent="0.3">
      <c r="A39" s="105"/>
      <c r="B39" s="514" t="s">
        <v>514</v>
      </c>
      <c r="D39" s="107">
        <f>IF(D3="Forecast",A39,'BS - CF Actuals'!H116)</f>
        <v>0</v>
      </c>
      <c r="E39" s="107">
        <f>IF(E3="Forecast",B39,'BS - CF Actuals'!I116)</f>
        <v>0</v>
      </c>
      <c r="F39" s="107">
        <f>IF(F3="Forecast",C39,'BS - CF Actuals'!J116)</f>
        <v>0</v>
      </c>
      <c r="G39" s="107">
        <f>IF(G3="Forecast",F39,'BS - CF Actuals'!K116)</f>
        <v>0</v>
      </c>
      <c r="H39" s="107">
        <f>IF(H3="Forecast",G39,'BS - CF Actuals'!L116)</f>
        <v>0</v>
      </c>
      <c r="I39" s="107">
        <f>IF(I3="Forecast",H39,'BS - CF Actuals'!M116)</f>
        <v>0</v>
      </c>
      <c r="J39" s="107">
        <f>IF(J3="Forecast",I39,'BS - CF Actuals'!N116)</f>
        <v>0</v>
      </c>
      <c r="K39" s="107">
        <f>IF(K3="Forecast",J39,'BS - CF Actuals'!O116)</f>
        <v>0</v>
      </c>
      <c r="L39" s="107">
        <f>IF(L3="Forecast",K39,'BS - CF Actuals'!P116)</f>
        <v>0</v>
      </c>
      <c r="M39" s="107">
        <f>IF(M3="Forecast",L39,'BS - CF Actuals'!Q116)</f>
        <v>0</v>
      </c>
      <c r="N39" s="107">
        <f>IF(N3="Forecast",M39,'BS - CF Actuals'!R116)</f>
        <v>0</v>
      </c>
      <c r="O39" s="107">
        <f>IF(O3="Forecast",N39,'BS - CF Actuals'!S116)</f>
        <v>0</v>
      </c>
      <c r="P39" s="107">
        <f>IF(P3="Forecast",O39,'BS - CF Actuals'!T116)</f>
        <v>0</v>
      </c>
      <c r="Q39" s="107">
        <f>IF(Q3="Forecast",P39,'BS - CF Actuals'!U116)</f>
        <v>15569796.68</v>
      </c>
      <c r="R39" s="107">
        <f>IF(R3="Forecast",Q39,'BS - CF Actuals'!V116)</f>
        <v>15569796.68</v>
      </c>
      <c r="S39" s="107">
        <f>IF(S3="Forecast",R39,'BS - CF Actuals'!W116)</f>
        <v>15569796.68</v>
      </c>
      <c r="T39" s="107">
        <f>IF(T3="Forecast",S39,'BS - CF Actuals'!X116)</f>
        <v>15569796.68</v>
      </c>
      <c r="U39" s="107">
        <f>IF(U3="Forecast",T39,'BS - CF Actuals'!Y116)</f>
        <v>15569796.68</v>
      </c>
      <c r="V39" s="107">
        <f>IF(V3="Forecast",U39,'BS - CF Actuals'!Z116)</f>
        <v>15569796.68</v>
      </c>
      <c r="W39" s="107">
        <f>IF(W3="Forecast",V39,'BS - CF Actuals'!AA116)</f>
        <v>15569796.68</v>
      </c>
      <c r="X39" s="107">
        <f>IF(X3="Forecast",W39,'BS - CF Actuals'!AB116)</f>
        <v>15569796.68</v>
      </c>
      <c r="Y39" s="107">
        <f>IF(Y3="Forecast",X39,'BS - CF Actuals'!AC116)</f>
        <v>15569796.68</v>
      </c>
      <c r="Z39" s="107">
        <f>IF(Z3="Forecast",Y39,'BS - CF Actuals'!AD116)</f>
        <v>15569796.68</v>
      </c>
      <c r="AA39" s="107">
        <f>IF(AA3="Forecast",Z39,'BS - CF Actuals'!AE116)</f>
        <v>15569796.68</v>
      </c>
      <c r="AB39" s="107">
        <f>IF(AB3="Forecast",AA39,'BS - CF Actuals'!AF116)</f>
        <v>15569796.68</v>
      </c>
      <c r="AC39" s="107">
        <f>IF(AC3="Forecast",AB39,'BS - CF Actuals'!AG116)</f>
        <v>15569796.68</v>
      </c>
      <c r="AD39" s="107">
        <f>IF(AD3="Forecast",AC39,'BS - CF Actuals'!AH116)</f>
        <v>15569796.68</v>
      </c>
      <c r="AE39" s="107">
        <f>IF(AE3="Forecast",AD39,'BS - CF Actuals'!AI116)</f>
        <v>15569796.68</v>
      </c>
      <c r="AF39" s="107">
        <f>IF(AF3="Forecast",AE39,'BS - CF Actuals'!AJ116)</f>
        <v>15569796.68</v>
      </c>
      <c r="AG39" s="107">
        <f>IF(AG3="Forecast",AF39,'BS - CF Actuals'!AK116)</f>
        <v>15569796.68</v>
      </c>
      <c r="AH39" s="107">
        <f>IF(AH3="Forecast",AG39,'BS - CF Actuals'!AL116)</f>
        <v>15569796.68</v>
      </c>
      <c r="AI39" s="107">
        <f>IF(AI3="Forecast",AH39,'BS - CF Actuals'!AM116)</f>
        <v>15569796.68</v>
      </c>
      <c r="AJ39" s="107">
        <f>IF(AJ3="Forecast",AI39,'BS - CF Actuals'!AN116)</f>
        <v>15569796.68</v>
      </c>
      <c r="AK39" s="107">
        <f>IF(AK3="Forecast",AJ39,'BS - CF Actuals'!AO116)</f>
        <v>15569796.68</v>
      </c>
      <c r="AL39" s="107">
        <f>IF(AL3="Forecast",AK39,'BS - CF Actuals'!AP116)</f>
        <v>15569796.68</v>
      </c>
      <c r="AM39" s="107">
        <f>IF(AM3="Forecast",AL39,'BS - CF Actuals'!AQ116)</f>
        <v>15569796.68</v>
      </c>
      <c r="AN39" s="107">
        <f>IF(AN3="Forecast",AM39,'BS - CF Actuals'!AR116)</f>
        <v>15569796.68</v>
      </c>
      <c r="AO39" s="107">
        <f>IF(AO3="Forecast",AN39,'BS - CF Actuals'!AS116)</f>
        <v>15569796.68</v>
      </c>
      <c r="AP39" s="107">
        <f>IF(AP3="Forecast",AO39,'BS - CF Actuals'!AT116)</f>
        <v>15569796.68</v>
      </c>
      <c r="AQ39" s="107">
        <f>IF(AQ3="Forecast",AP39,'BS - CF Actuals'!AU116)</f>
        <v>15569796.68</v>
      </c>
      <c r="AR39" s="107">
        <f>IF(AR3="Forecast",AQ39,'BS - CF Actuals'!AV116)</f>
        <v>15569796.68</v>
      </c>
      <c r="AS39" s="107">
        <f>IF(AS3="Forecast",AR39,'BS - CF Actuals'!AW116)</f>
        <v>15569796.68</v>
      </c>
      <c r="AT39" s="107">
        <f>IF(AT3="Forecast",AS39,'BS - CF Actuals'!AX116)</f>
        <v>15569796.68</v>
      </c>
      <c r="AU39" s="107">
        <f>IF(AU3="Forecast",AT39,'BS - CF Actuals'!AY116)</f>
        <v>15569796.68</v>
      </c>
      <c r="AV39" s="107">
        <f>IF(AV3="Forecast",AU39,'BS - CF Actuals'!AZ116)</f>
        <v>15569796.68</v>
      </c>
      <c r="AW39" s="107">
        <f>IF(AW3="Forecast",AV39,'BS - CF Actuals'!BA116)</f>
        <v>15569796.68</v>
      </c>
      <c r="AX39" s="107">
        <f>IF(AX3="Forecast",AW39,'BS - CF Actuals'!BB116)</f>
        <v>15569796.68</v>
      </c>
      <c r="AY39" s="107">
        <f>IF(AY3="Forecast",AX39,'BS - CF Actuals'!BC116)</f>
        <v>15569796.68</v>
      </c>
      <c r="AZ39" s="107">
        <f>IF(AZ3="Forecast",AY39,'BS - CF Actuals'!BD116)</f>
        <v>15569796.68</v>
      </c>
      <c r="BA39" s="107">
        <f>IF(BA3="Forecast",AZ39,'BS - CF Actuals'!BE116)</f>
        <v>15569796.68</v>
      </c>
      <c r="BB39" s="107">
        <f>IF(BB3="Forecast",BA39,'BS - CF Actuals'!BF116)</f>
        <v>15569796.68</v>
      </c>
      <c r="BC39" s="107">
        <f>IF(BC3="Forecast",BB39,'BS - CF Actuals'!BG116)</f>
        <v>15569796.68</v>
      </c>
      <c r="BD39" s="107">
        <f>IF(BD3="Forecast",BC39,'BS - CF Actuals'!BH116)</f>
        <v>15569796.68</v>
      </c>
      <c r="BE39" s="107">
        <f>IF(BE3="Forecast",BD39,'BS - CF Actuals'!BI116)</f>
        <v>15569796.68</v>
      </c>
      <c r="BF39" s="107">
        <f>IF(BF3="Forecast",BE39,'BS - CF Actuals'!BJ116)</f>
        <v>15569796.68</v>
      </c>
      <c r="BG39" s="107">
        <f>IF(BG3="Forecast",BF39,'BS - CF Actuals'!BK116)</f>
        <v>15569796.68</v>
      </c>
      <c r="BH39" s="107">
        <f>IF(BH3="Forecast",BG39,'BS - CF Actuals'!BL116)</f>
        <v>15569796.68</v>
      </c>
      <c r="BI39" s="107">
        <f>IF(BI3="Forecast",BH39,'BS - CF Actuals'!BM116)</f>
        <v>15569796.68</v>
      </c>
      <c r="BJ39" s="107">
        <f>IF(BJ3="Forecast",BI39,'BS - CF Actuals'!BN116)</f>
        <v>15569796.68</v>
      </c>
      <c r="BK39" s="107">
        <f>IF(BK3="Forecast",BJ39,'BS - CF Actuals'!BO116)</f>
        <v>15569796.68</v>
      </c>
      <c r="BL39" s="107">
        <f>IF(BL3="Forecast",BK39,'BS - CF Actuals'!BP116)</f>
        <v>15569796.68</v>
      </c>
      <c r="BM39" s="107">
        <f>IF(BM3="Forecast",BL39,'BS - CF Actuals'!BQ116)</f>
        <v>15569796.68</v>
      </c>
      <c r="BN39" s="107">
        <f>IF(BN3="Forecast",BM39,'BS - CF Actuals'!BR116)</f>
        <v>15569796.68</v>
      </c>
      <c r="BO39" s="107">
        <f>IF(BO3="Forecast",BN39,'BS - CF Actuals'!BS116)</f>
        <v>15569796.68</v>
      </c>
      <c r="BP39" s="107">
        <f>IF(BP3="Forecast",BO39,'BS - CF Actuals'!BT116)</f>
        <v>15569796.68</v>
      </c>
      <c r="BQ39" s="107">
        <f>IF(BQ3="Forecast",BP39,'BS - CF Actuals'!BU116)</f>
        <v>15569796.68</v>
      </c>
      <c r="BR39" s="107">
        <f>IF(BR3="Forecast",BQ39,'BS - CF Actuals'!BV116)</f>
        <v>15569796.68</v>
      </c>
      <c r="BS39" s="107">
        <f>IF(BS3="Forecast",BR39,'BS - CF Actuals'!BW116)</f>
        <v>15569796.68</v>
      </c>
      <c r="BT39" s="107">
        <f>IF(BT3="Forecast",BS39,'BS - CF Actuals'!BX116)</f>
        <v>15569796.68</v>
      </c>
      <c r="BU39" s="107">
        <f>IF(BU3="Forecast",BT39,'BS - CF Actuals'!BY116)</f>
        <v>15569796.68</v>
      </c>
      <c r="BV39" s="107">
        <f>IF(BV3="Forecast",BU39,'BS - CF Actuals'!BZ116)</f>
        <v>15569796.68</v>
      </c>
      <c r="BW39" s="107">
        <f>IF(BW3="Forecast",BV39,'BS - CF Actuals'!CA116)</f>
        <v>15569796.68</v>
      </c>
      <c r="BX39" s="107">
        <f>IF(BX3="Forecast",BW39,'BS - CF Actuals'!CB116)</f>
        <v>15569796.68</v>
      </c>
      <c r="BY39" s="107">
        <f>IF(BY3="Forecast",BX39,'BS - CF Actuals'!CC116)</f>
        <v>15569796.68</v>
      </c>
    </row>
    <row r="40" spans="1:77" ht="13" x14ac:dyDescent="0.3">
      <c r="A40" s="105"/>
      <c r="B40" s="514" t="s">
        <v>515</v>
      </c>
      <c r="D40" s="107">
        <f>IF(D$3="Forecast",A40,'BS - CF Actuals'!H119)</f>
        <v>9999.99</v>
      </c>
      <c r="E40" s="107">
        <f>IF(E$3="Forecast",B40,'BS - CF Actuals'!I119)</f>
        <v>18754.62</v>
      </c>
      <c r="F40" s="107">
        <f>IF(F$3="Forecast",C40,'BS - CF Actuals'!J119)</f>
        <v>18754.62</v>
      </c>
      <c r="G40" s="107">
        <f>IF(G$3="Forecast",F40,'BS - CF Actuals'!K119)</f>
        <v>18754.62</v>
      </c>
      <c r="H40" s="107">
        <f>IF(H$3="Forecast",G40,'BS - CF Actuals'!L119)</f>
        <v>18754.62</v>
      </c>
      <c r="I40" s="107">
        <f>IF(I$3="Forecast",H40,'BS - CF Actuals'!M119)</f>
        <v>18754.62</v>
      </c>
      <c r="J40" s="107">
        <f>IF(J$3="Forecast",I40,'BS - CF Actuals'!N119)</f>
        <v>18754.62</v>
      </c>
      <c r="K40" s="107">
        <f>IF(K$3="Forecast",J40,'BS - CF Actuals'!O119)</f>
        <v>18754.62</v>
      </c>
      <c r="L40" s="107">
        <f>IF(L$3="Forecast",K40,'BS - CF Actuals'!P119)</f>
        <v>18754.62</v>
      </c>
      <c r="M40" s="107">
        <f>IF(M$3="Forecast",L40,'BS - CF Actuals'!Q119)</f>
        <v>18754.62</v>
      </c>
      <c r="N40" s="107">
        <f>IF(N$3="Forecast",M40,'BS - CF Actuals'!R119)</f>
        <v>18754.62</v>
      </c>
      <c r="O40" s="107">
        <f>IF(O$3="Forecast",N40,'BS - CF Actuals'!S119)</f>
        <v>18754.62</v>
      </c>
      <c r="P40" s="107">
        <f>IF(P$3="Forecast",O40,'BS - CF Actuals'!T119)</f>
        <v>18754.62</v>
      </c>
      <c r="Q40" s="107">
        <f>IF(Q$3="Forecast",P40,'BS - CF Actuals'!U119)</f>
        <v>-1099999.8599999999</v>
      </c>
      <c r="R40" s="107">
        <f>IF(R$3="Forecast",Q40,'BS - CF Actuals'!V119)</f>
        <v>-1099970.8799999999</v>
      </c>
      <c r="S40" s="107">
        <f>IF(S$3="Forecast",R40,'BS - CF Actuals'!W119)</f>
        <v>-1099970.8799999999</v>
      </c>
      <c r="T40" s="107">
        <f>IF(T$3="Forecast",S40,'BS - CF Actuals'!X119)</f>
        <v>-1099970.8799999999</v>
      </c>
      <c r="U40" s="107">
        <f>IF(U$3="Forecast",T40,'BS - CF Actuals'!Y119)</f>
        <v>-1099970.8799999999</v>
      </c>
      <c r="V40" s="107">
        <f>IF(V$3="Forecast",U40,'BS - CF Actuals'!Z119)</f>
        <v>-1099970.8799999999</v>
      </c>
      <c r="W40" s="107">
        <f>IF(W$3="Forecast",V40,'BS - CF Actuals'!AA119)</f>
        <v>-1099970.8799999999</v>
      </c>
      <c r="X40" s="107">
        <f>IF(X$3="Forecast",W40,'BS - CF Actuals'!AB119)</f>
        <v>-1099970.8799999999</v>
      </c>
      <c r="Y40" s="107">
        <f>IF(Y$3="Forecast",X40,'BS - CF Actuals'!AC119)</f>
        <v>-1099970.8799999999</v>
      </c>
      <c r="Z40" s="107">
        <f>IF(Z$3="Forecast",Y40,'BS - CF Actuals'!AD119)</f>
        <v>-1099970.8799999999</v>
      </c>
      <c r="AA40" s="107">
        <f>IF(AA$3="Forecast",Z40,'BS - CF Actuals'!AE119)</f>
        <v>-1099970.8799999999</v>
      </c>
      <c r="AB40" s="107">
        <f>IF(AB$3="Forecast",AA40,'BS - CF Actuals'!AF119)</f>
        <v>-1099970.8799999999</v>
      </c>
      <c r="AC40" s="107">
        <f>IF(AC$3="Forecast",AB40,'BS - CF Actuals'!AG119)</f>
        <v>-1099970.8799999999</v>
      </c>
      <c r="AD40" s="107">
        <f>IF(AD$3="Forecast",AC40,'BS - CF Actuals'!AH119)</f>
        <v>-1099970.8799999999</v>
      </c>
      <c r="AE40" s="107">
        <f>IF(AE$3="Forecast",AD40,'BS - CF Actuals'!AI119)</f>
        <v>-1099970.8799999999</v>
      </c>
      <c r="AF40" s="107">
        <f>IF(AF$3="Forecast",AE40,'BS - CF Actuals'!AJ119)</f>
        <v>-1099970.8799999999</v>
      </c>
      <c r="AG40" s="107">
        <f>IF(AG$3="Forecast",AF40,'BS - CF Actuals'!AK119)</f>
        <v>-1099970.8799999999</v>
      </c>
      <c r="AH40" s="107">
        <f>IF(AH$3="Forecast",AG40,'BS - CF Actuals'!AL119)</f>
        <v>-1099970.8799999999</v>
      </c>
      <c r="AI40" s="107">
        <f>IF(AI$3="Forecast",AH40,'BS - CF Actuals'!AM119)</f>
        <v>-1099970.8799999999</v>
      </c>
      <c r="AJ40" s="107">
        <f>IF(AJ$3="Forecast",AI40,'BS - CF Actuals'!AN119)</f>
        <v>-1099970.8799999999</v>
      </c>
      <c r="AK40" s="107">
        <f>IF(AK$3="Forecast",AJ40,'BS - CF Actuals'!AO119)</f>
        <v>-1099970.8799999999</v>
      </c>
      <c r="AL40" s="107">
        <f>IF(AL$3="Forecast",AK40,'BS - CF Actuals'!AP119)</f>
        <v>-1099970.8799999999</v>
      </c>
      <c r="AM40" s="107">
        <f>IF(AM$3="Forecast",AL40,'BS - CF Actuals'!AQ119)</f>
        <v>-1099970.8799999999</v>
      </c>
      <c r="AN40" s="107">
        <f>IF(AN$3="Forecast",AM40,'BS - CF Actuals'!AR119)</f>
        <v>-1099970.8799999999</v>
      </c>
      <c r="AO40" s="107">
        <f>IF(AO$3="Forecast",AN40,'BS - CF Actuals'!AS119)</f>
        <v>-1099970.8799999999</v>
      </c>
      <c r="AP40" s="107">
        <f>IF(AP$3="Forecast",AO40,'BS - CF Actuals'!AT119)</f>
        <v>-1099970.8799999999</v>
      </c>
      <c r="AQ40" s="107">
        <f>IF(AQ$3="Forecast",AP40,'BS - CF Actuals'!AU119)</f>
        <v>-1099970.8799999999</v>
      </c>
      <c r="AR40" s="107">
        <f>IF(AR$3="Forecast",AQ40,'BS - CF Actuals'!AV119)</f>
        <v>-1099970.8799999999</v>
      </c>
      <c r="AS40" s="107">
        <f>IF(AS$3="Forecast",AR40,'BS - CF Actuals'!AW119)</f>
        <v>-1099970.8799999999</v>
      </c>
      <c r="AT40" s="107">
        <f>IF(AT$3="Forecast",AS40,'BS - CF Actuals'!AX119)</f>
        <v>-1099970.8799999999</v>
      </c>
      <c r="AU40" s="107">
        <f>IF(AU$3="Forecast",AT40,'BS - CF Actuals'!AY119)</f>
        <v>-1099970.8799999999</v>
      </c>
      <c r="AV40" s="107">
        <f>IF(AV$3="Forecast",AU40,'BS - CF Actuals'!AZ119)</f>
        <v>-1099970.8799999999</v>
      </c>
      <c r="AW40" s="107">
        <f>IF(AW$3="Forecast",AV40,'BS - CF Actuals'!BA119)</f>
        <v>-1099970.8799999999</v>
      </c>
      <c r="AX40" s="107">
        <f>IF(AX$3="Forecast",AW40,'BS - CF Actuals'!BB119)</f>
        <v>-1099970.8799999999</v>
      </c>
      <c r="AY40" s="107">
        <f>IF(AY$3="Forecast",AX40,'BS - CF Actuals'!BC119)</f>
        <v>-1099970.8799999999</v>
      </c>
      <c r="AZ40" s="107">
        <f>IF(AZ$3="Forecast",AY40,'BS - CF Actuals'!BD119)</f>
        <v>-1099970.8799999999</v>
      </c>
      <c r="BA40" s="107">
        <f>IF(BA$3="Forecast",AZ40,'BS - CF Actuals'!BE119)</f>
        <v>-1099970.8799999999</v>
      </c>
      <c r="BB40" s="107">
        <f>IF(BB$3="Forecast",BA40,'BS - CF Actuals'!BF119)</f>
        <v>-1099970.8799999999</v>
      </c>
      <c r="BC40" s="107">
        <f>IF(BC$3="Forecast",BB40,'BS - CF Actuals'!BG119)</f>
        <v>-1099970.8799999999</v>
      </c>
      <c r="BD40" s="107">
        <f>IF(BD$3="Forecast",BC40,'BS - CF Actuals'!BH119)</f>
        <v>-1099970.8799999999</v>
      </c>
      <c r="BE40" s="107">
        <f>IF(BE$3="Forecast",BD40,'BS - CF Actuals'!BI119)</f>
        <v>-1099970.8799999999</v>
      </c>
      <c r="BF40" s="107">
        <f>IF(BF$3="Forecast",BE40,'BS - CF Actuals'!BJ119)</f>
        <v>-1099970.8799999999</v>
      </c>
      <c r="BG40" s="107">
        <f>IF(BG$3="Forecast",BF40,'BS - CF Actuals'!BK119)</f>
        <v>-1099970.8799999999</v>
      </c>
      <c r="BH40" s="107">
        <f>IF(BH$3="Forecast",BG40,'BS - CF Actuals'!BL119)</f>
        <v>-1099970.8799999999</v>
      </c>
      <c r="BI40" s="107">
        <f>IF(BI$3="Forecast",BH40,'BS - CF Actuals'!BM119)</f>
        <v>-1099970.8799999999</v>
      </c>
      <c r="BJ40" s="107">
        <f>IF(BJ$3="Forecast",BI40,'BS - CF Actuals'!BN119)</f>
        <v>-1099970.8799999999</v>
      </c>
      <c r="BK40" s="107">
        <f>IF(BK$3="Forecast",BJ40,'BS - CF Actuals'!BO119)</f>
        <v>-1099970.8799999999</v>
      </c>
      <c r="BL40" s="107">
        <f>IF(BL$3="Forecast",BK40,'BS - CF Actuals'!BP119)</f>
        <v>-1099970.8799999999</v>
      </c>
      <c r="BM40" s="107">
        <f>IF(BM$3="Forecast",BL40,'BS - CF Actuals'!BQ119)</f>
        <v>-1099970.8799999999</v>
      </c>
      <c r="BN40" s="107">
        <f>IF(BN$3="Forecast",BM40,'BS - CF Actuals'!BR119)</f>
        <v>-1099970.8799999999</v>
      </c>
      <c r="BO40" s="107">
        <f>IF(BO$3="Forecast",BN40,'BS - CF Actuals'!BS119)</f>
        <v>-1099970.8799999999</v>
      </c>
      <c r="BP40" s="107">
        <f>IF(BP$3="Forecast",BO40,'BS - CF Actuals'!BT119)</f>
        <v>-1099970.8799999999</v>
      </c>
      <c r="BQ40" s="107">
        <f>IF(BQ$3="Forecast",BP40,'BS - CF Actuals'!BU119)</f>
        <v>-1099970.8799999999</v>
      </c>
      <c r="BR40" s="107">
        <f>IF(BR$3="Forecast",BQ40,'BS - CF Actuals'!BV119)</f>
        <v>-1099970.8799999999</v>
      </c>
      <c r="BS40" s="107">
        <f>IF(BS$3="Forecast",BR40,'BS - CF Actuals'!BW119)</f>
        <v>-1099970.8799999999</v>
      </c>
      <c r="BT40" s="107">
        <f>IF(BT$3="Forecast",BS40,'BS - CF Actuals'!BX119)</f>
        <v>-1099970.8799999999</v>
      </c>
      <c r="BU40" s="107">
        <f>IF(BU$3="Forecast",BT40,'BS - CF Actuals'!BY119)</f>
        <v>-1099970.8799999999</v>
      </c>
      <c r="BV40" s="107">
        <f>IF(BV$3="Forecast",BU40,'BS - CF Actuals'!BZ119)</f>
        <v>-1099970.8799999999</v>
      </c>
      <c r="BW40" s="107">
        <f>IF(BW$3="Forecast",BV40,'BS - CF Actuals'!CA119)</f>
        <v>-1099970.8799999999</v>
      </c>
      <c r="BX40" s="107">
        <f>IF(BX$3="Forecast",BW40,'BS - CF Actuals'!CB119)</f>
        <v>-1099970.8799999999</v>
      </c>
      <c r="BY40" s="107">
        <f>IF(BY$3="Forecast",BX40,'BS - CF Actuals'!CC119)</f>
        <v>-1099970.8799999999</v>
      </c>
    </row>
    <row r="41" spans="1:77" ht="13" x14ac:dyDescent="0.3">
      <c r="A41" s="105"/>
      <c r="B41" s="514" t="s">
        <v>518</v>
      </c>
      <c r="D41" s="107"/>
      <c r="E41" s="107"/>
      <c r="F41" s="107">
        <f>IF(F$3="Forecast",C41,'BS - CF Actuals'!J117)</f>
        <v>0</v>
      </c>
      <c r="G41" s="107">
        <f>IF(G$3="Forecast",F41,'BS - CF Actuals'!K117)</f>
        <v>0</v>
      </c>
      <c r="H41" s="107">
        <f>IF(H$3="Forecast",G41,'BS - CF Actuals'!L117)</f>
        <v>0</v>
      </c>
      <c r="I41" s="107">
        <f>IF(I$3="Forecast",H41,'BS - CF Actuals'!M117)</f>
        <v>0</v>
      </c>
      <c r="J41" s="107">
        <f>IF(J$3="Forecast",I41,'BS - CF Actuals'!N117)</f>
        <v>0</v>
      </c>
      <c r="K41" s="107">
        <f>IF(K$3="Forecast",J41,'BS - CF Actuals'!O117)</f>
        <v>0</v>
      </c>
      <c r="L41" s="107">
        <f>IF(L$3="Forecast",K41,'BS - CF Actuals'!P117)</f>
        <v>0</v>
      </c>
      <c r="M41" s="107">
        <f>IF(M$3="Forecast",L41,'BS - CF Actuals'!Q117)</f>
        <v>0</v>
      </c>
      <c r="N41" s="107">
        <f>IF(N$3="Forecast",M41,'BS - CF Actuals'!R117)</f>
        <v>0</v>
      </c>
      <c r="O41" s="107">
        <f>IF(O$3="Forecast",N41,'BS - CF Actuals'!S117)</f>
        <v>0</v>
      </c>
      <c r="P41" s="107">
        <f>IF(P$3="Forecast",O41,'BS - CF Actuals'!T117)</f>
        <v>0</v>
      </c>
      <c r="Q41" s="107">
        <f>IF(Q$3="Forecast",P41,'BS - CF Actuals'!U117)</f>
        <v>-379174.74</v>
      </c>
      <c r="R41" s="107">
        <f>IF(R$3="Forecast",Q41,'BS - CF Actuals'!V117)</f>
        <v>-379174.74</v>
      </c>
      <c r="S41" s="107">
        <f>IF(S$3="Forecast",R41,'BS - CF Actuals'!W117)</f>
        <v>-379174.74</v>
      </c>
      <c r="T41" s="107">
        <f>IF(T$3="Forecast",S41,'BS - CF Actuals'!X117)</f>
        <v>-379174.74</v>
      </c>
      <c r="U41" s="107">
        <f>IF(U$3="Forecast",T41,'BS - CF Actuals'!Y117)</f>
        <v>-379174.74</v>
      </c>
      <c r="V41" s="107">
        <f>IF(V$3="Forecast",U41,'BS - CF Actuals'!Z117)</f>
        <v>-379174.74</v>
      </c>
      <c r="W41" s="107">
        <f>IF(W$3="Forecast",V41,'BS - CF Actuals'!AA117)</f>
        <v>-379174.74</v>
      </c>
      <c r="X41" s="107">
        <f>IF(X$3="Forecast",W41,'BS - CF Actuals'!AB117)</f>
        <v>-379174.74</v>
      </c>
      <c r="Y41" s="107">
        <f>IF(Y$3="Forecast",X41,'BS - CF Actuals'!AC117)</f>
        <v>-379174.74</v>
      </c>
      <c r="Z41" s="107">
        <f>IF(Z$3="Forecast",Y41,'BS - CF Actuals'!AD117)</f>
        <v>-379174.74</v>
      </c>
      <c r="AA41" s="107">
        <f>IF(AA$3="Forecast",Z41,'BS - CF Actuals'!AE117)</f>
        <v>-379174.74</v>
      </c>
      <c r="AB41" s="107">
        <f>IF(AB$3="Forecast",AA41,'BS - CF Actuals'!AF117)</f>
        <v>-379174.74</v>
      </c>
      <c r="AC41" s="107">
        <f>IF(AC$3="Forecast",AB41,'BS - CF Actuals'!AG117)</f>
        <v>-379174.74</v>
      </c>
      <c r="AD41" s="107">
        <f>IF(AD$3="Forecast",AC41,'BS - CF Actuals'!AH117)</f>
        <v>-379174.74</v>
      </c>
      <c r="AE41" s="107">
        <f>IF(AE$3="Forecast",AD41,'BS - CF Actuals'!AI117)</f>
        <v>-379174.74</v>
      </c>
      <c r="AF41" s="107">
        <f>IF(AF$3="Forecast",AE41,'BS - CF Actuals'!AJ117)</f>
        <v>-379174.74</v>
      </c>
      <c r="AG41" s="107">
        <f>IF(AG$3="Forecast",AF41,'BS - CF Actuals'!AK117)</f>
        <v>-379174.74</v>
      </c>
      <c r="AH41" s="107">
        <f>IF(AH$3="Forecast",AG41,'BS - CF Actuals'!AL117)</f>
        <v>-379174.74</v>
      </c>
      <c r="AI41" s="107">
        <f>IF(AI$3="Forecast",AH41,'BS - CF Actuals'!AM117)</f>
        <v>-379174.74</v>
      </c>
      <c r="AJ41" s="107">
        <f>IF(AJ$3="Forecast",AI41,'BS - CF Actuals'!AN117)</f>
        <v>-379174.74</v>
      </c>
      <c r="AK41" s="107">
        <f>IF(AK$3="Forecast",AJ41,'BS - CF Actuals'!AO117)</f>
        <v>-379174.74</v>
      </c>
      <c r="AL41" s="107">
        <f>IF(AL$3="Forecast",AK41,'BS - CF Actuals'!AP117)</f>
        <v>-379174.74</v>
      </c>
      <c r="AM41" s="107">
        <f>IF(AM$3="Forecast",AL41,'BS - CF Actuals'!AQ117)</f>
        <v>-379174.74</v>
      </c>
      <c r="AN41" s="107">
        <f>IF(AN$3="Forecast",AM41,'BS - CF Actuals'!AR117)</f>
        <v>-379174.74</v>
      </c>
      <c r="AO41" s="107">
        <f>IF(AO$3="Forecast",AN41,'BS - CF Actuals'!AS117)</f>
        <v>-379174.74</v>
      </c>
      <c r="AP41" s="107">
        <f>IF(AP$3="Forecast",AO41,'BS - CF Actuals'!AT117)</f>
        <v>-379174.74</v>
      </c>
      <c r="AQ41" s="107">
        <f>IF(AQ$3="Forecast",AP41,'BS - CF Actuals'!AU117)</f>
        <v>-379174.74</v>
      </c>
      <c r="AR41" s="107">
        <f>IF(AR$3="Forecast",AQ41,'BS - CF Actuals'!AV117)</f>
        <v>-379174.74</v>
      </c>
      <c r="AS41" s="107">
        <f>IF(AS$3="Forecast",AR41,'BS - CF Actuals'!AW117)</f>
        <v>-379174.74</v>
      </c>
      <c r="AT41" s="107">
        <f>IF(AT$3="Forecast",AS41,'BS - CF Actuals'!AX117)</f>
        <v>-379174.74</v>
      </c>
      <c r="AU41" s="107">
        <f>IF(AU$3="Forecast",AT41,'BS - CF Actuals'!AY117)</f>
        <v>-379174.74</v>
      </c>
      <c r="AV41" s="107">
        <f>IF(AV$3="Forecast",AU41,'BS - CF Actuals'!AZ117)</f>
        <v>-379174.74</v>
      </c>
      <c r="AW41" s="107">
        <f>IF(AW$3="Forecast",AV41,'BS - CF Actuals'!BA117)</f>
        <v>-379174.74</v>
      </c>
      <c r="AX41" s="107">
        <f>IF(AX$3="Forecast",AW41,'BS - CF Actuals'!BB117)</f>
        <v>-379174.74</v>
      </c>
      <c r="AY41" s="107">
        <f>IF(AY$3="Forecast",AX41,'BS - CF Actuals'!BC117)</f>
        <v>-379174.74</v>
      </c>
      <c r="AZ41" s="107">
        <f>IF(AZ$3="Forecast",AY41,'BS - CF Actuals'!BD117)</f>
        <v>-379174.74</v>
      </c>
      <c r="BA41" s="107">
        <f>IF(BA$3="Forecast",AZ41,'BS - CF Actuals'!BE117)</f>
        <v>-379174.74</v>
      </c>
      <c r="BB41" s="107">
        <f>IF(BB$3="Forecast",BA41,'BS - CF Actuals'!BF117)</f>
        <v>-379174.74</v>
      </c>
      <c r="BC41" s="107">
        <f>IF(BC$3="Forecast",BB41,'BS - CF Actuals'!BG117)</f>
        <v>-379174.74</v>
      </c>
      <c r="BD41" s="107">
        <f>IF(BD$3="Forecast",BC41,'BS - CF Actuals'!BH117)</f>
        <v>-379174.74</v>
      </c>
      <c r="BE41" s="107">
        <f>IF(BE$3="Forecast",BD41,'BS - CF Actuals'!BI117)</f>
        <v>-379174.74</v>
      </c>
      <c r="BF41" s="107">
        <f>IF(BF$3="Forecast",BE41,'BS - CF Actuals'!BJ117)</f>
        <v>-379174.74</v>
      </c>
      <c r="BG41" s="107">
        <f>IF(BG$3="Forecast",BF41,'BS - CF Actuals'!BK117)</f>
        <v>-379174.74</v>
      </c>
      <c r="BH41" s="107">
        <f>IF(BH$3="Forecast",BG41,'BS - CF Actuals'!BL117)</f>
        <v>-379174.74</v>
      </c>
      <c r="BI41" s="107">
        <f>IF(BI$3="Forecast",BH41,'BS - CF Actuals'!BM117)</f>
        <v>-379174.74</v>
      </c>
      <c r="BJ41" s="107">
        <f>IF(BJ$3="Forecast",BI41,'BS - CF Actuals'!BN117)</f>
        <v>-379174.74</v>
      </c>
      <c r="BK41" s="107">
        <f>IF(BK$3="Forecast",BJ41,'BS - CF Actuals'!BO117)</f>
        <v>-379174.74</v>
      </c>
      <c r="BL41" s="107">
        <f>IF(BL$3="Forecast",BK41,'BS - CF Actuals'!BP117)</f>
        <v>-379174.74</v>
      </c>
      <c r="BM41" s="107">
        <f>IF(BM$3="Forecast",BL41,'BS - CF Actuals'!BQ117)</f>
        <v>-379174.74</v>
      </c>
      <c r="BN41" s="107">
        <f>IF(BN$3="Forecast",BM41,'BS - CF Actuals'!BR117)</f>
        <v>-379174.74</v>
      </c>
      <c r="BO41" s="107">
        <f>IF(BO$3="Forecast",BN41,'BS - CF Actuals'!BS117)</f>
        <v>-379174.74</v>
      </c>
      <c r="BP41" s="107">
        <f>IF(BP$3="Forecast",BO41,'BS - CF Actuals'!BT117)</f>
        <v>-379174.74</v>
      </c>
      <c r="BQ41" s="107">
        <f>IF(BQ$3="Forecast",BP41,'BS - CF Actuals'!BU117)</f>
        <v>-379174.74</v>
      </c>
      <c r="BR41" s="107">
        <f>IF(BR$3="Forecast",BQ41,'BS - CF Actuals'!BV117)</f>
        <v>-379174.74</v>
      </c>
      <c r="BS41" s="107">
        <f>IF(BS$3="Forecast",BR41,'BS - CF Actuals'!BW117)</f>
        <v>-379174.74</v>
      </c>
      <c r="BT41" s="107">
        <f>IF(BT$3="Forecast",BS41,'BS - CF Actuals'!BX117)</f>
        <v>-379174.74</v>
      </c>
      <c r="BU41" s="107">
        <f>IF(BU$3="Forecast",BT41,'BS - CF Actuals'!BY117)</f>
        <v>-379174.74</v>
      </c>
      <c r="BV41" s="107">
        <f>IF(BV$3="Forecast",BU41,'BS - CF Actuals'!BZ117)</f>
        <v>-379174.74</v>
      </c>
      <c r="BW41" s="107">
        <f>IF(BW$3="Forecast",BV41,'BS - CF Actuals'!CA117)</f>
        <v>-379174.74</v>
      </c>
      <c r="BX41" s="107">
        <f>IF(BX$3="Forecast",BW41,'BS - CF Actuals'!CB117)</f>
        <v>-379174.74</v>
      </c>
      <c r="BY41" s="107">
        <f>IF(BY$3="Forecast",BX41,'BS - CF Actuals'!CC117)</f>
        <v>-379174.74</v>
      </c>
    </row>
    <row r="42" spans="1:77" x14ac:dyDescent="0.25">
      <c r="B42" s="514" t="s">
        <v>111</v>
      </c>
      <c r="D42" s="107">
        <f>IF(D$3="Forecast",A42,'BS - CF Actuals'!H118)</f>
        <v>1083231.1100000001</v>
      </c>
      <c r="E42" s="107">
        <f>IF(E$3="Forecast",B42,'BS - CF Actuals'!I118)</f>
        <v>2153113.71</v>
      </c>
      <c r="F42" s="107">
        <f>IF(F$3="Forecast",C42,'BS - CF Actuals'!J118)</f>
        <v>2931772.2299999995</v>
      </c>
      <c r="G42" s="107">
        <f>IF(G$3="Forecast",F42,'BS - CF Actuals'!K118)</f>
        <v>2931772.23</v>
      </c>
      <c r="H42" s="107">
        <f>IF(H$3="Forecast",G42,'BS - CF Actuals'!L118)</f>
        <v>2931772.23</v>
      </c>
      <c r="I42" s="107">
        <f>IF(I$3="Forecast",H42,'BS - CF Actuals'!M118)</f>
        <v>2931772.2299999995</v>
      </c>
      <c r="J42" s="107">
        <f>IF(J$3="Forecast",I42,'BS - CF Actuals'!N118)</f>
        <v>2931772.2299999995</v>
      </c>
      <c r="K42" s="107">
        <f>IF(K$3="Forecast",J42,'BS - CF Actuals'!O118)</f>
        <v>2931772.2299999995</v>
      </c>
      <c r="L42" s="107">
        <f>IF(L$3="Forecast",K42,'BS - CF Actuals'!P118)</f>
        <v>2931772.2299999995</v>
      </c>
      <c r="M42" s="107">
        <f>IF(M$3="Forecast",L42,'BS - CF Actuals'!Q118)</f>
        <v>2931772.2299999995</v>
      </c>
      <c r="N42" s="107">
        <f>IF(N$3="Forecast",M42,'BS - CF Actuals'!R118)</f>
        <v>2931772.2299999995</v>
      </c>
      <c r="O42" s="107">
        <f>IF(O$3="Forecast",N42,'BS - CF Actuals'!S118)</f>
        <v>2931772.2299999995</v>
      </c>
      <c r="P42" s="107">
        <f>IF(P$3="Forecast",O42,'BS - CF Actuals'!T118)</f>
        <v>2931772.2299999995</v>
      </c>
      <c r="Q42" s="107">
        <f>IF(Q$3="Forecast",P42,'BS - CF Actuals'!U118)</f>
        <v>0</v>
      </c>
      <c r="R42" s="107">
        <f>IF(R$3="Forecast",Q42,'BS - CF Actuals'!V118)</f>
        <v>-28.98</v>
      </c>
      <c r="S42" s="107">
        <f>IF(S$3="Forecast",R42,'BS - CF Actuals'!W118)</f>
        <v>-28.98</v>
      </c>
      <c r="T42" s="107">
        <f>IF(T$3="Forecast",S42,'BS - CF Actuals'!X118)</f>
        <v>-28.98</v>
      </c>
      <c r="U42" s="107">
        <f>IF(U$3="Forecast",T42,'BS - CF Actuals'!Y118)</f>
        <v>-28.98</v>
      </c>
      <c r="V42" s="107">
        <f>IF(V$3="Forecast",U42,'BS - CF Actuals'!Z118)</f>
        <v>-28.98</v>
      </c>
      <c r="W42" s="107">
        <f>IF(W$3="Forecast",V42,'BS - CF Actuals'!AA118)</f>
        <v>-28.98</v>
      </c>
      <c r="X42" s="107">
        <f>IF(X$3="Forecast",W42,'BS - CF Actuals'!AB118)</f>
        <v>-28.98</v>
      </c>
      <c r="Y42" s="107">
        <f>IF(Y$3="Forecast",X42,'BS - CF Actuals'!AC118)</f>
        <v>-28.98</v>
      </c>
      <c r="Z42" s="107">
        <f>IF(Z$3="Forecast",Y42,'BS - CF Actuals'!AD118)</f>
        <v>-28.98</v>
      </c>
      <c r="AA42" s="107">
        <f>IF(AA$3="Forecast",Z42,'BS - CF Actuals'!AE118)</f>
        <v>-28.98</v>
      </c>
      <c r="AB42" s="107">
        <f>IF(AB$3="Forecast",AA42,'BS - CF Actuals'!AF118)</f>
        <v>-28.98</v>
      </c>
      <c r="AC42" s="107">
        <f>IF(AC$3="Forecast",AB42,'BS - CF Actuals'!AG118)</f>
        <v>-28.98</v>
      </c>
      <c r="AD42" s="107">
        <f>IF(AD$3="Forecast",AC42,'BS - CF Actuals'!AH118)</f>
        <v>-28.98</v>
      </c>
      <c r="AE42" s="107">
        <f>IF(AE$3="Forecast",AD42,'BS - CF Actuals'!AI118)</f>
        <v>-28.98</v>
      </c>
      <c r="AF42" s="107">
        <f>IF(AF$3="Forecast",AE42,'BS - CF Actuals'!AJ118)</f>
        <v>-28.98</v>
      </c>
      <c r="AG42" s="107">
        <f>IF(AG$3="Forecast",AF42,'BS - CF Actuals'!AK118)</f>
        <v>-28.98</v>
      </c>
      <c r="AH42" s="107">
        <f>IF(AH$3="Forecast",AG42,'BS - CF Actuals'!AL118)</f>
        <v>-28.98</v>
      </c>
      <c r="AI42" s="107">
        <f>IF(AI$3="Forecast",AH42,'BS - CF Actuals'!AM118)</f>
        <v>-28.98</v>
      </c>
      <c r="AJ42" s="107">
        <f>IF(AJ$3="Forecast",AI42,'BS - CF Actuals'!AN118)</f>
        <v>-28.98</v>
      </c>
      <c r="AK42" s="107">
        <f>IF(AK$3="Forecast",AJ42,'BS - CF Actuals'!AO118)</f>
        <v>-28.98</v>
      </c>
      <c r="AL42" s="107">
        <f>IF(AL$3="Forecast",AK42,'BS - CF Actuals'!AP118)</f>
        <v>-28.98</v>
      </c>
      <c r="AM42" s="107">
        <f>IF(AM$3="Forecast",AL42,'BS - CF Actuals'!AQ118)</f>
        <v>-28.98</v>
      </c>
      <c r="AN42" s="107">
        <f>IF(AN$3="Forecast",AM42,'BS - CF Actuals'!AR118)</f>
        <v>-28.98</v>
      </c>
      <c r="AO42" s="107">
        <f>IF(AO$3="Forecast",AN42,'BS - CF Actuals'!AS118)</f>
        <v>-28.98</v>
      </c>
      <c r="AP42" s="107">
        <f>IF(AP$3="Forecast",AO42,'BS - CF Actuals'!AT118)</f>
        <v>-28.98</v>
      </c>
      <c r="AQ42" s="107">
        <f>IF(AQ$3="Forecast",AP42,'BS - CF Actuals'!AU118)</f>
        <v>-28.98</v>
      </c>
      <c r="AR42" s="107">
        <f>IF(AR$3="Forecast",AQ42,'BS - CF Actuals'!AV118)</f>
        <v>-28.98</v>
      </c>
      <c r="AS42" s="107">
        <f>IF(AS$3="Forecast",AR42,'BS - CF Actuals'!AW118)</f>
        <v>-28.98</v>
      </c>
      <c r="AT42" s="107">
        <f>IF(AT$3="Forecast",AS42,'BS - CF Actuals'!AX118)</f>
        <v>-28.98</v>
      </c>
      <c r="AU42" s="107">
        <f>IF(AU$3="Forecast",AT42,'BS - CF Actuals'!AY118)</f>
        <v>-28.98</v>
      </c>
      <c r="AV42" s="107">
        <f>IF(AV$3="Forecast",AU42,'BS - CF Actuals'!AZ118)</f>
        <v>-28.98</v>
      </c>
      <c r="AW42" s="107">
        <f>IF(AW$3="Forecast",AV42,'BS - CF Actuals'!BA118)</f>
        <v>-28.98</v>
      </c>
      <c r="AX42" s="107">
        <f>IF(AX$3="Forecast",AW42,'BS - CF Actuals'!BB118)</f>
        <v>-28.98</v>
      </c>
      <c r="AY42" s="107">
        <f>IF(AY$3="Forecast",AX42,'BS - CF Actuals'!BC118)</f>
        <v>-28.98</v>
      </c>
      <c r="AZ42" s="107">
        <f>IF(AZ$3="Forecast",AY42,'BS - CF Actuals'!BD118)</f>
        <v>-28.98</v>
      </c>
      <c r="BA42" s="107">
        <f>IF(BA$3="Forecast",AZ42,'BS - CF Actuals'!BE118)</f>
        <v>-28.98</v>
      </c>
      <c r="BB42" s="107">
        <f>IF(BB$3="Forecast",BA42,'BS - CF Actuals'!BF118)</f>
        <v>-28.98</v>
      </c>
      <c r="BC42" s="107">
        <f>IF(BC$3="Forecast",BB42,'BS - CF Actuals'!BG118)</f>
        <v>-28.98</v>
      </c>
      <c r="BD42" s="107">
        <f>IF(BD$3="Forecast",BC42,'BS - CF Actuals'!BH118)</f>
        <v>-28.98</v>
      </c>
      <c r="BE42" s="107">
        <f>IF(BE$3="Forecast",BD42,'BS - CF Actuals'!BI118)</f>
        <v>-28.98</v>
      </c>
      <c r="BF42" s="107">
        <f>IF(BF$3="Forecast",BE42,'BS - CF Actuals'!BJ118)</f>
        <v>-28.98</v>
      </c>
      <c r="BG42" s="107">
        <f>IF(BG$3="Forecast",BF42,'BS - CF Actuals'!BK118)</f>
        <v>-28.98</v>
      </c>
      <c r="BH42" s="107">
        <f>IF(BH$3="Forecast",BG42,'BS - CF Actuals'!BL118)</f>
        <v>-28.98</v>
      </c>
      <c r="BI42" s="107">
        <f>IF(BI$3="Forecast",BH42,'BS - CF Actuals'!BM118)</f>
        <v>-28.98</v>
      </c>
      <c r="BJ42" s="107">
        <f>IF(BJ$3="Forecast",BI42,'BS - CF Actuals'!BN118)</f>
        <v>-28.98</v>
      </c>
      <c r="BK42" s="107">
        <f>IF(BK$3="Forecast",BJ42,'BS - CF Actuals'!BO118)</f>
        <v>-28.98</v>
      </c>
      <c r="BL42" s="107">
        <f>IF(BL$3="Forecast",BK42,'BS - CF Actuals'!BP118)</f>
        <v>-28.98</v>
      </c>
      <c r="BM42" s="107">
        <f>IF(BM$3="Forecast",BL42,'BS - CF Actuals'!BQ118)</f>
        <v>-28.98</v>
      </c>
      <c r="BN42" s="107">
        <f>IF(BN$3="Forecast",BM42,'BS - CF Actuals'!BR118)</f>
        <v>-28.98</v>
      </c>
      <c r="BO42" s="107">
        <f>IF(BO$3="Forecast",BN42,'BS - CF Actuals'!BS118)</f>
        <v>-28.98</v>
      </c>
      <c r="BP42" s="107">
        <f>IF(BP$3="Forecast",BO42,'BS - CF Actuals'!BT118)</f>
        <v>-28.98</v>
      </c>
      <c r="BQ42" s="107">
        <f>IF(BQ$3="Forecast",BP42,'BS - CF Actuals'!BU118)</f>
        <v>-28.98</v>
      </c>
      <c r="BR42" s="107">
        <f>IF(BR$3="Forecast",BQ42,'BS - CF Actuals'!BV118)</f>
        <v>-28.98</v>
      </c>
      <c r="BS42" s="107">
        <f>IF(BS$3="Forecast",BR42,'BS - CF Actuals'!BW118)</f>
        <v>-28.98</v>
      </c>
      <c r="BT42" s="107">
        <f>IF(BT$3="Forecast",BS42,'BS - CF Actuals'!BX118)</f>
        <v>-28.98</v>
      </c>
      <c r="BU42" s="107">
        <f>IF(BU$3="Forecast",BT42,'BS - CF Actuals'!BY118)</f>
        <v>-28.98</v>
      </c>
      <c r="BV42" s="107">
        <f>IF(BV$3="Forecast",BU42,'BS - CF Actuals'!BZ118)</f>
        <v>-28.98</v>
      </c>
      <c r="BW42" s="107">
        <f>IF(BW$3="Forecast",BV42,'BS - CF Actuals'!CA118)</f>
        <v>-28.98</v>
      </c>
      <c r="BX42" s="107">
        <f>IF(BX$3="Forecast",BW42,'BS - CF Actuals'!CB118)</f>
        <v>-28.98</v>
      </c>
      <c r="BY42" s="107">
        <f>IF(BY$3="Forecast",BX42,'BS - CF Actuals'!CC118)</f>
        <v>-28.98</v>
      </c>
    </row>
    <row r="43" spans="1:77" x14ac:dyDescent="0.25">
      <c r="B43" s="514" t="s">
        <v>359</v>
      </c>
      <c r="D43" s="107"/>
      <c r="E43" s="107"/>
      <c r="F43" s="107">
        <f>IF(F$3="Forecast",C43,'BS - CF Actuals'!J115)</f>
        <v>0</v>
      </c>
      <c r="G43" s="107">
        <f>IF(G$3="Forecast",F43,'BS - CF Actuals'!K115)</f>
        <v>0</v>
      </c>
      <c r="H43" s="107">
        <f>IF(H$3="Forecast",G43,'BS - CF Actuals'!L115)</f>
        <v>0</v>
      </c>
      <c r="I43" s="107">
        <f>IF(I$3="Forecast",H43,'BS - CF Actuals'!M115)</f>
        <v>0</v>
      </c>
      <c r="J43" s="107">
        <f>IF(J$3="Forecast",I43,'BS - CF Actuals'!N115)</f>
        <v>0</v>
      </c>
      <c r="K43" s="107">
        <f>IF(K$3="Forecast",J43,'BS - CF Actuals'!O115)</f>
        <v>0</v>
      </c>
      <c r="L43" s="107">
        <f>IF(L$3="Forecast",K43,'BS - CF Actuals'!P115)</f>
        <v>0</v>
      </c>
      <c r="M43" s="107">
        <f>IF(M$3="Forecast",L43,'BS - CF Actuals'!Q115)</f>
        <v>0</v>
      </c>
      <c r="N43" s="107">
        <f>IF(N$3="Forecast",M43,'BS - CF Actuals'!R115)</f>
        <v>0</v>
      </c>
      <c r="O43" s="107">
        <f>IF(O$3="Forecast",N43,'BS - CF Actuals'!S115)</f>
        <v>0</v>
      </c>
      <c r="P43" s="107">
        <f>IF(P$3="Forecast",O43,'BS - CF Actuals'!T115)</f>
        <v>0</v>
      </c>
      <c r="Q43" s="107">
        <f>IF(Q$3="Forecast",P43,'BS - CF Actuals'!U115)</f>
        <v>1930197.24</v>
      </c>
      <c r="R43" s="107">
        <f>IF(R$3="Forecast",Q43,'BS - CF Actuals'!V115)</f>
        <v>1930197.24</v>
      </c>
      <c r="S43" s="107">
        <f>IF(S$3="Forecast",R43,'BS - CF Actuals'!W115)</f>
        <v>1930197.24</v>
      </c>
      <c r="T43" s="107">
        <f>IF(T$3="Forecast",S43,'BS - CF Actuals'!X115)</f>
        <v>1930197.24</v>
      </c>
      <c r="U43" s="107">
        <f>IF(U$3="Forecast",T43,'BS - CF Actuals'!Y115)</f>
        <v>1930197.24</v>
      </c>
      <c r="V43" s="107">
        <f>IF(V$3="Forecast",U43,'BS - CF Actuals'!Z115)</f>
        <v>1930197.24</v>
      </c>
      <c r="W43" s="107">
        <f>IF(W$3="Forecast",V43,'BS - CF Actuals'!AA115)</f>
        <v>1930197.24</v>
      </c>
      <c r="X43" s="107">
        <f>IF(X$3="Forecast",W43,'BS - CF Actuals'!AB115)</f>
        <v>1930197.24</v>
      </c>
      <c r="Y43" s="107">
        <f>IF(Y$3="Forecast",X43,'BS - CF Actuals'!AC115)</f>
        <v>1930197.24</v>
      </c>
      <c r="Z43" s="107">
        <f>IF(Z$3="Forecast",Y43,'BS - CF Actuals'!AD115)</f>
        <v>1930197.24</v>
      </c>
      <c r="AA43" s="107">
        <f>IF(AA$3="Forecast",Z43,'BS - CF Actuals'!AE115)</f>
        <v>1930197.24</v>
      </c>
      <c r="AB43" s="107">
        <f>IF(AB$3="Forecast",AA43,'BS - CF Actuals'!AF115)</f>
        <v>1930197.24</v>
      </c>
      <c r="AC43" s="107">
        <f>IF(AC$3="Forecast",AB43,'BS - CF Actuals'!AG115)</f>
        <v>1930197.24</v>
      </c>
      <c r="AD43" s="107">
        <f>IF(AD$3="Forecast",AC43,'BS - CF Actuals'!AH115)</f>
        <v>1930197.24</v>
      </c>
      <c r="AE43" s="107">
        <f>IF(AE$3="Forecast",AD43,'BS - CF Actuals'!AI115)</f>
        <v>1930197.24</v>
      </c>
      <c r="AF43" s="107">
        <f>IF(AF$3="Forecast",AE43,'BS - CF Actuals'!AJ115)</f>
        <v>1930197.24</v>
      </c>
      <c r="AG43" s="107">
        <f>IF(AG$3="Forecast",AF43,'BS - CF Actuals'!AK115)</f>
        <v>1930197.24</v>
      </c>
      <c r="AH43" s="107">
        <f>IF(AH$3="Forecast",AG43,'BS - CF Actuals'!AL115)</f>
        <v>1930197.24</v>
      </c>
      <c r="AI43" s="107">
        <f>IF(AI$3="Forecast",AH43,'BS - CF Actuals'!AM115)</f>
        <v>1930197.24</v>
      </c>
      <c r="AJ43" s="107">
        <f>IF(AJ$3="Forecast",AI43,'BS - CF Actuals'!AN115)</f>
        <v>1930197.24</v>
      </c>
      <c r="AK43" s="107">
        <f>IF(AK$3="Forecast",AJ43,'BS - CF Actuals'!AO115)</f>
        <v>1930197.24</v>
      </c>
      <c r="AL43" s="107">
        <f>IF(AL$3="Forecast",AK43,'BS - CF Actuals'!AP115)</f>
        <v>1930197.24</v>
      </c>
      <c r="AM43" s="107">
        <f>IF(AM$3="Forecast",AL43,'BS - CF Actuals'!AQ115)</f>
        <v>1930197.24</v>
      </c>
      <c r="AN43" s="107">
        <f>IF(AN$3="Forecast",AM43,'BS - CF Actuals'!AR115)</f>
        <v>1930197.24</v>
      </c>
      <c r="AO43" s="107">
        <f>IF(AO$3="Forecast",AN43,'BS - CF Actuals'!AS115)</f>
        <v>1930197.24</v>
      </c>
      <c r="AP43" s="107">
        <f>IF(AP$3="Forecast",AO43,'BS - CF Actuals'!AT115)</f>
        <v>1930197.24</v>
      </c>
      <c r="AQ43" s="107">
        <f>IF(AQ$3="Forecast",AP43,'BS - CF Actuals'!AU115)</f>
        <v>1930197.24</v>
      </c>
      <c r="AR43" s="107">
        <f>IF(AR$3="Forecast",AQ43,'BS - CF Actuals'!AV115)</f>
        <v>1930197.24</v>
      </c>
      <c r="AS43" s="107">
        <f>IF(AS$3="Forecast",AR43,'BS - CF Actuals'!AW115)</f>
        <v>1930197.24</v>
      </c>
      <c r="AT43" s="107">
        <f>IF(AT$3="Forecast",AS43,'BS - CF Actuals'!AX115)</f>
        <v>1930197.24</v>
      </c>
      <c r="AU43" s="107">
        <f>IF(AU$3="Forecast",AT43,'BS - CF Actuals'!AY115)</f>
        <v>1930197.24</v>
      </c>
      <c r="AV43" s="107">
        <f>IF(AV$3="Forecast",AU43,'BS - CF Actuals'!AZ115)</f>
        <v>1930197.24</v>
      </c>
      <c r="AW43" s="107">
        <f>IF(AW$3="Forecast",AV43,'BS - CF Actuals'!BA115)</f>
        <v>1930197.24</v>
      </c>
      <c r="AX43" s="107">
        <f>IF(AX$3="Forecast",AW43,'BS - CF Actuals'!BB115)</f>
        <v>1930197.24</v>
      </c>
      <c r="AY43" s="107">
        <f>IF(AY$3="Forecast",AX43,'BS - CF Actuals'!BC115)</f>
        <v>1930197.24</v>
      </c>
      <c r="AZ43" s="107">
        <f>IF(AZ$3="Forecast",AY43,'BS - CF Actuals'!BD115)</f>
        <v>1930197.24</v>
      </c>
      <c r="BA43" s="107">
        <f>IF(BA$3="Forecast",AZ43,'BS - CF Actuals'!BE115)</f>
        <v>1930197.24</v>
      </c>
      <c r="BB43" s="107">
        <f>IF(BB$3="Forecast",BA43,'BS - CF Actuals'!BF115)</f>
        <v>1930197.24</v>
      </c>
      <c r="BC43" s="107">
        <f>IF(BC$3="Forecast",BB43,'BS - CF Actuals'!BG115)</f>
        <v>1930197.24</v>
      </c>
      <c r="BD43" s="107">
        <f>IF(BD$3="Forecast",BC43,'BS - CF Actuals'!BH115)</f>
        <v>1930197.24</v>
      </c>
      <c r="BE43" s="107">
        <f>IF(BE$3="Forecast",BD43,'BS - CF Actuals'!BI115)</f>
        <v>1930197.24</v>
      </c>
      <c r="BF43" s="107">
        <f>IF(BF$3="Forecast",BE43,'BS - CF Actuals'!BJ115)</f>
        <v>1930197.24</v>
      </c>
      <c r="BG43" s="107">
        <f>IF(BG$3="Forecast",BF43,'BS - CF Actuals'!BK115)</f>
        <v>1930197.24</v>
      </c>
      <c r="BH43" s="107">
        <f>IF(BH$3="Forecast",BG43,'BS - CF Actuals'!BL115)</f>
        <v>1930197.24</v>
      </c>
      <c r="BI43" s="107">
        <f>IF(BI$3="Forecast",BH43,'BS - CF Actuals'!BM115)</f>
        <v>1930197.24</v>
      </c>
      <c r="BJ43" s="107">
        <f>IF(BJ$3="Forecast",BI43,'BS - CF Actuals'!BN115)</f>
        <v>1930197.24</v>
      </c>
      <c r="BK43" s="107">
        <f>IF(BK$3="Forecast",BJ43,'BS - CF Actuals'!BO115)</f>
        <v>1930197.24</v>
      </c>
      <c r="BL43" s="107">
        <f>IF(BL$3="Forecast",BK43,'BS - CF Actuals'!BP115)</f>
        <v>1930197.24</v>
      </c>
      <c r="BM43" s="107">
        <f>IF(BM$3="Forecast",BL43,'BS - CF Actuals'!BQ115)</f>
        <v>1930197.24</v>
      </c>
      <c r="BN43" s="107">
        <f>IF(BN$3="Forecast",BM43,'BS - CF Actuals'!BR115)</f>
        <v>1930197.24</v>
      </c>
      <c r="BO43" s="107">
        <f>IF(BO$3="Forecast",BN43,'BS - CF Actuals'!BS115)</f>
        <v>1930197.24</v>
      </c>
      <c r="BP43" s="107">
        <f>IF(BP$3="Forecast",BO43,'BS - CF Actuals'!BT115)</f>
        <v>1930197.24</v>
      </c>
      <c r="BQ43" s="107">
        <f>IF(BQ$3="Forecast",BP43,'BS - CF Actuals'!BU115)</f>
        <v>1930197.24</v>
      </c>
      <c r="BR43" s="107">
        <f>IF(BR$3="Forecast",BQ43,'BS - CF Actuals'!BV115)</f>
        <v>1930197.24</v>
      </c>
      <c r="BS43" s="107">
        <f>IF(BS$3="Forecast",BR43,'BS - CF Actuals'!BW115)</f>
        <v>1930197.24</v>
      </c>
      <c r="BT43" s="107">
        <f>IF(BT$3="Forecast",BS43,'BS - CF Actuals'!BX115)</f>
        <v>1930197.24</v>
      </c>
      <c r="BU43" s="107">
        <f>IF(BU$3="Forecast",BT43,'BS - CF Actuals'!BY115)</f>
        <v>1930197.24</v>
      </c>
      <c r="BV43" s="107">
        <f>IF(BV$3="Forecast",BU43,'BS - CF Actuals'!BZ115)</f>
        <v>1930197.24</v>
      </c>
      <c r="BW43" s="107">
        <f>IF(BW$3="Forecast",BV43,'BS - CF Actuals'!CA115)</f>
        <v>1930197.24</v>
      </c>
      <c r="BX43" s="107">
        <f>IF(BX$3="Forecast",BW43,'BS - CF Actuals'!CB115)</f>
        <v>1930197.24</v>
      </c>
      <c r="BY43" s="107">
        <f>IF(BY$3="Forecast",BX43,'BS - CF Actuals'!CC115)</f>
        <v>1930197.24</v>
      </c>
    </row>
    <row r="44" spans="1:77" x14ac:dyDescent="0.25">
      <c r="B44" s="132" t="s">
        <v>379</v>
      </c>
      <c r="D44" s="107">
        <f>IF(D$3="Forecast",A44,'BS - CF Actuals'!H122)</f>
        <v>0</v>
      </c>
      <c r="E44" s="107">
        <f>IF(E$3="Forecast",B44,'BS - CF Actuals'!I122)</f>
        <v>-1225000</v>
      </c>
      <c r="F44" s="107">
        <f>IF(F$3="Forecast",C44,'BS - CF Actuals'!J122)</f>
        <v>-2335798.7999999998</v>
      </c>
      <c r="G44" s="107">
        <f>IF(G$3="Forecast",F44,'BS - CF Actuals'!K122)</f>
        <v>-2873432.8</v>
      </c>
      <c r="H44" s="107">
        <f>IF(H$3="Forecast",G44,'BS - CF Actuals'!L122)</f>
        <v>-3123432.8</v>
      </c>
      <c r="I44" s="107">
        <f>IF(I$3="Forecast",H44,'BS - CF Actuals'!M122)</f>
        <v>-3661066.8</v>
      </c>
      <c r="J44" s="107">
        <f>IF(J$3="Forecast",I44,'BS - CF Actuals'!N122)</f>
        <v>-3861066.8000000003</v>
      </c>
      <c r="K44" s="107">
        <f>IF(K$3="Forecast",J44,'BS - CF Actuals'!O122)</f>
        <v>-4161066.8000000003</v>
      </c>
      <c r="L44" s="107">
        <f>IF(L$3="Forecast",K44,'BS - CF Actuals'!P122)</f>
        <v>-4361066.8000000007</v>
      </c>
      <c r="M44" s="107">
        <f>IF(M$3="Forecast",L44,'BS - CF Actuals'!Q122)</f>
        <v>-4361066.8000000007</v>
      </c>
      <c r="N44" s="107">
        <f>IF(N$3="Forecast",M44,'BS - CF Actuals'!R122)</f>
        <v>-5161066.8</v>
      </c>
      <c r="O44" s="107">
        <f>IF(O$3="Forecast",N44,'BS - CF Actuals'!S122)</f>
        <v>-5761066.7999999998</v>
      </c>
      <c r="P44" s="107">
        <f>IF(P$3="Forecast",O44,'BS - CF Actuals'!T122)</f>
        <v>-6836336.8000000007</v>
      </c>
      <c r="Q44" s="107">
        <f>IF(Q$3="Forecast",P44,'BS - CF Actuals'!U122)</f>
        <v>0</v>
      </c>
      <c r="R44" s="107">
        <f>IF(R$3="Forecast",Q44,'BS - CF Actuals'!V122)</f>
        <v>0</v>
      </c>
      <c r="S44" s="107">
        <f>IF(S$3="Forecast",R44,'BS - CF Actuals'!W122)</f>
        <v>0</v>
      </c>
      <c r="T44" s="107">
        <f>IF(T$3="Forecast",S44,'BS - CF Actuals'!X122)</f>
        <v>0</v>
      </c>
      <c r="U44" s="107">
        <f>IF(U$3="Forecast",T44,'BS - CF Actuals'!Y122)</f>
        <v>0</v>
      </c>
      <c r="V44" s="107">
        <f>IF(V$3="Forecast",U44,'BS - CF Actuals'!Z122)</f>
        <v>0</v>
      </c>
      <c r="W44" s="107">
        <f>IF(W$3="Forecast",V44,'BS - CF Actuals'!AA122)</f>
        <v>0</v>
      </c>
      <c r="X44" s="107">
        <f>IF(X$3="Forecast",W44,'BS - CF Actuals'!AB122)</f>
        <v>0</v>
      </c>
      <c r="Y44" s="107">
        <f>IF(Y$3="Forecast",X44,'BS - CF Actuals'!AC122)</f>
        <v>0</v>
      </c>
      <c r="Z44" s="107">
        <f>IF(Z$3="Forecast",Y44,'BS - CF Actuals'!AD122)</f>
        <v>0</v>
      </c>
      <c r="AA44" s="107">
        <f>IF(AA$3="Forecast",Z44,'BS - CF Actuals'!AE122)</f>
        <v>0</v>
      </c>
      <c r="AB44" s="107">
        <f>IF(AB$3="Forecast",AA44,'BS - CF Actuals'!AF122)</f>
        <v>0</v>
      </c>
      <c r="AC44" s="107">
        <f>IF(AC$3="Forecast",AB44,'BS - CF Actuals'!AG122)</f>
        <v>0</v>
      </c>
      <c r="AD44" s="107">
        <f>IF(AD$3="Forecast",AC44,'BS - CF Actuals'!AH122)</f>
        <v>0</v>
      </c>
      <c r="AE44" s="107">
        <f>IF(AE$3="Forecast",AD44,'BS - CF Actuals'!AI122)</f>
        <v>0</v>
      </c>
      <c r="AF44" s="107">
        <f>IF(AF$3="Forecast",AE44,'BS - CF Actuals'!AJ122)</f>
        <v>0</v>
      </c>
      <c r="AG44" s="107">
        <f>IF(AG$3="Forecast",AF44,'BS - CF Actuals'!AK122)</f>
        <v>0</v>
      </c>
      <c r="AH44" s="107">
        <f>IF(AH$3="Forecast",AG44,'BS - CF Actuals'!AL122)</f>
        <v>0</v>
      </c>
      <c r="AI44" s="107">
        <f>IF(AI$3="Forecast",AH44,'BS - CF Actuals'!AM122)</f>
        <v>0</v>
      </c>
      <c r="AJ44" s="107">
        <f>IF(AJ$3="Forecast",AI44,'BS - CF Actuals'!AN122)</f>
        <v>0</v>
      </c>
      <c r="AK44" s="107">
        <f>IF(AK$3="Forecast",AJ44,'BS - CF Actuals'!AO122)</f>
        <v>0</v>
      </c>
      <c r="AL44" s="107">
        <f>IF(AL$3="Forecast",AK44,'BS - CF Actuals'!AP122)</f>
        <v>0</v>
      </c>
      <c r="AM44" s="107">
        <f>IF(AM$3="Forecast",AL44,'BS - CF Actuals'!AQ122)</f>
        <v>0</v>
      </c>
      <c r="AN44" s="107">
        <f>IF(AN$3="Forecast",AM44,'BS - CF Actuals'!AR122)</f>
        <v>0</v>
      </c>
      <c r="AO44" s="107">
        <f>IF(AO$3="Forecast",AN44,'BS - CF Actuals'!AS122)</f>
        <v>0</v>
      </c>
      <c r="AP44" s="107">
        <f>IF(AP$3="Forecast",AO44,'BS - CF Actuals'!AT122)</f>
        <v>0</v>
      </c>
      <c r="AQ44" s="107">
        <f>IF(AQ$3="Forecast",AP44,'BS - CF Actuals'!AU122)</f>
        <v>0</v>
      </c>
      <c r="AR44" s="107">
        <f>IF(AR$3="Forecast",AQ44,'BS - CF Actuals'!AV122)</f>
        <v>0</v>
      </c>
      <c r="AS44" s="107">
        <f>IF(AS$3="Forecast",AR44,'BS - CF Actuals'!AW122)</f>
        <v>0</v>
      </c>
      <c r="AT44" s="107">
        <f>IF(AT$3="Forecast",AS44,'BS - CF Actuals'!AX122)</f>
        <v>0</v>
      </c>
      <c r="AU44" s="107">
        <f>IF(AU$3="Forecast",AT44,'BS - CF Actuals'!AY122)</f>
        <v>0</v>
      </c>
      <c r="AV44" s="107">
        <f>IF(AV$3="Forecast",AU44,'BS - CF Actuals'!AZ122)</f>
        <v>0</v>
      </c>
      <c r="AW44" s="107">
        <f>IF(AW$3="Forecast",AV44,'BS - CF Actuals'!BA122)</f>
        <v>0</v>
      </c>
      <c r="AX44" s="107">
        <f>IF(AX$3="Forecast",AW44,'BS - CF Actuals'!BB122)</f>
        <v>0</v>
      </c>
      <c r="AY44" s="107">
        <f>IF(AY$3="Forecast",AX44,'BS - CF Actuals'!BC122)</f>
        <v>0</v>
      </c>
      <c r="AZ44" s="107">
        <f>IF(AZ$3="Forecast",AY44,'BS - CF Actuals'!BD122)</f>
        <v>0</v>
      </c>
      <c r="BA44" s="107">
        <f>IF(BA$3="Forecast",AZ44,'BS - CF Actuals'!BE122)</f>
        <v>0</v>
      </c>
      <c r="BB44" s="107">
        <f>IF(BB$3="Forecast",BA44,'BS - CF Actuals'!BF122)</f>
        <v>0</v>
      </c>
      <c r="BC44" s="107">
        <f>IF(BC$3="Forecast",BB44,'BS - CF Actuals'!BG122)</f>
        <v>0</v>
      </c>
      <c r="BD44" s="107">
        <f>IF(BD$3="Forecast",BC44,'BS - CF Actuals'!BH122)</f>
        <v>0</v>
      </c>
      <c r="BE44" s="107">
        <f>IF(BE$3="Forecast",BD44,'BS - CF Actuals'!BI122)</f>
        <v>0</v>
      </c>
      <c r="BF44" s="107">
        <f>IF(BF$3="Forecast",BE44,'BS - CF Actuals'!BJ122)</f>
        <v>0</v>
      </c>
      <c r="BG44" s="107">
        <f>IF(BG$3="Forecast",BF44,'BS - CF Actuals'!BK122)</f>
        <v>0</v>
      </c>
      <c r="BH44" s="107">
        <f>IF(BH$3="Forecast",BG44,'BS - CF Actuals'!BL122)</f>
        <v>0</v>
      </c>
      <c r="BI44" s="107">
        <f>IF(BI$3="Forecast",BH44,'BS - CF Actuals'!BM122)</f>
        <v>0</v>
      </c>
      <c r="BJ44" s="107">
        <f>IF(BJ$3="Forecast",BI44,'BS - CF Actuals'!BN122)</f>
        <v>0</v>
      </c>
      <c r="BK44" s="107">
        <f>IF(BK$3="Forecast",BJ44,'BS - CF Actuals'!BO122)</f>
        <v>0</v>
      </c>
      <c r="BL44" s="107">
        <f>IF(BL$3="Forecast",BK44,'BS - CF Actuals'!BP122)</f>
        <v>0</v>
      </c>
      <c r="BM44" s="107">
        <f>IF(BM$3="Forecast",BL44,'BS - CF Actuals'!BQ122)</f>
        <v>0</v>
      </c>
      <c r="BN44" s="107">
        <f>IF(BN$3="Forecast",BM44,'BS - CF Actuals'!BR122)</f>
        <v>0</v>
      </c>
      <c r="BO44" s="107">
        <f>IF(BO$3="Forecast",BN44,'BS - CF Actuals'!BS122)</f>
        <v>0</v>
      </c>
      <c r="BP44" s="107">
        <f>IF(BP$3="Forecast",BO44,'BS - CF Actuals'!BT122)</f>
        <v>0</v>
      </c>
      <c r="BQ44" s="107">
        <f>IF(BQ$3="Forecast",BP44,'BS - CF Actuals'!BU122)</f>
        <v>0</v>
      </c>
      <c r="BR44" s="107">
        <f>IF(BR$3="Forecast",BQ44,'BS - CF Actuals'!BV122)</f>
        <v>0</v>
      </c>
      <c r="BS44" s="107">
        <f>IF(BS$3="Forecast",BR44,'BS - CF Actuals'!BW122)</f>
        <v>0</v>
      </c>
      <c r="BT44" s="107">
        <f>IF(BT$3="Forecast",BS44,'BS - CF Actuals'!BX122)</f>
        <v>0</v>
      </c>
      <c r="BU44" s="107">
        <f>IF(BU$3="Forecast",BT44,'BS - CF Actuals'!BY122)</f>
        <v>0</v>
      </c>
      <c r="BV44" s="107">
        <f>IF(BV$3="Forecast",BU44,'BS - CF Actuals'!BZ122)</f>
        <v>0</v>
      </c>
      <c r="BW44" s="107">
        <f>IF(BW$3="Forecast",BV44,'BS - CF Actuals'!CA122)</f>
        <v>0</v>
      </c>
      <c r="BX44" s="107">
        <f>IF(BX$3="Forecast",BW44,'BS - CF Actuals'!CB122)</f>
        <v>0</v>
      </c>
      <c r="BY44" s="107">
        <f>IF(BY$3="Forecast",BX44,'BS - CF Actuals'!CC122)</f>
        <v>0</v>
      </c>
    </row>
    <row r="45" spans="1:77" ht="13" x14ac:dyDescent="0.3">
      <c r="B45" s="586" t="s">
        <v>721</v>
      </c>
      <c r="D45" s="107"/>
      <c r="E45" s="107"/>
      <c r="F45" s="107"/>
      <c r="G45" s="107"/>
      <c r="H45" s="107"/>
      <c r="I45" s="107"/>
      <c r="J45" s="107"/>
      <c r="K45" s="107"/>
      <c r="L45" s="107"/>
      <c r="M45" s="107"/>
      <c r="N45" s="107"/>
      <c r="O45" s="107"/>
      <c r="P45" s="107"/>
      <c r="Q45" s="107"/>
      <c r="R45" s="107"/>
      <c r="S45" s="107"/>
      <c r="T45" s="107"/>
      <c r="U45" s="107"/>
      <c r="V45" s="107"/>
      <c r="W45" s="107"/>
      <c r="X45" s="107"/>
      <c r="Y45" s="107"/>
      <c r="Z45" s="107"/>
      <c r="AA45" s="107"/>
      <c r="AB45" s="107"/>
      <c r="AC45" s="107"/>
      <c r="AD45" s="107"/>
      <c r="AE45" s="107"/>
      <c r="AF45" s="107"/>
      <c r="AG45" s="107"/>
      <c r="AH45" s="107"/>
      <c r="AI45" s="107"/>
      <c r="AJ45" s="107"/>
      <c r="AK45" s="107"/>
      <c r="AL45" s="107"/>
      <c r="AM45" s="107"/>
      <c r="AN45" s="107"/>
      <c r="AO45" s="107"/>
      <c r="AP45" s="107"/>
      <c r="AQ45" s="107"/>
      <c r="AR45" s="107"/>
      <c r="AS45" s="107"/>
      <c r="AT45" s="107"/>
      <c r="AU45" s="107"/>
      <c r="AV45" s="107"/>
      <c r="AW45" s="107"/>
      <c r="AX45" s="107"/>
      <c r="AY45" s="107"/>
      <c r="AZ45" s="107"/>
      <c r="BA45" s="107"/>
      <c r="BB45" s="107"/>
      <c r="BC45" s="107"/>
      <c r="BD45" s="107"/>
      <c r="BE45" s="107"/>
      <c r="BF45" s="107"/>
      <c r="BG45" s="107"/>
      <c r="BH45" s="107"/>
      <c r="BI45" s="107"/>
      <c r="BJ45" s="107"/>
      <c r="BK45" s="107"/>
      <c r="BL45" s="107"/>
      <c r="BM45" s="107"/>
      <c r="BN45" s="107"/>
      <c r="BO45" s="107"/>
      <c r="BP45" s="107"/>
      <c r="BQ45" s="107"/>
      <c r="BR45" s="107"/>
      <c r="BS45" s="107"/>
      <c r="BT45" s="107"/>
      <c r="BU45" s="107"/>
      <c r="BV45" s="107"/>
      <c r="BW45" s="107"/>
      <c r="BX45" s="107"/>
      <c r="BY45" s="107"/>
    </row>
    <row r="46" spans="1:77" hidden="1" outlineLevel="1" x14ac:dyDescent="0.25">
      <c r="B46" s="585" t="s">
        <v>721</v>
      </c>
      <c r="D46" s="107"/>
      <c r="E46" s="107"/>
      <c r="F46" s="107">
        <f>IF(F$3="Forecast",C46,'BS - CF Actuals'!J111)</f>
        <v>0</v>
      </c>
      <c r="G46" s="107">
        <f>IF(G$3="Forecast",F46,'BS - CF Actuals'!K111)</f>
        <v>0</v>
      </c>
      <c r="H46" s="107">
        <f>IF(H$3="Forecast",G46,'BS - CF Actuals'!L111)</f>
        <v>0</v>
      </c>
      <c r="I46" s="107">
        <f>IF(I$3="Forecast",H46,'BS - CF Actuals'!M111)</f>
        <v>0</v>
      </c>
      <c r="J46" s="107">
        <f>IF(J$3="Forecast",I46,'BS - CF Actuals'!N111)</f>
        <v>0</v>
      </c>
      <c r="K46" s="107">
        <f>IF(K$3="Forecast",J46,'BS - CF Actuals'!O111)</f>
        <v>0</v>
      </c>
      <c r="L46" s="107">
        <f>IF(L$3="Forecast",K46,'BS - CF Actuals'!P111)</f>
        <v>0</v>
      </c>
      <c r="M46" s="107">
        <f>IF(M$3="Forecast",L46,'BS - CF Actuals'!Q111)</f>
        <v>0</v>
      </c>
      <c r="N46" s="107">
        <f>IF(N$3="Forecast",M46,'BS - CF Actuals'!R111)</f>
        <v>0</v>
      </c>
      <c r="O46" s="107">
        <f>IF(O$3="Forecast",N46,'BS - CF Actuals'!S111)</f>
        <v>0</v>
      </c>
      <c r="P46" s="107">
        <f>IF(P$3="Forecast",O46,'BS - CF Actuals'!T111)</f>
        <v>0</v>
      </c>
      <c r="Q46" s="107">
        <f>IF(Q$3="Forecast",P46,'BS - CF Actuals'!U111)</f>
        <v>-535803.63</v>
      </c>
      <c r="R46" s="107">
        <f>IF(R$3="Forecast",Q46,'BS - CF Actuals'!V111)</f>
        <v>-535803.63</v>
      </c>
      <c r="S46" s="107">
        <f>IF(S$3="Forecast",R46,'BS - CF Actuals'!W111)</f>
        <v>-535803.63</v>
      </c>
      <c r="T46" s="107">
        <f>IF(T$3="Forecast",S46,'BS - CF Actuals'!X111)</f>
        <v>-535803.63</v>
      </c>
      <c r="U46" s="107">
        <f>IF(U$3="Forecast",T46,'BS - CF Actuals'!Y111)</f>
        <v>-535803.63</v>
      </c>
      <c r="V46" s="107">
        <f>IF(V$3="Forecast",U46,'BS - CF Actuals'!Z111)</f>
        <v>-535803.63</v>
      </c>
      <c r="W46" s="107">
        <f>IF(W$3="Forecast",V46,'BS - CF Actuals'!AA111)</f>
        <v>-535803.63</v>
      </c>
      <c r="X46" s="107">
        <f>IF(X$3="Forecast",W46,'BS - CF Actuals'!AB111)</f>
        <v>-535803.63</v>
      </c>
      <c r="Y46" s="107">
        <f>IF(Y$3="Forecast",X46,'BS - CF Actuals'!AC111)</f>
        <v>-535803.63</v>
      </c>
      <c r="Z46" s="107">
        <f>IF(Z$3="Forecast",Y46,'BS - CF Actuals'!AD111)</f>
        <v>-535803.63</v>
      </c>
      <c r="AA46" s="107">
        <f>IF(AA$3="Forecast",Z46,'BS - CF Actuals'!AE111)</f>
        <v>-535803.63</v>
      </c>
      <c r="AB46" s="107">
        <f>IF(AB$3="Forecast",AA46,'BS - CF Actuals'!AF111)</f>
        <v>-535803.63</v>
      </c>
      <c r="AC46" s="107">
        <f>IF(AC$3="Forecast",AB46,'BS - CF Actuals'!AG111)</f>
        <v>-535803.63</v>
      </c>
      <c r="AD46" s="107">
        <f>IF(AD$3="Forecast",AC46,'BS - CF Actuals'!AH111)</f>
        <v>-535803.63</v>
      </c>
      <c r="AE46" s="107">
        <f>IF(AE$3="Forecast",AD46,'BS - CF Actuals'!AI111)</f>
        <v>-535803.63</v>
      </c>
      <c r="AF46" s="107">
        <f>IF(AF$3="Forecast",AE46,'BS - CF Actuals'!AJ111)</f>
        <v>-535803.63</v>
      </c>
      <c r="AG46" s="107">
        <f>IF(AG$3="Forecast",AF46,'BS - CF Actuals'!AK111)</f>
        <v>-535803.63</v>
      </c>
      <c r="AH46" s="107">
        <f>IF(AH$3="Forecast",AG46,'BS - CF Actuals'!AL111)</f>
        <v>-535803.63</v>
      </c>
      <c r="AI46" s="107">
        <f>IF(AI$3="Forecast",AH46,'BS - CF Actuals'!AM111)</f>
        <v>-535803.63</v>
      </c>
      <c r="AJ46" s="107">
        <f>IF(AJ$3="Forecast",AI46,'BS - CF Actuals'!AN111)</f>
        <v>-535803.63</v>
      </c>
      <c r="AK46" s="107">
        <f>IF(AK$3="Forecast",AJ46,'BS - CF Actuals'!AO111)</f>
        <v>-535803.63</v>
      </c>
      <c r="AL46" s="107">
        <f>IF(AL$3="Forecast",AK46,'BS - CF Actuals'!AP111)</f>
        <v>-535803.63</v>
      </c>
      <c r="AM46" s="107">
        <f>IF(AM$3="Forecast",AL46,'BS - CF Actuals'!AQ111)</f>
        <v>-535803.63</v>
      </c>
      <c r="AN46" s="107">
        <f>IF(AN$3="Forecast",AM46,'BS - CF Actuals'!AR111)</f>
        <v>-535803.63</v>
      </c>
      <c r="AO46" s="107">
        <f>IF(AO$3="Forecast",AN46,'BS - CF Actuals'!AS111)</f>
        <v>-535803.63</v>
      </c>
      <c r="AP46" s="107">
        <f>IF(AP$3="Forecast",AO46,'BS - CF Actuals'!AT111)</f>
        <v>-535803.63</v>
      </c>
      <c r="AQ46" s="107">
        <f>IF(AQ$3="Forecast",AP46,'BS - CF Actuals'!AU111)</f>
        <v>-535803.63</v>
      </c>
      <c r="AR46" s="107">
        <f>IF(AR$3="Forecast",AQ46,'BS - CF Actuals'!AV111)</f>
        <v>-535803.63</v>
      </c>
      <c r="AS46" s="107">
        <f>IF(AS$3="Forecast",AR46,'BS - CF Actuals'!AW111)</f>
        <v>-535803.63</v>
      </c>
      <c r="AT46" s="107">
        <f>IF(AT$3="Forecast",AS46,'BS - CF Actuals'!AX111)</f>
        <v>-535803.63</v>
      </c>
      <c r="AU46" s="107">
        <f>IF(AU$3="Forecast",AT46,'BS - CF Actuals'!AY111)</f>
        <v>-535803.63</v>
      </c>
      <c r="AV46" s="107">
        <f>IF(AV$3="Forecast",AU46,'BS - CF Actuals'!AZ111)</f>
        <v>-535803.63</v>
      </c>
      <c r="AW46" s="107">
        <f>IF(AW$3="Forecast",AV46,'BS - CF Actuals'!BA111)</f>
        <v>-535803.63</v>
      </c>
      <c r="AX46" s="107">
        <f>IF(AX$3="Forecast",AW46,'BS - CF Actuals'!BB111)</f>
        <v>-535803.63</v>
      </c>
      <c r="AY46" s="107">
        <f>IF(AY$3="Forecast",AX46,'BS - CF Actuals'!BC111)</f>
        <v>-535803.63</v>
      </c>
      <c r="AZ46" s="107">
        <f>IF(AZ$3="Forecast",AY46,'BS - CF Actuals'!BD111)</f>
        <v>-535803.63</v>
      </c>
      <c r="BA46" s="107">
        <f>IF(BA$3="Forecast",AZ46,'BS - CF Actuals'!BE111)</f>
        <v>-535803.63</v>
      </c>
      <c r="BB46" s="107">
        <f>IF(BB$3="Forecast",BA46,'BS - CF Actuals'!BF111)</f>
        <v>-535803.63</v>
      </c>
      <c r="BC46" s="107">
        <f>IF(BC$3="Forecast",BB46,'BS - CF Actuals'!BG111)</f>
        <v>-535803.63</v>
      </c>
      <c r="BD46" s="107">
        <f>IF(BD$3="Forecast",BC46,'BS - CF Actuals'!BH111)</f>
        <v>-535803.63</v>
      </c>
      <c r="BE46" s="107">
        <f>IF(BE$3="Forecast",BD46,'BS - CF Actuals'!BI111)</f>
        <v>-535803.63</v>
      </c>
      <c r="BF46" s="107">
        <f>IF(BF$3="Forecast",BE46,'BS - CF Actuals'!BJ111)</f>
        <v>-535803.63</v>
      </c>
      <c r="BG46" s="107">
        <f>IF(BG$3="Forecast",BF46,'BS - CF Actuals'!BK111)</f>
        <v>-535803.63</v>
      </c>
      <c r="BH46" s="107">
        <f>IF(BH$3="Forecast",BG46,'BS - CF Actuals'!BL111)</f>
        <v>-535803.63</v>
      </c>
      <c r="BI46" s="107">
        <f>IF(BI$3="Forecast",BH46,'BS - CF Actuals'!BM111)</f>
        <v>-535803.63</v>
      </c>
      <c r="BJ46" s="107">
        <f>IF(BJ$3="Forecast",BI46,'BS - CF Actuals'!BN111)</f>
        <v>-535803.63</v>
      </c>
      <c r="BK46" s="107">
        <f>IF(BK$3="Forecast",BJ46,'BS - CF Actuals'!BO111)</f>
        <v>-535803.63</v>
      </c>
      <c r="BL46" s="107">
        <f>IF(BL$3="Forecast",BK46,'BS - CF Actuals'!BP111)</f>
        <v>-535803.63</v>
      </c>
      <c r="BM46" s="107">
        <f>IF(BM$3="Forecast",BL46,'BS - CF Actuals'!BQ111)</f>
        <v>-535803.63</v>
      </c>
      <c r="BN46" s="107">
        <f>IF(BN$3="Forecast",BM46,'BS - CF Actuals'!BR111)</f>
        <v>-535803.63</v>
      </c>
      <c r="BO46" s="107">
        <f>IF(BO$3="Forecast",BN46,'BS - CF Actuals'!BS111)</f>
        <v>-535803.63</v>
      </c>
      <c r="BP46" s="107">
        <f>IF(BP$3="Forecast",BO46,'BS - CF Actuals'!BT111)</f>
        <v>-535803.63</v>
      </c>
      <c r="BQ46" s="107">
        <f>IF(BQ$3="Forecast",BP46,'BS - CF Actuals'!BU111)</f>
        <v>-535803.63</v>
      </c>
      <c r="BR46" s="107">
        <f>IF(BR$3="Forecast",BQ46,'BS - CF Actuals'!BV111)</f>
        <v>-535803.63</v>
      </c>
      <c r="BS46" s="107">
        <f>IF(BS$3="Forecast",BR46,'BS - CF Actuals'!BW111)</f>
        <v>-535803.63</v>
      </c>
      <c r="BT46" s="107">
        <f>IF(BT$3="Forecast",BS46,'BS - CF Actuals'!BX111)</f>
        <v>-535803.63</v>
      </c>
      <c r="BU46" s="107">
        <f>IF(BU$3="Forecast",BT46,'BS - CF Actuals'!BY111)</f>
        <v>-535803.63</v>
      </c>
      <c r="BV46" s="107">
        <f>IF(BV$3="Forecast",BU46,'BS - CF Actuals'!BZ111)</f>
        <v>-535803.63</v>
      </c>
      <c r="BW46" s="107">
        <f>IF(BW$3="Forecast",BV46,'BS - CF Actuals'!CA111)</f>
        <v>-535803.63</v>
      </c>
      <c r="BX46" s="107">
        <f>IF(BX$3="Forecast",BW46,'BS - CF Actuals'!CB111)</f>
        <v>-535803.63</v>
      </c>
      <c r="BY46" s="107">
        <f>IF(BY$3="Forecast",BX46,'BS - CF Actuals'!CC111)</f>
        <v>-535803.63</v>
      </c>
    </row>
    <row r="47" spans="1:77" hidden="1" outlineLevel="1" x14ac:dyDescent="0.25">
      <c r="B47" s="585" t="s">
        <v>757</v>
      </c>
      <c r="D47" s="107"/>
      <c r="E47" s="107"/>
      <c r="F47" s="107">
        <f>IF(F$3="Forecast",C47,'BS - CF Actuals'!J112)</f>
        <v>0</v>
      </c>
      <c r="G47" s="107">
        <f>IF(G$3="Forecast",F47,'BS - CF Actuals'!K112)</f>
        <v>0</v>
      </c>
      <c r="H47" s="107">
        <f>IF(H$3="Forecast",G47,'BS - CF Actuals'!L112)</f>
        <v>0</v>
      </c>
      <c r="I47" s="107">
        <f>IF(I$3="Forecast",H47,'BS - CF Actuals'!M112)</f>
        <v>0</v>
      </c>
      <c r="J47" s="107">
        <f>IF(J$3="Forecast",I47,'BS - CF Actuals'!N112)</f>
        <v>0</v>
      </c>
      <c r="K47" s="107">
        <f>IF(K$3="Forecast",J47,'BS - CF Actuals'!O112)</f>
        <v>0</v>
      </c>
      <c r="L47" s="107">
        <f>IF(L$3="Forecast",K47,'BS - CF Actuals'!P112)</f>
        <v>0</v>
      </c>
      <c r="M47" s="107">
        <f>IF(M$3="Forecast",L47,'BS - CF Actuals'!Q112)</f>
        <v>0</v>
      </c>
      <c r="N47" s="107">
        <f>IF(N$3="Forecast",M47,'BS - CF Actuals'!R112)</f>
        <v>0</v>
      </c>
      <c r="O47" s="107">
        <f>IF(O$3="Forecast",N47,'BS - CF Actuals'!S112)</f>
        <v>0</v>
      </c>
      <c r="P47" s="107">
        <f>IF(P$3="Forecast",O47,'BS - CF Actuals'!T112)</f>
        <v>0</v>
      </c>
      <c r="Q47" s="107">
        <f>IF(Q$3="Forecast",P47,'BS - CF Actuals'!U112)</f>
        <v>-2084409.93</v>
      </c>
      <c r="R47" s="107">
        <f>IF(R$3="Forecast",Q47,'BS - CF Actuals'!V112)</f>
        <v>-2084409.93</v>
      </c>
      <c r="S47" s="107">
        <f>IF(S$3="Forecast",R47,'BS - CF Actuals'!W112)</f>
        <v>-2084409.93</v>
      </c>
      <c r="T47" s="107">
        <f>IF(T$3="Forecast",S47,'BS - CF Actuals'!X112)</f>
        <v>-2084409.93</v>
      </c>
      <c r="U47" s="107">
        <f>IF(U$3="Forecast",T47,'BS - CF Actuals'!Y112)</f>
        <v>-2084409.93</v>
      </c>
      <c r="V47" s="107">
        <f>IF(V$3="Forecast",U47,'BS - CF Actuals'!Z112)</f>
        <v>-2084409.93</v>
      </c>
      <c r="W47" s="107">
        <f>IF(W$3="Forecast",V47,'BS - CF Actuals'!AA112)</f>
        <v>-2084409.93</v>
      </c>
      <c r="X47" s="107">
        <f>IF(X$3="Forecast",W47,'BS - CF Actuals'!AB112)</f>
        <v>-2084409.93</v>
      </c>
      <c r="Y47" s="107">
        <f>IF(Y$3="Forecast",X47,'BS - CF Actuals'!AC112)</f>
        <v>-2084409.93</v>
      </c>
      <c r="Z47" s="107">
        <f>IF(Z$3="Forecast",Y47,'BS - CF Actuals'!AD112)</f>
        <v>-2084409.93</v>
      </c>
      <c r="AA47" s="107">
        <f>IF(AA$3="Forecast",Z47,'BS - CF Actuals'!AE112)</f>
        <v>-2084409.93</v>
      </c>
      <c r="AB47" s="107">
        <f>IF(AB$3="Forecast",AA47,'BS - CF Actuals'!AF112)</f>
        <v>-2084409.93</v>
      </c>
      <c r="AC47" s="107">
        <f>IF(AC$3="Forecast",AB47,'BS - CF Actuals'!AG112)</f>
        <v>-2084409.93</v>
      </c>
      <c r="AD47" s="107">
        <f>IF(AD$3="Forecast",AC47,'BS - CF Actuals'!AH112)</f>
        <v>-2084409.93</v>
      </c>
      <c r="AE47" s="107">
        <f>IF(AE$3="Forecast",AD47,'BS - CF Actuals'!AI112)</f>
        <v>-2084409.93</v>
      </c>
      <c r="AF47" s="107">
        <f>IF(AF$3="Forecast",AE47,'BS - CF Actuals'!AJ112)</f>
        <v>-2084409.93</v>
      </c>
      <c r="AG47" s="107">
        <f>IF(AG$3="Forecast",AF47,'BS - CF Actuals'!AK112)</f>
        <v>-2084409.93</v>
      </c>
      <c r="AH47" s="107">
        <f>IF(AH$3="Forecast",AG47,'BS - CF Actuals'!AL112)</f>
        <v>-2084409.93</v>
      </c>
      <c r="AI47" s="107">
        <f>IF(AI$3="Forecast",AH47,'BS - CF Actuals'!AM112)</f>
        <v>-2084409.93</v>
      </c>
      <c r="AJ47" s="107">
        <f>IF(AJ$3="Forecast",AI47,'BS - CF Actuals'!AN112)</f>
        <v>-2084409.93</v>
      </c>
      <c r="AK47" s="107">
        <f>IF(AK$3="Forecast",AJ47,'BS - CF Actuals'!AO112)</f>
        <v>-2084409.93</v>
      </c>
      <c r="AL47" s="107">
        <f>IF(AL$3="Forecast",AK47,'BS - CF Actuals'!AP112)</f>
        <v>-2084409.93</v>
      </c>
      <c r="AM47" s="107">
        <f>IF(AM$3="Forecast",AL47,'BS - CF Actuals'!AQ112)</f>
        <v>-2084409.93</v>
      </c>
      <c r="AN47" s="107">
        <f>IF(AN$3="Forecast",AM47,'BS - CF Actuals'!AR112)</f>
        <v>-2084409.93</v>
      </c>
      <c r="AO47" s="107">
        <f>IF(AO$3="Forecast",AN47,'BS - CF Actuals'!AS112)</f>
        <v>-2084409.93</v>
      </c>
      <c r="AP47" s="107">
        <f>IF(AP$3="Forecast",AO47,'BS - CF Actuals'!AT112)</f>
        <v>-2084409.93</v>
      </c>
      <c r="AQ47" s="107">
        <f>IF(AQ$3="Forecast",AP47,'BS - CF Actuals'!AU112)</f>
        <v>-2084409.93</v>
      </c>
      <c r="AR47" s="107">
        <f>IF(AR$3="Forecast",AQ47,'BS - CF Actuals'!AV112)</f>
        <v>-2084409.93</v>
      </c>
      <c r="AS47" s="107">
        <f>IF(AS$3="Forecast",AR47,'BS - CF Actuals'!AW112)</f>
        <v>-2084409.93</v>
      </c>
      <c r="AT47" s="107">
        <f>IF(AT$3="Forecast",AS47,'BS - CF Actuals'!AX112)</f>
        <v>-2084409.93</v>
      </c>
      <c r="AU47" s="107">
        <f>IF(AU$3="Forecast",AT47,'BS - CF Actuals'!AY112)</f>
        <v>-2084409.93</v>
      </c>
      <c r="AV47" s="107">
        <f>IF(AV$3="Forecast",AU47,'BS - CF Actuals'!AZ112)</f>
        <v>-2084409.93</v>
      </c>
      <c r="AW47" s="107">
        <f>IF(AW$3="Forecast",AV47,'BS - CF Actuals'!BA112)</f>
        <v>-2084409.93</v>
      </c>
      <c r="AX47" s="107">
        <f>IF(AX$3="Forecast",AW47,'BS - CF Actuals'!BB112)</f>
        <v>-2084409.93</v>
      </c>
      <c r="AY47" s="107">
        <f>IF(AY$3="Forecast",AX47,'BS - CF Actuals'!BC112)</f>
        <v>-2084409.93</v>
      </c>
      <c r="AZ47" s="107">
        <f>IF(AZ$3="Forecast",AY47,'BS - CF Actuals'!BD112)</f>
        <v>-2084409.93</v>
      </c>
      <c r="BA47" s="107">
        <f>IF(BA$3="Forecast",AZ47,'BS - CF Actuals'!BE112)</f>
        <v>-2084409.93</v>
      </c>
      <c r="BB47" s="107">
        <f>IF(BB$3="Forecast",BA47,'BS - CF Actuals'!BF112)</f>
        <v>-2084409.93</v>
      </c>
      <c r="BC47" s="107">
        <f>IF(BC$3="Forecast",BB47,'BS - CF Actuals'!BG112)</f>
        <v>-2084409.93</v>
      </c>
      <c r="BD47" s="107">
        <f>IF(BD$3="Forecast",BC47,'BS - CF Actuals'!BH112)</f>
        <v>-2084409.93</v>
      </c>
      <c r="BE47" s="107">
        <f>IF(BE$3="Forecast",BD47,'BS - CF Actuals'!BI112)</f>
        <v>-2084409.93</v>
      </c>
      <c r="BF47" s="107">
        <f>IF(BF$3="Forecast",BE47,'BS - CF Actuals'!BJ112)</f>
        <v>-2084409.93</v>
      </c>
      <c r="BG47" s="107">
        <f>IF(BG$3="Forecast",BF47,'BS - CF Actuals'!BK112)</f>
        <v>-2084409.93</v>
      </c>
      <c r="BH47" s="107">
        <f>IF(BH$3="Forecast",BG47,'BS - CF Actuals'!BL112)</f>
        <v>-2084409.93</v>
      </c>
      <c r="BI47" s="107">
        <f>IF(BI$3="Forecast",BH47,'BS - CF Actuals'!BM112)</f>
        <v>-2084409.93</v>
      </c>
      <c r="BJ47" s="107">
        <f>IF(BJ$3="Forecast",BI47,'BS - CF Actuals'!BN112)</f>
        <v>-2084409.93</v>
      </c>
      <c r="BK47" s="107">
        <f>IF(BK$3="Forecast",BJ47,'BS - CF Actuals'!BO112)</f>
        <v>-2084409.93</v>
      </c>
      <c r="BL47" s="107">
        <f>IF(BL$3="Forecast",BK47,'BS - CF Actuals'!BP112)</f>
        <v>-2084409.93</v>
      </c>
      <c r="BM47" s="107">
        <f>IF(BM$3="Forecast",BL47,'BS - CF Actuals'!BQ112)</f>
        <v>-2084409.93</v>
      </c>
      <c r="BN47" s="107">
        <f>IF(BN$3="Forecast",BM47,'BS - CF Actuals'!BR112)</f>
        <v>-2084409.93</v>
      </c>
      <c r="BO47" s="107">
        <f>IF(BO$3="Forecast",BN47,'BS - CF Actuals'!BS112)</f>
        <v>-2084409.93</v>
      </c>
      <c r="BP47" s="107">
        <f>IF(BP$3="Forecast",BO47,'BS - CF Actuals'!BT112)</f>
        <v>-2084409.93</v>
      </c>
      <c r="BQ47" s="107">
        <f>IF(BQ$3="Forecast",BP47,'BS - CF Actuals'!BU112)</f>
        <v>-2084409.93</v>
      </c>
      <c r="BR47" s="107">
        <f>IF(BR$3="Forecast",BQ47,'BS - CF Actuals'!BV112)</f>
        <v>-2084409.93</v>
      </c>
      <c r="BS47" s="107">
        <f>IF(BS$3="Forecast",BR47,'BS - CF Actuals'!BW112)</f>
        <v>-2084409.93</v>
      </c>
      <c r="BT47" s="107">
        <f>IF(BT$3="Forecast",BS47,'BS - CF Actuals'!BX112)</f>
        <v>-2084409.93</v>
      </c>
      <c r="BU47" s="107">
        <f>IF(BU$3="Forecast",BT47,'BS - CF Actuals'!BY112)</f>
        <v>-2084409.93</v>
      </c>
      <c r="BV47" s="107">
        <f>IF(BV$3="Forecast",BU47,'BS - CF Actuals'!BZ112)</f>
        <v>-2084409.93</v>
      </c>
      <c r="BW47" s="107">
        <f>IF(BW$3="Forecast",BV47,'BS - CF Actuals'!CA112)</f>
        <v>-2084409.93</v>
      </c>
      <c r="BX47" s="107">
        <f>IF(BX$3="Forecast",BW47,'BS - CF Actuals'!CB112)</f>
        <v>-2084409.93</v>
      </c>
      <c r="BY47" s="107">
        <f>IF(BY$3="Forecast",BX47,'BS - CF Actuals'!CC112)</f>
        <v>-2084409.93</v>
      </c>
    </row>
    <row r="48" spans="1:77" hidden="1" outlineLevel="1" x14ac:dyDescent="0.25">
      <c r="B48" s="585" t="s">
        <v>758</v>
      </c>
      <c r="D48" s="107"/>
      <c r="E48" s="107"/>
      <c r="F48" s="107"/>
      <c r="G48" s="107"/>
      <c r="H48" s="107"/>
      <c r="I48" s="107"/>
      <c r="J48" s="107"/>
      <c r="K48" s="107"/>
      <c r="L48" s="107"/>
      <c r="M48" s="107"/>
      <c r="N48" s="107"/>
      <c r="O48" s="107"/>
      <c r="P48" s="107"/>
      <c r="Q48" s="107">
        <f>+'BS - CF Actuals'!U123</f>
        <v>-2523349.13</v>
      </c>
      <c r="R48" s="107">
        <f>IF(R$3="Forecast",Q48,'BS - CF Actuals'!V123)</f>
        <v>0</v>
      </c>
      <c r="S48" s="107">
        <f>IF(S$3="Forecast",R48,'BS - CF Actuals'!W123)</f>
        <v>0</v>
      </c>
      <c r="T48" s="107">
        <f>IF(T$3="Forecast",S48,'BS - CF Actuals'!X123)</f>
        <v>0</v>
      </c>
      <c r="U48" s="107">
        <f>IF(U$3="Forecast",T48,'BS - CF Actuals'!Y123)</f>
        <v>0</v>
      </c>
      <c r="V48" s="107">
        <f>IF(V$3="Forecast",U48,'BS - CF Actuals'!Z123)</f>
        <v>0</v>
      </c>
      <c r="W48" s="107">
        <f>IF(W$3="Forecast",V48,'BS - CF Actuals'!AA123)</f>
        <v>0</v>
      </c>
      <c r="X48" s="107"/>
      <c r="Y48" s="107"/>
      <c r="Z48" s="107"/>
      <c r="AA48" s="107"/>
      <c r="AB48" s="107"/>
      <c r="AC48" s="107"/>
      <c r="AD48" s="107"/>
      <c r="AE48" s="107"/>
      <c r="AF48" s="107"/>
      <c r="AG48" s="107"/>
      <c r="AH48" s="107"/>
      <c r="AI48" s="107"/>
      <c r="AJ48" s="107"/>
      <c r="AK48" s="107"/>
      <c r="AL48" s="107"/>
      <c r="AM48" s="107"/>
      <c r="AN48" s="107"/>
      <c r="AO48" s="107"/>
      <c r="AP48" s="107"/>
      <c r="AQ48" s="107"/>
      <c r="AR48" s="107"/>
      <c r="AS48" s="107"/>
      <c r="AT48" s="107"/>
      <c r="AU48" s="107"/>
      <c r="AV48" s="107"/>
      <c r="AW48" s="107"/>
      <c r="AX48" s="107"/>
      <c r="AY48" s="107"/>
      <c r="AZ48" s="107"/>
      <c r="BA48" s="107"/>
      <c r="BB48" s="107"/>
      <c r="BC48" s="107"/>
      <c r="BD48" s="107"/>
      <c r="BE48" s="107"/>
      <c r="BF48" s="107"/>
      <c r="BG48" s="107"/>
      <c r="BH48" s="107"/>
      <c r="BI48" s="107"/>
      <c r="BJ48" s="107"/>
      <c r="BK48" s="107"/>
      <c r="BL48" s="107"/>
      <c r="BM48" s="107"/>
      <c r="BN48" s="107"/>
      <c r="BO48" s="107"/>
      <c r="BP48" s="107"/>
      <c r="BQ48" s="107"/>
      <c r="BR48" s="107"/>
      <c r="BS48" s="107"/>
      <c r="BT48" s="107"/>
      <c r="BU48" s="107"/>
      <c r="BV48" s="107"/>
      <c r="BW48" s="107"/>
      <c r="BX48" s="107"/>
      <c r="BY48" s="107"/>
    </row>
    <row r="49" spans="1:77" collapsed="1" x14ac:dyDescent="0.25">
      <c r="B49" s="132" t="s">
        <v>112</v>
      </c>
      <c r="D49" s="107">
        <f>IF(D$3="Forecast",A49,'BS - CF Actuals'!H114)</f>
        <v>719994.74</v>
      </c>
      <c r="E49" s="107">
        <f>IF(E$3="Forecast",B49,'BS - CF Actuals'!I114)</f>
        <v>417956.25</v>
      </c>
      <c r="F49" s="107">
        <f>IF(F$3="Forecast",C49,'BS - CF Actuals'!J114)</f>
        <v>-168292.07999999984</v>
      </c>
      <c r="G49" s="107">
        <f>IF(G$3="Forecast",F49,'BS - CF Actuals'!K114)</f>
        <v>-168292.07999999984</v>
      </c>
      <c r="H49" s="107">
        <f>IF(H$3="Forecast",G49,'BS - CF Actuals'!L114)</f>
        <v>-168292.07999999984</v>
      </c>
      <c r="I49" s="107">
        <f>IF(I$3="Forecast",H49,'BS - CF Actuals'!M114)</f>
        <v>-168292.07999999984</v>
      </c>
      <c r="J49" s="107">
        <f>IF(J$3="Forecast",I49,'BS - CF Actuals'!N114)</f>
        <v>-168292.07999999984</v>
      </c>
      <c r="K49" s="107">
        <f>IF(K$3="Forecast",J49,'BS - CF Actuals'!O114)</f>
        <v>-168292.07999999984</v>
      </c>
      <c r="L49" s="107">
        <f>IF(L$3="Forecast",K49,'BS - CF Actuals'!P114)</f>
        <v>-168292.07999999984</v>
      </c>
      <c r="M49" s="107">
        <f>IF(M$3="Forecast",L49,'BS - CF Actuals'!Q114)</f>
        <v>-168292.07999999984</v>
      </c>
      <c r="N49" s="107">
        <f>IF(N$3="Forecast",M49,'BS - CF Actuals'!R114)</f>
        <v>-168292.07999999984</v>
      </c>
      <c r="O49" s="107">
        <f>IF(O$3="Forecast",N49,'BS - CF Actuals'!S114)</f>
        <v>-168292.07999999984</v>
      </c>
      <c r="P49" s="107">
        <f>IF(P$3="Forecast",O49,'BS - CF Actuals'!T114)</f>
        <v>-168292.07999999984</v>
      </c>
      <c r="Q49" s="107">
        <f>IF(Q$3="Forecast",P49,'BS - CF Actuals'!U114)</f>
        <v>-168292.08</v>
      </c>
      <c r="R49" s="107">
        <f>IF(R$3="Forecast",Q49,'BS - CF Actuals'!V114)</f>
        <v>1152875.6000000001</v>
      </c>
      <c r="S49" s="107">
        <f>IF(S$3="Forecast",R49,'BS - CF Actuals'!W114)</f>
        <v>1152875.6000000001</v>
      </c>
      <c r="T49" s="107">
        <f>IF(T$3="Forecast",S49,'BS - CF Actuals'!X114)</f>
        <v>1152875.6000000001</v>
      </c>
      <c r="U49" s="107">
        <f>IF(U$3="Forecast",T49,'BS - CF Actuals'!Y114)</f>
        <v>1152875.6000000001</v>
      </c>
      <c r="V49" s="107">
        <f>IF(V$3="Forecast",U49,'BS - CF Actuals'!Z114)</f>
        <v>1152875.6000000001</v>
      </c>
      <c r="W49" s="107">
        <f>IF(W$3="Forecast",V49,'BS - CF Actuals'!AA114)</f>
        <v>1152875.6000000001</v>
      </c>
      <c r="X49" s="107">
        <f>IF(X$3="Forecast",W49,'BS - CF Actuals'!AB114)</f>
        <v>1152875.6000000001</v>
      </c>
      <c r="Y49" s="107">
        <f>IF(Y$3="Forecast",X49,'BS - CF Actuals'!AC114)</f>
        <v>1152875.6000000001</v>
      </c>
      <c r="Z49" s="107">
        <f>IF(Z$3="Forecast",Y49,'BS - CF Actuals'!AD114)</f>
        <v>1152875.6000000001</v>
      </c>
      <c r="AA49" s="107">
        <f>IF(AA$3="Forecast",Z49,'BS - CF Actuals'!AE114)</f>
        <v>1152875.6000000001</v>
      </c>
      <c r="AB49" s="107">
        <f>IF(AB$3="Forecast",AA49,'BS - CF Actuals'!AF114)</f>
        <v>1152875.6000000001</v>
      </c>
      <c r="AC49" s="107">
        <f>IF(AC$3="Forecast",AB49,'BS - CF Actuals'!AG114)</f>
        <v>1152875.6000000001</v>
      </c>
      <c r="AD49" s="107">
        <f>IF(AD$3="Forecast",AC49,'BS - CF Actuals'!AH114)</f>
        <v>1152875.6000000001</v>
      </c>
      <c r="AE49" s="107">
        <f>IF(AE$3="Forecast",AD49,'BS - CF Actuals'!AI114)</f>
        <v>1152875.6000000001</v>
      </c>
      <c r="AF49" s="107">
        <f>IF(AF$3="Forecast",AE49,'BS - CF Actuals'!AJ114)</f>
        <v>1152875.6000000001</v>
      </c>
      <c r="AG49" s="107">
        <f>IF(AG$3="Forecast",AF49,'BS - CF Actuals'!AK114)</f>
        <v>1152875.6000000001</v>
      </c>
      <c r="AH49" s="107">
        <f>IF(AH$3="Forecast",AG49,'BS - CF Actuals'!AL114)</f>
        <v>1152875.6000000001</v>
      </c>
      <c r="AI49" s="107">
        <f>IF(AI$3="Forecast",AH49,'BS - CF Actuals'!AM114)</f>
        <v>1152875.6000000001</v>
      </c>
      <c r="AJ49" s="107">
        <f>IF(AJ$3="Forecast",AI49,'BS - CF Actuals'!AN114)</f>
        <v>1152875.6000000001</v>
      </c>
      <c r="AK49" s="107">
        <f>IF(AK$3="Forecast",AJ49,'BS - CF Actuals'!AO114)</f>
        <v>1152875.6000000001</v>
      </c>
      <c r="AL49" s="107">
        <f>IF(AL$3="Forecast",AK49,'BS - CF Actuals'!AP114)</f>
        <v>1152875.6000000001</v>
      </c>
      <c r="AM49" s="107">
        <f>IF(AM$3="Forecast",AL49,'BS - CF Actuals'!AQ114)</f>
        <v>1152875.6000000001</v>
      </c>
      <c r="AN49" s="107">
        <f>IF(AN$3="Forecast",AM49,'BS - CF Actuals'!AR114)</f>
        <v>1152875.6000000001</v>
      </c>
      <c r="AO49" s="107">
        <f>IF(AO$3="Forecast",AN49,'BS - CF Actuals'!AS114)</f>
        <v>1152875.6000000001</v>
      </c>
      <c r="AP49" s="107">
        <f>IF(AP$3="Forecast",AO49,'BS - CF Actuals'!AT114)</f>
        <v>1152875.6000000001</v>
      </c>
      <c r="AQ49" s="107">
        <f>IF(AQ$3="Forecast",AP49,'BS - CF Actuals'!AU114)</f>
        <v>1152875.6000000001</v>
      </c>
      <c r="AR49" s="107">
        <f>IF(AR$3="Forecast",AQ49,'BS - CF Actuals'!AV114)</f>
        <v>1152875.6000000001</v>
      </c>
      <c r="AS49" s="107">
        <f>IF(AS$3="Forecast",AR49,'BS - CF Actuals'!AW114)</f>
        <v>1152875.6000000001</v>
      </c>
      <c r="AT49" s="107">
        <f>IF(AT$3="Forecast",AS49,'BS - CF Actuals'!AX114)</f>
        <v>1152875.6000000001</v>
      </c>
      <c r="AU49" s="107">
        <f>IF(AU$3="Forecast",AT49,'BS - CF Actuals'!AY114)</f>
        <v>1152875.6000000001</v>
      </c>
      <c r="AV49" s="107">
        <f>IF(AV$3="Forecast",AU49,'BS - CF Actuals'!AZ114)</f>
        <v>1152875.6000000001</v>
      </c>
      <c r="AW49" s="107">
        <f>IF(AW$3="Forecast",AV49,'BS - CF Actuals'!BA114)</f>
        <v>1152875.6000000001</v>
      </c>
      <c r="AX49" s="107">
        <f>IF(AX$3="Forecast",AW49,'BS - CF Actuals'!BB114)</f>
        <v>1152875.6000000001</v>
      </c>
      <c r="AY49" s="107">
        <f>IF(AY$3="Forecast",AX49,'BS - CF Actuals'!BC114)</f>
        <v>1152875.6000000001</v>
      </c>
      <c r="AZ49" s="107">
        <f>IF(AZ$3="Forecast",AY49,'BS - CF Actuals'!BD114)</f>
        <v>1152875.6000000001</v>
      </c>
      <c r="BA49" s="107">
        <f>IF(BA$3="Forecast",AZ49,'BS - CF Actuals'!BE114)</f>
        <v>1152875.6000000001</v>
      </c>
      <c r="BB49" s="107">
        <f>IF(BB$3="Forecast",BA49,'BS - CF Actuals'!BF114)</f>
        <v>1152875.6000000001</v>
      </c>
      <c r="BC49" s="107">
        <f>IF(BC$3="Forecast",BB49,'BS - CF Actuals'!BG114)</f>
        <v>1152875.6000000001</v>
      </c>
      <c r="BD49" s="107">
        <f>IF(BD$3="Forecast",BC49,'BS - CF Actuals'!BH114)</f>
        <v>1152875.6000000001</v>
      </c>
      <c r="BE49" s="107">
        <f>IF(BE$3="Forecast",BD49,'BS - CF Actuals'!BI114)</f>
        <v>1152875.6000000001</v>
      </c>
      <c r="BF49" s="107">
        <f>IF(BF$3="Forecast",BE49,'BS - CF Actuals'!BJ114)</f>
        <v>1152875.6000000001</v>
      </c>
      <c r="BG49" s="107">
        <f>IF(BG$3="Forecast",BF49,'BS - CF Actuals'!BK114)</f>
        <v>1152875.6000000001</v>
      </c>
      <c r="BH49" s="107">
        <f>IF(BH$3="Forecast",BG49,'BS - CF Actuals'!BL114)</f>
        <v>1152875.6000000001</v>
      </c>
      <c r="BI49" s="107">
        <f>IF(BI$3="Forecast",BH49,'BS - CF Actuals'!BM114)</f>
        <v>1152875.6000000001</v>
      </c>
      <c r="BJ49" s="107">
        <f>IF(BJ$3="Forecast",BI49,'BS - CF Actuals'!BN114)</f>
        <v>1152875.6000000001</v>
      </c>
      <c r="BK49" s="107">
        <f>IF(BK$3="Forecast",BJ49,'BS - CF Actuals'!BO114)</f>
        <v>1152875.6000000001</v>
      </c>
      <c r="BL49" s="107">
        <f>IF(BL$3="Forecast",BK49,'BS - CF Actuals'!BP114)</f>
        <v>1152875.6000000001</v>
      </c>
      <c r="BM49" s="107">
        <f>IF(BM$3="Forecast",BL49,'BS - CF Actuals'!BQ114)</f>
        <v>1152875.6000000001</v>
      </c>
      <c r="BN49" s="107">
        <f>IF(BN$3="Forecast",BM49,'BS - CF Actuals'!BR114)</f>
        <v>1152875.6000000001</v>
      </c>
      <c r="BO49" s="107">
        <f>IF(BO$3="Forecast",BN49,'BS - CF Actuals'!BS114)</f>
        <v>1152875.6000000001</v>
      </c>
      <c r="BP49" s="107">
        <f>IF(BP$3="Forecast",BO49,'BS - CF Actuals'!BT114)</f>
        <v>1152875.6000000001</v>
      </c>
      <c r="BQ49" s="107">
        <f>IF(BQ$3="Forecast",BP49,'BS - CF Actuals'!BU114)</f>
        <v>1152875.6000000001</v>
      </c>
      <c r="BR49" s="107">
        <f>IF(BR$3="Forecast",BQ49,'BS - CF Actuals'!BV114)</f>
        <v>1152875.6000000001</v>
      </c>
      <c r="BS49" s="107">
        <f>IF(BS$3="Forecast",BR49,'BS - CF Actuals'!BW114)</f>
        <v>1152875.6000000001</v>
      </c>
      <c r="BT49" s="107">
        <f>IF(BT$3="Forecast",BS49,'BS - CF Actuals'!BX114)</f>
        <v>1152875.6000000001</v>
      </c>
      <c r="BU49" s="107">
        <f>IF(BU$3="Forecast",BT49,'BS - CF Actuals'!BY114)</f>
        <v>1152875.6000000001</v>
      </c>
      <c r="BV49" s="107">
        <f>IF(BV$3="Forecast",BU49,'BS - CF Actuals'!BZ114)</f>
        <v>1152875.6000000001</v>
      </c>
      <c r="BW49" s="107">
        <f>IF(BW$3="Forecast",BV49,'BS - CF Actuals'!CA114)</f>
        <v>1152875.6000000001</v>
      </c>
      <c r="BX49" s="107">
        <f>IF(BX$3="Forecast",BW49,'BS - CF Actuals'!CB114)</f>
        <v>1152875.6000000001</v>
      </c>
      <c r="BY49" s="107">
        <f>IF(BY$3="Forecast",BX49,'BS - CF Actuals'!CC114)</f>
        <v>1152875.6000000001</v>
      </c>
    </row>
    <row r="50" spans="1:77" x14ac:dyDescent="0.25">
      <c r="B50" s="132" t="s">
        <v>113</v>
      </c>
      <c r="D50" s="107">
        <f>IF(D$3="Forecast",A50,'BS - CF Actuals'!H120)</f>
        <v>2033196.46</v>
      </c>
      <c r="E50" s="107">
        <f>IF(E$3="Forecast",B50,'BS - CF Actuals'!I120)</f>
        <v>2750829.39</v>
      </c>
      <c r="F50" s="107">
        <f>IF(F$3="Forecast",C50,'BS - CF Actuals'!J120)</f>
        <v>544376.25148978445</v>
      </c>
      <c r="G50" s="107">
        <f>IF(G$3="Forecast",F50,'BS - CF Actuals'!K120)</f>
        <v>904336.95782144764</v>
      </c>
      <c r="H50" s="107">
        <f>IF(H$3="Forecast",G50,'BS - CF Actuals'!L120)</f>
        <v>1376362.9814017664</v>
      </c>
      <c r="I50" s="107">
        <f>IF(I$3="Forecast",H50,'BS - CF Actuals'!M120)</f>
        <v>1840045.7466944754</v>
      </c>
      <c r="J50" s="107">
        <f>IF(J$3="Forecast",I50,'BS - CF Actuals'!N120)</f>
        <v>2144527.9989315844</v>
      </c>
      <c r="K50" s="107">
        <f>IF(K$3="Forecast",J50,'BS - CF Actuals'!O120)</f>
        <v>2508621.9014422083</v>
      </c>
      <c r="L50" s="107">
        <f>IF(L$3="Forecast",K50,'BS - CF Actuals'!P120)</f>
        <v>2648615.0431994796</v>
      </c>
      <c r="M50" s="107">
        <f>IF(M$3="Forecast",L50,'BS - CF Actuals'!Q120)</f>
        <v>2858457.6912966869</v>
      </c>
      <c r="N50" s="107">
        <f>IF(N$3="Forecast",M50,'BS - CF Actuals'!R120)</f>
        <v>3307091.1880790656</v>
      </c>
      <c r="O50" s="107">
        <f>IF(O$3="Forecast",N50,'BS - CF Actuals'!S120)</f>
        <v>3625821.1036610324</v>
      </c>
      <c r="P50" s="107">
        <f>IF(P$3="Forecast",O50,'BS - CF Actuals'!T120)</f>
        <v>4261091.7951886356</v>
      </c>
      <c r="Q50" s="107">
        <f>IF(Q$3="Forecast",P50,'BS - CF Actuals'!U120)</f>
        <v>3844516.82</v>
      </c>
      <c r="R50" s="107">
        <f>IF(R$3="Forecast",Q50,'BS - CF Actuals'!V120)</f>
        <v>-364100.71</v>
      </c>
      <c r="S50" s="107">
        <f>IF(S$3="Forecast",R50,'BS - CF Actuals'!W120)</f>
        <v>-352068.86</v>
      </c>
      <c r="T50" s="107">
        <f>IF(T$3="Forecast",S50,'BS - CF Actuals'!X120)</f>
        <v>-351999.11</v>
      </c>
      <c r="U50" s="107">
        <f>IF(U$3="Forecast",T50,'BS - CF Actuals'!Y120)</f>
        <v>-421168.09</v>
      </c>
      <c r="V50" s="107">
        <f>IF(V$3="Forecast",U50,'BS - CF Actuals'!Z120)</f>
        <v>-604903.43000000005</v>
      </c>
      <c r="W50" s="107">
        <f>IF(W$3="Forecast",V50,'BS - CF Actuals'!AA120)</f>
        <v>-1024623.74</v>
      </c>
      <c r="X50" s="107">
        <f>IF(X$3="Forecast",W50+'P&amp;L - Monthly'!W82,'BS - CF Actuals'!AB120)</f>
        <v>-1839782.95</v>
      </c>
      <c r="Y50" s="107">
        <f>IF(Y$3="Forecast",X50+'P&amp;L - Monthly'!X82,'BS - CF Actuals'!AC120)</f>
        <v>-2512462.5299999998</v>
      </c>
      <c r="Z50" s="107">
        <f>IF(Z$3="Forecast",Y50+'P&amp;L - Monthly'!Y82,'BS - CF Actuals'!AD120)</f>
        <v>-2852034.09</v>
      </c>
      <c r="AA50" s="107">
        <f>IF(AA$3="Forecast",Z50+'P&amp;L - Monthly'!Z82,'BS - CF Actuals'!AE120)</f>
        <v>-3136232.4</v>
      </c>
      <c r="AB50" s="107">
        <f>IF(AB$3="Forecast",AA50+'P&amp;L - Monthly'!AA82,'BS - CF Actuals'!AF120)</f>
        <v>-3575398.2300000037</v>
      </c>
      <c r="AC50" s="107">
        <f>IF(AC$3="Forecast",AB50+'P&amp;L - Monthly'!AB82,'BS - CF Actuals'!AG120)</f>
        <v>-3710749.16</v>
      </c>
      <c r="AD50" s="107">
        <f>IF(AD$3="Forecast",AC50+'P&amp;L - Monthly'!AC82,'BS - CF Actuals'!AH120)</f>
        <v>-3865118.8934203228</v>
      </c>
      <c r="AE50" s="107">
        <f>IF(AE$3="Forecast",AD50+'P&amp;L - Monthly'!AD82,'BS - CF Actuals'!AI120)</f>
        <v>-4012853.2688830798</v>
      </c>
      <c r="AF50" s="107">
        <f>IF(AF$3="Forecast",AE50+'P&amp;L - Monthly'!AE82,'BS - CF Actuals'!AJ120)</f>
        <v>-4453265.1719227163</v>
      </c>
      <c r="AG50" s="107">
        <f>IF(AG$3="Forecast",AF50+'P&amp;L - Monthly'!AF82,'BS - CF Actuals'!AK120)</f>
        <v>-4989665.6102853017</v>
      </c>
      <c r="AH50" s="107">
        <f>IF(AH$3="Forecast",AG50+'P&amp;L - Monthly'!AG82,'BS - CF Actuals'!AL120)</f>
        <v>-5300865.7872480107</v>
      </c>
      <c r="AI50" s="107">
        <f>IF(AI$3="Forecast",AH50+'P&amp;L - Monthly'!AH82,'BS - CF Actuals'!AM120)</f>
        <v>-5505038.743009612</v>
      </c>
      <c r="AJ50" s="107">
        <f>IF(AJ$3="Forecast",AI50+'P&amp;L - Monthly'!AI82,'BS - CF Actuals'!AN120)</f>
        <v>-5836423.2698574802</v>
      </c>
      <c r="AK50" s="107">
        <f>IF(AK$3="Forecast",AJ50+'P&amp;L - Monthly'!AJ82,'BS - CF Actuals'!AO120)</f>
        <v>-5838126.8876501042</v>
      </c>
      <c r="AL50" s="107">
        <f>IF(AL$3="Forecast",AK50+'P&amp;L - Monthly'!AK82,'BS - CF Actuals'!AP120)</f>
        <v>-5569311.2290736241</v>
      </c>
      <c r="AM50" s="107">
        <f>IF(AM$3="Forecast",AL50+'P&amp;L - Monthly'!AL82,'BS - CF Actuals'!AQ120)</f>
        <v>-5302282.468709548</v>
      </c>
      <c r="AN50" s="107">
        <f>IF(AN$3="Forecast",AM50+'P&amp;L - Monthly'!AM82,'BS - CF Actuals'!AR120)</f>
        <v>-4962944.0008649267</v>
      </c>
      <c r="AO50" s="107">
        <f>IF(AO$3="Forecast",AN50+'P&amp;L - Monthly'!AN82,'BS - CF Actuals'!AS120)</f>
        <v>-6091220.1722938959</v>
      </c>
      <c r="AP50" s="107">
        <f>IF(AP$3="Forecast",AO50+'P&amp;L - Monthly'!AO82,'BS - CF Actuals'!AT120)</f>
        <v>-5382922.9182823487</v>
      </c>
      <c r="AQ50" s="107">
        <f>IF(AQ$3="Forecast",AP50+'P&amp;L - Monthly'!AP82,'BS - CF Actuals'!AU120)</f>
        <v>-4629851.368241718</v>
      </c>
      <c r="AR50" s="107">
        <f>IF(AR$3="Forecast",AQ50+'P&amp;L - Monthly'!AQ82,'BS - CF Actuals'!AV120)</f>
        <v>-3743788.4442202556</v>
      </c>
      <c r="AS50" s="107">
        <f>IF(AS$3="Forecast",AR50+'P&amp;L - Monthly'!AR82,'BS - CF Actuals'!AW120)</f>
        <v>-2734155.5997841777</v>
      </c>
      <c r="AT50" s="107">
        <f>IF(AT$3="Forecast",AS50+'P&amp;L - Monthly'!AS82,'BS - CF Actuals'!AX120)</f>
        <v>-1600714.5174422108</v>
      </c>
      <c r="AU50" s="107">
        <f>IF(AU$3="Forecast",AT50+'P&amp;L - Monthly'!AT82,'BS - CF Actuals'!AY120)</f>
        <v>-352041.66278606514</v>
      </c>
      <c r="AV50" s="107">
        <f>IF(AV$3="Forecast",AU50+'P&amp;L - Monthly'!AU82,'BS - CF Actuals'!AZ120)</f>
        <v>1016968.6945386555</v>
      </c>
      <c r="AW50" s="107">
        <f>IF(AW$3="Forecast",AV50+'P&amp;L - Monthly'!AV82,'BS - CF Actuals'!BA120)</f>
        <v>2514122.1712056715</v>
      </c>
      <c r="AX50" s="107">
        <f>IF(AX$3="Forecast",AW50+'P&amp;L - Monthly'!AW82,'BS - CF Actuals'!BB120)</f>
        <v>4129274.716491296</v>
      </c>
      <c r="AY50" s="107">
        <f>IF(AY$3="Forecast",AX50+'P&amp;L - Monthly'!AX82,'BS - CF Actuals'!BC120)</f>
        <v>5856514.614894147</v>
      </c>
      <c r="AZ50" s="107">
        <f>IF(AZ$3="Forecast",AY50+'P&amp;L - Monthly'!AY82,'BS - CF Actuals'!BD120)</f>
        <v>7708178.2448254293</v>
      </c>
      <c r="BA50" s="107">
        <f>IF(BA$3="Forecast",AZ50+'P&amp;L - Monthly'!AZ82,'BS - CF Actuals'!BE120)</f>
        <v>8080957.5555926664</v>
      </c>
      <c r="BB50" s="107">
        <f>IF(BB$3="Forecast",BA50+'P&amp;L - Monthly'!BA82,'BS - CF Actuals'!BF120)</f>
        <v>6058743.4592215819</v>
      </c>
      <c r="BC50" s="107">
        <f>IF(BC$3="Forecast",BB50+'P&amp;L - Monthly'!BB82,'BS - CF Actuals'!BG120)</f>
        <v>4035608.4414373813</v>
      </c>
      <c r="BD50" s="107">
        <f>IF(BD$3="Forecast",BC50+'P&amp;L - Monthly'!BC82,'BS - CF Actuals'!BH120)</f>
        <v>2199439.5164764398</v>
      </c>
      <c r="BE50" s="107">
        <f>IF(BE$3="Forecast",BD50+'P&amp;L - Monthly'!BD82,'BS - CF Actuals'!BI120)</f>
        <v>363989.23531837109</v>
      </c>
      <c r="BF50" s="107">
        <f>IF(BF$3="Forecast",BE50+'P&amp;L - Monthly'!BE82,'BS - CF Actuals'!BJ120)</f>
        <v>-1471729.1824961232</v>
      </c>
      <c r="BG50" s="107">
        <f>IF(BG$3="Forecast",BF50+'P&amp;L - Monthly'!BF82,'BS - CF Actuals'!BK120)</f>
        <v>-3284308.3216813072</v>
      </c>
      <c r="BH50" s="107">
        <f>IF(BH$3="Forecast",BG50+'P&amp;L - Monthly'!BG82,'BS - CF Actuals'!BL120)</f>
        <v>-5097197.5216462268</v>
      </c>
      <c r="BI50" s="107">
        <f>IF(BI$3="Forecast",BH50+'P&amp;L - Monthly'!BH82,'BS - CF Actuals'!BM120)</f>
        <v>-6909452.7752537681</v>
      </c>
      <c r="BJ50" s="107">
        <f>IF(BJ$3="Forecast",BI50+'P&amp;L - Monthly'!BI82,'BS - CF Actuals'!BN120)</f>
        <v>-8722811.5176383369</v>
      </c>
      <c r="BK50" s="107">
        <f>IF(BK$3="Forecast",BJ50+'P&amp;L - Monthly'!BJ82,'BS - CF Actuals'!BO120)</f>
        <v>-10535975.451960968</v>
      </c>
      <c r="BL50" s="107">
        <f>IF(BL$3="Forecast",BK50+'P&amp;L - Monthly'!BK82,'BS - CF Actuals'!BP120)</f>
        <v>-12349891.444157811</v>
      </c>
      <c r="BM50" s="107">
        <f>IF(BM$3="Forecast",BL50+'P&amp;L - Monthly'!BL82,'BS - CF Actuals'!BQ120)</f>
        <v>-15799109.624440923</v>
      </c>
      <c r="BN50" s="107">
        <f>IF(BN$3="Forecast",BM50+'P&amp;L - Monthly'!BM82,'BS - CF Actuals'!BR120)</f>
        <v>-17217431.486256514</v>
      </c>
      <c r="BO50" s="107">
        <f>IF(BO$3="Forecast",BN50+'P&amp;L - Monthly'!BN82,'BS - CF Actuals'!BS120)</f>
        <v>-18651803.623595119</v>
      </c>
      <c r="BP50" s="107">
        <f>IF(BP$3="Forecast",BO50+'P&amp;L - Monthly'!BO82,'BS - CF Actuals'!BT120)</f>
        <v>-20086943.901976898</v>
      </c>
      <c r="BQ50" s="107">
        <f>IF(BQ$3="Forecast",BP50+'P&amp;L - Monthly'!BP82,'BS - CF Actuals'!BU120)</f>
        <v>-21521758.059029885</v>
      </c>
      <c r="BR50" s="107">
        <f>IF(BR$3="Forecast",BQ50+'P&amp;L - Monthly'!BQ82,'BS - CF Actuals'!BV120)</f>
        <v>-22957349.28660671</v>
      </c>
      <c r="BS50" s="107">
        <f>IF(BS$3="Forecast",BR50+'P&amp;L - Monthly'!BR82,'BS - CF Actuals'!BW120)</f>
        <v>-24392690.492895167</v>
      </c>
      <c r="BT50" s="107">
        <f>IF(BT$3="Forecast",BS50+'P&amp;L - Monthly'!BS82,'BS - CF Actuals'!BX120)</f>
        <v>-25828871.932969332</v>
      </c>
      <c r="BU50" s="107">
        <f>IF(BU$3="Forecast",BT50+'P&amp;L - Monthly'!BT82,'BS - CF Actuals'!BY120)</f>
        <v>-27265403.269240618</v>
      </c>
      <c r="BV50" s="107">
        <f>IF(BV$3="Forecast",BU50+'P&amp;L - Monthly'!BU82,'BS - CF Actuals'!BZ120)</f>
        <v>-28701787.392245479</v>
      </c>
      <c r="BW50" s="107">
        <f>IF(BW$3="Forecast",BV50+'P&amp;L - Monthly'!BV82,'BS - CF Actuals'!CA120)</f>
        <v>-30139079.709173121</v>
      </c>
      <c r="BX50" s="107">
        <f>IF(BX$3="Forecast",BW50+'P&amp;L - Monthly'!BW82,'BS - CF Actuals'!CB120)</f>
        <v>-31479433.611913454</v>
      </c>
      <c r="BY50" s="107">
        <f>IF(BY$3="Forecast",BX50+'P&amp;L - Monthly'!BX82,'BS - CF Actuals'!CC120)</f>
        <v>-34496936.807233408</v>
      </c>
    </row>
    <row r="51" spans="1:77" s="101" customFormat="1" ht="13" x14ac:dyDescent="0.3">
      <c r="A51" s="105" t="s">
        <v>114</v>
      </c>
      <c r="D51" s="114">
        <f t="shared" ref="D51" si="75">SUM(D39:D50)</f>
        <v>3846422.3</v>
      </c>
      <c r="E51" s="114">
        <f>SUM(E39:E50)</f>
        <v>4115653.97</v>
      </c>
      <c r="F51" s="114">
        <f>SUM(F39:F50)</f>
        <v>990812.22148978442</v>
      </c>
      <c r="G51" s="417">
        <f t="shared" ref="G51:M51" si="76">SUM(G39:G50)</f>
        <v>813138.92782144807</v>
      </c>
      <c r="H51" s="417">
        <f t="shared" si="76"/>
        <v>1035164.9514017669</v>
      </c>
      <c r="I51" s="417">
        <f t="shared" si="76"/>
        <v>961213.71669447538</v>
      </c>
      <c r="J51" s="417">
        <f t="shared" si="76"/>
        <v>1065695.9689315839</v>
      </c>
      <c r="K51" s="417">
        <f t="shared" si="76"/>
        <v>1129789.8714422078</v>
      </c>
      <c r="L51" s="417">
        <f t="shared" si="76"/>
        <v>1069783.0131994786</v>
      </c>
      <c r="M51" s="417">
        <f t="shared" si="76"/>
        <v>1279625.6612966859</v>
      </c>
      <c r="N51" s="417">
        <f t="shared" ref="N51:S51" si="77">SUM(N39:N50)</f>
        <v>928259.15807906538</v>
      </c>
      <c r="O51" s="417">
        <f t="shared" si="77"/>
        <v>646989.07366103213</v>
      </c>
      <c r="P51" s="417">
        <f t="shared" si="77"/>
        <v>206989.7651886344</v>
      </c>
      <c r="Q51" s="417">
        <f>SUM(Q39:Q50)</f>
        <v>14553481.369999999</v>
      </c>
      <c r="R51" s="417">
        <f t="shared" si="77"/>
        <v>14189380.649999999</v>
      </c>
      <c r="S51" s="417">
        <f t="shared" si="77"/>
        <v>14201412.5</v>
      </c>
      <c r="T51" s="417">
        <f t="shared" ref="T51:AO51" si="78">SUM(T39:T50)</f>
        <v>14201482.25</v>
      </c>
      <c r="U51" s="417">
        <f t="shared" si="78"/>
        <v>14132313.27</v>
      </c>
      <c r="V51" s="417">
        <f>SUM(V39:V50)</f>
        <v>13948577.93</v>
      </c>
      <c r="W51" s="417">
        <f t="shared" si="78"/>
        <v>13528857.619999999</v>
      </c>
      <c r="X51" s="417">
        <f>SUM(X39:X50)</f>
        <v>12713698.41</v>
      </c>
      <c r="Y51" s="417">
        <f>SUM(Y39:Y50)</f>
        <v>12041018.83</v>
      </c>
      <c r="Z51" s="417">
        <f>SUM(Z39:Z50)</f>
        <v>11701447.27</v>
      </c>
      <c r="AA51" s="417">
        <f t="shared" si="78"/>
        <v>11417248.959999999</v>
      </c>
      <c r="AB51" s="417">
        <f t="shared" si="78"/>
        <v>10978083.129999995</v>
      </c>
      <c r="AC51" s="417">
        <f t="shared" si="78"/>
        <v>10842732.199999999</v>
      </c>
      <c r="AD51" s="417">
        <f t="shared" si="78"/>
        <v>10688362.466579676</v>
      </c>
      <c r="AE51" s="417">
        <f t="shared" si="78"/>
        <v>10540628.09111692</v>
      </c>
      <c r="AF51" s="417">
        <f t="shared" si="78"/>
        <v>10100216.188077282</v>
      </c>
      <c r="AG51" s="417">
        <f t="shared" si="78"/>
        <v>9563815.7497146986</v>
      </c>
      <c r="AH51" s="417">
        <f t="shared" si="78"/>
        <v>9252615.5727519877</v>
      </c>
      <c r="AI51" s="417">
        <f t="shared" si="78"/>
        <v>9048442.6169903874</v>
      </c>
      <c r="AJ51" s="417">
        <f t="shared" si="78"/>
        <v>8717058.0901425183</v>
      </c>
      <c r="AK51" s="417">
        <f t="shared" si="78"/>
        <v>8715354.4723498952</v>
      </c>
      <c r="AL51" s="417">
        <f t="shared" si="78"/>
        <v>8984170.1309263743</v>
      </c>
      <c r="AM51" s="417">
        <f t="shared" si="78"/>
        <v>9251198.8912904523</v>
      </c>
      <c r="AN51" s="417">
        <f t="shared" si="78"/>
        <v>9590537.3591350727</v>
      </c>
      <c r="AO51" s="417">
        <f t="shared" si="78"/>
        <v>8462261.1877061035</v>
      </c>
      <c r="AP51" s="417">
        <f t="shared" ref="AP51:BA51" si="79">SUM(AP39:AP50)</f>
        <v>9170558.4417176507</v>
      </c>
      <c r="AQ51" s="417">
        <f t="shared" si="79"/>
        <v>9923629.9917582814</v>
      </c>
      <c r="AR51" s="417">
        <f t="shared" si="79"/>
        <v>10809692.915779743</v>
      </c>
      <c r="AS51" s="417">
        <f t="shared" si="79"/>
        <v>11819325.760215823</v>
      </c>
      <c r="AT51" s="417">
        <f t="shared" si="79"/>
        <v>12952766.842557788</v>
      </c>
      <c r="AU51" s="417">
        <f t="shared" si="79"/>
        <v>14201439.697213935</v>
      </c>
      <c r="AV51" s="417">
        <f t="shared" si="79"/>
        <v>15570450.054538654</v>
      </c>
      <c r="AW51" s="417">
        <f t="shared" si="79"/>
        <v>17067603.531205669</v>
      </c>
      <c r="AX51" s="417">
        <f t="shared" si="79"/>
        <v>18682756.076491296</v>
      </c>
      <c r="AY51" s="417">
        <f t="shared" si="79"/>
        <v>20409995.974894147</v>
      </c>
      <c r="AZ51" s="417">
        <f t="shared" si="79"/>
        <v>22261659.60482543</v>
      </c>
      <c r="BA51" s="417">
        <f t="shared" si="79"/>
        <v>22634438.915592667</v>
      </c>
      <c r="BB51" s="417">
        <f t="shared" ref="BB51:BK51" si="80">SUM(BB39:BB50)</f>
        <v>20612224.819221582</v>
      </c>
      <c r="BC51" s="417">
        <f t="shared" si="80"/>
        <v>18589089.801437382</v>
      </c>
      <c r="BD51" s="417">
        <f t="shared" si="80"/>
        <v>16752920.876476439</v>
      </c>
      <c r="BE51" s="417">
        <f t="shared" si="80"/>
        <v>14917470.59531837</v>
      </c>
      <c r="BF51" s="417">
        <f t="shared" si="80"/>
        <v>13081752.177503876</v>
      </c>
      <c r="BG51" s="417">
        <f t="shared" si="80"/>
        <v>11269173.038318692</v>
      </c>
      <c r="BH51" s="417">
        <f t="shared" si="80"/>
        <v>9456283.8383537717</v>
      </c>
      <c r="BI51" s="417">
        <f t="shared" si="80"/>
        <v>7644028.5847462313</v>
      </c>
      <c r="BJ51" s="417">
        <f t="shared" si="80"/>
        <v>5830669.8423616625</v>
      </c>
      <c r="BK51" s="417">
        <f t="shared" si="80"/>
        <v>4017505.9080390316</v>
      </c>
      <c r="BL51" s="417">
        <f t="shared" ref="BL51:BW51" si="81">SUM(BL39:BL50)</f>
        <v>2203589.9158421885</v>
      </c>
      <c r="BM51" s="417">
        <f t="shared" si="81"/>
        <v>-1245628.2644409239</v>
      </c>
      <c r="BN51" s="417">
        <f t="shared" si="81"/>
        <v>-2663950.1262565143</v>
      </c>
      <c r="BO51" s="417">
        <f t="shared" si="81"/>
        <v>-4098322.2635951191</v>
      </c>
      <c r="BP51" s="417">
        <f t="shared" si="81"/>
        <v>-5533462.5419768989</v>
      </c>
      <c r="BQ51" s="417">
        <f t="shared" si="81"/>
        <v>-6968276.6990298852</v>
      </c>
      <c r="BR51" s="417">
        <f t="shared" si="81"/>
        <v>-8403867.926606711</v>
      </c>
      <c r="BS51" s="417">
        <f t="shared" si="81"/>
        <v>-9839209.1328951679</v>
      </c>
      <c r="BT51" s="417">
        <f t="shared" si="81"/>
        <v>-11275390.572969332</v>
      </c>
      <c r="BU51" s="417">
        <f t="shared" si="81"/>
        <v>-12711921.909240618</v>
      </c>
      <c r="BV51" s="417">
        <f t="shared" si="81"/>
        <v>-14148306.03224548</v>
      </c>
      <c r="BW51" s="417">
        <f t="shared" si="81"/>
        <v>-15585598.349173121</v>
      </c>
      <c r="BX51" s="417">
        <f t="shared" ref="BX51:BY51" si="82">SUM(BX39:BX50)</f>
        <v>-16925952.251913454</v>
      </c>
      <c r="BY51" s="417">
        <f t="shared" si="82"/>
        <v>-19943455.447233409</v>
      </c>
    </row>
    <row r="52" spans="1:77" s="101" customFormat="1" ht="13.5" thickBot="1" x14ac:dyDescent="0.35">
      <c r="A52" s="23" t="s">
        <v>115</v>
      </c>
      <c r="D52" s="401">
        <f>IF(D$3="forecast",+D51+D36,'BS - CF Actuals'!H125)</f>
        <v>5749128.4700000007</v>
      </c>
      <c r="E52" s="401">
        <f>IF(E$3="forecast",+E51+E36,'BS - CF Actuals'!I125)</f>
        <v>6945527.3100000005</v>
      </c>
      <c r="F52" s="401">
        <f>IF(F$3="forecast",+F51+F36,'BS - CF Actuals'!J125)</f>
        <v>3764502.8026041687</v>
      </c>
      <c r="G52" s="401">
        <f>IF(G$3="forecast",+G51+G36,'BS - CF Actuals'!K125)</f>
        <v>3579281.1927808365</v>
      </c>
      <c r="H52" s="401">
        <f>IF(H$3="forecast",+H51+H36,'BS - CF Actuals'!L125)</f>
        <v>3777145.7129575033</v>
      </c>
      <c r="I52" s="401">
        <f>IF(I$3="forecast",+I51+I36,'BS - CF Actuals'!M125)</f>
        <v>4769908.2131341696</v>
      </c>
      <c r="J52" s="401">
        <f>IF(J$3="forecast",+J51+J36,'BS - CF Actuals'!N125)</f>
        <v>5040126.7333108354</v>
      </c>
      <c r="K52" s="401">
        <f>IF(K$3="forecast",+K51+K36,'BS - CF Actuals'!O125)</f>
        <v>4951491.1034875028</v>
      </c>
      <c r="L52" s="401">
        <f>IF(L$3="forecast",+L51+L36,'BS - CF Actuals'!P125)</f>
        <v>4883309.2736641681</v>
      </c>
      <c r="M52" s="401">
        <f>IF(M$3="forecast",+M51+M36,'BS - CF Actuals'!Q125)</f>
        <v>4941101.1738408357</v>
      </c>
      <c r="N52" s="401">
        <f>IF(N$3="forecast",+N51+N36,'BS - CF Actuals'!R125)</f>
        <v>4614827.7540175021</v>
      </c>
      <c r="O52" s="401">
        <f>IF(O$3="forecast",+O51+O36,'BS - CF Actuals'!S125)</f>
        <v>4424713.2341941707</v>
      </c>
      <c r="P52" s="401">
        <f>IF(P$3="forecast",+P51+P36,'BS - CF Actuals'!T125)</f>
        <v>3841128.4043708364</v>
      </c>
      <c r="Q52" s="401">
        <f>+Q51+Q36</f>
        <v>30141739.909999996</v>
      </c>
      <c r="R52" s="401">
        <f t="shared" ref="R52:U52" si="83">+R51+R36</f>
        <v>30737061.559999999</v>
      </c>
      <c r="S52" s="401">
        <f>+S51+S36</f>
        <v>30502645.149999999</v>
      </c>
      <c r="T52" s="401">
        <f>+T51+T36</f>
        <v>30551388.689999998</v>
      </c>
      <c r="U52" s="401">
        <f t="shared" si="83"/>
        <v>30404734.810000002</v>
      </c>
      <c r="V52" s="401">
        <f>IF(V$3="forecast",+V51+V36,'BS - CF Actuals'!Z125)</f>
        <v>29958170.73</v>
      </c>
      <c r="W52" s="401">
        <f>IF(W$3="forecast",+W51+W36,'BS - CF Actuals'!AA125)</f>
        <v>29703857.129999999</v>
      </c>
      <c r="X52" s="401">
        <f>IF(X$3="forecast",+X51+X36,'BS - CF Actuals'!AB125)</f>
        <v>28937043.780000001</v>
      </c>
      <c r="Y52" s="401">
        <f>IF(Y$3="forecast",+Y51+Y36,'BS - CF Actuals'!AC125)</f>
        <v>27889741.210000001</v>
      </c>
      <c r="Z52" s="401">
        <f>IF(Z$3="forecast",+Z51+Z36,'BS - CF Actuals'!AD125)</f>
        <v>28046963.259999998</v>
      </c>
      <c r="AA52" s="401">
        <f>IF(AA$3="forecast",+AA51+AA36,'BS - CF Actuals'!AE125)</f>
        <v>27397774.280000001</v>
      </c>
      <c r="AB52" s="401">
        <f>IF(AB$3="forecast",+AB51+AB36,'BS - CF Actuals'!AF125)</f>
        <v>26783639.889999993</v>
      </c>
      <c r="AC52" s="401">
        <f>IF(AC$3="forecast",+AC51+AC36,'BS - CF Actuals'!AG125)</f>
        <v>26235653</v>
      </c>
      <c r="AD52" s="401">
        <f>IF(AD$3="forecast",+AD51+AD36,'BS - CF Actuals'!AH125)</f>
        <v>26134770.236646179</v>
      </c>
      <c r="AE52" s="401">
        <f>IF(AE$3="forecast",+AE51+AE36,'BS - CF Actuals'!AI125)</f>
        <v>26010909.710158192</v>
      </c>
      <c r="AF52" s="401">
        <f>IF(AF$3="forecast",+AF51+AF36,'BS - CF Actuals'!AJ125)</f>
        <v>25627881.607707866</v>
      </c>
      <c r="AG52" s="401">
        <f>IF(AG$3="forecast",+AG51+AG36,'BS - CF Actuals'!AK125)</f>
        <v>25142904.65943265</v>
      </c>
      <c r="AH52" s="401">
        <f>IF(AH$3="forecast",+AH51+AH36,'BS - CF Actuals'!AL125)</f>
        <v>24837172.443467375</v>
      </c>
      <c r="AI52" s="401">
        <f>IF(AI$3="forecast",+AI51+AI36,'BS - CF Actuals'!AM125)</f>
        <v>24654052.642991759</v>
      </c>
      <c r="AJ52" s="401">
        <f>IF(AJ$3="forecast",+AJ51+AJ36,'BS - CF Actuals'!AN125)</f>
        <v>24319282.049053378</v>
      </c>
      <c r="AK52" s="401">
        <f>IF(AK$3="forecast",+AK51+AK36,'BS - CF Actuals'!AO125)</f>
        <v>24292926.026217513</v>
      </c>
      <c r="AL52" s="401">
        <f>IF(AL$3="forecast",+AL51+AL36,'BS - CF Actuals'!AP125)</f>
        <v>24643498.703426391</v>
      </c>
      <c r="AM52" s="401">
        <f>IF(AM$3="forecast",+AM51+AM36,'BS - CF Actuals'!AQ125)</f>
        <v>24951088.277379103</v>
      </c>
      <c r="AN52" s="401">
        <f>IF(AN$3="forecast",+AN51+AN36,'BS - CF Actuals'!AR125)</f>
        <v>25236100.953091368</v>
      </c>
      <c r="AO52" s="401">
        <f>IF(AO$3="forecast",+AO51+AO36,'BS - CF Actuals'!AS125)</f>
        <v>24318416.356416382</v>
      </c>
      <c r="AP52" s="401">
        <f>IF(AP$3="forecast",+AP51+AP36,'BS - CF Actuals'!AT125)</f>
        <v>24876114.925211035</v>
      </c>
      <c r="AQ52" s="401">
        <f>IF(AQ$3="forecast",+AQ51+AQ36,'BS - CF Actuals'!AU125)</f>
        <v>25663240.636459932</v>
      </c>
      <c r="AR52" s="401">
        <f>IF(AR$3="forecast",+AR51+AR36,'BS - CF Actuals'!AV125)</f>
        <v>26574297.155035678</v>
      </c>
      <c r="AS52" s="401">
        <f>IF(AS$3="forecast",+AS51+AS36,'BS - CF Actuals'!AW125)</f>
        <v>27606133.006821323</v>
      </c>
      <c r="AT52" s="401">
        <f>IF(AT$3="forecast",+AT51+AT36,'BS - CF Actuals'!AX125)</f>
        <v>28759636.259947974</v>
      </c>
      <c r="AU52" s="401">
        <f>IF(AU$3="forecast",+AU51+AU36,'BS - CF Actuals'!AY125)</f>
        <v>30029105.299394391</v>
      </c>
      <c r="AV52" s="401">
        <f>IF(AV$3="forecast",+AV51+AV36,'BS - CF Actuals'!AZ125)</f>
        <v>31418170.90466857</v>
      </c>
      <c r="AW52" s="401">
        <f>IF(AW$3="forecast",+AW51+AW36,'BS - CF Actuals'!BA125)</f>
        <v>32934858.695465177</v>
      </c>
      <c r="AX52" s="401">
        <f>IF(AX$3="forecast",+AX51+AX36,'BS - CF Actuals'!BB125)</f>
        <v>34571659.871162429</v>
      </c>
      <c r="AY52" s="401">
        <f>IF(AY$3="forecast",+AY51+AY36,'BS - CF Actuals'!BC125)</f>
        <v>36319556.321486369</v>
      </c>
      <c r="AZ52" s="401">
        <f>IF(AZ$3="forecast",+AZ51+AZ36,'BS - CF Actuals'!BD125)</f>
        <v>38190755.244791858</v>
      </c>
      <c r="BA52" s="401">
        <f>IF(BA$3="forecast",+BA51+BA36,'BS - CF Actuals'!BE125)</f>
        <v>38823565.66953294</v>
      </c>
      <c r="BB52" s="401">
        <f>IF(BB$3="forecast",+BB51+BB36,'BS - CF Actuals'!BF125)</f>
        <v>35882110.299810968</v>
      </c>
      <c r="BC52" s="401">
        <f>IF(BC$3="forecast",+BC51+BC36,'BS - CF Actuals'!BG125)</f>
        <v>33861585.600237191</v>
      </c>
      <c r="BD52" s="401">
        <f>IF(BD$3="forecast",+BD51+BD36,'BS - CF Actuals'!BH125)</f>
        <v>32025511.56630072</v>
      </c>
      <c r="BE52" s="401">
        <f>IF(BE$3="forecast",+BE51+BE36,'BS - CF Actuals'!BI125)</f>
        <v>30190050.119550303</v>
      </c>
      <c r="BF52" s="401">
        <f>IF(BF$3="forecast",+BF51+BF36,'BS - CF Actuals'!BJ125)</f>
        <v>28354309.053385951</v>
      </c>
      <c r="BG52" s="401">
        <f>IF(BG$3="forecast",+BG51+BG36,'BS - CF Actuals'!BK125)</f>
        <v>26541755.453384452</v>
      </c>
      <c r="BH52" s="401">
        <f>IF(BH$3="forecast",+BH51+BH36,'BS - CF Actuals'!BL125)</f>
        <v>24728851.893688172</v>
      </c>
      <c r="BI52" s="401">
        <f>IF(BI$3="forecast",+BI51+BI36,'BS - CF Actuals'!BM125)</f>
        <v>22916602.179105107</v>
      </c>
      <c r="BJ52" s="401">
        <f>IF(BJ$3="forecast",+BJ51+BJ36,'BS - CF Actuals'!BN125)</f>
        <v>21103350.091188774</v>
      </c>
      <c r="BK52" s="401">
        <f>IF(BK$3="forecast",+BK51+BK36,'BS - CF Actuals'!BO125)</f>
        <v>19290259.566634934</v>
      </c>
      <c r="BL52" s="401">
        <f>IF(BL$3="forecast",+BL51+BL36,'BS - CF Actuals'!BP125)</f>
        <v>17476399.514270902</v>
      </c>
      <c r="BM52" s="401">
        <f>IF(BM$3="forecast",+BM51+BM36,'BS - CF Actuals'!BQ125)</f>
        <v>14272581.293178814</v>
      </c>
      <c r="BN52" s="401">
        <f>IF(BN$3="forecast",+BN51+BN36,'BS - CF Actuals'!BR125)</f>
        <v>12549503.341556646</v>
      </c>
      <c r="BO52" s="401">
        <f>IF(BO$3="forecast",+BO51+BO36,'BS - CF Actuals'!BS125)</f>
        <v>11117712.149712704</v>
      </c>
      <c r="BP52" s="401">
        <f>IF(BP$3="forecast",+BP51+BP36,'BS - CF Actuals'!BT125)</f>
        <v>9682634.2236390784</v>
      </c>
      <c r="BQ52" s="401">
        <f>IF(BQ$3="forecast",+BQ51+BQ36,'BS - CF Actuals'!BU125)</f>
        <v>8247879.7793648578</v>
      </c>
      <c r="BR52" s="401">
        <f>IF(BR$3="forecast",+BR51+BR36,'BS - CF Actuals'!BV125)</f>
        <v>6812354.2435182855</v>
      </c>
      <c r="BS52" s="401">
        <f>IF(BS$3="forecast",+BS51+BS36,'BS - CF Actuals'!BW125)</f>
        <v>5377086.1650146581</v>
      </c>
      <c r="BT52" s="401">
        <f>IF(BT$3="forecast",+BT51+BT36,'BS - CF Actuals'!BX125)</f>
        <v>3940981.8911600262</v>
      </c>
      <c r="BU52" s="401">
        <f>IF(BU$3="forecast",+BU51+BU36,'BS - CF Actuals'!BY125)</f>
        <v>2504535.4203831889</v>
      </c>
      <c r="BV52" s="401">
        <f>IF(BV$3="forecast",+BV51+BV36,'BS - CF Actuals'!BZ125)</f>
        <v>1068242.8463664502</v>
      </c>
      <c r="BW52" s="401">
        <f>IF(BW$3="forecast",+BW51+BW36,'BS - CF Actuals'!CA125)</f>
        <v>-368959.11032109708</v>
      </c>
      <c r="BX52" s="401">
        <f>IF(BX$3="forecast",+BX51+BX36,'BS - CF Actuals'!CB125)</f>
        <v>-2892252.0228144024</v>
      </c>
      <c r="BY52" s="401">
        <f>IF(BY$3="forecast",+BY51+BY36,'BS - CF Actuals'!CC125)</f>
        <v>-5658146.4432950336</v>
      </c>
    </row>
    <row r="53" spans="1:77" s="116" customFormat="1" ht="18" customHeight="1" thickTop="1" x14ac:dyDescent="0.25">
      <c r="A53" s="90"/>
      <c r="B53" s="115" t="s">
        <v>116</v>
      </c>
      <c r="C53" s="115"/>
      <c r="D53" s="548">
        <f t="shared" ref="D53:M53" si="84">+D24-D52</f>
        <v>9.9999988451600075E-3</v>
      </c>
      <c r="E53" s="548">
        <f t="shared" si="84"/>
        <v>0</v>
      </c>
      <c r="F53" s="548">
        <f t="shared" si="84"/>
        <v>-2.6041688397526741E-3</v>
      </c>
      <c r="G53" s="405">
        <f t="shared" si="84"/>
        <v>-2.7808365412056446E-3</v>
      </c>
      <c r="H53" s="405">
        <f t="shared" si="84"/>
        <v>-2.9575033113360405E-3</v>
      </c>
      <c r="I53" s="405">
        <f t="shared" si="84"/>
        <v>-3.1341686844825745E-3</v>
      </c>
      <c r="J53" s="405">
        <f t="shared" si="84"/>
        <v>-3.3108359202742577E-3</v>
      </c>
      <c r="K53" s="405">
        <f t="shared" si="84"/>
        <v>-3.4875031560659409E-3</v>
      </c>
      <c r="L53" s="405">
        <f t="shared" si="84"/>
        <v>-3.6641685292124748E-3</v>
      </c>
      <c r="M53" s="405">
        <f t="shared" si="84"/>
        <v>-3.840835765004158E-3</v>
      </c>
      <c r="N53" s="405">
        <f t="shared" ref="N53:AO53" si="85">+N24-N52</f>
        <v>-4.0175020694732666E-3</v>
      </c>
      <c r="O53" s="405">
        <f t="shared" si="85"/>
        <v>-4.1941702365875244E-3</v>
      </c>
      <c r="P53" s="405">
        <f t="shared" si="85"/>
        <v>-4.3708360753953457E-3</v>
      </c>
      <c r="Q53" s="405">
        <f>+Q24-Q52</f>
        <v>-9.9999941885471344E-3</v>
      </c>
      <c r="R53" s="405">
        <f t="shared" si="85"/>
        <v>0</v>
      </c>
      <c r="S53" s="405">
        <f t="shared" si="85"/>
        <v>1.0000001639127731E-2</v>
      </c>
      <c r="T53" s="405">
        <f t="shared" si="85"/>
        <v>1.000000536441803E-2</v>
      </c>
      <c r="U53" s="405">
        <f t="shared" si="85"/>
        <v>9.9999979138374329E-3</v>
      </c>
      <c r="V53" s="405">
        <f t="shared" si="85"/>
        <v>1.0000001639127731E-2</v>
      </c>
      <c r="W53" s="405">
        <f t="shared" si="85"/>
        <v>1.000000536441803E-2</v>
      </c>
      <c r="X53" s="405">
        <f t="shared" si="85"/>
        <v>1.0000001639127731E-2</v>
      </c>
      <c r="Y53" s="405">
        <f>+Y24-Y52</f>
        <v>0</v>
      </c>
      <c r="Z53" s="405">
        <f>+Z24-Z52</f>
        <v>0</v>
      </c>
      <c r="AA53" s="405">
        <f t="shared" si="85"/>
        <v>0</v>
      </c>
      <c r="AB53" s="405">
        <f t="shared" si="85"/>
        <v>0</v>
      </c>
      <c r="AC53" s="405">
        <f t="shared" si="85"/>
        <v>0</v>
      </c>
      <c r="AD53" s="405">
        <f t="shared" si="85"/>
        <v>12534.25</v>
      </c>
      <c r="AE53" s="405">
        <f t="shared" si="85"/>
        <v>12534.25</v>
      </c>
      <c r="AF53" s="405">
        <f t="shared" si="85"/>
        <v>12534.25</v>
      </c>
      <c r="AG53" s="405">
        <f t="shared" si="85"/>
        <v>12534.25</v>
      </c>
      <c r="AH53" s="405">
        <f t="shared" si="85"/>
        <v>12534.249999996275</v>
      </c>
      <c r="AI53" s="405">
        <f t="shared" si="85"/>
        <v>12534.25</v>
      </c>
      <c r="AJ53" s="405">
        <f t="shared" si="85"/>
        <v>12534.25</v>
      </c>
      <c r="AK53" s="405">
        <f t="shared" si="85"/>
        <v>12534.25</v>
      </c>
      <c r="AL53" s="405">
        <f t="shared" si="85"/>
        <v>12534.25</v>
      </c>
      <c r="AM53" s="405">
        <f t="shared" si="85"/>
        <v>12534.25</v>
      </c>
      <c r="AN53" s="405">
        <f t="shared" si="85"/>
        <v>12534.25</v>
      </c>
      <c r="AO53" s="405">
        <f t="shared" si="85"/>
        <v>12534.249999996275</v>
      </c>
      <c r="AP53" s="405">
        <f t="shared" ref="AP53:BA53" si="86">+AP24-AP52</f>
        <v>12534.249999996275</v>
      </c>
      <c r="AQ53" s="405">
        <f t="shared" si="86"/>
        <v>12534.25</v>
      </c>
      <c r="AR53" s="405">
        <f t="shared" si="86"/>
        <v>12534.249999996275</v>
      </c>
      <c r="AS53" s="405">
        <f t="shared" si="86"/>
        <v>12534.249999996275</v>
      </c>
      <c r="AT53" s="405">
        <f t="shared" si="86"/>
        <v>12534.249999996275</v>
      </c>
      <c r="AU53" s="405">
        <f t="shared" si="86"/>
        <v>12534.25</v>
      </c>
      <c r="AV53" s="405">
        <f t="shared" si="86"/>
        <v>12534.25</v>
      </c>
      <c r="AW53" s="405">
        <f t="shared" si="86"/>
        <v>12534.25</v>
      </c>
      <c r="AX53" s="405">
        <f t="shared" si="86"/>
        <v>12534.25</v>
      </c>
      <c r="AY53" s="405">
        <f t="shared" si="86"/>
        <v>12534.249999992549</v>
      </c>
      <c r="AZ53" s="405">
        <f t="shared" si="86"/>
        <v>12534.249999992549</v>
      </c>
      <c r="BA53" s="405">
        <f t="shared" si="86"/>
        <v>12534.25</v>
      </c>
      <c r="BB53" s="405">
        <f t="shared" ref="BB53:BK53" si="87">+BB24-BB52</f>
        <v>12534.249999992549</v>
      </c>
      <c r="BC53" s="405">
        <f t="shared" si="87"/>
        <v>12534.249999992549</v>
      </c>
      <c r="BD53" s="405">
        <f t="shared" si="87"/>
        <v>12534.249999992549</v>
      </c>
      <c r="BE53" s="405">
        <f t="shared" si="87"/>
        <v>12534.249999996275</v>
      </c>
      <c r="BF53" s="405">
        <f t="shared" si="87"/>
        <v>12534.249999996275</v>
      </c>
      <c r="BG53" s="405">
        <f t="shared" si="87"/>
        <v>12534.25</v>
      </c>
      <c r="BH53" s="405">
        <f t="shared" si="87"/>
        <v>12534.249999996275</v>
      </c>
      <c r="BI53" s="405">
        <f t="shared" si="87"/>
        <v>12534.249999996275</v>
      </c>
      <c r="BJ53" s="405">
        <f t="shared" si="87"/>
        <v>12534.249999996275</v>
      </c>
      <c r="BK53" s="405">
        <f t="shared" si="87"/>
        <v>12534.249999996275</v>
      </c>
      <c r="BL53" s="405">
        <f t="shared" ref="BL53:BW53" si="88">+BL24-BL52</f>
        <v>12534.249999996275</v>
      </c>
      <c r="BM53" s="405">
        <f t="shared" si="88"/>
        <v>12534.249999994412</v>
      </c>
      <c r="BN53" s="405">
        <f t="shared" si="88"/>
        <v>12534.249999998137</v>
      </c>
      <c r="BO53" s="405">
        <f t="shared" si="88"/>
        <v>12534.249999994412</v>
      </c>
      <c r="BP53" s="405">
        <f t="shared" si="88"/>
        <v>12534.249999994412</v>
      </c>
      <c r="BQ53" s="405">
        <f t="shared" si="88"/>
        <v>12534.249999994412</v>
      </c>
      <c r="BR53" s="405">
        <f t="shared" si="88"/>
        <v>12534.249999995343</v>
      </c>
      <c r="BS53" s="405">
        <f t="shared" si="88"/>
        <v>12534.249999995343</v>
      </c>
      <c r="BT53" s="405">
        <f t="shared" si="88"/>
        <v>12534.249999995343</v>
      </c>
      <c r="BU53" s="405">
        <f t="shared" si="88"/>
        <v>12534.249999997206</v>
      </c>
      <c r="BV53" s="405">
        <f t="shared" si="88"/>
        <v>12534.249999996275</v>
      </c>
      <c r="BW53" s="405">
        <f t="shared" si="88"/>
        <v>12534.249999996275</v>
      </c>
      <c r="BX53" s="405">
        <f t="shared" ref="BX53:BY53" si="89">+BX24-BX52</f>
        <v>13339414.292557362</v>
      </c>
      <c r="BY53" s="405">
        <f t="shared" si="89"/>
        <v>15390023.363037994</v>
      </c>
    </row>
    <row r="54" spans="1:77" s="132" customFormat="1" x14ac:dyDescent="0.25">
      <c r="B54" s="132" t="s">
        <v>182</v>
      </c>
      <c r="D54" s="549">
        <f>Sensativities!$B$6</f>
        <v>5</v>
      </c>
      <c r="E54" s="549">
        <f>Sensativities!$B$6</f>
        <v>5</v>
      </c>
      <c r="F54" s="549">
        <f>Sensativities!$B$6</f>
        <v>5</v>
      </c>
      <c r="G54" s="178">
        <f>Sensativities!$B$6</f>
        <v>5</v>
      </c>
      <c r="H54" s="178">
        <f>Sensativities!$B$6</f>
        <v>5</v>
      </c>
      <c r="I54" s="178">
        <f>Sensativities!$B$6</f>
        <v>5</v>
      </c>
      <c r="J54" s="178">
        <f>Sensativities!$B$6</f>
        <v>5</v>
      </c>
      <c r="K54" s="178">
        <f>Sensativities!$B$6</f>
        <v>5</v>
      </c>
      <c r="L54" s="178">
        <f>Sensativities!$B$6</f>
        <v>5</v>
      </c>
      <c r="M54" s="178">
        <f>Sensativities!$B$6</f>
        <v>5</v>
      </c>
      <c r="N54" s="178">
        <f>Sensativities!$B$6</f>
        <v>5</v>
      </c>
      <c r="O54" s="178">
        <f>Sensativities!$B$6</f>
        <v>5</v>
      </c>
      <c r="P54" s="178">
        <f>Sensativities!$B$6</f>
        <v>5</v>
      </c>
      <c r="Q54" s="178">
        <f>Sensativities!$B$6</f>
        <v>5</v>
      </c>
      <c r="R54" s="178">
        <f>Sensativities!$B$6</f>
        <v>5</v>
      </c>
      <c r="S54" s="178">
        <f>Sensativities!$B$6</f>
        <v>5</v>
      </c>
      <c r="T54" s="178">
        <f>Sensativities!$B$6</f>
        <v>5</v>
      </c>
      <c r="U54" s="178">
        <f>Sensativities!$B$6</f>
        <v>5</v>
      </c>
      <c r="V54" s="178">
        <f>Sensativities!$B$6</f>
        <v>5</v>
      </c>
      <c r="W54" s="178">
        <f>Sensativities!$B$6</f>
        <v>5</v>
      </c>
      <c r="X54" s="178">
        <f>Sensativities!$B$6</f>
        <v>5</v>
      </c>
      <c r="Y54" s="178">
        <f>Sensativities!$B$6</f>
        <v>5</v>
      </c>
      <c r="Z54" s="178">
        <f>Sensativities!$B$6</f>
        <v>5</v>
      </c>
      <c r="AA54" s="178">
        <f>Sensativities!$B$6</f>
        <v>5</v>
      </c>
      <c r="AB54" s="178">
        <f>Sensativities!$B$6</f>
        <v>5</v>
      </c>
      <c r="AC54" s="178">
        <f>Sensativities!$B$6</f>
        <v>5</v>
      </c>
      <c r="AD54" s="178">
        <f>Sensativities!$B$6</f>
        <v>5</v>
      </c>
      <c r="AE54" s="178">
        <f>Sensativities!$B$6</f>
        <v>5</v>
      </c>
      <c r="AF54" s="178">
        <f>Sensativities!$B$6</f>
        <v>5</v>
      </c>
      <c r="AG54" s="178">
        <f>Sensativities!$B$6</f>
        <v>5</v>
      </c>
      <c r="AH54" s="178">
        <f>Sensativities!$B$6</f>
        <v>5</v>
      </c>
      <c r="AI54" s="178">
        <f>Sensativities!$B$6</f>
        <v>5</v>
      </c>
      <c r="AJ54" s="178">
        <f>Sensativities!$B$6</f>
        <v>5</v>
      </c>
      <c r="AK54" s="178">
        <f>Sensativities!$B$6</f>
        <v>5</v>
      </c>
      <c r="AL54" s="178">
        <f>Sensativities!$B$6</f>
        <v>5</v>
      </c>
      <c r="AM54" s="178">
        <f>Sensativities!$B$6</f>
        <v>5</v>
      </c>
      <c r="AN54" s="178">
        <f>Sensativities!$B$6</f>
        <v>5</v>
      </c>
      <c r="AO54" s="178">
        <f>Sensativities!$B$6</f>
        <v>5</v>
      </c>
      <c r="AP54" s="178">
        <f>Sensativities!$B$6</f>
        <v>5</v>
      </c>
      <c r="AQ54" s="178">
        <f>Sensativities!$B$6</f>
        <v>5</v>
      </c>
      <c r="AR54" s="178">
        <f>Sensativities!$B$6</f>
        <v>5</v>
      </c>
      <c r="AS54" s="178">
        <f>Sensativities!$B$6</f>
        <v>5</v>
      </c>
      <c r="AT54" s="178">
        <f>Sensativities!$B$6</f>
        <v>5</v>
      </c>
      <c r="AU54" s="178">
        <f>Sensativities!$B$6</f>
        <v>5</v>
      </c>
      <c r="AV54" s="178">
        <f>Sensativities!$B$6</f>
        <v>5</v>
      </c>
      <c r="AW54" s="178">
        <f>Sensativities!$B$6</f>
        <v>5</v>
      </c>
      <c r="AX54" s="178">
        <f>Sensativities!$B$6</f>
        <v>5</v>
      </c>
      <c r="AY54" s="178">
        <f>Sensativities!$B$6</f>
        <v>5</v>
      </c>
      <c r="AZ54" s="178">
        <f>Sensativities!$B$6</f>
        <v>5</v>
      </c>
      <c r="BA54" s="178">
        <f>Sensativities!$B$6</f>
        <v>5</v>
      </c>
      <c r="BB54" s="178">
        <f>Sensativities!$B$6</f>
        <v>5</v>
      </c>
      <c r="BC54" s="178">
        <f>Sensativities!$B$6</f>
        <v>5</v>
      </c>
      <c r="BD54" s="178">
        <f>Sensativities!$B$6</f>
        <v>5</v>
      </c>
      <c r="BE54" s="178">
        <f>Sensativities!$B$6</f>
        <v>5</v>
      </c>
      <c r="BF54" s="178">
        <f>Sensativities!$B$6</f>
        <v>5</v>
      </c>
      <c r="BG54" s="178">
        <f>Sensativities!$B$6</f>
        <v>5</v>
      </c>
      <c r="BH54" s="178">
        <f>Sensativities!$B$6</f>
        <v>5</v>
      </c>
      <c r="BI54" s="178">
        <f>Sensativities!$B$6</f>
        <v>5</v>
      </c>
      <c r="BJ54" s="178">
        <f>Sensativities!$B$6</f>
        <v>5</v>
      </c>
      <c r="BK54" s="178">
        <f>Sensativities!$B$6</f>
        <v>5</v>
      </c>
      <c r="BL54" s="178">
        <f>Sensativities!$B$6</f>
        <v>5</v>
      </c>
      <c r="BM54" s="178">
        <f>Sensativities!$B$6</f>
        <v>5</v>
      </c>
      <c r="BN54" s="178">
        <f>Sensativities!$B$6</f>
        <v>5</v>
      </c>
      <c r="BO54" s="178">
        <f>Sensativities!$B$6</f>
        <v>5</v>
      </c>
      <c r="BP54" s="178">
        <f>Sensativities!$B$6</f>
        <v>5</v>
      </c>
      <c r="BQ54" s="178">
        <f>Sensativities!$B$6</f>
        <v>5</v>
      </c>
      <c r="BR54" s="178">
        <f>Sensativities!$B$6</f>
        <v>5</v>
      </c>
      <c r="BS54" s="178">
        <f>Sensativities!$B$6</f>
        <v>5</v>
      </c>
      <c r="BT54" s="178">
        <f>Sensativities!$B$6</f>
        <v>5</v>
      </c>
      <c r="BU54" s="178">
        <f>Sensativities!$B$6</f>
        <v>5</v>
      </c>
      <c r="BV54" s="178">
        <f>Sensativities!$B$6</f>
        <v>5</v>
      </c>
      <c r="BW54" s="178">
        <f>Sensativities!$B$6</f>
        <v>5</v>
      </c>
      <c r="BX54" s="178">
        <f>Sensativities!$B$6</f>
        <v>5</v>
      </c>
      <c r="BY54" s="178">
        <f>Sensativities!$B$6</f>
        <v>5</v>
      </c>
    </row>
    <row r="55" spans="1:77" s="132" customFormat="1" x14ac:dyDescent="0.25">
      <c r="B55" s="132" t="s">
        <v>183</v>
      </c>
      <c r="D55" s="550">
        <f>Sensativities!$B$7</f>
        <v>30</v>
      </c>
      <c r="E55" s="550">
        <f>Sensativities!$B$7</f>
        <v>30</v>
      </c>
      <c r="F55" s="550">
        <f>Sensativities!$B$7</f>
        <v>30</v>
      </c>
      <c r="G55" s="179">
        <f>Sensativities!$B$7</f>
        <v>30</v>
      </c>
      <c r="H55" s="179">
        <f>Sensativities!$B$7</f>
        <v>30</v>
      </c>
      <c r="I55" s="179">
        <f>Sensativities!$B$7</f>
        <v>30</v>
      </c>
      <c r="J55" s="179">
        <f>Sensativities!$B$7</f>
        <v>30</v>
      </c>
      <c r="K55" s="179">
        <f>Sensativities!$B$7</f>
        <v>30</v>
      </c>
      <c r="L55" s="179">
        <f>Sensativities!$B$7</f>
        <v>30</v>
      </c>
      <c r="M55" s="179">
        <f>Sensativities!$B$7</f>
        <v>30</v>
      </c>
      <c r="N55" s="179">
        <f>Sensativities!$B$7</f>
        <v>30</v>
      </c>
      <c r="O55" s="179">
        <f>Sensativities!$B$7</f>
        <v>30</v>
      </c>
      <c r="P55" s="179">
        <f>Sensativities!$B$7</f>
        <v>30</v>
      </c>
      <c r="Q55" s="179">
        <f>Sensativities!$B$7</f>
        <v>30</v>
      </c>
      <c r="R55" s="179">
        <f>Sensativities!$B$7</f>
        <v>30</v>
      </c>
      <c r="S55" s="179">
        <f>Sensativities!$B$7</f>
        <v>30</v>
      </c>
      <c r="T55" s="179">
        <f>Sensativities!$B$7</f>
        <v>30</v>
      </c>
      <c r="U55" s="179">
        <f>Sensativities!$B$7</f>
        <v>30</v>
      </c>
      <c r="V55" s="179">
        <f>Sensativities!$B$7</f>
        <v>30</v>
      </c>
      <c r="W55" s="179">
        <f>Sensativities!$B$7</f>
        <v>30</v>
      </c>
      <c r="X55" s="179">
        <f>Sensativities!$B$7</f>
        <v>30</v>
      </c>
      <c r="Y55" s="179">
        <f>Sensativities!$B$7</f>
        <v>30</v>
      </c>
      <c r="Z55" s="179">
        <f>Sensativities!$B$7</f>
        <v>30</v>
      </c>
      <c r="AA55" s="179">
        <f>Sensativities!$B$7</f>
        <v>30</v>
      </c>
      <c r="AB55" s="179">
        <f>Sensativities!$B$7</f>
        <v>30</v>
      </c>
      <c r="AC55" s="179">
        <f>Sensativities!$B$7</f>
        <v>30</v>
      </c>
      <c r="AD55" s="179">
        <f>Sensativities!$B$7</f>
        <v>30</v>
      </c>
      <c r="AE55" s="179">
        <f>Sensativities!$B$7</f>
        <v>30</v>
      </c>
      <c r="AF55" s="179">
        <f>Sensativities!$B$7</f>
        <v>30</v>
      </c>
      <c r="AG55" s="179">
        <f>Sensativities!$B$7</f>
        <v>30</v>
      </c>
      <c r="AH55" s="179">
        <f>Sensativities!$B$7</f>
        <v>30</v>
      </c>
      <c r="AI55" s="179">
        <f>Sensativities!$B$7</f>
        <v>30</v>
      </c>
      <c r="AJ55" s="179">
        <f>Sensativities!$B$7</f>
        <v>30</v>
      </c>
      <c r="AK55" s="179">
        <f>Sensativities!$B$7</f>
        <v>30</v>
      </c>
      <c r="AL55" s="179">
        <f>Sensativities!$B$7</f>
        <v>30</v>
      </c>
      <c r="AM55" s="179">
        <f>Sensativities!$B$7</f>
        <v>30</v>
      </c>
      <c r="AN55" s="179">
        <f>Sensativities!$B$7</f>
        <v>30</v>
      </c>
      <c r="AO55" s="179">
        <f>Sensativities!$B$7</f>
        <v>30</v>
      </c>
      <c r="AP55" s="179">
        <f>Sensativities!$B$7</f>
        <v>30</v>
      </c>
      <c r="AQ55" s="179">
        <f>Sensativities!$B$7</f>
        <v>30</v>
      </c>
      <c r="AR55" s="179">
        <f>Sensativities!$B$7</f>
        <v>30</v>
      </c>
      <c r="AS55" s="179">
        <f>Sensativities!$B$7</f>
        <v>30</v>
      </c>
      <c r="AT55" s="179">
        <f>Sensativities!$B$7</f>
        <v>30</v>
      </c>
      <c r="AU55" s="179">
        <f>Sensativities!$B$7</f>
        <v>30</v>
      </c>
      <c r="AV55" s="179">
        <f>Sensativities!$B$7</f>
        <v>30</v>
      </c>
      <c r="AW55" s="179">
        <f>Sensativities!$B$7</f>
        <v>30</v>
      </c>
      <c r="AX55" s="179">
        <f>Sensativities!$B$7</f>
        <v>30</v>
      </c>
      <c r="AY55" s="179">
        <f>Sensativities!$B$7</f>
        <v>30</v>
      </c>
      <c r="AZ55" s="179">
        <f>Sensativities!$B$7</f>
        <v>30</v>
      </c>
      <c r="BA55" s="179">
        <f>Sensativities!$B$7</f>
        <v>30</v>
      </c>
      <c r="BB55" s="179">
        <f>Sensativities!$B$7</f>
        <v>30</v>
      </c>
      <c r="BC55" s="179">
        <f>Sensativities!$B$7</f>
        <v>30</v>
      </c>
      <c r="BD55" s="179">
        <f>Sensativities!$B$7</f>
        <v>30</v>
      </c>
      <c r="BE55" s="179">
        <f>Sensativities!$B$7</f>
        <v>30</v>
      </c>
      <c r="BF55" s="179">
        <f>Sensativities!$B$7</f>
        <v>30</v>
      </c>
      <c r="BG55" s="179">
        <f>Sensativities!$B$7</f>
        <v>30</v>
      </c>
      <c r="BH55" s="179">
        <f>Sensativities!$B$7</f>
        <v>30</v>
      </c>
      <c r="BI55" s="179">
        <f>Sensativities!$B$7</f>
        <v>30</v>
      </c>
      <c r="BJ55" s="179">
        <f>Sensativities!$B$7</f>
        <v>30</v>
      </c>
      <c r="BK55" s="179">
        <f>Sensativities!$B$7</f>
        <v>30</v>
      </c>
      <c r="BL55" s="179">
        <f>Sensativities!$B$7</f>
        <v>30</v>
      </c>
      <c r="BM55" s="179">
        <f>Sensativities!$B$7</f>
        <v>30</v>
      </c>
      <c r="BN55" s="179">
        <f>Sensativities!$B$7</f>
        <v>30</v>
      </c>
      <c r="BO55" s="179">
        <f>Sensativities!$B$7</f>
        <v>30</v>
      </c>
      <c r="BP55" s="179">
        <f>Sensativities!$B$7</f>
        <v>30</v>
      </c>
      <c r="BQ55" s="179">
        <f>Sensativities!$B$7</f>
        <v>30</v>
      </c>
      <c r="BR55" s="179">
        <f>Sensativities!$B$7</f>
        <v>30</v>
      </c>
      <c r="BS55" s="179">
        <f>Sensativities!$B$7</f>
        <v>30</v>
      </c>
      <c r="BT55" s="179">
        <f>Sensativities!$B$7</f>
        <v>30</v>
      </c>
      <c r="BU55" s="179">
        <f>Sensativities!$B$7</f>
        <v>30</v>
      </c>
      <c r="BV55" s="179">
        <f>Sensativities!$B$7</f>
        <v>30</v>
      </c>
      <c r="BW55" s="179">
        <f>Sensativities!$B$7</f>
        <v>30</v>
      </c>
      <c r="BX55" s="179">
        <f>Sensativities!$B$7</f>
        <v>30</v>
      </c>
      <c r="BY55" s="179">
        <f>Sensativities!$B$7</f>
        <v>30</v>
      </c>
    </row>
    <row r="56" spans="1:77" s="132" customFormat="1" x14ac:dyDescent="0.25">
      <c r="D56" s="551"/>
      <c r="E56" s="551"/>
      <c r="F56" s="551"/>
      <c r="G56" s="94"/>
      <c r="H56" s="94"/>
      <c r="I56" s="94"/>
      <c r="J56" s="94"/>
      <c r="K56" s="94"/>
      <c r="L56" s="94"/>
      <c r="M56" s="94"/>
      <c r="N56" s="94"/>
      <c r="O56" s="94"/>
      <c r="P56" s="94"/>
      <c r="Q56" s="94"/>
      <c r="R56" s="94"/>
      <c r="S56" s="94"/>
      <c r="T56" s="94"/>
      <c r="U56" s="94"/>
      <c r="V56" s="94"/>
      <c r="W56" s="94"/>
      <c r="X56" s="94"/>
      <c r="Y56" s="94"/>
      <c r="Z56" s="94"/>
      <c r="AA56" s="94"/>
      <c r="AB56" s="94"/>
    </row>
    <row r="57" spans="1:77" s="132" customFormat="1" x14ac:dyDescent="0.25">
      <c r="D57" s="552"/>
      <c r="E57" s="552"/>
      <c r="F57" s="552"/>
      <c r="N57" s="238"/>
      <c r="Q57" s="238"/>
      <c r="R57" s="238"/>
      <c r="S57" s="238"/>
      <c r="T57" s="238"/>
      <c r="U57" s="238"/>
      <c r="V57" s="238"/>
      <c r="W57" s="238"/>
      <c r="X57" s="238"/>
      <c r="Z57" s="238"/>
      <c r="AA57" s="238"/>
      <c r="AB57" s="238"/>
    </row>
    <row r="58" spans="1:77" s="132" customFormat="1" x14ac:dyDescent="0.25">
      <c r="D58" s="552"/>
      <c r="E58" s="552"/>
      <c r="F58" s="552"/>
      <c r="I58" s="316"/>
      <c r="N58" s="316"/>
      <c r="Q58" s="238"/>
    </row>
    <row r="59" spans="1:77" s="132" customFormat="1" x14ac:dyDescent="0.25">
      <c r="D59" s="553"/>
      <c r="E59" s="553"/>
      <c r="F59" s="553"/>
      <c r="G59" s="133"/>
      <c r="H59" s="133"/>
      <c r="I59" s="133"/>
      <c r="J59" s="133"/>
      <c r="K59" s="133"/>
      <c r="L59" s="133"/>
      <c r="M59" s="133"/>
      <c r="N59" s="133"/>
      <c r="O59" s="133"/>
      <c r="P59" s="133"/>
      <c r="Q59" s="133"/>
      <c r="R59" s="133"/>
      <c r="S59" s="133"/>
      <c r="T59" s="133"/>
      <c r="U59" s="133"/>
      <c r="V59" s="133"/>
      <c r="W59" s="133"/>
      <c r="X59" s="133"/>
      <c r="Y59" s="133"/>
      <c r="Z59" s="133"/>
      <c r="AA59" s="133"/>
    </row>
    <row r="60" spans="1:77" s="449" customFormat="1" ht="13" x14ac:dyDescent="0.3">
      <c r="A60" s="448" t="s">
        <v>536</v>
      </c>
      <c r="D60" s="554"/>
      <c r="E60" s="554"/>
      <c r="F60" s="554"/>
    </row>
    <row r="61" spans="1:77" s="132" customFormat="1" ht="13" x14ac:dyDescent="0.3">
      <c r="B61" s="101" t="s">
        <v>535</v>
      </c>
      <c r="D61" s="552"/>
      <c r="E61" s="552"/>
      <c r="F61" s="572">
        <f>+E29</f>
        <v>2448176.83</v>
      </c>
      <c r="G61" s="572">
        <f>+F29</f>
        <v>2451443.6811143844</v>
      </c>
      <c r="H61" s="572">
        <f>+G29</f>
        <v>2411815.7549593886</v>
      </c>
      <c r="I61" s="572">
        <f>+H29</f>
        <v>2359010.9015557361</v>
      </c>
      <c r="J61" s="572">
        <f t="shared" ref="J61:W61" si="90">+I29</f>
        <v>3303695.0664396943</v>
      </c>
      <c r="K61" s="572">
        <f t="shared" si="90"/>
        <v>3565567.1843792517</v>
      </c>
      <c r="L61" s="572">
        <f t="shared" si="90"/>
        <v>3497235.7020452945</v>
      </c>
      <c r="M61" s="572">
        <f t="shared" si="90"/>
        <v>3504387.7004646901</v>
      </c>
      <c r="N61" s="572">
        <f t="shared" si="90"/>
        <v>3457435.0925441496</v>
      </c>
      <c r="O61" s="572">
        <f t="shared" si="90"/>
        <v>3411836.1159384376</v>
      </c>
      <c r="P61" s="572">
        <f t="shared" si="90"/>
        <v>3608558.6505331378</v>
      </c>
      <c r="Q61" s="572">
        <f t="shared" si="90"/>
        <v>3389939.2191822021</v>
      </c>
      <c r="R61" s="572">
        <f t="shared" si="90"/>
        <v>2110394.37</v>
      </c>
      <c r="S61" s="572">
        <f t="shared" si="90"/>
        <v>3091002.33</v>
      </c>
      <c r="T61" s="572">
        <f t="shared" si="90"/>
        <v>2766690.83</v>
      </c>
      <c r="U61" s="572">
        <f t="shared" si="90"/>
        <v>2602389.7799999998</v>
      </c>
      <c r="V61" s="572">
        <f t="shared" si="90"/>
        <v>2431390.27</v>
      </c>
      <c r="W61" s="572">
        <f t="shared" si="90"/>
        <v>2374179.9500000002</v>
      </c>
      <c r="X61" s="316">
        <f>W65</f>
        <v>2484153.2799999998</v>
      </c>
      <c r="Y61" s="316">
        <f t="shared" ref="Y61:AE61" si="91">X65</f>
        <v>2579841.1160345278</v>
      </c>
      <c r="Z61" s="316">
        <f t="shared" si="91"/>
        <v>2588216.4714687136</v>
      </c>
      <c r="AA61" s="316">
        <f t="shared" si="91"/>
        <v>2596524.3709289683</v>
      </c>
      <c r="AB61" s="316">
        <f t="shared" si="91"/>
        <v>2604567.3926660898</v>
      </c>
      <c r="AC61" s="316">
        <f t="shared" si="91"/>
        <v>2611158.594670583</v>
      </c>
      <c r="AD61" s="316">
        <f t="shared" si="91"/>
        <v>2617881.4643648248</v>
      </c>
      <c r="AE61" s="316">
        <f t="shared" si="91"/>
        <v>2626611.205970095</v>
      </c>
      <c r="AF61" s="316">
        <f t="shared" ref="AF61:AJ61" si="92">AE65</f>
        <v>2636048.9199518552</v>
      </c>
      <c r="AG61" s="316">
        <f t="shared" si="92"/>
        <v>2639379.6809660518</v>
      </c>
      <c r="AH61" s="316">
        <f t="shared" si="92"/>
        <v>2652961.5291943443</v>
      </c>
      <c r="AI61" s="316">
        <f t="shared" si="92"/>
        <v>2666606.800119441</v>
      </c>
      <c r="AJ61" s="316">
        <f t="shared" si="92"/>
        <v>2679370.4986538021</v>
      </c>
      <c r="AK61" s="316">
        <f t="shared" ref="AK61:AO61" si="93">AJ65</f>
        <v>2675849.9635892292</v>
      </c>
      <c r="AL61" s="316">
        <f t="shared" si="93"/>
        <v>2684747.0348078674</v>
      </c>
      <c r="AM61" s="316">
        <f t="shared" si="93"/>
        <v>2719846.5679330877</v>
      </c>
      <c r="AN61" s="316">
        <f t="shared" si="93"/>
        <v>2733976.4875301579</v>
      </c>
      <c r="AO61" s="316">
        <f t="shared" si="93"/>
        <v>2725603.0951356343</v>
      </c>
      <c r="AP61" s="316">
        <f t="shared" ref="AP61" si="94">AO65</f>
        <v>2726345.1565838465</v>
      </c>
      <c r="AQ61" s="316">
        <f t="shared" ref="AQ61" si="95">AP65</f>
        <v>2763414.3891546</v>
      </c>
      <c r="AR61" s="316">
        <f t="shared" ref="AR61" si="96">AQ65</f>
        <v>2777676.4419420809</v>
      </c>
      <c r="AS61" s="316">
        <f t="shared" ref="AS61" si="97">AR65</f>
        <v>2792550.5789498631</v>
      </c>
      <c r="AT61" s="316">
        <f t="shared" ref="AT61" si="98">AS65</f>
        <v>2806805.8528920198</v>
      </c>
      <c r="AU61" s="316">
        <f t="shared" ref="AU61" si="99">AT65</f>
        <v>2820496.5178191876</v>
      </c>
      <c r="AV61" s="316">
        <f t="shared" ref="AV61" si="100">AU65</f>
        <v>2834039.6760356752</v>
      </c>
      <c r="AW61" s="316">
        <f t="shared" ref="AW61" si="101">AV65</f>
        <v>2847590.440905252</v>
      </c>
      <c r="AX61" s="316">
        <f t="shared" ref="AX61" si="102">AW65</f>
        <v>2861309.5407663314</v>
      </c>
      <c r="AY61" s="316">
        <f t="shared" ref="AY61" si="103">AX65</f>
        <v>2875195.3400898902</v>
      </c>
      <c r="AZ61" s="316">
        <f t="shared" ref="AZ61" si="104">AY65</f>
        <v>2888774.3167565567</v>
      </c>
      <c r="BA61" s="316">
        <f t="shared" ref="BA61" si="105">AZ65</f>
        <v>2902354.1505660801</v>
      </c>
      <c r="BB61" s="316">
        <f t="shared" ref="BB61" si="106">BA65</f>
        <v>2915934.8415184612</v>
      </c>
      <c r="BC61" s="316">
        <f t="shared" ref="BC61" si="107">BB65</f>
        <v>2481852.0227356176</v>
      </c>
      <c r="BD61" s="316">
        <f t="shared" ref="BD61" si="108">BC65</f>
        <v>2481866.4036879987</v>
      </c>
      <c r="BE61" s="316">
        <f t="shared" ref="BE61" si="109">BD65</f>
        <v>2481881.7846403797</v>
      </c>
      <c r="BF61" s="316">
        <f t="shared" ref="BF61" si="110">BE65</f>
        <v>2481898.1655927608</v>
      </c>
      <c r="BG61" s="316">
        <f t="shared" ref="BG61" si="111">BF65</f>
        <v>2481915.5465451418</v>
      </c>
      <c r="BH61" s="316">
        <f t="shared" ref="BH61" si="112">BG65</f>
        <v>2481933.9274975229</v>
      </c>
      <c r="BI61" s="316">
        <f t="shared" ref="BI61" si="113">BH65</f>
        <v>2481953.308449904</v>
      </c>
      <c r="BJ61" s="316">
        <f t="shared" ref="BJ61" si="114">BI65</f>
        <v>2481973.689402285</v>
      </c>
      <c r="BK61" s="316">
        <f t="shared" ref="BK61" si="115">BJ65</f>
        <v>2481995.0703546661</v>
      </c>
      <c r="BL61" s="316">
        <f t="shared" ref="BL61" si="116">BK65</f>
        <v>2482017.4513070472</v>
      </c>
      <c r="BM61" s="316">
        <f t="shared" ref="BM61" si="117">BL65</f>
        <v>2482040.8322594282</v>
      </c>
      <c r="BN61" s="316">
        <f t="shared" ref="BN61" si="118">BM65</f>
        <v>2482065.2132118093</v>
      </c>
      <c r="BO61" s="316">
        <f t="shared" ref="BO61" si="119">BN65</f>
        <v>2482090.5941641903</v>
      </c>
      <c r="BP61" s="316">
        <f t="shared" ref="BP61" si="120">BO65</f>
        <v>2482116.9751165714</v>
      </c>
      <c r="BQ61" s="316">
        <f t="shared" ref="BQ61" si="121">BP65</f>
        <v>2482144.3560689525</v>
      </c>
      <c r="BR61" s="316">
        <f t="shared" ref="BR61" si="122">BQ65</f>
        <v>2482172.7370213335</v>
      </c>
      <c r="BS61" s="316">
        <f t="shared" ref="BS61" si="123">BR65</f>
        <v>2482202.1179737146</v>
      </c>
      <c r="BT61" s="316">
        <f t="shared" ref="BT61" si="124">BS65</f>
        <v>2482232.4989260957</v>
      </c>
      <c r="BU61" s="316">
        <f t="shared" ref="BU61" si="125">BT65</f>
        <v>2482263.8798784767</v>
      </c>
      <c r="BV61" s="316">
        <f t="shared" ref="BV61" si="126">BU65</f>
        <v>2482296.2608308578</v>
      </c>
      <c r="BW61" s="316">
        <f t="shared" ref="BW61" si="127">BV65</f>
        <v>2482329.6417832389</v>
      </c>
      <c r="BX61" s="316">
        <f t="shared" ref="BX61" si="128">BW65</f>
        <v>2482364.0227356199</v>
      </c>
      <c r="BY61" s="316">
        <f t="shared" ref="BY61" si="129">BX65</f>
        <v>2482399.403688001</v>
      </c>
    </row>
    <row r="62" spans="1:77" s="132" customFormat="1" x14ac:dyDescent="0.25">
      <c r="B62" s="443" t="s">
        <v>532</v>
      </c>
      <c r="D62" s="316"/>
      <c r="E62" s="316"/>
      <c r="F62" s="316"/>
      <c r="G62" s="316"/>
      <c r="H62" s="316"/>
      <c r="I62" s="316"/>
      <c r="J62" s="316"/>
      <c r="K62" s="316"/>
      <c r="L62" s="316"/>
      <c r="M62" s="316"/>
      <c r="N62" s="316"/>
      <c r="O62" s="316"/>
      <c r="P62" s="316"/>
      <c r="Q62" s="316"/>
      <c r="R62" s="316"/>
      <c r="S62" s="316"/>
      <c r="T62" s="316"/>
      <c r="U62" s="316"/>
      <c r="V62" s="316"/>
      <c r="W62" s="316"/>
      <c r="X62" s="316">
        <f>('Voice Revenue'!T65*Sensativities!$B$8)+('SMS Revenue'!T66*Sensativities!$B$8)+('SMS Sub'!T66*Sensativities!$B$8)</f>
        <v>96089.482086528122</v>
      </c>
      <c r="Y62" s="316">
        <f>('Voice Revenue'!U65*Sensativities!$B$8)+('SMS Revenue'!U66*Sensativities!$B$8)+('SMS Sub'!U66*Sensativities!$B$8)</f>
        <v>104866.48357271406</v>
      </c>
      <c r="Z62" s="316">
        <f>('Voice Revenue'!V65*Sensativities!$B$8)+('SMS Revenue'!V66*Sensativities!$B$8)+('SMS Sub'!V66*Sensativities!$B$8)</f>
        <v>113576.02908496872</v>
      </c>
      <c r="AA62" s="316">
        <f>('Voice Revenue'!W65*Sensativities!$B$8)+('SMS Revenue'!W66*Sensativities!$B$8)+('SMS Sub'!W66*Sensativities!$B$8)</f>
        <v>122020.69687409041</v>
      </c>
      <c r="AB62" s="316">
        <f>('Voice Revenue'!X65*Sensativities!$B$8)+('SMS Revenue'!X66*Sensativities!$B$8)+('SMS Sub'!X66*Sensativities!$B$8)</f>
        <v>129013.54493058358</v>
      </c>
      <c r="AC62" s="316">
        <f>('Voice Revenue'!Y65*Sensativities!$B$8)+('SMS Revenue'!Y66*Sensativities!$B$8)+('SMS Sub'!Y66*Sensativities!$B$8)</f>
        <v>136138.06067682561</v>
      </c>
      <c r="AD62" s="316">
        <f>('Voice Revenue'!Z65*Sensativities!$B$8)+('SMS Revenue'!Z66*Sensativities!$B$8)+('SMS Sub'!Z66*Sensativities!$B$8)</f>
        <v>144867.80228209583</v>
      </c>
      <c r="AE62" s="316">
        <f>('Voice Revenue'!AA65*Sensativities!$B$8)+('SMS Revenue'!AA66*Sensativities!$B$8)+('SMS Sub'!AA66*Sensativities!$B$8)</f>
        <v>154305.51626385623</v>
      </c>
      <c r="AF62" s="316">
        <f>('Voice Revenue'!AB65*Sensativities!$B$8)+('SMS Revenue'!AB66*Sensativities!$B$8)+('SMS Sub'!AB66*Sensativities!$B$8)</f>
        <v>157636.27727805273</v>
      </c>
      <c r="AG62" s="316">
        <f>('Voice Revenue'!AC65*Sensativities!$B$8)+('SMS Revenue'!AC66*Sensativities!$B$8)+('SMS Sub'!AC66*Sensativities!$B$8)</f>
        <v>171218.12550634536</v>
      </c>
      <c r="AH62" s="316">
        <f>('Voice Revenue'!AD65*Sensativities!$B$8)+('SMS Revenue'!AD66*Sensativities!$B$8)+('SMS Sub'!AD66*Sensativities!$B$8)</f>
        <v>184863.39643144212</v>
      </c>
      <c r="AI62" s="316">
        <f>('Voice Revenue'!AE65*Sensativities!$B$8)+('SMS Revenue'!AE66*Sensativities!$B$8)+('SMS Sub'!AE66*Sensativities!$B$8)</f>
        <v>197627.09496580303</v>
      </c>
      <c r="AJ62" s="316">
        <f>('Voice Revenue'!AF65*Sensativities!$B$8)+('SMS Revenue'!AF66*Sensativities!$B$8)+('SMS Sub'!AF66*Sensativities!$B$8)</f>
        <v>194106.5599012298</v>
      </c>
      <c r="AK62" s="316">
        <f>('Voice Revenue'!AG65*Sensativities!$B$8)+('SMS Revenue'!AG66*Sensativities!$B$8)+('SMS Sub'!AG66*Sensativities!$B$8)</f>
        <v>203003.63111986805</v>
      </c>
      <c r="AL62" s="316">
        <f>('Voice Revenue'!AH65*Sensativities!$B$8)+('SMS Revenue'!AH66*Sensativities!$B$8)+('SMS Sub'!AH66*Sensativities!$B$8)</f>
        <v>238102.16424508876</v>
      </c>
      <c r="AM62" s="316">
        <f>('Voice Revenue'!AI65*Sensativities!$B$8)+('SMS Revenue'!AI66*Sensativities!$B$8)+('SMS Sub'!AI66*Sensativities!$B$8)</f>
        <v>252230.08384215858</v>
      </c>
      <c r="AN62" s="316">
        <f>('Voice Revenue'!AJ65*Sensativities!$B$8)+('SMS Revenue'!AJ66*Sensativities!$B$8)+('SMS Sub'!AJ66*Sensativities!$B$8)</f>
        <v>243853.69144763501</v>
      </c>
      <c r="AO62" s="316">
        <f>('Voice Revenue'!AK65*Sensativities!$B$8)+('SMS Revenue'!AK66*Sensativities!$B$8)+('SMS Sub'!AK66*Sensativities!$B$8)</f>
        <v>244591.75289584763</v>
      </c>
      <c r="AP62" s="316">
        <f>('Voice Revenue'!AL65*Sensativities!$B$8)+('SMS Revenue'!AL66*Sensativities!$B$8)+('SMS Sub'!AL66*Sensativities!$B$8)</f>
        <v>281660.9854666008</v>
      </c>
      <c r="AQ62" s="316">
        <f>('Voice Revenue'!AM65*Sensativities!$B$8)+('SMS Revenue'!AM66*Sensativities!$B$8)+('SMS Sub'!AM66*Sensativities!$B$8)</f>
        <v>295918.37158741505</v>
      </c>
      <c r="AR62" s="316">
        <f>('Voice Revenue'!AN65*Sensativities!$B$8)+('SMS Revenue'!AN66*Sensativities!$B$8)+('SMS Sub'!AN66*Sensativities!$B$8)</f>
        <v>310786.98478567385</v>
      </c>
      <c r="AS62" s="316">
        <f>('Voice Revenue'!AO65*Sensativities!$B$8)+('SMS Revenue'!AO66*Sensativities!$B$8)+('SMS Sub'!AO66*Sensativities!$B$8)</f>
        <v>325035.87777544907</v>
      </c>
      <c r="AT62" s="316">
        <f>('Voice Revenue'!AP65*Sensativities!$B$8)+('SMS Revenue'!AP66*Sensativities!$B$8)+('SMS Sub'!AP66*Sensativities!$B$8)</f>
        <v>338719.30460737948</v>
      </c>
      <c r="AU62" s="316">
        <f>('Voice Revenue'!AQ65*Sensativities!$B$8)+('SMS Revenue'!AQ66*Sensativities!$B$8)+('SMS Sub'!AQ66*Sensativities!$B$8)</f>
        <v>352254.36758577201</v>
      </c>
      <c r="AV62" s="316">
        <f>('Voice Revenue'!AR65*Sensativities!$B$8)+('SMS Revenue'!AR66*Sensativities!$B$8)+('SMS Sub'!AR66*Sensativities!$B$8)</f>
        <v>365796.1800743966</v>
      </c>
      <c r="AW62" s="316">
        <f>('Voice Revenue'!AS65*Sensativities!$B$8)+('SMS Revenue'!AS66*Sensativities!$B$8)+('SMS Sub'!AS66*Sensativities!$B$8)</f>
        <v>379515.27993547579</v>
      </c>
      <c r="AX62" s="316">
        <f>('Voice Revenue'!AT65*Sensativities!$B$8)+('SMS Revenue'!AT66*Sensativities!$B$8)+('SMS Sub'!AT66*Sensativities!$B$8)</f>
        <v>393391.26973522484</v>
      </c>
      <c r="AY62" s="316">
        <f>('Voice Revenue'!AU65*Sensativities!$B$8)+('SMS Revenue'!AU66*Sensativities!$B$8)+('SMS Sub'!AU66*Sensativities!$B$8)</f>
        <v>406959.57973522483</v>
      </c>
      <c r="AZ62" s="316">
        <f>('Voice Revenue'!AV65*Sensativities!$B$8)+('SMS Revenue'!AV66*Sensativities!$B$8)+('SMS Sub'!AV66*Sensativities!$B$8)</f>
        <v>420527.88973522489</v>
      </c>
      <c r="BA62" s="316">
        <f>('Voice Revenue'!AW65*Sensativities!$B$8)+('SMS Revenue'!AW66*Sensativities!$B$8)+('SMS Sub'!AW66*Sensativities!$B$8)</f>
        <v>434096.19973522483</v>
      </c>
      <c r="BB62" s="316">
        <f>('Voice Revenue'!AX65*Sensativities!$B$8)+('SMS Revenue'!AX66*Sensativities!$B$8)+('SMS Sub'!AX66*Sensativities!$B$8)</f>
        <v>0</v>
      </c>
      <c r="BC62" s="316">
        <f>('Voice Revenue'!AY65*Sensativities!$B$8)+('SMS Revenue'!AY66*Sensativities!$B$8)+('SMS Sub'!AY66*Sensativities!$B$8)</f>
        <v>0</v>
      </c>
      <c r="BD62" s="316">
        <f>('Voice Revenue'!AZ65*Sensativities!$B$8)+('SMS Revenue'!AZ66*Sensativities!$B$8)+('SMS Sub'!AZ66*Sensativities!$B$8)</f>
        <v>0</v>
      </c>
      <c r="BE62" s="316">
        <f>('Voice Revenue'!BA65*Sensativities!$B$8)+('SMS Revenue'!BA66*Sensativities!$B$8)+('SMS Sub'!BA66*Sensativities!$B$8)</f>
        <v>0</v>
      </c>
      <c r="BF62" s="316">
        <f>('Voice Revenue'!BB65*Sensativities!$B$8)+('SMS Revenue'!BB66*Sensativities!$B$8)+('SMS Sub'!BB66*Sensativities!$B$8)</f>
        <v>0</v>
      </c>
      <c r="BG62" s="316">
        <f>('Voice Revenue'!BC65*Sensativities!$B$8)+('SMS Revenue'!BC66*Sensativities!$B$8)+('SMS Sub'!BC66*Sensativities!$B$8)</f>
        <v>0</v>
      </c>
      <c r="BH62" s="316">
        <f>('Voice Revenue'!BD65*Sensativities!$B$8)+('SMS Revenue'!BD66*Sensativities!$B$8)+('SMS Sub'!BD66*Sensativities!$B$8)</f>
        <v>0</v>
      </c>
      <c r="BI62" s="316">
        <f>('Voice Revenue'!BE65*Sensativities!$B$8)+('SMS Revenue'!BE66*Sensativities!$B$8)+('SMS Sub'!BE66*Sensativities!$B$8)</f>
        <v>0</v>
      </c>
      <c r="BJ62" s="316">
        <f>('Voice Revenue'!BF65*Sensativities!$B$8)+('SMS Revenue'!BF66*Sensativities!$B$8)+('SMS Sub'!BF66*Sensativities!$B$8)</f>
        <v>0</v>
      </c>
      <c r="BK62" s="316">
        <f>('Voice Revenue'!BG65*Sensativities!$B$8)+('SMS Revenue'!BG66*Sensativities!$B$8)+('SMS Sub'!BG66*Sensativities!$B$8)</f>
        <v>0</v>
      </c>
      <c r="BL62" s="316">
        <f>('Voice Revenue'!BH65*Sensativities!$B$8)+('SMS Revenue'!BH66*Sensativities!$B$8)+('SMS Sub'!BH66*Sensativities!$B$8)</f>
        <v>0</v>
      </c>
      <c r="BM62" s="316">
        <f>('Voice Revenue'!BI65*Sensativities!$B$8)+('SMS Revenue'!BI66*Sensativities!$B$8)+('SMS Sub'!BI66*Sensativities!$B$8)</f>
        <v>0</v>
      </c>
      <c r="BN62" s="316">
        <f>('Voice Revenue'!BJ65*Sensativities!$B$8)+('SMS Revenue'!BJ66*Sensativities!$B$8)+('SMS Sub'!BJ66*Sensativities!$B$8)</f>
        <v>0</v>
      </c>
      <c r="BO62" s="316">
        <f>('Voice Revenue'!BK65*Sensativities!$B$8)+('SMS Revenue'!BK66*Sensativities!$B$8)+('SMS Sub'!BK66*Sensativities!$B$8)</f>
        <v>0</v>
      </c>
      <c r="BP62" s="316">
        <f>('Voice Revenue'!BL65*Sensativities!$B$8)+('SMS Revenue'!BL66*Sensativities!$B$8)+('SMS Sub'!BL66*Sensativities!$B$8)</f>
        <v>0</v>
      </c>
      <c r="BQ62" s="316">
        <f>('Voice Revenue'!BM65*Sensativities!$B$8)+('SMS Revenue'!BM66*Sensativities!$B$8)+('SMS Sub'!BM66*Sensativities!$B$8)</f>
        <v>0</v>
      </c>
      <c r="BR62" s="316">
        <f>('Voice Revenue'!BN65*Sensativities!$B$8)+('SMS Revenue'!BN66*Sensativities!$B$8)+('SMS Sub'!BN66*Sensativities!$B$8)</f>
        <v>0</v>
      </c>
      <c r="BS62" s="316">
        <f>('Voice Revenue'!BO65*Sensativities!$B$8)+('SMS Revenue'!BO66*Sensativities!$B$8)+('SMS Sub'!BO66*Sensativities!$B$8)</f>
        <v>0</v>
      </c>
      <c r="BT62" s="316">
        <f>('Voice Revenue'!BP65*Sensativities!$B$8)+('SMS Revenue'!BP66*Sensativities!$B$8)+('SMS Sub'!BP66*Sensativities!$B$8)</f>
        <v>0</v>
      </c>
      <c r="BU62" s="316">
        <f>('Voice Revenue'!BQ65*Sensativities!$B$8)+('SMS Revenue'!BQ66*Sensativities!$B$8)+('SMS Sub'!BQ66*Sensativities!$B$8)</f>
        <v>0</v>
      </c>
      <c r="BV62" s="316">
        <f>('Voice Revenue'!BR65*Sensativities!$B$8)+('SMS Revenue'!BR66*Sensativities!$B$8)+('SMS Sub'!BR66*Sensativities!$B$8)</f>
        <v>0</v>
      </c>
      <c r="BW62" s="316">
        <f>('Voice Revenue'!BS65*Sensativities!$B$8)+('SMS Revenue'!BS66*Sensativities!$B$8)+('SMS Sub'!BS66*Sensativities!$B$8)</f>
        <v>0</v>
      </c>
      <c r="BX62" s="316">
        <f>('Voice Revenue'!BT65*Sensativities!$B$8)+('SMS Revenue'!BT66*Sensativities!$B$8)+('SMS Sub'!BT66*Sensativities!$B$8)</f>
        <v>0</v>
      </c>
      <c r="BY62" s="316">
        <f>('Voice Revenue'!BU65*Sensativities!$B$8)+('SMS Revenue'!BU66*Sensativities!$B$8)+('SMS Sub'!BU66*Sensativities!$B$8)</f>
        <v>0</v>
      </c>
    </row>
    <row r="63" spans="1:77" s="132" customFormat="1" x14ac:dyDescent="0.25">
      <c r="B63" s="443" t="s">
        <v>533</v>
      </c>
      <c r="D63" s="316"/>
      <c r="E63" s="316"/>
      <c r="F63" s="316">
        <f>-(+E29-F29)+25039</f>
        <v>28305.851114384364</v>
      </c>
      <c r="G63" s="316">
        <f t="shared" ref="G63:Q63" si="130">-(+F29-G29)+25039</f>
        <v>-14588.926154995803</v>
      </c>
      <c r="H63" s="316">
        <f t="shared" si="130"/>
        <v>-27765.853403652553</v>
      </c>
      <c r="I63" s="316">
        <f t="shared" si="130"/>
        <v>969723.16488395818</v>
      </c>
      <c r="J63" s="316">
        <f t="shared" si="130"/>
        <v>286911.11793955741</v>
      </c>
      <c r="K63" s="316">
        <f t="shared" si="130"/>
        <v>-43292.482333957218</v>
      </c>
      <c r="L63" s="316">
        <f t="shared" si="130"/>
        <v>32190.998419395648</v>
      </c>
      <c r="M63" s="316">
        <f t="shared" si="130"/>
        <v>-21913.607920540497</v>
      </c>
      <c r="N63" s="316">
        <f t="shared" si="130"/>
        <v>-20559.97660571197</v>
      </c>
      <c r="O63" s="316">
        <f t="shared" si="130"/>
        <v>221761.53459470021</v>
      </c>
      <c r="P63" s="316">
        <f t="shared" si="130"/>
        <v>-193580.43135093572</v>
      </c>
      <c r="Q63" s="316">
        <f t="shared" si="130"/>
        <v>-1254505.849182202</v>
      </c>
      <c r="R63" s="316">
        <f>-(+Q29-R29)+7096.22</f>
        <v>987704.17999999993</v>
      </c>
      <c r="S63" s="316">
        <f>-(+R29-S29)-70041</f>
        <v>-394352.5</v>
      </c>
      <c r="T63" s="316">
        <f>-(+S29-T29)-98915</f>
        <v>-263216.05000000028</v>
      </c>
      <c r="U63" s="316">
        <f>-(+T29-U29)-83043</f>
        <v>-254042.50999999978</v>
      </c>
      <c r="V63" s="316">
        <f>-(+U29-V29)-63499</f>
        <v>-120709.31999999983</v>
      </c>
      <c r="W63" s="316">
        <f>-(+V29-W29)-8938.57</f>
        <v>101034.7599999996</v>
      </c>
      <c r="X63" s="316">
        <f t="shared" ref="X63:AO63" si="131">-W62</f>
        <v>0</v>
      </c>
      <c r="Y63" s="316">
        <f t="shared" si="131"/>
        <v>-96089.482086528122</v>
      </c>
      <c r="Z63" s="316">
        <f t="shared" si="131"/>
        <v>-104866.48357271406</v>
      </c>
      <c r="AA63" s="316">
        <f t="shared" si="131"/>
        <v>-113576.02908496872</v>
      </c>
      <c r="AB63" s="316">
        <f t="shared" si="131"/>
        <v>-122020.69687409041</v>
      </c>
      <c r="AC63" s="316">
        <f t="shared" si="131"/>
        <v>-129013.54493058358</v>
      </c>
      <c r="AD63" s="316">
        <f t="shared" si="131"/>
        <v>-136138.06067682561</v>
      </c>
      <c r="AE63" s="316">
        <f t="shared" si="131"/>
        <v>-144867.80228209583</v>
      </c>
      <c r="AF63" s="316">
        <f t="shared" si="131"/>
        <v>-154305.51626385623</v>
      </c>
      <c r="AG63" s="316">
        <f t="shared" si="131"/>
        <v>-157636.27727805273</v>
      </c>
      <c r="AH63" s="316">
        <f t="shared" si="131"/>
        <v>-171218.12550634536</v>
      </c>
      <c r="AI63" s="316">
        <f t="shared" si="131"/>
        <v>-184863.39643144212</v>
      </c>
      <c r="AJ63" s="316">
        <f t="shared" si="131"/>
        <v>-197627.09496580303</v>
      </c>
      <c r="AK63" s="316">
        <f t="shared" si="131"/>
        <v>-194106.5599012298</v>
      </c>
      <c r="AL63" s="316">
        <f t="shared" si="131"/>
        <v>-203003.63111986805</v>
      </c>
      <c r="AM63" s="316">
        <f t="shared" si="131"/>
        <v>-238102.16424508876</v>
      </c>
      <c r="AN63" s="316">
        <f t="shared" si="131"/>
        <v>-252230.08384215858</v>
      </c>
      <c r="AO63" s="316">
        <f t="shared" si="131"/>
        <v>-243853.69144763501</v>
      </c>
      <c r="AP63" s="316">
        <f t="shared" ref="AP63" si="132">-AO62</f>
        <v>-244591.75289584763</v>
      </c>
      <c r="AQ63" s="316">
        <f t="shared" ref="AQ63" si="133">-AP62</f>
        <v>-281660.9854666008</v>
      </c>
      <c r="AR63" s="316">
        <f t="shared" ref="AR63" si="134">-AQ62</f>
        <v>-295918.37158741505</v>
      </c>
      <c r="AS63" s="316">
        <f t="shared" ref="AS63" si="135">-AR62</f>
        <v>-310786.98478567385</v>
      </c>
      <c r="AT63" s="316">
        <f t="shared" ref="AT63" si="136">-AS62</f>
        <v>-325035.87777544907</v>
      </c>
      <c r="AU63" s="316">
        <f t="shared" ref="AU63" si="137">-AT62</f>
        <v>-338719.30460737948</v>
      </c>
      <c r="AV63" s="316">
        <f t="shared" ref="AV63" si="138">-AU62</f>
        <v>-352254.36758577201</v>
      </c>
      <c r="AW63" s="316">
        <f t="shared" ref="AW63" si="139">-AV62</f>
        <v>-365796.1800743966</v>
      </c>
      <c r="AX63" s="316">
        <f t="shared" ref="AX63" si="140">-AW62</f>
        <v>-379515.27993547579</v>
      </c>
      <c r="AY63" s="316">
        <f t="shared" ref="AY63" si="141">-AX62</f>
        <v>-393391.26973522484</v>
      </c>
      <c r="AZ63" s="316">
        <f t="shared" ref="AZ63" si="142">-AY62</f>
        <v>-406959.57973522483</v>
      </c>
      <c r="BA63" s="316">
        <f t="shared" ref="BA63" si="143">-AZ62</f>
        <v>-420527.88973522489</v>
      </c>
      <c r="BB63" s="316">
        <f t="shared" ref="BB63" si="144">-BA62</f>
        <v>-434096.19973522483</v>
      </c>
      <c r="BC63" s="316">
        <f t="shared" ref="BC63" si="145">-BB62</f>
        <v>0</v>
      </c>
      <c r="BD63" s="316">
        <f t="shared" ref="BD63" si="146">-BC62</f>
        <v>0</v>
      </c>
      <c r="BE63" s="316">
        <f t="shared" ref="BE63" si="147">-BD62</f>
        <v>0</v>
      </c>
      <c r="BF63" s="316">
        <f t="shared" ref="BF63" si="148">-BE62</f>
        <v>0</v>
      </c>
      <c r="BG63" s="316">
        <f t="shared" ref="BG63" si="149">-BF62</f>
        <v>0</v>
      </c>
      <c r="BH63" s="316">
        <f t="shared" ref="BH63" si="150">-BG62</f>
        <v>0</v>
      </c>
      <c r="BI63" s="316">
        <f t="shared" ref="BI63" si="151">-BH62</f>
        <v>0</v>
      </c>
      <c r="BJ63" s="316">
        <f t="shared" ref="BJ63" si="152">-BI62</f>
        <v>0</v>
      </c>
      <c r="BK63" s="316">
        <f t="shared" ref="BK63" si="153">-BJ62</f>
        <v>0</v>
      </c>
      <c r="BL63" s="316">
        <f t="shared" ref="BL63" si="154">-BK62</f>
        <v>0</v>
      </c>
      <c r="BM63" s="316">
        <f t="shared" ref="BM63" si="155">-BL62</f>
        <v>0</v>
      </c>
      <c r="BN63" s="316">
        <f t="shared" ref="BN63" si="156">-BM62</f>
        <v>0</v>
      </c>
      <c r="BO63" s="316">
        <f t="shared" ref="BO63" si="157">-BN62</f>
        <v>0</v>
      </c>
      <c r="BP63" s="316">
        <f t="shared" ref="BP63" si="158">-BO62</f>
        <v>0</v>
      </c>
      <c r="BQ63" s="316">
        <f t="shared" ref="BQ63" si="159">-BP62</f>
        <v>0</v>
      </c>
      <c r="BR63" s="316">
        <f t="shared" ref="BR63" si="160">-BQ62</f>
        <v>0</v>
      </c>
      <c r="BS63" s="316">
        <f t="shared" ref="BS63" si="161">-BR62</f>
        <v>0</v>
      </c>
      <c r="BT63" s="316">
        <f t="shared" ref="BT63" si="162">-BS62</f>
        <v>0</v>
      </c>
      <c r="BU63" s="316">
        <f t="shared" ref="BU63" si="163">-BT62</f>
        <v>0</v>
      </c>
      <c r="BV63" s="316">
        <f t="shared" ref="BV63" si="164">-BU62</f>
        <v>0</v>
      </c>
      <c r="BW63" s="316">
        <f t="shared" ref="BW63" si="165">-BV62</f>
        <v>0</v>
      </c>
      <c r="BX63" s="316">
        <f t="shared" ref="BX63" si="166">-BW62</f>
        <v>0</v>
      </c>
      <c r="BY63" s="316">
        <f t="shared" ref="BY63" si="167">-BX62</f>
        <v>0</v>
      </c>
    </row>
    <row r="64" spans="1:77" s="132" customFormat="1" x14ac:dyDescent="0.25">
      <c r="B64" s="443" t="s">
        <v>534</v>
      </c>
      <c r="D64" s="552"/>
      <c r="E64" s="552"/>
      <c r="F64" s="572">
        <f>300472/12</f>
        <v>25039.333333333332</v>
      </c>
      <c r="G64" s="572">
        <f t="shared" ref="G64:Q64" si="168">300472/12</f>
        <v>25039.333333333332</v>
      </c>
      <c r="H64" s="572">
        <f t="shared" si="168"/>
        <v>25039.333333333332</v>
      </c>
      <c r="I64" s="572">
        <f t="shared" si="168"/>
        <v>25039.333333333332</v>
      </c>
      <c r="J64" s="572">
        <f t="shared" si="168"/>
        <v>25039.333333333332</v>
      </c>
      <c r="K64" s="572">
        <f t="shared" si="168"/>
        <v>25039.333333333332</v>
      </c>
      <c r="L64" s="572">
        <f t="shared" si="168"/>
        <v>25039.333333333332</v>
      </c>
      <c r="M64" s="572">
        <f t="shared" si="168"/>
        <v>25039.333333333332</v>
      </c>
      <c r="N64" s="572">
        <f t="shared" si="168"/>
        <v>25039.333333333332</v>
      </c>
      <c r="O64" s="572">
        <f t="shared" si="168"/>
        <v>25039.333333333332</v>
      </c>
      <c r="P64" s="572">
        <f t="shared" si="168"/>
        <v>25039.333333333332</v>
      </c>
      <c r="Q64" s="572">
        <f t="shared" si="168"/>
        <v>25039.333333333332</v>
      </c>
      <c r="R64" s="132">
        <v>7096.22</v>
      </c>
      <c r="S64" s="316">
        <v>70040.87</v>
      </c>
      <c r="T64" s="316">
        <v>98915.37</v>
      </c>
      <c r="U64" s="316">
        <v>83043.05</v>
      </c>
      <c r="V64" s="316">
        <v>63498.71</v>
      </c>
      <c r="W64" s="316">
        <v>8938.57</v>
      </c>
      <c r="X64" s="316">
        <f>-R64*5.66%</f>
        <v>-401.64605200000005</v>
      </c>
      <c r="Y64" s="316">
        <f t="shared" ref="Y64:AH64" si="169">X64</f>
        <v>-401.64605200000005</v>
      </c>
      <c r="Z64" s="316">
        <f t="shared" si="169"/>
        <v>-401.64605200000005</v>
      </c>
      <c r="AA64" s="316">
        <f t="shared" si="169"/>
        <v>-401.64605200000005</v>
      </c>
      <c r="AB64" s="316">
        <f t="shared" si="169"/>
        <v>-401.64605200000005</v>
      </c>
      <c r="AC64" s="316">
        <f t="shared" si="169"/>
        <v>-401.64605200000005</v>
      </c>
      <c r="AD64" s="316">
        <v>0</v>
      </c>
      <c r="AE64" s="316">
        <v>0</v>
      </c>
      <c r="AF64" s="316">
        <v>0</v>
      </c>
      <c r="AG64" s="316">
        <v>0</v>
      </c>
      <c r="AH64" s="316">
        <f t="shared" si="169"/>
        <v>0</v>
      </c>
      <c r="AI64" s="316">
        <f>-AH69</f>
        <v>0</v>
      </c>
      <c r="AJ64" s="316">
        <v>0</v>
      </c>
      <c r="AK64" s="316">
        <v>0</v>
      </c>
      <c r="AL64" s="316">
        <v>1</v>
      </c>
      <c r="AM64" s="316">
        <v>2</v>
      </c>
      <c r="AN64" s="316">
        <v>3</v>
      </c>
      <c r="AO64" s="316">
        <v>4</v>
      </c>
      <c r="AP64" s="316">
        <f t="shared" ref="AP64" si="170">-AO69</f>
        <v>0</v>
      </c>
      <c r="AQ64" s="316">
        <v>4.6666666666666599</v>
      </c>
      <c r="AR64" s="316">
        <v>5.5238095238095202</v>
      </c>
      <c r="AS64" s="316">
        <v>6.3809523809523796</v>
      </c>
      <c r="AT64" s="316">
        <v>7.2380952380952399</v>
      </c>
      <c r="AU64" s="316">
        <v>8.0952380952380896</v>
      </c>
      <c r="AV64" s="316">
        <v>8.9523809523809508</v>
      </c>
      <c r="AW64" s="316">
        <f t="shared" ref="AW64" si="171">-AV69</f>
        <v>0</v>
      </c>
      <c r="AX64" s="316">
        <v>9.8095238095238209</v>
      </c>
      <c r="AY64" s="316">
        <v>10.6666666666666</v>
      </c>
      <c r="AZ64" s="316">
        <v>11.523809523809501</v>
      </c>
      <c r="BA64" s="316">
        <v>12.380952380952399</v>
      </c>
      <c r="BB64" s="316">
        <v>13.380952380952399</v>
      </c>
      <c r="BC64" s="316">
        <v>14.380952380952399</v>
      </c>
      <c r="BD64" s="316">
        <v>15.380952380952399</v>
      </c>
      <c r="BE64" s="316">
        <v>16.380952380952401</v>
      </c>
      <c r="BF64" s="316">
        <v>17.380952380952401</v>
      </c>
      <c r="BG64" s="316">
        <v>18.380952380952401</v>
      </c>
      <c r="BH64" s="316">
        <v>19.380952380952401</v>
      </c>
      <c r="BI64" s="316">
        <v>20.380952380952401</v>
      </c>
      <c r="BJ64" s="316">
        <v>21.380952380952401</v>
      </c>
      <c r="BK64" s="316">
        <v>22.380952380952401</v>
      </c>
      <c r="BL64" s="316">
        <v>23.380952380952401</v>
      </c>
      <c r="BM64" s="316">
        <v>24.380952380952401</v>
      </c>
      <c r="BN64" s="316">
        <v>25.380952380952401</v>
      </c>
      <c r="BO64" s="316">
        <v>26.380952380952401</v>
      </c>
      <c r="BP64" s="316">
        <v>27.380952380952401</v>
      </c>
      <c r="BQ64" s="316">
        <v>28.380952380952401</v>
      </c>
      <c r="BR64" s="316">
        <v>29.380952380952401</v>
      </c>
      <c r="BS64" s="316">
        <v>30.380952380952401</v>
      </c>
      <c r="BT64" s="316">
        <v>31.380952380952401</v>
      </c>
      <c r="BU64" s="316">
        <v>32.380952380952401</v>
      </c>
      <c r="BV64" s="316">
        <v>33.380952380952401</v>
      </c>
      <c r="BW64" s="316">
        <v>34.380952380952401</v>
      </c>
      <c r="BX64" s="316">
        <v>35.380952380952401</v>
      </c>
      <c r="BY64" s="316">
        <v>36.380952380952401</v>
      </c>
    </row>
    <row r="65" spans="1:77" s="132" customFormat="1" x14ac:dyDescent="0.25">
      <c r="B65" s="311" t="s">
        <v>66</v>
      </c>
      <c r="D65" s="444"/>
      <c r="E65" s="444"/>
      <c r="F65" s="445">
        <f>+F61+F62+F63-F64</f>
        <v>2451443.347781051</v>
      </c>
      <c r="G65" s="445">
        <f>+G61+G62+G63-G64</f>
        <v>2411815.4216260551</v>
      </c>
      <c r="H65" s="445">
        <f t="shared" ref="H65:R65" si="172">+H61+H62+H63-H64</f>
        <v>2359010.5682224026</v>
      </c>
      <c r="I65" s="445">
        <f t="shared" si="172"/>
        <v>3303694.7331063608</v>
      </c>
      <c r="J65" s="445">
        <f t="shared" si="172"/>
        <v>3565566.8510459182</v>
      </c>
      <c r="K65" s="445">
        <f t="shared" si="172"/>
        <v>3497235.368711961</v>
      </c>
      <c r="L65" s="445">
        <f t="shared" si="172"/>
        <v>3504387.3671313566</v>
      </c>
      <c r="M65" s="445">
        <f t="shared" si="172"/>
        <v>3457434.7592108161</v>
      </c>
      <c r="N65" s="445">
        <f t="shared" si="172"/>
        <v>3411835.7826051041</v>
      </c>
      <c r="O65" s="445">
        <f t="shared" si="172"/>
        <v>3608558.3171998044</v>
      </c>
      <c r="P65" s="445">
        <f t="shared" si="172"/>
        <v>3389938.8858488686</v>
      </c>
      <c r="Q65" s="445">
        <f t="shared" si="172"/>
        <v>2110394.0366666666</v>
      </c>
      <c r="R65" s="445">
        <f t="shared" si="172"/>
        <v>3091002.3299999996</v>
      </c>
      <c r="S65" s="445">
        <f>SUM(S61:S64)</f>
        <v>2766690.7</v>
      </c>
      <c r="T65" s="445">
        <f>SUM(T61:T64)</f>
        <v>2602390.15</v>
      </c>
      <c r="U65" s="445">
        <f>SUM(U61:U64)</f>
        <v>2431390.3199999998</v>
      </c>
      <c r="V65" s="445">
        <f t="shared" ref="V65:AE65" si="173">SUM(V61:V64)</f>
        <v>2374179.66</v>
      </c>
      <c r="W65" s="445">
        <f t="shared" si="173"/>
        <v>2484153.2799999998</v>
      </c>
      <c r="X65" s="445">
        <f t="shared" si="173"/>
        <v>2579841.1160345278</v>
      </c>
      <c r="Y65" s="445">
        <f t="shared" si="173"/>
        <v>2588216.4714687136</v>
      </c>
      <c r="Z65" s="445">
        <f t="shared" si="173"/>
        <v>2596524.3709289683</v>
      </c>
      <c r="AA65" s="445">
        <f t="shared" si="173"/>
        <v>2604567.3926660898</v>
      </c>
      <c r="AB65" s="445">
        <f t="shared" si="173"/>
        <v>2611158.594670583</v>
      </c>
      <c r="AC65" s="445">
        <f t="shared" si="173"/>
        <v>2617881.4643648248</v>
      </c>
      <c r="AD65" s="445">
        <f t="shared" si="173"/>
        <v>2626611.205970095</v>
      </c>
      <c r="AE65" s="445">
        <f t="shared" si="173"/>
        <v>2636048.9199518552</v>
      </c>
      <c r="AF65" s="445">
        <f t="shared" ref="AF65" si="174">SUM(AF61:AF64)</f>
        <v>2639379.6809660518</v>
      </c>
      <c r="AG65" s="445">
        <f t="shared" ref="AG65" si="175">SUM(AG61:AG64)</f>
        <v>2652961.5291943443</v>
      </c>
      <c r="AH65" s="445">
        <f t="shared" ref="AH65" si="176">SUM(AH61:AH64)</f>
        <v>2666606.800119441</v>
      </c>
      <c r="AI65" s="445">
        <f t="shared" ref="AI65" si="177">SUM(AI61:AI64)</f>
        <v>2679370.4986538021</v>
      </c>
      <c r="AJ65" s="445">
        <f t="shared" ref="AJ65:AK65" si="178">SUM(AJ61:AJ64)</f>
        <v>2675849.9635892292</v>
      </c>
      <c r="AK65" s="445">
        <f t="shared" si="178"/>
        <v>2684747.0348078674</v>
      </c>
      <c r="AL65" s="445">
        <f t="shared" ref="AL65" si="179">SUM(AL61:AL64)</f>
        <v>2719846.5679330877</v>
      </c>
      <c r="AM65" s="445">
        <f t="shared" ref="AM65" si="180">SUM(AM61:AM64)</f>
        <v>2733976.4875301579</v>
      </c>
      <c r="AN65" s="445">
        <f t="shared" ref="AN65" si="181">SUM(AN61:AN64)</f>
        <v>2725603.0951356343</v>
      </c>
      <c r="AO65" s="445">
        <f t="shared" ref="AO65:BA65" si="182">SUM(AO61:AO64)</f>
        <v>2726345.1565838465</v>
      </c>
      <c r="AP65" s="445">
        <f t="shared" si="182"/>
        <v>2763414.3891546</v>
      </c>
      <c r="AQ65" s="445">
        <f t="shared" si="182"/>
        <v>2777676.4419420809</v>
      </c>
      <c r="AR65" s="445">
        <f t="shared" si="182"/>
        <v>2792550.5789498631</v>
      </c>
      <c r="AS65" s="445">
        <f t="shared" si="182"/>
        <v>2806805.8528920198</v>
      </c>
      <c r="AT65" s="445">
        <f t="shared" si="182"/>
        <v>2820496.5178191876</v>
      </c>
      <c r="AU65" s="445">
        <f t="shared" si="182"/>
        <v>2834039.6760356752</v>
      </c>
      <c r="AV65" s="445">
        <f t="shared" ref="AV65" si="183">SUM(AV61:AV64)</f>
        <v>2847590.440905252</v>
      </c>
      <c r="AW65" s="445">
        <f t="shared" si="182"/>
        <v>2861309.5407663314</v>
      </c>
      <c r="AX65" s="445">
        <f t="shared" si="182"/>
        <v>2875195.3400898902</v>
      </c>
      <c r="AY65" s="445">
        <f t="shared" si="182"/>
        <v>2888774.3167565567</v>
      </c>
      <c r="AZ65" s="445">
        <f t="shared" si="182"/>
        <v>2902354.1505660801</v>
      </c>
      <c r="BA65" s="445">
        <f t="shared" si="182"/>
        <v>2915934.8415184612</v>
      </c>
      <c r="BB65" s="445">
        <f t="shared" ref="BB65:BK65" si="184">SUM(BB61:BB64)</f>
        <v>2481852.0227356176</v>
      </c>
      <c r="BC65" s="445">
        <f t="shared" si="184"/>
        <v>2481866.4036879987</v>
      </c>
      <c r="BD65" s="445">
        <f t="shared" si="184"/>
        <v>2481881.7846403797</v>
      </c>
      <c r="BE65" s="445">
        <f t="shared" si="184"/>
        <v>2481898.1655927608</v>
      </c>
      <c r="BF65" s="445">
        <f t="shared" si="184"/>
        <v>2481915.5465451418</v>
      </c>
      <c r="BG65" s="445">
        <f t="shared" si="184"/>
        <v>2481933.9274975229</v>
      </c>
      <c r="BH65" s="445">
        <f t="shared" si="184"/>
        <v>2481953.308449904</v>
      </c>
      <c r="BI65" s="445">
        <f t="shared" si="184"/>
        <v>2481973.689402285</v>
      </c>
      <c r="BJ65" s="445">
        <f t="shared" si="184"/>
        <v>2481995.0703546661</v>
      </c>
      <c r="BK65" s="445">
        <f t="shared" si="184"/>
        <v>2482017.4513070472</v>
      </c>
      <c r="BL65" s="445">
        <f t="shared" ref="BL65:BW65" si="185">SUM(BL61:BL64)</f>
        <v>2482040.8322594282</v>
      </c>
      <c r="BM65" s="445">
        <f t="shared" si="185"/>
        <v>2482065.2132118093</v>
      </c>
      <c r="BN65" s="445">
        <f t="shared" si="185"/>
        <v>2482090.5941641903</v>
      </c>
      <c r="BO65" s="445">
        <f t="shared" si="185"/>
        <v>2482116.9751165714</v>
      </c>
      <c r="BP65" s="445">
        <f t="shared" si="185"/>
        <v>2482144.3560689525</v>
      </c>
      <c r="BQ65" s="445">
        <f t="shared" si="185"/>
        <v>2482172.7370213335</v>
      </c>
      <c r="BR65" s="445">
        <f t="shared" si="185"/>
        <v>2482202.1179737146</v>
      </c>
      <c r="BS65" s="445">
        <f t="shared" si="185"/>
        <v>2482232.4989260957</v>
      </c>
      <c r="BT65" s="445">
        <f t="shared" si="185"/>
        <v>2482263.8798784767</v>
      </c>
      <c r="BU65" s="445">
        <f t="shared" si="185"/>
        <v>2482296.2608308578</v>
      </c>
      <c r="BV65" s="445">
        <f t="shared" si="185"/>
        <v>2482329.6417832389</v>
      </c>
      <c r="BW65" s="445">
        <f t="shared" si="185"/>
        <v>2482364.0227356199</v>
      </c>
      <c r="BX65" s="445">
        <f t="shared" ref="BX65:BY65" si="186">SUM(BX61:BX64)</f>
        <v>2482399.403688001</v>
      </c>
      <c r="BY65" s="445">
        <f t="shared" si="186"/>
        <v>2482435.784640382</v>
      </c>
    </row>
    <row r="66" spans="1:77" s="132" customFormat="1" x14ac:dyDescent="0.25">
      <c r="B66" s="311"/>
      <c r="D66" s="552"/>
      <c r="E66" s="552"/>
      <c r="F66" s="572">
        <f>+F29</f>
        <v>2451443.6811143844</v>
      </c>
      <c r="G66" s="572">
        <f t="shared" ref="G66:W66" si="187">+G29</f>
        <v>2411815.7549593886</v>
      </c>
      <c r="H66" s="572">
        <f t="shared" si="187"/>
        <v>2359010.9015557361</v>
      </c>
      <c r="I66" s="572">
        <f t="shared" si="187"/>
        <v>3303695.0664396943</v>
      </c>
      <c r="J66" s="572">
        <f t="shared" si="187"/>
        <v>3565567.1843792517</v>
      </c>
      <c r="K66" s="572">
        <f t="shared" si="187"/>
        <v>3497235.7020452945</v>
      </c>
      <c r="L66" s="572">
        <f t="shared" si="187"/>
        <v>3504387.7004646901</v>
      </c>
      <c r="M66" s="572">
        <f t="shared" si="187"/>
        <v>3457435.0925441496</v>
      </c>
      <c r="N66" s="572">
        <f t="shared" si="187"/>
        <v>3411836.1159384376</v>
      </c>
      <c r="O66" s="572">
        <f t="shared" si="187"/>
        <v>3608558.6505331378</v>
      </c>
      <c r="P66" s="572">
        <f t="shared" si="187"/>
        <v>3389939.2191822021</v>
      </c>
      <c r="Q66" s="572">
        <f t="shared" si="187"/>
        <v>2110394.37</v>
      </c>
      <c r="R66" s="572">
        <f t="shared" si="187"/>
        <v>3091002.33</v>
      </c>
      <c r="S66" s="572">
        <f t="shared" si="187"/>
        <v>2766690.83</v>
      </c>
      <c r="T66" s="572">
        <f t="shared" si="187"/>
        <v>2602389.7799999998</v>
      </c>
      <c r="U66" s="572">
        <f t="shared" si="187"/>
        <v>2431390.27</v>
      </c>
      <c r="V66" s="572">
        <f t="shared" si="187"/>
        <v>2374179.9500000002</v>
      </c>
      <c r="W66" s="572">
        <f t="shared" si="187"/>
        <v>2484153.2799999998</v>
      </c>
      <c r="X66" s="572"/>
      <c r="Y66" s="572"/>
      <c r="Z66" s="572"/>
      <c r="AA66" s="572"/>
      <c r="AB66" s="572"/>
      <c r="AC66" s="572"/>
      <c r="AD66" s="572"/>
      <c r="AE66" s="572"/>
      <c r="AF66" s="572"/>
      <c r="AG66" s="572"/>
      <c r="AH66" s="572"/>
      <c r="AI66" s="572"/>
      <c r="AJ66" s="572"/>
      <c r="AK66" s="572"/>
      <c r="AL66" s="572"/>
      <c r="AM66" s="572"/>
      <c r="AN66" s="572"/>
      <c r="AO66" s="572"/>
      <c r="AP66" s="572"/>
      <c r="AQ66" s="572"/>
      <c r="AR66" s="572"/>
      <c r="AS66" s="572"/>
      <c r="AT66" s="572"/>
      <c r="AU66" s="572"/>
      <c r="AV66" s="572"/>
      <c r="AW66" s="572"/>
      <c r="AX66" s="572"/>
      <c r="AY66" s="572"/>
      <c r="AZ66" s="572"/>
      <c r="BA66" s="572"/>
      <c r="BB66" s="572"/>
      <c r="BC66" s="572"/>
      <c r="BD66" s="572"/>
      <c r="BE66" s="572"/>
      <c r="BF66" s="572"/>
      <c r="BG66" s="572"/>
      <c r="BH66" s="572"/>
      <c r="BI66" s="572"/>
      <c r="BJ66" s="572"/>
      <c r="BK66" s="572"/>
      <c r="BL66" s="572"/>
      <c r="BM66" s="572"/>
      <c r="BN66" s="572"/>
      <c r="BO66" s="572"/>
      <c r="BP66" s="572"/>
      <c r="BQ66" s="572"/>
      <c r="BR66" s="572"/>
      <c r="BS66" s="572"/>
      <c r="BT66" s="572"/>
      <c r="BU66" s="572"/>
      <c r="BV66" s="572"/>
      <c r="BW66" s="572"/>
      <c r="BX66" s="572"/>
      <c r="BY66" s="572"/>
    </row>
    <row r="67" spans="1:77" s="132" customFormat="1" x14ac:dyDescent="0.25">
      <c r="B67" s="311"/>
      <c r="D67" s="552"/>
      <c r="E67" s="552"/>
      <c r="F67" s="573">
        <f>+F65-F66</f>
        <v>-0.33333333348855376</v>
      </c>
      <c r="G67" s="573">
        <f t="shared" ref="G67:Q67" si="188">+G65-G66</f>
        <v>-0.33333333348855376</v>
      </c>
      <c r="H67" s="573">
        <f t="shared" si="188"/>
        <v>-0.33333333348855376</v>
      </c>
      <c r="I67" s="573">
        <f t="shared" si="188"/>
        <v>-0.33333333348855376</v>
      </c>
      <c r="J67" s="573">
        <f t="shared" si="188"/>
        <v>-0.33333333348855376</v>
      </c>
      <c r="K67" s="573">
        <f t="shared" si="188"/>
        <v>-0.33333333348855376</v>
      </c>
      <c r="L67" s="573">
        <f t="shared" si="188"/>
        <v>-0.33333333348855376</v>
      </c>
      <c r="M67" s="573">
        <f t="shared" si="188"/>
        <v>-0.33333333348855376</v>
      </c>
      <c r="N67" s="573">
        <f t="shared" si="188"/>
        <v>-0.33333333348855376</v>
      </c>
      <c r="O67" s="573">
        <f t="shared" si="188"/>
        <v>-0.33333333348855376</v>
      </c>
      <c r="P67" s="573">
        <f t="shared" si="188"/>
        <v>-0.33333333348855376</v>
      </c>
      <c r="Q67" s="573">
        <f t="shared" si="188"/>
        <v>-0.33333333348855376</v>
      </c>
      <c r="R67" s="573">
        <f t="shared" ref="R67" si="189">+R65-R66</f>
        <v>0</v>
      </c>
      <c r="S67" s="573">
        <f t="shared" ref="S67" si="190">+S65-S66</f>
        <v>-0.12999999988824129</v>
      </c>
      <c r="T67" s="573">
        <f t="shared" ref="T67" si="191">+T65-T66</f>
        <v>0.37000000011175871</v>
      </c>
      <c r="U67" s="573">
        <f t="shared" ref="U67" si="192">+U65-U66</f>
        <v>4.9999999813735485E-2</v>
      </c>
      <c r="V67" s="573">
        <f t="shared" ref="V67" si="193">+V65-V66</f>
        <v>-0.2900000000372529</v>
      </c>
      <c r="W67" s="573">
        <f t="shared" ref="W67" si="194">+W65-W66</f>
        <v>0</v>
      </c>
      <c r="X67" s="572"/>
      <c r="Y67" s="572"/>
      <c r="Z67" s="572"/>
      <c r="AA67" s="572"/>
      <c r="AB67" s="572"/>
      <c r="AC67" s="572"/>
      <c r="AD67" s="572"/>
      <c r="AE67" s="572"/>
      <c r="AF67" s="572"/>
      <c r="AG67" s="572"/>
      <c r="AH67" s="572"/>
      <c r="AI67" s="572"/>
      <c r="AJ67" s="572"/>
      <c r="AK67" s="572"/>
      <c r="AL67" s="572"/>
      <c r="AM67" s="572"/>
      <c r="AN67" s="572"/>
      <c r="AO67" s="572"/>
      <c r="AP67" s="572"/>
      <c r="AQ67" s="572"/>
      <c r="AR67" s="572"/>
      <c r="AS67" s="572"/>
      <c r="AT67" s="572"/>
      <c r="AU67" s="572"/>
      <c r="AV67" s="572"/>
      <c r="AW67" s="572"/>
      <c r="AX67" s="572"/>
      <c r="AY67" s="572"/>
      <c r="AZ67" s="572"/>
      <c r="BA67" s="572"/>
      <c r="BB67" s="572"/>
      <c r="BC67" s="572"/>
      <c r="BD67" s="572"/>
      <c r="BE67" s="572"/>
      <c r="BF67" s="572"/>
      <c r="BG67" s="572"/>
      <c r="BH67" s="572"/>
      <c r="BI67" s="572"/>
      <c r="BJ67" s="572"/>
      <c r="BK67" s="572"/>
      <c r="BL67" s="572"/>
      <c r="BM67" s="572"/>
      <c r="BN67" s="572"/>
      <c r="BO67" s="572"/>
      <c r="BP67" s="572"/>
      <c r="BQ67" s="572"/>
      <c r="BR67" s="572"/>
      <c r="BS67" s="572"/>
      <c r="BT67" s="572"/>
      <c r="BU67" s="572"/>
      <c r="BV67" s="572"/>
      <c r="BW67" s="572"/>
      <c r="BX67" s="572"/>
      <c r="BY67" s="572"/>
    </row>
    <row r="68" spans="1:77" s="132" customFormat="1" x14ac:dyDescent="0.25">
      <c r="A68" s="18"/>
      <c r="B68" s="443" t="s">
        <v>537</v>
      </c>
      <c r="C68" s="18"/>
      <c r="D68" s="552"/>
      <c r="E68" s="552"/>
      <c r="G68" s="27"/>
      <c r="S68" s="316">
        <f>(S64+S63+S62)*-1</f>
        <v>324311.63</v>
      </c>
      <c r="T68" s="316">
        <f>(T64+T63+T62)*-1</f>
        <v>164300.68000000028</v>
      </c>
      <c r="U68" s="316">
        <f>(U64+U63+U62)*-1</f>
        <v>170999.45999999979</v>
      </c>
      <c r="V68" s="316">
        <f t="shared" ref="V68:AO68" si="195">(V64+V63+V62)*-1</f>
        <v>57210.609999999833</v>
      </c>
      <c r="W68" s="316">
        <f t="shared" si="195"/>
        <v>-109973.32999999961</v>
      </c>
      <c r="X68" s="316">
        <f t="shared" si="195"/>
        <v>-95687.836034528125</v>
      </c>
      <c r="Y68" s="316">
        <f t="shared" si="195"/>
        <v>-8375.3554341859417</v>
      </c>
      <c r="Z68" s="316">
        <f t="shared" si="195"/>
        <v>-8307.8994602546591</v>
      </c>
      <c r="AA68" s="316">
        <f t="shared" si="195"/>
        <v>-8043.0217371217004</v>
      </c>
      <c r="AB68" s="316">
        <f t="shared" si="195"/>
        <v>-6591.2020044931705</v>
      </c>
      <c r="AC68" s="316">
        <f t="shared" si="195"/>
        <v>-6722.8696942420356</v>
      </c>
      <c r="AD68" s="316">
        <f t="shared" si="195"/>
        <v>-8729.7416052702174</v>
      </c>
      <c r="AE68" s="316">
        <f t="shared" si="195"/>
        <v>-9437.7139817604038</v>
      </c>
      <c r="AF68" s="316">
        <f t="shared" si="195"/>
        <v>-3330.7610141964979</v>
      </c>
      <c r="AG68" s="316">
        <f t="shared" si="195"/>
        <v>-13581.848228292627</v>
      </c>
      <c r="AH68" s="316">
        <f t="shared" si="195"/>
        <v>-13645.27092509676</v>
      </c>
      <c r="AI68" s="316">
        <f t="shared" si="195"/>
        <v>-12763.698534360912</v>
      </c>
      <c r="AJ68" s="316">
        <f t="shared" si="195"/>
        <v>3520.5350645732251</v>
      </c>
      <c r="AK68" s="316">
        <f t="shared" si="195"/>
        <v>-8897.0712186382443</v>
      </c>
      <c r="AL68" s="316">
        <f t="shared" si="195"/>
        <v>-35099.533125220711</v>
      </c>
      <c r="AM68" s="316">
        <f t="shared" si="195"/>
        <v>-14129.91959706982</v>
      </c>
      <c r="AN68" s="316">
        <f t="shared" si="195"/>
        <v>8373.3923945235729</v>
      </c>
      <c r="AO68" s="316">
        <f t="shared" si="195"/>
        <v>-742.06144821262569</v>
      </c>
      <c r="AP68" s="316">
        <f t="shared" ref="AP68:BA68" si="196">(AP64+AP63+AP62)*-1</f>
        <v>-37069.232570753171</v>
      </c>
      <c r="AQ68" s="316">
        <f t="shared" si="196"/>
        <v>-14262.052787480934</v>
      </c>
      <c r="AR68" s="316">
        <f t="shared" si="196"/>
        <v>-14874.137007782585</v>
      </c>
      <c r="AS68" s="316">
        <f t="shared" si="196"/>
        <v>-14255.273942156171</v>
      </c>
      <c r="AT68" s="316">
        <f t="shared" si="196"/>
        <v>-13690.664927168516</v>
      </c>
      <c r="AU68" s="316">
        <f t="shared" si="196"/>
        <v>-13543.158216487791</v>
      </c>
      <c r="AV68" s="316">
        <f t="shared" si="196"/>
        <v>-13550.76486957696</v>
      </c>
      <c r="AW68" s="316">
        <f t="shared" si="196"/>
        <v>-13719.099861079187</v>
      </c>
      <c r="AX68" s="316">
        <f t="shared" si="196"/>
        <v>-13885.799323558575</v>
      </c>
      <c r="AY68" s="316">
        <f t="shared" si="196"/>
        <v>-13578.976666666684</v>
      </c>
      <c r="AZ68" s="316">
        <f t="shared" si="196"/>
        <v>-13579.833809523843</v>
      </c>
      <c r="BA68" s="316">
        <f t="shared" si="196"/>
        <v>-13580.690952380886</v>
      </c>
      <c r="BB68" s="316">
        <f t="shared" ref="BB68:BK68" si="197">(BB64+BB63+BB62)*-1</f>
        <v>434082.81878284388</v>
      </c>
      <c r="BC68" s="316">
        <f t="shared" si="197"/>
        <v>-14.380952380952399</v>
      </c>
      <c r="BD68" s="316">
        <f t="shared" si="197"/>
        <v>-15.380952380952399</v>
      </c>
      <c r="BE68" s="316">
        <f t="shared" si="197"/>
        <v>-16.380952380952401</v>
      </c>
      <c r="BF68" s="316">
        <f t="shared" si="197"/>
        <v>-17.380952380952401</v>
      </c>
      <c r="BG68" s="316">
        <f t="shared" si="197"/>
        <v>-18.380952380952401</v>
      </c>
      <c r="BH68" s="316">
        <f t="shared" si="197"/>
        <v>-19.380952380952401</v>
      </c>
      <c r="BI68" s="316">
        <f t="shared" si="197"/>
        <v>-20.380952380952401</v>
      </c>
      <c r="BJ68" s="316">
        <f t="shared" si="197"/>
        <v>-21.380952380952401</v>
      </c>
      <c r="BK68" s="316">
        <f t="shared" si="197"/>
        <v>-22.380952380952401</v>
      </c>
      <c r="BL68" s="316">
        <f t="shared" ref="BL68:BW68" si="198">(BL64+BL63+BL62)*-1</f>
        <v>-23.380952380952401</v>
      </c>
      <c r="BM68" s="316">
        <f t="shared" si="198"/>
        <v>-24.380952380952401</v>
      </c>
      <c r="BN68" s="316">
        <f t="shared" si="198"/>
        <v>-25.380952380952401</v>
      </c>
      <c r="BO68" s="316">
        <f t="shared" si="198"/>
        <v>-26.380952380952401</v>
      </c>
      <c r="BP68" s="316">
        <f t="shared" si="198"/>
        <v>-27.380952380952401</v>
      </c>
      <c r="BQ68" s="316">
        <f t="shared" si="198"/>
        <v>-28.380952380952401</v>
      </c>
      <c r="BR68" s="316">
        <f t="shared" si="198"/>
        <v>-29.380952380952401</v>
      </c>
      <c r="BS68" s="316">
        <f t="shared" si="198"/>
        <v>-30.380952380952401</v>
      </c>
      <c r="BT68" s="316">
        <f t="shared" si="198"/>
        <v>-31.380952380952401</v>
      </c>
      <c r="BU68" s="316">
        <f t="shared" si="198"/>
        <v>-32.380952380952401</v>
      </c>
      <c r="BV68" s="316">
        <f t="shared" si="198"/>
        <v>-33.380952380952401</v>
      </c>
      <c r="BW68" s="316">
        <f t="shared" si="198"/>
        <v>-34.380952380952401</v>
      </c>
      <c r="BX68" s="316">
        <f t="shared" ref="BX68:BY68" si="199">(BX64+BX63+BX62)*-1</f>
        <v>-35.380952380952401</v>
      </c>
      <c r="BY68" s="316">
        <f t="shared" si="199"/>
        <v>-36.380952380952401</v>
      </c>
    </row>
    <row r="69" spans="1:77" x14ac:dyDescent="0.25">
      <c r="A69" s="28"/>
      <c r="B69" s="446" t="s">
        <v>538</v>
      </c>
      <c r="C69" s="28"/>
      <c r="D69" s="97"/>
      <c r="E69" s="97"/>
      <c r="S69" s="316">
        <v>0</v>
      </c>
      <c r="T69" s="316">
        <v>0</v>
      </c>
      <c r="U69" s="316">
        <v>0</v>
      </c>
      <c r="V69" s="316">
        <v>0</v>
      </c>
      <c r="W69" s="316">
        <v>0</v>
      </c>
      <c r="X69" s="316">
        <v>0</v>
      </c>
      <c r="Y69" s="316">
        <v>0</v>
      </c>
      <c r="Z69" s="316">
        <v>0</v>
      </c>
      <c r="AA69" s="316">
        <v>0</v>
      </c>
      <c r="AB69" s="316">
        <v>0</v>
      </c>
      <c r="AC69" s="316">
        <v>0</v>
      </c>
      <c r="AD69" s="316">
        <v>0</v>
      </c>
      <c r="AE69" s="316">
        <v>0</v>
      </c>
      <c r="AF69" s="316">
        <v>0</v>
      </c>
      <c r="AG69" s="316">
        <v>0</v>
      </c>
      <c r="AH69" s="316">
        <v>0</v>
      </c>
      <c r="AI69" s="316">
        <v>0</v>
      </c>
      <c r="AJ69" s="316">
        <v>0</v>
      </c>
      <c r="AK69" s="316">
        <v>0</v>
      </c>
      <c r="AL69" s="316">
        <v>0</v>
      </c>
      <c r="AM69" s="316">
        <v>0</v>
      </c>
      <c r="AN69" s="316">
        <v>0</v>
      </c>
      <c r="AO69" s="316">
        <v>0</v>
      </c>
      <c r="AP69" s="316">
        <v>0</v>
      </c>
      <c r="AQ69" s="316">
        <v>0</v>
      </c>
      <c r="AR69" s="316">
        <v>0</v>
      </c>
      <c r="AS69" s="316">
        <v>0</v>
      </c>
      <c r="AT69" s="316">
        <v>0</v>
      </c>
      <c r="AU69" s="316">
        <v>0</v>
      </c>
      <c r="AV69" s="316">
        <v>0</v>
      </c>
      <c r="AW69" s="316">
        <v>0</v>
      </c>
      <c r="AX69" s="316">
        <v>0</v>
      </c>
      <c r="AY69" s="316">
        <v>0</v>
      </c>
      <c r="AZ69" s="316">
        <v>0</v>
      </c>
      <c r="BA69" s="316">
        <v>0</v>
      </c>
      <c r="BB69" s="316">
        <v>0</v>
      </c>
      <c r="BC69" s="316">
        <v>0</v>
      </c>
      <c r="BD69" s="316">
        <v>0</v>
      </c>
      <c r="BE69" s="316">
        <v>0</v>
      </c>
      <c r="BF69" s="316">
        <v>0</v>
      </c>
      <c r="BG69" s="316">
        <v>0</v>
      </c>
      <c r="BH69" s="316">
        <v>0</v>
      </c>
      <c r="BI69" s="316">
        <v>0</v>
      </c>
      <c r="BJ69" s="316">
        <v>0</v>
      </c>
      <c r="BK69" s="316">
        <v>0</v>
      </c>
      <c r="BL69" s="316">
        <v>0</v>
      </c>
      <c r="BM69" s="316">
        <v>0</v>
      </c>
      <c r="BN69" s="316">
        <v>0</v>
      </c>
      <c r="BO69" s="316">
        <v>0</v>
      </c>
      <c r="BP69" s="316">
        <v>0</v>
      </c>
      <c r="BQ69" s="316">
        <v>0</v>
      </c>
      <c r="BR69" s="316">
        <v>0</v>
      </c>
      <c r="BS69" s="316">
        <v>0</v>
      </c>
      <c r="BT69" s="316">
        <v>0</v>
      </c>
      <c r="BU69" s="316">
        <v>0</v>
      </c>
      <c r="BV69" s="316">
        <v>0</v>
      </c>
      <c r="BW69" s="316">
        <v>0</v>
      </c>
      <c r="BX69" s="316">
        <v>0</v>
      </c>
      <c r="BY69" s="316">
        <v>0</v>
      </c>
    </row>
    <row r="70" spans="1:77" x14ac:dyDescent="0.25">
      <c r="B70" s="441" t="s">
        <v>112</v>
      </c>
      <c r="D70" s="97"/>
      <c r="E70" s="97"/>
      <c r="F70" s="97"/>
      <c r="AA70" s="784"/>
    </row>
    <row r="71" spans="1:77" x14ac:dyDescent="0.25">
      <c r="B71" s="441" t="s">
        <v>113</v>
      </c>
      <c r="D71" s="97"/>
      <c r="E71" s="97"/>
      <c r="F71" s="97"/>
      <c r="AA71" s="316"/>
      <c r="AB71" s="784"/>
    </row>
    <row r="72" spans="1:77" x14ac:dyDescent="0.25">
      <c r="D72" s="97"/>
      <c r="E72" s="97"/>
      <c r="F72" s="97"/>
      <c r="AA72" s="316"/>
    </row>
    <row r="73" spans="1:77" x14ac:dyDescent="0.25">
      <c r="T73" s="447"/>
    </row>
    <row r="75" spans="1:77" x14ac:dyDescent="0.25">
      <c r="B75" s="514" t="s">
        <v>514</v>
      </c>
    </row>
    <row r="76" spans="1:77" x14ac:dyDescent="0.25">
      <c r="B76" s="514" t="s">
        <v>515</v>
      </c>
    </row>
    <row r="77" spans="1:77" x14ac:dyDescent="0.25">
      <c r="B77" s="514" t="s">
        <v>518</v>
      </c>
    </row>
    <row r="78" spans="1:77" x14ac:dyDescent="0.25">
      <c r="B78" s="514" t="s">
        <v>111</v>
      </c>
    </row>
    <row r="79" spans="1:77" x14ac:dyDescent="0.25">
      <c r="B79" s="514" t="s">
        <v>359</v>
      </c>
    </row>
    <row r="80" spans="1:77" x14ac:dyDescent="0.25">
      <c r="B80" s="132" t="s">
        <v>379</v>
      </c>
    </row>
    <row r="81" spans="2:2" x14ac:dyDescent="0.25">
      <c r="B81" s="514" t="s">
        <v>516</v>
      </c>
    </row>
    <row r="82" spans="2:2" x14ac:dyDescent="0.25">
      <c r="B82" s="514" t="s">
        <v>517</v>
      </c>
    </row>
    <row r="83" spans="2:2" x14ac:dyDescent="0.25">
      <c r="B83" s="132" t="s">
        <v>112</v>
      </c>
    </row>
    <row r="84" spans="2:2" x14ac:dyDescent="0.25">
      <c r="B84" s="132" t="s">
        <v>113</v>
      </c>
    </row>
  </sheetData>
  <conditionalFormatting sqref="D8:Y11 D35:Y35 R31:Y32 AA8 AC8:BY8 F2:YP2 AA35:BY35 R28:BY28 AA21:BY21 AA39:BY50 V29:BY29 AA31:BY32 D15:AB15 D16:P17 AD30:BY30 Z11:BY11 AA9:BY10">
    <cfRule type="expression" dxfId="302" priority="81">
      <formula>D$3="actual"</formula>
    </cfRule>
  </conditionalFormatting>
  <conditionalFormatting sqref="F3:XFD3">
    <cfRule type="expression" dxfId="301" priority="79">
      <formula>F$3="Actual"</formula>
    </cfRule>
  </conditionalFormatting>
  <conditionalFormatting sqref="R20:BY20">
    <cfRule type="expression" dxfId="300" priority="57">
      <formula>R$3="actual"</formula>
    </cfRule>
  </conditionalFormatting>
  <conditionalFormatting sqref="R21:Y21">
    <cfRule type="expression" dxfId="299" priority="53">
      <formula>R$3="actual"</formula>
    </cfRule>
  </conditionalFormatting>
  <conditionalFormatting sqref="R39:Y49">
    <cfRule type="expression" dxfId="298" priority="52">
      <formula>R$3="actual"</formula>
    </cfRule>
  </conditionalFormatting>
  <conditionalFormatting sqref="R50:Y50">
    <cfRule type="expression" dxfId="297" priority="51">
      <formula>R$3="actual"</formula>
    </cfRule>
  </conditionalFormatting>
  <conditionalFormatting sqref="D20:Q20">
    <cfRule type="expression" dxfId="296" priority="50">
      <formula>D$3="actual"</formula>
    </cfRule>
  </conditionalFormatting>
  <conditionalFormatting sqref="F21:Q21">
    <cfRule type="expression" dxfId="295" priority="49">
      <formula>F$3="actual"</formula>
    </cfRule>
  </conditionalFormatting>
  <conditionalFormatting sqref="D28:Q32 R29">
    <cfRule type="expression" dxfId="294" priority="48">
      <formula>D$3="actual"</formula>
    </cfRule>
  </conditionalFormatting>
  <conditionalFormatting sqref="F39:Q49 D39:E40 D42:E42 D44:E45 D49:E49">
    <cfRule type="expression" dxfId="293" priority="47">
      <formula>D$3="actual"</formula>
    </cfRule>
  </conditionalFormatting>
  <conditionalFormatting sqref="D50:Q50">
    <cfRule type="expression" dxfId="292" priority="46">
      <formula>D$3="actual"</formula>
    </cfRule>
  </conditionalFormatting>
  <conditionalFormatting sqref="R30">
    <cfRule type="expression" dxfId="291" priority="45">
      <formula>R$3="actual"</formula>
    </cfRule>
  </conditionalFormatting>
  <conditionalFormatting sqref="S30">
    <cfRule type="expression" dxfId="290" priority="43">
      <formula>S$3="actual"</formula>
    </cfRule>
  </conditionalFormatting>
  <conditionalFormatting sqref="T30">
    <cfRule type="expression" dxfId="289" priority="42">
      <formula>T$3="actual"</formula>
    </cfRule>
  </conditionalFormatting>
  <conditionalFormatting sqref="U30:AC30">
    <cfRule type="expression" dxfId="288" priority="41">
      <formula>U$3="actual"</formula>
    </cfRule>
  </conditionalFormatting>
  <conditionalFormatting sqref="S29">
    <cfRule type="expression" dxfId="287" priority="39">
      <formula>S$3="actual"</formula>
    </cfRule>
  </conditionalFormatting>
  <conditionalFormatting sqref="T29">
    <cfRule type="expression" dxfId="286" priority="38">
      <formula>T$3="actual"</formula>
    </cfRule>
  </conditionalFormatting>
  <conditionalFormatting sqref="U29">
    <cfRule type="expression" dxfId="285" priority="37">
      <formula>U$3="actual"</formula>
    </cfRule>
  </conditionalFormatting>
  <conditionalFormatting sqref="Q33">
    <cfRule type="expression" dxfId="284" priority="35">
      <formula>Q$3="actual"</formula>
    </cfRule>
  </conditionalFormatting>
  <conditionalFormatting sqref="Q34">
    <cfRule type="expression" dxfId="283" priority="34">
      <formula>Q$3="actual"</formula>
    </cfRule>
  </conditionalFormatting>
  <conditionalFormatting sqref="E41 E43 E46:E48">
    <cfRule type="expression" dxfId="282" priority="26">
      <formula>E$3="actual"</formula>
    </cfRule>
  </conditionalFormatting>
  <conditionalFormatting sqref="E2">
    <cfRule type="expression" dxfId="281" priority="31">
      <formula>E$3="actual"</formula>
    </cfRule>
  </conditionalFormatting>
  <conditionalFormatting sqref="E3">
    <cfRule type="expression" dxfId="280" priority="30">
      <formula>E$3="Actual"</formula>
    </cfRule>
  </conditionalFormatting>
  <conditionalFormatting sqref="E21">
    <cfRule type="expression" dxfId="279" priority="28">
      <formula>E$3="actual"</formula>
    </cfRule>
  </conditionalFormatting>
  <conditionalFormatting sqref="D2">
    <cfRule type="expression" dxfId="278" priority="24">
      <formula>D$3="actual"</formula>
    </cfRule>
  </conditionalFormatting>
  <conditionalFormatting sqref="D3">
    <cfRule type="expression" dxfId="277" priority="23">
      <formula>D$3="Actual"</formula>
    </cfRule>
  </conditionalFormatting>
  <conditionalFormatting sqref="D21">
    <cfRule type="expression" dxfId="276" priority="21">
      <formula>D$3="actual"</formula>
    </cfRule>
  </conditionalFormatting>
  <conditionalFormatting sqref="D41 D43 D46:D48">
    <cfRule type="expression" dxfId="275" priority="19">
      <formula>D$3="actual"</formula>
    </cfRule>
  </conditionalFormatting>
  <conditionalFormatting sqref="Z8:Z10 Z35 Z31:Z32">
    <cfRule type="expression" dxfId="274" priority="11">
      <formula>Z$3="actual"</formula>
    </cfRule>
  </conditionalFormatting>
  <conditionalFormatting sqref="Z21">
    <cfRule type="expression" dxfId="273" priority="9">
      <formula>Z$3="actual"</formula>
    </cfRule>
  </conditionalFormatting>
  <conditionalFormatting sqref="Z39:Z49">
    <cfRule type="expression" dxfId="272" priority="8">
      <formula>Z$3="actual"</formula>
    </cfRule>
  </conditionalFormatting>
  <conditionalFormatting sqref="Z50">
    <cfRule type="expression" dxfId="271" priority="7">
      <formula>Z$3="actual"</formula>
    </cfRule>
  </conditionalFormatting>
  <conditionalFormatting sqref="AB8">
    <cfRule type="expression" dxfId="270" priority="5">
      <formula>AB$3="actual"</formula>
    </cfRule>
  </conditionalFormatting>
  <conditionalFormatting sqref="Q16:BY17">
    <cfRule type="expression" dxfId="269" priority="2">
      <formula>Q$3="actual"</formula>
    </cfRule>
  </conditionalFormatting>
  <conditionalFormatting sqref="AC15:BY15">
    <cfRule type="expression" dxfId="268" priority="1">
      <formula>AC$3="actual"</formula>
    </cfRule>
  </conditionalFormatting>
  <printOptions horizontalCentered="1"/>
  <pageMargins left="0.25" right="0.25" top="1" bottom="1" header="0.5" footer="0.5"/>
  <pageSetup scale="72" orientation="landscape" verticalDpi="1200" r:id="rId1"/>
  <headerFooter alignWithMargins="0">
    <oddHeader>&amp;L&amp;"-,Bold"&amp;12CallFire Financial Model&amp;C&amp;"-,Bold"&amp;12&amp;A</oddHeader>
    <oddFooter>&amp;L&amp;8CallFire Confidential&amp;R&amp;8Page &amp;P of &amp;N</oddFooter>
  </headerFooter>
  <colBreaks count="2" manualBreakCount="2">
    <brk id="17" max="49" man="1"/>
    <brk id="29" max="44" man="1"/>
  </colBreaks>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3" tint="0.39997558519241921"/>
  </sheetPr>
  <dimension ref="A1:BV57"/>
  <sheetViews>
    <sheetView showGridLines="0" zoomScale="80" zoomScaleNormal="80" workbookViewId="0">
      <pane xSplit="3" ySplit="7" topLeftCell="P8" activePane="bottomRight" state="frozen"/>
      <selection activeCell="C20" sqref="C20"/>
      <selection pane="topRight" activeCell="C20" sqref="C20"/>
      <selection pane="bottomLeft" activeCell="C20" sqref="C20"/>
      <selection pane="bottomRight" activeCell="Q9" sqref="Q9"/>
    </sheetView>
  </sheetViews>
  <sheetFormatPr defaultColWidth="9.1796875" defaultRowHeight="12.5" outlineLevelRow="2" outlineLevelCol="1" x14ac:dyDescent="0.25"/>
  <cols>
    <col min="1" max="1" width="4.7265625" style="27" customWidth="1"/>
    <col min="2" max="2" width="18" style="27" customWidth="1"/>
    <col min="3" max="3" width="15.81640625" style="27" customWidth="1"/>
    <col min="4" max="4" width="2.81640625" style="27" customWidth="1"/>
    <col min="5" max="5" width="11.81640625" style="27" hidden="1" customWidth="1" outlineLevel="1"/>
    <col min="6" max="7" width="12.54296875" style="27" hidden="1" customWidth="1" outlineLevel="1"/>
    <col min="8" max="8" width="15.1796875" style="27" hidden="1" customWidth="1" outlineLevel="1"/>
    <col min="9" max="11" width="12.54296875" style="27" hidden="1" customWidth="1" outlineLevel="1"/>
    <col min="12" max="12" width="12.54296875" style="28" hidden="1" customWidth="1" outlineLevel="1"/>
    <col min="13" max="14" width="12.54296875" style="27" hidden="1" customWidth="1" outlineLevel="1"/>
    <col min="15" max="15" width="13.453125" style="27" hidden="1" customWidth="1" outlineLevel="1"/>
    <col min="16" max="16" width="14.54296875" style="27" customWidth="1" collapsed="1"/>
    <col min="17" max="26" width="13.7265625" style="27" hidden="1" customWidth="1" outlineLevel="1"/>
    <col min="27" max="27" width="15.26953125" style="27" hidden="1" customWidth="1" outlineLevel="1"/>
    <col min="28" max="28" width="14.54296875" style="27" customWidth="1" collapsed="1"/>
    <col min="29" max="29" width="14.453125" style="27" customWidth="1" outlineLevel="1"/>
    <col min="30" max="30" width="14.26953125" style="27" customWidth="1" outlineLevel="1"/>
    <col min="31" max="38" width="15.26953125" style="27" customWidth="1" outlineLevel="1"/>
    <col min="39" max="39" width="13.26953125" style="27" customWidth="1" outlineLevel="1"/>
    <col min="40" max="40" width="13.54296875" style="27" customWidth="1"/>
    <col min="41" max="51" width="13.453125" style="27" bestFit="1" customWidth="1" outlineLevel="1"/>
    <col min="52" max="74" width="13.453125" style="27" bestFit="1" customWidth="1"/>
    <col min="75" max="16384" width="9.1796875" style="27"/>
  </cols>
  <sheetData>
    <row r="1" spans="1:74" ht="18.5" thickBot="1" x14ac:dyDescent="0.45">
      <c r="A1" s="88" t="str">
        <f>Sensativities!B4</f>
        <v>CallFire</v>
      </c>
      <c r="B1" s="89"/>
      <c r="C1" s="89"/>
    </row>
    <row r="2" spans="1:74" ht="15.5" x14ac:dyDescent="0.35">
      <c r="A2" s="91"/>
    </row>
    <row r="3" spans="1:74" ht="15.5" x14ac:dyDescent="0.35">
      <c r="A3" s="93" t="s">
        <v>117</v>
      </c>
    </row>
    <row r="4" spans="1:74" ht="15.5" x14ac:dyDescent="0.35">
      <c r="A4" s="91" t="s">
        <v>8</v>
      </c>
      <c r="AE4" s="97"/>
      <c r="AF4" s="97"/>
      <c r="AG4" s="97"/>
      <c r="AH4" s="97"/>
      <c r="AI4" s="97"/>
      <c r="AJ4" s="97"/>
      <c r="AK4" s="97"/>
      <c r="AL4" s="97"/>
      <c r="AM4" s="97"/>
      <c r="AN4" s="97"/>
    </row>
    <row r="5" spans="1:74" x14ac:dyDescent="0.25">
      <c r="AE5" s="97"/>
      <c r="AF5" s="97"/>
      <c r="AG5" s="97"/>
      <c r="AH5" s="97"/>
      <c r="AI5" s="97"/>
      <c r="AJ5" s="97"/>
      <c r="AK5" s="97"/>
      <c r="AL5" s="97"/>
      <c r="AM5" s="97"/>
      <c r="AN5" s="97"/>
    </row>
    <row r="6" spans="1:74" ht="14.5" x14ac:dyDescent="0.35">
      <c r="E6" s="16"/>
      <c r="F6" s="16"/>
      <c r="G6" s="16"/>
      <c r="H6" s="16"/>
      <c r="I6" s="16"/>
      <c r="J6" s="16"/>
      <c r="K6" s="16"/>
      <c r="L6" s="2"/>
      <c r="M6" s="16"/>
      <c r="N6" s="16"/>
      <c r="O6" s="16"/>
      <c r="P6" s="16"/>
      <c r="Q6" s="16"/>
      <c r="R6" s="16"/>
      <c r="S6" s="16"/>
      <c r="T6" s="16"/>
      <c r="U6" s="16"/>
      <c r="V6" s="16"/>
      <c r="W6" s="16"/>
      <c r="X6" s="16"/>
      <c r="Y6" s="16"/>
      <c r="Z6" s="16"/>
      <c r="AA6" s="16"/>
      <c r="AB6" s="16"/>
      <c r="AC6" s="117"/>
      <c r="AE6" s="117"/>
      <c r="AF6" s="117"/>
      <c r="AG6" s="117"/>
      <c r="AH6" s="117"/>
      <c r="AI6" s="117"/>
      <c r="AJ6" s="117"/>
      <c r="AK6" s="117"/>
      <c r="AL6" s="117"/>
      <c r="AM6" s="97"/>
      <c r="AN6" s="97"/>
    </row>
    <row r="7" spans="1:74" ht="13" x14ac:dyDescent="0.3">
      <c r="A7" s="95" t="s">
        <v>118</v>
      </c>
      <c r="B7" s="96"/>
      <c r="E7" s="98">
        <f>'Cost Summary'!C3</f>
        <v>40909</v>
      </c>
      <c r="F7" s="98">
        <f>'Cost Summary'!D3</f>
        <v>40942</v>
      </c>
      <c r="G7" s="98">
        <f>'Cost Summary'!E3</f>
        <v>40975</v>
      </c>
      <c r="H7" s="98">
        <f>'Cost Summary'!F3</f>
        <v>41008</v>
      </c>
      <c r="I7" s="98">
        <f>'Cost Summary'!G3</f>
        <v>41041</v>
      </c>
      <c r="J7" s="98">
        <f>'Cost Summary'!H3</f>
        <v>41074</v>
      </c>
      <c r="K7" s="98">
        <f>'Cost Summary'!I3</f>
        <v>41107</v>
      </c>
      <c r="L7" s="98">
        <f>'Cost Summary'!J3</f>
        <v>41140</v>
      </c>
      <c r="M7" s="98">
        <f>'Cost Summary'!K3</f>
        <v>41173</v>
      </c>
      <c r="N7" s="98">
        <f>'Cost Summary'!L3</f>
        <v>41206</v>
      </c>
      <c r="O7" s="98">
        <f>'Cost Summary'!M3</f>
        <v>41239</v>
      </c>
      <c r="P7" s="98">
        <f>'Cost Summary'!N3</f>
        <v>41272</v>
      </c>
      <c r="Q7" s="98">
        <f>'Cost Summary'!O3</f>
        <v>41282</v>
      </c>
      <c r="R7" s="98">
        <f>'Cost Summary'!P3</f>
        <v>41312</v>
      </c>
      <c r="S7" s="98">
        <f>'Cost Summary'!Q3</f>
        <v>41342</v>
      </c>
      <c r="T7" s="98">
        <f>'Cost Summary'!R3</f>
        <v>41372</v>
      </c>
      <c r="U7" s="98">
        <f>'Cost Summary'!S3</f>
        <v>41402</v>
      </c>
      <c r="V7" s="98">
        <f>'Cost Summary'!T3</f>
        <v>41432</v>
      </c>
      <c r="W7" s="98">
        <f>'Cost Summary'!U3</f>
        <v>41462</v>
      </c>
      <c r="X7" s="98">
        <f>'Cost Summary'!V3</f>
        <v>41492</v>
      </c>
      <c r="Y7" s="98">
        <f>'Cost Summary'!W3</f>
        <v>41522</v>
      </c>
      <c r="Z7" s="98">
        <f>'Cost Summary'!X3</f>
        <v>41552</v>
      </c>
      <c r="AA7" s="98">
        <f>'Cost Summary'!Y3</f>
        <v>41582</v>
      </c>
      <c r="AB7" s="98">
        <f>'Cost Summary'!Z3</f>
        <v>41612</v>
      </c>
      <c r="AC7" s="98">
        <f>'Cost Summary'!AA3</f>
        <v>41642</v>
      </c>
      <c r="AD7" s="98">
        <f>'Cost Summary'!AB3</f>
        <v>41675</v>
      </c>
      <c r="AE7" s="98">
        <f>'Cost Summary'!AC3</f>
        <v>41708</v>
      </c>
      <c r="AF7" s="98">
        <f>'Cost Summary'!AD3</f>
        <v>41741</v>
      </c>
      <c r="AG7" s="98">
        <f>'Cost Summary'!AE3</f>
        <v>41774</v>
      </c>
      <c r="AH7" s="98">
        <f>'Cost Summary'!AF3</f>
        <v>41807</v>
      </c>
      <c r="AI7" s="98">
        <f>'Cost Summary'!AG3</f>
        <v>41840</v>
      </c>
      <c r="AJ7" s="98">
        <f>'Cost Summary'!AH3</f>
        <v>41873</v>
      </c>
      <c r="AK7" s="98">
        <f>'Cost Summary'!AI3</f>
        <v>41906</v>
      </c>
      <c r="AL7" s="98">
        <f>'Cost Summary'!AJ3</f>
        <v>41939</v>
      </c>
      <c r="AM7" s="98">
        <f>'Cost Summary'!AK3</f>
        <v>41972</v>
      </c>
      <c r="AN7" s="98">
        <f>'Cost Summary'!AL3</f>
        <v>41982</v>
      </c>
      <c r="AO7" s="98">
        <f>'Cost Summary'!AM3</f>
        <v>42012</v>
      </c>
      <c r="AP7" s="98">
        <f>'Cost Summary'!AN3</f>
        <v>42042</v>
      </c>
      <c r="AQ7" s="98">
        <f>'Cost Summary'!AO3</f>
        <v>42072</v>
      </c>
      <c r="AR7" s="98">
        <f>'Cost Summary'!AP3</f>
        <v>42102</v>
      </c>
      <c r="AS7" s="98">
        <f>'Cost Summary'!AQ3</f>
        <v>42132</v>
      </c>
      <c r="AT7" s="98">
        <f>'Cost Summary'!AR3</f>
        <v>42162</v>
      </c>
      <c r="AU7" s="98">
        <f>'Cost Summary'!AS3</f>
        <v>42192</v>
      </c>
      <c r="AV7" s="98">
        <f>'Cost Summary'!AT3</f>
        <v>42222</v>
      </c>
      <c r="AW7" s="98">
        <f>'Cost Summary'!AU3</f>
        <v>42252</v>
      </c>
      <c r="AX7" s="98">
        <f>'Cost Summary'!AV3</f>
        <v>42282</v>
      </c>
      <c r="AY7" s="98">
        <f>'Cost Summary'!AW3</f>
        <v>42312</v>
      </c>
      <c r="AZ7" s="98">
        <f>'Cost Summary'!AX3</f>
        <v>42342</v>
      </c>
      <c r="BA7" s="98">
        <f>'Cost Summary'!AY3</f>
        <v>42372</v>
      </c>
      <c r="BB7" s="98">
        <f>'Cost Summary'!AZ3</f>
        <v>42402</v>
      </c>
      <c r="BC7" s="98">
        <f>'Cost Summary'!BA3</f>
        <v>42432</v>
      </c>
      <c r="BD7" s="98">
        <f>'Cost Summary'!BB3</f>
        <v>42462</v>
      </c>
      <c r="BE7" s="98">
        <f>'Cost Summary'!BC3</f>
        <v>42492</v>
      </c>
      <c r="BF7" s="98">
        <f>'Cost Summary'!BD3</f>
        <v>42522</v>
      </c>
      <c r="BG7" s="98">
        <f>'Cost Summary'!BE3</f>
        <v>42555</v>
      </c>
      <c r="BH7" s="98">
        <f>'Cost Summary'!BF3</f>
        <v>42585</v>
      </c>
      <c r="BI7" s="98">
        <f>'Cost Summary'!BG3</f>
        <v>42615</v>
      </c>
      <c r="BJ7" s="98">
        <f>'Cost Summary'!BH3</f>
        <v>42645</v>
      </c>
      <c r="BK7" s="98">
        <f>'Cost Summary'!BI3</f>
        <v>42675</v>
      </c>
      <c r="BL7" s="98">
        <f>'Cost Summary'!BJ3</f>
        <v>42705</v>
      </c>
      <c r="BM7" s="98">
        <f>'Cost Summary'!BK3</f>
        <v>42736</v>
      </c>
      <c r="BN7" s="98">
        <v>0</v>
      </c>
      <c r="BO7" s="98">
        <v>31</v>
      </c>
      <c r="BP7" s="98">
        <v>60</v>
      </c>
      <c r="BQ7" s="98">
        <v>91</v>
      </c>
      <c r="BR7" s="98">
        <v>121</v>
      </c>
      <c r="BS7" s="98">
        <v>152</v>
      </c>
      <c r="BT7" s="98">
        <v>182</v>
      </c>
      <c r="BU7" s="98">
        <v>213</v>
      </c>
      <c r="BV7" s="98">
        <v>244</v>
      </c>
    </row>
    <row r="8" spans="1:74" ht="13" outlineLevel="1" x14ac:dyDescent="0.3">
      <c r="A8" s="101" t="s">
        <v>119</v>
      </c>
    </row>
    <row r="9" spans="1:74" outlineLevel="1" x14ac:dyDescent="0.25">
      <c r="A9" s="27" t="s">
        <v>120</v>
      </c>
      <c r="E9" s="104">
        <f>'P&amp;L - Monthly'!E82</f>
        <v>544376.24645420676</v>
      </c>
      <c r="F9" s="102">
        <f>'P&amp;L - Monthly'!F82</f>
        <v>359960.82946172229</v>
      </c>
      <c r="G9" s="102">
        <f>'P&amp;L - Monthly'!G82</f>
        <v>472016.85022781795</v>
      </c>
      <c r="H9" s="102">
        <f>'P&amp;L - Monthly'!H82</f>
        <v>463683.43545537931</v>
      </c>
      <c r="I9" s="102">
        <f>'P&amp;L - Monthly'!I82</f>
        <v>304482.10300880432</v>
      </c>
      <c r="J9" s="102">
        <f>'P&amp;L - Monthly'!J82</f>
        <v>364094.1891700321</v>
      </c>
      <c r="K9" s="102">
        <f>'P&amp;L - Monthly'!K82</f>
        <v>139992.95496848802</v>
      </c>
      <c r="L9" s="103">
        <f>'P&amp;L - Monthly'!L82</f>
        <v>209842.23402858683</v>
      </c>
      <c r="M9" s="102">
        <f>'P&amp;L - Monthly'!M82</f>
        <v>448633.80917982414</v>
      </c>
      <c r="N9" s="102">
        <f>'P&amp;L - Monthly'!N82</f>
        <v>318730.05483652954</v>
      </c>
      <c r="O9" s="102">
        <f>'P&amp;L - Monthly'!O82</f>
        <v>635270.8739782687</v>
      </c>
      <c r="P9" s="102">
        <f>'P&amp;L - Monthly'!P82</f>
        <v>344779.37098787259</v>
      </c>
      <c r="Q9" s="102">
        <f>'P&amp;L - Monthly'!Q82</f>
        <v>-364099.7100000002</v>
      </c>
      <c r="R9" s="102">
        <f>'P&amp;L - Monthly'!R82</f>
        <v>12031.850000000108</v>
      </c>
      <c r="S9" s="102">
        <f>'P&amp;L - Monthly'!S82</f>
        <v>69.629999999859137</v>
      </c>
      <c r="T9" s="102">
        <f>'P&amp;L - Monthly'!T82</f>
        <v>-69168.979999999836</v>
      </c>
      <c r="U9" s="102">
        <f>'P&amp;L - Monthly'!U82</f>
        <v>-183735.33999999962</v>
      </c>
      <c r="V9" s="102">
        <f>'P&amp;L - Monthly'!V82</f>
        <v>-419720.30999999982</v>
      </c>
      <c r="W9" s="102">
        <f>'P&amp;L - Monthly'!W82</f>
        <v>-815165.32999999949</v>
      </c>
      <c r="X9" s="102">
        <f>'P&amp;L - Monthly'!X82</f>
        <v>-672679.57999999973</v>
      </c>
      <c r="Y9" s="102">
        <f>'P&amp;L - Monthly'!Y82</f>
        <v>-339571.56</v>
      </c>
      <c r="Z9" s="102">
        <f>'P&amp;L - Monthly'!Z82</f>
        <v>-284198.30999999982</v>
      </c>
      <c r="AA9" s="102">
        <f>'P&amp;L - Monthly'!AA82</f>
        <v>-439165.83000000007</v>
      </c>
      <c r="AB9" s="102">
        <f>'P&amp;L - Monthly'!AB82</f>
        <v>-134999.25000000023</v>
      </c>
      <c r="AC9" s="102">
        <f>'P&amp;L - Monthly'!AC82</f>
        <v>-154369.73342032247</v>
      </c>
      <c r="AD9" s="102">
        <f>'P&amp;L - Monthly'!AD82</f>
        <v>-147734.37546275684</v>
      </c>
      <c r="AE9" s="102">
        <f>'P&amp;L - Monthly'!AE82</f>
        <v>-440411.90303963615</v>
      </c>
      <c r="AF9" s="102">
        <f>'P&amp;L - Monthly'!AF82</f>
        <v>-536400.43836258561</v>
      </c>
      <c r="AG9" s="102">
        <f>'P&amp;L - Monthly'!AG82</f>
        <v>-311200.17696270917</v>
      </c>
      <c r="AH9" s="102">
        <f>'P&amp;L - Monthly'!AH82</f>
        <v>-204172.95576160104</v>
      </c>
      <c r="AI9" s="102">
        <f>'P&amp;L - Monthly'!AI82</f>
        <v>-331384.52684786858</v>
      </c>
      <c r="AJ9" s="102">
        <f>'P&amp;L - Monthly'!AJ82</f>
        <v>-1703.6177926239616</v>
      </c>
      <c r="AK9" s="102">
        <f>'P&amp;L - Monthly'!AK82</f>
        <v>268815.65857648</v>
      </c>
      <c r="AL9" s="102">
        <f>'P&amp;L - Monthly'!AL82</f>
        <v>267028.76036407601</v>
      </c>
      <c r="AM9" s="102">
        <f>'P&amp;L - Monthly'!AM82</f>
        <v>339338.46784462081</v>
      </c>
      <c r="AN9" s="102">
        <f>'P&amp;L - Monthly'!AN82</f>
        <v>-1128276.1714289696</v>
      </c>
      <c r="AO9" s="102">
        <f>'P&amp;L - Monthly'!AO82</f>
        <v>708297.25401154743</v>
      </c>
      <c r="AP9" s="102">
        <f>'P&amp;L - Monthly'!AP82</f>
        <v>753071.55004063109</v>
      </c>
      <c r="AQ9" s="102">
        <f>'P&amp;L - Monthly'!AQ82</f>
        <v>886062.92402146256</v>
      </c>
      <c r="AR9" s="102">
        <f>'P&amp;L - Monthly'!AR82</f>
        <v>1009632.8444360781</v>
      </c>
      <c r="AS9" s="102">
        <f>'P&amp;L - Monthly'!AS82</f>
        <v>1133441.0823419669</v>
      </c>
      <c r="AT9" s="102">
        <f>'P&amp;L - Monthly'!AT82</f>
        <v>1248672.8546561457</v>
      </c>
      <c r="AU9" s="102">
        <f>'P&amp;L - Monthly'!AU82</f>
        <v>1369010.3573247206</v>
      </c>
      <c r="AV9" s="102">
        <f>'P&amp;L - Monthly'!AV82</f>
        <v>1497153.476667016</v>
      </c>
      <c r="AW9" s="102">
        <f>'P&amp;L - Monthly'!AW82</f>
        <v>1615152.5452856245</v>
      </c>
      <c r="AX9" s="102">
        <f>'P&amp;L - Monthly'!AX82</f>
        <v>1727239.8984028511</v>
      </c>
      <c r="AY9" s="102">
        <f>'P&amp;L - Monthly'!AY82</f>
        <v>1851663.6299312825</v>
      </c>
      <c r="AZ9" s="102">
        <f>'P&amp;L - Monthly'!AZ82</f>
        <v>372779.31076723716</v>
      </c>
      <c r="BA9" s="102">
        <f>'P&amp;L - Monthly'!BA82</f>
        <v>-2022214.0963710845</v>
      </c>
      <c r="BB9" s="102">
        <f>'P&amp;L - Monthly'!BB82</f>
        <v>-2023135.0177842004</v>
      </c>
      <c r="BC9" s="102">
        <f>'P&amp;L - Monthly'!BC82</f>
        <v>-1836168.9249609415</v>
      </c>
      <c r="BD9" s="102">
        <f>'P&amp;L - Monthly'!BD82</f>
        <v>-1835450.2811580687</v>
      </c>
      <c r="BE9" s="102">
        <f>'P&amp;L - Monthly'!BE82</f>
        <v>-1835718.4178144943</v>
      </c>
      <c r="BF9" s="102">
        <f>'P&amp;L - Monthly'!BF82</f>
        <v>-1812579.1391851839</v>
      </c>
      <c r="BG9" s="102">
        <f>'P&amp;L - Monthly'!BG82</f>
        <v>-1812889.1999649198</v>
      </c>
      <c r="BH9" s="102">
        <f>'P&amp;L - Monthly'!BH82</f>
        <v>-1812255.2536075411</v>
      </c>
      <c r="BI9" s="102">
        <f>'P&amp;L - Monthly'!BI82</f>
        <v>-1813358.7423845688</v>
      </c>
      <c r="BJ9" s="102">
        <f>'P&amp;L - Monthly'!BJ82</f>
        <v>-1813163.9343226312</v>
      </c>
      <c r="BK9" s="102">
        <f>'P&amp;L - Monthly'!BK82</f>
        <v>-1813915.992196843</v>
      </c>
      <c r="BL9" s="102">
        <f>'P&amp;L - Monthly'!BL82</f>
        <v>-3449218.1802831134</v>
      </c>
      <c r="BM9" s="102">
        <f>'P&amp;L - Monthly'!BM82</f>
        <v>-1418321.8618155892</v>
      </c>
      <c r="BN9" s="102">
        <f>'P&amp;L - Monthly'!BN82</f>
        <v>-1434372.1373386066</v>
      </c>
      <c r="BO9" s="102">
        <f>'P&amp;L - Monthly'!BO82</f>
        <v>-1435140.278381781</v>
      </c>
      <c r="BP9" s="102">
        <f>'P&amp;L - Monthly'!BP82</f>
        <v>-1434814.1570529849</v>
      </c>
      <c r="BQ9" s="102">
        <f>'P&amp;L - Monthly'!BQ82</f>
        <v>-1435591.2275768258</v>
      </c>
      <c r="BR9" s="102">
        <f>'P&amp;L - Monthly'!BR82</f>
        <v>-1435341.2062884565</v>
      </c>
      <c r="BS9" s="102">
        <f>'P&amp;L - Monthly'!BS82</f>
        <v>-1436181.4400741658</v>
      </c>
      <c r="BT9" s="102">
        <f>'P&amp;L - Monthly'!BT82</f>
        <v>-1436531.3362712851</v>
      </c>
      <c r="BU9" s="102">
        <f>'P&amp;L - Monthly'!BU82</f>
        <v>-1436384.1230048598</v>
      </c>
      <c r="BV9" s="102">
        <f>'P&amp;L - Monthly'!BV82</f>
        <v>-1437292.316927643</v>
      </c>
    </row>
    <row r="10" spans="1:74" outlineLevel="1" x14ac:dyDescent="0.25">
      <c r="A10" s="27" t="s">
        <v>179</v>
      </c>
      <c r="E10" s="104">
        <f>'P&amp;L - Monthly'!E72</f>
        <v>12909.999999999971</v>
      </c>
      <c r="F10" s="104">
        <f>'P&amp;L - Monthly'!F72</f>
        <v>12910</v>
      </c>
      <c r="G10" s="104">
        <f>'P&amp;L - Monthly'!G72</f>
        <v>12910</v>
      </c>
      <c r="H10" s="104">
        <f>'P&amp;L - Monthly'!H72</f>
        <v>12910</v>
      </c>
      <c r="I10" s="104">
        <f>'P&amp;L - Monthly'!I72</f>
        <v>12910</v>
      </c>
      <c r="J10" s="104">
        <f>'P&amp;L - Monthly'!J72</f>
        <v>12910</v>
      </c>
      <c r="K10" s="104">
        <f>'P&amp;L - Monthly'!K72</f>
        <v>12910</v>
      </c>
      <c r="L10" s="24">
        <f>'P&amp;L - Monthly'!L72</f>
        <v>12910</v>
      </c>
      <c r="M10" s="104">
        <f>'P&amp;L - Monthly'!M72</f>
        <v>12910</v>
      </c>
      <c r="N10" s="104">
        <f>'P&amp;L - Monthly'!N72</f>
        <v>12910</v>
      </c>
      <c r="O10" s="104">
        <f>'P&amp;L - Monthly'!O72</f>
        <v>12910</v>
      </c>
      <c r="P10" s="104">
        <f>'P&amp;L - Monthly'!P72</f>
        <v>-630921.57999999996</v>
      </c>
      <c r="Q10" s="104">
        <f>'P&amp;L - Monthly'!Q72</f>
        <v>246487.33000000005</v>
      </c>
      <c r="R10" s="104">
        <f>'P&amp;L - Monthly'!R72</f>
        <v>247289.5</v>
      </c>
      <c r="S10" s="104">
        <f>'P&amp;L - Monthly'!S72</f>
        <v>247721.76</v>
      </c>
      <c r="T10" s="104">
        <f>'P&amp;L - Monthly'!T72</f>
        <v>248057</v>
      </c>
      <c r="U10" s="104">
        <f>'P&amp;L - Monthly'!U72</f>
        <v>248220.49999999994</v>
      </c>
      <c r="V10" s="104">
        <f>'P&amp;L - Monthly'!V72</f>
        <v>248303.5</v>
      </c>
      <c r="W10" s="104">
        <f>'P&amp;L - Monthly'!W72</f>
        <v>248354.16999999998</v>
      </c>
      <c r="X10" s="104">
        <f>'P&amp;L - Monthly'!X72</f>
        <v>248475.74000000005</v>
      </c>
      <c r="Y10" s="104">
        <f>'P&amp;L - Monthly'!Y72</f>
        <v>248544.33000000002</v>
      </c>
      <c r="Z10" s="104">
        <f>'P&amp;L - Monthly'!Z72</f>
        <v>248784.32999999996</v>
      </c>
      <c r="AA10" s="104">
        <f>'P&amp;L - Monthly'!AA72</f>
        <v>248884.25</v>
      </c>
      <c r="AB10" s="104">
        <f>'P&amp;L - Monthly'!AB72</f>
        <v>248884.25000000006</v>
      </c>
      <c r="AC10" s="104">
        <f>'P&amp;L - Monthly'!AC72</f>
        <v>249197.190004</v>
      </c>
      <c r="AD10" s="104">
        <f>'P&amp;L - Monthly'!AD72</f>
        <v>249492.67537409198</v>
      </c>
      <c r="AE10" s="104">
        <f>'P&amp;L - Monthly'!AE72</f>
        <v>249794.95690769612</v>
      </c>
      <c r="AF10" s="104">
        <f>'P&amp;L - Monthly'!AF72</f>
        <v>250104.1909165731</v>
      </c>
      <c r="AG10" s="104">
        <f>'P&amp;L - Monthly'!AG72</f>
        <v>250420.5373076543</v>
      </c>
      <c r="AH10" s="104">
        <f>'P&amp;L - Monthly'!AH72</f>
        <v>250744.15966573035</v>
      </c>
      <c r="AI10" s="104">
        <f>'P&amp;L - Monthly'!AI72</f>
        <v>251075.22533804213</v>
      </c>
      <c r="AJ10" s="104">
        <f>'P&amp;L - Monthly'!AJ72</f>
        <v>251413.90552081712</v>
      </c>
      <c r="AK10" s="104">
        <f>'P&amp;L - Monthly'!AK72</f>
        <v>251760.3753477959</v>
      </c>
      <c r="AL10" s="104">
        <f>'P&amp;L - Monthly'!AL72</f>
        <v>252114.81398079521</v>
      </c>
      <c r="AM10" s="104">
        <f>'P&amp;L - Monthly'!AM72</f>
        <v>252477.40470235349</v>
      </c>
      <c r="AN10" s="104">
        <f>'P&amp;L - Monthly'!AN72</f>
        <v>252848.33501050761</v>
      </c>
      <c r="AO10" s="104">
        <f>'P&amp;L - Monthly'!AO72</f>
        <v>253227.79671574931</v>
      </c>
      <c r="AP10" s="104">
        <f>'P&amp;L - Monthly'!AP72</f>
        <v>253615.98604021152</v>
      </c>
      <c r="AQ10" s="104">
        <f>'P&amp;L - Monthly'!AQ72</f>
        <v>254013.10371913639</v>
      </c>
      <c r="AR10" s="104">
        <f>'P&amp;L - Monthly'!AR72</f>
        <v>254419.35510467654</v>
      </c>
      <c r="AS10" s="104">
        <f>'P&amp;L - Monthly'!AS72</f>
        <v>254834.9502720841</v>
      </c>
      <c r="AT10" s="104">
        <f>'P&amp;L - Monthly'!AT72</f>
        <v>255260.10412834201</v>
      </c>
      <c r="AU10" s="104">
        <f>'P&amp;L - Monthly'!AU72</f>
        <v>255695.03652329388</v>
      </c>
      <c r="AV10" s="104">
        <f>'P&amp;L - Monthly'!AV72</f>
        <v>256139.97236332964</v>
      </c>
      <c r="AW10" s="104">
        <f>'P&amp;L - Monthly'!AW72</f>
        <v>256595.14172768622</v>
      </c>
      <c r="AX10" s="104">
        <f>'P&amp;L - Monthly'!AX72</f>
        <v>257060.77998742301</v>
      </c>
      <c r="AY10" s="104">
        <f>'P&amp;L - Monthly'!AY72</f>
        <v>257537.12792713373</v>
      </c>
      <c r="AZ10" s="104">
        <f>'P&amp;L - Monthly'!AZ72</f>
        <v>258024.4318694578</v>
      </c>
      <c r="BA10" s="104">
        <f>'P&amp;L - Monthly'!BA72</f>
        <v>258522.94380245532</v>
      </c>
      <c r="BB10" s="104">
        <f>'P&amp;L - Monthly'!BB72</f>
        <v>236350</v>
      </c>
      <c r="BC10" s="104">
        <f>'P&amp;L - Monthly'!BC72</f>
        <v>236350</v>
      </c>
      <c r="BD10" s="104">
        <f>'P&amp;L - Monthly'!BD72</f>
        <v>236350</v>
      </c>
      <c r="BE10" s="104">
        <f>'P&amp;L - Monthly'!BE72</f>
        <v>236350</v>
      </c>
      <c r="BF10" s="104">
        <f>'P&amp;L - Monthly'!BF72</f>
        <v>236350</v>
      </c>
      <c r="BG10" s="104">
        <f>'P&amp;L - Monthly'!BG72</f>
        <v>236350</v>
      </c>
      <c r="BH10" s="104">
        <f>'P&amp;L - Monthly'!BH72</f>
        <v>236350</v>
      </c>
      <c r="BI10" s="104">
        <f>'P&amp;L - Monthly'!BI72</f>
        <v>236350</v>
      </c>
      <c r="BJ10" s="104">
        <f>'P&amp;L - Monthly'!BJ72</f>
        <v>236350</v>
      </c>
      <c r="BK10" s="104">
        <f>'P&amp;L - Monthly'!BK72</f>
        <v>236350</v>
      </c>
      <c r="BL10" s="104">
        <f>'P&amp;L - Monthly'!BL72</f>
        <v>236350</v>
      </c>
      <c r="BM10" s="104">
        <f>'P&amp;L - Monthly'!BM72</f>
        <v>236350</v>
      </c>
      <c r="BN10" s="104">
        <f>'P&amp;L - Monthly'!BN72</f>
        <v>236350</v>
      </c>
      <c r="BO10" s="104">
        <f>'P&amp;L - Monthly'!BO72</f>
        <v>236350</v>
      </c>
      <c r="BP10" s="104">
        <f>'P&amp;L - Monthly'!BP72</f>
        <v>236350</v>
      </c>
      <c r="BQ10" s="104">
        <f>'P&amp;L - Monthly'!BQ72</f>
        <v>236350</v>
      </c>
      <c r="BR10" s="104">
        <f>'P&amp;L - Monthly'!BR72</f>
        <v>236350</v>
      </c>
      <c r="BS10" s="104">
        <f>'P&amp;L - Monthly'!BS72</f>
        <v>236350</v>
      </c>
      <c r="BT10" s="104">
        <f>'P&amp;L - Monthly'!BT72</f>
        <v>236350</v>
      </c>
      <c r="BU10" s="104">
        <f>'P&amp;L - Monthly'!BU72</f>
        <v>236350</v>
      </c>
      <c r="BV10" s="104">
        <f>'P&amp;L - Monthly'!BV72</f>
        <v>236350</v>
      </c>
    </row>
    <row r="11" spans="1:74" outlineLevel="1" x14ac:dyDescent="0.25">
      <c r="A11" s="27" t="s">
        <v>180</v>
      </c>
      <c r="E11" s="104">
        <f>'P&amp;L - Monthly'!E71</f>
        <v>0</v>
      </c>
      <c r="F11" s="104">
        <f>'P&amp;L - Monthly'!F71</f>
        <v>0</v>
      </c>
      <c r="G11" s="104">
        <f>'P&amp;L - Monthly'!G71</f>
        <v>0</v>
      </c>
      <c r="H11" s="104">
        <f>'P&amp;L - Monthly'!H71</f>
        <v>0</v>
      </c>
      <c r="I11" s="104">
        <f>'P&amp;L - Monthly'!I71</f>
        <v>0</v>
      </c>
      <c r="J11" s="104">
        <f>'P&amp;L - Monthly'!J71</f>
        <v>0</v>
      </c>
      <c r="K11" s="104">
        <f>'P&amp;L - Monthly'!K71</f>
        <v>0</v>
      </c>
      <c r="L11" s="24">
        <f>'P&amp;L - Monthly'!L71</f>
        <v>0</v>
      </c>
      <c r="M11" s="104">
        <f>'P&amp;L - Monthly'!M71</f>
        <v>0</v>
      </c>
      <c r="N11" s="104">
        <f>'P&amp;L - Monthly'!N71</f>
        <v>0</v>
      </c>
      <c r="O11" s="104">
        <f>'P&amp;L - Monthly'!O71</f>
        <v>0</v>
      </c>
      <c r="P11" s="104">
        <f>'P&amp;L - Monthly'!P71</f>
        <v>0</v>
      </c>
      <c r="Q11" s="104">
        <f>'P&amp;L - Monthly'!Q71</f>
        <v>0</v>
      </c>
      <c r="R11" s="104">
        <f>'P&amp;L - Monthly'!R71</f>
        <v>0</v>
      </c>
      <c r="S11" s="104">
        <f>'P&amp;L - Monthly'!S71</f>
        <v>0</v>
      </c>
      <c r="T11" s="104">
        <f>'P&amp;L - Monthly'!T71</f>
        <v>0</v>
      </c>
      <c r="U11" s="104">
        <f>'P&amp;L - Monthly'!U71</f>
        <v>0</v>
      </c>
      <c r="V11" s="104">
        <f>'P&amp;L - Monthly'!V71</f>
        <v>0</v>
      </c>
      <c r="W11" s="104">
        <f>'P&amp;L - Monthly'!W71</f>
        <v>0</v>
      </c>
      <c r="X11" s="104">
        <f>'P&amp;L - Monthly'!X71</f>
        <v>0</v>
      </c>
      <c r="Y11" s="104">
        <f>'P&amp;L - Monthly'!Y71</f>
        <v>0</v>
      </c>
      <c r="Z11" s="104">
        <f>'P&amp;L - Monthly'!Z71</f>
        <v>0</v>
      </c>
      <c r="AA11" s="104">
        <f>'P&amp;L - Monthly'!AA71</f>
        <v>0</v>
      </c>
      <c r="AB11" s="104">
        <f>'P&amp;L - Monthly'!AB71</f>
        <v>0</v>
      </c>
      <c r="AC11" s="104">
        <f>'P&amp;L - Monthly'!AC71</f>
        <v>0</v>
      </c>
      <c r="AD11" s="104">
        <f>'P&amp;L - Monthly'!AD71</f>
        <v>0</v>
      </c>
      <c r="AE11" s="104">
        <f>'P&amp;L - Monthly'!AE71</f>
        <v>0</v>
      </c>
      <c r="AF11" s="104">
        <f>'P&amp;L - Monthly'!AF71</f>
        <v>0</v>
      </c>
      <c r="AG11" s="104">
        <f>'P&amp;L - Monthly'!AG71</f>
        <v>0</v>
      </c>
      <c r="AH11" s="104">
        <f>'P&amp;L - Monthly'!AH71</f>
        <v>0</v>
      </c>
      <c r="AI11" s="104">
        <f>'P&amp;L - Monthly'!AI71</f>
        <v>0</v>
      </c>
      <c r="AJ11" s="104">
        <f>'P&amp;L - Monthly'!AJ71</f>
        <v>0</v>
      </c>
      <c r="AK11" s="104">
        <f>'P&amp;L - Monthly'!AK71</f>
        <v>0</v>
      </c>
      <c r="AL11" s="104">
        <f>'P&amp;L - Monthly'!AL71</f>
        <v>0</v>
      </c>
      <c r="AM11" s="104">
        <f>'P&amp;L - Monthly'!AM71</f>
        <v>0</v>
      </c>
      <c r="AN11" s="104">
        <f>'P&amp;L - Monthly'!AN71</f>
        <v>0</v>
      </c>
      <c r="AO11" s="104">
        <f>'P&amp;L - Monthly'!AO71</f>
        <v>0</v>
      </c>
      <c r="AP11" s="104">
        <f>'P&amp;L - Monthly'!AP71</f>
        <v>0</v>
      </c>
      <c r="AQ11" s="104">
        <f>'P&amp;L - Monthly'!AQ71</f>
        <v>0</v>
      </c>
      <c r="AR11" s="104">
        <f>'P&amp;L - Monthly'!AR71</f>
        <v>0</v>
      </c>
      <c r="AS11" s="104">
        <f>'P&amp;L - Monthly'!AS71</f>
        <v>0</v>
      </c>
      <c r="AT11" s="104">
        <f>'P&amp;L - Monthly'!AT71</f>
        <v>0</v>
      </c>
      <c r="AU11" s="104">
        <f>'P&amp;L - Monthly'!AU71</f>
        <v>0</v>
      </c>
      <c r="AV11" s="104">
        <f>'P&amp;L - Monthly'!AV71</f>
        <v>0</v>
      </c>
      <c r="AW11" s="104">
        <f>'P&amp;L - Monthly'!AW71</f>
        <v>0</v>
      </c>
      <c r="AX11" s="104">
        <f>'P&amp;L - Monthly'!AX71</f>
        <v>0</v>
      </c>
      <c r="AY11" s="104">
        <f>'P&amp;L - Monthly'!AY71</f>
        <v>0</v>
      </c>
      <c r="AZ11" s="104">
        <f>'P&amp;L - Monthly'!AZ71</f>
        <v>0</v>
      </c>
      <c r="BA11" s="104">
        <f>'P&amp;L - Monthly'!BA71</f>
        <v>0</v>
      </c>
      <c r="BB11" s="104">
        <f>'P&amp;L - Monthly'!BB71</f>
        <v>0</v>
      </c>
      <c r="BC11" s="104">
        <f>'P&amp;L - Monthly'!BC71</f>
        <v>0</v>
      </c>
      <c r="BD11" s="104">
        <f>'P&amp;L - Monthly'!BD71</f>
        <v>0</v>
      </c>
      <c r="BE11" s="104">
        <f>'P&amp;L - Monthly'!BE71</f>
        <v>0</v>
      </c>
      <c r="BF11" s="104">
        <f>'P&amp;L - Monthly'!BF71</f>
        <v>0</v>
      </c>
      <c r="BG11" s="104">
        <f>'P&amp;L - Monthly'!BG71</f>
        <v>0</v>
      </c>
      <c r="BH11" s="104">
        <f>'P&amp;L - Monthly'!BH71</f>
        <v>0</v>
      </c>
      <c r="BI11" s="104">
        <f>'P&amp;L - Monthly'!BI71</f>
        <v>0</v>
      </c>
      <c r="BJ11" s="104">
        <f>'P&amp;L - Monthly'!BJ71</f>
        <v>0</v>
      </c>
      <c r="BK11" s="104">
        <f>'P&amp;L - Monthly'!BK71</f>
        <v>0</v>
      </c>
      <c r="BL11" s="104">
        <f>'P&amp;L - Monthly'!BL71</f>
        <v>0</v>
      </c>
      <c r="BM11" s="104">
        <f>'P&amp;L - Monthly'!BM71</f>
        <v>0</v>
      </c>
      <c r="BN11" s="104">
        <f>'P&amp;L - Monthly'!BN71</f>
        <v>0</v>
      </c>
      <c r="BO11" s="104">
        <f>'P&amp;L - Monthly'!BO71</f>
        <v>0</v>
      </c>
      <c r="BP11" s="104">
        <f>'P&amp;L - Monthly'!BP71</f>
        <v>0</v>
      </c>
      <c r="BQ11" s="104">
        <f>'P&amp;L - Monthly'!BQ71</f>
        <v>0</v>
      </c>
      <c r="BR11" s="104">
        <f>'P&amp;L - Monthly'!BR71</f>
        <v>0</v>
      </c>
      <c r="BS11" s="104">
        <f>'P&amp;L - Monthly'!BS71</f>
        <v>0</v>
      </c>
      <c r="BT11" s="104">
        <f>'P&amp;L - Monthly'!BT71</f>
        <v>0</v>
      </c>
      <c r="BU11" s="104">
        <f>'P&amp;L - Monthly'!BU71</f>
        <v>0</v>
      </c>
      <c r="BV11" s="104">
        <f>'P&amp;L - Monthly'!BV71</f>
        <v>0</v>
      </c>
    </row>
    <row r="12" spans="1:74" outlineLevel="1" x14ac:dyDescent="0.25">
      <c r="A12" s="27" t="s">
        <v>121</v>
      </c>
      <c r="E12" s="104"/>
      <c r="F12" s="104"/>
      <c r="G12" s="104"/>
      <c r="H12" s="104"/>
      <c r="I12" s="104"/>
      <c r="J12" s="104"/>
      <c r="K12" s="104"/>
      <c r="L12" s="24"/>
      <c r="M12" s="104"/>
      <c r="N12" s="104"/>
      <c r="O12" s="104"/>
      <c r="P12" s="104"/>
      <c r="Q12" s="104"/>
      <c r="R12" s="104"/>
      <c r="S12" s="104"/>
      <c r="T12" s="104"/>
      <c r="U12" s="104"/>
      <c r="V12" s="104"/>
      <c r="W12" s="104"/>
      <c r="X12" s="104"/>
      <c r="Y12" s="104"/>
      <c r="Z12" s="104"/>
      <c r="AA12" s="104"/>
      <c r="AB12" s="104"/>
      <c r="AC12" s="104"/>
      <c r="AD12" s="104"/>
      <c r="AE12" s="104"/>
      <c r="AF12" s="104"/>
      <c r="AG12" s="104"/>
      <c r="AH12" s="104"/>
      <c r="AI12" s="104"/>
      <c r="AJ12" s="104"/>
      <c r="AK12" s="104"/>
      <c r="AL12" s="104"/>
      <c r="AM12" s="104"/>
      <c r="AN12" s="104"/>
      <c r="AO12" s="104"/>
      <c r="AP12" s="104"/>
      <c r="AQ12" s="104"/>
      <c r="AR12" s="104"/>
      <c r="AS12" s="104"/>
      <c r="AT12" s="104"/>
      <c r="AU12" s="104"/>
      <c r="AV12" s="104"/>
      <c r="AW12" s="104"/>
      <c r="AX12" s="104"/>
      <c r="AY12" s="104"/>
      <c r="AZ12" s="104"/>
      <c r="BA12" s="104"/>
      <c r="BB12" s="104"/>
      <c r="BC12" s="104"/>
      <c r="BD12" s="104"/>
      <c r="BE12" s="104"/>
      <c r="BF12" s="104"/>
      <c r="BG12" s="104"/>
      <c r="BH12" s="104"/>
      <c r="BI12" s="104"/>
      <c r="BJ12" s="104"/>
      <c r="BK12" s="104"/>
      <c r="BL12" s="104"/>
      <c r="BM12" s="104"/>
      <c r="BN12" s="104"/>
      <c r="BO12" s="104"/>
      <c r="BP12" s="104"/>
      <c r="BQ12" s="104"/>
      <c r="BR12" s="104"/>
      <c r="BS12" s="104"/>
      <c r="BT12" s="104"/>
      <c r="BU12" s="104"/>
      <c r="BV12" s="104"/>
    </row>
    <row r="13" spans="1:74" outlineLevel="1" x14ac:dyDescent="0.25">
      <c r="B13" s="27" t="s">
        <v>92</v>
      </c>
      <c r="E13" s="104">
        <v>73925.180000000022</v>
      </c>
      <c r="F13" s="104">
        <f>'BS - Monthly'!F9-'BS - Monthly'!G9</f>
        <v>-1811.3299999999872</v>
      </c>
      <c r="G13" s="104">
        <f>'BS - Monthly'!G9-'BS - Monthly'!H9</f>
        <v>-24632.110000000015</v>
      </c>
      <c r="H13" s="104">
        <f>'BS - Monthly'!H9-'BS - Monthly'!I9</f>
        <v>-867366.78</v>
      </c>
      <c r="I13" s="104">
        <f>'BS - Monthly'!I9-'BS - Monthly'!J9</f>
        <v>576958.87</v>
      </c>
      <c r="J13" s="104">
        <f>'BS - Monthly'!J9-'BS - Monthly'!K9</f>
        <v>10841.399999999965</v>
      </c>
      <c r="K13" s="104">
        <f>'BS - Monthly'!K9-'BS - Monthly'!L9</f>
        <v>299349.32</v>
      </c>
      <c r="L13" s="24">
        <f>'BS - Monthly'!L9-'BS - Monthly'!M9</f>
        <v>8822.5099999999802</v>
      </c>
      <c r="M13" s="104">
        <f>'BS - Monthly'!M9-'BS - Monthly'!N9</f>
        <v>55543.460000000021</v>
      </c>
      <c r="N13" s="104">
        <f>'BS - Monthly'!N9-'BS - Monthly'!O9</f>
        <v>30103.47</v>
      </c>
      <c r="O13" s="104">
        <f>'BS - Monthly'!O9-'BS - Monthly'!P9</f>
        <v>-74712.710000000021</v>
      </c>
      <c r="P13" s="104">
        <f>'BS - Monthly'!P9-'BS - Monthly'!Q9</f>
        <v>29690.820000000007</v>
      </c>
      <c r="Q13" s="104">
        <f>'BS - Monthly'!Q9-'BS - Monthly'!R9</f>
        <v>-949882.97</v>
      </c>
      <c r="R13" s="104">
        <f>'BS - Monthly'!R9-'BS - Monthly'!S9</f>
        <v>79824.479999999981</v>
      </c>
      <c r="S13" s="104">
        <f>'BS - Monthly'!S9-'BS - Monthly'!T9</f>
        <v>823584.14</v>
      </c>
      <c r="T13" s="104">
        <f>'BS - Monthly'!T9-'BS - Monthly'!U9</f>
        <v>-13046.919999999984</v>
      </c>
      <c r="U13" s="104">
        <f>'BS - Monthly'!U9-'BS - Monthly'!V9</f>
        <v>105052.55</v>
      </c>
      <c r="V13" s="104">
        <f>'BS - Monthly'!V9-'BS - Monthly'!W9</f>
        <v>-20320.660000000003</v>
      </c>
      <c r="W13" s="104">
        <f>'BS - Monthly'!W9-'BS - Monthly'!X9</f>
        <v>23216.979999999996</v>
      </c>
      <c r="X13" s="104">
        <f>'BS - Monthly'!X9-'BS - Monthly'!Y9</f>
        <v>-21426.759999999995</v>
      </c>
      <c r="Y13" s="104">
        <f>'BS - Monthly'!Y9-'BS - Monthly'!Z9</f>
        <v>-108162.59000000001</v>
      </c>
      <c r="Z13" s="104">
        <f>'BS - Monthly'!Z9-'BS - Monthly'!AA9</f>
        <v>-7230.8099999999977</v>
      </c>
      <c r="AA13" s="104">
        <f>'BS - Monthly'!AA9-'BS - Monthly'!AB9</f>
        <v>33342.239999999991</v>
      </c>
      <c r="AB13" s="104">
        <f>'BS - Monthly'!AB9-'BS - Monthly'!AC9</f>
        <v>-272990.7</v>
      </c>
      <c r="AC13" s="104">
        <f>'BS - Monthly'!AC9-'BS - Monthly'!AD9</f>
        <v>291388.40192079765</v>
      </c>
      <c r="AD13" s="104">
        <f>'BS - Monthly'!AD9-'BS - Monthly'!AE9</f>
        <v>-10354.451427223801</v>
      </c>
      <c r="AE13" s="104">
        <f>'BS - Monthly'!AE9-'BS - Monthly'!AF9</f>
        <v>-3624.9388714599772</v>
      </c>
      <c r="AF13" s="104">
        <f>'BS - Monthly'!AF9-'BS - Monthly'!AG9</f>
        <v>-14899.958123610704</v>
      </c>
      <c r="AG13" s="104">
        <f>'BS - Monthly'!AG9-'BS - Monthly'!AH9</f>
        <v>-14953.010012430343</v>
      </c>
      <c r="AH13" s="104">
        <f>'BS - Monthly'!AH9-'BS - Monthly'!AI9</f>
        <v>-13983.778103919001</v>
      </c>
      <c r="AI13" s="104">
        <f>'BS - Monthly'!AI9-'BS - Monthly'!AJ9</f>
        <v>3758.1633253202017</v>
      </c>
      <c r="AJ13" s="104">
        <f>'BS - Monthly'!AJ9-'BS - Monthly'!AK9</f>
        <v>-9756.1988770970493</v>
      </c>
      <c r="AK13" s="104">
        <f>'BS - Monthly'!AK9-'BS - Monthly'!AL9</f>
        <v>-38289.590893365326</v>
      </c>
      <c r="AL13" s="104">
        <f>'BS - Monthly'!AL9-'BS - Monthly'!AM9</f>
        <v>-15484.659851209086</v>
      </c>
      <c r="AM13" s="104">
        <f>'BS - Monthly'!AM9-'BS - Monthly'!AN9</f>
        <v>9022.535907636222</v>
      </c>
      <c r="AN13" s="104">
        <f>'BS - Monthly'!AN9-'BS - Monthly'!AO9</f>
        <v>-903.10432710358873</v>
      </c>
      <c r="AO13" s="104">
        <f>'BS - Monthly'!AO9-'BS - Monthly'!AP9</f>
        <v>-40467.749679550179</v>
      </c>
      <c r="AP13" s="104">
        <f>'BS - Monthly'!AP9-'BS - Monthly'!AQ9</f>
        <v>-15625.648895566643</v>
      </c>
      <c r="AQ13" s="104">
        <f>'BS - Monthly'!AQ9-'BS - Monthly'!AR9</f>
        <v>-16291.275182903919</v>
      </c>
      <c r="AR13" s="104">
        <f>'BS - Monthly'!AR9-'BS - Monthly'!AS9</f>
        <v>-15616.399875865143</v>
      </c>
      <c r="AS13" s="104">
        <f>'BS - Monthly'!AS9-'BS - Monthly'!AT9</f>
        <v>-15000.6072299722</v>
      </c>
      <c r="AT13" s="104">
        <f>'BS - Monthly'!AT9-'BS - Monthly'!AU9</f>
        <v>-14839.038993469498</v>
      </c>
      <c r="AU13" s="104">
        <f>'BS - Monthly'!AU9-'BS - Monthly'!AV9</f>
        <v>-14846.389210112276</v>
      </c>
      <c r="AV13" s="104">
        <f>'BS - Monthly'!AV9-'BS - Monthly'!AW9</f>
        <v>-15039.455158715195</v>
      </c>
      <c r="AW13" s="104">
        <f>'BS - Monthly'!AW9-'BS - Monthly'!AX9</f>
        <v>-15210.308301926707</v>
      </c>
      <c r="AX13" s="104">
        <f>'BS - Monthly'!AX9-'BS - Monthly'!AY9</f>
        <v>-14875.244999999937</v>
      </c>
      <c r="AY13" s="104">
        <f>'BS - Monthly'!AY9-'BS - Monthly'!AZ9</f>
        <v>-14875.245000000054</v>
      </c>
      <c r="AZ13" s="104">
        <f>'BS - Monthly'!AZ9-'BS - Monthly'!BA9</f>
        <v>-14875.244999999937</v>
      </c>
      <c r="BA13" s="104">
        <f>'BS - Monthly'!BA9-'BS - Monthly'!BB9</f>
        <v>475685.53686174651</v>
      </c>
      <c r="BB13" s="104">
        <f>'BS - Monthly'!BB9-'BS - Monthly'!BC9</f>
        <v>0</v>
      </c>
      <c r="BC13" s="104">
        <f>'BS - Monthly'!BC9-'BS - Monthly'!BD9</f>
        <v>0</v>
      </c>
      <c r="BD13" s="104">
        <f>'BS - Monthly'!BD9-'BS - Monthly'!BE9</f>
        <v>0</v>
      </c>
      <c r="BE13" s="104">
        <f>'BS - Monthly'!BE9-'BS - Monthly'!BF9</f>
        <v>0</v>
      </c>
      <c r="BF13" s="104">
        <f>'BS - Monthly'!BF9-'BS - Monthly'!BG9</f>
        <v>0</v>
      </c>
      <c r="BG13" s="104">
        <f>'BS - Monthly'!BG9-'BS - Monthly'!BH9</f>
        <v>0</v>
      </c>
      <c r="BH13" s="104">
        <f>'BS - Monthly'!BH9-'BS - Monthly'!BI9</f>
        <v>0</v>
      </c>
      <c r="BI13" s="104">
        <f>'BS - Monthly'!BI9-'BS - Monthly'!BJ9</f>
        <v>0</v>
      </c>
      <c r="BJ13" s="104">
        <f>'BS - Monthly'!BJ9-'BS - Monthly'!BK9</f>
        <v>0</v>
      </c>
      <c r="BK13" s="104">
        <f>'BS - Monthly'!BK9-'BS - Monthly'!BL9</f>
        <v>0</v>
      </c>
      <c r="BL13" s="104">
        <f>'BS - Monthly'!BL9-'BS - Monthly'!BM9</f>
        <v>0</v>
      </c>
      <c r="BM13" s="104">
        <f>'BS - Monthly'!BM9-'BS - Monthly'!BN9</f>
        <v>0</v>
      </c>
      <c r="BN13" s="104">
        <f>'BS - Monthly'!BN9-'BS - Monthly'!BO9</f>
        <v>0</v>
      </c>
      <c r="BO13" s="104">
        <f>'BS - Monthly'!BO9-'BS - Monthly'!BP9</f>
        <v>0</v>
      </c>
      <c r="BP13" s="104">
        <f>'BS - Monthly'!BP9-'BS - Monthly'!BQ9</f>
        <v>0</v>
      </c>
      <c r="BQ13" s="104">
        <f>'BS - Monthly'!BQ9-'BS - Monthly'!BR9</f>
        <v>0</v>
      </c>
      <c r="BR13" s="104">
        <f>'BS - Monthly'!BR9-'BS - Monthly'!BS9</f>
        <v>0</v>
      </c>
      <c r="BS13" s="104">
        <f>'BS - Monthly'!BS9-'BS - Monthly'!BT9</f>
        <v>0</v>
      </c>
      <c r="BT13" s="104">
        <f>'BS - Monthly'!BT9-'BS - Monthly'!BU9</f>
        <v>0</v>
      </c>
      <c r="BU13" s="104">
        <f>'BS - Monthly'!BU9-'BS - Monthly'!BV9</f>
        <v>0</v>
      </c>
      <c r="BV13" s="104">
        <f>'BS - Monthly'!BV9-'BS - Monthly'!BW9</f>
        <v>0</v>
      </c>
    </row>
    <row r="14" spans="1:74" outlineLevel="1" x14ac:dyDescent="0.25">
      <c r="B14" s="27" t="s">
        <v>94</v>
      </c>
      <c r="E14" s="104">
        <v>-1497</v>
      </c>
      <c r="F14" s="104">
        <f>-('BS - Monthly'!G11-'BS - Monthly'!F11)</f>
        <v>-1350.5</v>
      </c>
      <c r="G14" s="104">
        <f>-('BS - Monthly'!H11-'BS - Monthly'!G11)</f>
        <v>6753.1500000000005</v>
      </c>
      <c r="H14" s="104">
        <f>-('BS - Monthly'!I11-'BS - Monthly'!H11)</f>
        <v>-7101.1500000000005</v>
      </c>
      <c r="I14" s="104">
        <f>-('BS - Monthly'!J11-'BS - Monthly'!I11)</f>
        <v>8226.1500000000015</v>
      </c>
      <c r="J14" s="104">
        <f>-('BS - Monthly'!K11-'BS - Monthly'!J11)</f>
        <v>-8977.84</v>
      </c>
      <c r="K14" s="104">
        <f>-('BS - Monthly'!L11-'BS - Monthly'!K11)</f>
        <v>11899.099999999999</v>
      </c>
      <c r="L14" s="104">
        <f>-('BS - Monthly'!M11-'BS - Monthly'!L11)</f>
        <v>274.95000000000005</v>
      </c>
      <c r="M14" s="104"/>
      <c r="N14" s="104">
        <f>-('BS - Monthly'!O11-'BS - Monthly'!N11)</f>
        <v>-117.70000000000005</v>
      </c>
      <c r="O14" s="104">
        <f>-('BS - Monthly'!P11-'BS - Monthly'!O11)</f>
        <v>-954.75</v>
      </c>
      <c r="P14" s="104">
        <f>-('BS - Monthly'!Q11-'BS - Monthly'!P11)</f>
        <v>-230462.62999999998</v>
      </c>
      <c r="Q14" s="104">
        <f>-('BS - Monthly'!R11-'BS - Monthly'!Q11)</f>
        <v>-20324.26999999999</v>
      </c>
      <c r="R14" s="104">
        <f>-('BS - Monthly'!S11-'BS - Monthly'!R11)</f>
        <v>-29401.97000000003</v>
      </c>
      <c r="S14" s="104">
        <f>-('BS - Monthly'!T11-'BS - Monthly'!S11)-('BS - CF Actuals'!X63-'BS - CF Actuals'!W63)</f>
        <v>2911.2400000000489</v>
      </c>
      <c r="T14" s="104">
        <f>-('BS - Monthly'!U11-'BS - Monthly'!T11)-('BS - CF Actuals'!Y63-'BS - CF Actuals'!X63)</f>
        <v>-69246.510000000068</v>
      </c>
      <c r="U14" s="104">
        <f>-('BS - Monthly'!V11-'BS - Monthly'!U11)-('BS - CF Actuals'!Z63-'BS - CF Actuals'!Y63)</f>
        <v>-65209.820000000007</v>
      </c>
      <c r="V14" s="104">
        <f>-('BS - Monthly'!W11-'BS - Monthly'!V11)-('BS - CF Actuals'!AA63-'BS - CF Actuals'!Z63)</f>
        <v>-20492.679999999993</v>
      </c>
      <c r="W14" s="104">
        <f>-('BS - Monthly'!X11-'BS - Monthly'!W11)-('BS - CF Actuals'!AB63-'BS - CF Actuals'!AA63)</f>
        <v>35459.989999999991</v>
      </c>
      <c r="X14" s="104">
        <f>-('BS - Monthly'!Y11-'BS - Monthly'!X11)-('BS - CF Actuals'!AC63-'BS - CF Actuals'!AB63)</f>
        <v>-69868.279999999912</v>
      </c>
      <c r="Y14" s="104">
        <f>-('BS - Monthly'!Z11-'BS - Monthly'!Y11)-('BS - CF Actuals'!AD63-'BS - CF Actuals'!AC63)</f>
        <v>55658.369999999937</v>
      </c>
      <c r="Z14" s="104">
        <f>-('BS - Monthly'!AA11-'BS - Monthly'!Z11)-('BS - CF Actuals'!AE63-'BS - CF Actuals'!AD63)</f>
        <v>-67063.919999999969</v>
      </c>
      <c r="AA14" s="104">
        <f>-('BS - Monthly'!AB11-'BS - Monthly'!AA11)-('BS - CF Actuals'!AF63-'BS - CF Actuals'!AE63)</f>
        <v>-105988.65000000002</v>
      </c>
      <c r="AB14" s="104">
        <f>-('BS - Monthly'!AC11-'BS - Monthly'!AB11)-('BS - CF Actuals'!AG63-'BS - CF Actuals'!AF63)</f>
        <v>16355.770000000019</v>
      </c>
      <c r="AC14" s="1056">
        <f>-('BS - Monthly'!AD11-'BS - Monthly'!AC11)</f>
        <v>0</v>
      </c>
      <c r="AD14" s="104">
        <f>-('BS - Monthly'!AE11-'BS - Monthly'!AD11)</f>
        <v>0</v>
      </c>
      <c r="AE14" s="104">
        <f>-('BS - Monthly'!AF11-'BS - Monthly'!AE11)</f>
        <v>0</v>
      </c>
      <c r="AF14" s="104">
        <f>-('BS - Monthly'!AG11-'BS - Monthly'!AF11)</f>
        <v>0</v>
      </c>
      <c r="AG14" s="104">
        <f>-('BS - Monthly'!AH11-'BS - Monthly'!AG11)</f>
        <v>0</v>
      </c>
      <c r="AH14" s="104">
        <f>-('BS - Monthly'!AI11-'BS - Monthly'!AH11)</f>
        <v>0</v>
      </c>
      <c r="AI14" s="104">
        <f>-('BS - Monthly'!AJ11-'BS - Monthly'!AI11)</f>
        <v>0</v>
      </c>
      <c r="AJ14" s="104">
        <f>-('BS - Monthly'!AK11-'BS - Monthly'!AJ11)</f>
        <v>0</v>
      </c>
      <c r="AK14" s="104">
        <f>-('BS - Monthly'!AL11-'BS - Monthly'!AK11)</f>
        <v>0</v>
      </c>
      <c r="AL14" s="104">
        <f>-('BS - Monthly'!AM11-'BS - Monthly'!AL11)</f>
        <v>0</v>
      </c>
      <c r="AM14" s="104">
        <f>-('BS - Monthly'!AN11-'BS - Monthly'!AM11)</f>
        <v>0</v>
      </c>
      <c r="AN14" s="104">
        <f>-('BS - Monthly'!AO11-'BS - Monthly'!AN11)</f>
        <v>0</v>
      </c>
      <c r="AO14" s="104">
        <f>-('BS - Monthly'!AP11-'BS - Monthly'!AO11)</f>
        <v>0</v>
      </c>
      <c r="AP14" s="104">
        <f>-('BS - Monthly'!AQ11-'BS - Monthly'!AP11)</f>
        <v>0</v>
      </c>
      <c r="AQ14" s="104">
        <f>-('BS - Monthly'!AR11-'BS - Monthly'!AQ11)</f>
        <v>0</v>
      </c>
      <c r="AR14" s="104">
        <f>-('BS - Monthly'!AS11-'BS - Monthly'!AR11)</f>
        <v>0</v>
      </c>
      <c r="AS14" s="104">
        <f>-('BS - Monthly'!AT11-'BS - Monthly'!AS11)</f>
        <v>0</v>
      </c>
      <c r="AT14" s="104">
        <f>-('BS - Monthly'!AU11-'BS - Monthly'!AT11)</f>
        <v>0</v>
      </c>
      <c r="AU14" s="104">
        <f>-('BS - Monthly'!AV11-'BS - Monthly'!AU11)</f>
        <v>0</v>
      </c>
      <c r="AV14" s="104">
        <f>-('BS - Monthly'!AW11-'BS - Monthly'!AV11)</f>
        <v>0</v>
      </c>
      <c r="AW14" s="104">
        <f>-('BS - Monthly'!AX11-'BS - Monthly'!AW11)</f>
        <v>0</v>
      </c>
      <c r="AX14" s="104">
        <f>-('BS - Monthly'!AY11-'BS - Monthly'!AX11)</f>
        <v>0</v>
      </c>
      <c r="AY14" s="104">
        <f>-('BS - Monthly'!AZ11-'BS - Monthly'!AY11)</f>
        <v>0</v>
      </c>
      <c r="AZ14" s="104">
        <f>-('BS - Monthly'!BA11-'BS - Monthly'!AZ11)</f>
        <v>0</v>
      </c>
      <c r="BA14" s="104">
        <f>-('BS - Monthly'!BB11-'BS - Monthly'!BA11)</f>
        <v>0</v>
      </c>
      <c r="BB14" s="104">
        <f>-('BS - Monthly'!BC11-'BS - Monthly'!BB11)</f>
        <v>0</v>
      </c>
      <c r="BC14" s="104">
        <f>-('BS - Monthly'!BD11-'BS - Monthly'!BC11)</f>
        <v>0</v>
      </c>
      <c r="BD14" s="104">
        <f>-('BS - Monthly'!BE11-'BS - Monthly'!BD11)</f>
        <v>0</v>
      </c>
      <c r="BE14" s="104">
        <f>-('BS - Monthly'!BF11-'BS - Monthly'!BE11)</f>
        <v>0</v>
      </c>
      <c r="BF14" s="104">
        <f>-('BS - Monthly'!BG11-'BS - Monthly'!BF11)</f>
        <v>0</v>
      </c>
      <c r="BG14" s="104">
        <f>-('BS - Monthly'!BH11-'BS - Monthly'!BG11)</f>
        <v>0</v>
      </c>
      <c r="BH14" s="104">
        <f>-('BS - Monthly'!BI11-'BS - Monthly'!BH11)</f>
        <v>0</v>
      </c>
      <c r="BI14" s="104">
        <f>-('BS - Monthly'!BJ11-'BS - Monthly'!BI11)</f>
        <v>0</v>
      </c>
      <c r="BJ14" s="104">
        <f>-('BS - Monthly'!BK11-'BS - Monthly'!BJ11)</f>
        <v>0</v>
      </c>
      <c r="BK14" s="104">
        <f>-('BS - Monthly'!BL11-'BS - Monthly'!BK11)</f>
        <v>0</v>
      </c>
      <c r="BL14" s="104">
        <f>-('BS - Monthly'!BM11-'BS - Monthly'!BL11)</f>
        <v>0</v>
      </c>
      <c r="BM14" s="104">
        <f>-('BS - Monthly'!BN11-'BS - Monthly'!BM11)</f>
        <v>0</v>
      </c>
      <c r="BN14" s="104">
        <f>-('BS - Monthly'!BO11-'BS - Monthly'!BN11)</f>
        <v>0</v>
      </c>
      <c r="BO14" s="104">
        <f>-('BS - Monthly'!BP11-'BS - Monthly'!BO11)</f>
        <v>0</v>
      </c>
      <c r="BP14" s="104">
        <f>-('BS - Monthly'!BQ11-'BS - Monthly'!BP11)</f>
        <v>0</v>
      </c>
      <c r="BQ14" s="104">
        <f>-('BS - Monthly'!BR11-'BS - Monthly'!BQ11)</f>
        <v>0</v>
      </c>
      <c r="BR14" s="104">
        <f>-('BS - Monthly'!BS11-'BS - Monthly'!BR11)</f>
        <v>0</v>
      </c>
      <c r="BS14" s="104">
        <f>-('BS - Monthly'!BT11-'BS - Monthly'!BS11)</f>
        <v>0</v>
      </c>
      <c r="BT14" s="104">
        <f>-('BS - Monthly'!BU11-'BS - Monthly'!BT11)</f>
        <v>0</v>
      </c>
      <c r="BU14" s="104">
        <f>-('BS - Monthly'!BV11-'BS - Monthly'!BU11)</f>
        <v>0</v>
      </c>
      <c r="BV14" s="104">
        <f>-('BS - Monthly'!BW11-'BS - Monthly'!BV11)</f>
        <v>0</v>
      </c>
    </row>
    <row r="15" spans="1:74" outlineLevel="1" x14ac:dyDescent="0.25">
      <c r="B15" s="27" t="s">
        <v>122</v>
      </c>
      <c r="E15" s="104">
        <v>-9865.7299999999959</v>
      </c>
      <c r="F15" s="104">
        <f>'BS - Monthly'!G28-'BS - Monthly'!F28</f>
        <v>20141.969999999972</v>
      </c>
      <c r="G15" s="104">
        <f>'BS - Monthly'!H28-'BS - Monthly'!G28</f>
        <v>16871.200000000012</v>
      </c>
      <c r="H15" s="104">
        <f>'BS - Monthly'!I28-'BS - Monthly'!H28</f>
        <v>-12672.75</v>
      </c>
      <c r="I15" s="104">
        <f>'BS - Monthly'!J28-'BS - Monthly'!I28</f>
        <v>153838.95000000001</v>
      </c>
      <c r="J15" s="104">
        <f>'BS - Monthly'!K28-'BS - Monthly'!J28</f>
        <v>-144807.79999999999</v>
      </c>
      <c r="K15" s="104">
        <f>'BS - Monthly'!L28-'BS - Monthly'!K28</f>
        <v>-1166.7600000000093</v>
      </c>
      <c r="L15" s="104">
        <f>'BS - Monthly'!M28-'BS - Monthly'!L28</f>
        <v>-88309.270000000019</v>
      </c>
      <c r="M15" s="104">
        <f>'BS - Monthly'!N28-'BS - Monthly'!M28</f>
        <v>14781.850000000013</v>
      </c>
      <c r="N15" s="104">
        <f>'BS - Monthly'!O28-'BS - Monthly'!N28</f>
        <v>-31420.860000000015</v>
      </c>
      <c r="O15" s="104">
        <f>'BS - Monthly'!P28-'BS - Monthly'!O28</f>
        <v>199463.19</v>
      </c>
      <c r="P15" s="104">
        <f>'BS - Monthly'!Q28-'BS - Monthly'!P28</f>
        <v>-129973.87000000001</v>
      </c>
      <c r="Q15" s="104">
        <f>'BS - Monthly'!R28-'BS - Monthly'!Q28</f>
        <v>36051.689999999988</v>
      </c>
      <c r="R15" s="104">
        <f>'BS - Monthly'!S28-'BS - Monthly'!R28</f>
        <v>99479.72</v>
      </c>
      <c r="S15" s="104">
        <f>'BS - Monthly'!T28-'BS - Monthly'!S28</f>
        <v>-61207.039999999979</v>
      </c>
      <c r="T15" s="104">
        <f>'BS - Monthly'!U28-'BS - Monthly'!T28</f>
        <v>20581.079999999987</v>
      </c>
      <c r="U15" s="104">
        <f>'BS - Monthly'!V28-'BS - Monthly'!U28</f>
        <v>-93683.19</v>
      </c>
      <c r="V15" s="104">
        <f>'BS - Monthly'!W28-'BS - Monthly'!V28</f>
        <v>-23055.190000000002</v>
      </c>
      <c r="W15" s="104">
        <f>'BS - Monthly'!X28-'BS - Monthly'!W28</f>
        <v>102433.76000000001</v>
      </c>
      <c r="X15" s="104">
        <f>'BS - Monthly'!Y28-'BS - Monthly'!X28</f>
        <v>11604.320000000007</v>
      </c>
      <c r="Y15" s="104">
        <f>'BS - Monthly'!Z28-'BS - Monthly'!Y28</f>
        <v>33118.429999999993</v>
      </c>
      <c r="Z15" s="104">
        <f>'BS - Monthly'!AA28-'BS - Monthly'!Z28</f>
        <v>-89216.800000000017</v>
      </c>
      <c r="AA15" s="104">
        <f>'BS - Monthly'!AB28-'BS - Monthly'!AA28</f>
        <v>67041.870000000024</v>
      </c>
      <c r="AB15" s="104">
        <f>'BS - Monthly'!AC28-'BS - Monthly'!AB28</f>
        <v>105397.34999999998</v>
      </c>
      <c r="AC15" s="104">
        <f>'BS - Monthly'!AD28-'BS - Monthly'!AC28</f>
        <v>-50279.32648435625</v>
      </c>
      <c r="AD15" s="104">
        <f>'BS - Monthly'!AE28-'BS - Monthly'!AD28</f>
        <v>14436.134993009851</v>
      </c>
      <c r="AE15" s="104">
        <f>'BS - Monthly'!AF28-'BS - Monthly'!AE28</f>
        <v>54053.039575114206</v>
      </c>
      <c r="AF15" s="104">
        <f>'BS - Monthly'!AG28-'BS - Monthly'!AF28</f>
        <v>37841.641859076684</v>
      </c>
      <c r="AG15" s="104">
        <f>'BS - Monthly'!AH28-'BS - Monthly'!AG28</f>
        <v>-8177.3099276640569</v>
      </c>
      <c r="AH15" s="104">
        <f>'BS - Monthly'!AI28-'BS - Monthly'!AH28</f>
        <v>8289.4567516231909</v>
      </c>
      <c r="AI15" s="104">
        <f>'BS - Monthly'!AJ28-'BS - Monthly'!AI28</f>
        <v>134.4679740620777</v>
      </c>
      <c r="AJ15" s="104">
        <f>'BS - Monthly'!AK28-'BS - Monthly'!AJ28</f>
        <v>-33549.476261877222</v>
      </c>
      <c r="AK15" s="104">
        <f>'BS - Monthly'!AL28-'BS - Monthly'!AK28</f>
        <v>46657.485507176956</v>
      </c>
      <c r="AL15" s="104">
        <f>'BS - Monthly'!AM28-'BS - Monthly'!AL28</f>
        <v>26430.893991562829</v>
      </c>
      <c r="AM15" s="104">
        <f>'BS - Monthly'!AN28-'BS - Monthly'!AM28</f>
        <v>-45952.399737830798</v>
      </c>
      <c r="AN15" s="104">
        <f>'BS - Monthly'!AO28-'BS - Monthly'!AN28</f>
        <v>209849.51330576965</v>
      </c>
      <c r="AO15" s="104">
        <f>'BS - Monthly'!AP28-'BS - Monthly'!AO28</f>
        <v>-187667.91778764862</v>
      </c>
      <c r="AP15" s="104">
        <f>'BS - Monthly'!AQ28-'BS - Monthly'!AP28</f>
        <v>19792.108420788543</v>
      </c>
      <c r="AQ15" s="104">
        <f>'BS - Monthly'!AR28-'BS - Monthly'!AQ28</f>
        <v>10119.457546499558</v>
      </c>
      <c r="AR15" s="104">
        <f>'BS - Monthly'!AS28-'BS - Monthly'!AR28</f>
        <v>7947.7334074089304</v>
      </c>
      <c r="AS15" s="104">
        <f>'BS - Monthly'!AT28-'BS - Monthly'!AS28</f>
        <v>6371.5058575191651</v>
      </c>
      <c r="AT15" s="104">
        <f>'BS - Monthly'!AU28-'BS - Monthly'!AT28</f>
        <v>7253.0265737841837</v>
      </c>
      <c r="AU15" s="104">
        <f>'BS - Monthly'!AV28-'BS - Monthly'!AU28</f>
        <v>6504.4830798809999</v>
      </c>
      <c r="AV15" s="104">
        <f>'BS - Monthly'!AW28-'BS - Monthly'!AV28</f>
        <v>5815.2142685133731</v>
      </c>
      <c r="AW15" s="104">
        <f>'BS - Monthly'!AX28-'BS - Monthly'!AW28</f>
        <v>7762.8310880674981</v>
      </c>
      <c r="AX15" s="104">
        <f>'BS - Monthly'!AY28-'BS - Monthly'!AX28</f>
        <v>7077.5752544199931</v>
      </c>
      <c r="AY15" s="104">
        <f>'BS - Monthly'!AZ28-'BS - Monthly'!AY28</f>
        <v>5955.4595646825619</v>
      </c>
      <c r="AZ15" s="104">
        <f>'BS - Monthly'!BA28-'BS - Monthly'!AZ28</f>
        <v>246450.42302146141</v>
      </c>
      <c r="BA15" s="104">
        <f>'BS - Monthly'!BB28-'BS - Monthly'!BA28</f>
        <v>-485158.45456803939</v>
      </c>
      <c r="BB15" s="104">
        <f>'BS - Monthly'!BC28-'BS - Monthly'!BB28</f>
        <v>2595.9372580389027</v>
      </c>
      <c r="BC15" s="104">
        <f>'BS - Monthly'!BD28-'BS - Monthly'!BC28</f>
        <v>79.510072090430185</v>
      </c>
      <c r="BD15" s="104">
        <f>'BS - Monthly'!BE28-'BS - Monthly'!BD28</f>
        <v>-27.546544727694709</v>
      </c>
      <c r="BE15" s="104">
        <f>'BS - Monthly'!BF28-'BS - Monthly'!BE28</f>
        <v>-40.029302239388926</v>
      </c>
      <c r="BF15" s="104">
        <f>'BS - Monthly'!BG28-'BS - Monthly'!BF28</f>
        <v>7.1582313066755887</v>
      </c>
      <c r="BG15" s="104">
        <f>'BS - Monthly'!BH28-'BS - Monthly'!BG28</f>
        <v>-33.740683742857073</v>
      </c>
      <c r="BH15" s="104">
        <f>'BS - Monthly'!BI28-'BS - Monthly'!BH28</f>
        <v>-14.84192790358793</v>
      </c>
      <c r="BI15" s="104">
        <f>'BS - Monthly'!BJ28-'BS - Monthly'!BI28</f>
        <v>85.273515850945842</v>
      </c>
      <c r="BJ15" s="104">
        <f>'BS - Monthly'!BK28-'BS - Monthly'!BJ28</f>
        <v>51.028816412610468</v>
      </c>
      <c r="BK15" s="104">
        <f>'BS - Monthly'!BL28-'BS - Monthly'!BK28</f>
        <v>32.558880428521661</v>
      </c>
      <c r="BL15" s="104">
        <f>'BS - Monthly'!BM28-'BS - Monthly'!BL28</f>
        <v>245375.57823864382</v>
      </c>
      <c r="BM15" s="104">
        <f>'BS - Monthly'!BN28-'BS - Monthly'!BM28</f>
        <v>-304781.47075895686</v>
      </c>
      <c r="BN15" s="104">
        <f>'BS - Monthly'!BO28-'BS - Monthly'!BN28</f>
        <v>2554.5645422808593</v>
      </c>
      <c r="BO15" s="104">
        <f>'BS - Monthly'!BP28-'BS - Monthly'!BO28</f>
        <v>34.971355772897368</v>
      </c>
      <c r="BP15" s="104">
        <f>'BS - Monthly'!BQ28-'BS - Monthly'!BP28</f>
        <v>31.331826383830048</v>
      </c>
      <c r="BQ15" s="104">
        <f>'BS - Monthly'!BR28-'BS - Monthly'!BQ28</f>
        <v>36.310777872888139</v>
      </c>
      <c r="BR15" s="104">
        <f>'BS - Monthly'!BS28-'BS - Monthly'!BR28</f>
        <v>42.746832447854104</v>
      </c>
      <c r="BS15" s="104">
        <f>'BS - Monthly'!BT28-'BS - Monthly'!BS28</f>
        <v>45.785267153114546</v>
      </c>
      <c r="BT15" s="104">
        <f>'BS - Monthly'!BU28-'BS - Monthly'!BT28</f>
        <v>52.484542067919392</v>
      </c>
      <c r="BU15" s="104">
        <f>'BS - Monthly'!BV28-'BS - Monthly'!BU28</f>
        <v>58.168035739450715</v>
      </c>
      <c r="BV15" s="104">
        <f>'BS - Monthly'!BW28-'BS - Monthly'!BV28</f>
        <v>55.979287714231759</v>
      </c>
    </row>
    <row r="16" spans="1:74" outlineLevel="1" x14ac:dyDescent="0.25">
      <c r="B16" s="27" t="s">
        <v>123</v>
      </c>
      <c r="E16" s="104">
        <v>-32917.220000000205</v>
      </c>
      <c r="F16" s="104">
        <f>'BS - Monthly'!G30-'BS - Monthly'!F30</f>
        <v>28604.300000000279</v>
      </c>
      <c r="G16" s="104">
        <f>'BS - Monthly'!H30-'BS - Monthly'!G30</f>
        <v>28438.80999999959</v>
      </c>
      <c r="H16" s="104">
        <f>'BS - Monthly'!I30-'BS - Monthly'!H30</f>
        <v>151368.98000000045</v>
      </c>
      <c r="I16" s="104">
        <f>'BS - Monthly'!J30-'BS - Monthly'!I30</f>
        <v>-233308.14000000013</v>
      </c>
      <c r="J16" s="104">
        <f>'BS - Monthly'!K30-'BS - Monthly'!J30</f>
        <v>77076.410000000149</v>
      </c>
      <c r="K16" s="104">
        <f>'BS - Monthly'!L30-'BS - Monthly'!K30</f>
        <v>2506.4499999997206</v>
      </c>
      <c r="L16" s="104">
        <f>'BS - Monthly'!M30-'BS - Monthly'!L30</f>
        <v>-121.83000000007451</v>
      </c>
      <c r="M16" s="104">
        <f>'BS - Monthly'!N30-'BS - Monthly'!M30</f>
        <v>105910.20999999996</v>
      </c>
      <c r="N16" s="104">
        <f>'BS - Monthly'!O30-'BS - Monthly'!N30</f>
        <v>-74146.109999999404</v>
      </c>
      <c r="O16" s="104">
        <f>'BS - Monthly'!P30-'BS - Monthly'!O30</f>
        <v>-124429.28000000026</v>
      </c>
      <c r="P16" s="104">
        <f>'BS - Monthly'!Q30-'BS - Monthly'!P30</f>
        <v>633638.62000000011</v>
      </c>
      <c r="Q16" s="104">
        <f>'BS - Monthly'!R30-'BS - Monthly'!Q30</f>
        <v>3212.7099999999627</v>
      </c>
      <c r="R16" s="104">
        <f>'BS - Monthly'!S30-'BS - Monthly'!R30</f>
        <v>38650.529999999795</v>
      </c>
      <c r="S16" s="104">
        <f>'BS - Monthly'!T30-'BS - Monthly'!S30</f>
        <v>334265.90000000037</v>
      </c>
      <c r="T16" s="104">
        <f>'BS - Monthly'!U30-'BS - Monthly'!T30</f>
        <v>150465.85000000009</v>
      </c>
      <c r="U16" s="104">
        <f>'BS - Monthly'!V30-'BS - Monthly'!U30</f>
        <v>-8601.9000000003725</v>
      </c>
      <c r="V16" s="104">
        <f>'BS - Monthly'!W30-'BS - Monthly'!V30</f>
        <v>181821.89999999991</v>
      </c>
      <c r="W16" s="104">
        <f>'BS - Monthly'!X30-'BS - Monthly'!W30</f>
        <v>220578.15999999968</v>
      </c>
      <c r="X16" s="104">
        <f>'BS - Monthly'!Y30-'BS - Monthly'!X30</f>
        <v>-321780.12999999942</v>
      </c>
      <c r="Y16" s="104">
        <f>'BS - Monthly'!Z30-'BS - Monthly'!Y30</f>
        <v>215734.88999999966</v>
      </c>
      <c r="Z16" s="104">
        <f>'BS - Monthly'!AA30-'BS - Monthly'!Z30</f>
        <v>139894.14000000013</v>
      </c>
      <c r="AA16" s="104">
        <f>'BS - Monthly'!AB30-'BS - Monthly'!AA30</f>
        <v>-74580.010000000242</v>
      </c>
      <c r="AB16" s="104">
        <f>'BS - Monthly'!AC30-'BS - Monthly'!AB30</f>
        <v>-399027.16999999946</v>
      </c>
      <c r="AC16" s="104">
        <f>'BS - Monthly'!AD30-'BS - Monthly'!AC30</f>
        <v>0</v>
      </c>
      <c r="AD16" s="104">
        <f>'BS - Monthly'!AE30-'BS - Monthly'!AD30</f>
        <v>0</v>
      </c>
      <c r="AE16" s="104">
        <f>'BS - Monthly'!AF30-'BS - Monthly'!AE30</f>
        <v>0</v>
      </c>
      <c r="AF16" s="104">
        <f>'BS - Monthly'!AG30-'BS - Monthly'!AF30</f>
        <v>0</v>
      </c>
      <c r="AG16" s="104">
        <f>'BS - Monthly'!AH30-'BS - Monthly'!AG30</f>
        <v>0</v>
      </c>
      <c r="AH16" s="104">
        <f>'BS - Monthly'!AI30-'BS - Monthly'!AH30</f>
        <v>0</v>
      </c>
      <c r="AI16" s="104">
        <f>'BS - Monthly'!AJ30-'BS - Monthly'!AI30</f>
        <v>0</v>
      </c>
      <c r="AJ16" s="104">
        <f>'BS - Monthly'!AK30-'BS - Monthly'!AJ30</f>
        <v>0</v>
      </c>
      <c r="AK16" s="104">
        <f>'BS - Monthly'!AL30-'BS - Monthly'!AK30</f>
        <v>0</v>
      </c>
      <c r="AL16" s="104">
        <f>'BS - Monthly'!AM30-'BS - Monthly'!AL30</f>
        <v>0</v>
      </c>
      <c r="AM16" s="104">
        <f>'BS - Monthly'!AN30-'BS - Monthly'!AM30</f>
        <v>0</v>
      </c>
      <c r="AN16" s="104">
        <f>'BS - Monthly'!AO30-'BS - Monthly'!AN30</f>
        <v>0</v>
      </c>
      <c r="AO16" s="104">
        <f>'BS - Monthly'!AP30-'BS - Monthly'!AO30</f>
        <v>0</v>
      </c>
      <c r="AP16" s="104">
        <f>'BS - Monthly'!AQ30-'BS - Monthly'!AP30</f>
        <v>0</v>
      </c>
      <c r="AQ16" s="104">
        <f>'BS - Monthly'!AR30-'BS - Monthly'!AQ30</f>
        <v>0</v>
      </c>
      <c r="AR16" s="104">
        <f>'BS - Monthly'!AS30-'BS - Monthly'!AR30</f>
        <v>0</v>
      </c>
      <c r="AS16" s="104">
        <f>'BS - Monthly'!AT30-'BS - Monthly'!AS30</f>
        <v>0</v>
      </c>
      <c r="AT16" s="104">
        <f>'BS - Monthly'!AU30-'BS - Monthly'!AT30</f>
        <v>0</v>
      </c>
      <c r="AU16" s="104">
        <f>'BS - Monthly'!AV30-'BS - Monthly'!AU30</f>
        <v>0</v>
      </c>
      <c r="AV16" s="104">
        <f>'BS - Monthly'!AW30-'BS - Monthly'!AV30</f>
        <v>0</v>
      </c>
      <c r="AW16" s="104">
        <f>'BS - Monthly'!AX30-'BS - Monthly'!AW30</f>
        <v>0</v>
      </c>
      <c r="AX16" s="104">
        <f>'BS - Monthly'!AY30-'BS - Monthly'!AX30</f>
        <v>0</v>
      </c>
      <c r="AY16" s="104">
        <f>'BS - Monthly'!AZ30-'BS - Monthly'!AY30</f>
        <v>0</v>
      </c>
      <c r="AZ16" s="104">
        <f>'BS - Monthly'!BA30-'BS - Monthly'!AZ30</f>
        <v>0</v>
      </c>
      <c r="BA16" s="104">
        <f>'BS - Monthly'!BB30-'BS - Monthly'!BA30</f>
        <v>0</v>
      </c>
      <c r="BB16" s="104">
        <f>'BS - Monthly'!BC30-'BS - Monthly'!BB30</f>
        <v>0</v>
      </c>
      <c r="BC16" s="104">
        <f>'BS - Monthly'!BD30-'BS - Monthly'!BC30</f>
        <v>0</v>
      </c>
      <c r="BD16" s="104">
        <f>'BS - Monthly'!BE30-'BS - Monthly'!BD30</f>
        <v>0</v>
      </c>
      <c r="BE16" s="104">
        <f>'BS - Monthly'!BF30-'BS - Monthly'!BE30</f>
        <v>0</v>
      </c>
      <c r="BF16" s="104">
        <f>'BS - Monthly'!BG30-'BS - Monthly'!BF30</f>
        <v>0</v>
      </c>
      <c r="BG16" s="104">
        <f>'BS - Monthly'!BH30-'BS - Monthly'!BG30</f>
        <v>0</v>
      </c>
      <c r="BH16" s="104">
        <f>'BS - Monthly'!BI30-'BS - Monthly'!BH30</f>
        <v>0</v>
      </c>
      <c r="BI16" s="104">
        <f>'BS - Monthly'!BJ30-'BS - Monthly'!BI30</f>
        <v>0</v>
      </c>
      <c r="BJ16" s="104">
        <f>'BS - Monthly'!BK30-'BS - Monthly'!BJ30</f>
        <v>0</v>
      </c>
      <c r="BK16" s="104">
        <f>'BS - Monthly'!BL30-'BS - Monthly'!BK30</f>
        <v>0</v>
      </c>
      <c r="BL16" s="104">
        <f>'BS - Monthly'!BM30-'BS - Monthly'!BL30</f>
        <v>0</v>
      </c>
      <c r="BM16" s="104">
        <f>'BS - Monthly'!BN30-'BS - Monthly'!BM30</f>
        <v>0</v>
      </c>
      <c r="BN16" s="104">
        <f>'BS - Monthly'!BO30-'BS - Monthly'!BN30</f>
        <v>0</v>
      </c>
      <c r="BO16" s="104">
        <f>'BS - Monthly'!BP30-'BS - Monthly'!BO30</f>
        <v>0</v>
      </c>
      <c r="BP16" s="104">
        <f>'BS - Monthly'!BQ30-'BS - Monthly'!BP30</f>
        <v>0</v>
      </c>
      <c r="BQ16" s="104">
        <f>'BS - Monthly'!BR30-'BS - Monthly'!BQ30</f>
        <v>0</v>
      </c>
      <c r="BR16" s="104">
        <f>'BS - Monthly'!BS30-'BS - Monthly'!BR30</f>
        <v>0</v>
      </c>
      <c r="BS16" s="104">
        <f>'BS - Monthly'!BT30-'BS - Monthly'!BS30</f>
        <v>0</v>
      </c>
      <c r="BT16" s="104">
        <f>'BS - Monthly'!BU30-'BS - Monthly'!BT30</f>
        <v>0</v>
      </c>
      <c r="BU16" s="104">
        <f>'BS - Monthly'!BV30-'BS - Monthly'!BU30</f>
        <v>0</v>
      </c>
      <c r="BV16" s="104">
        <f>'BS - Monthly'!BW30-'BS - Monthly'!BV30</f>
        <v>0</v>
      </c>
    </row>
    <row r="17" spans="1:74" outlineLevel="1" x14ac:dyDescent="0.25">
      <c r="B17" s="27" t="s">
        <v>511</v>
      </c>
      <c r="E17" s="104">
        <v>3267</v>
      </c>
      <c r="F17" s="104">
        <f>'BS - Monthly'!G29-'BS - Monthly'!F29</f>
        <v>-39627.926154995803</v>
      </c>
      <c r="G17" s="104">
        <f>'BS - Monthly'!H29-'BS - Monthly'!G29</f>
        <v>-52804.853403652553</v>
      </c>
      <c r="H17" s="104">
        <f>'BS - Monthly'!I29-'BS - Monthly'!H29</f>
        <v>944684.16488395818</v>
      </c>
      <c r="I17" s="104">
        <f>'BS - Monthly'!J29-'BS - Monthly'!I29</f>
        <v>261872.11793955741</v>
      </c>
      <c r="J17" s="104">
        <f>'BS - Monthly'!K29-'BS - Monthly'!J29</f>
        <v>-68331.482333957218</v>
      </c>
      <c r="K17" s="104">
        <f>'BS - Monthly'!L29-'BS - Monthly'!K29</f>
        <v>7151.9984193956479</v>
      </c>
      <c r="L17" s="104">
        <f>'BS - Monthly'!M29-'BS - Monthly'!L29</f>
        <v>-46952.607920540497</v>
      </c>
      <c r="M17" s="104">
        <f>'BS - Monthly'!N29-'BS - Monthly'!M29</f>
        <v>-45598.97660571197</v>
      </c>
      <c r="N17" s="104">
        <f>'BS - Monthly'!O29-'BS - Monthly'!N29</f>
        <v>196722.53459470021</v>
      </c>
      <c r="O17" s="104">
        <f>'BS - Monthly'!P29-'BS - Monthly'!O29</f>
        <v>-218619.43135093572</v>
      </c>
      <c r="P17" s="104">
        <f>'BS - Monthly'!Q29-'BS - Monthly'!P29</f>
        <v>-1279544.849182202</v>
      </c>
      <c r="Q17" s="104">
        <f>'BS - Monthly'!R29-'BS - Monthly'!Q29</f>
        <v>980607.96</v>
      </c>
      <c r="R17" s="104">
        <f>'BS - Monthly'!S29-'BS - Monthly'!R29</f>
        <v>-324311.5</v>
      </c>
      <c r="S17" s="104">
        <f>'BS - Monthly'!T29-'BS - Monthly'!S29</f>
        <v>-164301.05000000028</v>
      </c>
      <c r="T17" s="104">
        <f>'BS - Monthly'!U29-'BS - Monthly'!T29</f>
        <v>-170999.50999999978</v>
      </c>
      <c r="U17" s="104">
        <f>'BS - Monthly'!V29-'BS - Monthly'!U29</f>
        <v>-57210.319999999832</v>
      </c>
      <c r="V17" s="104">
        <f>'BS - Monthly'!W29-'BS - Monthly'!V29</f>
        <v>109973.32999999961</v>
      </c>
      <c r="W17" s="104">
        <f>'BS - Monthly'!X29-'BS - Monthly'!W29</f>
        <v>-171332.72999999998</v>
      </c>
      <c r="X17" s="104">
        <f>'BS - Monthly'!Y29-'BS - Monthly'!X29</f>
        <v>38886.150000000373</v>
      </c>
      <c r="Y17" s="104">
        <f>'BS - Monthly'!Z29-'BS - Monthly'!Y29</f>
        <v>351273.61999999965</v>
      </c>
      <c r="Z17" s="104">
        <f>'BS - Monthly'!AA29-'BS - Monthly'!Z29</f>
        <v>-312334.6799999997</v>
      </c>
      <c r="AA17" s="104">
        <f>'BS - Monthly'!AB29-'BS - Monthly'!AA29</f>
        <v>-64097.090000000317</v>
      </c>
      <c r="AB17" s="104">
        <f>'BS - Monthly'!AC29-'BS - Monthly'!AB29</f>
        <v>-15672.80999999959</v>
      </c>
      <c r="AC17" s="104">
        <f>'BS - Monthly'!AD29-'BS - Monthly'!AC29</f>
        <v>315735.46597009478</v>
      </c>
      <c r="AD17" s="104">
        <f>'BS - Monthly'!AE29-'BS - Monthly'!AD29</f>
        <v>9437.7139817602001</v>
      </c>
      <c r="AE17" s="104">
        <f>'BS - Monthly'!AF29-'BS - Monthly'!AE29</f>
        <v>3330.7610141965561</v>
      </c>
      <c r="AF17" s="104">
        <f>'BS - Monthly'!AG29-'BS - Monthly'!AF29</f>
        <v>13581.84822829254</v>
      </c>
      <c r="AG17" s="104">
        <f>'BS - Monthly'!AH29-'BS - Monthly'!AG29</f>
        <v>13645.270925096702</v>
      </c>
      <c r="AH17" s="104">
        <f>'BS - Monthly'!AI29-'BS - Monthly'!AH29</f>
        <v>12763.698534361087</v>
      </c>
      <c r="AI17" s="104">
        <f>'BS - Monthly'!AJ29-'BS - Monthly'!AI29</f>
        <v>-3520.5350645729341</v>
      </c>
      <c r="AJ17" s="104">
        <f>'BS - Monthly'!AK29-'BS - Monthly'!AJ29</f>
        <v>8897.0712186382152</v>
      </c>
      <c r="AK17" s="104">
        <f>'BS - Monthly'!AL29-'BS - Monthly'!AK29</f>
        <v>35099.533125220332</v>
      </c>
      <c r="AL17" s="104">
        <f>'BS - Monthly'!AM29-'BS - Monthly'!AL29</f>
        <v>14129.919597070199</v>
      </c>
      <c r="AM17" s="104">
        <f>'BS - Monthly'!AN29-'BS - Monthly'!AM29</f>
        <v>-8373.392394523602</v>
      </c>
      <c r="AN17" s="104">
        <f>'BS - Monthly'!AO29-'BS - Monthly'!AN29</f>
        <v>742.06144821224734</v>
      </c>
      <c r="AO17" s="104">
        <f>'BS - Monthly'!AP29-'BS - Monthly'!AO29</f>
        <v>37069.232570753433</v>
      </c>
      <c r="AP17" s="104">
        <f>'BS - Monthly'!AQ29-'BS - Monthly'!AP29</f>
        <v>14262.052787480876</v>
      </c>
      <c r="AQ17" s="104">
        <f>'BS - Monthly'!AR29-'BS - Monthly'!AQ29</f>
        <v>14874.137007782236</v>
      </c>
      <c r="AR17" s="104">
        <f>'BS - Monthly'!AS29-'BS - Monthly'!AR29</f>
        <v>14255.273942156695</v>
      </c>
      <c r="AS17" s="104">
        <f>'BS - Monthly'!AT29-'BS - Monthly'!AS29</f>
        <v>13690.664927167818</v>
      </c>
      <c r="AT17" s="104">
        <f>'BS - Monthly'!AU29-'BS - Monthly'!AT29</f>
        <v>13543.158216487616</v>
      </c>
      <c r="AU17" s="104">
        <f>'BS - Monthly'!AV29-'BS - Monthly'!AU29</f>
        <v>13550.764869576786</v>
      </c>
      <c r="AV17" s="104">
        <f>'BS - Monthly'!AW29-'BS - Monthly'!AV29</f>
        <v>13719.099861079361</v>
      </c>
      <c r="AW17" s="104">
        <f>'BS - Monthly'!AX29-'BS - Monthly'!AW29</f>
        <v>13885.799323558807</v>
      </c>
      <c r="AX17" s="104">
        <f>'BS - Monthly'!AY29-'BS - Monthly'!AX29</f>
        <v>13578.976666666567</v>
      </c>
      <c r="AY17" s="104">
        <f>'BS - Monthly'!AZ29-'BS - Monthly'!AY29</f>
        <v>13579.833809523378</v>
      </c>
      <c r="AZ17" s="104">
        <f>'BS - Monthly'!BA29-'BS - Monthly'!AZ29</f>
        <v>13580.690952381119</v>
      </c>
      <c r="BA17" s="104">
        <f>'BS - Monthly'!BB29-'BS - Monthly'!BA29</f>
        <v>-434082.81878284365</v>
      </c>
      <c r="BB17" s="104">
        <f>'BS - Monthly'!BC29-'BS - Monthly'!BB29</f>
        <v>14.380952381063253</v>
      </c>
      <c r="BC17" s="104">
        <f>'BS - Monthly'!BD29-'BS - Monthly'!BC29</f>
        <v>15.380952381063253</v>
      </c>
      <c r="BD17" s="104">
        <f>'BS - Monthly'!BE29-'BS - Monthly'!BD29</f>
        <v>16.380952381063253</v>
      </c>
      <c r="BE17" s="104">
        <f>'BS - Monthly'!BF29-'BS - Monthly'!BE29</f>
        <v>17.380952381063253</v>
      </c>
      <c r="BF17" s="104">
        <f>'BS - Monthly'!BG29-'BS - Monthly'!BF29</f>
        <v>18.380952381063253</v>
      </c>
      <c r="BG17" s="104">
        <f>'BS - Monthly'!BH29-'BS - Monthly'!BG29</f>
        <v>19.380952381063253</v>
      </c>
      <c r="BH17" s="104">
        <f>'BS - Monthly'!BI29-'BS - Monthly'!BH29</f>
        <v>20.380952381063253</v>
      </c>
      <c r="BI17" s="104">
        <f>'BS - Monthly'!BJ29-'BS - Monthly'!BI29</f>
        <v>21.380952381063253</v>
      </c>
      <c r="BJ17" s="104">
        <f>'BS - Monthly'!BK29-'BS - Monthly'!BJ29</f>
        <v>22.380952381063253</v>
      </c>
      <c r="BK17" s="104">
        <f>'BS - Monthly'!BL29-'BS - Monthly'!BK29</f>
        <v>23.380952381063253</v>
      </c>
      <c r="BL17" s="104">
        <f>'BS - Monthly'!BM29-'BS - Monthly'!BL29</f>
        <v>24.380952381063253</v>
      </c>
      <c r="BM17" s="104">
        <f>'BS - Monthly'!BN29-'BS - Monthly'!BM29</f>
        <v>25.380952381063253</v>
      </c>
      <c r="BN17" s="104">
        <f>'BS - Monthly'!BO29-'BS - Monthly'!BN29</f>
        <v>26.380952381063253</v>
      </c>
      <c r="BO17" s="104">
        <f>'BS - Monthly'!BP29-'BS - Monthly'!BO29</f>
        <v>27.380952381063253</v>
      </c>
      <c r="BP17" s="104">
        <f>'BS - Monthly'!BQ29-'BS - Monthly'!BP29</f>
        <v>28.380952381063253</v>
      </c>
      <c r="BQ17" s="104">
        <f>'BS - Monthly'!BR29-'BS - Monthly'!BQ29</f>
        <v>29.380952381063253</v>
      </c>
      <c r="BR17" s="104">
        <f>'BS - Monthly'!BS29-'BS - Monthly'!BR29</f>
        <v>30.380952381063253</v>
      </c>
      <c r="BS17" s="104">
        <f>'BS - Monthly'!BT29-'BS - Monthly'!BS29</f>
        <v>31.380952381063253</v>
      </c>
      <c r="BT17" s="104">
        <f>'BS - Monthly'!BU29-'BS - Monthly'!BT29</f>
        <v>32.380952381063253</v>
      </c>
      <c r="BU17" s="104">
        <f>'BS - Monthly'!BV29-'BS - Monthly'!BU29</f>
        <v>33.380952381063253</v>
      </c>
      <c r="BV17" s="104">
        <f>'BS - Monthly'!BW29-'BS - Monthly'!BV29</f>
        <v>34.380952381063253</v>
      </c>
    </row>
    <row r="18" spans="1:74" outlineLevel="1" x14ac:dyDescent="0.25">
      <c r="B18" s="27" t="s">
        <v>720</v>
      </c>
      <c r="E18" s="104"/>
      <c r="F18" s="104">
        <v>0</v>
      </c>
      <c r="G18" s="104"/>
      <c r="H18" s="104"/>
      <c r="I18" s="104"/>
      <c r="J18" s="104"/>
      <c r="K18" s="104"/>
      <c r="L18" s="104"/>
      <c r="M18" s="104"/>
      <c r="N18" s="104"/>
      <c r="O18" s="104"/>
      <c r="P18" s="104">
        <v>-673458</v>
      </c>
      <c r="Q18" s="104"/>
      <c r="R18" s="104">
        <f>+'BS - Monthly'!S48-'BS - Monthly'!R48</f>
        <v>0</v>
      </c>
      <c r="S18" s="104">
        <f>+'BS - Monthly'!T48-'BS - Monthly'!S48</f>
        <v>0</v>
      </c>
      <c r="T18" s="104">
        <f>+'BS - Monthly'!U48-'BS - Monthly'!T48</f>
        <v>0</v>
      </c>
      <c r="U18" s="104">
        <f>+'BS - Monthly'!V48-'BS - Monthly'!U48</f>
        <v>0</v>
      </c>
      <c r="V18" s="104"/>
      <c r="W18" s="104"/>
      <c r="X18" s="104">
        <f>+'BS - Monthly'!Y48-'BS - Monthly'!X48</f>
        <v>0</v>
      </c>
      <c r="Y18" s="104"/>
      <c r="Z18" s="104"/>
      <c r="AA18" s="104"/>
      <c r="AB18" s="104"/>
      <c r="AC18" s="104"/>
      <c r="AD18" s="104"/>
      <c r="AE18" s="104"/>
      <c r="AF18" s="104"/>
      <c r="AG18" s="104"/>
      <c r="AH18" s="104"/>
      <c r="AI18" s="104"/>
      <c r="AJ18" s="104"/>
      <c r="AK18" s="104"/>
      <c r="AL18" s="104"/>
      <c r="AM18" s="104"/>
      <c r="AN18" s="104"/>
      <c r="AO18" s="104"/>
      <c r="AP18" s="104"/>
      <c r="AQ18" s="104"/>
      <c r="AR18" s="104"/>
      <c r="AS18" s="104"/>
      <c r="AT18" s="104"/>
      <c r="AU18" s="104"/>
      <c r="AV18" s="104"/>
      <c r="AW18" s="104"/>
      <c r="AX18" s="104"/>
      <c r="AY18" s="104"/>
      <c r="AZ18" s="104"/>
      <c r="BA18" s="104"/>
      <c r="BB18" s="104"/>
      <c r="BC18" s="104"/>
      <c r="BD18" s="104"/>
      <c r="BE18" s="104"/>
      <c r="BF18" s="104"/>
      <c r="BG18" s="104"/>
      <c r="BH18" s="104"/>
      <c r="BI18" s="104"/>
      <c r="BJ18" s="104"/>
      <c r="BK18" s="104"/>
      <c r="BL18" s="104"/>
      <c r="BM18" s="104"/>
      <c r="BN18" s="104"/>
      <c r="BO18" s="104"/>
      <c r="BP18" s="104"/>
      <c r="BQ18" s="104"/>
      <c r="BR18" s="104"/>
      <c r="BS18" s="104"/>
      <c r="BT18" s="104"/>
      <c r="BU18" s="104"/>
      <c r="BV18" s="104"/>
    </row>
    <row r="19" spans="1:74" ht="13" outlineLevel="1" x14ac:dyDescent="0.3">
      <c r="A19" s="23" t="s">
        <v>176</v>
      </c>
      <c r="E19" s="113">
        <f>SUM(E13:E17)+SUM(E9:E11)</f>
        <v>590198.47645420663</v>
      </c>
      <c r="F19" s="113">
        <f>SUM(F13:F17)+SUM(F9:F11)</f>
        <v>378827.34330672678</v>
      </c>
      <c r="G19" s="113">
        <f>SUM(G13:G17)+SUM(G9:G11)</f>
        <v>459553.04682416498</v>
      </c>
      <c r="H19" s="113">
        <f t="shared" ref="H19:AN19" si="0">SUM(H13:H17)+SUM(H9:H11)</f>
        <v>685505.90033933788</v>
      </c>
      <c r="I19" s="113">
        <f t="shared" si="0"/>
        <v>1084980.0509483616</v>
      </c>
      <c r="J19" s="113">
        <f t="shared" si="0"/>
        <v>242804.87683607501</v>
      </c>
      <c r="K19" s="113">
        <f t="shared" si="0"/>
        <v>472643.06338788336</v>
      </c>
      <c r="L19" s="113">
        <f t="shared" si="0"/>
        <v>96465.986108046214</v>
      </c>
      <c r="M19" s="113">
        <f t="shared" si="0"/>
        <v>592180.35257411213</v>
      </c>
      <c r="N19" s="113">
        <f t="shared" si="0"/>
        <v>452781.38943123032</v>
      </c>
      <c r="O19" s="113">
        <f t="shared" si="0"/>
        <v>428927.89262733271</v>
      </c>
      <c r="P19" s="113">
        <f>SUM(P13:P18)+SUM(P9:P11)</f>
        <v>-1936252.1181943291</v>
      </c>
      <c r="Q19" s="113">
        <f>SUM(Q13:Q18)+SUM(Q9:Q11)</f>
        <v>-67947.260000000271</v>
      </c>
      <c r="R19" s="113">
        <f>SUM(R13:R18)+SUM(R9:R11)</f>
        <v>123562.60999999984</v>
      </c>
      <c r="S19" s="113">
        <f>SUM(S13:S18)+SUM(S9:S11)</f>
        <v>1183044.58</v>
      </c>
      <c r="T19" s="113">
        <f t="shared" ref="T19:U19" si="1">SUM(T13:T18)+SUM(T9:T11)</f>
        <v>96642.010000000417</v>
      </c>
      <c r="U19" s="113">
        <f t="shared" si="1"/>
        <v>-55167.519999999888</v>
      </c>
      <c r="V19" s="113">
        <f t="shared" si="0"/>
        <v>56509.889999999694</v>
      </c>
      <c r="W19" s="113">
        <f t="shared" si="0"/>
        <v>-356454.99999999977</v>
      </c>
      <c r="X19" s="113">
        <f>SUM(X13:X18)+SUM(X9:X11)</f>
        <v>-786788.53999999864</v>
      </c>
      <c r="Y19" s="113">
        <f>SUM(Y13:Y18)+SUM(Y9:Y11)</f>
        <v>456595.48999999929</v>
      </c>
      <c r="Z19" s="113">
        <f t="shared" si="0"/>
        <v>-371366.04999999941</v>
      </c>
      <c r="AA19" s="113">
        <f t="shared" si="0"/>
        <v>-334563.22000000067</v>
      </c>
      <c r="AB19" s="113">
        <f t="shared" si="0"/>
        <v>-452052.5599999993</v>
      </c>
      <c r="AC19" s="113">
        <f t="shared" si="0"/>
        <v>651671.9979902138</v>
      </c>
      <c r="AD19" s="113">
        <f t="shared" si="0"/>
        <v>115277.69745888139</v>
      </c>
      <c r="AE19" s="113">
        <f t="shared" si="0"/>
        <v>-136858.08441408924</v>
      </c>
      <c r="AF19" s="113">
        <f t="shared" si="0"/>
        <v>-249772.71548225399</v>
      </c>
      <c r="AG19" s="113">
        <f t="shared" si="0"/>
        <v>-70264.688670052565</v>
      </c>
      <c r="AH19" s="113">
        <f t="shared" si="0"/>
        <v>53640.581086194579</v>
      </c>
      <c r="AI19" s="113">
        <f t="shared" si="0"/>
        <v>-79937.205275017099</v>
      </c>
      <c r="AJ19" s="113">
        <f t="shared" si="0"/>
        <v>215301.6838078571</v>
      </c>
      <c r="AK19" s="113">
        <f t="shared" si="0"/>
        <v>564043.46166330785</v>
      </c>
      <c r="AL19" s="113">
        <f t="shared" si="0"/>
        <v>544219.72808229516</v>
      </c>
      <c r="AM19" s="113">
        <f t="shared" si="0"/>
        <v>546512.61632225616</v>
      </c>
      <c r="AN19" s="113">
        <f t="shared" si="0"/>
        <v>-665739.36599158368</v>
      </c>
      <c r="AO19" s="113">
        <f t="shared" ref="AO19:AZ19" si="2">SUM(AO13:AO17)+SUM(AO9:AO11)</f>
        <v>770458.61583085137</v>
      </c>
      <c r="AP19" s="113">
        <f t="shared" si="2"/>
        <v>1025116.0483935454</v>
      </c>
      <c r="AQ19" s="113">
        <f t="shared" si="2"/>
        <v>1148778.3471119767</v>
      </c>
      <c r="AR19" s="113">
        <f t="shared" si="2"/>
        <v>1270638.8070144551</v>
      </c>
      <c r="AS19" s="113">
        <f t="shared" si="2"/>
        <v>1393337.5961687658</v>
      </c>
      <c r="AT19" s="113">
        <f t="shared" si="2"/>
        <v>1509890.1045812899</v>
      </c>
      <c r="AU19" s="113">
        <f t="shared" si="2"/>
        <v>1629914.2525873601</v>
      </c>
      <c r="AV19" s="113">
        <f t="shared" si="2"/>
        <v>1757788.3080012233</v>
      </c>
      <c r="AW19" s="113">
        <f t="shared" si="2"/>
        <v>1878186.0091230101</v>
      </c>
      <c r="AX19" s="113">
        <f t="shared" si="2"/>
        <v>1990081.9853113606</v>
      </c>
      <c r="AY19" s="113">
        <f t="shared" si="2"/>
        <v>2113860.8062326219</v>
      </c>
      <c r="AZ19" s="113">
        <f t="shared" si="2"/>
        <v>875959.61161053751</v>
      </c>
      <c r="BA19" s="113">
        <f t="shared" ref="BA19:BL19" si="3">SUM(BA13:BA17)+SUM(BA9:BA11)</f>
        <v>-2207246.8890577657</v>
      </c>
      <c r="BB19" s="113">
        <f t="shared" si="3"/>
        <v>-1784174.6995737804</v>
      </c>
      <c r="BC19" s="113">
        <f t="shared" si="3"/>
        <v>-1599724.03393647</v>
      </c>
      <c r="BD19" s="113">
        <f t="shared" si="3"/>
        <v>-1599111.4467504153</v>
      </c>
      <c r="BE19" s="113">
        <f t="shared" si="3"/>
        <v>-1599391.0661643527</v>
      </c>
      <c r="BF19" s="113">
        <f t="shared" si="3"/>
        <v>-1576203.6000014963</v>
      </c>
      <c r="BG19" s="113">
        <f t="shared" si="3"/>
        <v>-1576553.5596962816</v>
      </c>
      <c r="BH19" s="113">
        <f t="shared" si="3"/>
        <v>-1575899.7145830635</v>
      </c>
      <c r="BI19" s="113">
        <f t="shared" si="3"/>
        <v>-1576902.0879163367</v>
      </c>
      <c r="BJ19" s="113">
        <f t="shared" si="3"/>
        <v>-1576740.5245538375</v>
      </c>
      <c r="BK19" s="113">
        <f t="shared" si="3"/>
        <v>-1577510.0523640334</v>
      </c>
      <c r="BL19" s="113">
        <f t="shared" si="3"/>
        <v>-2967468.2210920886</v>
      </c>
      <c r="BM19" s="113">
        <f t="shared" ref="BM19:BS19" si="4">SUM(BM13:BM17)+SUM(BM9:BM11)</f>
        <v>-1486727.951622165</v>
      </c>
      <c r="BN19" s="113">
        <f t="shared" si="4"/>
        <v>-1195441.1918439446</v>
      </c>
      <c r="BO19" s="113">
        <f t="shared" si="4"/>
        <v>-1198727.9260736271</v>
      </c>
      <c r="BP19" s="113">
        <f t="shared" si="4"/>
        <v>-1198404.4442742201</v>
      </c>
      <c r="BQ19" s="113">
        <f t="shared" si="4"/>
        <v>-1199175.5358465719</v>
      </c>
      <c r="BR19" s="113">
        <f t="shared" si="4"/>
        <v>-1198918.0785036276</v>
      </c>
      <c r="BS19" s="113">
        <f t="shared" si="4"/>
        <v>-1199754.2738546317</v>
      </c>
      <c r="BT19" s="113">
        <f t="shared" ref="BT19:BV19" si="5">SUM(BT13:BT17)+SUM(BT9:BT11)</f>
        <v>-1200096.4707768362</v>
      </c>
      <c r="BU19" s="113">
        <f t="shared" si="5"/>
        <v>-1199942.5740167391</v>
      </c>
      <c r="BV19" s="113">
        <f t="shared" si="5"/>
        <v>-1200851.9566875477</v>
      </c>
    </row>
    <row r="20" spans="1:74" ht="6" customHeight="1" outlineLevel="2" x14ac:dyDescent="0.25">
      <c r="B20" s="119"/>
      <c r="E20" s="107"/>
      <c r="F20" s="107"/>
      <c r="G20" s="107"/>
      <c r="H20" s="107"/>
      <c r="I20" s="107"/>
      <c r="J20" s="107"/>
      <c r="K20" s="107"/>
      <c r="L20" s="198"/>
      <c r="M20" s="107"/>
      <c r="N20" s="107"/>
      <c r="O20" s="107"/>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c r="BE20" s="107"/>
      <c r="BF20" s="107"/>
      <c r="BG20" s="107"/>
      <c r="BH20" s="107"/>
      <c r="BI20" s="107"/>
      <c r="BJ20" s="107"/>
      <c r="BK20" s="107"/>
      <c r="BL20" s="107"/>
      <c r="BM20" s="107"/>
      <c r="BN20" s="107"/>
      <c r="BO20" s="107"/>
      <c r="BP20" s="107"/>
      <c r="BQ20" s="107"/>
      <c r="BR20" s="107"/>
      <c r="BS20" s="107"/>
      <c r="BT20" s="107"/>
      <c r="BU20" s="107"/>
      <c r="BV20" s="107"/>
    </row>
    <row r="21" spans="1:74" ht="13" outlineLevel="1" x14ac:dyDescent="0.3">
      <c r="A21" s="101" t="s">
        <v>124</v>
      </c>
      <c r="E21" s="104"/>
      <c r="F21" s="104"/>
      <c r="G21" s="104"/>
      <c r="H21" s="104"/>
      <c r="I21" s="104"/>
      <c r="J21" s="104"/>
      <c r="K21" s="104"/>
      <c r="L21" s="24"/>
      <c r="M21" s="104"/>
      <c r="N21" s="104"/>
      <c r="O21" s="104"/>
      <c r="P21" s="104"/>
      <c r="Q21" s="104"/>
      <c r="R21" s="104"/>
      <c r="S21" s="104"/>
      <c r="T21" s="104"/>
      <c r="U21" s="104"/>
      <c r="V21" s="104"/>
      <c r="W21" s="104"/>
      <c r="X21" s="104"/>
      <c r="Y21" s="104"/>
      <c r="Z21" s="104"/>
      <c r="AA21" s="104"/>
      <c r="AB21" s="104"/>
      <c r="AC21" s="104"/>
      <c r="AD21" s="104"/>
      <c r="AE21" s="104"/>
      <c r="AF21" s="104"/>
      <c r="AG21" s="104"/>
      <c r="AH21" s="104"/>
      <c r="AI21" s="104"/>
      <c r="AJ21" s="104"/>
      <c r="AK21" s="104"/>
      <c r="AL21" s="104"/>
      <c r="AM21" s="104"/>
      <c r="AN21" s="104"/>
      <c r="AO21" s="104"/>
      <c r="AP21" s="104"/>
      <c r="AQ21" s="104"/>
      <c r="AR21" s="104"/>
      <c r="AS21" s="104"/>
      <c r="AT21" s="104"/>
      <c r="AU21" s="104"/>
      <c r="AV21" s="104"/>
      <c r="AW21" s="104"/>
      <c r="AX21" s="104"/>
      <c r="AY21" s="104"/>
      <c r="AZ21" s="104"/>
      <c r="BA21" s="104"/>
      <c r="BB21" s="104"/>
      <c r="BC21" s="104"/>
      <c r="BD21" s="104"/>
      <c r="BE21" s="104"/>
      <c r="BF21" s="104"/>
      <c r="BG21" s="104"/>
      <c r="BH21" s="104"/>
      <c r="BI21" s="104"/>
      <c r="BJ21" s="104"/>
      <c r="BK21" s="104"/>
      <c r="BL21" s="104"/>
      <c r="BM21" s="104"/>
      <c r="BN21" s="104"/>
      <c r="BO21" s="104"/>
      <c r="BP21" s="104"/>
      <c r="BQ21" s="104"/>
      <c r="BR21" s="104"/>
      <c r="BS21" s="104"/>
      <c r="BT21" s="104"/>
      <c r="BU21" s="104"/>
      <c r="BV21" s="104"/>
    </row>
    <row r="22" spans="1:74" outlineLevel="2" x14ac:dyDescent="0.25">
      <c r="A22" s="27" t="s">
        <v>125</v>
      </c>
      <c r="E22" s="104">
        <v>-4371.3800000000047</v>
      </c>
      <c r="F22" s="104">
        <f>('BS - Monthly'!F15+'BS - Monthly'!F16)-('BS - Monthly'!G15+'BS - Monthly'!G16)</f>
        <v>-7110.9799999999814</v>
      </c>
      <c r="G22" s="104">
        <f>('BS - Monthly'!G15+'BS - Monthly'!G16)-('BS - Monthly'!H15+'BS - Monthly'!H16)</f>
        <v>-19976.530000000028</v>
      </c>
      <c r="H22" s="104">
        <f>('BS - Monthly'!H15+'BS - Monthly'!H16)-('BS - Monthly'!I15+'BS - Monthly'!I16)</f>
        <v>-38589.060000000056</v>
      </c>
      <c r="I22" s="104">
        <f>('BS - Monthly'!I15+'BS - Monthly'!I16)-('BS - Monthly'!J15+'BS - Monthly'!J16)</f>
        <v>-1219</v>
      </c>
      <c r="J22" s="104">
        <f>('BS - Monthly'!J15+'BS - Monthly'!J16)-('BS - Monthly'!K15+'BS - Monthly'!K16)</f>
        <v>-9289.4599999999627</v>
      </c>
      <c r="K22" s="104">
        <f>('BS - Monthly'!K15+'BS - Monthly'!K16)-('BS - Monthly'!L15+'BS - Monthly'!L16)</f>
        <v>-23434.209999999963</v>
      </c>
      <c r="L22" s="24">
        <f>'BS - Monthly'!L15-'BS - Monthly'!M15</f>
        <v>-12896.27999999997</v>
      </c>
      <c r="M22" s="104">
        <f>'BS - Monthly'!M18-'BS - Monthly'!N18</f>
        <v>-11636.270000000019</v>
      </c>
      <c r="N22" s="104">
        <f>'BS - Monthly'!N18-'BS - Monthly'!O18</f>
        <v>-54478.239999999991</v>
      </c>
      <c r="O22" s="104">
        <f>'BS - Monthly'!O15-'BS - Monthly'!P15</f>
        <v>-7175.7600000000093</v>
      </c>
      <c r="P22" s="104">
        <v>-15414</v>
      </c>
      <c r="Q22" s="104">
        <f>-+('BS - CF Actuals'!V45-'BS - CF Actuals'!U45+'BS - CF Actuals'!V53-'BS - CF Actuals'!U53+'BS - CF Actuals'!V57-'BS - CF Actuals'!U57+'BS - CF Actuals'!V49-'BS - CF Actuals'!U49)</f>
        <v>-31623.199999999953</v>
      </c>
      <c r="R22" s="104">
        <f>-+('BS - CF Actuals'!W45-'BS - CF Actuals'!V45+'BS - CF Actuals'!W53-'BS - CF Actuals'!V53+'BS - CF Actuals'!W57-'BS - CF Actuals'!V57+'BS - CF Actuals'!W49-'BS - CF Actuals'!V49)</f>
        <v>-57212.460000000065</v>
      </c>
      <c r="S22" s="104">
        <f>-+('BS - CF Actuals'!X45-'BS - CF Actuals'!W45+'BS - CF Actuals'!X53-'BS - CF Actuals'!W53+'BS - CF Actuals'!X57-'BS - CF Actuals'!W57+'BS - CF Actuals'!X49-'BS - CF Actuals'!W49)</f>
        <v>-32077.589999999967</v>
      </c>
      <c r="T22" s="104">
        <f>-+('BS - CF Actuals'!Y45-'BS - CF Actuals'!X45+'BS - CF Actuals'!Y53-'BS - CF Actuals'!X53+'BS - CF Actuals'!Y57-'BS - CF Actuals'!X57+'BS - CF Actuals'!Y49-'BS - CF Actuals'!X49)</f>
        <v>-34983.280000000028</v>
      </c>
      <c r="U22" s="104">
        <f>-+('BS - CF Actuals'!Z45-'BS - CF Actuals'!Y45+'BS - CF Actuals'!Z53-'BS - CF Actuals'!Y53+'BS - CF Actuals'!Z57-'BS - CF Actuals'!Y57+'BS - CF Actuals'!Z49-'BS - CF Actuals'!Y49)</f>
        <v>-12172.629999999946</v>
      </c>
      <c r="V22" s="104">
        <f>-+('BS - CF Actuals'!AA45-'BS - CF Actuals'!Z45+'BS - CF Actuals'!AA53-'BS - CF Actuals'!Z53+'BS - CF Actuals'!AA57-'BS - CF Actuals'!Z57+'BS - CF Actuals'!AA49-'BS - CF Actuals'!Z49)</f>
        <v>-13286.23000000004</v>
      </c>
      <c r="W22" s="104">
        <f>-+('BS - CF Actuals'!AB45-'BS - CF Actuals'!AA45+'BS - CF Actuals'!AB53-'BS - CF Actuals'!AA53+'BS - CF Actuals'!AB57-'BS - CF Actuals'!AA57+'BS - CF Actuals'!AB49-'BS - CF Actuals'!AA49)</f>
        <v>-3648.6800000000003</v>
      </c>
      <c r="X22" s="104">
        <f>-+('BS - CF Actuals'!AC45-'BS - CF Actuals'!AB45+'BS - CF Actuals'!AC53-'BS - CF Actuals'!AB53+'BS - CF Actuals'!AC57-'BS - CF Actuals'!AB57+'BS - CF Actuals'!AC49-'BS - CF Actuals'!AB49)</f>
        <v>-25992.910000000033</v>
      </c>
      <c r="Y22" s="104">
        <f>-+('BS - CF Actuals'!AD45-'BS - CF Actuals'!AC45+'BS - CF Actuals'!AD53-'BS - CF Actuals'!AC53+'BS - CF Actuals'!AD57-'BS - CF Actuals'!AC57+'BS - CF Actuals'!AD49-'BS - CF Actuals'!AC49)</f>
        <v>-13857.74000000002</v>
      </c>
      <c r="Z22" s="104">
        <f>-+('BS - CF Actuals'!AE45-'BS - CF Actuals'!AD45+'BS - CF Actuals'!AE53-'BS - CF Actuals'!AD53+'BS - CF Actuals'!AE57-'BS - CF Actuals'!AD57+'BS - CF Actuals'!AE49-'BS - CF Actuals'!AD49)</f>
        <v>-96276.759999999907</v>
      </c>
      <c r="AA22" s="104">
        <f>-+('BS - CF Actuals'!AF45-'BS - CF Actuals'!AE45+'BS - CF Actuals'!AF53-'BS - CF Actuals'!AE53+'BS - CF Actuals'!AF57-'BS - CF Actuals'!AE57+'BS - CF Actuals'!AF49-'BS - CF Actuals'!AE49)</f>
        <v>-40808.060000000027</v>
      </c>
      <c r="AB22" s="104">
        <f>-+('BS - CF Actuals'!AG45-'BS - CF Actuals'!AF45+'BS - CF Actuals'!AG53-'BS - CF Actuals'!AF53+'BS - CF Actuals'!AG57-'BS - CF Actuals'!AF57+'BS - CF Actuals'!AG49-'BS - CF Actuals'!AF49)</f>
        <v>-49742.209999999992</v>
      </c>
      <c r="AC22" s="615">
        <f>-('BS - Monthly'!AD15-'BS - Monthly'!AC15)+('BS - Monthly'!AC16-'BS - Monthly'!AD16)</f>
        <v>56963.579999999958</v>
      </c>
      <c r="AD22" s="615">
        <f>-('BS - Monthly'!AE15-'BS - Monthly'!AD15)+('BS - Monthly'!AD16-'BS - Monthly'!AE16)</f>
        <v>0</v>
      </c>
      <c r="AE22" s="615">
        <f>-('BS - Monthly'!AF15-'BS - Monthly'!AE15)+('BS - Monthly'!AE16-'BS - Monthly'!AF16)</f>
        <v>0</v>
      </c>
      <c r="AF22" s="615">
        <f>-('BS - Monthly'!AG15-'BS - Monthly'!AF15)+('BS - Monthly'!AF16-'BS - Monthly'!AG16)</f>
        <v>0</v>
      </c>
      <c r="AG22" s="615">
        <f>-('BS - Monthly'!AH15-'BS - Monthly'!AG15)+('BS - Monthly'!AG16-'BS - Monthly'!AH16)</f>
        <v>0</v>
      </c>
      <c r="AH22" s="615">
        <f>-('BS - Monthly'!AI15-'BS - Monthly'!AH15)+('BS - Monthly'!AH16-'BS - Monthly'!AI16)</f>
        <v>0</v>
      </c>
      <c r="AI22" s="615">
        <f>-('BS - Monthly'!AJ15-'BS - Monthly'!AI15)+('BS - Monthly'!AI16-'BS - Monthly'!AJ16)</f>
        <v>0</v>
      </c>
      <c r="AJ22" s="615">
        <f>-('BS - Monthly'!AK15-'BS - Monthly'!AJ15)+('BS - Monthly'!AJ16-'BS - Monthly'!AK16)</f>
        <v>0</v>
      </c>
      <c r="AK22" s="615">
        <f>-('BS - Monthly'!AL15-'BS - Monthly'!AK15)+('BS - Monthly'!AK16-'BS - Monthly'!AL16)</f>
        <v>0</v>
      </c>
      <c r="AL22" s="615">
        <f>-('BS - Monthly'!AM15-'BS - Monthly'!AL15)+('BS - Monthly'!AL16-'BS - Monthly'!AM16)</f>
        <v>0</v>
      </c>
      <c r="AM22" s="615">
        <f>-('BS - Monthly'!AN15-'BS - Monthly'!AM15)+('BS - Monthly'!AM16-'BS - Monthly'!AN16)</f>
        <v>0</v>
      </c>
      <c r="AN22" s="615">
        <f>-('BS - Monthly'!AO15-'BS - Monthly'!AN15)+('BS - Monthly'!AN16-'BS - Monthly'!AO16)</f>
        <v>0</v>
      </c>
      <c r="AO22" s="615">
        <f>-('BS - Monthly'!AP15-'BS - Monthly'!AO15)+('BS - Monthly'!AO16-'BS - Monthly'!AP16)</f>
        <v>0</v>
      </c>
      <c r="AP22" s="615">
        <f>-('BS - Monthly'!AQ15-'BS - Monthly'!AP15)+('BS - Monthly'!AP16-'BS - Monthly'!AQ16)</f>
        <v>0</v>
      </c>
      <c r="AQ22" s="615">
        <f>-('BS - Monthly'!AR15-'BS - Monthly'!AQ15)+('BS - Monthly'!AQ16-'BS - Monthly'!AR16)</f>
        <v>0</v>
      </c>
      <c r="AR22" s="615">
        <f>-('BS - Monthly'!AS15-'BS - Monthly'!AR15)+('BS - Monthly'!AR16-'BS - Monthly'!AS16)</f>
        <v>0</v>
      </c>
      <c r="AS22" s="615">
        <f>-('BS - Monthly'!AT15-'BS - Monthly'!AS15)+('BS - Monthly'!AS16-'BS - Monthly'!AT16)</f>
        <v>0</v>
      </c>
      <c r="AT22" s="615">
        <f>-('BS - Monthly'!AU15-'BS - Monthly'!AT15)+('BS - Monthly'!AT16-'BS - Monthly'!AU16)</f>
        <v>0</v>
      </c>
      <c r="AU22" s="615">
        <f>-('BS - Monthly'!AV15-'BS - Monthly'!AU15)+('BS - Monthly'!AU16-'BS - Monthly'!AV16)</f>
        <v>0</v>
      </c>
      <c r="AV22" s="615">
        <f>-('BS - Monthly'!AW15-'BS - Monthly'!AV15)+('BS - Monthly'!AV16-'BS - Monthly'!AW16)</f>
        <v>0</v>
      </c>
      <c r="AW22" s="615">
        <f>-('BS - Monthly'!AX15-'BS - Monthly'!AW15)+('BS - Monthly'!AW16-'BS - Monthly'!AX16)</f>
        <v>0</v>
      </c>
      <c r="AX22" s="615">
        <f>-('BS - Monthly'!AY15-'BS - Monthly'!AX15)+('BS - Monthly'!AX16-'BS - Monthly'!AY16)</f>
        <v>0</v>
      </c>
      <c r="AY22" s="615">
        <f>-('BS - Monthly'!AZ15-'BS - Monthly'!AY15)+('BS - Monthly'!AY16-'BS - Monthly'!AZ16)</f>
        <v>0</v>
      </c>
      <c r="AZ22" s="615">
        <f>-('BS - Monthly'!BA15-'BS - Monthly'!AZ15)+('BS - Monthly'!AZ16-'BS - Monthly'!BA16)</f>
        <v>0</v>
      </c>
      <c r="BA22" s="615">
        <f>-('BS - Monthly'!BB15-'BS - Monthly'!BA15)+('BS - Monthly'!BA16-'BS - Monthly'!BB16)</f>
        <v>0</v>
      </c>
      <c r="BB22" s="615">
        <f>-('BS - Monthly'!BC15-'BS - Monthly'!BB15)+('BS - Monthly'!BB16-'BS - Monthly'!BC16)</f>
        <v>0</v>
      </c>
      <c r="BC22" s="615">
        <f>-('BS - Monthly'!BD15-'BS - Monthly'!BC15)+('BS - Monthly'!BC16-'BS - Monthly'!BD16)</f>
        <v>0</v>
      </c>
      <c r="BD22" s="615">
        <f>-('BS - Monthly'!BE15-'BS - Monthly'!BD15)+('BS - Monthly'!BD16-'BS - Monthly'!BE16)</f>
        <v>0</v>
      </c>
      <c r="BE22" s="615">
        <f>-('BS - Monthly'!BF15-'BS - Monthly'!BE15)+('BS - Monthly'!BE16-'BS - Monthly'!BF16)</f>
        <v>0</v>
      </c>
      <c r="BF22" s="615">
        <f>-('BS - Monthly'!BG15-'BS - Monthly'!BF15)+('BS - Monthly'!BF16-'BS - Monthly'!BG16)</f>
        <v>0</v>
      </c>
      <c r="BG22" s="615">
        <f>-('BS - Monthly'!BH15-'BS - Monthly'!BG15)+('BS - Monthly'!BG16-'BS - Monthly'!BH16)</f>
        <v>0</v>
      </c>
      <c r="BH22" s="615">
        <f>-('BS - Monthly'!BI15-'BS - Monthly'!BH15)+('BS - Monthly'!BH16-'BS - Monthly'!BI16)</f>
        <v>0</v>
      </c>
      <c r="BI22" s="615">
        <f>-('BS - Monthly'!BJ15-'BS - Monthly'!BI15)+('BS - Monthly'!BI16-'BS - Monthly'!BJ16)</f>
        <v>0</v>
      </c>
      <c r="BJ22" s="615">
        <f>-('BS - Monthly'!BK15-'BS - Monthly'!BJ15)+('BS - Monthly'!BJ16-'BS - Monthly'!BK16)</f>
        <v>0</v>
      </c>
      <c r="BK22" s="615">
        <f>-('BS - Monthly'!BL15-'BS - Monthly'!BK15)+('BS - Monthly'!BK16-'BS - Monthly'!BL16)</f>
        <v>0</v>
      </c>
      <c r="BL22" s="615">
        <f>-('BS - Monthly'!BM15-'BS - Monthly'!BL15)+('BS - Monthly'!BL16-'BS - Monthly'!BM16)</f>
        <v>0</v>
      </c>
      <c r="BM22" s="615">
        <f>-('BS - Monthly'!BN15-'BS - Monthly'!BM15)+('BS - Monthly'!BM16-'BS - Monthly'!BN16)</f>
        <v>0</v>
      </c>
      <c r="BN22" s="615">
        <f>-('BS - Monthly'!BO15-'BS - Monthly'!BN15)+('BS - Monthly'!BN16-'BS - Monthly'!BO16)</f>
        <v>0</v>
      </c>
      <c r="BO22" s="615">
        <f>-('BS - Monthly'!BP15-'BS - Monthly'!BO15)+('BS - Monthly'!BO16-'BS - Monthly'!BP16)</f>
        <v>0</v>
      </c>
      <c r="BP22" s="615">
        <f>-('BS - Monthly'!BQ15-'BS - Monthly'!BP15)+('BS - Monthly'!BP16-'BS - Monthly'!BQ16)</f>
        <v>0</v>
      </c>
      <c r="BQ22" s="615">
        <f>-('BS - Monthly'!BR15-'BS - Monthly'!BQ15)+('BS - Monthly'!BQ16-'BS - Monthly'!BR16)</f>
        <v>0</v>
      </c>
      <c r="BR22" s="615">
        <f>-('BS - Monthly'!BS15-'BS - Monthly'!BR15)+('BS - Monthly'!BR16-'BS - Monthly'!BS16)</f>
        <v>0</v>
      </c>
      <c r="BS22" s="615">
        <f>-('BS - Monthly'!BT15-'BS - Monthly'!BS15)+('BS - Monthly'!BS16-'BS - Monthly'!BT16)</f>
        <v>0</v>
      </c>
      <c r="BT22" s="615">
        <f>-('BS - Monthly'!BU15-'BS - Monthly'!BT15)+('BS - Monthly'!BT16-'BS - Monthly'!BU16)</f>
        <v>0</v>
      </c>
      <c r="BU22" s="615">
        <f>-('BS - Monthly'!BV15-'BS - Monthly'!BU15)+('BS - Monthly'!BU16-'BS - Monthly'!BV16)</f>
        <v>0</v>
      </c>
      <c r="BV22" s="615">
        <f>-('BS - Monthly'!BW15-'BS - Monthly'!BV15)+('BS - Monthly'!BV16-'BS - Monthly'!BW16)</f>
        <v>0</v>
      </c>
    </row>
    <row r="23" spans="1:74" outlineLevel="2" x14ac:dyDescent="0.25">
      <c r="A23" s="27" t="s">
        <v>126</v>
      </c>
      <c r="E23" s="104">
        <v>0</v>
      </c>
      <c r="F23" s="104"/>
      <c r="G23" s="104"/>
      <c r="H23" s="104"/>
      <c r="I23" s="104"/>
      <c r="J23" s="104"/>
      <c r="K23" s="104"/>
      <c r="L23" s="104"/>
      <c r="M23" s="104">
        <v>0</v>
      </c>
      <c r="N23" s="104"/>
      <c r="O23" s="104"/>
      <c r="P23" s="104">
        <v>-21320971</v>
      </c>
      <c r="Q23" s="104">
        <f>'BS - Monthly'!Q22-'BS - Monthly'!R22-'Cost Summary'!O44</f>
        <v>0</v>
      </c>
      <c r="R23" s="104">
        <f>'BS - Monthly'!R22-'BS - Monthly'!S22-'Cost Summary'!P44</f>
        <v>0</v>
      </c>
      <c r="S23" s="104"/>
      <c r="T23" s="104">
        <f>'BS - Monthly'!T22-'BS - Monthly'!U22-'Cost Summary'!R44</f>
        <v>0</v>
      </c>
      <c r="U23" s="104">
        <f>'BS - Monthly'!U22-'BS - Monthly'!V22-'Cost Summary'!S44</f>
        <v>0</v>
      </c>
      <c r="V23" s="104"/>
      <c r="W23" s="104"/>
      <c r="X23" s="104"/>
      <c r="Y23" s="104"/>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0</v>
      </c>
      <c r="AX23" s="104">
        <v>0</v>
      </c>
      <c r="AY23" s="104">
        <v>0</v>
      </c>
      <c r="AZ23" s="104">
        <v>0</v>
      </c>
      <c r="BA23" s="104">
        <v>0</v>
      </c>
      <c r="BB23" s="104">
        <v>0</v>
      </c>
      <c r="BC23" s="104">
        <v>0</v>
      </c>
      <c r="BD23" s="104">
        <v>0</v>
      </c>
      <c r="BE23" s="104">
        <v>0</v>
      </c>
      <c r="BF23" s="104">
        <v>0</v>
      </c>
      <c r="BG23" s="104">
        <v>0</v>
      </c>
      <c r="BH23" s="104">
        <v>0</v>
      </c>
      <c r="BI23" s="104">
        <v>0</v>
      </c>
      <c r="BJ23" s="104">
        <v>0</v>
      </c>
      <c r="BK23" s="104">
        <v>0</v>
      </c>
      <c r="BL23" s="104">
        <v>0</v>
      </c>
      <c r="BM23" s="104">
        <v>0</v>
      </c>
      <c r="BN23" s="104">
        <v>0</v>
      </c>
      <c r="BO23" s="104">
        <v>0</v>
      </c>
      <c r="BP23" s="104">
        <v>0</v>
      </c>
      <c r="BQ23" s="104">
        <v>0</v>
      </c>
      <c r="BR23" s="104">
        <v>0</v>
      </c>
      <c r="BS23" s="104">
        <v>0</v>
      </c>
      <c r="BT23" s="104">
        <v>0</v>
      </c>
      <c r="BU23" s="104">
        <v>0</v>
      </c>
      <c r="BV23" s="104">
        <v>0</v>
      </c>
    </row>
    <row r="24" spans="1:74" outlineLevel="2" x14ac:dyDescent="0.25">
      <c r="A24" s="27" t="s">
        <v>108</v>
      </c>
      <c r="E24" s="104">
        <v>0</v>
      </c>
      <c r="F24" s="104">
        <v>0</v>
      </c>
      <c r="G24" s="104">
        <v>0</v>
      </c>
      <c r="H24" s="104">
        <v>0</v>
      </c>
      <c r="I24" s="104">
        <v>0</v>
      </c>
      <c r="J24" s="104">
        <v>0</v>
      </c>
      <c r="K24" s="104"/>
      <c r="L24" s="24">
        <v>0</v>
      </c>
      <c r="M24" s="104"/>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0</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0</v>
      </c>
      <c r="BH24" s="104">
        <v>0</v>
      </c>
      <c r="BI24" s="104">
        <v>0</v>
      </c>
      <c r="BJ24" s="104">
        <v>0</v>
      </c>
      <c r="BK24" s="104">
        <v>0</v>
      </c>
      <c r="BL24" s="104">
        <v>0</v>
      </c>
      <c r="BM24" s="104">
        <v>0</v>
      </c>
      <c r="BN24" s="104">
        <v>0</v>
      </c>
      <c r="BO24" s="104">
        <v>0</v>
      </c>
      <c r="BP24" s="104">
        <v>0</v>
      </c>
      <c r="BQ24" s="104">
        <v>0</v>
      </c>
      <c r="BR24" s="104">
        <v>0</v>
      </c>
      <c r="BS24" s="104">
        <v>0</v>
      </c>
      <c r="BT24" s="104">
        <v>0</v>
      </c>
      <c r="BU24" s="104">
        <v>0</v>
      </c>
      <c r="BV24" s="104">
        <v>0</v>
      </c>
    </row>
    <row r="25" spans="1:74" ht="13" outlineLevel="1" x14ac:dyDescent="0.3">
      <c r="A25" s="23" t="s">
        <v>177</v>
      </c>
      <c r="E25" s="113">
        <f t="shared" ref="E25:M25" si="6">SUM(E22:E24)</f>
        <v>-4371.3800000000047</v>
      </c>
      <c r="F25" s="113">
        <f t="shared" si="6"/>
        <v>-7110.9799999999814</v>
      </c>
      <c r="G25" s="113">
        <f t="shared" si="6"/>
        <v>-19976.530000000028</v>
      </c>
      <c r="H25" s="113">
        <f t="shared" si="6"/>
        <v>-38589.060000000056</v>
      </c>
      <c r="I25" s="113">
        <f t="shared" si="6"/>
        <v>-1219</v>
      </c>
      <c r="J25" s="113">
        <f t="shared" si="6"/>
        <v>-9289.4599999999627</v>
      </c>
      <c r="K25" s="113">
        <f t="shared" si="6"/>
        <v>-23434.209999999963</v>
      </c>
      <c r="L25" s="113">
        <f t="shared" si="6"/>
        <v>-12896.27999999997</v>
      </c>
      <c r="M25" s="113">
        <f t="shared" si="6"/>
        <v>-11636.270000000019</v>
      </c>
      <c r="N25" s="113">
        <f>SUM(N22:N24)</f>
        <v>-54478.239999999991</v>
      </c>
      <c r="O25" s="113">
        <f>SUM(O22:O24)</f>
        <v>-7175.7600000000093</v>
      </c>
      <c r="P25" s="113">
        <f>SUM(P22:P24)</f>
        <v>-21336385</v>
      </c>
      <c r="Q25" s="113">
        <f t="shared" ref="Q25:W25" si="7">SUM(Q22:Q24)</f>
        <v>-31623.199999999953</v>
      </c>
      <c r="R25" s="113">
        <f t="shared" si="7"/>
        <v>-57212.460000000065</v>
      </c>
      <c r="S25" s="113">
        <f t="shared" si="7"/>
        <v>-32077.589999999967</v>
      </c>
      <c r="T25" s="113">
        <f t="shared" si="7"/>
        <v>-34983.280000000028</v>
      </c>
      <c r="U25" s="113">
        <f t="shared" si="7"/>
        <v>-12172.629999999946</v>
      </c>
      <c r="V25" s="113">
        <f t="shared" si="7"/>
        <v>-13286.23000000004</v>
      </c>
      <c r="W25" s="113">
        <f t="shared" si="7"/>
        <v>-3648.6800000000003</v>
      </c>
      <c r="X25" s="113">
        <f t="shared" ref="X25" si="8">SUM(X22:X24)</f>
        <v>-25992.910000000033</v>
      </c>
      <c r="Y25" s="113">
        <f t="shared" ref="Y25:AN25" si="9">SUM(Y22:Y24)</f>
        <v>-13857.74000000002</v>
      </c>
      <c r="Z25" s="113">
        <f t="shared" si="9"/>
        <v>-96276.759999999907</v>
      </c>
      <c r="AA25" s="113">
        <f t="shared" si="9"/>
        <v>-40808.060000000027</v>
      </c>
      <c r="AB25" s="113">
        <f t="shared" si="9"/>
        <v>-49742.209999999992</v>
      </c>
      <c r="AC25" s="113">
        <f t="shared" si="9"/>
        <v>56963.579999999958</v>
      </c>
      <c r="AD25" s="113">
        <f t="shared" si="9"/>
        <v>0</v>
      </c>
      <c r="AE25" s="113">
        <f t="shared" si="9"/>
        <v>0</v>
      </c>
      <c r="AF25" s="113">
        <f t="shared" si="9"/>
        <v>0</v>
      </c>
      <c r="AG25" s="113">
        <f t="shared" si="9"/>
        <v>0</v>
      </c>
      <c r="AH25" s="113">
        <f t="shared" si="9"/>
        <v>0</v>
      </c>
      <c r="AI25" s="113">
        <f t="shared" si="9"/>
        <v>0</v>
      </c>
      <c r="AJ25" s="113">
        <f t="shared" si="9"/>
        <v>0</v>
      </c>
      <c r="AK25" s="113">
        <f t="shared" si="9"/>
        <v>0</v>
      </c>
      <c r="AL25" s="113">
        <f t="shared" si="9"/>
        <v>0</v>
      </c>
      <c r="AM25" s="113">
        <f t="shared" si="9"/>
        <v>0</v>
      </c>
      <c r="AN25" s="113">
        <f t="shared" si="9"/>
        <v>0</v>
      </c>
      <c r="AO25" s="113">
        <f t="shared" ref="AO25:AZ25" si="10">SUM(AO22:AO24)</f>
        <v>0</v>
      </c>
      <c r="AP25" s="113">
        <f t="shared" si="10"/>
        <v>0</v>
      </c>
      <c r="AQ25" s="113">
        <f t="shared" si="10"/>
        <v>0</v>
      </c>
      <c r="AR25" s="113">
        <f t="shared" si="10"/>
        <v>0</v>
      </c>
      <c r="AS25" s="113">
        <f t="shared" si="10"/>
        <v>0</v>
      </c>
      <c r="AT25" s="113">
        <f t="shared" si="10"/>
        <v>0</v>
      </c>
      <c r="AU25" s="113">
        <f t="shared" si="10"/>
        <v>0</v>
      </c>
      <c r="AV25" s="113">
        <f t="shared" si="10"/>
        <v>0</v>
      </c>
      <c r="AW25" s="113">
        <f t="shared" si="10"/>
        <v>0</v>
      </c>
      <c r="AX25" s="113">
        <f t="shared" si="10"/>
        <v>0</v>
      </c>
      <c r="AY25" s="113">
        <f t="shared" si="10"/>
        <v>0</v>
      </c>
      <c r="AZ25" s="113">
        <f t="shared" si="10"/>
        <v>0</v>
      </c>
      <c r="BA25" s="113">
        <f t="shared" ref="BA25:BL25" si="11">SUM(BA22:BA24)</f>
        <v>0</v>
      </c>
      <c r="BB25" s="113">
        <f t="shared" si="11"/>
        <v>0</v>
      </c>
      <c r="BC25" s="113">
        <f t="shared" si="11"/>
        <v>0</v>
      </c>
      <c r="BD25" s="113">
        <f t="shared" si="11"/>
        <v>0</v>
      </c>
      <c r="BE25" s="113">
        <f t="shared" si="11"/>
        <v>0</v>
      </c>
      <c r="BF25" s="113">
        <f t="shared" si="11"/>
        <v>0</v>
      </c>
      <c r="BG25" s="113">
        <f t="shared" si="11"/>
        <v>0</v>
      </c>
      <c r="BH25" s="113">
        <f t="shared" si="11"/>
        <v>0</v>
      </c>
      <c r="BI25" s="113">
        <f t="shared" si="11"/>
        <v>0</v>
      </c>
      <c r="BJ25" s="113">
        <f t="shared" si="11"/>
        <v>0</v>
      </c>
      <c r="BK25" s="113">
        <f t="shared" si="11"/>
        <v>0</v>
      </c>
      <c r="BL25" s="113">
        <f t="shared" si="11"/>
        <v>0</v>
      </c>
      <c r="BM25" s="113">
        <f t="shared" ref="BM25:BS25" si="12">SUM(BM22:BM24)</f>
        <v>0</v>
      </c>
      <c r="BN25" s="113">
        <f t="shared" si="12"/>
        <v>0</v>
      </c>
      <c r="BO25" s="113">
        <f t="shared" si="12"/>
        <v>0</v>
      </c>
      <c r="BP25" s="113">
        <f t="shared" si="12"/>
        <v>0</v>
      </c>
      <c r="BQ25" s="113">
        <f t="shared" si="12"/>
        <v>0</v>
      </c>
      <c r="BR25" s="113">
        <f t="shared" si="12"/>
        <v>0</v>
      </c>
      <c r="BS25" s="113">
        <f t="shared" si="12"/>
        <v>0</v>
      </c>
      <c r="BT25" s="113">
        <f t="shared" ref="BT25:BV25" si="13">SUM(BT22:BT24)</f>
        <v>0</v>
      </c>
      <c r="BU25" s="113">
        <f t="shared" si="13"/>
        <v>0</v>
      </c>
      <c r="BV25" s="113">
        <f t="shared" si="13"/>
        <v>0</v>
      </c>
    </row>
    <row r="26" spans="1:74" ht="6" customHeight="1" outlineLevel="2" x14ac:dyDescent="0.25">
      <c r="B26" s="119"/>
      <c r="E26" s="107"/>
      <c r="F26" s="107"/>
      <c r="G26" s="107"/>
      <c r="H26" s="107"/>
      <c r="I26" s="107"/>
      <c r="J26" s="107"/>
      <c r="K26" s="107"/>
      <c r="L26" s="198"/>
      <c r="M26" s="107"/>
      <c r="N26" s="107"/>
      <c r="O26" s="107"/>
      <c r="P26" s="107"/>
      <c r="Q26" s="107"/>
      <c r="R26" s="107"/>
      <c r="S26" s="107"/>
      <c r="T26" s="107"/>
      <c r="U26" s="107"/>
      <c r="V26" s="107"/>
      <c r="W26" s="107"/>
      <c r="X26" s="107"/>
      <c r="Y26" s="107"/>
      <c r="Z26" s="107"/>
      <c r="AA26" s="107"/>
      <c r="AB26" s="107"/>
      <c r="AC26" s="107"/>
      <c r="AD26" s="107"/>
      <c r="AE26" s="107"/>
      <c r="AF26" s="107"/>
      <c r="AG26" s="107"/>
      <c r="AH26" s="107"/>
      <c r="AI26" s="107"/>
      <c r="AJ26" s="107"/>
      <c r="AK26" s="107"/>
      <c r="AL26" s="107"/>
      <c r="AM26" s="107"/>
      <c r="AN26" s="107"/>
      <c r="AO26" s="107"/>
      <c r="AP26" s="107"/>
      <c r="AQ26" s="107"/>
      <c r="AR26" s="107"/>
      <c r="AS26" s="107"/>
      <c r="AT26" s="107"/>
      <c r="AU26" s="107"/>
      <c r="AV26" s="107"/>
      <c r="AW26" s="107"/>
      <c r="AX26" s="107"/>
      <c r="AY26" s="107"/>
      <c r="AZ26" s="107"/>
      <c r="BA26" s="107"/>
      <c r="BB26" s="107"/>
      <c r="BC26" s="107"/>
      <c r="BD26" s="107"/>
      <c r="BE26" s="107"/>
      <c r="BF26" s="107"/>
      <c r="BG26" s="107"/>
      <c r="BH26" s="107"/>
      <c r="BI26" s="107"/>
      <c r="BJ26" s="107"/>
      <c r="BK26" s="107"/>
      <c r="BL26" s="107"/>
      <c r="BM26" s="107"/>
      <c r="BN26" s="107"/>
      <c r="BO26" s="107"/>
      <c r="BP26" s="107"/>
      <c r="BQ26" s="107"/>
      <c r="BR26" s="107"/>
      <c r="BS26" s="107"/>
      <c r="BT26" s="107"/>
      <c r="BU26" s="107"/>
      <c r="BV26" s="107"/>
    </row>
    <row r="27" spans="1:74" ht="13" outlineLevel="1" x14ac:dyDescent="0.3">
      <c r="A27" s="101" t="s">
        <v>127</v>
      </c>
      <c r="E27" s="104"/>
      <c r="F27" s="104"/>
      <c r="G27" s="104"/>
      <c r="H27" s="104"/>
      <c r="I27" s="104"/>
      <c r="J27" s="104"/>
      <c r="K27" s="104"/>
      <c r="L27" s="24"/>
      <c r="M27" s="104"/>
      <c r="N27" s="104"/>
      <c r="O27" s="104"/>
      <c r="P27" s="104"/>
      <c r="Q27" s="104"/>
      <c r="R27" s="104"/>
      <c r="S27" s="104"/>
      <c r="T27" s="104"/>
      <c r="U27" s="104"/>
      <c r="V27" s="104"/>
      <c r="W27" s="104"/>
      <c r="X27" s="104"/>
      <c r="Y27" s="104"/>
      <c r="Z27" s="104"/>
      <c r="AA27" s="104"/>
      <c r="AB27" s="104"/>
      <c r="AC27" s="104"/>
      <c r="AD27" s="104"/>
      <c r="AE27" s="104"/>
      <c r="AF27" s="104"/>
      <c r="AG27" s="104"/>
      <c r="AH27" s="104"/>
      <c r="AI27" s="104"/>
      <c r="AJ27" s="104"/>
      <c r="AK27" s="104"/>
      <c r="AL27" s="104"/>
      <c r="AM27" s="104"/>
      <c r="AN27" s="104"/>
      <c r="AO27" s="104"/>
      <c r="AP27" s="104"/>
      <c r="AQ27" s="104"/>
      <c r="AR27" s="104"/>
      <c r="AS27" s="104"/>
      <c r="AT27" s="104"/>
      <c r="AU27" s="104"/>
      <c r="AV27" s="104"/>
      <c r="AW27" s="104"/>
      <c r="AX27" s="104"/>
      <c r="AY27" s="104"/>
      <c r="AZ27" s="104"/>
      <c r="BA27" s="104"/>
      <c r="BB27" s="104"/>
      <c r="BC27" s="104"/>
      <c r="BD27" s="104"/>
      <c r="BE27" s="104"/>
      <c r="BF27" s="104"/>
      <c r="BG27" s="104"/>
      <c r="BH27" s="104"/>
      <c r="BI27" s="104"/>
      <c r="BJ27" s="104"/>
      <c r="BK27" s="104"/>
      <c r="BL27" s="104"/>
      <c r="BM27" s="104"/>
      <c r="BN27" s="104"/>
      <c r="BO27" s="104"/>
      <c r="BP27" s="104"/>
      <c r="BQ27" s="104"/>
      <c r="BR27" s="104"/>
      <c r="BS27" s="104"/>
      <c r="BT27" s="104"/>
      <c r="BU27" s="104"/>
      <c r="BV27" s="104"/>
    </row>
    <row r="28" spans="1:74" outlineLevel="1" x14ac:dyDescent="0.25">
      <c r="A28" s="27" t="s">
        <v>128</v>
      </c>
      <c r="E28" s="104"/>
      <c r="F28" s="104"/>
      <c r="G28" s="104"/>
      <c r="H28" s="104"/>
      <c r="I28" s="104"/>
      <c r="J28" s="104"/>
      <c r="K28" s="104"/>
      <c r="L28" s="24"/>
      <c r="M28" s="104"/>
      <c r="N28" s="104"/>
      <c r="O28" s="104"/>
      <c r="P28" s="104"/>
      <c r="Q28" s="104"/>
      <c r="R28" s="104"/>
      <c r="S28" s="104"/>
      <c r="T28" s="104"/>
      <c r="U28" s="104"/>
      <c r="V28" s="104"/>
      <c r="W28" s="104"/>
      <c r="X28" s="104"/>
      <c r="Y28" s="104"/>
      <c r="Z28" s="104"/>
      <c r="AA28" s="104"/>
      <c r="AB28" s="104"/>
      <c r="AC28" s="104"/>
      <c r="AD28" s="104"/>
      <c r="AE28" s="104"/>
      <c r="AF28" s="104"/>
      <c r="AG28" s="104"/>
      <c r="AH28" s="104"/>
      <c r="AI28" s="104"/>
      <c r="AJ28" s="104"/>
      <c r="AK28" s="104"/>
      <c r="AL28" s="104"/>
      <c r="AM28" s="104"/>
      <c r="AN28" s="104"/>
      <c r="AO28" s="104"/>
      <c r="AP28" s="104"/>
      <c r="AQ28" s="104"/>
      <c r="AR28" s="104"/>
      <c r="AS28" s="104"/>
      <c r="AT28" s="104"/>
      <c r="AU28" s="104"/>
      <c r="AV28" s="104"/>
      <c r="AW28" s="104"/>
      <c r="AX28" s="104"/>
      <c r="AY28" s="104"/>
      <c r="AZ28" s="104"/>
      <c r="BA28" s="104"/>
      <c r="BB28" s="104"/>
      <c r="BC28" s="104"/>
      <c r="BD28" s="104"/>
      <c r="BE28" s="104"/>
      <c r="BF28" s="104"/>
      <c r="BG28" s="104"/>
      <c r="BH28" s="104"/>
      <c r="BI28" s="104"/>
      <c r="BJ28" s="104"/>
      <c r="BK28" s="104"/>
      <c r="BL28" s="104"/>
      <c r="BM28" s="104"/>
      <c r="BN28" s="104"/>
      <c r="BO28" s="104"/>
      <c r="BP28" s="104"/>
      <c r="BQ28" s="104"/>
      <c r="BR28" s="104"/>
      <c r="BS28" s="104"/>
      <c r="BT28" s="104"/>
      <c r="BU28" s="104"/>
      <c r="BV28" s="104"/>
    </row>
    <row r="29" spans="1:74" outlineLevel="2" x14ac:dyDescent="0.25">
      <c r="B29" s="28" t="s">
        <v>379</v>
      </c>
      <c r="E29" s="104">
        <v>0</v>
      </c>
      <c r="F29" s="104">
        <v>-537634</v>
      </c>
      <c r="G29" s="104">
        <v>-250000</v>
      </c>
      <c r="H29" s="104">
        <v>-537634</v>
      </c>
      <c r="I29" s="104">
        <v>-200000.00000000047</v>
      </c>
      <c r="J29" s="104">
        <v>-300000</v>
      </c>
      <c r="K29" s="104">
        <v>-200000.00000000047</v>
      </c>
      <c r="L29" s="24">
        <v>0</v>
      </c>
      <c r="M29" s="104">
        <v>-799999.99999999907</v>
      </c>
      <c r="N29" s="104">
        <v>-600000</v>
      </c>
      <c r="O29" s="104">
        <v>-1075270.0000000009</v>
      </c>
      <c r="P29" s="104">
        <v>-1329524</v>
      </c>
      <c r="Q29" s="104">
        <v>0</v>
      </c>
      <c r="R29" s="104">
        <v>0</v>
      </c>
      <c r="S29" s="104">
        <v>0</v>
      </c>
      <c r="T29" s="104">
        <v>0</v>
      </c>
      <c r="U29" s="104">
        <v>0</v>
      </c>
      <c r="V29" s="104">
        <v>0</v>
      </c>
      <c r="W29" s="104">
        <v>0</v>
      </c>
      <c r="X29" s="104">
        <v>0</v>
      </c>
      <c r="Y29" s="104">
        <v>0</v>
      </c>
      <c r="Z29" s="104"/>
      <c r="AA29" s="104"/>
      <c r="AB29" s="104"/>
      <c r="AC29" s="104"/>
      <c r="AD29" s="104"/>
      <c r="AE29" s="104"/>
      <c r="AF29" s="104"/>
      <c r="AG29" s="104"/>
      <c r="AH29" s="104"/>
      <c r="AI29" s="104"/>
      <c r="AJ29" s="104"/>
      <c r="AK29" s="104"/>
      <c r="AL29" s="104"/>
      <c r="AM29" s="104"/>
      <c r="AN29" s="104"/>
      <c r="AO29" s="104"/>
      <c r="AP29" s="104"/>
      <c r="AQ29" s="104"/>
      <c r="AR29" s="104"/>
      <c r="AS29" s="104"/>
      <c r="AT29" s="104"/>
      <c r="AU29" s="104"/>
      <c r="AV29" s="104"/>
      <c r="AW29" s="104"/>
      <c r="AX29" s="104"/>
      <c r="AY29" s="104"/>
      <c r="AZ29" s="104"/>
      <c r="BA29" s="104"/>
      <c r="BB29" s="104"/>
      <c r="BC29" s="104"/>
      <c r="BD29" s="104"/>
      <c r="BE29" s="104"/>
      <c r="BF29" s="104"/>
      <c r="BG29" s="104"/>
      <c r="BH29" s="104"/>
      <c r="BI29" s="104"/>
      <c r="BJ29" s="104"/>
      <c r="BK29" s="104"/>
      <c r="BL29" s="104"/>
      <c r="BM29" s="104"/>
      <c r="BN29" s="104"/>
      <c r="BO29" s="104"/>
      <c r="BP29" s="104"/>
      <c r="BQ29" s="104"/>
      <c r="BR29" s="104"/>
      <c r="BS29" s="104"/>
      <c r="BT29" s="104"/>
      <c r="BU29" s="104"/>
      <c r="BV29" s="104"/>
    </row>
    <row r="30" spans="1:74" outlineLevel="2" x14ac:dyDescent="0.25">
      <c r="B30" s="28" t="s">
        <v>366</v>
      </c>
      <c r="E30" s="104"/>
      <c r="F30" s="104"/>
      <c r="G30" s="104"/>
      <c r="H30" s="104"/>
      <c r="I30" s="104"/>
      <c r="J30" s="104"/>
      <c r="K30" s="104"/>
      <c r="L30" s="24"/>
      <c r="M30" s="104"/>
      <c r="N30" s="104"/>
      <c r="O30" s="104">
        <v>0</v>
      </c>
      <c r="P30" s="104">
        <v>2480000</v>
      </c>
      <c r="Q30" s="104">
        <f>'BS - Monthly'!R31-'BS - Monthly'!Q31</f>
        <v>-60449.990000000224</v>
      </c>
      <c r="R30" s="104">
        <f>+'BS - CF Actuals'!W105-'BS - CF Actuals'!V105</f>
        <v>-60267.009999999776</v>
      </c>
      <c r="S30" s="104">
        <f>+'BS - CF Actuals'!X105-'BS - CF Actuals'!W105</f>
        <v>-60084.020000000019</v>
      </c>
      <c r="T30" s="104">
        <f>+'BS - CF Actuals'!Y105-'BS - CF Actuals'!X105</f>
        <v>-77532.319999999832</v>
      </c>
      <c r="U30" s="104">
        <f>+'BS - CF Actuals'!Z105-'BS - CF Actuals'!Y105</f>
        <v>-103333.33000000007</v>
      </c>
      <c r="V30" s="104">
        <f>+'BS - CF Actuals'!AA105-'BS - CF Actuals'!Z105</f>
        <v>-103333.33000000007</v>
      </c>
      <c r="W30" s="104">
        <f>+'BS - CF Actuals'!AB105-'BS - CF Actuals'!AA105</f>
        <v>-103333.33000000007</v>
      </c>
      <c r="X30" s="104">
        <f>+'BS - CF Actuals'!AC105-'BS - CF Actuals'!AB105</f>
        <v>-103333.32999999984</v>
      </c>
      <c r="Y30" s="104">
        <f>+'BS - Monthly'!Z31-'BS - Monthly'!Y31</f>
        <v>-103333.33000000007</v>
      </c>
      <c r="Z30" s="104">
        <f>'BS - Monthly'!AA31-'BS - Monthly'!Z31</f>
        <v>-103333.33000000007</v>
      </c>
      <c r="AA30" s="104">
        <f>'BS - Monthly'!AB31-'BS - Monthly'!AA31</f>
        <v>-103333.32999999984</v>
      </c>
      <c r="AB30" s="104">
        <f>'BS - Monthly'!AC31-'BS - Monthly'!AB31</f>
        <v>-103333.33000000007</v>
      </c>
      <c r="AC30" s="104">
        <f>'BS - Monthly'!AD31-'BS - Monthly'!AC31</f>
        <v>-211969.16941923578</v>
      </c>
      <c r="AD30" s="104">
        <f>'BS - Monthly'!AE31-'BS - Monthly'!AD31</f>
        <v>0</v>
      </c>
      <c r="AE30" s="104">
        <f>'BS - Monthly'!AF31-'BS - Monthly'!AE31</f>
        <v>0</v>
      </c>
      <c r="AF30" s="104">
        <f>'BS - Monthly'!AG31-'BS - Monthly'!AF31</f>
        <v>0</v>
      </c>
      <c r="AG30" s="104">
        <f>'BS - Monthly'!AH31-'BS - Monthly'!AG31</f>
        <v>0</v>
      </c>
      <c r="AH30" s="104">
        <f>'BS - Monthly'!AI31-'BS - Monthly'!AH31</f>
        <v>0</v>
      </c>
      <c r="AI30" s="104">
        <f>'BS - Monthly'!AJ31-'BS - Monthly'!AI31</f>
        <v>0</v>
      </c>
      <c r="AJ30" s="104">
        <f>'BS - Monthly'!AK31-'BS - Monthly'!AJ31</f>
        <v>0</v>
      </c>
      <c r="AK30" s="104">
        <f>'BS - Monthly'!AL31-'BS - Monthly'!AK31</f>
        <v>0</v>
      </c>
      <c r="AL30" s="104">
        <f>'BS - Monthly'!AM31-'BS - Monthly'!AL31</f>
        <v>0</v>
      </c>
      <c r="AM30" s="104">
        <f>'BS - Monthly'!AN31-'BS - Monthly'!AM31</f>
        <v>0</v>
      </c>
      <c r="AN30" s="104">
        <f>'BS - Monthly'!AO31-'BS - Monthly'!AN31</f>
        <v>0</v>
      </c>
      <c r="AO30" s="104">
        <f>'BS - Monthly'!AP31-'BS - Monthly'!AO31</f>
        <v>0</v>
      </c>
      <c r="AP30" s="104">
        <f>'BS - Monthly'!AQ31-'BS - Monthly'!AP31</f>
        <v>0</v>
      </c>
      <c r="AQ30" s="104">
        <f>'BS - Monthly'!AR31-'BS - Monthly'!AQ31</f>
        <v>0</v>
      </c>
      <c r="AR30" s="104">
        <f>'BS - Monthly'!AS31-'BS - Monthly'!AR31</f>
        <v>0</v>
      </c>
      <c r="AS30" s="104">
        <f>'BS - Monthly'!AT31-'BS - Monthly'!AS31</f>
        <v>0</v>
      </c>
      <c r="AT30" s="104">
        <f>'BS - Monthly'!AU31-'BS - Monthly'!AT31</f>
        <v>0</v>
      </c>
      <c r="AU30" s="104">
        <f>'BS - Monthly'!AV31-'BS - Monthly'!AU31</f>
        <v>0</v>
      </c>
      <c r="AV30" s="104">
        <f>'BS - Monthly'!AW31-'BS - Monthly'!AV31</f>
        <v>0</v>
      </c>
      <c r="AW30" s="104">
        <f>'BS - Monthly'!AX31-'BS - Monthly'!AW31</f>
        <v>0</v>
      </c>
      <c r="AX30" s="104">
        <f>'BS - Monthly'!AY31-'BS - Monthly'!AX31</f>
        <v>0</v>
      </c>
      <c r="AY30" s="104">
        <f>'BS - Monthly'!AZ31-'BS - Monthly'!AY31</f>
        <v>0</v>
      </c>
      <c r="AZ30" s="104">
        <f>'BS - Monthly'!BA31-'BS - Monthly'!AZ31</f>
        <v>0</v>
      </c>
      <c r="BA30" s="104">
        <f>'BS - Monthly'!BB31-'BS - Monthly'!BA31</f>
        <v>0</v>
      </c>
      <c r="BB30" s="104">
        <f>'BS - Monthly'!BC31-'BS - Monthly'!BB31</f>
        <v>0</v>
      </c>
      <c r="BC30" s="104">
        <f>'BS - Monthly'!BD31-'BS - Monthly'!BC31</f>
        <v>0</v>
      </c>
      <c r="BD30" s="104">
        <f>'BS - Monthly'!BE31-'BS - Monthly'!BD31</f>
        <v>0</v>
      </c>
      <c r="BE30" s="104">
        <f>'BS - Monthly'!BF31-'BS - Monthly'!BE31</f>
        <v>0</v>
      </c>
      <c r="BF30" s="104">
        <f>'BS - Monthly'!BG31-'BS - Monthly'!BF31</f>
        <v>0</v>
      </c>
      <c r="BG30" s="104">
        <f>'BS - Monthly'!BH31-'BS - Monthly'!BG31</f>
        <v>0</v>
      </c>
      <c r="BH30" s="104">
        <f>'BS - Monthly'!BI31-'BS - Monthly'!BH31</f>
        <v>0</v>
      </c>
      <c r="BI30" s="104">
        <f>'BS - Monthly'!BJ31-'BS - Monthly'!BI31</f>
        <v>0</v>
      </c>
      <c r="BJ30" s="104">
        <f>'BS - Monthly'!BK31-'BS - Monthly'!BJ31</f>
        <v>0</v>
      </c>
      <c r="BK30" s="104">
        <f>'BS - Monthly'!BL31-'BS - Monthly'!BK31</f>
        <v>0</v>
      </c>
      <c r="BL30" s="104">
        <f>'BS - Monthly'!BM31-'BS - Monthly'!BL31</f>
        <v>0</v>
      </c>
      <c r="BM30" s="104">
        <f>'BS - Monthly'!BN31-'BS - Monthly'!BM31</f>
        <v>0</v>
      </c>
      <c r="BN30" s="104">
        <f>'BS - Monthly'!BO31-'BS - Monthly'!BN31</f>
        <v>0</v>
      </c>
      <c r="BO30" s="104">
        <f>'BS - Monthly'!BP31-'BS - Monthly'!BO31</f>
        <v>0</v>
      </c>
      <c r="BP30" s="104">
        <f>'BS - Monthly'!BQ31-'BS - Monthly'!BP31</f>
        <v>0</v>
      </c>
      <c r="BQ30" s="104">
        <f>'BS - Monthly'!BR31-'BS - Monthly'!BQ31</f>
        <v>0</v>
      </c>
      <c r="BR30" s="104">
        <f>'BS - Monthly'!BS31-'BS - Monthly'!BR31</f>
        <v>0</v>
      </c>
      <c r="BS30" s="104">
        <f>'BS - Monthly'!BT31-'BS - Monthly'!BS31</f>
        <v>0</v>
      </c>
      <c r="BT30" s="104">
        <f>'BS - Monthly'!BU31-'BS - Monthly'!BT31</f>
        <v>0</v>
      </c>
      <c r="BU30" s="104">
        <f>'BS - Monthly'!BV31-'BS - Monthly'!BU31</f>
        <v>0</v>
      </c>
      <c r="BV30" s="104">
        <f>'BS - Monthly'!BW31-'BS - Monthly'!BV31</f>
        <v>0</v>
      </c>
    </row>
    <row r="31" spans="1:74" outlineLevel="2" x14ac:dyDescent="0.25">
      <c r="B31" s="28" t="s">
        <v>438</v>
      </c>
      <c r="E31" s="104">
        <v>0</v>
      </c>
      <c r="F31" s="104">
        <v>0</v>
      </c>
      <c r="G31" s="104">
        <v>0</v>
      </c>
      <c r="H31" s="104">
        <v>0</v>
      </c>
      <c r="I31" s="104">
        <v>0</v>
      </c>
      <c r="J31" s="104">
        <v>0</v>
      </c>
      <c r="K31" s="104">
        <v>0</v>
      </c>
      <c r="L31" s="24">
        <v>0</v>
      </c>
      <c r="M31" s="104">
        <v>0</v>
      </c>
      <c r="N31" s="104">
        <v>0</v>
      </c>
      <c r="O31" s="104"/>
      <c r="P31" s="104">
        <f>Debt!B5</f>
        <v>10250000</v>
      </c>
      <c r="Q31" s="104">
        <f>-('BS - Monthly'!Q32-'BS - Monthly'!R32)</f>
        <v>0</v>
      </c>
      <c r="R31" s="104">
        <f>-('BS - Monthly'!R32-'BS - Monthly'!S32)</f>
        <v>0</v>
      </c>
      <c r="S31" s="104">
        <f>-('BS - Monthly'!S32-'BS - Monthly'!T32)</f>
        <v>0</v>
      </c>
      <c r="T31" s="104">
        <f>-('BS - Monthly'!T32-'BS - Monthly'!U32)</f>
        <v>0</v>
      </c>
      <c r="U31" s="104">
        <f>-('BS - Monthly'!U32-'BS - Monthly'!V32)</f>
        <v>0</v>
      </c>
      <c r="V31" s="104">
        <f>-('BS - Monthly'!V32-'BS - Monthly'!W32)</f>
        <v>0</v>
      </c>
      <c r="W31" s="104">
        <f>-('BS - Monthly'!W32-'BS - Monthly'!X32)</f>
        <v>0</v>
      </c>
      <c r="X31" s="104">
        <f>-('BS - Monthly'!X32-'BS - Monthly'!Y32)</f>
        <v>0</v>
      </c>
      <c r="Y31" s="104">
        <f>-('BS - Monthly'!Y32-'BS - Monthly'!Z32)</f>
        <v>0</v>
      </c>
      <c r="Z31" s="104">
        <f>-('BS - Monthly'!Z32-'BS - Monthly'!AA32)</f>
        <v>0</v>
      </c>
      <c r="AA31" s="104">
        <f>-('BS - Monthly'!AA32-'BS - Monthly'!AB32)</f>
        <v>0</v>
      </c>
      <c r="AB31" s="104">
        <f>-('BS - Monthly'!AB32-'BS - Monthly'!AC32)</f>
        <v>0</v>
      </c>
      <c r="AC31" s="104">
        <f>-('BS - Monthly'!AC32-'BS - Monthly'!AD32)</f>
        <v>0</v>
      </c>
      <c r="AD31" s="104">
        <f>-('BS - Monthly'!AD32-'BS - Monthly'!AE32)</f>
        <v>0</v>
      </c>
      <c r="AE31" s="104">
        <f>-('BS - Monthly'!AE32-'BS - Monthly'!AF32)</f>
        <v>0</v>
      </c>
      <c r="AF31" s="104">
        <f>-('BS - Monthly'!AF32-'BS - Monthly'!AG32)</f>
        <v>0</v>
      </c>
      <c r="AG31" s="104">
        <f>-('BS - Monthly'!AG32-'BS - Monthly'!AH32)</f>
        <v>0</v>
      </c>
      <c r="AH31" s="104">
        <f>-('BS - Monthly'!AH32-'BS - Monthly'!AI32)</f>
        <v>0</v>
      </c>
      <c r="AI31" s="104">
        <f>-('BS - Monthly'!AI32-'BS - Monthly'!AJ32)</f>
        <v>0</v>
      </c>
      <c r="AJ31" s="104">
        <f>-('BS - Monthly'!AJ32-'BS - Monthly'!AK32)</f>
        <v>0</v>
      </c>
      <c r="AK31" s="104">
        <f>-('BS - Monthly'!AK32-'BS - Monthly'!AL32)</f>
        <v>0</v>
      </c>
      <c r="AL31" s="104">
        <f>-('BS - Monthly'!AL32-'BS - Monthly'!AM32)</f>
        <v>0</v>
      </c>
      <c r="AM31" s="104">
        <f>-('BS - Monthly'!AM32-'BS - Monthly'!AN32)</f>
        <v>0</v>
      </c>
      <c r="AN31" s="104">
        <f>-('BS - Monthly'!AN32-'BS - Monthly'!AO32)</f>
        <v>0</v>
      </c>
      <c r="AO31" s="104">
        <f>-('BS - Monthly'!AO32-'BS - Monthly'!AP32)</f>
        <v>0</v>
      </c>
      <c r="AP31" s="104">
        <f>-('BS - Monthly'!AP32-'BS - Monthly'!AQ32)</f>
        <v>0</v>
      </c>
      <c r="AQ31" s="104">
        <f>-('BS - Monthly'!AQ32-'BS - Monthly'!AR32)</f>
        <v>0</v>
      </c>
      <c r="AR31" s="104">
        <f>-('BS - Monthly'!AR32-'BS - Monthly'!AS32)</f>
        <v>0</v>
      </c>
      <c r="AS31" s="104">
        <f>-('BS - Monthly'!AS32-'BS - Monthly'!AT32)</f>
        <v>0</v>
      </c>
      <c r="AT31" s="104">
        <f>-('BS - Monthly'!AT32-'BS - Monthly'!AU32)</f>
        <v>0</v>
      </c>
      <c r="AU31" s="104">
        <f>-('BS - Monthly'!AU32-'BS - Monthly'!AV32)</f>
        <v>0</v>
      </c>
      <c r="AV31" s="104">
        <f>-('BS - Monthly'!AV32-'BS - Monthly'!AW32)</f>
        <v>0</v>
      </c>
      <c r="AW31" s="104">
        <f>-('BS - Monthly'!AW32-'BS - Monthly'!AX32)</f>
        <v>0</v>
      </c>
      <c r="AX31" s="104">
        <f>-('BS - Monthly'!AX32-'BS - Monthly'!AY32)</f>
        <v>0</v>
      </c>
      <c r="AY31" s="104">
        <f>-('BS - Monthly'!AY32-'BS - Monthly'!AZ32)</f>
        <v>0</v>
      </c>
      <c r="AZ31" s="104">
        <f>-('BS - Monthly'!AZ32-'BS - Monthly'!BA32)</f>
        <v>0</v>
      </c>
      <c r="BA31" s="104">
        <f>-('BS - Monthly'!BA32-'BS - Monthly'!BB32)</f>
        <v>0</v>
      </c>
      <c r="BB31" s="104">
        <f>-('BS - Monthly'!BB32-'BS - Monthly'!BC32)</f>
        <v>0</v>
      </c>
      <c r="BC31" s="104">
        <f>-('BS - Monthly'!BC32-'BS - Monthly'!BD32)</f>
        <v>0</v>
      </c>
      <c r="BD31" s="104">
        <f>-('BS - Monthly'!BD32-'BS - Monthly'!BE32)</f>
        <v>0</v>
      </c>
      <c r="BE31" s="104">
        <f>-('BS - Monthly'!BE32-'BS - Monthly'!BF32)</f>
        <v>0</v>
      </c>
      <c r="BF31" s="104">
        <f>-('BS - Monthly'!BF32-'BS - Monthly'!BG32)</f>
        <v>0</v>
      </c>
      <c r="BG31" s="104">
        <f>-('BS - Monthly'!BG32-'BS - Monthly'!BH32)</f>
        <v>0</v>
      </c>
      <c r="BH31" s="104">
        <f>-('BS - Monthly'!BH32-'BS - Monthly'!BI32)</f>
        <v>0</v>
      </c>
      <c r="BI31" s="104">
        <f>-('BS - Monthly'!BI32-'BS - Monthly'!BJ32)</f>
        <v>0</v>
      </c>
      <c r="BJ31" s="104">
        <f>-('BS - Monthly'!BJ32-'BS - Monthly'!BK32)</f>
        <v>0</v>
      </c>
      <c r="BK31" s="104">
        <f>-('BS - Monthly'!BK32-'BS - Monthly'!BL32)</f>
        <v>0</v>
      </c>
      <c r="BL31" s="104">
        <f>-('BS - Monthly'!BL32-'BS - Monthly'!BM32)</f>
        <v>0</v>
      </c>
      <c r="BM31" s="104">
        <f>-('BS - Monthly'!BM32-'BS - Monthly'!BN32)</f>
        <v>0</v>
      </c>
      <c r="BN31" s="104">
        <f>-('BS - Monthly'!BN32-'BS - Monthly'!BO32)</f>
        <v>0</v>
      </c>
      <c r="BO31" s="104">
        <f>-('BS - Monthly'!BO32-'BS - Monthly'!BP32)</f>
        <v>0</v>
      </c>
      <c r="BP31" s="104">
        <f>-('BS - Monthly'!BP32-'BS - Monthly'!BQ32)</f>
        <v>0</v>
      </c>
      <c r="BQ31" s="104">
        <f>-('BS - Monthly'!BQ32-'BS - Monthly'!BR32)</f>
        <v>0</v>
      </c>
      <c r="BR31" s="104">
        <f>-('BS - Monthly'!BR32-'BS - Monthly'!BS32)</f>
        <v>0</v>
      </c>
      <c r="BS31" s="104">
        <f>-('BS - Monthly'!BS32-'BS - Monthly'!BT32)</f>
        <v>0</v>
      </c>
      <c r="BT31" s="104">
        <f>-('BS - Monthly'!BT32-'BS - Monthly'!BU32)</f>
        <v>0</v>
      </c>
      <c r="BU31" s="104">
        <f>-('BS - Monthly'!BU32-'BS - Monthly'!BV32)</f>
        <v>0</v>
      </c>
      <c r="BV31" s="104">
        <f>-('BS - Monthly'!BV32-'BS - Monthly'!BW32)</f>
        <v>0</v>
      </c>
    </row>
    <row r="32" spans="1:74" outlineLevel="2" x14ac:dyDescent="0.25">
      <c r="B32" s="230" t="s">
        <v>719</v>
      </c>
      <c r="E32" s="104">
        <v>-16667</v>
      </c>
      <c r="F32" s="104">
        <f>'BS - Monthly'!G35-'BS - Monthly'!F35</f>
        <v>-16666.660000000003</v>
      </c>
      <c r="G32" s="104">
        <f>'BS - Monthly'!H35-'BS - Monthly'!G35</f>
        <v>-16666.660000000003</v>
      </c>
      <c r="H32" s="104">
        <f>'BS - Monthly'!I35-'BS - Monthly'!H35</f>
        <v>-16666.659999999989</v>
      </c>
      <c r="I32" s="104">
        <f>'BS - Monthly'!J35-'BS - Monthly'!I35</f>
        <v>-16666.660000000003</v>
      </c>
      <c r="J32" s="104">
        <f>'BS - Monthly'!K35-'BS - Monthly'!J35</f>
        <v>-16666.660000000003</v>
      </c>
      <c r="K32" s="104">
        <f>'BS - Monthly'!L35-'BS - Monthly'!K35</f>
        <v>-16666.660000000003</v>
      </c>
      <c r="L32" s="104">
        <f>'BS - Monthly'!M35-'BS - Monthly'!L35</f>
        <v>-16667.039999999994</v>
      </c>
      <c r="M32" s="104">
        <f>'BS - Monthly'!N35-'BS - Monthly'!M35</f>
        <v>-50000</v>
      </c>
      <c r="N32" s="104">
        <f>'BS - Monthly'!O35-'BS - Monthly'!N35</f>
        <v>0</v>
      </c>
      <c r="O32" s="104">
        <f>'BS - Monthly'!P35-'BS - Monthly'!O35</f>
        <v>0</v>
      </c>
      <c r="P32" s="104">
        <f>'BS - Monthly'!Q35-'BS - Monthly'!P35</f>
        <v>0</v>
      </c>
      <c r="Q32" s="104">
        <f>'BS - Monthly'!R35-'BS - Monthly'!Q35</f>
        <v>0</v>
      </c>
      <c r="R32" s="104">
        <f>'BS - Monthly'!S35-'BS - Monthly'!R35</f>
        <v>0</v>
      </c>
      <c r="S32" s="104">
        <f>'BS - Monthly'!T35-'BS - Monthly'!S35</f>
        <v>0</v>
      </c>
      <c r="T32" s="104">
        <f>'BS - Monthly'!U35-'BS - Monthly'!T35</f>
        <v>0</v>
      </c>
      <c r="U32" s="104">
        <f>'BS - Monthly'!V35-'BS - Monthly'!U35</f>
        <v>0</v>
      </c>
      <c r="V32" s="104">
        <f>'BS - Monthly'!W35-'BS - Monthly'!V35</f>
        <v>0</v>
      </c>
      <c r="W32" s="104">
        <f>'BS - Monthly'!X35-'BS - Monthly'!W35</f>
        <v>0</v>
      </c>
      <c r="X32" s="104">
        <f>'BS - Monthly'!Y35-'BS - Monthly'!X35</f>
        <v>0</v>
      </c>
      <c r="Y32" s="104">
        <f>'BS - Monthly'!Z35-'BS - Monthly'!Y35</f>
        <v>0</v>
      </c>
      <c r="Z32" s="104">
        <f>'BS - Monthly'!AA35-'BS - Monthly'!Z35</f>
        <v>0</v>
      </c>
      <c r="AA32" s="104">
        <f>'BS - Monthly'!AB35-'BS - Monthly'!AA35</f>
        <v>0</v>
      </c>
      <c r="AB32" s="104">
        <f>'BS - Monthly'!AC35-'BS - Monthly'!AB35</f>
        <v>0</v>
      </c>
      <c r="AC32" s="104">
        <f>'BS - Monthly'!AD35-'BS - Monthly'!AC35</f>
        <v>0</v>
      </c>
      <c r="AD32" s="104">
        <f>'BS - Monthly'!AE35-'BS - Monthly'!AD35</f>
        <v>0</v>
      </c>
      <c r="AE32" s="104">
        <f>'BS - Monthly'!AF35-'BS - Monthly'!AE35</f>
        <v>0</v>
      </c>
      <c r="AF32" s="104">
        <f>'BS - Monthly'!AG35-'BS - Monthly'!AF35</f>
        <v>0</v>
      </c>
      <c r="AG32" s="104">
        <f>'BS - Monthly'!AH35-'BS - Monthly'!AG35</f>
        <v>0</v>
      </c>
      <c r="AH32" s="104">
        <f>'BS - Monthly'!AI35-'BS - Monthly'!AH35</f>
        <v>0</v>
      </c>
      <c r="AI32" s="104">
        <f>'BS - Monthly'!AJ35-'BS - Monthly'!AI35</f>
        <v>0</v>
      </c>
      <c r="AJ32" s="104">
        <f>'BS - Monthly'!AK35-'BS - Monthly'!AJ35</f>
        <v>0</v>
      </c>
      <c r="AK32" s="104">
        <f>'BS - Monthly'!AL35-'BS - Monthly'!AK35</f>
        <v>0</v>
      </c>
      <c r="AL32" s="104">
        <f>'BS - Monthly'!AM35-'BS - Monthly'!AL35</f>
        <v>0</v>
      </c>
      <c r="AM32" s="104">
        <f>'BS - Monthly'!AN35-'BS - Monthly'!AM35</f>
        <v>0</v>
      </c>
      <c r="AN32" s="104">
        <f>'BS - Monthly'!AO35-'BS - Monthly'!AN35</f>
        <v>0</v>
      </c>
      <c r="AO32" s="104">
        <f>'BS - Monthly'!AP35-'BS - Monthly'!AO35</f>
        <v>0</v>
      </c>
      <c r="AP32" s="104">
        <f>'BS - Monthly'!AQ35-'BS - Monthly'!AP35</f>
        <v>0</v>
      </c>
      <c r="AQ32" s="104">
        <f>'BS - Monthly'!AR35-'BS - Monthly'!AQ35</f>
        <v>0</v>
      </c>
      <c r="AR32" s="104">
        <f>'BS - Monthly'!AS35-'BS - Monthly'!AR35</f>
        <v>0</v>
      </c>
      <c r="AS32" s="104">
        <f>'BS - Monthly'!AT35-'BS - Monthly'!AS35</f>
        <v>0</v>
      </c>
      <c r="AT32" s="104">
        <f>'BS - Monthly'!AU35-'BS - Monthly'!AT35</f>
        <v>0</v>
      </c>
      <c r="AU32" s="104">
        <f>'BS - Monthly'!AV35-'BS - Monthly'!AU35</f>
        <v>0</v>
      </c>
      <c r="AV32" s="104">
        <f>'BS - Monthly'!AW35-'BS - Monthly'!AV35</f>
        <v>0</v>
      </c>
      <c r="AW32" s="104">
        <f>'BS - Monthly'!AX35-'BS - Monthly'!AW35</f>
        <v>0</v>
      </c>
      <c r="AX32" s="104">
        <f>'BS - Monthly'!AY35-'BS - Monthly'!AX35</f>
        <v>0</v>
      </c>
      <c r="AY32" s="104">
        <f>'BS - Monthly'!AZ35-'BS - Monthly'!AY35</f>
        <v>0</v>
      </c>
      <c r="AZ32" s="104">
        <f>'BS - Monthly'!BA35-'BS - Monthly'!AZ35</f>
        <v>0</v>
      </c>
      <c r="BA32" s="104">
        <f>'BS - Monthly'!BB35-'BS - Monthly'!BA35</f>
        <v>0</v>
      </c>
      <c r="BB32" s="104">
        <f>'BS - Monthly'!BC35-'BS - Monthly'!BB35</f>
        <v>0</v>
      </c>
      <c r="BC32" s="104">
        <f>'BS - Monthly'!BD35-'BS - Monthly'!BC35</f>
        <v>0</v>
      </c>
      <c r="BD32" s="104">
        <f>'BS - Monthly'!BE35-'BS - Monthly'!BD35</f>
        <v>0</v>
      </c>
      <c r="BE32" s="104">
        <f>'BS - Monthly'!BF35-'BS - Monthly'!BE35</f>
        <v>0</v>
      </c>
      <c r="BF32" s="104">
        <f>'BS - Monthly'!BG35-'BS - Monthly'!BF35</f>
        <v>0</v>
      </c>
      <c r="BG32" s="104">
        <f>'BS - Monthly'!BH35-'BS - Monthly'!BG35</f>
        <v>0</v>
      </c>
      <c r="BH32" s="104">
        <f>'BS - Monthly'!BI35-'BS - Monthly'!BH35</f>
        <v>0</v>
      </c>
      <c r="BI32" s="104">
        <f>'BS - Monthly'!BJ35-'BS - Monthly'!BI35</f>
        <v>0</v>
      </c>
      <c r="BJ32" s="104">
        <f>'BS - Monthly'!BK35-'BS - Monthly'!BJ35</f>
        <v>0</v>
      </c>
      <c r="BK32" s="104">
        <f>'BS - Monthly'!BL35-'BS - Monthly'!BK35</f>
        <v>0</v>
      </c>
      <c r="BL32" s="104">
        <f>'BS - Monthly'!BM35-'BS - Monthly'!BL35</f>
        <v>0</v>
      </c>
      <c r="BM32" s="104">
        <f>'BS - Monthly'!BN35-'BS - Monthly'!BM35</f>
        <v>0</v>
      </c>
      <c r="BN32" s="104">
        <f>'BS - Monthly'!BO35-'BS - Monthly'!BN35</f>
        <v>0</v>
      </c>
      <c r="BO32" s="104">
        <f>'BS - Monthly'!BP35-'BS - Monthly'!BO35</f>
        <v>0</v>
      </c>
      <c r="BP32" s="104">
        <f>'BS - Monthly'!BQ35-'BS - Monthly'!BP35</f>
        <v>0</v>
      </c>
      <c r="BQ32" s="104">
        <f>'BS - Monthly'!BR35-'BS - Monthly'!BQ35</f>
        <v>0</v>
      </c>
      <c r="BR32" s="104">
        <f>'BS - Monthly'!BS35-'BS - Monthly'!BR35</f>
        <v>0</v>
      </c>
      <c r="BS32" s="104">
        <f>'BS - Monthly'!BT35-'BS - Monthly'!BS35</f>
        <v>0</v>
      </c>
      <c r="BT32" s="104">
        <f>'BS - Monthly'!BU35-'BS - Monthly'!BT35</f>
        <v>0</v>
      </c>
      <c r="BU32" s="104">
        <f>'BS - Monthly'!BV35-'BS - Monthly'!BU35</f>
        <v>0</v>
      </c>
      <c r="BV32" s="104">
        <f>'BS - Monthly'!BW35-'BS - Monthly'!BV35</f>
        <v>0</v>
      </c>
    </row>
    <row r="33" spans="1:74" outlineLevel="2" x14ac:dyDescent="0.25">
      <c r="A33" s="27" t="s">
        <v>421</v>
      </c>
      <c r="E33" s="104"/>
      <c r="F33" s="104"/>
      <c r="G33" s="104"/>
      <c r="H33" s="104"/>
      <c r="I33" s="104"/>
      <c r="J33" s="104"/>
      <c r="K33" s="104"/>
      <c r="L33" s="24"/>
      <c r="M33" s="104"/>
      <c r="N33" s="104"/>
      <c r="O33" s="104"/>
      <c r="P33" s="104"/>
      <c r="Q33" s="104"/>
      <c r="R33" s="104"/>
      <c r="S33" s="104"/>
      <c r="T33" s="104"/>
      <c r="U33" s="104"/>
      <c r="V33" s="104"/>
      <c r="W33" s="104"/>
      <c r="X33" s="104"/>
      <c r="Y33" s="104"/>
      <c r="Z33" s="104"/>
      <c r="AA33" s="104"/>
      <c r="AB33" s="104"/>
      <c r="AC33" s="104"/>
      <c r="AD33" s="104"/>
      <c r="AE33" s="104"/>
      <c r="AF33" s="104"/>
      <c r="AG33" s="104"/>
      <c r="AH33" s="104"/>
      <c r="AI33" s="104"/>
      <c r="AJ33" s="104"/>
      <c r="AK33" s="104"/>
      <c r="AL33" s="104"/>
      <c r="AM33" s="104"/>
      <c r="AN33" s="104"/>
      <c r="AO33" s="104"/>
      <c r="AP33" s="104"/>
      <c r="AQ33" s="104"/>
      <c r="AR33" s="104"/>
      <c r="AS33" s="104"/>
      <c r="AT33" s="104"/>
      <c r="AU33" s="104"/>
      <c r="AV33" s="104"/>
      <c r="AW33" s="104"/>
      <c r="AX33" s="104"/>
      <c r="AY33" s="104"/>
      <c r="AZ33" s="104"/>
      <c r="BA33" s="104"/>
      <c r="BB33" s="104"/>
      <c r="BC33" s="104"/>
      <c r="BD33" s="104"/>
      <c r="BE33" s="104"/>
      <c r="BF33" s="104"/>
      <c r="BG33" s="104"/>
      <c r="BH33" s="104"/>
      <c r="BI33" s="104"/>
      <c r="BJ33" s="104"/>
      <c r="BK33" s="104"/>
      <c r="BL33" s="104"/>
      <c r="BM33" s="104"/>
      <c r="BN33" s="104"/>
      <c r="BO33" s="104"/>
      <c r="BP33" s="104"/>
      <c r="BQ33" s="104"/>
      <c r="BR33" s="104"/>
      <c r="BS33" s="104"/>
      <c r="BT33" s="104"/>
      <c r="BU33" s="104"/>
      <c r="BV33" s="104"/>
    </row>
    <row r="34" spans="1:74" outlineLevel="2" x14ac:dyDescent="0.25">
      <c r="B34" s="27" t="s">
        <v>236</v>
      </c>
      <c r="E34" s="104"/>
      <c r="F34" s="104"/>
      <c r="G34" s="104"/>
      <c r="H34" s="104"/>
      <c r="I34" s="104"/>
      <c r="J34" s="104"/>
      <c r="K34" s="104"/>
      <c r="L34" s="227"/>
      <c r="M34" s="104"/>
      <c r="N34" s="104">
        <v>0</v>
      </c>
      <c r="O34" s="104"/>
      <c r="P34" s="104">
        <f>17499994-379175</f>
        <v>17120819</v>
      </c>
      <c r="Q34" s="104">
        <f>'BS - Monthly'!R43-'BS - Monthly'!Q43</f>
        <v>0</v>
      </c>
      <c r="R34" s="104">
        <f>'BS - Monthly'!S43-'BS - Monthly'!R43</f>
        <v>0</v>
      </c>
      <c r="S34" s="104">
        <f>'BS - Monthly'!T43-'BS - Monthly'!S43</f>
        <v>0</v>
      </c>
      <c r="T34" s="104">
        <f>'BS - Monthly'!U43-'BS - Monthly'!T43</f>
        <v>0</v>
      </c>
      <c r="U34" s="104">
        <f>'BS - Monthly'!V43-'BS - Monthly'!U43</f>
        <v>0</v>
      </c>
      <c r="V34" s="104">
        <f>'BS - Monthly'!W43-'BS - Monthly'!V43</f>
        <v>0</v>
      </c>
      <c r="W34" s="104">
        <f>'BS - Monthly'!X43-'BS - Monthly'!W43</f>
        <v>0</v>
      </c>
      <c r="X34" s="104">
        <f>'BS - Monthly'!Y43-'BS - Monthly'!X43</f>
        <v>0</v>
      </c>
      <c r="Y34" s="104">
        <f>'BS - Monthly'!Z43-'BS - Monthly'!Y43</f>
        <v>0</v>
      </c>
      <c r="Z34" s="104">
        <f>'BS - Monthly'!AA43-'BS - Monthly'!Z43</f>
        <v>0</v>
      </c>
      <c r="AA34" s="104">
        <f>'BS - Monthly'!AB43-'BS - Monthly'!AA43</f>
        <v>0</v>
      </c>
      <c r="AB34" s="104">
        <f>'BS - Monthly'!AC43-'BS - Monthly'!AB43</f>
        <v>0</v>
      </c>
      <c r="AC34" s="104">
        <f>'BS - Monthly'!AD43-'BS - Monthly'!AC43</f>
        <v>0</v>
      </c>
      <c r="AD34" s="104">
        <f>'BS - Monthly'!AE43-'BS - Monthly'!AD43</f>
        <v>0</v>
      </c>
      <c r="AE34" s="104">
        <f>'BS - Monthly'!AF43-'BS - Monthly'!AE43</f>
        <v>0</v>
      </c>
      <c r="AF34" s="104">
        <f>'BS - Monthly'!AG43-'BS - Monthly'!AF43</f>
        <v>0</v>
      </c>
      <c r="AG34" s="104">
        <f>'BS - Monthly'!AH43-'BS - Monthly'!AG43</f>
        <v>0</v>
      </c>
      <c r="AH34" s="104">
        <f>'BS - Monthly'!AI43-'BS - Monthly'!AH43</f>
        <v>0</v>
      </c>
      <c r="AI34" s="104">
        <f>'BS - Monthly'!AJ43-'BS - Monthly'!AI43</f>
        <v>0</v>
      </c>
      <c r="AJ34" s="104">
        <f>'BS - Monthly'!AK43-'BS - Monthly'!AJ43</f>
        <v>0</v>
      </c>
      <c r="AK34" s="104">
        <f>'BS - Monthly'!AL43-'BS - Monthly'!AK43</f>
        <v>0</v>
      </c>
      <c r="AL34" s="104">
        <f>'BS - Monthly'!AM43-'BS - Monthly'!AL43</f>
        <v>0</v>
      </c>
      <c r="AM34" s="104">
        <f>'BS - Monthly'!AN43-'BS - Monthly'!AM43</f>
        <v>0</v>
      </c>
      <c r="AN34" s="104">
        <f>'BS - Monthly'!AO43-'BS - Monthly'!AN43</f>
        <v>0</v>
      </c>
      <c r="AO34" s="104">
        <f>'BS - Monthly'!AP43-'BS - Monthly'!AO43</f>
        <v>0</v>
      </c>
      <c r="AP34" s="104">
        <f>'BS - Monthly'!AQ43-'BS - Monthly'!AP43</f>
        <v>0</v>
      </c>
      <c r="AQ34" s="104">
        <f>'BS - Monthly'!AR43-'BS - Monthly'!AQ43</f>
        <v>0</v>
      </c>
      <c r="AR34" s="104">
        <f>'BS - Monthly'!AS43-'BS - Monthly'!AR43</f>
        <v>0</v>
      </c>
      <c r="AS34" s="104">
        <f>'BS - Monthly'!AT43-'BS - Monthly'!AS43</f>
        <v>0</v>
      </c>
      <c r="AT34" s="104">
        <f>'BS - Monthly'!AU43-'BS - Monthly'!AT43</f>
        <v>0</v>
      </c>
      <c r="AU34" s="104">
        <f>'BS - Monthly'!AV43-'BS - Monthly'!AU43</f>
        <v>0</v>
      </c>
      <c r="AV34" s="104">
        <f>'BS - Monthly'!AW43-'BS - Monthly'!AV43</f>
        <v>0</v>
      </c>
      <c r="AW34" s="104">
        <f>'BS - Monthly'!AX43-'BS - Monthly'!AW43</f>
        <v>0</v>
      </c>
      <c r="AX34" s="104">
        <f>'BS - Monthly'!AY43-'BS - Monthly'!AX43</f>
        <v>0</v>
      </c>
      <c r="AY34" s="104">
        <f>'BS - Monthly'!AZ43-'BS - Monthly'!AY43</f>
        <v>0</v>
      </c>
      <c r="AZ34" s="104">
        <f>'BS - Monthly'!BA43-'BS - Monthly'!AZ43</f>
        <v>0</v>
      </c>
      <c r="BA34" s="104">
        <f>'BS - Monthly'!BB43-'BS - Monthly'!BA43</f>
        <v>0</v>
      </c>
      <c r="BB34" s="104">
        <f>'BS - Monthly'!BC43-'BS - Monthly'!BB43</f>
        <v>0</v>
      </c>
      <c r="BC34" s="104">
        <f>'BS - Monthly'!BD43-'BS - Monthly'!BC43</f>
        <v>0</v>
      </c>
      <c r="BD34" s="104">
        <f>'BS - Monthly'!BE43-'BS - Monthly'!BD43</f>
        <v>0</v>
      </c>
      <c r="BE34" s="104">
        <f>'BS - Monthly'!BF43-'BS - Monthly'!BE43</f>
        <v>0</v>
      </c>
      <c r="BF34" s="104">
        <f>'BS - Monthly'!BG43-'BS - Monthly'!BF43</f>
        <v>0</v>
      </c>
      <c r="BG34" s="104">
        <f>'BS - Monthly'!BH43-'BS - Monthly'!BG43</f>
        <v>0</v>
      </c>
      <c r="BH34" s="104">
        <f>'BS - Monthly'!BI43-'BS - Monthly'!BH43</f>
        <v>0</v>
      </c>
      <c r="BI34" s="104">
        <f>'BS - Monthly'!BJ43-'BS - Monthly'!BI43</f>
        <v>0</v>
      </c>
      <c r="BJ34" s="104">
        <f>'BS - Monthly'!BK43-'BS - Monthly'!BJ43</f>
        <v>0</v>
      </c>
      <c r="BK34" s="104">
        <f>'BS - Monthly'!BL43-'BS - Monthly'!BK43</f>
        <v>0</v>
      </c>
      <c r="BL34" s="104">
        <f>'BS - Monthly'!BM43-'BS - Monthly'!BL43</f>
        <v>0</v>
      </c>
      <c r="BM34" s="104">
        <f>'BS - Monthly'!BN43-'BS - Monthly'!BM43</f>
        <v>0</v>
      </c>
      <c r="BN34" s="104">
        <f>'BS - Monthly'!BO43-'BS - Monthly'!BN43</f>
        <v>0</v>
      </c>
      <c r="BO34" s="104">
        <f>'BS - Monthly'!BP43-'BS - Monthly'!BO43</f>
        <v>0</v>
      </c>
      <c r="BP34" s="104">
        <f>'BS - Monthly'!BQ43-'BS - Monthly'!BP43</f>
        <v>0</v>
      </c>
      <c r="BQ34" s="104">
        <f>'BS - Monthly'!BR43-'BS - Monthly'!BQ43</f>
        <v>0</v>
      </c>
      <c r="BR34" s="104">
        <f>'BS - Monthly'!BS43-'BS - Monthly'!BR43</f>
        <v>0</v>
      </c>
      <c r="BS34" s="104">
        <f>'BS - Monthly'!BT43-'BS - Monthly'!BS43</f>
        <v>0</v>
      </c>
      <c r="BT34" s="104">
        <f>'BS - Monthly'!BU43-'BS - Monthly'!BT43</f>
        <v>0</v>
      </c>
      <c r="BU34" s="104">
        <f>'BS - Monthly'!BV43-'BS - Monthly'!BU43</f>
        <v>0</v>
      </c>
      <c r="BV34" s="104">
        <f>'BS - Monthly'!BW43-'BS - Monthly'!BV43</f>
        <v>0</v>
      </c>
    </row>
    <row r="35" spans="1:74" outlineLevel="2" x14ac:dyDescent="0.25">
      <c r="B35" s="27" t="s">
        <v>111</v>
      </c>
      <c r="E35" s="104"/>
      <c r="F35" s="104"/>
      <c r="G35" s="104"/>
      <c r="H35" s="104"/>
      <c r="I35" s="104"/>
      <c r="J35" s="104"/>
      <c r="K35" s="104"/>
      <c r="L35" s="24"/>
      <c r="M35" s="104"/>
      <c r="N35" s="104"/>
      <c r="O35" s="104"/>
      <c r="P35" s="104">
        <v>-1099970.8799999999</v>
      </c>
      <c r="Q35" s="104">
        <f>'BS - Monthly'!R42-'BS - Monthly'!Q42</f>
        <v>-28.98</v>
      </c>
      <c r="R35" s="104">
        <f>'BS - Monthly'!S42-'BS - Monthly'!R42</f>
        <v>0</v>
      </c>
      <c r="S35" s="104">
        <f>'BS - Monthly'!T42-'BS - Monthly'!S42</f>
        <v>0</v>
      </c>
      <c r="T35" s="104">
        <f>'BS - Monthly'!U42-'BS - Monthly'!T42</f>
        <v>0</v>
      </c>
      <c r="U35" s="104">
        <f>'BS - Monthly'!V42-'BS - Monthly'!U42</f>
        <v>0</v>
      </c>
      <c r="V35" s="104">
        <f>'BS - Monthly'!W42-'BS - Monthly'!V42</f>
        <v>0</v>
      </c>
      <c r="W35" s="104">
        <f>'BS - Monthly'!X42-'BS - Monthly'!W42</f>
        <v>0</v>
      </c>
      <c r="X35" s="104"/>
      <c r="Y35" s="615">
        <f>'BS - Monthly'!Z42-'BS - Monthly'!Y42</f>
        <v>0</v>
      </c>
      <c r="Z35" s="104">
        <f>'BS - Monthly'!AA42-'BS - Monthly'!Z42</f>
        <v>0</v>
      </c>
      <c r="AA35" s="104">
        <f>'BS - Monthly'!AB42-'BS - Monthly'!AA42</f>
        <v>0</v>
      </c>
      <c r="AB35" s="104">
        <f>'BS - Monthly'!AC42-'BS - Monthly'!AB42</f>
        <v>0</v>
      </c>
      <c r="AC35" s="104">
        <f>'BS - Monthly'!AD42-'BS - Monthly'!AC42</f>
        <v>0</v>
      </c>
      <c r="AD35" s="104">
        <f>'BS - Monthly'!AE42-'BS - Monthly'!AD42</f>
        <v>0</v>
      </c>
      <c r="AE35" s="104">
        <f>'BS - Monthly'!AF42-'BS - Monthly'!AE42</f>
        <v>0</v>
      </c>
      <c r="AF35" s="104">
        <f>'BS - Monthly'!AG42-'BS - Monthly'!AF42</f>
        <v>0</v>
      </c>
      <c r="AG35" s="104">
        <f>'BS - Monthly'!AH42-'BS - Monthly'!AG42</f>
        <v>0</v>
      </c>
      <c r="AH35" s="104">
        <f>'BS - Monthly'!AI42-'BS - Monthly'!AH42</f>
        <v>0</v>
      </c>
      <c r="AI35" s="104">
        <f>'BS - Monthly'!AJ42-'BS - Monthly'!AI42</f>
        <v>0</v>
      </c>
      <c r="AJ35" s="104">
        <f>'BS - Monthly'!AK42-'BS - Monthly'!AJ42</f>
        <v>0</v>
      </c>
      <c r="AK35" s="104">
        <f>'BS - Monthly'!AL42-'BS - Monthly'!AK42</f>
        <v>0</v>
      </c>
      <c r="AL35" s="104">
        <f>'BS - Monthly'!AM42-'BS - Monthly'!AL42</f>
        <v>0</v>
      </c>
      <c r="AM35" s="104">
        <f>'BS - Monthly'!AN42-'BS - Monthly'!AM42</f>
        <v>0</v>
      </c>
      <c r="AN35" s="104">
        <f>'BS - Monthly'!AO42-'BS - Monthly'!AN42</f>
        <v>0</v>
      </c>
      <c r="AO35" s="104">
        <f>'BS - Monthly'!AP42-'BS - Monthly'!AO42</f>
        <v>0</v>
      </c>
      <c r="AP35" s="104">
        <f>'BS - Monthly'!AQ42-'BS - Monthly'!AP42</f>
        <v>0</v>
      </c>
      <c r="AQ35" s="104">
        <f>'BS - Monthly'!AR42-'BS - Monthly'!AQ42</f>
        <v>0</v>
      </c>
      <c r="AR35" s="104">
        <f>'BS - Monthly'!AS42-'BS - Monthly'!AR42</f>
        <v>0</v>
      </c>
      <c r="AS35" s="104">
        <f>'BS - Monthly'!AT42-'BS - Monthly'!AS42</f>
        <v>0</v>
      </c>
      <c r="AT35" s="104">
        <f>'BS - Monthly'!AU42-'BS - Monthly'!AT42</f>
        <v>0</v>
      </c>
      <c r="AU35" s="104">
        <f>'BS - Monthly'!AV42-'BS - Monthly'!AU42</f>
        <v>0</v>
      </c>
      <c r="AV35" s="104">
        <f>'BS - Monthly'!AW42-'BS - Monthly'!AV42</f>
        <v>0</v>
      </c>
      <c r="AW35" s="104">
        <f>'BS - Monthly'!AX42-'BS - Monthly'!AW42</f>
        <v>0</v>
      </c>
      <c r="AX35" s="104">
        <f>'BS - Monthly'!AY42-'BS - Monthly'!AX42</f>
        <v>0</v>
      </c>
      <c r="AY35" s="104">
        <f>'BS - Monthly'!AZ42-'BS - Monthly'!AY42</f>
        <v>0</v>
      </c>
      <c r="AZ35" s="104">
        <f>'BS - Monthly'!BA42-'BS - Monthly'!AZ42</f>
        <v>0</v>
      </c>
      <c r="BA35" s="104">
        <f>'BS - Monthly'!BB42-'BS - Monthly'!BA42</f>
        <v>0</v>
      </c>
      <c r="BB35" s="104">
        <f>'BS - Monthly'!BC42-'BS - Monthly'!BB42</f>
        <v>0</v>
      </c>
      <c r="BC35" s="104">
        <f>'BS - Monthly'!BD42-'BS - Monthly'!BC42</f>
        <v>0</v>
      </c>
      <c r="BD35" s="104">
        <f>'BS - Monthly'!BE42-'BS - Monthly'!BD42</f>
        <v>0</v>
      </c>
      <c r="BE35" s="104">
        <f>'BS - Monthly'!BF42-'BS - Monthly'!BE42</f>
        <v>0</v>
      </c>
      <c r="BF35" s="104">
        <f>'BS - Monthly'!BG42-'BS - Monthly'!BF42</f>
        <v>0</v>
      </c>
      <c r="BG35" s="104">
        <f>'BS - Monthly'!BH42-'BS - Monthly'!BG42</f>
        <v>0</v>
      </c>
      <c r="BH35" s="104">
        <f>'BS - Monthly'!BI42-'BS - Monthly'!BH42</f>
        <v>0</v>
      </c>
      <c r="BI35" s="104">
        <f>'BS - Monthly'!BJ42-'BS - Monthly'!BI42</f>
        <v>0</v>
      </c>
      <c r="BJ35" s="104">
        <f>'BS - Monthly'!BK42-'BS - Monthly'!BJ42</f>
        <v>0</v>
      </c>
      <c r="BK35" s="104">
        <f>'BS - Monthly'!BL42-'BS - Monthly'!BK42</f>
        <v>0</v>
      </c>
      <c r="BL35" s="104">
        <f>'BS - Monthly'!BM42-'BS - Monthly'!BL42</f>
        <v>0</v>
      </c>
      <c r="BM35" s="104">
        <f>'BS - Monthly'!BN42-'BS - Monthly'!BM42</f>
        <v>0</v>
      </c>
      <c r="BN35" s="104">
        <f>'BS - Monthly'!BO42-'BS - Monthly'!BN42</f>
        <v>0</v>
      </c>
      <c r="BO35" s="104">
        <f>'BS - Monthly'!BP42-'BS - Monthly'!BO42</f>
        <v>0</v>
      </c>
      <c r="BP35" s="104">
        <f>'BS - Monthly'!BQ42-'BS - Monthly'!BP42</f>
        <v>0</v>
      </c>
      <c r="BQ35" s="104">
        <f>'BS - Monthly'!BR42-'BS - Monthly'!BQ42</f>
        <v>0</v>
      </c>
      <c r="BR35" s="104">
        <f>'BS - Monthly'!BS42-'BS - Monthly'!BR42</f>
        <v>0</v>
      </c>
      <c r="BS35" s="104">
        <f>'BS - Monthly'!BT42-'BS - Monthly'!BS42</f>
        <v>0</v>
      </c>
      <c r="BT35" s="104">
        <f>'BS - Monthly'!BU42-'BS - Monthly'!BT42</f>
        <v>0</v>
      </c>
      <c r="BU35" s="104">
        <f>'BS - Monthly'!BV42-'BS - Monthly'!BU42</f>
        <v>0</v>
      </c>
      <c r="BV35" s="104">
        <f>'BS - Monthly'!BW42-'BS - Monthly'!BV42</f>
        <v>0</v>
      </c>
    </row>
    <row r="36" spans="1:74" outlineLevel="2" x14ac:dyDescent="0.25">
      <c r="B36" s="27" t="s">
        <v>112</v>
      </c>
      <c r="E36" s="104"/>
      <c r="F36" s="104"/>
      <c r="G36" s="104"/>
      <c r="H36" s="104"/>
      <c r="I36" s="104"/>
      <c r="J36" s="104"/>
      <c r="K36" s="104"/>
      <c r="L36" s="227"/>
      <c r="M36" s="104"/>
      <c r="N36" s="104"/>
      <c r="O36" s="104"/>
      <c r="P36" s="104"/>
      <c r="Q36" s="104"/>
      <c r="R36" s="104"/>
      <c r="S36" s="104"/>
      <c r="T36" s="104"/>
      <c r="U36" s="104"/>
      <c r="V36" s="104"/>
      <c r="W36" s="104"/>
      <c r="X36" s="104"/>
      <c r="Y36" s="104"/>
      <c r="Z36" s="104"/>
      <c r="AA36" s="104"/>
      <c r="AB36" s="104"/>
      <c r="AC36" s="104"/>
      <c r="AD36" s="104"/>
      <c r="AE36" s="104"/>
      <c r="AF36" s="104"/>
      <c r="AG36" s="104"/>
      <c r="AH36" s="104"/>
      <c r="AI36" s="104"/>
      <c r="AJ36" s="104"/>
      <c r="AK36" s="104"/>
      <c r="AL36" s="104"/>
      <c r="AM36" s="104"/>
      <c r="AN36" s="104"/>
      <c r="AO36" s="104"/>
      <c r="AP36" s="104"/>
      <c r="AQ36" s="104"/>
      <c r="AR36" s="104"/>
      <c r="AS36" s="104"/>
      <c r="AT36" s="104"/>
      <c r="AU36" s="104"/>
      <c r="AV36" s="104"/>
      <c r="AW36" s="104"/>
      <c r="AX36" s="104"/>
      <c r="AY36" s="104"/>
      <c r="AZ36" s="104"/>
      <c r="BA36" s="104"/>
      <c r="BB36" s="104"/>
      <c r="BC36" s="104"/>
      <c r="BD36" s="104"/>
      <c r="BE36" s="104"/>
      <c r="BF36" s="104"/>
      <c r="BG36" s="104"/>
      <c r="BH36" s="104"/>
      <c r="BI36" s="104"/>
      <c r="BJ36" s="104"/>
      <c r="BK36" s="104"/>
      <c r="BL36" s="104"/>
      <c r="BM36" s="104"/>
      <c r="BN36" s="104"/>
      <c r="BO36" s="104"/>
      <c r="BP36" s="104"/>
      <c r="BQ36" s="104"/>
      <c r="BR36" s="104"/>
      <c r="BS36" s="104"/>
      <c r="BT36" s="104"/>
      <c r="BU36" s="104"/>
      <c r="BV36" s="104"/>
    </row>
    <row r="37" spans="1:74" ht="13" outlineLevel="1" x14ac:dyDescent="0.3">
      <c r="A37" s="23" t="s">
        <v>178</v>
      </c>
      <c r="E37" s="113">
        <f t="shared" ref="E37:O37" si="14">SUM(E29:E36)</f>
        <v>-16667</v>
      </c>
      <c r="F37" s="113">
        <f t="shared" si="14"/>
        <v>-554300.66</v>
      </c>
      <c r="G37" s="113">
        <f t="shared" si="14"/>
        <v>-266666.66000000003</v>
      </c>
      <c r="H37" s="113">
        <f t="shared" si="14"/>
        <v>-554300.66</v>
      </c>
      <c r="I37" s="113">
        <f t="shared" si="14"/>
        <v>-216666.66000000047</v>
      </c>
      <c r="J37" s="113">
        <f t="shared" si="14"/>
        <v>-316666.66000000003</v>
      </c>
      <c r="K37" s="113">
        <f t="shared" si="14"/>
        <v>-216666.66000000047</v>
      </c>
      <c r="L37" s="113">
        <f t="shared" si="14"/>
        <v>-16667.039999999994</v>
      </c>
      <c r="M37" s="113">
        <f t="shared" si="14"/>
        <v>-849999.99999999907</v>
      </c>
      <c r="N37" s="113">
        <f t="shared" si="14"/>
        <v>-600000</v>
      </c>
      <c r="O37" s="113">
        <f t="shared" si="14"/>
        <v>-1075270.0000000009</v>
      </c>
      <c r="P37" s="113">
        <f>SUM(P29:P31,P34:P36)</f>
        <v>27421324.120000001</v>
      </c>
      <c r="Q37" s="113">
        <f>SUM(Q29:Q31,Q34:Q36)</f>
        <v>-60478.970000000227</v>
      </c>
      <c r="R37" s="113">
        <f>SUM(R29:R31,R34:R36)</f>
        <v>-60267.009999999776</v>
      </c>
      <c r="S37" s="113">
        <f t="shared" ref="S37:W37" si="15">SUM(S29:S31,S34:S36)</f>
        <v>-60084.020000000019</v>
      </c>
      <c r="T37" s="113">
        <f t="shared" si="15"/>
        <v>-77532.319999999832</v>
      </c>
      <c r="U37" s="113">
        <f t="shared" si="15"/>
        <v>-103333.33000000007</v>
      </c>
      <c r="V37" s="113">
        <f t="shared" si="15"/>
        <v>-103333.33000000007</v>
      </c>
      <c r="W37" s="113">
        <f t="shared" si="15"/>
        <v>-103333.33000000007</v>
      </c>
      <c r="X37" s="113">
        <f>SUM(X29:X31,X34:X36)</f>
        <v>-103333.32999999984</v>
      </c>
      <c r="Y37" s="113">
        <f t="shared" ref="Y37:Z37" si="16">SUM(Y29:Y31,Y34:Y36)</f>
        <v>-103333.33000000007</v>
      </c>
      <c r="Z37" s="113">
        <f t="shared" si="16"/>
        <v>-103333.33000000007</v>
      </c>
      <c r="AA37" s="113">
        <f t="shared" ref="AA37:AC37" si="17">SUM(AA29:AA31,AA34:AA36)</f>
        <v>-103333.32999999984</v>
      </c>
      <c r="AB37" s="113">
        <f t="shared" si="17"/>
        <v>-103333.33000000007</v>
      </c>
      <c r="AC37" s="113">
        <f t="shared" si="17"/>
        <v>-211969.16941923578</v>
      </c>
      <c r="AD37" s="113">
        <f t="shared" ref="AD37:AN37" si="18">SUM(AD29:AD31,AD34:AD36)</f>
        <v>0</v>
      </c>
      <c r="AE37" s="113">
        <f t="shared" si="18"/>
        <v>0</v>
      </c>
      <c r="AF37" s="113">
        <f t="shared" si="18"/>
        <v>0</v>
      </c>
      <c r="AG37" s="113">
        <f t="shared" si="18"/>
        <v>0</v>
      </c>
      <c r="AH37" s="113">
        <f t="shared" si="18"/>
        <v>0</v>
      </c>
      <c r="AI37" s="113">
        <f t="shared" si="18"/>
        <v>0</v>
      </c>
      <c r="AJ37" s="113">
        <f t="shared" si="18"/>
        <v>0</v>
      </c>
      <c r="AK37" s="113">
        <f t="shared" si="18"/>
        <v>0</v>
      </c>
      <c r="AL37" s="113">
        <f t="shared" si="18"/>
        <v>0</v>
      </c>
      <c r="AM37" s="113">
        <f t="shared" si="18"/>
        <v>0</v>
      </c>
      <c r="AN37" s="113">
        <f t="shared" si="18"/>
        <v>0</v>
      </c>
      <c r="AO37" s="113">
        <f t="shared" ref="AO37:AZ37" si="19">SUM(AO29:AO31,AO34:AO36)</f>
        <v>0</v>
      </c>
      <c r="AP37" s="113">
        <f t="shared" si="19"/>
        <v>0</v>
      </c>
      <c r="AQ37" s="113">
        <f t="shared" si="19"/>
        <v>0</v>
      </c>
      <c r="AR37" s="113">
        <f t="shared" si="19"/>
        <v>0</v>
      </c>
      <c r="AS37" s="113">
        <f t="shared" si="19"/>
        <v>0</v>
      </c>
      <c r="AT37" s="113">
        <f t="shared" si="19"/>
        <v>0</v>
      </c>
      <c r="AU37" s="113">
        <f t="shared" si="19"/>
        <v>0</v>
      </c>
      <c r="AV37" s="113">
        <f t="shared" si="19"/>
        <v>0</v>
      </c>
      <c r="AW37" s="113">
        <f t="shared" si="19"/>
        <v>0</v>
      </c>
      <c r="AX37" s="113">
        <f t="shared" si="19"/>
        <v>0</v>
      </c>
      <c r="AY37" s="113">
        <f t="shared" si="19"/>
        <v>0</v>
      </c>
      <c r="AZ37" s="113">
        <f t="shared" si="19"/>
        <v>0</v>
      </c>
      <c r="BA37" s="113">
        <f t="shared" ref="BA37:BL37" si="20">SUM(BA29:BA31,BA34:BA36)</f>
        <v>0</v>
      </c>
      <c r="BB37" s="113">
        <f t="shared" si="20"/>
        <v>0</v>
      </c>
      <c r="BC37" s="113">
        <f t="shared" si="20"/>
        <v>0</v>
      </c>
      <c r="BD37" s="113">
        <f t="shared" si="20"/>
        <v>0</v>
      </c>
      <c r="BE37" s="113">
        <f t="shared" si="20"/>
        <v>0</v>
      </c>
      <c r="BF37" s="113">
        <f t="shared" si="20"/>
        <v>0</v>
      </c>
      <c r="BG37" s="113">
        <f t="shared" si="20"/>
        <v>0</v>
      </c>
      <c r="BH37" s="113">
        <f t="shared" si="20"/>
        <v>0</v>
      </c>
      <c r="BI37" s="113">
        <f t="shared" si="20"/>
        <v>0</v>
      </c>
      <c r="BJ37" s="113">
        <f t="shared" si="20"/>
        <v>0</v>
      </c>
      <c r="BK37" s="113">
        <f t="shared" si="20"/>
        <v>0</v>
      </c>
      <c r="BL37" s="113">
        <f t="shared" si="20"/>
        <v>0</v>
      </c>
      <c r="BM37" s="113">
        <f t="shared" ref="BM37:BS37" si="21">SUM(BM29:BM31,BM34:BM36)</f>
        <v>0</v>
      </c>
      <c r="BN37" s="113">
        <f t="shared" si="21"/>
        <v>0</v>
      </c>
      <c r="BO37" s="113">
        <f t="shared" si="21"/>
        <v>0</v>
      </c>
      <c r="BP37" s="113">
        <f t="shared" si="21"/>
        <v>0</v>
      </c>
      <c r="BQ37" s="113">
        <f t="shared" si="21"/>
        <v>0</v>
      </c>
      <c r="BR37" s="113">
        <f t="shared" si="21"/>
        <v>0</v>
      </c>
      <c r="BS37" s="113">
        <f t="shared" si="21"/>
        <v>0</v>
      </c>
      <c r="BT37" s="113">
        <f t="shared" ref="BT37:BV37" si="22">SUM(BT29:BT31,BT34:BT36)</f>
        <v>0</v>
      </c>
      <c r="BU37" s="113">
        <f t="shared" si="22"/>
        <v>0</v>
      </c>
      <c r="BV37" s="113">
        <f t="shared" si="22"/>
        <v>0</v>
      </c>
    </row>
    <row r="38" spans="1:74" outlineLevel="2" x14ac:dyDescent="0.25">
      <c r="E38" s="104"/>
      <c r="F38" s="104"/>
      <c r="G38" s="104"/>
      <c r="H38" s="104"/>
      <c r="I38" s="104"/>
      <c r="J38" s="104"/>
      <c r="K38" s="104"/>
      <c r="L38" s="24"/>
      <c r="M38" s="104"/>
      <c r="N38" s="104"/>
      <c r="O38" s="104"/>
      <c r="P38" s="104"/>
      <c r="Q38" s="104"/>
      <c r="R38" s="104"/>
      <c r="S38" s="104"/>
      <c r="T38" s="104"/>
      <c r="U38" s="104"/>
      <c r="V38" s="104"/>
      <c r="W38" s="104"/>
      <c r="X38" s="104"/>
      <c r="Y38" s="104"/>
      <c r="Z38" s="104"/>
      <c r="AA38" s="104"/>
      <c r="AB38" s="104"/>
      <c r="AC38" s="104"/>
      <c r="AD38" s="104"/>
      <c r="AE38" s="104"/>
      <c r="AF38" s="104"/>
      <c r="AG38" s="104"/>
      <c r="AH38" s="104"/>
      <c r="AI38" s="104"/>
      <c r="AJ38" s="104"/>
      <c r="AK38" s="104"/>
      <c r="AL38" s="104"/>
      <c r="AM38" s="104"/>
      <c r="AN38" s="104"/>
      <c r="AO38" s="104"/>
      <c r="AP38" s="104"/>
      <c r="AQ38" s="104"/>
      <c r="AR38" s="104"/>
      <c r="AS38" s="104"/>
      <c r="AT38" s="104"/>
      <c r="AU38" s="104"/>
      <c r="AV38" s="104"/>
      <c r="AW38" s="104"/>
      <c r="AX38" s="104"/>
      <c r="AY38" s="104"/>
      <c r="AZ38" s="104"/>
      <c r="BA38" s="104"/>
      <c r="BB38" s="104"/>
      <c r="BC38" s="104"/>
      <c r="BD38" s="104"/>
      <c r="BE38" s="104"/>
      <c r="BF38" s="104"/>
      <c r="BG38" s="104"/>
      <c r="BH38" s="104"/>
      <c r="BI38" s="104"/>
      <c r="BJ38" s="104"/>
      <c r="BK38" s="104"/>
      <c r="BL38" s="104"/>
      <c r="BM38" s="104"/>
      <c r="BN38" s="104"/>
      <c r="BO38" s="104"/>
      <c r="BP38" s="104"/>
      <c r="BQ38" s="104"/>
      <c r="BR38" s="104"/>
      <c r="BS38" s="104"/>
      <c r="BT38" s="104"/>
      <c r="BU38" s="104"/>
      <c r="BV38" s="104"/>
    </row>
    <row r="39" spans="1:74" outlineLevel="1" x14ac:dyDescent="0.25">
      <c r="A39" s="27" t="s">
        <v>129</v>
      </c>
      <c r="E39" s="104">
        <v>1003428.81</v>
      </c>
      <c r="F39" s="104">
        <f>'BS - Monthly'!F8</f>
        <v>1572588.96</v>
      </c>
      <c r="G39" s="104">
        <f>'BS - Monthly'!G8</f>
        <v>1390004.54</v>
      </c>
      <c r="H39" s="104">
        <f>'BS - Monthly'!H8</f>
        <v>1562923.57</v>
      </c>
      <c r="I39" s="104">
        <f>'BS - Monthly'!I8</f>
        <v>1655539.08</v>
      </c>
      <c r="J39" s="104">
        <f>'BS - Monthly'!J8</f>
        <v>2522633.6199999996</v>
      </c>
      <c r="K39" s="104">
        <f>'BS - Monthly'!K8</f>
        <v>2439482.09</v>
      </c>
      <c r="L39" s="24">
        <f>'BS - Monthly'!L8</f>
        <v>2672024.4699999997</v>
      </c>
      <c r="M39" s="104">
        <f>'BS - Monthly'!M8</f>
        <v>2738927.5500000003</v>
      </c>
      <c r="N39" s="104">
        <f>'BS - Monthly'!N8</f>
        <v>2469471.3199999998</v>
      </c>
      <c r="O39" s="104">
        <f>'BS - Monthly'!O8</f>
        <v>2267774.33</v>
      </c>
      <c r="P39" s="104">
        <f>'BS - Monthly'!P8</f>
        <v>1614256.28</v>
      </c>
      <c r="Q39" s="104">
        <f>'BS - Monthly'!Q8</f>
        <v>5762942.2999999998</v>
      </c>
      <c r="R39" s="104">
        <f>'BS - Monthly'!R8</f>
        <v>5602920.8500000006</v>
      </c>
      <c r="S39" s="104">
        <f>'BS - Monthly'!S8</f>
        <v>5609004</v>
      </c>
      <c r="T39" s="104">
        <f>'BS - Monthly'!T8</f>
        <v>6699887.0899999999</v>
      </c>
      <c r="U39" s="104">
        <f>'BS - Monthly'!U8</f>
        <v>6684013.5</v>
      </c>
      <c r="V39" s="104">
        <f>'BS - Monthly'!V8</f>
        <v>6513340.0199999996</v>
      </c>
      <c r="W39" s="104">
        <f>'BS - Monthly'!W8</f>
        <v>6453230.3499999996</v>
      </c>
      <c r="X39" s="104">
        <f>'BS - Monthly'!X8</f>
        <v>5989799.46</v>
      </c>
      <c r="Y39" s="104">
        <f>'BS - Monthly'!Y8</f>
        <v>5073684.67</v>
      </c>
      <c r="Z39" s="104">
        <f>'BS - Monthly'!Z8</f>
        <v>5413089.0899999999</v>
      </c>
      <c r="AA39" s="104">
        <f>'BS - Monthly'!AA8</f>
        <v>4842112.95</v>
      </c>
      <c r="AB39" s="104">
        <f>'BS - Monthly'!AB8</f>
        <v>4363408.34</v>
      </c>
      <c r="AC39" s="104">
        <f>'BS - Monthly'!AC8</f>
        <v>3757928.56</v>
      </c>
      <c r="AD39" s="104">
        <f>'BS - Monthly'!AD8</f>
        <v>4254594.9685709784</v>
      </c>
      <c r="AE39" s="104">
        <f>'BS - Monthly'!AE8</f>
        <v>4369872.6660298593</v>
      </c>
      <c r="AF39" s="104">
        <f>'BS - Monthly'!AF8</f>
        <v>4233014.5816157702</v>
      </c>
      <c r="AG39" s="104">
        <f>'BS - Monthly'!AG8</f>
        <v>3983241.8661335162</v>
      </c>
      <c r="AH39" s="104">
        <f>'BS - Monthly'!AH8</f>
        <v>3912977.1774634635</v>
      </c>
      <c r="AI39" s="104">
        <f>'BS - Monthly'!AI8</f>
        <v>3966617.7585496581</v>
      </c>
      <c r="AJ39" s="104">
        <f>'BS - Monthly'!AJ8</f>
        <v>3886680.5532746408</v>
      </c>
      <c r="AK39" s="104">
        <f>'BS - Monthly'!AK8</f>
        <v>4101982.2370824981</v>
      </c>
      <c r="AL39" s="104">
        <f>'BS - Monthly'!AL8</f>
        <v>4666025.6987458058</v>
      </c>
      <c r="AM39" s="104">
        <f>'BS - Monthly'!AM8</f>
        <v>5210245.4268281013</v>
      </c>
      <c r="AN39" s="104">
        <f>'BS - Monthly'!AN8</f>
        <v>5756758.0431503579</v>
      </c>
      <c r="AO39" s="104">
        <f>'BS - Monthly'!AO8</f>
        <v>5091018.6771587739</v>
      </c>
      <c r="AP39" s="104">
        <f>'BS - Monthly'!AP8</f>
        <v>5861477.2929896256</v>
      </c>
      <c r="AQ39" s="104">
        <f>'BS - Monthly'!AQ8</f>
        <v>6886593.3413831713</v>
      </c>
      <c r="AR39" s="104">
        <f>'BS - Monthly'!AR8</f>
        <v>8035371.688495148</v>
      </c>
      <c r="AS39" s="104">
        <f>'BS - Monthly'!AS8</f>
        <v>9306010.4955096021</v>
      </c>
      <c r="AT39" s="104">
        <f>'BS - Monthly'!AT8</f>
        <v>10699348.091678368</v>
      </c>
      <c r="AU39" s="104">
        <f>'BS - Monthly'!AU8</f>
        <v>12209238.196259659</v>
      </c>
      <c r="AV39" s="104">
        <f>'BS - Monthly'!AV8</f>
        <v>13839152.448847018</v>
      </c>
      <c r="AW39" s="104">
        <f>'BS - Monthly'!AW8</f>
        <v>15596940.756848242</v>
      </c>
      <c r="AX39" s="104">
        <f>'BS - Monthly'!AX8</f>
        <v>17475126.765971251</v>
      </c>
      <c r="AY39" s="104">
        <f>'BS - Monthly'!AY8</f>
        <v>19465208.75128261</v>
      </c>
      <c r="AZ39" s="104">
        <f>'BS - Monthly'!AZ8</f>
        <v>21579069.557515234</v>
      </c>
      <c r="BA39" s="104">
        <f>'BS - Monthly'!BA8</f>
        <v>22455029.169125773</v>
      </c>
      <c r="BB39" s="104">
        <f>'BS - Monthly'!BB8</f>
        <v>20247782.280068006</v>
      </c>
      <c r="BC39" s="104">
        <f>'BS - Monthly'!BC8</f>
        <v>18463607.580494225</v>
      </c>
      <c r="BD39" s="104">
        <f>'BS - Monthly'!BD8</f>
        <v>16863883.546557754</v>
      </c>
      <c r="BE39" s="104">
        <f>'BS - Monthly'!BE8</f>
        <v>15264772.099807339</v>
      </c>
      <c r="BF39" s="104">
        <f>'BS - Monthly'!BF8</f>
        <v>13665381.033642987</v>
      </c>
      <c r="BG39" s="104">
        <f>'BS - Monthly'!BG8</f>
        <v>12089177.43364149</v>
      </c>
      <c r="BH39" s="104">
        <f>'BS - Monthly'!BH8</f>
        <v>10512623.873945208</v>
      </c>
      <c r="BI39" s="104">
        <f>'BS - Monthly'!BI8</f>
        <v>8936724.1593621448</v>
      </c>
      <c r="BJ39" s="104">
        <f>'BS - Monthly'!BJ8</f>
        <v>7359822.0714458078</v>
      </c>
      <c r="BK39" s="104">
        <f>'BS - Monthly'!BK8</f>
        <v>5783081.5468919706</v>
      </c>
      <c r="BL39" s="104">
        <f>'BS - Monthly'!BL8</f>
        <v>4205571.4945279369</v>
      </c>
      <c r="BM39" s="104">
        <f>'BS - Monthly'!BM8</f>
        <v>1238103.2734358483</v>
      </c>
      <c r="BN39" s="104">
        <f>'BS - Monthly'!BN8</f>
        <v>-248624.67818631674</v>
      </c>
      <c r="BO39" s="104">
        <f>'BS - Monthly'!BO8</f>
        <v>-1444065.8700302613</v>
      </c>
      <c r="BP39" s="104">
        <f>'BS - Monthly'!BP8</f>
        <v>-2642793.7961038882</v>
      </c>
      <c r="BQ39" s="104">
        <f>'BS - Monthly'!BQ8</f>
        <v>-3841198.2403781083</v>
      </c>
      <c r="BR39" s="104">
        <f>'BS - Monthly'!BR8</f>
        <v>-5040373.7762246802</v>
      </c>
      <c r="BS39" s="104">
        <f>'BS - Monthly'!BS8</f>
        <v>-6239291.8547283076</v>
      </c>
      <c r="BT39" s="104">
        <f>'BS - Monthly'!BT8</f>
        <v>-7439046.1285829395</v>
      </c>
      <c r="BU39" s="104">
        <f>'BS - Monthly'!BU8</f>
        <v>-8639142.599359775</v>
      </c>
      <c r="BV39" s="104">
        <f>'BS - Monthly'!BV8</f>
        <v>-9839085.1733765136</v>
      </c>
    </row>
    <row r="40" spans="1:74" x14ac:dyDescent="0.25">
      <c r="A40" s="27" t="s">
        <v>130</v>
      </c>
      <c r="E40" s="104">
        <f>SUM(E19,E25,E37)</f>
        <v>569160.09645420662</v>
      </c>
      <c r="F40" s="104">
        <f t="shared" ref="F40:AB40" si="23">SUM(F19,F25,F37)</f>
        <v>-182584.29669327324</v>
      </c>
      <c r="G40" s="104">
        <f t="shared" si="23"/>
        <v>172909.85682416492</v>
      </c>
      <c r="H40" s="104">
        <f t="shared" si="23"/>
        <v>92616.180339337792</v>
      </c>
      <c r="I40" s="104">
        <f t="shared" si="23"/>
        <v>867094.39094836114</v>
      </c>
      <c r="J40" s="104">
        <f t="shared" si="23"/>
        <v>-83151.243163924984</v>
      </c>
      <c r="K40" s="104">
        <f t="shared" si="23"/>
        <v>232542.19338788293</v>
      </c>
      <c r="L40" s="24">
        <f t="shared" si="23"/>
        <v>66902.666108046251</v>
      </c>
      <c r="M40" s="104">
        <f t="shared" si="23"/>
        <v>-269455.91742588696</v>
      </c>
      <c r="N40" s="104">
        <f t="shared" si="23"/>
        <v>-201696.85056876967</v>
      </c>
      <c r="O40" s="104">
        <f t="shared" si="23"/>
        <v>-653517.86737266823</v>
      </c>
      <c r="P40" s="104">
        <f t="shared" si="23"/>
        <v>4148687.0018056706</v>
      </c>
      <c r="Q40" s="104">
        <f t="shared" si="23"/>
        <v>-160049.43000000046</v>
      </c>
      <c r="R40" s="104">
        <f t="shared" si="23"/>
        <v>6083.1399999999994</v>
      </c>
      <c r="S40" s="104">
        <f t="shared" si="23"/>
        <v>1090882.9700000002</v>
      </c>
      <c r="T40" s="104">
        <f t="shared" si="23"/>
        <v>-15873.589999999444</v>
      </c>
      <c r="U40" s="104">
        <f t="shared" si="23"/>
        <v>-170673.47999999992</v>
      </c>
      <c r="V40" s="104">
        <f t="shared" si="23"/>
        <v>-60109.67000000042</v>
      </c>
      <c r="W40" s="104">
        <f t="shared" si="23"/>
        <v>-463437.00999999983</v>
      </c>
      <c r="X40" s="104">
        <f t="shared" ref="X40" si="24">SUM(X19,X25,X37)</f>
        <v>-916114.77999999851</v>
      </c>
      <c r="Y40" s="104">
        <f t="shared" si="23"/>
        <v>339404.41999999923</v>
      </c>
      <c r="Z40" s="104">
        <f>SUM(Z19,Z25,Z37)</f>
        <v>-570976.13999999943</v>
      </c>
      <c r="AA40" s="104">
        <f t="shared" si="23"/>
        <v>-478704.61000000057</v>
      </c>
      <c r="AB40" s="104">
        <f t="shared" si="23"/>
        <v>-605128.09999999939</v>
      </c>
      <c r="AC40" s="104">
        <f t="shared" ref="AC40:AM40" si="25">SUM(AC19,AC25,AC37)</f>
        <v>496666.40857097798</v>
      </c>
      <c r="AD40" s="104">
        <f t="shared" si="25"/>
        <v>115277.69745888139</v>
      </c>
      <c r="AE40" s="104">
        <f t="shared" si="25"/>
        <v>-136858.08441408924</v>
      </c>
      <c r="AF40" s="104">
        <f t="shared" si="25"/>
        <v>-249772.71548225399</v>
      </c>
      <c r="AG40" s="104">
        <f t="shared" si="25"/>
        <v>-70264.688670052565</v>
      </c>
      <c r="AH40" s="104">
        <f t="shared" si="25"/>
        <v>53640.581086194579</v>
      </c>
      <c r="AI40" s="104">
        <f t="shared" si="25"/>
        <v>-79937.205275017099</v>
      </c>
      <c r="AJ40" s="104">
        <f t="shared" si="25"/>
        <v>215301.6838078571</v>
      </c>
      <c r="AK40" s="104">
        <f t="shared" si="25"/>
        <v>564043.46166330785</v>
      </c>
      <c r="AL40" s="104">
        <f t="shared" si="25"/>
        <v>544219.72808229516</v>
      </c>
      <c r="AM40" s="104">
        <f t="shared" si="25"/>
        <v>546512.61632225616</v>
      </c>
      <c r="AN40" s="104">
        <f>SUM(AN19,AN25,AN37)</f>
        <v>-665739.36599158368</v>
      </c>
      <c r="AO40" s="104">
        <f t="shared" ref="AO40:AZ40" si="26">SUM(AO19,AO25,AO37)</f>
        <v>770458.61583085137</v>
      </c>
      <c r="AP40" s="104">
        <f t="shared" si="26"/>
        <v>1025116.0483935454</v>
      </c>
      <c r="AQ40" s="104">
        <f t="shared" si="26"/>
        <v>1148778.3471119767</v>
      </c>
      <c r="AR40" s="104">
        <f t="shared" si="26"/>
        <v>1270638.8070144551</v>
      </c>
      <c r="AS40" s="104">
        <f t="shared" si="26"/>
        <v>1393337.5961687658</v>
      </c>
      <c r="AT40" s="104">
        <f t="shared" si="26"/>
        <v>1509890.1045812899</v>
      </c>
      <c r="AU40" s="104">
        <f t="shared" si="26"/>
        <v>1629914.2525873601</v>
      </c>
      <c r="AV40" s="104">
        <f t="shared" si="26"/>
        <v>1757788.3080012233</v>
      </c>
      <c r="AW40" s="104">
        <f t="shared" si="26"/>
        <v>1878186.0091230101</v>
      </c>
      <c r="AX40" s="104">
        <f t="shared" si="26"/>
        <v>1990081.9853113606</v>
      </c>
      <c r="AY40" s="104">
        <f t="shared" si="26"/>
        <v>2113860.8062326219</v>
      </c>
      <c r="AZ40" s="104">
        <f t="shared" si="26"/>
        <v>875959.61161053751</v>
      </c>
      <c r="BA40" s="104">
        <f t="shared" ref="BA40:BL40" si="27">SUM(BA19,BA25,BA37)</f>
        <v>-2207246.8890577657</v>
      </c>
      <c r="BB40" s="104">
        <f t="shared" si="27"/>
        <v>-1784174.6995737804</v>
      </c>
      <c r="BC40" s="104">
        <f t="shared" si="27"/>
        <v>-1599724.03393647</v>
      </c>
      <c r="BD40" s="104">
        <f t="shared" si="27"/>
        <v>-1599111.4467504153</v>
      </c>
      <c r="BE40" s="104">
        <f t="shared" si="27"/>
        <v>-1599391.0661643527</v>
      </c>
      <c r="BF40" s="104">
        <f t="shared" si="27"/>
        <v>-1576203.6000014963</v>
      </c>
      <c r="BG40" s="104">
        <f t="shared" si="27"/>
        <v>-1576553.5596962816</v>
      </c>
      <c r="BH40" s="104">
        <f t="shared" si="27"/>
        <v>-1575899.7145830635</v>
      </c>
      <c r="BI40" s="104">
        <f t="shared" si="27"/>
        <v>-1576902.0879163367</v>
      </c>
      <c r="BJ40" s="104">
        <f t="shared" si="27"/>
        <v>-1576740.5245538375</v>
      </c>
      <c r="BK40" s="104">
        <f t="shared" si="27"/>
        <v>-1577510.0523640334</v>
      </c>
      <c r="BL40" s="104">
        <f t="shared" si="27"/>
        <v>-2967468.2210920886</v>
      </c>
      <c r="BM40" s="104">
        <f t="shared" ref="BM40:BS40" si="28">SUM(BM19,BM25,BM37)</f>
        <v>-1486727.951622165</v>
      </c>
      <c r="BN40" s="104">
        <f t="shared" si="28"/>
        <v>-1195441.1918439446</v>
      </c>
      <c r="BO40" s="104">
        <f t="shared" si="28"/>
        <v>-1198727.9260736271</v>
      </c>
      <c r="BP40" s="104">
        <f t="shared" si="28"/>
        <v>-1198404.4442742201</v>
      </c>
      <c r="BQ40" s="104">
        <f t="shared" si="28"/>
        <v>-1199175.5358465719</v>
      </c>
      <c r="BR40" s="104">
        <f t="shared" si="28"/>
        <v>-1198918.0785036276</v>
      </c>
      <c r="BS40" s="104">
        <f t="shared" si="28"/>
        <v>-1199754.2738546317</v>
      </c>
      <c r="BT40" s="104">
        <f t="shared" ref="BT40:BV40" si="29">SUM(BT19,BT25,BT37)</f>
        <v>-1200096.4707768362</v>
      </c>
      <c r="BU40" s="104">
        <f t="shared" si="29"/>
        <v>-1199942.5740167391</v>
      </c>
      <c r="BV40" s="104">
        <f t="shared" si="29"/>
        <v>-1200851.9566875477</v>
      </c>
    </row>
    <row r="41" spans="1:74" ht="13.5" thickBot="1" x14ac:dyDescent="0.35">
      <c r="A41" s="23" t="s">
        <v>131</v>
      </c>
      <c r="E41" s="208">
        <f>SUM(E39:E40)</f>
        <v>1572588.9064542067</v>
      </c>
      <c r="F41" s="109">
        <f t="shared" ref="F41:P41" si="30">SUM(F39:F40)</f>
        <v>1390004.6633067266</v>
      </c>
      <c r="G41" s="109">
        <f t="shared" si="30"/>
        <v>1562914.396824165</v>
      </c>
      <c r="H41" s="109">
        <f t="shared" si="30"/>
        <v>1655539.7503393379</v>
      </c>
      <c r="I41" s="109">
        <f t="shared" si="30"/>
        <v>2522633.4709483613</v>
      </c>
      <c r="J41" s="109">
        <f t="shared" si="30"/>
        <v>2439482.3768360745</v>
      </c>
      <c r="K41" s="109">
        <f t="shared" si="30"/>
        <v>2672024.2833878826</v>
      </c>
      <c r="L41" s="199">
        <f t="shared" si="30"/>
        <v>2738927.1361080459</v>
      </c>
      <c r="M41" s="109">
        <f t="shared" si="30"/>
        <v>2469471.6325741131</v>
      </c>
      <c r="N41" s="109">
        <f t="shared" si="30"/>
        <v>2267774.4694312303</v>
      </c>
      <c r="O41" s="109">
        <f t="shared" si="30"/>
        <v>1614256.4626273317</v>
      </c>
      <c r="P41" s="109">
        <f t="shared" si="30"/>
        <v>5762943.2818056708</v>
      </c>
      <c r="Q41" s="109">
        <f t="shared" ref="Q41:AA41" si="31">SUM(Q39:Q40)</f>
        <v>5602892.8699999992</v>
      </c>
      <c r="R41" s="109">
        <f t="shared" si="31"/>
        <v>5609003.9900000002</v>
      </c>
      <c r="S41" s="109">
        <f t="shared" si="31"/>
        <v>6699886.9700000007</v>
      </c>
      <c r="T41" s="109">
        <f t="shared" si="31"/>
        <v>6684013.5</v>
      </c>
      <c r="U41" s="109">
        <f t="shared" si="31"/>
        <v>6513340.0200000005</v>
      </c>
      <c r="V41" s="109">
        <f t="shared" si="31"/>
        <v>6453230.3499999987</v>
      </c>
      <c r="W41" s="109">
        <f t="shared" si="31"/>
        <v>5989793.3399999999</v>
      </c>
      <c r="X41" s="109">
        <f t="shared" ref="X41" si="32">SUM(X39:X40)</f>
        <v>5073684.6800000016</v>
      </c>
      <c r="Y41" s="109">
        <f t="shared" si="31"/>
        <v>5413089.0899999989</v>
      </c>
      <c r="Z41" s="109">
        <f t="shared" si="31"/>
        <v>4842112.95</v>
      </c>
      <c r="AA41" s="109">
        <f t="shared" si="31"/>
        <v>4363408.34</v>
      </c>
      <c r="AB41" s="109">
        <f>SUM(AB39:AB40)</f>
        <v>3758280.24</v>
      </c>
      <c r="AC41" s="109">
        <f t="shared" ref="AC41:AM41" si="33">SUM(AC39:AC40)</f>
        <v>4254594.9685709784</v>
      </c>
      <c r="AD41" s="109">
        <f t="shared" si="33"/>
        <v>4369872.6660298593</v>
      </c>
      <c r="AE41" s="109">
        <f t="shared" si="33"/>
        <v>4233014.5816157702</v>
      </c>
      <c r="AF41" s="109">
        <f t="shared" si="33"/>
        <v>3983241.8661335162</v>
      </c>
      <c r="AG41" s="109">
        <f t="shared" si="33"/>
        <v>3912977.1774634635</v>
      </c>
      <c r="AH41" s="109">
        <f t="shared" si="33"/>
        <v>3966617.7585496581</v>
      </c>
      <c r="AI41" s="109">
        <f t="shared" si="33"/>
        <v>3886680.5532746408</v>
      </c>
      <c r="AJ41" s="109">
        <f t="shared" si="33"/>
        <v>4101982.2370824981</v>
      </c>
      <c r="AK41" s="109">
        <f t="shared" si="33"/>
        <v>4666025.6987458058</v>
      </c>
      <c r="AL41" s="109">
        <f t="shared" si="33"/>
        <v>5210245.4268281013</v>
      </c>
      <c r="AM41" s="109">
        <f t="shared" si="33"/>
        <v>5756758.0431503579</v>
      </c>
      <c r="AN41" s="109">
        <f>SUM(AN39:AN40)</f>
        <v>5091018.6771587739</v>
      </c>
      <c r="AO41" s="109">
        <f t="shared" ref="AO41:AZ41" si="34">SUM(AO39:AO40)</f>
        <v>5861477.2929896256</v>
      </c>
      <c r="AP41" s="109">
        <f t="shared" si="34"/>
        <v>6886593.3413831713</v>
      </c>
      <c r="AQ41" s="109">
        <f t="shared" si="34"/>
        <v>8035371.688495148</v>
      </c>
      <c r="AR41" s="109">
        <f t="shared" si="34"/>
        <v>9306010.4955096021</v>
      </c>
      <c r="AS41" s="109">
        <f t="shared" si="34"/>
        <v>10699348.091678368</v>
      </c>
      <c r="AT41" s="109">
        <f t="shared" si="34"/>
        <v>12209238.196259659</v>
      </c>
      <c r="AU41" s="109">
        <f t="shared" si="34"/>
        <v>13839152.448847018</v>
      </c>
      <c r="AV41" s="109">
        <f t="shared" si="34"/>
        <v>15596940.756848242</v>
      </c>
      <c r="AW41" s="109">
        <f t="shared" si="34"/>
        <v>17475126.765971251</v>
      </c>
      <c r="AX41" s="109">
        <f t="shared" si="34"/>
        <v>19465208.75128261</v>
      </c>
      <c r="AY41" s="109">
        <f t="shared" si="34"/>
        <v>21579069.557515234</v>
      </c>
      <c r="AZ41" s="109">
        <f t="shared" si="34"/>
        <v>22455029.169125773</v>
      </c>
      <c r="BA41" s="109">
        <f t="shared" ref="BA41:BL41" si="35">SUM(BA39:BA40)</f>
        <v>20247782.280068006</v>
      </c>
      <c r="BB41" s="109">
        <f t="shared" si="35"/>
        <v>18463607.580494225</v>
      </c>
      <c r="BC41" s="109">
        <f t="shared" si="35"/>
        <v>16863883.546557754</v>
      </c>
      <c r="BD41" s="109">
        <f t="shared" si="35"/>
        <v>15264772.099807339</v>
      </c>
      <c r="BE41" s="109">
        <f t="shared" si="35"/>
        <v>13665381.033642987</v>
      </c>
      <c r="BF41" s="109">
        <f t="shared" si="35"/>
        <v>12089177.43364149</v>
      </c>
      <c r="BG41" s="109">
        <f t="shared" si="35"/>
        <v>10512623.873945208</v>
      </c>
      <c r="BH41" s="109">
        <f t="shared" si="35"/>
        <v>8936724.1593621448</v>
      </c>
      <c r="BI41" s="109">
        <f t="shared" si="35"/>
        <v>7359822.0714458078</v>
      </c>
      <c r="BJ41" s="109">
        <f t="shared" si="35"/>
        <v>5783081.5468919706</v>
      </c>
      <c r="BK41" s="109">
        <f t="shared" si="35"/>
        <v>4205571.4945279369</v>
      </c>
      <c r="BL41" s="109">
        <f t="shared" si="35"/>
        <v>1238103.2734358483</v>
      </c>
      <c r="BM41" s="109">
        <f t="shared" ref="BM41:BS41" si="36">SUM(BM39:BM40)</f>
        <v>-248624.67818631674</v>
      </c>
      <c r="BN41" s="109">
        <f t="shared" si="36"/>
        <v>-1444065.8700302613</v>
      </c>
      <c r="BO41" s="109">
        <f t="shared" si="36"/>
        <v>-2642793.7961038882</v>
      </c>
      <c r="BP41" s="109">
        <f t="shared" si="36"/>
        <v>-3841198.2403781083</v>
      </c>
      <c r="BQ41" s="109">
        <f t="shared" si="36"/>
        <v>-5040373.7762246802</v>
      </c>
      <c r="BR41" s="109">
        <f t="shared" si="36"/>
        <v>-6239291.8547283076</v>
      </c>
      <c r="BS41" s="109">
        <f t="shared" si="36"/>
        <v>-7439046.1285829395</v>
      </c>
      <c r="BT41" s="109">
        <f t="shared" ref="BT41:BV41" si="37">SUM(BT39:BT40)</f>
        <v>-8639142.599359775</v>
      </c>
      <c r="BU41" s="109">
        <f t="shared" si="37"/>
        <v>-9839085.1733765136</v>
      </c>
      <c r="BV41" s="109">
        <f t="shared" si="37"/>
        <v>-11039937.130064061</v>
      </c>
    </row>
    <row r="42" spans="1:74" s="90" customFormat="1" ht="13.5" thickTop="1" x14ac:dyDescent="0.3">
      <c r="B42" s="547" t="s">
        <v>435</v>
      </c>
      <c r="E42" s="238">
        <f>+E41-F39</f>
        <v>-5.354579328559339E-2</v>
      </c>
      <c r="F42" s="238">
        <f t="shared" ref="F42:W42" si="38">G39-F41</f>
        <v>-0.12330672657117248</v>
      </c>
      <c r="G42" s="238">
        <f t="shared" si="38"/>
        <v>9.1731758350506425</v>
      </c>
      <c r="H42" s="238">
        <f>I39-H41</f>
        <v>-0.67033933778293431</v>
      </c>
      <c r="I42" s="238">
        <f t="shared" si="38"/>
        <v>0.14905163832008839</v>
      </c>
      <c r="J42" s="238">
        <f t="shared" si="38"/>
        <v>-0.28683607466518879</v>
      </c>
      <c r="K42" s="238">
        <f t="shared" si="38"/>
        <v>0.18661211710423231</v>
      </c>
      <c r="L42" s="238">
        <f t="shared" si="38"/>
        <v>0.41389195434749126</v>
      </c>
      <c r="M42" s="238">
        <f t="shared" si="38"/>
        <v>-0.31257411325350404</v>
      </c>
      <c r="N42" s="238">
        <f t="shared" si="38"/>
        <v>-0.13943123025819659</v>
      </c>
      <c r="O42" s="238">
        <f t="shared" si="38"/>
        <v>-0.18262733169831336</v>
      </c>
      <c r="P42" s="238">
        <f t="shared" si="38"/>
        <v>-0.98180567100644112</v>
      </c>
      <c r="Q42" s="614">
        <f t="shared" si="38"/>
        <v>27.980000001378357</v>
      </c>
      <c r="R42" s="614">
        <f t="shared" si="38"/>
        <v>9.9999997764825821E-3</v>
      </c>
      <c r="S42" s="614">
        <f>T39-S41</f>
        <v>0.11999999918043613</v>
      </c>
      <c r="T42" s="614">
        <f t="shared" si="38"/>
        <v>0</v>
      </c>
      <c r="U42" s="614">
        <f t="shared" si="38"/>
        <v>0</v>
      </c>
      <c r="V42" s="238">
        <f t="shared" si="38"/>
        <v>0</v>
      </c>
      <c r="W42" s="238">
        <f t="shared" si="38"/>
        <v>6.1200000001117587</v>
      </c>
      <c r="X42" s="238">
        <f t="shared" ref="X42" si="39">Y39-X41</f>
        <v>-1.0000001639127731E-2</v>
      </c>
      <c r="Y42" s="238">
        <f t="shared" ref="Y42:AA42" si="40">Z39-Y41</f>
        <v>0</v>
      </c>
      <c r="Z42" s="238">
        <f t="shared" si="40"/>
        <v>0</v>
      </c>
      <c r="AA42" s="238">
        <f t="shared" si="40"/>
        <v>0</v>
      </c>
      <c r="AB42" s="238">
        <f t="shared" ref="AB42" si="41">AC39-AB41</f>
        <v>-351.68000000016764</v>
      </c>
      <c r="AC42" s="238">
        <f t="shared" ref="AC42" si="42">AD39-AC41</f>
        <v>0</v>
      </c>
      <c r="AD42" s="238">
        <f t="shared" ref="AD42" si="43">AE39-AD41</f>
        <v>0</v>
      </c>
      <c r="AE42" s="238">
        <f t="shared" ref="AE42" si="44">AF39-AE41</f>
        <v>0</v>
      </c>
      <c r="AF42" s="238">
        <f t="shared" ref="AF42" si="45">AG39-AF41</f>
        <v>0</v>
      </c>
      <c r="AG42" s="238">
        <f t="shared" ref="AG42" si="46">AH39-AG41</f>
        <v>0</v>
      </c>
      <c r="AH42" s="238">
        <f t="shared" ref="AH42" si="47">AI39-AH41</f>
        <v>0</v>
      </c>
      <c r="AI42" s="238">
        <f t="shared" ref="AI42" si="48">AJ39-AI41</f>
        <v>0</v>
      </c>
      <c r="AJ42" s="238">
        <f t="shared" ref="AJ42" si="49">AK39-AJ41</f>
        <v>0</v>
      </c>
      <c r="AK42" s="238">
        <f t="shared" ref="AK42" si="50">AL39-AK41</f>
        <v>0</v>
      </c>
      <c r="AL42" s="238">
        <f t="shared" ref="AL42" si="51">AM39-AL41</f>
        <v>0</v>
      </c>
      <c r="AM42" s="238">
        <f t="shared" ref="AM42" si="52">AN39-AM41</f>
        <v>0</v>
      </c>
      <c r="AN42" s="238"/>
      <c r="AO42" s="238">
        <f t="shared" ref="AO42" si="53">AP39-AO41</f>
        <v>0</v>
      </c>
      <c r="AP42" s="238">
        <f t="shared" ref="AP42" si="54">AQ39-AP41</f>
        <v>0</v>
      </c>
      <c r="AQ42" s="238">
        <f t="shared" ref="AQ42" si="55">AR39-AQ41</f>
        <v>0</v>
      </c>
      <c r="AR42" s="238">
        <f t="shared" ref="AR42" si="56">AS39-AR41</f>
        <v>0</v>
      </c>
      <c r="AS42" s="238">
        <f t="shared" ref="AS42" si="57">AT39-AS41</f>
        <v>0</v>
      </c>
      <c r="AT42" s="238">
        <f t="shared" ref="AT42" si="58">AU39-AT41</f>
        <v>0</v>
      </c>
      <c r="AU42" s="238">
        <f t="shared" ref="AU42" si="59">AV39-AU41</f>
        <v>0</v>
      </c>
      <c r="AV42" s="238">
        <f t="shared" ref="AV42" si="60">AW39-AV41</f>
        <v>0</v>
      </c>
      <c r="AW42" s="238"/>
      <c r="AX42" s="238">
        <f t="shared" ref="AX42" si="61">AY39-AX41</f>
        <v>0</v>
      </c>
      <c r="AY42" s="238">
        <f t="shared" ref="AY42" si="62">AZ39-AY41</f>
        <v>0</v>
      </c>
      <c r="AZ42" s="238">
        <f t="shared" ref="AZ42" si="63">BA39-AZ41</f>
        <v>0</v>
      </c>
      <c r="BA42" s="238">
        <f t="shared" ref="BA42" si="64">BB39-BA41</f>
        <v>0</v>
      </c>
      <c r="BB42" s="238">
        <f t="shared" ref="BB42" si="65">BC39-BB41</f>
        <v>0</v>
      </c>
      <c r="BC42" s="238">
        <f t="shared" ref="BC42" si="66">BD39-BC41</f>
        <v>0</v>
      </c>
      <c r="BD42" s="238">
        <f t="shared" ref="BD42" si="67">BE39-BD41</f>
        <v>0</v>
      </c>
      <c r="BE42" s="238">
        <f t="shared" ref="BE42" si="68">BF39-BE41</f>
        <v>0</v>
      </c>
      <c r="BF42" s="238">
        <f t="shared" ref="BF42" si="69">BG39-BF41</f>
        <v>0</v>
      </c>
      <c r="BG42" s="238">
        <f t="shared" ref="BG42" si="70">BH39-BG41</f>
        <v>0</v>
      </c>
      <c r="BH42" s="238">
        <f t="shared" ref="BH42" si="71">BI39-BH41</f>
        <v>0</v>
      </c>
      <c r="BI42" s="238">
        <f t="shared" ref="BI42" si="72">BJ39-BI41</f>
        <v>0</v>
      </c>
      <c r="BJ42" s="238">
        <f t="shared" ref="BJ42" si="73">BK39-BJ41</f>
        <v>0</v>
      </c>
      <c r="BK42" s="238">
        <f t="shared" ref="BK42" si="74">BL39-BK41</f>
        <v>0</v>
      </c>
      <c r="BL42" s="238">
        <f t="shared" ref="BL42" si="75">BM39-BL41</f>
        <v>0</v>
      </c>
      <c r="BM42" s="238">
        <f t="shared" ref="BM42" si="76">BN39-BM41</f>
        <v>0</v>
      </c>
      <c r="BN42" s="238">
        <f t="shared" ref="BN42" si="77">BO39-BN41</f>
        <v>0</v>
      </c>
      <c r="BO42" s="238">
        <f t="shared" ref="BO42" si="78">BP39-BO41</f>
        <v>0</v>
      </c>
      <c r="BP42" s="238">
        <f t="shared" ref="BP42" si="79">BQ39-BP41</f>
        <v>0</v>
      </c>
      <c r="BQ42" s="238">
        <f t="shared" ref="BQ42" si="80">BR39-BQ41</f>
        <v>0</v>
      </c>
      <c r="BR42" s="238">
        <f t="shared" ref="BR42" si="81">BS39-BR41</f>
        <v>0</v>
      </c>
      <c r="BS42" s="238">
        <f t="shared" ref="BS42" si="82">BT39-BS41</f>
        <v>0</v>
      </c>
      <c r="BT42" s="238">
        <f t="shared" ref="BT42" si="83">BU39-BT41</f>
        <v>0</v>
      </c>
      <c r="BU42" s="238">
        <f t="shared" ref="BU42" si="84">BV39-BU41</f>
        <v>0</v>
      </c>
      <c r="BV42" s="238">
        <f t="shared" ref="BV42" si="85">BW39-BV41</f>
        <v>11039937.130064061</v>
      </c>
    </row>
    <row r="43" spans="1:74" s="90" customFormat="1" x14ac:dyDescent="0.25">
      <c r="E43" s="405">
        <f>+E9-'BS - Monthly'!F50</f>
        <v>-5.0355776911601424E-3</v>
      </c>
      <c r="F43" s="405">
        <f>+F9-'BS - Monthly'!G50+'BS - Monthly'!F50</f>
        <v>0.12313005910255015</v>
      </c>
      <c r="G43" s="405">
        <f>+G9-'BS - Monthly'!H50+'BS - Monthly'!G50</f>
        <v>-9.1733525008894503</v>
      </c>
      <c r="H43" s="405">
        <f>+H9-'BS - Monthly'!I50+'BS - Monthly'!H50</f>
        <v>0.67016267031431198</v>
      </c>
      <c r="I43" s="405">
        <f>+I9-'BS - Monthly'!J50+'BS - Monthly'!I50</f>
        <v>-0.1492283046245575</v>
      </c>
      <c r="J43" s="405">
        <f>+J9-'BS - Monthly'!K50+'BS - Monthly'!J50</f>
        <v>0.28665940836071968</v>
      </c>
      <c r="K43" s="405">
        <f>+K9-'BS - Monthly'!L50+'BS - Monthly'!K50</f>
        <v>-0.18678878340870142</v>
      </c>
      <c r="L43" s="405">
        <f>+L9-'BS - Monthly'!M50+'BS - Monthly'!L50</f>
        <v>-0.41406862065196037</v>
      </c>
      <c r="M43" s="92"/>
      <c r="N43" s="92"/>
      <c r="O43" s="92"/>
      <c r="P43" s="92"/>
      <c r="Q43" s="92"/>
      <c r="R43" s="92"/>
      <c r="S43" s="92"/>
      <c r="T43" s="92"/>
      <c r="U43" s="92"/>
      <c r="V43" s="92"/>
      <c r="W43" s="92"/>
      <c r="X43" s="92"/>
      <c r="Y43" s="92"/>
      <c r="Z43" s="92"/>
      <c r="AA43" s="92"/>
      <c r="AB43" s="92"/>
      <c r="AC43" s="92"/>
      <c r="AD43" s="92"/>
      <c r="AE43" s="92"/>
      <c r="AF43" s="92"/>
      <c r="AG43" s="92"/>
      <c r="AH43" s="92"/>
      <c r="AI43" s="92"/>
      <c r="AJ43" s="92"/>
      <c r="AK43" s="92"/>
      <c r="AL43" s="92"/>
      <c r="AM43" s="92"/>
      <c r="AN43" s="92"/>
      <c r="AO43" s="92"/>
      <c r="AP43" s="92"/>
      <c r="AQ43" s="92"/>
      <c r="AR43" s="92"/>
      <c r="AS43" s="92"/>
      <c r="AT43" s="92"/>
      <c r="AU43" s="92"/>
      <c r="AV43" s="92"/>
      <c r="AW43" s="92"/>
      <c r="AX43" s="92"/>
      <c r="AY43" s="92"/>
      <c r="AZ43" s="92"/>
      <c r="BA43" s="92"/>
      <c r="BB43" s="92"/>
      <c r="BC43" s="92"/>
      <c r="BD43" s="92"/>
      <c r="BE43" s="92"/>
      <c r="BF43" s="92"/>
      <c r="BG43" s="92"/>
      <c r="BH43" s="92"/>
      <c r="BI43" s="92"/>
      <c r="BJ43" s="92"/>
      <c r="BK43" s="92"/>
      <c r="BL43" s="92"/>
      <c r="BM43" s="92"/>
      <c r="BN43" s="92"/>
      <c r="BO43" s="92"/>
      <c r="BP43" s="92"/>
      <c r="BQ43" s="92"/>
      <c r="BR43" s="92"/>
      <c r="BS43" s="92"/>
      <c r="BT43" s="92"/>
      <c r="BU43" s="92"/>
      <c r="BV43" s="92"/>
    </row>
    <row r="44" spans="1:74" x14ac:dyDescent="0.25">
      <c r="E44" s="204" t="s">
        <v>723</v>
      </c>
      <c r="F44" s="204"/>
      <c r="G44" s="204"/>
      <c r="H44" s="204"/>
      <c r="I44" s="204"/>
      <c r="J44" s="204"/>
      <c r="K44" s="204"/>
      <c r="L44" s="205"/>
      <c r="M44" s="204"/>
      <c r="N44" s="204"/>
      <c r="O44" s="204"/>
      <c r="P44" s="204"/>
    </row>
    <row r="47" spans="1:74" outlineLevel="1" x14ac:dyDescent="0.25">
      <c r="A47" s="120" t="s">
        <v>132</v>
      </c>
      <c r="B47" s="120"/>
      <c r="C47" s="120"/>
      <c r="E47" s="120"/>
      <c r="F47" s="120"/>
      <c r="G47" s="120"/>
      <c r="H47" s="120"/>
      <c r="I47" s="120"/>
      <c r="J47" s="120"/>
      <c r="K47" s="120"/>
      <c r="L47" s="120"/>
      <c r="M47" s="120"/>
      <c r="N47" s="120"/>
      <c r="O47" s="120"/>
      <c r="P47" s="120"/>
      <c r="Q47" s="120"/>
      <c r="R47" s="120"/>
      <c r="S47" s="120"/>
      <c r="T47" s="120"/>
      <c r="U47" s="120"/>
      <c r="V47" s="120"/>
      <c r="W47" s="120"/>
      <c r="X47" s="120"/>
      <c r="Y47" s="120"/>
      <c r="Z47" s="120"/>
      <c r="AA47" s="120"/>
      <c r="AB47" s="120"/>
      <c r="AC47" s="120"/>
      <c r="AD47" s="120"/>
      <c r="AE47" s="120"/>
      <c r="AF47" s="120"/>
      <c r="AG47" s="120"/>
      <c r="AH47" s="120"/>
      <c r="AI47" s="120"/>
      <c r="AJ47" s="120"/>
      <c r="AK47" s="120"/>
      <c r="AL47" s="120"/>
      <c r="AM47" s="120"/>
      <c r="AN47" s="120"/>
      <c r="AO47" s="120"/>
      <c r="AP47" s="120"/>
      <c r="AQ47" s="120"/>
      <c r="AR47" s="120"/>
      <c r="AS47" s="120"/>
      <c r="AT47" s="120"/>
      <c r="AU47" s="120"/>
      <c r="AV47" s="120"/>
      <c r="AW47" s="120"/>
      <c r="AX47" s="120"/>
      <c r="AY47" s="120"/>
      <c r="AZ47" s="120"/>
      <c r="BA47" s="120"/>
      <c r="BB47" s="120"/>
      <c r="BC47" s="120"/>
      <c r="BD47" s="120"/>
      <c r="BE47" s="120"/>
      <c r="BF47" s="120"/>
      <c r="BG47" s="120"/>
      <c r="BH47" s="120"/>
      <c r="BI47" s="120"/>
      <c r="BJ47" s="120"/>
      <c r="BK47" s="120"/>
      <c r="BL47" s="120"/>
      <c r="BM47" s="120"/>
      <c r="BN47" s="120"/>
      <c r="BO47" s="120"/>
      <c r="BP47" s="120"/>
      <c r="BQ47" s="120"/>
      <c r="BR47" s="120"/>
      <c r="BS47" s="120"/>
      <c r="BT47" s="120"/>
      <c r="BU47" s="120"/>
      <c r="BV47" s="120"/>
    </row>
    <row r="48" spans="1:74" outlineLevel="1" x14ac:dyDescent="0.25">
      <c r="A48" s="120"/>
      <c r="B48" s="120" t="s">
        <v>133</v>
      </c>
      <c r="C48" s="120"/>
      <c r="E48" s="121">
        <f>E41</f>
        <v>1572588.9064542067</v>
      </c>
      <c r="F48" s="121">
        <f>F41</f>
        <v>1390004.6633067266</v>
      </c>
      <c r="G48" s="121">
        <f>G41</f>
        <v>1562914.396824165</v>
      </c>
      <c r="H48" s="121">
        <f>H41</f>
        <v>1655539.7503393379</v>
      </c>
      <c r="I48" s="121">
        <f>I41</f>
        <v>2522633.4709483613</v>
      </c>
      <c r="J48" s="121">
        <v>593502.4500000003</v>
      </c>
      <c r="K48" s="121">
        <v>593502.4500000003</v>
      </c>
      <c r="L48" s="121">
        <v>593502.4500000003</v>
      </c>
      <c r="M48" s="121">
        <v>593502.4500000003</v>
      </c>
      <c r="N48" s="121">
        <v>593502.4500000003</v>
      </c>
      <c r="O48" s="121">
        <v>593502.4500000003</v>
      </c>
      <c r="P48" s="121">
        <v>593502.4500000003</v>
      </c>
      <c r="Q48" s="121">
        <v>593502.4500000003</v>
      </c>
      <c r="R48" s="121">
        <v>593502.4500000003</v>
      </c>
      <c r="S48" s="121">
        <v>593502.4500000003</v>
      </c>
      <c r="T48" s="121">
        <v>593502.4500000003</v>
      </c>
      <c r="U48" s="121">
        <v>593502.4500000003</v>
      </c>
      <c r="V48" s="121">
        <v>593502.4500000003</v>
      </c>
      <c r="W48" s="121">
        <v>593502.4500000003</v>
      </c>
      <c r="X48" s="121">
        <v>593502.4500000003</v>
      </c>
      <c r="Y48" s="121">
        <v>593502.4500000003</v>
      </c>
      <c r="Z48" s="121">
        <v>593502.4500000003</v>
      </c>
      <c r="AA48" s="121">
        <v>593502.4500000003</v>
      </c>
      <c r="AB48" s="121">
        <v>593502.4500000003</v>
      </c>
      <c r="AC48" s="121">
        <v>593503.44999999995</v>
      </c>
      <c r="AD48" s="121">
        <v>593504.44999999995</v>
      </c>
      <c r="AE48" s="121">
        <v>593505.44999999995</v>
      </c>
      <c r="AF48" s="121">
        <v>593506.44999999995</v>
      </c>
      <c r="AG48" s="121">
        <v>593507.44999999995</v>
      </c>
      <c r="AH48" s="121">
        <v>593508.44999999995</v>
      </c>
      <c r="AI48" s="121">
        <v>593509.44999999995</v>
      </c>
      <c r="AJ48" s="121">
        <v>593510.44999999995</v>
      </c>
      <c r="AK48" s="121">
        <v>593511.44999999995</v>
      </c>
      <c r="AL48" s="121">
        <v>593512.44999999995</v>
      </c>
      <c r="AM48" s="121">
        <v>593513.44999999995</v>
      </c>
      <c r="AN48" s="121">
        <v>593514.449999996</v>
      </c>
      <c r="AO48" s="121">
        <v>593515.44999999995</v>
      </c>
      <c r="AP48" s="121">
        <v>593516.44999999995</v>
      </c>
      <c r="AQ48" s="121">
        <v>593517.44999999995</v>
      </c>
      <c r="AR48" s="121">
        <v>593518.44999999995</v>
      </c>
      <c r="AS48" s="121">
        <v>593519.44999999995</v>
      </c>
      <c r="AT48" s="121">
        <v>593520.44999999995</v>
      </c>
      <c r="AU48" s="121">
        <v>593521.44999999995</v>
      </c>
      <c r="AV48" s="121">
        <v>593522.44999999995</v>
      </c>
      <c r="AW48" s="121">
        <v>593523.44999999995</v>
      </c>
      <c r="AX48" s="121">
        <v>593524.44999999995</v>
      </c>
      <c r="AY48" s="121">
        <v>593525.44999999995</v>
      </c>
      <c r="AZ48" s="121">
        <v>593526.44999999995</v>
      </c>
      <c r="BA48" s="121">
        <v>593527.44999999995</v>
      </c>
      <c r="BB48" s="121">
        <v>593528.44999999995</v>
      </c>
      <c r="BC48" s="121">
        <v>593529.44999999995</v>
      </c>
      <c r="BD48" s="121">
        <v>593530.44999999995</v>
      </c>
      <c r="BE48" s="121">
        <v>593531.44999999995</v>
      </c>
      <c r="BF48" s="121">
        <v>593532.44999999995</v>
      </c>
      <c r="BG48" s="121">
        <v>593533.44999999995</v>
      </c>
      <c r="BH48" s="121">
        <v>593534.44999999995</v>
      </c>
      <c r="BI48" s="121">
        <v>593535.44999999995</v>
      </c>
      <c r="BJ48" s="121">
        <v>593536.44999999995</v>
      </c>
      <c r="BK48" s="121">
        <v>593537.44999999995</v>
      </c>
      <c r="BL48" s="121">
        <v>593538.44999999995</v>
      </c>
      <c r="BM48" s="121">
        <v>593539.44999999995</v>
      </c>
      <c r="BN48" s="121">
        <v>593540.44999999995</v>
      </c>
      <c r="BO48" s="121">
        <v>593541.44999999995</v>
      </c>
      <c r="BP48" s="121">
        <v>593542.44999999995</v>
      </c>
      <c r="BQ48" s="121">
        <v>593543.44999999995</v>
      </c>
      <c r="BR48" s="121">
        <v>593544.44999999995</v>
      </c>
      <c r="BS48" s="121">
        <v>593545.44999999995</v>
      </c>
      <c r="BT48" s="121">
        <v>593546.44999999995</v>
      </c>
      <c r="BU48" s="121">
        <v>593547.44999999995</v>
      </c>
      <c r="BV48" s="121">
        <v>593548.44999999995</v>
      </c>
    </row>
    <row r="49" spans="1:74" ht="14.5" outlineLevel="1" x14ac:dyDescent="0.35">
      <c r="A49" s="120"/>
      <c r="B49" s="120" t="s">
        <v>134</v>
      </c>
      <c r="C49" s="120"/>
      <c r="E49" s="122">
        <f t="shared" ref="E49:BP49" si="86">0.009/12</f>
        <v>7.4999999999999991E-4</v>
      </c>
      <c r="F49" s="122">
        <f>0.9%/12</f>
        <v>7.5000000000000012E-4</v>
      </c>
      <c r="G49" s="122">
        <f t="shared" si="86"/>
        <v>7.4999999999999991E-4</v>
      </c>
      <c r="H49" s="122">
        <f t="shared" si="86"/>
        <v>7.4999999999999991E-4</v>
      </c>
      <c r="I49" s="122">
        <f t="shared" si="86"/>
        <v>7.4999999999999991E-4</v>
      </c>
      <c r="J49" s="122">
        <f t="shared" si="86"/>
        <v>7.4999999999999991E-4</v>
      </c>
      <c r="K49" s="122">
        <f t="shared" si="86"/>
        <v>7.4999999999999991E-4</v>
      </c>
      <c r="L49" s="122">
        <f t="shared" si="86"/>
        <v>7.4999999999999991E-4</v>
      </c>
      <c r="M49" s="122">
        <f t="shared" si="86"/>
        <v>7.4999999999999991E-4</v>
      </c>
      <c r="N49" s="122">
        <f t="shared" si="86"/>
        <v>7.4999999999999991E-4</v>
      </c>
      <c r="O49" s="122">
        <f t="shared" si="86"/>
        <v>7.4999999999999991E-4</v>
      </c>
      <c r="P49" s="122">
        <f t="shared" si="86"/>
        <v>7.4999999999999991E-4</v>
      </c>
      <c r="Q49" s="122">
        <f t="shared" si="86"/>
        <v>7.4999999999999991E-4</v>
      </c>
      <c r="R49" s="122">
        <f t="shared" si="86"/>
        <v>7.4999999999999991E-4</v>
      </c>
      <c r="S49" s="122">
        <f t="shared" si="86"/>
        <v>7.4999999999999991E-4</v>
      </c>
      <c r="T49" s="122">
        <f t="shared" si="86"/>
        <v>7.4999999999999991E-4</v>
      </c>
      <c r="U49" s="122">
        <f t="shared" si="86"/>
        <v>7.4999999999999991E-4</v>
      </c>
      <c r="V49" s="122">
        <f t="shared" si="86"/>
        <v>7.4999999999999991E-4</v>
      </c>
      <c r="W49" s="122">
        <f t="shared" si="86"/>
        <v>7.4999999999999991E-4</v>
      </c>
      <c r="X49" s="122">
        <f t="shared" si="86"/>
        <v>7.4999999999999991E-4</v>
      </c>
      <c r="Y49" s="122">
        <f t="shared" si="86"/>
        <v>7.4999999999999991E-4</v>
      </c>
      <c r="Z49" s="122">
        <f t="shared" si="86"/>
        <v>7.4999999999999991E-4</v>
      </c>
      <c r="AA49" s="122">
        <f t="shared" si="86"/>
        <v>7.4999999999999991E-4</v>
      </c>
      <c r="AB49" s="122">
        <f t="shared" si="86"/>
        <v>7.4999999999999991E-4</v>
      </c>
      <c r="AC49" s="122">
        <f t="shared" si="86"/>
        <v>7.4999999999999991E-4</v>
      </c>
      <c r="AD49" s="122">
        <f t="shared" si="86"/>
        <v>7.4999999999999991E-4</v>
      </c>
      <c r="AE49" s="122">
        <f t="shared" si="86"/>
        <v>7.4999999999999991E-4</v>
      </c>
      <c r="AF49" s="122">
        <f t="shared" si="86"/>
        <v>7.4999999999999991E-4</v>
      </c>
      <c r="AG49" s="122">
        <f t="shared" si="86"/>
        <v>7.4999999999999991E-4</v>
      </c>
      <c r="AH49" s="122">
        <f t="shared" si="86"/>
        <v>7.4999999999999991E-4</v>
      </c>
      <c r="AI49" s="122">
        <f t="shared" si="86"/>
        <v>7.4999999999999991E-4</v>
      </c>
      <c r="AJ49" s="122">
        <f t="shared" si="86"/>
        <v>7.4999999999999991E-4</v>
      </c>
      <c r="AK49" s="122">
        <f t="shared" si="86"/>
        <v>7.4999999999999991E-4</v>
      </c>
      <c r="AL49" s="122">
        <f t="shared" si="86"/>
        <v>7.4999999999999991E-4</v>
      </c>
      <c r="AM49" s="122">
        <f t="shared" si="86"/>
        <v>7.4999999999999991E-4</v>
      </c>
      <c r="AN49" s="122">
        <f t="shared" si="86"/>
        <v>7.4999999999999991E-4</v>
      </c>
      <c r="AO49" s="122">
        <f t="shared" si="86"/>
        <v>7.4999999999999991E-4</v>
      </c>
      <c r="AP49" s="122">
        <f t="shared" si="86"/>
        <v>7.4999999999999991E-4</v>
      </c>
      <c r="AQ49" s="122">
        <f t="shared" si="86"/>
        <v>7.4999999999999991E-4</v>
      </c>
      <c r="AR49" s="122">
        <f t="shared" si="86"/>
        <v>7.4999999999999991E-4</v>
      </c>
      <c r="AS49" s="122">
        <f t="shared" si="86"/>
        <v>7.4999999999999991E-4</v>
      </c>
      <c r="AT49" s="122">
        <f t="shared" si="86"/>
        <v>7.4999999999999991E-4</v>
      </c>
      <c r="AU49" s="122">
        <f t="shared" si="86"/>
        <v>7.4999999999999991E-4</v>
      </c>
      <c r="AV49" s="122">
        <f t="shared" si="86"/>
        <v>7.4999999999999991E-4</v>
      </c>
      <c r="AW49" s="122">
        <f t="shared" si="86"/>
        <v>7.4999999999999991E-4</v>
      </c>
      <c r="AX49" s="122">
        <f t="shared" si="86"/>
        <v>7.4999999999999991E-4</v>
      </c>
      <c r="AY49" s="122">
        <f t="shared" si="86"/>
        <v>7.4999999999999991E-4</v>
      </c>
      <c r="AZ49" s="122">
        <f t="shared" si="86"/>
        <v>7.4999999999999991E-4</v>
      </c>
      <c r="BA49" s="122">
        <f t="shared" si="86"/>
        <v>7.4999999999999991E-4</v>
      </c>
      <c r="BB49" s="122">
        <f t="shared" si="86"/>
        <v>7.4999999999999991E-4</v>
      </c>
      <c r="BC49" s="122">
        <f t="shared" si="86"/>
        <v>7.4999999999999991E-4</v>
      </c>
      <c r="BD49" s="122">
        <f t="shared" si="86"/>
        <v>7.4999999999999991E-4</v>
      </c>
      <c r="BE49" s="122">
        <f t="shared" si="86"/>
        <v>7.4999999999999991E-4</v>
      </c>
      <c r="BF49" s="122">
        <f t="shared" si="86"/>
        <v>7.4999999999999991E-4</v>
      </c>
      <c r="BG49" s="122">
        <f t="shared" si="86"/>
        <v>7.4999999999999991E-4</v>
      </c>
      <c r="BH49" s="122">
        <f t="shared" si="86"/>
        <v>7.4999999999999991E-4</v>
      </c>
      <c r="BI49" s="122">
        <f t="shared" si="86"/>
        <v>7.4999999999999991E-4</v>
      </c>
      <c r="BJ49" s="122">
        <f t="shared" si="86"/>
        <v>7.4999999999999991E-4</v>
      </c>
      <c r="BK49" s="122">
        <f t="shared" si="86"/>
        <v>7.4999999999999991E-4</v>
      </c>
      <c r="BL49" s="122">
        <f t="shared" si="86"/>
        <v>7.4999999999999991E-4</v>
      </c>
      <c r="BM49" s="122">
        <f t="shared" si="86"/>
        <v>7.4999999999999991E-4</v>
      </c>
      <c r="BN49" s="122">
        <f t="shared" si="86"/>
        <v>7.4999999999999991E-4</v>
      </c>
      <c r="BO49" s="122">
        <f t="shared" si="86"/>
        <v>7.4999999999999991E-4</v>
      </c>
      <c r="BP49" s="122">
        <f t="shared" si="86"/>
        <v>7.4999999999999991E-4</v>
      </c>
      <c r="BQ49" s="122">
        <f t="shared" ref="BQ49:BS49" si="87">0.009/12</f>
        <v>7.4999999999999991E-4</v>
      </c>
      <c r="BR49" s="122">
        <f t="shared" si="87"/>
        <v>7.4999999999999991E-4</v>
      </c>
      <c r="BS49" s="122">
        <f t="shared" si="87"/>
        <v>7.4999999999999991E-4</v>
      </c>
      <c r="BT49" s="122">
        <f t="shared" ref="BT49:BV49" si="88">0.009/12</f>
        <v>7.4999999999999991E-4</v>
      </c>
      <c r="BU49" s="122">
        <f t="shared" si="88"/>
        <v>7.4999999999999991E-4</v>
      </c>
      <c r="BV49" s="122">
        <f t="shared" si="88"/>
        <v>7.4999999999999991E-4</v>
      </c>
    </row>
    <row r="50" spans="1:74" outlineLevel="1" x14ac:dyDescent="0.25">
      <c r="A50" s="120"/>
      <c r="B50" s="120" t="s">
        <v>135</v>
      </c>
      <c r="C50" s="120"/>
      <c r="E50" s="121">
        <f>+E48*E49</f>
        <v>1179.4416798406548</v>
      </c>
      <c r="F50" s="121">
        <f t="shared" ref="F50:AB50" si="89">+F48*F49</f>
        <v>1042.5034974800451</v>
      </c>
      <c r="G50" s="121">
        <f t="shared" si="89"/>
        <v>1172.1857976181236</v>
      </c>
      <c r="H50" s="121">
        <f t="shared" si="89"/>
        <v>1241.6548127545032</v>
      </c>
      <c r="I50" s="121">
        <f t="shared" si="89"/>
        <v>1891.9751032112708</v>
      </c>
      <c r="J50" s="121">
        <f t="shared" si="89"/>
        <v>445.12683750000019</v>
      </c>
      <c r="K50" s="121">
        <f t="shared" si="89"/>
        <v>445.12683750000019</v>
      </c>
      <c r="L50" s="121">
        <f t="shared" si="89"/>
        <v>445.12683750000019</v>
      </c>
      <c r="M50" s="121">
        <f t="shared" si="89"/>
        <v>445.12683750000019</v>
      </c>
      <c r="N50" s="121">
        <f t="shared" si="89"/>
        <v>445.12683750000019</v>
      </c>
      <c r="O50" s="121">
        <f t="shared" si="89"/>
        <v>445.12683750000019</v>
      </c>
      <c r="P50" s="121">
        <f t="shared" si="89"/>
        <v>445.12683750000019</v>
      </c>
      <c r="Q50" s="121">
        <f t="shared" si="89"/>
        <v>445.12683750000019</v>
      </c>
      <c r="R50" s="121">
        <f t="shared" si="89"/>
        <v>445.12683750000019</v>
      </c>
      <c r="S50" s="121">
        <f t="shared" si="89"/>
        <v>445.12683750000019</v>
      </c>
      <c r="T50" s="121">
        <f t="shared" si="89"/>
        <v>445.12683750000019</v>
      </c>
      <c r="U50" s="121">
        <f t="shared" si="89"/>
        <v>445.12683750000019</v>
      </c>
      <c r="V50" s="121">
        <f t="shared" si="89"/>
        <v>445.12683750000019</v>
      </c>
      <c r="W50" s="121">
        <f t="shared" si="89"/>
        <v>445.12683750000019</v>
      </c>
      <c r="X50" s="121">
        <f t="shared" si="89"/>
        <v>445.12683750000019</v>
      </c>
      <c r="Y50" s="121">
        <f t="shared" si="89"/>
        <v>445.12683750000019</v>
      </c>
      <c r="Z50" s="121">
        <f t="shared" si="89"/>
        <v>445.12683750000019</v>
      </c>
      <c r="AA50" s="121">
        <f t="shared" si="89"/>
        <v>445.12683750000019</v>
      </c>
      <c r="AB50" s="121">
        <f t="shared" si="89"/>
        <v>445.12683750000019</v>
      </c>
      <c r="AC50" s="121">
        <f t="shared" ref="AC50:AN50" si="90">+AC48*AC49</f>
        <v>445.12758749999989</v>
      </c>
      <c r="AD50" s="121">
        <f t="shared" si="90"/>
        <v>445.12833749999993</v>
      </c>
      <c r="AE50" s="121">
        <f t="shared" si="90"/>
        <v>445.12908749999991</v>
      </c>
      <c r="AF50" s="121">
        <f t="shared" si="90"/>
        <v>445.12983749999989</v>
      </c>
      <c r="AG50" s="121">
        <f t="shared" si="90"/>
        <v>445.13058749999993</v>
      </c>
      <c r="AH50" s="121">
        <f t="shared" si="90"/>
        <v>445.13133749999992</v>
      </c>
      <c r="AI50" s="121">
        <f t="shared" si="90"/>
        <v>445.1320874999999</v>
      </c>
      <c r="AJ50" s="121">
        <f t="shared" si="90"/>
        <v>445.13283749999994</v>
      </c>
      <c r="AK50" s="121">
        <f t="shared" si="90"/>
        <v>445.13358749999992</v>
      </c>
      <c r="AL50" s="121">
        <f t="shared" si="90"/>
        <v>445.1343374999999</v>
      </c>
      <c r="AM50" s="121">
        <f t="shared" si="90"/>
        <v>445.13508749999988</v>
      </c>
      <c r="AN50" s="121">
        <f t="shared" si="90"/>
        <v>445.13583749999697</v>
      </c>
      <c r="AO50" s="121">
        <f t="shared" ref="AO50:AZ50" si="91">+AO48*AO49</f>
        <v>445.13658749999991</v>
      </c>
      <c r="AP50" s="121">
        <f t="shared" si="91"/>
        <v>445.13733749999989</v>
      </c>
      <c r="AQ50" s="121">
        <f t="shared" si="91"/>
        <v>445.13808749999993</v>
      </c>
      <c r="AR50" s="121">
        <f t="shared" si="91"/>
        <v>445.13883749999991</v>
      </c>
      <c r="AS50" s="121">
        <f t="shared" si="91"/>
        <v>445.13958749999989</v>
      </c>
      <c r="AT50" s="121">
        <f t="shared" si="91"/>
        <v>445.14033749999993</v>
      </c>
      <c r="AU50" s="121">
        <f t="shared" si="91"/>
        <v>445.14108749999991</v>
      </c>
      <c r="AV50" s="121">
        <f t="shared" si="91"/>
        <v>445.14183749999989</v>
      </c>
      <c r="AW50" s="121">
        <f t="shared" si="91"/>
        <v>445.14258749999993</v>
      </c>
      <c r="AX50" s="121">
        <f t="shared" si="91"/>
        <v>445.14333749999992</v>
      </c>
      <c r="AY50" s="121">
        <f t="shared" si="91"/>
        <v>445.1440874999999</v>
      </c>
      <c r="AZ50" s="121">
        <f t="shared" si="91"/>
        <v>445.14483749999994</v>
      </c>
      <c r="BA50" s="121">
        <f t="shared" ref="BA50:BL50" si="92">+BA48*BA49</f>
        <v>445.14558749999992</v>
      </c>
      <c r="BB50" s="121">
        <f t="shared" si="92"/>
        <v>445.1463374999999</v>
      </c>
      <c r="BC50" s="121">
        <f t="shared" si="92"/>
        <v>445.14708749999988</v>
      </c>
      <c r="BD50" s="121">
        <f t="shared" si="92"/>
        <v>445.14783749999992</v>
      </c>
      <c r="BE50" s="121">
        <f t="shared" si="92"/>
        <v>445.14858749999991</v>
      </c>
      <c r="BF50" s="121">
        <f t="shared" si="92"/>
        <v>445.14933749999989</v>
      </c>
      <c r="BG50" s="121">
        <f t="shared" si="92"/>
        <v>445.15008749999993</v>
      </c>
      <c r="BH50" s="121">
        <f t="shared" si="92"/>
        <v>445.15083749999991</v>
      </c>
      <c r="BI50" s="121">
        <f t="shared" si="92"/>
        <v>445.15158749999989</v>
      </c>
      <c r="BJ50" s="121">
        <f t="shared" si="92"/>
        <v>445.15233749999993</v>
      </c>
      <c r="BK50" s="121">
        <f t="shared" si="92"/>
        <v>445.15308749999991</v>
      </c>
      <c r="BL50" s="121">
        <f t="shared" si="92"/>
        <v>445.1538374999999</v>
      </c>
      <c r="BM50" s="121">
        <f t="shared" ref="BM50:BS50" si="93">+BM48*BM49</f>
        <v>445.15458749999993</v>
      </c>
      <c r="BN50" s="121">
        <f t="shared" si="93"/>
        <v>445.15533749999992</v>
      </c>
      <c r="BO50" s="121">
        <f t="shared" si="93"/>
        <v>445.1560874999999</v>
      </c>
      <c r="BP50" s="121">
        <f t="shared" si="93"/>
        <v>445.15683749999994</v>
      </c>
      <c r="BQ50" s="121">
        <f t="shared" si="93"/>
        <v>445.15758749999992</v>
      </c>
      <c r="BR50" s="121">
        <f t="shared" si="93"/>
        <v>445.1583374999999</v>
      </c>
      <c r="BS50" s="121">
        <f t="shared" si="93"/>
        <v>445.15908749999988</v>
      </c>
      <c r="BT50" s="121">
        <f t="shared" ref="BT50:BV50" si="94">+BT48*BT49</f>
        <v>445.15983749999992</v>
      </c>
      <c r="BU50" s="121">
        <f t="shared" si="94"/>
        <v>445.16058749999991</v>
      </c>
      <c r="BV50" s="121">
        <f t="shared" si="94"/>
        <v>445.16133749999989</v>
      </c>
    </row>
    <row r="51" spans="1:74" outlineLevel="1" x14ac:dyDescent="0.25">
      <c r="A51" s="120"/>
      <c r="B51" s="120"/>
      <c r="C51" s="120"/>
      <c r="E51" s="120"/>
      <c r="F51" s="120"/>
      <c r="G51" s="120"/>
      <c r="H51" s="120"/>
      <c r="I51" s="120"/>
      <c r="J51" s="120"/>
      <c r="K51" s="120"/>
      <c r="L51" s="120"/>
      <c r="M51" s="120"/>
      <c r="N51" s="120"/>
      <c r="O51" s="120"/>
      <c r="P51" s="120"/>
      <c r="Q51" s="120"/>
      <c r="R51" s="120"/>
      <c r="S51" s="120"/>
      <c r="T51" s="120"/>
      <c r="U51" s="120"/>
      <c r="V51" s="120"/>
      <c r="W51" s="120"/>
      <c r="X51" s="120"/>
      <c r="Y51" s="120"/>
      <c r="Z51" s="120"/>
      <c r="AA51" s="120"/>
      <c r="AB51" s="120"/>
      <c r="AC51" s="120"/>
      <c r="AD51" s="120"/>
      <c r="AE51" s="120"/>
      <c r="AF51" s="120"/>
      <c r="AG51" s="120"/>
      <c r="AH51" s="120"/>
      <c r="AI51" s="120"/>
      <c r="AJ51" s="120"/>
      <c r="AK51" s="120"/>
      <c r="AL51" s="120"/>
      <c r="AM51" s="120"/>
      <c r="AN51" s="120"/>
      <c r="AO51" s="120"/>
      <c r="AP51" s="120"/>
      <c r="AQ51" s="120"/>
      <c r="AR51" s="120"/>
      <c r="AS51" s="120"/>
      <c r="AT51" s="120"/>
      <c r="AU51" s="120"/>
      <c r="AV51" s="120"/>
      <c r="AW51" s="120"/>
      <c r="AX51" s="120"/>
      <c r="AY51" s="120"/>
      <c r="AZ51" s="120"/>
      <c r="BA51" s="120"/>
      <c r="BB51" s="120"/>
      <c r="BC51" s="120"/>
      <c r="BD51" s="120"/>
      <c r="BE51" s="120"/>
      <c r="BF51" s="120"/>
      <c r="BG51" s="120"/>
      <c r="BH51" s="120"/>
      <c r="BI51" s="120"/>
      <c r="BJ51" s="120"/>
      <c r="BK51" s="120"/>
      <c r="BL51" s="120"/>
      <c r="BM51" s="120"/>
      <c r="BN51" s="120"/>
      <c r="BO51" s="120"/>
      <c r="BP51" s="120"/>
      <c r="BQ51" s="120"/>
      <c r="BR51" s="120"/>
      <c r="BS51" s="120"/>
      <c r="BT51" s="120"/>
      <c r="BU51" s="120"/>
      <c r="BV51" s="120"/>
    </row>
    <row r="52" spans="1:74" outlineLevel="1" x14ac:dyDescent="0.25">
      <c r="A52" s="120" t="s">
        <v>136</v>
      </c>
      <c r="B52" s="120"/>
      <c r="C52" s="120"/>
      <c r="E52" s="120"/>
      <c r="F52" s="120"/>
      <c r="G52" s="120"/>
      <c r="H52" s="120"/>
      <c r="I52" s="120"/>
      <c r="J52" s="120"/>
      <c r="K52" s="120"/>
      <c r="L52" s="120"/>
      <c r="M52" s="120"/>
      <c r="N52" s="120"/>
      <c r="O52" s="120"/>
      <c r="P52" s="120"/>
      <c r="Q52" s="120"/>
      <c r="R52" s="120"/>
      <c r="S52" s="120"/>
      <c r="T52" s="120"/>
      <c r="U52" s="120"/>
      <c r="V52" s="120"/>
      <c r="W52" s="120"/>
      <c r="X52" s="120"/>
      <c r="Y52" s="120"/>
      <c r="Z52" s="120"/>
      <c r="AA52" s="120"/>
      <c r="AB52" s="120"/>
      <c r="AC52" s="120"/>
      <c r="AD52" s="120"/>
      <c r="AE52" s="120"/>
      <c r="AF52" s="120"/>
      <c r="AG52" s="120"/>
      <c r="AH52" s="120"/>
      <c r="AI52" s="120"/>
      <c r="AJ52" s="120"/>
      <c r="AK52" s="120"/>
      <c r="AL52" s="120"/>
      <c r="AM52" s="120"/>
      <c r="AN52" s="120"/>
      <c r="AO52" s="120"/>
      <c r="AP52" s="120"/>
      <c r="AQ52" s="120"/>
      <c r="AR52" s="120"/>
      <c r="AS52" s="120"/>
      <c r="AT52" s="120"/>
      <c r="AU52" s="120"/>
      <c r="AV52" s="120"/>
      <c r="AW52" s="120"/>
      <c r="AX52" s="120"/>
      <c r="AY52" s="120"/>
      <c r="AZ52" s="120"/>
      <c r="BA52" s="120"/>
      <c r="BB52" s="120"/>
      <c r="BC52" s="120"/>
      <c r="BD52" s="120"/>
      <c r="BE52" s="120"/>
      <c r="BF52" s="120"/>
      <c r="BG52" s="120"/>
      <c r="BH52" s="120"/>
      <c r="BI52" s="120"/>
      <c r="BJ52" s="120"/>
      <c r="BK52" s="120"/>
      <c r="BL52" s="120"/>
      <c r="BM52" s="120"/>
      <c r="BN52" s="120"/>
      <c r="BO52" s="120"/>
      <c r="BP52" s="120"/>
      <c r="BQ52" s="120"/>
      <c r="BR52" s="120"/>
      <c r="BS52" s="120"/>
      <c r="BT52" s="120"/>
      <c r="BU52" s="120"/>
      <c r="BV52" s="120"/>
    </row>
    <row r="53" spans="1:74" outlineLevel="1" x14ac:dyDescent="0.25">
      <c r="A53" s="120"/>
      <c r="B53" s="120" t="s">
        <v>137</v>
      </c>
      <c r="C53" s="120"/>
      <c r="E53" s="121"/>
      <c r="F53" s="121"/>
      <c r="G53" s="121"/>
      <c r="H53" s="121"/>
      <c r="I53" s="121"/>
      <c r="J53" s="121"/>
      <c r="K53" s="121"/>
      <c r="L53" s="121"/>
      <c r="M53" s="121"/>
      <c r="N53" s="121"/>
      <c r="O53" s="121"/>
      <c r="P53" s="121"/>
      <c r="Q53" s="121"/>
      <c r="R53" s="121"/>
      <c r="S53" s="121"/>
      <c r="T53" s="121"/>
      <c r="U53" s="121"/>
      <c r="V53" s="121"/>
      <c r="W53" s="121"/>
      <c r="X53" s="121"/>
      <c r="Y53" s="121"/>
      <c r="Z53" s="121"/>
      <c r="AA53" s="121"/>
      <c r="AB53" s="121"/>
      <c r="AC53" s="121"/>
      <c r="AD53" s="121"/>
      <c r="AE53" s="121"/>
      <c r="AF53" s="121"/>
      <c r="AG53" s="121"/>
      <c r="AH53" s="121"/>
      <c r="AI53" s="121"/>
      <c r="AJ53" s="121"/>
      <c r="AK53" s="121"/>
      <c r="AL53" s="121"/>
      <c r="AM53" s="121"/>
      <c r="AN53" s="121"/>
      <c r="AO53" s="121"/>
      <c r="AP53" s="121"/>
      <c r="AQ53" s="121"/>
      <c r="AR53" s="121"/>
      <c r="AS53" s="121"/>
      <c r="AT53" s="121"/>
      <c r="AU53" s="121"/>
      <c r="AV53" s="121"/>
      <c r="AW53" s="121"/>
      <c r="AX53" s="121"/>
      <c r="AY53" s="121"/>
      <c r="AZ53" s="121"/>
      <c r="BA53" s="121"/>
      <c r="BB53" s="121"/>
      <c r="BC53" s="121"/>
      <c r="BD53" s="121"/>
      <c r="BE53" s="121"/>
      <c r="BF53" s="121"/>
      <c r="BG53" s="121"/>
      <c r="BH53" s="121"/>
      <c r="BI53" s="121"/>
      <c r="BJ53" s="121"/>
      <c r="BK53" s="121"/>
      <c r="BL53" s="121"/>
      <c r="BM53" s="121"/>
      <c r="BN53" s="121"/>
      <c r="BO53" s="121"/>
      <c r="BP53" s="121"/>
      <c r="BQ53" s="121"/>
      <c r="BR53" s="121"/>
      <c r="BS53" s="121"/>
      <c r="BT53" s="121"/>
      <c r="BU53" s="121"/>
      <c r="BV53" s="121"/>
    </row>
    <row r="54" spans="1:74" ht="14.5" outlineLevel="1" x14ac:dyDescent="0.35">
      <c r="A54" s="120"/>
      <c r="B54" s="120" t="s">
        <v>134</v>
      </c>
      <c r="C54" s="120"/>
      <c r="E54" s="123">
        <f t="shared" ref="E54:BP54" si="95">0.08/12</f>
        <v>6.6666666666666671E-3</v>
      </c>
      <c r="F54" s="123">
        <f t="shared" si="95"/>
        <v>6.6666666666666671E-3</v>
      </c>
      <c r="G54" s="123">
        <f t="shared" si="95"/>
        <v>6.6666666666666671E-3</v>
      </c>
      <c r="H54" s="123">
        <f t="shared" si="95"/>
        <v>6.6666666666666671E-3</v>
      </c>
      <c r="I54" s="123">
        <f t="shared" si="95"/>
        <v>6.6666666666666671E-3</v>
      </c>
      <c r="J54" s="123">
        <f t="shared" si="95"/>
        <v>6.6666666666666671E-3</v>
      </c>
      <c r="K54" s="123">
        <f t="shared" si="95"/>
        <v>6.6666666666666671E-3</v>
      </c>
      <c r="L54" s="123">
        <f t="shared" si="95"/>
        <v>6.6666666666666671E-3</v>
      </c>
      <c r="M54" s="123">
        <f t="shared" si="95"/>
        <v>6.6666666666666671E-3</v>
      </c>
      <c r="N54" s="123">
        <f t="shared" si="95"/>
        <v>6.6666666666666671E-3</v>
      </c>
      <c r="O54" s="123">
        <f t="shared" si="95"/>
        <v>6.6666666666666671E-3</v>
      </c>
      <c r="P54" s="123">
        <f t="shared" si="95"/>
        <v>6.6666666666666671E-3</v>
      </c>
      <c r="Q54" s="123">
        <f t="shared" si="95"/>
        <v>6.6666666666666671E-3</v>
      </c>
      <c r="R54" s="123">
        <f t="shared" si="95"/>
        <v>6.6666666666666671E-3</v>
      </c>
      <c r="S54" s="123">
        <f t="shared" si="95"/>
        <v>6.6666666666666671E-3</v>
      </c>
      <c r="T54" s="123">
        <f t="shared" si="95"/>
        <v>6.6666666666666671E-3</v>
      </c>
      <c r="U54" s="123">
        <f t="shared" si="95"/>
        <v>6.6666666666666671E-3</v>
      </c>
      <c r="V54" s="123">
        <f t="shared" si="95"/>
        <v>6.6666666666666671E-3</v>
      </c>
      <c r="W54" s="123">
        <f t="shared" si="95"/>
        <v>6.6666666666666671E-3</v>
      </c>
      <c r="X54" s="123">
        <f t="shared" si="95"/>
        <v>6.6666666666666671E-3</v>
      </c>
      <c r="Y54" s="123">
        <f t="shared" si="95"/>
        <v>6.6666666666666671E-3</v>
      </c>
      <c r="Z54" s="123">
        <f t="shared" si="95"/>
        <v>6.6666666666666671E-3</v>
      </c>
      <c r="AA54" s="123">
        <f t="shared" si="95"/>
        <v>6.6666666666666671E-3</v>
      </c>
      <c r="AB54" s="123">
        <f t="shared" si="95"/>
        <v>6.6666666666666671E-3</v>
      </c>
      <c r="AC54" s="123">
        <f t="shared" si="95"/>
        <v>6.6666666666666671E-3</v>
      </c>
      <c r="AD54" s="123">
        <f t="shared" si="95"/>
        <v>6.6666666666666671E-3</v>
      </c>
      <c r="AE54" s="123">
        <f t="shared" si="95"/>
        <v>6.6666666666666671E-3</v>
      </c>
      <c r="AF54" s="123">
        <f t="shared" si="95"/>
        <v>6.6666666666666671E-3</v>
      </c>
      <c r="AG54" s="123">
        <f t="shared" si="95"/>
        <v>6.6666666666666671E-3</v>
      </c>
      <c r="AH54" s="123">
        <f t="shared" si="95"/>
        <v>6.6666666666666671E-3</v>
      </c>
      <c r="AI54" s="123">
        <f t="shared" si="95"/>
        <v>6.6666666666666671E-3</v>
      </c>
      <c r="AJ54" s="123">
        <f t="shared" si="95"/>
        <v>6.6666666666666671E-3</v>
      </c>
      <c r="AK54" s="123">
        <f t="shared" si="95"/>
        <v>6.6666666666666671E-3</v>
      </c>
      <c r="AL54" s="123">
        <f t="shared" si="95"/>
        <v>6.6666666666666671E-3</v>
      </c>
      <c r="AM54" s="123">
        <f t="shared" si="95"/>
        <v>6.6666666666666671E-3</v>
      </c>
      <c r="AN54" s="123">
        <f t="shared" si="95"/>
        <v>6.6666666666666671E-3</v>
      </c>
      <c r="AO54" s="123">
        <f t="shared" si="95"/>
        <v>6.6666666666666671E-3</v>
      </c>
      <c r="AP54" s="123">
        <f t="shared" si="95"/>
        <v>6.6666666666666671E-3</v>
      </c>
      <c r="AQ54" s="123">
        <f t="shared" si="95"/>
        <v>6.6666666666666671E-3</v>
      </c>
      <c r="AR54" s="123">
        <f t="shared" si="95"/>
        <v>6.6666666666666671E-3</v>
      </c>
      <c r="AS54" s="123">
        <f t="shared" si="95"/>
        <v>6.6666666666666671E-3</v>
      </c>
      <c r="AT54" s="123">
        <f t="shared" si="95"/>
        <v>6.6666666666666671E-3</v>
      </c>
      <c r="AU54" s="123">
        <f t="shared" si="95"/>
        <v>6.6666666666666671E-3</v>
      </c>
      <c r="AV54" s="123">
        <f t="shared" si="95"/>
        <v>6.6666666666666671E-3</v>
      </c>
      <c r="AW54" s="123">
        <f t="shared" si="95"/>
        <v>6.6666666666666671E-3</v>
      </c>
      <c r="AX54" s="123">
        <f t="shared" si="95"/>
        <v>6.6666666666666671E-3</v>
      </c>
      <c r="AY54" s="123">
        <f t="shared" si="95"/>
        <v>6.6666666666666671E-3</v>
      </c>
      <c r="AZ54" s="123">
        <f t="shared" si="95"/>
        <v>6.6666666666666671E-3</v>
      </c>
      <c r="BA54" s="123">
        <f t="shared" si="95"/>
        <v>6.6666666666666671E-3</v>
      </c>
      <c r="BB54" s="123">
        <f t="shared" si="95"/>
        <v>6.6666666666666671E-3</v>
      </c>
      <c r="BC54" s="123">
        <f t="shared" si="95"/>
        <v>6.6666666666666671E-3</v>
      </c>
      <c r="BD54" s="123">
        <f t="shared" si="95"/>
        <v>6.6666666666666671E-3</v>
      </c>
      <c r="BE54" s="123">
        <f t="shared" si="95"/>
        <v>6.6666666666666671E-3</v>
      </c>
      <c r="BF54" s="123">
        <f t="shared" si="95"/>
        <v>6.6666666666666671E-3</v>
      </c>
      <c r="BG54" s="123">
        <f t="shared" si="95"/>
        <v>6.6666666666666671E-3</v>
      </c>
      <c r="BH54" s="123">
        <f t="shared" si="95"/>
        <v>6.6666666666666671E-3</v>
      </c>
      <c r="BI54" s="123">
        <f t="shared" si="95"/>
        <v>6.6666666666666671E-3</v>
      </c>
      <c r="BJ54" s="123">
        <f t="shared" si="95"/>
        <v>6.6666666666666671E-3</v>
      </c>
      <c r="BK54" s="123">
        <f t="shared" si="95"/>
        <v>6.6666666666666671E-3</v>
      </c>
      <c r="BL54" s="123">
        <f t="shared" si="95"/>
        <v>6.6666666666666671E-3</v>
      </c>
      <c r="BM54" s="123">
        <f t="shared" si="95"/>
        <v>6.6666666666666671E-3</v>
      </c>
      <c r="BN54" s="123">
        <f t="shared" si="95"/>
        <v>6.6666666666666671E-3</v>
      </c>
      <c r="BO54" s="123">
        <f t="shared" si="95"/>
        <v>6.6666666666666671E-3</v>
      </c>
      <c r="BP54" s="123">
        <f t="shared" si="95"/>
        <v>6.6666666666666671E-3</v>
      </c>
      <c r="BQ54" s="123">
        <f t="shared" ref="BQ54:BS54" si="96">0.08/12</f>
        <v>6.6666666666666671E-3</v>
      </c>
      <c r="BR54" s="123">
        <f t="shared" si="96"/>
        <v>6.6666666666666671E-3</v>
      </c>
      <c r="BS54" s="123">
        <f t="shared" si="96"/>
        <v>6.6666666666666671E-3</v>
      </c>
      <c r="BT54" s="123">
        <f t="shared" ref="BT54:BV54" si="97">0.08/12</f>
        <v>6.6666666666666671E-3</v>
      </c>
      <c r="BU54" s="123">
        <f t="shared" si="97"/>
        <v>6.6666666666666671E-3</v>
      </c>
      <c r="BV54" s="123">
        <f t="shared" si="97"/>
        <v>6.6666666666666671E-3</v>
      </c>
    </row>
    <row r="55" spans="1:74" outlineLevel="1" x14ac:dyDescent="0.25">
      <c r="A55" s="120"/>
      <c r="B55" s="120" t="s">
        <v>138</v>
      </c>
      <c r="C55" s="120"/>
      <c r="E55" s="121">
        <f t="shared" ref="E55:O55" si="98">+E53*E54</f>
        <v>0</v>
      </c>
      <c r="F55" s="121">
        <f t="shared" si="98"/>
        <v>0</v>
      </c>
      <c r="G55" s="121">
        <f t="shared" si="98"/>
        <v>0</v>
      </c>
      <c r="H55" s="121">
        <f t="shared" si="98"/>
        <v>0</v>
      </c>
      <c r="I55" s="121">
        <f t="shared" si="98"/>
        <v>0</v>
      </c>
      <c r="J55" s="121">
        <f t="shared" si="98"/>
        <v>0</v>
      </c>
      <c r="K55" s="121">
        <f t="shared" si="98"/>
        <v>0</v>
      </c>
      <c r="L55" s="121">
        <f t="shared" si="98"/>
        <v>0</v>
      </c>
      <c r="M55" s="121">
        <f t="shared" si="98"/>
        <v>0</v>
      </c>
      <c r="N55" s="121">
        <f t="shared" si="98"/>
        <v>0</v>
      </c>
      <c r="O55" s="121">
        <f t="shared" si="98"/>
        <v>0</v>
      </c>
      <c r="P55" s="121">
        <f>Debt!$K3+EzTxtNote!$K3</f>
        <v>106458.33333333333</v>
      </c>
      <c r="Q55" s="121">
        <f>Debt!$K4+EzTxtNote!$K4</f>
        <v>105966.82570517386</v>
      </c>
      <c r="R55" s="121">
        <f>Debt!$K5+EzTxtNote!$K5</f>
        <v>105472.86053887362</v>
      </c>
      <c r="S55" s="121">
        <f>Debt!$K6+EzTxtNote!$K6</f>
        <v>104976.42554674186</v>
      </c>
      <c r="T55" s="121">
        <f>Debt!$K7+EzTxtNote!$K7</f>
        <v>104477.50837964943</v>
      </c>
      <c r="U55" s="121">
        <f>Debt!$K8+EzTxtNote!$K8</f>
        <v>103976.09662672156</v>
      </c>
      <c r="V55" s="121">
        <f>Debt!$K9+EzTxtNote!$K9</f>
        <v>103472.17781502903</v>
      </c>
      <c r="W55" s="121">
        <f>Debt!$K10+EzTxtNote!$K10</f>
        <v>102965.73940927805</v>
      </c>
      <c r="X55" s="121">
        <f>Debt!$K11+EzTxtNote!$K11</f>
        <v>102456.7688114983</v>
      </c>
      <c r="Y55" s="121">
        <f>Debt!$K12+EzTxtNote!$K12</f>
        <v>101945.25336072968</v>
      </c>
      <c r="Z55" s="121">
        <f>Debt!$K13+EzTxtNote!$K13</f>
        <v>101431.1803327072</v>
      </c>
      <c r="AA55" s="121">
        <f>Debt!$K14+EzTxtNote!$K14</f>
        <v>100914.5369395446</v>
      </c>
      <c r="AB55" s="121">
        <f>Debt!$K15+EzTxtNote!$K15</f>
        <v>100395.3103294162</v>
      </c>
      <c r="AC55" s="121">
        <f>Debt!$K16+EzTxtNote!$K16</f>
        <v>99873.487586237155</v>
      </c>
      <c r="AD55" s="121">
        <f>Debt!$K7+EzTxtNote!$K7</f>
        <v>104477.50837964943</v>
      </c>
      <c r="AE55" s="121">
        <f>Debt!$K18+EzTxtNote!$K18</f>
        <v>98822.001713162783</v>
      </c>
      <c r="AF55" s="121">
        <f>Debt!$K19+EzTxtNote!$K19</f>
        <v>98292.31242690247</v>
      </c>
      <c r="AG55" s="121">
        <f>Debt!$K20+EzTxtNote!$K20</f>
        <v>97759.974694210861</v>
      </c>
      <c r="AH55" s="121">
        <f>Debt!$K21+EzTxtNote!$K21</f>
        <v>97224.975272855794</v>
      </c>
      <c r="AI55" s="121">
        <f>Debt!$K22+EzTxtNote!$K22</f>
        <v>96687.300854393936</v>
      </c>
      <c r="AJ55" s="121">
        <f>Debt!$K23+EzTxtNote!$K23</f>
        <v>96146.938063839785</v>
      </c>
      <c r="AK55" s="121">
        <f>Debt!$K24+EzTxtNote!$K24</f>
        <v>95603.873459332855</v>
      </c>
      <c r="AL55" s="121">
        <f>Debt!$K25+EzTxtNote!$K25</f>
        <v>95058.093531803388</v>
      </c>
      <c r="AM55" s="121">
        <f>Debt!$K26+EzTxtNote!$K26</f>
        <v>94509.584704636276</v>
      </c>
      <c r="AN55" s="121">
        <f>Debt!$K27</f>
        <v>93958.333333333328</v>
      </c>
      <c r="AO55" s="121">
        <f>Debt!$K19+EzTxtNote!$K19</f>
        <v>98292.31242690247</v>
      </c>
      <c r="AP55" s="121">
        <f>Debt!$K20+EzTxtNote!$K20</f>
        <v>97759.974694210861</v>
      </c>
      <c r="AQ55" s="121">
        <f>Debt!$K21+EzTxtNote!$K21</f>
        <v>97224.975272855794</v>
      </c>
      <c r="AR55" s="121">
        <f>Debt!$K22+EzTxtNote!$K22</f>
        <v>96687.300854393936</v>
      </c>
      <c r="AS55" s="121">
        <f>Debt!$K23+EzTxtNote!$K23</f>
        <v>96146.938063839785</v>
      </c>
      <c r="AT55" s="121">
        <f>Debt!$K24+EzTxtNote!$K24</f>
        <v>95603.873459332855</v>
      </c>
      <c r="AU55" s="121">
        <f>Debt!$K25+EzTxtNote!$K25</f>
        <v>95058.093531803388</v>
      </c>
      <c r="AV55" s="121">
        <f>Debt!$K26+EzTxtNote!$K26</f>
        <v>94509.584704636276</v>
      </c>
      <c r="AW55" s="121">
        <f>Debt!$K27</f>
        <v>93958.333333333328</v>
      </c>
      <c r="AX55" s="121">
        <f>Debt!$K19+EzTxtNote!$K19</f>
        <v>98292.31242690247</v>
      </c>
      <c r="AY55" s="121">
        <f>Debt!$K20+EzTxtNote!$K20</f>
        <v>97759.974694210861</v>
      </c>
      <c r="AZ55" s="121">
        <f>Debt!$K21+EzTxtNote!$K21</f>
        <v>97224.975272855794</v>
      </c>
      <c r="BA55" s="121">
        <f>Debt!$K20+EzTxtNote!$K20</f>
        <v>97759.974694210861</v>
      </c>
      <c r="BB55" s="121">
        <f>Debt!$K21+EzTxtNote!$K21</f>
        <v>97224.975272855794</v>
      </c>
      <c r="BC55" s="121">
        <f>Debt!$K20+EzTxtNote!$K20</f>
        <v>97759.974694210861</v>
      </c>
      <c r="BD55" s="121">
        <f>Debt!$K21+EzTxtNote!$K21</f>
        <v>97224.975272855794</v>
      </c>
      <c r="BE55" s="121">
        <f>Debt!$K20+EzTxtNote!$K20</f>
        <v>97759.974694210861</v>
      </c>
      <c r="BF55" s="121">
        <f>Debt!$K21+EzTxtNote!$K21</f>
        <v>97224.975272855794</v>
      </c>
      <c r="BG55" s="121">
        <f>Debt!$K20+EzTxtNote!$K20</f>
        <v>97759.974694210861</v>
      </c>
      <c r="BH55" s="121">
        <f>Debt!$K21+EzTxtNote!$K21</f>
        <v>97224.975272855794</v>
      </c>
      <c r="BI55" s="121">
        <f>Debt!$K20+EzTxtNote!$K20</f>
        <v>97759.974694210861</v>
      </c>
      <c r="BJ55" s="121">
        <f>Debt!$K21+EzTxtNote!$K21</f>
        <v>97224.975272855794</v>
      </c>
      <c r="BK55" s="121">
        <f>Debt!$K20+EzTxtNote!$K20</f>
        <v>97759.974694210861</v>
      </c>
      <c r="BL55" s="121">
        <f>Debt!$K21+EzTxtNote!$K21</f>
        <v>97224.975272855794</v>
      </c>
      <c r="BM55" s="121">
        <f>Debt!$K20+EzTxtNote!$K20</f>
        <v>97759.974694210861</v>
      </c>
      <c r="BN55" s="121">
        <f>Debt!$K21+EzTxtNote!$K21</f>
        <v>97224.975272855794</v>
      </c>
      <c r="BO55" s="121">
        <f>Debt!$K20+EzTxtNote!$K20</f>
        <v>97759.974694210861</v>
      </c>
      <c r="BP55" s="121">
        <f>Debt!$K21+EzTxtNote!$K21</f>
        <v>97224.975272855794</v>
      </c>
      <c r="BQ55" s="121">
        <f>Debt!$K20+EzTxtNote!$K20</f>
        <v>97759.974694210861</v>
      </c>
      <c r="BR55" s="121">
        <f>Debt!$K21+EzTxtNote!$K21</f>
        <v>97224.975272855794</v>
      </c>
      <c r="BS55" s="121">
        <f>Debt!$K20+EzTxtNote!$K20</f>
        <v>97759.974694210861</v>
      </c>
      <c r="BT55" s="121">
        <f>Debt!$K20+EzTxtNote!$K20</f>
        <v>97759.974694210861</v>
      </c>
      <c r="BU55" s="121">
        <f>Debt!$K21+EzTxtNote!$K21</f>
        <v>97224.975272855794</v>
      </c>
      <c r="BV55" s="121">
        <f>Debt!$K20+EzTxtNote!$K20</f>
        <v>97759.974694210861</v>
      </c>
    </row>
    <row r="56" spans="1:74" ht="14.5" outlineLevel="1" x14ac:dyDescent="0.35">
      <c r="A56" s="16"/>
      <c r="B56" s="16"/>
      <c r="C56" s="16"/>
      <c r="E56" s="16"/>
      <c r="Q56" s="16"/>
    </row>
    <row r="57" spans="1:74" ht="14.5" x14ac:dyDescent="0.35">
      <c r="A57" s="30" t="s">
        <v>174</v>
      </c>
      <c r="B57" s="30"/>
      <c r="C57" s="30"/>
      <c r="D57" s="101"/>
      <c r="E57" s="124">
        <f t="shared" ref="E57:Z57" si="99">E55-E50</f>
        <v>-1179.4416798406548</v>
      </c>
      <c r="F57" s="124">
        <f t="shared" si="99"/>
        <v>-1042.5034974800451</v>
      </c>
      <c r="G57" s="124">
        <f t="shared" si="99"/>
        <v>-1172.1857976181236</v>
      </c>
      <c r="H57" s="124">
        <f t="shared" si="99"/>
        <v>-1241.6548127545032</v>
      </c>
      <c r="I57" s="124">
        <f t="shared" si="99"/>
        <v>-1891.9751032112708</v>
      </c>
      <c r="J57" s="124">
        <f t="shared" si="99"/>
        <v>-445.12683750000019</v>
      </c>
      <c r="K57" s="124">
        <f t="shared" si="99"/>
        <v>-445.12683750000019</v>
      </c>
      <c r="L57" s="124">
        <f t="shared" si="99"/>
        <v>-445.12683750000019</v>
      </c>
      <c r="M57" s="124">
        <f t="shared" si="99"/>
        <v>-445.12683750000019</v>
      </c>
      <c r="N57" s="124">
        <f t="shared" si="99"/>
        <v>-445.12683750000019</v>
      </c>
      <c r="O57" s="124">
        <f t="shared" si="99"/>
        <v>-445.12683750000019</v>
      </c>
      <c r="P57" s="124">
        <f t="shared" si="99"/>
        <v>106013.20649583332</v>
      </c>
      <c r="Q57" s="124">
        <f t="shared" si="99"/>
        <v>105521.69886767385</v>
      </c>
      <c r="R57" s="124">
        <f t="shared" si="99"/>
        <v>105027.73370137361</v>
      </c>
      <c r="S57" s="124">
        <f t="shared" si="99"/>
        <v>104531.29870924185</v>
      </c>
      <c r="T57" s="124">
        <f t="shared" si="99"/>
        <v>104032.38154214942</v>
      </c>
      <c r="U57" s="124">
        <f t="shared" si="99"/>
        <v>103530.96978922155</v>
      </c>
      <c r="V57" s="124">
        <f t="shared" si="99"/>
        <v>103027.05097752903</v>
      </c>
      <c r="W57" s="124">
        <f t="shared" si="99"/>
        <v>102520.61257177804</v>
      </c>
      <c r="X57" s="124">
        <f t="shared" si="99"/>
        <v>102011.6419739983</v>
      </c>
      <c r="Y57" s="124">
        <f t="shared" si="99"/>
        <v>101500.12652322967</v>
      </c>
      <c r="Z57" s="124">
        <f t="shared" si="99"/>
        <v>100986.05349520719</v>
      </c>
      <c r="AA57" s="124">
        <f>AA55-AA50</f>
        <v>100469.4101020446</v>
      </c>
      <c r="AB57" s="124">
        <f t="shared" ref="AB57:AZ57" si="100">AB55-AB50</f>
        <v>99950.183491916192</v>
      </c>
      <c r="AC57" s="124">
        <f t="shared" si="100"/>
        <v>99428.359998737156</v>
      </c>
      <c r="AD57" s="124">
        <f t="shared" si="100"/>
        <v>104032.38004214942</v>
      </c>
      <c r="AE57" s="124">
        <f t="shared" si="100"/>
        <v>98376.872625662785</v>
      </c>
      <c r="AF57" s="124">
        <f t="shared" si="100"/>
        <v>97847.182589402466</v>
      </c>
      <c r="AG57" s="124">
        <f t="shared" si="100"/>
        <v>97314.844106710865</v>
      </c>
      <c r="AH57" s="124">
        <f t="shared" si="100"/>
        <v>96779.843935355791</v>
      </c>
      <c r="AI57" s="124">
        <f t="shared" si="100"/>
        <v>96242.168766893941</v>
      </c>
      <c r="AJ57" s="124">
        <f t="shared" si="100"/>
        <v>95701.805226339784</v>
      </c>
      <c r="AK57" s="124">
        <f t="shared" si="100"/>
        <v>95158.739871832862</v>
      </c>
      <c r="AL57" s="124">
        <f t="shared" si="100"/>
        <v>94612.959194303388</v>
      </c>
      <c r="AM57" s="124">
        <f t="shared" si="100"/>
        <v>94064.44961713627</v>
      </c>
      <c r="AN57" s="124">
        <f t="shared" si="100"/>
        <v>93513.19749583333</v>
      </c>
      <c r="AO57" s="124">
        <f t="shared" si="100"/>
        <v>97847.175839402465</v>
      </c>
      <c r="AP57" s="124">
        <f t="shared" si="100"/>
        <v>97314.837356710865</v>
      </c>
      <c r="AQ57" s="124">
        <f t="shared" si="100"/>
        <v>96779.837185355791</v>
      </c>
      <c r="AR57" s="124">
        <f t="shared" si="100"/>
        <v>96242.162016893941</v>
      </c>
      <c r="AS57" s="124">
        <f t="shared" si="100"/>
        <v>95701.798476339784</v>
      </c>
      <c r="AT57" s="124">
        <f t="shared" si="100"/>
        <v>95158.733121832862</v>
      </c>
      <c r="AU57" s="124">
        <f t="shared" si="100"/>
        <v>94612.952444303388</v>
      </c>
      <c r="AV57" s="124">
        <f t="shared" si="100"/>
        <v>94064.442867136269</v>
      </c>
      <c r="AW57" s="124">
        <f t="shared" si="100"/>
        <v>93513.19074583333</v>
      </c>
      <c r="AX57" s="124">
        <f t="shared" si="100"/>
        <v>97847.169089402465</v>
      </c>
      <c r="AY57" s="124">
        <f t="shared" si="100"/>
        <v>97314.830606710864</v>
      </c>
      <c r="AZ57" s="124">
        <f t="shared" si="100"/>
        <v>96779.830435355791</v>
      </c>
      <c r="BA57" s="124">
        <f t="shared" ref="BA57:BL57" si="101">BA55-BA50</f>
        <v>97314.829106710866</v>
      </c>
      <c r="BB57" s="124">
        <f t="shared" si="101"/>
        <v>96779.828935355792</v>
      </c>
      <c r="BC57" s="124">
        <f t="shared" si="101"/>
        <v>97314.827606710867</v>
      </c>
      <c r="BD57" s="124">
        <f t="shared" si="101"/>
        <v>96779.827435355794</v>
      </c>
      <c r="BE57" s="124">
        <f t="shared" si="101"/>
        <v>97314.826106710854</v>
      </c>
      <c r="BF57" s="124">
        <f t="shared" si="101"/>
        <v>96779.825935355795</v>
      </c>
      <c r="BG57" s="124">
        <f t="shared" si="101"/>
        <v>97314.824606710856</v>
      </c>
      <c r="BH57" s="124">
        <f t="shared" si="101"/>
        <v>96779.824435355797</v>
      </c>
      <c r="BI57" s="124">
        <f t="shared" si="101"/>
        <v>97314.823106710857</v>
      </c>
      <c r="BJ57" s="124">
        <f t="shared" si="101"/>
        <v>96779.822935355798</v>
      </c>
      <c r="BK57" s="124">
        <f t="shared" si="101"/>
        <v>97314.821606710859</v>
      </c>
      <c r="BL57" s="124">
        <f t="shared" si="101"/>
        <v>96779.8214353558</v>
      </c>
      <c r="BM57" s="124">
        <f t="shared" ref="BM57:BS57" si="102">BM55-BM50</f>
        <v>97314.82010671086</v>
      </c>
      <c r="BN57" s="124">
        <f t="shared" si="102"/>
        <v>96779.819935355801</v>
      </c>
      <c r="BO57" s="124">
        <f t="shared" si="102"/>
        <v>97314.818606710862</v>
      </c>
      <c r="BP57" s="124">
        <f t="shared" si="102"/>
        <v>96779.818435355788</v>
      </c>
      <c r="BQ57" s="124">
        <f t="shared" si="102"/>
        <v>97314.817106710863</v>
      </c>
      <c r="BR57" s="124">
        <f t="shared" si="102"/>
        <v>96779.81693535579</v>
      </c>
      <c r="BS57" s="124">
        <f t="shared" si="102"/>
        <v>97314.815606710865</v>
      </c>
      <c r="BT57" s="124">
        <f t="shared" ref="BT57:BV57" si="103">BT55-BT50</f>
        <v>97314.814856710858</v>
      </c>
      <c r="BU57" s="124">
        <f t="shared" si="103"/>
        <v>96779.814685355799</v>
      </c>
      <c r="BV57" s="124">
        <f t="shared" si="103"/>
        <v>97314.81335671086</v>
      </c>
    </row>
  </sheetData>
  <pageMargins left="0.25" right="0.25" top="1" bottom="1" header="0.5" footer="0.5"/>
  <pageSetup scale="58" fitToWidth="2" orientation="landscape" horizontalDpi="1200" verticalDpi="1200" r:id="rId1"/>
  <headerFooter alignWithMargins="0">
    <oddHeader>&amp;L&amp;"-,Bold"&amp;12CallFire Financial Model&amp;C&amp;"-,Bold"&amp;12&amp;A</oddHeader>
    <oddFooter>&amp;L&amp;"-,Bold"&amp;8CallFire Confidential&amp;C&amp;8&amp;D&amp;R&amp;8Page &amp;P</oddFooter>
  </headerFooter>
  <colBreaks count="2" manualBreakCount="2">
    <brk id="16" max="37" man="1"/>
    <brk id="28" max="37" man="1"/>
  </colBreaks>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3" tint="0.39997558519241921"/>
    <pageSetUpPr fitToPage="1"/>
  </sheetPr>
  <dimension ref="A1:BV35"/>
  <sheetViews>
    <sheetView zoomScale="80" zoomScaleNormal="80" workbookViewId="0">
      <pane xSplit="2" ySplit="5" topLeftCell="C6" activePane="bottomRight" state="frozen"/>
      <selection activeCell="C20" sqref="C20"/>
      <selection pane="topRight" activeCell="C20" sqref="C20"/>
      <selection pane="bottomLeft" activeCell="C20" sqref="C20"/>
      <selection pane="bottomRight" activeCell="M30" sqref="M30"/>
    </sheetView>
  </sheetViews>
  <sheetFormatPr defaultRowHeight="14.5" x14ac:dyDescent="0.35"/>
  <cols>
    <col min="1" max="1" width="2.1796875" customWidth="1"/>
    <col min="2" max="2" width="25.26953125" bestFit="1" customWidth="1"/>
    <col min="3" max="3" width="11" customWidth="1"/>
    <col min="4" max="4" width="11.54296875" bestFit="1" customWidth="1"/>
    <col min="5" max="5" width="12.54296875" customWidth="1"/>
    <col min="6" max="7" width="11.54296875" bestFit="1" customWidth="1"/>
    <col min="8" max="8" width="12.7265625" bestFit="1" customWidth="1"/>
    <col min="9" max="13" width="11.54296875" bestFit="1" customWidth="1"/>
    <col min="14" max="14" width="12.7265625" bestFit="1" customWidth="1"/>
    <col min="62" max="62" width="9.1796875" customWidth="1"/>
    <col min="63" max="71" width="8.7265625" style="574" customWidth="1"/>
  </cols>
  <sheetData>
    <row r="1" spans="1:74" ht="18.5" thickBot="1" x14ac:dyDescent="0.45">
      <c r="A1" s="88" t="str">
        <f>Sensativities!B4</f>
        <v>CallFire</v>
      </c>
      <c r="B1" s="88"/>
    </row>
    <row r="3" spans="1:74" s="236" customFormat="1" ht="15.5" x14ac:dyDescent="0.35">
      <c r="A3" s="93" t="s">
        <v>86</v>
      </c>
      <c r="BK3" s="574"/>
      <c r="BL3" s="574"/>
      <c r="BM3" s="574"/>
      <c r="BN3" s="574"/>
      <c r="BO3" s="574"/>
      <c r="BP3" s="574"/>
      <c r="BQ3" s="574"/>
      <c r="BR3" s="574"/>
      <c r="BS3" s="574"/>
    </row>
    <row r="4" spans="1:74" s="16" customFormat="1" x14ac:dyDescent="0.35">
      <c r="B4" s="41"/>
      <c r="C4" s="13">
        <f>'P&amp;L - Monthly'!E1</f>
        <v>40909</v>
      </c>
      <c r="D4" s="13">
        <f>'P&amp;L - Monthly'!F1</f>
        <v>40942</v>
      </c>
      <c r="E4" s="13">
        <f>'P&amp;L - Monthly'!G1</f>
        <v>40975</v>
      </c>
      <c r="F4" s="13">
        <f>'P&amp;L - Monthly'!H1</f>
        <v>41008</v>
      </c>
      <c r="G4" s="13">
        <f>'P&amp;L - Monthly'!I1</f>
        <v>41041</v>
      </c>
      <c r="H4" s="13">
        <f>'P&amp;L - Monthly'!J1</f>
        <v>41074</v>
      </c>
      <c r="I4" s="13">
        <f>'P&amp;L - Monthly'!K1</f>
        <v>41107</v>
      </c>
      <c r="J4" s="13">
        <f>'P&amp;L - Monthly'!L1</f>
        <v>41140</v>
      </c>
      <c r="K4" s="13">
        <f>'P&amp;L - Monthly'!M1</f>
        <v>41173</v>
      </c>
      <c r="L4" s="13">
        <f>'P&amp;L - Monthly'!N1</f>
        <v>41206</v>
      </c>
      <c r="M4" s="13">
        <f>'P&amp;L - Monthly'!O1</f>
        <v>41239</v>
      </c>
      <c r="N4" s="13">
        <f>'P&amp;L - Monthly'!P1</f>
        <v>41272</v>
      </c>
      <c r="O4" s="12">
        <f>'P&amp;L - Monthly'!Q1</f>
        <v>41282</v>
      </c>
      <c r="P4" s="12">
        <f>'P&amp;L - Monthly'!R1</f>
        <v>41312</v>
      </c>
      <c r="Q4" s="12">
        <f>'P&amp;L - Monthly'!S1</f>
        <v>41342</v>
      </c>
      <c r="R4" s="12">
        <f>'P&amp;L - Monthly'!T1</f>
        <v>41372</v>
      </c>
      <c r="S4" s="12">
        <f>'P&amp;L - Monthly'!U1</f>
        <v>41402</v>
      </c>
      <c r="T4" s="12">
        <f>'P&amp;L - Monthly'!V1</f>
        <v>41432</v>
      </c>
      <c r="U4" s="12">
        <f>'P&amp;L - Monthly'!W1</f>
        <v>41462</v>
      </c>
      <c r="V4" s="12">
        <f>'P&amp;L - Monthly'!X1</f>
        <v>41492</v>
      </c>
      <c r="W4" s="12">
        <f>'P&amp;L - Monthly'!Y1</f>
        <v>41522</v>
      </c>
      <c r="X4" s="12">
        <f>'P&amp;L - Monthly'!Z1</f>
        <v>41552</v>
      </c>
      <c r="Y4" s="12">
        <f>'P&amp;L - Monthly'!AA1</f>
        <v>41582</v>
      </c>
      <c r="Z4" s="12">
        <f>'P&amp;L - Monthly'!AB1</f>
        <v>41612</v>
      </c>
      <c r="AA4" s="13">
        <f>'P&amp;L - Monthly'!AC1</f>
        <v>41642</v>
      </c>
      <c r="AB4" s="13">
        <f>'P&amp;L - Monthly'!AD1</f>
        <v>41675</v>
      </c>
      <c r="AC4" s="13">
        <f>'P&amp;L - Monthly'!AE1</f>
        <v>41708</v>
      </c>
      <c r="AD4" s="13">
        <f>'P&amp;L - Monthly'!AF1</f>
        <v>41741</v>
      </c>
      <c r="AE4" s="13">
        <f>'P&amp;L - Monthly'!AG1</f>
        <v>41774</v>
      </c>
      <c r="AF4" s="13">
        <f>'P&amp;L - Monthly'!AH1</f>
        <v>41807</v>
      </c>
      <c r="AG4" s="13">
        <f>'P&amp;L - Monthly'!AI1</f>
        <v>41840</v>
      </c>
      <c r="AH4" s="13">
        <f>'P&amp;L - Monthly'!AJ1</f>
        <v>41873</v>
      </c>
      <c r="AI4" s="13">
        <f>'P&amp;L - Monthly'!AK1</f>
        <v>41906</v>
      </c>
      <c r="AJ4" s="13">
        <f>'P&amp;L - Monthly'!AL1</f>
        <v>41939</v>
      </c>
      <c r="AK4" s="13">
        <f>'P&amp;L - Monthly'!AM1</f>
        <v>41972</v>
      </c>
      <c r="AL4" s="13">
        <f>'P&amp;L - Monthly'!AN1</f>
        <v>41982</v>
      </c>
      <c r="AM4" s="12">
        <f>'P&amp;L - Monthly'!AO1</f>
        <v>42012</v>
      </c>
      <c r="AN4" s="12">
        <f>'P&amp;L - Monthly'!AP1</f>
        <v>42042</v>
      </c>
      <c r="AO4" s="12">
        <f>'P&amp;L - Monthly'!AQ1</f>
        <v>42072</v>
      </c>
      <c r="AP4" s="12">
        <f>'P&amp;L - Monthly'!AR1</f>
        <v>42102</v>
      </c>
      <c r="AQ4" s="12">
        <f>'P&amp;L - Monthly'!AS1</f>
        <v>42132</v>
      </c>
      <c r="AR4" s="12">
        <f>'P&amp;L - Monthly'!AT1</f>
        <v>42162</v>
      </c>
      <c r="AS4" s="12">
        <f>'P&amp;L - Monthly'!AU1</f>
        <v>42192</v>
      </c>
      <c r="AT4" s="12">
        <f>'P&amp;L - Monthly'!AV1</f>
        <v>42222</v>
      </c>
      <c r="AU4" s="12">
        <f>'P&amp;L - Monthly'!AW1</f>
        <v>42252</v>
      </c>
      <c r="AV4" s="12">
        <f>'P&amp;L - Monthly'!AX1</f>
        <v>42282</v>
      </c>
      <c r="AW4" s="12">
        <f>'P&amp;L - Monthly'!AY1</f>
        <v>42312</v>
      </c>
      <c r="AX4" s="12">
        <f>'P&amp;L - Monthly'!AZ1</f>
        <v>42342</v>
      </c>
      <c r="AY4" s="13">
        <f>'P&amp;L - Monthly'!BA1</f>
        <v>42372</v>
      </c>
      <c r="AZ4" s="13">
        <f>'P&amp;L - Monthly'!BB1</f>
        <v>42402</v>
      </c>
      <c r="BA4" s="13">
        <f>'P&amp;L - Monthly'!BC1</f>
        <v>42432</v>
      </c>
      <c r="BB4" s="13">
        <f>'P&amp;L - Monthly'!BD1</f>
        <v>42462</v>
      </c>
      <c r="BC4" s="13">
        <f>'P&amp;L - Monthly'!BE1</f>
        <v>42492</v>
      </c>
      <c r="BD4" s="13">
        <f>'P&amp;L - Monthly'!BF1</f>
        <v>42522</v>
      </c>
      <c r="BE4" s="13">
        <f>'P&amp;L - Monthly'!BG1</f>
        <v>42555</v>
      </c>
      <c r="BF4" s="13">
        <f>'P&amp;L - Monthly'!BH1</f>
        <v>42585</v>
      </c>
      <c r="BG4" s="13">
        <f>'P&amp;L - Monthly'!BI1</f>
        <v>42615</v>
      </c>
      <c r="BH4" s="13">
        <f>'P&amp;L - Monthly'!BJ1</f>
        <v>42645</v>
      </c>
      <c r="BI4" s="13">
        <f>'P&amp;L - Monthly'!BK1</f>
        <v>42675</v>
      </c>
      <c r="BJ4" s="13">
        <f>'P&amp;L - Monthly'!BL1</f>
        <v>42705</v>
      </c>
      <c r="BK4" s="13">
        <f>'P&amp;L - Monthly'!BM1</f>
        <v>42736</v>
      </c>
      <c r="BL4" s="13">
        <f>'P&amp;L - Monthly'!BN1</f>
        <v>42767</v>
      </c>
      <c r="BM4" s="13">
        <f>'P&amp;L - Monthly'!BO1</f>
        <v>42795</v>
      </c>
      <c r="BN4" s="13">
        <f>'P&amp;L - Monthly'!BP1</f>
        <v>42826</v>
      </c>
      <c r="BO4" s="13">
        <f>'P&amp;L - Monthly'!BQ1</f>
        <v>42856</v>
      </c>
      <c r="BP4" s="13">
        <f>'P&amp;L - Monthly'!BR1</f>
        <v>42887</v>
      </c>
      <c r="BQ4" s="13">
        <f>'P&amp;L - Monthly'!BS1</f>
        <v>42917</v>
      </c>
      <c r="BR4" s="13">
        <f>'P&amp;L - Monthly'!BT1</f>
        <v>42948</v>
      </c>
      <c r="BS4" s="13">
        <f>'P&amp;L - Monthly'!BU1</f>
        <v>42979</v>
      </c>
      <c r="BT4" s="13">
        <f>'P&amp;L - Monthly'!BV1</f>
        <v>43009</v>
      </c>
      <c r="BU4" s="13">
        <f>'P&amp;L - Monthly'!BW1</f>
        <v>43040</v>
      </c>
      <c r="BV4" s="13">
        <f>'P&amp;L - Monthly'!BX1</f>
        <v>43070</v>
      </c>
    </row>
    <row r="5" spans="1:74" x14ac:dyDescent="0.35">
      <c r="C5" s="1" t="str">
        <f>'P&amp;L - Monthly'!E4</f>
        <v>Actual</v>
      </c>
      <c r="D5" s="1" t="str">
        <f>'P&amp;L - Monthly'!F4</f>
        <v>Actual</v>
      </c>
      <c r="E5" s="1" t="str">
        <f>'P&amp;L - Monthly'!G4</f>
        <v>Actual</v>
      </c>
      <c r="F5" s="1" t="str">
        <f>'P&amp;L - Monthly'!H4</f>
        <v>Actual</v>
      </c>
      <c r="G5" s="1" t="str">
        <f>'P&amp;L - Monthly'!I4</f>
        <v>Actual</v>
      </c>
      <c r="H5" s="1" t="str">
        <f>'P&amp;L - Monthly'!J4</f>
        <v>Actual</v>
      </c>
      <c r="I5" s="1" t="str">
        <f>'P&amp;L - Monthly'!K4</f>
        <v>Actual</v>
      </c>
      <c r="J5" s="1" t="str">
        <f>'P&amp;L - Monthly'!L4</f>
        <v>Actual</v>
      </c>
      <c r="K5" s="1" t="str">
        <f>'P&amp;L - Monthly'!M4</f>
        <v>Actual</v>
      </c>
      <c r="L5" s="1" t="str">
        <f>'P&amp;L - Monthly'!N4</f>
        <v>Actual</v>
      </c>
      <c r="M5" s="1" t="str">
        <f>'P&amp;L - Monthly'!O4</f>
        <v>Actual</v>
      </c>
      <c r="N5" s="1" t="str">
        <f>'P&amp;L - Monthly'!P4</f>
        <v>Actual</v>
      </c>
      <c r="O5" s="1" t="str">
        <f>'P&amp;L - Monthly'!Q4</f>
        <v>Actual</v>
      </c>
      <c r="P5" s="1" t="str">
        <f>'P&amp;L - Monthly'!R4</f>
        <v>Actual</v>
      </c>
      <c r="Q5" s="1" t="str">
        <f>'P&amp;L - Monthly'!S4</f>
        <v>Actual</v>
      </c>
      <c r="R5" s="1" t="str">
        <f>'P&amp;L - Monthly'!T4</f>
        <v>Actual</v>
      </c>
      <c r="S5" s="1" t="str">
        <f>'P&amp;L - Monthly'!U4</f>
        <v>Actual</v>
      </c>
      <c r="T5" s="1" t="str">
        <f>'P&amp;L - Monthly'!V4</f>
        <v>Actual</v>
      </c>
      <c r="U5" s="1" t="str">
        <f>'P&amp;L - Monthly'!W4</f>
        <v>Actual</v>
      </c>
      <c r="V5" s="1" t="str">
        <f>'P&amp;L - Monthly'!X4</f>
        <v>Actual</v>
      </c>
      <c r="W5" s="1" t="str">
        <f>'P&amp;L - Monthly'!Y4</f>
        <v>Actual</v>
      </c>
      <c r="X5" s="1" t="str">
        <f>'P&amp;L - Monthly'!Z4</f>
        <v>Actual</v>
      </c>
      <c r="Y5" s="1" t="str">
        <f>'P&amp;L - Monthly'!AA4</f>
        <v>Actual</v>
      </c>
      <c r="Z5" s="1" t="str">
        <f>'P&amp;L - Monthly'!AB4</f>
        <v>Actual</v>
      </c>
      <c r="AA5" s="1" t="str">
        <f>'P&amp;L - Monthly'!AC4</f>
        <v>Forecast</v>
      </c>
      <c r="AB5" s="1" t="str">
        <f>'P&amp;L - Monthly'!AD4</f>
        <v>Forecast</v>
      </c>
      <c r="AC5" s="1" t="str">
        <f>'P&amp;L - Monthly'!AE4</f>
        <v>Forecast</v>
      </c>
      <c r="AD5" s="1" t="str">
        <f>'P&amp;L - Monthly'!AF4</f>
        <v>Forecast</v>
      </c>
      <c r="AE5" s="1" t="str">
        <f>'P&amp;L - Monthly'!AG4</f>
        <v>Forecast</v>
      </c>
      <c r="AF5" s="1" t="str">
        <f>'P&amp;L - Monthly'!AH4</f>
        <v>Forecast</v>
      </c>
      <c r="AG5" s="1" t="str">
        <f>'P&amp;L - Monthly'!AI4</f>
        <v>Forecast</v>
      </c>
      <c r="AH5" s="1" t="str">
        <f>'P&amp;L - Monthly'!AJ4</f>
        <v>Forecast</v>
      </c>
      <c r="AI5" s="1" t="str">
        <f>'P&amp;L - Monthly'!AK4</f>
        <v>Forecast</v>
      </c>
      <c r="AJ5" s="1" t="str">
        <f>'P&amp;L - Monthly'!AL4</f>
        <v>Forecast</v>
      </c>
      <c r="AK5" s="1" t="str">
        <f>'P&amp;L - Monthly'!AM4</f>
        <v>Forecast</v>
      </c>
      <c r="AL5" s="1" t="str">
        <f>'P&amp;L - Monthly'!AN4</f>
        <v>Forecast</v>
      </c>
      <c r="AM5" s="1" t="str">
        <f>'P&amp;L - Monthly'!AO4</f>
        <v>Forecast</v>
      </c>
      <c r="AN5" s="1" t="str">
        <f>'P&amp;L - Monthly'!AP4</f>
        <v>Forecast</v>
      </c>
      <c r="AO5" s="1" t="str">
        <f>'P&amp;L - Monthly'!AQ4</f>
        <v>Forecast</v>
      </c>
      <c r="AP5" s="1" t="str">
        <f>'P&amp;L - Monthly'!AR4</f>
        <v>Forecast</v>
      </c>
      <c r="AQ5" s="1" t="str">
        <f>'P&amp;L - Monthly'!AS4</f>
        <v>Forecast</v>
      </c>
      <c r="AR5" s="1" t="str">
        <f>'P&amp;L - Monthly'!AT4</f>
        <v>Forecast</v>
      </c>
      <c r="AS5" s="1" t="str">
        <f>'P&amp;L - Monthly'!AU4</f>
        <v>Forecast</v>
      </c>
      <c r="AT5" s="1" t="str">
        <f>'P&amp;L - Monthly'!AV4</f>
        <v>Forecast</v>
      </c>
      <c r="AU5" s="1" t="str">
        <f>'P&amp;L - Monthly'!AW4</f>
        <v>Forecast</v>
      </c>
      <c r="AV5" s="1" t="str">
        <f>'P&amp;L - Monthly'!AX4</f>
        <v>Forecast</v>
      </c>
      <c r="AW5" s="1" t="str">
        <f>'P&amp;L - Monthly'!AY4</f>
        <v>Forecast</v>
      </c>
      <c r="AX5" s="1" t="str">
        <f>'P&amp;L - Monthly'!AZ4</f>
        <v>Forecast</v>
      </c>
      <c r="AY5" s="1" t="str">
        <f>'P&amp;L - Monthly'!BA4</f>
        <v>Forecast</v>
      </c>
      <c r="AZ5" s="1" t="str">
        <f>'P&amp;L - Monthly'!BB4</f>
        <v>Forecast</v>
      </c>
      <c r="BA5" s="1" t="str">
        <f>'P&amp;L - Monthly'!BC4</f>
        <v>Forecast</v>
      </c>
      <c r="BB5" s="1" t="str">
        <f>'P&amp;L - Monthly'!BD4</f>
        <v>Forecast</v>
      </c>
      <c r="BC5" s="1" t="str">
        <f>'P&amp;L - Monthly'!BE4</f>
        <v>Forecast</v>
      </c>
      <c r="BD5" s="1" t="str">
        <f>'P&amp;L - Monthly'!BF4</f>
        <v>Forecast</v>
      </c>
      <c r="BE5" s="1" t="str">
        <f>'P&amp;L - Monthly'!BG4</f>
        <v>Forecast</v>
      </c>
      <c r="BF5" s="1" t="str">
        <f>'P&amp;L - Monthly'!BH4</f>
        <v>Forecast</v>
      </c>
      <c r="BG5" s="1" t="str">
        <f>'P&amp;L - Monthly'!BI4</f>
        <v>Forecast</v>
      </c>
      <c r="BH5" s="1" t="str">
        <f>'P&amp;L - Monthly'!BJ4</f>
        <v>Forecast</v>
      </c>
      <c r="BI5" s="1" t="str">
        <f>'P&amp;L - Monthly'!BK4</f>
        <v>Forecast</v>
      </c>
      <c r="BJ5" s="1" t="str">
        <f>'P&amp;L - Monthly'!BL4</f>
        <v>Forecast</v>
      </c>
      <c r="BK5" s="290" t="str">
        <f>'P&amp;L - Monthly'!BM4</f>
        <v>Forecast</v>
      </c>
      <c r="BL5" s="290" t="str">
        <f>'P&amp;L - Monthly'!BN4</f>
        <v>Forecast</v>
      </c>
      <c r="BM5" s="290" t="str">
        <f>'P&amp;L - Monthly'!BO4</f>
        <v>Forecast</v>
      </c>
      <c r="BN5" s="290" t="str">
        <f>'P&amp;L - Monthly'!BP4</f>
        <v>Forecast</v>
      </c>
      <c r="BO5" s="290" t="str">
        <f>'P&amp;L - Monthly'!BQ4</f>
        <v>Forecast</v>
      </c>
      <c r="BP5" s="290" t="str">
        <f>'P&amp;L - Monthly'!BR4</f>
        <v>Forecast</v>
      </c>
      <c r="BQ5" s="290" t="str">
        <f>'P&amp;L - Monthly'!BS4</f>
        <v>Forecast</v>
      </c>
      <c r="BR5" s="290" t="str">
        <f>'P&amp;L - Monthly'!BT4</f>
        <v>Forecast</v>
      </c>
      <c r="BS5" s="290" t="str">
        <f>'P&amp;L - Monthly'!BU4</f>
        <v>Forecast</v>
      </c>
      <c r="BT5" s="290" t="str">
        <f>'P&amp;L - Monthly'!BV4</f>
        <v>Forecast</v>
      </c>
      <c r="BU5" s="290" t="str">
        <f>'P&amp;L - Monthly'!BW4</f>
        <v>Forecast</v>
      </c>
      <c r="BV5" s="290">
        <f>'P&amp;L - Monthly'!BX4</f>
        <v>0</v>
      </c>
    </row>
    <row r="6" spans="1:74" x14ac:dyDescent="0.35">
      <c r="BT6" s="574"/>
      <c r="BU6" s="574"/>
      <c r="BV6" s="574"/>
    </row>
    <row r="7" spans="1:74" x14ac:dyDescent="0.35">
      <c r="B7" s="177" t="s">
        <v>224</v>
      </c>
      <c r="C7" s="574">
        <f>Sales!C7</f>
        <v>8</v>
      </c>
      <c r="D7" s="574">
        <f>Sales!D7</f>
        <v>8</v>
      </c>
      <c r="E7" s="574">
        <f>Sales!E7</f>
        <v>8</v>
      </c>
      <c r="F7" s="574">
        <f>Sales!F7</f>
        <v>8</v>
      </c>
      <c r="G7" s="574">
        <f>Sales!G7</f>
        <v>8</v>
      </c>
      <c r="H7" s="574">
        <f>Sales!H7</f>
        <v>8</v>
      </c>
      <c r="I7" s="574">
        <f>Sales!I7</f>
        <v>8</v>
      </c>
      <c r="J7" s="574">
        <f>Sales!J7</f>
        <v>8</v>
      </c>
      <c r="K7" s="574">
        <f>Sales!K7</f>
        <v>8</v>
      </c>
      <c r="L7" s="574">
        <f>Sales!L7</f>
        <v>8</v>
      </c>
      <c r="M7" s="574">
        <f>Sales!M7</f>
        <v>8</v>
      </c>
      <c r="N7" s="574">
        <f>Sales!N7</f>
        <v>10</v>
      </c>
      <c r="O7" s="574">
        <f>Sales!O7</f>
        <v>11</v>
      </c>
      <c r="P7" s="574">
        <f>Sales!P7</f>
        <v>11</v>
      </c>
      <c r="Q7" s="574">
        <f>Sales!Q7</f>
        <v>16</v>
      </c>
      <c r="R7" s="574">
        <f>Sales!R7</f>
        <v>16</v>
      </c>
      <c r="S7" s="574">
        <f>Sales!S7</f>
        <v>16</v>
      </c>
      <c r="T7" s="574">
        <f>Sales!T7</f>
        <v>16</v>
      </c>
      <c r="U7" s="574">
        <f>Sales!U7</f>
        <v>17</v>
      </c>
      <c r="V7" s="574">
        <f>Sales!V7</f>
        <v>17</v>
      </c>
      <c r="W7" s="574">
        <f>Sales!W7</f>
        <v>19</v>
      </c>
      <c r="X7" s="574">
        <f>Sales!X7</f>
        <v>18</v>
      </c>
      <c r="Y7" s="574">
        <f>Sales!Y7</f>
        <v>17</v>
      </c>
      <c r="Z7" s="574">
        <f>Sales!Z7</f>
        <v>19</v>
      </c>
      <c r="AA7" s="574">
        <f>Sales!AA7</f>
        <v>20</v>
      </c>
      <c r="AB7" s="574">
        <f>Sales!AB7</f>
        <v>21</v>
      </c>
      <c r="AC7" s="574">
        <f>Sales!AC7</f>
        <v>21</v>
      </c>
      <c r="AD7" s="574">
        <f>Sales!AD7</f>
        <v>23</v>
      </c>
      <c r="AE7" s="574">
        <f>Sales!AE7</f>
        <v>23</v>
      </c>
      <c r="AF7" s="574">
        <f>Sales!AF7</f>
        <v>23</v>
      </c>
      <c r="AG7" s="574">
        <f>Sales!AG7</f>
        <v>25</v>
      </c>
      <c r="AH7" s="574">
        <f>Sales!AH7</f>
        <v>25</v>
      </c>
      <c r="AI7" s="574">
        <f>Sales!AI7</f>
        <v>25</v>
      </c>
      <c r="AJ7" s="574">
        <f>Sales!AJ7</f>
        <v>25</v>
      </c>
      <c r="AK7" s="574">
        <f>Sales!AK7</f>
        <v>25</v>
      </c>
      <c r="AL7" s="574">
        <f>Sales!AL7</f>
        <v>25</v>
      </c>
      <c r="AM7" s="574">
        <f>Sales!AM7</f>
        <v>25</v>
      </c>
      <c r="AN7" s="574">
        <f>Sales!AN7</f>
        <v>25</v>
      </c>
      <c r="AO7" s="574">
        <f>Sales!AO7</f>
        <v>25</v>
      </c>
      <c r="AP7" s="574">
        <f>Sales!AP7</f>
        <v>25</v>
      </c>
      <c r="AQ7" s="574">
        <f>Sales!AQ7</f>
        <v>25</v>
      </c>
      <c r="AR7" s="574">
        <f>Sales!AR7</f>
        <v>25</v>
      </c>
      <c r="AS7" s="574">
        <f>Sales!AS7</f>
        <v>25</v>
      </c>
      <c r="AT7" s="574">
        <f>Sales!AT7</f>
        <v>25</v>
      </c>
      <c r="AU7" s="574">
        <f>Sales!AU7</f>
        <v>25</v>
      </c>
      <c r="AV7" s="574">
        <f>Sales!AV7</f>
        <v>25</v>
      </c>
      <c r="AW7" s="574">
        <f>Sales!AW7</f>
        <v>25</v>
      </c>
      <c r="AX7" s="574">
        <f>Sales!AX7</f>
        <v>25</v>
      </c>
      <c r="AY7" s="574">
        <f>Sales!AY7</f>
        <v>25</v>
      </c>
      <c r="AZ7" s="574">
        <f>Sales!AZ7</f>
        <v>25</v>
      </c>
      <c r="BA7" s="574">
        <f>Sales!BA7</f>
        <v>25</v>
      </c>
      <c r="BB7" s="574">
        <f>Sales!BB7</f>
        <v>25</v>
      </c>
      <c r="BC7" s="574">
        <f>Sales!BC7</f>
        <v>25</v>
      </c>
      <c r="BD7" s="574">
        <f>Sales!BD7</f>
        <v>25</v>
      </c>
      <c r="BE7" s="574">
        <f>Sales!BE7</f>
        <v>25</v>
      </c>
      <c r="BF7" s="574">
        <f>Sales!BF7</f>
        <v>25</v>
      </c>
      <c r="BG7" s="574">
        <f>Sales!BG7</f>
        <v>25</v>
      </c>
      <c r="BH7" s="574">
        <f>Sales!BH7</f>
        <v>25</v>
      </c>
      <c r="BI7" s="574">
        <f>Sales!BI7</f>
        <v>25</v>
      </c>
      <c r="BJ7" s="574">
        <f>Sales!BJ7</f>
        <v>25</v>
      </c>
      <c r="BK7" s="574">
        <f>Sales!BK7</f>
        <v>25</v>
      </c>
      <c r="BL7" s="574">
        <f>Sales!BL7</f>
        <v>25</v>
      </c>
      <c r="BM7" s="574">
        <f>Sales!BM7</f>
        <v>25</v>
      </c>
      <c r="BN7" s="574">
        <f>Sales!BN7</f>
        <v>25</v>
      </c>
      <c r="BO7" s="574">
        <f>Sales!BO7</f>
        <v>25</v>
      </c>
      <c r="BP7" s="574">
        <f>Sales!BP7</f>
        <v>25</v>
      </c>
      <c r="BQ7" s="574">
        <f>Sales!BQ7</f>
        <v>25</v>
      </c>
      <c r="BR7" s="574">
        <f>Sales!BR7</f>
        <v>25</v>
      </c>
      <c r="BS7" s="574">
        <f>Sales!BS7</f>
        <v>25</v>
      </c>
      <c r="BT7" s="574">
        <f>Sales!BT7</f>
        <v>25</v>
      </c>
      <c r="BU7" s="574">
        <f>Sales!BU7</f>
        <v>25</v>
      </c>
      <c r="BV7" s="574">
        <f>Sales!BV7</f>
        <v>25</v>
      </c>
    </row>
    <row r="8" spans="1:74" x14ac:dyDescent="0.35">
      <c r="B8" s="177" t="s">
        <v>5</v>
      </c>
      <c r="C8" s="236">
        <f>Marketing!C7</f>
        <v>3</v>
      </c>
      <c r="D8" s="574">
        <f>Marketing!D7</f>
        <v>3</v>
      </c>
      <c r="E8" s="574">
        <f>Marketing!E7</f>
        <v>3</v>
      </c>
      <c r="F8" s="574">
        <f>Marketing!F7</f>
        <v>3</v>
      </c>
      <c r="G8" s="574">
        <f>Marketing!G7</f>
        <v>3</v>
      </c>
      <c r="H8" s="574">
        <f>Marketing!H7</f>
        <v>3</v>
      </c>
      <c r="I8" s="574">
        <f>Marketing!I7</f>
        <v>3</v>
      </c>
      <c r="J8" s="574">
        <f>Marketing!J7</f>
        <v>3</v>
      </c>
      <c r="K8" s="574">
        <f>Marketing!K7</f>
        <v>3</v>
      </c>
      <c r="L8" s="574">
        <f>Marketing!L7</f>
        <v>3</v>
      </c>
      <c r="M8" s="574">
        <f>Marketing!M7</f>
        <v>3</v>
      </c>
      <c r="N8" s="574">
        <f>Marketing!N7</f>
        <v>4</v>
      </c>
      <c r="O8" s="574">
        <f>Marketing!O7</f>
        <v>4</v>
      </c>
      <c r="P8" s="574">
        <f>Marketing!P7</f>
        <v>4</v>
      </c>
      <c r="Q8" s="574">
        <f>Marketing!Q7</f>
        <v>4</v>
      </c>
      <c r="R8" s="574">
        <f>Marketing!R7</f>
        <v>3</v>
      </c>
      <c r="S8" s="574">
        <f>Marketing!S7</f>
        <v>3</v>
      </c>
      <c r="T8" s="574">
        <f>Marketing!T7</f>
        <v>3</v>
      </c>
      <c r="U8" s="574">
        <f>Marketing!U7</f>
        <v>3</v>
      </c>
      <c r="V8" s="574">
        <f>Marketing!V7</f>
        <v>3</v>
      </c>
      <c r="W8" s="574">
        <f>Marketing!W7</f>
        <v>2</v>
      </c>
      <c r="X8" s="574">
        <f>Marketing!X7</f>
        <v>2</v>
      </c>
      <c r="Y8" s="574">
        <f>Marketing!Y7</f>
        <v>3</v>
      </c>
      <c r="Z8" s="574">
        <f>Marketing!Z7</f>
        <v>3</v>
      </c>
      <c r="AA8" s="574">
        <f>Marketing!AA7</f>
        <v>5</v>
      </c>
      <c r="AB8" s="574">
        <f>Marketing!AB7</f>
        <v>5</v>
      </c>
      <c r="AC8" s="574">
        <f>Marketing!AC7</f>
        <v>5</v>
      </c>
      <c r="AD8" s="574">
        <f>Marketing!AD7</f>
        <v>6</v>
      </c>
      <c r="AE8" s="574">
        <f>Marketing!AE7</f>
        <v>6</v>
      </c>
      <c r="AF8" s="574">
        <f>Marketing!AF7</f>
        <v>7</v>
      </c>
      <c r="AG8" s="574">
        <f>Marketing!AG7</f>
        <v>7</v>
      </c>
      <c r="AH8" s="574">
        <f>Marketing!AH7</f>
        <v>7</v>
      </c>
      <c r="AI8" s="574">
        <f>Marketing!AI7</f>
        <v>7</v>
      </c>
      <c r="AJ8" s="574">
        <f>Marketing!AJ7</f>
        <v>7</v>
      </c>
      <c r="AK8" s="574">
        <f>Marketing!AK7</f>
        <v>7</v>
      </c>
      <c r="AL8" s="574">
        <f>Marketing!AL7</f>
        <v>7</v>
      </c>
      <c r="AM8" s="574">
        <f>Marketing!AM7</f>
        <v>7</v>
      </c>
      <c r="AN8" s="574">
        <f>Marketing!AN7</f>
        <v>7</v>
      </c>
      <c r="AO8" s="574">
        <f>Marketing!AO7</f>
        <v>7</v>
      </c>
      <c r="AP8" s="574">
        <f>Marketing!AP7</f>
        <v>7</v>
      </c>
      <c r="AQ8" s="574">
        <f>Marketing!AQ7</f>
        <v>7</v>
      </c>
      <c r="AR8" s="574">
        <f>Marketing!AR7</f>
        <v>7</v>
      </c>
      <c r="AS8" s="574">
        <f>Marketing!AS7</f>
        <v>7</v>
      </c>
      <c r="AT8" s="574">
        <f>Marketing!AT7</f>
        <v>7</v>
      </c>
      <c r="AU8" s="574">
        <f>Marketing!AU7</f>
        <v>7</v>
      </c>
      <c r="AV8" s="574">
        <f>Marketing!AV7</f>
        <v>7</v>
      </c>
      <c r="AW8" s="574">
        <f>Marketing!AW7</f>
        <v>7</v>
      </c>
      <c r="AX8" s="574">
        <f>Marketing!AX7</f>
        <v>7</v>
      </c>
      <c r="AY8" s="574">
        <f>Marketing!AY7</f>
        <v>7</v>
      </c>
      <c r="AZ8" s="574">
        <f>Marketing!AZ7</f>
        <v>7</v>
      </c>
      <c r="BA8" s="574">
        <f>Marketing!BA7</f>
        <v>7</v>
      </c>
      <c r="BB8" s="574">
        <f>Marketing!BB7</f>
        <v>7</v>
      </c>
      <c r="BC8" s="574">
        <f>Marketing!BC7</f>
        <v>7</v>
      </c>
      <c r="BD8" s="574">
        <f>Marketing!BD7</f>
        <v>7</v>
      </c>
      <c r="BE8" s="574">
        <f>Marketing!BE7</f>
        <v>7</v>
      </c>
      <c r="BF8" s="574">
        <f>Marketing!BF7</f>
        <v>7</v>
      </c>
      <c r="BG8" s="574">
        <f>Marketing!BG7</f>
        <v>7</v>
      </c>
      <c r="BH8" s="574">
        <f>Marketing!BH7</f>
        <v>7</v>
      </c>
      <c r="BI8" s="574">
        <f>Marketing!BI7</f>
        <v>7</v>
      </c>
      <c r="BJ8" s="574">
        <f>Marketing!BJ7</f>
        <v>7</v>
      </c>
      <c r="BK8" s="574">
        <f>Marketing!BK7</f>
        <v>7</v>
      </c>
      <c r="BL8" s="574">
        <f>Marketing!BL7</f>
        <v>7</v>
      </c>
      <c r="BM8" s="574">
        <f>Marketing!BM7</f>
        <v>7</v>
      </c>
      <c r="BN8" s="574">
        <f>Marketing!BN7</f>
        <v>7</v>
      </c>
      <c r="BO8" s="574">
        <f>Marketing!BO7</f>
        <v>7</v>
      </c>
      <c r="BP8" s="574">
        <f>Marketing!BP7</f>
        <v>7</v>
      </c>
      <c r="BQ8" s="574">
        <f>Marketing!BQ7</f>
        <v>7</v>
      </c>
      <c r="BR8" s="574">
        <f>Marketing!BR7</f>
        <v>7</v>
      </c>
      <c r="BS8" s="574">
        <f>Marketing!BS7</f>
        <v>7</v>
      </c>
      <c r="BT8" s="574">
        <f>Marketing!BT7</f>
        <v>7</v>
      </c>
      <c r="BU8" s="574">
        <f>Marketing!BU7</f>
        <v>7</v>
      </c>
      <c r="BV8" s="574">
        <f>Marketing!BV7</f>
        <v>7</v>
      </c>
    </row>
    <row r="9" spans="1:74" x14ac:dyDescent="0.35">
      <c r="B9" s="206" t="s">
        <v>67</v>
      </c>
      <c r="C9" s="236">
        <f>Software!C7</f>
        <v>5</v>
      </c>
      <c r="D9" s="574">
        <f>Software!D7</f>
        <v>5</v>
      </c>
      <c r="E9" s="574">
        <f>Software!E7</f>
        <v>5</v>
      </c>
      <c r="F9" s="574">
        <f>Software!F7</f>
        <v>5</v>
      </c>
      <c r="G9" s="574">
        <f>Software!G7</f>
        <v>5</v>
      </c>
      <c r="H9" s="574">
        <f>Software!H7</f>
        <v>5</v>
      </c>
      <c r="I9" s="574">
        <f>Software!I7</f>
        <v>5</v>
      </c>
      <c r="J9" s="574">
        <f>Software!J7</f>
        <v>8</v>
      </c>
      <c r="K9" s="574">
        <f>Software!K7</f>
        <v>8</v>
      </c>
      <c r="L9" s="574">
        <f>Software!L7</f>
        <v>8</v>
      </c>
      <c r="M9" s="574">
        <f>Software!M7</f>
        <v>8</v>
      </c>
      <c r="N9" s="574">
        <f>Software!N7</f>
        <v>18</v>
      </c>
      <c r="O9" s="574">
        <f>Software!O7</f>
        <v>18</v>
      </c>
      <c r="P9" s="574">
        <f>Software!P7</f>
        <v>18</v>
      </c>
      <c r="Q9" s="574">
        <f>Software!Q7</f>
        <v>18</v>
      </c>
      <c r="R9" s="574">
        <f>Software!R7</f>
        <v>20</v>
      </c>
      <c r="S9" s="574">
        <f>Software!S7</f>
        <v>20</v>
      </c>
      <c r="T9" s="574">
        <f>Software!T7</f>
        <v>20</v>
      </c>
      <c r="U9" s="574">
        <f>Software!U7</f>
        <v>20</v>
      </c>
      <c r="V9" s="574">
        <f>Software!V7</f>
        <v>20</v>
      </c>
      <c r="W9" s="574">
        <f>Software!W7</f>
        <v>19</v>
      </c>
      <c r="X9" s="574">
        <f>Software!X7</f>
        <v>19</v>
      </c>
      <c r="Y9" s="574">
        <f>Software!Y7</f>
        <v>20</v>
      </c>
      <c r="Z9" s="574">
        <f>Software!Z7</f>
        <v>20</v>
      </c>
      <c r="AA9" s="574">
        <f>Software!AA7</f>
        <v>23</v>
      </c>
      <c r="AB9" s="574">
        <f>Software!AB7</f>
        <v>23</v>
      </c>
      <c r="AC9" s="574">
        <f>Software!AC7</f>
        <v>23</v>
      </c>
      <c r="AD9" s="574">
        <f>Software!AD7</f>
        <v>23</v>
      </c>
      <c r="AE9" s="574">
        <f>Software!AE7</f>
        <v>23</v>
      </c>
      <c r="AF9" s="574">
        <f>Software!AF7</f>
        <v>23</v>
      </c>
      <c r="AG9" s="574">
        <f>Software!AG7</f>
        <v>25</v>
      </c>
      <c r="AH9" s="574">
        <f>Software!AH7</f>
        <v>25</v>
      </c>
      <c r="AI9" s="574">
        <f>Software!AI7</f>
        <v>25</v>
      </c>
      <c r="AJ9" s="574">
        <f>Software!AJ7</f>
        <v>26</v>
      </c>
      <c r="AK9" s="574">
        <f>Software!AK7</f>
        <v>26</v>
      </c>
      <c r="AL9" s="574">
        <f>Software!AL7</f>
        <v>26</v>
      </c>
      <c r="AM9" s="574">
        <f>Software!AM7</f>
        <v>26</v>
      </c>
      <c r="AN9" s="574">
        <f>Software!AN7</f>
        <v>26</v>
      </c>
      <c r="AO9" s="574">
        <f>Software!AO7</f>
        <v>26</v>
      </c>
      <c r="AP9" s="574">
        <f>Software!AP7</f>
        <v>26</v>
      </c>
      <c r="AQ9" s="574">
        <f>Software!AQ7</f>
        <v>26</v>
      </c>
      <c r="AR9" s="574">
        <f>Software!AR7</f>
        <v>26</v>
      </c>
      <c r="AS9" s="574">
        <f>Software!AS7</f>
        <v>26</v>
      </c>
      <c r="AT9" s="574">
        <f>Software!AT7</f>
        <v>26</v>
      </c>
      <c r="AU9" s="574">
        <f>Software!AU7</f>
        <v>26</v>
      </c>
      <c r="AV9" s="574">
        <f>Software!AV7</f>
        <v>26</v>
      </c>
      <c r="AW9" s="574">
        <f>Software!AW7</f>
        <v>26</v>
      </c>
      <c r="AX9" s="574">
        <f>Software!AX7</f>
        <v>26</v>
      </c>
      <c r="AY9" s="574">
        <f>Software!AY7</f>
        <v>26</v>
      </c>
      <c r="AZ9" s="574">
        <f>Software!AZ7</f>
        <v>26</v>
      </c>
      <c r="BA9" s="574">
        <f>Software!BA7</f>
        <v>26</v>
      </c>
      <c r="BB9" s="574">
        <f>Software!BB7</f>
        <v>26</v>
      </c>
      <c r="BC9" s="574">
        <f>Software!BC7</f>
        <v>26</v>
      </c>
      <c r="BD9" s="574">
        <f>Software!BD7</f>
        <v>26</v>
      </c>
      <c r="BE9" s="574">
        <f>Software!BE7</f>
        <v>26</v>
      </c>
      <c r="BF9" s="574">
        <f>Software!BF7</f>
        <v>26</v>
      </c>
      <c r="BG9" s="574">
        <f>Software!BG7</f>
        <v>26</v>
      </c>
      <c r="BH9" s="574">
        <f>Software!BH7</f>
        <v>26</v>
      </c>
      <c r="BI9" s="574">
        <f>Software!BI7</f>
        <v>26</v>
      </c>
      <c r="BJ9" s="574">
        <f>Software!BJ7</f>
        <v>26</v>
      </c>
      <c r="BK9" s="574">
        <f>Software!BK7</f>
        <v>26</v>
      </c>
      <c r="BL9" s="574">
        <f>Software!BL7</f>
        <v>26</v>
      </c>
      <c r="BM9" s="574">
        <f>Software!BM7</f>
        <v>26</v>
      </c>
      <c r="BN9" s="574">
        <f>Software!BN7</f>
        <v>26</v>
      </c>
      <c r="BO9" s="574">
        <f>Software!BO7</f>
        <v>26</v>
      </c>
      <c r="BP9" s="574">
        <f>Software!BP7</f>
        <v>26</v>
      </c>
      <c r="BQ9" s="574">
        <f>Software!BQ7</f>
        <v>26</v>
      </c>
      <c r="BR9" s="574">
        <f>Software!BR7</f>
        <v>26</v>
      </c>
      <c r="BS9" s="574">
        <f>Software!BS7</f>
        <v>26</v>
      </c>
      <c r="BT9" s="574">
        <f>Software!BT7</f>
        <v>26</v>
      </c>
      <c r="BU9" s="574">
        <f>Software!BU7</f>
        <v>26</v>
      </c>
      <c r="BV9" s="574">
        <f>Software!BV7</f>
        <v>26</v>
      </c>
    </row>
    <row r="10" spans="1:74" x14ac:dyDescent="0.35">
      <c r="B10" s="206" t="s">
        <v>342</v>
      </c>
      <c r="C10" s="574">
        <f>'Dev Ops'!C7</f>
        <v>0</v>
      </c>
      <c r="D10" s="574">
        <f>'Dev Ops'!D7</f>
        <v>5</v>
      </c>
      <c r="E10" s="574">
        <f>'Dev Ops'!E7</f>
        <v>5</v>
      </c>
      <c r="F10" s="574">
        <f>'Dev Ops'!F7</f>
        <v>5</v>
      </c>
      <c r="G10" s="574">
        <f>'Dev Ops'!G7</f>
        <v>5</v>
      </c>
      <c r="H10" s="574">
        <f>'Dev Ops'!H7</f>
        <v>6</v>
      </c>
      <c r="I10" s="574">
        <f>'Dev Ops'!I7</f>
        <v>6</v>
      </c>
      <c r="J10" s="574">
        <f>'Dev Ops'!J7</f>
        <v>7</v>
      </c>
      <c r="K10" s="574">
        <f>'Dev Ops'!K7</f>
        <v>7</v>
      </c>
      <c r="L10" s="574">
        <f>'Dev Ops'!L7</f>
        <v>7</v>
      </c>
      <c r="M10" s="574">
        <f>'Dev Ops'!M7</f>
        <v>7</v>
      </c>
      <c r="N10" s="574">
        <f>'Dev Ops'!N7</f>
        <v>14</v>
      </c>
      <c r="O10" s="574">
        <f>'Dev Ops'!O7</f>
        <v>14</v>
      </c>
      <c r="P10" s="574">
        <f>'Dev Ops'!P7</f>
        <v>14</v>
      </c>
      <c r="Q10" s="574">
        <f>'Dev Ops'!Q7</f>
        <v>14</v>
      </c>
      <c r="R10" s="574">
        <f>'Dev Ops'!R7</f>
        <v>15</v>
      </c>
      <c r="S10" s="574">
        <f>'Dev Ops'!S7</f>
        <v>15</v>
      </c>
      <c r="T10" s="574">
        <f>'Dev Ops'!T7</f>
        <v>15</v>
      </c>
      <c r="U10" s="574">
        <f>'Dev Ops'!U7</f>
        <v>15</v>
      </c>
      <c r="V10" s="574">
        <f>'Dev Ops'!V7</f>
        <v>15</v>
      </c>
      <c r="W10" s="574">
        <f>'Dev Ops'!W7</f>
        <v>15</v>
      </c>
      <c r="X10" s="574">
        <f>'Dev Ops'!X7</f>
        <v>15</v>
      </c>
      <c r="Y10" s="574">
        <f>'Dev Ops'!Y7</f>
        <v>15</v>
      </c>
      <c r="Z10" s="574">
        <f>'Dev Ops'!Z7</f>
        <v>15</v>
      </c>
      <c r="AA10" s="574">
        <f>'Dev Ops'!AA7</f>
        <v>17</v>
      </c>
      <c r="AB10" s="574">
        <f>'Dev Ops'!AB7</f>
        <v>17</v>
      </c>
      <c r="AC10" s="574">
        <f>'Dev Ops'!AC7</f>
        <v>17</v>
      </c>
      <c r="AD10" s="574">
        <f>'Dev Ops'!AD7</f>
        <v>17</v>
      </c>
      <c r="AE10" s="574">
        <f>'Dev Ops'!AE7</f>
        <v>17</v>
      </c>
      <c r="AF10" s="574">
        <f>'Dev Ops'!AF7</f>
        <v>17</v>
      </c>
      <c r="AG10" s="574">
        <f>'Dev Ops'!AG7</f>
        <v>17</v>
      </c>
      <c r="AH10" s="574">
        <f>'Dev Ops'!AH7</f>
        <v>17</v>
      </c>
      <c r="AI10" s="574">
        <f>'Dev Ops'!AI7</f>
        <v>17</v>
      </c>
      <c r="AJ10" s="574">
        <f>'Dev Ops'!AJ7</f>
        <v>17</v>
      </c>
      <c r="AK10" s="574">
        <f>'Dev Ops'!AK7</f>
        <v>17</v>
      </c>
      <c r="AL10" s="574">
        <f>'Dev Ops'!AL7</f>
        <v>17</v>
      </c>
      <c r="AM10" s="574">
        <f>'Dev Ops'!AM7</f>
        <v>17</v>
      </c>
      <c r="AN10" s="574">
        <f>'Dev Ops'!AN7</f>
        <v>17</v>
      </c>
      <c r="AO10" s="574">
        <f>'Dev Ops'!AO7</f>
        <v>17</v>
      </c>
      <c r="AP10" s="574">
        <f>'Dev Ops'!AP7</f>
        <v>17</v>
      </c>
      <c r="AQ10" s="574">
        <f>'Dev Ops'!AQ7</f>
        <v>17</v>
      </c>
      <c r="AR10" s="574">
        <f>'Dev Ops'!AR7</f>
        <v>17</v>
      </c>
      <c r="AS10" s="574">
        <f>'Dev Ops'!AS7</f>
        <v>17</v>
      </c>
      <c r="AT10" s="574">
        <f>'Dev Ops'!AT7</f>
        <v>17</v>
      </c>
      <c r="AU10" s="574">
        <f>'Dev Ops'!AU7</f>
        <v>17</v>
      </c>
      <c r="AV10" s="574">
        <f>'Dev Ops'!AV7</f>
        <v>17</v>
      </c>
      <c r="AW10" s="574">
        <f>'Dev Ops'!AW7</f>
        <v>17</v>
      </c>
      <c r="AX10" s="574">
        <f>'Dev Ops'!AX7</f>
        <v>17</v>
      </c>
      <c r="AY10" s="574">
        <f>'Dev Ops'!AY7</f>
        <v>17</v>
      </c>
      <c r="AZ10" s="574">
        <f>'Dev Ops'!AZ7</f>
        <v>17</v>
      </c>
      <c r="BA10" s="574">
        <f>'Dev Ops'!BA7</f>
        <v>17</v>
      </c>
      <c r="BB10" s="574">
        <f>'Dev Ops'!BB7</f>
        <v>17</v>
      </c>
      <c r="BC10" s="574">
        <f>'Dev Ops'!BC7</f>
        <v>17</v>
      </c>
      <c r="BD10" s="574">
        <f>'Dev Ops'!BD7</f>
        <v>17</v>
      </c>
      <c r="BE10" s="574">
        <f>'Dev Ops'!BE7</f>
        <v>17</v>
      </c>
      <c r="BF10" s="574">
        <f>'Dev Ops'!BF7</f>
        <v>17</v>
      </c>
      <c r="BG10" s="574">
        <f>'Dev Ops'!BG7</f>
        <v>17</v>
      </c>
      <c r="BH10" s="574">
        <f>'Dev Ops'!BH7</f>
        <v>17</v>
      </c>
      <c r="BI10" s="574">
        <f>'Dev Ops'!BI7</f>
        <v>17</v>
      </c>
      <c r="BJ10" s="574">
        <f>'Dev Ops'!BJ7</f>
        <v>17</v>
      </c>
      <c r="BK10" s="574">
        <f>'Dev Ops'!BK7</f>
        <v>17</v>
      </c>
      <c r="BL10" s="574">
        <f>'Dev Ops'!BL7</f>
        <v>17</v>
      </c>
      <c r="BM10" s="574">
        <f>'Dev Ops'!BM7</f>
        <v>17</v>
      </c>
      <c r="BN10" s="574">
        <f>'Dev Ops'!BN7</f>
        <v>17</v>
      </c>
      <c r="BO10" s="574">
        <f>'Dev Ops'!BO7</f>
        <v>17</v>
      </c>
      <c r="BP10" s="574">
        <f>'Dev Ops'!BP7</f>
        <v>17</v>
      </c>
      <c r="BQ10" s="574">
        <f>'Dev Ops'!BQ7</f>
        <v>17</v>
      </c>
      <c r="BR10" s="574">
        <f>'Dev Ops'!BR7</f>
        <v>17</v>
      </c>
      <c r="BS10" s="574">
        <f>'Dev Ops'!BS7</f>
        <v>17</v>
      </c>
      <c r="BT10" s="574">
        <f>'Dev Ops'!BT7</f>
        <v>17</v>
      </c>
      <c r="BU10" s="574">
        <f>'Dev Ops'!BU7</f>
        <v>17</v>
      </c>
      <c r="BV10" s="574">
        <f>'Dev Ops'!BV7</f>
        <v>17</v>
      </c>
    </row>
    <row r="11" spans="1:74" x14ac:dyDescent="0.35">
      <c r="B11" s="207" t="s">
        <v>4</v>
      </c>
      <c r="C11" s="574">
        <f>Finance!C7</f>
        <v>1</v>
      </c>
      <c r="D11" s="574">
        <f>Finance!D7</f>
        <v>1</v>
      </c>
      <c r="E11" s="574">
        <f>Finance!E7</f>
        <v>1</v>
      </c>
      <c r="F11" s="574">
        <f>Finance!F7</f>
        <v>1</v>
      </c>
      <c r="G11" s="574">
        <f>Finance!G7</f>
        <v>1</v>
      </c>
      <c r="H11" s="574">
        <f>Finance!H7</f>
        <v>1</v>
      </c>
      <c r="I11" s="574">
        <f>Finance!I7</f>
        <v>1</v>
      </c>
      <c r="J11" s="574">
        <f>Finance!J7</f>
        <v>1</v>
      </c>
      <c r="K11" s="574">
        <f>Finance!K7</f>
        <v>1</v>
      </c>
      <c r="L11" s="574">
        <f>Finance!L7</f>
        <v>1</v>
      </c>
      <c r="M11" s="574">
        <f>Finance!M7</f>
        <v>1</v>
      </c>
      <c r="N11" s="574">
        <f>Finance!N7</f>
        <v>2</v>
      </c>
      <c r="O11" s="574">
        <f>Finance!O7</f>
        <v>2</v>
      </c>
      <c r="P11" s="574">
        <f>Finance!P7</f>
        <v>2</v>
      </c>
      <c r="Q11" s="574">
        <f>Finance!Q7</f>
        <v>3</v>
      </c>
      <c r="R11" s="574">
        <f>Finance!R7</f>
        <v>3</v>
      </c>
      <c r="S11" s="574">
        <f>Finance!S7</f>
        <v>3</v>
      </c>
      <c r="T11" s="574">
        <f>Finance!T7</f>
        <v>3</v>
      </c>
      <c r="U11" s="574">
        <f>Finance!U7</f>
        <v>3</v>
      </c>
      <c r="V11" s="574">
        <f>Finance!V7</f>
        <v>3</v>
      </c>
      <c r="W11" s="574">
        <f>Finance!W7</f>
        <v>4</v>
      </c>
      <c r="X11" s="574">
        <f>Finance!X7</f>
        <v>4</v>
      </c>
      <c r="Y11" s="574">
        <f>Finance!Y7</f>
        <v>4</v>
      </c>
      <c r="Z11" s="574">
        <f>Finance!Z7</f>
        <v>4</v>
      </c>
      <c r="AA11" s="574">
        <f>Finance!AA7</f>
        <v>4</v>
      </c>
      <c r="AB11" s="574">
        <f>Finance!AB7</f>
        <v>4</v>
      </c>
      <c r="AC11" s="574">
        <f>Finance!AC7</f>
        <v>4</v>
      </c>
      <c r="AD11" s="574">
        <f>Finance!AD7</f>
        <v>4</v>
      </c>
      <c r="AE11" s="574">
        <f>Finance!AE7</f>
        <v>4</v>
      </c>
      <c r="AF11" s="574">
        <f>Finance!AF7</f>
        <v>4</v>
      </c>
      <c r="AG11" s="574">
        <f>Finance!AG7</f>
        <v>4</v>
      </c>
      <c r="AH11" s="574">
        <f>Finance!AH7</f>
        <v>4</v>
      </c>
      <c r="AI11" s="574">
        <f>Finance!AI7</f>
        <v>4</v>
      </c>
      <c r="AJ11" s="574">
        <f>Finance!AJ7</f>
        <v>4</v>
      </c>
      <c r="AK11" s="574">
        <f>Finance!AK7</f>
        <v>4</v>
      </c>
      <c r="AL11" s="574">
        <f>Finance!AL7</f>
        <v>4</v>
      </c>
      <c r="AM11" s="574">
        <f>Finance!AM7</f>
        <v>4</v>
      </c>
      <c r="AN11" s="574">
        <f>Finance!AN7</f>
        <v>4</v>
      </c>
      <c r="AO11" s="574">
        <f>Finance!AO7</f>
        <v>4</v>
      </c>
      <c r="AP11" s="574">
        <f>Finance!AP7</f>
        <v>4</v>
      </c>
      <c r="AQ11" s="574">
        <f>Finance!AQ7</f>
        <v>4</v>
      </c>
      <c r="AR11" s="574">
        <f>Finance!AR7</f>
        <v>4</v>
      </c>
      <c r="AS11" s="574">
        <f>Finance!AS7</f>
        <v>4</v>
      </c>
      <c r="AT11" s="574">
        <f>Finance!AT7</f>
        <v>4</v>
      </c>
      <c r="AU11" s="574">
        <f>Finance!AU7</f>
        <v>4</v>
      </c>
      <c r="AV11" s="574">
        <f>Finance!AV7</f>
        <v>4</v>
      </c>
      <c r="AW11" s="574">
        <f>Finance!AW7</f>
        <v>4</v>
      </c>
      <c r="AX11" s="574">
        <f>Finance!AX7</f>
        <v>4</v>
      </c>
      <c r="AY11" s="574">
        <f>Finance!AY7</f>
        <v>4</v>
      </c>
      <c r="AZ11" s="574">
        <f>Finance!AZ7</f>
        <v>4</v>
      </c>
      <c r="BA11" s="574">
        <f>Finance!BA7</f>
        <v>4</v>
      </c>
      <c r="BB11" s="574">
        <f>Finance!BB7</f>
        <v>4</v>
      </c>
      <c r="BC11" s="574">
        <f>Finance!BC7</f>
        <v>4</v>
      </c>
      <c r="BD11" s="574">
        <f>Finance!BD7</f>
        <v>4</v>
      </c>
      <c r="BE11" s="574">
        <f>Finance!BE7</f>
        <v>4</v>
      </c>
      <c r="BF11" s="574">
        <f>Finance!BF7</f>
        <v>4</v>
      </c>
      <c r="BG11" s="574">
        <f>Finance!BG7</f>
        <v>4</v>
      </c>
      <c r="BH11" s="574">
        <f>Finance!BH7</f>
        <v>4</v>
      </c>
      <c r="BI11" s="574">
        <f>Finance!BI7</f>
        <v>4</v>
      </c>
      <c r="BJ11" s="574">
        <f>Finance!BJ7</f>
        <v>4</v>
      </c>
      <c r="BK11" s="574">
        <f>Finance!BK7</f>
        <v>4</v>
      </c>
      <c r="BL11" s="574">
        <f>Finance!BL7</f>
        <v>4</v>
      </c>
      <c r="BM11" s="574">
        <f>Finance!BM7</f>
        <v>4</v>
      </c>
      <c r="BN11" s="574">
        <f>Finance!BN7</f>
        <v>4</v>
      </c>
      <c r="BO11" s="574">
        <f>Finance!BO7</f>
        <v>4</v>
      </c>
      <c r="BP11" s="574">
        <f>Finance!BP7</f>
        <v>4</v>
      </c>
      <c r="BQ11" s="574">
        <f>Finance!BQ7</f>
        <v>4</v>
      </c>
      <c r="BR11" s="574">
        <f>Finance!BR7</f>
        <v>4</v>
      </c>
      <c r="BS11" s="574">
        <f>Finance!BS7</f>
        <v>4</v>
      </c>
      <c r="BT11" s="574">
        <f>Finance!BT7</f>
        <v>4</v>
      </c>
      <c r="BU11" s="574">
        <f>Finance!BU7</f>
        <v>4</v>
      </c>
      <c r="BV11" s="574">
        <f>Finance!BV7</f>
        <v>4</v>
      </c>
    </row>
    <row r="12" spans="1:74" x14ac:dyDescent="0.35">
      <c r="B12" s="207" t="s">
        <v>3</v>
      </c>
      <c r="C12" s="574">
        <f>Exec!C7</f>
        <v>1</v>
      </c>
      <c r="D12" s="574">
        <f>Exec!D7</f>
        <v>1</v>
      </c>
      <c r="E12" s="574">
        <f>Exec!E7</f>
        <v>1</v>
      </c>
      <c r="F12" s="574">
        <f>Exec!F7</f>
        <v>1</v>
      </c>
      <c r="G12" s="574">
        <f>Exec!G7</f>
        <v>2</v>
      </c>
      <c r="H12" s="574">
        <f>Exec!H7</f>
        <v>2</v>
      </c>
      <c r="I12" s="574">
        <f>Exec!I7</f>
        <v>2</v>
      </c>
      <c r="J12" s="574">
        <f>Exec!J7</f>
        <v>2</v>
      </c>
      <c r="K12" s="574">
        <f>Exec!K7</f>
        <v>2</v>
      </c>
      <c r="L12" s="574">
        <f>Exec!L7</f>
        <v>2</v>
      </c>
      <c r="M12" s="574">
        <f>Exec!M7</f>
        <v>2</v>
      </c>
      <c r="N12" s="574">
        <f>Exec!N7</f>
        <v>3</v>
      </c>
      <c r="O12" s="574">
        <f>Exec!O7</f>
        <v>3</v>
      </c>
      <c r="P12" s="574">
        <f>Exec!P7</f>
        <v>3</v>
      </c>
      <c r="Q12" s="574">
        <f>Exec!Q7</f>
        <v>3</v>
      </c>
      <c r="R12" s="574">
        <f>Exec!R7</f>
        <v>3</v>
      </c>
      <c r="S12" s="574">
        <f>Exec!S7</f>
        <v>3</v>
      </c>
      <c r="T12" s="574">
        <f>Exec!T7</f>
        <v>3</v>
      </c>
      <c r="U12" s="574">
        <f>Exec!U7</f>
        <v>3</v>
      </c>
      <c r="V12" s="574">
        <f>Exec!V7</f>
        <v>3</v>
      </c>
      <c r="W12" s="574">
        <f>Exec!W7</f>
        <v>3</v>
      </c>
      <c r="X12" s="574">
        <f>Exec!X7</f>
        <v>3</v>
      </c>
      <c r="Y12" s="574">
        <f>Exec!Y7</f>
        <v>3</v>
      </c>
      <c r="Z12" s="574">
        <f>Exec!Z7</f>
        <v>2</v>
      </c>
      <c r="AA12" s="574">
        <f>Exec!AA7</f>
        <v>2</v>
      </c>
      <c r="AB12" s="574">
        <f>Exec!AB7</f>
        <v>2</v>
      </c>
      <c r="AC12" s="574">
        <f>Exec!AC7</f>
        <v>2</v>
      </c>
      <c r="AD12" s="574">
        <f>Exec!AD7</f>
        <v>2</v>
      </c>
      <c r="AE12" s="574">
        <f>Exec!AE7</f>
        <v>2</v>
      </c>
      <c r="AF12" s="574">
        <f>Exec!AF7</f>
        <v>2</v>
      </c>
      <c r="AG12" s="574">
        <f>Exec!AG7</f>
        <v>2</v>
      </c>
      <c r="AH12" s="574">
        <f>Exec!AH7</f>
        <v>2</v>
      </c>
      <c r="AI12" s="574">
        <f>Exec!AI7</f>
        <v>2</v>
      </c>
      <c r="AJ12" s="574">
        <f>Exec!AJ7</f>
        <v>2</v>
      </c>
      <c r="AK12" s="574">
        <f>Exec!AK7</f>
        <v>2</v>
      </c>
      <c r="AL12" s="574">
        <f>Exec!AL7</f>
        <v>2</v>
      </c>
      <c r="AM12" s="574">
        <f>Exec!AM7</f>
        <v>2</v>
      </c>
      <c r="AN12" s="574">
        <f>Exec!AN7</f>
        <v>2</v>
      </c>
      <c r="AO12" s="574">
        <f>Exec!AO7</f>
        <v>2</v>
      </c>
      <c r="AP12" s="574">
        <f>Exec!AP7</f>
        <v>2</v>
      </c>
      <c r="AQ12" s="574">
        <f>Exec!AQ7</f>
        <v>2</v>
      </c>
      <c r="AR12" s="574">
        <f>Exec!AR7</f>
        <v>2</v>
      </c>
      <c r="AS12" s="574">
        <f>Exec!AS7</f>
        <v>2</v>
      </c>
      <c r="AT12" s="574">
        <f>Exec!AT7</f>
        <v>2</v>
      </c>
      <c r="AU12" s="574">
        <f>Exec!AU7</f>
        <v>2</v>
      </c>
      <c r="AV12" s="574">
        <f>Exec!AV7</f>
        <v>2</v>
      </c>
      <c r="AW12" s="574">
        <f>Exec!AW7</f>
        <v>2</v>
      </c>
      <c r="AX12" s="574">
        <f>Exec!AX7</f>
        <v>2</v>
      </c>
      <c r="AY12" s="574">
        <f>Exec!AY7</f>
        <v>2</v>
      </c>
      <c r="AZ12" s="574">
        <f>Exec!AZ7</f>
        <v>2</v>
      </c>
      <c r="BA12" s="574">
        <f>Exec!BA7</f>
        <v>2</v>
      </c>
      <c r="BB12" s="574">
        <f>Exec!BB7</f>
        <v>2</v>
      </c>
      <c r="BC12" s="574">
        <f>Exec!BC7</f>
        <v>2</v>
      </c>
      <c r="BD12" s="574">
        <f>Exec!BD7</f>
        <v>2</v>
      </c>
      <c r="BE12" s="574">
        <f>Exec!BE7</f>
        <v>2</v>
      </c>
      <c r="BF12" s="574">
        <f>Exec!BF7</f>
        <v>2</v>
      </c>
      <c r="BG12" s="574">
        <f>Exec!BG7</f>
        <v>2</v>
      </c>
      <c r="BH12" s="574">
        <f>Exec!BH7</f>
        <v>2</v>
      </c>
      <c r="BI12" s="574">
        <f>Exec!BI7</f>
        <v>2</v>
      </c>
      <c r="BJ12" s="574">
        <f>Exec!BJ7</f>
        <v>2</v>
      </c>
      <c r="BK12" s="574">
        <f>Exec!BK7</f>
        <v>2</v>
      </c>
      <c r="BL12" s="574">
        <f>Exec!BL7</f>
        <v>2</v>
      </c>
      <c r="BM12" s="574">
        <f>Exec!BM7</f>
        <v>2</v>
      </c>
      <c r="BN12" s="574">
        <f>Exec!BN7</f>
        <v>2</v>
      </c>
      <c r="BO12" s="574">
        <f>Exec!BO7</f>
        <v>2</v>
      </c>
      <c r="BP12" s="574">
        <f>Exec!BP7</f>
        <v>2</v>
      </c>
      <c r="BQ12" s="574">
        <f>Exec!BQ7</f>
        <v>2</v>
      </c>
      <c r="BR12" s="574">
        <f>Exec!BR7</f>
        <v>2</v>
      </c>
      <c r="BS12" s="574">
        <f>Exec!BS7</f>
        <v>2</v>
      </c>
      <c r="BT12" s="574">
        <f>Exec!BT7</f>
        <v>2</v>
      </c>
      <c r="BU12" s="574">
        <f>Exec!BU7</f>
        <v>2</v>
      </c>
      <c r="BV12" s="574">
        <f>Exec!BV7</f>
        <v>2</v>
      </c>
    </row>
    <row r="13" spans="1:74" x14ac:dyDescent="0.35">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T13" s="574"/>
      <c r="BU13" s="574"/>
      <c r="BV13" s="574"/>
    </row>
    <row r="14" spans="1:74" x14ac:dyDescent="0.35">
      <c r="B14" s="16" t="s">
        <v>50</v>
      </c>
      <c r="C14" s="16">
        <f t="shared" ref="C14:AH14" si="0">SUM(C7:C12)</f>
        <v>18</v>
      </c>
      <c r="D14" s="574">
        <f t="shared" si="0"/>
        <v>23</v>
      </c>
      <c r="E14" s="574">
        <f t="shared" si="0"/>
        <v>23</v>
      </c>
      <c r="F14" s="574">
        <f t="shared" si="0"/>
        <v>23</v>
      </c>
      <c r="G14" s="574">
        <f t="shared" si="0"/>
        <v>24</v>
      </c>
      <c r="H14" s="574">
        <f t="shared" si="0"/>
        <v>25</v>
      </c>
      <c r="I14" s="574">
        <f t="shared" si="0"/>
        <v>25</v>
      </c>
      <c r="J14" s="574">
        <f t="shared" si="0"/>
        <v>29</v>
      </c>
      <c r="K14" s="574">
        <f t="shared" si="0"/>
        <v>29</v>
      </c>
      <c r="L14" s="574">
        <f t="shared" si="0"/>
        <v>29</v>
      </c>
      <c r="M14" s="574">
        <f t="shared" si="0"/>
        <v>29</v>
      </c>
      <c r="N14" s="574">
        <f t="shared" si="0"/>
        <v>51</v>
      </c>
      <c r="O14" s="574">
        <f t="shared" si="0"/>
        <v>52</v>
      </c>
      <c r="P14" s="574">
        <f t="shared" si="0"/>
        <v>52</v>
      </c>
      <c r="Q14" s="574">
        <f t="shared" si="0"/>
        <v>58</v>
      </c>
      <c r="R14" s="574">
        <f t="shared" si="0"/>
        <v>60</v>
      </c>
      <c r="S14" s="574">
        <f t="shared" si="0"/>
        <v>60</v>
      </c>
      <c r="T14" s="574">
        <f t="shared" si="0"/>
        <v>60</v>
      </c>
      <c r="U14" s="574">
        <f t="shared" si="0"/>
        <v>61</v>
      </c>
      <c r="V14" s="574">
        <f t="shared" si="0"/>
        <v>61</v>
      </c>
      <c r="W14" s="574">
        <f t="shared" si="0"/>
        <v>62</v>
      </c>
      <c r="X14" s="574">
        <f t="shared" si="0"/>
        <v>61</v>
      </c>
      <c r="Y14" s="574">
        <f t="shared" si="0"/>
        <v>62</v>
      </c>
      <c r="Z14" s="574">
        <f t="shared" si="0"/>
        <v>63</v>
      </c>
      <c r="AA14" s="574">
        <f t="shared" si="0"/>
        <v>71</v>
      </c>
      <c r="AB14" s="574">
        <f t="shared" si="0"/>
        <v>72</v>
      </c>
      <c r="AC14" s="574">
        <f t="shared" si="0"/>
        <v>72</v>
      </c>
      <c r="AD14" s="574">
        <f t="shared" si="0"/>
        <v>75</v>
      </c>
      <c r="AE14" s="574">
        <f t="shared" si="0"/>
        <v>75</v>
      </c>
      <c r="AF14" s="574">
        <f t="shared" si="0"/>
        <v>76</v>
      </c>
      <c r="AG14" s="574">
        <f t="shared" si="0"/>
        <v>80</v>
      </c>
      <c r="AH14" s="574">
        <f t="shared" si="0"/>
        <v>80</v>
      </c>
      <c r="AI14" s="574">
        <f t="shared" ref="AI14:BJ14" si="1">SUM(AI7:AI12)</f>
        <v>80</v>
      </c>
      <c r="AJ14" s="574">
        <f t="shared" si="1"/>
        <v>81</v>
      </c>
      <c r="AK14" s="574">
        <f t="shared" si="1"/>
        <v>81</v>
      </c>
      <c r="AL14" s="574">
        <f t="shared" si="1"/>
        <v>81</v>
      </c>
      <c r="AM14" s="574">
        <f t="shared" si="1"/>
        <v>81</v>
      </c>
      <c r="AN14" s="574">
        <f t="shared" si="1"/>
        <v>81</v>
      </c>
      <c r="AO14" s="574">
        <f t="shared" si="1"/>
        <v>81</v>
      </c>
      <c r="AP14" s="574">
        <f t="shared" si="1"/>
        <v>81</v>
      </c>
      <c r="AQ14" s="574">
        <f t="shared" si="1"/>
        <v>81</v>
      </c>
      <c r="AR14" s="574">
        <f t="shared" si="1"/>
        <v>81</v>
      </c>
      <c r="AS14" s="574">
        <f t="shared" si="1"/>
        <v>81</v>
      </c>
      <c r="AT14" s="574">
        <f t="shared" si="1"/>
        <v>81</v>
      </c>
      <c r="AU14" s="574">
        <f t="shared" si="1"/>
        <v>81</v>
      </c>
      <c r="AV14" s="574">
        <f t="shared" si="1"/>
        <v>81</v>
      </c>
      <c r="AW14" s="574">
        <f t="shared" si="1"/>
        <v>81</v>
      </c>
      <c r="AX14" s="574">
        <f t="shared" si="1"/>
        <v>81</v>
      </c>
      <c r="AY14" s="574">
        <f t="shared" si="1"/>
        <v>81</v>
      </c>
      <c r="AZ14" s="574">
        <f t="shared" si="1"/>
        <v>81</v>
      </c>
      <c r="BA14" s="574">
        <f t="shared" si="1"/>
        <v>81</v>
      </c>
      <c r="BB14" s="574">
        <f t="shared" si="1"/>
        <v>81</v>
      </c>
      <c r="BC14" s="574">
        <f t="shared" si="1"/>
        <v>81</v>
      </c>
      <c r="BD14" s="574">
        <f t="shared" si="1"/>
        <v>81</v>
      </c>
      <c r="BE14" s="574">
        <f t="shared" si="1"/>
        <v>81</v>
      </c>
      <c r="BF14" s="574">
        <f t="shared" si="1"/>
        <v>81</v>
      </c>
      <c r="BG14" s="574">
        <f t="shared" si="1"/>
        <v>81</v>
      </c>
      <c r="BH14" s="574">
        <f t="shared" si="1"/>
        <v>81</v>
      </c>
      <c r="BI14" s="574">
        <f t="shared" si="1"/>
        <v>81</v>
      </c>
      <c r="BJ14" s="574">
        <f t="shared" si="1"/>
        <v>81</v>
      </c>
      <c r="BK14" s="574">
        <f t="shared" ref="BK14:BS14" si="2">SUM(BK7:BK12)</f>
        <v>81</v>
      </c>
      <c r="BL14" s="574">
        <f t="shared" si="2"/>
        <v>81</v>
      </c>
      <c r="BM14" s="574">
        <f t="shared" si="2"/>
        <v>81</v>
      </c>
      <c r="BN14" s="574">
        <f t="shared" si="2"/>
        <v>81</v>
      </c>
      <c r="BO14" s="574">
        <f t="shared" si="2"/>
        <v>81</v>
      </c>
      <c r="BP14" s="574">
        <f t="shared" si="2"/>
        <v>81</v>
      </c>
      <c r="BQ14" s="574">
        <f t="shared" si="2"/>
        <v>81</v>
      </c>
      <c r="BR14" s="574">
        <f t="shared" si="2"/>
        <v>81</v>
      </c>
      <c r="BS14" s="574">
        <f t="shared" si="2"/>
        <v>81</v>
      </c>
      <c r="BT14" s="574">
        <f t="shared" ref="BT14:BV14" si="3">SUM(BT7:BT12)</f>
        <v>81</v>
      </c>
      <c r="BU14" s="574">
        <f t="shared" si="3"/>
        <v>81</v>
      </c>
      <c r="BV14" s="574">
        <f t="shared" si="3"/>
        <v>81</v>
      </c>
    </row>
    <row r="15" spans="1:74" hidden="1" x14ac:dyDescent="0.35">
      <c r="B15" s="59" t="s">
        <v>78</v>
      </c>
      <c r="C15" s="58" t="e">
        <f>'Cost Summary'!#REF!</f>
        <v>#REF!</v>
      </c>
      <c r="D15" s="58" t="e">
        <f>'Cost Summary'!#REF!</f>
        <v>#REF!</v>
      </c>
      <c r="E15" s="58" t="e">
        <f>'Cost Summary'!#REF!</f>
        <v>#REF!</v>
      </c>
      <c r="F15" s="58" t="e">
        <f>'Cost Summary'!#REF!</f>
        <v>#REF!</v>
      </c>
      <c r="G15" s="58" t="e">
        <f>'Cost Summary'!#REF!</f>
        <v>#REF!</v>
      </c>
      <c r="H15" s="58" t="e">
        <f>'Cost Summary'!#REF!</f>
        <v>#REF!</v>
      </c>
      <c r="I15" s="58" t="e">
        <f>'Cost Summary'!#REF!</f>
        <v>#REF!</v>
      </c>
      <c r="J15" s="58" t="e">
        <f>'Cost Summary'!#REF!</f>
        <v>#REF!</v>
      </c>
      <c r="K15" s="58" t="e">
        <f>'Cost Summary'!#REF!</f>
        <v>#REF!</v>
      </c>
      <c r="L15" s="58" t="e">
        <f>'Cost Summary'!#REF!</f>
        <v>#REF!</v>
      </c>
      <c r="M15" s="58" t="e">
        <f>'Cost Summary'!#REF!</f>
        <v>#REF!</v>
      </c>
      <c r="N15" s="58" t="e">
        <f>'Cost Summary'!#REF!</f>
        <v>#REF!</v>
      </c>
      <c r="O15" s="58" t="e">
        <f>'Cost Summary'!#REF!</f>
        <v>#REF!</v>
      </c>
      <c r="P15" s="58" t="e">
        <f>'Cost Summary'!#REF!</f>
        <v>#REF!</v>
      </c>
      <c r="Q15" s="58" t="e">
        <f>'Cost Summary'!#REF!</f>
        <v>#REF!</v>
      </c>
      <c r="R15" s="58" t="e">
        <f>'Cost Summary'!#REF!</f>
        <v>#REF!</v>
      </c>
      <c r="S15" s="58" t="e">
        <f>'Cost Summary'!#REF!</f>
        <v>#REF!</v>
      </c>
      <c r="T15" s="58" t="e">
        <f>'Cost Summary'!#REF!</f>
        <v>#REF!</v>
      </c>
      <c r="U15" s="58" t="e">
        <f>'Cost Summary'!#REF!</f>
        <v>#REF!</v>
      </c>
      <c r="V15" s="58" t="e">
        <f>'Cost Summary'!#REF!</f>
        <v>#REF!</v>
      </c>
      <c r="W15" s="58" t="e">
        <f>'Cost Summary'!#REF!</f>
        <v>#REF!</v>
      </c>
      <c r="X15" s="58" t="e">
        <f>'Cost Summary'!#REF!</f>
        <v>#REF!</v>
      </c>
      <c r="Y15" s="58" t="e">
        <f>'Cost Summary'!#REF!</f>
        <v>#REF!</v>
      </c>
      <c r="Z15" s="58" t="e">
        <f>'Cost Summary'!#REF!</f>
        <v>#REF!</v>
      </c>
      <c r="AA15" s="58" t="e">
        <f>'Cost Summary'!#REF!</f>
        <v>#REF!</v>
      </c>
      <c r="AB15" s="58" t="e">
        <f>'Cost Summary'!#REF!</f>
        <v>#REF!</v>
      </c>
      <c r="AC15" s="58" t="e">
        <f>'Cost Summary'!#REF!</f>
        <v>#REF!</v>
      </c>
      <c r="AD15" s="58" t="e">
        <f>'Cost Summary'!#REF!</f>
        <v>#REF!</v>
      </c>
      <c r="AE15" s="58" t="e">
        <f>'Cost Summary'!#REF!</f>
        <v>#REF!</v>
      </c>
      <c r="AF15" s="58" t="e">
        <f>'Cost Summary'!#REF!</f>
        <v>#REF!</v>
      </c>
      <c r="AG15" s="58" t="e">
        <f>'Cost Summary'!#REF!</f>
        <v>#REF!</v>
      </c>
      <c r="AH15" s="58" t="e">
        <f>'Cost Summary'!#REF!</f>
        <v>#REF!</v>
      </c>
      <c r="AI15" s="58" t="e">
        <f>'Cost Summary'!#REF!</f>
        <v>#REF!</v>
      </c>
      <c r="AJ15" s="58" t="e">
        <f>'Cost Summary'!#REF!</f>
        <v>#REF!</v>
      </c>
      <c r="AK15" s="58" t="e">
        <f>'Cost Summary'!#REF!</f>
        <v>#REF!</v>
      </c>
      <c r="AL15" s="58" t="e">
        <f>'Cost Summary'!#REF!</f>
        <v>#REF!</v>
      </c>
      <c r="AM15" s="58" t="e">
        <f>'Cost Summary'!#REF!</f>
        <v>#REF!</v>
      </c>
      <c r="AN15" s="58" t="e">
        <f>'Cost Summary'!#REF!</f>
        <v>#REF!</v>
      </c>
      <c r="AO15" s="58" t="e">
        <f>'Cost Summary'!#REF!</f>
        <v>#REF!</v>
      </c>
      <c r="AP15" s="58" t="e">
        <f>'Cost Summary'!#REF!</f>
        <v>#REF!</v>
      </c>
      <c r="AQ15" s="58" t="e">
        <f>'Cost Summary'!#REF!</f>
        <v>#REF!</v>
      </c>
      <c r="AR15" s="58" t="e">
        <f>'Cost Summary'!#REF!</f>
        <v>#REF!</v>
      </c>
      <c r="AS15" s="58" t="e">
        <f>'Cost Summary'!#REF!</f>
        <v>#REF!</v>
      </c>
      <c r="AT15" s="58" t="e">
        <f>'Cost Summary'!#REF!</f>
        <v>#REF!</v>
      </c>
      <c r="AU15" s="58" t="e">
        <f>'Cost Summary'!#REF!</f>
        <v>#REF!</v>
      </c>
      <c r="AV15" s="58" t="e">
        <f>'Cost Summary'!#REF!</f>
        <v>#REF!</v>
      </c>
      <c r="AW15" s="58" t="e">
        <f>'Cost Summary'!#REF!</f>
        <v>#REF!</v>
      </c>
      <c r="AX15" s="58" t="e">
        <f>'Cost Summary'!#REF!</f>
        <v>#REF!</v>
      </c>
      <c r="AY15" s="58" t="e">
        <f>'Cost Summary'!#REF!</f>
        <v>#REF!</v>
      </c>
      <c r="AZ15" s="58" t="e">
        <f>'Cost Summary'!#REF!</f>
        <v>#REF!</v>
      </c>
      <c r="BA15" s="58" t="e">
        <f>'Cost Summary'!#REF!</f>
        <v>#REF!</v>
      </c>
      <c r="BB15" s="58" t="e">
        <f>'Cost Summary'!#REF!</f>
        <v>#REF!</v>
      </c>
      <c r="BC15" s="58" t="e">
        <f>'Cost Summary'!#REF!</f>
        <v>#REF!</v>
      </c>
      <c r="BD15" s="58" t="e">
        <f>'Cost Summary'!#REF!</f>
        <v>#REF!</v>
      </c>
      <c r="BE15" s="58" t="e">
        <f>'Cost Summary'!#REF!</f>
        <v>#REF!</v>
      </c>
      <c r="BF15" s="58" t="e">
        <f>'Cost Summary'!#REF!</f>
        <v>#REF!</v>
      </c>
      <c r="BG15" s="58" t="e">
        <f>'Cost Summary'!#REF!</f>
        <v>#REF!</v>
      </c>
      <c r="BH15" s="58" t="e">
        <f>'Cost Summary'!#REF!</f>
        <v>#REF!</v>
      </c>
      <c r="BI15" s="58" t="e">
        <f>'Cost Summary'!#REF!</f>
        <v>#REF!</v>
      </c>
      <c r="BJ15" s="58" t="e">
        <f>'Cost Summary'!#REF!</f>
        <v>#REF!</v>
      </c>
      <c r="BK15" s="58" t="e">
        <f>'Cost Summary'!#REF!</f>
        <v>#REF!</v>
      </c>
      <c r="BL15" s="58" t="e">
        <f>'Cost Summary'!#REF!</f>
        <v>#REF!</v>
      </c>
      <c r="BM15" s="58" t="e">
        <f>'Cost Summary'!#REF!</f>
        <v>#REF!</v>
      </c>
      <c r="BN15" s="58" t="e">
        <f>'Cost Summary'!#REF!</f>
        <v>#REF!</v>
      </c>
      <c r="BO15" s="58" t="e">
        <f>'Cost Summary'!#REF!</f>
        <v>#REF!</v>
      </c>
      <c r="BP15" s="58" t="e">
        <f>'Cost Summary'!#REF!</f>
        <v>#REF!</v>
      </c>
      <c r="BQ15" s="58" t="e">
        <f>'Cost Summary'!#REF!</f>
        <v>#REF!</v>
      </c>
      <c r="BR15" s="58" t="e">
        <f>'Cost Summary'!#REF!</f>
        <v>#REF!</v>
      </c>
      <c r="BS15" s="58" t="e">
        <f>'Cost Summary'!#REF!</f>
        <v>#REF!</v>
      </c>
    </row>
    <row r="16" spans="1:74" s="236" customFormat="1" x14ac:dyDescent="0.35">
      <c r="BK16" s="574"/>
      <c r="BL16" s="574"/>
      <c r="BM16" s="574"/>
      <c r="BN16" s="574"/>
      <c r="BO16" s="574"/>
      <c r="BP16" s="574"/>
      <c r="BQ16" s="574"/>
      <c r="BR16" s="574"/>
      <c r="BS16" s="574"/>
    </row>
    <row r="18" spans="2:14" x14ac:dyDescent="0.35">
      <c r="C18" s="170"/>
      <c r="D18" s="170"/>
      <c r="E18" s="170"/>
      <c r="F18" s="170"/>
      <c r="G18" s="170"/>
      <c r="H18" s="170"/>
      <c r="I18" s="170"/>
      <c r="J18" s="170"/>
      <c r="K18" s="170"/>
      <c r="L18" s="170"/>
      <c r="M18" s="170"/>
      <c r="N18" s="170"/>
    </row>
    <row r="19" spans="2:14" x14ac:dyDescent="0.35">
      <c r="C19" s="171"/>
      <c r="D19" s="171"/>
      <c r="E19" s="171"/>
      <c r="F19" s="171"/>
      <c r="G19" s="171"/>
      <c r="H19" s="171"/>
      <c r="I19" s="171"/>
      <c r="J19" s="171"/>
      <c r="K19" s="171"/>
      <c r="L19" s="171"/>
      <c r="M19" s="171"/>
      <c r="N19" s="171"/>
    </row>
    <row r="20" spans="2:14" ht="15" thickBot="1" x14ac:dyDescent="0.4">
      <c r="C20" s="171"/>
      <c r="D20" s="171"/>
      <c r="E20" s="171"/>
      <c r="F20" s="171"/>
      <c r="G20" s="171"/>
      <c r="H20" s="171"/>
      <c r="I20" s="171"/>
      <c r="J20" s="171"/>
      <c r="K20" s="171"/>
      <c r="L20" s="171"/>
      <c r="M20" s="171"/>
      <c r="N20" s="171"/>
    </row>
    <row r="21" spans="2:14" ht="44" thickBot="1" x14ac:dyDescent="0.4">
      <c r="B21" s="427" t="s">
        <v>473</v>
      </c>
      <c r="C21" s="428" t="s">
        <v>474</v>
      </c>
      <c r="D21" s="428" t="s">
        <v>475</v>
      </c>
      <c r="G21" s="175"/>
      <c r="H21" s="175"/>
      <c r="I21" s="175"/>
      <c r="J21" s="175"/>
      <c r="K21" s="175"/>
      <c r="L21" s="175"/>
      <c r="M21" s="175"/>
      <c r="N21" s="175"/>
    </row>
    <row r="22" spans="2:14" ht="15" thickBot="1" x14ac:dyDescent="0.4">
      <c r="B22" s="429" t="s">
        <v>476</v>
      </c>
      <c r="C22" s="430">
        <v>5</v>
      </c>
      <c r="D22" s="431">
        <v>370000</v>
      </c>
    </row>
    <row r="23" spans="2:14" ht="15" thickBot="1" x14ac:dyDescent="0.4">
      <c r="B23" s="429" t="s">
        <v>67</v>
      </c>
      <c r="C23" s="430">
        <v>6</v>
      </c>
      <c r="D23" s="431">
        <v>900000</v>
      </c>
    </row>
    <row r="24" spans="2:14" ht="15" thickBot="1" x14ac:dyDescent="0.4">
      <c r="B24" s="429" t="s">
        <v>224</v>
      </c>
      <c r="C24" s="430">
        <v>5</v>
      </c>
      <c r="D24" s="431">
        <v>350000</v>
      </c>
    </row>
    <row r="25" spans="2:14" ht="15" thickBot="1" x14ac:dyDescent="0.4">
      <c r="B25" s="429" t="s">
        <v>477</v>
      </c>
      <c r="C25" s="430">
        <v>2</v>
      </c>
      <c r="D25" s="431">
        <v>450000</v>
      </c>
    </row>
    <row r="26" spans="2:14" ht="15" thickBot="1" x14ac:dyDescent="0.4">
      <c r="B26" s="429" t="s">
        <v>5</v>
      </c>
      <c r="C26" s="430">
        <v>2</v>
      </c>
      <c r="D26" s="431">
        <v>200000</v>
      </c>
    </row>
    <row r="27" spans="2:14" x14ac:dyDescent="0.35">
      <c r="B27" s="407"/>
      <c r="C27" s="407"/>
      <c r="D27" s="432">
        <f>SUM(D22:D26)</f>
        <v>2270000</v>
      </c>
    </row>
    <row r="29" spans="2:14" x14ac:dyDescent="0.35">
      <c r="H29" s="230"/>
    </row>
    <row r="30" spans="2:14" x14ac:dyDescent="0.35">
      <c r="H30" s="230"/>
    </row>
    <row r="31" spans="2:14" x14ac:dyDescent="0.35">
      <c r="H31" s="230"/>
    </row>
    <row r="32" spans="2:14" x14ac:dyDescent="0.35">
      <c r="H32" s="230"/>
    </row>
    <row r="33" spans="8:8" x14ac:dyDescent="0.35">
      <c r="H33" s="230"/>
    </row>
    <row r="34" spans="8:8" x14ac:dyDescent="0.35">
      <c r="H34" s="230"/>
    </row>
    <row r="35" spans="8:8" x14ac:dyDescent="0.35">
      <c r="H35" s="230"/>
    </row>
  </sheetData>
  <conditionalFormatting sqref="A5:XFD5">
    <cfRule type="expression" dxfId="267" priority="2">
      <formula>A$5="actual"</formula>
    </cfRule>
  </conditionalFormatting>
  <conditionalFormatting sqref="C7:BV12">
    <cfRule type="expression" dxfId="266" priority="1">
      <formula>C$5="actual"</formula>
    </cfRule>
  </conditionalFormatting>
  <pageMargins left="0.7" right="0.7" top="0.75" bottom="0.75" header="0.3" footer="0.3"/>
  <pageSetup scale="44" fitToHeight="0" orientation="landscape"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K79"/>
  <sheetViews>
    <sheetView workbookViewId="0">
      <selection activeCell="B16" sqref="B16"/>
    </sheetView>
  </sheetViews>
  <sheetFormatPr defaultColWidth="9.1796875" defaultRowHeight="12" x14ac:dyDescent="0.3"/>
  <cols>
    <col min="1" max="1" width="58.453125" style="358" customWidth="1"/>
    <col min="2" max="2" width="13.26953125" style="358" customWidth="1"/>
    <col min="3" max="3" width="3.81640625" style="358" customWidth="1"/>
    <col min="4" max="4" width="7.54296875" style="358" bestFit="1" customWidth="1"/>
    <col min="5" max="5" width="9.26953125" style="358" bestFit="1" customWidth="1"/>
    <col min="6" max="6" width="15.26953125" style="358" bestFit="1" customWidth="1"/>
    <col min="7" max="7" width="12" style="358" customWidth="1"/>
    <col min="8" max="8" width="11" style="358" customWidth="1"/>
    <col min="9" max="9" width="13.453125" style="358" customWidth="1"/>
    <col min="10" max="10" width="12.54296875" style="358" bestFit="1" customWidth="1"/>
    <col min="11" max="11" width="11.54296875" style="358" bestFit="1" customWidth="1"/>
    <col min="12" max="12" width="14.26953125" style="358" customWidth="1"/>
    <col min="13" max="14" width="9.1796875" style="358"/>
    <col min="15" max="15" width="10.7265625" style="358" bestFit="1" customWidth="1"/>
    <col min="16" max="17" width="9.1796875" style="358"/>
    <col min="18" max="18" width="10.7265625" style="358" bestFit="1" customWidth="1"/>
    <col min="19" max="16384" width="9.1796875" style="358"/>
  </cols>
  <sheetData>
    <row r="1" spans="1:37" ht="19.5" customHeight="1" x14ac:dyDescent="0.3">
      <c r="A1" s="375"/>
      <c r="B1" s="375"/>
      <c r="C1" s="376"/>
      <c r="D1" s="1264" t="s">
        <v>413</v>
      </c>
      <c r="E1" s="1264"/>
      <c r="F1" s="1264"/>
      <c r="G1" s="1264"/>
      <c r="H1" s="1264"/>
      <c r="I1" s="1264"/>
      <c r="J1" s="1264"/>
      <c r="K1" s="1264"/>
      <c r="L1" s="1264"/>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row>
    <row r="2" spans="1:37" ht="27.75" customHeight="1" x14ac:dyDescent="0.3">
      <c r="A2" s="375"/>
      <c r="B2" s="375"/>
      <c r="C2" s="377"/>
      <c r="D2" s="395" t="s">
        <v>414</v>
      </c>
      <c r="E2" s="395" t="s">
        <v>415</v>
      </c>
      <c r="F2" s="395" t="s">
        <v>64</v>
      </c>
      <c r="G2" s="396" t="s">
        <v>416</v>
      </c>
      <c r="H2" s="396" t="s">
        <v>417</v>
      </c>
      <c r="I2" s="396" t="s">
        <v>418</v>
      </c>
      <c r="J2" s="396" t="s">
        <v>401</v>
      </c>
      <c r="K2" s="396" t="s">
        <v>397</v>
      </c>
      <c r="L2" s="396" t="s">
        <v>66</v>
      </c>
      <c r="M2" s="377"/>
      <c r="N2" s="377"/>
      <c r="O2" s="377"/>
      <c r="P2" s="377"/>
      <c r="Q2" s="377"/>
      <c r="R2" s="377"/>
      <c r="S2" s="377"/>
      <c r="T2" s="377"/>
      <c r="U2" s="377"/>
      <c r="V2" s="377"/>
      <c r="W2" s="377"/>
      <c r="X2" s="377"/>
      <c r="Y2" s="377"/>
      <c r="Z2" s="377"/>
      <c r="AA2" s="377"/>
      <c r="AB2" s="377"/>
      <c r="AC2" s="377"/>
      <c r="AD2" s="377"/>
      <c r="AE2" s="377"/>
      <c r="AF2" s="377"/>
      <c r="AG2" s="377"/>
      <c r="AH2" s="377"/>
      <c r="AI2" s="377"/>
      <c r="AJ2" s="377"/>
      <c r="AK2" s="377"/>
    </row>
    <row r="3" spans="1:37" x14ac:dyDescent="0.3">
      <c r="A3" s="375" t="s">
        <v>187</v>
      </c>
      <c r="B3" s="378">
        <v>41228</v>
      </c>
      <c r="D3" s="358">
        <f>IF($B$5&lt;&gt;0,1,"")</f>
        <v>1</v>
      </c>
      <c r="E3" s="379">
        <f>IF($B$5&lt;&gt;0,DATE(YEAR($B$3),MONTH($B$3)+($D3)*12/$B$11,DAY($B$3)),"")</f>
        <v>41258</v>
      </c>
      <c r="F3" s="380">
        <f>IF($B$7&lt;&gt;0,$B$7,"")</f>
        <v>10250000</v>
      </c>
      <c r="G3" s="380">
        <f>IF($B$7&lt;&gt;0,IF(E3&gt;DATE(YEAR($B$3)+$B$10,MONTH($B$3),DAY($B$3)),$B$16,$B$15),"")</f>
        <v>93958.333333333328</v>
      </c>
      <c r="H3" s="381">
        <f>IF($B$7&lt;&gt;0,$B$12,"")</f>
        <v>0</v>
      </c>
      <c r="I3" s="380">
        <f>IF($B$7&lt;&gt;0,$G3+$H3,"")</f>
        <v>93958.333333333328</v>
      </c>
      <c r="J3" s="380">
        <f>IF($B$7&lt;&gt;0,I3-K3,"")</f>
        <v>0</v>
      </c>
      <c r="K3" s="380">
        <f>IF($B$7&lt;&gt;0,$F3*($B$8/$B$11),"")</f>
        <v>93958.333333333328</v>
      </c>
      <c r="L3" s="380">
        <f>IF($B$7&lt;&gt;0,F3-J3,"")</f>
        <v>10250000</v>
      </c>
      <c r="O3" s="415"/>
    </row>
    <row r="4" spans="1:37" x14ac:dyDescent="0.3">
      <c r="A4" s="382" t="s">
        <v>393</v>
      </c>
      <c r="B4" s="383"/>
      <c r="D4" s="358">
        <f t="shared" ref="D4:D35" si="0">IF($L3&lt;=0.01,"",IF(L3="","",IF(L3&gt;0,(D3+1),"")))</f>
        <v>2</v>
      </c>
      <c r="E4" s="379">
        <f t="shared" ref="E4:E50" si="1">IF(D4="","",DATE(YEAR($B$3),MONTH($B$3)+($D4)*12/$B$11,DAY($B$3)))</f>
        <v>41289</v>
      </c>
      <c r="F4" s="380">
        <f>IF(D4="","",L3)</f>
        <v>10250000</v>
      </c>
      <c r="G4" s="380">
        <f>IF(D4="","",IF(E4&gt;DATE(YEAR($B$3)+$B$10,MONTH($B$3),DAY($B$3)),IF(F4&lt;$B$16,F4,$B$16),IF(F4&lt;$B$15,F4,$B$15)))</f>
        <v>93958.333333333328</v>
      </c>
      <c r="H4" s="380">
        <f>IF(D4="","",IF(F4&lt;G4,0,$B$12))</f>
        <v>0</v>
      </c>
      <c r="I4" s="380">
        <f>IF(D4="","",IF(E4&gt;DATE(YEAR($B$3)+$B$10,MONTH($B$3),DAY($B$3)),IF(F4&lt;$B$16,F4,G4+H4),IF(F4&lt;$B$15,F4,G4+H4)))</f>
        <v>93958.333333333328</v>
      </c>
      <c r="J4" s="380">
        <f>IF(D4="","",I4-K4)</f>
        <v>0</v>
      </c>
      <c r="K4" s="380">
        <f t="shared" ref="K4:K50" si="2">IF(D4="","",$F4*($B$8/$B$11))</f>
        <v>93958.333333333328</v>
      </c>
      <c r="L4" s="380">
        <f>IF(D4="","",IF(J4+K4&gt;G4,F4-J4,IF(J4+K4=F4,F4-J4-K4,F4-J4)))</f>
        <v>10250000</v>
      </c>
    </row>
    <row r="5" spans="1:37" x14ac:dyDescent="0.3">
      <c r="A5" s="384" t="s">
        <v>399</v>
      </c>
      <c r="B5" s="385">
        <v>10250000</v>
      </c>
      <c r="D5" s="358">
        <f t="shared" si="0"/>
        <v>3</v>
      </c>
      <c r="E5" s="379">
        <f t="shared" si="1"/>
        <v>41320</v>
      </c>
      <c r="F5" s="380">
        <f t="shared" ref="F5:F40" si="3">IF(D5="","",L4)</f>
        <v>10250000</v>
      </c>
      <c r="G5" s="380">
        <f t="shared" ref="G5:G40" si="4">IF(D5="","",IF(E5&gt;DATE(YEAR($B$3)+$B$10,MONTH($B$3),DAY($B$3)),IF(F5&lt;$B$16,F5,$B$16),IF(F5&lt;$B$15,F5,$B$15)))</f>
        <v>93958.333333333328</v>
      </c>
      <c r="H5" s="380">
        <f t="shared" ref="H5:H40" si="5">IF(D5="","",IF(F5&lt;G5,0,$B$12))</f>
        <v>0</v>
      </c>
      <c r="I5" s="380">
        <f t="shared" ref="I5:I40" si="6">IF(D5="","",IF(E5&gt;DATE(YEAR($B$3)+$B$10,MONTH($B$3),DAY($B$3)),IF(F5&lt;$B$16,F5,G5+H5),IF(F5&lt;$B$15,F5,G5+H5)))</f>
        <v>93958.333333333328</v>
      </c>
      <c r="J5" s="380">
        <f t="shared" ref="J5:J40" si="7">IF(D5="","",I5-K5)</f>
        <v>0</v>
      </c>
      <c r="K5" s="380">
        <f t="shared" si="2"/>
        <v>93958.333333333328</v>
      </c>
      <c r="L5" s="380">
        <f t="shared" ref="L5:L40" si="8">IF(D5="","",IF(J5+K5&gt;G5,F5-J5,IF(J5+K5=F5,F5-J5-K5,F5-J5)))</f>
        <v>10250000</v>
      </c>
    </row>
    <row r="6" spans="1:37" x14ac:dyDescent="0.3">
      <c r="A6" s="384" t="s">
        <v>398</v>
      </c>
      <c r="B6" s="385">
        <v>0</v>
      </c>
      <c r="D6" s="358">
        <f t="shared" si="0"/>
        <v>4</v>
      </c>
      <c r="E6" s="379">
        <f t="shared" si="1"/>
        <v>41348</v>
      </c>
      <c r="F6" s="380">
        <f t="shared" si="3"/>
        <v>10250000</v>
      </c>
      <c r="G6" s="380">
        <f t="shared" si="4"/>
        <v>93958.333333333328</v>
      </c>
      <c r="H6" s="380">
        <f t="shared" si="5"/>
        <v>0</v>
      </c>
      <c r="I6" s="380">
        <f t="shared" si="6"/>
        <v>93958.333333333328</v>
      </c>
      <c r="J6" s="380">
        <f t="shared" si="7"/>
        <v>0</v>
      </c>
      <c r="K6" s="380">
        <f t="shared" si="2"/>
        <v>93958.333333333328</v>
      </c>
      <c r="L6" s="380">
        <f t="shared" si="8"/>
        <v>10250000</v>
      </c>
    </row>
    <row r="7" spans="1:37" ht="12.5" thickBot="1" x14ac:dyDescent="0.35">
      <c r="A7" s="384" t="s">
        <v>419</v>
      </c>
      <c r="B7" s="386">
        <f>B5</f>
        <v>10250000</v>
      </c>
      <c r="D7" s="358">
        <f t="shared" si="0"/>
        <v>5</v>
      </c>
      <c r="E7" s="379">
        <f t="shared" si="1"/>
        <v>41379</v>
      </c>
      <c r="F7" s="380">
        <f t="shared" si="3"/>
        <v>10250000</v>
      </c>
      <c r="G7" s="380">
        <f t="shared" si="4"/>
        <v>93958.333333333328</v>
      </c>
      <c r="H7" s="380">
        <f t="shared" si="5"/>
        <v>0</v>
      </c>
      <c r="I7" s="380">
        <f t="shared" si="6"/>
        <v>93958.333333333328</v>
      </c>
      <c r="J7" s="380">
        <f t="shared" si="7"/>
        <v>0</v>
      </c>
      <c r="K7" s="380">
        <f t="shared" si="2"/>
        <v>93958.333333333328</v>
      </c>
      <c r="L7" s="380">
        <f t="shared" si="8"/>
        <v>10250000</v>
      </c>
    </row>
    <row r="8" spans="1:37" x14ac:dyDescent="0.3">
      <c r="A8" s="384" t="s">
        <v>397</v>
      </c>
      <c r="B8" s="387">
        <v>0.11</v>
      </c>
      <c r="D8" s="358">
        <f t="shared" si="0"/>
        <v>6</v>
      </c>
      <c r="E8" s="379">
        <f t="shared" si="1"/>
        <v>41409</v>
      </c>
      <c r="F8" s="380">
        <f t="shared" si="3"/>
        <v>10250000</v>
      </c>
      <c r="G8" s="380">
        <f t="shared" si="4"/>
        <v>93958.333333333328</v>
      </c>
      <c r="H8" s="380">
        <f t="shared" si="5"/>
        <v>0</v>
      </c>
      <c r="I8" s="380">
        <f t="shared" si="6"/>
        <v>93958.333333333328</v>
      </c>
      <c r="J8" s="380">
        <f t="shared" si="7"/>
        <v>0</v>
      </c>
      <c r="K8" s="380">
        <f t="shared" si="2"/>
        <v>93958.333333333328</v>
      </c>
      <c r="L8" s="380">
        <f t="shared" si="8"/>
        <v>10250000</v>
      </c>
    </row>
    <row r="9" spans="1:37" x14ac:dyDescent="0.3">
      <c r="A9" s="384" t="s">
        <v>403</v>
      </c>
      <c r="B9" s="388">
        <v>5</v>
      </c>
      <c r="D9" s="358">
        <f t="shared" si="0"/>
        <v>7</v>
      </c>
      <c r="E9" s="379">
        <f t="shared" si="1"/>
        <v>41440</v>
      </c>
      <c r="F9" s="380">
        <f t="shared" si="3"/>
        <v>10250000</v>
      </c>
      <c r="G9" s="380">
        <f t="shared" si="4"/>
        <v>93958.333333333328</v>
      </c>
      <c r="H9" s="380">
        <f t="shared" si="5"/>
        <v>0</v>
      </c>
      <c r="I9" s="380">
        <f t="shared" si="6"/>
        <v>93958.333333333328</v>
      </c>
      <c r="J9" s="380">
        <f t="shared" si="7"/>
        <v>0</v>
      </c>
      <c r="K9" s="380">
        <f t="shared" si="2"/>
        <v>93958.333333333328</v>
      </c>
      <c r="L9" s="380">
        <f t="shared" si="8"/>
        <v>10250000</v>
      </c>
    </row>
    <row r="10" spans="1:37" x14ac:dyDescent="0.3">
      <c r="A10" s="384" t="s">
        <v>402</v>
      </c>
      <c r="B10" s="388">
        <v>2</v>
      </c>
      <c r="D10" s="358">
        <f t="shared" si="0"/>
        <v>8</v>
      </c>
      <c r="E10" s="379">
        <f t="shared" si="1"/>
        <v>41470</v>
      </c>
      <c r="F10" s="380">
        <f t="shared" si="3"/>
        <v>10250000</v>
      </c>
      <c r="G10" s="380">
        <f t="shared" si="4"/>
        <v>93958.333333333328</v>
      </c>
      <c r="H10" s="380">
        <f t="shared" si="5"/>
        <v>0</v>
      </c>
      <c r="I10" s="380">
        <f t="shared" si="6"/>
        <v>93958.333333333328</v>
      </c>
      <c r="J10" s="380">
        <f t="shared" si="7"/>
        <v>0</v>
      </c>
      <c r="K10" s="380">
        <f t="shared" si="2"/>
        <v>93958.333333333328</v>
      </c>
      <c r="L10" s="380">
        <f t="shared" si="8"/>
        <v>10250000</v>
      </c>
    </row>
    <row r="11" spans="1:37" x14ac:dyDescent="0.3">
      <c r="A11" s="384" t="s">
        <v>404</v>
      </c>
      <c r="B11" s="388">
        <v>12</v>
      </c>
      <c r="D11" s="358">
        <f t="shared" si="0"/>
        <v>9</v>
      </c>
      <c r="E11" s="379">
        <f t="shared" si="1"/>
        <v>41501</v>
      </c>
      <c r="F11" s="380">
        <f t="shared" si="3"/>
        <v>10250000</v>
      </c>
      <c r="G11" s="380">
        <f t="shared" si="4"/>
        <v>93958.333333333328</v>
      </c>
      <c r="H11" s="380">
        <f t="shared" si="5"/>
        <v>0</v>
      </c>
      <c r="I11" s="380">
        <f t="shared" si="6"/>
        <v>93958.333333333328</v>
      </c>
      <c r="J11" s="380">
        <f t="shared" si="7"/>
        <v>0</v>
      </c>
      <c r="K11" s="380">
        <f t="shared" si="2"/>
        <v>93958.333333333328</v>
      </c>
      <c r="L11" s="380">
        <f t="shared" si="8"/>
        <v>10250000</v>
      </c>
    </row>
    <row r="12" spans="1:37" x14ac:dyDescent="0.3">
      <c r="A12" s="384" t="s">
        <v>420</v>
      </c>
      <c r="B12" s="388">
        <v>0</v>
      </c>
      <c r="D12" s="358">
        <f t="shared" si="0"/>
        <v>10</v>
      </c>
      <c r="E12" s="379">
        <f t="shared" si="1"/>
        <v>41532</v>
      </c>
      <c r="F12" s="380">
        <f t="shared" si="3"/>
        <v>10250000</v>
      </c>
      <c r="G12" s="380">
        <f t="shared" si="4"/>
        <v>93958.333333333328</v>
      </c>
      <c r="H12" s="380">
        <f t="shared" si="5"/>
        <v>0</v>
      </c>
      <c r="I12" s="380">
        <f t="shared" si="6"/>
        <v>93958.333333333328</v>
      </c>
      <c r="J12" s="380">
        <f t="shared" si="7"/>
        <v>0</v>
      </c>
      <c r="K12" s="380">
        <f t="shared" si="2"/>
        <v>93958.333333333328</v>
      </c>
      <c r="L12" s="380">
        <f t="shared" si="8"/>
        <v>10250000</v>
      </c>
    </row>
    <row r="13" spans="1:37" x14ac:dyDescent="0.3">
      <c r="A13" s="384" t="s">
        <v>400</v>
      </c>
      <c r="B13" s="385"/>
      <c r="D13" s="358">
        <f t="shared" si="0"/>
        <v>11</v>
      </c>
      <c r="E13" s="379">
        <f t="shared" si="1"/>
        <v>41562</v>
      </c>
      <c r="F13" s="380">
        <f t="shared" si="3"/>
        <v>10250000</v>
      </c>
      <c r="G13" s="380">
        <f t="shared" si="4"/>
        <v>93958.333333333328</v>
      </c>
      <c r="H13" s="380">
        <f t="shared" si="5"/>
        <v>0</v>
      </c>
      <c r="I13" s="380">
        <f t="shared" si="6"/>
        <v>93958.333333333328</v>
      </c>
      <c r="J13" s="380">
        <f t="shared" si="7"/>
        <v>0</v>
      </c>
      <c r="K13" s="380">
        <f t="shared" si="2"/>
        <v>93958.333333333328</v>
      </c>
      <c r="L13" s="380">
        <f t="shared" si="8"/>
        <v>10250000</v>
      </c>
    </row>
    <row r="14" spans="1:37" x14ac:dyDescent="0.3">
      <c r="A14" s="389" t="s">
        <v>405</v>
      </c>
      <c r="B14" s="390"/>
      <c r="D14" s="358">
        <f t="shared" si="0"/>
        <v>12</v>
      </c>
      <c r="E14" s="379">
        <f t="shared" si="1"/>
        <v>41593</v>
      </c>
      <c r="F14" s="380">
        <f t="shared" si="3"/>
        <v>10250000</v>
      </c>
      <c r="G14" s="380">
        <f t="shared" si="4"/>
        <v>93958.333333333328</v>
      </c>
      <c r="H14" s="380">
        <f t="shared" si="5"/>
        <v>0</v>
      </c>
      <c r="I14" s="380">
        <f t="shared" si="6"/>
        <v>93958.333333333328</v>
      </c>
      <c r="J14" s="380">
        <f t="shared" si="7"/>
        <v>0</v>
      </c>
      <c r="K14" s="380">
        <f t="shared" si="2"/>
        <v>93958.333333333328</v>
      </c>
      <c r="L14" s="380">
        <f t="shared" si="8"/>
        <v>10250000</v>
      </c>
    </row>
    <row r="15" spans="1:37" x14ac:dyDescent="0.3">
      <c r="A15" s="391" t="s">
        <v>406</v>
      </c>
      <c r="B15" s="392">
        <f>($B$5+$B$6)*($B$8/$B$11)</f>
        <v>93958.333333333328</v>
      </c>
      <c r="D15" s="358">
        <f t="shared" si="0"/>
        <v>13</v>
      </c>
      <c r="E15" s="379">
        <f t="shared" si="1"/>
        <v>41623</v>
      </c>
      <c r="F15" s="380">
        <f t="shared" si="3"/>
        <v>10250000</v>
      </c>
      <c r="G15" s="380">
        <f t="shared" si="4"/>
        <v>93958.333333333328</v>
      </c>
      <c r="H15" s="380">
        <f t="shared" si="5"/>
        <v>0</v>
      </c>
      <c r="I15" s="380">
        <f t="shared" si="6"/>
        <v>93958.333333333328</v>
      </c>
      <c r="J15" s="380">
        <f t="shared" si="7"/>
        <v>0</v>
      </c>
      <c r="K15" s="380">
        <f t="shared" si="2"/>
        <v>93958.333333333328</v>
      </c>
      <c r="L15" s="380">
        <f t="shared" si="8"/>
        <v>10250000</v>
      </c>
    </row>
    <row r="16" spans="1:37" x14ac:dyDescent="0.3">
      <c r="A16" s="391" t="s">
        <v>407</v>
      </c>
      <c r="B16" s="392">
        <f>-PMT(B8/B11,((B9-B10)*B11),(B5+B6))</f>
        <v>335571.85044927092</v>
      </c>
      <c r="D16" s="358">
        <f t="shared" si="0"/>
        <v>14</v>
      </c>
      <c r="E16" s="379">
        <f t="shared" si="1"/>
        <v>41654</v>
      </c>
      <c r="F16" s="380">
        <f t="shared" si="3"/>
        <v>10250000</v>
      </c>
      <c r="G16" s="380">
        <f t="shared" si="4"/>
        <v>93958.333333333328</v>
      </c>
      <c r="H16" s="380">
        <f t="shared" si="5"/>
        <v>0</v>
      </c>
      <c r="I16" s="380">
        <f t="shared" si="6"/>
        <v>93958.333333333328</v>
      </c>
      <c r="J16" s="380">
        <f t="shared" si="7"/>
        <v>0</v>
      </c>
      <c r="K16" s="380">
        <f t="shared" si="2"/>
        <v>93958.333333333328</v>
      </c>
      <c r="L16" s="380">
        <f t="shared" si="8"/>
        <v>10250000</v>
      </c>
    </row>
    <row r="17" spans="1:18" x14ac:dyDescent="0.3">
      <c r="A17" s="391" t="s">
        <v>408</v>
      </c>
      <c r="B17" s="390">
        <f>B9*B11</f>
        <v>60</v>
      </c>
      <c r="D17" s="358">
        <f t="shared" si="0"/>
        <v>15</v>
      </c>
      <c r="E17" s="379">
        <f t="shared" si="1"/>
        <v>41685</v>
      </c>
      <c r="F17" s="380">
        <f t="shared" si="3"/>
        <v>10250000</v>
      </c>
      <c r="G17" s="380">
        <f t="shared" si="4"/>
        <v>93958.333333333328</v>
      </c>
      <c r="H17" s="380">
        <f t="shared" si="5"/>
        <v>0</v>
      </c>
      <c r="I17" s="380">
        <f t="shared" si="6"/>
        <v>93958.333333333328</v>
      </c>
      <c r="J17" s="380">
        <f t="shared" si="7"/>
        <v>0</v>
      </c>
      <c r="K17" s="380">
        <f t="shared" si="2"/>
        <v>93958.333333333328</v>
      </c>
      <c r="L17" s="380">
        <f t="shared" si="8"/>
        <v>10250000</v>
      </c>
    </row>
    <row r="18" spans="1:18" x14ac:dyDescent="0.3">
      <c r="A18" s="391" t="s">
        <v>409</v>
      </c>
      <c r="B18" s="390">
        <f>MAX(D3:D1030)</f>
        <v>60</v>
      </c>
      <c r="D18" s="358">
        <f t="shared" si="0"/>
        <v>16</v>
      </c>
      <c r="E18" s="379">
        <f t="shared" si="1"/>
        <v>41713</v>
      </c>
      <c r="F18" s="380">
        <f t="shared" si="3"/>
        <v>10250000</v>
      </c>
      <c r="G18" s="380">
        <f t="shared" si="4"/>
        <v>93958.333333333328</v>
      </c>
      <c r="H18" s="380">
        <f t="shared" si="5"/>
        <v>0</v>
      </c>
      <c r="I18" s="380">
        <f t="shared" si="6"/>
        <v>93958.333333333328</v>
      </c>
      <c r="J18" s="380">
        <f t="shared" si="7"/>
        <v>0</v>
      </c>
      <c r="K18" s="380">
        <f t="shared" si="2"/>
        <v>93958.333333333328</v>
      </c>
      <c r="L18" s="380">
        <f t="shared" si="8"/>
        <v>10250000</v>
      </c>
    </row>
    <row r="19" spans="1:18" x14ac:dyDescent="0.3">
      <c r="A19" s="391" t="s">
        <v>410</v>
      </c>
      <c r="B19" s="393">
        <f>MAX(E3:E100)</f>
        <v>43054</v>
      </c>
      <c r="D19" s="358">
        <f t="shared" si="0"/>
        <v>17</v>
      </c>
      <c r="E19" s="379">
        <f t="shared" si="1"/>
        <v>41744</v>
      </c>
      <c r="F19" s="380">
        <f t="shared" si="3"/>
        <v>10250000</v>
      </c>
      <c r="G19" s="380">
        <f t="shared" si="4"/>
        <v>93958.333333333328</v>
      </c>
      <c r="H19" s="380">
        <f t="shared" si="5"/>
        <v>0</v>
      </c>
      <c r="I19" s="380">
        <f t="shared" si="6"/>
        <v>93958.333333333328</v>
      </c>
      <c r="J19" s="380">
        <f t="shared" si="7"/>
        <v>0</v>
      </c>
      <c r="K19" s="380">
        <f t="shared" si="2"/>
        <v>93958.333333333328</v>
      </c>
      <c r="L19" s="380">
        <f t="shared" si="8"/>
        <v>10250000</v>
      </c>
    </row>
    <row r="20" spans="1:18" x14ac:dyDescent="0.3">
      <c r="A20" s="391" t="s">
        <v>411</v>
      </c>
      <c r="B20" s="394">
        <f>SUM(H3:H1030)</f>
        <v>0</v>
      </c>
      <c r="D20" s="358">
        <f t="shared" si="0"/>
        <v>18</v>
      </c>
      <c r="E20" s="379">
        <f t="shared" si="1"/>
        <v>41774</v>
      </c>
      <c r="F20" s="380">
        <f t="shared" si="3"/>
        <v>10250000</v>
      </c>
      <c r="G20" s="380">
        <f t="shared" si="4"/>
        <v>93958.333333333328</v>
      </c>
      <c r="H20" s="380">
        <f t="shared" si="5"/>
        <v>0</v>
      </c>
      <c r="I20" s="380">
        <f t="shared" si="6"/>
        <v>93958.333333333328</v>
      </c>
      <c r="J20" s="380">
        <f t="shared" si="7"/>
        <v>0</v>
      </c>
      <c r="K20" s="380">
        <f t="shared" si="2"/>
        <v>93958.333333333328</v>
      </c>
      <c r="L20" s="380">
        <f t="shared" si="8"/>
        <v>10250000</v>
      </c>
    </row>
    <row r="21" spans="1:18" x14ac:dyDescent="0.3">
      <c r="A21" s="391" t="s">
        <v>412</v>
      </c>
      <c r="B21" s="394">
        <f>SUM(K3:K1030)</f>
        <v>4085586.6161737526</v>
      </c>
      <c r="D21" s="358">
        <f t="shared" si="0"/>
        <v>19</v>
      </c>
      <c r="E21" s="379">
        <f t="shared" si="1"/>
        <v>41805</v>
      </c>
      <c r="F21" s="380">
        <f t="shared" si="3"/>
        <v>10250000</v>
      </c>
      <c r="G21" s="380">
        <f t="shared" si="4"/>
        <v>93958.333333333328</v>
      </c>
      <c r="H21" s="380">
        <f t="shared" si="5"/>
        <v>0</v>
      </c>
      <c r="I21" s="380">
        <f t="shared" si="6"/>
        <v>93958.333333333328</v>
      </c>
      <c r="J21" s="380">
        <f t="shared" si="7"/>
        <v>0</v>
      </c>
      <c r="K21" s="380">
        <f t="shared" si="2"/>
        <v>93958.333333333328</v>
      </c>
      <c r="L21" s="380">
        <f t="shared" si="8"/>
        <v>10250000</v>
      </c>
    </row>
    <row r="22" spans="1:18" x14ac:dyDescent="0.3">
      <c r="D22" s="358">
        <f t="shared" si="0"/>
        <v>20</v>
      </c>
      <c r="E22" s="379">
        <f t="shared" si="1"/>
        <v>41835</v>
      </c>
      <c r="F22" s="380">
        <f t="shared" si="3"/>
        <v>10250000</v>
      </c>
      <c r="G22" s="380">
        <f t="shared" si="4"/>
        <v>93958.333333333328</v>
      </c>
      <c r="H22" s="380">
        <f t="shared" si="5"/>
        <v>0</v>
      </c>
      <c r="I22" s="380">
        <f t="shared" si="6"/>
        <v>93958.333333333328</v>
      </c>
      <c r="J22" s="380">
        <f t="shared" si="7"/>
        <v>0</v>
      </c>
      <c r="K22" s="380">
        <f t="shared" si="2"/>
        <v>93958.333333333328</v>
      </c>
      <c r="L22" s="380">
        <f t="shared" si="8"/>
        <v>10250000</v>
      </c>
    </row>
    <row r="23" spans="1:18" x14ac:dyDescent="0.3">
      <c r="D23" s="358">
        <f t="shared" si="0"/>
        <v>21</v>
      </c>
      <c r="E23" s="379">
        <f t="shared" si="1"/>
        <v>41866</v>
      </c>
      <c r="F23" s="380">
        <f t="shared" si="3"/>
        <v>10250000</v>
      </c>
      <c r="G23" s="380">
        <f t="shared" si="4"/>
        <v>93958.333333333328</v>
      </c>
      <c r="H23" s="380">
        <f t="shared" si="5"/>
        <v>0</v>
      </c>
      <c r="I23" s="380">
        <f t="shared" si="6"/>
        <v>93958.333333333328</v>
      </c>
      <c r="J23" s="380">
        <f t="shared" si="7"/>
        <v>0</v>
      </c>
      <c r="K23" s="380">
        <f t="shared" si="2"/>
        <v>93958.333333333328</v>
      </c>
      <c r="L23" s="380">
        <f t="shared" si="8"/>
        <v>10250000</v>
      </c>
    </row>
    <row r="24" spans="1:18" x14ac:dyDescent="0.3">
      <c r="D24" s="358">
        <f t="shared" si="0"/>
        <v>22</v>
      </c>
      <c r="E24" s="379">
        <f t="shared" si="1"/>
        <v>41897</v>
      </c>
      <c r="F24" s="380">
        <f t="shared" si="3"/>
        <v>10250000</v>
      </c>
      <c r="G24" s="380">
        <f t="shared" si="4"/>
        <v>93958.333333333328</v>
      </c>
      <c r="H24" s="380">
        <f t="shared" si="5"/>
        <v>0</v>
      </c>
      <c r="I24" s="380">
        <f t="shared" si="6"/>
        <v>93958.333333333328</v>
      </c>
      <c r="J24" s="380">
        <f t="shared" si="7"/>
        <v>0</v>
      </c>
      <c r="K24" s="380">
        <f t="shared" si="2"/>
        <v>93958.333333333328</v>
      </c>
      <c r="L24" s="380">
        <f t="shared" si="8"/>
        <v>10250000</v>
      </c>
    </row>
    <row r="25" spans="1:18" x14ac:dyDescent="0.3">
      <c r="D25" s="358">
        <f t="shared" si="0"/>
        <v>23</v>
      </c>
      <c r="E25" s="379">
        <f t="shared" si="1"/>
        <v>41927</v>
      </c>
      <c r="F25" s="380">
        <f t="shared" si="3"/>
        <v>10250000</v>
      </c>
      <c r="G25" s="380">
        <f t="shared" si="4"/>
        <v>93958.333333333328</v>
      </c>
      <c r="H25" s="380">
        <f t="shared" si="5"/>
        <v>0</v>
      </c>
      <c r="I25" s="380">
        <f t="shared" si="6"/>
        <v>93958.333333333328</v>
      </c>
      <c r="J25" s="380">
        <f t="shared" si="7"/>
        <v>0</v>
      </c>
      <c r="K25" s="380">
        <f t="shared" si="2"/>
        <v>93958.333333333328</v>
      </c>
      <c r="L25" s="380">
        <f t="shared" si="8"/>
        <v>10250000</v>
      </c>
    </row>
    <row r="26" spans="1:18" x14ac:dyDescent="0.3">
      <c r="D26" s="358">
        <f t="shared" si="0"/>
        <v>24</v>
      </c>
      <c r="E26" s="379">
        <f t="shared" si="1"/>
        <v>41958</v>
      </c>
      <c r="F26" s="380">
        <f t="shared" si="3"/>
        <v>10250000</v>
      </c>
      <c r="G26" s="380">
        <f t="shared" si="4"/>
        <v>93958.333333333328</v>
      </c>
      <c r="H26" s="380">
        <f t="shared" si="5"/>
        <v>0</v>
      </c>
      <c r="I26" s="380">
        <f t="shared" si="6"/>
        <v>93958.333333333328</v>
      </c>
      <c r="J26" s="380">
        <f t="shared" si="7"/>
        <v>0</v>
      </c>
      <c r="K26" s="380">
        <f t="shared" si="2"/>
        <v>93958.333333333328</v>
      </c>
      <c r="L26" s="380">
        <f t="shared" si="8"/>
        <v>10250000</v>
      </c>
    </row>
    <row r="27" spans="1:18" x14ac:dyDescent="0.3">
      <c r="D27" s="358">
        <f t="shared" si="0"/>
        <v>25</v>
      </c>
      <c r="E27" s="379">
        <f t="shared" si="1"/>
        <v>41988</v>
      </c>
      <c r="F27" s="380">
        <f t="shared" si="3"/>
        <v>10250000</v>
      </c>
      <c r="G27" s="380">
        <f t="shared" si="4"/>
        <v>335571.85044927092</v>
      </c>
      <c r="H27" s="380">
        <f t="shared" si="5"/>
        <v>0</v>
      </c>
      <c r="I27" s="380">
        <f t="shared" si="6"/>
        <v>335571.85044927092</v>
      </c>
      <c r="J27" s="380">
        <f t="shared" si="7"/>
        <v>241613.5171159376</v>
      </c>
      <c r="K27" s="380">
        <f t="shared" si="2"/>
        <v>93958.333333333328</v>
      </c>
      <c r="L27" s="380">
        <f t="shared" si="8"/>
        <v>10008386.482884062</v>
      </c>
    </row>
    <row r="28" spans="1:18" x14ac:dyDescent="0.3">
      <c r="D28" s="358">
        <f t="shared" si="0"/>
        <v>26</v>
      </c>
      <c r="E28" s="379">
        <f t="shared" si="1"/>
        <v>42019</v>
      </c>
      <c r="F28" s="380">
        <f t="shared" si="3"/>
        <v>10008386.482884062</v>
      </c>
      <c r="G28" s="380">
        <f t="shared" si="4"/>
        <v>335571.85044927092</v>
      </c>
      <c r="H28" s="380">
        <f t="shared" si="5"/>
        <v>0</v>
      </c>
      <c r="I28" s="380">
        <f t="shared" si="6"/>
        <v>335571.85044927092</v>
      </c>
      <c r="J28" s="380">
        <f t="shared" si="7"/>
        <v>243828.30768950033</v>
      </c>
      <c r="K28" s="380">
        <f t="shared" si="2"/>
        <v>91743.542759770571</v>
      </c>
      <c r="L28" s="380">
        <f t="shared" si="8"/>
        <v>9764558.1751945615</v>
      </c>
    </row>
    <row r="29" spans="1:18" x14ac:dyDescent="0.3">
      <c r="D29" s="358">
        <f t="shared" si="0"/>
        <v>27</v>
      </c>
      <c r="E29" s="379">
        <f t="shared" si="1"/>
        <v>42050</v>
      </c>
      <c r="F29" s="380">
        <f t="shared" si="3"/>
        <v>9764558.1751945615</v>
      </c>
      <c r="G29" s="380">
        <f t="shared" si="4"/>
        <v>335571.85044927092</v>
      </c>
      <c r="H29" s="380">
        <f t="shared" si="5"/>
        <v>0</v>
      </c>
      <c r="I29" s="380">
        <f t="shared" si="6"/>
        <v>335571.85044927092</v>
      </c>
      <c r="J29" s="380">
        <f t="shared" si="7"/>
        <v>246063.40050998743</v>
      </c>
      <c r="K29" s="380">
        <f t="shared" si="2"/>
        <v>89508.449939283484</v>
      </c>
      <c r="L29" s="380">
        <f t="shared" si="8"/>
        <v>9518494.7746845745</v>
      </c>
    </row>
    <row r="30" spans="1:18" x14ac:dyDescent="0.3">
      <c r="D30" s="358">
        <f t="shared" si="0"/>
        <v>28</v>
      </c>
      <c r="E30" s="379">
        <f t="shared" si="1"/>
        <v>42078</v>
      </c>
      <c r="F30" s="380">
        <f t="shared" si="3"/>
        <v>9518494.7746845745</v>
      </c>
      <c r="G30" s="380">
        <f t="shared" si="4"/>
        <v>335571.85044927092</v>
      </c>
      <c r="H30" s="380">
        <f t="shared" si="5"/>
        <v>0</v>
      </c>
      <c r="I30" s="380">
        <f t="shared" si="6"/>
        <v>335571.85044927092</v>
      </c>
      <c r="J30" s="380">
        <f t="shared" si="7"/>
        <v>248318.98168132897</v>
      </c>
      <c r="K30" s="380">
        <f t="shared" si="2"/>
        <v>87252.868767941938</v>
      </c>
      <c r="L30" s="380">
        <f t="shared" si="8"/>
        <v>9270175.7930032462</v>
      </c>
      <c r="R30" s="415"/>
    </row>
    <row r="31" spans="1:18" x14ac:dyDescent="0.3">
      <c r="D31" s="358">
        <f t="shared" si="0"/>
        <v>29</v>
      </c>
      <c r="E31" s="379">
        <f t="shared" si="1"/>
        <v>42109</v>
      </c>
      <c r="F31" s="380">
        <f t="shared" si="3"/>
        <v>9270175.7930032462</v>
      </c>
      <c r="G31" s="380">
        <f t="shared" si="4"/>
        <v>335571.85044927092</v>
      </c>
      <c r="H31" s="380">
        <f t="shared" si="5"/>
        <v>0</v>
      </c>
      <c r="I31" s="380">
        <f t="shared" si="6"/>
        <v>335571.85044927092</v>
      </c>
      <c r="J31" s="380">
        <f t="shared" si="7"/>
        <v>250595.23901340785</v>
      </c>
      <c r="K31" s="380">
        <f t="shared" si="2"/>
        <v>84976.611435863088</v>
      </c>
      <c r="L31" s="380">
        <f t="shared" si="8"/>
        <v>9019580.5539898388</v>
      </c>
    </row>
    <row r="32" spans="1:18" x14ac:dyDescent="0.3">
      <c r="D32" s="358">
        <f t="shared" si="0"/>
        <v>30</v>
      </c>
      <c r="E32" s="379">
        <f t="shared" si="1"/>
        <v>42139</v>
      </c>
      <c r="F32" s="380">
        <f t="shared" si="3"/>
        <v>9019580.5539898388</v>
      </c>
      <c r="G32" s="380">
        <f t="shared" si="4"/>
        <v>335571.85044927092</v>
      </c>
      <c r="H32" s="380">
        <f t="shared" si="5"/>
        <v>0</v>
      </c>
      <c r="I32" s="380">
        <f t="shared" si="6"/>
        <v>335571.85044927092</v>
      </c>
      <c r="J32" s="380">
        <f t="shared" si="7"/>
        <v>252892.3620376974</v>
      </c>
      <c r="K32" s="380">
        <f t="shared" si="2"/>
        <v>82679.488411573519</v>
      </c>
      <c r="L32" s="380">
        <f t="shared" si="8"/>
        <v>8766688.191952141</v>
      </c>
    </row>
    <row r="33" spans="4:12" x14ac:dyDescent="0.3">
      <c r="D33" s="358">
        <f t="shared" si="0"/>
        <v>31</v>
      </c>
      <c r="E33" s="379">
        <f t="shared" si="1"/>
        <v>42170</v>
      </c>
      <c r="F33" s="380">
        <f t="shared" si="3"/>
        <v>8766688.191952141</v>
      </c>
      <c r="G33" s="380">
        <f t="shared" si="4"/>
        <v>335571.85044927092</v>
      </c>
      <c r="H33" s="380">
        <f t="shared" si="5"/>
        <v>0</v>
      </c>
      <c r="I33" s="380">
        <f t="shared" si="6"/>
        <v>335571.85044927092</v>
      </c>
      <c r="J33" s="380">
        <f t="shared" si="7"/>
        <v>255210.54202304297</v>
      </c>
      <c r="K33" s="380">
        <f t="shared" si="2"/>
        <v>80361.308426227959</v>
      </c>
      <c r="L33" s="380">
        <f t="shared" si="8"/>
        <v>8511477.6499290988</v>
      </c>
    </row>
    <row r="34" spans="4:12" x14ac:dyDescent="0.3">
      <c r="D34" s="358">
        <f t="shared" si="0"/>
        <v>32</v>
      </c>
      <c r="E34" s="379">
        <f t="shared" si="1"/>
        <v>42200</v>
      </c>
      <c r="F34" s="380">
        <f t="shared" si="3"/>
        <v>8511477.6499290988</v>
      </c>
      <c r="G34" s="380">
        <f t="shared" si="4"/>
        <v>335571.85044927092</v>
      </c>
      <c r="H34" s="380">
        <f t="shared" si="5"/>
        <v>0</v>
      </c>
      <c r="I34" s="380">
        <f t="shared" si="6"/>
        <v>335571.85044927092</v>
      </c>
      <c r="J34" s="380">
        <f t="shared" si="7"/>
        <v>257549.97199158752</v>
      </c>
      <c r="K34" s="380">
        <f t="shared" si="2"/>
        <v>78021.8784576834</v>
      </c>
      <c r="L34" s="380">
        <f t="shared" si="8"/>
        <v>8253927.6779375114</v>
      </c>
    </row>
    <row r="35" spans="4:12" x14ac:dyDescent="0.3">
      <c r="D35" s="358">
        <f t="shared" si="0"/>
        <v>33</v>
      </c>
      <c r="E35" s="379">
        <f t="shared" si="1"/>
        <v>42231</v>
      </c>
      <c r="F35" s="380">
        <f t="shared" si="3"/>
        <v>8253927.6779375114</v>
      </c>
      <c r="G35" s="380">
        <f t="shared" si="4"/>
        <v>335571.85044927092</v>
      </c>
      <c r="H35" s="380">
        <f t="shared" si="5"/>
        <v>0</v>
      </c>
      <c r="I35" s="380">
        <f t="shared" si="6"/>
        <v>335571.85044927092</v>
      </c>
      <c r="J35" s="380">
        <f t="shared" si="7"/>
        <v>259910.84673484374</v>
      </c>
      <c r="K35" s="380">
        <f t="shared" si="2"/>
        <v>75661.003714427192</v>
      </c>
      <c r="L35" s="380">
        <f t="shared" si="8"/>
        <v>7994016.8312026672</v>
      </c>
    </row>
    <row r="36" spans="4:12" x14ac:dyDescent="0.3">
      <c r="D36" s="358">
        <f t="shared" ref="D36:D72" si="9">IF($L35&lt;=0.01,"",IF(L35="","",IF(L35&gt;0,(D35+1),"")))</f>
        <v>34</v>
      </c>
      <c r="E36" s="379">
        <f t="shared" si="1"/>
        <v>42262</v>
      </c>
      <c r="F36" s="380">
        <f t="shared" si="3"/>
        <v>7994016.8312026672</v>
      </c>
      <c r="G36" s="380">
        <f t="shared" si="4"/>
        <v>335571.85044927092</v>
      </c>
      <c r="H36" s="380">
        <f t="shared" si="5"/>
        <v>0</v>
      </c>
      <c r="I36" s="380">
        <f t="shared" si="6"/>
        <v>335571.85044927092</v>
      </c>
      <c r="J36" s="380">
        <f t="shared" si="7"/>
        <v>262293.36282991315</v>
      </c>
      <c r="K36" s="380">
        <f t="shared" si="2"/>
        <v>73278.48761935778</v>
      </c>
      <c r="L36" s="380">
        <f t="shared" si="8"/>
        <v>7731723.4683727538</v>
      </c>
    </row>
    <row r="37" spans="4:12" x14ac:dyDescent="0.3">
      <c r="D37" s="358">
        <f t="shared" si="9"/>
        <v>35</v>
      </c>
      <c r="E37" s="379">
        <f t="shared" si="1"/>
        <v>42292</v>
      </c>
      <c r="F37" s="380">
        <f t="shared" si="3"/>
        <v>7731723.4683727538</v>
      </c>
      <c r="G37" s="380">
        <f t="shared" si="4"/>
        <v>335571.85044927092</v>
      </c>
      <c r="H37" s="380">
        <f t="shared" si="5"/>
        <v>0</v>
      </c>
      <c r="I37" s="380">
        <f t="shared" si="6"/>
        <v>335571.85044927092</v>
      </c>
      <c r="J37" s="380">
        <f t="shared" si="7"/>
        <v>264697.718655854</v>
      </c>
      <c r="K37" s="380">
        <f t="shared" si="2"/>
        <v>70874.131793416906</v>
      </c>
      <c r="L37" s="380">
        <f t="shared" si="8"/>
        <v>7467025.7497169003</v>
      </c>
    </row>
    <row r="38" spans="4:12" x14ac:dyDescent="0.3">
      <c r="D38" s="358">
        <f t="shared" si="9"/>
        <v>36</v>
      </c>
      <c r="E38" s="379">
        <f t="shared" si="1"/>
        <v>42323</v>
      </c>
      <c r="F38" s="380">
        <f t="shared" si="3"/>
        <v>7467025.7497169003</v>
      </c>
      <c r="G38" s="380">
        <f t="shared" si="4"/>
        <v>335571.85044927092</v>
      </c>
      <c r="H38" s="380">
        <f t="shared" si="5"/>
        <v>0</v>
      </c>
      <c r="I38" s="380">
        <f t="shared" si="6"/>
        <v>335571.85044927092</v>
      </c>
      <c r="J38" s="380">
        <f t="shared" si="7"/>
        <v>267124.11441019934</v>
      </c>
      <c r="K38" s="380">
        <f t="shared" si="2"/>
        <v>68447.736039071591</v>
      </c>
      <c r="L38" s="380">
        <f t="shared" si="8"/>
        <v>7199901.6353067011</v>
      </c>
    </row>
    <row r="39" spans="4:12" x14ac:dyDescent="0.3">
      <c r="D39" s="358">
        <f t="shared" si="9"/>
        <v>37</v>
      </c>
      <c r="E39" s="379">
        <f t="shared" si="1"/>
        <v>42353</v>
      </c>
      <c r="F39" s="380">
        <f t="shared" si="3"/>
        <v>7199901.6353067011</v>
      </c>
      <c r="G39" s="380">
        <f t="shared" si="4"/>
        <v>335571.85044927092</v>
      </c>
      <c r="H39" s="380">
        <f t="shared" si="5"/>
        <v>0</v>
      </c>
      <c r="I39" s="380">
        <f t="shared" si="6"/>
        <v>335571.85044927092</v>
      </c>
      <c r="J39" s="380">
        <f t="shared" si="7"/>
        <v>269572.75212562614</v>
      </c>
      <c r="K39" s="380">
        <f t="shared" si="2"/>
        <v>65999.098323644765</v>
      </c>
      <c r="L39" s="380">
        <f t="shared" si="8"/>
        <v>6930328.8831810746</v>
      </c>
    </row>
    <row r="40" spans="4:12" x14ac:dyDescent="0.3">
      <c r="D40" s="358">
        <f t="shared" si="9"/>
        <v>38</v>
      </c>
      <c r="E40" s="379">
        <f t="shared" si="1"/>
        <v>42384</v>
      </c>
      <c r="F40" s="380">
        <f t="shared" si="3"/>
        <v>6930328.8831810746</v>
      </c>
      <c r="G40" s="380">
        <f t="shared" si="4"/>
        <v>335571.85044927092</v>
      </c>
      <c r="H40" s="380">
        <f t="shared" si="5"/>
        <v>0</v>
      </c>
      <c r="I40" s="380">
        <f t="shared" si="6"/>
        <v>335571.85044927092</v>
      </c>
      <c r="J40" s="380">
        <f t="shared" si="7"/>
        <v>272043.83568677772</v>
      </c>
      <c r="K40" s="380">
        <f t="shared" si="2"/>
        <v>63528.014762493185</v>
      </c>
      <c r="L40" s="380">
        <f t="shared" si="8"/>
        <v>6658285.0474942969</v>
      </c>
    </row>
    <row r="41" spans="4:12" x14ac:dyDescent="0.3">
      <c r="D41" s="358">
        <f t="shared" si="9"/>
        <v>39</v>
      </c>
      <c r="E41" s="379">
        <f t="shared" si="1"/>
        <v>42415</v>
      </c>
      <c r="F41" s="380">
        <f t="shared" ref="F41:F50" si="10">IF(D41="","",L40)</f>
        <v>6658285.0474942969</v>
      </c>
      <c r="G41" s="380">
        <f t="shared" ref="G41:G50" si="11">IF(D41="","",IF(E41&gt;DATE(YEAR($B$3)+$B$10,MONTH($B$3),DAY($B$3)),IF(F41&lt;$B$16,F41,$B$16),IF(F41&lt;$B$15,F41,$B$15)))</f>
        <v>335571.85044927092</v>
      </c>
      <c r="H41" s="380">
        <f t="shared" ref="H41:H50" si="12">IF(D41="","",IF(F41&lt;G41,0,$B$12))</f>
        <v>0</v>
      </c>
      <c r="I41" s="380">
        <f t="shared" ref="I41:I50" si="13">IF(D41="","",IF(E41&gt;DATE(YEAR($B$3)+$B$10,MONTH($B$3),DAY($B$3)),IF(F41&lt;$B$16,F41,G41+H41),IF(F41&lt;$B$15,F41,G41+H41)))</f>
        <v>335571.85044927092</v>
      </c>
      <c r="J41" s="380">
        <f t="shared" ref="J41:J50" si="14">IF(D41="","",I41-K41)</f>
        <v>274537.57084723987</v>
      </c>
      <c r="K41" s="380">
        <f t="shared" si="2"/>
        <v>61034.279602031056</v>
      </c>
      <c r="L41" s="380">
        <f t="shared" ref="L41:L50" si="15">IF(D41="","",IF(J41+K41&gt;G41,F41-J41,IF(J41+K41=F41,F41-J41-K41,F41-J41)))</f>
        <v>6383747.4766470566</v>
      </c>
    </row>
    <row r="42" spans="4:12" x14ac:dyDescent="0.3">
      <c r="D42" s="358">
        <f t="shared" si="9"/>
        <v>40</v>
      </c>
      <c r="E42" s="379">
        <f t="shared" si="1"/>
        <v>42444</v>
      </c>
      <c r="F42" s="380">
        <f t="shared" si="10"/>
        <v>6383747.4766470566</v>
      </c>
      <c r="G42" s="380">
        <f t="shared" si="11"/>
        <v>335571.85044927092</v>
      </c>
      <c r="H42" s="380">
        <f t="shared" si="12"/>
        <v>0</v>
      </c>
      <c r="I42" s="380">
        <f t="shared" si="13"/>
        <v>335571.85044927092</v>
      </c>
      <c r="J42" s="380">
        <f t="shared" si="14"/>
        <v>277054.16524667293</v>
      </c>
      <c r="K42" s="380">
        <f t="shared" si="2"/>
        <v>58517.685202598019</v>
      </c>
      <c r="L42" s="380">
        <f t="shared" si="15"/>
        <v>6106693.3114003837</v>
      </c>
    </row>
    <row r="43" spans="4:12" x14ac:dyDescent="0.3">
      <c r="D43" s="358">
        <f t="shared" si="9"/>
        <v>41</v>
      </c>
      <c r="E43" s="379">
        <f t="shared" si="1"/>
        <v>42475</v>
      </c>
      <c r="F43" s="380">
        <f t="shared" si="10"/>
        <v>6106693.3114003837</v>
      </c>
      <c r="G43" s="380">
        <f t="shared" si="11"/>
        <v>335571.85044927092</v>
      </c>
      <c r="H43" s="380">
        <f t="shared" si="12"/>
        <v>0</v>
      </c>
      <c r="I43" s="380">
        <f t="shared" si="13"/>
        <v>335571.85044927092</v>
      </c>
      <c r="J43" s="380">
        <f t="shared" si="14"/>
        <v>279593.82842810074</v>
      </c>
      <c r="K43" s="380">
        <f t="shared" si="2"/>
        <v>55978.022021170182</v>
      </c>
      <c r="L43" s="380">
        <f t="shared" si="15"/>
        <v>5827099.4829722829</v>
      </c>
    </row>
    <row r="44" spans="4:12" x14ac:dyDescent="0.3">
      <c r="D44" s="358">
        <f t="shared" si="9"/>
        <v>42</v>
      </c>
      <c r="E44" s="379">
        <f t="shared" si="1"/>
        <v>42505</v>
      </c>
      <c r="F44" s="380">
        <f t="shared" si="10"/>
        <v>5827099.4829722829</v>
      </c>
      <c r="G44" s="380">
        <f t="shared" si="11"/>
        <v>335571.85044927092</v>
      </c>
      <c r="H44" s="380">
        <f t="shared" si="12"/>
        <v>0</v>
      </c>
      <c r="I44" s="380">
        <f t="shared" si="13"/>
        <v>335571.85044927092</v>
      </c>
      <c r="J44" s="380">
        <f t="shared" si="14"/>
        <v>282156.77185535833</v>
      </c>
      <c r="K44" s="380">
        <f t="shared" si="2"/>
        <v>53415.078593912593</v>
      </c>
      <c r="L44" s="380">
        <f t="shared" si="15"/>
        <v>5544942.7111169249</v>
      </c>
    </row>
    <row r="45" spans="4:12" x14ac:dyDescent="0.3">
      <c r="D45" s="358">
        <f t="shared" si="9"/>
        <v>43</v>
      </c>
      <c r="E45" s="379">
        <f t="shared" si="1"/>
        <v>42536</v>
      </c>
      <c r="F45" s="380">
        <f t="shared" si="10"/>
        <v>5544942.7111169249</v>
      </c>
      <c r="G45" s="380">
        <f t="shared" si="11"/>
        <v>335571.85044927092</v>
      </c>
      <c r="H45" s="380">
        <f t="shared" si="12"/>
        <v>0</v>
      </c>
      <c r="I45" s="380">
        <f t="shared" si="13"/>
        <v>335571.85044927092</v>
      </c>
      <c r="J45" s="380">
        <f t="shared" si="14"/>
        <v>284743.2089306991</v>
      </c>
      <c r="K45" s="380">
        <f t="shared" si="2"/>
        <v>50828.641518571814</v>
      </c>
      <c r="L45" s="380">
        <f t="shared" si="15"/>
        <v>5260199.5021862257</v>
      </c>
    </row>
    <row r="46" spans="4:12" x14ac:dyDescent="0.3">
      <c r="D46" s="358">
        <f t="shared" si="9"/>
        <v>44</v>
      </c>
      <c r="E46" s="379">
        <f t="shared" si="1"/>
        <v>42566</v>
      </c>
      <c r="F46" s="380">
        <f t="shared" si="10"/>
        <v>5260199.5021862257</v>
      </c>
      <c r="G46" s="380">
        <f t="shared" si="11"/>
        <v>335571.85044927092</v>
      </c>
      <c r="H46" s="380">
        <f t="shared" si="12"/>
        <v>0</v>
      </c>
      <c r="I46" s="380">
        <f t="shared" si="13"/>
        <v>335571.85044927092</v>
      </c>
      <c r="J46" s="380">
        <f t="shared" si="14"/>
        <v>287353.35501256387</v>
      </c>
      <c r="K46" s="380">
        <f t="shared" si="2"/>
        <v>48218.495436707068</v>
      </c>
      <c r="L46" s="380">
        <f t="shared" si="15"/>
        <v>4972846.1471736617</v>
      </c>
    </row>
    <row r="47" spans="4:12" x14ac:dyDescent="0.3">
      <c r="D47" s="358">
        <f t="shared" si="9"/>
        <v>45</v>
      </c>
      <c r="E47" s="379">
        <f t="shared" si="1"/>
        <v>42597</v>
      </c>
      <c r="F47" s="380">
        <f t="shared" si="10"/>
        <v>4972846.1471736617</v>
      </c>
      <c r="G47" s="380">
        <f t="shared" si="11"/>
        <v>335571.85044927092</v>
      </c>
      <c r="H47" s="380">
        <f t="shared" si="12"/>
        <v>0</v>
      </c>
      <c r="I47" s="380">
        <f t="shared" si="13"/>
        <v>335571.85044927092</v>
      </c>
      <c r="J47" s="380">
        <f t="shared" si="14"/>
        <v>289987.42743351235</v>
      </c>
      <c r="K47" s="380">
        <f t="shared" si="2"/>
        <v>45584.423015758563</v>
      </c>
      <c r="L47" s="380">
        <f t="shared" si="15"/>
        <v>4682858.7197401496</v>
      </c>
    </row>
    <row r="48" spans="4:12" x14ac:dyDescent="0.3">
      <c r="D48" s="358">
        <f t="shared" si="9"/>
        <v>46</v>
      </c>
      <c r="E48" s="379">
        <f t="shared" si="1"/>
        <v>42628</v>
      </c>
      <c r="F48" s="380">
        <f t="shared" si="10"/>
        <v>4682858.7197401496</v>
      </c>
      <c r="G48" s="380">
        <f t="shared" si="11"/>
        <v>335571.85044927092</v>
      </c>
      <c r="H48" s="380">
        <f t="shared" si="12"/>
        <v>0</v>
      </c>
      <c r="I48" s="380">
        <f t="shared" si="13"/>
        <v>335571.85044927092</v>
      </c>
      <c r="J48" s="380">
        <f t="shared" si="14"/>
        <v>292645.64551831956</v>
      </c>
      <c r="K48" s="380">
        <f t="shared" si="2"/>
        <v>42926.204930951368</v>
      </c>
      <c r="L48" s="380">
        <f t="shared" si="15"/>
        <v>4390213.0742218299</v>
      </c>
    </row>
    <row r="49" spans="4:12" x14ac:dyDescent="0.3">
      <c r="D49" s="358">
        <f t="shared" si="9"/>
        <v>47</v>
      </c>
      <c r="E49" s="379">
        <f t="shared" si="1"/>
        <v>42658</v>
      </c>
      <c r="F49" s="380">
        <f t="shared" si="10"/>
        <v>4390213.0742218299</v>
      </c>
      <c r="G49" s="380">
        <f t="shared" si="11"/>
        <v>335571.85044927092</v>
      </c>
      <c r="H49" s="380">
        <f t="shared" si="12"/>
        <v>0</v>
      </c>
      <c r="I49" s="380">
        <f t="shared" si="13"/>
        <v>335571.85044927092</v>
      </c>
      <c r="J49" s="380">
        <f t="shared" si="14"/>
        <v>295328.23060223745</v>
      </c>
      <c r="K49" s="380">
        <f t="shared" si="2"/>
        <v>40243.619847033442</v>
      </c>
      <c r="L49" s="380">
        <f t="shared" si="15"/>
        <v>4094884.8436195925</v>
      </c>
    </row>
    <row r="50" spans="4:12" x14ac:dyDescent="0.3">
      <c r="D50" s="358">
        <f t="shared" si="9"/>
        <v>48</v>
      </c>
      <c r="E50" s="379">
        <f t="shared" si="1"/>
        <v>42689</v>
      </c>
      <c r="F50" s="380">
        <f t="shared" si="10"/>
        <v>4094884.8436195925</v>
      </c>
      <c r="G50" s="380">
        <f t="shared" si="11"/>
        <v>335571.85044927092</v>
      </c>
      <c r="H50" s="380">
        <f t="shared" si="12"/>
        <v>0</v>
      </c>
      <c r="I50" s="380">
        <f t="shared" si="13"/>
        <v>335571.85044927092</v>
      </c>
      <c r="J50" s="380">
        <f t="shared" si="14"/>
        <v>298035.40604942467</v>
      </c>
      <c r="K50" s="380">
        <f t="shared" si="2"/>
        <v>37536.444399846267</v>
      </c>
      <c r="L50" s="380">
        <f t="shared" si="15"/>
        <v>3796849.4375701677</v>
      </c>
    </row>
    <row r="51" spans="4:12" x14ac:dyDescent="0.3">
      <c r="D51" s="358">
        <f t="shared" ref="D51:D57" si="16">IF($L50&lt;=0.01,"",IF(L50="","",IF(L50&gt;0,(D50+1),"")))</f>
        <v>49</v>
      </c>
      <c r="E51" s="379">
        <f t="shared" ref="E51:E57" si="17">IF(D51="","",DATE(YEAR($B$3),MONTH($B$3)+($D51)*12/$B$11,DAY($B$3)))</f>
        <v>42719</v>
      </c>
      <c r="F51" s="380">
        <f t="shared" ref="F51:F56" si="18">IF(D51="","",L50)</f>
        <v>3796849.4375701677</v>
      </c>
      <c r="G51" s="380">
        <f t="shared" ref="G51:G56" si="19">IF(D51="","",IF(E51&gt;DATE(YEAR($B$3)+$B$10,MONTH($B$3),DAY($B$3)),IF(F51&lt;$B$16,F51,$B$16),IF(F51&lt;$B$15,F51,$B$15)))</f>
        <v>335571.85044927092</v>
      </c>
      <c r="H51" s="380">
        <f t="shared" ref="H51:H56" si="20">IF(D51="","",IF(F51&lt;G51,0,$B$12))</f>
        <v>0</v>
      </c>
      <c r="I51" s="380">
        <f t="shared" ref="I51:I56" si="21">IF(D51="","",IF(E51&gt;DATE(YEAR($B$3)+$B$10,MONTH($B$3),DAY($B$3)),IF(F51&lt;$B$16,F51,G51+H51),IF(F51&lt;$B$15,F51,G51+H51)))</f>
        <v>335571.85044927092</v>
      </c>
      <c r="J51" s="380">
        <f t="shared" ref="J51:J56" si="22">IF(D51="","",I51-K51)</f>
        <v>300767.39727154438</v>
      </c>
      <c r="K51" s="380">
        <f t="shared" ref="K51:K57" si="23">IF(D51="","",$F51*($B$8/$B$11))</f>
        <v>34804.453177726537</v>
      </c>
      <c r="L51" s="380">
        <f t="shared" ref="L51:L56" si="24">IF(D51="","",IF(J51+K51&gt;G51,F51-J51,IF(J51+K51=F51,F51-J51-K51,F51-J51)))</f>
        <v>3496082.0402986235</v>
      </c>
    </row>
    <row r="52" spans="4:12" x14ac:dyDescent="0.3">
      <c r="D52" s="358">
        <f t="shared" si="16"/>
        <v>50</v>
      </c>
      <c r="E52" s="379">
        <f t="shared" si="17"/>
        <v>42750</v>
      </c>
      <c r="F52" s="380">
        <f t="shared" si="18"/>
        <v>3496082.0402986235</v>
      </c>
      <c r="G52" s="380">
        <f t="shared" si="19"/>
        <v>335571.85044927092</v>
      </c>
      <c r="H52" s="380">
        <f t="shared" si="20"/>
        <v>0</v>
      </c>
      <c r="I52" s="380">
        <f t="shared" si="21"/>
        <v>335571.85044927092</v>
      </c>
      <c r="J52" s="380">
        <f t="shared" si="22"/>
        <v>303524.43174653355</v>
      </c>
      <c r="K52" s="380">
        <f t="shared" si="23"/>
        <v>32047.418702737381</v>
      </c>
      <c r="L52" s="380">
        <f t="shared" si="24"/>
        <v>3192557.6085520899</v>
      </c>
    </row>
    <row r="53" spans="4:12" x14ac:dyDescent="0.3">
      <c r="D53" s="358">
        <f t="shared" si="16"/>
        <v>51</v>
      </c>
      <c r="E53" s="379">
        <f t="shared" si="17"/>
        <v>42781</v>
      </c>
      <c r="F53" s="380">
        <f t="shared" si="18"/>
        <v>3192557.6085520899</v>
      </c>
      <c r="G53" s="380">
        <f t="shared" si="19"/>
        <v>335571.85044927092</v>
      </c>
      <c r="H53" s="380">
        <f t="shared" si="20"/>
        <v>0</v>
      </c>
      <c r="I53" s="380">
        <f t="shared" si="21"/>
        <v>335571.85044927092</v>
      </c>
      <c r="J53" s="380">
        <f t="shared" si="22"/>
        <v>306306.73903754342</v>
      </c>
      <c r="K53" s="380">
        <f t="shared" si="23"/>
        <v>29265.111411727492</v>
      </c>
      <c r="L53" s="380">
        <f t="shared" si="24"/>
        <v>2886250.8695145464</v>
      </c>
    </row>
    <row r="54" spans="4:12" x14ac:dyDescent="0.3">
      <c r="D54" s="358">
        <f t="shared" si="16"/>
        <v>52</v>
      </c>
      <c r="E54" s="379">
        <f t="shared" si="17"/>
        <v>42809</v>
      </c>
      <c r="F54" s="380">
        <f t="shared" si="18"/>
        <v>2886250.8695145464</v>
      </c>
      <c r="G54" s="380">
        <f t="shared" si="19"/>
        <v>335571.85044927092</v>
      </c>
      <c r="H54" s="380">
        <f t="shared" si="20"/>
        <v>0</v>
      </c>
      <c r="I54" s="380">
        <f t="shared" si="21"/>
        <v>335571.85044927092</v>
      </c>
      <c r="J54" s="380">
        <f t="shared" si="22"/>
        <v>309114.55081205425</v>
      </c>
      <c r="K54" s="380">
        <f t="shared" si="23"/>
        <v>26457.299637216674</v>
      </c>
      <c r="L54" s="380">
        <f t="shared" si="24"/>
        <v>2577136.3187024919</v>
      </c>
    </row>
    <row r="55" spans="4:12" x14ac:dyDescent="0.3">
      <c r="D55" s="358">
        <f t="shared" si="16"/>
        <v>53</v>
      </c>
      <c r="E55" s="379">
        <f t="shared" si="17"/>
        <v>42840</v>
      </c>
      <c r="F55" s="380">
        <f t="shared" si="18"/>
        <v>2577136.3187024919</v>
      </c>
      <c r="G55" s="380">
        <f t="shared" si="19"/>
        <v>335571.85044927092</v>
      </c>
      <c r="H55" s="380">
        <f t="shared" si="20"/>
        <v>0</v>
      </c>
      <c r="I55" s="380">
        <f t="shared" si="21"/>
        <v>335571.85044927092</v>
      </c>
      <c r="J55" s="380">
        <f t="shared" si="22"/>
        <v>311948.10086116474</v>
      </c>
      <c r="K55" s="380">
        <f t="shared" si="23"/>
        <v>23623.749588106177</v>
      </c>
      <c r="L55" s="380">
        <f t="shared" si="24"/>
        <v>2265188.2178413272</v>
      </c>
    </row>
    <row r="56" spans="4:12" x14ac:dyDescent="0.3">
      <c r="D56" s="358">
        <f t="shared" si="16"/>
        <v>54</v>
      </c>
      <c r="E56" s="379">
        <f t="shared" si="17"/>
        <v>42870</v>
      </c>
      <c r="F56" s="380">
        <f t="shared" si="18"/>
        <v>2265188.2178413272</v>
      </c>
      <c r="G56" s="380">
        <f t="shared" si="19"/>
        <v>335571.85044927092</v>
      </c>
      <c r="H56" s="380">
        <f t="shared" si="20"/>
        <v>0</v>
      </c>
      <c r="I56" s="380">
        <f t="shared" si="21"/>
        <v>335571.85044927092</v>
      </c>
      <c r="J56" s="380">
        <f t="shared" si="22"/>
        <v>314807.62511905876</v>
      </c>
      <c r="K56" s="380">
        <f t="shared" si="23"/>
        <v>20764.225330212164</v>
      </c>
      <c r="L56" s="380">
        <f t="shared" si="24"/>
        <v>1950380.5927222683</v>
      </c>
    </row>
    <row r="57" spans="4:12" x14ac:dyDescent="0.3">
      <c r="D57" s="358">
        <f t="shared" si="16"/>
        <v>55</v>
      </c>
      <c r="E57" s="379">
        <f t="shared" si="17"/>
        <v>42901</v>
      </c>
      <c r="F57" s="380">
        <f t="shared" ref="F57:F65" si="25">IF(D57="","",L56)</f>
        <v>1950380.5927222683</v>
      </c>
      <c r="G57" s="380">
        <f t="shared" ref="G57:G65" si="26">IF(D57="","",IF(E57&gt;DATE(YEAR($B$3)+$B$10,MONTH($B$3),DAY($B$3)),IF(F57&lt;$B$16,F57,$B$16),IF(F57&lt;$B$15,F57,$B$15)))</f>
        <v>335571.85044927092</v>
      </c>
      <c r="H57" s="380">
        <f t="shared" ref="H57:H65" si="27">IF(D57="","",IF(F57&lt;G57,0,$B$12))</f>
        <v>0</v>
      </c>
      <c r="I57" s="380">
        <f t="shared" ref="I57:I65" si="28">IF(D57="","",IF(E57&gt;DATE(YEAR($B$3)+$B$10,MONTH($B$3),DAY($B$3)),IF(F57&lt;$B$16,F57,G57+H57),IF(F57&lt;$B$15,F57,G57+H57)))</f>
        <v>335571.85044927092</v>
      </c>
      <c r="J57" s="380">
        <f t="shared" ref="J57:J65" si="29">IF(D57="","",I57-K57)</f>
        <v>317693.36168265011</v>
      </c>
      <c r="K57" s="380">
        <f t="shared" si="23"/>
        <v>17878.488766620794</v>
      </c>
      <c r="L57" s="380">
        <f t="shared" ref="L57:L65" si="30">IF(D57="","",IF(J57+K57&gt;G57,F57-J57,IF(J57+K57=F57,F57-J57-K57,F57-J57)))</f>
        <v>1632687.2310396181</v>
      </c>
    </row>
    <row r="58" spans="4:12" x14ac:dyDescent="0.3">
      <c r="D58" s="358">
        <f t="shared" si="9"/>
        <v>56</v>
      </c>
      <c r="E58" s="379">
        <f t="shared" ref="E58:E72" si="31">IF(D58="","",DATE(YEAR($B$3),MONTH($B$3)+($D58)*12/$B$11,DAY($B$3)))</f>
        <v>42931</v>
      </c>
      <c r="F58" s="380">
        <f t="shared" si="25"/>
        <v>1632687.2310396181</v>
      </c>
      <c r="G58" s="380">
        <f t="shared" si="26"/>
        <v>335571.85044927092</v>
      </c>
      <c r="H58" s="380">
        <f t="shared" si="27"/>
        <v>0</v>
      </c>
      <c r="I58" s="380">
        <f t="shared" si="28"/>
        <v>335571.85044927092</v>
      </c>
      <c r="J58" s="380">
        <f t="shared" si="29"/>
        <v>320605.55083140777</v>
      </c>
      <c r="K58" s="380">
        <f t="shared" ref="K58:K72" si="32">IF(D58="","",$F58*($B$8/$B$11))</f>
        <v>14966.299617863166</v>
      </c>
      <c r="L58" s="380">
        <f t="shared" si="30"/>
        <v>1312081.6802082104</v>
      </c>
    </row>
    <row r="59" spans="4:12" x14ac:dyDescent="0.3">
      <c r="D59" s="358">
        <f t="shared" si="9"/>
        <v>57</v>
      </c>
      <c r="E59" s="379">
        <f t="shared" si="31"/>
        <v>42962</v>
      </c>
      <c r="F59" s="380">
        <f t="shared" si="25"/>
        <v>1312081.6802082104</v>
      </c>
      <c r="G59" s="380">
        <f t="shared" si="26"/>
        <v>335571.85044927092</v>
      </c>
      <c r="H59" s="380">
        <f t="shared" si="27"/>
        <v>0</v>
      </c>
      <c r="I59" s="380">
        <f t="shared" si="28"/>
        <v>335571.85044927092</v>
      </c>
      <c r="J59" s="380">
        <f t="shared" si="29"/>
        <v>323544.43504736235</v>
      </c>
      <c r="K59" s="380">
        <f t="shared" si="32"/>
        <v>12027.415401908595</v>
      </c>
      <c r="L59" s="380">
        <f t="shared" si="30"/>
        <v>988537.24516084802</v>
      </c>
    </row>
    <row r="60" spans="4:12" x14ac:dyDescent="0.3">
      <c r="D60" s="358">
        <f t="shared" si="9"/>
        <v>58</v>
      </c>
      <c r="E60" s="379">
        <f t="shared" si="31"/>
        <v>42993</v>
      </c>
      <c r="F60" s="380">
        <f t="shared" si="25"/>
        <v>988537.24516084802</v>
      </c>
      <c r="G60" s="380">
        <f t="shared" si="26"/>
        <v>335571.85044927092</v>
      </c>
      <c r="H60" s="380">
        <f t="shared" si="27"/>
        <v>0</v>
      </c>
      <c r="I60" s="380">
        <f t="shared" si="28"/>
        <v>335571.85044927092</v>
      </c>
      <c r="J60" s="380">
        <f t="shared" si="29"/>
        <v>326510.25903529651</v>
      </c>
      <c r="K60" s="380">
        <f t="shared" si="32"/>
        <v>9061.59141397444</v>
      </c>
      <c r="L60" s="380">
        <f t="shared" si="30"/>
        <v>662026.98612555151</v>
      </c>
    </row>
    <row r="61" spans="4:12" x14ac:dyDescent="0.3">
      <c r="D61" s="358">
        <f t="shared" si="9"/>
        <v>59</v>
      </c>
      <c r="E61" s="379">
        <f t="shared" si="31"/>
        <v>43023</v>
      </c>
      <c r="F61" s="380">
        <f t="shared" si="25"/>
        <v>662026.98612555151</v>
      </c>
      <c r="G61" s="380">
        <f t="shared" si="26"/>
        <v>335571.85044927092</v>
      </c>
      <c r="H61" s="380">
        <f t="shared" si="27"/>
        <v>0</v>
      </c>
      <c r="I61" s="380">
        <f t="shared" si="28"/>
        <v>335571.85044927092</v>
      </c>
      <c r="J61" s="380">
        <f t="shared" si="29"/>
        <v>329503.26974312001</v>
      </c>
      <c r="K61" s="380">
        <f t="shared" si="32"/>
        <v>6068.5807061508885</v>
      </c>
      <c r="L61" s="380">
        <f t="shared" si="30"/>
        <v>332523.71638243151</v>
      </c>
    </row>
    <row r="62" spans="4:12" x14ac:dyDescent="0.3">
      <c r="D62" s="358">
        <f t="shared" si="9"/>
        <v>60</v>
      </c>
      <c r="E62" s="379">
        <f t="shared" si="31"/>
        <v>43054</v>
      </c>
      <c r="F62" s="380">
        <f t="shared" si="25"/>
        <v>332523.71638243151</v>
      </c>
      <c r="G62" s="380">
        <f t="shared" si="26"/>
        <v>332523.71638243151</v>
      </c>
      <c r="H62" s="380">
        <f t="shared" si="27"/>
        <v>0</v>
      </c>
      <c r="I62" s="380">
        <f t="shared" si="28"/>
        <v>332523.71638243151</v>
      </c>
      <c r="J62" s="380">
        <f t="shared" si="29"/>
        <v>329475.58231559256</v>
      </c>
      <c r="K62" s="380">
        <f t="shared" si="32"/>
        <v>3048.1340668389553</v>
      </c>
      <c r="L62" s="380">
        <f t="shared" si="30"/>
        <v>-9.5496943686157465E-12</v>
      </c>
    </row>
    <row r="63" spans="4:12" x14ac:dyDescent="0.3">
      <c r="D63" s="358" t="str">
        <f t="shared" si="9"/>
        <v/>
      </c>
      <c r="E63" s="379" t="str">
        <f t="shared" si="31"/>
        <v/>
      </c>
      <c r="F63" s="380" t="str">
        <f t="shared" si="25"/>
        <v/>
      </c>
      <c r="G63" s="380" t="str">
        <f t="shared" si="26"/>
        <v/>
      </c>
      <c r="H63" s="380" t="str">
        <f t="shared" si="27"/>
        <v/>
      </c>
      <c r="I63" s="380" t="str">
        <f t="shared" si="28"/>
        <v/>
      </c>
      <c r="J63" s="380" t="str">
        <f t="shared" si="29"/>
        <v/>
      </c>
      <c r="K63" s="380" t="str">
        <f t="shared" si="32"/>
        <v/>
      </c>
      <c r="L63" s="380" t="str">
        <f t="shared" si="30"/>
        <v/>
      </c>
    </row>
    <row r="64" spans="4:12" x14ac:dyDescent="0.3">
      <c r="D64" s="358" t="str">
        <f t="shared" si="9"/>
        <v/>
      </c>
      <c r="E64" s="379" t="str">
        <f t="shared" si="31"/>
        <v/>
      </c>
      <c r="F64" s="380" t="str">
        <f t="shared" si="25"/>
        <v/>
      </c>
      <c r="G64" s="380" t="str">
        <f t="shared" si="26"/>
        <v/>
      </c>
      <c r="H64" s="380" t="str">
        <f t="shared" si="27"/>
        <v/>
      </c>
      <c r="I64" s="380" t="str">
        <f t="shared" si="28"/>
        <v/>
      </c>
      <c r="J64" s="380" t="str">
        <f t="shared" si="29"/>
        <v/>
      </c>
      <c r="K64" s="380" t="str">
        <f t="shared" si="32"/>
        <v/>
      </c>
      <c r="L64" s="380" t="str">
        <f t="shared" si="30"/>
        <v/>
      </c>
    </row>
    <row r="65" spans="4:12" x14ac:dyDescent="0.3">
      <c r="D65" s="358" t="str">
        <f t="shared" si="9"/>
        <v/>
      </c>
      <c r="E65" s="379" t="str">
        <f t="shared" si="31"/>
        <v/>
      </c>
      <c r="F65" s="380" t="str">
        <f t="shared" si="25"/>
        <v/>
      </c>
      <c r="G65" s="380" t="str">
        <f t="shared" si="26"/>
        <v/>
      </c>
      <c r="H65" s="380" t="str">
        <f t="shared" si="27"/>
        <v/>
      </c>
      <c r="I65" s="380" t="str">
        <f t="shared" si="28"/>
        <v/>
      </c>
      <c r="J65" s="380" t="str">
        <f t="shared" si="29"/>
        <v/>
      </c>
      <c r="K65" s="380" t="str">
        <f t="shared" si="32"/>
        <v/>
      </c>
      <c r="L65" s="380" t="str">
        <f t="shared" si="30"/>
        <v/>
      </c>
    </row>
    <row r="66" spans="4:12" x14ac:dyDescent="0.3">
      <c r="D66" s="358" t="str">
        <f t="shared" si="9"/>
        <v/>
      </c>
      <c r="E66" s="379" t="str">
        <f t="shared" si="31"/>
        <v/>
      </c>
      <c r="F66" s="380" t="str">
        <f t="shared" ref="F66:F71" si="33">IF(D66="","",L65)</f>
        <v/>
      </c>
      <c r="G66" s="380" t="str">
        <f t="shared" ref="G66:G71" si="34">IF(D66="","",IF(E66&gt;DATE(YEAR($B$3)+$B$10,MONTH($B$3),DAY($B$3)),IF(F66&lt;$B$16,F66,$B$16),IF(F66&lt;$B$15,F66,$B$15)))</f>
        <v/>
      </c>
      <c r="H66" s="380" t="str">
        <f t="shared" ref="H66:H71" si="35">IF(D66="","",IF(F66&lt;G66,0,$B$12))</f>
        <v/>
      </c>
      <c r="I66" s="380" t="str">
        <f t="shared" ref="I66:I71" si="36">IF(D66="","",IF(E66&gt;DATE(YEAR($B$3)+$B$10,MONTH($B$3),DAY($B$3)),IF(F66&lt;$B$16,F66,G66+H66),IF(F66&lt;$B$15,F66,G66+H66)))</f>
        <v/>
      </c>
      <c r="J66" s="380" t="str">
        <f t="shared" ref="J66:J71" si="37">IF(D66="","",I66-K66)</f>
        <v/>
      </c>
      <c r="K66" s="380" t="str">
        <f t="shared" si="32"/>
        <v/>
      </c>
      <c r="L66" s="380" t="str">
        <f t="shared" ref="L66:L71" si="38">IF(D66="","",IF(J66+K66&gt;G66,F66-J66,IF(J66+K66=F66,F66-J66-K66,F66-J66)))</f>
        <v/>
      </c>
    </row>
    <row r="67" spans="4:12" x14ac:dyDescent="0.3">
      <c r="D67" s="358" t="str">
        <f t="shared" si="9"/>
        <v/>
      </c>
      <c r="E67" s="379" t="str">
        <f t="shared" si="31"/>
        <v/>
      </c>
      <c r="F67" s="380" t="str">
        <f t="shared" si="33"/>
        <v/>
      </c>
      <c r="G67" s="380" t="str">
        <f t="shared" si="34"/>
        <v/>
      </c>
      <c r="H67" s="380" t="str">
        <f t="shared" si="35"/>
        <v/>
      </c>
      <c r="I67" s="380" t="str">
        <f t="shared" si="36"/>
        <v/>
      </c>
      <c r="J67" s="380" t="str">
        <f t="shared" si="37"/>
        <v/>
      </c>
      <c r="K67" s="380" t="str">
        <f t="shared" si="32"/>
        <v/>
      </c>
      <c r="L67" s="380" t="str">
        <f t="shared" si="38"/>
        <v/>
      </c>
    </row>
    <row r="68" spans="4:12" x14ac:dyDescent="0.3">
      <c r="D68" s="358" t="str">
        <f t="shared" si="9"/>
        <v/>
      </c>
      <c r="E68" s="379" t="str">
        <f t="shared" si="31"/>
        <v/>
      </c>
      <c r="F68" s="380" t="str">
        <f t="shared" si="33"/>
        <v/>
      </c>
      <c r="G68" s="380" t="str">
        <f t="shared" si="34"/>
        <v/>
      </c>
      <c r="H68" s="380" t="str">
        <f t="shared" si="35"/>
        <v/>
      </c>
      <c r="I68" s="380" t="str">
        <f t="shared" si="36"/>
        <v/>
      </c>
      <c r="J68" s="380" t="str">
        <f t="shared" si="37"/>
        <v/>
      </c>
      <c r="K68" s="380" t="str">
        <f t="shared" si="32"/>
        <v/>
      </c>
      <c r="L68" s="380" t="str">
        <f t="shared" si="38"/>
        <v/>
      </c>
    </row>
    <row r="69" spans="4:12" x14ac:dyDescent="0.3">
      <c r="D69" s="358" t="str">
        <f t="shared" si="9"/>
        <v/>
      </c>
      <c r="E69" s="379" t="str">
        <f t="shared" si="31"/>
        <v/>
      </c>
      <c r="F69" s="380" t="str">
        <f t="shared" si="33"/>
        <v/>
      </c>
      <c r="G69" s="380" t="str">
        <f t="shared" si="34"/>
        <v/>
      </c>
      <c r="H69" s="380" t="str">
        <f t="shared" si="35"/>
        <v/>
      </c>
      <c r="I69" s="380" t="str">
        <f t="shared" si="36"/>
        <v/>
      </c>
      <c r="J69" s="380" t="str">
        <f t="shared" si="37"/>
        <v/>
      </c>
      <c r="K69" s="380" t="str">
        <f t="shared" si="32"/>
        <v/>
      </c>
      <c r="L69" s="380" t="str">
        <f t="shared" si="38"/>
        <v/>
      </c>
    </row>
    <row r="70" spans="4:12" x14ac:dyDescent="0.3">
      <c r="D70" s="358" t="str">
        <f t="shared" si="9"/>
        <v/>
      </c>
      <c r="E70" s="379" t="str">
        <f t="shared" si="31"/>
        <v/>
      </c>
      <c r="F70" s="380" t="str">
        <f t="shared" si="33"/>
        <v/>
      </c>
      <c r="G70" s="380" t="str">
        <f t="shared" si="34"/>
        <v/>
      </c>
      <c r="H70" s="380" t="str">
        <f t="shared" si="35"/>
        <v/>
      </c>
      <c r="I70" s="380" t="str">
        <f t="shared" si="36"/>
        <v/>
      </c>
      <c r="J70" s="380" t="str">
        <f t="shared" si="37"/>
        <v/>
      </c>
      <c r="K70" s="380" t="str">
        <f t="shared" si="32"/>
        <v/>
      </c>
      <c r="L70" s="380" t="str">
        <f t="shared" si="38"/>
        <v/>
      </c>
    </row>
    <row r="71" spans="4:12" x14ac:dyDescent="0.3">
      <c r="D71" s="358" t="str">
        <f t="shared" si="9"/>
        <v/>
      </c>
      <c r="E71" s="379" t="str">
        <f t="shared" si="31"/>
        <v/>
      </c>
      <c r="F71" s="380" t="str">
        <f t="shared" si="33"/>
        <v/>
      </c>
      <c r="G71" s="380" t="str">
        <f t="shared" si="34"/>
        <v/>
      </c>
      <c r="H71" s="380" t="str">
        <f t="shared" si="35"/>
        <v/>
      </c>
      <c r="I71" s="380" t="str">
        <f t="shared" si="36"/>
        <v/>
      </c>
      <c r="J71" s="380" t="str">
        <f t="shared" si="37"/>
        <v/>
      </c>
      <c r="K71" s="380" t="str">
        <f t="shared" si="32"/>
        <v/>
      </c>
      <c r="L71" s="380" t="str">
        <f t="shared" si="38"/>
        <v/>
      </c>
    </row>
    <row r="72" spans="4:12" x14ac:dyDescent="0.3">
      <c r="D72" s="358" t="str">
        <f t="shared" si="9"/>
        <v/>
      </c>
      <c r="E72" s="379" t="str">
        <f t="shared" si="31"/>
        <v/>
      </c>
      <c r="F72" s="380" t="str">
        <f t="shared" ref="F72:F79" si="39">IF(D72="","",L71)</f>
        <v/>
      </c>
      <c r="G72" s="380" t="str">
        <f t="shared" ref="G72:G79" si="40">IF(D72="","",IF(E72&gt;DATE(YEAR($B$3)+$B$10,MONTH($B$3),DAY($B$3)),IF(F72&lt;$B$16,F72,$B$16),IF(F72&lt;$B$15,F72,$B$15)))</f>
        <v/>
      </c>
      <c r="H72" s="380" t="str">
        <f t="shared" ref="H72:H79" si="41">IF(D72="","",IF(F72&lt;G72,0,$B$12))</f>
        <v/>
      </c>
      <c r="I72" s="380" t="str">
        <f t="shared" ref="I72:I79" si="42">IF(D72="","",IF(E72&gt;DATE(YEAR($B$3)+$B$10,MONTH($B$3),DAY($B$3)),IF(F72&lt;$B$16,F72,G72+H72),IF(F72&lt;$B$15,F72,G72+H72)))</f>
        <v/>
      </c>
      <c r="J72" s="380" t="str">
        <f t="shared" ref="J72:J79" si="43">IF(D72="","",I72-K72)</f>
        <v/>
      </c>
      <c r="K72" s="380" t="str">
        <f t="shared" si="32"/>
        <v/>
      </c>
      <c r="L72" s="380" t="str">
        <f t="shared" ref="L72:L79" si="44">IF(D72="","",IF(J72+K72&gt;G72,F72-J72,IF(J72+K72=F72,F72-J72-K72,F72-J72)))</f>
        <v/>
      </c>
    </row>
    <row r="73" spans="4:12" x14ac:dyDescent="0.3">
      <c r="E73" s="379" t="str">
        <f t="shared" ref="E73:E79" si="45">IF(D73="","",DATE(YEAR($B$3),MONTH($B$3)+($D73)*12/$B$11,DAY($B$3)))</f>
        <v/>
      </c>
      <c r="F73" s="380" t="str">
        <f t="shared" si="39"/>
        <v/>
      </c>
      <c r="G73" s="380" t="str">
        <f t="shared" si="40"/>
        <v/>
      </c>
      <c r="H73" s="380" t="str">
        <f t="shared" si="41"/>
        <v/>
      </c>
      <c r="I73" s="380" t="str">
        <f t="shared" si="42"/>
        <v/>
      </c>
      <c r="J73" s="380" t="str">
        <f t="shared" si="43"/>
        <v/>
      </c>
      <c r="K73" s="380" t="str">
        <f t="shared" ref="K73:K79" si="46">IF(D73="","",$F73*($B$8/$B$11))</f>
        <v/>
      </c>
      <c r="L73" s="380" t="str">
        <f t="shared" si="44"/>
        <v/>
      </c>
    </row>
    <row r="74" spans="4:12" x14ac:dyDescent="0.3">
      <c r="E74" s="379" t="str">
        <f t="shared" si="45"/>
        <v/>
      </c>
      <c r="F74" s="380" t="str">
        <f t="shared" si="39"/>
        <v/>
      </c>
      <c r="G74" s="380" t="str">
        <f t="shared" si="40"/>
        <v/>
      </c>
      <c r="H74" s="380" t="str">
        <f t="shared" si="41"/>
        <v/>
      </c>
      <c r="I74" s="380" t="str">
        <f t="shared" si="42"/>
        <v/>
      </c>
      <c r="J74" s="380" t="str">
        <f t="shared" si="43"/>
        <v/>
      </c>
      <c r="K74" s="380" t="str">
        <f t="shared" si="46"/>
        <v/>
      </c>
      <c r="L74" s="380" t="str">
        <f t="shared" si="44"/>
        <v/>
      </c>
    </row>
    <row r="75" spans="4:12" x14ac:dyDescent="0.3">
      <c r="E75" s="379" t="str">
        <f t="shared" si="45"/>
        <v/>
      </c>
      <c r="F75" s="380" t="str">
        <f t="shared" si="39"/>
        <v/>
      </c>
      <c r="G75" s="380" t="str">
        <f t="shared" si="40"/>
        <v/>
      </c>
      <c r="H75" s="380" t="str">
        <f t="shared" si="41"/>
        <v/>
      </c>
      <c r="I75" s="380" t="str">
        <f t="shared" si="42"/>
        <v/>
      </c>
      <c r="J75" s="380" t="str">
        <f t="shared" si="43"/>
        <v/>
      </c>
      <c r="K75" s="380" t="str">
        <f t="shared" si="46"/>
        <v/>
      </c>
      <c r="L75" s="380" t="str">
        <f t="shared" si="44"/>
        <v/>
      </c>
    </row>
    <row r="76" spans="4:12" x14ac:dyDescent="0.3">
      <c r="E76" s="379" t="str">
        <f t="shared" si="45"/>
        <v/>
      </c>
      <c r="F76" s="380" t="str">
        <f t="shared" si="39"/>
        <v/>
      </c>
      <c r="G76" s="380" t="str">
        <f t="shared" si="40"/>
        <v/>
      </c>
      <c r="H76" s="380" t="str">
        <f t="shared" si="41"/>
        <v/>
      </c>
      <c r="I76" s="380" t="str">
        <f t="shared" si="42"/>
        <v/>
      </c>
      <c r="J76" s="380" t="str">
        <f t="shared" si="43"/>
        <v/>
      </c>
      <c r="K76" s="380" t="str">
        <f t="shared" si="46"/>
        <v/>
      </c>
      <c r="L76" s="380" t="str">
        <f t="shared" si="44"/>
        <v/>
      </c>
    </row>
    <row r="77" spans="4:12" x14ac:dyDescent="0.3">
      <c r="E77" s="379" t="str">
        <f t="shared" si="45"/>
        <v/>
      </c>
      <c r="F77" s="380" t="str">
        <f t="shared" si="39"/>
        <v/>
      </c>
      <c r="G77" s="380" t="str">
        <f t="shared" si="40"/>
        <v/>
      </c>
      <c r="H77" s="380" t="str">
        <f t="shared" si="41"/>
        <v/>
      </c>
      <c r="I77" s="380" t="str">
        <f t="shared" si="42"/>
        <v/>
      </c>
      <c r="J77" s="380" t="str">
        <f t="shared" si="43"/>
        <v/>
      </c>
      <c r="K77" s="380" t="str">
        <f t="shared" si="46"/>
        <v/>
      </c>
      <c r="L77" s="380" t="str">
        <f t="shared" si="44"/>
        <v/>
      </c>
    </row>
    <row r="78" spans="4:12" x14ac:dyDescent="0.3">
      <c r="E78" s="379" t="str">
        <f t="shared" si="45"/>
        <v/>
      </c>
      <c r="F78" s="380" t="str">
        <f t="shared" si="39"/>
        <v/>
      </c>
      <c r="G78" s="380" t="str">
        <f t="shared" si="40"/>
        <v/>
      </c>
      <c r="H78" s="380" t="str">
        <f t="shared" si="41"/>
        <v/>
      </c>
      <c r="I78" s="380" t="str">
        <f t="shared" si="42"/>
        <v/>
      </c>
      <c r="J78" s="380" t="str">
        <f t="shared" si="43"/>
        <v/>
      </c>
      <c r="K78" s="380" t="str">
        <f t="shared" si="46"/>
        <v/>
      </c>
      <c r="L78" s="380" t="str">
        <f t="shared" si="44"/>
        <v/>
      </c>
    </row>
    <row r="79" spans="4:12" x14ac:dyDescent="0.3">
      <c r="E79" s="379" t="str">
        <f t="shared" si="45"/>
        <v/>
      </c>
      <c r="F79" s="380" t="str">
        <f t="shared" si="39"/>
        <v/>
      </c>
      <c r="G79" s="380" t="str">
        <f t="shared" si="40"/>
        <v/>
      </c>
      <c r="H79" s="380" t="str">
        <f t="shared" si="41"/>
        <v/>
      </c>
      <c r="I79" s="380" t="str">
        <f t="shared" si="42"/>
        <v/>
      </c>
      <c r="J79" s="380" t="str">
        <f t="shared" si="43"/>
        <v/>
      </c>
      <c r="K79" s="380" t="str">
        <f t="shared" si="46"/>
        <v/>
      </c>
      <c r="L79" s="380" t="str">
        <f t="shared" si="44"/>
        <v/>
      </c>
    </row>
  </sheetData>
  <protectedRanges>
    <protectedRange password="C269" sqref="B2" name="Inputs_2"/>
  </protectedRanges>
  <mergeCells count="1">
    <mergeCell ref="D1:L1"/>
  </mergeCells>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K72"/>
  <sheetViews>
    <sheetView zoomScale="90" zoomScaleNormal="90" workbookViewId="0">
      <selection activeCell="I37" sqref="I37"/>
    </sheetView>
  </sheetViews>
  <sheetFormatPr defaultColWidth="9.1796875" defaultRowHeight="12" x14ac:dyDescent="0.3"/>
  <cols>
    <col min="1" max="1" width="56.453125" style="358" customWidth="1"/>
    <col min="2" max="2" width="12.81640625" style="358" customWidth="1"/>
    <col min="3" max="3" width="3.453125" style="358" customWidth="1"/>
    <col min="4" max="4" width="7.54296875" style="358" bestFit="1" customWidth="1"/>
    <col min="5" max="5" width="11.7265625" style="358" customWidth="1"/>
    <col min="6" max="6" width="14.1796875" style="358" customWidth="1"/>
    <col min="7" max="7" width="13.1796875" style="358" customWidth="1"/>
    <col min="8" max="8" width="9.81640625" style="358" customWidth="1"/>
    <col min="9" max="9" width="12.7265625" style="358" customWidth="1"/>
    <col min="10" max="10" width="12.54296875" style="358" bestFit="1" customWidth="1"/>
    <col min="11" max="11" width="11.54296875" style="358" bestFit="1" customWidth="1"/>
    <col min="12" max="12" width="13.453125" style="358" customWidth="1"/>
    <col min="13" max="16" width="9.1796875" style="358"/>
    <col min="17" max="17" width="13.54296875" style="358" customWidth="1"/>
    <col min="18" max="18" width="10.7265625" style="358" bestFit="1" customWidth="1"/>
    <col min="19" max="16384" width="9.1796875" style="358"/>
  </cols>
  <sheetData>
    <row r="1" spans="1:37" ht="20.25" customHeight="1" x14ac:dyDescent="0.3">
      <c r="A1" s="375"/>
      <c r="B1" s="375"/>
      <c r="C1" s="376"/>
      <c r="D1" s="1264" t="s">
        <v>413</v>
      </c>
      <c r="E1" s="1264"/>
      <c r="F1" s="1264"/>
      <c r="G1" s="1264"/>
      <c r="H1" s="1264"/>
      <c r="I1" s="1264"/>
      <c r="J1" s="1264"/>
      <c r="K1" s="1264"/>
      <c r="L1" s="1264"/>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row>
    <row r="2" spans="1:37" ht="24" x14ac:dyDescent="0.3">
      <c r="A2" s="375"/>
      <c r="B2" s="375"/>
      <c r="C2" s="377"/>
      <c r="D2" s="395" t="s">
        <v>414</v>
      </c>
      <c r="E2" s="395" t="s">
        <v>415</v>
      </c>
      <c r="F2" s="395" t="s">
        <v>64</v>
      </c>
      <c r="G2" s="395" t="s">
        <v>416</v>
      </c>
      <c r="H2" s="395" t="s">
        <v>417</v>
      </c>
      <c r="I2" s="395" t="s">
        <v>418</v>
      </c>
      <c r="J2" s="395" t="s">
        <v>401</v>
      </c>
      <c r="K2" s="395" t="s">
        <v>397</v>
      </c>
      <c r="L2" s="395" t="s">
        <v>66</v>
      </c>
      <c r="M2" s="377"/>
      <c r="N2" s="377"/>
      <c r="O2" s="377"/>
      <c r="P2" s="377"/>
      <c r="Q2" s="377"/>
      <c r="R2" s="377"/>
      <c r="S2" s="377"/>
      <c r="T2" s="377"/>
      <c r="U2" s="377"/>
      <c r="V2" s="377"/>
      <c r="W2" s="377"/>
      <c r="X2" s="377"/>
      <c r="Y2" s="377"/>
      <c r="Z2" s="377"/>
      <c r="AA2" s="377"/>
      <c r="AB2" s="377"/>
      <c r="AC2" s="377"/>
      <c r="AD2" s="377"/>
      <c r="AE2" s="377"/>
      <c r="AF2" s="377"/>
      <c r="AG2" s="377"/>
      <c r="AH2" s="377"/>
      <c r="AI2" s="377"/>
      <c r="AJ2" s="377"/>
      <c r="AK2" s="377"/>
    </row>
    <row r="3" spans="1:37" x14ac:dyDescent="0.3">
      <c r="A3" s="375" t="s">
        <v>187</v>
      </c>
      <c r="B3" s="378">
        <v>41228</v>
      </c>
      <c r="D3" s="358">
        <f>IF($B$5&lt;&gt;0,1,"")</f>
        <v>1</v>
      </c>
      <c r="E3" s="379">
        <f>IF($B$5&lt;&gt;0,DATE(YEAR($B$3),MONTH($B$3)+($D3)*12/$B$11,DAY($B$3)),"")</f>
        <v>41258</v>
      </c>
      <c r="F3" s="380">
        <f>IF($B$7&lt;&gt;0,$B$7,"")</f>
        <v>2500000</v>
      </c>
      <c r="G3" s="380">
        <f>IF($B$7&lt;&gt;0,IF(E3&gt;DATE(YEAR($B$3)+$B$10,MONTH($B$3),DAY($B$3)),$B$16,$B$15),"")</f>
        <v>110801.52563189223</v>
      </c>
      <c r="H3" s="381">
        <f>IF($B$7&lt;&gt;0,$B$12,"")</f>
        <v>0</v>
      </c>
      <c r="I3" s="380">
        <f>IF($B$7&lt;&gt;0,$G3+$H3,"")</f>
        <v>110801.52563189223</v>
      </c>
      <c r="J3" s="380">
        <f>IF($B$7&lt;&gt;0,I3-K3,"")</f>
        <v>98301.525631892233</v>
      </c>
      <c r="K3" s="380">
        <f>IF($B$7&lt;&gt;0,$F3*($B$8/$B$11),"")</f>
        <v>12500</v>
      </c>
      <c r="L3" s="380">
        <f>IF($B$7&lt;&gt;0,F3-J3,"")</f>
        <v>2401698.474368108</v>
      </c>
      <c r="Q3" s="415">
        <f>K3+Debt!K3</f>
        <v>106458.33333333333</v>
      </c>
    </row>
    <row r="4" spans="1:37" x14ac:dyDescent="0.3">
      <c r="A4" s="382" t="s">
        <v>393</v>
      </c>
      <c r="B4" s="383" t="s">
        <v>394</v>
      </c>
      <c r="D4" s="358">
        <f t="shared" ref="D4:D35" si="0">IF($L3&lt;=0.01,"",IF(L3="","",IF(L3&gt;0,(D3+1),"")))</f>
        <v>2</v>
      </c>
      <c r="E4" s="379">
        <f t="shared" ref="E4:E50" si="1">IF(D4="","",DATE(YEAR($B$3),MONTH($B$3)+($D4)*12/$B$11,DAY($B$3)))</f>
        <v>41289</v>
      </c>
      <c r="F4" s="380">
        <f>IF(D4="","",L3)</f>
        <v>2401698.474368108</v>
      </c>
      <c r="G4" s="380">
        <f>IF(D4="","",IF(E4&gt;DATE(YEAR($B$3)+$B$10,MONTH($B$3),DAY($B$3)),IF(F4&lt;$B$16,F4,$B$16),IF(F4&lt;$B$15,F4,$B$15)))</f>
        <v>110801.52563189223</v>
      </c>
      <c r="H4" s="380">
        <f>IF(D4="","",IF(F4&lt;G4,0,$B$12))</f>
        <v>0</v>
      </c>
      <c r="I4" s="380">
        <f>IF(D4="","",IF(E4&gt;DATE(YEAR($B$3)+$B$10,MONTH($B$3),DAY($B$3)),IF(F4&lt;$B$16,F4,G4+H4),IF(F4&lt;$B$15,F4,G4+H4)))</f>
        <v>110801.52563189223</v>
      </c>
      <c r="J4" s="380">
        <f>IF(D4="","",I4-K4)</f>
        <v>98793.033260051685</v>
      </c>
      <c r="K4" s="380">
        <f t="shared" ref="K4:K50" si="2">IF(D4="","",$F4*($B$8/$B$11))</f>
        <v>12008.492371840541</v>
      </c>
      <c r="L4" s="380">
        <f>IF(D4="","",IF(J4+K4&gt;G4,F4-J4,IF(J4+K4=F4,F4-J4-K4,F4-J4)))</f>
        <v>2302905.4411080563</v>
      </c>
    </row>
    <row r="5" spans="1:37" x14ac:dyDescent="0.3">
      <c r="A5" s="384" t="s">
        <v>399</v>
      </c>
      <c r="B5" s="385">
        <v>2500000</v>
      </c>
      <c r="D5" s="358">
        <f t="shared" si="0"/>
        <v>3</v>
      </c>
      <c r="E5" s="379">
        <f t="shared" si="1"/>
        <v>41320</v>
      </c>
      <c r="F5" s="380">
        <f t="shared" ref="F5:F40" si="3">IF(D5="","",L4)</f>
        <v>2302905.4411080563</v>
      </c>
      <c r="G5" s="380">
        <f t="shared" ref="G5:G40" si="4">IF(D5="","",IF(E5&gt;DATE(YEAR($B$3)+$B$10,MONTH($B$3),DAY($B$3)),IF(F5&lt;$B$16,F5,$B$16),IF(F5&lt;$B$15,F5,$B$15)))</f>
        <v>110801.52563189223</v>
      </c>
      <c r="H5" s="380">
        <f t="shared" ref="H5:H40" si="5">IF(D5="","",IF(F5&lt;G5,0,$B$12))</f>
        <v>0</v>
      </c>
      <c r="I5" s="380">
        <f t="shared" ref="I5:I40" si="6">IF(D5="","",IF(E5&gt;DATE(YEAR($B$3)+$B$10,MONTH($B$3),DAY($B$3)),IF(F5&lt;$B$16,F5,G5+H5),IF(F5&lt;$B$15,F5,G5+H5)))</f>
        <v>110801.52563189223</v>
      </c>
      <c r="J5" s="380">
        <f t="shared" ref="J5:J40" si="7">IF(D5="","",I5-K5)</f>
        <v>99286.998426351958</v>
      </c>
      <c r="K5" s="380">
        <f t="shared" si="2"/>
        <v>11514.527205540282</v>
      </c>
      <c r="L5" s="380">
        <f t="shared" ref="L5:L40" si="8">IF(D5="","",IF(J5+K5&gt;G5,F5-J5,IF(J5+K5=F5,F5-J5-K5,F5-J5)))</f>
        <v>2203618.4426817042</v>
      </c>
    </row>
    <row r="6" spans="1:37" x14ac:dyDescent="0.3">
      <c r="A6" s="384" t="s">
        <v>398</v>
      </c>
      <c r="B6" s="385">
        <v>0</v>
      </c>
      <c r="D6" s="358">
        <f t="shared" si="0"/>
        <v>4</v>
      </c>
      <c r="E6" s="379">
        <f t="shared" si="1"/>
        <v>41348</v>
      </c>
      <c r="F6" s="380">
        <f t="shared" si="3"/>
        <v>2203618.4426817042</v>
      </c>
      <c r="G6" s="380">
        <f t="shared" si="4"/>
        <v>110801.52563189223</v>
      </c>
      <c r="H6" s="380">
        <f t="shared" si="5"/>
        <v>0</v>
      </c>
      <c r="I6" s="380">
        <f t="shared" si="6"/>
        <v>110801.52563189223</v>
      </c>
      <c r="J6" s="380">
        <f t="shared" si="7"/>
        <v>99783.433418483706</v>
      </c>
      <c r="K6" s="380">
        <f t="shared" si="2"/>
        <v>11018.092213408521</v>
      </c>
      <c r="L6" s="380">
        <f t="shared" si="8"/>
        <v>2103835.0092632202</v>
      </c>
    </row>
    <row r="7" spans="1:37" ht="12.5" thickBot="1" x14ac:dyDescent="0.35">
      <c r="A7" s="384" t="s">
        <v>419</v>
      </c>
      <c r="B7" s="386">
        <f>SUM(B5:B6)</f>
        <v>2500000</v>
      </c>
      <c r="D7" s="358">
        <f t="shared" si="0"/>
        <v>5</v>
      </c>
      <c r="E7" s="379">
        <f t="shared" si="1"/>
        <v>41379</v>
      </c>
      <c r="F7" s="380">
        <f t="shared" si="3"/>
        <v>2103835.0092632202</v>
      </c>
      <c r="G7" s="380">
        <f t="shared" si="4"/>
        <v>110801.52563189223</v>
      </c>
      <c r="H7" s="380">
        <f t="shared" si="5"/>
        <v>0</v>
      </c>
      <c r="I7" s="380">
        <f t="shared" si="6"/>
        <v>110801.52563189223</v>
      </c>
      <c r="J7" s="380">
        <f t="shared" si="7"/>
        <v>100282.35058557613</v>
      </c>
      <c r="K7" s="380">
        <f t="shared" si="2"/>
        <v>10519.175046316101</v>
      </c>
      <c r="L7" s="380">
        <f t="shared" si="8"/>
        <v>2003552.6586776441</v>
      </c>
    </row>
    <row r="8" spans="1:37" x14ac:dyDescent="0.3">
      <c r="A8" s="384" t="s">
        <v>397</v>
      </c>
      <c r="B8" s="387">
        <v>0.06</v>
      </c>
      <c r="D8" s="358">
        <f t="shared" si="0"/>
        <v>6</v>
      </c>
      <c r="E8" s="379">
        <f t="shared" si="1"/>
        <v>41409</v>
      </c>
      <c r="F8" s="380">
        <f t="shared" si="3"/>
        <v>2003552.6586776441</v>
      </c>
      <c r="G8" s="380">
        <f t="shared" si="4"/>
        <v>110801.52563189223</v>
      </c>
      <c r="H8" s="380">
        <f t="shared" si="5"/>
        <v>0</v>
      </c>
      <c r="I8" s="380">
        <f t="shared" si="6"/>
        <v>110801.52563189223</v>
      </c>
      <c r="J8" s="380">
        <f t="shared" si="7"/>
        <v>100783.76233850401</v>
      </c>
      <c r="K8" s="380">
        <f t="shared" si="2"/>
        <v>10017.763293388221</v>
      </c>
      <c r="L8" s="380">
        <f t="shared" si="8"/>
        <v>1902768.8963391401</v>
      </c>
    </row>
    <row r="9" spans="1:37" x14ac:dyDescent="0.3">
      <c r="A9" s="384" t="s">
        <v>403</v>
      </c>
      <c r="B9" s="388">
        <v>2</v>
      </c>
      <c r="D9" s="358">
        <f t="shared" si="0"/>
        <v>7</v>
      </c>
      <c r="E9" s="379">
        <f t="shared" si="1"/>
        <v>41440</v>
      </c>
      <c r="F9" s="380">
        <f t="shared" si="3"/>
        <v>1902768.8963391401</v>
      </c>
      <c r="G9" s="380">
        <f t="shared" si="4"/>
        <v>110801.52563189223</v>
      </c>
      <c r="H9" s="380">
        <f t="shared" si="5"/>
        <v>0</v>
      </c>
      <c r="I9" s="380">
        <f t="shared" si="6"/>
        <v>110801.52563189223</v>
      </c>
      <c r="J9" s="380">
        <f t="shared" si="7"/>
        <v>101287.68115019653</v>
      </c>
      <c r="K9" s="380">
        <f t="shared" si="2"/>
        <v>9513.8444816957017</v>
      </c>
      <c r="L9" s="380">
        <f t="shared" si="8"/>
        <v>1801481.2151889435</v>
      </c>
    </row>
    <row r="10" spans="1:37" x14ac:dyDescent="0.3">
      <c r="A10" s="384" t="s">
        <v>402</v>
      </c>
      <c r="B10" s="388">
        <v>0</v>
      </c>
      <c r="D10" s="358">
        <f t="shared" si="0"/>
        <v>8</v>
      </c>
      <c r="E10" s="379">
        <f t="shared" si="1"/>
        <v>41470</v>
      </c>
      <c r="F10" s="380">
        <f t="shared" si="3"/>
        <v>1801481.2151889435</v>
      </c>
      <c r="G10" s="380">
        <f t="shared" si="4"/>
        <v>110801.52563189223</v>
      </c>
      <c r="H10" s="380">
        <f t="shared" si="5"/>
        <v>0</v>
      </c>
      <c r="I10" s="380">
        <f t="shared" si="6"/>
        <v>110801.52563189223</v>
      </c>
      <c r="J10" s="380">
        <f t="shared" si="7"/>
        <v>101794.11955594752</v>
      </c>
      <c r="K10" s="380">
        <f t="shared" si="2"/>
        <v>9007.4060759447184</v>
      </c>
      <c r="L10" s="380">
        <f t="shared" si="8"/>
        <v>1699687.0956329959</v>
      </c>
    </row>
    <row r="11" spans="1:37" x14ac:dyDescent="0.3">
      <c r="A11" s="384" t="s">
        <v>404</v>
      </c>
      <c r="B11" s="388">
        <v>12</v>
      </c>
      <c r="D11" s="358">
        <f t="shared" si="0"/>
        <v>9</v>
      </c>
      <c r="E11" s="379">
        <f t="shared" si="1"/>
        <v>41501</v>
      </c>
      <c r="F11" s="380">
        <f t="shared" si="3"/>
        <v>1699687.0956329959</v>
      </c>
      <c r="G11" s="380">
        <f t="shared" si="4"/>
        <v>110801.52563189223</v>
      </c>
      <c r="H11" s="380">
        <f t="shared" si="5"/>
        <v>0</v>
      </c>
      <c r="I11" s="380">
        <f t="shared" si="6"/>
        <v>110801.52563189223</v>
      </c>
      <c r="J11" s="380">
        <f t="shared" si="7"/>
        <v>102303.09015372726</v>
      </c>
      <c r="K11" s="380">
        <f t="shared" si="2"/>
        <v>8498.4354781649799</v>
      </c>
      <c r="L11" s="380">
        <f t="shared" si="8"/>
        <v>1597384.0054792687</v>
      </c>
    </row>
    <row r="12" spans="1:37" x14ac:dyDescent="0.3">
      <c r="A12" s="384" t="s">
        <v>420</v>
      </c>
      <c r="B12" s="388">
        <v>0</v>
      </c>
      <c r="D12" s="358">
        <f t="shared" si="0"/>
        <v>10</v>
      </c>
      <c r="E12" s="379">
        <f t="shared" si="1"/>
        <v>41532</v>
      </c>
      <c r="F12" s="380">
        <f t="shared" si="3"/>
        <v>1597384.0054792687</v>
      </c>
      <c r="G12" s="380">
        <f t="shared" si="4"/>
        <v>110801.52563189223</v>
      </c>
      <c r="H12" s="380">
        <f t="shared" si="5"/>
        <v>0</v>
      </c>
      <c r="I12" s="380">
        <f t="shared" si="6"/>
        <v>110801.52563189223</v>
      </c>
      <c r="J12" s="380">
        <f t="shared" si="7"/>
        <v>102814.60560449588</v>
      </c>
      <c r="K12" s="380">
        <f t="shared" si="2"/>
        <v>7986.9200273963443</v>
      </c>
      <c r="L12" s="380">
        <f t="shared" si="8"/>
        <v>1494569.3998747729</v>
      </c>
    </row>
    <row r="13" spans="1:37" x14ac:dyDescent="0.3">
      <c r="A13" s="384" t="s">
        <v>400</v>
      </c>
      <c r="B13" s="385">
        <v>500000</v>
      </c>
      <c r="D13" s="358">
        <f t="shared" si="0"/>
        <v>11</v>
      </c>
      <c r="E13" s="379">
        <f t="shared" si="1"/>
        <v>41562</v>
      </c>
      <c r="F13" s="380">
        <f t="shared" si="3"/>
        <v>1494569.3998747729</v>
      </c>
      <c r="G13" s="380">
        <f t="shared" si="4"/>
        <v>110801.52563189223</v>
      </c>
      <c r="H13" s="380">
        <f t="shared" si="5"/>
        <v>0</v>
      </c>
      <c r="I13" s="380">
        <f t="shared" si="6"/>
        <v>110801.52563189223</v>
      </c>
      <c r="J13" s="380">
        <f t="shared" si="7"/>
        <v>103328.67863251836</v>
      </c>
      <c r="K13" s="380">
        <f t="shared" si="2"/>
        <v>7472.8469993738645</v>
      </c>
      <c r="L13" s="380">
        <f t="shared" si="8"/>
        <v>1391240.7212422546</v>
      </c>
    </row>
    <row r="14" spans="1:37" x14ac:dyDescent="0.3">
      <c r="A14" s="389" t="s">
        <v>405</v>
      </c>
      <c r="B14" s="390"/>
      <c r="D14" s="358">
        <f t="shared" si="0"/>
        <v>12</v>
      </c>
      <c r="E14" s="379">
        <f t="shared" si="1"/>
        <v>41593</v>
      </c>
      <c r="F14" s="380">
        <f t="shared" si="3"/>
        <v>1391240.7212422546</v>
      </c>
      <c r="G14" s="380">
        <f t="shared" si="4"/>
        <v>110801.52563189223</v>
      </c>
      <c r="H14" s="380">
        <f t="shared" si="5"/>
        <v>0</v>
      </c>
      <c r="I14" s="380">
        <f t="shared" si="6"/>
        <v>110801.52563189223</v>
      </c>
      <c r="J14" s="380">
        <f t="shared" si="7"/>
        <v>103845.32202568096</v>
      </c>
      <c r="K14" s="380">
        <f t="shared" si="2"/>
        <v>6956.2036062112729</v>
      </c>
      <c r="L14" s="380">
        <f t="shared" si="8"/>
        <v>1287395.3992165737</v>
      </c>
    </row>
    <row r="15" spans="1:37" x14ac:dyDescent="0.3">
      <c r="A15" s="384" t="s">
        <v>406</v>
      </c>
      <c r="B15" s="392">
        <f>($B$5+$B$6)*($B$8/$B$11)</f>
        <v>12500</v>
      </c>
      <c r="D15" s="358">
        <f t="shared" si="0"/>
        <v>13</v>
      </c>
      <c r="E15" s="379">
        <f t="shared" si="1"/>
        <v>41623</v>
      </c>
      <c r="F15" s="380">
        <f t="shared" si="3"/>
        <v>1287395.3992165737</v>
      </c>
      <c r="G15" s="380">
        <f t="shared" si="4"/>
        <v>110801.52563189223</v>
      </c>
      <c r="H15" s="380">
        <f t="shared" si="5"/>
        <v>0</v>
      </c>
      <c r="I15" s="380">
        <f t="shared" si="6"/>
        <v>110801.52563189223</v>
      </c>
      <c r="J15" s="380">
        <f t="shared" si="7"/>
        <v>104364.54863580936</v>
      </c>
      <c r="K15" s="380">
        <f t="shared" si="2"/>
        <v>6436.9769960828689</v>
      </c>
      <c r="L15" s="380">
        <f t="shared" si="8"/>
        <v>1183030.8505807642</v>
      </c>
    </row>
    <row r="16" spans="1:37" x14ac:dyDescent="0.3">
      <c r="A16" s="384" t="s">
        <v>407</v>
      </c>
      <c r="B16" s="392">
        <f>-PMT(B8/B11,((B9-B10)*B11),(B5+B6))</f>
        <v>110801.52563189223</v>
      </c>
      <c r="D16" s="358">
        <f t="shared" si="0"/>
        <v>14</v>
      </c>
      <c r="E16" s="379">
        <f t="shared" si="1"/>
        <v>41654</v>
      </c>
      <c r="F16" s="380">
        <f t="shared" si="3"/>
        <v>1183030.8505807642</v>
      </c>
      <c r="G16" s="380">
        <f t="shared" si="4"/>
        <v>110801.52563189223</v>
      </c>
      <c r="H16" s="380">
        <f t="shared" si="5"/>
        <v>0</v>
      </c>
      <c r="I16" s="380">
        <f t="shared" si="6"/>
        <v>110801.52563189223</v>
      </c>
      <c r="J16" s="380">
        <f t="shared" si="7"/>
        <v>104886.37137898841</v>
      </c>
      <c r="K16" s="380">
        <f t="shared" si="2"/>
        <v>5915.1542529038215</v>
      </c>
      <c r="L16" s="380">
        <f t="shared" si="8"/>
        <v>1078144.4792017757</v>
      </c>
    </row>
    <row r="17" spans="1:18" x14ac:dyDescent="0.3">
      <c r="A17" s="384" t="s">
        <v>408</v>
      </c>
      <c r="B17" s="390">
        <f>B9*B11</f>
        <v>24</v>
      </c>
      <c r="D17" s="358">
        <f t="shared" si="0"/>
        <v>15</v>
      </c>
      <c r="E17" s="379">
        <f t="shared" si="1"/>
        <v>41685</v>
      </c>
      <c r="F17" s="380">
        <f t="shared" si="3"/>
        <v>1078144.4792017757</v>
      </c>
      <c r="G17" s="380">
        <f t="shared" si="4"/>
        <v>110801.52563189223</v>
      </c>
      <c r="H17" s="380">
        <f t="shared" si="5"/>
        <v>0</v>
      </c>
      <c r="I17" s="380">
        <f t="shared" si="6"/>
        <v>110801.52563189223</v>
      </c>
      <c r="J17" s="380">
        <f t="shared" si="7"/>
        <v>105410.80323588336</v>
      </c>
      <c r="K17" s="380">
        <f t="shared" si="2"/>
        <v>5390.7223960088786</v>
      </c>
      <c r="L17" s="380">
        <f t="shared" si="8"/>
        <v>972733.67596589238</v>
      </c>
    </row>
    <row r="18" spans="1:18" x14ac:dyDescent="0.3">
      <c r="A18" s="384" t="s">
        <v>409</v>
      </c>
      <c r="B18" s="390">
        <f>MAX(D3:D1030)</f>
        <v>24</v>
      </c>
      <c r="D18" s="358">
        <f t="shared" si="0"/>
        <v>16</v>
      </c>
      <c r="E18" s="379">
        <f t="shared" si="1"/>
        <v>41713</v>
      </c>
      <c r="F18" s="380">
        <f t="shared" si="3"/>
        <v>972733.67596589238</v>
      </c>
      <c r="G18" s="380">
        <f t="shared" si="4"/>
        <v>110801.52563189223</v>
      </c>
      <c r="H18" s="380">
        <f t="shared" si="5"/>
        <v>0</v>
      </c>
      <c r="I18" s="380">
        <f t="shared" si="6"/>
        <v>110801.52563189223</v>
      </c>
      <c r="J18" s="380">
        <f t="shared" si="7"/>
        <v>105937.85725206276</v>
      </c>
      <c r="K18" s="380">
        <f t="shared" si="2"/>
        <v>4863.6683798294616</v>
      </c>
      <c r="L18" s="380">
        <f t="shared" si="8"/>
        <v>866795.81871382962</v>
      </c>
    </row>
    <row r="19" spans="1:18" x14ac:dyDescent="0.3">
      <c r="A19" s="384" t="s">
        <v>410</v>
      </c>
      <c r="B19" s="393">
        <f>MAX(E3:E1030)</f>
        <v>41958</v>
      </c>
      <c r="D19" s="358">
        <f t="shared" si="0"/>
        <v>17</v>
      </c>
      <c r="E19" s="379">
        <f t="shared" si="1"/>
        <v>41744</v>
      </c>
      <c r="F19" s="380">
        <f t="shared" si="3"/>
        <v>866795.81871382962</v>
      </c>
      <c r="G19" s="380">
        <f t="shared" si="4"/>
        <v>110801.52563189223</v>
      </c>
      <c r="H19" s="380">
        <f t="shared" si="5"/>
        <v>0</v>
      </c>
      <c r="I19" s="380">
        <f t="shared" si="6"/>
        <v>110801.52563189223</v>
      </c>
      <c r="J19" s="380">
        <f t="shared" si="7"/>
        <v>106467.54653832309</v>
      </c>
      <c r="K19" s="380">
        <f t="shared" si="2"/>
        <v>4333.9790935691481</v>
      </c>
      <c r="L19" s="380">
        <f t="shared" si="8"/>
        <v>760328.27217550657</v>
      </c>
    </row>
    <row r="20" spans="1:18" x14ac:dyDescent="0.3">
      <c r="A20" s="384" t="s">
        <v>411</v>
      </c>
      <c r="B20" s="397">
        <f>SUM(H3:H1030)</f>
        <v>0</v>
      </c>
      <c r="D20" s="358">
        <f t="shared" si="0"/>
        <v>18</v>
      </c>
      <c r="E20" s="379">
        <f t="shared" si="1"/>
        <v>41774</v>
      </c>
      <c r="F20" s="380">
        <f t="shared" si="3"/>
        <v>760328.27217550657</v>
      </c>
      <c r="G20" s="380">
        <f t="shared" si="4"/>
        <v>110801.52563189223</v>
      </c>
      <c r="H20" s="380">
        <f t="shared" si="5"/>
        <v>0</v>
      </c>
      <c r="I20" s="380">
        <f t="shared" si="6"/>
        <v>110801.52563189223</v>
      </c>
      <c r="J20" s="380">
        <f t="shared" si="7"/>
        <v>106999.8842710147</v>
      </c>
      <c r="K20" s="380">
        <f t="shared" si="2"/>
        <v>3801.6413608775329</v>
      </c>
      <c r="L20" s="380">
        <f t="shared" si="8"/>
        <v>653328.38790449186</v>
      </c>
    </row>
    <row r="21" spans="1:18" x14ac:dyDescent="0.3">
      <c r="A21" s="384" t="s">
        <v>412</v>
      </c>
      <c r="B21" s="394">
        <f>SUM(K3:K1030)</f>
        <v>159236.61516541435</v>
      </c>
      <c r="D21" s="358">
        <f t="shared" si="0"/>
        <v>19</v>
      </c>
      <c r="E21" s="379">
        <f t="shared" si="1"/>
        <v>41805</v>
      </c>
      <c r="F21" s="380">
        <f t="shared" si="3"/>
        <v>653328.38790449186</v>
      </c>
      <c r="G21" s="380">
        <f t="shared" si="4"/>
        <v>110801.52563189223</v>
      </c>
      <c r="H21" s="380">
        <f t="shared" si="5"/>
        <v>0</v>
      </c>
      <c r="I21" s="380">
        <f t="shared" si="6"/>
        <v>110801.52563189223</v>
      </c>
      <c r="J21" s="380">
        <f t="shared" si="7"/>
        <v>107534.88369236977</v>
      </c>
      <c r="K21" s="380">
        <f t="shared" si="2"/>
        <v>3266.6419395224593</v>
      </c>
      <c r="L21" s="380">
        <f t="shared" si="8"/>
        <v>545793.50421212206</v>
      </c>
    </row>
    <row r="22" spans="1:18" x14ac:dyDescent="0.3">
      <c r="D22" s="358">
        <f t="shared" si="0"/>
        <v>20</v>
      </c>
      <c r="E22" s="379">
        <f t="shared" si="1"/>
        <v>41835</v>
      </c>
      <c r="F22" s="380">
        <f t="shared" si="3"/>
        <v>545793.50421212206</v>
      </c>
      <c r="G22" s="380">
        <f t="shared" si="4"/>
        <v>110801.52563189223</v>
      </c>
      <c r="H22" s="380">
        <f t="shared" si="5"/>
        <v>0</v>
      </c>
      <c r="I22" s="380">
        <f t="shared" si="6"/>
        <v>110801.52563189223</v>
      </c>
      <c r="J22" s="380">
        <f t="shared" si="7"/>
        <v>108072.55811083163</v>
      </c>
      <c r="K22" s="380">
        <f t="shared" si="2"/>
        <v>2728.9675210606106</v>
      </c>
      <c r="L22" s="380">
        <f t="shared" si="8"/>
        <v>437720.94610129041</v>
      </c>
    </row>
    <row r="23" spans="1:18" x14ac:dyDescent="0.3">
      <c r="D23" s="358">
        <f t="shared" si="0"/>
        <v>21</v>
      </c>
      <c r="E23" s="379">
        <f t="shared" si="1"/>
        <v>41866</v>
      </c>
      <c r="F23" s="380">
        <f t="shared" si="3"/>
        <v>437720.94610129041</v>
      </c>
      <c r="G23" s="380">
        <f t="shared" si="4"/>
        <v>110801.52563189223</v>
      </c>
      <c r="H23" s="380">
        <f t="shared" si="5"/>
        <v>0</v>
      </c>
      <c r="I23" s="380">
        <f t="shared" si="6"/>
        <v>110801.52563189223</v>
      </c>
      <c r="J23" s="380">
        <f t="shared" si="7"/>
        <v>108612.92090138578</v>
      </c>
      <c r="K23" s="380">
        <f t="shared" si="2"/>
        <v>2188.6047305064521</v>
      </c>
      <c r="L23" s="380">
        <f t="shared" si="8"/>
        <v>329108.02519990463</v>
      </c>
    </row>
    <row r="24" spans="1:18" x14ac:dyDescent="0.3">
      <c r="D24" s="358">
        <f t="shared" si="0"/>
        <v>22</v>
      </c>
      <c r="E24" s="379">
        <f t="shared" si="1"/>
        <v>41897</v>
      </c>
      <c r="F24" s="380">
        <f t="shared" si="3"/>
        <v>329108.02519990463</v>
      </c>
      <c r="G24" s="380">
        <f t="shared" si="4"/>
        <v>110801.52563189223</v>
      </c>
      <c r="H24" s="380">
        <f t="shared" si="5"/>
        <v>0</v>
      </c>
      <c r="I24" s="380">
        <f t="shared" si="6"/>
        <v>110801.52563189223</v>
      </c>
      <c r="J24" s="380">
        <f t="shared" si="7"/>
        <v>109155.98550589271</v>
      </c>
      <c r="K24" s="380">
        <f t="shared" si="2"/>
        <v>1645.5401259995233</v>
      </c>
      <c r="L24" s="380">
        <f t="shared" si="8"/>
        <v>219952.03969401191</v>
      </c>
    </row>
    <row r="25" spans="1:18" x14ac:dyDescent="0.3">
      <c r="D25" s="358">
        <f t="shared" si="0"/>
        <v>23</v>
      </c>
      <c r="E25" s="379">
        <f t="shared" si="1"/>
        <v>41927</v>
      </c>
      <c r="F25" s="380">
        <f t="shared" si="3"/>
        <v>219952.03969401191</v>
      </c>
      <c r="G25" s="380">
        <f t="shared" si="4"/>
        <v>110801.52563189223</v>
      </c>
      <c r="H25" s="380">
        <f t="shared" si="5"/>
        <v>0</v>
      </c>
      <c r="I25" s="380">
        <f t="shared" si="6"/>
        <v>110801.52563189223</v>
      </c>
      <c r="J25" s="380">
        <f t="shared" si="7"/>
        <v>109701.76543342217</v>
      </c>
      <c r="K25" s="380">
        <f t="shared" si="2"/>
        <v>1099.7601984700595</v>
      </c>
      <c r="L25" s="380">
        <f t="shared" si="8"/>
        <v>110250.27426058974</v>
      </c>
    </row>
    <row r="26" spans="1:18" x14ac:dyDescent="0.3">
      <c r="D26" s="358">
        <f t="shared" si="0"/>
        <v>24</v>
      </c>
      <c r="E26" s="379">
        <f t="shared" si="1"/>
        <v>41958</v>
      </c>
      <c r="F26" s="380">
        <f t="shared" si="3"/>
        <v>110250.27426058974</v>
      </c>
      <c r="G26" s="380">
        <f t="shared" si="4"/>
        <v>110250.27426058974</v>
      </c>
      <c r="H26" s="380">
        <f t="shared" si="5"/>
        <v>0</v>
      </c>
      <c r="I26" s="380">
        <f t="shared" si="6"/>
        <v>110250.27426058974</v>
      </c>
      <c r="J26" s="380">
        <f t="shared" si="7"/>
        <v>109699.02288928679</v>
      </c>
      <c r="K26" s="380">
        <f t="shared" si="2"/>
        <v>551.25137130294866</v>
      </c>
      <c r="L26" s="380">
        <f t="shared" si="8"/>
        <v>-1.1368683772161603E-12</v>
      </c>
    </row>
    <row r="27" spans="1:18" x14ac:dyDescent="0.3">
      <c r="D27" s="358" t="str">
        <f t="shared" si="0"/>
        <v/>
      </c>
      <c r="E27" s="379" t="str">
        <f t="shared" si="1"/>
        <v/>
      </c>
      <c r="F27" s="380" t="str">
        <f t="shared" si="3"/>
        <v/>
      </c>
      <c r="G27" s="380" t="str">
        <f t="shared" si="4"/>
        <v/>
      </c>
      <c r="H27" s="380" t="str">
        <f t="shared" si="5"/>
        <v/>
      </c>
      <c r="I27" s="380" t="str">
        <f t="shared" si="6"/>
        <v/>
      </c>
      <c r="J27" s="380" t="str">
        <f t="shared" si="7"/>
        <v/>
      </c>
      <c r="K27" s="380" t="str">
        <f t="shared" si="2"/>
        <v/>
      </c>
      <c r="L27" s="380">
        <v>0</v>
      </c>
    </row>
    <row r="28" spans="1:18" x14ac:dyDescent="0.3">
      <c r="D28" s="358" t="str">
        <f t="shared" si="0"/>
        <v/>
      </c>
      <c r="E28" s="379" t="str">
        <f t="shared" si="1"/>
        <v/>
      </c>
      <c r="F28" s="380" t="str">
        <f t="shared" si="3"/>
        <v/>
      </c>
      <c r="G28" s="380" t="str">
        <f t="shared" si="4"/>
        <v/>
      </c>
      <c r="H28" s="380" t="str">
        <f t="shared" si="5"/>
        <v/>
      </c>
      <c r="I28" s="380" t="str">
        <f t="shared" si="6"/>
        <v/>
      </c>
      <c r="J28" s="380" t="str">
        <f t="shared" si="7"/>
        <v/>
      </c>
      <c r="K28" s="380" t="str">
        <f t="shared" si="2"/>
        <v/>
      </c>
      <c r="L28" s="380">
        <v>0</v>
      </c>
    </row>
    <row r="29" spans="1:18" x14ac:dyDescent="0.3">
      <c r="D29" s="358" t="str">
        <f t="shared" si="0"/>
        <v/>
      </c>
      <c r="E29" s="379" t="str">
        <f t="shared" si="1"/>
        <v/>
      </c>
      <c r="F29" s="380" t="str">
        <f t="shared" si="3"/>
        <v/>
      </c>
      <c r="G29" s="380" t="str">
        <f t="shared" si="4"/>
        <v/>
      </c>
      <c r="H29" s="380" t="str">
        <f t="shared" si="5"/>
        <v/>
      </c>
      <c r="I29" s="380" t="str">
        <f t="shared" si="6"/>
        <v/>
      </c>
      <c r="J29" s="380" t="str">
        <f t="shared" si="7"/>
        <v/>
      </c>
      <c r="K29" s="380" t="str">
        <f t="shared" si="2"/>
        <v/>
      </c>
      <c r="L29" s="380">
        <v>0</v>
      </c>
    </row>
    <row r="30" spans="1:18" x14ac:dyDescent="0.3">
      <c r="D30" s="358" t="str">
        <f t="shared" si="0"/>
        <v/>
      </c>
      <c r="E30" s="379" t="str">
        <f t="shared" si="1"/>
        <v/>
      </c>
      <c r="F30" s="380" t="str">
        <f t="shared" si="3"/>
        <v/>
      </c>
      <c r="G30" s="380" t="str">
        <f t="shared" si="4"/>
        <v/>
      </c>
      <c r="H30" s="380" t="str">
        <f t="shared" si="5"/>
        <v/>
      </c>
      <c r="I30" s="380" t="str">
        <f t="shared" si="6"/>
        <v/>
      </c>
      <c r="J30" s="380" t="str">
        <f t="shared" si="7"/>
        <v/>
      </c>
      <c r="K30" s="380" t="str">
        <f t="shared" si="2"/>
        <v/>
      </c>
      <c r="L30" s="380">
        <v>0</v>
      </c>
      <c r="R30" s="415"/>
    </row>
    <row r="31" spans="1:18" x14ac:dyDescent="0.3">
      <c r="D31" s="358" t="str">
        <f t="shared" si="0"/>
        <v/>
      </c>
      <c r="E31" s="379" t="str">
        <f t="shared" si="1"/>
        <v/>
      </c>
      <c r="F31" s="380" t="str">
        <f t="shared" si="3"/>
        <v/>
      </c>
      <c r="G31" s="380" t="str">
        <f t="shared" si="4"/>
        <v/>
      </c>
      <c r="H31" s="380" t="str">
        <f t="shared" si="5"/>
        <v/>
      </c>
      <c r="I31" s="380" t="str">
        <f t="shared" si="6"/>
        <v/>
      </c>
      <c r="J31" s="380" t="str">
        <f t="shared" si="7"/>
        <v/>
      </c>
      <c r="K31" s="380" t="str">
        <f t="shared" si="2"/>
        <v/>
      </c>
      <c r="L31" s="380">
        <v>0</v>
      </c>
    </row>
    <row r="32" spans="1:18" x14ac:dyDescent="0.3">
      <c r="D32" s="358" t="str">
        <f t="shared" si="0"/>
        <v/>
      </c>
      <c r="E32" s="379" t="str">
        <f t="shared" si="1"/>
        <v/>
      </c>
      <c r="F32" s="380" t="str">
        <f t="shared" si="3"/>
        <v/>
      </c>
      <c r="G32" s="380" t="str">
        <f t="shared" si="4"/>
        <v/>
      </c>
      <c r="H32" s="380" t="str">
        <f t="shared" si="5"/>
        <v/>
      </c>
      <c r="I32" s="380" t="str">
        <f t="shared" si="6"/>
        <v/>
      </c>
      <c r="J32" s="380" t="str">
        <f t="shared" si="7"/>
        <v/>
      </c>
      <c r="K32" s="380" t="str">
        <f t="shared" si="2"/>
        <v/>
      </c>
      <c r="L32" s="380">
        <v>0</v>
      </c>
    </row>
    <row r="33" spans="4:12" x14ac:dyDescent="0.3">
      <c r="D33" s="358" t="str">
        <f t="shared" si="0"/>
        <v/>
      </c>
      <c r="E33" s="379" t="str">
        <f t="shared" si="1"/>
        <v/>
      </c>
      <c r="F33" s="380" t="str">
        <f t="shared" si="3"/>
        <v/>
      </c>
      <c r="G33" s="380" t="str">
        <f t="shared" si="4"/>
        <v/>
      </c>
      <c r="H33" s="380" t="str">
        <f t="shared" si="5"/>
        <v/>
      </c>
      <c r="I33" s="380" t="str">
        <f t="shared" si="6"/>
        <v/>
      </c>
      <c r="J33" s="380" t="str">
        <f t="shared" si="7"/>
        <v/>
      </c>
      <c r="K33" s="380" t="str">
        <f t="shared" si="2"/>
        <v/>
      </c>
      <c r="L33" s="380">
        <v>0</v>
      </c>
    </row>
    <row r="34" spans="4:12" x14ac:dyDescent="0.3">
      <c r="D34" s="358" t="str">
        <f t="shared" si="0"/>
        <v/>
      </c>
      <c r="E34" s="379" t="str">
        <f t="shared" si="1"/>
        <v/>
      </c>
      <c r="F34" s="380" t="str">
        <f t="shared" si="3"/>
        <v/>
      </c>
      <c r="G34" s="380" t="str">
        <f t="shared" si="4"/>
        <v/>
      </c>
      <c r="H34" s="380" t="str">
        <f t="shared" si="5"/>
        <v/>
      </c>
      <c r="I34" s="380" t="str">
        <f t="shared" si="6"/>
        <v/>
      </c>
      <c r="J34" s="380" t="str">
        <f t="shared" si="7"/>
        <v/>
      </c>
      <c r="K34" s="380" t="str">
        <f t="shared" si="2"/>
        <v/>
      </c>
      <c r="L34" s="380">
        <v>0</v>
      </c>
    </row>
    <row r="35" spans="4:12" x14ac:dyDescent="0.3">
      <c r="D35" s="358" t="str">
        <f t="shared" si="0"/>
        <v/>
      </c>
      <c r="E35" s="379" t="str">
        <f t="shared" si="1"/>
        <v/>
      </c>
      <c r="F35" s="380" t="str">
        <f t="shared" si="3"/>
        <v/>
      </c>
      <c r="G35" s="380" t="str">
        <f t="shared" si="4"/>
        <v/>
      </c>
      <c r="H35" s="380" t="str">
        <f t="shared" si="5"/>
        <v/>
      </c>
      <c r="I35" s="380" t="str">
        <f t="shared" si="6"/>
        <v/>
      </c>
      <c r="J35" s="380" t="str">
        <f t="shared" si="7"/>
        <v/>
      </c>
      <c r="K35" s="380" t="str">
        <f t="shared" si="2"/>
        <v/>
      </c>
      <c r="L35" s="380">
        <v>0</v>
      </c>
    </row>
    <row r="36" spans="4:12" x14ac:dyDescent="0.3">
      <c r="D36" s="358" t="str">
        <f t="shared" ref="D36:D72" si="9">IF($L35&lt;=0.01,"",IF(L35="","",IF(L35&gt;0,(D35+1),"")))</f>
        <v/>
      </c>
      <c r="E36" s="379" t="str">
        <f t="shared" si="1"/>
        <v/>
      </c>
      <c r="F36" s="380" t="str">
        <f t="shared" si="3"/>
        <v/>
      </c>
      <c r="G36" s="380" t="str">
        <f t="shared" si="4"/>
        <v/>
      </c>
      <c r="H36" s="380" t="str">
        <f t="shared" si="5"/>
        <v/>
      </c>
      <c r="I36" s="380" t="str">
        <f t="shared" si="6"/>
        <v/>
      </c>
      <c r="J36" s="380" t="str">
        <f t="shared" si="7"/>
        <v/>
      </c>
      <c r="K36" s="380" t="str">
        <f t="shared" si="2"/>
        <v/>
      </c>
      <c r="L36" s="380" t="str">
        <f t="shared" si="8"/>
        <v/>
      </c>
    </row>
    <row r="37" spans="4:12" x14ac:dyDescent="0.3">
      <c r="D37" s="358" t="str">
        <f t="shared" si="9"/>
        <v/>
      </c>
      <c r="E37" s="379" t="str">
        <f t="shared" si="1"/>
        <v/>
      </c>
      <c r="F37" s="380" t="str">
        <f t="shared" si="3"/>
        <v/>
      </c>
      <c r="G37" s="380" t="str">
        <f t="shared" si="4"/>
        <v/>
      </c>
      <c r="H37" s="380" t="str">
        <f t="shared" si="5"/>
        <v/>
      </c>
      <c r="I37" s="380" t="str">
        <f t="shared" si="6"/>
        <v/>
      </c>
      <c r="J37" s="380" t="str">
        <f t="shared" si="7"/>
        <v/>
      </c>
      <c r="K37" s="380" t="str">
        <f t="shared" si="2"/>
        <v/>
      </c>
      <c r="L37" s="380" t="str">
        <f t="shared" si="8"/>
        <v/>
      </c>
    </row>
    <row r="38" spans="4:12" x14ac:dyDescent="0.3">
      <c r="D38" s="358" t="str">
        <f t="shared" si="9"/>
        <v/>
      </c>
      <c r="E38" s="379" t="str">
        <f t="shared" si="1"/>
        <v/>
      </c>
      <c r="F38" s="380" t="str">
        <f t="shared" si="3"/>
        <v/>
      </c>
      <c r="G38" s="380" t="str">
        <f t="shared" si="4"/>
        <v/>
      </c>
      <c r="H38" s="380" t="str">
        <f t="shared" si="5"/>
        <v/>
      </c>
      <c r="I38" s="380" t="str">
        <f t="shared" si="6"/>
        <v/>
      </c>
      <c r="J38" s="380" t="str">
        <f t="shared" si="7"/>
        <v/>
      </c>
      <c r="K38" s="380" t="str">
        <f t="shared" si="2"/>
        <v/>
      </c>
      <c r="L38" s="380" t="str">
        <f t="shared" si="8"/>
        <v/>
      </c>
    </row>
    <row r="39" spans="4:12" x14ac:dyDescent="0.3">
      <c r="D39" s="358" t="str">
        <f t="shared" si="9"/>
        <v/>
      </c>
      <c r="E39" s="379" t="str">
        <f t="shared" si="1"/>
        <v/>
      </c>
      <c r="F39" s="380" t="str">
        <f t="shared" si="3"/>
        <v/>
      </c>
      <c r="G39" s="380" t="str">
        <f t="shared" si="4"/>
        <v/>
      </c>
      <c r="H39" s="380" t="str">
        <f t="shared" si="5"/>
        <v/>
      </c>
      <c r="I39" s="380" t="str">
        <f t="shared" si="6"/>
        <v/>
      </c>
      <c r="J39" s="380" t="str">
        <f t="shared" si="7"/>
        <v/>
      </c>
      <c r="K39" s="380" t="str">
        <f t="shared" si="2"/>
        <v/>
      </c>
      <c r="L39" s="380" t="str">
        <f t="shared" si="8"/>
        <v/>
      </c>
    </row>
    <row r="40" spans="4:12" x14ac:dyDescent="0.3">
      <c r="D40" s="358" t="str">
        <f t="shared" si="9"/>
        <v/>
      </c>
      <c r="E40" s="379" t="str">
        <f t="shared" si="1"/>
        <v/>
      </c>
      <c r="F40" s="380" t="str">
        <f t="shared" si="3"/>
        <v/>
      </c>
      <c r="G40" s="380" t="str">
        <f t="shared" si="4"/>
        <v/>
      </c>
      <c r="H40" s="380" t="str">
        <f t="shared" si="5"/>
        <v/>
      </c>
      <c r="I40" s="380" t="str">
        <f t="shared" si="6"/>
        <v/>
      </c>
      <c r="J40" s="380" t="str">
        <f t="shared" si="7"/>
        <v/>
      </c>
      <c r="K40" s="380" t="str">
        <f t="shared" si="2"/>
        <v/>
      </c>
      <c r="L40" s="380" t="str">
        <f t="shared" si="8"/>
        <v/>
      </c>
    </row>
    <row r="41" spans="4:12" x14ac:dyDescent="0.3">
      <c r="D41" s="358" t="str">
        <f t="shared" si="9"/>
        <v/>
      </c>
      <c r="E41" s="379" t="str">
        <f t="shared" si="1"/>
        <v/>
      </c>
      <c r="F41" s="380" t="str">
        <f t="shared" ref="F41:F50" si="10">IF(D41="","",L40)</f>
        <v/>
      </c>
      <c r="G41" s="380" t="str">
        <f t="shared" ref="G41:G50" si="11">IF(D41="","",IF(E41&gt;DATE(YEAR($B$3)+$B$10,MONTH($B$3),DAY($B$3)),IF(F41&lt;$B$16,F41,$B$16),IF(F41&lt;$B$15,F41,$B$15)))</f>
        <v/>
      </c>
      <c r="H41" s="380" t="str">
        <f t="shared" ref="H41:H50" si="12">IF(D41="","",IF(F41&lt;G41,0,$B$12))</f>
        <v/>
      </c>
      <c r="I41" s="380" t="str">
        <f t="shared" ref="I41:I50" si="13">IF(D41="","",IF(E41&gt;DATE(YEAR($B$3)+$B$10,MONTH($B$3),DAY($B$3)),IF(F41&lt;$B$16,F41,G41+H41),IF(F41&lt;$B$15,F41,G41+H41)))</f>
        <v/>
      </c>
      <c r="J41" s="380" t="str">
        <f t="shared" ref="J41:J50" si="14">IF(D41="","",I41-K41)</f>
        <v/>
      </c>
      <c r="K41" s="380" t="str">
        <f t="shared" si="2"/>
        <v/>
      </c>
      <c r="L41" s="380" t="str">
        <f t="shared" ref="L41:L50" si="15">IF(D41="","",IF(J41+K41&gt;G41,F41-J41,IF(J41+K41=F41,F41-J41-K41,F41-J41)))</f>
        <v/>
      </c>
    </row>
    <row r="42" spans="4:12" x14ac:dyDescent="0.3">
      <c r="D42" s="358" t="str">
        <f t="shared" si="9"/>
        <v/>
      </c>
      <c r="E42" s="379" t="str">
        <f t="shared" si="1"/>
        <v/>
      </c>
      <c r="F42" s="380" t="str">
        <f t="shared" si="10"/>
        <v/>
      </c>
      <c r="G42" s="380" t="str">
        <f t="shared" si="11"/>
        <v/>
      </c>
      <c r="H42" s="380" t="str">
        <f t="shared" si="12"/>
        <v/>
      </c>
      <c r="I42" s="380" t="str">
        <f t="shared" si="13"/>
        <v/>
      </c>
      <c r="J42" s="380" t="str">
        <f t="shared" si="14"/>
        <v/>
      </c>
      <c r="K42" s="380" t="str">
        <f t="shared" si="2"/>
        <v/>
      </c>
      <c r="L42" s="380" t="str">
        <f t="shared" si="15"/>
        <v/>
      </c>
    </row>
    <row r="43" spans="4:12" x14ac:dyDescent="0.3">
      <c r="D43" s="358" t="str">
        <f t="shared" si="9"/>
        <v/>
      </c>
      <c r="E43" s="379" t="str">
        <f t="shared" si="1"/>
        <v/>
      </c>
      <c r="F43" s="380" t="str">
        <f t="shared" si="10"/>
        <v/>
      </c>
      <c r="G43" s="380" t="str">
        <f t="shared" si="11"/>
        <v/>
      </c>
      <c r="H43" s="380" t="str">
        <f t="shared" si="12"/>
        <v/>
      </c>
      <c r="I43" s="380" t="str">
        <f t="shared" si="13"/>
        <v/>
      </c>
      <c r="J43" s="380" t="str">
        <f t="shared" si="14"/>
        <v/>
      </c>
      <c r="K43" s="380" t="str">
        <f t="shared" si="2"/>
        <v/>
      </c>
      <c r="L43" s="380" t="str">
        <f t="shared" si="15"/>
        <v/>
      </c>
    </row>
    <row r="44" spans="4:12" x14ac:dyDescent="0.3">
      <c r="D44" s="358" t="str">
        <f t="shared" si="9"/>
        <v/>
      </c>
      <c r="E44" s="379" t="str">
        <f t="shared" si="1"/>
        <v/>
      </c>
      <c r="F44" s="380" t="str">
        <f t="shared" si="10"/>
        <v/>
      </c>
      <c r="G44" s="380" t="str">
        <f t="shared" si="11"/>
        <v/>
      </c>
      <c r="H44" s="380" t="str">
        <f t="shared" si="12"/>
        <v/>
      </c>
      <c r="I44" s="380" t="str">
        <f t="shared" si="13"/>
        <v/>
      </c>
      <c r="J44" s="380" t="str">
        <f t="shared" si="14"/>
        <v/>
      </c>
      <c r="K44" s="380" t="str">
        <f t="shared" si="2"/>
        <v/>
      </c>
      <c r="L44" s="380" t="str">
        <f t="shared" si="15"/>
        <v/>
      </c>
    </row>
    <row r="45" spans="4:12" x14ac:dyDescent="0.3">
      <c r="D45" s="358" t="str">
        <f t="shared" si="9"/>
        <v/>
      </c>
      <c r="E45" s="379" t="str">
        <f t="shared" si="1"/>
        <v/>
      </c>
      <c r="F45" s="380" t="str">
        <f t="shared" si="10"/>
        <v/>
      </c>
      <c r="G45" s="380" t="str">
        <f t="shared" si="11"/>
        <v/>
      </c>
      <c r="H45" s="380" t="str">
        <f t="shared" si="12"/>
        <v/>
      </c>
      <c r="I45" s="380" t="str">
        <f t="shared" si="13"/>
        <v/>
      </c>
      <c r="J45" s="380" t="str">
        <f t="shared" si="14"/>
        <v/>
      </c>
      <c r="K45" s="380" t="str">
        <f t="shared" si="2"/>
        <v/>
      </c>
      <c r="L45" s="380" t="str">
        <f t="shared" si="15"/>
        <v/>
      </c>
    </row>
    <row r="46" spans="4:12" x14ac:dyDescent="0.3">
      <c r="D46" s="358" t="str">
        <f t="shared" si="9"/>
        <v/>
      </c>
      <c r="E46" s="379" t="str">
        <f t="shared" si="1"/>
        <v/>
      </c>
      <c r="F46" s="380" t="str">
        <f t="shared" si="10"/>
        <v/>
      </c>
      <c r="G46" s="380" t="str">
        <f t="shared" si="11"/>
        <v/>
      </c>
      <c r="H46" s="380" t="str">
        <f t="shared" si="12"/>
        <v/>
      </c>
      <c r="I46" s="380" t="str">
        <f t="shared" si="13"/>
        <v/>
      </c>
      <c r="J46" s="380" t="str">
        <f t="shared" si="14"/>
        <v/>
      </c>
      <c r="K46" s="380" t="str">
        <f t="shared" si="2"/>
        <v/>
      </c>
      <c r="L46" s="380" t="str">
        <f t="shared" si="15"/>
        <v/>
      </c>
    </row>
    <row r="47" spans="4:12" x14ac:dyDescent="0.3">
      <c r="D47" s="358" t="str">
        <f t="shared" si="9"/>
        <v/>
      </c>
      <c r="E47" s="379" t="str">
        <f t="shared" si="1"/>
        <v/>
      </c>
      <c r="F47" s="380" t="str">
        <f t="shared" si="10"/>
        <v/>
      </c>
      <c r="G47" s="380" t="str">
        <f t="shared" si="11"/>
        <v/>
      </c>
      <c r="H47" s="380" t="str">
        <f t="shared" si="12"/>
        <v/>
      </c>
      <c r="I47" s="380" t="str">
        <f t="shared" si="13"/>
        <v/>
      </c>
      <c r="J47" s="380" t="str">
        <f t="shared" si="14"/>
        <v/>
      </c>
      <c r="K47" s="380" t="str">
        <f t="shared" si="2"/>
        <v/>
      </c>
      <c r="L47" s="380" t="str">
        <f t="shared" si="15"/>
        <v/>
      </c>
    </row>
    <row r="48" spans="4:12" x14ac:dyDescent="0.3">
      <c r="D48" s="358" t="str">
        <f t="shared" si="9"/>
        <v/>
      </c>
      <c r="E48" s="379" t="str">
        <f t="shared" si="1"/>
        <v/>
      </c>
      <c r="F48" s="380" t="str">
        <f t="shared" si="10"/>
        <v/>
      </c>
      <c r="G48" s="380" t="str">
        <f t="shared" si="11"/>
        <v/>
      </c>
      <c r="H48" s="380" t="str">
        <f t="shared" si="12"/>
        <v/>
      </c>
      <c r="I48" s="380" t="str">
        <f t="shared" si="13"/>
        <v/>
      </c>
      <c r="J48" s="380" t="str">
        <f t="shared" si="14"/>
        <v/>
      </c>
      <c r="K48" s="380" t="str">
        <f t="shared" si="2"/>
        <v/>
      </c>
      <c r="L48" s="380" t="str">
        <f t="shared" si="15"/>
        <v/>
      </c>
    </row>
    <row r="49" spans="4:12" x14ac:dyDescent="0.3">
      <c r="D49" s="358" t="str">
        <f t="shared" si="9"/>
        <v/>
      </c>
      <c r="E49" s="379" t="str">
        <f t="shared" si="1"/>
        <v/>
      </c>
      <c r="F49" s="380" t="str">
        <f t="shared" si="10"/>
        <v/>
      </c>
      <c r="G49" s="380" t="str">
        <f t="shared" si="11"/>
        <v/>
      </c>
      <c r="H49" s="380" t="str">
        <f t="shared" si="12"/>
        <v/>
      </c>
      <c r="I49" s="380" t="str">
        <f t="shared" si="13"/>
        <v/>
      </c>
      <c r="J49" s="380" t="str">
        <f t="shared" si="14"/>
        <v/>
      </c>
      <c r="K49" s="380" t="str">
        <f t="shared" si="2"/>
        <v/>
      </c>
      <c r="L49" s="380" t="str">
        <f t="shared" si="15"/>
        <v/>
      </c>
    </row>
    <row r="50" spans="4:12" x14ac:dyDescent="0.3">
      <c r="D50" s="358" t="str">
        <f t="shared" si="9"/>
        <v/>
      </c>
      <c r="E50" s="379" t="str">
        <f t="shared" si="1"/>
        <v/>
      </c>
      <c r="F50" s="380" t="str">
        <f t="shared" si="10"/>
        <v/>
      </c>
      <c r="G50" s="380" t="str">
        <f t="shared" si="11"/>
        <v/>
      </c>
      <c r="H50" s="380" t="str">
        <f t="shared" si="12"/>
        <v/>
      </c>
      <c r="I50" s="380" t="str">
        <f t="shared" si="13"/>
        <v/>
      </c>
      <c r="J50" s="380" t="str">
        <f t="shared" si="14"/>
        <v/>
      </c>
      <c r="K50" s="380" t="str">
        <f t="shared" si="2"/>
        <v/>
      </c>
      <c r="L50" s="380" t="str">
        <f t="shared" si="15"/>
        <v/>
      </c>
    </row>
    <row r="51" spans="4:12" x14ac:dyDescent="0.3">
      <c r="D51" s="358" t="str">
        <f t="shared" si="9"/>
        <v/>
      </c>
    </row>
    <row r="52" spans="4:12" x14ac:dyDescent="0.3">
      <c r="D52" s="358" t="str">
        <f t="shared" si="9"/>
        <v/>
      </c>
    </row>
    <row r="53" spans="4:12" x14ac:dyDescent="0.3">
      <c r="D53" s="358" t="str">
        <f t="shared" si="9"/>
        <v/>
      </c>
    </row>
    <row r="54" spans="4:12" x14ac:dyDescent="0.3">
      <c r="D54" s="358" t="str">
        <f t="shared" si="9"/>
        <v/>
      </c>
    </row>
    <row r="55" spans="4:12" x14ac:dyDescent="0.3">
      <c r="D55" s="358" t="str">
        <f t="shared" si="9"/>
        <v/>
      </c>
    </row>
    <row r="56" spans="4:12" x14ac:dyDescent="0.3">
      <c r="D56" s="358" t="str">
        <f t="shared" si="9"/>
        <v/>
      </c>
    </row>
    <row r="57" spans="4:12" x14ac:dyDescent="0.3">
      <c r="D57" s="358" t="str">
        <f t="shared" si="9"/>
        <v/>
      </c>
    </row>
    <row r="58" spans="4:12" x14ac:dyDescent="0.3">
      <c r="D58" s="358" t="str">
        <f t="shared" si="9"/>
        <v/>
      </c>
    </row>
    <row r="59" spans="4:12" x14ac:dyDescent="0.3">
      <c r="D59" s="358" t="str">
        <f t="shared" si="9"/>
        <v/>
      </c>
    </row>
    <row r="60" spans="4:12" x14ac:dyDescent="0.3">
      <c r="D60" s="358" t="str">
        <f t="shared" si="9"/>
        <v/>
      </c>
    </row>
    <row r="61" spans="4:12" x14ac:dyDescent="0.3">
      <c r="D61" s="358" t="str">
        <f t="shared" si="9"/>
        <v/>
      </c>
    </row>
    <row r="62" spans="4:12" x14ac:dyDescent="0.3">
      <c r="D62" s="358" t="str">
        <f t="shared" si="9"/>
        <v/>
      </c>
    </row>
    <row r="63" spans="4:12" x14ac:dyDescent="0.3">
      <c r="D63" s="358" t="str">
        <f t="shared" si="9"/>
        <v/>
      </c>
    </row>
    <row r="64" spans="4:12" x14ac:dyDescent="0.3">
      <c r="D64" s="358" t="str">
        <f t="shared" si="9"/>
        <v/>
      </c>
    </row>
    <row r="65" spans="4:4" x14ac:dyDescent="0.3">
      <c r="D65" s="358" t="str">
        <f t="shared" si="9"/>
        <v/>
      </c>
    </row>
    <row r="66" spans="4:4" x14ac:dyDescent="0.3">
      <c r="D66" s="358" t="str">
        <f t="shared" si="9"/>
        <v/>
      </c>
    </row>
    <row r="67" spans="4:4" x14ac:dyDescent="0.3">
      <c r="D67" s="358" t="str">
        <f t="shared" si="9"/>
        <v/>
      </c>
    </row>
    <row r="68" spans="4:4" x14ac:dyDescent="0.3">
      <c r="D68" s="358" t="str">
        <f t="shared" si="9"/>
        <v/>
      </c>
    </row>
    <row r="69" spans="4:4" x14ac:dyDescent="0.3">
      <c r="D69" s="358" t="str">
        <f t="shared" si="9"/>
        <v/>
      </c>
    </row>
    <row r="70" spans="4:4" x14ac:dyDescent="0.3">
      <c r="D70" s="358" t="str">
        <f t="shared" si="9"/>
        <v/>
      </c>
    </row>
    <row r="71" spans="4:4" x14ac:dyDescent="0.3">
      <c r="D71" s="358" t="str">
        <f t="shared" si="9"/>
        <v/>
      </c>
    </row>
    <row r="72" spans="4:4" x14ac:dyDescent="0.3">
      <c r="D72" s="358" t="str">
        <f t="shared" si="9"/>
        <v/>
      </c>
    </row>
  </sheetData>
  <protectedRanges>
    <protectedRange password="C269" sqref="B2" name="Inputs_2"/>
  </protectedRanges>
  <mergeCells count="1">
    <mergeCell ref="D1:L1"/>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tabColor rgb="FFFFFF00"/>
  </sheetPr>
  <dimension ref="A1:AW107"/>
  <sheetViews>
    <sheetView zoomScale="80" zoomScaleNormal="80" workbookViewId="0">
      <pane xSplit="1" ySplit="4" topLeftCell="M5" activePane="bottomRight" state="frozenSplit"/>
      <selection activeCell="L38" sqref="L38"/>
      <selection pane="topRight" activeCell="L38" sqref="L38"/>
      <selection pane="bottomLeft" activeCell="L38" sqref="L38"/>
      <selection pane="bottomRight" activeCell="AG6" sqref="AG6"/>
    </sheetView>
  </sheetViews>
  <sheetFormatPr defaultColWidth="9.1796875" defaultRowHeight="13" x14ac:dyDescent="0.3"/>
  <cols>
    <col min="1" max="1" width="25" style="243" bestFit="1" customWidth="1"/>
    <col min="2" max="2" width="14.1796875" style="243" customWidth="1"/>
    <col min="3" max="16" width="13.81640625" style="243" bestFit="1" customWidth="1"/>
    <col min="17" max="17" width="14.81640625" style="243" bestFit="1" customWidth="1"/>
    <col min="18" max="24" width="13.81640625" style="243" bestFit="1" customWidth="1"/>
    <col min="25" max="37" width="14.54296875" style="243" bestFit="1" customWidth="1"/>
    <col min="38" max="49" width="11" style="243" bestFit="1" customWidth="1"/>
    <col min="50" max="16384" width="9.1796875" style="243"/>
  </cols>
  <sheetData>
    <row r="1" spans="1:49" ht="18.5" thickBot="1" x14ac:dyDescent="0.45">
      <c r="A1" s="88" t="str">
        <f>Sensativities!B4</f>
        <v>CallFire</v>
      </c>
    </row>
    <row r="2" spans="1:49" x14ac:dyDescent="0.3">
      <c r="A2" s="247"/>
      <c r="B2" s="245"/>
      <c r="C2" s="245"/>
      <c r="D2" s="245"/>
      <c r="E2" s="245"/>
      <c r="F2" s="245"/>
      <c r="G2" s="245"/>
    </row>
    <row r="3" spans="1:49" ht="15.5" x14ac:dyDescent="0.35">
      <c r="A3" s="93" t="s">
        <v>70</v>
      </c>
    </row>
    <row r="4" spans="1:49" x14ac:dyDescent="0.3">
      <c r="B4" s="244">
        <f>Sensativities!D2</f>
        <v>40909</v>
      </c>
      <c r="C4" s="244">
        <f>Sensativities!E2</f>
        <v>40940</v>
      </c>
      <c r="D4" s="244">
        <f>Sensativities!F2</f>
        <v>40969</v>
      </c>
      <c r="E4" s="244">
        <f>Sensativities!G2</f>
        <v>41000</v>
      </c>
      <c r="F4" s="244">
        <f>Sensativities!H2</f>
        <v>41030</v>
      </c>
      <c r="G4" s="244">
        <f>Sensativities!I2</f>
        <v>41061</v>
      </c>
      <c r="H4" s="244">
        <f>Sensativities!J2</f>
        <v>41091</v>
      </c>
      <c r="I4" s="244">
        <f>Sensativities!K2</f>
        <v>41122</v>
      </c>
      <c r="J4" s="244">
        <f>Sensativities!L2</f>
        <v>41153</v>
      </c>
      <c r="K4" s="244">
        <f>Sensativities!M2</f>
        <v>41183</v>
      </c>
      <c r="L4" s="244">
        <f>Sensativities!N2</f>
        <v>41214</v>
      </c>
      <c r="M4" s="244">
        <f>Sensativities!O2</f>
        <v>41244</v>
      </c>
      <c r="N4" s="244">
        <f>Sensativities!P2</f>
        <v>41275</v>
      </c>
      <c r="O4" s="244">
        <f>Sensativities!Q2</f>
        <v>41306</v>
      </c>
      <c r="P4" s="244">
        <f>Sensativities!R2</f>
        <v>41334</v>
      </c>
      <c r="Q4" s="244">
        <f>Sensativities!S2</f>
        <v>41365</v>
      </c>
      <c r="R4" s="244">
        <f>Sensativities!T2</f>
        <v>41395</v>
      </c>
      <c r="S4" s="244">
        <f>Sensativities!U2</f>
        <v>41426</v>
      </c>
      <c r="T4" s="244">
        <f>Sensativities!V2</f>
        <v>41456</v>
      </c>
      <c r="U4" s="244">
        <f>Sensativities!W2</f>
        <v>41487</v>
      </c>
      <c r="V4" s="244">
        <f>Sensativities!X2</f>
        <v>41518</v>
      </c>
      <c r="W4" s="244">
        <f>Sensativities!Y2</f>
        <v>41548</v>
      </c>
      <c r="X4" s="244">
        <f>Sensativities!Z2</f>
        <v>41579</v>
      </c>
      <c r="Y4" s="244">
        <f>Sensativities!AA2</f>
        <v>41609</v>
      </c>
      <c r="Z4" s="244">
        <f>Sensativities!AB2</f>
        <v>41640</v>
      </c>
      <c r="AA4" s="244">
        <f>Sensativities!AC2</f>
        <v>41671</v>
      </c>
      <c r="AB4" s="244">
        <f>Sensativities!AD2</f>
        <v>41699</v>
      </c>
      <c r="AC4" s="244">
        <f>Sensativities!AE2</f>
        <v>41730</v>
      </c>
      <c r="AD4" s="244">
        <f>Sensativities!AF2</f>
        <v>41760</v>
      </c>
      <c r="AE4" s="244">
        <f>Sensativities!AG2</f>
        <v>41791</v>
      </c>
      <c r="AF4" s="244">
        <f>Sensativities!AH2</f>
        <v>41821</v>
      </c>
      <c r="AG4" s="244">
        <f>Sensativities!AI2</f>
        <v>41852</v>
      </c>
      <c r="AH4" s="244">
        <f>Sensativities!AJ2</f>
        <v>41883</v>
      </c>
      <c r="AI4" s="244">
        <f>Sensativities!AK2</f>
        <v>41913</v>
      </c>
      <c r="AJ4" s="244">
        <f>Sensativities!AL2</f>
        <v>41944</v>
      </c>
      <c r="AK4" s="244">
        <f>Sensativities!AM2</f>
        <v>41974</v>
      </c>
      <c r="AL4" s="244">
        <f>Sensativities!AN2</f>
        <v>42005</v>
      </c>
      <c r="AM4" s="244">
        <f>Sensativities!AO2</f>
        <v>42036</v>
      </c>
      <c r="AN4" s="244">
        <f>Sensativities!AP2</f>
        <v>42064</v>
      </c>
      <c r="AO4" s="244">
        <f>Sensativities!AQ2</f>
        <v>42095</v>
      </c>
      <c r="AP4" s="244">
        <f>Sensativities!AR2</f>
        <v>42125</v>
      </c>
      <c r="AQ4" s="244">
        <f>Sensativities!AS2</f>
        <v>42156</v>
      </c>
      <c r="AR4" s="244">
        <f>Sensativities!AT2</f>
        <v>42186</v>
      </c>
      <c r="AS4" s="244">
        <f>Sensativities!AU2</f>
        <v>42217</v>
      </c>
      <c r="AT4" s="244">
        <f>Sensativities!AV2</f>
        <v>42248</v>
      </c>
      <c r="AU4" s="244">
        <f>Sensativities!AW2</f>
        <v>42278</v>
      </c>
      <c r="AV4" s="244">
        <f>Sensativities!AX2</f>
        <v>42309</v>
      </c>
      <c r="AW4" s="244">
        <f>Sensativities!AY2</f>
        <v>42339</v>
      </c>
    </row>
    <row r="5" spans="1:49" x14ac:dyDescent="0.3">
      <c r="B5" s="261" t="s">
        <v>245</v>
      </c>
      <c r="C5" s="261" t="s">
        <v>245</v>
      </c>
      <c r="D5" s="261" t="s">
        <v>245</v>
      </c>
      <c r="E5" s="261" t="s">
        <v>245</v>
      </c>
      <c r="F5" s="261" t="s">
        <v>245</v>
      </c>
      <c r="G5" s="261" t="s">
        <v>245</v>
      </c>
      <c r="H5" s="261" t="s">
        <v>245</v>
      </c>
      <c r="I5" s="261" t="s">
        <v>245</v>
      </c>
      <c r="J5" s="261" t="s">
        <v>245</v>
      </c>
      <c r="K5" s="261" t="s">
        <v>245</v>
      </c>
      <c r="L5" s="261" t="s">
        <v>245</v>
      </c>
      <c r="M5" s="261" t="s">
        <v>245</v>
      </c>
      <c r="N5" s="261" t="s">
        <v>245</v>
      </c>
      <c r="O5" s="261" t="s">
        <v>245</v>
      </c>
      <c r="P5" s="261" t="s">
        <v>245</v>
      </c>
      <c r="Q5" s="261" t="s">
        <v>245</v>
      </c>
      <c r="R5" s="261" t="s">
        <v>245</v>
      </c>
      <c r="S5" s="261" t="s">
        <v>245</v>
      </c>
      <c r="T5" s="261" t="s">
        <v>245</v>
      </c>
      <c r="U5" s="261" t="s">
        <v>245</v>
      </c>
      <c r="V5" s="261" t="s">
        <v>245</v>
      </c>
      <c r="W5" s="261" t="s">
        <v>245</v>
      </c>
      <c r="X5" s="261" t="s">
        <v>245</v>
      </c>
      <c r="Y5" s="261" t="s">
        <v>245</v>
      </c>
      <c r="Z5" s="261" t="s">
        <v>245</v>
      </c>
    </row>
    <row r="6" spans="1:49" ht="14.5" x14ac:dyDescent="0.35">
      <c r="A6" s="243" t="s">
        <v>71</v>
      </c>
      <c r="B6" s="574">
        <v>431</v>
      </c>
      <c r="C6" s="574">
        <v>613</v>
      </c>
      <c r="D6" s="574">
        <v>717</v>
      </c>
      <c r="E6" s="574">
        <v>716</v>
      </c>
      <c r="F6" s="574">
        <v>777</v>
      </c>
      <c r="G6" s="574">
        <v>605</v>
      </c>
      <c r="H6" s="574">
        <v>531</v>
      </c>
      <c r="I6" s="574">
        <v>598</v>
      </c>
      <c r="J6" s="574">
        <v>614</v>
      </c>
      <c r="K6" s="574">
        <v>763</v>
      </c>
      <c r="L6" s="574">
        <v>617</v>
      </c>
      <c r="M6" s="574">
        <v>541</v>
      </c>
      <c r="N6" s="574">
        <v>752</v>
      </c>
      <c r="O6" s="574">
        <v>631</v>
      </c>
      <c r="P6" s="574">
        <v>769</v>
      </c>
      <c r="Q6" s="574">
        <v>781</v>
      </c>
      <c r="R6" s="574">
        <v>975</v>
      </c>
      <c r="S6" s="574">
        <v>757</v>
      </c>
      <c r="T6" s="574">
        <v>820</v>
      </c>
      <c r="U6" s="574">
        <v>948</v>
      </c>
      <c r="V6" s="574">
        <v>867</v>
      </c>
      <c r="W6" s="574">
        <v>700</v>
      </c>
      <c r="X6" s="574">
        <v>687</v>
      </c>
      <c r="Y6" s="574">
        <v>539</v>
      </c>
      <c r="Z6" s="574">
        <v>702</v>
      </c>
      <c r="AA6" s="245">
        <f>('CAC Update'!AD50)*Sensativities!$B$53</f>
        <v>1112.8180897738782</v>
      </c>
      <c r="AB6" s="245">
        <f>('CAC Update'!AE50)*Sensativities!$B$53</f>
        <v>992.00000000000011</v>
      </c>
      <c r="AC6" s="245">
        <f>('CAC Update'!AF50)*Sensativities!$B$53</f>
        <v>1377.5238095238094</v>
      </c>
      <c r="AD6" s="245">
        <f>('CAC Update'!AG50)*Sensativities!$B$53</f>
        <v>1389.7142857142856</v>
      </c>
      <c r="AE6" s="245">
        <f>('CAC Update'!AH50)*Sensativities!$B$53</f>
        <v>1219.047619047619</v>
      </c>
      <c r="AF6" s="245">
        <f>('CAC Update'!AI50)*Sensativities!$B$53</f>
        <v>1097.1428571428573</v>
      </c>
      <c r="AG6" s="245">
        <f>('CAC Update'!AJ50)*Sensativities!$B$53</f>
        <v>975.2380952380953</v>
      </c>
      <c r="AH6" s="245">
        <f>('CAC Update'!AK50)*Sensativities!$B$53</f>
        <v>975.2380952380953</v>
      </c>
      <c r="AI6" s="245">
        <f>('CAC Update'!AL50)*Sensativities!$B$53</f>
        <v>1440</v>
      </c>
      <c r="AJ6" s="245">
        <f>('CAC Update'!AM50)*Sensativities!$B$53</f>
        <v>1440</v>
      </c>
      <c r="AK6" s="245">
        <f>('CAC Update'!AN50)*Sensativities!$B$53</f>
        <v>1440</v>
      </c>
      <c r="AL6" s="245">
        <f>('CAC Update'!AO50)*Sensativities!$B$53</f>
        <v>1440</v>
      </c>
      <c r="AM6" s="245">
        <f>('CAC Update'!AP50)*Sensativities!$B$53</f>
        <v>1440</v>
      </c>
      <c r="AN6" s="245">
        <f>('CAC Update'!AQ50)*Sensativities!$B$53</f>
        <v>1440</v>
      </c>
      <c r="AO6" s="245">
        <f>('CAC Update'!AR50)*Sensativities!$B$53</f>
        <v>1440</v>
      </c>
      <c r="AP6" s="245">
        <f>('CAC Update'!AS50)*Sensativities!$B$53</f>
        <v>1440</v>
      </c>
      <c r="AQ6" s="245">
        <f>('CAC Update'!AT50)*Sensativities!$B$53</f>
        <v>1440</v>
      </c>
      <c r="AR6" s="245">
        <f>('CAC Update'!AU50)*Sensativities!$B$53</f>
        <v>1440</v>
      </c>
      <c r="AS6" s="245">
        <f>('CAC Update'!AV50)*Sensativities!$B$53</f>
        <v>1440</v>
      </c>
      <c r="AT6" s="245">
        <f>('CAC Update'!AW50)*Sensativities!$B$53</f>
        <v>1440</v>
      </c>
      <c r="AU6" s="245">
        <f>('CAC Update'!AX50)*Sensativities!$B$53</f>
        <v>1440</v>
      </c>
      <c r="AV6" s="245">
        <f>('CAC Update'!AY50)*Sensativities!$B$53</f>
        <v>1440</v>
      </c>
      <c r="AW6" s="245">
        <f>('CAC Update'!AZ50)*Sensativities!$B$53</f>
        <v>1440</v>
      </c>
    </row>
    <row r="7" spans="1:49" x14ac:dyDescent="0.3">
      <c r="B7" s="313"/>
      <c r="C7" s="313"/>
      <c r="D7" s="313"/>
      <c r="E7" s="313"/>
      <c r="F7" s="313"/>
      <c r="AL7" s="313"/>
      <c r="AM7" s="313"/>
      <c r="AN7" s="313"/>
      <c r="AO7" s="313"/>
      <c r="AP7" s="313"/>
      <c r="AQ7" s="313"/>
      <c r="AR7" s="313"/>
      <c r="AS7" s="313"/>
      <c r="AT7" s="313"/>
      <c r="AU7" s="313"/>
      <c r="AV7" s="313"/>
      <c r="AW7" s="313"/>
    </row>
    <row r="8" spans="1:49" x14ac:dyDescent="0.3">
      <c r="AL8" s="313"/>
      <c r="AM8" s="313"/>
      <c r="AN8" s="313"/>
      <c r="AO8" s="313"/>
      <c r="AP8" s="313"/>
      <c r="AQ8" s="313"/>
      <c r="AR8" s="313"/>
      <c r="AS8" s="313"/>
      <c r="AT8" s="313"/>
      <c r="AU8" s="313"/>
      <c r="AV8" s="313"/>
      <c r="AW8" s="313"/>
    </row>
    <row r="9" spans="1:49" x14ac:dyDescent="0.3">
      <c r="A9" s="243" t="s">
        <v>223</v>
      </c>
      <c r="B9" s="253">
        <f>(Sensativities!$B$52*B6)*Sensativities!D16</f>
        <v>0</v>
      </c>
      <c r="C9" s="253">
        <f>((Sensativities!$B$52*C6)*Sensativities!E16)+B9</f>
        <v>0</v>
      </c>
      <c r="D9" s="253">
        <f>((Sensativities!$B$52*D6)*Sensativities!F16)+C9</f>
        <v>0</v>
      </c>
      <c r="E9" s="253">
        <f>((Sensativities!$B$52*E6)*Sensativities!G16)+D9</f>
        <v>0</v>
      </c>
      <c r="F9" s="253">
        <f>((Sensativities!$B$52*F6)*Sensativities!H16)+E9</f>
        <v>0</v>
      </c>
      <c r="G9" s="253">
        <f>((Sensativities!$B$52*G6)*Sensativities!I16)+F9</f>
        <v>0</v>
      </c>
      <c r="H9" s="253">
        <f>((Sensativities!$B$52*H6)*Sensativities!J16)+G9</f>
        <v>0</v>
      </c>
      <c r="I9" s="253">
        <f>((Sensativities!$B$52*I6)*Sensativities!K16)+H9</f>
        <v>0</v>
      </c>
      <c r="J9" s="253">
        <f>((Sensativities!$B$52*J6)*Sensativities!L16)+I9</f>
        <v>0</v>
      </c>
      <c r="K9" s="253">
        <f>((Sensativities!$B$52*K6)*Sensativities!M16)+J9</f>
        <v>3357.2</v>
      </c>
      <c r="L9" s="253">
        <f>((Sensativities!$B$52*L6)*Sensativities!N16)+K9</f>
        <v>6072</v>
      </c>
      <c r="M9" s="253">
        <f>((Sensativities!$B$52*M6)*Sensativities!O16)+L9</f>
        <v>8452.4</v>
      </c>
      <c r="N9" s="253">
        <f>((Sensativities!$B$52*N6)*Sensativities!P16)+M9</f>
        <v>11761.2</v>
      </c>
      <c r="O9" s="253">
        <f>((Sensativities!$B$52*O6)*Sensativities!Q16)+N9</f>
        <v>14537.6</v>
      </c>
      <c r="P9" s="253">
        <f>((Sensativities!$B$52*P6)*Sensativities!R16)+O9</f>
        <v>17921.2</v>
      </c>
      <c r="Q9" s="253">
        <f>((Sensativities!$B$52*Q6)*Sensativities!S16)+P9</f>
        <v>21357.600000000002</v>
      </c>
      <c r="R9" s="253">
        <f>((Sensativities!$B$52*R6)*Sensativities!T16)+Q9</f>
        <v>25647.600000000002</v>
      </c>
      <c r="S9" s="253">
        <f>((Sensativities!$B$52*S6)*Sensativities!U16)+R9</f>
        <v>28978.400000000001</v>
      </c>
      <c r="T9" s="253">
        <f>((Sensativities!$B$52*T6)*Sensativities!V16)+S9</f>
        <v>32586.400000000001</v>
      </c>
      <c r="U9" s="253">
        <f>((Sensativities!$B$52*U6)*Sensativities!W16)+T9</f>
        <v>36757.600000000006</v>
      </c>
      <c r="V9" s="253">
        <f>((Sensativities!$B$52*V6)*Sensativities!X16)+U9</f>
        <v>40572.400000000009</v>
      </c>
      <c r="W9" s="253">
        <f>((Sensativities!$B$52*W6)*Sensativities!Y16)+V9</f>
        <v>43652.400000000009</v>
      </c>
      <c r="X9" s="253">
        <f>((Sensativities!$B$52*X6)*Sensativities!Z16)+W9</f>
        <v>46675.200000000012</v>
      </c>
      <c r="Y9" s="253">
        <f>((Sensativities!$B$52*Y6)*Sensativities!AA16)+X9</f>
        <v>49046.80000000001</v>
      </c>
      <c r="Z9" s="253">
        <f>((Sensativities!$B$52*Z6)*Sensativities!AB16)+Y9</f>
        <v>52135.600000000013</v>
      </c>
      <c r="AA9" s="253">
        <f>((Sensativities!$B$52*AA6)*Sensativities!AC16)+Z9</f>
        <v>57031.99959500508</v>
      </c>
      <c r="AB9" s="253">
        <f>((Sensativities!$B$52*AB6)*Sensativities!AD16)+AA9</f>
        <v>61396.799595005083</v>
      </c>
      <c r="AC9" s="253">
        <f>((Sensativities!$B$52*AC6)*Sensativities!AE16)+AB9</f>
        <v>67457.904356909843</v>
      </c>
      <c r="AD9" s="253">
        <f>((Sensativities!$B$52*AD6)*Sensativities!AF16)+AC9</f>
        <v>73572.647214052704</v>
      </c>
      <c r="AE9" s="253">
        <f>((Sensativities!$B$52*AE6)*Sensativities!AG16)+AD9</f>
        <v>78936.456737862231</v>
      </c>
      <c r="AF9" s="253">
        <f>((Sensativities!$B$52*AF6)*Sensativities!AH16)+AE9</f>
        <v>83763.88530929081</v>
      </c>
      <c r="AG9" s="253">
        <f>((Sensativities!$B$52*AG6)*Sensativities!AI16)+AF9</f>
        <v>88054.932928338429</v>
      </c>
      <c r="AH9" s="253">
        <f>((Sensativities!$B$52*AH6)*Sensativities!AJ16)+AG9</f>
        <v>92345.980547386047</v>
      </c>
      <c r="AI9" s="253">
        <f>((Sensativities!$B$52*AI6)*Sensativities!AK16)+AH9</f>
        <v>98681.980547386047</v>
      </c>
      <c r="AJ9" s="253">
        <f>((Sensativities!$B$52*AJ6)*Sensativities!AL16)+AI9</f>
        <v>105017.98054738605</v>
      </c>
      <c r="AK9" s="253">
        <f>((Sensativities!$B$52*AK6)*Sensativities!AM16)+AJ9</f>
        <v>111353.98054738605</v>
      </c>
      <c r="AL9" s="314">
        <f>((Sensativities!$B$52*AL6)*Sensativities!AN16)+AK9</f>
        <v>117689.98054738605</v>
      </c>
      <c r="AM9" s="314">
        <f>((Sensativities!$B$52*AM6)*Sensativities!AO16)+AL9</f>
        <v>124025.98054738605</v>
      </c>
      <c r="AN9" s="314">
        <f>((Sensativities!$B$52*AN6)*Sensativities!AP16)+AM9</f>
        <v>130361.98054738605</v>
      </c>
      <c r="AO9" s="314">
        <f>((Sensativities!$B$52*AO6)*Sensativities!AQ16)+AN9</f>
        <v>136697.98054738605</v>
      </c>
      <c r="AP9" s="314">
        <f>((Sensativities!$B$52*AP6)*Sensativities!AR16)+AO9</f>
        <v>143033.98054738605</v>
      </c>
      <c r="AQ9" s="314">
        <f>((Sensativities!$B$52*AQ6)*Sensativities!AS16)+AP9</f>
        <v>149369.98054738605</v>
      </c>
      <c r="AR9" s="314">
        <f>((Sensativities!$B$52*AR6)*Sensativities!AT16)+AQ9</f>
        <v>155705.98054738605</v>
      </c>
      <c r="AS9" s="314">
        <f>((Sensativities!$B$52*AS6)*Sensativities!AU16)+AR9</f>
        <v>162041.98054738605</v>
      </c>
      <c r="AT9" s="314">
        <f>((Sensativities!$B$52*AT6)*Sensativities!AV16)+AS9</f>
        <v>168377.98054738605</v>
      </c>
      <c r="AU9" s="314">
        <f>((Sensativities!$B$52*AU6)*Sensativities!AW16)+AT9</f>
        <v>174713.98054738605</v>
      </c>
      <c r="AV9" s="314">
        <f>((Sensativities!$B$52*AV6)*Sensativities!AX16)+AU9</f>
        <v>181049.98054738605</v>
      </c>
      <c r="AW9" s="314">
        <f>((Sensativities!$B$52*AW6)*Sensativities!AY16)+AV9</f>
        <v>187385.98054738605</v>
      </c>
    </row>
    <row r="10" spans="1:49" x14ac:dyDescent="0.3">
      <c r="B10" s="252"/>
      <c r="C10" s="252"/>
      <c r="D10" s="252"/>
      <c r="E10" s="252"/>
      <c r="F10" s="252"/>
      <c r="G10" s="252"/>
      <c r="H10" s="252"/>
      <c r="I10" s="252"/>
      <c r="J10" s="252"/>
      <c r="K10" s="252"/>
      <c r="L10" s="252"/>
      <c r="M10" s="252"/>
      <c r="N10" s="252"/>
      <c r="O10" s="252"/>
      <c r="P10" s="252"/>
      <c r="Q10" s="252"/>
      <c r="R10" s="252"/>
      <c r="S10" s="252"/>
      <c r="T10" s="252"/>
      <c r="U10" s="252"/>
      <c r="V10" s="252"/>
      <c r="W10" s="252"/>
      <c r="X10" s="252"/>
      <c r="Y10" s="252"/>
      <c r="Z10" s="253"/>
      <c r="AA10" s="253"/>
      <c r="AB10" s="253"/>
      <c r="AC10" s="253"/>
      <c r="AD10" s="253"/>
      <c r="AE10" s="253"/>
      <c r="AF10" s="253"/>
      <c r="AG10" s="253"/>
      <c r="AH10" s="253"/>
      <c r="AI10" s="253"/>
      <c r="AJ10" s="253"/>
      <c r="AK10" s="253"/>
    </row>
    <row r="11" spans="1:49" s="273" customFormat="1" x14ac:dyDescent="0.3">
      <c r="B11" s="274" t="s">
        <v>278</v>
      </c>
      <c r="C11" s="274"/>
      <c r="D11" s="274"/>
      <c r="E11" s="274"/>
      <c r="F11" s="274"/>
      <c r="G11" s="274"/>
      <c r="H11" s="274"/>
      <c r="I11" s="274"/>
      <c r="J11" s="274"/>
      <c r="K11" s="274"/>
      <c r="L11" s="274"/>
      <c r="M11" s="274"/>
      <c r="N11" s="274"/>
      <c r="O11" s="274"/>
      <c r="P11" s="274"/>
      <c r="Q11" s="274"/>
      <c r="R11" s="274"/>
      <c r="S11" s="274"/>
      <c r="T11" s="274"/>
      <c r="U11" s="274"/>
      <c r="V11" s="274"/>
      <c r="W11" s="274"/>
      <c r="X11" s="274"/>
      <c r="Y11" s="274"/>
      <c r="Z11" s="275"/>
      <c r="AA11" s="275"/>
      <c r="AB11" s="275"/>
      <c r="AC11" s="275"/>
      <c r="AD11" s="275"/>
      <c r="AE11" s="275"/>
      <c r="AF11" s="275"/>
      <c r="AG11" s="275"/>
      <c r="AH11" s="275"/>
      <c r="AI11" s="275"/>
      <c r="AJ11" s="275"/>
      <c r="AK11" s="275"/>
    </row>
    <row r="12" spans="1:49" x14ac:dyDescent="0.3">
      <c r="A12" s="243" t="s">
        <v>277</v>
      </c>
    </row>
    <row r="13" spans="1:49" x14ac:dyDescent="0.3">
      <c r="A13" s="270" t="s">
        <v>200</v>
      </c>
      <c r="B13" s="271">
        <f>((B$6*Sensativities!D19)*Sensativities!D32)*Sensativities!D$17</f>
        <v>11766.3</v>
      </c>
      <c r="C13" s="253">
        <f>((C$6*Sensativities!E$19)*Sensativities!E$32)*Sensativities!E$17</f>
        <v>16734.899999999998</v>
      </c>
      <c r="D13" s="253">
        <f>(($D$6*Sensativities!F19)*Sensativities!F32)*Sensativities!F$17</f>
        <v>19574.099999999999</v>
      </c>
      <c r="E13" s="253">
        <f>(($E$6*Sensativities!G19)*Sensativities!G32)*Sensativities!G$17</f>
        <v>19546.8</v>
      </c>
      <c r="F13" s="253">
        <f>(($F$6*Sensativities!H19)*Sensativities!H32)*Sensativities!H$17</f>
        <v>21212.1</v>
      </c>
      <c r="G13" s="253">
        <f>(($G$6*Sensativities!I19)*Sensativities!I32)*Sensativities!I$17</f>
        <v>16516.5</v>
      </c>
      <c r="H13" s="253">
        <f>(($H$6*Sensativities!J19)*Sensativities!J32)*Sensativities!J$17</f>
        <v>14496.3</v>
      </c>
      <c r="I13" s="253">
        <f>(($I$6*Sensativities!K19)*Sensativities!K32)*Sensativities!K$17</f>
        <v>16325.4</v>
      </c>
      <c r="J13" s="253">
        <f>(($J$6*Sensativities!L19)*Sensativities!L32)*Sensativities!L$17</f>
        <v>16762.2</v>
      </c>
      <c r="K13" s="253">
        <f>(($K$6*Sensativities!M19)*Sensativities!M32)*Sensativities!M$17</f>
        <v>20829.899999999998</v>
      </c>
      <c r="L13" s="253">
        <f>(($L$6*Sensativities!N19)*Sensativities!N32)*Sensativities!N$17</f>
        <v>16844.099999999999</v>
      </c>
      <c r="M13" s="253">
        <f>(($M$6*Sensativities!O19)*Sensativities!O32)*Sensativities!O$17</f>
        <v>14769.3</v>
      </c>
      <c r="N13" s="253">
        <f>(($N$6*Sensativities!P19)*Sensativities!P32)*Sensativities!P$17</f>
        <v>19740</v>
      </c>
      <c r="O13" s="253">
        <f>(($O$6*Sensativities!Q19)*Sensativities!Q32)*Sensativities!Q$17</f>
        <v>16563.75</v>
      </c>
      <c r="P13" s="253">
        <f>(($P$6*Sensativities!R19)*Sensativities!R32)*Sensativities!R$17</f>
        <v>20186.25</v>
      </c>
      <c r="Q13" s="253">
        <f>(($Q$6*Sensativities!S19)*Sensativities!S32)*Sensativities!S$17</f>
        <v>20501.25</v>
      </c>
      <c r="R13" s="253">
        <f>(($R$6*Sensativities!T19)*Sensativities!T32)*Sensativities!T$17</f>
        <v>25593.75</v>
      </c>
      <c r="S13" s="253">
        <f>(($S$6*Sensativities!U19)*Sensativities!U32)*Sensativities!U$17</f>
        <v>19871.25</v>
      </c>
      <c r="T13" s="253">
        <f>(($T$6*Sensativities!V19)*Sensativities!V32)*Sensativities!V$17</f>
        <v>21525</v>
      </c>
      <c r="U13" s="253">
        <f>(($U$6*Sensativities!W19)*Sensativities!W32)*Sensativities!W$17</f>
        <v>24885</v>
      </c>
      <c r="V13" s="253">
        <f>(($V$6*Sensativities!X19)*Sensativities!X32)*Sensativities!X$17</f>
        <v>22758.75</v>
      </c>
      <c r="W13" s="253">
        <f>(($W$6*Sensativities!Y19)*Sensativities!Y32)*Sensativities!Y$17</f>
        <v>18375</v>
      </c>
      <c r="X13" s="253">
        <f>(($X$6*Sensativities!Z19)*Sensativities!Z32)*Sensativities!Z$17</f>
        <v>18033.75</v>
      </c>
      <c r="Y13" s="253">
        <f>(($Y$6*Sensativities!AA19)*Sensativities!AA32)*Sensativities!AA$17</f>
        <v>14148.75</v>
      </c>
      <c r="Z13" s="279">
        <f>(($Z$6*Sensativities!AB19)*Sensativities!AB32)*Sensativities!AB$17</f>
        <v>18427.5</v>
      </c>
      <c r="AA13" s="253">
        <f>(($AA$6*Sensativities!AC19)*Sensativities!AC32)*Sensativities!AC$17</f>
        <v>29211.474856564306</v>
      </c>
      <c r="AB13" s="253">
        <f>(($AB$6*Sensativities!AD19)*Sensativities!AD32)*Sensativities!AD$17</f>
        <v>26040.000000000004</v>
      </c>
      <c r="AC13" s="253">
        <f>(($AC$6*Sensativities!AE19)*Sensativities!AE32)*Sensativities!AE$17</f>
        <v>36160</v>
      </c>
      <c r="AD13" s="253">
        <f>(($AD$6*Sensativities!AF19)*Sensativities!AF32)*Sensativities!AF$17</f>
        <v>36480</v>
      </c>
      <c r="AE13" s="253">
        <f>(($AE$6*Sensativities!AG19)*Sensativities!AG32)*Sensativities!AG$17</f>
        <v>32000</v>
      </c>
      <c r="AF13" s="253">
        <f>(($AF$6*Sensativities!AH19)*Sensativities!AH32)*Sensativities!AH$17</f>
        <v>20160.000000000007</v>
      </c>
      <c r="AG13" s="253">
        <f>(($AG$6*Sensativities!AI19)*Sensativities!AI32)*Sensativities!AI$17</f>
        <v>17920</v>
      </c>
      <c r="AH13" s="253">
        <f>(($AH$6*Sensativities!AJ19)*Sensativities!AJ32)*Sensativities!AJ$17</f>
        <v>30720</v>
      </c>
      <c r="AI13" s="253">
        <f>(($AI$6*Sensativities!AK19)*Sensativities!AK32)*Sensativities!AK$17</f>
        <v>45360</v>
      </c>
      <c r="AJ13" s="253">
        <f>(($AJ$6*Sensativities!AL19)*Sensativities!AL32)*Sensativities!AL$17</f>
        <v>30240</v>
      </c>
      <c r="AK13" s="253">
        <f>(($AK$6*Sensativities!AM19)*Sensativities!AM32)*Sensativities!AM$17</f>
        <v>22680</v>
      </c>
      <c r="AL13" s="621">
        <f>(($AI$6*Sensativities!AN19)*Sensativities!AN32)*Sensativities!AN$17</f>
        <v>37800</v>
      </c>
      <c r="AM13" s="621">
        <f>(($AJ$6*Sensativities!AO19)*Sensativities!AO32)*Sensativities!AO$17</f>
        <v>37800</v>
      </c>
      <c r="AN13" s="621">
        <f>(($AK$6*Sensativities!AP19)*Sensativities!AP32)*Sensativities!AP$17</f>
        <v>37800</v>
      </c>
      <c r="AO13" s="621">
        <f>(($AI$6*Sensativities!AQ19)*Sensativities!AQ32)*Sensativities!AQ$17</f>
        <v>37800</v>
      </c>
      <c r="AP13" s="621">
        <f>(($AJ$6*Sensativities!AR19)*Sensativities!AR32)*Sensativities!AR$17</f>
        <v>37800</v>
      </c>
      <c r="AQ13" s="621">
        <f>(($AK$6*Sensativities!AS19)*Sensativities!AS32)*Sensativities!AS$17</f>
        <v>37800</v>
      </c>
      <c r="AR13" s="621">
        <f>(($AI$6*Sensativities!AT19)*Sensativities!AT32)*Sensativities!AT$17</f>
        <v>37800</v>
      </c>
      <c r="AS13" s="621">
        <f>(($AJ$6*Sensativities!AU19)*Sensativities!AU32)*Sensativities!AU$17</f>
        <v>37800</v>
      </c>
      <c r="AT13" s="621">
        <f>(($AK$6*Sensativities!AV19)*Sensativities!AV32)*Sensativities!AV$17</f>
        <v>37800</v>
      </c>
      <c r="AU13" s="621">
        <f>(($AI$6*Sensativities!AW19)*Sensativities!AW32)*Sensativities!AW$17</f>
        <v>37800</v>
      </c>
      <c r="AV13" s="621">
        <f>(($AJ$6*Sensativities!AX19)*Sensativities!AX32)*Sensativities!AX$17</f>
        <v>37800</v>
      </c>
      <c r="AW13" s="621">
        <f>(($AK$6*Sensativities!AY19)*Sensativities!AY32)*Sensativities!AY$17</f>
        <v>37800</v>
      </c>
    </row>
    <row r="14" spans="1:49" x14ac:dyDescent="0.3">
      <c r="A14" s="243" t="s">
        <v>201</v>
      </c>
      <c r="B14" s="253">
        <v>30614.3843952932</v>
      </c>
      <c r="C14" s="271">
        <f>$B$6*Sensativities!E20</f>
        <v>262.90999999999997</v>
      </c>
      <c r="D14" s="253">
        <f>(($C$6*Sensativities!E20)*Sensativities!E33)*Sensativities!E$17</f>
        <v>28194.322</v>
      </c>
      <c r="E14" s="253">
        <f>(($D$6*Sensativities!G20)*Sensativities!G33)*Sensativities!G$17</f>
        <v>32977.697999999997</v>
      </c>
      <c r="F14" s="253">
        <f>(($E$6*Sensativities!H20)*Sensativities!H33)*Sensativities!H$17</f>
        <v>32931.703999999998</v>
      </c>
      <c r="G14" s="253">
        <f>(($F$6*Sensativities!I20)*Sensativities!I33)*Sensativities!I$17</f>
        <v>35737.337999999996</v>
      </c>
      <c r="H14" s="253">
        <f>(($G$6*Sensativities!J20)*Sensativities!J33)*Sensativities!J$17</f>
        <v>27826.37</v>
      </c>
      <c r="I14" s="253">
        <f>(($H$6*Sensativities!K20)*Sensativities!K33)*Sensativities!K$17</f>
        <v>24422.813999999995</v>
      </c>
      <c r="J14" s="253">
        <f>(($I$6*Sensativities!L20)*Sensativities!L33)*Sensativities!L$17</f>
        <v>27504.412</v>
      </c>
      <c r="K14" s="253">
        <f>(($J$6*Sensativities!M20)*Sensativities!M33)*Sensativities!M$17</f>
        <v>28240.315999999999</v>
      </c>
      <c r="L14" s="253">
        <f>(($K$6*Sensativities!N20)*Sensativities!N33)*Sensativities!N$17</f>
        <v>35093.421999999999</v>
      </c>
      <c r="M14" s="253">
        <f>(($L$6*Sensativities!O20)*Sensativities!O33)*Sensativities!O$17</f>
        <v>28378.297999999999</v>
      </c>
      <c r="N14" s="253">
        <f>(($M$6*Sensativities!P20)*Sensativities!P33)*Sensativities!P$17</f>
        <v>23925.725000000002</v>
      </c>
      <c r="O14" s="253">
        <f>(($N$6*Sensativities!Q20)*Sensativities!Q33)*Sensativities!Q$17</f>
        <v>33257.200000000004</v>
      </c>
      <c r="P14" s="253">
        <f>(($O$6*Sensativities!R20)*Sensativities!R33)*Sensativities!R$17</f>
        <v>27905.975000000002</v>
      </c>
      <c r="Q14" s="253">
        <f>(($P$6*Sensativities!S20)*Sensativities!S33)*Sensativities!S$17</f>
        <v>34009.025000000001</v>
      </c>
      <c r="R14" s="253">
        <f>(($Q$6*Sensativities!T20)*Sensativities!T33)*Sensativities!T$17</f>
        <v>34539.724999999999</v>
      </c>
      <c r="S14" s="253">
        <f>(($R$6*Sensativities!U20)*Sensativities!U33)*Sensativities!U$17</f>
        <v>43119.375</v>
      </c>
      <c r="T14" s="253">
        <f>(($S$6*Sensativities!V20)*Sensativities!V33)*Sensativities!V$17</f>
        <v>33478.325000000004</v>
      </c>
      <c r="U14" s="253">
        <f>(($T$6*Sensativities!W20)*Sensativities!W33)*Sensativities!W$17</f>
        <v>36264.5</v>
      </c>
      <c r="V14" s="253">
        <f>(($U$6*Sensativities!X20)*Sensativities!X33)*Sensativities!X$17</f>
        <v>41925.300000000003</v>
      </c>
      <c r="W14" s="253">
        <f>(($V$6*Sensativities!Y20)*Sensativities!Y33)*Sensativities!Y$17</f>
        <v>38343.075000000004</v>
      </c>
      <c r="X14" s="253">
        <f>(($W$6*Sensativities!Z20)*Sensativities!Z33)*Sensativities!Z$17</f>
        <v>30957.5</v>
      </c>
      <c r="Y14" s="253">
        <f>(($X$6*Sensativities!AA20)*Sensativities!AA33)*Sensativities!AA$17</f>
        <v>30382.575000000001</v>
      </c>
      <c r="Z14" s="253">
        <f>(($Y$6*Sensativities!AB20)*Sensativities!AB33)*Sensativities!AB$17</f>
        <v>23837.275000000005</v>
      </c>
      <c r="AA14" s="279">
        <f>(($Z$6*Sensativities!AC20)*Sensativities!AC33)*Sensativities!AC$17</f>
        <v>31045.95</v>
      </c>
      <c r="AB14" s="253">
        <f>(($AA$6*Sensativities!AD20)*Sensativities!AD33)*Sensativities!AD$17</f>
        <v>49214.380020249766</v>
      </c>
      <c r="AC14" s="253">
        <f>(($AB$6*Sensativities!AE20)*Sensativities!AE33)*Sensativities!AE$17</f>
        <v>43871.200000000004</v>
      </c>
      <c r="AD14" s="253">
        <f>(($AC$6*Sensativities!AF20)*Sensativities!AF33)*Sensativities!AF$17</f>
        <v>60920.990476190476</v>
      </c>
      <c r="AE14" s="253">
        <f>(($AD$6*Sensativities!AG20)*Sensativities!AG33)*Sensativities!AG$17</f>
        <v>61460.114285714277</v>
      </c>
      <c r="AF14" s="253">
        <f>(($AE$6*Sensativities!AH20)*Sensativities!AH33)*Sensativities!AH$17</f>
        <v>37738.666666666664</v>
      </c>
      <c r="AG14" s="253">
        <f>(($AF$6*Sensativities!AI20)*Sensativities!AI33)*Sensativities!AI$17</f>
        <v>33964.80000000001</v>
      </c>
      <c r="AH14" s="253">
        <f>(($AG$6*Sensativities!AJ20)*Sensativities!AJ33)*Sensativities!AJ$17</f>
        <v>51755.885714285716</v>
      </c>
      <c r="AI14" s="253">
        <f>(($AH$6*Sensativities!AK20)*Sensativities!AK33)*Sensativities!AK$17</f>
        <v>51755.885714285716</v>
      </c>
      <c r="AJ14" s="253">
        <f>(($AI$6*Sensativities!AL20)*Sensativities!AL33)*Sensativities!AL$17</f>
        <v>50947.200000000004</v>
      </c>
      <c r="AK14" s="253">
        <f>(($AJ$6*Sensativities!AM20)*Sensativities!AM33)*Sensativities!AM$17</f>
        <v>38210.400000000001</v>
      </c>
      <c r="AL14" s="621">
        <f>(($AK$6*Sensativities!AN20)*Sensativities!AN33)*Sensativities!AN$17</f>
        <v>63684</v>
      </c>
      <c r="AM14" s="621">
        <f>(($AK$6*Sensativities!AO20)*Sensativities!AO33)*Sensativities!AO$17</f>
        <v>63684</v>
      </c>
      <c r="AN14" s="621">
        <f>(($AK$6*Sensativities!AP20)*Sensativities!AP33)*Sensativities!AP$17</f>
        <v>63684</v>
      </c>
      <c r="AO14" s="621">
        <f>(($AK$6*Sensativities!AQ20)*Sensativities!AQ33)*Sensativities!AQ$17</f>
        <v>63684</v>
      </c>
      <c r="AP14" s="621">
        <f>(($AK$6*Sensativities!AR20)*Sensativities!AR33)*Sensativities!AR$17</f>
        <v>63684</v>
      </c>
      <c r="AQ14" s="621">
        <f>(($AK$6*Sensativities!AS20)*Sensativities!AS33)*Sensativities!AS$17</f>
        <v>63684</v>
      </c>
      <c r="AR14" s="621">
        <f>(($AK$6*Sensativities!AT20)*Sensativities!AT33)*Sensativities!AT$17</f>
        <v>63684</v>
      </c>
      <c r="AS14" s="621">
        <f>(($AK$6*Sensativities!AU20)*Sensativities!AU33)*Sensativities!AU$17</f>
        <v>63684</v>
      </c>
      <c r="AT14" s="621">
        <f>(($AK$6*Sensativities!AV20)*Sensativities!AV33)*Sensativities!AV$17</f>
        <v>63684</v>
      </c>
      <c r="AU14" s="621">
        <f>(($AK$6*Sensativities!AW20)*Sensativities!AW33)*Sensativities!AW$17</f>
        <v>63684</v>
      </c>
      <c r="AV14" s="621">
        <f>(($AK$6*Sensativities!AX20)*Sensativities!AX33)*Sensativities!AX$17</f>
        <v>63684</v>
      </c>
      <c r="AW14" s="621">
        <f>(($AK$6*Sensativities!AY20)*Sensativities!AY33)*Sensativities!AY$17</f>
        <v>63684</v>
      </c>
    </row>
    <row r="15" spans="1:49" x14ac:dyDescent="0.3">
      <c r="A15" s="243" t="s">
        <v>202</v>
      </c>
      <c r="B15" s="253">
        <v>23875.290226304398</v>
      </c>
      <c r="C15" s="272">
        <v>23875.290226304398</v>
      </c>
      <c r="D15" s="271">
        <f>(($B$6*Sensativities!F21)*Sensativities!F34)*Sensativities!F$17</f>
        <v>18203.026399999995</v>
      </c>
      <c r="E15" s="253">
        <f>(($C$6*Sensativities!F21)*Sensativities!F34)*Sensativities!F$17</f>
        <v>25889.687199999997</v>
      </c>
      <c r="F15" s="253">
        <f>(($D$6*Sensativities!H21)*Sensativities!H34)*Sensativities!H$17</f>
        <v>30282.0648</v>
      </c>
      <c r="G15" s="253">
        <f>(($E$6*Sensativities!I21)*Sensativities!I34)*Sensativities!I$17</f>
        <v>30239.830400000003</v>
      </c>
      <c r="H15" s="253">
        <f>(($F$6*Sensativities!J21)*Sensativities!J34)*Sensativities!J$17</f>
        <v>32816.128799999999</v>
      </c>
      <c r="I15" s="253">
        <f>(($G$6*Sensativities!K21)*Sensativities!K34)*Sensativities!K$17</f>
        <v>25551.812000000002</v>
      </c>
      <c r="J15" s="253">
        <f>(($H$6*Sensativities!L21)*Sensativities!L34)*Sensativities!L$17</f>
        <v>22426.466399999998</v>
      </c>
      <c r="K15" s="253">
        <f>(($I$6*Sensativities!M21)*Sensativities!M34)*Sensativities!M$17</f>
        <v>25256.171199999997</v>
      </c>
      <c r="L15" s="253">
        <f>(($J$6*Sensativities!N21)*Sensativities!N34)*Sensativities!N$17</f>
        <v>25931.921599999998</v>
      </c>
      <c r="M15" s="253">
        <f>(($K$6*Sensativities!O21)*Sensativities!O34)*Sensativities!O$17</f>
        <v>32224.847199999997</v>
      </c>
      <c r="N15" s="253">
        <f>(($L$6*Sensativities!P21)*Sensativities!P34)*Sensativities!P$17</f>
        <v>25056.370000000003</v>
      </c>
      <c r="O15" s="253">
        <f>(($M$6*Sensativities!Q21)*Sensativities!Q34)*Sensativities!Q$17</f>
        <v>21970.010000000002</v>
      </c>
      <c r="P15" s="253">
        <f>(($N$6*Sensativities!R21)*Sensativities!R34)*Sensativities!R$17</f>
        <v>30538.720000000001</v>
      </c>
      <c r="Q15" s="253">
        <f>(($O$6*Sensativities!S21)*Sensativities!S34)*Sensativities!S$17</f>
        <v>25624.91</v>
      </c>
      <c r="R15" s="253">
        <f>(($P$6*Sensativities!T21)*Sensativities!T34)*Sensativities!T$17</f>
        <v>31229.089999999997</v>
      </c>
      <c r="S15" s="253">
        <f>(($Q$6*Sensativities!U21)*Sensativities!U34)*Sensativities!U$17</f>
        <v>31716.41</v>
      </c>
      <c r="T15" s="253">
        <f>(($R$6*Sensativities!V21)*Sensativities!V34)*Sensativities!V$17</f>
        <v>39594.75</v>
      </c>
      <c r="U15" s="253">
        <f>(($S$6*Sensativities!W21)*Sensativities!W34)*Sensativities!W$17</f>
        <v>30741.770000000004</v>
      </c>
      <c r="V15" s="253">
        <f>(($T$6*Sensativities!X21)*Sensativities!X34)*Sensativities!X$17</f>
        <v>33300.200000000004</v>
      </c>
      <c r="W15" s="253">
        <f>(($U$6*Sensativities!Y21)*Sensativities!Y34)*Sensativities!Y$17</f>
        <v>38498.28</v>
      </c>
      <c r="X15" s="253">
        <f>(($V$6*Sensativities!Z21)*Sensativities!Z34)*Sensativities!Z$17</f>
        <v>35208.869999999995</v>
      </c>
      <c r="Y15" s="253">
        <f>(($W$6*Sensativities!AA21)*Sensativities!AA34)*Sensativities!AA$17</f>
        <v>28427</v>
      </c>
      <c r="Z15" s="253">
        <f>(($X$6*Sensativities!AB21)*Sensativities!AB34)*Sensativities!AB$17</f>
        <v>27899.070000000003</v>
      </c>
      <c r="AA15" s="253">
        <f>(($Y$6*Sensativities!AC21)*Sensativities!AC34)*Sensativities!AC$17</f>
        <v>21888.79</v>
      </c>
      <c r="AB15" s="279">
        <f>(($Z$6*Sensativities!AD21)*Sensativities!AD34)*Sensativities!AD$17</f>
        <v>28508.22</v>
      </c>
      <c r="AC15" s="253">
        <f>(($AA$6*Sensativities!AE21)*Sensativities!AE34)*Sensativities!AE$17</f>
        <v>45191.542625717193</v>
      </c>
      <c r="AD15" s="253">
        <f>(($AB$6*Sensativities!AF21)*Sensativities!AF34)*Sensativities!AF$17</f>
        <v>40285.12000000001</v>
      </c>
      <c r="AE15" s="253">
        <f>(($AC$6*Sensativities!AG21)*Sensativities!AG34)*Sensativities!AG$17</f>
        <v>55941.241904761904</v>
      </c>
      <c r="AF15" s="253">
        <f>(($AD$6*Sensativities!AH21)*Sensativities!AH34)*Sensativities!AH$17</f>
        <v>39505.408000000003</v>
      </c>
      <c r="AG15" s="253">
        <f>(($AE$6*Sensativities!AI21)*Sensativities!AI34)*Sensativities!AI$17</f>
        <v>34653.866666666669</v>
      </c>
      <c r="AH15" s="253">
        <f>(($AF$6*Sensativities!AJ21)*Sensativities!AJ34)*Sensativities!AJ$17</f>
        <v>53465.965714285718</v>
      </c>
      <c r="AI15" s="253">
        <f>(($AG$6*Sensativities!AK21)*Sensativities!AK34)*Sensativities!AK$17</f>
        <v>47525.302857142859</v>
      </c>
      <c r="AJ15" s="253">
        <f>(($AH$6*Sensativities!AL21)*Sensativities!AL34)*Sensativities!AL$17</f>
        <v>31683.535238095239</v>
      </c>
      <c r="AK15" s="253">
        <f>(($AI$6*Sensativities!AM21)*Sensativities!AM34)*Sensativities!AM$17</f>
        <v>35087.040000000001</v>
      </c>
      <c r="AL15" s="621">
        <f>(($AJ$6*Sensativities!AN21)*Sensativities!AN34)*Sensativities!AN$17</f>
        <v>58478.400000000001</v>
      </c>
      <c r="AM15" s="621">
        <f>(($AK$6*Sensativities!AO21)*Sensativities!AO34)*Sensativities!AO$17</f>
        <v>58478.400000000001</v>
      </c>
      <c r="AN15" s="621">
        <f>(($AK$6*Sensativities!AP21)*Sensativities!AP34)*Sensativities!AP$17</f>
        <v>58478.400000000001</v>
      </c>
      <c r="AO15" s="621">
        <f>(($AK$6*Sensativities!AQ21)*Sensativities!AQ34)*Sensativities!AQ$17</f>
        <v>58478.400000000001</v>
      </c>
      <c r="AP15" s="621">
        <f>(($AK$6*Sensativities!AR21)*Sensativities!AR34)*Sensativities!AR$17</f>
        <v>58478.400000000001</v>
      </c>
      <c r="AQ15" s="621">
        <f>(($AK$6*Sensativities!AS21)*Sensativities!AS34)*Sensativities!AS$17</f>
        <v>58478.400000000001</v>
      </c>
      <c r="AR15" s="621">
        <f>(($AK$6*Sensativities!AT21)*Sensativities!AT34)*Sensativities!AT$17</f>
        <v>58478.400000000001</v>
      </c>
      <c r="AS15" s="621">
        <f>(($AK$6*Sensativities!AU21)*Sensativities!AU34)*Sensativities!AU$17</f>
        <v>58478.400000000001</v>
      </c>
      <c r="AT15" s="621">
        <f>(($AK$6*Sensativities!AV21)*Sensativities!AV34)*Sensativities!AV$17</f>
        <v>58478.400000000001</v>
      </c>
      <c r="AU15" s="621">
        <f>(($AK$6*Sensativities!AW21)*Sensativities!AW34)*Sensativities!AW$17</f>
        <v>58478.400000000001</v>
      </c>
      <c r="AV15" s="621">
        <f>(($AK$6*Sensativities!AX21)*Sensativities!AX34)*Sensativities!AX$17</f>
        <v>58478.400000000001</v>
      </c>
      <c r="AW15" s="621">
        <f>(($AK$6*Sensativities!AY21)*Sensativities!AY34)*Sensativities!AY$17</f>
        <v>58478.400000000001</v>
      </c>
    </row>
    <row r="16" spans="1:49" x14ac:dyDescent="0.3">
      <c r="A16" s="243" t="s">
        <v>203</v>
      </c>
      <c r="B16" s="253">
        <v>25244.846827970985</v>
      </c>
      <c r="C16" s="272">
        <v>25244.846827970985</v>
      </c>
      <c r="D16" s="272">
        <v>25244.846827970985</v>
      </c>
      <c r="E16" s="271">
        <f>(($B$6*Sensativities!G22)*Sensativities!G35)*Sensativities!G$17</f>
        <v>22098.232</v>
      </c>
      <c r="F16" s="253">
        <f>(($C$6*Sensativities!G22)*Sensativities!G35)*Sensativities!G$17</f>
        <v>31429.735999999994</v>
      </c>
      <c r="G16" s="253">
        <f>(($D$6*Sensativities!I22)*Sensativities!I35)*Sensativities!I$17</f>
        <v>36762.02399999999</v>
      </c>
      <c r="H16" s="253">
        <f>(($E$6*Sensativities!J22)*Sensativities!J35)*Sensativities!J$17</f>
        <v>36710.752</v>
      </c>
      <c r="I16" s="253">
        <f>(($F$6*Sensativities!K22)*Sensativities!K35)*Sensativities!K$17</f>
        <v>39838.343999999997</v>
      </c>
      <c r="J16" s="253">
        <f>(($G$6*Sensativities!L22)*Sensativities!L35)*Sensativities!L$17</f>
        <v>31019.559999999998</v>
      </c>
      <c r="K16" s="253">
        <f>(($H$6*Sensativities!M22)*Sensativities!M35)*Sensativities!M$17</f>
        <v>27225.431999999997</v>
      </c>
      <c r="L16" s="253">
        <f>(($I$6*Sensativities!N22)*Sensativities!N35)*Sensativities!N$17</f>
        <v>30660.655999999999</v>
      </c>
      <c r="M16" s="253">
        <f>(($J$6*Sensativities!O22)*Sensativities!O35)*Sensativities!O$17</f>
        <v>31481.007999999991</v>
      </c>
      <c r="N16" s="253">
        <f>(($K$6*Sensativities!P22)*Sensativities!P35)*Sensativities!P$17</f>
        <v>37615.899999999994</v>
      </c>
      <c r="O16" s="253">
        <f>(($L$6*Sensativities!Q22)*Sensativities!Q35)*Sensativities!Q$17</f>
        <v>30418.099999999995</v>
      </c>
      <c r="P16" s="253">
        <f>(($M$6*Sensativities!R22)*Sensativities!R35)*Sensativities!R$17</f>
        <v>26671.300000000003</v>
      </c>
      <c r="Q16" s="253">
        <f>(($N$6*Sensativities!S22)*Sensativities!S35)*Sensativities!S$17</f>
        <v>37073.599999999999</v>
      </c>
      <c r="R16" s="253">
        <f>(($O$6*Sensativities!T22)*Sensativities!T35)*Sensativities!T$17</f>
        <v>31108.299999999996</v>
      </c>
      <c r="S16" s="253">
        <f>(($P$6*Sensativities!U22)*Sensativities!U35)*Sensativities!U$17</f>
        <v>37911.700000000004</v>
      </c>
      <c r="T16" s="253">
        <f>(($Q$6*Sensativities!V22)*Sensativities!V35)*Sensativities!V$17</f>
        <v>38503.299999999996</v>
      </c>
      <c r="U16" s="253">
        <f>(($R$6*Sensativities!W22)*Sensativities!W35)*Sensativities!W$17</f>
        <v>48067.5</v>
      </c>
      <c r="V16" s="253">
        <f>(($S$6*Sensativities!X22)*Sensativities!X35)*Sensativities!X$17</f>
        <v>37320.1</v>
      </c>
      <c r="W16" s="253">
        <f>(($T$6*Sensativities!Y22)*Sensativities!Y35)*Sensativities!Y$17</f>
        <v>40426</v>
      </c>
      <c r="X16" s="253">
        <f>(($U$6*Sensativities!Z22)*Sensativities!Z35)*Sensativities!Z$17</f>
        <v>46736.399999999994</v>
      </c>
      <c r="Y16" s="253">
        <f>(($V$6*Sensativities!AA22)*Sensativities!AA35)*Sensativities!AA$17</f>
        <v>42743.1</v>
      </c>
      <c r="Z16" s="253">
        <f>(($W$6*Sensativities!AB22)*Sensativities!AB35)*Sensativities!AB$17</f>
        <v>34510</v>
      </c>
      <c r="AA16" s="253">
        <f>(($X$6*Sensativities!AC22)*Sensativities!AC35)*Sensativities!AC$17</f>
        <v>33869.1</v>
      </c>
      <c r="AB16" s="253">
        <f>(($Y$6*Sensativities!AD22)*Sensativities!AD35)*Sensativities!AD$17</f>
        <v>26572.7</v>
      </c>
      <c r="AC16" s="279">
        <f>(($Z$6*Sensativities!AE22)*Sensativities!AE35)*Sensativities!AE$17</f>
        <v>34608.6</v>
      </c>
      <c r="AD16" s="253">
        <f>(($AA$6*Sensativities!AF22)*Sensativities!AF35)*Sensativities!AF$17</f>
        <v>54861.931825852189</v>
      </c>
      <c r="AE16" s="253">
        <f>(($AB$6*Sensativities!AG22)*Sensativities!AG35)*Sensativities!AG$17</f>
        <v>48905.600000000006</v>
      </c>
      <c r="AF16" s="253">
        <f>(($AC$6*Sensativities!AH22)*Sensativities!AH35)*Sensativities!AH$17</f>
        <v>47538.346666666665</v>
      </c>
      <c r="AG16" s="253">
        <f>(($AD$6*Sensativities!AI22)*Sensativities!AI35)*Sensativities!AI$17</f>
        <v>47959.039999999994</v>
      </c>
      <c r="AH16" s="253">
        <f>(($AE$6*Sensativities!AJ22)*Sensativities!AJ35)*Sensativities!AJ$17</f>
        <v>72118.857142857145</v>
      </c>
      <c r="AI16" s="253">
        <f>(($AF$6*Sensativities!AK22)*Sensativities!AK35)*Sensativities!AK$17</f>
        <v>64906.971428571436</v>
      </c>
      <c r="AJ16" s="253">
        <f>(($AG$6*Sensativities!AL22)*Sensativities!AL35)*Sensativities!AL$17</f>
        <v>38463.390476190478</v>
      </c>
      <c r="AK16" s="253">
        <f>(($AH$6*Sensativities!AM22)*Sensativities!AM35)*Sensativities!AM$17</f>
        <v>28847.54285714286</v>
      </c>
      <c r="AL16" s="621">
        <f>(($AI$6*Sensativities!AN22)*Sensativities!AN35)*Sensativities!AN$17</f>
        <v>70992</v>
      </c>
      <c r="AM16" s="621">
        <f>(($AJ$6*Sensativities!AO22)*Sensativities!AO35)*Sensativities!AO$17</f>
        <v>70992</v>
      </c>
      <c r="AN16" s="621">
        <f>(($AK$6*Sensativities!AP22)*Sensativities!AP35)*Sensativities!AP$17</f>
        <v>70992</v>
      </c>
      <c r="AO16" s="621">
        <f>(($AK$6*Sensativities!AQ22)*Sensativities!AQ35)*Sensativities!AQ$17</f>
        <v>70992</v>
      </c>
      <c r="AP16" s="621">
        <f>(($AK$6*Sensativities!AR22)*Sensativities!AR35)*Sensativities!AR$17</f>
        <v>70992</v>
      </c>
      <c r="AQ16" s="621">
        <f>(($AK$6*Sensativities!AS22)*Sensativities!AS35)*Sensativities!AS$17</f>
        <v>70992</v>
      </c>
      <c r="AR16" s="621">
        <f>(($AK$6*Sensativities!AT22)*Sensativities!AT35)*Sensativities!AT$17</f>
        <v>70992</v>
      </c>
      <c r="AS16" s="621">
        <f>(($AK$6*Sensativities!AU22)*Sensativities!AU35)*Sensativities!AU$17</f>
        <v>70992</v>
      </c>
      <c r="AT16" s="621">
        <f>(($AK$6*Sensativities!AV22)*Sensativities!AV35)*Sensativities!AV$17</f>
        <v>70992</v>
      </c>
      <c r="AU16" s="621">
        <f>(($AK$6*Sensativities!AW22)*Sensativities!AW35)*Sensativities!AW$17</f>
        <v>70992</v>
      </c>
      <c r="AV16" s="621">
        <f>(($AK$6*Sensativities!AX22)*Sensativities!AX35)*Sensativities!AX$17</f>
        <v>70992</v>
      </c>
      <c r="AW16" s="621">
        <f>(($AK$6*Sensativities!AY22)*Sensativities!AY35)*Sensativities!AY$17</f>
        <v>70992</v>
      </c>
    </row>
    <row r="17" spans="1:49" x14ac:dyDescent="0.3">
      <c r="A17" s="243" t="s">
        <v>204</v>
      </c>
      <c r="B17" s="253">
        <v>27123.691966428476</v>
      </c>
      <c r="C17" s="272">
        <v>27123.691966428476</v>
      </c>
      <c r="D17" s="272">
        <v>27123.691966428476</v>
      </c>
      <c r="E17" s="272">
        <v>27123.691966428476</v>
      </c>
      <c r="F17" s="271">
        <f>(($B$6*Sensativities!H23)*Sensativities!H36)*Sensativities!H$17</f>
        <v>23272.927679216529</v>
      </c>
      <c r="G17" s="253">
        <f>(($C$6*Sensativities!H23)*Sensativities!H36)*Sensativities!H$17</f>
        <v>33100.474866263874</v>
      </c>
      <c r="H17" s="253">
        <f>(($D$6*Sensativities!J23)*Sensativities!J36)*Sensativities!J$17</f>
        <v>38716.21611600522</v>
      </c>
      <c r="I17" s="253">
        <f>(($E$6*Sensativities!K23)*Sensativities!K36)*Sensativities!K$17</f>
        <v>38662.218603988484</v>
      </c>
      <c r="J17" s="253">
        <f>(($F$6*Sensativities!L23)*Sensativities!L36)*Sensativities!L$17</f>
        <v>41956.066837009843</v>
      </c>
      <c r="K17" s="253">
        <f>(($G$6*Sensativities!M23)*Sensativities!M36)*Sensativities!M$17</f>
        <v>32668.494770129932</v>
      </c>
      <c r="L17" s="253">
        <f>(($H$6*Sensativities!N23)*Sensativities!N36)*Sensativities!N$17</f>
        <v>28672.678880890897</v>
      </c>
      <c r="M17" s="253">
        <f>(($I$6*Sensativities!O23)*Sensativities!O36)*Sensativities!O$17</f>
        <v>32290.512186012729</v>
      </c>
      <c r="N17" s="253">
        <f>(($J$6*Sensativities!P23)*Sensativities!P36)*Sensativities!P$17</f>
        <v>31879.300363731374</v>
      </c>
      <c r="O17" s="253">
        <f>(($K$6*Sensativities!Q23)*Sensativities!Q36)*Sensativities!Q$17</f>
        <v>39615.482373822539</v>
      </c>
      <c r="P17" s="253">
        <f>(($L$6*Sensativities!R23)*Sensativities!R36)*Sensativities!R$17</f>
        <v>32035.062417625824</v>
      </c>
      <c r="Q17" s="253">
        <f>(($M$6*Sensativities!S23)*Sensativities!S36)*Sensativities!S$17</f>
        <v>28089.090385633015</v>
      </c>
      <c r="R17" s="253">
        <f>(($N$6*Sensativities!T23)*Sensativities!T36)*Sensativities!T$17</f>
        <v>39044.354842876208</v>
      </c>
      <c r="S17" s="253">
        <f>(($O$6*Sensativities!U23)*Sensativities!U36)*Sensativities!U$17</f>
        <v>32761.952002466605</v>
      </c>
      <c r="T17" s="253">
        <f>(($P$6*Sensativities!V23)*Sensativities!V36)*Sensativities!V$17</f>
        <v>39927.006481611439</v>
      </c>
      <c r="U17" s="253">
        <f>(($Q$6*Sensativities!W23)*Sensativities!W36)*Sensativities!W$17</f>
        <v>40550.054697189247</v>
      </c>
      <c r="V17" s="253">
        <f>(($R$6*Sensativities!X23)*Sensativities!X36)*Sensativities!X$17</f>
        <v>50622.667515697205</v>
      </c>
      <c r="W17" s="253">
        <f>(($S$6*Sensativities!Y23)*Sensativities!Y36)*Sensativities!Y$17</f>
        <v>39303.958266033631</v>
      </c>
      <c r="X17" s="253">
        <f>(($T$6*Sensativities!Z23)*Sensativities!Z36)*Sensativities!Z$17</f>
        <v>42574.961397817147</v>
      </c>
      <c r="Y17" s="253">
        <f>(($U$6*Sensativities!AA23)*Sensativities!AA36)*Sensativities!AA$17</f>
        <v>49220.809030647128</v>
      </c>
      <c r="Z17" s="253">
        <f>(($V$6*Sensativities!AB23)*Sensativities!AB36)*Sensativities!AB$17</f>
        <v>45015.23357549691</v>
      </c>
      <c r="AA17" s="253">
        <f>(($W$6*Sensativities!AC23)*Sensativities!AC36)*Sensativities!AC$17</f>
        <v>36344.479242039022</v>
      </c>
      <c r="AB17" s="253">
        <f>(($X$6*Sensativities!AD23)*Sensativities!AD36)*Sensativities!AD$17</f>
        <v>35669.510341829729</v>
      </c>
      <c r="AC17" s="253">
        <f>(($Y$6*Sensativities!AE23)*Sensativities!AE36)*Sensativities!AE$17</f>
        <v>27985.24901637005</v>
      </c>
      <c r="AD17" s="279">
        <f>(($Z$6*Sensativities!AF23)*Sensativities!AF36)*Sensativities!AF$17</f>
        <v>36448.320611301999</v>
      </c>
      <c r="AE17" s="253">
        <f>(($AA$6*Sensativities!AG23)*Sensativities!AG36)*Sensativities!AG$17</f>
        <v>57778.277091360338</v>
      </c>
      <c r="AF17" s="253">
        <f>(($AB$6*Sensativities!AH23)*Sensativities!AH36)*Sensativities!AH$17</f>
        <v>36053.723408102713</v>
      </c>
      <c r="AG17" s="253">
        <f>(($AC$6*Sensativities!AI23)*Sensativities!AI36)*Sensativities!AI$17</f>
        <v>50065.385500652606</v>
      </c>
      <c r="AH17" s="253">
        <f>(($AD$6*Sensativities!AJ23)*Sensativities!AJ36)*Sensativities!AJ$17</f>
        <v>86585.900587727898</v>
      </c>
      <c r="AI17" s="253">
        <f>(($AE$6*Sensativities!AK23)*Sensativities!AK36)*Sensativities!AK$17</f>
        <v>75952.544375199912</v>
      </c>
      <c r="AJ17" s="253">
        <f>(($AF$6*Sensativities!AL23)*Sensativities!AL36)*Sensativities!AL$17</f>
        <v>45571.526625119957</v>
      </c>
      <c r="AK17" s="253">
        <f>(($AG$6*Sensativities!AM23)*Sensativities!AM36)*Sensativities!AM$17</f>
        <v>30381.017750079969</v>
      </c>
      <c r="AL17" s="621">
        <f>(($AH$6*Sensativities!AN23)*Sensativities!AN36)*Sensativities!AN$17</f>
        <v>50635.029583466618</v>
      </c>
      <c r="AM17" s="621">
        <f>(($AI$6*Sensativities!AO23)*Sensativities!AO36)*Sensativities!AO$17</f>
        <v>74765.785869337429</v>
      </c>
      <c r="AN17" s="621">
        <f>(($AJ$6*Sensativities!AP23)*Sensativities!AP36)*Sensativities!AP$17</f>
        <v>74765.785869337429</v>
      </c>
      <c r="AO17" s="619">
        <f>(($AK$6*Sensativities!AQ23)*Sensativities!AQ36)*Sensativities!AQ$17</f>
        <v>74765.785869337429</v>
      </c>
      <c r="AP17" s="619">
        <f>(($AK$6*Sensativities!AR23)*Sensativities!AR36)*Sensativities!AR$17</f>
        <v>74765.785869337429</v>
      </c>
      <c r="AQ17" s="619">
        <f>(($AK$6*Sensativities!AS23)*Sensativities!AS36)*Sensativities!AS$17</f>
        <v>74765.785869337429</v>
      </c>
      <c r="AR17" s="619">
        <f>(($AK$6*Sensativities!AT23)*Sensativities!AT36)*Sensativities!AT$17</f>
        <v>74765.785869337429</v>
      </c>
      <c r="AS17" s="619">
        <f>(($AK$6*Sensativities!AU23)*Sensativities!AU36)*Sensativities!AU$17</f>
        <v>74765.785869337429</v>
      </c>
      <c r="AT17" s="619">
        <f>(($AK$6*Sensativities!AV23)*Sensativities!AV36)*Sensativities!AV$17</f>
        <v>74765.785869337429</v>
      </c>
      <c r="AU17" s="619">
        <f>(($AK$6*Sensativities!AW23)*Sensativities!AW36)*Sensativities!AW$17</f>
        <v>74765.785869337429</v>
      </c>
      <c r="AV17" s="619">
        <f>(($AK$6*Sensativities!AX23)*Sensativities!AX36)*Sensativities!AX$17</f>
        <v>74765.785869337429</v>
      </c>
      <c r="AW17" s="619">
        <f>(($AK$6*Sensativities!AY23)*Sensativities!AY36)*Sensativities!AY$17</f>
        <v>74765.785869337429</v>
      </c>
    </row>
    <row r="18" spans="1:49" x14ac:dyDescent="0.3">
      <c r="A18" s="243" t="s">
        <v>269</v>
      </c>
      <c r="B18" s="253">
        <v>29091.391997411323</v>
      </c>
      <c r="C18" s="272">
        <v>29091.391997411323</v>
      </c>
      <c r="D18" s="272">
        <v>29091.391997411323</v>
      </c>
      <c r="E18" s="272">
        <v>29091.391997411323</v>
      </c>
      <c r="F18" s="272">
        <v>29091.391997411323</v>
      </c>
      <c r="G18" s="271">
        <f>(($B$6*Sensativities!I24)*Sensativities!I37)*Sensativities!I$17</f>
        <v>25285.825076648023</v>
      </c>
      <c r="H18" s="253">
        <f>(($C$6*Sensativities!I24)*Sensativities!I37)*Sensativities!I$17</f>
        <v>35963.366060290573</v>
      </c>
      <c r="I18" s="253">
        <f>(($D$6*Sensativities!K24)*Sensativities!K37)*Sensativities!K$17</f>
        <v>42064.818050943461</v>
      </c>
      <c r="J18" s="253">
        <f>(($E$6*Sensativities!L24)*Sensativities!L37)*Sensativities!L$17</f>
        <v>42006.150243341028</v>
      </c>
      <c r="K18" s="253">
        <f>(($F$6*Sensativities!M24)*Sensativities!M37)*Sensativities!M$17</f>
        <v>45584.886507089359</v>
      </c>
      <c r="L18" s="253">
        <f>(($G$6*Sensativities!N24)*Sensativities!N37)*Sensativities!N$17</f>
        <v>35494.023599471126</v>
      </c>
      <c r="M18" s="253">
        <f>(($H$6*Sensativities!O24)*Sensativities!O37)*Sensativities!O$17</f>
        <v>31152.605836891184</v>
      </c>
      <c r="N18" s="253">
        <f>(($I$6*Sensativities!P24)*Sensativities!P37)*Sensativities!P$17</f>
        <v>33733.989371398173</v>
      </c>
      <c r="O18" s="253">
        <f>(($J$6*Sensativities!Q24)*Sensativities!Q37)*Sensativities!Q$17</f>
        <v>34636.571026820195</v>
      </c>
      <c r="P18" s="253">
        <f>(($K$6*Sensativities!R24)*Sensativities!R37)*Sensativities!R$17</f>
        <v>43041.862692937808</v>
      </c>
      <c r="Q18" s="253">
        <f>(($L$6*Sensativities!S24)*Sensativities!S37)*Sensativities!S$17</f>
        <v>34805.805087211826</v>
      </c>
      <c r="R18" s="253">
        <f>(($M$6*Sensativities!T24)*Sensativities!T37)*Sensativities!T$17</f>
        <v>30518.542223957218</v>
      </c>
      <c r="S18" s="253">
        <f>(($N$6*Sensativities!U24)*Sensativities!U37)*Sensativities!U$17</f>
        <v>42421.337804835166</v>
      </c>
      <c r="T18" s="253">
        <f>(($O$6*Sensativities!V24)*Sensativities!V37)*Sensativities!V$17</f>
        <v>35595.564035706098</v>
      </c>
      <c r="U18" s="253">
        <f>(($P$6*Sensativities!W24)*Sensativities!W37)*Sensativities!W$17</f>
        <v>43380.33081372107</v>
      </c>
      <c r="V18" s="253">
        <f>(($Q$6*Sensativities!X24)*Sensativities!X37)*Sensativities!X$17</f>
        <v>44057.267055287579</v>
      </c>
      <c r="W18" s="253">
        <f>(($R$6*Sensativities!Y24)*Sensativities!Y37)*Sensativities!Y$17</f>
        <v>55001.069627279627</v>
      </c>
      <c r="X18" s="253">
        <f>(($S$6*Sensativities!Z24)*Sensativities!Z37)*Sensativities!Z$17</f>
        <v>42703.394572154546</v>
      </c>
      <c r="Y18" s="253">
        <f>(($T$6*Sensativities!AA24)*Sensativities!AA37)*Sensativities!AA$17</f>
        <v>46257.309840378766</v>
      </c>
      <c r="Z18" s="253">
        <f>(($U$6*Sensativities!AB24)*Sensativities!AB37)*Sensativities!AB$17</f>
        <v>53477.96308375497</v>
      </c>
      <c r="AA18" s="253">
        <f>(($V$6*Sensativities!AC24)*Sensativities!AC37)*Sensativities!AC$17</f>
        <v>48908.643453180965</v>
      </c>
      <c r="AB18" s="253">
        <f>(($W$6*Sensativities!AD24)*Sensativities!AD37)*Sensativities!AD$17</f>
        <v>39487.94742471358</v>
      </c>
      <c r="AC18" s="253">
        <f>(($X$6*Sensativities!AE24)*Sensativities!AE37)*Sensativities!AE$17</f>
        <v>38754.599829683189</v>
      </c>
      <c r="AD18" s="253">
        <f>(($Y$6*Sensativities!AF24)*Sensativities!AF37)*Sensativities!AF$17</f>
        <v>30405.719517029458</v>
      </c>
      <c r="AE18" s="279">
        <f>(($Z$6*Sensativities!AG24)*Sensativities!AG37)*Sensativities!AG$17</f>
        <v>39600.770131641337</v>
      </c>
      <c r="AF18" s="253">
        <f>(($AA$6*Sensativities!AH24)*Sensativities!AH37)*Sensativities!AH$17</f>
        <v>43942.902222261109</v>
      </c>
      <c r="AG18" s="253">
        <f>(($AB$6*Sensativities!AI24)*Sensativities!AI37)*Sensativities!AI$17</f>
        <v>39172.043845315886</v>
      </c>
      <c r="AH18" s="253">
        <f>(($AC$6*Sensativities!AJ24)*Sensativities!AJ37)*Sensativities!AJ$17</f>
        <v>93249.579028744032</v>
      </c>
      <c r="AI18" s="253">
        <f>(($AD$6*Sensativities!AK24)*Sensativities!AK37)*Sensativities!AK$17</f>
        <v>94074.796542272743</v>
      </c>
      <c r="AJ18" s="253">
        <f>(($AE$6*Sensativities!AL24)*Sensativities!AL37)*Sensativities!AL$17</f>
        <v>55014.500901913889</v>
      </c>
      <c r="AK18" s="253">
        <f>(($AF$6*Sensativities!AM24)*Sensativities!AM37)*Sensativities!AM$17</f>
        <v>37134.788108791879</v>
      </c>
      <c r="AL18" s="621">
        <f>(($AG$6*Sensativities!AN24)*Sensativities!AN37)*Sensativities!AN$17</f>
        <v>55014.500901913889</v>
      </c>
      <c r="AM18" s="621">
        <f>(($AH$6*Sensativities!AO24)*Sensativities!AO37)*Sensativities!AO$17</f>
        <v>55014.500901913889</v>
      </c>
      <c r="AN18" s="621">
        <f>(($AI$6*Sensativities!AP24)*Sensativities!AP37)*Sensativities!AP$17</f>
        <v>81232.34898798223</v>
      </c>
      <c r="AO18" s="619">
        <f>(($AJ$6*Sensativities!AQ24)*Sensativities!AQ37)*Sensativities!AQ$17</f>
        <v>81232.34898798223</v>
      </c>
      <c r="AP18" s="619">
        <f>(($AK$6*Sensativities!AR24)*Sensativities!AR37)*Sensativities!AR$17</f>
        <v>81232.34898798223</v>
      </c>
      <c r="AQ18" s="619">
        <f>(($AK$6*Sensativities!AS24)*Sensativities!AS37)*Sensativities!AS$17</f>
        <v>81232.34898798223</v>
      </c>
      <c r="AR18" s="619">
        <f>(($AK$6*Sensativities!AT24)*Sensativities!AT37)*Sensativities!AT$17</f>
        <v>81232.34898798223</v>
      </c>
      <c r="AS18" s="619">
        <f>(($AK$6*Sensativities!AU24)*Sensativities!AU37)*Sensativities!AU$17</f>
        <v>81232.34898798223</v>
      </c>
      <c r="AT18" s="619">
        <f>(($AK$6*Sensativities!AV24)*Sensativities!AV37)*Sensativities!AV$17</f>
        <v>81232.34898798223</v>
      </c>
      <c r="AU18" s="619">
        <f>(($AK$6*Sensativities!AW24)*Sensativities!AW37)*Sensativities!AW$17</f>
        <v>81232.34898798223</v>
      </c>
      <c r="AV18" s="619">
        <f>(($AK$6*Sensativities!AX24)*Sensativities!AX37)*Sensativities!AX$17</f>
        <v>81232.34898798223</v>
      </c>
      <c r="AW18" s="619">
        <f>(($AK$6*Sensativities!AY24)*Sensativities!AY37)*Sensativities!AY$17</f>
        <v>81232.34898798223</v>
      </c>
    </row>
    <row r="19" spans="1:49" x14ac:dyDescent="0.3">
      <c r="A19" s="243" t="s">
        <v>270</v>
      </c>
      <c r="B19" s="253">
        <v>25427.923980053885</v>
      </c>
      <c r="C19" s="272">
        <v>25427.923980053885</v>
      </c>
      <c r="D19" s="272">
        <v>25427.923980053885</v>
      </c>
      <c r="E19" s="272">
        <v>25427.923980053885</v>
      </c>
      <c r="F19" s="272">
        <v>25427.923980053885</v>
      </c>
      <c r="G19" s="272">
        <v>25427.923980053885</v>
      </c>
      <c r="H19" s="271">
        <f>(($B$6*Sensativities!J25)*Sensativities!J38)*Sensativities!J$17</f>
        <v>21496.876867124269</v>
      </c>
      <c r="I19" s="253">
        <f>(($C$6*Sensativities!J25)*Sensativities!J38)*Sensativities!J$17</f>
        <v>30574.44436089832</v>
      </c>
      <c r="J19" s="253">
        <f>(($D$6*Sensativities!L25)*Sensativities!L38)*Sensativities!L$17</f>
        <v>35761.625785912067</v>
      </c>
      <c r="K19" s="253">
        <f>(($E$6*Sensativities!M25)*Sensativities!M38)*Sensativities!M$17</f>
        <v>35711.749041440773</v>
      </c>
      <c r="L19" s="253">
        <f>(($F$6*Sensativities!N25)*Sensativities!N38)*Sensativities!N$17</f>
        <v>38754.230454189223</v>
      </c>
      <c r="M19" s="253">
        <f>(($G$6*Sensativities!O25)*Sensativities!O38)*Sensativities!O$17</f>
        <v>30175.430405128031</v>
      </c>
      <c r="N19" s="253">
        <f>(($H$6*Sensativities!P25)*Sensativities!P38)*Sensativities!P$17</f>
        <v>25465.914725243143</v>
      </c>
      <c r="O19" s="253">
        <f>(($I$6*Sensativities!Q25)*Sensativities!Q38)*Sensativities!Q$17</f>
        <v>28679.128070989456</v>
      </c>
      <c r="P19" s="253">
        <f>(($J$6*Sensativities!R25)*Sensativities!R38)*Sensativities!R$17</f>
        <v>29446.462601316933</v>
      </c>
      <c r="Q19" s="253">
        <f>(($K$6*Sensativities!S25)*Sensativities!S38)*Sensativities!S$17</f>
        <v>36592.265414991554</v>
      </c>
      <c r="R19" s="253">
        <f>(($L$6*Sensativities!T25)*Sensativities!T38)*Sensativities!T$17</f>
        <v>29590.337825753337</v>
      </c>
      <c r="S19" s="253">
        <f>(($M$6*Sensativities!U25)*Sensativities!U38)*Sensativities!U$17</f>
        <v>25945.498806697815</v>
      </c>
      <c r="T19" s="253">
        <f>(($N$6*Sensativities!V25)*Sensativities!V38)*Sensativities!V$17</f>
        <v>36064.722925391419</v>
      </c>
      <c r="U19" s="253">
        <f>(($O$6*Sensativities!W25)*Sensativities!W38)*Sensativities!W$17</f>
        <v>30261.755539789872</v>
      </c>
      <c r="V19" s="253">
        <f>(($P$6*Sensativities!X25)*Sensativities!X38)*Sensativities!X$17</f>
        <v>36880.015863864362</v>
      </c>
      <c r="W19" s="253">
        <f>(($Q$6*Sensativities!Y25)*Sensativities!Y38)*Sensativities!Y$17</f>
        <v>37455.516761609972</v>
      </c>
      <c r="X19" s="253">
        <f>(($R$6*Sensativities!Z25)*Sensativities!Z38)*Sensativities!Z$17</f>
        <v>46759.447941830629</v>
      </c>
      <c r="Y19" s="253">
        <f>(($S$6*Sensativities!AA25)*Sensativities!AA38)*Sensativities!AA$17</f>
        <v>36304.514966118753</v>
      </c>
      <c r="Z19" s="253">
        <f>(($T$6*Sensativities!AB25)*Sensativities!AB38)*Sensativities!AB$17</f>
        <v>39325.894679283199</v>
      </c>
      <c r="AA19" s="253">
        <f>(($U$6*Sensativities!AC25)*Sensativities!AC38)*Sensativities!AC$17</f>
        <v>45464.57092190301</v>
      </c>
      <c r="AB19" s="253">
        <f>(($V$6*Sensativities!AD25)*Sensativities!AD38)*Sensativities!AD$17</f>
        <v>41579.939862120169</v>
      </c>
      <c r="AC19" s="253">
        <f>(($W$6*Sensativities!AE25)*Sensativities!AE38)*Sensativities!AE$17</f>
        <v>33570.885701827116</v>
      </c>
      <c r="AD19" s="253">
        <f>(($X$6*Sensativities!AF25)*Sensativities!AF38)*Sensativities!AF$17</f>
        <v>32947.426395936047</v>
      </c>
      <c r="AE19" s="253">
        <f>(($Y$6*Sensativities!AG25)*Sensativities!AG38)*Sensativities!AG$17</f>
        <v>25849.581990406885</v>
      </c>
      <c r="AF19" s="279">
        <f>(($Z$6*Sensativities!AH25)*Sensativities!AH38)*Sensativities!AH$17</f>
        <v>23566.761762682643</v>
      </c>
      <c r="AG19" s="253">
        <f>(($AA$6*Sensativities!AI25)*Sensativities!AI38)*Sensativities!AI$17</f>
        <v>37358.288898724459</v>
      </c>
      <c r="AH19" s="253">
        <f>(($AB$6*Sensativities!AJ25)*Sensativities!AJ38)*Sensativities!AJ$17</f>
        <v>57089.689056364288</v>
      </c>
      <c r="AI19" s="253">
        <f>(($AC$6*Sensativities!AK25)*Sensativities!AK38)*Sensativities!AK$17</f>
        <v>79276.618904690171</v>
      </c>
      <c r="AJ19" s="253">
        <f>(($AD$6*Sensativities!AL25)*Sensativities!AL38)*Sensativities!AL$17</f>
        <v>53318.787935897824</v>
      </c>
      <c r="AK19" s="253">
        <f>(($AE$6*Sensativities!AM25)*Sensativities!AM38)*Sensativities!AM$17</f>
        <v>35078.149957827518</v>
      </c>
      <c r="AL19" s="621">
        <f>(($AF$6*Sensativities!AN25)*Sensativities!AN38)*Sensativities!AN$17</f>
        <v>52617.224936741288</v>
      </c>
      <c r="AM19" s="621">
        <f>(($AG$6*Sensativities!AO25)*Sensativities!AO38)*Sensativities!AO$17</f>
        <v>46770.8666104367</v>
      </c>
      <c r="AN19" s="621">
        <f>(($AH$6*Sensativities!AP25)*Sensativities!AP38)*Sensativities!AP$17</f>
        <v>46770.8666104367</v>
      </c>
      <c r="AO19" s="619">
        <f>(($AI$6*Sensativities!AQ25)*Sensativities!AQ38)*Sensativities!AQ$17</f>
        <v>69060.107729472933</v>
      </c>
      <c r="AP19" s="619">
        <f>(($AJ$6*Sensativities!AR25)*Sensativities!AR38)*Sensativities!AR$17</f>
        <v>69060.107729472933</v>
      </c>
      <c r="AQ19" s="619">
        <f>(($AK$6*Sensativities!AS25)*Sensativities!AS38)*Sensativities!AS$17</f>
        <v>69060.107729472933</v>
      </c>
      <c r="AR19" s="619">
        <f>(($AK$6*Sensativities!AT25)*Sensativities!AT38)*Sensativities!AT$17</f>
        <v>69060.107729472933</v>
      </c>
      <c r="AS19" s="619">
        <f>(($AK$6*Sensativities!AU25)*Sensativities!AU38)*Sensativities!AU$17</f>
        <v>69060.107729472933</v>
      </c>
      <c r="AT19" s="619">
        <f>(($AK$6*Sensativities!AV25)*Sensativities!AV38)*Sensativities!AV$17</f>
        <v>69060.107729472933</v>
      </c>
      <c r="AU19" s="619">
        <f>(($AK$6*Sensativities!AW25)*Sensativities!AW38)*Sensativities!AW$17</f>
        <v>69060.107729472933</v>
      </c>
      <c r="AV19" s="619">
        <f>(($AK$6*Sensativities!AX25)*Sensativities!AX38)*Sensativities!AX$17</f>
        <v>69060.107729472933</v>
      </c>
      <c r="AW19" s="619">
        <f>(($AK$6*Sensativities!AY25)*Sensativities!AY38)*Sensativities!AY$17</f>
        <v>69060.107729472933</v>
      </c>
    </row>
    <row r="20" spans="1:49" x14ac:dyDescent="0.3">
      <c r="A20" s="243" t="s">
        <v>271</v>
      </c>
      <c r="B20" s="253">
        <v>17899.231472654494</v>
      </c>
      <c r="C20" s="272">
        <v>17899.231472654494</v>
      </c>
      <c r="D20" s="272">
        <v>17899.231472654494</v>
      </c>
      <c r="E20" s="272">
        <v>17899.231472654494</v>
      </c>
      <c r="F20" s="272">
        <v>17899.231472654494</v>
      </c>
      <c r="G20" s="272">
        <v>17899.231472654494</v>
      </c>
      <c r="H20" s="272">
        <v>17899.231472654494</v>
      </c>
      <c r="I20" s="271">
        <f>(($B$6*Sensativities!K26)*Sensativities!K39)*Sensativities!K$17</f>
        <v>16838.058826644818</v>
      </c>
      <c r="J20" s="253">
        <f>(($C$6*Sensativities!K26)*Sensativities!K39)*Sensativities!K$17</f>
        <v>23948.329607269774</v>
      </c>
      <c r="K20" s="253">
        <f>(($D$6*Sensativities!M26)*Sensativities!M39)*Sensativities!M$17</f>
        <v>28011.341481912608</v>
      </c>
      <c r="L20" s="253">
        <f>(($E$6*Sensativities!N26)*Sensativities!N39)*Sensativities!N$17</f>
        <v>27972.27406004104</v>
      </c>
      <c r="M20" s="253">
        <f>(($F$6*Sensativities!O26)*Sensativities!O39)*Sensativities!O$17</f>
        <v>30355.386794206552</v>
      </c>
      <c r="N20" s="253">
        <f>(($G$6*Sensativities!P26)*Sensativities!P39)*Sensativities!P$17</f>
        <v>22726.721377208898</v>
      </c>
      <c r="O20" s="253">
        <f>(($H$6*Sensativities!Q26)*Sensativities!Q39)*Sensativities!Q$17</f>
        <v>19946.924051732105</v>
      </c>
      <c r="P20" s="253">
        <f>(($I$6*Sensativities!R26)*Sensativities!R39)*Sensativities!R$17</f>
        <v>22463.767576150283</v>
      </c>
      <c r="Q20" s="253">
        <f>(($J$6*Sensativities!S26)*Sensativities!S39)*Sensativities!S$17</f>
        <v>23064.804835712832</v>
      </c>
      <c r="R20" s="253">
        <f>(($K$6*Sensativities!T26)*Sensativities!T39)*Sensativities!T$17</f>
        <v>28661.964315389068</v>
      </c>
      <c r="S20" s="253">
        <f>(($L$6*Sensativities!U26)*Sensativities!U39)*Sensativities!U$17</f>
        <v>23177.499321880809</v>
      </c>
      <c r="T20" s="253">
        <f>(($M$6*Sensativities!V26)*Sensativities!V39)*Sensativities!V$17</f>
        <v>20322.572338958696</v>
      </c>
      <c r="U20" s="253">
        <f>(($N$6*Sensativities!W26)*Sensativities!W39)*Sensativities!W$17</f>
        <v>28248.751199439816</v>
      </c>
      <c r="V20" s="253">
        <f>(($O$6*Sensativities!X26)*Sensativities!X39)*Sensativities!X$17</f>
        <v>23703.406923998038</v>
      </c>
      <c r="W20" s="253">
        <f>(($P$6*Sensativities!Y26)*Sensativities!Y39)*Sensativities!Y$17</f>
        <v>28887.353287725025</v>
      </c>
      <c r="X20" s="253">
        <f>(($Q$6*Sensativities!Z26)*Sensativities!Z39)*Sensativities!Z$17</f>
        <v>29338.13123239694</v>
      </c>
      <c r="Y20" s="253">
        <f>(($R$6*Sensativities!AA26)*Sensativities!AA39)*Sensativities!AA$17</f>
        <v>36625.708004592852</v>
      </c>
      <c r="Z20" s="253">
        <f>(($S$6*Sensativities!AB26)*Sensativities!AB39)*Sensativities!AB$17</f>
        <v>28436.575343053115</v>
      </c>
      <c r="AA20" s="253">
        <f>(($T$6*Sensativities!AC26)*Sensativities!AC39)*Sensativities!AC$17</f>
        <v>30803.159552580655</v>
      </c>
      <c r="AB20" s="253">
        <f>(($U$6*Sensativities!AD26)*Sensativities!AD39)*Sensativities!AD$17</f>
        <v>35611.457629081051</v>
      </c>
      <c r="AC20" s="253">
        <f>(($V$6*Sensativities!AE26)*Sensativities!AE39)*Sensativities!AE$17</f>
        <v>32568.706502545643</v>
      </c>
      <c r="AD20" s="253">
        <f>(($W$6*Sensativities!AF26)*Sensativities!AF39)*Sensativities!AF$17</f>
        <v>26295.380105861535</v>
      </c>
      <c r="AE20" s="253">
        <f>(($X$6*Sensativities!AG26)*Sensativities!AG39)*Sensativities!AG$17</f>
        <v>25807.037332466964</v>
      </c>
      <c r="AF20" s="253">
        <f>(($Y$6*Sensativities!AH26)*Sensativities!AH39)*Sensativities!AH$17</f>
        <v>14173.209877059367</v>
      </c>
      <c r="AG20" s="279">
        <f>(($Z$6*Sensativities!AI26)*Sensativities!AI39)*Sensativities!AI$17</f>
        <v>18459.356834314796</v>
      </c>
      <c r="AH20" s="253">
        <f>(($AA$6*Sensativities!AJ26)*Sensativities!AJ39)*Sensativities!AJ$17</f>
        <v>50163.385130199196</v>
      </c>
      <c r="AI20" s="253">
        <f>(($AB$6*Sensativities!AK26)*Sensativities!AK39)*Sensativities!AK$17</f>
        <v>44717.172111453663</v>
      </c>
      <c r="AJ20" s="253">
        <f>(($AC$6*Sensativities!AL26)*Sensativities!AL39)*Sensativities!AL$17</f>
        <v>41397.156772917675</v>
      </c>
      <c r="AK20" s="253">
        <f>(($AD$6*Sensativities!AM26)*Sensativities!AM39)*Sensativities!AM$17</f>
        <v>31322.62746977399</v>
      </c>
      <c r="AL20" s="621">
        <f>(($AE$6*Sensativities!AN26)*Sensativities!AN39)*Sensativities!AN$17</f>
        <v>45793.315014289474</v>
      </c>
      <c r="AM20" s="621">
        <f>(($AF$6*Sensativities!AO26)*Sensativities!AO39)*Sensativities!AO$17</f>
        <v>41213.983512860534</v>
      </c>
      <c r="AN20" s="621">
        <f>(($AG$6*Sensativities!AP26)*Sensativities!AP39)*Sensativities!AP$17</f>
        <v>36634.652011431579</v>
      </c>
      <c r="AO20" s="619">
        <f>(($AH$6*Sensativities!AQ26)*Sensativities!AQ39)*Sensativities!AQ$17</f>
        <v>36634.652011431579</v>
      </c>
      <c r="AP20" s="619">
        <f>(($AI$6*Sensativities!AR26)*Sensativities!AR39)*Sensativities!AR$17</f>
        <v>54093.353360629444</v>
      </c>
      <c r="AQ20" s="619">
        <f>(($AJ$6*Sensativities!AS26)*Sensativities!AS39)*Sensativities!AS$17</f>
        <v>54093.353360629444</v>
      </c>
      <c r="AR20" s="619">
        <f>(($AK$6*Sensativities!AT26)*Sensativities!AT39)*Sensativities!AT$17</f>
        <v>54093.353360629444</v>
      </c>
      <c r="AS20" s="619">
        <f>(($AK$6*Sensativities!AU26)*Sensativities!AU39)*Sensativities!AU$17</f>
        <v>54093.353360629444</v>
      </c>
      <c r="AT20" s="619">
        <f>(($AK$6*Sensativities!AV26)*Sensativities!AV39)*Sensativities!AV$17</f>
        <v>54093.353360629444</v>
      </c>
      <c r="AU20" s="619">
        <f>(($AK$6*Sensativities!AW26)*Sensativities!AW39)*Sensativities!AW$17</f>
        <v>54093.353360629444</v>
      </c>
      <c r="AV20" s="619">
        <f>(($AK$6*Sensativities!AX26)*Sensativities!AX39)*Sensativities!AX$17</f>
        <v>54093.353360629444</v>
      </c>
      <c r="AW20" s="619">
        <f>(($AK$6*Sensativities!AY26)*Sensativities!AY39)*Sensativities!AY$17</f>
        <v>54093.353360629444</v>
      </c>
    </row>
    <row r="21" spans="1:49" x14ac:dyDescent="0.3">
      <c r="A21" s="243" t="s">
        <v>272</v>
      </c>
      <c r="B21" s="253">
        <v>18064.688984504584</v>
      </c>
      <c r="C21" s="272">
        <v>18064.688984504584</v>
      </c>
      <c r="D21" s="272">
        <v>18064.688984504584</v>
      </c>
      <c r="E21" s="272">
        <v>18064.688984504584</v>
      </c>
      <c r="F21" s="272">
        <v>18064.688984504584</v>
      </c>
      <c r="G21" s="272">
        <v>18064.688984504584</v>
      </c>
      <c r="H21" s="272">
        <v>18064.688984504584</v>
      </c>
      <c r="I21" s="272">
        <v>18064.688984504584</v>
      </c>
      <c r="J21" s="271">
        <f>(($B$6*Sensativities!L27)*Sensativities!L40)*Sensativities!L$17</f>
        <v>14958.702769047501</v>
      </c>
      <c r="K21" s="253">
        <f>(($C$6*Sensativities!L27)*Sensativities!L40)*Sensativities!L$17</f>
        <v>21275.370759689369</v>
      </c>
      <c r="L21" s="253">
        <f>(($D$6*Sensativities!N27)*Sensativities!N40)*Sensativities!N$17</f>
        <v>24884.895325770438</v>
      </c>
      <c r="M21" s="253">
        <f>(($E$6*Sensativities!O27)*Sensativities!O40)*Sensativities!O$17</f>
        <v>24850.188358788891</v>
      </c>
      <c r="N21" s="253">
        <f>(($F$6*Sensativities!P27)*Sensativities!P40)*Sensativities!P$17</f>
        <v>25930.108985253231</v>
      </c>
      <c r="O21" s="253">
        <f>(($G$6*Sensativities!Q27)*Sensativities!Q40)*Sensativities!Q$17</f>
        <v>20190.110599843254</v>
      </c>
      <c r="P21" s="253">
        <f>(($H$6*Sensativities!R27)*Sensativities!R40)*Sensativities!R$17</f>
        <v>17720.576410771515</v>
      </c>
      <c r="Q21" s="253">
        <f>(($I$6*Sensativities!S27)*Sensativities!S40)*Sensativities!S$17</f>
        <v>19956.506014390521</v>
      </c>
      <c r="R21" s="253">
        <f>(($J$6*Sensativities!T27)*Sensativities!T40)*Sensativities!T$17</f>
        <v>20490.459352568192</v>
      </c>
      <c r="S21" s="253">
        <f>(($K$6*Sensativities!U27)*Sensativities!U40)*Sensativities!U$17</f>
        <v>25462.899814347769</v>
      </c>
      <c r="T21" s="253">
        <f>(($L$6*Sensativities!V27)*Sensativities!V40)*Sensativities!V$17</f>
        <v>20590.575603476507</v>
      </c>
      <c r="U21" s="253">
        <f>(($M$6*Sensativities!W27)*Sensativities!W40)*Sensativities!W$17</f>
        <v>18054.297247132559</v>
      </c>
      <c r="V21" s="253">
        <f>(($N$6*Sensativities!X27)*Sensativities!X40)*Sensativities!X$17</f>
        <v>25095.806894350619</v>
      </c>
      <c r="W21" s="253">
        <f>(($O$6*Sensativities!Y27)*Sensativities!Y40)*Sensativities!Y$17</f>
        <v>21057.784774381973</v>
      </c>
      <c r="X21" s="253">
        <f>(($P$6*Sensativities!Z27)*Sensativities!Z40)*Sensativities!Z$17</f>
        <v>25663.132316164396</v>
      </c>
      <c r="Y21" s="253">
        <f>(($Q$6*Sensativities!AA27)*Sensativities!AA40)*Sensativities!AA$17</f>
        <v>26063.597319797653</v>
      </c>
      <c r="Z21" s="253">
        <f>(($R$6*Sensativities!AB27)*Sensativities!AB40)*Sensativities!AB$17</f>
        <v>32537.781545201935</v>
      </c>
      <c r="AA21" s="253">
        <f>(($S$6*Sensativities!AC27)*Sensativities!AC40)*Sensativities!AC$17</f>
        <v>25262.667312531143</v>
      </c>
      <c r="AB21" s="253">
        <f>(($T$6*Sensativities!AD27)*Sensativities!AD40)*Sensativities!AD$17</f>
        <v>27365.108581605731</v>
      </c>
      <c r="AC21" s="253">
        <f>(($U$6*Sensativities!AE27)*Sensativities!AE40)*Sensativities!AE$17</f>
        <v>31636.735287027113</v>
      </c>
      <c r="AD21" s="253">
        <f>(($V$6*Sensativities!AF27)*Sensativities!AF40)*Sensativities!AF$17</f>
        <v>28933.596512502641</v>
      </c>
      <c r="AE21" s="253">
        <f>(($W$6*Sensativities!AG27)*Sensativities!AG40)*Sensativities!AG$17</f>
        <v>23360.458545273184</v>
      </c>
      <c r="AF21" s="253">
        <f>(($X$6*Sensativities!AH27)*Sensativities!AH40)*Sensativities!AH$17</f>
        <v>16048.635020602678</v>
      </c>
      <c r="AG21" s="253">
        <f>(($Y$6*Sensativities!AI27)*Sensativities!AI40)*Sensativities!AI$17</f>
        <v>12591.287155902246</v>
      </c>
      <c r="AH21" s="279">
        <f>(($Z$6*Sensativities!AJ27)*Sensativities!AJ40)*Sensativities!AJ$17</f>
        <v>28112.643255054467</v>
      </c>
      <c r="AI21" s="253">
        <f>(($AA$6*Sensativities!AK27)*Sensativities!AK40)*Sensativities!AK$17</f>
        <v>44564.470036444756</v>
      </c>
      <c r="AJ21" s="253">
        <f>(($AB$6*Sensativities!AL27)*Sensativities!AL40)*Sensativities!AL$17</f>
        <v>26484.085573612574</v>
      </c>
      <c r="AK21" s="253">
        <f>(($AC$6*Sensativities!AM27)*Sensativities!AM40)*Sensativities!AM$17</f>
        <v>27582.503869292352</v>
      </c>
      <c r="AL21" s="621">
        <f>(($AD$6*Sensativities!AN27)*Sensativities!AN40)*Sensativities!AN$17</f>
        <v>46377.661373146431</v>
      </c>
      <c r="AM21" s="621">
        <f>(($AE$6*Sensativities!AO27)*Sensativities!AO40)*Sensativities!AO$17</f>
        <v>40682.159099251257</v>
      </c>
      <c r="AN21" s="621">
        <f>(($AF$6*Sensativities!AP27)*Sensativities!AP40)*Sensativities!AP$17</f>
        <v>36613.943189326135</v>
      </c>
      <c r="AO21" s="619">
        <f>(($AG$6*Sensativities!AQ27)*Sensativities!AQ40)*Sensativities!AQ$17</f>
        <v>32545.727279401006</v>
      </c>
      <c r="AP21" s="619">
        <f>(($AH$6*Sensativities!AR27)*Sensativities!AR40)*Sensativities!AR$17</f>
        <v>32545.727279401006</v>
      </c>
      <c r="AQ21" s="619">
        <f>(($AI$6*Sensativities!AS27)*Sensativities!AS40)*Sensativities!AS$17</f>
        <v>48055.800435990546</v>
      </c>
      <c r="AR21" s="619">
        <f>(($AJ$6*Sensativities!AT27)*Sensativities!AT40)*Sensativities!AT$17</f>
        <v>48055.800435990546</v>
      </c>
      <c r="AS21" s="619">
        <f>(($AK$6*Sensativities!AU27)*Sensativities!AU40)*Sensativities!AU$17</f>
        <v>48055.800435990546</v>
      </c>
      <c r="AT21" s="619">
        <f>(($AK$6*Sensativities!AV27)*Sensativities!AV40)*Sensativities!AV$17</f>
        <v>48055.800435990546</v>
      </c>
      <c r="AU21" s="619">
        <f>(($AK$6*Sensativities!AW27)*Sensativities!AW40)*Sensativities!AW$17</f>
        <v>48055.800435990546</v>
      </c>
      <c r="AV21" s="619">
        <f>(($AK$6*Sensativities!AX27)*Sensativities!AX40)*Sensativities!AX$17</f>
        <v>48055.800435990546</v>
      </c>
      <c r="AW21" s="619">
        <f>(($AK$6*Sensativities!AY27)*Sensativities!AY40)*Sensativities!AY$17</f>
        <v>48055.800435990546</v>
      </c>
    </row>
    <row r="22" spans="1:49" x14ac:dyDescent="0.3">
      <c r="A22" s="243" t="s">
        <v>273</v>
      </c>
      <c r="B22" s="253">
        <v>17269.144602504981</v>
      </c>
      <c r="C22" s="272">
        <v>17269.144602504981</v>
      </c>
      <c r="D22" s="272">
        <v>17269.144602504981</v>
      </c>
      <c r="E22" s="272">
        <v>17269.144602504981</v>
      </c>
      <c r="F22" s="272">
        <v>17269.144602504981</v>
      </c>
      <c r="G22" s="272">
        <v>17269.144602504981</v>
      </c>
      <c r="H22" s="272">
        <v>17269.144602504981</v>
      </c>
      <c r="I22" s="272">
        <v>17269.144602504981</v>
      </c>
      <c r="J22" s="272">
        <v>17269.144602504981</v>
      </c>
      <c r="K22" s="271">
        <f>(($B$6*Sensativities!M28)*Sensativities!M41)*Sensativities!M$17</f>
        <v>14642.344298451295</v>
      </c>
      <c r="L22" s="253">
        <f>(($C$6*Sensativities!M28)*Sensativities!M41)*Sensativities!M$17</f>
        <v>20825.422401277596</v>
      </c>
      <c r="M22" s="253">
        <f>(($D$6*Sensativities!O28)*Sensativities!O41)*Sensativities!O$17</f>
        <v>24358.609888606912</v>
      </c>
      <c r="N22" s="253">
        <f>(($E$6*Sensativities!P28)*Sensativities!P41)*Sensativities!P$17</f>
        <v>23389.073973074981</v>
      </c>
      <c r="O22" s="253">
        <f>(($F$6*Sensativities!Q28)*Sensativities!Q41)*Sensativities!Q$17</f>
        <v>25381.718543406787</v>
      </c>
      <c r="P22" s="253">
        <f>(($G$6*Sensativities!R28)*Sensativities!R41)*Sensativities!R$17</f>
        <v>19763.114181159726</v>
      </c>
      <c r="Q22" s="253">
        <f>(($H$6*Sensativities!S28)*Sensativities!S41)*Sensativities!S$17</f>
        <v>17345.807653216219</v>
      </c>
      <c r="R22" s="253">
        <f>(($I$6*Sensativities!T28)*Sensativities!T41)*Sensativities!T$17</f>
        <v>19534.450050138043</v>
      </c>
      <c r="S22" s="253">
        <f>(($J$6*Sensativities!U28)*Sensativities!U41)*Sensativities!U$17</f>
        <v>20057.110921044747</v>
      </c>
      <c r="T22" s="253">
        <f>(($K$6*Sensativities!V28)*Sensativities!V41)*Sensativities!V$17</f>
        <v>24924.390281363419</v>
      </c>
      <c r="U22" s="253">
        <f>(($L$6*Sensativities!W28)*Sensativities!W41)*Sensativities!W$17</f>
        <v>20155.109834339753</v>
      </c>
      <c r="V22" s="253">
        <f>(($M$6*Sensativities!X28)*Sensativities!X41)*Sensativities!X$17</f>
        <v>17672.470697532914</v>
      </c>
      <c r="W22" s="253">
        <f>(($N$6*Sensativities!Y28)*Sensativities!Y41)*Sensativities!Y$17</f>
        <v>24565.060932615062</v>
      </c>
      <c r="X22" s="253">
        <f>(($O$6*Sensativities!Z28)*Sensativities!Z41)*Sensativities!Z$17</f>
        <v>20612.438096383121</v>
      </c>
      <c r="Y22" s="253">
        <f>(($P$6*Sensativities!AA28)*Sensativities!AA41)*Sensativities!AA$17</f>
        <v>25120.388107953433</v>
      </c>
      <c r="Z22" s="253">
        <f>(($Q$6*Sensativities!AB28)*Sensativities!AB41)*Sensativities!AB$17</f>
        <v>25512.38376113346</v>
      </c>
      <c r="AA22" s="253">
        <f>(($R$6*Sensativities!AC28)*Sensativities!AC41)*Sensativities!AC$17</f>
        <v>31849.646820877242</v>
      </c>
      <c r="AB22" s="253">
        <f>(($S$6*Sensativities!AD28)*Sensativities!AD41)*Sensativities!AD$17</f>
        <v>24728.392454773406</v>
      </c>
      <c r="AC22" s="253">
        <f>(($T$6*Sensativities!AE28)*Sensativities!AE41)*Sensativities!AE$17</f>
        <v>26786.369633968556</v>
      </c>
      <c r="AD22" s="253">
        <f>(($U$6*Sensativities!AF28)*Sensativities!AF41)*Sensativities!AF$17</f>
        <v>30967.656601222181</v>
      </c>
      <c r="AE22" s="253">
        <f>(($V$6*Sensativities!AG28)*Sensativities!AG41)*Sensativities!AG$17</f>
        <v>28321.685942256994</v>
      </c>
      <c r="AF22" s="253">
        <f>(($W$6*Sensativities!AH28)*Sensativities!AH41)*Sensativities!AH$17</f>
        <v>16006.489171517795</v>
      </c>
      <c r="AG22" s="253">
        <f>(($X$6*Sensativities!AI28)*Sensativities!AI41)*Sensativities!AI$17</f>
        <v>15709.225801189606</v>
      </c>
      <c r="AH22" s="253">
        <f>(($Y$6*Sensativities!AJ28)*Sensativities!AJ41)*Sensativities!AJ$17</f>
        <v>21128.565706403486</v>
      </c>
      <c r="AI22" s="279">
        <f>(($Z$6*Sensativities!AK28)*Sensativities!AK41)*Sensativities!AK$17</f>
        <v>27518.094853237937</v>
      </c>
      <c r="AJ22" s="253">
        <f>(($AA$6*Sensativities!AL28)*Sensativities!AL41)*Sensativities!AL$17</f>
        <v>29081.323598097464</v>
      </c>
      <c r="AK22" s="253">
        <f>(($AB$6*Sensativities!AM28)*Sensativities!AM41)*Sensativities!AM$17</f>
        <v>19442.984397729368</v>
      </c>
      <c r="AL22" s="621">
        <f>(($AC$6*Sensativities!AN28)*Sensativities!AN41)*Sensativities!AN$17</f>
        <v>44998.612123777129</v>
      </c>
      <c r="AM22" s="621">
        <f>(($AD$6*Sensativities!AO28)*Sensativities!AO41)*Sensativities!AO$17</f>
        <v>45396.829930182241</v>
      </c>
      <c r="AN22" s="621">
        <f>(($AE$6*Sensativities!AP28)*Sensativities!AP41)*Sensativities!AP$17</f>
        <v>39821.78064051074</v>
      </c>
      <c r="AO22" s="619">
        <f>(($AF$6*Sensativities!AQ28)*Sensativities!AQ41)*Sensativities!AQ$17</f>
        <v>35839.602576459671</v>
      </c>
      <c r="AP22" s="619">
        <f>(($AG$6*Sensativities!AR28)*Sensativities!AR41)*Sensativities!AR$17</f>
        <v>31857.424512408594</v>
      </c>
      <c r="AQ22" s="619">
        <f>(($AH$6*Sensativities!AS28)*Sensativities!AS41)*Sensativities!AS$17</f>
        <v>31857.424512408594</v>
      </c>
      <c r="AR22" s="619">
        <f>(($AI$6*Sensativities!AT28)*Sensativities!AT41)*Sensativities!AT$17</f>
        <v>47039.478381603316</v>
      </c>
      <c r="AS22" s="619">
        <f>(($AJ$6*Sensativities!AU28)*Sensativities!AU41)*Sensativities!AU$17</f>
        <v>47039.478381603316</v>
      </c>
      <c r="AT22" s="619">
        <f>(($AK$6*Sensativities!AV28)*Sensativities!AV41)*Sensativities!AV$17</f>
        <v>47039.478381603316</v>
      </c>
      <c r="AU22" s="619">
        <f>(($AK$6*Sensativities!AW28)*Sensativities!AW41)*Sensativities!AW$17</f>
        <v>47039.478381603316</v>
      </c>
      <c r="AV22" s="619">
        <f>(($AK$6*Sensativities!AX28)*Sensativities!AX41)*Sensativities!AX$17</f>
        <v>47039.478381603316</v>
      </c>
      <c r="AW22" s="619">
        <f>(($AK$6*Sensativities!AY28)*Sensativities!AY41)*Sensativities!AY$17</f>
        <v>47039.478381603316</v>
      </c>
    </row>
    <row r="23" spans="1:49" x14ac:dyDescent="0.3">
      <c r="A23" s="243" t="s">
        <v>274</v>
      </c>
      <c r="B23" s="253">
        <v>17720.406423068613</v>
      </c>
      <c r="C23" s="272">
        <v>17720.406423068613</v>
      </c>
      <c r="D23" s="272">
        <v>17720.406423068613</v>
      </c>
      <c r="E23" s="272">
        <v>17720.406423068613</v>
      </c>
      <c r="F23" s="272">
        <v>17720.406423068613</v>
      </c>
      <c r="G23" s="272">
        <v>17720.406423068613</v>
      </c>
      <c r="H23" s="272">
        <v>17720.406423068613</v>
      </c>
      <c r="I23" s="272">
        <v>17720.406423068613</v>
      </c>
      <c r="J23" s="272">
        <v>17720.406423068613</v>
      </c>
      <c r="K23" s="272">
        <v>17720.406423068613</v>
      </c>
      <c r="L23" s="271">
        <f>(($B$6*Sensativities!N29)*Sensativities!N42)*Sensativities!N$17</f>
        <v>15573.854051160459</v>
      </c>
      <c r="M23" s="253">
        <f>(($C$6*Sensativities!N29)*Sensativities!N42)*Sensativities!N$17</f>
        <v>22150.284300142372</v>
      </c>
      <c r="N23" s="253">
        <f>(($D$6*Sensativities!P29)*Sensativities!P42)*Sensativities!P$17</f>
        <v>24911.773502324762</v>
      </c>
      <c r="O23" s="253">
        <f>(($E$6*Sensativities!Q29)*Sensativities!Q42)*Sensativities!Q$17</f>
        <v>24877.029048346623</v>
      </c>
      <c r="P23" s="253">
        <f>(($F$6*Sensativities!R29)*Sensativities!R42)*Sensativities!R$17</f>
        <v>26996.440741013022</v>
      </c>
      <c r="Q23" s="253">
        <f>(($G$6*Sensativities!S29)*Sensativities!S42)*Sensativities!S$17</f>
        <v>21020.394656773336</v>
      </c>
      <c r="R23" s="253">
        <f>(($H$6*Sensativities!T29)*Sensativities!T42)*Sensativities!T$17</f>
        <v>18449.30506239114</v>
      </c>
      <c r="S23" s="253">
        <f>(($I$6*Sensativities!U29)*Sensativities!U42)*Sensativities!U$17</f>
        <v>20777.18347892637</v>
      </c>
      <c r="T23" s="253">
        <f>(($J$6*Sensativities!V29)*Sensativities!V42)*Sensativities!V$17</f>
        <v>21333.094742576573</v>
      </c>
      <c r="U23" s="253">
        <f>(($K$6*Sensativities!W29)*Sensativities!W42)*Sensativities!W$17</f>
        <v>26510.018385319094</v>
      </c>
      <c r="V23" s="253">
        <f>(($L$6*Sensativities!X29)*Sensativities!X42)*Sensativities!X$17</f>
        <v>21437.328104510987</v>
      </c>
      <c r="W23" s="253">
        <f>(($M$6*Sensativities!Y29)*Sensativities!Y42)*Sensativities!Y$17</f>
        <v>18796.74960217252</v>
      </c>
      <c r="X23" s="253">
        <f>(($N$6*Sensativities!Z29)*Sensativities!Z42)*Sensativities!Z$17</f>
        <v>26127.829391559579</v>
      </c>
      <c r="Y23" s="253">
        <f>(($O$6*Sensativities!AA29)*Sensativities!AA42)*Sensativities!AA$17</f>
        <v>21923.750460204916</v>
      </c>
      <c r="Z23" s="253">
        <f>(($P$6*Sensativities!AB29)*Sensativities!AB42)*Sensativities!AB$17</f>
        <v>26718.485109187921</v>
      </c>
      <c r="AA23" s="253">
        <f>(($Q$6*Sensativities!AC29)*Sensativities!AC42)*Sensativities!AC$17</f>
        <v>27135.418556925575</v>
      </c>
      <c r="AB23" s="253">
        <f>(($R$6*Sensativities!AD29)*Sensativities!AD42)*Sensativities!AD$17</f>
        <v>33875.842628684295</v>
      </c>
      <c r="AC23" s="253">
        <f>(($S$6*Sensativities!AE29)*Sensativities!AE42)*Sensativities!AE$17</f>
        <v>26301.55166145027</v>
      </c>
      <c r="AD23" s="253">
        <f>(($T$6*Sensativities!AF29)*Sensativities!AF42)*Sensativities!AF$17</f>
        <v>28490.452262072948</v>
      </c>
      <c r="AE23" s="253">
        <f>(($U$6*Sensativities!AG29)*Sensativities!AG42)*Sensativities!AG$17</f>
        <v>32937.74237127458</v>
      </c>
      <c r="AF23" s="253">
        <f>(($V$6*Sensativities!AH29)*Sensativities!AH42)*Sensativities!AH$17</f>
        <v>21086.409119331794</v>
      </c>
      <c r="AG23" s="253">
        <f>(($W$6*Sensativities!AI29)*Sensativities!AI42)*Sensativities!AI$17</f>
        <v>17024.782449287493</v>
      </c>
      <c r="AH23" s="253">
        <f>(($X$6*Sensativities!AJ29)*Sensativities!AJ42)*Sensativities!AJ$17</f>
        <v>28643.327859576752</v>
      </c>
      <c r="AI23" s="253">
        <f>(($Y$6*Sensativities!AK29)*Sensativities!AK42)*Sensativities!AK$17</f>
        <v>22472.71283305949</v>
      </c>
      <c r="AJ23" s="279">
        <f>(($Z$6*Sensativities!AL29)*Sensativities!AL42)*Sensativities!AL$17</f>
        <v>19512.485354122153</v>
      </c>
      <c r="AK23" s="253">
        <f>(($AA$6*Sensativities!AM29)*Sensativities!AM42)*Sensativities!AM$17</f>
        <v>23198.554143712601</v>
      </c>
      <c r="AL23" s="621">
        <f>(($AB$6*Sensativities!AN29)*Sensativities!AN42)*Sensativities!AN$17</f>
        <v>34466.498346312641</v>
      </c>
      <c r="AM23" s="621">
        <f>(($AC$6*Sensativities!AO29)*Sensativities!AO42)*Sensativities!AO$17</f>
        <v>47861.312603788974</v>
      </c>
      <c r="AN23" s="621">
        <f>(($AD$6*Sensativities!AP29)*Sensativities!AP42)*Sensativities!AP$17</f>
        <v>48284.864042760557</v>
      </c>
      <c r="AO23" s="619">
        <f>(($AE$6*Sensativities!AQ29)*Sensativities!AQ42)*Sensativities!AQ$17</f>
        <v>42355.143897158385</v>
      </c>
      <c r="AP23" s="619">
        <f>(($AF$6*Sensativities!AR29)*Sensativities!AR42)*Sensativities!AR$17</f>
        <v>38119.629507442551</v>
      </c>
      <c r="AQ23" s="619">
        <f>(($AG$6*Sensativities!AS29)*Sensativities!AS42)*Sensativities!AS$17</f>
        <v>33884.115117726717</v>
      </c>
      <c r="AR23" s="619">
        <f>(($AH$6*Sensativities!AT29)*Sensativities!AT42)*Sensativities!AT$17</f>
        <v>33884.115117726717</v>
      </c>
      <c r="AS23" s="619">
        <f>(($AI$6*Sensativities!AU29)*Sensativities!AU42)*Sensativities!AU$17</f>
        <v>50032.013728518345</v>
      </c>
      <c r="AT23" s="619">
        <f>(($AJ$6*Sensativities!AV29)*Sensativities!AV42)*Sensativities!AV$17</f>
        <v>50032.013728518345</v>
      </c>
      <c r="AU23" s="619">
        <f>(($AK$6*Sensativities!AW29)*Sensativities!AW42)*Sensativities!AW$17</f>
        <v>50032.013728518345</v>
      </c>
      <c r="AV23" s="619">
        <f>(($AK$6*Sensativities!AX29)*Sensativities!AX42)*Sensativities!AX$17</f>
        <v>50032.013728518345</v>
      </c>
      <c r="AW23" s="619">
        <f>(($AK$6*Sensativities!AY29)*Sensativities!AY42)*Sensativities!AY$17</f>
        <v>50032.013728518345</v>
      </c>
    </row>
    <row r="24" spans="1:49" x14ac:dyDescent="0.3">
      <c r="A24" s="243" t="s">
        <v>275</v>
      </c>
      <c r="B24" s="253">
        <v>19887.501150713964</v>
      </c>
      <c r="C24" s="272">
        <v>19887.501150713964</v>
      </c>
      <c r="D24" s="272">
        <v>19887.501150713964</v>
      </c>
      <c r="E24" s="272">
        <v>19887.501150713964</v>
      </c>
      <c r="F24" s="272">
        <v>19887.501150713964</v>
      </c>
      <c r="G24" s="272">
        <v>19887.501150713964</v>
      </c>
      <c r="H24" s="272">
        <v>19887.501150713964</v>
      </c>
      <c r="I24" s="272">
        <v>19887.501150713964</v>
      </c>
      <c r="J24" s="272">
        <v>19887.501150713964</v>
      </c>
      <c r="K24" s="272">
        <v>19887.501150713964</v>
      </c>
      <c r="L24" s="272">
        <v>19888</v>
      </c>
      <c r="M24" s="271">
        <f>(($B$6*Sensativities!O30)*Sensativities!O43)*Sensativities!O$17</f>
        <v>17086.980350645194</v>
      </c>
      <c r="N24" s="253">
        <f>(($C$6*Sensativities!O30)*Sensativities!O43)*Sensativities!O$17</f>
        <v>24302.364164606737</v>
      </c>
      <c r="O24" s="253">
        <f>(($D$6*Sensativities!Q30)*Sensativities!Q43)*Sensativities!Q$17</f>
        <v>27332.154451661176</v>
      </c>
      <c r="P24" s="253">
        <f>(($E$6*Sensativities!R30)*Sensativities!R43)*Sensativities!R$17</f>
        <v>27294.034292035431</v>
      </c>
      <c r="Q24" s="253">
        <f>(($F$6*Sensativities!S30)*Sensativities!S43)*Sensativities!S$17</f>
        <v>29619.364029206041</v>
      </c>
      <c r="R24" s="253">
        <f>(($G$6*Sensativities!T30)*Sensativities!T43)*Sensativities!T$17</f>
        <v>23062.696573577421</v>
      </c>
      <c r="S24" s="253">
        <f>(($H$6*Sensativities!U30)*Sensativities!U43)*Sensativities!U$17</f>
        <v>20241.804761272084</v>
      </c>
      <c r="T24" s="253">
        <f>(($I$6*Sensativities!V30)*Sensativities!V43)*Sensativities!V$17</f>
        <v>22795.855456197187</v>
      </c>
      <c r="U24" s="253">
        <f>(($J$6*Sensativities!W30)*Sensativities!W43)*Sensativities!W$17</f>
        <v>23405.778010209149</v>
      </c>
      <c r="V24" s="253">
        <f>(($K$6*Sensativities!X30)*Sensativities!X43)*Sensativities!X$17</f>
        <v>29085.681794445572</v>
      </c>
      <c r="W24" s="253">
        <f>(($L$6*Sensativities!Y30)*Sensativities!Y43)*Sensativities!Y$17</f>
        <v>23520.138489086396</v>
      </c>
      <c r="X24" s="253">
        <f>(($M$6*Sensativities!Z30)*Sensativities!Z43)*Sensativities!Z$17</f>
        <v>20623.006357529564</v>
      </c>
      <c r="Y24" s="253">
        <f>(($N$6*Sensativities!AA30)*Sensativities!AA43)*Sensativities!AA$17</f>
        <v>28666.360038562347</v>
      </c>
      <c r="Z24" s="253">
        <f>(($O$6*Sensativities!AB30)*Sensativities!AB43)*Sensativities!AB$17</f>
        <v>24053.820723846864</v>
      </c>
      <c r="AA24" s="253">
        <f>(($P$6*Sensativities!AC30)*Sensativities!AC43)*Sensativities!AC$17</f>
        <v>29314.402752200062</v>
      </c>
      <c r="AB24" s="253">
        <f>(($Q$6*Sensativities!AD30)*Sensativities!AD43)*Sensativities!AD$17</f>
        <v>29771.844667709032</v>
      </c>
      <c r="AC24" s="253">
        <f>(($R$6*Sensativities!AE30)*Sensativities!AE43)*Sensativities!AE$17</f>
        <v>37167.155635104107</v>
      </c>
      <c r="AD24" s="253">
        <f>(($S$6*Sensativities!AF30)*Sensativities!AF43)*Sensativities!AF$17</f>
        <v>28856.960836691083</v>
      </c>
      <c r="AE24" s="253">
        <f>(($T$6*Sensativities!AG30)*Sensativities!AG43)*Sensativities!AG$17</f>
        <v>31258.530893113199</v>
      </c>
      <c r="AF24" s="253">
        <f>(($U$6*Sensativities!AH30)*Sensativities!AH43)*Sensativities!AH$17</f>
        <v>25296.537927646244</v>
      </c>
      <c r="AG24" s="253">
        <f>(($V$6*Sensativities!AI30)*Sensativities!AI43)*Sensativities!AI$17</f>
        <v>23135.124876866346</v>
      </c>
      <c r="AH24" s="253">
        <f>(($W$6*Sensativities!AJ30)*Sensativities!AJ43)*Sensativities!AJ$17</f>
        <v>32020.934085628149</v>
      </c>
      <c r="AI24" s="253">
        <f>(($X$6*Sensativities!AK30)*Sensativities!AK43)*Sensativities!AK$17</f>
        <v>31426.259595466487</v>
      </c>
      <c r="AJ24" s="253">
        <f>(($Y$6*Sensativities!AL30)*Sensativities!AL43)*Sensativities!AL$17</f>
        <v>16437.412830622452</v>
      </c>
      <c r="AK24" s="279">
        <f>(($Z$6*Sensativities!AM30)*Sensativities!AM43)*Sensativities!AM$17</f>
        <v>16056.211234364971</v>
      </c>
      <c r="AL24" s="619">
        <f>(($AA$6*Sensativities!AN30)*Sensativities!AN43)*Sensativities!AN$17</f>
        <v>42420.80321659999</v>
      </c>
      <c r="AM24" s="621">
        <f>(($AB$6*Sensativities!AO30)*Sensativities!AO43)*Sensativities!AO$17</f>
        <v>37815.198348741826</v>
      </c>
      <c r="AN24" s="621">
        <f>(($AC$6*Sensativities!AP30)*Sensativities!AP43)*Sensativities!AP$17</f>
        <v>52511.427507315821</v>
      </c>
      <c r="AO24" s="619">
        <f>(($AD$6*Sensativities!AQ30)*Sensativities!AQ43)*Sensativities!AQ$17</f>
        <v>52976.130405610653</v>
      </c>
      <c r="AP24" s="619">
        <f>(($AE$6*Sensativities!AR30)*Sensativities!AR43)*Sensativities!AR$17</f>
        <v>46470.28982948303</v>
      </c>
      <c r="AQ24" s="619">
        <f>(($AF$6*Sensativities!AS30)*Sensativities!AS43)*Sensativities!AS$17</f>
        <v>41823.260846534737</v>
      </c>
      <c r="AR24" s="619">
        <f>(($AG$6*Sensativities!AT30)*Sensativities!AT43)*Sensativities!AT$17</f>
        <v>37176.231863586429</v>
      </c>
      <c r="AS24" s="619">
        <f>(($AH$6*Sensativities!AU30)*Sensativities!AU43)*Sensativities!AU$17</f>
        <v>37176.231863586429</v>
      </c>
      <c r="AT24" s="619">
        <f>(($AI$6*Sensativities!AV30)*Sensativities!AV43)*Sensativities!AV$17</f>
        <v>54893.02986107683</v>
      </c>
      <c r="AU24" s="619">
        <f>(($AJ$6*Sensativities!AW30)*Sensativities!AW43)*Sensativities!AW$17</f>
        <v>54893.02986107683</v>
      </c>
      <c r="AV24" s="619">
        <f>(($AK$6*Sensativities!AX30)*Sensativities!AX43)*Sensativities!AX$17</f>
        <v>54893.02986107683</v>
      </c>
      <c r="AW24" s="619">
        <f>(($AK$6*Sensativities!AY30)*Sensativities!AY43)*Sensativities!AY$17</f>
        <v>54893.02986107683</v>
      </c>
    </row>
    <row r="25" spans="1:49" x14ac:dyDescent="0.3">
      <c r="A25" s="243" t="s">
        <v>290</v>
      </c>
      <c r="N25" s="271">
        <f>(($B$6*Sensativities!P31)*Sensativities!P44)*Sensativities!P$17</f>
        <v>13576.5</v>
      </c>
      <c r="O25" s="253">
        <f>(($C$6*Sensativities!P31)*Sensativities!P44)*Sensativities!P$17</f>
        <v>19309.499999999996</v>
      </c>
      <c r="P25" s="253">
        <f>(($D$6*Sensativities!R31)*Sensativities!R44)*Sensativities!R$17</f>
        <v>22585.5</v>
      </c>
      <c r="Q25" s="253">
        <f>(($E$6*Sensativities!S31)*Sensativities!S44)*Sensativities!S$17</f>
        <v>22554</v>
      </c>
      <c r="R25" s="253">
        <f>(($F$6*Sensativities!T31)*Sensativities!T44)*Sensativities!T$17</f>
        <v>24475.5</v>
      </c>
      <c r="S25" s="253">
        <f>(($G$6*Sensativities!U31)*Sensativities!U44)*Sensativities!U$17</f>
        <v>19057.5</v>
      </c>
      <c r="T25" s="253">
        <f>(($H$6*Sensativities!V31)*Sensativities!V44)*Sensativities!V$17</f>
        <v>16726.5</v>
      </c>
      <c r="U25" s="253">
        <f>(($I$6*Sensativities!W31)*Sensativities!W44)*Sensativities!W$17</f>
        <v>18837</v>
      </c>
      <c r="V25" s="253">
        <f>(($J$6*Sensativities!X31)*Sensativities!X44)*Sensativities!X$17</f>
        <v>19341</v>
      </c>
      <c r="W25" s="253">
        <f>(($K$6*Sensativities!Y31)*Sensativities!Y44)*Sensativities!Y$17</f>
        <v>24034.5</v>
      </c>
      <c r="X25" s="253">
        <f>(($L$6*Sensativities!Z31)*Sensativities!Z44)*Sensativities!Z$17</f>
        <v>19435.5</v>
      </c>
      <c r="Y25" s="253">
        <f>(($M$6*Sensativities!AA31)*Sensativities!AA44)*Sensativities!AA$17</f>
        <v>17041.5</v>
      </c>
      <c r="Z25" s="253">
        <f>(($N$6*Sensativities!AB31)*Sensativities!AB44)*Sensativities!AB$17</f>
        <v>23688</v>
      </c>
      <c r="AA25" s="253">
        <f>(($O$6*Sensativities!AC31)*Sensativities!AC44)*Sensativities!AC$17</f>
        <v>19876.5</v>
      </c>
      <c r="AB25" s="253">
        <f>(($P$6*Sensativities!AD31)*Sensativities!AD44)*Sensativities!AD$17</f>
        <v>24223.5</v>
      </c>
      <c r="AC25" s="253">
        <f>(($Q$6*Sensativities!AE31)*Sensativities!AE44)*Sensativities!AE$17</f>
        <v>24601.5</v>
      </c>
      <c r="AD25" s="253">
        <f>(($R$6*Sensativities!AF31)*Sensativities!AF44)*Sensativities!AF$17</f>
        <v>30712.5</v>
      </c>
      <c r="AE25" s="253">
        <f>(($S$6*Sensativities!AG31)*Sensativities!AG44)*Sensativities!AG$17</f>
        <v>23845.5</v>
      </c>
      <c r="AF25" s="253">
        <f>(($T$6*Sensativities!AH31)*Sensativities!AH44)*Sensativities!AH$17</f>
        <v>18081</v>
      </c>
      <c r="AG25" s="253">
        <f>(($U$6*Sensativities!AI31)*Sensativities!AI44)*Sensativities!AI$17</f>
        <v>20903.400000000001</v>
      </c>
      <c r="AH25" s="253">
        <f>(($V$6*Sensativities!AJ31)*Sensativities!AJ44)*Sensativities!AJ$17</f>
        <v>32772.6</v>
      </c>
      <c r="AI25" s="253">
        <f>(($W$6*Sensativities!AK31)*Sensativities!AK44)*Sensativities!AK$17</f>
        <v>26460</v>
      </c>
      <c r="AJ25" s="253">
        <f>(($X$6*Sensativities!AL31)*Sensativities!AL44)*Sensativities!AL$17</f>
        <v>17312.399999999998</v>
      </c>
      <c r="AK25" s="253">
        <f>(($Y$6*Sensativities!AM31)*Sensativities!AM44)*Sensativities!AM$17</f>
        <v>10187.1</v>
      </c>
      <c r="AL25" s="619">
        <f>(($Z$6*Sensativities!AN31)*Sensativities!AN44)*Sensativities!AN$17</f>
        <v>22113</v>
      </c>
      <c r="AM25" s="619">
        <f>(($AA$6*Sensativities!AO31)*Sensativities!AO44)*Sensativities!AO$17</f>
        <v>35053.769827877164</v>
      </c>
      <c r="AN25" s="619">
        <f>(($AB$6*Sensativities!AP31)*Sensativities!AP44)*Sensativities!AP$17</f>
        <v>31248.000000000007</v>
      </c>
      <c r="AO25" s="619">
        <f>(($AC$6*Sensativities!AQ31)*Sensativities!AQ44)*Sensativities!AQ$17</f>
        <v>43392</v>
      </c>
      <c r="AP25" s="619">
        <f>(($AD$6*Sensativities!AR31)*Sensativities!AR44)*Sensativities!AR$17</f>
        <v>43776</v>
      </c>
      <c r="AQ25" s="619">
        <f>(($AE$6*Sensativities!AS31)*Sensativities!AS44)*Sensativities!AS$17</f>
        <v>38400</v>
      </c>
      <c r="AR25" s="619">
        <f>(($AF$6*Sensativities!AT31)*Sensativities!AT44)*Sensativities!AT$17</f>
        <v>34560.000000000007</v>
      </c>
      <c r="AS25" s="619">
        <f>(($AG$6*Sensativities!AU31)*Sensativities!AU44)*Sensativities!AU$17</f>
        <v>30720</v>
      </c>
      <c r="AT25" s="619">
        <f>(($AH$6*Sensativities!AV31)*Sensativities!AV44)*Sensativities!AV$17</f>
        <v>30720</v>
      </c>
      <c r="AU25" s="619">
        <f>(($AI$6*Sensativities!AW31)*Sensativities!AW44)*Sensativities!AW$17</f>
        <v>45360</v>
      </c>
      <c r="AV25" s="619">
        <f>(($AJ$6*Sensativities!AX31)*Sensativities!AX44)*Sensativities!AX$17</f>
        <v>45360</v>
      </c>
      <c r="AW25" s="619">
        <f>(($AK$6*Sensativities!AY31)*Sensativities!AY44)*Sensativities!AY$17</f>
        <v>45360</v>
      </c>
    </row>
    <row r="26" spans="1:49" x14ac:dyDescent="0.3">
      <c r="A26" s="243" t="s">
        <v>291</v>
      </c>
      <c r="B26" s="272"/>
      <c r="C26" s="272"/>
      <c r="D26" s="272"/>
      <c r="E26" s="272"/>
      <c r="F26" s="272"/>
      <c r="G26" s="272"/>
      <c r="H26" s="272"/>
      <c r="I26" s="272"/>
      <c r="J26" s="272"/>
      <c r="K26" s="272"/>
      <c r="L26" s="272"/>
      <c r="M26" s="272"/>
      <c r="N26" s="272"/>
      <c r="O26" s="271">
        <f>$N$25</f>
        <v>13576.5</v>
      </c>
      <c r="P26" s="253">
        <f>$N$25</f>
        <v>13576.5</v>
      </c>
      <c r="Q26" s="272">
        <f>$O$25</f>
        <v>19309.499999999996</v>
      </c>
      <c r="R26" s="272">
        <f>$P$25</f>
        <v>22585.5</v>
      </c>
      <c r="S26" s="272">
        <f>$Q$25</f>
        <v>22554</v>
      </c>
      <c r="T26" s="272">
        <f>$R$25</f>
        <v>24475.5</v>
      </c>
      <c r="U26" s="272">
        <f>$S$25</f>
        <v>19057.5</v>
      </c>
      <c r="V26" s="272">
        <f>$T$25</f>
        <v>16726.5</v>
      </c>
      <c r="W26" s="272">
        <f>$U$25</f>
        <v>18837</v>
      </c>
      <c r="X26" s="272">
        <f>$V$25</f>
        <v>19341</v>
      </c>
      <c r="Y26" s="272">
        <f>$W$25</f>
        <v>24034.5</v>
      </c>
      <c r="Z26" s="272">
        <f>$X$25</f>
        <v>19435.5</v>
      </c>
      <c r="AA26" s="272">
        <f>$Y$25</f>
        <v>17041.5</v>
      </c>
      <c r="AB26" s="272">
        <f>$Z$25</f>
        <v>23688</v>
      </c>
      <c r="AC26" s="272">
        <f>$AA$25</f>
        <v>19876.5</v>
      </c>
      <c r="AD26" s="272">
        <f>$AB$25</f>
        <v>24223.5</v>
      </c>
      <c r="AE26" s="272">
        <f>$AD$25</f>
        <v>30712.5</v>
      </c>
      <c r="AF26" s="272">
        <f>$AE$25</f>
        <v>23845.5</v>
      </c>
      <c r="AG26" s="272">
        <f>$AF$25</f>
        <v>18081</v>
      </c>
      <c r="AH26" s="272">
        <f>$AG$25</f>
        <v>20903.400000000001</v>
      </c>
      <c r="AI26" s="272">
        <f>$AH$25</f>
        <v>32772.6</v>
      </c>
      <c r="AJ26" s="272">
        <f>$AI$25</f>
        <v>26460</v>
      </c>
      <c r="AK26" s="272">
        <f>$AJ$25</f>
        <v>17312.399999999998</v>
      </c>
      <c r="AL26" s="621">
        <f>$AK$25</f>
        <v>10187.1</v>
      </c>
      <c r="AM26" s="619">
        <f>$AL$25</f>
        <v>22113</v>
      </c>
      <c r="AN26" s="619">
        <f>$AM$25</f>
        <v>35053.769827877164</v>
      </c>
      <c r="AO26" s="619">
        <f>$AN$25</f>
        <v>31248.000000000007</v>
      </c>
      <c r="AP26" s="619">
        <f>$AO$25</f>
        <v>43392</v>
      </c>
      <c r="AQ26" s="619">
        <f>$AP$25</f>
        <v>43776</v>
      </c>
      <c r="AR26" s="619">
        <f>$AQ$25</f>
        <v>38400</v>
      </c>
      <c r="AS26" s="619">
        <f>$AR$25</f>
        <v>34560.000000000007</v>
      </c>
      <c r="AT26" s="619">
        <f>$AS$25</f>
        <v>30720</v>
      </c>
      <c r="AU26" s="619">
        <f>$AT$25</f>
        <v>30720</v>
      </c>
      <c r="AV26" s="619">
        <f>$AU$25</f>
        <v>45360</v>
      </c>
      <c r="AW26" s="619">
        <f>$AV$25</f>
        <v>45360</v>
      </c>
    </row>
    <row r="27" spans="1:49" x14ac:dyDescent="0.3">
      <c r="A27" s="243" t="s">
        <v>292</v>
      </c>
      <c r="B27" s="272"/>
      <c r="C27" s="272"/>
      <c r="D27" s="272"/>
      <c r="E27" s="272"/>
      <c r="F27" s="272"/>
      <c r="G27" s="272"/>
      <c r="H27" s="272"/>
      <c r="I27" s="272"/>
      <c r="J27" s="272"/>
      <c r="K27" s="272"/>
      <c r="L27" s="272"/>
      <c r="M27" s="272"/>
      <c r="N27" s="272"/>
      <c r="O27" s="272"/>
      <c r="P27" s="286">
        <f>$N$25</f>
        <v>13576.5</v>
      </c>
      <c r="Q27" s="253">
        <f>$N$25</f>
        <v>13576.5</v>
      </c>
      <c r="R27" s="272">
        <f>$O$25</f>
        <v>19309.499999999996</v>
      </c>
      <c r="S27" s="272">
        <f>$P$25</f>
        <v>22585.5</v>
      </c>
      <c r="T27" s="272">
        <f>$Q$25</f>
        <v>22554</v>
      </c>
      <c r="U27" s="272">
        <f>$R$25</f>
        <v>24475.5</v>
      </c>
      <c r="V27" s="272">
        <f>$S$25</f>
        <v>19057.5</v>
      </c>
      <c r="W27" s="272">
        <f>$T$25</f>
        <v>16726.5</v>
      </c>
      <c r="X27" s="272">
        <f>$U$25</f>
        <v>18837</v>
      </c>
      <c r="Y27" s="272">
        <f>$V$25</f>
        <v>19341</v>
      </c>
      <c r="Z27" s="272">
        <f>$W$25</f>
        <v>24034.5</v>
      </c>
      <c r="AA27" s="272">
        <f>$X$25</f>
        <v>19435.5</v>
      </c>
      <c r="AB27" s="272">
        <f>$Y$25</f>
        <v>17041.5</v>
      </c>
      <c r="AC27" s="272">
        <f>$Z$25</f>
        <v>23688</v>
      </c>
      <c r="AD27" s="272">
        <f>$AA$25</f>
        <v>19876.5</v>
      </c>
      <c r="AE27" s="272">
        <f>$AB$25</f>
        <v>24223.5</v>
      </c>
      <c r="AF27" s="272">
        <f>$AD$25</f>
        <v>30712.5</v>
      </c>
      <c r="AG27" s="272">
        <f>$AE$25</f>
        <v>23845.5</v>
      </c>
      <c r="AH27" s="272">
        <f>$AF$25</f>
        <v>18081</v>
      </c>
      <c r="AI27" s="272">
        <f>$AG$25</f>
        <v>20903.400000000001</v>
      </c>
      <c r="AJ27" s="272">
        <f>$AH$25</f>
        <v>32772.6</v>
      </c>
      <c r="AK27" s="272">
        <f>$AI$25</f>
        <v>26460</v>
      </c>
      <c r="AL27" s="623">
        <f>$AJ$25</f>
        <v>17312.399999999998</v>
      </c>
      <c r="AM27" s="621">
        <f>$AK$25</f>
        <v>10187.1</v>
      </c>
      <c r="AN27" s="619">
        <f>$AL$25</f>
        <v>22113</v>
      </c>
      <c r="AO27" s="619">
        <f>$AM$25</f>
        <v>35053.769827877164</v>
      </c>
      <c r="AP27" s="619">
        <f>$AN$25</f>
        <v>31248.000000000007</v>
      </c>
      <c r="AQ27" s="619">
        <f>$AO$25</f>
        <v>43392</v>
      </c>
      <c r="AR27" s="619">
        <f>$AP$25</f>
        <v>43776</v>
      </c>
      <c r="AS27" s="619">
        <f>$AQ$25</f>
        <v>38400</v>
      </c>
      <c r="AT27" s="619">
        <f>$AS$26</f>
        <v>34560.000000000007</v>
      </c>
      <c r="AU27" s="619">
        <f>$AS$25</f>
        <v>30720</v>
      </c>
      <c r="AV27" s="619">
        <f>$AT$25</f>
        <v>30720</v>
      </c>
      <c r="AW27" s="619">
        <f>$AU$25</f>
        <v>45360</v>
      </c>
    </row>
    <row r="28" spans="1:49" x14ac:dyDescent="0.3">
      <c r="A28" s="243" t="s">
        <v>293</v>
      </c>
      <c r="B28" s="272"/>
      <c r="C28" s="272"/>
      <c r="D28" s="272"/>
      <c r="E28" s="272"/>
      <c r="F28" s="272"/>
      <c r="G28" s="272"/>
      <c r="H28" s="272"/>
      <c r="I28" s="272"/>
      <c r="J28" s="272"/>
      <c r="K28" s="272"/>
      <c r="L28" s="272"/>
      <c r="M28" s="272"/>
      <c r="N28" s="272"/>
      <c r="O28" s="272"/>
      <c r="P28" s="272"/>
      <c r="Q28" s="286">
        <f>$N$25</f>
        <v>13576.5</v>
      </c>
      <c r="R28" s="253">
        <f>$N$25</f>
        <v>13576.5</v>
      </c>
      <c r="S28" s="272">
        <f>$O$25</f>
        <v>19309.499999999996</v>
      </c>
      <c r="T28" s="272">
        <f>$P$25</f>
        <v>22585.5</v>
      </c>
      <c r="U28" s="272">
        <f>$Q$25</f>
        <v>22554</v>
      </c>
      <c r="V28" s="272">
        <f>$R$25</f>
        <v>24475.5</v>
      </c>
      <c r="W28" s="272">
        <f>$S$25</f>
        <v>19057.5</v>
      </c>
      <c r="X28" s="272">
        <f>$T$25</f>
        <v>16726.5</v>
      </c>
      <c r="Y28" s="272">
        <f>$U$25</f>
        <v>18837</v>
      </c>
      <c r="Z28" s="272">
        <f>$V$25</f>
        <v>19341</v>
      </c>
      <c r="AA28" s="272">
        <f>$W$25</f>
        <v>24034.5</v>
      </c>
      <c r="AB28" s="272">
        <f>$X$25</f>
        <v>19435.5</v>
      </c>
      <c r="AC28" s="272">
        <f>$Y$25</f>
        <v>17041.5</v>
      </c>
      <c r="AD28" s="272">
        <f>$Z$25</f>
        <v>23688</v>
      </c>
      <c r="AE28" s="272">
        <f>$AA$25</f>
        <v>19876.5</v>
      </c>
      <c r="AF28" s="272">
        <f>$AB$25</f>
        <v>24223.5</v>
      </c>
      <c r="AG28" s="272">
        <f>$AD$25</f>
        <v>30712.5</v>
      </c>
      <c r="AH28" s="272">
        <f>$AE$25</f>
        <v>23845.5</v>
      </c>
      <c r="AI28" s="272">
        <f>$AF$25</f>
        <v>18081</v>
      </c>
      <c r="AJ28" s="272">
        <f>$AG$25</f>
        <v>20903.400000000001</v>
      </c>
      <c r="AK28" s="272">
        <f>$AH$25</f>
        <v>32772.6</v>
      </c>
      <c r="AL28" s="619">
        <f>$AI$25</f>
        <v>26460</v>
      </c>
      <c r="AM28" s="623">
        <f>$AJ$25</f>
        <v>17312.399999999998</v>
      </c>
      <c r="AN28" s="621">
        <f>$AK$25</f>
        <v>10187.1</v>
      </c>
      <c r="AO28" s="619">
        <f>$AL$25</f>
        <v>22113</v>
      </c>
      <c r="AP28" s="619">
        <f>$AM$25</f>
        <v>35053.769827877164</v>
      </c>
      <c r="AQ28" s="619">
        <f>$AN$25</f>
        <v>31248.000000000007</v>
      </c>
      <c r="AR28" s="619">
        <f>$AO$25</f>
        <v>43392</v>
      </c>
      <c r="AS28" s="619">
        <f>$AP$25</f>
        <v>43776</v>
      </c>
      <c r="AT28" s="619">
        <f>$AQ$25</f>
        <v>38400</v>
      </c>
      <c r="AU28" s="619">
        <f>$AS$26</f>
        <v>34560.000000000007</v>
      </c>
      <c r="AV28" s="619">
        <f>$AS$25</f>
        <v>30720</v>
      </c>
      <c r="AW28" s="619">
        <f>$AT$25</f>
        <v>30720</v>
      </c>
    </row>
    <row r="29" spans="1:49" x14ac:dyDescent="0.3">
      <c r="A29" s="243" t="s">
        <v>294</v>
      </c>
      <c r="B29" s="272"/>
      <c r="C29" s="272"/>
      <c r="D29" s="272"/>
      <c r="E29" s="272"/>
      <c r="F29" s="272"/>
      <c r="G29" s="272"/>
      <c r="H29" s="272"/>
      <c r="I29" s="272"/>
      <c r="J29" s="272"/>
      <c r="K29" s="272"/>
      <c r="L29" s="272"/>
      <c r="M29" s="272"/>
      <c r="N29" s="272"/>
      <c r="O29" s="272"/>
      <c r="P29" s="272"/>
      <c r="Q29" s="272"/>
      <c r="R29" s="286">
        <f>$N$25</f>
        <v>13576.5</v>
      </c>
      <c r="S29" s="253">
        <f>$N$25</f>
        <v>13576.5</v>
      </c>
      <c r="T29" s="272">
        <f>$O$25</f>
        <v>19309.499999999996</v>
      </c>
      <c r="U29" s="272">
        <f>$P$25</f>
        <v>22585.5</v>
      </c>
      <c r="V29" s="272">
        <f>$Q$25</f>
        <v>22554</v>
      </c>
      <c r="W29" s="272">
        <f>$R$25</f>
        <v>24475.5</v>
      </c>
      <c r="X29" s="272">
        <f>$S$25</f>
        <v>19057.5</v>
      </c>
      <c r="Y29" s="272">
        <f>$T$25</f>
        <v>16726.5</v>
      </c>
      <c r="Z29" s="272">
        <f>$U$25</f>
        <v>18837</v>
      </c>
      <c r="AA29" s="272">
        <f>$V$25</f>
        <v>19341</v>
      </c>
      <c r="AB29" s="272">
        <f>$W$25</f>
        <v>24034.5</v>
      </c>
      <c r="AC29" s="272">
        <f>$X$25</f>
        <v>19435.5</v>
      </c>
      <c r="AD29" s="272">
        <f>$Y$25</f>
        <v>17041.5</v>
      </c>
      <c r="AE29" s="272">
        <f>$Z$25</f>
        <v>23688</v>
      </c>
      <c r="AF29" s="272">
        <f>$AA$25</f>
        <v>19876.5</v>
      </c>
      <c r="AG29" s="272">
        <f>$AB$25</f>
        <v>24223.5</v>
      </c>
      <c r="AH29" s="272">
        <f>$AD$25</f>
        <v>30712.5</v>
      </c>
      <c r="AI29" s="272">
        <f>$AE$25</f>
        <v>23845.5</v>
      </c>
      <c r="AJ29" s="272">
        <f>$AF$25</f>
        <v>18081</v>
      </c>
      <c r="AK29" s="272">
        <f>$AG$25</f>
        <v>20903.400000000001</v>
      </c>
      <c r="AL29" s="619">
        <f>$AH$25</f>
        <v>32772.6</v>
      </c>
      <c r="AM29" s="619">
        <f>$AI$25</f>
        <v>26460</v>
      </c>
      <c r="AN29" s="623">
        <f>$AJ$25</f>
        <v>17312.399999999998</v>
      </c>
      <c r="AO29" s="621">
        <f>$AK$25</f>
        <v>10187.1</v>
      </c>
      <c r="AP29" s="619">
        <f>$AL$25</f>
        <v>22113</v>
      </c>
      <c r="AQ29" s="619">
        <f>$AM$25</f>
        <v>35053.769827877164</v>
      </c>
      <c r="AR29" s="619">
        <f>$AN$25</f>
        <v>31248.000000000007</v>
      </c>
      <c r="AS29" s="619">
        <f>$AO$25</f>
        <v>43392</v>
      </c>
      <c r="AT29" s="619">
        <f>$AP$25</f>
        <v>43776</v>
      </c>
      <c r="AU29" s="619">
        <f>$AQ$25</f>
        <v>38400</v>
      </c>
      <c r="AV29" s="619">
        <f>$AS$26</f>
        <v>34560.000000000007</v>
      </c>
      <c r="AW29" s="619">
        <f>$AS$25</f>
        <v>30720</v>
      </c>
    </row>
    <row r="30" spans="1:49" x14ac:dyDescent="0.3">
      <c r="A30" s="243" t="s">
        <v>295</v>
      </c>
      <c r="B30" s="272"/>
      <c r="C30" s="272"/>
      <c r="D30" s="272"/>
      <c r="E30" s="272"/>
      <c r="F30" s="272"/>
      <c r="G30" s="272"/>
      <c r="H30" s="272"/>
      <c r="I30" s="272"/>
      <c r="J30" s="272"/>
      <c r="K30" s="272"/>
      <c r="L30" s="272"/>
      <c r="M30" s="272"/>
      <c r="N30" s="272"/>
      <c r="O30" s="272"/>
      <c r="P30" s="272"/>
      <c r="Q30" s="272"/>
      <c r="R30" s="272"/>
      <c r="S30" s="286">
        <f>$N$25</f>
        <v>13576.5</v>
      </c>
      <c r="T30" s="253">
        <f>$N$25</f>
        <v>13576.5</v>
      </c>
      <c r="U30" s="272">
        <f>$O$25</f>
        <v>19309.499999999996</v>
      </c>
      <c r="V30" s="272">
        <f>$P$25</f>
        <v>22585.5</v>
      </c>
      <c r="W30" s="272">
        <f>$Q$25</f>
        <v>22554</v>
      </c>
      <c r="X30" s="272">
        <f>$R$25</f>
        <v>24475.5</v>
      </c>
      <c r="Y30" s="272">
        <f>$S$25</f>
        <v>19057.5</v>
      </c>
      <c r="Z30" s="272">
        <f>$T$25</f>
        <v>16726.5</v>
      </c>
      <c r="AA30" s="272">
        <f>$U$25</f>
        <v>18837</v>
      </c>
      <c r="AB30" s="272">
        <f>$V$25</f>
        <v>19341</v>
      </c>
      <c r="AC30" s="272">
        <f>$W$25</f>
        <v>24034.5</v>
      </c>
      <c r="AD30" s="272">
        <f>$X$25</f>
        <v>19435.5</v>
      </c>
      <c r="AE30" s="272">
        <f>$Y$25</f>
        <v>17041.5</v>
      </c>
      <c r="AF30" s="272">
        <f>$Z$25</f>
        <v>23688</v>
      </c>
      <c r="AG30" s="272">
        <f>$AA$25</f>
        <v>19876.5</v>
      </c>
      <c r="AH30" s="272">
        <f>$AB$25</f>
        <v>24223.5</v>
      </c>
      <c r="AI30" s="272">
        <f>$AD$25</f>
        <v>30712.5</v>
      </c>
      <c r="AJ30" s="272">
        <f>$AE$25</f>
        <v>23845.5</v>
      </c>
      <c r="AK30" s="272">
        <f>$AF$25</f>
        <v>18081</v>
      </c>
      <c r="AL30" s="619">
        <f>$AG$25</f>
        <v>20903.400000000001</v>
      </c>
      <c r="AM30" s="619">
        <f>$AH$25</f>
        <v>32772.6</v>
      </c>
      <c r="AN30" s="619">
        <f>$AI$25</f>
        <v>26460</v>
      </c>
      <c r="AO30" s="623">
        <f>$AJ$25</f>
        <v>17312.399999999998</v>
      </c>
      <c r="AP30" s="621">
        <f>$AK$25</f>
        <v>10187.1</v>
      </c>
      <c r="AQ30" s="619">
        <f>$AL$25</f>
        <v>22113</v>
      </c>
      <c r="AR30" s="619">
        <f>$AM$25</f>
        <v>35053.769827877164</v>
      </c>
      <c r="AS30" s="619">
        <f>$AN$25</f>
        <v>31248.000000000007</v>
      </c>
      <c r="AT30" s="619">
        <f>$AO$25</f>
        <v>43392</v>
      </c>
      <c r="AU30" s="619">
        <f>$AP$25</f>
        <v>43776</v>
      </c>
      <c r="AV30" s="619">
        <f>$AQ$25</f>
        <v>38400</v>
      </c>
      <c r="AW30" s="619">
        <f>$AS$26</f>
        <v>34560.000000000007</v>
      </c>
    </row>
    <row r="31" spans="1:49" x14ac:dyDescent="0.3">
      <c r="A31" s="243" t="s">
        <v>296</v>
      </c>
      <c r="B31" s="272"/>
      <c r="C31" s="272"/>
      <c r="D31" s="272"/>
      <c r="E31" s="272"/>
      <c r="F31" s="272"/>
      <c r="G31" s="272"/>
      <c r="H31" s="272"/>
      <c r="I31" s="272"/>
      <c r="J31" s="272"/>
      <c r="K31" s="272"/>
      <c r="L31" s="272"/>
      <c r="M31" s="272"/>
      <c r="N31" s="272"/>
      <c r="O31" s="272"/>
      <c r="P31" s="272"/>
      <c r="Q31" s="272"/>
      <c r="R31" s="272"/>
      <c r="S31" s="272"/>
      <c r="T31" s="286">
        <f>$N$25</f>
        <v>13576.5</v>
      </c>
      <c r="U31" s="253">
        <f>$N$25</f>
        <v>13576.5</v>
      </c>
      <c r="V31" s="272">
        <f>$O$25</f>
        <v>19309.499999999996</v>
      </c>
      <c r="W31" s="272">
        <f>$P$25</f>
        <v>22585.5</v>
      </c>
      <c r="X31" s="272">
        <f>$Q$25</f>
        <v>22554</v>
      </c>
      <c r="Y31" s="272">
        <f>$R$25</f>
        <v>24475.5</v>
      </c>
      <c r="Z31" s="272">
        <f>$S$25</f>
        <v>19057.5</v>
      </c>
      <c r="AA31" s="272">
        <f>$T$25</f>
        <v>16726.5</v>
      </c>
      <c r="AB31" s="272">
        <f>$U$25</f>
        <v>18837</v>
      </c>
      <c r="AC31" s="272">
        <f>$V$25</f>
        <v>19341</v>
      </c>
      <c r="AD31" s="272">
        <f>$W$25</f>
        <v>24034.5</v>
      </c>
      <c r="AE31" s="272">
        <f>$X$25</f>
        <v>19435.5</v>
      </c>
      <c r="AF31" s="272">
        <f>$Y$25</f>
        <v>17041.5</v>
      </c>
      <c r="AG31" s="272">
        <f>$Z$25</f>
        <v>23688</v>
      </c>
      <c r="AH31" s="272">
        <f>$AA$25</f>
        <v>19876.5</v>
      </c>
      <c r="AI31" s="272">
        <f>$AB$25</f>
        <v>24223.5</v>
      </c>
      <c r="AJ31" s="272">
        <f>$AD$25</f>
        <v>30712.5</v>
      </c>
      <c r="AK31" s="272">
        <f>$AE$25</f>
        <v>23845.5</v>
      </c>
      <c r="AL31" s="619">
        <f>$AF$25</f>
        <v>18081</v>
      </c>
      <c r="AM31" s="619">
        <f>$AG$25</f>
        <v>20903.400000000001</v>
      </c>
      <c r="AN31" s="619">
        <f>$AH$25</f>
        <v>32772.6</v>
      </c>
      <c r="AO31" s="619">
        <f>$AI$25</f>
        <v>26460</v>
      </c>
      <c r="AP31" s="623">
        <f>$AJ$25</f>
        <v>17312.399999999998</v>
      </c>
      <c r="AQ31" s="621">
        <f>$AK$25</f>
        <v>10187.1</v>
      </c>
      <c r="AR31" s="619">
        <f>$AL$25</f>
        <v>22113</v>
      </c>
      <c r="AS31" s="619">
        <f>$AM$25</f>
        <v>35053.769827877164</v>
      </c>
      <c r="AT31" s="619">
        <f>$AN$25</f>
        <v>31248.000000000007</v>
      </c>
      <c r="AU31" s="619">
        <f>$AO$25</f>
        <v>43392</v>
      </c>
      <c r="AV31" s="619">
        <f>$AP$25</f>
        <v>43776</v>
      </c>
      <c r="AW31" s="619">
        <f>$AQ$25</f>
        <v>38400</v>
      </c>
    </row>
    <row r="32" spans="1:49" x14ac:dyDescent="0.3">
      <c r="A32" s="243" t="s">
        <v>297</v>
      </c>
      <c r="B32" s="272"/>
      <c r="C32" s="272"/>
      <c r="D32" s="272"/>
      <c r="E32" s="272"/>
      <c r="F32" s="272"/>
      <c r="G32" s="272"/>
      <c r="H32" s="272"/>
      <c r="I32" s="272"/>
      <c r="J32" s="272"/>
      <c r="K32" s="272"/>
      <c r="L32" s="272"/>
      <c r="M32" s="272"/>
      <c r="N32" s="272"/>
      <c r="O32" s="272"/>
      <c r="P32" s="272"/>
      <c r="Q32" s="272"/>
      <c r="R32" s="272"/>
      <c r="S32" s="272"/>
      <c r="T32" s="272"/>
      <c r="U32" s="286">
        <f>$N$25</f>
        <v>13576.5</v>
      </c>
      <c r="V32" s="253">
        <f>$N$25</f>
        <v>13576.5</v>
      </c>
      <c r="W32" s="272">
        <f>$O$25</f>
        <v>19309.499999999996</v>
      </c>
      <c r="X32" s="272">
        <f>$P$25</f>
        <v>22585.5</v>
      </c>
      <c r="Y32" s="272">
        <f>$Q$25</f>
        <v>22554</v>
      </c>
      <c r="Z32" s="272">
        <f>$R$25</f>
        <v>24475.5</v>
      </c>
      <c r="AA32" s="272">
        <f>$S$25</f>
        <v>19057.5</v>
      </c>
      <c r="AB32" s="272">
        <f>$T$25</f>
        <v>16726.5</v>
      </c>
      <c r="AC32" s="272">
        <f>$U$25</f>
        <v>18837</v>
      </c>
      <c r="AD32" s="272">
        <f>$V$25</f>
        <v>19341</v>
      </c>
      <c r="AE32" s="272">
        <f>$W$25</f>
        <v>24034.5</v>
      </c>
      <c r="AF32" s="272">
        <f>$X$25</f>
        <v>19435.5</v>
      </c>
      <c r="AG32" s="272">
        <f>$Y$25</f>
        <v>17041.5</v>
      </c>
      <c r="AH32" s="272">
        <f>$Z$25</f>
        <v>23688</v>
      </c>
      <c r="AI32" s="272">
        <f>$AA$25</f>
        <v>19876.5</v>
      </c>
      <c r="AJ32" s="272">
        <f>$AB$25</f>
        <v>24223.5</v>
      </c>
      <c r="AK32" s="272">
        <f>$AD$25</f>
        <v>30712.5</v>
      </c>
      <c r="AL32" s="619">
        <f>$AE$25</f>
        <v>23845.5</v>
      </c>
      <c r="AM32" s="619">
        <f>$AF$25</f>
        <v>18081</v>
      </c>
      <c r="AN32" s="619">
        <f>$AG$25</f>
        <v>20903.400000000001</v>
      </c>
      <c r="AO32" s="619">
        <f>$AH$25</f>
        <v>32772.6</v>
      </c>
      <c r="AP32" s="619">
        <f>$AI$25</f>
        <v>26460</v>
      </c>
      <c r="AQ32" s="623">
        <f>$AJ$25</f>
        <v>17312.399999999998</v>
      </c>
      <c r="AR32" s="621">
        <f>$AK$25</f>
        <v>10187.1</v>
      </c>
      <c r="AS32" s="619">
        <f>$AL$25</f>
        <v>22113</v>
      </c>
      <c r="AT32" s="619">
        <f>$AM$25</f>
        <v>35053.769827877164</v>
      </c>
      <c r="AU32" s="619">
        <f>$AN$25</f>
        <v>31248.000000000007</v>
      </c>
      <c r="AV32" s="619">
        <f>$AO$25</f>
        <v>43392</v>
      </c>
      <c r="AW32" s="619">
        <f>$AP$25</f>
        <v>43776</v>
      </c>
    </row>
    <row r="33" spans="1:49" x14ac:dyDescent="0.3">
      <c r="A33" s="243" t="s">
        <v>298</v>
      </c>
      <c r="B33" s="272"/>
      <c r="C33" s="272"/>
      <c r="D33" s="272"/>
      <c r="E33" s="272"/>
      <c r="F33" s="272"/>
      <c r="G33" s="272"/>
      <c r="H33" s="272"/>
      <c r="I33" s="272"/>
      <c r="J33" s="272"/>
      <c r="K33" s="272"/>
      <c r="L33" s="272"/>
      <c r="M33" s="272"/>
      <c r="N33" s="272"/>
      <c r="O33" s="272"/>
      <c r="P33" s="272"/>
      <c r="Q33" s="272"/>
      <c r="R33" s="272"/>
      <c r="S33" s="272"/>
      <c r="T33" s="272"/>
      <c r="U33" s="272"/>
      <c r="V33" s="286">
        <f>$N$25</f>
        <v>13576.5</v>
      </c>
      <c r="W33" s="253">
        <f>$N$25</f>
        <v>13576.5</v>
      </c>
      <c r="X33" s="272">
        <f>$O$25</f>
        <v>19309.499999999996</v>
      </c>
      <c r="Y33" s="272">
        <f>$P$25</f>
        <v>22585.5</v>
      </c>
      <c r="Z33" s="272">
        <f>$Q$25</f>
        <v>22554</v>
      </c>
      <c r="AA33" s="272">
        <f>$R$25</f>
        <v>24475.5</v>
      </c>
      <c r="AB33" s="272">
        <f>$S$25</f>
        <v>19057.5</v>
      </c>
      <c r="AC33" s="272">
        <f>$T$25</f>
        <v>16726.5</v>
      </c>
      <c r="AD33" s="272">
        <f>$U$25</f>
        <v>18837</v>
      </c>
      <c r="AE33" s="272">
        <f>$V$25</f>
        <v>19341</v>
      </c>
      <c r="AF33" s="272">
        <f>$W$25</f>
        <v>24034.5</v>
      </c>
      <c r="AG33" s="272">
        <f>$X$25</f>
        <v>19435.5</v>
      </c>
      <c r="AH33" s="272">
        <f>$Y$25</f>
        <v>17041.5</v>
      </c>
      <c r="AI33" s="272">
        <f>$Z$25</f>
        <v>23688</v>
      </c>
      <c r="AJ33" s="272">
        <f>$AA$25</f>
        <v>19876.5</v>
      </c>
      <c r="AK33" s="272">
        <f>$AB$25</f>
        <v>24223.5</v>
      </c>
      <c r="AL33" s="619">
        <f>$AD$25</f>
        <v>30712.5</v>
      </c>
      <c r="AM33" s="619">
        <f>$AE$25</f>
        <v>23845.5</v>
      </c>
      <c r="AN33" s="619">
        <f>$AF$25</f>
        <v>18081</v>
      </c>
      <c r="AO33" s="619">
        <f>$AG$25</f>
        <v>20903.400000000001</v>
      </c>
      <c r="AP33" s="619">
        <f>$AH$25</f>
        <v>32772.6</v>
      </c>
      <c r="AQ33" s="619">
        <f>$AI$25</f>
        <v>26460</v>
      </c>
      <c r="AR33" s="623">
        <f>$AJ$25</f>
        <v>17312.399999999998</v>
      </c>
      <c r="AS33" s="621">
        <f>$AK$25</f>
        <v>10187.1</v>
      </c>
      <c r="AT33" s="619">
        <f>$AL$25</f>
        <v>22113</v>
      </c>
      <c r="AU33" s="619">
        <f>$AM$25</f>
        <v>35053.769827877164</v>
      </c>
      <c r="AV33" s="619">
        <f>$AN$25</f>
        <v>31248.000000000007</v>
      </c>
      <c r="AW33" s="619">
        <f>$AO$25</f>
        <v>43392</v>
      </c>
    </row>
    <row r="34" spans="1:49" x14ac:dyDescent="0.3">
      <c r="A34" s="243" t="s">
        <v>299</v>
      </c>
      <c r="B34" s="272"/>
      <c r="C34" s="272"/>
      <c r="D34" s="272"/>
      <c r="E34" s="272"/>
      <c r="F34" s="272"/>
      <c r="G34" s="272"/>
      <c r="H34" s="272"/>
      <c r="I34" s="272"/>
      <c r="J34" s="272"/>
      <c r="K34" s="272"/>
      <c r="L34" s="272"/>
      <c r="M34" s="272"/>
      <c r="N34" s="272"/>
      <c r="O34" s="272"/>
      <c r="P34" s="272"/>
      <c r="Q34" s="272"/>
      <c r="R34" s="272"/>
      <c r="S34" s="272"/>
      <c r="T34" s="272"/>
      <c r="U34" s="272"/>
      <c r="V34" s="272"/>
      <c r="W34" s="286">
        <f>$N$25</f>
        <v>13576.5</v>
      </c>
      <c r="X34" s="253">
        <f>$N$25</f>
        <v>13576.5</v>
      </c>
      <c r="Y34" s="272">
        <f>$O$25</f>
        <v>19309.499999999996</v>
      </c>
      <c r="Z34" s="272">
        <f>$P$25</f>
        <v>22585.5</v>
      </c>
      <c r="AA34" s="272">
        <f>$Q$25</f>
        <v>22554</v>
      </c>
      <c r="AB34" s="272">
        <f>$R$25</f>
        <v>24475.5</v>
      </c>
      <c r="AC34" s="272">
        <f>$S$25</f>
        <v>19057.5</v>
      </c>
      <c r="AD34" s="272">
        <f>$T$25</f>
        <v>16726.5</v>
      </c>
      <c r="AE34" s="272">
        <f>$U$25</f>
        <v>18837</v>
      </c>
      <c r="AF34" s="272">
        <f>$V$25</f>
        <v>19341</v>
      </c>
      <c r="AG34" s="272">
        <f>$W$25</f>
        <v>24034.5</v>
      </c>
      <c r="AH34" s="272">
        <f>$X$25</f>
        <v>19435.5</v>
      </c>
      <c r="AI34" s="272">
        <f>$Y$25</f>
        <v>17041.5</v>
      </c>
      <c r="AJ34" s="272">
        <f>$Z$25</f>
        <v>23688</v>
      </c>
      <c r="AK34" s="272">
        <f>$AA$25</f>
        <v>19876.5</v>
      </c>
      <c r="AL34" s="619">
        <f>$AB$25</f>
        <v>24223.5</v>
      </c>
      <c r="AM34" s="619">
        <f>$AD$25</f>
        <v>30712.5</v>
      </c>
      <c r="AN34" s="619">
        <f>$AE$25</f>
        <v>23845.5</v>
      </c>
      <c r="AO34" s="619">
        <f>$AF$25</f>
        <v>18081</v>
      </c>
      <c r="AP34" s="619">
        <f>$AG$25</f>
        <v>20903.400000000001</v>
      </c>
      <c r="AQ34" s="619">
        <f>$AH$25</f>
        <v>32772.6</v>
      </c>
      <c r="AR34" s="619">
        <f>$AI$25</f>
        <v>26460</v>
      </c>
      <c r="AS34" s="623">
        <f>$AJ$25</f>
        <v>17312.399999999998</v>
      </c>
      <c r="AT34" s="621">
        <f>$AK$25</f>
        <v>10187.1</v>
      </c>
      <c r="AU34" s="619">
        <f>$AL$25</f>
        <v>22113</v>
      </c>
      <c r="AV34" s="619">
        <f>$AM$25</f>
        <v>35053.769827877164</v>
      </c>
      <c r="AW34" s="619">
        <f>$AN$25</f>
        <v>31248.000000000007</v>
      </c>
    </row>
    <row r="35" spans="1:49" x14ac:dyDescent="0.3">
      <c r="A35" s="243" t="s">
        <v>300</v>
      </c>
      <c r="B35" s="272"/>
      <c r="C35" s="272"/>
      <c r="D35" s="272"/>
      <c r="E35" s="272"/>
      <c r="F35" s="272"/>
      <c r="G35" s="272"/>
      <c r="H35" s="272"/>
      <c r="I35" s="272"/>
      <c r="J35" s="272"/>
      <c r="K35" s="272"/>
      <c r="L35" s="272"/>
      <c r="M35" s="272"/>
      <c r="N35" s="272"/>
      <c r="O35" s="272"/>
      <c r="P35" s="272"/>
      <c r="Q35" s="272"/>
      <c r="R35" s="272"/>
      <c r="S35" s="272"/>
      <c r="T35" s="272"/>
      <c r="U35" s="272"/>
      <c r="V35" s="272"/>
      <c r="W35" s="272"/>
      <c r="X35" s="286">
        <f>$N$25</f>
        <v>13576.5</v>
      </c>
      <c r="Y35" s="253">
        <f>$N$25</f>
        <v>13576.5</v>
      </c>
      <c r="Z35" s="272">
        <f>$O$25</f>
        <v>19309.499999999996</v>
      </c>
      <c r="AA35" s="272">
        <f>$P$25</f>
        <v>22585.5</v>
      </c>
      <c r="AB35" s="272">
        <f>$Q$25</f>
        <v>22554</v>
      </c>
      <c r="AC35" s="272">
        <f>$R$25</f>
        <v>24475.5</v>
      </c>
      <c r="AD35" s="272">
        <f>$S$25</f>
        <v>19057.5</v>
      </c>
      <c r="AE35" s="272">
        <f>$T$25</f>
        <v>16726.5</v>
      </c>
      <c r="AF35" s="272">
        <f>$U$25</f>
        <v>18837</v>
      </c>
      <c r="AG35" s="272">
        <f>$V$25</f>
        <v>19341</v>
      </c>
      <c r="AH35" s="272">
        <f>$W$25</f>
        <v>24034.5</v>
      </c>
      <c r="AI35" s="272">
        <f>$X$25</f>
        <v>19435.5</v>
      </c>
      <c r="AJ35" s="272">
        <f>$Y$25</f>
        <v>17041.5</v>
      </c>
      <c r="AK35" s="272">
        <f>$Z$25</f>
        <v>23688</v>
      </c>
      <c r="AL35" s="619">
        <f>$AA$25</f>
        <v>19876.5</v>
      </c>
      <c r="AM35" s="619">
        <f>$AB$25</f>
        <v>24223.5</v>
      </c>
      <c r="AN35" s="619">
        <f>$AD$25</f>
        <v>30712.5</v>
      </c>
      <c r="AO35" s="619">
        <f>$AE$25</f>
        <v>23845.5</v>
      </c>
      <c r="AP35" s="619">
        <f>$AF$25</f>
        <v>18081</v>
      </c>
      <c r="AQ35" s="619">
        <f>$AG$25</f>
        <v>20903.400000000001</v>
      </c>
      <c r="AR35" s="619">
        <f>$AH$25</f>
        <v>32772.6</v>
      </c>
      <c r="AS35" s="619">
        <f>$AI$25</f>
        <v>26460</v>
      </c>
      <c r="AT35" s="623">
        <f>$AJ$25</f>
        <v>17312.399999999998</v>
      </c>
      <c r="AU35" s="621">
        <f>$AK$25</f>
        <v>10187.1</v>
      </c>
      <c r="AV35" s="619">
        <f>$AL$25</f>
        <v>22113</v>
      </c>
      <c r="AW35" s="619">
        <f>$AM$25</f>
        <v>35053.769827877164</v>
      </c>
    </row>
    <row r="36" spans="1:49" x14ac:dyDescent="0.3">
      <c r="A36" s="243" t="s">
        <v>301</v>
      </c>
      <c r="B36" s="272"/>
      <c r="C36" s="272"/>
      <c r="D36" s="272"/>
      <c r="E36" s="272"/>
      <c r="F36" s="272"/>
      <c r="G36" s="272"/>
      <c r="H36" s="272"/>
      <c r="I36" s="272"/>
      <c r="J36" s="272"/>
      <c r="K36" s="272"/>
      <c r="L36" s="272"/>
      <c r="M36" s="272"/>
      <c r="N36" s="272"/>
      <c r="O36" s="272"/>
      <c r="P36" s="272"/>
      <c r="Q36" s="272"/>
      <c r="R36" s="272"/>
      <c r="S36" s="272"/>
      <c r="T36" s="272"/>
      <c r="U36" s="272"/>
      <c r="V36" s="272"/>
      <c r="W36" s="272"/>
      <c r="X36" s="272"/>
      <c r="Y36" s="286">
        <f>$N$25</f>
        <v>13576.5</v>
      </c>
      <c r="Z36" s="253">
        <f>$N$25</f>
        <v>13576.5</v>
      </c>
      <c r="AA36" s="272">
        <f>$O$25</f>
        <v>19309.499999999996</v>
      </c>
      <c r="AB36" s="272">
        <f>$P$25</f>
        <v>22585.5</v>
      </c>
      <c r="AC36" s="272">
        <f>$Q$25</f>
        <v>22554</v>
      </c>
      <c r="AD36" s="272">
        <f>$R$25</f>
        <v>24475.5</v>
      </c>
      <c r="AE36" s="272">
        <f>$S$25</f>
        <v>19057.5</v>
      </c>
      <c r="AF36" s="272">
        <f>$T$25</f>
        <v>16726.5</v>
      </c>
      <c r="AG36" s="272">
        <f>$U$25</f>
        <v>18837</v>
      </c>
      <c r="AH36" s="272">
        <f>$V$25</f>
        <v>19341</v>
      </c>
      <c r="AI36" s="272">
        <f>$W$25</f>
        <v>24034.5</v>
      </c>
      <c r="AJ36" s="272">
        <f>$X$25</f>
        <v>19435.5</v>
      </c>
      <c r="AK36" s="272">
        <f>$Y$25</f>
        <v>17041.5</v>
      </c>
      <c r="AL36" s="619">
        <f>$Z$25</f>
        <v>23688</v>
      </c>
      <c r="AM36" s="619">
        <f>$AA$25</f>
        <v>19876.5</v>
      </c>
      <c r="AN36" s="619">
        <f>$AB$25</f>
        <v>24223.5</v>
      </c>
      <c r="AO36" s="619">
        <f>$AD$25</f>
        <v>30712.5</v>
      </c>
      <c r="AP36" s="619">
        <f>$AE$25</f>
        <v>23845.5</v>
      </c>
      <c r="AQ36" s="619">
        <f>$AF$25</f>
        <v>18081</v>
      </c>
      <c r="AR36" s="619">
        <f>$AG$25</f>
        <v>20903.400000000001</v>
      </c>
      <c r="AS36" s="619">
        <f>$AH$25</f>
        <v>32772.6</v>
      </c>
      <c r="AT36" s="619">
        <f>$AI$25</f>
        <v>26460</v>
      </c>
      <c r="AU36" s="623">
        <f>$AJ$25</f>
        <v>17312.399999999998</v>
      </c>
      <c r="AV36" s="621">
        <f>$AK$25</f>
        <v>10187.1</v>
      </c>
      <c r="AW36" s="619">
        <f>$AL$25</f>
        <v>22113</v>
      </c>
    </row>
    <row r="37" spans="1:49" x14ac:dyDescent="0.3">
      <c r="A37" s="243" t="s">
        <v>302</v>
      </c>
      <c r="B37" s="272"/>
      <c r="C37" s="272"/>
      <c r="D37" s="272"/>
      <c r="E37" s="272"/>
      <c r="F37" s="272"/>
      <c r="G37" s="272"/>
      <c r="H37" s="272"/>
      <c r="I37" s="272"/>
      <c r="J37" s="272"/>
      <c r="K37" s="272"/>
      <c r="L37" s="272"/>
      <c r="M37" s="272"/>
      <c r="N37" s="272"/>
      <c r="O37" s="272"/>
      <c r="P37" s="272"/>
      <c r="Q37" s="272"/>
      <c r="R37" s="272"/>
      <c r="S37" s="272"/>
      <c r="T37" s="272"/>
      <c r="U37" s="272"/>
      <c r="V37" s="272"/>
      <c r="W37" s="272"/>
      <c r="X37" s="272"/>
      <c r="Y37" s="272"/>
      <c r="Z37" s="286">
        <f>$N$25</f>
        <v>13576.5</v>
      </c>
      <c r="AA37" s="253">
        <f>$N$25</f>
        <v>13576.5</v>
      </c>
      <c r="AB37" s="272">
        <f>$O$25</f>
        <v>19309.499999999996</v>
      </c>
      <c r="AC37" s="272">
        <f>$P$25</f>
        <v>22585.5</v>
      </c>
      <c r="AD37" s="272">
        <f>$Q$25</f>
        <v>22554</v>
      </c>
      <c r="AE37" s="272">
        <f>$R$25</f>
        <v>24475.5</v>
      </c>
      <c r="AF37" s="272">
        <f>$S$25</f>
        <v>19057.5</v>
      </c>
      <c r="AG37" s="272">
        <f>$T$25</f>
        <v>16726.5</v>
      </c>
      <c r="AH37" s="272">
        <f>$U$25</f>
        <v>18837</v>
      </c>
      <c r="AI37" s="272">
        <f>$V$25</f>
        <v>19341</v>
      </c>
      <c r="AJ37" s="272">
        <f>$W$25</f>
        <v>24034.5</v>
      </c>
      <c r="AK37" s="272">
        <f>$X$25</f>
        <v>19435.5</v>
      </c>
      <c r="AL37" s="619">
        <f>$Y$25</f>
        <v>17041.5</v>
      </c>
      <c r="AM37" s="619">
        <f>$Z$25</f>
        <v>23688</v>
      </c>
      <c r="AN37" s="619">
        <f>$AA$25</f>
        <v>19876.5</v>
      </c>
      <c r="AO37" s="619">
        <f>$AB$25</f>
        <v>24223.5</v>
      </c>
      <c r="AP37" s="619">
        <f>$AD$25</f>
        <v>30712.5</v>
      </c>
      <c r="AQ37" s="619">
        <f>$AE$25</f>
        <v>23845.5</v>
      </c>
      <c r="AR37" s="619">
        <f>$AF$25</f>
        <v>18081</v>
      </c>
      <c r="AS37" s="619">
        <f>$AG$25</f>
        <v>20903.400000000001</v>
      </c>
      <c r="AT37" s="619">
        <f>$AH$25</f>
        <v>32772.6</v>
      </c>
      <c r="AU37" s="619">
        <f>$AI$25</f>
        <v>26460</v>
      </c>
      <c r="AV37" s="623">
        <f>$AJ$25</f>
        <v>17312.399999999998</v>
      </c>
      <c r="AW37" s="621">
        <f>$AK$25</f>
        <v>10187.1</v>
      </c>
    </row>
    <row r="38" spans="1:49" x14ac:dyDescent="0.3">
      <c r="A38" s="243" t="s">
        <v>303</v>
      </c>
      <c r="B38" s="272"/>
      <c r="C38" s="272"/>
      <c r="D38" s="272"/>
      <c r="E38" s="272"/>
      <c r="F38" s="272"/>
      <c r="G38" s="272"/>
      <c r="H38" s="272"/>
      <c r="I38" s="272"/>
      <c r="J38" s="272"/>
      <c r="K38" s="272"/>
      <c r="L38" s="272"/>
      <c r="M38" s="272"/>
      <c r="N38" s="272"/>
      <c r="O38" s="272"/>
      <c r="P38" s="272"/>
      <c r="Q38" s="272"/>
      <c r="R38" s="272"/>
      <c r="S38" s="272"/>
      <c r="T38" s="272"/>
      <c r="U38" s="272"/>
      <c r="V38" s="272"/>
      <c r="W38" s="272"/>
      <c r="X38" s="272"/>
      <c r="Y38" s="272"/>
      <c r="Z38" s="272"/>
      <c r="AA38" s="286">
        <f>$N$25</f>
        <v>13576.5</v>
      </c>
      <c r="AB38" s="253">
        <f>$N$25</f>
        <v>13576.5</v>
      </c>
      <c r="AC38" s="272">
        <f>$O$25</f>
        <v>19309.499999999996</v>
      </c>
      <c r="AD38" s="272">
        <f>$P$25</f>
        <v>22585.5</v>
      </c>
      <c r="AE38" s="272">
        <f>$Q$25</f>
        <v>22554</v>
      </c>
      <c r="AF38" s="272">
        <f>$R$25</f>
        <v>24475.5</v>
      </c>
      <c r="AG38" s="272">
        <f>$S$25</f>
        <v>19057.5</v>
      </c>
      <c r="AH38" s="272">
        <f>$T$25</f>
        <v>16726.5</v>
      </c>
      <c r="AI38" s="272">
        <f>$U$25</f>
        <v>18837</v>
      </c>
      <c r="AJ38" s="272">
        <f>$V$25</f>
        <v>19341</v>
      </c>
      <c r="AK38" s="272">
        <f>$W$25</f>
        <v>24034.5</v>
      </c>
      <c r="AL38" s="619">
        <f>$X$25</f>
        <v>19435.5</v>
      </c>
      <c r="AM38" s="619">
        <f>$Y$25</f>
        <v>17041.5</v>
      </c>
      <c r="AN38" s="619">
        <f>$Z$25</f>
        <v>23688</v>
      </c>
      <c r="AO38" s="619">
        <f>$AA$25</f>
        <v>19876.5</v>
      </c>
      <c r="AP38" s="619">
        <f>$AB$25</f>
        <v>24223.5</v>
      </c>
      <c r="AQ38" s="619">
        <f>$AD$25</f>
        <v>30712.5</v>
      </c>
      <c r="AR38" s="619">
        <f>$AE$25</f>
        <v>23845.5</v>
      </c>
      <c r="AS38" s="619">
        <f>$AF$25</f>
        <v>18081</v>
      </c>
      <c r="AT38" s="619">
        <f>$AG$25</f>
        <v>20903.400000000001</v>
      </c>
      <c r="AU38" s="619">
        <f>$AH$25</f>
        <v>32772.6</v>
      </c>
      <c r="AV38" s="619">
        <f>$AI$25</f>
        <v>26460</v>
      </c>
      <c r="AW38" s="623">
        <f>$AJ$25</f>
        <v>17312.399999999998</v>
      </c>
    </row>
    <row r="39" spans="1:49" x14ac:dyDescent="0.3">
      <c r="A39" s="243" t="s">
        <v>304</v>
      </c>
      <c r="B39" s="272"/>
      <c r="C39" s="272"/>
      <c r="D39" s="272"/>
      <c r="E39" s="272"/>
      <c r="F39" s="272"/>
      <c r="G39" s="272"/>
      <c r="H39" s="272"/>
      <c r="I39" s="272"/>
      <c r="J39" s="272"/>
      <c r="K39" s="272"/>
      <c r="L39" s="272"/>
      <c r="M39" s="272"/>
      <c r="N39" s="272"/>
      <c r="O39" s="272"/>
      <c r="P39" s="272"/>
      <c r="Q39" s="272"/>
      <c r="R39" s="272"/>
      <c r="S39" s="272"/>
      <c r="T39" s="272"/>
      <c r="U39" s="272"/>
      <c r="V39" s="272"/>
      <c r="W39" s="272"/>
      <c r="X39" s="272"/>
      <c r="Y39" s="272"/>
      <c r="Z39" s="272"/>
      <c r="AA39" s="272"/>
      <c r="AB39" s="286">
        <f>$N$25</f>
        <v>13576.5</v>
      </c>
      <c r="AC39" s="253">
        <f>$N$25</f>
        <v>13576.5</v>
      </c>
      <c r="AD39" s="272">
        <f>$O$25</f>
        <v>19309.499999999996</v>
      </c>
      <c r="AE39" s="272">
        <f>$P$25</f>
        <v>22585.5</v>
      </c>
      <c r="AF39" s="272">
        <f>$Q$25</f>
        <v>22554</v>
      </c>
      <c r="AG39" s="272">
        <f>$R$25</f>
        <v>24475.5</v>
      </c>
      <c r="AH39" s="272">
        <f>$S$25</f>
        <v>19057.5</v>
      </c>
      <c r="AI39" s="272">
        <f>$T$25</f>
        <v>16726.5</v>
      </c>
      <c r="AJ39" s="272">
        <f>$U$25</f>
        <v>18837</v>
      </c>
      <c r="AK39" s="272">
        <f>$V$25</f>
        <v>19341</v>
      </c>
      <c r="AL39" s="619">
        <f>$W$25</f>
        <v>24034.5</v>
      </c>
      <c r="AM39" s="619">
        <f>$X$25</f>
        <v>19435.5</v>
      </c>
      <c r="AN39" s="619">
        <f>$Y$25</f>
        <v>17041.5</v>
      </c>
      <c r="AO39" s="619">
        <f>$Z$25</f>
        <v>23688</v>
      </c>
      <c r="AP39" s="619">
        <f>$AA$25</f>
        <v>19876.5</v>
      </c>
      <c r="AQ39" s="619">
        <f>$AB$25</f>
        <v>24223.5</v>
      </c>
      <c r="AR39" s="619">
        <f>$AD$25</f>
        <v>30712.5</v>
      </c>
      <c r="AS39" s="619">
        <f>$AE$25</f>
        <v>23845.5</v>
      </c>
      <c r="AT39" s="619">
        <f>$AF$25</f>
        <v>18081</v>
      </c>
      <c r="AU39" s="619">
        <f>$AG$25</f>
        <v>20903.400000000001</v>
      </c>
      <c r="AV39" s="619">
        <f>$AH$25</f>
        <v>32772.6</v>
      </c>
      <c r="AW39" s="619">
        <f>$AI$25</f>
        <v>26460</v>
      </c>
    </row>
    <row r="40" spans="1:49" x14ac:dyDescent="0.3">
      <c r="A40" s="243" t="s">
        <v>305</v>
      </c>
      <c r="B40" s="272"/>
      <c r="C40" s="272"/>
      <c r="D40" s="272"/>
      <c r="E40" s="272"/>
      <c r="F40" s="272"/>
      <c r="G40" s="272"/>
      <c r="H40" s="272"/>
      <c r="I40" s="272"/>
      <c r="J40" s="272"/>
      <c r="K40" s="272"/>
      <c r="L40" s="272"/>
      <c r="M40" s="272"/>
      <c r="N40" s="272"/>
      <c r="O40" s="272"/>
      <c r="P40" s="272"/>
      <c r="Q40" s="272"/>
      <c r="R40" s="272"/>
      <c r="S40" s="272"/>
      <c r="T40" s="272"/>
      <c r="U40" s="272"/>
      <c r="V40" s="272"/>
      <c r="W40" s="272"/>
      <c r="X40" s="272"/>
      <c r="Y40" s="272"/>
      <c r="Z40" s="272"/>
      <c r="AA40" s="272"/>
      <c r="AB40" s="272"/>
      <c r="AC40" s="286">
        <f>$N$25</f>
        <v>13576.5</v>
      </c>
      <c r="AD40" s="253">
        <f>$N$25</f>
        <v>13576.5</v>
      </c>
      <c r="AE40" s="272">
        <f>$O$25</f>
        <v>19309.499999999996</v>
      </c>
      <c r="AF40" s="272">
        <f>$P$25</f>
        <v>22585.5</v>
      </c>
      <c r="AG40" s="272">
        <f>$Q$25</f>
        <v>22554</v>
      </c>
      <c r="AH40" s="272">
        <f>$R$25</f>
        <v>24475.5</v>
      </c>
      <c r="AI40" s="272">
        <f>$S$25</f>
        <v>19057.5</v>
      </c>
      <c r="AJ40" s="272">
        <f>$T$25</f>
        <v>16726.5</v>
      </c>
      <c r="AK40" s="272">
        <f>$U$25</f>
        <v>18837</v>
      </c>
      <c r="AL40" s="619">
        <f>$V$25</f>
        <v>19341</v>
      </c>
      <c r="AM40" s="619">
        <f>$W$25</f>
        <v>24034.5</v>
      </c>
      <c r="AN40" s="619">
        <f>$X$25</f>
        <v>19435.5</v>
      </c>
      <c r="AO40" s="619">
        <f>$Y$25</f>
        <v>17041.5</v>
      </c>
      <c r="AP40" s="619">
        <f>$Z$25</f>
        <v>23688</v>
      </c>
      <c r="AQ40" s="619">
        <f>$AA$25</f>
        <v>19876.5</v>
      </c>
      <c r="AR40" s="619">
        <f>$AB$25</f>
        <v>24223.5</v>
      </c>
      <c r="AS40" s="619">
        <f>$AD$25</f>
        <v>30712.5</v>
      </c>
      <c r="AT40" s="619">
        <f>$AE$25</f>
        <v>23845.5</v>
      </c>
      <c r="AU40" s="619">
        <f>$AF$25</f>
        <v>18081</v>
      </c>
      <c r="AV40" s="619">
        <f>$AG$25</f>
        <v>20903.400000000001</v>
      </c>
      <c r="AW40" s="619">
        <f>$AH$25</f>
        <v>32772.6</v>
      </c>
    </row>
    <row r="41" spans="1:49" x14ac:dyDescent="0.3">
      <c r="A41" s="243" t="s">
        <v>306</v>
      </c>
      <c r="B41" s="272"/>
      <c r="C41" s="272"/>
      <c r="D41" s="272"/>
      <c r="E41" s="272"/>
      <c r="F41" s="272"/>
      <c r="G41" s="272"/>
      <c r="H41" s="272"/>
      <c r="I41" s="272"/>
      <c r="J41" s="272"/>
      <c r="K41" s="272"/>
      <c r="L41" s="272"/>
      <c r="M41" s="272"/>
      <c r="N41" s="272"/>
      <c r="O41" s="272"/>
      <c r="P41" s="272"/>
      <c r="Q41" s="272"/>
      <c r="R41" s="272"/>
      <c r="S41" s="272"/>
      <c r="T41" s="272"/>
      <c r="U41" s="272"/>
      <c r="V41" s="272"/>
      <c r="W41" s="272"/>
      <c r="X41" s="272"/>
      <c r="Y41" s="272"/>
      <c r="Z41" s="272"/>
      <c r="AA41" s="272"/>
      <c r="AB41" s="272"/>
      <c r="AC41" s="272"/>
      <c r="AD41" s="286">
        <f>$N$25</f>
        <v>13576.5</v>
      </c>
      <c r="AE41" s="253">
        <f>$N$25</f>
        <v>13576.5</v>
      </c>
      <c r="AF41" s="272">
        <f>$O$25</f>
        <v>19309.499999999996</v>
      </c>
      <c r="AG41" s="272">
        <f>$P$25</f>
        <v>22585.5</v>
      </c>
      <c r="AH41" s="272">
        <f>$Q$25</f>
        <v>22554</v>
      </c>
      <c r="AI41" s="272">
        <f>$R$25</f>
        <v>24475.5</v>
      </c>
      <c r="AJ41" s="272">
        <f>$S$25</f>
        <v>19057.5</v>
      </c>
      <c r="AK41" s="272">
        <f>$T$25</f>
        <v>16726.5</v>
      </c>
      <c r="AL41" s="619">
        <f>$U$25</f>
        <v>18837</v>
      </c>
      <c r="AM41" s="619">
        <f>$V$25</f>
        <v>19341</v>
      </c>
      <c r="AN41" s="619">
        <f>$W$25</f>
        <v>24034.5</v>
      </c>
      <c r="AO41" s="619">
        <f>$X$25</f>
        <v>19435.5</v>
      </c>
      <c r="AP41" s="619">
        <f>$Y$25</f>
        <v>17041.5</v>
      </c>
      <c r="AQ41" s="619">
        <f>$Z$25</f>
        <v>23688</v>
      </c>
      <c r="AR41" s="619">
        <f>$AA$25</f>
        <v>19876.5</v>
      </c>
      <c r="AS41" s="619">
        <f>$AB$25</f>
        <v>24223.5</v>
      </c>
      <c r="AT41" s="619">
        <f>$AD$25</f>
        <v>30712.5</v>
      </c>
      <c r="AU41" s="619">
        <f>$AE$25</f>
        <v>23845.5</v>
      </c>
      <c r="AV41" s="619">
        <f>$AF$25</f>
        <v>18081</v>
      </c>
      <c r="AW41" s="619">
        <f>$AG$25</f>
        <v>20903.400000000001</v>
      </c>
    </row>
    <row r="42" spans="1:49" x14ac:dyDescent="0.3">
      <c r="A42" s="243" t="s">
        <v>307</v>
      </c>
      <c r="B42" s="272"/>
      <c r="C42" s="272"/>
      <c r="D42" s="272"/>
      <c r="E42" s="272"/>
      <c r="F42" s="272"/>
      <c r="G42" s="272"/>
      <c r="H42" s="272"/>
      <c r="I42" s="272"/>
      <c r="J42" s="272"/>
      <c r="K42" s="272"/>
      <c r="L42" s="272"/>
      <c r="M42" s="272"/>
      <c r="N42" s="272"/>
      <c r="O42" s="272"/>
      <c r="P42" s="272"/>
      <c r="Q42" s="272"/>
      <c r="R42" s="272"/>
      <c r="S42" s="272"/>
      <c r="T42" s="272"/>
      <c r="U42" s="272"/>
      <c r="V42" s="272"/>
      <c r="W42" s="272"/>
      <c r="X42" s="272"/>
      <c r="Y42" s="272"/>
      <c r="Z42" s="272"/>
      <c r="AA42" s="272"/>
      <c r="AB42" s="272"/>
      <c r="AC42" s="272"/>
      <c r="AD42" s="272"/>
      <c r="AE42" s="286">
        <f>$N$25</f>
        <v>13576.5</v>
      </c>
      <c r="AF42" s="253">
        <f>$N$25</f>
        <v>13576.5</v>
      </c>
      <c r="AG42" s="272">
        <f>$O$25</f>
        <v>19309.499999999996</v>
      </c>
      <c r="AH42" s="272">
        <f>$P$25</f>
        <v>22585.5</v>
      </c>
      <c r="AI42" s="272">
        <f>$Q$25</f>
        <v>22554</v>
      </c>
      <c r="AJ42" s="272">
        <f>$R$25</f>
        <v>24475.5</v>
      </c>
      <c r="AK42" s="272">
        <f>$S$25</f>
        <v>19057.5</v>
      </c>
      <c r="AL42" s="619">
        <f>$T$25</f>
        <v>16726.5</v>
      </c>
      <c r="AM42" s="619">
        <f>$U$25</f>
        <v>18837</v>
      </c>
      <c r="AN42" s="619">
        <f>$V$25</f>
        <v>19341</v>
      </c>
      <c r="AO42" s="619">
        <f>$W$25</f>
        <v>24034.5</v>
      </c>
      <c r="AP42" s="619">
        <f>$X$25</f>
        <v>19435.5</v>
      </c>
      <c r="AQ42" s="619">
        <f>$Y$25</f>
        <v>17041.5</v>
      </c>
      <c r="AR42" s="619">
        <f>$Z$25</f>
        <v>23688</v>
      </c>
      <c r="AS42" s="619">
        <f>$AA$25</f>
        <v>19876.5</v>
      </c>
      <c r="AT42" s="619">
        <f>$AB$25</f>
        <v>24223.5</v>
      </c>
      <c r="AU42" s="619">
        <f>$AD$25</f>
        <v>30712.5</v>
      </c>
      <c r="AV42" s="619">
        <f>$AE$25</f>
        <v>23845.5</v>
      </c>
      <c r="AW42" s="619">
        <f>$AF$25</f>
        <v>18081</v>
      </c>
    </row>
    <row r="43" spans="1:49" x14ac:dyDescent="0.3">
      <c r="A43" s="243" t="s">
        <v>308</v>
      </c>
      <c r="B43" s="272"/>
      <c r="C43" s="272"/>
      <c r="D43" s="272"/>
      <c r="E43" s="272"/>
      <c r="F43" s="272"/>
      <c r="G43" s="272"/>
      <c r="H43" s="272"/>
      <c r="I43" s="272"/>
      <c r="J43" s="272"/>
      <c r="K43" s="272"/>
      <c r="L43" s="272"/>
      <c r="M43" s="272"/>
      <c r="N43" s="272"/>
      <c r="O43" s="272"/>
      <c r="P43" s="272"/>
      <c r="Q43" s="272"/>
      <c r="R43" s="272"/>
      <c r="S43" s="272"/>
      <c r="T43" s="272"/>
      <c r="U43" s="272"/>
      <c r="V43" s="272"/>
      <c r="W43" s="272"/>
      <c r="X43" s="272"/>
      <c r="Y43" s="272"/>
      <c r="Z43" s="272"/>
      <c r="AA43" s="272"/>
      <c r="AB43" s="272"/>
      <c r="AC43" s="272"/>
      <c r="AD43" s="272"/>
      <c r="AE43" s="272"/>
      <c r="AF43" s="286">
        <f>$N$25</f>
        <v>13576.5</v>
      </c>
      <c r="AG43" s="253">
        <f>$N$25</f>
        <v>13576.5</v>
      </c>
      <c r="AH43" s="272">
        <f>$O$25</f>
        <v>19309.499999999996</v>
      </c>
      <c r="AI43" s="272">
        <f>$P$25</f>
        <v>22585.5</v>
      </c>
      <c r="AJ43" s="272">
        <f>$Q$25</f>
        <v>22554</v>
      </c>
      <c r="AK43" s="272">
        <f>$R$25</f>
        <v>24475.5</v>
      </c>
      <c r="AL43" s="619">
        <f>$S$25</f>
        <v>19057.5</v>
      </c>
      <c r="AM43" s="619">
        <f>$T$25</f>
        <v>16726.5</v>
      </c>
      <c r="AN43" s="619">
        <f>$U$25</f>
        <v>18837</v>
      </c>
      <c r="AO43" s="619">
        <f>$V$25</f>
        <v>19341</v>
      </c>
      <c r="AP43" s="619">
        <f>$W$25</f>
        <v>24034.5</v>
      </c>
      <c r="AQ43" s="619">
        <f>$X$25</f>
        <v>19435.5</v>
      </c>
      <c r="AR43" s="619">
        <f>$Y$25</f>
        <v>17041.5</v>
      </c>
      <c r="AS43" s="619">
        <f>$Z$25</f>
        <v>23688</v>
      </c>
      <c r="AT43" s="619">
        <f>$AA$25</f>
        <v>19876.5</v>
      </c>
      <c r="AU43" s="619">
        <f>$AB$25</f>
        <v>24223.5</v>
      </c>
      <c r="AV43" s="619">
        <f>$AD$25</f>
        <v>30712.5</v>
      </c>
      <c r="AW43" s="619">
        <f>$AE$25</f>
        <v>23845.5</v>
      </c>
    </row>
    <row r="44" spans="1:49" x14ac:dyDescent="0.3">
      <c r="A44" s="243" t="s">
        <v>309</v>
      </c>
      <c r="B44" s="272"/>
      <c r="C44" s="272"/>
      <c r="D44" s="272"/>
      <c r="E44" s="272"/>
      <c r="F44" s="272"/>
      <c r="G44" s="272"/>
      <c r="H44" s="272"/>
      <c r="I44" s="272"/>
      <c r="J44" s="272"/>
      <c r="K44" s="272"/>
      <c r="L44" s="272"/>
      <c r="M44" s="272"/>
      <c r="N44" s="272"/>
      <c r="O44" s="272"/>
      <c r="P44" s="272"/>
      <c r="Q44" s="272"/>
      <c r="R44" s="272"/>
      <c r="S44" s="272"/>
      <c r="T44" s="272"/>
      <c r="U44" s="272"/>
      <c r="V44" s="272"/>
      <c r="W44" s="272"/>
      <c r="X44" s="272"/>
      <c r="Y44" s="272"/>
      <c r="Z44" s="272"/>
      <c r="AA44" s="272"/>
      <c r="AB44" s="272"/>
      <c r="AC44" s="272"/>
      <c r="AD44" s="272"/>
      <c r="AE44" s="272"/>
      <c r="AF44" s="272"/>
      <c r="AG44" s="286">
        <f>$N$25</f>
        <v>13576.5</v>
      </c>
      <c r="AH44" s="253">
        <f>$N$25</f>
        <v>13576.5</v>
      </c>
      <c r="AI44" s="272">
        <f>$O$25</f>
        <v>19309.499999999996</v>
      </c>
      <c r="AJ44" s="272">
        <f>$P$25</f>
        <v>22585.5</v>
      </c>
      <c r="AK44" s="272">
        <f>$Q$25</f>
        <v>22554</v>
      </c>
      <c r="AL44" s="619">
        <f>$R$25</f>
        <v>24475.5</v>
      </c>
      <c r="AM44" s="619">
        <f>$S$25</f>
        <v>19057.5</v>
      </c>
      <c r="AN44" s="619">
        <f>$T$25</f>
        <v>16726.5</v>
      </c>
      <c r="AO44" s="619">
        <f>$U$25</f>
        <v>18837</v>
      </c>
      <c r="AP44" s="619">
        <f>$V$25</f>
        <v>19341</v>
      </c>
      <c r="AQ44" s="619">
        <f>$W$25</f>
        <v>24034.5</v>
      </c>
      <c r="AR44" s="619">
        <f>$X$25</f>
        <v>19435.5</v>
      </c>
      <c r="AS44" s="619">
        <f>$Y$25</f>
        <v>17041.5</v>
      </c>
      <c r="AT44" s="619">
        <f>$Z$25</f>
        <v>23688</v>
      </c>
      <c r="AU44" s="619">
        <f>$AA$25</f>
        <v>19876.5</v>
      </c>
      <c r="AV44" s="619">
        <f>$AB$25</f>
        <v>24223.5</v>
      </c>
      <c r="AW44" s="619">
        <f>$AD$25</f>
        <v>30712.5</v>
      </c>
    </row>
    <row r="45" spans="1:49" x14ac:dyDescent="0.3">
      <c r="A45" s="243" t="s">
        <v>310</v>
      </c>
      <c r="B45" s="272"/>
      <c r="C45" s="272"/>
      <c r="D45" s="272"/>
      <c r="E45" s="272"/>
      <c r="F45" s="272"/>
      <c r="G45" s="272"/>
      <c r="H45" s="272"/>
      <c r="I45" s="272"/>
      <c r="J45" s="272"/>
      <c r="K45" s="272"/>
      <c r="L45" s="272"/>
      <c r="M45" s="272"/>
      <c r="N45" s="272"/>
      <c r="O45" s="272"/>
      <c r="P45" s="272"/>
      <c r="Q45" s="272"/>
      <c r="R45" s="272"/>
      <c r="S45" s="272"/>
      <c r="T45" s="272"/>
      <c r="U45" s="272"/>
      <c r="V45" s="272"/>
      <c r="W45" s="272"/>
      <c r="X45" s="272"/>
      <c r="Y45" s="272"/>
      <c r="Z45" s="272"/>
      <c r="AA45" s="272"/>
      <c r="AB45" s="272"/>
      <c r="AC45" s="272"/>
      <c r="AD45" s="272"/>
      <c r="AE45" s="272"/>
      <c r="AF45" s="272"/>
      <c r="AG45" s="272"/>
      <c r="AH45" s="286">
        <f>$N$25</f>
        <v>13576.5</v>
      </c>
      <c r="AI45" s="253">
        <f>$N$25</f>
        <v>13576.5</v>
      </c>
      <c r="AJ45" s="272">
        <f>$O$25</f>
        <v>19309.499999999996</v>
      </c>
      <c r="AK45" s="272">
        <f>$P$25</f>
        <v>22585.5</v>
      </c>
      <c r="AL45" s="619">
        <f>$Q$25</f>
        <v>22554</v>
      </c>
      <c r="AM45" s="619">
        <f>$R$25</f>
        <v>24475.5</v>
      </c>
      <c r="AN45" s="619">
        <f>$S$25</f>
        <v>19057.5</v>
      </c>
      <c r="AO45" s="619">
        <f>$T$25</f>
        <v>16726.5</v>
      </c>
      <c r="AP45" s="619">
        <f>$U$25</f>
        <v>18837</v>
      </c>
      <c r="AQ45" s="619">
        <f>$V$25</f>
        <v>19341</v>
      </c>
      <c r="AR45" s="619">
        <f>$W$25</f>
        <v>24034.5</v>
      </c>
      <c r="AS45" s="619">
        <f>$X$25</f>
        <v>19435.5</v>
      </c>
      <c r="AT45" s="619">
        <f>$Y$25</f>
        <v>17041.5</v>
      </c>
      <c r="AU45" s="619">
        <f>$Z$25</f>
        <v>23688</v>
      </c>
      <c r="AV45" s="619">
        <f>$AA$25</f>
        <v>19876.5</v>
      </c>
      <c r="AW45" s="619">
        <f>$AB$25</f>
        <v>24223.5</v>
      </c>
    </row>
    <row r="46" spans="1:49" x14ac:dyDescent="0.3">
      <c r="A46" s="243" t="s">
        <v>311</v>
      </c>
      <c r="B46" s="272"/>
      <c r="C46" s="272"/>
      <c r="D46" s="272"/>
      <c r="E46" s="272"/>
      <c r="F46" s="272"/>
      <c r="G46" s="272"/>
      <c r="H46" s="272"/>
      <c r="I46" s="272"/>
      <c r="J46" s="272"/>
      <c r="K46" s="272"/>
      <c r="L46" s="272"/>
      <c r="M46" s="272"/>
      <c r="N46" s="272"/>
      <c r="O46" s="272"/>
      <c r="P46" s="272"/>
      <c r="Q46" s="272"/>
      <c r="R46" s="272"/>
      <c r="S46" s="272"/>
      <c r="T46" s="272"/>
      <c r="U46" s="272"/>
      <c r="V46" s="272"/>
      <c r="W46" s="272"/>
      <c r="X46" s="272"/>
      <c r="Y46" s="272"/>
      <c r="Z46" s="272"/>
      <c r="AA46" s="272"/>
      <c r="AB46" s="272"/>
      <c r="AC46" s="272"/>
      <c r="AD46" s="272"/>
      <c r="AE46" s="272"/>
      <c r="AF46" s="272"/>
      <c r="AG46" s="272"/>
      <c r="AH46" s="272"/>
      <c r="AI46" s="286">
        <f>$N$25</f>
        <v>13576.5</v>
      </c>
      <c r="AJ46" s="253">
        <f>$N$25</f>
        <v>13576.5</v>
      </c>
      <c r="AK46" s="272">
        <f>$O$25</f>
        <v>19309.499999999996</v>
      </c>
      <c r="AL46" s="619">
        <f>$P$25</f>
        <v>22585.5</v>
      </c>
      <c r="AM46" s="619">
        <f>$Q$25</f>
        <v>22554</v>
      </c>
      <c r="AN46" s="619">
        <f>$R$25</f>
        <v>24475.5</v>
      </c>
      <c r="AO46" s="619">
        <f>$S$25</f>
        <v>19057.5</v>
      </c>
      <c r="AP46" s="619">
        <f>$T$25</f>
        <v>16726.5</v>
      </c>
      <c r="AQ46" s="619">
        <f>$U$25</f>
        <v>18837</v>
      </c>
      <c r="AR46" s="619">
        <f>$V$25</f>
        <v>19341</v>
      </c>
      <c r="AS46" s="619">
        <f>$W$25</f>
        <v>24034.5</v>
      </c>
      <c r="AT46" s="619">
        <f>$X$25</f>
        <v>19435.5</v>
      </c>
      <c r="AU46" s="619">
        <f>$Y$25</f>
        <v>17041.5</v>
      </c>
      <c r="AV46" s="619">
        <f>$Z$25</f>
        <v>23688</v>
      </c>
      <c r="AW46" s="619">
        <f>$AA$25</f>
        <v>19876.5</v>
      </c>
    </row>
    <row r="47" spans="1:49" x14ac:dyDescent="0.3">
      <c r="A47" s="243" t="s">
        <v>312</v>
      </c>
      <c r="B47" s="272"/>
      <c r="C47" s="272"/>
      <c r="D47" s="272"/>
      <c r="E47" s="272"/>
      <c r="F47" s="272"/>
      <c r="G47" s="272"/>
      <c r="H47" s="272"/>
      <c r="I47" s="272"/>
      <c r="J47" s="272"/>
      <c r="K47" s="272"/>
      <c r="L47" s="272"/>
      <c r="M47" s="272"/>
      <c r="N47" s="272"/>
      <c r="O47" s="272"/>
      <c r="P47" s="272"/>
      <c r="Q47" s="272"/>
      <c r="R47" s="272"/>
      <c r="S47" s="272"/>
      <c r="T47" s="272"/>
      <c r="U47" s="272"/>
      <c r="V47" s="272"/>
      <c r="W47" s="272"/>
      <c r="X47" s="272"/>
      <c r="Y47" s="272"/>
      <c r="Z47" s="272"/>
      <c r="AA47" s="272"/>
      <c r="AB47" s="272"/>
      <c r="AC47" s="272"/>
      <c r="AD47" s="272"/>
      <c r="AE47" s="272"/>
      <c r="AF47" s="272"/>
      <c r="AG47" s="272"/>
      <c r="AH47" s="272"/>
      <c r="AI47" s="272"/>
      <c r="AJ47" s="286">
        <f>$N$25</f>
        <v>13576.5</v>
      </c>
      <c r="AK47" s="253">
        <f>$N$25</f>
        <v>13576.5</v>
      </c>
      <c r="AL47" s="619">
        <f>$O$25</f>
        <v>19309.499999999996</v>
      </c>
      <c r="AM47" s="619">
        <f>$P$25</f>
        <v>22585.5</v>
      </c>
      <c r="AN47" s="619">
        <f>$Q$25</f>
        <v>22554</v>
      </c>
      <c r="AO47" s="619">
        <f>$R$25</f>
        <v>24475.5</v>
      </c>
      <c r="AP47" s="619">
        <f>$S$25</f>
        <v>19057.5</v>
      </c>
      <c r="AQ47" s="619">
        <f>$T$25</f>
        <v>16726.5</v>
      </c>
      <c r="AR47" s="619">
        <f>$U$25</f>
        <v>18837</v>
      </c>
      <c r="AS47" s="619">
        <f>$V$25</f>
        <v>19341</v>
      </c>
      <c r="AT47" s="619">
        <f>$W$25</f>
        <v>24034.5</v>
      </c>
      <c r="AU47" s="619">
        <f>$X$25</f>
        <v>19435.5</v>
      </c>
      <c r="AV47" s="619">
        <f>$Y$25</f>
        <v>17041.5</v>
      </c>
      <c r="AW47" s="619">
        <f>$Z$25</f>
        <v>23688</v>
      </c>
    </row>
    <row r="48" spans="1:49" s="313" customFormat="1" x14ac:dyDescent="0.3">
      <c r="A48" s="313" t="s">
        <v>313</v>
      </c>
      <c r="B48" s="272"/>
      <c r="C48" s="272"/>
      <c r="D48" s="272"/>
      <c r="E48" s="272"/>
      <c r="F48" s="272"/>
      <c r="G48" s="272"/>
      <c r="H48" s="272"/>
      <c r="I48" s="272"/>
      <c r="J48" s="272"/>
      <c r="K48" s="272"/>
      <c r="L48" s="272"/>
      <c r="M48" s="272"/>
      <c r="N48" s="272"/>
      <c r="O48" s="272"/>
      <c r="P48" s="272"/>
      <c r="Q48" s="272"/>
      <c r="R48" s="272"/>
      <c r="S48" s="272"/>
      <c r="T48" s="272"/>
      <c r="U48" s="272"/>
      <c r="V48" s="272"/>
      <c r="W48" s="272"/>
      <c r="X48" s="272"/>
      <c r="Y48" s="272"/>
      <c r="Z48" s="272"/>
      <c r="AA48" s="272"/>
      <c r="AB48" s="272"/>
      <c r="AC48" s="272"/>
      <c r="AD48" s="272"/>
      <c r="AE48" s="272"/>
      <c r="AF48" s="272"/>
      <c r="AG48" s="272"/>
      <c r="AH48" s="272"/>
      <c r="AI48" s="272"/>
      <c r="AJ48" s="272"/>
      <c r="AK48" s="286">
        <f>$N$25</f>
        <v>13576.5</v>
      </c>
      <c r="AL48" s="621">
        <f>$N$25</f>
        <v>13576.5</v>
      </c>
      <c r="AM48" s="619">
        <f>$O$25</f>
        <v>19309.499999999996</v>
      </c>
      <c r="AN48" s="619">
        <f>$P$25</f>
        <v>22585.5</v>
      </c>
      <c r="AO48" s="619">
        <f>$Q$25</f>
        <v>22554</v>
      </c>
      <c r="AP48" s="619">
        <f>$R$25</f>
        <v>24475.5</v>
      </c>
      <c r="AQ48" s="619">
        <f>$S$25</f>
        <v>19057.5</v>
      </c>
      <c r="AR48" s="619">
        <f>$T$25</f>
        <v>16726.5</v>
      </c>
      <c r="AS48" s="619">
        <f>$U$25</f>
        <v>18837</v>
      </c>
      <c r="AT48" s="619">
        <f>$V$25</f>
        <v>19341</v>
      </c>
      <c r="AU48" s="619">
        <f>$W$25</f>
        <v>24034.5</v>
      </c>
      <c r="AV48" s="619">
        <f>$X$25</f>
        <v>19435.5</v>
      </c>
      <c r="AW48" s="619">
        <f>$Y$25</f>
        <v>17041.5</v>
      </c>
    </row>
    <row r="49" spans="1:49" s="618" customFormat="1" x14ac:dyDescent="0.3">
      <c r="A49" s="618" t="s">
        <v>773</v>
      </c>
      <c r="B49" s="619"/>
      <c r="C49" s="619"/>
      <c r="D49" s="619"/>
      <c r="E49" s="619"/>
      <c r="F49" s="619"/>
      <c r="G49" s="619"/>
      <c r="H49" s="619"/>
      <c r="I49" s="619"/>
      <c r="J49" s="619"/>
      <c r="K49" s="619"/>
      <c r="L49" s="619"/>
      <c r="M49" s="619"/>
      <c r="N49" s="619"/>
      <c r="O49" s="619"/>
      <c r="P49" s="619"/>
      <c r="Q49" s="619"/>
      <c r="R49" s="619"/>
      <c r="S49" s="619"/>
      <c r="T49" s="619"/>
      <c r="U49" s="619"/>
      <c r="V49" s="619"/>
      <c r="W49" s="619"/>
      <c r="X49" s="619"/>
      <c r="Y49" s="619"/>
      <c r="Z49" s="619"/>
      <c r="AA49" s="619"/>
      <c r="AB49" s="619"/>
      <c r="AC49" s="619"/>
      <c r="AD49" s="619"/>
      <c r="AE49" s="619"/>
      <c r="AF49" s="619"/>
      <c r="AG49" s="619"/>
      <c r="AH49" s="619"/>
      <c r="AI49" s="619"/>
      <c r="AJ49" s="619"/>
      <c r="AK49" s="619"/>
      <c r="AL49" s="620">
        <f>$N$25</f>
        <v>13576.5</v>
      </c>
      <c r="AM49" s="621">
        <f>$N$25</f>
        <v>13576.5</v>
      </c>
      <c r="AN49" s="619">
        <f>$O$25</f>
        <v>19309.499999999996</v>
      </c>
      <c r="AO49" s="619">
        <f>$P$25</f>
        <v>22585.5</v>
      </c>
      <c r="AP49" s="619">
        <f>$Q$25</f>
        <v>22554</v>
      </c>
      <c r="AQ49" s="619">
        <f>$R$25</f>
        <v>24475.5</v>
      </c>
      <c r="AR49" s="619">
        <f>$S$25</f>
        <v>19057.5</v>
      </c>
      <c r="AS49" s="619">
        <f>$T$25</f>
        <v>16726.5</v>
      </c>
      <c r="AT49" s="619">
        <f>$U$25</f>
        <v>18837</v>
      </c>
      <c r="AU49" s="619">
        <f>$V$25</f>
        <v>19341</v>
      </c>
      <c r="AV49" s="619">
        <f>$W$25</f>
        <v>24034.5</v>
      </c>
      <c r="AW49" s="619">
        <f>$X$25</f>
        <v>19435.5</v>
      </c>
    </row>
    <row r="50" spans="1:49" s="618" customFormat="1" x14ac:dyDescent="0.3">
      <c r="A50" s="618" t="s">
        <v>774</v>
      </c>
      <c r="B50" s="619"/>
      <c r="C50" s="619"/>
      <c r="D50" s="619"/>
      <c r="E50" s="619"/>
      <c r="F50" s="619"/>
      <c r="G50" s="619"/>
      <c r="H50" s="619"/>
      <c r="I50" s="619"/>
      <c r="J50" s="619"/>
      <c r="K50" s="619"/>
      <c r="L50" s="619"/>
      <c r="M50" s="619"/>
      <c r="N50" s="619"/>
      <c r="O50" s="619"/>
      <c r="P50" s="619"/>
      <c r="Q50" s="619"/>
      <c r="R50" s="619"/>
      <c r="S50" s="619"/>
      <c r="T50" s="619"/>
      <c r="U50" s="619"/>
      <c r="V50" s="619"/>
      <c r="W50" s="619"/>
      <c r="X50" s="619"/>
      <c r="Y50" s="619"/>
      <c r="Z50" s="619"/>
      <c r="AA50" s="619"/>
      <c r="AB50" s="619"/>
      <c r="AC50" s="619"/>
      <c r="AD50" s="619"/>
      <c r="AE50" s="619"/>
      <c r="AF50" s="619"/>
      <c r="AG50" s="619"/>
      <c r="AH50" s="619"/>
      <c r="AI50" s="619"/>
      <c r="AJ50" s="619"/>
      <c r="AK50" s="619"/>
      <c r="AM50" s="620">
        <f>$N$25</f>
        <v>13576.5</v>
      </c>
      <c r="AN50" s="621">
        <f>$N$25</f>
        <v>13576.5</v>
      </c>
      <c r="AO50" s="619">
        <f>$O$25</f>
        <v>19309.499999999996</v>
      </c>
      <c r="AP50" s="619">
        <f>$P$25</f>
        <v>22585.5</v>
      </c>
      <c r="AQ50" s="619">
        <f>$Q$25</f>
        <v>22554</v>
      </c>
      <c r="AR50" s="619">
        <f>$R$25</f>
        <v>24475.5</v>
      </c>
      <c r="AS50" s="619">
        <f>$S$25</f>
        <v>19057.5</v>
      </c>
      <c r="AT50" s="619">
        <f>$T$25</f>
        <v>16726.5</v>
      </c>
      <c r="AU50" s="619">
        <f>$U$25</f>
        <v>18837</v>
      </c>
      <c r="AV50" s="619">
        <f>$V$25</f>
        <v>19341</v>
      </c>
      <c r="AW50" s="619">
        <f>$W$25</f>
        <v>24034.5</v>
      </c>
    </row>
    <row r="51" spans="1:49" s="618" customFormat="1" x14ac:dyDescent="0.3">
      <c r="A51" s="618" t="s">
        <v>775</v>
      </c>
      <c r="B51" s="619"/>
      <c r="C51" s="619"/>
      <c r="D51" s="619"/>
      <c r="E51" s="619"/>
      <c r="F51" s="619"/>
      <c r="G51" s="619"/>
      <c r="H51" s="619"/>
      <c r="I51" s="619"/>
      <c r="J51" s="619"/>
      <c r="K51" s="619"/>
      <c r="L51" s="619"/>
      <c r="M51" s="619"/>
      <c r="N51" s="619"/>
      <c r="O51" s="619"/>
      <c r="P51" s="619"/>
      <c r="Q51" s="619"/>
      <c r="R51" s="619"/>
      <c r="S51" s="619"/>
      <c r="T51" s="619"/>
      <c r="U51" s="619"/>
      <c r="V51" s="619"/>
      <c r="W51" s="619"/>
      <c r="X51" s="619"/>
      <c r="Y51" s="619"/>
      <c r="Z51" s="619"/>
      <c r="AA51" s="619"/>
      <c r="AB51" s="619"/>
      <c r="AC51" s="619"/>
      <c r="AD51" s="619"/>
      <c r="AE51" s="619"/>
      <c r="AF51" s="619"/>
      <c r="AG51" s="619"/>
      <c r="AH51" s="619"/>
      <c r="AI51" s="619"/>
      <c r="AJ51" s="619"/>
      <c r="AK51" s="619"/>
      <c r="AN51" s="620">
        <f>$N$25</f>
        <v>13576.5</v>
      </c>
      <c r="AO51" s="621">
        <f>$N$25</f>
        <v>13576.5</v>
      </c>
      <c r="AP51" s="619">
        <f>$O$25</f>
        <v>19309.499999999996</v>
      </c>
      <c r="AQ51" s="619">
        <f>$P$25</f>
        <v>22585.5</v>
      </c>
      <c r="AR51" s="619">
        <f>$Q$25</f>
        <v>22554</v>
      </c>
      <c r="AS51" s="619">
        <f>$R$25</f>
        <v>24475.5</v>
      </c>
      <c r="AT51" s="619">
        <f>$S$25</f>
        <v>19057.5</v>
      </c>
      <c r="AU51" s="619">
        <f>$T$25</f>
        <v>16726.5</v>
      </c>
      <c r="AV51" s="619">
        <f>$U$25</f>
        <v>18837</v>
      </c>
      <c r="AW51" s="619">
        <f>$V$25</f>
        <v>19341</v>
      </c>
    </row>
    <row r="52" spans="1:49" s="618" customFormat="1" x14ac:dyDescent="0.3">
      <c r="A52" s="618" t="s">
        <v>776</v>
      </c>
      <c r="B52" s="619"/>
      <c r="C52" s="619"/>
      <c r="D52" s="619"/>
      <c r="E52" s="619"/>
      <c r="F52" s="619"/>
      <c r="G52" s="619"/>
      <c r="H52" s="619"/>
      <c r="I52" s="619"/>
      <c r="J52" s="619"/>
      <c r="K52" s="619"/>
      <c r="L52" s="619"/>
      <c r="M52" s="619"/>
      <c r="N52" s="619"/>
      <c r="O52" s="619"/>
      <c r="P52" s="619"/>
      <c r="Q52" s="619"/>
      <c r="R52" s="619"/>
      <c r="S52" s="619"/>
      <c r="T52" s="619"/>
      <c r="U52" s="619"/>
      <c r="V52" s="619"/>
      <c r="W52" s="619"/>
      <c r="X52" s="619"/>
      <c r="Y52" s="619"/>
      <c r="Z52" s="619"/>
      <c r="AA52" s="619"/>
      <c r="AB52" s="619"/>
      <c r="AC52" s="619"/>
      <c r="AD52" s="619"/>
      <c r="AE52" s="619"/>
      <c r="AF52" s="619"/>
      <c r="AG52" s="619"/>
      <c r="AH52" s="619"/>
      <c r="AI52" s="619"/>
      <c r="AJ52" s="619"/>
      <c r="AK52" s="619"/>
      <c r="AO52" s="620">
        <f>$N$25</f>
        <v>13576.5</v>
      </c>
      <c r="AP52" s="621">
        <f>$N$25</f>
        <v>13576.5</v>
      </c>
      <c r="AQ52" s="619">
        <f>$O$25</f>
        <v>19309.499999999996</v>
      </c>
      <c r="AR52" s="619">
        <f>$P$25</f>
        <v>22585.5</v>
      </c>
      <c r="AS52" s="619">
        <f>$Q$25</f>
        <v>22554</v>
      </c>
      <c r="AT52" s="619">
        <f>$R$25</f>
        <v>24475.5</v>
      </c>
      <c r="AU52" s="619">
        <f>$S$25</f>
        <v>19057.5</v>
      </c>
      <c r="AV52" s="619">
        <f>$T$25</f>
        <v>16726.5</v>
      </c>
      <c r="AW52" s="619">
        <f>$U$25</f>
        <v>18837</v>
      </c>
    </row>
    <row r="53" spans="1:49" s="618" customFormat="1" x14ac:dyDescent="0.3">
      <c r="A53" s="618" t="s">
        <v>777</v>
      </c>
      <c r="B53" s="619"/>
      <c r="C53" s="619"/>
      <c r="D53" s="619"/>
      <c r="E53" s="619"/>
      <c r="F53" s="619"/>
      <c r="G53" s="619"/>
      <c r="H53" s="619"/>
      <c r="I53" s="619"/>
      <c r="J53" s="619"/>
      <c r="K53" s="619"/>
      <c r="L53" s="619"/>
      <c r="M53" s="619"/>
      <c r="N53" s="619"/>
      <c r="O53" s="619"/>
      <c r="P53" s="619"/>
      <c r="Q53" s="619"/>
      <c r="R53" s="619"/>
      <c r="S53" s="619"/>
      <c r="T53" s="619"/>
      <c r="U53" s="619"/>
      <c r="V53" s="619"/>
      <c r="W53" s="619"/>
      <c r="X53" s="619"/>
      <c r="Y53" s="619"/>
      <c r="Z53" s="619"/>
      <c r="AA53" s="619"/>
      <c r="AB53" s="619"/>
      <c r="AC53" s="619"/>
      <c r="AD53" s="619"/>
      <c r="AE53" s="619"/>
      <c r="AF53" s="619"/>
      <c r="AG53" s="619"/>
      <c r="AH53" s="619"/>
      <c r="AI53" s="619"/>
      <c r="AJ53" s="619"/>
      <c r="AK53" s="619"/>
      <c r="AO53" s="622"/>
      <c r="AP53" s="620">
        <f>$N$25</f>
        <v>13576.5</v>
      </c>
      <c r="AQ53" s="621">
        <f>$N$25</f>
        <v>13576.5</v>
      </c>
      <c r="AR53" s="619">
        <f>$O$25</f>
        <v>19309.499999999996</v>
      </c>
      <c r="AS53" s="619">
        <f>$P$25</f>
        <v>22585.5</v>
      </c>
      <c r="AT53" s="619">
        <f>$Q$25</f>
        <v>22554</v>
      </c>
      <c r="AU53" s="619">
        <f>$R$25</f>
        <v>24475.5</v>
      </c>
      <c r="AV53" s="619">
        <f>$S$25</f>
        <v>19057.5</v>
      </c>
      <c r="AW53" s="619">
        <f>$T$25</f>
        <v>16726.5</v>
      </c>
    </row>
    <row r="54" spans="1:49" s="618" customFormat="1" x14ac:dyDescent="0.3">
      <c r="A54" s="618" t="s">
        <v>778</v>
      </c>
      <c r="B54" s="619"/>
      <c r="C54" s="619"/>
      <c r="D54" s="619"/>
      <c r="E54" s="619"/>
      <c r="F54" s="619"/>
      <c r="G54" s="619"/>
      <c r="H54" s="619"/>
      <c r="I54" s="619"/>
      <c r="J54" s="619"/>
      <c r="K54" s="619"/>
      <c r="L54" s="619"/>
      <c r="M54" s="619"/>
      <c r="N54" s="619"/>
      <c r="O54" s="619"/>
      <c r="P54" s="619"/>
      <c r="Q54" s="619"/>
      <c r="R54" s="619"/>
      <c r="S54" s="619"/>
      <c r="T54" s="619"/>
      <c r="U54" s="619"/>
      <c r="V54" s="619"/>
      <c r="W54" s="619"/>
      <c r="X54" s="619"/>
      <c r="Y54" s="619"/>
      <c r="Z54" s="619"/>
      <c r="AA54" s="619"/>
      <c r="AB54" s="619"/>
      <c r="AC54" s="619"/>
      <c r="AD54" s="619"/>
      <c r="AE54" s="619"/>
      <c r="AF54" s="619"/>
      <c r="AG54" s="619"/>
      <c r="AH54" s="619"/>
      <c r="AI54" s="619"/>
      <c r="AJ54" s="619"/>
      <c r="AK54" s="619"/>
      <c r="AO54" s="622"/>
      <c r="AP54" s="622"/>
      <c r="AQ54" s="620">
        <f>$N$25</f>
        <v>13576.5</v>
      </c>
      <c r="AR54" s="621">
        <f>$N$25</f>
        <v>13576.5</v>
      </c>
      <c r="AS54" s="619">
        <f>$O$25</f>
        <v>19309.499999999996</v>
      </c>
      <c r="AT54" s="619">
        <f>$P$25</f>
        <v>22585.5</v>
      </c>
      <c r="AU54" s="619">
        <f>$Q$25</f>
        <v>22554</v>
      </c>
      <c r="AV54" s="619">
        <f>$R$25</f>
        <v>24475.5</v>
      </c>
      <c r="AW54" s="619">
        <f>$S$25</f>
        <v>19057.5</v>
      </c>
    </row>
    <row r="55" spans="1:49" s="618" customFormat="1" x14ac:dyDescent="0.3">
      <c r="A55" s="618" t="s">
        <v>779</v>
      </c>
      <c r="B55" s="619"/>
      <c r="C55" s="619"/>
      <c r="D55" s="619"/>
      <c r="E55" s="619"/>
      <c r="F55" s="619"/>
      <c r="G55" s="619"/>
      <c r="H55" s="619"/>
      <c r="I55" s="619"/>
      <c r="J55" s="619"/>
      <c r="K55" s="619"/>
      <c r="L55" s="619"/>
      <c r="M55" s="619"/>
      <c r="N55" s="619"/>
      <c r="O55" s="619"/>
      <c r="P55" s="619"/>
      <c r="Q55" s="619"/>
      <c r="R55" s="619"/>
      <c r="S55" s="619"/>
      <c r="T55" s="619"/>
      <c r="U55" s="619"/>
      <c r="V55" s="619"/>
      <c r="W55" s="619"/>
      <c r="X55" s="619"/>
      <c r="Y55" s="619"/>
      <c r="Z55" s="619"/>
      <c r="AA55" s="619"/>
      <c r="AB55" s="619"/>
      <c r="AC55" s="619"/>
      <c r="AD55" s="619"/>
      <c r="AE55" s="619"/>
      <c r="AF55" s="619"/>
      <c r="AG55" s="619"/>
      <c r="AH55" s="619"/>
      <c r="AI55" s="619"/>
      <c r="AJ55" s="619"/>
      <c r="AK55" s="619"/>
      <c r="AO55" s="622"/>
      <c r="AP55" s="622"/>
      <c r="AQ55" s="622"/>
      <c r="AR55" s="620">
        <f>$N$25</f>
        <v>13576.5</v>
      </c>
      <c r="AS55" s="621">
        <f>$N$25</f>
        <v>13576.5</v>
      </c>
      <c r="AT55" s="619">
        <f>$O$25</f>
        <v>19309.499999999996</v>
      </c>
      <c r="AU55" s="619">
        <f>$P$25</f>
        <v>22585.5</v>
      </c>
      <c r="AV55" s="619">
        <f>$Q$25</f>
        <v>22554</v>
      </c>
      <c r="AW55" s="619">
        <f>$R$25</f>
        <v>24475.5</v>
      </c>
    </row>
    <row r="56" spans="1:49" s="618" customFormat="1" x14ac:dyDescent="0.3">
      <c r="A56" s="618" t="s">
        <v>780</v>
      </c>
      <c r="B56" s="619"/>
      <c r="C56" s="619"/>
      <c r="D56" s="619"/>
      <c r="E56" s="619"/>
      <c r="F56" s="619"/>
      <c r="G56" s="619"/>
      <c r="H56" s="619"/>
      <c r="I56" s="619"/>
      <c r="J56" s="619"/>
      <c r="K56" s="619"/>
      <c r="L56" s="619"/>
      <c r="M56" s="619"/>
      <c r="N56" s="619"/>
      <c r="O56" s="619"/>
      <c r="P56" s="619"/>
      <c r="Q56" s="619"/>
      <c r="R56" s="619"/>
      <c r="S56" s="619"/>
      <c r="T56" s="619"/>
      <c r="U56" s="619"/>
      <c r="V56" s="619"/>
      <c r="W56" s="619"/>
      <c r="X56" s="619"/>
      <c r="Y56" s="619"/>
      <c r="Z56" s="619"/>
      <c r="AA56" s="619"/>
      <c r="AB56" s="619"/>
      <c r="AC56" s="619"/>
      <c r="AD56" s="619"/>
      <c r="AE56" s="619"/>
      <c r="AF56" s="619"/>
      <c r="AG56" s="619"/>
      <c r="AH56" s="619"/>
      <c r="AI56" s="619"/>
      <c r="AJ56" s="619"/>
      <c r="AK56" s="619"/>
      <c r="AO56" s="622"/>
      <c r="AP56" s="622"/>
      <c r="AQ56" s="622"/>
      <c r="AR56" s="622"/>
      <c r="AS56" s="620">
        <f>$N$25</f>
        <v>13576.5</v>
      </c>
      <c r="AT56" s="621">
        <f>$N$25</f>
        <v>13576.5</v>
      </c>
      <c r="AU56" s="619">
        <f>$O$25</f>
        <v>19309.499999999996</v>
      </c>
      <c r="AV56" s="619">
        <f>$P$25</f>
        <v>22585.5</v>
      </c>
      <c r="AW56" s="619">
        <f>$Q$25</f>
        <v>22554</v>
      </c>
    </row>
    <row r="57" spans="1:49" s="618" customFormat="1" x14ac:dyDescent="0.3">
      <c r="A57" s="618" t="s">
        <v>781</v>
      </c>
      <c r="B57" s="619"/>
      <c r="C57" s="619"/>
      <c r="D57" s="619"/>
      <c r="E57" s="619"/>
      <c r="F57" s="619"/>
      <c r="G57" s="619"/>
      <c r="H57" s="619"/>
      <c r="I57" s="619"/>
      <c r="J57" s="619"/>
      <c r="K57" s="619"/>
      <c r="L57" s="619"/>
      <c r="M57" s="619"/>
      <c r="N57" s="619"/>
      <c r="O57" s="619"/>
      <c r="P57" s="619"/>
      <c r="Q57" s="619"/>
      <c r="R57" s="619"/>
      <c r="S57" s="619"/>
      <c r="T57" s="619"/>
      <c r="U57" s="619"/>
      <c r="V57" s="619"/>
      <c r="W57" s="619"/>
      <c r="X57" s="619"/>
      <c r="Y57" s="619"/>
      <c r="Z57" s="619"/>
      <c r="AA57" s="619"/>
      <c r="AB57" s="619"/>
      <c r="AC57" s="619"/>
      <c r="AD57" s="619"/>
      <c r="AE57" s="619"/>
      <c r="AF57" s="619"/>
      <c r="AG57" s="619"/>
      <c r="AH57" s="619"/>
      <c r="AI57" s="619"/>
      <c r="AJ57" s="619"/>
      <c r="AK57" s="619"/>
      <c r="AO57" s="622"/>
      <c r="AP57" s="622"/>
      <c r="AQ57" s="622"/>
      <c r="AR57" s="622"/>
      <c r="AS57" s="622"/>
      <c r="AT57" s="620">
        <f>$N$25</f>
        <v>13576.5</v>
      </c>
      <c r="AU57" s="621">
        <f>$N$25</f>
        <v>13576.5</v>
      </c>
      <c r="AV57" s="619">
        <f>$O$25</f>
        <v>19309.499999999996</v>
      </c>
      <c r="AW57" s="619">
        <f>$P$25</f>
        <v>22585.5</v>
      </c>
    </row>
    <row r="58" spans="1:49" s="618" customFormat="1" x14ac:dyDescent="0.3">
      <c r="A58" s="618" t="s">
        <v>782</v>
      </c>
      <c r="B58" s="619"/>
      <c r="C58" s="619"/>
      <c r="D58" s="619"/>
      <c r="E58" s="619"/>
      <c r="F58" s="619"/>
      <c r="G58" s="619"/>
      <c r="H58" s="619"/>
      <c r="I58" s="619"/>
      <c r="J58" s="619"/>
      <c r="K58" s="619"/>
      <c r="L58" s="619"/>
      <c r="M58" s="619"/>
      <c r="N58" s="619"/>
      <c r="O58" s="619"/>
      <c r="P58" s="619"/>
      <c r="Q58" s="619"/>
      <c r="R58" s="619"/>
      <c r="S58" s="619"/>
      <c r="T58" s="619"/>
      <c r="U58" s="619"/>
      <c r="V58" s="619"/>
      <c r="W58" s="619"/>
      <c r="X58" s="619"/>
      <c r="Y58" s="619"/>
      <c r="Z58" s="619"/>
      <c r="AA58" s="619"/>
      <c r="AB58" s="619"/>
      <c r="AC58" s="619"/>
      <c r="AD58" s="619"/>
      <c r="AE58" s="619"/>
      <c r="AF58" s="619"/>
      <c r="AG58" s="619"/>
      <c r="AH58" s="619"/>
      <c r="AI58" s="619"/>
      <c r="AJ58" s="619"/>
      <c r="AK58" s="619"/>
      <c r="AO58" s="622"/>
      <c r="AP58" s="622"/>
      <c r="AQ58" s="622"/>
      <c r="AR58" s="622"/>
      <c r="AS58" s="622"/>
      <c r="AT58" s="622"/>
      <c r="AU58" s="620">
        <f>$N$25</f>
        <v>13576.5</v>
      </c>
      <c r="AV58" s="621">
        <f>$N$25</f>
        <v>13576.5</v>
      </c>
      <c r="AW58" s="619">
        <f>$O$25</f>
        <v>19309.499999999996</v>
      </c>
    </row>
    <row r="59" spans="1:49" s="618" customFormat="1" x14ac:dyDescent="0.3">
      <c r="A59" s="618" t="s">
        <v>783</v>
      </c>
      <c r="B59" s="619"/>
      <c r="C59" s="619"/>
      <c r="D59" s="619"/>
      <c r="E59" s="619"/>
      <c r="F59" s="619"/>
      <c r="G59" s="619"/>
      <c r="H59" s="619"/>
      <c r="I59" s="619"/>
      <c r="J59" s="619"/>
      <c r="K59" s="619"/>
      <c r="L59" s="619"/>
      <c r="M59" s="619"/>
      <c r="N59" s="619"/>
      <c r="O59" s="619"/>
      <c r="P59" s="619"/>
      <c r="Q59" s="619"/>
      <c r="R59" s="619"/>
      <c r="S59" s="619"/>
      <c r="T59" s="619"/>
      <c r="U59" s="619"/>
      <c r="V59" s="619"/>
      <c r="W59" s="619"/>
      <c r="X59" s="619"/>
      <c r="Y59" s="619"/>
      <c r="Z59" s="619"/>
      <c r="AA59" s="619"/>
      <c r="AB59" s="619"/>
      <c r="AC59" s="619"/>
      <c r="AD59" s="619"/>
      <c r="AE59" s="619"/>
      <c r="AF59" s="619"/>
      <c r="AG59" s="619"/>
      <c r="AH59" s="619"/>
      <c r="AI59" s="619"/>
      <c r="AJ59" s="619"/>
      <c r="AK59" s="619"/>
      <c r="AO59" s="622"/>
      <c r="AP59" s="622"/>
      <c r="AQ59" s="622"/>
      <c r="AR59" s="622"/>
      <c r="AS59" s="622"/>
      <c r="AT59" s="622"/>
      <c r="AU59" s="622"/>
      <c r="AV59" s="620">
        <f>$N$25</f>
        <v>13576.5</v>
      </c>
      <c r="AW59" s="621">
        <f>$N$25</f>
        <v>13576.5</v>
      </c>
    </row>
    <row r="60" spans="1:49" s="618" customFormat="1" x14ac:dyDescent="0.3">
      <c r="A60" s="618" t="s">
        <v>784</v>
      </c>
      <c r="B60" s="619"/>
      <c r="C60" s="619"/>
      <c r="D60" s="619"/>
      <c r="E60" s="619"/>
      <c r="F60" s="619"/>
      <c r="G60" s="619"/>
      <c r="H60" s="619"/>
      <c r="I60" s="619"/>
      <c r="J60" s="619"/>
      <c r="K60" s="619"/>
      <c r="L60" s="619"/>
      <c r="M60" s="619"/>
      <c r="N60" s="619"/>
      <c r="O60" s="619"/>
      <c r="P60" s="619"/>
      <c r="Q60" s="619"/>
      <c r="R60" s="619"/>
      <c r="S60" s="619"/>
      <c r="T60" s="619"/>
      <c r="U60" s="619"/>
      <c r="V60" s="619"/>
      <c r="W60" s="619"/>
      <c r="X60" s="619"/>
      <c r="Y60" s="619"/>
      <c r="Z60" s="619"/>
      <c r="AA60" s="619"/>
      <c r="AB60" s="619"/>
      <c r="AC60" s="619"/>
      <c r="AD60" s="619"/>
      <c r="AE60" s="619"/>
      <c r="AF60" s="619"/>
      <c r="AG60" s="619"/>
      <c r="AH60" s="619"/>
      <c r="AI60" s="619"/>
      <c r="AJ60" s="619"/>
      <c r="AK60" s="619"/>
      <c r="AW60" s="620">
        <f>$N$25</f>
        <v>13576.5</v>
      </c>
    </row>
    <row r="61" spans="1:49" x14ac:dyDescent="0.3">
      <c r="B61" s="272"/>
      <c r="C61" s="272"/>
      <c r="D61" s="272"/>
      <c r="E61" s="272"/>
      <c r="F61" s="272"/>
      <c r="G61" s="272"/>
      <c r="H61" s="272"/>
      <c r="I61" s="272"/>
      <c r="J61" s="272"/>
      <c r="K61" s="272"/>
      <c r="L61" s="272"/>
      <c r="M61" s="272"/>
      <c r="N61" s="272"/>
      <c r="O61" s="272"/>
      <c r="P61" s="272"/>
      <c r="Q61" s="272"/>
      <c r="R61" s="272"/>
      <c r="S61" s="272"/>
      <c r="T61" s="272"/>
      <c r="U61" s="272"/>
      <c r="V61" s="272"/>
      <c r="W61" s="272"/>
      <c r="X61" s="272"/>
      <c r="Y61" s="272"/>
      <c r="Z61" s="272"/>
      <c r="AA61" s="272"/>
      <c r="AB61" s="272"/>
      <c r="AC61" s="272"/>
      <c r="AD61" s="272"/>
      <c r="AE61" s="272"/>
      <c r="AF61" s="272"/>
      <c r="AG61" s="272"/>
      <c r="AH61" s="272"/>
      <c r="AI61" s="272"/>
      <c r="AJ61" s="272"/>
      <c r="AK61" s="272"/>
    </row>
    <row r="62" spans="1:49" x14ac:dyDescent="0.3">
      <c r="A62" s="243" t="s">
        <v>276</v>
      </c>
      <c r="B62" s="283">
        <f t="shared" ref="B62:AK62" si="0">SUM(B13:B60)</f>
        <v>263984.8020269089</v>
      </c>
      <c r="C62" s="283">
        <f t="shared" si="0"/>
        <v>238601.92763161569</v>
      </c>
      <c r="D62" s="283">
        <f t="shared" si="0"/>
        <v>263700.27580531128</v>
      </c>
      <c r="E62" s="283">
        <f t="shared" si="0"/>
        <v>272996.39777734032</v>
      </c>
      <c r="F62" s="283">
        <f t="shared" si="0"/>
        <v>284488.82109012833</v>
      </c>
      <c r="G62" s="283">
        <f t="shared" si="0"/>
        <v>293910.88895641238</v>
      </c>
      <c r="H62" s="283">
        <f t="shared" si="0"/>
        <v>298866.98247686669</v>
      </c>
      <c r="I62" s="283">
        <f t="shared" si="0"/>
        <v>307219.65100326715</v>
      </c>
      <c r="J62" s="283">
        <f t="shared" si="0"/>
        <v>311220.56581886776</v>
      </c>
      <c r="K62" s="283">
        <f t="shared" si="0"/>
        <v>317053.91363249597</v>
      </c>
      <c r="L62" s="283">
        <f t="shared" ref="L62:M62" si="1">SUM(L13:L60)</f>
        <v>320595.4783728008</v>
      </c>
      <c r="M62" s="283">
        <f t="shared" si="1"/>
        <v>319273.45132042188</v>
      </c>
      <c r="N62" s="283">
        <f t="shared" si="0"/>
        <v>332253.74146284128</v>
      </c>
      <c r="O62" s="283">
        <f t="shared" si="0"/>
        <v>355754.17816662212</v>
      </c>
      <c r="P62" s="283">
        <f t="shared" si="0"/>
        <v>373802.06591301056</v>
      </c>
      <c r="Q62" s="283">
        <f t="shared" si="0"/>
        <v>396719.32307713543</v>
      </c>
      <c r="R62" s="283">
        <f t="shared" si="0"/>
        <v>425346.47524665063</v>
      </c>
      <c r="S62" s="283">
        <f t="shared" si="0"/>
        <v>454123.52191147138</v>
      </c>
      <c r="T62" s="283">
        <f t="shared" si="0"/>
        <v>487459.15686528129</v>
      </c>
      <c r="U62" s="283">
        <f t="shared" si="0"/>
        <v>524496.86572714057</v>
      </c>
      <c r="V62" s="283">
        <f t="shared" si="0"/>
        <v>555061.49484968721</v>
      </c>
      <c r="W62" s="283">
        <f t="shared" si="0"/>
        <v>578962.98674090416</v>
      </c>
      <c r="X62" s="283">
        <f t="shared" si="0"/>
        <v>594813.86130583589</v>
      </c>
      <c r="Y62" s="283">
        <f t="shared" si="0"/>
        <v>616999.36276825587</v>
      </c>
      <c r="Z62" s="283">
        <f t="shared" si="0"/>
        <v>636949.48282095836</v>
      </c>
      <c r="AA62" s="283">
        <f t="shared" si="0"/>
        <v>661525.80346880201</v>
      </c>
      <c r="AB62" s="283">
        <f t="shared" si="0"/>
        <v>696887.84361076681</v>
      </c>
      <c r="AC62" s="283">
        <f t="shared" si="0"/>
        <v>733319.59589369339</v>
      </c>
      <c r="AD62" s="283">
        <f t="shared" si="0"/>
        <v>784945.05514466064</v>
      </c>
      <c r="AE62" s="283">
        <f t="shared" si="0"/>
        <v>836118.04048826965</v>
      </c>
      <c r="AF62" s="283">
        <f t="shared" si="0"/>
        <v>732095.08984253765</v>
      </c>
      <c r="AG62" s="283">
        <f t="shared" si="0"/>
        <v>759894.60202892008</v>
      </c>
      <c r="AH62" s="283">
        <f t="shared" si="0"/>
        <v>1049708.7332811269</v>
      </c>
      <c r="AI62" s="283">
        <f t="shared" si="0"/>
        <v>1100664.8292518253</v>
      </c>
      <c r="AJ62" s="283">
        <f t="shared" si="0"/>
        <v>926577.8053065897</v>
      </c>
      <c r="AK62" s="283">
        <f t="shared" si="0"/>
        <v>843635.31978871557</v>
      </c>
      <c r="AL62" s="283">
        <f t="shared" ref="AL62:AW62" si="2">SUM(AL13:AL60)</f>
        <v>1124004.5454962475</v>
      </c>
      <c r="AM62" s="283">
        <f t="shared" si="2"/>
        <v>1176255.3067043899</v>
      </c>
      <c r="AN62" s="283">
        <f t="shared" si="2"/>
        <v>1234618.3386869784</v>
      </c>
      <c r="AO62" s="283">
        <f t="shared" si="2"/>
        <v>1286784.1685847309</v>
      </c>
      <c r="AP62" s="283">
        <f t="shared" si="2"/>
        <v>1333295.3369040345</v>
      </c>
      <c r="AQ62" s="283">
        <f t="shared" si="2"/>
        <v>1378322.8666879598</v>
      </c>
      <c r="AR62" s="283">
        <f t="shared" si="2"/>
        <v>1423417.8915742063</v>
      </c>
      <c r="AS62" s="283">
        <f t="shared" si="2"/>
        <v>1470285.7901849977</v>
      </c>
      <c r="AT62" s="283">
        <f t="shared" si="2"/>
        <v>1518722.5881824882</v>
      </c>
      <c r="AU62" s="283">
        <f t="shared" si="2"/>
        <v>1564082.5881824882</v>
      </c>
      <c r="AV62" s="283">
        <f t="shared" si="2"/>
        <v>1609442.5881824882</v>
      </c>
      <c r="AW62" s="283">
        <f t="shared" si="2"/>
        <v>1654802.5881824882</v>
      </c>
    </row>
    <row r="63" spans="1:49" x14ac:dyDescent="0.3">
      <c r="L63" s="313"/>
      <c r="M63" s="313"/>
      <c r="Q63" s="254"/>
      <c r="AL63" s="313"/>
      <c r="AM63" s="313"/>
      <c r="AN63" s="313"/>
      <c r="AO63" s="313"/>
      <c r="AP63" s="313"/>
      <c r="AQ63" s="313"/>
      <c r="AR63" s="313"/>
      <c r="AS63" s="313"/>
      <c r="AT63" s="313"/>
      <c r="AU63" s="313"/>
      <c r="AV63" s="313"/>
      <c r="AW63" s="313"/>
    </row>
    <row r="64" spans="1:49" x14ac:dyDescent="0.3">
      <c r="A64" s="243" t="s">
        <v>279</v>
      </c>
      <c r="B64" s="284">
        <f>K80</f>
        <v>356053.77600000001</v>
      </c>
      <c r="C64" s="284">
        <f t="shared" ref="C64:J64" si="3">B64-$L$80</f>
        <v>341218.20199999999</v>
      </c>
      <c r="D64" s="284">
        <f t="shared" si="3"/>
        <v>326382.62799999997</v>
      </c>
      <c r="E64" s="284">
        <f t="shared" si="3"/>
        <v>311547.05399999995</v>
      </c>
      <c r="F64" s="284">
        <f t="shared" si="3"/>
        <v>296711.47999999992</v>
      </c>
      <c r="G64" s="284">
        <f t="shared" si="3"/>
        <v>281875.9059999999</v>
      </c>
      <c r="H64" s="284">
        <f t="shared" si="3"/>
        <v>267040.33199999988</v>
      </c>
      <c r="I64" s="284">
        <f t="shared" si="3"/>
        <v>252204.75799999989</v>
      </c>
      <c r="J64" s="284">
        <f t="shared" si="3"/>
        <v>237369.18399999989</v>
      </c>
      <c r="K64" s="284">
        <f t="shared" ref="K64:Y64" si="4">J64-$L$80</f>
        <v>222533.6099999999</v>
      </c>
      <c r="L64" s="284">
        <f t="shared" ref="L64" si="5">K64-$L$80</f>
        <v>207698.03599999991</v>
      </c>
      <c r="M64" s="284">
        <f t="shared" ref="M64" si="6">L64-$L$80</f>
        <v>192862.46199999991</v>
      </c>
      <c r="N64" s="284">
        <f t="shared" si="4"/>
        <v>178026.88799999992</v>
      </c>
      <c r="O64" s="284">
        <f t="shared" si="4"/>
        <v>163191.31399999993</v>
      </c>
      <c r="P64" s="284">
        <f t="shared" si="4"/>
        <v>148355.73999999993</v>
      </c>
      <c r="Q64" s="284">
        <f t="shared" si="4"/>
        <v>133520.16599999994</v>
      </c>
      <c r="R64" s="284">
        <f t="shared" si="4"/>
        <v>118684.59199999995</v>
      </c>
      <c r="S64" s="284">
        <f t="shared" si="4"/>
        <v>103849.01799999995</v>
      </c>
      <c r="T64" s="284">
        <f t="shared" si="4"/>
        <v>89013.443999999959</v>
      </c>
      <c r="U64" s="284">
        <f t="shared" si="4"/>
        <v>74177.869999999966</v>
      </c>
      <c r="V64" s="284">
        <f t="shared" si="4"/>
        <v>59342.295999999966</v>
      </c>
      <c r="W64" s="284">
        <f t="shared" si="4"/>
        <v>44506.721999999965</v>
      </c>
      <c r="X64" s="284">
        <f t="shared" si="4"/>
        <v>29671.147999999965</v>
      </c>
      <c r="Y64" s="284">
        <f t="shared" si="4"/>
        <v>14835.573999999964</v>
      </c>
      <c r="Z64" s="284">
        <f>IF((Y64-$Z$72)&lt;0,0,(Y64-$Z$72))</f>
        <v>0</v>
      </c>
      <c r="AA64" s="284">
        <f>IF((Z64-$Z$72)&lt;0,0,(Z64-$Z$72))</f>
        <v>0</v>
      </c>
      <c r="AB64" s="284">
        <f t="shared" ref="AB64:AW64" si="7">IF((AA64-$Z$72)&lt;0,0,(AA64-$Z$72))</f>
        <v>0</v>
      </c>
      <c r="AC64" s="284">
        <f t="shared" si="7"/>
        <v>0</v>
      </c>
      <c r="AD64" s="284">
        <f t="shared" si="7"/>
        <v>0</v>
      </c>
      <c r="AE64" s="284">
        <f t="shared" si="7"/>
        <v>0</v>
      </c>
      <c r="AF64" s="284">
        <f t="shared" si="7"/>
        <v>0</v>
      </c>
      <c r="AG64" s="284">
        <f t="shared" si="7"/>
        <v>0</v>
      </c>
      <c r="AH64" s="284">
        <f t="shared" si="7"/>
        <v>0</v>
      </c>
      <c r="AI64" s="284">
        <f t="shared" si="7"/>
        <v>0</v>
      </c>
      <c r="AJ64" s="284">
        <f t="shared" si="7"/>
        <v>0</v>
      </c>
      <c r="AK64" s="284">
        <f t="shared" si="7"/>
        <v>0</v>
      </c>
      <c r="AL64" s="284">
        <f t="shared" si="7"/>
        <v>0</v>
      </c>
      <c r="AM64" s="284">
        <f t="shared" si="7"/>
        <v>0</v>
      </c>
      <c r="AN64" s="284">
        <f t="shared" si="7"/>
        <v>0</v>
      </c>
      <c r="AO64" s="284">
        <f t="shared" si="7"/>
        <v>0</v>
      </c>
      <c r="AP64" s="284">
        <f t="shared" si="7"/>
        <v>0</v>
      </c>
      <c r="AQ64" s="284">
        <f t="shared" si="7"/>
        <v>0</v>
      </c>
      <c r="AR64" s="284">
        <f t="shared" si="7"/>
        <v>0</v>
      </c>
      <c r="AS64" s="284">
        <f t="shared" si="7"/>
        <v>0</v>
      </c>
      <c r="AT64" s="284">
        <f t="shared" si="7"/>
        <v>0</v>
      </c>
      <c r="AU64" s="284">
        <f t="shared" si="7"/>
        <v>0</v>
      </c>
      <c r="AV64" s="284">
        <f t="shared" si="7"/>
        <v>0</v>
      </c>
      <c r="AW64" s="284">
        <f t="shared" si="7"/>
        <v>0</v>
      </c>
    </row>
    <row r="65" spans="1:49" ht="13.5" thickBot="1" x14ac:dyDescent="0.35">
      <c r="A65" s="243" t="s">
        <v>286</v>
      </c>
      <c r="B65" s="285">
        <v>629660</v>
      </c>
      <c r="C65" s="285">
        <v>508987</v>
      </c>
      <c r="D65" s="285">
        <v>602383</v>
      </c>
      <c r="E65" s="285">
        <v>683861</v>
      </c>
      <c r="F65" s="285">
        <v>775378</v>
      </c>
      <c r="G65" s="285">
        <v>709961</v>
      </c>
      <c r="H65" s="285">
        <f t="shared" ref="H65:K65" si="8">H66</f>
        <v>752413</v>
      </c>
      <c r="I65" s="285">
        <f t="shared" si="8"/>
        <v>723961.84</v>
      </c>
      <c r="J65" s="285">
        <f t="shared" si="8"/>
        <v>704817</v>
      </c>
      <c r="K65" s="285">
        <f t="shared" si="8"/>
        <v>1212324.74</v>
      </c>
      <c r="L65" s="285">
        <f t="shared" ref="L65:M65" si="9">L64+L62+L79</f>
        <v>528293.51437280071</v>
      </c>
      <c r="M65" s="285">
        <f t="shared" si="9"/>
        <v>553410.91332042182</v>
      </c>
      <c r="N65" s="285">
        <f>N64+N62+N79</f>
        <v>608699.6294628412</v>
      </c>
      <c r="O65" s="285">
        <f>O64+O62+N80</f>
        <v>617364.49216662208</v>
      </c>
      <c r="P65" s="285">
        <f>P64+P62+N81</f>
        <v>620576.8059130105</v>
      </c>
      <c r="Q65" s="285">
        <f>Q64+Q62+N82</f>
        <v>554543.48907713534</v>
      </c>
      <c r="R65" s="285">
        <f>R64+R62+N83</f>
        <v>556183.06724665058</v>
      </c>
      <c r="S65" s="285">
        <f t="shared" ref="S65:AK65" si="10">S64+S62</f>
        <v>557972.53991147131</v>
      </c>
      <c r="T65" s="285">
        <f t="shared" si="10"/>
        <v>576472.60086528119</v>
      </c>
      <c r="U65" s="285">
        <f t="shared" si="10"/>
        <v>598674.73572714056</v>
      </c>
      <c r="V65" s="285">
        <f t="shared" si="10"/>
        <v>614403.79084968718</v>
      </c>
      <c r="W65" s="285">
        <f t="shared" si="10"/>
        <v>623469.70874090411</v>
      </c>
      <c r="X65" s="285">
        <f t="shared" si="10"/>
        <v>624485.00930583582</v>
      </c>
      <c r="Y65" s="285">
        <f t="shared" si="10"/>
        <v>631834.9367682559</v>
      </c>
      <c r="Z65" s="285">
        <f t="shared" si="10"/>
        <v>636949.48282095836</v>
      </c>
      <c r="AA65" s="285">
        <f t="shared" si="10"/>
        <v>661525.80346880201</v>
      </c>
      <c r="AB65" s="285">
        <f t="shared" si="10"/>
        <v>696887.84361076681</v>
      </c>
      <c r="AC65" s="285">
        <f t="shared" si="10"/>
        <v>733319.59589369339</v>
      </c>
      <c r="AD65" s="285">
        <f t="shared" si="10"/>
        <v>784945.05514466064</v>
      </c>
      <c r="AE65" s="285">
        <f t="shared" si="10"/>
        <v>836118.04048826965</v>
      </c>
      <c r="AF65" s="285">
        <f t="shared" si="10"/>
        <v>732095.08984253765</v>
      </c>
      <c r="AG65" s="285">
        <f t="shared" si="10"/>
        <v>759894.60202892008</v>
      </c>
      <c r="AH65" s="285">
        <f t="shared" si="10"/>
        <v>1049708.7332811269</v>
      </c>
      <c r="AI65" s="285">
        <f t="shared" si="10"/>
        <v>1100664.8292518253</v>
      </c>
      <c r="AJ65" s="285">
        <f t="shared" si="10"/>
        <v>926577.8053065897</v>
      </c>
      <c r="AK65" s="285">
        <f t="shared" si="10"/>
        <v>843635.31978871557</v>
      </c>
      <c r="AL65" s="285">
        <f t="shared" ref="AL65:AW65" si="11">AL64+AL62</f>
        <v>1124004.5454962475</v>
      </c>
      <c r="AM65" s="285">
        <f t="shared" si="11"/>
        <v>1176255.3067043899</v>
      </c>
      <c r="AN65" s="285">
        <f t="shared" si="11"/>
        <v>1234618.3386869784</v>
      </c>
      <c r="AO65" s="285">
        <f t="shared" si="11"/>
        <v>1286784.1685847309</v>
      </c>
      <c r="AP65" s="285">
        <f t="shared" si="11"/>
        <v>1333295.3369040345</v>
      </c>
      <c r="AQ65" s="285">
        <f t="shared" si="11"/>
        <v>1378322.8666879598</v>
      </c>
      <c r="AR65" s="285">
        <f t="shared" si="11"/>
        <v>1423417.8915742063</v>
      </c>
      <c r="AS65" s="285">
        <f t="shared" si="11"/>
        <v>1470285.7901849977</v>
      </c>
      <c r="AT65" s="285">
        <f t="shared" si="11"/>
        <v>1518722.5881824882</v>
      </c>
      <c r="AU65" s="285">
        <f t="shared" si="11"/>
        <v>1564082.5881824882</v>
      </c>
      <c r="AV65" s="285">
        <f t="shared" si="11"/>
        <v>1609442.5881824882</v>
      </c>
      <c r="AW65" s="285">
        <f t="shared" si="11"/>
        <v>1654802.5881824882</v>
      </c>
    </row>
    <row r="66" spans="1:49" ht="13.5" thickTop="1" x14ac:dyDescent="0.3">
      <c r="A66" s="243" t="s">
        <v>245</v>
      </c>
      <c r="B66" s="253">
        <v>629660</v>
      </c>
      <c r="C66" s="253">
        <v>508987</v>
      </c>
      <c r="D66" s="253">
        <v>602383</v>
      </c>
      <c r="E66" s="253">
        <v>683861</v>
      </c>
      <c r="F66" s="253">
        <v>775378</v>
      </c>
      <c r="G66" s="253">
        <f>611542+N72</f>
        <v>709961</v>
      </c>
      <c r="H66" s="314">
        <f>606025+N73+47969</f>
        <v>752413</v>
      </c>
      <c r="I66" s="314">
        <f>625542.84+N74</f>
        <v>723961.84</v>
      </c>
      <c r="J66" s="314">
        <f>606398+N75</f>
        <v>704817</v>
      </c>
      <c r="K66" s="272">
        <f>1113905.74+N76</f>
        <v>1212324.74</v>
      </c>
      <c r="L66" s="272">
        <f>700671.81+N77</f>
        <v>799090.81</v>
      </c>
      <c r="M66" s="272">
        <f>570100+N78</f>
        <v>668519</v>
      </c>
      <c r="N66" s="1176">
        <v>378852.61</v>
      </c>
      <c r="O66" s="1176">
        <v>573176.97</v>
      </c>
      <c r="P66" s="1176">
        <v>584227.77</v>
      </c>
      <c r="Q66" s="1176">
        <v>591240.21</v>
      </c>
      <c r="R66" s="1176">
        <v>618613.79</v>
      </c>
      <c r="S66" s="1176">
        <v>592260.09</v>
      </c>
      <c r="T66" s="1176">
        <v>645870.03</v>
      </c>
      <c r="U66" s="1176">
        <v>603169.39</v>
      </c>
      <c r="V66" s="1176">
        <v>677738.81</v>
      </c>
      <c r="W66" s="1176">
        <v>776904.11</v>
      </c>
      <c r="X66" s="1176">
        <v>669249.81000000006</v>
      </c>
      <c r="Y66" s="1176">
        <v>781138.79</v>
      </c>
    </row>
    <row r="67" spans="1:49" s="262" customFormat="1" ht="15" thickBot="1" x14ac:dyDescent="0.4">
      <c r="B67" s="262" t="s">
        <v>246</v>
      </c>
    </row>
    <row r="68" spans="1:49" x14ac:dyDescent="0.3">
      <c r="A68" s="243" t="s">
        <v>339</v>
      </c>
      <c r="B68" s="253">
        <f>B66/31</f>
        <v>20311.612903225807</v>
      </c>
      <c r="C68" s="253">
        <f>C66/29</f>
        <v>17551.275862068964</v>
      </c>
      <c r="D68" s="253">
        <f>D66/31</f>
        <v>19431.709677419356</v>
      </c>
      <c r="E68" s="253">
        <f>E66/30</f>
        <v>22795.366666666665</v>
      </c>
      <c r="F68" s="253">
        <f>F66/31</f>
        <v>25012.193548387098</v>
      </c>
      <c r="G68" s="253">
        <f>G66/30</f>
        <v>23665.366666666665</v>
      </c>
      <c r="H68" s="253">
        <f>H65/31</f>
        <v>24271.387096774193</v>
      </c>
      <c r="I68" s="253">
        <f>I65/31</f>
        <v>23353.607741935484</v>
      </c>
      <c r="J68" s="253">
        <f>J65/30</f>
        <v>23493.9</v>
      </c>
      <c r="K68" s="253">
        <f>K65/31</f>
        <v>39107.249677419357</v>
      </c>
      <c r="L68" s="253">
        <f>L65/30</f>
        <v>17609.783812426689</v>
      </c>
      <c r="M68" s="253">
        <f>M65/31</f>
        <v>17851.964945820058</v>
      </c>
      <c r="N68" s="253">
        <f>N65/31</f>
        <v>19635.471918156167</v>
      </c>
      <c r="O68" s="253">
        <f>O65/28</f>
        <v>22048.731863093646</v>
      </c>
      <c r="P68" s="253">
        <f>P65/31</f>
        <v>20018.606642355178</v>
      </c>
      <c r="Q68" s="253">
        <f>Q65/30</f>
        <v>18484.782969237844</v>
      </c>
      <c r="R68" s="253">
        <f>R65/31</f>
        <v>17941.389266020986</v>
      </c>
      <c r="S68" s="253">
        <f>S65/30</f>
        <v>18599.084663715712</v>
      </c>
      <c r="T68" s="253">
        <f>T65/31</f>
        <v>18595.89035049294</v>
      </c>
      <c r="U68" s="253">
        <f>U65/31</f>
        <v>19312.088249262601</v>
      </c>
      <c r="V68" s="253">
        <f>V65/30</f>
        <v>20480.126361656239</v>
      </c>
      <c r="W68" s="253">
        <f>W65/31</f>
        <v>20111.926088416261</v>
      </c>
      <c r="X68" s="253">
        <f>X65/30</f>
        <v>20816.166976861194</v>
      </c>
      <c r="Y68" s="253">
        <f>Y65/31</f>
        <v>20381.772153814705</v>
      </c>
    </row>
    <row r="69" spans="1:49" x14ac:dyDescent="0.3">
      <c r="D69" s="245"/>
      <c r="N69" s="243" t="s">
        <v>288</v>
      </c>
    </row>
    <row r="70" spans="1:49" x14ac:dyDescent="0.3">
      <c r="A70" s="253"/>
      <c r="B70" s="253"/>
      <c r="D70" s="245"/>
      <c r="F70" s="272"/>
      <c r="M70" s="278">
        <v>41000</v>
      </c>
      <c r="N70" s="272">
        <v>74115</v>
      </c>
    </row>
    <row r="71" spans="1:49" ht="14.5" x14ac:dyDescent="0.35">
      <c r="B71" s="248"/>
      <c r="I71" s="276"/>
      <c r="L71" s="173"/>
      <c r="M71" s="278">
        <v>41030</v>
      </c>
      <c r="N71" s="272">
        <v>86267</v>
      </c>
    </row>
    <row r="72" spans="1:49" ht="14.5" x14ac:dyDescent="0.35">
      <c r="I72" s="268"/>
      <c r="L72" s="173"/>
      <c r="M72" s="278">
        <v>41061</v>
      </c>
      <c r="N72" s="272">
        <v>98419</v>
      </c>
      <c r="O72" s="272"/>
      <c r="S72" s="243" t="s">
        <v>506</v>
      </c>
      <c r="Y72" s="641" t="s">
        <v>812</v>
      </c>
      <c r="Z72" s="647">
        <v>125000</v>
      </c>
    </row>
    <row r="73" spans="1:49" ht="14.5" x14ac:dyDescent="0.35">
      <c r="L73" s="173"/>
      <c r="M73" s="278">
        <v>41091</v>
      </c>
      <c r="N73" s="272">
        <v>98419</v>
      </c>
      <c r="S73" s="313" t="s">
        <v>507</v>
      </c>
      <c r="T73" s="313" t="s">
        <v>508</v>
      </c>
      <c r="V73" s="418"/>
    </row>
    <row r="74" spans="1:49" ht="14.5" x14ac:dyDescent="0.35">
      <c r="B74" s="248"/>
      <c r="C74" s="248"/>
      <c r="D74" s="248"/>
      <c r="E74" s="248"/>
      <c r="F74" s="248"/>
      <c r="L74" s="173"/>
      <c r="M74" s="278">
        <v>41122</v>
      </c>
      <c r="N74" s="272">
        <v>98419</v>
      </c>
      <c r="O74" s="313">
        <v>571710.53</v>
      </c>
      <c r="P74" s="243">
        <v>10905.85</v>
      </c>
      <c r="Q74" s="272">
        <f>SUM(N74:P74)</f>
        <v>681035.38</v>
      </c>
      <c r="S74" s="252">
        <v>916810.4</v>
      </c>
      <c r="T74" s="252">
        <f>S74/12</f>
        <v>76400.866666666669</v>
      </c>
    </row>
    <row r="75" spans="1:49" x14ac:dyDescent="0.3">
      <c r="B75" s="245"/>
      <c r="C75" s="245"/>
      <c r="D75" s="245"/>
      <c r="E75" s="245"/>
      <c r="F75" s="245"/>
      <c r="H75" s="243" t="s">
        <v>289</v>
      </c>
      <c r="I75" s="243">
        <v>4641</v>
      </c>
      <c r="J75" s="243">
        <f>I75*I77*I76</f>
        <v>439948.23599999998</v>
      </c>
      <c r="M75" s="278">
        <v>41153</v>
      </c>
      <c r="N75" s="272">
        <v>98419</v>
      </c>
      <c r="O75" s="313">
        <v>566625.6</v>
      </c>
      <c r="P75" s="313">
        <v>67432.570000000007</v>
      </c>
      <c r="Q75" s="272">
        <f>SUM(N75:P75)</f>
        <v>732477.16999999993</v>
      </c>
      <c r="R75" s="243" t="s">
        <v>362</v>
      </c>
      <c r="S75" s="27"/>
      <c r="T75" s="27"/>
    </row>
    <row r="76" spans="1:49" x14ac:dyDescent="0.3">
      <c r="H76" s="243" t="s">
        <v>285</v>
      </c>
      <c r="I76" s="243">
        <v>5.1999999999999998E-2</v>
      </c>
      <c r="M76" s="278">
        <v>41183</v>
      </c>
      <c r="N76" s="272">
        <v>98419</v>
      </c>
    </row>
    <row r="77" spans="1:49" x14ac:dyDescent="0.3">
      <c r="H77" s="243" t="s">
        <v>284</v>
      </c>
      <c r="I77" s="243">
        <v>1823</v>
      </c>
      <c r="M77" s="278">
        <v>41214</v>
      </c>
      <c r="N77" s="272">
        <v>98419</v>
      </c>
    </row>
    <row r="78" spans="1:49" x14ac:dyDescent="0.3">
      <c r="H78" s="243" t="s">
        <v>283</v>
      </c>
      <c r="I78" s="243">
        <v>5256</v>
      </c>
      <c r="M78" s="278">
        <v>41244</v>
      </c>
      <c r="N78" s="272">
        <v>98419</v>
      </c>
    </row>
    <row r="79" spans="1:49" x14ac:dyDescent="0.3">
      <c r="H79" s="243" t="s">
        <v>282</v>
      </c>
      <c r="I79" s="243">
        <v>1500</v>
      </c>
      <c r="M79" s="278">
        <v>41275</v>
      </c>
      <c r="N79" s="272">
        <v>98419</v>
      </c>
    </row>
    <row r="80" spans="1:49" x14ac:dyDescent="0.3">
      <c r="I80" s="243">
        <f>I78-I79</f>
        <v>3756</v>
      </c>
      <c r="J80" s="248">
        <f>I80*I77</f>
        <v>6847188</v>
      </c>
      <c r="K80" s="253">
        <f>J80*I76</f>
        <v>356053.77600000001</v>
      </c>
      <c r="L80" s="254">
        <f>K80/24</f>
        <v>14835.574000000001</v>
      </c>
      <c r="M80" s="278">
        <v>41306</v>
      </c>
      <c r="N80" s="272">
        <v>98419</v>
      </c>
    </row>
    <row r="81" spans="2:15" x14ac:dyDescent="0.3">
      <c r="C81" s="243" t="s">
        <v>247</v>
      </c>
      <c r="J81" s="243">
        <v>14442781</v>
      </c>
      <c r="K81" s="243">
        <v>629660</v>
      </c>
      <c r="M81" s="278">
        <v>41334</v>
      </c>
      <c r="N81" s="272">
        <v>98419</v>
      </c>
    </row>
    <row r="82" spans="2:15" ht="15" thickBot="1" x14ac:dyDescent="0.4">
      <c r="C82">
        <v>2009</v>
      </c>
      <c r="D82"/>
      <c r="E82">
        <v>2010</v>
      </c>
      <c r="F82"/>
      <c r="G82">
        <v>2011</v>
      </c>
      <c r="J82" s="243">
        <f>K81/J81</f>
        <v>4.3596866836103101E-2</v>
      </c>
      <c r="M82" s="278">
        <v>41365</v>
      </c>
      <c r="N82" s="272">
        <v>24304</v>
      </c>
    </row>
    <row r="83" spans="2:15" x14ac:dyDescent="0.3">
      <c r="B83" s="243" t="s">
        <v>217</v>
      </c>
      <c r="C83" s="263">
        <v>816346.74</v>
      </c>
      <c r="D83" s="264"/>
      <c r="E83" s="263">
        <v>1271809.18</v>
      </c>
      <c r="F83" s="264"/>
      <c r="G83" s="263">
        <v>1607307.55</v>
      </c>
      <c r="J83" s="243">
        <f>J81/I77</f>
        <v>7922.5348326933627</v>
      </c>
      <c r="M83" s="278">
        <v>41395</v>
      </c>
      <c r="N83" s="272">
        <v>12152</v>
      </c>
    </row>
    <row r="84" spans="2:15" x14ac:dyDescent="0.3">
      <c r="B84" s="243" t="s">
        <v>249</v>
      </c>
      <c r="C84" s="248">
        <v>84442638</v>
      </c>
      <c r="E84" s="243">
        <v>152590837</v>
      </c>
      <c r="G84" s="243">
        <v>179158494</v>
      </c>
      <c r="M84" s="278" t="s">
        <v>50</v>
      </c>
      <c r="N84" s="272">
        <f>SUM(N70:N83)</f>
        <v>1181028</v>
      </c>
      <c r="O84" s="272">
        <f>N84-N71</f>
        <v>1094761</v>
      </c>
    </row>
    <row r="85" spans="2:15" x14ac:dyDescent="0.3">
      <c r="B85" s="243" t="s">
        <v>248</v>
      </c>
      <c r="C85" s="265">
        <f>C83/C84</f>
        <v>9.6674708338694952E-3</v>
      </c>
      <c r="E85" s="265">
        <f>E83/E84</f>
        <v>8.3347677029912345E-3</v>
      </c>
      <c r="G85" s="265">
        <f>G83/G84</f>
        <v>8.9714281143711775E-3</v>
      </c>
      <c r="N85" s="272">
        <f>N84-292000</f>
        <v>889028</v>
      </c>
    </row>
    <row r="86" spans="2:15" x14ac:dyDescent="0.3">
      <c r="N86" s="272">
        <f>N85-N71+N70</f>
        <v>876876</v>
      </c>
    </row>
    <row r="87" spans="2:15" x14ac:dyDescent="0.3">
      <c r="C87" s="243">
        <v>3.85E-2</v>
      </c>
      <c r="E87" s="243">
        <v>3.85E-2</v>
      </c>
      <c r="G87" s="243">
        <v>3.85E-2</v>
      </c>
    </row>
    <row r="88" spans="2:15" x14ac:dyDescent="0.3">
      <c r="C88" s="266">
        <f>C85/C87</f>
        <v>0.25110313854206484</v>
      </c>
      <c r="D88" s="267"/>
      <c r="E88" s="266">
        <f>E85/E87</f>
        <v>0.21648747280496713</v>
      </c>
      <c r="F88" s="267"/>
      <c r="G88" s="266">
        <f>G85/G87</f>
        <v>0.23302410686678385</v>
      </c>
      <c r="J88" s="243">
        <v>544058</v>
      </c>
    </row>
    <row r="89" spans="2:15" x14ac:dyDescent="0.3">
      <c r="J89" s="243">
        <v>5998726</v>
      </c>
    </row>
    <row r="90" spans="2:15" x14ac:dyDescent="0.3">
      <c r="J90" s="243">
        <f>SUM(J88:J89)</f>
        <v>6542784</v>
      </c>
    </row>
    <row r="95" spans="2:15" x14ac:dyDescent="0.3">
      <c r="F95" s="253"/>
    </row>
    <row r="96" spans="2:15" x14ac:dyDescent="0.3">
      <c r="F96" s="253"/>
    </row>
    <row r="97" spans="2:6" x14ac:dyDescent="0.3">
      <c r="F97" s="253"/>
    </row>
    <row r="98" spans="2:6" x14ac:dyDescent="0.3">
      <c r="F98" s="253"/>
    </row>
    <row r="99" spans="2:6" x14ac:dyDescent="0.3">
      <c r="F99" s="253"/>
    </row>
    <row r="100" spans="2:6" x14ac:dyDescent="0.3">
      <c r="F100" s="253"/>
    </row>
    <row r="101" spans="2:6" x14ac:dyDescent="0.3">
      <c r="F101" s="253"/>
    </row>
    <row r="102" spans="2:6" x14ac:dyDescent="0.3">
      <c r="F102" s="253"/>
    </row>
    <row r="103" spans="2:6" x14ac:dyDescent="0.3">
      <c r="F103" s="253"/>
    </row>
    <row r="104" spans="2:6" x14ac:dyDescent="0.3">
      <c r="F104" s="253"/>
    </row>
    <row r="105" spans="2:6" x14ac:dyDescent="0.3">
      <c r="B105" s="243" t="s">
        <v>452</v>
      </c>
      <c r="F105" s="253"/>
    </row>
    <row r="106" spans="2:6" x14ac:dyDescent="0.3">
      <c r="F106" s="253"/>
    </row>
    <row r="107" spans="2:6" x14ac:dyDescent="0.3">
      <c r="B107" s="243" t="s">
        <v>453</v>
      </c>
    </row>
  </sheetData>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rgb="FFFFFF00"/>
  </sheetPr>
  <dimension ref="A1:AW103"/>
  <sheetViews>
    <sheetView zoomScaleNormal="100" workbookViewId="0">
      <pane xSplit="1" ySplit="4" topLeftCell="J5" activePane="bottomRight" state="frozenSplit"/>
      <selection pane="topRight" activeCell="B1" sqref="B1"/>
      <selection pane="bottomLeft" activeCell="A2" sqref="A2"/>
      <selection pane="bottomRight" activeCell="P56" sqref="P56"/>
    </sheetView>
  </sheetViews>
  <sheetFormatPr defaultColWidth="9.1796875" defaultRowHeight="13" x14ac:dyDescent="0.3"/>
  <cols>
    <col min="1" max="1" width="25" style="313" bestFit="1" customWidth="1"/>
    <col min="2" max="2" width="23.7265625" style="313" bestFit="1" customWidth="1"/>
    <col min="3" max="16" width="13.81640625" style="313" bestFit="1" customWidth="1"/>
    <col min="17" max="17" width="14.81640625" style="313" bestFit="1" customWidth="1"/>
    <col min="18" max="24" width="13.81640625" style="313" bestFit="1" customWidth="1"/>
    <col min="25" max="37" width="14.54296875" style="313" bestFit="1" customWidth="1"/>
    <col min="38" max="49" width="9.54296875" style="313" bestFit="1" customWidth="1"/>
    <col min="50" max="16384" width="9.1796875" style="313"/>
  </cols>
  <sheetData>
    <row r="1" spans="1:49" ht="18.5" thickBot="1" x14ac:dyDescent="0.45">
      <c r="A1" s="88" t="str">
        <f>Sensativities!B4</f>
        <v>CallFire</v>
      </c>
    </row>
    <row r="2" spans="1:49" x14ac:dyDescent="0.3">
      <c r="A2" s="247"/>
      <c r="B2" s="245"/>
      <c r="C2" s="245"/>
      <c r="D2" s="245"/>
      <c r="E2" s="245"/>
      <c r="F2" s="245"/>
      <c r="G2" s="245"/>
    </row>
    <row r="3" spans="1:49" ht="15.5" x14ac:dyDescent="0.35">
      <c r="A3" s="93" t="s">
        <v>70</v>
      </c>
    </row>
    <row r="4" spans="1:49" x14ac:dyDescent="0.3">
      <c r="B4" s="244">
        <f>Sensativities!D2</f>
        <v>40909</v>
      </c>
      <c r="C4" s="244">
        <f>Sensativities!E2</f>
        <v>40940</v>
      </c>
      <c r="D4" s="244">
        <f>Sensativities!F2</f>
        <v>40969</v>
      </c>
      <c r="E4" s="244">
        <f>Sensativities!G2</f>
        <v>41000</v>
      </c>
      <c r="F4" s="244">
        <f>Sensativities!H2</f>
        <v>41030</v>
      </c>
      <c r="G4" s="244">
        <f>Sensativities!I2</f>
        <v>41061</v>
      </c>
      <c r="H4" s="244">
        <f>Sensativities!J2</f>
        <v>41091</v>
      </c>
      <c r="I4" s="244">
        <f>Sensativities!K2</f>
        <v>41122</v>
      </c>
      <c r="J4" s="244">
        <f>Sensativities!L2</f>
        <v>41153</v>
      </c>
      <c r="K4" s="244">
        <f>Sensativities!M2</f>
        <v>41183</v>
      </c>
      <c r="L4" s="244">
        <f>Sensativities!N2</f>
        <v>41214</v>
      </c>
      <c r="M4" s="244">
        <f>Sensativities!O2</f>
        <v>41244</v>
      </c>
      <c r="N4" s="244">
        <f>Sensativities!P2</f>
        <v>41275</v>
      </c>
      <c r="O4" s="244">
        <f>Sensativities!Q2</f>
        <v>41306</v>
      </c>
      <c r="P4" s="244">
        <f>Sensativities!R2</f>
        <v>41334</v>
      </c>
      <c r="Q4" s="244">
        <f>Sensativities!S2</f>
        <v>41365</v>
      </c>
      <c r="R4" s="244">
        <f>Sensativities!T2</f>
        <v>41395</v>
      </c>
      <c r="S4" s="244">
        <f>Sensativities!U2</f>
        <v>41426</v>
      </c>
      <c r="T4" s="244">
        <f>Sensativities!V2</f>
        <v>41456</v>
      </c>
      <c r="U4" s="244">
        <f>Sensativities!W2</f>
        <v>41487</v>
      </c>
      <c r="V4" s="244">
        <f>Sensativities!X2</f>
        <v>41518</v>
      </c>
      <c r="W4" s="244">
        <f>Sensativities!Y2</f>
        <v>41548</v>
      </c>
      <c r="X4" s="244">
        <f>Sensativities!Z2</f>
        <v>41579</v>
      </c>
      <c r="Y4" s="244">
        <f>Sensativities!AA2</f>
        <v>41609</v>
      </c>
      <c r="Z4" s="244">
        <f>Sensativities!AB2</f>
        <v>41640</v>
      </c>
      <c r="AA4" s="244">
        <f>Sensativities!AC2</f>
        <v>41671</v>
      </c>
      <c r="AB4" s="244">
        <f>Sensativities!AD2</f>
        <v>41699</v>
      </c>
      <c r="AC4" s="244">
        <f>Sensativities!AE2</f>
        <v>41730</v>
      </c>
      <c r="AD4" s="244">
        <f>Sensativities!AF2</f>
        <v>41760</v>
      </c>
      <c r="AE4" s="244">
        <f>Sensativities!AG2</f>
        <v>41791</v>
      </c>
      <c r="AF4" s="244">
        <f>Sensativities!AH2</f>
        <v>41821</v>
      </c>
      <c r="AG4" s="244">
        <f>Sensativities!AI2</f>
        <v>41852</v>
      </c>
      <c r="AH4" s="244">
        <f>Sensativities!AJ2</f>
        <v>41883</v>
      </c>
      <c r="AI4" s="244">
        <f>Sensativities!AK2</f>
        <v>41913</v>
      </c>
      <c r="AJ4" s="244">
        <f>Sensativities!AL2</f>
        <v>41944</v>
      </c>
      <c r="AK4" s="244">
        <f>Sensativities!AM2</f>
        <v>41974</v>
      </c>
      <c r="AL4" s="244">
        <f>Sensativities!AN2</f>
        <v>42005</v>
      </c>
      <c r="AM4" s="244">
        <f>Sensativities!AO2</f>
        <v>42036</v>
      </c>
      <c r="AN4" s="244">
        <f>Sensativities!AP2</f>
        <v>42064</v>
      </c>
      <c r="AO4" s="244">
        <f>Sensativities!AQ2</f>
        <v>42095</v>
      </c>
      <c r="AP4" s="244">
        <f>Sensativities!AR2</f>
        <v>42125</v>
      </c>
      <c r="AQ4" s="244">
        <f>Sensativities!AS2</f>
        <v>42156</v>
      </c>
      <c r="AR4" s="244">
        <f>Sensativities!AT2</f>
        <v>42186</v>
      </c>
      <c r="AS4" s="244">
        <f>Sensativities!AU2</f>
        <v>42217</v>
      </c>
      <c r="AT4" s="244">
        <f>Sensativities!AV2</f>
        <v>42248</v>
      </c>
      <c r="AU4" s="244">
        <f>Sensativities!AW2</f>
        <v>42278</v>
      </c>
      <c r="AV4" s="244">
        <f>Sensativities!AX2</f>
        <v>42309</v>
      </c>
      <c r="AW4" s="244">
        <f>Sensativities!AY2</f>
        <v>42339</v>
      </c>
    </row>
    <row r="5" spans="1:49" x14ac:dyDescent="0.3">
      <c r="B5" s="261" t="s">
        <v>245</v>
      </c>
      <c r="C5" s="261" t="s">
        <v>245</v>
      </c>
      <c r="D5" s="261" t="s">
        <v>245</v>
      </c>
      <c r="E5" s="261" t="s">
        <v>245</v>
      </c>
      <c r="F5" s="261" t="s">
        <v>245</v>
      </c>
      <c r="G5" s="261" t="s">
        <v>245</v>
      </c>
      <c r="H5" s="261" t="s">
        <v>245</v>
      </c>
      <c r="I5" s="261" t="s">
        <v>245</v>
      </c>
      <c r="J5" s="261" t="s">
        <v>245</v>
      </c>
      <c r="K5" s="261" t="s">
        <v>245</v>
      </c>
      <c r="L5" s="261" t="s">
        <v>245</v>
      </c>
      <c r="M5" s="261" t="s">
        <v>245</v>
      </c>
      <c r="N5" s="261" t="s">
        <v>245</v>
      </c>
      <c r="O5" s="261" t="s">
        <v>245</v>
      </c>
      <c r="P5" s="261" t="s">
        <v>245</v>
      </c>
      <c r="Q5" s="261" t="s">
        <v>245</v>
      </c>
      <c r="R5" s="261" t="s">
        <v>245</v>
      </c>
      <c r="S5" s="261" t="s">
        <v>245</v>
      </c>
      <c r="T5" s="261" t="s">
        <v>245</v>
      </c>
      <c r="U5" s="261" t="s">
        <v>245</v>
      </c>
      <c r="V5" s="261" t="s">
        <v>245</v>
      </c>
      <c r="W5" s="261" t="s">
        <v>245</v>
      </c>
      <c r="X5" s="261" t="s">
        <v>245</v>
      </c>
      <c r="Y5" s="261" t="s">
        <v>245</v>
      </c>
      <c r="Z5" s="261" t="s">
        <v>245</v>
      </c>
    </row>
    <row r="6" spans="1:49" ht="14.5" x14ac:dyDescent="0.35">
      <c r="A6" s="313" t="s">
        <v>71</v>
      </c>
      <c r="B6" s="574">
        <v>289</v>
      </c>
      <c r="C6" s="574">
        <v>261</v>
      </c>
      <c r="D6" s="574">
        <v>284</v>
      </c>
      <c r="E6" s="574">
        <v>274</v>
      </c>
      <c r="F6" s="574">
        <v>266</v>
      </c>
      <c r="G6" s="574">
        <v>253</v>
      </c>
      <c r="H6" s="574">
        <v>237</v>
      </c>
      <c r="I6" s="574">
        <v>258</v>
      </c>
      <c r="J6" s="574">
        <v>290</v>
      </c>
      <c r="K6" s="574">
        <v>329</v>
      </c>
      <c r="L6" s="574">
        <v>281</v>
      </c>
      <c r="M6" s="574">
        <v>234</v>
      </c>
      <c r="N6" s="574">
        <v>319</v>
      </c>
      <c r="O6" s="574">
        <v>315</v>
      </c>
      <c r="P6" s="574">
        <v>315</v>
      </c>
      <c r="Q6" s="574">
        <v>325</v>
      </c>
      <c r="R6" s="574">
        <v>311</v>
      </c>
      <c r="S6" s="574">
        <v>343</v>
      </c>
      <c r="T6" s="574">
        <v>276</v>
      </c>
      <c r="U6" s="574">
        <v>367</v>
      </c>
      <c r="V6" s="574">
        <v>426</v>
      </c>
      <c r="W6" s="574">
        <v>467</v>
      </c>
      <c r="X6" s="574">
        <v>406</v>
      </c>
      <c r="Y6" s="574">
        <v>428</v>
      </c>
      <c r="Z6" s="574">
        <v>505</v>
      </c>
      <c r="AA6" s="245">
        <f>('CAC Update'!AD50)*(1-Sensativities!$B$53)*(Sensativities!$B$59)</f>
        <v>419.39331758353023</v>
      </c>
      <c r="AB6" s="245">
        <f>('CAC Update'!AE50)*(1-Sensativities!$B$53)*(Sensativities!$B$59)</f>
        <v>373.86</v>
      </c>
      <c r="AC6" s="245">
        <f>('CAC Update'!AF50)*(1-Sensativities!$B$53)*(Sensativities!$B$59)</f>
        <v>519.15428571428561</v>
      </c>
      <c r="AD6" s="245">
        <f>('CAC Update'!AG50)*(1-Sensativities!$B$53)*(Sensativities!$B$59)</f>
        <v>523.74857142857127</v>
      </c>
      <c r="AE6" s="245">
        <f>('CAC Update'!AH50)*(1-Sensativities!$B$53)*(Sensativities!$B$59)</f>
        <v>459.42857142857133</v>
      </c>
      <c r="AF6" s="245">
        <f>('CAC Update'!AI50)*(1-Sensativities!$B$53)*(Sensativities!$B$59)</f>
        <v>413.48571428571432</v>
      </c>
      <c r="AG6" s="245">
        <f>('CAC Update'!AJ50)*(1-Sensativities!$B$53)*(Sensativities!$B$59)</f>
        <v>367.54285714285709</v>
      </c>
      <c r="AH6" s="245">
        <f>('CAC Update'!AK50)*(1-Sensativities!$B$53)*(Sensativities!$B$59)</f>
        <v>367.54285714285709</v>
      </c>
      <c r="AI6" s="245">
        <f>('CAC Update'!AL50)*(1-Sensativities!$B$53)*(Sensativities!$B$59)</f>
        <v>542.69999999999993</v>
      </c>
      <c r="AJ6" s="245">
        <f>('CAC Update'!AM50)*(1-Sensativities!$B$53)*(Sensativities!$B$59)</f>
        <v>542.69999999999993</v>
      </c>
      <c r="AK6" s="245">
        <f>('CAC Update'!AN50)*(1-Sensativities!$B$53)*(Sensativities!$B$59)</f>
        <v>542.69999999999993</v>
      </c>
      <c r="AL6" s="245">
        <f>('CAC Update'!AO50)*(1-Sensativities!$B$53)*(Sensativities!$B$59)</f>
        <v>542.69999999999993</v>
      </c>
      <c r="AM6" s="245">
        <f>('CAC Update'!AP50)*(1-Sensativities!$B$53)*(Sensativities!$B$59)</f>
        <v>542.69999999999993</v>
      </c>
      <c r="AN6" s="245">
        <f>('CAC Update'!AQ50)*(1-Sensativities!$B$53)*(Sensativities!$B$59)</f>
        <v>542.69999999999993</v>
      </c>
      <c r="AO6" s="245">
        <f>('CAC Update'!AR50)*(1-Sensativities!$B$53)*(Sensativities!$B$59)</f>
        <v>542.69999999999993</v>
      </c>
      <c r="AP6" s="245">
        <f>('CAC Update'!AS50)*(1-Sensativities!$B$53)*(Sensativities!$B$59)</f>
        <v>542.69999999999993</v>
      </c>
      <c r="AQ6" s="245">
        <f>('CAC Update'!AT50)*(1-Sensativities!$B$53)*(Sensativities!$B$59)</f>
        <v>542.69999999999993</v>
      </c>
      <c r="AR6" s="245">
        <f>('CAC Update'!AU50)*(1-Sensativities!$B$53)*(Sensativities!$B$59)</f>
        <v>542.69999999999993</v>
      </c>
      <c r="AS6" s="245">
        <f>('CAC Update'!AV50)*(1-Sensativities!$B$53)*(Sensativities!$B$59)</f>
        <v>542.69999999999993</v>
      </c>
      <c r="AT6" s="245">
        <f>('CAC Update'!AW50)*(1-Sensativities!$B$53)*(Sensativities!$B$59)</f>
        <v>542.69999999999993</v>
      </c>
      <c r="AU6" s="245">
        <f>('CAC Update'!AX50)*(1-Sensativities!$B$53)*(Sensativities!$B$59)</f>
        <v>542.69999999999993</v>
      </c>
      <c r="AV6" s="245">
        <f>('CAC Update'!AY50)*(1-Sensativities!$B$53)*(Sensativities!$B$59)</f>
        <v>542.69999999999993</v>
      </c>
      <c r="AW6" s="245">
        <f>('CAC Update'!AZ50)*(1-Sensativities!$B$53)*(Sensativities!$B$59)</f>
        <v>542.69999999999993</v>
      </c>
    </row>
    <row r="7" spans="1:49" x14ac:dyDescent="0.3">
      <c r="B7" s="248"/>
      <c r="C7" s="248"/>
      <c r="D7" s="248"/>
      <c r="E7" s="248"/>
      <c r="F7" s="248"/>
      <c r="G7" s="248"/>
      <c r="H7" s="248"/>
      <c r="I7" s="248"/>
      <c r="J7" s="248"/>
      <c r="K7" s="248"/>
      <c r="L7" s="248"/>
      <c r="M7" s="248"/>
      <c r="N7" s="248"/>
      <c r="O7" s="248"/>
      <c r="P7" s="248"/>
      <c r="Q7" s="248"/>
      <c r="R7" s="248"/>
      <c r="S7" s="248"/>
      <c r="T7" s="248"/>
      <c r="U7" s="248"/>
      <c r="V7" s="248"/>
      <c r="W7" s="248"/>
      <c r="X7" s="248"/>
      <c r="Y7" s="248"/>
      <c r="Z7" s="248"/>
      <c r="AA7" s="248"/>
      <c r="AB7" s="248"/>
      <c r="AC7" s="248"/>
      <c r="AD7" s="248"/>
      <c r="AE7" s="248"/>
      <c r="AF7" s="248"/>
      <c r="AG7" s="248"/>
      <c r="AH7" s="248"/>
      <c r="AI7" s="248"/>
      <c r="AJ7" s="248"/>
      <c r="AK7" s="248"/>
    </row>
    <row r="9" spans="1:49" ht="14.5" x14ac:dyDescent="0.35">
      <c r="A9" s="641"/>
      <c r="B9" s="574"/>
      <c r="C9" s="574"/>
      <c r="D9" s="574"/>
      <c r="E9" s="574"/>
      <c r="F9" s="574"/>
      <c r="G9" s="574"/>
      <c r="H9" s="574"/>
      <c r="I9" s="574"/>
      <c r="J9" s="574"/>
      <c r="K9" s="574"/>
      <c r="L9" s="574"/>
      <c r="M9" s="574"/>
      <c r="N9" s="574"/>
      <c r="O9" s="574"/>
      <c r="P9" s="574"/>
      <c r="Q9" s="574"/>
      <c r="R9" s="574"/>
      <c r="S9" s="574"/>
      <c r="T9" s="574"/>
      <c r="U9" s="574"/>
      <c r="V9" s="574"/>
      <c r="W9" s="574"/>
    </row>
    <row r="10" spans="1:49" x14ac:dyDescent="0.3">
      <c r="B10" s="314"/>
      <c r="C10" s="314"/>
      <c r="D10" s="314"/>
      <c r="E10" s="314"/>
      <c r="F10" s="314"/>
      <c r="G10" s="314"/>
      <c r="H10" s="314"/>
      <c r="I10" s="314"/>
      <c r="J10" s="314"/>
      <c r="K10" s="314"/>
      <c r="L10" s="314"/>
      <c r="M10" s="314"/>
      <c r="N10" s="314"/>
      <c r="O10" s="314"/>
      <c r="P10" s="314"/>
      <c r="Q10" s="314"/>
      <c r="R10" s="314"/>
      <c r="S10" s="314"/>
      <c r="T10" s="314"/>
      <c r="U10" s="314"/>
      <c r="V10" s="314"/>
      <c r="W10" s="314"/>
      <c r="X10" s="314"/>
      <c r="Y10" s="314"/>
      <c r="Z10" s="314"/>
      <c r="AA10" s="314"/>
      <c r="AB10" s="314"/>
      <c r="AC10" s="314"/>
      <c r="AD10" s="314"/>
      <c r="AE10" s="314"/>
      <c r="AF10" s="314"/>
      <c r="AG10" s="314"/>
      <c r="AH10" s="314"/>
      <c r="AI10" s="314"/>
      <c r="AJ10" s="314"/>
      <c r="AK10" s="314"/>
    </row>
    <row r="11" spans="1:49" x14ac:dyDescent="0.3">
      <c r="B11" s="252"/>
      <c r="C11" s="252"/>
      <c r="D11" s="252"/>
      <c r="E11" s="252"/>
      <c r="F11" s="252"/>
      <c r="G11" s="252"/>
      <c r="H11" s="252"/>
      <c r="I11" s="252"/>
      <c r="J11" s="252"/>
      <c r="K11" s="252"/>
      <c r="L11" s="252"/>
      <c r="M11" s="252"/>
      <c r="N11" s="252"/>
      <c r="O11" s="252"/>
      <c r="P11" s="252"/>
      <c r="Q11" s="252"/>
      <c r="R11" s="252"/>
      <c r="S11" s="252"/>
      <c r="T11" s="252"/>
      <c r="U11" s="252"/>
      <c r="V11" s="252"/>
      <c r="W11" s="252"/>
      <c r="X11" s="252"/>
      <c r="Y11" s="252"/>
      <c r="Z11" s="314"/>
      <c r="AA11" s="314"/>
      <c r="AB11" s="314"/>
      <c r="AC11" s="314"/>
      <c r="AD11" s="314"/>
      <c r="AE11" s="314"/>
      <c r="AF11" s="314"/>
      <c r="AG11" s="314"/>
      <c r="AH11" s="314"/>
      <c r="AI11" s="314"/>
      <c r="AJ11" s="314"/>
      <c r="AK11" s="314"/>
    </row>
    <row r="12" spans="1:49" s="273" customFormat="1" x14ac:dyDescent="0.3">
      <c r="B12" s="274" t="s">
        <v>278</v>
      </c>
      <c r="C12" s="274"/>
      <c r="D12" s="274"/>
      <c r="E12" s="274"/>
      <c r="F12" s="274"/>
      <c r="G12" s="274"/>
      <c r="H12" s="274"/>
      <c r="I12" s="274"/>
      <c r="J12" s="274"/>
      <c r="K12" s="274"/>
      <c r="L12" s="274"/>
      <c r="M12" s="274"/>
      <c r="N12" s="274"/>
      <c r="O12" s="274"/>
      <c r="P12" s="274"/>
      <c r="Q12" s="274"/>
      <c r="R12" s="274"/>
      <c r="S12" s="274"/>
      <c r="T12" s="274"/>
      <c r="U12" s="274"/>
      <c r="V12" s="274"/>
      <c r="W12" s="274"/>
      <c r="X12" s="274"/>
      <c r="Y12" s="274"/>
      <c r="Z12" s="275"/>
      <c r="AA12" s="275"/>
      <c r="AB12" s="275"/>
      <c r="AC12" s="275"/>
      <c r="AD12" s="275"/>
      <c r="AE12" s="275"/>
      <c r="AF12" s="275"/>
      <c r="AG12" s="275"/>
      <c r="AH12" s="275"/>
      <c r="AI12" s="275"/>
      <c r="AJ12" s="275"/>
      <c r="AK12" s="275"/>
    </row>
    <row r="13" spans="1:49" x14ac:dyDescent="0.3">
      <c r="A13" s="313" t="s">
        <v>277</v>
      </c>
    </row>
    <row r="14" spans="1:49" x14ac:dyDescent="0.3">
      <c r="A14" s="270" t="s">
        <v>200</v>
      </c>
      <c r="B14" s="271"/>
      <c r="C14" s="314"/>
      <c r="D14" s="314"/>
      <c r="E14" s="314"/>
      <c r="F14" s="314"/>
      <c r="G14" s="314"/>
      <c r="H14" s="314"/>
      <c r="I14" s="314"/>
      <c r="J14" s="314"/>
      <c r="K14" s="314"/>
      <c r="L14" s="314"/>
      <c r="M14" s="314"/>
      <c r="N14" s="314">
        <f>((N$6*(Sensativities!P55*Sensativities!$B$54)))</f>
        <v>35571.689999999995</v>
      </c>
      <c r="O14" s="314">
        <f>((O$6*(Sensativities!Q55*Sensativities!$B$54)))</f>
        <v>42269.85</v>
      </c>
      <c r="P14" s="314">
        <f>((P$6*(Sensativities!R55*Sensativities!$B$54)))</f>
        <v>35125.649999999994</v>
      </c>
      <c r="Q14" s="314">
        <f>((Q$6*(Sensativities!S55*Sensativities!$B$54)))</f>
        <v>36240.75</v>
      </c>
      <c r="R14" s="314">
        <f>((R$6*(Sensativities!T55*Sensativities!$B$54)))</f>
        <v>34679.61</v>
      </c>
      <c r="S14" s="314">
        <f>((S$6*(Sensativities!U55*Sensativities!$B$54)))</f>
        <v>38247.93</v>
      </c>
      <c r="T14" s="314">
        <f>((T$6*(Sensativities!V55*Sensativities!$B$54)))</f>
        <v>30776.76</v>
      </c>
      <c r="U14" s="314">
        <f>((U$6*(Sensativities!W55*Sensativities!$B$54)))</f>
        <v>40924.17</v>
      </c>
      <c r="V14" s="314">
        <f>((V$6*(Sensativities!X55*Sensativities!$B$54)))</f>
        <v>47503.259999999995</v>
      </c>
      <c r="W14" s="314">
        <f>((W$6*(Sensativities!Y55*Sensativities!$B$54)))</f>
        <v>52075.17</v>
      </c>
      <c r="X14" s="314">
        <f>((X$6*(Sensativities!Z55*Sensativities!$B$54)))</f>
        <v>45273.06</v>
      </c>
      <c r="Y14" s="314">
        <f>((Y$6*(Sensativities!AA55*Sensativities!$B$54)))</f>
        <v>47726.28</v>
      </c>
      <c r="Z14" s="314">
        <f>((Z$6*(Sensativities!AB55*Sensativities!$B$54)))</f>
        <v>56312.549999999996</v>
      </c>
      <c r="AA14" s="314">
        <f>((AA$6*(Sensativities!AC55*Sensativities!$B$54)))</f>
        <v>46766.548843739452</v>
      </c>
      <c r="AB14" s="314">
        <f>((AB$6*(Sensativities!AD55*Sensativities!$B$54)))</f>
        <v>41689.128599999996</v>
      </c>
      <c r="AC14" s="314">
        <f>((AC$6*(Sensativities!AE55*Sensativities!$B$54)))</f>
        <v>57890.894399999983</v>
      </c>
      <c r="AD14" s="314">
        <f>((AD$6*(Sensativities!AF55*Sensativities!$B$54)))</f>
        <v>58403.203199999974</v>
      </c>
      <c r="AE14" s="314">
        <f>((AE$6*(Sensativities!AG55*Sensativities!$B$54)))</f>
        <v>51230.879999999983</v>
      </c>
      <c r="AF14" s="314">
        <f>((AF$6*(Sensativities!AH55*Sensativities!$B$54)))</f>
        <v>46107.792000000001</v>
      </c>
      <c r="AG14" s="314">
        <f>((AG$6*(Sensativities!AI55*Sensativities!$B$54)))</f>
        <v>40984.703999999991</v>
      </c>
      <c r="AH14" s="314">
        <f>((AH$6*(Sensativities!AJ55*Sensativities!$B$54)))</f>
        <v>40984.703999999991</v>
      </c>
      <c r="AI14" s="314">
        <f>((AI$6*(Sensativities!AK55*Sensativities!$B$54)))</f>
        <v>60516.476999999984</v>
      </c>
      <c r="AJ14" s="314">
        <f>((AJ$6*(Sensativities!AL55*Sensativities!$B$54)))</f>
        <v>60516.476999999984</v>
      </c>
      <c r="AK14" s="314">
        <f>((AK$6*(Sensativities!AM55*Sensativities!$B$54)))</f>
        <v>60516.476999999984</v>
      </c>
      <c r="AL14" s="621">
        <f>((AL$6*(Sensativities!AN55*Sensativities!$B$54)))</f>
        <v>60516.476999999984</v>
      </c>
      <c r="AM14" s="621">
        <f>((AM$6*(Sensativities!AO55*Sensativities!$B$54)))</f>
        <v>60516.476999999984</v>
      </c>
      <c r="AN14" s="621">
        <f>((AN$6*(Sensativities!AP55*Sensativities!$B$54)))</f>
        <v>60516.476999999984</v>
      </c>
      <c r="AO14" s="621">
        <f>((AO$6*(Sensativities!AQ55*Sensativities!$B$54)))</f>
        <v>60516.476999999984</v>
      </c>
      <c r="AP14" s="621">
        <f>((AP$6*(Sensativities!AR55*Sensativities!$B$54)))</f>
        <v>60516.476999999984</v>
      </c>
      <c r="AQ14" s="621">
        <f>((AQ$6*(Sensativities!AS55*Sensativities!$B$54)))</f>
        <v>60516.476999999984</v>
      </c>
      <c r="AR14" s="621">
        <f>((AR$6*(Sensativities!AT55*Sensativities!$B$54)))</f>
        <v>60516.476999999984</v>
      </c>
      <c r="AS14" s="621">
        <f>((AS$6*(Sensativities!AU55*Sensativities!$B$54)))</f>
        <v>60516.476999999984</v>
      </c>
      <c r="AT14" s="621">
        <f>((AT$6*(Sensativities!AV55*Sensativities!$B$54)))</f>
        <v>60516.476999999984</v>
      </c>
      <c r="AU14" s="621">
        <f>((AU$6*(Sensativities!AW55*Sensativities!$B$54)))</f>
        <v>60516.476999999984</v>
      </c>
      <c r="AV14" s="621">
        <f>((AV$6*(Sensativities!AX55*Sensativities!$B$54)))</f>
        <v>60516.476999999984</v>
      </c>
      <c r="AW14" s="621">
        <f>((AW$6*(Sensativities!AY55*Sensativities!$B$54)))</f>
        <v>60516.476999999984</v>
      </c>
    </row>
    <row r="15" spans="1:49" x14ac:dyDescent="0.3">
      <c r="A15" s="313" t="s">
        <v>201</v>
      </c>
      <c r="B15" s="314"/>
      <c r="C15" s="271"/>
      <c r="D15" s="314"/>
      <c r="E15" s="314"/>
      <c r="F15" s="314"/>
      <c r="G15" s="314"/>
      <c r="H15" s="314"/>
      <c r="I15" s="314"/>
      <c r="J15" s="314"/>
      <c r="K15" s="314"/>
      <c r="L15" s="314"/>
      <c r="M15" s="314"/>
      <c r="N15" s="314"/>
      <c r="O15" s="314">
        <f>N14</f>
        <v>35571.689999999995</v>
      </c>
      <c r="P15" s="314">
        <f>O14</f>
        <v>42269.85</v>
      </c>
      <c r="Q15" s="314">
        <f>P14</f>
        <v>35125.649999999994</v>
      </c>
      <c r="R15" s="314">
        <f>Q14</f>
        <v>36240.75</v>
      </c>
      <c r="S15" s="314">
        <f>R14</f>
        <v>34679.61</v>
      </c>
      <c r="T15" s="314">
        <f t="shared" ref="T15:AK25" si="0">S14</f>
        <v>38247.93</v>
      </c>
      <c r="U15" s="314">
        <f t="shared" si="0"/>
        <v>30776.76</v>
      </c>
      <c r="V15" s="314">
        <f t="shared" si="0"/>
        <v>40924.17</v>
      </c>
      <c r="W15" s="314">
        <f t="shared" si="0"/>
        <v>47503.259999999995</v>
      </c>
      <c r="X15" s="314">
        <f t="shared" si="0"/>
        <v>52075.17</v>
      </c>
      <c r="Y15" s="314">
        <f t="shared" si="0"/>
        <v>45273.06</v>
      </c>
      <c r="Z15" s="314">
        <f t="shared" si="0"/>
        <v>47726.28</v>
      </c>
      <c r="AA15" s="314">
        <f t="shared" si="0"/>
        <v>56312.549999999996</v>
      </c>
      <c r="AB15" s="314">
        <f t="shared" si="0"/>
        <v>46766.548843739452</v>
      </c>
      <c r="AC15" s="314">
        <f t="shared" si="0"/>
        <v>41689.128599999996</v>
      </c>
      <c r="AD15" s="314">
        <f t="shared" si="0"/>
        <v>57890.894399999983</v>
      </c>
      <c r="AE15" s="314">
        <f t="shared" si="0"/>
        <v>58403.203199999974</v>
      </c>
      <c r="AF15" s="314">
        <f t="shared" si="0"/>
        <v>51230.879999999983</v>
      </c>
      <c r="AG15" s="314">
        <f t="shared" si="0"/>
        <v>46107.792000000001</v>
      </c>
      <c r="AH15" s="314">
        <f t="shared" si="0"/>
        <v>40984.703999999991</v>
      </c>
      <c r="AI15" s="314">
        <f t="shared" si="0"/>
        <v>40984.703999999991</v>
      </c>
      <c r="AJ15" s="314">
        <f t="shared" si="0"/>
        <v>60516.476999999984</v>
      </c>
      <c r="AK15" s="314">
        <f t="shared" si="0"/>
        <v>60516.476999999984</v>
      </c>
      <c r="AL15" s="621">
        <f t="shared" ref="AL15:AW30" si="1">AK14</f>
        <v>60516.476999999984</v>
      </c>
      <c r="AM15" s="621">
        <f t="shared" si="1"/>
        <v>60516.476999999984</v>
      </c>
      <c r="AN15" s="621">
        <f t="shared" si="1"/>
        <v>60516.476999999984</v>
      </c>
      <c r="AO15" s="621">
        <f t="shared" si="1"/>
        <v>60516.476999999984</v>
      </c>
      <c r="AP15" s="621">
        <f t="shared" si="1"/>
        <v>60516.476999999984</v>
      </c>
      <c r="AQ15" s="621">
        <f t="shared" si="1"/>
        <v>60516.476999999984</v>
      </c>
      <c r="AR15" s="621">
        <f t="shared" si="1"/>
        <v>60516.476999999984</v>
      </c>
      <c r="AS15" s="621">
        <f t="shared" si="1"/>
        <v>60516.476999999984</v>
      </c>
      <c r="AT15" s="621">
        <f t="shared" si="1"/>
        <v>60516.476999999984</v>
      </c>
      <c r="AU15" s="621">
        <f t="shared" si="1"/>
        <v>60516.476999999984</v>
      </c>
      <c r="AV15" s="621">
        <f t="shared" si="1"/>
        <v>60516.476999999984</v>
      </c>
      <c r="AW15" s="621">
        <f t="shared" si="1"/>
        <v>60516.476999999984</v>
      </c>
    </row>
    <row r="16" spans="1:49" x14ac:dyDescent="0.3">
      <c r="A16" s="313" t="s">
        <v>202</v>
      </c>
      <c r="B16" s="314"/>
      <c r="C16" s="272"/>
      <c r="D16" s="271"/>
      <c r="E16" s="314"/>
      <c r="F16" s="314"/>
      <c r="G16" s="314"/>
      <c r="H16" s="314"/>
      <c r="I16" s="314"/>
      <c r="J16" s="314"/>
      <c r="K16" s="314"/>
      <c r="L16" s="314"/>
      <c r="M16" s="314"/>
      <c r="N16" s="314"/>
      <c r="O16" s="314"/>
      <c r="P16" s="314">
        <f>O15</f>
        <v>35571.689999999995</v>
      </c>
      <c r="Q16" s="314">
        <f>P15</f>
        <v>42269.85</v>
      </c>
      <c r="R16" s="314">
        <f t="shared" ref="R16:S18" si="2">Q15</f>
        <v>35125.649999999994</v>
      </c>
      <c r="S16" s="314">
        <f t="shared" si="2"/>
        <v>36240.75</v>
      </c>
      <c r="T16" s="314">
        <f t="shared" si="0"/>
        <v>34679.61</v>
      </c>
      <c r="U16" s="314">
        <f t="shared" si="0"/>
        <v>38247.93</v>
      </c>
      <c r="V16" s="314">
        <f t="shared" si="0"/>
        <v>30776.76</v>
      </c>
      <c r="W16" s="314">
        <f t="shared" si="0"/>
        <v>40924.17</v>
      </c>
      <c r="X16" s="314">
        <f t="shared" si="0"/>
        <v>47503.259999999995</v>
      </c>
      <c r="Y16" s="314">
        <f t="shared" si="0"/>
        <v>52075.17</v>
      </c>
      <c r="Z16" s="314">
        <f t="shared" si="0"/>
        <v>45273.06</v>
      </c>
      <c r="AA16" s="314">
        <f t="shared" si="0"/>
        <v>47726.28</v>
      </c>
      <c r="AB16" s="314">
        <f t="shared" si="0"/>
        <v>56312.549999999996</v>
      </c>
      <c r="AC16" s="314">
        <f t="shared" si="0"/>
        <v>46766.548843739452</v>
      </c>
      <c r="AD16" s="314">
        <f t="shared" si="0"/>
        <v>41689.128599999996</v>
      </c>
      <c r="AE16" s="314">
        <f t="shared" si="0"/>
        <v>57890.894399999983</v>
      </c>
      <c r="AF16" s="314">
        <f t="shared" si="0"/>
        <v>58403.203199999974</v>
      </c>
      <c r="AG16" s="314">
        <f t="shared" si="0"/>
        <v>51230.879999999983</v>
      </c>
      <c r="AH16" s="314">
        <f t="shared" si="0"/>
        <v>46107.792000000001</v>
      </c>
      <c r="AI16" s="314">
        <f t="shared" si="0"/>
        <v>40984.703999999991</v>
      </c>
      <c r="AJ16" s="314">
        <f t="shared" si="0"/>
        <v>40984.703999999991</v>
      </c>
      <c r="AK16" s="314">
        <f t="shared" si="0"/>
        <v>60516.476999999984</v>
      </c>
      <c r="AL16" s="621">
        <f t="shared" si="1"/>
        <v>60516.476999999984</v>
      </c>
      <c r="AM16" s="621">
        <f t="shared" si="1"/>
        <v>60516.476999999984</v>
      </c>
      <c r="AN16" s="621">
        <f t="shared" si="1"/>
        <v>60516.476999999984</v>
      </c>
      <c r="AO16" s="621">
        <f t="shared" si="1"/>
        <v>60516.476999999984</v>
      </c>
      <c r="AP16" s="621">
        <f t="shared" si="1"/>
        <v>60516.476999999984</v>
      </c>
      <c r="AQ16" s="621">
        <f t="shared" si="1"/>
        <v>60516.476999999984</v>
      </c>
      <c r="AR16" s="621">
        <f t="shared" si="1"/>
        <v>60516.476999999984</v>
      </c>
      <c r="AS16" s="621">
        <f t="shared" si="1"/>
        <v>60516.476999999984</v>
      </c>
      <c r="AT16" s="621">
        <f t="shared" si="1"/>
        <v>60516.476999999984</v>
      </c>
      <c r="AU16" s="621">
        <f t="shared" si="1"/>
        <v>60516.476999999984</v>
      </c>
      <c r="AV16" s="621">
        <f t="shared" si="1"/>
        <v>60516.476999999984</v>
      </c>
      <c r="AW16" s="621">
        <f t="shared" si="1"/>
        <v>60516.476999999984</v>
      </c>
    </row>
    <row r="17" spans="1:49" x14ac:dyDescent="0.3">
      <c r="A17" s="313" t="s">
        <v>203</v>
      </c>
      <c r="B17" s="314"/>
      <c r="C17" s="272"/>
      <c r="D17" s="272"/>
      <c r="E17" s="271"/>
      <c r="F17" s="314"/>
      <c r="G17" s="314"/>
      <c r="H17" s="314"/>
      <c r="I17" s="314"/>
      <c r="J17" s="314"/>
      <c r="K17" s="314"/>
      <c r="L17" s="314"/>
      <c r="M17" s="314"/>
      <c r="N17" s="314"/>
      <c r="O17" s="314"/>
      <c r="P17" s="314"/>
      <c r="Q17" s="314">
        <f>P16</f>
        <v>35571.689999999995</v>
      </c>
      <c r="R17" s="314">
        <f>Q16</f>
        <v>42269.85</v>
      </c>
      <c r="S17" s="314">
        <f t="shared" si="2"/>
        <v>35125.649999999994</v>
      </c>
      <c r="T17" s="314">
        <f t="shared" si="0"/>
        <v>36240.75</v>
      </c>
      <c r="U17" s="314">
        <f t="shared" si="0"/>
        <v>34679.61</v>
      </c>
      <c r="V17" s="314">
        <f t="shared" si="0"/>
        <v>38247.93</v>
      </c>
      <c r="W17" s="314">
        <f t="shared" si="0"/>
        <v>30776.76</v>
      </c>
      <c r="X17" s="314">
        <f t="shared" si="0"/>
        <v>40924.17</v>
      </c>
      <c r="Y17" s="314">
        <f t="shared" si="0"/>
        <v>47503.259999999995</v>
      </c>
      <c r="Z17" s="314">
        <f t="shared" si="0"/>
        <v>52075.17</v>
      </c>
      <c r="AA17" s="314">
        <f t="shared" si="0"/>
        <v>45273.06</v>
      </c>
      <c r="AB17" s="314">
        <f t="shared" si="0"/>
        <v>47726.28</v>
      </c>
      <c r="AC17" s="314">
        <f t="shared" si="0"/>
        <v>56312.549999999996</v>
      </c>
      <c r="AD17" s="314">
        <f t="shared" si="0"/>
        <v>46766.548843739452</v>
      </c>
      <c r="AE17" s="314">
        <f t="shared" si="0"/>
        <v>41689.128599999996</v>
      </c>
      <c r="AF17" s="314">
        <f t="shared" si="0"/>
        <v>57890.894399999983</v>
      </c>
      <c r="AG17" s="314">
        <f t="shared" si="0"/>
        <v>58403.203199999974</v>
      </c>
      <c r="AH17" s="314">
        <f t="shared" si="0"/>
        <v>51230.879999999983</v>
      </c>
      <c r="AI17" s="314">
        <f t="shared" si="0"/>
        <v>46107.792000000001</v>
      </c>
      <c r="AJ17" s="314">
        <f t="shared" si="0"/>
        <v>40984.703999999991</v>
      </c>
      <c r="AK17" s="314">
        <f t="shared" si="0"/>
        <v>40984.703999999991</v>
      </c>
      <c r="AL17" s="621">
        <f t="shared" si="1"/>
        <v>60516.476999999984</v>
      </c>
      <c r="AM17" s="621">
        <f t="shared" si="1"/>
        <v>60516.476999999984</v>
      </c>
      <c r="AN17" s="621">
        <f t="shared" si="1"/>
        <v>60516.476999999984</v>
      </c>
      <c r="AO17" s="621">
        <f t="shared" si="1"/>
        <v>60516.476999999984</v>
      </c>
      <c r="AP17" s="621">
        <f t="shared" si="1"/>
        <v>60516.476999999984</v>
      </c>
      <c r="AQ17" s="621">
        <f t="shared" si="1"/>
        <v>60516.476999999984</v>
      </c>
      <c r="AR17" s="621">
        <f t="shared" si="1"/>
        <v>60516.476999999984</v>
      </c>
      <c r="AS17" s="621">
        <f t="shared" si="1"/>
        <v>60516.476999999984</v>
      </c>
      <c r="AT17" s="621">
        <f t="shared" si="1"/>
        <v>60516.476999999984</v>
      </c>
      <c r="AU17" s="621">
        <f t="shared" si="1"/>
        <v>60516.476999999984</v>
      </c>
      <c r="AV17" s="621">
        <f t="shared" si="1"/>
        <v>60516.476999999984</v>
      </c>
      <c r="AW17" s="621">
        <f t="shared" si="1"/>
        <v>60516.476999999984</v>
      </c>
    </row>
    <row r="18" spans="1:49" x14ac:dyDescent="0.3">
      <c r="A18" s="313" t="s">
        <v>204</v>
      </c>
      <c r="B18" s="314"/>
      <c r="C18" s="272"/>
      <c r="D18" s="272"/>
      <c r="E18" s="272"/>
      <c r="F18" s="271"/>
      <c r="G18" s="314"/>
      <c r="H18" s="314"/>
      <c r="I18" s="314"/>
      <c r="J18" s="314"/>
      <c r="K18" s="314"/>
      <c r="L18" s="314"/>
      <c r="M18" s="314"/>
      <c r="N18" s="314"/>
      <c r="O18" s="314"/>
      <c r="P18" s="314"/>
      <c r="Q18" s="314"/>
      <c r="R18" s="314">
        <f>Q17</f>
        <v>35571.689999999995</v>
      </c>
      <c r="S18" s="314">
        <f t="shared" si="2"/>
        <v>42269.85</v>
      </c>
      <c r="T18" s="314">
        <f t="shared" si="0"/>
        <v>35125.649999999994</v>
      </c>
      <c r="U18" s="314">
        <f t="shared" si="0"/>
        <v>36240.75</v>
      </c>
      <c r="V18" s="314">
        <f t="shared" si="0"/>
        <v>34679.61</v>
      </c>
      <c r="W18" s="314">
        <f t="shared" si="0"/>
        <v>38247.93</v>
      </c>
      <c r="X18" s="314">
        <f t="shared" si="0"/>
        <v>30776.76</v>
      </c>
      <c r="Y18" s="314">
        <f t="shared" si="0"/>
        <v>40924.17</v>
      </c>
      <c r="Z18" s="314">
        <f t="shared" si="0"/>
        <v>47503.259999999995</v>
      </c>
      <c r="AA18" s="314">
        <f t="shared" si="0"/>
        <v>52075.17</v>
      </c>
      <c r="AB18" s="314">
        <f t="shared" si="0"/>
        <v>45273.06</v>
      </c>
      <c r="AC18" s="314">
        <f t="shared" si="0"/>
        <v>47726.28</v>
      </c>
      <c r="AD18" s="314">
        <f t="shared" si="0"/>
        <v>56312.549999999996</v>
      </c>
      <c r="AE18" s="314">
        <f t="shared" si="0"/>
        <v>46766.548843739452</v>
      </c>
      <c r="AF18" s="314">
        <f t="shared" si="0"/>
        <v>41689.128599999996</v>
      </c>
      <c r="AG18" s="314">
        <f t="shared" si="0"/>
        <v>57890.894399999983</v>
      </c>
      <c r="AH18" s="314">
        <f t="shared" si="0"/>
        <v>58403.203199999974</v>
      </c>
      <c r="AI18" s="314">
        <f t="shared" si="0"/>
        <v>51230.879999999983</v>
      </c>
      <c r="AJ18" s="314">
        <f t="shared" si="0"/>
        <v>46107.792000000001</v>
      </c>
      <c r="AK18" s="314">
        <f t="shared" si="0"/>
        <v>40984.703999999991</v>
      </c>
      <c r="AL18" s="621">
        <f t="shared" si="1"/>
        <v>40984.703999999991</v>
      </c>
      <c r="AM18" s="621">
        <f t="shared" si="1"/>
        <v>60516.476999999984</v>
      </c>
      <c r="AN18" s="621">
        <f t="shared" si="1"/>
        <v>60516.476999999984</v>
      </c>
      <c r="AO18" s="621">
        <f t="shared" si="1"/>
        <v>60516.476999999984</v>
      </c>
      <c r="AP18" s="621">
        <f t="shared" si="1"/>
        <v>60516.476999999984</v>
      </c>
      <c r="AQ18" s="621">
        <f t="shared" si="1"/>
        <v>60516.476999999984</v>
      </c>
      <c r="AR18" s="621">
        <f t="shared" si="1"/>
        <v>60516.476999999984</v>
      </c>
      <c r="AS18" s="621">
        <f t="shared" si="1"/>
        <v>60516.476999999984</v>
      </c>
      <c r="AT18" s="621">
        <f t="shared" si="1"/>
        <v>60516.476999999984</v>
      </c>
      <c r="AU18" s="621">
        <f t="shared" si="1"/>
        <v>60516.476999999984</v>
      </c>
      <c r="AV18" s="621">
        <f t="shared" si="1"/>
        <v>60516.476999999984</v>
      </c>
      <c r="AW18" s="621">
        <f t="shared" si="1"/>
        <v>60516.476999999984</v>
      </c>
    </row>
    <row r="19" spans="1:49" x14ac:dyDescent="0.3">
      <c r="A19" s="313" t="s">
        <v>269</v>
      </c>
      <c r="B19" s="314"/>
      <c r="C19" s="272"/>
      <c r="D19" s="272"/>
      <c r="E19" s="272"/>
      <c r="F19" s="272"/>
      <c r="G19" s="271"/>
      <c r="H19" s="314"/>
      <c r="I19" s="314"/>
      <c r="J19" s="314"/>
      <c r="K19" s="314"/>
      <c r="L19" s="314"/>
      <c r="M19" s="314"/>
      <c r="N19" s="314"/>
      <c r="O19" s="314"/>
      <c r="P19" s="314"/>
      <c r="Q19" s="314"/>
      <c r="R19" s="314"/>
      <c r="S19" s="314">
        <f>R18</f>
        <v>35571.689999999995</v>
      </c>
      <c r="T19" s="314">
        <f t="shared" si="0"/>
        <v>42269.85</v>
      </c>
      <c r="U19" s="314">
        <f t="shared" si="0"/>
        <v>35125.649999999994</v>
      </c>
      <c r="V19" s="314">
        <f t="shared" si="0"/>
        <v>36240.75</v>
      </c>
      <c r="W19" s="314">
        <f t="shared" si="0"/>
        <v>34679.61</v>
      </c>
      <c r="X19" s="314">
        <f t="shared" si="0"/>
        <v>38247.93</v>
      </c>
      <c r="Y19" s="314">
        <f t="shared" si="0"/>
        <v>30776.76</v>
      </c>
      <c r="Z19" s="314">
        <f t="shared" si="0"/>
        <v>40924.17</v>
      </c>
      <c r="AA19" s="314">
        <f t="shared" si="0"/>
        <v>47503.259999999995</v>
      </c>
      <c r="AB19" s="314">
        <f t="shared" si="0"/>
        <v>52075.17</v>
      </c>
      <c r="AC19" s="314">
        <f t="shared" si="0"/>
        <v>45273.06</v>
      </c>
      <c r="AD19" s="314">
        <f t="shared" si="0"/>
        <v>47726.28</v>
      </c>
      <c r="AE19" s="314">
        <f t="shared" si="0"/>
        <v>56312.549999999996</v>
      </c>
      <c r="AF19" s="314">
        <f t="shared" si="0"/>
        <v>46766.548843739452</v>
      </c>
      <c r="AG19" s="314">
        <f t="shared" si="0"/>
        <v>41689.128599999996</v>
      </c>
      <c r="AH19" s="314">
        <f t="shared" si="0"/>
        <v>57890.894399999983</v>
      </c>
      <c r="AI19" s="314">
        <f t="shared" si="0"/>
        <v>58403.203199999974</v>
      </c>
      <c r="AJ19" s="314">
        <f t="shared" si="0"/>
        <v>51230.879999999983</v>
      </c>
      <c r="AK19" s="314">
        <f t="shared" si="0"/>
        <v>46107.792000000001</v>
      </c>
      <c r="AL19" s="621">
        <f t="shared" si="1"/>
        <v>40984.703999999991</v>
      </c>
      <c r="AM19" s="621">
        <f t="shared" si="1"/>
        <v>40984.703999999991</v>
      </c>
      <c r="AN19" s="621">
        <f t="shared" si="1"/>
        <v>60516.476999999984</v>
      </c>
      <c r="AO19" s="621">
        <f t="shared" si="1"/>
        <v>60516.476999999984</v>
      </c>
      <c r="AP19" s="621">
        <f t="shared" si="1"/>
        <v>60516.476999999984</v>
      </c>
      <c r="AQ19" s="621">
        <f t="shared" si="1"/>
        <v>60516.476999999984</v>
      </c>
      <c r="AR19" s="621">
        <f t="shared" si="1"/>
        <v>60516.476999999984</v>
      </c>
      <c r="AS19" s="621">
        <f t="shared" si="1"/>
        <v>60516.476999999984</v>
      </c>
      <c r="AT19" s="621">
        <f t="shared" si="1"/>
        <v>60516.476999999984</v>
      </c>
      <c r="AU19" s="621">
        <f t="shared" si="1"/>
        <v>60516.476999999984</v>
      </c>
      <c r="AV19" s="621">
        <f t="shared" si="1"/>
        <v>60516.476999999984</v>
      </c>
      <c r="AW19" s="621">
        <f t="shared" si="1"/>
        <v>60516.476999999984</v>
      </c>
    </row>
    <row r="20" spans="1:49" x14ac:dyDescent="0.3">
      <c r="A20" s="313" t="s">
        <v>270</v>
      </c>
      <c r="B20" s="314"/>
      <c r="C20" s="272"/>
      <c r="D20" s="272"/>
      <c r="E20" s="272"/>
      <c r="F20" s="272"/>
      <c r="G20" s="272"/>
      <c r="H20" s="271"/>
      <c r="I20" s="314"/>
      <c r="J20" s="314"/>
      <c r="K20" s="314"/>
      <c r="L20" s="314"/>
      <c r="M20" s="314"/>
      <c r="N20" s="314"/>
      <c r="O20" s="314"/>
      <c r="P20" s="314"/>
      <c r="Q20" s="314"/>
      <c r="R20" s="314"/>
      <c r="S20" s="314"/>
      <c r="T20" s="314">
        <f>S19</f>
        <v>35571.689999999995</v>
      </c>
      <c r="U20" s="314">
        <f t="shared" si="0"/>
        <v>42269.85</v>
      </c>
      <c r="V20" s="314">
        <f t="shared" si="0"/>
        <v>35125.649999999994</v>
      </c>
      <c r="W20" s="314">
        <f t="shared" si="0"/>
        <v>36240.75</v>
      </c>
      <c r="X20" s="314">
        <f t="shared" si="0"/>
        <v>34679.61</v>
      </c>
      <c r="Y20" s="314">
        <f t="shared" si="0"/>
        <v>38247.93</v>
      </c>
      <c r="Z20" s="314">
        <f t="shared" si="0"/>
        <v>30776.76</v>
      </c>
      <c r="AA20" s="314">
        <f t="shared" si="0"/>
        <v>40924.17</v>
      </c>
      <c r="AB20" s="314">
        <f t="shared" si="0"/>
        <v>47503.259999999995</v>
      </c>
      <c r="AC20" s="314">
        <f t="shared" si="0"/>
        <v>52075.17</v>
      </c>
      <c r="AD20" s="314">
        <f t="shared" si="0"/>
        <v>45273.06</v>
      </c>
      <c r="AE20" s="314">
        <f t="shared" si="0"/>
        <v>47726.28</v>
      </c>
      <c r="AF20" s="314">
        <f t="shared" si="0"/>
        <v>56312.549999999996</v>
      </c>
      <c r="AG20" s="314">
        <f t="shared" si="0"/>
        <v>46766.548843739452</v>
      </c>
      <c r="AH20" s="314">
        <f t="shared" si="0"/>
        <v>41689.128599999996</v>
      </c>
      <c r="AI20" s="314">
        <f t="shared" si="0"/>
        <v>57890.894399999983</v>
      </c>
      <c r="AJ20" s="314">
        <f t="shared" si="0"/>
        <v>58403.203199999974</v>
      </c>
      <c r="AK20" s="314">
        <f t="shared" si="0"/>
        <v>51230.879999999983</v>
      </c>
      <c r="AL20" s="621">
        <f t="shared" si="1"/>
        <v>46107.792000000001</v>
      </c>
      <c r="AM20" s="621">
        <f t="shared" si="1"/>
        <v>40984.703999999991</v>
      </c>
      <c r="AN20" s="621">
        <f t="shared" si="1"/>
        <v>40984.703999999991</v>
      </c>
      <c r="AO20" s="621">
        <f t="shared" si="1"/>
        <v>60516.476999999984</v>
      </c>
      <c r="AP20" s="621">
        <f t="shared" si="1"/>
        <v>60516.476999999984</v>
      </c>
      <c r="AQ20" s="621">
        <f t="shared" si="1"/>
        <v>60516.476999999984</v>
      </c>
      <c r="AR20" s="621">
        <f t="shared" si="1"/>
        <v>60516.476999999984</v>
      </c>
      <c r="AS20" s="621">
        <f t="shared" si="1"/>
        <v>60516.476999999984</v>
      </c>
      <c r="AT20" s="621">
        <f t="shared" si="1"/>
        <v>60516.476999999984</v>
      </c>
      <c r="AU20" s="621">
        <f t="shared" si="1"/>
        <v>60516.476999999984</v>
      </c>
      <c r="AV20" s="621">
        <f t="shared" si="1"/>
        <v>60516.476999999984</v>
      </c>
      <c r="AW20" s="621">
        <f t="shared" si="1"/>
        <v>60516.476999999984</v>
      </c>
    </row>
    <row r="21" spans="1:49" x14ac:dyDescent="0.3">
      <c r="A21" s="313" t="s">
        <v>271</v>
      </c>
      <c r="B21" s="314"/>
      <c r="C21" s="272"/>
      <c r="D21" s="272"/>
      <c r="E21" s="272"/>
      <c r="F21" s="272"/>
      <c r="G21" s="272"/>
      <c r="H21" s="272"/>
      <c r="I21" s="271"/>
      <c r="J21" s="314"/>
      <c r="K21" s="314"/>
      <c r="L21" s="314"/>
      <c r="M21" s="314"/>
      <c r="N21" s="314"/>
      <c r="O21" s="314"/>
      <c r="P21" s="314"/>
      <c r="Q21" s="314"/>
      <c r="R21" s="314"/>
      <c r="S21" s="314"/>
      <c r="T21" s="314"/>
      <c r="U21" s="314">
        <f>T20</f>
        <v>35571.689999999995</v>
      </c>
      <c r="V21" s="314">
        <f t="shared" si="0"/>
        <v>42269.85</v>
      </c>
      <c r="W21" s="314">
        <f t="shared" si="0"/>
        <v>35125.649999999994</v>
      </c>
      <c r="X21" s="314">
        <f t="shared" si="0"/>
        <v>36240.75</v>
      </c>
      <c r="Y21" s="314">
        <f t="shared" si="0"/>
        <v>34679.61</v>
      </c>
      <c r="Z21" s="314">
        <f t="shared" si="0"/>
        <v>38247.93</v>
      </c>
      <c r="AA21" s="314">
        <f t="shared" si="0"/>
        <v>30776.76</v>
      </c>
      <c r="AB21" s="314">
        <f t="shared" si="0"/>
        <v>40924.17</v>
      </c>
      <c r="AC21" s="314">
        <f t="shared" si="0"/>
        <v>47503.259999999995</v>
      </c>
      <c r="AD21" s="314">
        <f t="shared" si="0"/>
        <v>52075.17</v>
      </c>
      <c r="AE21" s="314">
        <f t="shared" si="0"/>
        <v>45273.06</v>
      </c>
      <c r="AF21" s="314">
        <f t="shared" si="0"/>
        <v>47726.28</v>
      </c>
      <c r="AG21" s="314">
        <f t="shared" si="0"/>
        <v>56312.549999999996</v>
      </c>
      <c r="AH21" s="314">
        <f t="shared" si="0"/>
        <v>46766.548843739452</v>
      </c>
      <c r="AI21" s="314">
        <f t="shared" si="0"/>
        <v>41689.128599999996</v>
      </c>
      <c r="AJ21" s="314">
        <f t="shared" si="0"/>
        <v>57890.894399999983</v>
      </c>
      <c r="AK21" s="314">
        <f t="shared" si="0"/>
        <v>58403.203199999974</v>
      </c>
      <c r="AL21" s="621">
        <f t="shared" si="1"/>
        <v>51230.879999999983</v>
      </c>
      <c r="AM21" s="621">
        <f t="shared" si="1"/>
        <v>46107.792000000001</v>
      </c>
      <c r="AN21" s="621">
        <f t="shared" si="1"/>
        <v>40984.703999999991</v>
      </c>
      <c r="AO21" s="621">
        <f t="shared" si="1"/>
        <v>40984.703999999991</v>
      </c>
      <c r="AP21" s="621">
        <f t="shared" si="1"/>
        <v>60516.476999999984</v>
      </c>
      <c r="AQ21" s="621">
        <f t="shared" si="1"/>
        <v>60516.476999999984</v>
      </c>
      <c r="AR21" s="621">
        <f t="shared" si="1"/>
        <v>60516.476999999984</v>
      </c>
      <c r="AS21" s="621">
        <f t="shared" si="1"/>
        <v>60516.476999999984</v>
      </c>
      <c r="AT21" s="621">
        <f t="shared" si="1"/>
        <v>60516.476999999984</v>
      </c>
      <c r="AU21" s="621">
        <f t="shared" si="1"/>
        <v>60516.476999999984</v>
      </c>
      <c r="AV21" s="621">
        <f t="shared" si="1"/>
        <v>60516.476999999984</v>
      </c>
      <c r="AW21" s="621">
        <f t="shared" si="1"/>
        <v>60516.476999999984</v>
      </c>
    </row>
    <row r="22" spans="1:49" x14ac:dyDescent="0.3">
      <c r="A22" s="313" t="s">
        <v>272</v>
      </c>
      <c r="B22" s="314"/>
      <c r="C22" s="272"/>
      <c r="D22" s="272"/>
      <c r="E22" s="272"/>
      <c r="F22" s="272"/>
      <c r="G22" s="272"/>
      <c r="H22" s="272"/>
      <c r="I22" s="272"/>
      <c r="J22" s="271"/>
      <c r="K22" s="314"/>
      <c r="L22" s="314"/>
      <c r="M22" s="314"/>
      <c r="N22" s="314"/>
      <c r="O22" s="314"/>
      <c r="P22" s="314"/>
      <c r="Q22" s="314"/>
      <c r="R22" s="314"/>
      <c r="S22" s="314"/>
      <c r="T22" s="314"/>
      <c r="U22" s="314"/>
      <c r="V22" s="314">
        <f>U21</f>
        <v>35571.689999999995</v>
      </c>
      <c r="W22" s="314">
        <f t="shared" si="0"/>
        <v>42269.85</v>
      </c>
      <c r="X22" s="314">
        <f t="shared" si="0"/>
        <v>35125.649999999994</v>
      </c>
      <c r="Y22" s="314">
        <f t="shared" si="0"/>
        <v>36240.75</v>
      </c>
      <c r="Z22" s="314">
        <f t="shared" si="0"/>
        <v>34679.61</v>
      </c>
      <c r="AA22" s="314">
        <f t="shared" si="0"/>
        <v>38247.93</v>
      </c>
      <c r="AB22" s="314">
        <f t="shared" si="0"/>
        <v>30776.76</v>
      </c>
      <c r="AC22" s="314">
        <f t="shared" si="0"/>
        <v>40924.17</v>
      </c>
      <c r="AD22" s="314">
        <f t="shared" si="0"/>
        <v>47503.259999999995</v>
      </c>
      <c r="AE22" s="314">
        <f t="shared" si="0"/>
        <v>52075.17</v>
      </c>
      <c r="AF22" s="314">
        <f t="shared" si="0"/>
        <v>45273.06</v>
      </c>
      <c r="AG22" s="314">
        <f t="shared" si="0"/>
        <v>47726.28</v>
      </c>
      <c r="AH22" s="314">
        <f t="shared" si="0"/>
        <v>56312.549999999996</v>
      </c>
      <c r="AI22" s="314">
        <f t="shared" si="0"/>
        <v>46766.548843739452</v>
      </c>
      <c r="AJ22" s="314">
        <f t="shared" si="0"/>
        <v>41689.128599999996</v>
      </c>
      <c r="AK22" s="314">
        <f t="shared" si="0"/>
        <v>57890.894399999983</v>
      </c>
      <c r="AL22" s="621">
        <f t="shared" si="1"/>
        <v>58403.203199999974</v>
      </c>
      <c r="AM22" s="621">
        <f t="shared" si="1"/>
        <v>51230.879999999983</v>
      </c>
      <c r="AN22" s="621">
        <f t="shared" si="1"/>
        <v>46107.792000000001</v>
      </c>
      <c r="AO22" s="621">
        <f t="shared" si="1"/>
        <v>40984.703999999991</v>
      </c>
      <c r="AP22" s="621">
        <f t="shared" si="1"/>
        <v>40984.703999999991</v>
      </c>
      <c r="AQ22" s="621">
        <f t="shared" si="1"/>
        <v>60516.476999999984</v>
      </c>
      <c r="AR22" s="621">
        <f t="shared" si="1"/>
        <v>60516.476999999984</v>
      </c>
      <c r="AS22" s="621">
        <f t="shared" si="1"/>
        <v>60516.476999999984</v>
      </c>
      <c r="AT22" s="621">
        <f t="shared" si="1"/>
        <v>60516.476999999984</v>
      </c>
      <c r="AU22" s="621">
        <f t="shared" si="1"/>
        <v>60516.476999999984</v>
      </c>
      <c r="AV22" s="621">
        <f t="shared" si="1"/>
        <v>60516.476999999984</v>
      </c>
      <c r="AW22" s="621">
        <f t="shared" si="1"/>
        <v>60516.476999999984</v>
      </c>
    </row>
    <row r="23" spans="1:49" x14ac:dyDescent="0.3">
      <c r="A23" s="313" t="s">
        <v>273</v>
      </c>
      <c r="B23" s="314"/>
      <c r="C23" s="272"/>
      <c r="D23" s="272"/>
      <c r="E23" s="272"/>
      <c r="F23" s="272"/>
      <c r="G23" s="272"/>
      <c r="H23" s="272"/>
      <c r="I23" s="272"/>
      <c r="J23" s="272"/>
      <c r="K23" s="271"/>
      <c r="L23" s="314"/>
      <c r="M23" s="314"/>
      <c r="N23" s="314"/>
      <c r="O23" s="314"/>
      <c r="P23" s="314"/>
      <c r="Q23" s="314"/>
      <c r="R23" s="314"/>
      <c r="S23" s="314"/>
      <c r="T23" s="314"/>
      <c r="U23" s="314"/>
      <c r="V23" s="314"/>
      <c r="W23" s="314">
        <f>V22</f>
        <v>35571.689999999995</v>
      </c>
      <c r="X23" s="314">
        <f t="shared" si="0"/>
        <v>42269.85</v>
      </c>
      <c r="Y23" s="314">
        <f t="shared" si="0"/>
        <v>35125.649999999994</v>
      </c>
      <c r="Z23" s="314">
        <f t="shared" si="0"/>
        <v>36240.75</v>
      </c>
      <c r="AA23" s="314">
        <f t="shared" si="0"/>
        <v>34679.61</v>
      </c>
      <c r="AB23" s="314">
        <f t="shared" si="0"/>
        <v>38247.93</v>
      </c>
      <c r="AC23" s="314">
        <f t="shared" si="0"/>
        <v>30776.76</v>
      </c>
      <c r="AD23" s="314">
        <f t="shared" si="0"/>
        <v>40924.17</v>
      </c>
      <c r="AE23" s="314">
        <f t="shared" si="0"/>
        <v>47503.259999999995</v>
      </c>
      <c r="AF23" s="314">
        <f t="shared" si="0"/>
        <v>52075.17</v>
      </c>
      <c r="AG23" s="314">
        <f t="shared" si="0"/>
        <v>45273.06</v>
      </c>
      <c r="AH23" s="314">
        <f t="shared" si="0"/>
        <v>47726.28</v>
      </c>
      <c r="AI23" s="314">
        <f t="shared" si="0"/>
        <v>56312.549999999996</v>
      </c>
      <c r="AJ23" s="314">
        <f t="shared" si="0"/>
        <v>46766.548843739452</v>
      </c>
      <c r="AK23" s="314">
        <f t="shared" si="0"/>
        <v>41689.128599999996</v>
      </c>
      <c r="AL23" s="621">
        <f t="shared" si="1"/>
        <v>57890.894399999983</v>
      </c>
      <c r="AM23" s="621">
        <f t="shared" si="1"/>
        <v>58403.203199999974</v>
      </c>
      <c r="AN23" s="621">
        <f t="shared" si="1"/>
        <v>51230.879999999983</v>
      </c>
      <c r="AO23" s="621">
        <f t="shared" si="1"/>
        <v>46107.792000000001</v>
      </c>
      <c r="AP23" s="621">
        <f t="shared" si="1"/>
        <v>40984.703999999991</v>
      </c>
      <c r="AQ23" s="621">
        <f t="shared" si="1"/>
        <v>40984.703999999991</v>
      </c>
      <c r="AR23" s="621">
        <f t="shared" si="1"/>
        <v>60516.476999999984</v>
      </c>
      <c r="AS23" s="621">
        <f t="shared" si="1"/>
        <v>60516.476999999984</v>
      </c>
      <c r="AT23" s="621">
        <f t="shared" si="1"/>
        <v>60516.476999999984</v>
      </c>
      <c r="AU23" s="621">
        <f t="shared" si="1"/>
        <v>60516.476999999984</v>
      </c>
      <c r="AV23" s="621">
        <f t="shared" si="1"/>
        <v>60516.476999999984</v>
      </c>
      <c r="AW23" s="621">
        <f t="shared" si="1"/>
        <v>60516.476999999984</v>
      </c>
    </row>
    <row r="24" spans="1:49" x14ac:dyDescent="0.3">
      <c r="A24" s="313" t="s">
        <v>274</v>
      </c>
      <c r="B24" s="314"/>
      <c r="C24" s="272"/>
      <c r="D24" s="272"/>
      <c r="E24" s="272"/>
      <c r="F24" s="272"/>
      <c r="G24" s="272"/>
      <c r="H24" s="272"/>
      <c r="I24" s="272"/>
      <c r="J24" s="272"/>
      <c r="K24" s="272"/>
      <c r="L24" s="271"/>
      <c r="M24" s="314"/>
      <c r="N24" s="314"/>
      <c r="O24" s="314"/>
      <c r="P24" s="314"/>
      <c r="Q24" s="314"/>
      <c r="R24" s="314"/>
      <c r="S24" s="314"/>
      <c r="T24" s="314"/>
      <c r="U24" s="314"/>
      <c r="V24" s="314"/>
      <c r="W24" s="314"/>
      <c r="X24" s="314">
        <f>W23</f>
        <v>35571.689999999995</v>
      </c>
      <c r="Y24" s="314">
        <f t="shared" si="0"/>
        <v>42269.85</v>
      </c>
      <c r="Z24" s="314">
        <f t="shared" si="0"/>
        <v>35125.649999999994</v>
      </c>
      <c r="AA24" s="314">
        <f t="shared" si="0"/>
        <v>36240.75</v>
      </c>
      <c r="AB24" s="314">
        <f t="shared" si="0"/>
        <v>34679.61</v>
      </c>
      <c r="AC24" s="314">
        <f t="shared" si="0"/>
        <v>38247.93</v>
      </c>
      <c r="AD24" s="314">
        <f t="shared" si="0"/>
        <v>30776.76</v>
      </c>
      <c r="AE24" s="314">
        <f t="shared" si="0"/>
        <v>40924.17</v>
      </c>
      <c r="AF24" s="314">
        <f t="shared" si="0"/>
        <v>47503.259999999995</v>
      </c>
      <c r="AG24" s="314">
        <f t="shared" si="0"/>
        <v>52075.17</v>
      </c>
      <c r="AH24" s="314">
        <f t="shared" si="0"/>
        <v>45273.06</v>
      </c>
      <c r="AI24" s="314">
        <f t="shared" si="0"/>
        <v>47726.28</v>
      </c>
      <c r="AJ24" s="314">
        <f t="shared" si="0"/>
        <v>56312.549999999996</v>
      </c>
      <c r="AK24" s="314">
        <f t="shared" si="0"/>
        <v>46766.548843739452</v>
      </c>
      <c r="AL24" s="621">
        <f t="shared" si="1"/>
        <v>41689.128599999996</v>
      </c>
      <c r="AM24" s="621">
        <f t="shared" si="1"/>
        <v>57890.894399999983</v>
      </c>
      <c r="AN24" s="621">
        <f t="shared" si="1"/>
        <v>58403.203199999974</v>
      </c>
      <c r="AO24" s="621">
        <f t="shared" si="1"/>
        <v>51230.879999999983</v>
      </c>
      <c r="AP24" s="621">
        <f t="shared" si="1"/>
        <v>46107.792000000001</v>
      </c>
      <c r="AQ24" s="621">
        <f t="shared" si="1"/>
        <v>40984.703999999991</v>
      </c>
      <c r="AR24" s="621">
        <f t="shared" si="1"/>
        <v>40984.703999999991</v>
      </c>
      <c r="AS24" s="621">
        <f t="shared" si="1"/>
        <v>60516.476999999984</v>
      </c>
      <c r="AT24" s="621">
        <f t="shared" si="1"/>
        <v>60516.476999999984</v>
      </c>
      <c r="AU24" s="621">
        <f t="shared" si="1"/>
        <v>60516.476999999984</v>
      </c>
      <c r="AV24" s="621">
        <f t="shared" si="1"/>
        <v>60516.476999999984</v>
      </c>
      <c r="AW24" s="621">
        <f t="shared" si="1"/>
        <v>60516.476999999984</v>
      </c>
    </row>
    <row r="25" spans="1:49" x14ac:dyDescent="0.3">
      <c r="A25" s="313" t="s">
        <v>275</v>
      </c>
      <c r="B25" s="314"/>
      <c r="C25" s="272"/>
      <c r="D25" s="272"/>
      <c r="E25" s="272"/>
      <c r="F25" s="272"/>
      <c r="G25" s="272"/>
      <c r="H25" s="272"/>
      <c r="I25" s="272"/>
      <c r="J25" s="272"/>
      <c r="K25" s="272"/>
      <c r="L25" s="272"/>
      <c r="M25" s="271"/>
      <c r="N25" s="314"/>
      <c r="O25" s="314"/>
      <c r="P25" s="314"/>
      <c r="Q25" s="314"/>
      <c r="R25" s="314"/>
      <c r="S25" s="314"/>
      <c r="T25" s="314"/>
      <c r="U25" s="314"/>
      <c r="V25" s="314"/>
      <c r="W25" s="314"/>
      <c r="X25" s="314"/>
      <c r="Y25" s="314">
        <f>X24</f>
        <v>35571.689999999995</v>
      </c>
      <c r="Z25" s="314">
        <f t="shared" si="0"/>
        <v>42269.85</v>
      </c>
      <c r="AA25" s="314">
        <f t="shared" si="0"/>
        <v>35125.649999999994</v>
      </c>
      <c r="AB25" s="314">
        <f t="shared" si="0"/>
        <v>36240.75</v>
      </c>
      <c r="AC25" s="314">
        <f t="shared" si="0"/>
        <v>34679.61</v>
      </c>
      <c r="AD25" s="314">
        <f t="shared" si="0"/>
        <v>38247.93</v>
      </c>
      <c r="AE25" s="314">
        <f t="shared" si="0"/>
        <v>30776.76</v>
      </c>
      <c r="AF25" s="314">
        <f t="shared" si="0"/>
        <v>40924.17</v>
      </c>
      <c r="AG25" s="314">
        <f t="shared" si="0"/>
        <v>47503.259999999995</v>
      </c>
      <c r="AH25" s="314">
        <f t="shared" si="0"/>
        <v>52075.17</v>
      </c>
      <c r="AI25" s="314">
        <f t="shared" si="0"/>
        <v>45273.06</v>
      </c>
      <c r="AJ25" s="314">
        <f t="shared" si="0"/>
        <v>47726.28</v>
      </c>
      <c r="AK25" s="314">
        <f t="shared" si="0"/>
        <v>56312.549999999996</v>
      </c>
      <c r="AL25" s="621">
        <f t="shared" si="1"/>
        <v>46766.548843739452</v>
      </c>
      <c r="AM25" s="621">
        <f t="shared" si="1"/>
        <v>41689.128599999996</v>
      </c>
      <c r="AN25" s="621">
        <f t="shared" si="1"/>
        <v>57890.894399999983</v>
      </c>
      <c r="AO25" s="621">
        <f t="shared" si="1"/>
        <v>58403.203199999974</v>
      </c>
      <c r="AP25" s="621">
        <f t="shared" si="1"/>
        <v>51230.879999999983</v>
      </c>
      <c r="AQ25" s="621">
        <f t="shared" si="1"/>
        <v>46107.792000000001</v>
      </c>
      <c r="AR25" s="621">
        <f t="shared" si="1"/>
        <v>40984.703999999991</v>
      </c>
      <c r="AS25" s="621">
        <f t="shared" si="1"/>
        <v>40984.703999999991</v>
      </c>
      <c r="AT25" s="621">
        <f t="shared" si="1"/>
        <v>60516.476999999984</v>
      </c>
      <c r="AU25" s="621">
        <f t="shared" si="1"/>
        <v>60516.476999999984</v>
      </c>
      <c r="AV25" s="621">
        <f t="shared" si="1"/>
        <v>60516.476999999984</v>
      </c>
      <c r="AW25" s="621">
        <f t="shared" si="1"/>
        <v>60516.476999999984</v>
      </c>
    </row>
    <row r="26" spans="1:49" x14ac:dyDescent="0.3">
      <c r="A26" s="313" t="s">
        <v>290</v>
      </c>
      <c r="N26" s="271"/>
      <c r="O26" s="314"/>
      <c r="P26" s="314"/>
      <c r="Q26" s="314"/>
      <c r="R26" s="314"/>
      <c r="S26" s="314"/>
      <c r="T26" s="314"/>
      <c r="U26" s="314"/>
      <c r="V26" s="314"/>
      <c r="W26" s="314"/>
      <c r="X26" s="314"/>
      <c r="Y26" s="314"/>
      <c r="Z26" s="314">
        <f t="shared" ref="Z26:AK26" si="3">Y25</f>
        <v>35571.689999999995</v>
      </c>
      <c r="AA26" s="314">
        <f t="shared" si="3"/>
        <v>42269.85</v>
      </c>
      <c r="AB26" s="314">
        <f t="shared" si="3"/>
        <v>35125.649999999994</v>
      </c>
      <c r="AC26" s="314">
        <f t="shared" si="3"/>
        <v>36240.75</v>
      </c>
      <c r="AD26" s="314">
        <f t="shared" si="3"/>
        <v>34679.61</v>
      </c>
      <c r="AE26" s="314">
        <f t="shared" si="3"/>
        <v>38247.93</v>
      </c>
      <c r="AF26" s="314">
        <f t="shared" si="3"/>
        <v>30776.76</v>
      </c>
      <c r="AG26" s="314">
        <f t="shared" si="3"/>
        <v>40924.17</v>
      </c>
      <c r="AH26" s="314">
        <f t="shared" si="3"/>
        <v>47503.259999999995</v>
      </c>
      <c r="AI26" s="314">
        <f t="shared" si="3"/>
        <v>52075.17</v>
      </c>
      <c r="AJ26" s="314">
        <f t="shared" si="3"/>
        <v>45273.06</v>
      </c>
      <c r="AK26" s="314">
        <f t="shared" si="3"/>
        <v>47726.28</v>
      </c>
      <c r="AL26" s="621">
        <f t="shared" si="1"/>
        <v>56312.549999999996</v>
      </c>
      <c r="AM26" s="621">
        <f t="shared" si="1"/>
        <v>46766.548843739452</v>
      </c>
      <c r="AN26" s="621">
        <f t="shared" si="1"/>
        <v>41689.128599999996</v>
      </c>
      <c r="AO26" s="621">
        <f t="shared" si="1"/>
        <v>57890.894399999983</v>
      </c>
      <c r="AP26" s="621">
        <f t="shared" si="1"/>
        <v>58403.203199999974</v>
      </c>
      <c r="AQ26" s="621">
        <f t="shared" si="1"/>
        <v>51230.879999999983</v>
      </c>
      <c r="AR26" s="621">
        <f t="shared" si="1"/>
        <v>46107.792000000001</v>
      </c>
      <c r="AS26" s="621">
        <f t="shared" si="1"/>
        <v>40984.703999999991</v>
      </c>
      <c r="AT26" s="621">
        <f t="shared" si="1"/>
        <v>40984.703999999991</v>
      </c>
      <c r="AU26" s="621">
        <f t="shared" si="1"/>
        <v>60516.476999999984</v>
      </c>
      <c r="AV26" s="621">
        <f t="shared" si="1"/>
        <v>60516.476999999984</v>
      </c>
      <c r="AW26" s="621">
        <f t="shared" si="1"/>
        <v>60516.476999999984</v>
      </c>
    </row>
    <row r="27" spans="1:49" x14ac:dyDescent="0.3">
      <c r="A27" s="313" t="s">
        <v>291</v>
      </c>
      <c r="B27" s="272"/>
      <c r="C27" s="272"/>
      <c r="D27" s="272"/>
      <c r="E27" s="272"/>
      <c r="F27" s="272"/>
      <c r="G27" s="272"/>
      <c r="H27" s="272"/>
      <c r="I27" s="272"/>
      <c r="J27" s="272"/>
      <c r="K27" s="272"/>
      <c r="L27" s="272"/>
      <c r="M27" s="272"/>
      <c r="N27" s="272"/>
      <c r="O27" s="271"/>
      <c r="P27" s="314"/>
      <c r="Q27" s="272"/>
      <c r="R27" s="272"/>
      <c r="S27" s="272"/>
      <c r="T27" s="272"/>
      <c r="U27" s="272"/>
      <c r="V27" s="272"/>
      <c r="W27" s="272"/>
      <c r="X27" s="272"/>
      <c r="Y27" s="272"/>
      <c r="Z27" s="272"/>
      <c r="AA27" s="272">
        <f>Z26</f>
        <v>35571.689999999995</v>
      </c>
      <c r="AB27" s="272">
        <f>$Z$26</f>
        <v>35571.689999999995</v>
      </c>
      <c r="AC27" s="272">
        <f>$AA$26</f>
        <v>42269.85</v>
      </c>
      <c r="AD27" s="272">
        <f>$AB$26</f>
        <v>35125.649999999994</v>
      </c>
      <c r="AE27" s="272">
        <f>$AD$26</f>
        <v>34679.61</v>
      </c>
      <c r="AF27" s="272">
        <f>$AE$26</f>
        <v>38247.93</v>
      </c>
      <c r="AG27" s="272">
        <f>$AF$26</f>
        <v>30776.76</v>
      </c>
      <c r="AH27" s="272">
        <f>$AG$26</f>
        <v>40924.17</v>
      </c>
      <c r="AI27" s="272">
        <f>$AH$26</f>
        <v>47503.259999999995</v>
      </c>
      <c r="AJ27" s="272">
        <f>$AI$26</f>
        <v>52075.17</v>
      </c>
      <c r="AK27" s="272">
        <f>$AJ$26</f>
        <v>45273.06</v>
      </c>
      <c r="AL27" s="621">
        <f t="shared" si="1"/>
        <v>47726.28</v>
      </c>
      <c r="AM27" s="621">
        <f t="shared" si="1"/>
        <v>56312.549999999996</v>
      </c>
      <c r="AN27" s="621">
        <f t="shared" si="1"/>
        <v>46766.548843739452</v>
      </c>
      <c r="AO27" s="621">
        <f t="shared" si="1"/>
        <v>41689.128599999996</v>
      </c>
      <c r="AP27" s="621">
        <f t="shared" si="1"/>
        <v>57890.894399999983</v>
      </c>
      <c r="AQ27" s="621">
        <f t="shared" si="1"/>
        <v>58403.203199999974</v>
      </c>
      <c r="AR27" s="621">
        <f t="shared" si="1"/>
        <v>51230.879999999983</v>
      </c>
      <c r="AS27" s="621">
        <f t="shared" si="1"/>
        <v>46107.792000000001</v>
      </c>
      <c r="AT27" s="621">
        <f t="shared" si="1"/>
        <v>40984.703999999991</v>
      </c>
      <c r="AU27" s="621">
        <f t="shared" si="1"/>
        <v>40984.703999999991</v>
      </c>
      <c r="AV27" s="621">
        <f t="shared" si="1"/>
        <v>60516.476999999984</v>
      </c>
      <c r="AW27" s="621">
        <f t="shared" si="1"/>
        <v>60516.476999999984</v>
      </c>
    </row>
    <row r="28" spans="1:49" x14ac:dyDescent="0.3">
      <c r="A28" s="313" t="s">
        <v>292</v>
      </c>
      <c r="B28" s="272"/>
      <c r="C28" s="272"/>
      <c r="D28" s="272"/>
      <c r="E28" s="272"/>
      <c r="F28" s="272"/>
      <c r="G28" s="272"/>
      <c r="H28" s="272"/>
      <c r="I28" s="272"/>
      <c r="J28" s="272"/>
      <c r="K28" s="272"/>
      <c r="L28" s="272"/>
      <c r="M28" s="272"/>
      <c r="N28" s="272"/>
      <c r="O28" s="272"/>
      <c r="P28" s="286"/>
      <c r="Q28" s="314"/>
      <c r="R28" s="272"/>
      <c r="S28" s="272"/>
      <c r="T28" s="272"/>
      <c r="U28" s="272"/>
      <c r="V28" s="272"/>
      <c r="W28" s="272"/>
      <c r="X28" s="272"/>
      <c r="Y28" s="272"/>
      <c r="Z28" s="272"/>
      <c r="AA28" s="272">
        <f>$X$26</f>
        <v>0</v>
      </c>
      <c r="AB28" s="272">
        <f>$Y$26</f>
        <v>0</v>
      </c>
      <c r="AC28" s="272">
        <f>$Z$26</f>
        <v>35571.689999999995</v>
      </c>
      <c r="AD28" s="272">
        <f>$AA$26</f>
        <v>42269.85</v>
      </c>
      <c r="AE28" s="272">
        <f>$AB$26</f>
        <v>35125.649999999994</v>
      </c>
      <c r="AF28" s="272">
        <f>$AD$26</f>
        <v>34679.61</v>
      </c>
      <c r="AG28" s="272">
        <f>$AE$26</f>
        <v>38247.93</v>
      </c>
      <c r="AH28" s="272">
        <f>$AF$26</f>
        <v>30776.76</v>
      </c>
      <c r="AI28" s="272">
        <f>$AG$26</f>
        <v>40924.17</v>
      </c>
      <c r="AJ28" s="272">
        <f>$AH$26</f>
        <v>47503.259999999995</v>
      </c>
      <c r="AK28" s="272">
        <f>$AI$26</f>
        <v>52075.17</v>
      </c>
      <c r="AL28" s="619">
        <f>$AJ$26</f>
        <v>45273.06</v>
      </c>
      <c r="AM28" s="621">
        <f t="shared" si="1"/>
        <v>47726.28</v>
      </c>
      <c r="AN28" s="621">
        <f t="shared" si="1"/>
        <v>56312.549999999996</v>
      </c>
      <c r="AO28" s="621">
        <f t="shared" si="1"/>
        <v>46766.548843739452</v>
      </c>
      <c r="AP28" s="621">
        <f t="shared" si="1"/>
        <v>41689.128599999996</v>
      </c>
      <c r="AQ28" s="621">
        <f t="shared" si="1"/>
        <v>57890.894399999983</v>
      </c>
      <c r="AR28" s="621">
        <f t="shared" si="1"/>
        <v>58403.203199999974</v>
      </c>
      <c r="AS28" s="621">
        <f t="shared" si="1"/>
        <v>51230.879999999983</v>
      </c>
      <c r="AT28" s="621">
        <f t="shared" si="1"/>
        <v>46107.792000000001</v>
      </c>
      <c r="AU28" s="621">
        <f t="shared" si="1"/>
        <v>40984.703999999991</v>
      </c>
      <c r="AV28" s="621">
        <f t="shared" si="1"/>
        <v>40984.703999999991</v>
      </c>
      <c r="AW28" s="621">
        <f t="shared" si="1"/>
        <v>60516.476999999984</v>
      </c>
    </row>
    <row r="29" spans="1:49" x14ac:dyDescent="0.3">
      <c r="A29" s="313" t="s">
        <v>293</v>
      </c>
      <c r="B29" s="272"/>
      <c r="C29" s="272"/>
      <c r="D29" s="272"/>
      <c r="E29" s="272"/>
      <c r="F29" s="272"/>
      <c r="G29" s="272"/>
      <c r="H29" s="272"/>
      <c r="I29" s="272"/>
      <c r="J29" s="272"/>
      <c r="K29" s="272"/>
      <c r="L29" s="272"/>
      <c r="M29" s="272"/>
      <c r="N29" s="272"/>
      <c r="O29" s="272"/>
      <c r="P29" s="272"/>
      <c r="Q29" s="286"/>
      <c r="R29" s="314"/>
      <c r="S29" s="272"/>
      <c r="T29" s="272"/>
      <c r="U29" s="272"/>
      <c r="V29" s="272"/>
      <c r="W29" s="272"/>
      <c r="X29" s="272"/>
      <c r="Y29" s="272"/>
      <c r="Z29" s="272"/>
      <c r="AA29" s="272">
        <f>$W$26</f>
        <v>0</v>
      </c>
      <c r="AB29" s="272">
        <f>$X$26</f>
        <v>0</v>
      </c>
      <c r="AC29" s="272">
        <f>$Y$26</f>
        <v>0</v>
      </c>
      <c r="AD29" s="272">
        <f>$Z$26</f>
        <v>35571.689999999995</v>
      </c>
      <c r="AE29" s="272">
        <f>$AA$26</f>
        <v>42269.85</v>
      </c>
      <c r="AF29" s="272">
        <f>$AB$26</f>
        <v>35125.649999999994</v>
      </c>
      <c r="AG29" s="272">
        <f>$AD$26</f>
        <v>34679.61</v>
      </c>
      <c r="AH29" s="272">
        <f>$AE$26</f>
        <v>38247.93</v>
      </c>
      <c r="AI29" s="272">
        <f>$AF$26</f>
        <v>30776.76</v>
      </c>
      <c r="AJ29" s="272">
        <f>$AG$26</f>
        <v>40924.17</v>
      </c>
      <c r="AK29" s="272">
        <f>$AH$26</f>
        <v>47503.259999999995</v>
      </c>
      <c r="AL29" s="619">
        <f>$AI$26</f>
        <v>52075.17</v>
      </c>
      <c r="AM29" s="619">
        <f>$AJ$26</f>
        <v>45273.06</v>
      </c>
      <c r="AN29" s="621">
        <f t="shared" si="1"/>
        <v>47726.28</v>
      </c>
      <c r="AO29" s="621">
        <f t="shared" si="1"/>
        <v>56312.549999999996</v>
      </c>
      <c r="AP29" s="621">
        <f t="shared" si="1"/>
        <v>46766.548843739452</v>
      </c>
      <c r="AQ29" s="621">
        <f t="shared" si="1"/>
        <v>41689.128599999996</v>
      </c>
      <c r="AR29" s="621">
        <f t="shared" si="1"/>
        <v>57890.894399999983</v>
      </c>
      <c r="AS29" s="621">
        <f t="shared" si="1"/>
        <v>58403.203199999974</v>
      </c>
      <c r="AT29" s="621">
        <f t="shared" si="1"/>
        <v>51230.879999999983</v>
      </c>
      <c r="AU29" s="621">
        <f t="shared" si="1"/>
        <v>46107.792000000001</v>
      </c>
      <c r="AV29" s="621">
        <f t="shared" si="1"/>
        <v>40984.703999999991</v>
      </c>
      <c r="AW29" s="621">
        <f t="shared" si="1"/>
        <v>40984.703999999991</v>
      </c>
    </row>
    <row r="30" spans="1:49" x14ac:dyDescent="0.3">
      <c r="A30" s="313" t="s">
        <v>294</v>
      </c>
      <c r="B30" s="272"/>
      <c r="C30" s="272"/>
      <c r="D30" s="272"/>
      <c r="E30" s="272"/>
      <c r="F30" s="272"/>
      <c r="G30" s="272"/>
      <c r="H30" s="272"/>
      <c r="I30" s="272"/>
      <c r="J30" s="272"/>
      <c r="K30" s="272"/>
      <c r="L30" s="272"/>
      <c r="M30" s="272"/>
      <c r="N30" s="272"/>
      <c r="O30" s="272"/>
      <c r="P30" s="272"/>
      <c r="Q30" s="272"/>
      <c r="R30" s="286"/>
      <c r="S30" s="314"/>
      <c r="T30" s="272"/>
      <c r="U30" s="272"/>
      <c r="V30" s="272"/>
      <c r="W30" s="272"/>
      <c r="X30" s="272"/>
      <c r="Y30" s="272"/>
      <c r="Z30" s="272"/>
      <c r="AA30" s="272">
        <f>$V$26</f>
        <v>0</v>
      </c>
      <c r="AB30" s="272">
        <f>$W$26</f>
        <v>0</v>
      </c>
      <c r="AC30" s="272">
        <f>$X$26</f>
        <v>0</v>
      </c>
      <c r="AD30" s="272">
        <f>$Y$26</f>
        <v>0</v>
      </c>
      <c r="AE30" s="272">
        <f>$Z$26</f>
        <v>35571.689999999995</v>
      </c>
      <c r="AF30" s="272">
        <f>$AA$26</f>
        <v>42269.85</v>
      </c>
      <c r="AG30" s="272">
        <f>$AB$26</f>
        <v>35125.649999999994</v>
      </c>
      <c r="AH30" s="272">
        <f>$AD$26</f>
        <v>34679.61</v>
      </c>
      <c r="AI30" s="272">
        <f>$AE$26</f>
        <v>38247.93</v>
      </c>
      <c r="AJ30" s="272">
        <f>$AF$26</f>
        <v>30776.76</v>
      </c>
      <c r="AK30" s="272">
        <f>$AG$26</f>
        <v>40924.17</v>
      </c>
      <c r="AL30" s="619">
        <f>$AH$26</f>
        <v>47503.259999999995</v>
      </c>
      <c r="AM30" s="619">
        <f>$AI$26</f>
        <v>52075.17</v>
      </c>
      <c r="AN30" s="619">
        <f>$AJ$26</f>
        <v>45273.06</v>
      </c>
      <c r="AO30" s="621">
        <f t="shared" si="1"/>
        <v>47726.28</v>
      </c>
      <c r="AP30" s="621">
        <f t="shared" si="1"/>
        <v>56312.549999999996</v>
      </c>
      <c r="AQ30" s="621">
        <f t="shared" si="1"/>
        <v>46766.548843739452</v>
      </c>
      <c r="AR30" s="621">
        <f t="shared" si="1"/>
        <v>41689.128599999996</v>
      </c>
      <c r="AS30" s="621">
        <f t="shared" si="1"/>
        <v>57890.894399999983</v>
      </c>
      <c r="AT30" s="621">
        <f t="shared" si="1"/>
        <v>58403.203199999974</v>
      </c>
      <c r="AU30" s="621">
        <f t="shared" si="1"/>
        <v>51230.879999999983</v>
      </c>
      <c r="AV30" s="621">
        <f t="shared" si="1"/>
        <v>46107.792000000001</v>
      </c>
      <c r="AW30" s="621">
        <f t="shared" si="1"/>
        <v>40984.703999999991</v>
      </c>
    </row>
    <row r="31" spans="1:49" x14ac:dyDescent="0.3">
      <c r="A31" s="313" t="s">
        <v>295</v>
      </c>
      <c r="B31" s="272"/>
      <c r="C31" s="272"/>
      <c r="D31" s="272"/>
      <c r="E31" s="272"/>
      <c r="F31" s="272"/>
      <c r="G31" s="272"/>
      <c r="H31" s="272"/>
      <c r="I31" s="272"/>
      <c r="J31" s="272"/>
      <c r="K31" s="272"/>
      <c r="L31" s="272"/>
      <c r="M31" s="272"/>
      <c r="N31" s="272"/>
      <c r="O31" s="272"/>
      <c r="P31" s="272"/>
      <c r="Q31" s="272"/>
      <c r="R31" s="272"/>
      <c r="S31" s="286"/>
      <c r="T31" s="314"/>
      <c r="U31" s="272"/>
      <c r="V31" s="272"/>
      <c r="W31" s="272"/>
      <c r="X31" s="272"/>
      <c r="Y31" s="272"/>
      <c r="Z31" s="272"/>
      <c r="AA31" s="272">
        <f>$U$26</f>
        <v>0</v>
      </c>
      <c r="AB31" s="272">
        <f>$V$26</f>
        <v>0</v>
      </c>
      <c r="AC31" s="272">
        <f>$W$26</f>
        <v>0</v>
      </c>
      <c r="AD31" s="272">
        <f>$X$26</f>
        <v>0</v>
      </c>
      <c r="AE31" s="272">
        <f>$Y$26</f>
        <v>0</v>
      </c>
      <c r="AF31" s="272">
        <f>$Z$26</f>
        <v>35571.689999999995</v>
      </c>
      <c r="AG31" s="272">
        <f>$AA$26</f>
        <v>42269.85</v>
      </c>
      <c r="AH31" s="272">
        <f>$AB$26</f>
        <v>35125.649999999994</v>
      </c>
      <c r="AI31" s="272">
        <f>$AD$26</f>
        <v>34679.61</v>
      </c>
      <c r="AJ31" s="272">
        <f>$AE$26</f>
        <v>38247.93</v>
      </c>
      <c r="AK31" s="272">
        <f>$AF$26</f>
        <v>30776.76</v>
      </c>
      <c r="AL31" s="619">
        <f>$AG$26</f>
        <v>40924.17</v>
      </c>
      <c r="AM31" s="619">
        <f>$AH$26</f>
        <v>47503.259999999995</v>
      </c>
      <c r="AN31" s="619">
        <f>$AI$26</f>
        <v>52075.17</v>
      </c>
      <c r="AO31" s="619">
        <f>$AJ$26</f>
        <v>45273.06</v>
      </c>
      <c r="AP31" s="621">
        <f t="shared" ref="AP31:AW38" si="4">AO30</f>
        <v>47726.28</v>
      </c>
      <c r="AQ31" s="621">
        <f t="shared" si="4"/>
        <v>56312.549999999996</v>
      </c>
      <c r="AR31" s="621">
        <f t="shared" si="4"/>
        <v>46766.548843739452</v>
      </c>
      <c r="AS31" s="621">
        <f t="shared" si="4"/>
        <v>41689.128599999996</v>
      </c>
      <c r="AT31" s="621">
        <f t="shared" si="4"/>
        <v>57890.894399999983</v>
      </c>
      <c r="AU31" s="621">
        <f t="shared" si="4"/>
        <v>58403.203199999974</v>
      </c>
      <c r="AV31" s="621">
        <f t="shared" si="4"/>
        <v>51230.879999999983</v>
      </c>
      <c r="AW31" s="621">
        <f t="shared" si="4"/>
        <v>46107.792000000001</v>
      </c>
    </row>
    <row r="32" spans="1:49" x14ac:dyDescent="0.3">
      <c r="A32" s="313" t="s">
        <v>296</v>
      </c>
      <c r="B32" s="272"/>
      <c r="C32" s="272"/>
      <c r="D32" s="272"/>
      <c r="E32" s="272"/>
      <c r="F32" s="272"/>
      <c r="G32" s="272"/>
      <c r="H32" s="272"/>
      <c r="I32" s="272"/>
      <c r="J32" s="272"/>
      <c r="K32" s="272"/>
      <c r="L32" s="272"/>
      <c r="M32" s="272"/>
      <c r="N32" s="272"/>
      <c r="O32" s="272"/>
      <c r="P32" s="272"/>
      <c r="Q32" s="272"/>
      <c r="R32" s="272"/>
      <c r="S32" s="272"/>
      <c r="T32" s="286"/>
      <c r="U32" s="314"/>
      <c r="V32" s="272"/>
      <c r="W32" s="272"/>
      <c r="X32" s="272"/>
      <c r="Y32" s="272"/>
      <c r="Z32" s="272"/>
      <c r="AA32" s="272">
        <f>$T$26</f>
        <v>0</v>
      </c>
      <c r="AB32" s="272">
        <f>$U$26</f>
        <v>0</v>
      </c>
      <c r="AC32" s="272">
        <f>$V$26</f>
        <v>0</v>
      </c>
      <c r="AD32" s="272">
        <f>$W$26</f>
        <v>0</v>
      </c>
      <c r="AE32" s="272">
        <f>$X$26</f>
        <v>0</v>
      </c>
      <c r="AF32" s="272">
        <f>$Y$26</f>
        <v>0</v>
      </c>
      <c r="AG32" s="272">
        <f>$Z$26</f>
        <v>35571.689999999995</v>
      </c>
      <c r="AH32" s="272">
        <f>$AA$26</f>
        <v>42269.85</v>
      </c>
      <c r="AI32" s="272">
        <f>$AB$26</f>
        <v>35125.649999999994</v>
      </c>
      <c r="AJ32" s="272">
        <f>$AD$26</f>
        <v>34679.61</v>
      </c>
      <c r="AK32" s="272">
        <f>$AE$26</f>
        <v>38247.93</v>
      </c>
      <c r="AL32" s="619">
        <f>$AF$26</f>
        <v>30776.76</v>
      </c>
      <c r="AM32" s="619">
        <f>$AG$26</f>
        <v>40924.17</v>
      </c>
      <c r="AN32" s="619">
        <f>$AH$26</f>
        <v>47503.259999999995</v>
      </c>
      <c r="AO32" s="619">
        <f>$AI$26</f>
        <v>52075.17</v>
      </c>
      <c r="AP32" s="619">
        <f>$AJ$26</f>
        <v>45273.06</v>
      </c>
      <c r="AQ32" s="621">
        <f t="shared" si="4"/>
        <v>47726.28</v>
      </c>
      <c r="AR32" s="621">
        <f t="shared" si="4"/>
        <v>56312.549999999996</v>
      </c>
      <c r="AS32" s="621">
        <f t="shared" si="4"/>
        <v>46766.548843739452</v>
      </c>
      <c r="AT32" s="621">
        <f t="shared" si="4"/>
        <v>41689.128599999996</v>
      </c>
      <c r="AU32" s="621">
        <f t="shared" si="4"/>
        <v>57890.894399999983</v>
      </c>
      <c r="AV32" s="621">
        <f t="shared" si="4"/>
        <v>58403.203199999974</v>
      </c>
      <c r="AW32" s="621">
        <f t="shared" si="4"/>
        <v>51230.879999999983</v>
      </c>
    </row>
    <row r="33" spans="1:49" x14ac:dyDescent="0.3">
      <c r="A33" s="313" t="s">
        <v>297</v>
      </c>
      <c r="B33" s="272"/>
      <c r="C33" s="272"/>
      <c r="D33" s="272"/>
      <c r="E33" s="272"/>
      <c r="F33" s="272"/>
      <c r="G33" s="272"/>
      <c r="H33" s="272"/>
      <c r="I33" s="272"/>
      <c r="J33" s="272"/>
      <c r="K33" s="272"/>
      <c r="L33" s="272"/>
      <c r="M33" s="272"/>
      <c r="N33" s="272"/>
      <c r="O33" s="272"/>
      <c r="P33" s="272"/>
      <c r="Q33" s="272"/>
      <c r="R33" s="272"/>
      <c r="S33" s="272"/>
      <c r="T33" s="272"/>
      <c r="U33" s="286"/>
      <c r="V33" s="314"/>
      <c r="W33" s="272"/>
      <c r="X33" s="272"/>
      <c r="Y33" s="272"/>
      <c r="Z33" s="272"/>
      <c r="AA33" s="272">
        <f>$S$26</f>
        <v>0</v>
      </c>
      <c r="AB33" s="272">
        <f>$T$26</f>
        <v>0</v>
      </c>
      <c r="AC33" s="272">
        <f>$U$26</f>
        <v>0</v>
      </c>
      <c r="AD33" s="272">
        <f>$V$26</f>
        <v>0</v>
      </c>
      <c r="AE33" s="272">
        <f>$W$26</f>
        <v>0</v>
      </c>
      <c r="AF33" s="272">
        <f>$X$26</f>
        <v>0</v>
      </c>
      <c r="AG33" s="272">
        <f>$Y$26</f>
        <v>0</v>
      </c>
      <c r="AH33" s="272">
        <f>$Z$26</f>
        <v>35571.689999999995</v>
      </c>
      <c r="AI33" s="272">
        <f>$AA$26</f>
        <v>42269.85</v>
      </c>
      <c r="AJ33" s="272">
        <f>$AB$26</f>
        <v>35125.649999999994</v>
      </c>
      <c r="AK33" s="272">
        <f>$AD$26</f>
        <v>34679.61</v>
      </c>
      <c r="AL33" s="619">
        <f>$AE$26</f>
        <v>38247.93</v>
      </c>
      <c r="AM33" s="619">
        <f>$AF$26</f>
        <v>30776.76</v>
      </c>
      <c r="AN33" s="619">
        <f>$AG$26</f>
        <v>40924.17</v>
      </c>
      <c r="AO33" s="619">
        <f>$AH$26</f>
        <v>47503.259999999995</v>
      </c>
      <c r="AP33" s="619">
        <f>$AI$26</f>
        <v>52075.17</v>
      </c>
      <c r="AQ33" s="619">
        <f>$AJ$26</f>
        <v>45273.06</v>
      </c>
      <c r="AR33" s="621">
        <f t="shared" si="4"/>
        <v>47726.28</v>
      </c>
      <c r="AS33" s="621">
        <f t="shared" si="4"/>
        <v>56312.549999999996</v>
      </c>
      <c r="AT33" s="621">
        <f t="shared" si="4"/>
        <v>46766.548843739452</v>
      </c>
      <c r="AU33" s="621">
        <f t="shared" si="4"/>
        <v>41689.128599999996</v>
      </c>
      <c r="AV33" s="621">
        <f t="shared" si="4"/>
        <v>57890.894399999983</v>
      </c>
      <c r="AW33" s="621">
        <f t="shared" si="4"/>
        <v>58403.203199999974</v>
      </c>
    </row>
    <row r="34" spans="1:49" x14ac:dyDescent="0.3">
      <c r="A34" s="313" t="s">
        <v>298</v>
      </c>
      <c r="B34" s="272"/>
      <c r="C34" s="272"/>
      <c r="D34" s="272"/>
      <c r="E34" s="272"/>
      <c r="F34" s="272"/>
      <c r="G34" s="272"/>
      <c r="H34" s="272"/>
      <c r="I34" s="272"/>
      <c r="J34" s="272"/>
      <c r="K34" s="272"/>
      <c r="L34" s="272"/>
      <c r="M34" s="272"/>
      <c r="N34" s="272"/>
      <c r="O34" s="272"/>
      <c r="P34" s="272"/>
      <c r="Q34" s="272"/>
      <c r="R34" s="272"/>
      <c r="S34" s="272"/>
      <c r="T34" s="272"/>
      <c r="U34" s="272"/>
      <c r="V34" s="286"/>
      <c r="W34" s="314"/>
      <c r="X34" s="272"/>
      <c r="Y34" s="272"/>
      <c r="Z34" s="272"/>
      <c r="AA34" s="272">
        <f>$R$26</f>
        <v>0</v>
      </c>
      <c r="AB34" s="272">
        <f>$S$26</f>
        <v>0</v>
      </c>
      <c r="AC34" s="272">
        <f>$T$26</f>
        <v>0</v>
      </c>
      <c r="AD34" s="272">
        <f>$U$26</f>
        <v>0</v>
      </c>
      <c r="AE34" s="272">
        <f>$V$26</f>
        <v>0</v>
      </c>
      <c r="AF34" s="272">
        <f>$W$26</f>
        <v>0</v>
      </c>
      <c r="AG34" s="272">
        <f>$X$26</f>
        <v>0</v>
      </c>
      <c r="AH34" s="272">
        <f>$Y$26</f>
        <v>0</v>
      </c>
      <c r="AI34" s="272">
        <f>$Z$26</f>
        <v>35571.689999999995</v>
      </c>
      <c r="AJ34" s="272">
        <f>$AA$26</f>
        <v>42269.85</v>
      </c>
      <c r="AK34" s="272">
        <f>$AB$26</f>
        <v>35125.649999999994</v>
      </c>
      <c r="AL34" s="619">
        <f>$AD$26</f>
        <v>34679.61</v>
      </c>
      <c r="AM34" s="619">
        <f>$AE$26</f>
        <v>38247.93</v>
      </c>
      <c r="AN34" s="619">
        <f>$AF$26</f>
        <v>30776.76</v>
      </c>
      <c r="AO34" s="619">
        <f>$AG$26</f>
        <v>40924.17</v>
      </c>
      <c r="AP34" s="619">
        <f>$AH$26</f>
        <v>47503.259999999995</v>
      </c>
      <c r="AQ34" s="619">
        <f>$AI$26</f>
        <v>52075.17</v>
      </c>
      <c r="AR34" s="619">
        <f>$AJ$26</f>
        <v>45273.06</v>
      </c>
      <c r="AS34" s="621">
        <f t="shared" si="4"/>
        <v>47726.28</v>
      </c>
      <c r="AT34" s="621">
        <f t="shared" si="4"/>
        <v>56312.549999999996</v>
      </c>
      <c r="AU34" s="621">
        <f t="shared" si="4"/>
        <v>46766.548843739452</v>
      </c>
      <c r="AV34" s="621">
        <f t="shared" si="4"/>
        <v>41689.128599999996</v>
      </c>
      <c r="AW34" s="621">
        <f t="shared" si="4"/>
        <v>57890.894399999983</v>
      </c>
    </row>
    <row r="35" spans="1:49" x14ac:dyDescent="0.3">
      <c r="A35" s="313" t="s">
        <v>299</v>
      </c>
      <c r="B35" s="272"/>
      <c r="C35" s="272"/>
      <c r="D35" s="272"/>
      <c r="E35" s="272"/>
      <c r="F35" s="272"/>
      <c r="G35" s="272"/>
      <c r="H35" s="272"/>
      <c r="I35" s="272"/>
      <c r="J35" s="272"/>
      <c r="K35" s="272"/>
      <c r="L35" s="272"/>
      <c r="M35" s="272"/>
      <c r="N35" s="272"/>
      <c r="O35" s="272"/>
      <c r="P35" s="272"/>
      <c r="Q35" s="272"/>
      <c r="R35" s="272"/>
      <c r="S35" s="272"/>
      <c r="T35" s="272"/>
      <c r="U35" s="272"/>
      <c r="V35" s="272"/>
      <c r="W35" s="286"/>
      <c r="X35" s="314"/>
      <c r="Y35" s="272"/>
      <c r="Z35" s="272"/>
      <c r="AA35" s="272">
        <f>$Q$26</f>
        <v>0</v>
      </c>
      <c r="AB35" s="272">
        <f>$R$26</f>
        <v>0</v>
      </c>
      <c r="AC35" s="272">
        <f>$S$26</f>
        <v>0</v>
      </c>
      <c r="AD35" s="272">
        <f>$T$26</f>
        <v>0</v>
      </c>
      <c r="AE35" s="272">
        <f>$U$26</f>
        <v>0</v>
      </c>
      <c r="AF35" s="272">
        <f>$V$26</f>
        <v>0</v>
      </c>
      <c r="AG35" s="272">
        <f>$W$26</f>
        <v>0</v>
      </c>
      <c r="AH35" s="272">
        <f>$X$26</f>
        <v>0</v>
      </c>
      <c r="AI35" s="272">
        <f>$Y$26</f>
        <v>0</v>
      </c>
      <c r="AJ35" s="272">
        <f>$Z$26</f>
        <v>35571.689999999995</v>
      </c>
      <c r="AK35" s="272">
        <f>$AA$26</f>
        <v>42269.85</v>
      </c>
      <c r="AL35" s="619">
        <f>$AB$26</f>
        <v>35125.649999999994</v>
      </c>
      <c r="AM35" s="619">
        <f>$AD$26</f>
        <v>34679.61</v>
      </c>
      <c r="AN35" s="619">
        <f>$AE$26</f>
        <v>38247.93</v>
      </c>
      <c r="AO35" s="619">
        <f>$AF$26</f>
        <v>30776.76</v>
      </c>
      <c r="AP35" s="619">
        <f>$AG$26</f>
        <v>40924.17</v>
      </c>
      <c r="AQ35" s="619">
        <f>$AH$26</f>
        <v>47503.259999999995</v>
      </c>
      <c r="AR35" s="619">
        <f>$AI$26</f>
        <v>52075.17</v>
      </c>
      <c r="AS35" s="619">
        <f>$AJ$26</f>
        <v>45273.06</v>
      </c>
      <c r="AT35" s="621">
        <f t="shared" si="4"/>
        <v>47726.28</v>
      </c>
      <c r="AU35" s="621">
        <f t="shared" si="4"/>
        <v>56312.549999999996</v>
      </c>
      <c r="AV35" s="621">
        <f t="shared" si="4"/>
        <v>46766.548843739452</v>
      </c>
      <c r="AW35" s="621">
        <f t="shared" si="4"/>
        <v>41689.128599999996</v>
      </c>
    </row>
    <row r="36" spans="1:49" x14ac:dyDescent="0.3">
      <c r="A36" s="313" t="s">
        <v>300</v>
      </c>
      <c r="B36" s="272"/>
      <c r="C36" s="272"/>
      <c r="D36" s="272"/>
      <c r="E36" s="272"/>
      <c r="F36" s="272"/>
      <c r="G36" s="272"/>
      <c r="H36" s="272"/>
      <c r="I36" s="272"/>
      <c r="J36" s="272"/>
      <c r="K36" s="272"/>
      <c r="L36" s="272"/>
      <c r="M36" s="272"/>
      <c r="N36" s="272"/>
      <c r="O36" s="272"/>
      <c r="P36" s="272"/>
      <c r="Q36" s="272"/>
      <c r="R36" s="272"/>
      <c r="S36" s="272"/>
      <c r="T36" s="272"/>
      <c r="U36" s="272"/>
      <c r="V36" s="272"/>
      <c r="W36" s="272"/>
      <c r="X36" s="286"/>
      <c r="Y36" s="314"/>
      <c r="Z36" s="272"/>
      <c r="AA36" s="272">
        <f>$P$26</f>
        <v>0</v>
      </c>
      <c r="AB36" s="272">
        <f>$Q$26</f>
        <v>0</v>
      </c>
      <c r="AC36" s="272">
        <f>$R$26</f>
        <v>0</v>
      </c>
      <c r="AD36" s="272">
        <f>$S$26</f>
        <v>0</v>
      </c>
      <c r="AE36" s="272">
        <f>$T$26</f>
        <v>0</v>
      </c>
      <c r="AF36" s="272">
        <f>$U$26</f>
        <v>0</v>
      </c>
      <c r="AG36" s="272">
        <f>$V$26</f>
        <v>0</v>
      </c>
      <c r="AH36" s="272">
        <f>$W$26</f>
        <v>0</v>
      </c>
      <c r="AI36" s="272">
        <f>$X$26</f>
        <v>0</v>
      </c>
      <c r="AJ36" s="272">
        <f>$Y$26</f>
        <v>0</v>
      </c>
      <c r="AK36" s="272">
        <f>$Z$26</f>
        <v>35571.689999999995</v>
      </c>
      <c r="AL36" s="619">
        <f>$AA$26</f>
        <v>42269.85</v>
      </c>
      <c r="AM36" s="619">
        <f>$AB$26</f>
        <v>35125.649999999994</v>
      </c>
      <c r="AN36" s="619">
        <f>$AD$26</f>
        <v>34679.61</v>
      </c>
      <c r="AO36" s="619">
        <f>$AE$26</f>
        <v>38247.93</v>
      </c>
      <c r="AP36" s="619">
        <f>$AF$26</f>
        <v>30776.76</v>
      </c>
      <c r="AQ36" s="619">
        <f>$AG$26</f>
        <v>40924.17</v>
      </c>
      <c r="AR36" s="619">
        <f>$AH$26</f>
        <v>47503.259999999995</v>
      </c>
      <c r="AS36" s="619">
        <f>$AI$26</f>
        <v>52075.17</v>
      </c>
      <c r="AT36" s="619">
        <f>$AJ$26</f>
        <v>45273.06</v>
      </c>
      <c r="AU36" s="621">
        <f t="shared" si="4"/>
        <v>47726.28</v>
      </c>
      <c r="AV36" s="621">
        <f t="shared" si="4"/>
        <v>56312.549999999996</v>
      </c>
      <c r="AW36" s="621">
        <f t="shared" si="4"/>
        <v>46766.548843739452</v>
      </c>
    </row>
    <row r="37" spans="1:49" x14ac:dyDescent="0.3">
      <c r="A37" s="313" t="s">
        <v>301</v>
      </c>
      <c r="B37" s="272"/>
      <c r="C37" s="272"/>
      <c r="D37" s="272"/>
      <c r="E37" s="272"/>
      <c r="F37" s="272"/>
      <c r="G37" s="272"/>
      <c r="H37" s="272"/>
      <c r="I37" s="272"/>
      <c r="J37" s="272"/>
      <c r="K37" s="272"/>
      <c r="L37" s="272"/>
      <c r="M37" s="272"/>
      <c r="N37" s="272"/>
      <c r="O37" s="272"/>
      <c r="P37" s="272"/>
      <c r="Q37" s="272"/>
      <c r="R37" s="272"/>
      <c r="S37" s="272"/>
      <c r="T37" s="272"/>
      <c r="U37" s="272"/>
      <c r="V37" s="272"/>
      <c r="W37" s="272"/>
      <c r="X37" s="272"/>
      <c r="Y37" s="286"/>
      <c r="Z37" s="314"/>
      <c r="AA37" s="272">
        <f>$O$26</f>
        <v>0</v>
      </c>
      <c r="AB37" s="272">
        <f>$P$26</f>
        <v>0</v>
      </c>
      <c r="AC37" s="272">
        <f>$Q$26</f>
        <v>0</v>
      </c>
      <c r="AD37" s="272">
        <f>$R$26</f>
        <v>0</v>
      </c>
      <c r="AE37" s="272">
        <f>$S$26</f>
        <v>0</v>
      </c>
      <c r="AF37" s="272">
        <f>$T$26</f>
        <v>0</v>
      </c>
      <c r="AG37" s="272">
        <f>$U$26</f>
        <v>0</v>
      </c>
      <c r="AH37" s="272">
        <f>$V$26</f>
        <v>0</v>
      </c>
      <c r="AI37" s="272">
        <f>$W$26</f>
        <v>0</v>
      </c>
      <c r="AJ37" s="272">
        <f>$X$26</f>
        <v>0</v>
      </c>
      <c r="AK37" s="272">
        <f>$Y$26</f>
        <v>0</v>
      </c>
      <c r="AL37" s="619">
        <f>$Z$26</f>
        <v>35571.689999999995</v>
      </c>
      <c r="AM37" s="619">
        <f>$AA$26</f>
        <v>42269.85</v>
      </c>
      <c r="AN37" s="619">
        <f>$AB$26</f>
        <v>35125.649999999994</v>
      </c>
      <c r="AO37" s="619">
        <f>$AD$26</f>
        <v>34679.61</v>
      </c>
      <c r="AP37" s="619">
        <f>$AE$26</f>
        <v>38247.93</v>
      </c>
      <c r="AQ37" s="619">
        <f>$AF$26</f>
        <v>30776.76</v>
      </c>
      <c r="AR37" s="619">
        <f>$AG$26</f>
        <v>40924.17</v>
      </c>
      <c r="AS37" s="619">
        <f>$AH$26</f>
        <v>47503.259999999995</v>
      </c>
      <c r="AT37" s="619">
        <f>$AI$26</f>
        <v>52075.17</v>
      </c>
      <c r="AU37" s="619">
        <f>$AJ$26</f>
        <v>45273.06</v>
      </c>
      <c r="AV37" s="621">
        <f t="shared" si="4"/>
        <v>47726.28</v>
      </c>
      <c r="AW37" s="621">
        <f t="shared" si="4"/>
        <v>56312.549999999996</v>
      </c>
    </row>
    <row r="38" spans="1:49" x14ac:dyDescent="0.3">
      <c r="A38" s="313" t="s">
        <v>302</v>
      </c>
      <c r="B38" s="272"/>
      <c r="C38" s="272"/>
      <c r="D38" s="272"/>
      <c r="E38" s="272"/>
      <c r="F38" s="272"/>
      <c r="G38" s="272"/>
      <c r="H38" s="272"/>
      <c r="I38" s="272"/>
      <c r="J38" s="272"/>
      <c r="K38" s="272"/>
      <c r="L38" s="272"/>
      <c r="M38" s="272"/>
      <c r="N38" s="272"/>
      <c r="O38" s="272"/>
      <c r="P38" s="272"/>
      <c r="Q38" s="272"/>
      <c r="R38" s="272"/>
      <c r="S38" s="272"/>
      <c r="T38" s="272"/>
      <c r="U38" s="272"/>
      <c r="V38" s="272"/>
      <c r="W38" s="272"/>
      <c r="X38" s="272"/>
      <c r="Y38" s="272"/>
      <c r="Z38" s="286"/>
      <c r="AA38" s="314">
        <f>$N$26</f>
        <v>0</v>
      </c>
      <c r="AB38" s="272">
        <f>$O$26</f>
        <v>0</v>
      </c>
      <c r="AC38" s="272">
        <f>$P$26</f>
        <v>0</v>
      </c>
      <c r="AD38" s="272">
        <f>$Q$26</f>
        <v>0</v>
      </c>
      <c r="AE38" s="272">
        <f>$R$26</f>
        <v>0</v>
      </c>
      <c r="AF38" s="272">
        <f>$S$26</f>
        <v>0</v>
      </c>
      <c r="AG38" s="272">
        <f>$T$26</f>
        <v>0</v>
      </c>
      <c r="AH38" s="272">
        <f>$U$26</f>
        <v>0</v>
      </c>
      <c r="AI38" s="272">
        <f>$V$26</f>
        <v>0</v>
      </c>
      <c r="AJ38" s="272">
        <f>$W$26</f>
        <v>0</v>
      </c>
      <c r="AK38" s="272">
        <f>$X$26</f>
        <v>0</v>
      </c>
      <c r="AL38" s="619">
        <f t="shared" ref="AL38" si="5">$X$26</f>
        <v>0</v>
      </c>
      <c r="AM38" s="619">
        <f>$Z$26</f>
        <v>35571.689999999995</v>
      </c>
      <c r="AN38" s="619">
        <f>$AA$26</f>
        <v>42269.85</v>
      </c>
      <c r="AO38" s="619">
        <f>$AB$26</f>
        <v>35125.649999999994</v>
      </c>
      <c r="AP38" s="619">
        <f>$AD$26</f>
        <v>34679.61</v>
      </c>
      <c r="AQ38" s="619">
        <f>$AE$26</f>
        <v>38247.93</v>
      </c>
      <c r="AR38" s="619">
        <f>$AF$26</f>
        <v>30776.76</v>
      </c>
      <c r="AS38" s="619">
        <f>$AG$26</f>
        <v>40924.17</v>
      </c>
      <c r="AT38" s="619">
        <f>$AH$26</f>
        <v>47503.259999999995</v>
      </c>
      <c r="AU38" s="619">
        <f>$AI$26</f>
        <v>52075.17</v>
      </c>
      <c r="AV38" s="619">
        <f>$AJ$26</f>
        <v>45273.06</v>
      </c>
      <c r="AW38" s="621">
        <f t="shared" si="4"/>
        <v>47726.28</v>
      </c>
    </row>
    <row r="39" spans="1:49" x14ac:dyDescent="0.3">
      <c r="A39" s="313" t="s">
        <v>303</v>
      </c>
      <c r="B39" s="272"/>
      <c r="C39" s="272"/>
      <c r="D39" s="272"/>
      <c r="E39" s="272"/>
      <c r="F39" s="272"/>
      <c r="G39" s="272"/>
      <c r="H39" s="272"/>
      <c r="I39" s="272"/>
      <c r="J39" s="272"/>
      <c r="K39" s="272"/>
      <c r="L39" s="272"/>
      <c r="M39" s="272"/>
      <c r="N39" s="272"/>
      <c r="O39" s="272"/>
      <c r="P39" s="272"/>
      <c r="Q39" s="272"/>
      <c r="R39" s="272"/>
      <c r="S39" s="272"/>
      <c r="T39" s="272"/>
      <c r="U39" s="272"/>
      <c r="V39" s="272"/>
      <c r="W39" s="272"/>
      <c r="X39" s="272"/>
      <c r="Y39" s="272"/>
      <c r="Z39" s="272"/>
      <c r="AA39" s="286">
        <f>$N$26</f>
        <v>0</v>
      </c>
      <c r="AB39" s="314">
        <f>$N$26</f>
        <v>0</v>
      </c>
      <c r="AC39" s="272">
        <f>$O$26</f>
        <v>0</v>
      </c>
      <c r="AD39" s="272">
        <f>$P$26</f>
        <v>0</v>
      </c>
      <c r="AE39" s="272">
        <f>$Q$26</f>
        <v>0</v>
      </c>
      <c r="AF39" s="272">
        <f>$R$26</f>
        <v>0</v>
      </c>
      <c r="AG39" s="272">
        <f>$S$26</f>
        <v>0</v>
      </c>
      <c r="AH39" s="272">
        <f>$T$26</f>
        <v>0</v>
      </c>
      <c r="AI39" s="272">
        <f>$U$26</f>
        <v>0</v>
      </c>
      <c r="AJ39" s="272">
        <f>$V$26</f>
        <v>0</v>
      </c>
      <c r="AK39" s="272">
        <f>$W$26</f>
        <v>0</v>
      </c>
      <c r="AL39" s="619">
        <f t="shared" ref="AL39:AM39" si="6">$W$26</f>
        <v>0</v>
      </c>
      <c r="AM39" s="619">
        <f t="shared" si="6"/>
        <v>0</v>
      </c>
      <c r="AN39" s="619">
        <f>$Z$26</f>
        <v>35571.689999999995</v>
      </c>
      <c r="AO39" s="619">
        <f>$AA$26</f>
        <v>42269.85</v>
      </c>
      <c r="AP39" s="619">
        <f>$AB$26</f>
        <v>35125.649999999994</v>
      </c>
      <c r="AQ39" s="619">
        <f>$AD$26</f>
        <v>34679.61</v>
      </c>
      <c r="AR39" s="619">
        <f>$AE$26</f>
        <v>38247.93</v>
      </c>
      <c r="AS39" s="619">
        <f>$AF$26</f>
        <v>30776.76</v>
      </c>
      <c r="AT39" s="619">
        <f>$AG$26</f>
        <v>40924.17</v>
      </c>
      <c r="AU39" s="619">
        <f>$AH$26</f>
        <v>47503.259999999995</v>
      </c>
      <c r="AV39" s="619">
        <f>$AI$26</f>
        <v>52075.17</v>
      </c>
      <c r="AW39" s="619">
        <f>$AJ$26</f>
        <v>45273.06</v>
      </c>
    </row>
    <row r="40" spans="1:49" x14ac:dyDescent="0.3">
      <c r="A40" s="313" t="s">
        <v>304</v>
      </c>
      <c r="B40" s="272"/>
      <c r="C40" s="272"/>
      <c r="D40" s="272"/>
      <c r="E40" s="272"/>
      <c r="F40" s="272"/>
      <c r="G40" s="272"/>
      <c r="H40" s="272"/>
      <c r="I40" s="272"/>
      <c r="J40" s="272"/>
      <c r="K40" s="272"/>
      <c r="L40" s="272"/>
      <c r="M40" s="272"/>
      <c r="N40" s="272"/>
      <c r="O40" s="272"/>
      <c r="P40" s="272"/>
      <c r="Q40" s="272"/>
      <c r="R40" s="272"/>
      <c r="S40" s="272"/>
      <c r="T40" s="272"/>
      <c r="U40" s="272"/>
      <c r="V40" s="272"/>
      <c r="W40" s="272"/>
      <c r="X40" s="272"/>
      <c r="Y40" s="272"/>
      <c r="Z40" s="272"/>
      <c r="AA40" s="272"/>
      <c r="AB40" s="286">
        <f>$N$26</f>
        <v>0</v>
      </c>
      <c r="AC40" s="314">
        <f>$N$26</f>
        <v>0</v>
      </c>
      <c r="AD40" s="272">
        <f>$O$26</f>
        <v>0</v>
      </c>
      <c r="AE40" s="272">
        <f>$P$26</f>
        <v>0</v>
      </c>
      <c r="AF40" s="272">
        <f>$Q$26</f>
        <v>0</v>
      </c>
      <c r="AG40" s="272">
        <f>$R$26</f>
        <v>0</v>
      </c>
      <c r="AH40" s="272">
        <f>$S$26</f>
        <v>0</v>
      </c>
      <c r="AI40" s="272">
        <f>$T$26</f>
        <v>0</v>
      </c>
      <c r="AJ40" s="272">
        <f>$U$26</f>
        <v>0</v>
      </c>
      <c r="AK40" s="272">
        <f>$V$26</f>
        <v>0</v>
      </c>
      <c r="AL40" s="619">
        <f t="shared" ref="AL40:AN40" si="7">$V$26</f>
        <v>0</v>
      </c>
      <c r="AM40" s="619">
        <f t="shared" si="7"/>
        <v>0</v>
      </c>
      <c r="AN40" s="619">
        <f t="shared" si="7"/>
        <v>0</v>
      </c>
      <c r="AO40" s="619">
        <f>$Z$26</f>
        <v>35571.689999999995</v>
      </c>
      <c r="AP40" s="619">
        <f>$AA$26</f>
        <v>42269.85</v>
      </c>
      <c r="AQ40" s="619">
        <f>$AB$26</f>
        <v>35125.649999999994</v>
      </c>
      <c r="AR40" s="619">
        <f>$AD$26</f>
        <v>34679.61</v>
      </c>
      <c r="AS40" s="619">
        <f>$AE$26</f>
        <v>38247.93</v>
      </c>
      <c r="AT40" s="619">
        <f>$AF$26</f>
        <v>30776.76</v>
      </c>
      <c r="AU40" s="619">
        <f>$AG$26</f>
        <v>40924.17</v>
      </c>
      <c r="AV40" s="619">
        <f>$AH$26</f>
        <v>47503.259999999995</v>
      </c>
      <c r="AW40" s="619">
        <f>$AI$26</f>
        <v>52075.17</v>
      </c>
    </row>
    <row r="41" spans="1:49" x14ac:dyDescent="0.3">
      <c r="A41" s="313" t="s">
        <v>305</v>
      </c>
      <c r="B41" s="272"/>
      <c r="C41" s="272"/>
      <c r="D41" s="272"/>
      <c r="E41" s="272"/>
      <c r="F41" s="272"/>
      <c r="G41" s="272"/>
      <c r="H41" s="272"/>
      <c r="I41" s="272"/>
      <c r="J41" s="272"/>
      <c r="K41" s="272"/>
      <c r="L41" s="272"/>
      <c r="M41" s="272"/>
      <c r="N41" s="272"/>
      <c r="O41" s="272"/>
      <c r="P41" s="272"/>
      <c r="Q41" s="272"/>
      <c r="R41" s="272"/>
      <c r="S41" s="272"/>
      <c r="T41" s="272"/>
      <c r="U41" s="272"/>
      <c r="V41" s="272"/>
      <c r="W41" s="272"/>
      <c r="X41" s="272"/>
      <c r="Y41" s="272"/>
      <c r="Z41" s="272"/>
      <c r="AA41" s="272"/>
      <c r="AB41" s="272"/>
      <c r="AC41" s="286">
        <f>$N$26</f>
        <v>0</v>
      </c>
      <c r="AD41" s="314">
        <f>$N$26</f>
        <v>0</v>
      </c>
      <c r="AE41" s="272">
        <f>$O$26</f>
        <v>0</v>
      </c>
      <c r="AF41" s="272">
        <f>$P$26</f>
        <v>0</v>
      </c>
      <c r="AG41" s="272">
        <f>$Q$26</f>
        <v>0</v>
      </c>
      <c r="AH41" s="272">
        <f>$R$26</f>
        <v>0</v>
      </c>
      <c r="AI41" s="272">
        <f>$S$26</f>
        <v>0</v>
      </c>
      <c r="AJ41" s="272">
        <f>$T$26</f>
        <v>0</v>
      </c>
      <c r="AK41" s="272">
        <f>$U$26</f>
        <v>0</v>
      </c>
      <c r="AL41" s="619">
        <f t="shared" ref="AL41:AO41" si="8">$U$26</f>
        <v>0</v>
      </c>
      <c r="AM41" s="619">
        <f t="shared" si="8"/>
        <v>0</v>
      </c>
      <c r="AN41" s="619">
        <f t="shared" si="8"/>
        <v>0</v>
      </c>
      <c r="AO41" s="619">
        <f t="shared" si="8"/>
        <v>0</v>
      </c>
      <c r="AP41" s="619">
        <f>$Z$26</f>
        <v>35571.689999999995</v>
      </c>
      <c r="AQ41" s="619">
        <f>$AA$26</f>
        <v>42269.85</v>
      </c>
      <c r="AR41" s="619">
        <f>$AB$26</f>
        <v>35125.649999999994</v>
      </c>
      <c r="AS41" s="619">
        <f>$AD$26</f>
        <v>34679.61</v>
      </c>
      <c r="AT41" s="619">
        <f>$AE$26</f>
        <v>38247.93</v>
      </c>
      <c r="AU41" s="619">
        <f>$AF$26</f>
        <v>30776.76</v>
      </c>
      <c r="AV41" s="619">
        <f>$AG$26</f>
        <v>40924.17</v>
      </c>
      <c r="AW41" s="619">
        <f>$AH$26</f>
        <v>47503.259999999995</v>
      </c>
    </row>
    <row r="42" spans="1:49" x14ac:dyDescent="0.3">
      <c r="A42" s="313" t="s">
        <v>306</v>
      </c>
      <c r="B42" s="272"/>
      <c r="C42" s="272"/>
      <c r="D42" s="272"/>
      <c r="E42" s="272"/>
      <c r="F42" s="272"/>
      <c r="G42" s="272"/>
      <c r="H42" s="272"/>
      <c r="I42" s="272"/>
      <c r="J42" s="272"/>
      <c r="K42" s="272"/>
      <c r="L42" s="272"/>
      <c r="M42" s="272"/>
      <c r="N42" s="272"/>
      <c r="O42" s="272"/>
      <c r="P42" s="272"/>
      <c r="Q42" s="272"/>
      <c r="R42" s="272"/>
      <c r="S42" s="272"/>
      <c r="T42" s="272"/>
      <c r="U42" s="272"/>
      <c r="V42" s="272"/>
      <c r="W42" s="272"/>
      <c r="X42" s="272"/>
      <c r="Y42" s="272"/>
      <c r="Z42" s="272"/>
      <c r="AA42" s="272"/>
      <c r="AB42" s="272"/>
      <c r="AC42" s="272"/>
      <c r="AD42" s="286">
        <f>$N$26</f>
        <v>0</v>
      </c>
      <c r="AE42" s="314">
        <f>$N$26</f>
        <v>0</v>
      </c>
      <c r="AF42" s="272">
        <f>$O$26</f>
        <v>0</v>
      </c>
      <c r="AG42" s="272">
        <f>$P$26</f>
        <v>0</v>
      </c>
      <c r="AH42" s="272">
        <f>$Q$26</f>
        <v>0</v>
      </c>
      <c r="AI42" s="272">
        <f>$R$26</f>
        <v>0</v>
      </c>
      <c r="AJ42" s="272">
        <f>$S$26</f>
        <v>0</v>
      </c>
      <c r="AK42" s="272">
        <f>$T$26</f>
        <v>0</v>
      </c>
      <c r="AL42" s="619">
        <f t="shared" ref="AL42:AP42" si="9">$T$26</f>
        <v>0</v>
      </c>
      <c r="AM42" s="619">
        <f t="shared" si="9"/>
        <v>0</v>
      </c>
      <c r="AN42" s="619">
        <f t="shared" si="9"/>
        <v>0</v>
      </c>
      <c r="AO42" s="619">
        <f t="shared" si="9"/>
        <v>0</v>
      </c>
      <c r="AP42" s="619">
        <f t="shared" si="9"/>
        <v>0</v>
      </c>
      <c r="AQ42" s="619">
        <f>$Z$26</f>
        <v>35571.689999999995</v>
      </c>
      <c r="AR42" s="619">
        <f>$AA$26</f>
        <v>42269.85</v>
      </c>
      <c r="AS42" s="619">
        <f>$AB$26</f>
        <v>35125.649999999994</v>
      </c>
      <c r="AT42" s="619">
        <f>$AD$26</f>
        <v>34679.61</v>
      </c>
      <c r="AU42" s="619">
        <f>$AE$26</f>
        <v>38247.93</v>
      </c>
      <c r="AV42" s="619">
        <f>$AF$26</f>
        <v>30776.76</v>
      </c>
      <c r="AW42" s="619">
        <f>$AG$26</f>
        <v>40924.17</v>
      </c>
    </row>
    <row r="43" spans="1:49" x14ac:dyDescent="0.3">
      <c r="A43" s="313" t="s">
        <v>307</v>
      </c>
      <c r="B43" s="272"/>
      <c r="C43" s="272"/>
      <c r="D43" s="272"/>
      <c r="E43" s="272"/>
      <c r="F43" s="272"/>
      <c r="G43" s="272"/>
      <c r="H43" s="272"/>
      <c r="I43" s="272"/>
      <c r="J43" s="272"/>
      <c r="K43" s="272"/>
      <c r="L43" s="272"/>
      <c r="M43" s="272"/>
      <c r="N43" s="272"/>
      <c r="O43" s="272"/>
      <c r="P43" s="272"/>
      <c r="Q43" s="272"/>
      <c r="R43" s="272"/>
      <c r="S43" s="272"/>
      <c r="T43" s="272"/>
      <c r="U43" s="272"/>
      <c r="V43" s="272"/>
      <c r="W43" s="272"/>
      <c r="X43" s="272"/>
      <c r="Y43" s="272"/>
      <c r="Z43" s="272"/>
      <c r="AA43" s="272"/>
      <c r="AB43" s="272"/>
      <c r="AC43" s="272"/>
      <c r="AD43" s="272"/>
      <c r="AE43" s="286">
        <f>$N$26</f>
        <v>0</v>
      </c>
      <c r="AF43" s="314">
        <f>$N$26</f>
        <v>0</v>
      </c>
      <c r="AG43" s="272">
        <f>$O$26</f>
        <v>0</v>
      </c>
      <c r="AH43" s="272">
        <f>$P$26</f>
        <v>0</v>
      </c>
      <c r="AI43" s="272">
        <f>$Q$26</f>
        <v>0</v>
      </c>
      <c r="AJ43" s="272">
        <f>$R$26</f>
        <v>0</v>
      </c>
      <c r="AK43" s="272">
        <f>$S$26</f>
        <v>0</v>
      </c>
      <c r="AL43" s="619">
        <f t="shared" ref="AL43:AQ43" si="10">$S$26</f>
        <v>0</v>
      </c>
      <c r="AM43" s="619">
        <f t="shared" si="10"/>
        <v>0</v>
      </c>
      <c r="AN43" s="619">
        <f t="shared" si="10"/>
        <v>0</v>
      </c>
      <c r="AO43" s="619">
        <f t="shared" si="10"/>
        <v>0</v>
      </c>
      <c r="AP43" s="619">
        <f t="shared" si="10"/>
        <v>0</v>
      </c>
      <c r="AQ43" s="619">
        <f t="shared" si="10"/>
        <v>0</v>
      </c>
      <c r="AR43" s="619">
        <f>$Z$26</f>
        <v>35571.689999999995</v>
      </c>
      <c r="AS43" s="619">
        <f>$AA$26</f>
        <v>42269.85</v>
      </c>
      <c r="AT43" s="619">
        <f>$AB$26</f>
        <v>35125.649999999994</v>
      </c>
      <c r="AU43" s="619">
        <f>$AD$26</f>
        <v>34679.61</v>
      </c>
      <c r="AV43" s="619">
        <f>$AE$26</f>
        <v>38247.93</v>
      </c>
      <c r="AW43" s="619">
        <f>$AF$26</f>
        <v>30776.76</v>
      </c>
    </row>
    <row r="44" spans="1:49" x14ac:dyDescent="0.3">
      <c r="A44" s="313" t="s">
        <v>308</v>
      </c>
      <c r="B44" s="272"/>
      <c r="C44" s="272"/>
      <c r="D44" s="272"/>
      <c r="E44" s="272"/>
      <c r="F44" s="272"/>
      <c r="G44" s="272"/>
      <c r="H44" s="272"/>
      <c r="I44" s="272"/>
      <c r="J44" s="272"/>
      <c r="K44" s="272"/>
      <c r="L44" s="272"/>
      <c r="M44" s="272"/>
      <c r="N44" s="272"/>
      <c r="O44" s="272"/>
      <c r="P44" s="272"/>
      <c r="Q44" s="272"/>
      <c r="R44" s="272"/>
      <c r="S44" s="272"/>
      <c r="T44" s="272"/>
      <c r="U44" s="272"/>
      <c r="V44" s="272"/>
      <c r="W44" s="272"/>
      <c r="X44" s="272"/>
      <c r="Y44" s="272"/>
      <c r="Z44" s="272"/>
      <c r="AA44" s="272"/>
      <c r="AB44" s="272"/>
      <c r="AC44" s="272"/>
      <c r="AD44" s="272"/>
      <c r="AE44" s="272"/>
      <c r="AF44" s="286">
        <f>$N$26</f>
        <v>0</v>
      </c>
      <c r="AG44" s="314">
        <f>$N$26</f>
        <v>0</v>
      </c>
      <c r="AH44" s="272">
        <f>$O$26</f>
        <v>0</v>
      </c>
      <c r="AI44" s="272">
        <f>$P$26</f>
        <v>0</v>
      </c>
      <c r="AJ44" s="272">
        <f>$Q$26</f>
        <v>0</v>
      </c>
      <c r="AK44" s="272">
        <f>$R$26</f>
        <v>0</v>
      </c>
      <c r="AL44" s="619">
        <f t="shared" ref="AL44:AR44" si="11">$R$26</f>
        <v>0</v>
      </c>
      <c r="AM44" s="619">
        <f t="shared" si="11"/>
        <v>0</v>
      </c>
      <c r="AN44" s="619">
        <f t="shared" si="11"/>
        <v>0</v>
      </c>
      <c r="AO44" s="619">
        <f t="shared" si="11"/>
        <v>0</v>
      </c>
      <c r="AP44" s="619">
        <f t="shared" si="11"/>
        <v>0</v>
      </c>
      <c r="AQ44" s="619">
        <f t="shared" si="11"/>
        <v>0</v>
      </c>
      <c r="AR44" s="619">
        <f t="shared" si="11"/>
        <v>0</v>
      </c>
      <c r="AS44" s="619">
        <f>$Z$26</f>
        <v>35571.689999999995</v>
      </c>
      <c r="AT44" s="619">
        <f>$AA$26</f>
        <v>42269.85</v>
      </c>
      <c r="AU44" s="619">
        <f>$AB$26</f>
        <v>35125.649999999994</v>
      </c>
      <c r="AV44" s="619">
        <f>$AD$26</f>
        <v>34679.61</v>
      </c>
      <c r="AW44" s="619">
        <f>$AE$26</f>
        <v>38247.93</v>
      </c>
    </row>
    <row r="45" spans="1:49" x14ac:dyDescent="0.3">
      <c r="A45" s="313" t="s">
        <v>309</v>
      </c>
      <c r="B45" s="272"/>
      <c r="C45" s="272"/>
      <c r="D45" s="272"/>
      <c r="E45" s="272"/>
      <c r="F45" s="272"/>
      <c r="G45" s="272"/>
      <c r="H45" s="272"/>
      <c r="I45" s="272"/>
      <c r="J45" s="272"/>
      <c r="K45" s="272"/>
      <c r="L45" s="272"/>
      <c r="M45" s="272"/>
      <c r="N45" s="272"/>
      <c r="O45" s="272"/>
      <c r="P45" s="272"/>
      <c r="Q45" s="272"/>
      <c r="R45" s="272"/>
      <c r="S45" s="272"/>
      <c r="T45" s="272"/>
      <c r="U45" s="272"/>
      <c r="V45" s="272"/>
      <c r="W45" s="272"/>
      <c r="X45" s="272"/>
      <c r="Y45" s="272"/>
      <c r="Z45" s="272"/>
      <c r="AA45" s="272"/>
      <c r="AB45" s="272"/>
      <c r="AC45" s="272"/>
      <c r="AD45" s="272"/>
      <c r="AE45" s="272"/>
      <c r="AF45" s="272"/>
      <c r="AG45" s="286">
        <f>$N$26</f>
        <v>0</v>
      </c>
      <c r="AH45" s="314">
        <f>$N$26</f>
        <v>0</v>
      </c>
      <c r="AI45" s="272">
        <f>$O$26</f>
        <v>0</v>
      </c>
      <c r="AJ45" s="272">
        <f>$P$26</f>
        <v>0</v>
      </c>
      <c r="AK45" s="272">
        <f>$Q$26</f>
        <v>0</v>
      </c>
      <c r="AL45" s="619">
        <f t="shared" ref="AL45:AS45" si="12">$Q$26</f>
        <v>0</v>
      </c>
      <c r="AM45" s="619">
        <f t="shared" si="12"/>
        <v>0</v>
      </c>
      <c r="AN45" s="619">
        <f t="shared" si="12"/>
        <v>0</v>
      </c>
      <c r="AO45" s="619">
        <f t="shared" si="12"/>
        <v>0</v>
      </c>
      <c r="AP45" s="619">
        <f t="shared" si="12"/>
        <v>0</v>
      </c>
      <c r="AQ45" s="619">
        <f t="shared" si="12"/>
        <v>0</v>
      </c>
      <c r="AR45" s="619">
        <f t="shared" si="12"/>
        <v>0</v>
      </c>
      <c r="AS45" s="619">
        <f t="shared" si="12"/>
        <v>0</v>
      </c>
      <c r="AT45" s="619">
        <f>$Z$26</f>
        <v>35571.689999999995</v>
      </c>
      <c r="AU45" s="619">
        <f>$AA$26</f>
        <v>42269.85</v>
      </c>
      <c r="AV45" s="619">
        <f>$AB$26</f>
        <v>35125.649999999994</v>
      </c>
      <c r="AW45" s="619">
        <f>$AD$26</f>
        <v>34679.61</v>
      </c>
    </row>
    <row r="46" spans="1:49" x14ac:dyDescent="0.3">
      <c r="A46" s="313" t="s">
        <v>310</v>
      </c>
      <c r="B46" s="272"/>
      <c r="C46" s="272"/>
      <c r="D46" s="272"/>
      <c r="E46" s="272"/>
      <c r="F46" s="272"/>
      <c r="G46" s="272"/>
      <c r="H46" s="272"/>
      <c r="I46" s="272"/>
      <c r="J46" s="272"/>
      <c r="K46" s="272"/>
      <c r="L46" s="272"/>
      <c r="M46" s="272"/>
      <c r="N46" s="272"/>
      <c r="O46" s="272"/>
      <c r="P46" s="272"/>
      <c r="Q46" s="272"/>
      <c r="R46" s="272"/>
      <c r="S46" s="272"/>
      <c r="T46" s="272"/>
      <c r="U46" s="272"/>
      <c r="V46" s="272"/>
      <c r="W46" s="272"/>
      <c r="X46" s="272"/>
      <c r="Y46" s="272"/>
      <c r="Z46" s="272"/>
      <c r="AA46" s="272"/>
      <c r="AB46" s="272"/>
      <c r="AC46" s="272"/>
      <c r="AD46" s="272"/>
      <c r="AE46" s="272"/>
      <c r="AF46" s="272"/>
      <c r="AG46" s="272"/>
      <c r="AH46" s="286">
        <f>$N$26</f>
        <v>0</v>
      </c>
      <c r="AI46" s="314">
        <f>$N$26</f>
        <v>0</v>
      </c>
      <c r="AJ46" s="272">
        <f>$O$26</f>
        <v>0</v>
      </c>
      <c r="AK46" s="272">
        <f>$P$26</f>
        <v>0</v>
      </c>
      <c r="AL46" s="619">
        <f t="shared" ref="AL46:AT46" si="13">$P$26</f>
        <v>0</v>
      </c>
      <c r="AM46" s="619">
        <f t="shared" si="13"/>
        <v>0</v>
      </c>
      <c r="AN46" s="619">
        <f t="shared" si="13"/>
        <v>0</v>
      </c>
      <c r="AO46" s="619">
        <f t="shared" si="13"/>
        <v>0</v>
      </c>
      <c r="AP46" s="619">
        <f t="shared" si="13"/>
        <v>0</v>
      </c>
      <c r="AQ46" s="619">
        <f t="shared" si="13"/>
        <v>0</v>
      </c>
      <c r="AR46" s="619">
        <f t="shared" si="13"/>
        <v>0</v>
      </c>
      <c r="AS46" s="619">
        <f t="shared" si="13"/>
        <v>0</v>
      </c>
      <c r="AT46" s="619">
        <f t="shared" si="13"/>
        <v>0</v>
      </c>
      <c r="AU46" s="619">
        <f>$Z$26</f>
        <v>35571.689999999995</v>
      </c>
      <c r="AV46" s="619">
        <f>$AA$26</f>
        <v>42269.85</v>
      </c>
      <c r="AW46" s="619">
        <f>$AB$26</f>
        <v>35125.649999999994</v>
      </c>
    </row>
    <row r="47" spans="1:49" x14ac:dyDescent="0.3">
      <c r="A47" s="313" t="s">
        <v>311</v>
      </c>
      <c r="B47" s="272"/>
      <c r="C47" s="272"/>
      <c r="D47" s="272"/>
      <c r="E47" s="272"/>
      <c r="F47" s="272"/>
      <c r="G47" s="272"/>
      <c r="H47" s="272"/>
      <c r="I47" s="272"/>
      <c r="J47" s="272"/>
      <c r="K47" s="272"/>
      <c r="L47" s="272"/>
      <c r="M47" s="272"/>
      <c r="N47" s="272"/>
      <c r="O47" s="272"/>
      <c r="P47" s="272"/>
      <c r="Q47" s="272"/>
      <c r="R47" s="272"/>
      <c r="S47" s="272"/>
      <c r="T47" s="272"/>
      <c r="U47" s="272"/>
      <c r="V47" s="272"/>
      <c r="W47" s="272"/>
      <c r="X47" s="272"/>
      <c r="Y47" s="272"/>
      <c r="Z47" s="272"/>
      <c r="AA47" s="272"/>
      <c r="AB47" s="272"/>
      <c r="AC47" s="272"/>
      <c r="AD47" s="272"/>
      <c r="AE47" s="272"/>
      <c r="AF47" s="272"/>
      <c r="AG47" s="272"/>
      <c r="AH47" s="272"/>
      <c r="AI47" s="286">
        <f>$N$26</f>
        <v>0</v>
      </c>
      <c r="AJ47" s="314">
        <f>$N$26</f>
        <v>0</v>
      </c>
      <c r="AK47" s="272">
        <f>$O$26</f>
        <v>0</v>
      </c>
      <c r="AL47" s="619">
        <f t="shared" ref="AL47:AU47" si="14">$O$26</f>
        <v>0</v>
      </c>
      <c r="AM47" s="619">
        <f t="shared" si="14"/>
        <v>0</v>
      </c>
      <c r="AN47" s="619">
        <f t="shared" si="14"/>
        <v>0</v>
      </c>
      <c r="AO47" s="619">
        <f t="shared" si="14"/>
        <v>0</v>
      </c>
      <c r="AP47" s="619">
        <f t="shared" si="14"/>
        <v>0</v>
      </c>
      <c r="AQ47" s="619">
        <f t="shared" si="14"/>
        <v>0</v>
      </c>
      <c r="AR47" s="619">
        <f t="shared" si="14"/>
        <v>0</v>
      </c>
      <c r="AS47" s="619">
        <f t="shared" si="14"/>
        <v>0</v>
      </c>
      <c r="AT47" s="619">
        <f t="shared" si="14"/>
        <v>0</v>
      </c>
      <c r="AU47" s="619">
        <f t="shared" si="14"/>
        <v>0</v>
      </c>
      <c r="AV47" s="619">
        <f>$Z$26</f>
        <v>35571.689999999995</v>
      </c>
      <c r="AW47" s="619">
        <f>$AA$26</f>
        <v>42269.85</v>
      </c>
    </row>
    <row r="48" spans="1:49" x14ac:dyDescent="0.3">
      <c r="A48" s="313" t="s">
        <v>312</v>
      </c>
      <c r="B48" s="272"/>
      <c r="C48" s="272"/>
      <c r="D48" s="272"/>
      <c r="E48" s="272"/>
      <c r="F48" s="272"/>
      <c r="G48" s="272"/>
      <c r="H48" s="272"/>
      <c r="I48" s="272"/>
      <c r="J48" s="272"/>
      <c r="K48" s="272"/>
      <c r="L48" s="272"/>
      <c r="M48" s="272"/>
      <c r="N48" s="272"/>
      <c r="O48" s="272"/>
      <c r="P48" s="272"/>
      <c r="Q48" s="272"/>
      <c r="R48" s="272"/>
      <c r="S48" s="272"/>
      <c r="T48" s="272"/>
      <c r="U48" s="272"/>
      <c r="V48" s="272"/>
      <c r="W48" s="272"/>
      <c r="X48" s="272"/>
      <c r="Y48" s="272"/>
      <c r="Z48" s="272"/>
      <c r="AA48" s="272"/>
      <c r="AB48" s="272"/>
      <c r="AC48" s="272"/>
      <c r="AD48" s="272"/>
      <c r="AE48" s="272"/>
      <c r="AF48" s="272"/>
      <c r="AG48" s="272"/>
      <c r="AH48" s="272"/>
      <c r="AI48" s="272"/>
      <c r="AJ48" s="286">
        <f>$N$26</f>
        <v>0</v>
      </c>
      <c r="AK48" s="314">
        <f>$N$26</f>
        <v>0</v>
      </c>
      <c r="AL48" s="621">
        <f t="shared" ref="AL48:AW61" si="15">$N$26</f>
        <v>0</v>
      </c>
      <c r="AM48" s="621">
        <f t="shared" si="15"/>
        <v>0</v>
      </c>
      <c r="AN48" s="621">
        <f t="shared" si="15"/>
        <v>0</v>
      </c>
      <c r="AO48" s="621">
        <f t="shared" si="15"/>
        <v>0</v>
      </c>
      <c r="AP48" s="621">
        <f t="shared" si="15"/>
        <v>0</v>
      </c>
      <c r="AQ48" s="621">
        <f t="shared" si="15"/>
        <v>0</v>
      </c>
      <c r="AR48" s="621">
        <f t="shared" si="15"/>
        <v>0</v>
      </c>
      <c r="AS48" s="621">
        <f t="shared" si="15"/>
        <v>0</v>
      </c>
      <c r="AT48" s="621">
        <f t="shared" si="15"/>
        <v>0</v>
      </c>
      <c r="AU48" s="621">
        <f t="shared" si="15"/>
        <v>0</v>
      </c>
      <c r="AV48" s="621">
        <f t="shared" si="15"/>
        <v>0</v>
      </c>
      <c r="AW48" s="619">
        <f>$Z$26</f>
        <v>35571.689999999995</v>
      </c>
    </row>
    <row r="49" spans="1:49" x14ac:dyDescent="0.3">
      <c r="A49" s="313" t="s">
        <v>313</v>
      </c>
      <c r="B49" s="272"/>
      <c r="C49" s="272"/>
      <c r="D49" s="272"/>
      <c r="E49" s="272"/>
      <c r="F49" s="272"/>
      <c r="G49" s="272"/>
      <c r="H49" s="272"/>
      <c r="I49" s="272"/>
      <c r="J49" s="272"/>
      <c r="K49" s="272"/>
      <c r="L49" s="272"/>
      <c r="M49" s="272"/>
      <c r="N49" s="272"/>
      <c r="O49" s="272"/>
      <c r="P49" s="272"/>
      <c r="Q49" s="272"/>
      <c r="R49" s="272"/>
      <c r="S49" s="272"/>
      <c r="T49" s="272"/>
      <c r="U49" s="272"/>
      <c r="V49" s="272"/>
      <c r="W49" s="272"/>
      <c r="X49" s="272"/>
      <c r="Y49" s="272"/>
      <c r="Z49" s="272"/>
      <c r="AA49" s="272"/>
      <c r="AB49" s="272"/>
      <c r="AC49" s="272"/>
      <c r="AD49" s="272"/>
      <c r="AE49" s="272"/>
      <c r="AF49" s="272"/>
      <c r="AG49" s="272"/>
      <c r="AH49" s="272"/>
      <c r="AI49" s="272"/>
      <c r="AJ49" s="272"/>
      <c r="AK49" s="286">
        <f>$N$26</f>
        <v>0</v>
      </c>
      <c r="AL49" s="619">
        <f t="shared" si="15"/>
        <v>0</v>
      </c>
      <c r="AM49" s="619">
        <f t="shared" si="15"/>
        <v>0</v>
      </c>
      <c r="AN49" s="619">
        <f t="shared" si="15"/>
        <v>0</v>
      </c>
      <c r="AO49" s="619">
        <f t="shared" si="15"/>
        <v>0</v>
      </c>
      <c r="AP49" s="619">
        <f t="shared" si="15"/>
        <v>0</v>
      </c>
      <c r="AQ49" s="619">
        <f t="shared" si="15"/>
        <v>0</v>
      </c>
      <c r="AR49" s="619">
        <f t="shared" si="15"/>
        <v>0</v>
      </c>
      <c r="AS49" s="619">
        <f t="shared" si="15"/>
        <v>0</v>
      </c>
      <c r="AT49" s="619">
        <f t="shared" si="15"/>
        <v>0</v>
      </c>
      <c r="AU49" s="619">
        <f t="shared" si="15"/>
        <v>0</v>
      </c>
      <c r="AV49" s="619">
        <f t="shared" si="15"/>
        <v>0</v>
      </c>
      <c r="AW49" s="619">
        <f t="shared" si="15"/>
        <v>0</v>
      </c>
    </row>
    <row r="50" spans="1:49" x14ac:dyDescent="0.3">
      <c r="A50" s="618" t="s">
        <v>773</v>
      </c>
      <c r="B50" s="272"/>
      <c r="C50" s="272"/>
      <c r="D50" s="272"/>
      <c r="E50" s="272"/>
      <c r="F50" s="272"/>
      <c r="G50" s="272"/>
      <c r="H50" s="272"/>
      <c r="I50" s="272"/>
      <c r="J50" s="272"/>
      <c r="K50" s="272"/>
      <c r="L50" s="272"/>
      <c r="M50" s="272"/>
      <c r="N50" s="272"/>
      <c r="O50" s="272"/>
      <c r="P50" s="272"/>
      <c r="Q50" s="272"/>
      <c r="R50" s="272"/>
      <c r="S50" s="272"/>
      <c r="T50" s="272"/>
      <c r="U50" s="272"/>
      <c r="V50" s="272"/>
      <c r="W50" s="272"/>
      <c r="X50" s="272"/>
      <c r="Y50" s="272"/>
      <c r="Z50" s="272"/>
      <c r="AA50" s="272"/>
      <c r="AB50" s="272"/>
      <c r="AC50" s="272"/>
      <c r="AD50" s="272"/>
      <c r="AE50" s="272"/>
      <c r="AF50" s="272"/>
      <c r="AG50" s="272"/>
      <c r="AH50" s="272"/>
      <c r="AI50" s="272"/>
      <c r="AJ50" s="286"/>
      <c r="AK50" s="314"/>
      <c r="AL50" s="620">
        <f t="shared" si="15"/>
        <v>0</v>
      </c>
      <c r="AM50" s="624">
        <f t="shared" si="15"/>
        <v>0</v>
      </c>
      <c r="AN50" s="624">
        <f t="shared" si="15"/>
        <v>0</v>
      </c>
      <c r="AO50" s="624">
        <f t="shared" si="15"/>
        <v>0</v>
      </c>
      <c r="AP50" s="624">
        <f t="shared" si="15"/>
        <v>0</v>
      </c>
      <c r="AQ50" s="624">
        <f t="shared" si="15"/>
        <v>0</v>
      </c>
      <c r="AR50" s="624">
        <f t="shared" si="15"/>
        <v>0</v>
      </c>
      <c r="AS50" s="624">
        <f t="shared" si="15"/>
        <v>0</v>
      </c>
      <c r="AT50" s="624">
        <f t="shared" si="15"/>
        <v>0</v>
      </c>
      <c r="AU50" s="624">
        <f t="shared" si="15"/>
        <v>0</v>
      </c>
      <c r="AV50" s="624">
        <f t="shared" si="15"/>
        <v>0</v>
      </c>
      <c r="AW50" s="624">
        <f t="shared" si="15"/>
        <v>0</v>
      </c>
    </row>
    <row r="51" spans="1:49" x14ac:dyDescent="0.3">
      <c r="A51" s="618" t="s">
        <v>774</v>
      </c>
      <c r="B51" s="272"/>
      <c r="C51" s="272"/>
      <c r="D51" s="272"/>
      <c r="E51" s="272"/>
      <c r="F51" s="272"/>
      <c r="G51" s="272"/>
      <c r="H51" s="272"/>
      <c r="I51" s="272"/>
      <c r="J51" s="272"/>
      <c r="K51" s="272"/>
      <c r="L51" s="272"/>
      <c r="M51" s="272"/>
      <c r="N51" s="272"/>
      <c r="O51" s="272"/>
      <c r="P51" s="272"/>
      <c r="Q51" s="272"/>
      <c r="R51" s="272"/>
      <c r="S51" s="272"/>
      <c r="T51" s="272"/>
      <c r="U51" s="272"/>
      <c r="V51" s="272"/>
      <c r="W51" s="272"/>
      <c r="X51" s="272"/>
      <c r="Y51" s="272"/>
      <c r="Z51" s="272"/>
      <c r="AA51" s="272"/>
      <c r="AB51" s="272"/>
      <c r="AC51" s="272"/>
      <c r="AD51" s="272"/>
      <c r="AE51" s="272"/>
      <c r="AF51" s="272"/>
      <c r="AG51" s="272"/>
      <c r="AH51" s="272"/>
      <c r="AI51" s="272"/>
      <c r="AJ51" s="286"/>
      <c r="AK51" s="314"/>
      <c r="AL51" s="618"/>
      <c r="AM51" s="620">
        <f t="shared" si="15"/>
        <v>0</v>
      </c>
      <c r="AN51" s="624">
        <f t="shared" si="15"/>
        <v>0</v>
      </c>
      <c r="AO51" s="624">
        <f t="shared" si="15"/>
        <v>0</v>
      </c>
      <c r="AP51" s="624">
        <f t="shared" si="15"/>
        <v>0</v>
      </c>
      <c r="AQ51" s="624">
        <f t="shared" si="15"/>
        <v>0</v>
      </c>
      <c r="AR51" s="624">
        <f t="shared" si="15"/>
        <v>0</v>
      </c>
      <c r="AS51" s="624">
        <f t="shared" si="15"/>
        <v>0</v>
      </c>
      <c r="AT51" s="624">
        <f t="shared" si="15"/>
        <v>0</v>
      </c>
      <c r="AU51" s="624">
        <f t="shared" si="15"/>
        <v>0</v>
      </c>
      <c r="AV51" s="624">
        <f t="shared" si="15"/>
        <v>0</v>
      </c>
      <c r="AW51" s="624">
        <f t="shared" si="15"/>
        <v>0</v>
      </c>
    </row>
    <row r="52" spans="1:49" x14ac:dyDescent="0.3">
      <c r="A52" s="618" t="s">
        <v>775</v>
      </c>
      <c r="B52" s="272"/>
      <c r="C52" s="272"/>
      <c r="D52" s="272"/>
      <c r="E52" s="272"/>
      <c r="F52" s="272"/>
      <c r="G52" s="272"/>
      <c r="H52" s="272"/>
      <c r="I52" s="272"/>
      <c r="J52" s="272"/>
      <c r="K52" s="272"/>
      <c r="L52" s="272"/>
      <c r="M52" s="272"/>
      <c r="N52" s="272"/>
      <c r="O52" s="272"/>
      <c r="P52" s="272"/>
      <c r="Q52" s="272"/>
      <c r="R52" s="272"/>
      <c r="S52" s="272"/>
      <c r="T52" s="272"/>
      <c r="U52" s="272"/>
      <c r="V52" s="272"/>
      <c r="W52" s="272"/>
      <c r="X52" s="272"/>
      <c r="Y52" s="272"/>
      <c r="Z52" s="272"/>
      <c r="AA52" s="272"/>
      <c r="AB52" s="272"/>
      <c r="AC52" s="272"/>
      <c r="AD52" s="272"/>
      <c r="AE52" s="272"/>
      <c r="AF52" s="272"/>
      <c r="AG52" s="272"/>
      <c r="AH52" s="272"/>
      <c r="AI52" s="272"/>
      <c r="AJ52" s="286"/>
      <c r="AK52" s="314"/>
      <c r="AL52" s="618"/>
      <c r="AM52" s="618"/>
      <c r="AN52" s="620">
        <f t="shared" si="15"/>
        <v>0</v>
      </c>
      <c r="AO52" s="624">
        <f t="shared" si="15"/>
        <v>0</v>
      </c>
      <c r="AP52" s="624">
        <f t="shared" si="15"/>
        <v>0</v>
      </c>
      <c r="AQ52" s="624">
        <f t="shared" si="15"/>
        <v>0</v>
      </c>
      <c r="AR52" s="624">
        <f t="shared" si="15"/>
        <v>0</v>
      </c>
      <c r="AS52" s="624">
        <f t="shared" si="15"/>
        <v>0</v>
      </c>
      <c r="AT52" s="624">
        <f t="shared" si="15"/>
        <v>0</v>
      </c>
      <c r="AU52" s="624">
        <f t="shared" si="15"/>
        <v>0</v>
      </c>
      <c r="AV52" s="624">
        <f t="shared" si="15"/>
        <v>0</v>
      </c>
      <c r="AW52" s="624">
        <f t="shared" si="15"/>
        <v>0</v>
      </c>
    </row>
    <row r="53" spans="1:49" x14ac:dyDescent="0.3">
      <c r="A53" s="618" t="s">
        <v>776</v>
      </c>
      <c r="B53" s="272"/>
      <c r="C53" s="272"/>
      <c r="D53" s="272"/>
      <c r="E53" s="272"/>
      <c r="F53" s="272"/>
      <c r="G53" s="272"/>
      <c r="H53" s="272"/>
      <c r="I53" s="272"/>
      <c r="J53" s="272"/>
      <c r="K53" s="272"/>
      <c r="L53" s="272"/>
      <c r="M53" s="272"/>
      <c r="N53" s="272"/>
      <c r="O53" s="272"/>
      <c r="P53" s="272"/>
      <c r="Q53" s="272"/>
      <c r="R53" s="272"/>
      <c r="S53" s="272"/>
      <c r="T53" s="272"/>
      <c r="U53" s="272"/>
      <c r="V53" s="272"/>
      <c r="W53" s="272"/>
      <c r="X53" s="272"/>
      <c r="Y53" s="272"/>
      <c r="Z53" s="272"/>
      <c r="AA53" s="272"/>
      <c r="AB53" s="272"/>
      <c r="AC53" s="272"/>
      <c r="AD53" s="272"/>
      <c r="AE53" s="272"/>
      <c r="AF53" s="272"/>
      <c r="AG53" s="272"/>
      <c r="AH53" s="272"/>
      <c r="AI53" s="272"/>
      <c r="AJ53" s="286"/>
      <c r="AK53" s="314"/>
      <c r="AL53" s="618"/>
      <c r="AM53" s="618"/>
      <c r="AN53" s="618"/>
      <c r="AO53" s="620">
        <f t="shared" si="15"/>
        <v>0</v>
      </c>
      <c r="AP53" s="624">
        <f t="shared" si="15"/>
        <v>0</v>
      </c>
      <c r="AQ53" s="624">
        <f t="shared" si="15"/>
        <v>0</v>
      </c>
      <c r="AR53" s="624">
        <f t="shared" si="15"/>
        <v>0</v>
      </c>
      <c r="AS53" s="624">
        <f t="shared" si="15"/>
        <v>0</v>
      </c>
      <c r="AT53" s="624">
        <f t="shared" si="15"/>
        <v>0</v>
      </c>
      <c r="AU53" s="624">
        <f t="shared" si="15"/>
        <v>0</v>
      </c>
      <c r="AV53" s="624">
        <f t="shared" si="15"/>
        <v>0</v>
      </c>
      <c r="AW53" s="624">
        <f t="shared" si="15"/>
        <v>0</v>
      </c>
    </row>
    <row r="54" spans="1:49" x14ac:dyDescent="0.3">
      <c r="A54" s="618" t="s">
        <v>777</v>
      </c>
      <c r="B54" s="272"/>
      <c r="C54" s="272"/>
      <c r="D54" s="272"/>
      <c r="E54" s="272"/>
      <c r="F54" s="272"/>
      <c r="G54" s="272"/>
      <c r="H54" s="272"/>
      <c r="I54" s="272"/>
      <c r="J54" s="272"/>
      <c r="K54" s="272"/>
      <c r="L54" s="272"/>
      <c r="M54" s="272"/>
      <c r="N54" s="272"/>
      <c r="O54" s="272"/>
      <c r="P54" s="272"/>
      <c r="Q54" s="272"/>
      <c r="R54" s="272"/>
      <c r="S54" s="272"/>
      <c r="T54" s="272"/>
      <c r="U54" s="272"/>
      <c r="V54" s="272"/>
      <c r="W54" s="272"/>
      <c r="X54" s="272"/>
      <c r="Y54" s="272"/>
      <c r="Z54" s="272"/>
      <c r="AA54" s="272"/>
      <c r="AB54" s="272"/>
      <c r="AC54" s="272"/>
      <c r="AD54" s="272"/>
      <c r="AE54" s="272"/>
      <c r="AF54" s="272"/>
      <c r="AG54" s="272"/>
      <c r="AH54" s="272"/>
      <c r="AI54" s="272"/>
      <c r="AJ54" s="286"/>
      <c r="AK54" s="314"/>
      <c r="AL54" s="618"/>
      <c r="AM54" s="618"/>
      <c r="AN54" s="618"/>
      <c r="AO54" s="618"/>
      <c r="AP54" s="620">
        <f t="shared" si="15"/>
        <v>0</v>
      </c>
      <c r="AQ54" s="624">
        <f t="shared" si="15"/>
        <v>0</v>
      </c>
      <c r="AR54" s="624">
        <f t="shared" si="15"/>
        <v>0</v>
      </c>
      <c r="AS54" s="624">
        <f t="shared" si="15"/>
        <v>0</v>
      </c>
      <c r="AT54" s="624">
        <f t="shared" si="15"/>
        <v>0</v>
      </c>
      <c r="AU54" s="624">
        <f t="shared" si="15"/>
        <v>0</v>
      </c>
      <c r="AV54" s="624">
        <f t="shared" si="15"/>
        <v>0</v>
      </c>
      <c r="AW54" s="624">
        <f t="shared" si="15"/>
        <v>0</v>
      </c>
    </row>
    <row r="55" spans="1:49" x14ac:dyDescent="0.3">
      <c r="A55" s="618" t="s">
        <v>778</v>
      </c>
      <c r="B55" s="272"/>
      <c r="C55" s="272"/>
      <c r="D55" s="272"/>
      <c r="E55" s="272"/>
      <c r="F55" s="272"/>
      <c r="G55" s="272"/>
      <c r="H55" s="272"/>
      <c r="I55" s="272"/>
      <c r="J55" s="272"/>
      <c r="K55" s="272"/>
      <c r="L55" s="272"/>
      <c r="M55" s="272"/>
      <c r="N55" s="272"/>
      <c r="O55" s="272"/>
      <c r="P55" s="272"/>
      <c r="Q55" s="272"/>
      <c r="R55" s="272"/>
      <c r="S55" s="272"/>
      <c r="T55" s="272"/>
      <c r="U55" s="272"/>
      <c r="V55" s="272"/>
      <c r="W55" s="272"/>
      <c r="X55" s="272"/>
      <c r="Y55" s="272"/>
      <c r="Z55" s="272"/>
      <c r="AA55" s="272"/>
      <c r="AB55" s="272"/>
      <c r="AC55" s="272"/>
      <c r="AD55" s="272"/>
      <c r="AE55" s="272"/>
      <c r="AF55" s="272"/>
      <c r="AG55" s="272"/>
      <c r="AH55" s="272"/>
      <c r="AI55" s="272"/>
      <c r="AJ55" s="286"/>
      <c r="AK55" s="314"/>
      <c r="AL55" s="618"/>
      <c r="AM55" s="618"/>
      <c r="AN55" s="618"/>
      <c r="AO55" s="618"/>
      <c r="AP55" s="618"/>
      <c r="AQ55" s="620">
        <f t="shared" si="15"/>
        <v>0</v>
      </c>
      <c r="AR55" s="624">
        <f t="shared" si="15"/>
        <v>0</v>
      </c>
      <c r="AS55" s="624">
        <f t="shared" si="15"/>
        <v>0</v>
      </c>
      <c r="AT55" s="624">
        <f t="shared" si="15"/>
        <v>0</v>
      </c>
      <c r="AU55" s="624">
        <f t="shared" si="15"/>
        <v>0</v>
      </c>
      <c r="AV55" s="624">
        <f t="shared" si="15"/>
        <v>0</v>
      </c>
      <c r="AW55" s="624">
        <f t="shared" si="15"/>
        <v>0</v>
      </c>
    </row>
    <row r="56" spans="1:49" x14ac:dyDescent="0.3">
      <c r="A56" s="618" t="s">
        <v>779</v>
      </c>
      <c r="B56" s="272"/>
      <c r="C56" s="272"/>
      <c r="D56" s="272"/>
      <c r="E56" s="272"/>
      <c r="F56" s="272"/>
      <c r="G56" s="272"/>
      <c r="H56" s="272"/>
      <c r="I56" s="272"/>
      <c r="J56" s="272"/>
      <c r="K56" s="272"/>
      <c r="L56" s="272"/>
      <c r="M56" s="272"/>
      <c r="N56" s="272"/>
      <c r="O56" s="272"/>
      <c r="P56" s="272"/>
      <c r="Q56" s="272"/>
      <c r="R56" s="272"/>
      <c r="S56" s="272"/>
      <c r="T56" s="272"/>
      <c r="U56" s="272"/>
      <c r="V56" s="272"/>
      <c r="W56" s="272"/>
      <c r="X56" s="272"/>
      <c r="Y56" s="272"/>
      <c r="Z56" s="272"/>
      <c r="AA56" s="272"/>
      <c r="AB56" s="272"/>
      <c r="AC56" s="272"/>
      <c r="AD56" s="272"/>
      <c r="AE56" s="272"/>
      <c r="AF56" s="272"/>
      <c r="AG56" s="272"/>
      <c r="AH56" s="272"/>
      <c r="AI56" s="272"/>
      <c r="AJ56" s="286"/>
      <c r="AK56" s="314"/>
      <c r="AL56" s="618"/>
      <c r="AM56" s="618"/>
      <c r="AN56" s="618"/>
      <c r="AO56" s="618"/>
      <c r="AP56" s="618"/>
      <c r="AQ56" s="618"/>
      <c r="AR56" s="620">
        <f t="shared" si="15"/>
        <v>0</v>
      </c>
      <c r="AS56" s="624">
        <f t="shared" si="15"/>
        <v>0</v>
      </c>
      <c r="AT56" s="624">
        <f t="shared" si="15"/>
        <v>0</v>
      </c>
      <c r="AU56" s="624">
        <f t="shared" si="15"/>
        <v>0</v>
      </c>
      <c r="AV56" s="624">
        <f t="shared" si="15"/>
        <v>0</v>
      </c>
      <c r="AW56" s="624">
        <f t="shared" si="15"/>
        <v>0</v>
      </c>
    </row>
    <row r="57" spans="1:49" x14ac:dyDescent="0.3">
      <c r="A57" s="618" t="s">
        <v>780</v>
      </c>
      <c r="B57" s="272"/>
      <c r="C57" s="272"/>
      <c r="D57" s="272"/>
      <c r="E57" s="272"/>
      <c r="F57" s="272"/>
      <c r="G57" s="272"/>
      <c r="H57" s="272"/>
      <c r="I57" s="272"/>
      <c r="J57" s="272"/>
      <c r="K57" s="272"/>
      <c r="L57" s="272"/>
      <c r="M57" s="272"/>
      <c r="N57" s="272"/>
      <c r="O57" s="272"/>
      <c r="P57" s="272"/>
      <c r="Q57" s="272"/>
      <c r="R57" s="272"/>
      <c r="S57" s="272"/>
      <c r="T57" s="272"/>
      <c r="U57" s="272"/>
      <c r="V57" s="272"/>
      <c r="W57" s="272"/>
      <c r="X57" s="272"/>
      <c r="Y57" s="272"/>
      <c r="Z57" s="272"/>
      <c r="AA57" s="272"/>
      <c r="AB57" s="272"/>
      <c r="AC57" s="272"/>
      <c r="AD57" s="272"/>
      <c r="AE57" s="272"/>
      <c r="AF57" s="272"/>
      <c r="AG57" s="272"/>
      <c r="AH57" s="272"/>
      <c r="AI57" s="272"/>
      <c r="AJ57" s="286"/>
      <c r="AK57" s="314"/>
      <c r="AL57" s="618"/>
      <c r="AM57" s="618"/>
      <c r="AN57" s="618"/>
      <c r="AO57" s="618"/>
      <c r="AP57" s="618"/>
      <c r="AQ57" s="618"/>
      <c r="AR57" s="618"/>
      <c r="AS57" s="620">
        <f t="shared" si="15"/>
        <v>0</v>
      </c>
      <c r="AT57" s="624">
        <f t="shared" si="15"/>
        <v>0</v>
      </c>
      <c r="AU57" s="624">
        <f t="shared" si="15"/>
        <v>0</v>
      </c>
      <c r="AV57" s="624">
        <f t="shared" si="15"/>
        <v>0</v>
      </c>
      <c r="AW57" s="624">
        <f t="shared" si="15"/>
        <v>0</v>
      </c>
    </row>
    <row r="58" spans="1:49" x14ac:dyDescent="0.3">
      <c r="A58" s="618" t="s">
        <v>781</v>
      </c>
      <c r="B58" s="272"/>
      <c r="C58" s="272"/>
      <c r="D58" s="272"/>
      <c r="E58" s="272"/>
      <c r="F58" s="272"/>
      <c r="G58" s="272"/>
      <c r="H58" s="272"/>
      <c r="I58" s="272"/>
      <c r="J58" s="272"/>
      <c r="K58" s="272"/>
      <c r="L58" s="272"/>
      <c r="M58" s="272"/>
      <c r="N58" s="272"/>
      <c r="O58" s="272"/>
      <c r="P58" s="272"/>
      <c r="Q58" s="272"/>
      <c r="R58" s="272"/>
      <c r="S58" s="272"/>
      <c r="T58" s="272"/>
      <c r="U58" s="272"/>
      <c r="V58" s="272"/>
      <c r="W58" s="272"/>
      <c r="X58" s="272"/>
      <c r="Y58" s="272"/>
      <c r="Z58" s="272"/>
      <c r="AA58" s="272"/>
      <c r="AB58" s="272"/>
      <c r="AC58" s="272"/>
      <c r="AD58" s="272"/>
      <c r="AE58" s="272"/>
      <c r="AF58" s="272"/>
      <c r="AG58" s="272"/>
      <c r="AH58" s="272"/>
      <c r="AI58" s="272"/>
      <c r="AJ58" s="286"/>
      <c r="AK58" s="314"/>
      <c r="AL58" s="618"/>
      <c r="AM58" s="618"/>
      <c r="AN58" s="618"/>
      <c r="AO58" s="618"/>
      <c r="AP58" s="618"/>
      <c r="AQ58" s="618"/>
      <c r="AR58" s="618"/>
      <c r="AS58" s="618"/>
      <c r="AT58" s="620">
        <f t="shared" si="15"/>
        <v>0</v>
      </c>
      <c r="AU58" s="624">
        <f t="shared" si="15"/>
        <v>0</v>
      </c>
      <c r="AV58" s="624">
        <f t="shared" si="15"/>
        <v>0</v>
      </c>
      <c r="AW58" s="624">
        <f t="shared" si="15"/>
        <v>0</v>
      </c>
    </row>
    <row r="59" spans="1:49" x14ac:dyDescent="0.3">
      <c r="A59" s="618" t="s">
        <v>782</v>
      </c>
      <c r="B59" s="272"/>
      <c r="C59" s="272"/>
      <c r="D59" s="272"/>
      <c r="E59" s="272"/>
      <c r="F59" s="272"/>
      <c r="G59" s="272"/>
      <c r="H59" s="272"/>
      <c r="I59" s="272"/>
      <c r="J59" s="272"/>
      <c r="K59" s="272"/>
      <c r="L59" s="272"/>
      <c r="M59" s="272"/>
      <c r="N59" s="272"/>
      <c r="O59" s="272"/>
      <c r="P59" s="272"/>
      <c r="Q59" s="272"/>
      <c r="R59" s="272"/>
      <c r="S59" s="272"/>
      <c r="T59" s="272"/>
      <c r="U59" s="272"/>
      <c r="V59" s="272"/>
      <c r="W59" s="272"/>
      <c r="X59" s="272"/>
      <c r="Y59" s="272"/>
      <c r="Z59" s="272"/>
      <c r="AA59" s="272"/>
      <c r="AB59" s="272"/>
      <c r="AC59" s="272"/>
      <c r="AD59" s="272"/>
      <c r="AE59" s="272"/>
      <c r="AF59" s="272"/>
      <c r="AG59" s="272"/>
      <c r="AH59" s="272"/>
      <c r="AI59" s="272"/>
      <c r="AJ59" s="286"/>
      <c r="AK59" s="314"/>
      <c r="AL59" s="618"/>
      <c r="AM59" s="618"/>
      <c r="AN59" s="618"/>
      <c r="AO59" s="618"/>
      <c r="AP59" s="618"/>
      <c r="AQ59" s="618"/>
      <c r="AR59" s="618"/>
      <c r="AS59" s="618"/>
      <c r="AT59" s="618"/>
      <c r="AU59" s="620">
        <f t="shared" si="15"/>
        <v>0</v>
      </c>
      <c r="AV59" s="624">
        <f t="shared" si="15"/>
        <v>0</v>
      </c>
      <c r="AW59" s="624">
        <f t="shared" si="15"/>
        <v>0</v>
      </c>
    </row>
    <row r="60" spans="1:49" x14ac:dyDescent="0.3">
      <c r="A60" s="618" t="s">
        <v>783</v>
      </c>
      <c r="B60" s="272"/>
      <c r="C60" s="272"/>
      <c r="D60" s="272"/>
      <c r="E60" s="272"/>
      <c r="F60" s="272"/>
      <c r="G60" s="272"/>
      <c r="H60" s="272"/>
      <c r="I60" s="272"/>
      <c r="J60" s="272"/>
      <c r="K60" s="272"/>
      <c r="L60" s="272"/>
      <c r="M60" s="272"/>
      <c r="N60" s="272"/>
      <c r="O60" s="272"/>
      <c r="P60" s="272"/>
      <c r="Q60" s="272"/>
      <c r="R60" s="272"/>
      <c r="S60" s="272"/>
      <c r="T60" s="272"/>
      <c r="U60" s="272"/>
      <c r="V60" s="272"/>
      <c r="W60" s="272"/>
      <c r="X60" s="272"/>
      <c r="Y60" s="272"/>
      <c r="Z60" s="272"/>
      <c r="AA60" s="272"/>
      <c r="AB60" s="272"/>
      <c r="AC60" s="272"/>
      <c r="AD60" s="272"/>
      <c r="AE60" s="272"/>
      <c r="AF60" s="272"/>
      <c r="AG60" s="272"/>
      <c r="AH60" s="272"/>
      <c r="AI60" s="272"/>
      <c r="AJ60" s="286"/>
      <c r="AK60" s="314"/>
      <c r="AL60" s="618"/>
      <c r="AM60" s="618"/>
      <c r="AN60" s="618"/>
      <c r="AO60" s="618"/>
      <c r="AP60" s="618"/>
      <c r="AQ60" s="618"/>
      <c r="AR60" s="618"/>
      <c r="AS60" s="618"/>
      <c r="AT60" s="618"/>
      <c r="AU60" s="618"/>
      <c r="AV60" s="620">
        <f t="shared" si="15"/>
        <v>0</v>
      </c>
      <c r="AW60" s="624">
        <f t="shared" si="15"/>
        <v>0</v>
      </c>
    </row>
    <row r="61" spans="1:49" x14ac:dyDescent="0.3">
      <c r="A61" s="618" t="s">
        <v>784</v>
      </c>
      <c r="B61" s="272"/>
      <c r="C61" s="272"/>
      <c r="D61" s="272"/>
      <c r="E61" s="272"/>
      <c r="F61" s="272"/>
      <c r="G61" s="272"/>
      <c r="H61" s="272"/>
      <c r="I61" s="272"/>
      <c r="J61" s="272"/>
      <c r="K61" s="272"/>
      <c r="L61" s="272"/>
      <c r="M61" s="272"/>
      <c r="N61" s="272"/>
      <c r="O61" s="272"/>
      <c r="P61" s="272"/>
      <c r="Q61" s="272"/>
      <c r="R61" s="272"/>
      <c r="S61" s="272"/>
      <c r="T61" s="272"/>
      <c r="U61" s="272"/>
      <c r="V61" s="272"/>
      <c r="W61" s="272"/>
      <c r="X61" s="272"/>
      <c r="Y61" s="272"/>
      <c r="Z61" s="272"/>
      <c r="AA61" s="272"/>
      <c r="AB61" s="272"/>
      <c r="AC61" s="272"/>
      <c r="AD61" s="272"/>
      <c r="AE61" s="272"/>
      <c r="AF61" s="272"/>
      <c r="AG61" s="272"/>
      <c r="AH61" s="272"/>
      <c r="AI61" s="272"/>
      <c r="AJ61" s="272"/>
      <c r="AK61" s="286">
        <f>$N$26</f>
        <v>0</v>
      </c>
      <c r="AL61" s="618"/>
      <c r="AM61" s="618"/>
      <c r="AN61" s="618"/>
      <c r="AO61" s="618"/>
      <c r="AP61" s="618"/>
      <c r="AQ61" s="618"/>
      <c r="AR61" s="618"/>
      <c r="AS61" s="618"/>
      <c r="AT61" s="618"/>
      <c r="AU61" s="618"/>
      <c r="AV61" s="618"/>
      <c r="AW61" s="620">
        <f t="shared" si="15"/>
        <v>0</v>
      </c>
    </row>
    <row r="62" spans="1:49" x14ac:dyDescent="0.3">
      <c r="B62" s="272"/>
      <c r="C62" s="272"/>
      <c r="D62" s="272"/>
      <c r="E62" s="272"/>
      <c r="F62" s="272"/>
      <c r="G62" s="272"/>
      <c r="H62" s="272"/>
      <c r="I62" s="272"/>
      <c r="J62" s="272"/>
      <c r="K62" s="272"/>
      <c r="L62" s="272"/>
      <c r="M62" s="272"/>
      <c r="N62" s="272"/>
      <c r="O62" s="272"/>
      <c r="P62" s="272"/>
      <c r="Q62" s="272"/>
      <c r="R62" s="272"/>
      <c r="S62" s="272"/>
      <c r="T62" s="272"/>
      <c r="U62" s="272"/>
      <c r="V62" s="272"/>
      <c r="W62" s="272"/>
      <c r="X62" s="272"/>
      <c r="Y62" s="272"/>
      <c r="Z62" s="272"/>
      <c r="AA62" s="272"/>
      <c r="AB62" s="272"/>
      <c r="AC62" s="272"/>
      <c r="AD62" s="272"/>
      <c r="AE62" s="272"/>
      <c r="AF62" s="272"/>
      <c r="AG62" s="272"/>
      <c r="AH62" s="272"/>
      <c r="AI62" s="272"/>
      <c r="AJ62" s="272"/>
      <c r="AK62" s="272"/>
    </row>
    <row r="63" spans="1:49" x14ac:dyDescent="0.3">
      <c r="A63" s="313" t="s">
        <v>276</v>
      </c>
      <c r="B63" s="283">
        <f t="shared" ref="B63:AA63" si="16">SUM(B14:B61)</f>
        <v>0</v>
      </c>
      <c r="C63" s="283">
        <f t="shared" si="16"/>
        <v>0</v>
      </c>
      <c r="D63" s="283">
        <f t="shared" si="16"/>
        <v>0</v>
      </c>
      <c r="E63" s="283">
        <f t="shared" si="16"/>
        <v>0</v>
      </c>
      <c r="F63" s="283">
        <f t="shared" si="16"/>
        <v>0</v>
      </c>
      <c r="G63" s="283">
        <f t="shared" si="16"/>
        <v>0</v>
      </c>
      <c r="H63" s="283">
        <f t="shared" si="16"/>
        <v>0</v>
      </c>
      <c r="I63" s="283">
        <f t="shared" si="16"/>
        <v>0</v>
      </c>
      <c r="J63" s="283">
        <f t="shared" si="16"/>
        <v>0</v>
      </c>
      <c r="K63" s="283">
        <f t="shared" si="16"/>
        <v>0</v>
      </c>
      <c r="L63" s="283">
        <f t="shared" si="16"/>
        <v>0</v>
      </c>
      <c r="M63" s="283">
        <f t="shared" si="16"/>
        <v>0</v>
      </c>
      <c r="N63" s="283">
        <f t="shared" si="16"/>
        <v>35571.689999999995</v>
      </c>
      <c r="O63" s="283">
        <f t="shared" si="16"/>
        <v>77841.539999999994</v>
      </c>
      <c r="P63" s="283">
        <f t="shared" si="16"/>
        <v>112967.19</v>
      </c>
      <c r="Q63" s="283">
        <f t="shared" si="16"/>
        <v>149207.94</v>
      </c>
      <c r="R63" s="283">
        <f t="shared" si="16"/>
        <v>183887.55</v>
      </c>
      <c r="S63" s="283">
        <f t="shared" si="16"/>
        <v>222135.48</v>
      </c>
      <c r="T63" s="283">
        <f t="shared" si="16"/>
        <v>252912.24</v>
      </c>
      <c r="U63" s="283">
        <f t="shared" si="16"/>
        <v>293836.40999999997</v>
      </c>
      <c r="V63" s="283">
        <f t="shared" si="16"/>
        <v>341339.67</v>
      </c>
      <c r="W63" s="283">
        <f t="shared" si="16"/>
        <v>393414.83999999991</v>
      </c>
      <c r="X63" s="283">
        <f t="shared" si="16"/>
        <v>438687.89999999997</v>
      </c>
      <c r="Y63" s="283">
        <f t="shared" si="16"/>
        <v>486414.18</v>
      </c>
      <c r="Z63" s="283">
        <f t="shared" si="16"/>
        <v>542726.72999999986</v>
      </c>
      <c r="AA63" s="283">
        <f t="shared" si="16"/>
        <v>589493.2788437393</v>
      </c>
      <c r="AB63" s="283">
        <f>SUM(AB14:AB61)</f>
        <v>588912.55744373938</v>
      </c>
      <c r="AC63" s="283">
        <f>SUM(AC14:AC61)</f>
        <v>653947.65184373932</v>
      </c>
      <c r="AD63" s="283">
        <f t="shared" ref="AD63:AK63" si="17">SUM(AD14:AD61)</f>
        <v>711235.75504373934</v>
      </c>
      <c r="AE63" s="283">
        <f t="shared" si="17"/>
        <v>762466.63504373946</v>
      </c>
      <c r="AF63" s="283">
        <f t="shared" si="17"/>
        <v>808574.42704373936</v>
      </c>
      <c r="AG63" s="283">
        <f t="shared" si="17"/>
        <v>849559.13104373938</v>
      </c>
      <c r="AH63" s="283">
        <f t="shared" si="17"/>
        <v>890543.83504373953</v>
      </c>
      <c r="AI63" s="283">
        <f t="shared" si="17"/>
        <v>951060.31204373948</v>
      </c>
      <c r="AJ63" s="283">
        <f t="shared" si="17"/>
        <v>1011576.7890437394</v>
      </c>
      <c r="AK63" s="283">
        <f t="shared" si="17"/>
        <v>1072093.2660437396</v>
      </c>
      <c r="AL63" s="283">
        <f t="shared" ref="AL63:AW63" si="18">SUM(AL14:AL61)</f>
        <v>1132609.7430437393</v>
      </c>
      <c r="AM63" s="283">
        <f t="shared" si="18"/>
        <v>1193126.2200437393</v>
      </c>
      <c r="AN63" s="283">
        <f t="shared" si="18"/>
        <v>1253642.6970437393</v>
      </c>
      <c r="AO63" s="283">
        <f t="shared" si="18"/>
        <v>1314159.174043739</v>
      </c>
      <c r="AP63" s="283">
        <f t="shared" si="18"/>
        <v>1374675.6510437392</v>
      </c>
      <c r="AQ63" s="283">
        <f t="shared" si="18"/>
        <v>1435192.1280437391</v>
      </c>
      <c r="AR63" s="283">
        <f t="shared" si="18"/>
        <v>1495708.6050437391</v>
      </c>
      <c r="AS63" s="283">
        <f t="shared" si="18"/>
        <v>1556225.0820437393</v>
      </c>
      <c r="AT63" s="283">
        <f t="shared" si="18"/>
        <v>1616741.5590437392</v>
      </c>
      <c r="AU63" s="283">
        <f t="shared" si="18"/>
        <v>1677258.0360437389</v>
      </c>
      <c r="AV63" s="283">
        <f t="shared" si="18"/>
        <v>1737774.5130437389</v>
      </c>
      <c r="AW63" s="283">
        <f t="shared" si="18"/>
        <v>1798290.9900437386</v>
      </c>
    </row>
    <row r="64" spans="1:49" x14ac:dyDescent="0.3">
      <c r="Q64" s="254"/>
    </row>
    <row r="65" spans="1:49" x14ac:dyDescent="0.3">
      <c r="A65" s="313" t="s">
        <v>279</v>
      </c>
      <c r="B65" s="284">
        <f>K76</f>
        <v>0</v>
      </c>
      <c r="C65" s="284">
        <f t="shared" ref="C65:M65" si="19">B65-$L$76</f>
        <v>0</v>
      </c>
      <c r="D65" s="284">
        <f t="shared" si="19"/>
        <v>0</v>
      </c>
      <c r="E65" s="284">
        <f t="shared" si="19"/>
        <v>0</v>
      </c>
      <c r="F65" s="284">
        <f t="shared" si="19"/>
        <v>0</v>
      </c>
      <c r="G65" s="284">
        <f t="shared" si="19"/>
        <v>0</v>
      </c>
      <c r="H65" s="284">
        <f t="shared" si="19"/>
        <v>0</v>
      </c>
      <c r="I65" s="284">
        <f t="shared" si="19"/>
        <v>0</v>
      </c>
      <c r="J65" s="284">
        <f t="shared" si="19"/>
        <v>0</v>
      </c>
      <c r="K65" s="284">
        <f t="shared" si="19"/>
        <v>0</v>
      </c>
      <c r="L65" s="284">
        <f t="shared" si="19"/>
        <v>0</v>
      </c>
      <c r="M65" s="284">
        <f t="shared" si="19"/>
        <v>0</v>
      </c>
      <c r="N65" s="651">
        <v>312968.19537275063</v>
      </c>
      <c r="O65" s="284">
        <f>N65-$C$81-C80</f>
        <v>219763.4304017268</v>
      </c>
      <c r="P65" s="284">
        <f t="shared" ref="P65:S65" si="20">O65-$C$81</f>
        <v>170268.66543070297</v>
      </c>
      <c r="Q65" s="284">
        <f t="shared" si="20"/>
        <v>120773.90045967913</v>
      </c>
      <c r="R65" s="284">
        <f t="shared" si="20"/>
        <v>71279.135488655302</v>
      </c>
      <c r="S65" s="284">
        <f t="shared" si="20"/>
        <v>21784.370517631476</v>
      </c>
      <c r="T65" s="284">
        <f>MAX(S65-$C$81,0)</f>
        <v>0</v>
      </c>
      <c r="U65" s="284">
        <f t="shared" ref="U65:AK65" si="21">MAX(T65-$C$81,0)</f>
        <v>0</v>
      </c>
      <c r="V65" s="284">
        <f t="shared" si="21"/>
        <v>0</v>
      </c>
      <c r="W65" s="284">
        <f t="shared" si="21"/>
        <v>0</v>
      </c>
      <c r="X65" s="284">
        <f t="shared" si="21"/>
        <v>0</v>
      </c>
      <c r="Y65" s="284">
        <f t="shared" si="21"/>
        <v>0</v>
      </c>
      <c r="Z65" s="284">
        <f t="shared" si="21"/>
        <v>0</v>
      </c>
      <c r="AA65" s="284">
        <f t="shared" si="21"/>
        <v>0</v>
      </c>
      <c r="AB65" s="284">
        <f t="shared" si="21"/>
        <v>0</v>
      </c>
      <c r="AC65" s="284">
        <f t="shared" si="21"/>
        <v>0</v>
      </c>
      <c r="AD65" s="284">
        <f t="shared" si="21"/>
        <v>0</v>
      </c>
      <c r="AE65" s="284">
        <f t="shared" si="21"/>
        <v>0</v>
      </c>
      <c r="AF65" s="284">
        <f t="shared" si="21"/>
        <v>0</v>
      </c>
      <c r="AG65" s="284">
        <f t="shared" si="21"/>
        <v>0</v>
      </c>
      <c r="AH65" s="284">
        <f t="shared" si="21"/>
        <v>0</v>
      </c>
      <c r="AI65" s="284">
        <f t="shared" si="21"/>
        <v>0</v>
      </c>
      <c r="AJ65" s="284">
        <f t="shared" si="21"/>
        <v>0</v>
      </c>
      <c r="AK65" s="284">
        <f t="shared" si="21"/>
        <v>0</v>
      </c>
      <c r="AL65" s="284"/>
      <c r="AM65" s="284"/>
      <c r="AN65" s="284"/>
      <c r="AO65" s="284"/>
      <c r="AP65" s="284"/>
      <c r="AQ65" s="284"/>
      <c r="AR65" s="284"/>
      <c r="AS65" s="284"/>
      <c r="AT65" s="284"/>
      <c r="AU65" s="284"/>
      <c r="AV65" s="284"/>
      <c r="AW65" s="284"/>
    </row>
    <row r="66" spans="1:49" ht="13.5" thickBot="1" x14ac:dyDescent="0.35">
      <c r="A66" s="313" t="s">
        <v>375</v>
      </c>
      <c r="B66" s="285">
        <f t="shared" ref="B66:M66" si="22">B67</f>
        <v>305890.42202205886</v>
      </c>
      <c r="C66" s="285">
        <f t="shared" si="22"/>
        <v>277597.57884380349</v>
      </c>
      <c r="D66" s="285">
        <f t="shared" si="22"/>
        <v>284907.97150851012</v>
      </c>
      <c r="E66" s="285">
        <f t="shared" si="22"/>
        <v>314422.94619303575</v>
      </c>
      <c r="F66" s="285">
        <f t="shared" si="22"/>
        <v>324152.09843205573</v>
      </c>
      <c r="G66" s="285">
        <f t="shared" si="22"/>
        <v>302095.62995495496</v>
      </c>
      <c r="H66" s="285">
        <f t="shared" si="22"/>
        <v>288977.30978680204</v>
      </c>
      <c r="I66" s="285">
        <f t="shared" si="22"/>
        <v>334060.51386183471</v>
      </c>
      <c r="J66" s="285">
        <f t="shared" si="22"/>
        <v>345320.54077627556</v>
      </c>
      <c r="K66" s="285">
        <f t="shared" si="22"/>
        <v>369317.3411034235</v>
      </c>
      <c r="L66" s="285">
        <f t="shared" si="22"/>
        <v>368411.4361489655</v>
      </c>
      <c r="M66" s="285">
        <f t="shared" si="22"/>
        <v>499757.76</v>
      </c>
      <c r="N66" s="285">
        <f>N65</f>
        <v>312968.19537275063</v>
      </c>
      <c r="O66" s="285">
        <f>O65+O63</f>
        <v>297604.97040172678</v>
      </c>
      <c r="P66" s="285">
        <f t="shared" ref="P66:AK66" si="23">P65+P63</f>
        <v>283235.85543070297</v>
      </c>
      <c r="Q66" s="285">
        <f t="shared" si="23"/>
        <v>269981.84045967914</v>
      </c>
      <c r="R66" s="285">
        <f t="shared" si="23"/>
        <v>255166.68548865529</v>
      </c>
      <c r="S66" s="285">
        <f t="shared" si="23"/>
        <v>243919.85051763148</v>
      </c>
      <c r="T66" s="285">
        <f t="shared" si="23"/>
        <v>252912.24</v>
      </c>
      <c r="U66" s="285">
        <f t="shared" si="23"/>
        <v>293836.40999999997</v>
      </c>
      <c r="V66" s="285">
        <f t="shared" si="23"/>
        <v>341339.67</v>
      </c>
      <c r="W66" s="285">
        <f t="shared" si="23"/>
        <v>393414.83999999991</v>
      </c>
      <c r="X66" s="285">
        <f t="shared" si="23"/>
        <v>438687.89999999997</v>
      </c>
      <c r="Y66" s="285">
        <f t="shared" si="23"/>
        <v>486414.18</v>
      </c>
      <c r="Z66" s="285">
        <f t="shared" si="23"/>
        <v>542726.72999999986</v>
      </c>
      <c r="AA66" s="285">
        <f t="shared" si="23"/>
        <v>589493.2788437393</v>
      </c>
      <c r="AB66" s="285">
        <f t="shared" si="23"/>
        <v>588912.55744373938</v>
      </c>
      <c r="AC66" s="285">
        <f t="shared" si="23"/>
        <v>653947.65184373932</v>
      </c>
      <c r="AD66" s="285">
        <f t="shared" si="23"/>
        <v>711235.75504373934</v>
      </c>
      <c r="AE66" s="285">
        <f t="shared" si="23"/>
        <v>762466.63504373946</v>
      </c>
      <c r="AF66" s="285">
        <f t="shared" si="23"/>
        <v>808574.42704373936</v>
      </c>
      <c r="AG66" s="285">
        <f t="shared" si="23"/>
        <v>849559.13104373938</v>
      </c>
      <c r="AH66" s="285">
        <f t="shared" si="23"/>
        <v>890543.83504373953</v>
      </c>
      <c r="AI66" s="285">
        <f t="shared" si="23"/>
        <v>951060.31204373948</v>
      </c>
      <c r="AJ66" s="285">
        <f t="shared" si="23"/>
        <v>1011576.7890437394</v>
      </c>
      <c r="AK66" s="285">
        <f t="shared" si="23"/>
        <v>1072093.2660437396</v>
      </c>
      <c r="AL66" s="285">
        <f t="shared" ref="AL66:AW66" si="24">AL65+AL63</f>
        <v>1132609.7430437393</v>
      </c>
      <c r="AM66" s="285">
        <f t="shared" si="24"/>
        <v>1193126.2200437393</v>
      </c>
      <c r="AN66" s="285">
        <f t="shared" si="24"/>
        <v>1253642.6970437393</v>
      </c>
      <c r="AO66" s="285">
        <f t="shared" si="24"/>
        <v>1314159.174043739</v>
      </c>
      <c r="AP66" s="285">
        <f t="shared" si="24"/>
        <v>1374675.6510437392</v>
      </c>
      <c r="AQ66" s="285">
        <f t="shared" si="24"/>
        <v>1435192.1280437391</v>
      </c>
      <c r="AR66" s="285">
        <f t="shared" si="24"/>
        <v>1495708.6050437391</v>
      </c>
      <c r="AS66" s="285">
        <f t="shared" si="24"/>
        <v>1556225.0820437393</v>
      </c>
      <c r="AT66" s="285">
        <f t="shared" si="24"/>
        <v>1616741.5590437392</v>
      </c>
      <c r="AU66" s="285">
        <f t="shared" si="24"/>
        <v>1677258.0360437389</v>
      </c>
      <c r="AV66" s="285">
        <f t="shared" si="24"/>
        <v>1737774.5130437389</v>
      </c>
      <c r="AW66" s="285">
        <f t="shared" si="24"/>
        <v>1798290.9900437386</v>
      </c>
    </row>
    <row r="67" spans="1:49" ht="13.5" thickTop="1" x14ac:dyDescent="0.3">
      <c r="A67" s="313" t="s">
        <v>245</v>
      </c>
      <c r="B67" s="314">
        <v>305890.42202205886</v>
      </c>
      <c r="C67" s="314">
        <v>277597.57884380349</v>
      </c>
      <c r="D67" s="314">
        <v>284907.97150851012</v>
      </c>
      <c r="E67" s="314">
        <v>314422.94619303575</v>
      </c>
      <c r="F67" s="314">
        <v>324152.09843205573</v>
      </c>
      <c r="G67" s="650">
        <v>302095.62995495496</v>
      </c>
      <c r="H67" s="650">
        <v>288977.30978680204</v>
      </c>
      <c r="I67" s="650">
        <v>334060.51386183471</v>
      </c>
      <c r="J67" s="650">
        <v>345320.54077627556</v>
      </c>
      <c r="K67" s="650">
        <v>369317.3411034235</v>
      </c>
      <c r="L67" s="650">
        <v>368411.4361489655</v>
      </c>
      <c r="M67" s="650">
        <v>499757.76</v>
      </c>
      <c r="N67" s="650">
        <v>640681.41</v>
      </c>
      <c r="O67" s="650">
        <v>667837.99</v>
      </c>
      <c r="P67" s="650">
        <v>778085.72</v>
      </c>
      <c r="Q67" s="650">
        <v>801253.1</v>
      </c>
      <c r="R67" s="650">
        <v>730121.52</v>
      </c>
      <c r="S67" s="650">
        <v>554371.15</v>
      </c>
      <c r="T67" s="650">
        <v>533038.06000000006</v>
      </c>
      <c r="U67" s="650">
        <v>591687.92000000004</v>
      </c>
      <c r="V67" s="650">
        <v>668977.99</v>
      </c>
      <c r="W67" s="650">
        <v>768533.24</v>
      </c>
      <c r="X67" s="650">
        <v>570118.77</v>
      </c>
      <c r="Y67" s="650">
        <v>231474.58</v>
      </c>
      <c r="Z67" s="314"/>
      <c r="AA67" s="314">
        <f t="shared" ref="AA67:AK67" si="25">S67*110%</f>
        <v>609808.26500000013</v>
      </c>
      <c r="AB67" s="314">
        <f t="shared" si="25"/>
        <v>586341.86600000015</v>
      </c>
      <c r="AC67" s="314">
        <f t="shared" si="25"/>
        <v>650856.71200000006</v>
      </c>
      <c r="AD67" s="314">
        <f t="shared" si="25"/>
        <v>735875.78900000011</v>
      </c>
      <c r="AE67" s="314">
        <f t="shared" si="25"/>
        <v>845386.56400000001</v>
      </c>
      <c r="AF67" s="314">
        <f t="shared" si="25"/>
        <v>627130.64700000011</v>
      </c>
      <c r="AG67" s="314">
        <f t="shared" si="25"/>
        <v>254622.038</v>
      </c>
      <c r="AH67" s="314">
        <f t="shared" si="25"/>
        <v>0</v>
      </c>
      <c r="AI67" s="314">
        <f t="shared" si="25"/>
        <v>670789.09150000021</v>
      </c>
      <c r="AJ67" s="314">
        <f t="shared" si="25"/>
        <v>644976.05260000017</v>
      </c>
      <c r="AK67" s="314">
        <f t="shared" si="25"/>
        <v>715942.38320000016</v>
      </c>
      <c r="AL67" s="314">
        <f t="shared" ref="AL67" si="26">AD67*110%</f>
        <v>809463.36790000019</v>
      </c>
      <c r="AM67" s="314">
        <f t="shared" ref="AM67" si="27">AE67*110%</f>
        <v>929925.22040000011</v>
      </c>
      <c r="AN67" s="314">
        <f t="shared" ref="AN67" si="28">AF67*110%</f>
        <v>689843.71170000022</v>
      </c>
      <c r="AO67" s="314">
        <f t="shared" ref="AO67" si="29">AG67*110%</f>
        <v>280084.24180000002</v>
      </c>
      <c r="AP67" s="314">
        <f t="shared" ref="AP67" si="30">AH67*110%</f>
        <v>0</v>
      </c>
      <c r="AQ67" s="314">
        <f t="shared" ref="AQ67" si="31">AI67*110%</f>
        <v>737868.00065000029</v>
      </c>
      <c r="AR67" s="314">
        <f t="shared" ref="AR67" si="32">AJ67*110%</f>
        <v>709473.65786000027</v>
      </c>
      <c r="AS67" s="314">
        <f t="shared" ref="AS67" si="33">AK67*110%</f>
        <v>787536.62152000028</v>
      </c>
      <c r="AT67" s="314">
        <f t="shared" ref="AT67" si="34">AL67*110%</f>
        <v>890409.70469000028</v>
      </c>
      <c r="AU67" s="314">
        <f t="shared" ref="AU67" si="35">AM67*110%</f>
        <v>1022917.7424400002</v>
      </c>
      <c r="AV67" s="314">
        <f t="shared" ref="AV67" si="36">AN67*110%</f>
        <v>758828.08287000027</v>
      </c>
      <c r="AW67" s="314">
        <f t="shared" ref="AW67" si="37">AO67*110%</f>
        <v>308092.66598000005</v>
      </c>
    </row>
    <row r="68" spans="1:49" s="262" customFormat="1" ht="15" thickBot="1" x14ac:dyDescent="0.4">
      <c r="B68" s="262" t="s">
        <v>246</v>
      </c>
    </row>
    <row r="69" spans="1:49" x14ac:dyDescent="0.3">
      <c r="A69" s="313" t="s">
        <v>339</v>
      </c>
      <c r="B69" s="314">
        <f>B67/31</f>
        <v>9867.4329684535114</v>
      </c>
      <c r="C69" s="314">
        <f>C67/29</f>
        <v>9572.3303049587412</v>
      </c>
      <c r="D69" s="314">
        <f>D67/31</f>
        <v>9190.5797260809723</v>
      </c>
      <c r="E69" s="314">
        <f>E67/30</f>
        <v>10480.764873101192</v>
      </c>
      <c r="F69" s="314">
        <f>F67/31</f>
        <v>10456.519304259862</v>
      </c>
      <c r="G69" s="314">
        <f>G67/30</f>
        <v>10069.854331831832</v>
      </c>
      <c r="H69" s="314">
        <f>H66/31</f>
        <v>9321.8487028000654</v>
      </c>
      <c r="I69" s="314">
        <f>I66/31</f>
        <v>10776.145608446281</v>
      </c>
      <c r="J69" s="314">
        <f>J66/30</f>
        <v>11510.684692542518</v>
      </c>
      <c r="K69" s="314">
        <f>K66/31</f>
        <v>11913.462616239467</v>
      </c>
      <c r="L69" s="314">
        <f>L66/30</f>
        <v>12280.381204965517</v>
      </c>
      <c r="M69" s="314">
        <f>M66/31</f>
        <v>16121.21806451613</v>
      </c>
      <c r="N69" s="314">
        <f>N66/31</f>
        <v>10095.748237830665</v>
      </c>
      <c r="O69" s="314">
        <f>O66/28</f>
        <v>10628.748942918814</v>
      </c>
      <c r="P69" s="314">
        <f>P66/31</f>
        <v>9136.6404977646125</v>
      </c>
      <c r="Q69" s="314">
        <f>Q66/30</f>
        <v>8999.3946819893044</v>
      </c>
      <c r="R69" s="314">
        <f>R66/31</f>
        <v>8231.1834028598478</v>
      </c>
      <c r="S69" s="314">
        <f>S66/30</f>
        <v>8130.6616839210492</v>
      </c>
      <c r="T69" s="314">
        <f>T66/31</f>
        <v>8158.4593548387093</v>
      </c>
      <c r="U69" s="314">
        <f>U66/31</f>
        <v>9478.5938709677412</v>
      </c>
      <c r="V69" s="314">
        <f>V66/30</f>
        <v>11377.989</v>
      </c>
      <c r="W69" s="314">
        <f>W66/31</f>
        <v>12690.801290322577</v>
      </c>
      <c r="X69" s="314">
        <f>X66/30</f>
        <v>14622.929999999998</v>
      </c>
      <c r="Y69" s="314">
        <f>Y66/31</f>
        <v>15690.78</v>
      </c>
    </row>
    <row r="70" spans="1:49" x14ac:dyDescent="0.3">
      <c r="D70" s="245"/>
    </row>
    <row r="71" spans="1:49" x14ac:dyDescent="0.3">
      <c r="A71" s="314"/>
      <c r="B71" s="314"/>
      <c r="D71" s="245"/>
      <c r="F71" s="272"/>
      <c r="M71" s="278"/>
      <c r="N71" s="272"/>
    </row>
    <row r="72" spans="1:49" x14ac:dyDescent="0.3">
      <c r="M72" s="278" t="s">
        <v>493</v>
      </c>
      <c r="N72" s="272" t="s">
        <v>494</v>
      </c>
      <c r="O72" s="313" t="s">
        <v>495</v>
      </c>
      <c r="V72" s="272">
        <f>V66+'SMS Sub'!V66</f>
        <v>521356.5</v>
      </c>
    </row>
    <row r="73" spans="1:49" x14ac:dyDescent="0.3">
      <c r="M73" s="252">
        <v>80</v>
      </c>
      <c r="N73" s="272">
        <v>24</v>
      </c>
      <c r="O73" s="254">
        <f>M73/N73</f>
        <v>3.3333333333333335</v>
      </c>
      <c r="P73" s="254">
        <f>O73*30.5</f>
        <v>101.66666666666667</v>
      </c>
    </row>
    <row r="74" spans="1:49" x14ac:dyDescent="0.3">
      <c r="M74" s="278"/>
      <c r="N74" s="272"/>
    </row>
    <row r="75" spans="1:49" x14ac:dyDescent="0.3">
      <c r="B75" s="313" t="s">
        <v>497</v>
      </c>
      <c r="C75" s="314">
        <v>1553</v>
      </c>
      <c r="M75" s="278"/>
      <c r="N75" s="272"/>
    </row>
    <row r="76" spans="1:49" x14ac:dyDescent="0.3">
      <c r="B76" s="313" t="s">
        <v>498</v>
      </c>
      <c r="C76" s="318">
        <v>145</v>
      </c>
      <c r="D76" s="301"/>
      <c r="E76" s="301"/>
      <c r="F76" s="301"/>
      <c r="G76" s="301"/>
      <c r="H76" s="301"/>
      <c r="I76" s="301"/>
      <c r="J76" s="303"/>
      <c r="K76" s="318"/>
      <c r="L76" s="319"/>
      <c r="M76" s="320"/>
      <c r="N76" s="272"/>
    </row>
    <row r="77" spans="1:49" x14ac:dyDescent="0.3">
      <c r="B77" s="313" t="s">
        <v>499</v>
      </c>
      <c r="C77" s="436">
        <f>C75/C76</f>
        <v>10.710344827586207</v>
      </c>
      <c r="D77" s="301"/>
      <c r="E77" s="301"/>
      <c r="F77" s="301"/>
      <c r="G77" s="301"/>
      <c r="H77" s="301"/>
      <c r="I77" s="301"/>
      <c r="J77" s="301"/>
      <c r="K77" s="301"/>
      <c r="L77" s="301"/>
      <c r="M77" s="320"/>
      <c r="N77" s="272"/>
    </row>
    <row r="78" spans="1:49" ht="14.5" x14ac:dyDescent="0.35">
      <c r="B78" s="313" t="s">
        <v>502</v>
      </c>
      <c r="C78" s="157"/>
      <c r="D78" s="157"/>
      <c r="E78" s="157"/>
      <c r="F78" s="157"/>
      <c r="G78" s="157"/>
      <c r="H78" s="301"/>
      <c r="I78" s="301"/>
      <c r="J78" s="301"/>
      <c r="K78" s="301"/>
      <c r="L78" s="301"/>
      <c r="M78" s="320"/>
      <c r="N78" s="272"/>
    </row>
    <row r="79" spans="1:49" x14ac:dyDescent="0.3">
      <c r="B79" s="313" t="s">
        <v>500</v>
      </c>
      <c r="C79" s="302">
        <f>573816</f>
        <v>573816</v>
      </c>
      <c r="D79" s="264"/>
      <c r="E79" s="302"/>
      <c r="F79" s="264"/>
      <c r="G79" s="302"/>
      <c r="H79" s="301"/>
      <c r="I79" s="301"/>
      <c r="J79" s="301"/>
      <c r="K79" s="301"/>
      <c r="L79" s="301"/>
      <c r="M79" s="320"/>
      <c r="N79" s="272"/>
    </row>
    <row r="80" spans="1:49" x14ac:dyDescent="0.3">
      <c r="B80" s="313" t="s">
        <v>505</v>
      </c>
      <c r="C80" s="302">
        <v>43710</v>
      </c>
      <c r="D80" s="264"/>
      <c r="E80" s="302"/>
      <c r="F80" s="264"/>
      <c r="G80" s="302"/>
      <c r="H80" s="301"/>
      <c r="I80" s="301"/>
      <c r="J80" s="301"/>
      <c r="K80" s="301"/>
      <c r="L80" s="301"/>
      <c r="M80" s="320"/>
      <c r="N80" s="272"/>
    </row>
    <row r="81" spans="2:15" x14ac:dyDescent="0.3">
      <c r="B81" s="313" t="s">
        <v>501</v>
      </c>
      <c r="C81" s="303">
        <f>(C79-C80)/C77</f>
        <v>49494.764971023826</v>
      </c>
      <c r="D81" s="301"/>
      <c r="E81" s="301"/>
      <c r="F81" s="301"/>
      <c r="G81" s="301"/>
      <c r="H81" s="301"/>
      <c r="I81" s="301"/>
      <c r="J81" s="301"/>
      <c r="K81" s="301"/>
      <c r="L81" s="301"/>
      <c r="M81" s="320"/>
      <c r="N81" s="272"/>
      <c r="O81" s="272"/>
    </row>
    <row r="82" spans="2:15" x14ac:dyDescent="0.3">
      <c r="C82" s="304"/>
      <c r="D82" s="301"/>
      <c r="E82" s="304"/>
      <c r="F82" s="301"/>
      <c r="G82" s="304"/>
      <c r="H82" s="301"/>
      <c r="I82" s="301"/>
      <c r="J82" s="301"/>
      <c r="K82" s="301"/>
      <c r="L82" s="301"/>
      <c r="M82" s="301"/>
      <c r="N82" s="272"/>
    </row>
    <row r="83" spans="2:15" x14ac:dyDescent="0.3">
      <c r="N83" s="272"/>
    </row>
    <row r="85" spans="2:15" x14ac:dyDescent="0.3">
      <c r="C85" s="266"/>
      <c r="D85" s="267"/>
      <c r="E85" s="266"/>
      <c r="F85" s="267"/>
      <c r="G85" s="266"/>
    </row>
    <row r="92" spans="2:15" x14ac:dyDescent="0.3">
      <c r="F92" s="314"/>
    </row>
    <row r="93" spans="2:15" x14ac:dyDescent="0.3">
      <c r="F93" s="314"/>
    </row>
    <row r="94" spans="2:15" x14ac:dyDescent="0.3">
      <c r="F94" s="314"/>
    </row>
    <row r="95" spans="2:15" x14ac:dyDescent="0.3">
      <c r="F95" s="314"/>
    </row>
    <row r="96" spans="2:15" x14ac:dyDescent="0.3">
      <c r="F96" s="314"/>
    </row>
    <row r="97" spans="6:6" x14ac:dyDescent="0.3">
      <c r="F97" s="314"/>
    </row>
    <row r="98" spans="6:6" x14ac:dyDescent="0.3">
      <c r="F98" s="314"/>
    </row>
    <row r="99" spans="6:6" x14ac:dyDescent="0.3">
      <c r="F99" s="314"/>
    </row>
    <row r="100" spans="6:6" x14ac:dyDescent="0.3">
      <c r="F100" s="314"/>
    </row>
    <row r="101" spans="6:6" x14ac:dyDescent="0.3">
      <c r="F101" s="314"/>
    </row>
    <row r="102" spans="6:6" x14ac:dyDescent="0.3">
      <c r="F102" s="314"/>
    </row>
    <row r="103" spans="6:6" x14ac:dyDescent="0.3">
      <c r="F103" s="314"/>
    </row>
  </sheetData>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W105"/>
  <sheetViews>
    <sheetView workbookViewId="0">
      <pane xSplit="1" ySplit="5" topLeftCell="O6" activePane="bottomRight" state="frozen"/>
      <selection pane="topRight" activeCell="B1" sqref="B1"/>
      <selection pane="bottomLeft" activeCell="A6" sqref="A6"/>
      <selection pane="bottomRight" activeCell="Z14" sqref="Z14"/>
    </sheetView>
  </sheetViews>
  <sheetFormatPr defaultColWidth="9.1796875" defaultRowHeight="13" x14ac:dyDescent="0.3"/>
  <cols>
    <col min="1" max="1" width="25" style="313" bestFit="1" customWidth="1"/>
    <col min="2" max="2" width="14.1796875" style="313" customWidth="1"/>
    <col min="3" max="16" width="13.81640625" style="313" bestFit="1" customWidth="1"/>
    <col min="17" max="17" width="14.81640625" style="313" bestFit="1" customWidth="1"/>
    <col min="18" max="24" width="13.81640625" style="313" bestFit="1" customWidth="1"/>
    <col min="25" max="37" width="14.54296875" style="313" bestFit="1" customWidth="1"/>
    <col min="38" max="16384" width="9.1796875" style="313"/>
  </cols>
  <sheetData>
    <row r="1" spans="1:49" ht="18.5" thickBot="1" x14ac:dyDescent="0.45">
      <c r="A1" s="88" t="str">
        <f>Sensativities!B4</f>
        <v>CallFire</v>
      </c>
    </row>
    <row r="2" spans="1:49" x14ac:dyDescent="0.3">
      <c r="A2" s="247"/>
      <c r="B2" s="245"/>
      <c r="C2" s="245"/>
      <c r="D2" s="245"/>
      <c r="E2" s="245"/>
      <c r="F2" s="245"/>
      <c r="G2" s="245"/>
    </row>
    <row r="3" spans="1:49" ht="15.5" x14ac:dyDescent="0.35">
      <c r="A3" s="93" t="s">
        <v>70</v>
      </c>
    </row>
    <row r="4" spans="1:49" x14ac:dyDescent="0.3">
      <c r="B4" s="244">
        <f>Sensativities!D2</f>
        <v>40909</v>
      </c>
      <c r="C4" s="244">
        <f>Sensativities!E2</f>
        <v>40940</v>
      </c>
      <c r="D4" s="244">
        <f>Sensativities!F2</f>
        <v>40969</v>
      </c>
      <c r="E4" s="244">
        <f>Sensativities!G2</f>
        <v>41000</v>
      </c>
      <c r="F4" s="244">
        <f>Sensativities!H2</f>
        <v>41030</v>
      </c>
      <c r="G4" s="244">
        <f>Sensativities!I2</f>
        <v>41061</v>
      </c>
      <c r="H4" s="244">
        <f>Sensativities!J2</f>
        <v>41091</v>
      </c>
      <c r="I4" s="244">
        <f>Sensativities!K2</f>
        <v>41122</v>
      </c>
      <c r="J4" s="244">
        <f>Sensativities!L2</f>
        <v>41153</v>
      </c>
      <c r="K4" s="244">
        <f>Sensativities!M2</f>
        <v>41183</v>
      </c>
      <c r="L4" s="244">
        <f>Sensativities!N2</f>
        <v>41214</v>
      </c>
      <c r="M4" s="244">
        <f>Sensativities!O2</f>
        <v>41244</v>
      </c>
      <c r="N4" s="244">
        <f>Sensativities!P2</f>
        <v>41275</v>
      </c>
      <c r="O4" s="244">
        <f>Sensativities!Q2</f>
        <v>41306</v>
      </c>
      <c r="P4" s="244">
        <f>Sensativities!R2</f>
        <v>41334</v>
      </c>
      <c r="Q4" s="244">
        <f>Sensativities!S2</f>
        <v>41365</v>
      </c>
      <c r="R4" s="244">
        <f>Sensativities!T2</f>
        <v>41395</v>
      </c>
      <c r="S4" s="244">
        <f>Sensativities!U2</f>
        <v>41426</v>
      </c>
      <c r="T4" s="244">
        <f>Sensativities!V2</f>
        <v>41456</v>
      </c>
      <c r="U4" s="244">
        <f>Sensativities!W2</f>
        <v>41487</v>
      </c>
      <c r="V4" s="244">
        <f>Sensativities!X2</f>
        <v>41518</v>
      </c>
      <c r="W4" s="244">
        <f>Sensativities!Y2</f>
        <v>41548</v>
      </c>
      <c r="X4" s="244">
        <f>Sensativities!Z2</f>
        <v>41579</v>
      </c>
      <c r="Y4" s="244">
        <f>Sensativities!AA2</f>
        <v>41609</v>
      </c>
      <c r="Z4" s="244">
        <f>Sensativities!AB2</f>
        <v>41640</v>
      </c>
      <c r="AA4" s="244">
        <f>Sensativities!AC2</f>
        <v>41671</v>
      </c>
      <c r="AB4" s="244">
        <f>Sensativities!AD2</f>
        <v>41699</v>
      </c>
      <c r="AC4" s="244">
        <f>Sensativities!AE2</f>
        <v>41730</v>
      </c>
      <c r="AD4" s="244">
        <f>Sensativities!AF2</f>
        <v>41760</v>
      </c>
      <c r="AE4" s="244">
        <f>Sensativities!AG2</f>
        <v>41791</v>
      </c>
      <c r="AF4" s="244">
        <f>Sensativities!AH2</f>
        <v>41821</v>
      </c>
      <c r="AG4" s="244">
        <f>Sensativities!AI2</f>
        <v>41852</v>
      </c>
      <c r="AH4" s="244">
        <f>Sensativities!AJ2</f>
        <v>41883</v>
      </c>
      <c r="AI4" s="244">
        <f>Sensativities!AK2</f>
        <v>41913</v>
      </c>
      <c r="AJ4" s="244">
        <f>Sensativities!AL2</f>
        <v>41944</v>
      </c>
      <c r="AK4" s="244">
        <f>Sensativities!AM2</f>
        <v>41974</v>
      </c>
      <c r="AL4" s="244">
        <f>Sensativities!AN2</f>
        <v>42005</v>
      </c>
      <c r="AM4" s="244">
        <f>Sensativities!AO2</f>
        <v>42036</v>
      </c>
      <c r="AN4" s="244">
        <f>Sensativities!AP2</f>
        <v>42064</v>
      </c>
      <c r="AO4" s="244">
        <f>Sensativities!AQ2</f>
        <v>42095</v>
      </c>
      <c r="AP4" s="244">
        <f>Sensativities!AR2</f>
        <v>42125</v>
      </c>
      <c r="AQ4" s="244">
        <f>Sensativities!AS2</f>
        <v>42156</v>
      </c>
      <c r="AR4" s="244">
        <f>Sensativities!AT2</f>
        <v>42186</v>
      </c>
      <c r="AS4" s="244">
        <f>Sensativities!AU2</f>
        <v>42217</v>
      </c>
      <c r="AT4" s="244">
        <f>Sensativities!AV2</f>
        <v>42248</v>
      </c>
      <c r="AU4" s="244">
        <f>Sensativities!AW2</f>
        <v>42278</v>
      </c>
      <c r="AV4" s="244">
        <f>Sensativities!AX2</f>
        <v>42309</v>
      </c>
      <c r="AW4" s="244">
        <f>Sensativities!AY2</f>
        <v>42339</v>
      </c>
    </row>
    <row r="5" spans="1:49" x14ac:dyDescent="0.3">
      <c r="B5" s="261" t="s">
        <v>245</v>
      </c>
      <c r="C5" s="261" t="s">
        <v>245</v>
      </c>
      <c r="D5" s="261" t="s">
        <v>245</v>
      </c>
      <c r="E5" s="261" t="s">
        <v>245</v>
      </c>
      <c r="F5" s="261" t="s">
        <v>245</v>
      </c>
      <c r="G5" s="261" t="s">
        <v>245</v>
      </c>
      <c r="H5" s="261" t="s">
        <v>245</v>
      </c>
      <c r="I5" s="261" t="s">
        <v>245</v>
      </c>
      <c r="J5" s="261" t="s">
        <v>245</v>
      </c>
      <c r="K5" s="261" t="s">
        <v>245</v>
      </c>
      <c r="L5" s="261" t="s">
        <v>245</v>
      </c>
      <c r="M5" s="261" t="s">
        <v>245</v>
      </c>
      <c r="N5" s="261" t="s">
        <v>245</v>
      </c>
      <c r="O5" s="261" t="s">
        <v>245</v>
      </c>
      <c r="P5" s="261" t="s">
        <v>245</v>
      </c>
      <c r="Q5" s="261" t="s">
        <v>245</v>
      </c>
      <c r="R5" s="261" t="s">
        <v>245</v>
      </c>
      <c r="S5" s="261" t="s">
        <v>245</v>
      </c>
      <c r="T5" s="261" t="s">
        <v>245</v>
      </c>
      <c r="U5" s="261" t="s">
        <v>245</v>
      </c>
      <c r="V5" s="261" t="s">
        <v>245</v>
      </c>
      <c r="W5" s="261" t="s">
        <v>245</v>
      </c>
      <c r="X5" s="261" t="s">
        <v>245</v>
      </c>
      <c r="Y5" s="261" t="s">
        <v>245</v>
      </c>
      <c r="Z5" s="261" t="s">
        <v>245</v>
      </c>
    </row>
    <row r="6" spans="1:49" ht="14.5" x14ac:dyDescent="0.35">
      <c r="A6" s="641" t="s">
        <v>817</v>
      </c>
      <c r="B6" s="574">
        <v>136</v>
      </c>
      <c r="C6" s="574">
        <v>146</v>
      </c>
      <c r="D6" s="574">
        <v>138</v>
      </c>
      <c r="E6" s="574">
        <v>119</v>
      </c>
      <c r="F6" s="574">
        <v>134</v>
      </c>
      <c r="G6" s="574">
        <v>115</v>
      </c>
      <c r="H6" s="574">
        <v>108</v>
      </c>
      <c r="I6" s="574">
        <v>166</v>
      </c>
      <c r="J6" s="574">
        <v>175</v>
      </c>
      <c r="K6" s="574">
        <v>154</v>
      </c>
      <c r="L6" s="574">
        <v>132</v>
      </c>
      <c r="M6" s="574">
        <v>118</v>
      </c>
      <c r="N6" s="574">
        <v>144</v>
      </c>
      <c r="O6" s="574">
        <v>164</v>
      </c>
      <c r="P6" s="574">
        <v>145</v>
      </c>
      <c r="Q6" s="574">
        <v>156</v>
      </c>
      <c r="R6" s="574">
        <v>170</v>
      </c>
      <c r="S6" s="574">
        <v>175</v>
      </c>
      <c r="T6" s="574">
        <v>192</v>
      </c>
      <c r="U6" s="574">
        <v>221</v>
      </c>
      <c r="V6" s="574">
        <v>214</v>
      </c>
      <c r="W6" s="574">
        <v>209</v>
      </c>
      <c r="X6" s="574">
        <v>212</v>
      </c>
      <c r="Y6" s="574">
        <v>145</v>
      </c>
      <c r="Z6" s="574">
        <v>232</v>
      </c>
      <c r="AA6" s="245">
        <f>('CAC Update'!AD50)*(1-Sensativities!$B$53)*(Sensativities!$B$58)</f>
        <v>206.56685791427611</v>
      </c>
      <c r="AB6" s="245">
        <f>('CAC Update'!AE50)*(1-Sensativities!$B$53)*(Sensativities!$B$58)</f>
        <v>184.14000000000004</v>
      </c>
      <c r="AC6" s="245">
        <f>('CAC Update'!AF50)*(1-Sensativities!$B$53)*(Sensativities!$B$58)</f>
        <v>255.70285714285714</v>
      </c>
      <c r="AD6" s="245">
        <f>('CAC Update'!AG50)*(1-Sensativities!$B$53)*(Sensativities!$B$58)</f>
        <v>257.96571428571423</v>
      </c>
      <c r="AE6" s="245">
        <f>('CAC Update'!AH50)*(1-Sensativities!$B$53)*(Sensativities!$B$58)</f>
        <v>226.28571428571428</v>
      </c>
      <c r="AF6" s="245">
        <f>('CAC Update'!AI50)*(1-Sensativities!$B$53)*(Sensativities!$B$58)</f>
        <v>203.6571428571429</v>
      </c>
      <c r="AG6" s="245">
        <f>('CAC Update'!AJ50)*(1-Sensativities!$B$53)*(Sensativities!$B$58)</f>
        <v>181.02857142857144</v>
      </c>
      <c r="AH6" s="245">
        <f>('CAC Update'!AK50)*(1-Sensativities!$B$53)*(Sensativities!$B$58)</f>
        <v>181.02857142857144</v>
      </c>
      <c r="AI6" s="245">
        <f>('CAC Update'!AL50)*(1-Sensativities!$B$53)*(Sensativities!$B$58)</f>
        <v>267.3</v>
      </c>
      <c r="AJ6" s="245">
        <f>('CAC Update'!AM50)*(1-Sensativities!$B$53)*(Sensativities!$B$58)</f>
        <v>267.3</v>
      </c>
      <c r="AK6" s="245">
        <f>('CAC Update'!AN50)*(1-Sensativities!$B$53)*(Sensativities!$B$58)</f>
        <v>267.3</v>
      </c>
      <c r="AL6" s="245">
        <f>('CAC Update'!AO50)*(1-Sensativities!$B$53)*(Sensativities!$B$58)</f>
        <v>267.3</v>
      </c>
      <c r="AM6" s="245">
        <f>('CAC Update'!AP50)*(1-Sensativities!$B$53)*(Sensativities!$B$58)</f>
        <v>267.3</v>
      </c>
      <c r="AN6" s="245">
        <f>('CAC Update'!AQ50)*(1-Sensativities!$B$53)*(Sensativities!$B$58)</f>
        <v>267.3</v>
      </c>
      <c r="AO6" s="245">
        <f>('CAC Update'!AR50)*(1-Sensativities!$B$53)*(Sensativities!$B$58)</f>
        <v>267.3</v>
      </c>
      <c r="AP6" s="245">
        <f>('CAC Update'!AS50)*(1-Sensativities!$B$53)*(Sensativities!$B$58)</f>
        <v>267.3</v>
      </c>
      <c r="AQ6" s="245">
        <f>('CAC Update'!AT50)*(1-Sensativities!$B$53)*(Sensativities!$B$58)</f>
        <v>267.3</v>
      </c>
      <c r="AR6" s="245">
        <f>('CAC Update'!AU50)*(1-Sensativities!$B$53)*(Sensativities!$B$58)</f>
        <v>267.3</v>
      </c>
      <c r="AS6" s="245">
        <f>('CAC Update'!AV50)*(1-Sensativities!$B$53)*(Sensativities!$B$58)</f>
        <v>267.3</v>
      </c>
      <c r="AT6" s="245">
        <f>('CAC Update'!AW50)*(1-Sensativities!$B$53)*(Sensativities!$B$58)</f>
        <v>267.3</v>
      </c>
      <c r="AU6" s="245">
        <f>('CAC Update'!AX50)*(1-Sensativities!$B$53)*(Sensativities!$B$58)</f>
        <v>267.3</v>
      </c>
      <c r="AV6" s="245">
        <f>('CAC Update'!AY50)*(1-Sensativities!$B$53)*(Sensativities!$B$58)</f>
        <v>267.3</v>
      </c>
      <c r="AW6" s="245">
        <f>('CAC Update'!AZ50)*(1-Sensativities!$B$53)*(Sensativities!$B$58)</f>
        <v>267.3</v>
      </c>
    </row>
    <row r="7" spans="1:49" x14ac:dyDescent="0.3">
      <c r="B7" s="248"/>
      <c r="C7" s="248"/>
      <c r="D7" s="248"/>
      <c r="E7" s="248"/>
      <c r="F7" s="248"/>
      <c r="G7" s="248"/>
      <c r="H7" s="248"/>
      <c r="I7" s="248"/>
      <c r="J7" s="248"/>
      <c r="K7" s="248"/>
      <c r="L7" s="248"/>
      <c r="M7" s="248"/>
      <c r="N7" s="248"/>
      <c r="O7" s="248"/>
      <c r="P7" s="248"/>
      <c r="Q7" s="248"/>
      <c r="R7" s="248"/>
      <c r="S7" s="248"/>
      <c r="T7" s="248"/>
      <c r="U7" s="248"/>
      <c r="V7" s="248"/>
      <c r="W7" s="248"/>
      <c r="X7" s="248"/>
      <c r="Y7" s="248"/>
      <c r="Z7" s="248"/>
      <c r="AA7" s="248"/>
      <c r="AB7" s="248"/>
      <c r="AC7" s="248"/>
      <c r="AD7" s="248"/>
      <c r="AE7" s="248"/>
      <c r="AF7" s="248"/>
      <c r="AG7" s="248"/>
      <c r="AH7" s="248"/>
      <c r="AI7" s="248"/>
      <c r="AJ7" s="248"/>
      <c r="AK7" s="248"/>
    </row>
    <row r="8" spans="1:49" ht="14.5" x14ac:dyDescent="0.35">
      <c r="A8" s="641" t="s">
        <v>245</v>
      </c>
      <c r="B8" s="574"/>
      <c r="C8" s="574"/>
      <c r="D8" s="574"/>
      <c r="E8" s="574"/>
      <c r="F8" s="574"/>
      <c r="G8" s="574"/>
      <c r="H8" s="574"/>
      <c r="I8" s="574"/>
      <c r="J8" s="574"/>
      <c r="K8" s="574"/>
      <c r="L8" s="574"/>
      <c r="M8" s="574"/>
      <c r="N8" s="574"/>
      <c r="O8" s="574"/>
      <c r="P8" s="574"/>
      <c r="Q8" s="574"/>
      <c r="R8" s="574"/>
      <c r="S8" s="574"/>
      <c r="T8" s="574"/>
      <c r="U8" s="574"/>
      <c r="V8" s="574"/>
      <c r="W8" s="574"/>
    </row>
    <row r="9" spans="1:49" x14ac:dyDescent="0.3">
      <c r="N9" s="245"/>
    </row>
    <row r="10" spans="1:49" x14ac:dyDescent="0.3">
      <c r="B10" s="314"/>
      <c r="C10" s="314"/>
      <c r="D10" s="314"/>
      <c r="E10" s="314"/>
      <c r="F10" s="314"/>
      <c r="G10" s="314"/>
      <c r="H10" s="314"/>
      <c r="I10" s="314"/>
      <c r="J10" s="314"/>
      <c r="K10" s="314"/>
      <c r="L10" s="314"/>
      <c r="M10" s="314"/>
      <c r="N10" s="314"/>
      <c r="O10" s="314"/>
      <c r="P10" s="314"/>
      <c r="Q10" s="314"/>
      <c r="R10" s="314"/>
      <c r="S10" s="314"/>
      <c r="T10" s="314"/>
      <c r="U10" s="314"/>
      <c r="V10" s="314"/>
      <c r="W10" s="314"/>
      <c r="X10" s="314"/>
      <c r="Y10" s="314"/>
      <c r="Z10" s="314"/>
      <c r="AA10" s="314"/>
      <c r="AB10" s="314"/>
      <c r="AC10" s="314"/>
      <c r="AD10" s="314"/>
      <c r="AE10" s="314"/>
      <c r="AF10" s="314"/>
      <c r="AG10" s="314"/>
      <c r="AH10" s="314"/>
      <c r="AI10" s="314"/>
      <c r="AJ10" s="314"/>
      <c r="AK10" s="314"/>
    </row>
    <row r="11" spans="1:49" x14ac:dyDescent="0.3">
      <c r="B11" s="252"/>
      <c r="C11" s="252"/>
      <c r="D11" s="252"/>
      <c r="E11" s="252"/>
      <c r="F11" s="252"/>
      <c r="G11" s="252"/>
      <c r="H11" s="252"/>
      <c r="I11" s="252"/>
      <c r="J11" s="252"/>
      <c r="K11" s="252"/>
      <c r="L11" s="252"/>
      <c r="M11" s="252"/>
      <c r="N11" s="252"/>
      <c r="O11" s="252"/>
      <c r="P11" s="252"/>
      <c r="Q11" s="252"/>
      <c r="R11" s="252"/>
      <c r="S11" s="252"/>
      <c r="T11" s="252"/>
      <c r="U11" s="252"/>
      <c r="V11" s="252"/>
      <c r="W11" s="252"/>
      <c r="X11" s="252"/>
      <c r="Y11" s="252"/>
      <c r="Z11" s="314"/>
      <c r="AA11" s="314"/>
      <c r="AB11" s="314"/>
      <c r="AC11" s="314"/>
      <c r="AD11" s="314"/>
      <c r="AE11" s="314"/>
      <c r="AF11" s="314"/>
      <c r="AG11" s="314"/>
      <c r="AH11" s="314"/>
      <c r="AI11" s="314"/>
      <c r="AJ11" s="314"/>
      <c r="AK11" s="314"/>
    </row>
    <row r="12" spans="1:49" s="273" customFormat="1" x14ac:dyDescent="0.3">
      <c r="B12" s="274" t="s">
        <v>278</v>
      </c>
      <c r="C12" s="274"/>
      <c r="D12" s="274"/>
      <c r="E12" s="274"/>
      <c r="F12" s="274"/>
      <c r="G12" s="274"/>
      <c r="H12" s="274"/>
      <c r="I12" s="274"/>
      <c r="J12" s="274"/>
      <c r="K12" s="274"/>
      <c r="L12" s="274"/>
      <c r="M12" s="274"/>
      <c r="N12" s="274"/>
      <c r="O12" s="274"/>
      <c r="P12" s="274"/>
      <c r="Q12" s="274"/>
      <c r="R12" s="274"/>
      <c r="S12" s="274"/>
      <c r="T12" s="274"/>
      <c r="U12" s="274"/>
      <c r="V12" s="274"/>
      <c r="W12" s="274"/>
      <c r="X12" s="274"/>
      <c r="Y12" s="274"/>
      <c r="Z12" s="275"/>
      <c r="AA12" s="275"/>
      <c r="AB12" s="275"/>
      <c r="AC12" s="275"/>
      <c r="AD12" s="275"/>
      <c r="AE12" s="275"/>
      <c r="AF12" s="275"/>
      <c r="AG12" s="275"/>
      <c r="AH12" s="275"/>
      <c r="AI12" s="275"/>
      <c r="AJ12" s="275"/>
      <c r="AK12" s="275"/>
    </row>
    <row r="13" spans="1:49" x14ac:dyDescent="0.3">
      <c r="A13" s="313" t="s">
        <v>277</v>
      </c>
    </row>
    <row r="14" spans="1:49" x14ac:dyDescent="0.3">
      <c r="A14" s="270" t="s">
        <v>200</v>
      </c>
      <c r="B14" s="271"/>
      <c r="C14" s="314"/>
      <c r="D14" s="314"/>
      <c r="E14" s="314"/>
      <c r="F14" s="314"/>
      <c r="G14" s="314"/>
      <c r="H14" s="314"/>
      <c r="I14" s="314"/>
      <c r="J14" s="314"/>
      <c r="K14" s="314"/>
      <c r="L14" s="314"/>
      <c r="M14" s="314"/>
      <c r="N14" s="314">
        <f>((N$6*(Sensativities!P55*Sensativities!$B$54)))</f>
        <v>16057.439999999999</v>
      </c>
      <c r="O14" s="314">
        <f>((O$6*(Sensativities!Q55*Sensativities!$B$54)))</f>
        <v>22007.16</v>
      </c>
      <c r="P14" s="314">
        <f>((P$6*(Sensativities!R55*Sensativities!$B$54)))</f>
        <v>16168.949999999999</v>
      </c>
      <c r="Q14" s="314">
        <f>((Q$6*(Sensativities!S55*Sensativities!$B$54)))</f>
        <v>17395.559999999998</v>
      </c>
      <c r="R14" s="314">
        <f>((R$6*(Sensativities!T55*Sensativities!$B$54)))</f>
        <v>18956.699999999997</v>
      </c>
      <c r="S14" s="314">
        <f>((S$6*(Sensativities!U55*Sensativities!$B$54)))</f>
        <v>19514.25</v>
      </c>
      <c r="T14" s="314">
        <f>((T$6*(Sensativities!V55*Sensativities!$B$54)))</f>
        <v>21409.919999999998</v>
      </c>
      <c r="U14" s="314">
        <f>((U$6*(Sensativities!W55*Sensativities!$B$54)))</f>
        <v>24643.71</v>
      </c>
      <c r="V14" s="314">
        <f>((V$6*(Sensativities!X55*Sensativities!$B$54)))</f>
        <v>23863.14</v>
      </c>
      <c r="W14" s="314">
        <f>((W$6*(Sensativities!Y55*Sensativities!$B$54)))</f>
        <v>23305.589999999997</v>
      </c>
      <c r="X14" s="314">
        <f>((X$6*(Sensativities!Z55*Sensativities!$B$54)))</f>
        <v>23640.12</v>
      </c>
      <c r="Y14" s="314">
        <f>((Y$6*(Sensativities!AA55*Sensativities!$B$54)))</f>
        <v>16168.949999999999</v>
      </c>
      <c r="Z14" s="314">
        <f>((Z$6*(Sensativities!AB55*Sensativities!$B$54)))</f>
        <v>25870.32</v>
      </c>
      <c r="AA14" s="314">
        <f>((AA$6*(Sensativities!AC55*Sensativities!$B$54)))</f>
        <v>23034.270326020927</v>
      </c>
      <c r="AB14" s="314">
        <f>((AB$6*(Sensativities!AD55*Sensativities!$B$54)))</f>
        <v>20533.451400000002</v>
      </c>
      <c r="AC14" s="314">
        <f>((AC$6*(Sensativities!AE55*Sensativities!$B$54)))</f>
        <v>28513.425599999999</v>
      </c>
      <c r="AD14" s="314">
        <f>((AD$6*(Sensativities!AF55*Sensativities!$B$54)))</f>
        <v>28765.756799999992</v>
      </c>
      <c r="AE14" s="314">
        <f>((AE$6*(Sensativities!AG55*Sensativities!$B$54)))</f>
        <v>25233.119999999995</v>
      </c>
      <c r="AF14" s="314">
        <f>((AF$6*(Sensativities!AH55*Sensativities!$B$54)))</f>
        <v>22709.808000000005</v>
      </c>
      <c r="AG14" s="314">
        <f>((AG$6*(Sensativities!AI55*Sensativities!$B$54)))</f>
        <v>20186.495999999999</v>
      </c>
      <c r="AH14" s="314">
        <f>((AH$6*(Sensativities!AJ55*Sensativities!$B$54)))</f>
        <v>20186.495999999999</v>
      </c>
      <c r="AI14" s="314">
        <f>((AI$6*(Sensativities!AK55*Sensativities!$B$54)))</f>
        <v>29806.623</v>
      </c>
      <c r="AJ14" s="314">
        <f>((AJ$6*(Sensativities!AL55*Sensativities!$B$54)))</f>
        <v>29806.623</v>
      </c>
      <c r="AK14" s="314">
        <f>((AK$6*(Sensativities!AM55*Sensativities!$B$54)))</f>
        <v>29806.623</v>
      </c>
      <c r="AL14" s="621">
        <f>((AL$6*(Sensativities!AN55*Sensativities!$B$54)))</f>
        <v>29806.623</v>
      </c>
      <c r="AM14" s="621">
        <f>((AM$6*(Sensativities!AO55*Sensativities!$B$54)))</f>
        <v>29806.623</v>
      </c>
      <c r="AN14" s="621">
        <f>((AN$6*(Sensativities!AP55*Sensativities!$B$54)))</f>
        <v>29806.623</v>
      </c>
      <c r="AO14" s="621">
        <f>((AO$6*(Sensativities!AQ55*Sensativities!$B$54)))</f>
        <v>29806.623</v>
      </c>
      <c r="AP14" s="621">
        <f>((AP$6*(Sensativities!AR55*Sensativities!$B$54)))</f>
        <v>29806.623</v>
      </c>
      <c r="AQ14" s="621">
        <f>((AQ$6*(Sensativities!AS55*Sensativities!$B$54)))</f>
        <v>29806.623</v>
      </c>
      <c r="AR14" s="621">
        <f>((AR$6*(Sensativities!AT55*Sensativities!$B$54)))</f>
        <v>29806.623</v>
      </c>
      <c r="AS14" s="621">
        <f>((AS$6*(Sensativities!AU55*Sensativities!$B$54)))</f>
        <v>29806.623</v>
      </c>
      <c r="AT14" s="621">
        <f>((AT$6*(Sensativities!AV55*Sensativities!$B$54)))</f>
        <v>29806.623</v>
      </c>
      <c r="AU14" s="621">
        <f>((AU$6*(Sensativities!AW55*Sensativities!$B$54)))</f>
        <v>29806.623</v>
      </c>
      <c r="AV14" s="621">
        <f>((AV$6*(Sensativities!AX55*Sensativities!$B$54)))</f>
        <v>29806.623</v>
      </c>
      <c r="AW14" s="621">
        <f>((AW$6*(Sensativities!AY55*Sensativities!$B$54)))</f>
        <v>29806.623</v>
      </c>
    </row>
    <row r="15" spans="1:49" x14ac:dyDescent="0.3">
      <c r="A15" s="313" t="s">
        <v>201</v>
      </c>
      <c r="B15" s="314"/>
      <c r="C15" s="271"/>
      <c r="D15" s="314"/>
      <c r="E15" s="314"/>
      <c r="F15" s="314"/>
      <c r="G15" s="314"/>
      <c r="H15" s="314"/>
      <c r="I15" s="314"/>
      <c r="J15" s="314"/>
      <c r="K15" s="314"/>
      <c r="L15" s="314"/>
      <c r="M15" s="314"/>
      <c r="N15" s="314"/>
      <c r="O15" s="314">
        <f>N14</f>
        <v>16057.439999999999</v>
      </c>
      <c r="P15" s="314">
        <f>O14</f>
        <v>22007.16</v>
      </c>
      <c r="Q15" s="314">
        <f>P14</f>
        <v>16168.949999999999</v>
      </c>
      <c r="R15" s="314">
        <f>Q14</f>
        <v>17395.559999999998</v>
      </c>
      <c r="S15" s="314">
        <f>R14</f>
        <v>18956.699999999997</v>
      </c>
      <c r="T15" s="314">
        <f t="shared" ref="T15:AI26" si="0">S14</f>
        <v>19514.25</v>
      </c>
      <c r="U15" s="314">
        <f t="shared" si="0"/>
        <v>21409.919999999998</v>
      </c>
      <c r="V15" s="314">
        <f t="shared" si="0"/>
        <v>24643.71</v>
      </c>
      <c r="W15" s="314">
        <f t="shared" si="0"/>
        <v>23863.14</v>
      </c>
      <c r="X15" s="314">
        <f t="shared" si="0"/>
        <v>23305.589999999997</v>
      </c>
      <c r="Y15" s="314">
        <f t="shared" si="0"/>
        <v>23640.12</v>
      </c>
      <c r="Z15" s="314">
        <f t="shared" si="0"/>
        <v>16168.949999999999</v>
      </c>
      <c r="AA15" s="314">
        <f t="shared" si="0"/>
        <v>25870.32</v>
      </c>
      <c r="AB15" s="314">
        <f t="shared" si="0"/>
        <v>23034.270326020927</v>
      </c>
      <c r="AC15" s="314">
        <f t="shared" si="0"/>
        <v>20533.451400000002</v>
      </c>
      <c r="AD15" s="314">
        <f t="shared" si="0"/>
        <v>28513.425599999999</v>
      </c>
      <c r="AE15" s="314">
        <f t="shared" si="0"/>
        <v>28765.756799999992</v>
      </c>
      <c r="AF15" s="314">
        <f t="shared" si="0"/>
        <v>25233.119999999995</v>
      </c>
      <c r="AG15" s="314">
        <f t="shared" si="0"/>
        <v>22709.808000000005</v>
      </c>
      <c r="AH15" s="314">
        <f t="shared" si="0"/>
        <v>20186.495999999999</v>
      </c>
      <c r="AI15" s="314">
        <f t="shared" si="0"/>
        <v>20186.495999999999</v>
      </c>
      <c r="AJ15" s="314">
        <f t="shared" ref="AJ15:AW30" si="1">AI14</f>
        <v>29806.623</v>
      </c>
      <c r="AK15" s="314">
        <f t="shared" si="1"/>
        <v>29806.623</v>
      </c>
      <c r="AL15" s="621">
        <f t="shared" si="1"/>
        <v>29806.623</v>
      </c>
      <c r="AM15" s="621">
        <f t="shared" si="1"/>
        <v>29806.623</v>
      </c>
      <c r="AN15" s="621">
        <f t="shared" si="1"/>
        <v>29806.623</v>
      </c>
      <c r="AO15" s="621">
        <f t="shared" si="1"/>
        <v>29806.623</v>
      </c>
      <c r="AP15" s="621">
        <f t="shared" si="1"/>
        <v>29806.623</v>
      </c>
      <c r="AQ15" s="621">
        <f t="shared" si="1"/>
        <v>29806.623</v>
      </c>
      <c r="AR15" s="621">
        <f t="shared" si="1"/>
        <v>29806.623</v>
      </c>
      <c r="AS15" s="621">
        <f t="shared" si="1"/>
        <v>29806.623</v>
      </c>
      <c r="AT15" s="621">
        <f t="shared" si="1"/>
        <v>29806.623</v>
      </c>
      <c r="AU15" s="621">
        <f t="shared" si="1"/>
        <v>29806.623</v>
      </c>
      <c r="AV15" s="621">
        <f t="shared" si="1"/>
        <v>29806.623</v>
      </c>
      <c r="AW15" s="621">
        <f t="shared" si="1"/>
        <v>29806.623</v>
      </c>
    </row>
    <row r="16" spans="1:49" x14ac:dyDescent="0.3">
      <c r="A16" s="313" t="s">
        <v>202</v>
      </c>
      <c r="B16" s="314"/>
      <c r="C16" s="272"/>
      <c r="D16" s="271"/>
      <c r="E16" s="314"/>
      <c r="F16" s="314"/>
      <c r="G16" s="314"/>
      <c r="H16" s="314"/>
      <c r="I16" s="314"/>
      <c r="J16" s="314"/>
      <c r="K16" s="314"/>
      <c r="L16" s="314"/>
      <c r="M16" s="314"/>
      <c r="N16" s="314"/>
      <c r="O16" s="314"/>
      <c r="P16" s="314">
        <f>O15</f>
        <v>16057.439999999999</v>
      </c>
      <c r="Q16" s="314">
        <f>P15</f>
        <v>22007.16</v>
      </c>
      <c r="R16" s="314">
        <f t="shared" ref="R16:S18" si="2">Q15</f>
        <v>16168.949999999999</v>
      </c>
      <c r="S16" s="314">
        <f t="shared" si="2"/>
        <v>17395.559999999998</v>
      </c>
      <c r="T16" s="314">
        <f t="shared" si="0"/>
        <v>18956.699999999997</v>
      </c>
      <c r="U16" s="314">
        <f t="shared" si="0"/>
        <v>19514.25</v>
      </c>
      <c r="V16" s="314">
        <f t="shared" si="0"/>
        <v>21409.919999999998</v>
      </c>
      <c r="W16" s="314">
        <f t="shared" si="0"/>
        <v>24643.71</v>
      </c>
      <c r="X16" s="314">
        <f t="shared" si="0"/>
        <v>23863.14</v>
      </c>
      <c r="Y16" s="314">
        <f t="shared" si="0"/>
        <v>23305.589999999997</v>
      </c>
      <c r="Z16" s="314">
        <f t="shared" si="0"/>
        <v>23640.12</v>
      </c>
      <c r="AA16" s="314">
        <f t="shared" si="0"/>
        <v>16168.949999999999</v>
      </c>
      <c r="AB16" s="314">
        <f t="shared" si="0"/>
        <v>25870.32</v>
      </c>
      <c r="AC16" s="314">
        <f t="shared" si="0"/>
        <v>23034.270326020927</v>
      </c>
      <c r="AD16" s="314">
        <f t="shared" si="0"/>
        <v>20533.451400000002</v>
      </c>
      <c r="AE16" s="314">
        <f t="shared" si="0"/>
        <v>28513.425599999999</v>
      </c>
      <c r="AF16" s="314">
        <f t="shared" si="0"/>
        <v>28765.756799999992</v>
      </c>
      <c r="AG16" s="314">
        <f t="shared" si="0"/>
        <v>25233.119999999995</v>
      </c>
      <c r="AH16" s="314">
        <f t="shared" si="0"/>
        <v>22709.808000000005</v>
      </c>
      <c r="AI16" s="314">
        <f t="shared" si="0"/>
        <v>20186.495999999999</v>
      </c>
      <c r="AJ16" s="314">
        <f t="shared" si="1"/>
        <v>20186.495999999999</v>
      </c>
      <c r="AK16" s="314">
        <f t="shared" si="1"/>
        <v>29806.623</v>
      </c>
      <c r="AL16" s="621">
        <f t="shared" si="1"/>
        <v>29806.623</v>
      </c>
      <c r="AM16" s="621">
        <f t="shared" si="1"/>
        <v>29806.623</v>
      </c>
      <c r="AN16" s="621">
        <f t="shared" si="1"/>
        <v>29806.623</v>
      </c>
      <c r="AO16" s="621">
        <f t="shared" si="1"/>
        <v>29806.623</v>
      </c>
      <c r="AP16" s="621">
        <f t="shared" si="1"/>
        <v>29806.623</v>
      </c>
      <c r="AQ16" s="621">
        <f t="shared" si="1"/>
        <v>29806.623</v>
      </c>
      <c r="AR16" s="621">
        <f t="shared" si="1"/>
        <v>29806.623</v>
      </c>
      <c r="AS16" s="621">
        <f t="shared" si="1"/>
        <v>29806.623</v>
      </c>
      <c r="AT16" s="621">
        <f t="shared" si="1"/>
        <v>29806.623</v>
      </c>
      <c r="AU16" s="621">
        <f t="shared" si="1"/>
        <v>29806.623</v>
      </c>
      <c r="AV16" s="621">
        <f t="shared" si="1"/>
        <v>29806.623</v>
      </c>
      <c r="AW16" s="621">
        <f t="shared" si="1"/>
        <v>29806.623</v>
      </c>
    </row>
    <row r="17" spans="1:49" x14ac:dyDescent="0.3">
      <c r="A17" s="313" t="s">
        <v>203</v>
      </c>
      <c r="B17" s="314"/>
      <c r="C17" s="272"/>
      <c r="D17" s="272"/>
      <c r="E17" s="271"/>
      <c r="F17" s="314"/>
      <c r="G17" s="314"/>
      <c r="H17" s="314"/>
      <c r="I17" s="314"/>
      <c r="J17" s="314"/>
      <c r="K17" s="314"/>
      <c r="L17" s="314"/>
      <c r="M17" s="314"/>
      <c r="N17" s="314"/>
      <c r="O17" s="314"/>
      <c r="P17" s="314"/>
      <c r="Q17" s="314">
        <f>P16</f>
        <v>16057.439999999999</v>
      </c>
      <c r="R17" s="314">
        <f>Q16</f>
        <v>22007.16</v>
      </c>
      <c r="S17" s="314">
        <f t="shared" si="2"/>
        <v>16168.949999999999</v>
      </c>
      <c r="T17" s="314">
        <f t="shared" si="0"/>
        <v>17395.559999999998</v>
      </c>
      <c r="U17" s="314">
        <f t="shared" si="0"/>
        <v>18956.699999999997</v>
      </c>
      <c r="V17" s="314">
        <f t="shared" si="0"/>
        <v>19514.25</v>
      </c>
      <c r="W17" s="314">
        <f t="shared" si="0"/>
        <v>21409.919999999998</v>
      </c>
      <c r="X17" s="314">
        <f t="shared" si="0"/>
        <v>24643.71</v>
      </c>
      <c r="Y17" s="314">
        <f t="shared" si="0"/>
        <v>23863.14</v>
      </c>
      <c r="Z17" s="314">
        <f t="shared" si="0"/>
        <v>23305.589999999997</v>
      </c>
      <c r="AA17" s="314">
        <f t="shared" si="0"/>
        <v>23640.12</v>
      </c>
      <c r="AB17" s="314">
        <f t="shared" si="0"/>
        <v>16168.949999999999</v>
      </c>
      <c r="AC17" s="314">
        <f t="shared" si="0"/>
        <v>25870.32</v>
      </c>
      <c r="AD17" s="314">
        <f t="shared" si="0"/>
        <v>23034.270326020927</v>
      </c>
      <c r="AE17" s="314">
        <f t="shared" si="0"/>
        <v>20533.451400000002</v>
      </c>
      <c r="AF17" s="314">
        <f t="shared" si="0"/>
        <v>28513.425599999999</v>
      </c>
      <c r="AG17" s="314">
        <f t="shared" si="0"/>
        <v>28765.756799999992</v>
      </c>
      <c r="AH17" s="314">
        <f t="shared" si="0"/>
        <v>25233.119999999995</v>
      </c>
      <c r="AI17" s="314">
        <f t="shared" si="0"/>
        <v>22709.808000000005</v>
      </c>
      <c r="AJ17" s="314">
        <f t="shared" si="1"/>
        <v>20186.495999999999</v>
      </c>
      <c r="AK17" s="314">
        <f t="shared" si="1"/>
        <v>20186.495999999999</v>
      </c>
      <c r="AL17" s="621">
        <f t="shared" si="1"/>
        <v>29806.623</v>
      </c>
      <c r="AM17" s="621">
        <f t="shared" si="1"/>
        <v>29806.623</v>
      </c>
      <c r="AN17" s="621">
        <f t="shared" si="1"/>
        <v>29806.623</v>
      </c>
      <c r="AO17" s="621">
        <f t="shared" si="1"/>
        <v>29806.623</v>
      </c>
      <c r="AP17" s="621">
        <f t="shared" si="1"/>
        <v>29806.623</v>
      </c>
      <c r="AQ17" s="621">
        <f t="shared" si="1"/>
        <v>29806.623</v>
      </c>
      <c r="AR17" s="621">
        <f t="shared" si="1"/>
        <v>29806.623</v>
      </c>
      <c r="AS17" s="621">
        <f t="shared" si="1"/>
        <v>29806.623</v>
      </c>
      <c r="AT17" s="621">
        <f t="shared" si="1"/>
        <v>29806.623</v>
      </c>
      <c r="AU17" s="621">
        <f t="shared" si="1"/>
        <v>29806.623</v>
      </c>
      <c r="AV17" s="621">
        <f t="shared" si="1"/>
        <v>29806.623</v>
      </c>
      <c r="AW17" s="621">
        <f t="shared" si="1"/>
        <v>29806.623</v>
      </c>
    </row>
    <row r="18" spans="1:49" x14ac:dyDescent="0.3">
      <c r="A18" s="313" t="s">
        <v>204</v>
      </c>
      <c r="B18" s="314"/>
      <c r="C18" s="272"/>
      <c r="D18" s="272"/>
      <c r="E18" s="272"/>
      <c r="F18" s="271"/>
      <c r="G18" s="314"/>
      <c r="H18" s="314"/>
      <c r="I18" s="314"/>
      <c r="J18" s="314"/>
      <c r="K18" s="314"/>
      <c r="L18" s="314"/>
      <c r="M18" s="314"/>
      <c r="N18" s="314"/>
      <c r="O18" s="314"/>
      <c r="P18" s="314"/>
      <c r="Q18" s="314"/>
      <c r="R18" s="314">
        <f>Q17</f>
        <v>16057.439999999999</v>
      </c>
      <c r="S18" s="314">
        <f t="shared" si="2"/>
        <v>22007.16</v>
      </c>
      <c r="T18" s="314">
        <f t="shared" si="0"/>
        <v>16168.949999999999</v>
      </c>
      <c r="U18" s="314">
        <f t="shared" si="0"/>
        <v>17395.559999999998</v>
      </c>
      <c r="V18" s="314">
        <f t="shared" si="0"/>
        <v>18956.699999999997</v>
      </c>
      <c r="W18" s="314">
        <f t="shared" si="0"/>
        <v>19514.25</v>
      </c>
      <c r="X18" s="314">
        <f t="shared" si="0"/>
        <v>21409.919999999998</v>
      </c>
      <c r="Y18" s="314">
        <f t="shared" si="0"/>
        <v>24643.71</v>
      </c>
      <c r="Z18" s="314">
        <f t="shared" si="0"/>
        <v>23863.14</v>
      </c>
      <c r="AA18" s="314">
        <f t="shared" si="0"/>
        <v>23305.589999999997</v>
      </c>
      <c r="AB18" s="314">
        <f t="shared" si="0"/>
        <v>23640.12</v>
      </c>
      <c r="AC18" s="314">
        <f t="shared" si="0"/>
        <v>16168.949999999999</v>
      </c>
      <c r="AD18" s="314">
        <f t="shared" si="0"/>
        <v>25870.32</v>
      </c>
      <c r="AE18" s="314">
        <f t="shared" si="0"/>
        <v>23034.270326020927</v>
      </c>
      <c r="AF18" s="314">
        <f t="shared" si="0"/>
        <v>20533.451400000002</v>
      </c>
      <c r="AG18" s="314">
        <f t="shared" si="0"/>
        <v>28513.425599999999</v>
      </c>
      <c r="AH18" s="314">
        <f t="shared" si="0"/>
        <v>28765.756799999992</v>
      </c>
      <c r="AI18" s="314">
        <f t="shared" si="0"/>
        <v>25233.119999999995</v>
      </c>
      <c r="AJ18" s="314">
        <f t="shared" si="1"/>
        <v>22709.808000000005</v>
      </c>
      <c r="AK18" s="314">
        <f t="shared" si="1"/>
        <v>20186.495999999999</v>
      </c>
      <c r="AL18" s="621">
        <f t="shared" si="1"/>
        <v>20186.495999999999</v>
      </c>
      <c r="AM18" s="621">
        <f t="shared" si="1"/>
        <v>29806.623</v>
      </c>
      <c r="AN18" s="621">
        <f t="shared" si="1"/>
        <v>29806.623</v>
      </c>
      <c r="AO18" s="621">
        <f t="shared" si="1"/>
        <v>29806.623</v>
      </c>
      <c r="AP18" s="621">
        <f t="shared" si="1"/>
        <v>29806.623</v>
      </c>
      <c r="AQ18" s="621">
        <f t="shared" si="1"/>
        <v>29806.623</v>
      </c>
      <c r="AR18" s="621">
        <f t="shared" si="1"/>
        <v>29806.623</v>
      </c>
      <c r="AS18" s="621">
        <f t="shared" si="1"/>
        <v>29806.623</v>
      </c>
      <c r="AT18" s="621">
        <f t="shared" si="1"/>
        <v>29806.623</v>
      </c>
      <c r="AU18" s="621">
        <f t="shared" si="1"/>
        <v>29806.623</v>
      </c>
      <c r="AV18" s="621">
        <f t="shared" si="1"/>
        <v>29806.623</v>
      </c>
      <c r="AW18" s="621">
        <f t="shared" si="1"/>
        <v>29806.623</v>
      </c>
    </row>
    <row r="19" spans="1:49" x14ac:dyDescent="0.3">
      <c r="A19" s="313" t="s">
        <v>269</v>
      </c>
      <c r="B19" s="314"/>
      <c r="C19" s="272"/>
      <c r="D19" s="272"/>
      <c r="E19" s="272"/>
      <c r="F19" s="272"/>
      <c r="G19" s="271"/>
      <c r="H19" s="314"/>
      <c r="I19" s="314"/>
      <c r="J19" s="314"/>
      <c r="K19" s="314"/>
      <c r="L19" s="314"/>
      <c r="M19" s="314"/>
      <c r="N19" s="314"/>
      <c r="O19" s="314"/>
      <c r="P19" s="314"/>
      <c r="Q19" s="314"/>
      <c r="R19" s="314"/>
      <c r="S19" s="314">
        <f>R18</f>
        <v>16057.439999999999</v>
      </c>
      <c r="T19" s="314">
        <f t="shared" si="0"/>
        <v>22007.16</v>
      </c>
      <c r="U19" s="314">
        <f t="shared" si="0"/>
        <v>16168.949999999999</v>
      </c>
      <c r="V19" s="314">
        <f t="shared" si="0"/>
        <v>17395.559999999998</v>
      </c>
      <c r="W19" s="314">
        <f t="shared" si="0"/>
        <v>18956.699999999997</v>
      </c>
      <c r="X19" s="314">
        <f t="shared" si="0"/>
        <v>19514.25</v>
      </c>
      <c r="Y19" s="314">
        <f t="shared" si="0"/>
        <v>21409.919999999998</v>
      </c>
      <c r="Z19" s="314">
        <f t="shared" si="0"/>
        <v>24643.71</v>
      </c>
      <c r="AA19" s="314">
        <f t="shared" si="0"/>
        <v>23863.14</v>
      </c>
      <c r="AB19" s="314">
        <f t="shared" si="0"/>
        <v>23305.589999999997</v>
      </c>
      <c r="AC19" s="314">
        <f t="shared" si="0"/>
        <v>23640.12</v>
      </c>
      <c r="AD19" s="314">
        <f t="shared" si="0"/>
        <v>16168.949999999999</v>
      </c>
      <c r="AE19" s="314">
        <f t="shared" si="0"/>
        <v>25870.32</v>
      </c>
      <c r="AF19" s="314">
        <f t="shared" si="0"/>
        <v>23034.270326020927</v>
      </c>
      <c r="AG19" s="314">
        <f t="shared" si="0"/>
        <v>20533.451400000002</v>
      </c>
      <c r="AH19" s="314">
        <f t="shared" si="0"/>
        <v>28513.425599999999</v>
      </c>
      <c r="AI19" s="314">
        <f t="shared" si="0"/>
        <v>28765.756799999992</v>
      </c>
      <c r="AJ19" s="314">
        <f t="shared" si="1"/>
        <v>25233.119999999995</v>
      </c>
      <c r="AK19" s="314">
        <f t="shared" si="1"/>
        <v>22709.808000000005</v>
      </c>
      <c r="AL19" s="621">
        <f t="shared" si="1"/>
        <v>20186.495999999999</v>
      </c>
      <c r="AM19" s="621">
        <f t="shared" si="1"/>
        <v>20186.495999999999</v>
      </c>
      <c r="AN19" s="621">
        <f t="shared" si="1"/>
        <v>29806.623</v>
      </c>
      <c r="AO19" s="621">
        <f t="shared" si="1"/>
        <v>29806.623</v>
      </c>
      <c r="AP19" s="621">
        <f t="shared" si="1"/>
        <v>29806.623</v>
      </c>
      <c r="AQ19" s="621">
        <f t="shared" si="1"/>
        <v>29806.623</v>
      </c>
      <c r="AR19" s="621">
        <f t="shared" si="1"/>
        <v>29806.623</v>
      </c>
      <c r="AS19" s="621">
        <f t="shared" si="1"/>
        <v>29806.623</v>
      </c>
      <c r="AT19" s="621">
        <f t="shared" si="1"/>
        <v>29806.623</v>
      </c>
      <c r="AU19" s="621">
        <f t="shared" si="1"/>
        <v>29806.623</v>
      </c>
      <c r="AV19" s="621">
        <f t="shared" si="1"/>
        <v>29806.623</v>
      </c>
      <c r="AW19" s="621">
        <f t="shared" si="1"/>
        <v>29806.623</v>
      </c>
    </row>
    <row r="20" spans="1:49" x14ac:dyDescent="0.3">
      <c r="A20" s="313" t="s">
        <v>270</v>
      </c>
      <c r="B20" s="314"/>
      <c r="C20" s="272"/>
      <c r="D20" s="272"/>
      <c r="E20" s="272"/>
      <c r="F20" s="272"/>
      <c r="G20" s="272"/>
      <c r="H20" s="271"/>
      <c r="I20" s="314"/>
      <c r="J20" s="314"/>
      <c r="K20" s="314"/>
      <c r="L20" s="314"/>
      <c r="M20" s="314"/>
      <c r="N20" s="314"/>
      <c r="O20" s="314"/>
      <c r="P20" s="314"/>
      <c r="Q20" s="314"/>
      <c r="R20" s="314"/>
      <c r="S20" s="314"/>
      <c r="T20" s="314">
        <f>S19</f>
        <v>16057.439999999999</v>
      </c>
      <c r="U20" s="314">
        <f t="shared" si="0"/>
        <v>22007.16</v>
      </c>
      <c r="V20" s="314">
        <f t="shared" si="0"/>
        <v>16168.949999999999</v>
      </c>
      <c r="W20" s="314">
        <f t="shared" si="0"/>
        <v>17395.559999999998</v>
      </c>
      <c r="X20" s="314">
        <f t="shared" si="0"/>
        <v>18956.699999999997</v>
      </c>
      <c r="Y20" s="314">
        <f t="shared" si="0"/>
        <v>19514.25</v>
      </c>
      <c r="Z20" s="314">
        <f t="shared" si="0"/>
        <v>21409.919999999998</v>
      </c>
      <c r="AA20" s="314">
        <f t="shared" si="0"/>
        <v>24643.71</v>
      </c>
      <c r="AB20" s="314">
        <f t="shared" si="0"/>
        <v>23863.14</v>
      </c>
      <c r="AC20" s="314">
        <f t="shared" si="0"/>
        <v>23305.589999999997</v>
      </c>
      <c r="AD20" s="314">
        <f t="shared" si="0"/>
        <v>23640.12</v>
      </c>
      <c r="AE20" s="314">
        <f t="shared" si="0"/>
        <v>16168.949999999999</v>
      </c>
      <c r="AF20" s="314">
        <f t="shared" si="0"/>
        <v>25870.32</v>
      </c>
      <c r="AG20" s="314">
        <f t="shared" si="0"/>
        <v>23034.270326020927</v>
      </c>
      <c r="AH20" s="314">
        <f t="shared" si="0"/>
        <v>20533.451400000002</v>
      </c>
      <c r="AI20" s="314">
        <f t="shared" si="0"/>
        <v>28513.425599999999</v>
      </c>
      <c r="AJ20" s="314">
        <f t="shared" si="1"/>
        <v>28765.756799999992</v>
      </c>
      <c r="AK20" s="314">
        <f t="shared" si="1"/>
        <v>25233.119999999995</v>
      </c>
      <c r="AL20" s="621">
        <f t="shared" si="1"/>
        <v>22709.808000000005</v>
      </c>
      <c r="AM20" s="621">
        <f t="shared" si="1"/>
        <v>20186.495999999999</v>
      </c>
      <c r="AN20" s="621">
        <f t="shared" si="1"/>
        <v>20186.495999999999</v>
      </c>
      <c r="AO20" s="621">
        <f t="shared" si="1"/>
        <v>29806.623</v>
      </c>
      <c r="AP20" s="621">
        <f t="shared" si="1"/>
        <v>29806.623</v>
      </c>
      <c r="AQ20" s="621">
        <f t="shared" si="1"/>
        <v>29806.623</v>
      </c>
      <c r="AR20" s="621">
        <f t="shared" si="1"/>
        <v>29806.623</v>
      </c>
      <c r="AS20" s="621">
        <f t="shared" si="1"/>
        <v>29806.623</v>
      </c>
      <c r="AT20" s="621">
        <f t="shared" si="1"/>
        <v>29806.623</v>
      </c>
      <c r="AU20" s="621">
        <f t="shared" si="1"/>
        <v>29806.623</v>
      </c>
      <c r="AV20" s="621">
        <f t="shared" si="1"/>
        <v>29806.623</v>
      </c>
      <c r="AW20" s="621">
        <f t="shared" si="1"/>
        <v>29806.623</v>
      </c>
    </row>
    <row r="21" spans="1:49" x14ac:dyDescent="0.3">
      <c r="A21" s="313" t="s">
        <v>271</v>
      </c>
      <c r="B21" s="314"/>
      <c r="C21" s="272"/>
      <c r="D21" s="272"/>
      <c r="E21" s="272"/>
      <c r="F21" s="272"/>
      <c r="G21" s="272"/>
      <c r="H21" s="272"/>
      <c r="I21" s="271"/>
      <c r="J21" s="314"/>
      <c r="K21" s="314"/>
      <c r="L21" s="314"/>
      <c r="M21" s="314"/>
      <c r="N21" s="314"/>
      <c r="O21" s="314"/>
      <c r="P21" s="314"/>
      <c r="Q21" s="314"/>
      <c r="R21" s="314"/>
      <c r="S21" s="314"/>
      <c r="T21" s="314"/>
      <c r="U21" s="314">
        <f>T20</f>
        <v>16057.439999999999</v>
      </c>
      <c r="V21" s="314">
        <f t="shared" si="0"/>
        <v>22007.16</v>
      </c>
      <c r="W21" s="314">
        <f t="shared" si="0"/>
        <v>16168.949999999999</v>
      </c>
      <c r="X21" s="314">
        <f t="shared" si="0"/>
        <v>17395.559999999998</v>
      </c>
      <c r="Y21" s="314">
        <f t="shared" si="0"/>
        <v>18956.699999999997</v>
      </c>
      <c r="Z21" s="314">
        <f t="shared" si="0"/>
        <v>19514.25</v>
      </c>
      <c r="AA21" s="314">
        <f t="shared" si="0"/>
        <v>21409.919999999998</v>
      </c>
      <c r="AB21" s="314">
        <f t="shared" si="0"/>
        <v>24643.71</v>
      </c>
      <c r="AC21" s="314">
        <f t="shared" si="0"/>
        <v>23863.14</v>
      </c>
      <c r="AD21" s="314">
        <f t="shared" si="0"/>
        <v>23305.589999999997</v>
      </c>
      <c r="AE21" s="314">
        <f t="shared" si="0"/>
        <v>23640.12</v>
      </c>
      <c r="AF21" s="314">
        <f t="shared" si="0"/>
        <v>16168.949999999999</v>
      </c>
      <c r="AG21" s="314">
        <f t="shared" si="0"/>
        <v>25870.32</v>
      </c>
      <c r="AH21" s="314">
        <f t="shared" si="0"/>
        <v>23034.270326020927</v>
      </c>
      <c r="AI21" s="314">
        <f t="shared" si="0"/>
        <v>20533.451400000002</v>
      </c>
      <c r="AJ21" s="314">
        <f t="shared" si="1"/>
        <v>28513.425599999999</v>
      </c>
      <c r="AK21" s="314">
        <f t="shared" si="1"/>
        <v>28765.756799999992</v>
      </c>
      <c r="AL21" s="621">
        <f t="shared" si="1"/>
        <v>25233.119999999995</v>
      </c>
      <c r="AM21" s="621">
        <f t="shared" si="1"/>
        <v>22709.808000000005</v>
      </c>
      <c r="AN21" s="621">
        <f t="shared" si="1"/>
        <v>20186.495999999999</v>
      </c>
      <c r="AO21" s="621">
        <f t="shared" si="1"/>
        <v>20186.495999999999</v>
      </c>
      <c r="AP21" s="621">
        <f t="shared" si="1"/>
        <v>29806.623</v>
      </c>
      <c r="AQ21" s="621">
        <f t="shared" si="1"/>
        <v>29806.623</v>
      </c>
      <c r="AR21" s="621">
        <f t="shared" si="1"/>
        <v>29806.623</v>
      </c>
      <c r="AS21" s="621">
        <f t="shared" si="1"/>
        <v>29806.623</v>
      </c>
      <c r="AT21" s="621">
        <f t="shared" si="1"/>
        <v>29806.623</v>
      </c>
      <c r="AU21" s="621">
        <f t="shared" si="1"/>
        <v>29806.623</v>
      </c>
      <c r="AV21" s="621">
        <f t="shared" si="1"/>
        <v>29806.623</v>
      </c>
      <c r="AW21" s="621">
        <f t="shared" si="1"/>
        <v>29806.623</v>
      </c>
    </row>
    <row r="22" spans="1:49" x14ac:dyDescent="0.3">
      <c r="A22" s="313" t="s">
        <v>272</v>
      </c>
      <c r="B22" s="314"/>
      <c r="C22" s="272"/>
      <c r="D22" s="272"/>
      <c r="E22" s="272"/>
      <c r="F22" s="272"/>
      <c r="G22" s="272"/>
      <c r="H22" s="272"/>
      <c r="I22" s="272"/>
      <c r="J22" s="271"/>
      <c r="K22" s="314"/>
      <c r="L22" s="314"/>
      <c r="M22" s="314"/>
      <c r="N22" s="314"/>
      <c r="O22" s="314"/>
      <c r="P22" s="314"/>
      <c r="Q22" s="314"/>
      <c r="R22" s="314"/>
      <c r="S22" s="314"/>
      <c r="T22" s="314"/>
      <c r="U22" s="314"/>
      <c r="V22" s="314">
        <f>U21</f>
        <v>16057.439999999999</v>
      </c>
      <c r="W22" s="314">
        <f t="shared" si="0"/>
        <v>22007.16</v>
      </c>
      <c r="X22" s="314">
        <f t="shared" si="0"/>
        <v>16168.949999999999</v>
      </c>
      <c r="Y22" s="314">
        <f t="shared" si="0"/>
        <v>17395.559999999998</v>
      </c>
      <c r="Z22" s="314">
        <f t="shared" si="0"/>
        <v>18956.699999999997</v>
      </c>
      <c r="AA22" s="314">
        <f t="shared" si="0"/>
        <v>19514.25</v>
      </c>
      <c r="AB22" s="314">
        <f t="shared" si="0"/>
        <v>21409.919999999998</v>
      </c>
      <c r="AC22" s="314">
        <f t="shared" si="0"/>
        <v>24643.71</v>
      </c>
      <c r="AD22" s="314">
        <f t="shared" si="0"/>
        <v>23863.14</v>
      </c>
      <c r="AE22" s="314">
        <f t="shared" si="0"/>
        <v>23305.589999999997</v>
      </c>
      <c r="AF22" s="314">
        <f t="shared" si="0"/>
        <v>23640.12</v>
      </c>
      <c r="AG22" s="314">
        <f t="shared" si="0"/>
        <v>16168.949999999999</v>
      </c>
      <c r="AH22" s="314">
        <f t="shared" si="0"/>
        <v>25870.32</v>
      </c>
      <c r="AI22" s="314">
        <f t="shared" si="0"/>
        <v>23034.270326020927</v>
      </c>
      <c r="AJ22" s="314">
        <f t="shared" si="1"/>
        <v>20533.451400000002</v>
      </c>
      <c r="AK22" s="314">
        <f t="shared" si="1"/>
        <v>28513.425599999999</v>
      </c>
      <c r="AL22" s="621">
        <f t="shared" si="1"/>
        <v>28765.756799999992</v>
      </c>
      <c r="AM22" s="621">
        <f t="shared" si="1"/>
        <v>25233.119999999995</v>
      </c>
      <c r="AN22" s="621">
        <f t="shared" si="1"/>
        <v>22709.808000000005</v>
      </c>
      <c r="AO22" s="621">
        <f t="shared" si="1"/>
        <v>20186.495999999999</v>
      </c>
      <c r="AP22" s="621">
        <f t="shared" si="1"/>
        <v>20186.495999999999</v>
      </c>
      <c r="AQ22" s="621">
        <f t="shared" si="1"/>
        <v>29806.623</v>
      </c>
      <c r="AR22" s="621">
        <f t="shared" si="1"/>
        <v>29806.623</v>
      </c>
      <c r="AS22" s="621">
        <f t="shared" si="1"/>
        <v>29806.623</v>
      </c>
      <c r="AT22" s="621">
        <f t="shared" si="1"/>
        <v>29806.623</v>
      </c>
      <c r="AU22" s="621">
        <f t="shared" si="1"/>
        <v>29806.623</v>
      </c>
      <c r="AV22" s="621">
        <f t="shared" si="1"/>
        <v>29806.623</v>
      </c>
      <c r="AW22" s="621">
        <f t="shared" si="1"/>
        <v>29806.623</v>
      </c>
    </row>
    <row r="23" spans="1:49" x14ac:dyDescent="0.3">
      <c r="A23" s="313" t="s">
        <v>273</v>
      </c>
      <c r="B23" s="314"/>
      <c r="C23" s="272"/>
      <c r="D23" s="272"/>
      <c r="E23" s="272"/>
      <c r="F23" s="272"/>
      <c r="G23" s="272"/>
      <c r="H23" s="272"/>
      <c r="I23" s="272"/>
      <c r="J23" s="272"/>
      <c r="K23" s="271"/>
      <c r="L23" s="314"/>
      <c r="M23" s="314"/>
      <c r="N23" s="314"/>
      <c r="O23" s="314"/>
      <c r="P23" s="314"/>
      <c r="Q23" s="314"/>
      <c r="R23" s="314"/>
      <c r="S23" s="314"/>
      <c r="T23" s="314"/>
      <c r="U23" s="314"/>
      <c r="V23" s="314"/>
      <c r="W23" s="314">
        <f>V22</f>
        <v>16057.439999999999</v>
      </c>
      <c r="X23" s="314">
        <f t="shared" si="0"/>
        <v>22007.16</v>
      </c>
      <c r="Y23" s="314">
        <f t="shared" si="0"/>
        <v>16168.949999999999</v>
      </c>
      <c r="Z23" s="314">
        <f t="shared" si="0"/>
        <v>17395.559999999998</v>
      </c>
      <c r="AA23" s="314">
        <f t="shared" si="0"/>
        <v>18956.699999999997</v>
      </c>
      <c r="AB23" s="314">
        <f t="shared" si="0"/>
        <v>19514.25</v>
      </c>
      <c r="AC23" s="314">
        <f t="shared" si="0"/>
        <v>21409.919999999998</v>
      </c>
      <c r="AD23" s="314">
        <f t="shared" si="0"/>
        <v>24643.71</v>
      </c>
      <c r="AE23" s="314">
        <f t="shared" si="0"/>
        <v>23863.14</v>
      </c>
      <c r="AF23" s="314">
        <f t="shared" si="0"/>
        <v>23305.589999999997</v>
      </c>
      <c r="AG23" s="314">
        <f t="shared" si="0"/>
        <v>23640.12</v>
      </c>
      <c r="AH23" s="314">
        <f t="shared" si="0"/>
        <v>16168.949999999999</v>
      </c>
      <c r="AI23" s="314">
        <f t="shared" si="0"/>
        <v>25870.32</v>
      </c>
      <c r="AJ23" s="314">
        <f t="shared" si="1"/>
        <v>23034.270326020927</v>
      </c>
      <c r="AK23" s="314">
        <f t="shared" si="1"/>
        <v>20533.451400000002</v>
      </c>
      <c r="AL23" s="621">
        <f t="shared" si="1"/>
        <v>28513.425599999999</v>
      </c>
      <c r="AM23" s="621">
        <f t="shared" si="1"/>
        <v>28765.756799999992</v>
      </c>
      <c r="AN23" s="621">
        <f t="shared" si="1"/>
        <v>25233.119999999995</v>
      </c>
      <c r="AO23" s="621">
        <f t="shared" si="1"/>
        <v>22709.808000000005</v>
      </c>
      <c r="AP23" s="621">
        <f t="shared" si="1"/>
        <v>20186.495999999999</v>
      </c>
      <c r="AQ23" s="621">
        <f t="shared" si="1"/>
        <v>20186.495999999999</v>
      </c>
      <c r="AR23" s="621">
        <f t="shared" si="1"/>
        <v>29806.623</v>
      </c>
      <c r="AS23" s="621">
        <f t="shared" si="1"/>
        <v>29806.623</v>
      </c>
      <c r="AT23" s="621">
        <f t="shared" si="1"/>
        <v>29806.623</v>
      </c>
      <c r="AU23" s="621">
        <f t="shared" si="1"/>
        <v>29806.623</v>
      </c>
      <c r="AV23" s="621">
        <f t="shared" si="1"/>
        <v>29806.623</v>
      </c>
      <c r="AW23" s="621">
        <f t="shared" si="1"/>
        <v>29806.623</v>
      </c>
    </row>
    <row r="24" spans="1:49" x14ac:dyDescent="0.3">
      <c r="A24" s="313" t="s">
        <v>274</v>
      </c>
      <c r="B24" s="314"/>
      <c r="C24" s="272"/>
      <c r="D24" s="272"/>
      <c r="E24" s="272"/>
      <c r="F24" s="272"/>
      <c r="G24" s="272"/>
      <c r="H24" s="272"/>
      <c r="I24" s="272"/>
      <c r="J24" s="272"/>
      <c r="K24" s="272"/>
      <c r="L24" s="271"/>
      <c r="M24" s="314"/>
      <c r="N24" s="314"/>
      <c r="O24" s="314"/>
      <c r="P24" s="314"/>
      <c r="Q24" s="314"/>
      <c r="R24" s="314"/>
      <c r="S24" s="314"/>
      <c r="T24" s="314"/>
      <c r="U24" s="314"/>
      <c r="V24" s="314"/>
      <c r="W24" s="314"/>
      <c r="X24" s="314">
        <f>W23</f>
        <v>16057.439999999999</v>
      </c>
      <c r="Y24" s="314">
        <f t="shared" si="0"/>
        <v>22007.16</v>
      </c>
      <c r="Z24" s="314">
        <f t="shared" si="0"/>
        <v>16168.949999999999</v>
      </c>
      <c r="AA24" s="314">
        <f t="shared" si="0"/>
        <v>17395.559999999998</v>
      </c>
      <c r="AB24" s="314">
        <f t="shared" si="0"/>
        <v>18956.699999999997</v>
      </c>
      <c r="AC24" s="314">
        <f t="shared" si="0"/>
        <v>19514.25</v>
      </c>
      <c r="AD24" s="314">
        <f t="shared" si="0"/>
        <v>21409.919999999998</v>
      </c>
      <c r="AE24" s="314">
        <f t="shared" si="0"/>
        <v>24643.71</v>
      </c>
      <c r="AF24" s="314">
        <f t="shared" si="0"/>
        <v>23863.14</v>
      </c>
      <c r="AG24" s="314">
        <f t="shared" si="0"/>
        <v>23305.589999999997</v>
      </c>
      <c r="AH24" s="314">
        <f t="shared" si="0"/>
        <v>23640.12</v>
      </c>
      <c r="AI24" s="314">
        <f t="shared" si="0"/>
        <v>16168.949999999999</v>
      </c>
      <c r="AJ24" s="314">
        <f t="shared" si="1"/>
        <v>25870.32</v>
      </c>
      <c r="AK24" s="314">
        <f t="shared" si="1"/>
        <v>23034.270326020927</v>
      </c>
      <c r="AL24" s="621">
        <f t="shared" si="1"/>
        <v>20533.451400000002</v>
      </c>
      <c r="AM24" s="621">
        <f t="shared" si="1"/>
        <v>28513.425599999999</v>
      </c>
      <c r="AN24" s="621">
        <f t="shared" si="1"/>
        <v>28765.756799999992</v>
      </c>
      <c r="AO24" s="621">
        <f t="shared" si="1"/>
        <v>25233.119999999995</v>
      </c>
      <c r="AP24" s="621">
        <f t="shared" si="1"/>
        <v>22709.808000000005</v>
      </c>
      <c r="AQ24" s="621">
        <f t="shared" si="1"/>
        <v>20186.495999999999</v>
      </c>
      <c r="AR24" s="621">
        <f t="shared" si="1"/>
        <v>20186.495999999999</v>
      </c>
      <c r="AS24" s="621">
        <f t="shared" si="1"/>
        <v>29806.623</v>
      </c>
      <c r="AT24" s="621">
        <f t="shared" si="1"/>
        <v>29806.623</v>
      </c>
      <c r="AU24" s="621">
        <f t="shared" si="1"/>
        <v>29806.623</v>
      </c>
      <c r="AV24" s="621">
        <f t="shared" si="1"/>
        <v>29806.623</v>
      </c>
      <c r="AW24" s="621">
        <f t="shared" si="1"/>
        <v>29806.623</v>
      </c>
    </row>
    <row r="25" spans="1:49" x14ac:dyDescent="0.3">
      <c r="A25" s="313" t="s">
        <v>275</v>
      </c>
      <c r="B25" s="314"/>
      <c r="C25" s="272"/>
      <c r="D25" s="272"/>
      <c r="E25" s="272"/>
      <c r="F25" s="272"/>
      <c r="G25" s="272"/>
      <c r="H25" s="272"/>
      <c r="I25" s="272"/>
      <c r="J25" s="272"/>
      <c r="K25" s="272"/>
      <c r="L25" s="272"/>
      <c r="M25" s="271"/>
      <c r="N25" s="314"/>
      <c r="O25" s="314"/>
      <c r="P25" s="314"/>
      <c r="Q25" s="314"/>
      <c r="R25" s="314"/>
      <c r="S25" s="314"/>
      <c r="T25" s="314"/>
      <c r="U25" s="314"/>
      <c r="V25" s="314"/>
      <c r="W25" s="314"/>
      <c r="X25" s="314"/>
      <c r="Y25" s="314">
        <f>X24</f>
        <v>16057.439999999999</v>
      </c>
      <c r="Z25" s="314">
        <f t="shared" si="0"/>
        <v>22007.16</v>
      </c>
      <c r="AA25" s="314">
        <f t="shared" si="0"/>
        <v>16168.949999999999</v>
      </c>
      <c r="AB25" s="314">
        <f t="shared" si="0"/>
        <v>17395.559999999998</v>
      </c>
      <c r="AC25" s="314">
        <f t="shared" si="0"/>
        <v>18956.699999999997</v>
      </c>
      <c r="AD25" s="314">
        <f t="shared" si="0"/>
        <v>19514.25</v>
      </c>
      <c r="AE25" s="314">
        <f t="shared" si="0"/>
        <v>21409.919999999998</v>
      </c>
      <c r="AF25" s="314">
        <f t="shared" si="0"/>
        <v>24643.71</v>
      </c>
      <c r="AG25" s="314">
        <f t="shared" si="0"/>
        <v>23863.14</v>
      </c>
      <c r="AH25" s="314">
        <f t="shared" si="0"/>
        <v>23305.589999999997</v>
      </c>
      <c r="AI25" s="314">
        <f t="shared" si="0"/>
        <v>23640.12</v>
      </c>
      <c r="AJ25" s="314">
        <f t="shared" si="1"/>
        <v>16168.949999999999</v>
      </c>
      <c r="AK25" s="314">
        <f t="shared" si="1"/>
        <v>25870.32</v>
      </c>
      <c r="AL25" s="621">
        <f t="shared" si="1"/>
        <v>23034.270326020927</v>
      </c>
      <c r="AM25" s="621">
        <f t="shared" si="1"/>
        <v>20533.451400000002</v>
      </c>
      <c r="AN25" s="621">
        <f t="shared" si="1"/>
        <v>28513.425599999999</v>
      </c>
      <c r="AO25" s="621">
        <f t="shared" si="1"/>
        <v>28765.756799999992</v>
      </c>
      <c r="AP25" s="621">
        <f t="shared" si="1"/>
        <v>25233.119999999995</v>
      </c>
      <c r="AQ25" s="621">
        <f t="shared" si="1"/>
        <v>22709.808000000005</v>
      </c>
      <c r="AR25" s="621">
        <f t="shared" si="1"/>
        <v>20186.495999999999</v>
      </c>
      <c r="AS25" s="621">
        <f t="shared" si="1"/>
        <v>20186.495999999999</v>
      </c>
      <c r="AT25" s="621">
        <f t="shared" si="1"/>
        <v>29806.623</v>
      </c>
      <c r="AU25" s="621">
        <f t="shared" si="1"/>
        <v>29806.623</v>
      </c>
      <c r="AV25" s="621">
        <f t="shared" si="1"/>
        <v>29806.623</v>
      </c>
      <c r="AW25" s="621">
        <f t="shared" si="1"/>
        <v>29806.623</v>
      </c>
    </row>
    <row r="26" spans="1:49" x14ac:dyDescent="0.3">
      <c r="A26" s="313" t="s">
        <v>290</v>
      </c>
      <c r="N26" s="271"/>
      <c r="O26" s="314"/>
      <c r="P26" s="314"/>
      <c r="Q26" s="314"/>
      <c r="R26" s="314"/>
      <c r="S26" s="314"/>
      <c r="T26" s="314"/>
      <c r="U26" s="314"/>
      <c r="V26" s="314"/>
      <c r="W26" s="314"/>
      <c r="X26" s="314"/>
      <c r="Y26" s="314"/>
      <c r="Z26" s="314">
        <f t="shared" si="0"/>
        <v>16057.439999999999</v>
      </c>
      <c r="AA26" s="314">
        <f t="shared" si="0"/>
        <v>22007.16</v>
      </c>
      <c r="AB26" s="314">
        <f t="shared" si="0"/>
        <v>16168.949999999999</v>
      </c>
      <c r="AC26" s="314">
        <f t="shared" si="0"/>
        <v>17395.559999999998</v>
      </c>
      <c r="AD26" s="314">
        <f t="shared" si="0"/>
        <v>18956.699999999997</v>
      </c>
      <c r="AE26" s="314">
        <f t="shared" si="0"/>
        <v>19514.25</v>
      </c>
      <c r="AF26" s="314">
        <f t="shared" si="0"/>
        <v>21409.919999999998</v>
      </c>
      <c r="AG26" s="314">
        <f t="shared" si="0"/>
        <v>24643.71</v>
      </c>
      <c r="AH26" s="314">
        <f t="shared" si="0"/>
        <v>23863.14</v>
      </c>
      <c r="AI26" s="314">
        <f t="shared" si="0"/>
        <v>23305.589999999997</v>
      </c>
      <c r="AJ26" s="314">
        <f t="shared" si="1"/>
        <v>23640.12</v>
      </c>
      <c r="AK26" s="314">
        <f t="shared" si="1"/>
        <v>16168.949999999999</v>
      </c>
      <c r="AL26" s="621">
        <f t="shared" si="1"/>
        <v>25870.32</v>
      </c>
      <c r="AM26" s="621">
        <f t="shared" si="1"/>
        <v>23034.270326020927</v>
      </c>
      <c r="AN26" s="621">
        <f t="shared" si="1"/>
        <v>20533.451400000002</v>
      </c>
      <c r="AO26" s="621">
        <f t="shared" si="1"/>
        <v>28513.425599999999</v>
      </c>
      <c r="AP26" s="621">
        <f t="shared" si="1"/>
        <v>28765.756799999992</v>
      </c>
      <c r="AQ26" s="621">
        <f t="shared" si="1"/>
        <v>25233.119999999995</v>
      </c>
      <c r="AR26" s="621">
        <f t="shared" si="1"/>
        <v>22709.808000000005</v>
      </c>
      <c r="AS26" s="621">
        <f t="shared" si="1"/>
        <v>20186.495999999999</v>
      </c>
      <c r="AT26" s="621">
        <f t="shared" si="1"/>
        <v>20186.495999999999</v>
      </c>
      <c r="AU26" s="621">
        <f t="shared" si="1"/>
        <v>29806.623</v>
      </c>
      <c r="AV26" s="621">
        <f t="shared" si="1"/>
        <v>29806.623</v>
      </c>
      <c r="AW26" s="621">
        <f t="shared" si="1"/>
        <v>29806.623</v>
      </c>
    </row>
    <row r="27" spans="1:49" x14ac:dyDescent="0.3">
      <c r="A27" s="313" t="s">
        <v>291</v>
      </c>
      <c r="B27" s="272"/>
      <c r="C27" s="272"/>
      <c r="D27" s="272"/>
      <c r="E27" s="272"/>
      <c r="F27" s="272"/>
      <c r="G27" s="272"/>
      <c r="H27" s="272"/>
      <c r="I27" s="272"/>
      <c r="J27" s="272"/>
      <c r="K27" s="272"/>
      <c r="L27" s="272"/>
      <c r="M27" s="272"/>
      <c r="N27" s="272"/>
      <c r="O27" s="271"/>
      <c r="P27" s="314"/>
      <c r="Q27" s="272"/>
      <c r="R27" s="272"/>
      <c r="S27" s="272"/>
      <c r="T27" s="272"/>
      <c r="U27" s="272"/>
      <c r="V27" s="272"/>
      <c r="W27" s="272"/>
      <c r="X27" s="272"/>
      <c r="Y27" s="272"/>
      <c r="Z27" s="272"/>
      <c r="AA27" s="272">
        <f>Z26</f>
        <v>16057.439999999999</v>
      </c>
      <c r="AB27" s="272">
        <f>$Z$26</f>
        <v>16057.439999999999</v>
      </c>
      <c r="AC27" s="272">
        <f>$AA$26</f>
        <v>22007.16</v>
      </c>
      <c r="AD27" s="272">
        <f>$AB$26</f>
        <v>16168.949999999999</v>
      </c>
      <c r="AE27" s="272">
        <f>$AD$26</f>
        <v>18956.699999999997</v>
      </c>
      <c r="AF27" s="272">
        <f>$AE$26</f>
        <v>19514.25</v>
      </c>
      <c r="AG27" s="272">
        <f>$AF$26</f>
        <v>21409.919999999998</v>
      </c>
      <c r="AH27" s="272">
        <f>$AG$26</f>
        <v>24643.71</v>
      </c>
      <c r="AI27" s="272">
        <f>$AH$26</f>
        <v>23863.14</v>
      </c>
      <c r="AJ27" s="272">
        <f>$AI$26</f>
        <v>23305.589999999997</v>
      </c>
      <c r="AK27" s="272">
        <f>$AJ$26</f>
        <v>23640.12</v>
      </c>
      <c r="AL27" s="621">
        <f t="shared" si="1"/>
        <v>16168.949999999999</v>
      </c>
      <c r="AM27" s="621">
        <f t="shared" si="1"/>
        <v>25870.32</v>
      </c>
      <c r="AN27" s="621">
        <f t="shared" si="1"/>
        <v>23034.270326020927</v>
      </c>
      <c r="AO27" s="621">
        <f t="shared" si="1"/>
        <v>20533.451400000002</v>
      </c>
      <c r="AP27" s="621">
        <f t="shared" si="1"/>
        <v>28513.425599999999</v>
      </c>
      <c r="AQ27" s="621">
        <f t="shared" si="1"/>
        <v>28765.756799999992</v>
      </c>
      <c r="AR27" s="621">
        <f t="shared" si="1"/>
        <v>25233.119999999995</v>
      </c>
      <c r="AS27" s="621">
        <f t="shared" si="1"/>
        <v>22709.808000000005</v>
      </c>
      <c r="AT27" s="621">
        <f t="shared" si="1"/>
        <v>20186.495999999999</v>
      </c>
      <c r="AU27" s="621">
        <f t="shared" si="1"/>
        <v>20186.495999999999</v>
      </c>
      <c r="AV27" s="621">
        <f t="shared" si="1"/>
        <v>29806.623</v>
      </c>
      <c r="AW27" s="621">
        <f t="shared" si="1"/>
        <v>29806.623</v>
      </c>
    </row>
    <row r="28" spans="1:49" x14ac:dyDescent="0.3">
      <c r="A28" s="313" t="s">
        <v>292</v>
      </c>
      <c r="B28" s="272"/>
      <c r="C28" s="272"/>
      <c r="D28" s="272"/>
      <c r="E28" s="272"/>
      <c r="F28" s="272"/>
      <c r="G28" s="272"/>
      <c r="H28" s="272"/>
      <c r="I28" s="272"/>
      <c r="J28" s="272"/>
      <c r="K28" s="272"/>
      <c r="L28" s="272"/>
      <c r="M28" s="272"/>
      <c r="N28" s="272"/>
      <c r="O28" s="272"/>
      <c r="P28" s="286"/>
      <c r="Q28" s="314"/>
      <c r="R28" s="272"/>
      <c r="S28" s="272"/>
      <c r="T28" s="272"/>
      <c r="U28" s="272"/>
      <c r="V28" s="272"/>
      <c r="W28" s="272"/>
      <c r="X28" s="272"/>
      <c r="Y28" s="272"/>
      <c r="Z28" s="272"/>
      <c r="AA28" s="272">
        <f>$X$26</f>
        <v>0</v>
      </c>
      <c r="AB28" s="272">
        <f>$Y$26</f>
        <v>0</v>
      </c>
      <c r="AC28" s="272">
        <f>$Z$26</f>
        <v>16057.439999999999</v>
      </c>
      <c r="AD28" s="272">
        <f>$AA$26</f>
        <v>22007.16</v>
      </c>
      <c r="AE28" s="272">
        <f>$AB$26</f>
        <v>16168.949999999999</v>
      </c>
      <c r="AF28" s="272">
        <f>$AD$26</f>
        <v>18956.699999999997</v>
      </c>
      <c r="AG28" s="272">
        <f>$AE$26</f>
        <v>19514.25</v>
      </c>
      <c r="AH28" s="272">
        <f>$AF$26</f>
        <v>21409.919999999998</v>
      </c>
      <c r="AI28" s="272">
        <f>$AG$26</f>
        <v>24643.71</v>
      </c>
      <c r="AJ28" s="272">
        <f>$AH$26</f>
        <v>23863.14</v>
      </c>
      <c r="AK28" s="272">
        <f>$AI$26</f>
        <v>23305.589999999997</v>
      </c>
      <c r="AL28" s="619">
        <f>$AJ$26</f>
        <v>23640.12</v>
      </c>
      <c r="AM28" s="621">
        <f t="shared" si="1"/>
        <v>16168.949999999999</v>
      </c>
      <c r="AN28" s="621">
        <f t="shared" si="1"/>
        <v>25870.32</v>
      </c>
      <c r="AO28" s="621">
        <f t="shared" si="1"/>
        <v>23034.270326020927</v>
      </c>
      <c r="AP28" s="621">
        <f t="shared" si="1"/>
        <v>20533.451400000002</v>
      </c>
      <c r="AQ28" s="621">
        <f t="shared" si="1"/>
        <v>28513.425599999999</v>
      </c>
      <c r="AR28" s="621">
        <f t="shared" si="1"/>
        <v>28765.756799999992</v>
      </c>
      <c r="AS28" s="621">
        <f t="shared" si="1"/>
        <v>25233.119999999995</v>
      </c>
      <c r="AT28" s="621">
        <f t="shared" si="1"/>
        <v>22709.808000000005</v>
      </c>
      <c r="AU28" s="621">
        <f t="shared" si="1"/>
        <v>20186.495999999999</v>
      </c>
      <c r="AV28" s="621">
        <f t="shared" si="1"/>
        <v>20186.495999999999</v>
      </c>
      <c r="AW28" s="621">
        <f t="shared" si="1"/>
        <v>29806.623</v>
      </c>
    </row>
    <row r="29" spans="1:49" x14ac:dyDescent="0.3">
      <c r="A29" s="313" t="s">
        <v>293</v>
      </c>
      <c r="B29" s="272"/>
      <c r="C29" s="272"/>
      <c r="D29" s="272"/>
      <c r="E29" s="272"/>
      <c r="F29" s="272"/>
      <c r="G29" s="272"/>
      <c r="H29" s="272"/>
      <c r="I29" s="272"/>
      <c r="J29" s="272"/>
      <c r="K29" s="272"/>
      <c r="L29" s="272"/>
      <c r="M29" s="272"/>
      <c r="N29" s="272"/>
      <c r="O29" s="272"/>
      <c r="P29" s="272"/>
      <c r="Q29" s="286"/>
      <c r="R29" s="314"/>
      <c r="S29" s="272"/>
      <c r="T29" s="272"/>
      <c r="U29" s="272"/>
      <c r="V29" s="272"/>
      <c r="W29" s="272"/>
      <c r="X29" s="272"/>
      <c r="Y29" s="272"/>
      <c r="Z29" s="272"/>
      <c r="AA29" s="272">
        <f>$W$26</f>
        <v>0</v>
      </c>
      <c r="AB29" s="272">
        <f>$X$26</f>
        <v>0</v>
      </c>
      <c r="AC29" s="272">
        <f>$Y$26</f>
        <v>0</v>
      </c>
      <c r="AD29" s="272">
        <f>$Z$26</f>
        <v>16057.439999999999</v>
      </c>
      <c r="AE29" s="272">
        <f>$AA$26</f>
        <v>22007.16</v>
      </c>
      <c r="AF29" s="272">
        <f>$AB$26</f>
        <v>16168.949999999999</v>
      </c>
      <c r="AG29" s="272">
        <f>$AD$26</f>
        <v>18956.699999999997</v>
      </c>
      <c r="AH29" s="272">
        <f>$AE$26</f>
        <v>19514.25</v>
      </c>
      <c r="AI29" s="272">
        <f>$AF$26</f>
        <v>21409.919999999998</v>
      </c>
      <c r="AJ29" s="272">
        <f>$AG$26</f>
        <v>24643.71</v>
      </c>
      <c r="AK29" s="272">
        <f>$AH$26</f>
        <v>23863.14</v>
      </c>
      <c r="AL29" s="619">
        <f>$AI$26</f>
        <v>23305.589999999997</v>
      </c>
      <c r="AM29" s="619">
        <f>$AJ$26</f>
        <v>23640.12</v>
      </c>
      <c r="AN29" s="621">
        <f t="shared" si="1"/>
        <v>16168.949999999999</v>
      </c>
      <c r="AO29" s="621">
        <f t="shared" si="1"/>
        <v>25870.32</v>
      </c>
      <c r="AP29" s="621">
        <f t="shared" si="1"/>
        <v>23034.270326020927</v>
      </c>
      <c r="AQ29" s="621">
        <f t="shared" si="1"/>
        <v>20533.451400000002</v>
      </c>
      <c r="AR29" s="621">
        <f t="shared" si="1"/>
        <v>28513.425599999999</v>
      </c>
      <c r="AS29" s="621">
        <f t="shared" si="1"/>
        <v>28765.756799999992</v>
      </c>
      <c r="AT29" s="621">
        <f t="shared" si="1"/>
        <v>25233.119999999995</v>
      </c>
      <c r="AU29" s="621">
        <f t="shared" si="1"/>
        <v>22709.808000000005</v>
      </c>
      <c r="AV29" s="621">
        <f t="shared" si="1"/>
        <v>20186.495999999999</v>
      </c>
      <c r="AW29" s="621">
        <f t="shared" si="1"/>
        <v>20186.495999999999</v>
      </c>
    </row>
    <row r="30" spans="1:49" x14ac:dyDescent="0.3">
      <c r="A30" s="313" t="s">
        <v>294</v>
      </c>
      <c r="B30" s="272"/>
      <c r="C30" s="272"/>
      <c r="D30" s="272"/>
      <c r="E30" s="272"/>
      <c r="F30" s="272"/>
      <c r="G30" s="272"/>
      <c r="H30" s="272"/>
      <c r="I30" s="272"/>
      <c r="J30" s="272"/>
      <c r="K30" s="272"/>
      <c r="L30" s="272"/>
      <c r="M30" s="272"/>
      <c r="N30" s="272"/>
      <c r="O30" s="272"/>
      <c r="P30" s="272"/>
      <c r="Q30" s="272"/>
      <c r="R30" s="286"/>
      <c r="S30" s="314"/>
      <c r="T30" s="272"/>
      <c r="U30" s="272"/>
      <c r="V30" s="272"/>
      <c r="W30" s="272"/>
      <c r="X30" s="272"/>
      <c r="Y30" s="272"/>
      <c r="Z30" s="272"/>
      <c r="AA30" s="272">
        <f>$V$26</f>
        <v>0</v>
      </c>
      <c r="AB30" s="272">
        <f>$W$26</f>
        <v>0</v>
      </c>
      <c r="AC30" s="272">
        <f>$X$26</f>
        <v>0</v>
      </c>
      <c r="AD30" s="272">
        <f>$Y$26</f>
        <v>0</v>
      </c>
      <c r="AE30" s="272">
        <f>$Z$26</f>
        <v>16057.439999999999</v>
      </c>
      <c r="AF30" s="272">
        <f>$AA$26</f>
        <v>22007.16</v>
      </c>
      <c r="AG30" s="272">
        <f>$AB$26</f>
        <v>16168.949999999999</v>
      </c>
      <c r="AH30" s="272">
        <f>$AD$26</f>
        <v>18956.699999999997</v>
      </c>
      <c r="AI30" s="272">
        <f>$AE$26</f>
        <v>19514.25</v>
      </c>
      <c r="AJ30" s="272">
        <f>$AF$26</f>
        <v>21409.919999999998</v>
      </c>
      <c r="AK30" s="272">
        <f>$AG$26</f>
        <v>24643.71</v>
      </c>
      <c r="AL30" s="619">
        <f>$AH$26</f>
        <v>23863.14</v>
      </c>
      <c r="AM30" s="619">
        <f>$AI$26</f>
        <v>23305.589999999997</v>
      </c>
      <c r="AN30" s="619">
        <f>$AJ$26</f>
        <v>23640.12</v>
      </c>
      <c r="AO30" s="621">
        <f t="shared" si="1"/>
        <v>16168.949999999999</v>
      </c>
      <c r="AP30" s="621">
        <f t="shared" si="1"/>
        <v>25870.32</v>
      </c>
      <c r="AQ30" s="621">
        <f t="shared" si="1"/>
        <v>23034.270326020927</v>
      </c>
      <c r="AR30" s="621">
        <f t="shared" si="1"/>
        <v>20533.451400000002</v>
      </c>
      <c r="AS30" s="621">
        <f t="shared" si="1"/>
        <v>28513.425599999999</v>
      </c>
      <c r="AT30" s="621">
        <f t="shared" si="1"/>
        <v>28765.756799999992</v>
      </c>
      <c r="AU30" s="621">
        <f t="shared" si="1"/>
        <v>25233.119999999995</v>
      </c>
      <c r="AV30" s="621">
        <f t="shared" si="1"/>
        <v>22709.808000000005</v>
      </c>
      <c r="AW30" s="621">
        <f t="shared" si="1"/>
        <v>20186.495999999999</v>
      </c>
    </row>
    <row r="31" spans="1:49" x14ac:dyDescent="0.3">
      <c r="A31" s="313" t="s">
        <v>295</v>
      </c>
      <c r="B31" s="272"/>
      <c r="C31" s="272"/>
      <c r="D31" s="272"/>
      <c r="E31" s="272"/>
      <c r="F31" s="272"/>
      <c r="G31" s="272"/>
      <c r="H31" s="272"/>
      <c r="I31" s="272"/>
      <c r="J31" s="272"/>
      <c r="K31" s="272"/>
      <c r="L31" s="272"/>
      <c r="M31" s="272"/>
      <c r="N31" s="272"/>
      <c r="O31" s="272"/>
      <c r="P31" s="272"/>
      <c r="Q31" s="272"/>
      <c r="R31" s="272"/>
      <c r="S31" s="286"/>
      <c r="T31" s="314"/>
      <c r="U31" s="272"/>
      <c r="V31" s="272"/>
      <c r="W31" s="272"/>
      <c r="X31" s="272"/>
      <c r="Y31" s="272"/>
      <c r="Z31" s="272"/>
      <c r="AA31" s="272">
        <f>$U$26</f>
        <v>0</v>
      </c>
      <c r="AB31" s="272">
        <f>$V$26</f>
        <v>0</v>
      </c>
      <c r="AC31" s="272">
        <f>$W$26</f>
        <v>0</v>
      </c>
      <c r="AD31" s="272">
        <f>$X$26</f>
        <v>0</v>
      </c>
      <c r="AE31" s="272">
        <f>$Y$26</f>
        <v>0</v>
      </c>
      <c r="AF31" s="272">
        <f>$Z$26</f>
        <v>16057.439999999999</v>
      </c>
      <c r="AG31" s="272">
        <f>$AA$26</f>
        <v>22007.16</v>
      </c>
      <c r="AH31" s="272">
        <f>$AB$26</f>
        <v>16168.949999999999</v>
      </c>
      <c r="AI31" s="272">
        <f>$AD$26</f>
        <v>18956.699999999997</v>
      </c>
      <c r="AJ31" s="272">
        <f>$AE$26</f>
        <v>19514.25</v>
      </c>
      <c r="AK31" s="272">
        <f>$AF$26</f>
        <v>21409.919999999998</v>
      </c>
      <c r="AL31" s="619">
        <f>$AG$26</f>
        <v>24643.71</v>
      </c>
      <c r="AM31" s="619">
        <f>$AH$26</f>
        <v>23863.14</v>
      </c>
      <c r="AN31" s="619">
        <f>$AI$26</f>
        <v>23305.589999999997</v>
      </c>
      <c r="AO31" s="619">
        <f>$AJ$26</f>
        <v>23640.12</v>
      </c>
      <c r="AP31" s="621">
        <f t="shared" ref="AP31:AW38" si="3">AO30</f>
        <v>16168.949999999999</v>
      </c>
      <c r="AQ31" s="621">
        <f t="shared" si="3"/>
        <v>25870.32</v>
      </c>
      <c r="AR31" s="621">
        <f t="shared" si="3"/>
        <v>23034.270326020927</v>
      </c>
      <c r="AS31" s="621">
        <f t="shared" si="3"/>
        <v>20533.451400000002</v>
      </c>
      <c r="AT31" s="621">
        <f t="shared" si="3"/>
        <v>28513.425599999999</v>
      </c>
      <c r="AU31" s="621">
        <f t="shared" si="3"/>
        <v>28765.756799999992</v>
      </c>
      <c r="AV31" s="621">
        <f t="shared" si="3"/>
        <v>25233.119999999995</v>
      </c>
      <c r="AW31" s="621">
        <f t="shared" si="3"/>
        <v>22709.808000000005</v>
      </c>
    </row>
    <row r="32" spans="1:49" x14ac:dyDescent="0.3">
      <c r="A32" s="313" t="s">
        <v>296</v>
      </c>
      <c r="B32" s="272"/>
      <c r="C32" s="272"/>
      <c r="D32" s="272"/>
      <c r="E32" s="272"/>
      <c r="F32" s="272"/>
      <c r="G32" s="272"/>
      <c r="H32" s="272"/>
      <c r="I32" s="272"/>
      <c r="J32" s="272"/>
      <c r="K32" s="272"/>
      <c r="L32" s="272"/>
      <c r="M32" s="272"/>
      <c r="N32" s="272"/>
      <c r="O32" s="272"/>
      <c r="P32" s="272"/>
      <c r="Q32" s="272"/>
      <c r="R32" s="272"/>
      <c r="S32" s="272"/>
      <c r="T32" s="286"/>
      <c r="U32" s="314"/>
      <c r="V32" s="272"/>
      <c r="W32" s="272"/>
      <c r="X32" s="272"/>
      <c r="Y32" s="272"/>
      <c r="Z32" s="272"/>
      <c r="AA32" s="272">
        <f>$T$26</f>
        <v>0</v>
      </c>
      <c r="AB32" s="272">
        <f>$U$26</f>
        <v>0</v>
      </c>
      <c r="AC32" s="272">
        <f>$V$26</f>
        <v>0</v>
      </c>
      <c r="AD32" s="272">
        <f>$W$26</f>
        <v>0</v>
      </c>
      <c r="AE32" s="272">
        <f>$X$26</f>
        <v>0</v>
      </c>
      <c r="AF32" s="272">
        <f>$Y$26</f>
        <v>0</v>
      </c>
      <c r="AG32" s="272">
        <f>$Z$26</f>
        <v>16057.439999999999</v>
      </c>
      <c r="AH32" s="272">
        <f>$AA$26</f>
        <v>22007.16</v>
      </c>
      <c r="AI32" s="272">
        <f>$AB$26</f>
        <v>16168.949999999999</v>
      </c>
      <c r="AJ32" s="272">
        <f>$AD$26</f>
        <v>18956.699999999997</v>
      </c>
      <c r="AK32" s="272">
        <f>$AE$26</f>
        <v>19514.25</v>
      </c>
      <c r="AL32" s="619">
        <f>$AF$26</f>
        <v>21409.919999999998</v>
      </c>
      <c r="AM32" s="619">
        <f>$AG$26</f>
        <v>24643.71</v>
      </c>
      <c r="AN32" s="619">
        <f>$AH$26</f>
        <v>23863.14</v>
      </c>
      <c r="AO32" s="619">
        <f>$AI$26</f>
        <v>23305.589999999997</v>
      </c>
      <c r="AP32" s="619">
        <f>$AJ$26</f>
        <v>23640.12</v>
      </c>
      <c r="AQ32" s="621">
        <f t="shared" si="3"/>
        <v>16168.949999999999</v>
      </c>
      <c r="AR32" s="621">
        <f t="shared" si="3"/>
        <v>25870.32</v>
      </c>
      <c r="AS32" s="621">
        <f t="shared" si="3"/>
        <v>23034.270326020927</v>
      </c>
      <c r="AT32" s="621">
        <f t="shared" si="3"/>
        <v>20533.451400000002</v>
      </c>
      <c r="AU32" s="621">
        <f t="shared" si="3"/>
        <v>28513.425599999999</v>
      </c>
      <c r="AV32" s="621">
        <f t="shared" si="3"/>
        <v>28765.756799999992</v>
      </c>
      <c r="AW32" s="621">
        <f t="shared" si="3"/>
        <v>25233.119999999995</v>
      </c>
    </row>
    <row r="33" spans="1:49" x14ac:dyDescent="0.3">
      <c r="A33" s="313" t="s">
        <v>297</v>
      </c>
      <c r="B33" s="272"/>
      <c r="C33" s="272"/>
      <c r="D33" s="272"/>
      <c r="E33" s="272"/>
      <c r="F33" s="272"/>
      <c r="G33" s="272"/>
      <c r="H33" s="272"/>
      <c r="I33" s="272"/>
      <c r="J33" s="272"/>
      <c r="K33" s="272"/>
      <c r="L33" s="272"/>
      <c r="M33" s="272"/>
      <c r="N33" s="272"/>
      <c r="O33" s="272"/>
      <c r="P33" s="272"/>
      <c r="Q33" s="272"/>
      <c r="R33" s="272"/>
      <c r="S33" s="272"/>
      <c r="T33" s="272"/>
      <c r="U33" s="286"/>
      <c r="V33" s="314"/>
      <c r="W33" s="272"/>
      <c r="X33" s="272"/>
      <c r="Y33" s="272"/>
      <c r="Z33" s="272"/>
      <c r="AA33" s="272">
        <f>$S$26</f>
        <v>0</v>
      </c>
      <c r="AB33" s="272">
        <f>$T$26</f>
        <v>0</v>
      </c>
      <c r="AC33" s="272">
        <f>$U$26</f>
        <v>0</v>
      </c>
      <c r="AD33" s="272">
        <f>$V$26</f>
        <v>0</v>
      </c>
      <c r="AE33" s="272">
        <f>$W$26</f>
        <v>0</v>
      </c>
      <c r="AF33" s="272">
        <f>$X$26</f>
        <v>0</v>
      </c>
      <c r="AG33" s="272">
        <f>$Y$26</f>
        <v>0</v>
      </c>
      <c r="AH33" s="272">
        <f>$Z$26</f>
        <v>16057.439999999999</v>
      </c>
      <c r="AI33" s="272">
        <f>$AA$26</f>
        <v>22007.16</v>
      </c>
      <c r="AJ33" s="272">
        <f>$AB$26</f>
        <v>16168.949999999999</v>
      </c>
      <c r="AK33" s="272">
        <f>$AD$26</f>
        <v>18956.699999999997</v>
      </c>
      <c r="AL33" s="619">
        <f>$AE$26</f>
        <v>19514.25</v>
      </c>
      <c r="AM33" s="619">
        <f>$AF$26</f>
        <v>21409.919999999998</v>
      </c>
      <c r="AN33" s="619">
        <f>$AG$26</f>
        <v>24643.71</v>
      </c>
      <c r="AO33" s="619">
        <f>$AH$26</f>
        <v>23863.14</v>
      </c>
      <c r="AP33" s="619">
        <f>$AI$26</f>
        <v>23305.589999999997</v>
      </c>
      <c r="AQ33" s="619">
        <f>$AJ$26</f>
        <v>23640.12</v>
      </c>
      <c r="AR33" s="621">
        <f t="shared" si="3"/>
        <v>16168.949999999999</v>
      </c>
      <c r="AS33" s="621">
        <f t="shared" si="3"/>
        <v>25870.32</v>
      </c>
      <c r="AT33" s="621">
        <f t="shared" si="3"/>
        <v>23034.270326020927</v>
      </c>
      <c r="AU33" s="621">
        <f t="shared" si="3"/>
        <v>20533.451400000002</v>
      </c>
      <c r="AV33" s="621">
        <f t="shared" si="3"/>
        <v>28513.425599999999</v>
      </c>
      <c r="AW33" s="621">
        <f t="shared" si="3"/>
        <v>28765.756799999992</v>
      </c>
    </row>
    <row r="34" spans="1:49" x14ac:dyDescent="0.3">
      <c r="A34" s="313" t="s">
        <v>298</v>
      </c>
      <c r="B34" s="272"/>
      <c r="C34" s="272"/>
      <c r="D34" s="272"/>
      <c r="E34" s="272"/>
      <c r="F34" s="272"/>
      <c r="G34" s="272"/>
      <c r="H34" s="272"/>
      <c r="I34" s="272"/>
      <c r="J34" s="272"/>
      <c r="K34" s="272"/>
      <c r="L34" s="272"/>
      <c r="M34" s="272"/>
      <c r="N34" s="272"/>
      <c r="O34" s="272"/>
      <c r="P34" s="272"/>
      <c r="Q34" s="272"/>
      <c r="R34" s="272"/>
      <c r="S34" s="272"/>
      <c r="T34" s="272"/>
      <c r="U34" s="272"/>
      <c r="V34" s="286"/>
      <c r="W34" s="314"/>
      <c r="X34" s="272"/>
      <c r="Y34" s="272"/>
      <c r="Z34" s="272"/>
      <c r="AA34" s="272">
        <f>$R$26</f>
        <v>0</v>
      </c>
      <c r="AB34" s="272">
        <f>$S$26</f>
        <v>0</v>
      </c>
      <c r="AC34" s="272">
        <f>$T$26</f>
        <v>0</v>
      </c>
      <c r="AD34" s="272">
        <f>$U$26</f>
        <v>0</v>
      </c>
      <c r="AE34" s="272">
        <f>$V$26</f>
        <v>0</v>
      </c>
      <c r="AF34" s="272">
        <f>$W$26</f>
        <v>0</v>
      </c>
      <c r="AG34" s="272">
        <f>$X$26</f>
        <v>0</v>
      </c>
      <c r="AH34" s="272">
        <f>$Y$26</f>
        <v>0</v>
      </c>
      <c r="AI34" s="272">
        <f>$Z$26</f>
        <v>16057.439999999999</v>
      </c>
      <c r="AJ34" s="272">
        <f>$AA$26</f>
        <v>22007.16</v>
      </c>
      <c r="AK34" s="272">
        <f>$AB$26</f>
        <v>16168.949999999999</v>
      </c>
      <c r="AL34" s="619">
        <f>$AD$26</f>
        <v>18956.699999999997</v>
      </c>
      <c r="AM34" s="619">
        <f>$AE$26</f>
        <v>19514.25</v>
      </c>
      <c r="AN34" s="619">
        <f>$AF$26</f>
        <v>21409.919999999998</v>
      </c>
      <c r="AO34" s="619">
        <f>$AG$26</f>
        <v>24643.71</v>
      </c>
      <c r="AP34" s="619">
        <f>$AH$26</f>
        <v>23863.14</v>
      </c>
      <c r="AQ34" s="619">
        <f>$AI$26</f>
        <v>23305.589999999997</v>
      </c>
      <c r="AR34" s="619">
        <f>$AJ$26</f>
        <v>23640.12</v>
      </c>
      <c r="AS34" s="621">
        <f t="shared" si="3"/>
        <v>16168.949999999999</v>
      </c>
      <c r="AT34" s="621">
        <f t="shared" si="3"/>
        <v>25870.32</v>
      </c>
      <c r="AU34" s="621">
        <f t="shared" si="3"/>
        <v>23034.270326020927</v>
      </c>
      <c r="AV34" s="621">
        <f t="shared" si="3"/>
        <v>20533.451400000002</v>
      </c>
      <c r="AW34" s="621">
        <f t="shared" si="3"/>
        <v>28513.425599999999</v>
      </c>
    </row>
    <row r="35" spans="1:49" x14ac:dyDescent="0.3">
      <c r="A35" s="313" t="s">
        <v>299</v>
      </c>
      <c r="B35" s="272"/>
      <c r="C35" s="272"/>
      <c r="D35" s="272"/>
      <c r="E35" s="272"/>
      <c r="F35" s="272"/>
      <c r="G35" s="272"/>
      <c r="H35" s="272"/>
      <c r="I35" s="272"/>
      <c r="J35" s="272"/>
      <c r="K35" s="272"/>
      <c r="L35" s="272"/>
      <c r="M35" s="272"/>
      <c r="N35" s="272"/>
      <c r="O35" s="272"/>
      <c r="P35" s="272"/>
      <c r="Q35" s="272"/>
      <c r="R35" s="272"/>
      <c r="S35" s="272"/>
      <c r="T35" s="272"/>
      <c r="U35" s="272"/>
      <c r="V35" s="272"/>
      <c r="W35" s="286"/>
      <c r="X35" s="314"/>
      <c r="Y35" s="272"/>
      <c r="Z35" s="272"/>
      <c r="AA35" s="272">
        <f>$Q$26</f>
        <v>0</v>
      </c>
      <c r="AB35" s="272">
        <f>$R$26</f>
        <v>0</v>
      </c>
      <c r="AC35" s="272">
        <f>$S$26</f>
        <v>0</v>
      </c>
      <c r="AD35" s="272">
        <f>$T$26</f>
        <v>0</v>
      </c>
      <c r="AE35" s="272">
        <f>$U$26</f>
        <v>0</v>
      </c>
      <c r="AF35" s="272">
        <f>$V$26</f>
        <v>0</v>
      </c>
      <c r="AG35" s="272">
        <f>$W$26</f>
        <v>0</v>
      </c>
      <c r="AH35" s="272">
        <f>$X$26</f>
        <v>0</v>
      </c>
      <c r="AI35" s="272">
        <f>$Y$26</f>
        <v>0</v>
      </c>
      <c r="AJ35" s="272">
        <f>$Z$26</f>
        <v>16057.439999999999</v>
      </c>
      <c r="AK35" s="272">
        <f>$AA$26</f>
        <v>22007.16</v>
      </c>
      <c r="AL35" s="619">
        <f>$AB$26</f>
        <v>16168.949999999999</v>
      </c>
      <c r="AM35" s="619">
        <f>$AD$26</f>
        <v>18956.699999999997</v>
      </c>
      <c r="AN35" s="619">
        <f>$AE$26</f>
        <v>19514.25</v>
      </c>
      <c r="AO35" s="619">
        <f>$AF$26</f>
        <v>21409.919999999998</v>
      </c>
      <c r="AP35" s="619">
        <f>$AG$26</f>
        <v>24643.71</v>
      </c>
      <c r="AQ35" s="619">
        <f>$AH$26</f>
        <v>23863.14</v>
      </c>
      <c r="AR35" s="619">
        <f>$AI$26</f>
        <v>23305.589999999997</v>
      </c>
      <c r="AS35" s="619">
        <f>$AJ$26</f>
        <v>23640.12</v>
      </c>
      <c r="AT35" s="621">
        <f t="shared" si="3"/>
        <v>16168.949999999999</v>
      </c>
      <c r="AU35" s="621">
        <f t="shared" si="3"/>
        <v>25870.32</v>
      </c>
      <c r="AV35" s="621">
        <f t="shared" si="3"/>
        <v>23034.270326020927</v>
      </c>
      <c r="AW35" s="621">
        <f t="shared" si="3"/>
        <v>20533.451400000002</v>
      </c>
    </row>
    <row r="36" spans="1:49" x14ac:dyDescent="0.3">
      <c r="A36" s="313" t="s">
        <v>300</v>
      </c>
      <c r="B36" s="272"/>
      <c r="C36" s="272"/>
      <c r="D36" s="272"/>
      <c r="E36" s="272"/>
      <c r="F36" s="272"/>
      <c r="G36" s="272"/>
      <c r="H36" s="272"/>
      <c r="I36" s="272"/>
      <c r="J36" s="272"/>
      <c r="K36" s="272"/>
      <c r="L36" s="272"/>
      <c r="M36" s="272"/>
      <c r="N36" s="272"/>
      <c r="O36" s="272"/>
      <c r="P36" s="272"/>
      <c r="Q36" s="272"/>
      <c r="R36" s="272"/>
      <c r="S36" s="272"/>
      <c r="T36" s="272"/>
      <c r="U36" s="272"/>
      <c r="V36" s="272"/>
      <c r="W36" s="272"/>
      <c r="X36" s="286"/>
      <c r="Y36" s="314"/>
      <c r="Z36" s="272"/>
      <c r="AA36" s="272">
        <f>$P$26</f>
        <v>0</v>
      </c>
      <c r="AB36" s="272">
        <f>$Q$26</f>
        <v>0</v>
      </c>
      <c r="AC36" s="272">
        <f>$R$26</f>
        <v>0</v>
      </c>
      <c r="AD36" s="272">
        <f>$S$26</f>
        <v>0</v>
      </c>
      <c r="AE36" s="272">
        <f>$T$26</f>
        <v>0</v>
      </c>
      <c r="AF36" s="272">
        <f>$U$26</f>
        <v>0</v>
      </c>
      <c r="AG36" s="272">
        <f>$V$26</f>
        <v>0</v>
      </c>
      <c r="AH36" s="272">
        <f>$W$26</f>
        <v>0</v>
      </c>
      <c r="AI36" s="272">
        <f>$X$26</f>
        <v>0</v>
      </c>
      <c r="AJ36" s="272">
        <f>$Y$26</f>
        <v>0</v>
      </c>
      <c r="AK36" s="272">
        <f>$Z$26</f>
        <v>16057.439999999999</v>
      </c>
      <c r="AL36" s="619">
        <f>$AA$26</f>
        <v>22007.16</v>
      </c>
      <c r="AM36" s="619">
        <f>$AB$26</f>
        <v>16168.949999999999</v>
      </c>
      <c r="AN36" s="619">
        <f>$AD$26</f>
        <v>18956.699999999997</v>
      </c>
      <c r="AO36" s="619">
        <f>$AE$26</f>
        <v>19514.25</v>
      </c>
      <c r="AP36" s="619">
        <f>$AF$26</f>
        <v>21409.919999999998</v>
      </c>
      <c r="AQ36" s="619">
        <f>$AG$26</f>
        <v>24643.71</v>
      </c>
      <c r="AR36" s="619">
        <f>$AH$26</f>
        <v>23863.14</v>
      </c>
      <c r="AS36" s="619">
        <f>$AI$26</f>
        <v>23305.589999999997</v>
      </c>
      <c r="AT36" s="619">
        <f>$AJ$26</f>
        <v>23640.12</v>
      </c>
      <c r="AU36" s="621">
        <f t="shared" si="3"/>
        <v>16168.949999999999</v>
      </c>
      <c r="AV36" s="621">
        <f t="shared" si="3"/>
        <v>25870.32</v>
      </c>
      <c r="AW36" s="621">
        <f t="shared" si="3"/>
        <v>23034.270326020927</v>
      </c>
    </row>
    <row r="37" spans="1:49" x14ac:dyDescent="0.3">
      <c r="A37" s="313" t="s">
        <v>301</v>
      </c>
      <c r="B37" s="272"/>
      <c r="C37" s="272"/>
      <c r="D37" s="272"/>
      <c r="E37" s="272"/>
      <c r="F37" s="272"/>
      <c r="G37" s="272"/>
      <c r="H37" s="272"/>
      <c r="I37" s="272"/>
      <c r="J37" s="272"/>
      <c r="K37" s="272"/>
      <c r="L37" s="272"/>
      <c r="M37" s="272"/>
      <c r="N37" s="272"/>
      <c r="O37" s="272"/>
      <c r="P37" s="272"/>
      <c r="Q37" s="272"/>
      <c r="R37" s="272"/>
      <c r="S37" s="272"/>
      <c r="T37" s="272"/>
      <c r="U37" s="272"/>
      <c r="V37" s="272"/>
      <c r="W37" s="272"/>
      <c r="X37" s="272"/>
      <c r="Y37" s="286"/>
      <c r="Z37" s="314"/>
      <c r="AA37" s="272">
        <f>$O$26</f>
        <v>0</v>
      </c>
      <c r="AB37" s="272">
        <f>$P$26</f>
        <v>0</v>
      </c>
      <c r="AC37" s="272">
        <f>$Q$26</f>
        <v>0</v>
      </c>
      <c r="AD37" s="272">
        <f>$R$26</f>
        <v>0</v>
      </c>
      <c r="AE37" s="272">
        <f>$S$26</f>
        <v>0</v>
      </c>
      <c r="AF37" s="272">
        <f>$T$26</f>
        <v>0</v>
      </c>
      <c r="AG37" s="272">
        <f>$U$26</f>
        <v>0</v>
      </c>
      <c r="AH37" s="272">
        <f>$V$26</f>
        <v>0</v>
      </c>
      <c r="AI37" s="272">
        <f>$W$26</f>
        <v>0</v>
      </c>
      <c r="AJ37" s="272">
        <f>$X$26</f>
        <v>0</v>
      </c>
      <c r="AK37" s="272">
        <f>$Y$26</f>
        <v>0</v>
      </c>
      <c r="AL37" s="619">
        <f>$Z$26</f>
        <v>16057.439999999999</v>
      </c>
      <c r="AM37" s="619">
        <f>$AA$26</f>
        <v>22007.16</v>
      </c>
      <c r="AN37" s="619">
        <f>$AB$26</f>
        <v>16168.949999999999</v>
      </c>
      <c r="AO37" s="619">
        <f>$AD$26</f>
        <v>18956.699999999997</v>
      </c>
      <c r="AP37" s="619">
        <f>$AE$26</f>
        <v>19514.25</v>
      </c>
      <c r="AQ37" s="619">
        <f>$AF$26</f>
        <v>21409.919999999998</v>
      </c>
      <c r="AR37" s="619">
        <f>$AG$26</f>
        <v>24643.71</v>
      </c>
      <c r="AS37" s="619">
        <f>$AH$26</f>
        <v>23863.14</v>
      </c>
      <c r="AT37" s="619">
        <f>$AI$26</f>
        <v>23305.589999999997</v>
      </c>
      <c r="AU37" s="619">
        <f>$AJ$26</f>
        <v>23640.12</v>
      </c>
      <c r="AV37" s="621">
        <f t="shared" si="3"/>
        <v>16168.949999999999</v>
      </c>
      <c r="AW37" s="621">
        <f t="shared" si="3"/>
        <v>25870.32</v>
      </c>
    </row>
    <row r="38" spans="1:49" x14ac:dyDescent="0.3">
      <c r="A38" s="313" t="s">
        <v>302</v>
      </c>
      <c r="B38" s="272"/>
      <c r="C38" s="272"/>
      <c r="D38" s="272"/>
      <c r="E38" s="272"/>
      <c r="F38" s="272"/>
      <c r="G38" s="272"/>
      <c r="H38" s="272"/>
      <c r="I38" s="272"/>
      <c r="J38" s="272"/>
      <c r="K38" s="272"/>
      <c r="L38" s="272"/>
      <c r="M38" s="272"/>
      <c r="N38" s="272"/>
      <c r="O38" s="272"/>
      <c r="P38" s="272"/>
      <c r="Q38" s="272"/>
      <c r="R38" s="272"/>
      <c r="S38" s="272"/>
      <c r="T38" s="272"/>
      <c r="U38" s="272"/>
      <c r="V38" s="272"/>
      <c r="W38" s="272"/>
      <c r="X38" s="272"/>
      <c r="Y38" s="272"/>
      <c r="Z38" s="286"/>
      <c r="AA38" s="314">
        <f>$N$26</f>
        <v>0</v>
      </c>
      <c r="AB38" s="272">
        <f>$O$26</f>
        <v>0</v>
      </c>
      <c r="AC38" s="272">
        <f>$P$26</f>
        <v>0</v>
      </c>
      <c r="AD38" s="272">
        <f>$Q$26</f>
        <v>0</v>
      </c>
      <c r="AE38" s="272">
        <f>$R$26</f>
        <v>0</v>
      </c>
      <c r="AF38" s="272">
        <f>$S$26</f>
        <v>0</v>
      </c>
      <c r="AG38" s="272">
        <f>$T$26</f>
        <v>0</v>
      </c>
      <c r="AH38" s="272">
        <f>$U$26</f>
        <v>0</v>
      </c>
      <c r="AI38" s="272">
        <f>$V$26</f>
        <v>0</v>
      </c>
      <c r="AJ38" s="272">
        <f>$W$26</f>
        <v>0</v>
      </c>
      <c r="AK38" s="272">
        <f>$X$26</f>
        <v>0</v>
      </c>
      <c r="AL38" s="619">
        <f t="shared" ref="AL38" si="4">$X$26</f>
        <v>0</v>
      </c>
      <c r="AM38" s="619">
        <f>$Z$26</f>
        <v>16057.439999999999</v>
      </c>
      <c r="AN38" s="619">
        <f>$AA$26</f>
        <v>22007.16</v>
      </c>
      <c r="AO38" s="619">
        <f>$AB$26</f>
        <v>16168.949999999999</v>
      </c>
      <c r="AP38" s="619">
        <f>$AD$26</f>
        <v>18956.699999999997</v>
      </c>
      <c r="AQ38" s="619">
        <f>$AE$26</f>
        <v>19514.25</v>
      </c>
      <c r="AR38" s="619">
        <f>$AF$26</f>
        <v>21409.919999999998</v>
      </c>
      <c r="AS38" s="619">
        <f>$AG$26</f>
        <v>24643.71</v>
      </c>
      <c r="AT38" s="619">
        <f>$AH$26</f>
        <v>23863.14</v>
      </c>
      <c r="AU38" s="619">
        <f>$AI$26</f>
        <v>23305.589999999997</v>
      </c>
      <c r="AV38" s="619">
        <f>$AJ$26</f>
        <v>23640.12</v>
      </c>
      <c r="AW38" s="621">
        <f t="shared" si="3"/>
        <v>16168.949999999999</v>
      </c>
    </row>
    <row r="39" spans="1:49" x14ac:dyDescent="0.3">
      <c r="A39" s="313" t="s">
        <v>303</v>
      </c>
      <c r="B39" s="272"/>
      <c r="C39" s="272"/>
      <c r="D39" s="272"/>
      <c r="E39" s="272"/>
      <c r="F39" s="272"/>
      <c r="G39" s="272"/>
      <c r="H39" s="272"/>
      <c r="I39" s="272"/>
      <c r="J39" s="272"/>
      <c r="K39" s="272"/>
      <c r="L39" s="272"/>
      <c r="M39" s="272"/>
      <c r="N39" s="272"/>
      <c r="O39" s="272"/>
      <c r="P39" s="272"/>
      <c r="Q39" s="272"/>
      <c r="R39" s="272"/>
      <c r="S39" s="272"/>
      <c r="T39" s="272"/>
      <c r="U39" s="272"/>
      <c r="V39" s="272"/>
      <c r="W39" s="272"/>
      <c r="X39" s="272"/>
      <c r="Y39" s="272"/>
      <c r="Z39" s="272"/>
      <c r="AA39" s="286">
        <f>$N$26</f>
        <v>0</v>
      </c>
      <c r="AB39" s="314">
        <f>$N$26</f>
        <v>0</v>
      </c>
      <c r="AC39" s="272">
        <f>$O$26</f>
        <v>0</v>
      </c>
      <c r="AD39" s="272">
        <f>$P$26</f>
        <v>0</v>
      </c>
      <c r="AE39" s="272">
        <f>$Q$26</f>
        <v>0</v>
      </c>
      <c r="AF39" s="272">
        <f>$R$26</f>
        <v>0</v>
      </c>
      <c r="AG39" s="272">
        <f>$S$26</f>
        <v>0</v>
      </c>
      <c r="AH39" s="272">
        <f>$T$26</f>
        <v>0</v>
      </c>
      <c r="AI39" s="272">
        <f>$U$26</f>
        <v>0</v>
      </c>
      <c r="AJ39" s="272">
        <f>$V$26</f>
        <v>0</v>
      </c>
      <c r="AK39" s="272">
        <f>$W$26</f>
        <v>0</v>
      </c>
      <c r="AL39" s="619">
        <f t="shared" ref="AL39:AM39" si="5">$W$26</f>
        <v>0</v>
      </c>
      <c r="AM39" s="619">
        <f t="shared" si="5"/>
        <v>0</v>
      </c>
      <c r="AN39" s="619">
        <f>$Z$26</f>
        <v>16057.439999999999</v>
      </c>
      <c r="AO39" s="619">
        <f>$AA$26</f>
        <v>22007.16</v>
      </c>
      <c r="AP39" s="619">
        <f>$AB$26</f>
        <v>16168.949999999999</v>
      </c>
      <c r="AQ39" s="619">
        <f>$AD$26</f>
        <v>18956.699999999997</v>
      </c>
      <c r="AR39" s="619">
        <f>$AE$26</f>
        <v>19514.25</v>
      </c>
      <c r="AS39" s="619">
        <f>$AF$26</f>
        <v>21409.919999999998</v>
      </c>
      <c r="AT39" s="619">
        <f>$AG$26</f>
        <v>24643.71</v>
      </c>
      <c r="AU39" s="619">
        <f>$AH$26</f>
        <v>23863.14</v>
      </c>
      <c r="AV39" s="619">
        <f>$AI$26</f>
        <v>23305.589999999997</v>
      </c>
      <c r="AW39" s="619">
        <f>$AJ$26</f>
        <v>23640.12</v>
      </c>
    </row>
    <row r="40" spans="1:49" x14ac:dyDescent="0.3">
      <c r="A40" s="313" t="s">
        <v>304</v>
      </c>
      <c r="B40" s="272"/>
      <c r="C40" s="272"/>
      <c r="D40" s="272"/>
      <c r="E40" s="272"/>
      <c r="F40" s="272"/>
      <c r="G40" s="272"/>
      <c r="H40" s="272"/>
      <c r="I40" s="272"/>
      <c r="J40" s="272"/>
      <c r="K40" s="272"/>
      <c r="L40" s="272"/>
      <c r="M40" s="272"/>
      <c r="N40" s="272"/>
      <c r="O40" s="272"/>
      <c r="P40" s="272"/>
      <c r="Q40" s="272"/>
      <c r="R40" s="272"/>
      <c r="S40" s="272"/>
      <c r="T40" s="272"/>
      <c r="U40" s="272"/>
      <c r="V40" s="272"/>
      <c r="W40" s="272"/>
      <c r="X40" s="272"/>
      <c r="Y40" s="272"/>
      <c r="Z40" s="272"/>
      <c r="AA40" s="272"/>
      <c r="AB40" s="286">
        <f>$N$26</f>
        <v>0</v>
      </c>
      <c r="AC40" s="314">
        <f>$N$26</f>
        <v>0</v>
      </c>
      <c r="AD40" s="272">
        <f>$O$26</f>
        <v>0</v>
      </c>
      <c r="AE40" s="272">
        <f>$P$26</f>
        <v>0</v>
      </c>
      <c r="AF40" s="272">
        <f>$Q$26</f>
        <v>0</v>
      </c>
      <c r="AG40" s="272">
        <f>$R$26</f>
        <v>0</v>
      </c>
      <c r="AH40" s="272">
        <f>$S$26</f>
        <v>0</v>
      </c>
      <c r="AI40" s="272">
        <f>$T$26</f>
        <v>0</v>
      </c>
      <c r="AJ40" s="272">
        <f>$U$26</f>
        <v>0</v>
      </c>
      <c r="AK40" s="272">
        <f>$V$26</f>
        <v>0</v>
      </c>
      <c r="AL40" s="619">
        <f t="shared" ref="AL40:AN40" si="6">$V$26</f>
        <v>0</v>
      </c>
      <c r="AM40" s="619">
        <f t="shared" si="6"/>
        <v>0</v>
      </c>
      <c r="AN40" s="619">
        <f t="shared" si="6"/>
        <v>0</v>
      </c>
      <c r="AO40" s="619">
        <f>$Z$26</f>
        <v>16057.439999999999</v>
      </c>
      <c r="AP40" s="619">
        <f>$AA$26</f>
        <v>22007.16</v>
      </c>
      <c r="AQ40" s="619">
        <f>$AB$26</f>
        <v>16168.949999999999</v>
      </c>
      <c r="AR40" s="619">
        <f>$AD$26</f>
        <v>18956.699999999997</v>
      </c>
      <c r="AS40" s="619">
        <f>$AE$26</f>
        <v>19514.25</v>
      </c>
      <c r="AT40" s="619">
        <f>$AF$26</f>
        <v>21409.919999999998</v>
      </c>
      <c r="AU40" s="619">
        <f>$AG$26</f>
        <v>24643.71</v>
      </c>
      <c r="AV40" s="619">
        <f>$AH$26</f>
        <v>23863.14</v>
      </c>
      <c r="AW40" s="619">
        <f>$AI$26</f>
        <v>23305.589999999997</v>
      </c>
    </row>
    <row r="41" spans="1:49" x14ac:dyDescent="0.3">
      <c r="A41" s="313" t="s">
        <v>305</v>
      </c>
      <c r="B41" s="272"/>
      <c r="C41" s="272"/>
      <c r="D41" s="272"/>
      <c r="E41" s="272"/>
      <c r="F41" s="272"/>
      <c r="G41" s="272"/>
      <c r="H41" s="272"/>
      <c r="I41" s="272"/>
      <c r="J41" s="272"/>
      <c r="K41" s="272"/>
      <c r="L41" s="272"/>
      <c r="M41" s="272"/>
      <c r="N41" s="272"/>
      <c r="O41" s="272"/>
      <c r="P41" s="272"/>
      <c r="Q41" s="272"/>
      <c r="R41" s="272"/>
      <c r="S41" s="272"/>
      <c r="T41" s="272"/>
      <c r="U41" s="272"/>
      <c r="V41" s="272"/>
      <c r="W41" s="272"/>
      <c r="X41" s="272"/>
      <c r="Y41" s="272"/>
      <c r="Z41" s="272"/>
      <c r="AA41" s="272"/>
      <c r="AB41" s="272"/>
      <c r="AC41" s="286">
        <f>$N$26</f>
        <v>0</v>
      </c>
      <c r="AD41" s="314">
        <f>$N$26</f>
        <v>0</v>
      </c>
      <c r="AE41" s="272">
        <f>$O$26</f>
        <v>0</v>
      </c>
      <c r="AF41" s="272">
        <f>$P$26</f>
        <v>0</v>
      </c>
      <c r="AG41" s="272">
        <f>$Q$26</f>
        <v>0</v>
      </c>
      <c r="AH41" s="272">
        <f>$R$26</f>
        <v>0</v>
      </c>
      <c r="AI41" s="272">
        <f>$S$26</f>
        <v>0</v>
      </c>
      <c r="AJ41" s="272">
        <f>$T$26</f>
        <v>0</v>
      </c>
      <c r="AK41" s="272">
        <f>$U$26</f>
        <v>0</v>
      </c>
      <c r="AL41" s="619">
        <f t="shared" ref="AL41:AO41" si="7">$U$26</f>
        <v>0</v>
      </c>
      <c r="AM41" s="619">
        <f t="shared" si="7"/>
        <v>0</v>
      </c>
      <c r="AN41" s="619">
        <f t="shared" si="7"/>
        <v>0</v>
      </c>
      <c r="AO41" s="619">
        <f t="shared" si="7"/>
        <v>0</v>
      </c>
      <c r="AP41" s="619">
        <f>$Z$26</f>
        <v>16057.439999999999</v>
      </c>
      <c r="AQ41" s="619">
        <f>$AA$26</f>
        <v>22007.16</v>
      </c>
      <c r="AR41" s="619">
        <f>$AB$26</f>
        <v>16168.949999999999</v>
      </c>
      <c r="AS41" s="619">
        <f>$AD$26</f>
        <v>18956.699999999997</v>
      </c>
      <c r="AT41" s="619">
        <f>$AE$26</f>
        <v>19514.25</v>
      </c>
      <c r="AU41" s="619">
        <f>$AF$26</f>
        <v>21409.919999999998</v>
      </c>
      <c r="AV41" s="619">
        <f>$AG$26</f>
        <v>24643.71</v>
      </c>
      <c r="AW41" s="619">
        <f>$AH$26</f>
        <v>23863.14</v>
      </c>
    </row>
    <row r="42" spans="1:49" x14ac:dyDescent="0.3">
      <c r="A42" s="313" t="s">
        <v>306</v>
      </c>
      <c r="B42" s="272"/>
      <c r="C42" s="272"/>
      <c r="D42" s="272"/>
      <c r="E42" s="272"/>
      <c r="F42" s="272"/>
      <c r="G42" s="272"/>
      <c r="H42" s="272"/>
      <c r="I42" s="272"/>
      <c r="J42" s="272"/>
      <c r="K42" s="272"/>
      <c r="L42" s="272"/>
      <c r="M42" s="272"/>
      <c r="N42" s="272"/>
      <c r="O42" s="272"/>
      <c r="P42" s="272"/>
      <c r="Q42" s="272"/>
      <c r="R42" s="272"/>
      <c r="S42" s="272"/>
      <c r="T42" s="272"/>
      <c r="U42" s="272"/>
      <c r="V42" s="272"/>
      <c r="W42" s="272"/>
      <c r="X42" s="272"/>
      <c r="Y42" s="272"/>
      <c r="Z42" s="272"/>
      <c r="AA42" s="272"/>
      <c r="AB42" s="272"/>
      <c r="AC42" s="272"/>
      <c r="AD42" s="286">
        <f>$N$26</f>
        <v>0</v>
      </c>
      <c r="AE42" s="314">
        <f>$N$26</f>
        <v>0</v>
      </c>
      <c r="AF42" s="272">
        <f>$O$26</f>
        <v>0</v>
      </c>
      <c r="AG42" s="272">
        <f>$P$26</f>
        <v>0</v>
      </c>
      <c r="AH42" s="272">
        <f>$Q$26</f>
        <v>0</v>
      </c>
      <c r="AI42" s="272">
        <f>$R$26</f>
        <v>0</v>
      </c>
      <c r="AJ42" s="272">
        <f>$S$26</f>
        <v>0</v>
      </c>
      <c r="AK42" s="272">
        <f>$T$26</f>
        <v>0</v>
      </c>
      <c r="AL42" s="619">
        <f t="shared" ref="AL42:AP42" si="8">$T$26</f>
        <v>0</v>
      </c>
      <c r="AM42" s="619">
        <f t="shared" si="8"/>
        <v>0</v>
      </c>
      <c r="AN42" s="619">
        <f t="shared" si="8"/>
        <v>0</v>
      </c>
      <c r="AO42" s="619">
        <f t="shared" si="8"/>
        <v>0</v>
      </c>
      <c r="AP42" s="619">
        <f t="shared" si="8"/>
        <v>0</v>
      </c>
      <c r="AQ42" s="619">
        <f>$Z$26</f>
        <v>16057.439999999999</v>
      </c>
      <c r="AR42" s="619">
        <f>$AA$26</f>
        <v>22007.16</v>
      </c>
      <c r="AS42" s="619">
        <f>$AB$26</f>
        <v>16168.949999999999</v>
      </c>
      <c r="AT42" s="619">
        <f>$AD$26</f>
        <v>18956.699999999997</v>
      </c>
      <c r="AU42" s="619">
        <f>$AE$26</f>
        <v>19514.25</v>
      </c>
      <c r="AV42" s="619">
        <f>$AF$26</f>
        <v>21409.919999999998</v>
      </c>
      <c r="AW42" s="619">
        <f>$AG$26</f>
        <v>24643.71</v>
      </c>
    </row>
    <row r="43" spans="1:49" x14ac:dyDescent="0.3">
      <c r="A43" s="313" t="s">
        <v>307</v>
      </c>
      <c r="B43" s="272"/>
      <c r="C43" s="272"/>
      <c r="D43" s="272"/>
      <c r="E43" s="272"/>
      <c r="F43" s="272"/>
      <c r="G43" s="272"/>
      <c r="H43" s="272"/>
      <c r="I43" s="272"/>
      <c r="J43" s="272"/>
      <c r="K43" s="272"/>
      <c r="L43" s="272"/>
      <c r="M43" s="272"/>
      <c r="N43" s="272"/>
      <c r="O43" s="272"/>
      <c r="P43" s="272"/>
      <c r="Q43" s="272"/>
      <c r="R43" s="272"/>
      <c r="S43" s="272"/>
      <c r="T43" s="272"/>
      <c r="U43" s="272"/>
      <c r="V43" s="272"/>
      <c r="W43" s="272"/>
      <c r="X43" s="272"/>
      <c r="Y43" s="272"/>
      <c r="Z43" s="272"/>
      <c r="AA43" s="272"/>
      <c r="AB43" s="272"/>
      <c r="AC43" s="272"/>
      <c r="AD43" s="272"/>
      <c r="AE43" s="286">
        <f>$N$26</f>
        <v>0</v>
      </c>
      <c r="AF43" s="314">
        <f>$N$26</f>
        <v>0</v>
      </c>
      <c r="AG43" s="272">
        <f>$O$26</f>
        <v>0</v>
      </c>
      <c r="AH43" s="272">
        <f>$P$26</f>
        <v>0</v>
      </c>
      <c r="AI43" s="272">
        <f>$Q$26</f>
        <v>0</v>
      </c>
      <c r="AJ43" s="272">
        <f>$R$26</f>
        <v>0</v>
      </c>
      <c r="AK43" s="272">
        <f>$S$26</f>
        <v>0</v>
      </c>
      <c r="AL43" s="619">
        <f t="shared" ref="AL43:AQ43" si="9">$S$26</f>
        <v>0</v>
      </c>
      <c r="AM43" s="619">
        <f t="shared" si="9"/>
        <v>0</v>
      </c>
      <c r="AN43" s="619">
        <f t="shared" si="9"/>
        <v>0</v>
      </c>
      <c r="AO43" s="619">
        <f t="shared" si="9"/>
        <v>0</v>
      </c>
      <c r="AP43" s="619">
        <f t="shared" si="9"/>
        <v>0</v>
      </c>
      <c r="AQ43" s="619">
        <f t="shared" si="9"/>
        <v>0</v>
      </c>
      <c r="AR43" s="619">
        <f>$Z$26</f>
        <v>16057.439999999999</v>
      </c>
      <c r="AS43" s="619">
        <f>$AA$26</f>
        <v>22007.16</v>
      </c>
      <c r="AT43" s="619">
        <f>$AB$26</f>
        <v>16168.949999999999</v>
      </c>
      <c r="AU43" s="619">
        <f>$AD$26</f>
        <v>18956.699999999997</v>
      </c>
      <c r="AV43" s="619">
        <f>$AE$26</f>
        <v>19514.25</v>
      </c>
      <c r="AW43" s="619">
        <f>$AF$26</f>
        <v>21409.919999999998</v>
      </c>
    </row>
    <row r="44" spans="1:49" x14ac:dyDescent="0.3">
      <c r="A44" s="313" t="s">
        <v>308</v>
      </c>
      <c r="B44" s="272"/>
      <c r="C44" s="272"/>
      <c r="D44" s="272"/>
      <c r="E44" s="272"/>
      <c r="F44" s="272"/>
      <c r="G44" s="272"/>
      <c r="H44" s="272"/>
      <c r="I44" s="272"/>
      <c r="J44" s="272"/>
      <c r="K44" s="272"/>
      <c r="L44" s="272"/>
      <c r="M44" s="272"/>
      <c r="N44" s="272"/>
      <c r="O44" s="272"/>
      <c r="P44" s="272"/>
      <c r="Q44" s="272"/>
      <c r="R44" s="272"/>
      <c r="S44" s="272"/>
      <c r="T44" s="272"/>
      <c r="U44" s="272"/>
      <c r="V44" s="272"/>
      <c r="W44" s="272"/>
      <c r="X44" s="272"/>
      <c r="Y44" s="272"/>
      <c r="Z44" s="272"/>
      <c r="AA44" s="272"/>
      <c r="AB44" s="272"/>
      <c r="AC44" s="272"/>
      <c r="AD44" s="272"/>
      <c r="AE44" s="272"/>
      <c r="AF44" s="286">
        <f>$N$26</f>
        <v>0</v>
      </c>
      <c r="AG44" s="314">
        <f>$N$26</f>
        <v>0</v>
      </c>
      <c r="AH44" s="272">
        <f>$O$26</f>
        <v>0</v>
      </c>
      <c r="AI44" s="272">
        <f>$P$26</f>
        <v>0</v>
      </c>
      <c r="AJ44" s="272">
        <f>$Q$26</f>
        <v>0</v>
      </c>
      <c r="AK44" s="272">
        <f>$R$26</f>
        <v>0</v>
      </c>
      <c r="AL44" s="619">
        <f t="shared" ref="AL44:AR44" si="10">$R$26</f>
        <v>0</v>
      </c>
      <c r="AM44" s="619">
        <f t="shared" si="10"/>
        <v>0</v>
      </c>
      <c r="AN44" s="619">
        <f t="shared" si="10"/>
        <v>0</v>
      </c>
      <c r="AO44" s="619">
        <f t="shared" si="10"/>
        <v>0</v>
      </c>
      <c r="AP44" s="619">
        <f t="shared" si="10"/>
        <v>0</v>
      </c>
      <c r="AQ44" s="619">
        <f t="shared" si="10"/>
        <v>0</v>
      </c>
      <c r="AR44" s="619">
        <f t="shared" si="10"/>
        <v>0</v>
      </c>
      <c r="AS44" s="619">
        <f>$Z$26</f>
        <v>16057.439999999999</v>
      </c>
      <c r="AT44" s="619">
        <f>$AA$26</f>
        <v>22007.16</v>
      </c>
      <c r="AU44" s="619">
        <f>$AB$26</f>
        <v>16168.949999999999</v>
      </c>
      <c r="AV44" s="619">
        <f>$AD$26</f>
        <v>18956.699999999997</v>
      </c>
      <c r="AW44" s="619">
        <f>$AE$26</f>
        <v>19514.25</v>
      </c>
    </row>
    <row r="45" spans="1:49" x14ac:dyDescent="0.3">
      <c r="A45" s="313" t="s">
        <v>309</v>
      </c>
      <c r="B45" s="272"/>
      <c r="C45" s="272"/>
      <c r="D45" s="272"/>
      <c r="E45" s="272"/>
      <c r="F45" s="272"/>
      <c r="G45" s="272"/>
      <c r="H45" s="272"/>
      <c r="I45" s="272"/>
      <c r="J45" s="272"/>
      <c r="K45" s="272"/>
      <c r="L45" s="272"/>
      <c r="M45" s="272"/>
      <c r="N45" s="272"/>
      <c r="O45" s="272"/>
      <c r="P45" s="272"/>
      <c r="Q45" s="272"/>
      <c r="R45" s="272"/>
      <c r="S45" s="272"/>
      <c r="T45" s="272"/>
      <c r="U45" s="272"/>
      <c r="V45" s="272"/>
      <c r="W45" s="272"/>
      <c r="X45" s="272"/>
      <c r="Y45" s="272"/>
      <c r="Z45" s="272"/>
      <c r="AA45" s="272"/>
      <c r="AB45" s="272"/>
      <c r="AC45" s="272"/>
      <c r="AD45" s="272"/>
      <c r="AE45" s="272"/>
      <c r="AF45" s="272"/>
      <c r="AG45" s="286">
        <f>$N$26</f>
        <v>0</v>
      </c>
      <c r="AH45" s="314">
        <f>$N$26</f>
        <v>0</v>
      </c>
      <c r="AI45" s="272">
        <f>$O$26</f>
        <v>0</v>
      </c>
      <c r="AJ45" s="272">
        <f>$P$26</f>
        <v>0</v>
      </c>
      <c r="AK45" s="272">
        <f>$Q$26</f>
        <v>0</v>
      </c>
      <c r="AL45" s="619">
        <f t="shared" ref="AL45:AS45" si="11">$Q$26</f>
        <v>0</v>
      </c>
      <c r="AM45" s="619">
        <f t="shared" si="11"/>
        <v>0</v>
      </c>
      <c r="AN45" s="619">
        <f t="shared" si="11"/>
        <v>0</v>
      </c>
      <c r="AO45" s="619">
        <f t="shared" si="11"/>
        <v>0</v>
      </c>
      <c r="AP45" s="619">
        <f t="shared" si="11"/>
        <v>0</v>
      </c>
      <c r="AQ45" s="619">
        <f t="shared" si="11"/>
        <v>0</v>
      </c>
      <c r="AR45" s="619">
        <f t="shared" si="11"/>
        <v>0</v>
      </c>
      <c r="AS45" s="619">
        <f t="shared" si="11"/>
        <v>0</v>
      </c>
      <c r="AT45" s="619">
        <f>$Z$26</f>
        <v>16057.439999999999</v>
      </c>
      <c r="AU45" s="619">
        <f>$AA$26</f>
        <v>22007.16</v>
      </c>
      <c r="AV45" s="619">
        <f>$AB$26</f>
        <v>16168.949999999999</v>
      </c>
      <c r="AW45" s="619">
        <f>$AD$26</f>
        <v>18956.699999999997</v>
      </c>
    </row>
    <row r="46" spans="1:49" x14ac:dyDescent="0.3">
      <c r="A46" s="313" t="s">
        <v>310</v>
      </c>
      <c r="B46" s="272"/>
      <c r="C46" s="272"/>
      <c r="D46" s="272"/>
      <c r="E46" s="272"/>
      <c r="F46" s="272"/>
      <c r="G46" s="272"/>
      <c r="H46" s="272"/>
      <c r="I46" s="272"/>
      <c r="J46" s="272"/>
      <c r="K46" s="272"/>
      <c r="L46" s="272"/>
      <c r="M46" s="272"/>
      <c r="N46" s="272"/>
      <c r="O46" s="272"/>
      <c r="P46" s="272"/>
      <c r="Q46" s="272"/>
      <c r="R46" s="272"/>
      <c r="S46" s="272"/>
      <c r="T46" s="272"/>
      <c r="U46" s="272"/>
      <c r="V46" s="272"/>
      <c r="W46" s="272"/>
      <c r="X46" s="272"/>
      <c r="Y46" s="272"/>
      <c r="Z46" s="272"/>
      <c r="AA46" s="272"/>
      <c r="AB46" s="272"/>
      <c r="AC46" s="272"/>
      <c r="AD46" s="272"/>
      <c r="AE46" s="272"/>
      <c r="AF46" s="272"/>
      <c r="AG46" s="272"/>
      <c r="AH46" s="286">
        <f>$N$26</f>
        <v>0</v>
      </c>
      <c r="AI46" s="314">
        <f>$N$26</f>
        <v>0</v>
      </c>
      <c r="AJ46" s="272">
        <f>$O$26</f>
        <v>0</v>
      </c>
      <c r="AK46" s="272">
        <f>$P$26</f>
        <v>0</v>
      </c>
      <c r="AL46" s="619">
        <f t="shared" ref="AL46:AT46" si="12">$P$26</f>
        <v>0</v>
      </c>
      <c r="AM46" s="619">
        <f t="shared" si="12"/>
        <v>0</v>
      </c>
      <c r="AN46" s="619">
        <f t="shared" si="12"/>
        <v>0</v>
      </c>
      <c r="AO46" s="619">
        <f t="shared" si="12"/>
        <v>0</v>
      </c>
      <c r="AP46" s="619">
        <f t="shared" si="12"/>
        <v>0</v>
      </c>
      <c r="AQ46" s="619">
        <f t="shared" si="12"/>
        <v>0</v>
      </c>
      <c r="AR46" s="619">
        <f t="shared" si="12"/>
        <v>0</v>
      </c>
      <c r="AS46" s="619">
        <f t="shared" si="12"/>
        <v>0</v>
      </c>
      <c r="AT46" s="619">
        <f t="shared" si="12"/>
        <v>0</v>
      </c>
      <c r="AU46" s="619">
        <f>$Z$26</f>
        <v>16057.439999999999</v>
      </c>
      <c r="AV46" s="619">
        <f>$AA$26</f>
        <v>22007.16</v>
      </c>
      <c r="AW46" s="619">
        <f>$AB$26</f>
        <v>16168.949999999999</v>
      </c>
    </row>
    <row r="47" spans="1:49" x14ac:dyDescent="0.3">
      <c r="A47" s="313" t="s">
        <v>311</v>
      </c>
      <c r="B47" s="272"/>
      <c r="C47" s="272"/>
      <c r="D47" s="272"/>
      <c r="E47" s="272"/>
      <c r="F47" s="272"/>
      <c r="G47" s="272"/>
      <c r="H47" s="272"/>
      <c r="I47" s="272"/>
      <c r="J47" s="272"/>
      <c r="K47" s="272"/>
      <c r="L47" s="272"/>
      <c r="M47" s="272"/>
      <c r="N47" s="272"/>
      <c r="O47" s="272"/>
      <c r="P47" s="272"/>
      <c r="Q47" s="272"/>
      <c r="R47" s="272"/>
      <c r="S47" s="272"/>
      <c r="T47" s="272"/>
      <c r="U47" s="272"/>
      <c r="V47" s="272"/>
      <c r="W47" s="272"/>
      <c r="X47" s="272"/>
      <c r="Y47" s="272"/>
      <c r="Z47" s="272"/>
      <c r="AA47" s="272"/>
      <c r="AB47" s="272"/>
      <c r="AC47" s="272"/>
      <c r="AD47" s="272"/>
      <c r="AE47" s="272"/>
      <c r="AF47" s="272"/>
      <c r="AG47" s="272"/>
      <c r="AH47" s="272"/>
      <c r="AI47" s="286">
        <f>$N$26</f>
        <v>0</v>
      </c>
      <c r="AJ47" s="314">
        <f>$N$26</f>
        <v>0</v>
      </c>
      <c r="AK47" s="272">
        <f>$O$26</f>
        <v>0</v>
      </c>
      <c r="AL47" s="619">
        <f t="shared" ref="AL47:AU47" si="13">$O$26</f>
        <v>0</v>
      </c>
      <c r="AM47" s="619">
        <f t="shared" si="13"/>
        <v>0</v>
      </c>
      <c r="AN47" s="619">
        <f t="shared" si="13"/>
        <v>0</v>
      </c>
      <c r="AO47" s="619">
        <f t="shared" si="13"/>
        <v>0</v>
      </c>
      <c r="AP47" s="619">
        <f t="shared" si="13"/>
        <v>0</v>
      </c>
      <c r="AQ47" s="619">
        <f t="shared" si="13"/>
        <v>0</v>
      </c>
      <c r="AR47" s="619">
        <f t="shared" si="13"/>
        <v>0</v>
      </c>
      <c r="AS47" s="619">
        <f t="shared" si="13"/>
        <v>0</v>
      </c>
      <c r="AT47" s="619">
        <f t="shared" si="13"/>
        <v>0</v>
      </c>
      <c r="AU47" s="619">
        <f t="shared" si="13"/>
        <v>0</v>
      </c>
      <c r="AV47" s="619">
        <f>$Z$26</f>
        <v>16057.439999999999</v>
      </c>
      <c r="AW47" s="619">
        <f>$AA$26</f>
        <v>22007.16</v>
      </c>
    </row>
    <row r="48" spans="1:49" x14ac:dyDescent="0.3">
      <c r="A48" s="313" t="s">
        <v>312</v>
      </c>
      <c r="B48" s="272"/>
      <c r="C48" s="272"/>
      <c r="D48" s="272"/>
      <c r="E48" s="272"/>
      <c r="F48" s="272"/>
      <c r="G48" s="272"/>
      <c r="H48" s="272"/>
      <c r="I48" s="272"/>
      <c r="J48" s="272"/>
      <c r="K48" s="272"/>
      <c r="L48" s="272"/>
      <c r="M48" s="272"/>
      <c r="N48" s="272"/>
      <c r="O48" s="272"/>
      <c r="P48" s="272"/>
      <c r="Q48" s="272"/>
      <c r="R48" s="272"/>
      <c r="S48" s="272"/>
      <c r="T48" s="272"/>
      <c r="U48" s="272"/>
      <c r="V48" s="272"/>
      <c r="W48" s="272"/>
      <c r="X48" s="272"/>
      <c r="Y48" s="272"/>
      <c r="Z48" s="272"/>
      <c r="AA48" s="272"/>
      <c r="AB48" s="272"/>
      <c r="AC48" s="272"/>
      <c r="AD48" s="272"/>
      <c r="AE48" s="272"/>
      <c r="AF48" s="272"/>
      <c r="AG48" s="272"/>
      <c r="AH48" s="272"/>
      <c r="AI48" s="272"/>
      <c r="AJ48" s="286">
        <f>$N$26</f>
        <v>0</v>
      </c>
      <c r="AK48" s="314">
        <f>$N$26</f>
        <v>0</v>
      </c>
      <c r="AL48" s="621">
        <f t="shared" ref="AL48:AW61" si="14">$N$26</f>
        <v>0</v>
      </c>
      <c r="AM48" s="621">
        <f t="shared" si="14"/>
        <v>0</v>
      </c>
      <c r="AN48" s="621">
        <f t="shared" si="14"/>
        <v>0</v>
      </c>
      <c r="AO48" s="621">
        <f t="shared" si="14"/>
        <v>0</v>
      </c>
      <c r="AP48" s="621">
        <f t="shared" si="14"/>
        <v>0</v>
      </c>
      <c r="AQ48" s="621">
        <f t="shared" si="14"/>
        <v>0</v>
      </c>
      <c r="AR48" s="621">
        <f t="shared" si="14"/>
        <v>0</v>
      </c>
      <c r="AS48" s="621">
        <f t="shared" si="14"/>
        <v>0</v>
      </c>
      <c r="AT48" s="621">
        <f t="shared" si="14"/>
        <v>0</v>
      </c>
      <c r="AU48" s="621">
        <f t="shared" si="14"/>
        <v>0</v>
      </c>
      <c r="AV48" s="621">
        <f t="shared" si="14"/>
        <v>0</v>
      </c>
      <c r="AW48" s="619">
        <f>$Z$26</f>
        <v>16057.439999999999</v>
      </c>
    </row>
    <row r="49" spans="1:49" x14ac:dyDescent="0.3">
      <c r="A49" s="313" t="s">
        <v>313</v>
      </c>
      <c r="B49" s="272"/>
      <c r="C49" s="272"/>
      <c r="D49" s="272"/>
      <c r="E49" s="272"/>
      <c r="F49" s="272"/>
      <c r="G49" s="272"/>
      <c r="H49" s="272"/>
      <c r="I49" s="272"/>
      <c r="J49" s="272"/>
      <c r="K49" s="272"/>
      <c r="L49" s="272"/>
      <c r="M49" s="272"/>
      <c r="N49" s="272"/>
      <c r="O49" s="272"/>
      <c r="P49" s="272"/>
      <c r="Q49" s="272"/>
      <c r="R49" s="272"/>
      <c r="S49" s="272"/>
      <c r="T49" s="272"/>
      <c r="U49" s="272"/>
      <c r="V49" s="272"/>
      <c r="W49" s="272"/>
      <c r="X49" s="272"/>
      <c r="Y49" s="272"/>
      <c r="Z49" s="272"/>
      <c r="AA49" s="272"/>
      <c r="AB49" s="272"/>
      <c r="AC49" s="272"/>
      <c r="AD49" s="272"/>
      <c r="AE49" s="272"/>
      <c r="AF49" s="272"/>
      <c r="AG49" s="272"/>
      <c r="AH49" s="272"/>
      <c r="AI49" s="272"/>
      <c r="AJ49" s="272"/>
      <c r="AK49" s="286">
        <f>$N$26</f>
        <v>0</v>
      </c>
      <c r="AL49" s="619">
        <f t="shared" si="14"/>
        <v>0</v>
      </c>
      <c r="AM49" s="619">
        <f t="shared" si="14"/>
        <v>0</v>
      </c>
      <c r="AN49" s="619">
        <f t="shared" si="14"/>
        <v>0</v>
      </c>
      <c r="AO49" s="619">
        <f t="shared" si="14"/>
        <v>0</v>
      </c>
      <c r="AP49" s="619">
        <f t="shared" si="14"/>
        <v>0</v>
      </c>
      <c r="AQ49" s="619">
        <f t="shared" si="14"/>
        <v>0</v>
      </c>
      <c r="AR49" s="619">
        <f t="shared" si="14"/>
        <v>0</v>
      </c>
      <c r="AS49" s="619">
        <f t="shared" si="14"/>
        <v>0</v>
      </c>
      <c r="AT49" s="619">
        <f t="shared" si="14"/>
        <v>0</v>
      </c>
      <c r="AU49" s="619">
        <f t="shared" si="14"/>
        <v>0</v>
      </c>
      <c r="AV49" s="619">
        <f t="shared" si="14"/>
        <v>0</v>
      </c>
      <c r="AW49" s="619">
        <f t="shared" si="14"/>
        <v>0</v>
      </c>
    </row>
    <row r="50" spans="1:49" x14ac:dyDescent="0.3">
      <c r="A50" s="618" t="s">
        <v>773</v>
      </c>
      <c r="B50" s="272"/>
      <c r="C50" s="272"/>
      <c r="D50" s="272"/>
      <c r="E50" s="272"/>
      <c r="F50" s="272"/>
      <c r="G50" s="272"/>
      <c r="H50" s="272"/>
      <c r="I50" s="272"/>
      <c r="J50" s="272"/>
      <c r="K50" s="272"/>
      <c r="L50" s="272"/>
      <c r="M50" s="272"/>
      <c r="N50" s="272"/>
      <c r="O50" s="272"/>
      <c r="P50" s="272"/>
      <c r="Q50" s="272"/>
      <c r="R50" s="272"/>
      <c r="S50" s="272"/>
      <c r="T50" s="272"/>
      <c r="U50" s="272"/>
      <c r="V50" s="272"/>
      <c r="W50" s="272"/>
      <c r="X50" s="272"/>
      <c r="Y50" s="272"/>
      <c r="Z50" s="272"/>
      <c r="AA50" s="272"/>
      <c r="AB50" s="272"/>
      <c r="AC50" s="272"/>
      <c r="AD50" s="272"/>
      <c r="AE50" s="272"/>
      <c r="AF50" s="272"/>
      <c r="AG50" s="272"/>
      <c r="AH50" s="272"/>
      <c r="AI50" s="272"/>
      <c r="AJ50" s="286"/>
      <c r="AK50" s="314"/>
      <c r="AL50" s="620">
        <f t="shared" si="14"/>
        <v>0</v>
      </c>
      <c r="AM50" s="624">
        <f t="shared" si="14"/>
        <v>0</v>
      </c>
      <c r="AN50" s="624">
        <f t="shared" si="14"/>
        <v>0</v>
      </c>
      <c r="AO50" s="624">
        <f t="shared" si="14"/>
        <v>0</v>
      </c>
      <c r="AP50" s="624">
        <f t="shared" si="14"/>
        <v>0</v>
      </c>
      <c r="AQ50" s="624">
        <f t="shared" si="14"/>
        <v>0</v>
      </c>
      <c r="AR50" s="624">
        <f t="shared" si="14"/>
        <v>0</v>
      </c>
      <c r="AS50" s="624">
        <f t="shared" si="14"/>
        <v>0</v>
      </c>
      <c r="AT50" s="624">
        <f t="shared" si="14"/>
        <v>0</v>
      </c>
      <c r="AU50" s="624">
        <f t="shared" si="14"/>
        <v>0</v>
      </c>
      <c r="AV50" s="624">
        <f t="shared" si="14"/>
        <v>0</v>
      </c>
      <c r="AW50" s="624">
        <f t="shared" si="14"/>
        <v>0</v>
      </c>
    </row>
    <row r="51" spans="1:49" x14ac:dyDescent="0.3">
      <c r="A51" s="618" t="s">
        <v>774</v>
      </c>
      <c r="B51" s="272"/>
      <c r="C51" s="272"/>
      <c r="D51" s="272"/>
      <c r="E51" s="272"/>
      <c r="F51" s="272"/>
      <c r="G51" s="272"/>
      <c r="H51" s="272"/>
      <c r="I51" s="272"/>
      <c r="J51" s="272"/>
      <c r="K51" s="272"/>
      <c r="L51" s="272"/>
      <c r="M51" s="272"/>
      <c r="N51" s="272"/>
      <c r="O51" s="272"/>
      <c r="P51" s="272"/>
      <c r="Q51" s="272"/>
      <c r="R51" s="272"/>
      <c r="S51" s="272"/>
      <c r="T51" s="272"/>
      <c r="U51" s="272"/>
      <c r="V51" s="272"/>
      <c r="W51" s="272"/>
      <c r="X51" s="272"/>
      <c r="Y51" s="272"/>
      <c r="Z51" s="272"/>
      <c r="AA51" s="272"/>
      <c r="AB51" s="272"/>
      <c r="AC51" s="272"/>
      <c r="AD51" s="272"/>
      <c r="AE51" s="272"/>
      <c r="AF51" s="272"/>
      <c r="AG51" s="272"/>
      <c r="AH51" s="272"/>
      <c r="AI51" s="272"/>
      <c r="AJ51" s="286"/>
      <c r="AK51" s="314"/>
      <c r="AL51" s="618"/>
      <c r="AM51" s="620">
        <f t="shared" si="14"/>
        <v>0</v>
      </c>
      <c r="AN51" s="624">
        <f t="shared" si="14"/>
        <v>0</v>
      </c>
      <c r="AO51" s="624">
        <f t="shared" si="14"/>
        <v>0</v>
      </c>
      <c r="AP51" s="624">
        <f t="shared" si="14"/>
        <v>0</v>
      </c>
      <c r="AQ51" s="624">
        <f t="shared" si="14"/>
        <v>0</v>
      </c>
      <c r="AR51" s="624">
        <f t="shared" si="14"/>
        <v>0</v>
      </c>
      <c r="AS51" s="624">
        <f t="shared" si="14"/>
        <v>0</v>
      </c>
      <c r="AT51" s="624">
        <f t="shared" si="14"/>
        <v>0</v>
      </c>
      <c r="AU51" s="624">
        <f t="shared" si="14"/>
        <v>0</v>
      </c>
      <c r="AV51" s="624">
        <f t="shared" si="14"/>
        <v>0</v>
      </c>
      <c r="AW51" s="624">
        <f t="shared" si="14"/>
        <v>0</v>
      </c>
    </row>
    <row r="52" spans="1:49" x14ac:dyDescent="0.3">
      <c r="A52" s="618" t="s">
        <v>775</v>
      </c>
      <c r="B52" s="272"/>
      <c r="C52" s="272"/>
      <c r="D52" s="272"/>
      <c r="E52" s="272"/>
      <c r="F52" s="272"/>
      <c r="G52" s="272"/>
      <c r="H52" s="272"/>
      <c r="I52" s="272"/>
      <c r="J52" s="272"/>
      <c r="K52" s="272"/>
      <c r="L52" s="272"/>
      <c r="M52" s="272"/>
      <c r="N52" s="272"/>
      <c r="O52" s="272"/>
      <c r="P52" s="272"/>
      <c r="Q52" s="272"/>
      <c r="R52" s="272"/>
      <c r="S52" s="272"/>
      <c r="T52" s="272"/>
      <c r="U52" s="272"/>
      <c r="V52" s="272"/>
      <c r="W52" s="272"/>
      <c r="X52" s="272"/>
      <c r="Y52" s="272"/>
      <c r="Z52" s="272"/>
      <c r="AA52" s="272"/>
      <c r="AB52" s="272"/>
      <c r="AC52" s="272"/>
      <c r="AD52" s="272"/>
      <c r="AE52" s="272"/>
      <c r="AF52" s="272"/>
      <c r="AG52" s="272"/>
      <c r="AH52" s="272"/>
      <c r="AI52" s="272"/>
      <c r="AJ52" s="286"/>
      <c r="AK52" s="314"/>
      <c r="AL52" s="618"/>
      <c r="AM52" s="618"/>
      <c r="AN52" s="620">
        <f t="shared" si="14"/>
        <v>0</v>
      </c>
      <c r="AO52" s="624">
        <f t="shared" si="14"/>
        <v>0</v>
      </c>
      <c r="AP52" s="624">
        <f t="shared" si="14"/>
        <v>0</v>
      </c>
      <c r="AQ52" s="624">
        <f t="shared" si="14"/>
        <v>0</v>
      </c>
      <c r="AR52" s="624">
        <f t="shared" si="14"/>
        <v>0</v>
      </c>
      <c r="AS52" s="624">
        <f t="shared" si="14"/>
        <v>0</v>
      </c>
      <c r="AT52" s="624">
        <f t="shared" si="14"/>
        <v>0</v>
      </c>
      <c r="AU52" s="624">
        <f t="shared" si="14"/>
        <v>0</v>
      </c>
      <c r="AV52" s="624">
        <f t="shared" si="14"/>
        <v>0</v>
      </c>
      <c r="AW52" s="624">
        <f t="shared" si="14"/>
        <v>0</v>
      </c>
    </row>
    <row r="53" spans="1:49" x14ac:dyDescent="0.3">
      <c r="A53" s="618" t="s">
        <v>776</v>
      </c>
      <c r="B53" s="272"/>
      <c r="C53" s="272"/>
      <c r="D53" s="272"/>
      <c r="E53" s="272"/>
      <c r="F53" s="272"/>
      <c r="G53" s="272"/>
      <c r="H53" s="272"/>
      <c r="I53" s="272"/>
      <c r="J53" s="272"/>
      <c r="K53" s="272"/>
      <c r="L53" s="272"/>
      <c r="M53" s="272"/>
      <c r="N53" s="272"/>
      <c r="O53" s="272"/>
      <c r="P53" s="272"/>
      <c r="Q53" s="272"/>
      <c r="R53" s="272"/>
      <c r="S53" s="272"/>
      <c r="T53" s="272"/>
      <c r="U53" s="272"/>
      <c r="V53" s="272"/>
      <c r="W53" s="272"/>
      <c r="X53" s="272"/>
      <c r="Y53" s="272"/>
      <c r="Z53" s="272"/>
      <c r="AA53" s="272"/>
      <c r="AB53" s="272"/>
      <c r="AC53" s="272"/>
      <c r="AD53" s="272"/>
      <c r="AE53" s="272"/>
      <c r="AF53" s="272"/>
      <c r="AG53" s="272"/>
      <c r="AH53" s="272"/>
      <c r="AI53" s="272"/>
      <c r="AJ53" s="286"/>
      <c r="AK53" s="314"/>
      <c r="AL53" s="618"/>
      <c r="AM53" s="618"/>
      <c r="AN53" s="618"/>
      <c r="AO53" s="620">
        <f t="shared" si="14"/>
        <v>0</v>
      </c>
      <c r="AP53" s="624">
        <f t="shared" si="14"/>
        <v>0</v>
      </c>
      <c r="AQ53" s="624">
        <f t="shared" si="14"/>
        <v>0</v>
      </c>
      <c r="AR53" s="624">
        <f t="shared" si="14"/>
        <v>0</v>
      </c>
      <c r="AS53" s="624">
        <f t="shared" si="14"/>
        <v>0</v>
      </c>
      <c r="AT53" s="624">
        <f t="shared" si="14"/>
        <v>0</v>
      </c>
      <c r="AU53" s="624">
        <f t="shared" si="14"/>
        <v>0</v>
      </c>
      <c r="AV53" s="624">
        <f t="shared" si="14"/>
        <v>0</v>
      </c>
      <c r="AW53" s="624">
        <f t="shared" si="14"/>
        <v>0</v>
      </c>
    </row>
    <row r="54" spans="1:49" x14ac:dyDescent="0.3">
      <c r="A54" s="618" t="s">
        <v>777</v>
      </c>
      <c r="B54" s="272"/>
      <c r="C54" s="272"/>
      <c r="D54" s="272"/>
      <c r="E54" s="272"/>
      <c r="F54" s="272"/>
      <c r="G54" s="272"/>
      <c r="H54" s="272"/>
      <c r="I54" s="272"/>
      <c r="J54" s="272"/>
      <c r="K54" s="272"/>
      <c r="L54" s="272"/>
      <c r="M54" s="272"/>
      <c r="N54" s="272"/>
      <c r="O54" s="272"/>
      <c r="P54" s="272"/>
      <c r="Q54" s="272"/>
      <c r="R54" s="272"/>
      <c r="S54" s="272"/>
      <c r="T54" s="272"/>
      <c r="U54" s="272"/>
      <c r="V54" s="272"/>
      <c r="W54" s="272"/>
      <c r="X54" s="272"/>
      <c r="Y54" s="272"/>
      <c r="Z54" s="272"/>
      <c r="AA54" s="272"/>
      <c r="AB54" s="272"/>
      <c r="AC54" s="272"/>
      <c r="AD54" s="272"/>
      <c r="AE54" s="272"/>
      <c r="AF54" s="272"/>
      <c r="AG54" s="272"/>
      <c r="AH54" s="272"/>
      <c r="AI54" s="272"/>
      <c r="AJ54" s="286"/>
      <c r="AK54" s="314"/>
      <c r="AL54" s="618"/>
      <c r="AM54" s="618"/>
      <c r="AN54" s="618"/>
      <c r="AO54" s="618"/>
      <c r="AP54" s="620">
        <f t="shared" si="14"/>
        <v>0</v>
      </c>
      <c r="AQ54" s="624">
        <f t="shared" si="14"/>
        <v>0</v>
      </c>
      <c r="AR54" s="624">
        <f t="shared" si="14"/>
        <v>0</v>
      </c>
      <c r="AS54" s="624">
        <f t="shared" si="14"/>
        <v>0</v>
      </c>
      <c r="AT54" s="624">
        <f t="shared" si="14"/>
        <v>0</v>
      </c>
      <c r="AU54" s="624">
        <f t="shared" si="14"/>
        <v>0</v>
      </c>
      <c r="AV54" s="624">
        <f t="shared" si="14"/>
        <v>0</v>
      </c>
      <c r="AW54" s="624">
        <f t="shared" si="14"/>
        <v>0</v>
      </c>
    </row>
    <row r="55" spans="1:49" x14ac:dyDescent="0.3">
      <c r="A55" s="618" t="s">
        <v>778</v>
      </c>
      <c r="B55" s="272"/>
      <c r="C55" s="272"/>
      <c r="D55" s="272"/>
      <c r="E55" s="272"/>
      <c r="F55" s="272"/>
      <c r="G55" s="272"/>
      <c r="H55" s="272"/>
      <c r="I55" s="272"/>
      <c r="J55" s="272"/>
      <c r="K55" s="272"/>
      <c r="L55" s="272"/>
      <c r="M55" s="272"/>
      <c r="N55" s="272"/>
      <c r="O55" s="272"/>
      <c r="P55" s="272"/>
      <c r="Q55" s="272"/>
      <c r="R55" s="272"/>
      <c r="S55" s="272"/>
      <c r="T55" s="272"/>
      <c r="U55" s="272"/>
      <c r="V55" s="272"/>
      <c r="W55" s="272"/>
      <c r="X55" s="272"/>
      <c r="Y55" s="272"/>
      <c r="Z55" s="272"/>
      <c r="AA55" s="272"/>
      <c r="AB55" s="272"/>
      <c r="AC55" s="272"/>
      <c r="AD55" s="272"/>
      <c r="AE55" s="272"/>
      <c r="AF55" s="272"/>
      <c r="AG55" s="272"/>
      <c r="AH55" s="272"/>
      <c r="AI55" s="272"/>
      <c r="AJ55" s="286"/>
      <c r="AK55" s="314"/>
      <c r="AL55" s="618"/>
      <c r="AM55" s="618"/>
      <c r="AN55" s="618"/>
      <c r="AO55" s="618"/>
      <c r="AP55" s="618"/>
      <c r="AQ55" s="620">
        <f t="shared" si="14"/>
        <v>0</v>
      </c>
      <c r="AR55" s="624">
        <f t="shared" si="14"/>
        <v>0</v>
      </c>
      <c r="AS55" s="624">
        <f t="shared" si="14"/>
        <v>0</v>
      </c>
      <c r="AT55" s="624">
        <f t="shared" si="14"/>
        <v>0</v>
      </c>
      <c r="AU55" s="624">
        <f t="shared" si="14"/>
        <v>0</v>
      </c>
      <c r="AV55" s="624">
        <f t="shared" si="14"/>
        <v>0</v>
      </c>
      <c r="AW55" s="624">
        <f t="shared" si="14"/>
        <v>0</v>
      </c>
    </row>
    <row r="56" spans="1:49" x14ac:dyDescent="0.3">
      <c r="A56" s="618" t="s">
        <v>779</v>
      </c>
      <c r="B56" s="272"/>
      <c r="C56" s="272"/>
      <c r="D56" s="272"/>
      <c r="E56" s="272"/>
      <c r="F56" s="272"/>
      <c r="G56" s="272"/>
      <c r="H56" s="272"/>
      <c r="I56" s="272"/>
      <c r="J56" s="272"/>
      <c r="K56" s="272"/>
      <c r="L56" s="272"/>
      <c r="M56" s="272"/>
      <c r="N56" s="272"/>
      <c r="O56" s="272"/>
      <c r="P56" s="272"/>
      <c r="Q56" s="272"/>
      <c r="R56" s="272"/>
      <c r="S56" s="272"/>
      <c r="T56" s="272"/>
      <c r="U56" s="272"/>
      <c r="V56" s="272"/>
      <c r="W56" s="272"/>
      <c r="X56" s="272"/>
      <c r="Y56" s="272"/>
      <c r="Z56" s="272"/>
      <c r="AA56" s="272"/>
      <c r="AB56" s="272"/>
      <c r="AC56" s="272"/>
      <c r="AD56" s="272"/>
      <c r="AE56" s="272"/>
      <c r="AF56" s="272"/>
      <c r="AG56" s="272"/>
      <c r="AH56" s="272"/>
      <c r="AI56" s="272"/>
      <c r="AJ56" s="286"/>
      <c r="AK56" s="314"/>
      <c r="AL56" s="618"/>
      <c r="AM56" s="618"/>
      <c r="AN56" s="618"/>
      <c r="AO56" s="618"/>
      <c r="AP56" s="618"/>
      <c r="AQ56" s="618"/>
      <c r="AR56" s="620">
        <f t="shared" si="14"/>
        <v>0</v>
      </c>
      <c r="AS56" s="624">
        <f t="shared" si="14"/>
        <v>0</v>
      </c>
      <c r="AT56" s="624">
        <f t="shared" si="14"/>
        <v>0</v>
      </c>
      <c r="AU56" s="624">
        <f t="shared" si="14"/>
        <v>0</v>
      </c>
      <c r="AV56" s="624">
        <f t="shared" si="14"/>
        <v>0</v>
      </c>
      <c r="AW56" s="624">
        <f t="shared" si="14"/>
        <v>0</v>
      </c>
    </row>
    <row r="57" spans="1:49" x14ac:dyDescent="0.3">
      <c r="A57" s="618" t="s">
        <v>780</v>
      </c>
      <c r="B57" s="272"/>
      <c r="C57" s="272"/>
      <c r="D57" s="272"/>
      <c r="E57" s="272"/>
      <c r="F57" s="272"/>
      <c r="G57" s="272"/>
      <c r="H57" s="272"/>
      <c r="I57" s="272"/>
      <c r="J57" s="272"/>
      <c r="K57" s="272"/>
      <c r="L57" s="272"/>
      <c r="M57" s="272"/>
      <c r="N57" s="272"/>
      <c r="O57" s="272"/>
      <c r="P57" s="272"/>
      <c r="Q57" s="272"/>
      <c r="R57" s="272"/>
      <c r="S57" s="272"/>
      <c r="T57" s="272"/>
      <c r="U57" s="272"/>
      <c r="V57" s="272"/>
      <c r="W57" s="272"/>
      <c r="X57" s="272"/>
      <c r="Y57" s="272"/>
      <c r="Z57" s="272"/>
      <c r="AA57" s="272"/>
      <c r="AB57" s="272"/>
      <c r="AC57" s="272"/>
      <c r="AD57" s="272"/>
      <c r="AE57" s="272"/>
      <c r="AF57" s="272"/>
      <c r="AG57" s="272"/>
      <c r="AH57" s="272"/>
      <c r="AI57" s="272"/>
      <c r="AJ57" s="286"/>
      <c r="AK57" s="314"/>
      <c r="AL57" s="618"/>
      <c r="AM57" s="618"/>
      <c r="AN57" s="618"/>
      <c r="AO57" s="618"/>
      <c r="AP57" s="618"/>
      <c r="AQ57" s="618"/>
      <c r="AR57" s="618"/>
      <c r="AS57" s="620">
        <f t="shared" si="14"/>
        <v>0</v>
      </c>
      <c r="AT57" s="624">
        <f t="shared" si="14"/>
        <v>0</v>
      </c>
      <c r="AU57" s="624">
        <f t="shared" si="14"/>
        <v>0</v>
      </c>
      <c r="AV57" s="624">
        <f t="shared" si="14"/>
        <v>0</v>
      </c>
      <c r="AW57" s="624">
        <f t="shared" si="14"/>
        <v>0</v>
      </c>
    </row>
    <row r="58" spans="1:49" x14ac:dyDescent="0.3">
      <c r="A58" s="618" t="s">
        <v>781</v>
      </c>
      <c r="B58" s="272"/>
      <c r="C58" s="272"/>
      <c r="D58" s="272"/>
      <c r="E58" s="272"/>
      <c r="F58" s="272"/>
      <c r="G58" s="272"/>
      <c r="H58" s="272"/>
      <c r="I58" s="272"/>
      <c r="J58" s="272"/>
      <c r="K58" s="272"/>
      <c r="L58" s="272"/>
      <c r="M58" s="272"/>
      <c r="N58" s="272"/>
      <c r="O58" s="272"/>
      <c r="P58" s="272"/>
      <c r="Q58" s="272"/>
      <c r="R58" s="272"/>
      <c r="S58" s="272"/>
      <c r="T58" s="272"/>
      <c r="U58" s="272"/>
      <c r="V58" s="272"/>
      <c r="W58" s="272"/>
      <c r="X58" s="272"/>
      <c r="Y58" s="272"/>
      <c r="Z58" s="272"/>
      <c r="AA58" s="272"/>
      <c r="AB58" s="272"/>
      <c r="AC58" s="272"/>
      <c r="AD58" s="272"/>
      <c r="AE58" s="272"/>
      <c r="AF58" s="272"/>
      <c r="AG58" s="272"/>
      <c r="AH58" s="272"/>
      <c r="AI58" s="272"/>
      <c r="AJ58" s="286"/>
      <c r="AK58" s="314"/>
      <c r="AL58" s="618"/>
      <c r="AM58" s="618"/>
      <c r="AN58" s="618"/>
      <c r="AO58" s="618"/>
      <c r="AP58" s="618"/>
      <c r="AQ58" s="618"/>
      <c r="AR58" s="618"/>
      <c r="AS58" s="618"/>
      <c r="AT58" s="620">
        <f t="shared" si="14"/>
        <v>0</v>
      </c>
      <c r="AU58" s="624">
        <f t="shared" si="14"/>
        <v>0</v>
      </c>
      <c r="AV58" s="624">
        <f t="shared" si="14"/>
        <v>0</v>
      </c>
      <c r="AW58" s="624">
        <f t="shared" si="14"/>
        <v>0</v>
      </c>
    </row>
    <row r="59" spans="1:49" x14ac:dyDescent="0.3">
      <c r="A59" s="618" t="s">
        <v>782</v>
      </c>
      <c r="B59" s="272"/>
      <c r="C59" s="272"/>
      <c r="D59" s="272"/>
      <c r="E59" s="272"/>
      <c r="F59" s="272"/>
      <c r="G59" s="272"/>
      <c r="H59" s="272"/>
      <c r="I59" s="272"/>
      <c r="J59" s="272"/>
      <c r="K59" s="272"/>
      <c r="L59" s="272"/>
      <c r="M59" s="272"/>
      <c r="N59" s="272"/>
      <c r="O59" s="272"/>
      <c r="P59" s="272"/>
      <c r="Q59" s="272"/>
      <c r="R59" s="272"/>
      <c r="S59" s="272"/>
      <c r="T59" s="272"/>
      <c r="U59" s="272"/>
      <c r="V59" s="272"/>
      <c r="W59" s="272"/>
      <c r="X59" s="272"/>
      <c r="Y59" s="272"/>
      <c r="Z59" s="272"/>
      <c r="AA59" s="272"/>
      <c r="AB59" s="272"/>
      <c r="AC59" s="272"/>
      <c r="AD59" s="272"/>
      <c r="AE59" s="272"/>
      <c r="AF59" s="272"/>
      <c r="AG59" s="272"/>
      <c r="AH59" s="272"/>
      <c r="AI59" s="272"/>
      <c r="AJ59" s="286"/>
      <c r="AK59" s="314"/>
      <c r="AL59" s="618"/>
      <c r="AM59" s="618"/>
      <c r="AN59" s="618"/>
      <c r="AO59" s="618"/>
      <c r="AP59" s="618"/>
      <c r="AQ59" s="618"/>
      <c r="AR59" s="618"/>
      <c r="AS59" s="618"/>
      <c r="AT59" s="618"/>
      <c r="AU59" s="620">
        <f t="shared" si="14"/>
        <v>0</v>
      </c>
      <c r="AV59" s="624">
        <f t="shared" si="14"/>
        <v>0</v>
      </c>
      <c r="AW59" s="624">
        <f t="shared" si="14"/>
        <v>0</v>
      </c>
    </row>
    <row r="60" spans="1:49" x14ac:dyDescent="0.3">
      <c r="A60" s="618" t="s">
        <v>783</v>
      </c>
      <c r="B60" s="272"/>
      <c r="C60" s="272"/>
      <c r="D60" s="272"/>
      <c r="E60" s="272"/>
      <c r="F60" s="272"/>
      <c r="G60" s="272"/>
      <c r="H60" s="272"/>
      <c r="I60" s="272"/>
      <c r="J60" s="272"/>
      <c r="K60" s="272"/>
      <c r="L60" s="272"/>
      <c r="M60" s="272"/>
      <c r="N60" s="272"/>
      <c r="O60" s="272"/>
      <c r="P60" s="272"/>
      <c r="Q60" s="272"/>
      <c r="R60" s="272"/>
      <c r="S60" s="272"/>
      <c r="T60" s="272"/>
      <c r="U60" s="272"/>
      <c r="V60" s="272"/>
      <c r="W60" s="272"/>
      <c r="X60" s="272"/>
      <c r="Y60" s="272"/>
      <c r="Z60" s="272"/>
      <c r="AA60" s="272"/>
      <c r="AB60" s="272"/>
      <c r="AC60" s="272"/>
      <c r="AD60" s="272"/>
      <c r="AE60" s="272"/>
      <c r="AF60" s="272"/>
      <c r="AG60" s="272"/>
      <c r="AH60" s="272"/>
      <c r="AI60" s="272"/>
      <c r="AJ60" s="286"/>
      <c r="AK60" s="314"/>
      <c r="AL60" s="618"/>
      <c r="AM60" s="618"/>
      <c r="AN60" s="618"/>
      <c r="AO60" s="618"/>
      <c r="AP60" s="618"/>
      <c r="AQ60" s="618"/>
      <c r="AR60" s="618"/>
      <c r="AS60" s="618"/>
      <c r="AT60" s="618"/>
      <c r="AU60" s="618"/>
      <c r="AV60" s="620">
        <f t="shared" si="14"/>
        <v>0</v>
      </c>
      <c r="AW60" s="624">
        <f t="shared" si="14"/>
        <v>0</v>
      </c>
    </row>
    <row r="61" spans="1:49" x14ac:dyDescent="0.3">
      <c r="A61" s="618" t="s">
        <v>784</v>
      </c>
      <c r="B61" s="272"/>
      <c r="C61" s="272"/>
      <c r="D61" s="272"/>
      <c r="E61" s="272"/>
      <c r="F61" s="272"/>
      <c r="G61" s="272"/>
      <c r="H61" s="272"/>
      <c r="I61" s="272"/>
      <c r="J61" s="272"/>
      <c r="K61" s="272"/>
      <c r="L61" s="272"/>
      <c r="M61" s="272"/>
      <c r="N61" s="272"/>
      <c r="O61" s="272"/>
      <c r="P61" s="272"/>
      <c r="Q61" s="272"/>
      <c r="R61" s="272"/>
      <c r="S61" s="272"/>
      <c r="T61" s="272"/>
      <c r="U61" s="272"/>
      <c r="V61" s="272"/>
      <c r="W61" s="272"/>
      <c r="X61" s="272"/>
      <c r="Y61" s="272"/>
      <c r="Z61" s="272"/>
      <c r="AA61" s="272"/>
      <c r="AB61" s="272"/>
      <c r="AC61" s="272"/>
      <c r="AD61" s="272"/>
      <c r="AE61" s="272"/>
      <c r="AF61" s="272"/>
      <c r="AG61" s="272"/>
      <c r="AH61" s="272"/>
      <c r="AI61" s="272"/>
      <c r="AJ61" s="272"/>
      <c r="AK61" s="286">
        <f>$N$26</f>
        <v>0</v>
      </c>
      <c r="AL61" s="618"/>
      <c r="AM61" s="618"/>
      <c r="AN61" s="618"/>
      <c r="AO61" s="618"/>
      <c r="AP61" s="618"/>
      <c r="AQ61" s="618"/>
      <c r="AR61" s="618"/>
      <c r="AS61" s="618"/>
      <c r="AT61" s="618"/>
      <c r="AU61" s="618"/>
      <c r="AV61" s="618"/>
      <c r="AW61" s="620">
        <f t="shared" si="14"/>
        <v>0</v>
      </c>
    </row>
    <row r="62" spans="1:49" x14ac:dyDescent="0.3">
      <c r="B62" s="272"/>
      <c r="C62" s="272"/>
      <c r="D62" s="272"/>
      <c r="E62" s="272"/>
      <c r="F62" s="272"/>
      <c r="G62" s="272"/>
      <c r="H62" s="272"/>
      <c r="I62" s="272"/>
      <c r="J62" s="272"/>
      <c r="K62" s="272"/>
      <c r="L62" s="272"/>
      <c r="M62" s="272"/>
      <c r="N62" s="272"/>
      <c r="O62" s="272"/>
      <c r="P62" s="272"/>
      <c r="Q62" s="272"/>
      <c r="R62" s="272"/>
      <c r="S62" s="272"/>
      <c r="T62" s="272"/>
      <c r="U62" s="272"/>
      <c r="V62" s="272"/>
      <c r="W62" s="272"/>
      <c r="X62" s="272"/>
      <c r="Y62" s="272"/>
      <c r="Z62" s="272"/>
      <c r="AA62" s="272"/>
      <c r="AB62" s="272"/>
      <c r="AC62" s="272"/>
      <c r="AD62" s="272"/>
      <c r="AE62" s="272"/>
      <c r="AF62" s="272"/>
      <c r="AG62" s="272"/>
      <c r="AH62" s="272"/>
      <c r="AI62" s="272"/>
      <c r="AJ62" s="272"/>
      <c r="AK62" s="272"/>
    </row>
    <row r="63" spans="1:49" x14ac:dyDescent="0.3">
      <c r="A63" s="313" t="s">
        <v>276</v>
      </c>
      <c r="B63" s="283">
        <f t="shared" ref="B63:AA63" si="15">SUM(B14:B61)</f>
        <v>0</v>
      </c>
      <c r="C63" s="283">
        <f t="shared" si="15"/>
        <v>0</v>
      </c>
      <c r="D63" s="283">
        <f t="shared" si="15"/>
        <v>0</v>
      </c>
      <c r="E63" s="283">
        <f t="shared" si="15"/>
        <v>0</v>
      </c>
      <c r="F63" s="283">
        <f t="shared" si="15"/>
        <v>0</v>
      </c>
      <c r="G63" s="283">
        <f t="shared" si="15"/>
        <v>0</v>
      </c>
      <c r="H63" s="283">
        <f t="shared" si="15"/>
        <v>0</v>
      </c>
      <c r="I63" s="283">
        <f t="shared" si="15"/>
        <v>0</v>
      </c>
      <c r="J63" s="283">
        <f t="shared" si="15"/>
        <v>0</v>
      </c>
      <c r="K63" s="283">
        <f t="shared" si="15"/>
        <v>0</v>
      </c>
      <c r="L63" s="283">
        <f t="shared" si="15"/>
        <v>0</v>
      </c>
      <c r="M63" s="283">
        <f t="shared" si="15"/>
        <v>0</v>
      </c>
      <c r="N63" s="283">
        <f t="shared" si="15"/>
        <v>16057.439999999999</v>
      </c>
      <c r="O63" s="283">
        <f t="shared" si="15"/>
        <v>38064.6</v>
      </c>
      <c r="P63" s="283">
        <f t="shared" si="15"/>
        <v>54233.55</v>
      </c>
      <c r="Q63" s="283">
        <f t="shared" si="15"/>
        <v>71629.11</v>
      </c>
      <c r="R63" s="283">
        <f t="shared" si="15"/>
        <v>90585.81</v>
      </c>
      <c r="S63" s="283">
        <f t="shared" si="15"/>
        <v>110100.06</v>
      </c>
      <c r="T63" s="283">
        <f t="shared" si="15"/>
        <v>131509.97999999998</v>
      </c>
      <c r="U63" s="283">
        <f t="shared" si="15"/>
        <v>156153.69</v>
      </c>
      <c r="V63" s="283">
        <f t="shared" si="15"/>
        <v>180016.83</v>
      </c>
      <c r="W63" s="283">
        <f t="shared" si="15"/>
        <v>203322.42</v>
      </c>
      <c r="X63" s="283">
        <f t="shared" si="15"/>
        <v>226962.54</v>
      </c>
      <c r="Y63" s="283">
        <f t="shared" si="15"/>
        <v>243131.49000000002</v>
      </c>
      <c r="Z63" s="283">
        <f t="shared" si="15"/>
        <v>269001.81</v>
      </c>
      <c r="AA63" s="283">
        <f t="shared" si="15"/>
        <v>292036.08032602089</v>
      </c>
      <c r="AB63" s="283">
        <f>SUM(AB14:AB61)</f>
        <v>290562.37172602094</v>
      </c>
      <c r="AC63" s="283">
        <f>SUM(AC14:AC61)</f>
        <v>324914.00732602092</v>
      </c>
      <c r="AD63" s="283">
        <f t="shared" ref="AD63:AW63" si="16">SUM(AD14:AD61)</f>
        <v>352453.15412602091</v>
      </c>
      <c r="AE63" s="283">
        <f t="shared" si="16"/>
        <v>377686.2741260209</v>
      </c>
      <c r="AF63" s="283">
        <f t="shared" si="16"/>
        <v>400396.08212602092</v>
      </c>
      <c r="AG63" s="283">
        <f t="shared" si="16"/>
        <v>420582.5781260209</v>
      </c>
      <c r="AH63" s="283">
        <f t="shared" si="16"/>
        <v>440769.07412602089</v>
      </c>
      <c r="AI63" s="283">
        <f t="shared" si="16"/>
        <v>470575.69712602091</v>
      </c>
      <c r="AJ63" s="283">
        <f t="shared" si="16"/>
        <v>500382.32012602093</v>
      </c>
      <c r="AK63" s="283">
        <f t="shared" si="16"/>
        <v>530188.94312602095</v>
      </c>
      <c r="AL63" s="283">
        <f t="shared" si="16"/>
        <v>559995.56612602097</v>
      </c>
      <c r="AM63" s="283">
        <f t="shared" si="16"/>
        <v>589802.18912602088</v>
      </c>
      <c r="AN63" s="283">
        <f t="shared" si="16"/>
        <v>619608.8121260209</v>
      </c>
      <c r="AO63" s="283">
        <f t="shared" si="16"/>
        <v>649415.43512602081</v>
      </c>
      <c r="AP63" s="283">
        <f t="shared" si="16"/>
        <v>679222.05812602083</v>
      </c>
      <c r="AQ63" s="283">
        <f t="shared" si="16"/>
        <v>709028.68112602085</v>
      </c>
      <c r="AR63" s="283">
        <f t="shared" si="16"/>
        <v>738835.30412602075</v>
      </c>
      <c r="AS63" s="283">
        <f t="shared" si="16"/>
        <v>768641.92712602078</v>
      </c>
      <c r="AT63" s="283">
        <f t="shared" si="16"/>
        <v>798448.55012602068</v>
      </c>
      <c r="AU63" s="283">
        <f t="shared" si="16"/>
        <v>828255.1731260207</v>
      </c>
      <c r="AV63" s="283">
        <f t="shared" si="16"/>
        <v>858061.79612602072</v>
      </c>
      <c r="AW63" s="283">
        <f t="shared" si="16"/>
        <v>887868.41912602074</v>
      </c>
    </row>
    <row r="64" spans="1:49" x14ac:dyDescent="0.3">
      <c r="Q64" s="254"/>
    </row>
    <row r="65" spans="1:49" x14ac:dyDescent="0.3">
      <c r="A65" s="313" t="s">
        <v>279</v>
      </c>
      <c r="B65" s="284">
        <f>K78</f>
        <v>0</v>
      </c>
      <c r="C65" s="284">
        <f t="shared" ref="C65:M65" si="17">B65-$L$78</f>
        <v>0</v>
      </c>
      <c r="D65" s="284">
        <f t="shared" si="17"/>
        <v>0</v>
      </c>
      <c r="E65" s="284">
        <f t="shared" si="17"/>
        <v>0</v>
      </c>
      <c r="F65" s="284">
        <f t="shared" si="17"/>
        <v>0</v>
      </c>
      <c r="G65" s="284">
        <f t="shared" si="17"/>
        <v>0</v>
      </c>
      <c r="H65" s="284">
        <f t="shared" si="17"/>
        <v>0</v>
      </c>
      <c r="I65" s="284">
        <f t="shared" si="17"/>
        <v>0</v>
      </c>
      <c r="J65" s="284">
        <f t="shared" si="17"/>
        <v>0</v>
      </c>
      <c r="K65" s="284">
        <f t="shared" si="17"/>
        <v>0</v>
      </c>
      <c r="L65" s="284">
        <f t="shared" si="17"/>
        <v>0</v>
      </c>
      <c r="M65" s="284">
        <f t="shared" si="17"/>
        <v>0</v>
      </c>
      <c r="N65" s="651">
        <v>260847.80462724934</v>
      </c>
      <c r="O65" s="284">
        <f t="shared" ref="O65:AW65" si="18">MAX(N65-$C$83-C82,0)</f>
        <v>167643.0396562255</v>
      </c>
      <c r="P65" s="284">
        <f t="shared" si="18"/>
        <v>118148.27468520167</v>
      </c>
      <c r="Q65" s="284">
        <f t="shared" si="18"/>
        <v>68653.509714177839</v>
      </c>
      <c r="R65" s="284">
        <f t="shared" si="18"/>
        <v>19158.744743154013</v>
      </c>
      <c r="S65" s="284">
        <f t="shared" si="18"/>
        <v>0</v>
      </c>
      <c r="T65" s="284">
        <f t="shared" si="18"/>
        <v>0</v>
      </c>
      <c r="U65" s="284">
        <f t="shared" si="18"/>
        <v>0</v>
      </c>
      <c r="V65" s="284">
        <f t="shared" si="18"/>
        <v>0</v>
      </c>
      <c r="W65" s="284">
        <f t="shared" si="18"/>
        <v>0</v>
      </c>
      <c r="X65" s="284">
        <f t="shared" si="18"/>
        <v>0</v>
      </c>
      <c r="Y65" s="284">
        <f t="shared" si="18"/>
        <v>0</v>
      </c>
      <c r="Z65" s="284">
        <f t="shared" si="18"/>
        <v>0</v>
      </c>
      <c r="AA65" s="284">
        <f t="shared" si="18"/>
        <v>0</v>
      </c>
      <c r="AB65" s="284">
        <f t="shared" si="18"/>
        <v>0</v>
      </c>
      <c r="AC65" s="284">
        <f t="shared" si="18"/>
        <v>0</v>
      </c>
      <c r="AD65" s="284">
        <f t="shared" si="18"/>
        <v>0</v>
      </c>
      <c r="AE65" s="284">
        <f t="shared" si="18"/>
        <v>0</v>
      </c>
      <c r="AF65" s="284">
        <f t="shared" si="18"/>
        <v>0</v>
      </c>
      <c r="AG65" s="284">
        <f t="shared" si="18"/>
        <v>0</v>
      </c>
      <c r="AH65" s="284">
        <f t="shared" si="18"/>
        <v>0</v>
      </c>
      <c r="AI65" s="284">
        <f t="shared" si="18"/>
        <v>0</v>
      </c>
      <c r="AJ65" s="284">
        <f t="shared" si="18"/>
        <v>0</v>
      </c>
      <c r="AK65" s="284">
        <f t="shared" si="18"/>
        <v>0</v>
      </c>
      <c r="AL65" s="284">
        <f t="shared" si="18"/>
        <v>0</v>
      </c>
      <c r="AM65" s="284">
        <f t="shared" si="18"/>
        <v>0</v>
      </c>
      <c r="AN65" s="284">
        <f t="shared" si="18"/>
        <v>0</v>
      </c>
      <c r="AO65" s="284">
        <f t="shared" si="18"/>
        <v>0</v>
      </c>
      <c r="AP65" s="284">
        <f t="shared" si="18"/>
        <v>0</v>
      </c>
      <c r="AQ65" s="284">
        <f t="shared" si="18"/>
        <v>0</v>
      </c>
      <c r="AR65" s="284">
        <f t="shared" si="18"/>
        <v>0</v>
      </c>
      <c r="AS65" s="284">
        <f t="shared" si="18"/>
        <v>0</v>
      </c>
      <c r="AT65" s="284">
        <f t="shared" si="18"/>
        <v>0</v>
      </c>
      <c r="AU65" s="284">
        <f t="shared" si="18"/>
        <v>0</v>
      </c>
      <c r="AV65" s="284">
        <f t="shared" si="18"/>
        <v>0</v>
      </c>
      <c r="AW65" s="284">
        <f t="shared" si="18"/>
        <v>0</v>
      </c>
    </row>
    <row r="66" spans="1:49" ht="13.5" thickBot="1" x14ac:dyDescent="0.35">
      <c r="A66" s="313" t="s">
        <v>375</v>
      </c>
      <c r="B66" s="285">
        <f t="shared" ref="B66:M66" si="19">B67</f>
        <v>242213.62797794119</v>
      </c>
      <c r="C66" s="285">
        <f t="shared" si="19"/>
        <v>219405.35115619653</v>
      </c>
      <c r="D66" s="285">
        <f t="shared" si="19"/>
        <v>225309.26849148984</v>
      </c>
      <c r="E66" s="285">
        <f t="shared" si="19"/>
        <v>252784.38380696421</v>
      </c>
      <c r="F66" s="285">
        <f t="shared" si="19"/>
        <v>263416.23156794423</v>
      </c>
      <c r="G66" s="285">
        <f t="shared" si="19"/>
        <v>255558.36004504506</v>
      </c>
      <c r="H66" s="285">
        <f t="shared" si="19"/>
        <v>254678.50221319796</v>
      </c>
      <c r="I66" s="285">
        <f t="shared" si="19"/>
        <v>279194.02613816533</v>
      </c>
      <c r="J66" s="285">
        <f t="shared" si="19"/>
        <v>290679.45922372438</v>
      </c>
      <c r="K66" s="285">
        <f t="shared" si="19"/>
        <v>291794.5817965765</v>
      </c>
      <c r="L66" s="285">
        <f t="shared" si="19"/>
        <v>302128.20705103443</v>
      </c>
      <c r="M66" s="285">
        <f t="shared" si="19"/>
        <v>259641.98895027622</v>
      </c>
      <c r="N66" s="285">
        <f>N65</f>
        <v>260847.80462724934</v>
      </c>
      <c r="O66" s="285">
        <f>O65+O63</f>
        <v>205707.63965622551</v>
      </c>
      <c r="P66" s="285">
        <f t="shared" ref="P66:AW66" si="20">P65+P63</f>
        <v>172381.82468520169</v>
      </c>
      <c r="Q66" s="285">
        <f t="shared" si="20"/>
        <v>140282.61971417785</v>
      </c>
      <c r="R66" s="285">
        <f t="shared" si="20"/>
        <v>109744.554743154</v>
      </c>
      <c r="S66" s="285">
        <f t="shared" si="20"/>
        <v>110100.06</v>
      </c>
      <c r="T66" s="285">
        <f t="shared" si="20"/>
        <v>131509.97999999998</v>
      </c>
      <c r="U66" s="285">
        <f t="shared" si="20"/>
        <v>156153.69</v>
      </c>
      <c r="V66" s="285">
        <f t="shared" si="20"/>
        <v>180016.83</v>
      </c>
      <c r="W66" s="285">
        <f t="shared" si="20"/>
        <v>203322.42</v>
      </c>
      <c r="X66" s="285">
        <f t="shared" si="20"/>
        <v>226962.54</v>
      </c>
      <c r="Y66" s="285">
        <f t="shared" si="20"/>
        <v>243131.49000000002</v>
      </c>
      <c r="Z66" s="285">
        <f t="shared" si="20"/>
        <v>269001.81</v>
      </c>
      <c r="AA66" s="285">
        <f t="shared" si="20"/>
        <v>292036.08032602089</v>
      </c>
      <c r="AB66" s="285">
        <f t="shared" si="20"/>
        <v>290562.37172602094</v>
      </c>
      <c r="AC66" s="285">
        <f t="shared" si="20"/>
        <v>324914.00732602092</v>
      </c>
      <c r="AD66" s="285">
        <f t="shared" si="20"/>
        <v>352453.15412602091</v>
      </c>
      <c r="AE66" s="285">
        <f t="shared" si="20"/>
        <v>377686.2741260209</v>
      </c>
      <c r="AF66" s="285">
        <f t="shared" si="20"/>
        <v>400396.08212602092</v>
      </c>
      <c r="AG66" s="285">
        <f t="shared" si="20"/>
        <v>420582.5781260209</v>
      </c>
      <c r="AH66" s="285">
        <f t="shared" si="20"/>
        <v>440769.07412602089</v>
      </c>
      <c r="AI66" s="285">
        <f t="shared" si="20"/>
        <v>470575.69712602091</v>
      </c>
      <c r="AJ66" s="285">
        <f t="shared" si="20"/>
        <v>500382.32012602093</v>
      </c>
      <c r="AK66" s="285">
        <f t="shared" si="20"/>
        <v>530188.94312602095</v>
      </c>
      <c r="AL66" s="285">
        <f t="shared" si="20"/>
        <v>559995.56612602097</v>
      </c>
      <c r="AM66" s="285">
        <f t="shared" si="20"/>
        <v>589802.18912602088</v>
      </c>
      <c r="AN66" s="285">
        <f t="shared" si="20"/>
        <v>619608.8121260209</v>
      </c>
      <c r="AO66" s="285">
        <f t="shared" si="20"/>
        <v>649415.43512602081</v>
      </c>
      <c r="AP66" s="285">
        <f t="shared" si="20"/>
        <v>679222.05812602083</v>
      </c>
      <c r="AQ66" s="285">
        <f t="shared" si="20"/>
        <v>709028.68112602085</v>
      </c>
      <c r="AR66" s="285">
        <f t="shared" si="20"/>
        <v>738835.30412602075</v>
      </c>
      <c r="AS66" s="285">
        <f t="shared" si="20"/>
        <v>768641.92712602078</v>
      </c>
      <c r="AT66" s="285">
        <f t="shared" si="20"/>
        <v>798448.55012602068</v>
      </c>
      <c r="AU66" s="285">
        <f t="shared" si="20"/>
        <v>828255.1731260207</v>
      </c>
      <c r="AV66" s="285">
        <f t="shared" si="20"/>
        <v>858061.79612602072</v>
      </c>
      <c r="AW66" s="285">
        <f t="shared" si="20"/>
        <v>887868.41912602074</v>
      </c>
    </row>
    <row r="67" spans="1:49" ht="13.5" thickTop="1" x14ac:dyDescent="0.3">
      <c r="A67" s="313" t="s">
        <v>245</v>
      </c>
      <c r="B67" s="650">
        <v>242213.62797794119</v>
      </c>
      <c r="C67" s="650">
        <v>219405.35115619653</v>
      </c>
      <c r="D67" s="650">
        <v>225309.26849148984</v>
      </c>
      <c r="E67" s="650">
        <v>252784.38380696421</v>
      </c>
      <c r="F67" s="650">
        <v>263416.23156794423</v>
      </c>
      <c r="G67" s="650">
        <v>255558.36004504506</v>
      </c>
      <c r="H67" s="650">
        <v>254678.50221319796</v>
      </c>
      <c r="I67" s="650">
        <v>279194.02613816533</v>
      </c>
      <c r="J67" s="650">
        <v>290679.45922372438</v>
      </c>
      <c r="K67" s="650">
        <v>291794.5817965765</v>
      </c>
      <c r="L67" s="650">
        <v>302128.20705103443</v>
      </c>
      <c r="M67" s="650">
        <v>259641.98895027622</v>
      </c>
      <c r="N67" s="650">
        <v>260847.80462724934</v>
      </c>
      <c r="O67" s="314"/>
      <c r="P67" s="314"/>
      <c r="Q67" s="314"/>
      <c r="R67" s="314"/>
      <c r="S67" s="314"/>
      <c r="T67" s="314"/>
      <c r="U67" s="314"/>
      <c r="V67" s="314"/>
      <c r="W67" s="314">
        <f t="shared" ref="W67:AW67" si="21">O67*110%</f>
        <v>0</v>
      </c>
      <c r="X67" s="314">
        <f t="shared" si="21"/>
        <v>0</v>
      </c>
      <c r="Y67" s="314">
        <f t="shared" si="21"/>
        <v>0</v>
      </c>
      <c r="Z67" s="314">
        <f t="shared" si="21"/>
        <v>0</v>
      </c>
      <c r="AA67" s="314">
        <f t="shared" si="21"/>
        <v>0</v>
      </c>
      <c r="AB67" s="314">
        <f t="shared" si="21"/>
        <v>0</v>
      </c>
      <c r="AC67" s="314">
        <f t="shared" si="21"/>
        <v>0</v>
      </c>
      <c r="AD67" s="314">
        <f t="shared" si="21"/>
        <v>0</v>
      </c>
      <c r="AE67" s="314">
        <f t="shared" si="21"/>
        <v>0</v>
      </c>
      <c r="AF67" s="314">
        <f t="shared" si="21"/>
        <v>0</v>
      </c>
      <c r="AG67" s="314">
        <f t="shared" si="21"/>
        <v>0</v>
      </c>
      <c r="AH67" s="314">
        <f t="shared" si="21"/>
        <v>0</v>
      </c>
      <c r="AI67" s="314">
        <f t="shared" si="21"/>
        <v>0</v>
      </c>
      <c r="AJ67" s="314">
        <f t="shared" si="21"/>
        <v>0</v>
      </c>
      <c r="AK67" s="314">
        <f t="shared" si="21"/>
        <v>0</v>
      </c>
      <c r="AL67" s="314">
        <f t="shared" si="21"/>
        <v>0</v>
      </c>
      <c r="AM67" s="314">
        <f t="shared" si="21"/>
        <v>0</v>
      </c>
      <c r="AN67" s="314">
        <f t="shared" si="21"/>
        <v>0</v>
      </c>
      <c r="AO67" s="314">
        <f t="shared" si="21"/>
        <v>0</v>
      </c>
      <c r="AP67" s="314">
        <f t="shared" si="21"/>
        <v>0</v>
      </c>
      <c r="AQ67" s="314">
        <f t="shared" si="21"/>
        <v>0</v>
      </c>
      <c r="AR67" s="314">
        <f t="shared" si="21"/>
        <v>0</v>
      </c>
      <c r="AS67" s="314">
        <f t="shared" si="21"/>
        <v>0</v>
      </c>
      <c r="AT67" s="314">
        <f t="shared" si="21"/>
        <v>0</v>
      </c>
      <c r="AU67" s="314">
        <f t="shared" si="21"/>
        <v>0</v>
      </c>
      <c r="AV67" s="314">
        <f t="shared" si="21"/>
        <v>0</v>
      </c>
      <c r="AW67" s="314">
        <f t="shared" si="21"/>
        <v>0</v>
      </c>
    </row>
    <row r="68" spans="1:49" s="262" customFormat="1" ht="15" thickBot="1" x14ac:dyDescent="0.4">
      <c r="B68" s="262" t="s">
        <v>246</v>
      </c>
    </row>
    <row r="69" spans="1:49" x14ac:dyDescent="0.3">
      <c r="A69" s="313" t="s">
        <v>339</v>
      </c>
      <c r="B69" s="314">
        <f>B67/31</f>
        <v>7813.3428379981024</v>
      </c>
      <c r="C69" s="314">
        <f>C67/29</f>
        <v>7565.701764006777</v>
      </c>
      <c r="D69" s="314">
        <f>D67/31</f>
        <v>7268.0409190803175</v>
      </c>
      <c r="E69" s="314">
        <f>E67/30</f>
        <v>8426.1461268988078</v>
      </c>
      <c r="F69" s="314">
        <f>F67/31</f>
        <v>8497.2977925143296</v>
      </c>
      <c r="G69" s="314">
        <f>G67/30</f>
        <v>8518.6120015015022</v>
      </c>
      <c r="H69" s="314">
        <f>H66/31</f>
        <v>8215.4355552644502</v>
      </c>
      <c r="I69" s="314">
        <f>I66/31</f>
        <v>9006.2589076827517</v>
      </c>
      <c r="J69" s="314">
        <f>J66/30</f>
        <v>9689.3153074574784</v>
      </c>
      <c r="K69" s="314">
        <f>K66/31</f>
        <v>9412.7284450508541</v>
      </c>
      <c r="L69" s="314">
        <f>L66/30</f>
        <v>10070.940235034481</v>
      </c>
      <c r="M69" s="314">
        <f>M66/31</f>
        <v>8375.5480306540721</v>
      </c>
      <c r="N69" s="314">
        <f>N66/31</f>
        <v>8414.4453105564298</v>
      </c>
      <c r="O69" s="314">
        <f>O66/28</f>
        <v>7346.7014162937685</v>
      </c>
      <c r="P69" s="314">
        <f>P66/31</f>
        <v>5560.7040221032803</v>
      </c>
      <c r="Q69" s="314">
        <f>Q66/30</f>
        <v>4676.0873238059285</v>
      </c>
      <c r="R69" s="314">
        <f>R66/31</f>
        <v>3540.1469271985161</v>
      </c>
      <c r="S69" s="314">
        <f>S66/30</f>
        <v>3670.002</v>
      </c>
      <c r="T69" s="314">
        <f>T66/31</f>
        <v>4242.257419354838</v>
      </c>
      <c r="U69" s="314">
        <f>U66/31</f>
        <v>5037.2158064516134</v>
      </c>
      <c r="V69" s="314">
        <f>V66/30</f>
        <v>6000.5609999999997</v>
      </c>
      <c r="W69" s="314">
        <f>W66/31</f>
        <v>6558.7877419354845</v>
      </c>
      <c r="X69" s="314">
        <f>X66/30</f>
        <v>7565.4180000000006</v>
      </c>
      <c r="Y69" s="314">
        <f>Y66/31</f>
        <v>7842.9512903225814</v>
      </c>
    </row>
    <row r="70" spans="1:49" x14ac:dyDescent="0.3">
      <c r="D70" s="245"/>
    </row>
    <row r="71" spans="1:49" x14ac:dyDescent="0.3">
      <c r="A71" s="314"/>
      <c r="B71" s="314"/>
      <c r="D71" s="245"/>
      <c r="F71" s="272"/>
      <c r="M71" s="278"/>
      <c r="N71" s="272"/>
    </row>
    <row r="72" spans="1:49" ht="14.5" x14ac:dyDescent="0.35">
      <c r="B72" s="364"/>
      <c r="C72" s="364"/>
      <c r="D72" s="364"/>
      <c r="E72" s="364"/>
      <c r="F72" s="364"/>
      <c r="G72" s="364"/>
      <c r="H72" s="364"/>
      <c r="I72" s="364"/>
      <c r="J72" s="364"/>
      <c r="K72" s="364"/>
      <c r="L72" s="364"/>
      <c r="M72" s="364"/>
      <c r="N72" s="364"/>
      <c r="O72" s="364"/>
      <c r="P72" s="364"/>
      <c r="Q72" s="364"/>
      <c r="R72" s="364"/>
      <c r="S72" s="364"/>
      <c r="Y72" s="641" t="s">
        <v>812</v>
      </c>
      <c r="Z72" s="648">
        <v>0.2</v>
      </c>
    </row>
    <row r="73" spans="1:49" ht="14.5" x14ac:dyDescent="0.35">
      <c r="A73" s="641" t="s">
        <v>853</v>
      </c>
      <c r="B73" s="669">
        <v>0.44191176470588234</v>
      </c>
      <c r="C73" s="669">
        <v>0.44145685651429967</v>
      </c>
      <c r="D73" s="669">
        <v>0.44159477733737468</v>
      </c>
      <c r="E73" s="669">
        <v>0.44566487497078755</v>
      </c>
      <c r="F73" s="669">
        <v>0.44831591173054586</v>
      </c>
      <c r="G73" s="669">
        <v>0.45827406353722144</v>
      </c>
      <c r="H73" s="669">
        <v>0.46845540246555473</v>
      </c>
      <c r="I73" s="669">
        <v>0.45526613816534539</v>
      </c>
      <c r="J73" s="669">
        <v>0.45704317488006979</v>
      </c>
      <c r="K73" s="669">
        <v>0.44136941369413696</v>
      </c>
      <c r="L73" s="669">
        <v>0.45057471264367815</v>
      </c>
      <c r="M73" s="669">
        <v>0.46364640883977898</v>
      </c>
      <c r="N73" s="669">
        <v>0.45458440445586973</v>
      </c>
      <c r="O73" s="669">
        <v>0.44691519511663397</v>
      </c>
      <c r="P73" s="669">
        <v>0.4575015435274748</v>
      </c>
      <c r="Q73" s="669">
        <v>0.46320081549439346</v>
      </c>
      <c r="R73" s="669">
        <v>0.46366366366366368</v>
      </c>
      <c r="S73" s="669">
        <v>0.46337672430542065</v>
      </c>
      <c r="T73" s="669">
        <v>0.50728803120509136</v>
      </c>
      <c r="U73" s="669">
        <v>0.48679678530424797</v>
      </c>
      <c r="V73" s="669">
        <v>0.47145421903052065</v>
      </c>
      <c r="W73" s="669">
        <v>0.47461565963532354</v>
      </c>
      <c r="X73" s="669">
        <v>0.44878048780487806</v>
      </c>
    </row>
    <row r="74" spans="1:49" ht="13.5" thickBot="1" x14ac:dyDescent="0.35">
      <c r="A74" s="641" t="s">
        <v>854</v>
      </c>
      <c r="B74" s="285">
        <v>548104.05000000005</v>
      </c>
      <c r="C74" s="285">
        <v>497002.93</v>
      </c>
      <c r="D74" s="285">
        <v>510217.24</v>
      </c>
      <c r="E74" s="285">
        <v>567207.32999999996</v>
      </c>
      <c r="F74" s="285">
        <v>587568.32999999996</v>
      </c>
      <c r="G74" s="285">
        <v>557653.99</v>
      </c>
      <c r="H74" s="285">
        <v>543655.81200000003</v>
      </c>
      <c r="I74" s="285">
        <v>613254.54</v>
      </c>
      <c r="J74" s="285">
        <v>636000</v>
      </c>
      <c r="K74" s="285">
        <v>661111.92290000001</v>
      </c>
      <c r="L74" s="285">
        <v>670539.64319999993</v>
      </c>
      <c r="M74" s="285">
        <v>560000</v>
      </c>
      <c r="N74" s="285">
        <v>573816</v>
      </c>
    </row>
    <row r="75" spans="1:49" ht="13.5" thickTop="1" x14ac:dyDescent="0.3">
      <c r="A75" s="641" t="s">
        <v>855</v>
      </c>
      <c r="B75" s="650">
        <f>B73*B74</f>
        <v>242213.62797794119</v>
      </c>
      <c r="C75" s="650">
        <f t="shared" ref="C75:N75" si="22">C73*C74</f>
        <v>219405.35115619653</v>
      </c>
      <c r="D75" s="650">
        <f t="shared" si="22"/>
        <v>225309.26849148984</v>
      </c>
      <c r="E75" s="650">
        <f t="shared" si="22"/>
        <v>252784.38380696421</v>
      </c>
      <c r="F75" s="650">
        <f t="shared" si="22"/>
        <v>263416.23156794423</v>
      </c>
      <c r="G75" s="650">
        <f t="shared" si="22"/>
        <v>255558.36004504506</v>
      </c>
      <c r="H75" s="650">
        <f t="shared" si="22"/>
        <v>254678.50221319796</v>
      </c>
      <c r="I75" s="650">
        <f t="shared" si="22"/>
        <v>279194.02613816533</v>
      </c>
      <c r="J75" s="650">
        <f t="shared" si="22"/>
        <v>290679.45922372438</v>
      </c>
      <c r="K75" s="650">
        <f t="shared" si="22"/>
        <v>291794.5817965765</v>
      </c>
      <c r="L75" s="650">
        <f t="shared" si="22"/>
        <v>302128.20705103443</v>
      </c>
      <c r="M75" s="650">
        <f t="shared" si="22"/>
        <v>259641.98895027622</v>
      </c>
      <c r="N75" s="650">
        <f t="shared" si="22"/>
        <v>260847.80462724934</v>
      </c>
      <c r="Q75" s="272"/>
    </row>
    <row r="76" spans="1:49" x14ac:dyDescent="0.3">
      <c r="M76" s="278"/>
      <c r="N76" s="272"/>
    </row>
    <row r="77" spans="1:49" x14ac:dyDescent="0.3">
      <c r="B77" s="313" t="s">
        <v>497</v>
      </c>
      <c r="C77" s="314">
        <v>1553</v>
      </c>
      <c r="M77" s="278"/>
      <c r="N77" s="272"/>
    </row>
    <row r="78" spans="1:49" x14ac:dyDescent="0.3">
      <c r="B78" s="313" t="s">
        <v>498</v>
      </c>
      <c r="C78" s="318">
        <v>145</v>
      </c>
      <c r="D78" s="301"/>
      <c r="E78" s="301"/>
      <c r="F78" s="301"/>
      <c r="G78" s="301"/>
      <c r="H78" s="301"/>
      <c r="I78" s="301"/>
      <c r="J78" s="303"/>
      <c r="K78" s="318"/>
      <c r="L78" s="319"/>
      <c r="M78" s="320"/>
      <c r="N78" s="272"/>
    </row>
    <row r="79" spans="1:49" x14ac:dyDescent="0.3">
      <c r="B79" s="313" t="s">
        <v>499</v>
      </c>
      <c r="C79" s="436">
        <f>C77/C78</f>
        <v>10.710344827586207</v>
      </c>
      <c r="D79" s="301"/>
      <c r="E79" s="301"/>
      <c r="F79" s="301"/>
      <c r="G79" s="301"/>
      <c r="H79" s="301"/>
      <c r="I79" s="301"/>
      <c r="J79" s="301"/>
      <c r="K79" s="301"/>
      <c r="L79" s="301"/>
      <c r="M79" s="320"/>
      <c r="N79" s="272"/>
    </row>
    <row r="80" spans="1:49" ht="14.5" x14ac:dyDescent="0.35">
      <c r="B80" s="313" t="s">
        <v>502</v>
      </c>
      <c r="C80" s="157"/>
      <c r="D80" s="157"/>
      <c r="E80" s="157"/>
      <c r="F80" s="157"/>
      <c r="G80" s="157"/>
      <c r="H80" s="301"/>
      <c r="I80" s="301"/>
      <c r="J80" s="301"/>
      <c r="K80" s="301"/>
      <c r="L80" s="301"/>
      <c r="M80" s="320"/>
      <c r="N80" s="272"/>
    </row>
    <row r="81" spans="2:15" x14ac:dyDescent="0.3">
      <c r="B81" s="313" t="s">
        <v>500</v>
      </c>
      <c r="C81" s="302">
        <f>573816</f>
        <v>573816</v>
      </c>
      <c r="D81" s="264"/>
      <c r="E81" s="302"/>
      <c r="F81" s="264"/>
      <c r="G81" s="302"/>
      <c r="H81" s="301"/>
      <c r="I81" s="301"/>
      <c r="J81" s="301"/>
      <c r="K81" s="301"/>
      <c r="L81" s="301"/>
      <c r="M81" s="320"/>
      <c r="N81" s="272"/>
    </row>
    <row r="82" spans="2:15" x14ac:dyDescent="0.3">
      <c r="B82" s="313" t="s">
        <v>505</v>
      </c>
      <c r="C82" s="302">
        <v>43710</v>
      </c>
      <c r="D82" s="264"/>
      <c r="E82" s="302"/>
      <c r="F82" s="264"/>
      <c r="G82" s="302"/>
      <c r="H82" s="301"/>
      <c r="I82" s="301"/>
      <c r="J82" s="301"/>
      <c r="K82" s="301"/>
      <c r="L82" s="301"/>
      <c r="M82" s="320"/>
      <c r="N82" s="272"/>
    </row>
    <row r="83" spans="2:15" x14ac:dyDescent="0.3">
      <c r="B83" s="313" t="s">
        <v>501</v>
      </c>
      <c r="C83" s="303">
        <f>(C81-C82)/C79</f>
        <v>49494.764971023826</v>
      </c>
      <c r="D83" s="301"/>
      <c r="E83" s="301"/>
      <c r="F83" s="301"/>
      <c r="G83" s="301"/>
      <c r="H83" s="301"/>
      <c r="I83" s="301"/>
      <c r="J83" s="301"/>
      <c r="K83" s="301"/>
      <c r="L83" s="301"/>
      <c r="M83" s="320"/>
      <c r="N83" s="272"/>
      <c r="O83" s="272"/>
    </row>
    <row r="84" spans="2:15" x14ac:dyDescent="0.3">
      <c r="C84" s="304"/>
      <c r="D84" s="301"/>
      <c r="E84" s="304"/>
      <c r="F84" s="301"/>
      <c r="G84" s="304"/>
      <c r="H84" s="301"/>
      <c r="I84" s="301"/>
      <c r="J84" s="301"/>
      <c r="K84" s="301"/>
      <c r="L84" s="301"/>
      <c r="M84" s="301"/>
      <c r="N84" s="272"/>
    </row>
    <row r="85" spans="2:15" x14ac:dyDescent="0.3">
      <c r="N85" s="272"/>
    </row>
    <row r="87" spans="2:15" x14ac:dyDescent="0.3">
      <c r="C87" s="266"/>
      <c r="D87" s="267"/>
      <c r="E87" s="266"/>
      <c r="F87" s="267"/>
      <c r="G87" s="266"/>
    </row>
    <row r="94" spans="2:15" x14ac:dyDescent="0.3">
      <c r="F94" s="314"/>
    </row>
    <row r="95" spans="2:15" x14ac:dyDescent="0.3">
      <c r="F95" s="314"/>
    </row>
    <row r="96" spans="2:15" x14ac:dyDescent="0.3">
      <c r="F96" s="314"/>
    </row>
    <row r="97" spans="6:6" x14ac:dyDescent="0.3">
      <c r="F97" s="314"/>
    </row>
    <row r="98" spans="6:6" x14ac:dyDescent="0.3">
      <c r="F98" s="314"/>
    </row>
    <row r="99" spans="6:6" x14ac:dyDescent="0.3">
      <c r="F99" s="314"/>
    </row>
    <row r="100" spans="6:6" x14ac:dyDescent="0.3">
      <c r="F100" s="314"/>
    </row>
    <row r="101" spans="6:6" x14ac:dyDescent="0.3">
      <c r="F101" s="314"/>
    </row>
    <row r="102" spans="6:6" x14ac:dyDescent="0.3">
      <c r="F102" s="314"/>
    </row>
    <row r="103" spans="6:6" x14ac:dyDescent="0.3">
      <c r="F103" s="314"/>
    </row>
    <row r="104" spans="6:6" x14ac:dyDescent="0.3">
      <c r="F104" s="314"/>
    </row>
    <row r="105" spans="6:6" x14ac:dyDescent="0.3">
      <c r="F105" s="314"/>
    </row>
  </sheetData>
  <pageMargins left="0.7" right="0.7" top="0.75" bottom="0.75" header="0.3" footer="0.3"/>
  <pageSetup orientation="portrait" horizontalDpi="0" verticalDpi="0"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FFFF00"/>
  </sheetPr>
  <dimension ref="A1:BC25"/>
  <sheetViews>
    <sheetView showGridLines="0" zoomScale="75" zoomScaleNormal="75" zoomScalePageLayoutView="90" workbookViewId="0">
      <pane xSplit="4" ySplit="3" topLeftCell="H4" activePane="bottomRight" state="frozen"/>
      <selection activeCell="C20" sqref="C20"/>
      <selection pane="topRight" activeCell="C20" sqref="C20"/>
      <selection pane="bottomLeft" activeCell="C20" sqref="C20"/>
      <selection pane="bottomRight" activeCell="I27" sqref="I27"/>
    </sheetView>
  </sheetViews>
  <sheetFormatPr defaultColWidth="10" defaultRowHeight="14.5" outlineLevelRow="1" x14ac:dyDescent="0.35"/>
  <cols>
    <col min="1" max="1" width="7.7265625" style="16" customWidth="1"/>
    <col min="2" max="2" width="27.81640625" style="16" customWidth="1"/>
    <col min="3" max="3" width="16" style="16" customWidth="1"/>
    <col min="4" max="4" width="15.453125" style="16" customWidth="1"/>
    <col min="5" max="5" width="12.7265625" style="16" customWidth="1"/>
    <col min="6" max="6" width="12.7265625" style="1" customWidth="1"/>
    <col min="7" max="28" width="12.7265625" style="16" customWidth="1"/>
    <col min="29" max="29" width="10" style="16"/>
    <col min="30" max="30" width="17.81640625" style="16" customWidth="1"/>
    <col min="31" max="16384" width="10" style="16"/>
  </cols>
  <sheetData>
    <row r="1" spans="1:55" s="41" customFormat="1" x14ac:dyDescent="0.35">
      <c r="A1" s="216"/>
      <c r="B1" s="215"/>
      <c r="C1" s="219"/>
      <c r="D1" s="218"/>
    </row>
    <row r="2" spans="1:55" s="156" customFormat="1" x14ac:dyDescent="0.35">
      <c r="A2" s="217"/>
      <c r="B2" s="217"/>
      <c r="C2" s="197"/>
      <c r="D2" s="197"/>
      <c r="E2" s="156">
        <v>1</v>
      </c>
      <c r="F2" s="156">
        <v>2</v>
      </c>
      <c r="G2" s="156">
        <v>3</v>
      </c>
      <c r="H2" s="156">
        <v>4</v>
      </c>
      <c r="I2" s="156">
        <v>5</v>
      </c>
      <c r="J2" s="156">
        <v>6</v>
      </c>
      <c r="K2" s="156">
        <v>7</v>
      </c>
      <c r="L2" s="156">
        <v>8</v>
      </c>
      <c r="M2" s="156">
        <v>9</v>
      </c>
      <c r="N2" s="156">
        <v>10</v>
      </c>
      <c r="O2" s="156">
        <v>11</v>
      </c>
      <c r="P2" s="156">
        <v>12</v>
      </c>
      <c r="Q2" s="156">
        <v>13</v>
      </c>
      <c r="R2" s="156">
        <v>14</v>
      </c>
      <c r="S2" s="156">
        <v>15</v>
      </c>
      <c r="T2" s="156">
        <v>16</v>
      </c>
      <c r="U2" s="156">
        <v>17</v>
      </c>
      <c r="V2" s="156">
        <v>18</v>
      </c>
      <c r="W2" s="156">
        <v>19</v>
      </c>
      <c r="X2" s="156">
        <v>20</v>
      </c>
      <c r="Y2" s="156">
        <v>21</v>
      </c>
      <c r="Z2" s="156">
        <v>22</v>
      </c>
      <c r="AA2" s="156">
        <v>23</v>
      </c>
      <c r="AB2" s="156">
        <v>24</v>
      </c>
      <c r="AC2" s="290">
        <v>25</v>
      </c>
      <c r="AD2" s="290">
        <v>26</v>
      </c>
      <c r="AE2" s="290">
        <v>27</v>
      </c>
      <c r="AF2" s="290">
        <v>28</v>
      </c>
      <c r="AG2" s="290">
        <v>29</v>
      </c>
      <c r="AH2" s="290">
        <v>30</v>
      </c>
      <c r="AI2" s="290">
        <v>31</v>
      </c>
      <c r="AJ2" s="290">
        <v>32</v>
      </c>
      <c r="AK2" s="290">
        <v>33</v>
      </c>
      <c r="AL2" s="290">
        <v>34</v>
      </c>
      <c r="AM2" s="290">
        <v>35</v>
      </c>
      <c r="AN2" s="290">
        <v>36</v>
      </c>
      <c r="AO2" s="156">
        <f>AN2+1</f>
        <v>37</v>
      </c>
      <c r="AP2" s="290">
        <f t="shared" ref="AP2:BC2" si="0">AO2+1</f>
        <v>38</v>
      </c>
      <c r="AQ2" s="290">
        <f t="shared" si="0"/>
        <v>39</v>
      </c>
      <c r="AR2" s="290">
        <f t="shared" si="0"/>
        <v>40</v>
      </c>
      <c r="AS2" s="290">
        <f t="shared" si="0"/>
        <v>41</v>
      </c>
      <c r="AT2" s="290">
        <f t="shared" si="0"/>
        <v>42</v>
      </c>
      <c r="AU2" s="290">
        <f t="shared" si="0"/>
        <v>43</v>
      </c>
      <c r="AV2" s="290">
        <f t="shared" si="0"/>
        <v>44</v>
      </c>
      <c r="AW2" s="290">
        <f t="shared" si="0"/>
        <v>45</v>
      </c>
      <c r="AX2" s="290">
        <f t="shared" si="0"/>
        <v>46</v>
      </c>
      <c r="AY2" s="290">
        <f t="shared" si="0"/>
        <v>47</v>
      </c>
      <c r="AZ2" s="290">
        <f t="shared" si="0"/>
        <v>48</v>
      </c>
      <c r="BA2" s="290">
        <f t="shared" si="0"/>
        <v>49</v>
      </c>
      <c r="BB2" s="290">
        <f t="shared" si="0"/>
        <v>50</v>
      </c>
      <c r="BC2" s="290">
        <f t="shared" si="0"/>
        <v>51</v>
      </c>
    </row>
    <row r="3" spans="1:55" s="156" customFormat="1" x14ac:dyDescent="0.35">
      <c r="A3" s="31"/>
      <c r="B3" s="194" t="s">
        <v>68</v>
      </c>
      <c r="C3" s="194"/>
      <c r="D3" s="195"/>
      <c r="E3" s="196">
        <f>'Cost Summary'!C3</f>
        <v>40909</v>
      </c>
      <c r="F3" s="196">
        <f>'Cost Summary'!D3</f>
        <v>40942</v>
      </c>
      <c r="G3" s="196">
        <f>'Cost Summary'!E3</f>
        <v>40975</v>
      </c>
      <c r="H3" s="196">
        <f>'Cost Summary'!F3</f>
        <v>41008</v>
      </c>
      <c r="I3" s="196">
        <f>'Cost Summary'!G3</f>
        <v>41041</v>
      </c>
      <c r="J3" s="196">
        <f>'Cost Summary'!H3</f>
        <v>41074</v>
      </c>
      <c r="K3" s="196">
        <f>'Cost Summary'!I3</f>
        <v>41107</v>
      </c>
      <c r="L3" s="196">
        <f>'Cost Summary'!J3</f>
        <v>41140</v>
      </c>
      <c r="M3" s="196">
        <f>'Cost Summary'!K3</f>
        <v>41173</v>
      </c>
      <c r="N3" s="196">
        <f>'Cost Summary'!L3</f>
        <v>41206</v>
      </c>
      <c r="O3" s="196">
        <f>'Cost Summary'!M3</f>
        <v>41239</v>
      </c>
      <c r="P3" s="196">
        <f>'Cost Summary'!N3</f>
        <v>41272</v>
      </c>
      <c r="Q3" s="196">
        <f>'Cost Summary'!O3</f>
        <v>41282</v>
      </c>
      <c r="R3" s="196">
        <f>'Cost Summary'!P3</f>
        <v>41312</v>
      </c>
      <c r="S3" s="196">
        <f>'Cost Summary'!Q3</f>
        <v>41342</v>
      </c>
      <c r="T3" s="196">
        <f>'Cost Summary'!R3</f>
        <v>41372</v>
      </c>
      <c r="U3" s="196">
        <f>'Cost Summary'!S3</f>
        <v>41402</v>
      </c>
      <c r="V3" s="196">
        <f>'Cost Summary'!T3</f>
        <v>41432</v>
      </c>
      <c r="W3" s="196">
        <f>'Cost Summary'!U3</f>
        <v>41462</v>
      </c>
      <c r="X3" s="196">
        <f>'Cost Summary'!V3</f>
        <v>41492</v>
      </c>
      <c r="Y3" s="196">
        <f>'Cost Summary'!W3</f>
        <v>41522</v>
      </c>
      <c r="Z3" s="196">
        <f>'Cost Summary'!X3</f>
        <v>41552</v>
      </c>
      <c r="AA3" s="196">
        <f>'Cost Summary'!Y3</f>
        <v>41582</v>
      </c>
      <c r="AB3" s="196">
        <f>'Cost Summary'!Z3</f>
        <v>41612</v>
      </c>
      <c r="AC3" s="196">
        <f>'Cost Summary'!AA3</f>
        <v>41642</v>
      </c>
      <c r="AD3" s="196">
        <f>'Cost Summary'!AB3</f>
        <v>41675</v>
      </c>
      <c r="AE3" s="196">
        <f>'Cost Summary'!AC3</f>
        <v>41708</v>
      </c>
      <c r="AF3" s="196">
        <f>'Cost Summary'!AD3</f>
        <v>41741</v>
      </c>
      <c r="AG3" s="196">
        <f>'Cost Summary'!AE3</f>
        <v>41774</v>
      </c>
      <c r="AH3" s="196">
        <f>'Cost Summary'!AF3</f>
        <v>41807</v>
      </c>
      <c r="AI3" s="196">
        <f>'Cost Summary'!AG3</f>
        <v>41840</v>
      </c>
      <c r="AJ3" s="196">
        <f>'Cost Summary'!AH3</f>
        <v>41873</v>
      </c>
      <c r="AK3" s="196">
        <f>'Cost Summary'!AI3</f>
        <v>41906</v>
      </c>
      <c r="AL3" s="196">
        <f>'Cost Summary'!AJ3</f>
        <v>41939</v>
      </c>
      <c r="AM3" s="196">
        <f>'Cost Summary'!AK3</f>
        <v>41972</v>
      </c>
      <c r="AN3" s="196">
        <f>'Cost Summary'!AL3</f>
        <v>41982</v>
      </c>
      <c r="AO3" s="196">
        <f>'Cost Summary'!AM3</f>
        <v>42012</v>
      </c>
      <c r="AP3" s="196">
        <f>'Cost Summary'!AN3</f>
        <v>42042</v>
      </c>
      <c r="AQ3" s="196">
        <f>'Cost Summary'!AO3</f>
        <v>42072</v>
      </c>
      <c r="AR3" s="196">
        <f>'Cost Summary'!AP3</f>
        <v>42102</v>
      </c>
      <c r="AS3" s="196">
        <f>'Cost Summary'!AQ3</f>
        <v>42132</v>
      </c>
      <c r="AT3" s="196">
        <f>'Cost Summary'!AR3</f>
        <v>42162</v>
      </c>
      <c r="AU3" s="196">
        <f>'Cost Summary'!AS3</f>
        <v>42192</v>
      </c>
      <c r="AV3" s="196">
        <f>'Cost Summary'!AT3</f>
        <v>42222</v>
      </c>
      <c r="AW3" s="196">
        <f>'Cost Summary'!AU3</f>
        <v>42252</v>
      </c>
      <c r="AX3" s="196">
        <f>'Cost Summary'!AV3</f>
        <v>42282</v>
      </c>
      <c r="AY3" s="196">
        <f>'Cost Summary'!AW3</f>
        <v>42312</v>
      </c>
      <c r="AZ3" s="196">
        <f>'Cost Summary'!AX3</f>
        <v>42342</v>
      </c>
      <c r="BA3" s="196">
        <f>'Cost Summary'!AY3</f>
        <v>42372</v>
      </c>
      <c r="BB3" s="196">
        <f>'Cost Summary'!AZ3</f>
        <v>42402</v>
      </c>
      <c r="BC3" s="196">
        <f>'Cost Summary'!BA3</f>
        <v>42432</v>
      </c>
    </row>
    <row r="4" spans="1:55" s="2" customFormat="1" ht="9" customHeight="1" x14ac:dyDescent="0.35">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row>
    <row r="5" spans="1:55" s="2" customFormat="1" x14ac:dyDescent="0.35">
      <c r="B5" s="34"/>
      <c r="C5" s="6"/>
      <c r="D5" s="6"/>
      <c r="E5" s="33"/>
      <c r="F5" s="33"/>
      <c r="G5" s="33"/>
      <c r="H5" s="33"/>
      <c r="I5" s="33"/>
      <c r="J5" s="33"/>
      <c r="K5" s="33"/>
      <c r="L5" s="33"/>
      <c r="M5" s="33"/>
      <c r="N5" s="33"/>
      <c r="O5" s="33"/>
      <c r="P5" s="33"/>
      <c r="Q5" s="33"/>
      <c r="R5" s="33"/>
      <c r="S5" s="33"/>
      <c r="T5" s="33"/>
      <c r="U5" s="33"/>
      <c r="V5" s="33"/>
      <c r="W5" s="33"/>
      <c r="X5" s="33"/>
      <c r="Y5" s="33"/>
      <c r="Z5" s="33"/>
      <c r="AA5" s="33"/>
      <c r="AB5" s="3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row>
    <row r="6" spans="1:55" s="2" customFormat="1" x14ac:dyDescent="0.35">
      <c r="A6" s="16"/>
      <c r="B6" s="83" t="s">
        <v>381</v>
      </c>
      <c r="C6" s="83"/>
      <c r="D6" s="83"/>
      <c r="E6" s="84"/>
      <c r="F6" s="84"/>
      <c r="G6" s="84"/>
      <c r="H6" s="84"/>
      <c r="I6" s="84"/>
      <c r="J6" s="84"/>
      <c r="K6" s="84"/>
      <c r="L6" s="84"/>
      <c r="M6" s="84"/>
      <c r="N6" s="84"/>
      <c r="O6" s="84"/>
      <c r="P6" s="84"/>
      <c r="Q6" s="84"/>
      <c r="R6" s="84"/>
      <c r="S6" s="84"/>
      <c r="T6" s="84"/>
      <c r="U6" s="84"/>
      <c r="V6" s="84"/>
      <c r="W6" s="84"/>
      <c r="X6" s="84"/>
      <c r="Y6" s="84"/>
      <c r="Z6" s="84"/>
      <c r="AA6" s="84"/>
      <c r="AB6" s="84"/>
      <c r="AC6" s="84"/>
      <c r="AD6" s="84"/>
      <c r="AE6" s="84"/>
      <c r="AF6" s="84"/>
      <c r="AG6" s="84"/>
      <c r="AH6" s="84"/>
      <c r="AI6" s="84"/>
      <c r="AJ6" s="84"/>
      <c r="AK6" s="84"/>
      <c r="AL6" s="84"/>
      <c r="AM6" s="84"/>
      <c r="AN6" s="84"/>
      <c r="AO6" s="84"/>
      <c r="AP6" s="84"/>
      <c r="AQ6" s="84"/>
      <c r="AR6" s="84"/>
      <c r="AS6" s="84"/>
      <c r="AT6" s="84"/>
      <c r="AU6" s="84"/>
      <c r="AV6" s="84"/>
      <c r="AW6" s="84"/>
      <c r="AX6" s="84"/>
      <c r="AY6" s="84"/>
      <c r="AZ6" s="84"/>
      <c r="BA6" s="84"/>
      <c r="BB6" s="84"/>
      <c r="BC6" s="84"/>
    </row>
    <row r="7" spans="1:55" ht="15.5" outlineLevel="1" x14ac:dyDescent="0.35">
      <c r="B7" s="331" t="s">
        <v>376</v>
      </c>
      <c r="C7" s="321"/>
      <c r="D7" s="322"/>
      <c r="E7" s="329">
        <f>('SMS Revenue'!B66+'SMS Sub'!B66)*7%</f>
        <v>38367.283500000005</v>
      </c>
      <c r="F7" s="329">
        <f>('SMS Revenue'!C66+'SMS Sub'!C66)*7%</f>
        <v>34790.205100000006</v>
      </c>
      <c r="G7" s="329">
        <f>('SMS Revenue'!D66+'SMS Sub'!D66)*7%</f>
        <v>35715.2068</v>
      </c>
      <c r="H7" s="329">
        <f>('SMS Revenue'!E66+'SMS Sub'!E66)*7%</f>
        <v>39704.513100000004</v>
      </c>
      <c r="I7" s="329">
        <f>('SMS Revenue'!F66+'SMS Sub'!F66)*7%</f>
        <v>41129.783100000001</v>
      </c>
      <c r="J7" s="329">
        <f>('SMS Revenue'!G66+'SMS Sub'!G66)*7%</f>
        <v>39035.779300000002</v>
      </c>
      <c r="K7" s="329">
        <f>('SMS Revenue'!H66+'SMS Sub'!H66)*7%</f>
        <v>38055.906840000003</v>
      </c>
      <c r="L7" s="329">
        <f>('SMS Revenue'!I66+'SMS Sub'!I66)*7%</f>
        <v>42927.817800000004</v>
      </c>
      <c r="M7" s="329">
        <f>('SMS Revenue'!J66+'SMS Sub'!J66)*7%</f>
        <v>44520.000000000007</v>
      </c>
      <c r="N7" s="329">
        <f>('SMS Revenue'!K66+'SMS Sub'!K66)*7%</f>
        <v>46277.834603000003</v>
      </c>
      <c r="O7" s="329">
        <f>('SMS Revenue'!L66+'SMS Sub'!L66)*7%</f>
        <v>46937.775024000002</v>
      </c>
      <c r="P7" s="329">
        <f>('SMS Revenue'!M66+'SMS Sub'!M66)*7%</f>
        <v>53157.982426519346</v>
      </c>
      <c r="Q7" s="329">
        <f>('SMS Revenue'!N66+'SMS Sub'!N66)*7%</f>
        <v>40167.120000000003</v>
      </c>
      <c r="R7" s="329">
        <f>('SMS Revenue'!O66+'SMS Sub'!O66)*7%</f>
        <v>35231.882704056661</v>
      </c>
      <c r="S7" s="329">
        <f>('SMS Revenue'!P66+'SMS Sub'!P66)*7%</f>
        <v>31893.23760811333</v>
      </c>
      <c r="T7" s="329">
        <f>('SMS Revenue'!Q66+'SMS Sub'!Q66)*7%</f>
        <v>28718.512212169993</v>
      </c>
      <c r="U7" s="329">
        <f>('SMS Revenue'!R66+'SMS Sub'!R66)*7%</f>
        <v>25543.786816226657</v>
      </c>
      <c r="V7" s="329">
        <f>('SMS Revenue'!S66+'SMS Sub'!S66)*7%</f>
        <v>24781.393736234204</v>
      </c>
      <c r="W7" s="329">
        <f>('SMS Revenue'!T66+'SMS Sub'!T66)*7%</f>
        <v>26909.555400000001</v>
      </c>
      <c r="X7" s="329">
        <f>('SMS Revenue'!U66+'SMS Sub'!U66)*7%</f>
        <v>31499.307000000001</v>
      </c>
      <c r="Y7" s="329">
        <f>('SMS Revenue'!V66+'SMS Sub'!V66)*7%</f>
        <v>36494.955000000002</v>
      </c>
      <c r="Z7" s="329">
        <f>('SMS Revenue'!W66+'SMS Sub'!W66)*7%</f>
        <v>41771.608199999995</v>
      </c>
      <c r="AA7" s="329">
        <f>('SMS Revenue'!X66+'SMS Sub'!X66)*7%</f>
        <v>46595.5308</v>
      </c>
      <c r="AB7" s="329">
        <f>('SMS Revenue'!Y66+'SMS Sub'!Y66)*7%</f>
        <v>51068.19690000001</v>
      </c>
      <c r="AC7" s="329">
        <f>('SMS Revenue'!Z66+'SMS Sub'!Z66)*7%</f>
        <v>56820.99779999999</v>
      </c>
      <c r="AD7" s="329">
        <f>('SMS Revenue'!AA66+'SMS Sub'!AA66)*7%</f>
        <v>61707.055141883226</v>
      </c>
      <c r="AE7" s="329">
        <f>('SMS Revenue'!AB66+'SMS Sub'!AB66)*7%</f>
        <v>61563.24504188323</v>
      </c>
      <c r="AF7" s="329">
        <f>('SMS Revenue'!AC66+'SMS Sub'!AC66)*7%</f>
        <v>68520.316141883231</v>
      </c>
      <c r="AG7" s="329">
        <f>('SMS Revenue'!AD66+'SMS Sub'!AD66)*7%</f>
        <v>74458.223641883233</v>
      </c>
      <c r="AH7" s="329">
        <f>('SMS Revenue'!AE66+'SMS Sub'!AE66)*7%</f>
        <v>79810.703641883229</v>
      </c>
      <c r="AI7" s="329">
        <f>('SMS Revenue'!AF66+'SMS Sub'!AF66)*7%</f>
        <v>84627.935641883218</v>
      </c>
      <c r="AJ7" s="329">
        <f>('SMS Revenue'!AG66+'SMS Sub'!AG66)*7%</f>
        <v>88909.919641883229</v>
      </c>
      <c r="AK7" s="329">
        <f>('SMS Revenue'!AH66+'SMS Sub'!AH66)*7%</f>
        <v>93191.90364188324</v>
      </c>
      <c r="AL7" s="329">
        <f>('SMS Revenue'!AI66+'SMS Sub'!AI66)*7%</f>
        <v>99514.520641883239</v>
      </c>
      <c r="AM7" s="329">
        <f>('SMS Revenue'!AJ66+'SMS Sub'!AJ66)*7%</f>
        <v>105837.13764188322</v>
      </c>
      <c r="AN7" s="329">
        <f>('SMS Revenue'!AK66+'SMS Sub'!AK66)*7%</f>
        <v>112159.75464188325</v>
      </c>
      <c r="AO7" s="329">
        <f>('SMS Revenue'!AL66+'SMS Sub'!AL66)*7%</f>
        <v>118482.37164188325</v>
      </c>
      <c r="AP7" s="329">
        <f>('SMS Revenue'!AM66+'SMS Sub'!AM66)*7%</f>
        <v>124804.98864188322</v>
      </c>
      <c r="AQ7" s="329">
        <f>('SMS Revenue'!AN66+'SMS Sub'!AN66)*7%</f>
        <v>131127.60564188322</v>
      </c>
      <c r="AR7" s="329">
        <f>('SMS Revenue'!AO66+'SMS Sub'!AO66)*7%</f>
        <v>137450.22264188319</v>
      </c>
      <c r="AS7" s="329">
        <f>('SMS Revenue'!AP66+'SMS Sub'!AP66)*7%</f>
        <v>143772.83964188321</v>
      </c>
      <c r="AT7" s="329">
        <f>('SMS Revenue'!AQ66+'SMS Sub'!AQ66)*7%</f>
        <v>150095.45664188321</v>
      </c>
      <c r="AU7" s="329">
        <f>('SMS Revenue'!AR66+'SMS Sub'!AR66)*7%</f>
        <v>156418.07364188318</v>
      </c>
      <c r="AV7" s="329">
        <f>('SMS Revenue'!AS66+'SMS Sub'!AS66)*7%</f>
        <v>162740.69064188324</v>
      </c>
      <c r="AW7" s="329">
        <f>('SMS Revenue'!AT66+'SMS Sub'!AT66)*7%</f>
        <v>169063.30764188321</v>
      </c>
      <c r="AX7" s="329">
        <f>('SMS Revenue'!AU66+'SMS Sub'!AU66)*7%</f>
        <v>175385.92464188318</v>
      </c>
      <c r="AY7" s="329">
        <f>('SMS Revenue'!AV66+'SMS Sub'!AV66)*7%</f>
        <v>181708.54164188317</v>
      </c>
      <c r="AZ7" s="329">
        <f>('SMS Revenue'!AW66+'SMS Sub'!AW66)*7%</f>
        <v>188031.1586418832</v>
      </c>
      <c r="BA7" s="329">
        <f>('SMS Revenue'!AX66+'SMS Sub'!AX66)*7%</f>
        <v>0</v>
      </c>
      <c r="BB7" s="329">
        <f>('SMS Revenue'!AY66+'SMS Sub'!AY66)*7%</f>
        <v>0</v>
      </c>
      <c r="BC7" s="329">
        <f>('SMS Revenue'!AZ66+'SMS Sub'!AZ66)*7%</f>
        <v>0</v>
      </c>
    </row>
    <row r="8" spans="1:55" outlineLevel="1" x14ac:dyDescent="0.35">
      <c r="B8" s="331" t="s">
        <v>377</v>
      </c>
      <c r="E8" s="329">
        <f>4*1000+2+450+4*550</f>
        <v>6652</v>
      </c>
      <c r="F8" s="329">
        <f t="shared" ref="F8:P8" si="1">4*1000+2+450+4*550</f>
        <v>6652</v>
      </c>
      <c r="G8" s="329">
        <f t="shared" si="1"/>
        <v>6652</v>
      </c>
      <c r="H8" s="329">
        <f t="shared" si="1"/>
        <v>6652</v>
      </c>
      <c r="I8" s="329">
        <f t="shared" si="1"/>
        <v>6652</v>
      </c>
      <c r="J8" s="329">
        <f t="shared" si="1"/>
        <v>6652</v>
      </c>
      <c r="K8" s="329">
        <f t="shared" si="1"/>
        <v>6652</v>
      </c>
      <c r="L8" s="329">
        <f t="shared" si="1"/>
        <v>6652</v>
      </c>
      <c r="M8" s="329">
        <f t="shared" si="1"/>
        <v>6652</v>
      </c>
      <c r="N8" s="329">
        <f t="shared" si="1"/>
        <v>6652</v>
      </c>
      <c r="O8" s="329">
        <f t="shared" si="1"/>
        <v>6652</v>
      </c>
      <c r="P8" s="329">
        <f t="shared" si="1"/>
        <v>6652</v>
      </c>
      <c r="Q8" s="329">
        <f>10*1000+2+450+4*550</f>
        <v>12652</v>
      </c>
      <c r="R8" s="329">
        <f t="shared" ref="R8:AB8" si="2">10*1000+2+450+4*550</f>
        <v>12652</v>
      </c>
      <c r="S8" s="329">
        <f t="shared" si="2"/>
        <v>12652</v>
      </c>
      <c r="T8" s="329">
        <f t="shared" si="2"/>
        <v>12652</v>
      </c>
      <c r="U8" s="329">
        <f t="shared" si="2"/>
        <v>12652</v>
      </c>
      <c r="V8" s="329">
        <f t="shared" si="2"/>
        <v>12652</v>
      </c>
      <c r="W8" s="329">
        <f t="shared" si="2"/>
        <v>12652</v>
      </c>
      <c r="X8" s="329">
        <f t="shared" si="2"/>
        <v>12652</v>
      </c>
      <c r="Y8" s="329">
        <f t="shared" si="2"/>
        <v>12652</v>
      </c>
      <c r="Z8" s="329">
        <f t="shared" si="2"/>
        <v>12652</v>
      </c>
      <c r="AA8" s="329">
        <f t="shared" si="2"/>
        <v>12652</v>
      </c>
      <c r="AB8" s="329">
        <f t="shared" si="2"/>
        <v>12652</v>
      </c>
      <c r="AC8" s="329">
        <f>20*1000+2+450+4*550</f>
        <v>22652</v>
      </c>
      <c r="AD8" s="329">
        <f t="shared" ref="AD8:BC8" si="3">20*1000+2+450+4*550</f>
        <v>22652</v>
      </c>
      <c r="AE8" s="329">
        <f t="shared" si="3"/>
        <v>22652</v>
      </c>
      <c r="AF8" s="329">
        <f t="shared" si="3"/>
        <v>22652</v>
      </c>
      <c r="AG8" s="329">
        <f t="shared" si="3"/>
        <v>22652</v>
      </c>
      <c r="AH8" s="329">
        <f t="shared" si="3"/>
        <v>22652</v>
      </c>
      <c r="AI8" s="329">
        <f t="shared" si="3"/>
        <v>22652</v>
      </c>
      <c r="AJ8" s="329">
        <f t="shared" si="3"/>
        <v>22652</v>
      </c>
      <c r="AK8" s="329">
        <f t="shared" si="3"/>
        <v>22652</v>
      </c>
      <c r="AL8" s="329">
        <f t="shared" si="3"/>
        <v>22652</v>
      </c>
      <c r="AM8" s="329">
        <f t="shared" si="3"/>
        <v>22652</v>
      </c>
      <c r="AN8" s="329">
        <f t="shared" si="3"/>
        <v>22652</v>
      </c>
      <c r="AO8" s="329">
        <f t="shared" si="3"/>
        <v>22652</v>
      </c>
      <c r="AP8" s="329">
        <f t="shared" si="3"/>
        <v>22652</v>
      </c>
      <c r="AQ8" s="329">
        <f t="shared" si="3"/>
        <v>22652</v>
      </c>
      <c r="AR8" s="329">
        <f t="shared" si="3"/>
        <v>22652</v>
      </c>
      <c r="AS8" s="329">
        <f t="shared" si="3"/>
        <v>22652</v>
      </c>
      <c r="AT8" s="329">
        <f t="shared" si="3"/>
        <v>22652</v>
      </c>
      <c r="AU8" s="329">
        <f t="shared" si="3"/>
        <v>22652</v>
      </c>
      <c r="AV8" s="329">
        <f t="shared" si="3"/>
        <v>22652</v>
      </c>
      <c r="AW8" s="329">
        <f t="shared" si="3"/>
        <v>22652</v>
      </c>
      <c r="AX8" s="329">
        <f t="shared" si="3"/>
        <v>22652</v>
      </c>
      <c r="AY8" s="329">
        <f t="shared" si="3"/>
        <v>22652</v>
      </c>
      <c r="AZ8" s="329">
        <f t="shared" si="3"/>
        <v>22652</v>
      </c>
      <c r="BA8" s="329">
        <f t="shared" si="3"/>
        <v>22652</v>
      </c>
      <c r="BB8" s="329">
        <f t="shared" si="3"/>
        <v>22652</v>
      </c>
      <c r="BC8" s="329">
        <f t="shared" si="3"/>
        <v>22652</v>
      </c>
    </row>
    <row r="9" spans="1:55" x14ac:dyDescent="0.35">
      <c r="B9" s="41"/>
      <c r="AC9" s="305"/>
      <c r="AD9" s="305"/>
      <c r="AE9" s="305"/>
      <c r="AF9" s="305"/>
      <c r="AG9" s="305"/>
      <c r="AH9" s="305"/>
      <c r="AI9" s="305"/>
      <c r="AJ9" s="305"/>
      <c r="AK9" s="305"/>
      <c r="AL9" s="305"/>
      <c r="AM9" s="305"/>
      <c r="AN9" s="305"/>
      <c r="AO9" s="574"/>
      <c r="AP9" s="574"/>
      <c r="AQ9" s="574"/>
      <c r="AR9" s="574"/>
      <c r="AS9" s="574"/>
      <c r="AT9" s="574"/>
      <c r="AU9" s="574"/>
      <c r="AV9" s="574"/>
      <c r="AW9" s="574"/>
      <c r="AX9" s="574"/>
      <c r="AY9" s="574"/>
      <c r="AZ9" s="574"/>
      <c r="BA9" s="574"/>
      <c r="BB9" s="574"/>
      <c r="BC9" s="574"/>
    </row>
    <row r="10" spans="1:55" s="169" customFormat="1" x14ac:dyDescent="0.35">
      <c r="B10" s="34"/>
      <c r="E10" s="326"/>
      <c r="F10" s="326"/>
      <c r="G10" s="326"/>
      <c r="H10" s="326"/>
      <c r="I10" s="326"/>
      <c r="J10" s="326"/>
      <c r="K10" s="326"/>
      <c r="L10" s="326"/>
      <c r="M10" s="326"/>
      <c r="N10" s="326"/>
      <c r="O10" s="326"/>
      <c r="P10" s="326"/>
      <c r="Q10" s="326"/>
      <c r="R10" s="326"/>
      <c r="S10" s="326"/>
      <c r="T10" s="326"/>
      <c r="U10" s="326"/>
      <c r="V10" s="326"/>
      <c r="W10" s="326"/>
      <c r="X10" s="326"/>
      <c r="Y10" s="326"/>
      <c r="Z10" s="326"/>
      <c r="AA10" s="326"/>
      <c r="AB10" s="326"/>
      <c r="AC10" s="326"/>
      <c r="AD10" s="326"/>
      <c r="AE10" s="326"/>
      <c r="AF10" s="326"/>
      <c r="AG10" s="326"/>
      <c r="AH10" s="326"/>
      <c r="AI10" s="326"/>
      <c r="AJ10" s="326"/>
      <c r="AK10" s="326"/>
      <c r="AL10" s="326"/>
      <c r="AM10" s="326"/>
      <c r="AN10" s="326"/>
      <c r="AO10" s="326"/>
      <c r="AP10" s="326"/>
      <c r="AQ10" s="326"/>
      <c r="AR10" s="326"/>
      <c r="AS10" s="326"/>
      <c r="AT10" s="326"/>
      <c r="AU10" s="326"/>
      <c r="AV10" s="326"/>
      <c r="AW10" s="326"/>
      <c r="AX10" s="326"/>
      <c r="AY10" s="326"/>
      <c r="AZ10" s="326"/>
      <c r="BA10" s="326"/>
      <c r="BB10" s="326"/>
      <c r="BC10" s="326"/>
    </row>
    <row r="11" spans="1:55" s="169" customFormat="1" ht="15" thickBot="1" x14ac:dyDescent="0.4">
      <c r="B11" s="332" t="s">
        <v>50</v>
      </c>
      <c r="C11" s="333"/>
      <c r="D11" s="333"/>
      <c r="E11" s="334">
        <f>SUM(E7:E10)</f>
        <v>45019.283500000005</v>
      </c>
      <c r="F11" s="334">
        <f t="shared" ref="F11:AB11" si="4">SUM(F7:F10)</f>
        <v>41442.205100000006</v>
      </c>
      <c r="G11" s="334">
        <f t="shared" si="4"/>
        <v>42367.2068</v>
      </c>
      <c r="H11" s="334">
        <f t="shared" si="4"/>
        <v>46356.513100000004</v>
      </c>
      <c r="I11" s="334">
        <f t="shared" si="4"/>
        <v>47781.783100000001</v>
      </c>
      <c r="J11" s="334">
        <f t="shared" si="4"/>
        <v>45687.779300000002</v>
      </c>
      <c r="K11" s="334">
        <f t="shared" si="4"/>
        <v>44707.906840000003</v>
      </c>
      <c r="L11" s="334">
        <f t="shared" si="4"/>
        <v>49579.817800000004</v>
      </c>
      <c r="M11" s="334">
        <f t="shared" si="4"/>
        <v>51172.000000000007</v>
      </c>
      <c r="N11" s="334">
        <f t="shared" si="4"/>
        <v>52929.834603000003</v>
      </c>
      <c r="O11" s="334">
        <f t="shared" si="4"/>
        <v>53589.775024000002</v>
      </c>
      <c r="P11" s="334">
        <f t="shared" si="4"/>
        <v>59809.982426519346</v>
      </c>
      <c r="Q11" s="334">
        <f t="shared" si="4"/>
        <v>52819.12</v>
      </c>
      <c r="R11" s="334">
        <f t="shared" si="4"/>
        <v>47883.882704056661</v>
      </c>
      <c r="S11" s="334">
        <f t="shared" si="4"/>
        <v>44545.237608113326</v>
      </c>
      <c r="T11" s="334">
        <f t="shared" si="4"/>
        <v>41370.512212169997</v>
      </c>
      <c r="U11" s="334">
        <f t="shared" si="4"/>
        <v>38195.786816226653</v>
      </c>
      <c r="V11" s="334">
        <f t="shared" si="4"/>
        <v>37433.393736234204</v>
      </c>
      <c r="W11" s="334">
        <f t="shared" si="4"/>
        <v>39561.555399999997</v>
      </c>
      <c r="X11" s="334">
        <f t="shared" si="4"/>
        <v>44151.307000000001</v>
      </c>
      <c r="Y11" s="334">
        <f t="shared" si="4"/>
        <v>49146.955000000002</v>
      </c>
      <c r="Z11" s="334">
        <f t="shared" si="4"/>
        <v>54423.608199999995</v>
      </c>
      <c r="AA11" s="334">
        <f t="shared" si="4"/>
        <v>59247.5308</v>
      </c>
      <c r="AB11" s="334">
        <f t="shared" si="4"/>
        <v>63720.19690000001</v>
      </c>
      <c r="AC11" s="334">
        <f t="shared" ref="AC11:AN11" si="5">SUM(AC7:AC10)</f>
        <v>79472.997799999983</v>
      </c>
      <c r="AD11" s="334">
        <f t="shared" si="5"/>
        <v>84359.055141883233</v>
      </c>
      <c r="AE11" s="334">
        <f t="shared" si="5"/>
        <v>84215.24504188323</v>
      </c>
      <c r="AF11" s="334">
        <f t="shared" si="5"/>
        <v>91172.316141883231</v>
      </c>
      <c r="AG11" s="334">
        <f t="shared" si="5"/>
        <v>97110.223641883233</v>
      </c>
      <c r="AH11" s="334">
        <f t="shared" si="5"/>
        <v>102462.70364188323</v>
      </c>
      <c r="AI11" s="334">
        <f t="shared" si="5"/>
        <v>107279.93564188322</v>
      </c>
      <c r="AJ11" s="334">
        <f t="shared" si="5"/>
        <v>111561.91964188323</v>
      </c>
      <c r="AK11" s="334">
        <f t="shared" si="5"/>
        <v>115843.90364188324</v>
      </c>
      <c r="AL11" s="334">
        <f t="shared" si="5"/>
        <v>122166.52064188324</v>
      </c>
      <c r="AM11" s="334">
        <f t="shared" si="5"/>
        <v>128489.13764188322</v>
      </c>
      <c r="AN11" s="334">
        <f t="shared" si="5"/>
        <v>134811.75464188325</v>
      </c>
      <c r="AO11" s="334">
        <f t="shared" ref="AO11:BC11" si="6">SUM(AO7:AO10)</f>
        <v>141134.37164188325</v>
      </c>
      <c r="AP11" s="334">
        <f t="shared" si="6"/>
        <v>147456.98864188322</v>
      </c>
      <c r="AQ11" s="334">
        <f t="shared" si="6"/>
        <v>153779.60564188322</v>
      </c>
      <c r="AR11" s="334">
        <f t="shared" si="6"/>
        <v>160102.22264188319</v>
      </c>
      <c r="AS11" s="334">
        <f t="shared" si="6"/>
        <v>166424.83964188321</v>
      </c>
      <c r="AT11" s="334">
        <f t="shared" si="6"/>
        <v>172747.45664188321</v>
      </c>
      <c r="AU11" s="334">
        <f t="shared" si="6"/>
        <v>179070.07364188318</v>
      </c>
      <c r="AV11" s="334">
        <f t="shared" si="6"/>
        <v>185392.69064188324</v>
      </c>
      <c r="AW11" s="334">
        <f t="shared" si="6"/>
        <v>191715.30764188321</v>
      </c>
      <c r="AX11" s="334">
        <f t="shared" si="6"/>
        <v>198037.92464188318</v>
      </c>
      <c r="AY11" s="334">
        <f t="shared" si="6"/>
        <v>204360.54164188317</v>
      </c>
      <c r="AZ11" s="334">
        <f t="shared" si="6"/>
        <v>210683.1586418832</v>
      </c>
      <c r="BA11" s="334">
        <f t="shared" si="6"/>
        <v>22652</v>
      </c>
      <c r="BB11" s="334">
        <f t="shared" si="6"/>
        <v>22652</v>
      </c>
      <c r="BC11" s="334">
        <f t="shared" si="6"/>
        <v>22652</v>
      </c>
    </row>
    <row r="12" spans="1:55" s="34" customFormat="1" x14ac:dyDescent="0.35">
      <c r="A12" s="169"/>
      <c r="E12" s="202"/>
      <c r="F12" s="202"/>
      <c r="G12" s="202"/>
      <c r="H12" s="202"/>
      <c r="I12" s="202"/>
      <c r="J12" s="202"/>
      <c r="K12" s="202"/>
      <c r="L12" s="202"/>
      <c r="M12" s="202"/>
      <c r="N12" s="202"/>
      <c r="O12" s="202"/>
      <c r="P12" s="202"/>
      <c r="Q12" s="202"/>
      <c r="R12" s="202"/>
      <c r="S12" s="202"/>
      <c r="T12" s="202"/>
      <c r="U12" s="202"/>
      <c r="V12" s="202"/>
      <c r="W12" s="202"/>
      <c r="X12" s="202"/>
      <c r="Y12" s="202"/>
      <c r="Z12" s="202"/>
      <c r="AA12" s="202"/>
      <c r="AB12" s="202"/>
    </row>
    <row r="13" spans="1:55" s="169" customFormat="1" x14ac:dyDescent="0.35">
      <c r="B13" s="216"/>
      <c r="E13" s="38"/>
      <c r="F13" s="38"/>
      <c r="G13" s="38"/>
      <c r="H13" s="38"/>
      <c r="I13" s="38"/>
      <c r="J13" s="38"/>
      <c r="K13" s="38"/>
      <c r="L13" s="38"/>
      <c r="M13" s="38"/>
      <c r="N13" s="38"/>
      <c r="O13" s="38"/>
      <c r="P13" s="38"/>
      <c r="Q13" s="38"/>
      <c r="R13" s="38"/>
      <c r="S13" s="38"/>
      <c r="T13" s="38"/>
      <c r="U13" s="38"/>
      <c r="V13" s="38"/>
      <c r="W13" s="38"/>
      <c r="X13" s="38"/>
      <c r="Y13" s="38"/>
      <c r="Z13" s="38"/>
      <c r="AA13" s="38"/>
      <c r="AB13" s="38"/>
    </row>
    <row r="14" spans="1:55" s="169" customFormat="1" x14ac:dyDescent="0.35">
      <c r="B14" s="34"/>
      <c r="C14" s="34"/>
      <c r="D14" s="34"/>
      <c r="E14" s="202"/>
      <c r="F14" s="202"/>
      <c r="G14" s="202"/>
      <c r="H14" s="202"/>
      <c r="I14" s="202"/>
      <c r="J14" s="202"/>
      <c r="K14" s="202"/>
      <c r="L14" s="202"/>
      <c r="M14" s="202"/>
      <c r="N14" s="202"/>
      <c r="O14" s="202"/>
      <c r="P14" s="202"/>
      <c r="Q14" s="202"/>
      <c r="R14" s="202"/>
      <c r="S14" s="202"/>
      <c r="T14" s="202"/>
      <c r="U14" s="202"/>
      <c r="V14" s="202"/>
      <c r="W14" s="202"/>
      <c r="X14" s="202"/>
      <c r="Y14" s="202"/>
      <c r="Z14" s="202"/>
      <c r="AA14" s="202"/>
      <c r="AB14" s="202"/>
    </row>
    <row r="15" spans="1:55" s="169" customFormat="1" x14ac:dyDescent="0.35">
      <c r="B15" s="86"/>
      <c r="C15" s="86"/>
      <c r="D15" s="86"/>
      <c r="F15" s="217"/>
    </row>
    <row r="16" spans="1:55" s="169" customFormat="1" x14ac:dyDescent="0.35">
      <c r="B16" s="86"/>
      <c r="C16" s="87"/>
      <c r="E16" s="327"/>
      <c r="F16" s="327"/>
      <c r="G16" s="327"/>
      <c r="H16" s="327"/>
      <c r="I16" s="327"/>
      <c r="J16" s="327"/>
      <c r="K16" s="327"/>
      <c r="L16" s="327"/>
      <c r="M16" s="327"/>
      <c r="N16" s="327"/>
      <c r="O16" s="327"/>
      <c r="P16" s="327"/>
      <c r="Q16" s="327"/>
      <c r="R16" s="327"/>
      <c r="S16" s="327"/>
      <c r="T16" s="327"/>
      <c r="U16" s="327"/>
      <c r="V16" s="327"/>
      <c r="W16" s="327"/>
      <c r="X16" s="327"/>
      <c r="Y16" s="327"/>
      <c r="Z16" s="327"/>
      <c r="AA16" s="327"/>
      <c r="AB16" s="327"/>
    </row>
    <row r="17" spans="2:30" s="169" customFormat="1" x14ac:dyDescent="0.35">
      <c r="B17" s="216"/>
      <c r="F17" s="217"/>
    </row>
    <row r="18" spans="2:30" s="169" customFormat="1" x14ac:dyDescent="0.35">
      <c r="B18" s="216"/>
      <c r="F18" s="217"/>
    </row>
    <row r="19" spans="2:30" s="169" customFormat="1" x14ac:dyDescent="0.35">
      <c r="B19" s="328"/>
      <c r="F19" s="217"/>
    </row>
    <row r="20" spans="2:30" s="169" customFormat="1" x14ac:dyDescent="0.35">
      <c r="B20" s="330"/>
      <c r="F20" s="217"/>
    </row>
    <row r="21" spans="2:30" s="169" customFormat="1" x14ac:dyDescent="0.35">
      <c r="B21" s="330"/>
      <c r="F21" s="217"/>
    </row>
    <row r="22" spans="2:30" s="169" customFormat="1" x14ac:dyDescent="0.35">
      <c r="B22" s="69"/>
      <c r="F22" s="217"/>
    </row>
    <row r="23" spans="2:30" s="169" customFormat="1" x14ac:dyDescent="0.35">
      <c r="B23" s="69"/>
      <c r="F23" s="217"/>
      <c r="AD23" s="166"/>
    </row>
    <row r="24" spans="2:30" s="169" customFormat="1" x14ac:dyDescent="0.35">
      <c r="F24" s="217"/>
      <c r="AD24" s="329"/>
    </row>
    <row r="25" spans="2:30" x14ac:dyDescent="0.35">
      <c r="AD25" s="167"/>
    </row>
  </sheetData>
  <protectedRanges>
    <protectedRange password="C269" sqref="B1 C3 C1:D2" name="Inputs"/>
  </protectedRange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FFFF00"/>
  </sheetPr>
  <dimension ref="A1:DE84"/>
  <sheetViews>
    <sheetView showGridLines="0" zoomScale="80" zoomScaleNormal="80" workbookViewId="0">
      <pane xSplit="4" ySplit="1" topLeftCell="AJ2" activePane="bottomRight" state="frozen"/>
      <selection activeCell="C20" sqref="C20"/>
      <selection pane="topRight" activeCell="C20" sqref="C20"/>
      <selection pane="bottomLeft" activeCell="C20" sqref="C20"/>
      <selection pane="bottomRight" activeCell="AO27" sqref="AO27"/>
    </sheetView>
  </sheetViews>
  <sheetFormatPr defaultColWidth="9.1796875" defaultRowHeight="14.5" outlineLevelRow="1" outlineLevelCol="1" x14ac:dyDescent="0.35"/>
  <cols>
    <col min="1" max="1" width="33.453125" style="41" customWidth="1"/>
    <col min="2" max="2" width="14" style="41" customWidth="1"/>
    <col min="3" max="3" width="20.81640625" style="41" customWidth="1"/>
    <col min="4" max="4" width="26" style="16" customWidth="1"/>
    <col min="5" max="5" width="13.54296875" style="16" customWidth="1" outlineLevel="1"/>
    <col min="6" max="16" width="14.7265625" style="16" customWidth="1" outlineLevel="1"/>
    <col min="17" max="22" width="14.7265625" style="16" customWidth="1"/>
    <col min="23" max="28" width="14.7265625" style="183" customWidth="1"/>
    <col min="29" max="40" width="14.7265625" style="16" customWidth="1"/>
    <col min="41" max="41" width="14.81640625" customWidth="1"/>
    <col min="42" max="42" width="17.81640625" customWidth="1"/>
    <col min="43" max="45" width="11" bestFit="1" customWidth="1"/>
    <col min="46" max="46" width="12" bestFit="1" customWidth="1"/>
    <col min="47" max="47" width="7.54296875" bestFit="1" customWidth="1"/>
    <col min="48" max="48" width="11.1796875" bestFit="1" customWidth="1"/>
    <col min="49" max="49" width="13.7265625" bestFit="1" customWidth="1"/>
    <col min="50" max="50" width="12" bestFit="1" customWidth="1"/>
    <col min="51" max="51" width="13.453125" bestFit="1" customWidth="1"/>
    <col min="52" max="52" width="13.1796875" bestFit="1" customWidth="1"/>
    <col min="53" max="53" width="8.1796875" bestFit="1" customWidth="1"/>
    <col min="54" max="57" width="12" bestFit="1" customWidth="1"/>
    <col min="58" max="58" width="13" bestFit="1" customWidth="1"/>
    <col min="59" max="109" width="8.81640625" customWidth="1"/>
    <col min="110" max="16384" width="9.1796875" style="16"/>
  </cols>
  <sheetData>
    <row r="1" spans="1:52" s="1" customFormat="1" x14ac:dyDescent="0.35">
      <c r="A1" s="180"/>
      <c r="B1" s="181"/>
      <c r="C1" s="181"/>
      <c r="D1" s="154"/>
      <c r="E1" s="153">
        <f>'Cost Summary'!C3</f>
        <v>40909</v>
      </c>
      <c r="F1" s="153">
        <f>'Cost Summary'!D3</f>
        <v>40942</v>
      </c>
      <c r="G1" s="153">
        <f>'Cost Summary'!E3</f>
        <v>40975</v>
      </c>
      <c r="H1" s="153">
        <f>'Cost Summary'!F3</f>
        <v>41008</v>
      </c>
      <c r="I1" s="153">
        <f>'Cost Summary'!G3</f>
        <v>41041</v>
      </c>
      <c r="J1" s="153">
        <f>'Cost Summary'!H3</f>
        <v>41074</v>
      </c>
      <c r="K1" s="153">
        <f>'Cost Summary'!I3</f>
        <v>41107</v>
      </c>
      <c r="L1" s="153">
        <f>'Cost Summary'!J3</f>
        <v>41140</v>
      </c>
      <c r="M1" s="153">
        <f>'Cost Summary'!K3</f>
        <v>41173</v>
      </c>
      <c r="N1" s="153">
        <f>'Cost Summary'!L3</f>
        <v>41206</v>
      </c>
      <c r="O1" s="153">
        <f>'Cost Summary'!M3</f>
        <v>41239</v>
      </c>
      <c r="P1" s="153">
        <f>'Cost Summary'!N3</f>
        <v>41272</v>
      </c>
      <c r="Q1" s="153">
        <f>'Cost Summary'!O3</f>
        <v>41282</v>
      </c>
      <c r="R1" s="153">
        <f>'Cost Summary'!P3</f>
        <v>41312</v>
      </c>
      <c r="S1" s="153">
        <f>'Cost Summary'!Q3</f>
        <v>41342</v>
      </c>
      <c r="T1" s="153">
        <f>'Cost Summary'!R3</f>
        <v>41372</v>
      </c>
      <c r="U1" s="153">
        <f>'Cost Summary'!S3</f>
        <v>41402</v>
      </c>
      <c r="V1" s="153">
        <f>'Cost Summary'!T3</f>
        <v>41432</v>
      </c>
      <c r="W1" s="153">
        <f>'Cost Summary'!U3</f>
        <v>41462</v>
      </c>
      <c r="X1" s="153">
        <f>'Cost Summary'!V3</f>
        <v>41492</v>
      </c>
      <c r="Y1" s="153">
        <f>'Cost Summary'!W3</f>
        <v>41522</v>
      </c>
      <c r="Z1" s="153">
        <f>'Cost Summary'!X3</f>
        <v>41552</v>
      </c>
      <c r="AA1" s="153">
        <f>'Cost Summary'!Y3</f>
        <v>41582</v>
      </c>
      <c r="AB1" s="153">
        <f>'Cost Summary'!Z3</f>
        <v>41612</v>
      </c>
      <c r="AC1" s="153">
        <f>'Cost Summary'!AA3</f>
        <v>41642</v>
      </c>
      <c r="AD1" s="153">
        <f>'Cost Summary'!AB3</f>
        <v>41675</v>
      </c>
      <c r="AE1" s="153">
        <f>'Cost Summary'!AC3</f>
        <v>41708</v>
      </c>
      <c r="AF1" s="153">
        <f>'Cost Summary'!AD3</f>
        <v>41741</v>
      </c>
      <c r="AG1" s="153">
        <f>'Cost Summary'!AE3</f>
        <v>41774</v>
      </c>
      <c r="AH1" s="153">
        <f>'Cost Summary'!AF3</f>
        <v>41807</v>
      </c>
      <c r="AI1" s="153">
        <f>'Cost Summary'!AG3</f>
        <v>41840</v>
      </c>
      <c r="AJ1" s="153">
        <f>'Cost Summary'!AH3</f>
        <v>41873</v>
      </c>
      <c r="AK1" s="153">
        <f>'Cost Summary'!AI3</f>
        <v>41906</v>
      </c>
      <c r="AL1" s="153">
        <f>'Cost Summary'!AJ3</f>
        <v>41939</v>
      </c>
      <c r="AM1" s="153">
        <f>'Cost Summary'!AK3</f>
        <v>41972</v>
      </c>
      <c r="AN1" s="153">
        <f>'Cost Summary'!AL3</f>
        <v>41982</v>
      </c>
      <c r="AO1" s="153">
        <f>'Cost Summary'!AM3</f>
        <v>42012</v>
      </c>
      <c r="AP1" s="153">
        <f>'Cost Summary'!AN3</f>
        <v>42042</v>
      </c>
      <c r="AQ1" s="153">
        <f>'Cost Summary'!AO3</f>
        <v>42072</v>
      </c>
      <c r="AR1" s="153">
        <f>'Cost Summary'!AP3</f>
        <v>42102</v>
      </c>
      <c r="AS1" s="153">
        <f>'Cost Summary'!AQ3</f>
        <v>42132</v>
      </c>
      <c r="AT1" s="153">
        <f>'Cost Summary'!AR3</f>
        <v>42162</v>
      </c>
      <c r="AU1" s="153">
        <f>'Cost Summary'!AS3</f>
        <v>42192</v>
      </c>
      <c r="AV1" s="153">
        <f>'Cost Summary'!AT3</f>
        <v>42222</v>
      </c>
      <c r="AW1" s="153">
        <f>'Cost Summary'!AU3</f>
        <v>42252</v>
      </c>
      <c r="AX1" s="153">
        <f>'Cost Summary'!AV3</f>
        <v>42282</v>
      </c>
      <c r="AY1" s="153">
        <f>'Cost Summary'!AW3</f>
        <v>42312</v>
      </c>
      <c r="AZ1" s="153">
        <f>'Cost Summary'!AX3</f>
        <v>42342</v>
      </c>
    </row>
    <row r="2" spans="1:52" x14ac:dyDescent="0.35">
      <c r="B2" s="43"/>
      <c r="C2" s="43"/>
      <c r="D2" s="68" t="s">
        <v>230</v>
      </c>
    </row>
    <row r="3" spans="1:52" outlineLevel="1" x14ac:dyDescent="0.35">
      <c r="B3" s="43"/>
      <c r="C3" s="43"/>
      <c r="D3" s="69" t="s">
        <v>228</v>
      </c>
      <c r="E3" s="70">
        <f>'Voice Revenue'!B65</f>
        <v>629660</v>
      </c>
      <c r="F3" s="70">
        <f>'Voice Revenue'!C65</f>
        <v>508987</v>
      </c>
      <c r="G3" s="70">
        <f>'Voice Revenue'!D65</f>
        <v>602383</v>
      </c>
      <c r="H3" s="70">
        <f>'Voice Revenue'!E65</f>
        <v>683861</v>
      </c>
      <c r="I3" s="70">
        <f>'Voice Revenue'!F65</f>
        <v>775378</v>
      </c>
      <c r="J3" s="70">
        <f>'Voice Revenue'!G65</f>
        <v>709961</v>
      </c>
      <c r="K3" s="70">
        <f>'Voice Revenue'!H65</f>
        <v>752413</v>
      </c>
      <c r="L3" s="70">
        <f>'Voice Revenue'!I65</f>
        <v>723961.84</v>
      </c>
      <c r="M3" s="70">
        <f>'Voice Revenue'!J65</f>
        <v>704817</v>
      </c>
      <c r="N3" s="70">
        <f>'Voice Revenue'!K65</f>
        <v>1212324.74</v>
      </c>
      <c r="O3" s="70">
        <f>'Voice Revenue'!L65</f>
        <v>528293.51437280071</v>
      </c>
      <c r="P3" s="70">
        <f>'Voice Revenue'!M65</f>
        <v>553410.91332042182</v>
      </c>
      <c r="Q3" s="70">
        <f>'Voice Revenue'!N65</f>
        <v>608699.6294628412</v>
      </c>
      <c r="R3" s="70">
        <f>'Voice Revenue'!O65</f>
        <v>617364.49216662208</v>
      </c>
      <c r="S3" s="70">
        <f>'Voice Revenue'!P65</f>
        <v>620576.8059130105</v>
      </c>
      <c r="T3" s="70">
        <f>'Voice Revenue'!Q65</f>
        <v>554543.48907713534</v>
      </c>
      <c r="U3" s="70">
        <f>'Voice Revenue'!R65</f>
        <v>556183.06724665058</v>
      </c>
      <c r="V3" s="70">
        <f>'Voice Revenue'!S65</f>
        <v>557972.53991147131</v>
      </c>
      <c r="W3" s="70">
        <f>'Voice Revenue'!T65</f>
        <v>576472.60086528119</v>
      </c>
      <c r="X3" s="70">
        <f>'Voice Revenue'!U65</f>
        <v>598674.73572714056</v>
      </c>
      <c r="Y3" s="70">
        <f>'Voice Revenue'!V65</f>
        <v>614403.79084968718</v>
      </c>
      <c r="Z3" s="70">
        <f>'Voice Revenue'!W65</f>
        <v>623469.70874090411</v>
      </c>
      <c r="AA3" s="70">
        <f>'Voice Revenue'!X65</f>
        <v>624485.00930583582</v>
      </c>
      <c r="AB3" s="70">
        <f>'Voice Revenue'!Y65</f>
        <v>631834.9367682559</v>
      </c>
      <c r="AC3" s="70">
        <f>'Voice Revenue'!Z65</f>
        <v>636949.48282095836</v>
      </c>
      <c r="AD3" s="70">
        <f>'Voice Revenue'!AA65</f>
        <v>661525.80346880201</v>
      </c>
      <c r="AE3" s="70">
        <f>'Voice Revenue'!AB65</f>
        <v>696887.84361076681</v>
      </c>
      <c r="AF3" s="70">
        <f>'Voice Revenue'!AC65</f>
        <v>733319.59589369339</v>
      </c>
      <c r="AG3" s="70">
        <f>'Voice Revenue'!AD65</f>
        <v>784945.05514466064</v>
      </c>
      <c r="AH3" s="70">
        <f>'Voice Revenue'!AE65</f>
        <v>836118.04048826965</v>
      </c>
      <c r="AI3" s="70">
        <f>'Voice Revenue'!AF65</f>
        <v>732095.08984253765</v>
      </c>
      <c r="AJ3" s="70">
        <f>'Voice Revenue'!AG65</f>
        <v>759894.60202892008</v>
      </c>
      <c r="AK3" s="70">
        <f>'Voice Revenue'!AH65</f>
        <v>1049708.7332811269</v>
      </c>
      <c r="AL3" s="70">
        <f>'Voice Revenue'!AI65</f>
        <v>1100664.8292518253</v>
      </c>
      <c r="AM3" s="70">
        <f>'Voice Revenue'!AJ65</f>
        <v>926577.8053065897</v>
      </c>
      <c r="AN3" s="70">
        <f>'Voice Revenue'!AK65</f>
        <v>843635.31978871557</v>
      </c>
      <c r="AO3" s="70">
        <f>'Voice Revenue'!AL65</f>
        <v>1124004.5454962475</v>
      </c>
      <c r="AP3" s="70">
        <f>'Voice Revenue'!AM65</f>
        <v>1176255.3067043899</v>
      </c>
      <c r="AQ3" s="70">
        <f>'Voice Revenue'!AN65</f>
        <v>1234618.3386869784</v>
      </c>
      <c r="AR3" s="70">
        <f>'Voice Revenue'!AO65</f>
        <v>1286784.1685847309</v>
      </c>
      <c r="AS3" s="70">
        <f>'Voice Revenue'!AP65</f>
        <v>1333295.3369040345</v>
      </c>
      <c r="AT3" s="70">
        <f>'Voice Revenue'!AQ65</f>
        <v>1378322.8666879598</v>
      </c>
      <c r="AU3" s="70">
        <f>'Voice Revenue'!AR65</f>
        <v>1423417.8915742063</v>
      </c>
      <c r="AV3" s="70">
        <f>'Voice Revenue'!AS65</f>
        <v>1470285.7901849977</v>
      </c>
      <c r="AW3" s="70">
        <f>'Voice Revenue'!AT65</f>
        <v>1518722.5881824882</v>
      </c>
      <c r="AX3" s="70">
        <f>'Voice Revenue'!AU65</f>
        <v>1564082.5881824882</v>
      </c>
      <c r="AY3" s="70">
        <f>'Voice Revenue'!AV65</f>
        <v>1609442.5881824882</v>
      </c>
      <c r="AZ3" s="70">
        <f>'Voice Revenue'!AW65</f>
        <v>1654802.5881824882</v>
      </c>
    </row>
    <row r="4" spans="1:52" s="236" customFormat="1" outlineLevel="1" x14ac:dyDescent="0.35">
      <c r="A4" s="41"/>
      <c r="B4" s="43"/>
      <c r="C4" s="43"/>
      <c r="D4" s="69" t="s">
        <v>229</v>
      </c>
      <c r="E4" s="70">
        <v>0</v>
      </c>
      <c r="F4" s="70">
        <v>0</v>
      </c>
      <c r="G4" s="70">
        <v>0</v>
      </c>
      <c r="H4" s="70">
        <v>0</v>
      </c>
      <c r="I4" s="70">
        <v>0</v>
      </c>
      <c r="J4" s="70">
        <v>0</v>
      </c>
      <c r="K4" s="70">
        <v>0</v>
      </c>
      <c r="L4" s="70">
        <v>0</v>
      </c>
      <c r="M4" s="70">
        <v>0</v>
      </c>
      <c r="N4" s="70">
        <v>0</v>
      </c>
      <c r="O4" s="70">
        <v>0</v>
      </c>
      <c r="P4" s="70">
        <v>0</v>
      </c>
      <c r="Q4" s="70">
        <v>0</v>
      </c>
      <c r="R4" s="70">
        <v>0</v>
      </c>
      <c r="S4" s="70">
        <v>0</v>
      </c>
      <c r="T4" s="70">
        <v>0</v>
      </c>
      <c r="U4" s="70">
        <v>0</v>
      </c>
      <c r="V4" s="70">
        <v>0</v>
      </c>
      <c r="W4" s="70">
        <v>0</v>
      </c>
      <c r="X4" s="70">
        <v>0</v>
      </c>
      <c r="Y4" s="70">
        <v>0</v>
      </c>
      <c r="Z4" s="70">
        <v>0</v>
      </c>
      <c r="AA4" s="70">
        <v>0</v>
      </c>
      <c r="AB4" s="70">
        <v>0</v>
      </c>
      <c r="AC4" s="70">
        <v>0</v>
      </c>
      <c r="AD4" s="70">
        <v>0</v>
      </c>
      <c r="AE4" s="70">
        <v>0</v>
      </c>
      <c r="AF4" s="70">
        <v>0</v>
      </c>
      <c r="AG4" s="70">
        <v>0</v>
      </c>
      <c r="AH4" s="70">
        <v>0</v>
      </c>
      <c r="AI4" s="70">
        <v>0</v>
      </c>
      <c r="AJ4" s="70">
        <v>0</v>
      </c>
      <c r="AK4" s="70">
        <v>0</v>
      </c>
      <c r="AL4" s="70">
        <v>0</v>
      </c>
      <c r="AM4" s="70">
        <v>0</v>
      </c>
      <c r="AN4" s="70">
        <v>0</v>
      </c>
      <c r="AO4" s="70">
        <v>0</v>
      </c>
      <c r="AP4" s="70">
        <v>0</v>
      </c>
      <c r="AQ4" s="70">
        <v>0</v>
      </c>
      <c r="AR4" s="70">
        <v>0</v>
      </c>
      <c r="AS4" s="70">
        <v>0</v>
      </c>
      <c r="AT4" s="70">
        <v>0</v>
      </c>
      <c r="AU4" s="70">
        <v>0</v>
      </c>
      <c r="AV4" s="70">
        <v>0</v>
      </c>
      <c r="AW4" s="70">
        <v>0</v>
      </c>
      <c r="AX4" s="70">
        <v>0</v>
      </c>
      <c r="AY4" s="70">
        <v>0</v>
      </c>
      <c r="AZ4" s="70">
        <v>0</v>
      </c>
    </row>
    <row r="5" spans="1:52" ht="15" thickBot="1" x14ac:dyDescent="0.4">
      <c r="B5" s="43"/>
      <c r="C5" s="43"/>
      <c r="D5" s="68" t="s">
        <v>79</v>
      </c>
      <c r="E5" s="72">
        <f t="shared" ref="E5:AN5" si="0">SUM(E3:E4)</f>
        <v>629660</v>
      </c>
      <c r="F5" s="72">
        <f t="shared" si="0"/>
        <v>508987</v>
      </c>
      <c r="G5" s="72">
        <f t="shared" si="0"/>
        <v>602383</v>
      </c>
      <c r="H5" s="72">
        <f t="shared" si="0"/>
        <v>683861</v>
      </c>
      <c r="I5" s="72">
        <f t="shared" si="0"/>
        <v>775378</v>
      </c>
      <c r="J5" s="72">
        <f t="shared" si="0"/>
        <v>709961</v>
      </c>
      <c r="K5" s="72">
        <f t="shared" si="0"/>
        <v>752413</v>
      </c>
      <c r="L5" s="72">
        <f t="shared" si="0"/>
        <v>723961.84</v>
      </c>
      <c r="M5" s="72">
        <f t="shared" si="0"/>
        <v>704817</v>
      </c>
      <c r="N5" s="72">
        <f t="shared" si="0"/>
        <v>1212324.74</v>
      </c>
      <c r="O5" s="72">
        <f t="shared" si="0"/>
        <v>528293.51437280071</v>
      </c>
      <c r="P5" s="72">
        <f t="shared" si="0"/>
        <v>553410.91332042182</v>
      </c>
      <c r="Q5" s="72">
        <f t="shared" si="0"/>
        <v>608699.6294628412</v>
      </c>
      <c r="R5" s="72">
        <f t="shared" si="0"/>
        <v>617364.49216662208</v>
      </c>
      <c r="S5" s="72">
        <f t="shared" si="0"/>
        <v>620576.8059130105</v>
      </c>
      <c r="T5" s="72">
        <f t="shared" si="0"/>
        <v>554543.48907713534</v>
      </c>
      <c r="U5" s="72">
        <f t="shared" si="0"/>
        <v>556183.06724665058</v>
      </c>
      <c r="V5" s="72">
        <f t="shared" si="0"/>
        <v>557972.53991147131</v>
      </c>
      <c r="W5" s="72">
        <f t="shared" si="0"/>
        <v>576472.60086528119</v>
      </c>
      <c r="X5" s="72">
        <f t="shared" si="0"/>
        <v>598674.73572714056</v>
      </c>
      <c r="Y5" s="72">
        <f t="shared" si="0"/>
        <v>614403.79084968718</v>
      </c>
      <c r="Z5" s="72">
        <f t="shared" si="0"/>
        <v>623469.70874090411</v>
      </c>
      <c r="AA5" s="72">
        <f t="shared" si="0"/>
        <v>624485.00930583582</v>
      </c>
      <c r="AB5" s="72">
        <f t="shared" si="0"/>
        <v>631834.9367682559</v>
      </c>
      <c r="AC5" s="72">
        <f t="shared" si="0"/>
        <v>636949.48282095836</v>
      </c>
      <c r="AD5" s="72">
        <f t="shared" si="0"/>
        <v>661525.80346880201</v>
      </c>
      <c r="AE5" s="72">
        <f t="shared" si="0"/>
        <v>696887.84361076681</v>
      </c>
      <c r="AF5" s="72">
        <f t="shared" si="0"/>
        <v>733319.59589369339</v>
      </c>
      <c r="AG5" s="72">
        <f t="shared" si="0"/>
        <v>784945.05514466064</v>
      </c>
      <c r="AH5" s="72">
        <f t="shared" si="0"/>
        <v>836118.04048826965</v>
      </c>
      <c r="AI5" s="72">
        <f t="shared" si="0"/>
        <v>732095.08984253765</v>
      </c>
      <c r="AJ5" s="72">
        <f t="shared" si="0"/>
        <v>759894.60202892008</v>
      </c>
      <c r="AK5" s="72">
        <f t="shared" si="0"/>
        <v>1049708.7332811269</v>
      </c>
      <c r="AL5" s="72">
        <f t="shared" si="0"/>
        <v>1100664.8292518253</v>
      </c>
      <c r="AM5" s="72">
        <f t="shared" si="0"/>
        <v>926577.8053065897</v>
      </c>
      <c r="AN5" s="72">
        <f t="shared" si="0"/>
        <v>843635.31978871557</v>
      </c>
      <c r="AO5" s="72">
        <f t="shared" ref="AO5:AZ5" si="1">SUM(AO3:AO4)</f>
        <v>1124004.5454962475</v>
      </c>
      <c r="AP5" s="72">
        <f t="shared" si="1"/>
        <v>1176255.3067043899</v>
      </c>
      <c r="AQ5" s="72">
        <f t="shared" si="1"/>
        <v>1234618.3386869784</v>
      </c>
      <c r="AR5" s="72">
        <f t="shared" si="1"/>
        <v>1286784.1685847309</v>
      </c>
      <c r="AS5" s="72">
        <f t="shared" si="1"/>
        <v>1333295.3369040345</v>
      </c>
      <c r="AT5" s="72">
        <f t="shared" si="1"/>
        <v>1378322.8666879598</v>
      </c>
      <c r="AU5" s="72">
        <f t="shared" si="1"/>
        <v>1423417.8915742063</v>
      </c>
      <c r="AV5" s="72">
        <f t="shared" si="1"/>
        <v>1470285.7901849977</v>
      </c>
      <c r="AW5" s="72">
        <f t="shared" si="1"/>
        <v>1518722.5881824882</v>
      </c>
      <c r="AX5" s="72">
        <f t="shared" si="1"/>
        <v>1564082.5881824882</v>
      </c>
      <c r="AY5" s="72">
        <f t="shared" si="1"/>
        <v>1609442.5881824882</v>
      </c>
      <c r="AZ5" s="72">
        <f t="shared" si="1"/>
        <v>1654802.5881824882</v>
      </c>
    </row>
    <row r="6" spans="1:52" ht="15" thickTop="1" x14ac:dyDescent="0.35">
      <c r="W6" s="187"/>
      <c r="X6" s="187"/>
      <c r="Y6" s="187"/>
      <c r="Z6" s="187"/>
      <c r="AA6" s="187"/>
      <c r="AB6" s="187"/>
      <c r="AO6" s="574"/>
      <c r="AP6" s="574"/>
      <c r="AQ6" s="574"/>
      <c r="AR6" s="574"/>
      <c r="AS6" s="574"/>
      <c r="AT6" s="574"/>
      <c r="AU6" s="574"/>
      <c r="AV6" s="574"/>
      <c r="AW6" s="574"/>
      <c r="AX6" s="574"/>
      <c r="AY6" s="574"/>
      <c r="AZ6" s="574"/>
    </row>
    <row r="7" spans="1:52" x14ac:dyDescent="0.35">
      <c r="AO7" s="574"/>
      <c r="AP7" s="574"/>
      <c r="AQ7" s="574"/>
      <c r="AR7" s="574"/>
      <c r="AS7" s="574"/>
      <c r="AT7" s="574"/>
      <c r="AU7" s="574"/>
      <c r="AV7" s="574"/>
      <c r="AW7" s="574"/>
      <c r="AX7" s="574"/>
      <c r="AY7" s="574"/>
      <c r="AZ7" s="574"/>
    </row>
    <row r="8" spans="1:52" x14ac:dyDescent="0.35">
      <c r="B8" s="43"/>
      <c r="C8" s="43"/>
      <c r="D8" s="30" t="s">
        <v>227</v>
      </c>
      <c r="E8" s="67"/>
      <c r="F8" s="67"/>
      <c r="G8" s="67"/>
      <c r="H8" s="67"/>
      <c r="I8" s="67"/>
      <c r="J8" s="67"/>
      <c r="K8" s="67"/>
      <c r="L8" s="67"/>
      <c r="M8" s="67"/>
      <c r="N8" s="67"/>
      <c r="O8" s="67"/>
      <c r="P8" s="67"/>
      <c r="Q8" s="67"/>
      <c r="R8" s="67"/>
      <c r="S8" s="67"/>
      <c r="T8" s="67"/>
      <c r="U8" s="67"/>
      <c r="V8" s="67"/>
      <c r="W8" s="184"/>
      <c r="X8" s="184"/>
      <c r="Y8" s="184"/>
      <c r="Z8" s="184"/>
      <c r="AA8" s="184"/>
      <c r="AB8" s="184"/>
      <c r="AC8" s="67"/>
      <c r="AD8" s="67"/>
      <c r="AE8" s="67"/>
      <c r="AF8" s="67"/>
      <c r="AG8" s="67"/>
      <c r="AH8" s="67"/>
      <c r="AI8" s="67"/>
      <c r="AJ8" s="67"/>
      <c r="AK8" s="67"/>
      <c r="AL8" s="67"/>
      <c r="AM8" s="67"/>
      <c r="AN8" s="67"/>
      <c r="AO8" s="67"/>
      <c r="AP8" s="67"/>
      <c r="AQ8" s="67"/>
      <c r="AR8" s="67"/>
      <c r="AS8" s="67"/>
      <c r="AT8" s="67"/>
      <c r="AU8" s="67"/>
      <c r="AV8" s="67"/>
      <c r="AW8" s="67"/>
      <c r="AX8" s="67"/>
      <c r="AY8" s="67"/>
      <c r="AZ8" s="67"/>
    </row>
    <row r="9" spans="1:52" outlineLevel="1" x14ac:dyDescent="0.35">
      <c r="B9" s="43"/>
      <c r="C9" s="43"/>
      <c r="D9" s="16" t="s">
        <v>229</v>
      </c>
      <c r="E9" s="70">
        <v>0</v>
      </c>
      <c r="F9" s="70">
        <v>0</v>
      </c>
      <c r="G9" s="70">
        <v>0</v>
      </c>
      <c r="H9" s="70">
        <v>0</v>
      </c>
      <c r="I9" s="70">
        <v>0</v>
      </c>
      <c r="J9" s="70">
        <v>0</v>
      </c>
      <c r="K9" s="70">
        <v>0</v>
      </c>
      <c r="L9" s="70">
        <v>0</v>
      </c>
      <c r="M9" s="70">
        <v>0</v>
      </c>
      <c r="N9" s="70">
        <v>0</v>
      </c>
      <c r="O9" s="70">
        <v>0</v>
      </c>
      <c r="P9" s="70">
        <v>0</v>
      </c>
      <c r="Q9" s="70">
        <v>0</v>
      </c>
      <c r="R9" s="70">
        <v>0</v>
      </c>
      <c r="S9" s="70">
        <v>0</v>
      </c>
      <c r="T9" s="70">
        <v>0</v>
      </c>
      <c r="U9" s="70">
        <v>0</v>
      </c>
      <c r="V9" s="70">
        <v>0</v>
      </c>
      <c r="W9" s="70">
        <v>0</v>
      </c>
      <c r="X9" s="70">
        <v>0</v>
      </c>
      <c r="Y9" s="70">
        <v>0</v>
      </c>
      <c r="Z9" s="70">
        <v>0</v>
      </c>
      <c r="AA9" s="70">
        <v>0</v>
      </c>
      <c r="AB9" s="70">
        <v>0</v>
      </c>
      <c r="AC9" s="70">
        <v>0</v>
      </c>
      <c r="AD9" s="70">
        <v>0</v>
      </c>
      <c r="AE9" s="70">
        <v>0</v>
      </c>
      <c r="AF9" s="70">
        <v>0</v>
      </c>
      <c r="AG9" s="70">
        <v>0</v>
      </c>
      <c r="AH9" s="70">
        <v>0</v>
      </c>
      <c r="AI9" s="70">
        <v>0</v>
      </c>
      <c r="AJ9" s="70">
        <v>0</v>
      </c>
      <c r="AK9" s="70">
        <v>0</v>
      </c>
      <c r="AL9" s="70">
        <v>0</v>
      </c>
      <c r="AM9" s="70">
        <v>0</v>
      </c>
      <c r="AN9" s="70">
        <v>0</v>
      </c>
      <c r="AO9" s="70">
        <v>0</v>
      </c>
      <c r="AP9" s="70">
        <v>0</v>
      </c>
      <c r="AQ9" s="70">
        <v>0</v>
      </c>
      <c r="AR9" s="70">
        <v>0</v>
      </c>
      <c r="AS9" s="70">
        <v>0</v>
      </c>
      <c r="AT9" s="70">
        <v>0</v>
      </c>
      <c r="AU9" s="70">
        <v>0</v>
      </c>
      <c r="AV9" s="70">
        <v>0</v>
      </c>
      <c r="AW9" s="70">
        <v>0</v>
      </c>
      <c r="AX9" s="70">
        <v>0</v>
      </c>
      <c r="AY9" s="70">
        <v>0</v>
      </c>
      <c r="AZ9" s="70">
        <v>0</v>
      </c>
    </row>
    <row r="10" spans="1:52" outlineLevel="1" x14ac:dyDescent="0.35">
      <c r="B10" s="43"/>
      <c r="C10" s="43"/>
      <c r="D10" s="16" t="s">
        <v>228</v>
      </c>
      <c r="E10" s="61">
        <f>'Voice Revenue'!B65*0.22</f>
        <v>138525.20000000001</v>
      </c>
      <c r="F10" s="233">
        <f>'Voice Revenue'!C65*0.22</f>
        <v>111977.14</v>
      </c>
      <c r="G10" s="233">
        <f>'Voice Revenue'!D65*0.22</f>
        <v>132524.26</v>
      </c>
      <c r="H10" s="233">
        <f>'Voice Revenue'!E65*0.22</f>
        <v>150449.42000000001</v>
      </c>
      <c r="I10" s="233">
        <f>'Voice Revenue'!F65*0.22</f>
        <v>170583.16</v>
      </c>
      <c r="J10" s="233">
        <f>'Voice Revenue'!G65*0.22</f>
        <v>156191.42000000001</v>
      </c>
      <c r="K10" s="233">
        <f>'Voice Revenue'!H65*0.22</f>
        <v>165530.86000000002</v>
      </c>
      <c r="L10" s="233">
        <f>'Voice Revenue'!I65*0.22</f>
        <v>159271.6048</v>
      </c>
      <c r="M10" s="233">
        <f>'Voice Revenue'!J65*0.22</f>
        <v>155059.74</v>
      </c>
      <c r="N10" s="233">
        <f>'Voice Revenue'!K65*0.22</f>
        <v>266711.44280000002</v>
      </c>
      <c r="O10" s="233">
        <f>'Voice Revenue'!L65*0.22</f>
        <v>116224.57316201615</v>
      </c>
      <c r="P10" s="233">
        <f>'Voice Revenue'!M65*0.22</f>
        <v>121750.4009304928</v>
      </c>
      <c r="Q10" s="233">
        <f>'Voice Revenue'!N65*0.22</f>
        <v>133913.91848182507</v>
      </c>
      <c r="R10" s="233">
        <f>'Voice Revenue'!O65*0.22</f>
        <v>135820.18827665685</v>
      </c>
      <c r="S10" s="233">
        <f>'Voice Revenue'!P65*0.22</f>
        <v>136526.8973008623</v>
      </c>
      <c r="T10" s="233">
        <f>'Voice Revenue'!Q65*0.22</f>
        <v>121999.56759696978</v>
      </c>
      <c r="U10" s="233">
        <f>'Voice Revenue'!R65*0.22</f>
        <v>122360.27479426312</v>
      </c>
      <c r="V10" s="233">
        <f>'Voice Revenue'!S65*0.22</f>
        <v>122753.9587805237</v>
      </c>
      <c r="W10" s="233">
        <f>'Voice Revenue'!T65*0.15</f>
        <v>86470.890129792169</v>
      </c>
      <c r="X10" s="233">
        <f>'Voice Revenue'!U65*0.15</f>
        <v>89801.210359071076</v>
      </c>
      <c r="Y10" s="233">
        <f>'Voice Revenue'!V65*0.15</f>
        <v>92160.568627453074</v>
      </c>
      <c r="Z10" s="233">
        <f>'Voice Revenue'!W65*0.15</f>
        <v>93520.456311135611</v>
      </c>
      <c r="AA10" s="233">
        <f>'Voice Revenue'!X65*0.15</f>
        <v>93672.75139587537</v>
      </c>
      <c r="AB10" s="233">
        <f>'Voice Revenue'!Y65*0.15</f>
        <v>94775.240515238387</v>
      </c>
      <c r="AC10" s="233">
        <f>'Voice Revenue'!Z65*0.15</f>
        <v>95542.422423143755</v>
      </c>
      <c r="AD10" s="233">
        <f>'Voice Revenue'!AA65*0.15</f>
        <v>99228.870520320299</v>
      </c>
      <c r="AE10" s="233">
        <f>'Voice Revenue'!AB65*0.15</f>
        <v>104533.17654161502</v>
      </c>
      <c r="AF10" s="233">
        <f>'Voice Revenue'!AC65*0.15</f>
        <v>109997.939384054</v>
      </c>
      <c r="AG10" s="233">
        <f>'Voice Revenue'!AD65*0.15</f>
        <v>117741.75827169909</v>
      </c>
      <c r="AH10" s="233">
        <f>'Voice Revenue'!AE65*0.15</f>
        <v>125417.70607324044</v>
      </c>
      <c r="AI10" s="233">
        <f>'Voice Revenue'!AF65*0.15</f>
        <v>109814.26347638064</v>
      </c>
      <c r="AJ10" s="233">
        <f>'Voice Revenue'!AG65*0.15</f>
        <v>113984.19030433802</v>
      </c>
      <c r="AK10" s="233">
        <f>'Voice Revenue'!AH65*0.15</f>
        <v>157456.30999216903</v>
      </c>
      <c r="AL10" s="233">
        <f>'Voice Revenue'!AI65*0.15</f>
        <v>165099.72438777381</v>
      </c>
      <c r="AM10" s="233">
        <f>'Voice Revenue'!AJ65*0.15</f>
        <v>138986.67079598844</v>
      </c>
      <c r="AN10" s="233">
        <f>'Voice Revenue'!AK65*0.15</f>
        <v>126545.29796830734</v>
      </c>
      <c r="AO10" s="233">
        <f>'Voice Revenue'!AL65*0.15</f>
        <v>168600.68182443711</v>
      </c>
      <c r="AP10" s="233">
        <f>'Voice Revenue'!AM65*0.15</f>
        <v>176438.29600565849</v>
      </c>
      <c r="AQ10" s="233">
        <f>'Voice Revenue'!AN65*0.15</f>
        <v>185192.75080304677</v>
      </c>
      <c r="AR10" s="233">
        <f>'Voice Revenue'!AO65*0.15</f>
        <v>193017.62528770964</v>
      </c>
      <c r="AS10" s="233">
        <f>'Voice Revenue'!AP65*0.15</f>
        <v>199994.30053560517</v>
      </c>
      <c r="AT10" s="233">
        <f>'Voice Revenue'!AQ65*0.15</f>
        <v>206748.43000319396</v>
      </c>
      <c r="AU10" s="233">
        <f>'Voice Revenue'!AR65*0.15</f>
        <v>213512.68373613094</v>
      </c>
      <c r="AV10" s="233">
        <f>'Voice Revenue'!AS65*0.15</f>
        <v>220542.86852774964</v>
      </c>
      <c r="AW10" s="233">
        <f>'Voice Revenue'!AT65*0.15</f>
        <v>227808.38822737322</v>
      </c>
      <c r="AX10" s="233">
        <f>'Voice Revenue'!AU65*0.15</f>
        <v>234612.38822737322</v>
      </c>
      <c r="AY10" s="233">
        <f>'Voice Revenue'!AV65*0.15</f>
        <v>241416.38822737322</v>
      </c>
      <c r="AZ10" s="233">
        <f>'Voice Revenue'!AW65*0.15</f>
        <v>248220.38822737322</v>
      </c>
    </row>
    <row r="11" spans="1:52" ht="15" thickBot="1" x14ac:dyDescent="0.4">
      <c r="B11" s="43"/>
      <c r="C11" s="43"/>
      <c r="D11" s="30" t="s">
        <v>380</v>
      </c>
      <c r="E11" s="73">
        <f t="shared" ref="E11:AN11" si="2">SUM(E9:E10)</f>
        <v>138525.20000000001</v>
      </c>
      <c r="F11" s="73">
        <f t="shared" si="2"/>
        <v>111977.14</v>
      </c>
      <c r="G11" s="73">
        <f t="shared" si="2"/>
        <v>132524.26</v>
      </c>
      <c r="H11" s="73">
        <f t="shared" si="2"/>
        <v>150449.42000000001</v>
      </c>
      <c r="I11" s="73">
        <f t="shared" si="2"/>
        <v>170583.16</v>
      </c>
      <c r="J11" s="73">
        <f t="shared" si="2"/>
        <v>156191.42000000001</v>
      </c>
      <c r="K11" s="73">
        <f t="shared" si="2"/>
        <v>165530.86000000002</v>
      </c>
      <c r="L11" s="73">
        <f t="shared" si="2"/>
        <v>159271.6048</v>
      </c>
      <c r="M11" s="73">
        <f t="shared" si="2"/>
        <v>155059.74</v>
      </c>
      <c r="N11" s="73">
        <f t="shared" si="2"/>
        <v>266711.44280000002</v>
      </c>
      <c r="O11" s="73">
        <f t="shared" si="2"/>
        <v>116224.57316201615</v>
      </c>
      <c r="P11" s="73">
        <f t="shared" si="2"/>
        <v>121750.4009304928</v>
      </c>
      <c r="Q11" s="73">
        <f t="shared" si="2"/>
        <v>133913.91848182507</v>
      </c>
      <c r="R11" s="73">
        <f t="shared" si="2"/>
        <v>135820.18827665685</v>
      </c>
      <c r="S11" s="73">
        <f t="shared" si="2"/>
        <v>136526.8973008623</v>
      </c>
      <c r="T11" s="73">
        <f t="shared" si="2"/>
        <v>121999.56759696978</v>
      </c>
      <c r="U11" s="73">
        <f t="shared" si="2"/>
        <v>122360.27479426312</v>
      </c>
      <c r="V11" s="73">
        <f t="shared" si="2"/>
        <v>122753.9587805237</v>
      </c>
      <c r="W11" s="185">
        <f t="shared" si="2"/>
        <v>86470.890129792169</v>
      </c>
      <c r="X11" s="185">
        <f t="shared" si="2"/>
        <v>89801.210359071076</v>
      </c>
      <c r="Y11" s="185">
        <f t="shared" si="2"/>
        <v>92160.568627453074</v>
      </c>
      <c r="Z11" s="185">
        <f t="shared" si="2"/>
        <v>93520.456311135611</v>
      </c>
      <c r="AA11" s="185">
        <f t="shared" si="2"/>
        <v>93672.75139587537</v>
      </c>
      <c r="AB11" s="185">
        <f t="shared" si="2"/>
        <v>94775.240515238387</v>
      </c>
      <c r="AC11" s="73">
        <f t="shared" si="2"/>
        <v>95542.422423143755</v>
      </c>
      <c r="AD11" s="73">
        <f t="shared" si="2"/>
        <v>99228.870520320299</v>
      </c>
      <c r="AE11" s="73">
        <f t="shared" si="2"/>
        <v>104533.17654161502</v>
      </c>
      <c r="AF11" s="73">
        <f t="shared" si="2"/>
        <v>109997.939384054</v>
      </c>
      <c r="AG11" s="73">
        <f t="shared" si="2"/>
        <v>117741.75827169909</v>
      </c>
      <c r="AH11" s="73">
        <f t="shared" si="2"/>
        <v>125417.70607324044</v>
      </c>
      <c r="AI11" s="73">
        <f t="shared" si="2"/>
        <v>109814.26347638064</v>
      </c>
      <c r="AJ11" s="73">
        <f t="shared" si="2"/>
        <v>113984.19030433802</v>
      </c>
      <c r="AK11" s="73">
        <f t="shared" si="2"/>
        <v>157456.30999216903</v>
      </c>
      <c r="AL11" s="73">
        <f t="shared" si="2"/>
        <v>165099.72438777381</v>
      </c>
      <c r="AM11" s="73">
        <f t="shared" si="2"/>
        <v>138986.67079598844</v>
      </c>
      <c r="AN11" s="73">
        <f t="shared" si="2"/>
        <v>126545.29796830734</v>
      </c>
      <c r="AO11" s="73">
        <f t="shared" ref="AO11:AZ11" si="3">SUM(AO9:AO10)</f>
        <v>168600.68182443711</v>
      </c>
      <c r="AP11" s="73">
        <f t="shared" si="3"/>
        <v>176438.29600565849</v>
      </c>
      <c r="AQ11" s="73">
        <f t="shared" si="3"/>
        <v>185192.75080304677</v>
      </c>
      <c r="AR11" s="73">
        <f t="shared" si="3"/>
        <v>193017.62528770964</v>
      </c>
      <c r="AS11" s="73">
        <f t="shared" si="3"/>
        <v>199994.30053560517</v>
      </c>
      <c r="AT11" s="73">
        <f t="shared" si="3"/>
        <v>206748.43000319396</v>
      </c>
      <c r="AU11" s="73">
        <f t="shared" si="3"/>
        <v>213512.68373613094</v>
      </c>
      <c r="AV11" s="73">
        <f t="shared" si="3"/>
        <v>220542.86852774964</v>
      </c>
      <c r="AW11" s="73">
        <f t="shared" si="3"/>
        <v>227808.38822737322</v>
      </c>
      <c r="AX11" s="73">
        <f t="shared" si="3"/>
        <v>234612.38822737322</v>
      </c>
      <c r="AY11" s="73">
        <f t="shared" si="3"/>
        <v>241416.38822737322</v>
      </c>
      <c r="AZ11" s="73">
        <f t="shared" si="3"/>
        <v>248220.38822737322</v>
      </c>
    </row>
    <row r="12" spans="1:52" ht="15" thickTop="1" x14ac:dyDescent="0.35">
      <c r="B12" s="43"/>
      <c r="C12" s="43"/>
      <c r="D12" s="30"/>
      <c r="E12" s="71"/>
      <c r="F12" s="71"/>
      <c r="G12" s="71"/>
      <c r="H12" s="71"/>
      <c r="I12" s="71"/>
      <c r="J12" s="71"/>
      <c r="K12" s="71"/>
      <c r="L12" s="71"/>
      <c r="M12" s="71"/>
      <c r="N12" s="71"/>
      <c r="O12" s="71"/>
      <c r="P12" s="71"/>
      <c r="Q12" s="71"/>
      <c r="R12" s="71"/>
      <c r="S12" s="71"/>
      <c r="T12" s="71"/>
      <c r="U12" s="71"/>
      <c r="V12" s="71"/>
      <c r="W12" s="186"/>
      <c r="X12" s="186"/>
      <c r="Y12" s="186"/>
      <c r="Z12" s="186"/>
      <c r="AA12" s="186"/>
      <c r="AB12" s="186"/>
      <c r="AC12" s="71"/>
      <c r="AD12" s="71"/>
      <c r="AE12" s="71"/>
      <c r="AF12" s="71"/>
      <c r="AG12" s="71"/>
      <c r="AH12" s="71"/>
      <c r="AI12" s="71"/>
      <c r="AJ12" s="71"/>
      <c r="AK12" s="71"/>
      <c r="AL12" s="71"/>
      <c r="AM12" s="71"/>
      <c r="AN12" s="71"/>
      <c r="AO12" s="71"/>
      <c r="AP12" s="71"/>
      <c r="AQ12" s="71"/>
      <c r="AR12" s="71"/>
      <c r="AS12" s="71"/>
      <c r="AT12" s="71"/>
      <c r="AU12" s="71"/>
      <c r="AV12" s="71"/>
      <c r="AW12" s="71"/>
      <c r="AX12" s="71"/>
      <c r="AY12" s="71"/>
      <c r="AZ12" s="71"/>
    </row>
    <row r="13" spans="1:52" x14ac:dyDescent="0.35">
      <c r="B13" s="242"/>
      <c r="C13" s="43"/>
      <c r="D13" s="78" t="str">
        <f>Sensativities!B4</f>
        <v>CallFire</v>
      </c>
      <c r="E13" s="66"/>
      <c r="F13" s="66"/>
      <c r="G13" s="66"/>
      <c r="H13" s="66"/>
      <c r="I13" s="66"/>
      <c r="J13" s="66"/>
      <c r="K13" s="66"/>
      <c r="L13" s="66"/>
      <c r="M13" s="66"/>
      <c r="N13" s="66"/>
      <c r="O13" s="66"/>
      <c r="P13" s="66"/>
      <c r="Q13" s="66"/>
      <c r="R13" s="66"/>
      <c r="S13" s="66"/>
      <c r="T13" s="66"/>
      <c r="U13" s="66"/>
      <c r="V13" s="66"/>
      <c r="W13" s="188"/>
      <c r="X13" s="188"/>
      <c r="Y13" s="188"/>
      <c r="Z13" s="188"/>
      <c r="AA13" s="188"/>
      <c r="AB13" s="188"/>
      <c r="AC13" s="66"/>
      <c r="AD13" s="66"/>
      <c r="AE13" s="66"/>
      <c r="AF13" s="66"/>
      <c r="AG13" s="66"/>
      <c r="AH13" s="66"/>
      <c r="AI13" s="66"/>
      <c r="AJ13" s="66"/>
      <c r="AK13" s="66"/>
      <c r="AL13" s="66"/>
      <c r="AM13" s="66"/>
      <c r="AN13" s="66"/>
      <c r="AO13" s="66"/>
      <c r="AP13" s="66"/>
      <c r="AQ13" s="66"/>
      <c r="AR13" s="66"/>
      <c r="AS13" s="66"/>
      <c r="AT13" s="66"/>
      <c r="AU13" s="66"/>
      <c r="AV13" s="66"/>
      <c r="AW13" s="66"/>
      <c r="AX13" s="66"/>
      <c r="AY13" s="66"/>
      <c r="AZ13" s="66"/>
    </row>
    <row r="14" spans="1:52" ht="15" customHeight="1" outlineLevel="1" x14ac:dyDescent="0.35">
      <c r="B14" s="43"/>
      <c r="C14" s="43"/>
      <c r="D14" s="16" t="s">
        <v>192</v>
      </c>
      <c r="E14" s="74">
        <v>7500</v>
      </c>
      <c r="F14" s="74">
        <f t="shared" ref="F14:AN14" si="4">E14+(E14*E20)</f>
        <v>7537.5</v>
      </c>
      <c r="G14" s="74">
        <f t="shared" si="4"/>
        <v>7575.1875</v>
      </c>
      <c r="H14" s="74">
        <f t="shared" si="4"/>
        <v>7613.0634375</v>
      </c>
      <c r="I14" s="74">
        <f t="shared" si="4"/>
        <v>7651.1287546875001</v>
      </c>
      <c r="J14" s="74">
        <f t="shared" si="4"/>
        <v>7689.3843984609375</v>
      </c>
      <c r="K14" s="74">
        <f t="shared" si="4"/>
        <v>7727.8313204532424</v>
      </c>
      <c r="L14" s="74">
        <f t="shared" si="4"/>
        <v>7766.470477055509</v>
      </c>
      <c r="M14" s="74">
        <f t="shared" si="4"/>
        <v>7805.3028294407868</v>
      </c>
      <c r="N14" s="74">
        <f t="shared" si="4"/>
        <v>7844.3293435879905</v>
      </c>
      <c r="O14" s="74">
        <f t="shared" si="4"/>
        <v>7883.5509903059301</v>
      </c>
      <c r="P14" s="74">
        <f t="shared" si="4"/>
        <v>7922.9687452574599</v>
      </c>
      <c r="Q14" s="74">
        <f t="shared" si="4"/>
        <v>7962.5835889837472</v>
      </c>
      <c r="R14" s="74">
        <f t="shared" si="4"/>
        <v>8002.396506928666</v>
      </c>
      <c r="S14" s="74">
        <f t="shared" si="4"/>
        <v>8042.4084894633097</v>
      </c>
      <c r="T14" s="74">
        <f t="shared" si="4"/>
        <v>8082.6205319106266</v>
      </c>
      <c r="U14" s="74">
        <f t="shared" si="4"/>
        <v>8123.0336345701799</v>
      </c>
      <c r="V14" s="74">
        <f t="shared" si="4"/>
        <v>8163.6488027430305</v>
      </c>
      <c r="W14" s="74">
        <f t="shared" si="4"/>
        <v>8204.4670467567448</v>
      </c>
      <c r="X14" s="74">
        <f t="shared" si="4"/>
        <v>8245.4893819905283</v>
      </c>
      <c r="Y14" s="74">
        <f t="shared" si="4"/>
        <v>8286.7168289004803</v>
      </c>
      <c r="Z14" s="74">
        <f t="shared" si="4"/>
        <v>8328.150413044983</v>
      </c>
      <c r="AA14" s="74">
        <f t="shared" si="4"/>
        <v>8369.7911651102077</v>
      </c>
      <c r="AB14" s="74">
        <f t="shared" si="4"/>
        <v>8411.6401209357591</v>
      </c>
      <c r="AC14" s="74">
        <f t="shared" si="4"/>
        <v>8453.698321540438</v>
      </c>
      <c r="AD14" s="74">
        <f t="shared" si="4"/>
        <v>8495.9668131481394</v>
      </c>
      <c r="AE14" s="74">
        <f t="shared" si="4"/>
        <v>8538.4466472138793</v>
      </c>
      <c r="AF14" s="74">
        <f t="shared" si="4"/>
        <v>8581.1388804499493</v>
      </c>
      <c r="AG14" s="74">
        <f t="shared" si="4"/>
        <v>8624.0445748521997</v>
      </c>
      <c r="AH14" s="74">
        <f t="shared" si="4"/>
        <v>8667.1647977264602</v>
      </c>
      <c r="AI14" s="74">
        <f t="shared" si="4"/>
        <v>8710.5006217150931</v>
      </c>
      <c r="AJ14" s="74">
        <f t="shared" si="4"/>
        <v>8754.0531248236694</v>
      </c>
      <c r="AK14" s="74">
        <f t="shared" si="4"/>
        <v>8797.8233904477875</v>
      </c>
      <c r="AL14" s="74">
        <f t="shared" si="4"/>
        <v>8841.8125074000272</v>
      </c>
      <c r="AM14" s="74">
        <f t="shared" si="4"/>
        <v>8886.0215699370274</v>
      </c>
      <c r="AN14" s="74">
        <f t="shared" si="4"/>
        <v>8930.451677786712</v>
      </c>
      <c r="AO14" s="74">
        <f t="shared" ref="AO14" si="5">AN14+(AN14*AN20)</f>
        <v>8975.1039361756448</v>
      </c>
      <c r="AP14" s="74">
        <f t="shared" ref="AP14" si="6">AO14+(AO14*AO20)</f>
        <v>9019.9794558565227</v>
      </c>
      <c r="AQ14" s="74">
        <f t="shared" ref="AQ14" si="7">AP14+(AP14*AP20)</f>
        <v>9065.0793531358049</v>
      </c>
      <c r="AR14" s="74">
        <f t="shared" ref="AR14" si="8">AQ14+(AQ14*AQ20)</f>
        <v>9110.4047499014832</v>
      </c>
      <c r="AS14" s="74">
        <f t="shared" ref="AS14" si="9">AR14+(AR14*AR20)</f>
        <v>9155.9567736509907</v>
      </c>
      <c r="AT14" s="74">
        <f t="shared" ref="AT14" si="10">AS14+(AS14*AS20)</f>
        <v>9201.7365575192453</v>
      </c>
      <c r="AU14" s="74">
        <f t="shared" ref="AU14" si="11">AT14+(AT14*AT20)</f>
        <v>9247.7452403068419</v>
      </c>
      <c r="AV14" s="74">
        <f t="shared" ref="AV14" si="12">AU14+(AU14*AU20)</f>
        <v>9293.9839665083764</v>
      </c>
      <c r="AW14" s="74">
        <f t="shared" ref="AW14" si="13">AV14+(AV14*AV20)</f>
        <v>9340.453886340918</v>
      </c>
      <c r="AX14" s="74">
        <f t="shared" ref="AX14" si="14">AW14+(AW14*AW20)</f>
        <v>9387.1561557726218</v>
      </c>
      <c r="AY14" s="74">
        <f t="shared" ref="AY14" si="15">AX14+(AX14*AX20)</f>
        <v>9434.0919365514856</v>
      </c>
      <c r="AZ14" s="74">
        <f t="shared" ref="AZ14" si="16">AY14+(AY14*AY20)</f>
        <v>9481.2623962342423</v>
      </c>
    </row>
    <row r="15" spans="1:52" ht="15" customHeight="1" outlineLevel="1" x14ac:dyDescent="0.35">
      <c r="B15" s="43"/>
      <c r="C15" s="43"/>
      <c r="D15" s="16" t="s">
        <v>149</v>
      </c>
      <c r="E15" s="317">
        <v>235000</v>
      </c>
      <c r="F15" s="317">
        <v>235000</v>
      </c>
      <c r="G15" s="317">
        <v>235000</v>
      </c>
      <c r="H15" s="317">
        <v>235000</v>
      </c>
      <c r="I15" s="317">
        <v>235000</v>
      </c>
      <c r="J15" s="317">
        <v>235000</v>
      </c>
      <c r="K15" s="317">
        <v>235000</v>
      </c>
      <c r="L15" s="317">
        <v>235000</v>
      </c>
      <c r="M15" s="317">
        <v>235000</v>
      </c>
      <c r="N15" s="317">
        <v>235000</v>
      </c>
      <c r="O15" s="317">
        <v>235000</v>
      </c>
      <c r="P15" s="317">
        <v>235000</v>
      </c>
      <c r="Q15" s="317">
        <v>235000</v>
      </c>
      <c r="R15" s="317">
        <v>235000</v>
      </c>
      <c r="S15" s="317">
        <v>235000</v>
      </c>
      <c r="T15" s="317">
        <v>235000</v>
      </c>
      <c r="U15" s="317">
        <v>235000</v>
      </c>
      <c r="V15" s="317">
        <v>235000</v>
      </c>
      <c r="W15" s="317">
        <v>235000</v>
      </c>
      <c r="X15" s="317">
        <v>235000</v>
      </c>
      <c r="Y15" s="317">
        <v>235000</v>
      </c>
      <c r="Z15" s="317">
        <v>235000</v>
      </c>
      <c r="AA15" s="317">
        <v>235000</v>
      </c>
      <c r="AB15" s="317">
        <v>235000</v>
      </c>
      <c r="AC15" s="317">
        <v>235000</v>
      </c>
      <c r="AD15" s="317">
        <v>235000</v>
      </c>
      <c r="AE15" s="317">
        <v>235000</v>
      </c>
      <c r="AF15" s="317">
        <v>235000</v>
      </c>
      <c r="AG15" s="317">
        <v>235000</v>
      </c>
      <c r="AH15" s="317">
        <v>235000</v>
      </c>
      <c r="AI15" s="317">
        <v>235000</v>
      </c>
      <c r="AJ15" s="317">
        <v>235000</v>
      </c>
      <c r="AK15" s="317">
        <v>235000</v>
      </c>
      <c r="AL15" s="317">
        <v>235000</v>
      </c>
      <c r="AM15" s="317">
        <v>235000</v>
      </c>
      <c r="AN15" s="317">
        <v>235000</v>
      </c>
      <c r="AO15" s="317">
        <v>235000</v>
      </c>
      <c r="AP15" s="317">
        <v>235000</v>
      </c>
      <c r="AQ15" s="317">
        <v>235000</v>
      </c>
      <c r="AR15" s="317">
        <v>235000</v>
      </c>
      <c r="AS15" s="317">
        <v>235000</v>
      </c>
      <c r="AT15" s="317">
        <v>235000</v>
      </c>
      <c r="AU15" s="317">
        <v>235000</v>
      </c>
      <c r="AV15" s="317">
        <v>235000</v>
      </c>
      <c r="AW15" s="317">
        <v>235000</v>
      </c>
      <c r="AX15" s="317">
        <v>235000</v>
      </c>
      <c r="AY15" s="317">
        <v>235000</v>
      </c>
      <c r="AZ15" s="317">
        <v>235000</v>
      </c>
    </row>
    <row r="16" spans="1:52" ht="15" customHeight="1" outlineLevel="1" x14ac:dyDescent="0.35">
      <c r="B16" s="43"/>
      <c r="C16" s="43"/>
      <c r="AO16" s="574"/>
      <c r="AP16" s="574"/>
      <c r="AQ16" s="574"/>
      <c r="AR16" s="574"/>
      <c r="AS16" s="574"/>
      <c r="AT16" s="574"/>
      <c r="AU16" s="574"/>
      <c r="AV16" s="574"/>
      <c r="AW16" s="574"/>
      <c r="AX16" s="574"/>
      <c r="AY16" s="574"/>
      <c r="AZ16" s="574"/>
    </row>
    <row r="17" spans="1:55" ht="15" customHeight="1" outlineLevel="1" x14ac:dyDescent="0.35">
      <c r="B17" s="43"/>
      <c r="C17" s="43"/>
      <c r="D17" s="16" t="s">
        <v>80</v>
      </c>
      <c r="T17" s="22"/>
      <c r="AO17" s="574"/>
      <c r="AP17" s="574"/>
      <c r="AQ17" s="574"/>
      <c r="AR17" s="574"/>
      <c r="AS17" s="574"/>
      <c r="AT17" s="574"/>
      <c r="AU17" s="574"/>
      <c r="AV17" s="574"/>
      <c r="AW17" s="574"/>
      <c r="AX17" s="574"/>
      <c r="AY17" s="574"/>
      <c r="AZ17" s="574"/>
    </row>
    <row r="18" spans="1:55" s="236" customFormat="1" ht="15" customHeight="1" outlineLevel="1" x14ac:dyDescent="0.35">
      <c r="A18" s="41"/>
      <c r="B18" s="43"/>
      <c r="C18" s="43"/>
      <c r="D18" s="164" t="s">
        <v>195</v>
      </c>
      <c r="E18" s="241">
        <v>2</v>
      </c>
      <c r="F18" s="241">
        <v>2</v>
      </c>
      <c r="G18" s="241">
        <v>2</v>
      </c>
      <c r="H18" s="241">
        <v>2</v>
      </c>
      <c r="I18" s="241">
        <v>2</v>
      </c>
      <c r="J18" s="241">
        <v>2</v>
      </c>
      <c r="K18" s="241">
        <v>2</v>
      </c>
      <c r="L18" s="241">
        <v>2</v>
      </c>
      <c r="M18" s="241">
        <v>2</v>
      </c>
      <c r="N18" s="241">
        <v>2</v>
      </c>
      <c r="O18" s="241">
        <v>2</v>
      </c>
      <c r="P18" s="241">
        <v>2</v>
      </c>
      <c r="Q18" s="241">
        <v>2</v>
      </c>
      <c r="R18" s="241">
        <v>2</v>
      </c>
      <c r="S18" s="241">
        <v>2</v>
      </c>
      <c r="T18" s="241">
        <v>2</v>
      </c>
      <c r="U18" s="241">
        <v>2</v>
      </c>
      <c r="V18" s="241">
        <v>2</v>
      </c>
      <c r="W18" s="241">
        <v>2</v>
      </c>
      <c r="X18" s="241">
        <v>2</v>
      </c>
      <c r="Y18" s="241">
        <v>2</v>
      </c>
      <c r="Z18" s="241">
        <v>2</v>
      </c>
      <c r="AA18" s="241">
        <v>2</v>
      </c>
      <c r="AB18" s="241">
        <v>2</v>
      </c>
      <c r="AC18" s="241">
        <v>2</v>
      </c>
      <c r="AD18" s="241">
        <v>2</v>
      </c>
      <c r="AE18" s="241">
        <v>2</v>
      </c>
      <c r="AF18" s="241">
        <v>2</v>
      </c>
      <c r="AG18" s="241">
        <v>2</v>
      </c>
      <c r="AH18" s="241">
        <v>2</v>
      </c>
      <c r="AI18" s="241">
        <v>2</v>
      </c>
      <c r="AJ18" s="241">
        <v>2</v>
      </c>
      <c r="AK18" s="241">
        <v>2</v>
      </c>
      <c r="AL18" s="241">
        <v>2</v>
      </c>
      <c r="AM18" s="241">
        <v>2</v>
      </c>
      <c r="AN18" s="241">
        <v>2</v>
      </c>
      <c r="AO18" s="241">
        <v>2</v>
      </c>
      <c r="AP18" s="241">
        <v>2</v>
      </c>
      <c r="AQ18" s="241">
        <v>2</v>
      </c>
      <c r="AR18" s="241">
        <v>2</v>
      </c>
      <c r="AS18" s="241">
        <v>2</v>
      </c>
      <c r="AT18" s="241">
        <v>2</v>
      </c>
      <c r="AU18" s="241">
        <v>2</v>
      </c>
      <c r="AV18" s="241">
        <v>2</v>
      </c>
      <c r="AW18" s="241">
        <v>2</v>
      </c>
      <c r="AX18" s="241">
        <v>2</v>
      </c>
      <c r="AY18" s="241">
        <v>2</v>
      </c>
      <c r="AZ18" s="241">
        <v>2</v>
      </c>
    </row>
    <row r="19" spans="1:55" ht="15" customHeight="1" outlineLevel="1" x14ac:dyDescent="0.35">
      <c r="B19" s="43"/>
      <c r="C19" s="43"/>
      <c r="D19" s="63" t="s">
        <v>193</v>
      </c>
      <c r="E19" s="241">
        <v>20</v>
      </c>
      <c r="F19" s="241">
        <v>20</v>
      </c>
      <c r="G19" s="241">
        <v>20</v>
      </c>
      <c r="H19" s="241">
        <v>20</v>
      </c>
      <c r="I19" s="241">
        <v>20</v>
      </c>
      <c r="J19" s="241">
        <v>20</v>
      </c>
      <c r="K19" s="241">
        <v>20</v>
      </c>
      <c r="L19" s="241">
        <v>20</v>
      </c>
      <c r="M19" s="241">
        <v>20</v>
      </c>
      <c r="N19" s="241">
        <v>20</v>
      </c>
      <c r="O19" s="241">
        <v>20</v>
      </c>
      <c r="P19" s="241">
        <v>20</v>
      </c>
      <c r="Q19" s="241">
        <v>20</v>
      </c>
      <c r="R19" s="241">
        <v>20</v>
      </c>
      <c r="S19" s="241">
        <v>20</v>
      </c>
      <c r="T19" s="241">
        <v>20</v>
      </c>
      <c r="U19" s="241">
        <v>20</v>
      </c>
      <c r="V19" s="241">
        <v>20</v>
      </c>
      <c r="W19" s="241">
        <v>20</v>
      </c>
      <c r="X19" s="241">
        <v>20</v>
      </c>
      <c r="Y19" s="241">
        <v>20</v>
      </c>
      <c r="Z19" s="241">
        <v>20</v>
      </c>
      <c r="AA19" s="241">
        <v>20</v>
      </c>
      <c r="AB19" s="241">
        <v>20</v>
      </c>
      <c r="AC19" s="241">
        <v>20</v>
      </c>
      <c r="AD19" s="241">
        <v>20</v>
      </c>
      <c r="AE19" s="241">
        <v>20</v>
      </c>
      <c r="AF19" s="241">
        <v>20</v>
      </c>
      <c r="AG19" s="241">
        <v>20</v>
      </c>
      <c r="AH19" s="241">
        <v>20</v>
      </c>
      <c r="AI19" s="241">
        <v>20</v>
      </c>
      <c r="AJ19" s="241">
        <v>20</v>
      </c>
      <c r="AK19" s="241">
        <v>20</v>
      </c>
      <c r="AL19" s="241">
        <v>20</v>
      </c>
      <c r="AM19" s="241">
        <v>20</v>
      </c>
      <c r="AN19" s="241">
        <v>20</v>
      </c>
      <c r="AO19" s="241">
        <v>20</v>
      </c>
      <c r="AP19" s="241">
        <v>20</v>
      </c>
      <c r="AQ19" s="241">
        <v>20</v>
      </c>
      <c r="AR19" s="241">
        <v>20</v>
      </c>
      <c r="AS19" s="241">
        <v>20</v>
      </c>
      <c r="AT19" s="241">
        <v>20</v>
      </c>
      <c r="AU19" s="241">
        <v>20</v>
      </c>
      <c r="AV19" s="241">
        <v>20</v>
      </c>
      <c r="AW19" s="241">
        <v>20</v>
      </c>
      <c r="AX19" s="241">
        <v>20</v>
      </c>
      <c r="AY19" s="241">
        <v>20</v>
      </c>
      <c r="AZ19" s="241">
        <v>20</v>
      </c>
    </row>
    <row r="20" spans="1:55" ht="15" customHeight="1" outlineLevel="1" x14ac:dyDescent="0.35">
      <c r="B20" s="43"/>
      <c r="C20" s="43"/>
      <c r="D20" s="63" t="s">
        <v>81</v>
      </c>
      <c r="E20" s="75">
        <v>5.0000000000000001E-3</v>
      </c>
      <c r="F20" s="172">
        <v>5.0000000000000001E-3</v>
      </c>
      <c r="G20" s="172">
        <v>5.0000000000000001E-3</v>
      </c>
      <c r="H20" s="172">
        <v>5.0000000000000001E-3</v>
      </c>
      <c r="I20" s="172">
        <v>5.0000000000000001E-3</v>
      </c>
      <c r="J20" s="172">
        <v>5.0000000000000001E-3</v>
      </c>
      <c r="K20" s="172">
        <v>5.0000000000000001E-3</v>
      </c>
      <c r="L20" s="172">
        <v>5.0000000000000001E-3</v>
      </c>
      <c r="M20" s="172">
        <v>5.0000000000000001E-3</v>
      </c>
      <c r="N20" s="172">
        <v>5.0000000000000001E-3</v>
      </c>
      <c r="O20" s="172">
        <v>5.0000000000000001E-3</v>
      </c>
      <c r="P20" s="172">
        <v>5.0000000000000001E-3</v>
      </c>
      <c r="Q20" s="172">
        <v>5.0000000000000001E-3</v>
      </c>
      <c r="R20" s="172">
        <v>5.0000000000000001E-3</v>
      </c>
      <c r="S20" s="172">
        <v>5.0000000000000001E-3</v>
      </c>
      <c r="T20" s="172">
        <v>5.0000000000000001E-3</v>
      </c>
      <c r="U20" s="172">
        <v>5.0000000000000001E-3</v>
      </c>
      <c r="V20" s="172">
        <v>5.0000000000000001E-3</v>
      </c>
      <c r="W20" s="172">
        <v>5.0000000000000001E-3</v>
      </c>
      <c r="X20" s="172">
        <v>5.0000000000000001E-3</v>
      </c>
      <c r="Y20" s="172">
        <v>5.0000000000000001E-3</v>
      </c>
      <c r="Z20" s="172">
        <v>5.0000000000000001E-3</v>
      </c>
      <c r="AA20" s="172">
        <v>5.0000000000000001E-3</v>
      </c>
      <c r="AB20" s="172">
        <v>5.0000000000000001E-3</v>
      </c>
      <c r="AC20" s="172">
        <v>5.0000000000000001E-3</v>
      </c>
      <c r="AD20" s="172">
        <v>5.0000000000000001E-3</v>
      </c>
      <c r="AE20" s="172">
        <v>5.0000000000000001E-3</v>
      </c>
      <c r="AF20" s="172">
        <v>5.0000000000000001E-3</v>
      </c>
      <c r="AG20" s="172">
        <v>5.0000000000000001E-3</v>
      </c>
      <c r="AH20" s="172">
        <v>5.0000000000000001E-3</v>
      </c>
      <c r="AI20" s="172">
        <v>5.0000000000000001E-3</v>
      </c>
      <c r="AJ20" s="172">
        <v>5.0000000000000001E-3</v>
      </c>
      <c r="AK20" s="172">
        <v>5.0000000000000001E-3</v>
      </c>
      <c r="AL20" s="172">
        <v>5.0000000000000001E-3</v>
      </c>
      <c r="AM20" s="172">
        <v>5.0000000000000001E-3</v>
      </c>
      <c r="AN20" s="172">
        <v>5.0000000000000001E-3</v>
      </c>
      <c r="AO20" s="172">
        <v>5.0000000000000001E-3</v>
      </c>
      <c r="AP20" s="172">
        <v>5.0000000000000001E-3</v>
      </c>
      <c r="AQ20" s="172">
        <v>5.0000000000000001E-3</v>
      </c>
      <c r="AR20" s="172">
        <v>5.0000000000000001E-3</v>
      </c>
      <c r="AS20" s="172">
        <v>5.0000000000000001E-3</v>
      </c>
      <c r="AT20" s="172">
        <v>5.0000000000000001E-3</v>
      </c>
      <c r="AU20" s="172">
        <v>5.0000000000000001E-3</v>
      </c>
      <c r="AV20" s="172">
        <v>5.0000000000000001E-3</v>
      </c>
      <c r="AW20" s="172">
        <v>5.0000000000000001E-3</v>
      </c>
      <c r="AX20" s="172">
        <v>5.0000000000000001E-3</v>
      </c>
      <c r="AY20" s="172">
        <v>5.0000000000000001E-3</v>
      </c>
      <c r="AZ20" s="172">
        <v>5.0000000000000001E-3</v>
      </c>
    </row>
    <row r="21" spans="1:55" ht="15" customHeight="1" outlineLevel="1" x14ac:dyDescent="0.35">
      <c r="B21" s="43"/>
      <c r="C21" s="43"/>
      <c r="D21" s="63" t="s">
        <v>82</v>
      </c>
      <c r="E21" s="76">
        <v>0.25</v>
      </c>
      <c r="F21" s="76">
        <v>1</v>
      </c>
      <c r="G21" s="76">
        <v>1</v>
      </c>
      <c r="H21" s="76">
        <v>1</v>
      </c>
      <c r="I21" s="76">
        <v>1</v>
      </c>
      <c r="J21" s="76">
        <v>1</v>
      </c>
      <c r="K21" s="76">
        <v>1</v>
      </c>
      <c r="L21" s="76">
        <v>1</v>
      </c>
      <c r="M21" s="76">
        <v>1</v>
      </c>
      <c r="N21" s="76">
        <v>1</v>
      </c>
      <c r="O21" s="76">
        <v>1</v>
      </c>
      <c r="P21" s="76">
        <v>1</v>
      </c>
      <c r="Q21" s="76">
        <v>1</v>
      </c>
      <c r="R21" s="76">
        <v>1</v>
      </c>
      <c r="S21" s="76">
        <v>1</v>
      </c>
      <c r="T21" s="76">
        <v>1</v>
      </c>
      <c r="U21" s="76">
        <v>1</v>
      </c>
      <c r="V21" s="76">
        <v>1</v>
      </c>
      <c r="W21" s="190">
        <v>1</v>
      </c>
      <c r="X21" s="190">
        <v>1</v>
      </c>
      <c r="Y21" s="190">
        <v>1</v>
      </c>
      <c r="Z21" s="190">
        <v>1</v>
      </c>
      <c r="AA21" s="190">
        <v>1</v>
      </c>
      <c r="AB21" s="190">
        <v>1</v>
      </c>
      <c r="AC21" s="76">
        <v>1</v>
      </c>
      <c r="AD21" s="76">
        <v>1</v>
      </c>
      <c r="AE21" s="76">
        <v>1</v>
      </c>
      <c r="AF21" s="76">
        <v>1</v>
      </c>
      <c r="AG21" s="76">
        <v>1</v>
      </c>
      <c r="AH21" s="76">
        <v>1</v>
      </c>
      <c r="AI21" s="76">
        <v>1</v>
      </c>
      <c r="AJ21" s="76">
        <v>1</v>
      </c>
      <c r="AK21" s="76">
        <v>1</v>
      </c>
      <c r="AL21" s="76">
        <v>1</v>
      </c>
      <c r="AM21" s="76">
        <v>1</v>
      </c>
      <c r="AN21" s="76">
        <v>1</v>
      </c>
      <c r="AO21" s="76">
        <v>1</v>
      </c>
      <c r="AP21" s="76">
        <v>1</v>
      </c>
      <c r="AQ21" s="76">
        <v>1</v>
      </c>
      <c r="AR21" s="76">
        <v>1</v>
      </c>
      <c r="AS21" s="76">
        <v>1</v>
      </c>
      <c r="AT21" s="76">
        <v>1</v>
      </c>
      <c r="AU21" s="76">
        <v>1</v>
      </c>
      <c r="AV21" s="76">
        <v>1</v>
      </c>
      <c r="AW21" s="76">
        <v>1</v>
      </c>
      <c r="AX21" s="76">
        <v>1</v>
      </c>
      <c r="AY21" s="76">
        <v>1</v>
      </c>
      <c r="AZ21" s="76">
        <v>1</v>
      </c>
    </row>
    <row r="22" spans="1:55" ht="15" customHeight="1" outlineLevel="1" x14ac:dyDescent="0.35">
      <c r="B22" s="43"/>
      <c r="C22" s="43"/>
      <c r="D22" s="63"/>
      <c r="W22" s="191"/>
      <c r="AO22" s="574"/>
      <c r="AP22" s="574"/>
      <c r="AQ22" s="574"/>
      <c r="AR22" s="574"/>
      <c r="AS22" s="574"/>
      <c r="AT22" s="574"/>
      <c r="AU22" s="574"/>
      <c r="AV22" s="574"/>
      <c r="AW22" s="574"/>
      <c r="AX22" s="574"/>
      <c r="AY22" s="574"/>
      <c r="AZ22" s="574"/>
    </row>
    <row r="23" spans="1:55" s="236" customFormat="1" ht="15" customHeight="1" outlineLevel="1" x14ac:dyDescent="0.35">
      <c r="A23" s="41"/>
      <c r="B23" s="43"/>
      <c r="C23" s="236" t="s">
        <v>197</v>
      </c>
      <c r="D23" s="164" t="s">
        <v>196</v>
      </c>
      <c r="E23" s="233">
        <f>E18*E14</f>
        <v>15000</v>
      </c>
      <c r="F23" s="233">
        <f t="shared" ref="F23:AN23" si="17">F18*F14</f>
        <v>15075</v>
      </c>
      <c r="G23" s="233">
        <f t="shared" si="17"/>
        <v>15150.375</v>
      </c>
      <c r="H23" s="233">
        <f t="shared" si="17"/>
        <v>15226.126875</v>
      </c>
      <c r="I23" s="233">
        <f t="shared" si="17"/>
        <v>15302.257509375</v>
      </c>
      <c r="J23" s="233">
        <f t="shared" si="17"/>
        <v>15378.768796921875</v>
      </c>
      <c r="K23" s="233">
        <f t="shared" si="17"/>
        <v>15455.662640906485</v>
      </c>
      <c r="L23" s="233">
        <f t="shared" si="17"/>
        <v>15532.940954111018</v>
      </c>
      <c r="M23" s="233">
        <f t="shared" si="17"/>
        <v>15610.605658881574</v>
      </c>
      <c r="N23" s="233">
        <f t="shared" si="17"/>
        <v>15688.658687175981</v>
      </c>
      <c r="O23" s="233">
        <f t="shared" si="17"/>
        <v>15767.10198061186</v>
      </c>
      <c r="P23" s="233">
        <f t="shared" si="17"/>
        <v>15845.93749051492</v>
      </c>
      <c r="Q23" s="233">
        <f t="shared" si="17"/>
        <v>15925.167177967494</v>
      </c>
      <c r="R23" s="233">
        <f t="shared" si="17"/>
        <v>16004.793013857332</v>
      </c>
      <c r="S23" s="233">
        <f t="shared" si="17"/>
        <v>16084.816978926619</v>
      </c>
      <c r="T23" s="233">
        <f t="shared" si="17"/>
        <v>16165.241063821253</v>
      </c>
      <c r="U23" s="233">
        <f t="shared" si="17"/>
        <v>16246.06726914036</v>
      </c>
      <c r="V23" s="233">
        <f t="shared" si="17"/>
        <v>16327.297605486061</v>
      </c>
      <c r="W23" s="233">
        <f t="shared" si="17"/>
        <v>16408.93409351349</v>
      </c>
      <c r="X23" s="233">
        <f t="shared" si="17"/>
        <v>16490.978763981057</v>
      </c>
      <c r="Y23" s="233">
        <f t="shared" si="17"/>
        <v>16573.433657800961</v>
      </c>
      <c r="Z23" s="233">
        <f t="shared" si="17"/>
        <v>16656.300826089966</v>
      </c>
      <c r="AA23" s="233">
        <f t="shared" si="17"/>
        <v>16739.582330220415</v>
      </c>
      <c r="AB23" s="233">
        <f t="shared" si="17"/>
        <v>16823.280241871518</v>
      </c>
      <c r="AC23" s="233">
        <f t="shared" si="17"/>
        <v>16907.396643080876</v>
      </c>
      <c r="AD23" s="233">
        <f t="shared" si="17"/>
        <v>16991.933626296279</v>
      </c>
      <c r="AE23" s="233">
        <f t="shared" si="17"/>
        <v>17076.893294427759</v>
      </c>
      <c r="AF23" s="233">
        <f t="shared" si="17"/>
        <v>17162.277760899899</v>
      </c>
      <c r="AG23" s="233">
        <f t="shared" si="17"/>
        <v>17248.089149704399</v>
      </c>
      <c r="AH23" s="233">
        <f t="shared" si="17"/>
        <v>17334.32959545292</v>
      </c>
      <c r="AI23" s="233">
        <f t="shared" si="17"/>
        <v>17421.001243430186</v>
      </c>
      <c r="AJ23" s="233">
        <f t="shared" si="17"/>
        <v>17508.106249647339</v>
      </c>
      <c r="AK23" s="233">
        <f t="shared" si="17"/>
        <v>17595.646780895575</v>
      </c>
      <c r="AL23" s="233">
        <f t="shared" si="17"/>
        <v>17683.625014800054</v>
      </c>
      <c r="AM23" s="233">
        <f t="shared" si="17"/>
        <v>17772.043139874055</v>
      </c>
      <c r="AN23" s="233">
        <f t="shared" si="17"/>
        <v>17860.903355573424</v>
      </c>
      <c r="AO23" s="233">
        <f t="shared" ref="AO23:AZ23" si="18">AO18*AO14</f>
        <v>17950.20787235129</v>
      </c>
      <c r="AP23" s="233">
        <f t="shared" si="18"/>
        <v>18039.958911713045</v>
      </c>
      <c r="AQ23" s="233">
        <f t="shared" si="18"/>
        <v>18130.15870627161</v>
      </c>
      <c r="AR23" s="233">
        <f t="shared" si="18"/>
        <v>18220.809499802966</v>
      </c>
      <c r="AS23" s="233">
        <f t="shared" si="18"/>
        <v>18311.913547301981</v>
      </c>
      <c r="AT23" s="233">
        <f t="shared" si="18"/>
        <v>18403.473115038491</v>
      </c>
      <c r="AU23" s="233">
        <f t="shared" si="18"/>
        <v>18495.490480613684</v>
      </c>
      <c r="AV23" s="233">
        <f t="shared" si="18"/>
        <v>18587.967933016753</v>
      </c>
      <c r="AW23" s="233">
        <f t="shared" si="18"/>
        <v>18680.907772681836</v>
      </c>
      <c r="AX23" s="233">
        <f t="shared" si="18"/>
        <v>18774.312311545244</v>
      </c>
      <c r="AY23" s="233">
        <f t="shared" si="18"/>
        <v>18868.183873102971</v>
      </c>
      <c r="AZ23" s="233">
        <f t="shared" si="18"/>
        <v>18962.524792468485</v>
      </c>
    </row>
    <row r="24" spans="1:55" x14ac:dyDescent="0.35">
      <c r="B24" s="43"/>
      <c r="C24" s="43"/>
      <c r="D24" s="65" t="s">
        <v>194</v>
      </c>
      <c r="E24" s="288">
        <f>E14*E19</f>
        <v>150000</v>
      </c>
      <c r="F24" s="288">
        <f t="shared" ref="F24:AN24" si="19">F14*F19</f>
        <v>150750</v>
      </c>
      <c r="G24" s="288">
        <f t="shared" si="19"/>
        <v>151503.75</v>
      </c>
      <c r="H24" s="288">
        <f t="shared" si="19"/>
        <v>152261.26874999999</v>
      </c>
      <c r="I24" s="288">
        <f t="shared" si="19"/>
        <v>153022.57509375</v>
      </c>
      <c r="J24" s="288">
        <f t="shared" si="19"/>
        <v>153787.68796921876</v>
      </c>
      <c r="K24" s="288">
        <f t="shared" si="19"/>
        <v>154556.62640906486</v>
      </c>
      <c r="L24" s="288">
        <f t="shared" si="19"/>
        <v>155329.40954111019</v>
      </c>
      <c r="M24" s="288">
        <f t="shared" si="19"/>
        <v>156106.05658881573</v>
      </c>
      <c r="N24" s="288">
        <f t="shared" si="19"/>
        <v>156886.58687175982</v>
      </c>
      <c r="O24" s="288">
        <f t="shared" si="19"/>
        <v>157671.01980611859</v>
      </c>
      <c r="P24" s="288">
        <f t="shared" si="19"/>
        <v>158459.37490514919</v>
      </c>
      <c r="Q24" s="288">
        <f t="shared" si="19"/>
        <v>159251.67177967494</v>
      </c>
      <c r="R24" s="288">
        <f t="shared" si="19"/>
        <v>160047.93013857331</v>
      </c>
      <c r="S24" s="288">
        <f t="shared" si="19"/>
        <v>160848.16978926619</v>
      </c>
      <c r="T24" s="288">
        <f t="shared" si="19"/>
        <v>161652.41063821252</v>
      </c>
      <c r="U24" s="288">
        <f t="shared" si="19"/>
        <v>162460.6726914036</v>
      </c>
      <c r="V24" s="288">
        <f t="shared" si="19"/>
        <v>163272.9760548606</v>
      </c>
      <c r="W24" s="288">
        <f t="shared" si="19"/>
        <v>164089.34093513491</v>
      </c>
      <c r="X24" s="288">
        <f t="shared" si="19"/>
        <v>164909.78763981056</v>
      </c>
      <c r="Y24" s="288">
        <f t="shared" si="19"/>
        <v>165734.33657800959</v>
      </c>
      <c r="Z24" s="288">
        <f t="shared" si="19"/>
        <v>166563.00826089966</v>
      </c>
      <c r="AA24" s="288">
        <f t="shared" si="19"/>
        <v>167395.82330220414</v>
      </c>
      <c r="AB24" s="288">
        <f t="shared" si="19"/>
        <v>168232.80241871518</v>
      </c>
      <c r="AC24" s="288">
        <f t="shared" si="19"/>
        <v>169073.96643080877</v>
      </c>
      <c r="AD24" s="288">
        <f t="shared" si="19"/>
        <v>169919.33626296278</v>
      </c>
      <c r="AE24" s="288">
        <f t="shared" si="19"/>
        <v>170768.93294427759</v>
      </c>
      <c r="AF24" s="288">
        <f t="shared" si="19"/>
        <v>171622.77760899899</v>
      </c>
      <c r="AG24" s="288">
        <f t="shared" si="19"/>
        <v>172480.89149704401</v>
      </c>
      <c r="AH24" s="288">
        <f t="shared" si="19"/>
        <v>173343.2959545292</v>
      </c>
      <c r="AI24" s="288">
        <f t="shared" si="19"/>
        <v>174210.01243430187</v>
      </c>
      <c r="AJ24" s="288">
        <f t="shared" si="19"/>
        <v>175081.06249647337</v>
      </c>
      <c r="AK24" s="288">
        <f t="shared" si="19"/>
        <v>175956.46780895576</v>
      </c>
      <c r="AL24" s="288">
        <f t="shared" si="19"/>
        <v>176836.25014800054</v>
      </c>
      <c r="AM24" s="288">
        <f t="shared" si="19"/>
        <v>177720.43139874056</v>
      </c>
      <c r="AN24" s="288">
        <f t="shared" si="19"/>
        <v>178609.03355573423</v>
      </c>
      <c r="AO24" s="288">
        <f t="shared" ref="AO24:AZ24" si="20">AO14*AO19</f>
        <v>179502.07872351288</v>
      </c>
      <c r="AP24" s="288">
        <f t="shared" si="20"/>
        <v>180399.58911713044</v>
      </c>
      <c r="AQ24" s="288">
        <f t="shared" si="20"/>
        <v>181301.58706271611</v>
      </c>
      <c r="AR24" s="288">
        <f t="shared" si="20"/>
        <v>182208.09499802967</v>
      </c>
      <c r="AS24" s="288">
        <f t="shared" si="20"/>
        <v>183119.13547301982</v>
      </c>
      <c r="AT24" s="288">
        <f t="shared" si="20"/>
        <v>184034.73115038491</v>
      </c>
      <c r="AU24" s="288">
        <f t="shared" si="20"/>
        <v>184954.90480613685</v>
      </c>
      <c r="AV24" s="288">
        <f t="shared" si="20"/>
        <v>185879.67933016754</v>
      </c>
      <c r="AW24" s="288">
        <f t="shared" si="20"/>
        <v>186809.07772681836</v>
      </c>
      <c r="AX24" s="288">
        <f t="shared" si="20"/>
        <v>187743.12311545244</v>
      </c>
      <c r="AY24" s="288">
        <f t="shared" si="20"/>
        <v>188681.83873102971</v>
      </c>
      <c r="AZ24" s="288">
        <f t="shared" si="20"/>
        <v>189625.24792468484</v>
      </c>
    </row>
    <row r="25" spans="1:55" x14ac:dyDescent="0.35">
      <c r="B25" s="43" t="s">
        <v>83</v>
      </c>
      <c r="C25" s="43" t="s">
        <v>191</v>
      </c>
      <c r="D25" s="64" t="s">
        <v>84</v>
      </c>
      <c r="E25" s="77">
        <f>E24+E15</f>
        <v>385000</v>
      </c>
      <c r="F25" s="165">
        <f t="shared" ref="F25:AN25" si="21">F24+F15</f>
        <v>385750</v>
      </c>
      <c r="G25" s="165">
        <f t="shared" si="21"/>
        <v>386503.75</v>
      </c>
      <c r="H25" s="165">
        <f t="shared" si="21"/>
        <v>387261.26874999999</v>
      </c>
      <c r="I25" s="165">
        <f t="shared" si="21"/>
        <v>388022.57509375003</v>
      </c>
      <c r="J25" s="165">
        <f t="shared" si="21"/>
        <v>388787.68796921876</v>
      </c>
      <c r="K25" s="165">
        <f t="shared" si="21"/>
        <v>389556.62640906486</v>
      </c>
      <c r="L25" s="165">
        <f t="shared" si="21"/>
        <v>390329.40954111016</v>
      </c>
      <c r="M25" s="165">
        <f t="shared" si="21"/>
        <v>391106.05658881576</v>
      </c>
      <c r="N25" s="165">
        <f t="shared" si="21"/>
        <v>391886.58687175985</v>
      </c>
      <c r="O25" s="165">
        <f t="shared" si="21"/>
        <v>392671.01980611857</v>
      </c>
      <c r="P25" s="165">
        <f t="shared" si="21"/>
        <v>393459.37490514922</v>
      </c>
      <c r="Q25" s="165">
        <f t="shared" si="21"/>
        <v>394251.67177967494</v>
      </c>
      <c r="R25" s="165">
        <f t="shared" si="21"/>
        <v>395047.93013857328</v>
      </c>
      <c r="S25" s="165">
        <f t="shared" si="21"/>
        <v>395848.16978926619</v>
      </c>
      <c r="T25" s="165">
        <f t="shared" si="21"/>
        <v>396652.41063821252</v>
      </c>
      <c r="U25" s="165">
        <f t="shared" si="21"/>
        <v>397460.6726914036</v>
      </c>
      <c r="V25" s="165">
        <f t="shared" si="21"/>
        <v>398272.97605486063</v>
      </c>
      <c r="W25" s="165">
        <f t="shared" si="21"/>
        <v>399089.34093513491</v>
      </c>
      <c r="X25" s="165">
        <f t="shared" si="21"/>
        <v>399909.78763981059</v>
      </c>
      <c r="Y25" s="165">
        <f t="shared" si="21"/>
        <v>400734.33657800959</v>
      </c>
      <c r="Z25" s="165">
        <f t="shared" si="21"/>
        <v>401563.00826089969</v>
      </c>
      <c r="AA25" s="165">
        <f t="shared" si="21"/>
        <v>402395.82330220414</v>
      </c>
      <c r="AB25" s="165">
        <f t="shared" si="21"/>
        <v>403232.8024187152</v>
      </c>
      <c r="AC25" s="165">
        <f t="shared" si="21"/>
        <v>404073.96643080877</v>
      </c>
      <c r="AD25" s="165">
        <f t="shared" si="21"/>
        <v>404919.33626296278</v>
      </c>
      <c r="AE25" s="165">
        <f t="shared" si="21"/>
        <v>405768.93294427759</v>
      </c>
      <c r="AF25" s="165">
        <f t="shared" si="21"/>
        <v>406622.77760899899</v>
      </c>
      <c r="AG25" s="165">
        <f t="shared" si="21"/>
        <v>407480.89149704401</v>
      </c>
      <c r="AH25" s="165">
        <f t="shared" si="21"/>
        <v>408343.2959545292</v>
      </c>
      <c r="AI25" s="165">
        <f t="shared" si="21"/>
        <v>409210.0124343019</v>
      </c>
      <c r="AJ25" s="165">
        <f t="shared" si="21"/>
        <v>410081.06249647337</v>
      </c>
      <c r="AK25" s="165">
        <f t="shared" si="21"/>
        <v>410956.46780895576</v>
      </c>
      <c r="AL25" s="165">
        <f t="shared" si="21"/>
        <v>411836.25014800054</v>
      </c>
      <c r="AM25" s="165">
        <f t="shared" si="21"/>
        <v>412720.43139874056</v>
      </c>
      <c r="AN25" s="165">
        <f t="shared" si="21"/>
        <v>413609.0335557342</v>
      </c>
      <c r="AO25" s="165">
        <f t="shared" ref="AO25:AZ25" si="22">AO24+AO15</f>
        <v>414502.07872351288</v>
      </c>
      <c r="AP25" s="165">
        <f t="shared" si="22"/>
        <v>415399.58911713044</v>
      </c>
      <c r="AQ25" s="165">
        <f t="shared" si="22"/>
        <v>416301.58706271613</v>
      </c>
      <c r="AR25" s="165">
        <f t="shared" si="22"/>
        <v>417208.09499802964</v>
      </c>
      <c r="AS25" s="165">
        <f t="shared" si="22"/>
        <v>418119.13547301979</v>
      </c>
      <c r="AT25" s="165">
        <f t="shared" si="22"/>
        <v>419034.73115038488</v>
      </c>
      <c r="AU25" s="165">
        <f t="shared" si="22"/>
        <v>419954.90480613685</v>
      </c>
      <c r="AV25" s="165">
        <f t="shared" si="22"/>
        <v>420879.67933016754</v>
      </c>
      <c r="AW25" s="165">
        <f t="shared" si="22"/>
        <v>421809.07772681839</v>
      </c>
      <c r="AX25" s="165">
        <f t="shared" si="22"/>
        <v>422743.12311545247</v>
      </c>
      <c r="AY25" s="165">
        <f t="shared" si="22"/>
        <v>423681.83873102971</v>
      </c>
      <c r="AZ25" s="165">
        <f t="shared" si="22"/>
        <v>424625.24792468484</v>
      </c>
    </row>
    <row r="26" spans="1:55" x14ac:dyDescent="0.35">
      <c r="B26" s="43"/>
      <c r="C26" s="43"/>
      <c r="D26" s="63"/>
      <c r="E26" s="22"/>
      <c r="F26" s="22"/>
      <c r="G26" s="22"/>
      <c r="H26" s="22"/>
      <c r="I26" s="22"/>
      <c r="J26" s="22"/>
      <c r="K26" s="22"/>
      <c r="L26" s="22"/>
      <c r="M26" s="22"/>
      <c r="N26" s="22"/>
      <c r="O26" s="22"/>
      <c r="P26" s="22"/>
      <c r="Q26" s="22"/>
      <c r="R26" s="70"/>
      <c r="S26" s="22"/>
      <c r="T26" s="22"/>
      <c r="U26" s="22"/>
      <c r="V26" s="223"/>
      <c r="W26" s="223"/>
      <c r="X26" s="223"/>
      <c r="Y26" s="223"/>
      <c r="Z26" s="223"/>
      <c r="AA26" s="223"/>
      <c r="AB26" s="223"/>
      <c r="AC26" s="22"/>
      <c r="AD26" s="22"/>
      <c r="AE26" s="22"/>
      <c r="AF26" s="22"/>
      <c r="AG26" s="22"/>
      <c r="AH26" s="22"/>
      <c r="AI26" s="22"/>
      <c r="AJ26" s="22"/>
      <c r="AK26" s="22"/>
      <c r="AL26" s="22"/>
      <c r="AM26" s="22"/>
      <c r="AN26" s="22"/>
    </row>
    <row r="29" spans="1:55" x14ac:dyDescent="0.35">
      <c r="B29" s="43"/>
      <c r="C29" s="43"/>
      <c r="D29" s="30"/>
      <c r="E29" s="323"/>
      <c r="F29" s="323"/>
      <c r="G29" s="323"/>
      <c r="H29" s="323"/>
      <c r="I29" s="323"/>
      <c r="J29" s="323"/>
      <c r="K29" s="323"/>
      <c r="L29" s="323"/>
      <c r="M29" s="323"/>
      <c r="N29" s="323"/>
      <c r="O29" s="323"/>
      <c r="P29" s="323"/>
      <c r="Q29" s="323"/>
      <c r="R29" s="323"/>
      <c r="S29" s="323"/>
      <c r="T29" s="323"/>
      <c r="U29" s="323"/>
      <c r="V29" s="323"/>
      <c r="W29" s="324"/>
      <c r="X29" s="324"/>
      <c r="Y29" s="324"/>
      <c r="Z29" s="324"/>
      <c r="AA29" s="324"/>
      <c r="AB29" s="324"/>
      <c r="AC29" s="323"/>
      <c r="AD29" s="323"/>
      <c r="AE29" s="323"/>
      <c r="AF29" s="323"/>
      <c r="AG29" s="323"/>
      <c r="AH29" s="323"/>
      <c r="AI29" s="323"/>
      <c r="AJ29" s="323"/>
      <c r="AK29" s="323"/>
      <c r="AL29" s="323"/>
      <c r="AM29" s="323"/>
      <c r="AN29" s="323"/>
      <c r="AO29" s="157"/>
      <c r="AP29" s="157"/>
      <c r="AQ29" s="157"/>
      <c r="AR29" s="157"/>
      <c r="AS29" s="157"/>
      <c r="AT29" s="157"/>
      <c r="AU29" s="157"/>
      <c r="AV29" s="157"/>
      <c r="AW29" s="157"/>
      <c r="AX29" s="157"/>
      <c r="AY29" s="157"/>
      <c r="AZ29" s="157"/>
      <c r="BA29" s="157"/>
      <c r="BB29" s="157"/>
      <c r="BC29" s="157"/>
    </row>
    <row r="30" spans="1:55" x14ac:dyDescent="0.35">
      <c r="B30" s="43"/>
      <c r="C30" s="43"/>
      <c r="D30" s="80"/>
      <c r="E30" s="157"/>
      <c r="F30" s="157"/>
      <c r="G30" s="157"/>
      <c r="H30" s="157"/>
      <c r="I30" s="157"/>
      <c r="J30" s="157"/>
      <c r="K30" s="157"/>
      <c r="L30" s="157"/>
      <c r="M30" s="157"/>
      <c r="N30" s="157"/>
      <c r="O30" s="157"/>
      <c r="P30" s="157"/>
      <c r="Q30" s="157"/>
      <c r="R30" s="157"/>
      <c r="S30" s="157"/>
      <c r="T30" s="157"/>
      <c r="U30" s="157"/>
      <c r="V30" s="157"/>
      <c r="W30" s="325"/>
      <c r="X30" s="325"/>
      <c r="Y30" s="325"/>
      <c r="Z30" s="325"/>
      <c r="AA30" s="325"/>
      <c r="AB30" s="325"/>
      <c r="AC30" s="157"/>
      <c r="AD30" s="157"/>
      <c r="AE30" s="157"/>
      <c r="AF30" s="157"/>
      <c r="AG30" s="157"/>
      <c r="AH30" s="157"/>
      <c r="AI30" s="157"/>
      <c r="AJ30" s="157"/>
      <c r="AK30" s="157"/>
      <c r="AL30" s="157"/>
      <c r="AM30" s="157"/>
      <c r="AN30" s="157"/>
      <c r="AO30" s="157"/>
      <c r="AP30" s="157"/>
      <c r="AQ30" s="157"/>
      <c r="AR30" s="157"/>
      <c r="AS30" s="157"/>
      <c r="AT30" s="157"/>
      <c r="AU30" s="157"/>
      <c r="AV30" s="157"/>
      <c r="AW30" s="157"/>
      <c r="AX30" s="157"/>
      <c r="AY30" s="157"/>
      <c r="AZ30" s="157"/>
      <c r="BA30" s="157"/>
      <c r="BB30" s="157"/>
      <c r="BC30" s="157"/>
    </row>
    <row r="31" spans="1:55" x14ac:dyDescent="0.35">
      <c r="B31" s="43"/>
      <c r="C31" s="43"/>
      <c r="E31" s="81"/>
      <c r="F31" s="81"/>
      <c r="G31" s="81"/>
      <c r="H31" s="81"/>
      <c r="I31" s="81"/>
      <c r="J31" s="81"/>
      <c r="K31" s="81"/>
      <c r="L31" s="81"/>
      <c r="M31" s="81"/>
      <c r="N31" s="81"/>
      <c r="O31" s="81"/>
      <c r="P31" s="81"/>
      <c r="Q31" s="81"/>
      <c r="R31" s="81"/>
      <c r="S31" s="81"/>
      <c r="T31" s="81"/>
      <c r="U31" s="81"/>
      <c r="V31" s="81"/>
      <c r="W31" s="192"/>
      <c r="X31" s="192"/>
      <c r="Y31" s="192"/>
      <c r="Z31" s="192"/>
      <c r="AA31" s="192"/>
      <c r="AB31" s="192"/>
      <c r="AC31" s="81"/>
      <c r="AD31" s="81"/>
      <c r="AE31" s="81"/>
      <c r="AF31" s="81"/>
      <c r="AG31" s="81"/>
      <c r="AH31" s="81"/>
      <c r="AI31" s="81"/>
      <c r="AJ31" s="81"/>
      <c r="AK31" s="81"/>
      <c r="AL31" s="81"/>
      <c r="AM31" s="81"/>
      <c r="AN31" s="81"/>
    </row>
    <row r="32" spans="1:55" x14ac:dyDescent="0.35">
      <c r="B32" s="43"/>
      <c r="C32" s="43"/>
      <c r="E32" s="81"/>
      <c r="F32" s="81"/>
      <c r="G32" s="81"/>
      <c r="H32" s="81"/>
      <c r="I32" s="81"/>
      <c r="J32" s="81"/>
      <c r="K32" s="81"/>
      <c r="L32" s="81"/>
      <c r="M32" s="81"/>
      <c r="N32" s="81"/>
      <c r="O32" s="81"/>
      <c r="P32" s="81"/>
      <c r="Q32" s="81"/>
      <c r="R32" s="81"/>
      <c r="S32" s="81"/>
      <c r="T32" s="81"/>
      <c r="U32" s="81"/>
      <c r="V32" s="81"/>
      <c r="W32" s="192"/>
      <c r="X32" s="192"/>
      <c r="Y32" s="192"/>
      <c r="Z32" s="192"/>
      <c r="AA32" s="192"/>
      <c r="AB32" s="192"/>
      <c r="AC32" s="81"/>
      <c r="AD32" s="81"/>
      <c r="AE32" s="81"/>
      <c r="AF32" s="81"/>
      <c r="AG32" s="81"/>
      <c r="AH32" s="81"/>
      <c r="AI32" s="81"/>
      <c r="AJ32" s="81"/>
      <c r="AK32" s="81"/>
      <c r="AL32" s="81"/>
      <c r="AM32" s="81"/>
      <c r="AN32" s="81"/>
    </row>
    <row r="33" spans="2:40" x14ac:dyDescent="0.35">
      <c r="B33" s="43"/>
      <c r="C33" s="43"/>
      <c r="E33" s="81"/>
      <c r="F33" s="81"/>
      <c r="G33" s="81"/>
      <c r="H33" s="81"/>
      <c r="I33" s="81"/>
      <c r="J33" s="81"/>
      <c r="K33" s="81"/>
      <c r="L33" s="81"/>
      <c r="M33" s="81"/>
      <c r="N33" s="81"/>
      <c r="O33" s="81"/>
      <c r="P33" s="81"/>
      <c r="Q33" s="81"/>
      <c r="R33" s="81"/>
      <c r="S33" s="81"/>
      <c r="T33" s="81"/>
      <c r="U33" s="81"/>
      <c r="V33" s="81"/>
      <c r="W33" s="192"/>
      <c r="X33" s="192"/>
      <c r="Y33" s="192"/>
      <c r="Z33" s="192"/>
      <c r="AA33" s="192"/>
      <c r="AB33" s="192"/>
      <c r="AC33" s="81"/>
      <c r="AD33" s="81"/>
      <c r="AE33" s="81"/>
      <c r="AF33" s="81"/>
      <c r="AG33" s="81"/>
      <c r="AH33" s="81"/>
      <c r="AI33" s="81"/>
      <c r="AJ33" s="81"/>
      <c r="AK33" s="81"/>
      <c r="AL33" s="81"/>
      <c r="AM33" s="81"/>
      <c r="AN33" s="81"/>
    </row>
    <row r="34" spans="2:40" x14ac:dyDescent="0.35">
      <c r="B34" s="43"/>
      <c r="C34" s="43"/>
      <c r="E34" s="81"/>
      <c r="F34" s="81"/>
      <c r="G34" s="81"/>
      <c r="H34" s="81"/>
      <c r="I34" s="81"/>
      <c r="J34" s="81"/>
      <c r="K34" s="81"/>
      <c r="L34" s="81"/>
      <c r="M34" s="81"/>
      <c r="N34" s="81"/>
      <c r="O34" s="81"/>
      <c r="P34" s="81"/>
      <c r="Q34" s="81"/>
      <c r="R34" s="81"/>
      <c r="S34" s="81"/>
      <c r="T34" s="81"/>
      <c r="U34" s="81"/>
      <c r="V34" s="81"/>
      <c r="W34" s="192"/>
      <c r="X34" s="192"/>
      <c r="Y34" s="192"/>
      <c r="Z34" s="192"/>
      <c r="AA34" s="192"/>
      <c r="AB34" s="192"/>
      <c r="AC34" s="81"/>
      <c r="AD34" s="81"/>
      <c r="AE34" s="81"/>
      <c r="AF34" s="81"/>
      <c r="AG34" s="81"/>
      <c r="AH34" s="81"/>
      <c r="AI34" s="81"/>
      <c r="AJ34" s="81"/>
      <c r="AK34" s="81"/>
      <c r="AL34" s="81"/>
      <c r="AM34" s="81"/>
      <c r="AN34" s="81"/>
    </row>
    <row r="35" spans="2:40" x14ac:dyDescent="0.35">
      <c r="B35" s="43"/>
      <c r="C35" s="43"/>
      <c r="E35" s="82"/>
      <c r="F35" s="82"/>
      <c r="G35" s="82"/>
      <c r="H35" s="82"/>
      <c r="I35" s="82"/>
      <c r="J35" s="82"/>
      <c r="K35" s="82"/>
      <c r="L35" s="82"/>
      <c r="M35" s="82"/>
      <c r="N35" s="82"/>
      <c r="O35" s="82"/>
      <c r="P35" s="82"/>
      <c r="Q35" s="81"/>
      <c r="R35" s="81"/>
      <c r="S35" s="81"/>
      <c r="T35" s="81"/>
      <c r="U35" s="81"/>
      <c r="V35" s="81"/>
      <c r="W35" s="192"/>
      <c r="X35" s="192"/>
      <c r="Y35" s="192"/>
      <c r="Z35" s="192"/>
      <c r="AA35" s="192"/>
      <c r="AB35" s="192"/>
      <c r="AC35" s="81"/>
      <c r="AD35" s="81"/>
      <c r="AE35" s="81"/>
      <c r="AF35" s="81"/>
      <c r="AG35" s="81"/>
      <c r="AH35" s="81"/>
      <c r="AI35" s="81"/>
      <c r="AJ35" s="81"/>
      <c r="AK35" s="81"/>
      <c r="AL35" s="81"/>
      <c r="AM35" s="81"/>
      <c r="AN35" s="81"/>
    </row>
    <row r="36" spans="2:40" x14ac:dyDescent="0.35">
      <c r="B36" s="43"/>
      <c r="C36" s="43"/>
      <c r="E36" s="82"/>
      <c r="F36" s="82"/>
      <c r="G36" s="82"/>
      <c r="H36" s="82"/>
      <c r="I36" s="82"/>
      <c r="J36" s="82"/>
      <c r="K36" s="82"/>
      <c r="L36" s="82"/>
      <c r="M36" s="82"/>
      <c r="N36" s="82"/>
      <c r="O36" s="82"/>
      <c r="P36" s="82"/>
      <c r="Q36" s="81"/>
      <c r="R36" s="81"/>
      <c r="S36" s="81"/>
      <c r="T36" s="81"/>
      <c r="U36" s="81"/>
      <c r="V36" s="81"/>
      <c r="W36" s="192"/>
      <c r="X36" s="192"/>
      <c r="Y36" s="192"/>
      <c r="Z36" s="192"/>
      <c r="AA36" s="192"/>
      <c r="AB36" s="192"/>
      <c r="AC36" s="81"/>
      <c r="AD36" s="81"/>
      <c r="AE36" s="81"/>
      <c r="AF36" s="81"/>
      <c r="AG36" s="81"/>
      <c r="AH36" s="81"/>
      <c r="AI36" s="81"/>
      <c r="AJ36" s="81"/>
      <c r="AK36" s="81"/>
      <c r="AL36" s="81"/>
      <c r="AM36" s="81"/>
      <c r="AN36" s="81"/>
    </row>
    <row r="37" spans="2:40" x14ac:dyDescent="0.35">
      <c r="B37" s="43"/>
      <c r="C37" s="43"/>
      <c r="E37" s="60"/>
      <c r="F37" s="60"/>
      <c r="G37" s="60"/>
      <c r="H37" s="60"/>
      <c r="I37" s="60"/>
      <c r="J37" s="60"/>
      <c r="K37" s="60"/>
      <c r="L37" s="60"/>
      <c r="M37" s="60"/>
      <c r="N37" s="60"/>
      <c r="O37" s="60"/>
      <c r="P37" s="60"/>
      <c r="Q37" s="60"/>
      <c r="R37" s="60"/>
      <c r="S37" s="60"/>
      <c r="T37" s="60"/>
      <c r="U37" s="60"/>
      <c r="V37" s="60"/>
      <c r="W37" s="189"/>
      <c r="X37" s="189"/>
      <c r="Y37" s="189"/>
      <c r="Z37" s="189"/>
      <c r="AA37" s="189"/>
      <c r="AB37" s="189"/>
      <c r="AC37" s="60"/>
      <c r="AD37" s="60"/>
      <c r="AE37" s="60"/>
      <c r="AF37" s="60"/>
      <c r="AG37" s="60"/>
      <c r="AH37" s="60"/>
      <c r="AI37" s="60"/>
      <c r="AJ37" s="60"/>
      <c r="AK37" s="60"/>
      <c r="AL37" s="60"/>
      <c r="AM37" s="60"/>
      <c r="AN37" s="60"/>
    </row>
    <row r="38" spans="2:40" x14ac:dyDescent="0.35">
      <c r="B38" s="43"/>
      <c r="C38" s="43"/>
      <c r="D38" s="80"/>
      <c r="E38" s="60"/>
      <c r="F38" s="60"/>
      <c r="G38" s="60"/>
      <c r="H38" s="60"/>
      <c r="I38" s="60"/>
      <c r="J38" s="60"/>
      <c r="K38" s="60"/>
      <c r="L38" s="60"/>
      <c r="M38" s="60"/>
      <c r="N38" s="60"/>
      <c r="O38" s="60"/>
      <c r="P38" s="60"/>
      <c r="Q38" s="60"/>
      <c r="R38" s="60"/>
      <c r="S38" s="60"/>
      <c r="T38" s="60"/>
      <c r="U38" s="60"/>
      <c r="V38" s="60"/>
      <c r="W38" s="189"/>
      <c r="X38" s="189"/>
      <c r="Y38" s="189"/>
      <c r="Z38" s="189"/>
      <c r="AA38" s="189"/>
      <c r="AB38" s="189"/>
      <c r="AC38" s="60"/>
      <c r="AD38" s="60"/>
      <c r="AE38" s="60"/>
      <c r="AF38" s="60"/>
      <c r="AG38" s="60"/>
      <c r="AH38" s="60"/>
      <c r="AI38" s="60"/>
      <c r="AJ38" s="60"/>
      <c r="AK38" s="60"/>
      <c r="AL38" s="60"/>
      <c r="AM38" s="60"/>
      <c r="AN38" s="60"/>
    </row>
    <row r="39" spans="2:40" x14ac:dyDescent="0.35">
      <c r="B39" s="43"/>
      <c r="C39" s="43"/>
      <c r="E39" s="81"/>
      <c r="F39" s="81"/>
      <c r="G39" s="81"/>
      <c r="H39" s="81"/>
      <c r="I39" s="81"/>
      <c r="J39" s="81"/>
      <c r="K39" s="81"/>
      <c r="L39" s="81"/>
      <c r="M39" s="81"/>
      <c r="N39" s="81"/>
      <c r="O39" s="81"/>
      <c r="P39" s="81"/>
      <c r="Q39" s="81"/>
      <c r="R39" s="81"/>
      <c r="S39" s="81"/>
      <c r="T39" s="81"/>
      <c r="U39" s="81"/>
      <c r="V39" s="81"/>
      <c r="W39" s="192"/>
      <c r="X39" s="192"/>
      <c r="Y39" s="192"/>
      <c r="Z39" s="192"/>
      <c r="AA39" s="192"/>
      <c r="AB39" s="192"/>
      <c r="AC39" s="81"/>
      <c r="AD39" s="81"/>
      <c r="AE39" s="81"/>
      <c r="AF39" s="81"/>
      <c r="AG39" s="81"/>
      <c r="AH39" s="81"/>
      <c r="AI39" s="81"/>
      <c r="AJ39" s="81"/>
      <c r="AK39" s="81"/>
      <c r="AL39" s="81"/>
      <c r="AM39" s="81"/>
      <c r="AN39" s="81"/>
    </row>
    <row r="40" spans="2:40" x14ac:dyDescent="0.35">
      <c r="B40" s="43"/>
      <c r="C40" s="43"/>
      <c r="E40" s="81"/>
      <c r="F40" s="81"/>
      <c r="G40" s="81"/>
      <c r="H40" s="81"/>
      <c r="I40" s="81"/>
      <c r="J40" s="81"/>
      <c r="K40" s="81"/>
      <c r="L40" s="81"/>
      <c r="M40" s="81"/>
      <c r="N40" s="81"/>
      <c r="O40" s="81"/>
      <c r="P40" s="81"/>
      <c r="Q40" s="81"/>
      <c r="R40" s="81"/>
      <c r="S40" s="81"/>
      <c r="T40" s="81"/>
      <c r="U40" s="81"/>
      <c r="V40" s="81"/>
      <c r="W40" s="192"/>
      <c r="X40" s="192"/>
      <c r="Y40" s="192"/>
      <c r="Z40" s="192"/>
      <c r="AA40" s="192"/>
      <c r="AB40" s="192"/>
      <c r="AC40" s="81"/>
      <c r="AD40" s="81"/>
      <c r="AE40" s="81"/>
      <c r="AF40" s="81"/>
      <c r="AG40" s="81"/>
      <c r="AH40" s="81"/>
      <c r="AI40" s="81"/>
      <c r="AJ40" s="81"/>
      <c r="AK40" s="81"/>
      <c r="AL40" s="81"/>
      <c r="AM40" s="81"/>
      <c r="AN40" s="81"/>
    </row>
    <row r="41" spans="2:40" x14ac:dyDescent="0.35">
      <c r="B41" s="43"/>
      <c r="C41" s="43"/>
      <c r="E41" s="81"/>
      <c r="F41" s="81"/>
      <c r="G41" s="81"/>
      <c r="H41" s="81"/>
      <c r="I41" s="81"/>
      <c r="J41" s="81"/>
      <c r="K41" s="81"/>
      <c r="L41" s="81"/>
      <c r="M41" s="81"/>
      <c r="N41" s="81"/>
      <c r="O41" s="81"/>
      <c r="P41" s="81"/>
      <c r="Q41" s="81"/>
      <c r="R41" s="81"/>
      <c r="S41" s="81"/>
      <c r="T41" s="81"/>
      <c r="U41" s="81"/>
      <c r="V41" s="81"/>
      <c r="W41" s="192"/>
      <c r="X41" s="192"/>
      <c r="Y41" s="192"/>
      <c r="Z41" s="192"/>
      <c r="AA41" s="192"/>
      <c r="AB41" s="192"/>
      <c r="AC41" s="81"/>
      <c r="AD41" s="81"/>
      <c r="AE41" s="81"/>
      <c r="AF41" s="81"/>
      <c r="AG41" s="81"/>
      <c r="AH41" s="81"/>
      <c r="AI41" s="81"/>
      <c r="AJ41" s="81"/>
      <c r="AK41" s="81"/>
      <c r="AL41" s="81"/>
      <c r="AM41" s="81"/>
      <c r="AN41" s="81"/>
    </row>
    <row r="42" spans="2:40" x14ac:dyDescent="0.35">
      <c r="B42" s="43"/>
      <c r="C42" s="43"/>
      <c r="E42" s="81"/>
      <c r="F42" s="81"/>
      <c r="G42" s="81"/>
      <c r="H42" s="81"/>
      <c r="I42" s="81"/>
      <c r="J42" s="81"/>
      <c r="K42" s="81"/>
      <c r="L42" s="81"/>
      <c r="M42" s="81"/>
      <c r="N42" s="81"/>
      <c r="O42" s="81"/>
      <c r="P42" s="81"/>
      <c r="Q42" s="81"/>
      <c r="R42" s="81"/>
      <c r="S42" s="81"/>
      <c r="T42" s="81"/>
      <c r="U42" s="81"/>
      <c r="V42" s="81"/>
      <c r="W42" s="192"/>
      <c r="X42" s="192"/>
      <c r="Y42" s="192"/>
      <c r="Z42" s="192"/>
      <c r="AA42" s="192"/>
      <c r="AB42" s="192"/>
      <c r="AC42" s="81"/>
      <c r="AD42" s="81"/>
      <c r="AE42" s="81"/>
      <c r="AF42" s="81"/>
      <c r="AG42" s="81"/>
      <c r="AH42" s="81"/>
      <c r="AI42" s="81"/>
      <c r="AJ42" s="81"/>
      <c r="AK42" s="81"/>
      <c r="AL42" s="81"/>
      <c r="AM42" s="81"/>
      <c r="AN42" s="81"/>
    </row>
    <row r="43" spans="2:40" x14ac:dyDescent="0.35">
      <c r="B43" s="43"/>
      <c r="C43" s="43"/>
      <c r="E43" s="82"/>
      <c r="F43" s="82"/>
      <c r="G43" s="82"/>
      <c r="H43" s="82"/>
      <c r="I43" s="82"/>
      <c r="J43" s="82"/>
      <c r="K43" s="82"/>
      <c r="L43" s="82"/>
      <c r="M43" s="82"/>
      <c r="N43" s="82"/>
      <c r="O43" s="82"/>
      <c r="P43" s="82"/>
      <c r="Q43" s="81"/>
      <c r="R43" s="81"/>
      <c r="S43" s="81"/>
      <c r="T43" s="81"/>
      <c r="U43" s="81"/>
      <c r="V43" s="81"/>
      <c r="W43" s="192"/>
      <c r="X43" s="192"/>
      <c r="Y43" s="192"/>
      <c r="Z43" s="192"/>
      <c r="AA43" s="192"/>
      <c r="AB43" s="192"/>
      <c r="AC43" s="81"/>
      <c r="AD43" s="81"/>
      <c r="AE43" s="81"/>
      <c r="AF43" s="81"/>
      <c r="AG43" s="81"/>
      <c r="AH43" s="81"/>
      <c r="AI43" s="81"/>
      <c r="AJ43" s="81"/>
      <c r="AK43" s="81"/>
      <c r="AL43" s="81"/>
      <c r="AM43" s="81"/>
      <c r="AN43" s="81"/>
    </row>
    <row r="44" spans="2:40" x14ac:dyDescent="0.35">
      <c r="B44" s="43"/>
      <c r="C44" s="43"/>
      <c r="E44" s="82"/>
      <c r="F44" s="82"/>
      <c r="G44" s="82"/>
      <c r="H44" s="82"/>
      <c r="I44" s="82"/>
      <c r="J44" s="82"/>
      <c r="K44" s="82"/>
      <c r="L44" s="82"/>
      <c r="M44" s="82"/>
      <c r="N44" s="82"/>
      <c r="O44" s="82"/>
      <c r="P44" s="82"/>
      <c r="Q44" s="81"/>
      <c r="R44" s="81"/>
      <c r="S44" s="81"/>
      <c r="T44" s="81"/>
      <c r="U44" s="81"/>
      <c r="V44" s="81"/>
      <c r="W44" s="192"/>
      <c r="X44" s="192"/>
      <c r="Y44" s="192"/>
      <c r="Z44" s="192"/>
      <c r="AA44" s="192"/>
      <c r="AB44" s="192"/>
      <c r="AC44" s="81"/>
      <c r="AD44" s="81"/>
      <c r="AE44" s="81"/>
      <c r="AF44" s="81"/>
      <c r="AG44" s="81"/>
      <c r="AH44" s="81"/>
      <c r="AI44" s="81"/>
      <c r="AJ44" s="81"/>
      <c r="AK44" s="81"/>
      <c r="AL44" s="81"/>
      <c r="AM44" s="81"/>
      <c r="AN44" s="81"/>
    </row>
    <row r="45" spans="2:40" x14ac:dyDescent="0.35">
      <c r="B45" s="43"/>
      <c r="C45" s="43"/>
      <c r="E45" s="60"/>
      <c r="F45" s="60"/>
      <c r="G45" s="60"/>
      <c r="H45" s="60"/>
      <c r="I45" s="60"/>
      <c r="J45" s="60"/>
      <c r="K45" s="60"/>
      <c r="L45" s="60"/>
      <c r="M45" s="60"/>
      <c r="N45" s="60"/>
      <c r="O45" s="60"/>
      <c r="P45" s="60"/>
      <c r="Q45" s="60"/>
      <c r="R45" s="60"/>
      <c r="S45" s="60"/>
      <c r="T45" s="60"/>
      <c r="U45" s="60"/>
      <c r="V45" s="60"/>
      <c r="W45" s="189"/>
      <c r="X45" s="189"/>
      <c r="Y45" s="189"/>
      <c r="Z45" s="189"/>
      <c r="AA45" s="189"/>
      <c r="AB45" s="189"/>
      <c r="AC45" s="60"/>
      <c r="AD45" s="60"/>
      <c r="AE45" s="60"/>
      <c r="AF45" s="60"/>
      <c r="AG45" s="60"/>
      <c r="AH45" s="60"/>
      <c r="AI45" s="60"/>
      <c r="AJ45" s="60"/>
      <c r="AK45" s="60"/>
      <c r="AL45" s="60"/>
      <c r="AM45" s="60"/>
      <c r="AN45" s="60"/>
    </row>
    <row r="46" spans="2:40" x14ac:dyDescent="0.35">
      <c r="B46" s="43"/>
      <c r="C46" s="43"/>
      <c r="D46" s="80"/>
      <c r="E46" s="60"/>
      <c r="F46" s="60"/>
      <c r="G46" s="60"/>
      <c r="H46" s="60"/>
      <c r="I46" s="60"/>
      <c r="J46" s="60"/>
      <c r="K46" s="60"/>
      <c r="L46" s="60"/>
      <c r="M46" s="60"/>
      <c r="N46" s="60"/>
      <c r="O46" s="60"/>
      <c r="P46" s="60"/>
      <c r="Q46" s="60"/>
      <c r="R46" s="60"/>
      <c r="S46" s="60"/>
      <c r="T46" s="60"/>
      <c r="U46" s="60"/>
      <c r="V46" s="60"/>
      <c r="W46" s="189"/>
      <c r="X46" s="189"/>
      <c r="Y46" s="189"/>
      <c r="Z46" s="189"/>
      <c r="AA46" s="189"/>
      <c r="AB46" s="189"/>
      <c r="AC46" s="60"/>
      <c r="AD46" s="60"/>
      <c r="AE46" s="60"/>
      <c r="AF46" s="60"/>
      <c r="AG46" s="60"/>
      <c r="AH46" s="60"/>
      <c r="AI46" s="60"/>
      <c r="AJ46" s="60"/>
      <c r="AK46" s="60"/>
      <c r="AL46" s="60"/>
      <c r="AM46" s="60"/>
      <c r="AN46" s="60"/>
    </row>
    <row r="47" spans="2:40" x14ac:dyDescent="0.35">
      <c r="B47" s="43"/>
      <c r="C47" s="43"/>
      <c r="E47" s="81"/>
      <c r="F47" s="81"/>
      <c r="G47" s="81"/>
      <c r="H47" s="81"/>
      <c r="I47" s="81"/>
      <c r="J47" s="81"/>
      <c r="K47" s="81"/>
      <c r="L47" s="81"/>
      <c r="M47" s="81"/>
      <c r="N47" s="81"/>
      <c r="O47" s="81"/>
      <c r="P47" s="81"/>
      <c r="Q47" s="81"/>
      <c r="R47" s="81"/>
      <c r="S47" s="81"/>
      <c r="T47" s="81"/>
      <c r="U47" s="81"/>
      <c r="V47" s="81"/>
      <c r="W47" s="192"/>
      <c r="X47" s="192"/>
      <c r="Y47" s="192"/>
      <c r="Z47" s="192"/>
      <c r="AA47" s="192"/>
      <c r="AB47" s="192"/>
      <c r="AC47" s="81"/>
      <c r="AD47" s="81"/>
      <c r="AE47" s="81"/>
      <c r="AF47" s="81"/>
      <c r="AG47" s="81"/>
      <c r="AH47" s="81"/>
      <c r="AI47" s="81"/>
      <c r="AJ47" s="81"/>
      <c r="AK47" s="81"/>
      <c r="AL47" s="81"/>
      <c r="AM47" s="81"/>
      <c r="AN47" s="81"/>
    </row>
    <row r="48" spans="2:40" x14ac:dyDescent="0.35">
      <c r="B48" s="43"/>
      <c r="C48" s="43"/>
      <c r="E48" s="81"/>
      <c r="F48" s="81"/>
      <c r="G48" s="81"/>
      <c r="H48" s="81"/>
      <c r="I48" s="81"/>
      <c r="J48" s="81"/>
      <c r="K48" s="81"/>
      <c r="L48" s="81"/>
      <c r="M48" s="81"/>
      <c r="N48" s="81"/>
      <c r="O48" s="81"/>
      <c r="P48" s="81"/>
      <c r="Q48" s="81"/>
      <c r="R48" s="81"/>
      <c r="S48" s="81"/>
      <c r="T48" s="81"/>
      <c r="U48" s="81"/>
      <c r="V48" s="81"/>
      <c r="W48" s="192"/>
      <c r="X48" s="192"/>
      <c r="Y48" s="192"/>
      <c r="Z48" s="192"/>
      <c r="AA48" s="192"/>
      <c r="AB48" s="192"/>
      <c r="AC48" s="81"/>
      <c r="AD48" s="81"/>
      <c r="AE48" s="81"/>
      <c r="AF48" s="81"/>
      <c r="AG48" s="81"/>
      <c r="AH48" s="81"/>
      <c r="AI48" s="81"/>
      <c r="AJ48" s="81"/>
      <c r="AK48" s="81"/>
      <c r="AL48" s="81"/>
      <c r="AM48" s="81"/>
      <c r="AN48" s="81"/>
    </row>
    <row r="49" spans="2:40" x14ac:dyDescent="0.35">
      <c r="B49" s="43"/>
      <c r="C49" s="43"/>
      <c r="E49" s="81"/>
      <c r="F49" s="81"/>
      <c r="G49" s="81"/>
      <c r="H49" s="81"/>
      <c r="I49" s="81"/>
      <c r="J49" s="81"/>
      <c r="K49" s="81"/>
      <c r="L49" s="81"/>
      <c r="M49" s="81"/>
      <c r="N49" s="81"/>
      <c r="O49" s="81"/>
      <c r="P49" s="81"/>
      <c r="Q49" s="81"/>
      <c r="R49" s="81"/>
      <c r="S49" s="81"/>
      <c r="T49" s="81"/>
      <c r="U49" s="81"/>
      <c r="V49" s="81"/>
      <c r="W49" s="192"/>
      <c r="X49" s="192"/>
      <c r="Y49" s="192"/>
      <c r="Z49" s="192"/>
      <c r="AA49" s="192"/>
      <c r="AB49" s="192"/>
      <c r="AC49" s="81"/>
      <c r="AD49" s="81"/>
      <c r="AE49" s="81"/>
      <c r="AF49" s="81"/>
      <c r="AG49" s="81"/>
      <c r="AH49" s="81"/>
      <c r="AI49" s="81"/>
      <c r="AJ49" s="81"/>
      <c r="AK49" s="81"/>
      <c r="AL49" s="81"/>
      <c r="AM49" s="81"/>
      <c r="AN49" s="81"/>
    </row>
    <row r="50" spans="2:40" x14ac:dyDescent="0.35">
      <c r="B50" s="43"/>
      <c r="C50" s="43"/>
      <c r="E50" s="81"/>
      <c r="F50" s="81"/>
      <c r="G50" s="81"/>
      <c r="H50" s="81"/>
      <c r="I50" s="81"/>
      <c r="J50" s="81"/>
      <c r="K50" s="81"/>
      <c r="L50" s="81"/>
      <c r="M50" s="81"/>
      <c r="N50" s="81"/>
      <c r="O50" s="81"/>
      <c r="P50" s="81"/>
      <c r="Q50" s="81"/>
      <c r="R50" s="81"/>
      <c r="S50" s="81"/>
      <c r="T50" s="81"/>
      <c r="U50" s="81"/>
      <c r="V50" s="81"/>
      <c r="W50" s="192"/>
      <c r="X50" s="192"/>
      <c r="Y50" s="192"/>
      <c r="Z50" s="192"/>
      <c r="AA50" s="192"/>
      <c r="AB50" s="192"/>
      <c r="AC50" s="81"/>
      <c r="AD50" s="81"/>
      <c r="AE50" s="81"/>
      <c r="AF50" s="81"/>
      <c r="AG50" s="81"/>
      <c r="AH50" s="81"/>
      <c r="AI50" s="81"/>
      <c r="AJ50" s="81"/>
      <c r="AK50" s="81"/>
      <c r="AL50" s="81"/>
      <c r="AM50" s="81"/>
      <c r="AN50" s="81"/>
    </row>
    <row r="51" spans="2:40" x14ac:dyDescent="0.35">
      <c r="B51" s="43"/>
      <c r="C51" s="43"/>
      <c r="E51" s="82"/>
      <c r="F51" s="82"/>
      <c r="G51" s="82"/>
      <c r="H51" s="82"/>
      <c r="I51" s="82"/>
      <c r="J51" s="82"/>
      <c r="K51" s="82"/>
      <c r="L51" s="82"/>
      <c r="M51" s="82"/>
      <c r="N51" s="82"/>
      <c r="O51" s="82"/>
      <c r="P51" s="82"/>
      <c r="Q51" s="81"/>
      <c r="R51" s="81"/>
      <c r="S51" s="81"/>
      <c r="T51" s="81"/>
      <c r="U51" s="81"/>
      <c r="V51" s="81"/>
      <c r="W51" s="192"/>
      <c r="X51" s="192"/>
      <c r="Y51" s="192"/>
      <c r="Z51" s="192"/>
      <c r="AA51" s="192"/>
      <c r="AB51" s="192"/>
      <c r="AC51" s="81"/>
      <c r="AD51" s="81"/>
      <c r="AE51" s="81"/>
      <c r="AF51" s="81"/>
      <c r="AG51" s="81"/>
      <c r="AH51" s="81"/>
      <c r="AI51" s="81"/>
      <c r="AJ51" s="81"/>
      <c r="AK51" s="81"/>
      <c r="AL51" s="81"/>
      <c r="AM51" s="81"/>
      <c r="AN51" s="81"/>
    </row>
    <row r="52" spans="2:40" x14ac:dyDescent="0.35">
      <c r="B52" s="43"/>
      <c r="C52" s="43"/>
      <c r="E52" s="82"/>
      <c r="F52" s="82"/>
      <c r="G52" s="82"/>
      <c r="H52" s="82"/>
      <c r="I52" s="82"/>
      <c r="J52" s="82"/>
      <c r="K52" s="82"/>
      <c r="L52" s="82"/>
      <c r="M52" s="82"/>
      <c r="N52" s="82"/>
      <c r="O52" s="82"/>
      <c r="P52" s="82"/>
      <c r="Q52" s="81"/>
      <c r="R52" s="81"/>
      <c r="S52" s="81"/>
      <c r="T52" s="81"/>
      <c r="U52" s="81"/>
      <c r="V52" s="81"/>
      <c r="W52" s="192"/>
      <c r="X52" s="192"/>
      <c r="Y52" s="192"/>
      <c r="Z52" s="192"/>
      <c r="AA52" s="192"/>
      <c r="AB52" s="192"/>
      <c r="AC52" s="81"/>
      <c r="AD52" s="81"/>
      <c r="AE52" s="81"/>
      <c r="AF52" s="81"/>
      <c r="AG52" s="81"/>
      <c r="AH52" s="81"/>
      <c r="AI52" s="81"/>
      <c r="AJ52" s="81"/>
      <c r="AK52" s="81"/>
      <c r="AL52" s="81"/>
      <c r="AM52" s="81"/>
      <c r="AN52" s="81"/>
    </row>
    <row r="53" spans="2:40" x14ac:dyDescent="0.35">
      <c r="B53" s="43"/>
      <c r="C53" s="43"/>
      <c r="E53" s="60"/>
      <c r="F53" s="60"/>
      <c r="G53" s="60"/>
      <c r="H53" s="60"/>
      <c r="I53" s="60"/>
      <c r="J53" s="60"/>
      <c r="K53" s="60"/>
      <c r="L53" s="60"/>
      <c r="M53" s="60"/>
      <c r="N53" s="60"/>
      <c r="O53" s="60"/>
      <c r="P53" s="60"/>
      <c r="Q53" s="60"/>
      <c r="R53" s="60"/>
      <c r="S53" s="60"/>
      <c r="T53" s="60"/>
      <c r="U53" s="60"/>
      <c r="V53" s="60"/>
      <c r="W53" s="189"/>
      <c r="X53" s="189"/>
      <c r="Y53" s="189"/>
      <c r="Z53" s="189"/>
      <c r="AA53" s="189"/>
      <c r="AB53" s="189"/>
      <c r="AC53" s="60"/>
      <c r="AD53" s="60"/>
      <c r="AE53" s="60"/>
      <c r="AF53" s="60"/>
      <c r="AG53" s="60"/>
      <c r="AH53" s="60"/>
      <c r="AI53" s="60"/>
      <c r="AJ53" s="60"/>
      <c r="AK53" s="60"/>
      <c r="AL53" s="60"/>
      <c r="AM53" s="60"/>
      <c r="AN53" s="60"/>
    </row>
    <row r="54" spans="2:40" x14ac:dyDescent="0.35">
      <c r="B54" s="43"/>
      <c r="C54" s="43"/>
      <c r="D54" s="80"/>
      <c r="E54" s="60"/>
      <c r="F54" s="60"/>
      <c r="G54" s="60"/>
      <c r="H54" s="60"/>
      <c r="I54" s="60"/>
      <c r="J54" s="60"/>
      <c r="K54" s="60"/>
      <c r="L54" s="60"/>
      <c r="M54" s="60"/>
      <c r="N54" s="60"/>
      <c r="O54" s="60"/>
      <c r="P54" s="60"/>
      <c r="Q54" s="60"/>
      <c r="R54" s="60"/>
      <c r="S54" s="60"/>
      <c r="T54" s="60"/>
      <c r="U54" s="60"/>
      <c r="V54" s="60"/>
      <c r="W54" s="189"/>
      <c r="X54" s="189"/>
      <c r="Y54" s="189"/>
      <c r="Z54" s="189"/>
      <c r="AA54" s="189"/>
      <c r="AB54" s="189"/>
      <c r="AC54" s="60"/>
      <c r="AD54" s="60"/>
      <c r="AE54" s="60"/>
      <c r="AF54" s="60"/>
      <c r="AG54" s="60"/>
      <c r="AH54" s="60"/>
      <c r="AI54" s="60"/>
      <c r="AJ54" s="60"/>
      <c r="AK54" s="60"/>
      <c r="AL54" s="60"/>
      <c r="AM54" s="60"/>
      <c r="AN54" s="60"/>
    </row>
    <row r="55" spans="2:40" x14ac:dyDescent="0.35">
      <c r="B55" s="43"/>
      <c r="C55" s="43"/>
      <c r="E55" s="81"/>
      <c r="F55" s="81"/>
      <c r="G55" s="81"/>
      <c r="H55" s="81"/>
      <c r="I55" s="81"/>
      <c r="J55" s="81"/>
      <c r="K55" s="81"/>
      <c r="L55" s="81"/>
      <c r="M55" s="81"/>
      <c r="N55" s="81"/>
      <c r="O55" s="81"/>
      <c r="P55" s="81"/>
      <c r="Q55" s="81"/>
      <c r="R55" s="81"/>
      <c r="S55" s="81"/>
      <c r="T55" s="81"/>
      <c r="U55" s="81"/>
      <c r="V55" s="81"/>
      <c r="W55" s="192"/>
      <c r="X55" s="192"/>
      <c r="Y55" s="192"/>
      <c r="Z55" s="192"/>
      <c r="AA55" s="192"/>
      <c r="AB55" s="192"/>
      <c r="AC55" s="81"/>
      <c r="AD55" s="81"/>
      <c r="AE55" s="81"/>
      <c r="AF55" s="81"/>
      <c r="AG55" s="81"/>
      <c r="AH55" s="81"/>
      <c r="AI55" s="81"/>
      <c r="AJ55" s="81"/>
      <c r="AK55" s="81"/>
      <c r="AL55" s="81"/>
      <c r="AM55" s="81"/>
      <c r="AN55" s="81"/>
    </row>
    <row r="56" spans="2:40" x14ac:dyDescent="0.35">
      <c r="B56" s="43"/>
      <c r="C56" s="43"/>
      <c r="E56" s="81"/>
      <c r="F56" s="81"/>
      <c r="G56" s="81"/>
      <c r="H56" s="81"/>
      <c r="I56" s="81"/>
      <c r="J56" s="81"/>
      <c r="K56" s="81"/>
      <c r="L56" s="81"/>
      <c r="M56" s="81"/>
      <c r="N56" s="81"/>
      <c r="O56" s="81"/>
      <c r="P56" s="81"/>
      <c r="Q56" s="81"/>
      <c r="R56" s="81"/>
      <c r="S56" s="81"/>
      <c r="T56" s="81"/>
      <c r="U56" s="81"/>
      <c r="V56" s="81"/>
      <c r="W56" s="192"/>
      <c r="X56" s="192"/>
      <c r="Y56" s="192"/>
      <c r="Z56" s="192"/>
      <c r="AA56" s="192"/>
      <c r="AB56" s="192"/>
      <c r="AC56" s="81"/>
      <c r="AD56" s="81"/>
      <c r="AE56" s="81"/>
      <c r="AF56" s="81"/>
      <c r="AG56" s="81"/>
      <c r="AH56" s="81"/>
      <c r="AI56" s="81"/>
      <c r="AJ56" s="81"/>
      <c r="AK56" s="81"/>
      <c r="AL56" s="81"/>
      <c r="AM56" s="81"/>
      <c r="AN56" s="81"/>
    </row>
    <row r="57" spans="2:40" x14ac:dyDescent="0.35">
      <c r="B57" s="43"/>
      <c r="C57" s="43"/>
      <c r="E57" s="81"/>
      <c r="F57" s="81"/>
      <c r="G57" s="81"/>
      <c r="H57" s="81"/>
      <c r="I57" s="81"/>
      <c r="J57" s="81"/>
      <c r="K57" s="81"/>
      <c r="L57" s="81"/>
      <c r="M57" s="81"/>
      <c r="N57" s="81"/>
      <c r="O57" s="81"/>
      <c r="P57" s="81"/>
      <c r="Q57" s="81"/>
      <c r="R57" s="81"/>
      <c r="S57" s="81"/>
      <c r="T57" s="81"/>
      <c r="U57" s="81"/>
      <c r="V57" s="81"/>
      <c r="W57" s="192"/>
      <c r="X57" s="192"/>
      <c r="Y57" s="192"/>
      <c r="Z57" s="192"/>
      <c r="AA57" s="192"/>
      <c r="AB57" s="192"/>
      <c r="AC57" s="81"/>
      <c r="AD57" s="81"/>
      <c r="AE57" s="81"/>
      <c r="AF57" s="81"/>
      <c r="AG57" s="81"/>
      <c r="AH57" s="81"/>
      <c r="AI57" s="81"/>
      <c r="AJ57" s="81"/>
      <c r="AK57" s="81"/>
      <c r="AL57" s="81"/>
      <c r="AM57" s="81"/>
      <c r="AN57" s="81"/>
    </row>
    <row r="58" spans="2:40" x14ac:dyDescent="0.35">
      <c r="B58" s="43"/>
      <c r="C58" s="43"/>
      <c r="E58" s="81"/>
      <c r="F58" s="81"/>
      <c r="G58" s="81"/>
      <c r="H58" s="81"/>
      <c r="I58" s="81"/>
      <c r="J58" s="81"/>
      <c r="K58" s="81"/>
      <c r="L58" s="81"/>
      <c r="M58" s="81"/>
      <c r="N58" s="81"/>
      <c r="O58" s="81"/>
      <c r="P58" s="81"/>
      <c r="Q58" s="81"/>
      <c r="R58" s="81"/>
      <c r="S58" s="81"/>
      <c r="T58" s="81"/>
      <c r="U58" s="81"/>
      <c r="V58" s="81"/>
      <c r="W58" s="192"/>
      <c r="X58" s="192"/>
      <c r="Y58" s="192"/>
      <c r="Z58" s="192"/>
      <c r="AA58" s="192"/>
      <c r="AB58" s="192"/>
      <c r="AC58" s="81"/>
      <c r="AD58" s="81"/>
      <c r="AE58" s="81"/>
      <c r="AF58" s="81"/>
      <c r="AG58" s="81"/>
      <c r="AH58" s="81"/>
      <c r="AI58" s="81"/>
      <c r="AJ58" s="81"/>
      <c r="AK58" s="81"/>
      <c r="AL58" s="81"/>
      <c r="AM58" s="81"/>
      <c r="AN58" s="81"/>
    </row>
    <row r="59" spans="2:40" x14ac:dyDescent="0.35">
      <c r="B59" s="43"/>
      <c r="C59" s="43"/>
      <c r="E59" s="82"/>
      <c r="F59" s="82"/>
      <c r="G59" s="82"/>
      <c r="H59" s="82"/>
      <c r="I59" s="82"/>
      <c r="J59" s="82"/>
      <c r="K59" s="82"/>
      <c r="L59" s="82"/>
      <c r="M59" s="82"/>
      <c r="N59" s="82"/>
      <c r="O59" s="82"/>
      <c r="P59" s="82"/>
      <c r="Q59" s="81"/>
      <c r="R59" s="81"/>
      <c r="S59" s="81"/>
      <c r="T59" s="81"/>
      <c r="U59" s="81"/>
      <c r="V59" s="81"/>
      <c r="W59" s="192"/>
      <c r="X59" s="192"/>
      <c r="Y59" s="192"/>
      <c r="Z59" s="192"/>
      <c r="AA59" s="192"/>
      <c r="AB59" s="192"/>
      <c r="AC59" s="81"/>
      <c r="AD59" s="81"/>
      <c r="AE59" s="81"/>
      <c r="AF59" s="81"/>
      <c r="AG59" s="81"/>
      <c r="AH59" s="81"/>
      <c r="AI59" s="81"/>
      <c r="AJ59" s="81"/>
      <c r="AK59" s="81"/>
      <c r="AL59" s="81"/>
      <c r="AM59" s="81"/>
      <c r="AN59" s="81"/>
    </row>
    <row r="60" spans="2:40" x14ac:dyDescent="0.35">
      <c r="B60" s="43"/>
      <c r="C60" s="43"/>
      <c r="E60" s="82"/>
      <c r="F60" s="82"/>
      <c r="G60" s="82"/>
      <c r="H60" s="82"/>
      <c r="I60" s="82"/>
      <c r="J60" s="82"/>
      <c r="K60" s="82"/>
      <c r="L60" s="82"/>
      <c r="M60" s="82"/>
      <c r="N60" s="82"/>
      <c r="O60" s="82"/>
      <c r="P60" s="82"/>
      <c r="Q60" s="81"/>
      <c r="R60" s="81"/>
      <c r="S60" s="81"/>
      <c r="T60" s="81"/>
      <c r="U60" s="81"/>
      <c r="V60" s="81"/>
      <c r="W60" s="192"/>
      <c r="X60" s="192"/>
      <c r="Y60" s="192"/>
      <c r="Z60" s="192"/>
      <c r="AA60" s="192"/>
      <c r="AB60" s="192"/>
      <c r="AC60" s="81"/>
      <c r="AD60" s="81"/>
      <c r="AE60" s="81"/>
      <c r="AF60" s="81"/>
      <c r="AG60" s="81"/>
      <c r="AH60" s="81"/>
      <c r="AI60" s="81"/>
      <c r="AJ60" s="81"/>
      <c r="AK60" s="81"/>
      <c r="AL60" s="81"/>
      <c r="AM60" s="81"/>
      <c r="AN60" s="81"/>
    </row>
    <row r="61" spans="2:40" x14ac:dyDescent="0.35">
      <c r="B61" s="43"/>
      <c r="C61" s="43"/>
    </row>
    <row r="62" spans="2:40" x14ac:dyDescent="0.35">
      <c r="B62" s="43"/>
      <c r="C62" s="43"/>
      <c r="D62" s="80"/>
      <c r="E62" s="60"/>
      <c r="F62" s="60"/>
      <c r="G62" s="60"/>
      <c r="H62" s="60"/>
      <c r="I62" s="60"/>
      <c r="J62" s="60"/>
      <c r="K62" s="60"/>
      <c r="L62" s="60"/>
      <c r="M62" s="60"/>
      <c r="N62" s="60"/>
      <c r="O62" s="60"/>
      <c r="P62" s="60"/>
      <c r="Q62" s="60"/>
      <c r="R62" s="60"/>
      <c r="S62" s="60"/>
      <c r="T62" s="60"/>
      <c r="U62" s="60"/>
      <c r="V62" s="60"/>
      <c r="W62" s="189"/>
      <c r="X62" s="189"/>
      <c r="Y62" s="189"/>
      <c r="Z62" s="189"/>
      <c r="AA62" s="189"/>
      <c r="AB62" s="189"/>
      <c r="AC62" s="60"/>
      <c r="AD62" s="60"/>
      <c r="AE62" s="60"/>
      <c r="AF62" s="60"/>
      <c r="AG62" s="60"/>
      <c r="AH62" s="60"/>
      <c r="AI62" s="60"/>
      <c r="AJ62" s="60"/>
      <c r="AK62" s="60"/>
      <c r="AL62" s="60"/>
      <c r="AM62" s="60"/>
      <c r="AN62" s="60"/>
    </row>
    <row r="63" spans="2:40" x14ac:dyDescent="0.35">
      <c r="B63" s="43"/>
      <c r="C63" s="43"/>
      <c r="E63" s="81"/>
      <c r="F63" s="81"/>
      <c r="G63" s="81"/>
      <c r="H63" s="81"/>
      <c r="I63" s="81"/>
      <c r="J63" s="81"/>
      <c r="K63" s="81"/>
      <c r="L63" s="81"/>
      <c r="M63" s="81"/>
      <c r="N63" s="81"/>
      <c r="O63" s="81"/>
      <c r="P63" s="81"/>
      <c r="Q63" s="81"/>
      <c r="R63" s="81"/>
      <c r="S63" s="81"/>
      <c r="T63" s="81"/>
      <c r="U63" s="81"/>
      <c r="V63" s="81"/>
      <c r="W63" s="192"/>
      <c r="X63" s="192"/>
      <c r="Y63" s="192"/>
      <c r="Z63" s="192"/>
      <c r="AA63" s="192"/>
      <c r="AB63" s="192"/>
      <c r="AC63" s="81"/>
      <c r="AD63" s="81"/>
      <c r="AE63" s="81"/>
      <c r="AF63" s="81"/>
      <c r="AG63" s="81"/>
      <c r="AH63" s="81"/>
      <c r="AI63" s="81"/>
      <c r="AJ63" s="81"/>
      <c r="AK63" s="81"/>
      <c r="AL63" s="81"/>
      <c r="AM63" s="81"/>
      <c r="AN63" s="81"/>
    </row>
    <row r="64" spans="2:40" x14ac:dyDescent="0.35">
      <c r="B64" s="43"/>
      <c r="C64" s="43"/>
      <c r="E64" s="81"/>
      <c r="F64" s="81"/>
      <c r="G64" s="81"/>
      <c r="H64" s="81"/>
      <c r="I64" s="81"/>
      <c r="J64" s="81"/>
      <c r="K64" s="81"/>
      <c r="L64" s="81"/>
      <c r="M64" s="81"/>
      <c r="N64" s="81"/>
      <c r="O64" s="81"/>
      <c r="P64" s="81"/>
      <c r="Q64" s="81"/>
      <c r="R64" s="81"/>
      <c r="S64" s="81"/>
      <c r="T64" s="81"/>
      <c r="U64" s="81"/>
      <c r="V64" s="81"/>
      <c r="W64" s="192"/>
      <c r="X64" s="192"/>
      <c r="Y64" s="192"/>
      <c r="Z64" s="192"/>
      <c r="AA64" s="192"/>
      <c r="AB64" s="192"/>
      <c r="AC64" s="81"/>
      <c r="AD64" s="81"/>
      <c r="AE64" s="81"/>
      <c r="AF64" s="81"/>
      <c r="AG64" s="81"/>
      <c r="AH64" s="81"/>
      <c r="AI64" s="81"/>
      <c r="AJ64" s="81"/>
      <c r="AK64" s="81"/>
      <c r="AL64" s="81"/>
      <c r="AM64" s="81"/>
      <c r="AN64" s="81"/>
    </row>
    <row r="65" spans="2:40" x14ac:dyDescent="0.35">
      <c r="B65" s="43"/>
      <c r="C65" s="43"/>
      <c r="E65" s="81"/>
      <c r="F65" s="81"/>
      <c r="G65" s="81"/>
      <c r="H65" s="81"/>
      <c r="I65" s="81"/>
      <c r="J65" s="81"/>
      <c r="K65" s="81"/>
      <c r="L65" s="81"/>
      <c r="M65" s="81"/>
      <c r="N65" s="81"/>
      <c r="O65" s="81"/>
      <c r="P65" s="81"/>
      <c r="Q65" s="81"/>
      <c r="R65" s="81"/>
      <c r="S65" s="81"/>
      <c r="T65" s="81"/>
      <c r="U65" s="81"/>
      <c r="V65" s="81"/>
      <c r="W65" s="192"/>
      <c r="X65" s="192"/>
      <c r="Y65" s="192"/>
      <c r="Z65" s="192"/>
      <c r="AA65" s="192"/>
      <c r="AB65" s="192"/>
      <c r="AC65" s="81"/>
      <c r="AD65" s="81"/>
      <c r="AE65" s="81"/>
      <c r="AF65" s="81"/>
      <c r="AG65" s="81"/>
      <c r="AH65" s="81"/>
      <c r="AI65" s="81"/>
      <c r="AJ65" s="81"/>
      <c r="AK65" s="81"/>
      <c r="AL65" s="81"/>
      <c r="AM65" s="81"/>
      <c r="AN65" s="81"/>
    </row>
    <row r="66" spans="2:40" x14ac:dyDescent="0.35">
      <c r="B66" s="43"/>
      <c r="C66" s="43"/>
      <c r="E66" s="81"/>
      <c r="F66" s="81"/>
      <c r="G66" s="81"/>
      <c r="H66" s="81"/>
      <c r="I66" s="81"/>
      <c r="J66" s="81"/>
      <c r="K66" s="81"/>
      <c r="L66" s="81"/>
      <c r="M66" s="81"/>
      <c r="N66" s="81"/>
      <c r="O66" s="81"/>
      <c r="P66" s="81"/>
      <c r="Q66" s="81"/>
      <c r="R66" s="81"/>
      <c r="S66" s="81"/>
      <c r="T66" s="81"/>
      <c r="U66" s="81"/>
      <c r="V66" s="81"/>
      <c r="W66" s="192"/>
      <c r="X66" s="192"/>
      <c r="Y66" s="192"/>
      <c r="Z66" s="192"/>
      <c r="AA66" s="192"/>
      <c r="AB66" s="192"/>
      <c r="AC66" s="81"/>
      <c r="AD66" s="81"/>
      <c r="AE66" s="81"/>
      <c r="AF66" s="81"/>
      <c r="AG66" s="81"/>
      <c r="AH66" s="81"/>
      <c r="AI66" s="81"/>
      <c r="AJ66" s="81"/>
      <c r="AK66" s="81"/>
      <c r="AL66" s="81"/>
      <c r="AM66" s="81"/>
      <c r="AN66" s="81"/>
    </row>
    <row r="67" spans="2:40" x14ac:dyDescent="0.35">
      <c r="B67" s="43"/>
      <c r="C67" s="43"/>
      <c r="E67" s="82"/>
      <c r="F67" s="82"/>
      <c r="G67" s="82"/>
      <c r="H67" s="82"/>
      <c r="I67" s="82"/>
      <c r="J67" s="82"/>
      <c r="K67" s="82"/>
      <c r="L67" s="82"/>
      <c r="M67" s="82"/>
      <c r="N67" s="82"/>
      <c r="O67" s="82"/>
      <c r="P67" s="82"/>
      <c r="Q67" s="81"/>
      <c r="R67" s="81"/>
      <c r="S67" s="81"/>
      <c r="T67" s="81"/>
      <c r="U67" s="81"/>
      <c r="V67" s="81"/>
      <c r="W67" s="192"/>
      <c r="X67" s="192"/>
      <c r="Y67" s="192"/>
      <c r="Z67" s="192"/>
      <c r="AA67" s="192"/>
      <c r="AB67" s="192"/>
      <c r="AC67" s="81"/>
      <c r="AD67" s="81"/>
      <c r="AE67" s="81"/>
      <c r="AF67" s="81"/>
      <c r="AG67" s="81"/>
      <c r="AH67" s="81"/>
      <c r="AI67" s="81"/>
      <c r="AJ67" s="81"/>
      <c r="AK67" s="81"/>
      <c r="AL67" s="81"/>
      <c r="AM67" s="81"/>
      <c r="AN67" s="81"/>
    </row>
    <row r="68" spans="2:40" x14ac:dyDescent="0.35">
      <c r="B68" s="43"/>
      <c r="C68" s="43"/>
      <c r="E68" s="82"/>
      <c r="F68" s="82"/>
      <c r="G68" s="82"/>
      <c r="H68" s="82"/>
      <c r="I68" s="82"/>
      <c r="J68" s="82"/>
      <c r="K68" s="82"/>
      <c r="L68" s="82"/>
      <c r="M68" s="82"/>
      <c r="N68" s="82"/>
      <c r="O68" s="82"/>
      <c r="P68" s="82"/>
      <c r="Q68" s="81"/>
      <c r="R68" s="81"/>
      <c r="S68" s="81"/>
      <c r="T68" s="81"/>
      <c r="U68" s="81"/>
      <c r="V68" s="81"/>
      <c r="W68" s="192"/>
      <c r="X68" s="192"/>
      <c r="Y68" s="192"/>
      <c r="Z68" s="192"/>
      <c r="AA68" s="192"/>
      <c r="AB68" s="192"/>
      <c r="AC68" s="81"/>
      <c r="AD68" s="81"/>
      <c r="AE68" s="81"/>
      <c r="AF68" s="81"/>
      <c r="AG68" s="81"/>
      <c r="AH68" s="81"/>
      <c r="AI68" s="81"/>
      <c r="AJ68" s="81"/>
      <c r="AK68" s="81"/>
      <c r="AL68" s="81"/>
      <c r="AM68" s="81"/>
      <c r="AN68" s="81"/>
    </row>
    <row r="70" spans="2:40" x14ac:dyDescent="0.35">
      <c r="B70" s="43"/>
      <c r="C70" s="43"/>
      <c r="D70" s="80"/>
      <c r="E70" s="60"/>
      <c r="F70" s="60"/>
      <c r="G70" s="60"/>
      <c r="H70" s="60"/>
      <c r="I70" s="60"/>
      <c r="J70" s="60"/>
      <c r="K70" s="60"/>
      <c r="L70" s="60"/>
      <c r="M70" s="60"/>
      <c r="N70" s="60"/>
      <c r="O70" s="60"/>
      <c r="P70" s="60"/>
      <c r="Q70" s="60"/>
      <c r="R70" s="60"/>
      <c r="S70" s="60"/>
      <c r="T70" s="60"/>
      <c r="U70" s="60"/>
      <c r="V70" s="60"/>
      <c r="W70" s="189"/>
      <c r="X70" s="189"/>
      <c r="Y70" s="189"/>
      <c r="Z70" s="189"/>
      <c r="AA70" s="189"/>
      <c r="AB70" s="189"/>
      <c r="AC70" s="60"/>
      <c r="AD70" s="60"/>
      <c r="AE70" s="60"/>
      <c r="AF70" s="60"/>
      <c r="AG70" s="60"/>
      <c r="AH70" s="60"/>
      <c r="AI70" s="60"/>
      <c r="AJ70" s="60"/>
      <c r="AK70" s="60"/>
      <c r="AL70" s="60"/>
      <c r="AM70" s="60"/>
      <c r="AN70" s="60"/>
    </row>
    <row r="71" spans="2:40" x14ac:dyDescent="0.35">
      <c r="B71" s="43"/>
      <c r="C71" s="43"/>
      <c r="E71" s="81"/>
      <c r="F71" s="81"/>
      <c r="G71" s="81"/>
      <c r="H71" s="81"/>
      <c r="I71" s="81"/>
      <c r="J71" s="81"/>
      <c r="K71" s="81"/>
      <c r="L71" s="81"/>
      <c r="M71" s="81"/>
      <c r="N71" s="81"/>
      <c r="O71" s="81"/>
      <c r="P71" s="81"/>
      <c r="Q71" s="81"/>
      <c r="R71" s="81"/>
      <c r="S71" s="81"/>
      <c r="T71" s="81"/>
      <c r="U71" s="81"/>
      <c r="V71" s="81"/>
      <c r="W71" s="192"/>
      <c r="X71" s="192"/>
      <c r="Y71" s="192"/>
      <c r="Z71" s="192"/>
      <c r="AA71" s="192"/>
      <c r="AB71" s="192"/>
      <c r="AC71" s="81"/>
      <c r="AD71" s="81"/>
      <c r="AE71" s="81"/>
      <c r="AF71" s="81"/>
      <c r="AG71" s="81"/>
      <c r="AH71" s="81"/>
      <c r="AI71" s="81"/>
      <c r="AJ71" s="81"/>
      <c r="AK71" s="81"/>
      <c r="AL71" s="81"/>
      <c r="AM71" s="81"/>
      <c r="AN71" s="81"/>
    </row>
    <row r="72" spans="2:40" x14ac:dyDescent="0.35">
      <c r="B72" s="43"/>
      <c r="C72" s="43"/>
      <c r="E72" s="81"/>
      <c r="F72" s="81"/>
      <c r="G72" s="81"/>
      <c r="H72" s="81"/>
      <c r="I72" s="81"/>
      <c r="J72" s="81"/>
      <c r="K72" s="81"/>
      <c r="L72" s="81"/>
      <c r="M72" s="81"/>
      <c r="N72" s="81"/>
      <c r="O72" s="81"/>
      <c r="P72" s="81"/>
      <c r="Q72" s="81"/>
      <c r="R72" s="81"/>
      <c r="S72" s="81"/>
      <c r="T72" s="81"/>
      <c r="U72" s="81"/>
      <c r="V72" s="81"/>
      <c r="W72" s="192"/>
      <c r="X72" s="192"/>
      <c r="Y72" s="192"/>
      <c r="Z72" s="192"/>
      <c r="AA72" s="192"/>
      <c r="AB72" s="192"/>
      <c r="AC72" s="81"/>
      <c r="AD72" s="81"/>
      <c r="AE72" s="81"/>
      <c r="AF72" s="81"/>
      <c r="AG72" s="81"/>
      <c r="AH72" s="81"/>
      <c r="AI72" s="81"/>
      <c r="AJ72" s="81"/>
      <c r="AK72" s="81"/>
      <c r="AL72" s="81"/>
      <c r="AM72" s="81"/>
      <c r="AN72" s="81"/>
    </row>
    <row r="73" spans="2:40" x14ac:dyDescent="0.35">
      <c r="B73" s="43"/>
      <c r="C73" s="43"/>
      <c r="E73" s="81"/>
      <c r="F73" s="81"/>
      <c r="G73" s="81"/>
      <c r="H73" s="81"/>
      <c r="I73" s="81"/>
      <c r="J73" s="81"/>
      <c r="K73" s="81"/>
      <c r="L73" s="81"/>
      <c r="M73" s="81"/>
      <c r="N73" s="81"/>
      <c r="O73" s="81"/>
      <c r="P73" s="81"/>
      <c r="Q73" s="81"/>
      <c r="R73" s="81"/>
      <c r="S73" s="81"/>
      <c r="T73" s="81"/>
      <c r="U73" s="81"/>
      <c r="V73" s="81"/>
      <c r="W73" s="192"/>
      <c r="X73" s="192"/>
      <c r="Y73" s="192"/>
      <c r="Z73" s="192"/>
      <c r="AA73" s="192"/>
      <c r="AB73" s="192"/>
      <c r="AC73" s="81"/>
      <c r="AD73" s="81"/>
      <c r="AE73" s="81"/>
      <c r="AF73" s="81"/>
      <c r="AG73" s="81"/>
      <c r="AH73" s="81"/>
      <c r="AI73" s="81"/>
      <c r="AJ73" s="81"/>
      <c r="AK73" s="81"/>
      <c r="AL73" s="81"/>
      <c r="AM73" s="81"/>
      <c r="AN73" s="81"/>
    </row>
    <row r="74" spans="2:40" x14ac:dyDescent="0.35">
      <c r="B74" s="43"/>
      <c r="C74" s="43"/>
      <c r="E74" s="81"/>
      <c r="F74" s="81"/>
      <c r="G74" s="81"/>
      <c r="H74" s="81"/>
      <c r="I74" s="81"/>
      <c r="J74" s="81"/>
      <c r="K74" s="81"/>
      <c r="L74" s="81"/>
      <c r="M74" s="81"/>
      <c r="N74" s="81"/>
      <c r="O74" s="81"/>
      <c r="P74" s="81"/>
      <c r="Q74" s="81"/>
      <c r="R74" s="81"/>
      <c r="S74" s="81"/>
      <c r="T74" s="81"/>
      <c r="U74" s="81"/>
      <c r="V74" s="81"/>
      <c r="W74" s="192"/>
      <c r="X74" s="192"/>
      <c r="Y74" s="192"/>
      <c r="Z74" s="192"/>
      <c r="AA74" s="192"/>
      <c r="AB74" s="192"/>
      <c r="AC74" s="81"/>
      <c r="AD74" s="81"/>
      <c r="AE74" s="81"/>
      <c r="AF74" s="81"/>
      <c r="AG74" s="81"/>
      <c r="AH74" s="81"/>
      <c r="AI74" s="81"/>
      <c r="AJ74" s="81"/>
      <c r="AK74" s="81"/>
      <c r="AL74" s="81"/>
      <c r="AM74" s="81"/>
      <c r="AN74" s="81"/>
    </row>
    <row r="75" spans="2:40" x14ac:dyDescent="0.35">
      <c r="B75" s="43"/>
      <c r="C75" s="43"/>
      <c r="E75" s="82"/>
      <c r="F75" s="82"/>
      <c r="G75" s="82"/>
      <c r="H75" s="82"/>
      <c r="I75" s="82"/>
      <c r="J75" s="82"/>
      <c r="K75" s="82"/>
      <c r="L75" s="82"/>
      <c r="M75" s="82"/>
      <c r="N75" s="82"/>
      <c r="O75" s="82"/>
      <c r="P75" s="82"/>
      <c r="Q75" s="81"/>
      <c r="R75" s="81"/>
      <c r="S75" s="81"/>
      <c r="T75" s="81"/>
      <c r="U75" s="81"/>
      <c r="V75" s="81"/>
      <c r="W75" s="192"/>
      <c r="X75" s="192"/>
      <c r="Y75" s="192"/>
      <c r="Z75" s="192"/>
      <c r="AA75" s="192"/>
      <c r="AB75" s="192"/>
      <c r="AC75" s="81"/>
      <c r="AD75" s="81"/>
      <c r="AE75" s="81"/>
      <c r="AF75" s="81"/>
      <c r="AG75" s="81"/>
      <c r="AH75" s="81"/>
      <c r="AI75" s="81"/>
      <c r="AJ75" s="81"/>
      <c r="AK75" s="81"/>
      <c r="AL75" s="81"/>
      <c r="AM75" s="81"/>
      <c r="AN75" s="81"/>
    </row>
    <row r="76" spans="2:40" x14ac:dyDescent="0.35">
      <c r="B76" s="43"/>
      <c r="C76" s="43"/>
      <c r="E76" s="82"/>
      <c r="F76" s="82"/>
      <c r="G76" s="82"/>
      <c r="H76" s="82"/>
      <c r="I76" s="82"/>
      <c r="J76" s="82"/>
      <c r="K76" s="82"/>
      <c r="L76" s="82"/>
      <c r="M76" s="82"/>
      <c r="N76" s="82"/>
      <c r="O76" s="82"/>
      <c r="P76" s="82"/>
      <c r="Q76" s="81"/>
      <c r="R76" s="81"/>
      <c r="S76" s="81"/>
      <c r="T76" s="81"/>
      <c r="U76" s="81"/>
      <c r="V76" s="81"/>
      <c r="W76" s="192"/>
      <c r="X76" s="192"/>
      <c r="Y76" s="192"/>
      <c r="Z76" s="192"/>
      <c r="AA76" s="192"/>
      <c r="AB76" s="192"/>
      <c r="AC76" s="81"/>
      <c r="AD76" s="81"/>
      <c r="AE76" s="81"/>
      <c r="AF76" s="81"/>
      <c r="AG76" s="81"/>
      <c r="AH76" s="81"/>
      <c r="AI76" s="81"/>
      <c r="AJ76" s="81"/>
      <c r="AK76" s="81"/>
      <c r="AL76" s="81"/>
      <c r="AM76" s="81"/>
      <c r="AN76" s="81"/>
    </row>
    <row r="78" spans="2:40" x14ac:dyDescent="0.35">
      <c r="B78" s="43"/>
      <c r="C78" s="43"/>
      <c r="D78" s="80"/>
      <c r="E78" s="60"/>
      <c r="F78" s="60"/>
      <c r="G78" s="60"/>
      <c r="H78" s="60"/>
      <c r="I78" s="60"/>
      <c r="J78" s="60"/>
      <c r="K78" s="60"/>
      <c r="L78" s="60"/>
      <c r="M78" s="60"/>
      <c r="N78" s="60"/>
      <c r="O78" s="60"/>
      <c r="P78" s="60"/>
      <c r="Q78" s="60"/>
      <c r="R78" s="60"/>
      <c r="S78" s="60"/>
      <c r="T78" s="60"/>
      <c r="U78" s="60"/>
      <c r="V78" s="60"/>
      <c r="W78" s="189"/>
      <c r="X78" s="189"/>
      <c r="Y78" s="189"/>
      <c r="Z78" s="189"/>
      <c r="AA78" s="189"/>
      <c r="AB78" s="189"/>
      <c r="AC78" s="60"/>
      <c r="AD78" s="60"/>
      <c r="AE78" s="60"/>
      <c r="AF78" s="60"/>
      <c r="AG78" s="60"/>
      <c r="AH78" s="60"/>
      <c r="AI78" s="60"/>
      <c r="AJ78" s="60"/>
      <c r="AK78" s="60"/>
      <c r="AL78" s="60"/>
      <c r="AM78" s="60"/>
      <c r="AN78" s="60"/>
    </row>
    <row r="79" spans="2:40" x14ac:dyDescent="0.35">
      <c r="B79" s="43"/>
      <c r="C79" s="43"/>
      <c r="E79" s="81"/>
      <c r="F79" s="81"/>
      <c r="G79" s="81"/>
      <c r="H79" s="81"/>
      <c r="I79" s="81"/>
      <c r="J79" s="81"/>
      <c r="K79" s="81"/>
      <c r="L79" s="81"/>
      <c r="M79" s="81"/>
      <c r="N79" s="81"/>
      <c r="O79" s="81"/>
      <c r="P79" s="81"/>
      <c r="Q79" s="81"/>
      <c r="R79" s="81"/>
      <c r="S79" s="81"/>
      <c r="T79" s="81"/>
      <c r="U79" s="81"/>
      <c r="V79" s="81"/>
      <c r="W79" s="192"/>
      <c r="X79" s="192"/>
      <c r="Y79" s="192"/>
      <c r="Z79" s="192"/>
      <c r="AA79" s="192"/>
      <c r="AB79" s="192"/>
      <c r="AC79" s="81"/>
      <c r="AD79" s="81"/>
      <c r="AE79" s="81"/>
      <c r="AF79" s="81"/>
      <c r="AG79" s="81"/>
      <c r="AH79" s="81"/>
      <c r="AI79" s="81"/>
      <c r="AJ79" s="81"/>
      <c r="AK79" s="81"/>
      <c r="AL79" s="81"/>
      <c r="AM79" s="81"/>
      <c r="AN79" s="81"/>
    </row>
    <row r="80" spans="2:40" x14ac:dyDescent="0.35">
      <c r="B80" s="43"/>
      <c r="C80" s="43"/>
      <c r="E80" s="81"/>
      <c r="F80" s="81"/>
      <c r="G80" s="81"/>
      <c r="H80" s="81"/>
      <c r="I80" s="81"/>
      <c r="J80" s="81"/>
      <c r="K80" s="81"/>
      <c r="L80" s="81"/>
      <c r="M80" s="81"/>
      <c r="N80" s="81"/>
      <c r="O80" s="81"/>
      <c r="P80" s="81"/>
      <c r="Q80" s="81"/>
      <c r="R80" s="81"/>
      <c r="S80" s="81"/>
      <c r="T80" s="81"/>
      <c r="U80" s="81"/>
      <c r="V80" s="81"/>
      <c r="W80" s="192"/>
      <c r="X80" s="192"/>
      <c r="Y80" s="192"/>
      <c r="Z80" s="192"/>
      <c r="AA80" s="192"/>
      <c r="AB80" s="192"/>
      <c r="AC80" s="81"/>
      <c r="AD80" s="81"/>
      <c r="AE80" s="81"/>
      <c r="AF80" s="81"/>
      <c r="AG80" s="81"/>
      <c r="AH80" s="81"/>
      <c r="AI80" s="81"/>
      <c r="AJ80" s="81"/>
      <c r="AK80" s="81"/>
      <c r="AL80" s="81"/>
      <c r="AM80" s="81"/>
      <c r="AN80" s="81"/>
    </row>
    <row r="81" spans="2:40" x14ac:dyDescent="0.35">
      <c r="B81" s="43"/>
      <c r="C81" s="43"/>
      <c r="E81" s="81"/>
      <c r="F81" s="81"/>
      <c r="G81" s="81"/>
      <c r="H81" s="81"/>
      <c r="I81" s="81"/>
      <c r="J81" s="81"/>
      <c r="K81" s="81"/>
      <c r="L81" s="81"/>
      <c r="M81" s="81"/>
      <c r="N81" s="81"/>
      <c r="O81" s="81"/>
      <c r="P81" s="81"/>
      <c r="Q81" s="81"/>
      <c r="R81" s="81"/>
      <c r="S81" s="81"/>
      <c r="T81" s="81"/>
      <c r="U81" s="81"/>
      <c r="V81" s="81"/>
      <c r="W81" s="192"/>
      <c r="X81" s="192"/>
      <c r="Y81" s="192"/>
      <c r="Z81" s="192"/>
      <c r="AA81" s="192"/>
      <c r="AB81" s="192"/>
      <c r="AC81" s="81"/>
      <c r="AD81" s="81"/>
      <c r="AE81" s="81"/>
      <c r="AF81" s="81"/>
      <c r="AG81" s="81"/>
      <c r="AH81" s="81"/>
      <c r="AI81" s="81"/>
      <c r="AJ81" s="81"/>
      <c r="AK81" s="81"/>
      <c r="AL81" s="81"/>
      <c r="AM81" s="81"/>
      <c r="AN81" s="81"/>
    </row>
    <row r="82" spans="2:40" x14ac:dyDescent="0.35">
      <c r="B82" s="43"/>
      <c r="C82" s="43"/>
      <c r="E82" s="81"/>
      <c r="F82" s="81"/>
      <c r="G82" s="81"/>
      <c r="H82" s="81"/>
      <c r="I82" s="81"/>
      <c r="J82" s="81"/>
      <c r="K82" s="81"/>
      <c r="L82" s="81"/>
      <c r="M82" s="81"/>
      <c r="N82" s="81"/>
      <c r="O82" s="81"/>
      <c r="P82" s="81"/>
      <c r="Q82" s="81"/>
      <c r="R82" s="81"/>
      <c r="S82" s="81"/>
      <c r="T82" s="81"/>
      <c r="U82" s="81"/>
      <c r="V82" s="81"/>
      <c r="W82" s="192"/>
      <c r="X82" s="192"/>
      <c r="Y82" s="192"/>
      <c r="Z82" s="192"/>
      <c r="AA82" s="192"/>
      <c r="AB82" s="192"/>
      <c r="AC82" s="81"/>
      <c r="AD82" s="81"/>
      <c r="AE82" s="81"/>
      <c r="AF82" s="81"/>
      <c r="AG82" s="81"/>
      <c r="AH82" s="81"/>
      <c r="AI82" s="81"/>
      <c r="AJ82" s="81"/>
      <c r="AK82" s="81"/>
      <c r="AL82" s="81"/>
      <c r="AM82" s="81"/>
      <c r="AN82" s="81"/>
    </row>
    <row r="83" spans="2:40" x14ac:dyDescent="0.35">
      <c r="B83" s="43"/>
      <c r="C83" s="43"/>
      <c r="E83" s="82"/>
      <c r="F83" s="82"/>
      <c r="G83" s="82"/>
      <c r="H83" s="82"/>
      <c r="I83" s="82"/>
      <c r="J83" s="82"/>
      <c r="K83" s="82"/>
      <c r="L83" s="82"/>
      <c r="M83" s="82"/>
      <c r="N83" s="82"/>
      <c r="O83" s="82"/>
      <c r="P83" s="82"/>
      <c r="Q83" s="82"/>
      <c r="R83" s="82"/>
      <c r="S83" s="82"/>
      <c r="T83" s="82"/>
      <c r="U83" s="82"/>
      <c r="V83" s="82"/>
      <c r="W83" s="193"/>
      <c r="X83" s="193"/>
      <c r="Y83" s="193"/>
      <c r="Z83" s="193"/>
      <c r="AA83" s="193"/>
      <c r="AB83" s="193"/>
      <c r="AC83" s="82"/>
      <c r="AD83" s="82"/>
      <c r="AE83" s="82"/>
      <c r="AF83" s="82"/>
      <c r="AG83" s="82"/>
      <c r="AH83" s="82"/>
      <c r="AI83" s="82"/>
      <c r="AJ83" s="82"/>
      <c r="AK83" s="82"/>
      <c r="AL83" s="82"/>
      <c r="AM83" s="82"/>
      <c r="AN83" s="82"/>
    </row>
    <row r="84" spans="2:40" x14ac:dyDescent="0.35">
      <c r="B84" s="43"/>
      <c r="C84" s="43"/>
      <c r="E84" s="82"/>
      <c r="F84" s="82"/>
      <c r="G84" s="82"/>
      <c r="H84" s="82"/>
      <c r="I84" s="82"/>
      <c r="J84" s="82"/>
      <c r="K84" s="82"/>
      <c r="L84" s="82"/>
      <c r="M84" s="82"/>
      <c r="N84" s="82"/>
      <c r="O84" s="82"/>
      <c r="P84" s="82"/>
      <c r="Q84" s="82"/>
      <c r="R84" s="82"/>
      <c r="S84" s="82"/>
      <c r="T84" s="82"/>
      <c r="U84" s="82"/>
      <c r="V84" s="82"/>
      <c r="W84" s="193"/>
      <c r="X84" s="193"/>
      <c r="Y84" s="193"/>
      <c r="Z84" s="193"/>
      <c r="AA84" s="193"/>
      <c r="AB84" s="193"/>
      <c r="AC84" s="82"/>
      <c r="AD84" s="82"/>
      <c r="AE84" s="82"/>
      <c r="AF84" s="82"/>
      <c r="AG84" s="82"/>
      <c r="AH84" s="82"/>
      <c r="AI84" s="82"/>
      <c r="AJ84" s="82"/>
      <c r="AK84" s="82"/>
      <c r="AL84" s="82"/>
      <c r="AM84" s="82"/>
      <c r="AN84" s="82"/>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U1048562"/>
  <sheetViews>
    <sheetView showGridLines="0" topLeftCell="A42" workbookViewId="0">
      <selection activeCell="F58" sqref="F58"/>
    </sheetView>
  </sheetViews>
  <sheetFormatPr defaultColWidth="9.1796875" defaultRowHeight="14.5" x14ac:dyDescent="0.35"/>
  <cols>
    <col min="1" max="2" width="2.453125" style="574" customWidth="1"/>
    <col min="3" max="3" width="26.26953125" style="574" bestFit="1" customWidth="1"/>
    <col min="4" max="4" width="10.7265625" style="574" bestFit="1" customWidth="1"/>
    <col min="5" max="5" width="11.81640625" style="574" bestFit="1" customWidth="1"/>
    <col min="6" max="6" width="23.81640625" style="574" bestFit="1" customWidth="1"/>
    <col min="7" max="7" width="10.7265625" style="574" bestFit="1" customWidth="1"/>
    <col min="8" max="8" width="16.54296875" style="574" bestFit="1" customWidth="1"/>
    <col min="9" max="9" width="15.81640625" style="574" bestFit="1" customWidth="1"/>
    <col min="10" max="10" width="13.7265625" style="574" bestFit="1" customWidth="1"/>
    <col min="11" max="11" width="10.81640625" style="574" bestFit="1" customWidth="1"/>
    <col min="12" max="12" width="18.26953125" style="574" bestFit="1" customWidth="1"/>
    <col min="13" max="13" width="14.54296875" style="574" bestFit="1" customWidth="1"/>
    <col min="14" max="14" width="13.1796875" style="574" bestFit="1" customWidth="1"/>
    <col min="15" max="15" width="10.7265625" style="574" bestFit="1" customWidth="1"/>
    <col min="16" max="16" width="9.7265625" style="574" bestFit="1" customWidth="1"/>
    <col min="17" max="18" width="10.7265625" style="574" bestFit="1" customWidth="1"/>
    <col min="19" max="19" width="9.1796875" style="574"/>
    <col min="20" max="21" width="25" style="574" customWidth="1"/>
    <col min="22" max="16384" width="9.1796875" style="574"/>
  </cols>
  <sheetData>
    <row r="1" spans="2:21" x14ac:dyDescent="0.35">
      <c r="N1" s="574" t="s">
        <v>1000</v>
      </c>
    </row>
    <row r="3" spans="2:21" x14ac:dyDescent="0.35">
      <c r="B3" s="652" t="s">
        <v>1001</v>
      </c>
      <c r="C3" s="652" t="s">
        <v>1002</v>
      </c>
      <c r="T3" s="857" t="s">
        <v>1003</v>
      </c>
      <c r="U3" s="858">
        <v>41640</v>
      </c>
    </row>
    <row r="4" spans="2:21" x14ac:dyDescent="0.35">
      <c r="B4" s="859" t="s">
        <v>788</v>
      </c>
      <c r="C4" s="859" t="s">
        <v>924</v>
      </c>
      <c r="D4" s="859" t="s">
        <v>1005</v>
      </c>
      <c r="E4" s="859" t="s">
        <v>1004</v>
      </c>
      <c r="F4" s="859" t="s">
        <v>956</v>
      </c>
      <c r="G4" s="859" t="s">
        <v>0</v>
      </c>
      <c r="H4" s="859" t="s">
        <v>1006</v>
      </c>
      <c r="I4" s="859" t="s">
        <v>1007</v>
      </c>
      <c r="J4" s="859" t="s">
        <v>1008</v>
      </c>
      <c r="K4" s="859" t="s">
        <v>1009</v>
      </c>
      <c r="L4" s="859" t="s">
        <v>1010</v>
      </c>
      <c r="M4" s="859" t="s">
        <v>1011</v>
      </c>
      <c r="N4" s="860">
        <v>41333</v>
      </c>
      <c r="O4" s="860">
        <v>41698</v>
      </c>
      <c r="P4" s="860">
        <v>42063</v>
      </c>
      <c r="Q4" s="860">
        <v>42428</v>
      </c>
      <c r="R4" s="860">
        <v>42794</v>
      </c>
      <c r="T4" s="574" t="s">
        <v>1012</v>
      </c>
    </row>
    <row r="5" spans="2:21" x14ac:dyDescent="0.35">
      <c r="B5" s="861"/>
      <c r="C5" s="861"/>
      <c r="D5" s="861"/>
      <c r="E5" s="861"/>
      <c r="F5" s="861"/>
      <c r="G5" s="861"/>
      <c r="H5" s="861"/>
      <c r="I5" s="861"/>
      <c r="J5" s="861"/>
      <c r="K5" s="861"/>
      <c r="L5" s="861"/>
      <c r="M5" s="862"/>
      <c r="N5" s="862" t="s">
        <v>1013</v>
      </c>
      <c r="O5" s="862"/>
      <c r="P5" s="862"/>
      <c r="Q5" s="862"/>
      <c r="R5" s="862"/>
      <c r="T5" s="574" t="s">
        <v>1014</v>
      </c>
    </row>
    <row r="6" spans="2:21" x14ac:dyDescent="0.35">
      <c r="B6" s="574">
        <v>1</v>
      </c>
      <c r="C6" s="863" t="s">
        <v>707</v>
      </c>
      <c r="D6" s="863" t="str">
        <f>LEFT(C6,FIND(" ",C6,1))</f>
        <v xml:space="preserve">Charles </v>
      </c>
      <c r="E6" s="863" t="s">
        <v>1016</v>
      </c>
      <c r="F6" s="863" t="s">
        <v>342</v>
      </c>
      <c r="G6" s="864">
        <v>41411</v>
      </c>
      <c r="H6" s="864">
        <v>41705</v>
      </c>
      <c r="I6" s="863" t="s">
        <v>1</v>
      </c>
      <c r="J6" s="863" t="str">
        <f>IF(H6="","Active",IF(I6&lt;=D4,"Term","Error"))</f>
        <v>Term</v>
      </c>
      <c r="K6" s="863" t="s">
        <v>184</v>
      </c>
      <c r="L6" s="865">
        <v>0.1</v>
      </c>
      <c r="M6" s="62">
        <v>0.03</v>
      </c>
      <c r="N6" s="866">
        <v>58000</v>
      </c>
      <c r="O6" s="315">
        <f t="shared" ref="O6:O24" si="0">IF($O$4&gt;$G6,(N6*(1+$M6)),0)</f>
        <v>59740</v>
      </c>
      <c r="P6" s="315">
        <f t="shared" ref="P6:R22" si="1">IF($P$4&gt;$G6,(O6*(1+$M6)),0)</f>
        <v>61532.200000000004</v>
      </c>
      <c r="Q6" s="315">
        <f t="shared" si="1"/>
        <v>63378.166000000005</v>
      </c>
      <c r="R6" s="315">
        <f t="shared" si="1"/>
        <v>65279.510980000006</v>
      </c>
    </row>
    <row r="7" spans="2:21" x14ac:dyDescent="0.35">
      <c r="B7" s="574">
        <v>1</v>
      </c>
      <c r="C7" s="863" t="s">
        <v>316</v>
      </c>
      <c r="D7" s="863" t="s">
        <v>316</v>
      </c>
      <c r="E7" s="863"/>
      <c r="F7" s="863" t="s">
        <v>342</v>
      </c>
      <c r="G7" s="864">
        <v>41030</v>
      </c>
      <c r="H7" s="864">
        <v>55153</v>
      </c>
      <c r="I7" s="863" t="s">
        <v>1</v>
      </c>
      <c r="J7" s="863" t="e">
        <f>IF(H7="","Active",IF(I7&lt;=#REF!,"Term","Error"))</f>
        <v>#REF!</v>
      </c>
      <c r="K7" s="863" t="s">
        <v>184</v>
      </c>
      <c r="L7" s="865">
        <v>0</v>
      </c>
      <c r="M7" s="62">
        <v>0.1</v>
      </c>
      <c r="N7" s="866">
        <v>50000</v>
      </c>
      <c r="O7" s="315">
        <f t="shared" si="0"/>
        <v>55000.000000000007</v>
      </c>
      <c r="P7" s="315">
        <f t="shared" si="1"/>
        <v>60500.000000000015</v>
      </c>
      <c r="Q7" s="315">
        <f t="shared" si="1"/>
        <v>66550.000000000015</v>
      </c>
      <c r="R7" s="315">
        <f t="shared" si="1"/>
        <v>73205.000000000029</v>
      </c>
    </row>
    <row r="8" spans="2:21" x14ac:dyDescent="0.35">
      <c r="B8" s="574">
        <v>1</v>
      </c>
      <c r="C8" s="863" t="s">
        <v>470</v>
      </c>
      <c r="D8" s="863" t="str">
        <f t="shared" ref="D8:D71" si="2">LEFT(C8,FIND(" ",C8,1))</f>
        <v xml:space="preserve">Adam </v>
      </c>
      <c r="E8" s="863" t="s">
        <v>1189</v>
      </c>
      <c r="F8" s="863" t="s">
        <v>342</v>
      </c>
      <c r="G8" s="864">
        <v>40544</v>
      </c>
      <c r="H8" s="864">
        <v>55153</v>
      </c>
      <c r="I8" s="863" t="s">
        <v>1</v>
      </c>
      <c r="J8" s="863" t="e">
        <f>IF(H8="","Active",IF(I8&lt;=#REF!,"Term","Error"))</f>
        <v>#REF!</v>
      </c>
      <c r="K8" s="863" t="s">
        <v>184</v>
      </c>
      <c r="L8" s="865">
        <v>0.1</v>
      </c>
      <c r="M8" s="62">
        <v>0.03</v>
      </c>
      <c r="N8" s="866">
        <v>70000</v>
      </c>
      <c r="O8" s="315">
        <f t="shared" si="0"/>
        <v>72100</v>
      </c>
      <c r="P8" s="315">
        <f t="shared" si="1"/>
        <v>74263</v>
      </c>
      <c r="Q8" s="315">
        <f t="shared" si="1"/>
        <v>76490.89</v>
      </c>
      <c r="R8" s="315">
        <f t="shared" si="1"/>
        <v>78785.616699999999</v>
      </c>
    </row>
    <row r="9" spans="2:21" x14ac:dyDescent="0.35">
      <c r="B9" s="574">
        <v>1</v>
      </c>
      <c r="C9" s="863" t="s">
        <v>372</v>
      </c>
      <c r="D9" s="863" t="str">
        <f t="shared" si="2"/>
        <v xml:space="preserve">Vadim </v>
      </c>
      <c r="E9" s="863" t="s">
        <v>1017</v>
      </c>
      <c r="F9" s="863" t="s">
        <v>342</v>
      </c>
      <c r="G9" s="864">
        <v>41214</v>
      </c>
      <c r="H9" s="864">
        <v>55153</v>
      </c>
      <c r="I9" s="863" t="s">
        <v>1</v>
      </c>
      <c r="J9" s="863" t="str">
        <f t="shared" ref="J9:J57" si="3">IF(H9="","Active",IF(I9&lt;=D7,"Term","Error"))</f>
        <v>Term</v>
      </c>
      <c r="K9" s="863" t="s">
        <v>367</v>
      </c>
      <c r="L9" s="865">
        <v>0.1</v>
      </c>
      <c r="M9" s="62">
        <v>0.03</v>
      </c>
      <c r="N9" s="866">
        <v>50000</v>
      </c>
      <c r="O9" s="315">
        <f t="shared" si="0"/>
        <v>51500</v>
      </c>
      <c r="P9" s="315">
        <f t="shared" si="1"/>
        <v>53045</v>
      </c>
      <c r="Q9" s="315">
        <f t="shared" si="1"/>
        <v>54636.35</v>
      </c>
      <c r="R9" s="315">
        <f t="shared" si="1"/>
        <v>56275.440499999997</v>
      </c>
    </row>
    <row r="10" spans="2:21" x14ac:dyDescent="0.35">
      <c r="B10" s="574">
        <v>1</v>
      </c>
      <c r="C10" s="863" t="s">
        <v>471</v>
      </c>
      <c r="D10" s="863" t="str">
        <f t="shared" si="2"/>
        <v xml:space="preserve">James </v>
      </c>
      <c r="E10" s="863" t="s">
        <v>1018</v>
      </c>
      <c r="F10" s="863" t="s">
        <v>342</v>
      </c>
      <c r="G10" s="864">
        <v>40544</v>
      </c>
      <c r="H10" s="864">
        <v>55153</v>
      </c>
      <c r="I10" s="863" t="s">
        <v>1</v>
      </c>
      <c r="J10" s="863" t="str">
        <f t="shared" si="3"/>
        <v>Term</v>
      </c>
      <c r="K10" s="863" t="s">
        <v>184</v>
      </c>
      <c r="L10" s="865">
        <v>0.1</v>
      </c>
      <c r="M10" s="62">
        <v>0.03</v>
      </c>
      <c r="N10" s="866">
        <v>115000</v>
      </c>
      <c r="O10" s="315">
        <f t="shared" si="0"/>
        <v>118450</v>
      </c>
      <c r="P10" s="315">
        <f t="shared" si="1"/>
        <v>122003.5</v>
      </c>
      <c r="Q10" s="315">
        <f t="shared" si="1"/>
        <v>125663.60500000001</v>
      </c>
      <c r="R10" s="315">
        <f t="shared" si="1"/>
        <v>129433.51315000001</v>
      </c>
    </row>
    <row r="11" spans="2:21" x14ac:dyDescent="0.35">
      <c r="B11" s="574">
        <v>1</v>
      </c>
      <c r="C11" s="863" t="s">
        <v>466</v>
      </c>
      <c r="D11" s="863" t="str">
        <f t="shared" si="2"/>
        <v xml:space="preserve">John </v>
      </c>
      <c r="E11" s="863" t="s">
        <v>1019</v>
      </c>
      <c r="F11" s="863" t="s">
        <v>342</v>
      </c>
      <c r="G11" s="864">
        <v>41106</v>
      </c>
      <c r="H11" s="864">
        <v>41442</v>
      </c>
      <c r="I11" s="863" t="s">
        <v>1</v>
      </c>
      <c r="J11" s="863" t="str">
        <f t="shared" si="3"/>
        <v>Term</v>
      </c>
      <c r="K11" s="863" t="s">
        <v>184</v>
      </c>
      <c r="L11" s="865">
        <v>0.1</v>
      </c>
      <c r="M11" s="62">
        <v>0.03</v>
      </c>
      <c r="N11" s="866">
        <v>110000</v>
      </c>
      <c r="O11" s="315">
        <f t="shared" si="0"/>
        <v>113300</v>
      </c>
      <c r="P11" s="315">
        <f t="shared" si="1"/>
        <v>116699</v>
      </c>
      <c r="Q11" s="315">
        <f t="shared" si="1"/>
        <v>120199.97</v>
      </c>
      <c r="R11" s="315">
        <f t="shared" si="1"/>
        <v>123805.9691</v>
      </c>
    </row>
    <row r="12" spans="2:21" x14ac:dyDescent="0.35">
      <c r="B12" s="574">
        <v>1</v>
      </c>
      <c r="C12" s="863" t="s">
        <v>488</v>
      </c>
      <c r="D12" s="863" t="str">
        <f t="shared" si="2"/>
        <v xml:space="preserve">TJ </v>
      </c>
      <c r="E12" s="863" t="s">
        <v>1020</v>
      </c>
      <c r="F12" s="863" t="s">
        <v>342</v>
      </c>
      <c r="G12" s="864">
        <v>40544</v>
      </c>
      <c r="H12" s="864">
        <v>55153</v>
      </c>
      <c r="I12" s="863" t="s">
        <v>1</v>
      </c>
      <c r="J12" s="863" t="str">
        <f t="shared" si="3"/>
        <v>Term</v>
      </c>
      <c r="K12" s="863" t="s">
        <v>184</v>
      </c>
      <c r="L12" s="865">
        <v>0.45</v>
      </c>
      <c r="M12" s="62">
        <v>0.03</v>
      </c>
      <c r="N12" s="866">
        <v>275000</v>
      </c>
      <c r="O12" s="315">
        <f t="shared" si="0"/>
        <v>283250</v>
      </c>
      <c r="P12" s="315">
        <f t="shared" si="1"/>
        <v>291747.5</v>
      </c>
      <c r="Q12" s="315">
        <f t="shared" si="1"/>
        <v>300499.92499999999</v>
      </c>
      <c r="R12" s="315">
        <f t="shared" si="1"/>
        <v>309514.92274999997</v>
      </c>
    </row>
    <row r="13" spans="2:21" x14ac:dyDescent="0.35">
      <c r="B13" s="574">
        <v>1</v>
      </c>
      <c r="C13" s="863" t="s">
        <v>481</v>
      </c>
      <c r="D13" s="863" t="str">
        <f t="shared" si="2"/>
        <v xml:space="preserve">Dinesh </v>
      </c>
      <c r="E13" s="863" t="s">
        <v>1021</v>
      </c>
      <c r="F13" s="863" t="s">
        <v>3</v>
      </c>
      <c r="G13" s="864">
        <v>40544</v>
      </c>
      <c r="H13" s="864">
        <v>41639</v>
      </c>
      <c r="I13" s="863" t="s">
        <v>1</v>
      </c>
      <c r="J13" s="863" t="str">
        <f t="shared" si="3"/>
        <v>Term</v>
      </c>
      <c r="K13" s="863" t="s">
        <v>184</v>
      </c>
      <c r="L13" s="865">
        <v>0.45</v>
      </c>
      <c r="M13" s="62">
        <v>0</v>
      </c>
      <c r="N13" s="866">
        <v>275000</v>
      </c>
      <c r="O13" s="315">
        <v>0</v>
      </c>
      <c r="P13" s="315">
        <v>0</v>
      </c>
      <c r="Q13" s="315">
        <f t="shared" si="1"/>
        <v>0</v>
      </c>
      <c r="R13" s="315">
        <f t="shared" si="1"/>
        <v>0</v>
      </c>
    </row>
    <row r="14" spans="2:21" x14ac:dyDescent="0.35">
      <c r="B14" s="574">
        <v>1</v>
      </c>
      <c r="C14" s="863" t="s">
        <v>483</v>
      </c>
      <c r="D14" s="863" t="str">
        <f t="shared" si="2"/>
        <v xml:space="preserve">Komnieve </v>
      </c>
      <c r="E14" s="863" t="s">
        <v>1022</v>
      </c>
      <c r="F14" s="863" t="s">
        <v>224</v>
      </c>
      <c r="G14" s="864">
        <v>40544</v>
      </c>
      <c r="H14" s="864">
        <v>55153</v>
      </c>
      <c r="I14" s="863"/>
      <c r="J14" s="863"/>
      <c r="K14" s="863" t="s">
        <v>184</v>
      </c>
      <c r="L14" s="865">
        <v>0.45</v>
      </c>
      <c r="M14" s="62">
        <v>0.03</v>
      </c>
      <c r="N14" s="866">
        <v>275000</v>
      </c>
      <c r="O14" s="315">
        <f t="shared" si="0"/>
        <v>283250</v>
      </c>
      <c r="P14" s="315">
        <f t="shared" si="1"/>
        <v>291747.5</v>
      </c>
      <c r="Q14" s="315">
        <f t="shared" si="1"/>
        <v>300499.92499999999</v>
      </c>
      <c r="R14" s="315">
        <f t="shared" si="1"/>
        <v>309514.92274999997</v>
      </c>
    </row>
    <row r="15" spans="2:21" x14ac:dyDescent="0.35">
      <c r="B15" s="574">
        <v>1</v>
      </c>
      <c r="C15" s="863" t="s">
        <v>490</v>
      </c>
      <c r="D15" s="863" t="str">
        <f t="shared" si="2"/>
        <v xml:space="preserve">Ronald </v>
      </c>
      <c r="E15" s="863" t="s">
        <v>1023</v>
      </c>
      <c r="F15" s="863" t="s">
        <v>3</v>
      </c>
      <c r="G15" s="864">
        <v>41000</v>
      </c>
      <c r="H15" s="864">
        <v>55153</v>
      </c>
      <c r="I15" s="863" t="s">
        <v>1</v>
      </c>
      <c r="J15" s="863" t="str">
        <f t="shared" si="3"/>
        <v>Term</v>
      </c>
      <c r="K15" s="863" t="s">
        <v>184</v>
      </c>
      <c r="L15" s="865">
        <v>0.45</v>
      </c>
      <c r="M15" s="62">
        <v>0</v>
      </c>
      <c r="N15" s="866">
        <v>275000</v>
      </c>
      <c r="O15" s="315">
        <f t="shared" si="0"/>
        <v>275000</v>
      </c>
      <c r="P15" s="315">
        <f t="shared" si="1"/>
        <v>275000</v>
      </c>
      <c r="Q15" s="315">
        <f t="shared" si="1"/>
        <v>275000</v>
      </c>
      <c r="R15" s="315">
        <f t="shared" si="1"/>
        <v>275000</v>
      </c>
    </row>
    <row r="16" spans="2:21" x14ac:dyDescent="0.35">
      <c r="B16" s="574">
        <v>1</v>
      </c>
      <c r="C16" s="863" t="s">
        <v>366</v>
      </c>
      <c r="D16" s="863" t="str">
        <f t="shared" si="2"/>
        <v xml:space="preserve">Shane </v>
      </c>
      <c r="E16" s="863" t="s">
        <v>1024</v>
      </c>
      <c r="F16" s="863" t="s">
        <v>3</v>
      </c>
      <c r="G16" s="864">
        <v>41214</v>
      </c>
      <c r="H16" s="864">
        <v>55153</v>
      </c>
      <c r="I16" s="863" t="s">
        <v>1</v>
      </c>
      <c r="J16" s="863" t="str">
        <f t="shared" si="3"/>
        <v>Term</v>
      </c>
      <c r="K16" s="863" t="s">
        <v>367</v>
      </c>
      <c r="L16" s="865">
        <v>0.45</v>
      </c>
      <c r="M16" s="62">
        <v>0</v>
      </c>
      <c r="N16" s="866">
        <v>275000</v>
      </c>
      <c r="O16" s="315">
        <f t="shared" si="0"/>
        <v>275000</v>
      </c>
      <c r="P16" s="315">
        <f t="shared" si="1"/>
        <v>275000</v>
      </c>
      <c r="Q16" s="315">
        <f t="shared" si="1"/>
        <v>275000</v>
      </c>
      <c r="R16" s="315">
        <f t="shared" si="1"/>
        <v>275000</v>
      </c>
    </row>
    <row r="17" spans="2:18" x14ac:dyDescent="0.35">
      <c r="B17" s="574">
        <v>1</v>
      </c>
      <c r="C17" s="863" t="s">
        <v>368</v>
      </c>
      <c r="D17" s="863" t="str">
        <f t="shared" si="2"/>
        <v xml:space="preserve">Allison </v>
      </c>
      <c r="E17" s="863" t="s">
        <v>1025</v>
      </c>
      <c r="F17" s="863" t="s">
        <v>4</v>
      </c>
      <c r="G17" s="864">
        <v>41214</v>
      </c>
      <c r="H17" s="864">
        <v>55153</v>
      </c>
      <c r="I17" s="863" t="s">
        <v>1</v>
      </c>
      <c r="J17" s="863" t="str">
        <f t="shared" si="3"/>
        <v>Term</v>
      </c>
      <c r="K17" s="863" t="s">
        <v>367</v>
      </c>
      <c r="L17" s="865">
        <v>0.1</v>
      </c>
      <c r="M17" s="62">
        <v>0.03</v>
      </c>
      <c r="N17" s="866">
        <v>75000</v>
      </c>
      <c r="O17" s="315">
        <f t="shared" si="0"/>
        <v>77250</v>
      </c>
      <c r="P17" s="315">
        <f t="shared" si="1"/>
        <v>79567.5</v>
      </c>
      <c r="Q17" s="315">
        <f t="shared" si="1"/>
        <v>81954.525000000009</v>
      </c>
      <c r="R17" s="315">
        <f t="shared" si="1"/>
        <v>84413.16075000001</v>
      </c>
    </row>
    <row r="18" spans="2:18" x14ac:dyDescent="0.35">
      <c r="B18" s="574">
        <v>1</v>
      </c>
      <c r="C18" s="863" t="s">
        <v>469</v>
      </c>
      <c r="D18" s="863" t="str">
        <f t="shared" si="2"/>
        <v xml:space="preserve">Lezlie </v>
      </c>
      <c r="E18" s="863" t="s">
        <v>1026</v>
      </c>
      <c r="F18" s="863" t="s">
        <v>4</v>
      </c>
      <c r="G18" s="864">
        <v>40544</v>
      </c>
      <c r="H18" s="864">
        <v>55153</v>
      </c>
      <c r="I18" s="863" t="s">
        <v>1</v>
      </c>
      <c r="J18" s="863" t="str">
        <f t="shared" si="3"/>
        <v>Term</v>
      </c>
      <c r="K18" s="863" t="s">
        <v>184</v>
      </c>
      <c r="L18" s="865">
        <v>0.1</v>
      </c>
      <c r="M18" s="62">
        <v>0.03</v>
      </c>
      <c r="N18" s="866">
        <v>115000</v>
      </c>
      <c r="O18" s="315">
        <f t="shared" si="0"/>
        <v>118450</v>
      </c>
      <c r="P18" s="315">
        <f t="shared" si="1"/>
        <v>122003.5</v>
      </c>
      <c r="Q18" s="315">
        <f t="shared" si="1"/>
        <v>125663.60500000001</v>
      </c>
      <c r="R18" s="315">
        <f t="shared" si="1"/>
        <v>129433.51315000001</v>
      </c>
    </row>
    <row r="19" spans="2:18" x14ac:dyDescent="0.35">
      <c r="B19" s="574">
        <v>1</v>
      </c>
      <c r="C19" s="863" t="s">
        <v>703</v>
      </c>
      <c r="D19" s="863" t="str">
        <f t="shared" si="2"/>
        <v xml:space="preserve">Erin </v>
      </c>
      <c r="E19" s="863" t="s">
        <v>1027</v>
      </c>
      <c r="F19" s="863" t="s">
        <v>4</v>
      </c>
      <c r="G19" s="864">
        <v>41307</v>
      </c>
      <c r="H19" s="864">
        <v>55153</v>
      </c>
      <c r="I19" s="863" t="s">
        <v>1</v>
      </c>
      <c r="J19" s="863" t="str">
        <f t="shared" si="3"/>
        <v>Term</v>
      </c>
      <c r="K19" s="863" t="s">
        <v>184</v>
      </c>
      <c r="L19" s="865">
        <v>0.1</v>
      </c>
      <c r="M19" s="62">
        <v>0.03</v>
      </c>
      <c r="N19" s="866">
        <v>50000</v>
      </c>
      <c r="O19" s="315">
        <f t="shared" si="0"/>
        <v>51500</v>
      </c>
      <c r="P19" s="315">
        <f t="shared" si="1"/>
        <v>53045</v>
      </c>
      <c r="Q19" s="315">
        <f t="shared" si="1"/>
        <v>54636.35</v>
      </c>
      <c r="R19" s="315">
        <f t="shared" si="1"/>
        <v>56275.440499999997</v>
      </c>
    </row>
    <row r="20" spans="2:18" x14ac:dyDescent="0.35">
      <c r="B20" s="574">
        <v>1</v>
      </c>
      <c r="C20" s="863" t="s">
        <v>706</v>
      </c>
      <c r="D20" s="863" t="str">
        <f t="shared" si="2"/>
        <v xml:space="preserve">Sean </v>
      </c>
      <c r="E20" s="863" t="s">
        <v>1028</v>
      </c>
      <c r="F20" s="863" t="s">
        <v>5</v>
      </c>
      <c r="G20" s="864">
        <v>40544</v>
      </c>
      <c r="H20" s="864">
        <v>55153</v>
      </c>
      <c r="I20" s="863" t="s">
        <v>1</v>
      </c>
      <c r="J20" s="863" t="str">
        <f t="shared" si="3"/>
        <v>Term</v>
      </c>
      <c r="K20" s="863" t="s">
        <v>184</v>
      </c>
      <c r="L20" s="865">
        <v>0.1</v>
      </c>
      <c r="M20" s="62">
        <v>0.03</v>
      </c>
      <c r="N20" s="866">
        <v>82500</v>
      </c>
      <c r="O20" s="315">
        <f t="shared" si="0"/>
        <v>84975</v>
      </c>
      <c r="P20" s="315">
        <f t="shared" si="1"/>
        <v>87524.25</v>
      </c>
      <c r="Q20" s="315">
        <f t="shared" si="1"/>
        <v>90149.977500000008</v>
      </c>
      <c r="R20" s="315">
        <f t="shared" si="1"/>
        <v>92854.476825000005</v>
      </c>
    </row>
    <row r="21" spans="2:18" x14ac:dyDescent="0.35">
      <c r="B21" s="574">
        <v>1</v>
      </c>
      <c r="C21" s="863" t="s">
        <v>460</v>
      </c>
      <c r="D21" s="863" t="str">
        <f t="shared" si="2"/>
        <v xml:space="preserve">Ryann </v>
      </c>
      <c r="E21" s="863" t="s">
        <v>1029</v>
      </c>
      <c r="F21" s="863" t="s">
        <v>5</v>
      </c>
      <c r="G21" s="864">
        <v>40544</v>
      </c>
      <c r="H21" s="864">
        <v>55153</v>
      </c>
      <c r="I21" s="863" t="s">
        <v>1</v>
      </c>
      <c r="J21" s="863" t="str">
        <f t="shared" si="3"/>
        <v>Term</v>
      </c>
      <c r="K21" s="863" t="s">
        <v>184</v>
      </c>
      <c r="L21" s="865">
        <v>0.1</v>
      </c>
      <c r="M21" s="62">
        <v>0.03</v>
      </c>
      <c r="N21" s="866">
        <v>55000</v>
      </c>
      <c r="O21" s="315">
        <f t="shared" si="0"/>
        <v>56650</v>
      </c>
      <c r="P21" s="315">
        <f t="shared" si="1"/>
        <v>58349.5</v>
      </c>
      <c r="Q21" s="315">
        <f t="shared" si="1"/>
        <v>60099.985000000001</v>
      </c>
      <c r="R21" s="315">
        <f t="shared" si="1"/>
        <v>61902.984550000001</v>
      </c>
    </row>
    <row r="22" spans="2:18" x14ac:dyDescent="0.35">
      <c r="B22" s="574">
        <v>1</v>
      </c>
      <c r="C22" s="863" t="s">
        <v>467</v>
      </c>
      <c r="D22" s="863" t="str">
        <f t="shared" si="2"/>
        <v xml:space="preserve">Mark </v>
      </c>
      <c r="E22" s="863" t="s">
        <v>1030</v>
      </c>
      <c r="F22" s="863" t="s">
        <v>5</v>
      </c>
      <c r="G22" s="864">
        <v>40544</v>
      </c>
      <c r="H22" s="864">
        <v>41379</v>
      </c>
      <c r="I22" s="863" t="s">
        <v>1</v>
      </c>
      <c r="J22" s="863" t="str">
        <f t="shared" si="3"/>
        <v>Term</v>
      </c>
      <c r="K22" s="863" t="s">
        <v>184</v>
      </c>
      <c r="L22" s="865">
        <v>0.1</v>
      </c>
      <c r="M22" s="62">
        <v>0.03</v>
      </c>
      <c r="N22" s="866">
        <v>60000</v>
      </c>
      <c r="O22" s="315">
        <f t="shared" si="0"/>
        <v>61800</v>
      </c>
      <c r="P22" s="315">
        <f t="shared" si="1"/>
        <v>63654</v>
      </c>
      <c r="Q22" s="315">
        <f t="shared" si="1"/>
        <v>65563.62</v>
      </c>
      <c r="R22" s="315">
        <f t="shared" si="1"/>
        <v>67530.528599999991</v>
      </c>
    </row>
    <row r="23" spans="2:18" x14ac:dyDescent="0.35">
      <c r="B23" s="574">
        <v>1</v>
      </c>
      <c r="C23" s="863" t="s">
        <v>370</v>
      </c>
      <c r="D23" s="863" t="str">
        <f t="shared" si="2"/>
        <v xml:space="preserve">Josh </v>
      </c>
      <c r="E23" s="863" t="s">
        <v>1031</v>
      </c>
      <c r="F23" s="863" t="s">
        <v>5</v>
      </c>
      <c r="G23" s="864">
        <v>41214</v>
      </c>
      <c r="H23" s="864">
        <v>41547</v>
      </c>
      <c r="I23" s="863" t="s">
        <v>1</v>
      </c>
      <c r="J23" s="863" t="str">
        <f t="shared" si="3"/>
        <v>Term</v>
      </c>
      <c r="K23" s="863" t="s">
        <v>367</v>
      </c>
      <c r="L23" s="865">
        <v>0.1</v>
      </c>
      <c r="M23" s="62">
        <v>0.03</v>
      </c>
      <c r="N23" s="866">
        <v>100000</v>
      </c>
      <c r="O23" s="315">
        <f t="shared" si="0"/>
        <v>103000</v>
      </c>
      <c r="P23" s="315">
        <f t="shared" ref="P23:R40" si="4">IF($P$4&gt;$G23,(O23*(1+$M23)),0)</f>
        <v>106090</v>
      </c>
      <c r="Q23" s="315">
        <f t="shared" si="4"/>
        <v>109272.7</v>
      </c>
      <c r="R23" s="315">
        <f t="shared" si="4"/>
        <v>112550.88099999999</v>
      </c>
    </row>
    <row r="24" spans="2:18" x14ac:dyDescent="0.35">
      <c r="B24" s="574">
        <v>1</v>
      </c>
      <c r="C24" s="863" t="s">
        <v>486</v>
      </c>
      <c r="D24" s="863" t="str">
        <f t="shared" si="2"/>
        <v xml:space="preserve">Thomas </v>
      </c>
      <c r="E24" s="863" t="s">
        <v>1195</v>
      </c>
      <c r="F24" s="863" t="s">
        <v>224</v>
      </c>
      <c r="G24" s="864">
        <v>41244</v>
      </c>
      <c r="H24" s="864">
        <v>55153</v>
      </c>
      <c r="I24" s="863"/>
      <c r="J24" s="863"/>
      <c r="K24" s="863" t="s">
        <v>184</v>
      </c>
      <c r="L24" s="865">
        <v>0.1</v>
      </c>
      <c r="M24" s="62">
        <v>0.03</v>
      </c>
      <c r="N24" s="866">
        <v>40000</v>
      </c>
      <c r="O24" s="315">
        <f t="shared" si="0"/>
        <v>41200</v>
      </c>
      <c r="P24" s="315">
        <f t="shared" si="4"/>
        <v>42436</v>
      </c>
      <c r="Q24" s="315">
        <f t="shared" si="4"/>
        <v>43709.08</v>
      </c>
      <c r="R24" s="315">
        <f t="shared" si="4"/>
        <v>45020.352400000003</v>
      </c>
    </row>
    <row r="25" spans="2:18" x14ac:dyDescent="0.35">
      <c r="B25" s="574">
        <v>1</v>
      </c>
      <c r="C25" s="863" t="s">
        <v>708</v>
      </c>
      <c r="D25" s="863" t="str">
        <f t="shared" si="2"/>
        <v xml:space="preserve">Timothy </v>
      </c>
      <c r="E25" s="863" t="s">
        <v>1032</v>
      </c>
      <c r="F25" s="863" t="s">
        <v>224</v>
      </c>
      <c r="G25" s="864">
        <v>40544</v>
      </c>
      <c r="H25" s="864">
        <v>55153</v>
      </c>
      <c r="I25" s="863"/>
      <c r="J25" s="863"/>
      <c r="K25" s="863" t="s">
        <v>184</v>
      </c>
      <c r="L25" s="865">
        <v>0.1</v>
      </c>
      <c r="M25" s="62">
        <v>0.03</v>
      </c>
      <c r="N25" s="866">
        <v>40000</v>
      </c>
      <c r="O25" s="315">
        <v>0</v>
      </c>
      <c r="P25" s="315">
        <f t="shared" si="4"/>
        <v>0</v>
      </c>
      <c r="Q25" s="315">
        <f t="shared" si="4"/>
        <v>0</v>
      </c>
      <c r="R25" s="315">
        <f t="shared" si="4"/>
        <v>0</v>
      </c>
    </row>
    <row r="26" spans="2:18" x14ac:dyDescent="0.35">
      <c r="B26" s="574">
        <v>1</v>
      </c>
      <c r="C26" s="863" t="s">
        <v>457</v>
      </c>
      <c r="D26" s="863" t="str">
        <f t="shared" si="2"/>
        <v xml:space="preserve">Julie </v>
      </c>
      <c r="E26" s="863" t="s">
        <v>1033</v>
      </c>
      <c r="F26" s="863" t="s">
        <v>224</v>
      </c>
      <c r="G26" s="864">
        <v>40544</v>
      </c>
      <c r="H26" s="864">
        <v>55153</v>
      </c>
      <c r="I26" s="863"/>
      <c r="J26" s="863"/>
      <c r="K26" s="863" t="s">
        <v>184</v>
      </c>
      <c r="L26" s="865">
        <v>0.1</v>
      </c>
      <c r="M26" s="62">
        <v>0.03</v>
      </c>
      <c r="N26" s="866">
        <v>46000</v>
      </c>
      <c r="O26" s="315">
        <f>IF($O$4&gt;$G26,(N26*(1+$M26)),0)</f>
        <v>47380</v>
      </c>
      <c r="P26" s="315">
        <f t="shared" si="4"/>
        <v>48801.4</v>
      </c>
      <c r="Q26" s="315">
        <f t="shared" si="4"/>
        <v>50265.442000000003</v>
      </c>
      <c r="R26" s="315">
        <f t="shared" si="4"/>
        <v>51773.405260000007</v>
      </c>
    </row>
    <row r="27" spans="2:18" x14ac:dyDescent="0.35">
      <c r="B27" s="574">
        <v>1</v>
      </c>
      <c r="C27" s="863" t="s">
        <v>459</v>
      </c>
      <c r="D27" s="863" t="str">
        <f t="shared" si="2"/>
        <v xml:space="preserve">Wendell </v>
      </c>
      <c r="E27" s="863" t="s">
        <v>1034</v>
      </c>
      <c r="F27" s="863" t="s">
        <v>224</v>
      </c>
      <c r="G27" s="864">
        <v>40544</v>
      </c>
      <c r="H27" s="864">
        <v>55153</v>
      </c>
      <c r="I27" s="863"/>
      <c r="J27" s="863"/>
      <c r="K27" s="863" t="s">
        <v>184</v>
      </c>
      <c r="L27" s="865">
        <v>0.1</v>
      </c>
      <c r="M27" s="62">
        <v>0.03</v>
      </c>
      <c r="N27" s="866">
        <v>45000</v>
      </c>
      <c r="O27" s="315">
        <f>IF($O$4&gt;$G27,(N27*(1+$M27)),0)</f>
        <v>46350</v>
      </c>
      <c r="P27" s="315">
        <f t="shared" si="4"/>
        <v>47740.5</v>
      </c>
      <c r="Q27" s="315">
        <f t="shared" si="4"/>
        <v>49172.715000000004</v>
      </c>
      <c r="R27" s="315">
        <f t="shared" si="4"/>
        <v>50647.896450000007</v>
      </c>
    </row>
    <row r="28" spans="2:18" x14ac:dyDescent="0.35">
      <c r="B28" s="574">
        <v>1</v>
      </c>
      <c r="C28" s="863" t="s">
        <v>458</v>
      </c>
      <c r="D28" s="863" t="str">
        <f t="shared" si="2"/>
        <v xml:space="preserve">Max </v>
      </c>
      <c r="E28" s="863" t="s">
        <v>1035</v>
      </c>
      <c r="F28" s="863" t="s">
        <v>224</v>
      </c>
      <c r="G28" s="864">
        <v>40544</v>
      </c>
      <c r="H28" s="864">
        <v>55153</v>
      </c>
      <c r="I28" s="863"/>
      <c r="J28" s="863"/>
      <c r="K28" s="863" t="s">
        <v>184</v>
      </c>
      <c r="L28" s="865">
        <v>0.1</v>
      </c>
      <c r="M28" s="62">
        <v>0.03</v>
      </c>
      <c r="N28" s="866">
        <v>40000</v>
      </c>
      <c r="O28" s="315">
        <f>IF($O$4&gt;$G28,(N28*(1+$M28)),0)</f>
        <v>41200</v>
      </c>
      <c r="P28" s="315">
        <f t="shared" si="4"/>
        <v>42436</v>
      </c>
      <c r="Q28" s="315">
        <f t="shared" si="4"/>
        <v>43709.08</v>
      </c>
      <c r="R28" s="315">
        <f t="shared" si="4"/>
        <v>45020.352400000003</v>
      </c>
    </row>
    <row r="29" spans="2:18" x14ac:dyDescent="0.35">
      <c r="B29" s="574">
        <v>1</v>
      </c>
      <c r="C29" s="863" t="s">
        <v>484</v>
      </c>
      <c r="D29" s="863" t="str">
        <f t="shared" si="2"/>
        <v xml:space="preserve">Michelle </v>
      </c>
      <c r="E29" s="863" t="s">
        <v>1036</v>
      </c>
      <c r="F29" s="863" t="s">
        <v>224</v>
      </c>
      <c r="G29" s="864">
        <v>41316</v>
      </c>
      <c r="H29" s="864">
        <v>55153</v>
      </c>
      <c r="I29" s="863"/>
      <c r="J29" s="863"/>
      <c r="K29" s="863" t="s">
        <v>184</v>
      </c>
      <c r="L29" s="865">
        <v>0.1</v>
      </c>
      <c r="M29" s="62">
        <v>0.03</v>
      </c>
      <c r="N29" s="866">
        <v>50000</v>
      </c>
      <c r="O29" s="315">
        <v>0</v>
      </c>
      <c r="P29" s="315">
        <f t="shared" si="4"/>
        <v>0</v>
      </c>
      <c r="Q29" s="315">
        <f t="shared" si="4"/>
        <v>0</v>
      </c>
      <c r="R29" s="315">
        <f t="shared" si="4"/>
        <v>0</v>
      </c>
    </row>
    <row r="30" spans="2:18" x14ac:dyDescent="0.35">
      <c r="B30" s="574">
        <v>1</v>
      </c>
      <c r="C30" s="863" t="s">
        <v>463</v>
      </c>
      <c r="D30" s="863" t="str">
        <f t="shared" si="2"/>
        <v xml:space="preserve">Shannon </v>
      </c>
      <c r="E30" s="863" t="s">
        <v>1037</v>
      </c>
      <c r="F30" s="863" t="s">
        <v>342</v>
      </c>
      <c r="G30" s="864">
        <v>40544</v>
      </c>
      <c r="H30" s="864">
        <v>55153</v>
      </c>
      <c r="I30" s="863"/>
      <c r="J30" s="863"/>
      <c r="K30" s="863" t="s">
        <v>184</v>
      </c>
      <c r="L30" s="865">
        <v>0.1</v>
      </c>
      <c r="M30" s="62">
        <v>0.03</v>
      </c>
      <c r="N30" s="866">
        <v>55000</v>
      </c>
      <c r="O30" s="315">
        <f t="shared" ref="O30:O56" si="5">IF($O$4&gt;$G30,(N30*(1+$M30)),0)</f>
        <v>56650</v>
      </c>
      <c r="P30" s="315">
        <f t="shared" si="4"/>
        <v>58349.5</v>
      </c>
      <c r="Q30" s="315">
        <f t="shared" si="4"/>
        <v>60099.985000000001</v>
      </c>
      <c r="R30" s="315">
        <f t="shared" si="4"/>
        <v>61902.984550000001</v>
      </c>
    </row>
    <row r="31" spans="2:18" x14ac:dyDescent="0.35">
      <c r="B31" s="574">
        <v>1</v>
      </c>
      <c r="C31" s="863" t="s">
        <v>464</v>
      </c>
      <c r="D31" s="863" t="str">
        <f t="shared" si="2"/>
        <v xml:space="preserve">Aaron </v>
      </c>
      <c r="E31" s="863" t="s">
        <v>1038</v>
      </c>
      <c r="F31" s="863" t="s">
        <v>224</v>
      </c>
      <c r="G31" s="864">
        <v>40544</v>
      </c>
      <c r="H31" s="864">
        <v>55153</v>
      </c>
      <c r="I31" s="863"/>
      <c r="J31" s="863"/>
      <c r="K31" s="863" t="s">
        <v>184</v>
      </c>
      <c r="L31" s="865">
        <v>0.1</v>
      </c>
      <c r="M31" s="62">
        <v>0.03</v>
      </c>
      <c r="N31" s="866">
        <v>45000</v>
      </c>
      <c r="O31" s="315">
        <f t="shared" si="5"/>
        <v>46350</v>
      </c>
      <c r="P31" s="315">
        <f t="shared" si="4"/>
        <v>47740.5</v>
      </c>
      <c r="Q31" s="315">
        <f t="shared" si="4"/>
        <v>49172.715000000004</v>
      </c>
      <c r="R31" s="315">
        <f t="shared" si="4"/>
        <v>50647.896450000007</v>
      </c>
    </row>
    <row r="32" spans="2:18" x14ac:dyDescent="0.35">
      <c r="B32" s="574">
        <v>1</v>
      </c>
      <c r="C32" s="863" t="s">
        <v>456</v>
      </c>
      <c r="D32" s="863" t="str">
        <f t="shared" si="2"/>
        <v xml:space="preserve">Jeff </v>
      </c>
      <c r="E32" s="863" t="s">
        <v>1039</v>
      </c>
      <c r="F32" s="863" t="s">
        <v>342</v>
      </c>
      <c r="G32" s="864">
        <v>40544</v>
      </c>
      <c r="H32" s="864">
        <v>55153</v>
      </c>
      <c r="I32" s="863"/>
      <c r="J32" s="863"/>
      <c r="K32" s="863" t="s">
        <v>184</v>
      </c>
      <c r="L32" s="865">
        <v>0.1</v>
      </c>
      <c r="M32" s="62">
        <v>0.03</v>
      </c>
      <c r="N32" s="866">
        <v>58000</v>
      </c>
      <c r="O32" s="315">
        <f t="shared" si="5"/>
        <v>59740</v>
      </c>
      <c r="P32" s="315">
        <f t="shared" si="4"/>
        <v>61532.200000000004</v>
      </c>
      <c r="Q32" s="315">
        <f t="shared" si="4"/>
        <v>63378.166000000005</v>
      </c>
      <c r="R32" s="315">
        <f t="shared" si="4"/>
        <v>65279.510980000006</v>
      </c>
    </row>
    <row r="33" spans="2:18" x14ac:dyDescent="0.35">
      <c r="B33" s="574">
        <v>1</v>
      </c>
      <c r="C33" s="863" t="s">
        <v>371</v>
      </c>
      <c r="D33" s="863" t="str">
        <f t="shared" si="2"/>
        <v xml:space="preserve">Nick </v>
      </c>
      <c r="E33" s="863" t="s">
        <v>1040</v>
      </c>
      <c r="F33" s="863" t="s">
        <v>224</v>
      </c>
      <c r="G33" s="864">
        <v>41228</v>
      </c>
      <c r="H33" s="864">
        <v>41563</v>
      </c>
      <c r="I33" s="863"/>
      <c r="J33" s="863"/>
      <c r="K33" s="863" t="s">
        <v>367</v>
      </c>
      <c r="L33" s="865">
        <v>0.1</v>
      </c>
      <c r="M33" s="62">
        <v>0.03</v>
      </c>
      <c r="N33" s="866">
        <v>45000</v>
      </c>
      <c r="O33" s="315">
        <f t="shared" si="5"/>
        <v>46350</v>
      </c>
      <c r="P33" s="315">
        <f t="shared" si="4"/>
        <v>47740.5</v>
      </c>
      <c r="Q33" s="315">
        <f t="shared" si="4"/>
        <v>49172.715000000004</v>
      </c>
      <c r="R33" s="315">
        <f t="shared" si="4"/>
        <v>50647.896450000007</v>
      </c>
    </row>
    <row r="34" spans="2:18" x14ac:dyDescent="0.35">
      <c r="B34" s="574">
        <v>1</v>
      </c>
      <c r="C34" s="863" t="s">
        <v>461</v>
      </c>
      <c r="D34" s="863" t="str">
        <f t="shared" si="2"/>
        <v xml:space="preserve">Jacob </v>
      </c>
      <c r="E34" s="863" t="s">
        <v>1041</v>
      </c>
      <c r="F34" s="863" t="s">
        <v>224</v>
      </c>
      <c r="G34" s="864">
        <v>40544</v>
      </c>
      <c r="H34" s="864">
        <v>55153</v>
      </c>
      <c r="I34" s="863"/>
      <c r="J34" s="863"/>
      <c r="K34" s="863" t="s">
        <v>184</v>
      </c>
      <c r="L34" s="865">
        <v>0.1</v>
      </c>
      <c r="M34" s="62">
        <v>0.03</v>
      </c>
      <c r="N34" s="866">
        <v>58000</v>
      </c>
      <c r="O34" s="315">
        <f t="shared" si="5"/>
        <v>59740</v>
      </c>
      <c r="P34" s="315">
        <f t="shared" si="4"/>
        <v>61532.200000000004</v>
      </c>
      <c r="Q34" s="315">
        <f t="shared" si="4"/>
        <v>63378.166000000005</v>
      </c>
      <c r="R34" s="315">
        <f t="shared" si="4"/>
        <v>65279.510980000006</v>
      </c>
    </row>
    <row r="35" spans="2:18" x14ac:dyDescent="0.35">
      <c r="B35" s="574">
        <v>1</v>
      </c>
      <c r="C35" s="863" t="s">
        <v>462</v>
      </c>
      <c r="D35" s="863" t="str">
        <f t="shared" si="2"/>
        <v xml:space="preserve">Bill </v>
      </c>
      <c r="E35" s="863" t="s">
        <v>1042</v>
      </c>
      <c r="F35" s="863" t="s">
        <v>224</v>
      </c>
      <c r="G35" s="864">
        <v>40544</v>
      </c>
      <c r="H35" s="864">
        <v>55153</v>
      </c>
      <c r="I35" s="863"/>
      <c r="J35" s="863"/>
      <c r="K35" s="863" t="s">
        <v>184</v>
      </c>
      <c r="L35" s="865">
        <v>0.1</v>
      </c>
      <c r="M35" s="62">
        <v>0.03</v>
      </c>
      <c r="N35" s="866">
        <v>57000</v>
      </c>
      <c r="O35" s="315">
        <f t="shared" si="5"/>
        <v>58710</v>
      </c>
      <c r="P35" s="315">
        <f t="shared" si="4"/>
        <v>60471.3</v>
      </c>
      <c r="Q35" s="315">
        <f t="shared" si="4"/>
        <v>62285.439000000006</v>
      </c>
      <c r="R35" s="315">
        <f t="shared" si="4"/>
        <v>64154.002170000007</v>
      </c>
    </row>
    <row r="36" spans="2:18" x14ac:dyDescent="0.35">
      <c r="B36" s="574">
        <v>1</v>
      </c>
      <c r="C36" s="863" t="s">
        <v>369</v>
      </c>
      <c r="D36" s="863" t="str">
        <f t="shared" si="2"/>
        <v xml:space="preserve">Albert </v>
      </c>
      <c r="E36" s="863" t="s">
        <v>1043</v>
      </c>
      <c r="F36" s="863" t="s">
        <v>224</v>
      </c>
      <c r="G36" s="864">
        <v>41214</v>
      </c>
      <c r="H36" s="864">
        <v>55153</v>
      </c>
      <c r="I36" s="863"/>
      <c r="J36" s="863"/>
      <c r="K36" s="863" t="s">
        <v>367</v>
      </c>
      <c r="L36" s="865">
        <v>0.1</v>
      </c>
      <c r="M36" s="62">
        <v>0.03</v>
      </c>
      <c r="N36" s="866">
        <v>72000</v>
      </c>
      <c r="O36" s="315">
        <f t="shared" si="5"/>
        <v>74160</v>
      </c>
      <c r="P36" s="315">
        <f t="shared" si="4"/>
        <v>76384.800000000003</v>
      </c>
      <c r="Q36" s="315">
        <f t="shared" si="4"/>
        <v>78676.344000000012</v>
      </c>
      <c r="R36" s="315">
        <f t="shared" si="4"/>
        <v>81036.634320000012</v>
      </c>
    </row>
    <row r="37" spans="2:18" x14ac:dyDescent="0.35">
      <c r="B37" s="574">
        <v>1</v>
      </c>
      <c r="C37" s="863" t="s">
        <v>704</v>
      </c>
      <c r="D37" s="863" t="str">
        <f t="shared" si="2"/>
        <v xml:space="preserve">Elias </v>
      </c>
      <c r="E37" s="863" t="s">
        <v>1044</v>
      </c>
      <c r="F37" s="863" t="s">
        <v>224</v>
      </c>
      <c r="G37" s="864">
        <v>41324</v>
      </c>
      <c r="H37" s="864">
        <v>55153</v>
      </c>
      <c r="I37" s="863"/>
      <c r="J37" s="863"/>
      <c r="K37" s="863" t="s">
        <v>184</v>
      </c>
      <c r="L37" s="865">
        <v>0.1</v>
      </c>
      <c r="M37" s="62">
        <v>0.03</v>
      </c>
      <c r="N37" s="866">
        <v>45000</v>
      </c>
      <c r="O37" s="315">
        <f t="shared" si="5"/>
        <v>46350</v>
      </c>
      <c r="P37" s="315">
        <f t="shared" si="4"/>
        <v>47740.5</v>
      </c>
      <c r="Q37" s="315">
        <f t="shared" si="4"/>
        <v>49172.715000000004</v>
      </c>
      <c r="R37" s="315">
        <f t="shared" si="4"/>
        <v>50647.896450000007</v>
      </c>
    </row>
    <row r="38" spans="2:18" x14ac:dyDescent="0.35">
      <c r="B38" s="574">
        <v>1</v>
      </c>
      <c r="C38" s="863" t="s">
        <v>705</v>
      </c>
      <c r="D38" s="863" t="str">
        <f t="shared" si="2"/>
        <v xml:space="preserve">Joshua </v>
      </c>
      <c r="E38" s="863" t="s">
        <v>1045</v>
      </c>
      <c r="F38" s="863" t="s">
        <v>224</v>
      </c>
      <c r="G38" s="864">
        <v>41317</v>
      </c>
      <c r="H38" s="864">
        <v>55153</v>
      </c>
      <c r="I38" s="863"/>
      <c r="J38" s="863"/>
      <c r="K38" s="863" t="s">
        <v>184</v>
      </c>
      <c r="L38" s="865">
        <v>0.1</v>
      </c>
      <c r="M38" s="62">
        <v>0.03</v>
      </c>
      <c r="N38" s="866">
        <v>55000</v>
      </c>
      <c r="O38" s="315">
        <f t="shared" si="5"/>
        <v>56650</v>
      </c>
      <c r="P38" s="315">
        <f t="shared" si="4"/>
        <v>58349.5</v>
      </c>
      <c r="Q38" s="315">
        <f t="shared" si="4"/>
        <v>60099.985000000001</v>
      </c>
      <c r="R38" s="315">
        <f t="shared" si="4"/>
        <v>61902.984550000001</v>
      </c>
    </row>
    <row r="39" spans="2:18" x14ac:dyDescent="0.35">
      <c r="B39" s="574">
        <v>1</v>
      </c>
      <c r="C39" s="863" t="s">
        <v>1192</v>
      </c>
      <c r="D39" s="863" t="str">
        <f t="shared" si="2"/>
        <v xml:space="preserve">Michael </v>
      </c>
      <c r="E39" s="574" t="s">
        <v>1191</v>
      </c>
      <c r="F39" s="863" t="s">
        <v>224</v>
      </c>
      <c r="G39" s="864">
        <v>41324</v>
      </c>
      <c r="H39" s="864">
        <v>55153</v>
      </c>
      <c r="I39" s="863"/>
      <c r="J39" s="863"/>
      <c r="K39" s="863" t="s">
        <v>367</v>
      </c>
      <c r="L39" s="865">
        <v>0.1</v>
      </c>
      <c r="M39" s="62">
        <v>0.03</v>
      </c>
      <c r="N39" s="866">
        <v>60000</v>
      </c>
      <c r="O39" s="315">
        <f t="shared" si="5"/>
        <v>61800</v>
      </c>
      <c r="P39" s="315">
        <f t="shared" si="4"/>
        <v>63654</v>
      </c>
      <c r="Q39" s="315">
        <f t="shared" si="4"/>
        <v>65563.62</v>
      </c>
      <c r="R39" s="315">
        <f t="shared" si="4"/>
        <v>67530.528599999991</v>
      </c>
    </row>
    <row r="40" spans="2:18" x14ac:dyDescent="0.35">
      <c r="B40" s="574">
        <v>1</v>
      </c>
      <c r="C40" s="863" t="s">
        <v>709</v>
      </c>
      <c r="D40" s="863" t="str">
        <f t="shared" si="2"/>
        <v xml:space="preserve">Ryan </v>
      </c>
      <c r="E40" s="863" t="s">
        <v>1046</v>
      </c>
      <c r="F40" s="863" t="s">
        <v>224</v>
      </c>
      <c r="G40" s="864">
        <v>41324</v>
      </c>
      <c r="H40" s="864">
        <v>41582</v>
      </c>
      <c r="I40" s="863"/>
      <c r="J40" s="863"/>
      <c r="K40" s="863" t="s">
        <v>367</v>
      </c>
      <c r="L40" s="865">
        <v>0.1</v>
      </c>
      <c r="M40" s="62">
        <v>0.03</v>
      </c>
      <c r="N40" s="866">
        <v>45000</v>
      </c>
      <c r="O40" s="315">
        <f t="shared" si="5"/>
        <v>46350</v>
      </c>
      <c r="P40" s="315">
        <f t="shared" si="4"/>
        <v>47740.5</v>
      </c>
      <c r="Q40" s="315">
        <f t="shared" si="4"/>
        <v>49172.715000000004</v>
      </c>
      <c r="R40" s="315">
        <f t="shared" si="4"/>
        <v>50647.896450000007</v>
      </c>
    </row>
    <row r="41" spans="2:18" x14ac:dyDescent="0.35">
      <c r="B41" s="574">
        <v>1</v>
      </c>
      <c r="C41" s="863" t="s">
        <v>480</v>
      </c>
      <c r="D41" s="863" t="str">
        <f t="shared" si="2"/>
        <v xml:space="preserve">Catherine </v>
      </c>
      <c r="E41" s="863" t="s">
        <v>1050</v>
      </c>
      <c r="F41" s="863" t="s">
        <v>67</v>
      </c>
      <c r="G41" s="864">
        <v>40544</v>
      </c>
      <c r="H41" s="864">
        <v>55153</v>
      </c>
      <c r="I41" s="863" t="s">
        <v>1</v>
      </c>
      <c r="J41" s="863">
        <v>0</v>
      </c>
      <c r="K41" s="863" t="s">
        <v>184</v>
      </c>
      <c r="L41" s="865">
        <v>0.1</v>
      </c>
      <c r="M41" s="62">
        <v>0.03</v>
      </c>
      <c r="N41" s="866">
        <v>60000</v>
      </c>
      <c r="O41" s="315">
        <f t="shared" si="5"/>
        <v>61800</v>
      </c>
      <c r="P41" s="315">
        <f t="shared" ref="P41:R56" si="6">IF($P$4&gt;$G41,(O41*(1+$M41)),0)</f>
        <v>63654</v>
      </c>
      <c r="Q41" s="315">
        <f t="shared" si="6"/>
        <v>65563.62</v>
      </c>
      <c r="R41" s="315">
        <f t="shared" si="6"/>
        <v>67530.528599999991</v>
      </c>
    </row>
    <row r="42" spans="2:18" x14ac:dyDescent="0.35">
      <c r="B42" s="574">
        <v>1</v>
      </c>
      <c r="C42" s="863" t="s">
        <v>482</v>
      </c>
      <c r="D42" s="863" t="str">
        <f t="shared" si="2"/>
        <v xml:space="preserve">Dmitrii </v>
      </c>
      <c r="E42" s="574" t="s">
        <v>1193</v>
      </c>
      <c r="F42" s="863" t="s">
        <v>67</v>
      </c>
      <c r="G42" s="864">
        <v>41214</v>
      </c>
      <c r="H42" s="864">
        <v>55153</v>
      </c>
      <c r="I42" s="863" t="s">
        <v>1</v>
      </c>
      <c r="J42" s="863">
        <v>0</v>
      </c>
      <c r="K42" s="863" t="s">
        <v>367</v>
      </c>
      <c r="L42" s="865">
        <v>0.1</v>
      </c>
      <c r="M42" s="62">
        <v>0.03</v>
      </c>
      <c r="N42" s="866">
        <v>60000</v>
      </c>
      <c r="O42" s="315">
        <f t="shared" si="5"/>
        <v>61800</v>
      </c>
      <c r="P42" s="315">
        <f t="shared" si="6"/>
        <v>63654</v>
      </c>
      <c r="Q42" s="315">
        <f t="shared" si="6"/>
        <v>65563.62</v>
      </c>
      <c r="R42" s="315">
        <f t="shared" si="6"/>
        <v>67530.528599999991</v>
      </c>
    </row>
    <row r="43" spans="2:18" x14ac:dyDescent="0.35">
      <c r="B43" s="574">
        <v>1</v>
      </c>
      <c r="C43" s="863" t="s">
        <v>530</v>
      </c>
      <c r="D43" s="863" t="str">
        <f t="shared" si="2"/>
        <v xml:space="preserve">Jeffrey </v>
      </c>
      <c r="E43" s="863" t="s">
        <v>1051</v>
      </c>
      <c r="F43" s="863" t="s">
        <v>67</v>
      </c>
      <c r="G43" s="864">
        <v>41350</v>
      </c>
      <c r="H43" s="864">
        <v>55153</v>
      </c>
      <c r="I43" s="863" t="s">
        <v>1</v>
      </c>
      <c r="J43" s="863">
        <v>10000</v>
      </c>
      <c r="K43" s="863" t="s">
        <v>184</v>
      </c>
      <c r="L43" s="865">
        <v>0.1</v>
      </c>
      <c r="M43" s="62">
        <v>0.03</v>
      </c>
      <c r="N43" s="866">
        <v>80000</v>
      </c>
      <c r="O43" s="315">
        <f t="shared" si="5"/>
        <v>82400</v>
      </c>
      <c r="P43" s="315">
        <f t="shared" si="6"/>
        <v>84872</v>
      </c>
      <c r="Q43" s="315">
        <f t="shared" si="6"/>
        <v>87418.16</v>
      </c>
      <c r="R43" s="315">
        <f t="shared" si="6"/>
        <v>90040.704800000007</v>
      </c>
    </row>
    <row r="44" spans="2:18" x14ac:dyDescent="0.35">
      <c r="B44" s="574">
        <v>1</v>
      </c>
      <c r="C44" s="863" t="s">
        <v>491</v>
      </c>
      <c r="D44" s="863" t="str">
        <f t="shared" si="2"/>
        <v xml:space="preserve">Jeffrey </v>
      </c>
      <c r="E44" s="863" t="s">
        <v>1052</v>
      </c>
      <c r="F44" s="863" t="s">
        <v>67</v>
      </c>
      <c r="G44" s="864">
        <v>41091</v>
      </c>
      <c r="H44" s="864">
        <v>55153</v>
      </c>
      <c r="I44" s="863" t="s">
        <v>1</v>
      </c>
      <c r="J44" s="863">
        <v>6105</v>
      </c>
      <c r="K44" s="863" t="s">
        <v>184</v>
      </c>
      <c r="L44" s="865">
        <v>0.1</v>
      </c>
      <c r="M44" s="62">
        <v>0.03</v>
      </c>
      <c r="N44" s="866">
        <v>95000</v>
      </c>
      <c r="O44" s="315">
        <f t="shared" si="5"/>
        <v>97850</v>
      </c>
      <c r="P44" s="315">
        <f t="shared" si="6"/>
        <v>100785.5</v>
      </c>
      <c r="Q44" s="315">
        <f t="shared" si="6"/>
        <v>103809.065</v>
      </c>
      <c r="R44" s="315">
        <f t="shared" si="6"/>
        <v>106923.33695000001</v>
      </c>
    </row>
    <row r="45" spans="2:18" x14ac:dyDescent="0.35">
      <c r="B45" s="574">
        <v>1</v>
      </c>
      <c r="C45" s="863" t="s">
        <v>489</v>
      </c>
      <c r="D45" s="863" t="str">
        <f t="shared" si="2"/>
        <v xml:space="preserve">Thomas </v>
      </c>
      <c r="E45" s="574" t="s">
        <v>1194</v>
      </c>
      <c r="F45" s="863" t="s">
        <v>67</v>
      </c>
      <c r="G45" s="864">
        <v>40544</v>
      </c>
      <c r="H45" s="864">
        <v>55153</v>
      </c>
      <c r="I45" s="863" t="s">
        <v>1</v>
      </c>
      <c r="J45" s="863">
        <v>3100</v>
      </c>
      <c r="K45" s="863" t="s">
        <v>184</v>
      </c>
      <c r="L45" s="865">
        <v>0.1</v>
      </c>
      <c r="M45" s="62">
        <v>0.03</v>
      </c>
      <c r="N45" s="866">
        <v>105000</v>
      </c>
      <c r="O45" s="315">
        <f t="shared" si="5"/>
        <v>108150</v>
      </c>
      <c r="P45" s="315">
        <f t="shared" si="6"/>
        <v>111394.5</v>
      </c>
      <c r="Q45" s="315">
        <f t="shared" si="6"/>
        <v>114736.33500000001</v>
      </c>
      <c r="R45" s="315">
        <f t="shared" si="6"/>
        <v>118178.42505000001</v>
      </c>
    </row>
    <row r="46" spans="2:18" x14ac:dyDescent="0.35">
      <c r="B46" s="574">
        <v>1</v>
      </c>
      <c r="C46" s="863" t="s">
        <v>472</v>
      </c>
      <c r="D46" s="863" t="str">
        <f t="shared" si="2"/>
        <v xml:space="preserve">Charles </v>
      </c>
      <c r="E46" s="863" t="s">
        <v>1032</v>
      </c>
      <c r="F46" s="863" t="s">
        <v>67</v>
      </c>
      <c r="G46" s="864">
        <v>41106</v>
      </c>
      <c r="H46" s="864">
        <v>55153</v>
      </c>
      <c r="I46" s="863" t="s">
        <v>1</v>
      </c>
      <c r="J46" s="863">
        <v>1000</v>
      </c>
      <c r="K46" s="863" t="s">
        <v>184</v>
      </c>
      <c r="L46" s="865">
        <v>0.1</v>
      </c>
      <c r="M46" s="62">
        <v>0.03</v>
      </c>
      <c r="N46" s="866">
        <v>145000</v>
      </c>
      <c r="O46" s="315">
        <f t="shared" si="5"/>
        <v>149350</v>
      </c>
      <c r="P46" s="315">
        <f t="shared" si="6"/>
        <v>153830.5</v>
      </c>
      <c r="Q46" s="315">
        <f t="shared" si="6"/>
        <v>158445.41500000001</v>
      </c>
      <c r="R46" s="315">
        <f t="shared" si="6"/>
        <v>163198.77745000002</v>
      </c>
    </row>
    <row r="47" spans="2:18" x14ac:dyDescent="0.35">
      <c r="B47" s="574">
        <v>1</v>
      </c>
      <c r="C47" s="863" t="s">
        <v>373</v>
      </c>
      <c r="D47" s="863" t="str">
        <f t="shared" si="2"/>
        <v xml:space="preserve">Evan </v>
      </c>
      <c r="E47" s="863" t="s">
        <v>1053</v>
      </c>
      <c r="F47" s="863" t="s">
        <v>67</v>
      </c>
      <c r="G47" s="864">
        <v>41214</v>
      </c>
      <c r="H47" s="864">
        <v>55153</v>
      </c>
      <c r="I47" s="863" t="s">
        <v>1</v>
      </c>
      <c r="J47" s="863">
        <v>30000</v>
      </c>
      <c r="K47" s="863" t="s">
        <v>374</v>
      </c>
      <c r="L47" s="865">
        <v>0.1</v>
      </c>
      <c r="M47" s="62">
        <v>0.03</v>
      </c>
      <c r="N47" s="866">
        <v>140000</v>
      </c>
      <c r="O47" s="315">
        <f t="shared" si="5"/>
        <v>144200</v>
      </c>
      <c r="P47" s="315">
        <f t="shared" si="6"/>
        <v>148526</v>
      </c>
      <c r="Q47" s="315">
        <f t="shared" si="6"/>
        <v>152981.78</v>
      </c>
      <c r="R47" s="315">
        <f t="shared" si="6"/>
        <v>157571.2334</v>
      </c>
    </row>
    <row r="48" spans="2:18" x14ac:dyDescent="0.35">
      <c r="B48" s="574">
        <v>1</v>
      </c>
      <c r="C48" s="863" t="s">
        <v>465</v>
      </c>
      <c r="D48" s="863" t="str">
        <f t="shared" si="2"/>
        <v xml:space="preserve">John </v>
      </c>
      <c r="E48" s="863" t="s">
        <v>1054</v>
      </c>
      <c r="F48" s="863" t="s">
        <v>67</v>
      </c>
      <c r="G48" s="864">
        <v>41106</v>
      </c>
      <c r="H48" s="864">
        <v>55153</v>
      </c>
      <c r="I48" s="863" t="s">
        <v>1</v>
      </c>
      <c r="J48" s="863" t="str">
        <f t="shared" si="3"/>
        <v>Term</v>
      </c>
      <c r="K48" s="863" t="s">
        <v>184</v>
      </c>
      <c r="L48" s="865">
        <v>0.1</v>
      </c>
      <c r="M48" s="62">
        <v>0.03</v>
      </c>
      <c r="N48" s="866">
        <v>150000</v>
      </c>
      <c r="O48" s="315">
        <f t="shared" si="5"/>
        <v>154500</v>
      </c>
      <c r="P48" s="315">
        <f t="shared" si="6"/>
        <v>159135</v>
      </c>
      <c r="Q48" s="315">
        <f t="shared" si="6"/>
        <v>163909.05000000002</v>
      </c>
      <c r="R48" s="315">
        <f t="shared" si="6"/>
        <v>168826.32150000002</v>
      </c>
    </row>
    <row r="49" spans="2:18" x14ac:dyDescent="0.35">
      <c r="B49" s="574">
        <v>1</v>
      </c>
      <c r="C49" s="863" t="s">
        <v>531</v>
      </c>
      <c r="D49" s="863" t="str">
        <f t="shared" si="2"/>
        <v xml:space="preserve">Lubya </v>
      </c>
      <c r="E49" s="863" t="s">
        <v>1047</v>
      </c>
      <c r="F49" s="863" t="s">
        <v>67</v>
      </c>
      <c r="G49" s="864">
        <v>41334</v>
      </c>
      <c r="H49" s="864">
        <v>55153</v>
      </c>
      <c r="I49" s="863" t="s">
        <v>1</v>
      </c>
      <c r="J49" s="863" t="str">
        <f t="shared" si="3"/>
        <v>Term</v>
      </c>
      <c r="K49" s="863" t="s">
        <v>367</v>
      </c>
      <c r="L49" s="865">
        <v>0.1</v>
      </c>
      <c r="M49" s="62">
        <v>0.03</v>
      </c>
      <c r="N49" s="866">
        <v>150000</v>
      </c>
      <c r="O49" s="315">
        <f t="shared" si="5"/>
        <v>154500</v>
      </c>
      <c r="P49" s="315">
        <f t="shared" si="6"/>
        <v>159135</v>
      </c>
      <c r="Q49" s="315">
        <f t="shared" si="6"/>
        <v>163909.05000000002</v>
      </c>
      <c r="R49" s="315">
        <f t="shared" si="6"/>
        <v>168826.32150000002</v>
      </c>
    </row>
    <row r="50" spans="2:18" x14ac:dyDescent="0.35">
      <c r="B50" s="574">
        <v>1</v>
      </c>
      <c r="C50" s="863" t="s">
        <v>468</v>
      </c>
      <c r="D50" s="863" t="str">
        <f t="shared" si="2"/>
        <v xml:space="preserve">Dan </v>
      </c>
      <c r="E50" s="863" t="s">
        <v>1055</v>
      </c>
      <c r="F50" s="863" t="s">
        <v>67</v>
      </c>
      <c r="G50" s="864">
        <v>40544</v>
      </c>
      <c r="H50" s="864">
        <v>41544</v>
      </c>
      <c r="I50" s="863" t="s">
        <v>1</v>
      </c>
      <c r="J50" s="863" t="str">
        <f t="shared" si="3"/>
        <v>Term</v>
      </c>
      <c r="K50" s="863" t="s">
        <v>184</v>
      </c>
      <c r="L50" s="865">
        <v>0.1</v>
      </c>
      <c r="M50" s="62">
        <v>0.03</v>
      </c>
      <c r="N50" s="866">
        <v>190000</v>
      </c>
      <c r="O50" s="315">
        <f t="shared" si="5"/>
        <v>195700</v>
      </c>
      <c r="P50" s="315">
        <f t="shared" si="6"/>
        <v>201571</v>
      </c>
      <c r="Q50" s="315">
        <f t="shared" si="6"/>
        <v>207618.13</v>
      </c>
      <c r="R50" s="315">
        <f t="shared" si="6"/>
        <v>213846.67390000002</v>
      </c>
    </row>
    <row r="51" spans="2:18" x14ac:dyDescent="0.35">
      <c r="B51" s="574">
        <v>1</v>
      </c>
      <c r="C51" s="863" t="s">
        <v>485</v>
      </c>
      <c r="D51" s="863" t="str">
        <f t="shared" si="2"/>
        <v xml:space="preserve">Punit </v>
      </c>
      <c r="E51" s="863" t="s">
        <v>1056</v>
      </c>
      <c r="F51" s="863" t="s">
        <v>67</v>
      </c>
      <c r="G51" s="864">
        <v>40544</v>
      </c>
      <c r="H51" s="864">
        <v>55153</v>
      </c>
      <c r="I51" s="863" t="s">
        <v>1</v>
      </c>
      <c r="J51" s="863" t="str">
        <f t="shared" si="3"/>
        <v>Term</v>
      </c>
      <c r="K51" s="863" t="s">
        <v>184</v>
      </c>
      <c r="L51" s="865">
        <v>0.45</v>
      </c>
      <c r="M51" s="62">
        <v>0.03</v>
      </c>
      <c r="N51" s="866">
        <v>275000</v>
      </c>
      <c r="O51" s="315">
        <f t="shared" si="5"/>
        <v>283250</v>
      </c>
      <c r="P51" s="315">
        <f t="shared" si="6"/>
        <v>291747.5</v>
      </c>
      <c r="Q51" s="315">
        <f t="shared" si="6"/>
        <v>300499.92499999999</v>
      </c>
      <c r="R51" s="315">
        <f t="shared" si="6"/>
        <v>309514.92274999997</v>
      </c>
    </row>
    <row r="52" spans="2:18" x14ac:dyDescent="0.35">
      <c r="B52" s="574">
        <v>1</v>
      </c>
      <c r="C52" s="863" t="s">
        <v>487</v>
      </c>
      <c r="D52" s="863" t="str">
        <f t="shared" si="2"/>
        <v xml:space="preserve">Vijesh </v>
      </c>
      <c r="E52" s="863" t="s">
        <v>1057</v>
      </c>
      <c r="F52" s="863" t="s">
        <v>67</v>
      </c>
      <c r="G52" s="864">
        <v>40544</v>
      </c>
      <c r="H52" s="864">
        <v>55153</v>
      </c>
      <c r="I52" s="863" t="s">
        <v>1</v>
      </c>
      <c r="J52" s="863" t="str">
        <f t="shared" si="3"/>
        <v>Term</v>
      </c>
      <c r="K52" s="863" t="s">
        <v>184</v>
      </c>
      <c r="L52" s="865">
        <v>0.45</v>
      </c>
      <c r="M52" s="62">
        <v>0.03</v>
      </c>
      <c r="N52" s="866">
        <v>275000</v>
      </c>
      <c r="O52" s="315">
        <f t="shared" si="5"/>
        <v>283250</v>
      </c>
      <c r="P52" s="315">
        <f t="shared" si="6"/>
        <v>291747.5</v>
      </c>
      <c r="Q52" s="315">
        <f t="shared" si="6"/>
        <v>300499.92499999999</v>
      </c>
      <c r="R52" s="315">
        <f t="shared" si="6"/>
        <v>309514.92274999997</v>
      </c>
    </row>
    <row r="53" spans="2:18" x14ac:dyDescent="0.35">
      <c r="B53" s="574">
        <v>1</v>
      </c>
      <c r="C53" s="863" t="s">
        <v>710</v>
      </c>
      <c r="D53" s="863" t="str">
        <f t="shared" si="2"/>
        <v xml:space="preserve">Shane </v>
      </c>
      <c r="E53" s="863" t="s">
        <v>1058</v>
      </c>
      <c r="F53" s="863" t="s">
        <v>342</v>
      </c>
      <c r="G53" s="864">
        <v>41334</v>
      </c>
      <c r="H53" s="864">
        <v>55153</v>
      </c>
      <c r="I53" s="863" t="s">
        <v>1</v>
      </c>
      <c r="J53" s="863" t="str">
        <f t="shared" si="3"/>
        <v>Term</v>
      </c>
      <c r="K53" s="863" t="s">
        <v>184</v>
      </c>
      <c r="L53" s="865">
        <v>0.1</v>
      </c>
      <c r="M53" s="62">
        <v>0.03</v>
      </c>
      <c r="N53" s="866">
        <v>150000</v>
      </c>
      <c r="O53" s="315">
        <f t="shared" si="5"/>
        <v>154500</v>
      </c>
      <c r="P53" s="315">
        <f t="shared" si="6"/>
        <v>159135</v>
      </c>
      <c r="Q53" s="315">
        <f t="shared" si="6"/>
        <v>163909.05000000002</v>
      </c>
      <c r="R53" s="315">
        <f t="shared" si="6"/>
        <v>168826.32150000002</v>
      </c>
    </row>
    <row r="54" spans="2:18" x14ac:dyDescent="0.35">
      <c r="B54" s="574">
        <v>1</v>
      </c>
      <c r="C54" s="863" t="s">
        <v>789</v>
      </c>
      <c r="D54" s="863" t="str">
        <f t="shared" si="2"/>
        <v xml:space="preserve">Jennifer </v>
      </c>
      <c r="E54" s="863" t="s">
        <v>1059</v>
      </c>
      <c r="F54" s="863" t="s">
        <v>4</v>
      </c>
      <c r="G54" s="864">
        <v>41498</v>
      </c>
      <c r="H54" s="864">
        <v>55153</v>
      </c>
      <c r="I54" s="863" t="s">
        <v>1</v>
      </c>
      <c r="J54" s="863" t="str">
        <f t="shared" si="3"/>
        <v>Term</v>
      </c>
      <c r="K54" s="863" t="s">
        <v>367</v>
      </c>
      <c r="L54" s="865">
        <v>0.1</v>
      </c>
      <c r="M54" s="62">
        <v>0.03</v>
      </c>
      <c r="N54" s="866">
        <v>115000</v>
      </c>
      <c r="O54" s="315">
        <f t="shared" si="5"/>
        <v>118450</v>
      </c>
      <c r="P54" s="315">
        <f t="shared" si="6"/>
        <v>122003.5</v>
      </c>
      <c r="Q54" s="315">
        <f t="shared" si="6"/>
        <v>125663.60500000001</v>
      </c>
      <c r="R54" s="315">
        <f t="shared" si="6"/>
        <v>129433.51315000001</v>
      </c>
    </row>
    <row r="55" spans="2:18" x14ac:dyDescent="0.35">
      <c r="B55" s="574">
        <v>1</v>
      </c>
      <c r="C55" s="863" t="s">
        <v>792</v>
      </c>
      <c r="D55" s="863" t="str">
        <f t="shared" si="2"/>
        <v xml:space="preserve">Shawn </v>
      </c>
      <c r="E55" s="863" t="s">
        <v>1060</v>
      </c>
      <c r="F55" s="863" t="s">
        <v>224</v>
      </c>
      <c r="G55" s="864">
        <v>41505</v>
      </c>
      <c r="H55" s="864">
        <v>55153</v>
      </c>
      <c r="I55" s="863"/>
      <c r="J55" s="863"/>
      <c r="K55" s="863" t="s">
        <v>184</v>
      </c>
      <c r="L55" s="865">
        <v>0.1</v>
      </c>
      <c r="M55" s="62">
        <v>0.03</v>
      </c>
      <c r="N55" s="866">
        <v>85000</v>
      </c>
      <c r="O55" s="315">
        <f t="shared" si="5"/>
        <v>87550</v>
      </c>
      <c r="P55" s="315">
        <f t="shared" si="6"/>
        <v>90176.5</v>
      </c>
      <c r="Q55" s="315">
        <f t="shared" si="6"/>
        <v>92881.794999999998</v>
      </c>
      <c r="R55" s="315">
        <f t="shared" si="6"/>
        <v>95668.248850000004</v>
      </c>
    </row>
    <row r="56" spans="2:18" x14ac:dyDescent="0.35">
      <c r="B56" s="574">
        <v>1</v>
      </c>
      <c r="C56" s="863" t="s">
        <v>793</v>
      </c>
      <c r="D56" s="863" t="str">
        <f t="shared" si="2"/>
        <v xml:space="preserve">Sean </v>
      </c>
      <c r="E56" s="863" t="s">
        <v>1061</v>
      </c>
      <c r="F56" s="863" t="s">
        <v>224</v>
      </c>
      <c r="G56" s="864">
        <v>41435</v>
      </c>
      <c r="H56" s="864">
        <v>55153</v>
      </c>
      <c r="I56" s="863"/>
      <c r="J56" s="863"/>
      <c r="K56" s="863" t="s">
        <v>184</v>
      </c>
      <c r="L56" s="865">
        <v>0.1</v>
      </c>
      <c r="M56" s="62">
        <v>0.03</v>
      </c>
      <c r="N56" s="866">
        <v>40000</v>
      </c>
      <c r="O56" s="315">
        <f t="shared" si="5"/>
        <v>41200</v>
      </c>
      <c r="P56" s="315">
        <f t="shared" si="6"/>
        <v>42436</v>
      </c>
      <c r="Q56" s="315">
        <f t="shared" si="6"/>
        <v>43709.08</v>
      </c>
      <c r="R56" s="315">
        <f t="shared" si="6"/>
        <v>45020.352400000003</v>
      </c>
    </row>
    <row r="57" spans="2:18" x14ac:dyDescent="0.35">
      <c r="B57" s="574">
        <v>1</v>
      </c>
      <c r="C57" s="867" t="s">
        <v>1062</v>
      </c>
      <c r="D57" s="867" t="str">
        <f t="shared" si="2"/>
        <v xml:space="preserve">Jeff </v>
      </c>
      <c r="E57" s="867" t="s">
        <v>1063</v>
      </c>
      <c r="F57" s="867" t="s">
        <v>5</v>
      </c>
      <c r="G57" s="306">
        <v>41548</v>
      </c>
      <c r="H57" s="864">
        <v>55153</v>
      </c>
      <c r="I57" s="863" t="s">
        <v>1</v>
      </c>
      <c r="J57" s="863" t="str">
        <f t="shared" si="3"/>
        <v>Term</v>
      </c>
      <c r="K57" s="867" t="s">
        <v>184</v>
      </c>
      <c r="L57" s="865">
        <v>0.1</v>
      </c>
      <c r="M57" s="62">
        <v>0.03</v>
      </c>
      <c r="N57" s="224"/>
      <c r="O57" s="315">
        <v>155000</v>
      </c>
      <c r="P57" s="315">
        <f t="shared" ref="P57:R57" si="7">IF($P$4&gt;$G57,(O57*(1+$M57)),0)</f>
        <v>159650</v>
      </c>
      <c r="Q57" s="315">
        <f t="shared" si="7"/>
        <v>164439.5</v>
      </c>
      <c r="R57" s="315">
        <f t="shared" si="7"/>
        <v>169372.685</v>
      </c>
    </row>
    <row r="58" spans="2:18" x14ac:dyDescent="0.35">
      <c r="B58" s="574">
        <v>1</v>
      </c>
      <c r="C58" s="867" t="s">
        <v>1151</v>
      </c>
      <c r="D58" s="867" t="str">
        <f t="shared" si="2"/>
        <v xml:space="preserve">Ian </v>
      </c>
      <c r="E58" s="867" t="s">
        <v>1152</v>
      </c>
      <c r="F58" s="867" t="s">
        <v>67</v>
      </c>
      <c r="G58" s="306">
        <v>41666</v>
      </c>
      <c r="H58" s="864">
        <v>55153</v>
      </c>
      <c r="K58" s="867" t="s">
        <v>184</v>
      </c>
      <c r="L58" s="1053">
        <v>0.05</v>
      </c>
      <c r="M58" s="62">
        <v>0.03</v>
      </c>
      <c r="O58" s="315">
        <v>120000</v>
      </c>
      <c r="P58" s="315">
        <f t="shared" ref="P58:P59" si="8">IF($P$4&gt;$G58,(O58*(1+$M58)),0)</f>
        <v>123600</v>
      </c>
      <c r="Q58" s="315">
        <f t="shared" ref="Q58:Q59" si="9">IF($P$4&gt;$G58,(P58*(1+$M58)),0)</f>
        <v>127308</v>
      </c>
      <c r="R58" s="315">
        <f t="shared" ref="R58:R59" si="10">IF($P$4&gt;$G58,(Q58*(1+$M58)),0)</f>
        <v>131127.24</v>
      </c>
    </row>
    <row r="59" spans="2:18" x14ac:dyDescent="0.35">
      <c r="B59" s="574">
        <v>1</v>
      </c>
      <c r="C59" s="867" t="s">
        <v>1149</v>
      </c>
      <c r="D59" s="867" t="str">
        <f t="shared" si="2"/>
        <v xml:space="preserve">Mark </v>
      </c>
      <c r="E59" s="574" t="s">
        <v>1190</v>
      </c>
      <c r="F59" s="867" t="s">
        <v>5</v>
      </c>
      <c r="G59" s="306">
        <v>41666</v>
      </c>
      <c r="H59" s="864">
        <v>55153</v>
      </c>
      <c r="K59" s="867" t="s">
        <v>184</v>
      </c>
      <c r="L59" s="1053">
        <v>0.1</v>
      </c>
      <c r="M59" s="62">
        <v>0.03</v>
      </c>
      <c r="O59" s="315">
        <v>130000</v>
      </c>
      <c r="P59" s="315">
        <f t="shared" si="8"/>
        <v>133900</v>
      </c>
      <c r="Q59" s="315">
        <f t="shared" si="9"/>
        <v>137917</v>
      </c>
      <c r="R59" s="315">
        <f t="shared" si="10"/>
        <v>142054.51</v>
      </c>
    </row>
    <row r="60" spans="2:18" x14ac:dyDescent="0.35">
      <c r="B60" s="169">
        <v>1</v>
      </c>
      <c r="C60" s="867" t="s">
        <v>1148</v>
      </c>
      <c r="D60" s="867" t="str">
        <f t="shared" si="2"/>
        <v xml:space="preserve">Barbara </v>
      </c>
      <c r="E60" s="169" t="s">
        <v>1150</v>
      </c>
      <c r="F60" s="867" t="s">
        <v>5</v>
      </c>
      <c r="G60" s="306">
        <v>41666</v>
      </c>
      <c r="H60" s="864">
        <v>55153</v>
      </c>
      <c r="K60" s="867" t="s">
        <v>184</v>
      </c>
      <c r="L60" s="1053">
        <v>0.45</v>
      </c>
      <c r="M60" s="62">
        <v>0.03</v>
      </c>
      <c r="O60" s="315">
        <v>275000</v>
      </c>
      <c r="P60" s="315">
        <f t="shared" ref="P60:R62" si="11">IF($P$4&gt;$G60,(O60*(1+$M60)),0)</f>
        <v>283250</v>
      </c>
      <c r="Q60" s="315">
        <f t="shared" si="11"/>
        <v>291747.5</v>
      </c>
      <c r="R60" s="315">
        <f t="shared" si="11"/>
        <v>300499.92499999999</v>
      </c>
    </row>
    <row r="61" spans="2:18" x14ac:dyDescent="0.35">
      <c r="B61" s="169">
        <v>1</v>
      </c>
      <c r="C61" s="867" t="s">
        <v>1181</v>
      </c>
      <c r="D61" s="867" t="str">
        <f t="shared" si="2"/>
        <v xml:space="preserve">Amit </v>
      </c>
      <c r="E61" s="169" t="s">
        <v>1182</v>
      </c>
      <c r="F61" s="867" t="s">
        <v>67</v>
      </c>
      <c r="G61" s="306">
        <v>41652</v>
      </c>
      <c r="H61" s="864">
        <v>55153</v>
      </c>
      <c r="K61" s="867" t="s">
        <v>184</v>
      </c>
      <c r="L61" s="1053">
        <v>0.1</v>
      </c>
      <c r="M61" s="62">
        <v>0.03</v>
      </c>
      <c r="O61" s="1177">
        <v>150000</v>
      </c>
      <c r="P61" s="315">
        <f t="shared" si="11"/>
        <v>154500</v>
      </c>
      <c r="Q61" s="315">
        <f t="shared" si="11"/>
        <v>159135</v>
      </c>
      <c r="R61" s="315">
        <f t="shared" si="11"/>
        <v>163909.05000000002</v>
      </c>
    </row>
    <row r="62" spans="2:18" x14ac:dyDescent="0.35">
      <c r="B62" s="169">
        <v>1</v>
      </c>
      <c r="C62" s="867" t="s">
        <v>1179</v>
      </c>
      <c r="D62" s="867" t="str">
        <f t="shared" si="2"/>
        <v xml:space="preserve">Mike </v>
      </c>
      <c r="E62" s="169" t="s">
        <v>1180</v>
      </c>
      <c r="F62" s="867" t="s">
        <v>67</v>
      </c>
      <c r="G62" s="306">
        <v>41652</v>
      </c>
      <c r="H62" s="864">
        <v>55153</v>
      </c>
      <c r="K62" s="867" t="s">
        <v>184</v>
      </c>
      <c r="L62" s="1053">
        <v>0.1</v>
      </c>
      <c r="M62" s="62">
        <v>0.03</v>
      </c>
      <c r="N62" s="868"/>
      <c r="O62" s="1177">
        <v>160000</v>
      </c>
      <c r="P62" s="315">
        <f t="shared" si="11"/>
        <v>164800</v>
      </c>
      <c r="Q62" s="315">
        <f t="shared" si="11"/>
        <v>169744</v>
      </c>
      <c r="R62" s="315">
        <f t="shared" si="11"/>
        <v>174836.32</v>
      </c>
    </row>
    <row r="63" spans="2:18" x14ac:dyDescent="0.35">
      <c r="B63" s="169">
        <v>1</v>
      </c>
      <c r="C63" s="867" t="s">
        <v>1196</v>
      </c>
      <c r="D63" s="867" t="str">
        <f t="shared" si="2"/>
        <v xml:space="preserve">Marlon </v>
      </c>
      <c r="E63" s="169" t="s">
        <v>1202</v>
      </c>
      <c r="F63" s="867" t="s">
        <v>224</v>
      </c>
      <c r="G63" s="306">
        <v>41498</v>
      </c>
      <c r="H63" s="864">
        <v>55153</v>
      </c>
      <c r="K63" s="867" t="s">
        <v>367</v>
      </c>
      <c r="L63" s="1053">
        <v>0.1</v>
      </c>
      <c r="M63" s="62">
        <v>0.03</v>
      </c>
      <c r="O63" s="1178">
        <v>45000</v>
      </c>
      <c r="P63" s="315">
        <f t="shared" ref="P63:P68" si="12">IF($P$4&gt;$G63,(O63*(1+$M63)),0)</f>
        <v>46350</v>
      </c>
      <c r="Q63" s="315">
        <f t="shared" ref="Q63:Q68" si="13">IF($P$4&gt;$G63,(P63*(1+$M63)),0)</f>
        <v>47740.5</v>
      </c>
      <c r="R63" s="315">
        <f t="shared" ref="R63:R68" si="14">IF($P$4&gt;$G63,(Q63*(1+$M63)),0)</f>
        <v>49172.715000000004</v>
      </c>
    </row>
    <row r="64" spans="2:18" x14ac:dyDescent="0.35">
      <c r="B64" s="169">
        <v>1</v>
      </c>
      <c r="C64" s="867" t="s">
        <v>1197</v>
      </c>
      <c r="D64" s="867" t="str">
        <f t="shared" si="2"/>
        <v xml:space="preserve">Michael </v>
      </c>
      <c r="E64" s="169" t="s">
        <v>1203</v>
      </c>
      <c r="F64" s="867" t="s">
        <v>67</v>
      </c>
      <c r="G64" s="306">
        <v>41568</v>
      </c>
      <c r="H64" s="864">
        <v>55153</v>
      </c>
      <c r="K64" s="867" t="s">
        <v>184</v>
      </c>
      <c r="L64" s="1053">
        <v>0.1</v>
      </c>
      <c r="M64" s="62">
        <v>0.03</v>
      </c>
      <c r="O64" s="1178">
        <v>175000</v>
      </c>
      <c r="P64" s="315">
        <f t="shared" si="12"/>
        <v>180250</v>
      </c>
      <c r="Q64" s="315">
        <f t="shared" si="13"/>
        <v>185657.5</v>
      </c>
      <c r="R64" s="315">
        <f t="shared" si="14"/>
        <v>191227.22500000001</v>
      </c>
    </row>
    <row r="65" spans="2:18" x14ac:dyDescent="0.35">
      <c r="B65" s="169">
        <v>1</v>
      </c>
      <c r="C65" s="867" t="s">
        <v>1198</v>
      </c>
      <c r="D65" s="867" t="str">
        <f t="shared" si="2"/>
        <v xml:space="preserve">David </v>
      </c>
      <c r="E65" s="169" t="s">
        <v>1204</v>
      </c>
      <c r="F65" s="867" t="s">
        <v>224</v>
      </c>
      <c r="G65" s="306">
        <v>41599</v>
      </c>
      <c r="H65" s="864">
        <v>55153</v>
      </c>
      <c r="K65" s="867" t="s">
        <v>367</v>
      </c>
      <c r="L65" s="1053">
        <v>0.1</v>
      </c>
      <c r="M65" s="62">
        <v>0.03</v>
      </c>
      <c r="O65" s="1178">
        <v>45000</v>
      </c>
      <c r="P65" s="315">
        <f t="shared" si="12"/>
        <v>46350</v>
      </c>
      <c r="Q65" s="315">
        <f t="shared" si="13"/>
        <v>47740.5</v>
      </c>
      <c r="R65" s="315">
        <f t="shared" si="14"/>
        <v>49172.715000000004</v>
      </c>
    </row>
    <row r="66" spans="2:18" x14ac:dyDescent="0.35">
      <c r="B66" s="169">
        <v>1</v>
      </c>
      <c r="C66" s="867" t="s">
        <v>1199</v>
      </c>
      <c r="D66" s="867" t="str">
        <f t="shared" si="2"/>
        <v xml:space="preserve">Dane </v>
      </c>
      <c r="E66" s="169" t="s">
        <v>1205</v>
      </c>
      <c r="F66" s="867" t="s">
        <v>224</v>
      </c>
      <c r="G66" s="306">
        <v>41603</v>
      </c>
      <c r="H66" s="864">
        <v>55153</v>
      </c>
      <c r="K66" s="867" t="s">
        <v>184</v>
      </c>
      <c r="L66" s="1053">
        <v>0.1</v>
      </c>
      <c r="M66" s="62">
        <v>0.03</v>
      </c>
      <c r="O66" s="1178">
        <v>45000</v>
      </c>
      <c r="P66" s="315">
        <f t="shared" si="12"/>
        <v>46350</v>
      </c>
      <c r="Q66" s="315">
        <f t="shared" si="13"/>
        <v>47740.5</v>
      </c>
      <c r="R66" s="315">
        <f t="shared" si="14"/>
        <v>49172.715000000004</v>
      </c>
    </row>
    <row r="67" spans="2:18" x14ac:dyDescent="0.35">
      <c r="B67" s="169">
        <v>1</v>
      </c>
      <c r="C67" s="867" t="s">
        <v>1200</v>
      </c>
      <c r="D67" s="867" t="str">
        <f t="shared" si="2"/>
        <v xml:space="preserve">Andres </v>
      </c>
      <c r="E67" s="169" t="s">
        <v>1206</v>
      </c>
      <c r="F67" s="867" t="s">
        <v>224</v>
      </c>
      <c r="G67" s="306">
        <v>41654</v>
      </c>
      <c r="H67" s="864">
        <v>55153</v>
      </c>
      <c r="K67" s="867" t="s">
        <v>184</v>
      </c>
      <c r="L67" s="1053">
        <v>0.1</v>
      </c>
      <c r="M67" s="62">
        <v>0.03</v>
      </c>
      <c r="O67" s="1178">
        <v>45000</v>
      </c>
      <c r="P67" s="315">
        <f t="shared" si="12"/>
        <v>46350</v>
      </c>
      <c r="Q67" s="315">
        <f t="shared" si="13"/>
        <v>47740.5</v>
      </c>
      <c r="R67" s="315">
        <f t="shared" si="14"/>
        <v>49172.715000000004</v>
      </c>
    </row>
    <row r="68" spans="2:18" x14ac:dyDescent="0.35">
      <c r="B68" s="169">
        <v>1</v>
      </c>
      <c r="C68" s="867" t="s">
        <v>1201</v>
      </c>
      <c r="D68" s="867" t="str">
        <f t="shared" si="2"/>
        <v xml:space="preserve">Shahriar </v>
      </c>
      <c r="E68" s="169" t="s">
        <v>1207</v>
      </c>
      <c r="F68" s="867" t="s">
        <v>342</v>
      </c>
      <c r="G68" s="306">
        <v>41624</v>
      </c>
      <c r="H68" s="864">
        <v>55153</v>
      </c>
      <c r="K68" s="867" t="s">
        <v>184</v>
      </c>
      <c r="L68" s="1053">
        <v>0.1</v>
      </c>
      <c r="M68" s="62">
        <v>0.03</v>
      </c>
      <c r="O68" s="1178">
        <v>145000</v>
      </c>
      <c r="P68" s="315">
        <f t="shared" si="12"/>
        <v>149350</v>
      </c>
      <c r="Q68" s="315">
        <f t="shared" si="13"/>
        <v>153830.5</v>
      </c>
      <c r="R68" s="315">
        <f t="shared" si="14"/>
        <v>158445.41500000001</v>
      </c>
    </row>
    <row r="69" spans="2:18" x14ac:dyDescent="0.35">
      <c r="B69" s="169">
        <v>1</v>
      </c>
      <c r="C69" s="574" t="s">
        <v>1209</v>
      </c>
      <c r="D69" s="867" t="str">
        <f t="shared" si="2"/>
        <v xml:space="preserve">Ann </v>
      </c>
      <c r="E69" s="169" t="s">
        <v>1212</v>
      </c>
      <c r="F69" s="574" t="s">
        <v>67</v>
      </c>
      <c r="G69" s="306">
        <v>41214</v>
      </c>
      <c r="H69" s="864">
        <v>55153</v>
      </c>
      <c r="K69" s="867" t="s">
        <v>364</v>
      </c>
      <c r="L69" s="1053">
        <v>0.1</v>
      </c>
      <c r="M69" s="62">
        <v>0.03</v>
      </c>
      <c r="N69" s="866"/>
      <c r="P69" s="315">
        <v>24486.84</v>
      </c>
      <c r="Q69" s="315">
        <f t="shared" ref="Q69" si="15">IF($P$4&gt;$G69,(P69*(1+$M69)),0)</f>
        <v>25221.445200000002</v>
      </c>
      <c r="R69" s="315">
        <f t="shared" ref="R69" si="16">IF($P$4&gt;$G69,(Q69*(1+$M69)),0)</f>
        <v>25978.088556000002</v>
      </c>
    </row>
    <row r="70" spans="2:18" x14ac:dyDescent="0.35">
      <c r="B70" s="169">
        <v>1</v>
      </c>
      <c r="C70" s="574" t="s">
        <v>1216</v>
      </c>
      <c r="D70" s="867" t="str">
        <f t="shared" si="2"/>
        <v xml:space="preserve">Pasha </v>
      </c>
      <c r="E70" s="169" t="s">
        <v>1049</v>
      </c>
      <c r="F70" s="574" t="s">
        <v>67</v>
      </c>
      <c r="G70" s="306">
        <v>41214</v>
      </c>
      <c r="H70" s="864">
        <v>55153</v>
      </c>
      <c r="K70" s="867" t="s">
        <v>364</v>
      </c>
      <c r="L70" s="1053">
        <v>0.1</v>
      </c>
      <c r="M70" s="62">
        <v>0.03</v>
      </c>
      <c r="P70" s="315">
        <v>48248.520000000004</v>
      </c>
      <c r="Q70" s="315">
        <f t="shared" ref="Q70:Q82" si="17">IF($P$4&gt;$G70,(P70*(1+$M70)),0)</f>
        <v>49695.975600000005</v>
      </c>
      <c r="R70" s="315">
        <f t="shared" ref="R70:R82" si="18">IF($P$4&gt;$G70,(Q70*(1+$M70)),0)</f>
        <v>51186.854868000009</v>
      </c>
    </row>
    <row r="71" spans="2:18" x14ac:dyDescent="0.35">
      <c r="B71" s="169">
        <v>1</v>
      </c>
      <c r="C71" s="574" t="s">
        <v>1217</v>
      </c>
      <c r="D71" s="867" t="str">
        <f t="shared" si="2"/>
        <v xml:space="preserve">Artur </v>
      </c>
      <c r="E71" s="169" t="s">
        <v>1229</v>
      </c>
      <c r="F71" s="574" t="s">
        <v>67</v>
      </c>
      <c r="G71" s="306">
        <v>41214</v>
      </c>
      <c r="H71" s="864">
        <v>55153</v>
      </c>
      <c r="K71" s="867" t="s">
        <v>364</v>
      </c>
      <c r="L71" s="1053">
        <v>0.1</v>
      </c>
      <c r="M71" s="62">
        <v>0.03</v>
      </c>
      <c r="P71" s="315">
        <v>72896.759999999995</v>
      </c>
      <c r="Q71" s="315">
        <f t="shared" si="17"/>
        <v>75083.662799999991</v>
      </c>
      <c r="R71" s="315">
        <f t="shared" si="18"/>
        <v>77336.17268399999</v>
      </c>
    </row>
    <row r="72" spans="2:18" x14ac:dyDescent="0.35">
      <c r="B72" s="169">
        <v>1</v>
      </c>
      <c r="C72" s="574" t="s">
        <v>1210</v>
      </c>
      <c r="D72" s="867" t="str">
        <f t="shared" ref="D72:D85" si="19">LEFT(C72,FIND(" ",C72,1))</f>
        <v xml:space="preserve">Denis </v>
      </c>
      <c r="E72" s="574" t="s">
        <v>1211</v>
      </c>
      <c r="F72" s="574" t="s">
        <v>342</v>
      </c>
      <c r="G72" s="306">
        <v>41214</v>
      </c>
      <c r="H72" s="864">
        <v>55153</v>
      </c>
      <c r="K72" s="867" t="s">
        <v>364</v>
      </c>
      <c r="L72" s="1053">
        <v>0.1</v>
      </c>
      <c r="M72" s="62">
        <v>0.03</v>
      </c>
      <c r="P72" s="315">
        <v>59092.680000000008</v>
      </c>
      <c r="Q72" s="315">
        <f t="shared" si="17"/>
        <v>60865.460400000011</v>
      </c>
      <c r="R72" s="315">
        <f t="shared" si="18"/>
        <v>62691.424212000013</v>
      </c>
    </row>
    <row r="73" spans="2:18" x14ac:dyDescent="0.35">
      <c r="B73" s="169">
        <v>1</v>
      </c>
      <c r="C73" s="574" t="s">
        <v>1218</v>
      </c>
      <c r="D73" s="867" t="str">
        <f t="shared" si="19"/>
        <v xml:space="preserve">Gleb </v>
      </c>
      <c r="F73" s="574" t="s">
        <v>67</v>
      </c>
      <c r="G73" s="306">
        <v>41214</v>
      </c>
      <c r="H73" s="864">
        <v>55153</v>
      </c>
      <c r="K73" s="867" t="s">
        <v>364</v>
      </c>
      <c r="L73" s="1053">
        <v>0.1</v>
      </c>
      <c r="M73" s="62">
        <v>0.03</v>
      </c>
      <c r="P73" s="315">
        <v>45059.040000000001</v>
      </c>
      <c r="Q73" s="315">
        <f t="shared" si="17"/>
        <v>46410.811200000004</v>
      </c>
      <c r="R73" s="315">
        <f t="shared" si="18"/>
        <v>47803.135536000002</v>
      </c>
    </row>
    <row r="74" spans="2:18" x14ac:dyDescent="0.35">
      <c r="B74" s="169">
        <v>1</v>
      </c>
      <c r="C74" s="574" t="s">
        <v>1219</v>
      </c>
      <c r="D74" s="867" t="str">
        <f t="shared" si="19"/>
        <v xml:space="preserve">Igor </v>
      </c>
      <c r="F74" s="574" t="s">
        <v>67</v>
      </c>
      <c r="G74" s="306">
        <v>41214</v>
      </c>
      <c r="H74" s="864">
        <v>55153</v>
      </c>
      <c r="K74" s="867" t="s">
        <v>364</v>
      </c>
      <c r="L74" s="1053">
        <v>0.1</v>
      </c>
      <c r="M74" s="62">
        <v>0.03</v>
      </c>
      <c r="P74" s="315">
        <v>78229.56</v>
      </c>
      <c r="Q74" s="315">
        <f t="shared" si="17"/>
        <v>80576.446800000005</v>
      </c>
      <c r="R74" s="315">
        <f t="shared" si="18"/>
        <v>82993.740204000002</v>
      </c>
    </row>
    <row r="75" spans="2:18" x14ac:dyDescent="0.35">
      <c r="B75" s="169">
        <v>1</v>
      </c>
      <c r="C75" s="574" t="s">
        <v>365</v>
      </c>
      <c r="D75" s="867" t="str">
        <f t="shared" si="19"/>
        <v xml:space="preserve">Igor </v>
      </c>
      <c r="E75" s="574" t="s">
        <v>1015</v>
      </c>
      <c r="F75" s="574" t="s">
        <v>342</v>
      </c>
      <c r="G75" s="306">
        <v>41214</v>
      </c>
      <c r="H75" s="864">
        <v>55153</v>
      </c>
      <c r="K75" s="867" t="s">
        <v>364</v>
      </c>
      <c r="L75" s="1053">
        <v>0.1</v>
      </c>
      <c r="M75" s="62">
        <v>0.03</v>
      </c>
      <c r="P75" s="315">
        <v>43783.199999999997</v>
      </c>
      <c r="Q75" s="315">
        <f t="shared" si="17"/>
        <v>45096.695999999996</v>
      </c>
      <c r="R75" s="315">
        <f t="shared" si="18"/>
        <v>46449.596879999997</v>
      </c>
    </row>
    <row r="76" spans="2:18" x14ac:dyDescent="0.35">
      <c r="B76" s="169">
        <v>1</v>
      </c>
      <c r="C76" s="574" t="s">
        <v>1220</v>
      </c>
      <c r="D76" s="867" t="str">
        <f t="shared" si="19"/>
        <v xml:space="preserve">Ilya </v>
      </c>
      <c r="F76" s="574" t="s">
        <v>67</v>
      </c>
      <c r="G76" s="306">
        <v>41214</v>
      </c>
      <c r="H76" s="864">
        <v>55153</v>
      </c>
      <c r="K76" s="867" t="s">
        <v>364</v>
      </c>
      <c r="L76" s="1053">
        <v>0.1</v>
      </c>
      <c r="M76" s="62">
        <v>0.03</v>
      </c>
      <c r="P76" s="315">
        <v>56541.120000000003</v>
      </c>
      <c r="Q76" s="315">
        <f t="shared" si="17"/>
        <v>58237.353600000002</v>
      </c>
      <c r="R76" s="315">
        <f t="shared" si="18"/>
        <v>59984.474208000007</v>
      </c>
    </row>
    <row r="77" spans="2:18" x14ac:dyDescent="0.35">
      <c r="B77" s="169">
        <v>1</v>
      </c>
      <c r="C77" s="224" t="s">
        <v>1221</v>
      </c>
      <c r="D77" s="867" t="str">
        <f t="shared" si="19"/>
        <v xml:space="preserve">Olesxander </v>
      </c>
      <c r="E77" s="574" t="s">
        <v>1048</v>
      </c>
      <c r="F77" s="224" t="s">
        <v>342</v>
      </c>
      <c r="G77" s="306">
        <v>41214</v>
      </c>
      <c r="H77" s="864">
        <v>55153</v>
      </c>
      <c r="K77" s="867" t="s">
        <v>364</v>
      </c>
      <c r="L77" s="1053">
        <v>0.1</v>
      </c>
      <c r="M77" s="62">
        <v>0.03</v>
      </c>
      <c r="P77" s="315">
        <v>37404.239999999998</v>
      </c>
      <c r="Q77" s="315">
        <f t="shared" si="17"/>
        <v>38526.367200000001</v>
      </c>
      <c r="R77" s="315">
        <f t="shared" si="18"/>
        <v>39682.158216000003</v>
      </c>
    </row>
    <row r="78" spans="2:18" x14ac:dyDescent="0.35">
      <c r="B78" s="169">
        <v>1</v>
      </c>
      <c r="C78" s="574" t="s">
        <v>1222</v>
      </c>
      <c r="D78" s="867" t="str">
        <f t="shared" si="19"/>
        <v xml:space="preserve">Olexsadr </v>
      </c>
      <c r="F78" s="574" t="s">
        <v>342</v>
      </c>
      <c r="G78" s="306">
        <v>41214</v>
      </c>
      <c r="H78" s="864">
        <v>55153</v>
      </c>
      <c r="K78" s="867" t="s">
        <v>364</v>
      </c>
      <c r="L78" s="1053">
        <v>0.1</v>
      </c>
      <c r="M78" s="62">
        <v>0.03</v>
      </c>
      <c r="P78" s="315">
        <v>43783.199999999997</v>
      </c>
      <c r="Q78" s="315">
        <f t="shared" si="17"/>
        <v>45096.695999999996</v>
      </c>
      <c r="R78" s="315">
        <f t="shared" si="18"/>
        <v>46449.596879999997</v>
      </c>
    </row>
    <row r="79" spans="2:18" x14ac:dyDescent="0.35">
      <c r="B79" s="169">
        <v>1</v>
      </c>
      <c r="C79" s="574" t="s">
        <v>363</v>
      </c>
      <c r="D79" s="867" t="str">
        <f t="shared" si="19"/>
        <v xml:space="preserve">Vasyl </v>
      </c>
      <c r="F79" s="574" t="s">
        <v>342</v>
      </c>
      <c r="G79" s="306">
        <v>41214</v>
      </c>
      <c r="H79" s="864">
        <v>55153</v>
      </c>
      <c r="K79" s="867" t="s">
        <v>364</v>
      </c>
      <c r="L79" s="1053">
        <v>0.1</v>
      </c>
      <c r="M79" s="62">
        <v>0.03</v>
      </c>
      <c r="P79" s="315">
        <v>48886.32</v>
      </c>
      <c r="Q79" s="315">
        <f t="shared" si="17"/>
        <v>50352.909599999999</v>
      </c>
      <c r="R79" s="315">
        <f t="shared" si="18"/>
        <v>51863.496888000001</v>
      </c>
    </row>
    <row r="80" spans="2:18" x14ac:dyDescent="0.35">
      <c r="B80" s="169">
        <v>1</v>
      </c>
      <c r="C80" s="574" t="s">
        <v>1215</v>
      </c>
      <c r="D80" s="867" t="str">
        <f t="shared" si="19"/>
        <v xml:space="preserve">Volodymyr </v>
      </c>
      <c r="F80" s="574" t="s">
        <v>342</v>
      </c>
      <c r="G80" s="306">
        <v>41214</v>
      </c>
      <c r="H80" s="864">
        <v>55153</v>
      </c>
      <c r="K80" s="867" t="s">
        <v>364</v>
      </c>
      <c r="L80" s="1053">
        <v>0.1</v>
      </c>
      <c r="M80" s="62">
        <v>0.03</v>
      </c>
      <c r="P80" s="315">
        <v>46334.76</v>
      </c>
      <c r="Q80" s="315">
        <f t="shared" si="17"/>
        <v>47724.802800000005</v>
      </c>
      <c r="R80" s="315">
        <f t="shared" si="18"/>
        <v>49156.546884000003</v>
      </c>
    </row>
    <row r="81" spans="2:18" x14ac:dyDescent="0.35">
      <c r="B81" s="169">
        <v>1</v>
      </c>
      <c r="C81" s="574" t="s">
        <v>1223</v>
      </c>
      <c r="D81" s="867" t="str">
        <f t="shared" si="19"/>
        <v xml:space="preserve">Yuri </v>
      </c>
      <c r="F81" s="574" t="s">
        <v>67</v>
      </c>
      <c r="G81" s="306">
        <v>41214</v>
      </c>
      <c r="H81" s="864">
        <v>55153</v>
      </c>
      <c r="K81" s="867" t="s">
        <v>364</v>
      </c>
      <c r="L81" s="1053">
        <v>0.1</v>
      </c>
      <c r="M81" s="62">
        <v>0.03</v>
      </c>
      <c r="P81" s="315">
        <v>74402.16</v>
      </c>
      <c r="Q81" s="315">
        <f t="shared" si="17"/>
        <v>76634.224800000011</v>
      </c>
      <c r="R81" s="315">
        <f t="shared" si="18"/>
        <v>78933.251544000013</v>
      </c>
    </row>
    <row r="82" spans="2:18" x14ac:dyDescent="0.35">
      <c r="B82" s="169">
        <v>1</v>
      </c>
      <c r="C82" s="574" t="s">
        <v>1214</v>
      </c>
      <c r="D82" s="867" t="str">
        <f t="shared" si="19"/>
        <v xml:space="preserve">Yuriy </v>
      </c>
      <c r="E82" s="574" t="s">
        <v>1213</v>
      </c>
      <c r="F82" s="574" t="s">
        <v>67</v>
      </c>
      <c r="G82" s="306">
        <v>41214</v>
      </c>
      <c r="H82" s="864">
        <v>55153</v>
      </c>
      <c r="K82" s="867" t="s">
        <v>364</v>
      </c>
      <c r="L82" s="1053">
        <v>0.1</v>
      </c>
      <c r="M82" s="62">
        <v>0.03</v>
      </c>
      <c r="P82" s="315">
        <v>75677.88</v>
      </c>
      <c r="Q82" s="315">
        <f t="shared" si="17"/>
        <v>77948.216400000005</v>
      </c>
      <c r="R82" s="315">
        <f t="shared" si="18"/>
        <v>80286.662892000008</v>
      </c>
    </row>
    <row r="83" spans="2:18" x14ac:dyDescent="0.35">
      <c r="B83" s="169">
        <v>1</v>
      </c>
      <c r="C83" s="574" t="s">
        <v>1224</v>
      </c>
      <c r="D83" s="867" t="str">
        <f t="shared" si="19"/>
        <v xml:space="preserve">Ronnie </v>
      </c>
      <c r="E83" s="574" t="s">
        <v>1228</v>
      </c>
      <c r="F83" s="574" t="s">
        <v>342</v>
      </c>
      <c r="G83" s="306">
        <v>41699</v>
      </c>
      <c r="H83" s="306">
        <v>42005</v>
      </c>
      <c r="K83" s="867" t="s">
        <v>184</v>
      </c>
      <c r="L83" s="1053">
        <v>0.1</v>
      </c>
      <c r="M83" s="62">
        <v>0.03</v>
      </c>
      <c r="P83" s="315">
        <f>12800*12</f>
        <v>153600</v>
      </c>
      <c r="Q83" s="315">
        <f t="shared" ref="Q83:Q85" si="20">IF($P$4&gt;$G83,(P83*(1+$M83)),0)</f>
        <v>158208</v>
      </c>
      <c r="R83" s="315">
        <f t="shared" ref="R83:R85" si="21">IF($P$4&gt;$G83,(Q83*(1+$M83)),0)</f>
        <v>162954.23999999999</v>
      </c>
    </row>
    <row r="84" spans="2:18" x14ac:dyDescent="0.35">
      <c r="B84" s="169">
        <v>1</v>
      </c>
      <c r="C84" s="574" t="s">
        <v>1225</v>
      </c>
      <c r="D84" s="867" t="str">
        <f t="shared" si="19"/>
        <v xml:space="preserve">Hans </v>
      </c>
      <c r="E84" s="574" t="s">
        <v>1227</v>
      </c>
      <c r="F84" s="574" t="s">
        <v>342</v>
      </c>
      <c r="G84" s="306">
        <v>41699</v>
      </c>
      <c r="H84" s="306">
        <v>42005</v>
      </c>
      <c r="K84" s="867" t="s">
        <v>184</v>
      </c>
      <c r="L84" s="1053">
        <v>0.1</v>
      </c>
      <c r="M84" s="62">
        <v>0.03</v>
      </c>
      <c r="P84" s="315">
        <f>12800*12</f>
        <v>153600</v>
      </c>
      <c r="Q84" s="315">
        <f t="shared" si="20"/>
        <v>158208</v>
      </c>
      <c r="R84" s="315">
        <f t="shared" si="21"/>
        <v>162954.23999999999</v>
      </c>
    </row>
    <row r="85" spans="2:18" x14ac:dyDescent="0.35">
      <c r="B85" s="169">
        <v>1</v>
      </c>
      <c r="C85" s="574" t="s">
        <v>1226</v>
      </c>
      <c r="D85" s="867" t="str">
        <f t="shared" si="19"/>
        <v xml:space="preserve">Justin </v>
      </c>
      <c r="E85" s="574" t="s">
        <v>1046</v>
      </c>
      <c r="F85" s="574" t="s">
        <v>342</v>
      </c>
      <c r="G85" s="306">
        <v>41640</v>
      </c>
      <c r="H85" s="306">
        <v>42005</v>
      </c>
      <c r="K85" s="867" t="s">
        <v>184</v>
      </c>
      <c r="L85" s="1053">
        <v>0.1</v>
      </c>
      <c r="M85" s="62">
        <v>0.03</v>
      </c>
      <c r="P85" s="315">
        <f>3200*12</f>
        <v>38400</v>
      </c>
      <c r="Q85" s="315">
        <f t="shared" si="20"/>
        <v>39552</v>
      </c>
      <c r="R85" s="315">
        <f t="shared" si="21"/>
        <v>40738.559999999998</v>
      </c>
    </row>
    <row r="1048562" spans="7:13" x14ac:dyDescent="0.35">
      <c r="G1048562" s="306">
        <v>41214</v>
      </c>
      <c r="H1048562" s="864">
        <v>55153</v>
      </c>
      <c r="K1048562" s="867" t="s">
        <v>364</v>
      </c>
      <c r="L1048562" s="1053">
        <v>0.1</v>
      </c>
      <c r="M1048562" s="62">
        <v>0.05</v>
      </c>
    </row>
  </sheetData>
  <autoFilter ref="F4:F85"/>
  <pageMargins left="0.7" right="0.7" top="0.75" bottom="0.75" header="0.3" footer="0.3"/>
  <pageSetup orientation="portrait" horizontalDpi="0"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S16"/>
  <sheetViews>
    <sheetView showGridLines="0" workbookViewId="0">
      <selection activeCell="C15" sqref="C15:C16"/>
    </sheetView>
  </sheetViews>
  <sheetFormatPr defaultColWidth="9.1796875" defaultRowHeight="14.5" x14ac:dyDescent="0.35"/>
  <cols>
    <col min="1" max="1" width="2" style="574" customWidth="1"/>
    <col min="2" max="2" width="2.1796875" style="574" bestFit="1" customWidth="1"/>
    <col min="3" max="3" width="24.26953125" style="574" bestFit="1" customWidth="1"/>
    <col min="4" max="4" width="10.1796875" style="574" bestFit="1" customWidth="1"/>
    <col min="5" max="5" width="10.54296875" style="574" bestFit="1" customWidth="1"/>
    <col min="6" max="6" width="11.7265625" style="574" bestFit="1" customWidth="1"/>
    <col min="7" max="7" width="10.7265625" style="574" bestFit="1" customWidth="1"/>
    <col min="8" max="8" width="16.54296875" style="574" bestFit="1" customWidth="1"/>
    <col min="9" max="9" width="15.81640625" style="574" bestFit="1" customWidth="1"/>
    <col min="10" max="10" width="15.81640625" style="574" customWidth="1"/>
    <col min="11" max="11" width="10.81640625" style="574" bestFit="1" customWidth="1"/>
    <col min="12" max="12" width="18.26953125" style="574" bestFit="1" customWidth="1"/>
    <col min="13" max="13" width="14.54296875" style="574" bestFit="1" customWidth="1"/>
    <col min="14" max="14" width="12.7265625" style="574" customWidth="1"/>
    <col min="15" max="15" width="10.7265625" style="574" bestFit="1" customWidth="1"/>
    <col min="16" max="16" width="15.453125" style="574" bestFit="1" customWidth="1"/>
    <col min="17" max="18" width="10.7265625" style="574" bestFit="1" customWidth="1"/>
    <col min="19" max="16384" width="9.1796875" style="574"/>
  </cols>
  <sheetData>
    <row r="2" spans="2:19" x14ac:dyDescent="0.35">
      <c r="B2" s="652" t="s">
        <v>1001</v>
      </c>
      <c r="C2" s="652" t="s">
        <v>1064</v>
      </c>
      <c r="N2" s="574" t="s">
        <v>1000</v>
      </c>
    </row>
    <row r="3" spans="2:19" x14ac:dyDescent="0.35">
      <c r="B3" s="859" t="s">
        <v>788</v>
      </c>
      <c r="C3" s="859" t="s">
        <v>924</v>
      </c>
      <c r="D3" s="859" t="s">
        <v>1004</v>
      </c>
      <c r="E3" s="859" t="s">
        <v>1005</v>
      </c>
      <c r="F3" s="859" t="s">
        <v>956</v>
      </c>
      <c r="G3" s="859" t="s">
        <v>0</v>
      </c>
      <c r="H3" s="859" t="s">
        <v>1006</v>
      </c>
      <c r="I3" s="859" t="s">
        <v>1007</v>
      </c>
      <c r="J3" s="859"/>
      <c r="K3" s="859" t="s">
        <v>1009</v>
      </c>
      <c r="L3" s="859" t="s">
        <v>1010</v>
      </c>
      <c r="M3" s="859" t="s">
        <v>1011</v>
      </c>
      <c r="N3" s="860">
        <v>41333</v>
      </c>
      <c r="O3" s="860">
        <v>41698</v>
      </c>
      <c r="P3" s="860">
        <v>42063</v>
      </c>
      <c r="Q3" s="860">
        <v>42428</v>
      </c>
      <c r="R3" s="860">
        <v>42794</v>
      </c>
    </row>
    <row r="4" spans="2:19" x14ac:dyDescent="0.35">
      <c r="B4" s="861"/>
      <c r="C4" s="861"/>
      <c r="D4" s="861"/>
      <c r="E4" s="861"/>
      <c r="F4" s="861"/>
      <c r="G4" s="861"/>
      <c r="H4" s="861"/>
      <c r="I4" s="861"/>
      <c r="J4" s="861"/>
      <c r="K4" s="861"/>
      <c r="L4" s="861"/>
      <c r="M4" s="861"/>
      <c r="N4" s="862" t="s">
        <v>1013</v>
      </c>
      <c r="O4" s="862"/>
      <c r="P4" s="862"/>
      <c r="Q4" s="862"/>
      <c r="R4" s="862"/>
      <c r="S4" s="574" t="s">
        <v>1065</v>
      </c>
    </row>
    <row r="5" spans="2:19" x14ac:dyDescent="0.35">
      <c r="B5" s="574">
        <v>1</v>
      </c>
      <c r="F5" s="867" t="s">
        <v>67</v>
      </c>
      <c r="G5" s="306">
        <v>41851</v>
      </c>
      <c r="H5" s="864">
        <v>55153</v>
      </c>
      <c r="L5" s="869">
        <v>0.1</v>
      </c>
      <c r="M5" s="62">
        <v>0.03</v>
      </c>
      <c r="N5" s="579"/>
      <c r="O5" s="579">
        <v>120000</v>
      </c>
      <c r="P5" s="315">
        <f t="shared" ref="P5:P16" si="0">IF($P$3&gt;$G5,(O5*(1+$M5)),0)</f>
        <v>123600</v>
      </c>
      <c r="Q5" s="315">
        <f t="shared" ref="Q5:Q7" si="1">IF($Q$3&gt;$G5,(P5*(1+$M5)),0)</f>
        <v>127308</v>
      </c>
      <c r="R5" s="315">
        <f t="shared" ref="R5:R7" si="2">IF($R$3&gt;$G5,(Q5*(1+$M5)),0)</f>
        <v>131127.24</v>
      </c>
    </row>
    <row r="6" spans="2:19" x14ac:dyDescent="0.35">
      <c r="B6" s="574">
        <v>1</v>
      </c>
      <c r="F6" s="867" t="s">
        <v>67</v>
      </c>
      <c r="G6" s="306">
        <v>41851</v>
      </c>
      <c r="H6" s="864">
        <v>55153</v>
      </c>
      <c r="L6" s="869">
        <v>0.1</v>
      </c>
      <c r="M6" s="62">
        <v>0.03</v>
      </c>
      <c r="N6" s="579"/>
      <c r="O6" s="579">
        <v>120000</v>
      </c>
      <c r="P6" s="315">
        <f t="shared" si="0"/>
        <v>123600</v>
      </c>
      <c r="Q6" s="315">
        <f t="shared" si="1"/>
        <v>127308</v>
      </c>
      <c r="R6" s="315">
        <f t="shared" si="2"/>
        <v>131127.24</v>
      </c>
    </row>
    <row r="7" spans="2:19" x14ac:dyDescent="0.35">
      <c r="B7" s="574">
        <v>1</v>
      </c>
      <c r="F7" s="867" t="s">
        <v>67</v>
      </c>
      <c r="G7" s="306">
        <v>41943</v>
      </c>
      <c r="H7" s="864">
        <v>55153</v>
      </c>
      <c r="L7" s="869">
        <v>0.1</v>
      </c>
      <c r="M7" s="62">
        <v>0.03</v>
      </c>
      <c r="N7" s="579"/>
      <c r="O7" s="579">
        <v>120000</v>
      </c>
      <c r="P7" s="315">
        <f t="shared" si="0"/>
        <v>123600</v>
      </c>
      <c r="Q7" s="315">
        <f t="shared" si="1"/>
        <v>127308</v>
      </c>
      <c r="R7" s="315">
        <f t="shared" si="2"/>
        <v>131127.24</v>
      </c>
    </row>
    <row r="8" spans="2:19" x14ac:dyDescent="0.35">
      <c r="B8" s="574">
        <v>1</v>
      </c>
      <c r="F8" s="867" t="s">
        <v>224</v>
      </c>
      <c r="G8" s="306">
        <v>41730</v>
      </c>
      <c r="H8" s="864">
        <v>55153</v>
      </c>
      <c r="L8" s="869">
        <v>0.1</v>
      </c>
      <c r="M8" s="62">
        <v>0.03</v>
      </c>
      <c r="N8" s="579"/>
      <c r="O8" s="315">
        <v>50000</v>
      </c>
      <c r="P8" s="315">
        <f t="shared" si="0"/>
        <v>51500</v>
      </c>
      <c r="Q8" s="315">
        <f t="shared" ref="Q8:Q16" si="3">IF($Q$3&gt;$G8,(P8*(1+$M8)),0)</f>
        <v>53045</v>
      </c>
      <c r="R8" s="315">
        <f t="shared" ref="R8:R16" si="4">IF($R$3&gt;$G8,(Q8*(1+$M8)),0)</f>
        <v>54636.35</v>
      </c>
    </row>
    <row r="9" spans="2:19" x14ac:dyDescent="0.35">
      <c r="B9" s="574">
        <v>1</v>
      </c>
      <c r="F9" s="867" t="s">
        <v>224</v>
      </c>
      <c r="G9" s="306">
        <v>41821</v>
      </c>
      <c r="H9" s="864">
        <v>55153</v>
      </c>
      <c r="L9" s="869">
        <v>0.1</v>
      </c>
      <c r="M9" s="62">
        <v>0.03</v>
      </c>
      <c r="N9" s="579"/>
      <c r="O9" s="315">
        <v>50000</v>
      </c>
      <c r="P9" s="315">
        <f t="shared" ref="P9:P10" si="5">IF($P$3&gt;$G9,(O9*(1+$M9)),0)</f>
        <v>51500</v>
      </c>
      <c r="Q9" s="315">
        <f t="shared" ref="Q9:Q10" si="6">IF($Q$3&gt;$G9,(P9*(1+$M9)),0)</f>
        <v>53045</v>
      </c>
      <c r="R9" s="315">
        <f t="shared" ref="R9:R10" si="7">IF($R$3&gt;$G9,(Q9*(1+$M9)),0)</f>
        <v>54636.35</v>
      </c>
    </row>
    <row r="10" spans="2:19" x14ac:dyDescent="0.35">
      <c r="B10" s="574">
        <v>1</v>
      </c>
      <c r="F10" s="867" t="s">
        <v>224</v>
      </c>
      <c r="G10" s="306">
        <v>41671</v>
      </c>
      <c r="H10" s="864">
        <v>55153</v>
      </c>
      <c r="L10" s="869">
        <v>0.1</v>
      </c>
      <c r="M10" s="62">
        <v>0.03</v>
      </c>
      <c r="N10" s="579"/>
      <c r="O10" s="315">
        <v>50000</v>
      </c>
      <c r="P10" s="315">
        <f t="shared" si="5"/>
        <v>51500</v>
      </c>
      <c r="Q10" s="315">
        <f t="shared" si="6"/>
        <v>53045</v>
      </c>
      <c r="R10" s="315">
        <f t="shared" si="7"/>
        <v>54636.35</v>
      </c>
    </row>
    <row r="11" spans="2:19" x14ac:dyDescent="0.35">
      <c r="B11" s="574">
        <v>1</v>
      </c>
      <c r="F11" s="867" t="s">
        <v>224</v>
      </c>
      <c r="G11" s="306">
        <v>41730</v>
      </c>
      <c r="H11" s="864">
        <v>55153</v>
      </c>
      <c r="L11" s="869">
        <v>0.1</v>
      </c>
      <c r="M11" s="62">
        <v>0.03</v>
      </c>
      <c r="O11" s="315">
        <v>50000</v>
      </c>
      <c r="P11" s="315">
        <f t="shared" si="0"/>
        <v>51500</v>
      </c>
      <c r="Q11" s="315">
        <f t="shared" si="3"/>
        <v>53045</v>
      </c>
      <c r="R11" s="315">
        <f t="shared" si="4"/>
        <v>54636.35</v>
      </c>
    </row>
    <row r="12" spans="2:19" x14ac:dyDescent="0.35">
      <c r="B12" s="574">
        <v>1</v>
      </c>
      <c r="F12" s="867" t="s">
        <v>224</v>
      </c>
      <c r="G12" s="306">
        <v>41821</v>
      </c>
      <c r="H12" s="864">
        <v>55153</v>
      </c>
      <c r="L12" s="869">
        <v>0.1</v>
      </c>
      <c r="M12" s="62">
        <v>0.03</v>
      </c>
      <c r="O12" s="315">
        <v>50000</v>
      </c>
      <c r="P12" s="315">
        <f t="shared" si="0"/>
        <v>51500</v>
      </c>
      <c r="Q12" s="315">
        <f t="shared" si="3"/>
        <v>53045</v>
      </c>
      <c r="R12" s="315">
        <f t="shared" si="4"/>
        <v>54636.35</v>
      </c>
    </row>
    <row r="13" spans="2:19" x14ac:dyDescent="0.35">
      <c r="B13" s="574">
        <v>1</v>
      </c>
      <c r="C13" s="867" t="s">
        <v>1208</v>
      </c>
      <c r="F13" s="867" t="s">
        <v>4</v>
      </c>
      <c r="G13" s="306">
        <v>41730</v>
      </c>
      <c r="H13" s="864">
        <v>55153</v>
      </c>
      <c r="L13" s="299">
        <v>0.45</v>
      </c>
      <c r="M13" s="62">
        <v>0.03</v>
      </c>
      <c r="O13" s="315">
        <v>275000</v>
      </c>
      <c r="P13" s="315">
        <f t="shared" si="0"/>
        <v>283250</v>
      </c>
      <c r="Q13" s="315">
        <f t="shared" si="3"/>
        <v>291747.5</v>
      </c>
      <c r="R13" s="315">
        <f t="shared" si="4"/>
        <v>300499.92499999999</v>
      </c>
    </row>
    <row r="14" spans="2:19" x14ac:dyDescent="0.35">
      <c r="B14" s="574">
        <v>1</v>
      </c>
      <c r="C14" s="574" t="s">
        <v>1230</v>
      </c>
      <c r="F14" s="867" t="s">
        <v>342</v>
      </c>
      <c r="G14" s="306">
        <v>41730</v>
      </c>
      <c r="H14" s="864">
        <v>55153</v>
      </c>
      <c r="L14" s="869">
        <v>0.1</v>
      </c>
      <c r="M14" s="62">
        <v>0.03</v>
      </c>
      <c r="O14" s="315">
        <v>120000</v>
      </c>
      <c r="P14" s="315">
        <f t="shared" si="0"/>
        <v>123600</v>
      </c>
      <c r="Q14" s="315">
        <f t="shared" si="3"/>
        <v>127308</v>
      </c>
      <c r="R14" s="315">
        <f t="shared" si="4"/>
        <v>131127.24</v>
      </c>
    </row>
    <row r="15" spans="2:19" x14ac:dyDescent="0.35">
      <c r="B15" s="169">
        <v>1</v>
      </c>
      <c r="C15" s="574" t="s">
        <v>1231</v>
      </c>
      <c r="F15" s="867" t="s">
        <v>5</v>
      </c>
      <c r="G15" s="306">
        <v>41791</v>
      </c>
      <c r="H15" s="864">
        <v>55153</v>
      </c>
      <c r="L15" s="869">
        <v>0.1</v>
      </c>
      <c r="M15" s="62">
        <v>0.03</v>
      </c>
      <c r="O15" s="315">
        <v>65000</v>
      </c>
      <c r="P15" s="315">
        <f t="shared" si="0"/>
        <v>66950</v>
      </c>
      <c r="Q15" s="315">
        <f t="shared" si="3"/>
        <v>68958.5</v>
      </c>
      <c r="R15" s="315">
        <f t="shared" si="4"/>
        <v>71027.255000000005</v>
      </c>
    </row>
    <row r="16" spans="2:19" x14ac:dyDescent="0.35">
      <c r="B16" s="169">
        <v>1</v>
      </c>
      <c r="C16" s="169" t="s">
        <v>1232</v>
      </c>
      <c r="F16" s="867" t="s">
        <v>5</v>
      </c>
      <c r="G16" s="306">
        <v>41730</v>
      </c>
      <c r="H16" s="864">
        <v>55153</v>
      </c>
      <c r="L16" s="869">
        <v>0.1</v>
      </c>
      <c r="M16" s="62">
        <v>0.03</v>
      </c>
      <c r="O16" s="315">
        <v>80000</v>
      </c>
      <c r="P16" s="315">
        <f t="shared" si="0"/>
        <v>82400</v>
      </c>
      <c r="Q16" s="315">
        <f t="shared" si="3"/>
        <v>84872</v>
      </c>
      <c r="R16" s="315">
        <f t="shared" si="4"/>
        <v>87418.16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102"/>
  <sheetViews>
    <sheetView topLeftCell="A10" zoomScale="90" zoomScaleNormal="90" workbookViewId="0">
      <selection activeCell="E19" sqref="E19"/>
    </sheetView>
  </sheetViews>
  <sheetFormatPr defaultColWidth="9.1796875" defaultRowHeight="14.5" outlineLevelRow="1" x14ac:dyDescent="0.35"/>
  <cols>
    <col min="1" max="1" width="2.81640625" style="574" customWidth="1"/>
    <col min="2" max="2" width="30" style="574" bestFit="1" customWidth="1"/>
    <col min="3" max="3" width="21.81640625" style="574" bestFit="1" customWidth="1"/>
    <col min="4" max="4" width="27.54296875" style="574" bestFit="1" customWidth="1"/>
    <col min="5" max="5" width="16.54296875" style="574" bestFit="1" customWidth="1"/>
    <col min="6" max="6" width="26.54296875" style="574" bestFit="1" customWidth="1"/>
    <col min="7" max="7" width="101.7265625" style="574" bestFit="1" customWidth="1"/>
    <col min="8" max="8" width="18.7265625" style="574" bestFit="1" customWidth="1"/>
    <col min="9" max="16384" width="9.1796875" style="574"/>
  </cols>
  <sheetData>
    <row r="1" spans="2:12" x14ac:dyDescent="0.35">
      <c r="G1" s="574" t="s">
        <v>954</v>
      </c>
    </row>
    <row r="2" spans="2:12" x14ac:dyDescent="0.35">
      <c r="B2" s="652" t="s">
        <v>955</v>
      </c>
    </row>
    <row r="3" spans="2:12" x14ac:dyDescent="0.35">
      <c r="B3" s="821" t="s">
        <v>956</v>
      </c>
      <c r="C3" s="822" t="s">
        <v>957</v>
      </c>
      <c r="D3" s="822" t="s">
        <v>958</v>
      </c>
      <c r="E3" s="822" t="s">
        <v>1186</v>
      </c>
      <c r="F3" s="822" t="s">
        <v>1187</v>
      </c>
      <c r="G3" s="822" t="s">
        <v>960</v>
      </c>
      <c r="H3" s="823" t="s">
        <v>961</v>
      </c>
      <c r="I3" s="574" t="s">
        <v>962</v>
      </c>
    </row>
    <row r="4" spans="2:12" x14ac:dyDescent="0.35">
      <c r="B4" s="824" t="s">
        <v>224</v>
      </c>
      <c r="C4" s="825"/>
      <c r="D4" s="825"/>
      <c r="E4" s="826"/>
      <c r="F4" s="826"/>
      <c r="G4" s="825"/>
      <c r="H4" s="827"/>
      <c r="I4" s="574" t="s">
        <v>963</v>
      </c>
    </row>
    <row r="5" spans="2:12" ht="39" customHeight="1" outlineLevel="1" x14ac:dyDescent="0.35">
      <c r="B5" s="800"/>
      <c r="C5" s="828" t="s">
        <v>964</v>
      </c>
      <c r="D5" s="828" t="s">
        <v>965</v>
      </c>
      <c r="E5" s="829" t="s">
        <v>966</v>
      </c>
      <c r="F5" s="829"/>
      <c r="G5" s="830" t="s">
        <v>967</v>
      </c>
      <c r="H5" s="831" t="s">
        <v>968</v>
      </c>
      <c r="I5" s="574" t="s">
        <v>969</v>
      </c>
    </row>
    <row r="6" spans="2:12" outlineLevel="1" x14ac:dyDescent="0.35">
      <c r="B6" s="800"/>
      <c r="C6" s="832" t="s">
        <v>9</v>
      </c>
      <c r="D6" s="832" t="s">
        <v>9</v>
      </c>
      <c r="E6" s="829">
        <v>146</v>
      </c>
      <c r="F6" s="829"/>
      <c r="G6" s="157" t="s">
        <v>970</v>
      </c>
      <c r="H6" s="831" t="s">
        <v>968</v>
      </c>
    </row>
    <row r="7" spans="2:12" outlineLevel="1" x14ac:dyDescent="0.35">
      <c r="B7" s="833" t="s">
        <v>1183</v>
      </c>
      <c r="C7" s="834" t="s">
        <v>971</v>
      </c>
      <c r="D7" s="834" t="s">
        <v>940</v>
      </c>
      <c r="E7" s="829">
        <v>162</v>
      </c>
      <c r="F7" s="829"/>
      <c r="G7" s="157" t="s">
        <v>972</v>
      </c>
      <c r="H7" s="835">
        <v>575</v>
      </c>
      <c r="I7" s="169" t="s">
        <v>1188</v>
      </c>
      <c r="L7" s="574">
        <f>400/12</f>
        <v>33.333333333333336</v>
      </c>
    </row>
    <row r="8" spans="2:12" outlineLevel="1" x14ac:dyDescent="0.35">
      <c r="B8" s="800"/>
      <c r="C8" s="836">
        <v>6137</v>
      </c>
      <c r="D8" s="837" t="s">
        <v>941</v>
      </c>
      <c r="E8" s="829" t="s">
        <v>973</v>
      </c>
      <c r="F8" s="829"/>
      <c r="G8" s="838" t="s">
        <v>974</v>
      </c>
      <c r="H8" s="801">
        <v>3600</v>
      </c>
    </row>
    <row r="9" spans="2:12" outlineLevel="1" x14ac:dyDescent="0.35">
      <c r="B9" s="800"/>
      <c r="C9" s="832">
        <v>6680</v>
      </c>
      <c r="D9" s="837" t="s">
        <v>925</v>
      </c>
      <c r="E9" s="829">
        <v>164</v>
      </c>
      <c r="F9" s="829"/>
      <c r="G9" s="838" t="s">
        <v>974</v>
      </c>
      <c r="H9" s="801">
        <v>1000</v>
      </c>
    </row>
    <row r="10" spans="2:12" outlineLevel="1" x14ac:dyDescent="0.35">
      <c r="B10" s="800"/>
      <c r="C10" s="832" t="s">
        <v>603</v>
      </c>
      <c r="D10" s="837" t="s">
        <v>433</v>
      </c>
      <c r="E10" s="839">
        <v>119</v>
      </c>
      <c r="F10" s="839"/>
      <c r="G10" s="157" t="s">
        <v>975</v>
      </c>
      <c r="H10" s="801" t="s">
        <v>976</v>
      </c>
    </row>
    <row r="11" spans="2:12" outlineLevel="1" x14ac:dyDescent="0.35">
      <c r="B11" s="800"/>
      <c r="C11" s="836">
        <v>6243</v>
      </c>
      <c r="D11" s="837" t="s">
        <v>942</v>
      </c>
      <c r="E11" s="829">
        <v>88</v>
      </c>
      <c r="F11" s="829"/>
      <c r="G11" s="157" t="s">
        <v>975</v>
      </c>
      <c r="H11" s="801" t="s">
        <v>976</v>
      </c>
    </row>
    <row r="12" spans="2:12" outlineLevel="1" x14ac:dyDescent="0.35">
      <c r="B12" s="833"/>
      <c r="C12" s="836">
        <v>6340</v>
      </c>
      <c r="D12" s="837" t="s">
        <v>1083</v>
      </c>
      <c r="E12" s="829">
        <v>118</v>
      </c>
      <c r="F12" s="829"/>
      <c r="G12" s="157" t="s">
        <v>975</v>
      </c>
      <c r="H12" s="801" t="s">
        <v>976</v>
      </c>
    </row>
    <row r="13" spans="2:12" outlineLevel="1" x14ac:dyDescent="0.35">
      <c r="B13" s="833" t="s">
        <v>977</v>
      </c>
      <c r="C13" s="836">
        <v>6138</v>
      </c>
      <c r="D13" s="837" t="s">
        <v>943</v>
      </c>
      <c r="E13" s="829">
        <v>47</v>
      </c>
      <c r="F13" s="829"/>
      <c r="G13" s="157" t="s">
        <v>978</v>
      </c>
      <c r="H13" s="801">
        <v>79</v>
      </c>
    </row>
    <row r="14" spans="2:12" outlineLevel="1" x14ac:dyDescent="0.35">
      <c r="B14" s="833"/>
      <c r="C14" s="836">
        <v>6293</v>
      </c>
      <c r="D14" s="580" t="s">
        <v>340</v>
      </c>
      <c r="E14" s="829">
        <v>108</v>
      </c>
      <c r="F14" s="829"/>
      <c r="G14" s="157" t="s">
        <v>975</v>
      </c>
      <c r="H14" s="801" t="s">
        <v>976</v>
      </c>
    </row>
    <row r="15" spans="2:12" x14ac:dyDescent="0.35">
      <c r="B15" s="824" t="s">
        <v>5</v>
      </c>
      <c r="C15" s="825"/>
      <c r="D15" s="825"/>
      <c r="E15" s="826"/>
      <c r="F15" s="826"/>
      <c r="G15" s="825"/>
      <c r="H15" s="840"/>
    </row>
    <row r="16" spans="2:12" outlineLevel="1" x14ac:dyDescent="0.35">
      <c r="B16" s="800"/>
      <c r="C16" s="828" t="s">
        <v>964</v>
      </c>
      <c r="D16" s="828" t="s">
        <v>965</v>
      </c>
      <c r="E16" s="829" t="s">
        <v>1084</v>
      </c>
      <c r="F16" s="829"/>
      <c r="G16" s="157"/>
      <c r="H16" s="831" t="s">
        <v>968</v>
      </c>
    </row>
    <row r="17" spans="2:8" outlineLevel="1" x14ac:dyDescent="0.35">
      <c r="B17" s="800"/>
      <c r="C17" s="832" t="s">
        <v>9</v>
      </c>
      <c r="D17" s="832" t="s">
        <v>9</v>
      </c>
      <c r="E17" s="829">
        <v>314</v>
      </c>
      <c r="F17" s="829"/>
      <c r="G17" s="157"/>
      <c r="H17" s="831" t="s">
        <v>968</v>
      </c>
    </row>
    <row r="18" spans="2:8" outlineLevel="1" x14ac:dyDescent="0.35">
      <c r="B18" s="800"/>
      <c r="C18" s="834" t="s">
        <v>971</v>
      </c>
      <c r="D18" s="834" t="s">
        <v>940</v>
      </c>
      <c r="E18" s="829">
        <v>330</v>
      </c>
      <c r="F18" s="829"/>
      <c r="G18" s="157" t="s">
        <v>972</v>
      </c>
      <c r="H18" s="835">
        <v>1</v>
      </c>
    </row>
    <row r="19" spans="2:8" outlineLevel="1" x14ac:dyDescent="0.35">
      <c r="B19" s="800"/>
      <c r="C19" s="836">
        <v>6137</v>
      </c>
      <c r="D19" s="837" t="s">
        <v>941</v>
      </c>
      <c r="E19" s="829">
        <v>214</v>
      </c>
      <c r="F19" s="829"/>
      <c r="G19" s="838" t="s">
        <v>974</v>
      </c>
      <c r="H19" s="801">
        <v>3000</v>
      </c>
    </row>
    <row r="20" spans="2:8" outlineLevel="1" x14ac:dyDescent="0.35">
      <c r="B20" s="800"/>
      <c r="C20" s="832">
        <v>6680</v>
      </c>
      <c r="D20" s="837" t="s">
        <v>925</v>
      </c>
      <c r="E20" s="829">
        <v>332</v>
      </c>
      <c r="F20" s="829"/>
      <c r="G20" s="838" t="s">
        <v>974</v>
      </c>
      <c r="H20" s="801">
        <v>1000</v>
      </c>
    </row>
    <row r="21" spans="2:8" outlineLevel="1" x14ac:dyDescent="0.35">
      <c r="B21" s="800"/>
      <c r="C21" s="832" t="s">
        <v>603</v>
      </c>
      <c r="D21" s="837" t="s">
        <v>433</v>
      </c>
      <c r="E21" s="829">
        <v>287</v>
      </c>
      <c r="F21" s="829"/>
      <c r="G21" s="157" t="s">
        <v>975</v>
      </c>
      <c r="H21" s="801" t="s">
        <v>976</v>
      </c>
    </row>
    <row r="22" spans="2:8" outlineLevel="1" x14ac:dyDescent="0.35">
      <c r="B22" s="800"/>
      <c r="C22" s="836">
        <v>6243</v>
      </c>
      <c r="D22" s="837" t="s">
        <v>942</v>
      </c>
      <c r="E22" s="829">
        <v>256</v>
      </c>
      <c r="F22" s="829"/>
      <c r="G22" s="157" t="s">
        <v>975</v>
      </c>
      <c r="H22" s="801" t="s">
        <v>976</v>
      </c>
    </row>
    <row r="23" spans="2:8" outlineLevel="1" x14ac:dyDescent="0.35">
      <c r="B23" s="800"/>
      <c r="C23" s="836">
        <v>6340</v>
      </c>
      <c r="D23" s="837" t="s">
        <v>1083</v>
      </c>
      <c r="E23" s="998">
        <v>286</v>
      </c>
      <c r="F23" s="998"/>
      <c r="G23" s="157"/>
      <c r="H23" s="801" t="s">
        <v>976</v>
      </c>
    </row>
    <row r="24" spans="2:8" outlineLevel="1" x14ac:dyDescent="0.35">
      <c r="B24" s="800"/>
      <c r="C24" s="836">
        <v>6138</v>
      </c>
      <c r="D24" s="837" t="s">
        <v>943</v>
      </c>
      <c r="E24" s="829">
        <v>215</v>
      </c>
      <c r="F24" s="829"/>
      <c r="G24" s="157" t="s">
        <v>978</v>
      </c>
      <c r="H24" s="801">
        <v>79</v>
      </c>
    </row>
    <row r="25" spans="2:8" outlineLevel="1" x14ac:dyDescent="0.35">
      <c r="B25" s="800"/>
      <c r="C25" s="836">
        <v>6293</v>
      </c>
      <c r="D25" s="580" t="s">
        <v>340</v>
      </c>
      <c r="E25" s="435">
        <v>276</v>
      </c>
      <c r="F25" s="435"/>
      <c r="G25" s="157" t="s">
        <v>978</v>
      </c>
      <c r="H25" s="801" t="s">
        <v>976</v>
      </c>
    </row>
    <row r="26" spans="2:8" x14ac:dyDescent="0.35">
      <c r="B26" s="824" t="s">
        <v>67</v>
      </c>
      <c r="C26" s="825"/>
      <c r="D26" s="825"/>
      <c r="E26" s="826"/>
      <c r="F26" s="826"/>
      <c r="G26" s="825"/>
      <c r="H26" s="840"/>
    </row>
    <row r="27" spans="2:8" outlineLevel="1" x14ac:dyDescent="0.35">
      <c r="B27" s="800"/>
      <c r="C27" s="828" t="s">
        <v>964</v>
      </c>
      <c r="D27" s="828" t="s">
        <v>965</v>
      </c>
      <c r="E27" s="829" t="s">
        <v>1085</v>
      </c>
      <c r="F27" s="829"/>
      <c r="G27" s="157"/>
      <c r="H27" s="831" t="s">
        <v>968</v>
      </c>
    </row>
    <row r="28" spans="2:8" outlineLevel="1" x14ac:dyDescent="0.35">
      <c r="B28" s="800"/>
      <c r="C28" s="832" t="s">
        <v>9</v>
      </c>
      <c r="D28" s="832" t="s">
        <v>9</v>
      </c>
      <c r="E28" s="829">
        <v>482</v>
      </c>
      <c r="F28" s="829"/>
      <c r="G28" s="157"/>
      <c r="H28" s="831" t="s">
        <v>968</v>
      </c>
    </row>
    <row r="29" spans="2:8" outlineLevel="1" x14ac:dyDescent="0.35">
      <c r="B29" s="800"/>
      <c r="C29" s="834" t="s">
        <v>971</v>
      </c>
      <c r="D29" s="834" t="s">
        <v>940</v>
      </c>
      <c r="E29" s="829">
        <v>498</v>
      </c>
      <c r="F29" s="829"/>
      <c r="G29" s="157" t="s">
        <v>972</v>
      </c>
      <c r="H29" s="835">
        <v>1</v>
      </c>
    </row>
    <row r="30" spans="2:8" outlineLevel="1" x14ac:dyDescent="0.35">
      <c r="B30" s="800"/>
      <c r="C30" s="836">
        <v>6137</v>
      </c>
      <c r="D30" s="837" t="s">
        <v>941</v>
      </c>
      <c r="E30" s="829">
        <v>382</v>
      </c>
      <c r="F30" s="829"/>
      <c r="G30" s="838" t="s">
        <v>974</v>
      </c>
      <c r="H30" s="801">
        <v>3000</v>
      </c>
    </row>
    <row r="31" spans="2:8" outlineLevel="1" x14ac:dyDescent="0.35">
      <c r="B31" s="800"/>
      <c r="C31" s="832">
        <v>6680</v>
      </c>
      <c r="D31" s="837" t="s">
        <v>925</v>
      </c>
      <c r="E31" s="829">
        <v>500</v>
      </c>
      <c r="F31" s="829"/>
      <c r="G31" s="838" t="s">
        <v>974</v>
      </c>
      <c r="H31" s="801">
        <v>20000</v>
      </c>
    </row>
    <row r="32" spans="2:8" outlineLevel="1" x14ac:dyDescent="0.35">
      <c r="B32" s="800"/>
      <c r="C32" s="832" t="s">
        <v>603</v>
      </c>
      <c r="D32" s="837" t="s">
        <v>433</v>
      </c>
      <c r="E32" s="829">
        <v>455</v>
      </c>
      <c r="F32" s="829"/>
      <c r="G32" s="157" t="s">
        <v>975</v>
      </c>
      <c r="H32" s="801" t="s">
        <v>976</v>
      </c>
    </row>
    <row r="33" spans="2:8" outlineLevel="1" x14ac:dyDescent="0.35">
      <c r="B33" s="800"/>
      <c r="C33" s="836">
        <v>6243</v>
      </c>
      <c r="D33" s="837" t="s">
        <v>942</v>
      </c>
      <c r="E33" s="829">
        <v>424</v>
      </c>
      <c r="F33" s="829"/>
      <c r="G33" s="157" t="s">
        <v>975</v>
      </c>
      <c r="H33" s="801" t="s">
        <v>976</v>
      </c>
    </row>
    <row r="34" spans="2:8" outlineLevel="1" x14ac:dyDescent="0.35">
      <c r="B34" s="800"/>
      <c r="C34" s="836">
        <v>6340</v>
      </c>
      <c r="D34" s="837" t="s">
        <v>1083</v>
      </c>
      <c r="E34" s="998">
        <v>454</v>
      </c>
      <c r="F34" s="998"/>
      <c r="G34" s="157"/>
      <c r="H34" s="801" t="s">
        <v>976</v>
      </c>
    </row>
    <row r="35" spans="2:8" outlineLevel="1" x14ac:dyDescent="0.35">
      <c r="B35" s="800"/>
      <c r="C35" s="836">
        <v>6138</v>
      </c>
      <c r="D35" s="837" t="s">
        <v>943</v>
      </c>
      <c r="E35" s="829">
        <v>383</v>
      </c>
      <c r="F35" s="829"/>
      <c r="G35" s="157" t="s">
        <v>978</v>
      </c>
      <c r="H35" s="801">
        <v>79</v>
      </c>
    </row>
    <row r="36" spans="2:8" outlineLevel="1" x14ac:dyDescent="0.35">
      <c r="B36" s="800"/>
      <c r="C36" s="836">
        <v>6293</v>
      </c>
      <c r="D36" s="580" t="s">
        <v>340</v>
      </c>
      <c r="E36" s="435">
        <v>444</v>
      </c>
      <c r="F36" s="435"/>
      <c r="G36" s="157" t="s">
        <v>978</v>
      </c>
      <c r="H36" s="801" t="s">
        <v>976</v>
      </c>
    </row>
    <row r="37" spans="2:8" x14ac:dyDescent="0.35">
      <c r="B37" s="824" t="s">
        <v>4</v>
      </c>
      <c r="C37" s="825"/>
      <c r="D37" s="825"/>
      <c r="E37" s="826"/>
      <c r="F37" s="826"/>
      <c r="G37" s="825"/>
      <c r="H37" s="840"/>
    </row>
    <row r="38" spans="2:8" outlineLevel="1" x14ac:dyDescent="0.35">
      <c r="B38" s="833"/>
      <c r="C38" s="828" t="s">
        <v>964</v>
      </c>
      <c r="D38" s="828" t="s">
        <v>965</v>
      </c>
      <c r="E38" s="829" t="s">
        <v>1086</v>
      </c>
      <c r="F38" s="829"/>
      <c r="G38" s="157"/>
      <c r="H38" s="831" t="s">
        <v>968</v>
      </c>
    </row>
    <row r="39" spans="2:8" outlineLevel="1" x14ac:dyDescent="0.35">
      <c r="B39" s="800"/>
      <c r="C39" s="832" t="s">
        <v>9</v>
      </c>
      <c r="D39" s="832" t="s">
        <v>9</v>
      </c>
      <c r="E39" s="829">
        <v>650</v>
      </c>
      <c r="F39" s="829"/>
      <c r="G39" s="157"/>
      <c r="H39" s="831" t="s">
        <v>968</v>
      </c>
    </row>
    <row r="40" spans="2:8" outlineLevel="1" x14ac:dyDescent="0.35">
      <c r="B40" s="800"/>
      <c r="C40" s="834" t="s">
        <v>971</v>
      </c>
      <c r="D40" s="834" t="s">
        <v>940</v>
      </c>
      <c r="E40" s="829">
        <v>666</v>
      </c>
      <c r="F40" s="829"/>
      <c r="G40" s="157" t="s">
        <v>972</v>
      </c>
      <c r="H40" s="835">
        <v>1</v>
      </c>
    </row>
    <row r="41" spans="2:8" outlineLevel="1" x14ac:dyDescent="0.35">
      <c r="B41" s="800"/>
      <c r="C41" s="836">
        <v>6137</v>
      </c>
      <c r="D41" s="837" t="s">
        <v>941</v>
      </c>
      <c r="E41" s="829">
        <v>550</v>
      </c>
      <c r="F41" s="829"/>
      <c r="G41" s="838" t="s">
        <v>974</v>
      </c>
      <c r="H41" s="801">
        <v>3000</v>
      </c>
    </row>
    <row r="42" spans="2:8" outlineLevel="1" x14ac:dyDescent="0.35">
      <c r="B42" s="800"/>
      <c r="C42" s="832">
        <v>6680</v>
      </c>
      <c r="D42" s="837" t="s">
        <v>925</v>
      </c>
      <c r="E42" s="829">
        <v>668</v>
      </c>
      <c r="F42" s="829"/>
      <c r="G42" s="838" t="s">
        <v>974</v>
      </c>
      <c r="H42" s="801">
        <v>1000</v>
      </c>
    </row>
    <row r="43" spans="2:8" outlineLevel="1" x14ac:dyDescent="0.35">
      <c r="B43" s="800"/>
      <c r="C43" s="832" t="s">
        <v>603</v>
      </c>
      <c r="D43" s="837" t="s">
        <v>433</v>
      </c>
      <c r="E43" s="829">
        <v>623</v>
      </c>
      <c r="F43" s="829"/>
      <c r="G43" s="157" t="s">
        <v>975</v>
      </c>
      <c r="H43" s="801" t="s">
        <v>976</v>
      </c>
    </row>
    <row r="44" spans="2:8" outlineLevel="1" x14ac:dyDescent="0.35">
      <c r="B44" s="800"/>
      <c r="C44" s="836">
        <v>6243</v>
      </c>
      <c r="D44" s="837" t="s">
        <v>942</v>
      </c>
      <c r="E44" s="829">
        <v>592</v>
      </c>
      <c r="F44" s="829"/>
      <c r="G44" s="157" t="s">
        <v>975</v>
      </c>
      <c r="H44" s="801" t="s">
        <v>976</v>
      </c>
    </row>
    <row r="45" spans="2:8" outlineLevel="1" x14ac:dyDescent="0.35">
      <c r="B45" s="800"/>
      <c r="C45" s="836">
        <v>6340</v>
      </c>
      <c r="D45" s="837" t="s">
        <v>1083</v>
      </c>
      <c r="E45" s="998">
        <v>622</v>
      </c>
      <c r="F45" s="998"/>
      <c r="G45" s="157"/>
      <c r="H45" s="801" t="s">
        <v>976</v>
      </c>
    </row>
    <row r="46" spans="2:8" outlineLevel="1" x14ac:dyDescent="0.35">
      <c r="B46" s="800"/>
      <c r="C46" s="836">
        <v>6138</v>
      </c>
      <c r="D46" s="837" t="s">
        <v>943</v>
      </c>
      <c r="E46" s="829">
        <v>551</v>
      </c>
      <c r="F46" s="829"/>
      <c r="G46" s="157" t="s">
        <v>978</v>
      </c>
      <c r="H46" s="801">
        <v>79</v>
      </c>
    </row>
    <row r="47" spans="2:8" outlineLevel="1" x14ac:dyDescent="0.35">
      <c r="B47" s="800"/>
      <c r="C47" s="836">
        <v>6293</v>
      </c>
      <c r="D47" s="580" t="s">
        <v>340</v>
      </c>
      <c r="E47" s="435">
        <v>612</v>
      </c>
      <c r="F47" s="435"/>
      <c r="G47" s="157" t="s">
        <v>978</v>
      </c>
      <c r="H47" s="801" t="s">
        <v>976</v>
      </c>
    </row>
    <row r="48" spans="2:8" x14ac:dyDescent="0.35">
      <c r="B48" s="824" t="s">
        <v>476</v>
      </c>
      <c r="C48" s="825"/>
      <c r="D48" s="825"/>
      <c r="E48" s="826"/>
      <c r="F48" s="826"/>
      <c r="G48" s="825"/>
      <c r="H48" s="840"/>
    </row>
    <row r="49" spans="2:8" outlineLevel="1" x14ac:dyDescent="0.35">
      <c r="B49" s="800"/>
      <c r="C49" s="828" t="s">
        <v>964</v>
      </c>
      <c r="D49" s="828" t="s">
        <v>965</v>
      </c>
      <c r="E49" s="829" t="s">
        <v>1087</v>
      </c>
      <c r="F49" s="829"/>
      <c r="G49" s="157"/>
      <c r="H49" s="831" t="s">
        <v>968</v>
      </c>
    </row>
    <row r="50" spans="2:8" outlineLevel="1" x14ac:dyDescent="0.35">
      <c r="B50" s="800"/>
      <c r="C50" s="832" t="s">
        <v>9</v>
      </c>
      <c r="D50" s="832" t="s">
        <v>9</v>
      </c>
      <c r="E50" s="829">
        <v>818</v>
      </c>
      <c r="F50" s="829"/>
      <c r="G50" s="157"/>
      <c r="H50" s="831" t="s">
        <v>968</v>
      </c>
    </row>
    <row r="51" spans="2:8" outlineLevel="1" x14ac:dyDescent="0.35">
      <c r="B51" s="800"/>
      <c r="C51" s="834" t="s">
        <v>971</v>
      </c>
      <c r="D51" s="834" t="s">
        <v>940</v>
      </c>
      <c r="E51" s="829">
        <v>834</v>
      </c>
      <c r="F51" s="829"/>
      <c r="G51" s="157" t="s">
        <v>972</v>
      </c>
      <c r="H51" s="835">
        <v>1</v>
      </c>
    </row>
    <row r="52" spans="2:8" outlineLevel="1" x14ac:dyDescent="0.35">
      <c r="B52" s="800"/>
      <c r="C52" s="836">
        <v>6137</v>
      </c>
      <c r="D52" s="837" t="s">
        <v>941</v>
      </c>
      <c r="E52" s="829">
        <v>718</v>
      </c>
      <c r="F52" s="829"/>
      <c r="G52" s="838" t="s">
        <v>974</v>
      </c>
      <c r="H52" s="801">
        <v>3000</v>
      </c>
    </row>
    <row r="53" spans="2:8" outlineLevel="1" x14ac:dyDescent="0.35">
      <c r="B53" s="800"/>
      <c r="C53" s="832">
        <v>6680</v>
      </c>
      <c r="D53" s="837" t="s">
        <v>925</v>
      </c>
      <c r="E53" s="829">
        <v>836</v>
      </c>
      <c r="F53" s="829"/>
      <c r="G53" s="838" t="s">
        <v>974</v>
      </c>
      <c r="H53" s="801">
        <v>1000</v>
      </c>
    </row>
    <row r="54" spans="2:8" outlineLevel="1" x14ac:dyDescent="0.35">
      <c r="B54" s="800"/>
      <c r="C54" s="832" t="s">
        <v>603</v>
      </c>
      <c r="D54" s="837" t="s">
        <v>433</v>
      </c>
      <c r="E54" s="829">
        <v>791</v>
      </c>
      <c r="F54" s="829"/>
      <c r="G54" s="157" t="s">
        <v>975</v>
      </c>
      <c r="H54" s="801" t="s">
        <v>976</v>
      </c>
    </row>
    <row r="55" spans="2:8" outlineLevel="1" x14ac:dyDescent="0.35">
      <c r="B55" s="800"/>
      <c r="C55" s="836">
        <v>6243</v>
      </c>
      <c r="D55" s="837" t="s">
        <v>942</v>
      </c>
      <c r="E55" s="829">
        <v>760</v>
      </c>
      <c r="F55" s="829"/>
      <c r="G55" s="157" t="s">
        <v>975</v>
      </c>
      <c r="H55" s="801" t="s">
        <v>976</v>
      </c>
    </row>
    <row r="56" spans="2:8" outlineLevel="1" x14ac:dyDescent="0.35">
      <c r="B56" s="800"/>
      <c r="C56" s="836">
        <v>6340</v>
      </c>
      <c r="D56" s="837" t="s">
        <v>1083</v>
      </c>
      <c r="E56" s="998">
        <v>790</v>
      </c>
      <c r="F56" s="998"/>
      <c r="G56" s="157"/>
      <c r="H56" s="801" t="s">
        <v>976</v>
      </c>
    </row>
    <row r="57" spans="2:8" outlineLevel="1" x14ac:dyDescent="0.35">
      <c r="B57" s="800"/>
      <c r="C57" s="836">
        <v>6138</v>
      </c>
      <c r="D57" s="837" t="s">
        <v>943</v>
      </c>
      <c r="E57" s="829">
        <v>719</v>
      </c>
      <c r="F57" s="829"/>
      <c r="G57" s="157" t="s">
        <v>978</v>
      </c>
      <c r="H57" s="801">
        <v>79</v>
      </c>
    </row>
    <row r="58" spans="2:8" outlineLevel="1" x14ac:dyDescent="0.35">
      <c r="B58" s="800"/>
      <c r="C58" s="836">
        <v>6293</v>
      </c>
      <c r="D58" s="580" t="s">
        <v>340</v>
      </c>
      <c r="E58" s="435">
        <v>780</v>
      </c>
      <c r="F58" s="435"/>
      <c r="G58" s="157" t="s">
        <v>978</v>
      </c>
      <c r="H58" s="801" t="s">
        <v>976</v>
      </c>
    </row>
    <row r="59" spans="2:8" x14ac:dyDescent="0.35">
      <c r="B59" s="824" t="s">
        <v>3</v>
      </c>
      <c r="C59" s="825"/>
      <c r="D59" s="825"/>
      <c r="E59" s="826"/>
      <c r="F59" s="826"/>
      <c r="G59" s="825"/>
      <c r="H59" s="840"/>
    </row>
    <row r="60" spans="2:8" outlineLevel="1" x14ac:dyDescent="0.35">
      <c r="B60" s="800"/>
      <c r="C60" s="828" t="s">
        <v>964</v>
      </c>
      <c r="D60" s="828" t="s">
        <v>965</v>
      </c>
      <c r="E60" s="829" t="s">
        <v>1088</v>
      </c>
      <c r="F60" s="829"/>
      <c r="G60" s="157"/>
      <c r="H60" s="831" t="s">
        <v>968</v>
      </c>
    </row>
    <row r="61" spans="2:8" outlineLevel="1" x14ac:dyDescent="0.35">
      <c r="B61" s="800"/>
      <c r="C61" s="832" t="s">
        <v>9</v>
      </c>
      <c r="D61" s="832" t="s">
        <v>9</v>
      </c>
      <c r="E61" s="829">
        <v>986</v>
      </c>
      <c r="F61" s="829"/>
      <c r="G61" s="157"/>
      <c r="H61" s="831" t="s">
        <v>968</v>
      </c>
    </row>
    <row r="62" spans="2:8" outlineLevel="1" x14ac:dyDescent="0.35">
      <c r="B62" s="800"/>
      <c r="C62" s="834" t="s">
        <v>971</v>
      </c>
      <c r="D62" s="834" t="s">
        <v>940</v>
      </c>
      <c r="E62" s="829">
        <v>1002</v>
      </c>
      <c r="F62" s="829"/>
      <c r="G62" s="157" t="s">
        <v>972</v>
      </c>
      <c r="H62" s="835">
        <v>1</v>
      </c>
    </row>
    <row r="63" spans="2:8" outlineLevel="1" x14ac:dyDescent="0.35">
      <c r="B63" s="800"/>
      <c r="C63" s="836">
        <v>6137</v>
      </c>
      <c r="D63" s="837" t="s">
        <v>941</v>
      </c>
      <c r="E63" s="829">
        <v>886</v>
      </c>
      <c r="F63" s="829"/>
      <c r="G63" s="838" t="s">
        <v>974</v>
      </c>
      <c r="H63" s="801">
        <v>3000</v>
      </c>
    </row>
    <row r="64" spans="2:8" outlineLevel="1" x14ac:dyDescent="0.35">
      <c r="B64" s="800"/>
      <c r="C64" s="832">
        <v>6680</v>
      </c>
      <c r="D64" s="837" t="s">
        <v>925</v>
      </c>
      <c r="E64" s="829">
        <v>1004</v>
      </c>
      <c r="F64" s="829"/>
      <c r="G64" s="838" t="s">
        <v>974</v>
      </c>
      <c r="H64" s="801">
        <v>1000</v>
      </c>
    </row>
    <row r="65" spans="2:8" outlineLevel="1" x14ac:dyDescent="0.35">
      <c r="B65" s="800"/>
      <c r="C65" s="832" t="s">
        <v>603</v>
      </c>
      <c r="D65" s="837" t="s">
        <v>433</v>
      </c>
      <c r="E65" s="829">
        <v>959</v>
      </c>
      <c r="F65" s="829"/>
      <c r="G65" s="157" t="s">
        <v>975</v>
      </c>
      <c r="H65" s="801" t="s">
        <v>976</v>
      </c>
    </row>
    <row r="66" spans="2:8" outlineLevel="1" x14ac:dyDescent="0.35">
      <c r="B66" s="800"/>
      <c r="C66" s="836">
        <v>6243</v>
      </c>
      <c r="D66" s="837" t="s">
        <v>942</v>
      </c>
      <c r="E66" s="829">
        <v>928</v>
      </c>
      <c r="F66" s="829"/>
      <c r="G66" s="157" t="s">
        <v>975</v>
      </c>
      <c r="H66" s="801" t="s">
        <v>976</v>
      </c>
    </row>
    <row r="67" spans="2:8" outlineLevel="1" x14ac:dyDescent="0.35">
      <c r="B67" s="800"/>
      <c r="C67" s="836">
        <v>6340</v>
      </c>
      <c r="D67" s="837" t="s">
        <v>1083</v>
      </c>
      <c r="E67" s="998">
        <v>958</v>
      </c>
      <c r="F67" s="998"/>
      <c r="G67" s="157"/>
      <c r="H67" s="801" t="s">
        <v>976</v>
      </c>
    </row>
    <row r="68" spans="2:8" outlineLevel="1" x14ac:dyDescent="0.35">
      <c r="B68" s="800"/>
      <c r="C68" s="836">
        <v>6138</v>
      </c>
      <c r="D68" s="837" t="s">
        <v>943</v>
      </c>
      <c r="E68" s="829">
        <v>887</v>
      </c>
      <c r="F68" s="829"/>
      <c r="G68" s="157" t="s">
        <v>978</v>
      </c>
      <c r="H68" s="801">
        <v>79</v>
      </c>
    </row>
    <row r="69" spans="2:8" outlineLevel="1" x14ac:dyDescent="0.35">
      <c r="B69" s="800"/>
      <c r="C69" s="836">
        <v>6293</v>
      </c>
      <c r="D69" s="580" t="s">
        <v>340</v>
      </c>
      <c r="E69" s="435">
        <v>948</v>
      </c>
      <c r="F69" s="435"/>
      <c r="G69" s="157" t="s">
        <v>978</v>
      </c>
      <c r="H69" s="801" t="s">
        <v>976</v>
      </c>
    </row>
    <row r="70" spans="2:8" x14ac:dyDescent="0.35">
      <c r="B70" s="824" t="s">
        <v>711</v>
      </c>
      <c r="C70" s="825"/>
      <c r="D70" s="825"/>
      <c r="E70" s="826"/>
      <c r="F70" s="826"/>
      <c r="G70" s="825"/>
      <c r="H70" s="840"/>
    </row>
    <row r="71" spans="2:8" outlineLevel="1" x14ac:dyDescent="0.35">
      <c r="B71" s="800"/>
      <c r="C71" s="828" t="s">
        <v>964</v>
      </c>
      <c r="D71" s="828" t="s">
        <v>965</v>
      </c>
      <c r="E71" s="829" t="s">
        <v>1089</v>
      </c>
      <c r="F71" s="829"/>
      <c r="G71" s="157"/>
      <c r="H71" s="831" t="s">
        <v>968</v>
      </c>
    </row>
    <row r="72" spans="2:8" outlineLevel="1" x14ac:dyDescent="0.35">
      <c r="B72" s="800"/>
      <c r="C72" s="832" t="s">
        <v>9</v>
      </c>
      <c r="D72" s="832" t="s">
        <v>9</v>
      </c>
      <c r="E72" s="829">
        <v>1154</v>
      </c>
      <c r="F72" s="829"/>
      <c r="G72" s="157"/>
      <c r="H72" s="831" t="s">
        <v>968</v>
      </c>
    </row>
    <row r="73" spans="2:8" outlineLevel="1" x14ac:dyDescent="0.35">
      <c r="B73" s="800"/>
      <c r="C73" s="834" t="s">
        <v>971</v>
      </c>
      <c r="D73" s="834" t="s">
        <v>940</v>
      </c>
      <c r="E73" s="829">
        <v>1170</v>
      </c>
      <c r="F73" s="829"/>
      <c r="G73" s="157" t="s">
        <v>972</v>
      </c>
      <c r="H73" s="835">
        <v>1</v>
      </c>
    </row>
    <row r="74" spans="2:8" outlineLevel="1" x14ac:dyDescent="0.35">
      <c r="B74" s="800"/>
      <c r="C74" s="836">
        <v>6137</v>
      </c>
      <c r="D74" s="837" t="s">
        <v>941</v>
      </c>
      <c r="E74" s="829">
        <v>1054</v>
      </c>
      <c r="F74" s="829"/>
      <c r="G74" s="838" t="s">
        <v>974</v>
      </c>
      <c r="H74" s="801">
        <v>3000</v>
      </c>
    </row>
    <row r="75" spans="2:8" outlineLevel="1" x14ac:dyDescent="0.35">
      <c r="B75" s="800"/>
      <c r="C75" s="832">
        <v>6680</v>
      </c>
      <c r="D75" s="837" t="s">
        <v>925</v>
      </c>
      <c r="E75" s="829">
        <v>1172</v>
      </c>
      <c r="F75" s="829"/>
      <c r="G75" s="838" t="s">
        <v>974</v>
      </c>
      <c r="H75" s="801">
        <v>1000</v>
      </c>
    </row>
    <row r="76" spans="2:8" outlineLevel="1" x14ac:dyDescent="0.35">
      <c r="B76" s="800"/>
      <c r="C76" s="832" t="s">
        <v>603</v>
      </c>
      <c r="D76" s="837" t="s">
        <v>433</v>
      </c>
      <c r="E76" s="829">
        <v>1127</v>
      </c>
      <c r="F76" s="829"/>
      <c r="G76" s="157" t="s">
        <v>975</v>
      </c>
      <c r="H76" s="801" t="s">
        <v>976</v>
      </c>
    </row>
    <row r="77" spans="2:8" outlineLevel="1" x14ac:dyDescent="0.35">
      <c r="B77" s="800"/>
      <c r="C77" s="836">
        <v>6243</v>
      </c>
      <c r="D77" s="837" t="s">
        <v>942</v>
      </c>
      <c r="E77" s="829">
        <v>1096</v>
      </c>
      <c r="F77" s="829"/>
      <c r="G77" s="157" t="s">
        <v>975</v>
      </c>
      <c r="H77" s="801" t="s">
        <v>976</v>
      </c>
    </row>
    <row r="78" spans="2:8" outlineLevel="1" x14ac:dyDescent="0.35">
      <c r="B78" s="800"/>
      <c r="C78" s="836">
        <v>6340</v>
      </c>
      <c r="D78" s="837" t="s">
        <v>1083</v>
      </c>
      <c r="E78" s="998">
        <v>1126</v>
      </c>
      <c r="F78" s="998"/>
      <c r="G78" s="157"/>
      <c r="H78" s="801" t="s">
        <v>976</v>
      </c>
    </row>
    <row r="79" spans="2:8" outlineLevel="1" x14ac:dyDescent="0.35">
      <c r="B79" s="800"/>
      <c r="C79" s="836">
        <v>6138</v>
      </c>
      <c r="D79" s="837" t="s">
        <v>943</v>
      </c>
      <c r="E79" s="829">
        <v>1055</v>
      </c>
      <c r="F79" s="829"/>
      <c r="G79" s="157" t="s">
        <v>978</v>
      </c>
      <c r="H79" s="801">
        <v>79</v>
      </c>
    </row>
    <row r="80" spans="2:8" outlineLevel="1" x14ac:dyDescent="0.35">
      <c r="B80" s="800"/>
      <c r="C80" s="836">
        <v>6293</v>
      </c>
      <c r="D80" s="580" t="s">
        <v>340</v>
      </c>
      <c r="E80" s="829">
        <v>1116</v>
      </c>
      <c r="F80" s="829"/>
      <c r="G80" s="157" t="s">
        <v>978</v>
      </c>
      <c r="H80" s="801" t="s">
        <v>976</v>
      </c>
    </row>
    <row r="81" spans="2:8" x14ac:dyDescent="0.35">
      <c r="B81" s="824" t="s">
        <v>979</v>
      </c>
      <c r="C81" s="825"/>
      <c r="D81" s="825"/>
      <c r="E81" s="826"/>
      <c r="F81" s="826"/>
      <c r="G81" s="825"/>
      <c r="H81" s="840"/>
    </row>
    <row r="82" spans="2:8" outlineLevel="1" x14ac:dyDescent="0.35">
      <c r="B82" s="800"/>
      <c r="C82" s="828" t="s">
        <v>964</v>
      </c>
      <c r="D82" s="828" t="s">
        <v>965</v>
      </c>
      <c r="E82" s="829"/>
      <c r="F82" s="829"/>
      <c r="G82" s="157"/>
      <c r="H82" s="831" t="s">
        <v>968</v>
      </c>
    </row>
    <row r="83" spans="2:8" outlineLevel="1" x14ac:dyDescent="0.35">
      <c r="B83" s="800"/>
      <c r="C83" s="832" t="s">
        <v>9</v>
      </c>
      <c r="D83" s="832" t="s">
        <v>9</v>
      </c>
      <c r="E83" s="829">
        <v>1322</v>
      </c>
      <c r="F83" s="829"/>
      <c r="G83" s="157"/>
      <c r="H83" s="831" t="s">
        <v>968</v>
      </c>
    </row>
    <row r="84" spans="2:8" outlineLevel="1" x14ac:dyDescent="0.35">
      <c r="B84" s="800"/>
      <c r="C84" s="834" t="s">
        <v>971</v>
      </c>
      <c r="D84" s="834" t="s">
        <v>940</v>
      </c>
      <c r="E84" s="829">
        <v>1338</v>
      </c>
      <c r="F84" s="829"/>
      <c r="G84" s="157" t="s">
        <v>972</v>
      </c>
      <c r="H84" s="835">
        <v>1</v>
      </c>
    </row>
    <row r="85" spans="2:8" outlineLevel="1" x14ac:dyDescent="0.35">
      <c r="B85" s="800"/>
      <c r="C85" s="836">
        <v>6137</v>
      </c>
      <c r="D85" s="837" t="s">
        <v>941</v>
      </c>
      <c r="E85" s="829">
        <v>1222</v>
      </c>
      <c r="F85" s="829"/>
      <c r="G85" s="838" t="s">
        <v>974</v>
      </c>
      <c r="H85" s="801">
        <v>3000</v>
      </c>
    </row>
    <row r="86" spans="2:8" outlineLevel="1" x14ac:dyDescent="0.35">
      <c r="B86" s="800"/>
      <c r="C86" s="832">
        <v>6680</v>
      </c>
      <c r="D86" s="837" t="s">
        <v>925</v>
      </c>
      <c r="E86" s="829">
        <v>1340</v>
      </c>
      <c r="F86" s="829"/>
      <c r="G86" s="838" t="s">
        <v>974</v>
      </c>
      <c r="H86" s="801">
        <v>1000</v>
      </c>
    </row>
    <row r="87" spans="2:8" outlineLevel="1" x14ac:dyDescent="0.35">
      <c r="B87" s="800"/>
      <c r="C87" s="832" t="s">
        <v>603</v>
      </c>
      <c r="D87" s="837" t="s">
        <v>433</v>
      </c>
      <c r="E87" s="829">
        <v>1295</v>
      </c>
      <c r="F87" s="829"/>
      <c r="G87" s="157" t="s">
        <v>975</v>
      </c>
      <c r="H87" s="801" t="s">
        <v>976</v>
      </c>
    </row>
    <row r="88" spans="2:8" outlineLevel="1" x14ac:dyDescent="0.35">
      <c r="B88" s="800"/>
      <c r="C88" s="836">
        <v>6243</v>
      </c>
      <c r="D88" s="837" t="s">
        <v>942</v>
      </c>
      <c r="E88" s="829">
        <v>1264</v>
      </c>
      <c r="F88" s="829"/>
      <c r="G88" s="157" t="s">
        <v>975</v>
      </c>
      <c r="H88" s="801" t="s">
        <v>976</v>
      </c>
    </row>
    <row r="89" spans="2:8" outlineLevel="1" x14ac:dyDescent="0.35">
      <c r="B89" s="800"/>
      <c r="C89" s="836">
        <v>6340</v>
      </c>
      <c r="D89" s="837" t="s">
        <v>1083</v>
      </c>
      <c r="E89" s="829">
        <v>1294</v>
      </c>
      <c r="F89" s="829"/>
      <c r="G89" s="157"/>
      <c r="H89" s="801" t="s">
        <v>976</v>
      </c>
    </row>
    <row r="90" spans="2:8" outlineLevel="1" x14ac:dyDescent="0.35">
      <c r="B90" s="800"/>
      <c r="C90" s="836">
        <v>6138</v>
      </c>
      <c r="D90" s="837" t="s">
        <v>943</v>
      </c>
      <c r="E90" s="829">
        <v>1223</v>
      </c>
      <c r="F90" s="829"/>
      <c r="G90" s="157" t="s">
        <v>978</v>
      </c>
      <c r="H90" s="801">
        <v>79</v>
      </c>
    </row>
    <row r="91" spans="2:8" outlineLevel="1" x14ac:dyDescent="0.35">
      <c r="B91" s="800"/>
      <c r="C91" s="836">
        <v>6293</v>
      </c>
      <c r="D91" s="126" t="s">
        <v>340</v>
      </c>
      <c r="E91" s="25">
        <v>1294</v>
      </c>
      <c r="F91" s="25"/>
      <c r="G91" s="157" t="s">
        <v>978</v>
      </c>
      <c r="H91" s="801" t="s">
        <v>976</v>
      </c>
    </row>
    <row r="92" spans="2:8" x14ac:dyDescent="0.35">
      <c r="B92" s="824" t="s">
        <v>1184</v>
      </c>
      <c r="C92" s="825"/>
      <c r="D92" s="825"/>
      <c r="E92" s="826"/>
      <c r="F92" s="826"/>
      <c r="G92" s="825"/>
      <c r="H92" s="840"/>
    </row>
    <row r="93" spans="2:8" outlineLevel="1" x14ac:dyDescent="0.35">
      <c r="B93" s="800"/>
      <c r="C93" s="828" t="s">
        <v>964</v>
      </c>
      <c r="D93" s="828" t="s">
        <v>965</v>
      </c>
      <c r="E93" s="829"/>
      <c r="F93" s="829"/>
      <c r="G93" s="157"/>
      <c r="H93" s="831" t="s">
        <v>968</v>
      </c>
    </row>
    <row r="94" spans="2:8" outlineLevel="1" x14ac:dyDescent="0.35">
      <c r="B94" s="800"/>
      <c r="C94" s="832" t="s">
        <v>9</v>
      </c>
      <c r="D94" s="832" t="s">
        <v>9</v>
      </c>
      <c r="E94" s="829">
        <v>1322</v>
      </c>
      <c r="F94" s="829"/>
      <c r="G94" s="157"/>
      <c r="H94" s="831" t="s">
        <v>968</v>
      </c>
    </row>
    <row r="95" spans="2:8" outlineLevel="1" x14ac:dyDescent="0.35">
      <c r="B95" s="800"/>
      <c r="C95" s="834" t="s">
        <v>971</v>
      </c>
      <c r="D95" s="834" t="s">
        <v>940</v>
      </c>
      <c r="E95" s="829">
        <v>1338</v>
      </c>
      <c r="F95" s="829"/>
      <c r="G95" s="157" t="s">
        <v>972</v>
      </c>
      <c r="H95" s="835">
        <v>1</v>
      </c>
    </row>
    <row r="96" spans="2:8" outlineLevel="1" x14ac:dyDescent="0.35">
      <c r="B96" s="800"/>
      <c r="C96" s="836">
        <v>6137</v>
      </c>
      <c r="D96" s="837" t="s">
        <v>941</v>
      </c>
      <c r="E96" s="829">
        <v>1222</v>
      </c>
      <c r="F96" s="829"/>
      <c r="G96" s="838" t="s">
        <v>974</v>
      </c>
      <c r="H96" s="801">
        <v>3000</v>
      </c>
    </row>
    <row r="97" spans="2:8" outlineLevel="1" x14ac:dyDescent="0.35">
      <c r="B97" s="800"/>
      <c r="C97" s="832">
        <v>6680</v>
      </c>
      <c r="D97" s="837" t="s">
        <v>925</v>
      </c>
      <c r="E97" s="829">
        <v>1340</v>
      </c>
      <c r="F97" s="829"/>
      <c r="G97" s="838" t="s">
        <v>974</v>
      </c>
      <c r="H97" s="801">
        <v>1000</v>
      </c>
    </row>
    <row r="98" spans="2:8" outlineLevel="1" x14ac:dyDescent="0.35">
      <c r="B98" s="800"/>
      <c r="C98" s="832" t="s">
        <v>603</v>
      </c>
      <c r="D98" s="837" t="s">
        <v>433</v>
      </c>
      <c r="E98" s="829">
        <v>1295</v>
      </c>
      <c r="F98" s="829"/>
      <c r="G98" s="157" t="s">
        <v>975</v>
      </c>
      <c r="H98" s="801" t="s">
        <v>976</v>
      </c>
    </row>
    <row r="99" spans="2:8" outlineLevel="1" x14ac:dyDescent="0.35">
      <c r="B99" s="800"/>
      <c r="C99" s="836">
        <v>6243</v>
      </c>
      <c r="D99" s="837" t="s">
        <v>942</v>
      </c>
      <c r="E99" s="829">
        <v>1264</v>
      </c>
      <c r="F99" s="829"/>
      <c r="G99" s="157" t="s">
        <v>975</v>
      </c>
      <c r="H99" s="801" t="s">
        <v>976</v>
      </c>
    </row>
    <row r="100" spans="2:8" outlineLevel="1" x14ac:dyDescent="0.35">
      <c r="B100" s="800"/>
      <c r="C100" s="836">
        <v>6340</v>
      </c>
      <c r="D100" s="837" t="s">
        <v>1083</v>
      </c>
      <c r="E100" s="829">
        <v>1294</v>
      </c>
      <c r="F100" s="829"/>
      <c r="G100" s="157"/>
      <c r="H100" s="801" t="s">
        <v>976</v>
      </c>
    </row>
    <row r="101" spans="2:8" outlineLevel="1" x14ac:dyDescent="0.35">
      <c r="B101" s="800"/>
      <c r="C101" s="836">
        <v>6138</v>
      </c>
      <c r="D101" s="837" t="s">
        <v>943</v>
      </c>
      <c r="E101" s="829">
        <v>1223</v>
      </c>
      <c r="F101" s="829"/>
      <c r="G101" s="157" t="s">
        <v>978</v>
      </c>
      <c r="H101" s="801">
        <v>79</v>
      </c>
    </row>
    <row r="102" spans="2:8" outlineLevel="1" x14ac:dyDescent="0.35">
      <c r="B102" s="841"/>
      <c r="C102" s="854">
        <v>6293</v>
      </c>
      <c r="D102" s="999" t="s">
        <v>340</v>
      </c>
      <c r="E102" s="856">
        <v>1294</v>
      </c>
      <c r="F102" s="856"/>
      <c r="G102" s="842" t="s">
        <v>978</v>
      </c>
      <c r="H102" s="843" t="s">
        <v>976</v>
      </c>
    </row>
  </sheetData>
  <pageMargins left="0.7" right="0.7" top="0.75" bottom="0.75" header="0.3" footer="0.3"/>
  <pageSetup orientation="portrait" horizontalDpi="0" verticalDpi="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U195"/>
  <sheetViews>
    <sheetView zoomScale="90" zoomScaleNormal="90" workbookViewId="0">
      <selection activeCell="J16" sqref="J16"/>
    </sheetView>
  </sheetViews>
  <sheetFormatPr defaultColWidth="9.1796875" defaultRowHeight="14.5" outlineLevelRow="1" x14ac:dyDescent="0.35"/>
  <cols>
    <col min="1" max="1" width="2.26953125" style="574" customWidth="1"/>
    <col min="2" max="2" width="31.453125" style="574" bestFit="1" customWidth="1"/>
    <col min="3" max="3" width="33.26953125" style="574" bestFit="1" customWidth="1"/>
    <col min="4" max="4" width="33.26953125" style="574" customWidth="1"/>
    <col min="5" max="5" width="16.54296875" style="574" bestFit="1" customWidth="1"/>
    <col min="6" max="6" width="26.7265625" style="574" bestFit="1" customWidth="1"/>
    <col min="7" max="7" width="20.1796875" style="574" bestFit="1" customWidth="1"/>
    <col min="8" max="9" width="9.1796875" style="574"/>
    <col min="10" max="10" width="10.453125" style="574" bestFit="1" customWidth="1"/>
    <col min="11" max="20" width="9.1796875" style="574"/>
    <col min="21" max="21" width="10.453125" style="574" bestFit="1" customWidth="1"/>
    <col min="22" max="16384" width="9.1796875" style="574"/>
  </cols>
  <sheetData>
    <row r="2" spans="2:21" x14ac:dyDescent="0.35">
      <c r="B2" s="652" t="s">
        <v>980</v>
      </c>
    </row>
    <row r="3" spans="2:21" x14ac:dyDescent="0.35">
      <c r="B3" s="821" t="s">
        <v>956</v>
      </c>
      <c r="C3" s="822" t="s">
        <v>981</v>
      </c>
      <c r="D3" s="822" t="s">
        <v>982</v>
      </c>
      <c r="E3" s="822" t="s">
        <v>959</v>
      </c>
      <c r="F3" s="822" t="s">
        <v>960</v>
      </c>
      <c r="G3" s="823" t="s">
        <v>983</v>
      </c>
      <c r="H3" s="574" t="s">
        <v>962</v>
      </c>
      <c r="I3" s="672"/>
      <c r="J3" s="672"/>
      <c r="K3" s="672"/>
      <c r="Q3" s="672"/>
      <c r="U3" s="687"/>
    </row>
    <row r="4" spans="2:21" x14ac:dyDescent="0.35">
      <c r="B4" s="824" t="s">
        <v>224</v>
      </c>
      <c r="C4" s="844"/>
      <c r="D4" s="844"/>
      <c r="E4" s="845"/>
      <c r="F4" s="825"/>
      <c r="G4" s="840"/>
      <c r="H4" s="574" t="s">
        <v>963</v>
      </c>
      <c r="J4" s="672"/>
      <c r="K4" s="672"/>
      <c r="Q4" s="672"/>
      <c r="U4" s="692"/>
    </row>
    <row r="5" spans="2:21" outlineLevel="1" x14ac:dyDescent="0.35">
      <c r="B5" s="833"/>
      <c r="C5" s="828" t="s">
        <v>984</v>
      </c>
      <c r="D5" s="837" t="s">
        <v>946</v>
      </c>
      <c r="E5" s="829" t="s">
        <v>985</v>
      </c>
      <c r="F5" s="157" t="s">
        <v>975</v>
      </c>
      <c r="G5" s="801" t="s">
        <v>976</v>
      </c>
      <c r="H5" s="574" t="s">
        <v>986</v>
      </c>
      <c r="J5" s="672"/>
      <c r="K5" s="672"/>
      <c r="Q5" s="672"/>
      <c r="U5" s="692"/>
    </row>
    <row r="6" spans="2:21" outlineLevel="1" x14ac:dyDescent="0.35">
      <c r="B6" s="833" t="s">
        <v>977</v>
      </c>
      <c r="C6" s="846"/>
      <c r="D6" s="847" t="s">
        <v>926</v>
      </c>
      <c r="E6" s="848" t="s">
        <v>987</v>
      </c>
      <c r="F6" s="157" t="s">
        <v>975</v>
      </c>
      <c r="G6" s="801" t="s">
        <v>976</v>
      </c>
      <c r="H6" s="672"/>
      <c r="J6" s="672"/>
      <c r="K6" s="672"/>
      <c r="Q6" s="672"/>
      <c r="U6" s="692"/>
    </row>
    <row r="7" spans="2:21" outlineLevel="1" x14ac:dyDescent="0.35">
      <c r="B7" s="833"/>
      <c r="C7" s="849">
        <v>6125</v>
      </c>
      <c r="D7" s="847" t="s">
        <v>947</v>
      </c>
      <c r="E7" s="829">
        <v>40</v>
      </c>
      <c r="F7" s="157" t="s">
        <v>975</v>
      </c>
      <c r="G7" s="801" t="s">
        <v>976</v>
      </c>
      <c r="H7" s="672"/>
      <c r="J7" s="672"/>
      <c r="K7" s="672"/>
      <c r="Q7" s="672"/>
      <c r="U7" s="692"/>
    </row>
    <row r="8" spans="2:21" outlineLevel="1" x14ac:dyDescent="0.35">
      <c r="B8" s="833"/>
      <c r="C8" s="849">
        <v>6250</v>
      </c>
      <c r="D8" s="847" t="s">
        <v>948</v>
      </c>
      <c r="E8" s="829">
        <v>91</v>
      </c>
      <c r="F8" s="157" t="s">
        <v>975</v>
      </c>
      <c r="G8" s="801" t="s">
        <v>976</v>
      </c>
      <c r="K8" s="672"/>
      <c r="Q8" s="672"/>
      <c r="U8" s="692"/>
    </row>
    <row r="9" spans="2:21" outlineLevel="1" x14ac:dyDescent="0.35">
      <c r="B9" s="833" t="s">
        <v>977</v>
      </c>
      <c r="C9" s="832" t="s">
        <v>988</v>
      </c>
      <c r="D9" s="837" t="s">
        <v>949</v>
      </c>
      <c r="E9" s="829" t="s">
        <v>989</v>
      </c>
      <c r="F9" s="157" t="s">
        <v>975</v>
      </c>
      <c r="G9" s="801" t="s">
        <v>976</v>
      </c>
      <c r="K9" s="672"/>
      <c r="Q9" s="672"/>
      <c r="U9" s="692"/>
    </row>
    <row r="10" spans="2:21" outlineLevel="1" x14ac:dyDescent="0.35">
      <c r="B10" s="850"/>
      <c r="C10" s="849">
        <v>6260</v>
      </c>
      <c r="D10" s="847" t="s">
        <v>950</v>
      </c>
      <c r="E10" s="829">
        <v>92</v>
      </c>
      <c r="F10" s="157" t="s">
        <v>975</v>
      </c>
      <c r="G10" s="801" t="s">
        <v>976</v>
      </c>
      <c r="K10" s="672"/>
      <c r="Q10" s="672"/>
      <c r="U10" s="692"/>
    </row>
    <row r="11" spans="2:21" outlineLevel="1" x14ac:dyDescent="0.35">
      <c r="B11" s="850"/>
      <c r="C11" s="836">
        <v>6279</v>
      </c>
      <c r="D11" s="837" t="s">
        <v>927</v>
      </c>
      <c r="E11" s="829">
        <v>101</v>
      </c>
      <c r="F11" s="157" t="s">
        <v>975</v>
      </c>
      <c r="G11" s="801" t="s">
        <v>976</v>
      </c>
      <c r="K11" s="672"/>
      <c r="Q11" s="672"/>
      <c r="U11" s="692"/>
    </row>
    <row r="12" spans="2:21" outlineLevel="1" x14ac:dyDescent="0.35">
      <c r="B12" s="850"/>
      <c r="C12" s="849">
        <v>6550</v>
      </c>
      <c r="D12" s="847" t="s">
        <v>928</v>
      </c>
      <c r="E12" s="829">
        <v>126</v>
      </c>
      <c r="F12" s="157" t="s">
        <v>975</v>
      </c>
      <c r="G12" s="801" t="s">
        <v>976</v>
      </c>
      <c r="K12" s="672"/>
      <c r="Q12" s="672"/>
      <c r="U12" s="692"/>
    </row>
    <row r="13" spans="2:21" outlineLevel="1" x14ac:dyDescent="0.35">
      <c r="B13" s="850"/>
      <c r="C13" s="849">
        <v>6630</v>
      </c>
      <c r="D13" s="847" t="s">
        <v>929</v>
      </c>
      <c r="E13" s="829">
        <v>163</v>
      </c>
      <c r="F13" s="157" t="s">
        <v>975</v>
      </c>
      <c r="G13" s="801" t="s">
        <v>976</v>
      </c>
      <c r="K13" s="672"/>
      <c r="Q13" s="672"/>
      <c r="U13" s="692"/>
    </row>
    <row r="14" spans="2:21" outlineLevel="1" x14ac:dyDescent="0.35">
      <c r="B14" s="850"/>
      <c r="C14" s="851">
        <v>6160</v>
      </c>
      <c r="D14" s="847" t="s">
        <v>951</v>
      </c>
      <c r="E14" s="829">
        <v>53</v>
      </c>
      <c r="F14" s="157" t="s">
        <v>975</v>
      </c>
      <c r="G14" s="801" t="s">
        <v>976</v>
      </c>
      <c r="K14" s="672"/>
      <c r="Q14" s="672"/>
      <c r="U14" s="692"/>
    </row>
    <row r="15" spans="2:21" outlineLevel="1" x14ac:dyDescent="0.35">
      <c r="B15" s="850"/>
      <c r="C15" s="849">
        <v>6247</v>
      </c>
      <c r="D15" s="847" t="s">
        <v>952</v>
      </c>
      <c r="E15" s="829">
        <v>90</v>
      </c>
      <c r="F15" s="157" t="s">
        <v>975</v>
      </c>
      <c r="G15" s="801" t="s">
        <v>976</v>
      </c>
      <c r="K15" s="672"/>
    </row>
    <row r="16" spans="2:21" outlineLevel="1" x14ac:dyDescent="0.35">
      <c r="B16" s="833" t="s">
        <v>990</v>
      </c>
      <c r="C16" s="852" t="s">
        <v>5</v>
      </c>
      <c r="D16" s="852" t="s">
        <v>5</v>
      </c>
      <c r="E16" s="829"/>
      <c r="F16" s="157"/>
      <c r="G16" s="801"/>
      <c r="K16" s="672"/>
    </row>
    <row r="17" spans="2:11" outlineLevel="1" x14ac:dyDescent="0.35">
      <c r="B17" s="850"/>
      <c r="C17" s="836">
        <v>6231</v>
      </c>
      <c r="D17" s="837" t="s">
        <v>991</v>
      </c>
      <c r="E17" s="839">
        <v>73</v>
      </c>
      <c r="F17" s="157" t="s">
        <v>975</v>
      </c>
      <c r="G17" s="801" t="s">
        <v>976</v>
      </c>
      <c r="K17" s="672"/>
    </row>
    <row r="18" spans="2:11" outlineLevel="1" x14ac:dyDescent="0.35">
      <c r="B18" s="850"/>
      <c r="C18" s="836">
        <v>6232</v>
      </c>
      <c r="D18" s="837" t="s">
        <v>713</v>
      </c>
      <c r="E18" s="839">
        <v>74</v>
      </c>
      <c r="F18" s="157" t="s">
        <v>975</v>
      </c>
      <c r="G18" s="801" t="s">
        <v>976</v>
      </c>
      <c r="K18" s="672"/>
    </row>
    <row r="19" spans="2:11" outlineLevel="1" x14ac:dyDescent="0.35">
      <c r="B19" s="800"/>
      <c r="C19" s="836">
        <v>6233</v>
      </c>
      <c r="D19" s="837" t="s">
        <v>992</v>
      </c>
      <c r="E19" s="839">
        <v>75</v>
      </c>
      <c r="F19" s="157" t="s">
        <v>975</v>
      </c>
      <c r="G19" s="801" t="s">
        <v>976</v>
      </c>
      <c r="K19" s="672"/>
    </row>
    <row r="20" spans="2:11" outlineLevel="1" x14ac:dyDescent="0.35">
      <c r="B20" s="800"/>
      <c r="C20" s="836">
        <v>6234</v>
      </c>
      <c r="D20" s="837" t="s">
        <v>12</v>
      </c>
      <c r="E20" s="839">
        <v>76</v>
      </c>
      <c r="F20" s="157" t="s">
        <v>975</v>
      </c>
      <c r="G20" s="801" t="s">
        <v>976</v>
      </c>
      <c r="K20" s="672"/>
    </row>
    <row r="21" spans="2:11" outlineLevel="1" x14ac:dyDescent="0.35">
      <c r="B21" s="800"/>
      <c r="C21" s="836">
        <v>6236</v>
      </c>
      <c r="D21" s="837" t="s">
        <v>993</v>
      </c>
      <c r="E21" s="839">
        <v>78</v>
      </c>
      <c r="F21" s="157" t="s">
        <v>975</v>
      </c>
      <c r="G21" s="801" t="s">
        <v>976</v>
      </c>
      <c r="K21" s="672"/>
    </row>
    <row r="22" spans="2:11" outlineLevel="1" x14ac:dyDescent="0.35">
      <c r="B22" s="800"/>
      <c r="C22" s="836">
        <v>6237</v>
      </c>
      <c r="D22" s="837" t="s">
        <v>994</v>
      </c>
      <c r="E22" s="839">
        <v>79</v>
      </c>
      <c r="F22" s="157" t="s">
        <v>975</v>
      </c>
      <c r="G22" s="801" t="s">
        <v>976</v>
      </c>
      <c r="K22" s="672"/>
    </row>
    <row r="23" spans="2:11" outlineLevel="1" x14ac:dyDescent="0.35">
      <c r="B23" s="800"/>
      <c r="C23" s="836">
        <v>6238</v>
      </c>
      <c r="D23" s="837" t="s">
        <v>995</v>
      </c>
      <c r="E23" s="839">
        <v>80</v>
      </c>
      <c r="F23" s="157" t="s">
        <v>996</v>
      </c>
      <c r="G23" s="801" t="s">
        <v>996</v>
      </c>
      <c r="K23" s="672"/>
    </row>
    <row r="24" spans="2:11" outlineLevel="1" x14ac:dyDescent="0.35">
      <c r="B24" s="800"/>
      <c r="C24" s="836">
        <v>6239</v>
      </c>
      <c r="D24" s="837" t="s">
        <v>997</v>
      </c>
      <c r="E24" s="839">
        <v>81</v>
      </c>
      <c r="F24" s="157" t="s">
        <v>975</v>
      </c>
      <c r="G24" s="801" t="s">
        <v>976</v>
      </c>
      <c r="K24" s="672"/>
    </row>
    <row r="25" spans="2:11" outlineLevel="1" x14ac:dyDescent="0.35">
      <c r="B25" s="800"/>
      <c r="C25" s="836">
        <v>6240</v>
      </c>
      <c r="D25" s="837" t="s">
        <v>11</v>
      </c>
      <c r="E25" s="839">
        <v>82</v>
      </c>
      <c r="F25" s="157" t="s">
        <v>975</v>
      </c>
      <c r="G25" s="801" t="s">
        <v>976</v>
      </c>
      <c r="K25" s="672"/>
    </row>
    <row r="26" spans="2:11" outlineLevel="1" x14ac:dyDescent="0.35">
      <c r="B26" s="800"/>
      <c r="C26" s="836">
        <v>6241</v>
      </c>
      <c r="D26" s="837" t="s">
        <v>13</v>
      </c>
      <c r="E26" s="839">
        <v>83</v>
      </c>
      <c r="F26" s="157" t="s">
        <v>975</v>
      </c>
      <c r="G26" s="801" t="s">
        <v>976</v>
      </c>
      <c r="K26" s="672"/>
    </row>
    <row r="27" spans="2:11" outlineLevel="1" x14ac:dyDescent="0.35">
      <c r="B27" s="800"/>
      <c r="C27" s="836">
        <v>6230</v>
      </c>
      <c r="D27" s="837" t="s">
        <v>998</v>
      </c>
      <c r="E27" s="839">
        <v>84</v>
      </c>
      <c r="F27" s="157" t="s">
        <v>975</v>
      </c>
      <c r="G27" s="801" t="s">
        <v>976</v>
      </c>
    </row>
    <row r="28" spans="2:11" x14ac:dyDescent="0.35">
      <c r="B28" s="824" t="s">
        <v>5</v>
      </c>
      <c r="C28" s="844"/>
      <c r="D28" s="844"/>
      <c r="E28" s="853"/>
      <c r="F28" s="825"/>
      <c r="G28" s="840"/>
    </row>
    <row r="29" spans="2:11" outlineLevel="1" x14ac:dyDescent="0.35">
      <c r="B29" s="833"/>
      <c r="C29" s="828" t="s">
        <v>984</v>
      </c>
      <c r="D29" s="832" t="s">
        <v>946</v>
      </c>
      <c r="E29" s="25" t="s">
        <v>1090</v>
      </c>
      <c r="F29" s="157"/>
      <c r="G29" s="801"/>
    </row>
    <row r="30" spans="2:11" outlineLevel="1" x14ac:dyDescent="0.35">
      <c r="B30" s="833"/>
      <c r="C30" s="846"/>
      <c r="D30" s="846" t="s">
        <v>926</v>
      </c>
      <c r="E30" s="25" t="s">
        <v>1091</v>
      </c>
      <c r="F30" s="157"/>
      <c r="G30" s="801"/>
    </row>
    <row r="31" spans="2:11" outlineLevel="1" x14ac:dyDescent="0.35">
      <c r="B31" s="833"/>
      <c r="C31" s="849">
        <v>6125</v>
      </c>
      <c r="D31" s="846" t="s">
        <v>947</v>
      </c>
      <c r="E31" s="25">
        <v>208</v>
      </c>
      <c r="F31" s="157"/>
      <c r="G31" s="801"/>
    </row>
    <row r="32" spans="2:11" outlineLevel="1" x14ac:dyDescent="0.35">
      <c r="B32" s="833"/>
      <c r="C32" s="849">
        <v>6250</v>
      </c>
      <c r="D32" s="846" t="s">
        <v>948</v>
      </c>
      <c r="E32" s="25">
        <v>259</v>
      </c>
      <c r="F32" s="157"/>
      <c r="G32" s="801"/>
    </row>
    <row r="33" spans="2:7" outlineLevel="1" x14ac:dyDescent="0.35">
      <c r="B33" s="800"/>
      <c r="C33" s="832" t="s">
        <v>988</v>
      </c>
      <c r="D33" s="832" t="s">
        <v>949</v>
      </c>
      <c r="E33" s="25" t="s">
        <v>1092</v>
      </c>
      <c r="F33" s="157"/>
      <c r="G33" s="801"/>
    </row>
    <row r="34" spans="2:7" outlineLevel="1" x14ac:dyDescent="0.35">
      <c r="B34" s="800"/>
      <c r="C34" s="849">
        <v>6260</v>
      </c>
      <c r="D34" s="846" t="s">
        <v>999</v>
      </c>
      <c r="E34" s="25">
        <v>260</v>
      </c>
      <c r="F34" s="157"/>
      <c r="G34" s="801"/>
    </row>
    <row r="35" spans="2:7" outlineLevel="1" x14ac:dyDescent="0.35">
      <c r="B35" s="800"/>
      <c r="C35" s="836">
        <v>6279</v>
      </c>
      <c r="D35" s="832" t="s">
        <v>927</v>
      </c>
      <c r="E35" s="25">
        <v>269</v>
      </c>
      <c r="F35" s="157"/>
      <c r="G35" s="801"/>
    </row>
    <row r="36" spans="2:7" outlineLevel="1" x14ac:dyDescent="0.35">
      <c r="B36" s="800"/>
      <c r="C36" s="849">
        <v>6550</v>
      </c>
      <c r="D36" s="846" t="s">
        <v>928</v>
      </c>
      <c r="E36" s="25">
        <v>294</v>
      </c>
      <c r="F36" s="157"/>
      <c r="G36" s="801"/>
    </row>
    <row r="37" spans="2:7" outlineLevel="1" x14ac:dyDescent="0.35">
      <c r="B37" s="800"/>
      <c r="C37" s="849">
        <v>6630</v>
      </c>
      <c r="D37" s="846" t="s">
        <v>929</v>
      </c>
      <c r="E37" s="25">
        <v>331</v>
      </c>
      <c r="F37" s="157"/>
      <c r="G37" s="801"/>
    </row>
    <row r="38" spans="2:7" outlineLevel="1" x14ac:dyDescent="0.35">
      <c r="B38" s="800"/>
      <c r="C38" s="851">
        <v>6160</v>
      </c>
      <c r="D38" s="846" t="s">
        <v>951</v>
      </c>
      <c r="E38" s="25">
        <v>221</v>
      </c>
      <c r="F38" s="157"/>
      <c r="G38" s="801"/>
    </row>
    <row r="39" spans="2:7" outlineLevel="1" x14ac:dyDescent="0.35">
      <c r="B39" s="800"/>
      <c r="C39" s="849">
        <v>6247</v>
      </c>
      <c r="D39" s="846" t="s">
        <v>952</v>
      </c>
      <c r="E39" s="25">
        <v>258</v>
      </c>
      <c r="F39" s="157"/>
      <c r="G39" s="801"/>
    </row>
    <row r="40" spans="2:7" outlineLevel="1" x14ac:dyDescent="0.35">
      <c r="B40" s="800"/>
      <c r="C40" s="852" t="s">
        <v>5</v>
      </c>
      <c r="D40" s="846"/>
      <c r="E40" s="25"/>
      <c r="F40" s="157"/>
      <c r="G40" s="801"/>
    </row>
    <row r="41" spans="2:7" outlineLevel="1" x14ac:dyDescent="0.35">
      <c r="B41" s="800"/>
      <c r="C41" s="836">
        <v>6231</v>
      </c>
      <c r="D41" s="837" t="s">
        <v>991</v>
      </c>
      <c r="E41" s="25">
        <v>241</v>
      </c>
      <c r="F41" s="157"/>
      <c r="G41" s="801"/>
    </row>
    <row r="42" spans="2:7" outlineLevel="1" x14ac:dyDescent="0.35">
      <c r="B42" s="800"/>
      <c r="C42" s="836">
        <v>6232</v>
      </c>
      <c r="D42" s="837" t="s">
        <v>713</v>
      </c>
      <c r="E42" s="25">
        <v>242</v>
      </c>
      <c r="F42" s="157"/>
      <c r="G42" s="801"/>
    </row>
    <row r="43" spans="2:7" outlineLevel="1" x14ac:dyDescent="0.35">
      <c r="B43" s="800"/>
      <c r="C43" s="836">
        <v>6233</v>
      </c>
      <c r="D43" s="837" t="s">
        <v>992</v>
      </c>
      <c r="E43" s="25">
        <v>243</v>
      </c>
      <c r="F43" s="157"/>
      <c r="G43" s="801"/>
    </row>
    <row r="44" spans="2:7" outlineLevel="1" x14ac:dyDescent="0.35">
      <c r="B44" s="800"/>
      <c r="C44" s="836">
        <v>6234</v>
      </c>
      <c r="D44" s="837" t="s">
        <v>12</v>
      </c>
      <c r="E44" s="25">
        <v>244</v>
      </c>
      <c r="F44" s="157"/>
      <c r="G44" s="801"/>
    </row>
    <row r="45" spans="2:7" outlineLevel="1" x14ac:dyDescent="0.35">
      <c r="B45" s="800"/>
      <c r="C45" s="836">
        <v>6236</v>
      </c>
      <c r="D45" s="837" t="s">
        <v>993</v>
      </c>
      <c r="E45" s="25">
        <v>246</v>
      </c>
      <c r="F45" s="157"/>
      <c r="G45" s="801"/>
    </row>
    <row r="46" spans="2:7" outlineLevel="1" x14ac:dyDescent="0.35">
      <c r="B46" s="800"/>
      <c r="C46" s="836">
        <v>6237</v>
      </c>
      <c r="D46" s="837" t="s">
        <v>994</v>
      </c>
      <c r="E46" s="25">
        <v>247</v>
      </c>
      <c r="F46" s="157"/>
      <c r="G46" s="801"/>
    </row>
    <row r="47" spans="2:7" outlineLevel="1" x14ac:dyDescent="0.35">
      <c r="B47" s="800"/>
      <c r="C47" s="836">
        <v>6238</v>
      </c>
      <c r="D47" s="837" t="s">
        <v>995</v>
      </c>
      <c r="E47" s="25">
        <v>248</v>
      </c>
      <c r="F47" s="157"/>
      <c r="G47" s="801"/>
    </row>
    <row r="48" spans="2:7" outlineLevel="1" x14ac:dyDescent="0.35">
      <c r="B48" s="800"/>
      <c r="C48" s="836">
        <v>6239</v>
      </c>
      <c r="D48" s="837" t="s">
        <v>997</v>
      </c>
      <c r="E48" s="25">
        <v>249</v>
      </c>
      <c r="F48" s="157"/>
      <c r="G48" s="801"/>
    </row>
    <row r="49" spans="2:7" outlineLevel="1" x14ac:dyDescent="0.35">
      <c r="B49" s="800"/>
      <c r="C49" s="836">
        <v>6240</v>
      </c>
      <c r="D49" s="837" t="s">
        <v>11</v>
      </c>
      <c r="E49" s="25">
        <v>250</v>
      </c>
      <c r="F49" s="157"/>
      <c r="G49" s="801"/>
    </row>
    <row r="50" spans="2:7" outlineLevel="1" x14ac:dyDescent="0.35">
      <c r="B50" s="800"/>
      <c r="C50" s="836">
        <v>6241</v>
      </c>
      <c r="D50" s="837" t="s">
        <v>13</v>
      </c>
      <c r="E50" s="25">
        <v>251</v>
      </c>
      <c r="F50" s="157"/>
      <c r="G50" s="801"/>
    </row>
    <row r="51" spans="2:7" outlineLevel="1" x14ac:dyDescent="0.35">
      <c r="B51" s="800"/>
      <c r="C51" s="836">
        <v>6230</v>
      </c>
      <c r="D51" s="837" t="s">
        <v>998</v>
      </c>
      <c r="E51" s="25">
        <v>252</v>
      </c>
      <c r="F51" s="157"/>
      <c r="G51" s="801"/>
    </row>
    <row r="52" spans="2:7" x14ac:dyDescent="0.35">
      <c r="B52" s="824" t="s">
        <v>67</v>
      </c>
      <c r="C52" s="844"/>
      <c r="D52" s="844"/>
      <c r="E52" s="853"/>
      <c r="F52" s="825"/>
      <c r="G52" s="840"/>
    </row>
    <row r="53" spans="2:7" outlineLevel="1" x14ac:dyDescent="0.35">
      <c r="B53" s="833"/>
      <c r="C53" s="828" t="s">
        <v>984</v>
      </c>
      <c r="D53" s="832" t="s">
        <v>946</v>
      </c>
      <c r="E53" s="25" t="s">
        <v>1093</v>
      </c>
      <c r="F53" s="157"/>
      <c r="G53" s="801"/>
    </row>
    <row r="54" spans="2:7" outlineLevel="1" x14ac:dyDescent="0.35">
      <c r="B54" s="833"/>
      <c r="C54" s="846"/>
      <c r="D54" s="846" t="s">
        <v>926</v>
      </c>
      <c r="E54" s="25" t="s">
        <v>1094</v>
      </c>
      <c r="F54" s="157"/>
      <c r="G54" s="801"/>
    </row>
    <row r="55" spans="2:7" outlineLevel="1" x14ac:dyDescent="0.35">
      <c r="B55" s="833"/>
      <c r="C55" s="849">
        <v>6125</v>
      </c>
      <c r="D55" s="846" t="s">
        <v>947</v>
      </c>
      <c r="E55" s="25">
        <v>376</v>
      </c>
      <c r="F55" s="157"/>
      <c r="G55" s="801"/>
    </row>
    <row r="56" spans="2:7" outlineLevel="1" x14ac:dyDescent="0.35">
      <c r="B56" s="800"/>
      <c r="C56" s="849">
        <v>6250</v>
      </c>
      <c r="D56" s="846" t="s">
        <v>948</v>
      </c>
      <c r="E56" s="25">
        <v>427</v>
      </c>
      <c r="F56" s="157"/>
      <c r="G56" s="801"/>
    </row>
    <row r="57" spans="2:7" outlineLevel="1" x14ac:dyDescent="0.35">
      <c r="B57" s="800"/>
      <c r="C57" s="832" t="s">
        <v>988</v>
      </c>
      <c r="D57" s="832" t="s">
        <v>949</v>
      </c>
      <c r="E57" s="25" t="s">
        <v>1095</v>
      </c>
      <c r="F57" s="157"/>
      <c r="G57" s="801"/>
    </row>
    <row r="58" spans="2:7" outlineLevel="1" x14ac:dyDescent="0.35">
      <c r="B58" s="800"/>
      <c r="C58" s="849">
        <v>6260</v>
      </c>
      <c r="D58" s="846" t="s">
        <v>999</v>
      </c>
      <c r="E58" s="25">
        <v>428</v>
      </c>
      <c r="F58" s="157"/>
      <c r="G58" s="801"/>
    </row>
    <row r="59" spans="2:7" outlineLevel="1" x14ac:dyDescent="0.35">
      <c r="B59" s="800"/>
      <c r="C59" s="836">
        <v>6279</v>
      </c>
      <c r="D59" s="832" t="s">
        <v>927</v>
      </c>
      <c r="E59" s="25">
        <v>437</v>
      </c>
      <c r="F59" s="157"/>
      <c r="G59" s="801"/>
    </row>
    <row r="60" spans="2:7" outlineLevel="1" x14ac:dyDescent="0.35">
      <c r="B60" s="800"/>
      <c r="C60" s="849">
        <v>6550</v>
      </c>
      <c r="D60" s="846" t="s">
        <v>928</v>
      </c>
      <c r="E60" s="25">
        <v>462</v>
      </c>
      <c r="F60" s="157"/>
      <c r="G60" s="801"/>
    </row>
    <row r="61" spans="2:7" outlineLevel="1" x14ac:dyDescent="0.35">
      <c r="B61" s="800"/>
      <c r="C61" s="849">
        <v>6630</v>
      </c>
      <c r="D61" s="846" t="s">
        <v>929</v>
      </c>
      <c r="E61" s="25">
        <v>499</v>
      </c>
      <c r="F61" s="157"/>
      <c r="G61" s="801"/>
    </row>
    <row r="62" spans="2:7" outlineLevel="1" x14ac:dyDescent="0.35">
      <c r="B62" s="800"/>
      <c r="C62" s="851">
        <v>6160</v>
      </c>
      <c r="D62" s="846" t="s">
        <v>951</v>
      </c>
      <c r="E62" s="25">
        <v>389</v>
      </c>
      <c r="F62" s="157"/>
      <c r="G62" s="801"/>
    </row>
    <row r="63" spans="2:7" outlineLevel="1" x14ac:dyDescent="0.35">
      <c r="B63" s="800"/>
      <c r="C63" s="849">
        <v>6247</v>
      </c>
      <c r="D63" s="846" t="s">
        <v>952</v>
      </c>
      <c r="E63" s="25">
        <v>426</v>
      </c>
      <c r="F63" s="157"/>
      <c r="G63" s="801"/>
    </row>
    <row r="64" spans="2:7" outlineLevel="1" x14ac:dyDescent="0.35">
      <c r="B64" s="800"/>
      <c r="C64" s="852" t="s">
        <v>5</v>
      </c>
      <c r="D64" s="846"/>
      <c r="E64" s="25"/>
      <c r="F64" s="157"/>
      <c r="G64" s="801"/>
    </row>
    <row r="65" spans="2:7" outlineLevel="1" x14ac:dyDescent="0.35">
      <c r="B65" s="800"/>
      <c r="C65" s="836">
        <v>6231</v>
      </c>
      <c r="D65" s="837" t="s">
        <v>991</v>
      </c>
      <c r="E65" s="25">
        <v>409</v>
      </c>
      <c r="F65" s="157"/>
      <c r="G65" s="801"/>
    </row>
    <row r="66" spans="2:7" outlineLevel="1" x14ac:dyDescent="0.35">
      <c r="B66" s="800"/>
      <c r="C66" s="836">
        <v>6232</v>
      </c>
      <c r="D66" s="837" t="s">
        <v>713</v>
      </c>
      <c r="E66" s="25">
        <v>410</v>
      </c>
      <c r="F66" s="157"/>
      <c r="G66" s="801"/>
    </row>
    <row r="67" spans="2:7" outlineLevel="1" x14ac:dyDescent="0.35">
      <c r="B67" s="800"/>
      <c r="C67" s="836">
        <v>6233</v>
      </c>
      <c r="D67" s="837" t="s">
        <v>992</v>
      </c>
      <c r="E67" s="25">
        <v>411</v>
      </c>
      <c r="F67" s="157"/>
      <c r="G67" s="801"/>
    </row>
    <row r="68" spans="2:7" outlineLevel="1" x14ac:dyDescent="0.35">
      <c r="B68" s="800"/>
      <c r="C68" s="836">
        <v>6234</v>
      </c>
      <c r="D68" s="837" t="s">
        <v>12</v>
      </c>
      <c r="E68" s="25">
        <v>412</v>
      </c>
      <c r="F68" s="157"/>
      <c r="G68" s="801"/>
    </row>
    <row r="69" spans="2:7" outlineLevel="1" x14ac:dyDescent="0.35">
      <c r="B69" s="800"/>
      <c r="C69" s="836">
        <v>6236</v>
      </c>
      <c r="D69" s="837" t="s">
        <v>993</v>
      </c>
      <c r="E69" s="25">
        <v>414</v>
      </c>
      <c r="F69" s="157"/>
      <c r="G69" s="801"/>
    </row>
    <row r="70" spans="2:7" outlineLevel="1" x14ac:dyDescent="0.35">
      <c r="B70" s="800"/>
      <c r="C70" s="836">
        <v>6237</v>
      </c>
      <c r="D70" s="837" t="s">
        <v>994</v>
      </c>
      <c r="E70" s="25">
        <v>415</v>
      </c>
      <c r="F70" s="157"/>
      <c r="G70" s="801"/>
    </row>
    <row r="71" spans="2:7" outlineLevel="1" x14ac:dyDescent="0.35">
      <c r="B71" s="800"/>
      <c r="C71" s="836">
        <v>6238</v>
      </c>
      <c r="D71" s="837" t="s">
        <v>995</v>
      </c>
      <c r="E71" s="25">
        <v>416</v>
      </c>
      <c r="F71" s="157"/>
      <c r="G71" s="801"/>
    </row>
    <row r="72" spans="2:7" outlineLevel="1" x14ac:dyDescent="0.35">
      <c r="B72" s="800"/>
      <c r="C72" s="836">
        <v>6239</v>
      </c>
      <c r="D72" s="837" t="s">
        <v>997</v>
      </c>
      <c r="E72" s="25">
        <v>417</v>
      </c>
      <c r="F72" s="157"/>
      <c r="G72" s="801"/>
    </row>
    <row r="73" spans="2:7" outlineLevel="1" x14ac:dyDescent="0.35">
      <c r="B73" s="800"/>
      <c r="C73" s="836">
        <v>6240</v>
      </c>
      <c r="D73" s="837" t="s">
        <v>11</v>
      </c>
      <c r="E73" s="25">
        <v>418</v>
      </c>
      <c r="F73" s="157"/>
      <c r="G73" s="801"/>
    </row>
    <row r="74" spans="2:7" outlineLevel="1" x14ac:dyDescent="0.35">
      <c r="B74" s="800"/>
      <c r="C74" s="836">
        <v>6241</v>
      </c>
      <c r="D74" s="837" t="s">
        <v>13</v>
      </c>
      <c r="E74" s="25">
        <v>419</v>
      </c>
      <c r="F74" s="157"/>
      <c r="G74" s="801"/>
    </row>
    <row r="75" spans="2:7" outlineLevel="1" x14ac:dyDescent="0.35">
      <c r="B75" s="800"/>
      <c r="C75" s="836">
        <v>6230</v>
      </c>
      <c r="D75" s="837" t="s">
        <v>998</v>
      </c>
      <c r="E75" s="25">
        <v>420</v>
      </c>
      <c r="F75" s="157"/>
      <c r="G75" s="801"/>
    </row>
    <row r="76" spans="2:7" x14ac:dyDescent="0.35">
      <c r="B76" s="824" t="s">
        <v>4</v>
      </c>
      <c r="C76" s="844"/>
      <c r="D76" s="844"/>
      <c r="E76" s="853"/>
      <c r="F76" s="825"/>
      <c r="G76" s="840"/>
    </row>
    <row r="77" spans="2:7" outlineLevel="1" x14ac:dyDescent="0.35">
      <c r="B77" s="833"/>
      <c r="C77" s="828" t="s">
        <v>984</v>
      </c>
      <c r="D77" s="832" t="s">
        <v>946</v>
      </c>
      <c r="E77" s="25" t="s">
        <v>1096</v>
      </c>
      <c r="F77" s="157"/>
      <c r="G77" s="801"/>
    </row>
    <row r="78" spans="2:7" outlineLevel="1" x14ac:dyDescent="0.35">
      <c r="B78" s="833"/>
      <c r="C78" s="846"/>
      <c r="D78" s="846" t="s">
        <v>926</v>
      </c>
      <c r="E78" s="25" t="s">
        <v>1097</v>
      </c>
      <c r="F78" s="157"/>
      <c r="G78" s="801"/>
    </row>
    <row r="79" spans="2:7" outlineLevel="1" x14ac:dyDescent="0.35">
      <c r="B79" s="800"/>
      <c r="C79" s="849">
        <v>6125</v>
      </c>
      <c r="D79" s="846" t="s">
        <v>947</v>
      </c>
      <c r="E79" s="25">
        <v>544</v>
      </c>
      <c r="F79" s="157"/>
      <c r="G79" s="801"/>
    </row>
    <row r="80" spans="2:7" outlineLevel="1" x14ac:dyDescent="0.35">
      <c r="B80" s="800"/>
      <c r="C80" s="849">
        <v>6250</v>
      </c>
      <c r="D80" s="846" t="s">
        <v>948</v>
      </c>
      <c r="E80" s="25">
        <v>595</v>
      </c>
      <c r="F80" s="157"/>
      <c r="G80" s="801"/>
    </row>
    <row r="81" spans="2:7" outlineLevel="1" x14ac:dyDescent="0.35">
      <c r="B81" s="800"/>
      <c r="C81" s="832" t="s">
        <v>988</v>
      </c>
      <c r="D81" s="832" t="s">
        <v>949</v>
      </c>
      <c r="E81" s="25" t="s">
        <v>1098</v>
      </c>
      <c r="F81" s="157"/>
      <c r="G81" s="801"/>
    </row>
    <row r="82" spans="2:7" outlineLevel="1" x14ac:dyDescent="0.35">
      <c r="B82" s="800"/>
      <c r="C82" s="849">
        <v>6260</v>
      </c>
      <c r="D82" s="846" t="s">
        <v>999</v>
      </c>
      <c r="E82" s="25">
        <v>596</v>
      </c>
      <c r="F82" s="157"/>
      <c r="G82" s="801"/>
    </row>
    <row r="83" spans="2:7" outlineLevel="1" x14ac:dyDescent="0.35">
      <c r="B83" s="800"/>
      <c r="C83" s="836">
        <v>6279</v>
      </c>
      <c r="D83" s="832" t="s">
        <v>927</v>
      </c>
      <c r="E83" s="25">
        <v>605</v>
      </c>
      <c r="F83" s="157"/>
      <c r="G83" s="801"/>
    </row>
    <row r="84" spans="2:7" outlineLevel="1" x14ac:dyDescent="0.35">
      <c r="B84" s="800"/>
      <c r="C84" s="849">
        <v>6550</v>
      </c>
      <c r="D84" s="846" t="s">
        <v>928</v>
      </c>
      <c r="E84" s="25">
        <v>630</v>
      </c>
      <c r="F84" s="157"/>
      <c r="G84" s="801"/>
    </row>
    <row r="85" spans="2:7" outlineLevel="1" x14ac:dyDescent="0.35">
      <c r="B85" s="800"/>
      <c r="C85" s="849">
        <v>6630</v>
      </c>
      <c r="D85" s="846" t="s">
        <v>929</v>
      </c>
      <c r="E85" s="25">
        <v>667</v>
      </c>
      <c r="F85" s="157"/>
      <c r="G85" s="801"/>
    </row>
    <row r="86" spans="2:7" outlineLevel="1" x14ac:dyDescent="0.35">
      <c r="B86" s="800"/>
      <c r="C86" s="851">
        <v>6160</v>
      </c>
      <c r="D86" s="846" t="s">
        <v>951</v>
      </c>
      <c r="E86" s="25">
        <v>557</v>
      </c>
      <c r="F86" s="157"/>
      <c r="G86" s="801"/>
    </row>
    <row r="87" spans="2:7" outlineLevel="1" x14ac:dyDescent="0.35">
      <c r="B87" s="800"/>
      <c r="C87" s="849">
        <v>6247</v>
      </c>
      <c r="D87" s="846" t="s">
        <v>952</v>
      </c>
      <c r="E87" s="25">
        <v>594</v>
      </c>
      <c r="F87" s="157"/>
      <c r="G87" s="801"/>
    </row>
    <row r="88" spans="2:7" outlineLevel="1" x14ac:dyDescent="0.35">
      <c r="B88" s="800"/>
      <c r="C88" s="852" t="s">
        <v>5</v>
      </c>
      <c r="D88" s="846"/>
      <c r="E88" s="25"/>
      <c r="F88" s="157"/>
      <c r="G88" s="801"/>
    </row>
    <row r="89" spans="2:7" outlineLevel="1" x14ac:dyDescent="0.35">
      <c r="B89" s="800"/>
      <c r="C89" s="836">
        <v>6231</v>
      </c>
      <c r="D89" s="837" t="s">
        <v>991</v>
      </c>
      <c r="E89" s="25">
        <v>577</v>
      </c>
      <c r="F89" s="157"/>
      <c r="G89" s="801"/>
    </row>
    <row r="90" spans="2:7" outlineLevel="1" x14ac:dyDescent="0.35">
      <c r="B90" s="800"/>
      <c r="C90" s="836">
        <v>6232</v>
      </c>
      <c r="D90" s="837" t="s">
        <v>713</v>
      </c>
      <c r="E90" s="25">
        <v>578</v>
      </c>
      <c r="F90" s="157"/>
      <c r="G90" s="801"/>
    </row>
    <row r="91" spans="2:7" outlineLevel="1" x14ac:dyDescent="0.35">
      <c r="B91" s="800"/>
      <c r="C91" s="836">
        <v>6233</v>
      </c>
      <c r="D91" s="837" t="s">
        <v>992</v>
      </c>
      <c r="E91" s="25">
        <v>579</v>
      </c>
      <c r="F91" s="157"/>
      <c r="G91" s="801"/>
    </row>
    <row r="92" spans="2:7" outlineLevel="1" x14ac:dyDescent="0.35">
      <c r="B92" s="800"/>
      <c r="C92" s="836">
        <v>6234</v>
      </c>
      <c r="D92" s="837" t="s">
        <v>12</v>
      </c>
      <c r="E92" s="25">
        <v>580</v>
      </c>
      <c r="F92" s="157"/>
      <c r="G92" s="801"/>
    </row>
    <row r="93" spans="2:7" outlineLevel="1" x14ac:dyDescent="0.35">
      <c r="B93" s="800"/>
      <c r="C93" s="836">
        <v>6236</v>
      </c>
      <c r="D93" s="837" t="s">
        <v>993</v>
      </c>
      <c r="E93" s="25">
        <v>582</v>
      </c>
      <c r="F93" s="157"/>
      <c r="G93" s="801"/>
    </row>
    <row r="94" spans="2:7" outlineLevel="1" x14ac:dyDescent="0.35">
      <c r="B94" s="800"/>
      <c r="C94" s="836">
        <v>6237</v>
      </c>
      <c r="D94" s="837" t="s">
        <v>994</v>
      </c>
      <c r="E94" s="25">
        <v>583</v>
      </c>
      <c r="F94" s="157"/>
      <c r="G94" s="801"/>
    </row>
    <row r="95" spans="2:7" outlineLevel="1" x14ac:dyDescent="0.35">
      <c r="B95" s="800"/>
      <c r="C95" s="836">
        <v>6238</v>
      </c>
      <c r="D95" s="837" t="s">
        <v>995</v>
      </c>
      <c r="E95" s="25">
        <v>584</v>
      </c>
      <c r="F95" s="157"/>
      <c r="G95" s="801"/>
    </row>
    <row r="96" spans="2:7" outlineLevel="1" x14ac:dyDescent="0.35">
      <c r="B96" s="800"/>
      <c r="C96" s="836">
        <v>6239</v>
      </c>
      <c r="D96" s="837" t="s">
        <v>997</v>
      </c>
      <c r="E96" s="25">
        <v>585</v>
      </c>
      <c r="F96" s="157"/>
      <c r="G96" s="801"/>
    </row>
    <row r="97" spans="2:7" outlineLevel="1" x14ac:dyDescent="0.35">
      <c r="B97" s="800"/>
      <c r="C97" s="836">
        <v>6240</v>
      </c>
      <c r="D97" s="837" t="s">
        <v>11</v>
      </c>
      <c r="E97" s="25">
        <v>586</v>
      </c>
      <c r="F97" s="157"/>
      <c r="G97" s="801"/>
    </row>
    <row r="98" spans="2:7" outlineLevel="1" x14ac:dyDescent="0.35">
      <c r="B98" s="800"/>
      <c r="C98" s="836">
        <v>6241</v>
      </c>
      <c r="D98" s="837" t="s">
        <v>13</v>
      </c>
      <c r="E98" s="25">
        <v>587</v>
      </c>
      <c r="F98" s="157"/>
      <c r="G98" s="801"/>
    </row>
    <row r="99" spans="2:7" outlineLevel="1" x14ac:dyDescent="0.35">
      <c r="B99" s="800"/>
      <c r="C99" s="836">
        <v>6230</v>
      </c>
      <c r="D99" s="837" t="s">
        <v>998</v>
      </c>
      <c r="E99" s="25">
        <v>588</v>
      </c>
      <c r="F99" s="157"/>
      <c r="G99" s="801"/>
    </row>
    <row r="100" spans="2:7" x14ac:dyDescent="0.35">
      <c r="B100" s="824" t="s">
        <v>476</v>
      </c>
      <c r="C100" s="844"/>
      <c r="D100" s="844"/>
      <c r="E100" s="853"/>
      <c r="F100" s="825"/>
      <c r="G100" s="840"/>
    </row>
    <row r="101" spans="2:7" outlineLevel="1" x14ac:dyDescent="0.35">
      <c r="B101" s="833"/>
      <c r="C101" s="828" t="s">
        <v>984</v>
      </c>
      <c r="D101" s="832" t="s">
        <v>946</v>
      </c>
      <c r="E101" s="25" t="s">
        <v>1099</v>
      </c>
      <c r="F101" s="157"/>
      <c r="G101" s="801"/>
    </row>
    <row r="102" spans="2:7" outlineLevel="1" x14ac:dyDescent="0.35">
      <c r="B102" s="800"/>
      <c r="C102" s="846"/>
      <c r="D102" s="846" t="s">
        <v>926</v>
      </c>
      <c r="E102" s="25" t="s">
        <v>1100</v>
      </c>
      <c r="F102" s="157"/>
      <c r="G102" s="801"/>
    </row>
    <row r="103" spans="2:7" outlineLevel="1" x14ac:dyDescent="0.35">
      <c r="B103" s="800"/>
      <c r="C103" s="849">
        <v>6125</v>
      </c>
      <c r="D103" s="846" t="s">
        <v>947</v>
      </c>
      <c r="E103" s="25">
        <v>712</v>
      </c>
      <c r="F103" s="157"/>
      <c r="G103" s="801"/>
    </row>
    <row r="104" spans="2:7" outlineLevel="1" x14ac:dyDescent="0.35">
      <c r="B104" s="800"/>
      <c r="C104" s="849">
        <v>6250</v>
      </c>
      <c r="D104" s="846" t="s">
        <v>948</v>
      </c>
      <c r="E104" s="25">
        <v>763</v>
      </c>
      <c r="F104" s="157"/>
      <c r="G104" s="801"/>
    </row>
    <row r="105" spans="2:7" outlineLevel="1" x14ac:dyDescent="0.35">
      <c r="B105" s="800"/>
      <c r="C105" s="832" t="s">
        <v>988</v>
      </c>
      <c r="D105" s="832" t="s">
        <v>949</v>
      </c>
      <c r="E105" s="25" t="s">
        <v>1101</v>
      </c>
      <c r="F105" s="157"/>
      <c r="G105" s="801"/>
    </row>
    <row r="106" spans="2:7" outlineLevel="1" x14ac:dyDescent="0.35">
      <c r="B106" s="800"/>
      <c r="C106" s="849">
        <v>6260</v>
      </c>
      <c r="D106" s="846" t="s">
        <v>999</v>
      </c>
      <c r="E106" s="25">
        <v>764</v>
      </c>
      <c r="F106" s="157"/>
      <c r="G106" s="801"/>
    </row>
    <row r="107" spans="2:7" outlineLevel="1" x14ac:dyDescent="0.35">
      <c r="B107" s="800"/>
      <c r="C107" s="836">
        <v>6279</v>
      </c>
      <c r="D107" s="832" t="s">
        <v>927</v>
      </c>
      <c r="E107" s="25">
        <v>773</v>
      </c>
      <c r="F107" s="157"/>
      <c r="G107" s="801"/>
    </row>
    <row r="108" spans="2:7" outlineLevel="1" x14ac:dyDescent="0.35">
      <c r="B108" s="800"/>
      <c r="C108" s="849">
        <v>6550</v>
      </c>
      <c r="D108" s="846" t="s">
        <v>928</v>
      </c>
      <c r="E108" s="25">
        <v>798</v>
      </c>
      <c r="F108" s="157"/>
      <c r="G108" s="801"/>
    </row>
    <row r="109" spans="2:7" outlineLevel="1" x14ac:dyDescent="0.35">
      <c r="B109" s="800"/>
      <c r="C109" s="849">
        <v>6630</v>
      </c>
      <c r="D109" s="846" t="s">
        <v>929</v>
      </c>
      <c r="E109" s="25">
        <v>835</v>
      </c>
      <c r="F109" s="157"/>
      <c r="G109" s="801"/>
    </row>
    <row r="110" spans="2:7" outlineLevel="1" x14ac:dyDescent="0.35">
      <c r="B110" s="800"/>
      <c r="C110" s="851">
        <v>6160</v>
      </c>
      <c r="D110" s="846" t="s">
        <v>951</v>
      </c>
      <c r="E110" s="25">
        <v>725</v>
      </c>
      <c r="F110" s="157"/>
      <c r="G110" s="801"/>
    </row>
    <row r="111" spans="2:7" outlineLevel="1" x14ac:dyDescent="0.35">
      <c r="B111" s="800"/>
      <c r="C111" s="849">
        <v>6247</v>
      </c>
      <c r="D111" s="846" t="s">
        <v>952</v>
      </c>
      <c r="E111" s="25">
        <v>762</v>
      </c>
      <c r="F111" s="157"/>
      <c r="G111" s="801"/>
    </row>
    <row r="112" spans="2:7" outlineLevel="1" x14ac:dyDescent="0.35">
      <c r="B112" s="800"/>
      <c r="C112" s="852" t="s">
        <v>5</v>
      </c>
      <c r="D112" s="846"/>
      <c r="E112" s="25"/>
      <c r="F112" s="157"/>
      <c r="G112" s="801"/>
    </row>
    <row r="113" spans="2:7" outlineLevel="1" x14ac:dyDescent="0.35">
      <c r="B113" s="800"/>
      <c r="C113" s="836">
        <v>6231</v>
      </c>
      <c r="D113" s="837" t="s">
        <v>991</v>
      </c>
      <c r="E113" s="25">
        <v>745</v>
      </c>
      <c r="F113" s="157"/>
      <c r="G113" s="801"/>
    </row>
    <row r="114" spans="2:7" outlineLevel="1" x14ac:dyDescent="0.35">
      <c r="B114" s="800"/>
      <c r="C114" s="836">
        <v>6232</v>
      </c>
      <c r="D114" s="837" t="s">
        <v>713</v>
      </c>
      <c r="E114" s="25">
        <v>746</v>
      </c>
      <c r="F114" s="157"/>
      <c r="G114" s="801"/>
    </row>
    <row r="115" spans="2:7" outlineLevel="1" x14ac:dyDescent="0.35">
      <c r="B115" s="800"/>
      <c r="C115" s="836">
        <v>6233</v>
      </c>
      <c r="D115" s="837" t="s">
        <v>992</v>
      </c>
      <c r="E115" s="25">
        <v>747</v>
      </c>
      <c r="F115" s="157"/>
      <c r="G115" s="801"/>
    </row>
    <row r="116" spans="2:7" outlineLevel="1" x14ac:dyDescent="0.35">
      <c r="B116" s="800"/>
      <c r="C116" s="836">
        <v>6234</v>
      </c>
      <c r="D116" s="837" t="s">
        <v>12</v>
      </c>
      <c r="E116" s="25">
        <v>748</v>
      </c>
      <c r="F116" s="157"/>
      <c r="G116" s="801"/>
    </row>
    <row r="117" spans="2:7" outlineLevel="1" x14ac:dyDescent="0.35">
      <c r="B117" s="800"/>
      <c r="C117" s="836">
        <v>6236</v>
      </c>
      <c r="D117" s="837" t="s">
        <v>993</v>
      </c>
      <c r="E117" s="25">
        <v>750</v>
      </c>
      <c r="F117" s="157"/>
      <c r="G117" s="801"/>
    </row>
    <row r="118" spans="2:7" outlineLevel="1" x14ac:dyDescent="0.35">
      <c r="B118" s="800"/>
      <c r="C118" s="836">
        <v>6237</v>
      </c>
      <c r="D118" s="837" t="s">
        <v>994</v>
      </c>
      <c r="E118" s="25">
        <v>751</v>
      </c>
      <c r="F118" s="157"/>
      <c r="G118" s="801"/>
    </row>
    <row r="119" spans="2:7" outlineLevel="1" x14ac:dyDescent="0.35">
      <c r="B119" s="800"/>
      <c r="C119" s="836">
        <v>6238</v>
      </c>
      <c r="D119" s="837" t="s">
        <v>995</v>
      </c>
      <c r="E119" s="25">
        <v>752</v>
      </c>
      <c r="F119" s="157"/>
      <c r="G119" s="801"/>
    </row>
    <row r="120" spans="2:7" outlineLevel="1" x14ac:dyDescent="0.35">
      <c r="B120" s="800"/>
      <c r="C120" s="836">
        <v>6239</v>
      </c>
      <c r="D120" s="837" t="s">
        <v>997</v>
      </c>
      <c r="E120" s="25">
        <v>753</v>
      </c>
      <c r="F120" s="157"/>
      <c r="G120" s="801"/>
    </row>
    <row r="121" spans="2:7" outlineLevel="1" x14ac:dyDescent="0.35">
      <c r="B121" s="800"/>
      <c r="C121" s="836">
        <v>6240</v>
      </c>
      <c r="D121" s="837" t="s">
        <v>11</v>
      </c>
      <c r="E121" s="25">
        <v>754</v>
      </c>
      <c r="F121" s="157"/>
      <c r="G121" s="801"/>
    </row>
    <row r="122" spans="2:7" outlineLevel="1" x14ac:dyDescent="0.35">
      <c r="B122" s="800"/>
      <c r="C122" s="836">
        <v>6241</v>
      </c>
      <c r="D122" s="837" t="s">
        <v>13</v>
      </c>
      <c r="E122" s="25">
        <v>755</v>
      </c>
      <c r="F122" s="157"/>
      <c r="G122" s="801"/>
    </row>
    <row r="123" spans="2:7" outlineLevel="1" x14ac:dyDescent="0.35">
      <c r="B123" s="800"/>
      <c r="C123" s="836">
        <v>6230</v>
      </c>
      <c r="D123" s="837" t="s">
        <v>998</v>
      </c>
      <c r="E123" s="25">
        <v>756</v>
      </c>
      <c r="F123" s="157"/>
      <c r="G123" s="801"/>
    </row>
    <row r="124" spans="2:7" x14ac:dyDescent="0.35">
      <c r="B124" s="824" t="s">
        <v>3</v>
      </c>
      <c r="C124" s="844"/>
      <c r="D124" s="844"/>
      <c r="E124" s="853"/>
      <c r="F124" s="825"/>
      <c r="G124" s="840"/>
    </row>
    <row r="125" spans="2:7" outlineLevel="1" x14ac:dyDescent="0.35">
      <c r="B125" s="800"/>
      <c r="C125" s="828" t="s">
        <v>984</v>
      </c>
      <c r="D125" s="832" t="s">
        <v>946</v>
      </c>
      <c r="E125" s="25" t="s">
        <v>1102</v>
      </c>
      <c r="F125" s="157"/>
      <c r="G125" s="801"/>
    </row>
    <row r="126" spans="2:7" outlineLevel="1" x14ac:dyDescent="0.35">
      <c r="B126" s="800"/>
      <c r="C126" s="846"/>
      <c r="D126" s="846" t="s">
        <v>926</v>
      </c>
      <c r="E126" s="25" t="s">
        <v>1103</v>
      </c>
      <c r="F126" s="157"/>
      <c r="G126" s="801"/>
    </row>
    <row r="127" spans="2:7" outlineLevel="1" x14ac:dyDescent="0.35">
      <c r="B127" s="800"/>
      <c r="C127" s="849">
        <v>6125</v>
      </c>
      <c r="D127" s="846" t="s">
        <v>947</v>
      </c>
      <c r="E127" s="25">
        <v>880</v>
      </c>
      <c r="F127" s="157"/>
      <c r="G127" s="801"/>
    </row>
    <row r="128" spans="2:7" outlineLevel="1" x14ac:dyDescent="0.35">
      <c r="B128" s="800"/>
      <c r="C128" s="849">
        <v>6250</v>
      </c>
      <c r="D128" s="846" t="s">
        <v>948</v>
      </c>
      <c r="E128" s="25">
        <v>931</v>
      </c>
      <c r="F128" s="157"/>
      <c r="G128" s="801"/>
    </row>
    <row r="129" spans="2:7" outlineLevel="1" x14ac:dyDescent="0.35">
      <c r="B129" s="800"/>
      <c r="C129" s="832" t="s">
        <v>988</v>
      </c>
      <c r="D129" s="832" t="s">
        <v>949</v>
      </c>
      <c r="E129" s="25" t="s">
        <v>1104</v>
      </c>
      <c r="F129" s="157"/>
      <c r="G129" s="801"/>
    </row>
    <row r="130" spans="2:7" outlineLevel="1" x14ac:dyDescent="0.35">
      <c r="B130" s="800"/>
      <c r="C130" s="849">
        <v>6260</v>
      </c>
      <c r="D130" s="846" t="s">
        <v>999</v>
      </c>
      <c r="E130" s="25">
        <v>932</v>
      </c>
      <c r="F130" s="157"/>
      <c r="G130" s="801"/>
    </row>
    <row r="131" spans="2:7" outlineLevel="1" x14ac:dyDescent="0.35">
      <c r="B131" s="800"/>
      <c r="C131" s="836">
        <v>6279</v>
      </c>
      <c r="D131" s="832" t="s">
        <v>927</v>
      </c>
      <c r="E131" s="25">
        <v>941</v>
      </c>
      <c r="F131" s="157"/>
      <c r="G131" s="801"/>
    </row>
    <row r="132" spans="2:7" outlineLevel="1" x14ac:dyDescent="0.35">
      <c r="B132" s="800"/>
      <c r="C132" s="849">
        <v>6550</v>
      </c>
      <c r="D132" s="846" t="s">
        <v>928</v>
      </c>
      <c r="E132" s="25">
        <v>966</v>
      </c>
      <c r="F132" s="157"/>
      <c r="G132" s="801"/>
    </row>
    <row r="133" spans="2:7" outlineLevel="1" x14ac:dyDescent="0.35">
      <c r="B133" s="800"/>
      <c r="C133" s="849">
        <v>6630</v>
      </c>
      <c r="D133" s="846" t="s">
        <v>929</v>
      </c>
      <c r="E133" s="25">
        <v>1003</v>
      </c>
      <c r="F133" s="157"/>
      <c r="G133" s="801"/>
    </row>
    <row r="134" spans="2:7" outlineLevel="1" x14ac:dyDescent="0.35">
      <c r="B134" s="800"/>
      <c r="C134" s="851">
        <v>6160</v>
      </c>
      <c r="D134" s="846" t="s">
        <v>951</v>
      </c>
      <c r="E134" s="25">
        <v>893</v>
      </c>
      <c r="F134" s="157"/>
      <c r="G134" s="801"/>
    </row>
    <row r="135" spans="2:7" outlineLevel="1" x14ac:dyDescent="0.35">
      <c r="B135" s="800"/>
      <c r="C135" s="849">
        <v>6247</v>
      </c>
      <c r="D135" s="846" t="s">
        <v>952</v>
      </c>
      <c r="E135" s="25">
        <v>930</v>
      </c>
      <c r="F135" s="157"/>
      <c r="G135" s="801"/>
    </row>
    <row r="136" spans="2:7" outlineLevel="1" x14ac:dyDescent="0.35">
      <c r="B136" s="800"/>
      <c r="C136" s="852" t="s">
        <v>5</v>
      </c>
      <c r="D136" s="846"/>
      <c r="E136" s="25" t="s">
        <v>788</v>
      </c>
      <c r="F136" s="157"/>
      <c r="G136" s="801"/>
    </row>
    <row r="137" spans="2:7" outlineLevel="1" x14ac:dyDescent="0.35">
      <c r="B137" s="800"/>
      <c r="C137" s="836">
        <v>6231</v>
      </c>
      <c r="D137" s="837" t="s">
        <v>991</v>
      </c>
      <c r="E137" s="25">
        <v>913</v>
      </c>
      <c r="F137" s="157"/>
      <c r="G137" s="801"/>
    </row>
    <row r="138" spans="2:7" outlineLevel="1" x14ac:dyDescent="0.35">
      <c r="B138" s="800"/>
      <c r="C138" s="836">
        <v>6232</v>
      </c>
      <c r="D138" s="837" t="s">
        <v>713</v>
      </c>
      <c r="E138" s="25">
        <v>914</v>
      </c>
      <c r="F138" s="157"/>
      <c r="G138" s="801"/>
    </row>
    <row r="139" spans="2:7" outlineLevel="1" x14ac:dyDescent="0.35">
      <c r="B139" s="800"/>
      <c r="C139" s="836">
        <v>6233</v>
      </c>
      <c r="D139" s="837" t="s">
        <v>992</v>
      </c>
      <c r="E139" s="25">
        <v>915</v>
      </c>
      <c r="F139" s="157"/>
      <c r="G139" s="801"/>
    </row>
    <row r="140" spans="2:7" outlineLevel="1" x14ac:dyDescent="0.35">
      <c r="B140" s="800"/>
      <c r="C140" s="836">
        <v>6234</v>
      </c>
      <c r="D140" s="837" t="s">
        <v>12</v>
      </c>
      <c r="E140" s="25">
        <v>916</v>
      </c>
      <c r="F140" s="157"/>
      <c r="G140" s="801"/>
    </row>
    <row r="141" spans="2:7" outlineLevel="1" x14ac:dyDescent="0.35">
      <c r="B141" s="800"/>
      <c r="C141" s="836">
        <v>6236</v>
      </c>
      <c r="D141" s="837" t="s">
        <v>993</v>
      </c>
      <c r="E141" s="25">
        <v>918</v>
      </c>
      <c r="F141" s="157"/>
      <c r="G141" s="801"/>
    </row>
    <row r="142" spans="2:7" outlineLevel="1" x14ac:dyDescent="0.35">
      <c r="B142" s="800"/>
      <c r="C142" s="836">
        <v>6237</v>
      </c>
      <c r="D142" s="837" t="s">
        <v>994</v>
      </c>
      <c r="E142" s="25">
        <v>919</v>
      </c>
      <c r="F142" s="157"/>
      <c r="G142" s="801"/>
    </row>
    <row r="143" spans="2:7" outlineLevel="1" x14ac:dyDescent="0.35">
      <c r="B143" s="800"/>
      <c r="C143" s="836">
        <v>6238</v>
      </c>
      <c r="D143" s="837" t="s">
        <v>995</v>
      </c>
      <c r="E143" s="25">
        <v>920</v>
      </c>
      <c r="F143" s="157"/>
      <c r="G143" s="801"/>
    </row>
    <row r="144" spans="2:7" outlineLevel="1" x14ac:dyDescent="0.35">
      <c r="B144" s="800"/>
      <c r="C144" s="836">
        <v>6239</v>
      </c>
      <c r="D144" s="837" t="s">
        <v>997</v>
      </c>
      <c r="E144" s="25">
        <v>921</v>
      </c>
      <c r="F144" s="157"/>
      <c r="G144" s="801"/>
    </row>
    <row r="145" spans="2:7" outlineLevel="1" x14ac:dyDescent="0.35">
      <c r="B145" s="800"/>
      <c r="C145" s="836">
        <v>6240</v>
      </c>
      <c r="D145" s="837" t="s">
        <v>11</v>
      </c>
      <c r="E145" s="25">
        <v>922</v>
      </c>
      <c r="F145" s="157"/>
      <c r="G145" s="801"/>
    </row>
    <row r="146" spans="2:7" outlineLevel="1" x14ac:dyDescent="0.35">
      <c r="B146" s="800"/>
      <c r="C146" s="836">
        <v>6241</v>
      </c>
      <c r="D146" s="837" t="s">
        <v>13</v>
      </c>
      <c r="E146" s="25">
        <v>923</v>
      </c>
      <c r="F146" s="157"/>
      <c r="G146" s="801"/>
    </row>
    <row r="147" spans="2:7" outlineLevel="1" x14ac:dyDescent="0.35">
      <c r="B147" s="800"/>
      <c r="C147" s="836">
        <v>6230</v>
      </c>
      <c r="D147" s="837" t="s">
        <v>998</v>
      </c>
      <c r="E147" s="25">
        <v>924</v>
      </c>
      <c r="F147" s="157"/>
      <c r="G147" s="801"/>
    </row>
    <row r="148" spans="2:7" x14ac:dyDescent="0.35">
      <c r="B148" s="824" t="s">
        <v>711</v>
      </c>
      <c r="C148" s="844"/>
      <c r="D148" s="844"/>
      <c r="E148" s="853"/>
      <c r="F148" s="825"/>
      <c r="G148" s="840"/>
    </row>
    <row r="149" spans="2:7" outlineLevel="1" x14ac:dyDescent="0.35">
      <c r="B149" s="800"/>
      <c r="C149" s="828" t="s">
        <v>984</v>
      </c>
      <c r="D149" s="832" t="s">
        <v>946</v>
      </c>
      <c r="E149" s="25" t="s">
        <v>788</v>
      </c>
      <c r="F149" s="157"/>
      <c r="G149" s="801"/>
    </row>
    <row r="150" spans="2:7" outlineLevel="1" x14ac:dyDescent="0.35">
      <c r="B150" s="800"/>
      <c r="C150" s="846"/>
      <c r="D150" s="846" t="s">
        <v>926</v>
      </c>
      <c r="E150" s="25" t="s">
        <v>788</v>
      </c>
      <c r="F150" s="157"/>
      <c r="G150" s="801"/>
    </row>
    <row r="151" spans="2:7" outlineLevel="1" x14ac:dyDescent="0.35">
      <c r="B151" s="800"/>
      <c r="C151" s="849">
        <v>6125</v>
      </c>
      <c r="D151" s="846" t="s">
        <v>947</v>
      </c>
      <c r="E151" s="25">
        <v>1048</v>
      </c>
      <c r="F151" s="157"/>
      <c r="G151" s="801"/>
    </row>
    <row r="152" spans="2:7" outlineLevel="1" x14ac:dyDescent="0.35">
      <c r="B152" s="800"/>
      <c r="C152" s="849">
        <v>6250</v>
      </c>
      <c r="D152" s="846" t="s">
        <v>948</v>
      </c>
      <c r="E152" s="25">
        <v>1099</v>
      </c>
      <c r="F152" s="157"/>
      <c r="G152" s="801"/>
    </row>
    <row r="153" spans="2:7" outlineLevel="1" x14ac:dyDescent="0.35">
      <c r="B153" s="800"/>
      <c r="C153" s="832" t="s">
        <v>988</v>
      </c>
      <c r="D153" s="832" t="s">
        <v>949</v>
      </c>
      <c r="E153" s="25" t="s">
        <v>788</v>
      </c>
      <c r="F153" s="157"/>
      <c r="G153" s="801"/>
    </row>
    <row r="154" spans="2:7" outlineLevel="1" x14ac:dyDescent="0.35">
      <c r="B154" s="800"/>
      <c r="C154" s="849">
        <v>6260</v>
      </c>
      <c r="D154" s="846" t="s">
        <v>999</v>
      </c>
      <c r="E154" s="25">
        <v>1100</v>
      </c>
      <c r="F154" s="157"/>
      <c r="G154" s="801"/>
    </row>
    <row r="155" spans="2:7" outlineLevel="1" x14ac:dyDescent="0.35">
      <c r="B155" s="800"/>
      <c r="C155" s="836">
        <v>6279</v>
      </c>
      <c r="D155" s="832" t="s">
        <v>927</v>
      </c>
      <c r="E155" s="25">
        <v>1109</v>
      </c>
      <c r="F155" s="157"/>
      <c r="G155" s="801"/>
    </row>
    <row r="156" spans="2:7" outlineLevel="1" x14ac:dyDescent="0.35">
      <c r="B156" s="800"/>
      <c r="C156" s="849">
        <v>6550</v>
      </c>
      <c r="D156" s="846" t="s">
        <v>928</v>
      </c>
      <c r="E156" s="25">
        <v>1134</v>
      </c>
      <c r="F156" s="157"/>
      <c r="G156" s="801"/>
    </row>
    <row r="157" spans="2:7" outlineLevel="1" x14ac:dyDescent="0.35">
      <c r="B157" s="800"/>
      <c r="C157" s="849">
        <v>6630</v>
      </c>
      <c r="D157" s="846" t="s">
        <v>929</v>
      </c>
      <c r="E157" s="25">
        <v>1171</v>
      </c>
      <c r="F157" s="157"/>
      <c r="G157" s="801"/>
    </row>
    <row r="158" spans="2:7" outlineLevel="1" x14ac:dyDescent="0.35">
      <c r="B158" s="800"/>
      <c r="C158" s="851">
        <v>6160</v>
      </c>
      <c r="D158" s="846" t="s">
        <v>951</v>
      </c>
      <c r="E158" s="25">
        <v>1061</v>
      </c>
      <c r="F158" s="157"/>
      <c r="G158" s="801"/>
    </row>
    <row r="159" spans="2:7" outlineLevel="1" x14ac:dyDescent="0.35">
      <c r="B159" s="800"/>
      <c r="C159" s="849">
        <v>6247</v>
      </c>
      <c r="D159" s="846" t="s">
        <v>952</v>
      </c>
      <c r="E159" s="25">
        <v>1098</v>
      </c>
      <c r="F159" s="157"/>
      <c r="G159" s="801"/>
    </row>
    <row r="160" spans="2:7" outlineLevel="1" x14ac:dyDescent="0.35">
      <c r="B160" s="800"/>
      <c r="C160" s="852" t="s">
        <v>5</v>
      </c>
      <c r="D160" s="846"/>
      <c r="E160" s="25" t="s">
        <v>788</v>
      </c>
      <c r="F160" s="157"/>
      <c r="G160" s="801"/>
    </row>
    <row r="161" spans="2:7" outlineLevel="1" x14ac:dyDescent="0.35">
      <c r="B161" s="800"/>
      <c r="C161" s="836">
        <v>6231</v>
      </c>
      <c r="D161" s="837" t="s">
        <v>991</v>
      </c>
      <c r="E161" s="25">
        <v>1081</v>
      </c>
      <c r="F161" s="157"/>
      <c r="G161" s="801"/>
    </row>
    <row r="162" spans="2:7" outlineLevel="1" x14ac:dyDescent="0.35">
      <c r="B162" s="800"/>
      <c r="C162" s="836">
        <v>6232</v>
      </c>
      <c r="D162" s="837" t="s">
        <v>713</v>
      </c>
      <c r="E162" s="25">
        <v>1082</v>
      </c>
      <c r="F162" s="157"/>
      <c r="G162" s="801"/>
    </row>
    <row r="163" spans="2:7" outlineLevel="1" x14ac:dyDescent="0.35">
      <c r="B163" s="800"/>
      <c r="C163" s="836">
        <v>6233</v>
      </c>
      <c r="D163" s="837" t="s">
        <v>992</v>
      </c>
      <c r="E163" s="25">
        <v>1083</v>
      </c>
      <c r="F163" s="157"/>
      <c r="G163" s="801"/>
    </row>
    <row r="164" spans="2:7" outlineLevel="1" x14ac:dyDescent="0.35">
      <c r="B164" s="800"/>
      <c r="C164" s="836">
        <v>6234</v>
      </c>
      <c r="D164" s="837" t="s">
        <v>12</v>
      </c>
      <c r="E164" s="25">
        <v>1084</v>
      </c>
      <c r="F164" s="157"/>
      <c r="G164" s="801"/>
    </row>
    <row r="165" spans="2:7" outlineLevel="1" x14ac:dyDescent="0.35">
      <c r="B165" s="800"/>
      <c r="C165" s="836">
        <v>6236</v>
      </c>
      <c r="D165" s="837" t="s">
        <v>993</v>
      </c>
      <c r="E165" s="25">
        <v>1086</v>
      </c>
      <c r="F165" s="157"/>
      <c r="G165" s="801"/>
    </row>
    <row r="166" spans="2:7" outlineLevel="1" x14ac:dyDescent="0.35">
      <c r="B166" s="800"/>
      <c r="C166" s="836">
        <v>6237</v>
      </c>
      <c r="D166" s="837" t="s">
        <v>994</v>
      </c>
      <c r="E166" s="25">
        <v>1087</v>
      </c>
      <c r="F166" s="157"/>
      <c r="G166" s="801"/>
    </row>
    <row r="167" spans="2:7" outlineLevel="1" x14ac:dyDescent="0.35">
      <c r="B167" s="800"/>
      <c r="C167" s="836">
        <v>6238</v>
      </c>
      <c r="D167" s="837" t="s">
        <v>995</v>
      </c>
      <c r="E167" s="25">
        <v>1088</v>
      </c>
      <c r="F167" s="157"/>
      <c r="G167" s="801"/>
    </row>
    <row r="168" spans="2:7" outlineLevel="1" x14ac:dyDescent="0.35">
      <c r="B168" s="800"/>
      <c r="C168" s="836">
        <v>6239</v>
      </c>
      <c r="D168" s="837" t="s">
        <v>997</v>
      </c>
      <c r="E168" s="25">
        <v>1089</v>
      </c>
      <c r="F168" s="157"/>
      <c r="G168" s="801"/>
    </row>
    <row r="169" spans="2:7" outlineLevel="1" x14ac:dyDescent="0.35">
      <c r="B169" s="800"/>
      <c r="C169" s="836">
        <v>6240</v>
      </c>
      <c r="D169" s="837" t="s">
        <v>11</v>
      </c>
      <c r="E169" s="25">
        <v>1090</v>
      </c>
      <c r="F169" s="157"/>
      <c r="G169" s="801"/>
    </row>
    <row r="170" spans="2:7" outlineLevel="1" x14ac:dyDescent="0.35">
      <c r="B170" s="800"/>
      <c r="C170" s="836">
        <v>6241</v>
      </c>
      <c r="D170" s="837" t="s">
        <v>13</v>
      </c>
      <c r="E170" s="25">
        <v>1091</v>
      </c>
      <c r="F170" s="157"/>
      <c r="G170" s="801"/>
    </row>
    <row r="171" spans="2:7" outlineLevel="1" x14ac:dyDescent="0.35">
      <c r="B171" s="800"/>
      <c r="C171" s="836">
        <v>6230</v>
      </c>
      <c r="D171" s="837" t="s">
        <v>998</v>
      </c>
      <c r="E171" s="25">
        <v>1092</v>
      </c>
      <c r="F171" s="157"/>
      <c r="G171" s="801"/>
    </row>
    <row r="172" spans="2:7" x14ac:dyDescent="0.35">
      <c r="B172" s="824" t="s">
        <v>979</v>
      </c>
      <c r="C172" s="825"/>
      <c r="D172" s="825"/>
      <c r="E172" s="853"/>
      <c r="F172" s="825"/>
      <c r="G172" s="840"/>
    </row>
    <row r="173" spans="2:7" outlineLevel="1" x14ac:dyDescent="0.35">
      <c r="B173" s="800"/>
      <c r="C173" s="828" t="s">
        <v>984</v>
      </c>
      <c r="D173" s="832" t="s">
        <v>946</v>
      </c>
      <c r="E173" s="25" t="s">
        <v>788</v>
      </c>
      <c r="F173" s="157"/>
      <c r="G173" s="801"/>
    </row>
    <row r="174" spans="2:7" outlineLevel="1" x14ac:dyDescent="0.35">
      <c r="B174" s="800"/>
      <c r="C174" s="846"/>
      <c r="D174" s="846" t="s">
        <v>926</v>
      </c>
      <c r="E174" s="25" t="s">
        <v>788</v>
      </c>
      <c r="F174" s="157"/>
      <c r="G174" s="801"/>
    </row>
    <row r="175" spans="2:7" outlineLevel="1" x14ac:dyDescent="0.35">
      <c r="B175" s="800"/>
      <c r="C175" s="849">
        <v>6125</v>
      </c>
      <c r="D175" s="846" t="s">
        <v>947</v>
      </c>
      <c r="E175" s="25">
        <v>1216</v>
      </c>
      <c r="F175" s="157"/>
      <c r="G175" s="801"/>
    </row>
    <row r="176" spans="2:7" outlineLevel="1" x14ac:dyDescent="0.35">
      <c r="B176" s="800"/>
      <c r="C176" s="849">
        <v>6250</v>
      </c>
      <c r="D176" s="846" t="s">
        <v>948</v>
      </c>
      <c r="E176" s="25">
        <v>1267</v>
      </c>
      <c r="F176" s="157"/>
      <c r="G176" s="801"/>
    </row>
    <row r="177" spans="2:7" outlineLevel="1" x14ac:dyDescent="0.35">
      <c r="B177" s="800"/>
      <c r="C177" s="832" t="s">
        <v>988</v>
      </c>
      <c r="D177" s="832" t="s">
        <v>949</v>
      </c>
      <c r="E177" s="25" t="s">
        <v>788</v>
      </c>
      <c r="F177" s="157"/>
      <c r="G177" s="801"/>
    </row>
    <row r="178" spans="2:7" outlineLevel="1" x14ac:dyDescent="0.35">
      <c r="B178" s="800"/>
      <c r="C178" s="849">
        <v>6260</v>
      </c>
      <c r="D178" s="846" t="s">
        <v>999</v>
      </c>
      <c r="E178" s="25">
        <v>1268</v>
      </c>
      <c r="F178" s="157"/>
      <c r="G178" s="801"/>
    </row>
    <row r="179" spans="2:7" outlineLevel="1" x14ac:dyDescent="0.35">
      <c r="B179" s="800"/>
      <c r="C179" s="836">
        <v>6279</v>
      </c>
      <c r="D179" s="832" t="s">
        <v>927</v>
      </c>
      <c r="E179" s="25">
        <v>1277</v>
      </c>
      <c r="F179" s="157"/>
      <c r="G179" s="801"/>
    </row>
    <row r="180" spans="2:7" outlineLevel="1" x14ac:dyDescent="0.35">
      <c r="B180" s="800"/>
      <c r="C180" s="849">
        <v>6550</v>
      </c>
      <c r="D180" s="846" t="s">
        <v>928</v>
      </c>
      <c r="E180" s="25">
        <v>1302</v>
      </c>
      <c r="F180" s="157"/>
      <c r="G180" s="801"/>
    </row>
    <row r="181" spans="2:7" outlineLevel="1" x14ac:dyDescent="0.35">
      <c r="B181" s="800"/>
      <c r="C181" s="849">
        <v>6630</v>
      </c>
      <c r="D181" s="846" t="s">
        <v>929</v>
      </c>
      <c r="E181" s="25">
        <v>1339</v>
      </c>
      <c r="F181" s="157"/>
      <c r="G181" s="801"/>
    </row>
    <row r="182" spans="2:7" outlineLevel="1" x14ac:dyDescent="0.35">
      <c r="B182" s="800"/>
      <c r="C182" s="851">
        <v>6160</v>
      </c>
      <c r="D182" s="846" t="s">
        <v>951</v>
      </c>
      <c r="E182" s="25">
        <v>1229</v>
      </c>
      <c r="F182" s="157"/>
      <c r="G182" s="801"/>
    </row>
    <row r="183" spans="2:7" outlineLevel="1" x14ac:dyDescent="0.35">
      <c r="B183" s="800"/>
      <c r="C183" s="849">
        <v>6247</v>
      </c>
      <c r="D183" s="846" t="s">
        <v>952</v>
      </c>
      <c r="E183" s="25">
        <v>1266</v>
      </c>
      <c r="F183" s="157"/>
      <c r="G183" s="801"/>
    </row>
    <row r="184" spans="2:7" outlineLevel="1" x14ac:dyDescent="0.35">
      <c r="B184" s="800"/>
      <c r="C184" s="852" t="s">
        <v>5</v>
      </c>
      <c r="D184" s="846"/>
      <c r="E184" s="25" t="s">
        <v>788</v>
      </c>
      <c r="F184" s="157"/>
      <c r="G184" s="801"/>
    </row>
    <row r="185" spans="2:7" outlineLevel="1" x14ac:dyDescent="0.35">
      <c r="B185" s="800"/>
      <c r="C185" s="836">
        <v>6231</v>
      </c>
      <c r="D185" s="837" t="s">
        <v>991</v>
      </c>
      <c r="E185" s="25">
        <v>1249</v>
      </c>
      <c r="F185" s="157"/>
      <c r="G185" s="801"/>
    </row>
    <row r="186" spans="2:7" outlineLevel="1" x14ac:dyDescent="0.35">
      <c r="B186" s="800"/>
      <c r="C186" s="836">
        <v>6232</v>
      </c>
      <c r="D186" s="837" t="s">
        <v>713</v>
      </c>
      <c r="E186" s="25">
        <v>1250</v>
      </c>
      <c r="F186" s="157"/>
      <c r="G186" s="801"/>
    </row>
    <row r="187" spans="2:7" outlineLevel="1" x14ac:dyDescent="0.35">
      <c r="B187" s="800"/>
      <c r="C187" s="836">
        <v>6233</v>
      </c>
      <c r="D187" s="837" t="s">
        <v>992</v>
      </c>
      <c r="E187" s="25">
        <v>1251</v>
      </c>
      <c r="F187" s="157"/>
      <c r="G187" s="801"/>
    </row>
    <row r="188" spans="2:7" outlineLevel="1" x14ac:dyDescent="0.35">
      <c r="B188" s="800"/>
      <c r="C188" s="836">
        <v>6234</v>
      </c>
      <c r="D188" s="837" t="s">
        <v>12</v>
      </c>
      <c r="E188" s="25">
        <v>1252</v>
      </c>
      <c r="F188" s="157"/>
      <c r="G188" s="801"/>
    </row>
    <row r="189" spans="2:7" outlineLevel="1" x14ac:dyDescent="0.35">
      <c r="B189" s="800"/>
      <c r="C189" s="836">
        <v>6236</v>
      </c>
      <c r="D189" s="837" t="s">
        <v>993</v>
      </c>
      <c r="E189" s="25">
        <v>1254</v>
      </c>
      <c r="F189" s="157"/>
      <c r="G189" s="801"/>
    </row>
    <row r="190" spans="2:7" outlineLevel="1" x14ac:dyDescent="0.35">
      <c r="B190" s="800"/>
      <c r="C190" s="836">
        <v>6237</v>
      </c>
      <c r="D190" s="837" t="s">
        <v>994</v>
      </c>
      <c r="E190" s="25">
        <v>1255</v>
      </c>
      <c r="F190" s="157"/>
      <c r="G190" s="801"/>
    </row>
    <row r="191" spans="2:7" outlineLevel="1" x14ac:dyDescent="0.35">
      <c r="B191" s="800"/>
      <c r="C191" s="836">
        <v>6238</v>
      </c>
      <c r="D191" s="837" t="s">
        <v>995</v>
      </c>
      <c r="E191" s="25">
        <v>1256</v>
      </c>
      <c r="F191" s="157"/>
      <c r="G191" s="801"/>
    </row>
    <row r="192" spans="2:7" outlineLevel="1" x14ac:dyDescent="0.35">
      <c r="B192" s="800"/>
      <c r="C192" s="836">
        <v>6239</v>
      </c>
      <c r="D192" s="837" t="s">
        <v>997</v>
      </c>
      <c r="E192" s="25">
        <v>1257</v>
      </c>
      <c r="F192" s="157"/>
      <c r="G192" s="801"/>
    </row>
    <row r="193" spans="2:7" outlineLevel="1" x14ac:dyDescent="0.35">
      <c r="B193" s="800"/>
      <c r="C193" s="836">
        <v>6240</v>
      </c>
      <c r="D193" s="837" t="s">
        <v>11</v>
      </c>
      <c r="E193" s="25">
        <v>1258</v>
      </c>
      <c r="F193" s="157"/>
      <c r="G193" s="801"/>
    </row>
    <row r="194" spans="2:7" outlineLevel="1" x14ac:dyDescent="0.35">
      <c r="B194" s="800"/>
      <c r="C194" s="836">
        <v>6241</v>
      </c>
      <c r="D194" s="837" t="s">
        <v>13</v>
      </c>
      <c r="E194" s="25">
        <v>1259</v>
      </c>
      <c r="F194" s="157"/>
      <c r="G194" s="801"/>
    </row>
    <row r="195" spans="2:7" outlineLevel="1" x14ac:dyDescent="0.35">
      <c r="B195" s="841"/>
      <c r="C195" s="854">
        <v>6230</v>
      </c>
      <c r="D195" s="855" t="s">
        <v>998</v>
      </c>
      <c r="E195" s="856">
        <v>1260</v>
      </c>
      <c r="F195" s="842"/>
      <c r="G195" s="843"/>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BY46"/>
  <sheetViews>
    <sheetView zoomScale="80" zoomScaleNormal="80" workbookViewId="0">
      <pane xSplit="2" ySplit="4" topLeftCell="Z8" activePane="bottomRight" state="frozen"/>
      <selection activeCell="AA39" sqref="AA39:AL39"/>
      <selection pane="topRight" activeCell="AA39" sqref="AA39:AL39"/>
      <selection pane="bottomLeft" activeCell="AA39" sqref="AA39:AL39"/>
      <selection pane="bottomRight" activeCell="AD29" sqref="AD29"/>
    </sheetView>
  </sheetViews>
  <sheetFormatPr defaultColWidth="9.1796875" defaultRowHeight="14.5" outlineLevelCol="1" x14ac:dyDescent="0.35"/>
  <cols>
    <col min="1" max="1" width="2" style="574" customWidth="1"/>
    <col min="2" max="2" width="27.453125" style="574" bestFit="1" customWidth="1"/>
    <col min="3" max="3" width="12.7265625" style="574" customWidth="1"/>
    <col min="4" max="7" width="12.7265625" style="574" hidden="1" customWidth="1" outlineLevel="1"/>
    <col min="8" max="12" width="16.453125" style="574" hidden="1" customWidth="1" outlineLevel="1"/>
    <col min="13" max="13" width="19.26953125" style="574" hidden="1" customWidth="1" outlineLevel="1"/>
    <col min="14" max="14" width="16.453125" style="574" customWidth="1" collapsed="1"/>
    <col min="15" max="15" width="12.7265625" style="574" bestFit="1" customWidth="1"/>
    <col min="16" max="18" width="12.7265625" style="574" customWidth="1" outlineLevel="1"/>
    <col min="19" max="19" width="12.1796875" style="574" customWidth="1" outlineLevel="1"/>
    <col min="20" max="25" width="12.26953125" style="574" customWidth="1" outlineLevel="1"/>
    <col min="26" max="26" width="12.26953125" style="574" bestFit="1" customWidth="1"/>
    <col min="27" max="27" width="12.26953125" style="574" customWidth="1"/>
    <col min="28" max="29" width="13.26953125" style="574" customWidth="1" outlineLevel="1"/>
    <col min="30" max="35" width="10.7265625" style="574" customWidth="1" outlineLevel="1"/>
    <col min="36" max="37" width="11.81640625" style="574" customWidth="1" outlineLevel="1"/>
    <col min="38" max="39" width="13.26953125" style="574" customWidth="1"/>
    <col min="40" max="47" width="10.7265625" style="574" hidden="1" customWidth="1" outlineLevel="1"/>
    <col min="48" max="49" width="11.81640625" style="574" hidden="1" customWidth="1" outlineLevel="1"/>
    <col min="50" max="50" width="11.81640625" style="574" customWidth="1" collapsed="1"/>
    <col min="51" max="51" width="10.7265625" style="574" bestFit="1" customWidth="1"/>
    <col min="52" max="57" width="10.7265625" style="574" hidden="1" customWidth="1" outlineLevel="1"/>
    <col min="58" max="61" width="13.26953125" style="574" hidden="1" customWidth="1" outlineLevel="1"/>
    <col min="62" max="62" width="13.26953125" style="574" bestFit="1" customWidth="1" collapsed="1"/>
    <col min="63" max="63" width="13" style="574" bestFit="1" customWidth="1"/>
    <col min="64" max="73" width="13" style="574" hidden="1" customWidth="1" outlineLevel="1"/>
    <col min="74" max="74" width="13" style="574" bestFit="1" customWidth="1" collapsed="1"/>
    <col min="75" max="76" width="9.1796875" style="574"/>
    <col min="77" max="77" width="15.7265625" style="574" bestFit="1" customWidth="1"/>
    <col min="78" max="16384" width="9.1796875" style="574"/>
  </cols>
  <sheetData>
    <row r="2" spans="2:77" x14ac:dyDescent="0.35">
      <c r="B2" s="652" t="s">
        <v>930</v>
      </c>
      <c r="C2" s="652"/>
      <c r="D2" s="652"/>
      <c r="E2" s="652"/>
      <c r="F2" s="652"/>
      <c r="G2" s="652"/>
      <c r="H2" s="652"/>
      <c r="I2" s="652"/>
      <c r="J2" s="652"/>
      <c r="K2" s="652"/>
      <c r="L2" s="652"/>
      <c r="M2" s="652"/>
      <c r="N2" s="652"/>
    </row>
    <row r="3" spans="2:77" x14ac:dyDescent="0.35">
      <c r="B3" s="788" t="s">
        <v>931</v>
      </c>
      <c r="C3" s="789">
        <v>40939</v>
      </c>
      <c r="D3" s="789">
        <v>40968</v>
      </c>
      <c r="E3" s="789">
        <v>40999</v>
      </c>
      <c r="F3" s="789">
        <v>41029</v>
      </c>
      <c r="G3" s="789">
        <v>41060</v>
      </c>
      <c r="H3" s="789">
        <v>41090</v>
      </c>
      <c r="I3" s="789">
        <v>41121</v>
      </c>
      <c r="J3" s="789">
        <v>41152</v>
      </c>
      <c r="K3" s="789">
        <v>41182</v>
      </c>
      <c r="L3" s="789">
        <v>41213</v>
      </c>
      <c r="M3" s="789">
        <v>41243</v>
      </c>
      <c r="N3" s="789">
        <v>41274</v>
      </c>
      <c r="O3" s="789">
        <v>41305</v>
      </c>
      <c r="P3" s="789">
        <v>41333</v>
      </c>
      <c r="Q3" s="789">
        <v>41364</v>
      </c>
      <c r="R3" s="789">
        <v>41394</v>
      </c>
      <c r="S3" s="789">
        <v>41425</v>
      </c>
      <c r="T3" s="789">
        <v>41455</v>
      </c>
      <c r="U3" s="789">
        <v>41486</v>
      </c>
      <c r="V3" s="789">
        <v>41517</v>
      </c>
      <c r="W3" s="789">
        <v>41547</v>
      </c>
      <c r="X3" s="789">
        <v>41578</v>
      </c>
      <c r="Y3" s="789">
        <v>41608</v>
      </c>
      <c r="Z3" s="789">
        <v>41639</v>
      </c>
      <c r="AA3" s="789">
        <v>41670</v>
      </c>
      <c r="AB3" s="789">
        <v>41698</v>
      </c>
      <c r="AC3" s="789">
        <v>41729</v>
      </c>
      <c r="AD3" s="789">
        <v>41759</v>
      </c>
      <c r="AE3" s="789">
        <v>41790</v>
      </c>
      <c r="AF3" s="789">
        <v>41820</v>
      </c>
      <c r="AG3" s="789">
        <v>41851</v>
      </c>
      <c r="AH3" s="789">
        <v>41882</v>
      </c>
      <c r="AI3" s="789">
        <v>41912</v>
      </c>
      <c r="AJ3" s="789">
        <v>41943</v>
      </c>
      <c r="AK3" s="789">
        <v>41973</v>
      </c>
      <c r="AL3" s="789">
        <v>42004</v>
      </c>
      <c r="AM3" s="789">
        <v>42035</v>
      </c>
      <c r="AN3" s="789">
        <v>42063</v>
      </c>
      <c r="AO3" s="789">
        <v>42094</v>
      </c>
      <c r="AP3" s="789">
        <v>42124</v>
      </c>
      <c r="AQ3" s="789">
        <v>42155</v>
      </c>
      <c r="AR3" s="789">
        <v>42185</v>
      </c>
      <c r="AS3" s="789">
        <v>42216</v>
      </c>
      <c r="AT3" s="789">
        <v>42247</v>
      </c>
      <c r="AU3" s="789">
        <v>42277</v>
      </c>
      <c r="AV3" s="789">
        <v>42308</v>
      </c>
      <c r="AW3" s="789">
        <v>42338</v>
      </c>
      <c r="AX3" s="789">
        <v>42369</v>
      </c>
      <c r="AY3" s="789">
        <v>42400</v>
      </c>
      <c r="AZ3" s="789">
        <v>42429</v>
      </c>
      <c r="BA3" s="789">
        <v>42460</v>
      </c>
      <c r="BB3" s="789">
        <v>42490</v>
      </c>
      <c r="BC3" s="789">
        <v>42521</v>
      </c>
      <c r="BD3" s="789">
        <v>42551</v>
      </c>
      <c r="BE3" s="789">
        <v>42582</v>
      </c>
      <c r="BF3" s="789">
        <v>42613</v>
      </c>
      <c r="BG3" s="789">
        <v>42643</v>
      </c>
      <c r="BH3" s="789">
        <v>42674</v>
      </c>
      <c r="BI3" s="789">
        <v>42704</v>
      </c>
      <c r="BJ3" s="789">
        <v>42735</v>
      </c>
      <c r="BK3" s="789">
        <v>42766</v>
      </c>
      <c r="BL3" s="789">
        <v>42794</v>
      </c>
      <c r="BM3" s="789">
        <v>42825</v>
      </c>
      <c r="BN3" s="789">
        <v>42855</v>
      </c>
      <c r="BO3" s="789">
        <v>42886</v>
      </c>
      <c r="BP3" s="789">
        <v>42916</v>
      </c>
      <c r="BQ3" s="789">
        <v>42947</v>
      </c>
      <c r="BR3" s="789">
        <v>42978</v>
      </c>
      <c r="BS3" s="789">
        <v>43008</v>
      </c>
      <c r="BT3" s="789">
        <v>43039</v>
      </c>
      <c r="BU3" s="789">
        <v>43069</v>
      </c>
      <c r="BV3" s="790">
        <v>43100</v>
      </c>
    </row>
    <row r="4" spans="2:77" x14ac:dyDescent="0.35">
      <c r="B4" s="791" t="s">
        <v>932</v>
      </c>
      <c r="C4" s="4" t="str">
        <f>IF(C3&lt;=Headcount!$U$3,"Actual","Forecast")</f>
        <v>Actual</v>
      </c>
      <c r="D4" s="4" t="str">
        <f>IF(D3&lt;=Headcount!$U$3,"Actual","Forecast")</f>
        <v>Actual</v>
      </c>
      <c r="E4" s="4" t="str">
        <f>IF(E3&lt;=Headcount!$U$3,"Actual","Forecast")</f>
        <v>Actual</v>
      </c>
      <c r="F4" s="4" t="str">
        <f>IF(F3&lt;=Headcount!$U$3,"Actual","Forecast")</f>
        <v>Actual</v>
      </c>
      <c r="G4" s="4" t="str">
        <f>IF(G3&lt;=Headcount!$U$3,"Actual","Forecast")</f>
        <v>Actual</v>
      </c>
      <c r="H4" s="4" t="str">
        <f>IF(H3&lt;=Headcount!$U$3,"Actual","Forecast")</f>
        <v>Actual</v>
      </c>
      <c r="I4" s="4" t="str">
        <f>IF(I3&lt;=Headcount!$U$3,"Actual","Forecast")</f>
        <v>Actual</v>
      </c>
      <c r="J4" s="4" t="str">
        <f>IF(J3&lt;=Headcount!$U$3,"Actual","Forecast")</f>
        <v>Actual</v>
      </c>
      <c r="K4" s="4" t="str">
        <f>IF(K3&lt;=Headcount!$U$3,"Actual","Forecast")</f>
        <v>Actual</v>
      </c>
      <c r="L4" s="4" t="str">
        <f>IF(L3&lt;=Headcount!$U$3,"Actual","Forecast")</f>
        <v>Actual</v>
      </c>
      <c r="M4" s="4" t="str">
        <f>IF(M3&lt;=Headcount!$U$3,"Actual","Forecast")</f>
        <v>Actual</v>
      </c>
      <c r="N4" s="4" t="str">
        <f>IF(N3&lt;=Headcount!$U$3,"Actual","Forecast")</f>
        <v>Actual</v>
      </c>
      <c r="O4" s="4" t="str">
        <f>IF(O3&lt;=Headcount!$U$3,"Actual","Forecast")</f>
        <v>Actual</v>
      </c>
      <c r="P4" s="4" t="str">
        <f>IF(P3&lt;=Headcount!$U$3,"Actual","Forecast")</f>
        <v>Actual</v>
      </c>
      <c r="Q4" s="4" t="str">
        <f>IF(Q3&lt;=Headcount!$U$3,"Actual","Forecast")</f>
        <v>Actual</v>
      </c>
      <c r="R4" s="4" t="str">
        <f>IF(R3&lt;=Headcount!$U$3,"Actual","Forecast")</f>
        <v>Actual</v>
      </c>
      <c r="S4" s="4" t="str">
        <f>IF(S3&lt;=Headcount!$U$3,"Actual","Forecast")</f>
        <v>Actual</v>
      </c>
      <c r="T4" s="4" t="str">
        <f>IF(T3&lt;=Headcount!$U$3,"Actual","Forecast")</f>
        <v>Actual</v>
      </c>
      <c r="U4" s="4" t="str">
        <f>IF(U3&lt;=Headcount!$U$3,"Actual","Forecast")</f>
        <v>Actual</v>
      </c>
      <c r="V4" s="4" t="str">
        <f>IF(V3&lt;=Headcount!$U$3,"Actual","Forecast")</f>
        <v>Actual</v>
      </c>
      <c r="W4" s="4" t="str">
        <f>IF(W3&lt;=Headcount!$U$3,"Actual","Forecast")</f>
        <v>Actual</v>
      </c>
      <c r="X4" s="4" t="str">
        <f>IF(X3&lt;=Headcount!$U$3,"Actual","Forecast")</f>
        <v>Actual</v>
      </c>
      <c r="Y4" s="4" t="str">
        <f>IF(Y3&lt;=Headcount!$U$3,"Actual","Forecast")</f>
        <v>Actual</v>
      </c>
      <c r="Z4" s="4" t="str">
        <f>IF(Z3&lt;=Headcount!$U$3,"Actual","Forecast")</f>
        <v>Actual</v>
      </c>
      <c r="AA4" s="792" t="s">
        <v>7</v>
      </c>
      <c r="AB4" s="792" t="s">
        <v>7</v>
      </c>
      <c r="AC4" s="792" t="s">
        <v>7</v>
      </c>
      <c r="AD4" s="792" t="s">
        <v>7</v>
      </c>
      <c r="AE4" s="792" t="s">
        <v>7</v>
      </c>
      <c r="AF4" s="792" t="s">
        <v>7</v>
      </c>
      <c r="AG4" s="792" t="s">
        <v>7</v>
      </c>
      <c r="AH4" s="792" t="s">
        <v>7</v>
      </c>
      <c r="AI4" s="792" t="s">
        <v>7</v>
      </c>
      <c r="AJ4" s="792" t="s">
        <v>7</v>
      </c>
      <c r="AK4" s="792" t="s">
        <v>7</v>
      </c>
      <c r="AL4" s="792" t="s">
        <v>7</v>
      </c>
      <c r="AM4" s="792" t="s">
        <v>7</v>
      </c>
      <c r="AN4" s="792" t="s">
        <v>7</v>
      </c>
      <c r="AO4" s="792" t="s">
        <v>7</v>
      </c>
      <c r="AP4" s="792" t="s">
        <v>7</v>
      </c>
      <c r="AQ4" s="792" t="s">
        <v>7</v>
      </c>
      <c r="AR4" s="792" t="s">
        <v>7</v>
      </c>
      <c r="AS4" s="792" t="s">
        <v>7</v>
      </c>
      <c r="AT4" s="792" t="s">
        <v>7</v>
      </c>
      <c r="AU4" s="792" t="s">
        <v>7</v>
      </c>
      <c r="AV4" s="792" t="s">
        <v>7</v>
      </c>
      <c r="AW4" s="792" t="s">
        <v>7</v>
      </c>
      <c r="AX4" s="792" t="s">
        <v>7</v>
      </c>
      <c r="AY4" s="792" t="s">
        <v>7</v>
      </c>
      <c r="AZ4" s="792" t="s">
        <v>7</v>
      </c>
      <c r="BA4" s="792" t="s">
        <v>7</v>
      </c>
      <c r="BB4" s="792" t="s">
        <v>7</v>
      </c>
      <c r="BC4" s="792" t="s">
        <v>7</v>
      </c>
      <c r="BD4" s="792" t="s">
        <v>7</v>
      </c>
      <c r="BE4" s="792" t="s">
        <v>7</v>
      </c>
      <c r="BF4" s="792" t="s">
        <v>7</v>
      </c>
      <c r="BG4" s="792" t="s">
        <v>7</v>
      </c>
      <c r="BH4" s="792" t="s">
        <v>7</v>
      </c>
      <c r="BI4" s="792" t="s">
        <v>7</v>
      </c>
      <c r="BJ4" s="792" t="s">
        <v>7</v>
      </c>
      <c r="BK4" s="792" t="s">
        <v>7</v>
      </c>
      <c r="BL4" s="792" t="s">
        <v>7</v>
      </c>
      <c r="BM4" s="792" t="s">
        <v>7</v>
      </c>
      <c r="BN4" s="792" t="s">
        <v>7</v>
      </c>
      <c r="BO4" s="792" t="s">
        <v>7</v>
      </c>
      <c r="BP4" s="792" t="s">
        <v>7</v>
      </c>
      <c r="BQ4" s="792" t="s">
        <v>7</v>
      </c>
      <c r="BR4" s="792" t="s">
        <v>7</v>
      </c>
      <c r="BS4" s="792" t="s">
        <v>7</v>
      </c>
      <c r="BT4" s="792" t="s">
        <v>7</v>
      </c>
      <c r="BU4" s="792" t="s">
        <v>7</v>
      </c>
      <c r="BV4" s="793" t="s">
        <v>7</v>
      </c>
    </row>
    <row r="5" spans="2:77" x14ac:dyDescent="0.35">
      <c r="B5" s="794" t="s">
        <v>68</v>
      </c>
      <c r="C5" s="795">
        <f t="shared" ref="C5:N5" si="0">MONTH(C3)</f>
        <v>1</v>
      </c>
      <c r="D5" s="795">
        <f t="shared" si="0"/>
        <v>2</v>
      </c>
      <c r="E5" s="795">
        <f t="shared" si="0"/>
        <v>3</v>
      </c>
      <c r="F5" s="795">
        <f t="shared" si="0"/>
        <v>4</v>
      </c>
      <c r="G5" s="795">
        <f t="shared" si="0"/>
        <v>5</v>
      </c>
      <c r="H5" s="795">
        <f t="shared" si="0"/>
        <v>6</v>
      </c>
      <c r="I5" s="795">
        <f t="shared" si="0"/>
        <v>7</v>
      </c>
      <c r="J5" s="795">
        <f t="shared" si="0"/>
        <v>8</v>
      </c>
      <c r="K5" s="795">
        <f t="shared" si="0"/>
        <v>9</v>
      </c>
      <c r="L5" s="795">
        <f t="shared" si="0"/>
        <v>10</v>
      </c>
      <c r="M5" s="795">
        <f t="shared" si="0"/>
        <v>11</v>
      </c>
      <c r="N5" s="795">
        <f t="shared" si="0"/>
        <v>12</v>
      </c>
      <c r="O5" s="795">
        <f>MONTH(O3)</f>
        <v>1</v>
      </c>
      <c r="P5" s="795">
        <f t="shared" ref="P5:BV5" si="1">MONTH(P3)</f>
        <v>2</v>
      </c>
      <c r="Q5" s="795">
        <f t="shared" si="1"/>
        <v>3</v>
      </c>
      <c r="R5" s="795">
        <f t="shared" si="1"/>
        <v>4</v>
      </c>
      <c r="S5" s="795">
        <f t="shared" si="1"/>
        <v>5</v>
      </c>
      <c r="T5" s="795">
        <f t="shared" si="1"/>
        <v>6</v>
      </c>
      <c r="U5" s="795">
        <f t="shared" si="1"/>
        <v>7</v>
      </c>
      <c r="V5" s="795">
        <f t="shared" si="1"/>
        <v>8</v>
      </c>
      <c r="W5" s="795">
        <f t="shared" si="1"/>
        <v>9</v>
      </c>
      <c r="X5" s="795">
        <f t="shared" si="1"/>
        <v>10</v>
      </c>
      <c r="Y5" s="795">
        <f t="shared" si="1"/>
        <v>11</v>
      </c>
      <c r="Z5" s="795">
        <f t="shared" si="1"/>
        <v>12</v>
      </c>
      <c r="AA5" s="795">
        <f t="shared" si="1"/>
        <v>1</v>
      </c>
      <c r="AB5" s="795">
        <f t="shared" si="1"/>
        <v>2</v>
      </c>
      <c r="AC5" s="795">
        <f t="shared" si="1"/>
        <v>3</v>
      </c>
      <c r="AD5" s="795">
        <f t="shared" si="1"/>
        <v>4</v>
      </c>
      <c r="AE5" s="795">
        <f t="shared" si="1"/>
        <v>5</v>
      </c>
      <c r="AF5" s="795">
        <f t="shared" si="1"/>
        <v>6</v>
      </c>
      <c r="AG5" s="795">
        <f t="shared" si="1"/>
        <v>7</v>
      </c>
      <c r="AH5" s="795">
        <f t="shared" si="1"/>
        <v>8</v>
      </c>
      <c r="AI5" s="795">
        <f t="shared" si="1"/>
        <v>9</v>
      </c>
      <c r="AJ5" s="795">
        <f t="shared" si="1"/>
        <v>10</v>
      </c>
      <c r="AK5" s="795">
        <f t="shared" si="1"/>
        <v>11</v>
      </c>
      <c r="AL5" s="795">
        <f t="shared" si="1"/>
        <v>12</v>
      </c>
      <c r="AM5" s="795">
        <f t="shared" si="1"/>
        <v>1</v>
      </c>
      <c r="AN5" s="795">
        <f t="shared" si="1"/>
        <v>2</v>
      </c>
      <c r="AO5" s="795">
        <f t="shared" si="1"/>
        <v>3</v>
      </c>
      <c r="AP5" s="795">
        <f t="shared" si="1"/>
        <v>4</v>
      </c>
      <c r="AQ5" s="795">
        <f t="shared" si="1"/>
        <v>5</v>
      </c>
      <c r="AR5" s="795">
        <f t="shared" si="1"/>
        <v>6</v>
      </c>
      <c r="AS5" s="795">
        <f t="shared" si="1"/>
        <v>7</v>
      </c>
      <c r="AT5" s="795">
        <f t="shared" si="1"/>
        <v>8</v>
      </c>
      <c r="AU5" s="795">
        <f t="shared" si="1"/>
        <v>9</v>
      </c>
      <c r="AV5" s="795">
        <f t="shared" si="1"/>
        <v>10</v>
      </c>
      <c r="AW5" s="795">
        <f t="shared" si="1"/>
        <v>11</v>
      </c>
      <c r="AX5" s="795">
        <f t="shared" si="1"/>
        <v>12</v>
      </c>
      <c r="AY5" s="795">
        <f t="shared" si="1"/>
        <v>1</v>
      </c>
      <c r="AZ5" s="795">
        <f t="shared" si="1"/>
        <v>2</v>
      </c>
      <c r="BA5" s="795">
        <f t="shared" si="1"/>
        <v>3</v>
      </c>
      <c r="BB5" s="795">
        <f t="shared" si="1"/>
        <v>4</v>
      </c>
      <c r="BC5" s="795">
        <f t="shared" si="1"/>
        <v>5</v>
      </c>
      <c r="BD5" s="795">
        <f t="shared" si="1"/>
        <v>6</v>
      </c>
      <c r="BE5" s="795">
        <f t="shared" si="1"/>
        <v>7</v>
      </c>
      <c r="BF5" s="795">
        <f t="shared" si="1"/>
        <v>8</v>
      </c>
      <c r="BG5" s="795">
        <f t="shared" si="1"/>
        <v>9</v>
      </c>
      <c r="BH5" s="795">
        <f t="shared" si="1"/>
        <v>10</v>
      </c>
      <c r="BI5" s="795">
        <f t="shared" si="1"/>
        <v>11</v>
      </c>
      <c r="BJ5" s="795">
        <f t="shared" si="1"/>
        <v>12</v>
      </c>
      <c r="BK5" s="795">
        <f t="shared" si="1"/>
        <v>1</v>
      </c>
      <c r="BL5" s="795">
        <f t="shared" si="1"/>
        <v>2</v>
      </c>
      <c r="BM5" s="795">
        <f t="shared" si="1"/>
        <v>3</v>
      </c>
      <c r="BN5" s="795">
        <f t="shared" si="1"/>
        <v>4</v>
      </c>
      <c r="BO5" s="795">
        <f t="shared" si="1"/>
        <v>5</v>
      </c>
      <c r="BP5" s="795">
        <f t="shared" si="1"/>
        <v>6</v>
      </c>
      <c r="BQ5" s="795">
        <f t="shared" si="1"/>
        <v>7</v>
      </c>
      <c r="BR5" s="795">
        <f t="shared" si="1"/>
        <v>8</v>
      </c>
      <c r="BS5" s="795">
        <f t="shared" si="1"/>
        <v>9</v>
      </c>
      <c r="BT5" s="795">
        <f t="shared" si="1"/>
        <v>10</v>
      </c>
      <c r="BU5" s="795">
        <f t="shared" si="1"/>
        <v>11</v>
      </c>
      <c r="BV5" s="796">
        <f t="shared" si="1"/>
        <v>12</v>
      </c>
    </row>
    <row r="6" spans="2:77" ht="15.5" x14ac:dyDescent="0.35">
      <c r="B6" s="797"/>
      <c r="C6" s="798"/>
      <c r="D6" s="798"/>
      <c r="E6" s="798"/>
      <c r="F6" s="798"/>
      <c r="G6" s="798"/>
      <c r="H6" s="798"/>
      <c r="I6" s="798"/>
      <c r="J6" s="798"/>
      <c r="K6" s="798"/>
      <c r="L6" s="798"/>
      <c r="M6" s="798"/>
      <c r="N6" s="798"/>
      <c r="O6" s="798"/>
      <c r="P6" s="798"/>
      <c r="Q6" s="798"/>
      <c r="R6" s="798"/>
      <c r="S6" s="798"/>
      <c r="T6" s="798"/>
      <c r="U6" s="798"/>
      <c r="V6" s="798"/>
      <c r="W6" s="798"/>
      <c r="X6" s="798"/>
      <c r="Y6" s="798"/>
      <c r="Z6" s="798"/>
      <c r="AA6" s="798"/>
      <c r="AB6" s="798"/>
      <c r="AC6" s="798"/>
      <c r="AD6" s="798"/>
      <c r="AE6" s="798"/>
      <c r="AF6" s="798"/>
      <c r="AG6" s="798"/>
      <c r="AH6" s="798"/>
      <c r="AI6" s="798"/>
      <c r="AJ6" s="798"/>
      <c r="AK6" s="798"/>
      <c r="AL6" s="798"/>
      <c r="AM6" s="798"/>
      <c r="AN6" s="798"/>
      <c r="AO6" s="798"/>
      <c r="AP6" s="798"/>
      <c r="AQ6" s="798"/>
      <c r="AR6" s="798"/>
      <c r="AS6" s="798"/>
      <c r="AT6" s="798"/>
      <c r="AU6" s="798"/>
      <c r="AV6" s="798"/>
      <c r="AW6" s="798"/>
      <c r="AX6" s="798"/>
      <c r="AY6" s="798"/>
      <c r="AZ6" s="798"/>
      <c r="BA6" s="798"/>
      <c r="BB6" s="798"/>
      <c r="BC6" s="798"/>
      <c r="BD6" s="798"/>
      <c r="BE6" s="798"/>
      <c r="BF6" s="798"/>
      <c r="BG6" s="798"/>
      <c r="BH6" s="798"/>
      <c r="BI6" s="798"/>
      <c r="BJ6" s="798"/>
      <c r="BK6" s="798"/>
      <c r="BL6" s="798"/>
      <c r="BM6" s="798"/>
      <c r="BN6" s="798"/>
      <c r="BO6" s="798"/>
      <c r="BP6" s="798"/>
      <c r="BQ6" s="798"/>
      <c r="BR6" s="798"/>
      <c r="BS6" s="798"/>
      <c r="BT6" s="798"/>
      <c r="BU6" s="798"/>
      <c r="BV6" s="799"/>
      <c r="BY6" s="1035"/>
    </row>
    <row r="7" spans="2:77" x14ac:dyDescent="0.35">
      <c r="B7" s="794" t="s">
        <v>14</v>
      </c>
      <c r="C7" s="798">
        <f>SUMIFS(Headcount!$B$6:$B$89,Headcount!$F$6:$F$89,"Sales",Headcount!$H$6:$H$89,"&gt;"&amp;C3,Headcount!$G$6:$G$89,"&lt;"&amp;C3)</f>
        <v>8</v>
      </c>
      <c r="D7" s="799">
        <f>IF(D4="forecast",IF(C4="actual",(SUMIFS(Headcount!$B$6:$B$89,Headcount!$F$6:$F$89,"Sales",Headcount!$H$6:$H$89,"&gt;"&amp;D3,Headcount!$G$6:$G$89,"&lt;"&amp;D3)+D8-D9),(C7+D8-D9)),SUMIFS(Headcount!$B$6:$B$89,Headcount!$F$6:$F$89,"Sales",Headcount!$H$6:$H$89,"&gt;"&amp;D3,Headcount!$G$6:$G$89,"&lt;"&amp;C3))</f>
        <v>8</v>
      </c>
      <c r="E7" s="798">
        <f>IF(E4="forecast",IF(D4="actual",(SUMIFS(Headcount!$B$6:$B$89,Headcount!$F$6:$F$89,"Sales",Headcount!$H$6:$H$89,"&gt;"&amp;E3,Headcount!$G$6:$G$89,"&lt;"&amp;E3)+E8-E9),(D7+E8-E9)),SUMIFS(Headcount!$B$6:$B$89,Headcount!$F$6:$F$89,"Sales",Headcount!$H$6:$H$89,"&gt;"&amp;E3,Headcount!$G$6:$G$89,"&lt;"&amp;D3))</f>
        <v>8</v>
      </c>
      <c r="F7" s="798">
        <f>IF(F4="forecast",IF(E4="actual",(SUMIFS(Headcount!$B$6:$B$89,Headcount!$F$6:$F$89,"Sales",Headcount!$H$6:$H$89,"&gt;"&amp;F3,Headcount!$G$6:$G$89,"&lt;"&amp;F3)+F8-F9),(E7+F8-F9)),SUMIFS(Headcount!$B$6:$B$89,Headcount!$F$6:$F$89,"Sales",Headcount!$H$6:$H$89,"&gt;"&amp;F3,Headcount!$G$6:$G$89,"&lt;"&amp;E3))</f>
        <v>8</v>
      </c>
      <c r="G7" s="798">
        <f>IF(G4="forecast",IF(F4="actual",(SUMIFS(Headcount!$B$6:$B$89,Headcount!$F$6:$F$89,"Sales",Headcount!$H$6:$H$89,"&gt;"&amp;G3,Headcount!$G$6:$G$89,"&lt;"&amp;G3)+G8-G9),(F7+G8-G9)),SUMIFS(Headcount!$B$6:$B$89,Headcount!$F$6:$F$89,"Sales",Headcount!$H$6:$H$89,"&gt;"&amp;G3,Headcount!$G$6:$G$89,"&lt;"&amp;F3))</f>
        <v>8</v>
      </c>
      <c r="H7" s="798">
        <f>IF(H4="forecast",IF(G4="actual",(SUMIFS(Headcount!$B$6:$B$89,Headcount!$F$6:$F$89,"Sales",Headcount!$H$6:$H$89,"&gt;"&amp;H3,Headcount!$G$6:$G$89,"&lt;"&amp;H3)+H8-H9),(G7+H8-H9)),SUMIFS(Headcount!$B$6:$B$89,Headcount!$F$6:$F$89,"Sales",Headcount!$H$6:$H$89,"&gt;"&amp;H3,Headcount!$G$6:$G$89,"&lt;"&amp;G3))</f>
        <v>8</v>
      </c>
      <c r="I7" s="798">
        <f>IF(I4="forecast",IF(H4="actual",(SUMIFS(Headcount!$B$6:$B$89,Headcount!$F$6:$F$89,"Sales",Headcount!$H$6:$H$89,"&gt;"&amp;I3,Headcount!$G$6:$G$89,"&lt;"&amp;I3)+I8-I9),(H7+I8-I9)),SUMIFS(Headcount!$B$6:$B$89,Headcount!$F$6:$F$89,"Sales",Headcount!$H$6:$H$89,"&gt;"&amp;I3,Headcount!$G$6:$G$89,"&lt;"&amp;H3))</f>
        <v>8</v>
      </c>
      <c r="J7" s="798">
        <f>IF(J4="forecast",IF(I4="actual",(SUMIFS(Headcount!$B$6:$B$89,Headcount!$F$6:$F$89,"Sales",Headcount!$H$6:$H$89,"&gt;"&amp;J3,Headcount!$G$6:$G$89,"&lt;"&amp;J3)+J8-J9),(I7+J8-J9)),SUMIFS(Headcount!$B$6:$B$89,Headcount!$F$6:$F$89,"Sales",Headcount!$H$6:$H$89,"&gt;"&amp;J3,Headcount!$G$6:$G$89,"&lt;"&amp;I3))</f>
        <v>8</v>
      </c>
      <c r="K7" s="798">
        <f>IF(K4="forecast",IF(J4="actual",(SUMIFS(Headcount!$B$6:$B$89,Headcount!$F$6:$F$89,"Sales",Headcount!$H$6:$H$89,"&gt;"&amp;K3,Headcount!$G$6:$G$89,"&lt;"&amp;K3)+K8-K9),(J7+K8-K9)),SUMIFS(Headcount!$B$6:$B$89,Headcount!$F$6:$F$89,"Sales",Headcount!$H$6:$H$89,"&gt;"&amp;K3,Headcount!$G$6:$G$89,"&lt;"&amp;J3))</f>
        <v>8</v>
      </c>
      <c r="L7" s="798">
        <f>IF(L4="forecast",IF(K4="actual",(SUMIFS(Headcount!$B$6:$B$89,Headcount!$F$6:$F$89,"Sales",Headcount!$H$6:$H$89,"&gt;"&amp;L3,Headcount!$G$6:$G$89,"&lt;"&amp;L3)+L8-L9),(K7+L8-L9)),SUMIFS(Headcount!$B$6:$B$89,Headcount!$F$6:$F$89,"Sales",Headcount!$H$6:$H$89,"&gt;"&amp;L3,Headcount!$G$6:$G$89,"&lt;"&amp;K3))</f>
        <v>8</v>
      </c>
      <c r="M7" s="798">
        <f>IF(M4="forecast",IF(L4="actual",(SUMIFS(Headcount!$B$6:$B$89,Headcount!$F$6:$F$89,"Sales",Headcount!$H$6:$H$89,"&gt;"&amp;M3,Headcount!$G$6:$G$89,"&lt;"&amp;M3)+M8-M9),(L7+M8-M9)),SUMIFS(Headcount!$B$6:$B$89,Headcount!$F$6:$F$89,"Sales",Headcount!$H$6:$H$89,"&gt;"&amp;M3,Headcount!$G$6:$G$89,"&lt;"&amp;L3))</f>
        <v>8</v>
      </c>
      <c r="N7" s="798">
        <f>IF(N4="forecast",IF(M4="actual",(SUMIFS(Headcount!$B$6:$B$89,Headcount!$F$6:$F$89,"Sales",Headcount!$H$6:$H$89,"&gt;"&amp;N3,Headcount!$G$6:$G$89,"&lt;"&amp;N3)+N8-N9),(M7+N8-N9)),SUMIFS(Headcount!$B$6:$B$89,Headcount!$F$6:$F$89,"Sales",Headcount!$H$6:$H$89,"&gt;"&amp;N3,Headcount!$G$6:$G$89,"&lt;"&amp;M3))</f>
        <v>10</v>
      </c>
      <c r="O7" s="798">
        <f>IF(O4="forecast",IF(N4="actual",(SUMIFS(Headcount!$B$6:$B$89,Headcount!$F$6:$F$89,"Sales",Headcount!$H$6:$H$89,"&gt;"&amp;O3,Headcount!$G$6:$G$89,"&lt;"&amp;O3)+O8-O9),(N7+O8-O9)),SUMIFS(Headcount!$B$6:$B$89,Headcount!$F$6:$F$89,"Sales",Headcount!$H$6:$H$89,"&gt;"&amp;O3,Headcount!$G$6:$G$89,"&lt;"&amp;N3))</f>
        <v>11</v>
      </c>
      <c r="P7" s="798">
        <f>IF(P4="forecast",IF(O4="actual",(SUMIFS(Headcount!$B$6:$B$89,Headcount!$F$6:$F$89,"Sales",Headcount!$H$6:$H$89,"&gt;"&amp;P3,Headcount!$G$6:$G$89,"&lt;"&amp;P3)+P8-P9),(O7+P8-P9)),SUMIFS(Headcount!$B$6:$B$89,Headcount!$F$6:$F$89,"Sales",Headcount!$H$6:$H$89,"&gt;"&amp;P3,Headcount!$G$6:$G$89,"&lt;"&amp;O3))</f>
        <v>11</v>
      </c>
      <c r="Q7" s="798">
        <f>IF(Q4="forecast",IF(P4="actual",(SUMIFS(Headcount!$B$6:$B$89,Headcount!$F$6:$F$89,"Sales",Headcount!$H$6:$H$89,"&gt;"&amp;Q3,Headcount!$G$6:$G$89,"&lt;"&amp;Q3)+Q8-Q9),(P7+Q8-Q9)),SUMIFS(Headcount!$B$6:$B$89,Headcount!$F$6:$F$89,"Sales",Headcount!$H$6:$H$89,"&gt;"&amp;Q3,Headcount!$G$6:$G$89,"&lt;"&amp;P3))</f>
        <v>16</v>
      </c>
      <c r="R7" s="798">
        <f>IF(R4="forecast",IF(Q4="actual",(SUMIFS(Headcount!$B$6:$B$89,Headcount!$F$6:$F$89,"Sales",Headcount!$H$6:$H$89,"&gt;"&amp;R3,Headcount!$G$6:$G$89,"&lt;"&amp;R3)+R8-R9),(Q7+R8-R9)),SUMIFS(Headcount!$B$6:$B$89,Headcount!$F$6:$F$89,"Sales",Headcount!$H$6:$H$89,"&gt;"&amp;R3,Headcount!$G$6:$G$89,"&lt;"&amp;Q3))</f>
        <v>16</v>
      </c>
      <c r="S7" s="798">
        <f>IF(S4="forecast",IF(R4="actual",(SUMIFS(Headcount!$B$6:$B$89,Headcount!$F$6:$F$89,"Sales",Headcount!$H$6:$H$89,"&gt;"&amp;S3,Headcount!$G$6:$G$89,"&lt;"&amp;S3)+S8-S9),(R7+S8-S9)),SUMIFS(Headcount!$B$6:$B$89,Headcount!$F$6:$F$89,"Sales",Headcount!$H$6:$H$89,"&gt;"&amp;S3,Headcount!$G$6:$G$89,"&lt;"&amp;R3))</f>
        <v>16</v>
      </c>
      <c r="T7" s="798">
        <f>IF(T4="forecast",IF(S4="actual",(SUMIFS(Headcount!$B$6:$B$89,Headcount!$F$6:$F$89,"Sales",Headcount!$H$6:$H$89,"&gt;"&amp;T3,Headcount!$G$6:$G$89,"&lt;"&amp;T3)+T8-T9),(S7+T8-T9)),SUMIFS(Headcount!$B$6:$B$89,Headcount!$F$6:$F$89,"Sales",Headcount!$H$6:$H$89,"&gt;"&amp;T3,Headcount!$G$6:$G$89,"&lt;"&amp;S3))</f>
        <v>16</v>
      </c>
      <c r="U7" s="798">
        <f>IF(U4="forecast",IF(T4="actual",(SUMIFS(Headcount!$B$6:$B$89,Headcount!$F$6:$F$89,"Sales",Headcount!$H$6:$H$89,"&gt;"&amp;U3,Headcount!$G$6:$G$89,"&lt;"&amp;U3)+U8-U9),(T7+U8-U9)),SUMIFS(Headcount!$B$6:$B$89,Headcount!$F$6:$F$89,"Sales",Headcount!$H$6:$H$89,"&gt;"&amp;U3,Headcount!$G$6:$G$89,"&lt;"&amp;T3))</f>
        <v>17</v>
      </c>
      <c r="V7" s="798">
        <f>IF(V4="forecast",IF(U4="actual",(SUMIFS(Headcount!$B$6:$B$89,Headcount!$F$6:$F$89,"Sales",Headcount!$H$6:$H$89,"&gt;"&amp;V3,Headcount!$G$6:$G$89,"&lt;"&amp;V3)+V8-V9),(U7+V8-V9)),SUMIFS(Headcount!$B$6:$B$89,Headcount!$F$6:$F$89,"Sales",Headcount!$H$6:$H$89,"&gt;"&amp;V3,Headcount!$G$6:$G$89,"&lt;"&amp;U3))</f>
        <v>17</v>
      </c>
      <c r="W7" s="798">
        <f>IF(W4="forecast",IF(V4="actual",(SUMIFS(Headcount!$B$6:$B$89,Headcount!$F$6:$F$89,"Sales",Headcount!$H$6:$H$89,"&gt;"&amp;W3,Headcount!$G$6:$G$89,"&lt;"&amp;W3)+W8-W9),(V7+W8-W9)),SUMIFS(Headcount!$B$6:$B$89,Headcount!$F$6:$F$89,"Sales",Headcount!$H$6:$H$89,"&gt;"&amp;W3,Headcount!$G$6:$G$89,"&lt;"&amp;V3))</f>
        <v>19</v>
      </c>
      <c r="X7" s="798">
        <f>IF(X4="forecast",IF(W4="actual",(SUMIFS(Headcount!$B$6:$B$89,Headcount!$F$6:$F$89,"Sales",Headcount!$H$6:$H$89,"&gt;"&amp;X3,Headcount!$G$6:$G$89,"&lt;"&amp;X3)+X8-X9),(W7+X8-X9)),SUMIFS(Headcount!$B$6:$B$89,Headcount!$F$6:$F$89,"Sales",Headcount!$H$6:$H$89,"&gt;"&amp;X3,Headcount!$G$6:$G$89,"&lt;"&amp;W3))</f>
        <v>18</v>
      </c>
      <c r="Y7" s="798">
        <f>IF(Y4="forecast",IF(X4="actual",(SUMIFS(Headcount!$B$6:$B$89,Headcount!$F$6:$F$89,"Sales",Headcount!$H$6:$H$89,"&gt;"&amp;Y3,Headcount!$G$6:$G$89,"&lt;"&amp;Y3)+Y8-Y9),(X7+Y8-Y9)),SUMIFS(Headcount!$B$6:$B$89,Headcount!$F$6:$F$89,"Sales",Headcount!$H$6:$H$89,"&gt;"&amp;Y3,Headcount!$G$6:$G$89,"&lt;"&amp;X3))</f>
        <v>17</v>
      </c>
      <c r="Z7" s="798">
        <f>IF(Z4="forecast",IF(Y4="actual",(SUMIFS(Headcount!$B$6:$B$89,Headcount!$F$6:$F$89,"Sales",Headcount!$H$6:$H$89,"&gt;"&amp;Z3,Headcount!$G$6:$G$89,"&lt;"&amp;Z3)+Z8-Z9),(Y7+Z8-Z9)),SUMIFS(Headcount!$B$6:$B$89,Headcount!$F$6:$F$89,"Sales",Headcount!$H$6:$H$89,"&gt;"&amp;Z3,Headcount!$G$6:$G$89,"&lt;"&amp;Y3))</f>
        <v>19</v>
      </c>
      <c r="AA7" s="798">
        <f>IF(AA4="forecast",IF(Z4="actual",(SUMIFS(Headcount!$B$6:$B$89,Headcount!$F$6:$F$89,"Sales",Headcount!$H$6:$H$89,"&gt;"&amp;AA3,Headcount!$G$6:$G$89,"&lt;"&amp;AA3)+AA8-AA9),(Z7+AA8-AA9)),SUMIFS(Headcount!$B$6:$B$89,Headcount!$F$6:$F$89,"Sales",Headcount!$H$6:$H$89,"&gt;"&amp;AA3,Headcount!$G$6:$G$89,"&lt;"&amp;Z3))</f>
        <v>20</v>
      </c>
      <c r="AB7" s="798">
        <f>IF(AB4="forecast",IF(AA4="actual",(SUMIFS(Headcount!$B$6:$B$89,Headcount!$F$6:$F$89,"Sales",Headcount!$H$6:$H$89,"&gt;"&amp;AB3,Headcount!$G$6:$G$89,"&lt;"&amp;AB3)+AB8-AB9),(AA7+AB8-AB9)),SUMIFS(Headcount!$B$6:$B$89,Headcount!$F$6:$F$89,"Sales",Headcount!$H$6:$H$89,"&gt;"&amp;AB3,Headcount!$G$6:$G$89,"&lt;"&amp;AA3))</f>
        <v>21</v>
      </c>
      <c r="AC7" s="798">
        <f>IF(AC4="forecast",IF(AB4="actual",(SUMIFS(Headcount!$B$6:$B$89,Headcount!$F$6:$F$89,"Sales",Headcount!$H$6:$H$89,"&gt;"&amp;AC3,Headcount!$G$6:$G$89,"&lt;"&amp;AC3)+AC8-AC9),(AB7+AC8-AC9)),SUMIFS(Headcount!$B$6:$B$89,Headcount!$F$6:$F$89,"Sales",Headcount!$H$6:$H$89,"&gt;"&amp;AC3,Headcount!$G$6:$G$89,"&lt;"&amp;AB3))</f>
        <v>21</v>
      </c>
      <c r="AD7" s="798">
        <f>IF(AD4="forecast",IF(AC4="actual",(SUMIFS(Headcount!$B$6:$B$89,Headcount!$F$6:$F$89,"Sales",Headcount!$H$6:$H$89,"&gt;"&amp;AD3,Headcount!$G$6:$G$89,"&lt;"&amp;AD3)+AD8-AD9),(AC7+AD8-AD9)),SUMIFS(Headcount!$B$6:$B$89,Headcount!$F$6:$F$89,"Sales",Headcount!$H$6:$H$89,"&gt;"&amp;AD3,Headcount!$G$6:$G$89,"&lt;"&amp;AC3))</f>
        <v>23</v>
      </c>
      <c r="AE7" s="798">
        <f>IF(AE4="forecast",IF(AD4="actual",(SUMIFS(Headcount!$B$6:$B$89,Headcount!$F$6:$F$89,"Sales",Headcount!$H$6:$H$89,"&gt;"&amp;AE3,Headcount!$G$6:$G$89,"&lt;"&amp;AE3)+AE8-AE9),(AD7+AE8-AE9)),SUMIFS(Headcount!$B$6:$B$89,Headcount!$F$6:$F$89,"Sales",Headcount!$H$6:$H$89,"&gt;"&amp;AE3,Headcount!$G$6:$G$89,"&lt;"&amp;AD3))</f>
        <v>23</v>
      </c>
      <c r="AF7" s="798">
        <f>IF(AF4="forecast",IF(AE4="actual",(SUMIFS(Headcount!$B$6:$B$89,Headcount!$F$6:$F$89,"Sales",Headcount!$H$6:$H$89,"&gt;"&amp;AF3,Headcount!$G$6:$G$89,"&lt;"&amp;AF3)+AF8-AF9),(AE7+AF8-AF9)),SUMIFS(Headcount!$B$6:$B$89,Headcount!$F$6:$F$89,"Sales",Headcount!$H$6:$H$89,"&gt;"&amp;AF3,Headcount!$G$6:$G$89,"&lt;"&amp;AE3))</f>
        <v>23</v>
      </c>
      <c r="AG7" s="798">
        <f>IF(AG4="forecast",IF(AF4="actual",(SUMIFS(Headcount!$B$6:$B$89,Headcount!$F$6:$F$89,"Sales",Headcount!$H$6:$H$89,"&gt;"&amp;AG3,Headcount!$G$6:$G$89,"&lt;"&amp;AG3)+AG8-AG9),(AF7+AG8-AG9)),SUMIFS(Headcount!$B$6:$B$89,Headcount!$F$6:$F$89,"Sales",Headcount!$H$6:$H$89,"&gt;"&amp;AG3,Headcount!$G$6:$G$89,"&lt;"&amp;AF3))</f>
        <v>25</v>
      </c>
      <c r="AH7" s="798">
        <f>IF(AH4="forecast",IF(AG4="actual",(SUMIFS(Headcount!$B$6:$B$89,Headcount!$F$6:$F$89,"Sales",Headcount!$H$6:$H$89,"&gt;"&amp;AH3,Headcount!$G$6:$G$89,"&lt;"&amp;AH3)+AH8-AH9),(AG7+AH8-AH9)),SUMIFS(Headcount!$B$6:$B$89,Headcount!$F$6:$F$89,"Sales",Headcount!$H$6:$H$89,"&gt;"&amp;AH3,Headcount!$G$6:$G$89,"&lt;"&amp;AG3))</f>
        <v>25</v>
      </c>
      <c r="AI7" s="798">
        <f>IF(AI4="forecast",IF(AH4="actual",(SUMIFS(Headcount!$B$6:$B$89,Headcount!$F$6:$F$89,"Sales",Headcount!$H$6:$H$89,"&gt;"&amp;AI3,Headcount!$G$6:$G$89,"&lt;"&amp;AI3)+AI8-AI9),(AH7+AI8-AI9)),SUMIFS(Headcount!$B$6:$B$89,Headcount!$F$6:$F$89,"Sales",Headcount!$H$6:$H$89,"&gt;"&amp;AI3,Headcount!$G$6:$G$89,"&lt;"&amp;AH3))</f>
        <v>25</v>
      </c>
      <c r="AJ7" s="798">
        <f>IF(AJ4="forecast",IF(AI4="actual",(SUMIFS(Headcount!$B$6:$B$89,Headcount!$F$6:$F$89,"Sales",Headcount!$H$6:$H$89,"&gt;"&amp;AJ3,Headcount!$G$6:$G$89,"&lt;"&amp;AJ3)+AJ8-AJ9),(AI7+AJ8-AJ9)),SUMIFS(Headcount!$B$6:$B$89,Headcount!$F$6:$F$89,"Sales",Headcount!$H$6:$H$89,"&gt;"&amp;AJ3,Headcount!$G$6:$G$89,"&lt;"&amp;AI3))</f>
        <v>25</v>
      </c>
      <c r="AK7" s="798">
        <f>IF(AK4="forecast",IF(AJ4="actual",(SUMIFS(Headcount!$B$6:$B$89,Headcount!$F$6:$F$89,"Sales",Headcount!$H$6:$H$89,"&gt;"&amp;AK3,Headcount!$G$6:$G$89,"&lt;"&amp;AK3)+AK8-AK9),(AJ7+AK8-AK9)),SUMIFS(Headcount!$B$6:$B$89,Headcount!$F$6:$F$89,"Sales",Headcount!$H$6:$H$89,"&gt;"&amp;AK3,Headcount!$G$6:$G$89,"&lt;"&amp;AJ3))</f>
        <v>25</v>
      </c>
      <c r="AL7" s="798">
        <f>IF(AL4="forecast",IF(AK4="actual",(SUMIFS(Headcount!$B$6:$B$89,Headcount!$F$6:$F$89,"Sales",Headcount!$H$6:$H$89,"&gt;"&amp;AL3,Headcount!$G$6:$G$89,"&lt;"&amp;AL3)+AL8-AL9),(AK7+AL8-AL9)),SUMIFS(Headcount!$B$6:$B$89,Headcount!$F$6:$F$89,"Sales",Headcount!$H$6:$H$89,"&gt;"&amp;AL3,Headcount!$G$6:$G$89,"&lt;"&amp;AK3))</f>
        <v>25</v>
      </c>
      <c r="AM7" s="798">
        <f>IF(AM4="forecast",IF(AL4="actual",(SUMIFS(Headcount!$B$6:$B$89,Headcount!$F$6:$F$89,"Sales",Headcount!$H$6:$H$89,"&gt;"&amp;AM3,Headcount!$G$6:$G$89,"&lt;"&amp;AM3)+AM8-AM9),(AL7+AM8-AM9)),SUMIFS(Headcount!$B$6:$B$89,Headcount!$F$6:$F$89,"Sales",Headcount!$H$6:$H$89,"&gt;"&amp;AM3,Headcount!$G$6:$G$89,"&lt;"&amp;AL3))</f>
        <v>25</v>
      </c>
      <c r="AN7" s="798">
        <f>IF(AN4="forecast",IF(AM4="actual",(SUMIFS(Headcount!$B$6:$B$89,Headcount!$F$6:$F$89,"Sales",Headcount!$H$6:$H$89,"&gt;"&amp;AN3,Headcount!$G$6:$G$89,"&lt;"&amp;AN3)+AN8-AN9),(AM7+AN8-AN9)),SUMIFS(Headcount!$B$6:$B$89,Headcount!$F$6:$F$89,"Sales",Headcount!$H$6:$H$89,"&gt;"&amp;AN3,Headcount!$G$6:$G$89,"&lt;"&amp;AM3))</f>
        <v>25</v>
      </c>
      <c r="AO7" s="798">
        <f>IF(AO4="forecast",IF(AN4="actual",(SUMIFS(Headcount!$B$6:$B$89,Headcount!$F$6:$F$89,"Sales",Headcount!$H$6:$H$89,"&gt;"&amp;AO3,Headcount!$G$6:$G$89,"&lt;"&amp;AO3)+AO8-AO9),(AN7+AO8-AO9)),SUMIFS(Headcount!$B$6:$B$89,Headcount!$F$6:$F$89,"Sales",Headcount!$H$6:$H$89,"&gt;"&amp;AO3,Headcount!$G$6:$G$89,"&lt;"&amp;AN3))</f>
        <v>25</v>
      </c>
      <c r="AP7" s="798">
        <f>IF(AP4="forecast",IF(AO4="actual",(SUMIFS(Headcount!$B$6:$B$89,Headcount!$F$6:$F$89,"Sales",Headcount!$H$6:$H$89,"&gt;"&amp;AP3,Headcount!$G$6:$G$89,"&lt;"&amp;AP3)+AP8-AP9),(AO7+AP8-AP9)),SUMIFS(Headcount!$B$6:$B$89,Headcount!$F$6:$F$89,"Sales",Headcount!$H$6:$H$89,"&gt;"&amp;AP3,Headcount!$G$6:$G$89,"&lt;"&amp;AO3))</f>
        <v>25</v>
      </c>
      <c r="AQ7" s="798">
        <f>IF(AQ4="forecast",IF(AP4="actual",(SUMIFS(Headcount!$B$6:$B$89,Headcount!$F$6:$F$89,"Sales",Headcount!$H$6:$H$89,"&gt;"&amp;AQ3,Headcount!$G$6:$G$89,"&lt;"&amp;AQ3)+AQ8-AQ9),(AP7+AQ8-AQ9)),SUMIFS(Headcount!$B$6:$B$89,Headcount!$F$6:$F$89,"Sales",Headcount!$H$6:$H$89,"&gt;"&amp;AQ3,Headcount!$G$6:$G$89,"&lt;"&amp;AP3))</f>
        <v>25</v>
      </c>
      <c r="AR7" s="798">
        <f>IF(AR4="forecast",IF(AQ4="actual",(SUMIFS(Headcount!$B$6:$B$89,Headcount!$F$6:$F$89,"Sales",Headcount!$H$6:$H$89,"&gt;"&amp;AR3,Headcount!$G$6:$G$89,"&lt;"&amp;AR3)+AR8-AR9),(AQ7+AR8-AR9)),SUMIFS(Headcount!$B$6:$B$89,Headcount!$F$6:$F$89,"Sales",Headcount!$H$6:$H$89,"&gt;"&amp;AR3,Headcount!$G$6:$G$89,"&lt;"&amp;AQ3))</f>
        <v>25</v>
      </c>
      <c r="AS7" s="798">
        <f>IF(AS4="forecast",IF(AR4="actual",(SUMIFS(Headcount!$B$6:$B$89,Headcount!$F$6:$F$89,"Sales",Headcount!$H$6:$H$89,"&gt;"&amp;AS3,Headcount!$G$6:$G$89,"&lt;"&amp;AS3)+AS8-AS9),(AR7+AS8-AS9)),SUMIFS(Headcount!$B$6:$B$89,Headcount!$F$6:$F$89,"Sales",Headcount!$H$6:$H$89,"&gt;"&amp;AS3,Headcount!$G$6:$G$89,"&lt;"&amp;AR3))</f>
        <v>25</v>
      </c>
      <c r="AT7" s="798">
        <f>IF(AT4="forecast",IF(AS4="actual",(SUMIFS(Headcount!$B$6:$B$89,Headcount!$F$6:$F$89,"Sales",Headcount!$H$6:$H$89,"&gt;"&amp;AT3,Headcount!$G$6:$G$89,"&lt;"&amp;AT3)+AT8-AT9),(AS7+AT8-AT9)),SUMIFS(Headcount!$B$6:$B$89,Headcount!$F$6:$F$89,"Sales",Headcount!$H$6:$H$89,"&gt;"&amp;AT3,Headcount!$G$6:$G$89,"&lt;"&amp;AS3))</f>
        <v>25</v>
      </c>
      <c r="AU7" s="798">
        <f>IF(AU4="forecast",IF(AT4="actual",(SUMIFS(Headcount!$B$6:$B$89,Headcount!$F$6:$F$89,"Sales",Headcount!$H$6:$H$89,"&gt;"&amp;AU3,Headcount!$G$6:$G$89,"&lt;"&amp;AU3)+AU8-AU9),(AT7+AU8-AU9)),SUMIFS(Headcount!$B$6:$B$89,Headcount!$F$6:$F$89,"Sales",Headcount!$H$6:$H$89,"&gt;"&amp;AU3,Headcount!$G$6:$G$89,"&lt;"&amp;AT3))</f>
        <v>25</v>
      </c>
      <c r="AV7" s="798">
        <f>IF(AV4="forecast",IF(AU4="actual",(SUMIFS(Headcount!$B$6:$B$89,Headcount!$F$6:$F$89,"Sales",Headcount!$H$6:$H$89,"&gt;"&amp;AV3,Headcount!$G$6:$G$89,"&lt;"&amp;AV3)+AV8-AV9),(AU7+AV8-AV9)),SUMIFS(Headcount!$B$6:$B$89,Headcount!$F$6:$F$89,"Sales",Headcount!$H$6:$H$89,"&gt;"&amp;AV3,Headcount!$G$6:$G$89,"&lt;"&amp;AU3))</f>
        <v>25</v>
      </c>
      <c r="AW7" s="798">
        <f>IF(AW4="forecast",IF(AV4="actual",(SUMIFS(Headcount!$B$6:$B$89,Headcount!$F$6:$F$89,"Sales",Headcount!$H$6:$H$89,"&gt;"&amp;AW3,Headcount!$G$6:$G$89,"&lt;"&amp;AW3)+AW8-AW9),(AV7+AW8-AW9)),SUMIFS(Headcount!$B$6:$B$89,Headcount!$F$6:$F$89,"Sales",Headcount!$H$6:$H$89,"&gt;"&amp;AW3,Headcount!$G$6:$G$89,"&lt;"&amp;AV3))</f>
        <v>25</v>
      </c>
      <c r="AX7" s="798">
        <f>IF(AX4="forecast",IF(AW4="actual",(SUMIFS(Headcount!$B$6:$B$89,Headcount!$F$6:$F$89,"Sales",Headcount!$H$6:$H$89,"&gt;"&amp;AX3,Headcount!$G$6:$G$89,"&lt;"&amp;AX3)+AX8-AX9),(AW7+AX8-AX9)),SUMIFS(Headcount!$B$6:$B$89,Headcount!$F$6:$F$89,"Sales",Headcount!$H$6:$H$89,"&gt;"&amp;AX3,Headcount!$G$6:$G$89,"&lt;"&amp;AW3))</f>
        <v>25</v>
      </c>
      <c r="AY7" s="798">
        <f>IF(AY4="forecast",IF(AX4="actual",(SUMIFS(Headcount!$B$6:$B$89,Headcount!$F$6:$F$89,"Sales",Headcount!$H$6:$H$89,"&gt;"&amp;AY3,Headcount!$G$6:$G$89,"&lt;"&amp;AY3)+AY8-AY9),(AX7+AY8-AY9)),SUMIFS(Headcount!$B$6:$B$89,Headcount!$F$6:$F$89,"Sales",Headcount!$H$6:$H$89,"&gt;"&amp;AY3,Headcount!$G$6:$G$89,"&lt;"&amp;AX3))</f>
        <v>25</v>
      </c>
      <c r="AZ7" s="798">
        <f>IF(AZ4="forecast",IF(AY4="actual",(SUMIFS(Headcount!$B$6:$B$89,Headcount!$F$6:$F$89,"Sales",Headcount!$H$6:$H$89,"&gt;"&amp;AZ3,Headcount!$G$6:$G$89,"&lt;"&amp;AZ3)+AZ8-AZ9),(AY7+AZ8-AZ9)),SUMIFS(Headcount!$B$6:$B$89,Headcount!$F$6:$F$89,"Sales",Headcount!$H$6:$H$89,"&gt;"&amp;AZ3,Headcount!$G$6:$G$89,"&lt;"&amp;AY3))</f>
        <v>25</v>
      </c>
      <c r="BA7" s="798">
        <f>IF(BA4="forecast",IF(AZ4="actual",(SUMIFS(Headcount!$B$6:$B$89,Headcount!$F$6:$F$89,"Sales",Headcount!$H$6:$H$89,"&gt;"&amp;BA3,Headcount!$G$6:$G$89,"&lt;"&amp;BA3)+BA8-BA9),(AZ7+BA8-BA9)),SUMIFS(Headcount!$B$6:$B$89,Headcount!$F$6:$F$89,"Sales",Headcount!$H$6:$H$89,"&gt;"&amp;BA3,Headcount!$G$6:$G$89,"&lt;"&amp;AZ3))</f>
        <v>25</v>
      </c>
      <c r="BB7" s="798">
        <f>IF(BB4="forecast",IF(BA4="actual",(SUMIFS(Headcount!$B$6:$B$89,Headcount!$F$6:$F$89,"Sales",Headcount!$H$6:$H$89,"&gt;"&amp;BB3,Headcount!$G$6:$G$89,"&lt;"&amp;BB3)+BB8-BB9),(BA7+BB8-BB9)),SUMIFS(Headcount!$B$6:$B$89,Headcount!$F$6:$F$89,"Sales",Headcount!$H$6:$H$89,"&gt;"&amp;BB3,Headcount!$G$6:$G$89,"&lt;"&amp;BA3))</f>
        <v>25</v>
      </c>
      <c r="BC7" s="798">
        <f>IF(BC4="forecast",IF(BB4="actual",(SUMIFS(Headcount!$B$6:$B$89,Headcount!$F$6:$F$89,"Sales",Headcount!$H$6:$H$89,"&gt;"&amp;BC3,Headcount!$G$6:$G$89,"&lt;"&amp;BC3)+BC8-BC9),(BB7+BC8-BC9)),SUMIFS(Headcount!$B$6:$B$89,Headcount!$F$6:$F$89,"Sales",Headcount!$H$6:$H$89,"&gt;"&amp;BC3,Headcount!$G$6:$G$89,"&lt;"&amp;BB3))</f>
        <v>25</v>
      </c>
      <c r="BD7" s="798">
        <f>IF(BD4="forecast",IF(BC4="actual",(SUMIFS(Headcount!$B$6:$B$89,Headcount!$F$6:$F$89,"Sales",Headcount!$H$6:$H$89,"&gt;"&amp;BD3,Headcount!$G$6:$G$89,"&lt;"&amp;BD3)+BD8-BD9),(BC7+BD8-BD9)),SUMIFS(Headcount!$B$6:$B$89,Headcount!$F$6:$F$89,"Sales",Headcount!$H$6:$H$89,"&gt;"&amp;BD3,Headcount!$G$6:$G$89,"&lt;"&amp;BC3))</f>
        <v>25</v>
      </c>
      <c r="BE7" s="798">
        <f>IF(BE4="forecast",IF(BD4="actual",(SUMIFS(Headcount!$B$6:$B$89,Headcount!$F$6:$F$89,"Sales",Headcount!$H$6:$H$89,"&gt;"&amp;BE3,Headcount!$G$6:$G$89,"&lt;"&amp;BE3)+BE8-BE9),(BD7+BE8-BE9)),SUMIFS(Headcount!$B$6:$B$89,Headcount!$F$6:$F$89,"Sales",Headcount!$H$6:$H$89,"&gt;"&amp;BE3,Headcount!$G$6:$G$89,"&lt;"&amp;BD3))</f>
        <v>25</v>
      </c>
      <c r="BF7" s="798">
        <f>IF(BF4="forecast",IF(BE4="actual",(SUMIFS(Headcount!$B$6:$B$89,Headcount!$F$6:$F$89,"Sales",Headcount!$H$6:$H$89,"&gt;"&amp;BF3,Headcount!$G$6:$G$89,"&lt;"&amp;BF3)+BF8-BF9),(BE7+BF8-BF9)),SUMIFS(Headcount!$B$6:$B$89,Headcount!$F$6:$F$89,"Sales",Headcount!$H$6:$H$89,"&gt;"&amp;BF3,Headcount!$G$6:$G$89,"&lt;"&amp;BE3))</f>
        <v>25</v>
      </c>
      <c r="BG7" s="798">
        <f>IF(BG4="forecast",IF(BF4="actual",(SUMIFS(Headcount!$B$6:$B$89,Headcount!$F$6:$F$89,"Sales",Headcount!$H$6:$H$89,"&gt;"&amp;BG3,Headcount!$G$6:$G$89,"&lt;"&amp;BG3)+BG8-BG9),(BF7+BG8-BG9)),SUMIFS(Headcount!$B$6:$B$89,Headcount!$F$6:$F$89,"Sales",Headcount!$H$6:$H$89,"&gt;"&amp;BG3,Headcount!$G$6:$G$89,"&lt;"&amp;BF3))</f>
        <v>25</v>
      </c>
      <c r="BH7" s="798">
        <f>IF(BH4="forecast",IF(BG4="actual",(SUMIFS(Headcount!$B$6:$B$89,Headcount!$F$6:$F$89,"Sales",Headcount!$H$6:$H$89,"&gt;"&amp;BH3,Headcount!$G$6:$G$89,"&lt;"&amp;BH3)+BH8-BH9),(BG7+BH8-BH9)),SUMIFS(Headcount!$B$6:$B$89,Headcount!$F$6:$F$89,"Sales",Headcount!$H$6:$H$89,"&gt;"&amp;BH3,Headcount!$G$6:$G$89,"&lt;"&amp;BG3))</f>
        <v>25</v>
      </c>
      <c r="BI7" s="798">
        <f>IF(BI4="forecast",IF(BH4="actual",(SUMIFS(Headcount!$B$6:$B$89,Headcount!$F$6:$F$89,"Sales",Headcount!$H$6:$H$89,"&gt;"&amp;BI3,Headcount!$G$6:$G$89,"&lt;"&amp;BI3)+BI8-BI9),(BH7+BI8-BI9)),SUMIFS(Headcount!$B$6:$B$89,Headcount!$F$6:$F$89,"Sales",Headcount!$H$6:$H$89,"&gt;"&amp;BI3,Headcount!$G$6:$G$89,"&lt;"&amp;BH3))</f>
        <v>25</v>
      </c>
      <c r="BJ7" s="798">
        <f>IF(BJ4="forecast",IF(BI4="actual",(SUMIFS(Headcount!$B$6:$B$89,Headcount!$F$6:$F$89,"Sales",Headcount!$H$6:$H$89,"&gt;"&amp;BJ3,Headcount!$G$6:$G$89,"&lt;"&amp;BJ3)+BJ8-BJ9),(BI7+BJ8-BJ9)),SUMIFS(Headcount!$B$6:$B$89,Headcount!$F$6:$F$89,"Sales",Headcount!$H$6:$H$89,"&gt;"&amp;BJ3,Headcount!$G$6:$G$89,"&lt;"&amp;BI3))</f>
        <v>25</v>
      </c>
      <c r="BK7" s="798">
        <f>IF(BK4="forecast",IF(BJ4="actual",(SUMIFS(Headcount!$B$6:$B$89,Headcount!$F$6:$F$89,"Sales",Headcount!$H$6:$H$89,"&gt;"&amp;BK3,Headcount!$G$6:$G$89,"&lt;"&amp;BK3)+BK8-BK9),(BJ7+BK8-BK9)),SUMIFS(Headcount!$B$6:$B$89,Headcount!$F$6:$F$89,"Sales",Headcount!$H$6:$H$89,"&gt;"&amp;BK3,Headcount!$G$6:$G$89,"&lt;"&amp;BJ3))</f>
        <v>25</v>
      </c>
      <c r="BL7" s="798">
        <f>IF(BL4="forecast",IF(BK4="actual",(SUMIFS(Headcount!$B$6:$B$89,Headcount!$F$6:$F$89,"Sales",Headcount!$H$6:$H$89,"&gt;"&amp;BL3,Headcount!$G$6:$G$89,"&lt;"&amp;BL3)+BL8-BL9),(BK7+BL8-BL9)),SUMIFS(Headcount!$B$6:$B$89,Headcount!$F$6:$F$89,"Sales",Headcount!$H$6:$H$89,"&gt;"&amp;BL3,Headcount!$G$6:$G$89,"&lt;"&amp;BK3))</f>
        <v>25</v>
      </c>
      <c r="BM7" s="798">
        <f>IF(BM4="forecast",IF(BL4="actual",(SUMIFS(Headcount!$B$6:$B$89,Headcount!$F$6:$F$89,"Sales",Headcount!$H$6:$H$89,"&gt;"&amp;BM3,Headcount!$G$6:$G$89,"&lt;"&amp;BM3)+BM8-BM9),(BL7+BM8-BM9)),SUMIFS(Headcount!$B$6:$B$89,Headcount!$F$6:$F$89,"Sales",Headcount!$H$6:$H$89,"&gt;"&amp;BM3,Headcount!$G$6:$G$89,"&lt;"&amp;BL3))</f>
        <v>25</v>
      </c>
      <c r="BN7" s="798">
        <f>IF(BN4="forecast",IF(BM4="actual",(SUMIFS(Headcount!$B$6:$B$89,Headcount!$F$6:$F$89,"Sales",Headcount!$H$6:$H$89,"&gt;"&amp;BN3,Headcount!$G$6:$G$89,"&lt;"&amp;BN3)+BN8-BN9),(BM7+BN8-BN9)),SUMIFS(Headcount!$B$6:$B$89,Headcount!$F$6:$F$89,"Sales",Headcount!$H$6:$H$89,"&gt;"&amp;BN3,Headcount!$G$6:$G$89,"&lt;"&amp;BM3))</f>
        <v>25</v>
      </c>
      <c r="BO7" s="798">
        <f>IF(BO4="forecast",IF(BN4="actual",(SUMIFS(Headcount!$B$6:$B$89,Headcount!$F$6:$F$89,"Sales",Headcount!$H$6:$H$89,"&gt;"&amp;BO3,Headcount!$G$6:$G$89,"&lt;"&amp;BO3)+BO8-BO9),(BN7+BO8-BO9)),SUMIFS(Headcount!$B$6:$B$89,Headcount!$F$6:$F$89,"Sales",Headcount!$H$6:$H$89,"&gt;"&amp;BO3,Headcount!$G$6:$G$89,"&lt;"&amp;BN3))</f>
        <v>25</v>
      </c>
      <c r="BP7" s="798">
        <f>IF(BP4="forecast",IF(BO4="actual",(SUMIFS(Headcount!$B$6:$B$89,Headcount!$F$6:$F$89,"Sales",Headcount!$H$6:$H$89,"&gt;"&amp;BP3,Headcount!$G$6:$G$89,"&lt;"&amp;BP3)+BP8-BP9),(BO7+BP8-BP9)),SUMIFS(Headcount!$B$6:$B$89,Headcount!$F$6:$F$89,"Sales",Headcount!$H$6:$H$89,"&gt;"&amp;BP3,Headcount!$G$6:$G$89,"&lt;"&amp;BO3))</f>
        <v>25</v>
      </c>
      <c r="BQ7" s="798">
        <f>IF(BQ4="forecast",IF(BP4="actual",(SUMIFS(Headcount!$B$6:$B$89,Headcount!$F$6:$F$89,"Sales",Headcount!$H$6:$H$89,"&gt;"&amp;BQ3,Headcount!$G$6:$G$89,"&lt;"&amp;BQ3)+BQ8-BQ9),(BP7+BQ8-BQ9)),SUMIFS(Headcount!$B$6:$B$89,Headcount!$F$6:$F$89,"Sales",Headcount!$H$6:$H$89,"&gt;"&amp;BQ3,Headcount!$G$6:$G$89,"&lt;"&amp;BP3))</f>
        <v>25</v>
      </c>
      <c r="BR7" s="798">
        <f>IF(BR4="forecast",IF(BQ4="actual",(SUMIFS(Headcount!$B$6:$B$89,Headcount!$F$6:$F$89,"Sales",Headcount!$H$6:$H$89,"&gt;"&amp;BR3,Headcount!$G$6:$G$89,"&lt;"&amp;BR3)+BR8-BR9),(BQ7+BR8-BR9)),SUMIFS(Headcount!$B$6:$B$89,Headcount!$F$6:$F$89,"Sales",Headcount!$H$6:$H$89,"&gt;"&amp;BR3,Headcount!$G$6:$G$89,"&lt;"&amp;BQ3))</f>
        <v>25</v>
      </c>
      <c r="BS7" s="798">
        <f>IF(BS4="forecast",IF(BR4="actual",(SUMIFS(Headcount!$B$6:$B$89,Headcount!$F$6:$F$89,"Sales",Headcount!$H$6:$H$89,"&gt;"&amp;BS3,Headcount!$G$6:$G$89,"&lt;"&amp;BS3)+BS8-BS9),(BR7+BS8-BS9)),SUMIFS(Headcount!$B$6:$B$89,Headcount!$F$6:$F$89,"Sales",Headcount!$H$6:$H$89,"&gt;"&amp;BS3,Headcount!$G$6:$G$89,"&lt;"&amp;BR3))</f>
        <v>25</v>
      </c>
      <c r="BT7" s="798">
        <f>IF(BT4="forecast",IF(BS4="actual",(SUMIFS(Headcount!$B$6:$B$89,Headcount!$F$6:$F$89,"Sales",Headcount!$H$6:$H$89,"&gt;"&amp;BT3,Headcount!$G$6:$G$89,"&lt;"&amp;BT3)+BT8-BT9),(BS7+BT8-BT9)),SUMIFS(Headcount!$B$6:$B$89,Headcount!$F$6:$F$89,"Sales",Headcount!$H$6:$H$89,"&gt;"&amp;BT3,Headcount!$G$6:$G$89,"&lt;"&amp;BS3))</f>
        <v>25</v>
      </c>
      <c r="BU7" s="798">
        <f>IF(BU4="forecast",IF(BT4="actual",(SUMIFS(Headcount!$B$6:$B$89,Headcount!$F$6:$F$89,"Sales",Headcount!$H$6:$H$89,"&gt;"&amp;BU3,Headcount!$G$6:$G$89,"&lt;"&amp;BU3)+BU8-BU9),(BT7+BU8-BU9)),SUMIFS(Headcount!$B$6:$B$89,Headcount!$F$6:$F$89,"Sales",Headcount!$H$6:$H$89,"&gt;"&amp;BU3,Headcount!$G$6:$G$89,"&lt;"&amp;BT3))</f>
        <v>25</v>
      </c>
      <c r="BV7" s="799">
        <f>IF(BV4="forecast",IF(BU4="actual",(SUMIFS(Headcount!$B$6:$B$89,Headcount!$F$6:$F$89,"Sales",Headcount!$H$6:$H$89,"&gt;"&amp;BV3,Headcount!$G$6:$G$89,"&lt;"&amp;BV3)+BV8-BV9),(BU7+BV8-BV9)),SUMIFS(Headcount!$B$6:$B$89,Headcount!$F$6:$F$89,"Sales",Headcount!$H$6:$H$89,"&gt;"&amp;BV3,Headcount!$G$6:$G$89,"&lt;"&amp;BU3))</f>
        <v>25</v>
      </c>
    </row>
    <row r="8" spans="2:77" x14ac:dyDescent="0.35">
      <c r="B8" s="794" t="s">
        <v>15</v>
      </c>
      <c r="C8" s="798">
        <f>SUMIFS('New Hires Forecast'!$B$5:$B$83,'New Hires Forecast'!$G$5:$G$83,"&gt;"&amp;Sales!B3,'New Hires Forecast'!$G$5:$G$83,"&lt;="&amp;Sales!C3,'New Hires Forecast'!$F$5:$F$83,"Sales")</f>
        <v>0</v>
      </c>
      <c r="D8" s="798">
        <f>SUMIFS('New Hires Forecast'!$B$5:$B$83,'New Hires Forecast'!$G$5:$G$83,"&gt;"&amp;Sales!C3,'New Hires Forecast'!$G$5:$G$83,"&lt;="&amp;Sales!D3,'New Hires Forecast'!$F$5:$F$83,"Sales")</f>
        <v>0</v>
      </c>
      <c r="E8" s="798">
        <f>SUMIFS('New Hires Forecast'!$B$5:$B$83,'New Hires Forecast'!$G$5:$G$83,"&gt;"&amp;Sales!D3,'New Hires Forecast'!$G$5:$G$83,"&lt;="&amp;Sales!E3,'New Hires Forecast'!$F$5:$F$83,"Sales")</f>
        <v>0</v>
      </c>
      <c r="F8" s="798">
        <f>SUMIFS('New Hires Forecast'!$B$5:$B$83,'New Hires Forecast'!$G$5:$G$83,"&gt;"&amp;Sales!E3,'New Hires Forecast'!$G$5:$G$83,"&lt;="&amp;Sales!F3,'New Hires Forecast'!$F$5:$F$83,"Sales")</f>
        <v>0</v>
      </c>
      <c r="G8" s="798">
        <f>SUMIFS('New Hires Forecast'!$B$5:$B$83,'New Hires Forecast'!$G$5:$G$83,"&gt;"&amp;Sales!F3,'New Hires Forecast'!$G$5:$G$83,"&lt;="&amp;Sales!G3,'New Hires Forecast'!$F$5:$F$83,"Sales")</f>
        <v>0</v>
      </c>
      <c r="H8" s="798">
        <f>SUMIFS('New Hires Forecast'!$B$5:$B$83,'New Hires Forecast'!$G$5:$G$83,"&gt;"&amp;Sales!G3,'New Hires Forecast'!$G$5:$G$83,"&lt;="&amp;Sales!H3,'New Hires Forecast'!$F$5:$F$83,"Sales")</f>
        <v>0</v>
      </c>
      <c r="I8" s="798">
        <f>SUMIFS('New Hires Forecast'!$B$5:$B$83,'New Hires Forecast'!$G$5:$G$83,"&gt;"&amp;Sales!H3,'New Hires Forecast'!$G$5:$G$83,"&lt;="&amp;Sales!I3,'New Hires Forecast'!$F$5:$F$83,"Sales")</f>
        <v>0</v>
      </c>
      <c r="J8" s="798">
        <f>SUMIFS('New Hires Forecast'!$B$5:$B$83,'New Hires Forecast'!$G$5:$G$83,"&gt;"&amp;Sales!I3,'New Hires Forecast'!$G$5:$G$83,"&lt;="&amp;Sales!J3,'New Hires Forecast'!$F$5:$F$83,"Sales")</f>
        <v>0</v>
      </c>
      <c r="K8" s="798">
        <f>SUMIFS('New Hires Forecast'!$B$5:$B$83,'New Hires Forecast'!$G$5:$G$83,"&gt;"&amp;Sales!J3,'New Hires Forecast'!$G$5:$G$83,"&lt;="&amp;Sales!K3,'New Hires Forecast'!$F$5:$F$83,"Sales")</f>
        <v>0</v>
      </c>
      <c r="L8" s="798">
        <f>SUMIFS('New Hires Forecast'!$B$5:$B$83,'New Hires Forecast'!$G$5:$G$83,"&gt;"&amp;Sales!K3,'New Hires Forecast'!$G$5:$G$83,"&lt;="&amp;Sales!L3,'New Hires Forecast'!$F$5:$F$83,"Sales")</f>
        <v>0</v>
      </c>
      <c r="M8" s="798">
        <f>SUMIFS('New Hires Forecast'!$B$5:$B$83,'New Hires Forecast'!$G$5:$G$83,"&gt;"&amp;Sales!L3,'New Hires Forecast'!$G$5:$G$83,"&lt;="&amp;Sales!M3,'New Hires Forecast'!$F$5:$F$83,"Sales")</f>
        <v>0</v>
      </c>
      <c r="N8" s="798">
        <f>SUMIFS('New Hires Forecast'!$B$5:$B$83,'New Hires Forecast'!$G$5:$G$83,"&gt;"&amp;Sales!M3,'New Hires Forecast'!$G$5:$G$83,"&lt;="&amp;Sales!N3,'New Hires Forecast'!$F$5:$F$83,"Sales")</f>
        <v>0</v>
      </c>
      <c r="O8" s="798">
        <f>SUMIFS('New Hires Forecast'!$B$5:$B$83,'New Hires Forecast'!$G$5:$G$83,"&gt;"&amp;Sales!N3,'New Hires Forecast'!$G$5:$G$83,"&lt;="&amp;Sales!O3,'New Hires Forecast'!$F$5:$F$83,"Sales")</f>
        <v>0</v>
      </c>
      <c r="P8" s="798">
        <f>SUMIFS('New Hires Forecast'!$B$5:$B$83,'New Hires Forecast'!$G$5:$G$83,"&gt;"&amp;Sales!O3,'New Hires Forecast'!$G$5:$G$83,"&lt;="&amp;Sales!P3,'New Hires Forecast'!$F$5:$F$83,"Sales")</f>
        <v>0</v>
      </c>
      <c r="Q8" s="798">
        <f>SUMIFS('New Hires Forecast'!$B$5:$B$83,'New Hires Forecast'!$G$5:$G$83,"&gt;"&amp;Sales!P3,'New Hires Forecast'!$G$5:$G$83,"&lt;="&amp;Sales!Q3,'New Hires Forecast'!$F$5:$F$83,"Sales")</f>
        <v>0</v>
      </c>
      <c r="R8" s="798">
        <f>SUMIFS('New Hires Forecast'!$B$5:$B$83,'New Hires Forecast'!$G$5:$G$83,"&gt;"&amp;Sales!Q3,'New Hires Forecast'!$G$5:$G$83,"&lt;="&amp;Sales!R3,'New Hires Forecast'!$F$5:$F$83,"Sales")</f>
        <v>0</v>
      </c>
      <c r="S8" s="798">
        <f>SUMIFS('New Hires Forecast'!$B$5:$B$83,'New Hires Forecast'!$G$5:$G$83,"&gt;"&amp;Sales!R3,'New Hires Forecast'!$G$5:$G$83,"&lt;="&amp;Sales!S3,'New Hires Forecast'!$F$5:$F$83,"Sales")</f>
        <v>0</v>
      </c>
      <c r="T8" s="798">
        <f>SUMIFS('New Hires Forecast'!$B$5:$B$83,'New Hires Forecast'!$G$5:$G$83,"&gt;"&amp;Sales!S3,'New Hires Forecast'!$G$5:$G$83,"&lt;="&amp;Sales!T3,'New Hires Forecast'!$F$5:$F$83,"Sales")</f>
        <v>0</v>
      </c>
      <c r="U8" s="798">
        <f>SUMIFS('New Hires Forecast'!$B$5:$B$83,'New Hires Forecast'!$G$5:$G$83,"&gt;"&amp;Sales!T3,'New Hires Forecast'!$G$5:$G$83,"&lt;="&amp;Sales!U3,'New Hires Forecast'!$F$5:$F$83,"Sales")</f>
        <v>0</v>
      </c>
      <c r="V8" s="798">
        <f>SUMIFS('New Hires Forecast'!$B$5:$B$83,'New Hires Forecast'!$G$5:$G$83,"&gt;"&amp;Sales!U3,'New Hires Forecast'!$G$5:$G$83,"&lt;="&amp;Sales!V3,'New Hires Forecast'!$F$5:$F$83,"Sales")</f>
        <v>0</v>
      </c>
      <c r="W8" s="798">
        <f>SUMIFS('New Hires Forecast'!$B$5:$B$83,'New Hires Forecast'!$G$5:$G$83,"&gt;"&amp;Sales!V3,'New Hires Forecast'!$G$5:$G$83,"&lt;="&amp;Sales!W3,'New Hires Forecast'!$F$5:$F$83,"Sales")</f>
        <v>0</v>
      </c>
      <c r="X8" s="798">
        <f>SUMIFS('New Hires Forecast'!$B$5:$B$83,'New Hires Forecast'!$G$5:$G$83,"&gt;"&amp;Sales!W3,'New Hires Forecast'!$G$5:$G$83,"&lt;="&amp;Sales!X3,'New Hires Forecast'!$F$5:$F$83,"Sales")</f>
        <v>0</v>
      </c>
      <c r="Y8" s="798">
        <f>SUMIFS('New Hires Forecast'!$B$5:$B$83,'New Hires Forecast'!$G$5:$G$83,"&gt;"&amp;Sales!X3,'New Hires Forecast'!$G$5:$G$83,"&lt;="&amp;Sales!Y3,'New Hires Forecast'!$F$5:$F$83,"Sales")</f>
        <v>0</v>
      </c>
      <c r="Z8" s="798">
        <f>SUMIFS('New Hires Forecast'!$B$5:$B$83,'New Hires Forecast'!$G$5:$G$83,"&gt;"&amp;Sales!Y3,'New Hires Forecast'!$G$5:$G$83,"&lt;="&amp;Sales!Z3,'New Hires Forecast'!$F$5:$F$83,"Sales")</f>
        <v>0</v>
      </c>
      <c r="AA8" s="798">
        <f>SUMIFS('New Hires Forecast'!$B$5:$B$83,'New Hires Forecast'!$G$5:$G$83,"&gt;"&amp;Sales!Z3,'New Hires Forecast'!$G$5:$G$83,"&lt;="&amp;Sales!AA3,'New Hires Forecast'!$F$5:$F$83,"Sales")</f>
        <v>0</v>
      </c>
      <c r="AB8" s="798">
        <f>SUMIFS('New Hires Forecast'!$B$5:$B$83,'New Hires Forecast'!$G$5:$G$83,"&gt;"&amp;Sales!AA3,'New Hires Forecast'!$G$5:$G$83,"&lt;="&amp;Sales!AB3,'New Hires Forecast'!$F$5:$F$83,"Sales")</f>
        <v>1</v>
      </c>
      <c r="AC8" s="798">
        <f>SUMIFS('New Hires Forecast'!$B$5:$B$83,'New Hires Forecast'!$G$5:$G$83,"&gt;"&amp;Sales!AB3,'New Hires Forecast'!$G$5:$G$83,"&lt;="&amp;Sales!AC3,'New Hires Forecast'!$F$5:$F$83,"Sales")</f>
        <v>0</v>
      </c>
      <c r="AD8" s="798">
        <f>SUMIFS('New Hires Forecast'!$B$5:$B$83,'New Hires Forecast'!$G$5:$G$83,"&gt;"&amp;Sales!AC3,'New Hires Forecast'!$G$5:$G$83,"&lt;="&amp;Sales!AD3,'New Hires Forecast'!$F$5:$F$83,"Sales")</f>
        <v>2</v>
      </c>
      <c r="AE8" s="798">
        <f>SUMIFS('New Hires Forecast'!$B$5:$B$83,'New Hires Forecast'!$G$5:$G$83,"&gt;"&amp;Sales!AD3,'New Hires Forecast'!$G$5:$G$83,"&lt;="&amp;Sales!AE3,'New Hires Forecast'!$F$5:$F$83,"Sales")</f>
        <v>0</v>
      </c>
      <c r="AF8" s="798">
        <f>SUMIFS('New Hires Forecast'!$B$5:$B$83,'New Hires Forecast'!$G$5:$G$83,"&gt;"&amp;Sales!AE3,'New Hires Forecast'!$G$5:$G$83,"&lt;="&amp;Sales!AF3,'New Hires Forecast'!$F$5:$F$83,"Sales")</f>
        <v>0</v>
      </c>
      <c r="AG8" s="798">
        <f>SUMIFS('New Hires Forecast'!$B$5:$B$83,'New Hires Forecast'!$G$5:$G$83,"&gt;"&amp;Sales!AF3,'New Hires Forecast'!$G$5:$G$83,"&lt;="&amp;Sales!AG3,'New Hires Forecast'!$F$5:$F$83,"Sales")</f>
        <v>2</v>
      </c>
      <c r="AH8" s="798">
        <f>SUMIFS('New Hires Forecast'!$B$5:$B$83,'New Hires Forecast'!$G$5:$G$83,"&gt;"&amp;Sales!AG3,'New Hires Forecast'!$G$5:$G$83,"&lt;="&amp;Sales!AH3,'New Hires Forecast'!$F$5:$F$83,"Sales")</f>
        <v>0</v>
      </c>
      <c r="AI8" s="798">
        <f>SUMIFS('New Hires Forecast'!$B$5:$B$83,'New Hires Forecast'!$G$5:$G$83,"&gt;"&amp;Sales!AH3,'New Hires Forecast'!$G$5:$G$83,"&lt;="&amp;Sales!AI3,'New Hires Forecast'!$F$5:$F$83,"Sales")</f>
        <v>0</v>
      </c>
      <c r="AJ8" s="798">
        <f>SUMIFS('New Hires Forecast'!$B$5:$B$83,'New Hires Forecast'!$G$5:$G$83,"&gt;"&amp;Sales!AI3,'New Hires Forecast'!$G$5:$G$83,"&lt;="&amp;Sales!AJ3,'New Hires Forecast'!$F$5:$F$83,"Sales")</f>
        <v>0</v>
      </c>
      <c r="AK8" s="798">
        <f>SUMIFS('New Hires Forecast'!$B$5:$B$83,'New Hires Forecast'!$G$5:$G$83,"&gt;"&amp;Sales!AJ3,'New Hires Forecast'!$G$5:$G$83,"&lt;="&amp;Sales!AK3,'New Hires Forecast'!$F$5:$F$83,"Sales")</f>
        <v>0</v>
      </c>
      <c r="AL8" s="798">
        <f>SUMIFS('New Hires Forecast'!$B$5:$B$83,'New Hires Forecast'!$G$5:$G$83,"&gt;"&amp;Sales!AK3,'New Hires Forecast'!$G$5:$G$83,"&lt;="&amp;Sales!AL3,'New Hires Forecast'!$F$5:$F$83,"Sales")</f>
        <v>0</v>
      </c>
      <c r="AM8" s="798">
        <f>SUMIFS('New Hires Forecast'!$B$5:$B$83,'New Hires Forecast'!$G$5:$G$83,"&gt;"&amp;Sales!AL3,'New Hires Forecast'!$G$5:$G$83,"&lt;="&amp;Sales!AM3,'New Hires Forecast'!$F$5:$F$83,"Sales")</f>
        <v>0</v>
      </c>
      <c r="AN8" s="798">
        <f>SUMIFS('New Hires Forecast'!$B$5:$B$83,'New Hires Forecast'!$G$5:$G$83,"&gt;"&amp;Sales!AM3,'New Hires Forecast'!$G$5:$G$83,"&lt;="&amp;Sales!AN3,'New Hires Forecast'!$F$5:$F$83,"Sales")</f>
        <v>0</v>
      </c>
      <c r="AO8" s="798">
        <f>SUMIFS('New Hires Forecast'!$B$5:$B$83,'New Hires Forecast'!$G$5:$G$83,"&gt;"&amp;Sales!AN3,'New Hires Forecast'!$G$5:$G$83,"&lt;="&amp;Sales!AO3,'New Hires Forecast'!$F$5:$F$83,"Sales")</f>
        <v>0</v>
      </c>
      <c r="AP8" s="798">
        <f>SUMIFS('New Hires Forecast'!$B$5:$B$83,'New Hires Forecast'!$G$5:$G$83,"&gt;"&amp;Sales!AO3,'New Hires Forecast'!$G$5:$G$83,"&lt;="&amp;Sales!AP3,'New Hires Forecast'!$F$5:$F$83,"Sales")</f>
        <v>0</v>
      </c>
      <c r="AQ8" s="798">
        <f>SUMIFS('New Hires Forecast'!$B$5:$B$83,'New Hires Forecast'!$G$5:$G$83,"&gt;"&amp;Sales!AP3,'New Hires Forecast'!$G$5:$G$83,"&lt;="&amp;Sales!AQ3,'New Hires Forecast'!$F$5:$F$83,"Sales")</f>
        <v>0</v>
      </c>
      <c r="AR8" s="798">
        <f>SUMIFS('New Hires Forecast'!$B$5:$B$83,'New Hires Forecast'!$G$5:$G$83,"&gt;"&amp;Sales!AQ3,'New Hires Forecast'!$G$5:$G$83,"&lt;="&amp;Sales!AR3,'New Hires Forecast'!$F$5:$F$83,"Sales")</f>
        <v>0</v>
      </c>
      <c r="AS8" s="798">
        <f>SUMIFS('New Hires Forecast'!$B$5:$B$83,'New Hires Forecast'!$G$5:$G$83,"&gt;"&amp;Sales!AR3,'New Hires Forecast'!$G$5:$G$83,"&lt;="&amp;Sales!AS3,'New Hires Forecast'!$F$5:$F$83,"Sales")</f>
        <v>0</v>
      </c>
      <c r="AT8" s="798">
        <f>SUMIFS('New Hires Forecast'!$B$5:$B$83,'New Hires Forecast'!$G$5:$G$83,"&gt;"&amp;Sales!AS3,'New Hires Forecast'!$G$5:$G$83,"&lt;="&amp;Sales!AT3,'New Hires Forecast'!$F$5:$F$83,"Sales")</f>
        <v>0</v>
      </c>
      <c r="AU8" s="798">
        <f>SUMIFS('New Hires Forecast'!$B$5:$B$83,'New Hires Forecast'!$G$5:$G$83,"&gt;"&amp;Sales!AT3,'New Hires Forecast'!$G$5:$G$83,"&lt;="&amp;Sales!AU3,'New Hires Forecast'!$F$5:$F$83,"Sales")</f>
        <v>0</v>
      </c>
      <c r="AV8" s="798">
        <f>SUMIFS('New Hires Forecast'!$B$5:$B$83,'New Hires Forecast'!$G$5:$G$83,"&gt;"&amp;Sales!AU3,'New Hires Forecast'!$G$5:$G$83,"&lt;="&amp;Sales!AV3,'New Hires Forecast'!$F$5:$F$83,"Sales")</f>
        <v>0</v>
      </c>
      <c r="AW8" s="798">
        <f>SUMIFS('New Hires Forecast'!$B$5:$B$83,'New Hires Forecast'!$G$5:$G$83,"&gt;"&amp;Sales!AV3,'New Hires Forecast'!$G$5:$G$83,"&lt;="&amp;Sales!AW3,'New Hires Forecast'!$F$5:$F$83,"Sales")</f>
        <v>0</v>
      </c>
      <c r="AX8" s="798">
        <f>SUMIFS('New Hires Forecast'!$B$5:$B$83,'New Hires Forecast'!$G$5:$G$83,"&gt;"&amp;Sales!AW3,'New Hires Forecast'!$G$5:$G$83,"&lt;="&amp;Sales!AX3,'New Hires Forecast'!$F$5:$F$83,"Sales")</f>
        <v>0</v>
      </c>
      <c r="AY8" s="798">
        <f>SUMIFS('New Hires Forecast'!$B$5:$B$83,'New Hires Forecast'!$G$5:$G$83,"&gt;"&amp;Sales!AX3,'New Hires Forecast'!$G$5:$G$83,"&lt;="&amp;Sales!AY3,'New Hires Forecast'!$F$5:$F$83,"Sales")</f>
        <v>0</v>
      </c>
      <c r="AZ8" s="798">
        <f>SUMIFS('New Hires Forecast'!$B$5:$B$83,'New Hires Forecast'!$G$5:$G$83,"&gt;"&amp;Sales!AY3,'New Hires Forecast'!$G$5:$G$83,"&lt;="&amp;Sales!AZ3,'New Hires Forecast'!$F$5:$F$83,"Sales")</f>
        <v>0</v>
      </c>
      <c r="BA8" s="798">
        <f>SUMIFS('New Hires Forecast'!$B$5:$B$83,'New Hires Forecast'!$G$5:$G$83,"&gt;"&amp;Sales!AZ3,'New Hires Forecast'!$G$5:$G$83,"&lt;="&amp;Sales!BA3,'New Hires Forecast'!$F$5:$F$83,"Sales")</f>
        <v>0</v>
      </c>
      <c r="BB8" s="798">
        <f>SUMIFS('New Hires Forecast'!$B$5:$B$83,'New Hires Forecast'!$G$5:$G$83,"&gt;"&amp;Sales!BA3,'New Hires Forecast'!$G$5:$G$83,"&lt;="&amp;Sales!BB3,'New Hires Forecast'!$F$5:$F$83,"Sales")</f>
        <v>0</v>
      </c>
      <c r="BC8" s="798">
        <f>SUMIFS('New Hires Forecast'!$B$5:$B$83,'New Hires Forecast'!$G$5:$G$83,"&gt;"&amp;Sales!BB3,'New Hires Forecast'!$G$5:$G$83,"&lt;="&amp;Sales!BC3,'New Hires Forecast'!$F$5:$F$83,"Sales")</f>
        <v>0</v>
      </c>
      <c r="BD8" s="798">
        <f>SUMIFS('New Hires Forecast'!$B$5:$B$83,'New Hires Forecast'!$G$5:$G$83,"&gt;"&amp;Sales!BC3,'New Hires Forecast'!$G$5:$G$83,"&lt;="&amp;Sales!BD3,'New Hires Forecast'!$F$5:$F$83,"Sales")</f>
        <v>0</v>
      </c>
      <c r="BE8" s="798">
        <f>SUMIFS('New Hires Forecast'!$B$5:$B$83,'New Hires Forecast'!$G$5:$G$83,"&gt;"&amp;Sales!BD3,'New Hires Forecast'!$G$5:$G$83,"&lt;="&amp;Sales!BE3,'New Hires Forecast'!$F$5:$F$83,"Sales")</f>
        <v>0</v>
      </c>
      <c r="BF8" s="798">
        <f>SUMIFS('New Hires Forecast'!$B$5:$B$83,'New Hires Forecast'!$G$5:$G$83,"&gt;"&amp;Sales!BE3,'New Hires Forecast'!$G$5:$G$83,"&lt;="&amp;Sales!BF3,'New Hires Forecast'!$F$5:$F$83,"Sales")</f>
        <v>0</v>
      </c>
      <c r="BG8" s="798">
        <f>SUMIFS('New Hires Forecast'!$B$5:$B$83,'New Hires Forecast'!$G$5:$G$83,"&gt;"&amp;Sales!BF3,'New Hires Forecast'!$G$5:$G$83,"&lt;="&amp;Sales!BG3,'New Hires Forecast'!$F$5:$F$83,"Sales")</f>
        <v>0</v>
      </c>
      <c r="BH8" s="798">
        <f>SUMIFS('New Hires Forecast'!$B$5:$B$83,'New Hires Forecast'!$G$5:$G$83,"&gt;"&amp;Sales!BG3,'New Hires Forecast'!$G$5:$G$83,"&lt;="&amp;Sales!BH3,'New Hires Forecast'!$F$5:$F$83,"Sales")</f>
        <v>0</v>
      </c>
      <c r="BI8" s="798">
        <f>SUMIFS('New Hires Forecast'!$B$5:$B$83,'New Hires Forecast'!$G$5:$G$83,"&gt;"&amp;Sales!BH3,'New Hires Forecast'!$G$5:$G$83,"&lt;="&amp;Sales!BI3,'New Hires Forecast'!$F$5:$F$83,"Sales")</f>
        <v>0</v>
      </c>
      <c r="BJ8" s="798">
        <f>SUMIFS('New Hires Forecast'!$B$5:$B$83,'New Hires Forecast'!$G$5:$G$83,"&gt;"&amp;Sales!BI3,'New Hires Forecast'!$G$5:$G$83,"&lt;="&amp;Sales!BJ3,'New Hires Forecast'!$F$5:$F$83,"Sales")</f>
        <v>0</v>
      </c>
      <c r="BK8" s="798">
        <f>SUMIFS('New Hires Forecast'!$B$5:$B$83,'New Hires Forecast'!$G$5:$G$83,"&gt;"&amp;Sales!BJ3,'New Hires Forecast'!$G$5:$G$83,"&lt;="&amp;Sales!BK3,'New Hires Forecast'!$F$5:$F$83,"Sales")</f>
        <v>0</v>
      </c>
      <c r="BL8" s="798">
        <f>SUMIFS('New Hires Forecast'!$B$5:$B$83,'New Hires Forecast'!$G$5:$G$83,"&gt;"&amp;Sales!BK3,'New Hires Forecast'!$G$5:$G$83,"&lt;="&amp;Sales!BL3,'New Hires Forecast'!$F$5:$F$83,"Sales")</f>
        <v>0</v>
      </c>
      <c r="BM8" s="798">
        <f>SUMIFS('New Hires Forecast'!$B$5:$B$83,'New Hires Forecast'!$G$5:$G$83,"&gt;"&amp;Sales!BL3,'New Hires Forecast'!$G$5:$G$83,"&lt;="&amp;Sales!BM3,'New Hires Forecast'!$F$5:$F$83,"Sales")</f>
        <v>0</v>
      </c>
      <c r="BN8" s="798">
        <f>SUMIFS('New Hires Forecast'!$B$5:$B$83,'New Hires Forecast'!$G$5:$G$83,"&gt;"&amp;Sales!BM3,'New Hires Forecast'!$G$5:$G$83,"&lt;="&amp;Sales!BN3,'New Hires Forecast'!$F$5:$F$83,"Sales")</f>
        <v>0</v>
      </c>
      <c r="BO8" s="798">
        <f>SUMIFS('New Hires Forecast'!$B$5:$B$83,'New Hires Forecast'!$G$5:$G$83,"&gt;"&amp;Sales!BN3,'New Hires Forecast'!$G$5:$G$83,"&lt;="&amp;Sales!BO3,'New Hires Forecast'!$F$5:$F$83,"Sales")</f>
        <v>0</v>
      </c>
      <c r="BP8" s="798">
        <f>SUMIFS('New Hires Forecast'!$B$5:$B$83,'New Hires Forecast'!$G$5:$G$83,"&gt;"&amp;Sales!BO3,'New Hires Forecast'!$G$5:$G$83,"&lt;="&amp;Sales!BP3,'New Hires Forecast'!$F$5:$F$83,"Sales")</f>
        <v>0</v>
      </c>
      <c r="BQ8" s="798">
        <f>SUMIFS('New Hires Forecast'!$B$5:$B$83,'New Hires Forecast'!$G$5:$G$83,"&gt;"&amp;Sales!BP3,'New Hires Forecast'!$G$5:$G$83,"&lt;="&amp;Sales!BQ3,'New Hires Forecast'!$F$5:$F$83,"Sales")</f>
        <v>0</v>
      </c>
      <c r="BR8" s="798">
        <f>SUMIFS('New Hires Forecast'!$B$5:$B$83,'New Hires Forecast'!$G$5:$G$83,"&gt;"&amp;Sales!BQ3,'New Hires Forecast'!$G$5:$G$83,"&lt;="&amp;Sales!BR3,'New Hires Forecast'!$F$5:$F$83,"Sales")</f>
        <v>0</v>
      </c>
      <c r="BS8" s="798">
        <f>SUMIFS('New Hires Forecast'!$B$5:$B$83,'New Hires Forecast'!$G$5:$G$83,"&gt;"&amp;Sales!BR3,'New Hires Forecast'!$G$5:$G$83,"&lt;="&amp;Sales!BS3,'New Hires Forecast'!$F$5:$F$83,"Sales")</f>
        <v>0</v>
      </c>
      <c r="BT8" s="798">
        <f>SUMIFS('New Hires Forecast'!$B$5:$B$83,'New Hires Forecast'!$G$5:$G$83,"&gt;"&amp;Sales!BS3,'New Hires Forecast'!$G$5:$G$83,"&lt;="&amp;Sales!BT3,'New Hires Forecast'!$F$5:$F$83,"Sales")</f>
        <v>0</v>
      </c>
      <c r="BU8" s="798">
        <f>SUMIFS('New Hires Forecast'!$B$5:$B$83,'New Hires Forecast'!$G$5:$G$83,"&gt;"&amp;Sales!BT3,'New Hires Forecast'!$G$5:$G$83,"&lt;="&amp;Sales!BU3,'New Hires Forecast'!$F$5:$F$83,"Sales")</f>
        <v>0</v>
      </c>
      <c r="BV8" s="799">
        <f>SUMIFS('New Hires Forecast'!$B$5:$B$83,'New Hires Forecast'!$G$5:$G$83,"&gt;"&amp;Sales!BU3,'New Hires Forecast'!$G$5:$G$83,"&lt;="&amp;Sales!BV3,'New Hires Forecast'!$F$5:$F$83,"Sales")</f>
        <v>0</v>
      </c>
    </row>
    <row r="9" spans="2:77" x14ac:dyDescent="0.35">
      <c r="B9" s="794" t="s">
        <v>150</v>
      </c>
      <c r="C9" s="798">
        <f>SUMIFS(Headcount!$B$6:$B$88,Headcount!$H$6:$H$88,"&gt;"&amp;B3,Headcount!$H$6:$H$88,"&lt;="&amp;C3,Headcount!$F$6:$F$88,"Sales")</f>
        <v>0</v>
      </c>
      <c r="D9" s="798">
        <f>SUMIFS(Headcount!$B$6:$B$88,Headcount!$H$6:$H$88,"&gt;"&amp;C3,Headcount!$H$6:$H$88,"&lt;="&amp;D3,Headcount!$F$6:$F$88,"Sales")</f>
        <v>0</v>
      </c>
      <c r="E9" s="798">
        <f>SUMIFS(Headcount!$B$6:$B$88,Headcount!$H$6:$H$88,"&gt;"&amp;D3,Headcount!$H$6:$H$88,"&lt;="&amp;E3,Headcount!$F$6:$F$88,"Sales")</f>
        <v>0</v>
      </c>
      <c r="F9" s="798">
        <f>SUMIFS(Headcount!$B$6:$B$88,Headcount!$H$6:$H$88,"&gt;"&amp;E3,Headcount!$H$6:$H$88,"&lt;="&amp;F3,Headcount!$F$6:$F$88,"Sales")</f>
        <v>0</v>
      </c>
      <c r="G9" s="798">
        <f>SUMIFS(Headcount!$B$6:$B$88,Headcount!$H$6:$H$88,"&gt;"&amp;F3,Headcount!$H$6:$H$88,"&lt;="&amp;G3,Headcount!$F$6:$F$88,"Sales")</f>
        <v>0</v>
      </c>
      <c r="H9" s="798">
        <f>SUMIFS(Headcount!$B$6:$B$88,Headcount!$H$6:$H$88,"&gt;"&amp;G3,Headcount!$H$6:$H$88,"&lt;="&amp;H3,Headcount!$F$6:$F$88,"Sales")</f>
        <v>0</v>
      </c>
      <c r="I9" s="798">
        <f>SUMIFS(Headcount!$B$6:$B$88,Headcount!$H$6:$H$88,"&gt;"&amp;H3,Headcount!$H$6:$H$88,"&lt;="&amp;I3,Headcount!$F$6:$F$88,"Sales")</f>
        <v>0</v>
      </c>
      <c r="J9" s="798">
        <f>SUMIFS(Headcount!$B$6:$B$88,Headcount!$H$6:$H$88,"&gt;"&amp;I3,Headcount!$H$6:$H$88,"&lt;="&amp;J3,Headcount!$F$6:$F$88,"Sales")</f>
        <v>0</v>
      </c>
      <c r="K9" s="798">
        <f>SUMIFS(Headcount!$B$6:$B$88,Headcount!$H$6:$H$88,"&gt;"&amp;J3,Headcount!$H$6:$H$88,"&lt;="&amp;K3,Headcount!$F$6:$F$88,"Sales")</f>
        <v>0</v>
      </c>
      <c r="L9" s="798">
        <f>SUMIFS(Headcount!$B$6:$B$88,Headcount!$H$6:$H$88,"&gt;"&amp;K3,Headcount!$H$6:$H$88,"&lt;="&amp;L3,Headcount!$F$6:$F$88,"Sales")</f>
        <v>0</v>
      </c>
      <c r="M9" s="798">
        <f>SUMIFS(Headcount!$B$6:$B$88,Headcount!$H$6:$H$88,"&gt;"&amp;L3,Headcount!$H$6:$H$88,"&lt;="&amp;M3,Headcount!$F$6:$F$88,"Sales")</f>
        <v>0</v>
      </c>
      <c r="N9" s="798">
        <f>SUMIFS(Headcount!$B$6:$B$88,Headcount!$H$6:$H$88,"&gt;"&amp;M3,Headcount!$H$6:$H$88,"&lt;="&amp;N3,Headcount!$F$6:$F$88,"Sales")</f>
        <v>0</v>
      </c>
      <c r="O9" s="798">
        <f>SUMIFS(Headcount!$B$6:$B$88,Headcount!$H$6:$H$88,"&gt;"&amp;N3,Headcount!$H$6:$H$88,"&lt;="&amp;O3,Headcount!$F$6:$F$88,"Sales")</f>
        <v>0</v>
      </c>
      <c r="P9" s="798">
        <f>SUMIFS(Headcount!$B$6:$B$88,Headcount!$H$6:$H$88,"&gt;"&amp;O3,Headcount!$H$6:$H$88,"&lt;="&amp;P3,Headcount!$F$6:$F$88,"Sales")</f>
        <v>0</v>
      </c>
      <c r="Q9" s="798">
        <f>SUMIFS(Headcount!$B$6:$B$88,Headcount!$H$6:$H$88,"&gt;"&amp;P3,Headcount!$H$6:$H$88,"&lt;="&amp;Q3,Headcount!$F$6:$F$88,"Sales")</f>
        <v>0</v>
      </c>
      <c r="R9" s="798">
        <f>SUMIFS(Headcount!$B$6:$B$88,Headcount!$H$6:$H$88,"&gt;"&amp;Q3,Headcount!$H$6:$H$88,"&lt;="&amp;R3,Headcount!$F$6:$F$88,"Sales")</f>
        <v>0</v>
      </c>
      <c r="S9" s="798">
        <f>SUMIFS(Headcount!$B$6:$B$88,Headcount!$H$6:$H$88,"&gt;"&amp;R3,Headcount!$H$6:$H$88,"&lt;="&amp;S3,Headcount!$F$6:$F$88,"Sales")</f>
        <v>0</v>
      </c>
      <c r="T9" s="798">
        <f>SUMIFS(Headcount!$B$6:$B$88,Headcount!$H$6:$H$88,"&gt;"&amp;S3,Headcount!$H$6:$H$88,"&lt;="&amp;T3,Headcount!$F$6:$F$88,"Sales")</f>
        <v>0</v>
      </c>
      <c r="U9" s="798">
        <f>SUMIFS(Headcount!$B$6:$B$88,Headcount!$H$6:$H$88,"&gt;"&amp;T3,Headcount!$H$6:$H$88,"&lt;="&amp;U3,Headcount!$F$6:$F$88,"Sales")</f>
        <v>0</v>
      </c>
      <c r="V9" s="798">
        <f>SUMIFS(Headcount!$B$6:$B$88,Headcount!$H$6:$H$88,"&gt;"&amp;U3,Headcount!$H$6:$H$88,"&lt;="&amp;V3,Headcount!$F$6:$F$88,"Sales")</f>
        <v>0</v>
      </c>
      <c r="W9" s="798">
        <f>SUMIFS(Headcount!$B$6:$B$88,Headcount!$H$6:$H$88,"&gt;"&amp;V3,Headcount!$H$6:$H$88,"&lt;="&amp;W3,Headcount!$F$6:$F$88,"Sales")</f>
        <v>0</v>
      </c>
      <c r="X9" s="798">
        <f>SUMIFS(Headcount!$B$6:$B$88,Headcount!$H$6:$H$88,"&gt;"&amp;W3,Headcount!$H$6:$H$88,"&lt;="&amp;X3,Headcount!$F$6:$F$88,"Sales")</f>
        <v>1</v>
      </c>
      <c r="Y9" s="798">
        <f>SUMIFS(Headcount!$B$6:$B$88,Headcount!$H$6:$H$88,"&gt;"&amp;X3,Headcount!$H$6:$H$88,"&lt;="&amp;Y3,Headcount!$F$6:$F$88,"Sales")</f>
        <v>1</v>
      </c>
      <c r="Z9" s="798">
        <f>SUMIFS(Headcount!$B$6:$B$88,Headcount!$H$6:$H$88,"&gt;"&amp;Y3,Headcount!$H$6:$H$88,"&lt;="&amp;Z3,Headcount!$F$6:$F$88,"Sales")</f>
        <v>0</v>
      </c>
      <c r="AA9" s="798">
        <f>SUMIFS(Headcount!$B$6:$B$88,Headcount!$H$6:$H$88,"&gt;"&amp;Z3,Headcount!$H$6:$H$88,"&lt;="&amp;AA3,Headcount!$F$6:$F$88,"Sales")</f>
        <v>0</v>
      </c>
      <c r="AB9" s="798">
        <f>SUMIFS(Headcount!$B$6:$B$88,Headcount!$H$6:$H$88,"&gt;"&amp;AA3,Headcount!$H$6:$H$88,"&lt;="&amp;AB3,Headcount!$F$6:$F$88,"Sales")</f>
        <v>0</v>
      </c>
      <c r="AC9" s="798">
        <f>SUMIFS(Headcount!$B$6:$B$88,Headcount!$H$6:$H$88,"&gt;"&amp;AB3,Headcount!$H$6:$H$88,"&lt;="&amp;AC3,Headcount!$F$6:$F$88,"Sales")</f>
        <v>0</v>
      </c>
      <c r="AD9" s="798">
        <f>SUMIFS(Headcount!$B$6:$B$88,Headcount!$H$6:$H$88,"&gt;"&amp;AC3,Headcount!$H$6:$H$88,"&lt;="&amp;AD3,Headcount!$F$6:$F$88,"Sales")</f>
        <v>0</v>
      </c>
      <c r="AE9" s="798">
        <f>SUMIFS(Headcount!$B$6:$B$88,Headcount!$H$6:$H$88,"&gt;"&amp;AD3,Headcount!$H$6:$H$88,"&lt;="&amp;AE3,Headcount!$F$6:$F$88,"Sales")</f>
        <v>0</v>
      </c>
      <c r="AF9" s="798">
        <f>SUMIFS(Headcount!$B$6:$B$88,Headcount!$H$6:$H$88,"&gt;"&amp;AE3,Headcount!$H$6:$H$88,"&lt;="&amp;AF3,Headcount!$F$6:$F$88,"Sales")</f>
        <v>0</v>
      </c>
      <c r="AG9" s="798">
        <f>SUMIFS(Headcount!$B$6:$B$88,Headcount!$H$6:$H$88,"&gt;"&amp;AF3,Headcount!$H$6:$H$88,"&lt;="&amp;AG3,Headcount!$F$6:$F$88,"Sales")</f>
        <v>0</v>
      </c>
      <c r="AH9" s="798">
        <f>SUMIFS(Headcount!$B$6:$B$88,Headcount!$H$6:$H$88,"&gt;"&amp;AG3,Headcount!$H$6:$H$88,"&lt;="&amp;AH3,Headcount!$F$6:$F$88,"Sales")</f>
        <v>0</v>
      </c>
      <c r="AI9" s="798">
        <f>SUMIFS(Headcount!$B$6:$B$88,Headcount!$H$6:$H$88,"&gt;"&amp;AH3,Headcount!$H$6:$H$88,"&lt;="&amp;AI3,Headcount!$F$6:$F$88,"Sales")</f>
        <v>0</v>
      </c>
      <c r="AJ9" s="798">
        <f>SUMIFS(Headcount!$B$6:$B$88,Headcount!$H$6:$H$88,"&gt;"&amp;AI3,Headcount!$H$6:$H$88,"&lt;="&amp;AJ3,Headcount!$F$6:$F$88,"Sales")</f>
        <v>0</v>
      </c>
      <c r="AK9" s="798">
        <f>SUMIFS(Headcount!$B$6:$B$88,Headcount!$H$6:$H$88,"&gt;"&amp;AJ3,Headcount!$H$6:$H$88,"&lt;="&amp;AK3,Headcount!$F$6:$F$88,"Sales")</f>
        <v>0</v>
      </c>
      <c r="AL9" s="798">
        <f>SUMIFS(Headcount!$B$6:$B$88,Headcount!$H$6:$H$88,"&gt;"&amp;AK3,Headcount!$H$6:$H$88,"&lt;="&amp;AL3,Headcount!$F$6:$F$88,"Sales")</f>
        <v>0</v>
      </c>
      <c r="AM9" s="798">
        <f>SUMIFS(Headcount!$B$6:$B$88,Headcount!$H$6:$H$88,"&gt;"&amp;AL3,Headcount!$H$6:$H$88,"&lt;="&amp;AM3,Headcount!$F$6:$F$88,"Sales")</f>
        <v>0</v>
      </c>
      <c r="AN9" s="798">
        <f>SUMIFS(Headcount!$B$6:$B$88,Headcount!$H$6:$H$88,"&gt;"&amp;AM3,Headcount!$H$6:$H$88,"&lt;="&amp;AN3,Headcount!$F$6:$F$88,"Sales")</f>
        <v>0</v>
      </c>
      <c r="AO9" s="798">
        <f>SUMIFS(Headcount!$B$6:$B$88,Headcount!$H$6:$H$88,"&gt;"&amp;AN3,Headcount!$H$6:$H$88,"&lt;="&amp;AO3,Headcount!$F$6:$F$88,"Sales")</f>
        <v>0</v>
      </c>
      <c r="AP9" s="798">
        <f>SUMIFS(Headcount!$B$6:$B$88,Headcount!$H$6:$H$88,"&gt;"&amp;AO3,Headcount!$H$6:$H$88,"&lt;="&amp;AP3,Headcount!$F$6:$F$88,"Sales")</f>
        <v>0</v>
      </c>
      <c r="AQ9" s="798">
        <f>SUMIFS(Headcount!$B$6:$B$88,Headcount!$H$6:$H$88,"&gt;"&amp;AP3,Headcount!$H$6:$H$88,"&lt;="&amp;AQ3,Headcount!$F$6:$F$88,"Sales")</f>
        <v>0</v>
      </c>
      <c r="AR9" s="798">
        <f>SUMIFS(Headcount!$B$6:$B$88,Headcount!$H$6:$H$88,"&gt;"&amp;AQ3,Headcount!$H$6:$H$88,"&lt;="&amp;AR3,Headcount!$F$6:$F$88,"Sales")</f>
        <v>0</v>
      </c>
      <c r="AS9" s="798">
        <f>SUMIFS(Headcount!$B$6:$B$88,Headcount!$H$6:$H$88,"&gt;"&amp;AR3,Headcount!$H$6:$H$88,"&lt;="&amp;AS3,Headcount!$F$6:$F$88,"Sales")</f>
        <v>0</v>
      </c>
      <c r="AT9" s="798">
        <f>SUMIFS(Headcount!$B$6:$B$88,Headcount!$H$6:$H$88,"&gt;"&amp;AS3,Headcount!$H$6:$H$88,"&lt;="&amp;AT3,Headcount!$F$6:$F$88,"Sales")</f>
        <v>0</v>
      </c>
      <c r="AU9" s="798">
        <f>SUMIFS(Headcount!$B$6:$B$88,Headcount!$H$6:$H$88,"&gt;"&amp;AT3,Headcount!$H$6:$H$88,"&lt;="&amp;AU3,Headcount!$F$6:$F$88,"Sales")</f>
        <v>0</v>
      </c>
      <c r="AV9" s="798">
        <f>SUMIFS(Headcount!$B$6:$B$88,Headcount!$H$6:$H$88,"&gt;"&amp;AU3,Headcount!$H$6:$H$88,"&lt;="&amp;AV3,Headcount!$F$6:$F$88,"Sales")</f>
        <v>0</v>
      </c>
      <c r="AW9" s="798">
        <f>SUMIFS(Headcount!$B$6:$B$88,Headcount!$H$6:$H$88,"&gt;"&amp;AV3,Headcount!$H$6:$H$88,"&lt;="&amp;AW3,Headcount!$F$6:$F$88,"Sales")</f>
        <v>0</v>
      </c>
      <c r="AX9" s="798">
        <f>SUMIFS(Headcount!$B$6:$B$88,Headcount!$H$6:$H$88,"&gt;"&amp;AW3,Headcount!$H$6:$H$88,"&lt;="&amp;AX3,Headcount!$F$6:$F$88,"Sales")</f>
        <v>0</v>
      </c>
      <c r="AY9" s="798">
        <f>SUMIFS(Headcount!$B$6:$B$88,Headcount!$H$6:$H$88,"&gt;"&amp;AX3,Headcount!$H$6:$H$88,"&lt;="&amp;AY3,Headcount!$F$6:$F$88,"Sales")</f>
        <v>0</v>
      </c>
      <c r="AZ9" s="798">
        <f>SUMIFS(Headcount!$B$6:$B$88,Headcount!$H$6:$H$88,"&gt;"&amp;AY3,Headcount!$H$6:$H$88,"&lt;="&amp;AZ3,Headcount!$F$6:$F$88,"Sales")</f>
        <v>0</v>
      </c>
      <c r="BA9" s="798">
        <f>SUMIFS(Headcount!$B$6:$B$88,Headcount!$H$6:$H$88,"&gt;"&amp;AZ3,Headcount!$H$6:$H$88,"&lt;="&amp;BA3,Headcount!$F$6:$F$88,"Sales")</f>
        <v>0</v>
      </c>
      <c r="BB9" s="798">
        <f>SUMIFS(Headcount!$B$6:$B$88,Headcount!$H$6:$H$88,"&gt;"&amp;BA3,Headcount!$H$6:$H$88,"&lt;="&amp;BB3,Headcount!$F$6:$F$88,"Sales")</f>
        <v>0</v>
      </c>
      <c r="BC9" s="798">
        <f>SUMIFS(Headcount!$B$6:$B$88,Headcount!$H$6:$H$88,"&gt;"&amp;BB3,Headcount!$H$6:$H$88,"&lt;="&amp;BC3,Headcount!$F$6:$F$88,"Sales")</f>
        <v>0</v>
      </c>
      <c r="BD9" s="798">
        <f>SUMIFS(Headcount!$B$6:$B$88,Headcount!$H$6:$H$88,"&gt;"&amp;BC3,Headcount!$H$6:$H$88,"&lt;="&amp;BD3,Headcount!$F$6:$F$88,"Sales")</f>
        <v>0</v>
      </c>
      <c r="BE9" s="798">
        <f>SUMIFS(Headcount!$B$6:$B$88,Headcount!$H$6:$H$88,"&gt;"&amp;BD3,Headcount!$H$6:$H$88,"&lt;="&amp;BE3,Headcount!$F$6:$F$88,"Sales")</f>
        <v>0</v>
      </c>
      <c r="BF9" s="798">
        <f>SUMIFS(Headcount!$B$6:$B$88,Headcount!$H$6:$H$88,"&gt;"&amp;BE3,Headcount!$H$6:$H$88,"&lt;="&amp;BF3,Headcount!$F$6:$F$88,"Sales")</f>
        <v>0</v>
      </c>
      <c r="BG9" s="798">
        <f>SUMIFS(Headcount!$B$6:$B$88,Headcount!$H$6:$H$88,"&gt;"&amp;BF3,Headcount!$H$6:$H$88,"&lt;="&amp;BG3,Headcount!$F$6:$F$88,"Sales")</f>
        <v>0</v>
      </c>
      <c r="BH9" s="798">
        <f>SUMIFS(Headcount!$B$6:$B$88,Headcount!$H$6:$H$88,"&gt;"&amp;BG3,Headcount!$H$6:$H$88,"&lt;="&amp;BH3,Headcount!$F$6:$F$88,"Sales")</f>
        <v>0</v>
      </c>
      <c r="BI9" s="798">
        <f>SUMIFS(Headcount!$B$6:$B$88,Headcount!$H$6:$H$88,"&gt;"&amp;BH3,Headcount!$H$6:$H$88,"&lt;="&amp;BI3,Headcount!$F$6:$F$88,"Sales")</f>
        <v>0</v>
      </c>
      <c r="BJ9" s="798">
        <f>SUMIFS(Headcount!$B$6:$B$88,Headcount!$H$6:$H$88,"&gt;"&amp;BI3,Headcount!$H$6:$H$88,"&lt;="&amp;BJ3,Headcount!$F$6:$F$88,"Sales")</f>
        <v>0</v>
      </c>
      <c r="BK9" s="798">
        <f>SUMIFS(Headcount!$B$6:$B$88,Headcount!$H$6:$H$88,"&gt;"&amp;BJ3,Headcount!$H$6:$H$88,"&lt;="&amp;BK3,Headcount!$F$6:$F$88,"Sales")</f>
        <v>0</v>
      </c>
      <c r="BL9" s="798">
        <f>SUMIFS(Headcount!$B$6:$B$88,Headcount!$H$6:$H$88,"&gt;"&amp;BK3,Headcount!$H$6:$H$88,"&lt;="&amp;BL3,Headcount!$F$6:$F$88,"Sales")</f>
        <v>0</v>
      </c>
      <c r="BM9" s="798">
        <f>SUMIFS(Headcount!$B$6:$B$88,Headcount!$H$6:$H$88,"&gt;"&amp;BL3,Headcount!$H$6:$H$88,"&lt;="&amp;BM3,Headcount!$F$6:$F$88,"Sales")</f>
        <v>0</v>
      </c>
      <c r="BN9" s="798">
        <f>SUMIFS(Headcount!$B$6:$B$88,Headcount!$H$6:$H$88,"&gt;"&amp;BM3,Headcount!$H$6:$H$88,"&lt;="&amp;BN3,Headcount!$F$6:$F$88,"Sales")</f>
        <v>0</v>
      </c>
      <c r="BO9" s="798">
        <f>SUMIFS(Headcount!$B$6:$B$88,Headcount!$H$6:$H$88,"&gt;"&amp;BN3,Headcount!$H$6:$H$88,"&lt;="&amp;BO3,Headcount!$F$6:$F$88,"Sales")</f>
        <v>0</v>
      </c>
      <c r="BP9" s="798">
        <f>SUMIFS(Headcount!$B$6:$B$88,Headcount!$H$6:$H$88,"&gt;"&amp;BO3,Headcount!$H$6:$H$88,"&lt;="&amp;BP3,Headcount!$F$6:$F$88,"Sales")</f>
        <v>0</v>
      </c>
      <c r="BQ9" s="798">
        <f>SUMIFS(Headcount!$B$6:$B$88,Headcount!$H$6:$H$88,"&gt;"&amp;BP3,Headcount!$H$6:$H$88,"&lt;="&amp;BQ3,Headcount!$F$6:$F$88,"Sales")</f>
        <v>0</v>
      </c>
      <c r="BR9" s="798">
        <f>SUMIFS(Headcount!$B$6:$B$88,Headcount!$H$6:$H$88,"&gt;"&amp;BQ3,Headcount!$H$6:$H$88,"&lt;="&amp;BR3,Headcount!$F$6:$F$88,"Sales")</f>
        <v>0</v>
      </c>
      <c r="BS9" s="798">
        <f>SUMIFS(Headcount!$B$6:$B$88,Headcount!$H$6:$H$88,"&gt;"&amp;BR3,Headcount!$H$6:$H$88,"&lt;="&amp;BS3,Headcount!$F$6:$F$88,"Sales")</f>
        <v>0</v>
      </c>
      <c r="BT9" s="798">
        <f>SUMIFS(Headcount!$B$6:$B$88,Headcount!$H$6:$H$88,"&gt;"&amp;BS3,Headcount!$H$6:$H$88,"&lt;="&amp;BT3,Headcount!$F$6:$F$88,"Sales")</f>
        <v>0</v>
      </c>
      <c r="BU9" s="798">
        <f>SUMIFS(Headcount!$B$6:$B$88,Headcount!$H$6:$H$88,"&gt;"&amp;BT3,Headcount!$H$6:$H$88,"&lt;="&amp;BU3,Headcount!$F$6:$F$88,"Sales")</f>
        <v>0</v>
      </c>
      <c r="BV9" s="799">
        <f>SUMIFS(Headcount!$B$6:$B$88,Headcount!$H$6:$H$88,"&gt;"&amp;BU3,Headcount!$H$6:$H$88,"&lt;="&amp;BV3,Headcount!$F$6:$F$88,"Sales")</f>
        <v>0</v>
      </c>
    </row>
    <row r="10" spans="2:77" x14ac:dyDescent="0.35">
      <c r="B10" s="800"/>
      <c r="C10" s="157"/>
      <c r="D10" s="157"/>
      <c r="E10" s="157"/>
      <c r="F10" s="157"/>
      <c r="G10" s="157"/>
      <c r="H10" s="157"/>
      <c r="I10" s="157"/>
      <c r="J10" s="157"/>
      <c r="K10" s="157"/>
      <c r="L10" s="157"/>
      <c r="M10" s="157"/>
      <c r="N10" s="157"/>
      <c r="O10" s="157"/>
      <c r="P10" s="157"/>
      <c r="Q10" s="157"/>
      <c r="R10" s="157"/>
      <c r="S10" s="157"/>
      <c r="T10" s="157"/>
      <c r="U10" s="157"/>
      <c r="V10" s="157"/>
      <c r="W10" s="157"/>
      <c r="X10" s="157"/>
      <c r="Y10" s="157"/>
      <c r="Z10" s="157"/>
      <c r="AA10" s="157"/>
      <c r="AB10" s="157"/>
      <c r="AC10" s="157"/>
      <c r="AD10" s="157"/>
      <c r="AE10" s="157"/>
      <c r="AF10" s="157"/>
      <c r="AG10" s="157"/>
      <c r="AH10" s="157"/>
      <c r="AI10" s="157"/>
      <c r="AJ10" s="157"/>
      <c r="AK10" s="157"/>
      <c r="AL10" s="157"/>
      <c r="AM10" s="157"/>
      <c r="AN10" s="157"/>
      <c r="AO10" s="157"/>
      <c r="AP10" s="157"/>
      <c r="AQ10" s="157"/>
      <c r="AR10" s="157"/>
      <c r="AS10" s="157"/>
      <c r="AT10" s="157"/>
      <c r="AU10" s="157"/>
      <c r="AV10" s="157"/>
      <c r="AW10" s="157"/>
      <c r="AX10" s="157"/>
      <c r="AY10" s="157"/>
      <c r="AZ10" s="157"/>
      <c r="BA10" s="157"/>
      <c r="BB10" s="157"/>
      <c r="BC10" s="157"/>
      <c r="BD10" s="157"/>
      <c r="BE10" s="157"/>
      <c r="BF10" s="157"/>
      <c r="BG10" s="157"/>
      <c r="BH10" s="157"/>
      <c r="BI10" s="157"/>
      <c r="BJ10" s="157"/>
      <c r="BK10" s="157"/>
      <c r="BL10" s="157"/>
      <c r="BM10" s="157"/>
      <c r="BN10" s="157"/>
      <c r="BO10" s="157"/>
      <c r="BP10" s="157"/>
      <c r="BQ10" s="157"/>
      <c r="BR10" s="157"/>
      <c r="BS10" s="157"/>
      <c r="BT10" s="157"/>
      <c r="BU10" s="157"/>
      <c r="BV10" s="801"/>
    </row>
    <row r="11" spans="2:77" x14ac:dyDescent="0.35">
      <c r="B11" s="802" t="s">
        <v>933</v>
      </c>
      <c r="C11" s="803"/>
      <c r="D11" s="803"/>
      <c r="E11" s="803"/>
      <c r="F11" s="803"/>
      <c r="G11" s="803"/>
      <c r="H11" s="803"/>
      <c r="I11" s="803"/>
      <c r="J11" s="803"/>
      <c r="K11" s="803"/>
      <c r="L11" s="803"/>
      <c r="M11" s="803"/>
      <c r="N11" s="803"/>
      <c r="O11" s="804"/>
      <c r="P11" s="804"/>
      <c r="Q11" s="804"/>
      <c r="R11" s="804"/>
      <c r="S11" s="804"/>
      <c r="T11" s="804"/>
      <c r="U11" s="804"/>
      <c r="V11" s="804"/>
      <c r="W11" s="804"/>
      <c r="X11" s="804"/>
      <c r="Y11" s="804"/>
      <c r="Z11" s="804"/>
      <c r="AA11" s="804"/>
      <c r="AB11" s="804"/>
      <c r="AC11" s="804"/>
      <c r="AD11" s="804"/>
      <c r="AE11" s="804"/>
      <c r="AF11" s="804"/>
      <c r="AG11" s="804"/>
      <c r="AH11" s="804"/>
      <c r="AI11" s="804"/>
      <c r="AJ11" s="804"/>
      <c r="AK11" s="804"/>
      <c r="AL11" s="804"/>
      <c r="AM11" s="804"/>
      <c r="AN11" s="804"/>
      <c r="AO11" s="804"/>
      <c r="AP11" s="804"/>
      <c r="AQ11" s="804"/>
      <c r="AR11" s="804"/>
      <c r="AS11" s="804"/>
      <c r="AT11" s="804"/>
      <c r="AU11" s="804"/>
      <c r="AV11" s="804"/>
      <c r="AW11" s="804"/>
      <c r="AX11" s="804"/>
      <c r="AY11" s="804"/>
      <c r="AZ11" s="804"/>
      <c r="BA11" s="804"/>
      <c r="BB11" s="804"/>
      <c r="BC11" s="804"/>
      <c r="BD11" s="804"/>
      <c r="BE11" s="804"/>
      <c r="BF11" s="804"/>
      <c r="BG11" s="804"/>
      <c r="BH11" s="804"/>
      <c r="BI11" s="804"/>
      <c r="BJ11" s="804"/>
      <c r="BK11" s="804"/>
      <c r="BL11" s="804"/>
      <c r="BM11" s="804"/>
      <c r="BN11" s="804"/>
      <c r="BO11" s="804"/>
      <c r="BP11" s="804"/>
      <c r="BQ11" s="804"/>
      <c r="BR11" s="804"/>
      <c r="BS11" s="804"/>
      <c r="BT11" s="804"/>
      <c r="BU11" s="804"/>
      <c r="BV11" s="805"/>
    </row>
    <row r="12" spans="2:77" x14ac:dyDescent="0.35">
      <c r="B12" s="797" t="s">
        <v>934</v>
      </c>
      <c r="C12" s="806">
        <f>IF(C$4="forecast",IF(YEAR(C$3)=YEAR(Headcount!$N$4),((SUMIFS(Headcount!$N$6:$N$89,Headcount!$F$6:$F$89,"Sales",Headcount!$H$6:$H$89,"&gt;="&amp;Sales!C$3)/12)),IF(YEAR(C$3)=YEAR(Headcount!$O$4),IF((C$5=2),((SUMIFS(Headcount!$O$6:$O$89,Headcount!$F$6:$F$89,"Sales",Headcount!$H$6:$H$89,"&gt;="&amp;Sales!C$3)/12)),B12),IF(YEAR(C$3)=YEAR(Headcount!$P$4),IF((C$5=2),((SUMIFS(Headcount!$P$6:$P$89,Headcount!$F$6:$F$89,"Sales",Headcount!$H$6:$H$89,"&gt;="&amp;Sales!C$3)/12)),B12),IF(YEAR(C$3)=YEAR(Headcount!$Q$4),IF((C$5=2),((SUMIFS(Headcount!$Q$6:$Q$89,Headcount!$F$6:$F$89,"Sales",Headcount!$H$6:$H$89,"&gt;="&amp;Sales!C$3)/12)),B12),IF(YEAR(C$3)=YEAR(Headcount!$R$4),IF((C$5=2),((SUMIFS(Headcount!$R$6:$R$89,Headcount!$F$6:$F$89,"Sales",Headcount!$H$6:$H$89,"&gt;="&amp;Sales!C$3)/12)),B12),"New Year"))))),'Dept. Cost Actuals'!G152-'Dept. Cost Actuals'!G142)</f>
        <v>30344.79467457805</v>
      </c>
      <c r="D12" s="806">
        <f>IF(D$4="forecast",IF(YEAR(D$3)=YEAR(Headcount!$N$4),((SUMIFS(Headcount!$N$6:$N$89,Headcount!$F$6:$F$89,"Sales",Headcount!$H$6:$H$89,"&gt;="&amp;Sales!D$3)/12)),IF(YEAR(D$3)=YEAR(Headcount!$O$4),IF((D$5=2),((SUMIFS(Headcount!$O$6:$O$89,Headcount!$F$6:$F$89,"Sales",Headcount!$H$6:$H$89,"&gt;="&amp;Sales!D$3)/12)),C12),IF(YEAR(D$3)=YEAR(Headcount!$P$4),IF((D$5=2),((SUMIFS(Headcount!$P$6:$P$89,Headcount!$F$6:$F$89,"Sales",Headcount!$H$6:$H$89,"&gt;="&amp;Sales!D$3)/12)),C12),IF(YEAR(D$3)=YEAR(Headcount!$Q$4),IF((D$5=2),((SUMIFS(Headcount!$Q$6:$Q$89,Headcount!$F$6:$F$89,"Sales",Headcount!$H$6:$H$89,"&gt;="&amp;Sales!D$3)/12)),C12),IF(YEAR(D$3)=YEAR(Headcount!$R$4),IF((D$5=2),((SUMIFS(Headcount!$R$6:$R$89,Headcount!$F$6:$F$89,"Sales",Headcount!$H$6:$H$89,"&gt;="&amp;Sales!D$3)/12)),C12),"New Year"))))),'Dept. Cost Actuals'!H152-'Dept. Cost Actuals'!H142)</f>
        <v>31006.92026958222</v>
      </c>
      <c r="E12" s="806">
        <f>IF(E$4="forecast",IF(YEAR(E$3)=YEAR(Headcount!$N$4),((SUMIFS(Headcount!$N$6:$N$89,Headcount!$F$6:$F$89,"Sales",Headcount!$H$6:$H$89,"&gt;="&amp;Sales!E$3)/12)),IF(YEAR(E$3)=YEAR(Headcount!$O$4),IF((E$5=2),((SUMIFS(Headcount!$O$6:$O$89,Headcount!$F$6:$F$89,"Sales",Headcount!$H$6:$H$89,"&gt;="&amp;Sales!E$3)/12)),D12),IF(YEAR(E$3)=YEAR(Headcount!$P$4),IF((E$5=2),((SUMIFS(Headcount!$P$6:$P$89,Headcount!$F$6:$F$89,"Sales",Headcount!$H$6:$H$89,"&gt;="&amp;Sales!E$3)/12)),D12),IF(YEAR(E$3)=YEAR(Headcount!$Q$4),IF((E$5=2),((SUMIFS(Headcount!$Q$6:$Q$89,Headcount!$F$6:$F$89,"Sales",Headcount!$H$6:$H$89,"&gt;="&amp;Sales!E$3)/12)),D12),IF(YEAR(E$3)=YEAR(Headcount!$R$4),IF((E$5=2),((SUMIFS(Headcount!$R$6:$R$89,Headcount!$F$6:$F$89,"Sales",Headcount!$H$6:$H$89,"&gt;="&amp;Sales!E$3)/12)),D12),"New Year"))))),'Dept. Cost Actuals'!I152-'Dept. Cost Actuals'!I142)</f>
        <v>26077.437584362211</v>
      </c>
      <c r="F12" s="806">
        <f>IF(F$4="forecast",IF(YEAR(F$3)=YEAR(Headcount!$N$4),((SUMIFS(Headcount!$N$6:$N$89,Headcount!$F$6:$F$89,"Sales",Headcount!$H$6:$H$89,"&gt;="&amp;Sales!F$3)/12)),IF(YEAR(F$3)=YEAR(Headcount!$O$4),IF((F$5=2),((SUMIFS(Headcount!$O$6:$O$89,Headcount!$F$6:$F$89,"Sales",Headcount!$H$6:$H$89,"&gt;="&amp;Sales!F$3)/12)),E12),IF(YEAR(F$3)=YEAR(Headcount!$P$4),IF((F$5=2),((SUMIFS(Headcount!$P$6:$P$89,Headcount!$F$6:$F$89,"Sales",Headcount!$H$6:$H$89,"&gt;="&amp;Sales!F$3)/12)),E12),IF(YEAR(F$3)=YEAR(Headcount!$Q$4),IF((F$5=2),((SUMIFS(Headcount!$Q$6:$Q$89,Headcount!$F$6:$F$89,"Sales",Headcount!$H$6:$H$89,"&gt;="&amp;Sales!F$3)/12)),E12),IF(YEAR(F$3)=YEAR(Headcount!$R$4),IF((F$5=2),((SUMIFS(Headcount!$R$6:$R$89,Headcount!$F$6:$F$89,"Sales",Headcount!$H$6:$H$89,"&gt;="&amp;Sales!F$3)/12)),E12),"New Year"))))),'Dept. Cost Actuals'!J152-'Dept. Cost Actuals'!J142)</f>
        <v>28142.822274063168</v>
      </c>
      <c r="G12" s="806">
        <f>IF(G$4="forecast",IF(YEAR(G$3)=YEAR(Headcount!$N$4),((SUMIFS(Headcount!$N$6:$N$89,Headcount!$F$6:$F$89,"Sales",Headcount!$H$6:$H$89,"&gt;="&amp;Sales!G$3)/12)),IF(YEAR(G$3)=YEAR(Headcount!$O$4),IF((G$5=2),((SUMIFS(Headcount!$O$6:$O$89,Headcount!$F$6:$F$89,"Sales",Headcount!$H$6:$H$89,"&gt;="&amp;Sales!G$3)/12)),F12),IF(YEAR(G$3)=YEAR(Headcount!$P$4),IF((G$5=2),((SUMIFS(Headcount!$P$6:$P$89,Headcount!$F$6:$F$89,"Sales",Headcount!$H$6:$H$89,"&gt;="&amp;Sales!G$3)/12)),F12),IF(YEAR(G$3)=YEAR(Headcount!$Q$4),IF((G$5=2),((SUMIFS(Headcount!$Q$6:$Q$89,Headcount!$F$6:$F$89,"Sales",Headcount!$H$6:$H$89,"&gt;="&amp;Sales!G$3)/12)),F12),IF(YEAR(G$3)=YEAR(Headcount!$R$4),IF((G$5=2),((SUMIFS(Headcount!$R$6:$R$89,Headcount!$F$6:$F$89,"Sales",Headcount!$H$6:$H$89,"&gt;="&amp;Sales!G$3)/12)),F12),"New Year"))))),'Dept. Cost Actuals'!K152-'Dept. Cost Actuals'!K142)</f>
        <v>29154.138457893536</v>
      </c>
      <c r="H12" s="806">
        <f>IF(H$4="forecast",IF(YEAR(H$3)=YEAR(Headcount!$N$4),((SUMIFS(Headcount!$N$6:$N$89,Headcount!$F$6:$F$89,"Sales",Headcount!$H$6:$H$89,"&gt;="&amp;Sales!H$3)/12)),IF(YEAR(H$3)=YEAR(Headcount!$O$4),IF((H$5=2),((SUMIFS(Headcount!$O$6:$O$89,Headcount!$F$6:$F$89,"Sales",Headcount!$H$6:$H$89,"&gt;="&amp;Sales!H$3)/12)),G12),IF(YEAR(H$3)=YEAR(Headcount!$P$4),IF((H$5=2),((SUMIFS(Headcount!$P$6:$P$89,Headcount!$F$6:$F$89,"Sales",Headcount!$H$6:$H$89,"&gt;="&amp;Sales!H$3)/12)),G12),IF(YEAR(H$3)=YEAR(Headcount!$Q$4),IF((H$5=2),((SUMIFS(Headcount!$Q$6:$Q$89,Headcount!$F$6:$F$89,"Sales",Headcount!$H$6:$H$89,"&gt;="&amp;Sales!H$3)/12)),G12),IF(YEAR(H$3)=YEAR(Headcount!$R$4),IF((H$5=2),((SUMIFS(Headcount!$R$6:$R$89,Headcount!$F$6:$F$89,"Sales",Headcount!$H$6:$H$89,"&gt;="&amp;Sales!H$3)/12)),G12),"New Year"))))),'Dept. Cost Actuals'!L152-'Dept. Cost Actuals'!L142)</f>
        <v>47588.141479941041</v>
      </c>
      <c r="I12" s="806">
        <f>IF(I$4="forecast",IF(YEAR(I$3)=YEAR(Headcount!$N$4),((SUMIFS(Headcount!$N$6:$N$89,Headcount!$F$6:$F$89,"Sales",Headcount!$H$6:$H$89,"&gt;="&amp;Sales!I$3)/12)),IF(YEAR(I$3)=YEAR(Headcount!$O$4),IF((I$5=2),((SUMIFS(Headcount!$O$6:$O$89,Headcount!$F$6:$F$89,"Sales",Headcount!$H$6:$H$89,"&gt;="&amp;Sales!I$3)/12)),H12),IF(YEAR(I$3)=YEAR(Headcount!$P$4),IF((I$5=2),((SUMIFS(Headcount!$P$6:$P$89,Headcount!$F$6:$F$89,"Sales",Headcount!$H$6:$H$89,"&gt;="&amp;Sales!I$3)/12)),H12),IF(YEAR(I$3)=YEAR(Headcount!$Q$4),IF((I$5=2),((SUMIFS(Headcount!$Q$6:$Q$89,Headcount!$F$6:$F$89,"Sales",Headcount!$H$6:$H$89,"&gt;="&amp;Sales!I$3)/12)),H12),IF(YEAR(I$3)=YEAR(Headcount!$R$4),IF((I$5=2),((SUMIFS(Headcount!$R$6:$R$89,Headcount!$F$6:$F$89,"Sales",Headcount!$H$6:$H$89,"&gt;="&amp;Sales!I$3)/12)),H12),"New Year"))))),'Dept. Cost Actuals'!M152-'Dept. Cost Actuals'!M142)</f>
        <v>39782.644808278739</v>
      </c>
      <c r="J12" s="806">
        <f>IF(J$4="forecast",IF(YEAR(J$3)=YEAR(Headcount!$N$4),((SUMIFS(Headcount!$N$6:$N$89,Headcount!$F$6:$F$89,"Sales",Headcount!$H$6:$H$89,"&gt;="&amp;Sales!J$3)/12)),IF(YEAR(J$3)=YEAR(Headcount!$O$4),IF((J$5=2),((SUMIFS(Headcount!$O$6:$O$89,Headcount!$F$6:$F$89,"Sales",Headcount!$H$6:$H$89,"&gt;="&amp;Sales!J$3)/12)),I12),IF(YEAR(J$3)=YEAR(Headcount!$P$4),IF((J$5=2),((SUMIFS(Headcount!$P$6:$P$89,Headcount!$F$6:$F$89,"Sales",Headcount!$H$6:$H$89,"&gt;="&amp;Sales!J$3)/12)),I12),IF(YEAR(J$3)=YEAR(Headcount!$Q$4),IF((J$5=2),((SUMIFS(Headcount!$Q$6:$Q$89,Headcount!$F$6:$F$89,"Sales",Headcount!$H$6:$H$89,"&gt;="&amp;Sales!J$3)/12)),I12),IF(YEAR(J$3)=YEAR(Headcount!$R$4),IF((J$5=2),((SUMIFS(Headcount!$R$6:$R$89,Headcount!$F$6:$F$89,"Sales",Headcount!$H$6:$H$89,"&gt;="&amp;Sales!J$3)/12)),I12),"New Year"))))),'Dept. Cost Actuals'!N152-'Dept. Cost Actuals'!N142)</f>
        <v>42173.505917676463</v>
      </c>
      <c r="K12" s="806">
        <f>IF(K$4="forecast",IF(YEAR(K$3)=YEAR(Headcount!$N$4),((SUMIFS(Headcount!$N$6:$N$89,Headcount!$F$6:$F$89,"Sales",Headcount!$H$6:$H$89,"&gt;="&amp;Sales!K$3)/12)),IF(YEAR(K$3)=YEAR(Headcount!$O$4),IF((K$5=2),((SUMIFS(Headcount!$O$6:$O$89,Headcount!$F$6:$F$89,"Sales",Headcount!$H$6:$H$89,"&gt;="&amp;Sales!K$3)/12)),J12),IF(YEAR(K$3)=YEAR(Headcount!$P$4),IF((K$5=2),((SUMIFS(Headcount!$P$6:$P$89,Headcount!$F$6:$F$89,"Sales",Headcount!$H$6:$H$89,"&gt;="&amp;Sales!K$3)/12)),J12),IF(YEAR(K$3)=YEAR(Headcount!$Q$4),IF((K$5=2),((SUMIFS(Headcount!$Q$6:$Q$89,Headcount!$F$6:$F$89,"Sales",Headcount!$H$6:$H$89,"&gt;="&amp;Sales!K$3)/12)),J12),IF(YEAR(K$3)=YEAR(Headcount!$R$4),IF((K$5=2),((SUMIFS(Headcount!$R$6:$R$89,Headcount!$F$6:$F$89,"Sales",Headcount!$H$6:$H$89,"&gt;="&amp;Sales!K$3)/12)),J12),"New Year"))))),'Dept. Cost Actuals'!O152-'Dept. Cost Actuals'!O142)</f>
        <v>40717.334044490744</v>
      </c>
      <c r="L12" s="806">
        <f>IF(L$4="forecast",IF(YEAR(L$3)=YEAR(Headcount!$N$4),((SUMIFS(Headcount!$N$6:$N$89,Headcount!$F$6:$F$89,"Sales",Headcount!$H$6:$H$89,"&gt;="&amp;Sales!L$3)/12)),IF(YEAR(L$3)=YEAR(Headcount!$O$4),IF((L$5=2),((SUMIFS(Headcount!$O$6:$O$89,Headcount!$F$6:$F$89,"Sales",Headcount!$H$6:$H$89,"&gt;="&amp;Sales!L$3)/12)),K12),IF(YEAR(L$3)=YEAR(Headcount!$P$4),IF((L$5=2),((SUMIFS(Headcount!$P$6:$P$89,Headcount!$F$6:$F$89,"Sales",Headcount!$H$6:$H$89,"&gt;="&amp;Sales!L$3)/12)),K12),IF(YEAR(L$3)=YEAR(Headcount!$Q$4),IF((L$5=2),((SUMIFS(Headcount!$Q$6:$Q$89,Headcount!$F$6:$F$89,"Sales",Headcount!$H$6:$H$89,"&gt;="&amp;Sales!L$3)/12)),K12),IF(YEAR(L$3)=YEAR(Headcount!$R$4),IF((L$5=2),((SUMIFS(Headcount!$R$6:$R$89,Headcount!$F$6:$F$89,"Sales",Headcount!$H$6:$H$89,"&gt;="&amp;Sales!L$3)/12)),K12),"New Year"))))),'Dept. Cost Actuals'!P152-'Dept. Cost Actuals'!P142)</f>
        <v>36868.067513448281</v>
      </c>
      <c r="M12" s="806">
        <f>IF(M$4="forecast",IF(YEAR(M$3)=YEAR(Headcount!$N$4),((SUMIFS(Headcount!$N$6:$N$89,Headcount!$F$6:$F$89,"Sales",Headcount!$H$6:$H$89,"&gt;="&amp;Sales!M$3)/12)),IF(YEAR(M$3)=YEAR(Headcount!$O$4),IF((M$5=2),((SUMIFS(Headcount!$O$6:$O$89,Headcount!$F$6:$F$89,"Sales",Headcount!$H$6:$H$89,"&gt;="&amp;Sales!M$3)/12)),L12),IF(YEAR(M$3)=YEAR(Headcount!$P$4),IF((M$5=2),((SUMIFS(Headcount!$P$6:$P$89,Headcount!$F$6:$F$89,"Sales",Headcount!$H$6:$H$89,"&gt;="&amp;Sales!M$3)/12)),L12),IF(YEAR(M$3)=YEAR(Headcount!$Q$4),IF((M$5=2),((SUMIFS(Headcount!$Q$6:$Q$89,Headcount!$F$6:$F$89,"Sales",Headcount!$H$6:$H$89,"&gt;="&amp;Sales!M$3)/12)),L12),IF(YEAR(M$3)=YEAR(Headcount!$R$4),IF((M$5=2),((SUMIFS(Headcount!$R$6:$R$89,Headcount!$F$6:$F$89,"Sales",Headcount!$H$6:$H$89,"&gt;="&amp;Sales!M$3)/12)),L12),"New Year"))))),'Dept. Cost Actuals'!Q152-'Dept. Cost Actuals'!Q142)</f>
        <v>54543.425776535914</v>
      </c>
      <c r="N12" s="806">
        <f>IF(N$4="forecast",IF(YEAR(N$3)=YEAR(Headcount!$N$4),((SUMIFS(Headcount!$N$6:$N$89,Headcount!$F$6:$F$89,"Sales",Headcount!$H$6:$H$89,"&gt;="&amp;Sales!N$3)/12)),IF(YEAR(N$3)=YEAR(Headcount!$O$4),IF((N$5=2),((SUMIFS(Headcount!$O$6:$O$89,Headcount!$F$6:$F$89,"Sales",Headcount!$H$6:$H$89,"&gt;="&amp;Sales!N$3)/12)),M12),IF(YEAR(N$3)=YEAR(Headcount!$P$4),IF((N$5=2),((SUMIFS(Headcount!$P$6:$P$89,Headcount!$F$6:$F$89,"Sales",Headcount!$H$6:$H$89,"&gt;="&amp;Sales!N$3)/12)),M12),IF(YEAR(N$3)=YEAR(Headcount!$Q$4),IF((N$5=2),((SUMIFS(Headcount!$Q$6:$Q$89,Headcount!$F$6:$F$89,"Sales",Headcount!$H$6:$H$89,"&gt;="&amp;Sales!N$3)/12)),M12),IF(YEAR(N$3)=YEAR(Headcount!$R$4),IF((N$5=2),((SUMIFS(Headcount!$R$6:$R$89,Headcount!$F$6:$F$89,"Sales",Headcount!$H$6:$H$89,"&gt;="&amp;Sales!N$3)/12)),M12),"New Year"))))),'Dept. Cost Actuals'!R152-'Dept. Cost Actuals'!R142)</f>
        <v>39287.615583477818</v>
      </c>
      <c r="O12" s="806">
        <f>IF(O$4="forecast",IF(YEAR(O$3)=YEAR(Headcount!$N$4),((SUMIFS(Headcount!$N$6:$N$89,Headcount!$F$6:$F$89,"Sales",Headcount!$H$6:$H$89,"&gt;="&amp;Sales!O$3)/12)),IF(YEAR(O$3)=YEAR(Headcount!$O$4),IF((O$5=2),((SUMIFS(Headcount!$O$6:$O$89,Headcount!$F$6:$F$89,"Sales",Headcount!$H$6:$H$89,"&gt;="&amp;Sales!O$3)/12)),N12),IF(YEAR(O$3)=YEAR(Headcount!$P$4),IF((O$5=2),((SUMIFS(Headcount!$P$6:$P$89,Headcount!$F$6:$F$89,"Sales",Headcount!$H$6:$H$89,"&gt;="&amp;Sales!O$3)/12)),N12),IF(YEAR(O$3)=YEAR(Headcount!$Q$4),IF((O$5=2),((SUMIFS(Headcount!$Q$6:$Q$89,Headcount!$F$6:$F$89,"Sales",Headcount!$H$6:$H$89,"&gt;="&amp;Sales!O$3)/12)),N12),IF(YEAR(O$3)=YEAR(Headcount!$R$4),IF((O$5=2),((SUMIFS(Headcount!$R$6:$R$89,Headcount!$F$6:$F$89,"Sales",Headcount!$H$6:$H$89,"&gt;="&amp;Sales!O$3)/12)),N12),"New Year"))))),'Dept. Cost Actuals'!S152-'Dept. Cost Actuals'!S142)</f>
        <v>76107.010000000009</v>
      </c>
      <c r="P12" s="806">
        <f>IF(P$4="forecast",IF(YEAR(P$3)=YEAR(Headcount!$N$4),((SUMIFS(Headcount!$N$6:$N$89,Headcount!$F$6:$F$89,"Sales",Headcount!$H$6:$H$89,"&gt;="&amp;Sales!P$3)/12)),IF(YEAR(P$3)=YEAR(Headcount!$O$4),IF((P$5=2),((SUMIFS(Headcount!$O$6:$O$89,Headcount!$F$6:$F$89,"Sales",Headcount!$H$6:$H$89,"&gt;="&amp;Sales!P$3)/12)),O12),IF(YEAR(P$3)=YEAR(Headcount!$P$4),IF((P$5=2),((SUMIFS(Headcount!$P$6:$P$89,Headcount!$F$6:$F$89,"Sales",Headcount!$H$6:$H$89,"&gt;="&amp;Sales!P$3)/12)),O12),IF(YEAR(P$3)=YEAR(Headcount!$Q$4),IF((P$5=2),((SUMIFS(Headcount!$Q$6:$Q$89,Headcount!$F$6:$F$89,"Sales",Headcount!$H$6:$H$89,"&gt;="&amp;Sales!P$3)/12)),O12),IF(YEAR(P$3)=YEAR(Headcount!$R$4),IF((P$5=2),((SUMIFS(Headcount!$R$6:$R$89,Headcount!$F$6:$F$89,"Sales",Headcount!$H$6:$H$89,"&gt;="&amp;Sales!P$3)/12)),O12),"New Year"))))),'Dept. Cost Actuals'!T152-'Dept. Cost Actuals'!T142)</f>
        <v>72608</v>
      </c>
      <c r="Q12" s="806">
        <f>IF(Q$4="forecast",IF(YEAR(Q$3)=YEAR(Headcount!$N$4),((SUMIFS(Headcount!$N$6:$N$89,Headcount!$F$6:$F$89,"Sales",Headcount!$H$6:$H$89,"&gt;="&amp;Sales!Q$3)/12)),IF(YEAR(Q$3)=YEAR(Headcount!$O$4),IF((Q$5=2),((SUMIFS(Headcount!$O$6:$O$89,Headcount!$F$6:$F$89,"Sales",Headcount!$H$6:$H$89,"&gt;="&amp;Sales!Q$3)/12)),P12),IF(YEAR(Q$3)=YEAR(Headcount!$P$4),IF((Q$5=2),((SUMIFS(Headcount!$P$6:$P$89,Headcount!$F$6:$F$89,"Sales",Headcount!$H$6:$H$89,"&gt;="&amp;Sales!Q$3)/12)),P12),IF(YEAR(Q$3)=YEAR(Headcount!$Q$4),IF((Q$5=2),((SUMIFS(Headcount!$Q$6:$Q$89,Headcount!$F$6:$F$89,"Sales",Headcount!$H$6:$H$89,"&gt;="&amp;Sales!Q$3)/12)),P12),IF(YEAR(Q$3)=YEAR(Headcount!$R$4),IF((Q$5=2),((SUMIFS(Headcount!$R$6:$R$89,Headcount!$F$6:$F$89,"Sales",Headcount!$H$6:$H$89,"&gt;="&amp;Sales!Q$3)/12)),P12),"New Year"))))),'Dept. Cost Actuals'!U152-'Dept. Cost Actuals'!U142)</f>
        <v>126547.46</v>
      </c>
      <c r="R12" s="806">
        <f>IF(R$4="forecast",IF(YEAR(R$3)=YEAR(Headcount!$N$4),((SUMIFS(Headcount!$N$6:$N$89,Headcount!$F$6:$F$89,"Sales",Headcount!$H$6:$H$89,"&gt;="&amp;Sales!R$3)/12)),IF(YEAR(R$3)=YEAR(Headcount!$O$4),IF((R$5=2),((SUMIFS(Headcount!$O$6:$O$89,Headcount!$F$6:$F$89,"Sales",Headcount!$H$6:$H$89,"&gt;="&amp;Sales!R$3)/12)),Q12),IF(YEAR(R$3)=YEAR(Headcount!$P$4),IF((R$5=2),((SUMIFS(Headcount!$P$6:$P$89,Headcount!$F$6:$F$89,"Sales",Headcount!$H$6:$H$89,"&gt;="&amp;Sales!R$3)/12)),Q12),IF(YEAR(R$3)=YEAR(Headcount!$Q$4),IF((R$5=2),((SUMIFS(Headcount!$Q$6:$Q$89,Headcount!$F$6:$F$89,"Sales",Headcount!$H$6:$H$89,"&gt;="&amp;Sales!R$3)/12)),Q12),IF(YEAR(R$3)=YEAR(Headcount!$R$4),IF((R$5=2),((SUMIFS(Headcount!$R$6:$R$89,Headcount!$F$6:$F$89,"Sales",Headcount!$H$6:$H$89,"&gt;="&amp;Sales!R$3)/12)),Q12),"New Year"))))),'Dept. Cost Actuals'!V152-'Dept. Cost Actuals'!V142)</f>
        <v>85474.48000000001</v>
      </c>
      <c r="S12" s="806">
        <f>IF(S$4="forecast",IF(YEAR(S$3)=YEAR(Headcount!$N$4),((SUMIFS(Headcount!$N$6:$N$89,Headcount!$F$6:$F$89,"Sales",Headcount!$H$6:$H$89,"&gt;="&amp;Sales!S$3)/12)),IF(YEAR(S$3)=YEAR(Headcount!$O$4),IF((S$5=2),((SUMIFS(Headcount!$O$6:$O$89,Headcount!$F$6:$F$89,"Sales",Headcount!$H$6:$H$89,"&gt;="&amp;Sales!S$3)/12)),R12),IF(YEAR(S$3)=YEAR(Headcount!$P$4),IF((S$5=2),((SUMIFS(Headcount!$P$6:$P$89,Headcount!$F$6:$F$89,"Sales",Headcount!$H$6:$H$89,"&gt;="&amp;Sales!S$3)/12)),R12),IF(YEAR(S$3)=YEAR(Headcount!$Q$4),IF((S$5=2),((SUMIFS(Headcount!$Q$6:$Q$89,Headcount!$F$6:$F$89,"Sales",Headcount!$H$6:$H$89,"&gt;="&amp;Sales!S$3)/12)),R12),IF(YEAR(S$3)=YEAR(Headcount!$R$4),IF((S$5=2),((SUMIFS(Headcount!$R$6:$R$89,Headcount!$F$6:$F$89,"Sales",Headcount!$H$6:$H$89,"&gt;="&amp;Sales!S$3)/12)),R12),"New Year"))))),'Dept. Cost Actuals'!W152-'Dept. Cost Actuals'!W142)</f>
        <v>105420.7</v>
      </c>
      <c r="T12" s="806">
        <f>IF(T$4="forecast",IF(YEAR(T$3)=YEAR(Headcount!$N$4),((SUMIFS(Headcount!$N$6:$N$89,Headcount!$F$6:$F$89,"Sales",Headcount!$H$6:$H$89,"&gt;="&amp;Sales!T$3)/12)),IF(YEAR(T$3)=YEAR(Headcount!$O$4),IF((T$5=2),((SUMIFS(Headcount!$O$6:$O$89,Headcount!$F$6:$F$89,"Sales",Headcount!$H$6:$H$89,"&gt;="&amp;Sales!T$3)/12)),S12),IF(YEAR(T$3)=YEAR(Headcount!$P$4),IF((T$5=2),((SUMIFS(Headcount!$P$6:$P$89,Headcount!$F$6:$F$89,"Sales",Headcount!$H$6:$H$89,"&gt;="&amp;Sales!T$3)/12)),S12),IF(YEAR(T$3)=YEAR(Headcount!$Q$4),IF((T$5=2),((SUMIFS(Headcount!$Q$6:$Q$89,Headcount!$F$6:$F$89,"Sales",Headcount!$H$6:$H$89,"&gt;="&amp;Sales!T$3)/12)),S12),IF(YEAR(T$3)=YEAR(Headcount!$R$4),IF((T$5=2),((SUMIFS(Headcount!$R$6:$R$89,Headcount!$F$6:$F$89,"Sales",Headcount!$H$6:$H$89,"&gt;="&amp;Sales!T$3)/12)),S12),"New Year"))))),'Dept. Cost Actuals'!X152-'Dept. Cost Actuals'!X142)</f>
        <v>86119.16</v>
      </c>
      <c r="U12" s="806">
        <f>IF(U$4="forecast",IF(YEAR(U$3)=YEAR(Headcount!$N$4),((SUMIFS(Headcount!$N$6:$N$89,Headcount!$F$6:$F$89,"Sales",Headcount!$H$6:$H$89,"&gt;="&amp;Sales!U$3)/12)),IF(YEAR(U$3)=YEAR(Headcount!$O$4),IF((U$5=2),((SUMIFS(Headcount!$O$6:$O$89,Headcount!$F$6:$F$89,"Sales",Headcount!$H$6:$H$89,"&gt;="&amp;Sales!U$3)/12)),T12),IF(YEAR(U$3)=YEAR(Headcount!$P$4),IF((U$5=2),((SUMIFS(Headcount!$P$6:$P$89,Headcount!$F$6:$F$89,"Sales",Headcount!$H$6:$H$89,"&gt;="&amp;Sales!U$3)/12)),T12),IF(YEAR(U$3)=YEAR(Headcount!$Q$4),IF((U$5=2),((SUMIFS(Headcount!$Q$6:$Q$89,Headcount!$F$6:$F$89,"Sales",Headcount!$H$6:$H$89,"&gt;="&amp;Sales!U$3)/12)),T12),IF(YEAR(U$3)=YEAR(Headcount!$R$4),IF((U$5=2),((SUMIFS(Headcount!$R$6:$R$89,Headcount!$F$6:$F$89,"Sales",Headcount!$H$6:$H$89,"&gt;="&amp;Sales!U$3)/12)),T12),"New Year"))))),'Dept. Cost Actuals'!Y152-'Dept. Cost Actuals'!Y142)</f>
        <v>98104.83</v>
      </c>
      <c r="V12" s="806">
        <f>IF(V$4="forecast",IF(YEAR(V$3)=YEAR(Headcount!$N$4),((SUMIFS(Headcount!$N$6:$N$89,Headcount!$F$6:$F$89,"Sales",Headcount!$H$6:$H$89,"&gt;="&amp;Sales!V$3)/12)),IF(YEAR(V$3)=YEAR(Headcount!$O$4),IF((V$5=2),((SUMIFS(Headcount!$O$6:$O$89,Headcount!$F$6:$F$89,"Sales",Headcount!$H$6:$H$89,"&gt;="&amp;Sales!V$3)/12)),U12),IF(YEAR(V$3)=YEAR(Headcount!$P$4),IF((V$5=2),((SUMIFS(Headcount!$P$6:$P$89,Headcount!$F$6:$F$89,"Sales",Headcount!$H$6:$H$89,"&gt;="&amp;Sales!V$3)/12)),U12),IF(YEAR(V$3)=YEAR(Headcount!$Q$4),IF((V$5=2),((SUMIFS(Headcount!$Q$6:$Q$89,Headcount!$F$6:$F$89,"Sales",Headcount!$H$6:$H$89,"&gt;="&amp;Sales!V$3)/12)),U12),IF(YEAR(V$3)=YEAR(Headcount!$R$4),IF((V$5=2),((SUMIFS(Headcount!$R$6:$R$89,Headcount!$F$6:$F$89,"Sales",Headcount!$H$6:$H$89,"&gt;="&amp;Sales!V$3)/12)),U12),"New Year"))))),'Dept. Cost Actuals'!Z152-'Dept. Cost Actuals'!Z142)</f>
        <v>102125.43</v>
      </c>
      <c r="W12" s="806">
        <f>IF(W$4="forecast",IF(YEAR(W$3)=YEAR(Headcount!$N$4),((SUMIFS(Headcount!$N$6:$N$89,Headcount!$F$6:$F$89,"Sales",Headcount!$H$6:$H$89,"&gt;="&amp;Sales!W$3)/12)),IF(YEAR(W$3)=YEAR(Headcount!$O$4),IF((W$5=2),((SUMIFS(Headcount!$O$6:$O$89,Headcount!$F$6:$F$89,"Sales",Headcount!$H$6:$H$89,"&gt;="&amp;Sales!W$3)/12)),V12),IF(YEAR(W$3)=YEAR(Headcount!$P$4),IF((W$5=2),((SUMIFS(Headcount!$P$6:$P$89,Headcount!$F$6:$F$89,"Sales",Headcount!$H$6:$H$89,"&gt;="&amp;Sales!W$3)/12)),V12),IF(YEAR(W$3)=YEAR(Headcount!$Q$4),IF((W$5=2),((SUMIFS(Headcount!$Q$6:$Q$89,Headcount!$F$6:$F$89,"Sales",Headcount!$H$6:$H$89,"&gt;="&amp;Sales!W$3)/12)),V12),IF(YEAR(W$3)=YEAR(Headcount!$R$4),IF((W$5=2),((SUMIFS(Headcount!$R$6:$R$89,Headcount!$F$6:$F$89,"Sales",Headcount!$H$6:$H$89,"&gt;="&amp;Sales!W$3)/12)),V12),"New Year"))))),'Dept. Cost Actuals'!AA152-'Dept. Cost Actuals'!AA142)</f>
        <v>102373.36</v>
      </c>
      <c r="X12" s="806">
        <f>IF(X$4="forecast",IF(YEAR(X$3)=YEAR(Headcount!$N$4),((SUMIFS(Headcount!$N$6:$N$89,Headcount!$F$6:$F$89,"Sales",Headcount!$H$6:$H$89,"&gt;="&amp;Sales!X$3)/12)),IF(YEAR(X$3)=YEAR(Headcount!$O$4),IF((X$5=2),((SUMIFS(Headcount!$O$6:$O$89,Headcount!$F$6:$F$89,"Sales",Headcount!$H$6:$H$89,"&gt;="&amp;Sales!X$3)/12)),W12),IF(YEAR(X$3)=YEAR(Headcount!$P$4),IF((X$5=2),((SUMIFS(Headcount!$P$6:$P$89,Headcount!$F$6:$F$89,"Sales",Headcount!$H$6:$H$89,"&gt;="&amp;Sales!X$3)/12)),W12),IF(YEAR(X$3)=YEAR(Headcount!$Q$4),IF((X$5=2),((SUMIFS(Headcount!$Q$6:$Q$89,Headcount!$F$6:$F$89,"Sales",Headcount!$H$6:$H$89,"&gt;="&amp;Sales!X$3)/12)),W12),IF(YEAR(X$3)=YEAR(Headcount!$R$4),IF((X$5=2),((SUMIFS(Headcount!$R$6:$R$89,Headcount!$F$6:$F$89,"Sales",Headcount!$H$6:$H$89,"&gt;="&amp;Sales!X$3)/12)),W12),"New Year"))))),'Dept. Cost Actuals'!AB152-'Dept. Cost Actuals'!AB142)</f>
        <v>119117.88000000002</v>
      </c>
      <c r="Y12" s="806">
        <f>IF(Y$4="forecast",IF(YEAR(Y$3)=YEAR(Headcount!$N$4),((SUMIFS(Headcount!$N$6:$N$89,Headcount!$F$6:$F$89,"Sales",Headcount!$H$6:$H$89,"&gt;="&amp;Sales!Y$3)/12)),IF(YEAR(Y$3)=YEAR(Headcount!$O$4),IF((Y$5=2),((SUMIFS(Headcount!$O$6:$O$89,Headcount!$F$6:$F$89,"Sales",Headcount!$H$6:$H$89,"&gt;="&amp;Sales!Y$3)/12)),X12),IF(YEAR(Y$3)=YEAR(Headcount!$P$4),IF((Y$5=2),((SUMIFS(Headcount!$P$6:$P$89,Headcount!$F$6:$F$89,"Sales",Headcount!$H$6:$H$89,"&gt;="&amp;Sales!Y$3)/12)),X12),IF(YEAR(Y$3)=YEAR(Headcount!$Q$4),IF((Y$5=2),((SUMIFS(Headcount!$Q$6:$Q$89,Headcount!$F$6:$F$89,"Sales",Headcount!$H$6:$H$89,"&gt;="&amp;Sales!Y$3)/12)),X12),IF(YEAR(Y$3)=YEAR(Headcount!$R$4),IF((Y$5=2),((SUMIFS(Headcount!$R$6:$R$89,Headcount!$F$6:$F$89,"Sales",Headcount!$H$6:$H$89,"&gt;="&amp;Sales!Y$3)/12)),X12),"New Year"))))),'Dept. Cost Actuals'!AC152-'Dept. Cost Actuals'!AC142)</f>
        <v>110991.75</v>
      </c>
      <c r="Z12" s="806">
        <f>IF(Z$4="forecast",IF(YEAR(Z$3)=YEAR(Headcount!$N$4),((SUMIFS(Headcount!$N$6:$N$89,Headcount!$F$6:$F$89,"Sales",Headcount!$H$6:$H$89,"&gt;="&amp;Sales!Z$3)/12)),IF(YEAR(Z$3)=YEAR(Headcount!$O$4),IF((Z$5=2),((SUMIFS(Headcount!$O$6:$O$89,Headcount!$F$6:$F$89,"Sales",Headcount!$H$6:$H$89,"&gt;="&amp;Sales!Z$3)/12)),Y12),IF(YEAR(Z$3)=YEAR(Headcount!$P$4),IF((Z$5=2),((SUMIFS(Headcount!$P$6:$P$89,Headcount!$F$6:$F$89,"Sales",Headcount!$H$6:$H$89,"&gt;="&amp;Sales!Z$3)/12)),Y12),IF(YEAR(Z$3)=YEAR(Headcount!$Q$4),IF((Z$5=2),((SUMIFS(Headcount!$Q$6:$Q$89,Headcount!$F$6:$F$89,"Sales",Headcount!$H$6:$H$89,"&gt;="&amp;Sales!Z$3)/12)),Y12),IF(YEAR(Z$3)=YEAR(Headcount!$R$4),IF((Z$5=2),((SUMIFS(Headcount!$R$6:$R$89,Headcount!$F$6:$F$89,"Sales",Headcount!$H$6:$H$89,"&gt;="&amp;Sales!Z$3)/12)),Y12),"New Year"))))),'Dept. Cost Actuals'!AD146+'Dept. Cost Actuals'!AD140+'Dept. Cost Actuals'!AD130)</f>
        <v>115516</v>
      </c>
      <c r="AA12" s="806">
        <f>IF(AA$4="forecast",IF(YEAR(AA$3)=YEAR(Headcount!$N$4),((SUMIFS(Headcount!$N$6:$N$89,Headcount!$F$6:$F$89,"Sales",Headcount!$H$6:$H$89,"&gt;="&amp;Sales!AA$3)/12)),IF(YEAR(AA$3)=YEAR(Headcount!$O$4),IF((AA$5=2),((SUMIFS(Headcount!$O$6:$O$89,Headcount!$F$6:$F$89,"Sales",Headcount!$H$6:$H$89,"&gt;="&amp;Sales!AA$3)/12)),Z12),IF(YEAR(AA$3)=YEAR(Headcount!$P$4),IF((AA$5=2),((SUMIFS(Headcount!$P$6:$P$89,Headcount!$F$6:$F$89,"Sales",Headcount!$H$6:$H$89,"&gt;="&amp;Sales!AA$3)/12)),Z12),IF(YEAR(AA$3)=YEAR(Headcount!$Q$4),IF((AA$5=2),((SUMIFS(Headcount!$Q$6:$Q$89,Headcount!$F$6:$F$89,"Sales",Headcount!$H$6:$H$89,"&gt;="&amp;Sales!AA$3)/12)),Z12),IF(YEAR(AA$3)=YEAR(Headcount!$R$4),IF((AA$5=2),((SUMIFS(Headcount!$R$6:$R$89,Headcount!$F$6:$F$89,"Sales",Headcount!$H$6:$H$89,"&gt;="&amp;Sales!AA$3)/12)),Z12),"New Year"))))),'Dept. Cost Actuals'!AE152-'Dept. Cost Actuals'!AE142)</f>
        <v>115516</v>
      </c>
      <c r="AB12" s="806">
        <f>IF(AB$4="forecast",IF(YEAR(AB$3)=YEAR(Headcount!$N$4),((SUMIFS(Headcount!$N$6:$N$89,Headcount!$F$6:$F$89,"Sales",Headcount!$H$6:$H$89,"&gt;="&amp;Sales!AB$3)/12)),IF(YEAR(AB$3)=YEAR(Headcount!$O$4),IF((AB$5=2),((SUMIFS(Headcount!$O$6:$O$89,Headcount!$F$6:$F$89,"Sales",Headcount!$H$6:$H$89,"&gt;="&amp;Sales!AB$3)/12)),AA12),IF(YEAR(AB$3)=YEAR(Headcount!$P$4),IF((AB$5=2),((SUMIFS(Headcount!$P$6:$P$89,Headcount!$F$6:$F$89,"Sales",Headcount!$H$6:$H$89,"&gt;="&amp;Sales!AB$3)/12)),AA12),IF(YEAR(AB$3)=YEAR(Headcount!$Q$4),IF((AB$5=2),((SUMIFS(Headcount!$Q$6:$Q$89,Headcount!$F$6:$F$89,"Sales",Headcount!$H$6:$H$89,"&gt;="&amp;Sales!AB$3)/12)),AA12),IF(YEAR(AB$3)=YEAR(Headcount!$R$4),IF((AB$5=2),((SUMIFS(Headcount!$R$6:$R$89,Headcount!$F$6:$F$89,"Sales",Headcount!$H$6:$H$89,"&gt;="&amp;Sales!AB$3)/12)),AA12),"New Year"))))),'Dept. Cost Actuals'!AF152-'Dept. Cost Actuals'!AF142)</f>
        <v>97657.5</v>
      </c>
      <c r="AC12" s="806">
        <f>IF(AC$4="forecast",IF(YEAR(AC$3)=YEAR(Headcount!$N$4),((SUMIFS(Headcount!$N$6:$N$89,Headcount!$F$6:$F$89,"Sales",Headcount!$H$6:$H$89,"&gt;="&amp;Sales!AC$3)/12)),IF(YEAR(AC$3)=YEAR(Headcount!$O$4),IF((AC$5=2),((SUMIFS(Headcount!$O$6:$O$89,Headcount!$F$6:$F$89,"Sales",Headcount!$H$6:$H$89,"&gt;="&amp;Sales!AC$3)/12)),AB12),IF(YEAR(AC$3)=YEAR(Headcount!$P$4),IF((AC$5=2),((SUMIFS(Headcount!$P$6:$P$89,Headcount!$F$6:$F$89,"Sales",Headcount!$H$6:$H$89,"&gt;="&amp;Sales!AC$3)/12)),AB12),IF(YEAR(AC$3)=YEAR(Headcount!$Q$4),IF((AC$5=2),((SUMIFS(Headcount!$Q$6:$Q$89,Headcount!$F$6:$F$89,"Sales",Headcount!$H$6:$H$89,"&gt;="&amp;Sales!AC$3)/12)),AB12),IF(YEAR(AC$3)=YEAR(Headcount!$R$4),IF((AC$5=2),((SUMIFS(Headcount!$R$6:$R$89,Headcount!$F$6:$F$89,"Sales",Headcount!$H$6:$H$89,"&gt;="&amp;Sales!AC$3)/12)),AB12),"New Year"))))),'Dept. Cost Actuals'!AG152-'Dept. Cost Actuals'!AG142)</f>
        <v>97657.5</v>
      </c>
      <c r="AD12" s="806">
        <f>IF(AD$4="forecast",IF(YEAR(AD$3)=YEAR(Headcount!$N$4),((SUMIFS(Headcount!$N$6:$N$89,Headcount!$F$6:$F$89,"Sales",Headcount!$H$6:$H$89,"&gt;="&amp;Sales!AD$3)/12)),IF(YEAR(AD$3)=YEAR(Headcount!$O$4),IF((AD$5=2),((SUMIFS(Headcount!$O$6:$O$89,Headcount!$F$6:$F$89,"Sales",Headcount!$H$6:$H$89,"&gt;="&amp;Sales!AD$3)/12)),AC12),IF(YEAR(AD$3)=YEAR(Headcount!$P$4),IF((AD$5=2),((SUMIFS(Headcount!$P$6:$P$89,Headcount!$F$6:$F$89,"Sales",Headcount!$H$6:$H$89,"&gt;="&amp;Sales!AD$3)/12)),AC12),IF(YEAR(AD$3)=YEAR(Headcount!$Q$4),IF((AD$5=2),((SUMIFS(Headcount!$Q$6:$Q$89,Headcount!$F$6:$F$89,"Sales",Headcount!$H$6:$H$89,"&gt;="&amp;Sales!AD$3)/12)),AC12),IF(YEAR(AD$3)=YEAR(Headcount!$R$4),IF((AD$5=2),((SUMIFS(Headcount!$R$6:$R$89,Headcount!$F$6:$F$89,"Sales",Headcount!$H$6:$H$89,"&gt;="&amp;Sales!AD$3)/12)),AC12),"New Year"))))),'Dept. Cost Actuals'!AH152-'Dept. Cost Actuals'!AH142)</f>
        <v>97657.5</v>
      </c>
      <c r="AE12" s="806">
        <f>IF(AE$4="forecast",IF(YEAR(AE$3)=YEAR(Headcount!$N$4),((SUMIFS(Headcount!$N$6:$N$89,Headcount!$F$6:$F$89,"Sales",Headcount!$H$6:$H$89,"&gt;="&amp;Sales!AE$3)/12)),IF(YEAR(AE$3)=YEAR(Headcount!$O$4),IF((AE$5=2),((SUMIFS(Headcount!$O$6:$O$89,Headcount!$F$6:$F$89,"Sales",Headcount!$H$6:$H$89,"&gt;="&amp;Sales!AE$3)/12)),AD12),IF(YEAR(AE$3)=YEAR(Headcount!$P$4),IF((AE$5=2),((SUMIFS(Headcount!$P$6:$P$89,Headcount!$F$6:$F$89,"Sales",Headcount!$H$6:$H$89,"&gt;="&amp;Sales!AE$3)/12)),AD12),IF(YEAR(AE$3)=YEAR(Headcount!$Q$4),IF((AE$5=2),((SUMIFS(Headcount!$Q$6:$Q$89,Headcount!$F$6:$F$89,"Sales",Headcount!$H$6:$H$89,"&gt;="&amp;Sales!AE$3)/12)),AD12),IF(YEAR(AE$3)=YEAR(Headcount!$R$4),IF((AE$5=2),((SUMIFS(Headcount!$R$6:$R$89,Headcount!$F$6:$F$89,"Sales",Headcount!$H$6:$H$89,"&gt;="&amp;Sales!AE$3)/12)),AD12),"New Year"))))),'Dept. Cost Actuals'!AI152-'Dept. Cost Actuals'!AI142)</f>
        <v>97657.5</v>
      </c>
      <c r="AF12" s="806">
        <f>IF(AF$4="forecast",IF(YEAR(AF$3)=YEAR(Headcount!$N$4),((SUMIFS(Headcount!$N$6:$N$89,Headcount!$F$6:$F$89,"Sales",Headcount!$H$6:$H$89,"&gt;="&amp;Sales!AF$3)/12)),IF(YEAR(AF$3)=YEAR(Headcount!$O$4),IF((AF$5=2),((SUMIFS(Headcount!$O$6:$O$89,Headcount!$F$6:$F$89,"Sales",Headcount!$H$6:$H$89,"&gt;="&amp;Sales!AF$3)/12)),AE12),IF(YEAR(AF$3)=YEAR(Headcount!$P$4),IF((AF$5=2),((SUMIFS(Headcount!$P$6:$P$89,Headcount!$F$6:$F$89,"Sales",Headcount!$H$6:$H$89,"&gt;="&amp;Sales!AF$3)/12)),AE12),IF(YEAR(AF$3)=YEAR(Headcount!$Q$4),IF((AF$5=2),((SUMIFS(Headcount!$Q$6:$Q$89,Headcount!$F$6:$F$89,"Sales",Headcount!$H$6:$H$89,"&gt;="&amp;Sales!AF$3)/12)),AE12),IF(YEAR(AF$3)=YEAR(Headcount!$R$4),IF((AF$5=2),((SUMIFS(Headcount!$R$6:$R$89,Headcount!$F$6:$F$89,"Sales",Headcount!$H$6:$H$89,"&gt;="&amp;Sales!AF$3)/12)),AE12),"New Year"))))),'Dept. Cost Actuals'!AJ152-'Dept. Cost Actuals'!AJ142)</f>
        <v>97657.5</v>
      </c>
      <c r="AG12" s="806">
        <f>IF(AG$4="forecast",IF(YEAR(AG$3)=YEAR(Headcount!$N$4),((SUMIFS(Headcount!$N$6:$N$89,Headcount!$F$6:$F$89,"Sales",Headcount!$H$6:$H$89,"&gt;="&amp;Sales!AG$3)/12)),IF(YEAR(AG$3)=YEAR(Headcount!$O$4),IF((AG$5=2),((SUMIFS(Headcount!$O$6:$O$89,Headcount!$F$6:$F$89,"Sales",Headcount!$H$6:$H$89,"&gt;="&amp;Sales!AG$3)/12)),AF12),IF(YEAR(AG$3)=YEAR(Headcount!$P$4),IF((AG$5=2),((SUMIFS(Headcount!$P$6:$P$89,Headcount!$F$6:$F$89,"Sales",Headcount!$H$6:$H$89,"&gt;="&amp;Sales!AG$3)/12)),AF12),IF(YEAR(AG$3)=YEAR(Headcount!$Q$4),IF((AG$5=2),((SUMIFS(Headcount!$Q$6:$Q$89,Headcount!$F$6:$F$89,"Sales",Headcount!$H$6:$H$89,"&gt;="&amp;Sales!AG$3)/12)),AF12),IF(YEAR(AG$3)=YEAR(Headcount!$R$4),IF((AG$5=2),((SUMIFS(Headcount!$R$6:$R$89,Headcount!$F$6:$F$89,"Sales",Headcount!$H$6:$H$89,"&gt;="&amp;Sales!AG$3)/12)),AF12),"New Year"))))),'Dept. Cost Actuals'!AK152-'Dept. Cost Actuals'!AK142)</f>
        <v>97657.5</v>
      </c>
      <c r="AH12" s="806">
        <f>IF(AH$4="forecast",IF(YEAR(AH$3)=YEAR(Headcount!$N$4),((SUMIFS(Headcount!$N$6:$N$89,Headcount!$F$6:$F$89,"Sales",Headcount!$H$6:$H$89,"&gt;="&amp;Sales!AH$3)/12)),IF(YEAR(AH$3)=YEAR(Headcount!$O$4),IF((AH$5=2),((SUMIFS(Headcount!$O$6:$O$89,Headcount!$F$6:$F$89,"Sales",Headcount!$H$6:$H$89,"&gt;="&amp;Sales!AH$3)/12)),AG12),IF(YEAR(AH$3)=YEAR(Headcount!$P$4),IF((AH$5=2),((SUMIFS(Headcount!$P$6:$P$89,Headcount!$F$6:$F$89,"Sales",Headcount!$H$6:$H$89,"&gt;="&amp;Sales!AH$3)/12)),AG12),IF(YEAR(AH$3)=YEAR(Headcount!$Q$4),IF((AH$5=2),((SUMIFS(Headcount!$Q$6:$Q$89,Headcount!$F$6:$F$89,"Sales",Headcount!$H$6:$H$89,"&gt;="&amp;Sales!AH$3)/12)),AG12),IF(YEAR(AH$3)=YEAR(Headcount!$R$4),IF((AH$5=2),((SUMIFS(Headcount!$R$6:$R$89,Headcount!$F$6:$F$89,"Sales",Headcount!$H$6:$H$89,"&gt;="&amp;Sales!AH$3)/12)),AG12),"New Year"))))),'Dept. Cost Actuals'!AL152-'Dept. Cost Actuals'!AL142)</f>
        <v>97657.5</v>
      </c>
      <c r="AI12" s="806">
        <f>IF(AI$4="forecast",IF(YEAR(AI$3)=YEAR(Headcount!$N$4),((SUMIFS(Headcount!$N$6:$N$89,Headcount!$F$6:$F$89,"Sales",Headcount!$H$6:$H$89,"&gt;="&amp;Sales!AI$3)/12)),IF(YEAR(AI$3)=YEAR(Headcount!$O$4),IF((AI$5=2),((SUMIFS(Headcount!$O$6:$O$89,Headcount!$F$6:$F$89,"Sales",Headcount!$H$6:$H$89,"&gt;="&amp;Sales!AI$3)/12)),AH12),IF(YEAR(AI$3)=YEAR(Headcount!$P$4),IF((AI$5=2),((SUMIFS(Headcount!$P$6:$P$89,Headcount!$F$6:$F$89,"Sales",Headcount!$H$6:$H$89,"&gt;="&amp;Sales!AI$3)/12)),AH12),IF(YEAR(AI$3)=YEAR(Headcount!$Q$4),IF((AI$5=2),((SUMIFS(Headcount!$Q$6:$Q$89,Headcount!$F$6:$F$89,"Sales",Headcount!$H$6:$H$89,"&gt;="&amp;Sales!AI$3)/12)),AH12),IF(YEAR(AI$3)=YEAR(Headcount!$R$4),IF((AI$5=2),((SUMIFS(Headcount!$R$6:$R$89,Headcount!$F$6:$F$89,"Sales",Headcount!$H$6:$H$89,"&gt;="&amp;Sales!AI$3)/12)),AH12),"New Year"))))),'Dept. Cost Actuals'!AM152-'Dept. Cost Actuals'!AM142)</f>
        <v>97657.5</v>
      </c>
      <c r="AJ12" s="806">
        <f>IF(AJ$4="forecast",IF(YEAR(AJ$3)=YEAR(Headcount!$N$4),((SUMIFS(Headcount!$N$6:$N$89,Headcount!$F$6:$F$89,"Sales",Headcount!$H$6:$H$89,"&gt;="&amp;Sales!AJ$3)/12)),IF(YEAR(AJ$3)=YEAR(Headcount!$O$4),IF((AJ$5=2),((SUMIFS(Headcount!$O$6:$O$89,Headcount!$F$6:$F$89,"Sales",Headcount!$H$6:$H$89,"&gt;="&amp;Sales!AJ$3)/12)),AI12),IF(YEAR(AJ$3)=YEAR(Headcount!$P$4),IF((AJ$5=2),((SUMIFS(Headcount!$P$6:$P$89,Headcount!$F$6:$F$89,"Sales",Headcount!$H$6:$H$89,"&gt;="&amp;Sales!AJ$3)/12)),AI12),IF(YEAR(AJ$3)=YEAR(Headcount!$Q$4),IF((AJ$5=2),((SUMIFS(Headcount!$Q$6:$Q$89,Headcount!$F$6:$F$89,"Sales",Headcount!$H$6:$H$89,"&gt;="&amp;Sales!AJ$3)/12)),AI12),IF(YEAR(AJ$3)=YEAR(Headcount!$R$4),IF((AJ$5=2),((SUMIFS(Headcount!$R$6:$R$89,Headcount!$F$6:$F$89,"Sales",Headcount!$H$6:$H$89,"&gt;="&amp;Sales!AJ$3)/12)),AI12),"New Year"))))),'Dept. Cost Actuals'!AN152-'Dept. Cost Actuals'!AN142)</f>
        <v>97657.5</v>
      </c>
      <c r="AK12" s="806">
        <f>IF(AK$4="forecast",IF(YEAR(AK$3)=YEAR(Headcount!$N$4),((SUMIFS(Headcount!$N$6:$N$89,Headcount!$F$6:$F$89,"Sales",Headcount!$H$6:$H$89,"&gt;="&amp;Sales!AK$3)/12)),IF(YEAR(AK$3)=YEAR(Headcount!$O$4),IF((AK$5=2),((SUMIFS(Headcount!$O$6:$O$89,Headcount!$F$6:$F$89,"Sales",Headcount!$H$6:$H$89,"&gt;="&amp;Sales!AK$3)/12)),AJ12),IF(YEAR(AK$3)=YEAR(Headcount!$P$4),IF((AK$5=2),((SUMIFS(Headcount!$P$6:$P$89,Headcount!$F$6:$F$89,"Sales",Headcount!$H$6:$H$89,"&gt;="&amp;Sales!AK$3)/12)),AJ12),IF(YEAR(AK$3)=YEAR(Headcount!$Q$4),IF((AK$5=2),((SUMIFS(Headcount!$Q$6:$Q$89,Headcount!$F$6:$F$89,"Sales",Headcount!$H$6:$H$89,"&gt;="&amp;Sales!AK$3)/12)),AJ12),IF(YEAR(AK$3)=YEAR(Headcount!$R$4),IF((AK$5=2),((SUMIFS(Headcount!$R$6:$R$89,Headcount!$F$6:$F$89,"Sales",Headcount!$H$6:$H$89,"&gt;="&amp;Sales!AK$3)/12)),AJ12),"New Year"))))),'Dept. Cost Actuals'!AO152-'Dept. Cost Actuals'!AO142)</f>
        <v>97657.5</v>
      </c>
      <c r="AL12" s="806">
        <f>IF(AL$4="forecast",IF(YEAR(AL$3)=YEAR(Headcount!$N$4),((SUMIFS(Headcount!$N$6:$N$89,Headcount!$F$6:$F$89,"Sales",Headcount!$H$6:$H$89,"&gt;="&amp;Sales!AL$3)/12)),IF(YEAR(AL$3)=YEAR(Headcount!$O$4),IF((AL$5=2),((SUMIFS(Headcount!$O$6:$O$89,Headcount!$F$6:$F$89,"Sales",Headcount!$H$6:$H$89,"&gt;="&amp;Sales!AL$3)/12)),AK12),IF(YEAR(AL$3)=YEAR(Headcount!$P$4),IF((AL$5=2),((SUMIFS(Headcount!$P$6:$P$89,Headcount!$F$6:$F$89,"Sales",Headcount!$H$6:$H$89,"&gt;="&amp;Sales!AL$3)/12)),AK12),IF(YEAR(AL$3)=YEAR(Headcount!$Q$4),IF((AL$5=2),((SUMIFS(Headcount!$Q$6:$Q$89,Headcount!$F$6:$F$89,"Sales",Headcount!$H$6:$H$89,"&gt;="&amp;Sales!AL$3)/12)),AK12),IF(YEAR(AL$3)=YEAR(Headcount!$R$4),IF((AL$5=2),((SUMIFS(Headcount!$R$6:$R$89,Headcount!$F$6:$F$89,"Sales",Headcount!$H$6:$H$89,"&gt;="&amp;Sales!AL$3)/12)),AK12),"New Year"))))),'Dept. Cost Actuals'!AP152-'Dept. Cost Actuals'!AP142)</f>
        <v>97657.5</v>
      </c>
      <c r="AM12" s="806">
        <f>IF(AM$4="forecast",IF(YEAR(AM$3)=YEAR(Headcount!$N$4),((SUMIFS(Headcount!$N$6:$N$89,Headcount!$F$6:$F$89,"Sales",Headcount!$H$6:$H$89,"&gt;="&amp;Sales!AM$3)/12)),IF(YEAR(AM$3)=YEAR(Headcount!$O$4),IF((AM$5=2),((SUMIFS(Headcount!$O$6:$O$89,Headcount!$F$6:$F$89,"Sales",Headcount!$H$6:$H$89,"&gt;="&amp;Sales!AM$3)/12)),AL12),IF(YEAR(AM$3)=YEAR(Headcount!$P$4),IF((AM$5=2),((SUMIFS(Headcount!$P$6:$P$89,Headcount!$F$6:$F$89,"Sales",Headcount!$H$6:$H$89,"&gt;="&amp;Sales!AM$3)/12)),AL12),IF(YEAR(AM$3)=YEAR(Headcount!$Q$4),IF((AM$5=2),((SUMIFS(Headcount!$Q$6:$Q$89,Headcount!$F$6:$F$89,"Sales",Headcount!$H$6:$H$89,"&gt;="&amp;Sales!AM$3)/12)),AL12),IF(YEAR(AM$3)=YEAR(Headcount!$R$4),IF((AM$5=2),((SUMIFS(Headcount!$R$6:$R$89,Headcount!$F$6:$F$89,"Sales",Headcount!$H$6:$H$89,"&gt;="&amp;Sales!AM$3)/12)),AL12),"New Year"))))),'Dept. Cost Actuals'!AQ152-'Dept. Cost Actuals'!AQ142)</f>
        <v>97657.5</v>
      </c>
      <c r="AN12" s="806">
        <f>IF(AN$4="forecast",IF(YEAR(AN$3)=YEAR(Headcount!$N$4),((SUMIFS(Headcount!$N$6:$N$89,Headcount!$F$6:$F$89,"Sales",Headcount!$H$6:$H$89,"&gt;="&amp;Sales!AN$3)/12)),IF(YEAR(AN$3)=YEAR(Headcount!$O$4),IF((AN$5=2),((SUMIFS(Headcount!$O$6:$O$89,Headcount!$F$6:$F$89,"Sales",Headcount!$H$6:$H$89,"&gt;="&amp;Sales!AN$3)/12)),AM12),IF(YEAR(AN$3)=YEAR(Headcount!$P$4),IF((AN$5=2),((SUMIFS(Headcount!$P$6:$P$89,Headcount!$F$6:$F$89,"Sales",Headcount!$H$6:$H$89,"&gt;="&amp;Sales!AN$3)/12)),AM12),IF(YEAR(AN$3)=YEAR(Headcount!$Q$4),IF((AN$5=2),((SUMIFS(Headcount!$Q$6:$Q$89,Headcount!$F$6:$F$89,"Sales",Headcount!$H$6:$H$89,"&gt;="&amp;Sales!AN$3)/12)),AM12),IF(YEAR(AN$3)=YEAR(Headcount!$R$4),IF((AN$5=2),((SUMIFS(Headcount!$R$6:$R$89,Headcount!$F$6:$F$89,"Sales",Headcount!$H$6:$H$89,"&gt;="&amp;Sales!AN$3)/12)),AM12),"New Year"))))),'Dept. Cost Actuals'!AR152-'Dept. Cost Actuals'!AR142)</f>
        <v>100587.22500000002</v>
      </c>
      <c r="AO12" s="806">
        <f>IF(AO$4="forecast",IF(YEAR(AO$3)=YEAR(Headcount!$N$4),((SUMIFS(Headcount!$N$6:$N$89,Headcount!$F$6:$F$89,"Sales",Headcount!$H$6:$H$89,"&gt;="&amp;Sales!AO$3)/12)),IF(YEAR(AO$3)=YEAR(Headcount!$O$4),IF((AO$5=2),((SUMIFS(Headcount!$O$6:$O$89,Headcount!$F$6:$F$89,"Sales",Headcount!$H$6:$H$89,"&gt;="&amp;Sales!AO$3)/12)),AN12),IF(YEAR(AO$3)=YEAR(Headcount!$P$4),IF((AO$5=2),((SUMIFS(Headcount!$P$6:$P$89,Headcount!$F$6:$F$89,"Sales",Headcount!$H$6:$H$89,"&gt;="&amp;Sales!AO$3)/12)),AN12),IF(YEAR(AO$3)=YEAR(Headcount!$Q$4),IF((AO$5=2),((SUMIFS(Headcount!$Q$6:$Q$89,Headcount!$F$6:$F$89,"Sales",Headcount!$H$6:$H$89,"&gt;="&amp;Sales!AO$3)/12)),AN12),IF(YEAR(AO$3)=YEAR(Headcount!$R$4),IF((AO$5=2),((SUMIFS(Headcount!$R$6:$R$89,Headcount!$F$6:$F$89,"Sales",Headcount!$H$6:$H$89,"&gt;="&amp;Sales!AO$3)/12)),AN12),"New Year"))))),'Dept. Cost Actuals'!AS152-'Dept. Cost Actuals'!AS142)</f>
        <v>100587.22500000002</v>
      </c>
      <c r="AP12" s="806">
        <f>IF(AP$4="forecast",IF(YEAR(AP$3)=YEAR(Headcount!$N$4),((SUMIFS(Headcount!$N$6:$N$89,Headcount!$F$6:$F$89,"Sales",Headcount!$H$6:$H$89,"&gt;="&amp;Sales!AP$3)/12)),IF(YEAR(AP$3)=YEAR(Headcount!$O$4),IF((AP$5=2),((SUMIFS(Headcount!$O$6:$O$89,Headcount!$F$6:$F$89,"Sales",Headcount!$H$6:$H$89,"&gt;="&amp;Sales!AP$3)/12)),AO12),IF(YEAR(AP$3)=YEAR(Headcount!$P$4),IF((AP$5=2),((SUMIFS(Headcount!$P$6:$P$89,Headcount!$F$6:$F$89,"Sales",Headcount!$H$6:$H$89,"&gt;="&amp;Sales!AP$3)/12)),AO12),IF(YEAR(AP$3)=YEAR(Headcount!$Q$4),IF((AP$5=2),((SUMIFS(Headcount!$Q$6:$Q$89,Headcount!$F$6:$F$89,"Sales",Headcount!$H$6:$H$89,"&gt;="&amp;Sales!AP$3)/12)),AO12),IF(YEAR(AP$3)=YEAR(Headcount!$R$4),IF((AP$5=2),((SUMIFS(Headcount!$R$6:$R$89,Headcount!$F$6:$F$89,"Sales",Headcount!$H$6:$H$89,"&gt;="&amp;Sales!AP$3)/12)),AO12),"New Year"))))),'Dept. Cost Actuals'!AT152-'Dept. Cost Actuals'!AT142)</f>
        <v>100587.22500000002</v>
      </c>
      <c r="AQ12" s="806">
        <f>IF(AQ$4="forecast",IF(YEAR(AQ$3)=YEAR(Headcount!$N$4),((SUMIFS(Headcount!$N$6:$N$89,Headcount!$F$6:$F$89,"Sales",Headcount!$H$6:$H$89,"&gt;="&amp;Sales!AQ$3)/12)),IF(YEAR(AQ$3)=YEAR(Headcount!$O$4),IF((AQ$5=2),((SUMIFS(Headcount!$O$6:$O$89,Headcount!$F$6:$F$89,"Sales",Headcount!$H$6:$H$89,"&gt;="&amp;Sales!AQ$3)/12)),AP12),IF(YEAR(AQ$3)=YEAR(Headcount!$P$4),IF((AQ$5=2),((SUMIFS(Headcount!$P$6:$P$89,Headcount!$F$6:$F$89,"Sales",Headcount!$H$6:$H$89,"&gt;="&amp;Sales!AQ$3)/12)),AP12),IF(YEAR(AQ$3)=YEAR(Headcount!$Q$4),IF((AQ$5=2),((SUMIFS(Headcount!$Q$6:$Q$89,Headcount!$F$6:$F$89,"Sales",Headcount!$H$6:$H$89,"&gt;="&amp;Sales!AQ$3)/12)),AP12),IF(YEAR(AQ$3)=YEAR(Headcount!$R$4),IF((AQ$5=2),((SUMIFS(Headcount!$R$6:$R$89,Headcount!$F$6:$F$89,"Sales",Headcount!$H$6:$H$89,"&gt;="&amp;Sales!AQ$3)/12)),AP12),"New Year"))))),'Dept. Cost Actuals'!AU152-'Dept. Cost Actuals'!AU142)</f>
        <v>100587.22500000002</v>
      </c>
      <c r="AR12" s="806">
        <f>IF(AR$4="forecast",IF(YEAR(AR$3)=YEAR(Headcount!$N$4),((SUMIFS(Headcount!$N$6:$N$89,Headcount!$F$6:$F$89,"Sales",Headcount!$H$6:$H$89,"&gt;="&amp;Sales!AR$3)/12)),IF(YEAR(AR$3)=YEAR(Headcount!$O$4),IF((AR$5=2),((SUMIFS(Headcount!$O$6:$O$89,Headcount!$F$6:$F$89,"Sales",Headcount!$H$6:$H$89,"&gt;="&amp;Sales!AR$3)/12)),AQ12),IF(YEAR(AR$3)=YEAR(Headcount!$P$4),IF((AR$5=2),((SUMIFS(Headcount!$P$6:$P$89,Headcount!$F$6:$F$89,"Sales",Headcount!$H$6:$H$89,"&gt;="&amp;Sales!AR$3)/12)),AQ12),IF(YEAR(AR$3)=YEAR(Headcount!$Q$4),IF((AR$5=2),((SUMIFS(Headcount!$Q$6:$Q$89,Headcount!$F$6:$F$89,"Sales",Headcount!$H$6:$H$89,"&gt;="&amp;Sales!AR$3)/12)),AQ12),IF(YEAR(AR$3)=YEAR(Headcount!$R$4),IF((AR$5=2),((SUMIFS(Headcount!$R$6:$R$89,Headcount!$F$6:$F$89,"Sales",Headcount!$H$6:$H$89,"&gt;="&amp;Sales!AR$3)/12)),AQ12),"New Year"))))),'Dept. Cost Actuals'!AV152-'Dept. Cost Actuals'!AV142)</f>
        <v>100587.22500000002</v>
      </c>
      <c r="AS12" s="806">
        <f>IF(AS$4="forecast",IF(YEAR(AS$3)=YEAR(Headcount!$N$4),((SUMIFS(Headcount!$N$6:$N$89,Headcount!$F$6:$F$89,"Sales",Headcount!$H$6:$H$89,"&gt;="&amp;Sales!AS$3)/12)),IF(YEAR(AS$3)=YEAR(Headcount!$O$4),IF((AS$5=2),((SUMIFS(Headcount!$O$6:$O$89,Headcount!$F$6:$F$89,"Sales",Headcount!$H$6:$H$89,"&gt;="&amp;Sales!AS$3)/12)),AR12),IF(YEAR(AS$3)=YEAR(Headcount!$P$4),IF((AS$5=2),((SUMIFS(Headcount!$P$6:$P$89,Headcount!$F$6:$F$89,"Sales",Headcount!$H$6:$H$89,"&gt;="&amp;Sales!AS$3)/12)),AR12),IF(YEAR(AS$3)=YEAR(Headcount!$Q$4),IF((AS$5=2),((SUMIFS(Headcount!$Q$6:$Q$89,Headcount!$F$6:$F$89,"Sales",Headcount!$H$6:$H$89,"&gt;="&amp;Sales!AS$3)/12)),AR12),IF(YEAR(AS$3)=YEAR(Headcount!$R$4),IF((AS$5=2),((SUMIFS(Headcount!$R$6:$R$89,Headcount!$F$6:$F$89,"Sales",Headcount!$H$6:$H$89,"&gt;="&amp;Sales!AS$3)/12)),AR12),"New Year"))))),'Dept. Cost Actuals'!AW152-'Dept. Cost Actuals'!AW142)</f>
        <v>100587.22500000002</v>
      </c>
      <c r="AT12" s="806">
        <f>IF(AT$4="forecast",IF(YEAR(AT$3)=YEAR(Headcount!$N$4),((SUMIFS(Headcount!$N$6:$N$89,Headcount!$F$6:$F$89,"Sales",Headcount!$H$6:$H$89,"&gt;="&amp;Sales!AT$3)/12)),IF(YEAR(AT$3)=YEAR(Headcount!$O$4),IF((AT$5=2),((SUMIFS(Headcount!$O$6:$O$89,Headcount!$F$6:$F$89,"Sales",Headcount!$H$6:$H$89,"&gt;="&amp;Sales!AT$3)/12)),AS12),IF(YEAR(AT$3)=YEAR(Headcount!$P$4),IF((AT$5=2),((SUMIFS(Headcount!$P$6:$P$89,Headcount!$F$6:$F$89,"Sales",Headcount!$H$6:$H$89,"&gt;="&amp;Sales!AT$3)/12)),AS12),IF(YEAR(AT$3)=YEAR(Headcount!$Q$4),IF((AT$5=2),((SUMIFS(Headcount!$Q$6:$Q$89,Headcount!$F$6:$F$89,"Sales",Headcount!$H$6:$H$89,"&gt;="&amp;Sales!AT$3)/12)),AS12),IF(YEAR(AT$3)=YEAR(Headcount!$R$4),IF((AT$5=2),((SUMIFS(Headcount!$R$6:$R$89,Headcount!$F$6:$F$89,"Sales",Headcount!$H$6:$H$89,"&gt;="&amp;Sales!AT$3)/12)),AS12),"New Year"))))),'Dept. Cost Actuals'!AX152-'Dept. Cost Actuals'!AX142)</f>
        <v>100587.22500000002</v>
      </c>
      <c r="AU12" s="806">
        <f>IF(AU$4="forecast",IF(YEAR(AU$3)=YEAR(Headcount!$N$4),((SUMIFS(Headcount!$N$6:$N$89,Headcount!$F$6:$F$89,"Sales",Headcount!$H$6:$H$89,"&gt;="&amp;Sales!AU$3)/12)),IF(YEAR(AU$3)=YEAR(Headcount!$O$4),IF((AU$5=2),((SUMIFS(Headcount!$O$6:$O$89,Headcount!$F$6:$F$89,"Sales",Headcount!$H$6:$H$89,"&gt;="&amp;Sales!AU$3)/12)),AT12),IF(YEAR(AU$3)=YEAR(Headcount!$P$4),IF((AU$5=2),((SUMIFS(Headcount!$P$6:$P$89,Headcount!$F$6:$F$89,"Sales",Headcount!$H$6:$H$89,"&gt;="&amp;Sales!AU$3)/12)),AT12),IF(YEAR(AU$3)=YEAR(Headcount!$Q$4),IF((AU$5=2),((SUMIFS(Headcount!$Q$6:$Q$89,Headcount!$F$6:$F$89,"Sales",Headcount!$H$6:$H$89,"&gt;="&amp;Sales!AU$3)/12)),AT12),IF(YEAR(AU$3)=YEAR(Headcount!$R$4),IF((AU$5=2),((SUMIFS(Headcount!$R$6:$R$89,Headcount!$F$6:$F$89,"Sales",Headcount!$H$6:$H$89,"&gt;="&amp;Sales!AU$3)/12)),AT12),"New Year"))))),'Dept. Cost Actuals'!AY152-'Dept. Cost Actuals'!AY142)</f>
        <v>100587.22500000002</v>
      </c>
      <c r="AV12" s="806">
        <f>IF(AV$4="forecast",IF(YEAR(AV$3)=YEAR(Headcount!$N$4),((SUMIFS(Headcount!$N$6:$N$89,Headcount!$F$6:$F$89,"Sales",Headcount!$H$6:$H$89,"&gt;="&amp;Sales!AV$3)/12)),IF(YEAR(AV$3)=YEAR(Headcount!$O$4),IF((AV$5=2),((SUMIFS(Headcount!$O$6:$O$89,Headcount!$F$6:$F$89,"Sales",Headcount!$H$6:$H$89,"&gt;="&amp;Sales!AV$3)/12)),AU12),IF(YEAR(AV$3)=YEAR(Headcount!$P$4),IF((AV$5=2),((SUMIFS(Headcount!$P$6:$P$89,Headcount!$F$6:$F$89,"Sales",Headcount!$H$6:$H$89,"&gt;="&amp;Sales!AV$3)/12)),AU12),IF(YEAR(AV$3)=YEAR(Headcount!$Q$4),IF((AV$5=2),((SUMIFS(Headcount!$Q$6:$Q$89,Headcount!$F$6:$F$89,"Sales",Headcount!$H$6:$H$89,"&gt;="&amp;Sales!AV$3)/12)),AU12),IF(YEAR(AV$3)=YEAR(Headcount!$R$4),IF((AV$5=2),((SUMIFS(Headcount!$R$6:$R$89,Headcount!$F$6:$F$89,"Sales",Headcount!$H$6:$H$89,"&gt;="&amp;Sales!AV$3)/12)),AU12),"New Year"))))),'Dept. Cost Actuals'!AZ152-'Dept. Cost Actuals'!AZ142)</f>
        <v>100587.22500000002</v>
      </c>
      <c r="AW12" s="806">
        <f>IF(AW$4="forecast",IF(YEAR(AW$3)=YEAR(Headcount!$N$4),((SUMIFS(Headcount!$N$6:$N$89,Headcount!$F$6:$F$89,"Sales",Headcount!$H$6:$H$89,"&gt;="&amp;Sales!AW$3)/12)),IF(YEAR(AW$3)=YEAR(Headcount!$O$4),IF((AW$5=2),((SUMIFS(Headcount!$O$6:$O$89,Headcount!$F$6:$F$89,"Sales",Headcount!$H$6:$H$89,"&gt;="&amp;Sales!AW$3)/12)),AV12),IF(YEAR(AW$3)=YEAR(Headcount!$P$4),IF((AW$5=2),((SUMIFS(Headcount!$P$6:$P$89,Headcount!$F$6:$F$89,"Sales",Headcount!$H$6:$H$89,"&gt;="&amp;Sales!AW$3)/12)),AV12),IF(YEAR(AW$3)=YEAR(Headcount!$Q$4),IF((AW$5=2),((SUMIFS(Headcount!$Q$6:$Q$89,Headcount!$F$6:$F$89,"Sales",Headcount!$H$6:$H$89,"&gt;="&amp;Sales!AW$3)/12)),AV12),IF(YEAR(AW$3)=YEAR(Headcount!$R$4),IF((AW$5=2),((SUMIFS(Headcount!$R$6:$R$89,Headcount!$F$6:$F$89,"Sales",Headcount!$H$6:$H$89,"&gt;="&amp;Sales!AW$3)/12)),AV12),"New Year"))))),'Dept. Cost Actuals'!BA152-'Dept. Cost Actuals'!BA142)</f>
        <v>100587.22500000002</v>
      </c>
      <c r="AX12" s="806">
        <f>IF(AX$4="forecast",IF(YEAR(AX$3)=YEAR(Headcount!$N$4),((SUMIFS(Headcount!$N$6:$N$89,Headcount!$F$6:$F$89,"Sales",Headcount!$H$6:$H$89,"&gt;="&amp;Sales!AX$3)/12)),IF(YEAR(AX$3)=YEAR(Headcount!$O$4),IF((AX$5=2),((SUMIFS(Headcount!$O$6:$O$89,Headcount!$F$6:$F$89,"Sales",Headcount!$H$6:$H$89,"&gt;="&amp;Sales!AX$3)/12)),AW12),IF(YEAR(AX$3)=YEAR(Headcount!$P$4),IF((AX$5=2),((SUMIFS(Headcount!$P$6:$P$89,Headcount!$F$6:$F$89,"Sales",Headcount!$H$6:$H$89,"&gt;="&amp;Sales!AX$3)/12)),AW12),IF(YEAR(AX$3)=YEAR(Headcount!$Q$4),IF((AX$5=2),((SUMIFS(Headcount!$Q$6:$Q$89,Headcount!$F$6:$F$89,"Sales",Headcount!$H$6:$H$89,"&gt;="&amp;Sales!AX$3)/12)),AW12),IF(YEAR(AX$3)=YEAR(Headcount!$R$4),IF((AX$5=2),((SUMIFS(Headcount!$R$6:$R$89,Headcount!$F$6:$F$89,"Sales",Headcount!$H$6:$H$89,"&gt;="&amp;Sales!AX$3)/12)),AW12),"New Year"))))),'Dept. Cost Actuals'!BB152-'Dept. Cost Actuals'!BB142)</f>
        <v>100587.22500000002</v>
      </c>
      <c r="AY12" s="806">
        <f>IF(AY$4="forecast",IF(YEAR(AY$3)=YEAR(Headcount!$N$4),((SUMIFS(Headcount!$N$6:$N$89,Headcount!$F$6:$F$89,"Sales",Headcount!$H$6:$H$89,"&gt;="&amp;Sales!AY$3)/12)),IF(YEAR(AY$3)=YEAR(Headcount!$O$4),IF((AY$5=2),((SUMIFS(Headcount!$O$6:$O$89,Headcount!$F$6:$F$89,"Sales",Headcount!$H$6:$H$89,"&gt;="&amp;Sales!AY$3)/12)),AX12),IF(YEAR(AY$3)=YEAR(Headcount!$P$4),IF((AY$5=2),((SUMIFS(Headcount!$P$6:$P$89,Headcount!$F$6:$F$89,"Sales",Headcount!$H$6:$H$89,"&gt;="&amp;Sales!AY$3)/12)),AX12),IF(YEAR(AY$3)=YEAR(Headcount!$Q$4),IF((AY$5=2),((SUMIFS(Headcount!$Q$6:$Q$89,Headcount!$F$6:$F$89,"Sales",Headcount!$H$6:$H$89,"&gt;="&amp;Sales!AY$3)/12)),AX12),IF(YEAR(AY$3)=YEAR(Headcount!$R$4),IF((AY$5=2),((SUMIFS(Headcount!$R$6:$R$89,Headcount!$F$6:$F$89,"Sales",Headcount!$H$6:$H$89,"&gt;="&amp;Sales!AY$3)/12)),AX12),"New Year"))))),'Dept. Cost Actuals'!BC152-'Dept. Cost Actuals'!BC142)</f>
        <v>100587.22500000002</v>
      </c>
      <c r="AZ12" s="806">
        <f>IF(AZ$4="forecast",IF(YEAR(AZ$3)=YEAR(Headcount!$N$4),((SUMIFS(Headcount!$N$6:$N$89,Headcount!$F$6:$F$89,"Sales",Headcount!$H$6:$H$89,"&gt;="&amp;Sales!AZ$3)/12)),IF(YEAR(AZ$3)=YEAR(Headcount!$O$4),IF((AZ$5=2),((SUMIFS(Headcount!$O$6:$O$89,Headcount!$F$6:$F$89,"Sales",Headcount!$H$6:$H$89,"&gt;="&amp;Sales!AZ$3)/12)),AY12),IF(YEAR(AZ$3)=YEAR(Headcount!$P$4),IF((AZ$5=2),((SUMIFS(Headcount!$P$6:$P$89,Headcount!$F$6:$F$89,"Sales",Headcount!$H$6:$H$89,"&gt;="&amp;Sales!AZ$3)/12)),AY12),IF(YEAR(AZ$3)=YEAR(Headcount!$Q$4),IF((AZ$5=2),((SUMIFS(Headcount!$Q$6:$Q$89,Headcount!$F$6:$F$89,"Sales",Headcount!$H$6:$H$89,"&gt;="&amp;Sales!AZ$3)/12)),AY12),IF(YEAR(AZ$3)=YEAR(Headcount!$R$4),IF((AZ$5=2),((SUMIFS(Headcount!$R$6:$R$89,Headcount!$F$6:$F$89,"Sales",Headcount!$H$6:$H$89,"&gt;="&amp;Sales!AZ$3)/12)),AY12),"New Year"))))),'Dept. Cost Actuals'!BD152-'Dept. Cost Actuals'!BD142)</f>
        <v>103604.84175000001</v>
      </c>
      <c r="BA12" s="806">
        <f>IF(BA$4="forecast",IF(YEAR(BA$3)=YEAR(Headcount!$N$4),((SUMIFS(Headcount!$N$6:$N$89,Headcount!$F$6:$F$89,"Sales",Headcount!$H$6:$H$89,"&gt;="&amp;Sales!BA$3)/12)),IF(YEAR(BA$3)=YEAR(Headcount!$O$4),IF((BA$5=2),((SUMIFS(Headcount!$O$6:$O$89,Headcount!$F$6:$F$89,"Sales",Headcount!$H$6:$H$89,"&gt;="&amp;Sales!BA$3)/12)),AZ12),IF(YEAR(BA$3)=YEAR(Headcount!$P$4),IF((BA$5=2),((SUMIFS(Headcount!$P$6:$P$89,Headcount!$F$6:$F$89,"Sales",Headcount!$H$6:$H$89,"&gt;="&amp;Sales!BA$3)/12)),AZ12),IF(YEAR(BA$3)=YEAR(Headcount!$Q$4),IF((BA$5=2),((SUMIFS(Headcount!$Q$6:$Q$89,Headcount!$F$6:$F$89,"Sales",Headcount!$H$6:$H$89,"&gt;="&amp;Sales!BA$3)/12)),AZ12),IF(YEAR(BA$3)=YEAR(Headcount!$R$4),IF((BA$5=2),((SUMIFS(Headcount!$R$6:$R$89,Headcount!$F$6:$F$89,"Sales",Headcount!$H$6:$H$89,"&gt;="&amp;Sales!BA$3)/12)),AZ12),"New Year"))))),'Dept. Cost Actuals'!BE152-'Dept. Cost Actuals'!BE142)</f>
        <v>103604.84175000001</v>
      </c>
      <c r="BB12" s="806">
        <f>IF(BB$4="forecast",IF(YEAR(BB$3)=YEAR(Headcount!$N$4),((SUMIFS(Headcount!$N$6:$N$89,Headcount!$F$6:$F$89,"Sales",Headcount!$H$6:$H$89,"&gt;="&amp;Sales!BB$3)/12)),IF(YEAR(BB$3)=YEAR(Headcount!$O$4),IF((BB$5=2),((SUMIFS(Headcount!$O$6:$O$89,Headcount!$F$6:$F$89,"Sales",Headcount!$H$6:$H$89,"&gt;="&amp;Sales!BB$3)/12)),BA12),IF(YEAR(BB$3)=YEAR(Headcount!$P$4),IF((BB$5=2),((SUMIFS(Headcount!$P$6:$P$89,Headcount!$F$6:$F$89,"Sales",Headcount!$H$6:$H$89,"&gt;="&amp;Sales!BB$3)/12)),BA12),IF(YEAR(BB$3)=YEAR(Headcount!$Q$4),IF((BB$5=2),((SUMIFS(Headcount!$Q$6:$Q$89,Headcount!$F$6:$F$89,"Sales",Headcount!$H$6:$H$89,"&gt;="&amp;Sales!BB$3)/12)),BA12),IF(YEAR(BB$3)=YEAR(Headcount!$R$4),IF((BB$5=2),((SUMIFS(Headcount!$R$6:$R$89,Headcount!$F$6:$F$89,"Sales",Headcount!$H$6:$H$89,"&gt;="&amp;Sales!BB$3)/12)),BA12),"New Year"))))),'Dept. Cost Actuals'!BF152-'Dept. Cost Actuals'!BF142)</f>
        <v>103604.84175000001</v>
      </c>
      <c r="BC12" s="806">
        <f>IF(BC$4="forecast",IF(YEAR(BC$3)=YEAR(Headcount!$N$4),((SUMIFS(Headcount!$N$6:$N$89,Headcount!$F$6:$F$89,"Sales",Headcount!$H$6:$H$89,"&gt;="&amp;Sales!BC$3)/12)),IF(YEAR(BC$3)=YEAR(Headcount!$O$4),IF((BC$5=2),((SUMIFS(Headcount!$O$6:$O$89,Headcount!$F$6:$F$89,"Sales",Headcount!$H$6:$H$89,"&gt;="&amp;Sales!BC$3)/12)),BB12),IF(YEAR(BC$3)=YEAR(Headcount!$P$4),IF((BC$5=2),((SUMIFS(Headcount!$P$6:$P$89,Headcount!$F$6:$F$89,"Sales",Headcount!$H$6:$H$89,"&gt;="&amp;Sales!BC$3)/12)),BB12),IF(YEAR(BC$3)=YEAR(Headcount!$Q$4),IF((BC$5=2),((SUMIFS(Headcount!$Q$6:$Q$89,Headcount!$F$6:$F$89,"Sales",Headcount!$H$6:$H$89,"&gt;="&amp;Sales!BC$3)/12)),BB12),IF(YEAR(BC$3)=YEAR(Headcount!$R$4),IF((BC$5=2),((SUMIFS(Headcount!$R$6:$R$89,Headcount!$F$6:$F$89,"Sales",Headcount!$H$6:$H$89,"&gt;="&amp;Sales!BC$3)/12)),BB12),"New Year"))))),'Dept. Cost Actuals'!BG152-'Dept. Cost Actuals'!BG142)</f>
        <v>103604.84175000001</v>
      </c>
      <c r="BD12" s="806">
        <f>IF(BD$4="forecast",IF(YEAR(BD$3)=YEAR(Headcount!$N$4),((SUMIFS(Headcount!$N$6:$N$89,Headcount!$F$6:$F$89,"Sales",Headcount!$H$6:$H$89,"&gt;="&amp;Sales!BD$3)/12)),IF(YEAR(BD$3)=YEAR(Headcount!$O$4),IF((BD$5=2),((SUMIFS(Headcount!$O$6:$O$89,Headcount!$F$6:$F$89,"Sales",Headcount!$H$6:$H$89,"&gt;="&amp;Sales!BD$3)/12)),BC12),IF(YEAR(BD$3)=YEAR(Headcount!$P$4),IF((BD$5=2),((SUMIFS(Headcount!$P$6:$P$89,Headcount!$F$6:$F$89,"Sales",Headcount!$H$6:$H$89,"&gt;="&amp;Sales!BD$3)/12)),BC12),IF(YEAR(BD$3)=YEAR(Headcount!$Q$4),IF((BD$5=2),((SUMIFS(Headcount!$Q$6:$Q$89,Headcount!$F$6:$F$89,"Sales",Headcount!$H$6:$H$89,"&gt;="&amp;Sales!BD$3)/12)),BC12),IF(YEAR(BD$3)=YEAR(Headcount!$R$4),IF((BD$5=2),((SUMIFS(Headcount!$R$6:$R$89,Headcount!$F$6:$F$89,"Sales",Headcount!$H$6:$H$89,"&gt;="&amp;Sales!BD$3)/12)),BC12),"New Year"))))),'Dept. Cost Actuals'!BH152-'Dept. Cost Actuals'!BH142)</f>
        <v>103604.84175000001</v>
      </c>
      <c r="BE12" s="806">
        <f>IF(BE$4="forecast",IF(YEAR(BE$3)=YEAR(Headcount!$N$4),((SUMIFS(Headcount!$N$6:$N$89,Headcount!$F$6:$F$89,"Sales",Headcount!$H$6:$H$89,"&gt;="&amp;Sales!BE$3)/12)),IF(YEAR(BE$3)=YEAR(Headcount!$O$4),IF((BE$5=2),((SUMIFS(Headcount!$O$6:$O$89,Headcount!$F$6:$F$89,"Sales",Headcount!$H$6:$H$89,"&gt;="&amp;Sales!BE$3)/12)),BD12),IF(YEAR(BE$3)=YEAR(Headcount!$P$4),IF((BE$5=2),((SUMIFS(Headcount!$P$6:$P$89,Headcount!$F$6:$F$89,"Sales",Headcount!$H$6:$H$89,"&gt;="&amp;Sales!BE$3)/12)),BD12),IF(YEAR(BE$3)=YEAR(Headcount!$Q$4),IF((BE$5=2),((SUMIFS(Headcount!$Q$6:$Q$89,Headcount!$F$6:$F$89,"Sales",Headcount!$H$6:$H$89,"&gt;="&amp;Sales!BE$3)/12)),BD12),IF(YEAR(BE$3)=YEAR(Headcount!$R$4),IF((BE$5=2),((SUMIFS(Headcount!$R$6:$R$89,Headcount!$F$6:$F$89,"Sales",Headcount!$H$6:$H$89,"&gt;="&amp;Sales!BE$3)/12)),BD12),"New Year"))))),'Dept. Cost Actuals'!BI152-'Dept. Cost Actuals'!BI142)</f>
        <v>103604.84175000001</v>
      </c>
      <c r="BF12" s="806">
        <f>IF(BF$4="forecast",IF(YEAR(BF$3)=YEAR(Headcount!$N$4),((SUMIFS(Headcount!$N$6:$N$89,Headcount!$F$6:$F$89,"Sales",Headcount!$H$6:$H$89,"&gt;="&amp;Sales!BF$3)/12)),IF(YEAR(BF$3)=YEAR(Headcount!$O$4),IF((BF$5=2),((SUMIFS(Headcount!$O$6:$O$89,Headcount!$F$6:$F$89,"Sales",Headcount!$H$6:$H$89,"&gt;="&amp;Sales!BF$3)/12)),BE12),IF(YEAR(BF$3)=YEAR(Headcount!$P$4),IF((BF$5=2),((SUMIFS(Headcount!$P$6:$P$89,Headcount!$F$6:$F$89,"Sales",Headcount!$H$6:$H$89,"&gt;="&amp;Sales!BF$3)/12)),BE12),IF(YEAR(BF$3)=YEAR(Headcount!$Q$4),IF((BF$5=2),((SUMIFS(Headcount!$Q$6:$Q$89,Headcount!$F$6:$F$89,"Sales",Headcount!$H$6:$H$89,"&gt;="&amp;Sales!BF$3)/12)),BE12),IF(YEAR(BF$3)=YEAR(Headcount!$R$4),IF((BF$5=2),((SUMIFS(Headcount!$R$6:$R$89,Headcount!$F$6:$F$89,"Sales",Headcount!$H$6:$H$89,"&gt;="&amp;Sales!BF$3)/12)),BE12),"New Year"))))),'Dept. Cost Actuals'!BJ152-'Dept. Cost Actuals'!BJ142)</f>
        <v>103604.84175000001</v>
      </c>
      <c r="BG12" s="806">
        <f>IF(BG$4="forecast",IF(YEAR(BG$3)=YEAR(Headcount!$N$4),((SUMIFS(Headcount!$N$6:$N$89,Headcount!$F$6:$F$89,"Sales",Headcount!$H$6:$H$89,"&gt;="&amp;Sales!BG$3)/12)),IF(YEAR(BG$3)=YEAR(Headcount!$O$4),IF((BG$5=2),((SUMIFS(Headcount!$O$6:$O$89,Headcount!$F$6:$F$89,"Sales",Headcount!$H$6:$H$89,"&gt;="&amp;Sales!BG$3)/12)),BF12),IF(YEAR(BG$3)=YEAR(Headcount!$P$4),IF((BG$5=2),((SUMIFS(Headcount!$P$6:$P$89,Headcount!$F$6:$F$89,"Sales",Headcount!$H$6:$H$89,"&gt;="&amp;Sales!BG$3)/12)),BF12),IF(YEAR(BG$3)=YEAR(Headcount!$Q$4),IF((BG$5=2),((SUMIFS(Headcount!$Q$6:$Q$89,Headcount!$F$6:$F$89,"Sales",Headcount!$H$6:$H$89,"&gt;="&amp;Sales!BG$3)/12)),BF12),IF(YEAR(BG$3)=YEAR(Headcount!$R$4),IF((BG$5=2),((SUMIFS(Headcount!$R$6:$R$89,Headcount!$F$6:$F$89,"Sales",Headcount!$H$6:$H$89,"&gt;="&amp;Sales!BG$3)/12)),BF12),"New Year"))))),'Dept. Cost Actuals'!BK152-'Dept. Cost Actuals'!BK142)</f>
        <v>103604.84175000001</v>
      </c>
      <c r="BH12" s="806">
        <f>IF(BH$4="forecast",IF(YEAR(BH$3)=YEAR(Headcount!$N$4),((SUMIFS(Headcount!$N$6:$N$89,Headcount!$F$6:$F$89,"Sales",Headcount!$H$6:$H$89,"&gt;="&amp;Sales!BH$3)/12)),IF(YEAR(BH$3)=YEAR(Headcount!$O$4),IF((BH$5=2),((SUMIFS(Headcount!$O$6:$O$89,Headcount!$F$6:$F$89,"Sales",Headcount!$H$6:$H$89,"&gt;="&amp;Sales!BH$3)/12)),BG12),IF(YEAR(BH$3)=YEAR(Headcount!$P$4),IF((BH$5=2),((SUMIFS(Headcount!$P$6:$P$89,Headcount!$F$6:$F$89,"Sales",Headcount!$H$6:$H$89,"&gt;="&amp;Sales!BH$3)/12)),BG12),IF(YEAR(BH$3)=YEAR(Headcount!$Q$4),IF((BH$5=2),((SUMIFS(Headcount!$Q$6:$Q$89,Headcount!$F$6:$F$89,"Sales",Headcount!$H$6:$H$89,"&gt;="&amp;Sales!BH$3)/12)),BG12),IF(YEAR(BH$3)=YEAR(Headcount!$R$4),IF((BH$5=2),((SUMIFS(Headcount!$R$6:$R$89,Headcount!$F$6:$F$89,"Sales",Headcount!$H$6:$H$89,"&gt;="&amp;Sales!BH$3)/12)),BG12),"New Year"))))),'Dept. Cost Actuals'!BL152-'Dept. Cost Actuals'!BL142)</f>
        <v>103604.84175000001</v>
      </c>
      <c r="BI12" s="806">
        <f>IF(BI$4="forecast",IF(YEAR(BI$3)=YEAR(Headcount!$N$4),((SUMIFS(Headcount!$N$6:$N$89,Headcount!$F$6:$F$89,"Sales",Headcount!$H$6:$H$89,"&gt;="&amp;Sales!BI$3)/12)),IF(YEAR(BI$3)=YEAR(Headcount!$O$4),IF((BI$5=2),((SUMIFS(Headcount!$O$6:$O$89,Headcount!$F$6:$F$89,"Sales",Headcount!$H$6:$H$89,"&gt;="&amp;Sales!BI$3)/12)),BH12),IF(YEAR(BI$3)=YEAR(Headcount!$P$4),IF((BI$5=2),((SUMIFS(Headcount!$P$6:$P$89,Headcount!$F$6:$F$89,"Sales",Headcount!$H$6:$H$89,"&gt;="&amp;Sales!BI$3)/12)),BH12),IF(YEAR(BI$3)=YEAR(Headcount!$Q$4),IF((BI$5=2),((SUMIFS(Headcount!$Q$6:$Q$89,Headcount!$F$6:$F$89,"Sales",Headcount!$H$6:$H$89,"&gt;="&amp;Sales!BI$3)/12)),BH12),IF(YEAR(BI$3)=YEAR(Headcount!$R$4),IF((BI$5=2),((SUMIFS(Headcount!$R$6:$R$89,Headcount!$F$6:$F$89,"Sales",Headcount!$H$6:$H$89,"&gt;="&amp;Sales!BI$3)/12)),BH12),"New Year"))))),'Dept. Cost Actuals'!BM152-'Dept. Cost Actuals'!BM142)</f>
        <v>103604.84175000001</v>
      </c>
      <c r="BJ12" s="806">
        <f>IF(BJ$4="forecast",IF(YEAR(BJ$3)=YEAR(Headcount!$N$4),((SUMIFS(Headcount!$N$6:$N$89,Headcount!$F$6:$F$89,"Sales",Headcount!$H$6:$H$89,"&gt;="&amp;Sales!BJ$3)/12)),IF(YEAR(BJ$3)=YEAR(Headcount!$O$4),IF((BJ$5=2),((SUMIFS(Headcount!$O$6:$O$89,Headcount!$F$6:$F$89,"Sales",Headcount!$H$6:$H$89,"&gt;="&amp;Sales!BJ$3)/12)),BI12),IF(YEAR(BJ$3)=YEAR(Headcount!$P$4),IF((BJ$5=2),((SUMIFS(Headcount!$P$6:$P$89,Headcount!$F$6:$F$89,"Sales",Headcount!$H$6:$H$89,"&gt;="&amp;Sales!BJ$3)/12)),BI12),IF(YEAR(BJ$3)=YEAR(Headcount!$Q$4),IF((BJ$5=2),((SUMIFS(Headcount!$Q$6:$Q$89,Headcount!$F$6:$F$89,"Sales",Headcount!$H$6:$H$89,"&gt;="&amp;Sales!BJ$3)/12)),BI12),IF(YEAR(BJ$3)=YEAR(Headcount!$R$4),IF((BJ$5=2),((SUMIFS(Headcount!$R$6:$R$89,Headcount!$F$6:$F$89,"Sales",Headcount!$H$6:$H$89,"&gt;="&amp;Sales!BJ$3)/12)),BI12),"New Year"))))),'Dept. Cost Actuals'!BN152-'Dept. Cost Actuals'!BN142)</f>
        <v>103604.84175000001</v>
      </c>
      <c r="BK12" s="806">
        <f>IF(BK$4="forecast",IF(YEAR(BK$3)=YEAR(Headcount!$N$4),((SUMIFS(Headcount!$N$6:$N$89,Headcount!$F$6:$F$89,"Sales",Headcount!$H$6:$H$89,"&gt;="&amp;Sales!BK$3)/12)),IF(YEAR(BK$3)=YEAR(Headcount!$O$4),IF((BK$5=2),((SUMIFS(Headcount!$O$6:$O$89,Headcount!$F$6:$F$89,"Sales",Headcount!$H$6:$H$89,"&gt;="&amp;Sales!BK$3)/12)),BJ12),IF(YEAR(BK$3)=YEAR(Headcount!$P$4),IF((BK$5=2),((SUMIFS(Headcount!$P$6:$P$89,Headcount!$F$6:$F$89,"Sales",Headcount!$H$6:$H$89,"&gt;="&amp;Sales!BK$3)/12)),BJ12),IF(YEAR(BK$3)=YEAR(Headcount!$Q$4),IF((BK$5=2),((SUMIFS(Headcount!$Q$6:$Q$89,Headcount!$F$6:$F$89,"Sales",Headcount!$H$6:$H$89,"&gt;="&amp;Sales!BK$3)/12)),BJ12),IF(YEAR(BK$3)=YEAR(Headcount!$R$4),IF((BK$5=2),((SUMIFS(Headcount!$R$6:$R$89,Headcount!$F$6:$F$89,"Sales",Headcount!$H$6:$H$89,"&gt;="&amp;Sales!BK$3)/12)),BJ12),"New Year"))))),'Dept. Cost Actuals'!BO152-'Dept. Cost Actuals'!BO142)</f>
        <v>103604.84175000001</v>
      </c>
      <c r="BL12" s="806">
        <f>IF(BL$4="forecast",IF(YEAR(BL$3)=YEAR(Headcount!$N$4),((SUMIFS(Headcount!$N$6:$N$89,Headcount!$F$6:$F$89,"Sales",Headcount!$H$6:$H$89,"&gt;="&amp;Sales!BL$3)/12)),IF(YEAR(BL$3)=YEAR(Headcount!$O$4),IF((BL$5=2),((SUMIFS(Headcount!$O$6:$O$89,Headcount!$F$6:$F$89,"Sales",Headcount!$H$6:$H$89,"&gt;="&amp;Sales!BL$3)/12)),BK12),IF(YEAR(BL$3)=YEAR(Headcount!$P$4),IF((BL$5=2),((SUMIFS(Headcount!$P$6:$P$89,Headcount!$F$6:$F$89,"Sales",Headcount!$H$6:$H$89,"&gt;="&amp;Sales!BL$3)/12)),BK12),IF(YEAR(BL$3)=YEAR(Headcount!$Q$4),IF((BL$5=2),((SUMIFS(Headcount!$Q$6:$Q$89,Headcount!$F$6:$F$89,"Sales",Headcount!$H$6:$H$89,"&gt;="&amp;Sales!BL$3)/12)),BK12),IF(YEAR(BL$3)=YEAR(Headcount!$R$4),IF((BL$5=2),((SUMIFS(Headcount!$R$6:$R$89,Headcount!$F$6:$F$89,"Sales",Headcount!$H$6:$H$89,"&gt;="&amp;Sales!BL$3)/12)),BK12),"New Year"))))),'Dept. Cost Actuals'!#REF!-'Dept. Cost Actuals'!#REF!)</f>
        <v>106712.98700250003</v>
      </c>
      <c r="BM12" s="806">
        <f>IF(BM$4="forecast",IF(YEAR(BM$3)=YEAR(Headcount!$N$4),((SUMIFS(Headcount!$N$6:$N$89,Headcount!$F$6:$F$89,"Sales",Headcount!$H$6:$H$89,"&gt;="&amp;Sales!BM$3)/12)),IF(YEAR(BM$3)=YEAR(Headcount!$O$4),IF((BM$5=2),((SUMIFS(Headcount!$O$6:$O$89,Headcount!$F$6:$F$89,"Sales",Headcount!$H$6:$H$89,"&gt;="&amp;Sales!BM$3)/12)),BL12),IF(YEAR(BM$3)=YEAR(Headcount!$P$4),IF((BM$5=2),((SUMIFS(Headcount!$P$6:$P$89,Headcount!$F$6:$F$89,"Sales",Headcount!$H$6:$H$89,"&gt;="&amp;Sales!BM$3)/12)),BL12),IF(YEAR(BM$3)=YEAR(Headcount!$Q$4),IF((BM$5=2),((SUMIFS(Headcount!$Q$6:$Q$89,Headcount!$F$6:$F$89,"Sales",Headcount!$H$6:$H$89,"&gt;="&amp;Sales!BM$3)/12)),BL12),IF(YEAR(BM$3)=YEAR(Headcount!$R$4),IF((BM$5=2),((SUMIFS(Headcount!$R$6:$R$89,Headcount!$F$6:$F$89,"Sales",Headcount!$H$6:$H$89,"&gt;="&amp;Sales!BM$3)/12)),BL12),"New Year"))))),'Dept. Cost Actuals'!#REF!-'Dept. Cost Actuals'!#REF!)</f>
        <v>106712.98700250003</v>
      </c>
      <c r="BN12" s="806">
        <f>IF(BN$4="forecast",IF(YEAR(BN$3)=YEAR(Headcount!$N$4),((SUMIFS(Headcount!$N$6:$N$89,Headcount!$F$6:$F$89,"Sales",Headcount!$H$6:$H$89,"&gt;="&amp;Sales!BN$3)/12)),IF(YEAR(BN$3)=YEAR(Headcount!$O$4),IF((BN$5=2),((SUMIFS(Headcount!$O$6:$O$89,Headcount!$F$6:$F$89,"Sales",Headcount!$H$6:$H$89,"&gt;="&amp;Sales!BN$3)/12)),BM12),IF(YEAR(BN$3)=YEAR(Headcount!$P$4),IF((BN$5=2),((SUMIFS(Headcount!$P$6:$P$89,Headcount!$F$6:$F$89,"Sales",Headcount!$H$6:$H$89,"&gt;="&amp;Sales!BN$3)/12)),BM12),IF(YEAR(BN$3)=YEAR(Headcount!$Q$4),IF((BN$5=2),((SUMIFS(Headcount!$Q$6:$Q$89,Headcount!$F$6:$F$89,"Sales",Headcount!$H$6:$H$89,"&gt;="&amp;Sales!BN$3)/12)),BM12),IF(YEAR(BN$3)=YEAR(Headcount!$R$4),IF((BN$5=2),((SUMIFS(Headcount!$R$6:$R$89,Headcount!$F$6:$F$89,"Sales",Headcount!$H$6:$H$89,"&gt;="&amp;Sales!BN$3)/12)),BM12),"New Year"))))),'Dept. Cost Actuals'!#REF!-'Dept. Cost Actuals'!#REF!)</f>
        <v>106712.98700250003</v>
      </c>
      <c r="BO12" s="806">
        <f>IF(BO$4="forecast",IF(YEAR(BO$3)=YEAR(Headcount!$N$4),((SUMIFS(Headcount!$N$6:$N$89,Headcount!$F$6:$F$89,"Sales",Headcount!$H$6:$H$89,"&gt;="&amp;Sales!BO$3)/12)),IF(YEAR(BO$3)=YEAR(Headcount!$O$4),IF((BO$5=2),((SUMIFS(Headcount!$O$6:$O$89,Headcount!$F$6:$F$89,"Sales",Headcount!$H$6:$H$89,"&gt;="&amp;Sales!BO$3)/12)),BN12),IF(YEAR(BO$3)=YEAR(Headcount!$P$4),IF((BO$5=2),((SUMIFS(Headcount!$P$6:$P$89,Headcount!$F$6:$F$89,"Sales",Headcount!$H$6:$H$89,"&gt;="&amp;Sales!BO$3)/12)),BN12),IF(YEAR(BO$3)=YEAR(Headcount!$Q$4),IF((BO$5=2),((SUMIFS(Headcount!$Q$6:$Q$89,Headcount!$F$6:$F$89,"Sales",Headcount!$H$6:$H$89,"&gt;="&amp;Sales!BO$3)/12)),BN12),IF(YEAR(BO$3)=YEAR(Headcount!$R$4),IF((BO$5=2),((SUMIFS(Headcount!$R$6:$R$89,Headcount!$F$6:$F$89,"Sales",Headcount!$H$6:$H$89,"&gt;="&amp;Sales!BO$3)/12)),BN12),"New Year"))))),'Dept. Cost Actuals'!#REF!-'Dept. Cost Actuals'!#REF!)</f>
        <v>106712.98700250003</v>
      </c>
      <c r="BP12" s="806">
        <f>IF(BP$4="forecast",IF(YEAR(BP$3)=YEAR(Headcount!$N$4),((SUMIFS(Headcount!$N$6:$N$89,Headcount!$F$6:$F$89,"Sales",Headcount!$H$6:$H$89,"&gt;="&amp;Sales!BP$3)/12)),IF(YEAR(BP$3)=YEAR(Headcount!$O$4),IF((BP$5=2),((SUMIFS(Headcount!$O$6:$O$89,Headcount!$F$6:$F$89,"Sales",Headcount!$H$6:$H$89,"&gt;="&amp;Sales!BP$3)/12)),BO12),IF(YEAR(BP$3)=YEAR(Headcount!$P$4),IF((BP$5=2),((SUMIFS(Headcount!$P$6:$P$89,Headcount!$F$6:$F$89,"Sales",Headcount!$H$6:$H$89,"&gt;="&amp;Sales!BP$3)/12)),BO12),IF(YEAR(BP$3)=YEAR(Headcount!$Q$4),IF((BP$5=2),((SUMIFS(Headcount!$Q$6:$Q$89,Headcount!$F$6:$F$89,"Sales",Headcount!$H$6:$H$89,"&gt;="&amp;Sales!BP$3)/12)),BO12),IF(YEAR(BP$3)=YEAR(Headcount!$R$4),IF((BP$5=2),((SUMIFS(Headcount!$R$6:$R$89,Headcount!$F$6:$F$89,"Sales",Headcount!$H$6:$H$89,"&gt;="&amp;Sales!BP$3)/12)),BO12),"New Year"))))),'Dept. Cost Actuals'!#REF!-'Dept. Cost Actuals'!#REF!)</f>
        <v>106712.98700250003</v>
      </c>
      <c r="BQ12" s="806">
        <f>IF(BQ$4="forecast",IF(YEAR(BQ$3)=YEAR(Headcount!$N$4),((SUMIFS(Headcount!$N$6:$N$89,Headcount!$F$6:$F$89,"Sales",Headcount!$H$6:$H$89,"&gt;="&amp;Sales!BQ$3)/12)),IF(YEAR(BQ$3)=YEAR(Headcount!$O$4),IF((BQ$5=2),((SUMIFS(Headcount!$O$6:$O$89,Headcount!$F$6:$F$89,"Sales",Headcount!$H$6:$H$89,"&gt;="&amp;Sales!BQ$3)/12)),BP12),IF(YEAR(BQ$3)=YEAR(Headcount!$P$4),IF((BQ$5=2),((SUMIFS(Headcount!$P$6:$P$89,Headcount!$F$6:$F$89,"Sales",Headcount!$H$6:$H$89,"&gt;="&amp;Sales!BQ$3)/12)),BP12),IF(YEAR(BQ$3)=YEAR(Headcount!$Q$4),IF((BQ$5=2),((SUMIFS(Headcount!$Q$6:$Q$89,Headcount!$F$6:$F$89,"Sales",Headcount!$H$6:$H$89,"&gt;="&amp;Sales!BQ$3)/12)),BP12),IF(YEAR(BQ$3)=YEAR(Headcount!$R$4),IF((BQ$5=2),((SUMIFS(Headcount!$R$6:$R$89,Headcount!$F$6:$F$89,"Sales",Headcount!$H$6:$H$89,"&gt;="&amp;Sales!BQ$3)/12)),BP12),"New Year"))))),'Dept. Cost Actuals'!#REF!-'Dept. Cost Actuals'!#REF!)</f>
        <v>106712.98700250003</v>
      </c>
      <c r="BR12" s="806">
        <f>IF(BR$4="forecast",IF(YEAR(BR$3)=YEAR(Headcount!$N$4),((SUMIFS(Headcount!$N$6:$N$89,Headcount!$F$6:$F$89,"Sales",Headcount!$H$6:$H$89,"&gt;="&amp;Sales!BR$3)/12)),IF(YEAR(BR$3)=YEAR(Headcount!$O$4),IF((BR$5=2),((SUMIFS(Headcount!$O$6:$O$89,Headcount!$F$6:$F$89,"Sales",Headcount!$H$6:$H$89,"&gt;="&amp;Sales!BR$3)/12)),BQ12),IF(YEAR(BR$3)=YEAR(Headcount!$P$4),IF((BR$5=2),((SUMIFS(Headcount!$P$6:$P$89,Headcount!$F$6:$F$89,"Sales",Headcount!$H$6:$H$89,"&gt;="&amp;Sales!BR$3)/12)),BQ12),IF(YEAR(BR$3)=YEAR(Headcount!$Q$4),IF((BR$5=2),((SUMIFS(Headcount!$Q$6:$Q$89,Headcount!$F$6:$F$89,"Sales",Headcount!$H$6:$H$89,"&gt;="&amp;Sales!BR$3)/12)),BQ12),IF(YEAR(BR$3)=YEAR(Headcount!$R$4),IF((BR$5=2),((SUMIFS(Headcount!$R$6:$R$89,Headcount!$F$6:$F$89,"Sales",Headcount!$H$6:$H$89,"&gt;="&amp;Sales!BR$3)/12)),BQ12),"New Year"))))),'Dept. Cost Actuals'!#REF!-'Dept. Cost Actuals'!#REF!)</f>
        <v>106712.98700250003</v>
      </c>
      <c r="BS12" s="806">
        <f>IF(BS$4="forecast",IF(YEAR(BS$3)=YEAR(Headcount!$N$4),((SUMIFS(Headcount!$N$6:$N$89,Headcount!$F$6:$F$89,"Sales",Headcount!$H$6:$H$89,"&gt;="&amp;Sales!BS$3)/12)),IF(YEAR(BS$3)=YEAR(Headcount!$O$4),IF((BS$5=2),((SUMIFS(Headcount!$O$6:$O$89,Headcount!$F$6:$F$89,"Sales",Headcount!$H$6:$H$89,"&gt;="&amp;Sales!BS$3)/12)),BR12),IF(YEAR(BS$3)=YEAR(Headcount!$P$4),IF((BS$5=2),((SUMIFS(Headcount!$P$6:$P$89,Headcount!$F$6:$F$89,"Sales",Headcount!$H$6:$H$89,"&gt;="&amp;Sales!BS$3)/12)),BR12),IF(YEAR(BS$3)=YEAR(Headcount!$Q$4),IF((BS$5=2),((SUMIFS(Headcount!$Q$6:$Q$89,Headcount!$F$6:$F$89,"Sales",Headcount!$H$6:$H$89,"&gt;="&amp;Sales!BS$3)/12)),BR12),IF(YEAR(BS$3)=YEAR(Headcount!$R$4),IF((BS$5=2),((SUMIFS(Headcount!$R$6:$R$89,Headcount!$F$6:$F$89,"Sales",Headcount!$H$6:$H$89,"&gt;="&amp;Sales!BS$3)/12)),BR12),"New Year"))))),'Dept. Cost Actuals'!#REF!-'Dept. Cost Actuals'!#REF!)</f>
        <v>106712.98700250003</v>
      </c>
      <c r="BT12" s="806">
        <f>IF(BT$4="forecast",IF(YEAR(BT$3)=YEAR(Headcount!$N$4),((SUMIFS(Headcount!$N$6:$N$89,Headcount!$F$6:$F$89,"Sales",Headcount!$H$6:$H$89,"&gt;="&amp;Sales!BT$3)/12)),IF(YEAR(BT$3)=YEAR(Headcount!$O$4),IF((BT$5=2),((SUMIFS(Headcount!$O$6:$O$89,Headcount!$F$6:$F$89,"Sales",Headcount!$H$6:$H$89,"&gt;="&amp;Sales!BT$3)/12)),BS12),IF(YEAR(BT$3)=YEAR(Headcount!$P$4),IF((BT$5=2),((SUMIFS(Headcount!$P$6:$P$89,Headcount!$F$6:$F$89,"Sales",Headcount!$H$6:$H$89,"&gt;="&amp;Sales!BT$3)/12)),BS12),IF(YEAR(BT$3)=YEAR(Headcount!$Q$4),IF((BT$5=2),((SUMIFS(Headcount!$Q$6:$Q$89,Headcount!$F$6:$F$89,"Sales",Headcount!$H$6:$H$89,"&gt;="&amp;Sales!BT$3)/12)),BS12),IF(YEAR(BT$3)=YEAR(Headcount!$R$4),IF((BT$5=2),((SUMIFS(Headcount!$R$6:$R$89,Headcount!$F$6:$F$89,"Sales",Headcount!$H$6:$H$89,"&gt;="&amp;Sales!BT$3)/12)),BS12),"New Year"))))),'Dept. Cost Actuals'!#REF!-'Dept. Cost Actuals'!#REF!)</f>
        <v>106712.98700250003</v>
      </c>
      <c r="BU12" s="806">
        <f>IF(BU$4="forecast",IF(YEAR(BU$3)=YEAR(Headcount!$N$4),((SUMIFS(Headcount!$N$6:$N$89,Headcount!$F$6:$F$89,"Sales",Headcount!$H$6:$H$89,"&gt;="&amp;Sales!BU$3)/12)),IF(YEAR(BU$3)=YEAR(Headcount!$O$4),IF((BU$5=2),((SUMIFS(Headcount!$O$6:$O$89,Headcount!$F$6:$F$89,"Sales",Headcount!$H$6:$H$89,"&gt;="&amp;Sales!BU$3)/12)),BT12),IF(YEAR(BU$3)=YEAR(Headcount!$P$4),IF((BU$5=2),((SUMIFS(Headcount!$P$6:$P$89,Headcount!$F$6:$F$89,"Sales",Headcount!$H$6:$H$89,"&gt;="&amp;Sales!BU$3)/12)),BT12),IF(YEAR(BU$3)=YEAR(Headcount!$Q$4),IF((BU$5=2),((SUMIFS(Headcount!$Q$6:$Q$89,Headcount!$F$6:$F$89,"Sales",Headcount!$H$6:$H$89,"&gt;="&amp;Sales!BU$3)/12)),BT12),IF(YEAR(BU$3)=YEAR(Headcount!$R$4),IF((BU$5=2),((SUMIFS(Headcount!$R$6:$R$89,Headcount!$F$6:$F$89,"Sales",Headcount!$H$6:$H$89,"&gt;="&amp;Sales!BU$3)/12)),BT12),"New Year"))))),'Dept. Cost Actuals'!#REF!-'Dept. Cost Actuals'!#REF!)</f>
        <v>106712.98700250003</v>
      </c>
      <c r="BV12" s="807">
        <f>IF(BV$4="forecast",IF(YEAR(BV$3)=YEAR(Headcount!$N$4),((SUMIFS(Headcount!$N$6:$N$89,Headcount!$F$6:$F$89,"Sales",Headcount!$H$6:$H$89,"&gt;="&amp;Sales!BV$3)/12)),IF(YEAR(BV$3)=YEAR(Headcount!$O$4),IF((BV$5=2),((SUMIFS(Headcount!$O$6:$O$89,Headcount!$F$6:$F$89,"Sales",Headcount!$H$6:$H$89,"&gt;="&amp;Sales!BV$3)/12)),BU12),IF(YEAR(BV$3)=YEAR(Headcount!$P$4),IF((BV$5=2),((SUMIFS(Headcount!$P$6:$P$89,Headcount!$F$6:$F$89,"Sales",Headcount!$H$6:$H$89,"&gt;="&amp;Sales!BV$3)/12)),BU12),IF(YEAR(BV$3)=YEAR(Headcount!$Q$4),IF((BV$5=2),((SUMIFS(Headcount!$Q$6:$Q$89,Headcount!$F$6:$F$89,"Sales",Headcount!$H$6:$H$89,"&gt;="&amp;Sales!BV$3)/12)),BU12),IF(YEAR(BV$3)=YEAR(Headcount!$R$4),IF((BV$5=2),((SUMIFS(Headcount!$R$6:$R$89,Headcount!$F$6:$F$89,"Sales",Headcount!$H$6:$H$89,"&gt;="&amp;Sales!BV$3)/12)),BU12),"New Year"))))),'Dept. Cost Actuals'!#REF!-'Dept. Cost Actuals'!#REF!)</f>
        <v>106712.98700250003</v>
      </c>
    </row>
    <row r="13" spans="2:77" x14ac:dyDescent="0.35">
      <c r="B13" s="797" t="s">
        <v>935</v>
      </c>
      <c r="C13" s="810">
        <f>IF(C$4="forecast",IF(YEAR(C$3)=YEAR('New Hires Forecast'!$N$3),((SUMIFS('New Hires Forecast'!$N$5:$N$81,'New Hires Forecast'!$F$5:$F$81,"Sales",'New Hires Forecast'!$H$5:$H$81,"&gt;="&amp;Sales!C$3,'New Hires Forecast'!$G$5:$G$81,"&lt;="&amp;Sales!C$3)/12)),IF(YEAR(C$3)=YEAR('New Hires Forecast'!$O$3),((SUMIFS('New Hires Forecast'!$O$5:$O$81,'New Hires Forecast'!$F$5:$F$81,"Sales",'New Hires Forecast'!$H$5:$H$81,"&gt;="&amp;Sales!C$3,'New Hires Forecast'!$G$5:$G$81,"&lt;="&amp;Sales!C$3)/12)),IF(YEAR(C$3)=YEAR('New Hires Forecast'!$P$3),((SUMIFS('New Hires Forecast'!$P$5:$P$81,'New Hires Forecast'!$F$5:$F$81,"Sales",'New Hires Forecast'!$H$5:$H$81,"&gt;="&amp;Sales!C$3,'New Hires Forecast'!$G$5:$G$81,"&lt;="&amp;Sales!C$3)/12)),IF(YEAR(C$3)=YEAR('New Hires Forecast'!$Q$3),((SUMIFS('New Hires Forecast'!$Q$5:$Q$81,'New Hires Forecast'!$F$5:$F$81,"Sales",'New Hires Forecast'!$H$5:$H$81,"&gt;="&amp;Sales!C$3,'New Hires Forecast'!$G$5:$G$81,"&lt;="&amp;Sales!C$3)/12)),IF(YEAR(C$3)=YEAR('New Hires Forecast'!$R$3),((SUMIFS('New Hires Forecast'!$R$5:$R$81,'New Hires Forecast'!$F$5:$F$81,"Sales",'New Hires Forecast'!$H$5:$H$81,"&gt;="&amp;Sales!C$3,'New Hires Forecast'!$G$5:$G$81,"&lt;="&amp;Sales!C$3)/12))))))),0)</f>
        <v>0</v>
      </c>
      <c r="D13" s="810">
        <f>IF(D$4="forecast",IF(YEAR(D$3)=YEAR('New Hires Forecast'!$N$3),((SUMIFS('New Hires Forecast'!$N$5:$N$81,'New Hires Forecast'!$F$5:$F$81,"Sales",'New Hires Forecast'!$H$5:$H$81,"&gt;="&amp;Sales!D$3,'New Hires Forecast'!$G$5:$G$81,"&lt;="&amp;Sales!D$3)/12)),IF(YEAR(D$3)=YEAR('New Hires Forecast'!$O$3),((SUMIFS('New Hires Forecast'!$O$5:$O$81,'New Hires Forecast'!$F$5:$F$81,"Sales",'New Hires Forecast'!$H$5:$H$81,"&gt;="&amp;Sales!D$3,'New Hires Forecast'!$G$5:$G$81,"&lt;="&amp;Sales!D$3)/12)),IF(YEAR(D$3)=YEAR('New Hires Forecast'!$P$3),((SUMIFS('New Hires Forecast'!$P$5:$P$81,'New Hires Forecast'!$F$5:$F$81,"Sales",'New Hires Forecast'!$H$5:$H$81,"&gt;="&amp;Sales!D$3,'New Hires Forecast'!$G$5:$G$81,"&lt;="&amp;Sales!D$3)/12)),IF(YEAR(D$3)=YEAR('New Hires Forecast'!$Q$3),((SUMIFS('New Hires Forecast'!$Q$5:$Q$81,'New Hires Forecast'!$F$5:$F$81,"Sales",'New Hires Forecast'!$H$5:$H$81,"&gt;="&amp;Sales!D$3,'New Hires Forecast'!$G$5:$G$81,"&lt;="&amp;Sales!D$3)/12)),IF(YEAR(D$3)=YEAR('New Hires Forecast'!$R$3),((SUMIFS('New Hires Forecast'!$R$5:$R$81,'New Hires Forecast'!$F$5:$F$81,"Sales",'New Hires Forecast'!$H$5:$H$81,"&gt;="&amp;Sales!D$3,'New Hires Forecast'!$G$5:$G$81,"&lt;="&amp;Sales!D$3)/12))))))),0)</f>
        <v>0</v>
      </c>
      <c r="E13" s="810">
        <f>IF(E$4="forecast",IF(YEAR(E$3)=YEAR('New Hires Forecast'!$N$3),((SUMIFS('New Hires Forecast'!$N$5:$N$81,'New Hires Forecast'!$F$5:$F$81,"Sales",'New Hires Forecast'!$H$5:$H$81,"&gt;="&amp;Sales!E$3,'New Hires Forecast'!$G$5:$G$81,"&lt;="&amp;Sales!E$3)/12)),IF(YEAR(E$3)=YEAR('New Hires Forecast'!$O$3),((SUMIFS('New Hires Forecast'!$O$5:$O$81,'New Hires Forecast'!$F$5:$F$81,"Sales",'New Hires Forecast'!$H$5:$H$81,"&gt;="&amp;Sales!E$3,'New Hires Forecast'!$G$5:$G$81,"&lt;="&amp;Sales!E$3)/12)),IF(YEAR(E$3)=YEAR('New Hires Forecast'!$P$3),((SUMIFS('New Hires Forecast'!$P$5:$P$81,'New Hires Forecast'!$F$5:$F$81,"Sales",'New Hires Forecast'!$H$5:$H$81,"&gt;="&amp;Sales!E$3,'New Hires Forecast'!$G$5:$G$81,"&lt;="&amp;Sales!E$3)/12)),IF(YEAR(E$3)=YEAR('New Hires Forecast'!$Q$3),((SUMIFS('New Hires Forecast'!$Q$5:$Q$81,'New Hires Forecast'!$F$5:$F$81,"Sales",'New Hires Forecast'!$H$5:$H$81,"&gt;="&amp;Sales!E$3,'New Hires Forecast'!$G$5:$G$81,"&lt;="&amp;Sales!E$3)/12)),IF(YEAR(E$3)=YEAR('New Hires Forecast'!$R$3),((SUMIFS('New Hires Forecast'!$R$5:$R$81,'New Hires Forecast'!$F$5:$F$81,"Sales",'New Hires Forecast'!$H$5:$H$81,"&gt;="&amp;Sales!E$3,'New Hires Forecast'!$G$5:$G$81,"&lt;="&amp;Sales!E$3)/12))))))),0)</f>
        <v>0</v>
      </c>
      <c r="F13" s="810">
        <f>IF(F$4="forecast",IF(YEAR(F$3)=YEAR('New Hires Forecast'!$N$3),((SUMIFS('New Hires Forecast'!$N$5:$N$81,'New Hires Forecast'!$F$5:$F$81,"Sales",'New Hires Forecast'!$H$5:$H$81,"&gt;="&amp;Sales!F$3,'New Hires Forecast'!$G$5:$G$81,"&lt;="&amp;Sales!F$3)/12)),IF(YEAR(F$3)=YEAR('New Hires Forecast'!$O$3),((SUMIFS('New Hires Forecast'!$O$5:$O$81,'New Hires Forecast'!$F$5:$F$81,"Sales",'New Hires Forecast'!$H$5:$H$81,"&gt;="&amp;Sales!F$3,'New Hires Forecast'!$G$5:$G$81,"&lt;="&amp;Sales!F$3)/12)),IF(YEAR(F$3)=YEAR('New Hires Forecast'!$P$3),((SUMIFS('New Hires Forecast'!$P$5:$P$81,'New Hires Forecast'!$F$5:$F$81,"Sales",'New Hires Forecast'!$H$5:$H$81,"&gt;="&amp;Sales!F$3,'New Hires Forecast'!$G$5:$G$81,"&lt;="&amp;Sales!F$3)/12)),IF(YEAR(F$3)=YEAR('New Hires Forecast'!$Q$3),((SUMIFS('New Hires Forecast'!$Q$5:$Q$81,'New Hires Forecast'!$F$5:$F$81,"Sales",'New Hires Forecast'!$H$5:$H$81,"&gt;="&amp;Sales!F$3,'New Hires Forecast'!$G$5:$G$81,"&lt;="&amp;Sales!F$3)/12)),IF(YEAR(F$3)=YEAR('New Hires Forecast'!$R$3),((SUMIFS('New Hires Forecast'!$R$5:$R$81,'New Hires Forecast'!$F$5:$F$81,"Sales",'New Hires Forecast'!$H$5:$H$81,"&gt;="&amp;Sales!F$3,'New Hires Forecast'!$G$5:$G$81,"&lt;="&amp;Sales!F$3)/12))))))),0)</f>
        <v>0</v>
      </c>
      <c r="G13" s="810">
        <f>IF(G$4="forecast",IF(YEAR(G$3)=YEAR('New Hires Forecast'!$N$3),((SUMIFS('New Hires Forecast'!$N$5:$N$81,'New Hires Forecast'!$F$5:$F$81,"Sales",'New Hires Forecast'!$H$5:$H$81,"&gt;="&amp;Sales!G$3,'New Hires Forecast'!$G$5:$G$81,"&lt;="&amp;Sales!G$3)/12)),IF(YEAR(G$3)=YEAR('New Hires Forecast'!$O$3),((SUMIFS('New Hires Forecast'!$O$5:$O$81,'New Hires Forecast'!$F$5:$F$81,"Sales",'New Hires Forecast'!$H$5:$H$81,"&gt;="&amp;Sales!G$3,'New Hires Forecast'!$G$5:$G$81,"&lt;="&amp;Sales!G$3)/12)),IF(YEAR(G$3)=YEAR('New Hires Forecast'!$P$3),((SUMIFS('New Hires Forecast'!$P$5:$P$81,'New Hires Forecast'!$F$5:$F$81,"Sales",'New Hires Forecast'!$H$5:$H$81,"&gt;="&amp;Sales!G$3,'New Hires Forecast'!$G$5:$G$81,"&lt;="&amp;Sales!G$3)/12)),IF(YEAR(G$3)=YEAR('New Hires Forecast'!$Q$3),((SUMIFS('New Hires Forecast'!$Q$5:$Q$81,'New Hires Forecast'!$F$5:$F$81,"Sales",'New Hires Forecast'!$H$5:$H$81,"&gt;="&amp;Sales!G$3,'New Hires Forecast'!$G$5:$G$81,"&lt;="&amp;Sales!G$3)/12)),IF(YEAR(G$3)=YEAR('New Hires Forecast'!$R$3),((SUMIFS('New Hires Forecast'!$R$5:$R$81,'New Hires Forecast'!$F$5:$F$81,"Sales",'New Hires Forecast'!$H$5:$H$81,"&gt;="&amp;Sales!G$3,'New Hires Forecast'!$G$5:$G$81,"&lt;="&amp;Sales!G$3)/12))))))),0)</f>
        <v>0</v>
      </c>
      <c r="H13" s="810">
        <f>IF(H$4="forecast",IF(YEAR(H$3)=YEAR('New Hires Forecast'!$N$3),((SUMIFS('New Hires Forecast'!$N$5:$N$81,'New Hires Forecast'!$F$5:$F$81,"Sales",'New Hires Forecast'!$H$5:$H$81,"&gt;="&amp;Sales!H$3,'New Hires Forecast'!$G$5:$G$81,"&lt;="&amp;Sales!H$3)/12)),IF(YEAR(H$3)=YEAR('New Hires Forecast'!$O$3),((SUMIFS('New Hires Forecast'!$O$5:$O$81,'New Hires Forecast'!$F$5:$F$81,"Sales",'New Hires Forecast'!$H$5:$H$81,"&gt;="&amp;Sales!H$3,'New Hires Forecast'!$G$5:$G$81,"&lt;="&amp;Sales!H$3)/12)),IF(YEAR(H$3)=YEAR('New Hires Forecast'!$P$3),((SUMIFS('New Hires Forecast'!$P$5:$P$81,'New Hires Forecast'!$F$5:$F$81,"Sales",'New Hires Forecast'!$H$5:$H$81,"&gt;="&amp;Sales!H$3,'New Hires Forecast'!$G$5:$G$81,"&lt;="&amp;Sales!H$3)/12)),IF(YEAR(H$3)=YEAR('New Hires Forecast'!$Q$3),((SUMIFS('New Hires Forecast'!$Q$5:$Q$81,'New Hires Forecast'!$F$5:$F$81,"Sales",'New Hires Forecast'!$H$5:$H$81,"&gt;="&amp;Sales!H$3,'New Hires Forecast'!$G$5:$G$81,"&lt;="&amp;Sales!H$3)/12)),IF(YEAR(H$3)=YEAR('New Hires Forecast'!$R$3),((SUMIFS('New Hires Forecast'!$R$5:$R$81,'New Hires Forecast'!$F$5:$F$81,"Sales",'New Hires Forecast'!$H$5:$H$81,"&gt;="&amp;Sales!H$3,'New Hires Forecast'!$G$5:$G$81,"&lt;="&amp;Sales!H$3)/12))))))),0)</f>
        <v>0</v>
      </c>
      <c r="I13" s="810">
        <f>IF(I$4="forecast",IF(YEAR(I$3)=YEAR('New Hires Forecast'!$N$3),((SUMIFS('New Hires Forecast'!$N$5:$N$81,'New Hires Forecast'!$F$5:$F$81,"Sales",'New Hires Forecast'!$H$5:$H$81,"&gt;="&amp;Sales!I$3,'New Hires Forecast'!$G$5:$G$81,"&lt;="&amp;Sales!I$3)/12)),IF(YEAR(I$3)=YEAR('New Hires Forecast'!$O$3),((SUMIFS('New Hires Forecast'!$O$5:$O$81,'New Hires Forecast'!$F$5:$F$81,"Sales",'New Hires Forecast'!$H$5:$H$81,"&gt;="&amp;Sales!I$3,'New Hires Forecast'!$G$5:$G$81,"&lt;="&amp;Sales!I$3)/12)),IF(YEAR(I$3)=YEAR('New Hires Forecast'!$P$3),((SUMIFS('New Hires Forecast'!$P$5:$P$81,'New Hires Forecast'!$F$5:$F$81,"Sales",'New Hires Forecast'!$H$5:$H$81,"&gt;="&amp;Sales!I$3,'New Hires Forecast'!$G$5:$G$81,"&lt;="&amp;Sales!I$3)/12)),IF(YEAR(I$3)=YEAR('New Hires Forecast'!$Q$3),((SUMIFS('New Hires Forecast'!$Q$5:$Q$81,'New Hires Forecast'!$F$5:$F$81,"Sales",'New Hires Forecast'!$H$5:$H$81,"&gt;="&amp;Sales!I$3,'New Hires Forecast'!$G$5:$G$81,"&lt;="&amp;Sales!I$3)/12)),IF(YEAR(I$3)=YEAR('New Hires Forecast'!$R$3),((SUMIFS('New Hires Forecast'!$R$5:$R$81,'New Hires Forecast'!$F$5:$F$81,"Sales",'New Hires Forecast'!$H$5:$H$81,"&gt;="&amp;Sales!I$3,'New Hires Forecast'!$G$5:$G$81,"&lt;="&amp;Sales!I$3)/12))))))),0)</f>
        <v>0</v>
      </c>
      <c r="J13" s="810">
        <f>IF(J$4="forecast",IF(YEAR(J$3)=YEAR('New Hires Forecast'!$N$3),((SUMIFS('New Hires Forecast'!$N$5:$N$81,'New Hires Forecast'!$F$5:$F$81,"Sales",'New Hires Forecast'!$H$5:$H$81,"&gt;="&amp;Sales!J$3,'New Hires Forecast'!$G$5:$G$81,"&lt;="&amp;Sales!J$3)/12)),IF(YEAR(J$3)=YEAR('New Hires Forecast'!$O$3),((SUMIFS('New Hires Forecast'!$O$5:$O$81,'New Hires Forecast'!$F$5:$F$81,"Sales",'New Hires Forecast'!$H$5:$H$81,"&gt;="&amp;Sales!J$3,'New Hires Forecast'!$G$5:$G$81,"&lt;="&amp;Sales!J$3)/12)),IF(YEAR(J$3)=YEAR('New Hires Forecast'!$P$3),((SUMIFS('New Hires Forecast'!$P$5:$P$81,'New Hires Forecast'!$F$5:$F$81,"Sales",'New Hires Forecast'!$H$5:$H$81,"&gt;="&amp;Sales!J$3,'New Hires Forecast'!$G$5:$G$81,"&lt;="&amp;Sales!J$3)/12)),IF(YEAR(J$3)=YEAR('New Hires Forecast'!$Q$3),((SUMIFS('New Hires Forecast'!$Q$5:$Q$81,'New Hires Forecast'!$F$5:$F$81,"Sales",'New Hires Forecast'!$H$5:$H$81,"&gt;="&amp;Sales!J$3,'New Hires Forecast'!$G$5:$G$81,"&lt;="&amp;Sales!J$3)/12)),IF(YEAR(J$3)=YEAR('New Hires Forecast'!$R$3),((SUMIFS('New Hires Forecast'!$R$5:$R$81,'New Hires Forecast'!$F$5:$F$81,"Sales",'New Hires Forecast'!$H$5:$H$81,"&gt;="&amp;Sales!J$3,'New Hires Forecast'!$G$5:$G$81,"&lt;="&amp;Sales!J$3)/12))))))),0)</f>
        <v>0</v>
      </c>
      <c r="K13" s="810">
        <f>IF(K$4="forecast",IF(YEAR(K$3)=YEAR('New Hires Forecast'!$N$3),((SUMIFS('New Hires Forecast'!$N$5:$N$81,'New Hires Forecast'!$F$5:$F$81,"Sales",'New Hires Forecast'!$H$5:$H$81,"&gt;="&amp;Sales!K$3,'New Hires Forecast'!$G$5:$G$81,"&lt;="&amp;Sales!K$3)/12)),IF(YEAR(K$3)=YEAR('New Hires Forecast'!$O$3),((SUMIFS('New Hires Forecast'!$O$5:$O$81,'New Hires Forecast'!$F$5:$F$81,"Sales",'New Hires Forecast'!$H$5:$H$81,"&gt;="&amp;Sales!K$3,'New Hires Forecast'!$G$5:$G$81,"&lt;="&amp;Sales!K$3)/12)),IF(YEAR(K$3)=YEAR('New Hires Forecast'!$P$3),((SUMIFS('New Hires Forecast'!$P$5:$P$81,'New Hires Forecast'!$F$5:$F$81,"Sales",'New Hires Forecast'!$H$5:$H$81,"&gt;="&amp;Sales!K$3,'New Hires Forecast'!$G$5:$G$81,"&lt;="&amp;Sales!K$3)/12)),IF(YEAR(K$3)=YEAR('New Hires Forecast'!$Q$3),((SUMIFS('New Hires Forecast'!$Q$5:$Q$81,'New Hires Forecast'!$F$5:$F$81,"Sales",'New Hires Forecast'!$H$5:$H$81,"&gt;="&amp;Sales!K$3,'New Hires Forecast'!$G$5:$G$81,"&lt;="&amp;Sales!K$3)/12)),IF(YEAR(K$3)=YEAR('New Hires Forecast'!$R$3),((SUMIFS('New Hires Forecast'!$R$5:$R$81,'New Hires Forecast'!$F$5:$F$81,"Sales",'New Hires Forecast'!$H$5:$H$81,"&gt;="&amp;Sales!K$3,'New Hires Forecast'!$G$5:$G$81,"&lt;="&amp;Sales!K$3)/12))))))),0)</f>
        <v>0</v>
      </c>
      <c r="L13" s="810">
        <f>IF(L$4="forecast",IF(YEAR(L$3)=YEAR('New Hires Forecast'!$N$3),((SUMIFS('New Hires Forecast'!$N$5:$N$81,'New Hires Forecast'!$F$5:$F$81,"Sales",'New Hires Forecast'!$H$5:$H$81,"&gt;="&amp;Sales!L$3,'New Hires Forecast'!$G$5:$G$81,"&lt;="&amp;Sales!L$3)/12)),IF(YEAR(L$3)=YEAR('New Hires Forecast'!$O$3),((SUMIFS('New Hires Forecast'!$O$5:$O$81,'New Hires Forecast'!$F$5:$F$81,"Sales",'New Hires Forecast'!$H$5:$H$81,"&gt;="&amp;Sales!L$3,'New Hires Forecast'!$G$5:$G$81,"&lt;="&amp;Sales!L$3)/12)),IF(YEAR(L$3)=YEAR('New Hires Forecast'!$P$3),((SUMIFS('New Hires Forecast'!$P$5:$P$81,'New Hires Forecast'!$F$5:$F$81,"Sales",'New Hires Forecast'!$H$5:$H$81,"&gt;="&amp;Sales!L$3,'New Hires Forecast'!$G$5:$G$81,"&lt;="&amp;Sales!L$3)/12)),IF(YEAR(L$3)=YEAR('New Hires Forecast'!$Q$3),((SUMIFS('New Hires Forecast'!$Q$5:$Q$81,'New Hires Forecast'!$F$5:$F$81,"Sales",'New Hires Forecast'!$H$5:$H$81,"&gt;="&amp;Sales!L$3,'New Hires Forecast'!$G$5:$G$81,"&lt;="&amp;Sales!L$3)/12)),IF(YEAR(L$3)=YEAR('New Hires Forecast'!$R$3),((SUMIFS('New Hires Forecast'!$R$5:$R$81,'New Hires Forecast'!$F$5:$F$81,"Sales",'New Hires Forecast'!$H$5:$H$81,"&gt;="&amp;Sales!L$3,'New Hires Forecast'!$G$5:$G$81,"&lt;="&amp;Sales!L$3)/12))))))),0)</f>
        <v>0</v>
      </c>
      <c r="M13" s="810">
        <f>IF(M$4="forecast",IF(YEAR(M$3)=YEAR('New Hires Forecast'!$N$3),((SUMIFS('New Hires Forecast'!$N$5:$N$81,'New Hires Forecast'!$F$5:$F$81,"Sales",'New Hires Forecast'!$H$5:$H$81,"&gt;="&amp;Sales!M$3,'New Hires Forecast'!$G$5:$G$81,"&lt;="&amp;Sales!M$3)/12)),IF(YEAR(M$3)=YEAR('New Hires Forecast'!$O$3),((SUMIFS('New Hires Forecast'!$O$5:$O$81,'New Hires Forecast'!$F$5:$F$81,"Sales",'New Hires Forecast'!$H$5:$H$81,"&gt;="&amp;Sales!M$3,'New Hires Forecast'!$G$5:$G$81,"&lt;="&amp;Sales!M$3)/12)),IF(YEAR(M$3)=YEAR('New Hires Forecast'!$P$3),((SUMIFS('New Hires Forecast'!$P$5:$P$81,'New Hires Forecast'!$F$5:$F$81,"Sales",'New Hires Forecast'!$H$5:$H$81,"&gt;="&amp;Sales!M$3,'New Hires Forecast'!$G$5:$G$81,"&lt;="&amp;Sales!M$3)/12)),IF(YEAR(M$3)=YEAR('New Hires Forecast'!$Q$3),((SUMIFS('New Hires Forecast'!$Q$5:$Q$81,'New Hires Forecast'!$F$5:$F$81,"Sales",'New Hires Forecast'!$H$5:$H$81,"&gt;="&amp;Sales!M$3,'New Hires Forecast'!$G$5:$G$81,"&lt;="&amp;Sales!M$3)/12)),IF(YEAR(M$3)=YEAR('New Hires Forecast'!$R$3),((SUMIFS('New Hires Forecast'!$R$5:$R$81,'New Hires Forecast'!$F$5:$F$81,"Sales",'New Hires Forecast'!$H$5:$H$81,"&gt;="&amp;Sales!M$3,'New Hires Forecast'!$G$5:$G$81,"&lt;="&amp;Sales!M$3)/12))))))),0)</f>
        <v>0</v>
      </c>
      <c r="N13" s="810">
        <f>IF(N$4="forecast",IF(YEAR(N$3)=YEAR('New Hires Forecast'!$N$3),((SUMIFS('New Hires Forecast'!$N$5:$N$81,'New Hires Forecast'!$F$5:$F$81,"Sales",'New Hires Forecast'!$H$5:$H$81,"&gt;="&amp;Sales!N$3,'New Hires Forecast'!$G$5:$G$81,"&lt;="&amp;Sales!N$3)/12)),IF(YEAR(N$3)=YEAR('New Hires Forecast'!$O$3),((SUMIFS('New Hires Forecast'!$O$5:$O$81,'New Hires Forecast'!$F$5:$F$81,"Sales",'New Hires Forecast'!$H$5:$H$81,"&gt;="&amp;Sales!N$3,'New Hires Forecast'!$G$5:$G$81,"&lt;="&amp;Sales!N$3)/12)),IF(YEAR(N$3)=YEAR('New Hires Forecast'!$P$3),((SUMIFS('New Hires Forecast'!$P$5:$P$81,'New Hires Forecast'!$F$5:$F$81,"Sales",'New Hires Forecast'!$H$5:$H$81,"&gt;="&amp;Sales!N$3,'New Hires Forecast'!$G$5:$G$81,"&lt;="&amp;Sales!N$3)/12)),IF(YEAR(N$3)=YEAR('New Hires Forecast'!$Q$3),((SUMIFS('New Hires Forecast'!$Q$5:$Q$81,'New Hires Forecast'!$F$5:$F$81,"Sales",'New Hires Forecast'!$H$5:$H$81,"&gt;="&amp;Sales!N$3,'New Hires Forecast'!$G$5:$G$81,"&lt;="&amp;Sales!N$3)/12)),IF(YEAR(N$3)=YEAR('New Hires Forecast'!$R$3),((SUMIFS('New Hires Forecast'!$R$5:$R$81,'New Hires Forecast'!$F$5:$F$81,"Sales",'New Hires Forecast'!$H$5:$H$81,"&gt;="&amp;Sales!N$3,'New Hires Forecast'!$G$5:$G$81,"&lt;="&amp;Sales!N$3)/12))))))),0)</f>
        <v>0</v>
      </c>
      <c r="O13" s="810">
        <f>IF(O$4="forecast",IF(YEAR(O$3)=YEAR('New Hires Forecast'!$N$3),((SUMIFS('New Hires Forecast'!$N$5:$N$81,'New Hires Forecast'!$F$5:$F$81,"Sales",'New Hires Forecast'!$H$5:$H$81,"&gt;="&amp;Sales!O$3,'New Hires Forecast'!$G$5:$G$81,"&lt;="&amp;Sales!O$3)/12)),IF(YEAR(O$3)=YEAR('New Hires Forecast'!$O$3),((SUMIFS('New Hires Forecast'!$O$5:$O$81,'New Hires Forecast'!$F$5:$F$81,"Sales",'New Hires Forecast'!$H$5:$H$81,"&gt;="&amp;Sales!O$3,'New Hires Forecast'!$G$5:$G$81,"&lt;="&amp;Sales!O$3)/12)),IF(YEAR(O$3)=YEAR('New Hires Forecast'!$P$3),((SUMIFS('New Hires Forecast'!$P$5:$P$81,'New Hires Forecast'!$F$5:$F$81,"Sales",'New Hires Forecast'!$H$5:$H$81,"&gt;="&amp;Sales!O$3,'New Hires Forecast'!$G$5:$G$81,"&lt;="&amp;Sales!O$3)/12)),IF(YEAR(O$3)=YEAR('New Hires Forecast'!$Q$3),((SUMIFS('New Hires Forecast'!$Q$5:$Q$81,'New Hires Forecast'!$F$5:$F$81,"Sales",'New Hires Forecast'!$H$5:$H$81,"&gt;="&amp;Sales!O$3,'New Hires Forecast'!$G$5:$G$81,"&lt;="&amp;Sales!O$3)/12)),IF(YEAR(O$3)=YEAR('New Hires Forecast'!$R$3),((SUMIFS('New Hires Forecast'!$R$5:$R$81,'New Hires Forecast'!$F$5:$F$81,"Sales",'New Hires Forecast'!$H$5:$H$81,"&gt;="&amp;Sales!O$3,'New Hires Forecast'!$G$5:$G$81,"&lt;="&amp;Sales!O$3)/12))))))),0)</f>
        <v>0</v>
      </c>
      <c r="P13" s="810">
        <f>IF(P$4="forecast",IF(YEAR(P$3)=YEAR('New Hires Forecast'!$N$3),((SUMIFS('New Hires Forecast'!$N$5:$N$81,'New Hires Forecast'!$F$5:$F$81,"Sales",'New Hires Forecast'!$H$5:$H$81,"&gt;="&amp;Sales!P$3,'New Hires Forecast'!$G$5:$G$81,"&lt;="&amp;Sales!P$3)/12)),IF(YEAR(P$3)=YEAR('New Hires Forecast'!$O$3),((SUMIFS('New Hires Forecast'!$O$5:$O$81,'New Hires Forecast'!$F$5:$F$81,"Sales",'New Hires Forecast'!$H$5:$H$81,"&gt;="&amp;Sales!P$3,'New Hires Forecast'!$G$5:$G$81,"&lt;="&amp;Sales!P$3)/12)),IF(YEAR(P$3)=YEAR('New Hires Forecast'!$P$3),((SUMIFS('New Hires Forecast'!$P$5:$P$81,'New Hires Forecast'!$F$5:$F$81,"Sales",'New Hires Forecast'!$H$5:$H$81,"&gt;="&amp;Sales!P$3,'New Hires Forecast'!$G$5:$G$81,"&lt;="&amp;Sales!P$3)/12)),IF(YEAR(P$3)=YEAR('New Hires Forecast'!$Q$3),((SUMIFS('New Hires Forecast'!$Q$5:$Q$81,'New Hires Forecast'!$F$5:$F$81,"Sales",'New Hires Forecast'!$H$5:$H$81,"&gt;="&amp;Sales!P$3,'New Hires Forecast'!$G$5:$G$81,"&lt;="&amp;Sales!P$3)/12)),IF(YEAR(P$3)=YEAR('New Hires Forecast'!$R$3),((SUMIFS('New Hires Forecast'!$R$5:$R$81,'New Hires Forecast'!$F$5:$F$81,"Sales",'New Hires Forecast'!$H$5:$H$81,"&gt;="&amp;Sales!P$3,'New Hires Forecast'!$G$5:$G$81,"&lt;="&amp;Sales!P$3)/12))))))),0)</f>
        <v>0</v>
      </c>
      <c r="Q13" s="810">
        <f>IF(Q$4="forecast",IF(YEAR(Q$3)=YEAR('New Hires Forecast'!$N$3),((SUMIFS('New Hires Forecast'!$N$5:$N$81,'New Hires Forecast'!$F$5:$F$81,"Sales",'New Hires Forecast'!$H$5:$H$81,"&gt;="&amp;Sales!Q$3,'New Hires Forecast'!$G$5:$G$81,"&lt;="&amp;Sales!Q$3)/12)),IF(YEAR(Q$3)=YEAR('New Hires Forecast'!$O$3),((SUMIFS('New Hires Forecast'!$O$5:$O$81,'New Hires Forecast'!$F$5:$F$81,"Sales",'New Hires Forecast'!$H$5:$H$81,"&gt;="&amp;Sales!Q$3,'New Hires Forecast'!$G$5:$G$81,"&lt;="&amp;Sales!Q$3)/12)),IF(YEAR(Q$3)=YEAR('New Hires Forecast'!$P$3),((SUMIFS('New Hires Forecast'!$P$5:$P$81,'New Hires Forecast'!$F$5:$F$81,"Sales",'New Hires Forecast'!$H$5:$H$81,"&gt;="&amp;Sales!Q$3,'New Hires Forecast'!$G$5:$G$81,"&lt;="&amp;Sales!Q$3)/12)),IF(YEAR(Q$3)=YEAR('New Hires Forecast'!$Q$3),((SUMIFS('New Hires Forecast'!$Q$5:$Q$81,'New Hires Forecast'!$F$5:$F$81,"Sales",'New Hires Forecast'!$H$5:$H$81,"&gt;="&amp;Sales!Q$3,'New Hires Forecast'!$G$5:$G$81,"&lt;="&amp;Sales!Q$3)/12)),IF(YEAR(Q$3)=YEAR('New Hires Forecast'!$R$3),((SUMIFS('New Hires Forecast'!$R$5:$R$81,'New Hires Forecast'!$F$5:$F$81,"Sales",'New Hires Forecast'!$H$5:$H$81,"&gt;="&amp;Sales!Q$3,'New Hires Forecast'!$G$5:$G$81,"&lt;="&amp;Sales!Q$3)/12))))))),0)</f>
        <v>0</v>
      </c>
      <c r="R13" s="810">
        <f>IF(R$4="forecast",IF(YEAR(R$3)=YEAR('New Hires Forecast'!$N$3),((SUMIFS('New Hires Forecast'!$N$5:$N$81,'New Hires Forecast'!$F$5:$F$81,"Sales",'New Hires Forecast'!$H$5:$H$81,"&gt;="&amp;Sales!R$3,'New Hires Forecast'!$G$5:$G$81,"&lt;="&amp;Sales!R$3)/12)),IF(YEAR(R$3)=YEAR('New Hires Forecast'!$O$3),((SUMIFS('New Hires Forecast'!$O$5:$O$81,'New Hires Forecast'!$F$5:$F$81,"Sales",'New Hires Forecast'!$H$5:$H$81,"&gt;="&amp;Sales!R$3,'New Hires Forecast'!$G$5:$G$81,"&lt;="&amp;Sales!R$3)/12)),IF(YEAR(R$3)=YEAR('New Hires Forecast'!$P$3),((SUMIFS('New Hires Forecast'!$P$5:$P$81,'New Hires Forecast'!$F$5:$F$81,"Sales",'New Hires Forecast'!$H$5:$H$81,"&gt;="&amp;Sales!R$3,'New Hires Forecast'!$G$5:$G$81,"&lt;="&amp;Sales!R$3)/12)),IF(YEAR(R$3)=YEAR('New Hires Forecast'!$Q$3),((SUMIFS('New Hires Forecast'!$Q$5:$Q$81,'New Hires Forecast'!$F$5:$F$81,"Sales",'New Hires Forecast'!$H$5:$H$81,"&gt;="&amp;Sales!R$3,'New Hires Forecast'!$G$5:$G$81,"&lt;="&amp;Sales!R$3)/12)),IF(YEAR(R$3)=YEAR('New Hires Forecast'!$R$3),((SUMIFS('New Hires Forecast'!$R$5:$R$81,'New Hires Forecast'!$F$5:$F$81,"Sales",'New Hires Forecast'!$H$5:$H$81,"&gt;="&amp;Sales!R$3,'New Hires Forecast'!$G$5:$G$81,"&lt;="&amp;Sales!R$3)/12))))))),0)</f>
        <v>0</v>
      </c>
      <c r="S13" s="810">
        <f>IF(S$4="forecast",IF(YEAR(S$3)=YEAR('New Hires Forecast'!$N$3),((SUMIFS('New Hires Forecast'!$N$5:$N$81,'New Hires Forecast'!$F$5:$F$81,"Sales",'New Hires Forecast'!$H$5:$H$81,"&gt;="&amp;Sales!S$3,'New Hires Forecast'!$G$5:$G$81,"&lt;="&amp;Sales!S$3)/12)),IF(YEAR(S$3)=YEAR('New Hires Forecast'!$O$3),((SUMIFS('New Hires Forecast'!$O$5:$O$81,'New Hires Forecast'!$F$5:$F$81,"Sales",'New Hires Forecast'!$H$5:$H$81,"&gt;="&amp;Sales!S$3,'New Hires Forecast'!$G$5:$G$81,"&lt;="&amp;Sales!S$3)/12)),IF(YEAR(S$3)=YEAR('New Hires Forecast'!$P$3),((SUMIFS('New Hires Forecast'!$P$5:$P$81,'New Hires Forecast'!$F$5:$F$81,"Sales",'New Hires Forecast'!$H$5:$H$81,"&gt;="&amp;Sales!S$3,'New Hires Forecast'!$G$5:$G$81,"&lt;="&amp;Sales!S$3)/12)),IF(YEAR(S$3)=YEAR('New Hires Forecast'!$Q$3),((SUMIFS('New Hires Forecast'!$Q$5:$Q$81,'New Hires Forecast'!$F$5:$F$81,"Sales",'New Hires Forecast'!$H$5:$H$81,"&gt;="&amp;Sales!S$3,'New Hires Forecast'!$G$5:$G$81,"&lt;="&amp;Sales!S$3)/12)),IF(YEAR(S$3)=YEAR('New Hires Forecast'!$R$3),((SUMIFS('New Hires Forecast'!$R$5:$R$81,'New Hires Forecast'!$F$5:$F$81,"Sales",'New Hires Forecast'!$H$5:$H$81,"&gt;="&amp;Sales!S$3,'New Hires Forecast'!$G$5:$G$81,"&lt;="&amp;Sales!S$3)/12))))))),0)</f>
        <v>0</v>
      </c>
      <c r="T13" s="810">
        <f>IF(T$4="forecast",IF(YEAR(T$3)=YEAR('New Hires Forecast'!$N$3),((SUMIFS('New Hires Forecast'!$N$5:$N$81,'New Hires Forecast'!$F$5:$F$81,"Sales",'New Hires Forecast'!$H$5:$H$81,"&gt;="&amp;Sales!T$3,'New Hires Forecast'!$G$5:$G$81,"&lt;="&amp;Sales!T$3)/12)),IF(YEAR(T$3)=YEAR('New Hires Forecast'!$O$3),((SUMIFS('New Hires Forecast'!$O$5:$O$81,'New Hires Forecast'!$F$5:$F$81,"Sales",'New Hires Forecast'!$H$5:$H$81,"&gt;="&amp;Sales!T$3,'New Hires Forecast'!$G$5:$G$81,"&lt;="&amp;Sales!T$3)/12)),IF(YEAR(T$3)=YEAR('New Hires Forecast'!$P$3),((SUMIFS('New Hires Forecast'!$P$5:$P$81,'New Hires Forecast'!$F$5:$F$81,"Sales",'New Hires Forecast'!$H$5:$H$81,"&gt;="&amp;Sales!T$3,'New Hires Forecast'!$G$5:$G$81,"&lt;="&amp;Sales!T$3)/12)),IF(YEAR(T$3)=YEAR('New Hires Forecast'!$Q$3),((SUMIFS('New Hires Forecast'!$Q$5:$Q$81,'New Hires Forecast'!$F$5:$F$81,"Sales",'New Hires Forecast'!$H$5:$H$81,"&gt;="&amp;Sales!T$3,'New Hires Forecast'!$G$5:$G$81,"&lt;="&amp;Sales!T$3)/12)),IF(YEAR(T$3)=YEAR('New Hires Forecast'!$R$3),((SUMIFS('New Hires Forecast'!$R$5:$R$81,'New Hires Forecast'!$F$5:$F$81,"Sales",'New Hires Forecast'!$H$5:$H$81,"&gt;="&amp;Sales!T$3,'New Hires Forecast'!$G$5:$G$81,"&lt;="&amp;Sales!T$3)/12))))))),0)</f>
        <v>0</v>
      </c>
      <c r="U13" s="810">
        <f>IF(U$4="forecast",IF(YEAR(U$3)=YEAR('New Hires Forecast'!$N$3),((SUMIFS('New Hires Forecast'!$N$5:$N$81,'New Hires Forecast'!$F$5:$F$81,"Sales",'New Hires Forecast'!$H$5:$H$81,"&gt;="&amp;Sales!U$3,'New Hires Forecast'!$G$5:$G$81,"&lt;="&amp;Sales!U$3)/12)),IF(YEAR(U$3)=YEAR('New Hires Forecast'!$O$3),((SUMIFS('New Hires Forecast'!$O$5:$O$81,'New Hires Forecast'!$F$5:$F$81,"Sales",'New Hires Forecast'!$H$5:$H$81,"&gt;="&amp;Sales!U$3,'New Hires Forecast'!$G$5:$G$81,"&lt;="&amp;Sales!U$3)/12)),IF(YEAR(U$3)=YEAR('New Hires Forecast'!$P$3),((SUMIFS('New Hires Forecast'!$P$5:$P$81,'New Hires Forecast'!$F$5:$F$81,"Sales",'New Hires Forecast'!$H$5:$H$81,"&gt;="&amp;Sales!U$3,'New Hires Forecast'!$G$5:$G$81,"&lt;="&amp;Sales!U$3)/12)),IF(YEAR(U$3)=YEAR('New Hires Forecast'!$Q$3),((SUMIFS('New Hires Forecast'!$Q$5:$Q$81,'New Hires Forecast'!$F$5:$F$81,"Sales",'New Hires Forecast'!$H$5:$H$81,"&gt;="&amp;Sales!U$3,'New Hires Forecast'!$G$5:$G$81,"&lt;="&amp;Sales!U$3)/12)),IF(YEAR(U$3)=YEAR('New Hires Forecast'!$R$3),((SUMIFS('New Hires Forecast'!$R$5:$R$81,'New Hires Forecast'!$F$5:$F$81,"Sales",'New Hires Forecast'!$H$5:$H$81,"&gt;="&amp;Sales!U$3,'New Hires Forecast'!$G$5:$G$81,"&lt;="&amp;Sales!U$3)/12))))))),0)</f>
        <v>0</v>
      </c>
      <c r="V13" s="810">
        <f>IF(V$4="forecast",IF(YEAR(V$3)=YEAR('New Hires Forecast'!$N$3),((SUMIFS('New Hires Forecast'!$N$5:$N$81,'New Hires Forecast'!$F$5:$F$81,"Sales",'New Hires Forecast'!$H$5:$H$81,"&gt;="&amp;Sales!V$3,'New Hires Forecast'!$G$5:$G$81,"&lt;="&amp;Sales!V$3)/12)),IF(YEAR(V$3)=YEAR('New Hires Forecast'!$O$3),((SUMIFS('New Hires Forecast'!$O$5:$O$81,'New Hires Forecast'!$F$5:$F$81,"Sales",'New Hires Forecast'!$H$5:$H$81,"&gt;="&amp;Sales!V$3,'New Hires Forecast'!$G$5:$G$81,"&lt;="&amp;Sales!V$3)/12)),IF(YEAR(V$3)=YEAR('New Hires Forecast'!$P$3),((SUMIFS('New Hires Forecast'!$P$5:$P$81,'New Hires Forecast'!$F$5:$F$81,"Sales",'New Hires Forecast'!$H$5:$H$81,"&gt;="&amp;Sales!V$3,'New Hires Forecast'!$G$5:$G$81,"&lt;="&amp;Sales!V$3)/12)),IF(YEAR(V$3)=YEAR('New Hires Forecast'!$Q$3),((SUMIFS('New Hires Forecast'!$Q$5:$Q$81,'New Hires Forecast'!$F$5:$F$81,"Sales",'New Hires Forecast'!$H$5:$H$81,"&gt;="&amp;Sales!V$3,'New Hires Forecast'!$G$5:$G$81,"&lt;="&amp;Sales!V$3)/12)),IF(YEAR(V$3)=YEAR('New Hires Forecast'!$R$3),((SUMIFS('New Hires Forecast'!$R$5:$R$81,'New Hires Forecast'!$F$5:$F$81,"Sales",'New Hires Forecast'!$H$5:$H$81,"&gt;="&amp;Sales!V$3,'New Hires Forecast'!$G$5:$G$81,"&lt;="&amp;Sales!V$3)/12))))))),0)</f>
        <v>0</v>
      </c>
      <c r="W13" s="810">
        <f>IF(W$4="forecast",IF(YEAR(W$3)=YEAR('New Hires Forecast'!$N$3),((SUMIFS('New Hires Forecast'!$N$5:$N$81,'New Hires Forecast'!$F$5:$F$81,"Sales",'New Hires Forecast'!$H$5:$H$81,"&gt;="&amp;Sales!W$3,'New Hires Forecast'!$G$5:$G$81,"&lt;="&amp;Sales!W$3)/12)),IF(YEAR(W$3)=YEAR('New Hires Forecast'!$O$3),((SUMIFS('New Hires Forecast'!$O$5:$O$81,'New Hires Forecast'!$F$5:$F$81,"Sales",'New Hires Forecast'!$H$5:$H$81,"&gt;="&amp;Sales!W$3,'New Hires Forecast'!$G$5:$G$81,"&lt;="&amp;Sales!W$3)/12)),IF(YEAR(W$3)=YEAR('New Hires Forecast'!$P$3),((SUMIFS('New Hires Forecast'!$P$5:$P$81,'New Hires Forecast'!$F$5:$F$81,"Sales",'New Hires Forecast'!$H$5:$H$81,"&gt;="&amp;Sales!W$3,'New Hires Forecast'!$G$5:$G$81,"&lt;="&amp;Sales!W$3)/12)),IF(YEAR(W$3)=YEAR('New Hires Forecast'!$Q$3),((SUMIFS('New Hires Forecast'!$Q$5:$Q$81,'New Hires Forecast'!$F$5:$F$81,"Sales",'New Hires Forecast'!$H$5:$H$81,"&gt;="&amp;Sales!W$3,'New Hires Forecast'!$G$5:$G$81,"&lt;="&amp;Sales!W$3)/12)),IF(YEAR(W$3)=YEAR('New Hires Forecast'!$R$3),((SUMIFS('New Hires Forecast'!$R$5:$R$81,'New Hires Forecast'!$F$5:$F$81,"Sales",'New Hires Forecast'!$H$5:$H$81,"&gt;="&amp;Sales!W$3,'New Hires Forecast'!$G$5:$G$81,"&lt;="&amp;Sales!W$3)/12))))))),0)</f>
        <v>0</v>
      </c>
      <c r="X13" s="810">
        <f>IF(X$4="forecast",IF(YEAR(X$3)=YEAR('New Hires Forecast'!$N$3),((SUMIFS('New Hires Forecast'!$N$5:$N$81,'New Hires Forecast'!$F$5:$F$81,"Sales",'New Hires Forecast'!$H$5:$H$81,"&gt;="&amp;Sales!X$3,'New Hires Forecast'!$G$5:$G$81,"&lt;="&amp;Sales!X$3)/12)),IF(YEAR(X$3)=YEAR('New Hires Forecast'!$O$3),((SUMIFS('New Hires Forecast'!$O$5:$O$81,'New Hires Forecast'!$F$5:$F$81,"Sales",'New Hires Forecast'!$H$5:$H$81,"&gt;="&amp;Sales!X$3,'New Hires Forecast'!$G$5:$G$81,"&lt;="&amp;Sales!X$3)/12)),IF(YEAR(X$3)=YEAR('New Hires Forecast'!$P$3),((SUMIFS('New Hires Forecast'!$P$5:$P$81,'New Hires Forecast'!$F$5:$F$81,"Sales",'New Hires Forecast'!$H$5:$H$81,"&gt;="&amp;Sales!X$3,'New Hires Forecast'!$G$5:$G$81,"&lt;="&amp;Sales!X$3)/12)),IF(YEAR(X$3)=YEAR('New Hires Forecast'!$Q$3),((SUMIFS('New Hires Forecast'!$Q$5:$Q$81,'New Hires Forecast'!$F$5:$F$81,"Sales",'New Hires Forecast'!$H$5:$H$81,"&gt;="&amp;Sales!X$3,'New Hires Forecast'!$G$5:$G$81,"&lt;="&amp;Sales!X$3)/12)),IF(YEAR(X$3)=YEAR('New Hires Forecast'!$R$3),((SUMIFS('New Hires Forecast'!$R$5:$R$81,'New Hires Forecast'!$F$5:$F$81,"Sales",'New Hires Forecast'!$H$5:$H$81,"&gt;="&amp;Sales!X$3,'New Hires Forecast'!$G$5:$G$81,"&lt;="&amp;Sales!X$3)/12))))))),0)</f>
        <v>0</v>
      </c>
      <c r="Y13" s="810">
        <f>IF(Y$4="forecast",IF(YEAR(Y$3)=YEAR('New Hires Forecast'!$N$3),((SUMIFS('New Hires Forecast'!$N$5:$N$81,'New Hires Forecast'!$F$5:$F$81,"Sales",'New Hires Forecast'!$H$5:$H$81,"&gt;="&amp;Sales!Y$3,'New Hires Forecast'!$G$5:$G$81,"&lt;="&amp;Sales!Y$3)/12)),IF(YEAR(Y$3)=YEAR('New Hires Forecast'!$O$3),((SUMIFS('New Hires Forecast'!$O$5:$O$81,'New Hires Forecast'!$F$5:$F$81,"Sales",'New Hires Forecast'!$H$5:$H$81,"&gt;="&amp;Sales!Y$3,'New Hires Forecast'!$G$5:$G$81,"&lt;="&amp;Sales!Y$3)/12)),IF(YEAR(Y$3)=YEAR('New Hires Forecast'!$P$3),((SUMIFS('New Hires Forecast'!$P$5:$P$81,'New Hires Forecast'!$F$5:$F$81,"Sales",'New Hires Forecast'!$H$5:$H$81,"&gt;="&amp;Sales!Y$3,'New Hires Forecast'!$G$5:$G$81,"&lt;="&amp;Sales!Y$3)/12)),IF(YEAR(Y$3)=YEAR('New Hires Forecast'!$Q$3),((SUMIFS('New Hires Forecast'!$Q$5:$Q$81,'New Hires Forecast'!$F$5:$F$81,"Sales",'New Hires Forecast'!$H$5:$H$81,"&gt;="&amp;Sales!Y$3,'New Hires Forecast'!$G$5:$G$81,"&lt;="&amp;Sales!Y$3)/12)),IF(YEAR(Y$3)=YEAR('New Hires Forecast'!$R$3),((SUMIFS('New Hires Forecast'!$R$5:$R$81,'New Hires Forecast'!$F$5:$F$81,"Sales",'New Hires Forecast'!$H$5:$H$81,"&gt;="&amp;Sales!Y$3,'New Hires Forecast'!$G$5:$G$81,"&lt;="&amp;Sales!Y$3)/12))))))),0)</f>
        <v>0</v>
      </c>
      <c r="Z13" s="810">
        <f>IF(Z$4="forecast",IF(YEAR(Z$3)=YEAR('New Hires Forecast'!$N$3),((SUMIFS('New Hires Forecast'!$N$5:$N$81,'New Hires Forecast'!$F$5:$F$81,"Sales",'New Hires Forecast'!$H$5:$H$81,"&gt;="&amp;Sales!Z$3,'New Hires Forecast'!$G$5:$G$81,"&lt;="&amp;Sales!Z$3)/12)),IF(YEAR(Z$3)=YEAR('New Hires Forecast'!$O$3),((SUMIFS('New Hires Forecast'!$O$5:$O$81,'New Hires Forecast'!$F$5:$F$81,"Sales",'New Hires Forecast'!$H$5:$H$81,"&gt;="&amp;Sales!Z$3,'New Hires Forecast'!$G$5:$G$81,"&lt;="&amp;Sales!Z$3)/12)),IF(YEAR(Z$3)=YEAR('New Hires Forecast'!$P$3),((SUMIFS('New Hires Forecast'!$P$5:$P$81,'New Hires Forecast'!$F$5:$F$81,"Sales",'New Hires Forecast'!$H$5:$H$81,"&gt;="&amp;Sales!Z$3,'New Hires Forecast'!$G$5:$G$81,"&lt;="&amp;Sales!Z$3)/12)),IF(YEAR(Z$3)=YEAR('New Hires Forecast'!$Q$3),((SUMIFS('New Hires Forecast'!$Q$5:$Q$81,'New Hires Forecast'!$F$5:$F$81,"Sales",'New Hires Forecast'!$H$5:$H$81,"&gt;="&amp;Sales!Z$3,'New Hires Forecast'!$G$5:$G$81,"&lt;="&amp;Sales!Z$3)/12)),IF(YEAR(Z$3)=YEAR('New Hires Forecast'!$R$3),((SUMIFS('New Hires Forecast'!$R$5:$R$81,'New Hires Forecast'!$F$5:$F$81,"Sales",'New Hires Forecast'!$H$5:$H$81,"&gt;="&amp;Sales!Z$3,'New Hires Forecast'!$G$5:$G$81,"&lt;="&amp;Sales!Z$3)/12))))))),0)</f>
        <v>0</v>
      </c>
      <c r="AA13" s="810">
        <f>IF(AA$4="forecast",IF(YEAR(AA$3)=YEAR('New Hires Forecast'!$N$3),((SUMIFS('New Hires Forecast'!$N$5:$N$81,'New Hires Forecast'!$F$5:$F$81,"Sales",'New Hires Forecast'!$H$5:$H$81,"&gt;="&amp;Sales!AA$3,'New Hires Forecast'!$G$5:$G$81,"&lt;="&amp;Sales!AA$3)/12)),IF(YEAR(AA$3)=YEAR('New Hires Forecast'!$O$3),((SUMIFS('New Hires Forecast'!$O$5:$O$81,'New Hires Forecast'!$F$5:$F$81,"Sales",'New Hires Forecast'!$H$5:$H$81,"&gt;="&amp;Sales!AA$3,'New Hires Forecast'!$G$5:$G$81,"&lt;="&amp;Sales!AA$3)/12)),IF(YEAR(AA$3)=YEAR('New Hires Forecast'!$P$3),((SUMIFS('New Hires Forecast'!$P$5:$P$81,'New Hires Forecast'!$F$5:$F$81,"Sales",'New Hires Forecast'!$H$5:$H$81,"&gt;="&amp;Sales!AA$3,'New Hires Forecast'!$G$5:$G$81,"&lt;="&amp;Sales!AA$3)/12)),IF(YEAR(AA$3)=YEAR('New Hires Forecast'!$Q$3),((SUMIFS('New Hires Forecast'!$Q$5:$Q$81,'New Hires Forecast'!$F$5:$F$81,"Sales",'New Hires Forecast'!$H$5:$H$81,"&gt;="&amp;Sales!AA$3,'New Hires Forecast'!$G$5:$G$81,"&lt;="&amp;Sales!AA$3)/12)),IF(YEAR(AA$3)=YEAR('New Hires Forecast'!$R$3),((SUMIFS('New Hires Forecast'!$R$5:$R$81,'New Hires Forecast'!$F$5:$F$81,"Sales",'New Hires Forecast'!$H$5:$H$81,"&gt;="&amp;Sales!AA$3,'New Hires Forecast'!$G$5:$G$81,"&lt;="&amp;Sales!AA$3)/12))))))),0)</f>
        <v>0</v>
      </c>
      <c r="AB13" s="810">
        <f>IF(AB$4="forecast",IF(YEAR(AB$3)=YEAR('New Hires Forecast'!$N$3),((SUMIFS('New Hires Forecast'!$N$5:$N$81,'New Hires Forecast'!$F$5:$F$81,"Sales",'New Hires Forecast'!$H$5:$H$81,"&gt;="&amp;Sales!AB$3,'New Hires Forecast'!$G$5:$G$81,"&lt;="&amp;Sales!AB$3)/12)),IF(YEAR(AB$3)=YEAR('New Hires Forecast'!$O$3),((SUMIFS('New Hires Forecast'!$O$5:$O$81,'New Hires Forecast'!$F$5:$F$81,"Sales",'New Hires Forecast'!$H$5:$H$81,"&gt;="&amp;Sales!AB$3,'New Hires Forecast'!$G$5:$G$81,"&lt;="&amp;Sales!AB$3)/12)),IF(YEAR(AB$3)=YEAR('New Hires Forecast'!$P$3),((SUMIFS('New Hires Forecast'!$P$5:$P$81,'New Hires Forecast'!$F$5:$F$81,"Sales",'New Hires Forecast'!$H$5:$H$81,"&gt;="&amp;Sales!AB$3,'New Hires Forecast'!$G$5:$G$81,"&lt;="&amp;Sales!AB$3)/12)),IF(YEAR(AB$3)=YEAR('New Hires Forecast'!$Q$3),((SUMIFS('New Hires Forecast'!$Q$5:$Q$81,'New Hires Forecast'!$F$5:$F$81,"Sales",'New Hires Forecast'!$H$5:$H$81,"&gt;="&amp;Sales!AB$3,'New Hires Forecast'!$G$5:$G$81,"&lt;="&amp;Sales!AB$3)/12)),IF(YEAR(AB$3)=YEAR('New Hires Forecast'!$R$3),((SUMIFS('New Hires Forecast'!$R$5:$R$81,'New Hires Forecast'!$F$5:$F$81,"Sales",'New Hires Forecast'!$H$5:$H$81,"&gt;="&amp;Sales!AB$3,'New Hires Forecast'!$G$5:$G$81,"&lt;="&amp;Sales!AB$3)/12))))))),0)</f>
        <v>4166.666666666667</v>
      </c>
      <c r="AC13" s="810">
        <f>IF(AC$4="forecast",IF(YEAR(AC$3)=YEAR('New Hires Forecast'!$N$3),((SUMIFS('New Hires Forecast'!$N$5:$N$81,'New Hires Forecast'!$F$5:$F$81,"Sales",'New Hires Forecast'!$H$5:$H$81,"&gt;="&amp;Sales!AC$3,'New Hires Forecast'!$G$5:$G$81,"&lt;="&amp;Sales!AC$3)/12)),IF(YEAR(AC$3)=YEAR('New Hires Forecast'!$O$3),((SUMIFS('New Hires Forecast'!$O$5:$O$81,'New Hires Forecast'!$F$5:$F$81,"Sales",'New Hires Forecast'!$H$5:$H$81,"&gt;="&amp;Sales!AC$3,'New Hires Forecast'!$G$5:$G$81,"&lt;="&amp;Sales!AC$3)/12)),IF(YEAR(AC$3)=YEAR('New Hires Forecast'!$P$3),((SUMIFS('New Hires Forecast'!$P$5:$P$81,'New Hires Forecast'!$F$5:$F$81,"Sales",'New Hires Forecast'!$H$5:$H$81,"&gt;="&amp;Sales!AC$3,'New Hires Forecast'!$G$5:$G$81,"&lt;="&amp;Sales!AC$3)/12)),IF(YEAR(AC$3)=YEAR('New Hires Forecast'!$Q$3),((SUMIFS('New Hires Forecast'!$Q$5:$Q$81,'New Hires Forecast'!$F$5:$F$81,"Sales",'New Hires Forecast'!$H$5:$H$81,"&gt;="&amp;Sales!AC$3,'New Hires Forecast'!$G$5:$G$81,"&lt;="&amp;Sales!AC$3)/12)),IF(YEAR(AC$3)=YEAR('New Hires Forecast'!$R$3),((SUMIFS('New Hires Forecast'!$R$5:$R$81,'New Hires Forecast'!$F$5:$F$81,"Sales",'New Hires Forecast'!$H$5:$H$81,"&gt;="&amp;Sales!AC$3,'New Hires Forecast'!$G$5:$G$81,"&lt;="&amp;Sales!AC$3)/12))))))),0)</f>
        <v>4166.666666666667</v>
      </c>
      <c r="AD13" s="810">
        <f>IF(AD$4="forecast",IF(YEAR(AD$3)=YEAR('New Hires Forecast'!$N$3),((SUMIFS('New Hires Forecast'!$N$5:$N$81,'New Hires Forecast'!$F$5:$F$81,"Sales",'New Hires Forecast'!$H$5:$H$81,"&gt;="&amp;Sales!AD$3,'New Hires Forecast'!$G$5:$G$81,"&lt;="&amp;Sales!AD$3)/12)),IF(YEAR(AD$3)=YEAR('New Hires Forecast'!$O$3),((SUMIFS('New Hires Forecast'!$O$5:$O$81,'New Hires Forecast'!$F$5:$F$81,"Sales",'New Hires Forecast'!$H$5:$H$81,"&gt;="&amp;Sales!AD$3,'New Hires Forecast'!$G$5:$G$81,"&lt;="&amp;Sales!AD$3)/12)),IF(YEAR(AD$3)=YEAR('New Hires Forecast'!$P$3),((SUMIFS('New Hires Forecast'!$P$5:$P$81,'New Hires Forecast'!$F$5:$F$81,"Sales",'New Hires Forecast'!$H$5:$H$81,"&gt;="&amp;Sales!AD$3,'New Hires Forecast'!$G$5:$G$81,"&lt;="&amp;Sales!AD$3)/12)),IF(YEAR(AD$3)=YEAR('New Hires Forecast'!$Q$3),((SUMIFS('New Hires Forecast'!$Q$5:$Q$81,'New Hires Forecast'!$F$5:$F$81,"Sales",'New Hires Forecast'!$H$5:$H$81,"&gt;="&amp;Sales!AD$3,'New Hires Forecast'!$G$5:$G$81,"&lt;="&amp;Sales!AD$3)/12)),IF(YEAR(AD$3)=YEAR('New Hires Forecast'!$R$3),((SUMIFS('New Hires Forecast'!$R$5:$R$81,'New Hires Forecast'!$F$5:$F$81,"Sales",'New Hires Forecast'!$H$5:$H$81,"&gt;="&amp;Sales!AD$3,'New Hires Forecast'!$G$5:$G$81,"&lt;="&amp;Sales!AD$3)/12))))))),0)</f>
        <v>12500</v>
      </c>
      <c r="AE13" s="810">
        <f>IF(AE$4="forecast",IF(YEAR(AE$3)=YEAR('New Hires Forecast'!$N$3),((SUMIFS('New Hires Forecast'!$N$5:$N$81,'New Hires Forecast'!$F$5:$F$81,"Sales",'New Hires Forecast'!$H$5:$H$81,"&gt;="&amp;Sales!AE$3,'New Hires Forecast'!$G$5:$G$81,"&lt;="&amp;Sales!AE$3)/12)),IF(YEAR(AE$3)=YEAR('New Hires Forecast'!$O$3),((SUMIFS('New Hires Forecast'!$O$5:$O$81,'New Hires Forecast'!$F$5:$F$81,"Sales",'New Hires Forecast'!$H$5:$H$81,"&gt;="&amp;Sales!AE$3,'New Hires Forecast'!$G$5:$G$81,"&lt;="&amp;Sales!AE$3)/12)),IF(YEAR(AE$3)=YEAR('New Hires Forecast'!$P$3),((SUMIFS('New Hires Forecast'!$P$5:$P$81,'New Hires Forecast'!$F$5:$F$81,"Sales",'New Hires Forecast'!$H$5:$H$81,"&gt;="&amp;Sales!AE$3,'New Hires Forecast'!$G$5:$G$81,"&lt;="&amp;Sales!AE$3)/12)),IF(YEAR(AE$3)=YEAR('New Hires Forecast'!$Q$3),((SUMIFS('New Hires Forecast'!$Q$5:$Q$81,'New Hires Forecast'!$F$5:$F$81,"Sales",'New Hires Forecast'!$H$5:$H$81,"&gt;="&amp;Sales!AE$3,'New Hires Forecast'!$G$5:$G$81,"&lt;="&amp;Sales!AE$3)/12)),IF(YEAR(AE$3)=YEAR('New Hires Forecast'!$R$3),((SUMIFS('New Hires Forecast'!$R$5:$R$81,'New Hires Forecast'!$F$5:$F$81,"Sales",'New Hires Forecast'!$H$5:$H$81,"&gt;="&amp;Sales!AE$3,'New Hires Forecast'!$G$5:$G$81,"&lt;="&amp;Sales!AE$3)/12))))))),0)</f>
        <v>12500</v>
      </c>
      <c r="AF13" s="810">
        <f>IF(AF$4="forecast",IF(YEAR(AF$3)=YEAR('New Hires Forecast'!$N$3),((SUMIFS('New Hires Forecast'!$N$5:$N$81,'New Hires Forecast'!$F$5:$F$81,"Sales",'New Hires Forecast'!$H$5:$H$81,"&gt;="&amp;Sales!AF$3,'New Hires Forecast'!$G$5:$G$81,"&lt;="&amp;Sales!AF$3)/12)),IF(YEAR(AF$3)=YEAR('New Hires Forecast'!$O$3),((SUMIFS('New Hires Forecast'!$O$5:$O$81,'New Hires Forecast'!$F$5:$F$81,"Sales",'New Hires Forecast'!$H$5:$H$81,"&gt;="&amp;Sales!AF$3,'New Hires Forecast'!$G$5:$G$81,"&lt;="&amp;Sales!AF$3)/12)),IF(YEAR(AF$3)=YEAR('New Hires Forecast'!$P$3),((SUMIFS('New Hires Forecast'!$P$5:$P$81,'New Hires Forecast'!$F$5:$F$81,"Sales",'New Hires Forecast'!$H$5:$H$81,"&gt;="&amp;Sales!AF$3,'New Hires Forecast'!$G$5:$G$81,"&lt;="&amp;Sales!AF$3)/12)),IF(YEAR(AF$3)=YEAR('New Hires Forecast'!$Q$3),((SUMIFS('New Hires Forecast'!$Q$5:$Q$81,'New Hires Forecast'!$F$5:$F$81,"Sales",'New Hires Forecast'!$H$5:$H$81,"&gt;="&amp;Sales!AF$3,'New Hires Forecast'!$G$5:$G$81,"&lt;="&amp;Sales!AF$3)/12)),IF(YEAR(AF$3)=YEAR('New Hires Forecast'!$R$3),((SUMIFS('New Hires Forecast'!$R$5:$R$81,'New Hires Forecast'!$F$5:$F$81,"Sales",'New Hires Forecast'!$H$5:$H$81,"&gt;="&amp;Sales!AF$3,'New Hires Forecast'!$G$5:$G$81,"&lt;="&amp;Sales!AF$3)/12))))))),0)</f>
        <v>12500</v>
      </c>
      <c r="AG13" s="810">
        <f>IF(AG$4="forecast",IF(YEAR(AG$3)=YEAR('New Hires Forecast'!$N$3),((SUMIFS('New Hires Forecast'!$N$5:$N$81,'New Hires Forecast'!$F$5:$F$81,"Sales",'New Hires Forecast'!$H$5:$H$81,"&gt;="&amp;Sales!AG$3,'New Hires Forecast'!$G$5:$G$81,"&lt;="&amp;Sales!AG$3)/12)),IF(YEAR(AG$3)=YEAR('New Hires Forecast'!$O$3),((SUMIFS('New Hires Forecast'!$O$5:$O$81,'New Hires Forecast'!$F$5:$F$81,"Sales",'New Hires Forecast'!$H$5:$H$81,"&gt;="&amp;Sales!AG$3,'New Hires Forecast'!$G$5:$G$81,"&lt;="&amp;Sales!AG$3)/12)),IF(YEAR(AG$3)=YEAR('New Hires Forecast'!$P$3),((SUMIFS('New Hires Forecast'!$P$5:$P$81,'New Hires Forecast'!$F$5:$F$81,"Sales",'New Hires Forecast'!$H$5:$H$81,"&gt;="&amp;Sales!AG$3,'New Hires Forecast'!$G$5:$G$81,"&lt;="&amp;Sales!AG$3)/12)),IF(YEAR(AG$3)=YEAR('New Hires Forecast'!$Q$3),((SUMIFS('New Hires Forecast'!$Q$5:$Q$81,'New Hires Forecast'!$F$5:$F$81,"Sales",'New Hires Forecast'!$H$5:$H$81,"&gt;="&amp;Sales!AG$3,'New Hires Forecast'!$G$5:$G$81,"&lt;="&amp;Sales!AG$3)/12)),IF(YEAR(AG$3)=YEAR('New Hires Forecast'!$R$3),((SUMIFS('New Hires Forecast'!$R$5:$R$81,'New Hires Forecast'!$F$5:$F$81,"Sales",'New Hires Forecast'!$H$5:$H$81,"&gt;="&amp;Sales!AG$3,'New Hires Forecast'!$G$5:$G$81,"&lt;="&amp;Sales!AG$3)/12))))))),0)</f>
        <v>20833.333333333332</v>
      </c>
      <c r="AH13" s="810">
        <f>IF(AH$4="forecast",IF(YEAR(AH$3)=YEAR('New Hires Forecast'!$N$3),((SUMIFS('New Hires Forecast'!$N$5:$N$81,'New Hires Forecast'!$F$5:$F$81,"Sales",'New Hires Forecast'!$H$5:$H$81,"&gt;="&amp;Sales!AH$3,'New Hires Forecast'!$G$5:$G$81,"&lt;="&amp;Sales!AH$3)/12)),IF(YEAR(AH$3)=YEAR('New Hires Forecast'!$O$3),((SUMIFS('New Hires Forecast'!$O$5:$O$81,'New Hires Forecast'!$F$5:$F$81,"Sales",'New Hires Forecast'!$H$5:$H$81,"&gt;="&amp;Sales!AH$3,'New Hires Forecast'!$G$5:$G$81,"&lt;="&amp;Sales!AH$3)/12)),IF(YEAR(AH$3)=YEAR('New Hires Forecast'!$P$3),((SUMIFS('New Hires Forecast'!$P$5:$P$81,'New Hires Forecast'!$F$5:$F$81,"Sales",'New Hires Forecast'!$H$5:$H$81,"&gt;="&amp;Sales!AH$3,'New Hires Forecast'!$G$5:$G$81,"&lt;="&amp;Sales!AH$3)/12)),IF(YEAR(AH$3)=YEAR('New Hires Forecast'!$Q$3),((SUMIFS('New Hires Forecast'!$Q$5:$Q$81,'New Hires Forecast'!$F$5:$F$81,"Sales",'New Hires Forecast'!$H$5:$H$81,"&gt;="&amp;Sales!AH$3,'New Hires Forecast'!$G$5:$G$81,"&lt;="&amp;Sales!AH$3)/12)),IF(YEAR(AH$3)=YEAR('New Hires Forecast'!$R$3),((SUMIFS('New Hires Forecast'!$R$5:$R$81,'New Hires Forecast'!$F$5:$F$81,"Sales",'New Hires Forecast'!$H$5:$H$81,"&gt;="&amp;Sales!AH$3,'New Hires Forecast'!$G$5:$G$81,"&lt;="&amp;Sales!AH$3)/12))))))),0)</f>
        <v>20833.333333333332</v>
      </c>
      <c r="AI13" s="810">
        <f>IF(AI$4="forecast",IF(YEAR(AI$3)=YEAR('New Hires Forecast'!$N$3),((SUMIFS('New Hires Forecast'!$N$5:$N$81,'New Hires Forecast'!$F$5:$F$81,"Sales",'New Hires Forecast'!$H$5:$H$81,"&gt;="&amp;Sales!AI$3,'New Hires Forecast'!$G$5:$G$81,"&lt;="&amp;Sales!AI$3)/12)),IF(YEAR(AI$3)=YEAR('New Hires Forecast'!$O$3),((SUMIFS('New Hires Forecast'!$O$5:$O$81,'New Hires Forecast'!$F$5:$F$81,"Sales",'New Hires Forecast'!$H$5:$H$81,"&gt;="&amp;Sales!AI$3,'New Hires Forecast'!$G$5:$G$81,"&lt;="&amp;Sales!AI$3)/12)),IF(YEAR(AI$3)=YEAR('New Hires Forecast'!$P$3),((SUMIFS('New Hires Forecast'!$P$5:$P$81,'New Hires Forecast'!$F$5:$F$81,"Sales",'New Hires Forecast'!$H$5:$H$81,"&gt;="&amp;Sales!AI$3,'New Hires Forecast'!$G$5:$G$81,"&lt;="&amp;Sales!AI$3)/12)),IF(YEAR(AI$3)=YEAR('New Hires Forecast'!$Q$3),((SUMIFS('New Hires Forecast'!$Q$5:$Q$81,'New Hires Forecast'!$F$5:$F$81,"Sales",'New Hires Forecast'!$H$5:$H$81,"&gt;="&amp;Sales!AI$3,'New Hires Forecast'!$G$5:$G$81,"&lt;="&amp;Sales!AI$3)/12)),IF(YEAR(AI$3)=YEAR('New Hires Forecast'!$R$3),((SUMIFS('New Hires Forecast'!$R$5:$R$81,'New Hires Forecast'!$F$5:$F$81,"Sales",'New Hires Forecast'!$H$5:$H$81,"&gt;="&amp;Sales!AI$3,'New Hires Forecast'!$G$5:$G$81,"&lt;="&amp;Sales!AI$3)/12))))))),0)</f>
        <v>20833.333333333332</v>
      </c>
      <c r="AJ13" s="810">
        <f>IF(AJ$4="forecast",IF(YEAR(AJ$3)=YEAR('New Hires Forecast'!$N$3),((SUMIFS('New Hires Forecast'!$N$5:$N$81,'New Hires Forecast'!$F$5:$F$81,"Sales",'New Hires Forecast'!$H$5:$H$81,"&gt;="&amp;Sales!AJ$3,'New Hires Forecast'!$G$5:$G$81,"&lt;="&amp;Sales!AJ$3)/12)),IF(YEAR(AJ$3)=YEAR('New Hires Forecast'!$O$3),((SUMIFS('New Hires Forecast'!$O$5:$O$81,'New Hires Forecast'!$F$5:$F$81,"Sales",'New Hires Forecast'!$H$5:$H$81,"&gt;="&amp;Sales!AJ$3,'New Hires Forecast'!$G$5:$G$81,"&lt;="&amp;Sales!AJ$3)/12)),IF(YEAR(AJ$3)=YEAR('New Hires Forecast'!$P$3),((SUMIFS('New Hires Forecast'!$P$5:$P$81,'New Hires Forecast'!$F$5:$F$81,"Sales",'New Hires Forecast'!$H$5:$H$81,"&gt;="&amp;Sales!AJ$3,'New Hires Forecast'!$G$5:$G$81,"&lt;="&amp;Sales!AJ$3)/12)),IF(YEAR(AJ$3)=YEAR('New Hires Forecast'!$Q$3),((SUMIFS('New Hires Forecast'!$Q$5:$Q$81,'New Hires Forecast'!$F$5:$F$81,"Sales",'New Hires Forecast'!$H$5:$H$81,"&gt;="&amp;Sales!AJ$3,'New Hires Forecast'!$G$5:$G$81,"&lt;="&amp;Sales!AJ$3)/12)),IF(YEAR(AJ$3)=YEAR('New Hires Forecast'!$R$3),((SUMIFS('New Hires Forecast'!$R$5:$R$81,'New Hires Forecast'!$F$5:$F$81,"Sales",'New Hires Forecast'!$H$5:$H$81,"&gt;="&amp;Sales!AJ$3,'New Hires Forecast'!$G$5:$G$81,"&lt;="&amp;Sales!AJ$3)/12))))))),0)</f>
        <v>20833.333333333332</v>
      </c>
      <c r="AK13" s="810">
        <f>IF(AK$4="forecast",IF(YEAR(AK$3)=YEAR('New Hires Forecast'!$N$3),((SUMIFS('New Hires Forecast'!$N$5:$N$81,'New Hires Forecast'!$F$5:$F$81,"Sales",'New Hires Forecast'!$H$5:$H$81,"&gt;="&amp;Sales!AK$3,'New Hires Forecast'!$G$5:$G$81,"&lt;="&amp;Sales!AK$3)/12)),IF(YEAR(AK$3)=YEAR('New Hires Forecast'!$O$3),((SUMIFS('New Hires Forecast'!$O$5:$O$81,'New Hires Forecast'!$F$5:$F$81,"Sales",'New Hires Forecast'!$H$5:$H$81,"&gt;="&amp;Sales!AK$3,'New Hires Forecast'!$G$5:$G$81,"&lt;="&amp;Sales!AK$3)/12)),IF(YEAR(AK$3)=YEAR('New Hires Forecast'!$P$3),((SUMIFS('New Hires Forecast'!$P$5:$P$81,'New Hires Forecast'!$F$5:$F$81,"Sales",'New Hires Forecast'!$H$5:$H$81,"&gt;="&amp;Sales!AK$3,'New Hires Forecast'!$G$5:$G$81,"&lt;="&amp;Sales!AK$3)/12)),IF(YEAR(AK$3)=YEAR('New Hires Forecast'!$Q$3),((SUMIFS('New Hires Forecast'!$Q$5:$Q$81,'New Hires Forecast'!$F$5:$F$81,"Sales",'New Hires Forecast'!$H$5:$H$81,"&gt;="&amp;Sales!AK$3,'New Hires Forecast'!$G$5:$G$81,"&lt;="&amp;Sales!AK$3)/12)),IF(YEAR(AK$3)=YEAR('New Hires Forecast'!$R$3),((SUMIFS('New Hires Forecast'!$R$5:$R$81,'New Hires Forecast'!$F$5:$F$81,"Sales",'New Hires Forecast'!$H$5:$H$81,"&gt;="&amp;Sales!AK$3,'New Hires Forecast'!$G$5:$G$81,"&lt;="&amp;Sales!AK$3)/12))))))),0)</f>
        <v>20833.333333333332</v>
      </c>
      <c r="AL13" s="810">
        <f>IF(AL$4="forecast",IF(YEAR(AL$3)=YEAR('New Hires Forecast'!$N$3),((SUMIFS('New Hires Forecast'!$N$5:$N$81,'New Hires Forecast'!$F$5:$F$81,"Sales",'New Hires Forecast'!$H$5:$H$81,"&gt;="&amp;Sales!AL$3,'New Hires Forecast'!$G$5:$G$81,"&lt;="&amp;Sales!AL$3)/12)),IF(YEAR(AL$3)=YEAR('New Hires Forecast'!$O$3),((SUMIFS('New Hires Forecast'!$O$5:$O$81,'New Hires Forecast'!$F$5:$F$81,"Sales",'New Hires Forecast'!$H$5:$H$81,"&gt;="&amp;Sales!AL$3,'New Hires Forecast'!$G$5:$G$81,"&lt;="&amp;Sales!AL$3)/12)),IF(YEAR(AL$3)=YEAR('New Hires Forecast'!$P$3),((SUMIFS('New Hires Forecast'!$P$5:$P$81,'New Hires Forecast'!$F$5:$F$81,"Sales",'New Hires Forecast'!$H$5:$H$81,"&gt;="&amp;Sales!AL$3,'New Hires Forecast'!$G$5:$G$81,"&lt;="&amp;Sales!AL$3)/12)),IF(YEAR(AL$3)=YEAR('New Hires Forecast'!$Q$3),((SUMIFS('New Hires Forecast'!$Q$5:$Q$81,'New Hires Forecast'!$F$5:$F$81,"Sales",'New Hires Forecast'!$H$5:$H$81,"&gt;="&amp;Sales!AL$3,'New Hires Forecast'!$G$5:$G$81,"&lt;="&amp;Sales!AL$3)/12)),IF(YEAR(AL$3)=YEAR('New Hires Forecast'!$R$3),((SUMIFS('New Hires Forecast'!$R$5:$R$81,'New Hires Forecast'!$F$5:$F$81,"Sales",'New Hires Forecast'!$H$5:$H$81,"&gt;="&amp;Sales!AL$3,'New Hires Forecast'!$G$5:$G$81,"&lt;="&amp;Sales!AL$3)/12))))))),0)</f>
        <v>20833.333333333332</v>
      </c>
      <c r="AM13" s="810">
        <f>IF(AM$4="forecast",IF(YEAR(AM$3)=YEAR('New Hires Forecast'!$N$3),((SUMIFS('New Hires Forecast'!$N$5:$N$81,'New Hires Forecast'!$F$5:$F$81,"Sales",'New Hires Forecast'!$H$5:$H$81,"&gt;="&amp;Sales!AM$3,'New Hires Forecast'!$G$5:$G$81,"&lt;="&amp;Sales!AM$3)/12)),IF(YEAR(AM$3)=YEAR('New Hires Forecast'!$O$3),((SUMIFS('New Hires Forecast'!$O$5:$O$81,'New Hires Forecast'!$F$5:$F$81,"Sales",'New Hires Forecast'!$H$5:$H$81,"&gt;="&amp;Sales!AM$3,'New Hires Forecast'!$G$5:$G$81,"&lt;="&amp;Sales!AM$3)/12)),IF(YEAR(AM$3)=YEAR('New Hires Forecast'!$P$3),((SUMIFS('New Hires Forecast'!$P$5:$P$81,'New Hires Forecast'!$F$5:$F$81,"Sales",'New Hires Forecast'!$H$5:$H$81,"&gt;="&amp;Sales!AM$3,'New Hires Forecast'!$G$5:$G$81,"&lt;="&amp;Sales!AM$3)/12)),IF(YEAR(AM$3)=YEAR('New Hires Forecast'!$Q$3),((SUMIFS('New Hires Forecast'!$Q$5:$Q$81,'New Hires Forecast'!$F$5:$F$81,"Sales",'New Hires Forecast'!$H$5:$H$81,"&gt;="&amp;Sales!AM$3,'New Hires Forecast'!$G$5:$G$81,"&lt;="&amp;Sales!AM$3)/12)),IF(YEAR(AM$3)=YEAR('New Hires Forecast'!$R$3),((SUMIFS('New Hires Forecast'!$R$5:$R$81,'New Hires Forecast'!$F$5:$F$81,"Sales",'New Hires Forecast'!$H$5:$H$81,"&gt;="&amp;Sales!AM$3,'New Hires Forecast'!$G$5:$G$81,"&lt;="&amp;Sales!AM$3)/12))))))),0)</f>
        <v>21458.333333333332</v>
      </c>
      <c r="AN13" s="810">
        <f>IF(AN$4="forecast",IF(YEAR(AN$3)=YEAR('New Hires Forecast'!$N$3),((SUMIFS('New Hires Forecast'!$N$5:$N$81,'New Hires Forecast'!$F$5:$F$81,"Sales",'New Hires Forecast'!$H$5:$H$81,"&gt;="&amp;Sales!AN$3,'New Hires Forecast'!$G$5:$G$81,"&lt;="&amp;Sales!AN$3)/12)),IF(YEAR(AN$3)=YEAR('New Hires Forecast'!$O$3),((SUMIFS('New Hires Forecast'!$O$5:$O$81,'New Hires Forecast'!$F$5:$F$81,"Sales",'New Hires Forecast'!$H$5:$H$81,"&gt;="&amp;Sales!AN$3,'New Hires Forecast'!$G$5:$G$81,"&lt;="&amp;Sales!AN$3)/12)),IF(YEAR(AN$3)=YEAR('New Hires Forecast'!$P$3),((SUMIFS('New Hires Forecast'!$P$5:$P$81,'New Hires Forecast'!$F$5:$F$81,"Sales",'New Hires Forecast'!$H$5:$H$81,"&gt;="&amp;Sales!AN$3,'New Hires Forecast'!$G$5:$G$81,"&lt;="&amp;Sales!AN$3)/12)),IF(YEAR(AN$3)=YEAR('New Hires Forecast'!$Q$3),((SUMIFS('New Hires Forecast'!$Q$5:$Q$81,'New Hires Forecast'!$F$5:$F$81,"Sales",'New Hires Forecast'!$H$5:$H$81,"&gt;="&amp;Sales!AN$3,'New Hires Forecast'!$G$5:$G$81,"&lt;="&amp;Sales!AN$3)/12)),IF(YEAR(AN$3)=YEAR('New Hires Forecast'!$R$3),((SUMIFS('New Hires Forecast'!$R$5:$R$81,'New Hires Forecast'!$F$5:$F$81,"Sales",'New Hires Forecast'!$H$5:$H$81,"&gt;="&amp;Sales!AN$3,'New Hires Forecast'!$G$5:$G$81,"&lt;="&amp;Sales!AN$3)/12))))))),0)</f>
        <v>21458.333333333332</v>
      </c>
      <c r="AO13" s="810">
        <f>IF(AO$4="forecast",IF(YEAR(AO$3)=YEAR('New Hires Forecast'!$N$3),((SUMIFS('New Hires Forecast'!$N$5:$N$81,'New Hires Forecast'!$F$5:$F$81,"Sales",'New Hires Forecast'!$H$5:$H$81,"&gt;="&amp;Sales!AO$3,'New Hires Forecast'!$G$5:$G$81,"&lt;="&amp;Sales!AO$3)/12)),IF(YEAR(AO$3)=YEAR('New Hires Forecast'!$O$3),((SUMIFS('New Hires Forecast'!$O$5:$O$81,'New Hires Forecast'!$F$5:$F$81,"Sales",'New Hires Forecast'!$H$5:$H$81,"&gt;="&amp;Sales!AO$3,'New Hires Forecast'!$G$5:$G$81,"&lt;="&amp;Sales!AO$3)/12)),IF(YEAR(AO$3)=YEAR('New Hires Forecast'!$P$3),((SUMIFS('New Hires Forecast'!$P$5:$P$81,'New Hires Forecast'!$F$5:$F$81,"Sales",'New Hires Forecast'!$H$5:$H$81,"&gt;="&amp;Sales!AO$3,'New Hires Forecast'!$G$5:$G$81,"&lt;="&amp;Sales!AO$3)/12)),IF(YEAR(AO$3)=YEAR('New Hires Forecast'!$Q$3),((SUMIFS('New Hires Forecast'!$Q$5:$Q$81,'New Hires Forecast'!$F$5:$F$81,"Sales",'New Hires Forecast'!$H$5:$H$81,"&gt;="&amp;Sales!AO$3,'New Hires Forecast'!$G$5:$G$81,"&lt;="&amp;Sales!AO$3)/12)),IF(YEAR(AO$3)=YEAR('New Hires Forecast'!$R$3),((SUMIFS('New Hires Forecast'!$R$5:$R$81,'New Hires Forecast'!$F$5:$F$81,"Sales",'New Hires Forecast'!$H$5:$H$81,"&gt;="&amp;Sales!AO$3,'New Hires Forecast'!$G$5:$G$81,"&lt;="&amp;Sales!AO$3)/12))))))),0)</f>
        <v>21458.333333333332</v>
      </c>
      <c r="AP13" s="810">
        <f>IF(AP$4="forecast",IF(YEAR(AP$3)=YEAR('New Hires Forecast'!$N$3),((SUMIFS('New Hires Forecast'!$N$5:$N$81,'New Hires Forecast'!$F$5:$F$81,"Sales",'New Hires Forecast'!$H$5:$H$81,"&gt;="&amp;Sales!AP$3,'New Hires Forecast'!$G$5:$G$81,"&lt;="&amp;Sales!AP$3)/12)),IF(YEAR(AP$3)=YEAR('New Hires Forecast'!$O$3),((SUMIFS('New Hires Forecast'!$O$5:$O$81,'New Hires Forecast'!$F$5:$F$81,"Sales",'New Hires Forecast'!$H$5:$H$81,"&gt;="&amp;Sales!AP$3,'New Hires Forecast'!$G$5:$G$81,"&lt;="&amp;Sales!AP$3)/12)),IF(YEAR(AP$3)=YEAR('New Hires Forecast'!$P$3),((SUMIFS('New Hires Forecast'!$P$5:$P$81,'New Hires Forecast'!$F$5:$F$81,"Sales",'New Hires Forecast'!$H$5:$H$81,"&gt;="&amp;Sales!AP$3,'New Hires Forecast'!$G$5:$G$81,"&lt;="&amp;Sales!AP$3)/12)),IF(YEAR(AP$3)=YEAR('New Hires Forecast'!$Q$3),((SUMIFS('New Hires Forecast'!$Q$5:$Q$81,'New Hires Forecast'!$F$5:$F$81,"Sales",'New Hires Forecast'!$H$5:$H$81,"&gt;="&amp;Sales!AP$3,'New Hires Forecast'!$G$5:$G$81,"&lt;="&amp;Sales!AP$3)/12)),IF(YEAR(AP$3)=YEAR('New Hires Forecast'!$R$3),((SUMIFS('New Hires Forecast'!$R$5:$R$81,'New Hires Forecast'!$F$5:$F$81,"Sales",'New Hires Forecast'!$H$5:$H$81,"&gt;="&amp;Sales!AP$3,'New Hires Forecast'!$G$5:$G$81,"&lt;="&amp;Sales!AP$3)/12))))))),0)</f>
        <v>21458.333333333332</v>
      </c>
      <c r="AQ13" s="810">
        <f>IF(AQ$4="forecast",IF(YEAR(AQ$3)=YEAR('New Hires Forecast'!$N$3),((SUMIFS('New Hires Forecast'!$N$5:$N$81,'New Hires Forecast'!$F$5:$F$81,"Sales",'New Hires Forecast'!$H$5:$H$81,"&gt;="&amp;Sales!AQ$3,'New Hires Forecast'!$G$5:$G$81,"&lt;="&amp;Sales!AQ$3)/12)),IF(YEAR(AQ$3)=YEAR('New Hires Forecast'!$O$3),((SUMIFS('New Hires Forecast'!$O$5:$O$81,'New Hires Forecast'!$F$5:$F$81,"Sales",'New Hires Forecast'!$H$5:$H$81,"&gt;="&amp;Sales!AQ$3,'New Hires Forecast'!$G$5:$G$81,"&lt;="&amp;Sales!AQ$3)/12)),IF(YEAR(AQ$3)=YEAR('New Hires Forecast'!$P$3),((SUMIFS('New Hires Forecast'!$P$5:$P$81,'New Hires Forecast'!$F$5:$F$81,"Sales",'New Hires Forecast'!$H$5:$H$81,"&gt;="&amp;Sales!AQ$3,'New Hires Forecast'!$G$5:$G$81,"&lt;="&amp;Sales!AQ$3)/12)),IF(YEAR(AQ$3)=YEAR('New Hires Forecast'!$Q$3),((SUMIFS('New Hires Forecast'!$Q$5:$Q$81,'New Hires Forecast'!$F$5:$F$81,"Sales",'New Hires Forecast'!$H$5:$H$81,"&gt;="&amp;Sales!AQ$3,'New Hires Forecast'!$G$5:$G$81,"&lt;="&amp;Sales!AQ$3)/12)),IF(YEAR(AQ$3)=YEAR('New Hires Forecast'!$R$3),((SUMIFS('New Hires Forecast'!$R$5:$R$81,'New Hires Forecast'!$F$5:$F$81,"Sales",'New Hires Forecast'!$H$5:$H$81,"&gt;="&amp;Sales!AQ$3,'New Hires Forecast'!$G$5:$G$81,"&lt;="&amp;Sales!AQ$3)/12))))))),0)</f>
        <v>21458.333333333332</v>
      </c>
      <c r="AR13" s="810">
        <f>IF(AR$4="forecast",IF(YEAR(AR$3)=YEAR('New Hires Forecast'!$N$3),((SUMIFS('New Hires Forecast'!$N$5:$N$81,'New Hires Forecast'!$F$5:$F$81,"Sales",'New Hires Forecast'!$H$5:$H$81,"&gt;="&amp;Sales!AR$3,'New Hires Forecast'!$G$5:$G$81,"&lt;="&amp;Sales!AR$3)/12)),IF(YEAR(AR$3)=YEAR('New Hires Forecast'!$O$3),((SUMIFS('New Hires Forecast'!$O$5:$O$81,'New Hires Forecast'!$F$5:$F$81,"Sales",'New Hires Forecast'!$H$5:$H$81,"&gt;="&amp;Sales!AR$3,'New Hires Forecast'!$G$5:$G$81,"&lt;="&amp;Sales!AR$3)/12)),IF(YEAR(AR$3)=YEAR('New Hires Forecast'!$P$3),((SUMIFS('New Hires Forecast'!$P$5:$P$81,'New Hires Forecast'!$F$5:$F$81,"Sales",'New Hires Forecast'!$H$5:$H$81,"&gt;="&amp;Sales!AR$3,'New Hires Forecast'!$G$5:$G$81,"&lt;="&amp;Sales!AR$3)/12)),IF(YEAR(AR$3)=YEAR('New Hires Forecast'!$Q$3),((SUMIFS('New Hires Forecast'!$Q$5:$Q$81,'New Hires Forecast'!$F$5:$F$81,"Sales",'New Hires Forecast'!$H$5:$H$81,"&gt;="&amp;Sales!AR$3,'New Hires Forecast'!$G$5:$G$81,"&lt;="&amp;Sales!AR$3)/12)),IF(YEAR(AR$3)=YEAR('New Hires Forecast'!$R$3),((SUMIFS('New Hires Forecast'!$R$5:$R$81,'New Hires Forecast'!$F$5:$F$81,"Sales",'New Hires Forecast'!$H$5:$H$81,"&gt;="&amp;Sales!AR$3,'New Hires Forecast'!$G$5:$G$81,"&lt;="&amp;Sales!AR$3)/12))))))),0)</f>
        <v>21458.333333333332</v>
      </c>
      <c r="AS13" s="810">
        <f>IF(AS$4="forecast",IF(YEAR(AS$3)=YEAR('New Hires Forecast'!$N$3),((SUMIFS('New Hires Forecast'!$N$5:$N$81,'New Hires Forecast'!$F$5:$F$81,"Sales",'New Hires Forecast'!$H$5:$H$81,"&gt;="&amp;Sales!AS$3,'New Hires Forecast'!$G$5:$G$81,"&lt;="&amp;Sales!AS$3)/12)),IF(YEAR(AS$3)=YEAR('New Hires Forecast'!$O$3),((SUMIFS('New Hires Forecast'!$O$5:$O$81,'New Hires Forecast'!$F$5:$F$81,"Sales",'New Hires Forecast'!$H$5:$H$81,"&gt;="&amp;Sales!AS$3,'New Hires Forecast'!$G$5:$G$81,"&lt;="&amp;Sales!AS$3)/12)),IF(YEAR(AS$3)=YEAR('New Hires Forecast'!$P$3),((SUMIFS('New Hires Forecast'!$P$5:$P$81,'New Hires Forecast'!$F$5:$F$81,"Sales",'New Hires Forecast'!$H$5:$H$81,"&gt;="&amp;Sales!AS$3,'New Hires Forecast'!$G$5:$G$81,"&lt;="&amp;Sales!AS$3)/12)),IF(YEAR(AS$3)=YEAR('New Hires Forecast'!$Q$3),((SUMIFS('New Hires Forecast'!$Q$5:$Q$81,'New Hires Forecast'!$F$5:$F$81,"Sales",'New Hires Forecast'!$H$5:$H$81,"&gt;="&amp;Sales!AS$3,'New Hires Forecast'!$G$5:$G$81,"&lt;="&amp;Sales!AS$3)/12)),IF(YEAR(AS$3)=YEAR('New Hires Forecast'!$R$3),((SUMIFS('New Hires Forecast'!$R$5:$R$81,'New Hires Forecast'!$F$5:$F$81,"Sales",'New Hires Forecast'!$H$5:$H$81,"&gt;="&amp;Sales!AS$3,'New Hires Forecast'!$G$5:$G$81,"&lt;="&amp;Sales!AS$3)/12))))))),0)</f>
        <v>21458.333333333332</v>
      </c>
      <c r="AT13" s="810">
        <f>IF(AT$4="forecast",IF(YEAR(AT$3)=YEAR('New Hires Forecast'!$N$3),((SUMIFS('New Hires Forecast'!$N$5:$N$81,'New Hires Forecast'!$F$5:$F$81,"Sales",'New Hires Forecast'!$H$5:$H$81,"&gt;="&amp;Sales!AT$3,'New Hires Forecast'!$G$5:$G$81,"&lt;="&amp;Sales!AT$3)/12)),IF(YEAR(AT$3)=YEAR('New Hires Forecast'!$O$3),((SUMIFS('New Hires Forecast'!$O$5:$O$81,'New Hires Forecast'!$F$5:$F$81,"Sales",'New Hires Forecast'!$H$5:$H$81,"&gt;="&amp;Sales!AT$3,'New Hires Forecast'!$G$5:$G$81,"&lt;="&amp;Sales!AT$3)/12)),IF(YEAR(AT$3)=YEAR('New Hires Forecast'!$P$3),((SUMIFS('New Hires Forecast'!$P$5:$P$81,'New Hires Forecast'!$F$5:$F$81,"Sales",'New Hires Forecast'!$H$5:$H$81,"&gt;="&amp;Sales!AT$3,'New Hires Forecast'!$G$5:$G$81,"&lt;="&amp;Sales!AT$3)/12)),IF(YEAR(AT$3)=YEAR('New Hires Forecast'!$Q$3),((SUMIFS('New Hires Forecast'!$Q$5:$Q$81,'New Hires Forecast'!$F$5:$F$81,"Sales",'New Hires Forecast'!$H$5:$H$81,"&gt;="&amp;Sales!AT$3,'New Hires Forecast'!$G$5:$G$81,"&lt;="&amp;Sales!AT$3)/12)),IF(YEAR(AT$3)=YEAR('New Hires Forecast'!$R$3),((SUMIFS('New Hires Forecast'!$R$5:$R$81,'New Hires Forecast'!$F$5:$F$81,"Sales",'New Hires Forecast'!$H$5:$H$81,"&gt;="&amp;Sales!AT$3,'New Hires Forecast'!$G$5:$G$81,"&lt;="&amp;Sales!AT$3)/12))))))),0)</f>
        <v>21458.333333333332</v>
      </c>
      <c r="AU13" s="810">
        <f>IF(AU$4="forecast",IF(YEAR(AU$3)=YEAR('New Hires Forecast'!$N$3),((SUMIFS('New Hires Forecast'!$N$5:$N$81,'New Hires Forecast'!$F$5:$F$81,"Sales",'New Hires Forecast'!$H$5:$H$81,"&gt;="&amp;Sales!AU$3,'New Hires Forecast'!$G$5:$G$81,"&lt;="&amp;Sales!AU$3)/12)),IF(YEAR(AU$3)=YEAR('New Hires Forecast'!$O$3),((SUMIFS('New Hires Forecast'!$O$5:$O$81,'New Hires Forecast'!$F$5:$F$81,"Sales",'New Hires Forecast'!$H$5:$H$81,"&gt;="&amp;Sales!AU$3,'New Hires Forecast'!$G$5:$G$81,"&lt;="&amp;Sales!AU$3)/12)),IF(YEAR(AU$3)=YEAR('New Hires Forecast'!$P$3),((SUMIFS('New Hires Forecast'!$P$5:$P$81,'New Hires Forecast'!$F$5:$F$81,"Sales",'New Hires Forecast'!$H$5:$H$81,"&gt;="&amp;Sales!AU$3,'New Hires Forecast'!$G$5:$G$81,"&lt;="&amp;Sales!AU$3)/12)),IF(YEAR(AU$3)=YEAR('New Hires Forecast'!$Q$3),((SUMIFS('New Hires Forecast'!$Q$5:$Q$81,'New Hires Forecast'!$F$5:$F$81,"Sales",'New Hires Forecast'!$H$5:$H$81,"&gt;="&amp;Sales!AU$3,'New Hires Forecast'!$G$5:$G$81,"&lt;="&amp;Sales!AU$3)/12)),IF(YEAR(AU$3)=YEAR('New Hires Forecast'!$R$3),((SUMIFS('New Hires Forecast'!$R$5:$R$81,'New Hires Forecast'!$F$5:$F$81,"Sales",'New Hires Forecast'!$H$5:$H$81,"&gt;="&amp;Sales!AU$3,'New Hires Forecast'!$G$5:$G$81,"&lt;="&amp;Sales!AU$3)/12))))))),0)</f>
        <v>21458.333333333332</v>
      </c>
      <c r="AV13" s="810">
        <f>IF(AV$4="forecast",IF(YEAR(AV$3)=YEAR('New Hires Forecast'!$N$3),((SUMIFS('New Hires Forecast'!$N$5:$N$81,'New Hires Forecast'!$F$5:$F$81,"Sales",'New Hires Forecast'!$H$5:$H$81,"&gt;="&amp;Sales!AV$3,'New Hires Forecast'!$G$5:$G$81,"&lt;="&amp;Sales!AV$3)/12)),IF(YEAR(AV$3)=YEAR('New Hires Forecast'!$O$3),((SUMIFS('New Hires Forecast'!$O$5:$O$81,'New Hires Forecast'!$F$5:$F$81,"Sales",'New Hires Forecast'!$H$5:$H$81,"&gt;="&amp;Sales!AV$3,'New Hires Forecast'!$G$5:$G$81,"&lt;="&amp;Sales!AV$3)/12)),IF(YEAR(AV$3)=YEAR('New Hires Forecast'!$P$3),((SUMIFS('New Hires Forecast'!$P$5:$P$81,'New Hires Forecast'!$F$5:$F$81,"Sales",'New Hires Forecast'!$H$5:$H$81,"&gt;="&amp;Sales!AV$3,'New Hires Forecast'!$G$5:$G$81,"&lt;="&amp;Sales!AV$3)/12)),IF(YEAR(AV$3)=YEAR('New Hires Forecast'!$Q$3),((SUMIFS('New Hires Forecast'!$Q$5:$Q$81,'New Hires Forecast'!$F$5:$F$81,"Sales",'New Hires Forecast'!$H$5:$H$81,"&gt;="&amp;Sales!AV$3,'New Hires Forecast'!$G$5:$G$81,"&lt;="&amp;Sales!AV$3)/12)),IF(YEAR(AV$3)=YEAR('New Hires Forecast'!$R$3),((SUMIFS('New Hires Forecast'!$R$5:$R$81,'New Hires Forecast'!$F$5:$F$81,"Sales",'New Hires Forecast'!$H$5:$H$81,"&gt;="&amp;Sales!AV$3,'New Hires Forecast'!$G$5:$G$81,"&lt;="&amp;Sales!AV$3)/12))))))),0)</f>
        <v>21458.333333333332</v>
      </c>
      <c r="AW13" s="810">
        <f>IF(AW$4="forecast",IF(YEAR(AW$3)=YEAR('New Hires Forecast'!$N$3),((SUMIFS('New Hires Forecast'!$N$5:$N$81,'New Hires Forecast'!$F$5:$F$81,"Sales",'New Hires Forecast'!$H$5:$H$81,"&gt;="&amp;Sales!AW$3,'New Hires Forecast'!$G$5:$G$81,"&lt;="&amp;Sales!AW$3)/12)),IF(YEAR(AW$3)=YEAR('New Hires Forecast'!$O$3),((SUMIFS('New Hires Forecast'!$O$5:$O$81,'New Hires Forecast'!$F$5:$F$81,"Sales",'New Hires Forecast'!$H$5:$H$81,"&gt;="&amp;Sales!AW$3,'New Hires Forecast'!$G$5:$G$81,"&lt;="&amp;Sales!AW$3)/12)),IF(YEAR(AW$3)=YEAR('New Hires Forecast'!$P$3),((SUMIFS('New Hires Forecast'!$P$5:$P$81,'New Hires Forecast'!$F$5:$F$81,"Sales",'New Hires Forecast'!$H$5:$H$81,"&gt;="&amp;Sales!AW$3,'New Hires Forecast'!$G$5:$G$81,"&lt;="&amp;Sales!AW$3)/12)),IF(YEAR(AW$3)=YEAR('New Hires Forecast'!$Q$3),((SUMIFS('New Hires Forecast'!$Q$5:$Q$81,'New Hires Forecast'!$F$5:$F$81,"Sales",'New Hires Forecast'!$H$5:$H$81,"&gt;="&amp;Sales!AW$3,'New Hires Forecast'!$G$5:$G$81,"&lt;="&amp;Sales!AW$3)/12)),IF(YEAR(AW$3)=YEAR('New Hires Forecast'!$R$3),((SUMIFS('New Hires Forecast'!$R$5:$R$81,'New Hires Forecast'!$F$5:$F$81,"Sales",'New Hires Forecast'!$H$5:$H$81,"&gt;="&amp;Sales!AW$3,'New Hires Forecast'!$G$5:$G$81,"&lt;="&amp;Sales!AW$3)/12))))))),0)</f>
        <v>21458.333333333332</v>
      </c>
      <c r="AX13" s="810">
        <f>IF(AX$4="forecast",IF(YEAR(AX$3)=YEAR('New Hires Forecast'!$N$3),((SUMIFS('New Hires Forecast'!$N$5:$N$81,'New Hires Forecast'!$F$5:$F$81,"Sales",'New Hires Forecast'!$H$5:$H$81,"&gt;="&amp;Sales!AX$3,'New Hires Forecast'!$G$5:$G$81,"&lt;="&amp;Sales!AX$3)/12)),IF(YEAR(AX$3)=YEAR('New Hires Forecast'!$O$3),((SUMIFS('New Hires Forecast'!$O$5:$O$81,'New Hires Forecast'!$F$5:$F$81,"Sales",'New Hires Forecast'!$H$5:$H$81,"&gt;="&amp;Sales!AX$3,'New Hires Forecast'!$G$5:$G$81,"&lt;="&amp;Sales!AX$3)/12)),IF(YEAR(AX$3)=YEAR('New Hires Forecast'!$P$3),((SUMIFS('New Hires Forecast'!$P$5:$P$81,'New Hires Forecast'!$F$5:$F$81,"Sales",'New Hires Forecast'!$H$5:$H$81,"&gt;="&amp;Sales!AX$3,'New Hires Forecast'!$G$5:$G$81,"&lt;="&amp;Sales!AX$3)/12)),IF(YEAR(AX$3)=YEAR('New Hires Forecast'!$Q$3),((SUMIFS('New Hires Forecast'!$Q$5:$Q$81,'New Hires Forecast'!$F$5:$F$81,"Sales",'New Hires Forecast'!$H$5:$H$81,"&gt;="&amp;Sales!AX$3,'New Hires Forecast'!$G$5:$G$81,"&lt;="&amp;Sales!AX$3)/12)),IF(YEAR(AX$3)=YEAR('New Hires Forecast'!$R$3),((SUMIFS('New Hires Forecast'!$R$5:$R$81,'New Hires Forecast'!$F$5:$F$81,"Sales",'New Hires Forecast'!$H$5:$H$81,"&gt;="&amp;Sales!AX$3,'New Hires Forecast'!$G$5:$G$81,"&lt;="&amp;Sales!AX$3)/12))))))),0)</f>
        <v>21458.333333333332</v>
      </c>
      <c r="AY13" s="810">
        <f>IF(AY$4="forecast",IF(YEAR(AY$3)=YEAR('New Hires Forecast'!$N$3),((SUMIFS('New Hires Forecast'!$N$5:$N$81,'New Hires Forecast'!$F$5:$F$81,"Sales",'New Hires Forecast'!$H$5:$H$81,"&gt;="&amp;Sales!AY$3,'New Hires Forecast'!$G$5:$G$81,"&lt;="&amp;Sales!AY$3)/12)),IF(YEAR(AY$3)=YEAR('New Hires Forecast'!$O$3),((SUMIFS('New Hires Forecast'!$O$5:$O$81,'New Hires Forecast'!$F$5:$F$81,"Sales",'New Hires Forecast'!$H$5:$H$81,"&gt;="&amp;Sales!AY$3,'New Hires Forecast'!$G$5:$G$81,"&lt;="&amp;Sales!AY$3)/12)),IF(YEAR(AY$3)=YEAR('New Hires Forecast'!$P$3),((SUMIFS('New Hires Forecast'!$P$5:$P$81,'New Hires Forecast'!$F$5:$F$81,"Sales",'New Hires Forecast'!$H$5:$H$81,"&gt;="&amp;Sales!AY$3,'New Hires Forecast'!$G$5:$G$81,"&lt;="&amp;Sales!AY$3)/12)),IF(YEAR(AY$3)=YEAR('New Hires Forecast'!$Q$3),((SUMIFS('New Hires Forecast'!$Q$5:$Q$81,'New Hires Forecast'!$F$5:$F$81,"Sales",'New Hires Forecast'!$H$5:$H$81,"&gt;="&amp;Sales!AY$3,'New Hires Forecast'!$G$5:$G$81,"&lt;="&amp;Sales!AY$3)/12)),IF(YEAR(AY$3)=YEAR('New Hires Forecast'!$R$3),((SUMIFS('New Hires Forecast'!$R$5:$R$81,'New Hires Forecast'!$F$5:$F$81,"Sales",'New Hires Forecast'!$H$5:$H$81,"&gt;="&amp;Sales!AY$3,'New Hires Forecast'!$G$5:$G$81,"&lt;="&amp;Sales!AY$3)/12))))))),0)</f>
        <v>22102.083333333332</v>
      </c>
      <c r="AZ13" s="810">
        <f>IF(AZ$4="forecast",IF(YEAR(AZ$3)=YEAR('New Hires Forecast'!$N$3),((SUMIFS('New Hires Forecast'!$N$5:$N$81,'New Hires Forecast'!$F$5:$F$81,"Sales",'New Hires Forecast'!$H$5:$H$81,"&gt;="&amp;Sales!AZ$3,'New Hires Forecast'!$G$5:$G$81,"&lt;="&amp;Sales!AZ$3)/12)),IF(YEAR(AZ$3)=YEAR('New Hires Forecast'!$O$3),((SUMIFS('New Hires Forecast'!$O$5:$O$81,'New Hires Forecast'!$F$5:$F$81,"Sales",'New Hires Forecast'!$H$5:$H$81,"&gt;="&amp;Sales!AZ$3,'New Hires Forecast'!$G$5:$G$81,"&lt;="&amp;Sales!AZ$3)/12)),IF(YEAR(AZ$3)=YEAR('New Hires Forecast'!$P$3),((SUMIFS('New Hires Forecast'!$P$5:$P$81,'New Hires Forecast'!$F$5:$F$81,"Sales",'New Hires Forecast'!$H$5:$H$81,"&gt;="&amp;Sales!AZ$3,'New Hires Forecast'!$G$5:$G$81,"&lt;="&amp;Sales!AZ$3)/12)),IF(YEAR(AZ$3)=YEAR('New Hires Forecast'!$Q$3),((SUMIFS('New Hires Forecast'!$Q$5:$Q$81,'New Hires Forecast'!$F$5:$F$81,"Sales",'New Hires Forecast'!$H$5:$H$81,"&gt;="&amp;Sales!AZ$3,'New Hires Forecast'!$G$5:$G$81,"&lt;="&amp;Sales!AZ$3)/12)),IF(YEAR(AZ$3)=YEAR('New Hires Forecast'!$R$3),((SUMIFS('New Hires Forecast'!$R$5:$R$81,'New Hires Forecast'!$F$5:$F$81,"Sales",'New Hires Forecast'!$H$5:$H$81,"&gt;="&amp;Sales!AZ$3,'New Hires Forecast'!$G$5:$G$81,"&lt;="&amp;Sales!AZ$3)/12))))))),0)</f>
        <v>22102.083333333332</v>
      </c>
      <c r="BA13" s="810">
        <f>IF(BA$4="forecast",IF(YEAR(BA$3)=YEAR('New Hires Forecast'!$N$3),((SUMIFS('New Hires Forecast'!$N$5:$N$81,'New Hires Forecast'!$F$5:$F$81,"Sales",'New Hires Forecast'!$H$5:$H$81,"&gt;="&amp;Sales!BA$3,'New Hires Forecast'!$G$5:$G$81,"&lt;="&amp;Sales!BA$3)/12)),IF(YEAR(BA$3)=YEAR('New Hires Forecast'!$O$3),((SUMIFS('New Hires Forecast'!$O$5:$O$81,'New Hires Forecast'!$F$5:$F$81,"Sales",'New Hires Forecast'!$H$5:$H$81,"&gt;="&amp;Sales!BA$3,'New Hires Forecast'!$G$5:$G$81,"&lt;="&amp;Sales!BA$3)/12)),IF(YEAR(BA$3)=YEAR('New Hires Forecast'!$P$3),((SUMIFS('New Hires Forecast'!$P$5:$P$81,'New Hires Forecast'!$F$5:$F$81,"Sales",'New Hires Forecast'!$H$5:$H$81,"&gt;="&amp;Sales!BA$3,'New Hires Forecast'!$G$5:$G$81,"&lt;="&amp;Sales!BA$3)/12)),IF(YEAR(BA$3)=YEAR('New Hires Forecast'!$Q$3),((SUMIFS('New Hires Forecast'!$Q$5:$Q$81,'New Hires Forecast'!$F$5:$F$81,"Sales",'New Hires Forecast'!$H$5:$H$81,"&gt;="&amp;Sales!BA$3,'New Hires Forecast'!$G$5:$G$81,"&lt;="&amp;Sales!BA$3)/12)),IF(YEAR(BA$3)=YEAR('New Hires Forecast'!$R$3),((SUMIFS('New Hires Forecast'!$R$5:$R$81,'New Hires Forecast'!$F$5:$F$81,"Sales",'New Hires Forecast'!$H$5:$H$81,"&gt;="&amp;Sales!BA$3,'New Hires Forecast'!$G$5:$G$81,"&lt;="&amp;Sales!BA$3)/12))))))),0)</f>
        <v>22102.083333333332</v>
      </c>
      <c r="BB13" s="810">
        <f>IF(BB$4="forecast",IF(YEAR(BB$3)=YEAR('New Hires Forecast'!$N$3),((SUMIFS('New Hires Forecast'!$N$5:$N$81,'New Hires Forecast'!$F$5:$F$81,"Sales",'New Hires Forecast'!$H$5:$H$81,"&gt;="&amp;Sales!BB$3,'New Hires Forecast'!$G$5:$G$81,"&lt;="&amp;Sales!BB$3)/12)),IF(YEAR(BB$3)=YEAR('New Hires Forecast'!$O$3),((SUMIFS('New Hires Forecast'!$O$5:$O$81,'New Hires Forecast'!$F$5:$F$81,"Sales",'New Hires Forecast'!$H$5:$H$81,"&gt;="&amp;Sales!BB$3,'New Hires Forecast'!$G$5:$G$81,"&lt;="&amp;Sales!BB$3)/12)),IF(YEAR(BB$3)=YEAR('New Hires Forecast'!$P$3),((SUMIFS('New Hires Forecast'!$P$5:$P$81,'New Hires Forecast'!$F$5:$F$81,"Sales",'New Hires Forecast'!$H$5:$H$81,"&gt;="&amp;Sales!BB$3,'New Hires Forecast'!$G$5:$G$81,"&lt;="&amp;Sales!BB$3)/12)),IF(YEAR(BB$3)=YEAR('New Hires Forecast'!$Q$3),((SUMIFS('New Hires Forecast'!$Q$5:$Q$81,'New Hires Forecast'!$F$5:$F$81,"Sales",'New Hires Forecast'!$H$5:$H$81,"&gt;="&amp;Sales!BB$3,'New Hires Forecast'!$G$5:$G$81,"&lt;="&amp;Sales!BB$3)/12)),IF(YEAR(BB$3)=YEAR('New Hires Forecast'!$R$3),((SUMIFS('New Hires Forecast'!$R$5:$R$81,'New Hires Forecast'!$F$5:$F$81,"Sales",'New Hires Forecast'!$H$5:$H$81,"&gt;="&amp;Sales!BB$3,'New Hires Forecast'!$G$5:$G$81,"&lt;="&amp;Sales!BB$3)/12))))))),0)</f>
        <v>22102.083333333332</v>
      </c>
      <c r="BC13" s="810">
        <f>IF(BC$4="forecast",IF(YEAR(BC$3)=YEAR('New Hires Forecast'!$N$3),((SUMIFS('New Hires Forecast'!$N$5:$N$81,'New Hires Forecast'!$F$5:$F$81,"Sales",'New Hires Forecast'!$H$5:$H$81,"&gt;="&amp;Sales!BC$3,'New Hires Forecast'!$G$5:$G$81,"&lt;="&amp;Sales!BC$3)/12)),IF(YEAR(BC$3)=YEAR('New Hires Forecast'!$O$3),((SUMIFS('New Hires Forecast'!$O$5:$O$81,'New Hires Forecast'!$F$5:$F$81,"Sales",'New Hires Forecast'!$H$5:$H$81,"&gt;="&amp;Sales!BC$3,'New Hires Forecast'!$G$5:$G$81,"&lt;="&amp;Sales!BC$3)/12)),IF(YEAR(BC$3)=YEAR('New Hires Forecast'!$P$3),((SUMIFS('New Hires Forecast'!$P$5:$P$81,'New Hires Forecast'!$F$5:$F$81,"Sales",'New Hires Forecast'!$H$5:$H$81,"&gt;="&amp;Sales!BC$3,'New Hires Forecast'!$G$5:$G$81,"&lt;="&amp;Sales!BC$3)/12)),IF(YEAR(BC$3)=YEAR('New Hires Forecast'!$Q$3),((SUMIFS('New Hires Forecast'!$Q$5:$Q$81,'New Hires Forecast'!$F$5:$F$81,"Sales",'New Hires Forecast'!$H$5:$H$81,"&gt;="&amp;Sales!BC$3,'New Hires Forecast'!$G$5:$G$81,"&lt;="&amp;Sales!BC$3)/12)),IF(YEAR(BC$3)=YEAR('New Hires Forecast'!$R$3),((SUMIFS('New Hires Forecast'!$R$5:$R$81,'New Hires Forecast'!$F$5:$F$81,"Sales",'New Hires Forecast'!$H$5:$H$81,"&gt;="&amp;Sales!BC$3,'New Hires Forecast'!$G$5:$G$81,"&lt;="&amp;Sales!BC$3)/12))))))),0)</f>
        <v>22102.083333333332</v>
      </c>
      <c r="BD13" s="810">
        <f>IF(BD$4="forecast",IF(YEAR(BD$3)=YEAR('New Hires Forecast'!$N$3),((SUMIFS('New Hires Forecast'!$N$5:$N$81,'New Hires Forecast'!$F$5:$F$81,"Sales",'New Hires Forecast'!$H$5:$H$81,"&gt;="&amp;Sales!BD$3,'New Hires Forecast'!$G$5:$G$81,"&lt;="&amp;Sales!BD$3)/12)),IF(YEAR(BD$3)=YEAR('New Hires Forecast'!$O$3),((SUMIFS('New Hires Forecast'!$O$5:$O$81,'New Hires Forecast'!$F$5:$F$81,"Sales",'New Hires Forecast'!$H$5:$H$81,"&gt;="&amp;Sales!BD$3,'New Hires Forecast'!$G$5:$G$81,"&lt;="&amp;Sales!BD$3)/12)),IF(YEAR(BD$3)=YEAR('New Hires Forecast'!$P$3),((SUMIFS('New Hires Forecast'!$P$5:$P$81,'New Hires Forecast'!$F$5:$F$81,"Sales",'New Hires Forecast'!$H$5:$H$81,"&gt;="&amp;Sales!BD$3,'New Hires Forecast'!$G$5:$G$81,"&lt;="&amp;Sales!BD$3)/12)),IF(YEAR(BD$3)=YEAR('New Hires Forecast'!$Q$3),((SUMIFS('New Hires Forecast'!$Q$5:$Q$81,'New Hires Forecast'!$F$5:$F$81,"Sales",'New Hires Forecast'!$H$5:$H$81,"&gt;="&amp;Sales!BD$3,'New Hires Forecast'!$G$5:$G$81,"&lt;="&amp;Sales!BD$3)/12)),IF(YEAR(BD$3)=YEAR('New Hires Forecast'!$R$3),((SUMIFS('New Hires Forecast'!$R$5:$R$81,'New Hires Forecast'!$F$5:$F$81,"Sales",'New Hires Forecast'!$H$5:$H$81,"&gt;="&amp;Sales!BD$3,'New Hires Forecast'!$G$5:$G$81,"&lt;="&amp;Sales!BD$3)/12))))))),0)</f>
        <v>22102.083333333332</v>
      </c>
      <c r="BE13" s="810">
        <f>IF(BE$4="forecast",IF(YEAR(BE$3)=YEAR('New Hires Forecast'!$N$3),((SUMIFS('New Hires Forecast'!$N$5:$N$81,'New Hires Forecast'!$F$5:$F$81,"Sales",'New Hires Forecast'!$H$5:$H$81,"&gt;="&amp;Sales!BE$3,'New Hires Forecast'!$G$5:$G$81,"&lt;="&amp;Sales!BE$3)/12)),IF(YEAR(BE$3)=YEAR('New Hires Forecast'!$O$3),((SUMIFS('New Hires Forecast'!$O$5:$O$81,'New Hires Forecast'!$F$5:$F$81,"Sales",'New Hires Forecast'!$H$5:$H$81,"&gt;="&amp;Sales!BE$3,'New Hires Forecast'!$G$5:$G$81,"&lt;="&amp;Sales!BE$3)/12)),IF(YEAR(BE$3)=YEAR('New Hires Forecast'!$P$3),((SUMIFS('New Hires Forecast'!$P$5:$P$81,'New Hires Forecast'!$F$5:$F$81,"Sales",'New Hires Forecast'!$H$5:$H$81,"&gt;="&amp;Sales!BE$3,'New Hires Forecast'!$G$5:$G$81,"&lt;="&amp;Sales!BE$3)/12)),IF(YEAR(BE$3)=YEAR('New Hires Forecast'!$Q$3),((SUMIFS('New Hires Forecast'!$Q$5:$Q$81,'New Hires Forecast'!$F$5:$F$81,"Sales",'New Hires Forecast'!$H$5:$H$81,"&gt;="&amp;Sales!BE$3,'New Hires Forecast'!$G$5:$G$81,"&lt;="&amp;Sales!BE$3)/12)),IF(YEAR(BE$3)=YEAR('New Hires Forecast'!$R$3),((SUMIFS('New Hires Forecast'!$R$5:$R$81,'New Hires Forecast'!$F$5:$F$81,"Sales",'New Hires Forecast'!$H$5:$H$81,"&gt;="&amp;Sales!BE$3,'New Hires Forecast'!$G$5:$G$81,"&lt;="&amp;Sales!BE$3)/12))))))),0)</f>
        <v>22102.083333333332</v>
      </c>
      <c r="BF13" s="810">
        <f>IF(BF$4="forecast",IF(YEAR(BF$3)=YEAR('New Hires Forecast'!$N$3),((SUMIFS('New Hires Forecast'!$N$5:$N$81,'New Hires Forecast'!$F$5:$F$81,"Sales",'New Hires Forecast'!$H$5:$H$81,"&gt;="&amp;Sales!BF$3,'New Hires Forecast'!$G$5:$G$81,"&lt;="&amp;Sales!BF$3)/12)),IF(YEAR(BF$3)=YEAR('New Hires Forecast'!$O$3),((SUMIFS('New Hires Forecast'!$O$5:$O$81,'New Hires Forecast'!$F$5:$F$81,"Sales",'New Hires Forecast'!$H$5:$H$81,"&gt;="&amp;Sales!BF$3,'New Hires Forecast'!$G$5:$G$81,"&lt;="&amp;Sales!BF$3)/12)),IF(YEAR(BF$3)=YEAR('New Hires Forecast'!$P$3),((SUMIFS('New Hires Forecast'!$P$5:$P$81,'New Hires Forecast'!$F$5:$F$81,"Sales",'New Hires Forecast'!$H$5:$H$81,"&gt;="&amp;Sales!BF$3,'New Hires Forecast'!$G$5:$G$81,"&lt;="&amp;Sales!BF$3)/12)),IF(YEAR(BF$3)=YEAR('New Hires Forecast'!$Q$3),((SUMIFS('New Hires Forecast'!$Q$5:$Q$81,'New Hires Forecast'!$F$5:$F$81,"Sales",'New Hires Forecast'!$H$5:$H$81,"&gt;="&amp;Sales!BF$3,'New Hires Forecast'!$G$5:$G$81,"&lt;="&amp;Sales!BF$3)/12)),IF(YEAR(BF$3)=YEAR('New Hires Forecast'!$R$3),((SUMIFS('New Hires Forecast'!$R$5:$R$81,'New Hires Forecast'!$F$5:$F$81,"Sales",'New Hires Forecast'!$H$5:$H$81,"&gt;="&amp;Sales!BF$3,'New Hires Forecast'!$G$5:$G$81,"&lt;="&amp;Sales!BF$3)/12))))))),0)</f>
        <v>22102.083333333332</v>
      </c>
      <c r="BG13" s="810">
        <f>IF(BG$4="forecast",IF(YEAR(BG$3)=YEAR('New Hires Forecast'!$N$3),((SUMIFS('New Hires Forecast'!$N$5:$N$81,'New Hires Forecast'!$F$5:$F$81,"Sales",'New Hires Forecast'!$H$5:$H$81,"&gt;="&amp;Sales!BG$3,'New Hires Forecast'!$G$5:$G$81,"&lt;="&amp;Sales!BG$3)/12)),IF(YEAR(BG$3)=YEAR('New Hires Forecast'!$O$3),((SUMIFS('New Hires Forecast'!$O$5:$O$81,'New Hires Forecast'!$F$5:$F$81,"Sales",'New Hires Forecast'!$H$5:$H$81,"&gt;="&amp;Sales!BG$3,'New Hires Forecast'!$G$5:$G$81,"&lt;="&amp;Sales!BG$3)/12)),IF(YEAR(BG$3)=YEAR('New Hires Forecast'!$P$3),((SUMIFS('New Hires Forecast'!$P$5:$P$81,'New Hires Forecast'!$F$5:$F$81,"Sales",'New Hires Forecast'!$H$5:$H$81,"&gt;="&amp;Sales!BG$3,'New Hires Forecast'!$G$5:$G$81,"&lt;="&amp;Sales!BG$3)/12)),IF(YEAR(BG$3)=YEAR('New Hires Forecast'!$Q$3),((SUMIFS('New Hires Forecast'!$Q$5:$Q$81,'New Hires Forecast'!$F$5:$F$81,"Sales",'New Hires Forecast'!$H$5:$H$81,"&gt;="&amp;Sales!BG$3,'New Hires Forecast'!$G$5:$G$81,"&lt;="&amp;Sales!BG$3)/12)),IF(YEAR(BG$3)=YEAR('New Hires Forecast'!$R$3),((SUMIFS('New Hires Forecast'!$R$5:$R$81,'New Hires Forecast'!$F$5:$F$81,"Sales",'New Hires Forecast'!$H$5:$H$81,"&gt;="&amp;Sales!BG$3,'New Hires Forecast'!$G$5:$G$81,"&lt;="&amp;Sales!BG$3)/12))))))),0)</f>
        <v>22102.083333333332</v>
      </c>
      <c r="BH13" s="810">
        <f>IF(BH$4="forecast",IF(YEAR(BH$3)=YEAR('New Hires Forecast'!$N$3),((SUMIFS('New Hires Forecast'!$N$5:$N$81,'New Hires Forecast'!$F$5:$F$81,"Sales",'New Hires Forecast'!$H$5:$H$81,"&gt;="&amp;Sales!BH$3,'New Hires Forecast'!$G$5:$G$81,"&lt;="&amp;Sales!BH$3)/12)),IF(YEAR(BH$3)=YEAR('New Hires Forecast'!$O$3),((SUMIFS('New Hires Forecast'!$O$5:$O$81,'New Hires Forecast'!$F$5:$F$81,"Sales",'New Hires Forecast'!$H$5:$H$81,"&gt;="&amp;Sales!BH$3,'New Hires Forecast'!$G$5:$G$81,"&lt;="&amp;Sales!BH$3)/12)),IF(YEAR(BH$3)=YEAR('New Hires Forecast'!$P$3),((SUMIFS('New Hires Forecast'!$P$5:$P$81,'New Hires Forecast'!$F$5:$F$81,"Sales",'New Hires Forecast'!$H$5:$H$81,"&gt;="&amp;Sales!BH$3,'New Hires Forecast'!$G$5:$G$81,"&lt;="&amp;Sales!BH$3)/12)),IF(YEAR(BH$3)=YEAR('New Hires Forecast'!$Q$3),((SUMIFS('New Hires Forecast'!$Q$5:$Q$81,'New Hires Forecast'!$F$5:$F$81,"Sales",'New Hires Forecast'!$H$5:$H$81,"&gt;="&amp;Sales!BH$3,'New Hires Forecast'!$G$5:$G$81,"&lt;="&amp;Sales!BH$3)/12)),IF(YEAR(BH$3)=YEAR('New Hires Forecast'!$R$3),((SUMIFS('New Hires Forecast'!$R$5:$R$81,'New Hires Forecast'!$F$5:$F$81,"Sales",'New Hires Forecast'!$H$5:$H$81,"&gt;="&amp;Sales!BH$3,'New Hires Forecast'!$G$5:$G$81,"&lt;="&amp;Sales!BH$3)/12))))))),0)</f>
        <v>22102.083333333332</v>
      </c>
      <c r="BI13" s="810">
        <f>IF(BI$4="forecast",IF(YEAR(BI$3)=YEAR('New Hires Forecast'!$N$3),((SUMIFS('New Hires Forecast'!$N$5:$N$81,'New Hires Forecast'!$F$5:$F$81,"Sales",'New Hires Forecast'!$H$5:$H$81,"&gt;="&amp;Sales!BI$3,'New Hires Forecast'!$G$5:$G$81,"&lt;="&amp;Sales!BI$3)/12)),IF(YEAR(BI$3)=YEAR('New Hires Forecast'!$O$3),((SUMIFS('New Hires Forecast'!$O$5:$O$81,'New Hires Forecast'!$F$5:$F$81,"Sales",'New Hires Forecast'!$H$5:$H$81,"&gt;="&amp;Sales!BI$3,'New Hires Forecast'!$G$5:$G$81,"&lt;="&amp;Sales!BI$3)/12)),IF(YEAR(BI$3)=YEAR('New Hires Forecast'!$P$3),((SUMIFS('New Hires Forecast'!$P$5:$P$81,'New Hires Forecast'!$F$5:$F$81,"Sales",'New Hires Forecast'!$H$5:$H$81,"&gt;="&amp;Sales!BI$3,'New Hires Forecast'!$G$5:$G$81,"&lt;="&amp;Sales!BI$3)/12)),IF(YEAR(BI$3)=YEAR('New Hires Forecast'!$Q$3),((SUMIFS('New Hires Forecast'!$Q$5:$Q$81,'New Hires Forecast'!$F$5:$F$81,"Sales",'New Hires Forecast'!$H$5:$H$81,"&gt;="&amp;Sales!BI$3,'New Hires Forecast'!$G$5:$G$81,"&lt;="&amp;Sales!BI$3)/12)),IF(YEAR(BI$3)=YEAR('New Hires Forecast'!$R$3),((SUMIFS('New Hires Forecast'!$R$5:$R$81,'New Hires Forecast'!$F$5:$F$81,"Sales",'New Hires Forecast'!$H$5:$H$81,"&gt;="&amp;Sales!BI$3,'New Hires Forecast'!$G$5:$G$81,"&lt;="&amp;Sales!BI$3)/12))))))),0)</f>
        <v>22102.083333333332</v>
      </c>
      <c r="BJ13" s="810">
        <f>IF(BJ$4="forecast",IF(YEAR(BJ$3)=YEAR('New Hires Forecast'!$N$3),((SUMIFS('New Hires Forecast'!$N$5:$N$81,'New Hires Forecast'!$F$5:$F$81,"Sales",'New Hires Forecast'!$H$5:$H$81,"&gt;="&amp;Sales!BJ$3,'New Hires Forecast'!$G$5:$G$81,"&lt;="&amp;Sales!BJ$3)/12)),IF(YEAR(BJ$3)=YEAR('New Hires Forecast'!$O$3),((SUMIFS('New Hires Forecast'!$O$5:$O$81,'New Hires Forecast'!$F$5:$F$81,"Sales",'New Hires Forecast'!$H$5:$H$81,"&gt;="&amp;Sales!BJ$3,'New Hires Forecast'!$G$5:$G$81,"&lt;="&amp;Sales!BJ$3)/12)),IF(YEAR(BJ$3)=YEAR('New Hires Forecast'!$P$3),((SUMIFS('New Hires Forecast'!$P$5:$P$81,'New Hires Forecast'!$F$5:$F$81,"Sales",'New Hires Forecast'!$H$5:$H$81,"&gt;="&amp;Sales!BJ$3,'New Hires Forecast'!$G$5:$G$81,"&lt;="&amp;Sales!BJ$3)/12)),IF(YEAR(BJ$3)=YEAR('New Hires Forecast'!$Q$3),((SUMIFS('New Hires Forecast'!$Q$5:$Q$81,'New Hires Forecast'!$F$5:$F$81,"Sales",'New Hires Forecast'!$H$5:$H$81,"&gt;="&amp;Sales!BJ$3,'New Hires Forecast'!$G$5:$G$81,"&lt;="&amp;Sales!BJ$3)/12)),IF(YEAR(BJ$3)=YEAR('New Hires Forecast'!$R$3),((SUMIFS('New Hires Forecast'!$R$5:$R$81,'New Hires Forecast'!$F$5:$F$81,"Sales",'New Hires Forecast'!$H$5:$H$81,"&gt;="&amp;Sales!BJ$3,'New Hires Forecast'!$G$5:$G$81,"&lt;="&amp;Sales!BJ$3)/12))))))),0)</f>
        <v>22102.083333333332</v>
      </c>
      <c r="BK13" s="810">
        <f>IF(BK$4="forecast",IF(YEAR(BK$3)=YEAR('New Hires Forecast'!$N$3),((SUMIFS('New Hires Forecast'!$N$5:$N$81,'New Hires Forecast'!$F$5:$F$81,"Sales",'New Hires Forecast'!$H$5:$H$81,"&gt;="&amp;Sales!BK$3,'New Hires Forecast'!$G$5:$G$81,"&lt;="&amp;Sales!BK$3)/12)),IF(YEAR(BK$3)=YEAR('New Hires Forecast'!$O$3),((SUMIFS('New Hires Forecast'!$O$5:$O$81,'New Hires Forecast'!$F$5:$F$81,"Sales",'New Hires Forecast'!$H$5:$H$81,"&gt;="&amp;Sales!BK$3,'New Hires Forecast'!$G$5:$G$81,"&lt;="&amp;Sales!BK$3)/12)),IF(YEAR(BK$3)=YEAR('New Hires Forecast'!$P$3),((SUMIFS('New Hires Forecast'!$P$5:$P$81,'New Hires Forecast'!$F$5:$F$81,"Sales",'New Hires Forecast'!$H$5:$H$81,"&gt;="&amp;Sales!BK$3,'New Hires Forecast'!$G$5:$G$81,"&lt;="&amp;Sales!BK$3)/12)),IF(YEAR(BK$3)=YEAR('New Hires Forecast'!$Q$3),((SUMIFS('New Hires Forecast'!$Q$5:$Q$81,'New Hires Forecast'!$F$5:$F$81,"Sales",'New Hires Forecast'!$H$5:$H$81,"&gt;="&amp;Sales!BK$3,'New Hires Forecast'!$G$5:$G$81,"&lt;="&amp;Sales!BK$3)/12)),IF(YEAR(BK$3)=YEAR('New Hires Forecast'!$R$3),((SUMIFS('New Hires Forecast'!$R$5:$R$81,'New Hires Forecast'!$F$5:$F$81,"Sales",'New Hires Forecast'!$H$5:$H$81,"&gt;="&amp;Sales!BK$3,'New Hires Forecast'!$G$5:$G$81,"&lt;="&amp;Sales!BK$3)/12))))))),0)</f>
        <v>22765.145833333332</v>
      </c>
      <c r="BL13" s="684">
        <f>IF(BL$4="forecast",IF(YEAR(BL$3)=YEAR('New Hires Forecast'!$N$3),((SUMIFS('New Hires Forecast'!$N$5:$N$81,'New Hires Forecast'!$F$5:$F$81,"Sales",'New Hires Forecast'!$H$5:$H$81,"&gt;="&amp;Sales!BL$3)/12)),IF(YEAR(BL$3)=YEAR('New Hires Forecast'!$O$3),IF((BL$5=2),((SUMIFS('New Hires Forecast'!$O$5:$O$81,'New Hires Forecast'!$F$5:$F$81,"Sales",'New Hires Forecast'!$H$5:$H$81,"&gt;="&amp;Sales!BL$3)/12)),BK13),IF(YEAR(BL$3)=YEAR('New Hires Forecast'!$P$3),IF((BL$5=2),((SUMIFS('New Hires Forecast'!$P$5:$P$81,'New Hires Forecast'!$F$5:$F$81,"Sales",'New Hires Forecast'!$H$5:$H$81,"&gt;="&amp;Sales!BL$3)/12)),BK13),IF(YEAR(BL$3)=YEAR('New Hires Forecast'!$Q$3),IF((BL$5=2),((SUMIFS('New Hires Forecast'!$Q$5:$Q$81,'New Hires Forecast'!$F$5:$F$81,"Sales",'New Hires Forecast'!$H$5:$H$81,"&gt;="&amp;Sales!BL$3)/12)),BK13),IF(YEAR(BL$3)=YEAR('New Hires Forecast'!$R$3),IF((BL$5=2),((SUMIFS('New Hires Forecast'!$R$5:$R$81,'New Hires Forecast'!$F$5:$F$81,"Sales",'New Hires Forecast'!$H$5:$H$81,"&gt;="&amp;Sales!BL$3)/12)),BK13),"New Year"))))),0)</f>
        <v>22765.145833333332</v>
      </c>
      <c r="BM13" s="684">
        <f>IF(BM$4="forecast",IF(YEAR(BM$3)=YEAR('New Hires Forecast'!$N$3),((SUMIFS('New Hires Forecast'!$N$5:$N$81,'New Hires Forecast'!$F$5:$F$81,"Sales",'New Hires Forecast'!$H$5:$H$81,"&gt;="&amp;Sales!BM$3)/12)),IF(YEAR(BM$3)=YEAR('New Hires Forecast'!$O$3),IF((BM$5=2),((SUMIFS('New Hires Forecast'!$O$5:$O$81,'New Hires Forecast'!$F$5:$F$81,"Sales",'New Hires Forecast'!$H$5:$H$81,"&gt;="&amp;Sales!BM$3)/12)),BL13),IF(YEAR(BM$3)=YEAR('New Hires Forecast'!$P$3),IF((BM$5=2),((SUMIFS('New Hires Forecast'!$P$5:$P$81,'New Hires Forecast'!$F$5:$F$81,"Sales",'New Hires Forecast'!$H$5:$H$81,"&gt;="&amp;Sales!BM$3)/12)),BL13),IF(YEAR(BM$3)=YEAR('New Hires Forecast'!$Q$3),IF((BM$5=2),((SUMIFS('New Hires Forecast'!$Q$5:$Q$81,'New Hires Forecast'!$F$5:$F$81,"Sales",'New Hires Forecast'!$H$5:$H$81,"&gt;="&amp;Sales!BM$3)/12)),BL13),IF(YEAR(BM$3)=YEAR('New Hires Forecast'!$R$3),IF((BM$5=2),((SUMIFS('New Hires Forecast'!$R$5:$R$81,'New Hires Forecast'!$F$5:$F$81,"Sales",'New Hires Forecast'!$H$5:$H$81,"&gt;="&amp;Sales!BM$3)/12)),BL13),"New Year"))))),0)</f>
        <v>22765.145833333332</v>
      </c>
      <c r="BN13" s="684">
        <f>IF(BN$4="forecast",IF(YEAR(BN$3)=YEAR('New Hires Forecast'!$N$3),((SUMIFS('New Hires Forecast'!$N$5:$N$81,'New Hires Forecast'!$F$5:$F$81,"Sales",'New Hires Forecast'!$H$5:$H$81,"&gt;="&amp;Sales!BN$3)/12)),IF(YEAR(BN$3)=YEAR('New Hires Forecast'!$O$3),IF((BN$5=2),((SUMIFS('New Hires Forecast'!$O$5:$O$81,'New Hires Forecast'!$F$5:$F$81,"Sales",'New Hires Forecast'!$H$5:$H$81,"&gt;="&amp;Sales!BN$3)/12)),BM13),IF(YEAR(BN$3)=YEAR('New Hires Forecast'!$P$3),IF((BN$5=2),((SUMIFS('New Hires Forecast'!$P$5:$P$81,'New Hires Forecast'!$F$5:$F$81,"Sales",'New Hires Forecast'!$H$5:$H$81,"&gt;="&amp;Sales!BN$3)/12)),BM13),IF(YEAR(BN$3)=YEAR('New Hires Forecast'!$Q$3),IF((BN$5=2),((SUMIFS('New Hires Forecast'!$Q$5:$Q$81,'New Hires Forecast'!$F$5:$F$81,"Sales",'New Hires Forecast'!$H$5:$H$81,"&gt;="&amp;Sales!BN$3)/12)),BM13),IF(YEAR(BN$3)=YEAR('New Hires Forecast'!$R$3),IF((BN$5=2),((SUMIFS('New Hires Forecast'!$R$5:$R$81,'New Hires Forecast'!$F$5:$F$81,"Sales",'New Hires Forecast'!$H$5:$H$81,"&gt;="&amp;Sales!BN$3)/12)),BM13),"New Year"))))),0)</f>
        <v>22765.145833333332</v>
      </c>
      <c r="BO13" s="684">
        <f>IF(BO$4="forecast",IF(YEAR(BO$3)=YEAR('New Hires Forecast'!$N$3),((SUMIFS('New Hires Forecast'!$N$5:$N$81,'New Hires Forecast'!$F$5:$F$81,"Sales",'New Hires Forecast'!$H$5:$H$81,"&gt;="&amp;Sales!BO$3)/12)),IF(YEAR(BO$3)=YEAR('New Hires Forecast'!$O$3),IF((BO$5=2),((SUMIFS('New Hires Forecast'!$O$5:$O$81,'New Hires Forecast'!$F$5:$F$81,"Sales",'New Hires Forecast'!$H$5:$H$81,"&gt;="&amp;Sales!BO$3)/12)),BN13),IF(YEAR(BO$3)=YEAR('New Hires Forecast'!$P$3),IF((BO$5=2),((SUMIFS('New Hires Forecast'!$P$5:$P$81,'New Hires Forecast'!$F$5:$F$81,"Sales",'New Hires Forecast'!$H$5:$H$81,"&gt;="&amp;Sales!BO$3)/12)),BN13),IF(YEAR(BO$3)=YEAR('New Hires Forecast'!$Q$3),IF((BO$5=2),((SUMIFS('New Hires Forecast'!$Q$5:$Q$81,'New Hires Forecast'!$F$5:$F$81,"Sales",'New Hires Forecast'!$H$5:$H$81,"&gt;="&amp;Sales!BO$3)/12)),BN13),IF(YEAR(BO$3)=YEAR('New Hires Forecast'!$R$3),IF((BO$5=2),((SUMIFS('New Hires Forecast'!$R$5:$R$81,'New Hires Forecast'!$F$5:$F$81,"Sales",'New Hires Forecast'!$H$5:$H$81,"&gt;="&amp;Sales!BO$3)/12)),BN13),"New Year"))))),0)</f>
        <v>22765.145833333332</v>
      </c>
      <c r="BP13" s="684">
        <f>IF(BP$4="forecast",IF(YEAR(BP$3)=YEAR('New Hires Forecast'!$N$3),((SUMIFS('New Hires Forecast'!$N$5:$N$81,'New Hires Forecast'!$F$5:$F$81,"Sales",'New Hires Forecast'!$H$5:$H$81,"&gt;="&amp;Sales!BP$3)/12)),IF(YEAR(BP$3)=YEAR('New Hires Forecast'!$O$3),IF((BP$5=2),((SUMIFS('New Hires Forecast'!$O$5:$O$81,'New Hires Forecast'!$F$5:$F$81,"Sales",'New Hires Forecast'!$H$5:$H$81,"&gt;="&amp;Sales!BP$3)/12)),BO13),IF(YEAR(BP$3)=YEAR('New Hires Forecast'!$P$3),IF((BP$5=2),((SUMIFS('New Hires Forecast'!$P$5:$P$81,'New Hires Forecast'!$F$5:$F$81,"Sales",'New Hires Forecast'!$H$5:$H$81,"&gt;="&amp;Sales!BP$3)/12)),BO13),IF(YEAR(BP$3)=YEAR('New Hires Forecast'!$Q$3),IF((BP$5=2),((SUMIFS('New Hires Forecast'!$Q$5:$Q$81,'New Hires Forecast'!$F$5:$F$81,"Sales",'New Hires Forecast'!$H$5:$H$81,"&gt;="&amp;Sales!BP$3)/12)),BO13),IF(YEAR(BP$3)=YEAR('New Hires Forecast'!$R$3),IF((BP$5=2),((SUMIFS('New Hires Forecast'!$R$5:$R$81,'New Hires Forecast'!$F$5:$F$81,"Sales",'New Hires Forecast'!$H$5:$H$81,"&gt;="&amp;Sales!BP$3)/12)),BO13),"New Year"))))),0)</f>
        <v>22765.145833333332</v>
      </c>
      <c r="BQ13" s="684">
        <f>IF(BQ$4="forecast",IF(YEAR(BQ$3)=YEAR('New Hires Forecast'!$N$3),((SUMIFS('New Hires Forecast'!$N$5:$N$81,'New Hires Forecast'!$F$5:$F$81,"Sales",'New Hires Forecast'!$H$5:$H$81,"&gt;="&amp;Sales!BQ$3)/12)),IF(YEAR(BQ$3)=YEAR('New Hires Forecast'!$O$3),IF((BQ$5=2),((SUMIFS('New Hires Forecast'!$O$5:$O$81,'New Hires Forecast'!$F$5:$F$81,"Sales",'New Hires Forecast'!$H$5:$H$81,"&gt;="&amp;Sales!BQ$3)/12)),BP13),IF(YEAR(BQ$3)=YEAR('New Hires Forecast'!$P$3),IF((BQ$5=2),((SUMIFS('New Hires Forecast'!$P$5:$P$81,'New Hires Forecast'!$F$5:$F$81,"Sales",'New Hires Forecast'!$H$5:$H$81,"&gt;="&amp;Sales!BQ$3)/12)),BP13),IF(YEAR(BQ$3)=YEAR('New Hires Forecast'!$Q$3),IF((BQ$5=2),((SUMIFS('New Hires Forecast'!$Q$5:$Q$81,'New Hires Forecast'!$F$5:$F$81,"Sales",'New Hires Forecast'!$H$5:$H$81,"&gt;="&amp;Sales!BQ$3)/12)),BP13),IF(YEAR(BQ$3)=YEAR('New Hires Forecast'!$R$3),IF((BQ$5=2),((SUMIFS('New Hires Forecast'!$R$5:$R$81,'New Hires Forecast'!$F$5:$F$81,"Sales",'New Hires Forecast'!$H$5:$H$81,"&gt;="&amp;Sales!BQ$3)/12)),BP13),"New Year"))))),0)</f>
        <v>22765.145833333332</v>
      </c>
      <c r="BR13" s="684">
        <f>IF(BR$4="forecast",IF(YEAR(BR$3)=YEAR('New Hires Forecast'!$N$3),((SUMIFS('New Hires Forecast'!$N$5:$N$81,'New Hires Forecast'!$F$5:$F$81,"Sales",'New Hires Forecast'!$H$5:$H$81,"&gt;="&amp;Sales!BR$3)/12)),IF(YEAR(BR$3)=YEAR('New Hires Forecast'!$O$3),IF((BR$5=2),((SUMIFS('New Hires Forecast'!$O$5:$O$81,'New Hires Forecast'!$F$5:$F$81,"Sales",'New Hires Forecast'!$H$5:$H$81,"&gt;="&amp;Sales!BR$3)/12)),BQ13),IF(YEAR(BR$3)=YEAR('New Hires Forecast'!$P$3),IF((BR$5=2),((SUMIFS('New Hires Forecast'!$P$5:$P$81,'New Hires Forecast'!$F$5:$F$81,"Sales",'New Hires Forecast'!$H$5:$H$81,"&gt;="&amp;Sales!BR$3)/12)),BQ13),IF(YEAR(BR$3)=YEAR('New Hires Forecast'!$Q$3),IF((BR$5=2),((SUMIFS('New Hires Forecast'!$Q$5:$Q$81,'New Hires Forecast'!$F$5:$F$81,"Sales",'New Hires Forecast'!$H$5:$H$81,"&gt;="&amp;Sales!BR$3)/12)),BQ13),IF(YEAR(BR$3)=YEAR('New Hires Forecast'!$R$3),IF((BR$5=2),((SUMIFS('New Hires Forecast'!$R$5:$R$81,'New Hires Forecast'!$F$5:$F$81,"Sales",'New Hires Forecast'!$H$5:$H$81,"&gt;="&amp;Sales!BR$3)/12)),BQ13),"New Year"))))),0)</f>
        <v>22765.145833333332</v>
      </c>
      <c r="BS13" s="684">
        <f>IF(BS$4="forecast",IF(YEAR(BS$3)=YEAR('New Hires Forecast'!$N$3),((SUMIFS('New Hires Forecast'!$N$5:$N$81,'New Hires Forecast'!$F$5:$F$81,"Sales",'New Hires Forecast'!$H$5:$H$81,"&gt;="&amp;Sales!BS$3)/12)),IF(YEAR(BS$3)=YEAR('New Hires Forecast'!$O$3),IF((BS$5=2),((SUMIFS('New Hires Forecast'!$O$5:$O$81,'New Hires Forecast'!$F$5:$F$81,"Sales",'New Hires Forecast'!$H$5:$H$81,"&gt;="&amp;Sales!BS$3)/12)),BR13),IF(YEAR(BS$3)=YEAR('New Hires Forecast'!$P$3),IF((BS$5=2),((SUMIFS('New Hires Forecast'!$P$5:$P$81,'New Hires Forecast'!$F$5:$F$81,"Sales",'New Hires Forecast'!$H$5:$H$81,"&gt;="&amp;Sales!BS$3)/12)),BR13),IF(YEAR(BS$3)=YEAR('New Hires Forecast'!$Q$3),IF((BS$5=2),((SUMIFS('New Hires Forecast'!$Q$5:$Q$81,'New Hires Forecast'!$F$5:$F$81,"Sales",'New Hires Forecast'!$H$5:$H$81,"&gt;="&amp;Sales!BS$3)/12)),BR13),IF(YEAR(BS$3)=YEAR('New Hires Forecast'!$R$3),IF((BS$5=2),((SUMIFS('New Hires Forecast'!$R$5:$R$81,'New Hires Forecast'!$F$5:$F$81,"Sales",'New Hires Forecast'!$H$5:$H$81,"&gt;="&amp;Sales!BS$3)/12)),BR13),"New Year"))))),0)</f>
        <v>22765.145833333332</v>
      </c>
      <c r="BT13" s="684">
        <f>IF(BT$4="forecast",IF(YEAR(BT$3)=YEAR('New Hires Forecast'!$N$3),((SUMIFS('New Hires Forecast'!$N$5:$N$81,'New Hires Forecast'!$F$5:$F$81,"Sales",'New Hires Forecast'!$H$5:$H$81,"&gt;="&amp;Sales!BT$3)/12)),IF(YEAR(BT$3)=YEAR('New Hires Forecast'!$O$3),IF((BT$5=2),((SUMIFS('New Hires Forecast'!$O$5:$O$81,'New Hires Forecast'!$F$5:$F$81,"Sales",'New Hires Forecast'!$H$5:$H$81,"&gt;="&amp;Sales!BT$3)/12)),BS13),IF(YEAR(BT$3)=YEAR('New Hires Forecast'!$P$3),IF((BT$5=2),((SUMIFS('New Hires Forecast'!$P$5:$P$81,'New Hires Forecast'!$F$5:$F$81,"Sales",'New Hires Forecast'!$H$5:$H$81,"&gt;="&amp;Sales!BT$3)/12)),BS13),IF(YEAR(BT$3)=YEAR('New Hires Forecast'!$Q$3),IF((BT$5=2),((SUMIFS('New Hires Forecast'!$Q$5:$Q$81,'New Hires Forecast'!$F$5:$F$81,"Sales",'New Hires Forecast'!$H$5:$H$81,"&gt;="&amp;Sales!BT$3)/12)),BS13),IF(YEAR(BT$3)=YEAR('New Hires Forecast'!$R$3),IF((BT$5=2),((SUMIFS('New Hires Forecast'!$R$5:$R$81,'New Hires Forecast'!$F$5:$F$81,"Sales",'New Hires Forecast'!$H$5:$H$81,"&gt;="&amp;Sales!BT$3)/12)),BS13),"New Year"))))),0)</f>
        <v>22765.145833333332</v>
      </c>
      <c r="BU13" s="684">
        <f>IF(BU$4="forecast",IF(YEAR(BU$3)=YEAR('New Hires Forecast'!$N$3),((SUMIFS('New Hires Forecast'!$N$5:$N$81,'New Hires Forecast'!$F$5:$F$81,"Sales",'New Hires Forecast'!$H$5:$H$81,"&gt;="&amp;Sales!BU$3)/12)),IF(YEAR(BU$3)=YEAR('New Hires Forecast'!$O$3),IF((BU$5=2),((SUMIFS('New Hires Forecast'!$O$5:$O$81,'New Hires Forecast'!$F$5:$F$81,"Sales",'New Hires Forecast'!$H$5:$H$81,"&gt;="&amp;Sales!BU$3)/12)),BT13),IF(YEAR(BU$3)=YEAR('New Hires Forecast'!$P$3),IF((BU$5=2),((SUMIFS('New Hires Forecast'!$P$5:$P$81,'New Hires Forecast'!$F$5:$F$81,"Sales",'New Hires Forecast'!$H$5:$H$81,"&gt;="&amp;Sales!BU$3)/12)),BT13),IF(YEAR(BU$3)=YEAR('New Hires Forecast'!$Q$3),IF((BU$5=2),((SUMIFS('New Hires Forecast'!$Q$5:$Q$81,'New Hires Forecast'!$F$5:$F$81,"Sales",'New Hires Forecast'!$H$5:$H$81,"&gt;="&amp;Sales!BU$3)/12)),BT13),IF(YEAR(BU$3)=YEAR('New Hires Forecast'!$R$3),IF((BU$5=2),((SUMIFS('New Hires Forecast'!$R$5:$R$81,'New Hires Forecast'!$F$5:$F$81,"Sales",'New Hires Forecast'!$H$5:$H$81,"&gt;="&amp;Sales!BU$3)/12)),BT13),"New Year"))))),0)</f>
        <v>22765.145833333332</v>
      </c>
      <c r="BV13" s="808">
        <f>IF(BV$4="forecast",IF(YEAR(BV$3)=YEAR('New Hires Forecast'!$N$3),((SUMIFS('New Hires Forecast'!$N$5:$N$81,'New Hires Forecast'!$F$5:$F$81,"Sales",'New Hires Forecast'!$H$5:$H$81,"&gt;="&amp;Sales!BV$3,'New Hires Forecast'!$G$5:$G$81,"&lt;="&amp;Sales!BV$3)/12)),IF(YEAR(BV$3)=YEAR('New Hires Forecast'!$O$3),((SUMIFS('New Hires Forecast'!$O$5:$O$81,'New Hires Forecast'!$F$5:$F$81,"Sales",'New Hires Forecast'!$H$5:$H$81,"&gt;="&amp;Sales!BV$3,'New Hires Forecast'!$G$5:$G$81,"&lt;="&amp;Sales!BV$3)/12)),IF(YEAR(BV$3)=YEAR('New Hires Forecast'!$P$3),((SUMIFS('New Hires Forecast'!$P$5:$P$81,'New Hires Forecast'!$F$5:$F$81,"Sales",'New Hires Forecast'!$H$5:$H$81,"&gt;="&amp;Sales!BV$3,'New Hires Forecast'!$G$5:$G$81,"&lt;="&amp;Sales!BV$3)/12)),IF(YEAR(BV$3)=YEAR('New Hires Forecast'!$Q$3),((SUMIFS('New Hires Forecast'!$Q$5:$Q$81,'New Hires Forecast'!$F$5:$F$81,"Sales",'New Hires Forecast'!$H$5:$H$81,"&gt;="&amp;Sales!BV$3,'New Hires Forecast'!$G$5:$G$81,"&lt;="&amp;Sales!BV$3)/12)),IF(YEAR(BV$3)=YEAR('New Hires Forecast'!$R$3),((SUMIFS('New Hires Forecast'!$R$5:$R$81,'New Hires Forecast'!$F$5:$F$81,"Sales",'New Hires Forecast'!$H$5:$H$81,"&gt;="&amp;Sales!BV$3,'New Hires Forecast'!$G$5:$G$81,"&lt;="&amp;Sales!BV$3)/12))))))),0)</f>
        <v>22765.145833333332</v>
      </c>
    </row>
    <row r="14" spans="2:77" s="798" customFormat="1" ht="13" x14ac:dyDescent="0.3">
      <c r="B14" s="809" t="s">
        <v>936</v>
      </c>
      <c r="C14" s="995">
        <f t="shared" ref="C14" si="2">SUM(C12:C13)</f>
        <v>30344.79467457805</v>
      </c>
      <c r="D14" s="995">
        <f t="shared" ref="D14:BO14" si="3">SUM(D12:D13)</f>
        <v>31006.92026958222</v>
      </c>
      <c r="E14" s="995">
        <f t="shared" si="3"/>
        <v>26077.437584362211</v>
      </c>
      <c r="F14" s="995">
        <f t="shared" si="3"/>
        <v>28142.822274063168</v>
      </c>
      <c r="G14" s="995">
        <f t="shared" si="3"/>
        <v>29154.138457893536</v>
      </c>
      <c r="H14" s="995">
        <f t="shared" si="3"/>
        <v>47588.141479941041</v>
      </c>
      <c r="I14" s="995">
        <f t="shared" si="3"/>
        <v>39782.644808278739</v>
      </c>
      <c r="J14" s="995">
        <f t="shared" si="3"/>
        <v>42173.505917676463</v>
      </c>
      <c r="K14" s="995">
        <f t="shared" si="3"/>
        <v>40717.334044490744</v>
      </c>
      <c r="L14" s="995">
        <f t="shared" si="3"/>
        <v>36868.067513448281</v>
      </c>
      <c r="M14" s="995">
        <f t="shared" si="3"/>
        <v>54543.425776535914</v>
      </c>
      <c r="N14" s="995">
        <f t="shared" si="3"/>
        <v>39287.615583477818</v>
      </c>
      <c r="O14" s="995">
        <f t="shared" si="3"/>
        <v>76107.010000000009</v>
      </c>
      <c r="P14" s="995">
        <f t="shared" si="3"/>
        <v>72608</v>
      </c>
      <c r="Q14" s="995">
        <f t="shared" si="3"/>
        <v>126547.46</v>
      </c>
      <c r="R14" s="995">
        <f t="shared" si="3"/>
        <v>85474.48000000001</v>
      </c>
      <c r="S14" s="995">
        <f t="shared" si="3"/>
        <v>105420.7</v>
      </c>
      <c r="T14" s="995">
        <f t="shared" si="3"/>
        <v>86119.16</v>
      </c>
      <c r="U14" s="995">
        <f t="shared" si="3"/>
        <v>98104.83</v>
      </c>
      <c r="V14" s="995">
        <f t="shared" si="3"/>
        <v>102125.43</v>
      </c>
      <c r="W14" s="995">
        <f t="shared" si="3"/>
        <v>102373.36</v>
      </c>
      <c r="X14" s="995">
        <f t="shared" si="3"/>
        <v>119117.88000000002</v>
      </c>
      <c r="Y14" s="995">
        <f t="shared" si="3"/>
        <v>110991.75</v>
      </c>
      <c r="Z14" s="995">
        <f t="shared" si="3"/>
        <v>115516</v>
      </c>
      <c r="AA14" s="995">
        <f t="shared" si="3"/>
        <v>115516</v>
      </c>
      <c r="AB14" s="995">
        <f t="shared" si="3"/>
        <v>101824.16666666667</v>
      </c>
      <c r="AC14" s="995">
        <f t="shared" si="3"/>
        <v>101824.16666666667</v>
      </c>
      <c r="AD14" s="995">
        <f t="shared" si="3"/>
        <v>110157.5</v>
      </c>
      <c r="AE14" s="995">
        <f t="shared" si="3"/>
        <v>110157.5</v>
      </c>
      <c r="AF14" s="995">
        <f t="shared" si="3"/>
        <v>110157.5</v>
      </c>
      <c r="AG14" s="995">
        <f t="shared" si="3"/>
        <v>118490.83333333333</v>
      </c>
      <c r="AH14" s="995">
        <f t="shared" si="3"/>
        <v>118490.83333333333</v>
      </c>
      <c r="AI14" s="995">
        <f t="shared" si="3"/>
        <v>118490.83333333333</v>
      </c>
      <c r="AJ14" s="995">
        <f t="shared" si="3"/>
        <v>118490.83333333333</v>
      </c>
      <c r="AK14" s="995">
        <f t="shared" si="3"/>
        <v>118490.83333333333</v>
      </c>
      <c r="AL14" s="995">
        <f t="shared" si="3"/>
        <v>118490.83333333333</v>
      </c>
      <c r="AM14" s="995">
        <f t="shared" si="3"/>
        <v>119115.83333333333</v>
      </c>
      <c r="AN14" s="995">
        <f t="shared" si="3"/>
        <v>122045.55833333335</v>
      </c>
      <c r="AO14" s="995">
        <f t="shared" si="3"/>
        <v>122045.55833333335</v>
      </c>
      <c r="AP14" s="995">
        <f t="shared" si="3"/>
        <v>122045.55833333335</v>
      </c>
      <c r="AQ14" s="995">
        <f t="shared" si="3"/>
        <v>122045.55833333335</v>
      </c>
      <c r="AR14" s="995">
        <f t="shared" si="3"/>
        <v>122045.55833333335</v>
      </c>
      <c r="AS14" s="995">
        <f t="shared" si="3"/>
        <v>122045.55833333335</v>
      </c>
      <c r="AT14" s="995">
        <f t="shared" si="3"/>
        <v>122045.55833333335</v>
      </c>
      <c r="AU14" s="995">
        <f t="shared" si="3"/>
        <v>122045.55833333335</v>
      </c>
      <c r="AV14" s="995">
        <f t="shared" si="3"/>
        <v>122045.55833333335</v>
      </c>
      <c r="AW14" s="995">
        <f t="shared" si="3"/>
        <v>122045.55833333335</v>
      </c>
      <c r="AX14" s="995">
        <f t="shared" si="3"/>
        <v>122045.55833333335</v>
      </c>
      <c r="AY14" s="995">
        <f t="shared" si="3"/>
        <v>122689.30833333335</v>
      </c>
      <c r="AZ14" s="995">
        <f t="shared" si="3"/>
        <v>125706.92508333334</v>
      </c>
      <c r="BA14" s="995">
        <f t="shared" si="3"/>
        <v>125706.92508333334</v>
      </c>
      <c r="BB14" s="995">
        <f t="shared" si="3"/>
        <v>125706.92508333334</v>
      </c>
      <c r="BC14" s="995">
        <f t="shared" si="3"/>
        <v>125706.92508333334</v>
      </c>
      <c r="BD14" s="995">
        <f t="shared" si="3"/>
        <v>125706.92508333334</v>
      </c>
      <c r="BE14" s="995">
        <f t="shared" si="3"/>
        <v>125706.92508333334</v>
      </c>
      <c r="BF14" s="995">
        <f t="shared" si="3"/>
        <v>125706.92508333334</v>
      </c>
      <c r="BG14" s="995">
        <f t="shared" si="3"/>
        <v>125706.92508333334</v>
      </c>
      <c r="BH14" s="995">
        <f t="shared" si="3"/>
        <v>125706.92508333334</v>
      </c>
      <c r="BI14" s="995">
        <f t="shared" si="3"/>
        <v>125706.92508333334</v>
      </c>
      <c r="BJ14" s="995">
        <f t="shared" si="3"/>
        <v>125706.92508333334</v>
      </c>
      <c r="BK14" s="995">
        <f t="shared" si="3"/>
        <v>126369.98758333334</v>
      </c>
      <c r="BL14" s="995">
        <f t="shared" si="3"/>
        <v>129478.13283583336</v>
      </c>
      <c r="BM14" s="995">
        <f t="shared" si="3"/>
        <v>129478.13283583336</v>
      </c>
      <c r="BN14" s="995">
        <f t="shared" si="3"/>
        <v>129478.13283583336</v>
      </c>
      <c r="BO14" s="995">
        <f t="shared" si="3"/>
        <v>129478.13283583336</v>
      </c>
      <c r="BP14" s="995">
        <f t="shared" ref="BP14:BV14" si="4">SUM(BP12:BP13)</f>
        <v>129478.13283583336</v>
      </c>
      <c r="BQ14" s="995">
        <f t="shared" si="4"/>
        <v>129478.13283583336</v>
      </c>
      <c r="BR14" s="995">
        <f t="shared" si="4"/>
        <v>129478.13283583336</v>
      </c>
      <c r="BS14" s="995">
        <f t="shared" si="4"/>
        <v>129478.13283583336</v>
      </c>
      <c r="BT14" s="995">
        <f t="shared" si="4"/>
        <v>129478.13283583336</v>
      </c>
      <c r="BU14" s="995">
        <f t="shared" si="4"/>
        <v>129478.13283583336</v>
      </c>
      <c r="BV14" s="996">
        <f t="shared" si="4"/>
        <v>129478.13283583336</v>
      </c>
    </row>
    <row r="15" spans="2:77" x14ac:dyDescent="0.35">
      <c r="B15" s="797" t="s">
        <v>938</v>
      </c>
      <c r="C15" s="684">
        <f>IF(C$4="forecast",IF(YEAR(C$3)=YEAR('New Hires Forecast'!$N$3),IF((C$5=12),(SUMPRODUCT(--('New Hires Forecast'!$F$5:$F$84="Sales"),--('New Hires Forecast'!$H$5:$H$84&gt;=Sales!C$3),'New Hires Forecast'!$N$5:$N$84,'New Hires Forecast'!$L$5:$L$84)),0),IF(YEAR(C$3)=YEAR('New Hires Forecast'!$O$3),IF((C$5=12),(SUMPRODUCT(--('New Hires Forecast'!$F$5:$F$84="Sales"),--('New Hires Forecast'!$H$5:$H$84&gt;=Sales!C$3),'New Hires Forecast'!$O$5:$O$84,'New Hires Forecast'!$L$5:$L$84)),0),IF(YEAR(C$3)=YEAR('New Hires Forecast'!$P$3),IF((C$5=12),(SUMPRODUCT(--('New Hires Forecast'!$F$5:$F$84="Sales"),--('New Hires Forecast'!$H$5:$H$84&gt;=Sales!C$3),'New Hires Forecast'!$P$5:$P$84,'New Hires Forecast'!$L$5:$L$84)),0),IF(YEAR(C$3)=YEAR('New Hires Forecast'!$Q$3),IF((C$5=12),(SUMPRODUCT(--('New Hires Forecast'!$F$5:$F$84="Sales"),--('New Hires Forecast'!$H$5:$H$84&gt;=Sales!C$3),'New Hires Forecast'!$Q$5:$Q$84,'New Hires Forecast'!$L$5:$L$84)),0),IF(YEAR(C$3)=YEAR('New Hires Forecast'!$R$3),IF((C$5=12),(SUMPRODUCT(--('New Hires Forecast'!$F$5:$F$84="Sales"),--('New Hires Forecast'!$H$5:$H$84&gt;=Sales!C$3),'New Hires Forecast'!$R$5:$R$84,'New Hires Forecast'!$L$5:$L$84)),0),"New Year"))))),0)</f>
        <v>0</v>
      </c>
      <c r="D15" s="684">
        <f>IF(D$4="forecast",IF(YEAR(D$3)=YEAR('New Hires Forecast'!$N$3),IF((D$5=12),(SUMPRODUCT(--('New Hires Forecast'!$F$5:$F$84="Sales"),--('New Hires Forecast'!$H$5:$H$84&gt;=Sales!D$3),'New Hires Forecast'!$N$5:$N$84,'New Hires Forecast'!$L$5:$L$84)),0),IF(YEAR(D$3)=YEAR('New Hires Forecast'!$O$3),IF((D$5=12),(SUMPRODUCT(--('New Hires Forecast'!$F$5:$F$84="Sales"),--('New Hires Forecast'!$H$5:$H$84&gt;=Sales!D$3),'New Hires Forecast'!$O$5:$O$84,'New Hires Forecast'!$L$5:$L$84)),0),IF(YEAR(D$3)=YEAR('New Hires Forecast'!$P$3),IF((D$5=12),(SUMPRODUCT(--('New Hires Forecast'!$F$5:$F$84="Sales"),--('New Hires Forecast'!$H$5:$H$84&gt;=Sales!D$3),'New Hires Forecast'!$P$5:$P$84,'New Hires Forecast'!$L$5:$L$84)),0),IF(YEAR(D$3)=YEAR('New Hires Forecast'!$Q$3),IF((D$5=12),(SUMPRODUCT(--('New Hires Forecast'!$F$5:$F$84="Sales"),--('New Hires Forecast'!$H$5:$H$84&gt;=Sales!D$3),'New Hires Forecast'!$Q$5:$Q$84,'New Hires Forecast'!$L$5:$L$84)),0),IF(YEAR(D$3)=YEAR('New Hires Forecast'!$R$3),IF((D$5=12),(SUMPRODUCT(--('New Hires Forecast'!$F$5:$F$84="Sales"),--('New Hires Forecast'!$H$5:$H$84&gt;=Sales!D$3),'New Hires Forecast'!$R$5:$R$84,'New Hires Forecast'!$L$5:$L$84)),0),"New Year"))))),0)</f>
        <v>0</v>
      </c>
      <c r="E15" s="684">
        <f>IF(E$4="forecast",IF(YEAR(E$3)=YEAR('New Hires Forecast'!$N$3),IF((E$5=12),(SUMPRODUCT(--('New Hires Forecast'!$F$5:$F$84="Sales"),--('New Hires Forecast'!$H$5:$H$84&gt;=Sales!E$3),'New Hires Forecast'!$N$5:$N$84,'New Hires Forecast'!$L$5:$L$84)),0),IF(YEAR(E$3)=YEAR('New Hires Forecast'!$O$3),IF((E$5=12),(SUMPRODUCT(--('New Hires Forecast'!$F$5:$F$84="Sales"),--('New Hires Forecast'!$H$5:$H$84&gt;=Sales!E$3),'New Hires Forecast'!$O$5:$O$84,'New Hires Forecast'!$L$5:$L$84)),0),IF(YEAR(E$3)=YEAR('New Hires Forecast'!$P$3),IF((E$5=12),(SUMPRODUCT(--('New Hires Forecast'!$F$5:$F$84="Sales"),--('New Hires Forecast'!$H$5:$H$84&gt;=Sales!E$3),'New Hires Forecast'!$P$5:$P$84,'New Hires Forecast'!$L$5:$L$84)),0),IF(YEAR(E$3)=YEAR('New Hires Forecast'!$Q$3),IF((E$5=12),(SUMPRODUCT(--('New Hires Forecast'!$F$5:$F$84="Sales"),--('New Hires Forecast'!$H$5:$H$84&gt;=Sales!E$3),'New Hires Forecast'!$Q$5:$Q$84,'New Hires Forecast'!$L$5:$L$84)),0),IF(YEAR(E$3)=YEAR('New Hires Forecast'!$R$3),IF((E$5=12),(SUMPRODUCT(--('New Hires Forecast'!$F$5:$F$84="Sales"),--('New Hires Forecast'!$H$5:$H$84&gt;=Sales!E$3),'New Hires Forecast'!$R$5:$R$84,'New Hires Forecast'!$L$5:$L$84)),0),"New Year"))))),0)</f>
        <v>0</v>
      </c>
      <c r="F15" s="684">
        <f>IF(F$4="forecast",IF(YEAR(F$3)=YEAR('New Hires Forecast'!$N$3),IF((F$5=12),(SUMPRODUCT(--('New Hires Forecast'!$F$5:$F$84="Sales"),--('New Hires Forecast'!$H$5:$H$84&gt;=Sales!F$3),'New Hires Forecast'!$N$5:$N$84,'New Hires Forecast'!$L$5:$L$84)),0),IF(YEAR(F$3)=YEAR('New Hires Forecast'!$O$3),IF((F$5=12),(SUMPRODUCT(--('New Hires Forecast'!$F$5:$F$84="Sales"),--('New Hires Forecast'!$H$5:$H$84&gt;=Sales!F$3),'New Hires Forecast'!$O$5:$O$84,'New Hires Forecast'!$L$5:$L$84)),0),IF(YEAR(F$3)=YEAR('New Hires Forecast'!$P$3),IF((F$5=12),(SUMPRODUCT(--('New Hires Forecast'!$F$5:$F$84="Sales"),--('New Hires Forecast'!$H$5:$H$84&gt;=Sales!F$3),'New Hires Forecast'!$P$5:$P$84,'New Hires Forecast'!$L$5:$L$84)),0),IF(YEAR(F$3)=YEAR('New Hires Forecast'!$Q$3),IF((F$5=12),(SUMPRODUCT(--('New Hires Forecast'!$F$5:$F$84="Sales"),--('New Hires Forecast'!$H$5:$H$84&gt;=Sales!F$3),'New Hires Forecast'!$Q$5:$Q$84,'New Hires Forecast'!$L$5:$L$84)),0),IF(YEAR(F$3)=YEAR('New Hires Forecast'!$R$3),IF((F$5=12),(SUMPRODUCT(--('New Hires Forecast'!$F$5:$F$84="Sales"),--('New Hires Forecast'!$H$5:$H$84&gt;=Sales!F$3),'New Hires Forecast'!$R$5:$R$84,'New Hires Forecast'!$L$5:$L$84)),0),"New Year"))))),0)</f>
        <v>0</v>
      </c>
      <c r="G15" s="684">
        <f>IF(G$4="forecast",IF(YEAR(G$3)=YEAR('New Hires Forecast'!$N$3),IF((G$5=12),(SUMPRODUCT(--('New Hires Forecast'!$F$5:$F$84="Sales"),--('New Hires Forecast'!$H$5:$H$84&gt;=Sales!G$3),'New Hires Forecast'!$N$5:$N$84,'New Hires Forecast'!$L$5:$L$84)),0),IF(YEAR(G$3)=YEAR('New Hires Forecast'!$O$3),IF((G$5=12),(SUMPRODUCT(--('New Hires Forecast'!$F$5:$F$84="Sales"),--('New Hires Forecast'!$H$5:$H$84&gt;=Sales!G$3),'New Hires Forecast'!$O$5:$O$84,'New Hires Forecast'!$L$5:$L$84)),0),IF(YEAR(G$3)=YEAR('New Hires Forecast'!$P$3),IF((G$5=12),(SUMPRODUCT(--('New Hires Forecast'!$F$5:$F$84="Sales"),--('New Hires Forecast'!$H$5:$H$84&gt;=Sales!G$3),'New Hires Forecast'!$P$5:$P$84,'New Hires Forecast'!$L$5:$L$84)),0),IF(YEAR(G$3)=YEAR('New Hires Forecast'!$Q$3),IF((G$5=12),(SUMPRODUCT(--('New Hires Forecast'!$F$5:$F$84="Sales"),--('New Hires Forecast'!$H$5:$H$84&gt;=Sales!G$3),'New Hires Forecast'!$Q$5:$Q$84,'New Hires Forecast'!$L$5:$L$84)),0),IF(YEAR(G$3)=YEAR('New Hires Forecast'!$R$3),IF((G$5=12),(SUMPRODUCT(--('New Hires Forecast'!$F$5:$F$84="Sales"),--('New Hires Forecast'!$H$5:$H$84&gt;=Sales!G$3),'New Hires Forecast'!$R$5:$R$84,'New Hires Forecast'!$L$5:$L$84)),0),"New Year"))))),0)</f>
        <v>0</v>
      </c>
      <c r="H15" s="684">
        <f>IF(H$4="forecast",IF(YEAR(H$3)=YEAR('New Hires Forecast'!$N$3),IF((H$5=12),(SUMPRODUCT(--('New Hires Forecast'!$F$5:$F$84="Sales"),--('New Hires Forecast'!$H$5:$H$84&gt;=Sales!H$3),'New Hires Forecast'!$N$5:$N$84,'New Hires Forecast'!$L$5:$L$84)),0),IF(YEAR(H$3)=YEAR('New Hires Forecast'!$O$3),IF((H$5=12),(SUMPRODUCT(--('New Hires Forecast'!$F$5:$F$84="Sales"),--('New Hires Forecast'!$H$5:$H$84&gt;=Sales!H$3),'New Hires Forecast'!$O$5:$O$84,'New Hires Forecast'!$L$5:$L$84)),0),IF(YEAR(H$3)=YEAR('New Hires Forecast'!$P$3),IF((H$5=12),(SUMPRODUCT(--('New Hires Forecast'!$F$5:$F$84="Sales"),--('New Hires Forecast'!$H$5:$H$84&gt;=Sales!H$3),'New Hires Forecast'!$P$5:$P$84,'New Hires Forecast'!$L$5:$L$84)),0),IF(YEAR(H$3)=YEAR('New Hires Forecast'!$Q$3),IF((H$5=12),(SUMPRODUCT(--('New Hires Forecast'!$F$5:$F$84="Sales"),--('New Hires Forecast'!$H$5:$H$84&gt;=Sales!H$3),'New Hires Forecast'!$Q$5:$Q$84,'New Hires Forecast'!$L$5:$L$84)),0),IF(YEAR(H$3)=YEAR('New Hires Forecast'!$R$3),IF((H$5=12),(SUMPRODUCT(--('New Hires Forecast'!$F$5:$F$84="Sales"),--('New Hires Forecast'!$H$5:$H$84&gt;=Sales!H$3),'New Hires Forecast'!$R$5:$R$84,'New Hires Forecast'!$L$5:$L$84)),0),"New Year"))))),0)</f>
        <v>0</v>
      </c>
      <c r="I15" s="684">
        <f>IF(I$4="forecast",IF(YEAR(I$3)=YEAR('New Hires Forecast'!$N$3),IF((I$5=12),(SUMPRODUCT(--('New Hires Forecast'!$F$5:$F$84="Sales"),--('New Hires Forecast'!$H$5:$H$84&gt;=Sales!I$3),'New Hires Forecast'!$N$5:$N$84,'New Hires Forecast'!$L$5:$L$84)),0),IF(YEAR(I$3)=YEAR('New Hires Forecast'!$O$3),IF((I$5=12),(SUMPRODUCT(--('New Hires Forecast'!$F$5:$F$84="Sales"),--('New Hires Forecast'!$H$5:$H$84&gt;=Sales!I$3),'New Hires Forecast'!$O$5:$O$84,'New Hires Forecast'!$L$5:$L$84)),0),IF(YEAR(I$3)=YEAR('New Hires Forecast'!$P$3),IF((I$5=12),(SUMPRODUCT(--('New Hires Forecast'!$F$5:$F$84="Sales"),--('New Hires Forecast'!$H$5:$H$84&gt;=Sales!I$3),'New Hires Forecast'!$P$5:$P$84,'New Hires Forecast'!$L$5:$L$84)),0),IF(YEAR(I$3)=YEAR('New Hires Forecast'!$Q$3),IF((I$5=12),(SUMPRODUCT(--('New Hires Forecast'!$F$5:$F$84="Sales"),--('New Hires Forecast'!$H$5:$H$84&gt;=Sales!I$3),'New Hires Forecast'!$Q$5:$Q$84,'New Hires Forecast'!$L$5:$L$84)),0),IF(YEAR(I$3)=YEAR('New Hires Forecast'!$R$3),IF((I$5=12),(SUMPRODUCT(--('New Hires Forecast'!$F$5:$F$84="Sales"),--('New Hires Forecast'!$H$5:$H$84&gt;=Sales!I$3),'New Hires Forecast'!$R$5:$R$84,'New Hires Forecast'!$L$5:$L$84)),0),"New Year"))))),0)</f>
        <v>0</v>
      </c>
      <c r="J15" s="684">
        <f>IF(J$4="forecast",IF(YEAR(J$3)=YEAR('New Hires Forecast'!$N$3),IF((J$5=12),(SUMPRODUCT(--('New Hires Forecast'!$F$5:$F$84="Sales"),--('New Hires Forecast'!$H$5:$H$84&gt;=Sales!J$3),'New Hires Forecast'!$N$5:$N$84,'New Hires Forecast'!$L$5:$L$84)),0),IF(YEAR(J$3)=YEAR('New Hires Forecast'!$O$3),IF((J$5=12),(SUMPRODUCT(--('New Hires Forecast'!$F$5:$F$84="Sales"),--('New Hires Forecast'!$H$5:$H$84&gt;=Sales!J$3),'New Hires Forecast'!$O$5:$O$84,'New Hires Forecast'!$L$5:$L$84)),0),IF(YEAR(J$3)=YEAR('New Hires Forecast'!$P$3),IF((J$5=12),(SUMPRODUCT(--('New Hires Forecast'!$F$5:$F$84="Sales"),--('New Hires Forecast'!$H$5:$H$84&gt;=Sales!J$3),'New Hires Forecast'!$P$5:$P$84,'New Hires Forecast'!$L$5:$L$84)),0),IF(YEAR(J$3)=YEAR('New Hires Forecast'!$Q$3),IF((J$5=12),(SUMPRODUCT(--('New Hires Forecast'!$F$5:$F$84="Sales"),--('New Hires Forecast'!$H$5:$H$84&gt;=Sales!J$3),'New Hires Forecast'!$Q$5:$Q$84,'New Hires Forecast'!$L$5:$L$84)),0),IF(YEAR(J$3)=YEAR('New Hires Forecast'!$R$3),IF((J$5=12),(SUMPRODUCT(--('New Hires Forecast'!$F$5:$F$84="Sales"),--('New Hires Forecast'!$H$5:$H$84&gt;=Sales!J$3),'New Hires Forecast'!$R$5:$R$84,'New Hires Forecast'!$L$5:$L$84)),0),"New Year"))))),0)</f>
        <v>0</v>
      </c>
      <c r="K15" s="684">
        <f>IF(K$4="forecast",IF(YEAR(K$3)=YEAR('New Hires Forecast'!$N$3),IF((K$5=12),(SUMPRODUCT(--('New Hires Forecast'!$F$5:$F$84="Sales"),--('New Hires Forecast'!$H$5:$H$84&gt;=Sales!K$3),'New Hires Forecast'!$N$5:$N$84,'New Hires Forecast'!$L$5:$L$84)),0),IF(YEAR(K$3)=YEAR('New Hires Forecast'!$O$3),IF((K$5=12),(SUMPRODUCT(--('New Hires Forecast'!$F$5:$F$84="Sales"),--('New Hires Forecast'!$H$5:$H$84&gt;=Sales!K$3),'New Hires Forecast'!$O$5:$O$84,'New Hires Forecast'!$L$5:$L$84)),0),IF(YEAR(K$3)=YEAR('New Hires Forecast'!$P$3),IF((K$5=12),(SUMPRODUCT(--('New Hires Forecast'!$F$5:$F$84="Sales"),--('New Hires Forecast'!$H$5:$H$84&gt;=Sales!K$3),'New Hires Forecast'!$P$5:$P$84,'New Hires Forecast'!$L$5:$L$84)),0),IF(YEAR(K$3)=YEAR('New Hires Forecast'!$Q$3),IF((K$5=12),(SUMPRODUCT(--('New Hires Forecast'!$F$5:$F$84="Sales"),--('New Hires Forecast'!$H$5:$H$84&gt;=Sales!K$3),'New Hires Forecast'!$Q$5:$Q$84,'New Hires Forecast'!$L$5:$L$84)),0),IF(YEAR(K$3)=YEAR('New Hires Forecast'!$R$3),IF((K$5=12),(SUMPRODUCT(--('New Hires Forecast'!$F$5:$F$84="Sales"),--('New Hires Forecast'!$H$5:$H$84&gt;=Sales!K$3),'New Hires Forecast'!$R$5:$R$84,'New Hires Forecast'!$L$5:$L$84)),0),"New Year"))))),0)</f>
        <v>0</v>
      </c>
      <c r="L15" s="684">
        <f>IF(L$4="forecast",IF(YEAR(L$3)=YEAR('New Hires Forecast'!$N$3),IF((L$5=12),(SUMPRODUCT(--('New Hires Forecast'!$F$5:$F$84="Sales"),--('New Hires Forecast'!$H$5:$H$84&gt;=Sales!L$3),'New Hires Forecast'!$N$5:$N$84,'New Hires Forecast'!$L$5:$L$84)),0),IF(YEAR(L$3)=YEAR('New Hires Forecast'!$O$3),IF((L$5=12),(SUMPRODUCT(--('New Hires Forecast'!$F$5:$F$84="Sales"),--('New Hires Forecast'!$H$5:$H$84&gt;=Sales!L$3),'New Hires Forecast'!$O$5:$O$84,'New Hires Forecast'!$L$5:$L$84)),0),IF(YEAR(L$3)=YEAR('New Hires Forecast'!$P$3),IF((L$5=12),(SUMPRODUCT(--('New Hires Forecast'!$F$5:$F$84="Sales"),--('New Hires Forecast'!$H$5:$H$84&gt;=Sales!L$3),'New Hires Forecast'!$P$5:$P$84,'New Hires Forecast'!$L$5:$L$84)),0),IF(YEAR(L$3)=YEAR('New Hires Forecast'!$Q$3),IF((L$5=12),(SUMPRODUCT(--('New Hires Forecast'!$F$5:$F$84="Sales"),--('New Hires Forecast'!$H$5:$H$84&gt;=Sales!L$3),'New Hires Forecast'!$Q$5:$Q$84,'New Hires Forecast'!$L$5:$L$84)),0),IF(YEAR(L$3)=YEAR('New Hires Forecast'!$R$3),IF((L$5=12),(SUMPRODUCT(--('New Hires Forecast'!$F$5:$F$84="Sales"),--('New Hires Forecast'!$H$5:$H$84&gt;=Sales!L$3),'New Hires Forecast'!$R$5:$R$84,'New Hires Forecast'!$L$5:$L$84)),0),"New Year"))))),0)</f>
        <v>0</v>
      </c>
      <c r="M15" s="684">
        <f>IF(M$4="forecast",IF(YEAR(M$3)=YEAR('New Hires Forecast'!$N$3),IF((M$5=12),(SUMPRODUCT(--('New Hires Forecast'!$F$5:$F$84="Sales"),--('New Hires Forecast'!$H$5:$H$84&gt;=Sales!M$3),'New Hires Forecast'!$N$5:$N$84,'New Hires Forecast'!$L$5:$L$84)),0),IF(YEAR(M$3)=YEAR('New Hires Forecast'!$O$3),IF((M$5=12),(SUMPRODUCT(--('New Hires Forecast'!$F$5:$F$84="Sales"),--('New Hires Forecast'!$H$5:$H$84&gt;=Sales!M$3),'New Hires Forecast'!$O$5:$O$84,'New Hires Forecast'!$L$5:$L$84)),0),IF(YEAR(M$3)=YEAR('New Hires Forecast'!$P$3),IF((M$5=12),(SUMPRODUCT(--('New Hires Forecast'!$F$5:$F$84="Sales"),--('New Hires Forecast'!$H$5:$H$84&gt;=Sales!M$3),'New Hires Forecast'!$P$5:$P$84,'New Hires Forecast'!$L$5:$L$84)),0),IF(YEAR(M$3)=YEAR('New Hires Forecast'!$Q$3),IF((M$5=12),(SUMPRODUCT(--('New Hires Forecast'!$F$5:$F$84="Sales"),--('New Hires Forecast'!$H$5:$H$84&gt;=Sales!M$3),'New Hires Forecast'!$Q$5:$Q$84,'New Hires Forecast'!$L$5:$L$84)),0),IF(YEAR(M$3)=YEAR('New Hires Forecast'!$R$3),IF((M$5=12),(SUMPRODUCT(--('New Hires Forecast'!$F$5:$F$84="Sales"),--('New Hires Forecast'!$H$5:$H$84&gt;=Sales!M$3),'New Hires Forecast'!$R$5:$R$84,'New Hires Forecast'!$L$5:$L$84)),0),"New Year"))))),0)</f>
        <v>0</v>
      </c>
      <c r="N15" s="684">
        <f>IF(N$4="forecast",IF(YEAR(N$3)=YEAR('New Hires Forecast'!$N$3),IF((N$5=12),(SUMPRODUCT(--('New Hires Forecast'!$F$5:$F$84="Sales"),--('New Hires Forecast'!$H$5:$H$84&gt;=Sales!N$3),'New Hires Forecast'!$N$5:$N$84,'New Hires Forecast'!$L$5:$L$84)),0),IF(YEAR(N$3)=YEAR('New Hires Forecast'!$O$3),IF((N$5=12),(SUMPRODUCT(--('New Hires Forecast'!$F$5:$F$84="Sales"),--('New Hires Forecast'!$H$5:$H$84&gt;=Sales!N$3),'New Hires Forecast'!$O$5:$O$84,'New Hires Forecast'!$L$5:$L$84)),0),IF(YEAR(N$3)=YEAR('New Hires Forecast'!$P$3),IF((N$5=12),(SUMPRODUCT(--('New Hires Forecast'!$F$5:$F$84="Sales"),--('New Hires Forecast'!$H$5:$H$84&gt;=Sales!N$3),'New Hires Forecast'!$P$5:$P$84,'New Hires Forecast'!$L$5:$L$84)),0),IF(YEAR(N$3)=YEAR('New Hires Forecast'!$Q$3),IF((N$5=12),(SUMPRODUCT(--('New Hires Forecast'!$F$5:$F$84="Sales"),--('New Hires Forecast'!$H$5:$H$84&gt;=Sales!N$3),'New Hires Forecast'!$Q$5:$Q$84,'New Hires Forecast'!$L$5:$L$84)),0),IF(YEAR(N$3)=YEAR('New Hires Forecast'!$R$3),IF((N$5=12),(SUMPRODUCT(--('New Hires Forecast'!$F$5:$F$84="Sales"),--('New Hires Forecast'!$H$5:$H$84&gt;=Sales!N$3),'New Hires Forecast'!$R$5:$R$84,'New Hires Forecast'!$L$5:$L$84)),0),"New Year"))))),0)</f>
        <v>0</v>
      </c>
      <c r="O15" s="684">
        <f>IF(O$4="forecast",IF(YEAR(O$3)=YEAR('New Hires Forecast'!$N$3),IF((O$5=12),(SUMPRODUCT(--('New Hires Forecast'!$F$5:$F$84="Sales"),--('New Hires Forecast'!$H$5:$H$84&gt;=Sales!O$3),'New Hires Forecast'!$N$5:$N$84,'New Hires Forecast'!$L$5:$L$84)),0),IF(YEAR(O$3)=YEAR('New Hires Forecast'!$O$3),IF((O$5=12),(SUMPRODUCT(--('New Hires Forecast'!$F$5:$F$84="Sales"),--('New Hires Forecast'!$H$5:$H$84&gt;=Sales!O$3),'New Hires Forecast'!$O$5:$O$84,'New Hires Forecast'!$L$5:$L$84)),0),IF(YEAR(O$3)=YEAR('New Hires Forecast'!$P$3),IF((O$5=12),(SUMPRODUCT(--('New Hires Forecast'!$F$5:$F$84="Sales"),--('New Hires Forecast'!$H$5:$H$84&gt;=Sales!O$3),'New Hires Forecast'!$P$5:$P$84,'New Hires Forecast'!$L$5:$L$84)),0),IF(YEAR(O$3)=YEAR('New Hires Forecast'!$Q$3),IF((O$5=12),(SUMPRODUCT(--('New Hires Forecast'!$F$5:$F$84="Sales"),--('New Hires Forecast'!$H$5:$H$84&gt;=Sales!O$3),'New Hires Forecast'!$Q$5:$Q$84,'New Hires Forecast'!$L$5:$L$84)),0),IF(YEAR(O$3)=YEAR('New Hires Forecast'!$R$3),IF((O$5=12),(SUMPRODUCT(--('New Hires Forecast'!$F$5:$F$84="Sales"),--('New Hires Forecast'!$H$5:$H$84&gt;=Sales!O$3),'New Hires Forecast'!$R$5:$R$84,'New Hires Forecast'!$L$5:$L$84)),0),"New Year"))))),0)</f>
        <v>0</v>
      </c>
      <c r="P15" s="684">
        <f>IF(P$4="forecast",IF(YEAR(P$3)=YEAR('New Hires Forecast'!$N$3),IF((P$5=12),(SUMPRODUCT(--('New Hires Forecast'!$F$5:$F$84="Sales"),--('New Hires Forecast'!$H$5:$H$84&gt;=Sales!P$3),'New Hires Forecast'!$N$5:$N$84,'New Hires Forecast'!$L$5:$L$84)),0),IF(YEAR(P$3)=YEAR('New Hires Forecast'!$O$3),IF((P$5=12),(SUMPRODUCT(--('New Hires Forecast'!$F$5:$F$84="Sales"),--('New Hires Forecast'!$H$5:$H$84&gt;=Sales!P$3),'New Hires Forecast'!$O$5:$O$84,'New Hires Forecast'!$L$5:$L$84)),0),IF(YEAR(P$3)=YEAR('New Hires Forecast'!$P$3),IF((P$5=12),(SUMPRODUCT(--('New Hires Forecast'!$F$5:$F$84="Sales"),--('New Hires Forecast'!$H$5:$H$84&gt;=Sales!P$3),'New Hires Forecast'!$P$5:$P$84,'New Hires Forecast'!$L$5:$L$84)),0),IF(YEAR(P$3)=YEAR('New Hires Forecast'!$Q$3),IF((P$5=12),(SUMPRODUCT(--('New Hires Forecast'!$F$5:$F$84="Sales"),--('New Hires Forecast'!$H$5:$H$84&gt;=Sales!P$3),'New Hires Forecast'!$Q$5:$Q$84,'New Hires Forecast'!$L$5:$L$84)),0),IF(YEAR(P$3)=YEAR('New Hires Forecast'!$R$3),IF((P$5=12),(SUMPRODUCT(--('New Hires Forecast'!$F$5:$F$84="Sales"),--('New Hires Forecast'!$H$5:$H$84&gt;=Sales!P$3),'New Hires Forecast'!$R$5:$R$84,'New Hires Forecast'!$L$5:$L$84)),0),"New Year"))))),0)</f>
        <v>0</v>
      </c>
      <c r="Q15" s="684">
        <f>IF(Q$4="forecast",IF(YEAR(Q$3)=YEAR('New Hires Forecast'!$N$3),IF((Q$5=12),(SUMPRODUCT(--('New Hires Forecast'!$F$5:$F$84="Sales"),--('New Hires Forecast'!$H$5:$H$84&gt;=Sales!Q$3),'New Hires Forecast'!$N$5:$N$84,'New Hires Forecast'!$L$5:$L$84)),0),IF(YEAR(Q$3)=YEAR('New Hires Forecast'!$O$3),IF((Q$5=12),(SUMPRODUCT(--('New Hires Forecast'!$F$5:$F$84="Sales"),--('New Hires Forecast'!$H$5:$H$84&gt;=Sales!Q$3),'New Hires Forecast'!$O$5:$O$84,'New Hires Forecast'!$L$5:$L$84)),0),IF(YEAR(Q$3)=YEAR('New Hires Forecast'!$P$3),IF((Q$5=12),(SUMPRODUCT(--('New Hires Forecast'!$F$5:$F$84="Sales"),--('New Hires Forecast'!$H$5:$H$84&gt;=Sales!Q$3),'New Hires Forecast'!$P$5:$P$84,'New Hires Forecast'!$L$5:$L$84)),0),IF(YEAR(Q$3)=YEAR('New Hires Forecast'!$Q$3),IF((Q$5=12),(SUMPRODUCT(--('New Hires Forecast'!$F$5:$F$84="Sales"),--('New Hires Forecast'!$H$5:$H$84&gt;=Sales!Q$3),'New Hires Forecast'!$Q$5:$Q$84,'New Hires Forecast'!$L$5:$L$84)),0),IF(YEAR(Q$3)=YEAR('New Hires Forecast'!$R$3),IF((Q$5=12),(SUMPRODUCT(--('New Hires Forecast'!$F$5:$F$84="Sales"),--('New Hires Forecast'!$H$5:$H$84&gt;=Sales!Q$3),'New Hires Forecast'!$R$5:$R$84,'New Hires Forecast'!$L$5:$L$84)),0),"New Year"))))),0)</f>
        <v>0</v>
      </c>
      <c r="R15" s="684">
        <f>IF(R$4="forecast",IF(YEAR(R$3)=YEAR('New Hires Forecast'!$N$3),IF((R$5=12),(SUMPRODUCT(--('New Hires Forecast'!$F$5:$F$84="Sales"),--('New Hires Forecast'!$H$5:$H$84&gt;=Sales!R$3),'New Hires Forecast'!$N$5:$N$84,'New Hires Forecast'!$L$5:$L$84)),0),IF(YEAR(R$3)=YEAR('New Hires Forecast'!$O$3),IF((R$5=12),(SUMPRODUCT(--('New Hires Forecast'!$F$5:$F$84="Sales"),--('New Hires Forecast'!$H$5:$H$84&gt;=Sales!R$3),'New Hires Forecast'!$O$5:$O$84,'New Hires Forecast'!$L$5:$L$84)),0),IF(YEAR(R$3)=YEAR('New Hires Forecast'!$P$3),IF((R$5=12),(SUMPRODUCT(--('New Hires Forecast'!$F$5:$F$84="Sales"),--('New Hires Forecast'!$H$5:$H$84&gt;=Sales!R$3),'New Hires Forecast'!$P$5:$P$84,'New Hires Forecast'!$L$5:$L$84)),0),IF(YEAR(R$3)=YEAR('New Hires Forecast'!$Q$3),IF((R$5=12),(SUMPRODUCT(--('New Hires Forecast'!$F$5:$F$84="Sales"),--('New Hires Forecast'!$H$5:$H$84&gt;=Sales!R$3),'New Hires Forecast'!$Q$5:$Q$84,'New Hires Forecast'!$L$5:$L$84)),0),IF(YEAR(R$3)=YEAR('New Hires Forecast'!$R$3),IF((R$5=12),(SUMPRODUCT(--('New Hires Forecast'!$F$5:$F$84="Sales"),--('New Hires Forecast'!$H$5:$H$84&gt;=Sales!R$3),'New Hires Forecast'!$R$5:$R$84,'New Hires Forecast'!$L$5:$L$84)),0),"New Year"))))),0)</f>
        <v>0</v>
      </c>
      <c r="S15" s="684">
        <f>IF(S$4="forecast",IF(YEAR(S$3)=YEAR('New Hires Forecast'!$N$3),IF((S$5=12),(SUMPRODUCT(--('New Hires Forecast'!$F$5:$F$84="Sales"),--('New Hires Forecast'!$H$5:$H$84&gt;=Sales!S$3),'New Hires Forecast'!$N$5:$N$84,'New Hires Forecast'!$L$5:$L$84)),0),IF(YEAR(S$3)=YEAR('New Hires Forecast'!$O$3),IF((S$5=12),(SUMPRODUCT(--('New Hires Forecast'!$F$5:$F$84="Sales"),--('New Hires Forecast'!$H$5:$H$84&gt;=Sales!S$3),'New Hires Forecast'!$O$5:$O$84,'New Hires Forecast'!$L$5:$L$84)),0),IF(YEAR(S$3)=YEAR('New Hires Forecast'!$P$3),IF((S$5=12),(SUMPRODUCT(--('New Hires Forecast'!$F$5:$F$84="Sales"),--('New Hires Forecast'!$H$5:$H$84&gt;=Sales!S$3),'New Hires Forecast'!$P$5:$P$84,'New Hires Forecast'!$L$5:$L$84)),0),IF(YEAR(S$3)=YEAR('New Hires Forecast'!$Q$3),IF((S$5=12),(SUMPRODUCT(--('New Hires Forecast'!$F$5:$F$84="Sales"),--('New Hires Forecast'!$H$5:$H$84&gt;=Sales!S$3),'New Hires Forecast'!$Q$5:$Q$84,'New Hires Forecast'!$L$5:$L$84)),0),IF(YEAR(S$3)=YEAR('New Hires Forecast'!$R$3),IF((S$5=12),(SUMPRODUCT(--('New Hires Forecast'!$F$5:$F$84="Sales"),--('New Hires Forecast'!$H$5:$H$84&gt;=Sales!S$3),'New Hires Forecast'!$R$5:$R$84,'New Hires Forecast'!$L$5:$L$84)),0),"New Year"))))),0)</f>
        <v>0</v>
      </c>
      <c r="T15" s="684">
        <f>IF(T$4="forecast",IF(YEAR(T$3)=YEAR('New Hires Forecast'!$N$3),IF((T$5=12),(SUMPRODUCT(--('New Hires Forecast'!$F$5:$F$84="Sales"),--('New Hires Forecast'!$H$5:$H$84&gt;=Sales!T$3),'New Hires Forecast'!$N$5:$N$84,'New Hires Forecast'!$L$5:$L$84)),0),IF(YEAR(T$3)=YEAR('New Hires Forecast'!$O$3),IF((T$5=12),(SUMPRODUCT(--('New Hires Forecast'!$F$5:$F$84="Sales"),--('New Hires Forecast'!$H$5:$H$84&gt;=Sales!T$3),'New Hires Forecast'!$O$5:$O$84,'New Hires Forecast'!$L$5:$L$84)),0),IF(YEAR(T$3)=YEAR('New Hires Forecast'!$P$3),IF((T$5=12),(SUMPRODUCT(--('New Hires Forecast'!$F$5:$F$84="Sales"),--('New Hires Forecast'!$H$5:$H$84&gt;=Sales!T$3),'New Hires Forecast'!$P$5:$P$84,'New Hires Forecast'!$L$5:$L$84)),0),IF(YEAR(T$3)=YEAR('New Hires Forecast'!$Q$3),IF((T$5=12),(SUMPRODUCT(--('New Hires Forecast'!$F$5:$F$84="Sales"),--('New Hires Forecast'!$H$5:$H$84&gt;=Sales!T$3),'New Hires Forecast'!$Q$5:$Q$84,'New Hires Forecast'!$L$5:$L$84)),0),IF(YEAR(T$3)=YEAR('New Hires Forecast'!$R$3),IF((T$5=12),(SUMPRODUCT(--('New Hires Forecast'!$F$5:$F$84="Sales"),--('New Hires Forecast'!$H$5:$H$84&gt;=Sales!T$3),'New Hires Forecast'!$R$5:$R$84,'New Hires Forecast'!$L$5:$L$84)),0),"New Year"))))),0)</f>
        <v>0</v>
      </c>
      <c r="U15" s="684">
        <f>IF(U$4="forecast",IF(YEAR(U$3)=YEAR('New Hires Forecast'!$N$3),IF((U$5=12),(SUMPRODUCT(--('New Hires Forecast'!$F$5:$F$84="Sales"),--('New Hires Forecast'!$H$5:$H$84&gt;=Sales!U$3),'New Hires Forecast'!$N$5:$N$84,'New Hires Forecast'!$L$5:$L$84)),0),IF(YEAR(U$3)=YEAR('New Hires Forecast'!$O$3),IF((U$5=12),(SUMPRODUCT(--('New Hires Forecast'!$F$5:$F$84="Sales"),--('New Hires Forecast'!$H$5:$H$84&gt;=Sales!U$3),'New Hires Forecast'!$O$5:$O$84,'New Hires Forecast'!$L$5:$L$84)),0),IF(YEAR(U$3)=YEAR('New Hires Forecast'!$P$3),IF((U$5=12),(SUMPRODUCT(--('New Hires Forecast'!$F$5:$F$84="Sales"),--('New Hires Forecast'!$H$5:$H$84&gt;=Sales!U$3),'New Hires Forecast'!$P$5:$P$84,'New Hires Forecast'!$L$5:$L$84)),0),IF(YEAR(U$3)=YEAR('New Hires Forecast'!$Q$3),IF((U$5=12),(SUMPRODUCT(--('New Hires Forecast'!$F$5:$F$84="Sales"),--('New Hires Forecast'!$H$5:$H$84&gt;=Sales!U$3),'New Hires Forecast'!$Q$5:$Q$84,'New Hires Forecast'!$L$5:$L$84)),0),IF(YEAR(U$3)=YEAR('New Hires Forecast'!$R$3),IF((U$5=12),(SUMPRODUCT(--('New Hires Forecast'!$F$5:$F$84="Sales"),--('New Hires Forecast'!$H$5:$H$84&gt;=Sales!U$3),'New Hires Forecast'!$R$5:$R$84,'New Hires Forecast'!$L$5:$L$84)),0),"New Year"))))),0)</f>
        <v>0</v>
      </c>
      <c r="V15" s="684">
        <f>IF(V$4="forecast",IF(YEAR(V$3)=YEAR('New Hires Forecast'!$N$3),IF((V$5=12),(SUMPRODUCT(--('New Hires Forecast'!$F$5:$F$84="Sales"),--('New Hires Forecast'!$H$5:$H$84&gt;=Sales!V$3),'New Hires Forecast'!$N$5:$N$84,'New Hires Forecast'!$L$5:$L$84)),0),IF(YEAR(V$3)=YEAR('New Hires Forecast'!$O$3),IF((V$5=12),(SUMPRODUCT(--('New Hires Forecast'!$F$5:$F$84="Sales"),--('New Hires Forecast'!$H$5:$H$84&gt;=Sales!V$3),'New Hires Forecast'!$O$5:$O$84,'New Hires Forecast'!$L$5:$L$84)),0),IF(YEAR(V$3)=YEAR('New Hires Forecast'!$P$3),IF((V$5=12),(SUMPRODUCT(--('New Hires Forecast'!$F$5:$F$84="Sales"),--('New Hires Forecast'!$H$5:$H$84&gt;=Sales!V$3),'New Hires Forecast'!$P$5:$P$84,'New Hires Forecast'!$L$5:$L$84)),0),IF(YEAR(V$3)=YEAR('New Hires Forecast'!$Q$3),IF((V$5=12),(SUMPRODUCT(--('New Hires Forecast'!$F$5:$F$84="Sales"),--('New Hires Forecast'!$H$5:$H$84&gt;=Sales!V$3),'New Hires Forecast'!$Q$5:$Q$84,'New Hires Forecast'!$L$5:$L$84)),0),IF(YEAR(V$3)=YEAR('New Hires Forecast'!$R$3),IF((V$5=12),(SUMPRODUCT(--('New Hires Forecast'!$F$5:$F$84="Sales"),--('New Hires Forecast'!$H$5:$H$84&gt;=Sales!V$3),'New Hires Forecast'!$R$5:$R$84,'New Hires Forecast'!$L$5:$L$84)),0),"New Year"))))),0)</f>
        <v>0</v>
      </c>
      <c r="W15" s="684">
        <f>IF(W$4="forecast",IF(YEAR(W$3)=YEAR('New Hires Forecast'!$N$3),IF((W$5=12),(SUMPRODUCT(--('New Hires Forecast'!$F$5:$F$84="Sales"),--('New Hires Forecast'!$H$5:$H$84&gt;=Sales!W$3),'New Hires Forecast'!$N$5:$N$84,'New Hires Forecast'!$L$5:$L$84)),0),IF(YEAR(W$3)=YEAR('New Hires Forecast'!$O$3),IF((W$5=12),(SUMPRODUCT(--('New Hires Forecast'!$F$5:$F$84="Sales"),--('New Hires Forecast'!$H$5:$H$84&gt;=Sales!W$3),'New Hires Forecast'!$O$5:$O$84,'New Hires Forecast'!$L$5:$L$84)),0),IF(YEAR(W$3)=YEAR('New Hires Forecast'!$P$3),IF((W$5=12),(SUMPRODUCT(--('New Hires Forecast'!$F$5:$F$84="Sales"),--('New Hires Forecast'!$H$5:$H$84&gt;=Sales!W$3),'New Hires Forecast'!$P$5:$P$84,'New Hires Forecast'!$L$5:$L$84)),0),IF(YEAR(W$3)=YEAR('New Hires Forecast'!$Q$3),IF((W$5=12),(SUMPRODUCT(--('New Hires Forecast'!$F$5:$F$84="Sales"),--('New Hires Forecast'!$H$5:$H$84&gt;=Sales!W$3),'New Hires Forecast'!$Q$5:$Q$84,'New Hires Forecast'!$L$5:$L$84)),0),IF(YEAR(W$3)=YEAR('New Hires Forecast'!$R$3),IF((W$5=12),(SUMPRODUCT(--('New Hires Forecast'!$F$5:$F$84="Sales"),--('New Hires Forecast'!$H$5:$H$84&gt;=Sales!W$3),'New Hires Forecast'!$R$5:$R$84,'New Hires Forecast'!$L$5:$L$84)),0),"New Year"))))),0)</f>
        <v>0</v>
      </c>
      <c r="X15" s="684">
        <f>IF(X$4="forecast",IF(YEAR(X$3)=YEAR('New Hires Forecast'!$N$3),IF((X$5=12),(SUMPRODUCT(--('New Hires Forecast'!$F$5:$F$84="Sales"),--('New Hires Forecast'!$H$5:$H$84&gt;=Sales!X$3),'New Hires Forecast'!$N$5:$N$84,'New Hires Forecast'!$L$5:$L$84)),0),IF(YEAR(X$3)=YEAR('New Hires Forecast'!$O$3),IF((X$5=12),(SUMPRODUCT(--('New Hires Forecast'!$F$5:$F$84="Sales"),--('New Hires Forecast'!$H$5:$H$84&gt;=Sales!X$3),'New Hires Forecast'!$O$5:$O$84,'New Hires Forecast'!$L$5:$L$84)),0),IF(YEAR(X$3)=YEAR('New Hires Forecast'!$P$3),IF((X$5=12),(SUMPRODUCT(--('New Hires Forecast'!$F$5:$F$84="Sales"),--('New Hires Forecast'!$H$5:$H$84&gt;=Sales!X$3),'New Hires Forecast'!$P$5:$P$84,'New Hires Forecast'!$L$5:$L$84)),0),IF(YEAR(X$3)=YEAR('New Hires Forecast'!$Q$3),IF((X$5=12),(SUMPRODUCT(--('New Hires Forecast'!$F$5:$F$84="Sales"),--('New Hires Forecast'!$H$5:$H$84&gt;=Sales!X$3),'New Hires Forecast'!$Q$5:$Q$84,'New Hires Forecast'!$L$5:$L$84)),0),IF(YEAR(X$3)=YEAR('New Hires Forecast'!$R$3),IF((X$5=12),(SUMPRODUCT(--('New Hires Forecast'!$F$5:$F$84="Sales"),--('New Hires Forecast'!$H$5:$H$84&gt;=Sales!X$3),'New Hires Forecast'!$R$5:$R$84,'New Hires Forecast'!$L$5:$L$84)),0),"New Year"))))),0)</f>
        <v>0</v>
      </c>
      <c r="Y15" s="684">
        <f>IF(Y$4="forecast",IF(YEAR(Y$3)=YEAR('New Hires Forecast'!$N$3),IF((Y$5=12),(SUMPRODUCT(--('New Hires Forecast'!$F$5:$F$84="Sales"),--('New Hires Forecast'!$H$5:$H$84&gt;=Sales!Y$3),'New Hires Forecast'!$N$5:$N$84,'New Hires Forecast'!$L$5:$L$84)),0),IF(YEAR(Y$3)=YEAR('New Hires Forecast'!$O$3),IF((Y$5=12),(SUMPRODUCT(--('New Hires Forecast'!$F$5:$F$84="Sales"),--('New Hires Forecast'!$H$5:$H$84&gt;=Sales!Y$3),'New Hires Forecast'!$O$5:$O$84,'New Hires Forecast'!$L$5:$L$84)),0),IF(YEAR(Y$3)=YEAR('New Hires Forecast'!$P$3),IF((Y$5=12),(SUMPRODUCT(--('New Hires Forecast'!$F$5:$F$84="Sales"),--('New Hires Forecast'!$H$5:$H$84&gt;=Sales!Y$3),'New Hires Forecast'!$P$5:$P$84,'New Hires Forecast'!$L$5:$L$84)),0),IF(YEAR(Y$3)=YEAR('New Hires Forecast'!$Q$3),IF((Y$5=12),(SUMPRODUCT(--('New Hires Forecast'!$F$5:$F$84="Sales"),--('New Hires Forecast'!$H$5:$H$84&gt;=Sales!Y$3),'New Hires Forecast'!$Q$5:$Q$84,'New Hires Forecast'!$L$5:$L$84)),0),IF(YEAR(Y$3)=YEAR('New Hires Forecast'!$R$3),IF((Y$5=12),(SUMPRODUCT(--('New Hires Forecast'!$F$5:$F$84="Sales"),--('New Hires Forecast'!$H$5:$H$84&gt;=Sales!Y$3),'New Hires Forecast'!$R$5:$R$84,'New Hires Forecast'!$L$5:$L$84)),0),"New Year"))))),0)</f>
        <v>0</v>
      </c>
      <c r="Z15" s="684">
        <f>IF(Z$4="forecast",IF(YEAR(Z$3)=YEAR('New Hires Forecast'!$N$3),IF((Z$5=12),(SUMPRODUCT(--('New Hires Forecast'!$F$5:$F$84="Sales"),--('New Hires Forecast'!$H$5:$H$84&gt;=Sales!Z$3),'New Hires Forecast'!$N$5:$N$84,'New Hires Forecast'!$L$5:$L$84)),0),IF(YEAR(Z$3)=YEAR('New Hires Forecast'!$O$3),IF((Z$5=12),(SUMPRODUCT(--('New Hires Forecast'!$F$5:$F$84="Sales"),--('New Hires Forecast'!$H$5:$H$84&gt;=Sales!Z$3),'New Hires Forecast'!$O$5:$O$84,'New Hires Forecast'!$L$5:$L$84)),0),IF(YEAR(Z$3)=YEAR('New Hires Forecast'!$P$3),IF((Z$5=12),(SUMPRODUCT(--('New Hires Forecast'!$F$5:$F$84="Sales"),--('New Hires Forecast'!$H$5:$H$84&gt;=Sales!Z$3),'New Hires Forecast'!$P$5:$P$84,'New Hires Forecast'!$L$5:$L$84)),0),IF(YEAR(Z$3)=YEAR('New Hires Forecast'!$Q$3),IF((Z$5=12),(SUMPRODUCT(--('New Hires Forecast'!$F$5:$F$84="Sales"),--('New Hires Forecast'!$H$5:$H$84&gt;=Sales!Z$3),'New Hires Forecast'!$Q$5:$Q$84,'New Hires Forecast'!$L$5:$L$84)),0),IF(YEAR(Z$3)=YEAR('New Hires Forecast'!$R$3),IF((Z$5=12),(SUMPRODUCT(--('New Hires Forecast'!$F$5:$F$84="Sales"),--('New Hires Forecast'!$H$5:$H$84&gt;=Sales!Z$3),'New Hires Forecast'!$R$5:$R$84,'New Hires Forecast'!$L$5:$L$84)),0),"New Year"))))),0)</f>
        <v>0</v>
      </c>
      <c r="AA15" s="684">
        <f>IF(AA$4="forecast",IF(YEAR(AA$3)=YEAR('New Hires Forecast'!$N$3),IF((AA$5=12),(SUMPRODUCT(--('New Hires Forecast'!$F$5:$F$84="Sales"),--('New Hires Forecast'!$H$5:$H$84&gt;=Sales!AA$3),'New Hires Forecast'!$N$5:$N$84,'New Hires Forecast'!$L$5:$L$84)),0),IF(YEAR(AA$3)=YEAR('New Hires Forecast'!$O$3),IF((AA$5=12),(SUMPRODUCT(--('New Hires Forecast'!$F$5:$F$84="Sales"),--('New Hires Forecast'!$H$5:$H$84&gt;=Sales!AA$3),'New Hires Forecast'!$O$5:$O$84,'New Hires Forecast'!$L$5:$L$84)),0),IF(YEAR(AA$3)=YEAR('New Hires Forecast'!$P$3),IF((AA$5=12),(SUMPRODUCT(--('New Hires Forecast'!$F$5:$F$84="Sales"),--('New Hires Forecast'!$H$5:$H$84&gt;=Sales!AA$3),'New Hires Forecast'!$P$5:$P$84,'New Hires Forecast'!$L$5:$L$84)),0),IF(YEAR(AA$3)=YEAR('New Hires Forecast'!$Q$3),IF((AA$5=12),(SUMPRODUCT(--('New Hires Forecast'!$F$5:$F$84="Sales"),--('New Hires Forecast'!$H$5:$H$84&gt;=Sales!AA$3),'New Hires Forecast'!$Q$5:$Q$84,'New Hires Forecast'!$L$5:$L$84)),0),IF(YEAR(AA$3)=YEAR('New Hires Forecast'!$R$3),IF((AA$5=12),(SUMPRODUCT(--('New Hires Forecast'!$F$5:$F$84="Sales"),--('New Hires Forecast'!$H$5:$H$84&gt;=Sales!AA$3),'New Hires Forecast'!$R$5:$R$84,'New Hires Forecast'!$L$5:$L$84)),0),"New Year"))))),0)</f>
        <v>0</v>
      </c>
      <c r="AB15" s="684">
        <f>IF(AB$4="forecast",IF(YEAR(AB$3)=YEAR('New Hires Forecast'!$N$3),IF((AB$5=12),(SUMPRODUCT(--('New Hires Forecast'!$F$5:$F$84="Sales"),--('New Hires Forecast'!$H$5:$H$84&gt;=Sales!AB$3),'New Hires Forecast'!$N$5:$N$84,'New Hires Forecast'!$L$5:$L$84)),0),IF(YEAR(AB$3)=YEAR('New Hires Forecast'!$O$3),IF((AB$5=12),(SUMPRODUCT(--('New Hires Forecast'!$F$5:$F$84="Sales"),--('New Hires Forecast'!$H$5:$H$84&gt;=Sales!AB$3),'New Hires Forecast'!$O$5:$O$84,'New Hires Forecast'!$L$5:$L$84)),0),IF(YEAR(AB$3)=YEAR('New Hires Forecast'!$P$3),IF((AB$5=12),(SUMPRODUCT(--('New Hires Forecast'!$F$5:$F$84="Sales"),--('New Hires Forecast'!$H$5:$H$84&gt;=Sales!AB$3),'New Hires Forecast'!$P$5:$P$84,'New Hires Forecast'!$L$5:$L$84)),0),IF(YEAR(AB$3)=YEAR('New Hires Forecast'!$Q$3),IF((AB$5=12),(SUMPRODUCT(--('New Hires Forecast'!$F$5:$F$84="Sales"),--('New Hires Forecast'!$H$5:$H$84&gt;=Sales!AB$3),'New Hires Forecast'!$Q$5:$Q$84,'New Hires Forecast'!$L$5:$L$84)),0),IF(YEAR(AB$3)=YEAR('New Hires Forecast'!$R$3),IF((AB$5=12),(SUMPRODUCT(--('New Hires Forecast'!$F$5:$F$84="Sales"),--('New Hires Forecast'!$H$5:$H$84&gt;=Sales!AB$3),'New Hires Forecast'!$R$5:$R$84,'New Hires Forecast'!$L$5:$L$84)),0),"New Year"))))),0)</f>
        <v>0</v>
      </c>
      <c r="AC15" s="684">
        <f>IF(AC$4="forecast",IF(YEAR(AC$3)=YEAR('New Hires Forecast'!$N$3),IF((AC$5=12),(SUMPRODUCT(--('New Hires Forecast'!$F$5:$F$84="Sales"),--('New Hires Forecast'!$H$5:$H$84&gt;=Sales!AC$3),'New Hires Forecast'!$N$5:$N$84,'New Hires Forecast'!$L$5:$L$84)),0),IF(YEAR(AC$3)=YEAR('New Hires Forecast'!$O$3),IF((AC$5=12),(SUMPRODUCT(--('New Hires Forecast'!$F$5:$F$84="Sales"),--('New Hires Forecast'!$H$5:$H$84&gt;=Sales!AC$3),'New Hires Forecast'!$O$5:$O$84,'New Hires Forecast'!$L$5:$L$84)),0),IF(YEAR(AC$3)=YEAR('New Hires Forecast'!$P$3),IF((AC$5=12),(SUMPRODUCT(--('New Hires Forecast'!$F$5:$F$84="Sales"),--('New Hires Forecast'!$H$5:$H$84&gt;=Sales!AC$3),'New Hires Forecast'!$P$5:$P$84,'New Hires Forecast'!$L$5:$L$84)),0),IF(YEAR(AC$3)=YEAR('New Hires Forecast'!$Q$3),IF((AC$5=12),(SUMPRODUCT(--('New Hires Forecast'!$F$5:$F$84="Sales"),--('New Hires Forecast'!$H$5:$H$84&gt;=Sales!AC$3),'New Hires Forecast'!$Q$5:$Q$84,'New Hires Forecast'!$L$5:$L$84)),0),IF(YEAR(AC$3)=YEAR('New Hires Forecast'!$R$3),IF((AC$5=12),(SUMPRODUCT(--('New Hires Forecast'!$F$5:$F$84="Sales"),--('New Hires Forecast'!$H$5:$H$84&gt;=Sales!AC$3),'New Hires Forecast'!$R$5:$R$84,'New Hires Forecast'!$L$5:$L$84)),0),"New Year"))))),0)</f>
        <v>0</v>
      </c>
      <c r="AD15" s="684">
        <f>IF(AD$4="forecast",IF(YEAR(AD$3)=YEAR('New Hires Forecast'!$N$3),IF((AD$5=12),(SUMPRODUCT(--('New Hires Forecast'!$F$5:$F$84="Sales"),--('New Hires Forecast'!$H$5:$H$84&gt;=Sales!AD$3),'New Hires Forecast'!$N$5:$N$84,'New Hires Forecast'!$L$5:$L$84)),0),IF(YEAR(AD$3)=YEAR('New Hires Forecast'!$O$3),IF((AD$5=12),(SUMPRODUCT(--('New Hires Forecast'!$F$5:$F$84="Sales"),--('New Hires Forecast'!$H$5:$H$84&gt;=Sales!AD$3),'New Hires Forecast'!$O$5:$O$84,'New Hires Forecast'!$L$5:$L$84)),0),IF(YEAR(AD$3)=YEAR('New Hires Forecast'!$P$3),IF((AD$5=12),(SUMPRODUCT(--('New Hires Forecast'!$F$5:$F$84="Sales"),--('New Hires Forecast'!$H$5:$H$84&gt;=Sales!AD$3),'New Hires Forecast'!$P$5:$P$84,'New Hires Forecast'!$L$5:$L$84)),0),IF(YEAR(AD$3)=YEAR('New Hires Forecast'!$Q$3),IF((AD$5=12),(SUMPRODUCT(--('New Hires Forecast'!$F$5:$F$84="Sales"),--('New Hires Forecast'!$H$5:$H$84&gt;=Sales!AD$3),'New Hires Forecast'!$Q$5:$Q$84,'New Hires Forecast'!$L$5:$L$84)),0),IF(YEAR(AD$3)=YEAR('New Hires Forecast'!$R$3),IF((AD$5=12),(SUMPRODUCT(--('New Hires Forecast'!$F$5:$F$84="Sales"),--('New Hires Forecast'!$H$5:$H$84&gt;=Sales!AD$3),'New Hires Forecast'!$R$5:$R$84,'New Hires Forecast'!$L$5:$L$84)),0),"New Year"))))),0)</f>
        <v>0</v>
      </c>
      <c r="AE15" s="684">
        <f>IF(AE$4="forecast",IF(YEAR(AE$3)=YEAR('New Hires Forecast'!$N$3),IF((AE$5=12),(SUMPRODUCT(--('New Hires Forecast'!$F$5:$F$84="Sales"),--('New Hires Forecast'!$H$5:$H$84&gt;=Sales!AE$3),'New Hires Forecast'!$N$5:$N$84,'New Hires Forecast'!$L$5:$L$84)),0),IF(YEAR(AE$3)=YEAR('New Hires Forecast'!$O$3),IF((AE$5=12),(SUMPRODUCT(--('New Hires Forecast'!$F$5:$F$84="Sales"),--('New Hires Forecast'!$H$5:$H$84&gt;=Sales!AE$3),'New Hires Forecast'!$O$5:$O$84,'New Hires Forecast'!$L$5:$L$84)),0),IF(YEAR(AE$3)=YEAR('New Hires Forecast'!$P$3),IF((AE$5=12),(SUMPRODUCT(--('New Hires Forecast'!$F$5:$F$84="Sales"),--('New Hires Forecast'!$H$5:$H$84&gt;=Sales!AE$3),'New Hires Forecast'!$P$5:$P$84,'New Hires Forecast'!$L$5:$L$84)),0),IF(YEAR(AE$3)=YEAR('New Hires Forecast'!$Q$3),IF((AE$5=12),(SUMPRODUCT(--('New Hires Forecast'!$F$5:$F$84="Sales"),--('New Hires Forecast'!$H$5:$H$84&gt;=Sales!AE$3),'New Hires Forecast'!$Q$5:$Q$84,'New Hires Forecast'!$L$5:$L$84)),0),IF(YEAR(AE$3)=YEAR('New Hires Forecast'!$R$3),IF((AE$5=12),(SUMPRODUCT(--('New Hires Forecast'!$F$5:$F$84="Sales"),--('New Hires Forecast'!$H$5:$H$84&gt;=Sales!AE$3),'New Hires Forecast'!$R$5:$R$84,'New Hires Forecast'!$L$5:$L$84)),0),"New Year"))))),0)</f>
        <v>0</v>
      </c>
      <c r="AF15" s="684">
        <f>IF(AF$4="forecast",IF(YEAR(AF$3)=YEAR('New Hires Forecast'!$N$3),IF((AF$5=12),(SUMPRODUCT(--('New Hires Forecast'!$F$5:$F$84="Sales"),--('New Hires Forecast'!$H$5:$H$84&gt;=Sales!AF$3),'New Hires Forecast'!$N$5:$N$84,'New Hires Forecast'!$L$5:$L$84)),0),IF(YEAR(AF$3)=YEAR('New Hires Forecast'!$O$3),IF((AF$5=12),(SUMPRODUCT(--('New Hires Forecast'!$F$5:$F$84="Sales"),--('New Hires Forecast'!$H$5:$H$84&gt;=Sales!AF$3),'New Hires Forecast'!$O$5:$O$84,'New Hires Forecast'!$L$5:$L$84)),0),IF(YEAR(AF$3)=YEAR('New Hires Forecast'!$P$3),IF((AF$5=12),(SUMPRODUCT(--('New Hires Forecast'!$F$5:$F$84="Sales"),--('New Hires Forecast'!$H$5:$H$84&gt;=Sales!AF$3),'New Hires Forecast'!$P$5:$P$84,'New Hires Forecast'!$L$5:$L$84)),0),IF(YEAR(AF$3)=YEAR('New Hires Forecast'!$Q$3),IF((AF$5=12),(SUMPRODUCT(--('New Hires Forecast'!$F$5:$F$84="Sales"),--('New Hires Forecast'!$H$5:$H$84&gt;=Sales!AF$3),'New Hires Forecast'!$Q$5:$Q$84,'New Hires Forecast'!$L$5:$L$84)),0),IF(YEAR(AF$3)=YEAR('New Hires Forecast'!$R$3),IF((AF$5=12),(SUMPRODUCT(--('New Hires Forecast'!$F$5:$F$84="Sales"),--('New Hires Forecast'!$H$5:$H$84&gt;=Sales!AF$3),'New Hires Forecast'!$R$5:$R$84,'New Hires Forecast'!$L$5:$L$84)),0),"New Year"))))),0)</f>
        <v>0</v>
      </c>
      <c r="AG15" s="684">
        <f>IF(AG$4="forecast",IF(YEAR(AG$3)=YEAR('New Hires Forecast'!$N$3),IF((AG$5=12),(SUMPRODUCT(--('New Hires Forecast'!$F$5:$F$84="Sales"),--('New Hires Forecast'!$H$5:$H$84&gt;=Sales!AG$3),'New Hires Forecast'!$N$5:$N$84,'New Hires Forecast'!$L$5:$L$84)),0),IF(YEAR(AG$3)=YEAR('New Hires Forecast'!$O$3),IF((AG$5=12),(SUMPRODUCT(--('New Hires Forecast'!$F$5:$F$84="Sales"),--('New Hires Forecast'!$H$5:$H$84&gt;=Sales!AG$3),'New Hires Forecast'!$O$5:$O$84,'New Hires Forecast'!$L$5:$L$84)),0),IF(YEAR(AG$3)=YEAR('New Hires Forecast'!$P$3),IF((AG$5=12),(SUMPRODUCT(--('New Hires Forecast'!$F$5:$F$84="Sales"),--('New Hires Forecast'!$H$5:$H$84&gt;=Sales!AG$3),'New Hires Forecast'!$P$5:$P$84,'New Hires Forecast'!$L$5:$L$84)),0),IF(YEAR(AG$3)=YEAR('New Hires Forecast'!$Q$3),IF((AG$5=12),(SUMPRODUCT(--('New Hires Forecast'!$F$5:$F$84="Sales"),--('New Hires Forecast'!$H$5:$H$84&gt;=Sales!AG$3),'New Hires Forecast'!$Q$5:$Q$84,'New Hires Forecast'!$L$5:$L$84)),0),IF(YEAR(AG$3)=YEAR('New Hires Forecast'!$R$3),IF((AG$5=12),(SUMPRODUCT(--('New Hires Forecast'!$F$5:$F$84="Sales"),--('New Hires Forecast'!$H$5:$H$84&gt;=Sales!AG$3),'New Hires Forecast'!$R$5:$R$84,'New Hires Forecast'!$L$5:$L$84)),0),"New Year"))))),0)</f>
        <v>0</v>
      </c>
      <c r="AH15" s="684">
        <f>IF(AH$4="forecast",IF(YEAR(AH$3)=YEAR('New Hires Forecast'!$N$3),IF((AH$5=12),(SUMPRODUCT(--('New Hires Forecast'!$F$5:$F$84="Sales"),--('New Hires Forecast'!$H$5:$H$84&gt;=Sales!AH$3),'New Hires Forecast'!$N$5:$N$84,'New Hires Forecast'!$L$5:$L$84)),0),IF(YEAR(AH$3)=YEAR('New Hires Forecast'!$O$3),IF((AH$5=12),(SUMPRODUCT(--('New Hires Forecast'!$F$5:$F$84="Sales"),--('New Hires Forecast'!$H$5:$H$84&gt;=Sales!AH$3),'New Hires Forecast'!$O$5:$O$84,'New Hires Forecast'!$L$5:$L$84)),0),IF(YEAR(AH$3)=YEAR('New Hires Forecast'!$P$3),IF((AH$5=12),(SUMPRODUCT(--('New Hires Forecast'!$F$5:$F$84="Sales"),--('New Hires Forecast'!$H$5:$H$84&gt;=Sales!AH$3),'New Hires Forecast'!$P$5:$P$84,'New Hires Forecast'!$L$5:$L$84)),0),IF(YEAR(AH$3)=YEAR('New Hires Forecast'!$Q$3),IF((AH$5=12),(SUMPRODUCT(--('New Hires Forecast'!$F$5:$F$84="Sales"),--('New Hires Forecast'!$H$5:$H$84&gt;=Sales!AH$3),'New Hires Forecast'!$Q$5:$Q$84,'New Hires Forecast'!$L$5:$L$84)),0),IF(YEAR(AH$3)=YEAR('New Hires Forecast'!$R$3),IF((AH$5=12),(SUMPRODUCT(--('New Hires Forecast'!$F$5:$F$84="Sales"),--('New Hires Forecast'!$H$5:$H$84&gt;=Sales!AH$3),'New Hires Forecast'!$R$5:$R$84,'New Hires Forecast'!$L$5:$L$84)),0),"New Year"))))),0)</f>
        <v>0</v>
      </c>
      <c r="AI15" s="684">
        <f>IF(AI$4="forecast",IF(YEAR(AI$3)=YEAR('New Hires Forecast'!$N$3),IF((AI$5=12),(SUMPRODUCT(--('New Hires Forecast'!$F$5:$F$84="Sales"),--('New Hires Forecast'!$H$5:$H$84&gt;=Sales!AI$3),'New Hires Forecast'!$N$5:$N$84,'New Hires Forecast'!$L$5:$L$84)),0),IF(YEAR(AI$3)=YEAR('New Hires Forecast'!$O$3),IF((AI$5=12),(SUMPRODUCT(--('New Hires Forecast'!$F$5:$F$84="Sales"),--('New Hires Forecast'!$H$5:$H$84&gt;=Sales!AI$3),'New Hires Forecast'!$O$5:$O$84,'New Hires Forecast'!$L$5:$L$84)),0),IF(YEAR(AI$3)=YEAR('New Hires Forecast'!$P$3),IF((AI$5=12),(SUMPRODUCT(--('New Hires Forecast'!$F$5:$F$84="Sales"),--('New Hires Forecast'!$H$5:$H$84&gt;=Sales!AI$3),'New Hires Forecast'!$P$5:$P$84,'New Hires Forecast'!$L$5:$L$84)),0),IF(YEAR(AI$3)=YEAR('New Hires Forecast'!$Q$3),IF((AI$5=12),(SUMPRODUCT(--('New Hires Forecast'!$F$5:$F$84="Sales"),--('New Hires Forecast'!$H$5:$H$84&gt;=Sales!AI$3),'New Hires Forecast'!$Q$5:$Q$84,'New Hires Forecast'!$L$5:$L$84)),0),IF(YEAR(AI$3)=YEAR('New Hires Forecast'!$R$3),IF((AI$5=12),(SUMPRODUCT(--('New Hires Forecast'!$F$5:$F$84="Sales"),--('New Hires Forecast'!$H$5:$H$84&gt;=Sales!AI$3),'New Hires Forecast'!$R$5:$R$84,'New Hires Forecast'!$L$5:$L$84)),0),"New Year"))))),0)</f>
        <v>0</v>
      </c>
      <c r="AJ15" s="684">
        <f>IF(AJ$4="forecast",IF(YEAR(AJ$3)=YEAR('New Hires Forecast'!$N$3),IF((AJ$5=12),(SUMPRODUCT(--('New Hires Forecast'!$F$5:$F$84="Sales"),--('New Hires Forecast'!$H$5:$H$84&gt;=Sales!AJ$3),'New Hires Forecast'!$N$5:$N$84,'New Hires Forecast'!$L$5:$L$84)),0),IF(YEAR(AJ$3)=YEAR('New Hires Forecast'!$O$3),IF((AJ$5=12),(SUMPRODUCT(--('New Hires Forecast'!$F$5:$F$84="Sales"),--('New Hires Forecast'!$H$5:$H$84&gt;=Sales!AJ$3),'New Hires Forecast'!$O$5:$O$84,'New Hires Forecast'!$L$5:$L$84)),0),IF(YEAR(AJ$3)=YEAR('New Hires Forecast'!$P$3),IF((AJ$5=12),(SUMPRODUCT(--('New Hires Forecast'!$F$5:$F$84="Sales"),--('New Hires Forecast'!$H$5:$H$84&gt;=Sales!AJ$3),'New Hires Forecast'!$P$5:$P$84,'New Hires Forecast'!$L$5:$L$84)),0),IF(YEAR(AJ$3)=YEAR('New Hires Forecast'!$Q$3),IF((AJ$5=12),(SUMPRODUCT(--('New Hires Forecast'!$F$5:$F$84="Sales"),--('New Hires Forecast'!$H$5:$H$84&gt;=Sales!AJ$3),'New Hires Forecast'!$Q$5:$Q$84,'New Hires Forecast'!$L$5:$L$84)),0),IF(YEAR(AJ$3)=YEAR('New Hires Forecast'!$R$3),IF((AJ$5=12),(SUMPRODUCT(--('New Hires Forecast'!$F$5:$F$84="Sales"),--('New Hires Forecast'!$H$5:$H$84&gt;=Sales!AJ$3),'New Hires Forecast'!$R$5:$R$84,'New Hires Forecast'!$L$5:$L$84)),0),"New Year"))))),0)</f>
        <v>0</v>
      </c>
      <c r="AK15" s="684">
        <f>IF(AK$4="forecast",IF(YEAR(AK$3)=YEAR('New Hires Forecast'!$N$3),IF((AK$5=12),(SUMPRODUCT(--('New Hires Forecast'!$F$5:$F$84="Sales"),--('New Hires Forecast'!$H$5:$H$84&gt;=Sales!AK$3),'New Hires Forecast'!$N$5:$N$84,'New Hires Forecast'!$L$5:$L$84)),0),IF(YEAR(AK$3)=YEAR('New Hires Forecast'!$O$3),IF((AK$5=12),(SUMPRODUCT(--('New Hires Forecast'!$F$5:$F$84="Sales"),--('New Hires Forecast'!$H$5:$H$84&gt;=Sales!AK$3),'New Hires Forecast'!$O$5:$O$84,'New Hires Forecast'!$L$5:$L$84)),0),IF(YEAR(AK$3)=YEAR('New Hires Forecast'!$P$3),IF((AK$5=12),(SUMPRODUCT(--('New Hires Forecast'!$F$5:$F$84="Sales"),--('New Hires Forecast'!$H$5:$H$84&gt;=Sales!AK$3),'New Hires Forecast'!$P$5:$P$84,'New Hires Forecast'!$L$5:$L$84)),0),IF(YEAR(AK$3)=YEAR('New Hires Forecast'!$Q$3),IF((AK$5=12),(SUMPRODUCT(--('New Hires Forecast'!$F$5:$F$84="Sales"),--('New Hires Forecast'!$H$5:$H$84&gt;=Sales!AK$3),'New Hires Forecast'!$Q$5:$Q$84,'New Hires Forecast'!$L$5:$L$84)),0),IF(YEAR(AK$3)=YEAR('New Hires Forecast'!$R$3),IF((AK$5=12),(SUMPRODUCT(--('New Hires Forecast'!$F$5:$F$84="Sales"),--('New Hires Forecast'!$H$5:$H$84&gt;=Sales!AK$3),'New Hires Forecast'!$R$5:$R$84,'New Hires Forecast'!$L$5:$L$84)),0),"New Year"))))),0)</f>
        <v>0</v>
      </c>
      <c r="AL15" s="684">
        <f>IF(AL$4="forecast",IF(YEAR(AL$3)=YEAR('New Hires Forecast'!$N$3),IF((AL$5=12),(SUMPRODUCT(--('New Hires Forecast'!$F$5:$F$84="Sales"),--('New Hires Forecast'!$H$5:$H$84&gt;=Sales!AL$3),'New Hires Forecast'!$N$5:$N$84,'New Hires Forecast'!$L$5:$L$84)),0),IF(YEAR(AL$3)=YEAR('New Hires Forecast'!$O$3),IF((AL$5=12),(SUMPRODUCT(--('New Hires Forecast'!$F$5:$F$84="Sales"),--('New Hires Forecast'!$H$5:$H$84&gt;=Sales!AL$3),'New Hires Forecast'!$O$5:$O$84,'New Hires Forecast'!$L$5:$L$84)),0),IF(YEAR(AL$3)=YEAR('New Hires Forecast'!$P$3),IF((AL$5=12),(SUMPRODUCT(--('New Hires Forecast'!$F$5:$F$84="Sales"),--('New Hires Forecast'!$H$5:$H$84&gt;=Sales!AL$3),'New Hires Forecast'!$P$5:$P$84,'New Hires Forecast'!$L$5:$L$84)),0),IF(YEAR(AL$3)=YEAR('New Hires Forecast'!$Q$3),IF((AL$5=12),(SUMPRODUCT(--('New Hires Forecast'!$F$5:$F$84="Sales"),--('New Hires Forecast'!$H$5:$H$84&gt;=Sales!AL$3),'New Hires Forecast'!$Q$5:$Q$84,'New Hires Forecast'!$L$5:$L$84)),0),IF(YEAR(AL$3)=YEAR('New Hires Forecast'!$R$3),IF((AL$5=12),(SUMPRODUCT(--('New Hires Forecast'!$F$5:$F$84="Sales"),--('New Hires Forecast'!$H$5:$H$84&gt;=Sales!AL$3),'New Hires Forecast'!$R$5:$R$84,'New Hires Forecast'!$L$5:$L$84)),0),"New Year"))))),0)</f>
        <v>25000</v>
      </c>
      <c r="AM15" s="684">
        <f>IF(AM$4="forecast",IF(YEAR(AM$3)=YEAR('New Hires Forecast'!$N$3),IF((AM$5=12),(SUMPRODUCT(--('New Hires Forecast'!$F$5:$F$84="Sales"),--('New Hires Forecast'!$H$5:$H$84&gt;=Sales!AM$3),'New Hires Forecast'!$N$5:$N$84,'New Hires Forecast'!$L$5:$L$84)),0),IF(YEAR(AM$3)=YEAR('New Hires Forecast'!$O$3),IF((AM$5=12),(SUMPRODUCT(--('New Hires Forecast'!$F$5:$F$84="Sales"),--('New Hires Forecast'!$H$5:$H$84&gt;=Sales!AM$3),'New Hires Forecast'!$O$5:$O$84,'New Hires Forecast'!$L$5:$L$84)),0),IF(YEAR(AM$3)=YEAR('New Hires Forecast'!$P$3),IF((AM$5=12),(SUMPRODUCT(--('New Hires Forecast'!$F$5:$F$84="Sales"),--('New Hires Forecast'!$H$5:$H$84&gt;=Sales!AM$3),'New Hires Forecast'!$P$5:$P$84,'New Hires Forecast'!$L$5:$L$84)),0),IF(YEAR(AM$3)=YEAR('New Hires Forecast'!$Q$3),IF((AM$5=12),(SUMPRODUCT(--('New Hires Forecast'!$F$5:$F$84="Sales"),--('New Hires Forecast'!$H$5:$H$84&gt;=Sales!AM$3),'New Hires Forecast'!$Q$5:$Q$84,'New Hires Forecast'!$L$5:$L$84)),0),IF(YEAR(AM$3)=YEAR('New Hires Forecast'!$R$3),IF((AM$5=12),(SUMPRODUCT(--('New Hires Forecast'!$F$5:$F$84="Sales"),--('New Hires Forecast'!$H$5:$H$84&gt;=Sales!AM$3),'New Hires Forecast'!$R$5:$R$84,'New Hires Forecast'!$L$5:$L$84)),0),"New Year"))))),0)</f>
        <v>0</v>
      </c>
      <c r="AN15" s="684">
        <f>IF(AN$4="forecast",IF(YEAR(AN$3)=YEAR('New Hires Forecast'!$N$3),IF((AN$5=12),(SUMPRODUCT(--('New Hires Forecast'!$F$5:$F$84="Sales"),--('New Hires Forecast'!$H$5:$H$84&gt;=Sales!AN$3),'New Hires Forecast'!$N$5:$N$84,'New Hires Forecast'!$L$5:$L$84)),0),IF(YEAR(AN$3)=YEAR('New Hires Forecast'!$O$3),IF((AN$5=12),(SUMPRODUCT(--('New Hires Forecast'!$F$5:$F$84="Sales"),--('New Hires Forecast'!$H$5:$H$84&gt;=Sales!AN$3),'New Hires Forecast'!$O$5:$O$84,'New Hires Forecast'!$L$5:$L$84)),0),IF(YEAR(AN$3)=YEAR('New Hires Forecast'!$P$3),IF((AN$5=12),(SUMPRODUCT(--('New Hires Forecast'!$F$5:$F$84="Sales"),--('New Hires Forecast'!$H$5:$H$84&gt;=Sales!AN$3),'New Hires Forecast'!$P$5:$P$84,'New Hires Forecast'!$L$5:$L$84)),0),IF(YEAR(AN$3)=YEAR('New Hires Forecast'!$Q$3),IF((AN$5=12),(SUMPRODUCT(--('New Hires Forecast'!$F$5:$F$84="Sales"),--('New Hires Forecast'!$H$5:$H$84&gt;=Sales!AN$3),'New Hires Forecast'!$Q$5:$Q$84,'New Hires Forecast'!$L$5:$L$84)),0),IF(YEAR(AN$3)=YEAR('New Hires Forecast'!$R$3),IF((AN$5=12),(SUMPRODUCT(--('New Hires Forecast'!$F$5:$F$84="Sales"),--('New Hires Forecast'!$H$5:$H$84&gt;=Sales!AN$3),'New Hires Forecast'!$R$5:$R$84,'New Hires Forecast'!$L$5:$L$84)),0),"New Year"))))),0)</f>
        <v>0</v>
      </c>
      <c r="AO15" s="684">
        <f>IF(AO$4="forecast",IF(YEAR(AO$3)=YEAR('New Hires Forecast'!$N$3),IF((AO$5=12),(SUMPRODUCT(--('New Hires Forecast'!$F$5:$F$84="Sales"),--('New Hires Forecast'!$H$5:$H$84&gt;=Sales!AO$3),'New Hires Forecast'!$N$5:$N$84,'New Hires Forecast'!$L$5:$L$84)),0),IF(YEAR(AO$3)=YEAR('New Hires Forecast'!$O$3),IF((AO$5=12),(SUMPRODUCT(--('New Hires Forecast'!$F$5:$F$84="Sales"),--('New Hires Forecast'!$H$5:$H$84&gt;=Sales!AO$3),'New Hires Forecast'!$O$5:$O$84,'New Hires Forecast'!$L$5:$L$84)),0),IF(YEAR(AO$3)=YEAR('New Hires Forecast'!$P$3),IF((AO$5=12),(SUMPRODUCT(--('New Hires Forecast'!$F$5:$F$84="Sales"),--('New Hires Forecast'!$H$5:$H$84&gt;=Sales!AO$3),'New Hires Forecast'!$P$5:$P$84,'New Hires Forecast'!$L$5:$L$84)),0),IF(YEAR(AO$3)=YEAR('New Hires Forecast'!$Q$3),IF((AO$5=12),(SUMPRODUCT(--('New Hires Forecast'!$F$5:$F$84="Sales"),--('New Hires Forecast'!$H$5:$H$84&gt;=Sales!AO$3),'New Hires Forecast'!$Q$5:$Q$84,'New Hires Forecast'!$L$5:$L$84)),0),IF(YEAR(AO$3)=YEAR('New Hires Forecast'!$R$3),IF((AO$5=12),(SUMPRODUCT(--('New Hires Forecast'!$F$5:$F$84="Sales"),--('New Hires Forecast'!$H$5:$H$84&gt;=Sales!AO$3),'New Hires Forecast'!$R$5:$R$84,'New Hires Forecast'!$L$5:$L$84)),0),"New Year"))))),0)</f>
        <v>0</v>
      </c>
      <c r="AP15" s="684">
        <f>IF(AP$4="forecast",IF(YEAR(AP$3)=YEAR('New Hires Forecast'!$N$3),IF((AP$5=12),(SUMPRODUCT(--('New Hires Forecast'!$F$5:$F$84="Sales"),--('New Hires Forecast'!$H$5:$H$84&gt;=Sales!AP$3),'New Hires Forecast'!$N$5:$N$84,'New Hires Forecast'!$L$5:$L$84)),0),IF(YEAR(AP$3)=YEAR('New Hires Forecast'!$O$3),IF((AP$5=12),(SUMPRODUCT(--('New Hires Forecast'!$F$5:$F$84="Sales"),--('New Hires Forecast'!$H$5:$H$84&gt;=Sales!AP$3),'New Hires Forecast'!$O$5:$O$84,'New Hires Forecast'!$L$5:$L$84)),0),IF(YEAR(AP$3)=YEAR('New Hires Forecast'!$P$3),IF((AP$5=12),(SUMPRODUCT(--('New Hires Forecast'!$F$5:$F$84="Sales"),--('New Hires Forecast'!$H$5:$H$84&gt;=Sales!AP$3),'New Hires Forecast'!$P$5:$P$84,'New Hires Forecast'!$L$5:$L$84)),0),IF(YEAR(AP$3)=YEAR('New Hires Forecast'!$Q$3),IF((AP$5=12),(SUMPRODUCT(--('New Hires Forecast'!$F$5:$F$84="Sales"),--('New Hires Forecast'!$H$5:$H$84&gt;=Sales!AP$3),'New Hires Forecast'!$Q$5:$Q$84,'New Hires Forecast'!$L$5:$L$84)),0),IF(YEAR(AP$3)=YEAR('New Hires Forecast'!$R$3),IF((AP$5=12),(SUMPRODUCT(--('New Hires Forecast'!$F$5:$F$84="Sales"),--('New Hires Forecast'!$H$5:$H$84&gt;=Sales!AP$3),'New Hires Forecast'!$R$5:$R$84,'New Hires Forecast'!$L$5:$L$84)),0),"New Year"))))),0)</f>
        <v>0</v>
      </c>
      <c r="AQ15" s="684">
        <f>IF(AQ$4="forecast",IF(YEAR(AQ$3)=YEAR('New Hires Forecast'!$N$3),IF((AQ$5=12),(SUMPRODUCT(--('New Hires Forecast'!$F$5:$F$84="Sales"),--('New Hires Forecast'!$H$5:$H$84&gt;=Sales!AQ$3),'New Hires Forecast'!$N$5:$N$84,'New Hires Forecast'!$L$5:$L$84)),0),IF(YEAR(AQ$3)=YEAR('New Hires Forecast'!$O$3),IF((AQ$5=12),(SUMPRODUCT(--('New Hires Forecast'!$F$5:$F$84="Sales"),--('New Hires Forecast'!$H$5:$H$84&gt;=Sales!AQ$3),'New Hires Forecast'!$O$5:$O$84,'New Hires Forecast'!$L$5:$L$84)),0),IF(YEAR(AQ$3)=YEAR('New Hires Forecast'!$P$3),IF((AQ$5=12),(SUMPRODUCT(--('New Hires Forecast'!$F$5:$F$84="Sales"),--('New Hires Forecast'!$H$5:$H$84&gt;=Sales!AQ$3),'New Hires Forecast'!$P$5:$P$84,'New Hires Forecast'!$L$5:$L$84)),0),IF(YEAR(AQ$3)=YEAR('New Hires Forecast'!$Q$3),IF((AQ$5=12),(SUMPRODUCT(--('New Hires Forecast'!$F$5:$F$84="Sales"),--('New Hires Forecast'!$H$5:$H$84&gt;=Sales!AQ$3),'New Hires Forecast'!$Q$5:$Q$84,'New Hires Forecast'!$L$5:$L$84)),0),IF(YEAR(AQ$3)=YEAR('New Hires Forecast'!$R$3),IF((AQ$5=12),(SUMPRODUCT(--('New Hires Forecast'!$F$5:$F$84="Sales"),--('New Hires Forecast'!$H$5:$H$84&gt;=Sales!AQ$3),'New Hires Forecast'!$R$5:$R$84,'New Hires Forecast'!$L$5:$L$84)),0),"New Year"))))),0)</f>
        <v>0</v>
      </c>
      <c r="AR15" s="684">
        <f>IF(AR$4="forecast",IF(YEAR(AR$3)=YEAR('New Hires Forecast'!$N$3),IF((AR$5=12),(SUMPRODUCT(--('New Hires Forecast'!$F$5:$F$84="Sales"),--('New Hires Forecast'!$H$5:$H$84&gt;=Sales!AR$3),'New Hires Forecast'!$N$5:$N$84,'New Hires Forecast'!$L$5:$L$84)),0),IF(YEAR(AR$3)=YEAR('New Hires Forecast'!$O$3),IF((AR$5=12),(SUMPRODUCT(--('New Hires Forecast'!$F$5:$F$84="Sales"),--('New Hires Forecast'!$H$5:$H$84&gt;=Sales!AR$3),'New Hires Forecast'!$O$5:$O$84,'New Hires Forecast'!$L$5:$L$84)),0),IF(YEAR(AR$3)=YEAR('New Hires Forecast'!$P$3),IF((AR$5=12),(SUMPRODUCT(--('New Hires Forecast'!$F$5:$F$84="Sales"),--('New Hires Forecast'!$H$5:$H$84&gt;=Sales!AR$3),'New Hires Forecast'!$P$5:$P$84,'New Hires Forecast'!$L$5:$L$84)),0),IF(YEAR(AR$3)=YEAR('New Hires Forecast'!$Q$3),IF((AR$5=12),(SUMPRODUCT(--('New Hires Forecast'!$F$5:$F$84="Sales"),--('New Hires Forecast'!$H$5:$H$84&gt;=Sales!AR$3),'New Hires Forecast'!$Q$5:$Q$84,'New Hires Forecast'!$L$5:$L$84)),0),IF(YEAR(AR$3)=YEAR('New Hires Forecast'!$R$3),IF((AR$5=12),(SUMPRODUCT(--('New Hires Forecast'!$F$5:$F$84="Sales"),--('New Hires Forecast'!$H$5:$H$84&gt;=Sales!AR$3),'New Hires Forecast'!$R$5:$R$84,'New Hires Forecast'!$L$5:$L$84)),0),"New Year"))))),0)</f>
        <v>0</v>
      </c>
      <c r="AS15" s="684">
        <f>IF(AS$4="forecast",IF(YEAR(AS$3)=YEAR('New Hires Forecast'!$N$3),IF((AS$5=12),(SUMPRODUCT(--('New Hires Forecast'!$F$5:$F$84="Sales"),--('New Hires Forecast'!$H$5:$H$84&gt;=Sales!AS$3),'New Hires Forecast'!$N$5:$N$84,'New Hires Forecast'!$L$5:$L$84)),0),IF(YEAR(AS$3)=YEAR('New Hires Forecast'!$O$3),IF((AS$5=12),(SUMPRODUCT(--('New Hires Forecast'!$F$5:$F$84="Sales"),--('New Hires Forecast'!$H$5:$H$84&gt;=Sales!AS$3),'New Hires Forecast'!$O$5:$O$84,'New Hires Forecast'!$L$5:$L$84)),0),IF(YEAR(AS$3)=YEAR('New Hires Forecast'!$P$3),IF((AS$5=12),(SUMPRODUCT(--('New Hires Forecast'!$F$5:$F$84="Sales"),--('New Hires Forecast'!$H$5:$H$84&gt;=Sales!AS$3),'New Hires Forecast'!$P$5:$P$84,'New Hires Forecast'!$L$5:$L$84)),0),IF(YEAR(AS$3)=YEAR('New Hires Forecast'!$Q$3),IF((AS$5=12),(SUMPRODUCT(--('New Hires Forecast'!$F$5:$F$84="Sales"),--('New Hires Forecast'!$H$5:$H$84&gt;=Sales!AS$3),'New Hires Forecast'!$Q$5:$Q$84,'New Hires Forecast'!$L$5:$L$84)),0),IF(YEAR(AS$3)=YEAR('New Hires Forecast'!$R$3),IF((AS$5=12),(SUMPRODUCT(--('New Hires Forecast'!$F$5:$F$84="Sales"),--('New Hires Forecast'!$H$5:$H$84&gt;=Sales!AS$3),'New Hires Forecast'!$R$5:$R$84,'New Hires Forecast'!$L$5:$L$84)),0),"New Year"))))),0)</f>
        <v>0</v>
      </c>
      <c r="AT15" s="684">
        <f>IF(AT$4="forecast",IF(YEAR(AT$3)=YEAR('New Hires Forecast'!$N$3),IF((AT$5=12),(SUMPRODUCT(--('New Hires Forecast'!$F$5:$F$84="Sales"),--('New Hires Forecast'!$H$5:$H$84&gt;=Sales!AT$3),'New Hires Forecast'!$N$5:$N$84,'New Hires Forecast'!$L$5:$L$84)),0),IF(YEAR(AT$3)=YEAR('New Hires Forecast'!$O$3),IF((AT$5=12),(SUMPRODUCT(--('New Hires Forecast'!$F$5:$F$84="Sales"),--('New Hires Forecast'!$H$5:$H$84&gt;=Sales!AT$3),'New Hires Forecast'!$O$5:$O$84,'New Hires Forecast'!$L$5:$L$84)),0),IF(YEAR(AT$3)=YEAR('New Hires Forecast'!$P$3),IF((AT$5=12),(SUMPRODUCT(--('New Hires Forecast'!$F$5:$F$84="Sales"),--('New Hires Forecast'!$H$5:$H$84&gt;=Sales!AT$3),'New Hires Forecast'!$P$5:$P$84,'New Hires Forecast'!$L$5:$L$84)),0),IF(YEAR(AT$3)=YEAR('New Hires Forecast'!$Q$3),IF((AT$5=12),(SUMPRODUCT(--('New Hires Forecast'!$F$5:$F$84="Sales"),--('New Hires Forecast'!$H$5:$H$84&gt;=Sales!AT$3),'New Hires Forecast'!$Q$5:$Q$84,'New Hires Forecast'!$L$5:$L$84)),0),IF(YEAR(AT$3)=YEAR('New Hires Forecast'!$R$3),IF((AT$5=12),(SUMPRODUCT(--('New Hires Forecast'!$F$5:$F$84="Sales"),--('New Hires Forecast'!$H$5:$H$84&gt;=Sales!AT$3),'New Hires Forecast'!$R$5:$R$84,'New Hires Forecast'!$L$5:$L$84)),0),"New Year"))))),0)</f>
        <v>0</v>
      </c>
      <c r="AU15" s="684">
        <f>IF(AU$4="forecast",IF(YEAR(AU$3)=YEAR('New Hires Forecast'!$N$3),IF((AU$5=12),(SUMPRODUCT(--('New Hires Forecast'!$F$5:$F$84="Sales"),--('New Hires Forecast'!$H$5:$H$84&gt;=Sales!AU$3),'New Hires Forecast'!$N$5:$N$84,'New Hires Forecast'!$L$5:$L$84)),0),IF(YEAR(AU$3)=YEAR('New Hires Forecast'!$O$3),IF((AU$5=12),(SUMPRODUCT(--('New Hires Forecast'!$F$5:$F$84="Sales"),--('New Hires Forecast'!$H$5:$H$84&gt;=Sales!AU$3),'New Hires Forecast'!$O$5:$O$84,'New Hires Forecast'!$L$5:$L$84)),0),IF(YEAR(AU$3)=YEAR('New Hires Forecast'!$P$3),IF((AU$5=12),(SUMPRODUCT(--('New Hires Forecast'!$F$5:$F$84="Sales"),--('New Hires Forecast'!$H$5:$H$84&gt;=Sales!AU$3),'New Hires Forecast'!$P$5:$P$84,'New Hires Forecast'!$L$5:$L$84)),0),IF(YEAR(AU$3)=YEAR('New Hires Forecast'!$Q$3),IF((AU$5=12),(SUMPRODUCT(--('New Hires Forecast'!$F$5:$F$84="Sales"),--('New Hires Forecast'!$H$5:$H$84&gt;=Sales!AU$3),'New Hires Forecast'!$Q$5:$Q$84,'New Hires Forecast'!$L$5:$L$84)),0),IF(YEAR(AU$3)=YEAR('New Hires Forecast'!$R$3),IF((AU$5=12),(SUMPRODUCT(--('New Hires Forecast'!$F$5:$F$84="Sales"),--('New Hires Forecast'!$H$5:$H$84&gt;=Sales!AU$3),'New Hires Forecast'!$R$5:$R$84,'New Hires Forecast'!$L$5:$L$84)),0),"New Year"))))),0)</f>
        <v>0</v>
      </c>
      <c r="AV15" s="684">
        <f>IF(AV$4="forecast",IF(YEAR(AV$3)=YEAR('New Hires Forecast'!$N$3),IF((AV$5=12),(SUMPRODUCT(--('New Hires Forecast'!$F$5:$F$84="Sales"),--('New Hires Forecast'!$H$5:$H$84&gt;=Sales!AV$3),'New Hires Forecast'!$N$5:$N$84,'New Hires Forecast'!$L$5:$L$84)),0),IF(YEAR(AV$3)=YEAR('New Hires Forecast'!$O$3),IF((AV$5=12),(SUMPRODUCT(--('New Hires Forecast'!$F$5:$F$84="Sales"),--('New Hires Forecast'!$H$5:$H$84&gt;=Sales!AV$3),'New Hires Forecast'!$O$5:$O$84,'New Hires Forecast'!$L$5:$L$84)),0),IF(YEAR(AV$3)=YEAR('New Hires Forecast'!$P$3),IF((AV$5=12),(SUMPRODUCT(--('New Hires Forecast'!$F$5:$F$84="Sales"),--('New Hires Forecast'!$H$5:$H$84&gt;=Sales!AV$3),'New Hires Forecast'!$P$5:$P$84,'New Hires Forecast'!$L$5:$L$84)),0),IF(YEAR(AV$3)=YEAR('New Hires Forecast'!$Q$3),IF((AV$5=12),(SUMPRODUCT(--('New Hires Forecast'!$F$5:$F$84="Sales"),--('New Hires Forecast'!$H$5:$H$84&gt;=Sales!AV$3),'New Hires Forecast'!$Q$5:$Q$84,'New Hires Forecast'!$L$5:$L$84)),0),IF(YEAR(AV$3)=YEAR('New Hires Forecast'!$R$3),IF((AV$5=12),(SUMPRODUCT(--('New Hires Forecast'!$F$5:$F$84="Sales"),--('New Hires Forecast'!$H$5:$H$84&gt;=Sales!AV$3),'New Hires Forecast'!$R$5:$R$84,'New Hires Forecast'!$L$5:$L$84)),0),"New Year"))))),0)</f>
        <v>0</v>
      </c>
      <c r="AW15" s="684">
        <f>IF(AW$4="forecast",IF(YEAR(AW$3)=YEAR('New Hires Forecast'!$N$3),IF((AW$5=12),(SUMPRODUCT(--('New Hires Forecast'!$F$5:$F$84="Sales"),--('New Hires Forecast'!$H$5:$H$84&gt;=Sales!AW$3),'New Hires Forecast'!$N$5:$N$84,'New Hires Forecast'!$L$5:$L$84)),0),IF(YEAR(AW$3)=YEAR('New Hires Forecast'!$O$3),IF((AW$5=12),(SUMPRODUCT(--('New Hires Forecast'!$F$5:$F$84="Sales"),--('New Hires Forecast'!$H$5:$H$84&gt;=Sales!AW$3),'New Hires Forecast'!$O$5:$O$84,'New Hires Forecast'!$L$5:$L$84)),0),IF(YEAR(AW$3)=YEAR('New Hires Forecast'!$P$3),IF((AW$5=12),(SUMPRODUCT(--('New Hires Forecast'!$F$5:$F$84="Sales"),--('New Hires Forecast'!$H$5:$H$84&gt;=Sales!AW$3),'New Hires Forecast'!$P$5:$P$84,'New Hires Forecast'!$L$5:$L$84)),0),IF(YEAR(AW$3)=YEAR('New Hires Forecast'!$Q$3),IF((AW$5=12),(SUMPRODUCT(--('New Hires Forecast'!$F$5:$F$84="Sales"),--('New Hires Forecast'!$H$5:$H$84&gt;=Sales!AW$3),'New Hires Forecast'!$Q$5:$Q$84,'New Hires Forecast'!$L$5:$L$84)),0),IF(YEAR(AW$3)=YEAR('New Hires Forecast'!$R$3),IF((AW$5=12),(SUMPRODUCT(--('New Hires Forecast'!$F$5:$F$84="Sales"),--('New Hires Forecast'!$H$5:$H$84&gt;=Sales!AW$3),'New Hires Forecast'!$R$5:$R$84,'New Hires Forecast'!$L$5:$L$84)),0),"New Year"))))),0)</f>
        <v>0</v>
      </c>
      <c r="AX15" s="684">
        <f>IF(AX$4="forecast",IF(YEAR(AX$3)=YEAR('New Hires Forecast'!$N$3),IF((AX$5=12),(SUMPRODUCT(--('New Hires Forecast'!$F$5:$F$84="Sales"),--('New Hires Forecast'!$H$5:$H$84&gt;=Sales!AX$3),'New Hires Forecast'!$N$5:$N$84,'New Hires Forecast'!$L$5:$L$84)),0),IF(YEAR(AX$3)=YEAR('New Hires Forecast'!$O$3),IF((AX$5=12),(SUMPRODUCT(--('New Hires Forecast'!$F$5:$F$84="Sales"),--('New Hires Forecast'!$H$5:$H$84&gt;=Sales!AX$3),'New Hires Forecast'!$O$5:$O$84,'New Hires Forecast'!$L$5:$L$84)),0),IF(YEAR(AX$3)=YEAR('New Hires Forecast'!$P$3),IF((AX$5=12),(SUMPRODUCT(--('New Hires Forecast'!$F$5:$F$84="Sales"),--('New Hires Forecast'!$H$5:$H$84&gt;=Sales!AX$3),'New Hires Forecast'!$P$5:$P$84,'New Hires Forecast'!$L$5:$L$84)),0),IF(YEAR(AX$3)=YEAR('New Hires Forecast'!$Q$3),IF((AX$5=12),(SUMPRODUCT(--('New Hires Forecast'!$F$5:$F$84="Sales"),--('New Hires Forecast'!$H$5:$H$84&gt;=Sales!AX$3),'New Hires Forecast'!$Q$5:$Q$84,'New Hires Forecast'!$L$5:$L$84)),0),IF(YEAR(AX$3)=YEAR('New Hires Forecast'!$R$3),IF((AX$5=12),(SUMPRODUCT(--('New Hires Forecast'!$F$5:$F$84="Sales"),--('New Hires Forecast'!$H$5:$H$84&gt;=Sales!AX$3),'New Hires Forecast'!$R$5:$R$84,'New Hires Forecast'!$L$5:$L$84)),0),"New Year"))))),0)</f>
        <v>25750</v>
      </c>
      <c r="AY15" s="684">
        <f>IF(AY$4="forecast",IF(YEAR(AY$3)=YEAR('New Hires Forecast'!$N$3),IF((AY$5=12),(SUMPRODUCT(--('New Hires Forecast'!$F$5:$F$84="Sales"),--('New Hires Forecast'!$H$5:$H$84&gt;=Sales!AY$3),'New Hires Forecast'!$N$5:$N$84,'New Hires Forecast'!$L$5:$L$84)),0),IF(YEAR(AY$3)=YEAR('New Hires Forecast'!$O$3),IF((AY$5=12),(SUMPRODUCT(--('New Hires Forecast'!$F$5:$F$84="Sales"),--('New Hires Forecast'!$H$5:$H$84&gt;=Sales!AY$3),'New Hires Forecast'!$O$5:$O$84,'New Hires Forecast'!$L$5:$L$84)),0),IF(YEAR(AY$3)=YEAR('New Hires Forecast'!$P$3),IF((AY$5=12),(SUMPRODUCT(--('New Hires Forecast'!$F$5:$F$84="Sales"),--('New Hires Forecast'!$H$5:$H$84&gt;=Sales!AY$3),'New Hires Forecast'!$P$5:$P$84,'New Hires Forecast'!$L$5:$L$84)),0),IF(YEAR(AY$3)=YEAR('New Hires Forecast'!$Q$3),IF((AY$5=12),(SUMPRODUCT(--('New Hires Forecast'!$F$5:$F$84="Sales"),--('New Hires Forecast'!$H$5:$H$84&gt;=Sales!AY$3),'New Hires Forecast'!$Q$5:$Q$84,'New Hires Forecast'!$L$5:$L$84)),0),IF(YEAR(AY$3)=YEAR('New Hires Forecast'!$R$3),IF((AY$5=12),(SUMPRODUCT(--('New Hires Forecast'!$F$5:$F$84="Sales"),--('New Hires Forecast'!$H$5:$H$84&gt;=Sales!AY$3),'New Hires Forecast'!$R$5:$R$84,'New Hires Forecast'!$L$5:$L$84)),0),"New Year"))))),0)</f>
        <v>0</v>
      </c>
      <c r="AZ15" s="684">
        <f>IF(AZ$4="forecast",IF(YEAR(AZ$3)=YEAR('New Hires Forecast'!$N$3),IF((AZ$5=12),(SUMPRODUCT(--('New Hires Forecast'!$F$5:$F$84="Sales"),--('New Hires Forecast'!$H$5:$H$84&gt;=Sales!AZ$3),'New Hires Forecast'!$N$5:$N$84,'New Hires Forecast'!$L$5:$L$84)),0),IF(YEAR(AZ$3)=YEAR('New Hires Forecast'!$O$3),IF((AZ$5=12),(SUMPRODUCT(--('New Hires Forecast'!$F$5:$F$84="Sales"),--('New Hires Forecast'!$H$5:$H$84&gt;=Sales!AZ$3),'New Hires Forecast'!$O$5:$O$84,'New Hires Forecast'!$L$5:$L$84)),0),IF(YEAR(AZ$3)=YEAR('New Hires Forecast'!$P$3),IF((AZ$5=12),(SUMPRODUCT(--('New Hires Forecast'!$F$5:$F$84="Sales"),--('New Hires Forecast'!$H$5:$H$84&gt;=Sales!AZ$3),'New Hires Forecast'!$P$5:$P$84,'New Hires Forecast'!$L$5:$L$84)),0),IF(YEAR(AZ$3)=YEAR('New Hires Forecast'!$Q$3),IF((AZ$5=12),(SUMPRODUCT(--('New Hires Forecast'!$F$5:$F$84="Sales"),--('New Hires Forecast'!$H$5:$H$84&gt;=Sales!AZ$3),'New Hires Forecast'!$Q$5:$Q$84,'New Hires Forecast'!$L$5:$L$84)),0),IF(YEAR(AZ$3)=YEAR('New Hires Forecast'!$R$3),IF((AZ$5=12),(SUMPRODUCT(--('New Hires Forecast'!$F$5:$F$84="Sales"),--('New Hires Forecast'!$H$5:$H$84&gt;=Sales!AZ$3),'New Hires Forecast'!$R$5:$R$84,'New Hires Forecast'!$L$5:$L$84)),0),"New Year"))))),0)</f>
        <v>0</v>
      </c>
      <c r="BA15" s="684">
        <f>IF(BA$4="forecast",IF(YEAR(BA$3)=YEAR('New Hires Forecast'!$N$3),IF((BA$5=12),(SUMPRODUCT(--('New Hires Forecast'!$F$5:$F$84="Sales"),--('New Hires Forecast'!$H$5:$H$84&gt;=Sales!BA$3),'New Hires Forecast'!$N$5:$N$84,'New Hires Forecast'!$L$5:$L$84)),0),IF(YEAR(BA$3)=YEAR('New Hires Forecast'!$O$3),IF((BA$5=12),(SUMPRODUCT(--('New Hires Forecast'!$F$5:$F$84="Sales"),--('New Hires Forecast'!$H$5:$H$84&gt;=Sales!BA$3),'New Hires Forecast'!$O$5:$O$84,'New Hires Forecast'!$L$5:$L$84)),0),IF(YEAR(BA$3)=YEAR('New Hires Forecast'!$P$3),IF((BA$5=12),(SUMPRODUCT(--('New Hires Forecast'!$F$5:$F$84="Sales"),--('New Hires Forecast'!$H$5:$H$84&gt;=Sales!BA$3),'New Hires Forecast'!$P$5:$P$84,'New Hires Forecast'!$L$5:$L$84)),0),IF(YEAR(BA$3)=YEAR('New Hires Forecast'!$Q$3),IF((BA$5=12),(SUMPRODUCT(--('New Hires Forecast'!$F$5:$F$84="Sales"),--('New Hires Forecast'!$H$5:$H$84&gt;=Sales!BA$3),'New Hires Forecast'!$Q$5:$Q$84,'New Hires Forecast'!$L$5:$L$84)),0),IF(YEAR(BA$3)=YEAR('New Hires Forecast'!$R$3),IF((BA$5=12),(SUMPRODUCT(--('New Hires Forecast'!$F$5:$F$84="Sales"),--('New Hires Forecast'!$H$5:$H$84&gt;=Sales!BA$3),'New Hires Forecast'!$R$5:$R$84,'New Hires Forecast'!$L$5:$L$84)),0),"New Year"))))),0)</f>
        <v>0</v>
      </c>
      <c r="BB15" s="684">
        <f>IF(BB$4="forecast",IF(YEAR(BB$3)=YEAR('New Hires Forecast'!$N$3),IF((BB$5=12),(SUMPRODUCT(--('New Hires Forecast'!$F$5:$F$84="Sales"),--('New Hires Forecast'!$H$5:$H$84&gt;=Sales!BB$3),'New Hires Forecast'!$N$5:$N$84,'New Hires Forecast'!$L$5:$L$84)),0),IF(YEAR(BB$3)=YEAR('New Hires Forecast'!$O$3),IF((BB$5=12),(SUMPRODUCT(--('New Hires Forecast'!$F$5:$F$84="Sales"),--('New Hires Forecast'!$H$5:$H$84&gt;=Sales!BB$3),'New Hires Forecast'!$O$5:$O$84,'New Hires Forecast'!$L$5:$L$84)),0),IF(YEAR(BB$3)=YEAR('New Hires Forecast'!$P$3),IF((BB$5=12),(SUMPRODUCT(--('New Hires Forecast'!$F$5:$F$84="Sales"),--('New Hires Forecast'!$H$5:$H$84&gt;=Sales!BB$3),'New Hires Forecast'!$P$5:$P$84,'New Hires Forecast'!$L$5:$L$84)),0),IF(YEAR(BB$3)=YEAR('New Hires Forecast'!$Q$3),IF((BB$5=12),(SUMPRODUCT(--('New Hires Forecast'!$F$5:$F$84="Sales"),--('New Hires Forecast'!$H$5:$H$84&gt;=Sales!BB$3),'New Hires Forecast'!$Q$5:$Q$84,'New Hires Forecast'!$L$5:$L$84)),0),IF(YEAR(BB$3)=YEAR('New Hires Forecast'!$R$3),IF((BB$5=12),(SUMPRODUCT(--('New Hires Forecast'!$F$5:$F$84="Sales"),--('New Hires Forecast'!$H$5:$H$84&gt;=Sales!BB$3),'New Hires Forecast'!$R$5:$R$84,'New Hires Forecast'!$L$5:$L$84)),0),"New Year"))))),0)</f>
        <v>0</v>
      </c>
      <c r="BC15" s="684">
        <f>IF(BC$4="forecast",IF(YEAR(BC$3)=YEAR('New Hires Forecast'!$N$3),IF((BC$5=12),(SUMPRODUCT(--('New Hires Forecast'!$F$5:$F$84="Sales"),--('New Hires Forecast'!$H$5:$H$84&gt;=Sales!BC$3),'New Hires Forecast'!$N$5:$N$84,'New Hires Forecast'!$L$5:$L$84)),0),IF(YEAR(BC$3)=YEAR('New Hires Forecast'!$O$3),IF((BC$5=12),(SUMPRODUCT(--('New Hires Forecast'!$F$5:$F$84="Sales"),--('New Hires Forecast'!$H$5:$H$84&gt;=Sales!BC$3),'New Hires Forecast'!$O$5:$O$84,'New Hires Forecast'!$L$5:$L$84)),0),IF(YEAR(BC$3)=YEAR('New Hires Forecast'!$P$3),IF((BC$5=12),(SUMPRODUCT(--('New Hires Forecast'!$F$5:$F$84="Sales"),--('New Hires Forecast'!$H$5:$H$84&gt;=Sales!BC$3),'New Hires Forecast'!$P$5:$P$84,'New Hires Forecast'!$L$5:$L$84)),0),IF(YEAR(BC$3)=YEAR('New Hires Forecast'!$Q$3),IF((BC$5=12),(SUMPRODUCT(--('New Hires Forecast'!$F$5:$F$84="Sales"),--('New Hires Forecast'!$H$5:$H$84&gt;=Sales!BC$3),'New Hires Forecast'!$Q$5:$Q$84,'New Hires Forecast'!$L$5:$L$84)),0),IF(YEAR(BC$3)=YEAR('New Hires Forecast'!$R$3),IF((BC$5=12),(SUMPRODUCT(--('New Hires Forecast'!$F$5:$F$84="Sales"),--('New Hires Forecast'!$H$5:$H$84&gt;=Sales!BC$3),'New Hires Forecast'!$R$5:$R$84,'New Hires Forecast'!$L$5:$L$84)),0),"New Year"))))),0)</f>
        <v>0</v>
      </c>
      <c r="BD15" s="684">
        <f>IF(BD$4="forecast",IF(YEAR(BD$3)=YEAR('New Hires Forecast'!$N$3),IF((BD$5=12),(SUMPRODUCT(--('New Hires Forecast'!$F$5:$F$84="Sales"),--('New Hires Forecast'!$H$5:$H$84&gt;=Sales!BD$3),'New Hires Forecast'!$N$5:$N$84,'New Hires Forecast'!$L$5:$L$84)),0),IF(YEAR(BD$3)=YEAR('New Hires Forecast'!$O$3),IF((BD$5=12),(SUMPRODUCT(--('New Hires Forecast'!$F$5:$F$84="Sales"),--('New Hires Forecast'!$H$5:$H$84&gt;=Sales!BD$3),'New Hires Forecast'!$O$5:$O$84,'New Hires Forecast'!$L$5:$L$84)),0),IF(YEAR(BD$3)=YEAR('New Hires Forecast'!$P$3),IF((BD$5=12),(SUMPRODUCT(--('New Hires Forecast'!$F$5:$F$84="Sales"),--('New Hires Forecast'!$H$5:$H$84&gt;=Sales!BD$3),'New Hires Forecast'!$P$5:$P$84,'New Hires Forecast'!$L$5:$L$84)),0),IF(YEAR(BD$3)=YEAR('New Hires Forecast'!$Q$3),IF((BD$5=12),(SUMPRODUCT(--('New Hires Forecast'!$F$5:$F$84="Sales"),--('New Hires Forecast'!$H$5:$H$84&gt;=Sales!BD$3),'New Hires Forecast'!$Q$5:$Q$84,'New Hires Forecast'!$L$5:$L$84)),0),IF(YEAR(BD$3)=YEAR('New Hires Forecast'!$R$3),IF((BD$5=12),(SUMPRODUCT(--('New Hires Forecast'!$F$5:$F$84="Sales"),--('New Hires Forecast'!$H$5:$H$84&gt;=Sales!BD$3),'New Hires Forecast'!$R$5:$R$84,'New Hires Forecast'!$L$5:$L$84)),0),"New Year"))))),0)</f>
        <v>0</v>
      </c>
      <c r="BE15" s="684">
        <f>IF(BE$4="forecast",IF(YEAR(BE$3)=YEAR('New Hires Forecast'!$N$3),IF((BE$5=12),(SUMPRODUCT(--('New Hires Forecast'!$F$5:$F$84="Sales"),--('New Hires Forecast'!$H$5:$H$84&gt;=Sales!BE$3),'New Hires Forecast'!$N$5:$N$84,'New Hires Forecast'!$L$5:$L$84)),0),IF(YEAR(BE$3)=YEAR('New Hires Forecast'!$O$3),IF((BE$5=12),(SUMPRODUCT(--('New Hires Forecast'!$F$5:$F$84="Sales"),--('New Hires Forecast'!$H$5:$H$84&gt;=Sales!BE$3),'New Hires Forecast'!$O$5:$O$84,'New Hires Forecast'!$L$5:$L$84)),0),IF(YEAR(BE$3)=YEAR('New Hires Forecast'!$P$3),IF((BE$5=12),(SUMPRODUCT(--('New Hires Forecast'!$F$5:$F$84="Sales"),--('New Hires Forecast'!$H$5:$H$84&gt;=Sales!BE$3),'New Hires Forecast'!$P$5:$P$84,'New Hires Forecast'!$L$5:$L$84)),0),IF(YEAR(BE$3)=YEAR('New Hires Forecast'!$Q$3),IF((BE$5=12),(SUMPRODUCT(--('New Hires Forecast'!$F$5:$F$84="Sales"),--('New Hires Forecast'!$H$5:$H$84&gt;=Sales!BE$3),'New Hires Forecast'!$Q$5:$Q$84,'New Hires Forecast'!$L$5:$L$84)),0),IF(YEAR(BE$3)=YEAR('New Hires Forecast'!$R$3),IF((BE$5=12),(SUMPRODUCT(--('New Hires Forecast'!$F$5:$F$84="Sales"),--('New Hires Forecast'!$H$5:$H$84&gt;=Sales!BE$3),'New Hires Forecast'!$R$5:$R$84,'New Hires Forecast'!$L$5:$L$84)),0),"New Year"))))),0)</f>
        <v>0</v>
      </c>
      <c r="BF15" s="684">
        <f>IF(BF$4="forecast",IF(YEAR(BF$3)=YEAR('New Hires Forecast'!$N$3),IF((BF$5=12),(SUMPRODUCT(--('New Hires Forecast'!$F$5:$F$84="Sales"),--('New Hires Forecast'!$H$5:$H$84&gt;=Sales!BF$3),'New Hires Forecast'!$N$5:$N$84,'New Hires Forecast'!$L$5:$L$84)),0),IF(YEAR(BF$3)=YEAR('New Hires Forecast'!$O$3),IF((BF$5=12),(SUMPRODUCT(--('New Hires Forecast'!$F$5:$F$84="Sales"),--('New Hires Forecast'!$H$5:$H$84&gt;=Sales!BF$3),'New Hires Forecast'!$O$5:$O$84,'New Hires Forecast'!$L$5:$L$84)),0),IF(YEAR(BF$3)=YEAR('New Hires Forecast'!$P$3),IF((BF$5=12),(SUMPRODUCT(--('New Hires Forecast'!$F$5:$F$84="Sales"),--('New Hires Forecast'!$H$5:$H$84&gt;=Sales!BF$3),'New Hires Forecast'!$P$5:$P$84,'New Hires Forecast'!$L$5:$L$84)),0),IF(YEAR(BF$3)=YEAR('New Hires Forecast'!$Q$3),IF((BF$5=12),(SUMPRODUCT(--('New Hires Forecast'!$F$5:$F$84="Sales"),--('New Hires Forecast'!$H$5:$H$84&gt;=Sales!BF$3),'New Hires Forecast'!$Q$5:$Q$84,'New Hires Forecast'!$L$5:$L$84)),0),IF(YEAR(BF$3)=YEAR('New Hires Forecast'!$R$3),IF((BF$5=12),(SUMPRODUCT(--('New Hires Forecast'!$F$5:$F$84="Sales"),--('New Hires Forecast'!$H$5:$H$84&gt;=Sales!BF$3),'New Hires Forecast'!$R$5:$R$84,'New Hires Forecast'!$L$5:$L$84)),0),"New Year"))))),0)</f>
        <v>0</v>
      </c>
      <c r="BG15" s="684">
        <f>IF(BG$4="forecast",IF(YEAR(BG$3)=YEAR('New Hires Forecast'!$N$3),IF((BG$5=12),(SUMPRODUCT(--('New Hires Forecast'!$F$5:$F$84="Sales"),--('New Hires Forecast'!$H$5:$H$84&gt;=Sales!BG$3),'New Hires Forecast'!$N$5:$N$84,'New Hires Forecast'!$L$5:$L$84)),0),IF(YEAR(BG$3)=YEAR('New Hires Forecast'!$O$3),IF((BG$5=12),(SUMPRODUCT(--('New Hires Forecast'!$F$5:$F$84="Sales"),--('New Hires Forecast'!$H$5:$H$84&gt;=Sales!BG$3),'New Hires Forecast'!$O$5:$O$84,'New Hires Forecast'!$L$5:$L$84)),0),IF(YEAR(BG$3)=YEAR('New Hires Forecast'!$P$3),IF((BG$5=12),(SUMPRODUCT(--('New Hires Forecast'!$F$5:$F$84="Sales"),--('New Hires Forecast'!$H$5:$H$84&gt;=Sales!BG$3),'New Hires Forecast'!$P$5:$P$84,'New Hires Forecast'!$L$5:$L$84)),0),IF(YEAR(BG$3)=YEAR('New Hires Forecast'!$Q$3),IF((BG$5=12),(SUMPRODUCT(--('New Hires Forecast'!$F$5:$F$84="Sales"),--('New Hires Forecast'!$H$5:$H$84&gt;=Sales!BG$3),'New Hires Forecast'!$Q$5:$Q$84,'New Hires Forecast'!$L$5:$L$84)),0),IF(YEAR(BG$3)=YEAR('New Hires Forecast'!$R$3),IF((BG$5=12),(SUMPRODUCT(--('New Hires Forecast'!$F$5:$F$84="Sales"),--('New Hires Forecast'!$H$5:$H$84&gt;=Sales!BG$3),'New Hires Forecast'!$R$5:$R$84,'New Hires Forecast'!$L$5:$L$84)),0),"New Year"))))),0)</f>
        <v>0</v>
      </c>
      <c r="BH15" s="684">
        <f>IF(BH$4="forecast",IF(YEAR(BH$3)=YEAR('New Hires Forecast'!$N$3),IF((BH$5=12),(SUMPRODUCT(--('New Hires Forecast'!$F$5:$F$84="Sales"),--('New Hires Forecast'!$H$5:$H$84&gt;=Sales!BH$3),'New Hires Forecast'!$N$5:$N$84,'New Hires Forecast'!$L$5:$L$84)),0),IF(YEAR(BH$3)=YEAR('New Hires Forecast'!$O$3),IF((BH$5=12),(SUMPRODUCT(--('New Hires Forecast'!$F$5:$F$84="Sales"),--('New Hires Forecast'!$H$5:$H$84&gt;=Sales!BH$3),'New Hires Forecast'!$O$5:$O$84,'New Hires Forecast'!$L$5:$L$84)),0),IF(YEAR(BH$3)=YEAR('New Hires Forecast'!$P$3),IF((BH$5=12),(SUMPRODUCT(--('New Hires Forecast'!$F$5:$F$84="Sales"),--('New Hires Forecast'!$H$5:$H$84&gt;=Sales!BH$3),'New Hires Forecast'!$P$5:$P$84,'New Hires Forecast'!$L$5:$L$84)),0),IF(YEAR(BH$3)=YEAR('New Hires Forecast'!$Q$3),IF((BH$5=12),(SUMPRODUCT(--('New Hires Forecast'!$F$5:$F$84="Sales"),--('New Hires Forecast'!$H$5:$H$84&gt;=Sales!BH$3),'New Hires Forecast'!$Q$5:$Q$84,'New Hires Forecast'!$L$5:$L$84)),0),IF(YEAR(BH$3)=YEAR('New Hires Forecast'!$R$3),IF((BH$5=12),(SUMPRODUCT(--('New Hires Forecast'!$F$5:$F$84="Sales"),--('New Hires Forecast'!$H$5:$H$84&gt;=Sales!BH$3),'New Hires Forecast'!$R$5:$R$84,'New Hires Forecast'!$L$5:$L$84)),0),"New Year"))))),0)</f>
        <v>0</v>
      </c>
      <c r="BI15" s="684">
        <f>IF(BI$4="forecast",IF(YEAR(BI$3)=YEAR('New Hires Forecast'!$N$3),IF((BI$5=12),(SUMPRODUCT(--('New Hires Forecast'!$F$5:$F$84="Sales"),--('New Hires Forecast'!$H$5:$H$84&gt;=Sales!BI$3),'New Hires Forecast'!$N$5:$N$84,'New Hires Forecast'!$L$5:$L$84)),0),IF(YEAR(BI$3)=YEAR('New Hires Forecast'!$O$3),IF((BI$5=12),(SUMPRODUCT(--('New Hires Forecast'!$F$5:$F$84="Sales"),--('New Hires Forecast'!$H$5:$H$84&gt;=Sales!BI$3),'New Hires Forecast'!$O$5:$O$84,'New Hires Forecast'!$L$5:$L$84)),0),IF(YEAR(BI$3)=YEAR('New Hires Forecast'!$P$3),IF((BI$5=12),(SUMPRODUCT(--('New Hires Forecast'!$F$5:$F$84="Sales"),--('New Hires Forecast'!$H$5:$H$84&gt;=Sales!BI$3),'New Hires Forecast'!$P$5:$P$84,'New Hires Forecast'!$L$5:$L$84)),0),IF(YEAR(BI$3)=YEAR('New Hires Forecast'!$Q$3),IF((BI$5=12),(SUMPRODUCT(--('New Hires Forecast'!$F$5:$F$84="Sales"),--('New Hires Forecast'!$H$5:$H$84&gt;=Sales!BI$3),'New Hires Forecast'!$Q$5:$Q$84,'New Hires Forecast'!$L$5:$L$84)),0),IF(YEAR(BI$3)=YEAR('New Hires Forecast'!$R$3),IF((BI$5=12),(SUMPRODUCT(--('New Hires Forecast'!$F$5:$F$84="Sales"),--('New Hires Forecast'!$H$5:$H$84&gt;=Sales!BI$3),'New Hires Forecast'!$R$5:$R$84,'New Hires Forecast'!$L$5:$L$84)),0),"New Year"))))),0)</f>
        <v>0</v>
      </c>
      <c r="BJ15" s="684">
        <f>IF(BJ$4="forecast",IF(YEAR(BJ$3)=YEAR('New Hires Forecast'!$N$3),IF((BJ$5=12),(SUMPRODUCT(--('New Hires Forecast'!$F$5:$F$84="Sales"),--('New Hires Forecast'!$H$5:$H$84&gt;=Sales!BJ$3),'New Hires Forecast'!$N$5:$N$84,'New Hires Forecast'!$L$5:$L$84)),0),IF(YEAR(BJ$3)=YEAR('New Hires Forecast'!$O$3),IF((BJ$5=12),(SUMPRODUCT(--('New Hires Forecast'!$F$5:$F$84="Sales"),--('New Hires Forecast'!$H$5:$H$84&gt;=Sales!BJ$3),'New Hires Forecast'!$O$5:$O$84,'New Hires Forecast'!$L$5:$L$84)),0),IF(YEAR(BJ$3)=YEAR('New Hires Forecast'!$P$3),IF((BJ$5=12),(SUMPRODUCT(--('New Hires Forecast'!$F$5:$F$84="Sales"),--('New Hires Forecast'!$H$5:$H$84&gt;=Sales!BJ$3),'New Hires Forecast'!$P$5:$P$84,'New Hires Forecast'!$L$5:$L$84)),0),IF(YEAR(BJ$3)=YEAR('New Hires Forecast'!$Q$3),IF((BJ$5=12),(SUMPRODUCT(--('New Hires Forecast'!$F$5:$F$84="Sales"),--('New Hires Forecast'!$H$5:$H$84&gt;=Sales!BJ$3),'New Hires Forecast'!$Q$5:$Q$84,'New Hires Forecast'!$L$5:$L$84)),0),IF(YEAR(BJ$3)=YEAR('New Hires Forecast'!$R$3),IF((BJ$5=12),(SUMPRODUCT(--('New Hires Forecast'!$F$5:$F$84="Sales"),--('New Hires Forecast'!$H$5:$H$84&gt;=Sales!BJ$3),'New Hires Forecast'!$R$5:$R$84,'New Hires Forecast'!$L$5:$L$84)),0),"New Year"))))),0)</f>
        <v>26522.5</v>
      </c>
      <c r="BK15" s="684">
        <f>IF(BK$4="forecast",IF(YEAR(BK$3)=YEAR('New Hires Forecast'!$N$3),IF((BK$5=12),(SUMPRODUCT(--('New Hires Forecast'!$F$5:$F$84="Sales"),--('New Hires Forecast'!$H$5:$H$84&gt;=Sales!BK$3),'New Hires Forecast'!$N$5:$N$84,'New Hires Forecast'!$L$5:$L$84)),0),IF(YEAR(BK$3)=YEAR('New Hires Forecast'!$O$3),IF((BK$5=12),(SUMPRODUCT(--('New Hires Forecast'!$F$5:$F$84="Sales"),--('New Hires Forecast'!$H$5:$H$84&gt;=Sales!BK$3),'New Hires Forecast'!$O$5:$O$84,'New Hires Forecast'!$L$5:$L$84)),0),IF(YEAR(BK$3)=YEAR('New Hires Forecast'!$P$3),IF((BK$5=12),(SUMPRODUCT(--('New Hires Forecast'!$F$5:$F$84="Sales"),--('New Hires Forecast'!$H$5:$H$84&gt;=Sales!BK$3),'New Hires Forecast'!$P$5:$P$84,'New Hires Forecast'!$L$5:$L$84)),0),IF(YEAR(BK$3)=YEAR('New Hires Forecast'!$Q$3),IF((BK$5=12),(SUMPRODUCT(--('New Hires Forecast'!$F$5:$F$84="Sales"),--('New Hires Forecast'!$H$5:$H$84&gt;=Sales!BK$3),'New Hires Forecast'!$Q$5:$Q$84,'New Hires Forecast'!$L$5:$L$84)),0),IF(YEAR(BK$3)=YEAR('New Hires Forecast'!$R$3),IF((BK$5=12),(SUMPRODUCT(--('New Hires Forecast'!$F$5:$F$84="Sales"),--('New Hires Forecast'!$H$5:$H$84&gt;=Sales!BK$3),'New Hires Forecast'!$R$5:$R$84,'New Hires Forecast'!$L$5:$L$84)),0),"New Year"))))),0)</f>
        <v>0</v>
      </c>
      <c r="BL15" s="684">
        <f>IF(BL$4="forecast",IF(YEAR(BL$3)=YEAR('New Hires Forecast'!$N$3),IF((BL$5=12),(SUMPRODUCT(--('New Hires Forecast'!$F$5:$F$84="Sales"),--('New Hires Forecast'!$H$5:$H$84&gt;=Sales!BL$3),'New Hires Forecast'!$N$5:$N$84,'New Hires Forecast'!$L$5:$L$84)),0),IF(YEAR(BL$3)=YEAR('New Hires Forecast'!$O$3),IF((BL$5=12),(SUMPRODUCT(--('New Hires Forecast'!$F$5:$F$84="Sales"),--('New Hires Forecast'!$H$5:$H$84&gt;=Sales!BL$3),'New Hires Forecast'!$O$5:$O$84,'New Hires Forecast'!$L$5:$L$84)),0),IF(YEAR(BL$3)=YEAR('New Hires Forecast'!$P$3),IF((BL$5=12),(SUMPRODUCT(--('New Hires Forecast'!$F$5:$F$84="Sales"),--('New Hires Forecast'!$H$5:$H$84&gt;=Sales!BL$3),'New Hires Forecast'!$P$5:$P$84,'New Hires Forecast'!$L$5:$L$84)),0),IF(YEAR(BL$3)=YEAR('New Hires Forecast'!$Q$3),IF((BL$5=12),(SUMPRODUCT(--('New Hires Forecast'!$F$5:$F$84="Sales"),--('New Hires Forecast'!$H$5:$H$84&gt;=Sales!BL$3),'New Hires Forecast'!$Q$5:$Q$84,'New Hires Forecast'!$L$5:$L$84)),0),IF(YEAR(BL$3)=YEAR('New Hires Forecast'!$R$3),IF((BL$5=12),(SUMPRODUCT(--('New Hires Forecast'!$F$5:$F$84="Sales"),--('New Hires Forecast'!$H$5:$H$84&gt;=Sales!BL$3),'New Hires Forecast'!$R$5:$R$84,'New Hires Forecast'!$L$5:$L$84)),0),"New Year"))))),0)</f>
        <v>0</v>
      </c>
      <c r="BM15" s="684">
        <f>IF(BM$4="forecast",IF(YEAR(BM$3)=YEAR('New Hires Forecast'!$N$3),IF((BM$5=12),(SUMPRODUCT(--('New Hires Forecast'!$F$5:$F$84="Sales"),--('New Hires Forecast'!$H$5:$H$84&gt;=Sales!BM$3),'New Hires Forecast'!$N$5:$N$84,'New Hires Forecast'!$L$5:$L$84)),0),IF(YEAR(BM$3)=YEAR('New Hires Forecast'!$O$3),IF((BM$5=12),(SUMPRODUCT(--('New Hires Forecast'!$F$5:$F$84="Sales"),--('New Hires Forecast'!$H$5:$H$84&gt;=Sales!BM$3),'New Hires Forecast'!$O$5:$O$84,'New Hires Forecast'!$L$5:$L$84)),0),IF(YEAR(BM$3)=YEAR('New Hires Forecast'!$P$3),IF((BM$5=12),(SUMPRODUCT(--('New Hires Forecast'!$F$5:$F$84="Sales"),--('New Hires Forecast'!$H$5:$H$84&gt;=Sales!BM$3),'New Hires Forecast'!$P$5:$P$84,'New Hires Forecast'!$L$5:$L$84)),0),IF(YEAR(BM$3)=YEAR('New Hires Forecast'!$Q$3),IF((BM$5=12),(SUMPRODUCT(--('New Hires Forecast'!$F$5:$F$84="Sales"),--('New Hires Forecast'!$H$5:$H$84&gt;=Sales!BM$3),'New Hires Forecast'!$Q$5:$Q$84,'New Hires Forecast'!$L$5:$L$84)),0),IF(YEAR(BM$3)=YEAR('New Hires Forecast'!$R$3),IF((BM$5=12),(SUMPRODUCT(--('New Hires Forecast'!$F$5:$F$84="Sales"),--('New Hires Forecast'!$H$5:$H$84&gt;=Sales!BM$3),'New Hires Forecast'!$R$5:$R$84,'New Hires Forecast'!$L$5:$L$84)),0),"New Year"))))),0)</f>
        <v>0</v>
      </c>
      <c r="BN15" s="684">
        <f>IF(BN$4="forecast",IF(YEAR(BN$3)=YEAR('New Hires Forecast'!$N$3),IF((BN$5=12),(SUMPRODUCT(--('New Hires Forecast'!$F$5:$F$84="Sales"),--('New Hires Forecast'!$H$5:$H$84&gt;=Sales!BN$3),'New Hires Forecast'!$N$5:$N$84,'New Hires Forecast'!$L$5:$L$84)),0),IF(YEAR(BN$3)=YEAR('New Hires Forecast'!$O$3),IF((BN$5=12),(SUMPRODUCT(--('New Hires Forecast'!$F$5:$F$84="Sales"),--('New Hires Forecast'!$H$5:$H$84&gt;=Sales!BN$3),'New Hires Forecast'!$O$5:$O$84,'New Hires Forecast'!$L$5:$L$84)),0),IF(YEAR(BN$3)=YEAR('New Hires Forecast'!$P$3),IF((BN$5=12),(SUMPRODUCT(--('New Hires Forecast'!$F$5:$F$84="Sales"),--('New Hires Forecast'!$H$5:$H$84&gt;=Sales!BN$3),'New Hires Forecast'!$P$5:$P$84,'New Hires Forecast'!$L$5:$L$84)),0),IF(YEAR(BN$3)=YEAR('New Hires Forecast'!$Q$3),IF((BN$5=12),(SUMPRODUCT(--('New Hires Forecast'!$F$5:$F$84="Sales"),--('New Hires Forecast'!$H$5:$H$84&gt;=Sales!BN$3),'New Hires Forecast'!$Q$5:$Q$84,'New Hires Forecast'!$L$5:$L$84)),0),IF(YEAR(BN$3)=YEAR('New Hires Forecast'!$R$3),IF((BN$5=12),(SUMPRODUCT(--('New Hires Forecast'!$F$5:$F$84="Sales"),--('New Hires Forecast'!$H$5:$H$84&gt;=Sales!BN$3),'New Hires Forecast'!$R$5:$R$84,'New Hires Forecast'!$L$5:$L$84)),0),"New Year"))))),0)</f>
        <v>0</v>
      </c>
      <c r="BO15" s="684">
        <f>IF(BO$4="forecast",IF(YEAR(BO$3)=YEAR('New Hires Forecast'!$N$3),IF((BO$5=12),(SUMPRODUCT(--('New Hires Forecast'!$F$5:$F$84="Sales"),--('New Hires Forecast'!$H$5:$H$84&gt;=Sales!BO$3),'New Hires Forecast'!$N$5:$N$84,'New Hires Forecast'!$L$5:$L$84)),0),IF(YEAR(BO$3)=YEAR('New Hires Forecast'!$O$3),IF((BO$5=12),(SUMPRODUCT(--('New Hires Forecast'!$F$5:$F$84="Sales"),--('New Hires Forecast'!$H$5:$H$84&gt;=Sales!BO$3),'New Hires Forecast'!$O$5:$O$84,'New Hires Forecast'!$L$5:$L$84)),0),IF(YEAR(BO$3)=YEAR('New Hires Forecast'!$P$3),IF((BO$5=12),(SUMPRODUCT(--('New Hires Forecast'!$F$5:$F$84="Sales"),--('New Hires Forecast'!$H$5:$H$84&gt;=Sales!BO$3),'New Hires Forecast'!$P$5:$P$84,'New Hires Forecast'!$L$5:$L$84)),0),IF(YEAR(BO$3)=YEAR('New Hires Forecast'!$Q$3),IF((BO$5=12),(SUMPRODUCT(--('New Hires Forecast'!$F$5:$F$84="Sales"),--('New Hires Forecast'!$H$5:$H$84&gt;=Sales!BO$3),'New Hires Forecast'!$Q$5:$Q$84,'New Hires Forecast'!$L$5:$L$84)),0),IF(YEAR(BO$3)=YEAR('New Hires Forecast'!$R$3),IF((BO$5=12),(SUMPRODUCT(--('New Hires Forecast'!$F$5:$F$84="Sales"),--('New Hires Forecast'!$H$5:$H$84&gt;=Sales!BO$3),'New Hires Forecast'!$R$5:$R$84,'New Hires Forecast'!$L$5:$L$84)),0),"New Year"))))),0)</f>
        <v>0</v>
      </c>
      <c r="BP15" s="684">
        <f>IF(BP$4="forecast",IF(YEAR(BP$3)=YEAR('New Hires Forecast'!$N$3),IF((BP$5=12),(SUMPRODUCT(--('New Hires Forecast'!$F$5:$F$84="Sales"),--('New Hires Forecast'!$H$5:$H$84&gt;=Sales!BP$3),'New Hires Forecast'!$N$5:$N$84,'New Hires Forecast'!$L$5:$L$84)),0),IF(YEAR(BP$3)=YEAR('New Hires Forecast'!$O$3),IF((BP$5=12),(SUMPRODUCT(--('New Hires Forecast'!$F$5:$F$84="Sales"),--('New Hires Forecast'!$H$5:$H$84&gt;=Sales!BP$3),'New Hires Forecast'!$O$5:$O$84,'New Hires Forecast'!$L$5:$L$84)),0),IF(YEAR(BP$3)=YEAR('New Hires Forecast'!$P$3),IF((BP$5=12),(SUMPRODUCT(--('New Hires Forecast'!$F$5:$F$84="Sales"),--('New Hires Forecast'!$H$5:$H$84&gt;=Sales!BP$3),'New Hires Forecast'!$P$5:$P$84,'New Hires Forecast'!$L$5:$L$84)),0),IF(YEAR(BP$3)=YEAR('New Hires Forecast'!$Q$3),IF((BP$5=12),(SUMPRODUCT(--('New Hires Forecast'!$F$5:$F$84="Sales"),--('New Hires Forecast'!$H$5:$H$84&gt;=Sales!BP$3),'New Hires Forecast'!$Q$5:$Q$84,'New Hires Forecast'!$L$5:$L$84)),0),IF(YEAR(BP$3)=YEAR('New Hires Forecast'!$R$3),IF((BP$5=12),(SUMPRODUCT(--('New Hires Forecast'!$F$5:$F$84="Sales"),--('New Hires Forecast'!$H$5:$H$84&gt;=Sales!BP$3),'New Hires Forecast'!$R$5:$R$84,'New Hires Forecast'!$L$5:$L$84)),0),"New Year"))))),0)</f>
        <v>0</v>
      </c>
      <c r="BQ15" s="684">
        <f>IF(BQ$4="forecast",IF(YEAR(BQ$3)=YEAR('New Hires Forecast'!$N$3),IF((BQ$5=12),(SUMPRODUCT(--('New Hires Forecast'!$F$5:$F$84="Sales"),--('New Hires Forecast'!$H$5:$H$84&gt;=Sales!BQ$3),'New Hires Forecast'!$N$5:$N$84,'New Hires Forecast'!$L$5:$L$84)),0),IF(YEAR(BQ$3)=YEAR('New Hires Forecast'!$O$3),IF((BQ$5=12),(SUMPRODUCT(--('New Hires Forecast'!$F$5:$F$84="Sales"),--('New Hires Forecast'!$H$5:$H$84&gt;=Sales!BQ$3),'New Hires Forecast'!$O$5:$O$84,'New Hires Forecast'!$L$5:$L$84)),0),IF(YEAR(BQ$3)=YEAR('New Hires Forecast'!$P$3),IF((BQ$5=12),(SUMPRODUCT(--('New Hires Forecast'!$F$5:$F$84="Sales"),--('New Hires Forecast'!$H$5:$H$84&gt;=Sales!BQ$3),'New Hires Forecast'!$P$5:$P$84,'New Hires Forecast'!$L$5:$L$84)),0),IF(YEAR(BQ$3)=YEAR('New Hires Forecast'!$Q$3),IF((BQ$5=12),(SUMPRODUCT(--('New Hires Forecast'!$F$5:$F$84="Sales"),--('New Hires Forecast'!$H$5:$H$84&gt;=Sales!BQ$3),'New Hires Forecast'!$Q$5:$Q$84,'New Hires Forecast'!$L$5:$L$84)),0),IF(YEAR(BQ$3)=YEAR('New Hires Forecast'!$R$3),IF((BQ$5=12),(SUMPRODUCT(--('New Hires Forecast'!$F$5:$F$84="Sales"),--('New Hires Forecast'!$H$5:$H$84&gt;=Sales!BQ$3),'New Hires Forecast'!$R$5:$R$84,'New Hires Forecast'!$L$5:$L$84)),0),"New Year"))))),0)</f>
        <v>0</v>
      </c>
      <c r="BR15" s="684">
        <f>IF(BR$4="forecast",IF(YEAR(BR$3)=YEAR('New Hires Forecast'!$N$3),IF((BR$5=12),(SUMPRODUCT(--('New Hires Forecast'!$F$5:$F$84="Sales"),--('New Hires Forecast'!$H$5:$H$84&gt;=Sales!BR$3),'New Hires Forecast'!$N$5:$N$84,'New Hires Forecast'!$L$5:$L$84)),0),IF(YEAR(BR$3)=YEAR('New Hires Forecast'!$O$3),IF((BR$5=12),(SUMPRODUCT(--('New Hires Forecast'!$F$5:$F$84="Sales"),--('New Hires Forecast'!$H$5:$H$84&gt;=Sales!BR$3),'New Hires Forecast'!$O$5:$O$84,'New Hires Forecast'!$L$5:$L$84)),0),IF(YEAR(BR$3)=YEAR('New Hires Forecast'!$P$3),IF((BR$5=12),(SUMPRODUCT(--('New Hires Forecast'!$F$5:$F$84="Sales"),--('New Hires Forecast'!$H$5:$H$84&gt;=Sales!BR$3),'New Hires Forecast'!$P$5:$P$84,'New Hires Forecast'!$L$5:$L$84)),0),IF(YEAR(BR$3)=YEAR('New Hires Forecast'!$Q$3),IF((BR$5=12),(SUMPRODUCT(--('New Hires Forecast'!$F$5:$F$84="Sales"),--('New Hires Forecast'!$H$5:$H$84&gt;=Sales!BR$3),'New Hires Forecast'!$Q$5:$Q$84,'New Hires Forecast'!$L$5:$L$84)),0),IF(YEAR(BR$3)=YEAR('New Hires Forecast'!$R$3),IF((BR$5=12),(SUMPRODUCT(--('New Hires Forecast'!$F$5:$F$84="Sales"),--('New Hires Forecast'!$H$5:$H$84&gt;=Sales!BR$3),'New Hires Forecast'!$R$5:$R$84,'New Hires Forecast'!$L$5:$L$84)),0),"New Year"))))),0)</f>
        <v>0</v>
      </c>
      <c r="BS15" s="684">
        <f>IF(BS$4="forecast",IF(YEAR(BS$3)=YEAR('New Hires Forecast'!$N$3),IF((BS$5=12),(SUMPRODUCT(--('New Hires Forecast'!$F$5:$F$84="Sales"),--('New Hires Forecast'!$H$5:$H$84&gt;=Sales!BS$3),'New Hires Forecast'!$N$5:$N$84,'New Hires Forecast'!$L$5:$L$84)),0),IF(YEAR(BS$3)=YEAR('New Hires Forecast'!$O$3),IF((BS$5=12),(SUMPRODUCT(--('New Hires Forecast'!$F$5:$F$84="Sales"),--('New Hires Forecast'!$H$5:$H$84&gt;=Sales!BS$3),'New Hires Forecast'!$O$5:$O$84,'New Hires Forecast'!$L$5:$L$84)),0),IF(YEAR(BS$3)=YEAR('New Hires Forecast'!$P$3),IF((BS$5=12),(SUMPRODUCT(--('New Hires Forecast'!$F$5:$F$84="Sales"),--('New Hires Forecast'!$H$5:$H$84&gt;=Sales!BS$3),'New Hires Forecast'!$P$5:$P$84,'New Hires Forecast'!$L$5:$L$84)),0),IF(YEAR(BS$3)=YEAR('New Hires Forecast'!$Q$3),IF((BS$5=12),(SUMPRODUCT(--('New Hires Forecast'!$F$5:$F$84="Sales"),--('New Hires Forecast'!$H$5:$H$84&gt;=Sales!BS$3),'New Hires Forecast'!$Q$5:$Q$84,'New Hires Forecast'!$L$5:$L$84)),0),IF(YEAR(BS$3)=YEAR('New Hires Forecast'!$R$3),IF((BS$5=12),(SUMPRODUCT(--('New Hires Forecast'!$F$5:$F$84="Sales"),--('New Hires Forecast'!$H$5:$H$84&gt;=Sales!BS$3),'New Hires Forecast'!$R$5:$R$84,'New Hires Forecast'!$L$5:$L$84)),0),"New Year"))))),0)</f>
        <v>0</v>
      </c>
      <c r="BT15" s="684">
        <f>IF(BT$4="forecast",IF(YEAR(BT$3)=YEAR('New Hires Forecast'!$N$3),IF((BT$5=12),(SUMPRODUCT(--('New Hires Forecast'!$F$5:$F$84="Sales"),--('New Hires Forecast'!$H$5:$H$84&gt;=Sales!BT$3),'New Hires Forecast'!$N$5:$N$84,'New Hires Forecast'!$L$5:$L$84)),0),IF(YEAR(BT$3)=YEAR('New Hires Forecast'!$O$3),IF((BT$5=12),(SUMPRODUCT(--('New Hires Forecast'!$F$5:$F$84="Sales"),--('New Hires Forecast'!$H$5:$H$84&gt;=Sales!BT$3),'New Hires Forecast'!$O$5:$O$84,'New Hires Forecast'!$L$5:$L$84)),0),IF(YEAR(BT$3)=YEAR('New Hires Forecast'!$P$3),IF((BT$5=12),(SUMPRODUCT(--('New Hires Forecast'!$F$5:$F$84="Sales"),--('New Hires Forecast'!$H$5:$H$84&gt;=Sales!BT$3),'New Hires Forecast'!$P$5:$P$84,'New Hires Forecast'!$L$5:$L$84)),0),IF(YEAR(BT$3)=YEAR('New Hires Forecast'!$Q$3),IF((BT$5=12),(SUMPRODUCT(--('New Hires Forecast'!$F$5:$F$84="Sales"),--('New Hires Forecast'!$H$5:$H$84&gt;=Sales!BT$3),'New Hires Forecast'!$Q$5:$Q$84,'New Hires Forecast'!$L$5:$L$84)),0),IF(YEAR(BT$3)=YEAR('New Hires Forecast'!$R$3),IF((BT$5=12),(SUMPRODUCT(--('New Hires Forecast'!$F$5:$F$84="Sales"),--('New Hires Forecast'!$H$5:$H$84&gt;=Sales!BT$3),'New Hires Forecast'!$R$5:$R$84,'New Hires Forecast'!$L$5:$L$84)),0),"New Year"))))),0)</f>
        <v>0</v>
      </c>
      <c r="BU15" s="684">
        <f>IF(BU$4="forecast",IF(YEAR(BU$3)=YEAR('New Hires Forecast'!$N$3),IF((BU$5=12),(SUMPRODUCT(--('New Hires Forecast'!$F$5:$F$84="Sales"),--('New Hires Forecast'!$H$5:$H$84&gt;=Sales!BU$3),'New Hires Forecast'!$N$5:$N$84,'New Hires Forecast'!$L$5:$L$84)),0),IF(YEAR(BU$3)=YEAR('New Hires Forecast'!$O$3),IF((BU$5=12),(SUMPRODUCT(--('New Hires Forecast'!$F$5:$F$84="Sales"),--('New Hires Forecast'!$H$5:$H$84&gt;=Sales!BU$3),'New Hires Forecast'!$O$5:$O$84,'New Hires Forecast'!$L$5:$L$84)),0),IF(YEAR(BU$3)=YEAR('New Hires Forecast'!$P$3),IF((BU$5=12),(SUMPRODUCT(--('New Hires Forecast'!$F$5:$F$84="Sales"),--('New Hires Forecast'!$H$5:$H$84&gt;=Sales!BU$3),'New Hires Forecast'!$P$5:$P$84,'New Hires Forecast'!$L$5:$L$84)),0),IF(YEAR(BU$3)=YEAR('New Hires Forecast'!$Q$3),IF((BU$5=12),(SUMPRODUCT(--('New Hires Forecast'!$F$5:$F$84="Sales"),--('New Hires Forecast'!$H$5:$H$84&gt;=Sales!BU$3),'New Hires Forecast'!$Q$5:$Q$84,'New Hires Forecast'!$L$5:$L$84)),0),IF(YEAR(BU$3)=YEAR('New Hires Forecast'!$R$3),IF((BU$5=12),(SUMPRODUCT(--('New Hires Forecast'!$F$5:$F$84="Sales"),--('New Hires Forecast'!$H$5:$H$84&gt;=Sales!BU$3),'New Hires Forecast'!$R$5:$R$84,'New Hires Forecast'!$L$5:$L$84)),0),"New Year"))))),0)</f>
        <v>0</v>
      </c>
      <c r="BV15" s="808">
        <f>IF(BV$4="forecast",IF(YEAR(BV$3)=YEAR('New Hires Forecast'!$N$3),IF((BV$5=12),(SUMPRODUCT(--('New Hires Forecast'!$F$5:$F$84="Sales"),--('New Hires Forecast'!$H$5:$H$84&gt;=Sales!BV$3),'New Hires Forecast'!$N$5:$N$84,'New Hires Forecast'!$L$5:$L$84)),0),IF(YEAR(BV$3)=YEAR('New Hires Forecast'!$O$3),IF((BV$5=12),(SUMPRODUCT(--('New Hires Forecast'!$F$5:$F$84="Sales"),--('New Hires Forecast'!$H$5:$H$84&gt;=Sales!BV$3),'New Hires Forecast'!$O$5:$O$84,'New Hires Forecast'!$L$5:$L$84)),0),IF(YEAR(BV$3)=YEAR('New Hires Forecast'!$P$3),IF((BV$5=12),(SUMPRODUCT(--('New Hires Forecast'!$F$5:$F$84="Sales"),--('New Hires Forecast'!$H$5:$H$84&gt;=Sales!BV$3),'New Hires Forecast'!$P$5:$P$84,'New Hires Forecast'!$L$5:$L$84)),0),IF(YEAR(BV$3)=YEAR('New Hires Forecast'!$Q$3),IF((BV$5=12),(SUMPRODUCT(--('New Hires Forecast'!$F$5:$F$84="Sales"),--('New Hires Forecast'!$H$5:$H$84&gt;=Sales!BV$3),'New Hires Forecast'!$Q$5:$Q$84,'New Hires Forecast'!$L$5:$L$84)),0),IF(YEAR(BV$3)=YEAR('New Hires Forecast'!$R$3),IF((BV$5=12),(SUMPRODUCT(--('New Hires Forecast'!$F$5:$F$84="Sales"),--('New Hires Forecast'!$H$5:$H$84&gt;=Sales!BV$3),'New Hires Forecast'!$R$5:$R$84,'New Hires Forecast'!$L$5:$L$84)),0),"New Year"))))),0)</f>
        <v>27318.175000000003</v>
      </c>
    </row>
    <row r="16" spans="2:77" x14ac:dyDescent="0.35">
      <c r="B16" s="797" t="s">
        <v>937</v>
      </c>
      <c r="C16" s="810">
        <f>IF(C$4="forecast",IF(YEAR(C$3)=YEAR(Headcount!$N$4),IF((C$5=12),(SUMPRODUCT(--(Headcount!$F$6:$F$92="Sales"),--(Headcount!$H$6:$H$92&gt;=Sales!C$3),Headcount!$N$6:$N$92,Headcount!$L$6:$L$92)),0),IF(YEAR(C$3)=YEAR(Headcount!$O$4),IF((C$5=12),(SUMPRODUCT(--(Headcount!$F$6:$F$92="Sales"),--(Headcount!$H$6:$H$92&gt;=Sales!C$3),Headcount!$O$6:$O$92,Headcount!$L$6:$L$92)),0),IF(YEAR(C$3)=YEAR(Headcount!$P$4),IF((C$5=12),(SUMPRODUCT(--(Headcount!$F$6:$F$92="Sales"),--(Headcount!$H$6:$H$92&gt;=Sales!C$3),Headcount!$P$6:$P$92,Headcount!$L$6:$L$92)),0),IF(YEAR(C$3)=YEAR(Headcount!$Q$4),IF((C$5=12),(SUMPRODUCT(--(Headcount!$F$6:$F$92="Sales"),--(Headcount!$H$6:$H$92&gt;=Sales!C$3),Headcount!$Q$6:$Q$92,Headcount!$L$6:$L$92)),0),IF(YEAR(C$3)=YEAR(Headcount!$R$4),IF((C$5=12),(SUMPRODUCT(--(Headcount!$F$6:$F$92="Sales"),--(Headcount!$H$6:$H$92&gt;=Sales!C$3),Headcount!$R$6:$R$92,Headcount!$L$6:$L$92)),0),"New Year"))))),'Dept. Cost Actuals'!G142)</f>
        <v>240</v>
      </c>
      <c r="D16" s="810">
        <f>IF(D$4="forecast",IF(YEAR(D$3)=YEAR(Headcount!$N$4),IF((D$5=12),(SUMPRODUCT(--(Headcount!$F$6:$F$92="Sales"),--(Headcount!$H$6:$H$92&gt;=Sales!D$3),Headcount!$N$6:$N$92,Headcount!$L$6:$L$92)),0),IF(YEAR(D$3)=YEAR(Headcount!$O$4),IF((D$5=12),(SUMPRODUCT(--(Headcount!$F$6:$F$92="Sales"),--(Headcount!$H$6:$H$92&gt;=Sales!D$3),Headcount!$O$6:$O$92,Headcount!$L$6:$L$92)),0),IF(YEAR(D$3)=YEAR(Headcount!$P$4),IF((D$5=12),(SUMPRODUCT(--(Headcount!$F$6:$F$92="Sales"),--(Headcount!$H$6:$H$92&gt;=Sales!D$3),Headcount!$P$6:$P$92,Headcount!$L$6:$L$92)),0),IF(YEAR(D$3)=YEAR(Headcount!$Q$4),IF((D$5=12),(SUMPRODUCT(--(Headcount!$F$6:$F$92="Sales"),--(Headcount!$H$6:$H$92&gt;=Sales!D$3),Headcount!$Q$6:$Q$92,Headcount!$L$6:$L$92)),0),IF(YEAR(D$3)=YEAR(Headcount!$R$4),IF((D$5=12),(SUMPRODUCT(--(Headcount!$F$6:$F$92="Sales"),--(Headcount!$H$6:$H$92&gt;=Sales!D$3),Headcount!$R$6:$R$92,Headcount!$L$6:$L$92)),0),"New Year"))))),'Dept. Cost Actuals'!H142)</f>
        <v>240</v>
      </c>
      <c r="E16" s="810">
        <f>IF(E$4="forecast",IF(YEAR(E$3)=YEAR(Headcount!$N$4),IF((E$5=12),(SUMPRODUCT(--(Headcount!$F$6:$F$92="Sales"),--(Headcount!$H$6:$H$92&gt;=Sales!E$3),Headcount!$N$6:$N$92,Headcount!$L$6:$L$92)),0),IF(YEAR(E$3)=YEAR(Headcount!$O$4),IF((E$5=12),(SUMPRODUCT(--(Headcount!$F$6:$F$92="Sales"),--(Headcount!$H$6:$H$92&gt;=Sales!E$3),Headcount!$O$6:$O$92,Headcount!$L$6:$L$92)),0),IF(YEAR(E$3)=YEAR(Headcount!$P$4),IF((E$5=12),(SUMPRODUCT(--(Headcount!$F$6:$F$92="Sales"),--(Headcount!$H$6:$H$92&gt;=Sales!E$3),Headcount!$P$6:$P$92,Headcount!$L$6:$L$92)),0),IF(YEAR(E$3)=YEAR(Headcount!$Q$4),IF((E$5=12),(SUMPRODUCT(--(Headcount!$F$6:$F$92="Sales"),--(Headcount!$H$6:$H$92&gt;=Sales!E$3),Headcount!$Q$6:$Q$92,Headcount!$L$6:$L$92)),0),IF(YEAR(E$3)=YEAR(Headcount!$R$4),IF((E$5=12),(SUMPRODUCT(--(Headcount!$F$6:$F$92="Sales"),--(Headcount!$H$6:$H$92&gt;=Sales!E$3),Headcount!$R$6:$R$92,Headcount!$L$6:$L$92)),0),"New Year"))))),'Dept. Cost Actuals'!I142)</f>
        <v>240</v>
      </c>
      <c r="F16" s="810">
        <f>IF(F$4="forecast",IF(YEAR(F$3)=YEAR(Headcount!$N$4),IF((F$5=12),(SUMPRODUCT(--(Headcount!$F$6:$F$92="Sales"),--(Headcount!$H$6:$H$92&gt;=Sales!F$3),Headcount!$N$6:$N$92,Headcount!$L$6:$L$92)),0),IF(YEAR(F$3)=YEAR(Headcount!$O$4),IF((F$5=12),(SUMPRODUCT(--(Headcount!$F$6:$F$92="Sales"),--(Headcount!$H$6:$H$92&gt;=Sales!F$3),Headcount!$O$6:$O$92,Headcount!$L$6:$L$92)),0),IF(YEAR(F$3)=YEAR(Headcount!$P$4),IF((F$5=12),(SUMPRODUCT(--(Headcount!$F$6:$F$92="Sales"),--(Headcount!$H$6:$H$92&gt;=Sales!F$3),Headcount!$P$6:$P$92,Headcount!$L$6:$L$92)),0),IF(YEAR(F$3)=YEAR(Headcount!$Q$4),IF((F$5=12),(SUMPRODUCT(--(Headcount!$F$6:$F$92="Sales"),--(Headcount!$H$6:$H$92&gt;=Sales!F$3),Headcount!$Q$6:$Q$92,Headcount!$L$6:$L$92)),0),IF(YEAR(F$3)=YEAR(Headcount!$R$4),IF((F$5=12),(SUMPRODUCT(--(Headcount!$F$6:$F$92="Sales"),--(Headcount!$H$6:$H$92&gt;=Sales!F$3),Headcount!$R$6:$R$92,Headcount!$L$6:$L$92)),0),"New Year"))))),'Dept. Cost Actuals'!J142)</f>
        <v>240</v>
      </c>
      <c r="G16" s="810">
        <f>IF(G$4="forecast",IF(YEAR(G$3)=YEAR(Headcount!$N$4),IF((G$5=12),(SUMPRODUCT(--(Headcount!$F$6:$F$92="Sales"),--(Headcount!$H$6:$H$92&gt;=Sales!G$3),Headcount!$N$6:$N$92,Headcount!$L$6:$L$92)),0),IF(YEAR(G$3)=YEAR(Headcount!$O$4),IF((G$5=12),(SUMPRODUCT(--(Headcount!$F$6:$F$92="Sales"),--(Headcount!$H$6:$H$92&gt;=Sales!G$3),Headcount!$O$6:$O$92,Headcount!$L$6:$L$92)),0),IF(YEAR(G$3)=YEAR(Headcount!$P$4),IF((G$5=12),(SUMPRODUCT(--(Headcount!$F$6:$F$92="Sales"),--(Headcount!$H$6:$H$92&gt;=Sales!G$3),Headcount!$P$6:$P$92,Headcount!$L$6:$L$92)),0),IF(YEAR(G$3)=YEAR(Headcount!$Q$4),IF((G$5=12),(SUMPRODUCT(--(Headcount!$F$6:$F$92="Sales"),--(Headcount!$H$6:$H$92&gt;=Sales!G$3),Headcount!$Q$6:$Q$92,Headcount!$L$6:$L$92)),0),IF(YEAR(G$3)=YEAR(Headcount!$R$4),IF((G$5=12),(SUMPRODUCT(--(Headcount!$F$6:$F$92="Sales"),--(Headcount!$H$6:$H$92&gt;=Sales!G$3),Headcount!$R$6:$R$92,Headcount!$L$6:$L$92)),0),"New Year"))))),'Dept. Cost Actuals'!K142)</f>
        <v>4827.37</v>
      </c>
      <c r="H16" s="810">
        <f>IF(H$4="forecast",IF(YEAR(H$3)=YEAR(Headcount!$N$4),IF((H$5=12),(SUMPRODUCT(--(Headcount!$F$6:$F$92="Sales"),--(Headcount!$H$6:$H$92&gt;=Sales!H$3),Headcount!$N$6:$N$92,Headcount!$L$6:$L$92)),0),IF(YEAR(H$3)=YEAR(Headcount!$O$4),IF((H$5=12),(SUMPRODUCT(--(Headcount!$F$6:$F$92="Sales"),--(Headcount!$H$6:$H$92&gt;=Sales!H$3),Headcount!$O$6:$O$92,Headcount!$L$6:$L$92)),0),IF(YEAR(H$3)=YEAR(Headcount!$P$4),IF((H$5=12),(SUMPRODUCT(--(Headcount!$F$6:$F$92="Sales"),--(Headcount!$H$6:$H$92&gt;=Sales!H$3),Headcount!$P$6:$P$92,Headcount!$L$6:$L$92)),0),IF(YEAR(H$3)=YEAR(Headcount!$Q$4),IF((H$5=12),(SUMPRODUCT(--(Headcount!$F$6:$F$92="Sales"),--(Headcount!$H$6:$H$92&gt;=Sales!H$3),Headcount!$Q$6:$Q$92,Headcount!$L$6:$L$92)),0),IF(YEAR(H$3)=YEAR(Headcount!$R$4),IF((H$5=12),(SUMPRODUCT(--(Headcount!$F$6:$F$92="Sales"),--(Headcount!$H$6:$H$92&gt;=Sales!H$3),Headcount!$R$6:$R$92,Headcount!$L$6:$L$92)),0),"New Year"))))),'Dept. Cost Actuals'!L142)</f>
        <v>275</v>
      </c>
      <c r="I16" s="810">
        <f>IF(I$4="forecast",IF(YEAR(I$3)=YEAR(Headcount!$N$4),IF((I$5=12),(SUMPRODUCT(--(Headcount!$F$6:$F$92="Sales"),--(Headcount!$H$6:$H$92&gt;=Sales!I$3),Headcount!$N$6:$N$92,Headcount!$L$6:$L$92)),0),IF(YEAR(I$3)=YEAR(Headcount!$O$4),IF((I$5=12),(SUMPRODUCT(--(Headcount!$F$6:$F$92="Sales"),--(Headcount!$H$6:$H$92&gt;=Sales!I$3),Headcount!$O$6:$O$92,Headcount!$L$6:$L$92)),0),IF(YEAR(I$3)=YEAR(Headcount!$P$4),IF((I$5=12),(SUMPRODUCT(--(Headcount!$F$6:$F$92="Sales"),--(Headcount!$H$6:$H$92&gt;=Sales!I$3),Headcount!$P$6:$P$92,Headcount!$L$6:$L$92)),0),IF(YEAR(I$3)=YEAR(Headcount!$Q$4),IF((I$5=12),(SUMPRODUCT(--(Headcount!$F$6:$F$92="Sales"),--(Headcount!$H$6:$H$92&gt;=Sales!I$3),Headcount!$Q$6:$Q$92,Headcount!$L$6:$L$92)),0),IF(YEAR(I$3)=YEAR(Headcount!$R$4),IF((I$5=12),(SUMPRODUCT(--(Headcount!$F$6:$F$92="Sales"),--(Headcount!$H$6:$H$92&gt;=Sales!I$3),Headcount!$R$6:$R$92,Headcount!$L$6:$L$92)),0),"New Year"))))),'Dept. Cost Actuals'!M142)</f>
        <v>222.5</v>
      </c>
      <c r="J16" s="810">
        <f>IF(J$4="forecast",IF(YEAR(J$3)=YEAR(Headcount!$N$4),IF((J$5=12),(SUMPRODUCT(--(Headcount!$F$6:$F$92="Sales"),--(Headcount!$H$6:$H$92&gt;=Sales!J$3),Headcount!$N$6:$N$92,Headcount!$L$6:$L$92)),0),IF(YEAR(J$3)=YEAR(Headcount!$O$4),IF((J$5=12),(SUMPRODUCT(--(Headcount!$F$6:$F$92="Sales"),--(Headcount!$H$6:$H$92&gt;=Sales!J$3),Headcount!$O$6:$O$92,Headcount!$L$6:$L$92)),0),IF(YEAR(J$3)=YEAR(Headcount!$P$4),IF((J$5=12),(SUMPRODUCT(--(Headcount!$F$6:$F$92="Sales"),--(Headcount!$H$6:$H$92&gt;=Sales!J$3),Headcount!$P$6:$P$92,Headcount!$L$6:$L$92)),0),IF(YEAR(J$3)=YEAR(Headcount!$Q$4),IF((J$5=12),(SUMPRODUCT(--(Headcount!$F$6:$F$92="Sales"),--(Headcount!$H$6:$H$92&gt;=Sales!J$3),Headcount!$Q$6:$Q$92,Headcount!$L$6:$L$92)),0),IF(YEAR(J$3)=YEAR(Headcount!$R$4),IF((J$5=12),(SUMPRODUCT(--(Headcount!$F$6:$F$92="Sales"),--(Headcount!$H$6:$H$92&gt;=Sales!J$3),Headcount!$R$6:$R$92,Headcount!$L$6:$L$92)),0),"New Year"))))),'Dept. Cost Actuals'!N142)</f>
        <v>10683.18</v>
      </c>
      <c r="K16" s="810">
        <f>IF(K$4="forecast",IF(YEAR(K$3)=YEAR(Headcount!$N$4),IF((K$5=12),(SUMPRODUCT(--(Headcount!$F$6:$F$92="Sales"),--(Headcount!$H$6:$H$92&gt;=Sales!K$3),Headcount!$N$6:$N$92,Headcount!$L$6:$L$92)),0),IF(YEAR(K$3)=YEAR(Headcount!$O$4),IF((K$5=12),(SUMPRODUCT(--(Headcount!$F$6:$F$92="Sales"),--(Headcount!$H$6:$H$92&gt;=Sales!K$3),Headcount!$O$6:$O$92,Headcount!$L$6:$L$92)),0),IF(YEAR(K$3)=YEAR(Headcount!$P$4),IF((K$5=12),(SUMPRODUCT(--(Headcount!$F$6:$F$92="Sales"),--(Headcount!$H$6:$H$92&gt;=Sales!K$3),Headcount!$P$6:$P$92,Headcount!$L$6:$L$92)),0),IF(YEAR(K$3)=YEAR(Headcount!$Q$4),IF((K$5=12),(SUMPRODUCT(--(Headcount!$F$6:$F$92="Sales"),--(Headcount!$H$6:$H$92&gt;=Sales!K$3),Headcount!$Q$6:$Q$92,Headcount!$L$6:$L$92)),0),IF(YEAR(K$3)=YEAR(Headcount!$R$4),IF((K$5=12),(SUMPRODUCT(--(Headcount!$F$6:$F$92="Sales"),--(Headcount!$H$6:$H$92&gt;=Sales!K$3),Headcount!$R$6:$R$92,Headcount!$L$6:$L$92)),0),"New Year"))))),'Dept. Cost Actuals'!O142)</f>
        <v>240</v>
      </c>
      <c r="L16" s="810">
        <f>IF(L$4="forecast",IF(YEAR(L$3)=YEAR(Headcount!$N$4),IF((L$5=12),(SUMPRODUCT(--(Headcount!$F$6:$F$92="Sales"),--(Headcount!$H$6:$H$92&gt;=Sales!L$3),Headcount!$N$6:$N$92,Headcount!$L$6:$L$92)),0),IF(YEAR(L$3)=YEAR(Headcount!$O$4),IF((L$5=12),(SUMPRODUCT(--(Headcount!$F$6:$F$92="Sales"),--(Headcount!$H$6:$H$92&gt;=Sales!L$3),Headcount!$O$6:$O$92,Headcount!$L$6:$L$92)),0),IF(YEAR(L$3)=YEAR(Headcount!$P$4),IF((L$5=12),(SUMPRODUCT(--(Headcount!$F$6:$F$92="Sales"),--(Headcount!$H$6:$H$92&gt;=Sales!L$3),Headcount!$P$6:$P$92,Headcount!$L$6:$L$92)),0),IF(YEAR(L$3)=YEAR(Headcount!$Q$4),IF((L$5=12),(SUMPRODUCT(--(Headcount!$F$6:$F$92="Sales"),--(Headcount!$H$6:$H$92&gt;=Sales!L$3),Headcount!$Q$6:$Q$92,Headcount!$L$6:$L$92)),0),IF(YEAR(L$3)=YEAR(Headcount!$R$4),IF((L$5=12),(SUMPRODUCT(--(Headcount!$F$6:$F$92="Sales"),--(Headcount!$H$6:$H$92&gt;=Sales!L$3),Headcount!$R$6:$R$92,Headcount!$L$6:$L$92)),0),"New Year"))))),'Dept. Cost Actuals'!P142)</f>
        <v>240</v>
      </c>
      <c r="M16" s="810">
        <f>IF(M$4="forecast",IF(YEAR(M$3)=YEAR(Headcount!$N$4),IF((M$5=12),(SUMPRODUCT(--(Headcount!$F$6:$F$92="Sales"),--(Headcount!$H$6:$H$92&gt;=Sales!M$3),Headcount!$N$6:$N$92,Headcount!$L$6:$L$92)),0),IF(YEAR(M$3)=YEAR(Headcount!$O$4),IF((M$5=12),(SUMPRODUCT(--(Headcount!$F$6:$F$92="Sales"),--(Headcount!$H$6:$H$92&gt;=Sales!M$3),Headcount!$O$6:$O$92,Headcount!$L$6:$L$92)),0),IF(YEAR(M$3)=YEAR(Headcount!$P$4),IF((M$5=12),(SUMPRODUCT(--(Headcount!$F$6:$F$92="Sales"),--(Headcount!$H$6:$H$92&gt;=Sales!M$3),Headcount!$P$6:$P$92,Headcount!$L$6:$L$92)),0),IF(YEAR(M$3)=YEAR(Headcount!$Q$4),IF((M$5=12),(SUMPRODUCT(--(Headcount!$F$6:$F$92="Sales"),--(Headcount!$H$6:$H$92&gt;=Sales!M$3),Headcount!$Q$6:$Q$92,Headcount!$L$6:$L$92)),0),IF(YEAR(M$3)=YEAR(Headcount!$R$4),IF((M$5=12),(SUMPRODUCT(--(Headcount!$F$6:$F$92="Sales"),--(Headcount!$H$6:$H$92&gt;=Sales!M$3),Headcount!$R$6:$R$92,Headcount!$L$6:$L$92)),0),"New Year"))))),'Dept. Cost Actuals'!Q142)</f>
        <v>4792.87</v>
      </c>
      <c r="N16" s="810">
        <f>IF(N$4="forecast",IF(YEAR(N$3)=YEAR(Headcount!$N$4),IF((N$5=12),(SUMPRODUCT(--(Headcount!$F$6:$F$92="Sales"),--(Headcount!$H$6:$H$92&gt;=Sales!N$3),Headcount!$N$6:$N$92,Headcount!$L$6:$L$92)),0),IF(YEAR(N$3)=YEAR(Headcount!$O$4),IF((N$5=12),(SUMPRODUCT(--(Headcount!$F$6:$F$92="Sales"),--(Headcount!$H$6:$H$92&gt;=Sales!N$3),Headcount!$O$6:$O$92,Headcount!$L$6:$L$92)),0),IF(YEAR(N$3)=YEAR(Headcount!$P$4),IF((N$5=12),(SUMPRODUCT(--(Headcount!$F$6:$F$92="Sales"),--(Headcount!$H$6:$H$92&gt;=Sales!N$3),Headcount!$P$6:$P$92,Headcount!$L$6:$L$92)),0),IF(YEAR(N$3)=YEAR(Headcount!$Q$4),IF((N$5=12),(SUMPRODUCT(--(Headcount!$F$6:$F$92="Sales"),--(Headcount!$H$6:$H$92&gt;=Sales!N$3),Headcount!$Q$6:$Q$92,Headcount!$L$6:$L$92)),0),IF(YEAR(N$3)=YEAR(Headcount!$R$4),IF((N$5=12),(SUMPRODUCT(--(Headcount!$F$6:$F$92="Sales"),--(Headcount!$H$6:$H$92&gt;=Sales!N$3),Headcount!$R$6:$R$92,Headcount!$L$6:$L$92)),0),"New Year"))))),'Dept. Cost Actuals'!R142)</f>
        <v>22249.41</v>
      </c>
      <c r="O16" s="810">
        <f>IF(O$4="forecast",IF(YEAR(O$3)=YEAR(Headcount!$N$4),IF((O$5=12),(SUMPRODUCT(--(Headcount!$F$6:$F$92="Sales"),--(Headcount!$H$6:$H$92&gt;=Sales!O$3),Headcount!$N$6:$N$92,Headcount!$L$6:$L$92)),0),IF(YEAR(O$3)=YEAR(Headcount!$O$4),IF((O$5=12),(SUMPRODUCT(--(Headcount!$F$6:$F$92="Sales"),--(Headcount!$H$6:$H$92&gt;=Sales!O$3),Headcount!$O$6:$O$92,Headcount!$L$6:$L$92)),0),IF(YEAR(O$3)=YEAR(Headcount!$P$4),IF((O$5=12),(SUMPRODUCT(--(Headcount!$F$6:$F$92="Sales"),--(Headcount!$H$6:$H$92&gt;=Sales!O$3),Headcount!$P$6:$P$92,Headcount!$L$6:$L$92)),0),IF(YEAR(O$3)=YEAR(Headcount!$Q$4),IF((O$5=12),(SUMPRODUCT(--(Headcount!$F$6:$F$92="Sales"),--(Headcount!$H$6:$H$92&gt;=Sales!O$3),Headcount!$Q$6:$Q$92,Headcount!$L$6:$L$92)),0),IF(YEAR(O$3)=YEAR(Headcount!$R$4),IF((O$5=12),(SUMPRODUCT(--(Headcount!$F$6:$F$92="Sales"),--(Headcount!$H$6:$H$92&gt;=Sales!O$3),Headcount!$R$6:$R$92,Headcount!$L$6:$L$92)),0),"New Year"))))),'Dept. Cost Actuals'!S142)</f>
        <v>16338.01</v>
      </c>
      <c r="P16" s="810">
        <f>IF(P$4="forecast",IF(YEAR(P$3)=YEAR(Headcount!$N$4),IF((P$5=12),(SUMPRODUCT(--(Headcount!$F$6:$F$92="Sales"),--(Headcount!$H$6:$H$92&gt;=Sales!P$3),Headcount!$N$6:$N$92,Headcount!$L$6:$L$92)),0),IF(YEAR(P$3)=YEAR(Headcount!$O$4),IF((P$5=12),(SUMPRODUCT(--(Headcount!$F$6:$F$92="Sales"),--(Headcount!$H$6:$H$92&gt;=Sales!P$3),Headcount!$O$6:$O$92,Headcount!$L$6:$L$92)),0),IF(YEAR(P$3)=YEAR(Headcount!$P$4),IF((P$5=12),(SUMPRODUCT(--(Headcount!$F$6:$F$92="Sales"),--(Headcount!$H$6:$H$92&gt;=Sales!P$3),Headcount!$P$6:$P$92,Headcount!$L$6:$L$92)),0),IF(YEAR(P$3)=YEAR(Headcount!$Q$4),IF((P$5=12),(SUMPRODUCT(--(Headcount!$F$6:$F$92="Sales"),--(Headcount!$H$6:$H$92&gt;=Sales!P$3),Headcount!$Q$6:$Q$92,Headcount!$L$6:$L$92)),0),IF(YEAR(P$3)=YEAR(Headcount!$R$4),IF((P$5=12),(SUMPRODUCT(--(Headcount!$F$6:$F$92="Sales"),--(Headcount!$H$6:$H$92&gt;=Sales!P$3),Headcount!$R$6:$R$92,Headcount!$L$6:$L$92)),0),"New Year"))))),'Dept. Cost Actuals'!T142)</f>
        <v>310</v>
      </c>
      <c r="Q16" s="810">
        <f>IF(Q$4="forecast",IF(YEAR(Q$3)=YEAR(Headcount!$N$4),IF((Q$5=12),(SUMPRODUCT(--(Headcount!$F$6:$F$92="Sales"),--(Headcount!$H$6:$H$92&gt;=Sales!Q$3),Headcount!$N$6:$N$92,Headcount!$L$6:$L$92)),0),IF(YEAR(Q$3)=YEAR(Headcount!$O$4),IF((Q$5=12),(SUMPRODUCT(--(Headcount!$F$6:$F$92="Sales"),--(Headcount!$H$6:$H$92&gt;=Sales!Q$3),Headcount!$O$6:$O$92,Headcount!$L$6:$L$92)),0),IF(YEAR(Q$3)=YEAR(Headcount!$P$4),IF((Q$5=12),(SUMPRODUCT(--(Headcount!$F$6:$F$92="Sales"),--(Headcount!$H$6:$H$92&gt;=Sales!Q$3),Headcount!$P$6:$P$92,Headcount!$L$6:$L$92)),0),IF(YEAR(Q$3)=YEAR(Headcount!$Q$4),IF((Q$5=12),(SUMPRODUCT(--(Headcount!$F$6:$F$92="Sales"),--(Headcount!$H$6:$H$92&gt;=Sales!Q$3),Headcount!$Q$6:$Q$92,Headcount!$L$6:$L$92)),0),IF(YEAR(Q$3)=YEAR(Headcount!$R$4),IF((Q$5=12),(SUMPRODUCT(--(Headcount!$F$6:$F$92="Sales"),--(Headcount!$H$6:$H$92&gt;=Sales!Q$3),Headcount!$R$6:$R$92,Headcount!$L$6:$L$92)),0),"New Year"))))),'Dept. Cost Actuals'!U142)</f>
        <v>2963.9</v>
      </c>
      <c r="R16" s="810">
        <f>IF(R$4="forecast",IF(YEAR(R$3)=YEAR(Headcount!$N$4),IF((R$5=12),(SUMPRODUCT(--(Headcount!$F$6:$F$92="Sales"),--(Headcount!$H$6:$H$92&gt;=Sales!R$3),Headcount!$N$6:$N$92,Headcount!$L$6:$L$92)),0),IF(YEAR(R$3)=YEAR(Headcount!$O$4),IF((R$5=12),(SUMPRODUCT(--(Headcount!$F$6:$F$92="Sales"),--(Headcount!$H$6:$H$92&gt;=Sales!R$3),Headcount!$O$6:$O$92,Headcount!$L$6:$L$92)),0),IF(YEAR(R$3)=YEAR(Headcount!$P$4),IF((R$5=12),(SUMPRODUCT(--(Headcount!$F$6:$F$92="Sales"),--(Headcount!$H$6:$H$92&gt;=Sales!R$3),Headcount!$P$6:$P$92,Headcount!$L$6:$L$92)),0),IF(YEAR(R$3)=YEAR(Headcount!$Q$4),IF((R$5=12),(SUMPRODUCT(--(Headcount!$F$6:$F$92="Sales"),--(Headcount!$H$6:$H$92&gt;=Sales!R$3),Headcount!$Q$6:$Q$92,Headcount!$L$6:$L$92)),0),IF(YEAR(R$3)=YEAR(Headcount!$R$4),IF((R$5=12),(SUMPRODUCT(--(Headcount!$F$6:$F$92="Sales"),--(Headcount!$H$6:$H$92&gt;=Sales!R$3),Headcount!$R$6:$R$92,Headcount!$L$6:$L$92)),0),"New Year"))))),'Dept. Cost Actuals'!V142)</f>
        <v>12928.68</v>
      </c>
      <c r="S16" s="810">
        <f>IF(S$4="forecast",IF(YEAR(S$3)=YEAR(Headcount!$N$4),IF((S$5=12),(SUMPRODUCT(--(Headcount!$F$6:$F$92="Sales"),--(Headcount!$H$6:$H$92&gt;=Sales!S$3),Headcount!$N$6:$N$92,Headcount!$L$6:$L$92)),0),IF(YEAR(S$3)=YEAR(Headcount!$O$4),IF((S$5=12),(SUMPRODUCT(--(Headcount!$F$6:$F$92="Sales"),--(Headcount!$H$6:$H$92&gt;=Sales!S$3),Headcount!$O$6:$O$92,Headcount!$L$6:$L$92)),0),IF(YEAR(S$3)=YEAR(Headcount!$P$4),IF((S$5=12),(SUMPRODUCT(--(Headcount!$F$6:$F$92="Sales"),--(Headcount!$H$6:$H$92&gt;=Sales!S$3),Headcount!$P$6:$P$92,Headcount!$L$6:$L$92)),0),IF(YEAR(S$3)=YEAR(Headcount!$Q$4),IF((S$5=12),(SUMPRODUCT(--(Headcount!$F$6:$F$92="Sales"),--(Headcount!$H$6:$H$92&gt;=Sales!S$3),Headcount!$Q$6:$Q$92,Headcount!$L$6:$L$92)),0),IF(YEAR(S$3)=YEAR(Headcount!$R$4),IF((S$5=12),(SUMPRODUCT(--(Headcount!$F$6:$F$92="Sales"),--(Headcount!$H$6:$H$92&gt;=Sales!S$3),Headcount!$R$6:$R$92,Headcount!$L$6:$L$92)),0),"New Year"))))),'Dept. Cost Actuals'!W142)</f>
        <v>210</v>
      </c>
      <c r="T16" s="810">
        <f>IF(T$4="forecast",IF(YEAR(T$3)=YEAR(Headcount!$N$4),IF((T$5=12),(SUMPRODUCT(--(Headcount!$F$6:$F$92="Sales"),--(Headcount!$H$6:$H$92&gt;=Sales!T$3),Headcount!$N$6:$N$92,Headcount!$L$6:$L$92)),0),IF(YEAR(T$3)=YEAR(Headcount!$O$4),IF((T$5=12),(SUMPRODUCT(--(Headcount!$F$6:$F$92="Sales"),--(Headcount!$H$6:$H$92&gt;=Sales!T$3),Headcount!$O$6:$O$92,Headcount!$L$6:$L$92)),0),IF(YEAR(T$3)=YEAR(Headcount!$P$4),IF((T$5=12),(SUMPRODUCT(--(Headcount!$F$6:$F$92="Sales"),--(Headcount!$H$6:$H$92&gt;=Sales!T$3),Headcount!$P$6:$P$92,Headcount!$L$6:$L$92)),0),IF(YEAR(T$3)=YEAR(Headcount!$Q$4),IF((T$5=12),(SUMPRODUCT(--(Headcount!$F$6:$F$92="Sales"),--(Headcount!$H$6:$H$92&gt;=Sales!T$3),Headcount!$Q$6:$Q$92,Headcount!$L$6:$L$92)),0),IF(YEAR(T$3)=YEAR(Headcount!$R$4),IF((T$5=12),(SUMPRODUCT(--(Headcount!$F$6:$F$92="Sales"),--(Headcount!$H$6:$H$92&gt;=Sales!T$3),Headcount!$R$6:$R$92,Headcount!$L$6:$L$92)),0),"New Year"))))),'Dept. Cost Actuals'!X142)</f>
        <v>410</v>
      </c>
      <c r="U16" s="810">
        <f>IF(U$4="forecast",IF(YEAR(U$3)=YEAR(Headcount!$N$4),IF((U$5=12),(SUMPRODUCT(--(Headcount!$F$6:$F$92="Sales"),--(Headcount!$H$6:$H$92&gt;=Sales!U$3),Headcount!$N$6:$N$92,Headcount!$L$6:$L$92)),0),IF(YEAR(U$3)=YEAR(Headcount!$O$4),IF((U$5=12),(SUMPRODUCT(--(Headcount!$F$6:$F$92="Sales"),--(Headcount!$H$6:$H$92&gt;=Sales!U$3),Headcount!$O$6:$O$92,Headcount!$L$6:$L$92)),0),IF(YEAR(U$3)=YEAR(Headcount!$P$4),IF((U$5=12),(SUMPRODUCT(--(Headcount!$F$6:$F$92="Sales"),--(Headcount!$H$6:$H$92&gt;=Sales!U$3),Headcount!$P$6:$P$92,Headcount!$L$6:$L$92)),0),IF(YEAR(U$3)=YEAR(Headcount!$Q$4),IF((U$5=12),(SUMPRODUCT(--(Headcount!$F$6:$F$92="Sales"),--(Headcount!$H$6:$H$92&gt;=Sales!U$3),Headcount!$Q$6:$Q$92,Headcount!$L$6:$L$92)),0),IF(YEAR(U$3)=YEAR(Headcount!$R$4),IF((U$5=12),(SUMPRODUCT(--(Headcount!$F$6:$F$92="Sales"),--(Headcount!$H$6:$H$92&gt;=Sales!U$3),Headcount!$R$6:$R$92,Headcount!$L$6:$L$92)),0),"New Year"))))),'Dept. Cost Actuals'!Y142)</f>
        <v>17270.03</v>
      </c>
      <c r="V16" s="810">
        <f>IF(V$4="forecast",IF(YEAR(V$3)=YEAR(Headcount!$N$4),IF((V$5=12),(SUMPRODUCT(--(Headcount!$F$6:$F$92="Sales"),--(Headcount!$H$6:$H$92&gt;=Sales!V$3),Headcount!$N$6:$N$92,Headcount!$L$6:$L$92)),0),IF(YEAR(V$3)=YEAR(Headcount!$O$4),IF((V$5=12),(SUMPRODUCT(--(Headcount!$F$6:$F$92="Sales"),--(Headcount!$H$6:$H$92&gt;=Sales!V$3),Headcount!$O$6:$O$92,Headcount!$L$6:$L$92)),0),IF(YEAR(V$3)=YEAR(Headcount!$P$4),IF((V$5=12),(SUMPRODUCT(--(Headcount!$F$6:$F$92="Sales"),--(Headcount!$H$6:$H$92&gt;=Sales!V$3),Headcount!$P$6:$P$92,Headcount!$L$6:$L$92)),0),IF(YEAR(V$3)=YEAR(Headcount!$Q$4),IF((V$5=12),(SUMPRODUCT(--(Headcount!$F$6:$F$92="Sales"),--(Headcount!$H$6:$H$92&gt;=Sales!V$3),Headcount!$Q$6:$Q$92,Headcount!$L$6:$L$92)),0),IF(YEAR(V$3)=YEAR(Headcount!$R$4),IF((V$5=12),(SUMPRODUCT(--(Headcount!$F$6:$F$92="Sales"),--(Headcount!$H$6:$H$92&gt;=Sales!V$3),Headcount!$R$6:$R$92,Headcount!$L$6:$L$92)),0),"New Year"))))),'Dept. Cost Actuals'!Z142)</f>
        <v>-1613.68</v>
      </c>
      <c r="W16" s="810">
        <f>IF(W$4="forecast",IF(YEAR(W$3)=YEAR(Headcount!$N$4),IF((W$5=12),(SUMPRODUCT(--(Headcount!$F$6:$F$92="Sales"),--(Headcount!$H$6:$H$92&gt;=Sales!W$3),Headcount!$N$6:$N$92,Headcount!$L$6:$L$92)),0),IF(YEAR(W$3)=YEAR(Headcount!$O$4),IF((W$5=12),(SUMPRODUCT(--(Headcount!$F$6:$F$92="Sales"),--(Headcount!$H$6:$H$92&gt;=Sales!W$3),Headcount!$O$6:$O$92,Headcount!$L$6:$L$92)),0),IF(YEAR(W$3)=YEAR(Headcount!$P$4),IF((W$5=12),(SUMPRODUCT(--(Headcount!$F$6:$F$92="Sales"),--(Headcount!$H$6:$H$92&gt;=Sales!W$3),Headcount!$P$6:$P$92,Headcount!$L$6:$L$92)),0),IF(YEAR(W$3)=YEAR(Headcount!$Q$4),IF((W$5=12),(SUMPRODUCT(--(Headcount!$F$6:$F$92="Sales"),--(Headcount!$H$6:$H$92&gt;=Sales!W$3),Headcount!$Q$6:$Q$92,Headcount!$L$6:$L$92)),0),IF(YEAR(W$3)=YEAR(Headcount!$R$4),IF((W$5=12),(SUMPRODUCT(--(Headcount!$F$6:$F$92="Sales"),--(Headcount!$H$6:$H$92&gt;=Sales!W$3),Headcount!$R$6:$R$92,Headcount!$L$6:$L$92)),0),"New Year"))))),'Dept. Cost Actuals'!AA142)</f>
        <v>2319.4699999999998</v>
      </c>
      <c r="X16" s="810">
        <f>IF(X$4="forecast",IF(YEAR(X$3)=YEAR(Headcount!$N$4),IF((X$5=12),(SUMPRODUCT(--(Headcount!$F$6:$F$92="Sales"),--(Headcount!$H$6:$H$92&gt;=Sales!X$3),Headcount!$N$6:$N$92,Headcount!$L$6:$L$92)),0),IF(YEAR(X$3)=YEAR(Headcount!$O$4),IF((X$5=12),(SUMPRODUCT(--(Headcount!$F$6:$F$92="Sales"),--(Headcount!$H$6:$H$92&gt;=Sales!X$3),Headcount!$O$6:$O$92,Headcount!$L$6:$L$92)),0),IF(YEAR(X$3)=YEAR(Headcount!$P$4),IF((X$5=12),(SUMPRODUCT(--(Headcount!$F$6:$F$92="Sales"),--(Headcount!$H$6:$H$92&gt;=Sales!X$3),Headcount!$P$6:$P$92,Headcount!$L$6:$L$92)),0),IF(YEAR(X$3)=YEAR(Headcount!$Q$4),IF((X$5=12),(SUMPRODUCT(--(Headcount!$F$6:$F$92="Sales"),--(Headcount!$H$6:$H$92&gt;=Sales!X$3),Headcount!$Q$6:$Q$92,Headcount!$L$6:$L$92)),0),IF(YEAR(X$3)=YEAR(Headcount!$R$4),IF((X$5=12),(SUMPRODUCT(--(Headcount!$F$6:$F$92="Sales"),--(Headcount!$H$6:$H$92&gt;=Sales!X$3),Headcount!$R$6:$R$92,Headcount!$L$6:$L$92)),0),"New Year"))))),'Dept. Cost Actuals'!AB142)</f>
        <v>21234.01</v>
      </c>
      <c r="Y16" s="810">
        <f>IF(Y$4="forecast",IF(YEAR(Y$3)=YEAR(Headcount!$N$4),IF((Y$5=12),(SUMPRODUCT(--(Headcount!$F$6:$F$92="Sales"),--(Headcount!$H$6:$H$92&gt;=Sales!Y$3),Headcount!$N$6:$N$92,Headcount!$L$6:$L$92)),0),IF(YEAR(Y$3)=YEAR(Headcount!$O$4),IF((Y$5=12),(SUMPRODUCT(--(Headcount!$F$6:$F$92="Sales"),--(Headcount!$H$6:$H$92&gt;=Sales!Y$3),Headcount!$O$6:$O$92,Headcount!$L$6:$L$92)),0),IF(YEAR(Y$3)=YEAR(Headcount!$P$4),IF((Y$5=12),(SUMPRODUCT(--(Headcount!$F$6:$F$92="Sales"),--(Headcount!$H$6:$H$92&gt;=Sales!Y$3),Headcount!$P$6:$P$92,Headcount!$L$6:$L$92)),0),IF(YEAR(Y$3)=YEAR(Headcount!$Q$4),IF((Y$5=12),(SUMPRODUCT(--(Headcount!$F$6:$F$92="Sales"),--(Headcount!$H$6:$H$92&gt;=Sales!Y$3),Headcount!$Q$6:$Q$92,Headcount!$L$6:$L$92)),0),IF(YEAR(Y$3)=YEAR(Headcount!$R$4),IF((Y$5=12),(SUMPRODUCT(--(Headcount!$F$6:$F$92="Sales"),--(Headcount!$H$6:$H$92&gt;=Sales!Y$3),Headcount!$R$6:$R$92,Headcount!$L$6:$L$92)),0),"New Year"))))),'Dept. Cost Actuals'!AC142)</f>
        <v>682.02</v>
      </c>
      <c r="Z16" s="810">
        <f>IF(Z$4="forecast",IF(YEAR(Z$3)=YEAR(Headcount!$N$4),IF((Z$5=12),(SUMPRODUCT(--(Headcount!$F$6:$F$92="Sales"),--(Headcount!$H$6:$H$92&gt;=Sales!Z$3),Headcount!$N$6:$N$92,Headcount!$L$6:$L$92)),0),IF(YEAR(Z$3)=YEAR(Headcount!$O$4),IF((Z$5=12),(SUMPRODUCT(--(Headcount!$F$6:$F$92="Sales"),--(Headcount!$H$6:$H$92&gt;=Sales!Z$3),Headcount!$O$6:$O$92,Headcount!$L$6:$L$92)),0),IF(YEAR(Z$3)=YEAR(Headcount!$P$4),IF((Z$5=12),(SUMPRODUCT(--(Headcount!$F$6:$F$92="Sales"),--(Headcount!$H$6:$H$92&gt;=Sales!Z$3),Headcount!$P$6:$P$92,Headcount!$L$6:$L$92)),0),IF(YEAR(Z$3)=YEAR(Headcount!$Q$4),IF((Z$5=12),(SUMPRODUCT(--(Headcount!$F$6:$F$92="Sales"),--(Headcount!$H$6:$H$92&gt;=Sales!Z$3),Headcount!$Q$6:$Q$92,Headcount!$L$6:$L$92)),0),IF(YEAR(Z$3)=YEAR(Headcount!$R$4),IF((Z$5=12),(SUMPRODUCT(--(Headcount!$F$6:$F$92="Sales"),--(Headcount!$H$6:$H$92&gt;=Sales!Z$3),Headcount!$R$6:$R$92,Headcount!$L$6:$L$92)),0),"New Year"))))),'Dept. Cost Actuals'!AD142)</f>
        <v>87880.639999999999</v>
      </c>
      <c r="AA16" s="810">
        <f>IF(AA$4="forecast",IF(YEAR(AA$3)=YEAR(Headcount!$N$4),IF((AA$5=12),(SUMPRODUCT(--(Headcount!$F$6:$F$92="Sales"),--(Headcount!$H$6:$H$92&gt;=Sales!AA$3),Headcount!$N$6:$N$92,Headcount!$L$6:$L$92)),0),IF(YEAR(AA$3)=YEAR(Headcount!$O$4),IF((AA$5=12),(SUMPRODUCT(--(Headcount!$F$6:$F$92="Sales"),--(Headcount!$H$6:$H$92&gt;=Sales!AA$3),Headcount!$O$6:$O$92,Headcount!$L$6:$L$92)),0),IF(YEAR(AA$3)=YEAR(Headcount!$P$4),IF((AA$5=12),(SUMPRODUCT(--(Headcount!$F$6:$F$92="Sales"),--(Headcount!$H$6:$H$92&gt;=Sales!AA$3),Headcount!$P$6:$P$92,Headcount!$L$6:$L$92)),0),IF(YEAR(AA$3)=YEAR(Headcount!$Q$4),IF((AA$5=12),(SUMPRODUCT(--(Headcount!$F$6:$F$92="Sales"),--(Headcount!$H$6:$H$92&gt;=Sales!AA$3),Headcount!$Q$6:$Q$92,Headcount!$L$6:$L$92)),0),IF(YEAR(AA$3)=YEAR(Headcount!$R$4),IF((AA$5=12),(SUMPRODUCT(--(Headcount!$F$6:$F$92="Sales"),--(Headcount!$H$6:$H$92&gt;=Sales!AA$3),Headcount!$R$6:$R$92,Headcount!$L$6:$L$92)),0),"New Year"))))),'Dept. Cost Actuals'!AE142)</f>
        <v>0</v>
      </c>
      <c r="AB16" s="810">
        <f>IF(AB$4="forecast",IF(YEAR(AB$3)=YEAR(Headcount!$N$4),IF((AB$5=12),(SUMPRODUCT(--(Headcount!$F$6:$F$92="Sales"),--(Headcount!$H$6:$H$92&gt;=Sales!AB$3),Headcount!$N$6:$N$92,Headcount!$L$6:$L$92)),0),IF(YEAR(AB$3)=YEAR(Headcount!$O$4),IF((AB$5=12),(SUMPRODUCT(--(Headcount!$F$6:$F$92="Sales"),--(Headcount!$H$6:$H$92&gt;=Sales!AB$3),Headcount!$O$6:$O$92,Headcount!$L$6:$L$92)),0),IF(YEAR(AB$3)=YEAR(Headcount!$P$4),IF((AB$5=12),(SUMPRODUCT(--(Headcount!$F$6:$F$92="Sales"),--(Headcount!$H$6:$H$92&gt;=Sales!AB$3),Headcount!$P$6:$P$92,Headcount!$L$6:$L$92)),0),IF(YEAR(AB$3)=YEAR(Headcount!$Q$4),IF((AB$5=12),(SUMPRODUCT(--(Headcount!$F$6:$F$92="Sales"),--(Headcount!$H$6:$H$92&gt;=Sales!AB$3),Headcount!$Q$6:$Q$92,Headcount!$L$6:$L$92)),0),IF(YEAR(AB$3)=YEAR(Headcount!$R$4),IF((AB$5=12),(SUMPRODUCT(--(Headcount!$F$6:$F$92="Sales"),--(Headcount!$H$6:$H$92&gt;=Sales!AB$3),Headcount!$R$6:$R$92,Headcount!$L$6:$L$92)),0),"New Year"))))),'Dept. Cost Actuals'!AF142)</f>
        <v>0</v>
      </c>
      <c r="AC16" s="810">
        <f>IF(AC$4="forecast",IF(YEAR(AC$3)=YEAR(Headcount!$N$4),IF((AC$5=12),(SUMPRODUCT(--(Headcount!$F$6:$F$92="Sales"),--(Headcount!$H$6:$H$92&gt;=Sales!AC$3),Headcount!$N$6:$N$92,Headcount!$L$6:$L$92)),0),IF(YEAR(AC$3)=YEAR(Headcount!$O$4),IF((AC$5=12),(SUMPRODUCT(--(Headcount!$F$6:$F$92="Sales"),--(Headcount!$H$6:$H$92&gt;=Sales!AC$3),Headcount!$O$6:$O$92,Headcount!$L$6:$L$92)),0),IF(YEAR(AC$3)=YEAR(Headcount!$P$4),IF((AC$5=12),(SUMPRODUCT(--(Headcount!$F$6:$F$92="Sales"),--(Headcount!$H$6:$H$92&gt;=Sales!AC$3),Headcount!$P$6:$P$92,Headcount!$L$6:$L$92)),0),IF(YEAR(AC$3)=YEAR(Headcount!$Q$4),IF((AC$5=12),(SUMPRODUCT(--(Headcount!$F$6:$F$92="Sales"),--(Headcount!$H$6:$H$92&gt;=Sales!AC$3),Headcount!$Q$6:$Q$92,Headcount!$L$6:$L$92)),0),IF(YEAR(AC$3)=YEAR(Headcount!$R$4),IF((AC$5=12),(SUMPRODUCT(--(Headcount!$F$6:$F$92="Sales"),--(Headcount!$H$6:$H$92&gt;=Sales!AC$3),Headcount!$R$6:$R$92,Headcount!$L$6:$L$92)),0),"New Year"))))),'Dept. Cost Actuals'!AG142)</f>
        <v>0</v>
      </c>
      <c r="AD16" s="810">
        <f>IF(AD$4="forecast",IF(YEAR(AD$3)=YEAR(Headcount!$N$4),IF((AD$5=12),(SUMPRODUCT(--(Headcount!$F$6:$F$92="Sales"),--(Headcount!$H$6:$H$92&gt;=Sales!AD$3),Headcount!$N$6:$N$92,Headcount!$L$6:$L$92)),0),IF(YEAR(AD$3)=YEAR(Headcount!$O$4),IF((AD$5=12),(SUMPRODUCT(--(Headcount!$F$6:$F$92="Sales"),--(Headcount!$H$6:$H$92&gt;=Sales!AD$3),Headcount!$O$6:$O$92,Headcount!$L$6:$L$92)),0),IF(YEAR(AD$3)=YEAR(Headcount!$P$4),IF((AD$5=12),(SUMPRODUCT(--(Headcount!$F$6:$F$92="Sales"),--(Headcount!$H$6:$H$92&gt;=Sales!AD$3),Headcount!$P$6:$P$92,Headcount!$L$6:$L$92)),0),IF(YEAR(AD$3)=YEAR(Headcount!$Q$4),IF((AD$5=12),(SUMPRODUCT(--(Headcount!$F$6:$F$92="Sales"),--(Headcount!$H$6:$H$92&gt;=Sales!AD$3),Headcount!$Q$6:$Q$92,Headcount!$L$6:$L$92)),0),IF(YEAR(AD$3)=YEAR(Headcount!$R$4),IF((AD$5=12),(SUMPRODUCT(--(Headcount!$F$6:$F$92="Sales"),--(Headcount!$H$6:$H$92&gt;=Sales!AD$3),Headcount!$R$6:$R$92,Headcount!$L$6:$L$92)),0),"New Year"))))),'Dept. Cost Actuals'!AH142)</f>
        <v>0</v>
      </c>
      <c r="AE16" s="810">
        <f>IF(AE$4="forecast",IF(YEAR(AE$3)=YEAR(Headcount!$N$4),IF((AE$5=12),(SUMPRODUCT(--(Headcount!$F$6:$F$92="Sales"),--(Headcount!$H$6:$H$92&gt;=Sales!AE$3),Headcount!$N$6:$N$92,Headcount!$L$6:$L$92)),0),IF(YEAR(AE$3)=YEAR(Headcount!$O$4),IF((AE$5=12),(SUMPRODUCT(--(Headcount!$F$6:$F$92="Sales"),--(Headcount!$H$6:$H$92&gt;=Sales!AE$3),Headcount!$O$6:$O$92,Headcount!$L$6:$L$92)),0),IF(YEAR(AE$3)=YEAR(Headcount!$P$4),IF((AE$5=12),(SUMPRODUCT(--(Headcount!$F$6:$F$92="Sales"),--(Headcount!$H$6:$H$92&gt;=Sales!AE$3),Headcount!$P$6:$P$92,Headcount!$L$6:$L$92)),0),IF(YEAR(AE$3)=YEAR(Headcount!$Q$4),IF((AE$5=12),(SUMPRODUCT(--(Headcount!$F$6:$F$92="Sales"),--(Headcount!$H$6:$H$92&gt;=Sales!AE$3),Headcount!$Q$6:$Q$92,Headcount!$L$6:$L$92)),0),IF(YEAR(AE$3)=YEAR(Headcount!$R$4),IF((AE$5=12),(SUMPRODUCT(--(Headcount!$F$6:$F$92="Sales"),--(Headcount!$H$6:$H$92&gt;=Sales!AE$3),Headcount!$R$6:$R$92,Headcount!$L$6:$L$92)),0),"New Year"))))),'Dept. Cost Actuals'!AI142)</f>
        <v>0</v>
      </c>
      <c r="AF16" s="810">
        <f>IF(AF$4="forecast",IF(YEAR(AF$3)=YEAR(Headcount!$N$4),IF((AF$5=12),(SUMPRODUCT(--(Headcount!$F$6:$F$92="Sales"),--(Headcount!$H$6:$H$92&gt;=Sales!AF$3),Headcount!$N$6:$N$92,Headcount!$L$6:$L$92)),0),IF(YEAR(AF$3)=YEAR(Headcount!$O$4),IF((AF$5=12),(SUMPRODUCT(--(Headcount!$F$6:$F$92="Sales"),--(Headcount!$H$6:$H$92&gt;=Sales!AF$3),Headcount!$O$6:$O$92,Headcount!$L$6:$L$92)),0),IF(YEAR(AF$3)=YEAR(Headcount!$P$4),IF((AF$5=12),(SUMPRODUCT(--(Headcount!$F$6:$F$92="Sales"),--(Headcount!$H$6:$H$92&gt;=Sales!AF$3),Headcount!$P$6:$P$92,Headcount!$L$6:$L$92)),0),IF(YEAR(AF$3)=YEAR(Headcount!$Q$4),IF((AF$5=12),(SUMPRODUCT(--(Headcount!$F$6:$F$92="Sales"),--(Headcount!$H$6:$H$92&gt;=Sales!AF$3),Headcount!$Q$6:$Q$92,Headcount!$L$6:$L$92)),0),IF(YEAR(AF$3)=YEAR(Headcount!$R$4),IF((AF$5=12),(SUMPRODUCT(--(Headcount!$F$6:$F$92="Sales"),--(Headcount!$H$6:$H$92&gt;=Sales!AF$3),Headcount!$R$6:$R$92,Headcount!$L$6:$L$92)),0),"New Year"))))),'Dept. Cost Actuals'!AJ142)</f>
        <v>0</v>
      </c>
      <c r="AG16" s="810">
        <f>IF(AG$4="forecast",IF(YEAR(AG$3)=YEAR(Headcount!$N$4),IF((AG$5=12),(SUMPRODUCT(--(Headcount!$F$6:$F$92="Sales"),--(Headcount!$H$6:$H$92&gt;=Sales!AG$3),Headcount!$N$6:$N$92,Headcount!$L$6:$L$92)),0),IF(YEAR(AG$3)=YEAR(Headcount!$O$4),IF((AG$5=12),(SUMPRODUCT(--(Headcount!$F$6:$F$92="Sales"),--(Headcount!$H$6:$H$92&gt;=Sales!AG$3),Headcount!$O$6:$O$92,Headcount!$L$6:$L$92)),0),IF(YEAR(AG$3)=YEAR(Headcount!$P$4),IF((AG$5=12),(SUMPRODUCT(--(Headcount!$F$6:$F$92="Sales"),--(Headcount!$H$6:$H$92&gt;=Sales!AG$3),Headcount!$P$6:$P$92,Headcount!$L$6:$L$92)),0),IF(YEAR(AG$3)=YEAR(Headcount!$Q$4),IF((AG$5=12),(SUMPRODUCT(--(Headcount!$F$6:$F$92="Sales"),--(Headcount!$H$6:$H$92&gt;=Sales!AG$3),Headcount!$Q$6:$Q$92,Headcount!$L$6:$L$92)),0),IF(YEAR(AG$3)=YEAR(Headcount!$R$4),IF((AG$5=12),(SUMPRODUCT(--(Headcount!$F$6:$F$92="Sales"),--(Headcount!$H$6:$H$92&gt;=Sales!AG$3),Headcount!$R$6:$R$92,Headcount!$L$6:$L$92)),0),"New Year"))))),'Dept. Cost Actuals'!AK142)</f>
        <v>0</v>
      </c>
      <c r="AH16" s="810">
        <f>IF(AH$4="forecast",IF(YEAR(AH$3)=YEAR(Headcount!$N$4),IF((AH$5=12),(SUMPRODUCT(--(Headcount!$F$6:$F$92="Sales"),--(Headcount!$H$6:$H$92&gt;=Sales!AH$3),Headcount!$N$6:$N$92,Headcount!$L$6:$L$92)),0),IF(YEAR(AH$3)=YEAR(Headcount!$O$4),IF((AH$5=12),(SUMPRODUCT(--(Headcount!$F$6:$F$92="Sales"),--(Headcount!$H$6:$H$92&gt;=Sales!AH$3),Headcount!$O$6:$O$92,Headcount!$L$6:$L$92)),0),IF(YEAR(AH$3)=YEAR(Headcount!$P$4),IF((AH$5=12),(SUMPRODUCT(--(Headcount!$F$6:$F$92="Sales"),--(Headcount!$H$6:$H$92&gt;=Sales!AH$3),Headcount!$P$6:$P$92,Headcount!$L$6:$L$92)),0),IF(YEAR(AH$3)=YEAR(Headcount!$Q$4),IF((AH$5=12),(SUMPRODUCT(--(Headcount!$F$6:$F$92="Sales"),--(Headcount!$H$6:$H$92&gt;=Sales!AH$3),Headcount!$Q$6:$Q$92,Headcount!$L$6:$L$92)),0),IF(YEAR(AH$3)=YEAR(Headcount!$R$4),IF((AH$5=12),(SUMPRODUCT(--(Headcount!$F$6:$F$92="Sales"),--(Headcount!$H$6:$H$92&gt;=Sales!AH$3),Headcount!$R$6:$R$92,Headcount!$L$6:$L$92)),0),"New Year"))))),'Dept. Cost Actuals'!AL142)</f>
        <v>0</v>
      </c>
      <c r="AI16" s="810">
        <f>IF(AI$4="forecast",IF(YEAR(AI$3)=YEAR(Headcount!$N$4),IF((AI$5=12),(SUMPRODUCT(--(Headcount!$F$6:$F$92="Sales"),--(Headcount!$H$6:$H$92&gt;=Sales!AI$3),Headcount!$N$6:$N$92,Headcount!$L$6:$L$92)),0),IF(YEAR(AI$3)=YEAR(Headcount!$O$4),IF((AI$5=12),(SUMPRODUCT(--(Headcount!$F$6:$F$92="Sales"),--(Headcount!$H$6:$H$92&gt;=Sales!AI$3),Headcount!$O$6:$O$92,Headcount!$L$6:$L$92)),0),IF(YEAR(AI$3)=YEAR(Headcount!$P$4),IF((AI$5=12),(SUMPRODUCT(--(Headcount!$F$6:$F$92="Sales"),--(Headcount!$H$6:$H$92&gt;=Sales!AI$3),Headcount!$P$6:$P$92,Headcount!$L$6:$L$92)),0),IF(YEAR(AI$3)=YEAR(Headcount!$Q$4),IF((AI$5=12),(SUMPRODUCT(--(Headcount!$F$6:$F$92="Sales"),--(Headcount!$H$6:$H$92&gt;=Sales!AI$3),Headcount!$Q$6:$Q$92,Headcount!$L$6:$L$92)),0),IF(YEAR(AI$3)=YEAR(Headcount!$R$4),IF((AI$5=12),(SUMPRODUCT(--(Headcount!$F$6:$F$92="Sales"),--(Headcount!$H$6:$H$92&gt;=Sales!AI$3),Headcount!$R$6:$R$92,Headcount!$L$6:$L$92)),0),"New Year"))))),'Dept. Cost Actuals'!AM142)</f>
        <v>0</v>
      </c>
      <c r="AJ16" s="810">
        <f>IF(AJ$4="forecast",IF(YEAR(AJ$3)=YEAR(Headcount!$N$4),IF((AJ$5=12),(SUMPRODUCT(--(Headcount!$F$6:$F$92="Sales"),--(Headcount!$H$6:$H$92&gt;=Sales!AJ$3),Headcount!$N$6:$N$92,Headcount!$L$6:$L$92)),0),IF(YEAR(AJ$3)=YEAR(Headcount!$O$4),IF((AJ$5=12),(SUMPRODUCT(--(Headcount!$F$6:$F$92="Sales"),--(Headcount!$H$6:$H$92&gt;=Sales!AJ$3),Headcount!$O$6:$O$92,Headcount!$L$6:$L$92)),0),IF(YEAR(AJ$3)=YEAR(Headcount!$P$4),IF((AJ$5=12),(SUMPRODUCT(--(Headcount!$F$6:$F$92="Sales"),--(Headcount!$H$6:$H$92&gt;=Sales!AJ$3),Headcount!$P$6:$P$92,Headcount!$L$6:$L$92)),0),IF(YEAR(AJ$3)=YEAR(Headcount!$Q$4),IF((AJ$5=12),(SUMPRODUCT(--(Headcount!$F$6:$F$92="Sales"),--(Headcount!$H$6:$H$92&gt;=Sales!AJ$3),Headcount!$Q$6:$Q$92,Headcount!$L$6:$L$92)),0),IF(YEAR(AJ$3)=YEAR(Headcount!$R$4),IF((AJ$5=12),(SUMPRODUCT(--(Headcount!$F$6:$F$92="Sales"),--(Headcount!$H$6:$H$92&gt;=Sales!AJ$3),Headcount!$R$6:$R$92,Headcount!$L$6:$L$92)),0),"New Year"))))),'Dept. Cost Actuals'!AN142)</f>
        <v>0</v>
      </c>
      <c r="AK16" s="810">
        <f>IF(AK$4="forecast",IF(YEAR(AK$3)=YEAR(Headcount!$N$4),IF((AK$5=12),(SUMPRODUCT(--(Headcount!$F$6:$F$92="Sales"),--(Headcount!$H$6:$H$92&gt;=Sales!AK$3),Headcount!$N$6:$N$92,Headcount!$L$6:$L$92)),0),IF(YEAR(AK$3)=YEAR(Headcount!$O$4),IF((AK$5=12),(SUMPRODUCT(--(Headcount!$F$6:$F$92="Sales"),--(Headcount!$H$6:$H$92&gt;=Sales!AK$3),Headcount!$O$6:$O$92,Headcount!$L$6:$L$92)),0),IF(YEAR(AK$3)=YEAR(Headcount!$P$4),IF((AK$5=12),(SUMPRODUCT(--(Headcount!$F$6:$F$92="Sales"),--(Headcount!$H$6:$H$92&gt;=Sales!AK$3),Headcount!$P$6:$P$92,Headcount!$L$6:$L$92)),0),IF(YEAR(AK$3)=YEAR(Headcount!$Q$4),IF((AK$5=12),(SUMPRODUCT(--(Headcount!$F$6:$F$92="Sales"),--(Headcount!$H$6:$H$92&gt;=Sales!AK$3),Headcount!$Q$6:$Q$92,Headcount!$L$6:$L$92)),0),IF(YEAR(AK$3)=YEAR(Headcount!$R$4),IF((AK$5=12),(SUMPRODUCT(--(Headcount!$F$6:$F$92="Sales"),--(Headcount!$H$6:$H$92&gt;=Sales!AK$3),Headcount!$R$6:$R$92,Headcount!$L$6:$L$92)),0),"New Year"))))),'Dept. Cost Actuals'!AO142)</f>
        <v>0</v>
      </c>
      <c r="AL16" s="810">
        <f>IF(AL$4="forecast",IF(YEAR(AL$3)=YEAR(Headcount!$N$4),IF((AL$5=12),(SUMPRODUCT(--(Headcount!$F$6:$F$92="Sales"),--(Headcount!$H$6:$H$92&gt;=Sales!AL$3),Headcount!$N$6:$N$92,Headcount!$L$6:$L$92)),0),IF(YEAR(AL$3)=YEAR(Headcount!$O$4),IF((AL$5=12),(SUMPRODUCT(--(Headcount!$F$6:$F$92="Sales"),--(Headcount!$H$6:$H$92&gt;=Sales!AL$3),Headcount!$O$6:$O$92,Headcount!$L$6:$L$92)),0),IF(YEAR(AL$3)=YEAR(Headcount!$P$4),IF((AL$5=12),(SUMPRODUCT(--(Headcount!$F$6:$F$92="Sales"),--(Headcount!$H$6:$H$92&gt;=Sales!AL$3),Headcount!$P$6:$P$92,Headcount!$L$6:$L$92)),0),IF(YEAR(AL$3)=YEAR(Headcount!$Q$4),IF((AL$5=12),(SUMPRODUCT(--(Headcount!$F$6:$F$92="Sales"),--(Headcount!$H$6:$H$92&gt;=Sales!AL$3),Headcount!$Q$6:$Q$92,Headcount!$L$6:$L$92)),0),IF(YEAR(AL$3)=YEAR(Headcount!$R$4),IF((AL$5=12),(SUMPRODUCT(--(Headcount!$F$6:$F$92="Sales"),--(Headcount!$H$6:$H$92&gt;=Sales!AL$3),Headcount!$R$6:$R$92,Headcount!$L$6:$L$92)),0),"New Year"))))),'Dept. Cost Actuals'!AP142)</f>
        <v>216326.5</v>
      </c>
      <c r="AM16" s="810">
        <f>IF(AM$4="forecast",IF(YEAR(AM$3)=YEAR(Headcount!$N$4),IF((AM$5=12),(SUMPRODUCT(--(Headcount!$F$6:$F$92="Sales"),--(Headcount!$H$6:$H$92&gt;=Sales!AM$3),Headcount!$N$6:$N$92,Headcount!$L$6:$L$92)),0),IF(YEAR(AM$3)=YEAR(Headcount!$O$4),IF((AM$5=12),(SUMPRODUCT(--(Headcount!$F$6:$F$92="Sales"),--(Headcount!$H$6:$H$92&gt;=Sales!AM$3),Headcount!$O$6:$O$92,Headcount!$L$6:$L$92)),0),IF(YEAR(AM$3)=YEAR(Headcount!$P$4),IF((AM$5=12),(SUMPRODUCT(--(Headcount!$F$6:$F$92="Sales"),--(Headcount!$H$6:$H$92&gt;=Sales!AM$3),Headcount!$P$6:$P$92,Headcount!$L$6:$L$92)),0),IF(YEAR(AM$3)=YEAR(Headcount!$Q$4),IF((AM$5=12),(SUMPRODUCT(--(Headcount!$F$6:$F$92="Sales"),--(Headcount!$H$6:$H$92&gt;=Sales!AM$3),Headcount!$Q$6:$Q$92,Headcount!$L$6:$L$92)),0),IF(YEAR(AM$3)=YEAR(Headcount!$R$4),IF((AM$5=12),(SUMPRODUCT(--(Headcount!$F$6:$F$92="Sales"),--(Headcount!$H$6:$H$92&gt;=Sales!AM$3),Headcount!$R$6:$R$92,Headcount!$L$6:$L$92)),0),"New Year"))))),'Dept. Cost Actuals'!AQ142)</f>
        <v>0</v>
      </c>
      <c r="AN16" s="810">
        <f>IF(AN$4="forecast",IF(YEAR(AN$3)=YEAR(Headcount!$N$4),IF((AN$5=12),(SUMPRODUCT(--(Headcount!$F$6:$F$92="Sales"),--(Headcount!$H$6:$H$92&gt;=Sales!AN$3),Headcount!$N$6:$N$92,Headcount!$L$6:$L$92)),0),IF(YEAR(AN$3)=YEAR(Headcount!$O$4),IF((AN$5=12),(SUMPRODUCT(--(Headcount!$F$6:$F$92="Sales"),--(Headcount!$H$6:$H$92&gt;=Sales!AN$3),Headcount!$O$6:$O$92,Headcount!$L$6:$L$92)),0),IF(YEAR(AN$3)=YEAR(Headcount!$P$4),IF((AN$5=12),(SUMPRODUCT(--(Headcount!$F$6:$F$92="Sales"),--(Headcount!$H$6:$H$92&gt;=Sales!AN$3),Headcount!$P$6:$P$92,Headcount!$L$6:$L$92)),0),IF(YEAR(AN$3)=YEAR(Headcount!$Q$4),IF((AN$5=12),(SUMPRODUCT(--(Headcount!$F$6:$F$92="Sales"),--(Headcount!$H$6:$H$92&gt;=Sales!AN$3),Headcount!$Q$6:$Q$92,Headcount!$L$6:$L$92)),0),IF(YEAR(AN$3)=YEAR(Headcount!$R$4),IF((AN$5=12),(SUMPRODUCT(--(Headcount!$F$6:$F$92="Sales"),--(Headcount!$H$6:$H$92&gt;=Sales!AN$3),Headcount!$R$6:$R$92,Headcount!$L$6:$L$92)),0),"New Year"))))),'Dept. Cost Actuals'!AR142)</f>
        <v>0</v>
      </c>
      <c r="AO16" s="810">
        <f>IF(AO$4="forecast",IF(YEAR(AO$3)=YEAR(Headcount!$N$4),IF((AO$5=12),(SUMPRODUCT(--(Headcount!$F$6:$F$92="Sales"),--(Headcount!$H$6:$H$92&gt;=Sales!AO$3),Headcount!$N$6:$N$92,Headcount!$L$6:$L$92)),0),IF(YEAR(AO$3)=YEAR(Headcount!$O$4),IF((AO$5=12),(SUMPRODUCT(--(Headcount!$F$6:$F$92="Sales"),--(Headcount!$H$6:$H$92&gt;=Sales!AO$3),Headcount!$O$6:$O$92,Headcount!$L$6:$L$92)),0),IF(YEAR(AO$3)=YEAR(Headcount!$P$4),IF((AO$5=12),(SUMPRODUCT(--(Headcount!$F$6:$F$92="Sales"),--(Headcount!$H$6:$H$92&gt;=Sales!AO$3),Headcount!$P$6:$P$92,Headcount!$L$6:$L$92)),0),IF(YEAR(AO$3)=YEAR(Headcount!$Q$4),IF((AO$5=12),(SUMPRODUCT(--(Headcount!$F$6:$F$92="Sales"),--(Headcount!$H$6:$H$92&gt;=Sales!AO$3),Headcount!$Q$6:$Q$92,Headcount!$L$6:$L$92)),0),IF(YEAR(AO$3)=YEAR(Headcount!$R$4),IF((AO$5=12),(SUMPRODUCT(--(Headcount!$F$6:$F$92="Sales"),--(Headcount!$H$6:$H$92&gt;=Sales!AO$3),Headcount!$R$6:$R$92,Headcount!$L$6:$L$92)),0),"New Year"))))),'Dept. Cost Actuals'!AS142)</f>
        <v>0</v>
      </c>
      <c r="AP16" s="810">
        <f>IF(AP$4="forecast",IF(YEAR(AP$3)=YEAR(Headcount!$N$4),IF((AP$5=12),(SUMPRODUCT(--(Headcount!$F$6:$F$92="Sales"),--(Headcount!$H$6:$H$92&gt;=Sales!AP$3),Headcount!$N$6:$N$92,Headcount!$L$6:$L$92)),0),IF(YEAR(AP$3)=YEAR(Headcount!$O$4),IF((AP$5=12),(SUMPRODUCT(--(Headcount!$F$6:$F$92="Sales"),--(Headcount!$H$6:$H$92&gt;=Sales!AP$3),Headcount!$O$6:$O$92,Headcount!$L$6:$L$92)),0),IF(YEAR(AP$3)=YEAR(Headcount!$P$4),IF((AP$5=12),(SUMPRODUCT(--(Headcount!$F$6:$F$92="Sales"),--(Headcount!$H$6:$H$92&gt;=Sales!AP$3),Headcount!$P$6:$P$92,Headcount!$L$6:$L$92)),0),IF(YEAR(AP$3)=YEAR(Headcount!$Q$4),IF((AP$5=12),(SUMPRODUCT(--(Headcount!$F$6:$F$92="Sales"),--(Headcount!$H$6:$H$92&gt;=Sales!AP$3),Headcount!$Q$6:$Q$92,Headcount!$L$6:$L$92)),0),IF(YEAR(AP$3)=YEAR(Headcount!$R$4),IF((AP$5=12),(SUMPRODUCT(--(Headcount!$F$6:$F$92="Sales"),--(Headcount!$H$6:$H$92&gt;=Sales!AP$3),Headcount!$R$6:$R$92,Headcount!$L$6:$L$92)),0),"New Year"))))),'Dept. Cost Actuals'!AT142)</f>
        <v>0</v>
      </c>
      <c r="AQ16" s="810">
        <f>IF(AQ$4="forecast",IF(YEAR(AQ$3)=YEAR(Headcount!$N$4),IF((AQ$5=12),(SUMPRODUCT(--(Headcount!$F$6:$F$92="Sales"),--(Headcount!$H$6:$H$92&gt;=Sales!AQ$3),Headcount!$N$6:$N$92,Headcount!$L$6:$L$92)),0),IF(YEAR(AQ$3)=YEAR(Headcount!$O$4),IF((AQ$5=12),(SUMPRODUCT(--(Headcount!$F$6:$F$92="Sales"),--(Headcount!$H$6:$H$92&gt;=Sales!AQ$3),Headcount!$O$6:$O$92,Headcount!$L$6:$L$92)),0),IF(YEAR(AQ$3)=YEAR(Headcount!$P$4),IF((AQ$5=12),(SUMPRODUCT(--(Headcount!$F$6:$F$92="Sales"),--(Headcount!$H$6:$H$92&gt;=Sales!AQ$3),Headcount!$P$6:$P$92,Headcount!$L$6:$L$92)),0),IF(YEAR(AQ$3)=YEAR(Headcount!$Q$4),IF((AQ$5=12),(SUMPRODUCT(--(Headcount!$F$6:$F$92="Sales"),--(Headcount!$H$6:$H$92&gt;=Sales!AQ$3),Headcount!$Q$6:$Q$92,Headcount!$L$6:$L$92)),0),IF(YEAR(AQ$3)=YEAR(Headcount!$R$4),IF((AQ$5=12),(SUMPRODUCT(--(Headcount!$F$6:$F$92="Sales"),--(Headcount!$H$6:$H$92&gt;=Sales!AQ$3),Headcount!$R$6:$R$92,Headcount!$L$6:$L$92)),0),"New Year"))))),'Dept. Cost Actuals'!AU142)</f>
        <v>0</v>
      </c>
      <c r="AR16" s="810">
        <f>IF(AR$4="forecast",IF(YEAR(AR$3)=YEAR(Headcount!$N$4),IF((AR$5=12),(SUMPRODUCT(--(Headcount!$F$6:$F$92="Sales"),--(Headcount!$H$6:$H$92&gt;=Sales!AR$3),Headcount!$N$6:$N$92,Headcount!$L$6:$L$92)),0),IF(YEAR(AR$3)=YEAR(Headcount!$O$4),IF((AR$5=12),(SUMPRODUCT(--(Headcount!$F$6:$F$92="Sales"),--(Headcount!$H$6:$H$92&gt;=Sales!AR$3),Headcount!$O$6:$O$92,Headcount!$L$6:$L$92)),0),IF(YEAR(AR$3)=YEAR(Headcount!$P$4),IF((AR$5=12),(SUMPRODUCT(--(Headcount!$F$6:$F$92="Sales"),--(Headcount!$H$6:$H$92&gt;=Sales!AR$3),Headcount!$P$6:$P$92,Headcount!$L$6:$L$92)),0),IF(YEAR(AR$3)=YEAR(Headcount!$Q$4),IF((AR$5=12),(SUMPRODUCT(--(Headcount!$F$6:$F$92="Sales"),--(Headcount!$H$6:$H$92&gt;=Sales!AR$3),Headcount!$Q$6:$Q$92,Headcount!$L$6:$L$92)),0),IF(YEAR(AR$3)=YEAR(Headcount!$R$4),IF((AR$5=12),(SUMPRODUCT(--(Headcount!$F$6:$F$92="Sales"),--(Headcount!$H$6:$H$92&gt;=Sales!AR$3),Headcount!$R$6:$R$92,Headcount!$L$6:$L$92)),0),"New Year"))))),'Dept. Cost Actuals'!AV142)</f>
        <v>0</v>
      </c>
      <c r="AS16" s="810">
        <f>IF(AS$4="forecast",IF(YEAR(AS$3)=YEAR(Headcount!$N$4),IF((AS$5=12),(SUMPRODUCT(--(Headcount!$F$6:$F$92="Sales"),--(Headcount!$H$6:$H$92&gt;=Sales!AS$3),Headcount!$N$6:$N$92,Headcount!$L$6:$L$92)),0),IF(YEAR(AS$3)=YEAR(Headcount!$O$4),IF((AS$5=12),(SUMPRODUCT(--(Headcount!$F$6:$F$92="Sales"),--(Headcount!$H$6:$H$92&gt;=Sales!AS$3),Headcount!$O$6:$O$92,Headcount!$L$6:$L$92)),0),IF(YEAR(AS$3)=YEAR(Headcount!$P$4),IF((AS$5=12),(SUMPRODUCT(--(Headcount!$F$6:$F$92="Sales"),--(Headcount!$H$6:$H$92&gt;=Sales!AS$3),Headcount!$P$6:$P$92,Headcount!$L$6:$L$92)),0),IF(YEAR(AS$3)=YEAR(Headcount!$Q$4),IF((AS$5=12),(SUMPRODUCT(--(Headcount!$F$6:$F$92="Sales"),--(Headcount!$H$6:$H$92&gt;=Sales!AS$3),Headcount!$Q$6:$Q$92,Headcount!$L$6:$L$92)),0),IF(YEAR(AS$3)=YEAR(Headcount!$R$4),IF((AS$5=12),(SUMPRODUCT(--(Headcount!$F$6:$F$92="Sales"),--(Headcount!$H$6:$H$92&gt;=Sales!AS$3),Headcount!$R$6:$R$92,Headcount!$L$6:$L$92)),0),"New Year"))))),'Dept. Cost Actuals'!AW142)</f>
        <v>0</v>
      </c>
      <c r="AT16" s="810">
        <f>IF(AT$4="forecast",IF(YEAR(AT$3)=YEAR(Headcount!$N$4),IF((AT$5=12),(SUMPRODUCT(--(Headcount!$F$6:$F$92="Sales"),--(Headcount!$H$6:$H$92&gt;=Sales!AT$3),Headcount!$N$6:$N$92,Headcount!$L$6:$L$92)),0),IF(YEAR(AT$3)=YEAR(Headcount!$O$4),IF((AT$5=12),(SUMPRODUCT(--(Headcount!$F$6:$F$92="Sales"),--(Headcount!$H$6:$H$92&gt;=Sales!AT$3),Headcount!$O$6:$O$92,Headcount!$L$6:$L$92)),0),IF(YEAR(AT$3)=YEAR(Headcount!$P$4),IF((AT$5=12),(SUMPRODUCT(--(Headcount!$F$6:$F$92="Sales"),--(Headcount!$H$6:$H$92&gt;=Sales!AT$3),Headcount!$P$6:$P$92,Headcount!$L$6:$L$92)),0),IF(YEAR(AT$3)=YEAR(Headcount!$Q$4),IF((AT$5=12),(SUMPRODUCT(--(Headcount!$F$6:$F$92="Sales"),--(Headcount!$H$6:$H$92&gt;=Sales!AT$3),Headcount!$Q$6:$Q$92,Headcount!$L$6:$L$92)),0),IF(YEAR(AT$3)=YEAR(Headcount!$R$4),IF((AT$5=12),(SUMPRODUCT(--(Headcount!$F$6:$F$92="Sales"),--(Headcount!$H$6:$H$92&gt;=Sales!AT$3),Headcount!$R$6:$R$92,Headcount!$L$6:$L$92)),0),"New Year"))))),'Dept. Cost Actuals'!AX142)</f>
        <v>0</v>
      </c>
      <c r="AU16" s="810">
        <f>IF(AU$4="forecast",IF(YEAR(AU$3)=YEAR(Headcount!$N$4),IF((AU$5=12),(SUMPRODUCT(--(Headcount!$F$6:$F$92="Sales"),--(Headcount!$H$6:$H$92&gt;=Sales!AU$3),Headcount!$N$6:$N$92,Headcount!$L$6:$L$92)),0),IF(YEAR(AU$3)=YEAR(Headcount!$O$4),IF((AU$5=12),(SUMPRODUCT(--(Headcount!$F$6:$F$92="Sales"),--(Headcount!$H$6:$H$92&gt;=Sales!AU$3),Headcount!$O$6:$O$92,Headcount!$L$6:$L$92)),0),IF(YEAR(AU$3)=YEAR(Headcount!$P$4),IF((AU$5=12),(SUMPRODUCT(--(Headcount!$F$6:$F$92="Sales"),--(Headcount!$H$6:$H$92&gt;=Sales!AU$3),Headcount!$P$6:$P$92,Headcount!$L$6:$L$92)),0),IF(YEAR(AU$3)=YEAR(Headcount!$Q$4),IF((AU$5=12),(SUMPRODUCT(--(Headcount!$F$6:$F$92="Sales"),--(Headcount!$H$6:$H$92&gt;=Sales!AU$3),Headcount!$Q$6:$Q$92,Headcount!$L$6:$L$92)),0),IF(YEAR(AU$3)=YEAR(Headcount!$R$4),IF((AU$5=12),(SUMPRODUCT(--(Headcount!$F$6:$F$92="Sales"),--(Headcount!$H$6:$H$92&gt;=Sales!AU$3),Headcount!$R$6:$R$92,Headcount!$L$6:$L$92)),0),"New Year"))))),'Dept. Cost Actuals'!AY142)</f>
        <v>0</v>
      </c>
      <c r="AV16" s="810">
        <f>IF(AV$4="forecast",IF(YEAR(AV$3)=YEAR(Headcount!$N$4),IF((AV$5=12),(SUMPRODUCT(--(Headcount!$F$6:$F$92="Sales"),--(Headcount!$H$6:$H$92&gt;=Sales!AV$3),Headcount!$N$6:$N$92,Headcount!$L$6:$L$92)),0),IF(YEAR(AV$3)=YEAR(Headcount!$O$4),IF((AV$5=12),(SUMPRODUCT(--(Headcount!$F$6:$F$92="Sales"),--(Headcount!$H$6:$H$92&gt;=Sales!AV$3),Headcount!$O$6:$O$92,Headcount!$L$6:$L$92)),0),IF(YEAR(AV$3)=YEAR(Headcount!$P$4),IF((AV$5=12),(SUMPRODUCT(--(Headcount!$F$6:$F$92="Sales"),--(Headcount!$H$6:$H$92&gt;=Sales!AV$3),Headcount!$P$6:$P$92,Headcount!$L$6:$L$92)),0),IF(YEAR(AV$3)=YEAR(Headcount!$Q$4),IF((AV$5=12),(SUMPRODUCT(--(Headcount!$F$6:$F$92="Sales"),--(Headcount!$H$6:$H$92&gt;=Sales!AV$3),Headcount!$Q$6:$Q$92,Headcount!$L$6:$L$92)),0),IF(YEAR(AV$3)=YEAR(Headcount!$R$4),IF((AV$5=12),(SUMPRODUCT(--(Headcount!$F$6:$F$92="Sales"),--(Headcount!$H$6:$H$92&gt;=Sales!AV$3),Headcount!$R$6:$R$92,Headcount!$L$6:$L$92)),0),"New Year"))))),'Dept. Cost Actuals'!AZ142)</f>
        <v>0</v>
      </c>
      <c r="AW16" s="810">
        <f>IF(AW$4="forecast",IF(YEAR(AW$3)=YEAR(Headcount!$N$4),IF((AW$5=12),(SUMPRODUCT(--(Headcount!$F$6:$F$92="Sales"),--(Headcount!$H$6:$H$92&gt;=Sales!AW$3),Headcount!$N$6:$N$92,Headcount!$L$6:$L$92)),0),IF(YEAR(AW$3)=YEAR(Headcount!$O$4),IF((AW$5=12),(SUMPRODUCT(--(Headcount!$F$6:$F$92="Sales"),--(Headcount!$H$6:$H$92&gt;=Sales!AW$3),Headcount!$O$6:$O$92,Headcount!$L$6:$L$92)),0),IF(YEAR(AW$3)=YEAR(Headcount!$P$4),IF((AW$5=12),(SUMPRODUCT(--(Headcount!$F$6:$F$92="Sales"),--(Headcount!$H$6:$H$92&gt;=Sales!AW$3),Headcount!$P$6:$P$92,Headcount!$L$6:$L$92)),0),IF(YEAR(AW$3)=YEAR(Headcount!$Q$4),IF((AW$5=12),(SUMPRODUCT(--(Headcount!$F$6:$F$92="Sales"),--(Headcount!$H$6:$H$92&gt;=Sales!AW$3),Headcount!$Q$6:$Q$92,Headcount!$L$6:$L$92)),0),IF(YEAR(AW$3)=YEAR(Headcount!$R$4),IF((AW$5=12),(SUMPRODUCT(--(Headcount!$F$6:$F$92="Sales"),--(Headcount!$H$6:$H$92&gt;=Sales!AW$3),Headcount!$R$6:$R$92,Headcount!$L$6:$L$92)),0),"New Year"))))),'Dept. Cost Actuals'!BA142)</f>
        <v>0</v>
      </c>
      <c r="AX16" s="810">
        <f>IF(AX$4="forecast",IF(YEAR(AX$3)=YEAR(Headcount!$N$4),IF((AX$5=12),(SUMPRODUCT(--(Headcount!$F$6:$F$92="Sales"),--(Headcount!$H$6:$H$92&gt;=Sales!AX$3),Headcount!$N$6:$N$92,Headcount!$L$6:$L$92)),0),IF(YEAR(AX$3)=YEAR(Headcount!$O$4),IF((AX$5=12),(SUMPRODUCT(--(Headcount!$F$6:$F$92="Sales"),--(Headcount!$H$6:$H$92&gt;=Sales!AX$3),Headcount!$O$6:$O$92,Headcount!$L$6:$L$92)),0),IF(YEAR(AX$3)=YEAR(Headcount!$P$4),IF((AX$5=12),(SUMPRODUCT(--(Headcount!$F$6:$F$92="Sales"),--(Headcount!$H$6:$H$92&gt;=Sales!AX$3),Headcount!$P$6:$P$92,Headcount!$L$6:$L$92)),0),IF(YEAR(AX$3)=YEAR(Headcount!$Q$4),IF((AX$5=12),(SUMPRODUCT(--(Headcount!$F$6:$F$92="Sales"),--(Headcount!$H$6:$H$92&gt;=Sales!AX$3),Headcount!$Q$6:$Q$92,Headcount!$L$6:$L$92)),0),IF(YEAR(AX$3)=YEAR(Headcount!$R$4),IF((AX$5=12),(SUMPRODUCT(--(Headcount!$F$6:$F$92="Sales"),--(Headcount!$H$6:$H$92&gt;=Sales!AX$3),Headcount!$R$6:$R$92,Headcount!$L$6:$L$92)),0),"New Year"))))),'Dept. Cost Actuals'!BB142)</f>
        <v>222816.29500000001</v>
      </c>
      <c r="AY16" s="810">
        <f>IF(AY$4="forecast",IF(YEAR(AY$3)=YEAR(Headcount!$N$4),IF((AY$5=12),(SUMPRODUCT(--(Headcount!$F$6:$F$92="Sales"),--(Headcount!$H$6:$H$92&gt;=Sales!AY$3),Headcount!$N$6:$N$92,Headcount!$L$6:$L$92)),0),IF(YEAR(AY$3)=YEAR(Headcount!$O$4),IF((AY$5=12),(SUMPRODUCT(--(Headcount!$F$6:$F$92="Sales"),--(Headcount!$H$6:$H$92&gt;=Sales!AY$3),Headcount!$O$6:$O$92,Headcount!$L$6:$L$92)),0),IF(YEAR(AY$3)=YEAR(Headcount!$P$4),IF((AY$5=12),(SUMPRODUCT(--(Headcount!$F$6:$F$92="Sales"),--(Headcount!$H$6:$H$92&gt;=Sales!AY$3),Headcount!$P$6:$P$92,Headcount!$L$6:$L$92)),0),IF(YEAR(AY$3)=YEAR(Headcount!$Q$4),IF((AY$5=12),(SUMPRODUCT(--(Headcount!$F$6:$F$92="Sales"),--(Headcount!$H$6:$H$92&gt;=Sales!AY$3),Headcount!$Q$6:$Q$92,Headcount!$L$6:$L$92)),0),IF(YEAR(AY$3)=YEAR(Headcount!$R$4),IF((AY$5=12),(SUMPRODUCT(--(Headcount!$F$6:$F$92="Sales"),--(Headcount!$H$6:$H$92&gt;=Sales!AY$3),Headcount!$R$6:$R$92,Headcount!$L$6:$L$92)),0),"New Year"))))),'Dept. Cost Actuals'!BC142)</f>
        <v>0</v>
      </c>
      <c r="AZ16" s="810">
        <f>IF(AZ$4="forecast",IF(YEAR(AZ$3)=YEAR(Headcount!$N$4),IF((AZ$5=12),(SUMPRODUCT(--(Headcount!$F$6:$F$92="Sales"),--(Headcount!$H$6:$H$92&gt;=Sales!AZ$3),Headcount!$N$6:$N$92,Headcount!$L$6:$L$92)),0),IF(YEAR(AZ$3)=YEAR(Headcount!$O$4),IF((AZ$5=12),(SUMPRODUCT(--(Headcount!$F$6:$F$92="Sales"),--(Headcount!$H$6:$H$92&gt;=Sales!AZ$3),Headcount!$O$6:$O$92,Headcount!$L$6:$L$92)),0),IF(YEAR(AZ$3)=YEAR(Headcount!$P$4),IF((AZ$5=12),(SUMPRODUCT(--(Headcount!$F$6:$F$92="Sales"),--(Headcount!$H$6:$H$92&gt;=Sales!AZ$3),Headcount!$P$6:$P$92,Headcount!$L$6:$L$92)),0),IF(YEAR(AZ$3)=YEAR(Headcount!$Q$4),IF((AZ$5=12),(SUMPRODUCT(--(Headcount!$F$6:$F$92="Sales"),--(Headcount!$H$6:$H$92&gt;=Sales!AZ$3),Headcount!$Q$6:$Q$92,Headcount!$L$6:$L$92)),0),IF(YEAR(AZ$3)=YEAR(Headcount!$R$4),IF((AZ$5=12),(SUMPRODUCT(--(Headcount!$F$6:$F$92="Sales"),--(Headcount!$H$6:$H$92&gt;=Sales!AZ$3),Headcount!$R$6:$R$92,Headcount!$L$6:$L$92)),0),"New Year"))))),'Dept. Cost Actuals'!BD142)</f>
        <v>0</v>
      </c>
      <c r="BA16" s="810">
        <f>IF(BA$4="forecast",IF(YEAR(BA$3)=YEAR(Headcount!$N$4),IF((BA$5=12),(SUMPRODUCT(--(Headcount!$F$6:$F$92="Sales"),--(Headcount!$H$6:$H$92&gt;=Sales!BA$3),Headcount!$N$6:$N$92,Headcount!$L$6:$L$92)),0),IF(YEAR(BA$3)=YEAR(Headcount!$O$4),IF((BA$5=12),(SUMPRODUCT(--(Headcount!$F$6:$F$92="Sales"),--(Headcount!$H$6:$H$92&gt;=Sales!BA$3),Headcount!$O$6:$O$92,Headcount!$L$6:$L$92)),0),IF(YEAR(BA$3)=YEAR(Headcount!$P$4),IF((BA$5=12),(SUMPRODUCT(--(Headcount!$F$6:$F$92="Sales"),--(Headcount!$H$6:$H$92&gt;=Sales!BA$3),Headcount!$P$6:$P$92,Headcount!$L$6:$L$92)),0),IF(YEAR(BA$3)=YEAR(Headcount!$Q$4),IF((BA$5=12),(SUMPRODUCT(--(Headcount!$F$6:$F$92="Sales"),--(Headcount!$H$6:$H$92&gt;=Sales!BA$3),Headcount!$Q$6:$Q$92,Headcount!$L$6:$L$92)),0),IF(YEAR(BA$3)=YEAR(Headcount!$R$4),IF((BA$5=12),(SUMPRODUCT(--(Headcount!$F$6:$F$92="Sales"),--(Headcount!$H$6:$H$92&gt;=Sales!BA$3),Headcount!$R$6:$R$92,Headcount!$L$6:$L$92)),0),"New Year"))))),'Dept. Cost Actuals'!BE142)</f>
        <v>0</v>
      </c>
      <c r="BB16" s="810">
        <f>IF(BB$4="forecast",IF(YEAR(BB$3)=YEAR(Headcount!$N$4),IF((BB$5=12),(SUMPRODUCT(--(Headcount!$F$6:$F$92="Sales"),--(Headcount!$H$6:$H$92&gt;=Sales!BB$3),Headcount!$N$6:$N$92,Headcount!$L$6:$L$92)),0),IF(YEAR(BB$3)=YEAR(Headcount!$O$4),IF((BB$5=12),(SUMPRODUCT(--(Headcount!$F$6:$F$92="Sales"),--(Headcount!$H$6:$H$92&gt;=Sales!BB$3),Headcount!$O$6:$O$92,Headcount!$L$6:$L$92)),0),IF(YEAR(BB$3)=YEAR(Headcount!$P$4),IF((BB$5=12),(SUMPRODUCT(--(Headcount!$F$6:$F$92="Sales"),--(Headcount!$H$6:$H$92&gt;=Sales!BB$3),Headcount!$P$6:$P$92,Headcount!$L$6:$L$92)),0),IF(YEAR(BB$3)=YEAR(Headcount!$Q$4),IF((BB$5=12),(SUMPRODUCT(--(Headcount!$F$6:$F$92="Sales"),--(Headcount!$H$6:$H$92&gt;=Sales!BB$3),Headcount!$Q$6:$Q$92,Headcount!$L$6:$L$92)),0),IF(YEAR(BB$3)=YEAR(Headcount!$R$4),IF((BB$5=12),(SUMPRODUCT(--(Headcount!$F$6:$F$92="Sales"),--(Headcount!$H$6:$H$92&gt;=Sales!BB$3),Headcount!$R$6:$R$92,Headcount!$L$6:$L$92)),0),"New Year"))))),'Dept. Cost Actuals'!BF142)</f>
        <v>0</v>
      </c>
      <c r="BC16" s="810">
        <f>IF(BC$4="forecast",IF(YEAR(BC$3)=YEAR(Headcount!$N$4),IF((BC$5=12),(SUMPRODUCT(--(Headcount!$F$6:$F$92="Sales"),--(Headcount!$H$6:$H$92&gt;=Sales!BC$3),Headcount!$N$6:$N$92,Headcount!$L$6:$L$92)),0),IF(YEAR(BC$3)=YEAR(Headcount!$O$4),IF((BC$5=12),(SUMPRODUCT(--(Headcount!$F$6:$F$92="Sales"),--(Headcount!$H$6:$H$92&gt;=Sales!BC$3),Headcount!$O$6:$O$92,Headcount!$L$6:$L$92)),0),IF(YEAR(BC$3)=YEAR(Headcount!$P$4),IF((BC$5=12),(SUMPRODUCT(--(Headcount!$F$6:$F$92="Sales"),--(Headcount!$H$6:$H$92&gt;=Sales!BC$3),Headcount!$P$6:$P$92,Headcount!$L$6:$L$92)),0),IF(YEAR(BC$3)=YEAR(Headcount!$Q$4),IF((BC$5=12),(SUMPRODUCT(--(Headcount!$F$6:$F$92="Sales"),--(Headcount!$H$6:$H$92&gt;=Sales!BC$3),Headcount!$Q$6:$Q$92,Headcount!$L$6:$L$92)),0),IF(YEAR(BC$3)=YEAR(Headcount!$R$4),IF((BC$5=12),(SUMPRODUCT(--(Headcount!$F$6:$F$92="Sales"),--(Headcount!$H$6:$H$92&gt;=Sales!BC$3),Headcount!$R$6:$R$92,Headcount!$L$6:$L$92)),0),"New Year"))))),'Dept. Cost Actuals'!BG142)</f>
        <v>0</v>
      </c>
      <c r="BD16" s="810">
        <f>IF(BD$4="forecast",IF(YEAR(BD$3)=YEAR(Headcount!$N$4),IF((BD$5=12),(SUMPRODUCT(--(Headcount!$F$6:$F$92="Sales"),--(Headcount!$H$6:$H$92&gt;=Sales!BD$3),Headcount!$N$6:$N$92,Headcount!$L$6:$L$92)),0),IF(YEAR(BD$3)=YEAR(Headcount!$O$4),IF((BD$5=12),(SUMPRODUCT(--(Headcount!$F$6:$F$92="Sales"),--(Headcount!$H$6:$H$92&gt;=Sales!BD$3),Headcount!$O$6:$O$92,Headcount!$L$6:$L$92)),0),IF(YEAR(BD$3)=YEAR(Headcount!$P$4),IF((BD$5=12),(SUMPRODUCT(--(Headcount!$F$6:$F$92="Sales"),--(Headcount!$H$6:$H$92&gt;=Sales!BD$3),Headcount!$P$6:$P$92,Headcount!$L$6:$L$92)),0),IF(YEAR(BD$3)=YEAR(Headcount!$Q$4),IF((BD$5=12),(SUMPRODUCT(--(Headcount!$F$6:$F$92="Sales"),--(Headcount!$H$6:$H$92&gt;=Sales!BD$3),Headcount!$Q$6:$Q$92,Headcount!$L$6:$L$92)),0),IF(YEAR(BD$3)=YEAR(Headcount!$R$4),IF((BD$5=12),(SUMPRODUCT(--(Headcount!$F$6:$F$92="Sales"),--(Headcount!$H$6:$H$92&gt;=Sales!BD$3),Headcount!$R$6:$R$92,Headcount!$L$6:$L$92)),0),"New Year"))))),'Dept. Cost Actuals'!BH142)</f>
        <v>0</v>
      </c>
      <c r="BE16" s="810">
        <f>IF(BE$4="forecast",IF(YEAR(BE$3)=YEAR(Headcount!$N$4),IF((BE$5=12),(SUMPRODUCT(--(Headcount!$F$6:$F$92="Sales"),--(Headcount!$H$6:$H$92&gt;=Sales!BE$3),Headcount!$N$6:$N$92,Headcount!$L$6:$L$92)),0),IF(YEAR(BE$3)=YEAR(Headcount!$O$4),IF((BE$5=12),(SUMPRODUCT(--(Headcount!$F$6:$F$92="Sales"),--(Headcount!$H$6:$H$92&gt;=Sales!BE$3),Headcount!$O$6:$O$92,Headcount!$L$6:$L$92)),0),IF(YEAR(BE$3)=YEAR(Headcount!$P$4),IF((BE$5=12),(SUMPRODUCT(--(Headcount!$F$6:$F$92="Sales"),--(Headcount!$H$6:$H$92&gt;=Sales!BE$3),Headcount!$P$6:$P$92,Headcount!$L$6:$L$92)),0),IF(YEAR(BE$3)=YEAR(Headcount!$Q$4),IF((BE$5=12),(SUMPRODUCT(--(Headcount!$F$6:$F$92="Sales"),--(Headcount!$H$6:$H$92&gt;=Sales!BE$3),Headcount!$Q$6:$Q$92,Headcount!$L$6:$L$92)),0),IF(YEAR(BE$3)=YEAR(Headcount!$R$4),IF((BE$5=12),(SUMPRODUCT(--(Headcount!$F$6:$F$92="Sales"),--(Headcount!$H$6:$H$92&gt;=Sales!BE$3),Headcount!$R$6:$R$92,Headcount!$L$6:$L$92)),0),"New Year"))))),'Dept. Cost Actuals'!BI142)</f>
        <v>0</v>
      </c>
      <c r="BF16" s="810">
        <f>IF(BF$4="forecast",IF(YEAR(BF$3)=YEAR(Headcount!$N$4),IF((BF$5=12),(SUMPRODUCT(--(Headcount!$F$6:$F$92="Sales"),--(Headcount!$H$6:$H$92&gt;=Sales!BF$3),Headcount!$N$6:$N$92,Headcount!$L$6:$L$92)),0),IF(YEAR(BF$3)=YEAR(Headcount!$O$4),IF((BF$5=12),(SUMPRODUCT(--(Headcount!$F$6:$F$92="Sales"),--(Headcount!$H$6:$H$92&gt;=Sales!BF$3),Headcount!$O$6:$O$92,Headcount!$L$6:$L$92)),0),IF(YEAR(BF$3)=YEAR(Headcount!$P$4),IF((BF$5=12),(SUMPRODUCT(--(Headcount!$F$6:$F$92="Sales"),--(Headcount!$H$6:$H$92&gt;=Sales!BF$3),Headcount!$P$6:$P$92,Headcount!$L$6:$L$92)),0),IF(YEAR(BF$3)=YEAR(Headcount!$Q$4),IF((BF$5=12),(SUMPRODUCT(--(Headcount!$F$6:$F$92="Sales"),--(Headcount!$H$6:$H$92&gt;=Sales!BF$3),Headcount!$Q$6:$Q$92,Headcount!$L$6:$L$92)),0),IF(YEAR(BF$3)=YEAR(Headcount!$R$4),IF((BF$5=12),(SUMPRODUCT(--(Headcount!$F$6:$F$92="Sales"),--(Headcount!$H$6:$H$92&gt;=Sales!BF$3),Headcount!$R$6:$R$92,Headcount!$L$6:$L$92)),0),"New Year"))))),'Dept. Cost Actuals'!BJ142)</f>
        <v>0</v>
      </c>
      <c r="BG16" s="810">
        <f>IF(BG$4="forecast",IF(YEAR(BG$3)=YEAR(Headcount!$N$4),IF((BG$5=12),(SUMPRODUCT(--(Headcount!$F$6:$F$92="Sales"),--(Headcount!$H$6:$H$92&gt;=Sales!BG$3),Headcount!$N$6:$N$92,Headcount!$L$6:$L$92)),0),IF(YEAR(BG$3)=YEAR(Headcount!$O$4),IF((BG$5=12),(SUMPRODUCT(--(Headcount!$F$6:$F$92="Sales"),--(Headcount!$H$6:$H$92&gt;=Sales!BG$3),Headcount!$O$6:$O$92,Headcount!$L$6:$L$92)),0),IF(YEAR(BG$3)=YEAR(Headcount!$P$4),IF((BG$5=12),(SUMPRODUCT(--(Headcount!$F$6:$F$92="Sales"),--(Headcount!$H$6:$H$92&gt;=Sales!BG$3),Headcount!$P$6:$P$92,Headcount!$L$6:$L$92)),0),IF(YEAR(BG$3)=YEAR(Headcount!$Q$4),IF((BG$5=12),(SUMPRODUCT(--(Headcount!$F$6:$F$92="Sales"),--(Headcount!$H$6:$H$92&gt;=Sales!BG$3),Headcount!$Q$6:$Q$92,Headcount!$L$6:$L$92)),0),IF(YEAR(BG$3)=YEAR(Headcount!$R$4),IF((BG$5=12),(SUMPRODUCT(--(Headcount!$F$6:$F$92="Sales"),--(Headcount!$H$6:$H$92&gt;=Sales!BG$3),Headcount!$R$6:$R$92,Headcount!$L$6:$L$92)),0),"New Year"))))),'Dept. Cost Actuals'!BK142)</f>
        <v>0</v>
      </c>
      <c r="BH16" s="810">
        <f>IF(BH$4="forecast",IF(YEAR(BH$3)=YEAR(Headcount!$N$4),IF((BH$5=12),(SUMPRODUCT(--(Headcount!$F$6:$F$92="Sales"),--(Headcount!$H$6:$H$92&gt;=Sales!BH$3),Headcount!$N$6:$N$92,Headcount!$L$6:$L$92)),0),IF(YEAR(BH$3)=YEAR(Headcount!$O$4),IF((BH$5=12),(SUMPRODUCT(--(Headcount!$F$6:$F$92="Sales"),--(Headcount!$H$6:$H$92&gt;=Sales!BH$3),Headcount!$O$6:$O$92,Headcount!$L$6:$L$92)),0),IF(YEAR(BH$3)=YEAR(Headcount!$P$4),IF((BH$5=12),(SUMPRODUCT(--(Headcount!$F$6:$F$92="Sales"),--(Headcount!$H$6:$H$92&gt;=Sales!BH$3),Headcount!$P$6:$P$92,Headcount!$L$6:$L$92)),0),IF(YEAR(BH$3)=YEAR(Headcount!$Q$4),IF((BH$5=12),(SUMPRODUCT(--(Headcount!$F$6:$F$92="Sales"),--(Headcount!$H$6:$H$92&gt;=Sales!BH$3),Headcount!$Q$6:$Q$92,Headcount!$L$6:$L$92)),0),IF(YEAR(BH$3)=YEAR(Headcount!$R$4),IF((BH$5=12),(SUMPRODUCT(--(Headcount!$F$6:$F$92="Sales"),--(Headcount!$H$6:$H$92&gt;=Sales!BH$3),Headcount!$R$6:$R$92,Headcount!$L$6:$L$92)),0),"New Year"))))),'Dept. Cost Actuals'!BL142)</f>
        <v>0</v>
      </c>
      <c r="BI16" s="810">
        <f>IF(BI$4="forecast",IF(YEAR(BI$3)=YEAR(Headcount!$N$4),IF((BI$5=12),(SUMPRODUCT(--(Headcount!$F$6:$F$92="Sales"),--(Headcount!$H$6:$H$92&gt;=Sales!BI$3),Headcount!$N$6:$N$92,Headcount!$L$6:$L$92)),0),IF(YEAR(BI$3)=YEAR(Headcount!$O$4),IF((BI$5=12),(SUMPRODUCT(--(Headcount!$F$6:$F$92="Sales"),--(Headcount!$H$6:$H$92&gt;=Sales!BI$3),Headcount!$O$6:$O$92,Headcount!$L$6:$L$92)),0),IF(YEAR(BI$3)=YEAR(Headcount!$P$4),IF((BI$5=12),(SUMPRODUCT(--(Headcount!$F$6:$F$92="Sales"),--(Headcount!$H$6:$H$92&gt;=Sales!BI$3),Headcount!$P$6:$P$92,Headcount!$L$6:$L$92)),0),IF(YEAR(BI$3)=YEAR(Headcount!$Q$4),IF((BI$5=12),(SUMPRODUCT(--(Headcount!$F$6:$F$92="Sales"),--(Headcount!$H$6:$H$92&gt;=Sales!BI$3),Headcount!$Q$6:$Q$92,Headcount!$L$6:$L$92)),0),IF(YEAR(BI$3)=YEAR(Headcount!$R$4),IF((BI$5=12),(SUMPRODUCT(--(Headcount!$F$6:$F$92="Sales"),--(Headcount!$H$6:$H$92&gt;=Sales!BI$3),Headcount!$R$6:$R$92,Headcount!$L$6:$L$92)),0),"New Year"))))),'Dept. Cost Actuals'!BM142)</f>
        <v>0</v>
      </c>
      <c r="BJ16" s="810">
        <f>IF(BJ$4="forecast",IF(YEAR(BJ$3)=YEAR(Headcount!$N$4),IF((BJ$5=12),(SUMPRODUCT(--(Headcount!$F$6:$F$92="Sales"),--(Headcount!$H$6:$H$92&gt;=Sales!BJ$3),Headcount!$N$6:$N$92,Headcount!$L$6:$L$92)),0),IF(YEAR(BJ$3)=YEAR(Headcount!$O$4),IF((BJ$5=12),(SUMPRODUCT(--(Headcount!$F$6:$F$92="Sales"),--(Headcount!$H$6:$H$92&gt;=Sales!BJ$3),Headcount!$O$6:$O$92,Headcount!$L$6:$L$92)),0),IF(YEAR(BJ$3)=YEAR(Headcount!$P$4),IF((BJ$5=12),(SUMPRODUCT(--(Headcount!$F$6:$F$92="Sales"),--(Headcount!$H$6:$H$92&gt;=Sales!BJ$3),Headcount!$P$6:$P$92,Headcount!$L$6:$L$92)),0),IF(YEAR(BJ$3)=YEAR(Headcount!$Q$4),IF((BJ$5=12),(SUMPRODUCT(--(Headcount!$F$6:$F$92="Sales"),--(Headcount!$H$6:$H$92&gt;=Sales!BJ$3),Headcount!$Q$6:$Q$92,Headcount!$L$6:$L$92)),0),IF(YEAR(BJ$3)=YEAR(Headcount!$R$4),IF((BJ$5=12),(SUMPRODUCT(--(Headcount!$F$6:$F$92="Sales"),--(Headcount!$H$6:$H$92&gt;=Sales!BJ$3),Headcount!$R$6:$R$92,Headcount!$L$6:$L$92)),0),"New Year"))))),'Dept. Cost Actuals'!BN142)</f>
        <v>229500.78384999992</v>
      </c>
      <c r="BK16" s="810">
        <f>IF(BK$4="forecast",IF(YEAR(BK$3)=YEAR(Headcount!$N$4),IF((BK$5=12),(SUMPRODUCT(--(Headcount!$F$6:$F$92="Sales"),--(Headcount!$H$6:$H$92&gt;=Sales!BK$3),Headcount!$N$6:$N$92,Headcount!$L$6:$L$92)),0),IF(YEAR(BK$3)=YEAR(Headcount!$O$4),IF((BK$5=12),(SUMPRODUCT(--(Headcount!$F$6:$F$92="Sales"),--(Headcount!$H$6:$H$92&gt;=Sales!BK$3),Headcount!$O$6:$O$92,Headcount!$L$6:$L$92)),0),IF(YEAR(BK$3)=YEAR(Headcount!$P$4),IF((BK$5=12),(SUMPRODUCT(--(Headcount!$F$6:$F$92="Sales"),--(Headcount!$H$6:$H$92&gt;=Sales!BK$3),Headcount!$P$6:$P$92,Headcount!$L$6:$L$92)),0),IF(YEAR(BK$3)=YEAR(Headcount!$Q$4),IF((BK$5=12),(SUMPRODUCT(--(Headcount!$F$6:$F$92="Sales"),--(Headcount!$H$6:$H$92&gt;=Sales!BK$3),Headcount!$Q$6:$Q$92,Headcount!$L$6:$L$92)),0),IF(YEAR(BK$3)=YEAR(Headcount!$R$4),IF((BK$5=12),(SUMPRODUCT(--(Headcount!$F$6:$F$92="Sales"),--(Headcount!$H$6:$H$92&gt;=Sales!BK$3),Headcount!$R$6:$R$92,Headcount!$L$6:$L$92)),0),"New Year"))))),'Dept. Cost Actuals'!BO142)</f>
        <v>0</v>
      </c>
      <c r="BL16" s="684">
        <f>IF(BL$4="forecast",IF(YEAR(BL$3)=YEAR(Headcount!$N$4),IF((BL$5=12),(SUMPRODUCT(--(Headcount!$F$6:$F$92="Sales"),--(Headcount!$H$6:$H$92&gt;=Sales!BL$3),Headcount!$N$6:$N$92,Headcount!$L$6:$L$92)),0),IF(YEAR(BL$3)=YEAR(Headcount!$O$4),IF((BL$5=12),(SUMPRODUCT(--(Headcount!$F$6:$F$92="Sales"),--(Headcount!$H$6:$H$92&gt;=Sales!BL$3),Headcount!$O$6:$O$92,Headcount!$L$6:$L$92)),0),IF(YEAR(BL$3)=YEAR(Headcount!$P$4),IF((BL$5=12),(SUMPRODUCT(--(Headcount!$F$6:$F$92="Sales"),--(Headcount!$H$6:$H$92&gt;=Sales!BL$3),Headcount!$P$6:$P$92,Headcount!$L$6:$L$92)),0),IF(YEAR(BL$3)=YEAR(Headcount!$Q$4),IF((BL$5=12),(SUMPRODUCT(--(Headcount!$F$6:$F$92="Sales"),--(Headcount!$H$6:$H$92&gt;=Sales!BL$3),Headcount!$Q$6:$Q$92,Headcount!$L$6:$L$92)),0),IF(YEAR(BL$3)=YEAR(Headcount!$R$4),IF((BL$5=12),(SUMPRODUCT(--(Headcount!$F$6:$F$92="Sales"),--(Headcount!$H$6:$H$92&gt;=Sales!BL$3),Headcount!$R$6:$R$92,Headcount!$L$6:$L$92)),0),"New Year"))))),'Dept. Cost Actuals'!BP142)</f>
        <v>0</v>
      </c>
      <c r="BM16" s="684">
        <f>IF(BM$4="forecast",IF(YEAR(BM$3)=YEAR(Headcount!$N$4),IF((BM$5=12),(SUMPRODUCT(--(Headcount!$F$6:$F$92="Sales"),--(Headcount!$H$6:$H$92&gt;=Sales!BM$3),Headcount!$N$6:$N$92,Headcount!$L$6:$L$92)),0),IF(YEAR(BM$3)=YEAR(Headcount!$O$4),IF((BM$5=12),(SUMPRODUCT(--(Headcount!$F$6:$F$92="Sales"),--(Headcount!$H$6:$H$92&gt;=Sales!BM$3),Headcount!$O$6:$O$92,Headcount!$L$6:$L$92)),0),IF(YEAR(BM$3)=YEAR(Headcount!$P$4),IF((BM$5=12),(SUMPRODUCT(--(Headcount!$F$6:$F$92="Sales"),--(Headcount!$H$6:$H$92&gt;=Sales!BM$3),Headcount!$P$6:$P$92,Headcount!$L$6:$L$92)),0),IF(YEAR(BM$3)=YEAR(Headcount!$Q$4),IF((BM$5=12),(SUMPRODUCT(--(Headcount!$F$6:$F$92="Sales"),--(Headcount!$H$6:$H$92&gt;=Sales!BM$3),Headcount!$Q$6:$Q$92,Headcount!$L$6:$L$92)),0),IF(YEAR(BM$3)=YEAR(Headcount!$R$4),IF((BM$5=12),(SUMPRODUCT(--(Headcount!$F$6:$F$92="Sales"),--(Headcount!$H$6:$H$92&gt;=Sales!BM$3),Headcount!$R$6:$R$92,Headcount!$L$6:$L$92)),0),"New Year"))))),'Dept. Cost Actuals'!BQ142)</f>
        <v>0</v>
      </c>
      <c r="BN16" s="684">
        <f>IF(BN$4="forecast",IF(YEAR(BN$3)=YEAR(Headcount!$N$4),IF((BN$5=12),(SUMPRODUCT(--(Headcount!$F$6:$F$92="Sales"),--(Headcount!$H$6:$H$92&gt;=Sales!BN$3),Headcount!$N$6:$N$92,Headcount!$L$6:$L$92)),0),IF(YEAR(BN$3)=YEAR(Headcount!$O$4),IF((BN$5=12),(SUMPRODUCT(--(Headcount!$F$6:$F$92="Sales"),--(Headcount!$H$6:$H$92&gt;=Sales!BN$3),Headcount!$O$6:$O$92,Headcount!$L$6:$L$92)),0),IF(YEAR(BN$3)=YEAR(Headcount!$P$4),IF((BN$5=12),(SUMPRODUCT(--(Headcount!$F$6:$F$92="Sales"),--(Headcount!$H$6:$H$92&gt;=Sales!BN$3),Headcount!$P$6:$P$92,Headcount!$L$6:$L$92)),0),IF(YEAR(BN$3)=YEAR(Headcount!$Q$4),IF((BN$5=12),(SUMPRODUCT(--(Headcount!$F$6:$F$92="Sales"),--(Headcount!$H$6:$H$92&gt;=Sales!BN$3),Headcount!$Q$6:$Q$92,Headcount!$L$6:$L$92)),0),IF(YEAR(BN$3)=YEAR(Headcount!$R$4),IF((BN$5=12),(SUMPRODUCT(--(Headcount!$F$6:$F$92="Sales"),--(Headcount!$H$6:$H$92&gt;=Sales!BN$3),Headcount!$R$6:$R$92,Headcount!$L$6:$L$92)),0),"New Year"))))),'Dept. Cost Actuals'!BR142)</f>
        <v>0</v>
      </c>
      <c r="BO16" s="684">
        <f>IF(BO$4="forecast",IF(YEAR(BO$3)=YEAR(Headcount!$N$4),IF((BO$5=12),(SUMPRODUCT(--(Headcount!$F$6:$F$92="Sales"),--(Headcount!$H$6:$H$92&gt;=Sales!BO$3),Headcount!$N$6:$N$92,Headcount!$L$6:$L$92)),0),IF(YEAR(BO$3)=YEAR(Headcount!$O$4),IF((BO$5=12),(SUMPRODUCT(--(Headcount!$F$6:$F$92="Sales"),--(Headcount!$H$6:$H$92&gt;=Sales!BO$3),Headcount!$O$6:$O$92,Headcount!$L$6:$L$92)),0),IF(YEAR(BO$3)=YEAR(Headcount!$P$4),IF((BO$5=12),(SUMPRODUCT(--(Headcount!$F$6:$F$92="Sales"),--(Headcount!$H$6:$H$92&gt;=Sales!BO$3),Headcount!$P$6:$P$92,Headcount!$L$6:$L$92)),0),IF(YEAR(BO$3)=YEAR(Headcount!$Q$4),IF((BO$5=12),(SUMPRODUCT(--(Headcount!$F$6:$F$92="Sales"),--(Headcount!$H$6:$H$92&gt;=Sales!BO$3),Headcount!$Q$6:$Q$92,Headcount!$L$6:$L$92)),0),IF(YEAR(BO$3)=YEAR(Headcount!$R$4),IF((BO$5=12),(SUMPRODUCT(--(Headcount!$F$6:$F$92="Sales"),--(Headcount!$H$6:$H$92&gt;=Sales!BO$3),Headcount!$R$6:$R$92,Headcount!$L$6:$L$92)),0),"New Year"))))),'Dept. Cost Actuals'!BS142)</f>
        <v>0</v>
      </c>
      <c r="BP16" s="684">
        <f>IF(BP$4="forecast",IF(YEAR(BP$3)=YEAR(Headcount!$N$4),IF((BP$5=12),(SUMPRODUCT(--(Headcount!$F$6:$F$92="Sales"),--(Headcount!$H$6:$H$92&gt;=Sales!BP$3),Headcount!$N$6:$N$92,Headcount!$L$6:$L$92)),0),IF(YEAR(BP$3)=YEAR(Headcount!$O$4),IF((BP$5=12),(SUMPRODUCT(--(Headcount!$F$6:$F$92="Sales"),--(Headcount!$H$6:$H$92&gt;=Sales!BP$3),Headcount!$O$6:$O$92,Headcount!$L$6:$L$92)),0),IF(YEAR(BP$3)=YEAR(Headcount!$P$4),IF((BP$5=12),(SUMPRODUCT(--(Headcount!$F$6:$F$92="Sales"),--(Headcount!$H$6:$H$92&gt;=Sales!BP$3),Headcount!$P$6:$P$92,Headcount!$L$6:$L$92)),0),IF(YEAR(BP$3)=YEAR(Headcount!$Q$4),IF((BP$5=12),(SUMPRODUCT(--(Headcount!$F$6:$F$92="Sales"),--(Headcount!$H$6:$H$92&gt;=Sales!BP$3),Headcount!$Q$6:$Q$92,Headcount!$L$6:$L$92)),0),IF(YEAR(BP$3)=YEAR(Headcount!$R$4),IF((BP$5=12),(SUMPRODUCT(--(Headcount!$F$6:$F$92="Sales"),--(Headcount!$H$6:$H$92&gt;=Sales!BP$3),Headcount!$R$6:$R$92,Headcount!$L$6:$L$92)),0),"New Year"))))),'Dept. Cost Actuals'!BT142)</f>
        <v>0</v>
      </c>
      <c r="BQ16" s="684">
        <f>IF(BQ$4="forecast",IF(YEAR(BQ$3)=YEAR(Headcount!$N$4),IF((BQ$5=12),(SUMPRODUCT(--(Headcount!$F$6:$F$92="Sales"),--(Headcount!$H$6:$H$92&gt;=Sales!BQ$3),Headcount!$N$6:$N$92,Headcount!$L$6:$L$92)),0),IF(YEAR(BQ$3)=YEAR(Headcount!$O$4),IF((BQ$5=12),(SUMPRODUCT(--(Headcount!$F$6:$F$92="Sales"),--(Headcount!$H$6:$H$92&gt;=Sales!BQ$3),Headcount!$O$6:$O$92,Headcount!$L$6:$L$92)),0),IF(YEAR(BQ$3)=YEAR(Headcount!$P$4),IF((BQ$5=12),(SUMPRODUCT(--(Headcount!$F$6:$F$92="Sales"),--(Headcount!$H$6:$H$92&gt;=Sales!BQ$3),Headcount!$P$6:$P$92,Headcount!$L$6:$L$92)),0),IF(YEAR(BQ$3)=YEAR(Headcount!$Q$4),IF((BQ$5=12),(SUMPRODUCT(--(Headcount!$F$6:$F$92="Sales"),--(Headcount!$H$6:$H$92&gt;=Sales!BQ$3),Headcount!$Q$6:$Q$92,Headcount!$L$6:$L$92)),0),IF(YEAR(BQ$3)=YEAR(Headcount!$R$4),IF((BQ$5=12),(SUMPRODUCT(--(Headcount!$F$6:$F$92="Sales"),--(Headcount!$H$6:$H$92&gt;=Sales!BQ$3),Headcount!$R$6:$R$92,Headcount!$L$6:$L$92)),0),"New Year"))))),'Dept. Cost Actuals'!BU142)</f>
        <v>0</v>
      </c>
      <c r="BR16" s="684">
        <f>IF(BR$4="forecast",IF(YEAR(BR$3)=YEAR(Headcount!$N$4),IF((BR$5=12),(SUMPRODUCT(--(Headcount!$F$6:$F$92="Sales"),--(Headcount!$H$6:$H$92&gt;=Sales!BR$3),Headcount!$N$6:$N$92,Headcount!$L$6:$L$92)),0),IF(YEAR(BR$3)=YEAR(Headcount!$O$4),IF((BR$5=12),(SUMPRODUCT(--(Headcount!$F$6:$F$92="Sales"),--(Headcount!$H$6:$H$92&gt;=Sales!BR$3),Headcount!$O$6:$O$92,Headcount!$L$6:$L$92)),0),IF(YEAR(BR$3)=YEAR(Headcount!$P$4),IF((BR$5=12),(SUMPRODUCT(--(Headcount!$F$6:$F$92="Sales"),--(Headcount!$H$6:$H$92&gt;=Sales!BR$3),Headcount!$P$6:$P$92,Headcount!$L$6:$L$92)),0),IF(YEAR(BR$3)=YEAR(Headcount!$Q$4),IF((BR$5=12),(SUMPRODUCT(--(Headcount!$F$6:$F$92="Sales"),--(Headcount!$H$6:$H$92&gt;=Sales!BR$3),Headcount!$Q$6:$Q$92,Headcount!$L$6:$L$92)),0),IF(YEAR(BR$3)=YEAR(Headcount!$R$4),IF((BR$5=12),(SUMPRODUCT(--(Headcount!$F$6:$F$92="Sales"),--(Headcount!$H$6:$H$92&gt;=Sales!BR$3),Headcount!$R$6:$R$92,Headcount!$L$6:$L$92)),0),"New Year"))))),'Dept. Cost Actuals'!BV142)</f>
        <v>0</v>
      </c>
      <c r="BS16" s="684">
        <f>IF(BS$4="forecast",IF(YEAR(BS$3)=YEAR(Headcount!$N$4),IF((BS$5=12),(SUMPRODUCT(--(Headcount!$F$6:$F$92="Sales"),--(Headcount!$H$6:$H$92&gt;=Sales!BS$3),Headcount!$N$6:$N$92,Headcount!$L$6:$L$92)),0),IF(YEAR(BS$3)=YEAR(Headcount!$O$4),IF((BS$5=12),(SUMPRODUCT(--(Headcount!$F$6:$F$92="Sales"),--(Headcount!$H$6:$H$92&gt;=Sales!BS$3),Headcount!$O$6:$O$92,Headcount!$L$6:$L$92)),0),IF(YEAR(BS$3)=YEAR(Headcount!$P$4),IF((BS$5=12),(SUMPRODUCT(--(Headcount!$F$6:$F$92="Sales"),--(Headcount!$H$6:$H$92&gt;=Sales!BS$3),Headcount!$P$6:$P$92,Headcount!$L$6:$L$92)),0),IF(YEAR(BS$3)=YEAR(Headcount!$Q$4),IF((BS$5=12),(SUMPRODUCT(--(Headcount!$F$6:$F$92="Sales"),--(Headcount!$H$6:$H$92&gt;=Sales!BS$3),Headcount!$Q$6:$Q$92,Headcount!$L$6:$L$92)),0),IF(YEAR(BS$3)=YEAR(Headcount!$R$4),IF((BS$5=12),(SUMPRODUCT(--(Headcount!$F$6:$F$92="Sales"),--(Headcount!$H$6:$H$92&gt;=Sales!BS$3),Headcount!$R$6:$R$92,Headcount!$L$6:$L$92)),0),"New Year"))))),'Dept. Cost Actuals'!BW142)</f>
        <v>0</v>
      </c>
      <c r="BT16" s="684">
        <f>IF(BT$4="forecast",IF(YEAR(BT$3)=YEAR(Headcount!$N$4),IF((BT$5=12),(SUMPRODUCT(--(Headcount!$F$6:$F$92="Sales"),--(Headcount!$H$6:$H$92&gt;=Sales!BT$3),Headcount!$N$6:$N$92,Headcount!$L$6:$L$92)),0),IF(YEAR(BT$3)=YEAR(Headcount!$O$4),IF((BT$5=12),(SUMPRODUCT(--(Headcount!$F$6:$F$92="Sales"),--(Headcount!$H$6:$H$92&gt;=Sales!BT$3),Headcount!$O$6:$O$92,Headcount!$L$6:$L$92)),0),IF(YEAR(BT$3)=YEAR(Headcount!$P$4),IF((BT$5=12),(SUMPRODUCT(--(Headcount!$F$6:$F$92="Sales"),--(Headcount!$H$6:$H$92&gt;=Sales!BT$3),Headcount!$P$6:$P$92,Headcount!$L$6:$L$92)),0),IF(YEAR(BT$3)=YEAR(Headcount!$Q$4),IF((BT$5=12),(SUMPRODUCT(--(Headcount!$F$6:$F$92="Sales"),--(Headcount!$H$6:$H$92&gt;=Sales!BT$3),Headcount!$Q$6:$Q$92,Headcount!$L$6:$L$92)),0),IF(YEAR(BT$3)=YEAR(Headcount!$R$4),IF((BT$5=12),(SUMPRODUCT(--(Headcount!$F$6:$F$92="Sales"),--(Headcount!$H$6:$H$92&gt;=Sales!BT$3),Headcount!$R$6:$R$92,Headcount!$L$6:$L$92)),0),"New Year"))))),'Dept. Cost Actuals'!BX142)</f>
        <v>0</v>
      </c>
      <c r="BU16" s="684">
        <f>IF(BU$4="forecast",IF(YEAR(BU$3)=YEAR(Headcount!$N$4),IF((BU$5=12),(SUMPRODUCT(--(Headcount!$F$6:$F$92="Sales"),--(Headcount!$H$6:$H$92&gt;=Sales!BU$3),Headcount!$N$6:$N$92,Headcount!$L$6:$L$92)),0),IF(YEAR(BU$3)=YEAR(Headcount!$O$4),IF((BU$5=12),(SUMPRODUCT(--(Headcount!$F$6:$F$92="Sales"),--(Headcount!$H$6:$H$92&gt;=Sales!BU$3),Headcount!$O$6:$O$92,Headcount!$L$6:$L$92)),0),IF(YEAR(BU$3)=YEAR(Headcount!$P$4),IF((BU$5=12),(SUMPRODUCT(--(Headcount!$F$6:$F$92="Sales"),--(Headcount!$H$6:$H$92&gt;=Sales!BU$3),Headcount!$P$6:$P$92,Headcount!$L$6:$L$92)),0),IF(YEAR(BU$3)=YEAR(Headcount!$Q$4),IF((BU$5=12),(SUMPRODUCT(--(Headcount!$F$6:$F$92="Sales"),--(Headcount!$H$6:$H$92&gt;=Sales!BU$3),Headcount!$Q$6:$Q$92,Headcount!$L$6:$L$92)),0),IF(YEAR(BU$3)=YEAR(Headcount!$R$4),IF((BU$5=12),(SUMPRODUCT(--(Headcount!$F$6:$F$92="Sales"),--(Headcount!$H$6:$H$92&gt;=Sales!BU$3),Headcount!$R$6:$R$92,Headcount!$L$6:$L$92)),0),"New Year"))))),'Dept. Cost Actuals'!BY142)</f>
        <v>0</v>
      </c>
      <c r="BV16" s="808">
        <f>IF(BV$4="forecast",IF(YEAR(BV$3)=YEAR(Headcount!$N$4),IF((BV$5=12),(SUMPRODUCT(--(Headcount!$F$6:$F$92="Sales"),--(Headcount!$H$6:$H$92&gt;=Sales!BV$3),Headcount!$N$6:$N$92,Headcount!$L$6:$L$92)),0),IF(YEAR(BV$3)=YEAR(Headcount!$O$4),IF((BV$5=12),(SUMPRODUCT(--(Headcount!$F$6:$F$92="Sales"),--(Headcount!$H$6:$H$92&gt;=Sales!BV$3),Headcount!$O$6:$O$92,Headcount!$L$6:$L$92)),0),IF(YEAR(BV$3)=YEAR(Headcount!$P$4),IF((BV$5=12),(SUMPRODUCT(--(Headcount!$F$6:$F$92="Sales"),--(Headcount!$H$6:$H$92&gt;=Sales!BV$3),Headcount!$P$6:$P$92,Headcount!$L$6:$L$92)),0),IF(YEAR(BV$3)=YEAR(Headcount!$Q$4),IF((BV$5=12),(SUMPRODUCT(--(Headcount!$F$6:$F$92="Sales"),--(Headcount!$H$6:$H$92&gt;=Sales!BV$3),Headcount!$Q$6:$Q$92,Headcount!$L$6:$L$92)),0),IF(YEAR(BV$3)=YEAR(Headcount!$R$4),IF((BV$5=12),(SUMPRODUCT(--(Headcount!$F$6:$F$92="Sales"),--(Headcount!$H$6:$H$92&gt;=Sales!BV$3),Headcount!$R$6:$R$92,Headcount!$L$6:$L$92)),0),"New Year"))))),'Dept. Cost Actuals'!BZ142)</f>
        <v>236385.80736550005</v>
      </c>
    </row>
    <row r="17" spans="2:74" s="641" customFormat="1" ht="13" x14ac:dyDescent="0.3">
      <c r="B17" s="809" t="s">
        <v>939</v>
      </c>
      <c r="C17" s="995">
        <f t="shared" ref="C17:N17" si="5">SUM(C15:C16)</f>
        <v>240</v>
      </c>
      <c r="D17" s="995">
        <f t="shared" si="5"/>
        <v>240</v>
      </c>
      <c r="E17" s="995">
        <f t="shared" si="5"/>
        <v>240</v>
      </c>
      <c r="F17" s="995">
        <f t="shared" si="5"/>
        <v>240</v>
      </c>
      <c r="G17" s="995">
        <f t="shared" si="5"/>
        <v>4827.37</v>
      </c>
      <c r="H17" s="995">
        <f t="shared" si="5"/>
        <v>275</v>
      </c>
      <c r="I17" s="995">
        <f t="shared" si="5"/>
        <v>222.5</v>
      </c>
      <c r="J17" s="995">
        <f t="shared" si="5"/>
        <v>10683.18</v>
      </c>
      <c r="K17" s="995">
        <f t="shared" si="5"/>
        <v>240</v>
      </c>
      <c r="L17" s="995">
        <f t="shared" si="5"/>
        <v>240</v>
      </c>
      <c r="M17" s="995">
        <f t="shared" si="5"/>
        <v>4792.87</v>
      </c>
      <c r="N17" s="995">
        <f t="shared" si="5"/>
        <v>22249.41</v>
      </c>
      <c r="O17" s="995">
        <f t="shared" ref="O17:BV17" si="6">SUM(O15:O16)</f>
        <v>16338.01</v>
      </c>
      <c r="P17" s="995">
        <f t="shared" si="6"/>
        <v>310</v>
      </c>
      <c r="Q17" s="995">
        <f t="shared" si="6"/>
        <v>2963.9</v>
      </c>
      <c r="R17" s="995">
        <f t="shared" si="6"/>
        <v>12928.68</v>
      </c>
      <c r="S17" s="995">
        <f t="shared" si="6"/>
        <v>210</v>
      </c>
      <c r="T17" s="995">
        <f t="shared" si="6"/>
        <v>410</v>
      </c>
      <c r="U17" s="995">
        <f t="shared" si="6"/>
        <v>17270.03</v>
      </c>
      <c r="V17" s="995">
        <f t="shared" si="6"/>
        <v>-1613.68</v>
      </c>
      <c r="W17" s="995">
        <f t="shared" si="6"/>
        <v>2319.4699999999998</v>
      </c>
      <c r="X17" s="995">
        <f t="shared" si="6"/>
        <v>21234.01</v>
      </c>
      <c r="Y17" s="995">
        <f t="shared" si="6"/>
        <v>682.02</v>
      </c>
      <c r="Z17" s="995">
        <f t="shared" si="6"/>
        <v>87880.639999999999</v>
      </c>
      <c r="AA17" s="995">
        <f t="shared" si="6"/>
        <v>0</v>
      </c>
      <c r="AB17" s="995">
        <f t="shared" si="6"/>
        <v>0</v>
      </c>
      <c r="AC17" s="995">
        <f t="shared" si="6"/>
        <v>0</v>
      </c>
      <c r="AD17" s="995">
        <f t="shared" si="6"/>
        <v>0</v>
      </c>
      <c r="AE17" s="995">
        <f t="shared" si="6"/>
        <v>0</v>
      </c>
      <c r="AF17" s="995">
        <f t="shared" si="6"/>
        <v>0</v>
      </c>
      <c r="AG17" s="995">
        <f t="shared" si="6"/>
        <v>0</v>
      </c>
      <c r="AH17" s="995">
        <f t="shared" si="6"/>
        <v>0</v>
      </c>
      <c r="AI17" s="995">
        <f t="shared" si="6"/>
        <v>0</v>
      </c>
      <c r="AJ17" s="995">
        <f t="shared" si="6"/>
        <v>0</v>
      </c>
      <c r="AK17" s="995">
        <f t="shared" si="6"/>
        <v>0</v>
      </c>
      <c r="AL17" s="995">
        <f t="shared" si="6"/>
        <v>241326.5</v>
      </c>
      <c r="AM17" s="995">
        <f t="shared" si="6"/>
        <v>0</v>
      </c>
      <c r="AN17" s="995">
        <f t="shared" si="6"/>
        <v>0</v>
      </c>
      <c r="AO17" s="995">
        <f t="shared" si="6"/>
        <v>0</v>
      </c>
      <c r="AP17" s="995">
        <f t="shared" si="6"/>
        <v>0</v>
      </c>
      <c r="AQ17" s="995">
        <f t="shared" si="6"/>
        <v>0</v>
      </c>
      <c r="AR17" s="995">
        <f t="shared" si="6"/>
        <v>0</v>
      </c>
      <c r="AS17" s="995">
        <f t="shared" si="6"/>
        <v>0</v>
      </c>
      <c r="AT17" s="995">
        <f t="shared" si="6"/>
        <v>0</v>
      </c>
      <c r="AU17" s="995">
        <f t="shared" si="6"/>
        <v>0</v>
      </c>
      <c r="AV17" s="995">
        <f t="shared" si="6"/>
        <v>0</v>
      </c>
      <c r="AW17" s="995">
        <f t="shared" si="6"/>
        <v>0</v>
      </c>
      <c r="AX17" s="995">
        <f t="shared" si="6"/>
        <v>248566.29500000001</v>
      </c>
      <c r="AY17" s="995">
        <f t="shared" si="6"/>
        <v>0</v>
      </c>
      <c r="AZ17" s="995">
        <f t="shared" si="6"/>
        <v>0</v>
      </c>
      <c r="BA17" s="995">
        <f t="shared" si="6"/>
        <v>0</v>
      </c>
      <c r="BB17" s="995">
        <f t="shared" si="6"/>
        <v>0</v>
      </c>
      <c r="BC17" s="995">
        <f t="shared" si="6"/>
        <v>0</v>
      </c>
      <c r="BD17" s="995">
        <f t="shared" si="6"/>
        <v>0</v>
      </c>
      <c r="BE17" s="995">
        <f t="shared" si="6"/>
        <v>0</v>
      </c>
      <c r="BF17" s="995">
        <f t="shared" si="6"/>
        <v>0</v>
      </c>
      <c r="BG17" s="995">
        <f t="shared" si="6"/>
        <v>0</v>
      </c>
      <c r="BH17" s="995">
        <f t="shared" si="6"/>
        <v>0</v>
      </c>
      <c r="BI17" s="995">
        <f t="shared" si="6"/>
        <v>0</v>
      </c>
      <c r="BJ17" s="995">
        <f t="shared" si="6"/>
        <v>256023.28384999992</v>
      </c>
      <c r="BK17" s="995">
        <f t="shared" si="6"/>
        <v>0</v>
      </c>
      <c r="BL17" s="995">
        <f t="shared" si="6"/>
        <v>0</v>
      </c>
      <c r="BM17" s="995">
        <f t="shared" si="6"/>
        <v>0</v>
      </c>
      <c r="BN17" s="995">
        <f t="shared" si="6"/>
        <v>0</v>
      </c>
      <c r="BO17" s="995">
        <f t="shared" si="6"/>
        <v>0</v>
      </c>
      <c r="BP17" s="995">
        <f t="shared" si="6"/>
        <v>0</v>
      </c>
      <c r="BQ17" s="995">
        <f t="shared" si="6"/>
        <v>0</v>
      </c>
      <c r="BR17" s="995">
        <f t="shared" si="6"/>
        <v>0</v>
      </c>
      <c r="BS17" s="995">
        <f t="shared" si="6"/>
        <v>0</v>
      </c>
      <c r="BT17" s="995">
        <f t="shared" si="6"/>
        <v>0</v>
      </c>
      <c r="BU17" s="995">
        <f t="shared" si="6"/>
        <v>0</v>
      </c>
      <c r="BV17" s="996">
        <f t="shared" si="6"/>
        <v>263703.98236550007</v>
      </c>
    </row>
    <row r="18" spans="2:74" s="641" customFormat="1" ht="13" x14ac:dyDescent="0.3">
      <c r="B18" s="811" t="s">
        <v>940</v>
      </c>
      <c r="C18" s="1013">
        <f>IF(C$4="forecast",C$7*'Direct People Department Costs'!$H$7,'Dept. Cost Actuals'!G158)</f>
        <v>583.08911240402745</v>
      </c>
      <c r="D18" s="1013">
        <f>IF(D$4="forecast",D$7*'Direct People Department Costs'!$H$7,'Dept. Cost Actuals'!H158)</f>
        <v>361.09496888920626</v>
      </c>
      <c r="E18" s="1013">
        <f>IF(E$4="forecast",E$7*'Direct People Department Costs'!$H$7,'Dept. Cost Actuals'!I158)</f>
        <v>475.67596733913291</v>
      </c>
      <c r="F18" s="1013">
        <f>IF(F$4="forecast",F$7*'Direct People Department Costs'!$H$7,'Dept. Cost Actuals'!J158)</f>
        <v>218.28432268638224</v>
      </c>
      <c r="G18" s="1013">
        <f>IF(G$4="forecast",G$7*'Direct People Department Costs'!$H$7,'Dept. Cost Actuals'!K158)</f>
        <v>710.878506328507</v>
      </c>
      <c r="H18" s="1013">
        <f>IF(H$4="forecast",H$7*'Direct People Department Costs'!$H$7,'Dept. Cost Actuals'!L158)</f>
        <v>784.92668265095392</v>
      </c>
      <c r="I18" s="1013">
        <f>IF(I$4="forecast",I$7*'Direct People Department Costs'!$H$7,'Dept. Cost Actuals'!M158)</f>
        <v>515.88605290083558</v>
      </c>
      <c r="J18" s="1013">
        <f>IF(J$4="forecast",J$7*'Direct People Department Costs'!$H$7,'Dept. Cost Actuals'!N158)</f>
        <v>815.06891379593048</v>
      </c>
      <c r="K18" s="1013">
        <f>IF(K$4="forecast",K$7*'Direct People Department Costs'!$H$7,'Dept. Cost Actuals'!O158)</f>
        <v>1046.826793758353</v>
      </c>
      <c r="L18" s="1013">
        <f>IF(L$4="forecast",L$7*'Direct People Department Costs'!$H$7,'Dept. Cost Actuals'!P158)</f>
        <v>473.90424780788931</v>
      </c>
      <c r="M18" s="1013">
        <f>IF(M$4="forecast",M$7*'Direct People Department Costs'!$H$7,'Dept. Cost Actuals'!Q158)</f>
        <v>725.2887367522369</v>
      </c>
      <c r="N18" s="1013">
        <f>IF(N$4="forecast",N$7*'Direct People Department Costs'!$H$7,'Dept. Cost Actuals'!R158)</f>
        <v>4536.4033619463344</v>
      </c>
      <c r="O18" s="1013">
        <f>IF(O$4="forecast",O$7*'Direct People Department Costs'!$H$7,'Dept. Cost Actuals'!S158)</f>
        <v>8232.8799999999992</v>
      </c>
      <c r="P18" s="1013">
        <f>IF(P$4="forecast",P$7*'Direct People Department Costs'!$H$7,'Dept. Cost Actuals'!T158)</f>
        <v>7559.81</v>
      </c>
      <c r="Q18" s="1013">
        <f>IF(Q$4="forecast",Q$7*'Direct People Department Costs'!$H$7,'Dept. Cost Actuals'!U158)</f>
        <v>7833.84</v>
      </c>
      <c r="R18" s="1013">
        <f>IF(R$4="forecast",R$7*'Direct People Department Costs'!$H$7,'Dept. Cost Actuals'!V158)</f>
        <v>7998.63</v>
      </c>
      <c r="S18" s="1013">
        <f>IF(S$4="forecast",S$7*'Direct People Department Costs'!$H$7,'Dept. Cost Actuals'!W158)</f>
        <v>7148.38</v>
      </c>
      <c r="T18" s="1013">
        <f>IF(T$4="forecast",T$7*'Direct People Department Costs'!$H$7,'Dept. Cost Actuals'!X158)</f>
        <v>7322.98</v>
      </c>
      <c r="U18" s="1013">
        <f>IF(U$4="forecast",U$7*'Direct People Department Costs'!$H$7,'Dept. Cost Actuals'!Y158)</f>
        <v>7824.35</v>
      </c>
      <c r="V18" s="1013">
        <f>IF(V$4="forecast",V$7*'Direct People Department Costs'!$H$7,'Dept. Cost Actuals'!Z158)</f>
        <v>6813.22</v>
      </c>
      <c r="W18" s="1013">
        <f>IF(W$4="forecast",W$7*'Direct People Department Costs'!$H$7,'Dept. Cost Actuals'!AA158)</f>
        <v>7826.58</v>
      </c>
      <c r="X18" s="1013">
        <f>IF(X$4="forecast",X$7*'Direct People Department Costs'!$H$7,'Dept. Cost Actuals'!AB158)</f>
        <v>8605.8799999999992</v>
      </c>
      <c r="Y18" s="1013">
        <f>IF(Y$4="forecast",Y$7*'Direct People Department Costs'!$H$7,'Dept. Cost Actuals'!AC158)</f>
        <v>0</v>
      </c>
      <c r="Z18" s="1013">
        <f>IF(Z$4="forecast",Z$7*'Direct People Department Costs'!$H$7,'Dept. Cost Actuals'!AD158)</f>
        <v>0</v>
      </c>
      <c r="AA18" s="1013">
        <f>IF(AA$4="forecast",(((SUM($O$18:$Z$18)/12)*1.03)+((400/12)*AA$7)),'Dept. Cost Actuals'!AE158)</f>
        <v>7290.1288750000003</v>
      </c>
      <c r="AB18" s="1013">
        <f>IF(AB$4="forecast",(((SUM($O$18:$Z$18)/12)*1.03)+((400/12)*AB$7)),'Dept. Cost Actuals'!AF158)</f>
        <v>7323.4622083333334</v>
      </c>
      <c r="AC18" s="1013">
        <f>IF(AC$4="forecast",(((SUM($O$18:$Z$18)/12)*1.03)+((400/12)*AC$7)),'Dept. Cost Actuals'!AG158)</f>
        <v>7323.4622083333334</v>
      </c>
      <c r="AD18" s="1013">
        <f>IF(AD$4="forecast",(((SUM($O$18:$Z$18)/12)*1.03)+((400/12)*AD$7)),'Dept. Cost Actuals'!AH158)</f>
        <v>7390.1288750000003</v>
      </c>
      <c r="AE18" s="1013">
        <f>IF(AE$4="forecast",(((SUM($O$18:$Z$18)/12)*1.03)+((400/12)*AE$7)),'Dept. Cost Actuals'!AI158)</f>
        <v>7390.1288750000003</v>
      </c>
      <c r="AF18" s="1013">
        <f>IF(AF$4="forecast",(((SUM($O$18:$Z$18)/12)*1.03)+((400/12)*AF$7)),'Dept. Cost Actuals'!AJ158)</f>
        <v>7390.1288750000003</v>
      </c>
      <c r="AG18" s="1013">
        <f>IF(AG$4="forecast",(((SUM($O$18:$Z$18)/12)*1.03)+((400/12)*AG$7)),'Dept. Cost Actuals'!AK158)</f>
        <v>7456.7955416666664</v>
      </c>
      <c r="AH18" s="1013">
        <f>IF(AH$4="forecast",(((SUM($O$18:$Z$18)/12)*1.03)+((400/12)*AH$7)),'Dept. Cost Actuals'!AL158)</f>
        <v>7456.7955416666664</v>
      </c>
      <c r="AI18" s="1013">
        <f>IF(AI$4="forecast",(((SUM($O$18:$Z$18)/12)*1.03)+((400/12)*AI$7)),'Dept. Cost Actuals'!AM158)</f>
        <v>7456.7955416666664</v>
      </c>
      <c r="AJ18" s="1013">
        <f>IF(AJ$4="forecast",(((SUM($O$18:$Z$18)/12)*1.03)+((400/12)*AJ$7)),'Dept. Cost Actuals'!AN158)</f>
        <v>7456.7955416666664</v>
      </c>
      <c r="AK18" s="1013">
        <f>IF(AK$4="forecast",(((SUM($O$18:$Z$18)/12)*1.03)+((400/12)*AK$7)),'Dept. Cost Actuals'!AO158)</f>
        <v>7456.7955416666664</v>
      </c>
      <c r="AL18" s="1013">
        <f>IF(AL$4="forecast",(((SUM($O$18:$Z$18)/12)*1.03)+((400/12)*AL$7)),'Dept. Cost Actuals'!AP158)</f>
        <v>7456.7955416666664</v>
      </c>
      <c r="AM18" s="1013">
        <f>IF(AM$4="forecast",(((SUM($AA$18:$AL$18)/12)*1.03)+((400/12)*AM$7)),'Dept. Cost Actuals'!AQ158)</f>
        <v>8459.4716301388889</v>
      </c>
      <c r="AN18" s="1013">
        <f>IF(AN$4="forecast",(((SUM($AA$18:$AL$18)/12)*1.03)+((400/12)*AN$7)),'Dept. Cost Actuals'!AR158)</f>
        <v>8459.4716301388889</v>
      </c>
      <c r="AO18" s="1013">
        <f>IF(AO$4="forecast",(((SUM($AA$18:$AL$18)/12)*1.03)+((400/12)*AO$7)),'Dept. Cost Actuals'!AS158)</f>
        <v>8459.4716301388889</v>
      </c>
      <c r="AP18" s="1013">
        <f>IF(AP$4="forecast",(((SUM($AA$18:$AL$18)/12)*1.03)+((400/12)*AP$7)),'Dept. Cost Actuals'!AT158)</f>
        <v>8459.4716301388889</v>
      </c>
      <c r="AQ18" s="1013">
        <f>IF(AQ$4="forecast",(((SUM($AA$18:$AL$18)/12)*1.03)+((400/12)*AQ$7)),'Dept. Cost Actuals'!AU158)</f>
        <v>8459.4716301388889</v>
      </c>
      <c r="AR18" s="1013">
        <f>IF(AR$4="forecast",(((SUM($AA$18:$AL$18)/12)*1.03)+((400/12)*AR$7)),'Dept. Cost Actuals'!AV158)</f>
        <v>8459.4716301388889</v>
      </c>
      <c r="AS18" s="1013">
        <f>IF(AS$4="forecast",(((SUM($AA$18:$AL$18)/12)*1.03)+((400/12)*AS$7)),'Dept. Cost Actuals'!AW158)</f>
        <v>8459.4716301388889</v>
      </c>
      <c r="AT18" s="1013">
        <f>IF(AT$4="forecast",(((SUM($AA$18:$AL$18)/12)*1.03)+((400/12)*AT$7)),'Dept. Cost Actuals'!AX158)</f>
        <v>8459.4716301388889</v>
      </c>
      <c r="AU18" s="1013">
        <f>IF(AU$4="forecast",(((SUM($AA$18:$AL$18)/12)*1.03)+((400/12)*AU$7)),'Dept. Cost Actuals'!AY158)</f>
        <v>8459.4716301388889</v>
      </c>
      <c r="AV18" s="1013">
        <f>IF(AV$4="forecast",(((SUM($AA$18:$AL$18)/12)*1.03)+((400/12)*AV$7)),'Dept. Cost Actuals'!AZ158)</f>
        <v>8459.4716301388889</v>
      </c>
      <c r="AW18" s="1013">
        <f>IF(AW$4="forecast",(((SUM($AA$18:$AL$18)/12)*1.03)+((400/12)*AW$7)),'Dept. Cost Actuals'!BA158)</f>
        <v>8459.4716301388889</v>
      </c>
      <c r="AX18" s="1013">
        <f>IF(AX$4="forecast",(((SUM($AA$18:$AL$18)/12)*1.03)+((400/12)*AX$7)),'Dept. Cost Actuals'!BB158)</f>
        <v>8459.4716301388889</v>
      </c>
      <c r="AY18" s="1013">
        <f>IF(AY$4="forecast",AY$7*'Direct People Department Costs'!$H$7,'Dept. Cost Actuals'!BC158)</f>
        <v>14375</v>
      </c>
      <c r="AZ18" s="1013">
        <f>IF(AZ$4="forecast",AZ$7*'Direct People Department Costs'!$H$7,'Dept. Cost Actuals'!BD158)</f>
        <v>14375</v>
      </c>
      <c r="BA18" s="1013">
        <f>IF(BA$4="forecast",BA$7*'Direct People Department Costs'!$H$7,'Dept. Cost Actuals'!BE158)</f>
        <v>14375</v>
      </c>
      <c r="BB18" s="1013">
        <f>IF(BB$4="forecast",BB$7*'Direct People Department Costs'!$H$7,'Dept. Cost Actuals'!BF158)</f>
        <v>14375</v>
      </c>
      <c r="BC18" s="1013">
        <f>IF(BC$4="forecast",BC$7*'Direct People Department Costs'!$H$7,'Dept. Cost Actuals'!BG158)</f>
        <v>14375</v>
      </c>
      <c r="BD18" s="1013">
        <f>IF(BD$4="forecast",BD$7*'Direct People Department Costs'!$H$7,'Dept. Cost Actuals'!BH158)</f>
        <v>14375</v>
      </c>
      <c r="BE18" s="1013">
        <f>IF(BE$4="forecast",BE$7*'Direct People Department Costs'!$H$7,'Dept. Cost Actuals'!BI158)</f>
        <v>14375</v>
      </c>
      <c r="BF18" s="1013">
        <f>IF(BF$4="forecast",BF$7*'Direct People Department Costs'!$H$7,'Dept. Cost Actuals'!BJ158)</f>
        <v>14375</v>
      </c>
      <c r="BG18" s="1013">
        <f>IF(BG$4="forecast",BG$7*'Direct People Department Costs'!$H$7,'Dept. Cost Actuals'!BK158)</f>
        <v>14375</v>
      </c>
      <c r="BH18" s="1013">
        <f>IF(BH$4="forecast",BH$7*'Direct People Department Costs'!$H$7,'Dept. Cost Actuals'!BL158)</f>
        <v>14375</v>
      </c>
      <c r="BI18" s="1013">
        <f>IF(BI$4="forecast",BI$7*'Direct People Department Costs'!$H$7,'Dept. Cost Actuals'!BM158)</f>
        <v>14375</v>
      </c>
      <c r="BJ18" s="1013">
        <f>IF(BJ$4="forecast",BJ$7*'Direct People Department Costs'!$H$7,'Dept. Cost Actuals'!BN158)</f>
        <v>14375</v>
      </c>
      <c r="BK18" s="1013">
        <f>IF(BK$4="forecast",BK$7*'Direct People Department Costs'!$H$7,'Dept. Cost Actuals'!BO158)</f>
        <v>14375</v>
      </c>
      <c r="BL18" s="1013">
        <f>IF(BL$4="forecast",BL$7*'Direct People Department Costs'!$H$7,'Dept. Cost Actuals'!#REF!)</f>
        <v>14375</v>
      </c>
      <c r="BM18" s="1013">
        <f>IF(BM$4="forecast",BM$7*'Direct People Department Costs'!$H$7,'Dept. Cost Actuals'!#REF!)</f>
        <v>14375</v>
      </c>
      <c r="BN18" s="1013">
        <f>IF(BN$4="forecast",BN$7*'Direct People Department Costs'!$H$7,'Dept. Cost Actuals'!#REF!)</f>
        <v>14375</v>
      </c>
      <c r="BO18" s="1013">
        <f>IF(BO$4="forecast",BO$7*'Direct People Department Costs'!$H$7,'Dept. Cost Actuals'!#REF!)</f>
        <v>14375</v>
      </c>
      <c r="BP18" s="1013">
        <f>IF(BP$4="forecast",BP$7*'Direct People Department Costs'!$H$7,'Dept. Cost Actuals'!#REF!)</f>
        <v>14375</v>
      </c>
      <c r="BQ18" s="1013">
        <f>IF(BQ$4="forecast",BQ$7*'Direct People Department Costs'!$H$7,'Dept. Cost Actuals'!#REF!)</f>
        <v>14375</v>
      </c>
      <c r="BR18" s="1013">
        <f>IF(BR$4="forecast",BR$7*'Direct People Department Costs'!$H$7,'Dept. Cost Actuals'!#REF!)</f>
        <v>14375</v>
      </c>
      <c r="BS18" s="1013">
        <f>IF(BS$4="forecast",BS$7*'Direct People Department Costs'!$H$7,'Dept. Cost Actuals'!#REF!)</f>
        <v>14375</v>
      </c>
      <c r="BT18" s="1013">
        <f>IF(BT$4="forecast",BT$7*'Direct People Department Costs'!$H$7,'Dept. Cost Actuals'!#REF!)</f>
        <v>14375</v>
      </c>
      <c r="BU18" s="1013">
        <f>IF(BU$4="forecast",BU$7*'Direct People Department Costs'!$H$7,'Dept. Cost Actuals'!#REF!)</f>
        <v>14375</v>
      </c>
      <c r="BV18" s="1014">
        <f>IF(BV$4="forecast",BV$7*'Direct People Department Costs'!$H$7,'Dept. Cost Actuals'!#REF!)</f>
        <v>14375</v>
      </c>
    </row>
    <row r="19" spans="2:74" x14ac:dyDescent="0.35">
      <c r="B19" s="812" t="s">
        <v>941</v>
      </c>
      <c r="C19" s="684">
        <f>IF(C$4="forecast",C$8*'Direct People Department Costs'!$H$8,'Dept. Cost Actuals'!G42)</f>
        <v>0</v>
      </c>
      <c r="D19" s="684">
        <f>IF(D$4="forecast",D$8*'Direct People Department Costs'!$H$8,'Dept. Cost Actuals'!H42)</f>
        <v>0</v>
      </c>
      <c r="E19" s="684">
        <f>IF(E$4="forecast",E$8*'Direct People Department Costs'!$H$8,'Dept. Cost Actuals'!I42)</f>
        <v>0</v>
      </c>
      <c r="F19" s="684">
        <f>IF(F$4="forecast",F$8*'Direct People Department Costs'!$H$8,'Dept. Cost Actuals'!J42)</f>
        <v>0</v>
      </c>
      <c r="G19" s="684">
        <f>IF(G$4="forecast",G$8*'Direct People Department Costs'!$H$8,'Dept. Cost Actuals'!K42)</f>
        <v>0</v>
      </c>
      <c r="H19" s="684">
        <f>IF(H$4="forecast",H$8*'Direct People Department Costs'!$H$8,'Dept. Cost Actuals'!L42)</f>
        <v>0</v>
      </c>
      <c r="I19" s="684">
        <f>IF(I$4="forecast",I$8*'Direct People Department Costs'!$H$8,'Dept. Cost Actuals'!M42)</f>
        <v>0</v>
      </c>
      <c r="J19" s="684">
        <f>IF(J$4="forecast",J$8*'Direct People Department Costs'!$H$8,'Dept. Cost Actuals'!N42)</f>
        <v>0</v>
      </c>
      <c r="K19" s="684">
        <f>IF(K$4="forecast",K$8*'Direct People Department Costs'!$H$8,'Dept. Cost Actuals'!O42)</f>
        <v>0</v>
      </c>
      <c r="L19" s="684">
        <f>IF(L$4="forecast",L$8*'Direct People Department Costs'!$H$8,'Dept. Cost Actuals'!P42)</f>
        <v>0</v>
      </c>
      <c r="M19" s="684">
        <f>IF(M$4="forecast",M$8*'Direct People Department Costs'!$H$8,'Dept. Cost Actuals'!Q42)</f>
        <v>0</v>
      </c>
      <c r="N19" s="684">
        <f>IF(N$4="forecast",N$8*'Direct People Department Costs'!$H$8,'Dept. Cost Actuals'!R42)</f>
        <v>0</v>
      </c>
      <c r="O19" s="684">
        <f>IF(O$4="forecast",O$8*'Direct People Department Costs'!$H$8,'Dept. Cost Actuals'!S42)</f>
        <v>0</v>
      </c>
      <c r="P19" s="684">
        <f>IF(P$4="forecast",P$8*'Direct People Department Costs'!$H$8,'Dept. Cost Actuals'!T42)</f>
        <v>0</v>
      </c>
      <c r="Q19" s="684">
        <f>IF(Q$4="forecast",Q$8*'Direct People Department Costs'!$H$8,'Dept. Cost Actuals'!U42)</f>
        <v>446.96</v>
      </c>
      <c r="R19" s="684">
        <f>IF(R$4="forecast",R$8*'Direct People Department Costs'!$H$8,'Dept. Cost Actuals'!V42)</f>
        <v>383.23</v>
      </c>
      <c r="S19" s="684">
        <f>IF(S$4="forecast",S$8*'Direct People Department Costs'!$H$8,'Dept. Cost Actuals'!W42)</f>
        <v>0</v>
      </c>
      <c r="T19" s="684">
        <f>IF(T$4="forecast",T$8*'Direct People Department Costs'!$H$8,'Dept. Cost Actuals'!X42)</f>
        <v>549.6</v>
      </c>
      <c r="U19" s="684">
        <f>IF(U$4="forecast",U$8*'Direct People Department Costs'!$H$8,'Dept. Cost Actuals'!Y42)</f>
        <v>0</v>
      </c>
      <c r="V19" s="684">
        <f>IF(V$4="forecast",V$8*'Direct People Department Costs'!$H$8,'Dept. Cost Actuals'!Z42)</f>
        <v>225.68</v>
      </c>
      <c r="W19" s="684">
        <f>IF(W$4="forecast",W$8*'Direct People Department Costs'!$H$8,'Dept. Cost Actuals'!AA42)</f>
        <v>428.15</v>
      </c>
      <c r="X19" s="684">
        <f>IF(X$4="forecast",X$8*'Direct People Department Costs'!$H$8,'Dept. Cost Actuals'!AB42)</f>
        <v>44.99</v>
      </c>
      <c r="Y19" s="684">
        <f>IF(Y$4="forecast",Y$8*'Direct People Department Costs'!$H$8,'Dept. Cost Actuals'!AC42)</f>
        <v>334.86</v>
      </c>
      <c r="Z19" s="684">
        <f>IF(Z$4="forecast",Z$8*'Direct People Department Costs'!$H$8,'Dept. Cost Actuals'!AD42)</f>
        <v>875.88</v>
      </c>
      <c r="AA19" s="684">
        <f>IF(AA$4="forecast",AA$8*'Direct People Department Costs'!$H$8,'Dept. Cost Actuals'!AE42)</f>
        <v>0</v>
      </c>
      <c r="AB19" s="684">
        <f>IF(AB$4="forecast",AB$8*'Direct People Department Costs'!$H$8,'Dept. Cost Actuals'!AF42)</f>
        <v>3600</v>
      </c>
      <c r="AC19" s="684">
        <f>IF(AC$4="forecast",AC$8*'Direct People Department Costs'!$H$8,'Dept. Cost Actuals'!AG42)</f>
        <v>0</v>
      </c>
      <c r="AD19" s="684">
        <f>IF(AD$4="forecast",AD$8*'Direct People Department Costs'!$H$8,'Dept. Cost Actuals'!AH42)</f>
        <v>7200</v>
      </c>
      <c r="AE19" s="684">
        <f>IF(AE$4="forecast",AE$8*'Direct People Department Costs'!$H$8,'Dept. Cost Actuals'!AI42)</f>
        <v>0</v>
      </c>
      <c r="AF19" s="684">
        <f>IF(AF$4="forecast",AF$8*'Direct People Department Costs'!$H$8,'Dept. Cost Actuals'!AJ42)</f>
        <v>0</v>
      </c>
      <c r="AG19" s="684">
        <f>IF(AG$4="forecast",AG$8*'Direct People Department Costs'!$H$8,'Dept. Cost Actuals'!AK42)</f>
        <v>7200</v>
      </c>
      <c r="AH19" s="684">
        <f>IF(AH$4="forecast",AH$8*'Direct People Department Costs'!$H$8,'Dept. Cost Actuals'!AL42)</f>
        <v>0</v>
      </c>
      <c r="AI19" s="684">
        <f>IF(AI$4="forecast",AI$8*'Direct People Department Costs'!$H$8,'Dept. Cost Actuals'!AM42)</f>
        <v>0</v>
      </c>
      <c r="AJ19" s="684">
        <f>IF(AJ$4="forecast",AJ$8*'Direct People Department Costs'!$H$8,'Dept. Cost Actuals'!AN42)</f>
        <v>0</v>
      </c>
      <c r="AK19" s="684">
        <f>IF(AK$4="forecast",AK$8*'Direct People Department Costs'!$H$8,'Dept. Cost Actuals'!AO42)</f>
        <v>0</v>
      </c>
      <c r="AL19" s="684">
        <f>IF(AL$4="forecast",AL$8*'Direct People Department Costs'!$H$8,'Dept. Cost Actuals'!AP42)</f>
        <v>0</v>
      </c>
      <c r="AM19" s="684">
        <f>IF(AM$4="forecast",AM$8*'Direct People Department Costs'!$H$8,'Dept. Cost Actuals'!AQ42)</f>
        <v>0</v>
      </c>
      <c r="AN19" s="684">
        <f>IF(AN$4="forecast",AN$8*'Direct People Department Costs'!$H$8,'Dept. Cost Actuals'!AR42)</f>
        <v>0</v>
      </c>
      <c r="AO19" s="684">
        <f>IF(AO$4="forecast",AO$8*'Direct People Department Costs'!$H$8,'Dept. Cost Actuals'!AS42)</f>
        <v>0</v>
      </c>
      <c r="AP19" s="684">
        <f>IF(AP$4="forecast",AP$8*'Direct People Department Costs'!$H$8,'Dept. Cost Actuals'!AT42)</f>
        <v>0</v>
      </c>
      <c r="AQ19" s="684">
        <f>IF(AQ$4="forecast",AQ$8*'Direct People Department Costs'!$H$8,'Dept. Cost Actuals'!AU42)</f>
        <v>0</v>
      </c>
      <c r="AR19" s="684">
        <f>IF(AR$4="forecast",AR$8*'Direct People Department Costs'!$H$8,'Dept. Cost Actuals'!AV42)</f>
        <v>0</v>
      </c>
      <c r="AS19" s="684">
        <f>IF(AS$4="forecast",AS$8*'Direct People Department Costs'!$H$8,'Dept. Cost Actuals'!AW42)</f>
        <v>0</v>
      </c>
      <c r="AT19" s="684">
        <f>IF(AT$4="forecast",AT$8*'Direct People Department Costs'!$H$8,'Dept. Cost Actuals'!AX42)</f>
        <v>0</v>
      </c>
      <c r="AU19" s="684">
        <f>IF(AU$4="forecast",AU$8*'Direct People Department Costs'!$H$8,'Dept. Cost Actuals'!AY42)</f>
        <v>0</v>
      </c>
      <c r="AV19" s="684">
        <f>IF(AV$4="forecast",AV$8*'Direct People Department Costs'!$H$8,'Dept. Cost Actuals'!AZ42)</f>
        <v>0</v>
      </c>
      <c r="AW19" s="684">
        <f>IF(AW$4="forecast",AW$8*'Direct People Department Costs'!$H$8,'Dept. Cost Actuals'!BA42)</f>
        <v>0</v>
      </c>
      <c r="AX19" s="684">
        <f>IF(AX$4="forecast",AX$8*'Direct People Department Costs'!$H$8,'Dept. Cost Actuals'!BB42)</f>
        <v>0</v>
      </c>
      <c r="AY19" s="684">
        <f>IF(AY$4="forecast",AY$8*'Direct People Department Costs'!$H$8,'Dept. Cost Actuals'!BC42)</f>
        <v>0</v>
      </c>
      <c r="AZ19" s="684">
        <f>IF(AZ$4="forecast",AZ$8*'Direct People Department Costs'!$H$8,'Dept. Cost Actuals'!BD42)</f>
        <v>0</v>
      </c>
      <c r="BA19" s="684">
        <f>IF(BA$4="forecast",BA$8*'Direct People Department Costs'!$H$8,'Dept. Cost Actuals'!BE42)</f>
        <v>0</v>
      </c>
      <c r="BB19" s="684">
        <f>IF(BB$4="forecast",BB$8*'Direct People Department Costs'!$H$8,'Dept. Cost Actuals'!BF42)</f>
        <v>0</v>
      </c>
      <c r="BC19" s="684">
        <f>IF(BC$4="forecast",BC$8*'Direct People Department Costs'!$H$8,'Dept. Cost Actuals'!BG42)</f>
        <v>0</v>
      </c>
      <c r="BD19" s="684">
        <f>IF(BD$4="forecast",BD$8*'Direct People Department Costs'!$H$8,'Dept. Cost Actuals'!BH42)</f>
        <v>0</v>
      </c>
      <c r="BE19" s="684">
        <f>IF(BE$4="forecast",BE$8*'Direct People Department Costs'!$H$8,'Dept. Cost Actuals'!BI42)</f>
        <v>0</v>
      </c>
      <c r="BF19" s="684">
        <f>IF(BF$4="forecast",BF$8*'Direct People Department Costs'!$H$8,'Dept. Cost Actuals'!BJ42)</f>
        <v>0</v>
      </c>
      <c r="BG19" s="684">
        <f>IF(BG$4="forecast",BG$8*'Direct People Department Costs'!$H$8,'Dept. Cost Actuals'!BK42)</f>
        <v>0</v>
      </c>
      <c r="BH19" s="684">
        <f>IF(BH$4="forecast",BH$8*'Direct People Department Costs'!$H$8,'Dept. Cost Actuals'!BL42)</f>
        <v>0</v>
      </c>
      <c r="BI19" s="684">
        <f>IF(BI$4="forecast",BI$8*'Direct People Department Costs'!$H$8,'Dept. Cost Actuals'!BM42)</f>
        <v>0</v>
      </c>
      <c r="BJ19" s="684">
        <f>IF(BJ$4="forecast",BJ$8*'Direct People Department Costs'!$H$8,'Dept. Cost Actuals'!BN42)</f>
        <v>0</v>
      </c>
      <c r="BK19" s="684">
        <f>IF(BK$4="forecast",BK$8*'Direct People Department Costs'!$H$8,'Dept. Cost Actuals'!BO42)</f>
        <v>0</v>
      </c>
      <c r="BL19" s="684">
        <f>IF(BL$4="forecast",BL$8*'Direct People Department Costs'!$H$8,'Dept. Cost Actuals'!#REF!)</f>
        <v>0</v>
      </c>
      <c r="BM19" s="684">
        <f>IF(BM$4="forecast",BM$8*'Direct People Department Costs'!$H$8,'Dept. Cost Actuals'!#REF!)</f>
        <v>0</v>
      </c>
      <c r="BN19" s="684">
        <f>IF(BN$4="forecast",BN$8*'Direct People Department Costs'!$H$8,'Dept. Cost Actuals'!#REF!)</f>
        <v>0</v>
      </c>
      <c r="BO19" s="684">
        <f>IF(BO$4="forecast",BO$8*'Direct People Department Costs'!$H$8,'Dept. Cost Actuals'!#REF!)</f>
        <v>0</v>
      </c>
      <c r="BP19" s="684">
        <f>IF(BP$4="forecast",BP$8*'Direct People Department Costs'!$H$8,'Dept. Cost Actuals'!#REF!)</f>
        <v>0</v>
      </c>
      <c r="BQ19" s="684">
        <f>IF(BQ$4="forecast",BQ$8*'Direct People Department Costs'!$H$8,'Dept. Cost Actuals'!#REF!)</f>
        <v>0</v>
      </c>
      <c r="BR19" s="684">
        <f>IF(BR$4="forecast",BR$8*'Direct People Department Costs'!$H$8,'Dept. Cost Actuals'!#REF!)</f>
        <v>0</v>
      </c>
      <c r="BS19" s="684">
        <f>IF(BS$4="forecast",BS$8*'Direct People Department Costs'!$H$8,'Dept. Cost Actuals'!#REF!)</f>
        <v>0</v>
      </c>
      <c r="BT19" s="684">
        <f>IF(BT$4="forecast",BT$8*'Direct People Department Costs'!$H$8,'Dept. Cost Actuals'!#REF!)</f>
        <v>0</v>
      </c>
      <c r="BU19" s="684">
        <f>IF(BU$4="forecast",BU$8*'Direct People Department Costs'!$H$8,'Dept. Cost Actuals'!#REF!)</f>
        <v>0</v>
      </c>
      <c r="BV19" s="808">
        <f>IF(BV$4="forecast",BV$8*'Direct People Department Costs'!$H$8,'Dept. Cost Actuals'!#REF!)</f>
        <v>0</v>
      </c>
    </row>
    <row r="20" spans="2:74" x14ac:dyDescent="0.35">
      <c r="B20" s="812" t="s">
        <v>925</v>
      </c>
      <c r="C20" s="684">
        <f>IF(C$4="forecast",C$8*'Direct People Department Costs'!$H$9,'Dept. Cost Actuals'!G160)</f>
        <v>194.81837767622494</v>
      </c>
      <c r="D20" s="684">
        <f>IF(D$4="forecast",D$8*'Direct People Department Costs'!$H$9,'Dept. Cost Actuals'!H160)</f>
        <v>33.710183452770586</v>
      </c>
      <c r="E20" s="684">
        <f>IF(E$4="forecast",E$8*'Direct People Department Costs'!$H$9,'Dept. Cost Actuals'!I160)</f>
        <v>20.296402785650265</v>
      </c>
      <c r="F20" s="684">
        <f>IF(F$4="forecast",F$8*'Direct People Department Costs'!$H$9,'Dept. Cost Actuals'!J160)</f>
        <v>2236.014620553608</v>
      </c>
      <c r="G20" s="684">
        <f>IF(G$4="forecast",G$8*'Direct People Department Costs'!$H$9,'Dept. Cost Actuals'!K160)</f>
        <v>129.53824352184637</v>
      </c>
      <c r="H20" s="684">
        <f>IF(H$4="forecast",H$8*'Direct People Department Costs'!$H$9,'Dept. Cost Actuals'!L160)</f>
        <v>2012.7717452546296</v>
      </c>
      <c r="I20" s="684">
        <f>IF(I$4="forecast",I$8*'Direct People Department Costs'!$H$9,'Dept. Cost Actuals'!M160)</f>
        <v>1853.2194614683319</v>
      </c>
      <c r="J20" s="684">
        <f>IF(J$4="forecast",J$8*'Direct People Department Costs'!$H$9,'Dept. Cost Actuals'!N160)</f>
        <v>2754.9999481303234</v>
      </c>
      <c r="K20" s="684">
        <f>IF(K$4="forecast",K$8*'Direct People Department Costs'!$H$9,'Dept. Cost Actuals'!O160)</f>
        <v>13.53815056037079</v>
      </c>
      <c r="L20" s="684">
        <f>IF(L$4="forecast",L$8*'Direct People Department Costs'!$H$9,'Dept. Cost Actuals'!P160)</f>
        <v>1188.4648830619644</v>
      </c>
      <c r="M20" s="684">
        <f>IF(M$4="forecast",M$8*'Direct People Department Costs'!$H$9,'Dept. Cost Actuals'!Q160)</f>
        <v>0</v>
      </c>
      <c r="N20" s="684">
        <f>IF(N$4="forecast",N$8*'Direct People Department Costs'!$H$9,'Dept. Cost Actuals'!R160)</f>
        <v>0</v>
      </c>
      <c r="O20" s="684">
        <f>IF(O$4="forecast",O$8*'Direct People Department Costs'!$H$9,'Dept. Cost Actuals'!S160)</f>
        <v>200</v>
      </c>
      <c r="P20" s="684">
        <f>IF(P$4="forecast",P$8*'Direct People Department Costs'!$H$9,'Dept. Cost Actuals'!T160)</f>
        <v>125</v>
      </c>
      <c r="Q20" s="684">
        <f>IF(Q$4="forecast",Q$8*'Direct People Department Costs'!$H$9,'Dept. Cost Actuals'!U160)</f>
        <v>263.16000000000003</v>
      </c>
      <c r="R20" s="684">
        <f>IF(R$4="forecast",R$8*'Direct People Department Costs'!$H$9,'Dept. Cost Actuals'!V160)</f>
        <v>25</v>
      </c>
      <c r="S20" s="684">
        <f>IF(S$4="forecast",S$8*'Direct People Department Costs'!$H$9,'Dept. Cost Actuals'!W160)</f>
        <v>150</v>
      </c>
      <c r="T20" s="684">
        <f>IF(T$4="forecast",T$8*'Direct People Department Costs'!$H$9,'Dept. Cost Actuals'!X160)</f>
        <v>135</v>
      </c>
      <c r="U20" s="684">
        <f>IF(U$4="forecast",U$8*'Direct People Department Costs'!$H$9,'Dept. Cost Actuals'!Y160)</f>
        <v>60</v>
      </c>
      <c r="V20" s="684">
        <f>IF(V$4="forecast",V$8*'Direct People Department Costs'!$H$9,'Dept. Cost Actuals'!Z160)</f>
        <v>60</v>
      </c>
      <c r="W20" s="684">
        <f>IF(W$4="forecast",W$8*'Direct People Department Costs'!$H$9,'Dept. Cost Actuals'!AA160)</f>
        <v>60</v>
      </c>
      <c r="X20" s="684">
        <f>IF(X$4="forecast",X$8*'Direct People Department Costs'!$H$9,'Dept. Cost Actuals'!AB160)</f>
        <v>135</v>
      </c>
      <c r="Y20" s="684">
        <f>IF(Y$4="forecast",Y$8*'Direct People Department Costs'!$H$9,'Dept. Cost Actuals'!AC160)</f>
        <v>185</v>
      </c>
      <c r="Z20" s="684">
        <f>IF(Z$4="forecast",Z$8*'Direct People Department Costs'!$H$9,'Dept. Cost Actuals'!AD160)</f>
        <v>0</v>
      </c>
      <c r="AA20" s="684">
        <f>IF(AA$4="forecast",AA$8*'Direct People Department Costs'!$H$9,'Dept. Cost Actuals'!AE160)</f>
        <v>0</v>
      </c>
      <c r="AB20" s="684">
        <f>IF(AB$4="forecast",AB$8*'Direct People Department Costs'!$H$9,'Dept. Cost Actuals'!AF160)</f>
        <v>1000</v>
      </c>
      <c r="AC20" s="684">
        <f>IF(AC$4="forecast",AC$8*'Direct People Department Costs'!$H$9,'Dept. Cost Actuals'!AG160)</f>
        <v>0</v>
      </c>
      <c r="AD20" s="684">
        <f>IF(AD$4="forecast",AD$8*'Direct People Department Costs'!$H$9,'Dept. Cost Actuals'!AH160)</f>
        <v>2000</v>
      </c>
      <c r="AE20" s="684">
        <f>IF(AE$4="forecast",AE$8*'Direct People Department Costs'!$H$9,'Dept. Cost Actuals'!AI160)</f>
        <v>0</v>
      </c>
      <c r="AF20" s="684">
        <f>IF(AF$4="forecast",AF$8*'Direct People Department Costs'!$H$9,'Dept. Cost Actuals'!AJ160)</f>
        <v>0</v>
      </c>
      <c r="AG20" s="684">
        <f>IF(AG$4="forecast",AG$8*'Direct People Department Costs'!$H$9,'Dept. Cost Actuals'!AK160)</f>
        <v>2000</v>
      </c>
      <c r="AH20" s="684">
        <f>IF(AH$4="forecast",AH$8*'Direct People Department Costs'!$H$9,'Dept. Cost Actuals'!AL160)</f>
        <v>0</v>
      </c>
      <c r="AI20" s="684">
        <f>IF(AI$4="forecast",AI$8*'Direct People Department Costs'!$H$9,'Dept. Cost Actuals'!AM160)</f>
        <v>0</v>
      </c>
      <c r="AJ20" s="684">
        <f>IF(AJ$4="forecast",AJ$8*'Direct People Department Costs'!$H$9,'Dept. Cost Actuals'!AN160)</f>
        <v>0</v>
      </c>
      <c r="AK20" s="684">
        <f>IF(AK$4="forecast",AK$8*'Direct People Department Costs'!$H$9,'Dept. Cost Actuals'!AO160)</f>
        <v>0</v>
      </c>
      <c r="AL20" s="684">
        <f>IF(AL$4="forecast",AL$8*'Direct People Department Costs'!$H$9,'Dept. Cost Actuals'!AP160)</f>
        <v>0</v>
      </c>
      <c r="AM20" s="684">
        <f>IF(AM$4="forecast",AM$8*'Direct People Department Costs'!$H$9,'Dept. Cost Actuals'!AQ160)</f>
        <v>0</v>
      </c>
      <c r="AN20" s="684">
        <f>IF(AN$4="forecast",AN$8*'Direct People Department Costs'!$H$9,'Dept. Cost Actuals'!AR160)</f>
        <v>0</v>
      </c>
      <c r="AO20" s="684">
        <f>IF(AO$4="forecast",AO$8*'Direct People Department Costs'!$H$9,'Dept. Cost Actuals'!AS160)</f>
        <v>0</v>
      </c>
      <c r="AP20" s="684">
        <f>IF(AP$4="forecast",AP$8*'Direct People Department Costs'!$H$9,'Dept. Cost Actuals'!AT160)</f>
        <v>0</v>
      </c>
      <c r="AQ20" s="684">
        <f>IF(AQ$4="forecast",AQ$8*'Direct People Department Costs'!$H$9,'Dept. Cost Actuals'!AU160)</f>
        <v>0</v>
      </c>
      <c r="AR20" s="684">
        <f>IF(AR$4="forecast",AR$8*'Direct People Department Costs'!$H$9,'Dept. Cost Actuals'!AV160)</f>
        <v>0</v>
      </c>
      <c r="AS20" s="684">
        <f>IF(AS$4="forecast",AS$8*'Direct People Department Costs'!$H$9,'Dept. Cost Actuals'!AW160)</f>
        <v>0</v>
      </c>
      <c r="AT20" s="684">
        <f>IF(AT$4="forecast",AT$8*'Direct People Department Costs'!$H$9,'Dept. Cost Actuals'!AX160)</f>
        <v>0</v>
      </c>
      <c r="AU20" s="684">
        <f>IF(AU$4="forecast",AU$8*'Direct People Department Costs'!$H$9,'Dept. Cost Actuals'!AY160)</f>
        <v>0</v>
      </c>
      <c r="AV20" s="684">
        <f>IF(AV$4="forecast",AV$8*'Direct People Department Costs'!$H$9,'Dept. Cost Actuals'!AZ160)</f>
        <v>0</v>
      </c>
      <c r="AW20" s="684">
        <f>IF(AW$4="forecast",AW$8*'Direct People Department Costs'!$H$9,'Dept. Cost Actuals'!BA160)</f>
        <v>0</v>
      </c>
      <c r="AX20" s="684">
        <f>IF(AX$4="forecast",AX$8*'Direct People Department Costs'!$H$9,'Dept. Cost Actuals'!BB160)</f>
        <v>0</v>
      </c>
      <c r="AY20" s="684">
        <f>IF(AY$4="forecast",AY$8*'Direct People Department Costs'!$H$9,'Dept. Cost Actuals'!BC160)</f>
        <v>0</v>
      </c>
      <c r="AZ20" s="684">
        <f>IF(AZ$4="forecast",AZ$8*'Direct People Department Costs'!$H$9,'Dept. Cost Actuals'!BD160)</f>
        <v>0</v>
      </c>
      <c r="BA20" s="684">
        <f>IF(BA$4="forecast",BA$8*'Direct People Department Costs'!$H$9,'Dept. Cost Actuals'!BE160)</f>
        <v>0</v>
      </c>
      <c r="BB20" s="684">
        <f>IF(BB$4="forecast",BB$8*'Direct People Department Costs'!$H$9,'Dept. Cost Actuals'!BF160)</f>
        <v>0</v>
      </c>
      <c r="BC20" s="684">
        <f>IF(BC$4="forecast",BC$8*'Direct People Department Costs'!$H$9,'Dept. Cost Actuals'!BG160)</f>
        <v>0</v>
      </c>
      <c r="BD20" s="684">
        <f>IF(BD$4="forecast",BD$8*'Direct People Department Costs'!$H$9,'Dept. Cost Actuals'!BH160)</f>
        <v>0</v>
      </c>
      <c r="BE20" s="684">
        <f>IF(BE$4="forecast",BE$8*'Direct People Department Costs'!$H$9,'Dept. Cost Actuals'!BI160)</f>
        <v>0</v>
      </c>
      <c r="BF20" s="684">
        <f>IF(BF$4="forecast",BF$8*'Direct People Department Costs'!$H$9,'Dept. Cost Actuals'!BJ160)</f>
        <v>0</v>
      </c>
      <c r="BG20" s="684">
        <f>IF(BG$4="forecast",BG$8*'Direct People Department Costs'!$H$9,'Dept. Cost Actuals'!BK160)</f>
        <v>0</v>
      </c>
      <c r="BH20" s="684">
        <f>IF(BH$4="forecast",BH$8*'Direct People Department Costs'!$H$9,'Dept. Cost Actuals'!BL160)</f>
        <v>0</v>
      </c>
      <c r="BI20" s="684">
        <f>IF(BI$4="forecast",BI$8*'Direct People Department Costs'!$H$9,'Dept. Cost Actuals'!BM160)</f>
        <v>0</v>
      </c>
      <c r="BJ20" s="684">
        <f>IF(BJ$4="forecast",BJ$8*'Direct People Department Costs'!$H$9,'Dept. Cost Actuals'!BN160)</f>
        <v>0</v>
      </c>
      <c r="BK20" s="684">
        <f>IF(BK$4="forecast",BK$8*'Direct People Department Costs'!$H$9,'Dept. Cost Actuals'!BO160)</f>
        <v>0</v>
      </c>
      <c r="BL20" s="684">
        <f>IF(BL$4="forecast",BL$8*'Direct People Department Costs'!$H$9,'Dept. Cost Actuals'!#REF!)</f>
        <v>0</v>
      </c>
      <c r="BM20" s="684">
        <f>IF(BM$4="forecast",BM$8*'Direct People Department Costs'!$H$9,'Dept. Cost Actuals'!#REF!)</f>
        <v>0</v>
      </c>
      <c r="BN20" s="684">
        <f>IF(BN$4="forecast",BN$8*'Direct People Department Costs'!$H$9,'Dept. Cost Actuals'!#REF!)</f>
        <v>0</v>
      </c>
      <c r="BO20" s="684">
        <f>IF(BO$4="forecast",BO$8*'Direct People Department Costs'!$H$9,'Dept. Cost Actuals'!#REF!)</f>
        <v>0</v>
      </c>
      <c r="BP20" s="684">
        <f>IF(BP$4="forecast",BP$8*'Direct People Department Costs'!$H$9,'Dept. Cost Actuals'!#REF!)</f>
        <v>0</v>
      </c>
      <c r="BQ20" s="684">
        <f>IF(BQ$4="forecast",BQ$8*'Direct People Department Costs'!$H$9,'Dept. Cost Actuals'!#REF!)</f>
        <v>0</v>
      </c>
      <c r="BR20" s="684">
        <f>IF(BR$4="forecast",BR$8*'Direct People Department Costs'!$H$9,'Dept. Cost Actuals'!#REF!)</f>
        <v>0</v>
      </c>
      <c r="BS20" s="684">
        <f>IF(BS$4="forecast",BS$8*'Direct People Department Costs'!$H$9,'Dept. Cost Actuals'!#REF!)</f>
        <v>0</v>
      </c>
      <c r="BT20" s="684">
        <f>IF(BT$4="forecast",BT$8*'Direct People Department Costs'!$H$9,'Dept. Cost Actuals'!#REF!)</f>
        <v>0</v>
      </c>
      <c r="BU20" s="684">
        <f>IF(BU$4="forecast",BU$8*'Direct People Department Costs'!$H$9,'Dept. Cost Actuals'!#REF!)</f>
        <v>0</v>
      </c>
      <c r="BV20" s="808">
        <f>IF(BV$4="forecast",BV$8*'Direct People Department Costs'!$H$9,'Dept. Cost Actuals'!#REF!)</f>
        <v>0</v>
      </c>
    </row>
    <row r="21" spans="2:74" x14ac:dyDescent="0.35">
      <c r="B21" s="812" t="s">
        <v>433</v>
      </c>
      <c r="C21" s="684">
        <f>IF(C$4="forecast","Month Limit",'Dept. Cost Actuals'!G115)</f>
        <v>76.10408025353189</v>
      </c>
      <c r="D21" s="684">
        <f>IF(D$4="forecast","Month Limit",'Dept. Cost Actuals'!H115)</f>
        <v>359.04208953366464</v>
      </c>
      <c r="E21" s="684">
        <f>IF(E$4="forecast","Month Limit",'Dept. Cost Actuals'!I115)</f>
        <v>155.35002001488616</v>
      </c>
      <c r="F21" s="684">
        <f>IF(F$4="forecast","Month Limit",'Dept. Cost Actuals'!J115)</f>
        <v>413.71678270438792</v>
      </c>
      <c r="G21" s="684">
        <f>IF(G$4="forecast","Month Limit",'Dept. Cost Actuals'!K115)</f>
        <v>383.15750433656586</v>
      </c>
      <c r="H21" s="684">
        <f>IF(H$4="forecast","Month Limit",'Dept. Cost Actuals'!L115)</f>
        <v>601.53494512110819</v>
      </c>
      <c r="I21" s="684">
        <f>IF(I$4="forecast","Month Limit",'Dept. Cost Actuals'!M115)</f>
        <v>212.97044725885405</v>
      </c>
      <c r="J21" s="684">
        <f>IF(J$4="forecast","Month Limit",'Dept. Cost Actuals'!N115)</f>
        <v>651.17982263950375</v>
      </c>
      <c r="K21" s="684">
        <f>IF(K$4="forecast","Month Limit",'Dept. Cost Actuals'!O115)</f>
        <v>903.98185861062029</v>
      </c>
      <c r="L21" s="684">
        <f>IF(L$4="forecast","Month Limit",'Dept. Cost Actuals'!P115)</f>
        <v>867.75552201679079</v>
      </c>
      <c r="M21" s="684">
        <f>IF(M$4="forecast","Month Limit",'Dept. Cost Actuals'!Q115)</f>
        <v>809.25710009974568</v>
      </c>
      <c r="N21" s="684">
        <f>IF(N$4="forecast","Month Limit",'Dept. Cost Actuals'!R115)</f>
        <v>233.53098003406208</v>
      </c>
      <c r="O21" s="684">
        <f>IF(O$4="forecast",(AVERAGE(C21:N21)),'Dept. Cost Actuals'!S115)</f>
        <v>1696.18</v>
      </c>
      <c r="P21" s="684">
        <f>IF(P$4="forecast",(AVERAGE(D21:O21)),'Dept. Cost Actuals'!T115)</f>
        <v>723.4</v>
      </c>
      <c r="Q21" s="684">
        <f>IF(Q$4="forecast",(AVERAGE(E21:P21)),'Dept. Cost Actuals'!U115)</f>
        <v>3314.42</v>
      </c>
      <c r="R21" s="684">
        <f>IF(R$4="forecast",(AVERAGE(F21:Q21)),'Dept. Cost Actuals'!V115)</f>
        <v>4193.91</v>
      </c>
      <c r="S21" s="684">
        <f>IF(S$4="forecast",(AVERAGE(G21:R21)),'Dept. Cost Actuals'!W115)</f>
        <v>597.27</v>
      </c>
      <c r="T21" s="684">
        <f>IF(T$4="forecast",(AVERAGE(H21:S21)),'Dept. Cost Actuals'!X115)</f>
        <v>1189.78</v>
      </c>
      <c r="U21" s="684">
        <f>IF(U$4="forecast",(AVERAGE(I21:T21)),'Dept. Cost Actuals'!Y115)</f>
        <v>75</v>
      </c>
      <c r="V21" s="684">
        <f>IF(V$4="forecast",(AVERAGE(J21:U21)),'Dept. Cost Actuals'!Z115)</f>
        <v>0</v>
      </c>
      <c r="W21" s="684">
        <f>IF(W$4="forecast",(AVERAGE(K21:V21)),'Dept. Cost Actuals'!AA115)</f>
        <v>5748.9</v>
      </c>
      <c r="X21" s="684">
        <f>IF(X$4="forecast",(AVERAGE(L21:W21)),'Dept. Cost Actuals'!AB115)</f>
        <v>3208.4</v>
      </c>
      <c r="Y21" s="684">
        <f>IF(Y$4="forecast",(AVERAGE(M21:X21)),'Dept. Cost Actuals'!AC115)</f>
        <v>6896.56</v>
      </c>
      <c r="Z21" s="684">
        <f>IF(Z$4="forecast",(AVERAGE(N21:Y21)),'Dept. Cost Actuals'!AD115)</f>
        <v>11899.34</v>
      </c>
      <c r="AA21" s="684">
        <f>IF(AA$4="forecast",(AVERAGE(O21:Z21)+750),'Dept. Cost Actuals'!AE115)</f>
        <v>4045.2633333333338</v>
      </c>
      <c r="AB21" s="684">
        <f>IF(AB$4="forecast",(AVERAGE(P21:AA21)+750),'Dept. Cost Actuals'!AF115)</f>
        <v>4241.0202777777777</v>
      </c>
      <c r="AC21" s="684">
        <f>IF(AC$4="forecast",(AVERAGE(Q21:AB21)+750),'Dept. Cost Actuals'!AG115)</f>
        <v>4534.155300925926</v>
      </c>
      <c r="AD21" s="684">
        <f>IF(AD$4="forecast",(AVERAGE(R21:AC21)+750),'Dept. Cost Actuals'!AH115)</f>
        <v>4635.7999093364197</v>
      </c>
      <c r="AE21" s="684">
        <f>IF(AE$4="forecast",(AVERAGE(S21:AD21)+750),'Dept. Cost Actuals'!AI115)</f>
        <v>4672.6240684477871</v>
      </c>
      <c r="AF21" s="684">
        <f>IF(AF$4="forecast",(AVERAGE(T21:AE21)+750),'Dept. Cost Actuals'!AJ115)</f>
        <v>5012.2369074851031</v>
      </c>
      <c r="AG21" s="684">
        <f>IF(AG$4="forecast",(AVERAGE(U21:AF21)+750),'Dept. Cost Actuals'!AK115)</f>
        <v>5330.7749831088613</v>
      </c>
      <c r="AH21" s="684">
        <f>IF(AH$4="forecast",(AVERAGE(V21:AG21)+750),'Dept. Cost Actuals'!AL115)</f>
        <v>5768.7562317012662</v>
      </c>
      <c r="AI21" s="684">
        <f>IF(AI$4="forecast",(AVERAGE(W21:AH21)+750),'Dept. Cost Actuals'!AM115)</f>
        <v>6249.4859176763721</v>
      </c>
      <c r="AJ21" s="684">
        <f>IF(AJ$4="forecast",(AVERAGE(X21:AI21)+750),'Dept. Cost Actuals'!AN115)</f>
        <v>6291.2014108160702</v>
      </c>
      <c r="AK21" s="684">
        <f>IF(AK$4="forecast",(AVERAGE(Y21:AJ21)+750),'Dept. Cost Actuals'!AO115)</f>
        <v>6548.1015283840761</v>
      </c>
      <c r="AL21" s="684">
        <f>IF(AL$4="forecast",(AVERAGE(Z21:AK21)+750),'Dept. Cost Actuals'!AP115)</f>
        <v>6519.063322416082</v>
      </c>
      <c r="AM21" s="684">
        <f>IF(AM$4="forecast",(AVERAGE(AA21:AL21)),'Dept. Cost Actuals'!AQ115)</f>
        <v>5320.7069326174233</v>
      </c>
      <c r="AN21" s="684">
        <f>IF(AN$4="forecast",(AVERAGE(AB21:AM21)),'Dept. Cost Actuals'!AR115)</f>
        <v>5426.9938992244306</v>
      </c>
      <c r="AO21" s="684">
        <f>IF(AO$4="forecast",(AVERAGE(AC21:AN21)),'Dept. Cost Actuals'!AS115)</f>
        <v>5525.8250343449863</v>
      </c>
      <c r="AP21" s="684">
        <f>IF(AP$4="forecast",(AVERAGE(AD21:AO21)),'Dept. Cost Actuals'!AT115)</f>
        <v>5608.4641787965738</v>
      </c>
      <c r="AQ21" s="684">
        <f>IF(AQ$4="forecast",(AVERAGE(AE21:AP21)),'Dept. Cost Actuals'!AU115)</f>
        <v>5689.5195345849197</v>
      </c>
      <c r="AR21" s="684">
        <f>IF(AR$4="forecast",(AVERAGE(AF21:AQ21)),'Dept. Cost Actuals'!AV115)</f>
        <v>5774.2608234296795</v>
      </c>
      <c r="AS21" s="684">
        <f>IF(AS$4="forecast",(AVERAGE(AG21:AR21)),'Dept. Cost Actuals'!AW115)</f>
        <v>5837.7628164250609</v>
      </c>
      <c r="AT21" s="684">
        <f>IF(AT$4="forecast",(AVERAGE(AH21:AS21)),'Dept. Cost Actuals'!AX115)</f>
        <v>5880.0118025347438</v>
      </c>
      <c r="AU21" s="684">
        <f>IF(AU$4="forecast",(AVERAGE(AI21:AT21)),'Dept. Cost Actuals'!AY115)</f>
        <v>5889.2831001042023</v>
      </c>
      <c r="AV21" s="684">
        <f>IF(AV$4="forecast",(AVERAGE(AJ21:AU21)),'Dept. Cost Actuals'!AZ115)</f>
        <v>5859.2661986398552</v>
      </c>
      <c r="AW21" s="684">
        <f>IF(AW$4="forecast",(AVERAGE(AK21:AV21)),'Dept. Cost Actuals'!BA115)</f>
        <v>5823.2715976251702</v>
      </c>
      <c r="AX21" s="684">
        <f>IF(AX$4="forecast",(AVERAGE(AL21:AW21)),'Dept. Cost Actuals'!BB115)</f>
        <v>5762.86910339526</v>
      </c>
      <c r="AY21" s="684">
        <f>IF(AY$4="forecast",(AVERAGE(AM21:AX21)),'Dept. Cost Actuals'!BC115)</f>
        <v>5699.8529184768586</v>
      </c>
      <c r="AZ21" s="684">
        <f>IF(AZ$4="forecast",(AVERAGE(AN21:AY21)),'Dept. Cost Actuals'!BD115)</f>
        <v>5731.4484172984776</v>
      </c>
      <c r="BA21" s="684">
        <f>IF(BA$4="forecast",(AVERAGE(AO21:AZ21)),'Dept. Cost Actuals'!BE115)</f>
        <v>5756.819627137982</v>
      </c>
      <c r="BB21" s="684">
        <f>IF(BB$4="forecast",(AVERAGE(AP21:BA21)),'Dept. Cost Actuals'!BF115)</f>
        <v>5776.0691765373986</v>
      </c>
      <c r="BC21" s="684">
        <f>IF(BC$4="forecast",(AVERAGE(AQ21:BB21)),'Dept. Cost Actuals'!BG115)</f>
        <v>5790.0362596824671</v>
      </c>
      <c r="BD21" s="684">
        <f>IF(BD$4="forecast",(AVERAGE(AR21:BC21)),'Dept. Cost Actuals'!BH115)</f>
        <v>5798.4126534405959</v>
      </c>
      <c r="BE21" s="684">
        <f>IF(BE$4="forecast",(AVERAGE(AS21:BD21)),'Dept. Cost Actuals'!BI115)</f>
        <v>5800.4253059415059</v>
      </c>
      <c r="BF21" s="684">
        <f>IF(BF$4="forecast",(AVERAGE(AT21:BE21)),'Dept. Cost Actuals'!BJ115)</f>
        <v>5797.3138467345425</v>
      </c>
      <c r="BG21" s="684">
        <f>IF(BG$4="forecast",(AVERAGE(AU21:BF21)),'Dept. Cost Actuals'!BK115)</f>
        <v>5790.422350417859</v>
      </c>
      <c r="BH21" s="684">
        <f>IF(BH$4="forecast",(AVERAGE(AV21:BG21)),'Dept. Cost Actuals'!BL115)</f>
        <v>5782.1839546106639</v>
      </c>
      <c r="BI21" s="684">
        <f>IF(BI$4="forecast",(AVERAGE(AW21:BH21)),'Dept. Cost Actuals'!BM115)</f>
        <v>5775.7604342748991</v>
      </c>
      <c r="BJ21" s="684">
        <f>IF(BJ$4="forecast",(AVERAGE(AX21:BI21)),'Dept. Cost Actuals'!BN115)</f>
        <v>5771.8011706623765</v>
      </c>
      <c r="BK21" s="684">
        <f>IF(BK$4="forecast",(AVERAGE(AY21:BJ21)),'Dept. Cost Actuals'!BO115)</f>
        <v>5772.545509601302</v>
      </c>
      <c r="BL21" s="684">
        <f>IF(BL$4="forecast",(AVERAGE(AZ21:BK21)),'Dept. Cost Actuals'!#REF!)</f>
        <v>5778.603225528339</v>
      </c>
      <c r="BM21" s="684">
        <f>IF(BM$4="forecast",(AVERAGE(BA21:BL21)),'Dept. Cost Actuals'!#REF!)</f>
        <v>5782.5327928808265</v>
      </c>
      <c r="BN21" s="684">
        <f>IF(BN$4="forecast",(AVERAGE(BB21:BM21)),'Dept. Cost Actuals'!#REF!)</f>
        <v>5784.6755566927313</v>
      </c>
      <c r="BO21" s="684">
        <f>IF(BO$4="forecast",(AVERAGE(BC21:BN21)),'Dept. Cost Actuals'!#REF!)</f>
        <v>5785.3927550390081</v>
      </c>
      <c r="BP21" s="684">
        <f>IF(BP$4="forecast",(AVERAGE(BD21:BO21)),'Dept. Cost Actuals'!#REF!)</f>
        <v>5785.0057963187201</v>
      </c>
      <c r="BQ21" s="684">
        <f>IF(BQ$4="forecast",(AVERAGE(BE21:BP21)),'Dept. Cost Actuals'!#REF!)</f>
        <v>5783.8885582252306</v>
      </c>
      <c r="BR21" s="684">
        <f>IF(BR$4="forecast",(AVERAGE(BF21:BQ21)),'Dept. Cost Actuals'!#REF!)</f>
        <v>5782.5104959155424</v>
      </c>
      <c r="BS21" s="684">
        <f>IF(BS$4="forecast",(AVERAGE(BG21:BR21)),'Dept. Cost Actuals'!#REF!)</f>
        <v>5781.2768833472919</v>
      </c>
      <c r="BT21" s="684">
        <f>IF(BT$4="forecast",(AVERAGE(BH21:BS21)),'Dept. Cost Actuals'!#REF!)</f>
        <v>5780.5147610914109</v>
      </c>
      <c r="BU21" s="684">
        <f>IF(BU$4="forecast",(AVERAGE(BI21:BT21)),'Dept. Cost Actuals'!#REF!)</f>
        <v>5780.375661631474</v>
      </c>
      <c r="BV21" s="808">
        <f>IF(BV$4="forecast",(AVERAGE(BJ21:BU21)),'Dept. Cost Actuals'!#REF!)</f>
        <v>5780.7602639111892</v>
      </c>
    </row>
    <row r="22" spans="2:74" x14ac:dyDescent="0.35">
      <c r="B22" s="812" t="s">
        <v>942</v>
      </c>
      <c r="C22" s="684">
        <f>IF(C$4="forecast",(AVERAGE(#REF!)),'Dept. Cost Actuals'!G84)</f>
        <v>208.27001365953981</v>
      </c>
      <c r="D22" s="684">
        <f>IF(D$4="forecast",(AVERAGE(#REF!)),'Dept. Cost Actuals'!H84)</f>
        <v>298.61487958851058</v>
      </c>
      <c r="E22" s="684">
        <f>IF(E$4="forecast",(AVERAGE(#REF!)),'Dept. Cost Actuals'!I84)</f>
        <v>123.93</v>
      </c>
      <c r="F22" s="684">
        <f>IF(F$4="forecast",(AVERAGE(#REF!)),'Dept. Cost Actuals'!J84)</f>
        <v>194.84</v>
      </c>
      <c r="G22" s="684">
        <f>IF(G$4="forecast",(AVERAGE(#REF!)),'Dept. Cost Actuals'!K84)</f>
        <v>338.67064974624066</v>
      </c>
      <c r="H22" s="684">
        <f>IF(H$4="forecast",(AVERAGE(#REF!)),'Dept. Cost Actuals'!L84)</f>
        <v>715.09827107786532</v>
      </c>
      <c r="I22" s="684">
        <f>IF(I$4="forecast",(AVERAGE(#REF!)),'Dept. Cost Actuals'!M84)</f>
        <v>350.52402250753443</v>
      </c>
      <c r="J22" s="684">
        <f>IF(J$4="forecast",(AVERAGE(#REF!)),'Dept. Cost Actuals'!N84)</f>
        <v>349.80652871319876</v>
      </c>
      <c r="K22" s="684">
        <f>IF(K$4="forecast",(AVERAGE(#REF!)),'Dept. Cost Actuals'!O84)</f>
        <v>427.72389017756359</v>
      </c>
      <c r="L22" s="684">
        <f>IF(L$4="forecast",(AVERAGE(#REF!)),'Dept. Cost Actuals'!P84)</f>
        <v>504.63313260739989</v>
      </c>
      <c r="M22" s="684">
        <f>IF(M$4="forecast",(AVERAGE(A22:L22)),'Dept. Cost Actuals'!Q84)</f>
        <v>211.51175454842254</v>
      </c>
      <c r="N22" s="684">
        <f>IF(N$4="forecast",(AVERAGE(B22:M22)),'Dept. Cost Actuals'!R84)</f>
        <v>121.78729632244772</v>
      </c>
      <c r="O22" s="684">
        <f>IF(O$4="forecast",(AVERAGE(C22:N22)),'Dept. Cost Actuals'!S84)</f>
        <v>1277.8499999999999</v>
      </c>
      <c r="P22" s="684">
        <f>IF(P$4="forecast",(AVERAGE(D22:O22)),'Dept. Cost Actuals'!T84)</f>
        <v>14.98</v>
      </c>
      <c r="Q22" s="684">
        <f>IF(Q$4="forecast",(AVERAGE(E22:P22)),'Dept. Cost Actuals'!U84)</f>
        <v>410.88</v>
      </c>
      <c r="R22" s="684">
        <f>IF(R$4="forecast",(AVERAGE(F22:Q22)),'Dept. Cost Actuals'!V84)</f>
        <v>1032.72</v>
      </c>
      <c r="S22" s="684">
        <f>IF(S$4="forecast",(AVERAGE(G22:R22)),'Dept. Cost Actuals'!W84)</f>
        <v>913.72</v>
      </c>
      <c r="T22" s="684">
        <f>IF(T$4="forecast",(AVERAGE(H22:S22)),'Dept. Cost Actuals'!X84)</f>
        <v>58.09</v>
      </c>
      <c r="U22" s="684">
        <f>IF(U$4="forecast",(AVERAGE(I22:T22)),'Dept. Cost Actuals'!Y84)</f>
        <v>954.43</v>
      </c>
      <c r="V22" s="684">
        <f>IF(V$4="forecast",(AVERAGE(J22:U22)),'Dept. Cost Actuals'!Z84)</f>
        <v>167.31</v>
      </c>
      <c r="W22" s="684">
        <f>IF(W$4="forecast",(AVERAGE(K22:V22)),'Dept. Cost Actuals'!AA84)</f>
        <v>665.17</v>
      </c>
      <c r="X22" s="684">
        <f>IF(X$4="forecast",(AVERAGE(L22:W22)),'Dept. Cost Actuals'!AB84)</f>
        <v>1968.62</v>
      </c>
      <c r="Y22" s="684">
        <f>IF(Y$4="forecast",(AVERAGE(M22:X22)),'Dept. Cost Actuals'!AC84)</f>
        <v>1224.3399999999999</v>
      </c>
      <c r="Z22" s="684">
        <f>IF(Z$4="forecast",(AVERAGE(N22:Y22)),'Dept. Cost Actuals'!AD84)</f>
        <v>861.11</v>
      </c>
      <c r="AA22" s="684">
        <f>IF(AA$4="forecast",35000/12,'Dept. Cost Actuals'!AE84)</f>
        <v>2916.6666666666665</v>
      </c>
      <c r="AB22" s="684">
        <f>IF(AB$4="forecast",35000/12,'Dept. Cost Actuals'!AF84)</f>
        <v>2916.6666666666665</v>
      </c>
      <c r="AC22" s="684">
        <f>IF(AC$4="forecast",35000/12,'Dept. Cost Actuals'!AG84)</f>
        <v>2916.6666666666665</v>
      </c>
      <c r="AD22" s="684">
        <f>IF(AD$4="forecast",35000/12,'Dept. Cost Actuals'!AH84)</f>
        <v>2916.6666666666665</v>
      </c>
      <c r="AE22" s="684">
        <f>IF(AE$4="forecast",35000/12,'Dept. Cost Actuals'!AI84)</f>
        <v>2916.6666666666665</v>
      </c>
      <c r="AF22" s="684">
        <f>IF(AF$4="forecast",35000/12,'Dept. Cost Actuals'!AJ84)</f>
        <v>2916.6666666666665</v>
      </c>
      <c r="AG22" s="684">
        <f>IF(AG$4="forecast",35000/12,'Dept. Cost Actuals'!AK84)</f>
        <v>2916.6666666666665</v>
      </c>
      <c r="AH22" s="684">
        <f>IF(AH$4="forecast",35000/12,'Dept. Cost Actuals'!AL84)</f>
        <v>2916.6666666666665</v>
      </c>
      <c r="AI22" s="684">
        <f>IF(AI$4="forecast",35000/12,'Dept. Cost Actuals'!AM84)</f>
        <v>2916.6666666666665</v>
      </c>
      <c r="AJ22" s="684">
        <f>IF(AJ$4="forecast",35000/12,'Dept. Cost Actuals'!AN84)</f>
        <v>2916.6666666666665</v>
      </c>
      <c r="AK22" s="684">
        <f>IF(AK$4="forecast",35000/12,'Dept. Cost Actuals'!AO84)</f>
        <v>2916.6666666666665</v>
      </c>
      <c r="AL22" s="684">
        <f>IF(AL$4="forecast",35000/12,'Dept. Cost Actuals'!AP84)</f>
        <v>2916.6666666666665</v>
      </c>
      <c r="AM22" s="684">
        <f>IF(AM$4="forecast",(AVERAGE(AA22:AL22)),'Dept. Cost Actuals'!AQ84)</f>
        <v>2916.6666666666674</v>
      </c>
      <c r="AN22" s="684">
        <f>IF(AN$4="forecast",(AVERAGE(AB22:AM22)),'Dept. Cost Actuals'!AR84)</f>
        <v>2916.6666666666674</v>
      </c>
      <c r="AO22" s="684">
        <f>IF(AO$4="forecast",(AVERAGE(AC22:AN22)),'Dept. Cost Actuals'!AS84)</f>
        <v>2916.6666666666674</v>
      </c>
      <c r="AP22" s="684">
        <f>IF(AP$4="forecast",(AVERAGE(AD22:AO22)),'Dept. Cost Actuals'!AT84)</f>
        <v>2916.6666666666674</v>
      </c>
      <c r="AQ22" s="684">
        <f>IF(AQ$4="forecast",(AVERAGE(AE22:AP22)),'Dept. Cost Actuals'!AU84)</f>
        <v>2916.6666666666674</v>
      </c>
      <c r="AR22" s="684">
        <f>IF(AR$4="forecast",(AVERAGE(AF22:AQ22)),'Dept. Cost Actuals'!AV84)</f>
        <v>2916.6666666666674</v>
      </c>
      <c r="AS22" s="684">
        <f>IF(AS$4="forecast",(AVERAGE(AG22:AR22)),'Dept. Cost Actuals'!AW84)</f>
        <v>2916.6666666666674</v>
      </c>
      <c r="AT22" s="684">
        <f>IF(AT$4="forecast",(AVERAGE(AH22:AS22)),'Dept. Cost Actuals'!AX84)</f>
        <v>2916.6666666666674</v>
      </c>
      <c r="AU22" s="684">
        <f>IF(AU$4="forecast",(AVERAGE(AI22:AT22)),'Dept. Cost Actuals'!AY84)</f>
        <v>2916.6666666666674</v>
      </c>
      <c r="AV22" s="684">
        <f>IF(AV$4="forecast",(AVERAGE(AJ22:AU22)),'Dept. Cost Actuals'!AZ84)</f>
        <v>2916.6666666666674</v>
      </c>
      <c r="AW22" s="684">
        <f>IF(AW$4="forecast",(AVERAGE(AK22:AV22)),'Dept. Cost Actuals'!BA84)</f>
        <v>2916.6666666666674</v>
      </c>
      <c r="AX22" s="684">
        <f>IF(AX$4="forecast",(AVERAGE(AL22:AW22)),'Dept. Cost Actuals'!BB84)</f>
        <v>2916.6666666666674</v>
      </c>
      <c r="AY22" s="684">
        <f>IF(AY$4="forecast",(AVERAGE(AM22:AX22)),'Dept. Cost Actuals'!BC84)</f>
        <v>2916.6666666666674</v>
      </c>
      <c r="AZ22" s="684">
        <f>IF(AZ$4="forecast",(AVERAGE(AN22:AY22)),'Dept. Cost Actuals'!BD84)</f>
        <v>2916.6666666666674</v>
      </c>
      <c r="BA22" s="684">
        <f>IF(BA$4="forecast",(AVERAGE(AO22:AZ22)),'Dept. Cost Actuals'!BE84)</f>
        <v>2916.6666666666674</v>
      </c>
      <c r="BB22" s="684">
        <f>IF(BB$4="forecast",(AVERAGE(AP22:BA22)),'Dept. Cost Actuals'!BF84)</f>
        <v>2916.6666666666674</v>
      </c>
      <c r="BC22" s="684">
        <f>IF(BC$4="forecast",(AVERAGE(AQ22:BB22)),'Dept. Cost Actuals'!BG84)</f>
        <v>2916.6666666666674</v>
      </c>
      <c r="BD22" s="684">
        <f>IF(BD$4="forecast",(AVERAGE(AR22:BC22)),'Dept. Cost Actuals'!BH84)</f>
        <v>2916.6666666666674</v>
      </c>
      <c r="BE22" s="684">
        <f>IF(BE$4="forecast",(AVERAGE(AS22:BD22)),'Dept. Cost Actuals'!BI84)</f>
        <v>2916.6666666666674</v>
      </c>
      <c r="BF22" s="684">
        <f>IF(BF$4="forecast",(AVERAGE(AT22:BE22)),'Dept. Cost Actuals'!BJ84)</f>
        <v>2916.6666666666674</v>
      </c>
      <c r="BG22" s="684">
        <f>IF(BG$4="forecast",(AVERAGE(AU22:BF22)),'Dept. Cost Actuals'!BK84)</f>
        <v>2916.6666666666674</v>
      </c>
      <c r="BH22" s="684">
        <f>IF(BH$4="forecast",(AVERAGE(AV22:BG22)),'Dept. Cost Actuals'!BL84)</f>
        <v>2916.6666666666674</v>
      </c>
      <c r="BI22" s="684">
        <f>IF(BI$4="forecast",(AVERAGE(AW22:BH22)),'Dept. Cost Actuals'!BM84)</f>
        <v>2916.6666666666674</v>
      </c>
      <c r="BJ22" s="684">
        <f>IF(BJ$4="forecast",(AVERAGE(AX22:BI22)),'Dept. Cost Actuals'!BN84)</f>
        <v>2916.6666666666674</v>
      </c>
      <c r="BK22" s="684">
        <f>IF(BK$4="forecast",(AVERAGE(AY22:BJ22)),'Dept. Cost Actuals'!BO84)</f>
        <v>2916.6666666666674</v>
      </c>
      <c r="BL22" s="684">
        <f>IF(BL$4="forecast",(AVERAGE(AZ22:BK22)),'Dept. Cost Actuals'!#REF!)</f>
        <v>2916.6666666666674</v>
      </c>
      <c r="BM22" s="684">
        <f>IF(BM$4="forecast",(AVERAGE(BA22:BL22)),'Dept. Cost Actuals'!#REF!)</f>
        <v>2916.6666666666674</v>
      </c>
      <c r="BN22" s="684">
        <f>IF(BN$4="forecast",(AVERAGE(BB22:BM22)),'Dept. Cost Actuals'!#REF!)</f>
        <v>2916.6666666666674</v>
      </c>
      <c r="BO22" s="684">
        <f>IF(BO$4="forecast",(AVERAGE(BC22:BN22)),'Dept. Cost Actuals'!#REF!)</f>
        <v>2916.6666666666674</v>
      </c>
      <c r="BP22" s="684">
        <f>IF(BP$4="forecast",(AVERAGE(BD22:BO22)),'Dept. Cost Actuals'!#REF!)</f>
        <v>2916.6666666666674</v>
      </c>
      <c r="BQ22" s="684">
        <f>IF(BQ$4="forecast",(AVERAGE(BE22:BP22)),'Dept. Cost Actuals'!#REF!)</f>
        <v>2916.6666666666674</v>
      </c>
      <c r="BR22" s="684">
        <f>IF(BR$4="forecast",(AVERAGE(BF22:BQ22)),'Dept. Cost Actuals'!#REF!)</f>
        <v>2916.6666666666674</v>
      </c>
      <c r="BS22" s="684">
        <f>IF(BS$4="forecast",(AVERAGE(BG22:BR22)),'Dept. Cost Actuals'!#REF!)</f>
        <v>2916.6666666666674</v>
      </c>
      <c r="BT22" s="684">
        <f>IF(BT$4="forecast",(AVERAGE(BH22:BS22)),'Dept. Cost Actuals'!#REF!)</f>
        <v>2916.6666666666674</v>
      </c>
      <c r="BU22" s="684">
        <f>IF(BU$4="forecast",(AVERAGE(BI22:BT22)),'Dept. Cost Actuals'!#REF!)</f>
        <v>2916.6666666666674</v>
      </c>
      <c r="BV22" s="808">
        <f>IF(BV$4="forecast",(AVERAGE(BJ22:BU22)),'Dept. Cost Actuals'!#REF!)</f>
        <v>2916.6666666666674</v>
      </c>
    </row>
    <row r="23" spans="2:74" x14ac:dyDescent="0.35">
      <c r="B23" s="812" t="s">
        <v>1083</v>
      </c>
      <c r="C23" s="684">
        <f>IF(C$4="forecast",(AVERAGE(#REF!)),'Dept. Cost Actuals'!G114)</f>
        <v>119.07986837845019</v>
      </c>
      <c r="D23" s="684">
        <f>IF(D$4="forecast",(AVERAGE(#REF!)),'Dept. Cost Actuals'!H114)</f>
        <v>70.538736296940627</v>
      </c>
      <c r="E23" s="684">
        <f>IF(E$4="forecast",(AVERAGE(#REF!)),'Dept. Cost Actuals'!I114)</f>
        <v>36.959072925909609</v>
      </c>
      <c r="F23" s="684">
        <f>IF(F$4="forecast",(AVERAGE(#REF!)),'Dept. Cost Actuals'!J114)</f>
        <v>15.340555097981246</v>
      </c>
      <c r="G23" s="684">
        <f>IF(G$4="forecast",(AVERAGE(#REF!)),'Dept. Cost Actuals'!K114)</f>
        <v>21.640219021555236</v>
      </c>
      <c r="H23" s="684">
        <f>IF(H$4="forecast",(AVERAGE(#REF!)),'Dept. Cost Actuals'!L114)</f>
        <v>22.153151534195825</v>
      </c>
      <c r="I23" s="684">
        <f>IF(I$4="forecast",(AVERAGE(#REF!)),'Dept. Cost Actuals'!M114)</f>
        <v>95.770147762312064</v>
      </c>
      <c r="J23" s="684">
        <f>IF(J$4="forecast",(AVERAGE(#REF!)),'Dept. Cost Actuals'!N114)</f>
        <v>20.967562972486402</v>
      </c>
      <c r="K23" s="684">
        <f>IF(K$4="forecast",(AVERAGE(#REF!)),'Dept. Cost Actuals'!O114)</f>
        <v>17.441421656100907</v>
      </c>
      <c r="L23" s="684">
        <f>IF(L$4="forecast",(AVERAGE(#REF!)),'Dept. Cost Actuals'!P114)</f>
        <v>10.574376106809547</v>
      </c>
      <c r="M23" s="684">
        <f>IF(M$4="forecast",(AVERAGE(A23:L23)),'Dept. Cost Actuals'!Q114)</f>
        <v>19.441663736486372</v>
      </c>
      <c r="N23" s="684">
        <f>IF(N$4="forecast",(AVERAGE(B23:M23)),'Dept. Cost Actuals'!R114)</f>
        <v>18.926313247463614</v>
      </c>
      <c r="O23" s="684">
        <f>IF(O$4="forecast",(AVERAGE(C23:N23)),'Dept. Cost Actuals'!S114)</f>
        <v>0</v>
      </c>
      <c r="P23" s="684">
        <f>IF(P$4="forecast",(AVERAGE(D23:O23)),'Dept. Cost Actuals'!T114)</f>
        <v>0</v>
      </c>
      <c r="Q23" s="684">
        <f>IF(Q$4="forecast",(AVERAGE(E23:P23)),'Dept. Cost Actuals'!U114)</f>
        <v>0</v>
      </c>
      <c r="R23" s="684">
        <f>IF(R$4="forecast",(AVERAGE(F23:Q23)),'Dept. Cost Actuals'!V114)</f>
        <v>0</v>
      </c>
      <c r="S23" s="684">
        <f>IF(S$4="forecast",(AVERAGE(G23:R23)),'Dept. Cost Actuals'!W114)</f>
        <v>0</v>
      </c>
      <c r="T23" s="684">
        <f>IF(T$4="forecast",(AVERAGE(H23:S23)),'Dept. Cost Actuals'!X114)</f>
        <v>0</v>
      </c>
      <c r="U23" s="684">
        <f>IF(U$4="forecast",(AVERAGE(I23:T23)),'Dept. Cost Actuals'!Y114)</f>
        <v>0</v>
      </c>
      <c r="V23" s="684">
        <f>IF(V$4="forecast",(AVERAGE(J23:U23)),'Dept. Cost Actuals'!Z114)</f>
        <v>0</v>
      </c>
      <c r="W23" s="684">
        <f>IF(W$4="forecast",(AVERAGE(K23:V23)),'Dept. Cost Actuals'!AA114)</f>
        <v>0</v>
      </c>
      <c r="X23" s="684">
        <f>IF(X$4="forecast",(AVERAGE(L23:W23)),'Dept. Cost Actuals'!AB114)</f>
        <v>0</v>
      </c>
      <c r="Y23" s="684">
        <f>IF(Y$4="forecast",(AVERAGE(M23:X23)),'Dept. Cost Actuals'!AC114)</f>
        <v>0</v>
      </c>
      <c r="Z23" s="684">
        <f>IF(Z$4="forecast",(AVERAGE(N23:Y23)),'Dept. Cost Actuals'!AD114)</f>
        <v>0</v>
      </c>
      <c r="AA23" s="684">
        <f>IF(AA$4="forecast",(AVERAGE(O23:Z23)),'Dept. Cost Actuals'!AE114)</f>
        <v>0</v>
      </c>
      <c r="AB23" s="684">
        <f>IF(AB$4="forecast",(AVERAGE(P23:AA23)),'Dept. Cost Actuals'!AF114)</f>
        <v>0</v>
      </c>
      <c r="AC23" s="684">
        <f>IF(AC$4="forecast",(AVERAGE(Q23:AB23)),'Dept. Cost Actuals'!AG114)</f>
        <v>0</v>
      </c>
      <c r="AD23" s="684">
        <f>IF(AD$4="forecast",(AVERAGE(R23:AC23)),'Dept. Cost Actuals'!AH114)</f>
        <v>0</v>
      </c>
      <c r="AE23" s="684">
        <f>IF(AE$4="forecast",(AVERAGE(S23:AD23)),'Dept. Cost Actuals'!AI114)</f>
        <v>0</v>
      </c>
      <c r="AF23" s="684">
        <f>IF(AF$4="forecast",(AVERAGE(T23:AE23)),'Dept. Cost Actuals'!AJ114)</f>
        <v>0</v>
      </c>
      <c r="AG23" s="684">
        <f>IF(AG$4="forecast",(AVERAGE(U23:AF23)),'Dept. Cost Actuals'!AK114)</f>
        <v>0</v>
      </c>
      <c r="AH23" s="684">
        <f>IF(AH$4="forecast",(AVERAGE(V23:AG23)),'Dept. Cost Actuals'!AL114)</f>
        <v>0</v>
      </c>
      <c r="AI23" s="684">
        <f>IF(AI$4="forecast",(AVERAGE(W23:AH23)),'Dept. Cost Actuals'!AM114)</f>
        <v>0</v>
      </c>
      <c r="AJ23" s="684">
        <f>IF(AJ$4="forecast",(AVERAGE(X23:AI23)),'Dept. Cost Actuals'!AN114)</f>
        <v>0</v>
      </c>
      <c r="AK23" s="684">
        <f>IF(AK$4="forecast",(AVERAGE(Y23:AJ23)),'Dept. Cost Actuals'!AO114)</f>
        <v>0</v>
      </c>
      <c r="AL23" s="684">
        <f>IF(AL$4="forecast",(AVERAGE(Z23:AK23)),'Dept. Cost Actuals'!AP114)</f>
        <v>0</v>
      </c>
      <c r="AM23" s="684">
        <f>IF(AM$4="forecast",(AVERAGE(AA23:AL23)),'Dept. Cost Actuals'!AQ114)</f>
        <v>0</v>
      </c>
      <c r="AN23" s="684">
        <f>IF(AN$4="forecast",(AVERAGE(AB23:AM23)),'Dept. Cost Actuals'!AR114)</f>
        <v>0</v>
      </c>
      <c r="AO23" s="684">
        <f>IF(AO$4="forecast",(AVERAGE(AC23:AN23)),'Dept. Cost Actuals'!AS114)</f>
        <v>0</v>
      </c>
      <c r="AP23" s="684">
        <f>IF(AP$4="forecast",(AVERAGE(AD23:AO23)),'Dept. Cost Actuals'!AT114)</f>
        <v>0</v>
      </c>
      <c r="AQ23" s="684">
        <f>IF(AQ$4="forecast",(AVERAGE(AE23:AP23)),'Dept. Cost Actuals'!AU114)</f>
        <v>0</v>
      </c>
      <c r="AR23" s="684">
        <f>IF(AR$4="forecast",(AVERAGE(AF23:AQ23)),'Dept. Cost Actuals'!AV114)</f>
        <v>0</v>
      </c>
      <c r="AS23" s="684">
        <f>IF(AS$4="forecast",(AVERAGE(AG23:AR23)),'Dept. Cost Actuals'!AW114)</f>
        <v>0</v>
      </c>
      <c r="AT23" s="684">
        <f>IF(AT$4="forecast",(AVERAGE(AH23:AS23)),'Dept. Cost Actuals'!AX114)</f>
        <v>0</v>
      </c>
      <c r="AU23" s="684">
        <f>IF(AU$4="forecast",(AVERAGE(AI23:AT23)),'Dept. Cost Actuals'!AY114)</f>
        <v>0</v>
      </c>
      <c r="AV23" s="684">
        <f>IF(AV$4="forecast",(AVERAGE(AJ23:AU23)),'Dept. Cost Actuals'!AZ114)</f>
        <v>0</v>
      </c>
      <c r="AW23" s="684">
        <f>IF(AW$4="forecast",(AVERAGE(AK23:AV23)),'Dept. Cost Actuals'!BA114)</f>
        <v>0</v>
      </c>
      <c r="AX23" s="684">
        <f>IF(AX$4="forecast",(AVERAGE(AL23:AW23)),'Dept. Cost Actuals'!BB114)</f>
        <v>0</v>
      </c>
      <c r="AY23" s="684">
        <f>IF(AY$4="forecast",(AVERAGE(AM23:AX23)),'Dept. Cost Actuals'!BC114)</f>
        <v>0</v>
      </c>
      <c r="AZ23" s="684">
        <f>IF(AZ$4="forecast",(AVERAGE(AN23:AY23)),'Dept. Cost Actuals'!BD114)</f>
        <v>0</v>
      </c>
      <c r="BA23" s="684">
        <f>IF(BA$4="forecast",(AVERAGE(AO23:AZ23)),'Dept. Cost Actuals'!BE114)</f>
        <v>0</v>
      </c>
      <c r="BB23" s="684">
        <f>IF(BB$4="forecast",(AVERAGE(AP23:BA23)),'Dept. Cost Actuals'!BF114)</f>
        <v>0</v>
      </c>
      <c r="BC23" s="684">
        <f>IF(BC$4="forecast",(AVERAGE(AQ23:BB23)),'Dept. Cost Actuals'!BG114)</f>
        <v>0</v>
      </c>
      <c r="BD23" s="684">
        <f>IF(BD$4="forecast",(AVERAGE(AR23:BC23)),'Dept. Cost Actuals'!BH114)</f>
        <v>0</v>
      </c>
      <c r="BE23" s="684">
        <f>IF(BE$4="forecast",(AVERAGE(AS23:BD23)),'Dept. Cost Actuals'!BI114)</f>
        <v>0</v>
      </c>
      <c r="BF23" s="684">
        <f>IF(BF$4="forecast",(AVERAGE(AT23:BE23)),'Dept. Cost Actuals'!BJ114)</f>
        <v>0</v>
      </c>
      <c r="BG23" s="684">
        <f>IF(BG$4="forecast",(AVERAGE(AU23:BF23)),'Dept. Cost Actuals'!BK114)</f>
        <v>0</v>
      </c>
      <c r="BH23" s="684">
        <f>IF(BH$4="forecast",(AVERAGE(AV23:BG23)),'Dept. Cost Actuals'!BL114)</f>
        <v>0</v>
      </c>
      <c r="BI23" s="684">
        <f>IF(BI$4="forecast",(AVERAGE(AW23:BH23)),'Dept. Cost Actuals'!BM114)</f>
        <v>0</v>
      </c>
      <c r="BJ23" s="684">
        <f>IF(BJ$4="forecast",(AVERAGE(AX23:BI23)),'Dept. Cost Actuals'!BN114)</f>
        <v>0</v>
      </c>
      <c r="BK23" s="684">
        <f>IF(BK$4="forecast",(AVERAGE(AY23:BJ23)),'Dept. Cost Actuals'!BO114)</f>
        <v>0</v>
      </c>
      <c r="BL23" s="684">
        <f>IF(BL$4="forecast",(AVERAGE(AZ23:BK23)),'Dept. Cost Actuals'!BP114)</f>
        <v>0</v>
      </c>
      <c r="BM23" s="684">
        <f>IF(BM$4="forecast",(AVERAGE(BA23:BL23)),'Dept. Cost Actuals'!BQ114)</f>
        <v>0</v>
      </c>
      <c r="BN23" s="684">
        <f>IF(BN$4="forecast",(AVERAGE(BB23:BM23)),'Dept. Cost Actuals'!BR114)</f>
        <v>0</v>
      </c>
      <c r="BO23" s="684">
        <f>IF(BO$4="forecast",(AVERAGE(BC23:BN23)),'Dept. Cost Actuals'!BS114)</f>
        <v>0</v>
      </c>
      <c r="BP23" s="684">
        <f>IF(BP$4="forecast",(AVERAGE(BD23:BO23)),'Dept. Cost Actuals'!BT114)</f>
        <v>0</v>
      </c>
      <c r="BQ23" s="684">
        <f>IF(BQ$4="forecast",(AVERAGE(BE23:BP23)),'Dept. Cost Actuals'!BU114)</f>
        <v>0</v>
      </c>
      <c r="BR23" s="684">
        <f>IF(BR$4="forecast",(AVERAGE(BF23:BQ23)),'Dept. Cost Actuals'!BV114)</f>
        <v>0</v>
      </c>
      <c r="BS23" s="684">
        <f>IF(BS$4="forecast",(AVERAGE(BG23:BR23)),'Dept. Cost Actuals'!BW114)</f>
        <v>0</v>
      </c>
      <c r="BT23" s="684">
        <f>IF(BT$4="forecast",(AVERAGE(BH23:BS23)),'Dept. Cost Actuals'!BX114)</f>
        <v>0</v>
      </c>
      <c r="BU23" s="684">
        <f>IF(BU$4="forecast",(AVERAGE(BI23:BT23)),'Dept. Cost Actuals'!BY114)</f>
        <v>0</v>
      </c>
      <c r="BV23" s="808">
        <f>IF(BV$4="forecast",(AVERAGE(BJ23:BU23)),'Dept. Cost Actuals'!BZ114)</f>
        <v>0</v>
      </c>
    </row>
    <row r="24" spans="2:74" x14ac:dyDescent="0.35">
      <c r="B24" s="812" t="s">
        <v>943</v>
      </c>
      <c r="C24" s="684">
        <f>IF(C$4="forecast",C$7*'Direct People Department Costs'!$H$13,'Dept. Cost Actuals'!G43)</f>
        <v>0</v>
      </c>
      <c r="D24" s="684">
        <f>IF(D$4="forecast",D$7*'Direct People Department Costs'!$H$13,'Dept. Cost Actuals'!H43)</f>
        <v>0</v>
      </c>
      <c r="E24" s="684">
        <f>IF(E$4="forecast",E$7*'Direct People Department Costs'!$H$13,'Dept. Cost Actuals'!I43)</f>
        <v>0</v>
      </c>
      <c r="F24" s="684">
        <f>IF(F$4="forecast",F$7*'Direct People Department Costs'!$H$13,'Dept. Cost Actuals'!J43)</f>
        <v>0</v>
      </c>
      <c r="G24" s="684">
        <f>IF(G$4="forecast",G$7*'Direct People Department Costs'!$H$13,'Dept. Cost Actuals'!K43)</f>
        <v>0</v>
      </c>
      <c r="H24" s="684">
        <f>IF(H$4="forecast",H$7*'Direct People Department Costs'!$H$13,'Dept. Cost Actuals'!L43)</f>
        <v>0</v>
      </c>
      <c r="I24" s="684">
        <f>IF(I$4="forecast",I$7*'Direct People Department Costs'!$H$13,'Dept. Cost Actuals'!M43)</f>
        <v>0</v>
      </c>
      <c r="J24" s="684">
        <f>IF(J$4="forecast",J$7*'Direct People Department Costs'!$H$13,'Dept. Cost Actuals'!N43)</f>
        <v>0</v>
      </c>
      <c r="K24" s="684">
        <f>IF(K$4="forecast",K$7*'Direct People Department Costs'!$H$13,'Dept. Cost Actuals'!O43)</f>
        <v>0</v>
      </c>
      <c r="L24" s="684">
        <f>IF(L$4="forecast",L$7*'Direct People Department Costs'!$H$13,'Dept. Cost Actuals'!P43)</f>
        <v>0</v>
      </c>
      <c r="M24" s="684">
        <f>IF(M$4="forecast",M$7*'Direct People Department Costs'!$H$13,'Dept. Cost Actuals'!Q43)</f>
        <v>0</v>
      </c>
      <c r="N24" s="684">
        <f>IF(N$4="forecast",N$7*'Direct People Department Costs'!$H$13,'Dept. Cost Actuals'!R43)</f>
        <v>0</v>
      </c>
      <c r="O24" s="684">
        <f>IF(O$4="forecast",O$7*'Direct People Department Costs'!$H$13,'Dept. Cost Actuals'!S43)</f>
        <v>602.86</v>
      </c>
      <c r="P24" s="684">
        <f>IF(P$4="forecast",P$7*'Direct People Department Costs'!$H$13,'Dept. Cost Actuals'!T43)</f>
        <v>948.07</v>
      </c>
      <c r="Q24" s="684">
        <f>IF(Q$4="forecast",Q$7*'Direct People Department Costs'!$H$13,'Dept. Cost Actuals'!U43)</f>
        <v>1569.88</v>
      </c>
      <c r="R24" s="684">
        <f>IF(R$4="forecast",R$7*'Direct People Department Costs'!$H$13,'Dept. Cost Actuals'!V43)</f>
        <v>3965.79</v>
      </c>
      <c r="S24" s="684">
        <f>IF(S$4="forecast",S$7*'Direct People Department Costs'!$H$13,'Dept. Cost Actuals'!W43)</f>
        <v>3477.79</v>
      </c>
      <c r="T24" s="684">
        <f>IF(T$4="forecast",T$7*'Direct People Department Costs'!$H$13,'Dept. Cost Actuals'!X43)</f>
        <v>4301.6499999999996</v>
      </c>
      <c r="U24" s="684">
        <f>IF(U$4="forecast",U$7*'Direct People Department Costs'!$H$13,'Dept. Cost Actuals'!Y43)</f>
        <v>4874</v>
      </c>
      <c r="V24" s="684">
        <f>IF(V$4="forecast",V$7*'Direct People Department Costs'!$H$13,'Dept. Cost Actuals'!Z43)</f>
        <v>5367.18</v>
      </c>
      <c r="W24" s="684">
        <f>IF(W$4="forecast",W$7*'Direct People Department Costs'!$H$13,'Dept. Cost Actuals'!AA43)</f>
        <v>6001.4</v>
      </c>
      <c r="X24" s="684">
        <f>IF(X$4="forecast",X$7*'Direct People Department Costs'!$H$13,'Dept. Cost Actuals'!AB43)</f>
        <v>5007.83</v>
      </c>
      <c r="Y24" s="684">
        <f>IF(Y$4="forecast",Y$7*'Direct People Department Costs'!$H$13,'Dept. Cost Actuals'!AC43)</f>
        <v>4021.79</v>
      </c>
      <c r="Z24" s="684">
        <f>IF(Z$4="forecast",Z$7*'Direct People Department Costs'!$H$13,'Dept. Cost Actuals'!AD43)</f>
        <v>5254.45</v>
      </c>
      <c r="AA24" s="684">
        <f>IF(AA$4="forecast",(AA7*270),'Dept. Cost Actuals'!AE43)</f>
        <v>5400</v>
      </c>
      <c r="AB24" s="684">
        <f>IF(AB$4="forecast",(AB7*270),'Dept. Cost Actuals'!AF43)</f>
        <v>5670</v>
      </c>
      <c r="AC24" s="684">
        <f>IF(AC$4="forecast",(AC7*270),'Dept. Cost Actuals'!AG43)</f>
        <v>5670</v>
      </c>
      <c r="AD24" s="684">
        <f>IF(AD$4="forecast",(AD7*270),'Dept. Cost Actuals'!AH43)</f>
        <v>6210</v>
      </c>
      <c r="AE24" s="684">
        <f>IF(AE$4="forecast",(AE7*270),'Dept. Cost Actuals'!AI43)</f>
        <v>6210</v>
      </c>
      <c r="AF24" s="684">
        <f>IF(AF$4="forecast",(AF7*270),'Dept. Cost Actuals'!AJ43)</f>
        <v>6210</v>
      </c>
      <c r="AG24" s="684">
        <f>IF(AG$4="forecast",(AG7*270),'Dept. Cost Actuals'!AK43)</f>
        <v>6750</v>
      </c>
      <c r="AH24" s="684">
        <f>IF(AH$4="forecast",(AH7*270),'Dept. Cost Actuals'!AL43)</f>
        <v>6750</v>
      </c>
      <c r="AI24" s="684">
        <f>IF(AI$4="forecast",(AI7*270),'Dept. Cost Actuals'!AM43)</f>
        <v>6750</v>
      </c>
      <c r="AJ24" s="684">
        <f>IF(AJ$4="forecast",(AJ7*270),'Dept. Cost Actuals'!AN43)</f>
        <v>6750</v>
      </c>
      <c r="AK24" s="684">
        <f>IF(AK$4="forecast",(AK7*270),'Dept. Cost Actuals'!AO43)</f>
        <v>6750</v>
      </c>
      <c r="AL24" s="684">
        <f>IF(AL$4="forecast",(AL7*270),'Dept. Cost Actuals'!AP43)</f>
        <v>6750</v>
      </c>
      <c r="AM24" s="684">
        <f>IF(AM$4="forecast",((SUM(AA24:AL24)*1.1)/12),'Dept. Cost Actuals'!AQ43)</f>
        <v>6954.75</v>
      </c>
      <c r="AN24" s="684">
        <f>IF(AN$4="forecast",((SUM(AB24:AM24)*1.1)/12),'Dept. Cost Actuals'!AR43)</f>
        <v>7097.2687500000002</v>
      </c>
      <c r="AO24" s="684">
        <f>IF(AO$4="forecast",((SUM(AC24:AN24)*1.1)/12),'Dept. Cost Actuals'!AS43)</f>
        <v>7228.1017187500011</v>
      </c>
      <c r="AP24" s="684">
        <f>IF(AP$4="forecast",((SUM(AD24:AO24)*1.1)/12),'Dept. Cost Actuals'!AT43)</f>
        <v>7370.9277096354172</v>
      </c>
      <c r="AQ24" s="684">
        <f>IF(AQ$4="forecast",((SUM(AE24:AP24)*1.1)/12),'Dept. Cost Actuals'!AU43)</f>
        <v>7477.3460830186641</v>
      </c>
      <c r="AR24" s="684">
        <f>IF(AR$4="forecast",((SUM(AF24:AQ24)*1.1)/12),'Dept. Cost Actuals'!AV43)</f>
        <v>7593.519473962042</v>
      </c>
      <c r="AS24" s="684">
        <f>IF(AS$4="forecast",((SUM(AG24:AR24)*1.1)/12),'Dept. Cost Actuals'!AW43)</f>
        <v>7720.3420924085631</v>
      </c>
      <c r="AT24" s="684">
        <f>IF(AT$4="forecast",((SUM(AH24:AS24)*1.1)/12),'Dept. Cost Actuals'!AX43)</f>
        <v>7809.2901175460147</v>
      </c>
      <c r="AU24" s="684">
        <f>IF(AU$4="forecast",((SUM(AI24:AT24)*1.1)/12),'Dept. Cost Actuals'!AY43)</f>
        <v>7906.3917116543998</v>
      </c>
      <c r="AV24" s="684">
        <f>IF(AV$4="forecast",((SUM(AJ24:AU24)*1.1)/12),'Dept. Cost Actuals'!AZ43)</f>
        <v>8012.3942852227201</v>
      </c>
      <c r="AW24" s="684">
        <f>IF(AW$4="forecast",((SUM(AK24:AV24)*1.1)/12),'Dept. Cost Actuals'!BA43)</f>
        <v>8128.1137613681358</v>
      </c>
      <c r="AX24" s="684">
        <f>IF(AX$4="forecast",((SUM(AL24:AW24)*1.1)/12),'Dept. Cost Actuals'!BB43)</f>
        <v>8254.4408561602158</v>
      </c>
      <c r="AY24" s="684">
        <f>IF(AY$4="forecast",((SUM(AM24:AX24)*1.1)/12),'Dept. Cost Actuals'!BC43)</f>
        <v>8392.3479346415679</v>
      </c>
      <c r="AZ24" s="684">
        <f>IF(AZ$4="forecast",((SUM(AN24:AY24)*1.1)/12),'Dept. Cost Actuals'!BD43)</f>
        <v>8524.1277453170442</v>
      </c>
      <c r="BA24" s="684">
        <f>IF(BA$4="forecast",((SUM(AO24:AZ24)*1.1)/12),'Dept. Cost Actuals'!BE43)</f>
        <v>8654.923153221107</v>
      </c>
      <c r="BB24" s="684">
        <f>IF(BB$4="forecast",((SUM(AP24:BA24)*1.1)/12),'Dept. Cost Actuals'!BF43)</f>
        <v>8785.7151180476249</v>
      </c>
      <c r="BC24" s="684">
        <f>IF(BC$4="forecast",((SUM(AQ24:BB24)*1.1)/12),'Dept. Cost Actuals'!BG43)</f>
        <v>8915.4039638187442</v>
      </c>
      <c r="BD24" s="684">
        <f>IF(BD$4="forecast",((SUM(AR24:BC24)*1.1)/12),'Dept. Cost Actuals'!BH43)</f>
        <v>9047.2259362254172</v>
      </c>
      <c r="BE24" s="684">
        <f>IF(BE$4="forecast",((SUM(AS24:BD24)*1.1)/12),'Dept. Cost Actuals'!BI43)</f>
        <v>9180.4823619328927</v>
      </c>
      <c r="BF24" s="684">
        <f>IF(BF$4="forecast",((SUM(AT24:BE24)*1.1)/12),'Dept. Cost Actuals'!BJ43)</f>
        <v>9314.3285533059552</v>
      </c>
      <c r="BG24" s="684">
        <f>IF(BG$4="forecast",((SUM(AU24:BF24)*1.1)/12),'Dept. Cost Actuals'!BK43)</f>
        <v>9452.2904099172829</v>
      </c>
      <c r="BH24" s="684">
        <f>IF(BH$4="forecast",((SUM(AV24:BG24)*1.1)/12),'Dept. Cost Actuals'!BL43)</f>
        <v>9593.997790591382</v>
      </c>
      <c r="BI24" s="684">
        <f>IF(BI$4="forecast",((SUM(AW24:BH24)*1.1)/12),'Dept. Cost Actuals'!BM43)</f>
        <v>9738.9781119168456</v>
      </c>
      <c r="BJ24" s="684">
        <f>IF(BJ$4="forecast",((SUM(AX24:BI24)*1.1)/12),'Dept. Cost Actuals'!BN43)</f>
        <v>9886.640677383808</v>
      </c>
      <c r="BK24" s="684">
        <f>IF(BK$4="forecast",((SUM(AY24:BJ24)*1.1)/12),'Dept. Cost Actuals'!BO43)</f>
        <v>10036.258994329304</v>
      </c>
      <c r="BL24" s="684">
        <f>IF(BL$4="forecast",((SUM(AZ24:BK24)*1.1)/12),'Dept. Cost Actuals'!BP43)</f>
        <v>10186.950841467346</v>
      </c>
      <c r="BM24" s="684">
        <f>IF(BM$4="forecast",((SUM(BA24:BL24)*1.1)/12),'Dept. Cost Actuals'!BQ43)</f>
        <v>10339.37629194779</v>
      </c>
      <c r="BN24" s="684">
        <f>IF(BN$4="forecast",((SUM(BB24:BM24)*1.1)/12),'Dept. Cost Actuals'!BR43)</f>
        <v>10493.784496331069</v>
      </c>
      <c r="BO24" s="684">
        <f>IF(BO$4="forecast",((SUM(BC24:BN24)*1.1)/12),'Dept. Cost Actuals'!BS43)</f>
        <v>10650.357522673718</v>
      </c>
      <c r="BP24" s="684">
        <f>IF(BP$4="forecast",((SUM(BD24:BO24)*1.1)/12),'Dept. Cost Actuals'!BT43)</f>
        <v>10809.394932235424</v>
      </c>
      <c r="BQ24" s="684">
        <f>IF(BQ$4="forecast",((SUM(BE24:BP24)*1.1)/12),'Dept. Cost Actuals'!BU43)</f>
        <v>10970.927090203009</v>
      </c>
      <c r="BR24" s="684">
        <f>IF(BR$4="forecast",((SUM(BF24:BQ24)*1.1)/12),'Dept. Cost Actuals'!BV43)</f>
        <v>11135.051190294434</v>
      </c>
      <c r="BS24" s="684">
        <f>IF(BS$4="forecast",((SUM(BG24:BR24)*1.1)/12),'Dept. Cost Actuals'!BW43)</f>
        <v>11301.950765351714</v>
      </c>
      <c r="BT24" s="684">
        <f>IF(BT$4="forecast",((SUM(BH24:BS24)*1.1)/12),'Dept. Cost Actuals'!BX43)</f>
        <v>11471.502964599867</v>
      </c>
      <c r="BU24" s="684">
        <f>IF(BU$4="forecast",((SUM(BI24:BT24)*1.1)/12),'Dept. Cost Actuals'!BY43)</f>
        <v>11643.607605550649</v>
      </c>
      <c r="BV24" s="808">
        <f>IF(BV$4="forecast",((SUM(BJ24:BU24)*1.1)/12),'Dept. Cost Actuals'!BZ43)</f>
        <v>11818.198642467078</v>
      </c>
    </row>
    <row r="25" spans="2:74" x14ac:dyDescent="0.35">
      <c r="B25" s="812" t="s">
        <v>1082</v>
      </c>
      <c r="C25" s="684">
        <f>IF(C$4="forecast",(AVERAGE(#REF!)),'Dept. Cost Actuals'!G104)</f>
        <v>75</v>
      </c>
      <c r="D25" s="684">
        <f>IF(D$4="forecast",(AVERAGE(#REF!)),'Dept. Cost Actuals'!H104)</f>
        <v>0</v>
      </c>
      <c r="E25" s="684">
        <f>IF(E$4="forecast",(AVERAGE(#REF!)),'Dept. Cost Actuals'!I104)</f>
        <v>75</v>
      </c>
      <c r="F25" s="684">
        <f>IF(F$4="forecast",(AVERAGE(#REF!)),'Dept. Cost Actuals'!J104)</f>
        <v>0</v>
      </c>
      <c r="G25" s="684">
        <f>IF(G$4="forecast",(AVERAGE(#REF!)),'Dept. Cost Actuals'!K104)</f>
        <v>0</v>
      </c>
      <c r="H25" s="684">
        <f>IF(H$4="forecast",(AVERAGE(#REF!)),'Dept. Cost Actuals'!L104)</f>
        <v>0</v>
      </c>
      <c r="I25" s="684">
        <f>IF(I$4="forecast",(AVERAGE(#REF!)),'Dept. Cost Actuals'!M104)</f>
        <v>16</v>
      </c>
      <c r="J25" s="684">
        <f>IF(J$4="forecast",(AVERAGE(#REF!)),'Dept. Cost Actuals'!N104)</f>
        <v>9</v>
      </c>
      <c r="K25" s="684">
        <f>IF(K$4="forecast",(AVERAGE(#REF!)),'Dept. Cost Actuals'!O104)</f>
        <v>9</v>
      </c>
      <c r="L25" s="684">
        <f>IF(L$4="forecast",(AVERAGE(#REF!)),'Dept. Cost Actuals'!P104)</f>
        <v>0</v>
      </c>
      <c r="M25" s="684">
        <f>IF(M$4="forecast",(AVERAGE(A25:L25)),'Dept. Cost Actuals'!Q104)</f>
        <v>0</v>
      </c>
      <c r="N25" s="684">
        <f>IF(N$4="forecast",(AVERAGE(B25:M25)),'Dept. Cost Actuals'!R104)</f>
        <v>0</v>
      </c>
      <c r="O25" s="684">
        <f>IF(O$4="forecast",(AVERAGE(C25:N25)),'Dept. Cost Actuals'!S104)</f>
        <v>0</v>
      </c>
      <c r="P25" s="684">
        <f>IF(P$4="forecast",(AVERAGE(D25:O25)),'Dept. Cost Actuals'!T104)</f>
        <v>0</v>
      </c>
      <c r="Q25" s="684">
        <f>IF(Q$4="forecast",(AVERAGE(E25:P25)),'Dept. Cost Actuals'!U104)</f>
        <v>0</v>
      </c>
      <c r="R25" s="684">
        <f>IF(R$4="forecast",(AVERAGE(F25:Q25)),'Dept. Cost Actuals'!V104)</f>
        <v>0</v>
      </c>
      <c r="S25" s="684">
        <f>IF(S$4="forecast",(AVERAGE(G25:R25)),'Dept. Cost Actuals'!W104)</f>
        <v>0</v>
      </c>
      <c r="T25" s="684">
        <f>IF(T$4="forecast",(AVERAGE(H25:S25)),'Dept. Cost Actuals'!X104)</f>
        <v>0</v>
      </c>
      <c r="U25" s="684">
        <f>IF(U$4="forecast",(AVERAGE(I25:T25)),'Dept. Cost Actuals'!Y104)</f>
        <v>0</v>
      </c>
      <c r="V25" s="684">
        <f>IF(V$4="forecast",(AVERAGE(J25:U25)),'Dept. Cost Actuals'!Z104)</f>
        <v>8</v>
      </c>
      <c r="W25" s="684">
        <f>IF(W$4="forecast",(AVERAGE(K25:V25)),'Dept. Cost Actuals'!AA104)</f>
        <v>0</v>
      </c>
      <c r="X25" s="684">
        <f>IF(X$4="forecast",(AVERAGE(L25:W25)),'Dept. Cost Actuals'!AB104)</f>
        <v>0</v>
      </c>
      <c r="Y25" s="684">
        <f>IF(Y$4="forecast",(AVERAGE(M25:X25)),'Dept. Cost Actuals'!AC104)</f>
        <v>0</v>
      </c>
      <c r="Z25" s="684">
        <f>IF(Z$4="forecast",(AVERAGE(N25:Y25)),'Dept. Cost Actuals'!AD104)</f>
        <v>56</v>
      </c>
      <c r="AA25" s="684">
        <f>IF(AA$4="forecast",(SUM($O$25:$Z$25)/12),'Dept. Cost Actuals'!AE104)</f>
        <v>5.333333333333333</v>
      </c>
      <c r="AB25" s="684">
        <f>IF(AB$4="forecast",(SUM($O$25:$Z$25)/12),'Dept. Cost Actuals'!AF104)</f>
        <v>5.333333333333333</v>
      </c>
      <c r="AC25" s="684">
        <f>IF(AC$4="forecast",(SUM($O$25:$Z$25)/12),'Dept. Cost Actuals'!AG104)</f>
        <v>5.333333333333333</v>
      </c>
      <c r="AD25" s="684">
        <f>IF(AD$4="forecast",(SUM($O$25:$Z$25)/12),'Dept. Cost Actuals'!AH104)</f>
        <v>5.333333333333333</v>
      </c>
      <c r="AE25" s="684">
        <f>IF(AE$4="forecast",(SUM($O$25:$Z$25)/12),'Dept. Cost Actuals'!AI104)</f>
        <v>5.333333333333333</v>
      </c>
      <c r="AF25" s="684">
        <f>IF(AF$4="forecast",(SUM($O$25:$Z$25)/12),'Dept. Cost Actuals'!AJ104)</f>
        <v>5.333333333333333</v>
      </c>
      <c r="AG25" s="684">
        <f>IF(AG$4="forecast",(SUM($O$25:$Z$25)/12),'Dept. Cost Actuals'!AK104)</f>
        <v>5.333333333333333</v>
      </c>
      <c r="AH25" s="684">
        <f>IF(AH$4="forecast",(SUM($O$25:$Z$25)/12),'Dept. Cost Actuals'!AL104)</f>
        <v>5.333333333333333</v>
      </c>
      <c r="AI25" s="684">
        <f>IF(AI$4="forecast",(SUM($O$25:$Z$25)/12),'Dept. Cost Actuals'!AM104)</f>
        <v>5.333333333333333</v>
      </c>
      <c r="AJ25" s="684">
        <f>IF(AJ$4="forecast",(SUM($O$25:$Z$25)/12),'Dept. Cost Actuals'!AN104)</f>
        <v>5.333333333333333</v>
      </c>
      <c r="AK25" s="684">
        <f>IF(AK$4="forecast",(SUM($O$25:$Z$25)/12),'Dept. Cost Actuals'!AO104)</f>
        <v>5.333333333333333</v>
      </c>
      <c r="AL25" s="684">
        <f>IF(AL$4="forecast",(SUM($O$25:$Z$25)/12),'Dept. Cost Actuals'!AP104)</f>
        <v>5.333333333333333</v>
      </c>
      <c r="AM25" s="684">
        <f>IF(AM$4="forecast",(AVERAGE(AA25:AL25)),'Dept. Cost Actuals'!AQ104)</f>
        <v>5.333333333333333</v>
      </c>
      <c r="AN25" s="684">
        <f>IF(AN$4="forecast",(AVERAGE(AB25:AM25)),'Dept. Cost Actuals'!AR104)</f>
        <v>5.333333333333333</v>
      </c>
      <c r="AO25" s="684">
        <f>IF(AO$4="forecast",(AVERAGE(AC25:AN25)),'Dept. Cost Actuals'!AS104)</f>
        <v>5.333333333333333</v>
      </c>
      <c r="AP25" s="684">
        <f>IF(AP$4="forecast",(AVERAGE(AD25:AO25)),'Dept. Cost Actuals'!AT104)</f>
        <v>5.333333333333333</v>
      </c>
      <c r="AQ25" s="684">
        <f>IF(AQ$4="forecast",(AVERAGE(AE25:AP25)),'Dept. Cost Actuals'!AU104)</f>
        <v>5.333333333333333</v>
      </c>
      <c r="AR25" s="684">
        <f>IF(AR$4="forecast",(AVERAGE(AF25:AQ25)),'Dept. Cost Actuals'!AV104)</f>
        <v>5.333333333333333</v>
      </c>
      <c r="AS25" s="684">
        <f>IF(AS$4="forecast",(AVERAGE(AG25:AR25)),'Dept. Cost Actuals'!AW104)</f>
        <v>5.333333333333333</v>
      </c>
      <c r="AT25" s="684">
        <f>IF(AT$4="forecast",(AVERAGE(AH25:AS25)),'Dept. Cost Actuals'!AX104)</f>
        <v>5.333333333333333</v>
      </c>
      <c r="AU25" s="684">
        <f>IF(AU$4="forecast",(AVERAGE(AI25:AT25)),'Dept. Cost Actuals'!AY104)</f>
        <v>5.333333333333333</v>
      </c>
      <c r="AV25" s="684">
        <f>IF(AV$4="forecast",(AVERAGE(AJ25:AU25)),'Dept. Cost Actuals'!AZ104)</f>
        <v>5.333333333333333</v>
      </c>
      <c r="AW25" s="684">
        <f>IF(AW$4="forecast",(AVERAGE(AK25:AV25)),'Dept. Cost Actuals'!BA104)</f>
        <v>5.333333333333333</v>
      </c>
      <c r="AX25" s="684">
        <f>IF(AX$4="forecast",(AVERAGE(AL25:AW25)),'Dept. Cost Actuals'!BB104)</f>
        <v>5.333333333333333</v>
      </c>
      <c r="AY25" s="684">
        <f>IF(AY$4="forecast",(AVERAGE(AM25:AX25)),'Dept. Cost Actuals'!BC104)</f>
        <v>5.333333333333333</v>
      </c>
      <c r="AZ25" s="684">
        <f>IF(AZ$4="forecast",(AVERAGE(AN25:AY25)),'Dept. Cost Actuals'!BD104)</f>
        <v>5.333333333333333</v>
      </c>
      <c r="BA25" s="684">
        <f>IF(BA$4="forecast",(AVERAGE(AO25:AZ25)),'Dept. Cost Actuals'!BE104)</f>
        <v>5.333333333333333</v>
      </c>
      <c r="BB25" s="684">
        <f>IF(BB$4="forecast",(AVERAGE(AP25:BA25)),'Dept. Cost Actuals'!BF104)</f>
        <v>5.333333333333333</v>
      </c>
      <c r="BC25" s="684">
        <f>IF(BC$4="forecast",(AVERAGE(AQ25:BB25)),'Dept. Cost Actuals'!BG104)</f>
        <v>5.333333333333333</v>
      </c>
      <c r="BD25" s="684">
        <f>IF(BD$4="forecast",(AVERAGE(AR25:BC25)),'Dept. Cost Actuals'!BH104)</f>
        <v>5.333333333333333</v>
      </c>
      <c r="BE25" s="684">
        <f>IF(BE$4="forecast",(AVERAGE(AS25:BD25)),'Dept. Cost Actuals'!BI104)</f>
        <v>5.333333333333333</v>
      </c>
      <c r="BF25" s="684">
        <f>IF(BF$4="forecast",(AVERAGE(AT25:BE25)),'Dept. Cost Actuals'!BJ104)</f>
        <v>5.333333333333333</v>
      </c>
      <c r="BG25" s="684">
        <f>IF(BG$4="forecast",(AVERAGE(AU25:BF25)),'Dept. Cost Actuals'!BK104)</f>
        <v>5.333333333333333</v>
      </c>
      <c r="BH25" s="684">
        <f>IF(BH$4="forecast",(AVERAGE(AV25:BG25)),'Dept. Cost Actuals'!BL104)</f>
        <v>5.333333333333333</v>
      </c>
      <c r="BI25" s="684">
        <f>IF(BI$4="forecast",(AVERAGE(AW25:BH25)),'Dept. Cost Actuals'!BM104)</f>
        <v>5.333333333333333</v>
      </c>
      <c r="BJ25" s="684">
        <f>IF(BJ$4="forecast",(AVERAGE(AX25:BI25)),'Dept. Cost Actuals'!BN104)</f>
        <v>5.333333333333333</v>
      </c>
      <c r="BK25" s="684">
        <f>IF(BK$4="forecast",(AVERAGE(AY25:BJ25)),'Dept. Cost Actuals'!BO104)</f>
        <v>5.333333333333333</v>
      </c>
      <c r="BL25" s="684">
        <f>IF(BL$4="forecast",(AVERAGE(AZ25:BK25)),'Dept. Cost Actuals'!BP104)</f>
        <v>5.333333333333333</v>
      </c>
      <c r="BM25" s="684">
        <f>IF(BM$4="forecast",(AVERAGE(BA25:BL25)),'Dept. Cost Actuals'!BQ104)</f>
        <v>5.333333333333333</v>
      </c>
      <c r="BN25" s="684">
        <f>IF(BN$4="forecast",(AVERAGE(BB25:BM25)),'Dept. Cost Actuals'!BR104)</f>
        <v>5.333333333333333</v>
      </c>
      <c r="BO25" s="684">
        <f>IF(BO$4="forecast",(AVERAGE(BC25:BN25)),'Dept. Cost Actuals'!BS104)</f>
        <v>5.333333333333333</v>
      </c>
      <c r="BP25" s="684">
        <f>IF(BP$4="forecast",(AVERAGE(BD25:BO25)),'Dept. Cost Actuals'!BT104)</f>
        <v>5.333333333333333</v>
      </c>
      <c r="BQ25" s="684">
        <f>IF(BQ$4="forecast",(AVERAGE(BE25:BP25)),'Dept. Cost Actuals'!BU104)</f>
        <v>5.333333333333333</v>
      </c>
      <c r="BR25" s="684">
        <f>IF(BR$4="forecast",(AVERAGE(BF25:BQ25)),'Dept. Cost Actuals'!BV104)</f>
        <v>5.333333333333333</v>
      </c>
      <c r="BS25" s="684">
        <f>IF(BS$4="forecast",(AVERAGE(BG25:BR25)),'Dept. Cost Actuals'!BW104)</f>
        <v>5.333333333333333</v>
      </c>
      <c r="BT25" s="684">
        <f>IF(BT$4="forecast",(AVERAGE(BH25:BS25)),'Dept. Cost Actuals'!BX104)</f>
        <v>5.333333333333333</v>
      </c>
      <c r="BU25" s="684">
        <f>IF(BU$4="forecast",(AVERAGE(BI25:BT25)),'Dept. Cost Actuals'!BY104)</f>
        <v>5.333333333333333</v>
      </c>
      <c r="BV25" s="817">
        <f>IF(BV$4="forecast",(AVERAGE(BJ25:BU25)),'Dept. Cost Actuals'!BZ104)</f>
        <v>5.333333333333333</v>
      </c>
    </row>
    <row r="26" spans="2:74" x14ac:dyDescent="0.35">
      <c r="B26" s="813" t="s">
        <v>944</v>
      </c>
      <c r="C26" s="814">
        <f>SUM(C17:C25,C14)</f>
        <v>31841.156126949823</v>
      </c>
      <c r="D26" s="814">
        <f t="shared" ref="D26:BO26" si="7">SUM(D17:D25,D14)</f>
        <v>32369.921127343314</v>
      </c>
      <c r="E26" s="814">
        <f t="shared" si="7"/>
        <v>27204.649047427789</v>
      </c>
      <c r="F26" s="814">
        <f t="shared" si="7"/>
        <v>31461.018555105526</v>
      </c>
      <c r="G26" s="814">
        <f t="shared" si="7"/>
        <v>35565.393580848249</v>
      </c>
      <c r="H26" s="814">
        <f t="shared" si="7"/>
        <v>51999.626275579794</v>
      </c>
      <c r="I26" s="814">
        <f t="shared" si="7"/>
        <v>43049.51494017661</v>
      </c>
      <c r="J26" s="814">
        <f t="shared" si="7"/>
        <v>57457.708693927911</v>
      </c>
      <c r="K26" s="814">
        <f t="shared" si="7"/>
        <v>43375.84615925375</v>
      </c>
      <c r="L26" s="814">
        <f t="shared" si="7"/>
        <v>40153.399675049135</v>
      </c>
      <c r="M26" s="814">
        <f t="shared" si="7"/>
        <v>61101.795031672809</v>
      </c>
      <c r="N26" s="814">
        <f t="shared" si="7"/>
        <v>66447.673535028123</v>
      </c>
      <c r="O26" s="814">
        <f t="shared" si="7"/>
        <v>104454.79000000001</v>
      </c>
      <c r="P26" s="814">
        <f t="shared" si="7"/>
        <v>82289.259999999995</v>
      </c>
      <c r="Q26" s="814">
        <f t="shared" si="7"/>
        <v>143350.5</v>
      </c>
      <c r="R26" s="814">
        <f t="shared" si="7"/>
        <v>116002.44000000002</v>
      </c>
      <c r="S26" s="814">
        <f t="shared" si="7"/>
        <v>117917.86</v>
      </c>
      <c r="T26" s="814">
        <f t="shared" si="7"/>
        <v>100086.26000000001</v>
      </c>
      <c r="U26" s="814">
        <f t="shared" si="7"/>
        <v>129162.64</v>
      </c>
      <c r="V26" s="814">
        <f t="shared" si="7"/>
        <v>113153.14</v>
      </c>
      <c r="W26" s="814">
        <f t="shared" si="7"/>
        <v>125423.03</v>
      </c>
      <c r="X26" s="814">
        <f t="shared" si="7"/>
        <v>159322.61000000002</v>
      </c>
      <c r="Y26" s="814">
        <f t="shared" si="7"/>
        <v>124336.32000000001</v>
      </c>
      <c r="Z26" s="814">
        <f t="shared" si="7"/>
        <v>222343.41999999998</v>
      </c>
      <c r="AA26" s="814">
        <f t="shared" si="7"/>
        <v>135173.39220833333</v>
      </c>
      <c r="AB26" s="814">
        <f t="shared" si="7"/>
        <v>126580.64915277778</v>
      </c>
      <c r="AC26" s="814">
        <f t="shared" si="7"/>
        <v>122273.78417592593</v>
      </c>
      <c r="AD26" s="814">
        <f t="shared" si="7"/>
        <v>140515.42878433643</v>
      </c>
      <c r="AE26" s="814">
        <f t="shared" si="7"/>
        <v>131352.25294344779</v>
      </c>
      <c r="AF26" s="814">
        <f t="shared" si="7"/>
        <v>131691.86578248511</v>
      </c>
      <c r="AG26" s="814">
        <f t="shared" si="7"/>
        <v>150150.40385810885</v>
      </c>
      <c r="AH26" s="814">
        <f t="shared" si="7"/>
        <v>141388.38510670126</v>
      </c>
      <c r="AI26" s="814">
        <f t="shared" si="7"/>
        <v>141869.11479267635</v>
      </c>
      <c r="AJ26" s="814">
        <f t="shared" si="7"/>
        <v>141910.83028581608</v>
      </c>
      <c r="AK26" s="814">
        <f t="shared" si="7"/>
        <v>142167.73040338408</v>
      </c>
      <c r="AL26" s="814">
        <f t="shared" si="7"/>
        <v>383465.19219741604</v>
      </c>
      <c r="AM26" s="814">
        <f t="shared" si="7"/>
        <v>142772.76189608965</v>
      </c>
      <c r="AN26" s="814">
        <f t="shared" si="7"/>
        <v>145951.29261269668</v>
      </c>
      <c r="AO26" s="814">
        <f t="shared" si="7"/>
        <v>146180.95671656722</v>
      </c>
      <c r="AP26" s="814">
        <f t="shared" si="7"/>
        <v>146406.42185190422</v>
      </c>
      <c r="AQ26" s="814">
        <f t="shared" si="7"/>
        <v>146593.89558107581</v>
      </c>
      <c r="AR26" s="814">
        <f t="shared" si="7"/>
        <v>146794.81026086397</v>
      </c>
      <c r="AS26" s="814">
        <f t="shared" si="7"/>
        <v>146985.13487230585</v>
      </c>
      <c r="AT26" s="814">
        <f t="shared" si="7"/>
        <v>147116.33188355301</v>
      </c>
      <c r="AU26" s="814">
        <f t="shared" si="7"/>
        <v>147222.70477523084</v>
      </c>
      <c r="AV26" s="814">
        <f t="shared" si="7"/>
        <v>147298.69044733481</v>
      </c>
      <c r="AW26" s="814">
        <f t="shared" si="7"/>
        <v>147378.41532246553</v>
      </c>
      <c r="AX26" s="814">
        <f t="shared" si="7"/>
        <v>396010.63492302771</v>
      </c>
      <c r="AY26" s="814">
        <f t="shared" si="7"/>
        <v>154078.50918645179</v>
      </c>
      <c r="AZ26" s="814">
        <f t="shared" si="7"/>
        <v>157259.50124594886</v>
      </c>
      <c r="BA26" s="814">
        <f t="shared" si="7"/>
        <v>157415.66786369242</v>
      </c>
      <c r="BB26" s="814">
        <f t="shared" si="7"/>
        <v>157565.70937791836</v>
      </c>
      <c r="BC26" s="814">
        <f t="shared" si="7"/>
        <v>157709.36530683454</v>
      </c>
      <c r="BD26" s="814">
        <f t="shared" si="7"/>
        <v>157849.56367299936</v>
      </c>
      <c r="BE26" s="814">
        <f t="shared" si="7"/>
        <v>157984.83275120772</v>
      </c>
      <c r="BF26" s="814">
        <f t="shared" si="7"/>
        <v>158115.56748337383</v>
      </c>
      <c r="BG26" s="814">
        <f t="shared" si="7"/>
        <v>158246.63784366849</v>
      </c>
      <c r="BH26" s="814">
        <f t="shared" si="7"/>
        <v>158380.10682853538</v>
      </c>
      <c r="BI26" s="814">
        <f t="shared" si="7"/>
        <v>158518.66362952508</v>
      </c>
      <c r="BJ26" s="814">
        <f t="shared" si="7"/>
        <v>414685.65078137943</v>
      </c>
      <c r="BK26" s="814">
        <f t="shared" si="7"/>
        <v>159475.79208726395</v>
      </c>
      <c r="BL26" s="814">
        <f t="shared" si="7"/>
        <v>162740.68690282904</v>
      </c>
      <c r="BM26" s="814">
        <f t="shared" si="7"/>
        <v>162897.04192066198</v>
      </c>
      <c r="BN26" s="814">
        <f t="shared" si="7"/>
        <v>163053.59288885715</v>
      </c>
      <c r="BO26" s="814">
        <f t="shared" si="7"/>
        <v>163210.88311354609</v>
      </c>
      <c r="BP26" s="814">
        <f t="shared" ref="BP26:BV26" si="8">SUM(BP17:BP25,BP14)</f>
        <v>163369.5335643875</v>
      </c>
      <c r="BQ26" s="814">
        <f t="shared" si="8"/>
        <v>163529.94848426161</v>
      </c>
      <c r="BR26" s="814">
        <f t="shared" si="8"/>
        <v>163692.69452204334</v>
      </c>
      <c r="BS26" s="814">
        <f t="shared" si="8"/>
        <v>163858.36048453237</v>
      </c>
      <c r="BT26" s="814">
        <f t="shared" si="8"/>
        <v>164027.15056152464</v>
      </c>
      <c r="BU26" s="814">
        <f t="shared" si="8"/>
        <v>164199.11610301549</v>
      </c>
      <c r="BV26" s="815">
        <f t="shared" si="8"/>
        <v>428078.07410771173</v>
      </c>
    </row>
    <row r="27" spans="2:74" x14ac:dyDescent="0.35">
      <c r="B27" s="800"/>
      <c r="C27" s="157"/>
      <c r="D27" s="157"/>
      <c r="E27" s="157"/>
      <c r="F27" s="157"/>
      <c r="G27" s="157"/>
      <c r="H27" s="157"/>
      <c r="I27" s="157"/>
      <c r="J27" s="157"/>
      <c r="K27" s="157"/>
      <c r="L27" s="157"/>
      <c r="M27" s="157"/>
      <c r="N27" s="157"/>
      <c r="O27" s="157"/>
      <c r="P27" s="157"/>
      <c r="Q27" s="157"/>
      <c r="R27" s="157"/>
      <c r="S27" s="157"/>
      <c r="T27" s="157"/>
      <c r="U27" s="157"/>
      <c r="V27" s="157"/>
      <c r="W27" s="157"/>
      <c r="X27" s="157"/>
      <c r="Y27" s="157"/>
      <c r="Z27" s="157"/>
      <c r="AA27" s="157"/>
      <c r="AB27" s="157"/>
      <c r="AC27" s="157"/>
      <c r="AD27" s="157"/>
      <c r="AE27" s="157"/>
      <c r="AF27" s="157"/>
      <c r="AG27" s="157"/>
      <c r="AH27" s="157"/>
      <c r="AI27" s="157"/>
      <c r="AJ27" s="157"/>
      <c r="AK27" s="157"/>
      <c r="AL27" s="157"/>
      <c r="AM27" s="157"/>
      <c r="AN27" s="157"/>
      <c r="AO27" s="157"/>
      <c r="AP27" s="157"/>
      <c r="AQ27" s="157"/>
      <c r="AR27" s="157"/>
      <c r="AS27" s="157"/>
      <c r="AT27" s="157"/>
      <c r="AU27" s="157"/>
      <c r="AV27" s="157"/>
      <c r="AW27" s="157"/>
      <c r="AX27" s="157"/>
      <c r="AY27" s="157"/>
      <c r="AZ27" s="157"/>
      <c r="BA27" s="157"/>
      <c r="BB27" s="157"/>
      <c r="BC27" s="157"/>
      <c r="BD27" s="157"/>
      <c r="BE27" s="157"/>
      <c r="BF27" s="157"/>
      <c r="BG27" s="157"/>
      <c r="BH27" s="157"/>
      <c r="BI27" s="157"/>
      <c r="BJ27" s="157"/>
      <c r="BK27" s="157"/>
      <c r="BL27" s="157"/>
      <c r="BM27" s="157"/>
      <c r="BN27" s="157"/>
      <c r="BO27" s="157"/>
      <c r="BP27" s="157"/>
      <c r="BQ27" s="157"/>
      <c r="BR27" s="157"/>
      <c r="BS27" s="157"/>
      <c r="BT27" s="157"/>
      <c r="BU27" s="157"/>
      <c r="BV27" s="801"/>
    </row>
    <row r="28" spans="2:74" x14ac:dyDescent="0.35">
      <c r="B28" s="874" t="s">
        <v>945</v>
      </c>
      <c r="C28" s="877"/>
      <c r="D28" s="877"/>
      <c r="E28" s="877"/>
      <c r="F28" s="877"/>
      <c r="G28" s="877"/>
      <c r="H28" s="877"/>
      <c r="I28" s="877"/>
      <c r="J28" s="877"/>
      <c r="K28" s="877"/>
      <c r="L28" s="877"/>
      <c r="M28" s="877"/>
      <c r="N28" s="877"/>
      <c r="O28" s="878"/>
      <c r="P28" s="878"/>
      <c r="Q28" s="878"/>
      <c r="R28" s="878"/>
      <c r="S28" s="878"/>
      <c r="T28" s="878"/>
      <c r="U28" s="878"/>
      <c r="V28" s="878"/>
      <c r="W28" s="878"/>
      <c r="X28" s="878"/>
      <c r="Y28" s="878"/>
      <c r="Z28" s="878"/>
      <c r="AA28" s="878"/>
      <c r="AB28" s="878"/>
      <c r="AC28" s="878"/>
      <c r="AD28" s="878"/>
      <c r="AE28" s="878"/>
      <c r="AF28" s="878"/>
      <c r="AG28" s="878"/>
      <c r="AH28" s="878"/>
      <c r="AI28" s="878"/>
      <c r="AJ28" s="878"/>
      <c r="AK28" s="878"/>
      <c r="AL28" s="878"/>
      <c r="AM28" s="878"/>
      <c r="AN28" s="878"/>
      <c r="AO28" s="878"/>
      <c r="AP28" s="878"/>
      <c r="AQ28" s="878"/>
      <c r="AR28" s="878"/>
      <c r="AS28" s="878"/>
      <c r="AT28" s="878"/>
      <c r="AU28" s="878"/>
      <c r="AV28" s="878"/>
      <c r="AW28" s="878"/>
      <c r="AX28" s="878"/>
      <c r="AY28" s="878"/>
      <c r="AZ28" s="878"/>
      <c r="BA28" s="878"/>
      <c r="BB28" s="878"/>
      <c r="BC28" s="878"/>
      <c r="BD28" s="878"/>
      <c r="BE28" s="878"/>
      <c r="BF28" s="878"/>
      <c r="BG28" s="878"/>
      <c r="BH28" s="878"/>
      <c r="BI28" s="878"/>
      <c r="BJ28" s="878"/>
      <c r="BK28" s="878"/>
      <c r="BL28" s="878"/>
      <c r="BM28" s="878"/>
      <c r="BN28" s="878"/>
      <c r="BO28" s="878"/>
      <c r="BP28" s="878"/>
      <c r="BQ28" s="878"/>
      <c r="BR28" s="878"/>
      <c r="BS28" s="878"/>
      <c r="BT28" s="878"/>
      <c r="BU28" s="878"/>
      <c r="BV28" s="879"/>
    </row>
    <row r="29" spans="2:74" x14ac:dyDescent="0.35">
      <c r="B29" s="811" t="s">
        <v>946</v>
      </c>
      <c r="C29" s="684">
        <f>IF(C$4="forecast","Month Limit",'Dept. Cost Actuals'!G99-'Dept. Cost Actuals'!G97)</f>
        <v>0</v>
      </c>
      <c r="D29" s="684">
        <f>IF(D$4="forecast","Month Limit",'Dept. Cost Actuals'!H99-'Dept. Cost Actuals'!H97)</f>
        <v>70.968807268990759</v>
      </c>
      <c r="E29" s="684">
        <f>IF(E$4="forecast","Month Limit",'Dept. Cost Actuals'!I99-'Dept. Cost Actuals'!I97)</f>
        <v>0</v>
      </c>
      <c r="F29" s="684">
        <f>IF(F$4="forecast","Month Limit",'Dept. Cost Actuals'!J99-'Dept. Cost Actuals'!J97)</f>
        <v>86.189286013133824</v>
      </c>
      <c r="G29" s="684">
        <f>IF(G$4="forecast","Month Limit",'Dept. Cost Actuals'!K99-'Dept. Cost Actuals'!K97)</f>
        <v>95.320594289660676</v>
      </c>
      <c r="H29" s="684">
        <f>IF(H$4="forecast","Month Limit",'Dept. Cost Actuals'!L99-'Dept. Cost Actuals'!L97)</f>
        <v>1032.2556843667658</v>
      </c>
      <c r="I29" s="684">
        <f>IF(I$4="forecast","Month Limit",'Dept. Cost Actuals'!M99-'Dept. Cost Actuals'!M97)</f>
        <v>2280.8076198572667</v>
      </c>
      <c r="J29" s="684">
        <f>IF(J$4="forecast","Month Limit",'Dept. Cost Actuals'!N99-'Dept. Cost Actuals'!N97)</f>
        <v>2882.4282528542053</v>
      </c>
      <c r="K29" s="684">
        <f>IF(K$4="forecast","Month Limit",'Dept. Cost Actuals'!O99-'Dept. Cost Actuals'!O97)</f>
        <v>2743.0343309478831</v>
      </c>
      <c r="L29" s="684">
        <f>IF(L$4="forecast","Month Limit",'Dept. Cost Actuals'!P99-'Dept. Cost Actuals'!P97)</f>
        <v>761.2485775045634</v>
      </c>
      <c r="M29" s="684">
        <f>IF(M$4="forecast","Month Limit",'Dept. Cost Actuals'!Q99-'Dept. Cost Actuals'!Q97)</f>
        <v>3377.0612042241983</v>
      </c>
      <c r="N29" s="684">
        <f>IF(N$4="forecast","Month Limit",'Dept. Cost Actuals'!R99-'Dept. Cost Actuals'!R97)</f>
        <v>1262.2450895879695</v>
      </c>
      <c r="O29" s="684">
        <f>IF(O$4="forecast",(AVERAGE(C29:N29)),'Dept. Cost Actuals'!S99-'Dept. Cost Actuals'!S97)</f>
        <v>1993.87</v>
      </c>
      <c r="P29" s="684">
        <f>IF(P$4="forecast",(AVERAGE(D29:O29)),'Dept. Cost Actuals'!T99-'Dept. Cost Actuals'!T97)</f>
        <v>2812.18</v>
      </c>
      <c r="Q29" s="684">
        <f>IF(Q$4="forecast",(AVERAGE(E29:P29)),'Dept. Cost Actuals'!U99-'Dept. Cost Actuals'!U97)</f>
        <v>3543.14</v>
      </c>
      <c r="R29" s="684">
        <f>IF(R$4="forecast",(AVERAGE(F29:Q29)),'Dept. Cost Actuals'!V99-'Dept. Cost Actuals'!V97)</f>
        <v>769</v>
      </c>
      <c r="S29" s="684">
        <f>IF(S$4="forecast",(AVERAGE(G29:R29)),'Dept. Cost Actuals'!W99-'Dept. Cost Actuals'!W97)</f>
        <v>2189.54</v>
      </c>
      <c r="T29" s="684">
        <f>IF(T$4="forecast",(AVERAGE(H29:S29)),'Dept. Cost Actuals'!X99-'Dept. Cost Actuals'!X97)</f>
        <v>261</v>
      </c>
      <c r="U29" s="684">
        <f>IF(U$4="forecast",(AVERAGE(I29:T29)),'Dept. Cost Actuals'!Y99-'Dept. Cost Actuals'!Y97)</f>
        <v>1287.5000000000002</v>
      </c>
      <c r="V29" s="684">
        <f>IF(V$4="forecast",(AVERAGE(J29:U29)),'Dept. Cost Actuals'!Z99-'Dept. Cost Actuals'!Z97)</f>
        <v>0</v>
      </c>
      <c r="W29" s="684">
        <f>IF(W$4="forecast",(AVERAGE(K29:V29)),'Dept. Cost Actuals'!AA99-'Dept. Cost Actuals'!AA97)</f>
        <v>0</v>
      </c>
      <c r="X29" s="684">
        <f>IF(X$4="forecast",(AVERAGE(L29:W29)),'Dept. Cost Actuals'!AB99-'Dept. Cost Actuals'!AB97)</f>
        <v>0</v>
      </c>
      <c r="Y29" s="684">
        <f>IF(Y$4="forecast",(AVERAGE(M29:X29)),'Dept. Cost Actuals'!AC99-'Dept. Cost Actuals'!AC97)</f>
        <v>0</v>
      </c>
      <c r="Z29" s="684">
        <f>IF(Z$4="forecast",(AVERAGE(N29:Y29)),'Dept. Cost Actuals'!AD99-'Dept. Cost Actuals'!AD97)</f>
        <v>0</v>
      </c>
      <c r="AA29" s="684">
        <f>IF(AA$4="forecast",(AVERAGE(O29:Z29)),'Dept. Cost Actuals'!AE99-'Dept. Cost Actuals'!AE97)</f>
        <v>1071.3525</v>
      </c>
      <c r="AB29" s="684">
        <f>IF(AB$4="forecast",(AVERAGE(P29:AA29)),'Dept. Cost Actuals'!AF99-'Dept. Cost Actuals'!AF97)</f>
        <v>994.47604166666679</v>
      </c>
      <c r="AC29" s="684">
        <f>IF(AC$4="forecast",(AVERAGE(Q29:AB29)),'Dept. Cost Actuals'!AG99-'Dept. Cost Actuals'!AG97)</f>
        <v>843.00071180555551</v>
      </c>
      <c r="AD29" s="684">
        <f>IF(AD$4="forecast",(AVERAGE(R29:AC29)+4500),'Dept. Cost Actuals'!AH99-'Dept. Cost Actuals'!AH97)</f>
        <v>5117.9891044560181</v>
      </c>
      <c r="AE29" s="684">
        <f>IF(AE$4="forecast",(AVERAGE(S29:AD29)),'Dept. Cost Actuals'!AI99-'Dept. Cost Actuals'!AI97)</f>
        <v>980.40486316068666</v>
      </c>
      <c r="AF29" s="684">
        <f>IF(AF$4="forecast",(AVERAGE(T29:AE29)),'Dept. Cost Actuals'!AJ99-'Dept. Cost Actuals'!AJ97)</f>
        <v>879.64360175741069</v>
      </c>
      <c r="AG29" s="684">
        <f>IF(AG$4="forecast",(AVERAGE(U29:AF29)),'Dept. Cost Actuals'!AK99-'Dept. Cost Actuals'!AK97)</f>
        <v>931.19723523719495</v>
      </c>
      <c r="AH29" s="684">
        <f>IF(AH$4="forecast",(AVERAGE(V29:AG29)),'Dept. Cost Actuals'!AL99-'Dept. Cost Actuals'!AL97)</f>
        <v>901.50533817362759</v>
      </c>
      <c r="AI29" s="684">
        <f>IF(AI$4="forecast",(AVERAGE(W29:AH29)),'Dept. Cost Actuals'!AM99-'Dept. Cost Actuals'!AM97)</f>
        <v>976.63078302142992</v>
      </c>
      <c r="AJ29" s="684">
        <f>IF(AJ$4="forecast",(AVERAGE(X29:AI29)),'Dept. Cost Actuals'!AN99-'Dept. Cost Actuals'!AN97)</f>
        <v>1058.0166816065491</v>
      </c>
      <c r="AK29" s="684">
        <f>IF(AK$4="forecast",(AVERAGE(Y29:AJ29)),'Dept. Cost Actuals'!AO99-'Dept. Cost Actuals'!AO97)</f>
        <v>1146.1847384070948</v>
      </c>
      <c r="AL29" s="684">
        <f>IF(AL$4="forecast",(AVERAGE(Z29:AK29)),'Dept. Cost Actuals'!AP99-'Dept. Cost Actuals'!AP97)</f>
        <v>1241.7001332743528</v>
      </c>
      <c r="AM29" s="684">
        <f>IF(AM$4="forecast",(AVERAGE(AA29:AL29)),'Dept. Cost Actuals'!AQ99-'Dept. Cost Actuals'!AQ97)</f>
        <v>1345.1751443805488</v>
      </c>
      <c r="AN29" s="684">
        <f>IF(AN$4="forecast",(AVERAGE(AB29:AM29)),'Dept. Cost Actuals'!AR99-'Dept. Cost Actuals'!AR97)</f>
        <v>1367.993698078928</v>
      </c>
      <c r="AO29" s="684">
        <f>IF(AO$4="forecast",(AVERAGE(AC29:AN29)),'Dept. Cost Actuals'!AS99-'Dept. Cost Actuals'!AS97)</f>
        <v>1399.1201694466163</v>
      </c>
      <c r="AP29" s="684">
        <f>IF(AP$4="forecast",(AVERAGE(AD29:AO29)),'Dept. Cost Actuals'!AT99-'Dept. Cost Actuals'!AT97)</f>
        <v>1445.4634575833716</v>
      </c>
      <c r="AQ29" s="684">
        <f>IF(AQ$4="forecast",(AVERAGE(AE29:AP29)),'Dept. Cost Actuals'!AU99-'Dept. Cost Actuals'!AU97)</f>
        <v>1139.4196536773177</v>
      </c>
      <c r="AR29" s="684">
        <f>IF(AR$4="forecast",(AVERAGE(AF29:AQ29)),'Dept. Cost Actuals'!AV99-'Dept. Cost Actuals'!AV97)</f>
        <v>1152.6708862203702</v>
      </c>
      <c r="AS29" s="684">
        <f>IF(AS$4="forecast",(AVERAGE(AG29:AR29)),'Dept. Cost Actuals'!AW99-'Dept. Cost Actuals'!AW97)</f>
        <v>1175.4231599256168</v>
      </c>
      <c r="AT29" s="684">
        <f>IF(AT$4="forecast",(AVERAGE(AH29:AS29)),'Dept. Cost Actuals'!AX99-'Dept. Cost Actuals'!AX97)</f>
        <v>1195.7753203163186</v>
      </c>
      <c r="AU29" s="684">
        <f>IF(AU$4="forecast",(AVERAGE(AI29:AT29)),'Dept. Cost Actuals'!AY99-'Dept. Cost Actuals'!AY97)</f>
        <v>1220.2978188282095</v>
      </c>
      <c r="AV29" s="684">
        <f>IF(AV$4="forecast",(AVERAGE(AJ29:AU29)),'Dept. Cost Actuals'!AZ99-'Dept. Cost Actuals'!AZ97)</f>
        <v>1240.603405145441</v>
      </c>
      <c r="AW29" s="684">
        <f>IF(AW$4="forecast",(AVERAGE(AK29:AV29)),'Dept. Cost Actuals'!BA99-'Dept. Cost Actuals'!BA97)</f>
        <v>1255.8189654403488</v>
      </c>
      <c r="AX29" s="684">
        <f>IF(AX$4="forecast",(AVERAGE(AL29:AW29)),'Dept. Cost Actuals'!BB99-'Dept. Cost Actuals'!BB97)</f>
        <v>1264.9551510264532</v>
      </c>
      <c r="AY29" s="684">
        <f>IF(AY$4="forecast",(AVERAGE(AM29:AX29)),'Dept. Cost Actuals'!BC99-'Dept. Cost Actuals'!BC97)</f>
        <v>1266.893069172462</v>
      </c>
      <c r="AZ29" s="684">
        <f>IF(AZ$4="forecast",(AVERAGE(AN29:AY29)),'Dept. Cost Actuals'!BD99-'Dept. Cost Actuals'!BD97)</f>
        <v>1260.369562905121</v>
      </c>
      <c r="BA29" s="684">
        <f>IF(BA$4="forecast",(AVERAGE(AO29:AZ29)),'Dept. Cost Actuals'!BE99-'Dept. Cost Actuals'!BE97)</f>
        <v>1251.4008849739705</v>
      </c>
      <c r="BB29" s="684">
        <f>IF(BB$4="forecast",(AVERAGE(AP29:BA29)),'Dept. Cost Actuals'!BF99-'Dept. Cost Actuals'!BF97)</f>
        <v>1239.0909446012502</v>
      </c>
      <c r="BC29" s="684">
        <f>IF(BC$4="forecast",(AVERAGE(AQ29:BB29)),'Dept. Cost Actuals'!BG99-'Dept. Cost Actuals'!BG97)</f>
        <v>1221.8932351860733</v>
      </c>
      <c r="BD29" s="684">
        <f>IF(BD$4="forecast",(AVERAGE(AR29:BC29)),'Dept. Cost Actuals'!BH99-'Dept. Cost Actuals'!BH97)</f>
        <v>1228.7660336451363</v>
      </c>
      <c r="BE29" s="684">
        <f>IF(BE$4="forecast",(AVERAGE(AS29:BD29)),'Dept. Cost Actuals'!BI99-'Dept. Cost Actuals'!BI97)</f>
        <v>1235.1072959305336</v>
      </c>
      <c r="BF29" s="684">
        <f>IF(BF$4="forecast",(AVERAGE(AT29:BE29)),'Dept. Cost Actuals'!BJ99-'Dept. Cost Actuals'!BJ97)</f>
        <v>1240.0809739309432</v>
      </c>
      <c r="BG29" s="684">
        <f>IF(BG$4="forecast",(AVERAGE(AU29:BF29)),'Dept. Cost Actuals'!BK99-'Dept. Cost Actuals'!BK97)</f>
        <v>1243.7731117321616</v>
      </c>
      <c r="BH29" s="684">
        <f>IF(BH$4="forecast",(AVERAGE(AV29:BG29)),'Dept. Cost Actuals'!BL99-'Dept. Cost Actuals'!BL97)</f>
        <v>1245.7293861408245</v>
      </c>
      <c r="BI29" s="684">
        <f>IF(BI$4="forecast",(AVERAGE(AW29:BH29)),'Dept. Cost Actuals'!BM99-'Dept. Cost Actuals'!BM97)</f>
        <v>1246.1565512237732</v>
      </c>
      <c r="BJ29" s="684">
        <f>IF(BJ$4="forecast",(AVERAGE(AX29:BI29)),'Dept. Cost Actuals'!BN99-'Dept. Cost Actuals'!BN97)</f>
        <v>1245.3513500390584</v>
      </c>
      <c r="BK29" s="684">
        <f>IF(BK$4="forecast",(AVERAGE(AY29:BJ29)),'Dept. Cost Actuals'!BO99-'Dept. Cost Actuals'!BO97)</f>
        <v>1243.7176999567757</v>
      </c>
      <c r="BL29" s="684">
        <f>IF(BL$4="forecast",(AVERAGE(AZ29:BK29)),'Dept. Cost Actuals'!#REF!-'Dept. Cost Actuals'!#REF!)</f>
        <v>1241.786419188802</v>
      </c>
      <c r="BM29" s="684">
        <f>IF(BM$4="forecast",(AVERAGE(BA29:BL29)),'Dept. Cost Actuals'!#REF!-'Dept. Cost Actuals'!#REF!)</f>
        <v>1240.2378238791086</v>
      </c>
      <c r="BN29" s="684">
        <f>IF(BN$4="forecast",(AVERAGE(BB29:BM29)),'Dept. Cost Actuals'!#REF!-'Dept. Cost Actuals'!#REF!)</f>
        <v>1239.3075687878702</v>
      </c>
      <c r="BO29" s="684">
        <f>IF(BO$4="forecast",(AVERAGE(BC29:BN29)),'Dept. Cost Actuals'!#REF!-'Dept. Cost Actuals'!#REF!)</f>
        <v>1239.3256208034218</v>
      </c>
      <c r="BP29" s="684">
        <f>IF(BP$4="forecast",(AVERAGE(BD29:BO29)),'Dept. Cost Actuals'!#REF!-'Dept. Cost Actuals'!#REF!)</f>
        <v>1240.7783196048674</v>
      </c>
      <c r="BQ29" s="684">
        <f>IF(BQ$4="forecast",(AVERAGE(BE29:BP29)),'Dept. Cost Actuals'!#REF!-'Dept. Cost Actuals'!#REF!)</f>
        <v>1241.7793434348448</v>
      </c>
      <c r="BR29" s="684">
        <f>IF(BR$4="forecast",(AVERAGE(BF29:BQ29)),'Dept. Cost Actuals'!#REF!-'Dept. Cost Actuals'!#REF!)</f>
        <v>1242.3353473935374</v>
      </c>
      <c r="BS29" s="684">
        <f>IF(BS$4="forecast",(AVERAGE(BG29:BR29)),'Dept. Cost Actuals'!#REF!-'Dept. Cost Actuals'!#REF!)</f>
        <v>1242.5232118487536</v>
      </c>
      <c r="BT29" s="684">
        <f>IF(BT$4="forecast",(AVERAGE(BH29:BS29)),'Dept. Cost Actuals'!#REF!-'Dept. Cost Actuals'!#REF!)</f>
        <v>1242.4190535251364</v>
      </c>
      <c r="BU29" s="684">
        <f>IF(BU$4="forecast",(AVERAGE(BI29:BT29)),'Dept. Cost Actuals'!#REF!-'Dept. Cost Actuals'!#REF!)</f>
        <v>1242.143192473829</v>
      </c>
      <c r="BV29" s="808">
        <f>IF(BV$4="forecast",(AVERAGE(BJ29:BU29)),'Dept. Cost Actuals'!#REF!-'Dept. Cost Actuals'!#REF!)</f>
        <v>1241.8087459113337</v>
      </c>
    </row>
    <row r="30" spans="2:74" x14ac:dyDescent="0.35">
      <c r="B30" s="812" t="s">
        <v>926</v>
      </c>
      <c r="C30" s="684">
        <f>IF(C$4="forecast","Month Limit",'Dept. Cost Actuals'!G48+'Dept. Cost Actuals'!G8)</f>
        <v>0</v>
      </c>
      <c r="D30" s="684">
        <f>IF(D$4="forecast","Month Limit",'Dept. Cost Actuals'!H48+'Dept. Cost Actuals'!H8)</f>
        <v>0</v>
      </c>
      <c r="E30" s="684">
        <f>IF(E$4="forecast","Month Limit",'Dept. Cost Actuals'!I48+'Dept. Cost Actuals'!I8)</f>
        <v>0</v>
      </c>
      <c r="F30" s="684">
        <f>IF(F$4="forecast","Month Limit",'Dept. Cost Actuals'!J48+'Dept. Cost Actuals'!J8)</f>
        <v>0</v>
      </c>
      <c r="G30" s="684">
        <f>IF(G$4="forecast","Month Limit",'Dept. Cost Actuals'!K48+'Dept. Cost Actuals'!K8)</f>
        <v>0</v>
      </c>
      <c r="H30" s="684">
        <f>IF(H$4="forecast","Month Limit",'Dept. Cost Actuals'!L48+'Dept. Cost Actuals'!L8)</f>
        <v>0</v>
      </c>
      <c r="I30" s="684">
        <f>IF(I$4="forecast","Month Limit",'Dept. Cost Actuals'!M48+'Dept. Cost Actuals'!M8)</f>
        <v>106.70804903344191</v>
      </c>
      <c r="J30" s="684">
        <f>IF(J$4="forecast","Month Limit",'Dept. Cost Actuals'!N48+'Dept. Cost Actuals'!N8)</f>
        <v>0</v>
      </c>
      <c r="K30" s="684">
        <f>IF(K$4="forecast","Month Limit",'Dept. Cost Actuals'!O48+'Dept. Cost Actuals'!O8)</f>
        <v>70.456156962637479</v>
      </c>
      <c r="L30" s="684">
        <f>IF(L$4="forecast","Month Limit",'Dept. Cost Actuals'!P48+'Dept. Cost Actuals'!P8)</f>
        <v>66.857330092227372</v>
      </c>
      <c r="M30" s="684">
        <f>IF(M$4="forecast","Month Limit",'Dept. Cost Actuals'!Q48+'Dept. Cost Actuals'!Q8)</f>
        <v>0</v>
      </c>
      <c r="N30" s="684">
        <f>IF(N$4="forecast","Month Limit",'Dept. Cost Actuals'!R48+'Dept. Cost Actuals'!R8)</f>
        <v>0</v>
      </c>
      <c r="O30" s="684">
        <f>IF(O$4="forecast",AVERAGE(C30:N30),'Dept. Cost Actuals'!S48+'Dept. Cost Actuals'!S8)</f>
        <v>6</v>
      </c>
      <c r="P30" s="684">
        <f>IF(P$4="forecast",AVERAGE(D30:O30),'Dept. Cost Actuals'!T48+'Dept. Cost Actuals'!T8)</f>
        <v>600</v>
      </c>
      <c r="Q30" s="684">
        <f>IF(Q$4="forecast",AVERAGE(E30:P30),'Dept. Cost Actuals'!U48+'Dept. Cost Actuals'!U8)</f>
        <v>0</v>
      </c>
      <c r="R30" s="684">
        <f>IF(R$4="forecast",AVERAGE(F30:Q30),'Dept. Cost Actuals'!V48+'Dept. Cost Actuals'!V8)</f>
        <v>0</v>
      </c>
      <c r="S30" s="684">
        <f>IF(S$4="forecast",AVERAGE(G30:R30),'Dept. Cost Actuals'!W48+'Dept. Cost Actuals'!W8)</f>
        <v>0</v>
      </c>
      <c r="T30" s="684">
        <f>IF(T$4="forecast",AVERAGE(H30:S30),'Dept. Cost Actuals'!X48+'Dept. Cost Actuals'!X8)</f>
        <v>0</v>
      </c>
      <c r="U30" s="684">
        <f>IF(U$4="forecast",AVERAGE(I30:T30),'Dept. Cost Actuals'!Y48+'Dept. Cost Actuals'!Y8)</f>
        <v>0</v>
      </c>
      <c r="V30" s="684">
        <f>IF(V$4="forecast",AVERAGE(J30:U30),'Dept. Cost Actuals'!Z48+'Dept. Cost Actuals'!Z8)</f>
        <v>0</v>
      </c>
      <c r="W30" s="684">
        <f>IF(W$4="forecast",AVERAGE(K30:V30),'Dept. Cost Actuals'!AA48+'Dept. Cost Actuals'!AA8)</f>
        <v>477.83</v>
      </c>
      <c r="X30" s="684">
        <f>IF(X$4="forecast",AVERAGE(L30:W30),'Dept. Cost Actuals'!AB48+'Dept. Cost Actuals'!AB8)</f>
        <v>0</v>
      </c>
      <c r="Y30" s="684">
        <f>IF(Y$4="forecast",AVERAGE(M30:X30),'Dept. Cost Actuals'!AC48+'Dept. Cost Actuals'!AC8)</f>
        <v>1419.57</v>
      </c>
      <c r="Z30" s="684">
        <f>IF(Z$4="forecast",AVERAGE(N30:Y30),'Dept. Cost Actuals'!AD48+'Dept. Cost Actuals'!AD8)</f>
        <v>0</v>
      </c>
      <c r="AA30" s="684">
        <f>IF(AA$4="forecast",AVERAGE(O30:Z30),'Dept. Cost Actuals'!AE48+'Dept. Cost Actuals'!AE8)</f>
        <v>208.61666666666665</v>
      </c>
      <c r="AB30" s="684">
        <f>IF(AB$4="forecast",AVERAGE(P30:AA30),'Dept. Cost Actuals'!AF48+'Dept. Cost Actuals'!AF8)</f>
        <v>225.50138888888887</v>
      </c>
      <c r="AC30" s="684">
        <f>IF(AC$4="forecast",AVERAGE(Q30:AB30),'Dept. Cost Actuals'!AG48+'Dept. Cost Actuals'!AG8)</f>
        <v>194.29317129629626</v>
      </c>
      <c r="AD30" s="684">
        <f>IF(AD$4="forecast",AVERAGE(R30:AC30),'Dept. Cost Actuals'!AH48+'Dept. Cost Actuals'!AH8)</f>
        <v>210.48426890432097</v>
      </c>
      <c r="AE30" s="684">
        <f>IF(AE$4="forecast",AVERAGE(S30:AD30),'Dept. Cost Actuals'!AI48+'Dept. Cost Actuals'!AI8)</f>
        <v>228.02462464634769</v>
      </c>
      <c r="AF30" s="684">
        <f>IF(AF$4="forecast",AVERAGE(T30:AE30),'Dept. Cost Actuals'!AJ48+'Dept. Cost Actuals'!AJ8)</f>
        <v>247.02667670021</v>
      </c>
      <c r="AG30" s="684">
        <f>IF(AG$4="forecast",AVERAGE(U30:AF30),'Dept. Cost Actuals'!AK48+'Dept. Cost Actuals'!AK8)</f>
        <v>267.61223309189415</v>
      </c>
      <c r="AH30" s="684">
        <f>IF(AH$4="forecast",AVERAGE(V30:AG30),'Dept. Cost Actuals'!AL48+'Dept. Cost Actuals'!AL8)</f>
        <v>289.91325251621868</v>
      </c>
      <c r="AI30" s="684">
        <f>IF(AI$4="forecast",AVERAGE(W30:AH30),'Dept. Cost Actuals'!AM48+'Dept. Cost Actuals'!AM8)</f>
        <v>314.07269022590356</v>
      </c>
      <c r="AJ30" s="684">
        <f>IF(AJ$4="forecast",AVERAGE(X30:AI30),'Dept. Cost Actuals'!AN48+'Dept. Cost Actuals'!AN8)</f>
        <v>300.42624774472887</v>
      </c>
      <c r="AK30" s="684">
        <f>IF(AK$4="forecast",AVERAGE(Y30:AJ30),'Dept. Cost Actuals'!AO48+'Dept. Cost Actuals'!AO8)</f>
        <v>325.46176839012293</v>
      </c>
      <c r="AL30" s="684">
        <f>IF(AL$4="forecast",AVERAGE(Z30:AK30),'Dept. Cost Actuals'!AP48+'Dept. Cost Actuals'!AP8)</f>
        <v>234.28608242263317</v>
      </c>
      <c r="AM30" s="684">
        <f>IF(AM$4="forecast",AVERAGE(AA30:AL30),'Dept. Cost Actuals'!AQ48+'Dept. Cost Actuals'!AQ8)</f>
        <v>253.80992262451926</v>
      </c>
      <c r="AN30" s="684">
        <f>IF(AN$4="forecast",AVERAGE(AB30:AM30),'Dept. Cost Actuals'!AR48+'Dept. Cost Actuals'!AR8)</f>
        <v>257.57602728767364</v>
      </c>
      <c r="AO30" s="684">
        <f>IF(AO$4="forecast",AVERAGE(AC30:AN30),'Dept. Cost Actuals'!AS48+'Dept. Cost Actuals'!AS8)</f>
        <v>260.24891382090578</v>
      </c>
      <c r="AP30" s="684">
        <f>IF(AP$4="forecast",AVERAGE(AD30:AO30),'Dept. Cost Actuals'!AT48+'Dept. Cost Actuals'!AT8)</f>
        <v>265.74522569795658</v>
      </c>
      <c r="AQ30" s="684">
        <f>IF(AQ$4="forecast",AVERAGE(AE30:AP30),'Dept. Cost Actuals'!AU48+'Dept. Cost Actuals'!AU8)</f>
        <v>270.35030543075953</v>
      </c>
      <c r="AR30" s="684">
        <f>IF(AR$4="forecast",AVERAGE(AF30:AQ30),'Dept. Cost Actuals'!AV48+'Dept. Cost Actuals'!AV8)</f>
        <v>273.87744549612717</v>
      </c>
      <c r="AS30" s="684">
        <f>IF(AS$4="forecast",AVERAGE(AG30:AR30),'Dept. Cost Actuals'!AW48+'Dept. Cost Actuals'!AW8)</f>
        <v>276.11500956245357</v>
      </c>
      <c r="AT30" s="684">
        <f>IF(AT$4="forecast",AVERAGE(AH30:AS30),'Dept. Cost Actuals'!AX48+'Dept. Cost Actuals'!AX8)</f>
        <v>276.82357426833357</v>
      </c>
      <c r="AU30" s="684">
        <f>IF(AU$4="forecast",AVERAGE(AI30:AT30),'Dept. Cost Actuals'!AY48+'Dept. Cost Actuals'!AY8)</f>
        <v>275.73276774767641</v>
      </c>
      <c r="AV30" s="684">
        <f>IF(AV$4="forecast",AVERAGE(AJ30:AU30),'Dept. Cost Actuals'!AZ48+'Dept. Cost Actuals'!AZ8)</f>
        <v>272.53777420782421</v>
      </c>
      <c r="AW30" s="684">
        <f>IF(AW$4="forecast",AVERAGE(AK30:AV30),'Dept. Cost Actuals'!BA48+'Dept. Cost Actuals'!BA8)</f>
        <v>270.21373474641547</v>
      </c>
      <c r="AX30" s="684">
        <f>IF(AX$4="forecast",AVERAGE(AL30:AW30),'Dept. Cost Actuals'!BB48+'Dept. Cost Actuals'!BB8)</f>
        <v>265.60973194277324</v>
      </c>
      <c r="AY30" s="684">
        <f>IF(AY$4="forecast",AVERAGE(AM30:AX30),'Dept. Cost Actuals'!BC48+'Dept. Cost Actuals'!BC8)</f>
        <v>268.22003606945151</v>
      </c>
      <c r="AZ30" s="684">
        <f>IF(AZ$4="forecast",AVERAGE(AN30:AY30),'Dept. Cost Actuals'!BD48+'Dept. Cost Actuals'!BD8)</f>
        <v>269.42087885652921</v>
      </c>
      <c r="BA30" s="684">
        <f>IF(BA$4="forecast",AVERAGE(AO30:AZ30),'Dept. Cost Actuals'!BE48+'Dept. Cost Actuals'!BE8)</f>
        <v>270.40794982060055</v>
      </c>
      <c r="BB30" s="684">
        <f>IF(BB$4="forecast",AVERAGE(AP30:BA30),'Dept. Cost Actuals'!BF48+'Dept. Cost Actuals'!BF8)</f>
        <v>271.25453615390842</v>
      </c>
      <c r="BC30" s="684">
        <f>IF(BC$4="forecast",AVERAGE(AQ30:BB30),'Dept. Cost Actuals'!BG48+'Dept. Cost Actuals'!BG8)</f>
        <v>271.71364535857106</v>
      </c>
      <c r="BD30" s="684">
        <f>IF(BD$4="forecast",AVERAGE(AR30:BC30),'Dept. Cost Actuals'!BH48+'Dept. Cost Actuals'!BH8)</f>
        <v>271.82725701922203</v>
      </c>
      <c r="BE30" s="684">
        <f>IF(BE$4="forecast",AVERAGE(AS30:BD30),'Dept. Cost Actuals'!BI48+'Dept. Cost Actuals'!BI8)</f>
        <v>271.65640797947998</v>
      </c>
      <c r="BF30" s="684">
        <f>IF(BF$4="forecast",AVERAGE(AT30:BE30),'Dept. Cost Actuals'!BJ48+'Dept. Cost Actuals'!BJ8)</f>
        <v>271.28485784756543</v>
      </c>
      <c r="BG30" s="684">
        <f>IF(BG$4="forecast",AVERAGE(AU30:BF30),'Dept. Cost Actuals'!BK48+'Dept. Cost Actuals'!BK8)</f>
        <v>270.82329814583483</v>
      </c>
      <c r="BH30" s="684">
        <f>IF(BH$4="forecast",AVERAGE(AV30:BG30),'Dept. Cost Actuals'!BL48+'Dept. Cost Actuals'!BL8)</f>
        <v>270.4141756790147</v>
      </c>
      <c r="BI30" s="684">
        <f>IF(BI$4="forecast",AVERAGE(AW30:BH30),'Dept. Cost Actuals'!BM48+'Dept. Cost Actuals'!BM8)</f>
        <v>270.23720913494719</v>
      </c>
      <c r="BJ30" s="684">
        <f>IF(BJ$4="forecast",AVERAGE(AX30:BI30),'Dept. Cost Actuals'!BN48+'Dept. Cost Actuals'!BN8)</f>
        <v>270.23916533399154</v>
      </c>
      <c r="BK30" s="684">
        <f>IF(BK$4="forecast",AVERAGE(AY30:BJ30),'Dept. Cost Actuals'!BO48+'Dept. Cost Actuals'!BO8)</f>
        <v>270.62495144992636</v>
      </c>
      <c r="BL30" s="684">
        <f>IF(BL$4="forecast",AVERAGE(AZ30:BK30),'Dept. Cost Actuals'!#REF!+'Dept. Cost Actuals'!#REF!)</f>
        <v>270.82536106496593</v>
      </c>
      <c r="BM30" s="684">
        <f>IF(BM$4="forecast",AVERAGE(BA30:BL30),'Dept. Cost Actuals'!#REF!+'Dept. Cost Actuals'!#REF!)</f>
        <v>270.94240124900233</v>
      </c>
      <c r="BN30" s="684">
        <f>IF(BN$4="forecast",AVERAGE(BB30:BM30),'Dept. Cost Actuals'!#REF!+'Dept. Cost Actuals'!#REF!)</f>
        <v>270.98693886803579</v>
      </c>
      <c r="BO30" s="684">
        <f>IF(BO$4="forecast",AVERAGE(BC30:BN30),'Dept. Cost Actuals'!#REF!+'Dept. Cost Actuals'!#REF!)</f>
        <v>270.96463909421306</v>
      </c>
      <c r="BP30" s="684">
        <f>IF(BP$4="forecast",AVERAGE(BD30:BO30),'Dept. Cost Actuals'!#REF!+'Dept. Cost Actuals'!#REF!)</f>
        <v>270.90222190551657</v>
      </c>
      <c r="BQ30" s="684">
        <f>IF(BQ$4="forecast",AVERAGE(BE30:BP30),'Dept. Cost Actuals'!#REF!+'Dept. Cost Actuals'!#REF!)</f>
        <v>270.82513564604113</v>
      </c>
      <c r="BR30" s="684">
        <f>IF(BR$4="forecast",AVERAGE(BF30:BQ30),'Dept. Cost Actuals'!#REF!+'Dept. Cost Actuals'!#REF!)</f>
        <v>270.75586295158786</v>
      </c>
      <c r="BS30" s="684">
        <f>IF(BS$4="forecast",AVERAGE(BG30:BR30),'Dept. Cost Actuals'!#REF!+'Dept. Cost Actuals'!#REF!)</f>
        <v>270.71178004358973</v>
      </c>
      <c r="BT30" s="684">
        <f>IF(BT$4="forecast",AVERAGE(BH30:BS30),'Dept. Cost Actuals'!#REF!+'Dept. Cost Actuals'!#REF!)</f>
        <v>270.70248686840267</v>
      </c>
      <c r="BU30" s="684">
        <f>IF(BU$4="forecast",AVERAGE(BI30:BT30),'Dept. Cost Actuals'!#REF!+'Dept. Cost Actuals'!#REF!)</f>
        <v>270.72651280085171</v>
      </c>
      <c r="BV30" s="808">
        <f>IF(BV$4="forecast",AVERAGE(BJ30:BU30),'Dept. Cost Actuals'!#REF!+'Dept. Cost Actuals'!#REF!)</f>
        <v>270.76728810634376</v>
      </c>
    </row>
    <row r="31" spans="2:74" x14ac:dyDescent="0.35">
      <c r="B31" s="812" t="s">
        <v>947</v>
      </c>
      <c r="C31" s="684">
        <f>IF(C$4="forecast","Month Limit",'Dept. Cost Actuals'!G36)</f>
        <v>0</v>
      </c>
      <c r="D31" s="684">
        <f>IF(D$4="forecast","Month Limit",'Dept. Cost Actuals'!H36)</f>
        <v>9.7929857150480295</v>
      </c>
      <c r="E31" s="684">
        <f>IF(E$4="forecast","Month Limit",'Dept. Cost Actuals'!I36)</f>
        <v>1.7454906395659229</v>
      </c>
      <c r="F31" s="684">
        <f>IF(F$4="forecast","Month Limit",'Dept. Cost Actuals'!J36)</f>
        <v>18.295311561550317</v>
      </c>
      <c r="G31" s="684">
        <f>IF(G$4="forecast","Month Limit",'Dept. Cost Actuals'!K36)</f>
        <v>4.3231555687064498</v>
      </c>
      <c r="H31" s="684">
        <f>IF(H$4="forecast","Month Limit",'Dept. Cost Actuals'!L36)</f>
        <v>37.247563282693058</v>
      </c>
      <c r="I31" s="684">
        <f>IF(I$4="forecast","Month Limit",'Dept. Cost Actuals'!M36)</f>
        <v>1.1544060995650631</v>
      </c>
      <c r="J31" s="684">
        <f>IF(J$4="forecast","Month Limit",'Dept. Cost Actuals'!N36)</f>
        <v>11.483838821716224</v>
      </c>
      <c r="K31" s="684">
        <f>IF(K$4="forecast","Month Limit",'Dept. Cost Actuals'!O36)</f>
        <v>10.214381355658368</v>
      </c>
      <c r="L31" s="684">
        <f>IF(L$4="forecast","Month Limit",'Dept. Cost Actuals'!P36)</f>
        <v>49.243275761854989</v>
      </c>
      <c r="M31" s="684">
        <f>IF(M$4="forecast","Month Limit",'Dept. Cost Actuals'!Q36)</f>
        <v>0</v>
      </c>
      <c r="N31" s="684">
        <f>IF(N$4="forecast","Month Limit",'Dept. Cost Actuals'!R36)</f>
        <v>0</v>
      </c>
      <c r="O31" s="684">
        <f>IF(O$4="forecast",AVERAGE(C31:N31),'Dept. Cost Actuals'!S36)</f>
        <v>333.41</v>
      </c>
      <c r="P31" s="684">
        <f>IF(P$4="forecast",AVERAGE(D31:O31),'Dept. Cost Actuals'!T36)</f>
        <v>0</v>
      </c>
      <c r="Q31" s="684">
        <f>IF(Q$4="forecast",AVERAGE(E31:P31),'Dept. Cost Actuals'!U36)</f>
        <v>213.05</v>
      </c>
      <c r="R31" s="684">
        <f>IF(R$4="forecast",AVERAGE(F31:Q31),'Dept. Cost Actuals'!V36)</f>
        <v>106.68</v>
      </c>
      <c r="S31" s="684">
        <f>IF(S$4="forecast",AVERAGE(G31:R31),'Dept. Cost Actuals'!W36)</f>
        <v>219.83</v>
      </c>
      <c r="T31" s="684">
        <f>IF(T$4="forecast",AVERAGE(H31:S31),'Dept. Cost Actuals'!X36)</f>
        <v>322.18</v>
      </c>
      <c r="U31" s="684">
        <f>IF(U$4="forecast",AVERAGE(I31:T31),'Dept. Cost Actuals'!Y36)</f>
        <v>45.9</v>
      </c>
      <c r="V31" s="684">
        <f>IF(V$4="forecast",AVERAGE(J31:U31),'Dept. Cost Actuals'!Z36)</f>
        <v>253.33</v>
      </c>
      <c r="W31" s="684">
        <f>IF(W$4="forecast",AVERAGE(K31:V31),'Dept. Cost Actuals'!AA36)</f>
        <v>13.51</v>
      </c>
      <c r="X31" s="684">
        <f>IF(X$4="forecast",AVERAGE(L31:W31),'Dept. Cost Actuals'!AB36)</f>
        <v>8</v>
      </c>
      <c r="Y31" s="684">
        <f>IF(Y$4="forecast",AVERAGE(M31:X31),'Dept. Cost Actuals'!AC36)</f>
        <v>417.03</v>
      </c>
      <c r="Z31" s="684">
        <f>IF(Z$4="forecast",AVERAGE(N31:Y31),'Dept. Cost Actuals'!AD36)</f>
        <v>88.81</v>
      </c>
      <c r="AA31" s="684">
        <f>IF(AA$4="forecast",AVERAGE(O31:Z31),'Dept. Cost Actuals'!AE36)</f>
        <v>168.47749999999999</v>
      </c>
      <c r="AB31" s="684">
        <f>IF(AB$4="forecast",AVERAGE(P31:AA31),'Dept. Cost Actuals'!AF36)</f>
        <v>154.733125</v>
      </c>
      <c r="AC31" s="684">
        <f>IF(AC$4="forecast",AVERAGE(Q31:AB31),'Dept. Cost Actuals'!AG36)</f>
        <v>167.62755208333331</v>
      </c>
      <c r="AD31" s="684">
        <f>IF(AD$4="forecast",AVERAGE(R31:AC31),'Dept. Cost Actuals'!AH36)</f>
        <v>163.84234809027777</v>
      </c>
      <c r="AE31" s="684">
        <f>IF(AE$4="forecast",AVERAGE(S31:AD31),'Dept. Cost Actuals'!AI36)</f>
        <v>168.60587709780091</v>
      </c>
      <c r="AF31" s="684">
        <f>IF(AF$4="forecast",AVERAGE(T31:AE31),'Dept. Cost Actuals'!AJ36)</f>
        <v>164.33720018928429</v>
      </c>
      <c r="AG31" s="684">
        <f>IF(AG$4="forecast",AVERAGE(U31:AF31),'Dept. Cost Actuals'!AK36)</f>
        <v>151.18363353839132</v>
      </c>
      <c r="AH31" s="684">
        <f>IF(AH$4="forecast",AVERAGE(V31:AG31),'Dept. Cost Actuals'!AL36)</f>
        <v>159.95726966659063</v>
      </c>
      <c r="AI31" s="684">
        <f>IF(AI$4="forecast",AVERAGE(W31:AH31),'Dept. Cost Actuals'!AM36)</f>
        <v>152.17620880547318</v>
      </c>
      <c r="AJ31" s="684">
        <f>IF(AJ$4="forecast",AVERAGE(X31:AI31),'Dept. Cost Actuals'!AN36)</f>
        <v>163.73172620592928</v>
      </c>
      <c r="AK31" s="684">
        <f>IF(AK$4="forecast",AVERAGE(Y31:AJ31),'Dept. Cost Actuals'!AO36)</f>
        <v>176.70937005642338</v>
      </c>
      <c r="AL31" s="684">
        <f>IF(AL$4="forecast",AVERAGE(Z31:AK31),'Dept. Cost Actuals'!AP36)</f>
        <v>156.68265089445867</v>
      </c>
      <c r="AM31" s="684">
        <f>IF(AM$4="forecast",AVERAGE(AA31:AL31),'Dept. Cost Actuals'!AQ36)</f>
        <v>162.33870513566356</v>
      </c>
      <c r="AN31" s="684">
        <f>IF(AN$4="forecast",AVERAGE(AB31:AM31),'Dept. Cost Actuals'!AR36)</f>
        <v>161.82713889696888</v>
      </c>
      <c r="AO31" s="684">
        <f>IF(AO$4="forecast",AVERAGE(AC31:AN31),'Dept. Cost Actuals'!AS36)</f>
        <v>162.41830672171625</v>
      </c>
      <c r="AP31" s="684">
        <f>IF(AP$4="forecast",AVERAGE(AD31:AO31),'Dept. Cost Actuals'!AT36)</f>
        <v>161.98420294158151</v>
      </c>
      <c r="AQ31" s="684">
        <f>IF(AQ$4="forecast",AVERAGE(AE31:AP31),'Dept. Cost Actuals'!AU36)</f>
        <v>161.82935751252347</v>
      </c>
      <c r="AR31" s="684">
        <f>IF(AR$4="forecast",AVERAGE(AF31:AQ31),'Dept. Cost Actuals'!AV36)</f>
        <v>161.26464754708371</v>
      </c>
      <c r="AS31" s="684">
        <f>IF(AS$4="forecast",AVERAGE(AG31:AR31),'Dept. Cost Actuals'!AW36)</f>
        <v>161.008601493567</v>
      </c>
      <c r="AT31" s="684">
        <f>IF(AT$4="forecast",AVERAGE(AH31:AS31),'Dept. Cost Actuals'!AX36)</f>
        <v>161.82734882316495</v>
      </c>
      <c r="AU31" s="684">
        <f>IF(AU$4="forecast",AVERAGE(AI31:AT31),'Dept. Cost Actuals'!AY36)</f>
        <v>161.9831887528795</v>
      </c>
      <c r="AV31" s="684">
        <f>IF(AV$4="forecast",AVERAGE(AJ31:AU31),'Dept. Cost Actuals'!AZ36)</f>
        <v>162.80043708183004</v>
      </c>
      <c r="AW31" s="684">
        <f>IF(AW$4="forecast",AVERAGE(AK31:AV31),'Dept. Cost Actuals'!BA36)</f>
        <v>162.72282965482177</v>
      </c>
      <c r="AX31" s="684">
        <f>IF(AX$4="forecast",AVERAGE(AL31:AW31),'Dept. Cost Actuals'!BB36)</f>
        <v>161.55728462135497</v>
      </c>
      <c r="AY31" s="684">
        <f>IF(AY$4="forecast",AVERAGE(AM31:AX31),'Dept. Cost Actuals'!BC36)</f>
        <v>161.9635040985963</v>
      </c>
      <c r="AZ31" s="684">
        <f>IF(AZ$4="forecast",AVERAGE(AN31:AY31),'Dept. Cost Actuals'!BD36)</f>
        <v>161.93223734550736</v>
      </c>
      <c r="BA31" s="684">
        <f>IF(BA$4="forecast",AVERAGE(AO31:AZ31),'Dept. Cost Actuals'!BE36)</f>
        <v>161.94099554955221</v>
      </c>
      <c r="BB31" s="684">
        <f>IF(BB$4="forecast",AVERAGE(AP31:BA31),'Dept. Cost Actuals'!BF36)</f>
        <v>161.90121961853856</v>
      </c>
      <c r="BC31" s="684">
        <f>IF(BC$4="forecast",AVERAGE(AQ31:BB31),'Dept. Cost Actuals'!BG36)</f>
        <v>161.89430434161829</v>
      </c>
      <c r="BD31" s="684">
        <f>IF(BD$4="forecast",AVERAGE(AR31:BC31),'Dept. Cost Actuals'!BH36)</f>
        <v>161.89971657737624</v>
      </c>
      <c r="BE31" s="684">
        <f>IF(BE$4="forecast",AVERAGE(AS31:BD31),'Dept. Cost Actuals'!BI36)</f>
        <v>161.95263899656729</v>
      </c>
      <c r="BF31" s="684">
        <f>IF(BF$4="forecast",AVERAGE(AT31:BE31),'Dept. Cost Actuals'!BJ36)</f>
        <v>162.03130878848398</v>
      </c>
      <c r="BG31" s="684">
        <f>IF(BG$4="forecast",AVERAGE(AU31:BF31),'Dept. Cost Actuals'!BK36)</f>
        <v>162.04830545226054</v>
      </c>
      <c r="BH31" s="684">
        <f>IF(BH$4="forecast",AVERAGE(AV31:BG31),'Dept. Cost Actuals'!BL36)</f>
        <v>162.05373184387562</v>
      </c>
      <c r="BI31" s="684">
        <f>IF(BI$4="forecast",AVERAGE(AW31:BH31),'Dept. Cost Actuals'!BM36)</f>
        <v>161.99150640737943</v>
      </c>
      <c r="BJ31" s="684">
        <f>IF(BJ$4="forecast",AVERAGE(AX31:BI31),'Dept. Cost Actuals'!BN36)</f>
        <v>161.93056280342589</v>
      </c>
      <c r="BK31" s="684">
        <f>IF(BK$4="forecast",AVERAGE(AY31:BJ31),'Dept. Cost Actuals'!BO36)</f>
        <v>161.96166931859847</v>
      </c>
      <c r="BL31" s="684">
        <f>IF(BL$4="forecast",AVERAGE(AZ31:BK31),'Dept. Cost Actuals'!#REF!)</f>
        <v>161.96151642026533</v>
      </c>
      <c r="BM31" s="684">
        <f>IF(BM$4="forecast",AVERAGE(BA31:BL31),'Dept. Cost Actuals'!#REF!)</f>
        <v>161.96395634316181</v>
      </c>
      <c r="BN31" s="684">
        <f>IF(BN$4="forecast",AVERAGE(BB31:BM31),'Dept. Cost Actuals'!#REF!)</f>
        <v>161.96586974262928</v>
      </c>
      <c r="BO31" s="684">
        <f>IF(BO$4="forecast",AVERAGE(BC31:BN31),'Dept. Cost Actuals'!#REF!)</f>
        <v>161.97125725297019</v>
      </c>
      <c r="BP31" s="684">
        <f>IF(BP$4="forecast",AVERAGE(BD31:BO31),'Dept. Cost Actuals'!#REF!)</f>
        <v>161.97766999558283</v>
      </c>
      <c r="BQ31" s="684">
        <f>IF(BQ$4="forecast",AVERAGE(BE31:BP31),'Dept. Cost Actuals'!#REF!)</f>
        <v>161.98416611376672</v>
      </c>
      <c r="BR31" s="684">
        <f>IF(BR$4="forecast",AVERAGE(BF31:BQ31),'Dept. Cost Actuals'!#REF!)</f>
        <v>161.98679337353335</v>
      </c>
      <c r="BS31" s="684">
        <f>IF(BS$4="forecast",AVERAGE(BG31:BR31),'Dept. Cost Actuals'!#REF!)</f>
        <v>161.98308375562081</v>
      </c>
      <c r="BT31" s="684">
        <f>IF(BT$4="forecast",AVERAGE(BH31:BS31),'Dept. Cost Actuals'!#REF!)</f>
        <v>161.97764861423414</v>
      </c>
      <c r="BU31" s="684">
        <f>IF(BU$4="forecast",AVERAGE(BI31:BT31),'Dept. Cost Actuals'!#REF!)</f>
        <v>161.97130834509733</v>
      </c>
      <c r="BV31" s="808">
        <f>IF(BV$4="forecast",AVERAGE(BJ31:BU31),'Dept. Cost Actuals'!#REF!)</f>
        <v>161.9696251732405</v>
      </c>
    </row>
    <row r="32" spans="2:74" x14ac:dyDescent="0.35">
      <c r="B32" s="812" t="s">
        <v>948</v>
      </c>
      <c r="C32" s="684">
        <f>IF(C$4="forecast","Month Limit",'Dept. Cost Actuals'!G87)</f>
        <v>5.8319454352606392</v>
      </c>
      <c r="D32" s="684">
        <f>IF(D$4="forecast","Month Limit",'Dept. Cost Actuals'!H87)</f>
        <v>14.71321177647747</v>
      </c>
      <c r="E32" s="684">
        <f>IF(E$4="forecast","Month Limit",'Dept. Cost Actuals'!I87)</f>
        <v>0</v>
      </c>
      <c r="F32" s="684">
        <f>IF(F$4="forecast","Month Limit",'Dept. Cost Actuals'!J87)</f>
        <v>4.6351630877360357</v>
      </c>
      <c r="G32" s="684">
        <f>IF(G$4="forecast","Month Limit",'Dept. Cost Actuals'!K87)</f>
        <v>55.009270552782858</v>
      </c>
      <c r="H32" s="684">
        <f>IF(H$4="forecast","Month Limit",'Dept. Cost Actuals'!L87)</f>
        <v>1.9527848711314806</v>
      </c>
      <c r="I32" s="684">
        <f>IF(I$4="forecast","Month Limit",'Dept. Cost Actuals'!M87)</f>
        <v>0</v>
      </c>
      <c r="J32" s="684">
        <f>IF(J$4="forecast","Month Limit",'Dept. Cost Actuals'!N87)</f>
        <v>3.5384291655727487</v>
      </c>
      <c r="K32" s="684">
        <f>IF(K$4="forecast","Month Limit",'Dept. Cost Actuals'!O87)</f>
        <v>0.7565229853863199</v>
      </c>
      <c r="L32" s="684">
        <f>IF(L$4="forecast","Month Limit",'Dept. Cost Actuals'!P87)</f>
        <v>11.852402335497652</v>
      </c>
      <c r="M32" s="684">
        <f>IF(M$4="forecast","Month Limit",'Dept. Cost Actuals'!Q87)</f>
        <v>53.951975792123626</v>
      </c>
      <c r="N32" s="684">
        <f>IF(N$4="forecast","Month Limit",'Dept. Cost Actuals'!R87)</f>
        <v>35.064469799168634</v>
      </c>
      <c r="O32" s="684">
        <f>IF(O$4="forecast",AVERAGE(C32:N32),'Dept. Cost Actuals'!S87)</f>
        <v>11.25</v>
      </c>
      <c r="P32" s="684">
        <f>IF(P$4="forecast",AVERAGE(D32:O32),'Dept. Cost Actuals'!T87)</f>
        <v>0</v>
      </c>
      <c r="Q32" s="684">
        <f>IF(Q$4="forecast",AVERAGE(E32:P32),'Dept. Cost Actuals'!U87)</f>
        <v>0</v>
      </c>
      <c r="R32" s="684">
        <f>IF(R$4="forecast",AVERAGE(F32:Q32),'Dept. Cost Actuals'!V87)</f>
        <v>58.32</v>
      </c>
      <c r="S32" s="684">
        <f>IF(S$4="forecast",AVERAGE(G32:R32),'Dept. Cost Actuals'!W87)</f>
        <v>0</v>
      </c>
      <c r="T32" s="684">
        <f>IF(T$4="forecast",AVERAGE(H32:S32),'Dept. Cost Actuals'!X87)</f>
        <v>0</v>
      </c>
      <c r="U32" s="684">
        <f>IF(U$4="forecast",AVERAGE(I32:T32),'Dept. Cost Actuals'!Y87)</f>
        <v>0</v>
      </c>
      <c r="V32" s="684">
        <f>IF(V$4="forecast",AVERAGE(J32:U32),'Dept. Cost Actuals'!Z87)</f>
        <v>0</v>
      </c>
      <c r="W32" s="684">
        <f>IF(W$4="forecast",AVERAGE(K32:V32),'Dept. Cost Actuals'!AA87)</f>
        <v>26.82</v>
      </c>
      <c r="X32" s="684">
        <f>IF(X$4="forecast",AVERAGE(L32:W32),'Dept. Cost Actuals'!AB87)</f>
        <v>3202.47</v>
      </c>
      <c r="Y32" s="684">
        <f>IF(Y$4="forecast",AVERAGE(M32:X32),'Dept. Cost Actuals'!AC87)</f>
        <v>47.71</v>
      </c>
      <c r="Z32" s="684">
        <f>IF(Z$4="forecast",AVERAGE(N32:Y32),'Dept. Cost Actuals'!AD87)</f>
        <v>41.29</v>
      </c>
      <c r="AA32" s="684">
        <f>IF(AA$4="forecast",AVERAGE(O32:Z32),'Dept. Cost Actuals'!AE87)</f>
        <v>282.32166666666666</v>
      </c>
      <c r="AB32" s="684">
        <f>IF(AB$4="forecast",AVERAGE(P32:AA32),'Dept. Cost Actuals'!AF87)</f>
        <v>304.9109722222222</v>
      </c>
      <c r="AC32" s="684">
        <f>IF(AC$4="forecast",AVERAGE(Q32:AB32),'Dept. Cost Actuals'!AG87)</f>
        <v>330.32021990740736</v>
      </c>
      <c r="AD32" s="684">
        <f>IF(AD$4="forecast",AVERAGE(R32:AC32),'Dept. Cost Actuals'!AH87)</f>
        <v>357.84690489969131</v>
      </c>
      <c r="AE32" s="684">
        <f>IF(AE$4="forecast",AVERAGE(S32:AD32),'Dept. Cost Actuals'!AI87)</f>
        <v>382.80748030799896</v>
      </c>
      <c r="AF32" s="684">
        <f>IF(AF$4="forecast",AVERAGE(T32:AE32),'Dept. Cost Actuals'!AJ87)</f>
        <v>414.70810366699885</v>
      </c>
      <c r="AG32" s="684">
        <f>IF(AG$4="forecast",AVERAGE(U32:AF32),'Dept. Cost Actuals'!AK87)</f>
        <v>449.26711230591542</v>
      </c>
      <c r="AH32" s="684">
        <f>IF(AH$4="forecast",AVERAGE(V32:AG32),'Dept. Cost Actuals'!AL87)</f>
        <v>486.70603833140837</v>
      </c>
      <c r="AI32" s="684">
        <f>IF(AI$4="forecast",AVERAGE(W32:AH32),'Dept. Cost Actuals'!AM87)</f>
        <v>527.26487485902578</v>
      </c>
      <c r="AJ32" s="684">
        <f>IF(AJ$4="forecast",AVERAGE(X32:AI32),'Dept. Cost Actuals'!AN87)</f>
        <v>568.96861443061118</v>
      </c>
      <c r="AK32" s="684">
        <f>IF(AK$4="forecast",AVERAGE(Y32:AJ32),'Dept. Cost Actuals'!AO87)</f>
        <v>349.51016563316216</v>
      </c>
      <c r="AL32" s="684">
        <f>IF(AL$4="forecast",AVERAGE(Z32:AK32),'Dept. Cost Actuals'!AP87)</f>
        <v>374.66017943592561</v>
      </c>
      <c r="AM32" s="684">
        <f>IF(AM$4="forecast",AVERAGE(AA32:AL32),'Dept. Cost Actuals'!AQ87)</f>
        <v>402.44102772225284</v>
      </c>
      <c r="AN32" s="684">
        <f>IF(AN$4="forecast",AVERAGE(AB32:AM32),'Dept. Cost Actuals'!AR87)</f>
        <v>412.45097447688505</v>
      </c>
      <c r="AO32" s="684">
        <f>IF(AO$4="forecast",AVERAGE(AC32:AN32),'Dept. Cost Actuals'!AS87)</f>
        <v>421.41264133144023</v>
      </c>
      <c r="AP32" s="684">
        <f>IF(AP$4="forecast",AVERAGE(AD32:AO32),'Dept. Cost Actuals'!AT87)</f>
        <v>429.00367645010965</v>
      </c>
      <c r="AQ32" s="684">
        <f>IF(AQ$4="forecast",AVERAGE(AE32:AP32),'Dept. Cost Actuals'!AU87)</f>
        <v>434.93340741264439</v>
      </c>
      <c r="AR32" s="684">
        <f>IF(AR$4="forecast",AVERAGE(AF32:AQ32),'Dept. Cost Actuals'!AV87)</f>
        <v>439.27723467136497</v>
      </c>
      <c r="AS32" s="684">
        <f>IF(AS$4="forecast",AVERAGE(AG32:AR32),'Dept. Cost Actuals'!AW87)</f>
        <v>441.32466225506209</v>
      </c>
      <c r="AT32" s="684">
        <f>IF(AT$4="forecast",AVERAGE(AH32:AS32),'Dept. Cost Actuals'!AX87)</f>
        <v>440.66279141749101</v>
      </c>
      <c r="AU32" s="684">
        <f>IF(AU$4="forecast",AVERAGE(AI32:AT32),'Dept. Cost Actuals'!AY87)</f>
        <v>436.8258541746647</v>
      </c>
      <c r="AV32" s="684">
        <f>IF(AV$4="forecast",AVERAGE(AJ32:AU32),'Dept. Cost Actuals'!AZ87)</f>
        <v>429.28926911763443</v>
      </c>
      <c r="AW32" s="684">
        <f>IF(AW$4="forecast",AVERAGE(AK32:AV32),'Dept. Cost Actuals'!BA87)</f>
        <v>417.64932367488649</v>
      </c>
      <c r="AX32" s="684">
        <f>IF(AX$4="forecast",AVERAGE(AL32:AW32),'Dept. Cost Actuals'!BB87)</f>
        <v>423.32758684503023</v>
      </c>
      <c r="AY32" s="684">
        <f>IF(AY$4="forecast",AVERAGE(AM32:AX32),'Dept. Cost Actuals'!BC87)</f>
        <v>427.38320412912213</v>
      </c>
      <c r="AZ32" s="684">
        <f>IF(AZ$4="forecast",AVERAGE(AN32:AY32),'Dept. Cost Actuals'!BD87)</f>
        <v>429.46171882969458</v>
      </c>
      <c r="BA32" s="684">
        <f>IF(BA$4="forecast",AVERAGE(AO32:AZ32),'Dept. Cost Actuals'!BE87)</f>
        <v>430.87928085909539</v>
      </c>
      <c r="BB32" s="684">
        <f>IF(BB$4="forecast",AVERAGE(AP32:BA32),'Dept. Cost Actuals'!BF87)</f>
        <v>431.66816748639991</v>
      </c>
      <c r="BC32" s="684">
        <f>IF(BC$4="forecast",AVERAGE(AQ32:BB32),'Dept. Cost Actuals'!BG87)</f>
        <v>431.89020840609084</v>
      </c>
      <c r="BD32" s="684">
        <f>IF(BD$4="forecast",AVERAGE(AR32:BC32),'Dept. Cost Actuals'!BH87)</f>
        <v>431.63660848887815</v>
      </c>
      <c r="BE32" s="684">
        <f>IF(BE$4="forecast",AVERAGE(AS32:BD32),'Dept. Cost Actuals'!BI87)</f>
        <v>430.99988964033747</v>
      </c>
      <c r="BF32" s="684">
        <f>IF(BF$4="forecast",AVERAGE(AT32:BE32),'Dept. Cost Actuals'!BJ87)</f>
        <v>430.13949192244377</v>
      </c>
      <c r="BG32" s="684">
        <f>IF(BG$4="forecast",AVERAGE(AU32:BF32),'Dept. Cost Actuals'!BK87)</f>
        <v>429.26255029785654</v>
      </c>
      <c r="BH32" s="684">
        <f>IF(BH$4="forecast",AVERAGE(AV32:BG32),'Dept. Cost Actuals'!BL87)</f>
        <v>428.6322749747892</v>
      </c>
      <c r="BI32" s="684">
        <f>IF(BI$4="forecast",AVERAGE(AW32:BH32),'Dept. Cost Actuals'!BM87)</f>
        <v>428.57752546288538</v>
      </c>
      <c r="BJ32" s="684">
        <f>IF(BJ$4="forecast",AVERAGE(AX32:BI32),'Dept. Cost Actuals'!BN87)</f>
        <v>429.48820894521856</v>
      </c>
      <c r="BK32" s="684">
        <f>IF(BK$4="forecast",AVERAGE(AY32:BJ32),'Dept. Cost Actuals'!BO87)</f>
        <v>430.00159412023436</v>
      </c>
      <c r="BL32" s="684">
        <f>IF(BL$4="forecast",AVERAGE(AZ32:BK32),'Dept. Cost Actuals'!#REF!)</f>
        <v>430.21979328616038</v>
      </c>
      <c r="BM32" s="684">
        <f>IF(BM$4="forecast",AVERAGE(BA32:BL32),'Dept. Cost Actuals'!#REF!)</f>
        <v>430.28296615753248</v>
      </c>
      <c r="BN32" s="684">
        <f>IF(BN$4="forecast",AVERAGE(BB32:BM32),'Dept. Cost Actuals'!#REF!)</f>
        <v>430.23327326573553</v>
      </c>
      <c r="BO32" s="684">
        <f>IF(BO$4="forecast",AVERAGE(BC32:BN32),'Dept. Cost Actuals'!#REF!)</f>
        <v>430.11369874734675</v>
      </c>
      <c r="BP32" s="684">
        <f>IF(BP$4="forecast",AVERAGE(BD32:BO32),'Dept. Cost Actuals'!#REF!)</f>
        <v>429.96565627578497</v>
      </c>
      <c r="BQ32" s="684">
        <f>IF(BQ$4="forecast",AVERAGE(BE32:BP32),'Dept. Cost Actuals'!#REF!)</f>
        <v>429.82641025802701</v>
      </c>
      <c r="BR32" s="684">
        <f>IF(BR$4="forecast",AVERAGE(BF32:BQ32),'Dept. Cost Actuals'!#REF!)</f>
        <v>429.7286203095012</v>
      </c>
      <c r="BS32" s="684">
        <f>IF(BS$4="forecast",AVERAGE(BG32:BR32),'Dept. Cost Actuals'!#REF!)</f>
        <v>429.69438100842268</v>
      </c>
      <c r="BT32" s="684">
        <f>IF(BT$4="forecast",AVERAGE(BH32:BS32),'Dept. Cost Actuals'!#REF!)</f>
        <v>429.73036690096995</v>
      </c>
      <c r="BU32" s="684">
        <f>IF(BU$4="forecast",AVERAGE(BI32:BT32),'Dept. Cost Actuals'!#REF!)</f>
        <v>429.82187456148495</v>
      </c>
      <c r="BV32" s="808">
        <f>IF(BV$4="forecast",AVERAGE(BJ32:BU32),'Dept. Cost Actuals'!#REF!)</f>
        <v>429.92557031970159</v>
      </c>
    </row>
    <row r="33" spans="2:74" x14ac:dyDescent="0.35">
      <c r="B33" s="812" t="s">
        <v>949</v>
      </c>
      <c r="C33" s="684">
        <f>IF(C$4="forecast","Month Limit",'Dept. Cost Actuals'!G45+'Dept. Cost Actuals'!G44)</f>
        <v>584.71871083376618</v>
      </c>
      <c r="D33" s="684">
        <f>IF(D$4="forecast","Month Limit",'Dept. Cost Actuals'!H45+'Dept. Cost Actuals'!H44)</f>
        <v>199.95674354459939</v>
      </c>
      <c r="E33" s="684">
        <f>IF(E$4="forecast","Month Limit",'Dept. Cost Actuals'!I45+'Dept. Cost Actuals'!I44)</f>
        <v>681.46457791663852</v>
      </c>
      <c r="F33" s="684">
        <f>IF(F$4="forecast","Month Limit",'Dept. Cost Actuals'!J45+'Dept. Cost Actuals'!J44)</f>
        <v>202.80438557471638</v>
      </c>
      <c r="G33" s="684">
        <f>IF(G$4="forecast","Month Limit",'Dept. Cost Actuals'!K45+'Dept. Cost Actuals'!K44)</f>
        <v>409.86291309160555</v>
      </c>
      <c r="H33" s="684">
        <f>IF(H$4="forecast","Month Limit",'Dept. Cost Actuals'!L45+'Dept. Cost Actuals'!L44)</f>
        <v>760.49798080810967</v>
      </c>
      <c r="I33" s="684">
        <f>IF(I$4="forecast","Month Limit",'Dept. Cost Actuals'!M45+'Dept. Cost Actuals'!M44)</f>
        <v>742.83291275136605</v>
      </c>
      <c r="J33" s="684">
        <f>IF(J$4="forecast","Month Limit",'Dept. Cost Actuals'!N45+'Dept. Cost Actuals'!N44)</f>
        <v>400.76711548879712</v>
      </c>
      <c r="K33" s="684">
        <f>IF(K$4="forecast","Month Limit",'Dept. Cost Actuals'!O45+'Dept. Cost Actuals'!O44)</f>
        <v>328.843544199566</v>
      </c>
      <c r="L33" s="684">
        <f>IF(L$4="forecast","Month Limit",'Dept. Cost Actuals'!P45+'Dept. Cost Actuals'!P44)</f>
        <v>693.82086036507428</v>
      </c>
      <c r="M33" s="684">
        <f>IF(M$4="forecast","Month Limit",'Dept. Cost Actuals'!Q45+'Dept. Cost Actuals'!Q44)</f>
        <v>403.8611553476602</v>
      </c>
      <c r="N33" s="684">
        <f>IF(N$4="forecast","Month Limit",'Dept. Cost Actuals'!R45+'Dept. Cost Actuals'!R44)</f>
        <v>59.704192737510965</v>
      </c>
      <c r="O33" s="684">
        <f>IF(O$4="forecast",AVERAGE(C33:N33),'Dept. Cost Actuals'!S45+'Dept. Cost Actuals'!S44)</f>
        <v>12</v>
      </c>
      <c r="P33" s="684">
        <f>IF(P$4="forecast",AVERAGE(D33:O33),'Dept. Cost Actuals'!T45+'Dept. Cost Actuals'!T44)</f>
        <v>0</v>
      </c>
      <c r="Q33" s="684">
        <f>IF(Q$4="forecast",AVERAGE(E33:P33),'Dept. Cost Actuals'!U45+'Dept. Cost Actuals'!U44)</f>
        <v>0</v>
      </c>
      <c r="R33" s="684">
        <f>IF(R$4="forecast",AVERAGE(F33:Q33),'Dept. Cost Actuals'!V45+'Dept. Cost Actuals'!V44)</f>
        <v>0</v>
      </c>
      <c r="S33" s="684">
        <f>IF(S$4="forecast",AVERAGE(G33:R33),'Dept. Cost Actuals'!W45+'Dept. Cost Actuals'!W44)</f>
        <v>0</v>
      </c>
      <c r="T33" s="684">
        <f>IF(T$4="forecast",AVERAGE(H33:S33),'Dept. Cost Actuals'!X45+'Dept. Cost Actuals'!X44)</f>
        <v>0</v>
      </c>
      <c r="U33" s="684">
        <f>IF(U$4="forecast",AVERAGE(I33:T33),'Dept. Cost Actuals'!Y45+'Dept. Cost Actuals'!Y44)</f>
        <v>0</v>
      </c>
      <c r="V33" s="684">
        <f>IF(V$4="forecast",AVERAGE(J33:U33),'Dept. Cost Actuals'!Z45+'Dept. Cost Actuals'!Z44)</f>
        <v>6.95</v>
      </c>
      <c r="W33" s="684">
        <f>IF(W$4="forecast",AVERAGE(K33:V33),'Dept. Cost Actuals'!AA45+'Dept. Cost Actuals'!AA44)</f>
        <v>0</v>
      </c>
      <c r="X33" s="684">
        <f>IF(X$4="forecast",AVERAGE(L33:W33),'Dept. Cost Actuals'!AB45+'Dept. Cost Actuals'!AB44)</f>
        <v>49</v>
      </c>
      <c r="Y33" s="684">
        <f>IF(Y$4="forecast",AVERAGE(M33:X33),'Dept. Cost Actuals'!AC45+'Dept. Cost Actuals'!AC44)</f>
        <v>0</v>
      </c>
      <c r="Z33" s="684">
        <f>IF(Z$4="forecast",AVERAGE(N33:Y33),'Dept. Cost Actuals'!AD45+'Dept. Cost Actuals'!AD44)</f>
        <v>0</v>
      </c>
      <c r="AA33" s="684">
        <f>IF(AA$4="forecast",AVERAGE(O33:Z33),'Dept. Cost Actuals'!AE45+'Dept. Cost Actuals'!AE44)</f>
        <v>5.6625000000000005</v>
      </c>
      <c r="AB33" s="684">
        <f>IF(AB$4="forecast",AVERAGE(P33:AA33),'Dept. Cost Actuals'!AF45+'Dept. Cost Actuals'!AF44)</f>
        <v>5.1343750000000004</v>
      </c>
      <c r="AC33" s="684">
        <f>IF(AC$4="forecast",AVERAGE(Q33:AB33),'Dept. Cost Actuals'!AG45+'Dept. Cost Actuals'!AG44)</f>
        <v>5.5622395833333336</v>
      </c>
      <c r="AD33" s="684">
        <f>IF(AD$4="forecast",AVERAGE(R33:AC33),'Dept. Cost Actuals'!AH45+'Dept. Cost Actuals'!AH44)</f>
        <v>6.025759548611112</v>
      </c>
      <c r="AE33" s="684">
        <f>IF(AE$4="forecast",AVERAGE(S33:AD33),'Dept. Cost Actuals'!AI45+'Dept. Cost Actuals'!AI44)</f>
        <v>6.5279061776620368</v>
      </c>
      <c r="AF33" s="684">
        <f>IF(AF$4="forecast",AVERAGE(T33:AE33),'Dept. Cost Actuals'!AJ45+'Dept. Cost Actuals'!AJ44)</f>
        <v>7.0718983591338729</v>
      </c>
      <c r="AG33" s="684">
        <f>IF(AG$4="forecast",AVERAGE(U33:AF33),'Dept. Cost Actuals'!AK45+'Dept. Cost Actuals'!AK44)</f>
        <v>7.6612232223950292</v>
      </c>
      <c r="AH33" s="684">
        <f>IF(AH$4="forecast",AVERAGE(V33:AG33),'Dept. Cost Actuals'!AL45+'Dept. Cost Actuals'!AL44)</f>
        <v>8.2996584909279481</v>
      </c>
      <c r="AI33" s="684">
        <f>IF(AI$4="forecast",AVERAGE(W33:AH33),'Dept. Cost Actuals'!AM45+'Dept. Cost Actuals'!AM44)</f>
        <v>8.4121300318386094</v>
      </c>
      <c r="AJ33" s="684">
        <f>IF(AJ$4="forecast",AVERAGE(X33:AI33),'Dept. Cost Actuals'!AN45+'Dept. Cost Actuals'!AN44)</f>
        <v>9.1131408678251606</v>
      </c>
      <c r="AK33" s="684">
        <f>IF(AK$4="forecast",AVERAGE(Y33:AJ33),'Dept. Cost Actuals'!AO45+'Dept. Cost Actuals'!AO44)</f>
        <v>5.7892359401439251</v>
      </c>
      <c r="AL33" s="684">
        <f>IF(AL$4="forecast",AVERAGE(Z33:AK33),'Dept. Cost Actuals'!AP45+'Dept. Cost Actuals'!AP44)</f>
        <v>6.2716722684892519</v>
      </c>
      <c r="AM33" s="684">
        <f>IF(AM$4="forecast",AVERAGE(AA33:AL33),'Dept. Cost Actuals'!AQ45+'Dept. Cost Actuals'!AQ44)</f>
        <v>6.7943116241966903</v>
      </c>
      <c r="AN33" s="684">
        <f>IF(AN$4="forecast",AVERAGE(AB33:AM33),'Dept. Cost Actuals'!AR45+'Dept. Cost Actuals'!AR44)</f>
        <v>6.8886292595464136</v>
      </c>
      <c r="AO33" s="684">
        <f>IF(AO$4="forecast",AVERAGE(AC33:AN33),'Dept. Cost Actuals'!AS45+'Dept. Cost Actuals'!AS44)</f>
        <v>7.0348171145086162</v>
      </c>
      <c r="AP33" s="684">
        <f>IF(AP$4="forecast",AVERAGE(AD33:AO33),'Dept. Cost Actuals'!AT45+'Dept. Cost Actuals'!AT44)</f>
        <v>7.1575319087732225</v>
      </c>
      <c r="AQ33" s="684">
        <f>IF(AQ$4="forecast",AVERAGE(AE33:AP33),'Dept. Cost Actuals'!AU45+'Dept. Cost Actuals'!AU44)</f>
        <v>7.2518462721200647</v>
      </c>
      <c r="AR33" s="684">
        <f>IF(AR$4="forecast",AVERAGE(AF33:AQ33),'Dept. Cost Actuals'!AV45+'Dept. Cost Actuals'!AV44)</f>
        <v>7.3121746133248999</v>
      </c>
      <c r="AS33" s="684">
        <f>IF(AS$4="forecast",AVERAGE(AG33:AR33),'Dept. Cost Actuals'!AW45+'Dept. Cost Actuals'!AW44)</f>
        <v>7.3321976345074846</v>
      </c>
      <c r="AT33" s="684">
        <f>IF(AT$4="forecast",AVERAGE(AH33:AS33),'Dept. Cost Actuals'!AX45+'Dept. Cost Actuals'!AX44)</f>
        <v>7.3047788355168564</v>
      </c>
      <c r="AU33" s="684">
        <f>IF(AU$4="forecast",AVERAGE(AI33:AT33),'Dept. Cost Actuals'!AY45+'Dept. Cost Actuals'!AY44)</f>
        <v>7.2218721975659319</v>
      </c>
      <c r="AV33" s="684">
        <f>IF(AV$4="forecast",AVERAGE(AJ33:AU33),'Dept. Cost Actuals'!AZ45+'Dept. Cost Actuals'!AZ44)</f>
        <v>7.1226840447098754</v>
      </c>
      <c r="AW33" s="684">
        <f>IF(AW$4="forecast",AVERAGE(AK33:AV33),'Dept. Cost Actuals'!BA45+'Dept. Cost Actuals'!BA44)</f>
        <v>6.9568126427836026</v>
      </c>
      <c r="AX33" s="684">
        <f>IF(AX$4="forecast",AVERAGE(AL33:AW33),'Dept. Cost Actuals'!BB45+'Dept. Cost Actuals'!BB44)</f>
        <v>7.0541107013369091</v>
      </c>
      <c r="AY33" s="684">
        <f>IF(AY$4="forecast",AVERAGE(AM33:AX33),'Dept. Cost Actuals'!BC45+'Dept. Cost Actuals'!BC44)</f>
        <v>7.1193139040742137</v>
      </c>
      <c r="AZ33" s="684">
        <f>IF(AZ$4="forecast",AVERAGE(AN33:AY33),'Dept. Cost Actuals'!BD45+'Dept. Cost Actuals'!BD44)</f>
        <v>7.1463974273973419</v>
      </c>
      <c r="BA33" s="684">
        <f>IF(BA$4="forecast",AVERAGE(AO33:AZ33),'Dept. Cost Actuals'!BE45+'Dept. Cost Actuals'!BE44)</f>
        <v>7.1678781080515854</v>
      </c>
      <c r="BB33" s="684">
        <f>IF(BB$4="forecast",AVERAGE(AP33:BA33),'Dept. Cost Actuals'!BF45+'Dept. Cost Actuals'!BF44)</f>
        <v>7.1789665241801659</v>
      </c>
      <c r="BC33" s="684">
        <f>IF(BC$4="forecast",AVERAGE(AQ33:BB33),'Dept. Cost Actuals'!BG45+'Dept. Cost Actuals'!BG44)</f>
        <v>7.1807527421307453</v>
      </c>
      <c r="BD33" s="684">
        <f>IF(BD$4="forecast",AVERAGE(AR33:BC33),'Dept. Cost Actuals'!BH45+'Dept. Cost Actuals'!BH44)</f>
        <v>7.1748282812983009</v>
      </c>
      <c r="BE33" s="684">
        <f>IF(BE$4="forecast",AVERAGE(AS33:BD33),'Dept. Cost Actuals'!BI45+'Dept. Cost Actuals'!BI44)</f>
        <v>7.1633827536294179</v>
      </c>
      <c r="BF33" s="684">
        <f>IF(BF$4="forecast",AVERAGE(AT33:BE33),'Dept. Cost Actuals'!BJ45+'Dept. Cost Actuals'!BJ44)</f>
        <v>7.1493148468895802</v>
      </c>
      <c r="BG33" s="684">
        <f>IF(BG$4="forecast",AVERAGE(AU33:BF33),'Dept. Cost Actuals'!BK45+'Dept. Cost Actuals'!BK44)</f>
        <v>7.1363595145039733</v>
      </c>
      <c r="BH33" s="684">
        <f>IF(BH$4="forecast",AVERAGE(AV33:BG33),'Dept. Cost Actuals'!BL45+'Dept. Cost Actuals'!BL44)</f>
        <v>7.129233457582143</v>
      </c>
      <c r="BI33" s="684">
        <f>IF(BI$4="forecast",AVERAGE(AW33:BH33),'Dept. Cost Actuals'!BM45+'Dept. Cost Actuals'!BM44)</f>
        <v>7.1297792419881665</v>
      </c>
      <c r="BJ33" s="684">
        <f>IF(BJ$4="forecast",AVERAGE(AX33:BI33),'Dept. Cost Actuals'!BN45+'Dept. Cost Actuals'!BN44)</f>
        <v>7.1441931252552129</v>
      </c>
      <c r="BK33" s="684">
        <f>IF(BK$4="forecast",AVERAGE(AY33:BJ33),'Dept. Cost Actuals'!BO45+'Dept. Cost Actuals'!BO44)</f>
        <v>7.1516999939150709</v>
      </c>
      <c r="BL33" s="684">
        <f>IF(BL$4="forecast",AVERAGE(AZ33:BK33),'Dept. Cost Actuals'!#REF!+'Dept. Cost Actuals'!#REF!)</f>
        <v>7.1543988347351428</v>
      </c>
      <c r="BM33" s="684">
        <f>IF(BM$4="forecast",AVERAGE(BA33:BL33),'Dept. Cost Actuals'!#REF!+'Dept. Cost Actuals'!#REF!)</f>
        <v>7.1550656186799593</v>
      </c>
      <c r="BN33" s="684">
        <f>IF(BN$4="forecast",AVERAGE(BB33:BM33),'Dept. Cost Actuals'!#REF!+'Dept. Cost Actuals'!#REF!)</f>
        <v>7.1539979112323238</v>
      </c>
      <c r="BO33" s="684">
        <f>IF(BO$4="forecast",AVERAGE(BC33:BN33),'Dept. Cost Actuals'!#REF!+'Dept. Cost Actuals'!#REF!)</f>
        <v>7.1519171934866703</v>
      </c>
      <c r="BP33" s="684">
        <f>IF(BP$4="forecast",AVERAGE(BD33:BO33),'Dept. Cost Actuals'!#REF!+'Dept. Cost Actuals'!#REF!)</f>
        <v>7.1495142310996629</v>
      </c>
      <c r="BQ33" s="684">
        <f>IF(BQ$4="forecast",AVERAGE(BE33:BP33),'Dept. Cost Actuals'!#REF!+'Dept. Cost Actuals'!#REF!)</f>
        <v>7.1474047269164425</v>
      </c>
      <c r="BR33" s="684">
        <f>IF(BR$4="forecast",AVERAGE(BF33:BQ33),'Dept. Cost Actuals'!#REF!+'Dept. Cost Actuals'!#REF!)</f>
        <v>7.1460732246903618</v>
      </c>
      <c r="BS33" s="684">
        <f>IF(BS$4="forecast",AVERAGE(BG33:BR33),'Dept. Cost Actuals'!#REF!+'Dept. Cost Actuals'!#REF!)</f>
        <v>7.1458030895070932</v>
      </c>
      <c r="BT33" s="684">
        <f>IF(BT$4="forecast",AVERAGE(BH33:BS33),'Dept. Cost Actuals'!#REF!+'Dept. Cost Actuals'!#REF!)</f>
        <v>7.1465900540906873</v>
      </c>
      <c r="BU33" s="684">
        <f>IF(BU$4="forecast",AVERAGE(BI33:BT33),'Dept. Cost Actuals'!#REF!+'Dept. Cost Actuals'!#REF!)</f>
        <v>7.1480364371330678</v>
      </c>
      <c r="BV33" s="808">
        <f>IF(BV$4="forecast",AVERAGE(BJ33:BU33),'Dept. Cost Actuals'!#REF!+'Dept. Cost Actuals'!#REF!)</f>
        <v>7.1495578700618099</v>
      </c>
    </row>
    <row r="34" spans="2:74" x14ac:dyDescent="0.35">
      <c r="B34" s="812" t="s">
        <v>950</v>
      </c>
      <c r="C34" s="684">
        <f>IF(C$4="forecast","Month Limit",'Dept. Cost Actuals'!G88)</f>
        <v>0</v>
      </c>
      <c r="D34" s="684">
        <f>IF(D$4="forecast","Month Limit",'Dept. Cost Actuals'!H88)</f>
        <v>0</v>
      </c>
      <c r="E34" s="684">
        <f>IF(E$4="forecast","Month Limit",'Dept. Cost Actuals'!I88)</f>
        <v>0</v>
      </c>
      <c r="F34" s="684">
        <f>IF(F$4="forecast","Month Limit",'Dept. Cost Actuals'!J88)</f>
        <v>110.64940714933664</v>
      </c>
      <c r="G34" s="684">
        <f>IF(G$4="forecast","Month Limit",'Dept. Cost Actuals'!K88)</f>
        <v>11.731765451035141</v>
      </c>
      <c r="H34" s="684">
        <f>IF(H$4="forecast","Month Limit",'Dept. Cost Actuals'!L88)</f>
        <v>0</v>
      </c>
      <c r="I34" s="684">
        <f>IF(I$4="forecast","Month Limit",'Dept. Cost Actuals'!M88)</f>
        <v>0</v>
      </c>
      <c r="J34" s="684">
        <f>IF(J$4="forecast","Month Limit",'Dept. Cost Actuals'!N88)</f>
        <v>0</v>
      </c>
      <c r="K34" s="684">
        <f>IF(K$4="forecast","Month Limit",'Dept. Cost Actuals'!O88)</f>
        <v>11.29500266307282</v>
      </c>
      <c r="L34" s="684">
        <f>IF(L$4="forecast","Month Limit",'Dept. Cost Actuals'!P88)</f>
        <v>0.22107271885135174</v>
      </c>
      <c r="M34" s="684">
        <f>IF(M$4="forecast","Month Limit",'Dept. Cost Actuals'!Q88)</f>
        <v>19.224235996656144</v>
      </c>
      <c r="N34" s="684">
        <f>IF(N$4="forecast","Month Limit",'Dept. Cost Actuals'!R88)</f>
        <v>0</v>
      </c>
      <c r="O34" s="684">
        <f>IF(O$4="forecast",AVERAGE(C34:N34),'Dept. Cost Actuals'!S88)</f>
        <v>299.72000000000003</v>
      </c>
      <c r="P34" s="684">
        <f>IF(P$4="forecast",AVERAGE(D34:O34),'Dept. Cost Actuals'!T88)</f>
        <v>0</v>
      </c>
      <c r="Q34" s="684">
        <f>IF(Q$4="forecast",AVERAGE(E34:P34),'Dept. Cost Actuals'!U88)</f>
        <v>0</v>
      </c>
      <c r="R34" s="684">
        <f>IF(R$4="forecast",AVERAGE(F34:Q34),'Dept. Cost Actuals'!V88)</f>
        <v>0</v>
      </c>
      <c r="S34" s="684">
        <f>IF(S$4="forecast",AVERAGE(G34:R34),'Dept. Cost Actuals'!W88)</f>
        <v>1363.59</v>
      </c>
      <c r="T34" s="684">
        <f>IF(T$4="forecast",AVERAGE(H34:S34),'Dept. Cost Actuals'!X88)</f>
        <v>0</v>
      </c>
      <c r="U34" s="684">
        <f>IF(U$4="forecast",AVERAGE(I34:T34),'Dept. Cost Actuals'!Y88)</f>
        <v>0</v>
      </c>
      <c r="V34" s="684">
        <f>IF(V$4="forecast",AVERAGE(J34:U34),'Dept. Cost Actuals'!Z88)</f>
        <v>0</v>
      </c>
      <c r="W34" s="684">
        <f>IF(W$4="forecast",AVERAGE(K34:V34),'Dept. Cost Actuals'!AA88)</f>
        <v>246.16</v>
      </c>
      <c r="X34" s="684">
        <f>IF(X$4="forecast",AVERAGE(L34:W34),'Dept. Cost Actuals'!AB88)</f>
        <v>0</v>
      </c>
      <c r="Y34" s="684">
        <f>IF(Y$4="forecast",AVERAGE(M34:X34),'Dept. Cost Actuals'!AC88)</f>
        <v>784.12</v>
      </c>
      <c r="Z34" s="684">
        <f>IF(Z$4="forecast",AVERAGE(N34:Y34),'Dept. Cost Actuals'!AD88)</f>
        <v>0</v>
      </c>
      <c r="AA34" s="684">
        <f>IF(AA$4="forecast",AVERAGE(O34:Z34),'Dept. Cost Actuals'!AE88)</f>
        <v>224.46583333333334</v>
      </c>
      <c r="AB34" s="684">
        <f>IF(AB$4="forecast",AVERAGE(P34:AA34),'Dept. Cost Actuals'!AF88)</f>
        <v>218.19465277777775</v>
      </c>
      <c r="AC34" s="684">
        <f>IF(AC$4="forecast",AVERAGE(Q34:AB34),'Dept. Cost Actuals'!AG88)</f>
        <v>236.37754050925923</v>
      </c>
      <c r="AD34" s="684">
        <f>IF(AD$4="forecast",AVERAGE(R34:AC34),'Dept. Cost Actuals'!AH88)</f>
        <v>256.07566888503084</v>
      </c>
      <c r="AE34" s="684">
        <f>IF(AE$4="forecast",AVERAGE(S34:AD34),'Dept. Cost Actuals'!AI88)</f>
        <v>277.41530795878339</v>
      </c>
      <c r="AF34" s="684">
        <f>IF(AF$4="forecast",AVERAGE(T34:AE34),'Dept. Cost Actuals'!AJ88)</f>
        <v>186.90075028868205</v>
      </c>
      <c r="AG34" s="684">
        <f>IF(AG$4="forecast",AVERAGE(U34:AF34),'Dept. Cost Actuals'!AK88)</f>
        <v>202.47581281273889</v>
      </c>
      <c r="AH34" s="684">
        <f>IF(AH$4="forecast",AVERAGE(V34:AG34),'Dept. Cost Actuals'!AL88)</f>
        <v>219.34879721380045</v>
      </c>
      <c r="AI34" s="684">
        <f>IF(AI$4="forecast",AVERAGE(W34:AH34),'Dept. Cost Actuals'!AM88)</f>
        <v>237.62786364828381</v>
      </c>
      <c r="AJ34" s="684">
        <f>IF(AJ$4="forecast",AVERAGE(X34:AI34),'Dept. Cost Actuals'!AN88)</f>
        <v>236.91685228564077</v>
      </c>
      <c r="AK34" s="684">
        <f>IF(AK$4="forecast",AVERAGE(Y34:AJ34),'Dept. Cost Actuals'!AO88)</f>
        <v>256.6599233094442</v>
      </c>
      <c r="AL34" s="684">
        <f>IF(AL$4="forecast",AVERAGE(Z34:AK34),'Dept. Cost Actuals'!AP88)</f>
        <v>212.70491691856458</v>
      </c>
      <c r="AM34" s="684">
        <f>IF(AM$4="forecast",AVERAGE(AA34:AL34),'Dept. Cost Actuals'!AQ88)</f>
        <v>230.43032666177831</v>
      </c>
      <c r="AN34" s="684">
        <f>IF(AN$4="forecast",AVERAGE(AB34:AM34),'Dept. Cost Actuals'!AR88)</f>
        <v>230.92736777248209</v>
      </c>
      <c r="AO34" s="684">
        <f>IF(AO$4="forecast",AVERAGE(AC34:AN34),'Dept. Cost Actuals'!AS88)</f>
        <v>231.98842735537411</v>
      </c>
      <c r="AP34" s="684">
        <f>IF(AP$4="forecast",AVERAGE(AD34:AO34),'Dept. Cost Actuals'!AT88)</f>
        <v>231.62266792588366</v>
      </c>
      <c r="AQ34" s="684">
        <f>IF(AQ$4="forecast",AVERAGE(AE34:AP34),'Dept. Cost Actuals'!AU88)</f>
        <v>229.58491784595472</v>
      </c>
      <c r="AR34" s="684">
        <f>IF(AR$4="forecast",AVERAGE(AF34:AQ34),'Dept. Cost Actuals'!AV88)</f>
        <v>225.59905200321896</v>
      </c>
      <c r="AS34" s="684">
        <f>IF(AS$4="forecast",AVERAGE(AG34:AR34),'Dept. Cost Actuals'!AW88)</f>
        <v>228.82391047943042</v>
      </c>
      <c r="AT34" s="684">
        <f>IF(AT$4="forecast",AVERAGE(AH34:AS34),'Dept. Cost Actuals'!AX88)</f>
        <v>231.01958528498798</v>
      </c>
      <c r="AU34" s="684">
        <f>IF(AU$4="forecast",AVERAGE(AI34:AT34),'Dept. Cost Actuals'!AY88)</f>
        <v>231.99215095758697</v>
      </c>
      <c r="AV34" s="684">
        <f>IF(AV$4="forecast",AVERAGE(AJ34:AU34),'Dept. Cost Actuals'!AZ88)</f>
        <v>231.52250823336223</v>
      </c>
      <c r="AW34" s="684">
        <f>IF(AW$4="forecast",AVERAGE(AK34:AV34),'Dept. Cost Actuals'!BA88)</f>
        <v>231.07297956233901</v>
      </c>
      <c r="AX34" s="684">
        <f>IF(AX$4="forecast",AVERAGE(AL34:AW34),'Dept. Cost Actuals'!BB88)</f>
        <v>228.94073425008028</v>
      </c>
      <c r="AY34" s="684">
        <f>IF(AY$4="forecast",AVERAGE(AM34:AX34),'Dept. Cost Actuals'!BC88)</f>
        <v>230.2937190277066</v>
      </c>
      <c r="AZ34" s="684">
        <f>IF(AZ$4="forecast",AVERAGE(AN34:AY34),'Dept. Cost Actuals'!BD88)</f>
        <v>230.28233505820057</v>
      </c>
      <c r="BA34" s="684">
        <f>IF(BA$4="forecast",AVERAGE(AO34:AZ34),'Dept. Cost Actuals'!BE88)</f>
        <v>230.22858233201052</v>
      </c>
      <c r="BB34" s="684">
        <f>IF(BB$4="forecast",AVERAGE(AP34:BA34),'Dept. Cost Actuals'!BF88)</f>
        <v>230.0819285800635</v>
      </c>
      <c r="BC34" s="684">
        <f>IF(BC$4="forecast",AVERAGE(AQ34:BB34),'Dept. Cost Actuals'!BG88)</f>
        <v>229.95353363457846</v>
      </c>
      <c r="BD34" s="684">
        <f>IF(BD$4="forecast",AVERAGE(AR34:BC34),'Dept. Cost Actuals'!BH88)</f>
        <v>229.98425161696377</v>
      </c>
      <c r="BE34" s="684">
        <f>IF(BE$4="forecast",AVERAGE(AS34:BD34),'Dept. Cost Actuals'!BI88)</f>
        <v>230.3496849181092</v>
      </c>
      <c r="BF34" s="684">
        <f>IF(BF$4="forecast",AVERAGE(AT34:BE34),'Dept. Cost Actuals'!BJ88)</f>
        <v>230.47683278799911</v>
      </c>
      <c r="BG34" s="684">
        <f>IF(BG$4="forecast",AVERAGE(AU34:BF34),'Dept. Cost Actuals'!BK88)</f>
        <v>230.43160341325003</v>
      </c>
      <c r="BH34" s="684">
        <f>IF(BH$4="forecast",AVERAGE(AV34:BG34),'Dept. Cost Actuals'!BL88)</f>
        <v>230.30155778455529</v>
      </c>
      <c r="BI34" s="684">
        <f>IF(BI$4="forecast",AVERAGE(AW34:BH34),'Dept. Cost Actuals'!BM88)</f>
        <v>230.19981191382135</v>
      </c>
      <c r="BJ34" s="684">
        <f>IF(BJ$4="forecast",AVERAGE(AX34:BI34),'Dept. Cost Actuals'!BN88)</f>
        <v>230.12704794311153</v>
      </c>
      <c r="BK34" s="684">
        <f>IF(BK$4="forecast",AVERAGE(AY34:BJ34),'Dept. Cost Actuals'!BO88)</f>
        <v>230.22590741753083</v>
      </c>
      <c r="BL34" s="684">
        <f>IF(BL$4="forecast",AVERAGE(AZ34:BK34),'Dept. Cost Actuals'!#REF!)</f>
        <v>230.22025645001614</v>
      </c>
      <c r="BM34" s="684">
        <f>IF(BM$4="forecast",AVERAGE(BA34:BL34),'Dept. Cost Actuals'!#REF!)</f>
        <v>230.21508323266747</v>
      </c>
      <c r="BN34" s="684">
        <f>IF(BN$4="forecast",AVERAGE(BB34:BM34),'Dept. Cost Actuals'!#REF!)</f>
        <v>230.21395830772224</v>
      </c>
      <c r="BO34" s="684">
        <f>IF(BO$4="forecast",AVERAGE(BC34:BN34),'Dept. Cost Actuals'!#REF!)</f>
        <v>230.22496078502715</v>
      </c>
      <c r="BP34" s="684">
        <f>IF(BP$4="forecast",AVERAGE(BD34:BO34),'Dept. Cost Actuals'!#REF!)</f>
        <v>230.24757971423119</v>
      </c>
      <c r="BQ34" s="684">
        <f>IF(BQ$4="forecast",AVERAGE(BE34:BP34),'Dept. Cost Actuals'!#REF!)</f>
        <v>230.2695237223368</v>
      </c>
      <c r="BR34" s="684">
        <f>IF(BR$4="forecast",AVERAGE(BF34:BQ34),'Dept. Cost Actuals'!#REF!)</f>
        <v>230.26284362268913</v>
      </c>
      <c r="BS34" s="684">
        <f>IF(BS$4="forecast",AVERAGE(BG34:BR34),'Dept. Cost Actuals'!#REF!)</f>
        <v>230.24501119224661</v>
      </c>
      <c r="BT34" s="684">
        <f>IF(BT$4="forecast",AVERAGE(BH34:BS34),'Dept. Cost Actuals'!#REF!)</f>
        <v>230.22946184049633</v>
      </c>
      <c r="BU34" s="684">
        <f>IF(BU$4="forecast",AVERAGE(BI34:BT34),'Dept. Cost Actuals'!#REF!)</f>
        <v>230.22345384515805</v>
      </c>
      <c r="BV34" s="808">
        <f>IF(BV$4="forecast",AVERAGE(BJ34:BU34),'Dept. Cost Actuals'!#REF!)</f>
        <v>230.2254240061028</v>
      </c>
    </row>
    <row r="35" spans="2:74" x14ac:dyDescent="0.35">
      <c r="B35" s="812" t="s">
        <v>927</v>
      </c>
      <c r="C35" s="684">
        <f>IF(C$4="forecast","Month Limit",'Dept. Cost Actuals'!G97)</f>
        <v>899.58</v>
      </c>
      <c r="D35" s="684">
        <f>IF(D$4="forecast","Month Limit",'Dept. Cost Actuals'!H97)</f>
        <v>1316.2</v>
      </c>
      <c r="E35" s="684">
        <f>IF(E$4="forecast","Month Limit",'Dept. Cost Actuals'!I97)</f>
        <v>2505.38</v>
      </c>
      <c r="F35" s="684">
        <f>IF(F$4="forecast","Month Limit",'Dept. Cost Actuals'!J97)</f>
        <v>2816.18</v>
      </c>
      <c r="G35" s="684">
        <f>IF(G$4="forecast","Month Limit",'Dept. Cost Actuals'!K97)</f>
        <v>2686.68</v>
      </c>
      <c r="H35" s="684">
        <f>IF(H$4="forecast","Month Limit",'Dept. Cost Actuals'!L97)</f>
        <v>3360.82</v>
      </c>
      <c r="I35" s="684">
        <f>IF(I$4="forecast","Month Limit",'Dept. Cost Actuals'!M97)</f>
        <v>2935.32</v>
      </c>
      <c r="J35" s="684">
        <f>IF(J$4="forecast","Month Limit",'Dept. Cost Actuals'!N97)</f>
        <v>2842.08</v>
      </c>
      <c r="K35" s="684">
        <f>IF(K$4="forecast","Month Limit",'Dept. Cost Actuals'!O97)</f>
        <v>2039.18</v>
      </c>
      <c r="L35" s="684">
        <f>IF(L$4="forecast","Month Limit",'Dept. Cost Actuals'!P97)</f>
        <v>1507.52</v>
      </c>
      <c r="M35" s="684">
        <f>IF(M$4="forecast","Month Limit",'Dept. Cost Actuals'!Q97)</f>
        <v>3266.16</v>
      </c>
      <c r="N35" s="684">
        <f>IF(N$4="forecast","Month Limit",'Dept. Cost Actuals'!R97)</f>
        <v>0</v>
      </c>
      <c r="O35" s="684">
        <f>IF(O$4="forecast",AVERAGE(C35:N35),'Dept. Cost Actuals'!S97)</f>
        <v>0</v>
      </c>
      <c r="P35" s="684">
        <f>IF(P$4="forecast",AVERAGE(D35:O35),'Dept. Cost Actuals'!T97)</f>
        <v>0</v>
      </c>
      <c r="Q35" s="684">
        <f>IF(Q$4="forecast",AVERAGE(E35:P35),'Dept. Cost Actuals'!U97)</f>
        <v>0</v>
      </c>
      <c r="R35" s="684">
        <f>IF(R$4="forecast",AVERAGE(F35:Q35),'Dept. Cost Actuals'!V97)</f>
        <v>466.78</v>
      </c>
      <c r="S35" s="684">
        <f>IF(S$4="forecast",AVERAGE(G35:R35),'Dept. Cost Actuals'!W97)</f>
        <v>30.36</v>
      </c>
      <c r="T35" s="684">
        <f>IF(T$4="forecast",AVERAGE(H35:S35),'Dept. Cost Actuals'!X97)</f>
        <v>2145.5500000000002</v>
      </c>
      <c r="U35" s="684">
        <f>IF(U$4="forecast",AVERAGE(I35:T35),'Dept. Cost Actuals'!Y97)</f>
        <v>1846.05</v>
      </c>
      <c r="V35" s="684">
        <f>IF(V$4="forecast",AVERAGE(J35:U35),'Dept. Cost Actuals'!Z97)</f>
        <v>2053.1799999999998</v>
      </c>
      <c r="W35" s="684">
        <f>IF(W$4="forecast",AVERAGE(K35:V35),'Dept. Cost Actuals'!AA97)</f>
        <v>1830.49</v>
      </c>
      <c r="X35" s="684">
        <f>IF(X$4="forecast",AVERAGE(L35:W35),'Dept. Cost Actuals'!AB97)</f>
        <v>2043.61</v>
      </c>
      <c r="Y35" s="684">
        <f>IF(Y$4="forecast",AVERAGE(M35:X35),'Dept. Cost Actuals'!AC97)</f>
        <v>2068.92</v>
      </c>
      <c r="Z35" s="684">
        <f>IF(Z$4="forecast",AVERAGE(N35:Y35),'Dept. Cost Actuals'!AD97)</f>
        <v>1916.87</v>
      </c>
      <c r="AA35" s="684">
        <f>IF(AA$4="forecast",AVERAGE(O35:Z35),'Dept. Cost Actuals'!AE97)</f>
        <v>1200.1508333333334</v>
      </c>
      <c r="AB35" s="684">
        <f>IF(AB$4="forecast",AVERAGE(P35:AA35),'Dept. Cost Actuals'!AF97)</f>
        <v>1300.1634027777779</v>
      </c>
      <c r="AC35" s="684">
        <f>IF(AC$4="forecast",AVERAGE(Q35:AB35),'Dept. Cost Actuals'!AG97)</f>
        <v>1408.5103530092592</v>
      </c>
      <c r="AD35" s="684">
        <f>IF(AD$4="forecast",AVERAGE(R35:AC35),'Dept. Cost Actuals'!AH97)</f>
        <v>1525.8862157600308</v>
      </c>
      <c r="AE35" s="684">
        <f>IF(AE$4="forecast",AVERAGE(S35:AD35),'Dept. Cost Actuals'!AI97)</f>
        <v>1614.1450670733666</v>
      </c>
      <c r="AF35" s="684">
        <f>IF(AF$4="forecast",AVERAGE(T35:AE35),'Dept. Cost Actuals'!AJ97)</f>
        <v>1746.1271559961472</v>
      </c>
      <c r="AG35" s="684">
        <f>IF(AG$4="forecast",AVERAGE(U35:AF35),'Dept. Cost Actuals'!AK97)</f>
        <v>1712.8419189958258</v>
      </c>
      <c r="AH35" s="684">
        <f>IF(AH$4="forecast",AVERAGE(V35:AG35),'Dept. Cost Actuals'!AL97)</f>
        <v>1701.7412455788117</v>
      </c>
      <c r="AI35" s="684">
        <f>IF(AI$4="forecast",AVERAGE(W35:AH35),'Dept. Cost Actuals'!AM97)</f>
        <v>1672.4546827103795</v>
      </c>
      <c r="AJ35" s="684">
        <f>IF(AJ$4="forecast",AVERAGE(X35:AI35),'Dept. Cost Actuals'!AN97)</f>
        <v>1659.2850729362444</v>
      </c>
      <c r="AK35" s="684">
        <f>IF(AK$4="forecast",AVERAGE(Y35:AJ35),'Dept. Cost Actuals'!AO97)</f>
        <v>1627.2579956809313</v>
      </c>
      <c r="AL35" s="684">
        <f>IF(AL$4="forecast",AVERAGE(Z35:AK35),'Dept. Cost Actuals'!AP97)</f>
        <v>1590.4528286543425</v>
      </c>
      <c r="AM35" s="684">
        <f>IF(AM$4="forecast",AVERAGE(AA35:AL35),'Dept. Cost Actuals'!AQ97)</f>
        <v>1563.2513977088709</v>
      </c>
      <c r="AN35" s="684">
        <f>IF(AN$4="forecast",AVERAGE(AB35:AM35),'Dept. Cost Actuals'!AR97)</f>
        <v>1593.5097780734989</v>
      </c>
      <c r="AO35" s="684">
        <f>IF(AO$4="forecast",AVERAGE(AC35:AN35),'Dept. Cost Actuals'!AS97)</f>
        <v>1617.9553093481425</v>
      </c>
      <c r="AP35" s="684">
        <f>IF(AP$4="forecast",AVERAGE(AD35:AO35),'Dept. Cost Actuals'!AT97)</f>
        <v>1635.4090557097159</v>
      </c>
      <c r="AQ35" s="684">
        <f>IF(AQ$4="forecast",AVERAGE(AE35:AP35),'Dept. Cost Actuals'!AU97)</f>
        <v>1644.5359590388562</v>
      </c>
      <c r="AR35" s="684">
        <f>IF(AR$4="forecast",AVERAGE(AF35:AQ35),'Dept. Cost Actuals'!AV97)</f>
        <v>1647.0685333693139</v>
      </c>
      <c r="AS35" s="684">
        <f>IF(AS$4="forecast",AVERAGE(AG35:AR35),'Dept. Cost Actuals'!AW97)</f>
        <v>1638.8136481504114</v>
      </c>
      <c r="AT35" s="684">
        <f>IF(AT$4="forecast",AVERAGE(AH35:AS35),'Dept. Cost Actuals'!AX97)</f>
        <v>1632.6446255799599</v>
      </c>
      <c r="AU35" s="684">
        <f>IF(AU$4="forecast",AVERAGE(AI35:AT35),'Dept. Cost Actuals'!AY97)</f>
        <v>1626.8865739133889</v>
      </c>
      <c r="AV35" s="684">
        <f>IF(AV$4="forecast",AVERAGE(AJ35:AU35),'Dept. Cost Actuals'!AZ97)</f>
        <v>1623.0892315136396</v>
      </c>
      <c r="AW35" s="684">
        <f>IF(AW$4="forecast",AVERAGE(AK35:AV35),'Dept. Cost Actuals'!BA97)</f>
        <v>1620.0729113950895</v>
      </c>
      <c r="AX35" s="684">
        <f>IF(AX$4="forecast",AVERAGE(AL35:AW35),'Dept. Cost Actuals'!BB97)</f>
        <v>1619.4741543712696</v>
      </c>
      <c r="AY35" s="684">
        <f>IF(AY$4="forecast",AVERAGE(AM35:AX35),'Dept. Cost Actuals'!BC97)</f>
        <v>1621.8925981810132</v>
      </c>
      <c r="AZ35" s="684">
        <f>IF(AZ$4="forecast",AVERAGE(AN35:AY35),'Dept. Cost Actuals'!BD97)</f>
        <v>1626.7793648870247</v>
      </c>
      <c r="BA35" s="684">
        <f>IF(BA$4="forecast",AVERAGE(AO35:AZ35),'Dept. Cost Actuals'!BE97)</f>
        <v>1629.5518304548186</v>
      </c>
      <c r="BB35" s="684">
        <f>IF(BB$4="forecast",AVERAGE(AP35:BA35),'Dept. Cost Actuals'!BF97)</f>
        <v>1630.5182072137086</v>
      </c>
      <c r="BC35" s="684">
        <f>IF(BC$4="forecast",AVERAGE(AQ35:BB35),'Dept. Cost Actuals'!BG97)</f>
        <v>1630.1106365057083</v>
      </c>
      <c r="BD35" s="684">
        <f>IF(BD$4="forecast",AVERAGE(AR35:BC35),'Dept. Cost Actuals'!BH97)</f>
        <v>1628.9085262946121</v>
      </c>
      <c r="BE35" s="684">
        <f>IF(BE$4="forecast",AVERAGE(AS35:BD35),'Dept. Cost Actuals'!BI97)</f>
        <v>1627.3951923717204</v>
      </c>
      <c r="BF35" s="684">
        <f>IF(BF$4="forecast",AVERAGE(AT35:BE35),'Dept. Cost Actuals'!BJ97)</f>
        <v>1626.4436543901629</v>
      </c>
      <c r="BG35" s="684">
        <f>IF(BG$4="forecast",AVERAGE(AU35:BF35),'Dept. Cost Actuals'!BK97)</f>
        <v>1625.9269067910129</v>
      </c>
      <c r="BH35" s="684">
        <f>IF(BH$4="forecast",AVERAGE(AV35:BG35),'Dept. Cost Actuals'!BL97)</f>
        <v>1625.8469345308149</v>
      </c>
      <c r="BI35" s="684">
        <f>IF(BI$4="forecast",AVERAGE(AW35:BH35),'Dept. Cost Actuals'!BM97)</f>
        <v>1626.0767431155793</v>
      </c>
      <c r="BJ35" s="684">
        <f>IF(BJ$4="forecast",AVERAGE(AX35:BI35),'Dept. Cost Actuals'!BN97)</f>
        <v>1626.5770624256204</v>
      </c>
      <c r="BK35" s="684">
        <f>IF(BK$4="forecast",AVERAGE(AY35:BJ35),'Dept. Cost Actuals'!BO97)</f>
        <v>1627.1689714301499</v>
      </c>
      <c r="BL35" s="684">
        <f>IF(BL$4="forecast",AVERAGE(AZ35:BK35),'Dept. Cost Actuals'!#REF!)</f>
        <v>1627.6086692009112</v>
      </c>
      <c r="BM35" s="684">
        <f>IF(BM$4="forecast",AVERAGE(BA35:BL35),'Dept. Cost Actuals'!#REF!)</f>
        <v>1627.6777778937351</v>
      </c>
      <c r="BN35" s="684">
        <f>IF(BN$4="forecast",AVERAGE(BB35:BM35),'Dept. Cost Actuals'!#REF!)</f>
        <v>1627.5216068469781</v>
      </c>
      <c r="BO35" s="684">
        <f>IF(BO$4="forecast",AVERAGE(BC35:BN35),'Dept. Cost Actuals'!#REF!)</f>
        <v>1627.2718901497503</v>
      </c>
      <c r="BP35" s="684">
        <f>IF(BP$4="forecast",AVERAGE(BD35:BO35),'Dept. Cost Actuals'!#REF!)</f>
        <v>1627.0353279534208</v>
      </c>
      <c r="BQ35" s="684">
        <f>IF(BQ$4="forecast",AVERAGE(BE35:BP35),'Dept. Cost Actuals'!#REF!)</f>
        <v>1626.8792280916548</v>
      </c>
      <c r="BR35" s="684">
        <f>IF(BR$4="forecast",AVERAGE(BF35:BQ35),'Dept. Cost Actuals'!#REF!)</f>
        <v>1626.8362310683158</v>
      </c>
      <c r="BS35" s="684">
        <f>IF(BS$4="forecast",AVERAGE(BG35:BR35),'Dept. Cost Actuals'!#REF!)</f>
        <v>1626.8689457914952</v>
      </c>
      <c r="BT35" s="684">
        <f>IF(BT$4="forecast",AVERAGE(BH35:BS35),'Dept. Cost Actuals'!#REF!)</f>
        <v>1626.9474490415357</v>
      </c>
      <c r="BU35" s="684">
        <f>IF(BU$4="forecast",AVERAGE(BI35:BT35),'Dept. Cost Actuals'!#REF!)</f>
        <v>1627.0391585840955</v>
      </c>
      <c r="BV35" s="808">
        <f>IF(BV$4="forecast",AVERAGE(BJ35:BU35),'Dept. Cost Actuals'!#REF!)</f>
        <v>1627.1193598731386</v>
      </c>
    </row>
    <row r="36" spans="2:74" x14ac:dyDescent="0.35">
      <c r="B36" s="812" t="s">
        <v>928</v>
      </c>
      <c r="C36" s="684">
        <f>IF(C$4="forecast","Month Limit",'Dept. Cost Actuals'!G122)</f>
        <v>142.35149658710372</v>
      </c>
      <c r="D36" s="684">
        <f>IF(D$4="forecast","Month Limit",'Dept. Cost Actuals'!H122)</f>
        <v>216.27413023760329</v>
      </c>
      <c r="E36" s="684">
        <f>IF(E$4="forecast","Month Limit",'Dept. Cost Actuals'!I122)</f>
        <v>155.31878637063437</v>
      </c>
      <c r="F36" s="684">
        <f>IF(F$4="forecast","Month Limit",'Dept. Cost Actuals'!J122)</f>
        <v>193.55293937407626</v>
      </c>
      <c r="G36" s="684">
        <f>IF(G$4="forecast","Month Limit",'Dept. Cost Actuals'!K122)</f>
        <v>107.41115623407316</v>
      </c>
      <c r="H36" s="684">
        <f>IF(H$4="forecast","Month Limit",'Dept. Cost Actuals'!L122)</f>
        <v>345.98473222634544</v>
      </c>
      <c r="I36" s="684">
        <f>IF(I$4="forecast","Month Limit",'Dept. Cost Actuals'!M122)</f>
        <v>412.41417166350186</v>
      </c>
      <c r="J36" s="684">
        <f>IF(J$4="forecast","Month Limit",'Dept. Cost Actuals'!N122)</f>
        <v>246.22401395956166</v>
      </c>
      <c r="K36" s="684">
        <f>IF(K$4="forecast","Month Limit",'Dept. Cost Actuals'!O122)</f>
        <v>159.4158621475876</v>
      </c>
      <c r="L36" s="684">
        <f>IF(L$4="forecast","Month Limit",'Dept. Cost Actuals'!P122)</f>
        <v>201.75440571863567</v>
      </c>
      <c r="M36" s="684">
        <f>IF(M$4="forecast","Month Limit",'Dept. Cost Actuals'!Q122)</f>
        <v>202.89846958914978</v>
      </c>
      <c r="N36" s="684">
        <f>IF(N$4="forecast","Month Limit",'Dept. Cost Actuals'!R122)</f>
        <v>87.374708843095235</v>
      </c>
      <c r="O36" s="684">
        <f>IF(O$4="forecast",AVERAGE(C36:N36),'Dept. Cost Actuals'!S122)</f>
        <v>1506.25</v>
      </c>
      <c r="P36" s="684">
        <f>IF(P$4="forecast",AVERAGE(D36:O36),'Dept. Cost Actuals'!T122)</f>
        <v>1948.96</v>
      </c>
      <c r="Q36" s="684">
        <f>IF(Q$4="forecast",AVERAGE(E36:P36),'Dept. Cost Actuals'!U122)</f>
        <v>304.5</v>
      </c>
      <c r="R36" s="684">
        <f>IF(R$4="forecast",AVERAGE(F36:Q36),'Dept. Cost Actuals'!V122)</f>
        <v>-173.78</v>
      </c>
      <c r="S36" s="684">
        <f>IF(S$4="forecast",AVERAGE(G36:R36),'Dept. Cost Actuals'!W122)</f>
        <v>89.56</v>
      </c>
      <c r="T36" s="684">
        <f>IF(T$4="forecast",AVERAGE(H36:S36),'Dept. Cost Actuals'!X122)</f>
        <v>0</v>
      </c>
      <c r="U36" s="684">
        <f>IF(U$4="forecast",AVERAGE(I36:T36),'Dept. Cost Actuals'!Y122)</f>
        <v>96.51</v>
      </c>
      <c r="V36" s="684">
        <f>IF(V$4="forecast",AVERAGE(J36:U36),'Dept. Cost Actuals'!Z122)</f>
        <v>151.97</v>
      </c>
      <c r="W36" s="684">
        <f>IF(W$4="forecast",AVERAGE(K36:V36),'Dept. Cost Actuals'!AA122)</f>
        <v>966.98</v>
      </c>
      <c r="X36" s="684">
        <f>IF(X$4="forecast",AVERAGE(L36:W36),'Dept. Cost Actuals'!AB122)</f>
        <v>335.82</v>
      </c>
      <c r="Y36" s="684">
        <f>IF(Y$4="forecast",AVERAGE(M36:X36),'Dept. Cost Actuals'!AC122)</f>
        <v>231.75</v>
      </c>
      <c r="Z36" s="684">
        <f>IF(Z$4="forecast",AVERAGE(N36:Y36),'Dept. Cost Actuals'!AD122)</f>
        <v>96.26</v>
      </c>
      <c r="AA36" s="684">
        <f>IF(AA$4="forecast",AVERAGE(O36:Z36),'Dept. Cost Actuals'!AE122)</f>
        <v>462.89833333333331</v>
      </c>
      <c r="AB36" s="684">
        <f>IF(AB$4="forecast",AVERAGE(P36:AA36),'Dept. Cost Actuals'!AF122)</f>
        <v>375.95236111111109</v>
      </c>
      <c r="AC36" s="684">
        <f>IF(AC$4="forecast",AVERAGE(Q36:AB36),'Dept. Cost Actuals'!AG122)</f>
        <v>244.86839120370371</v>
      </c>
      <c r="AD36" s="684">
        <f>IF(AD$4="forecast",AVERAGE(R36:AC36),'Dept. Cost Actuals'!AH122)</f>
        <v>239.899090470679</v>
      </c>
      <c r="AE36" s="684">
        <f>IF(AE$4="forecast",AVERAGE(S36:AD36),'Dept. Cost Actuals'!AI122)</f>
        <v>274.37234800990223</v>
      </c>
      <c r="AF36" s="684">
        <f>IF(AF$4="forecast",AVERAGE(T36:AE36),'Dept. Cost Actuals'!AJ122)</f>
        <v>289.77337701072747</v>
      </c>
      <c r="AG36" s="684">
        <f>IF(AG$4="forecast",AVERAGE(U36:AF36),'Dept. Cost Actuals'!AK122)</f>
        <v>313.92115842828809</v>
      </c>
      <c r="AH36" s="684">
        <f>IF(AH$4="forecast",AVERAGE(V36:AG36),'Dept. Cost Actuals'!AL122)</f>
        <v>332.03875496397876</v>
      </c>
      <c r="AI36" s="684">
        <f>IF(AI$4="forecast",AVERAGE(W36:AH36),'Dept. Cost Actuals'!AM122)</f>
        <v>347.04448454431031</v>
      </c>
      <c r="AJ36" s="684">
        <f>IF(AJ$4="forecast",AVERAGE(X36:AI36),'Dept. Cost Actuals'!AN122)</f>
        <v>295.38319158966948</v>
      </c>
      <c r="AK36" s="684">
        <f>IF(AK$4="forecast",AVERAGE(Y36:AJ36),'Dept. Cost Actuals'!AO122)</f>
        <v>292.01345755547527</v>
      </c>
      <c r="AL36" s="684">
        <f>IF(AL$4="forecast",AVERAGE(Z36:AK36),'Dept. Cost Actuals'!AP122)</f>
        <v>297.03541235176488</v>
      </c>
      <c r="AM36" s="684">
        <f>IF(AM$4="forecast",AVERAGE(AA36:AL36),'Dept. Cost Actuals'!AQ122)</f>
        <v>313.76669671441192</v>
      </c>
      <c r="AN36" s="684">
        <f>IF(AN$4="forecast",AVERAGE(AB36:AM36),'Dept. Cost Actuals'!AR122)</f>
        <v>301.33906032950182</v>
      </c>
      <c r="AO36" s="684">
        <f>IF(AO$4="forecast",AVERAGE(AC36:AN36),'Dept. Cost Actuals'!AS122)</f>
        <v>295.12128526436777</v>
      </c>
      <c r="AP36" s="684">
        <f>IF(AP$4="forecast",AVERAGE(AD36:AO36),'Dept. Cost Actuals'!AT122)</f>
        <v>299.30902643608982</v>
      </c>
      <c r="AQ36" s="684">
        <f>IF(AQ$4="forecast",AVERAGE(AE36:AP36),'Dept. Cost Actuals'!AU122)</f>
        <v>304.25985443320729</v>
      </c>
      <c r="AR36" s="684">
        <f>IF(AR$4="forecast",AVERAGE(AF36:AQ36),'Dept. Cost Actuals'!AV122)</f>
        <v>306.75047996848269</v>
      </c>
      <c r="AS36" s="684">
        <f>IF(AS$4="forecast",AVERAGE(AG36:AR36),'Dept. Cost Actuals'!AW122)</f>
        <v>308.16523854829569</v>
      </c>
      <c r="AT36" s="684">
        <f>IF(AT$4="forecast",AVERAGE(AH36:AS36),'Dept. Cost Actuals'!AX122)</f>
        <v>307.6855785582963</v>
      </c>
      <c r="AU36" s="684">
        <f>IF(AU$4="forecast",AVERAGE(AI36:AT36),'Dept. Cost Actuals'!AY122)</f>
        <v>305.65614719115609</v>
      </c>
      <c r="AV36" s="684">
        <f>IF(AV$4="forecast",AVERAGE(AJ36:AU36),'Dept. Cost Actuals'!AZ122)</f>
        <v>302.20711907839319</v>
      </c>
      <c r="AW36" s="684">
        <f>IF(AW$4="forecast",AVERAGE(AK36:AV36),'Dept. Cost Actuals'!BA122)</f>
        <v>302.77577970245352</v>
      </c>
      <c r="AX36" s="684">
        <f>IF(AX$4="forecast",AVERAGE(AL36:AW36),'Dept. Cost Actuals'!BB122)</f>
        <v>303.67263988136841</v>
      </c>
      <c r="AY36" s="684">
        <f>IF(AY$4="forecast",AVERAGE(AM36:AX36),'Dept. Cost Actuals'!BC122)</f>
        <v>304.22574217550198</v>
      </c>
      <c r="AZ36" s="684">
        <f>IF(AZ$4="forecast",AVERAGE(AN36:AY36),'Dept. Cost Actuals'!BD122)</f>
        <v>303.43066263059285</v>
      </c>
      <c r="BA36" s="684">
        <f>IF(BA$4="forecast",AVERAGE(AO36:AZ36),'Dept. Cost Actuals'!BE122)</f>
        <v>303.6049628223505</v>
      </c>
      <c r="BB36" s="684">
        <f>IF(BB$4="forecast",AVERAGE(AP36:BA36),'Dept. Cost Actuals'!BF122)</f>
        <v>304.31193595218241</v>
      </c>
      <c r="BC36" s="684">
        <f>IF(BC$4="forecast",AVERAGE(AQ36:BB36),'Dept. Cost Actuals'!BG122)</f>
        <v>304.72884507852342</v>
      </c>
      <c r="BD36" s="684">
        <f>IF(BD$4="forecast",AVERAGE(AR36:BC36),'Dept. Cost Actuals'!BH122)</f>
        <v>304.76792763229975</v>
      </c>
      <c r="BE36" s="684">
        <f>IF(BE$4="forecast",AVERAGE(AS36:BD36),'Dept. Cost Actuals'!BI122)</f>
        <v>304.60271493761786</v>
      </c>
      <c r="BF36" s="684">
        <f>IF(BF$4="forecast",AVERAGE(AT36:BE36),'Dept. Cost Actuals'!BJ122)</f>
        <v>304.30583797006136</v>
      </c>
      <c r="BG36" s="684">
        <f>IF(BG$4="forecast",AVERAGE(AU36:BF36),'Dept. Cost Actuals'!BK122)</f>
        <v>304.02419292104179</v>
      </c>
      <c r="BH36" s="684">
        <f>IF(BH$4="forecast",AVERAGE(AV36:BG36),'Dept. Cost Actuals'!BL122)</f>
        <v>303.88819673186561</v>
      </c>
      <c r="BI36" s="684">
        <f>IF(BI$4="forecast",AVERAGE(AW36:BH36),'Dept. Cost Actuals'!BM122)</f>
        <v>304.02828653632167</v>
      </c>
      <c r="BJ36" s="684">
        <f>IF(BJ$4="forecast",AVERAGE(AX36:BI36),'Dept. Cost Actuals'!BN122)</f>
        <v>304.13266210581065</v>
      </c>
      <c r="BK36" s="684">
        <f>IF(BK$4="forecast",AVERAGE(AY36:BJ36),'Dept. Cost Actuals'!BO122)</f>
        <v>304.17099729118081</v>
      </c>
      <c r="BL36" s="684">
        <f>IF(BL$4="forecast",AVERAGE(AZ36:BK36),'Dept. Cost Actuals'!#REF!)</f>
        <v>304.16643521748739</v>
      </c>
      <c r="BM36" s="684">
        <f>IF(BM$4="forecast",AVERAGE(BA36:BL36),'Dept. Cost Actuals'!#REF!)</f>
        <v>304.22774959972861</v>
      </c>
      <c r="BN36" s="684">
        <f>IF(BN$4="forecast",AVERAGE(BB36:BM36),'Dept. Cost Actuals'!#REF!)</f>
        <v>304.27964849784343</v>
      </c>
      <c r="BO36" s="684">
        <f>IF(BO$4="forecast",AVERAGE(BC36:BN36),'Dept. Cost Actuals'!#REF!)</f>
        <v>304.27695787664851</v>
      </c>
      <c r="BP36" s="684">
        <f>IF(BP$4="forecast",AVERAGE(BD36:BO36),'Dept. Cost Actuals'!#REF!)</f>
        <v>304.23930060982565</v>
      </c>
      <c r="BQ36" s="684">
        <f>IF(BQ$4="forecast",AVERAGE(BE36:BP36),'Dept. Cost Actuals'!#REF!)</f>
        <v>304.19524835795278</v>
      </c>
      <c r="BR36" s="684">
        <f>IF(BR$4="forecast",AVERAGE(BF36:BQ36),'Dept. Cost Actuals'!#REF!)</f>
        <v>304.16129280964736</v>
      </c>
      <c r="BS36" s="684">
        <f>IF(BS$4="forecast",AVERAGE(BG36:BR36),'Dept. Cost Actuals'!#REF!)</f>
        <v>304.14924737961286</v>
      </c>
      <c r="BT36" s="684">
        <f>IF(BT$4="forecast",AVERAGE(BH36:BS36),'Dept. Cost Actuals'!#REF!)</f>
        <v>304.15966858449372</v>
      </c>
      <c r="BU36" s="684">
        <f>IF(BU$4="forecast",AVERAGE(BI36:BT36),'Dept. Cost Actuals'!#REF!)</f>
        <v>304.18229123887949</v>
      </c>
      <c r="BV36" s="808">
        <f>IF(BV$4="forecast",AVERAGE(BJ36:BU36),'Dept. Cost Actuals'!#REF!)</f>
        <v>304.1951249640926</v>
      </c>
    </row>
    <row r="37" spans="2:74" x14ac:dyDescent="0.35">
      <c r="B37" s="812" t="s">
        <v>929</v>
      </c>
      <c r="C37" s="684">
        <f>IF(C$4="forecast","Month Limit",'Dept. Cost Actuals'!G159)</f>
        <v>0</v>
      </c>
      <c r="D37" s="684">
        <f>IF(D$4="forecast","Month Limit",'Dept. Cost Actuals'!H159)</f>
        <v>33.560439269433019</v>
      </c>
      <c r="E37" s="684">
        <f>IF(E$4="forecast","Month Limit",'Dept. Cost Actuals'!I159)</f>
        <v>33.150791216562098</v>
      </c>
      <c r="F37" s="684">
        <f>IF(F$4="forecast","Month Limit",'Dept. Cost Actuals'!J159)</f>
        <v>28.445308915225748</v>
      </c>
      <c r="G37" s="684">
        <f>IF(G$4="forecast","Month Limit",'Dept. Cost Actuals'!K159)</f>
        <v>63.547062859773682</v>
      </c>
      <c r="H37" s="684">
        <f>IF(H$4="forecast","Month Limit",'Dept. Cost Actuals'!L159)</f>
        <v>0</v>
      </c>
      <c r="I37" s="684">
        <f>IF(I$4="forecast","Month Limit",'Dept. Cost Actuals'!M159)</f>
        <v>7.7217799302010919</v>
      </c>
      <c r="J37" s="684">
        <f>IF(J$4="forecast","Month Limit",'Dept. Cost Actuals'!N159)</f>
        <v>0</v>
      </c>
      <c r="K37" s="684">
        <f>IF(K$4="forecast","Month Limit",'Dept. Cost Actuals'!O159)</f>
        <v>0</v>
      </c>
      <c r="L37" s="684">
        <f>IF(L$4="forecast","Month Limit",'Dept. Cost Actuals'!P159)</f>
        <v>1.9358654869732723</v>
      </c>
      <c r="M37" s="684">
        <f>IF(M$4="forecast","Month Limit",'Dept. Cost Actuals'!Q159)</f>
        <v>0</v>
      </c>
      <c r="N37" s="684">
        <f>IF(N$4="forecast","Month Limit",'Dept. Cost Actuals'!R159)</f>
        <v>0</v>
      </c>
      <c r="O37" s="684">
        <f>IF(O$4="forecast",AVERAGE(C37:N37),'Dept. Cost Actuals'!S159)</f>
        <v>0</v>
      </c>
      <c r="P37" s="684">
        <f>IF(P$4="forecast",AVERAGE(D37:O37),'Dept. Cost Actuals'!T159)</f>
        <v>472.89</v>
      </c>
      <c r="Q37" s="684">
        <f>IF(Q$4="forecast",AVERAGE(E37:P37),'Dept. Cost Actuals'!U159)</f>
        <v>0</v>
      </c>
      <c r="R37" s="684">
        <f>IF(R$4="forecast",AVERAGE(F37:Q37),'Dept. Cost Actuals'!V159)</f>
        <v>997.5</v>
      </c>
      <c r="S37" s="684">
        <f>IF(S$4="forecast",AVERAGE(G37:R37),'Dept. Cost Actuals'!W159)</f>
        <v>997.5</v>
      </c>
      <c r="T37" s="684">
        <f>IF(T$4="forecast",AVERAGE(H37:S37),'Dept. Cost Actuals'!X159)</f>
        <v>48.9</v>
      </c>
      <c r="U37" s="684">
        <f>IF(U$4="forecast",AVERAGE(I37:T37),'Dept. Cost Actuals'!Y159)</f>
        <v>0</v>
      </c>
      <c r="V37" s="684">
        <f>IF(V$4="forecast",AVERAGE(J37:U37),'Dept. Cost Actuals'!Z159)</f>
        <v>0</v>
      </c>
      <c r="W37" s="684">
        <f>IF(W$4="forecast",AVERAGE(K37:V37),'Dept. Cost Actuals'!AA159)</f>
        <v>0</v>
      </c>
      <c r="X37" s="684">
        <f>IF(X$4="forecast",AVERAGE(L37:W37),'Dept. Cost Actuals'!AB159)</f>
        <v>0</v>
      </c>
      <c r="Y37" s="684">
        <f>IF(Y$4="forecast",AVERAGE(M37:X37),'Dept. Cost Actuals'!AC159)</f>
        <v>0</v>
      </c>
      <c r="Z37" s="684">
        <f>IF(Z$4="forecast",AVERAGE(N37:Y37),'Dept. Cost Actuals'!AD159)</f>
        <v>0</v>
      </c>
      <c r="AA37" s="684">
        <f>IF(AA$4="forecast",700,'Dept. Cost Actuals'!AE159)</f>
        <v>700</v>
      </c>
      <c r="AB37" s="684">
        <f>IF(AB$4="forecast",700,'Dept. Cost Actuals'!AF159)</f>
        <v>700</v>
      </c>
      <c r="AC37" s="684">
        <f>IF(AC$4="forecast",700,'Dept. Cost Actuals'!AG159)</f>
        <v>700</v>
      </c>
      <c r="AD37" s="684">
        <f>IF(AD$4="forecast",700,'Dept. Cost Actuals'!AH159)</f>
        <v>700</v>
      </c>
      <c r="AE37" s="684">
        <f>IF(AE$4="forecast",700,'Dept. Cost Actuals'!AI159)</f>
        <v>700</v>
      </c>
      <c r="AF37" s="684">
        <f>IF(AF$4="forecast",700,'Dept. Cost Actuals'!AJ159)</f>
        <v>700</v>
      </c>
      <c r="AG37" s="684">
        <f>IF(AG$4="forecast",700,'Dept. Cost Actuals'!AK159)</f>
        <v>700</v>
      </c>
      <c r="AH37" s="684">
        <f>IF(AH$4="forecast",700,'Dept. Cost Actuals'!AL159)</f>
        <v>700</v>
      </c>
      <c r="AI37" s="684">
        <f>IF(AI$4="forecast",700,'Dept. Cost Actuals'!AM159)</f>
        <v>700</v>
      </c>
      <c r="AJ37" s="684">
        <f>IF(AJ$4="forecast",700,'Dept. Cost Actuals'!AN159)</f>
        <v>700</v>
      </c>
      <c r="AK37" s="684">
        <f>IF(AK$4="forecast",700,'Dept. Cost Actuals'!AO159)</f>
        <v>700</v>
      </c>
      <c r="AL37" s="684">
        <f>IF(AL$4="forecast",700,'Dept. Cost Actuals'!AP159)</f>
        <v>700</v>
      </c>
      <c r="AM37" s="684">
        <f>IF(AM$4="forecast",AVERAGE(AA37:AL37),'Dept. Cost Actuals'!AQ159)</f>
        <v>700</v>
      </c>
      <c r="AN37" s="684">
        <f>IF(AN$4="forecast",AVERAGE(AB37:AM37),'Dept. Cost Actuals'!AR159)</f>
        <v>700</v>
      </c>
      <c r="AO37" s="684">
        <f>IF(AO$4="forecast",AVERAGE(AC37:AN37),'Dept. Cost Actuals'!AS159)</f>
        <v>700</v>
      </c>
      <c r="AP37" s="684">
        <f>IF(AP$4="forecast",AVERAGE(AD37:AO37),'Dept. Cost Actuals'!AT159)</f>
        <v>700</v>
      </c>
      <c r="AQ37" s="684">
        <f>IF(AQ$4="forecast",AVERAGE(AE37:AP37),'Dept. Cost Actuals'!AU159)</f>
        <v>700</v>
      </c>
      <c r="AR37" s="684">
        <f>IF(AR$4="forecast",AVERAGE(AF37:AQ37),'Dept. Cost Actuals'!AV159)</f>
        <v>700</v>
      </c>
      <c r="AS37" s="684">
        <f>IF(AS$4="forecast",AVERAGE(AG37:AR37),'Dept. Cost Actuals'!AW159)</f>
        <v>700</v>
      </c>
      <c r="AT37" s="684">
        <f>IF(AT$4="forecast",AVERAGE(AH37:AS37),'Dept. Cost Actuals'!AX159)</f>
        <v>700</v>
      </c>
      <c r="AU37" s="684">
        <f>IF(AU$4="forecast",AVERAGE(AI37:AT37),'Dept. Cost Actuals'!AY159)</f>
        <v>700</v>
      </c>
      <c r="AV37" s="684">
        <f>IF(AV$4="forecast",AVERAGE(AJ37:AU37),'Dept. Cost Actuals'!AZ159)</f>
        <v>700</v>
      </c>
      <c r="AW37" s="684">
        <f>IF(AW$4="forecast",AVERAGE(AK37:AV37),'Dept. Cost Actuals'!BA159)</f>
        <v>700</v>
      </c>
      <c r="AX37" s="684">
        <f>IF(AX$4="forecast",AVERAGE(AL37:AW37),'Dept. Cost Actuals'!BB159)</f>
        <v>700</v>
      </c>
      <c r="AY37" s="684">
        <f>IF(AY$4="forecast",AVERAGE(AM37:AX37),'Dept. Cost Actuals'!BC159)</f>
        <v>700</v>
      </c>
      <c r="AZ37" s="684">
        <f>IF(AZ$4="forecast",AVERAGE(AN37:AY37),'Dept. Cost Actuals'!BD159)</f>
        <v>700</v>
      </c>
      <c r="BA37" s="684">
        <f>IF(BA$4="forecast",AVERAGE(AO37:AZ37),'Dept. Cost Actuals'!BE159)</f>
        <v>700</v>
      </c>
      <c r="BB37" s="684">
        <f>IF(BB$4="forecast",AVERAGE(AP37:BA37),'Dept. Cost Actuals'!BF159)</f>
        <v>700</v>
      </c>
      <c r="BC37" s="684">
        <f>IF(BC$4="forecast",AVERAGE(AQ37:BB37),'Dept. Cost Actuals'!BG159)</f>
        <v>700</v>
      </c>
      <c r="BD37" s="684">
        <f>IF(BD$4="forecast",AVERAGE(AR37:BC37),'Dept. Cost Actuals'!BH159)</f>
        <v>700</v>
      </c>
      <c r="BE37" s="684">
        <f>IF(BE$4="forecast",AVERAGE(AS37:BD37),'Dept. Cost Actuals'!BI159)</f>
        <v>700</v>
      </c>
      <c r="BF37" s="684">
        <f>IF(BF$4="forecast",AVERAGE(AT37:BE37),'Dept. Cost Actuals'!BJ159)</f>
        <v>700</v>
      </c>
      <c r="BG37" s="684">
        <f>IF(BG$4="forecast",AVERAGE(AU37:BF37),'Dept. Cost Actuals'!BK159)</f>
        <v>700</v>
      </c>
      <c r="BH37" s="684">
        <f>IF(BH$4="forecast",AVERAGE(AV37:BG37),'Dept. Cost Actuals'!BL159)</f>
        <v>700</v>
      </c>
      <c r="BI37" s="684">
        <f>IF(BI$4="forecast",AVERAGE(AW37:BH37),'Dept. Cost Actuals'!BM159)</f>
        <v>700</v>
      </c>
      <c r="BJ37" s="684">
        <f>IF(BJ$4="forecast",AVERAGE(AX37:BI37),'Dept. Cost Actuals'!BN159)</f>
        <v>700</v>
      </c>
      <c r="BK37" s="684">
        <f>IF(BK$4="forecast",AVERAGE(AY37:BJ37),'Dept. Cost Actuals'!BO159)</f>
        <v>700</v>
      </c>
      <c r="BL37" s="684">
        <f>IF(BL$4="forecast",AVERAGE(AZ37:BK37),'Dept. Cost Actuals'!#REF!)</f>
        <v>700</v>
      </c>
      <c r="BM37" s="684">
        <f>IF(BM$4="forecast",AVERAGE(BA37:BL37),'Dept. Cost Actuals'!#REF!)</f>
        <v>700</v>
      </c>
      <c r="BN37" s="684">
        <f>IF(BN$4="forecast",AVERAGE(BB37:BM37),'Dept. Cost Actuals'!#REF!)</f>
        <v>700</v>
      </c>
      <c r="BO37" s="684">
        <f>IF(BO$4="forecast",AVERAGE(BC37:BN37),'Dept. Cost Actuals'!#REF!)</f>
        <v>700</v>
      </c>
      <c r="BP37" s="684">
        <f>IF(BP$4="forecast",AVERAGE(BD37:BO37),'Dept. Cost Actuals'!#REF!)</f>
        <v>700</v>
      </c>
      <c r="BQ37" s="684">
        <f>IF(BQ$4="forecast",AVERAGE(BE37:BP37),'Dept. Cost Actuals'!#REF!)</f>
        <v>700</v>
      </c>
      <c r="BR37" s="684">
        <f>IF(BR$4="forecast",AVERAGE(BF37:BQ37),'Dept. Cost Actuals'!#REF!)</f>
        <v>700</v>
      </c>
      <c r="BS37" s="684">
        <f>IF(BS$4="forecast",AVERAGE(BG37:BR37),'Dept. Cost Actuals'!#REF!)</f>
        <v>700</v>
      </c>
      <c r="BT37" s="684">
        <f>IF(BT$4="forecast",AVERAGE(BH37:BS37),'Dept. Cost Actuals'!#REF!)</f>
        <v>700</v>
      </c>
      <c r="BU37" s="684">
        <f>IF(BU$4="forecast",AVERAGE(BI37:BT37),'Dept. Cost Actuals'!#REF!)</f>
        <v>700</v>
      </c>
      <c r="BV37" s="808">
        <f>IF(BV$4="forecast",AVERAGE(BJ37:BU37),'Dept. Cost Actuals'!#REF!)</f>
        <v>700</v>
      </c>
    </row>
    <row r="38" spans="2:74" x14ac:dyDescent="0.35">
      <c r="B38" s="812" t="s">
        <v>951</v>
      </c>
      <c r="C38" s="684">
        <f>IF(C$4="forecast","Month Limit",'Dept. Cost Actuals'!G49)</f>
        <v>15.12592804087349</v>
      </c>
      <c r="D38" s="684">
        <f>IF(D$4="forecast","Month Limit",'Dept. Cost Actuals'!H49)</f>
        <v>24.839082544146748</v>
      </c>
      <c r="E38" s="684">
        <f>IF(E$4="forecast","Month Limit",'Dept. Cost Actuals'!I49)</f>
        <v>3.2474244457040422</v>
      </c>
      <c r="F38" s="684">
        <f>IF(F$4="forecast","Month Limit",'Dept. Cost Actuals'!J49)</f>
        <v>3.4134370698270899</v>
      </c>
      <c r="G38" s="684">
        <f>IF(G$4="forecast","Month Limit",'Dept. Cost Actuals'!K49)</f>
        <v>178.61612899201003</v>
      </c>
      <c r="H38" s="684">
        <f>IF(H$4="forecast","Month Limit",'Dept. Cost Actuals'!L49)</f>
        <v>0</v>
      </c>
      <c r="I38" s="684">
        <f>IF(I$4="forecast","Month Limit",'Dept. Cost Actuals'!M49)</f>
        <v>0</v>
      </c>
      <c r="J38" s="684">
        <f>IF(J$4="forecast","Month Limit",'Dept. Cost Actuals'!N49)</f>
        <v>9.7457167452824756</v>
      </c>
      <c r="K38" s="684">
        <f>IF(K$4="forecast","Month Limit",'Dept. Cost Actuals'!O49)</f>
        <v>0</v>
      </c>
      <c r="L38" s="684">
        <f>IF(L$4="forecast","Month Limit",'Dept. Cost Actuals'!P49)</f>
        <v>110.05558025965057</v>
      </c>
      <c r="M38" s="684">
        <f>IF(M$4="forecast","Month Limit",'Dept. Cost Actuals'!Q49)</f>
        <v>0</v>
      </c>
      <c r="N38" s="684">
        <f>IF(N$4="forecast","Month Limit",'Dept. Cost Actuals'!R49)</f>
        <v>0</v>
      </c>
      <c r="O38" s="684">
        <f>IF(O$4="forecast",AVERAGE(C38:N38),'Dept. Cost Actuals'!S49)</f>
        <v>0</v>
      </c>
      <c r="P38" s="684">
        <f>IF(P$4="forecast",AVERAGE(D38:O38),'Dept. Cost Actuals'!T49)</f>
        <v>0</v>
      </c>
      <c r="Q38" s="684">
        <f>IF(Q$4="forecast",AVERAGE(E38:P38),'Dept. Cost Actuals'!U49)</f>
        <v>169</v>
      </c>
      <c r="R38" s="684">
        <f>IF(R$4="forecast",AVERAGE(F38:Q38),'Dept. Cost Actuals'!V49)</f>
        <v>0</v>
      </c>
      <c r="S38" s="684">
        <f>IF(S$4="forecast",AVERAGE(G38:R38),'Dept. Cost Actuals'!W49)</f>
        <v>0</v>
      </c>
      <c r="T38" s="684">
        <f>IF(T$4="forecast",AVERAGE(H38:S38),'Dept. Cost Actuals'!X49)</f>
        <v>0</v>
      </c>
      <c r="U38" s="684">
        <f>IF(U$4="forecast",AVERAGE(I38:T38),'Dept. Cost Actuals'!Y49)</f>
        <v>0</v>
      </c>
      <c r="V38" s="684">
        <f>IF(V$4="forecast",AVERAGE(J38:U38),'Dept. Cost Actuals'!Z49)</f>
        <v>0</v>
      </c>
      <c r="W38" s="684">
        <f>IF(W$4="forecast",AVERAGE(K38:V38),'Dept. Cost Actuals'!AA49)</f>
        <v>0</v>
      </c>
      <c r="X38" s="684">
        <f>IF(X$4="forecast",AVERAGE(L38:W38),'Dept. Cost Actuals'!AB49)</f>
        <v>0</v>
      </c>
      <c r="Y38" s="684">
        <f>IF(Y$4="forecast",AVERAGE(M38:X38),'Dept. Cost Actuals'!AC49)</f>
        <v>0</v>
      </c>
      <c r="Z38" s="684">
        <f>IF(Z$4="forecast",AVERAGE(N38:Y38),'Dept. Cost Actuals'!AD49)</f>
        <v>295</v>
      </c>
      <c r="AA38" s="684">
        <f>IF(AA$4="forecast",AVERAGE(O38:Z38),'Dept. Cost Actuals'!AE49)</f>
        <v>38.666666666666664</v>
      </c>
      <c r="AB38" s="684">
        <f>IF(AB$4="forecast",AVERAGE(P38:AA38),'Dept. Cost Actuals'!AF49)</f>
        <v>41.888888888888893</v>
      </c>
      <c r="AC38" s="684">
        <f>IF(AC$4="forecast",AVERAGE(Q38:AB38),'Dept. Cost Actuals'!AG49)</f>
        <v>45.379629629629626</v>
      </c>
      <c r="AD38" s="684">
        <f>IF(AD$4="forecast",AVERAGE(R38:AC38),'Dept. Cost Actuals'!AH49)</f>
        <v>35.077932098765437</v>
      </c>
      <c r="AE38" s="684">
        <f>IF(AE$4="forecast",AVERAGE(S38:AD38),'Dept. Cost Actuals'!AI49)</f>
        <v>38.001093106995889</v>
      </c>
      <c r="AF38" s="684">
        <f>IF(AF$4="forecast",AVERAGE(T38:AE38),'Dept. Cost Actuals'!AJ49)</f>
        <v>41.167850865912207</v>
      </c>
      <c r="AG38" s="684">
        <f>IF(AG$4="forecast",AVERAGE(U38:AF38),'Dept. Cost Actuals'!AK49)</f>
        <v>44.598505104738223</v>
      </c>
      <c r="AH38" s="684">
        <f>IF(AH$4="forecast",AVERAGE(V38:AG38),'Dept. Cost Actuals'!AL49)</f>
        <v>48.315047196799746</v>
      </c>
      <c r="AI38" s="684">
        <f>IF(AI$4="forecast",AVERAGE(W38:AH38),'Dept. Cost Actuals'!AM49)</f>
        <v>52.341301129866387</v>
      </c>
      <c r="AJ38" s="684">
        <f>IF(AJ$4="forecast",AVERAGE(X38:AI38),'Dept. Cost Actuals'!AN49)</f>
        <v>56.703076224021913</v>
      </c>
      <c r="AK38" s="684">
        <f>IF(AK$4="forecast",AVERAGE(Y38:AJ38),'Dept. Cost Actuals'!AO49)</f>
        <v>61.428332576023742</v>
      </c>
      <c r="AL38" s="684">
        <f>IF(AL$4="forecast",AVERAGE(Z38:AK38),'Dept. Cost Actuals'!AP49)</f>
        <v>66.547360290692396</v>
      </c>
      <c r="AM38" s="684">
        <f>IF(AM$4="forecast",AVERAGE(AA38:AL38),'Dept. Cost Actuals'!AQ49)</f>
        <v>47.509640314916766</v>
      </c>
      <c r="AN38" s="684">
        <f>IF(AN$4="forecast",AVERAGE(AB38:AM38),'Dept. Cost Actuals'!AR49)</f>
        <v>48.246554785604268</v>
      </c>
      <c r="AO38" s="684">
        <f>IF(AO$4="forecast",AVERAGE(AC38:AN38),'Dept. Cost Actuals'!AS49)</f>
        <v>48.776360276997224</v>
      </c>
      <c r="AP38" s="684">
        <f>IF(AP$4="forecast",AVERAGE(AD38:AO38),'Dept. Cost Actuals'!AT49)</f>
        <v>49.059421164277857</v>
      </c>
      <c r="AQ38" s="684">
        <f>IF(AQ$4="forecast",AVERAGE(AE38:AP38),'Dept. Cost Actuals'!AU49)</f>
        <v>50.224545253070545</v>
      </c>
      <c r="AR38" s="684">
        <f>IF(AR$4="forecast",AVERAGE(AF38:AQ38),'Dept. Cost Actuals'!AV49)</f>
        <v>51.243166265243438</v>
      </c>
      <c r="AS38" s="684">
        <f>IF(AS$4="forecast",AVERAGE(AG38:AR38),'Dept. Cost Actuals'!AW49)</f>
        <v>52.082775881854367</v>
      </c>
      <c r="AT38" s="684">
        <f>IF(AT$4="forecast",AVERAGE(AH38:AS38),'Dept. Cost Actuals'!AX49)</f>
        <v>52.706465113280721</v>
      </c>
      <c r="AU38" s="684">
        <f>IF(AU$4="forecast",AVERAGE(AI38:AT38),'Dept. Cost Actuals'!AY49)</f>
        <v>53.072416606320793</v>
      </c>
      <c r="AV38" s="684">
        <f>IF(AV$4="forecast",AVERAGE(AJ38:AU38),'Dept. Cost Actuals'!AZ49)</f>
        <v>53.133342896025333</v>
      </c>
      <c r="AW38" s="684">
        <f>IF(AW$4="forecast",AVERAGE(AK38:AV38),'Dept. Cost Actuals'!BA49)</f>
        <v>52.835865118692283</v>
      </c>
      <c r="AX38" s="684">
        <f>IF(AX$4="forecast",AVERAGE(AL38:AW38),'Dept. Cost Actuals'!BB49)</f>
        <v>52.119826163914659</v>
      </c>
      <c r="AY38" s="684">
        <f>IF(AY$4="forecast",AVERAGE(AM38:AX38),'Dept. Cost Actuals'!BC49)</f>
        <v>50.917531653349862</v>
      </c>
      <c r="AZ38" s="684">
        <f>IF(AZ$4="forecast",AVERAGE(AN38:AY38),'Dept. Cost Actuals'!BD49)</f>
        <v>51.201522598219292</v>
      </c>
      <c r="BA38" s="684">
        <f>IF(BA$4="forecast",AVERAGE(AO38:AZ38),'Dept. Cost Actuals'!BE49)</f>
        <v>51.447769915937208</v>
      </c>
      <c r="BB38" s="684">
        <f>IF(BB$4="forecast",AVERAGE(AP38:BA38),'Dept. Cost Actuals'!BF49)</f>
        <v>51.670387385848862</v>
      </c>
      <c r="BC38" s="684">
        <f>IF(BC$4="forecast",AVERAGE(AQ38:BB38),'Dept. Cost Actuals'!BG49)</f>
        <v>51.887967904313108</v>
      </c>
      <c r="BD38" s="684">
        <f>IF(BD$4="forecast",AVERAGE(AR38:BC38),'Dept. Cost Actuals'!BH49)</f>
        <v>52.026586458583317</v>
      </c>
      <c r="BE38" s="684">
        <f>IF(BE$4="forecast",AVERAGE(AS38:BD38),'Dept. Cost Actuals'!BI49)</f>
        <v>52.091871474694976</v>
      </c>
      <c r="BF38" s="684">
        <f>IF(BF$4="forecast",AVERAGE(AT38:BE38),'Dept. Cost Actuals'!BJ49)</f>
        <v>52.09262944076503</v>
      </c>
      <c r="BG38" s="684">
        <f>IF(BG$4="forecast",AVERAGE(AU38:BF38),'Dept. Cost Actuals'!BK49)</f>
        <v>52.041476468055386</v>
      </c>
      <c r="BH38" s="684">
        <f>IF(BH$4="forecast",AVERAGE(AV38:BG38),'Dept. Cost Actuals'!BL49)</f>
        <v>51.955564789866607</v>
      </c>
      <c r="BI38" s="684">
        <f>IF(BI$4="forecast",AVERAGE(AW38:BH38),'Dept. Cost Actuals'!BM49)</f>
        <v>51.857416614353383</v>
      </c>
      <c r="BJ38" s="684">
        <f>IF(BJ$4="forecast",AVERAGE(AX38:BI38),'Dept. Cost Actuals'!BN49)</f>
        <v>51.775879238991799</v>
      </c>
      <c r="BK38" s="684">
        <f>IF(BK$4="forecast",AVERAGE(AY38:BJ38),'Dept. Cost Actuals'!BO49)</f>
        <v>51.747216995248237</v>
      </c>
      <c r="BL38" s="684">
        <f>IF(BL$4="forecast",AVERAGE(AZ38:BK38),'Dept. Cost Actuals'!#REF!)</f>
        <v>51.816357440406442</v>
      </c>
      <c r="BM38" s="684">
        <f>IF(BM$4="forecast",AVERAGE(BA38:BL38),'Dept. Cost Actuals'!#REF!)</f>
        <v>51.867593677255371</v>
      </c>
      <c r="BN38" s="684">
        <f>IF(BN$4="forecast",AVERAGE(BB38:BM38),'Dept. Cost Actuals'!#REF!)</f>
        <v>51.902578990698551</v>
      </c>
      <c r="BO38" s="684">
        <f>IF(BO$4="forecast",AVERAGE(BC38:BN38),'Dept. Cost Actuals'!#REF!)</f>
        <v>51.921928291102688</v>
      </c>
      <c r="BP38" s="684">
        <f>IF(BP$4="forecast",AVERAGE(BD38:BO38),'Dept. Cost Actuals'!#REF!)</f>
        <v>51.924758323335141</v>
      </c>
      <c r="BQ38" s="684">
        <f>IF(BQ$4="forecast",AVERAGE(BE38:BP38),'Dept. Cost Actuals'!#REF!)</f>
        <v>51.91627264539779</v>
      </c>
      <c r="BR38" s="684">
        <f>IF(BR$4="forecast",AVERAGE(BF38:BQ38),'Dept. Cost Actuals'!#REF!)</f>
        <v>51.901639409623037</v>
      </c>
      <c r="BS38" s="684">
        <f>IF(BS$4="forecast",AVERAGE(BG38:BR38),'Dept. Cost Actuals'!#REF!)</f>
        <v>51.885723573694527</v>
      </c>
      <c r="BT38" s="684">
        <f>IF(BT$4="forecast",AVERAGE(BH38:BS38),'Dept. Cost Actuals'!#REF!)</f>
        <v>51.872744165831136</v>
      </c>
      <c r="BU38" s="684">
        <f>IF(BU$4="forecast",AVERAGE(BI38:BT38),'Dept. Cost Actuals'!#REF!)</f>
        <v>51.865842447161505</v>
      </c>
      <c r="BV38" s="808">
        <f>IF(BV$4="forecast",AVERAGE(BJ38:BU38),'Dept. Cost Actuals'!#REF!)</f>
        <v>51.866544599895519</v>
      </c>
    </row>
    <row r="39" spans="2:74" x14ac:dyDescent="0.35">
      <c r="B39" s="816" t="s">
        <v>952</v>
      </c>
      <c r="C39" s="810">
        <f>IF(C$4="forecast","Month Limit",'Dept. Cost Actuals'!G86)</f>
        <v>0</v>
      </c>
      <c r="D39" s="810">
        <f>IF(D$4="forecast","Month Limit",'Dept. Cost Actuals'!H86)</f>
        <v>0</v>
      </c>
      <c r="E39" s="810">
        <f>IF(E$4="forecast","Month Limit",'Dept. Cost Actuals'!I86)</f>
        <v>0</v>
      </c>
      <c r="F39" s="810">
        <f>IF(F$4="forecast","Month Limit",'Dept. Cost Actuals'!J86)</f>
        <v>0</v>
      </c>
      <c r="G39" s="810">
        <f>IF(G$4="forecast","Month Limit",'Dept. Cost Actuals'!K86)</f>
        <v>11.749363099211696</v>
      </c>
      <c r="H39" s="810">
        <f>IF(H$4="forecast","Month Limit",'Dept. Cost Actuals'!L86)</f>
        <v>72.905048005310562</v>
      </c>
      <c r="I39" s="810">
        <f>IF(I$4="forecast","Month Limit",'Dept. Cost Actuals'!M86)</f>
        <v>56.391386652265552</v>
      </c>
      <c r="J39" s="810">
        <f>IF(J$4="forecast","Month Limit",'Dept. Cost Actuals'!N86)</f>
        <v>0.77884179847236523</v>
      </c>
      <c r="K39" s="810">
        <f>IF(K$4="forecast","Month Limit",'Dept. Cost Actuals'!O86)</f>
        <v>0</v>
      </c>
      <c r="L39" s="810">
        <f>IF(L$4="forecast","Month Limit",'Dept. Cost Actuals'!P86)</f>
        <v>344.42322762300262</v>
      </c>
      <c r="M39" s="810">
        <f>IF(M$4="forecast","Month Limit",'Dept. Cost Actuals'!Q86)</f>
        <v>39.484877553169717</v>
      </c>
      <c r="N39" s="810">
        <f>IF(N$4="forecast","Month Limit",'Dept. Cost Actuals'!R86)</f>
        <v>237.73124017299818</v>
      </c>
      <c r="O39" s="810">
        <f>IF(O$4="forecast",AVERAGE(C39:N39),'Dept. Cost Actuals'!S86)</f>
        <v>201.85</v>
      </c>
      <c r="P39" s="810">
        <f>IF(P$4="forecast",AVERAGE(D39:O39),'Dept. Cost Actuals'!T86)</f>
        <v>123.23</v>
      </c>
      <c r="Q39" s="810">
        <f>IF(Q$4="forecast",AVERAGE(E39:P39),'Dept. Cost Actuals'!U86)</f>
        <v>0</v>
      </c>
      <c r="R39" s="810">
        <f>IF(R$4="forecast",AVERAGE(F39:Q39),'Dept. Cost Actuals'!V86)</f>
        <v>0</v>
      </c>
      <c r="S39" s="810">
        <f>IF(S$4="forecast",AVERAGE(G39:R39),'Dept. Cost Actuals'!W86)</f>
        <v>0</v>
      </c>
      <c r="T39" s="810">
        <f>IF(T$4="forecast",AVERAGE(H39:S39),'Dept. Cost Actuals'!X86)</f>
        <v>0</v>
      </c>
      <c r="U39" s="810">
        <f>IF(U$4="forecast",AVERAGE(I39:T39),'Dept. Cost Actuals'!Y86)</f>
        <v>53.35</v>
      </c>
      <c r="V39" s="810">
        <f>IF(V$4="forecast",AVERAGE(J39:U39),'Dept. Cost Actuals'!Z86)</f>
        <v>0</v>
      </c>
      <c r="W39" s="810">
        <f>IF(W$4="forecast",AVERAGE(K39:V39),'Dept. Cost Actuals'!AA86)</f>
        <v>2500</v>
      </c>
      <c r="X39" s="810">
        <f>IF(X$4="forecast",AVERAGE(L39:W39),'Dept. Cost Actuals'!AB86)</f>
        <v>-2500</v>
      </c>
      <c r="Y39" s="810">
        <f>IF(Y$4="forecast",AVERAGE(M39:X39),'Dept. Cost Actuals'!AC86)</f>
        <v>26.14</v>
      </c>
      <c r="Z39" s="810">
        <f>IF(Z$4="forecast",AVERAGE(N39:Y39),'Dept. Cost Actuals'!AD86)</f>
        <v>3090.28</v>
      </c>
      <c r="AA39" s="810">
        <f>IF(AA$4="forecast",SUM($O$39:$Z$39)/12+4200,'Dept. Cost Actuals'!AE590)</f>
        <v>4491.2375000000002</v>
      </c>
      <c r="AB39" s="810">
        <f>IF(AB$4="forecast",SUM($O$39:$Z$39)/12+4200,'Dept. Cost Actuals'!AF590)</f>
        <v>4491.2375000000002</v>
      </c>
      <c r="AC39" s="810">
        <f>IF(AC$4="forecast",SUM($O$39:$Z$39)/12+4200,'Dept. Cost Actuals'!AG590)</f>
        <v>4491.2375000000002</v>
      </c>
      <c r="AD39" s="810">
        <f>IF(AD$4="forecast",SUM($O$39:$Z$39)/12+4200,'Dept. Cost Actuals'!AH590)</f>
        <v>4491.2375000000002</v>
      </c>
      <c r="AE39" s="810">
        <f>IF(AE$4="forecast",SUM($O$39:$Z$39)/12+4200,'Dept. Cost Actuals'!AI590)</f>
        <v>4491.2375000000002</v>
      </c>
      <c r="AF39" s="810">
        <f>IF(AF$4="forecast",SUM($O$39:$Z$39)/12+4200,'Dept. Cost Actuals'!AJ590)</f>
        <v>4491.2375000000002</v>
      </c>
      <c r="AG39" s="810">
        <f>IF(AG$4="forecast",SUM($O$39:$Z$39)/12+4200,'Dept. Cost Actuals'!AK590)</f>
        <v>4491.2375000000002</v>
      </c>
      <c r="AH39" s="810">
        <f>IF(AH$4="forecast",SUM($O$39:$Z$39)/12+4200,'Dept. Cost Actuals'!AL590)</f>
        <v>4491.2375000000002</v>
      </c>
      <c r="AI39" s="810">
        <f>IF(AI$4="forecast",SUM($O$39:$Z$39)/12+4200,'Dept. Cost Actuals'!AM590)</f>
        <v>4491.2375000000002</v>
      </c>
      <c r="AJ39" s="810">
        <f>IF(AJ$4="forecast",SUM($O$39:$Z$39)/12+4200,'Dept. Cost Actuals'!AN590)</f>
        <v>4491.2375000000002</v>
      </c>
      <c r="AK39" s="810">
        <f>IF(AK$4="forecast",SUM($O$39:$Z$39)/12+4200,'Dept. Cost Actuals'!AO590)</f>
        <v>4491.2375000000002</v>
      </c>
      <c r="AL39" s="810">
        <f>IF(AL$4="forecast",SUM($O$39:$Z$39)/12+4200,'Dept. Cost Actuals'!AP590)</f>
        <v>4491.2375000000002</v>
      </c>
      <c r="AM39" s="810">
        <f>IF(AM$4="forecast",AVERAGE(AA39:AL39),'Dept. Cost Actuals'!AQ86)</f>
        <v>4491.2375000000011</v>
      </c>
      <c r="AN39" s="810">
        <f>IF(AN$4="forecast",AVERAGE(AB39:AM39),'Dept. Cost Actuals'!AR86)</f>
        <v>4491.2375000000011</v>
      </c>
      <c r="AO39" s="810">
        <f>IF(AO$4="forecast",AVERAGE(AC39:AN39),'Dept. Cost Actuals'!AS86)</f>
        <v>4491.2375000000011</v>
      </c>
      <c r="AP39" s="810">
        <f>IF(AP$4="forecast",AVERAGE(AD39:AO39),'Dept. Cost Actuals'!AT86)</f>
        <v>4491.2375000000011</v>
      </c>
      <c r="AQ39" s="810">
        <f>IF(AQ$4="forecast",AVERAGE(AE39:AP39),'Dept. Cost Actuals'!AU86)</f>
        <v>4491.2375000000011</v>
      </c>
      <c r="AR39" s="810">
        <f>IF(AR$4="forecast",AVERAGE(AF39:AQ39),'Dept. Cost Actuals'!AV86)</f>
        <v>4491.2375000000011</v>
      </c>
      <c r="AS39" s="810">
        <f>IF(AS$4="forecast",AVERAGE(AG39:AR39),'Dept. Cost Actuals'!AW86)</f>
        <v>4491.2375000000011</v>
      </c>
      <c r="AT39" s="810">
        <f>IF(AT$4="forecast",AVERAGE(AH39:AS39),'Dept. Cost Actuals'!AX86)</f>
        <v>4491.237500000002</v>
      </c>
      <c r="AU39" s="810">
        <f>IF(AU$4="forecast",AVERAGE(AI39:AT39),'Dept. Cost Actuals'!AY86)</f>
        <v>4491.237500000002</v>
      </c>
      <c r="AV39" s="810">
        <f>IF(AV$4="forecast",AVERAGE(AJ39:AU39),'Dept. Cost Actuals'!AZ86)</f>
        <v>4491.237500000002</v>
      </c>
      <c r="AW39" s="810">
        <f>IF(AW$4="forecast",AVERAGE(AK39:AV39),'Dept. Cost Actuals'!BA86)</f>
        <v>4491.237500000002</v>
      </c>
      <c r="AX39" s="810">
        <f>IF(AX$4="forecast",AVERAGE(AL39:AW39),'Dept. Cost Actuals'!BB86)</f>
        <v>4491.237500000002</v>
      </c>
      <c r="AY39" s="810">
        <f>IF(AY$4="forecast",AVERAGE(AM39:AX39),'Dept. Cost Actuals'!BC86)</f>
        <v>4491.237500000002</v>
      </c>
      <c r="AZ39" s="810">
        <f>IF(AZ$4="forecast",AVERAGE(AN39:AY39),'Dept. Cost Actuals'!BD86)</f>
        <v>4491.237500000002</v>
      </c>
      <c r="BA39" s="810">
        <f>IF(BA$4="forecast",AVERAGE(AO39:AZ39),'Dept. Cost Actuals'!BE86)</f>
        <v>4491.237500000002</v>
      </c>
      <c r="BB39" s="810">
        <f>IF(BB$4="forecast",AVERAGE(AP39:BA39),'Dept. Cost Actuals'!BF86)</f>
        <v>4491.237500000002</v>
      </c>
      <c r="BC39" s="810">
        <f>IF(BC$4="forecast",AVERAGE(AQ39:BB39),'Dept. Cost Actuals'!BG86)</f>
        <v>4491.237500000002</v>
      </c>
      <c r="BD39" s="810">
        <f>IF(BD$4="forecast",AVERAGE(AR39:BC39),'Dept. Cost Actuals'!BH86)</f>
        <v>4491.237500000002</v>
      </c>
      <c r="BE39" s="810">
        <f>IF(BE$4="forecast",AVERAGE(AS39:BD39),'Dept. Cost Actuals'!BI86)</f>
        <v>4491.237500000002</v>
      </c>
      <c r="BF39" s="810">
        <f>IF(BF$4="forecast",AVERAGE(AT39:BE39),'Dept. Cost Actuals'!BJ86)</f>
        <v>4491.237500000002</v>
      </c>
      <c r="BG39" s="810">
        <f>IF(BG$4="forecast",AVERAGE(AU39:BF39),'Dept. Cost Actuals'!BK86)</f>
        <v>4491.237500000002</v>
      </c>
      <c r="BH39" s="810">
        <f>IF(BH$4="forecast",AVERAGE(AV39:BG39),'Dept. Cost Actuals'!BL86)</f>
        <v>4491.237500000002</v>
      </c>
      <c r="BI39" s="810">
        <f>IF(BI$4="forecast",AVERAGE(AW39:BH39),'Dept. Cost Actuals'!BM86)</f>
        <v>4491.237500000002</v>
      </c>
      <c r="BJ39" s="810">
        <f>IF(BJ$4="forecast",AVERAGE(AX39:BI39),'Dept. Cost Actuals'!BN86)</f>
        <v>4491.237500000002</v>
      </c>
      <c r="BK39" s="810">
        <f>IF(BK$4="forecast",AVERAGE(AY39:BJ39),'Dept. Cost Actuals'!BO86)</f>
        <v>4491.237500000002</v>
      </c>
      <c r="BL39" s="810">
        <f>IF(BL$4="forecast",AVERAGE(AZ39:BK39),'Dept. Cost Actuals'!#REF!)</f>
        <v>4491.237500000002</v>
      </c>
      <c r="BM39" s="810">
        <f>IF(BM$4="forecast",AVERAGE(BA39:BL39),'Dept. Cost Actuals'!#REF!)</f>
        <v>4491.237500000002</v>
      </c>
      <c r="BN39" s="810">
        <f>IF(BN$4="forecast",AVERAGE(BB39:BM39),'Dept. Cost Actuals'!#REF!)</f>
        <v>4491.237500000002</v>
      </c>
      <c r="BO39" s="810">
        <f>IF(BO$4="forecast",AVERAGE(BC39:BN39),'Dept. Cost Actuals'!#REF!)</f>
        <v>4491.237500000002</v>
      </c>
      <c r="BP39" s="810">
        <f>IF(BP$4="forecast",AVERAGE(BD39:BO39),'Dept. Cost Actuals'!#REF!)</f>
        <v>4491.237500000002</v>
      </c>
      <c r="BQ39" s="810">
        <f>IF(BQ$4="forecast",AVERAGE(BE39:BP39),'Dept. Cost Actuals'!#REF!)</f>
        <v>4491.237500000002</v>
      </c>
      <c r="BR39" s="810">
        <f>IF(BR$4="forecast",AVERAGE(BF39:BQ39),'Dept. Cost Actuals'!#REF!)</f>
        <v>4491.237500000002</v>
      </c>
      <c r="BS39" s="810">
        <f>IF(BS$4="forecast",AVERAGE(BG39:BR39),'Dept. Cost Actuals'!#REF!)</f>
        <v>4491.237500000002</v>
      </c>
      <c r="BT39" s="810">
        <f>IF(BT$4="forecast",AVERAGE(BH39:BS39),'Dept. Cost Actuals'!#REF!)</f>
        <v>4491.237500000002</v>
      </c>
      <c r="BU39" s="810">
        <f>IF(BU$4="forecast",AVERAGE(BI39:BT39),'Dept. Cost Actuals'!#REF!)</f>
        <v>4491.237500000002</v>
      </c>
      <c r="BV39" s="817">
        <f>IF(BV$4="forecast",AVERAGE(BJ39:BU39),'Dept. Cost Actuals'!#REF!)</f>
        <v>4491.237500000002</v>
      </c>
    </row>
    <row r="40" spans="2:74" x14ac:dyDescent="0.35">
      <c r="B40" s="818" t="s">
        <v>953</v>
      </c>
      <c r="C40" s="819">
        <f>SUM(C29:C39,)</f>
        <v>1647.6080808970041</v>
      </c>
      <c r="D40" s="819">
        <f t="shared" ref="D40:BO40" si="9">SUM(D29:D39,)</f>
        <v>1886.3054003562988</v>
      </c>
      <c r="E40" s="819">
        <f t="shared" si="9"/>
        <v>3380.307070589105</v>
      </c>
      <c r="F40" s="819">
        <f t="shared" si="9"/>
        <v>3464.165238745602</v>
      </c>
      <c r="G40" s="819">
        <f t="shared" si="9"/>
        <v>3624.2514101388588</v>
      </c>
      <c r="H40" s="819">
        <f t="shared" si="9"/>
        <v>5611.6637935603567</v>
      </c>
      <c r="I40" s="819">
        <f t="shared" si="9"/>
        <v>6543.3503259876079</v>
      </c>
      <c r="J40" s="819">
        <f t="shared" si="9"/>
        <v>6397.0462088336071</v>
      </c>
      <c r="K40" s="819">
        <f t="shared" si="9"/>
        <v>5363.1958012617915</v>
      </c>
      <c r="L40" s="819">
        <f t="shared" si="9"/>
        <v>3748.932597866331</v>
      </c>
      <c r="M40" s="819">
        <f t="shared" si="9"/>
        <v>7362.6419185029581</v>
      </c>
      <c r="N40" s="819">
        <f t="shared" si="9"/>
        <v>1682.1197011407426</v>
      </c>
      <c r="O40" s="819">
        <f t="shared" si="9"/>
        <v>4364.3500000000004</v>
      </c>
      <c r="P40" s="819">
        <f t="shared" si="9"/>
        <v>5957.2599999999993</v>
      </c>
      <c r="Q40" s="819">
        <f t="shared" si="9"/>
        <v>4229.6900000000005</v>
      </c>
      <c r="R40" s="819">
        <f t="shared" si="9"/>
        <v>2224.5</v>
      </c>
      <c r="S40" s="819">
        <f t="shared" si="9"/>
        <v>4890.38</v>
      </c>
      <c r="T40" s="819">
        <f t="shared" si="9"/>
        <v>2777.6300000000006</v>
      </c>
      <c r="U40" s="819">
        <f t="shared" si="9"/>
        <v>3329.3100000000004</v>
      </c>
      <c r="V40" s="819">
        <f t="shared" si="9"/>
        <v>2465.4299999999998</v>
      </c>
      <c r="W40" s="819">
        <f t="shared" si="9"/>
        <v>6061.79</v>
      </c>
      <c r="X40" s="819">
        <f t="shared" si="9"/>
        <v>3138.8999999999996</v>
      </c>
      <c r="Y40" s="819">
        <f t="shared" si="9"/>
        <v>4995.2400000000007</v>
      </c>
      <c r="Z40" s="819">
        <f t="shared" si="9"/>
        <v>5528.51</v>
      </c>
      <c r="AA40" s="819">
        <f t="shared" si="9"/>
        <v>8853.85</v>
      </c>
      <c r="AB40" s="819">
        <f t="shared" si="9"/>
        <v>8812.1927083333321</v>
      </c>
      <c r="AC40" s="819">
        <f t="shared" si="9"/>
        <v>8667.1773090277784</v>
      </c>
      <c r="AD40" s="819">
        <f t="shared" si="9"/>
        <v>13104.364793113426</v>
      </c>
      <c r="AE40" s="819">
        <f t="shared" si="9"/>
        <v>9161.5420675395435</v>
      </c>
      <c r="AF40" s="819">
        <f t="shared" si="9"/>
        <v>9167.994114834506</v>
      </c>
      <c r="AG40" s="819">
        <f t="shared" si="9"/>
        <v>9271.9963327373825</v>
      </c>
      <c r="AH40" s="819">
        <f t="shared" si="9"/>
        <v>9339.0629021321656</v>
      </c>
      <c r="AI40" s="819">
        <f t="shared" si="9"/>
        <v>9479.2625189765113</v>
      </c>
      <c r="AJ40" s="819">
        <f t="shared" si="9"/>
        <v>9539.7821038912207</v>
      </c>
      <c r="AK40" s="819">
        <f t="shared" si="9"/>
        <v>9432.2524875488216</v>
      </c>
      <c r="AL40" s="819">
        <f t="shared" si="9"/>
        <v>9371.5787365112228</v>
      </c>
      <c r="AM40" s="819">
        <f t="shared" si="9"/>
        <v>9516.7546728871603</v>
      </c>
      <c r="AN40" s="819">
        <f t="shared" si="9"/>
        <v>9571.9967289610904</v>
      </c>
      <c r="AO40" s="819">
        <f t="shared" si="9"/>
        <v>9635.3137306800709</v>
      </c>
      <c r="AP40" s="819">
        <f t="shared" si="9"/>
        <v>9715.9917658177619</v>
      </c>
      <c r="AQ40" s="819">
        <f t="shared" si="9"/>
        <v>9433.6273468764557</v>
      </c>
      <c r="AR40" s="819">
        <f t="shared" si="9"/>
        <v>9456.3011201545305</v>
      </c>
      <c r="AS40" s="819">
        <f t="shared" si="9"/>
        <v>9480.3267039311995</v>
      </c>
      <c r="AT40" s="819">
        <f t="shared" si="9"/>
        <v>9497.6875681973506</v>
      </c>
      <c r="AU40" s="819">
        <f t="shared" si="9"/>
        <v>9510.9062903694503</v>
      </c>
      <c r="AV40" s="819">
        <f t="shared" si="9"/>
        <v>9513.543271318862</v>
      </c>
      <c r="AW40" s="819">
        <f t="shared" si="9"/>
        <v>9511.3567019378315</v>
      </c>
      <c r="AX40" s="819">
        <f t="shared" si="9"/>
        <v>9517.9487198035822</v>
      </c>
      <c r="AY40" s="819">
        <f t="shared" si="9"/>
        <v>9530.1462184112806</v>
      </c>
      <c r="AZ40" s="819">
        <f t="shared" si="9"/>
        <v>9531.2621805382896</v>
      </c>
      <c r="BA40" s="819">
        <f t="shared" si="9"/>
        <v>9527.8676348363879</v>
      </c>
      <c r="BB40" s="819">
        <f t="shared" si="9"/>
        <v>9518.9137935160834</v>
      </c>
      <c r="BC40" s="819">
        <f t="shared" si="9"/>
        <v>9502.4906291576099</v>
      </c>
      <c r="BD40" s="819">
        <f t="shared" si="9"/>
        <v>9508.2292360143729</v>
      </c>
      <c r="BE40" s="819">
        <f t="shared" si="9"/>
        <v>9512.5565790026922</v>
      </c>
      <c r="BF40" s="819">
        <f t="shared" si="9"/>
        <v>9515.2424019253158</v>
      </c>
      <c r="BG40" s="819">
        <f t="shared" si="9"/>
        <v>9516.7053047359805</v>
      </c>
      <c r="BH40" s="819">
        <f t="shared" si="9"/>
        <v>9517.1885559331913</v>
      </c>
      <c r="BI40" s="819">
        <f t="shared" si="9"/>
        <v>9517.4923296510497</v>
      </c>
      <c r="BJ40" s="819">
        <f t="shared" si="9"/>
        <v>9518.0036319604842</v>
      </c>
      <c r="BK40" s="819">
        <f t="shared" si="9"/>
        <v>9518.0082079735621</v>
      </c>
      <c r="BL40" s="819">
        <f t="shared" si="9"/>
        <v>9516.9967071037518</v>
      </c>
      <c r="BM40" s="819">
        <f t="shared" si="9"/>
        <v>9515.8079176508727</v>
      </c>
      <c r="BN40" s="819">
        <f t="shared" si="9"/>
        <v>9514.8029412187461</v>
      </c>
      <c r="BO40" s="819">
        <f t="shared" si="9"/>
        <v>9514.4603701939686</v>
      </c>
      <c r="BP40" s="819">
        <f t="shared" ref="BP40:BV40" si="10">SUM(BP29:BP39,)</f>
        <v>9515.457848613667</v>
      </c>
      <c r="BQ40" s="819">
        <f t="shared" si="10"/>
        <v>9516.0602329969406</v>
      </c>
      <c r="BR40" s="819">
        <f t="shared" si="10"/>
        <v>9516.3522041631295</v>
      </c>
      <c r="BS40" s="819">
        <f t="shared" si="10"/>
        <v>9516.4446876829443</v>
      </c>
      <c r="BT40" s="819">
        <f t="shared" si="10"/>
        <v>9516.4229695951926</v>
      </c>
      <c r="BU40" s="819">
        <f t="shared" si="10"/>
        <v>9516.3591707336927</v>
      </c>
      <c r="BV40" s="820">
        <f t="shared" si="10"/>
        <v>9516.2647408239136</v>
      </c>
    </row>
    <row r="41" spans="2:74" x14ac:dyDescent="0.35">
      <c r="B41" s="800"/>
      <c r="C41" s="157"/>
      <c r="D41" s="157"/>
      <c r="E41" s="157"/>
      <c r="F41" s="157"/>
      <c r="G41" s="157"/>
      <c r="H41" s="157"/>
      <c r="I41" s="157"/>
      <c r="J41" s="157"/>
      <c r="K41" s="157"/>
      <c r="L41" s="157"/>
      <c r="M41" s="157"/>
      <c r="N41" s="157"/>
      <c r="O41" s="157"/>
      <c r="P41" s="157"/>
      <c r="Q41" s="157"/>
      <c r="R41" s="157"/>
      <c r="S41" s="157"/>
      <c r="T41" s="157"/>
      <c r="U41" s="157"/>
      <c r="V41" s="157"/>
      <c r="W41" s="157"/>
      <c r="X41" s="157"/>
      <c r="Y41" s="157"/>
      <c r="Z41" s="157"/>
      <c r="AA41" s="157"/>
      <c r="AB41" s="157"/>
      <c r="AC41" s="157"/>
      <c r="AD41" s="157"/>
      <c r="AE41" s="157"/>
      <c r="AF41" s="157"/>
      <c r="AG41" s="157"/>
      <c r="AH41" s="157"/>
      <c r="AI41" s="157"/>
      <c r="AJ41" s="157"/>
      <c r="AK41" s="157"/>
      <c r="AL41" s="157"/>
      <c r="AM41" s="157"/>
      <c r="AN41" s="157"/>
      <c r="AO41" s="157"/>
      <c r="AP41" s="157"/>
      <c r="AQ41" s="157"/>
      <c r="AR41" s="157"/>
      <c r="AS41" s="157"/>
      <c r="AT41" s="157"/>
      <c r="AU41" s="157"/>
      <c r="AV41" s="157"/>
      <c r="AW41" s="157"/>
      <c r="AX41" s="157"/>
      <c r="AY41" s="157"/>
      <c r="AZ41" s="157"/>
      <c r="BA41" s="157"/>
      <c r="BB41" s="157"/>
      <c r="BC41" s="157"/>
      <c r="BD41" s="157"/>
      <c r="BE41" s="157"/>
      <c r="BF41" s="157"/>
      <c r="BG41" s="157"/>
      <c r="BH41" s="157"/>
      <c r="BI41" s="157"/>
      <c r="BJ41" s="157"/>
      <c r="BK41" s="157"/>
      <c r="BL41" s="157"/>
      <c r="BM41" s="157"/>
      <c r="BN41" s="157"/>
      <c r="BO41" s="157"/>
      <c r="BP41" s="157"/>
      <c r="BQ41" s="157"/>
      <c r="BR41" s="157"/>
      <c r="BS41" s="157"/>
      <c r="BT41" s="157"/>
      <c r="BU41" s="157"/>
      <c r="BV41" s="801"/>
    </row>
    <row r="42" spans="2:74" x14ac:dyDescent="0.35">
      <c r="B42" s="874" t="s">
        <v>492</v>
      </c>
      <c r="C42" s="875">
        <f>C40+C26</f>
        <v>33488.764207846827</v>
      </c>
      <c r="D42" s="875">
        <f t="shared" ref="D42:BO42" si="11">D40+D26</f>
        <v>34256.226527699611</v>
      </c>
      <c r="E42" s="875">
        <f t="shared" si="11"/>
        <v>30584.956118016893</v>
      </c>
      <c r="F42" s="875">
        <f t="shared" si="11"/>
        <v>34925.183793851131</v>
      </c>
      <c r="G42" s="875">
        <f t="shared" si="11"/>
        <v>39189.644990987108</v>
      </c>
      <c r="H42" s="875">
        <f t="shared" si="11"/>
        <v>57611.290069140152</v>
      </c>
      <c r="I42" s="875">
        <f t="shared" si="11"/>
        <v>49592.865266164219</v>
      </c>
      <c r="J42" s="875">
        <f t="shared" si="11"/>
        <v>63854.754902761517</v>
      </c>
      <c r="K42" s="875">
        <f t="shared" si="11"/>
        <v>48739.04196051554</v>
      </c>
      <c r="L42" s="875">
        <f t="shared" si="11"/>
        <v>43902.332272915468</v>
      </c>
      <c r="M42" s="875">
        <f t="shared" si="11"/>
        <v>68464.436950175761</v>
      </c>
      <c r="N42" s="875">
        <f t="shared" si="11"/>
        <v>68129.793236168873</v>
      </c>
      <c r="O42" s="875">
        <f t="shared" si="11"/>
        <v>108819.14000000001</v>
      </c>
      <c r="P42" s="875">
        <f t="shared" si="11"/>
        <v>88246.51999999999</v>
      </c>
      <c r="Q42" s="875">
        <f t="shared" si="11"/>
        <v>147580.19</v>
      </c>
      <c r="R42" s="875">
        <f t="shared" si="11"/>
        <v>118226.94000000002</v>
      </c>
      <c r="S42" s="875">
        <f t="shared" si="11"/>
        <v>122808.24</v>
      </c>
      <c r="T42" s="875">
        <f t="shared" si="11"/>
        <v>102863.89000000001</v>
      </c>
      <c r="U42" s="875">
        <f t="shared" si="11"/>
        <v>132491.95000000001</v>
      </c>
      <c r="V42" s="875">
        <f t="shared" si="11"/>
        <v>115618.56999999999</v>
      </c>
      <c r="W42" s="875">
        <f t="shared" si="11"/>
        <v>131484.82</v>
      </c>
      <c r="X42" s="875">
        <f t="shared" si="11"/>
        <v>162461.51</v>
      </c>
      <c r="Y42" s="875">
        <f t="shared" si="11"/>
        <v>129331.56000000001</v>
      </c>
      <c r="Z42" s="875">
        <f t="shared" si="11"/>
        <v>227871.93</v>
      </c>
      <c r="AA42" s="875">
        <f t="shared" si="11"/>
        <v>144027.24220833334</v>
      </c>
      <c r="AB42" s="875">
        <f t="shared" si="11"/>
        <v>135392.84186111111</v>
      </c>
      <c r="AC42" s="875">
        <f t="shared" si="11"/>
        <v>130940.9614849537</v>
      </c>
      <c r="AD42" s="875">
        <f t="shared" si="11"/>
        <v>153619.79357744986</v>
      </c>
      <c r="AE42" s="875">
        <f t="shared" si="11"/>
        <v>140513.79501098732</v>
      </c>
      <c r="AF42" s="875">
        <f t="shared" si="11"/>
        <v>140859.85989731961</v>
      </c>
      <c r="AG42" s="875">
        <f t="shared" si="11"/>
        <v>159422.40019084624</v>
      </c>
      <c r="AH42" s="875">
        <f t="shared" si="11"/>
        <v>150727.44800883342</v>
      </c>
      <c r="AI42" s="875">
        <f t="shared" si="11"/>
        <v>151348.37731165288</v>
      </c>
      <c r="AJ42" s="875">
        <f t="shared" si="11"/>
        <v>151450.6123897073</v>
      </c>
      <c r="AK42" s="875">
        <f t="shared" si="11"/>
        <v>151599.98289093291</v>
      </c>
      <c r="AL42" s="875">
        <f t="shared" si="11"/>
        <v>392836.77093392727</v>
      </c>
      <c r="AM42" s="875">
        <f t="shared" si="11"/>
        <v>152289.5165689768</v>
      </c>
      <c r="AN42" s="875">
        <f t="shared" si="11"/>
        <v>155523.28934165777</v>
      </c>
      <c r="AO42" s="875">
        <f t="shared" si="11"/>
        <v>155816.27044724728</v>
      </c>
      <c r="AP42" s="875">
        <f t="shared" si="11"/>
        <v>156122.41361772199</v>
      </c>
      <c r="AQ42" s="875">
        <f t="shared" si="11"/>
        <v>156027.52292795226</v>
      </c>
      <c r="AR42" s="875">
        <f t="shared" si="11"/>
        <v>156251.11138101851</v>
      </c>
      <c r="AS42" s="875">
        <f t="shared" si="11"/>
        <v>156465.46157623705</v>
      </c>
      <c r="AT42" s="875">
        <f t="shared" si="11"/>
        <v>156614.01945175036</v>
      </c>
      <c r="AU42" s="875">
        <f t="shared" si="11"/>
        <v>156733.6110656003</v>
      </c>
      <c r="AV42" s="875">
        <f t="shared" si="11"/>
        <v>156812.23371865368</v>
      </c>
      <c r="AW42" s="875">
        <f t="shared" si="11"/>
        <v>156889.77202440336</v>
      </c>
      <c r="AX42" s="875">
        <f t="shared" si="11"/>
        <v>405528.58364283131</v>
      </c>
      <c r="AY42" s="875">
        <f t="shared" si="11"/>
        <v>163608.65540486306</v>
      </c>
      <c r="AZ42" s="875">
        <f t="shared" si="11"/>
        <v>166790.76342648716</v>
      </c>
      <c r="BA42" s="875">
        <f t="shared" si="11"/>
        <v>166943.5354985288</v>
      </c>
      <c r="BB42" s="875">
        <f t="shared" si="11"/>
        <v>167084.62317143445</v>
      </c>
      <c r="BC42" s="875">
        <f t="shared" si="11"/>
        <v>167211.85593599215</v>
      </c>
      <c r="BD42" s="875">
        <f t="shared" si="11"/>
        <v>167357.79290901372</v>
      </c>
      <c r="BE42" s="875">
        <f t="shared" si="11"/>
        <v>167497.38933021043</v>
      </c>
      <c r="BF42" s="875">
        <f t="shared" si="11"/>
        <v>167630.80988529915</v>
      </c>
      <c r="BG42" s="875">
        <f t="shared" si="11"/>
        <v>167763.34314840447</v>
      </c>
      <c r="BH42" s="875">
        <f t="shared" si="11"/>
        <v>167897.29538446857</v>
      </c>
      <c r="BI42" s="875">
        <f t="shared" si="11"/>
        <v>168036.15595917613</v>
      </c>
      <c r="BJ42" s="875">
        <f t="shared" si="11"/>
        <v>424203.65441333991</v>
      </c>
      <c r="BK42" s="875">
        <f t="shared" si="11"/>
        <v>168993.80029523751</v>
      </c>
      <c r="BL42" s="875">
        <f t="shared" si="11"/>
        <v>172257.68360993278</v>
      </c>
      <c r="BM42" s="875">
        <f t="shared" si="11"/>
        <v>172412.84983831286</v>
      </c>
      <c r="BN42" s="875">
        <f t="shared" si="11"/>
        <v>172568.3958300759</v>
      </c>
      <c r="BO42" s="875">
        <f t="shared" si="11"/>
        <v>172725.34348374006</v>
      </c>
      <c r="BP42" s="875">
        <f t="shared" ref="BP42:BV42" si="12">BP40+BP26</f>
        <v>172884.99141300117</v>
      </c>
      <c r="BQ42" s="875">
        <f t="shared" si="12"/>
        <v>173046.00871725855</v>
      </c>
      <c r="BR42" s="875">
        <f t="shared" si="12"/>
        <v>173209.04672620646</v>
      </c>
      <c r="BS42" s="875">
        <f t="shared" si="12"/>
        <v>173374.8051722153</v>
      </c>
      <c r="BT42" s="875">
        <f t="shared" si="12"/>
        <v>173543.57353111982</v>
      </c>
      <c r="BU42" s="875">
        <f t="shared" si="12"/>
        <v>173715.47527374918</v>
      </c>
      <c r="BV42" s="876">
        <f t="shared" si="12"/>
        <v>437594.33884853567</v>
      </c>
    </row>
    <row r="43" spans="2:74" x14ac:dyDescent="0.35">
      <c r="O43" s="625"/>
      <c r="P43" s="625"/>
      <c r="Q43" s="625"/>
      <c r="R43" s="625"/>
      <c r="S43" s="625"/>
      <c r="T43" s="625"/>
      <c r="U43" s="625"/>
      <c r="V43" s="625"/>
      <c r="W43" s="625"/>
      <c r="X43" s="625"/>
      <c r="Y43" s="625"/>
      <c r="Z43" s="625"/>
      <c r="AA43" s="625"/>
      <c r="AB43" s="625"/>
      <c r="AC43" s="625"/>
      <c r="AD43" s="625"/>
      <c r="AE43" s="625"/>
      <c r="AF43" s="625"/>
      <c r="AG43" s="625"/>
      <c r="AH43" s="625"/>
      <c r="AI43" s="625"/>
      <c r="AJ43" s="625"/>
      <c r="AK43" s="625"/>
      <c r="AL43" s="625"/>
      <c r="AM43" s="625"/>
      <c r="AN43" s="625"/>
      <c r="AO43" s="625"/>
      <c r="AP43" s="625"/>
      <c r="AQ43" s="625"/>
      <c r="AR43" s="625"/>
      <c r="AS43" s="625"/>
      <c r="AT43" s="625"/>
      <c r="AU43" s="625"/>
      <c r="AV43" s="625"/>
      <c r="AW43" s="625"/>
      <c r="AX43" s="625"/>
      <c r="AY43" s="625"/>
      <c r="AZ43" s="625"/>
      <c r="BA43" s="625"/>
    </row>
    <row r="44" spans="2:74" x14ac:dyDescent="0.35">
      <c r="O44" s="575"/>
      <c r="P44" s="575"/>
      <c r="Q44" s="575"/>
      <c r="R44" s="575"/>
      <c r="S44" s="575"/>
      <c r="T44" s="575"/>
      <c r="U44" s="575"/>
      <c r="V44" s="575"/>
      <c r="W44" s="575"/>
      <c r="X44" s="575"/>
      <c r="Y44" s="575"/>
      <c r="Z44" s="575"/>
      <c r="AA44" s="575"/>
      <c r="AB44" s="575"/>
      <c r="AC44" s="575"/>
      <c r="AD44" s="575"/>
      <c r="AE44" s="575"/>
      <c r="AF44" s="575"/>
      <c r="AG44" s="575"/>
      <c r="AH44" s="575"/>
      <c r="AI44" s="575"/>
      <c r="AJ44" s="575"/>
      <c r="AK44" s="575"/>
      <c r="AL44" s="575"/>
      <c r="AM44" s="575"/>
      <c r="AN44" s="575"/>
      <c r="AO44" s="575"/>
      <c r="AP44" s="575"/>
      <c r="AQ44" s="575"/>
      <c r="AR44" s="575"/>
      <c r="AS44" s="575"/>
      <c r="AT44" s="575"/>
      <c r="AU44" s="575"/>
      <c r="AV44" s="575"/>
      <c r="AW44" s="575"/>
      <c r="AX44" s="575"/>
      <c r="AY44" s="575"/>
      <c r="AZ44" s="575"/>
      <c r="BA44" s="575"/>
      <c r="BB44" s="575"/>
      <c r="BC44" s="575"/>
      <c r="BD44" s="575"/>
      <c r="BE44" s="575"/>
      <c r="BF44" s="575"/>
      <c r="BG44" s="575"/>
      <c r="BH44" s="575"/>
      <c r="BI44" s="575"/>
      <c r="BJ44" s="575"/>
    </row>
    <row r="45" spans="2:74" x14ac:dyDescent="0.35">
      <c r="M45" s="152"/>
      <c r="N45" s="152"/>
      <c r="O45" s="152"/>
      <c r="P45" s="152"/>
      <c r="Q45" s="152"/>
      <c r="R45" s="152"/>
      <c r="S45" s="152"/>
      <c r="T45" s="152"/>
      <c r="U45" s="152"/>
      <c r="V45" s="152"/>
      <c r="W45" s="152"/>
      <c r="X45" s="152"/>
      <c r="Y45" s="152"/>
      <c r="Z45" s="152"/>
      <c r="AA45" s="152"/>
      <c r="AB45" s="152"/>
      <c r="AC45" s="152"/>
      <c r="AD45" s="152"/>
      <c r="AE45" s="152"/>
      <c r="AF45" s="152"/>
      <c r="AG45" s="152"/>
      <c r="AH45" s="152"/>
      <c r="AI45" s="152"/>
      <c r="AJ45" s="152"/>
      <c r="AK45" s="152"/>
      <c r="AL45" s="152"/>
      <c r="AM45" s="152"/>
      <c r="AN45" s="152"/>
      <c r="AO45" s="152"/>
      <c r="AP45" s="152"/>
    </row>
    <row r="46" spans="2:74" x14ac:dyDescent="0.35">
      <c r="AN46" s="152"/>
    </row>
  </sheetData>
  <conditionalFormatting sqref="AA4:BV4">
    <cfRule type="containsText" dxfId="265" priority="5" operator="containsText" text="actual">
      <formula>NOT(ISERROR(SEARCH("actual",AA4)))</formula>
    </cfRule>
    <cfRule type="containsText" dxfId="264" priority="6" operator="containsText" text="forecast">
      <formula>NOT(ISERROR(SEARCH("forecast",AA4)))</formula>
    </cfRule>
  </conditionalFormatting>
  <conditionalFormatting sqref="C4:Z4">
    <cfRule type="containsText" dxfId="263" priority="3" operator="containsText" text="actual">
      <formula>NOT(ISERROR(SEARCH("actual",C4)))</formula>
    </cfRule>
    <cfRule type="containsText" dxfId="262" priority="4" operator="containsText" text="forecast">
      <formula>NOT(ISERROR(SEARCH("forecast",C4)))</formula>
    </cfRule>
  </conditionalFormatting>
  <conditionalFormatting sqref="B4">
    <cfRule type="containsText" dxfId="261" priority="1" operator="containsText" text="actual">
      <formula>NOT(ISERROR(SEARCH("actual",B4)))</formula>
    </cfRule>
    <cfRule type="containsText" dxfId="260" priority="2" operator="containsText" text="forecast">
      <formula>NOT(ISERROR(SEARCH("forecast",B4)))</formula>
    </cfRule>
  </conditionalFormatting>
  <pageMargins left="0.7" right="0.7" top="0.75" bottom="0.75" header="0.3" footer="0.3"/>
  <pageSetup orientation="portrait" horizontalDpi="0" verticalDpi="0"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163"/>
  <sheetViews>
    <sheetView topLeftCell="A19" workbookViewId="0">
      <selection activeCell="G79" sqref="G79"/>
    </sheetView>
  </sheetViews>
  <sheetFormatPr defaultColWidth="9.1796875" defaultRowHeight="14.5" outlineLevelCol="1" x14ac:dyDescent="0.35"/>
  <cols>
    <col min="1" max="1" width="2" style="574" customWidth="1"/>
    <col min="2" max="2" width="33.81640625" style="574" bestFit="1" customWidth="1"/>
    <col min="3" max="3" width="30.1796875" style="574" bestFit="1" customWidth="1"/>
    <col min="4" max="4" width="12.26953125" style="574" customWidth="1"/>
    <col min="5" max="6" width="13.26953125" style="574" customWidth="1" outlineLevel="1"/>
    <col min="7" max="12" width="10.7265625" style="574" customWidth="1" outlineLevel="1"/>
    <col min="13" max="14" width="11.81640625" style="574" customWidth="1" outlineLevel="1"/>
    <col min="15" max="16" width="13.26953125" style="574" customWidth="1"/>
    <col min="17" max="17" width="68.453125" style="574" bestFit="1" customWidth="1"/>
    <col min="18" max="18" width="9.1796875" style="574"/>
    <col min="19" max="19" width="9.81640625" style="574" bestFit="1" customWidth="1"/>
    <col min="20" max="20" width="10.81640625" style="574" bestFit="1" customWidth="1"/>
    <col min="21" max="22" width="10" style="574" bestFit="1" customWidth="1"/>
    <col min="23" max="16384" width="9.1796875" style="574"/>
  </cols>
  <sheetData>
    <row r="2" spans="2:17" x14ac:dyDescent="0.35">
      <c r="B2" s="652" t="s">
        <v>1066</v>
      </c>
      <c r="C2" s="652"/>
    </row>
    <row r="3" spans="2:17" x14ac:dyDescent="0.35">
      <c r="B3" s="788" t="s">
        <v>931</v>
      </c>
      <c r="C3" s="1181"/>
      <c r="D3" s="1181">
        <v>41670</v>
      </c>
      <c r="E3" s="1181">
        <v>41698</v>
      </c>
      <c r="F3" s="1181">
        <v>41729</v>
      </c>
      <c r="G3" s="1181">
        <v>41759</v>
      </c>
      <c r="H3" s="1181">
        <v>41790</v>
      </c>
      <c r="I3" s="1181">
        <v>41820</v>
      </c>
      <c r="J3" s="1181">
        <v>41851</v>
      </c>
      <c r="K3" s="1181">
        <v>41882</v>
      </c>
      <c r="L3" s="1181">
        <v>41912</v>
      </c>
      <c r="M3" s="1181">
        <v>41943</v>
      </c>
      <c r="N3" s="1181">
        <v>41973</v>
      </c>
      <c r="O3" s="1181">
        <v>42004</v>
      </c>
      <c r="P3" s="1182" t="s">
        <v>1233</v>
      </c>
    </row>
    <row r="4" spans="2:17" x14ac:dyDescent="0.35">
      <c r="B4" s="800"/>
      <c r="C4" s="157"/>
      <c r="D4" s="157"/>
      <c r="E4" s="157"/>
      <c r="F4" s="157"/>
      <c r="G4" s="157"/>
      <c r="H4" s="157"/>
      <c r="I4" s="157"/>
      <c r="J4" s="157"/>
      <c r="K4" s="157"/>
      <c r="L4" s="157"/>
      <c r="M4" s="157"/>
      <c r="N4" s="157"/>
      <c r="O4" s="157"/>
      <c r="P4" s="1183"/>
    </row>
    <row r="5" spans="2:17" x14ac:dyDescent="0.35">
      <c r="B5" s="1184" t="s">
        <v>933</v>
      </c>
      <c r="C5" s="1185"/>
      <c r="D5" s="1186"/>
      <c r="E5" s="1186"/>
      <c r="F5" s="1186"/>
      <c r="G5" s="1186"/>
      <c r="H5" s="1186"/>
      <c r="I5" s="1186"/>
      <c r="J5" s="1186"/>
      <c r="K5" s="1186"/>
      <c r="L5" s="1186"/>
      <c r="M5" s="1186"/>
      <c r="N5" s="1186"/>
      <c r="O5" s="1186"/>
      <c r="P5" s="1187"/>
    </row>
    <row r="6" spans="2:17" x14ac:dyDescent="0.35">
      <c r="B6" s="1188" t="s">
        <v>1234</v>
      </c>
      <c r="C6" s="1189" t="s">
        <v>1235</v>
      </c>
      <c r="D6" s="1190"/>
      <c r="E6" s="1190"/>
      <c r="F6" s="1190"/>
      <c r="G6" s="1190"/>
      <c r="H6" s="1190"/>
      <c r="I6" s="1190"/>
      <c r="J6" s="1190"/>
      <c r="K6" s="1190"/>
      <c r="L6" s="1190"/>
      <c r="M6" s="1190"/>
      <c r="N6" s="1190"/>
      <c r="O6" s="1191"/>
      <c r="P6" s="1192"/>
    </row>
    <row r="7" spans="2:17" x14ac:dyDescent="0.35">
      <c r="B7" s="871" t="s">
        <v>925</v>
      </c>
      <c r="C7" s="1193"/>
      <c r="D7" s="684"/>
      <c r="E7" s="684"/>
      <c r="F7" s="684"/>
      <c r="G7" s="684"/>
      <c r="H7" s="684"/>
      <c r="I7" s="684"/>
      <c r="J7" s="684"/>
      <c r="K7" s="684"/>
      <c r="L7" s="684"/>
      <c r="M7" s="684"/>
      <c r="N7" s="684"/>
      <c r="O7" s="808"/>
      <c r="P7" s="1194">
        <f>SUM(D7:O7)</f>
        <v>0</v>
      </c>
    </row>
    <row r="8" spans="2:17" x14ac:dyDescent="0.35">
      <c r="B8" s="800" t="s">
        <v>433</v>
      </c>
      <c r="C8" s="1193" t="s">
        <v>1236</v>
      </c>
      <c r="D8" s="684">
        <v>2500</v>
      </c>
      <c r="E8" s="684"/>
      <c r="F8" s="684"/>
      <c r="G8" s="684"/>
      <c r="H8" s="684"/>
      <c r="I8" s="684"/>
      <c r="J8" s="684"/>
      <c r="K8" s="684"/>
      <c r="L8" s="684"/>
      <c r="M8" s="684"/>
      <c r="N8" s="684"/>
      <c r="O8" s="808"/>
      <c r="P8" s="1194">
        <f>SUM(D8:O8)</f>
        <v>2500</v>
      </c>
    </row>
    <row r="9" spans="2:17" x14ac:dyDescent="0.35">
      <c r="B9" s="800" t="s">
        <v>433</v>
      </c>
      <c r="C9" s="1193" t="s">
        <v>1237</v>
      </c>
      <c r="D9" s="684">
        <v>2500</v>
      </c>
      <c r="E9" s="684"/>
      <c r="F9" s="684"/>
      <c r="G9" s="684"/>
      <c r="H9" s="684"/>
      <c r="I9" s="684"/>
      <c r="J9" s="684"/>
      <c r="K9" s="684"/>
      <c r="L9" s="684"/>
      <c r="M9" s="684"/>
      <c r="N9" s="684"/>
      <c r="O9" s="808"/>
      <c r="P9" s="1194">
        <f>SUM(D9:O9)</f>
        <v>2500</v>
      </c>
    </row>
    <row r="10" spans="2:17" x14ac:dyDescent="0.35">
      <c r="B10" s="800" t="s">
        <v>433</v>
      </c>
      <c r="C10" s="1193" t="s">
        <v>1238</v>
      </c>
      <c r="D10" s="684"/>
      <c r="E10" s="684"/>
      <c r="F10" s="684">
        <v>4000</v>
      </c>
      <c r="G10" s="684">
        <v>4000</v>
      </c>
      <c r="H10" s="684">
        <v>4000</v>
      </c>
      <c r="I10" s="684">
        <v>4000</v>
      </c>
      <c r="J10" s="684">
        <v>4000</v>
      </c>
      <c r="K10" s="684">
        <v>4000</v>
      </c>
      <c r="L10" s="684">
        <v>4000</v>
      </c>
      <c r="M10" s="684">
        <v>4000</v>
      </c>
      <c r="N10" s="684">
        <v>4000</v>
      </c>
      <c r="O10" s="684">
        <v>4000</v>
      </c>
      <c r="P10" s="1194">
        <f>SUM(D10:O10)</f>
        <v>40000</v>
      </c>
    </row>
    <row r="11" spans="2:17" x14ac:dyDescent="0.35">
      <c r="B11" s="800" t="s">
        <v>942</v>
      </c>
      <c r="C11" s="1195"/>
      <c r="D11" s="684"/>
      <c r="E11" s="684"/>
      <c r="F11" s="684">
        <v>200</v>
      </c>
      <c r="G11" s="684">
        <v>200</v>
      </c>
      <c r="H11" s="684">
        <v>200</v>
      </c>
      <c r="I11" s="684">
        <v>200</v>
      </c>
      <c r="J11" s="684">
        <v>200</v>
      </c>
      <c r="K11" s="684">
        <v>200</v>
      </c>
      <c r="L11" s="684">
        <v>200</v>
      </c>
      <c r="M11" s="684">
        <v>200</v>
      </c>
      <c r="N11" s="684">
        <v>200</v>
      </c>
      <c r="O11" s="808">
        <v>800</v>
      </c>
      <c r="P11" s="1194">
        <f>SUM(D11:O11)</f>
        <v>2600</v>
      </c>
    </row>
    <row r="12" spans="2:17" x14ac:dyDescent="0.35">
      <c r="B12" s="813" t="s">
        <v>944</v>
      </c>
      <c r="C12" s="1196"/>
      <c r="D12" s="1197">
        <f>SUM(D7:D11)</f>
        <v>5000</v>
      </c>
      <c r="E12" s="1197">
        <f t="shared" ref="E12:P12" si="0">SUM(E7:E11)</f>
        <v>0</v>
      </c>
      <c r="F12" s="1197">
        <f t="shared" si="0"/>
        <v>4200</v>
      </c>
      <c r="G12" s="1197">
        <f t="shared" si="0"/>
        <v>4200</v>
      </c>
      <c r="H12" s="1197">
        <f t="shared" si="0"/>
        <v>4200</v>
      </c>
      <c r="I12" s="1197">
        <f t="shared" si="0"/>
        <v>4200</v>
      </c>
      <c r="J12" s="1197">
        <f t="shared" si="0"/>
        <v>4200</v>
      </c>
      <c r="K12" s="1197">
        <f t="shared" si="0"/>
        <v>4200</v>
      </c>
      <c r="L12" s="1197">
        <f t="shared" si="0"/>
        <v>4200</v>
      </c>
      <c r="M12" s="1197">
        <f t="shared" si="0"/>
        <v>4200</v>
      </c>
      <c r="N12" s="1197">
        <f t="shared" si="0"/>
        <v>4200</v>
      </c>
      <c r="O12" s="1197">
        <f t="shared" si="0"/>
        <v>4800</v>
      </c>
      <c r="P12" s="815">
        <f t="shared" si="0"/>
        <v>47600</v>
      </c>
    </row>
    <row r="13" spans="2:17" x14ac:dyDescent="0.35">
      <c r="B13" s="800"/>
      <c r="C13" s="157"/>
      <c r="D13" s="157"/>
      <c r="E13" s="157"/>
      <c r="F13" s="157"/>
      <c r="G13" s="157"/>
      <c r="H13" s="157"/>
      <c r="I13" s="157"/>
      <c r="J13" s="157"/>
      <c r="K13" s="157"/>
      <c r="L13" s="157"/>
      <c r="M13" s="157"/>
      <c r="N13" s="157"/>
      <c r="O13" s="157"/>
      <c r="P13" s="1183"/>
    </row>
    <row r="14" spans="2:17" x14ac:dyDescent="0.35">
      <c r="B14" s="1184" t="s">
        <v>945</v>
      </c>
      <c r="C14" s="1185"/>
      <c r="D14" s="1186"/>
      <c r="E14" s="1186"/>
      <c r="F14" s="1186"/>
      <c r="G14" s="1186"/>
      <c r="H14" s="1186"/>
      <c r="I14" s="1186"/>
      <c r="J14" s="1186"/>
      <c r="K14" s="1186"/>
      <c r="L14" s="1186"/>
      <c r="M14" s="1186"/>
      <c r="N14" s="1186"/>
      <c r="O14" s="1186"/>
      <c r="P14" s="1187"/>
    </row>
    <row r="15" spans="2:17" x14ac:dyDescent="0.35">
      <c r="B15" s="1188" t="s">
        <v>1234</v>
      </c>
      <c r="C15" s="1189" t="s">
        <v>1235</v>
      </c>
      <c r="D15" s="1190"/>
      <c r="E15" s="1190"/>
      <c r="F15" s="1190"/>
      <c r="G15" s="1190"/>
      <c r="H15" s="1190"/>
      <c r="I15" s="1190"/>
      <c r="J15" s="1190"/>
      <c r="K15" s="1190"/>
      <c r="L15" s="1190"/>
      <c r="M15" s="1190"/>
      <c r="N15" s="1190"/>
      <c r="O15" s="1191"/>
      <c r="P15" s="1192"/>
      <c r="Q15" s="1198" t="s">
        <v>1239</v>
      </c>
    </row>
    <row r="16" spans="2:17" x14ac:dyDescent="0.35">
      <c r="B16" s="1199" t="s">
        <v>946</v>
      </c>
      <c r="C16" s="1200"/>
      <c r="D16" s="1201">
        <f>SUM(D17:D21)</f>
        <v>0</v>
      </c>
      <c r="E16" s="1201">
        <f t="shared" ref="E16:O16" si="1">SUM(E17:E21)</f>
        <v>0</v>
      </c>
      <c r="F16" s="1201">
        <f t="shared" si="1"/>
        <v>16100</v>
      </c>
      <c r="G16" s="1201">
        <f t="shared" si="1"/>
        <v>16100</v>
      </c>
      <c r="H16" s="1201">
        <f t="shared" si="1"/>
        <v>16100</v>
      </c>
      <c r="I16" s="1201">
        <f t="shared" si="1"/>
        <v>16100</v>
      </c>
      <c r="J16" s="1201">
        <f t="shared" si="1"/>
        <v>16100</v>
      </c>
      <c r="K16" s="1201">
        <f t="shared" si="1"/>
        <v>16100</v>
      </c>
      <c r="L16" s="1201">
        <f t="shared" si="1"/>
        <v>16100</v>
      </c>
      <c r="M16" s="1201">
        <f t="shared" si="1"/>
        <v>16100</v>
      </c>
      <c r="N16" s="1201">
        <f t="shared" si="1"/>
        <v>16100</v>
      </c>
      <c r="O16" s="1201">
        <f t="shared" si="1"/>
        <v>16100</v>
      </c>
      <c r="P16" s="1202">
        <f t="shared" ref="P16:P31" si="2">SUM(D16:O16)</f>
        <v>161000</v>
      </c>
    </row>
    <row r="17" spans="2:17" x14ac:dyDescent="0.35">
      <c r="B17" s="800"/>
      <c r="C17" s="1203" t="s">
        <v>1240</v>
      </c>
      <c r="D17" s="684"/>
      <c r="E17" s="684"/>
      <c r="F17" s="684">
        <v>3000</v>
      </c>
      <c r="G17" s="684">
        <v>3000</v>
      </c>
      <c r="H17" s="684">
        <v>3000</v>
      </c>
      <c r="I17" s="684">
        <v>3000</v>
      </c>
      <c r="J17" s="684">
        <v>3000</v>
      </c>
      <c r="K17" s="684">
        <v>3000</v>
      </c>
      <c r="L17" s="684">
        <v>3000</v>
      </c>
      <c r="M17" s="684">
        <v>3000</v>
      </c>
      <c r="N17" s="684">
        <v>3000</v>
      </c>
      <c r="O17" s="684">
        <v>3000</v>
      </c>
      <c r="P17" s="1194">
        <f t="shared" si="2"/>
        <v>30000</v>
      </c>
    </row>
    <row r="18" spans="2:17" x14ac:dyDescent="0.35">
      <c r="B18" s="800"/>
      <c r="C18" s="1203" t="s">
        <v>1241</v>
      </c>
      <c r="D18" s="684"/>
      <c r="E18" s="684"/>
      <c r="F18" s="684">
        <v>5000</v>
      </c>
      <c r="G18" s="684">
        <v>5000</v>
      </c>
      <c r="H18" s="684">
        <v>5000</v>
      </c>
      <c r="I18" s="684">
        <v>5000</v>
      </c>
      <c r="J18" s="684">
        <v>5000</v>
      </c>
      <c r="K18" s="684">
        <v>5000</v>
      </c>
      <c r="L18" s="684">
        <v>5000</v>
      </c>
      <c r="M18" s="684">
        <v>5000</v>
      </c>
      <c r="N18" s="684">
        <v>5000</v>
      </c>
      <c r="O18" s="684">
        <v>5000</v>
      </c>
      <c r="P18" s="1194">
        <f t="shared" si="2"/>
        <v>50000</v>
      </c>
      <c r="Q18" s="1204" t="s">
        <v>1242</v>
      </c>
    </row>
    <row r="19" spans="2:17" x14ac:dyDescent="0.35">
      <c r="B19" s="800"/>
      <c r="C19" s="1203" t="s">
        <v>1243</v>
      </c>
      <c r="D19" s="684"/>
      <c r="E19" s="684"/>
      <c r="F19" s="684">
        <v>3000</v>
      </c>
      <c r="G19" s="684">
        <v>3000</v>
      </c>
      <c r="H19" s="684">
        <v>3000</v>
      </c>
      <c r="I19" s="684">
        <v>3000</v>
      </c>
      <c r="J19" s="684">
        <v>3000</v>
      </c>
      <c r="K19" s="684">
        <v>3000</v>
      </c>
      <c r="L19" s="684">
        <v>3000</v>
      </c>
      <c r="M19" s="684">
        <v>3000</v>
      </c>
      <c r="N19" s="684">
        <v>3000</v>
      </c>
      <c r="O19" s="684">
        <v>3000</v>
      </c>
      <c r="P19" s="1194">
        <f t="shared" si="2"/>
        <v>30000</v>
      </c>
    </row>
    <row r="20" spans="2:17" x14ac:dyDescent="0.35">
      <c r="B20" s="800"/>
      <c r="C20" s="1203" t="s">
        <v>1244</v>
      </c>
      <c r="D20" s="684"/>
      <c r="E20" s="684"/>
      <c r="F20" s="684">
        <v>4000</v>
      </c>
      <c r="G20" s="684">
        <v>4000</v>
      </c>
      <c r="H20" s="684">
        <v>4000</v>
      </c>
      <c r="I20" s="684">
        <v>4000</v>
      </c>
      <c r="J20" s="684">
        <v>4000</v>
      </c>
      <c r="K20" s="684">
        <v>4000</v>
      </c>
      <c r="L20" s="684">
        <v>4000</v>
      </c>
      <c r="M20" s="684">
        <v>4000</v>
      </c>
      <c r="N20" s="684">
        <v>4000</v>
      </c>
      <c r="O20" s="684">
        <v>4000</v>
      </c>
      <c r="P20" s="1194">
        <f t="shared" si="2"/>
        <v>40000</v>
      </c>
    </row>
    <row r="21" spans="2:17" x14ac:dyDescent="0.35">
      <c r="B21" s="800"/>
      <c r="C21" s="1203" t="s">
        <v>1245</v>
      </c>
      <c r="D21" s="684"/>
      <c r="E21" s="684"/>
      <c r="F21" s="684">
        <v>1100</v>
      </c>
      <c r="G21" s="684">
        <v>1100</v>
      </c>
      <c r="H21" s="684">
        <v>1100</v>
      </c>
      <c r="I21" s="684">
        <v>1100</v>
      </c>
      <c r="J21" s="684">
        <v>1100</v>
      </c>
      <c r="K21" s="684">
        <v>1100</v>
      </c>
      <c r="L21" s="684">
        <v>1100</v>
      </c>
      <c r="M21" s="684">
        <v>1100</v>
      </c>
      <c r="N21" s="684">
        <v>1100</v>
      </c>
      <c r="O21" s="684">
        <v>1100</v>
      </c>
      <c r="P21" s="1194">
        <f t="shared" si="2"/>
        <v>11000</v>
      </c>
    </row>
    <row r="22" spans="2:17" x14ac:dyDescent="0.35">
      <c r="B22" s="800" t="s">
        <v>926</v>
      </c>
      <c r="C22" s="837"/>
      <c r="D22" s="684"/>
      <c r="E22" s="684"/>
      <c r="F22" s="684"/>
      <c r="G22" s="684"/>
      <c r="H22" s="684"/>
      <c r="I22" s="684"/>
      <c r="J22" s="684"/>
      <c r="K22" s="684"/>
      <c r="L22" s="684"/>
      <c r="M22" s="684"/>
      <c r="N22" s="684"/>
      <c r="O22" s="684"/>
      <c r="P22" s="1194">
        <f t="shared" si="2"/>
        <v>0</v>
      </c>
    </row>
    <row r="23" spans="2:17" x14ac:dyDescent="0.35">
      <c r="B23" s="800" t="s">
        <v>947</v>
      </c>
      <c r="C23" s="837"/>
      <c r="D23" s="684"/>
      <c r="E23" s="684"/>
      <c r="F23" s="684"/>
      <c r="G23" s="684"/>
      <c r="H23" s="684"/>
      <c r="I23" s="684"/>
      <c r="J23" s="684"/>
      <c r="K23" s="684"/>
      <c r="L23" s="684"/>
      <c r="M23" s="684"/>
      <c r="N23" s="684"/>
      <c r="O23" s="684"/>
      <c r="P23" s="1194">
        <f t="shared" si="2"/>
        <v>0</v>
      </c>
    </row>
    <row r="24" spans="2:17" x14ac:dyDescent="0.35">
      <c r="B24" s="800" t="s">
        <v>948</v>
      </c>
      <c r="C24" s="837"/>
      <c r="F24" s="684">
        <v>200</v>
      </c>
      <c r="G24" s="684">
        <v>200</v>
      </c>
      <c r="H24" s="684">
        <v>200</v>
      </c>
      <c r="I24" s="684">
        <v>200</v>
      </c>
      <c r="J24" s="684">
        <v>200</v>
      </c>
      <c r="K24" s="684">
        <v>200</v>
      </c>
      <c r="L24" s="684">
        <v>200</v>
      </c>
      <c r="M24" s="684">
        <v>200</v>
      </c>
      <c r="N24" s="684">
        <v>200</v>
      </c>
      <c r="O24" s="684">
        <v>500</v>
      </c>
      <c r="P24" s="1194">
        <f>SUM(D24:O24)</f>
        <v>2300</v>
      </c>
    </row>
    <row r="25" spans="2:17" x14ac:dyDescent="0.35">
      <c r="B25" s="800" t="s">
        <v>949</v>
      </c>
      <c r="C25" s="837"/>
      <c r="D25" s="684"/>
      <c r="E25" s="684"/>
      <c r="F25" s="684"/>
      <c r="G25" s="684"/>
      <c r="H25" s="684"/>
      <c r="I25" s="684"/>
      <c r="J25" s="684"/>
      <c r="K25" s="684"/>
      <c r="L25" s="684"/>
      <c r="M25" s="684"/>
      <c r="N25" s="684"/>
      <c r="O25" s="684"/>
      <c r="P25" s="1194">
        <f t="shared" si="2"/>
        <v>0</v>
      </c>
    </row>
    <row r="26" spans="2:17" x14ac:dyDescent="0.35">
      <c r="B26" s="800" t="s">
        <v>950</v>
      </c>
      <c r="C26" s="837"/>
      <c r="D26" s="684"/>
      <c r="E26" s="684"/>
      <c r="F26" s="684"/>
      <c r="G26" s="684"/>
      <c r="H26" s="684"/>
      <c r="I26" s="684"/>
      <c r="J26" s="684"/>
      <c r="K26" s="684"/>
      <c r="L26" s="684"/>
      <c r="M26" s="684"/>
      <c r="N26" s="684"/>
      <c r="O26" s="684"/>
      <c r="P26" s="1194">
        <f t="shared" si="2"/>
        <v>0</v>
      </c>
    </row>
    <row r="27" spans="2:17" x14ac:dyDescent="0.35">
      <c r="B27" s="800" t="s">
        <v>1070</v>
      </c>
      <c r="C27" s="837"/>
      <c r="D27" s="684"/>
      <c r="E27" s="684"/>
      <c r="F27" s="684"/>
      <c r="G27" s="684"/>
      <c r="H27" s="684"/>
      <c r="I27" s="684"/>
      <c r="J27" s="684"/>
      <c r="K27" s="684"/>
      <c r="L27" s="684"/>
      <c r="M27" s="684"/>
      <c r="N27" s="684"/>
      <c r="O27" s="684"/>
      <c r="P27" s="1194">
        <f t="shared" si="2"/>
        <v>0</v>
      </c>
    </row>
    <row r="28" spans="2:17" x14ac:dyDescent="0.35">
      <c r="B28" s="800" t="s">
        <v>928</v>
      </c>
      <c r="C28" s="837"/>
      <c r="D28" s="684"/>
      <c r="E28" s="684"/>
      <c r="F28" s="684"/>
      <c r="G28" s="684"/>
      <c r="H28" s="684"/>
      <c r="I28" s="684"/>
      <c r="J28" s="684"/>
      <c r="K28" s="684"/>
      <c r="L28" s="684"/>
      <c r="M28" s="684"/>
      <c r="N28" s="684"/>
      <c r="O28" s="684"/>
      <c r="P28" s="1194">
        <f t="shared" si="2"/>
        <v>0</v>
      </c>
    </row>
    <row r="29" spans="2:17" x14ac:dyDescent="0.35">
      <c r="B29" s="800" t="s">
        <v>929</v>
      </c>
      <c r="C29" s="837"/>
      <c r="D29" s="684">
        <f>2000/12</f>
        <v>166.66666666666666</v>
      </c>
      <c r="E29" s="684">
        <f t="shared" ref="E29:O29" si="3">2000/12</f>
        <v>166.66666666666666</v>
      </c>
      <c r="F29" s="684">
        <f t="shared" si="3"/>
        <v>166.66666666666666</v>
      </c>
      <c r="G29" s="684">
        <f t="shared" si="3"/>
        <v>166.66666666666666</v>
      </c>
      <c r="H29" s="684">
        <f t="shared" si="3"/>
        <v>166.66666666666666</v>
      </c>
      <c r="I29" s="684">
        <f t="shared" si="3"/>
        <v>166.66666666666666</v>
      </c>
      <c r="J29" s="684">
        <f t="shared" si="3"/>
        <v>166.66666666666666</v>
      </c>
      <c r="K29" s="684">
        <f t="shared" si="3"/>
        <v>166.66666666666666</v>
      </c>
      <c r="L29" s="684">
        <f t="shared" si="3"/>
        <v>166.66666666666666</v>
      </c>
      <c r="M29" s="684">
        <f t="shared" si="3"/>
        <v>166.66666666666666</v>
      </c>
      <c r="N29" s="684">
        <f t="shared" si="3"/>
        <v>166.66666666666666</v>
      </c>
      <c r="O29" s="684">
        <f t="shared" si="3"/>
        <v>166.66666666666666</v>
      </c>
      <c r="P29" s="1194">
        <f t="shared" si="2"/>
        <v>2000.0000000000002</v>
      </c>
    </row>
    <row r="30" spans="2:17" x14ac:dyDescent="0.35">
      <c r="B30" s="800" t="s">
        <v>951</v>
      </c>
      <c r="C30" s="837"/>
      <c r="D30" s="684"/>
      <c r="E30" s="684"/>
      <c r="F30" s="684"/>
      <c r="G30" s="684"/>
      <c r="H30" s="684"/>
      <c r="I30" s="684"/>
      <c r="J30" s="684"/>
      <c r="K30" s="684"/>
      <c r="L30" s="684"/>
      <c r="M30" s="684"/>
      <c r="N30" s="684"/>
      <c r="O30" s="684"/>
      <c r="P30" s="1194">
        <f t="shared" si="2"/>
        <v>0</v>
      </c>
    </row>
    <row r="31" spans="2:17" x14ac:dyDescent="0.35">
      <c r="B31" s="800" t="s">
        <v>952</v>
      </c>
      <c r="C31" s="855" t="s">
        <v>1246</v>
      </c>
      <c r="D31" s="810"/>
      <c r="E31" s="810"/>
      <c r="F31" s="810">
        <v>12</v>
      </c>
      <c r="G31" s="810">
        <v>12</v>
      </c>
      <c r="H31" s="810">
        <v>12</v>
      </c>
      <c r="I31" s="810">
        <v>12</v>
      </c>
      <c r="J31" s="810">
        <v>12</v>
      </c>
      <c r="K31" s="810">
        <v>12</v>
      </c>
      <c r="L31" s="810">
        <v>12</v>
      </c>
      <c r="M31" s="810">
        <v>12</v>
      </c>
      <c r="N31" s="810">
        <v>12</v>
      </c>
      <c r="O31" s="810">
        <v>12</v>
      </c>
      <c r="P31" s="1205">
        <f t="shared" si="2"/>
        <v>120</v>
      </c>
      <c r="Q31" s="1204" t="s">
        <v>1247</v>
      </c>
    </row>
    <row r="32" spans="2:17" x14ac:dyDescent="0.35">
      <c r="B32" s="818" t="s">
        <v>953</v>
      </c>
      <c r="C32" s="1206"/>
      <c r="D32" s="819">
        <f t="shared" ref="D32:P32" si="4">SUM(D16,D22:D31)</f>
        <v>166.66666666666666</v>
      </c>
      <c r="E32" s="819">
        <f t="shared" si="4"/>
        <v>166.66666666666666</v>
      </c>
      <c r="F32" s="819">
        <f t="shared" si="4"/>
        <v>16478.666666666668</v>
      </c>
      <c r="G32" s="819">
        <f t="shared" si="4"/>
        <v>16478.666666666668</v>
      </c>
      <c r="H32" s="819">
        <f t="shared" si="4"/>
        <v>16478.666666666668</v>
      </c>
      <c r="I32" s="819">
        <f t="shared" si="4"/>
        <v>16478.666666666668</v>
      </c>
      <c r="J32" s="819">
        <f t="shared" si="4"/>
        <v>16478.666666666668</v>
      </c>
      <c r="K32" s="819">
        <f t="shared" si="4"/>
        <v>16478.666666666668</v>
      </c>
      <c r="L32" s="819">
        <f t="shared" si="4"/>
        <v>16478.666666666668</v>
      </c>
      <c r="M32" s="819">
        <f t="shared" si="4"/>
        <v>16478.666666666668</v>
      </c>
      <c r="N32" s="819">
        <f t="shared" si="4"/>
        <v>16478.666666666668</v>
      </c>
      <c r="O32" s="819">
        <f t="shared" si="4"/>
        <v>16778.666666666668</v>
      </c>
      <c r="P32" s="820">
        <f t="shared" si="4"/>
        <v>165420</v>
      </c>
    </row>
    <row r="33" spans="1:22" x14ac:dyDescent="0.35">
      <c r="B33" s="871"/>
      <c r="C33" s="1207"/>
      <c r="D33" s="1207"/>
      <c r="E33" s="1207"/>
      <c r="F33" s="1207"/>
      <c r="G33" s="1207"/>
      <c r="H33" s="1207"/>
      <c r="I33" s="1207"/>
      <c r="J33" s="1207"/>
      <c r="K33" s="1207"/>
      <c r="L33" s="1207"/>
      <c r="M33" s="1207"/>
      <c r="N33" s="1207"/>
      <c r="O33" s="1207"/>
      <c r="P33" s="1208"/>
    </row>
    <row r="34" spans="1:22" x14ac:dyDescent="0.35">
      <c r="B34" s="1184" t="s">
        <v>1067</v>
      </c>
      <c r="C34" s="1185"/>
      <c r="D34" s="1186"/>
      <c r="E34" s="1186"/>
      <c r="F34" s="1186"/>
      <c r="G34" s="1186"/>
      <c r="H34" s="1186"/>
      <c r="I34" s="1186"/>
      <c r="J34" s="1186"/>
      <c r="K34" s="1186"/>
      <c r="L34" s="1186"/>
      <c r="M34" s="1186"/>
      <c r="N34" s="1186"/>
      <c r="O34" s="1186"/>
      <c r="P34" s="1187"/>
    </row>
    <row r="35" spans="1:22" x14ac:dyDescent="0.35">
      <c r="B35" s="1188" t="s">
        <v>1234</v>
      </c>
      <c r="C35" s="1189" t="s">
        <v>1235</v>
      </c>
      <c r="D35" s="1190"/>
      <c r="E35" s="1190"/>
      <c r="F35" s="1190"/>
      <c r="G35" s="1190"/>
      <c r="H35" s="1190"/>
      <c r="I35" s="1190"/>
      <c r="J35" s="1190"/>
      <c r="K35" s="1190"/>
      <c r="L35" s="1190"/>
      <c r="M35" s="1190"/>
      <c r="N35" s="1190"/>
      <c r="O35" s="1191"/>
      <c r="P35" s="1192"/>
      <c r="Q35" s="1198" t="s">
        <v>1239</v>
      </c>
    </row>
    <row r="36" spans="1:22" x14ac:dyDescent="0.35">
      <c r="B36" s="1199" t="s">
        <v>1248</v>
      </c>
      <c r="C36" s="1200"/>
      <c r="D36" s="1201">
        <f>SUM(D37:D40)</f>
        <v>2083.33</v>
      </c>
      <c r="E36" s="1201">
        <f t="shared" ref="E36:O36" si="5">SUM(E37:E40)</f>
        <v>2083.33</v>
      </c>
      <c r="F36" s="1201">
        <f t="shared" si="5"/>
        <v>22083.33</v>
      </c>
      <c r="G36" s="1201">
        <f t="shared" si="5"/>
        <v>42083.33</v>
      </c>
      <c r="H36" s="1201">
        <f t="shared" si="5"/>
        <v>2083.33</v>
      </c>
      <c r="I36" s="1201">
        <f t="shared" si="5"/>
        <v>37083.33</v>
      </c>
      <c r="J36" s="1201">
        <f t="shared" si="5"/>
        <v>42083.33</v>
      </c>
      <c r="K36" s="1201">
        <f t="shared" si="5"/>
        <v>2083.33</v>
      </c>
      <c r="L36" s="1201">
        <f t="shared" si="5"/>
        <v>2083.33</v>
      </c>
      <c r="M36" s="1201">
        <f t="shared" si="5"/>
        <v>42083.33</v>
      </c>
      <c r="N36" s="1201">
        <f t="shared" si="5"/>
        <v>2083.33</v>
      </c>
      <c r="O36" s="1201">
        <f t="shared" si="5"/>
        <v>2083.33</v>
      </c>
      <c r="P36" s="1202">
        <f t="shared" ref="P36:P78" si="6">SUM(D36:O36)</f>
        <v>199999.95999999996</v>
      </c>
      <c r="Q36" s="1204"/>
      <c r="S36" s="406"/>
      <c r="T36" s="357"/>
      <c r="U36" s="357"/>
      <c r="V36" s="357"/>
    </row>
    <row r="37" spans="1:22" x14ac:dyDescent="0.35">
      <c r="B37" s="833"/>
      <c r="C37" s="837" t="s">
        <v>1249</v>
      </c>
      <c r="D37" s="693">
        <v>2083.33</v>
      </c>
      <c r="E37" s="693">
        <v>2083.33</v>
      </c>
      <c r="F37" s="693">
        <v>2083.33</v>
      </c>
      <c r="G37" s="693">
        <v>2083.33</v>
      </c>
      <c r="H37" s="693">
        <v>2083.33</v>
      </c>
      <c r="I37" s="693">
        <v>2083.33</v>
      </c>
      <c r="J37" s="693">
        <v>2083.33</v>
      </c>
      <c r="K37" s="693">
        <v>2083.33</v>
      </c>
      <c r="L37" s="693">
        <v>2083.33</v>
      </c>
      <c r="M37" s="693">
        <v>2083.33</v>
      </c>
      <c r="N37" s="693">
        <v>2083.33</v>
      </c>
      <c r="O37" s="693">
        <v>2083.33</v>
      </c>
      <c r="P37" s="1209">
        <f>SUM(D37:O37)</f>
        <v>24999.960000000006</v>
      </c>
      <c r="Q37" s="1204"/>
      <c r="S37" s="406"/>
      <c r="T37" s="357"/>
      <c r="U37" s="357"/>
      <c r="V37" s="357"/>
    </row>
    <row r="38" spans="1:22" x14ac:dyDescent="0.35">
      <c r="B38" s="833"/>
      <c r="C38" s="837" t="s">
        <v>1250</v>
      </c>
      <c r="D38" s="684"/>
      <c r="E38" s="684"/>
      <c r="F38" s="693">
        <v>20000</v>
      </c>
      <c r="G38" s="693"/>
      <c r="H38" s="693"/>
      <c r="I38" s="693"/>
      <c r="J38" s="684"/>
      <c r="K38" s="684"/>
      <c r="L38" s="684"/>
      <c r="M38" s="684"/>
      <c r="N38" s="684"/>
      <c r="O38" s="684"/>
      <c r="P38" s="1209">
        <f>SUM(D38:O38)</f>
        <v>20000</v>
      </c>
      <c r="Q38" s="1204"/>
      <c r="S38" s="406"/>
      <c r="T38" s="357"/>
      <c r="U38" s="357"/>
      <c r="V38" s="357"/>
    </row>
    <row r="39" spans="1:22" x14ac:dyDescent="0.35">
      <c r="B39" s="833"/>
      <c r="C39" s="837" t="s">
        <v>1251</v>
      </c>
      <c r="D39" s="684"/>
      <c r="E39" s="684"/>
      <c r="F39" s="693"/>
      <c r="G39" s="693"/>
      <c r="H39" s="693"/>
      <c r="I39" s="693">
        <v>35000</v>
      </c>
      <c r="J39" s="684"/>
      <c r="K39" s="684"/>
      <c r="L39" s="684"/>
      <c r="M39" s="684"/>
      <c r="N39" s="684"/>
      <c r="O39" s="684"/>
      <c r="P39" s="1209">
        <f>SUM(D39:O39)</f>
        <v>35000</v>
      </c>
      <c r="Q39" s="1204"/>
      <c r="S39" s="406"/>
      <c r="T39" s="357"/>
      <c r="U39" s="357"/>
      <c r="V39" s="357"/>
    </row>
    <row r="40" spans="1:22" x14ac:dyDescent="0.35">
      <c r="B40" s="833"/>
      <c r="C40" s="837" t="s">
        <v>1252</v>
      </c>
      <c r="D40" s="684"/>
      <c r="E40" s="684"/>
      <c r="F40" s="693"/>
      <c r="G40" s="693">
        <v>40000</v>
      </c>
      <c r="H40" s="693"/>
      <c r="I40" s="693"/>
      <c r="J40" s="693">
        <v>40000</v>
      </c>
      <c r="K40" s="693"/>
      <c r="L40" s="693"/>
      <c r="M40" s="693">
        <v>40000</v>
      </c>
      <c r="N40" s="684"/>
      <c r="O40" s="684"/>
      <c r="P40" s="1209">
        <f>SUM(D40:O40)</f>
        <v>120000</v>
      </c>
      <c r="Q40" s="1204"/>
      <c r="S40" s="406"/>
      <c r="T40" s="357"/>
      <c r="U40" s="357"/>
      <c r="V40" s="357"/>
    </row>
    <row r="41" spans="1:22" x14ac:dyDescent="0.35">
      <c r="B41" s="1210" t="s">
        <v>1253</v>
      </c>
      <c r="C41" s="1200"/>
      <c r="D41" s="1201">
        <f>SUM(D42:D43)</f>
        <v>0</v>
      </c>
      <c r="E41" s="1201">
        <f t="shared" ref="E41:O41" si="7">SUM(E42:E43)</f>
        <v>0</v>
      </c>
      <c r="F41" s="1201">
        <f t="shared" si="7"/>
        <v>11000</v>
      </c>
      <c r="G41" s="1201">
        <f t="shared" si="7"/>
        <v>1000</v>
      </c>
      <c r="H41" s="1201">
        <f t="shared" si="7"/>
        <v>1000</v>
      </c>
      <c r="I41" s="1201">
        <f t="shared" si="7"/>
        <v>1000</v>
      </c>
      <c r="J41" s="1201">
        <f t="shared" si="7"/>
        <v>1000</v>
      </c>
      <c r="K41" s="1201">
        <f t="shared" si="7"/>
        <v>1000</v>
      </c>
      <c r="L41" s="1201">
        <f t="shared" si="7"/>
        <v>1000</v>
      </c>
      <c r="M41" s="1201">
        <f t="shared" si="7"/>
        <v>1000</v>
      </c>
      <c r="N41" s="1201">
        <f t="shared" si="7"/>
        <v>1000</v>
      </c>
      <c r="O41" s="1201">
        <f t="shared" si="7"/>
        <v>1000</v>
      </c>
      <c r="P41" s="1202">
        <f t="shared" si="6"/>
        <v>20000</v>
      </c>
      <c r="Q41" s="1204"/>
      <c r="S41" s="406"/>
      <c r="T41" s="357"/>
      <c r="U41" s="357"/>
      <c r="V41" s="357"/>
    </row>
    <row r="42" spans="1:22" x14ac:dyDescent="0.35">
      <c r="B42" s="833"/>
      <c r="C42" s="837" t="s">
        <v>1254</v>
      </c>
      <c r="D42" s="693"/>
      <c r="E42" s="693"/>
      <c r="F42" s="693">
        <v>10500</v>
      </c>
      <c r="G42" s="693">
        <v>1000</v>
      </c>
      <c r="H42" s="693">
        <v>1000</v>
      </c>
      <c r="I42" s="693">
        <v>1000</v>
      </c>
      <c r="J42" s="693">
        <v>1000</v>
      </c>
      <c r="K42" s="693">
        <v>1000</v>
      </c>
      <c r="L42" s="693">
        <v>1000</v>
      </c>
      <c r="M42" s="693">
        <v>1000</v>
      </c>
      <c r="N42" s="693">
        <v>1000</v>
      </c>
      <c r="O42" s="693">
        <v>1000</v>
      </c>
      <c r="P42" s="1209">
        <f>SUM(D42:O42)</f>
        <v>19500</v>
      </c>
      <c r="Q42" s="1204"/>
      <c r="S42" s="406"/>
      <c r="T42" s="357"/>
      <c r="U42" s="357"/>
      <c r="V42" s="357"/>
    </row>
    <row r="43" spans="1:22" x14ac:dyDescent="0.35">
      <c r="B43" s="833"/>
      <c r="C43" s="837" t="s">
        <v>1255</v>
      </c>
      <c r="D43" s="693"/>
      <c r="E43" s="693"/>
      <c r="F43" s="693">
        <v>500</v>
      </c>
      <c r="G43" s="693"/>
      <c r="H43" s="693"/>
      <c r="I43" s="693"/>
      <c r="J43" s="693"/>
      <c r="K43" s="693"/>
      <c r="L43" s="693"/>
      <c r="M43" s="693"/>
      <c r="N43" s="693"/>
      <c r="O43" s="693"/>
      <c r="P43" s="1209">
        <f>SUM(D43:O43)</f>
        <v>500</v>
      </c>
      <c r="Q43" s="1204"/>
      <c r="S43" s="406"/>
      <c r="T43" s="357"/>
      <c r="U43" s="357"/>
      <c r="V43" s="357"/>
    </row>
    <row r="44" spans="1:22" x14ac:dyDescent="0.35">
      <c r="A44" s="1211"/>
      <c r="B44" s="1210" t="s">
        <v>1256</v>
      </c>
      <c r="C44" s="1200"/>
      <c r="D44" s="1201">
        <f>SUM(D45:D47)</f>
        <v>0</v>
      </c>
      <c r="E44" s="1201">
        <f>SUM(E45:E47)</f>
        <v>0</v>
      </c>
      <c r="F44" s="1201">
        <f>SUM(F45:F47)</f>
        <v>1035.5</v>
      </c>
      <c r="G44" s="1201">
        <f t="shared" ref="G44:O44" si="8">SUM(G45:G47)</f>
        <v>1035.5</v>
      </c>
      <c r="H44" s="1201">
        <f t="shared" si="8"/>
        <v>1035.5</v>
      </c>
      <c r="I44" s="1201">
        <f t="shared" si="8"/>
        <v>1035.5</v>
      </c>
      <c r="J44" s="1201">
        <f t="shared" si="8"/>
        <v>1035.5</v>
      </c>
      <c r="K44" s="1201">
        <f t="shared" si="8"/>
        <v>1035.5</v>
      </c>
      <c r="L44" s="1201">
        <f t="shared" si="8"/>
        <v>1035.5</v>
      </c>
      <c r="M44" s="1201">
        <f t="shared" si="8"/>
        <v>1035.5</v>
      </c>
      <c r="N44" s="1201">
        <f t="shared" si="8"/>
        <v>1035.5</v>
      </c>
      <c r="O44" s="1201">
        <f t="shared" si="8"/>
        <v>1035.5</v>
      </c>
      <c r="P44" s="1202">
        <f t="shared" si="6"/>
        <v>10355</v>
      </c>
      <c r="Q44" s="1204"/>
      <c r="S44" s="406"/>
      <c r="T44" s="357"/>
      <c r="U44" s="357"/>
      <c r="V44" s="357"/>
    </row>
    <row r="45" spans="1:22" x14ac:dyDescent="0.35">
      <c r="B45" s="833"/>
      <c r="C45" s="837" t="s">
        <v>1257</v>
      </c>
      <c r="D45" s="684"/>
      <c r="E45" s="684"/>
      <c r="F45" s="693">
        <v>700</v>
      </c>
      <c r="G45" s="693">
        <v>700</v>
      </c>
      <c r="H45" s="693">
        <v>700</v>
      </c>
      <c r="I45" s="693">
        <v>700</v>
      </c>
      <c r="J45" s="693">
        <v>700</v>
      </c>
      <c r="K45" s="693">
        <v>700</v>
      </c>
      <c r="L45" s="693">
        <v>700</v>
      </c>
      <c r="M45" s="693">
        <v>700</v>
      </c>
      <c r="N45" s="693">
        <v>700</v>
      </c>
      <c r="O45" s="693">
        <v>700</v>
      </c>
      <c r="P45" s="1209">
        <f>SUM(D45:O45)</f>
        <v>7000</v>
      </c>
      <c r="Q45" s="1204"/>
      <c r="S45" s="406"/>
      <c r="T45" s="357"/>
      <c r="U45" s="357"/>
      <c r="V45" s="357"/>
    </row>
    <row r="46" spans="1:22" x14ac:dyDescent="0.35">
      <c r="B46" s="833"/>
      <c r="C46" s="837" t="s">
        <v>1258</v>
      </c>
      <c r="D46" s="684"/>
      <c r="E46" s="684"/>
      <c r="F46" s="693">
        <v>325.5</v>
      </c>
      <c r="G46" s="693">
        <v>325.5</v>
      </c>
      <c r="H46" s="693">
        <v>325.5</v>
      </c>
      <c r="I46" s="693">
        <v>325.5</v>
      </c>
      <c r="J46" s="693">
        <v>325.5</v>
      </c>
      <c r="K46" s="693">
        <v>325.5</v>
      </c>
      <c r="L46" s="693">
        <v>325.5</v>
      </c>
      <c r="M46" s="693">
        <v>325.5</v>
      </c>
      <c r="N46" s="693">
        <v>325.5</v>
      </c>
      <c r="O46" s="693">
        <v>325.5</v>
      </c>
      <c r="P46" s="1209">
        <f>SUM(D46:O46)</f>
        <v>3255</v>
      </c>
      <c r="Q46" s="1204"/>
      <c r="S46" s="406"/>
      <c r="T46" s="357"/>
      <c r="U46" s="357"/>
      <c r="V46" s="357"/>
    </row>
    <row r="47" spans="1:22" x14ac:dyDescent="0.35">
      <c r="B47" s="833"/>
      <c r="C47" s="837" t="s">
        <v>1259</v>
      </c>
      <c r="D47" s="684"/>
      <c r="E47" s="684"/>
      <c r="F47" s="693">
        <v>10</v>
      </c>
      <c r="G47" s="693">
        <v>10</v>
      </c>
      <c r="H47" s="693">
        <v>10</v>
      </c>
      <c r="I47" s="693">
        <v>10</v>
      </c>
      <c r="J47" s="693">
        <v>10</v>
      </c>
      <c r="K47" s="693">
        <v>10</v>
      </c>
      <c r="L47" s="693">
        <v>10</v>
      </c>
      <c r="M47" s="693">
        <v>10</v>
      </c>
      <c r="N47" s="693">
        <v>10</v>
      </c>
      <c r="O47" s="693">
        <v>10</v>
      </c>
      <c r="P47" s="1209">
        <f>SUM(D47:O47)</f>
        <v>100</v>
      </c>
      <c r="Q47" s="1204"/>
      <c r="S47" s="406"/>
      <c r="T47" s="357"/>
      <c r="U47" s="357"/>
      <c r="V47" s="357"/>
    </row>
    <row r="48" spans="1:22" x14ac:dyDescent="0.35">
      <c r="A48" s="1211"/>
      <c r="B48" s="1210" t="s">
        <v>12</v>
      </c>
      <c r="C48" s="1200"/>
      <c r="D48" s="1201">
        <f>SUM(D49:D52)</f>
        <v>0</v>
      </c>
      <c r="E48" s="1201">
        <f t="shared" ref="E48:O48" si="9">SUM(E49:E52)</f>
        <v>0</v>
      </c>
      <c r="F48" s="1201">
        <f t="shared" si="9"/>
        <v>6050</v>
      </c>
      <c r="G48" s="1201">
        <f t="shared" si="9"/>
        <v>6050</v>
      </c>
      <c r="H48" s="1201">
        <f t="shared" si="9"/>
        <v>6050</v>
      </c>
      <c r="I48" s="1201">
        <f t="shared" si="9"/>
        <v>6050</v>
      </c>
      <c r="J48" s="1201">
        <f t="shared" si="9"/>
        <v>6150</v>
      </c>
      <c r="K48" s="1201">
        <f t="shared" si="9"/>
        <v>6050</v>
      </c>
      <c r="L48" s="1201">
        <f t="shared" si="9"/>
        <v>6050</v>
      </c>
      <c r="M48" s="1201">
        <f t="shared" si="9"/>
        <v>6150</v>
      </c>
      <c r="N48" s="1201">
        <f t="shared" si="9"/>
        <v>6050</v>
      </c>
      <c r="O48" s="1201">
        <f t="shared" si="9"/>
        <v>6050</v>
      </c>
      <c r="P48" s="1202">
        <f t="shared" si="6"/>
        <v>60700</v>
      </c>
      <c r="Q48" s="1204"/>
      <c r="S48" s="406"/>
      <c r="T48" s="357"/>
      <c r="U48" s="357"/>
      <c r="V48" s="357"/>
    </row>
    <row r="49" spans="2:22" x14ac:dyDescent="0.35">
      <c r="B49" s="800"/>
      <c r="C49" s="837" t="s">
        <v>1260</v>
      </c>
      <c r="D49" s="693"/>
      <c r="E49" s="693"/>
      <c r="F49" s="693">
        <v>2000</v>
      </c>
      <c r="G49" s="693">
        <v>2000</v>
      </c>
      <c r="H49" s="693">
        <v>2000</v>
      </c>
      <c r="I49" s="693">
        <v>2000</v>
      </c>
      <c r="J49" s="693">
        <v>2000</v>
      </c>
      <c r="K49" s="693">
        <v>2000</v>
      </c>
      <c r="L49" s="693">
        <v>2000</v>
      </c>
      <c r="M49" s="693">
        <v>2000</v>
      </c>
      <c r="N49" s="693">
        <v>2000</v>
      </c>
      <c r="O49" s="1212">
        <v>2000</v>
      </c>
      <c r="P49" s="1209">
        <f>SUM(D49:O49)</f>
        <v>20000</v>
      </c>
      <c r="Q49" s="1204"/>
      <c r="S49" s="406"/>
      <c r="T49" s="357"/>
      <c r="U49" s="357"/>
      <c r="V49" s="357"/>
    </row>
    <row r="50" spans="2:22" x14ac:dyDescent="0.35">
      <c r="B50" s="833"/>
      <c r="C50" s="837" t="s">
        <v>1261</v>
      </c>
      <c r="D50" s="693"/>
      <c r="E50" s="693"/>
      <c r="F50" s="693">
        <v>200</v>
      </c>
      <c r="G50" s="693">
        <v>200</v>
      </c>
      <c r="H50" s="693">
        <v>200</v>
      </c>
      <c r="I50" s="693">
        <v>200</v>
      </c>
      <c r="J50" s="693">
        <v>300</v>
      </c>
      <c r="K50" s="693">
        <v>200</v>
      </c>
      <c r="L50" s="693">
        <v>200</v>
      </c>
      <c r="M50" s="693">
        <v>300</v>
      </c>
      <c r="N50" s="693">
        <v>200</v>
      </c>
      <c r="O50" s="693">
        <v>200</v>
      </c>
      <c r="P50" s="1209">
        <f>SUM(D50:O50)</f>
        <v>2200</v>
      </c>
      <c r="Q50" s="1204"/>
      <c r="S50" s="406"/>
      <c r="T50" s="357"/>
      <c r="U50" s="357"/>
      <c r="V50" s="357"/>
    </row>
    <row r="51" spans="2:22" x14ac:dyDescent="0.35">
      <c r="B51" s="833"/>
      <c r="C51" s="837" t="s">
        <v>1262</v>
      </c>
      <c r="D51" s="693"/>
      <c r="E51" s="693"/>
      <c r="F51" s="693">
        <v>100</v>
      </c>
      <c r="G51" s="693">
        <v>100</v>
      </c>
      <c r="H51" s="693">
        <v>100</v>
      </c>
      <c r="I51" s="693">
        <v>100</v>
      </c>
      <c r="J51" s="693">
        <v>100</v>
      </c>
      <c r="K51" s="693">
        <v>100</v>
      </c>
      <c r="L51" s="693">
        <v>100</v>
      </c>
      <c r="M51" s="693">
        <v>100</v>
      </c>
      <c r="N51" s="693">
        <v>100</v>
      </c>
      <c r="O51" s="693">
        <v>100</v>
      </c>
      <c r="P51" s="1209">
        <f>SUM(D51:O51)</f>
        <v>1000</v>
      </c>
      <c r="Q51" s="1204"/>
      <c r="S51" s="406"/>
      <c r="T51" s="357"/>
      <c r="U51" s="357"/>
      <c r="V51" s="357"/>
    </row>
    <row r="52" spans="2:22" x14ac:dyDescent="0.35">
      <c r="B52" s="833"/>
      <c r="C52" s="837" t="s">
        <v>1263</v>
      </c>
      <c r="D52" s="693"/>
      <c r="E52" s="693"/>
      <c r="F52" s="693">
        <v>3750</v>
      </c>
      <c r="G52" s="693">
        <v>3750</v>
      </c>
      <c r="H52" s="693">
        <v>3750</v>
      </c>
      <c r="I52" s="693">
        <v>3750</v>
      </c>
      <c r="J52" s="693">
        <v>3750</v>
      </c>
      <c r="K52" s="693">
        <v>3750</v>
      </c>
      <c r="L52" s="693">
        <v>3750</v>
      </c>
      <c r="M52" s="693">
        <v>3750</v>
      </c>
      <c r="N52" s="693">
        <v>3750</v>
      </c>
      <c r="O52" s="693">
        <v>3750</v>
      </c>
      <c r="P52" s="1209">
        <f>SUM(D52:O52)</f>
        <v>37500</v>
      </c>
      <c r="Q52" s="1204" t="s">
        <v>1264</v>
      </c>
      <c r="S52" s="406"/>
      <c r="T52" s="357"/>
      <c r="U52" s="357"/>
      <c r="V52" s="357"/>
    </row>
    <row r="53" spans="2:22" x14ac:dyDescent="0.35">
      <c r="B53" s="1210" t="s">
        <v>993</v>
      </c>
      <c r="C53" s="1213"/>
      <c r="D53" s="1201">
        <f>SUM(D54:D55)</f>
        <v>0</v>
      </c>
      <c r="E53" s="1201">
        <f t="shared" ref="E53:O53" si="10">SUM(E54:E55)</f>
        <v>0</v>
      </c>
      <c r="F53" s="1201">
        <f t="shared" si="10"/>
        <v>0</v>
      </c>
      <c r="G53" s="1201">
        <f t="shared" si="10"/>
        <v>0</v>
      </c>
      <c r="H53" s="1201">
        <f t="shared" si="10"/>
        <v>0</v>
      </c>
      <c r="I53" s="1201">
        <f t="shared" si="10"/>
        <v>0</v>
      </c>
      <c r="J53" s="1201">
        <f t="shared" si="10"/>
        <v>4000</v>
      </c>
      <c r="K53" s="1201">
        <f t="shared" si="10"/>
        <v>0</v>
      </c>
      <c r="L53" s="1201">
        <f t="shared" si="10"/>
        <v>0</v>
      </c>
      <c r="M53" s="1201">
        <f t="shared" si="10"/>
        <v>0</v>
      </c>
      <c r="N53" s="1201">
        <f t="shared" si="10"/>
        <v>0</v>
      </c>
      <c r="O53" s="1201">
        <f t="shared" si="10"/>
        <v>0</v>
      </c>
      <c r="P53" s="1202">
        <f t="shared" si="6"/>
        <v>4000</v>
      </c>
      <c r="Q53" s="1204"/>
      <c r="S53" s="406"/>
      <c r="T53" s="357"/>
      <c r="U53" s="357"/>
      <c r="V53" s="357"/>
    </row>
    <row r="54" spans="2:22" x14ac:dyDescent="0.35">
      <c r="B54" s="1214"/>
      <c r="C54" s="1215" t="s">
        <v>1265</v>
      </c>
      <c r="D54" s="1216"/>
      <c r="E54" s="1216"/>
      <c r="F54" s="224"/>
      <c r="G54" s="224"/>
      <c r="H54" s="224"/>
      <c r="I54" s="224"/>
      <c r="J54" s="1216">
        <v>2000</v>
      </c>
      <c r="K54" s="224"/>
      <c r="L54" s="224"/>
      <c r="M54" s="224"/>
      <c r="N54" s="224"/>
      <c r="O54" s="224"/>
      <c r="P54" s="1217">
        <f t="shared" si="6"/>
        <v>2000</v>
      </c>
      <c r="Q54" s="1204"/>
      <c r="S54" s="406"/>
      <c r="T54" s="357"/>
      <c r="U54" s="357"/>
      <c r="V54" s="357"/>
    </row>
    <row r="55" spans="2:22" x14ac:dyDescent="0.35">
      <c r="B55" s="1214"/>
      <c r="C55" s="1215" t="s">
        <v>1266</v>
      </c>
      <c r="D55" s="1216"/>
      <c r="E55" s="1216"/>
      <c r="F55" s="224"/>
      <c r="G55" s="224"/>
      <c r="H55" s="224"/>
      <c r="I55" s="224"/>
      <c r="J55" s="1216">
        <v>2000</v>
      </c>
      <c r="K55" s="224"/>
      <c r="L55" s="224"/>
      <c r="M55" s="224"/>
      <c r="N55" s="224"/>
      <c r="O55" s="224"/>
      <c r="P55" s="1217">
        <f t="shared" si="6"/>
        <v>2000</v>
      </c>
      <c r="Q55" s="1204"/>
      <c r="S55" s="406"/>
      <c r="T55" s="357"/>
      <c r="U55" s="357"/>
      <c r="V55" s="357"/>
    </row>
    <row r="56" spans="2:22" x14ac:dyDescent="0.35">
      <c r="B56" s="1210" t="s">
        <v>1267</v>
      </c>
      <c r="C56" s="1200"/>
      <c r="D56" s="1201">
        <f>SUM(D57:D61)</f>
        <v>0</v>
      </c>
      <c r="E56" s="1201">
        <f>SUM(E57:E61)</f>
        <v>0</v>
      </c>
      <c r="F56" s="1201">
        <f>SUM(F57:F61)</f>
        <v>528600</v>
      </c>
      <c r="G56" s="1201">
        <f t="shared" ref="G56:O56" si="11">SUM(G57:G61)</f>
        <v>628600</v>
      </c>
      <c r="H56" s="1201">
        <f t="shared" si="11"/>
        <v>633600</v>
      </c>
      <c r="I56" s="1201">
        <f t="shared" si="11"/>
        <v>563600</v>
      </c>
      <c r="J56" s="1201">
        <f t="shared" si="11"/>
        <v>513600</v>
      </c>
      <c r="K56" s="1201">
        <f t="shared" si="11"/>
        <v>463600</v>
      </c>
      <c r="L56" s="1201">
        <f t="shared" si="11"/>
        <v>463600</v>
      </c>
      <c r="M56" s="1201">
        <f t="shared" si="11"/>
        <v>463600</v>
      </c>
      <c r="N56" s="1201">
        <f t="shared" si="11"/>
        <v>463600</v>
      </c>
      <c r="O56" s="1201">
        <f t="shared" si="11"/>
        <v>463600</v>
      </c>
      <c r="P56" s="1202">
        <f t="shared" si="6"/>
        <v>5186000</v>
      </c>
      <c r="Q56" s="1204"/>
      <c r="S56" s="406"/>
      <c r="T56" s="357"/>
      <c r="U56" s="357"/>
      <c r="V56" s="357"/>
    </row>
    <row r="57" spans="2:22" x14ac:dyDescent="0.35">
      <c r="B57" s="833"/>
      <c r="C57" s="837" t="s">
        <v>1268</v>
      </c>
      <c r="D57" s="701"/>
      <c r="E57" s="701"/>
      <c r="F57" s="693">
        <v>446250</v>
      </c>
      <c r="G57" s="693">
        <v>531250</v>
      </c>
      <c r="H57" s="1218">
        <v>535500</v>
      </c>
      <c r="I57" s="1218">
        <v>476000</v>
      </c>
      <c r="J57" s="693">
        <v>433500</v>
      </c>
      <c r="K57" s="693">
        <v>391000</v>
      </c>
      <c r="L57" s="693">
        <v>391000</v>
      </c>
      <c r="M57" s="693">
        <v>391000</v>
      </c>
      <c r="N57" s="693">
        <v>391000</v>
      </c>
      <c r="O57" s="693">
        <v>391000</v>
      </c>
      <c r="P57" s="1209">
        <f t="shared" si="6"/>
        <v>4377500</v>
      </c>
      <c r="Q57" s="1204" t="s">
        <v>1269</v>
      </c>
      <c r="S57" s="406"/>
      <c r="T57" s="357"/>
      <c r="U57" s="357"/>
      <c r="V57" s="357"/>
    </row>
    <row r="58" spans="2:22" x14ac:dyDescent="0.35">
      <c r="B58" s="833"/>
      <c r="C58" s="837" t="s">
        <v>1270</v>
      </c>
      <c r="D58" s="701"/>
      <c r="E58" s="701"/>
      <c r="F58" s="693">
        <v>78750</v>
      </c>
      <c r="G58" s="693">
        <v>93750</v>
      </c>
      <c r="H58" s="693">
        <v>94500</v>
      </c>
      <c r="I58" s="693">
        <v>84000</v>
      </c>
      <c r="J58" s="693">
        <v>76500</v>
      </c>
      <c r="K58" s="693">
        <v>69000</v>
      </c>
      <c r="L58" s="693">
        <v>69000</v>
      </c>
      <c r="M58" s="693">
        <v>69000</v>
      </c>
      <c r="N58" s="693">
        <v>69000</v>
      </c>
      <c r="O58" s="693">
        <v>69000</v>
      </c>
      <c r="P58" s="1209">
        <f t="shared" si="6"/>
        <v>772500</v>
      </c>
      <c r="Q58" s="1204" t="s">
        <v>1269</v>
      </c>
      <c r="S58" s="406"/>
      <c r="T58" s="357"/>
      <c r="U58" s="357"/>
      <c r="V58" s="357"/>
    </row>
    <row r="59" spans="2:22" x14ac:dyDescent="0.35">
      <c r="B59" s="833"/>
      <c r="C59" s="837" t="s">
        <v>1271</v>
      </c>
      <c r="D59" s="684"/>
      <c r="E59" s="684"/>
      <c r="F59" s="693">
        <v>1500</v>
      </c>
      <c r="G59" s="693">
        <v>1500</v>
      </c>
      <c r="H59" s="693">
        <v>1500</v>
      </c>
      <c r="I59" s="693">
        <v>1500</v>
      </c>
      <c r="J59" s="693">
        <v>1500</v>
      </c>
      <c r="K59" s="693">
        <v>1500</v>
      </c>
      <c r="L59" s="693">
        <v>1500</v>
      </c>
      <c r="M59" s="693">
        <v>1500</v>
      </c>
      <c r="N59" s="693">
        <v>1500</v>
      </c>
      <c r="O59" s="693">
        <v>1500</v>
      </c>
      <c r="P59" s="1209">
        <f t="shared" si="6"/>
        <v>15000</v>
      </c>
      <c r="Q59" s="1204" t="s">
        <v>1272</v>
      </c>
    </row>
    <row r="60" spans="2:22" x14ac:dyDescent="0.35">
      <c r="B60" s="833"/>
      <c r="C60" s="837" t="s">
        <v>1273</v>
      </c>
      <c r="D60" s="684"/>
      <c r="E60" s="684"/>
      <c r="F60" s="693">
        <v>300</v>
      </c>
      <c r="G60" s="693">
        <v>300</v>
      </c>
      <c r="H60" s="693">
        <v>300</v>
      </c>
      <c r="I60" s="693">
        <v>300</v>
      </c>
      <c r="J60" s="693">
        <v>300</v>
      </c>
      <c r="K60" s="693">
        <v>300</v>
      </c>
      <c r="L60" s="693">
        <v>300</v>
      </c>
      <c r="M60" s="693">
        <v>300</v>
      </c>
      <c r="N60" s="693">
        <v>300</v>
      </c>
      <c r="O60" s="693">
        <v>300</v>
      </c>
      <c r="P60" s="1209">
        <f t="shared" si="6"/>
        <v>3000</v>
      </c>
      <c r="Q60" s="1204" t="s">
        <v>1274</v>
      </c>
    </row>
    <row r="61" spans="2:22" x14ac:dyDescent="0.35">
      <c r="B61" s="833"/>
      <c r="C61" s="837" t="s">
        <v>1275</v>
      </c>
      <c r="D61" s="684"/>
      <c r="E61" s="684"/>
      <c r="F61" s="693">
        <v>1800</v>
      </c>
      <c r="G61" s="693">
        <v>1800</v>
      </c>
      <c r="H61" s="693">
        <v>1800</v>
      </c>
      <c r="I61" s="693">
        <v>1800</v>
      </c>
      <c r="J61" s="693">
        <v>1800</v>
      </c>
      <c r="K61" s="693">
        <v>1800</v>
      </c>
      <c r="L61" s="693">
        <v>1800</v>
      </c>
      <c r="M61" s="693">
        <v>1800</v>
      </c>
      <c r="N61" s="693">
        <v>1800</v>
      </c>
      <c r="O61" s="693">
        <v>1800</v>
      </c>
      <c r="P61" s="1209">
        <f t="shared" si="6"/>
        <v>18000</v>
      </c>
      <c r="Q61" s="1204" t="s">
        <v>1276</v>
      </c>
    </row>
    <row r="62" spans="2:22" x14ac:dyDescent="0.35">
      <c r="B62" s="1210" t="s">
        <v>1277</v>
      </c>
      <c r="C62" s="1200"/>
      <c r="D62" s="1201">
        <f>SUM(D63:D67)</f>
        <v>19250</v>
      </c>
      <c r="E62" s="1201">
        <f>SUM(E63:E67)</f>
        <v>15500</v>
      </c>
      <c r="F62" s="1201">
        <f>SUM(F63:F67)</f>
        <v>47987.5</v>
      </c>
      <c r="G62" s="1201">
        <f t="shared" ref="G62:O62" si="12">SUM(G63:G67)</f>
        <v>53937.5</v>
      </c>
      <c r="H62" s="1201">
        <f t="shared" si="12"/>
        <v>52485</v>
      </c>
      <c r="I62" s="1201">
        <f t="shared" si="12"/>
        <v>48320</v>
      </c>
      <c r="J62" s="1201">
        <f t="shared" si="12"/>
        <v>45345</v>
      </c>
      <c r="K62" s="1201">
        <f t="shared" si="12"/>
        <v>42370</v>
      </c>
      <c r="L62" s="1201">
        <f t="shared" si="12"/>
        <v>42370</v>
      </c>
      <c r="M62" s="1201">
        <f t="shared" si="12"/>
        <v>42370</v>
      </c>
      <c r="N62" s="1201">
        <f t="shared" si="12"/>
        <v>42370</v>
      </c>
      <c r="O62" s="1201">
        <f t="shared" si="12"/>
        <v>42370</v>
      </c>
      <c r="P62" s="1202">
        <f t="shared" si="6"/>
        <v>494675</v>
      </c>
      <c r="Q62" s="1204"/>
    </row>
    <row r="63" spans="2:22" x14ac:dyDescent="0.35">
      <c r="B63" s="800"/>
      <c r="C63" s="837" t="s">
        <v>1278</v>
      </c>
      <c r="D63" s="701"/>
      <c r="E63" s="701"/>
      <c r="F63" s="693">
        <v>31237.500000000004</v>
      </c>
      <c r="G63" s="693">
        <v>37187.5</v>
      </c>
      <c r="H63" s="693">
        <v>37485</v>
      </c>
      <c r="I63" s="693">
        <v>33320</v>
      </c>
      <c r="J63" s="693">
        <v>30345.000000000004</v>
      </c>
      <c r="K63" s="693">
        <v>27370.000000000004</v>
      </c>
      <c r="L63" s="693">
        <v>27370.000000000004</v>
      </c>
      <c r="M63" s="693">
        <v>27370.000000000004</v>
      </c>
      <c r="N63" s="693">
        <v>27370.000000000004</v>
      </c>
      <c r="O63" s="1219">
        <v>27370.000000000004</v>
      </c>
      <c r="P63" s="1209">
        <f t="shared" si="6"/>
        <v>306425</v>
      </c>
      <c r="Q63" s="1204" t="s">
        <v>1279</v>
      </c>
    </row>
    <row r="64" spans="2:22" x14ac:dyDescent="0.35">
      <c r="B64" s="833"/>
      <c r="C64" s="837" t="s">
        <v>1280</v>
      </c>
      <c r="D64" s="701"/>
      <c r="E64" s="701"/>
      <c r="F64" s="693">
        <v>15000</v>
      </c>
      <c r="G64" s="693">
        <v>15000</v>
      </c>
      <c r="H64" s="693">
        <v>15000</v>
      </c>
      <c r="I64" s="693">
        <v>15000</v>
      </c>
      <c r="J64" s="693">
        <v>15000</v>
      </c>
      <c r="K64" s="693">
        <v>15000</v>
      </c>
      <c r="L64" s="693">
        <v>15000</v>
      </c>
      <c r="M64" s="693">
        <v>15000</v>
      </c>
      <c r="N64" s="693">
        <v>15000</v>
      </c>
      <c r="O64" s="693">
        <v>15000</v>
      </c>
      <c r="P64" s="1209">
        <f t="shared" si="6"/>
        <v>150000</v>
      </c>
      <c r="Q64" s="1204"/>
    </row>
    <row r="65" spans="2:17" x14ac:dyDescent="0.35">
      <c r="B65" s="833"/>
      <c r="C65" s="837" t="s">
        <v>1281</v>
      </c>
      <c r="D65" s="693">
        <v>10000</v>
      </c>
      <c r="E65" s="693">
        <v>10000</v>
      </c>
      <c r="F65" s="701"/>
      <c r="G65" s="701"/>
      <c r="H65" s="701"/>
      <c r="I65" s="701"/>
      <c r="J65" s="701"/>
      <c r="K65" s="701"/>
      <c r="L65" s="701"/>
      <c r="M65" s="701"/>
      <c r="N65" s="701"/>
      <c r="O65" s="1220"/>
      <c r="P65" s="1209">
        <f t="shared" si="6"/>
        <v>20000</v>
      </c>
      <c r="Q65" s="1204" t="s">
        <v>1282</v>
      </c>
    </row>
    <row r="66" spans="2:17" x14ac:dyDescent="0.35">
      <c r="B66" s="833"/>
      <c r="C66" s="837" t="s">
        <v>1283</v>
      </c>
      <c r="D66" s="693">
        <v>7500</v>
      </c>
      <c r="E66" s="693">
        <v>3750</v>
      </c>
      <c r="F66" s="701"/>
      <c r="G66" s="701"/>
      <c r="H66" s="701"/>
      <c r="I66" s="701"/>
      <c r="J66" s="701"/>
      <c r="K66" s="701"/>
      <c r="L66" s="701"/>
      <c r="M66" s="701"/>
      <c r="N66" s="701"/>
      <c r="O66" s="1220"/>
      <c r="P66" s="1209">
        <f t="shared" si="6"/>
        <v>11250</v>
      </c>
      <c r="Q66" s="1204" t="s">
        <v>1282</v>
      </c>
    </row>
    <row r="67" spans="2:17" x14ac:dyDescent="0.35">
      <c r="B67" s="833"/>
      <c r="C67" s="837" t="s">
        <v>1284</v>
      </c>
      <c r="D67" s="693">
        <v>1750</v>
      </c>
      <c r="E67" s="693">
        <v>1750</v>
      </c>
      <c r="F67" s="693">
        <v>1750</v>
      </c>
      <c r="G67" s="693">
        <v>1750</v>
      </c>
      <c r="H67" s="701"/>
      <c r="I67" s="701"/>
      <c r="J67" s="701"/>
      <c r="K67" s="701"/>
      <c r="L67" s="701"/>
      <c r="M67" s="701"/>
      <c r="N67" s="701"/>
      <c r="O67" s="1220"/>
      <c r="P67" s="1209">
        <f t="shared" si="6"/>
        <v>7000</v>
      </c>
      <c r="Q67" s="1204" t="s">
        <v>1285</v>
      </c>
    </row>
    <row r="68" spans="2:17" x14ac:dyDescent="0.35">
      <c r="B68" s="1210" t="s">
        <v>997</v>
      </c>
      <c r="C68" s="1200" t="s">
        <v>1286</v>
      </c>
      <c r="D68" s="1201">
        <v>18000</v>
      </c>
      <c r="E68" s="1201">
        <v>18000</v>
      </c>
      <c r="F68" s="1201">
        <v>18000</v>
      </c>
      <c r="G68" s="1201">
        <v>18000</v>
      </c>
      <c r="H68" s="1201">
        <v>18000</v>
      </c>
      <c r="I68" s="1201">
        <v>18000</v>
      </c>
      <c r="J68" s="1201">
        <v>18000</v>
      </c>
      <c r="K68" s="1201">
        <v>18000</v>
      </c>
      <c r="L68" s="1201">
        <v>18000</v>
      </c>
      <c r="M68" s="1201">
        <v>18000</v>
      </c>
      <c r="N68" s="1201">
        <v>18000</v>
      </c>
      <c r="O68" s="1201">
        <v>18000</v>
      </c>
      <c r="P68" s="1202">
        <f t="shared" si="6"/>
        <v>216000</v>
      </c>
      <c r="Q68" s="1204"/>
    </row>
    <row r="69" spans="2:17" x14ac:dyDescent="0.35">
      <c r="B69" s="1210" t="s">
        <v>1287</v>
      </c>
      <c r="C69" s="1200"/>
      <c r="D69" s="1201">
        <f>SUM(D70:D77)</f>
        <v>0</v>
      </c>
      <c r="E69" s="1201">
        <f t="shared" ref="E69:O69" si="13">SUM(E70:E77)</f>
        <v>0</v>
      </c>
      <c r="F69" s="1201">
        <f t="shared" si="13"/>
        <v>18000</v>
      </c>
      <c r="G69" s="1201">
        <f t="shared" si="13"/>
        <v>54000</v>
      </c>
      <c r="H69" s="1201">
        <f t="shared" si="13"/>
        <v>6000</v>
      </c>
      <c r="I69" s="1201">
        <f t="shared" si="13"/>
        <v>38500</v>
      </c>
      <c r="J69" s="1201">
        <f t="shared" si="13"/>
        <v>104000</v>
      </c>
      <c r="K69" s="1201">
        <f t="shared" si="13"/>
        <v>6000</v>
      </c>
      <c r="L69" s="1201">
        <f t="shared" si="13"/>
        <v>26000</v>
      </c>
      <c r="M69" s="1201">
        <f t="shared" si="13"/>
        <v>76000</v>
      </c>
      <c r="N69" s="1201">
        <f t="shared" si="13"/>
        <v>6000</v>
      </c>
      <c r="O69" s="1201">
        <f t="shared" si="13"/>
        <v>4500</v>
      </c>
      <c r="P69" s="1202">
        <f t="shared" si="6"/>
        <v>339000</v>
      </c>
      <c r="Q69" s="1204"/>
    </row>
    <row r="70" spans="2:17" x14ac:dyDescent="0.35">
      <c r="B70" s="833"/>
      <c r="C70" s="837" t="s">
        <v>1288</v>
      </c>
      <c r="D70" s="684"/>
      <c r="E70" s="684"/>
      <c r="F70" s="693"/>
      <c r="G70" s="693">
        <v>6000</v>
      </c>
      <c r="H70" s="1221"/>
      <c r="I70" s="693"/>
      <c r="J70" s="693"/>
      <c r="K70" s="693"/>
      <c r="L70" s="693"/>
      <c r="M70" s="693"/>
      <c r="N70" s="693"/>
      <c r="O70" s="693"/>
      <c r="P70" s="1209">
        <f t="shared" si="6"/>
        <v>6000</v>
      </c>
      <c r="Q70" s="1204"/>
    </row>
    <row r="71" spans="2:17" x14ac:dyDescent="0.35">
      <c r="B71" s="833"/>
      <c r="C71" s="837" t="s">
        <v>1289</v>
      </c>
      <c r="D71" s="684"/>
      <c r="E71" s="684"/>
      <c r="F71" s="693">
        <v>6000</v>
      </c>
      <c r="G71" s="693">
        <v>9000</v>
      </c>
      <c r="H71" s="1221">
        <v>6000</v>
      </c>
      <c r="I71" s="693">
        <v>6000</v>
      </c>
      <c r="J71" s="693">
        <v>9000</v>
      </c>
      <c r="K71" s="693">
        <v>6000</v>
      </c>
      <c r="L71" s="693">
        <v>6000</v>
      </c>
      <c r="M71" s="693">
        <v>6000</v>
      </c>
      <c r="N71" s="693">
        <v>6000</v>
      </c>
      <c r="O71" s="693">
        <v>4500</v>
      </c>
      <c r="P71" s="1209">
        <f t="shared" si="6"/>
        <v>64500</v>
      </c>
      <c r="Q71" s="1204" t="s">
        <v>1290</v>
      </c>
    </row>
    <row r="72" spans="2:17" x14ac:dyDescent="0.35">
      <c r="B72" s="833"/>
      <c r="C72" s="1222" t="s">
        <v>1291</v>
      </c>
      <c r="D72" s="684"/>
      <c r="E72" s="684"/>
      <c r="F72" s="693">
        <v>12000</v>
      </c>
      <c r="G72" s="693">
        <v>19000</v>
      </c>
      <c r="H72" s="1221"/>
      <c r="I72" s="693">
        <v>2500</v>
      </c>
      <c r="N72" s="693"/>
      <c r="O72" s="693"/>
      <c r="P72" s="1209">
        <f t="shared" si="6"/>
        <v>33500</v>
      </c>
      <c r="Q72" s="1204" t="s">
        <v>1292</v>
      </c>
    </row>
    <row r="73" spans="2:17" x14ac:dyDescent="0.35">
      <c r="B73" s="833"/>
      <c r="C73" s="837" t="s">
        <v>1293</v>
      </c>
      <c r="D73" s="684"/>
      <c r="E73" s="684"/>
      <c r="F73" s="693"/>
      <c r="G73" s="693"/>
      <c r="H73" s="1221"/>
      <c r="I73" s="693"/>
      <c r="J73" s="1223">
        <v>15000</v>
      </c>
      <c r="K73" s="693"/>
      <c r="L73" s="693"/>
      <c r="M73" s="693"/>
      <c r="N73" s="693"/>
      <c r="O73" s="693"/>
      <c r="P73" s="1209">
        <f t="shared" si="6"/>
        <v>15000</v>
      </c>
      <c r="Q73" s="1204"/>
    </row>
    <row r="74" spans="2:17" x14ac:dyDescent="0.35">
      <c r="B74" s="833"/>
      <c r="C74" s="837" t="s">
        <v>1294</v>
      </c>
      <c r="D74" s="684"/>
      <c r="E74" s="684"/>
      <c r="F74" s="693"/>
      <c r="G74" s="693"/>
      <c r="H74" s="1221"/>
      <c r="I74" s="693"/>
      <c r="J74" s="693">
        <v>50000</v>
      </c>
      <c r="K74" s="693"/>
      <c r="L74" s="693"/>
      <c r="M74" s="693">
        <v>50000</v>
      </c>
      <c r="N74" s="693"/>
      <c r="O74" s="693"/>
      <c r="P74" s="1209">
        <f t="shared" si="6"/>
        <v>100000</v>
      </c>
      <c r="Q74" s="1204"/>
    </row>
    <row r="75" spans="2:17" x14ac:dyDescent="0.35">
      <c r="B75" s="833"/>
      <c r="C75" s="837" t="s">
        <v>1295</v>
      </c>
      <c r="D75" s="684"/>
      <c r="E75" s="684"/>
      <c r="F75" s="693"/>
      <c r="G75" s="693"/>
      <c r="H75" s="1221"/>
      <c r="I75" s="693">
        <v>10000</v>
      </c>
      <c r="J75" s="693">
        <v>10000</v>
      </c>
      <c r="K75" s="693"/>
      <c r="L75" s="693"/>
      <c r="M75" s="693"/>
      <c r="N75" s="693"/>
      <c r="O75" s="693"/>
      <c r="P75" s="1209">
        <f t="shared" si="6"/>
        <v>20000</v>
      </c>
      <c r="Q75" s="1204"/>
    </row>
    <row r="76" spans="2:17" x14ac:dyDescent="0.35">
      <c r="B76" s="833"/>
      <c r="C76" s="837" t="s">
        <v>1296</v>
      </c>
      <c r="D76" s="684"/>
      <c r="E76" s="684"/>
      <c r="F76" s="693"/>
      <c r="G76" s="693"/>
      <c r="H76" s="1221"/>
      <c r="I76" s="693">
        <v>20000</v>
      </c>
      <c r="J76" s="693"/>
      <c r="K76" s="693"/>
      <c r="L76" s="693">
        <v>20000</v>
      </c>
      <c r="N76" s="693"/>
      <c r="O76" s="693"/>
      <c r="P76" s="1209">
        <f t="shared" si="6"/>
        <v>40000</v>
      </c>
      <c r="Q76" s="1204"/>
    </row>
    <row r="77" spans="2:17" x14ac:dyDescent="0.35">
      <c r="B77" s="833"/>
      <c r="C77" s="837" t="s">
        <v>1297</v>
      </c>
      <c r="D77" s="684"/>
      <c r="E77" s="684"/>
      <c r="F77" s="693"/>
      <c r="G77" s="693">
        <v>20000</v>
      </c>
      <c r="H77" s="1221"/>
      <c r="I77" s="693"/>
      <c r="J77" s="693">
        <v>20000</v>
      </c>
      <c r="K77" s="693"/>
      <c r="L77" s="693"/>
      <c r="M77" s="693">
        <v>20000</v>
      </c>
      <c r="N77" s="693"/>
      <c r="O77" s="693"/>
      <c r="P77" s="1209">
        <f t="shared" si="6"/>
        <v>60000</v>
      </c>
      <c r="Q77" s="1204"/>
    </row>
    <row r="78" spans="2:17" x14ac:dyDescent="0.35">
      <c r="B78" s="1210" t="s">
        <v>998</v>
      </c>
      <c r="C78" s="1200"/>
      <c r="D78" s="1201">
        <f>SUM(D79)</f>
        <v>0</v>
      </c>
      <c r="E78" s="1201">
        <f t="shared" ref="E78:O78" si="14">SUM(E79)</f>
        <v>0</v>
      </c>
      <c r="F78" s="1201">
        <f t="shared" si="14"/>
        <v>0</v>
      </c>
      <c r="G78" s="1201">
        <f t="shared" si="14"/>
        <v>0</v>
      </c>
      <c r="H78" s="1201">
        <f t="shared" si="14"/>
        <v>300</v>
      </c>
      <c r="I78" s="1201">
        <f t="shared" si="14"/>
        <v>0</v>
      </c>
      <c r="J78" s="1201">
        <f t="shared" si="14"/>
        <v>0</v>
      </c>
      <c r="K78" s="1201">
        <f t="shared" si="14"/>
        <v>0</v>
      </c>
      <c r="L78" s="1201">
        <f t="shared" si="14"/>
        <v>0</v>
      </c>
      <c r="M78" s="1201">
        <f t="shared" si="14"/>
        <v>0</v>
      </c>
      <c r="N78" s="1201">
        <f t="shared" si="14"/>
        <v>0</v>
      </c>
      <c r="O78" s="1201">
        <f t="shared" si="14"/>
        <v>0</v>
      </c>
      <c r="P78" s="1202">
        <f t="shared" si="6"/>
        <v>300</v>
      </c>
      <c r="Q78" s="1204"/>
    </row>
    <row r="79" spans="2:17" x14ac:dyDescent="0.35">
      <c r="B79" s="833"/>
      <c r="C79" s="837" t="s">
        <v>1298</v>
      </c>
      <c r="D79" s="684"/>
      <c r="E79" s="684"/>
      <c r="F79" s="684"/>
      <c r="G79" s="684"/>
      <c r="H79" s="693">
        <v>300</v>
      </c>
      <c r="I79" s="684"/>
      <c r="J79" s="684"/>
      <c r="K79" s="684"/>
      <c r="L79" s="684"/>
      <c r="M79" s="684"/>
      <c r="N79" s="684"/>
      <c r="O79" s="684"/>
      <c r="P79" s="1209">
        <f>SUM(D79:O79)</f>
        <v>300</v>
      </c>
      <c r="Q79" s="1204" t="s">
        <v>1299</v>
      </c>
    </row>
    <row r="80" spans="2:17" x14ac:dyDescent="0.35">
      <c r="B80" s="818"/>
      <c r="C80" s="1206"/>
      <c r="D80" s="819">
        <f>SUM(D36,D41,D44,D48,D53,D56,D62,D68,D69,D78)</f>
        <v>39333.33</v>
      </c>
      <c r="E80" s="819">
        <f>SUM(E36,E41,E44,E48,E53,E56,E62,E68,E69,E78)</f>
        <v>35583.33</v>
      </c>
      <c r="F80" s="819">
        <f t="shared" ref="F80:P80" si="15">SUM(F36,F41,F44,F48,F53,F56,F62,F68,F69,F78)</f>
        <v>652756.32999999996</v>
      </c>
      <c r="G80" s="819">
        <f t="shared" si="15"/>
        <v>804706.33</v>
      </c>
      <c r="H80" s="819">
        <f t="shared" si="15"/>
        <v>720553.83</v>
      </c>
      <c r="I80" s="819">
        <f t="shared" si="15"/>
        <v>713588.83</v>
      </c>
      <c r="J80" s="819">
        <f t="shared" si="15"/>
        <v>735213.83</v>
      </c>
      <c r="K80" s="819">
        <f t="shared" si="15"/>
        <v>540138.83000000007</v>
      </c>
      <c r="L80" s="819">
        <f t="shared" si="15"/>
        <v>560138.83000000007</v>
      </c>
      <c r="M80" s="819">
        <f t="shared" si="15"/>
        <v>650238.83000000007</v>
      </c>
      <c r="N80" s="819">
        <f t="shared" si="15"/>
        <v>540138.83000000007</v>
      </c>
      <c r="O80" s="820">
        <f t="shared" si="15"/>
        <v>538638.83000000007</v>
      </c>
      <c r="P80" s="1224">
        <f t="shared" si="15"/>
        <v>6531029.96</v>
      </c>
    </row>
    <row r="81" spans="2:18" x14ac:dyDescent="0.35">
      <c r="B81" s="800"/>
      <c r="C81" s="157"/>
      <c r="D81" s="157"/>
      <c r="E81" s="157"/>
      <c r="F81" s="157"/>
      <c r="G81" s="157"/>
      <c r="H81" s="157"/>
      <c r="I81" s="157"/>
      <c r="J81" s="157"/>
      <c r="K81" s="157"/>
      <c r="L81" s="157"/>
      <c r="M81" s="157"/>
      <c r="N81" s="157"/>
      <c r="O81" s="157"/>
      <c r="P81" s="1183"/>
    </row>
    <row r="82" spans="2:18" x14ac:dyDescent="0.35">
      <c r="B82" s="874" t="s">
        <v>492</v>
      </c>
      <c r="C82" s="877"/>
      <c r="D82" s="875">
        <f t="shared" ref="D82:P82" si="16">D80+D32+D12</f>
        <v>44499.996666666666</v>
      </c>
      <c r="E82" s="875">
        <f t="shared" si="16"/>
        <v>35749.996666666666</v>
      </c>
      <c r="F82" s="875">
        <f t="shared" si="16"/>
        <v>673434.99666666659</v>
      </c>
      <c r="G82" s="875">
        <f t="shared" si="16"/>
        <v>825384.99666666659</v>
      </c>
      <c r="H82" s="875">
        <f t="shared" si="16"/>
        <v>741232.49666666659</v>
      </c>
      <c r="I82" s="875">
        <f t="shared" si="16"/>
        <v>734267.49666666659</v>
      </c>
      <c r="J82" s="875">
        <f t="shared" si="16"/>
        <v>755892.49666666659</v>
      </c>
      <c r="K82" s="875">
        <f t="shared" si="16"/>
        <v>560817.4966666667</v>
      </c>
      <c r="L82" s="875">
        <f t="shared" si="16"/>
        <v>580817.4966666667</v>
      </c>
      <c r="M82" s="875">
        <f t="shared" si="16"/>
        <v>670917.4966666667</v>
      </c>
      <c r="N82" s="875">
        <f t="shared" si="16"/>
        <v>560817.4966666667</v>
      </c>
      <c r="O82" s="875">
        <f t="shared" si="16"/>
        <v>560217.4966666667</v>
      </c>
      <c r="P82" s="1225">
        <f t="shared" si="16"/>
        <v>6744049.96</v>
      </c>
    </row>
    <row r="83" spans="2:18" s="224" customFormat="1" x14ac:dyDescent="0.35">
      <c r="B83" s="1226"/>
      <c r="C83" s="1226"/>
      <c r="D83" s="1227"/>
      <c r="E83" s="1227"/>
      <c r="F83" s="1227"/>
      <c r="G83" s="1227"/>
      <c r="H83" s="1227"/>
      <c r="I83" s="1227"/>
      <c r="J83" s="1227"/>
      <c r="K83" s="1227"/>
      <c r="L83" s="1227"/>
      <c r="M83" s="1227"/>
      <c r="N83" s="1227"/>
      <c r="O83" s="1227"/>
      <c r="P83" s="1227"/>
    </row>
    <row r="84" spans="2:18" s="224" customFormat="1" x14ac:dyDescent="0.35">
      <c r="B84" s="1226"/>
      <c r="C84" s="1226"/>
      <c r="D84" s="1227"/>
      <c r="E84" s="1227"/>
      <c r="F84" s="1227"/>
      <c r="G84" s="1227"/>
      <c r="H84" s="1227"/>
      <c r="I84" s="1227"/>
      <c r="J84" s="1227"/>
      <c r="K84" s="1227"/>
      <c r="L84" s="1227"/>
      <c r="M84" s="1227"/>
      <c r="N84" s="1227"/>
      <c r="O84" s="1227"/>
      <c r="P84" s="1227"/>
    </row>
    <row r="85" spans="2:18" s="224" customFormat="1" x14ac:dyDescent="0.35">
      <c r="B85" s="1226"/>
      <c r="C85" s="1228" t="s">
        <v>1300</v>
      </c>
      <c r="D85" s="1229" t="s">
        <v>1301</v>
      </c>
      <c r="E85" s="1229" t="s">
        <v>1302</v>
      </c>
      <c r="F85" s="1229" t="s">
        <v>1303</v>
      </c>
      <c r="G85" s="1229" t="s">
        <v>1304</v>
      </c>
      <c r="H85" s="1229" t="s">
        <v>1305</v>
      </c>
      <c r="I85" s="1229" t="s">
        <v>1306</v>
      </c>
      <c r="J85" s="1229" t="s">
        <v>1307</v>
      </c>
      <c r="K85" s="1229" t="s">
        <v>1308</v>
      </c>
      <c r="L85" s="1229" t="s">
        <v>1309</v>
      </c>
      <c r="M85" s="1229" t="s">
        <v>1310</v>
      </c>
      <c r="N85" s="1229" t="s">
        <v>1311</v>
      </c>
      <c r="O85" s="1229" t="s">
        <v>1312</v>
      </c>
      <c r="P85" s="1229"/>
      <c r="Q85" s="1230"/>
      <c r="R85" s="1231"/>
    </row>
    <row r="86" spans="2:18" s="224" customFormat="1" x14ac:dyDescent="0.35">
      <c r="B86" s="1226"/>
      <c r="C86" s="1228"/>
      <c r="D86" s="1229"/>
      <c r="E86" s="1229"/>
      <c r="F86" s="1229"/>
      <c r="G86" s="1229"/>
      <c r="H86" s="1229"/>
      <c r="I86" s="1229"/>
      <c r="J86" s="1229"/>
      <c r="K86" s="1229"/>
      <c r="L86" s="1229"/>
      <c r="M86" s="1229"/>
      <c r="N86" s="1229"/>
      <c r="O86" s="1229"/>
      <c r="P86" s="1229"/>
      <c r="Q86" s="1230"/>
      <c r="R86" s="1231"/>
    </row>
    <row r="87" spans="2:18" s="224" customFormat="1" x14ac:dyDescent="0.35">
      <c r="B87" s="1226"/>
      <c r="C87" s="1228" t="s">
        <v>1313</v>
      </c>
      <c r="D87" s="1232">
        <v>235000</v>
      </c>
      <c r="E87" s="1232">
        <v>300000</v>
      </c>
      <c r="F87" s="1232">
        <v>465000</v>
      </c>
      <c r="G87" s="1232">
        <v>565000</v>
      </c>
      <c r="H87" s="1232">
        <v>570000</v>
      </c>
      <c r="I87" s="1232">
        <v>500000</v>
      </c>
      <c r="J87" s="1232">
        <v>450000</v>
      </c>
      <c r="K87" s="1232">
        <v>400000</v>
      </c>
      <c r="L87" s="1232">
        <v>400000</v>
      </c>
      <c r="M87" s="1232">
        <v>400000</v>
      </c>
      <c r="N87" s="1232">
        <v>400000</v>
      </c>
      <c r="O87" s="1232">
        <v>400000</v>
      </c>
      <c r="P87" s="1229"/>
      <c r="Q87" s="1230"/>
      <c r="R87" s="1231"/>
    </row>
    <row r="88" spans="2:18" s="224" customFormat="1" x14ac:dyDescent="0.35">
      <c r="B88" s="1226"/>
      <c r="C88" s="1228" t="s">
        <v>1314</v>
      </c>
      <c r="D88" s="1232"/>
      <c r="E88" s="1232"/>
      <c r="F88" s="1233">
        <f>F87+60000</f>
        <v>525000</v>
      </c>
      <c r="G88" s="1233">
        <f t="shared" ref="G88:O88" si="17">G87+60000</f>
        <v>625000</v>
      </c>
      <c r="H88" s="1233">
        <f t="shared" si="17"/>
        <v>630000</v>
      </c>
      <c r="I88" s="1233">
        <f t="shared" si="17"/>
        <v>560000</v>
      </c>
      <c r="J88" s="1233">
        <f t="shared" si="17"/>
        <v>510000</v>
      </c>
      <c r="K88" s="1233">
        <f t="shared" si="17"/>
        <v>460000</v>
      </c>
      <c r="L88" s="1233">
        <f t="shared" si="17"/>
        <v>460000</v>
      </c>
      <c r="M88" s="1233">
        <f t="shared" si="17"/>
        <v>460000</v>
      </c>
      <c r="N88" s="1233">
        <f t="shared" si="17"/>
        <v>460000</v>
      </c>
      <c r="O88" s="1233">
        <f t="shared" si="17"/>
        <v>460000</v>
      </c>
      <c r="P88" s="1229">
        <f>SUM(D87,E87,F88:O88)</f>
        <v>5685000</v>
      </c>
      <c r="Q88" s="1230" t="s">
        <v>1315</v>
      </c>
      <c r="R88" s="1231"/>
    </row>
    <row r="89" spans="2:18" s="224" customFormat="1" x14ac:dyDescent="0.35">
      <c r="B89" s="1226"/>
      <c r="C89" s="1228" t="s">
        <v>1316</v>
      </c>
      <c r="D89" s="1232">
        <f>D87*0.85</f>
        <v>199750</v>
      </c>
      <c r="E89" s="1232">
        <f t="shared" ref="E89" si="18">E87*0.85</f>
        <v>255000</v>
      </c>
      <c r="F89" s="1232">
        <f>F88*0.85</f>
        <v>446250</v>
      </c>
      <c r="G89" s="1232">
        <f>G88*0.85</f>
        <v>531250</v>
      </c>
      <c r="H89" s="1232">
        <f t="shared" ref="H89:O89" si="19">H88*0.85</f>
        <v>535500</v>
      </c>
      <c r="I89" s="1232">
        <f t="shared" si="19"/>
        <v>476000</v>
      </c>
      <c r="J89" s="1232">
        <f t="shared" si="19"/>
        <v>433500</v>
      </c>
      <c r="K89" s="1232">
        <f t="shared" si="19"/>
        <v>391000</v>
      </c>
      <c r="L89" s="1232">
        <f t="shared" si="19"/>
        <v>391000</v>
      </c>
      <c r="M89" s="1232">
        <f t="shared" si="19"/>
        <v>391000</v>
      </c>
      <c r="N89" s="1232">
        <f t="shared" si="19"/>
        <v>391000</v>
      </c>
      <c r="O89" s="1232">
        <f t="shared" si="19"/>
        <v>391000</v>
      </c>
      <c r="P89" s="1229"/>
      <c r="Q89" s="1230"/>
      <c r="R89" s="1231"/>
    </row>
    <row r="90" spans="2:18" s="224" customFormat="1" x14ac:dyDescent="0.35">
      <c r="B90" s="1226"/>
      <c r="C90" s="1228" t="s">
        <v>1317</v>
      </c>
      <c r="D90" s="1232">
        <f>D87*0.15</f>
        <v>35250</v>
      </c>
      <c r="E90" s="1232">
        <f>E87*0.15</f>
        <v>45000</v>
      </c>
      <c r="F90" s="1232">
        <f>F88*0.15</f>
        <v>78750</v>
      </c>
      <c r="G90" s="1232">
        <f>G88*0.15</f>
        <v>93750</v>
      </c>
      <c r="H90" s="1232">
        <f t="shared" ref="H90:O90" si="20">H88*0.15</f>
        <v>94500</v>
      </c>
      <c r="I90" s="1232">
        <f t="shared" si="20"/>
        <v>84000</v>
      </c>
      <c r="J90" s="1232">
        <f t="shared" si="20"/>
        <v>76500</v>
      </c>
      <c r="K90" s="1232">
        <f t="shared" si="20"/>
        <v>69000</v>
      </c>
      <c r="L90" s="1232">
        <f t="shared" si="20"/>
        <v>69000</v>
      </c>
      <c r="M90" s="1232">
        <f t="shared" si="20"/>
        <v>69000</v>
      </c>
      <c r="N90" s="1232">
        <f t="shared" si="20"/>
        <v>69000</v>
      </c>
      <c r="O90" s="1232">
        <f t="shared" si="20"/>
        <v>69000</v>
      </c>
      <c r="P90" s="1229"/>
      <c r="Q90" s="1230"/>
      <c r="R90" s="1231"/>
    </row>
    <row r="91" spans="2:18" s="224" customFormat="1" x14ac:dyDescent="0.35">
      <c r="B91" s="1226"/>
      <c r="C91" s="1228" t="s">
        <v>1318</v>
      </c>
      <c r="D91" s="1232">
        <f>D89*0.07</f>
        <v>13982.500000000002</v>
      </c>
      <c r="E91" s="1232">
        <f>E89*0.07</f>
        <v>17850</v>
      </c>
      <c r="F91" s="1232">
        <f>F89*0.07</f>
        <v>31237.500000000004</v>
      </c>
      <c r="G91" s="1232">
        <f t="shared" ref="G91:O91" si="21">G89*0.07</f>
        <v>37187.5</v>
      </c>
      <c r="H91" s="1232">
        <f t="shared" si="21"/>
        <v>37485</v>
      </c>
      <c r="I91" s="1232">
        <f t="shared" si="21"/>
        <v>33320</v>
      </c>
      <c r="J91" s="1232">
        <f t="shared" si="21"/>
        <v>30345.000000000004</v>
      </c>
      <c r="K91" s="1232">
        <f t="shared" si="21"/>
        <v>27370.000000000004</v>
      </c>
      <c r="L91" s="1232">
        <f t="shared" si="21"/>
        <v>27370.000000000004</v>
      </c>
      <c r="M91" s="1232">
        <f t="shared" si="21"/>
        <v>27370.000000000004</v>
      </c>
      <c r="N91" s="1232">
        <f t="shared" si="21"/>
        <v>27370.000000000004</v>
      </c>
      <c r="O91" s="1232">
        <f t="shared" si="21"/>
        <v>27370.000000000004</v>
      </c>
      <c r="P91" s="1229"/>
      <c r="Q91" s="1230"/>
      <c r="R91" s="1231"/>
    </row>
    <row r="92" spans="2:18" s="224" customFormat="1" x14ac:dyDescent="0.35">
      <c r="B92" s="1226"/>
      <c r="C92" s="1228"/>
      <c r="D92" s="1232"/>
      <c r="E92" s="1232"/>
      <c r="F92" s="1232"/>
      <c r="G92" s="1232"/>
      <c r="H92" s="1232"/>
      <c r="I92" s="1232"/>
      <c r="J92" s="1232"/>
      <c r="K92" s="1232"/>
      <c r="L92" s="1232"/>
      <c r="M92" s="1232"/>
      <c r="N92" s="1232"/>
      <c r="O92" s="1232"/>
      <c r="P92" s="1229"/>
      <c r="Q92" s="1230"/>
      <c r="R92" s="1231"/>
    </row>
    <row r="93" spans="2:18" s="224" customFormat="1" x14ac:dyDescent="0.35">
      <c r="B93" s="1226"/>
      <c r="C93" s="1228" t="s">
        <v>1319</v>
      </c>
      <c r="D93" s="1229">
        <f>SUM(D89:D90)</f>
        <v>235000</v>
      </c>
      <c r="E93" s="1229">
        <f>SUM(E89:E90)</f>
        <v>300000</v>
      </c>
      <c r="F93" s="1229">
        <f>SUM(F89:F90)</f>
        <v>525000</v>
      </c>
      <c r="G93" s="1229">
        <f t="shared" ref="G93:O93" si="22">SUM(G89:G90)</f>
        <v>625000</v>
      </c>
      <c r="H93" s="1229">
        <f t="shared" si="22"/>
        <v>630000</v>
      </c>
      <c r="I93" s="1229">
        <f t="shared" si="22"/>
        <v>560000</v>
      </c>
      <c r="J93" s="1229">
        <f t="shared" si="22"/>
        <v>510000</v>
      </c>
      <c r="K93" s="1229">
        <f t="shared" si="22"/>
        <v>460000</v>
      </c>
      <c r="L93" s="1229">
        <f t="shared" si="22"/>
        <v>460000</v>
      </c>
      <c r="M93" s="1229">
        <f t="shared" si="22"/>
        <v>460000</v>
      </c>
      <c r="N93" s="1229">
        <f t="shared" si="22"/>
        <v>460000</v>
      </c>
      <c r="O93" s="1229">
        <f t="shared" si="22"/>
        <v>460000</v>
      </c>
      <c r="P93" s="1229">
        <f>SUM(D93:O93)</f>
        <v>5685000</v>
      </c>
      <c r="Q93" s="1230" t="s">
        <v>1320</v>
      </c>
      <c r="R93" s="1231"/>
    </row>
    <row r="94" spans="2:18" s="224" customFormat="1" x14ac:dyDescent="0.35">
      <c r="B94" s="1226"/>
      <c r="C94" s="1226"/>
      <c r="D94" s="1227"/>
      <c r="E94" s="1227"/>
      <c r="F94" s="1227"/>
      <c r="G94" s="1227"/>
      <c r="H94" s="1227"/>
      <c r="I94" s="1227"/>
      <c r="J94" s="1227"/>
      <c r="K94" s="1227"/>
      <c r="L94" s="1227"/>
      <c r="M94" s="1227"/>
      <c r="N94" s="1227"/>
      <c r="O94" s="1227"/>
      <c r="P94" s="1227"/>
    </row>
    <row r="95" spans="2:18" s="224" customFormat="1" x14ac:dyDescent="0.35">
      <c r="B95" s="1226"/>
      <c r="C95" s="1226"/>
      <c r="D95" s="1227"/>
      <c r="E95" s="1227"/>
      <c r="F95" s="1227"/>
      <c r="G95" s="1227"/>
      <c r="H95" s="1227"/>
      <c r="I95" s="1227"/>
      <c r="J95" s="1227"/>
      <c r="K95" s="1227"/>
      <c r="L95" s="1227"/>
      <c r="M95" s="1227"/>
      <c r="N95" s="1227"/>
      <c r="O95" s="1227"/>
      <c r="P95" s="1227"/>
    </row>
    <row r="96" spans="2:18" s="224" customFormat="1" x14ac:dyDescent="0.35">
      <c r="B96" s="1226"/>
      <c r="C96" s="1226"/>
      <c r="D96" s="1234"/>
      <c r="E96" s="1234"/>
      <c r="F96" s="1234"/>
      <c r="G96" s="1234"/>
      <c r="H96" s="1234"/>
      <c r="I96" s="1234"/>
      <c r="J96" s="1234"/>
      <c r="K96" s="1234"/>
      <c r="L96" s="1234"/>
      <c r="M96" s="1234"/>
      <c r="N96" s="1234"/>
      <c r="O96" s="1234"/>
      <c r="P96" s="1227"/>
    </row>
    <row r="97" spans="2:16" s="224" customFormat="1" x14ac:dyDescent="0.35">
      <c r="B97" s="1226"/>
      <c r="C97" s="1222"/>
      <c r="D97" s="684"/>
      <c r="E97" s="684"/>
      <c r="F97" s="693"/>
      <c r="G97" s="693"/>
      <c r="H97" s="1221"/>
      <c r="I97" s="693"/>
      <c r="J97" s="574"/>
      <c r="K97" s="574"/>
      <c r="L97" s="574"/>
      <c r="M97" s="574"/>
      <c r="N97" s="693"/>
      <c r="O97" s="693"/>
      <c r="P97" s="1227"/>
    </row>
    <row r="98" spans="2:16" s="224" customFormat="1" x14ac:dyDescent="0.35">
      <c r="B98" s="1226"/>
      <c r="C98" s="837"/>
      <c r="D98" s="684"/>
      <c r="E98" s="684"/>
      <c r="F98" s="693"/>
      <c r="G98" s="693"/>
      <c r="H98" s="1221"/>
      <c r="I98" s="693"/>
      <c r="J98" s="1223"/>
      <c r="K98" s="693"/>
      <c r="L98" s="693"/>
      <c r="M98" s="693"/>
      <c r="N98" s="693"/>
      <c r="O98" s="693"/>
      <c r="P98" s="1227"/>
    </row>
    <row r="99" spans="2:16" s="224" customFormat="1" x14ac:dyDescent="0.35">
      <c r="B99" s="1226"/>
      <c r="C99" s="837"/>
      <c r="D99" s="684"/>
      <c r="E99" s="684"/>
      <c r="F99" s="693"/>
      <c r="G99" s="693"/>
      <c r="H99" s="1221"/>
      <c r="I99" s="693"/>
      <c r="J99" s="693"/>
      <c r="K99" s="693"/>
      <c r="L99" s="693"/>
      <c r="M99" s="693"/>
      <c r="N99" s="693"/>
      <c r="O99" s="693"/>
      <c r="P99" s="1227"/>
    </row>
    <row r="100" spans="2:16" s="224" customFormat="1" x14ac:dyDescent="0.35">
      <c r="B100" s="1226"/>
      <c r="C100" s="837"/>
      <c r="D100" s="684"/>
      <c r="E100" s="684"/>
      <c r="F100" s="693"/>
      <c r="G100" s="693"/>
      <c r="H100" s="1221"/>
      <c r="I100" s="693"/>
      <c r="J100" s="693"/>
      <c r="K100" s="693"/>
      <c r="L100" s="693"/>
      <c r="M100" s="693"/>
      <c r="N100" s="693"/>
      <c r="O100" s="693"/>
      <c r="P100" s="1227"/>
    </row>
    <row r="101" spans="2:16" s="224" customFormat="1" x14ac:dyDescent="0.35">
      <c r="B101" s="1226"/>
      <c r="C101" s="837"/>
      <c r="D101" s="684"/>
      <c r="E101" s="684"/>
      <c r="F101" s="693"/>
      <c r="G101" s="693"/>
      <c r="H101" s="1221"/>
      <c r="I101" s="693"/>
      <c r="J101" s="693"/>
      <c r="K101" s="693"/>
      <c r="L101" s="693"/>
      <c r="M101" s="574"/>
      <c r="N101" s="693"/>
      <c r="O101" s="693"/>
      <c r="P101" s="1227"/>
    </row>
    <row r="102" spans="2:16" s="224" customFormat="1" x14ac:dyDescent="0.35">
      <c r="B102" s="1226"/>
      <c r="C102" s="837"/>
      <c r="D102" s="684"/>
      <c r="E102" s="684"/>
      <c r="F102" s="693"/>
      <c r="G102" s="693"/>
      <c r="H102" s="1221"/>
      <c r="I102" s="693"/>
      <c r="J102" s="693"/>
      <c r="K102" s="693"/>
      <c r="L102" s="693"/>
      <c r="M102" s="693"/>
      <c r="N102" s="693"/>
      <c r="O102" s="693"/>
      <c r="P102" s="1227"/>
    </row>
    <row r="103" spans="2:16" s="224" customFormat="1" x14ac:dyDescent="0.35">
      <c r="B103" s="1226"/>
      <c r="C103" s="1226"/>
      <c r="D103" s="1227"/>
      <c r="E103" s="1227"/>
      <c r="F103" s="1227"/>
      <c r="G103" s="1227"/>
      <c r="H103" s="1227"/>
      <c r="I103" s="1227"/>
      <c r="J103" s="1227"/>
      <c r="K103" s="1227"/>
      <c r="L103" s="1227"/>
      <c r="M103" s="1227"/>
      <c r="N103" s="1227"/>
      <c r="O103" s="1227"/>
      <c r="P103" s="1227"/>
    </row>
    <row r="104" spans="2:16" s="224" customFormat="1" x14ac:dyDescent="0.35">
      <c r="B104" s="1226"/>
      <c r="C104" s="1226"/>
      <c r="D104" s="1227"/>
      <c r="E104" s="1227"/>
      <c r="F104" s="1227"/>
      <c r="G104" s="1227"/>
      <c r="H104" s="1227"/>
      <c r="I104" s="1227"/>
      <c r="J104" s="1227"/>
      <c r="K104" s="1227"/>
      <c r="L104" s="1227"/>
      <c r="M104" s="1227"/>
      <c r="N104" s="1227"/>
      <c r="O104" s="1227"/>
      <c r="P104" s="1227"/>
    </row>
    <row r="105" spans="2:16" s="224" customFormat="1" x14ac:dyDescent="0.35">
      <c r="B105" s="1226"/>
      <c r="C105" s="1226"/>
      <c r="D105" s="1227"/>
      <c r="E105" s="1227"/>
      <c r="F105" s="1227"/>
      <c r="G105" s="1227"/>
      <c r="H105" s="1227"/>
      <c r="I105" s="1227"/>
      <c r="J105" s="1227"/>
      <c r="K105" s="1227"/>
      <c r="L105" s="1227"/>
      <c r="M105" s="1227"/>
      <c r="N105" s="1227"/>
      <c r="O105" s="1227"/>
      <c r="P105" s="1227"/>
    </row>
    <row r="106" spans="2:16" s="224" customFormat="1" x14ac:dyDescent="0.35">
      <c r="B106" s="1226"/>
      <c r="C106" s="1226"/>
      <c r="D106" s="1227"/>
      <c r="E106" s="1227"/>
      <c r="F106" s="1227"/>
      <c r="G106" s="1227"/>
      <c r="H106" s="1227"/>
      <c r="I106" s="1227"/>
      <c r="J106" s="1227"/>
      <c r="K106" s="1227"/>
      <c r="L106" s="1227"/>
      <c r="M106" s="1227"/>
      <c r="N106" s="1227"/>
      <c r="O106" s="1227"/>
      <c r="P106" s="1227"/>
    </row>
    <row r="107" spans="2:16" s="224" customFormat="1" x14ac:dyDescent="0.35">
      <c r="B107" s="1226"/>
      <c r="C107" s="1226"/>
      <c r="D107" s="1227"/>
      <c r="E107" s="1227"/>
      <c r="F107" s="1227"/>
      <c r="G107" s="1227"/>
      <c r="H107" s="1227"/>
      <c r="I107" s="1227"/>
      <c r="J107" s="1227"/>
      <c r="K107" s="1227"/>
      <c r="L107" s="1227"/>
      <c r="M107" s="1227"/>
      <c r="N107" s="1227"/>
      <c r="O107" s="1227"/>
      <c r="P107" s="1227"/>
    </row>
    <row r="108" spans="2:16" s="224" customFormat="1" x14ac:dyDescent="0.35">
      <c r="B108" s="1226"/>
      <c r="C108" s="1226"/>
      <c r="D108" s="1227"/>
      <c r="E108" s="1227"/>
      <c r="F108" s="1227"/>
      <c r="G108" s="1227"/>
      <c r="H108" s="1227"/>
      <c r="I108" s="1227"/>
      <c r="J108" s="1227"/>
      <c r="K108" s="1227"/>
      <c r="L108" s="1227"/>
      <c r="M108" s="1227"/>
      <c r="N108" s="1227"/>
      <c r="O108" s="1227"/>
      <c r="P108" s="1227"/>
    </row>
    <row r="109" spans="2:16" s="224" customFormat="1" x14ac:dyDescent="0.35">
      <c r="B109" s="1226"/>
      <c r="C109" s="1226"/>
      <c r="D109" s="1227"/>
      <c r="E109" s="1227"/>
      <c r="F109" s="1227"/>
      <c r="G109" s="1227"/>
      <c r="H109" s="1227"/>
      <c r="I109" s="1227"/>
      <c r="J109" s="1227"/>
      <c r="K109" s="1227"/>
      <c r="L109" s="1227"/>
      <c r="M109" s="1227"/>
      <c r="N109" s="1227"/>
      <c r="O109" s="1227"/>
      <c r="P109" s="1227"/>
    </row>
    <row r="110" spans="2:16" s="224" customFormat="1" x14ac:dyDescent="0.35">
      <c r="B110" s="1226"/>
      <c r="C110" s="1226"/>
      <c r="D110" s="1227"/>
      <c r="E110" s="1227"/>
      <c r="F110" s="1227"/>
      <c r="G110" s="1227"/>
      <c r="H110" s="1227"/>
      <c r="I110" s="1227"/>
      <c r="J110" s="1227"/>
      <c r="K110" s="1227"/>
      <c r="L110" s="1227"/>
      <c r="M110" s="1227"/>
      <c r="N110" s="1227"/>
      <c r="O110" s="1227"/>
      <c r="P110" s="1227"/>
    </row>
    <row r="111" spans="2:16" s="224" customFormat="1" x14ac:dyDescent="0.35">
      <c r="B111" s="1226"/>
      <c r="C111" s="1226"/>
      <c r="D111" s="1227"/>
      <c r="E111" s="1227"/>
      <c r="F111" s="1227"/>
      <c r="G111" s="1227"/>
      <c r="H111" s="1227"/>
      <c r="I111" s="1227"/>
      <c r="J111" s="1227"/>
      <c r="K111" s="1227"/>
      <c r="L111" s="1227"/>
      <c r="M111" s="1227"/>
      <c r="N111" s="1227"/>
      <c r="O111" s="1227"/>
      <c r="P111" s="1227"/>
    </row>
    <row r="112" spans="2:16" s="224" customFormat="1" x14ac:dyDescent="0.35">
      <c r="B112" s="1226"/>
      <c r="C112" s="1226"/>
      <c r="D112" s="1227"/>
      <c r="E112" s="1227"/>
      <c r="F112" s="1227"/>
      <c r="G112" s="1227"/>
      <c r="H112" s="1227"/>
      <c r="I112" s="1227"/>
      <c r="J112" s="1227"/>
      <c r="K112" s="1227"/>
      <c r="L112" s="1227"/>
      <c r="M112" s="1227"/>
      <c r="N112" s="1227"/>
      <c r="O112" s="1227"/>
      <c r="P112" s="1227"/>
    </row>
    <row r="113" spans="2:16" s="224" customFormat="1" x14ac:dyDescent="0.35">
      <c r="B113" s="1226"/>
      <c r="C113" s="1226"/>
      <c r="D113" s="1227"/>
      <c r="E113" s="1227"/>
      <c r="F113" s="1227"/>
      <c r="G113" s="1227"/>
      <c r="H113" s="1227"/>
      <c r="I113" s="1227"/>
      <c r="J113" s="1227"/>
      <c r="K113" s="1227"/>
      <c r="L113" s="1227"/>
      <c r="M113" s="1227"/>
      <c r="N113" s="1227"/>
      <c r="O113" s="1227"/>
      <c r="P113" s="1227"/>
    </row>
    <row r="114" spans="2:16" s="224" customFormat="1" x14ac:dyDescent="0.35">
      <c r="B114" s="1226"/>
      <c r="C114" s="1226"/>
      <c r="D114" s="1227"/>
      <c r="E114" s="1227"/>
      <c r="F114" s="1227"/>
      <c r="G114" s="1227"/>
      <c r="H114" s="1227"/>
      <c r="I114" s="1227"/>
      <c r="J114" s="1227"/>
      <c r="K114" s="1227"/>
      <c r="L114" s="1227"/>
      <c r="M114" s="1227"/>
      <c r="N114" s="1227"/>
      <c r="O114" s="1227"/>
      <c r="P114" s="1227"/>
    </row>
    <row r="115" spans="2:16" s="224" customFormat="1" x14ac:dyDescent="0.35">
      <c r="B115" s="1226"/>
      <c r="C115" s="1226"/>
      <c r="D115" s="1227"/>
      <c r="E115" s="1227"/>
      <c r="F115" s="1227"/>
      <c r="G115" s="1227"/>
      <c r="H115" s="1227"/>
      <c r="I115" s="1227"/>
      <c r="J115" s="1227"/>
      <c r="K115" s="1227"/>
      <c r="L115" s="1227"/>
      <c r="M115" s="1227"/>
      <c r="N115" s="1227"/>
      <c r="O115" s="1227"/>
      <c r="P115" s="1227"/>
    </row>
    <row r="116" spans="2:16" s="224" customFormat="1" x14ac:dyDescent="0.35">
      <c r="B116" s="1226"/>
      <c r="C116" s="1226"/>
      <c r="D116" s="1227"/>
      <c r="E116" s="1227"/>
      <c r="F116" s="1227"/>
      <c r="G116" s="1227"/>
      <c r="H116" s="1227"/>
      <c r="I116" s="1227"/>
      <c r="J116" s="1227"/>
      <c r="K116" s="1227"/>
      <c r="L116" s="1227"/>
      <c r="M116" s="1227"/>
      <c r="N116" s="1227"/>
      <c r="O116" s="1227"/>
      <c r="P116" s="1227"/>
    </row>
    <row r="117" spans="2:16" s="224" customFormat="1" x14ac:dyDescent="0.35">
      <c r="B117" s="1226"/>
      <c r="C117" s="1226"/>
      <c r="D117" s="1227"/>
      <c r="E117" s="1227"/>
      <c r="F117" s="1227"/>
      <c r="G117" s="1227"/>
      <c r="H117" s="1227"/>
      <c r="I117" s="1227"/>
      <c r="J117" s="1227"/>
      <c r="K117" s="1227"/>
      <c r="L117" s="1227"/>
      <c r="M117" s="1227"/>
      <c r="N117" s="1227"/>
      <c r="O117" s="1227"/>
      <c r="P117" s="1227"/>
    </row>
    <row r="118" spans="2:16" s="224" customFormat="1" x14ac:dyDescent="0.35">
      <c r="B118" s="1226"/>
      <c r="C118" s="1226"/>
      <c r="D118" s="1227"/>
      <c r="E118" s="1227"/>
      <c r="F118" s="1227"/>
      <c r="G118" s="1227"/>
      <c r="H118" s="1227"/>
      <c r="I118" s="1227"/>
      <c r="J118" s="1227"/>
      <c r="K118" s="1227"/>
      <c r="L118" s="1227"/>
      <c r="M118" s="1227"/>
      <c r="N118" s="1227"/>
      <c r="O118" s="1227"/>
      <c r="P118" s="1227"/>
    </row>
    <row r="119" spans="2:16" s="224" customFormat="1" x14ac:dyDescent="0.35">
      <c r="B119" s="1226"/>
      <c r="C119" s="1226"/>
      <c r="D119" s="1227"/>
      <c r="E119" s="1227"/>
      <c r="F119" s="1227"/>
      <c r="G119" s="1227"/>
      <c r="H119" s="1227"/>
      <c r="I119" s="1227"/>
      <c r="J119" s="1227"/>
      <c r="K119" s="1227"/>
      <c r="L119" s="1227"/>
      <c r="M119" s="1227"/>
      <c r="N119" s="1227"/>
      <c r="O119" s="1227"/>
      <c r="P119" s="1227"/>
    </row>
    <row r="120" spans="2:16" s="224" customFormat="1" x14ac:dyDescent="0.35">
      <c r="B120" s="1226"/>
      <c r="C120" s="1226"/>
      <c r="D120" s="1227"/>
      <c r="E120" s="1227"/>
      <c r="F120" s="1227"/>
      <c r="G120" s="1227"/>
      <c r="H120" s="1227"/>
      <c r="I120" s="1227"/>
      <c r="J120" s="1227"/>
      <c r="K120" s="1227"/>
      <c r="L120" s="1227"/>
      <c r="M120" s="1227"/>
      <c r="N120" s="1227"/>
      <c r="O120" s="1227"/>
      <c r="P120" s="1227"/>
    </row>
    <row r="121" spans="2:16" s="224" customFormat="1" x14ac:dyDescent="0.35">
      <c r="B121" s="1226"/>
      <c r="C121" s="1226"/>
      <c r="D121" s="1227"/>
      <c r="E121" s="1227"/>
      <c r="F121" s="1227"/>
      <c r="G121" s="1227"/>
      <c r="H121" s="1227"/>
      <c r="I121" s="1227"/>
      <c r="J121" s="1227"/>
      <c r="K121" s="1227"/>
      <c r="L121" s="1227"/>
      <c r="M121" s="1227"/>
      <c r="N121" s="1227"/>
      <c r="O121" s="1227"/>
      <c r="P121" s="1227"/>
    </row>
    <row r="122" spans="2:16" s="224" customFormat="1" x14ac:dyDescent="0.35">
      <c r="B122" s="1226"/>
      <c r="C122" s="1226"/>
      <c r="D122" s="1227"/>
      <c r="E122" s="1227"/>
      <c r="F122" s="1227"/>
      <c r="G122" s="1227"/>
      <c r="H122" s="1227"/>
      <c r="I122" s="1227"/>
      <c r="J122" s="1227"/>
      <c r="K122" s="1227"/>
      <c r="L122" s="1227"/>
      <c r="M122" s="1227"/>
      <c r="N122" s="1227"/>
      <c r="O122" s="1227"/>
      <c r="P122" s="1227"/>
    </row>
    <row r="123" spans="2:16" s="224" customFormat="1" x14ac:dyDescent="0.35">
      <c r="B123" s="1226"/>
      <c r="C123" s="1226"/>
      <c r="D123" s="1227"/>
      <c r="E123" s="1227"/>
      <c r="F123" s="1227"/>
      <c r="G123" s="1227"/>
      <c r="H123" s="1227"/>
      <c r="I123" s="1227"/>
      <c r="J123" s="1227"/>
      <c r="K123" s="1227"/>
      <c r="L123" s="1227"/>
      <c r="M123" s="1227"/>
      <c r="N123" s="1227"/>
      <c r="O123" s="1227"/>
      <c r="P123" s="1227"/>
    </row>
    <row r="124" spans="2:16" s="224" customFormat="1" x14ac:dyDescent="0.35">
      <c r="B124" s="1226"/>
      <c r="C124" s="1226"/>
      <c r="D124" s="1227"/>
      <c r="E124" s="1227"/>
      <c r="F124" s="1227"/>
      <c r="G124" s="1227"/>
      <c r="H124" s="1227"/>
      <c r="I124" s="1227"/>
      <c r="J124" s="1227"/>
      <c r="K124" s="1227"/>
      <c r="L124" s="1227"/>
      <c r="M124" s="1227"/>
      <c r="N124" s="1227"/>
      <c r="O124" s="1227"/>
      <c r="P124" s="1227"/>
    </row>
    <row r="125" spans="2:16" s="224" customFormat="1" x14ac:dyDescent="0.35">
      <c r="B125" s="1226"/>
      <c r="C125" s="1226"/>
      <c r="D125" s="1227"/>
      <c r="E125" s="1227"/>
      <c r="F125" s="1227"/>
      <c r="G125" s="1227"/>
      <c r="H125" s="1227"/>
      <c r="I125" s="1227"/>
      <c r="J125" s="1227"/>
      <c r="K125" s="1227"/>
      <c r="L125" s="1227"/>
      <c r="M125" s="1227"/>
      <c r="N125" s="1227"/>
      <c r="O125" s="1227"/>
      <c r="P125" s="1227"/>
    </row>
    <row r="126" spans="2:16" s="224" customFormat="1" x14ac:dyDescent="0.35">
      <c r="B126" s="1226"/>
      <c r="C126" s="1226"/>
      <c r="D126" s="1227"/>
      <c r="E126" s="1227"/>
      <c r="F126" s="1227"/>
      <c r="G126" s="1227"/>
      <c r="H126" s="1227"/>
      <c r="I126" s="1227"/>
      <c r="J126" s="1227"/>
      <c r="K126" s="1227"/>
      <c r="L126" s="1227"/>
      <c r="M126" s="1227"/>
      <c r="N126" s="1227"/>
      <c r="O126" s="1227"/>
      <c r="P126" s="1227"/>
    </row>
    <row r="127" spans="2:16" s="224" customFormat="1" x14ac:dyDescent="0.35">
      <c r="B127" s="1226"/>
      <c r="C127" s="1226"/>
      <c r="D127" s="1227"/>
      <c r="E127" s="1227"/>
      <c r="F127" s="1227"/>
      <c r="G127" s="1227"/>
      <c r="H127" s="1227"/>
      <c r="I127" s="1227"/>
      <c r="J127" s="1227"/>
      <c r="K127" s="1227"/>
      <c r="L127" s="1227"/>
      <c r="M127" s="1227"/>
      <c r="N127" s="1227"/>
      <c r="O127" s="1227"/>
      <c r="P127" s="1227"/>
    </row>
    <row r="128" spans="2:16" s="224" customFormat="1" x14ac:dyDescent="0.35">
      <c r="B128" s="1226"/>
      <c r="C128" s="1226"/>
      <c r="D128" s="1227"/>
      <c r="E128" s="1227"/>
      <c r="F128" s="1227"/>
      <c r="G128" s="1227"/>
      <c r="H128" s="1227"/>
      <c r="I128" s="1227"/>
      <c r="J128" s="1227"/>
      <c r="K128" s="1227"/>
      <c r="L128" s="1227"/>
      <c r="M128" s="1227"/>
      <c r="N128" s="1227"/>
      <c r="O128" s="1227"/>
      <c r="P128" s="1227"/>
    </row>
    <row r="129" spans="2:16" s="224" customFormat="1" x14ac:dyDescent="0.35">
      <c r="B129" s="1226"/>
      <c r="C129" s="1226"/>
      <c r="D129" s="1227"/>
      <c r="E129" s="1227"/>
      <c r="F129" s="1227"/>
      <c r="G129" s="1227"/>
      <c r="H129" s="1227"/>
      <c r="I129" s="1227"/>
      <c r="J129" s="1227"/>
      <c r="K129" s="1227"/>
      <c r="L129" s="1227"/>
      <c r="M129" s="1227"/>
      <c r="N129" s="1227"/>
      <c r="O129" s="1227"/>
      <c r="P129" s="1227"/>
    </row>
    <row r="130" spans="2:16" s="224" customFormat="1" x14ac:dyDescent="0.35">
      <c r="B130" s="1226"/>
      <c r="C130" s="1226"/>
      <c r="D130" s="1227"/>
      <c r="E130" s="1227"/>
      <c r="F130" s="1227"/>
      <c r="G130" s="1227"/>
      <c r="H130" s="1227"/>
      <c r="I130" s="1227"/>
      <c r="J130" s="1227"/>
      <c r="K130" s="1227"/>
      <c r="L130" s="1227"/>
      <c r="M130" s="1227"/>
      <c r="N130" s="1227"/>
      <c r="O130" s="1227"/>
      <c r="P130" s="1227"/>
    </row>
    <row r="131" spans="2:16" s="224" customFormat="1" x14ac:dyDescent="0.35">
      <c r="B131" s="1226"/>
      <c r="C131" s="1226"/>
      <c r="D131" s="1227"/>
      <c r="E131" s="1227"/>
      <c r="F131" s="1227"/>
      <c r="G131" s="1227"/>
      <c r="H131" s="1227"/>
      <c r="I131" s="1227"/>
      <c r="J131" s="1227"/>
      <c r="K131" s="1227"/>
      <c r="L131" s="1227"/>
      <c r="M131" s="1227"/>
      <c r="N131" s="1227"/>
      <c r="O131" s="1227"/>
      <c r="P131" s="1227"/>
    </row>
    <row r="132" spans="2:16" s="224" customFormat="1" x14ac:dyDescent="0.35">
      <c r="B132" s="1226"/>
      <c r="C132" s="1226"/>
      <c r="D132" s="1227"/>
      <c r="E132" s="1227"/>
      <c r="F132" s="1227"/>
      <c r="G132" s="1227"/>
      <c r="H132" s="1227"/>
      <c r="I132" s="1227"/>
      <c r="J132" s="1227"/>
      <c r="K132" s="1227"/>
      <c r="L132" s="1227"/>
      <c r="M132" s="1227"/>
      <c r="N132" s="1227"/>
      <c r="O132" s="1227"/>
      <c r="P132" s="1227"/>
    </row>
    <row r="133" spans="2:16" s="224" customFormat="1" x14ac:dyDescent="0.35">
      <c r="B133" s="1226"/>
      <c r="C133" s="1226"/>
      <c r="D133" s="1227"/>
      <c r="E133" s="1227"/>
      <c r="F133" s="1227"/>
      <c r="G133" s="1227"/>
      <c r="H133" s="1227"/>
      <c r="I133" s="1227"/>
      <c r="J133" s="1227"/>
      <c r="K133" s="1227"/>
      <c r="L133" s="1227"/>
      <c r="M133" s="1227"/>
      <c r="N133" s="1227"/>
      <c r="O133" s="1227"/>
      <c r="P133" s="1227"/>
    </row>
    <row r="135" spans="2:16" x14ac:dyDescent="0.35">
      <c r="B135" s="1235" t="s">
        <v>933</v>
      </c>
      <c r="D135" s="406"/>
      <c r="E135" s="406"/>
      <c r="F135" s="406"/>
      <c r="G135" s="406"/>
      <c r="H135" s="406"/>
      <c r="I135" s="406"/>
      <c r="J135" s="406"/>
      <c r="K135" s="406"/>
      <c r="L135" s="406"/>
      <c r="M135" s="406"/>
      <c r="N135" s="406"/>
      <c r="O135" s="406"/>
      <c r="P135" s="406"/>
    </row>
    <row r="136" spans="2:16" x14ac:dyDescent="0.35">
      <c r="B136" s="1236" t="s">
        <v>925</v>
      </c>
    </row>
    <row r="137" spans="2:16" x14ac:dyDescent="0.35">
      <c r="B137" s="1236" t="s">
        <v>433</v>
      </c>
    </row>
    <row r="138" spans="2:16" x14ac:dyDescent="0.35">
      <c r="B138" s="1236" t="s">
        <v>942</v>
      </c>
    </row>
    <row r="139" spans="2:16" x14ac:dyDescent="0.35">
      <c r="B139" s="1237"/>
    </row>
    <row r="140" spans="2:16" x14ac:dyDescent="0.35">
      <c r="B140" s="1238" t="s">
        <v>945</v>
      </c>
    </row>
    <row r="141" spans="2:16" x14ac:dyDescent="0.35">
      <c r="B141" s="1239" t="s">
        <v>946</v>
      </c>
    </row>
    <row r="142" spans="2:16" x14ac:dyDescent="0.35">
      <c r="B142" s="1236" t="s">
        <v>926</v>
      </c>
    </row>
    <row r="143" spans="2:16" x14ac:dyDescent="0.35">
      <c r="B143" s="1236" t="s">
        <v>947</v>
      </c>
    </row>
    <row r="144" spans="2:16" x14ac:dyDescent="0.35">
      <c r="B144" s="1236" t="s">
        <v>948</v>
      </c>
    </row>
    <row r="145" spans="2:2" x14ac:dyDescent="0.35">
      <c r="B145" s="1236" t="s">
        <v>949</v>
      </c>
    </row>
    <row r="146" spans="2:2" x14ac:dyDescent="0.35">
      <c r="B146" s="1236" t="s">
        <v>950</v>
      </c>
    </row>
    <row r="147" spans="2:2" x14ac:dyDescent="0.35">
      <c r="B147" s="1236" t="s">
        <v>1070</v>
      </c>
    </row>
    <row r="148" spans="2:2" x14ac:dyDescent="0.35">
      <c r="B148" s="1236" t="s">
        <v>928</v>
      </c>
    </row>
    <row r="149" spans="2:2" x14ac:dyDescent="0.35">
      <c r="B149" s="1236" t="s">
        <v>929</v>
      </c>
    </row>
    <row r="150" spans="2:2" x14ac:dyDescent="0.35">
      <c r="B150" s="1240" t="s">
        <v>951</v>
      </c>
    </row>
    <row r="151" spans="2:2" x14ac:dyDescent="0.35">
      <c r="B151" s="1240" t="s">
        <v>952</v>
      </c>
    </row>
    <row r="152" spans="2:2" x14ac:dyDescent="0.35">
      <c r="B152" s="1241"/>
    </row>
    <row r="153" spans="2:2" x14ac:dyDescent="0.35">
      <c r="B153" s="1238" t="s">
        <v>1067</v>
      </c>
    </row>
    <row r="154" spans="2:2" x14ac:dyDescent="0.35">
      <c r="B154" s="1236" t="s">
        <v>1253</v>
      </c>
    </row>
    <row r="155" spans="2:2" x14ac:dyDescent="0.35">
      <c r="B155" s="1236" t="s">
        <v>1248</v>
      </c>
    </row>
    <row r="156" spans="2:2" x14ac:dyDescent="0.35">
      <c r="B156" s="1236" t="s">
        <v>1256</v>
      </c>
    </row>
    <row r="157" spans="2:2" x14ac:dyDescent="0.35">
      <c r="B157" s="1236" t="s">
        <v>12</v>
      </c>
    </row>
    <row r="158" spans="2:2" x14ac:dyDescent="0.35">
      <c r="B158" s="1236" t="s">
        <v>993</v>
      </c>
    </row>
    <row r="159" spans="2:2" x14ac:dyDescent="0.35">
      <c r="B159" s="1236" t="s">
        <v>1267</v>
      </c>
    </row>
    <row r="160" spans="2:2" x14ac:dyDescent="0.35">
      <c r="B160" s="1236" t="s">
        <v>1277</v>
      </c>
    </row>
    <row r="161" spans="2:2" x14ac:dyDescent="0.35">
      <c r="B161" s="1236" t="s">
        <v>997</v>
      </c>
    </row>
    <row r="162" spans="2:2" x14ac:dyDescent="0.35">
      <c r="B162" s="1236" t="s">
        <v>1287</v>
      </c>
    </row>
    <row r="163" spans="2:2" x14ac:dyDescent="0.35">
      <c r="B163" s="1240" t="s">
        <v>998</v>
      </c>
    </row>
  </sheetData>
  <dataValidations count="3">
    <dataValidation type="list" allowBlank="1" showInputMessage="1" showErrorMessage="1" sqref="B36:B48 B64:B79 B50:B62">
      <formula1>$B$154:$B$163</formula1>
    </dataValidation>
    <dataValidation type="list" allowBlank="1" showInputMessage="1" showErrorMessage="1" sqref="B16:B31">
      <formula1>$B$141:$B$151</formula1>
    </dataValidation>
    <dataValidation type="list" allowBlank="1" showInputMessage="1" showErrorMessage="1" sqref="B7:B11">
      <formula1>$B$136:$B$138</formula1>
    </dataValidation>
  </dataValidations>
  <pageMargins left="0.7" right="0.7" top="0.75" bottom="0.75" header="0.3" footer="0.3"/>
  <pageSetup orientation="portrait" horizontalDpi="4294967292" verticalDpi="429496729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V60"/>
  <sheetViews>
    <sheetView zoomScale="80" zoomScaleNormal="80" workbookViewId="0">
      <pane xSplit="2" ySplit="4" topLeftCell="C23" activePane="bottomRight" state="frozen"/>
      <selection activeCell="AA39" sqref="AA39:AL39"/>
      <selection pane="topRight" activeCell="AA39" sqref="AA39:AL39"/>
      <selection pane="bottomLeft" activeCell="AA39" sqref="AA39:AL39"/>
      <selection pane="bottomRight" activeCell="AX14" activeCellId="1" sqref="AX54 AX13:AX14"/>
    </sheetView>
  </sheetViews>
  <sheetFormatPr defaultColWidth="9.1796875" defaultRowHeight="14.5" outlineLevelCol="1" x14ac:dyDescent="0.35"/>
  <cols>
    <col min="1" max="1" width="2" style="574" customWidth="1"/>
    <col min="2" max="2" width="27.453125" style="574" bestFit="1" customWidth="1"/>
    <col min="3" max="3" width="12.7265625" style="574" customWidth="1"/>
    <col min="4" max="7" width="12.7265625" style="574" hidden="1" customWidth="1" outlineLevel="1"/>
    <col min="8" max="12" width="16.453125" style="574" hidden="1" customWidth="1" outlineLevel="1"/>
    <col min="13" max="13" width="19.26953125" style="574" hidden="1" customWidth="1" outlineLevel="1"/>
    <col min="14" max="14" width="16.453125" style="574" customWidth="1" collapsed="1"/>
    <col min="15" max="15" width="12.7265625" style="574" bestFit="1" customWidth="1"/>
    <col min="16" max="18" width="12.7265625" style="574" hidden="1" customWidth="1" outlineLevel="1"/>
    <col min="19" max="19" width="12.1796875" style="574" hidden="1" customWidth="1" outlineLevel="1"/>
    <col min="20" max="25" width="12.26953125" style="574" hidden="1" customWidth="1" outlineLevel="1"/>
    <col min="26" max="26" width="12.26953125" style="574" bestFit="1" customWidth="1" collapsed="1"/>
    <col min="27" max="27" width="12.26953125" style="574" customWidth="1"/>
    <col min="28" max="29" width="13.26953125" style="574" customWidth="1" outlineLevel="1"/>
    <col min="30" max="35" width="10.7265625" style="574" customWidth="1" outlineLevel="1"/>
    <col min="36" max="37" width="11.81640625" style="574" customWidth="1" outlineLevel="1"/>
    <col min="38" max="39" width="13.26953125" style="574" customWidth="1"/>
    <col min="40" max="47" width="10.7265625" style="574" hidden="1" customWidth="1" outlineLevel="1"/>
    <col min="48" max="49" width="11.81640625" style="574" hidden="1" customWidth="1" outlineLevel="1"/>
    <col min="50" max="50" width="11.81640625" style="574" customWidth="1" collapsed="1"/>
    <col min="51" max="51" width="10.7265625" style="574" bestFit="1" customWidth="1"/>
    <col min="52" max="57" width="10.7265625" style="574" hidden="1" customWidth="1" outlineLevel="1"/>
    <col min="58" max="61" width="13.26953125" style="574" hidden="1" customWidth="1" outlineLevel="1"/>
    <col min="62" max="62" width="13.26953125" style="574" bestFit="1" customWidth="1" collapsed="1"/>
    <col min="63" max="63" width="13" style="574" bestFit="1" customWidth="1"/>
    <col min="64" max="73" width="13" style="574" hidden="1" customWidth="1" outlineLevel="1"/>
    <col min="74" max="74" width="13" style="574" bestFit="1" customWidth="1" collapsed="1"/>
    <col min="75" max="16384" width="9.1796875" style="574"/>
  </cols>
  <sheetData>
    <row r="2" spans="2:74" x14ac:dyDescent="0.35">
      <c r="B2" s="652" t="s">
        <v>1066</v>
      </c>
      <c r="C2" s="652"/>
      <c r="D2" s="652"/>
      <c r="E2" s="652"/>
      <c r="F2" s="652"/>
      <c r="G2" s="652"/>
      <c r="H2" s="652"/>
      <c r="I2" s="652"/>
      <c r="J2" s="652"/>
      <c r="K2" s="652"/>
      <c r="L2" s="652"/>
      <c r="M2" s="652"/>
      <c r="N2" s="652"/>
    </row>
    <row r="3" spans="2:74" x14ac:dyDescent="0.35">
      <c r="B3" s="788" t="s">
        <v>931</v>
      </c>
      <c r="C3" s="789">
        <v>40939</v>
      </c>
      <c r="D3" s="789">
        <v>40968</v>
      </c>
      <c r="E3" s="789">
        <v>40999</v>
      </c>
      <c r="F3" s="789">
        <v>41029</v>
      </c>
      <c r="G3" s="789">
        <v>41060</v>
      </c>
      <c r="H3" s="789">
        <v>41090</v>
      </c>
      <c r="I3" s="789">
        <v>41121</v>
      </c>
      <c r="J3" s="789">
        <v>41152</v>
      </c>
      <c r="K3" s="789">
        <v>41182</v>
      </c>
      <c r="L3" s="789">
        <v>41213</v>
      </c>
      <c r="M3" s="789">
        <v>41243</v>
      </c>
      <c r="N3" s="789">
        <v>41274</v>
      </c>
      <c r="O3" s="789">
        <v>41305</v>
      </c>
      <c r="P3" s="789">
        <v>41333</v>
      </c>
      <c r="Q3" s="789">
        <v>41364</v>
      </c>
      <c r="R3" s="789">
        <v>41394</v>
      </c>
      <c r="S3" s="789">
        <v>41425</v>
      </c>
      <c r="T3" s="789">
        <v>41455</v>
      </c>
      <c r="U3" s="789">
        <v>41486</v>
      </c>
      <c r="V3" s="789">
        <v>41517</v>
      </c>
      <c r="W3" s="789">
        <v>41547</v>
      </c>
      <c r="X3" s="789">
        <v>41578</v>
      </c>
      <c r="Y3" s="789">
        <v>41608</v>
      </c>
      <c r="Z3" s="789">
        <v>41639</v>
      </c>
      <c r="AA3" s="789">
        <v>41670</v>
      </c>
      <c r="AB3" s="789">
        <v>41698</v>
      </c>
      <c r="AC3" s="789">
        <v>41729</v>
      </c>
      <c r="AD3" s="789">
        <v>41759</v>
      </c>
      <c r="AE3" s="789">
        <v>41790</v>
      </c>
      <c r="AF3" s="789">
        <v>41820</v>
      </c>
      <c r="AG3" s="789">
        <v>41851</v>
      </c>
      <c r="AH3" s="789">
        <v>41882</v>
      </c>
      <c r="AI3" s="789">
        <v>41912</v>
      </c>
      <c r="AJ3" s="789">
        <v>41943</v>
      </c>
      <c r="AK3" s="789">
        <v>41973</v>
      </c>
      <c r="AL3" s="789">
        <v>42004</v>
      </c>
      <c r="AM3" s="789">
        <v>42035</v>
      </c>
      <c r="AN3" s="789">
        <v>42063</v>
      </c>
      <c r="AO3" s="789">
        <v>42094</v>
      </c>
      <c r="AP3" s="789">
        <v>42124</v>
      </c>
      <c r="AQ3" s="789">
        <v>42155</v>
      </c>
      <c r="AR3" s="789">
        <v>42185</v>
      </c>
      <c r="AS3" s="789">
        <v>42216</v>
      </c>
      <c r="AT3" s="789">
        <v>42247</v>
      </c>
      <c r="AU3" s="789">
        <v>42277</v>
      </c>
      <c r="AV3" s="789">
        <v>42308</v>
      </c>
      <c r="AW3" s="789">
        <v>42338</v>
      </c>
      <c r="AX3" s="789">
        <v>42369</v>
      </c>
      <c r="AY3" s="789">
        <v>42400</v>
      </c>
      <c r="AZ3" s="789">
        <v>42429</v>
      </c>
      <c r="BA3" s="789">
        <v>42460</v>
      </c>
      <c r="BB3" s="789">
        <v>42490</v>
      </c>
      <c r="BC3" s="789">
        <v>42521</v>
      </c>
      <c r="BD3" s="789">
        <v>42551</v>
      </c>
      <c r="BE3" s="789">
        <v>42582</v>
      </c>
      <c r="BF3" s="789">
        <v>42613</v>
      </c>
      <c r="BG3" s="789">
        <v>42643</v>
      </c>
      <c r="BH3" s="789">
        <v>42674</v>
      </c>
      <c r="BI3" s="789">
        <v>42704</v>
      </c>
      <c r="BJ3" s="789">
        <v>42735</v>
      </c>
      <c r="BK3" s="789">
        <v>42766</v>
      </c>
      <c r="BL3" s="789">
        <v>42794</v>
      </c>
      <c r="BM3" s="789">
        <v>42825</v>
      </c>
      <c r="BN3" s="789">
        <v>42855</v>
      </c>
      <c r="BO3" s="789">
        <v>42886</v>
      </c>
      <c r="BP3" s="789">
        <v>42916</v>
      </c>
      <c r="BQ3" s="789">
        <v>42947</v>
      </c>
      <c r="BR3" s="789">
        <v>42978</v>
      </c>
      <c r="BS3" s="789">
        <v>43008</v>
      </c>
      <c r="BT3" s="789">
        <v>43039</v>
      </c>
      <c r="BU3" s="789">
        <v>43069</v>
      </c>
      <c r="BV3" s="790">
        <v>43100</v>
      </c>
    </row>
    <row r="4" spans="2:74" x14ac:dyDescent="0.35">
      <c r="B4" s="791" t="s">
        <v>932</v>
      </c>
      <c r="C4" s="4" t="str">
        <f>IF(C3&lt;=Headcount!$U$3,"Actual","Forecast")</f>
        <v>Actual</v>
      </c>
      <c r="D4" s="4" t="str">
        <f>IF(D3&lt;=Headcount!$U$3,"Actual","Forecast")</f>
        <v>Actual</v>
      </c>
      <c r="E4" s="4" t="str">
        <f>IF(E3&lt;=Headcount!$U$3,"Actual","Forecast")</f>
        <v>Actual</v>
      </c>
      <c r="F4" s="4" t="str">
        <f>IF(F3&lt;=Headcount!$U$3,"Actual","Forecast")</f>
        <v>Actual</v>
      </c>
      <c r="G4" s="4" t="str">
        <f>IF(G3&lt;=Headcount!$U$3,"Actual","Forecast")</f>
        <v>Actual</v>
      </c>
      <c r="H4" s="4" t="str">
        <f>IF(H3&lt;=Headcount!$U$3,"Actual","Forecast")</f>
        <v>Actual</v>
      </c>
      <c r="I4" s="4" t="str">
        <f>IF(I3&lt;=Headcount!$U$3,"Actual","Forecast")</f>
        <v>Actual</v>
      </c>
      <c r="J4" s="4" t="str">
        <f>IF(J3&lt;=Headcount!$U$3,"Actual","Forecast")</f>
        <v>Actual</v>
      </c>
      <c r="K4" s="4" t="str">
        <f>IF(K3&lt;=Headcount!$U$3,"Actual","Forecast")</f>
        <v>Actual</v>
      </c>
      <c r="L4" s="4" t="str">
        <f>IF(L3&lt;=Headcount!$U$3,"Actual","Forecast")</f>
        <v>Actual</v>
      </c>
      <c r="M4" s="4" t="str">
        <f>IF(M3&lt;=Headcount!$U$3,"Actual","Forecast")</f>
        <v>Actual</v>
      </c>
      <c r="N4" s="4" t="str">
        <f>IF(N3&lt;=Headcount!$U$3,"Actual","Forecast")</f>
        <v>Actual</v>
      </c>
      <c r="O4" s="4" t="str">
        <f>IF(O3&lt;=Headcount!$U$3,"Actual","Forecast")</f>
        <v>Actual</v>
      </c>
      <c r="P4" s="4" t="str">
        <f>IF(P3&lt;=Headcount!$U$3,"Actual","Forecast")</f>
        <v>Actual</v>
      </c>
      <c r="Q4" s="4" t="str">
        <f>IF(Q3&lt;=Headcount!$U$3,"Actual","Forecast")</f>
        <v>Actual</v>
      </c>
      <c r="R4" s="4" t="str">
        <f>IF(R3&lt;=Headcount!$U$3,"Actual","Forecast")</f>
        <v>Actual</v>
      </c>
      <c r="S4" s="4" t="str">
        <f>IF(S3&lt;=Headcount!$U$3,"Actual","Forecast")</f>
        <v>Actual</v>
      </c>
      <c r="T4" s="4" t="str">
        <f>IF(T3&lt;=Headcount!$U$3,"Actual","Forecast")</f>
        <v>Actual</v>
      </c>
      <c r="U4" s="4" t="str">
        <f>IF(U3&lt;=Headcount!$U$3,"Actual","Forecast")</f>
        <v>Actual</v>
      </c>
      <c r="V4" s="4" t="str">
        <f>IF(V3&lt;=Headcount!$U$3,"Actual","Forecast")</f>
        <v>Actual</v>
      </c>
      <c r="W4" s="4" t="str">
        <f>IF(W3&lt;=Headcount!$U$3,"Actual","Forecast")</f>
        <v>Actual</v>
      </c>
      <c r="X4" s="4" t="str">
        <f>IF(X3&lt;=Headcount!$U$3,"Actual","Forecast")</f>
        <v>Actual</v>
      </c>
      <c r="Y4" s="4" t="str">
        <f>IF(Y3&lt;=Headcount!$U$3,"Actual","Forecast")</f>
        <v>Actual</v>
      </c>
      <c r="Z4" s="4" t="str">
        <f>IF(Z3&lt;=Headcount!$U$3,"Actual","Forecast")</f>
        <v>Actual</v>
      </c>
      <c r="AA4" s="792" t="s">
        <v>7</v>
      </c>
      <c r="AB4" s="792" t="s">
        <v>7</v>
      </c>
      <c r="AC4" s="792" t="s">
        <v>7</v>
      </c>
      <c r="AD4" s="792" t="s">
        <v>7</v>
      </c>
      <c r="AE4" s="792" t="s">
        <v>7</v>
      </c>
      <c r="AF4" s="792" t="s">
        <v>7</v>
      </c>
      <c r="AG4" s="792" t="s">
        <v>7</v>
      </c>
      <c r="AH4" s="792" t="s">
        <v>7</v>
      </c>
      <c r="AI4" s="792" t="s">
        <v>7</v>
      </c>
      <c r="AJ4" s="792" t="s">
        <v>7</v>
      </c>
      <c r="AK4" s="792" t="s">
        <v>7</v>
      </c>
      <c r="AL4" s="792" t="s">
        <v>7</v>
      </c>
      <c r="AM4" s="792" t="s">
        <v>7</v>
      </c>
      <c r="AN4" s="792" t="s">
        <v>7</v>
      </c>
      <c r="AO4" s="792" t="s">
        <v>7</v>
      </c>
      <c r="AP4" s="792" t="s">
        <v>7</v>
      </c>
      <c r="AQ4" s="792" t="s">
        <v>7</v>
      </c>
      <c r="AR4" s="792" t="s">
        <v>7</v>
      </c>
      <c r="AS4" s="792" t="s">
        <v>7</v>
      </c>
      <c r="AT4" s="792" t="s">
        <v>7</v>
      </c>
      <c r="AU4" s="792" t="s">
        <v>7</v>
      </c>
      <c r="AV4" s="792" t="s">
        <v>7</v>
      </c>
      <c r="AW4" s="792" t="s">
        <v>7</v>
      </c>
      <c r="AX4" s="792" t="s">
        <v>7</v>
      </c>
      <c r="AY4" s="792" t="s">
        <v>7</v>
      </c>
      <c r="AZ4" s="792" t="s">
        <v>7</v>
      </c>
      <c r="BA4" s="792" t="s">
        <v>7</v>
      </c>
      <c r="BB4" s="792" t="s">
        <v>7</v>
      </c>
      <c r="BC4" s="792" t="s">
        <v>7</v>
      </c>
      <c r="BD4" s="792" t="s">
        <v>7</v>
      </c>
      <c r="BE4" s="792" t="s">
        <v>7</v>
      </c>
      <c r="BF4" s="792" t="s">
        <v>7</v>
      </c>
      <c r="BG4" s="792" t="s">
        <v>7</v>
      </c>
      <c r="BH4" s="792" t="s">
        <v>7</v>
      </c>
      <c r="BI4" s="792" t="s">
        <v>7</v>
      </c>
      <c r="BJ4" s="792" t="s">
        <v>7</v>
      </c>
      <c r="BK4" s="792" t="s">
        <v>7</v>
      </c>
      <c r="BL4" s="792" t="s">
        <v>7</v>
      </c>
      <c r="BM4" s="792" t="s">
        <v>7</v>
      </c>
      <c r="BN4" s="792" t="s">
        <v>7</v>
      </c>
      <c r="BO4" s="792" t="s">
        <v>7</v>
      </c>
      <c r="BP4" s="792" t="s">
        <v>7</v>
      </c>
      <c r="BQ4" s="792" t="s">
        <v>7</v>
      </c>
      <c r="BR4" s="792" t="s">
        <v>7</v>
      </c>
      <c r="BS4" s="792" t="s">
        <v>7</v>
      </c>
      <c r="BT4" s="792" t="s">
        <v>7</v>
      </c>
      <c r="BU4" s="792" t="s">
        <v>7</v>
      </c>
      <c r="BV4" s="793" t="s">
        <v>7</v>
      </c>
    </row>
    <row r="5" spans="2:74" x14ac:dyDescent="0.35">
      <c r="B5" s="794" t="s">
        <v>68</v>
      </c>
      <c r="C5" s="795">
        <f t="shared" ref="C5:N5" si="0">MONTH(C3)</f>
        <v>1</v>
      </c>
      <c r="D5" s="795">
        <f t="shared" si="0"/>
        <v>2</v>
      </c>
      <c r="E5" s="795">
        <f t="shared" si="0"/>
        <v>3</v>
      </c>
      <c r="F5" s="795">
        <f t="shared" si="0"/>
        <v>4</v>
      </c>
      <c r="G5" s="795">
        <f t="shared" si="0"/>
        <v>5</v>
      </c>
      <c r="H5" s="795">
        <f t="shared" si="0"/>
        <v>6</v>
      </c>
      <c r="I5" s="795">
        <f t="shared" si="0"/>
        <v>7</v>
      </c>
      <c r="J5" s="795">
        <f t="shared" si="0"/>
        <v>8</v>
      </c>
      <c r="K5" s="795">
        <f t="shared" si="0"/>
        <v>9</v>
      </c>
      <c r="L5" s="795">
        <f t="shared" si="0"/>
        <v>10</v>
      </c>
      <c r="M5" s="795">
        <f t="shared" si="0"/>
        <v>11</v>
      </c>
      <c r="N5" s="795">
        <f t="shared" si="0"/>
        <v>12</v>
      </c>
      <c r="O5" s="795">
        <f>MONTH(O3)</f>
        <v>1</v>
      </c>
      <c r="P5" s="795">
        <f t="shared" ref="P5:BV5" si="1">MONTH(P3)</f>
        <v>2</v>
      </c>
      <c r="Q5" s="795">
        <f t="shared" si="1"/>
        <v>3</v>
      </c>
      <c r="R5" s="795">
        <f t="shared" si="1"/>
        <v>4</v>
      </c>
      <c r="S5" s="795">
        <f t="shared" si="1"/>
        <v>5</v>
      </c>
      <c r="T5" s="795">
        <f t="shared" si="1"/>
        <v>6</v>
      </c>
      <c r="U5" s="795">
        <f t="shared" si="1"/>
        <v>7</v>
      </c>
      <c r="V5" s="795">
        <f t="shared" si="1"/>
        <v>8</v>
      </c>
      <c r="W5" s="795">
        <f t="shared" si="1"/>
        <v>9</v>
      </c>
      <c r="X5" s="795">
        <f t="shared" si="1"/>
        <v>10</v>
      </c>
      <c r="Y5" s="795">
        <f t="shared" si="1"/>
        <v>11</v>
      </c>
      <c r="Z5" s="795">
        <f t="shared" si="1"/>
        <v>12</v>
      </c>
      <c r="AA5" s="795">
        <f t="shared" si="1"/>
        <v>1</v>
      </c>
      <c r="AB5" s="795">
        <f t="shared" si="1"/>
        <v>2</v>
      </c>
      <c r="AC5" s="795">
        <f t="shared" si="1"/>
        <v>3</v>
      </c>
      <c r="AD5" s="795">
        <f t="shared" si="1"/>
        <v>4</v>
      </c>
      <c r="AE5" s="795">
        <f t="shared" si="1"/>
        <v>5</v>
      </c>
      <c r="AF5" s="795">
        <f t="shared" si="1"/>
        <v>6</v>
      </c>
      <c r="AG5" s="795">
        <f t="shared" si="1"/>
        <v>7</v>
      </c>
      <c r="AH5" s="795">
        <f t="shared" si="1"/>
        <v>8</v>
      </c>
      <c r="AI5" s="795">
        <f t="shared" si="1"/>
        <v>9</v>
      </c>
      <c r="AJ5" s="795">
        <f t="shared" si="1"/>
        <v>10</v>
      </c>
      <c r="AK5" s="795">
        <f t="shared" si="1"/>
        <v>11</v>
      </c>
      <c r="AL5" s="795">
        <f t="shared" si="1"/>
        <v>12</v>
      </c>
      <c r="AM5" s="795">
        <f t="shared" si="1"/>
        <v>1</v>
      </c>
      <c r="AN5" s="795">
        <f t="shared" si="1"/>
        <v>2</v>
      </c>
      <c r="AO5" s="795">
        <f t="shared" si="1"/>
        <v>3</v>
      </c>
      <c r="AP5" s="795">
        <f t="shared" si="1"/>
        <v>4</v>
      </c>
      <c r="AQ5" s="795">
        <f t="shared" si="1"/>
        <v>5</v>
      </c>
      <c r="AR5" s="795">
        <f t="shared" si="1"/>
        <v>6</v>
      </c>
      <c r="AS5" s="795">
        <f t="shared" si="1"/>
        <v>7</v>
      </c>
      <c r="AT5" s="795">
        <f t="shared" si="1"/>
        <v>8</v>
      </c>
      <c r="AU5" s="795">
        <f t="shared" si="1"/>
        <v>9</v>
      </c>
      <c r="AV5" s="795">
        <f t="shared" si="1"/>
        <v>10</v>
      </c>
      <c r="AW5" s="795">
        <f t="shared" si="1"/>
        <v>11</v>
      </c>
      <c r="AX5" s="795">
        <f t="shared" si="1"/>
        <v>12</v>
      </c>
      <c r="AY5" s="795">
        <f t="shared" si="1"/>
        <v>1</v>
      </c>
      <c r="AZ5" s="795">
        <f t="shared" si="1"/>
        <v>2</v>
      </c>
      <c r="BA5" s="795">
        <f t="shared" si="1"/>
        <v>3</v>
      </c>
      <c r="BB5" s="795">
        <f t="shared" si="1"/>
        <v>4</v>
      </c>
      <c r="BC5" s="795">
        <f t="shared" si="1"/>
        <v>5</v>
      </c>
      <c r="BD5" s="795">
        <f t="shared" si="1"/>
        <v>6</v>
      </c>
      <c r="BE5" s="795">
        <f t="shared" si="1"/>
        <v>7</v>
      </c>
      <c r="BF5" s="795">
        <f t="shared" si="1"/>
        <v>8</v>
      </c>
      <c r="BG5" s="795">
        <f t="shared" si="1"/>
        <v>9</v>
      </c>
      <c r="BH5" s="795">
        <f t="shared" si="1"/>
        <v>10</v>
      </c>
      <c r="BI5" s="795">
        <f t="shared" si="1"/>
        <v>11</v>
      </c>
      <c r="BJ5" s="795">
        <f t="shared" si="1"/>
        <v>12</v>
      </c>
      <c r="BK5" s="795">
        <f t="shared" si="1"/>
        <v>1</v>
      </c>
      <c r="BL5" s="795">
        <f t="shared" si="1"/>
        <v>2</v>
      </c>
      <c r="BM5" s="795">
        <f t="shared" si="1"/>
        <v>3</v>
      </c>
      <c r="BN5" s="795">
        <f t="shared" si="1"/>
        <v>4</v>
      </c>
      <c r="BO5" s="795">
        <f t="shared" si="1"/>
        <v>5</v>
      </c>
      <c r="BP5" s="795">
        <f t="shared" si="1"/>
        <v>6</v>
      </c>
      <c r="BQ5" s="795">
        <f t="shared" si="1"/>
        <v>7</v>
      </c>
      <c r="BR5" s="795">
        <f t="shared" si="1"/>
        <v>8</v>
      </c>
      <c r="BS5" s="795">
        <f t="shared" si="1"/>
        <v>9</v>
      </c>
      <c r="BT5" s="795">
        <f t="shared" si="1"/>
        <v>10</v>
      </c>
      <c r="BU5" s="795">
        <f t="shared" si="1"/>
        <v>11</v>
      </c>
      <c r="BV5" s="796">
        <f t="shared" si="1"/>
        <v>12</v>
      </c>
    </row>
    <row r="6" spans="2:74" x14ac:dyDescent="0.35">
      <c r="B6" s="797"/>
      <c r="C6" s="798"/>
      <c r="D6" s="798"/>
      <c r="E6" s="798"/>
      <c r="F6" s="798"/>
      <c r="G6" s="798"/>
      <c r="H6" s="798"/>
      <c r="I6" s="798"/>
      <c r="J6" s="798"/>
      <c r="K6" s="798"/>
      <c r="L6" s="798"/>
      <c r="M6" s="798"/>
      <c r="N6" s="798"/>
      <c r="O6" s="798"/>
      <c r="P6" s="798"/>
      <c r="Q6" s="798"/>
      <c r="R6" s="798"/>
      <c r="S6" s="798"/>
      <c r="T6" s="798"/>
      <c r="U6" s="798"/>
      <c r="V6" s="798"/>
      <c r="W6" s="798"/>
      <c r="X6" s="798"/>
      <c r="Y6" s="798"/>
      <c r="Z6" s="798"/>
      <c r="AA6" s="798"/>
      <c r="AB6" s="798"/>
      <c r="AC6" s="798"/>
      <c r="AD6" s="798"/>
      <c r="AE6" s="798"/>
      <c r="AF6" s="798"/>
      <c r="AG6" s="798"/>
      <c r="AH6" s="798"/>
      <c r="AI6" s="798"/>
      <c r="AJ6" s="798"/>
      <c r="AK6" s="798"/>
      <c r="AL6" s="798"/>
      <c r="AM6" s="798"/>
      <c r="AN6" s="798"/>
      <c r="AO6" s="798"/>
      <c r="AP6" s="798"/>
      <c r="AQ6" s="798"/>
      <c r="AR6" s="798"/>
      <c r="AS6" s="798"/>
      <c r="AT6" s="798"/>
      <c r="AU6" s="798"/>
      <c r="AV6" s="798"/>
      <c r="AW6" s="798"/>
      <c r="AX6" s="798"/>
      <c r="AY6" s="798"/>
      <c r="AZ6" s="798"/>
      <c r="BA6" s="798"/>
      <c r="BB6" s="798"/>
      <c r="BC6" s="798"/>
      <c r="BD6" s="798"/>
      <c r="BE6" s="798"/>
      <c r="BF6" s="798"/>
      <c r="BG6" s="798"/>
      <c r="BH6" s="798"/>
      <c r="BI6" s="798"/>
      <c r="BJ6" s="798"/>
      <c r="BK6" s="798"/>
      <c r="BL6" s="798"/>
      <c r="BM6" s="798"/>
      <c r="BN6" s="798"/>
      <c r="BO6" s="798"/>
      <c r="BP6" s="798"/>
      <c r="BQ6" s="798"/>
      <c r="BR6" s="798"/>
      <c r="BS6" s="798"/>
      <c r="BT6" s="798"/>
      <c r="BU6" s="798"/>
      <c r="BV6" s="799"/>
    </row>
    <row r="7" spans="2:74" x14ac:dyDescent="0.35">
      <c r="B7" s="794" t="s">
        <v>14</v>
      </c>
      <c r="C7" s="798">
        <f>SUMIFS(Headcount!$B$6:$B$89,Headcount!$F$6:$F$89,"Marketing",Headcount!$H$6:$H$89,"&gt;"&amp;C3,Headcount!$G$6:$G$89,"&lt;"&amp;C3)</f>
        <v>3</v>
      </c>
      <c r="D7" s="799">
        <f>IF(D4="forecast",IF(C4="actual",(SUMIFS(Headcount!$B$6:$B$89,Headcount!$F$6:$F$89,"Marketing",Headcount!$H$6:$H$89,"&gt;"&amp;D3,Headcount!$G$6:$G$89,"&lt;"&amp;D3)+D8-D9),(C7+D8-D9)),SUMIFS(Headcount!$B$6:$B$89,Headcount!$F$6:$F$89,"Marketing",Headcount!$H$6:$H$89,"&gt;"&amp;D3,Headcount!$G$6:$G$89,"&lt;"&amp;C3))</f>
        <v>3</v>
      </c>
      <c r="E7" s="798">
        <f>IF(E4="forecast",IF(D4="actual",(SUMIFS(Headcount!$B$6:$B$89,Headcount!$F$6:$F$89,"Marketing",Headcount!$H$6:$H$89,"&gt;"&amp;E3,Headcount!$G$6:$G$89,"&lt;"&amp;E3)+E8-E9),(D7+E8-E9)),SUMIFS(Headcount!$B$6:$B$89,Headcount!$F$6:$F$89,"Marketing",Headcount!$H$6:$H$89,"&gt;"&amp;E3,Headcount!$G$6:$G$89,"&lt;"&amp;D3))</f>
        <v>3</v>
      </c>
      <c r="F7" s="798">
        <f>IF(F4="forecast",IF(E4="actual",(SUMIFS(Headcount!$B$6:$B$89,Headcount!$F$6:$F$89,"Marketing",Headcount!$H$6:$H$89,"&gt;"&amp;F3,Headcount!$G$6:$G$89,"&lt;"&amp;F3)+F8-F9),(E7+F8-F9)),SUMIFS(Headcount!$B$6:$B$89,Headcount!$F$6:$F$89,"Marketing",Headcount!$H$6:$H$89,"&gt;"&amp;F3,Headcount!$G$6:$G$89,"&lt;"&amp;E3))</f>
        <v>3</v>
      </c>
      <c r="G7" s="798">
        <f>IF(G4="forecast",IF(F4="actual",(SUMIFS(Headcount!$B$6:$B$89,Headcount!$F$6:$F$89,"Marketing",Headcount!$H$6:$H$89,"&gt;"&amp;G3,Headcount!$G$6:$G$89,"&lt;"&amp;G3)+G8-G9),(F7+G8-G9)),SUMIFS(Headcount!$B$6:$B$89,Headcount!$F$6:$F$89,"Marketing",Headcount!$H$6:$H$89,"&gt;"&amp;G3,Headcount!$G$6:$G$89,"&lt;"&amp;F3))</f>
        <v>3</v>
      </c>
      <c r="H7" s="798">
        <f>IF(H4="forecast",IF(G4="actual",(SUMIFS(Headcount!$B$6:$B$89,Headcount!$F$6:$F$89,"Marketing",Headcount!$H$6:$H$89,"&gt;"&amp;H3,Headcount!$G$6:$G$89,"&lt;"&amp;H3)+H8-H9),(G7+H8-H9)),SUMIFS(Headcount!$B$6:$B$89,Headcount!$F$6:$F$89,"Marketing",Headcount!$H$6:$H$89,"&gt;"&amp;H3,Headcount!$G$6:$G$89,"&lt;"&amp;G3))</f>
        <v>3</v>
      </c>
      <c r="I7" s="798">
        <f>IF(I4="forecast",IF(H4="actual",(SUMIFS(Headcount!$B$6:$B$89,Headcount!$F$6:$F$89,"Marketing",Headcount!$H$6:$H$89,"&gt;"&amp;I3,Headcount!$G$6:$G$89,"&lt;"&amp;I3)+I8-I9),(H7+I8-I9)),SUMIFS(Headcount!$B$6:$B$89,Headcount!$F$6:$F$89,"Marketing",Headcount!$H$6:$H$89,"&gt;"&amp;I3,Headcount!$G$6:$G$89,"&lt;"&amp;H3))</f>
        <v>3</v>
      </c>
      <c r="J7" s="798">
        <f>IF(J4="forecast",IF(I4="actual",(SUMIFS(Headcount!$B$6:$B$89,Headcount!$F$6:$F$89,"Marketing",Headcount!$H$6:$H$89,"&gt;"&amp;J3,Headcount!$G$6:$G$89,"&lt;"&amp;J3)+J8-J9),(I7+J8-J9)),SUMIFS(Headcount!$B$6:$B$89,Headcount!$F$6:$F$89,"Marketing",Headcount!$H$6:$H$89,"&gt;"&amp;J3,Headcount!$G$6:$G$89,"&lt;"&amp;I3))</f>
        <v>3</v>
      </c>
      <c r="K7" s="798">
        <f>IF(K4="forecast",IF(J4="actual",(SUMIFS(Headcount!$B$6:$B$89,Headcount!$F$6:$F$89,"Marketing",Headcount!$H$6:$H$89,"&gt;"&amp;K3,Headcount!$G$6:$G$89,"&lt;"&amp;K3)+K8-K9),(J7+K8-K9)),SUMIFS(Headcount!$B$6:$B$89,Headcount!$F$6:$F$89,"Marketing",Headcount!$H$6:$H$89,"&gt;"&amp;K3,Headcount!$G$6:$G$89,"&lt;"&amp;J3))</f>
        <v>3</v>
      </c>
      <c r="L7" s="798">
        <f>IF(L4="forecast",IF(K4="actual",(SUMIFS(Headcount!$B$6:$B$89,Headcount!$F$6:$F$89,"Marketing",Headcount!$H$6:$H$89,"&gt;"&amp;L3,Headcount!$G$6:$G$89,"&lt;"&amp;L3)+L8-L9),(K7+L8-L9)),SUMIFS(Headcount!$B$6:$B$89,Headcount!$F$6:$F$89,"Marketing",Headcount!$H$6:$H$89,"&gt;"&amp;L3,Headcount!$G$6:$G$89,"&lt;"&amp;K3))</f>
        <v>3</v>
      </c>
      <c r="M7" s="798">
        <f>IF(M4="forecast",IF(L4="actual",(SUMIFS(Headcount!$B$6:$B$89,Headcount!$F$6:$F$89,"Marketing",Headcount!$H$6:$H$89,"&gt;"&amp;M3,Headcount!$G$6:$G$89,"&lt;"&amp;M3)+M8-M9),(L7+M8-M9)),SUMIFS(Headcount!$B$6:$B$89,Headcount!$F$6:$F$89,"Marketing",Headcount!$H$6:$H$89,"&gt;"&amp;M3,Headcount!$G$6:$G$89,"&lt;"&amp;L3))</f>
        <v>3</v>
      </c>
      <c r="N7" s="798">
        <f>IF(N4="forecast",IF(M4="actual",(SUMIFS(Headcount!$B$6:$B$89,Headcount!$F$6:$F$89,"Marketing",Headcount!$H$6:$H$89,"&gt;"&amp;N3,Headcount!$G$6:$G$89,"&lt;"&amp;N3)+N8-N9),(M7+N8-N9)),SUMIFS(Headcount!$B$6:$B$89,Headcount!$F$6:$F$89,"Marketing",Headcount!$H$6:$H$89,"&gt;"&amp;N3,Headcount!$G$6:$G$89,"&lt;"&amp;M3))</f>
        <v>4</v>
      </c>
      <c r="O7" s="798">
        <f>IF(O4="forecast",IF(N4="actual",(SUMIFS(Headcount!$B$6:$B$89,Headcount!$F$6:$F$89,"Marketing",Headcount!$H$6:$H$89,"&gt;"&amp;O3,Headcount!$G$6:$G$89,"&lt;"&amp;O3)+O8-O9),(N7+O8-O9)),SUMIFS(Headcount!$B$6:$B$89,Headcount!$F$6:$F$89,"Marketing",Headcount!$H$6:$H$89,"&gt;"&amp;O3,Headcount!$G$6:$G$89,"&lt;"&amp;N3))</f>
        <v>4</v>
      </c>
      <c r="P7" s="798">
        <f>IF(P4="forecast",IF(O4="actual",(SUMIFS(Headcount!$B$6:$B$89,Headcount!$F$6:$F$89,"Marketing",Headcount!$H$6:$H$89,"&gt;"&amp;P3,Headcount!$G$6:$G$89,"&lt;"&amp;P3)+P8-P9),(O7+P8-P9)),SUMIFS(Headcount!$B$6:$B$89,Headcount!$F$6:$F$89,"Marketing",Headcount!$H$6:$H$89,"&gt;"&amp;P3,Headcount!$G$6:$G$89,"&lt;"&amp;O3))</f>
        <v>4</v>
      </c>
      <c r="Q7" s="798">
        <f>IF(Q4="forecast",IF(P4="actual",(SUMIFS(Headcount!$B$6:$B$89,Headcount!$F$6:$F$89,"Marketing",Headcount!$H$6:$H$89,"&gt;"&amp;Q3,Headcount!$G$6:$G$89,"&lt;"&amp;Q3)+Q8-Q9),(P7+Q8-Q9)),SUMIFS(Headcount!$B$6:$B$89,Headcount!$F$6:$F$89,"Marketing",Headcount!$H$6:$H$89,"&gt;"&amp;Q3,Headcount!$G$6:$G$89,"&lt;"&amp;P3))</f>
        <v>4</v>
      </c>
      <c r="R7" s="798">
        <f>IF(R4="forecast",IF(Q4="actual",(SUMIFS(Headcount!$B$6:$B$89,Headcount!$F$6:$F$89,"Marketing",Headcount!$H$6:$H$89,"&gt;"&amp;R3,Headcount!$G$6:$G$89,"&lt;"&amp;R3)+R8-R9),(Q7+R8-R9)),SUMIFS(Headcount!$B$6:$B$89,Headcount!$F$6:$F$89,"Marketing",Headcount!$H$6:$H$89,"&gt;"&amp;R3,Headcount!$G$6:$G$89,"&lt;"&amp;Q3))</f>
        <v>3</v>
      </c>
      <c r="S7" s="798">
        <f>IF(S4="forecast",IF(R4="actual",(SUMIFS(Headcount!$B$6:$B$89,Headcount!$F$6:$F$89,"Marketing",Headcount!$H$6:$H$89,"&gt;"&amp;S3,Headcount!$G$6:$G$89,"&lt;"&amp;S3)+S8-S9),(R7+S8-S9)),SUMIFS(Headcount!$B$6:$B$89,Headcount!$F$6:$F$89,"Marketing",Headcount!$H$6:$H$89,"&gt;"&amp;S3,Headcount!$G$6:$G$89,"&lt;"&amp;R3))</f>
        <v>3</v>
      </c>
      <c r="T7" s="798">
        <f>IF(T4="forecast",IF(S4="actual",(SUMIFS(Headcount!$B$6:$B$89,Headcount!$F$6:$F$89,"Marketing",Headcount!$H$6:$H$89,"&gt;"&amp;T3,Headcount!$G$6:$G$89,"&lt;"&amp;T3)+T8-T9),(S7+T8-T9)),SUMIFS(Headcount!$B$6:$B$89,Headcount!$F$6:$F$89,"Marketing",Headcount!$H$6:$H$89,"&gt;"&amp;T3,Headcount!$G$6:$G$89,"&lt;"&amp;S3))</f>
        <v>3</v>
      </c>
      <c r="U7" s="798">
        <f>IF(U4="forecast",IF(T4="actual",(SUMIFS(Headcount!$B$6:$B$89,Headcount!$F$6:$F$89,"Marketing",Headcount!$H$6:$H$89,"&gt;"&amp;U3,Headcount!$G$6:$G$89,"&lt;"&amp;U3)+U8-U9),(T7+U8-U9)),SUMIFS(Headcount!$B$6:$B$89,Headcount!$F$6:$F$89,"Marketing",Headcount!$H$6:$H$89,"&gt;"&amp;U3,Headcount!$G$6:$G$89,"&lt;"&amp;T3))</f>
        <v>3</v>
      </c>
      <c r="V7" s="798">
        <f>IF(V4="forecast",IF(U4="actual",(SUMIFS(Headcount!$B$6:$B$89,Headcount!$F$6:$F$89,"Marketing",Headcount!$H$6:$H$89,"&gt;"&amp;V3,Headcount!$G$6:$G$89,"&lt;"&amp;V3)+V8-V9),(U7+V8-V9)),SUMIFS(Headcount!$B$6:$B$89,Headcount!$F$6:$F$89,"Marketing",Headcount!$H$6:$H$89,"&gt;"&amp;V3,Headcount!$G$6:$G$89,"&lt;"&amp;U3))</f>
        <v>3</v>
      </c>
      <c r="W7" s="798">
        <f>IF(W4="forecast",IF(V4="actual",(SUMIFS(Headcount!$B$6:$B$89,Headcount!$F$6:$F$89,"Marketing",Headcount!$H$6:$H$89,"&gt;"&amp;W3,Headcount!$G$6:$G$89,"&lt;"&amp;W3)+W8-W9),(V7+W8-W9)),SUMIFS(Headcount!$B$6:$B$89,Headcount!$F$6:$F$89,"Marketing",Headcount!$H$6:$H$89,"&gt;"&amp;W3,Headcount!$G$6:$G$89,"&lt;"&amp;V3))</f>
        <v>2</v>
      </c>
      <c r="X7" s="798">
        <f>IF(X4="forecast",IF(W4="actual",(SUMIFS(Headcount!$B$6:$B$89,Headcount!$F$6:$F$89,"Marketing",Headcount!$H$6:$H$89,"&gt;"&amp;X3,Headcount!$G$6:$G$89,"&lt;"&amp;X3)+X8-X9),(W7+X8-X9)),SUMIFS(Headcount!$B$6:$B$89,Headcount!$F$6:$F$89,"Marketing",Headcount!$H$6:$H$89,"&gt;"&amp;X3,Headcount!$G$6:$G$89,"&lt;"&amp;W3))</f>
        <v>2</v>
      </c>
      <c r="Y7" s="798">
        <f>IF(Y4="forecast",IF(X4="actual",(SUMIFS(Headcount!$B$6:$B$89,Headcount!$F$6:$F$89,"Marketing",Headcount!$H$6:$H$89,"&gt;"&amp;Y3,Headcount!$G$6:$G$89,"&lt;"&amp;Y3)+Y8-Y9),(X7+Y8-Y9)),SUMIFS(Headcount!$B$6:$B$89,Headcount!$F$6:$F$89,"Marketing",Headcount!$H$6:$H$89,"&gt;"&amp;Y3,Headcount!$G$6:$G$89,"&lt;"&amp;X3))</f>
        <v>3</v>
      </c>
      <c r="Z7" s="798">
        <f>IF(Z4="forecast",IF(Y4="actual",(SUMIFS(Headcount!$B$6:$B$89,Headcount!$F$6:$F$89,"Marketing",Headcount!$H$6:$H$89,"&gt;"&amp;Z3,Headcount!$G$6:$G$89,"&lt;"&amp;Z3)+Z8-Z9),(Y7+Z8-Z9)),SUMIFS(Headcount!$B$6:$B$89,Headcount!$F$6:$F$89,"Marketing",Headcount!$H$6:$H$89,"&gt;"&amp;Z3,Headcount!$G$6:$G$89,"&lt;"&amp;Y3))</f>
        <v>3</v>
      </c>
      <c r="AA7" s="798">
        <f>IF(AA4="forecast",IF(Z4="actual",(SUMIFS(Headcount!$B$6:$B$89,Headcount!$F$6:$F$89,"Marketing",Headcount!$H$6:$H$89,"&gt;"&amp;AA3,Headcount!$G$6:$G$89,"&lt;"&amp;AA3)+AA8-AA9),(Z7+AA8-AA9)),SUMIFS(Headcount!$B$6:$B$89,Headcount!$F$6:$F$89,"Marketing",Headcount!$H$6:$H$89,"&gt;"&amp;AA3,Headcount!$G$6:$G$89,"&lt;"&amp;Z3))</f>
        <v>5</v>
      </c>
      <c r="AB7" s="798">
        <f>IF(AB4="forecast",IF(AA4="actual",(SUMIFS(Headcount!$B$6:$B$89,Headcount!$F$6:$F$89,"Marketing",Headcount!$H$6:$H$89,"&gt;"&amp;AB3,Headcount!$G$6:$G$89,"&lt;"&amp;AB3)+AB8-AB9),(AA7+AB8-AB9)),SUMIFS(Headcount!$B$6:$B$89,Headcount!$F$6:$F$89,"Marketing",Headcount!$H$6:$H$89,"&gt;"&amp;AB3,Headcount!$G$6:$G$89,"&lt;"&amp;AA3))</f>
        <v>5</v>
      </c>
      <c r="AC7" s="798">
        <f>IF(AC4="forecast",IF(AB4="actual",(SUMIFS(Headcount!$B$6:$B$89,Headcount!$F$6:$F$89,"Marketing",Headcount!$H$6:$H$89,"&gt;"&amp;AC3,Headcount!$G$6:$G$89,"&lt;"&amp;AC3)+AC8-AC9),(AB7+AC8-AC9)),SUMIFS(Headcount!$B$6:$B$89,Headcount!$F$6:$F$89,"Marketing",Headcount!$H$6:$H$89,"&gt;"&amp;AC3,Headcount!$G$6:$G$89,"&lt;"&amp;AB3))</f>
        <v>5</v>
      </c>
      <c r="AD7" s="798">
        <f>IF(AD4="forecast",IF(AC4="actual",(SUMIFS(Headcount!$B$6:$B$89,Headcount!$F$6:$F$89,"Marketing",Headcount!$H$6:$H$89,"&gt;"&amp;AD3,Headcount!$G$6:$G$89,"&lt;"&amp;AD3)+AD8-AD9),(AC7+AD8-AD9)),SUMIFS(Headcount!$B$6:$B$89,Headcount!$F$6:$F$89,"Marketing",Headcount!$H$6:$H$89,"&gt;"&amp;AD3,Headcount!$G$6:$G$89,"&lt;"&amp;AC3))</f>
        <v>6</v>
      </c>
      <c r="AE7" s="798">
        <f>IF(AE4="forecast",IF(AD4="actual",(SUMIFS(Headcount!$B$6:$B$89,Headcount!$F$6:$F$89,"Marketing",Headcount!$H$6:$H$89,"&gt;"&amp;AE3,Headcount!$G$6:$G$89,"&lt;"&amp;AE3)+AE8-AE9),(AD7+AE8-AE9)),SUMIFS(Headcount!$B$6:$B$89,Headcount!$F$6:$F$89,"Marketing",Headcount!$H$6:$H$89,"&gt;"&amp;AE3,Headcount!$G$6:$G$89,"&lt;"&amp;AD3))</f>
        <v>6</v>
      </c>
      <c r="AF7" s="798">
        <f>IF(AF4="forecast",IF(AE4="actual",(SUMIFS(Headcount!$B$6:$B$89,Headcount!$F$6:$F$89,"Marketing",Headcount!$H$6:$H$89,"&gt;"&amp;AF3,Headcount!$G$6:$G$89,"&lt;"&amp;AF3)+AF8-AF9),(AE7+AF8-AF9)),SUMIFS(Headcount!$B$6:$B$89,Headcount!$F$6:$F$89,"Marketing",Headcount!$H$6:$H$89,"&gt;"&amp;AF3,Headcount!$G$6:$G$89,"&lt;"&amp;AE3))</f>
        <v>7</v>
      </c>
      <c r="AG7" s="798">
        <f>IF(AG4="forecast",IF(AF4="actual",(SUMIFS(Headcount!$B$6:$B$89,Headcount!$F$6:$F$89,"Marketing",Headcount!$H$6:$H$89,"&gt;"&amp;AG3,Headcount!$G$6:$G$89,"&lt;"&amp;AG3)+AG8-AG9),(AF7+AG8-AG9)),SUMIFS(Headcount!$B$6:$B$89,Headcount!$F$6:$F$89,"Marketing",Headcount!$H$6:$H$89,"&gt;"&amp;AG3,Headcount!$G$6:$G$89,"&lt;"&amp;AF3))</f>
        <v>7</v>
      </c>
      <c r="AH7" s="798">
        <f>IF(AH4="forecast",IF(AG4="actual",(SUMIFS(Headcount!$B$6:$B$89,Headcount!$F$6:$F$89,"Marketing",Headcount!$H$6:$H$89,"&gt;"&amp;AH3,Headcount!$G$6:$G$89,"&lt;"&amp;AH3)+AH8-AH9),(AG7+AH8-AH9)),SUMIFS(Headcount!$B$6:$B$89,Headcount!$F$6:$F$89,"Marketing",Headcount!$H$6:$H$89,"&gt;"&amp;AH3,Headcount!$G$6:$G$89,"&lt;"&amp;AG3))</f>
        <v>7</v>
      </c>
      <c r="AI7" s="798">
        <f>IF(AI4="forecast",IF(AH4="actual",(SUMIFS(Headcount!$B$6:$B$89,Headcount!$F$6:$F$89,"Marketing",Headcount!$H$6:$H$89,"&gt;"&amp;AI3,Headcount!$G$6:$G$89,"&lt;"&amp;AI3)+AI8-AI9),(AH7+AI8-AI9)),SUMIFS(Headcount!$B$6:$B$89,Headcount!$F$6:$F$89,"Marketing",Headcount!$H$6:$H$89,"&gt;"&amp;AI3,Headcount!$G$6:$G$89,"&lt;"&amp;AH3))</f>
        <v>7</v>
      </c>
      <c r="AJ7" s="798">
        <f>IF(AJ4="forecast",IF(AI4="actual",(SUMIFS(Headcount!$B$6:$B$89,Headcount!$F$6:$F$89,"Marketing",Headcount!$H$6:$H$89,"&gt;"&amp;AJ3,Headcount!$G$6:$G$89,"&lt;"&amp;AJ3)+AJ8-AJ9),(AI7+AJ8-AJ9)),SUMIFS(Headcount!$B$6:$B$89,Headcount!$F$6:$F$89,"Marketing",Headcount!$H$6:$H$89,"&gt;"&amp;AJ3,Headcount!$G$6:$G$89,"&lt;"&amp;AI3))</f>
        <v>7</v>
      </c>
      <c r="AK7" s="798">
        <f>IF(AK4="forecast",IF(AJ4="actual",(SUMIFS(Headcount!$B$6:$B$89,Headcount!$F$6:$F$89,"Marketing",Headcount!$H$6:$H$89,"&gt;"&amp;AK3,Headcount!$G$6:$G$89,"&lt;"&amp;AK3)+AK8-AK9),(AJ7+AK8-AK9)),SUMIFS(Headcount!$B$6:$B$89,Headcount!$F$6:$F$89,"Marketing",Headcount!$H$6:$H$89,"&gt;"&amp;AK3,Headcount!$G$6:$G$89,"&lt;"&amp;AJ3))</f>
        <v>7</v>
      </c>
      <c r="AL7" s="798">
        <f>IF(AL4="forecast",IF(AK4="actual",(SUMIFS(Headcount!$B$6:$B$89,Headcount!$F$6:$F$89,"Marketing",Headcount!$H$6:$H$89,"&gt;"&amp;AL3,Headcount!$G$6:$G$89,"&lt;"&amp;AL3)+AL8-AL9),(AK7+AL8-AL9)),SUMIFS(Headcount!$B$6:$B$89,Headcount!$F$6:$F$89,"Marketing",Headcount!$H$6:$H$89,"&gt;"&amp;AL3,Headcount!$G$6:$G$89,"&lt;"&amp;AK3))</f>
        <v>7</v>
      </c>
      <c r="AM7" s="798">
        <f>IF(AM4="forecast",IF(AL4="actual",(SUMIFS(Headcount!$B$6:$B$89,Headcount!$F$6:$F$89,"Marketing",Headcount!$H$6:$H$89,"&gt;"&amp;AM3,Headcount!$G$6:$G$89,"&lt;"&amp;AM3)+AM8-AM9),(AL7+AM8-AM9)),SUMIFS(Headcount!$B$6:$B$89,Headcount!$F$6:$F$89,"Marketing",Headcount!$H$6:$H$89,"&gt;"&amp;AM3,Headcount!$G$6:$G$89,"&lt;"&amp;AL3))</f>
        <v>7</v>
      </c>
      <c r="AN7" s="798">
        <f>IF(AN4="forecast",IF(AM4="actual",(SUMIFS(Headcount!$B$6:$B$89,Headcount!$F$6:$F$89,"Marketing",Headcount!$H$6:$H$89,"&gt;"&amp;AN3,Headcount!$G$6:$G$89,"&lt;"&amp;AN3)+AN8-AN9),(AM7+AN8-AN9)),SUMIFS(Headcount!$B$6:$B$89,Headcount!$F$6:$F$89,"Marketing",Headcount!$H$6:$H$89,"&gt;"&amp;AN3,Headcount!$G$6:$G$89,"&lt;"&amp;AM3))</f>
        <v>7</v>
      </c>
      <c r="AO7" s="798">
        <f>IF(AO4="forecast",IF(AN4="actual",(SUMIFS(Headcount!$B$6:$B$89,Headcount!$F$6:$F$89,"Marketing",Headcount!$H$6:$H$89,"&gt;"&amp;AO3,Headcount!$G$6:$G$89,"&lt;"&amp;AO3)+AO8-AO9),(AN7+AO8-AO9)),SUMIFS(Headcount!$B$6:$B$89,Headcount!$F$6:$F$89,"Marketing",Headcount!$H$6:$H$89,"&gt;"&amp;AO3,Headcount!$G$6:$G$89,"&lt;"&amp;AN3))</f>
        <v>7</v>
      </c>
      <c r="AP7" s="798">
        <f>IF(AP4="forecast",IF(AO4="actual",(SUMIFS(Headcount!$B$6:$B$89,Headcount!$F$6:$F$89,"Marketing",Headcount!$H$6:$H$89,"&gt;"&amp;AP3,Headcount!$G$6:$G$89,"&lt;"&amp;AP3)+AP8-AP9),(AO7+AP8-AP9)),SUMIFS(Headcount!$B$6:$B$89,Headcount!$F$6:$F$89,"Marketing",Headcount!$H$6:$H$89,"&gt;"&amp;AP3,Headcount!$G$6:$G$89,"&lt;"&amp;AO3))</f>
        <v>7</v>
      </c>
      <c r="AQ7" s="798">
        <f>IF(AQ4="forecast",IF(AP4="actual",(SUMIFS(Headcount!$B$6:$B$89,Headcount!$F$6:$F$89,"Marketing",Headcount!$H$6:$H$89,"&gt;"&amp;AQ3,Headcount!$G$6:$G$89,"&lt;"&amp;AQ3)+AQ8-AQ9),(AP7+AQ8-AQ9)),SUMIFS(Headcount!$B$6:$B$89,Headcount!$F$6:$F$89,"Marketing",Headcount!$H$6:$H$89,"&gt;"&amp;AQ3,Headcount!$G$6:$G$89,"&lt;"&amp;AP3))</f>
        <v>7</v>
      </c>
      <c r="AR7" s="798">
        <f>IF(AR4="forecast",IF(AQ4="actual",(SUMIFS(Headcount!$B$6:$B$89,Headcount!$F$6:$F$89,"Marketing",Headcount!$H$6:$H$89,"&gt;"&amp;AR3,Headcount!$G$6:$G$89,"&lt;"&amp;AR3)+AR8-AR9),(AQ7+AR8-AR9)),SUMIFS(Headcount!$B$6:$B$89,Headcount!$F$6:$F$89,"Marketing",Headcount!$H$6:$H$89,"&gt;"&amp;AR3,Headcount!$G$6:$G$89,"&lt;"&amp;AQ3))</f>
        <v>7</v>
      </c>
      <c r="AS7" s="798">
        <f>IF(AS4="forecast",IF(AR4="actual",(SUMIFS(Headcount!$B$6:$B$89,Headcount!$F$6:$F$89,"Marketing",Headcount!$H$6:$H$89,"&gt;"&amp;AS3,Headcount!$G$6:$G$89,"&lt;"&amp;AS3)+AS8-AS9),(AR7+AS8-AS9)),SUMIFS(Headcount!$B$6:$B$89,Headcount!$F$6:$F$89,"Marketing",Headcount!$H$6:$H$89,"&gt;"&amp;AS3,Headcount!$G$6:$G$89,"&lt;"&amp;AR3))</f>
        <v>7</v>
      </c>
      <c r="AT7" s="798">
        <f>IF(AT4="forecast",IF(AS4="actual",(SUMIFS(Headcount!$B$6:$B$89,Headcount!$F$6:$F$89,"Marketing",Headcount!$H$6:$H$89,"&gt;"&amp;AT3,Headcount!$G$6:$G$89,"&lt;"&amp;AT3)+AT8-AT9),(AS7+AT8-AT9)),SUMIFS(Headcount!$B$6:$B$89,Headcount!$F$6:$F$89,"Marketing",Headcount!$H$6:$H$89,"&gt;"&amp;AT3,Headcount!$G$6:$G$89,"&lt;"&amp;AS3))</f>
        <v>7</v>
      </c>
      <c r="AU7" s="798">
        <f>IF(AU4="forecast",IF(AT4="actual",(SUMIFS(Headcount!$B$6:$B$89,Headcount!$F$6:$F$89,"Marketing",Headcount!$H$6:$H$89,"&gt;"&amp;AU3,Headcount!$G$6:$G$89,"&lt;"&amp;AU3)+AU8-AU9),(AT7+AU8-AU9)),SUMIFS(Headcount!$B$6:$B$89,Headcount!$F$6:$F$89,"Marketing",Headcount!$H$6:$H$89,"&gt;"&amp;AU3,Headcount!$G$6:$G$89,"&lt;"&amp;AT3))</f>
        <v>7</v>
      </c>
      <c r="AV7" s="798">
        <f>IF(AV4="forecast",IF(AU4="actual",(SUMIFS(Headcount!$B$6:$B$89,Headcount!$F$6:$F$89,"Marketing",Headcount!$H$6:$H$89,"&gt;"&amp;AV3,Headcount!$G$6:$G$89,"&lt;"&amp;AV3)+AV8-AV9),(AU7+AV8-AV9)),SUMIFS(Headcount!$B$6:$B$89,Headcount!$F$6:$F$89,"Marketing",Headcount!$H$6:$H$89,"&gt;"&amp;AV3,Headcount!$G$6:$G$89,"&lt;"&amp;AU3))</f>
        <v>7</v>
      </c>
      <c r="AW7" s="798">
        <f>IF(AW4="forecast",IF(AV4="actual",(SUMIFS(Headcount!$B$6:$B$89,Headcount!$F$6:$F$89,"Marketing",Headcount!$H$6:$H$89,"&gt;"&amp;AW3,Headcount!$G$6:$G$89,"&lt;"&amp;AW3)+AW8-AW9),(AV7+AW8-AW9)),SUMIFS(Headcount!$B$6:$B$89,Headcount!$F$6:$F$89,"Marketing",Headcount!$H$6:$H$89,"&gt;"&amp;AW3,Headcount!$G$6:$G$89,"&lt;"&amp;AV3))</f>
        <v>7</v>
      </c>
      <c r="AX7" s="798">
        <f>IF(AX4="forecast",IF(AW4="actual",(SUMIFS(Headcount!$B$6:$B$89,Headcount!$F$6:$F$89,"Marketing",Headcount!$H$6:$H$89,"&gt;"&amp;AX3,Headcount!$G$6:$G$89,"&lt;"&amp;AX3)+AX8-AX9),(AW7+AX8-AX9)),SUMIFS(Headcount!$B$6:$B$89,Headcount!$F$6:$F$89,"Marketing",Headcount!$H$6:$H$89,"&gt;"&amp;AX3,Headcount!$G$6:$G$89,"&lt;"&amp;AW3))</f>
        <v>7</v>
      </c>
      <c r="AY7" s="798">
        <f>IF(AY4="forecast",IF(AX4="actual",(SUMIFS(Headcount!$B$6:$B$89,Headcount!$F$6:$F$89,"Marketing",Headcount!$H$6:$H$89,"&gt;"&amp;AY3,Headcount!$G$6:$G$89,"&lt;"&amp;AY3)+AY8-AY9),(AX7+AY8-AY9)),SUMIFS(Headcount!$B$6:$B$89,Headcount!$F$6:$F$89,"Marketing",Headcount!$H$6:$H$89,"&gt;"&amp;AY3,Headcount!$G$6:$G$89,"&lt;"&amp;AX3))</f>
        <v>7</v>
      </c>
      <c r="AZ7" s="798">
        <f>IF(AZ4="forecast",IF(AY4="actual",(SUMIFS(Headcount!$B$6:$B$89,Headcount!$F$6:$F$89,"Marketing",Headcount!$H$6:$H$89,"&gt;"&amp;AZ3,Headcount!$G$6:$G$89,"&lt;"&amp;AZ3)+AZ8-AZ9),(AY7+AZ8-AZ9)),SUMIFS(Headcount!$B$6:$B$89,Headcount!$F$6:$F$89,"Marketing",Headcount!$H$6:$H$89,"&gt;"&amp;AZ3,Headcount!$G$6:$G$89,"&lt;"&amp;AY3))</f>
        <v>7</v>
      </c>
      <c r="BA7" s="798">
        <f>IF(BA4="forecast",IF(AZ4="actual",(SUMIFS(Headcount!$B$6:$B$89,Headcount!$F$6:$F$89,"Marketing",Headcount!$H$6:$H$89,"&gt;"&amp;BA3,Headcount!$G$6:$G$89,"&lt;"&amp;BA3)+BA8-BA9),(AZ7+BA8-BA9)),SUMIFS(Headcount!$B$6:$B$89,Headcount!$F$6:$F$89,"Marketing",Headcount!$H$6:$H$89,"&gt;"&amp;BA3,Headcount!$G$6:$G$89,"&lt;"&amp;AZ3))</f>
        <v>7</v>
      </c>
      <c r="BB7" s="798">
        <f>IF(BB4="forecast",IF(BA4="actual",(SUMIFS(Headcount!$B$6:$B$89,Headcount!$F$6:$F$89,"Marketing",Headcount!$H$6:$H$89,"&gt;"&amp;BB3,Headcount!$G$6:$G$89,"&lt;"&amp;BB3)+BB8-BB9),(BA7+BB8-BB9)),SUMIFS(Headcount!$B$6:$B$89,Headcount!$F$6:$F$89,"Marketing",Headcount!$H$6:$H$89,"&gt;"&amp;BB3,Headcount!$G$6:$G$89,"&lt;"&amp;BA3))</f>
        <v>7</v>
      </c>
      <c r="BC7" s="798">
        <f>IF(BC4="forecast",IF(BB4="actual",(SUMIFS(Headcount!$B$6:$B$89,Headcount!$F$6:$F$89,"Marketing",Headcount!$H$6:$H$89,"&gt;"&amp;BC3,Headcount!$G$6:$G$89,"&lt;"&amp;BC3)+BC8-BC9),(BB7+BC8-BC9)),SUMIFS(Headcount!$B$6:$B$89,Headcount!$F$6:$F$89,"Marketing",Headcount!$H$6:$H$89,"&gt;"&amp;BC3,Headcount!$G$6:$G$89,"&lt;"&amp;BB3))</f>
        <v>7</v>
      </c>
      <c r="BD7" s="798">
        <f>IF(BD4="forecast",IF(BC4="actual",(SUMIFS(Headcount!$B$6:$B$89,Headcount!$F$6:$F$89,"Marketing",Headcount!$H$6:$H$89,"&gt;"&amp;BD3,Headcount!$G$6:$G$89,"&lt;"&amp;BD3)+BD8-BD9),(BC7+BD8-BD9)),SUMIFS(Headcount!$B$6:$B$89,Headcount!$F$6:$F$89,"Marketing",Headcount!$H$6:$H$89,"&gt;"&amp;BD3,Headcount!$G$6:$G$89,"&lt;"&amp;BC3))</f>
        <v>7</v>
      </c>
      <c r="BE7" s="798">
        <f>IF(BE4="forecast",IF(BD4="actual",(SUMIFS(Headcount!$B$6:$B$89,Headcount!$F$6:$F$89,"Marketing",Headcount!$H$6:$H$89,"&gt;"&amp;BE3,Headcount!$G$6:$G$89,"&lt;"&amp;BE3)+BE8-BE9),(BD7+BE8-BE9)),SUMIFS(Headcount!$B$6:$B$89,Headcount!$F$6:$F$89,"Marketing",Headcount!$H$6:$H$89,"&gt;"&amp;BE3,Headcount!$G$6:$G$89,"&lt;"&amp;BD3))</f>
        <v>7</v>
      </c>
      <c r="BF7" s="798">
        <f>IF(BF4="forecast",IF(BE4="actual",(SUMIFS(Headcount!$B$6:$B$89,Headcount!$F$6:$F$89,"Marketing",Headcount!$H$6:$H$89,"&gt;"&amp;BF3,Headcount!$G$6:$G$89,"&lt;"&amp;BF3)+BF8-BF9),(BE7+BF8-BF9)),SUMIFS(Headcount!$B$6:$B$89,Headcount!$F$6:$F$89,"Marketing",Headcount!$H$6:$H$89,"&gt;"&amp;BF3,Headcount!$G$6:$G$89,"&lt;"&amp;BE3))</f>
        <v>7</v>
      </c>
      <c r="BG7" s="798">
        <f>IF(BG4="forecast",IF(BF4="actual",(SUMIFS(Headcount!$B$6:$B$89,Headcount!$F$6:$F$89,"Marketing",Headcount!$H$6:$H$89,"&gt;"&amp;BG3,Headcount!$G$6:$G$89,"&lt;"&amp;BG3)+BG8-BG9),(BF7+BG8-BG9)),SUMIFS(Headcount!$B$6:$B$89,Headcount!$F$6:$F$89,"Marketing",Headcount!$H$6:$H$89,"&gt;"&amp;BG3,Headcount!$G$6:$G$89,"&lt;"&amp;BF3))</f>
        <v>7</v>
      </c>
      <c r="BH7" s="798">
        <f>IF(BH4="forecast",IF(BG4="actual",(SUMIFS(Headcount!$B$6:$B$89,Headcount!$F$6:$F$89,"Marketing",Headcount!$H$6:$H$89,"&gt;"&amp;BH3,Headcount!$G$6:$G$89,"&lt;"&amp;BH3)+BH8-BH9),(BG7+BH8-BH9)),SUMIFS(Headcount!$B$6:$B$89,Headcount!$F$6:$F$89,"Marketing",Headcount!$H$6:$H$89,"&gt;"&amp;BH3,Headcount!$G$6:$G$89,"&lt;"&amp;BG3))</f>
        <v>7</v>
      </c>
      <c r="BI7" s="798">
        <f>IF(BI4="forecast",IF(BH4="actual",(SUMIFS(Headcount!$B$6:$B$89,Headcount!$F$6:$F$89,"Marketing",Headcount!$H$6:$H$89,"&gt;"&amp;BI3,Headcount!$G$6:$G$89,"&lt;"&amp;BI3)+BI8-BI9),(BH7+BI8-BI9)),SUMIFS(Headcount!$B$6:$B$89,Headcount!$F$6:$F$89,"Marketing",Headcount!$H$6:$H$89,"&gt;"&amp;BI3,Headcount!$G$6:$G$89,"&lt;"&amp;BH3))</f>
        <v>7</v>
      </c>
      <c r="BJ7" s="798">
        <f>IF(BJ4="forecast",IF(BI4="actual",(SUMIFS(Headcount!$B$6:$B$89,Headcount!$F$6:$F$89,"Marketing",Headcount!$H$6:$H$89,"&gt;"&amp;BJ3,Headcount!$G$6:$G$89,"&lt;"&amp;BJ3)+BJ8-BJ9),(BI7+BJ8-BJ9)),SUMIFS(Headcount!$B$6:$B$89,Headcount!$F$6:$F$89,"Marketing",Headcount!$H$6:$H$89,"&gt;"&amp;BJ3,Headcount!$G$6:$G$89,"&lt;"&amp;BI3))</f>
        <v>7</v>
      </c>
      <c r="BK7" s="798">
        <f>IF(BK4="forecast",IF(BJ4="actual",(SUMIFS(Headcount!$B$6:$B$89,Headcount!$F$6:$F$89,"Marketing",Headcount!$H$6:$H$89,"&gt;"&amp;BK3,Headcount!$G$6:$G$89,"&lt;"&amp;BK3)+BK8-BK9),(BJ7+BK8-BK9)),SUMIFS(Headcount!$B$6:$B$89,Headcount!$F$6:$F$89,"Marketing",Headcount!$H$6:$H$89,"&gt;"&amp;BK3,Headcount!$G$6:$G$89,"&lt;"&amp;BJ3))</f>
        <v>7</v>
      </c>
      <c r="BL7" s="798">
        <f>IF(BL4="forecast",IF(BK4="actual",(SUMIFS(Headcount!$B$6:$B$89,Headcount!$F$6:$F$89,"Marketing",Headcount!$H$6:$H$89,"&gt;"&amp;BL3,Headcount!$G$6:$G$89,"&lt;"&amp;BL3)+BL8-BL9),(BK7+BL8-BL9)),SUMIFS(Headcount!$B$6:$B$89,Headcount!$F$6:$F$89,"Marketing",Headcount!$H$6:$H$89,"&gt;"&amp;BL3,Headcount!$G$6:$G$89,"&lt;"&amp;BK3))</f>
        <v>7</v>
      </c>
      <c r="BM7" s="798">
        <f>IF(BM4="forecast",IF(BL4="actual",(SUMIFS(Headcount!$B$6:$B$89,Headcount!$F$6:$F$89,"Marketing",Headcount!$H$6:$H$89,"&gt;"&amp;BM3,Headcount!$G$6:$G$89,"&lt;"&amp;BM3)+BM8-BM9),(BL7+BM8-BM9)),SUMIFS(Headcount!$B$6:$B$89,Headcount!$F$6:$F$89,"Marketing",Headcount!$H$6:$H$89,"&gt;"&amp;BM3,Headcount!$G$6:$G$89,"&lt;"&amp;BL3))</f>
        <v>7</v>
      </c>
      <c r="BN7" s="798">
        <f>IF(BN4="forecast",IF(BM4="actual",(SUMIFS(Headcount!$B$6:$B$89,Headcount!$F$6:$F$89,"Marketing",Headcount!$H$6:$H$89,"&gt;"&amp;BN3,Headcount!$G$6:$G$89,"&lt;"&amp;BN3)+BN8-BN9),(BM7+BN8-BN9)),SUMIFS(Headcount!$B$6:$B$89,Headcount!$F$6:$F$89,"Marketing",Headcount!$H$6:$H$89,"&gt;"&amp;BN3,Headcount!$G$6:$G$89,"&lt;"&amp;BM3))</f>
        <v>7</v>
      </c>
      <c r="BO7" s="798">
        <f>IF(BO4="forecast",IF(BN4="actual",(SUMIFS(Headcount!$B$6:$B$89,Headcount!$F$6:$F$89,"Marketing",Headcount!$H$6:$H$89,"&gt;"&amp;BO3,Headcount!$G$6:$G$89,"&lt;"&amp;BO3)+BO8-BO9),(BN7+BO8-BO9)),SUMIFS(Headcount!$B$6:$B$89,Headcount!$F$6:$F$89,"Marketing",Headcount!$H$6:$H$89,"&gt;"&amp;BO3,Headcount!$G$6:$G$89,"&lt;"&amp;BN3))</f>
        <v>7</v>
      </c>
      <c r="BP7" s="798">
        <f>IF(BP4="forecast",IF(BO4="actual",(SUMIFS(Headcount!$B$6:$B$89,Headcount!$F$6:$F$89,"Marketing",Headcount!$H$6:$H$89,"&gt;"&amp;BP3,Headcount!$G$6:$G$89,"&lt;"&amp;BP3)+BP8-BP9),(BO7+BP8-BP9)),SUMIFS(Headcount!$B$6:$B$89,Headcount!$F$6:$F$89,"Marketing",Headcount!$H$6:$H$89,"&gt;"&amp;BP3,Headcount!$G$6:$G$89,"&lt;"&amp;BO3))</f>
        <v>7</v>
      </c>
      <c r="BQ7" s="798">
        <f>IF(BQ4="forecast",IF(BP4="actual",(SUMIFS(Headcount!$B$6:$B$89,Headcount!$F$6:$F$89,"Marketing",Headcount!$H$6:$H$89,"&gt;"&amp;BQ3,Headcount!$G$6:$G$89,"&lt;"&amp;BQ3)+BQ8-BQ9),(BP7+BQ8-BQ9)),SUMIFS(Headcount!$B$6:$B$89,Headcount!$F$6:$F$89,"Marketing",Headcount!$H$6:$H$89,"&gt;"&amp;BQ3,Headcount!$G$6:$G$89,"&lt;"&amp;BP3))</f>
        <v>7</v>
      </c>
      <c r="BR7" s="798">
        <f>IF(BR4="forecast",IF(BQ4="actual",(SUMIFS(Headcount!$B$6:$B$89,Headcount!$F$6:$F$89,"Marketing",Headcount!$H$6:$H$89,"&gt;"&amp;BR3,Headcount!$G$6:$G$89,"&lt;"&amp;BR3)+BR8-BR9),(BQ7+BR8-BR9)),SUMIFS(Headcount!$B$6:$B$89,Headcount!$F$6:$F$89,"Marketing",Headcount!$H$6:$H$89,"&gt;"&amp;BR3,Headcount!$G$6:$G$89,"&lt;"&amp;BQ3))</f>
        <v>7</v>
      </c>
      <c r="BS7" s="798">
        <f>IF(BS4="forecast",IF(BR4="actual",(SUMIFS(Headcount!$B$6:$B$89,Headcount!$F$6:$F$89,"Marketing",Headcount!$H$6:$H$89,"&gt;"&amp;BS3,Headcount!$G$6:$G$89,"&lt;"&amp;BS3)+BS8-BS9),(BR7+BS8-BS9)),SUMIFS(Headcount!$B$6:$B$89,Headcount!$F$6:$F$89,"Marketing",Headcount!$H$6:$H$89,"&gt;"&amp;BS3,Headcount!$G$6:$G$89,"&lt;"&amp;BR3))</f>
        <v>7</v>
      </c>
      <c r="BT7" s="798">
        <f>IF(BT4="forecast",IF(BS4="actual",(SUMIFS(Headcount!$B$6:$B$89,Headcount!$F$6:$F$89,"Marketing",Headcount!$H$6:$H$89,"&gt;"&amp;BT3,Headcount!$G$6:$G$89,"&lt;"&amp;BT3)+BT8-BT9),(BS7+BT8-BT9)),SUMIFS(Headcount!$B$6:$B$89,Headcount!$F$6:$F$89,"Marketing",Headcount!$H$6:$H$89,"&gt;"&amp;BT3,Headcount!$G$6:$G$89,"&lt;"&amp;BS3))</f>
        <v>7</v>
      </c>
      <c r="BU7" s="798">
        <f>IF(BU4="forecast",IF(BT4="actual",(SUMIFS(Headcount!$B$6:$B$89,Headcount!$F$6:$F$89,"Marketing",Headcount!$H$6:$H$89,"&gt;"&amp;BU3,Headcount!$G$6:$G$89,"&lt;"&amp;BU3)+BU8-BU9),(BT7+BU8-BU9)),SUMIFS(Headcount!$B$6:$B$89,Headcount!$F$6:$F$89,"Marketing",Headcount!$H$6:$H$89,"&gt;"&amp;BU3,Headcount!$G$6:$G$89,"&lt;"&amp;BT3))</f>
        <v>7</v>
      </c>
      <c r="BV7" s="799">
        <f>IF(BV4="forecast",IF(BU4="actual",(SUMIFS(Headcount!$B$6:$B$89,Headcount!$F$6:$F$89,"Marketing",Headcount!$H$6:$H$89,"&gt;"&amp;BV3,Headcount!$G$6:$G$89,"&lt;"&amp;BV3)+BV8-BV9),(BU7+BV8-BV9)),SUMIFS(Headcount!$B$6:$B$89,Headcount!$F$6:$F$89,"Marketing",Headcount!$H$6:$H$89,"&gt;"&amp;BV3,Headcount!$G$6:$G$89,"&lt;"&amp;BU3))</f>
        <v>7</v>
      </c>
    </row>
    <row r="8" spans="2:74" x14ac:dyDescent="0.35">
      <c r="B8" s="794" t="s">
        <v>15</v>
      </c>
      <c r="C8" s="798">
        <f>SUMIFS('New Hires Forecast'!$B$5:$B$83,'New Hires Forecast'!$G$5:$G$83,"&gt;"&amp;Marketing!B3,'New Hires Forecast'!$G$5:$G$83,"&lt;="&amp;Marketing!C3,'New Hires Forecast'!$F$5:$F$83,"Marketing")</f>
        <v>0</v>
      </c>
      <c r="D8" s="798">
        <f>SUMIFS('New Hires Forecast'!$B$5:$B$83,'New Hires Forecast'!$G$5:$G$83,"&gt;"&amp;Marketing!C3,'New Hires Forecast'!$G$5:$G$83,"&lt;="&amp;Marketing!D3,'New Hires Forecast'!$F$5:$F$83,"Marketing")</f>
        <v>0</v>
      </c>
      <c r="E8" s="798">
        <f>SUMIFS('New Hires Forecast'!$B$5:$B$83,'New Hires Forecast'!$G$5:$G$83,"&gt;"&amp;Marketing!D3,'New Hires Forecast'!$G$5:$G$83,"&lt;="&amp;Marketing!E3,'New Hires Forecast'!$F$5:$F$83,"Marketing")</f>
        <v>0</v>
      </c>
      <c r="F8" s="798">
        <f>SUMIFS('New Hires Forecast'!$B$5:$B$83,'New Hires Forecast'!$G$5:$G$83,"&gt;"&amp;Marketing!E3,'New Hires Forecast'!$G$5:$G$83,"&lt;="&amp;Marketing!F3,'New Hires Forecast'!$F$5:$F$83,"Marketing")</f>
        <v>0</v>
      </c>
      <c r="G8" s="798">
        <f>SUMIFS('New Hires Forecast'!$B$5:$B$83,'New Hires Forecast'!$G$5:$G$83,"&gt;"&amp;Marketing!F3,'New Hires Forecast'!$G$5:$G$83,"&lt;="&amp;Marketing!G3,'New Hires Forecast'!$F$5:$F$83,"Marketing")</f>
        <v>0</v>
      </c>
      <c r="H8" s="798">
        <f>SUMIFS('New Hires Forecast'!$B$5:$B$83,'New Hires Forecast'!$G$5:$G$83,"&gt;"&amp;Marketing!G3,'New Hires Forecast'!$G$5:$G$83,"&lt;="&amp;Marketing!H3,'New Hires Forecast'!$F$5:$F$83,"Marketing")</f>
        <v>0</v>
      </c>
      <c r="I8" s="798">
        <f>SUMIFS('New Hires Forecast'!$B$5:$B$83,'New Hires Forecast'!$G$5:$G$83,"&gt;"&amp;Marketing!H3,'New Hires Forecast'!$G$5:$G$83,"&lt;="&amp;Marketing!I3,'New Hires Forecast'!$F$5:$F$83,"Marketing")</f>
        <v>0</v>
      </c>
      <c r="J8" s="798">
        <f>SUMIFS('New Hires Forecast'!$B$5:$B$83,'New Hires Forecast'!$G$5:$G$83,"&gt;"&amp;Marketing!I3,'New Hires Forecast'!$G$5:$G$83,"&lt;="&amp;Marketing!J3,'New Hires Forecast'!$F$5:$F$83,"Marketing")</f>
        <v>0</v>
      </c>
      <c r="K8" s="798">
        <f>SUMIFS('New Hires Forecast'!$B$5:$B$83,'New Hires Forecast'!$G$5:$G$83,"&gt;"&amp;Marketing!J3,'New Hires Forecast'!$G$5:$G$83,"&lt;="&amp;Marketing!K3,'New Hires Forecast'!$F$5:$F$83,"Marketing")</f>
        <v>0</v>
      </c>
      <c r="L8" s="798">
        <f>SUMIFS('New Hires Forecast'!$B$5:$B$83,'New Hires Forecast'!$G$5:$G$83,"&gt;"&amp;Marketing!K3,'New Hires Forecast'!$G$5:$G$83,"&lt;="&amp;Marketing!L3,'New Hires Forecast'!$F$5:$F$83,"Marketing")</f>
        <v>0</v>
      </c>
      <c r="M8" s="798">
        <f>SUMIFS('New Hires Forecast'!$B$5:$B$83,'New Hires Forecast'!$G$5:$G$83,"&gt;"&amp;Marketing!L3,'New Hires Forecast'!$G$5:$G$83,"&lt;="&amp;Marketing!M3,'New Hires Forecast'!$F$5:$F$83,"Marketing")</f>
        <v>0</v>
      </c>
      <c r="N8" s="798">
        <f>SUMIFS('New Hires Forecast'!$B$5:$B$83,'New Hires Forecast'!$G$5:$G$83,"&gt;"&amp;Marketing!M3,'New Hires Forecast'!$G$5:$G$83,"&lt;="&amp;Marketing!N3,'New Hires Forecast'!$F$5:$F$83,"Marketing")</f>
        <v>0</v>
      </c>
      <c r="O8" s="798">
        <f>SUMIFS('New Hires Forecast'!$B$5:$B$83,'New Hires Forecast'!$G$5:$G$83,"&gt;"&amp;Marketing!N3,'New Hires Forecast'!$G$5:$G$83,"&lt;="&amp;Marketing!O3,'New Hires Forecast'!$F$5:$F$83,"Marketing")</f>
        <v>0</v>
      </c>
      <c r="P8" s="798">
        <f>SUMIFS('New Hires Forecast'!$B$5:$B$83,'New Hires Forecast'!$G$5:$G$83,"&gt;"&amp;Marketing!O3,'New Hires Forecast'!$G$5:$G$83,"&lt;="&amp;Marketing!P3,'New Hires Forecast'!$F$5:$F$83,"Marketing")</f>
        <v>0</v>
      </c>
      <c r="Q8" s="798">
        <f>SUMIFS('New Hires Forecast'!$B$5:$B$83,'New Hires Forecast'!$G$5:$G$83,"&gt;"&amp;Marketing!P3,'New Hires Forecast'!$G$5:$G$83,"&lt;="&amp;Marketing!Q3,'New Hires Forecast'!$F$5:$F$83,"Marketing")</f>
        <v>0</v>
      </c>
      <c r="R8" s="798">
        <f>SUMIFS('New Hires Forecast'!$B$5:$B$83,'New Hires Forecast'!$G$5:$G$83,"&gt;"&amp;Marketing!Q3,'New Hires Forecast'!$G$5:$G$83,"&lt;="&amp;Marketing!R3,'New Hires Forecast'!$F$5:$F$83,"Marketing")</f>
        <v>0</v>
      </c>
      <c r="S8" s="798">
        <f>SUMIFS('New Hires Forecast'!$B$5:$B$83,'New Hires Forecast'!$G$5:$G$83,"&gt;"&amp;Marketing!R3,'New Hires Forecast'!$G$5:$G$83,"&lt;="&amp;Marketing!S3,'New Hires Forecast'!$F$5:$F$83,"Marketing")</f>
        <v>0</v>
      </c>
      <c r="T8" s="798">
        <f>SUMIFS('New Hires Forecast'!$B$5:$B$83,'New Hires Forecast'!$G$5:$G$83,"&gt;"&amp;Marketing!S3,'New Hires Forecast'!$G$5:$G$83,"&lt;="&amp;Marketing!T3,'New Hires Forecast'!$F$5:$F$83,"Marketing")</f>
        <v>0</v>
      </c>
      <c r="U8" s="798">
        <f>SUMIFS('New Hires Forecast'!$B$5:$B$83,'New Hires Forecast'!$G$5:$G$83,"&gt;"&amp;Marketing!T3,'New Hires Forecast'!$G$5:$G$83,"&lt;="&amp;Marketing!U3,'New Hires Forecast'!$F$5:$F$83,"Marketing")</f>
        <v>0</v>
      </c>
      <c r="V8" s="798">
        <f>SUMIFS('New Hires Forecast'!$B$5:$B$83,'New Hires Forecast'!$G$5:$G$83,"&gt;"&amp;Marketing!U3,'New Hires Forecast'!$G$5:$G$83,"&lt;="&amp;Marketing!V3,'New Hires Forecast'!$F$5:$F$83,"Marketing")</f>
        <v>0</v>
      </c>
      <c r="W8" s="798">
        <f>SUMIFS('New Hires Forecast'!$B$5:$B$83,'New Hires Forecast'!$G$5:$G$83,"&gt;"&amp;Marketing!V3,'New Hires Forecast'!$G$5:$G$83,"&lt;="&amp;Marketing!W3,'New Hires Forecast'!$F$5:$F$83,"Marketing")</f>
        <v>0</v>
      </c>
      <c r="X8" s="798">
        <f>SUMIFS('New Hires Forecast'!$B$5:$B$83,'New Hires Forecast'!$G$5:$G$83,"&gt;"&amp;Marketing!W3,'New Hires Forecast'!$G$5:$G$83,"&lt;="&amp;Marketing!X3,'New Hires Forecast'!$F$5:$F$83,"Marketing")</f>
        <v>0</v>
      </c>
      <c r="Y8" s="798">
        <f>SUMIFS('New Hires Forecast'!$B$5:$B$83,'New Hires Forecast'!$G$5:$G$83,"&gt;"&amp;Marketing!X3,'New Hires Forecast'!$G$5:$G$83,"&lt;="&amp;Marketing!Y3,'New Hires Forecast'!$F$5:$F$83,"Marketing")</f>
        <v>0</v>
      </c>
      <c r="Z8" s="798">
        <f>SUMIFS('New Hires Forecast'!$B$5:$B$83,'New Hires Forecast'!$G$5:$G$83,"&gt;"&amp;Marketing!Y3,'New Hires Forecast'!$G$5:$G$83,"&lt;="&amp;Marketing!Z3,'New Hires Forecast'!$F$5:$F$83,"Marketing")</f>
        <v>0</v>
      </c>
      <c r="AA8" s="798">
        <f>SUMIFS('New Hires Forecast'!$B$5:$B$83,'New Hires Forecast'!$G$5:$G$83,"&gt;"&amp;Marketing!Z3,'New Hires Forecast'!$G$5:$G$83,"&lt;="&amp;Marketing!AA3,'New Hires Forecast'!$F$5:$F$83,"Marketing")</f>
        <v>0</v>
      </c>
      <c r="AB8" s="798">
        <f>SUMIFS('New Hires Forecast'!$B$5:$B$83,'New Hires Forecast'!$G$5:$G$83,"&gt;"&amp;Marketing!AA3,'New Hires Forecast'!$G$5:$G$83,"&lt;="&amp;Marketing!AB3,'New Hires Forecast'!$F$5:$F$83,"Marketing")</f>
        <v>0</v>
      </c>
      <c r="AC8" s="798">
        <f>SUMIFS('New Hires Forecast'!$B$5:$B$83,'New Hires Forecast'!$G$5:$G$83,"&gt;"&amp;Marketing!AB3,'New Hires Forecast'!$G$5:$G$83,"&lt;="&amp;Marketing!AC3,'New Hires Forecast'!$F$5:$F$83,"Marketing")</f>
        <v>0</v>
      </c>
      <c r="AD8" s="798">
        <f>SUMIFS('New Hires Forecast'!$B$5:$B$83,'New Hires Forecast'!$G$5:$G$83,"&gt;"&amp;Marketing!AC3,'New Hires Forecast'!$G$5:$G$83,"&lt;="&amp;Marketing!AD3,'New Hires Forecast'!$F$5:$F$83,"Marketing")</f>
        <v>1</v>
      </c>
      <c r="AE8" s="798">
        <f>SUMIFS('New Hires Forecast'!$B$5:$B$83,'New Hires Forecast'!$G$5:$G$83,"&gt;"&amp;Marketing!AD3,'New Hires Forecast'!$G$5:$G$83,"&lt;="&amp;Marketing!AE3,'New Hires Forecast'!$F$5:$F$83,"Marketing")</f>
        <v>0</v>
      </c>
      <c r="AF8" s="798">
        <f>SUMIFS('New Hires Forecast'!$B$5:$B$83,'New Hires Forecast'!$G$5:$G$83,"&gt;"&amp;Marketing!AE3,'New Hires Forecast'!$G$5:$G$83,"&lt;="&amp;Marketing!AF3,'New Hires Forecast'!$F$5:$F$83,"Marketing")</f>
        <v>1</v>
      </c>
      <c r="AG8" s="798">
        <f>SUMIFS('New Hires Forecast'!$B$5:$B$83,'New Hires Forecast'!$G$5:$G$83,"&gt;"&amp;Marketing!AF3,'New Hires Forecast'!$G$5:$G$83,"&lt;="&amp;Marketing!AG3,'New Hires Forecast'!$F$5:$F$83,"Marketing")</f>
        <v>0</v>
      </c>
      <c r="AH8" s="798">
        <f>SUMIFS('New Hires Forecast'!$B$5:$B$83,'New Hires Forecast'!$G$5:$G$83,"&gt;"&amp;Marketing!AG3,'New Hires Forecast'!$G$5:$G$83,"&lt;="&amp;Marketing!AH3,'New Hires Forecast'!$F$5:$F$83,"Marketing")</f>
        <v>0</v>
      </c>
      <c r="AI8" s="798">
        <f>SUMIFS('New Hires Forecast'!$B$5:$B$83,'New Hires Forecast'!$G$5:$G$83,"&gt;"&amp;Marketing!AH3,'New Hires Forecast'!$G$5:$G$83,"&lt;="&amp;Marketing!AI3,'New Hires Forecast'!$F$5:$F$83,"Marketing")</f>
        <v>0</v>
      </c>
      <c r="AJ8" s="798">
        <f>SUMIFS('New Hires Forecast'!$B$5:$B$83,'New Hires Forecast'!$G$5:$G$83,"&gt;"&amp;Marketing!AI3,'New Hires Forecast'!$G$5:$G$83,"&lt;="&amp;Marketing!AJ3,'New Hires Forecast'!$F$5:$F$83,"Marketing")</f>
        <v>0</v>
      </c>
      <c r="AK8" s="798">
        <f>SUMIFS('New Hires Forecast'!$B$5:$B$83,'New Hires Forecast'!$G$5:$G$83,"&gt;"&amp;Marketing!AJ3,'New Hires Forecast'!$G$5:$G$83,"&lt;="&amp;Marketing!AK3,'New Hires Forecast'!$F$5:$F$83,"Marketing")</f>
        <v>0</v>
      </c>
      <c r="AL8" s="798">
        <f>SUMIFS('New Hires Forecast'!$B$5:$B$83,'New Hires Forecast'!$G$5:$G$83,"&gt;"&amp;Marketing!AK3,'New Hires Forecast'!$G$5:$G$83,"&lt;="&amp;Marketing!AL3,'New Hires Forecast'!$F$5:$F$83,"Marketing")</f>
        <v>0</v>
      </c>
      <c r="AM8" s="798">
        <f>SUMIFS('New Hires Forecast'!$B$5:$B$83,'New Hires Forecast'!$G$5:$G$83,"&gt;"&amp;Marketing!AL3,'New Hires Forecast'!$G$5:$G$83,"&lt;="&amp;Marketing!AM3,'New Hires Forecast'!$F$5:$F$83,"Marketing")</f>
        <v>0</v>
      </c>
      <c r="AN8" s="798">
        <f>SUMIFS('New Hires Forecast'!$B$5:$B$83,'New Hires Forecast'!$G$5:$G$83,"&gt;"&amp;Marketing!AM3,'New Hires Forecast'!$G$5:$G$83,"&lt;="&amp;Marketing!AN3,'New Hires Forecast'!$F$5:$F$83,"Marketing")</f>
        <v>0</v>
      </c>
      <c r="AO8" s="798">
        <f>SUMIFS('New Hires Forecast'!$B$5:$B$83,'New Hires Forecast'!$G$5:$G$83,"&gt;"&amp;Marketing!AN3,'New Hires Forecast'!$G$5:$G$83,"&lt;="&amp;Marketing!AO3,'New Hires Forecast'!$F$5:$F$83,"Marketing")</f>
        <v>0</v>
      </c>
      <c r="AP8" s="798">
        <f>SUMIFS('New Hires Forecast'!$B$5:$B$83,'New Hires Forecast'!$G$5:$G$83,"&gt;"&amp;Marketing!AO3,'New Hires Forecast'!$G$5:$G$83,"&lt;="&amp;Marketing!AP3,'New Hires Forecast'!$F$5:$F$83,"Marketing")</f>
        <v>0</v>
      </c>
      <c r="AQ8" s="798">
        <f>SUMIFS('New Hires Forecast'!$B$5:$B$83,'New Hires Forecast'!$G$5:$G$83,"&gt;"&amp;Marketing!AP3,'New Hires Forecast'!$G$5:$G$83,"&lt;="&amp;Marketing!AQ3,'New Hires Forecast'!$F$5:$F$83,"Marketing")</f>
        <v>0</v>
      </c>
      <c r="AR8" s="798">
        <f>SUMIFS('New Hires Forecast'!$B$5:$B$83,'New Hires Forecast'!$G$5:$G$83,"&gt;"&amp;Marketing!AQ3,'New Hires Forecast'!$G$5:$G$83,"&lt;="&amp;Marketing!AR3,'New Hires Forecast'!$F$5:$F$83,"Marketing")</f>
        <v>0</v>
      </c>
      <c r="AS8" s="798">
        <f>SUMIFS('New Hires Forecast'!$B$5:$B$83,'New Hires Forecast'!$G$5:$G$83,"&gt;"&amp;Marketing!AR3,'New Hires Forecast'!$G$5:$G$83,"&lt;="&amp;Marketing!AS3,'New Hires Forecast'!$F$5:$F$83,"Marketing")</f>
        <v>0</v>
      </c>
      <c r="AT8" s="798">
        <f>SUMIFS('New Hires Forecast'!$B$5:$B$83,'New Hires Forecast'!$G$5:$G$83,"&gt;"&amp;Marketing!AS3,'New Hires Forecast'!$G$5:$G$83,"&lt;="&amp;Marketing!AT3,'New Hires Forecast'!$F$5:$F$83,"Marketing")</f>
        <v>0</v>
      </c>
      <c r="AU8" s="798">
        <f>SUMIFS('New Hires Forecast'!$B$5:$B$83,'New Hires Forecast'!$G$5:$G$83,"&gt;"&amp;Marketing!AT3,'New Hires Forecast'!$G$5:$G$83,"&lt;="&amp;Marketing!AU3,'New Hires Forecast'!$F$5:$F$83,"Marketing")</f>
        <v>0</v>
      </c>
      <c r="AV8" s="798">
        <f>SUMIFS('New Hires Forecast'!$B$5:$B$83,'New Hires Forecast'!$G$5:$G$83,"&gt;"&amp;Marketing!AU3,'New Hires Forecast'!$G$5:$G$83,"&lt;="&amp;Marketing!AV3,'New Hires Forecast'!$F$5:$F$83,"Marketing")</f>
        <v>0</v>
      </c>
      <c r="AW8" s="798">
        <f>SUMIFS('New Hires Forecast'!$B$5:$B$83,'New Hires Forecast'!$G$5:$G$83,"&gt;"&amp;Marketing!AV3,'New Hires Forecast'!$G$5:$G$83,"&lt;="&amp;Marketing!AW3,'New Hires Forecast'!$F$5:$F$83,"Marketing")</f>
        <v>0</v>
      </c>
      <c r="AX8" s="798">
        <f>SUMIFS('New Hires Forecast'!$B$5:$B$83,'New Hires Forecast'!$G$5:$G$83,"&gt;"&amp;Marketing!AW3,'New Hires Forecast'!$G$5:$G$83,"&lt;="&amp;Marketing!AX3,'New Hires Forecast'!$F$5:$F$83,"Marketing")</f>
        <v>0</v>
      </c>
      <c r="AY8" s="798">
        <f>SUMIFS('New Hires Forecast'!$B$5:$B$83,'New Hires Forecast'!$G$5:$G$83,"&gt;"&amp;Marketing!AX3,'New Hires Forecast'!$G$5:$G$83,"&lt;="&amp;Marketing!AY3,'New Hires Forecast'!$F$5:$F$83,"Marketing")</f>
        <v>0</v>
      </c>
      <c r="AZ8" s="798">
        <f>SUMIFS('New Hires Forecast'!$B$5:$B$83,'New Hires Forecast'!$G$5:$G$83,"&gt;"&amp;Marketing!AY3,'New Hires Forecast'!$G$5:$G$83,"&lt;="&amp;Marketing!AZ3,'New Hires Forecast'!$F$5:$F$83,"Marketing")</f>
        <v>0</v>
      </c>
      <c r="BA8" s="798">
        <f>SUMIFS('New Hires Forecast'!$B$5:$B$83,'New Hires Forecast'!$G$5:$G$83,"&gt;"&amp;Marketing!AZ3,'New Hires Forecast'!$G$5:$G$83,"&lt;="&amp;Marketing!BA3,'New Hires Forecast'!$F$5:$F$83,"Marketing")</f>
        <v>0</v>
      </c>
      <c r="BB8" s="798">
        <f>SUMIFS('New Hires Forecast'!$B$5:$B$83,'New Hires Forecast'!$G$5:$G$83,"&gt;"&amp;Marketing!BA3,'New Hires Forecast'!$G$5:$G$83,"&lt;="&amp;Marketing!BB3,'New Hires Forecast'!$F$5:$F$83,"Marketing")</f>
        <v>0</v>
      </c>
      <c r="BC8" s="798">
        <f>SUMIFS('New Hires Forecast'!$B$5:$B$83,'New Hires Forecast'!$G$5:$G$83,"&gt;"&amp;Marketing!BB3,'New Hires Forecast'!$G$5:$G$83,"&lt;="&amp;Marketing!BC3,'New Hires Forecast'!$F$5:$F$83,"Marketing")</f>
        <v>0</v>
      </c>
      <c r="BD8" s="798">
        <f>SUMIFS('New Hires Forecast'!$B$5:$B$83,'New Hires Forecast'!$G$5:$G$83,"&gt;"&amp;Marketing!BC3,'New Hires Forecast'!$G$5:$G$83,"&lt;="&amp;Marketing!BD3,'New Hires Forecast'!$F$5:$F$83,"Marketing")</f>
        <v>0</v>
      </c>
      <c r="BE8" s="798">
        <f>SUMIFS('New Hires Forecast'!$B$5:$B$83,'New Hires Forecast'!$G$5:$G$83,"&gt;"&amp;Marketing!BD3,'New Hires Forecast'!$G$5:$G$83,"&lt;="&amp;Marketing!BE3,'New Hires Forecast'!$F$5:$F$83,"Marketing")</f>
        <v>0</v>
      </c>
      <c r="BF8" s="798">
        <f>SUMIFS('New Hires Forecast'!$B$5:$B$83,'New Hires Forecast'!$G$5:$G$83,"&gt;"&amp;Marketing!BE3,'New Hires Forecast'!$G$5:$G$83,"&lt;="&amp;Marketing!BF3,'New Hires Forecast'!$F$5:$F$83,"Marketing")</f>
        <v>0</v>
      </c>
      <c r="BG8" s="798">
        <f>SUMIFS('New Hires Forecast'!$B$5:$B$83,'New Hires Forecast'!$G$5:$G$83,"&gt;"&amp;Marketing!BF3,'New Hires Forecast'!$G$5:$G$83,"&lt;="&amp;Marketing!BG3,'New Hires Forecast'!$F$5:$F$83,"Marketing")</f>
        <v>0</v>
      </c>
      <c r="BH8" s="798">
        <f>SUMIFS('New Hires Forecast'!$B$5:$B$83,'New Hires Forecast'!$G$5:$G$83,"&gt;"&amp;Marketing!BG3,'New Hires Forecast'!$G$5:$G$83,"&lt;="&amp;Marketing!BH3,'New Hires Forecast'!$F$5:$F$83,"Marketing")</f>
        <v>0</v>
      </c>
      <c r="BI8" s="798">
        <f>SUMIFS('New Hires Forecast'!$B$5:$B$83,'New Hires Forecast'!$G$5:$G$83,"&gt;"&amp;Marketing!BH3,'New Hires Forecast'!$G$5:$G$83,"&lt;="&amp;Marketing!BI3,'New Hires Forecast'!$F$5:$F$83,"Marketing")</f>
        <v>0</v>
      </c>
      <c r="BJ8" s="798">
        <f>SUMIFS('New Hires Forecast'!$B$5:$B$83,'New Hires Forecast'!$G$5:$G$83,"&gt;"&amp;Marketing!BI3,'New Hires Forecast'!$G$5:$G$83,"&lt;="&amp;Marketing!BJ3,'New Hires Forecast'!$F$5:$F$83,"Marketing")</f>
        <v>0</v>
      </c>
      <c r="BK8" s="798">
        <f>SUMIFS('New Hires Forecast'!$B$5:$B$83,'New Hires Forecast'!$G$5:$G$83,"&gt;"&amp;Marketing!BJ3,'New Hires Forecast'!$G$5:$G$83,"&lt;="&amp;Marketing!BK3,'New Hires Forecast'!$F$5:$F$83,"Marketing")</f>
        <v>0</v>
      </c>
      <c r="BL8" s="798">
        <f>SUMIFS('New Hires Forecast'!$B$5:$B$83,'New Hires Forecast'!$G$5:$G$83,"&gt;"&amp;Marketing!BK3,'New Hires Forecast'!$G$5:$G$83,"&lt;="&amp;Marketing!BL3,'New Hires Forecast'!$F$5:$F$83,"Marketing")</f>
        <v>0</v>
      </c>
      <c r="BM8" s="798">
        <f>SUMIFS('New Hires Forecast'!$B$5:$B$83,'New Hires Forecast'!$G$5:$G$83,"&gt;"&amp;Marketing!BL3,'New Hires Forecast'!$G$5:$G$83,"&lt;="&amp;Marketing!BM3,'New Hires Forecast'!$F$5:$F$83,"Marketing")</f>
        <v>0</v>
      </c>
      <c r="BN8" s="798">
        <f>SUMIFS('New Hires Forecast'!$B$5:$B$83,'New Hires Forecast'!$G$5:$G$83,"&gt;"&amp;Marketing!BM3,'New Hires Forecast'!$G$5:$G$83,"&lt;="&amp;Marketing!BN3,'New Hires Forecast'!$F$5:$F$83,"Marketing")</f>
        <v>0</v>
      </c>
      <c r="BO8" s="798">
        <f>SUMIFS('New Hires Forecast'!$B$5:$B$83,'New Hires Forecast'!$G$5:$G$83,"&gt;"&amp;Marketing!BN3,'New Hires Forecast'!$G$5:$G$83,"&lt;="&amp;Marketing!BO3,'New Hires Forecast'!$F$5:$F$83,"Marketing")</f>
        <v>0</v>
      </c>
      <c r="BP8" s="798">
        <f>SUMIFS('New Hires Forecast'!$B$5:$B$83,'New Hires Forecast'!$G$5:$G$83,"&gt;"&amp;Marketing!BO3,'New Hires Forecast'!$G$5:$G$83,"&lt;="&amp;Marketing!BP3,'New Hires Forecast'!$F$5:$F$83,"Marketing")</f>
        <v>0</v>
      </c>
      <c r="BQ8" s="798">
        <f>SUMIFS('New Hires Forecast'!$B$5:$B$83,'New Hires Forecast'!$G$5:$G$83,"&gt;"&amp;Marketing!BP3,'New Hires Forecast'!$G$5:$G$83,"&lt;="&amp;Marketing!BQ3,'New Hires Forecast'!$F$5:$F$83,"Marketing")</f>
        <v>0</v>
      </c>
      <c r="BR8" s="798">
        <f>SUMIFS('New Hires Forecast'!$B$5:$B$83,'New Hires Forecast'!$G$5:$G$83,"&gt;"&amp;Marketing!BQ3,'New Hires Forecast'!$G$5:$G$83,"&lt;="&amp;Marketing!BR3,'New Hires Forecast'!$F$5:$F$83,"Marketing")</f>
        <v>0</v>
      </c>
      <c r="BS8" s="798">
        <f>SUMIFS('New Hires Forecast'!$B$5:$B$83,'New Hires Forecast'!$G$5:$G$83,"&gt;"&amp;Marketing!BR3,'New Hires Forecast'!$G$5:$G$83,"&lt;="&amp;Marketing!BS3,'New Hires Forecast'!$F$5:$F$83,"Marketing")</f>
        <v>0</v>
      </c>
      <c r="BT8" s="798">
        <f>SUMIFS('New Hires Forecast'!$B$5:$B$83,'New Hires Forecast'!$G$5:$G$83,"&gt;"&amp;Marketing!BS3,'New Hires Forecast'!$G$5:$G$83,"&lt;="&amp;Marketing!BT3,'New Hires Forecast'!$F$5:$F$83,"Marketing")</f>
        <v>0</v>
      </c>
      <c r="BU8" s="798">
        <f>SUMIFS('New Hires Forecast'!$B$5:$B$83,'New Hires Forecast'!$G$5:$G$83,"&gt;"&amp;Marketing!BT3,'New Hires Forecast'!$G$5:$G$83,"&lt;="&amp;Marketing!BU3,'New Hires Forecast'!$F$5:$F$83,"Marketing")</f>
        <v>0</v>
      </c>
      <c r="BV8" s="799">
        <f>SUMIFS('New Hires Forecast'!$B$5:$B$83,'New Hires Forecast'!$G$5:$G$83,"&gt;"&amp;Marketing!BU3,'New Hires Forecast'!$G$5:$G$83,"&lt;="&amp;Marketing!BV3,'New Hires Forecast'!$F$5:$F$83,"Marketing")</f>
        <v>0</v>
      </c>
    </row>
    <row r="9" spans="2:74" x14ac:dyDescent="0.35">
      <c r="B9" s="794" t="s">
        <v>150</v>
      </c>
      <c r="C9" s="798">
        <f>SUMIFS(Headcount!$B$6:$B$88,Headcount!$H$6:$H$88,"&gt;"&amp;B3,Headcount!$H$6:$H$88,"&lt;="&amp;C3,Headcount!$F$6:$F$88,"Marketing")</f>
        <v>0</v>
      </c>
      <c r="D9" s="798">
        <f>SUMIFS(Headcount!$B$6:$B$88,Headcount!$H$6:$H$88,"&gt;"&amp;C3,Headcount!$H$6:$H$88,"&lt;="&amp;D3,Headcount!$F$6:$F$88,"Marketing")</f>
        <v>0</v>
      </c>
      <c r="E9" s="798">
        <f>SUMIFS(Headcount!$B$6:$B$88,Headcount!$H$6:$H$88,"&gt;"&amp;D3,Headcount!$H$6:$H$88,"&lt;="&amp;E3,Headcount!$F$6:$F$88,"Marketing")</f>
        <v>0</v>
      </c>
      <c r="F9" s="798">
        <f>SUMIFS(Headcount!$B$6:$B$88,Headcount!$H$6:$H$88,"&gt;"&amp;E3,Headcount!$H$6:$H$88,"&lt;="&amp;F3,Headcount!$F$6:$F$88,"Marketing")</f>
        <v>0</v>
      </c>
      <c r="G9" s="798">
        <f>SUMIFS(Headcount!$B$6:$B$88,Headcount!$H$6:$H$88,"&gt;"&amp;F3,Headcount!$H$6:$H$88,"&lt;="&amp;G3,Headcount!$F$6:$F$88,"Marketing")</f>
        <v>0</v>
      </c>
      <c r="H9" s="798">
        <f>SUMIFS(Headcount!$B$6:$B$88,Headcount!$H$6:$H$88,"&gt;"&amp;G3,Headcount!$H$6:$H$88,"&lt;="&amp;H3,Headcount!$F$6:$F$88,"Marketing")</f>
        <v>0</v>
      </c>
      <c r="I9" s="798">
        <f>SUMIFS(Headcount!$B$6:$B$88,Headcount!$H$6:$H$88,"&gt;"&amp;H3,Headcount!$H$6:$H$88,"&lt;="&amp;I3,Headcount!$F$6:$F$88,"Marketing")</f>
        <v>0</v>
      </c>
      <c r="J9" s="798">
        <f>SUMIFS(Headcount!$B$6:$B$88,Headcount!$H$6:$H$88,"&gt;"&amp;I3,Headcount!$H$6:$H$88,"&lt;="&amp;J3,Headcount!$F$6:$F$88,"Marketing")</f>
        <v>0</v>
      </c>
      <c r="K9" s="798">
        <f>SUMIFS(Headcount!$B$6:$B$88,Headcount!$H$6:$H$88,"&gt;"&amp;J3,Headcount!$H$6:$H$88,"&lt;="&amp;K3,Headcount!$F$6:$F$88,"Marketing")</f>
        <v>0</v>
      </c>
      <c r="L9" s="798">
        <f>SUMIFS(Headcount!$B$6:$B$88,Headcount!$H$6:$H$88,"&gt;"&amp;K3,Headcount!$H$6:$H$88,"&lt;="&amp;L3,Headcount!$F$6:$F$88,"Marketing")</f>
        <v>0</v>
      </c>
      <c r="M9" s="798">
        <f>SUMIFS(Headcount!$B$6:$B$88,Headcount!$H$6:$H$88,"&gt;"&amp;L3,Headcount!$H$6:$H$88,"&lt;="&amp;M3,Headcount!$F$6:$F$88,"Marketing")</f>
        <v>0</v>
      </c>
      <c r="N9" s="798">
        <f>SUMIFS(Headcount!$B$6:$B$88,Headcount!$H$6:$H$88,"&gt;"&amp;M3,Headcount!$H$6:$H$88,"&lt;="&amp;N3,Headcount!$F$6:$F$88,"Marketing")</f>
        <v>0</v>
      </c>
      <c r="O9" s="798">
        <f>SUMIFS(Headcount!$B$6:$B$88,Headcount!$H$6:$H$88,"&gt;"&amp;N3,Headcount!$H$6:$H$88,"&lt;="&amp;O3,Headcount!$F$6:$F$88,"Marketing")</f>
        <v>0</v>
      </c>
      <c r="P9" s="798">
        <f>SUMIFS(Headcount!$B$6:$B$88,Headcount!$H$6:$H$88,"&gt;"&amp;O3,Headcount!$H$6:$H$88,"&lt;="&amp;P3,Headcount!$F$6:$F$88,"Marketing")</f>
        <v>0</v>
      </c>
      <c r="Q9" s="798">
        <f>SUMIFS(Headcount!$B$6:$B$88,Headcount!$H$6:$H$88,"&gt;"&amp;P3,Headcount!$H$6:$H$88,"&lt;="&amp;Q3,Headcount!$F$6:$F$88,"Marketing")</f>
        <v>0</v>
      </c>
      <c r="R9" s="798">
        <f>SUMIFS(Headcount!$B$6:$B$88,Headcount!$H$6:$H$88,"&gt;"&amp;Q3,Headcount!$H$6:$H$88,"&lt;="&amp;R3,Headcount!$F$6:$F$88,"Marketing")</f>
        <v>1</v>
      </c>
      <c r="S9" s="798">
        <f>SUMIFS(Headcount!$B$6:$B$88,Headcount!$H$6:$H$88,"&gt;"&amp;R3,Headcount!$H$6:$H$88,"&lt;="&amp;S3,Headcount!$F$6:$F$88,"Marketing")</f>
        <v>0</v>
      </c>
      <c r="T9" s="798">
        <f>SUMIFS(Headcount!$B$6:$B$88,Headcount!$H$6:$H$88,"&gt;"&amp;S3,Headcount!$H$6:$H$88,"&lt;="&amp;T3,Headcount!$F$6:$F$88,"Marketing")</f>
        <v>0</v>
      </c>
      <c r="U9" s="798">
        <f>SUMIFS(Headcount!$B$6:$B$88,Headcount!$H$6:$H$88,"&gt;"&amp;T3,Headcount!$H$6:$H$88,"&lt;="&amp;U3,Headcount!$F$6:$F$88,"Marketing")</f>
        <v>0</v>
      </c>
      <c r="V9" s="798">
        <f>SUMIFS(Headcount!$B$6:$B$88,Headcount!$H$6:$H$88,"&gt;"&amp;U3,Headcount!$H$6:$H$88,"&lt;="&amp;V3,Headcount!$F$6:$F$88,"Marketing")</f>
        <v>0</v>
      </c>
      <c r="W9" s="798">
        <f>SUMIFS(Headcount!$B$6:$B$88,Headcount!$H$6:$H$88,"&gt;"&amp;V3,Headcount!$H$6:$H$88,"&lt;="&amp;W3,Headcount!$F$6:$F$88,"Marketing")</f>
        <v>1</v>
      </c>
      <c r="X9" s="798">
        <f>SUMIFS(Headcount!$B$6:$B$88,Headcount!$H$6:$H$88,"&gt;"&amp;W3,Headcount!$H$6:$H$88,"&lt;="&amp;X3,Headcount!$F$6:$F$88,"Marketing")</f>
        <v>0</v>
      </c>
      <c r="Y9" s="798">
        <f>SUMIFS(Headcount!$B$6:$B$88,Headcount!$H$6:$H$88,"&gt;"&amp;X3,Headcount!$H$6:$H$88,"&lt;="&amp;Y3,Headcount!$F$6:$F$88,"Marketing")</f>
        <v>0</v>
      </c>
      <c r="Z9" s="798">
        <f>SUMIFS(Headcount!$B$6:$B$88,Headcount!$H$6:$H$88,"&gt;"&amp;Y3,Headcount!$H$6:$H$88,"&lt;="&amp;Z3,Headcount!$F$6:$F$88,"Marketing")</f>
        <v>0</v>
      </c>
      <c r="AA9" s="798">
        <f>SUMIFS(Headcount!$B$6:$B$88,Headcount!$H$6:$H$88,"&gt;"&amp;Z3,Headcount!$H$6:$H$88,"&lt;="&amp;AA3,Headcount!$F$6:$F$88,"Marketing")</f>
        <v>0</v>
      </c>
      <c r="AB9" s="798">
        <f>SUMIFS(Headcount!$B$6:$B$88,Headcount!$H$6:$H$88,"&gt;"&amp;AA3,Headcount!$H$6:$H$88,"&lt;="&amp;AB3,Headcount!$F$6:$F$88,"Marketing")</f>
        <v>0</v>
      </c>
      <c r="AC9" s="798">
        <f>SUMIFS(Headcount!$B$6:$B$88,Headcount!$H$6:$H$88,"&gt;"&amp;AB3,Headcount!$H$6:$H$88,"&lt;="&amp;AC3,Headcount!$F$6:$F$88,"Marketing")</f>
        <v>0</v>
      </c>
      <c r="AD9" s="798">
        <f>SUMIFS(Headcount!$B$6:$B$88,Headcount!$H$6:$H$88,"&gt;"&amp;AC3,Headcount!$H$6:$H$88,"&lt;="&amp;AD3,Headcount!$F$6:$F$88,"Marketing")</f>
        <v>0</v>
      </c>
      <c r="AE9" s="798">
        <f>SUMIFS(Headcount!$B$6:$B$88,Headcount!$H$6:$H$88,"&gt;"&amp;AD3,Headcount!$H$6:$H$88,"&lt;="&amp;AE3,Headcount!$F$6:$F$88,"Marketing")</f>
        <v>0</v>
      </c>
      <c r="AF9" s="798">
        <f>SUMIFS(Headcount!$B$6:$B$88,Headcount!$H$6:$H$88,"&gt;"&amp;AE3,Headcount!$H$6:$H$88,"&lt;="&amp;AF3,Headcount!$F$6:$F$88,"Marketing")</f>
        <v>0</v>
      </c>
      <c r="AG9" s="798">
        <f>SUMIFS(Headcount!$B$6:$B$88,Headcount!$H$6:$H$88,"&gt;"&amp;AF3,Headcount!$H$6:$H$88,"&lt;="&amp;AG3,Headcount!$F$6:$F$88,"Marketing")</f>
        <v>0</v>
      </c>
      <c r="AH9" s="798">
        <f>SUMIFS(Headcount!$B$6:$B$88,Headcount!$H$6:$H$88,"&gt;"&amp;AG3,Headcount!$H$6:$H$88,"&lt;="&amp;AH3,Headcount!$F$6:$F$88,"Marketing")</f>
        <v>0</v>
      </c>
      <c r="AI9" s="798">
        <f>SUMIFS(Headcount!$B$6:$B$88,Headcount!$H$6:$H$88,"&gt;"&amp;AH3,Headcount!$H$6:$H$88,"&lt;="&amp;AI3,Headcount!$F$6:$F$88,"Marketing")</f>
        <v>0</v>
      </c>
      <c r="AJ9" s="798">
        <f>SUMIFS(Headcount!$B$6:$B$88,Headcount!$H$6:$H$88,"&gt;"&amp;AI3,Headcount!$H$6:$H$88,"&lt;="&amp;AJ3,Headcount!$F$6:$F$88,"Marketing")</f>
        <v>0</v>
      </c>
      <c r="AK9" s="798">
        <f>SUMIFS(Headcount!$B$6:$B$88,Headcount!$H$6:$H$88,"&gt;"&amp;AJ3,Headcount!$H$6:$H$88,"&lt;="&amp;AK3,Headcount!$F$6:$F$88,"Marketing")</f>
        <v>0</v>
      </c>
      <c r="AL9" s="798">
        <f>SUMIFS(Headcount!$B$6:$B$88,Headcount!$H$6:$H$88,"&gt;"&amp;AK3,Headcount!$H$6:$H$88,"&lt;="&amp;AL3,Headcount!$F$6:$F$88,"Marketing")</f>
        <v>0</v>
      </c>
      <c r="AM9" s="798">
        <f>SUMIFS(Headcount!$B$6:$B$88,Headcount!$H$6:$H$88,"&gt;"&amp;AL3,Headcount!$H$6:$H$88,"&lt;="&amp;AM3,Headcount!$F$6:$F$88,"Marketing")</f>
        <v>0</v>
      </c>
      <c r="AN9" s="798">
        <f>SUMIFS(Headcount!$B$6:$B$88,Headcount!$H$6:$H$88,"&gt;"&amp;AM3,Headcount!$H$6:$H$88,"&lt;="&amp;AN3,Headcount!$F$6:$F$88,"Marketing")</f>
        <v>0</v>
      </c>
      <c r="AO9" s="798">
        <f>SUMIFS(Headcount!$B$6:$B$88,Headcount!$H$6:$H$88,"&gt;"&amp;AN3,Headcount!$H$6:$H$88,"&lt;="&amp;AO3,Headcount!$F$6:$F$88,"Marketing")</f>
        <v>0</v>
      </c>
      <c r="AP9" s="798">
        <f>SUMIFS(Headcount!$B$6:$B$88,Headcount!$H$6:$H$88,"&gt;"&amp;AO3,Headcount!$H$6:$H$88,"&lt;="&amp;AP3,Headcount!$F$6:$F$88,"Marketing")</f>
        <v>0</v>
      </c>
      <c r="AQ9" s="798">
        <f>SUMIFS(Headcount!$B$6:$B$88,Headcount!$H$6:$H$88,"&gt;"&amp;AP3,Headcount!$H$6:$H$88,"&lt;="&amp;AQ3,Headcount!$F$6:$F$88,"Marketing")</f>
        <v>0</v>
      </c>
      <c r="AR9" s="798">
        <f>SUMIFS(Headcount!$B$6:$B$88,Headcount!$H$6:$H$88,"&gt;"&amp;AQ3,Headcount!$H$6:$H$88,"&lt;="&amp;AR3,Headcount!$F$6:$F$88,"Marketing")</f>
        <v>0</v>
      </c>
      <c r="AS9" s="798">
        <f>SUMIFS(Headcount!$B$6:$B$88,Headcount!$H$6:$H$88,"&gt;"&amp;AR3,Headcount!$H$6:$H$88,"&lt;="&amp;AS3,Headcount!$F$6:$F$88,"Marketing")</f>
        <v>0</v>
      </c>
      <c r="AT9" s="798">
        <f>SUMIFS(Headcount!$B$6:$B$88,Headcount!$H$6:$H$88,"&gt;"&amp;AS3,Headcount!$H$6:$H$88,"&lt;="&amp;AT3,Headcount!$F$6:$F$88,"Marketing")</f>
        <v>0</v>
      </c>
      <c r="AU9" s="798">
        <f>SUMIFS(Headcount!$B$6:$B$88,Headcount!$H$6:$H$88,"&gt;"&amp;AT3,Headcount!$H$6:$H$88,"&lt;="&amp;AU3,Headcount!$F$6:$F$88,"Marketing")</f>
        <v>0</v>
      </c>
      <c r="AV9" s="798">
        <f>SUMIFS(Headcount!$B$6:$B$88,Headcount!$H$6:$H$88,"&gt;"&amp;AU3,Headcount!$H$6:$H$88,"&lt;="&amp;AV3,Headcount!$F$6:$F$88,"Marketing")</f>
        <v>0</v>
      </c>
      <c r="AW9" s="798">
        <f>SUMIFS(Headcount!$B$6:$B$88,Headcount!$H$6:$H$88,"&gt;"&amp;AV3,Headcount!$H$6:$H$88,"&lt;="&amp;AW3,Headcount!$F$6:$F$88,"Marketing")</f>
        <v>0</v>
      </c>
      <c r="AX9" s="798">
        <f>SUMIFS(Headcount!$B$6:$B$88,Headcount!$H$6:$H$88,"&gt;"&amp;AW3,Headcount!$H$6:$H$88,"&lt;="&amp;AX3,Headcount!$F$6:$F$88,"Marketing")</f>
        <v>0</v>
      </c>
      <c r="AY9" s="798">
        <f>SUMIFS(Headcount!$B$6:$B$88,Headcount!$H$6:$H$88,"&gt;"&amp;AX3,Headcount!$H$6:$H$88,"&lt;="&amp;AY3,Headcount!$F$6:$F$88,"Marketing")</f>
        <v>0</v>
      </c>
      <c r="AZ9" s="798">
        <f>SUMIFS(Headcount!$B$6:$B$88,Headcount!$H$6:$H$88,"&gt;"&amp;AY3,Headcount!$H$6:$H$88,"&lt;="&amp;AZ3,Headcount!$F$6:$F$88,"Marketing")</f>
        <v>0</v>
      </c>
      <c r="BA9" s="798">
        <f>SUMIFS(Headcount!$B$6:$B$88,Headcount!$H$6:$H$88,"&gt;"&amp;AZ3,Headcount!$H$6:$H$88,"&lt;="&amp;BA3,Headcount!$F$6:$F$88,"Marketing")</f>
        <v>0</v>
      </c>
      <c r="BB9" s="798">
        <f>SUMIFS(Headcount!$B$6:$B$88,Headcount!$H$6:$H$88,"&gt;"&amp;BA3,Headcount!$H$6:$H$88,"&lt;="&amp;BB3,Headcount!$F$6:$F$88,"Marketing")</f>
        <v>0</v>
      </c>
      <c r="BC9" s="798">
        <f>SUMIFS(Headcount!$B$6:$B$88,Headcount!$H$6:$H$88,"&gt;"&amp;BB3,Headcount!$H$6:$H$88,"&lt;="&amp;BC3,Headcount!$F$6:$F$88,"Marketing")</f>
        <v>0</v>
      </c>
      <c r="BD9" s="798">
        <f>SUMIFS(Headcount!$B$6:$B$88,Headcount!$H$6:$H$88,"&gt;"&amp;BC3,Headcount!$H$6:$H$88,"&lt;="&amp;BD3,Headcount!$F$6:$F$88,"Marketing")</f>
        <v>0</v>
      </c>
      <c r="BE9" s="798">
        <f>SUMIFS(Headcount!$B$6:$B$88,Headcount!$H$6:$H$88,"&gt;"&amp;BD3,Headcount!$H$6:$H$88,"&lt;="&amp;BE3,Headcount!$F$6:$F$88,"Marketing")</f>
        <v>0</v>
      </c>
      <c r="BF9" s="798">
        <f>SUMIFS(Headcount!$B$6:$B$88,Headcount!$H$6:$H$88,"&gt;"&amp;BE3,Headcount!$H$6:$H$88,"&lt;="&amp;BF3,Headcount!$F$6:$F$88,"Marketing")</f>
        <v>0</v>
      </c>
      <c r="BG9" s="798">
        <f>SUMIFS(Headcount!$B$6:$B$88,Headcount!$H$6:$H$88,"&gt;"&amp;BF3,Headcount!$H$6:$H$88,"&lt;="&amp;BG3,Headcount!$F$6:$F$88,"Marketing")</f>
        <v>0</v>
      </c>
      <c r="BH9" s="798">
        <f>SUMIFS(Headcount!$B$6:$B$88,Headcount!$H$6:$H$88,"&gt;"&amp;BG3,Headcount!$H$6:$H$88,"&lt;="&amp;BH3,Headcount!$F$6:$F$88,"Marketing")</f>
        <v>0</v>
      </c>
      <c r="BI9" s="798">
        <f>SUMIFS(Headcount!$B$6:$B$88,Headcount!$H$6:$H$88,"&gt;"&amp;BH3,Headcount!$H$6:$H$88,"&lt;="&amp;BI3,Headcount!$F$6:$F$88,"Marketing")</f>
        <v>0</v>
      </c>
      <c r="BJ9" s="798">
        <f>SUMIFS(Headcount!$B$6:$B$88,Headcount!$H$6:$H$88,"&gt;"&amp;BI3,Headcount!$H$6:$H$88,"&lt;="&amp;BJ3,Headcount!$F$6:$F$88,"Marketing")</f>
        <v>0</v>
      </c>
      <c r="BK9" s="798">
        <f>SUMIFS(Headcount!$B$6:$B$88,Headcount!$H$6:$H$88,"&gt;"&amp;BJ3,Headcount!$H$6:$H$88,"&lt;="&amp;BK3,Headcount!$F$6:$F$88,"Marketing")</f>
        <v>0</v>
      </c>
      <c r="BL9" s="798">
        <f>SUMIFS(Headcount!$B$6:$B$88,Headcount!$H$6:$H$88,"&gt;"&amp;BK3,Headcount!$H$6:$H$88,"&lt;="&amp;BL3,Headcount!$F$6:$F$88,"Marketing")</f>
        <v>0</v>
      </c>
      <c r="BM9" s="798">
        <f>SUMIFS(Headcount!$B$6:$B$88,Headcount!$H$6:$H$88,"&gt;"&amp;BL3,Headcount!$H$6:$H$88,"&lt;="&amp;BM3,Headcount!$F$6:$F$88,"Marketing")</f>
        <v>0</v>
      </c>
      <c r="BN9" s="798">
        <f>SUMIFS(Headcount!$B$6:$B$88,Headcount!$H$6:$H$88,"&gt;"&amp;BM3,Headcount!$H$6:$H$88,"&lt;="&amp;BN3,Headcount!$F$6:$F$88,"Marketing")</f>
        <v>0</v>
      </c>
      <c r="BO9" s="798">
        <f>SUMIFS(Headcount!$B$6:$B$88,Headcount!$H$6:$H$88,"&gt;"&amp;BN3,Headcount!$H$6:$H$88,"&lt;="&amp;BO3,Headcount!$F$6:$F$88,"Marketing")</f>
        <v>0</v>
      </c>
      <c r="BP9" s="798">
        <f>SUMIFS(Headcount!$B$6:$B$88,Headcount!$H$6:$H$88,"&gt;"&amp;BO3,Headcount!$H$6:$H$88,"&lt;="&amp;BP3,Headcount!$F$6:$F$88,"Marketing")</f>
        <v>0</v>
      </c>
      <c r="BQ9" s="798">
        <f>SUMIFS(Headcount!$B$6:$B$88,Headcount!$H$6:$H$88,"&gt;"&amp;BP3,Headcount!$H$6:$H$88,"&lt;="&amp;BQ3,Headcount!$F$6:$F$88,"Marketing")</f>
        <v>0</v>
      </c>
      <c r="BR9" s="798">
        <f>SUMIFS(Headcount!$B$6:$B$88,Headcount!$H$6:$H$88,"&gt;"&amp;BQ3,Headcount!$H$6:$H$88,"&lt;="&amp;BR3,Headcount!$F$6:$F$88,"Marketing")</f>
        <v>0</v>
      </c>
      <c r="BS9" s="798">
        <f>SUMIFS(Headcount!$B$6:$B$88,Headcount!$H$6:$H$88,"&gt;"&amp;BR3,Headcount!$H$6:$H$88,"&lt;="&amp;BS3,Headcount!$F$6:$F$88,"Marketing")</f>
        <v>0</v>
      </c>
      <c r="BT9" s="798">
        <f>SUMIFS(Headcount!$B$6:$B$88,Headcount!$H$6:$H$88,"&gt;"&amp;BS3,Headcount!$H$6:$H$88,"&lt;="&amp;BT3,Headcount!$F$6:$F$88,"Marketing")</f>
        <v>0</v>
      </c>
      <c r="BU9" s="798">
        <f>SUMIFS(Headcount!$B$6:$B$88,Headcount!$H$6:$H$88,"&gt;"&amp;BT3,Headcount!$H$6:$H$88,"&lt;="&amp;BU3,Headcount!$F$6:$F$88,"Marketing")</f>
        <v>0</v>
      </c>
      <c r="BV9" s="799">
        <f>SUMIFS(Headcount!$B$6:$B$88,Headcount!$H$6:$H$88,"&gt;"&amp;BU3,Headcount!$H$6:$H$88,"&lt;="&amp;BV3,Headcount!$F$6:$F$88,"Marketing")</f>
        <v>0</v>
      </c>
    </row>
    <row r="10" spans="2:74" x14ac:dyDescent="0.35">
      <c r="B10" s="800"/>
      <c r="C10" s="157"/>
      <c r="D10" s="157"/>
      <c r="E10" s="157"/>
      <c r="F10" s="157"/>
      <c r="G10" s="157"/>
      <c r="H10" s="157"/>
      <c r="I10" s="157"/>
      <c r="J10" s="157"/>
      <c r="K10" s="157"/>
      <c r="L10" s="157"/>
      <c r="M10" s="157"/>
      <c r="N10" s="157"/>
      <c r="O10" s="157"/>
      <c r="P10" s="157"/>
      <c r="Q10" s="157"/>
      <c r="R10" s="157"/>
      <c r="S10" s="157"/>
      <c r="T10" s="157"/>
      <c r="U10" s="157"/>
      <c r="V10" s="157"/>
      <c r="W10" s="157"/>
      <c r="X10" s="157"/>
      <c r="Y10" s="157"/>
      <c r="Z10" s="157"/>
      <c r="AA10" s="157"/>
      <c r="AB10" s="157"/>
      <c r="AC10" s="157"/>
      <c r="AD10" s="157"/>
      <c r="AE10" s="157"/>
      <c r="AF10" s="157"/>
      <c r="AG10" s="157"/>
      <c r="AH10" s="157"/>
      <c r="AI10" s="157"/>
      <c r="AJ10" s="157"/>
      <c r="AK10" s="157"/>
      <c r="AL10" s="157"/>
      <c r="AM10" s="157"/>
      <c r="AN10" s="157"/>
      <c r="AO10" s="157"/>
      <c r="AP10" s="157"/>
      <c r="AQ10" s="157"/>
      <c r="AR10" s="157"/>
      <c r="AS10" s="157"/>
      <c r="AT10" s="157"/>
      <c r="AU10" s="157"/>
      <c r="AV10" s="157"/>
      <c r="AW10" s="157"/>
      <c r="AX10" s="157"/>
      <c r="AY10" s="157"/>
      <c r="AZ10" s="157"/>
      <c r="BA10" s="157"/>
      <c r="BB10" s="157"/>
      <c r="BC10" s="157"/>
      <c r="BD10" s="157"/>
      <c r="BE10" s="157"/>
      <c r="BF10" s="157"/>
      <c r="BG10" s="157"/>
      <c r="BH10" s="157"/>
      <c r="BI10" s="157"/>
      <c r="BJ10" s="157"/>
      <c r="BK10" s="157"/>
      <c r="BL10" s="157"/>
      <c r="BM10" s="157"/>
      <c r="BN10" s="157"/>
      <c r="BO10" s="157"/>
      <c r="BP10" s="157"/>
      <c r="BQ10" s="157"/>
      <c r="BR10" s="157"/>
      <c r="BS10" s="157"/>
      <c r="BT10" s="157"/>
      <c r="BU10" s="157"/>
      <c r="BV10" s="801"/>
    </row>
    <row r="11" spans="2:74" x14ac:dyDescent="0.35">
      <c r="B11" s="802" t="s">
        <v>933</v>
      </c>
      <c r="C11" s="803"/>
      <c r="D11" s="803"/>
      <c r="E11" s="803"/>
      <c r="F11" s="803"/>
      <c r="G11" s="803"/>
      <c r="H11" s="803"/>
      <c r="I11" s="803"/>
      <c r="J11" s="803"/>
      <c r="K11" s="803"/>
      <c r="L11" s="803"/>
      <c r="M11" s="803"/>
      <c r="N11" s="803"/>
      <c r="O11" s="804"/>
      <c r="P11" s="804"/>
      <c r="Q11" s="804"/>
      <c r="R11" s="804"/>
      <c r="S11" s="804"/>
      <c r="T11" s="804"/>
      <c r="U11" s="804"/>
      <c r="V11" s="804"/>
      <c r="W11" s="804"/>
      <c r="X11" s="804"/>
      <c r="Y11" s="804"/>
      <c r="Z11" s="804"/>
      <c r="AA11" s="804"/>
      <c r="AB11" s="804"/>
      <c r="AC11" s="804"/>
      <c r="AD11" s="804"/>
      <c r="AE11" s="804"/>
      <c r="AF11" s="804"/>
      <c r="AG11" s="804"/>
      <c r="AH11" s="804"/>
      <c r="AI11" s="804"/>
      <c r="AJ11" s="804"/>
      <c r="AK11" s="804"/>
      <c r="AL11" s="804"/>
      <c r="AM11" s="804"/>
      <c r="AN11" s="804"/>
      <c r="AO11" s="804"/>
      <c r="AP11" s="804"/>
      <c r="AQ11" s="804"/>
      <c r="AR11" s="804"/>
      <c r="AS11" s="804"/>
      <c r="AT11" s="804"/>
      <c r="AU11" s="804"/>
      <c r="AV11" s="804"/>
      <c r="AW11" s="804"/>
      <c r="AX11" s="804"/>
      <c r="AY11" s="804"/>
      <c r="AZ11" s="804"/>
      <c r="BA11" s="804"/>
      <c r="BB11" s="804"/>
      <c r="BC11" s="804"/>
      <c r="BD11" s="804"/>
      <c r="BE11" s="804"/>
      <c r="BF11" s="804"/>
      <c r="BG11" s="804"/>
      <c r="BH11" s="804"/>
      <c r="BI11" s="804"/>
      <c r="BJ11" s="804"/>
      <c r="BK11" s="804"/>
      <c r="BL11" s="804"/>
      <c r="BM11" s="804"/>
      <c r="BN11" s="804"/>
      <c r="BO11" s="804"/>
      <c r="BP11" s="804"/>
      <c r="BQ11" s="804"/>
      <c r="BR11" s="804"/>
      <c r="BS11" s="804"/>
      <c r="BT11" s="804"/>
      <c r="BU11" s="804"/>
      <c r="BV11" s="805"/>
    </row>
    <row r="12" spans="2:74" x14ac:dyDescent="0.35">
      <c r="B12" s="797" t="s">
        <v>934</v>
      </c>
      <c r="C12" s="806">
        <f>IF(C$4="forecast",IF(YEAR(C$3)=YEAR(Headcount!$N$4),((SUMIFS(Headcount!$N$6:$N$89,Headcount!$F$6:$F$89,"Marketing",Headcount!$H$6:$H$89,"&gt;="&amp;Marketing!C$3)/12)),IF(YEAR(C$3)=YEAR(Headcount!$O$4),IF((C$5=2),((SUMIFS(Headcount!$O$6:$O$89,Headcount!$F$6:$F$89,"Marketing",Headcount!$H$6:$H$89,"&gt;="&amp;Marketing!C$3)/12)),B12),IF(YEAR(C$3)=YEAR(Headcount!$P$4),IF((C$5=2),((SUMIFS(Headcount!$P$6:$P$89,Headcount!$F$6:$F$89,"Marketing",Headcount!$H$6:$H$89,"&gt;="&amp;Marketing!C$3)/12)),B12),IF(YEAR(C$3)=YEAR(Headcount!$Q$4),IF((C$5=2),((SUMIFS(Headcount!$Q$6:$Q$89,Headcount!$F$6:$F$89,"Marketing",Headcount!$H$6:$H$89,"&gt;="&amp;Marketing!C$3)/12)),B12),IF(YEAR(C$3)=YEAR(Headcount!$R$4),IF((C$5=2),((SUMIFS(Headcount!$R$6:$R$89,Headcount!$F$6:$F$89,"Marketing",Headcount!$H$6:$H$89,"&gt;="&amp;Marketing!C$3)/12)),B12),"New Year"))))),'Dept. Cost Actuals'!G320-'Dept. Cost Actuals'!G310)</f>
        <v>29131.994595408367</v>
      </c>
      <c r="D12" s="806">
        <f>IF(D$4="forecast",IF(YEAR(D$3)=YEAR(Headcount!$N$4),((SUMIFS(Headcount!$N$6:$N$89,Headcount!$F$6:$F$89,"Marketing",Headcount!$H$6:$H$89,"&gt;="&amp;Marketing!D$3)/12)),IF(YEAR(D$3)=YEAR(Headcount!$O$4),IF((D$5=2),((SUMIFS(Headcount!$O$6:$O$89,Headcount!$F$6:$F$89,"Marketing",Headcount!$H$6:$H$89,"&gt;="&amp;Marketing!D$3)/12)),C12),IF(YEAR(D$3)=YEAR(Headcount!$P$4),IF((D$5=2),((SUMIFS(Headcount!$P$6:$P$89,Headcount!$F$6:$F$89,"Marketing",Headcount!$H$6:$H$89,"&gt;="&amp;Marketing!D$3)/12)),C12),IF(YEAR(D$3)=YEAR(Headcount!$Q$4),IF((D$5=2),((SUMIFS(Headcount!$Q$6:$Q$89,Headcount!$F$6:$F$89,"Marketing",Headcount!$H$6:$H$89,"&gt;="&amp;Marketing!D$3)/12)),C12),IF(YEAR(D$3)=YEAR(Headcount!$R$4),IF((D$5=2),((SUMIFS(Headcount!$R$6:$R$89,Headcount!$F$6:$F$89,"Marketing",Headcount!$H$6:$H$89,"&gt;="&amp;Marketing!D$3)/12)),C12),"New Year"))))),'Dept. Cost Actuals'!H320-'Dept. Cost Actuals'!H310)</f>
        <v>26554.74573340427</v>
      </c>
      <c r="E12" s="806">
        <f>IF(E$4="forecast",IF(YEAR(E$3)=YEAR(Headcount!$N$4),((SUMIFS(Headcount!$N$6:$N$89,Headcount!$F$6:$F$89,"Marketing",Headcount!$H$6:$H$89,"&gt;="&amp;Marketing!E$3)/12)),IF(YEAR(E$3)=YEAR(Headcount!$O$4),IF((E$5=2),((SUMIFS(Headcount!$O$6:$O$89,Headcount!$F$6:$F$89,"Marketing",Headcount!$H$6:$H$89,"&gt;="&amp;Marketing!E$3)/12)),D12),IF(YEAR(E$3)=YEAR(Headcount!$P$4),IF((E$5=2),((SUMIFS(Headcount!$P$6:$P$89,Headcount!$F$6:$F$89,"Marketing",Headcount!$H$6:$H$89,"&gt;="&amp;Marketing!E$3)/12)),D12),IF(YEAR(E$3)=YEAR(Headcount!$Q$4),IF((E$5=2),((SUMIFS(Headcount!$Q$6:$Q$89,Headcount!$F$6:$F$89,"Marketing",Headcount!$H$6:$H$89,"&gt;="&amp;Marketing!E$3)/12)),D12),IF(YEAR(E$3)=YEAR(Headcount!$R$4),IF((E$5=2),((SUMIFS(Headcount!$R$6:$R$89,Headcount!$F$6:$F$89,"Marketing",Headcount!$H$6:$H$89,"&gt;="&amp;Marketing!E$3)/12)),D12),"New Year"))))),'Dept. Cost Actuals'!I320-'Dept. Cost Actuals'!I310)</f>
        <v>29208.480490878996</v>
      </c>
      <c r="F12" s="806">
        <f>IF(F$4="forecast",IF(YEAR(F$3)=YEAR(Headcount!$N$4),((SUMIFS(Headcount!$N$6:$N$89,Headcount!$F$6:$F$89,"Marketing",Headcount!$H$6:$H$89,"&gt;="&amp;Marketing!F$3)/12)),IF(YEAR(F$3)=YEAR(Headcount!$O$4),IF((F$5=2),((SUMIFS(Headcount!$O$6:$O$89,Headcount!$F$6:$F$89,"Marketing",Headcount!$H$6:$H$89,"&gt;="&amp;Marketing!F$3)/12)),E12),IF(YEAR(F$3)=YEAR(Headcount!$P$4),IF((F$5=2),((SUMIFS(Headcount!$P$6:$P$89,Headcount!$F$6:$F$89,"Marketing",Headcount!$H$6:$H$89,"&gt;="&amp;Marketing!F$3)/12)),E12),IF(YEAR(F$3)=YEAR(Headcount!$Q$4),IF((F$5=2),((SUMIFS(Headcount!$Q$6:$Q$89,Headcount!$F$6:$F$89,"Marketing",Headcount!$H$6:$H$89,"&gt;="&amp;Marketing!F$3)/12)),E12),IF(YEAR(F$3)=YEAR(Headcount!$R$4),IF((F$5=2),((SUMIFS(Headcount!$R$6:$R$89,Headcount!$F$6:$F$89,"Marketing",Headcount!$H$6:$H$89,"&gt;="&amp;Marketing!F$3)/12)),E12),"New Year"))))),'Dept. Cost Actuals'!J320-'Dept. Cost Actuals'!J310)</f>
        <v>30106.313963001703</v>
      </c>
      <c r="G12" s="806">
        <f>IF(G$4="forecast",IF(YEAR(G$3)=YEAR(Headcount!$N$4),((SUMIFS(Headcount!$N$6:$N$89,Headcount!$F$6:$F$89,"Marketing",Headcount!$H$6:$H$89,"&gt;="&amp;Marketing!G$3)/12)),IF(YEAR(G$3)=YEAR(Headcount!$O$4),IF((G$5=2),((SUMIFS(Headcount!$O$6:$O$89,Headcount!$F$6:$F$89,"Marketing",Headcount!$H$6:$H$89,"&gt;="&amp;Marketing!G$3)/12)),F12),IF(YEAR(G$3)=YEAR(Headcount!$P$4),IF((G$5=2),((SUMIFS(Headcount!$P$6:$P$89,Headcount!$F$6:$F$89,"Marketing",Headcount!$H$6:$H$89,"&gt;="&amp;Marketing!G$3)/12)),F12),IF(YEAR(G$3)=YEAR(Headcount!$Q$4),IF((G$5=2),((SUMIFS(Headcount!$Q$6:$Q$89,Headcount!$F$6:$F$89,"Marketing",Headcount!$H$6:$H$89,"&gt;="&amp;Marketing!G$3)/12)),F12),IF(YEAR(G$3)=YEAR(Headcount!$R$4),IF((G$5=2),((SUMIFS(Headcount!$R$6:$R$89,Headcount!$F$6:$F$89,"Marketing",Headcount!$H$6:$H$89,"&gt;="&amp;Marketing!G$3)/12)),F12),"New Year"))))),'Dept. Cost Actuals'!K320-'Dept. Cost Actuals'!K310)</f>
        <v>32192.463478002192</v>
      </c>
      <c r="H12" s="806">
        <f>IF(H$4="forecast",IF(YEAR(H$3)=YEAR(Headcount!$N$4),((SUMIFS(Headcount!$N$6:$N$89,Headcount!$F$6:$F$89,"Marketing",Headcount!$H$6:$H$89,"&gt;="&amp;Marketing!H$3)/12)),IF(YEAR(H$3)=YEAR(Headcount!$O$4),IF((H$5=2),((SUMIFS(Headcount!$O$6:$O$89,Headcount!$F$6:$F$89,"Marketing",Headcount!$H$6:$H$89,"&gt;="&amp;Marketing!H$3)/12)),G12),IF(YEAR(H$3)=YEAR(Headcount!$P$4),IF((H$5=2),((SUMIFS(Headcount!$P$6:$P$89,Headcount!$F$6:$F$89,"Marketing",Headcount!$H$6:$H$89,"&gt;="&amp;Marketing!H$3)/12)),G12),IF(YEAR(H$3)=YEAR(Headcount!$Q$4),IF((H$5=2),((SUMIFS(Headcount!$Q$6:$Q$89,Headcount!$F$6:$F$89,"Marketing",Headcount!$H$6:$H$89,"&gt;="&amp;Marketing!H$3)/12)),G12),IF(YEAR(H$3)=YEAR(Headcount!$R$4),IF((H$5=2),((SUMIFS(Headcount!$R$6:$R$89,Headcount!$F$6:$F$89,"Marketing",Headcount!$H$6:$H$89,"&gt;="&amp;Marketing!H$3)/12)),G12),"New Year"))))),'Dept. Cost Actuals'!L320-'Dept. Cost Actuals'!L310)</f>
        <v>32597.474533091296</v>
      </c>
      <c r="I12" s="806">
        <f>IF(I$4="forecast",IF(YEAR(I$3)=YEAR(Headcount!$N$4),((SUMIFS(Headcount!$N$6:$N$89,Headcount!$F$6:$F$89,"Marketing",Headcount!$H$6:$H$89,"&gt;="&amp;Marketing!I$3)/12)),IF(YEAR(I$3)=YEAR(Headcount!$O$4),IF((I$5=2),((SUMIFS(Headcount!$O$6:$O$89,Headcount!$F$6:$F$89,"Marketing",Headcount!$H$6:$H$89,"&gt;="&amp;Marketing!I$3)/12)),H12),IF(YEAR(I$3)=YEAR(Headcount!$P$4),IF((I$5=2),((SUMIFS(Headcount!$P$6:$P$89,Headcount!$F$6:$F$89,"Marketing",Headcount!$H$6:$H$89,"&gt;="&amp;Marketing!I$3)/12)),H12),IF(YEAR(I$3)=YEAR(Headcount!$Q$4),IF((I$5=2),((SUMIFS(Headcount!$Q$6:$Q$89,Headcount!$F$6:$F$89,"Marketing",Headcount!$H$6:$H$89,"&gt;="&amp;Marketing!I$3)/12)),H12),IF(YEAR(I$3)=YEAR(Headcount!$R$4),IF((I$5=2),((SUMIFS(Headcount!$R$6:$R$89,Headcount!$F$6:$F$89,"Marketing",Headcount!$H$6:$H$89,"&gt;="&amp;Marketing!I$3)/12)),H12),"New Year"))))),'Dept. Cost Actuals'!M320-'Dept. Cost Actuals'!M310)</f>
        <v>20875.678505895739</v>
      </c>
      <c r="J12" s="806">
        <f>IF(J$4="forecast",IF(YEAR(J$3)=YEAR(Headcount!$N$4),((SUMIFS(Headcount!$N$6:$N$89,Headcount!$F$6:$F$89,"Marketing",Headcount!$H$6:$H$89,"&gt;="&amp;Marketing!J$3)/12)),IF(YEAR(J$3)=YEAR(Headcount!$O$4),IF((J$5=2),((SUMIFS(Headcount!$O$6:$O$89,Headcount!$F$6:$F$89,"Marketing",Headcount!$H$6:$H$89,"&gt;="&amp;Marketing!J$3)/12)),I12),IF(YEAR(J$3)=YEAR(Headcount!$P$4),IF((J$5=2),((SUMIFS(Headcount!$P$6:$P$89,Headcount!$F$6:$F$89,"Marketing",Headcount!$H$6:$H$89,"&gt;="&amp;Marketing!J$3)/12)),I12),IF(YEAR(J$3)=YEAR(Headcount!$Q$4),IF((J$5=2),((SUMIFS(Headcount!$Q$6:$Q$89,Headcount!$F$6:$F$89,"Marketing",Headcount!$H$6:$H$89,"&gt;="&amp;Marketing!J$3)/12)),I12),IF(YEAR(J$3)=YEAR(Headcount!$R$4),IF((J$5=2),((SUMIFS(Headcount!$R$6:$R$89,Headcount!$F$6:$F$89,"Marketing",Headcount!$H$6:$H$89,"&gt;="&amp;Marketing!J$3)/12)),I12),"New Year"))))),'Dept. Cost Actuals'!N320-'Dept. Cost Actuals'!N310)</f>
        <v>26613.62365656266</v>
      </c>
      <c r="K12" s="806">
        <f>IF(K$4="forecast",IF(YEAR(K$3)=YEAR(Headcount!$N$4),((SUMIFS(Headcount!$N$6:$N$89,Headcount!$F$6:$F$89,"Marketing",Headcount!$H$6:$H$89,"&gt;="&amp;Marketing!K$3)/12)),IF(YEAR(K$3)=YEAR(Headcount!$O$4),IF((K$5=2),((SUMIFS(Headcount!$O$6:$O$89,Headcount!$F$6:$F$89,"Marketing",Headcount!$H$6:$H$89,"&gt;="&amp;Marketing!K$3)/12)),J12),IF(YEAR(K$3)=YEAR(Headcount!$P$4),IF((K$5=2),((SUMIFS(Headcount!$P$6:$P$89,Headcount!$F$6:$F$89,"Marketing",Headcount!$H$6:$H$89,"&gt;="&amp;Marketing!K$3)/12)),J12),IF(YEAR(K$3)=YEAR(Headcount!$Q$4),IF((K$5=2),((SUMIFS(Headcount!$Q$6:$Q$89,Headcount!$F$6:$F$89,"Marketing",Headcount!$H$6:$H$89,"&gt;="&amp;Marketing!K$3)/12)),J12),IF(YEAR(K$3)=YEAR(Headcount!$R$4),IF((K$5=2),((SUMIFS(Headcount!$R$6:$R$89,Headcount!$F$6:$F$89,"Marketing",Headcount!$H$6:$H$89,"&gt;="&amp;Marketing!K$3)/12)),J12),"New Year"))))),'Dept. Cost Actuals'!O320-'Dept. Cost Actuals'!O310)</f>
        <v>21193.009805431531</v>
      </c>
      <c r="L12" s="806">
        <f>IF(L$4="forecast",IF(YEAR(L$3)=YEAR(Headcount!$N$4),((SUMIFS(Headcount!$N$6:$N$89,Headcount!$F$6:$F$89,"Marketing",Headcount!$H$6:$H$89,"&gt;="&amp;Marketing!L$3)/12)),IF(YEAR(L$3)=YEAR(Headcount!$O$4),IF((L$5=2),((SUMIFS(Headcount!$O$6:$O$89,Headcount!$F$6:$F$89,"Marketing",Headcount!$H$6:$H$89,"&gt;="&amp;Marketing!L$3)/12)),K12),IF(YEAR(L$3)=YEAR(Headcount!$P$4),IF((L$5=2),((SUMIFS(Headcount!$P$6:$P$89,Headcount!$F$6:$F$89,"Marketing",Headcount!$H$6:$H$89,"&gt;="&amp;Marketing!L$3)/12)),K12),IF(YEAR(L$3)=YEAR(Headcount!$Q$4),IF((L$5=2),((SUMIFS(Headcount!$Q$6:$Q$89,Headcount!$F$6:$F$89,"Marketing",Headcount!$H$6:$H$89,"&gt;="&amp;Marketing!L$3)/12)),K12),IF(YEAR(L$3)=YEAR(Headcount!$R$4),IF((L$5=2),((SUMIFS(Headcount!$R$6:$R$89,Headcount!$F$6:$F$89,"Marketing",Headcount!$H$6:$H$89,"&gt;="&amp;Marketing!L$3)/12)),K12),"New Year"))))),'Dept. Cost Actuals'!P320-'Dept. Cost Actuals'!P310)</f>
        <v>21044.053082243863</v>
      </c>
      <c r="M12" s="806">
        <f>IF(M$4="forecast",IF(YEAR(M$3)=YEAR(Headcount!$N$4),((SUMIFS(Headcount!$N$6:$N$89,Headcount!$F$6:$F$89,"Marketing",Headcount!$H$6:$H$89,"&gt;="&amp;Marketing!M$3)/12)),IF(YEAR(M$3)=YEAR(Headcount!$O$4),IF((M$5=2),((SUMIFS(Headcount!$O$6:$O$89,Headcount!$F$6:$F$89,"Marketing",Headcount!$H$6:$H$89,"&gt;="&amp;Marketing!M$3)/12)),L12),IF(YEAR(M$3)=YEAR(Headcount!$P$4),IF((M$5=2),((SUMIFS(Headcount!$P$6:$P$89,Headcount!$F$6:$F$89,"Marketing",Headcount!$H$6:$H$89,"&gt;="&amp;Marketing!M$3)/12)),L12),IF(YEAR(M$3)=YEAR(Headcount!$Q$4),IF((M$5=2),((SUMIFS(Headcount!$Q$6:$Q$89,Headcount!$F$6:$F$89,"Marketing",Headcount!$H$6:$H$89,"&gt;="&amp;Marketing!M$3)/12)),L12),IF(YEAR(M$3)=YEAR(Headcount!$R$4),IF((M$5=2),((SUMIFS(Headcount!$R$6:$R$89,Headcount!$F$6:$F$89,"Marketing",Headcount!$H$6:$H$89,"&gt;="&amp;Marketing!M$3)/12)),L12),"New Year"))))),'Dept. Cost Actuals'!Q320-'Dept. Cost Actuals'!Q310)</f>
        <v>29239.730087666318</v>
      </c>
      <c r="N12" s="806">
        <f>IF(N$4="forecast",IF(YEAR(N$3)=YEAR(Headcount!$N$4),((SUMIFS(Headcount!$N$6:$N$89,Headcount!$F$6:$F$89,"Marketing",Headcount!$H$6:$H$89,"&gt;="&amp;Marketing!N$3)/12)),IF(YEAR(N$3)=YEAR(Headcount!$O$4),IF((N$5=2),((SUMIFS(Headcount!$O$6:$O$89,Headcount!$F$6:$F$89,"Marketing",Headcount!$H$6:$H$89,"&gt;="&amp;Marketing!N$3)/12)),M12),IF(YEAR(N$3)=YEAR(Headcount!$P$4),IF((N$5=2),((SUMIFS(Headcount!$P$6:$P$89,Headcount!$F$6:$F$89,"Marketing",Headcount!$H$6:$H$89,"&gt;="&amp;Marketing!N$3)/12)),M12),IF(YEAR(N$3)=YEAR(Headcount!$Q$4),IF((N$5=2),((SUMIFS(Headcount!$Q$6:$Q$89,Headcount!$F$6:$F$89,"Marketing",Headcount!$H$6:$H$89,"&gt;="&amp;Marketing!N$3)/12)),M12),IF(YEAR(N$3)=YEAR(Headcount!$R$4),IF((N$5=2),((SUMIFS(Headcount!$R$6:$R$89,Headcount!$F$6:$F$89,"Marketing",Headcount!$H$6:$H$89,"&gt;="&amp;Marketing!N$3)/12)),M12),"New Year"))))),'Dept. Cost Actuals'!R320-'Dept. Cost Actuals'!R310)</f>
        <v>30805.010394118137</v>
      </c>
      <c r="O12" s="806">
        <f>IF(O$4="forecast",IF(YEAR(O$3)=YEAR(Headcount!$N$4),((SUMIFS(Headcount!$N$6:$N$89,Headcount!$F$6:$F$89,"Marketing",Headcount!$H$6:$H$89,"&gt;="&amp;Marketing!O$3)/12)),IF(YEAR(O$3)=YEAR(Headcount!$O$4),IF((O$5=2),((SUMIFS(Headcount!$O$6:$O$89,Headcount!$F$6:$F$89,"Marketing",Headcount!$H$6:$H$89,"&gt;="&amp;Marketing!O$3)/12)),N12),IF(YEAR(O$3)=YEAR(Headcount!$P$4),IF((O$5=2),((SUMIFS(Headcount!$P$6:$P$89,Headcount!$F$6:$F$89,"Marketing",Headcount!$H$6:$H$89,"&gt;="&amp;Marketing!O$3)/12)),N12),IF(YEAR(O$3)=YEAR(Headcount!$Q$4),IF((O$5=2),((SUMIFS(Headcount!$Q$6:$Q$89,Headcount!$F$6:$F$89,"Marketing",Headcount!$H$6:$H$89,"&gt;="&amp;Marketing!O$3)/12)),N12),IF(YEAR(O$3)=YEAR(Headcount!$R$4),IF((O$5=2),((SUMIFS(Headcount!$R$6:$R$89,Headcount!$F$6:$F$89,"Marketing",Headcount!$H$6:$H$89,"&gt;="&amp;Marketing!O$3)/12)),N12),"New Year"))))),'Dept. Cost Actuals'!S320-'Dept. Cost Actuals'!S310)</f>
        <v>15541.669999999998</v>
      </c>
      <c r="P12" s="806">
        <f>IF(P$4="forecast",IF(YEAR(P$3)=YEAR(Headcount!$N$4),((SUMIFS(Headcount!$N$6:$N$89,Headcount!$F$6:$F$89,"Marketing",Headcount!$H$6:$H$89,"&gt;="&amp;Marketing!P$3)/12)),IF(YEAR(P$3)=YEAR(Headcount!$O$4),IF((P$5=2),((SUMIFS(Headcount!$O$6:$O$89,Headcount!$F$6:$F$89,"Marketing",Headcount!$H$6:$H$89,"&gt;="&amp;Marketing!P$3)/12)),O12),IF(YEAR(P$3)=YEAR(Headcount!$P$4),IF((P$5=2),((SUMIFS(Headcount!$P$6:$P$89,Headcount!$F$6:$F$89,"Marketing",Headcount!$H$6:$H$89,"&gt;="&amp;Marketing!P$3)/12)),O12),IF(YEAR(P$3)=YEAR(Headcount!$Q$4),IF((P$5=2),((SUMIFS(Headcount!$Q$6:$Q$89,Headcount!$F$6:$F$89,"Marketing",Headcount!$H$6:$H$89,"&gt;="&amp;Marketing!P$3)/12)),O12),IF(YEAR(P$3)=YEAR(Headcount!$R$4),IF((P$5=2),((SUMIFS(Headcount!$R$6:$R$89,Headcount!$F$6:$F$89,"Marketing",Headcount!$H$6:$H$89,"&gt;="&amp;Marketing!P$3)/12)),O12),"New Year"))))),'Dept. Cost Actuals'!T320-'Dept. Cost Actuals'!T310)</f>
        <v>12499.58</v>
      </c>
      <c r="Q12" s="806">
        <f>IF(Q$4="forecast",IF(YEAR(Q$3)=YEAR(Headcount!$N$4),((SUMIFS(Headcount!$N$6:$N$89,Headcount!$F$6:$F$89,"Marketing",Headcount!$H$6:$H$89,"&gt;="&amp;Marketing!Q$3)/12)),IF(YEAR(Q$3)=YEAR(Headcount!$O$4),IF((Q$5=2),((SUMIFS(Headcount!$O$6:$O$89,Headcount!$F$6:$F$89,"Marketing",Headcount!$H$6:$H$89,"&gt;="&amp;Marketing!Q$3)/12)),P12),IF(YEAR(Q$3)=YEAR(Headcount!$P$4),IF((Q$5=2),((SUMIFS(Headcount!$P$6:$P$89,Headcount!$F$6:$F$89,"Marketing",Headcount!$H$6:$H$89,"&gt;="&amp;Marketing!Q$3)/12)),P12),IF(YEAR(Q$3)=YEAR(Headcount!$Q$4),IF((Q$5=2),((SUMIFS(Headcount!$Q$6:$Q$89,Headcount!$F$6:$F$89,"Marketing",Headcount!$H$6:$H$89,"&gt;="&amp;Marketing!Q$3)/12)),P12),IF(YEAR(Q$3)=YEAR(Headcount!$R$4),IF((Q$5=2),((SUMIFS(Headcount!$R$6:$R$89,Headcount!$F$6:$F$89,"Marketing",Headcount!$H$6:$H$89,"&gt;="&amp;Marketing!Q$3)/12)),P12),"New Year"))))),'Dept. Cost Actuals'!U320-'Dept. Cost Actuals'!U310)</f>
        <v>23724.5</v>
      </c>
      <c r="R12" s="806">
        <f>IF(R$4="forecast",IF(YEAR(R$3)=YEAR(Headcount!$N$4),((SUMIFS(Headcount!$N$6:$N$89,Headcount!$F$6:$F$89,"Marketing",Headcount!$H$6:$H$89,"&gt;="&amp;Marketing!R$3)/12)),IF(YEAR(R$3)=YEAR(Headcount!$O$4),IF((R$5=2),((SUMIFS(Headcount!$O$6:$O$89,Headcount!$F$6:$F$89,"Marketing",Headcount!$H$6:$H$89,"&gt;="&amp;Marketing!R$3)/12)),Q12),IF(YEAR(R$3)=YEAR(Headcount!$P$4),IF((R$5=2),((SUMIFS(Headcount!$P$6:$P$89,Headcount!$F$6:$F$89,"Marketing",Headcount!$H$6:$H$89,"&gt;="&amp;Marketing!R$3)/12)),Q12),IF(YEAR(R$3)=YEAR(Headcount!$Q$4),IF((R$5=2),((SUMIFS(Headcount!$Q$6:$Q$89,Headcount!$F$6:$F$89,"Marketing",Headcount!$H$6:$H$89,"&gt;="&amp;Marketing!R$3)/12)),Q12),IF(YEAR(R$3)=YEAR(Headcount!$R$4),IF((R$5=2),((SUMIFS(Headcount!$R$6:$R$89,Headcount!$F$6:$F$89,"Marketing",Headcount!$H$6:$H$89,"&gt;="&amp;Marketing!R$3)/12)),Q12),"New Year"))))),'Dept. Cost Actuals'!V320-'Dept. Cost Actuals'!V310)</f>
        <v>5189.29</v>
      </c>
      <c r="S12" s="806">
        <f>IF(S$4="forecast",IF(YEAR(S$3)=YEAR(Headcount!$N$4),((SUMIFS(Headcount!$N$6:$N$89,Headcount!$F$6:$F$89,"Marketing",Headcount!$H$6:$H$89,"&gt;="&amp;Marketing!S$3)/12)),IF(YEAR(S$3)=YEAR(Headcount!$O$4),IF((S$5=2),((SUMIFS(Headcount!$O$6:$O$89,Headcount!$F$6:$F$89,"Marketing",Headcount!$H$6:$H$89,"&gt;="&amp;Marketing!S$3)/12)),R12),IF(YEAR(S$3)=YEAR(Headcount!$P$4),IF((S$5=2),((SUMIFS(Headcount!$P$6:$P$89,Headcount!$F$6:$F$89,"Marketing",Headcount!$H$6:$H$89,"&gt;="&amp;Marketing!S$3)/12)),R12),IF(YEAR(S$3)=YEAR(Headcount!$Q$4),IF((S$5=2),((SUMIFS(Headcount!$Q$6:$Q$89,Headcount!$F$6:$F$89,"Marketing",Headcount!$H$6:$H$89,"&gt;="&amp;Marketing!S$3)/12)),R12),IF(YEAR(S$3)=YEAR(Headcount!$R$4),IF((S$5=2),((SUMIFS(Headcount!$R$6:$R$89,Headcount!$F$6:$F$89,"Marketing",Headcount!$H$6:$H$89,"&gt;="&amp;Marketing!S$3)/12)),R12),"New Year"))))),'Dept. Cost Actuals'!W320-'Dept. Cost Actuals'!W310)</f>
        <v>20004.400000000001</v>
      </c>
      <c r="T12" s="806">
        <f>IF(T$4="forecast",IF(YEAR(T$3)=YEAR(Headcount!$N$4),((SUMIFS(Headcount!$N$6:$N$89,Headcount!$F$6:$F$89,"Marketing",Headcount!$H$6:$H$89,"&gt;="&amp;Marketing!T$3)/12)),IF(YEAR(T$3)=YEAR(Headcount!$O$4),IF((T$5=2),((SUMIFS(Headcount!$O$6:$O$89,Headcount!$F$6:$F$89,"Marketing",Headcount!$H$6:$H$89,"&gt;="&amp;Marketing!T$3)/12)),S12),IF(YEAR(T$3)=YEAR(Headcount!$P$4),IF((T$5=2),((SUMIFS(Headcount!$P$6:$P$89,Headcount!$F$6:$F$89,"Marketing",Headcount!$H$6:$H$89,"&gt;="&amp;Marketing!T$3)/12)),S12),IF(YEAR(T$3)=YEAR(Headcount!$Q$4),IF((T$5=2),((SUMIFS(Headcount!$Q$6:$Q$89,Headcount!$F$6:$F$89,"Marketing",Headcount!$H$6:$H$89,"&gt;="&amp;Marketing!T$3)/12)),S12),IF(YEAR(T$3)=YEAR(Headcount!$R$4),IF((T$5=2),((SUMIFS(Headcount!$R$6:$R$89,Headcount!$F$6:$F$89,"Marketing",Headcount!$H$6:$H$89,"&gt;="&amp;Marketing!T$3)/12)),S12),"New Year"))))),'Dept. Cost Actuals'!X320-'Dept. Cost Actuals'!X310)</f>
        <v>19328.559999999998</v>
      </c>
      <c r="U12" s="806">
        <f>IF(U$4="forecast",IF(YEAR(U$3)=YEAR(Headcount!$N$4),((SUMIFS(Headcount!$N$6:$N$89,Headcount!$F$6:$F$89,"Marketing",Headcount!$H$6:$H$89,"&gt;="&amp;Marketing!U$3)/12)),IF(YEAR(U$3)=YEAR(Headcount!$O$4),IF((U$5=2),((SUMIFS(Headcount!$O$6:$O$89,Headcount!$F$6:$F$89,"Marketing",Headcount!$H$6:$H$89,"&gt;="&amp;Marketing!U$3)/12)),T12),IF(YEAR(U$3)=YEAR(Headcount!$P$4),IF((U$5=2),((SUMIFS(Headcount!$P$6:$P$89,Headcount!$F$6:$F$89,"Marketing",Headcount!$H$6:$H$89,"&gt;="&amp;Marketing!U$3)/12)),T12),IF(YEAR(U$3)=YEAR(Headcount!$Q$4),IF((U$5=2),((SUMIFS(Headcount!$Q$6:$Q$89,Headcount!$F$6:$F$89,"Marketing",Headcount!$H$6:$H$89,"&gt;="&amp;Marketing!U$3)/12)),T12),IF(YEAR(U$3)=YEAR(Headcount!$R$4),IF((U$5=2),((SUMIFS(Headcount!$R$6:$R$89,Headcount!$F$6:$F$89,"Marketing",Headcount!$H$6:$H$89,"&gt;="&amp;Marketing!U$3)/12)),T12),"New Year"))))),'Dept. Cost Actuals'!Y320-'Dept. Cost Actuals'!Y310)</f>
        <v>22269.559999999998</v>
      </c>
      <c r="V12" s="806">
        <f>IF(V$4="forecast",IF(YEAR(V$3)=YEAR(Headcount!$N$4),((SUMIFS(Headcount!$N$6:$N$89,Headcount!$F$6:$F$89,"Marketing",Headcount!$H$6:$H$89,"&gt;="&amp;Marketing!V$3)/12)),IF(YEAR(V$3)=YEAR(Headcount!$O$4),IF((V$5=2),((SUMIFS(Headcount!$O$6:$O$89,Headcount!$F$6:$F$89,"Marketing",Headcount!$H$6:$H$89,"&gt;="&amp;Marketing!V$3)/12)),U12),IF(YEAR(V$3)=YEAR(Headcount!$P$4),IF((V$5=2),((SUMIFS(Headcount!$P$6:$P$89,Headcount!$F$6:$F$89,"Marketing",Headcount!$H$6:$H$89,"&gt;="&amp;Marketing!V$3)/12)),U12),IF(YEAR(V$3)=YEAR(Headcount!$Q$4),IF((V$5=2),((SUMIFS(Headcount!$Q$6:$Q$89,Headcount!$F$6:$F$89,"Marketing",Headcount!$H$6:$H$89,"&gt;="&amp;Marketing!V$3)/12)),U12),IF(YEAR(V$3)=YEAR(Headcount!$R$4),IF((V$5=2),((SUMIFS(Headcount!$R$6:$R$89,Headcount!$F$6:$F$89,"Marketing",Headcount!$H$6:$H$89,"&gt;="&amp;Marketing!V$3)/12)),U12),"New Year"))))),'Dept. Cost Actuals'!Z320-'Dept. Cost Actuals'!Z310)</f>
        <v>21251.800000000003</v>
      </c>
      <c r="W12" s="806">
        <f>IF(W$4="forecast",IF(YEAR(W$3)=YEAR(Headcount!$N$4),((SUMIFS(Headcount!$N$6:$N$89,Headcount!$F$6:$F$89,"Marketing",Headcount!$H$6:$H$89,"&gt;="&amp;Marketing!W$3)/12)),IF(YEAR(W$3)=YEAR(Headcount!$O$4),IF((W$5=2),((SUMIFS(Headcount!$O$6:$O$89,Headcount!$F$6:$F$89,"Marketing",Headcount!$H$6:$H$89,"&gt;="&amp;Marketing!W$3)/12)),V12),IF(YEAR(W$3)=YEAR(Headcount!$P$4),IF((W$5=2),((SUMIFS(Headcount!$P$6:$P$89,Headcount!$F$6:$F$89,"Marketing",Headcount!$H$6:$H$89,"&gt;="&amp;Marketing!W$3)/12)),V12),IF(YEAR(W$3)=YEAR(Headcount!$Q$4),IF((W$5=2),((SUMIFS(Headcount!$Q$6:$Q$89,Headcount!$F$6:$F$89,"Marketing",Headcount!$H$6:$H$89,"&gt;="&amp;Marketing!W$3)/12)),V12),IF(YEAR(W$3)=YEAR(Headcount!$R$4),IF((W$5=2),((SUMIFS(Headcount!$R$6:$R$89,Headcount!$F$6:$F$89,"Marketing",Headcount!$H$6:$H$89,"&gt;="&amp;Marketing!W$3)/12)),V12),"New Year"))))),'Dept. Cost Actuals'!AA320-'Dept. Cost Actuals'!AA310)</f>
        <v>16798.96</v>
      </c>
      <c r="X12" s="806">
        <f>IF(X$4="forecast",IF(YEAR(X$3)=YEAR(Headcount!$N$4),((SUMIFS(Headcount!$N$6:$N$89,Headcount!$F$6:$F$89,"Marketing",Headcount!$H$6:$H$89,"&gt;="&amp;Marketing!X$3)/12)),IF(YEAR(X$3)=YEAR(Headcount!$O$4),IF((X$5=2),((SUMIFS(Headcount!$O$6:$O$89,Headcount!$F$6:$F$89,"Marketing",Headcount!$H$6:$H$89,"&gt;="&amp;Marketing!X$3)/12)),W12),IF(YEAR(X$3)=YEAR(Headcount!$P$4),IF((X$5=2),((SUMIFS(Headcount!$P$6:$P$89,Headcount!$F$6:$F$89,"Marketing",Headcount!$H$6:$H$89,"&gt;="&amp;Marketing!X$3)/12)),W12),IF(YEAR(X$3)=YEAR(Headcount!$Q$4),IF((X$5=2),((SUMIFS(Headcount!$Q$6:$Q$89,Headcount!$F$6:$F$89,"Marketing",Headcount!$H$6:$H$89,"&gt;="&amp;Marketing!X$3)/12)),W12),IF(YEAR(X$3)=YEAR(Headcount!$R$4),IF((X$5=2),((SUMIFS(Headcount!$R$6:$R$89,Headcount!$F$6:$F$89,"Marketing",Headcount!$H$6:$H$89,"&gt;="&amp;Marketing!X$3)/12)),W12),"New Year"))))),'Dept. Cost Actuals'!AB320-'Dept. Cost Actuals'!AB310)</f>
        <v>27962.9</v>
      </c>
      <c r="Y12" s="806">
        <f>IF(Y$4="forecast",IF(YEAR(Y$3)=YEAR(Headcount!$N$4),((SUMIFS(Headcount!$N$6:$N$89,Headcount!$F$6:$F$89,"Marketing",Headcount!$H$6:$H$89,"&gt;="&amp;Marketing!Y$3)/12)),IF(YEAR(Y$3)=YEAR(Headcount!$O$4),IF((Y$5=2),((SUMIFS(Headcount!$O$6:$O$89,Headcount!$F$6:$F$89,"Marketing",Headcount!$H$6:$H$89,"&gt;="&amp;Marketing!Y$3)/12)),X12),IF(YEAR(Y$3)=YEAR(Headcount!$P$4),IF((Y$5=2),((SUMIFS(Headcount!$P$6:$P$89,Headcount!$F$6:$F$89,"Marketing",Headcount!$H$6:$H$89,"&gt;="&amp;Marketing!Y$3)/12)),X12),IF(YEAR(Y$3)=YEAR(Headcount!$Q$4),IF((Y$5=2),((SUMIFS(Headcount!$Q$6:$Q$89,Headcount!$F$6:$F$89,"Marketing",Headcount!$H$6:$H$89,"&gt;="&amp;Marketing!Y$3)/12)),X12),IF(YEAR(Y$3)=YEAR(Headcount!$R$4),IF((Y$5=2),((SUMIFS(Headcount!$R$6:$R$89,Headcount!$F$6:$F$89,"Marketing",Headcount!$H$6:$H$89,"&gt;="&amp;Marketing!Y$3)/12)),X12),"New Year"))))),'Dept. Cost Actuals'!AC320-'Dept. Cost Actuals'!AC310)</f>
        <v>25394.78</v>
      </c>
      <c r="Z12" s="806">
        <f>IF(Z$4="forecast",IF(YEAR(Z$3)=YEAR(Headcount!$N$4),((SUMIFS(Headcount!$N$6:$N$89,Headcount!$F$6:$F$89,"Marketing",Headcount!$H$6:$H$89,"&gt;="&amp;Marketing!Z$3)/12)),IF(YEAR(Z$3)=YEAR(Headcount!$O$4),IF((Z$5=2),((SUMIFS(Headcount!$O$6:$O$89,Headcount!$F$6:$F$89,"Marketing",Headcount!$H$6:$H$89,"&gt;="&amp;Marketing!Z$3)/12)),Y12),IF(YEAR(Z$3)=YEAR(Headcount!$P$4),IF((Z$5=2),((SUMIFS(Headcount!$P$6:$P$89,Headcount!$F$6:$F$89,"Marketing",Headcount!$H$6:$H$89,"&gt;="&amp;Marketing!Z$3)/12)),Y12),IF(YEAR(Z$3)=YEAR(Headcount!$Q$4),IF((Z$5=2),((SUMIFS(Headcount!$Q$6:$Q$89,Headcount!$F$6:$F$89,"Marketing",Headcount!$H$6:$H$89,"&gt;="&amp;Marketing!Z$3)/12)),Y12),IF(YEAR(Z$3)=YEAR(Headcount!$R$4),IF((Z$5=2),((SUMIFS(Headcount!$R$6:$R$89,Headcount!$F$6:$F$89,"Marketing",Headcount!$H$6:$H$89,"&gt;="&amp;Marketing!Z$3)/12)),Y12),"New Year"))))),'Dept. Cost Actuals'!AD320-'Dept. Cost Actuals'!AD310)</f>
        <v>28577.41</v>
      </c>
      <c r="AA12" s="806">
        <f>IF(AA$4="forecast",IF(YEAR(AA$3)=YEAR(Headcount!$N$4),((SUMIFS(Headcount!$N$6:$N$89,Headcount!$F$6:$F$89,"Marketing",Headcount!$H$6:$H$89,"&gt;="&amp;Marketing!AA$3)/12)),IF(YEAR(AA$3)=YEAR(Headcount!$O$4),IF((AA$5=2),((SUMIFS(Headcount!$O$6:$O$89,Headcount!$F$6:$F$89,"Marketing",Headcount!$H$6:$H$89,"&gt;="&amp;Marketing!AA$3)/12)),Z12),IF(YEAR(AA$3)=YEAR(Headcount!$P$4),IF((AA$5=2),((SUMIFS(Headcount!$P$6:$P$89,Headcount!$F$6:$F$89,"Marketing",Headcount!$H$6:$H$89,"&gt;="&amp;Marketing!AA$3)/12)),Z12),IF(YEAR(AA$3)=YEAR(Headcount!$Q$4),IF((AA$5=2),((SUMIFS(Headcount!$Q$6:$Q$89,Headcount!$F$6:$F$89,"Marketing",Headcount!$H$6:$H$89,"&gt;="&amp;Marketing!AA$3)/12)),Z12),IF(YEAR(AA$3)=YEAR(Headcount!$R$4),IF((AA$5=2),((SUMIFS(Headcount!$R$6:$R$89,Headcount!$F$6:$F$89,"Marketing",Headcount!$H$6:$H$89,"&gt;="&amp;Marketing!AA$3)/12)),Z12),"New Year"))))),'Dept. Cost Actuals'!AE320-'Dept. Cost Actuals'!AE310)</f>
        <v>28577.41</v>
      </c>
      <c r="AB12" s="806">
        <f>IF(AB$4="forecast",IF(YEAR(AB$3)=YEAR(Headcount!$N$4),((SUMIFS(Headcount!$N$6:$N$89,Headcount!$F$6:$F$89,"Marketing",Headcount!$H$6:$H$89,"&gt;="&amp;Marketing!AB$3)/12)),IF(YEAR(AB$3)=YEAR(Headcount!$O$4),IF((AB$5=2),((SUMIFS(Headcount!$O$6:$O$89,Headcount!$F$6:$F$89,"Marketing",Headcount!$H$6:$H$89,"&gt;="&amp;Marketing!AB$3)/12)),AA12),IF(YEAR(AB$3)=YEAR(Headcount!$P$4),IF((AB$5=2),((SUMIFS(Headcount!$P$6:$P$89,Headcount!$F$6:$F$89,"Marketing",Headcount!$H$6:$H$89,"&gt;="&amp;Marketing!AB$3)/12)),AA12),IF(YEAR(AB$3)=YEAR(Headcount!$Q$4),IF((AB$5=2),((SUMIFS(Headcount!$Q$6:$Q$89,Headcount!$F$6:$F$89,"Marketing",Headcount!$H$6:$H$89,"&gt;="&amp;Marketing!AB$3)/12)),AA12),IF(YEAR(AB$3)=YEAR(Headcount!$R$4),IF((AB$5=2),((SUMIFS(Headcount!$R$6:$R$89,Headcount!$F$6:$F$89,"Marketing",Headcount!$H$6:$H$89,"&gt;="&amp;Marketing!AB$3)/12)),AA12),"New Year"))))),'Dept. Cost Actuals'!AF320-'Dept. Cost Actuals'!AF310)</f>
        <v>58468.75</v>
      </c>
      <c r="AC12" s="806">
        <f>IF(AC$4="forecast",IF(YEAR(AC$3)=YEAR(Headcount!$N$4),((SUMIFS(Headcount!$N$6:$N$89,Headcount!$F$6:$F$89,"Marketing",Headcount!$H$6:$H$89,"&gt;="&amp;Marketing!AC$3)/12)),IF(YEAR(AC$3)=YEAR(Headcount!$O$4),IF((AC$5=2),((SUMIFS(Headcount!$O$6:$O$89,Headcount!$F$6:$F$89,"Marketing",Headcount!$H$6:$H$89,"&gt;="&amp;Marketing!AC$3)/12)),AB12),IF(YEAR(AC$3)=YEAR(Headcount!$P$4),IF((AC$5=2),((SUMIFS(Headcount!$P$6:$P$89,Headcount!$F$6:$F$89,"Marketing",Headcount!$H$6:$H$89,"&gt;="&amp;Marketing!AC$3)/12)),AB12),IF(YEAR(AC$3)=YEAR(Headcount!$Q$4),IF((AC$5=2),((SUMIFS(Headcount!$Q$6:$Q$89,Headcount!$F$6:$F$89,"Marketing",Headcount!$H$6:$H$89,"&gt;="&amp;Marketing!AC$3)/12)),AB12),IF(YEAR(AC$3)=YEAR(Headcount!$R$4),IF((AC$5=2),((SUMIFS(Headcount!$R$6:$R$89,Headcount!$F$6:$F$89,"Marketing",Headcount!$H$6:$H$89,"&gt;="&amp;Marketing!AC$3)/12)),AB12),"New Year"))))),'Dept. Cost Actuals'!AG320-'Dept. Cost Actuals'!AG310)</f>
        <v>58468.75</v>
      </c>
      <c r="AD12" s="806">
        <f>IF(AD$4="forecast",IF(YEAR(AD$3)=YEAR(Headcount!$N$4),((SUMIFS(Headcount!$N$6:$N$89,Headcount!$F$6:$F$89,"Marketing",Headcount!$H$6:$H$89,"&gt;="&amp;Marketing!AD$3)/12)),IF(YEAR(AD$3)=YEAR(Headcount!$O$4),IF((AD$5=2),((SUMIFS(Headcount!$O$6:$O$89,Headcount!$F$6:$F$89,"Marketing",Headcount!$H$6:$H$89,"&gt;="&amp;Marketing!AD$3)/12)),AC12),IF(YEAR(AD$3)=YEAR(Headcount!$P$4),IF((AD$5=2),((SUMIFS(Headcount!$P$6:$P$89,Headcount!$F$6:$F$89,"Marketing",Headcount!$H$6:$H$89,"&gt;="&amp;Marketing!AD$3)/12)),AC12),IF(YEAR(AD$3)=YEAR(Headcount!$Q$4),IF((AD$5=2),((SUMIFS(Headcount!$Q$6:$Q$89,Headcount!$F$6:$F$89,"Marketing",Headcount!$H$6:$H$89,"&gt;="&amp;Marketing!AD$3)/12)),AC12),IF(YEAR(AD$3)=YEAR(Headcount!$R$4),IF((AD$5=2),((SUMIFS(Headcount!$R$6:$R$89,Headcount!$F$6:$F$89,"Marketing",Headcount!$H$6:$H$89,"&gt;="&amp;Marketing!AD$3)/12)),AC12),"New Year"))))),'Dept. Cost Actuals'!AH320-'Dept. Cost Actuals'!AH310)</f>
        <v>58468.75</v>
      </c>
      <c r="AE12" s="806">
        <f>IF(AE$4="forecast",IF(YEAR(AE$3)=YEAR(Headcount!$N$4),((SUMIFS(Headcount!$N$6:$N$89,Headcount!$F$6:$F$89,"Marketing",Headcount!$H$6:$H$89,"&gt;="&amp;Marketing!AE$3)/12)),IF(YEAR(AE$3)=YEAR(Headcount!$O$4),IF((AE$5=2),((SUMIFS(Headcount!$O$6:$O$89,Headcount!$F$6:$F$89,"Marketing",Headcount!$H$6:$H$89,"&gt;="&amp;Marketing!AE$3)/12)),AD12),IF(YEAR(AE$3)=YEAR(Headcount!$P$4),IF((AE$5=2),((SUMIFS(Headcount!$P$6:$P$89,Headcount!$F$6:$F$89,"Marketing",Headcount!$H$6:$H$89,"&gt;="&amp;Marketing!AE$3)/12)),AD12),IF(YEAR(AE$3)=YEAR(Headcount!$Q$4),IF((AE$5=2),((SUMIFS(Headcount!$Q$6:$Q$89,Headcount!$F$6:$F$89,"Marketing",Headcount!$H$6:$H$89,"&gt;="&amp;Marketing!AE$3)/12)),AD12),IF(YEAR(AE$3)=YEAR(Headcount!$R$4),IF((AE$5=2),((SUMIFS(Headcount!$R$6:$R$89,Headcount!$F$6:$F$89,"Marketing",Headcount!$H$6:$H$89,"&gt;="&amp;Marketing!AE$3)/12)),AD12),"New Year"))))),'Dept. Cost Actuals'!AI320-'Dept. Cost Actuals'!AI310)</f>
        <v>58468.75</v>
      </c>
      <c r="AF12" s="806">
        <f>IF(AF$4="forecast",IF(YEAR(AF$3)=YEAR(Headcount!$N$4),((SUMIFS(Headcount!$N$6:$N$89,Headcount!$F$6:$F$89,"Marketing",Headcount!$H$6:$H$89,"&gt;="&amp;Marketing!AF$3)/12)),IF(YEAR(AF$3)=YEAR(Headcount!$O$4),IF((AF$5=2),((SUMIFS(Headcount!$O$6:$O$89,Headcount!$F$6:$F$89,"Marketing",Headcount!$H$6:$H$89,"&gt;="&amp;Marketing!AF$3)/12)),AE12),IF(YEAR(AF$3)=YEAR(Headcount!$P$4),IF((AF$5=2),((SUMIFS(Headcount!$P$6:$P$89,Headcount!$F$6:$F$89,"Marketing",Headcount!$H$6:$H$89,"&gt;="&amp;Marketing!AF$3)/12)),AE12),IF(YEAR(AF$3)=YEAR(Headcount!$Q$4),IF((AF$5=2),((SUMIFS(Headcount!$Q$6:$Q$89,Headcount!$F$6:$F$89,"Marketing",Headcount!$H$6:$H$89,"&gt;="&amp;Marketing!AF$3)/12)),AE12),IF(YEAR(AF$3)=YEAR(Headcount!$R$4),IF((AF$5=2),((SUMIFS(Headcount!$R$6:$R$89,Headcount!$F$6:$F$89,"Marketing",Headcount!$H$6:$H$89,"&gt;="&amp;Marketing!AF$3)/12)),AE12),"New Year"))))),'Dept. Cost Actuals'!AJ320-'Dept. Cost Actuals'!AJ310)</f>
        <v>58468.75</v>
      </c>
      <c r="AG12" s="806">
        <f>IF(AG$4="forecast",IF(YEAR(AG$3)=YEAR(Headcount!$N$4),((SUMIFS(Headcount!$N$6:$N$89,Headcount!$F$6:$F$89,"Marketing",Headcount!$H$6:$H$89,"&gt;="&amp;Marketing!AG$3)/12)),IF(YEAR(AG$3)=YEAR(Headcount!$O$4),IF((AG$5=2),((SUMIFS(Headcount!$O$6:$O$89,Headcount!$F$6:$F$89,"Marketing",Headcount!$H$6:$H$89,"&gt;="&amp;Marketing!AG$3)/12)),AF12),IF(YEAR(AG$3)=YEAR(Headcount!$P$4),IF((AG$5=2),((SUMIFS(Headcount!$P$6:$P$89,Headcount!$F$6:$F$89,"Marketing",Headcount!$H$6:$H$89,"&gt;="&amp;Marketing!AG$3)/12)),AF12),IF(YEAR(AG$3)=YEAR(Headcount!$Q$4),IF((AG$5=2),((SUMIFS(Headcount!$Q$6:$Q$89,Headcount!$F$6:$F$89,"Marketing",Headcount!$H$6:$H$89,"&gt;="&amp;Marketing!AG$3)/12)),AF12),IF(YEAR(AG$3)=YEAR(Headcount!$R$4),IF((AG$5=2),((SUMIFS(Headcount!$R$6:$R$89,Headcount!$F$6:$F$89,"Marketing",Headcount!$H$6:$H$89,"&gt;="&amp;Marketing!AG$3)/12)),AF12),"New Year"))))),'Dept. Cost Actuals'!AK320-'Dept. Cost Actuals'!AK310)</f>
        <v>58468.75</v>
      </c>
      <c r="AH12" s="806">
        <f>IF(AH$4="forecast",IF(YEAR(AH$3)=YEAR(Headcount!$N$4),((SUMIFS(Headcount!$N$6:$N$89,Headcount!$F$6:$F$89,"Marketing",Headcount!$H$6:$H$89,"&gt;="&amp;Marketing!AH$3)/12)),IF(YEAR(AH$3)=YEAR(Headcount!$O$4),IF((AH$5=2),((SUMIFS(Headcount!$O$6:$O$89,Headcount!$F$6:$F$89,"Marketing",Headcount!$H$6:$H$89,"&gt;="&amp;Marketing!AH$3)/12)),AG12),IF(YEAR(AH$3)=YEAR(Headcount!$P$4),IF((AH$5=2),((SUMIFS(Headcount!$P$6:$P$89,Headcount!$F$6:$F$89,"Marketing",Headcount!$H$6:$H$89,"&gt;="&amp;Marketing!AH$3)/12)),AG12),IF(YEAR(AH$3)=YEAR(Headcount!$Q$4),IF((AH$5=2),((SUMIFS(Headcount!$Q$6:$Q$89,Headcount!$F$6:$F$89,"Marketing",Headcount!$H$6:$H$89,"&gt;="&amp;Marketing!AH$3)/12)),AG12),IF(YEAR(AH$3)=YEAR(Headcount!$R$4),IF((AH$5=2),((SUMIFS(Headcount!$R$6:$R$89,Headcount!$F$6:$F$89,"Marketing",Headcount!$H$6:$H$89,"&gt;="&amp;Marketing!AH$3)/12)),AG12),"New Year"))))),'Dept. Cost Actuals'!AL320-'Dept. Cost Actuals'!AL310)</f>
        <v>58468.75</v>
      </c>
      <c r="AI12" s="806">
        <f>IF(AI$4="forecast",IF(YEAR(AI$3)=YEAR(Headcount!$N$4),((SUMIFS(Headcount!$N$6:$N$89,Headcount!$F$6:$F$89,"Marketing",Headcount!$H$6:$H$89,"&gt;="&amp;Marketing!AI$3)/12)),IF(YEAR(AI$3)=YEAR(Headcount!$O$4),IF((AI$5=2),((SUMIFS(Headcount!$O$6:$O$89,Headcount!$F$6:$F$89,"Marketing",Headcount!$H$6:$H$89,"&gt;="&amp;Marketing!AI$3)/12)),AH12),IF(YEAR(AI$3)=YEAR(Headcount!$P$4),IF((AI$5=2),((SUMIFS(Headcount!$P$6:$P$89,Headcount!$F$6:$F$89,"Marketing",Headcount!$H$6:$H$89,"&gt;="&amp;Marketing!AI$3)/12)),AH12),IF(YEAR(AI$3)=YEAR(Headcount!$Q$4),IF((AI$5=2),((SUMIFS(Headcount!$Q$6:$Q$89,Headcount!$F$6:$F$89,"Marketing",Headcount!$H$6:$H$89,"&gt;="&amp;Marketing!AI$3)/12)),AH12),IF(YEAR(AI$3)=YEAR(Headcount!$R$4),IF((AI$5=2),((SUMIFS(Headcount!$R$6:$R$89,Headcount!$F$6:$F$89,"Marketing",Headcount!$H$6:$H$89,"&gt;="&amp;Marketing!AI$3)/12)),AH12),"New Year"))))),'Dept. Cost Actuals'!AM320-'Dept. Cost Actuals'!AM310)</f>
        <v>58468.75</v>
      </c>
      <c r="AJ12" s="806">
        <f>IF(AJ$4="forecast",IF(YEAR(AJ$3)=YEAR(Headcount!$N$4),((SUMIFS(Headcount!$N$6:$N$89,Headcount!$F$6:$F$89,"Marketing",Headcount!$H$6:$H$89,"&gt;="&amp;Marketing!AJ$3)/12)),IF(YEAR(AJ$3)=YEAR(Headcount!$O$4),IF((AJ$5=2),((SUMIFS(Headcount!$O$6:$O$89,Headcount!$F$6:$F$89,"Marketing",Headcount!$H$6:$H$89,"&gt;="&amp;Marketing!AJ$3)/12)),AI12),IF(YEAR(AJ$3)=YEAR(Headcount!$P$4),IF((AJ$5=2),((SUMIFS(Headcount!$P$6:$P$89,Headcount!$F$6:$F$89,"Marketing",Headcount!$H$6:$H$89,"&gt;="&amp;Marketing!AJ$3)/12)),AI12),IF(YEAR(AJ$3)=YEAR(Headcount!$Q$4),IF((AJ$5=2),((SUMIFS(Headcount!$Q$6:$Q$89,Headcount!$F$6:$F$89,"Marketing",Headcount!$H$6:$H$89,"&gt;="&amp;Marketing!AJ$3)/12)),AI12),IF(YEAR(AJ$3)=YEAR(Headcount!$R$4),IF((AJ$5=2),((SUMIFS(Headcount!$R$6:$R$89,Headcount!$F$6:$F$89,"Marketing",Headcount!$H$6:$H$89,"&gt;="&amp;Marketing!AJ$3)/12)),AI12),"New Year"))))),'Dept. Cost Actuals'!AN320-'Dept. Cost Actuals'!AN310)</f>
        <v>58468.75</v>
      </c>
      <c r="AK12" s="806">
        <f>IF(AK$4="forecast",IF(YEAR(AK$3)=YEAR(Headcount!$N$4),((SUMIFS(Headcount!$N$6:$N$89,Headcount!$F$6:$F$89,"Marketing",Headcount!$H$6:$H$89,"&gt;="&amp;Marketing!AK$3)/12)),IF(YEAR(AK$3)=YEAR(Headcount!$O$4),IF((AK$5=2),((SUMIFS(Headcount!$O$6:$O$89,Headcount!$F$6:$F$89,"Marketing",Headcount!$H$6:$H$89,"&gt;="&amp;Marketing!AK$3)/12)),AJ12),IF(YEAR(AK$3)=YEAR(Headcount!$P$4),IF((AK$5=2),((SUMIFS(Headcount!$P$6:$P$89,Headcount!$F$6:$F$89,"Marketing",Headcount!$H$6:$H$89,"&gt;="&amp;Marketing!AK$3)/12)),AJ12),IF(YEAR(AK$3)=YEAR(Headcount!$Q$4),IF((AK$5=2),((SUMIFS(Headcount!$Q$6:$Q$89,Headcount!$F$6:$F$89,"Marketing",Headcount!$H$6:$H$89,"&gt;="&amp;Marketing!AK$3)/12)),AJ12),IF(YEAR(AK$3)=YEAR(Headcount!$R$4),IF((AK$5=2),((SUMIFS(Headcount!$R$6:$R$89,Headcount!$F$6:$F$89,"Marketing",Headcount!$H$6:$H$89,"&gt;="&amp;Marketing!AK$3)/12)),AJ12),"New Year"))))),'Dept. Cost Actuals'!AO320-'Dept. Cost Actuals'!AO310)</f>
        <v>58468.75</v>
      </c>
      <c r="AL12" s="806">
        <f>IF(AL$4="forecast",IF(YEAR(AL$3)=YEAR(Headcount!$N$4),((SUMIFS(Headcount!$N$6:$N$89,Headcount!$F$6:$F$89,"Marketing",Headcount!$H$6:$H$89,"&gt;="&amp;Marketing!AL$3)/12)),IF(YEAR(AL$3)=YEAR(Headcount!$O$4),IF((AL$5=2),((SUMIFS(Headcount!$O$6:$O$89,Headcount!$F$6:$F$89,"Marketing",Headcount!$H$6:$H$89,"&gt;="&amp;Marketing!AL$3)/12)),AK12),IF(YEAR(AL$3)=YEAR(Headcount!$P$4),IF((AL$5=2),((SUMIFS(Headcount!$P$6:$P$89,Headcount!$F$6:$F$89,"Marketing",Headcount!$H$6:$H$89,"&gt;="&amp;Marketing!AL$3)/12)),AK12),IF(YEAR(AL$3)=YEAR(Headcount!$Q$4),IF((AL$5=2),((SUMIFS(Headcount!$Q$6:$Q$89,Headcount!$F$6:$F$89,"Marketing",Headcount!$H$6:$H$89,"&gt;="&amp;Marketing!AL$3)/12)),AK12),IF(YEAR(AL$3)=YEAR(Headcount!$R$4),IF((AL$5=2),((SUMIFS(Headcount!$R$6:$R$89,Headcount!$F$6:$F$89,"Marketing",Headcount!$H$6:$H$89,"&gt;="&amp;Marketing!AL$3)/12)),AK12),"New Year"))))),'Dept. Cost Actuals'!AP320-'Dept. Cost Actuals'!AP310)</f>
        <v>58468.75</v>
      </c>
      <c r="AM12" s="806">
        <f>IF(AM$4="forecast",IF(YEAR(AM$3)=YEAR(Headcount!$N$4),((SUMIFS(Headcount!$N$6:$N$89,Headcount!$F$6:$F$89,"Marketing",Headcount!$H$6:$H$89,"&gt;="&amp;Marketing!AM$3)/12)),IF(YEAR(AM$3)=YEAR(Headcount!$O$4),IF((AM$5=2),((SUMIFS(Headcount!$O$6:$O$89,Headcount!$F$6:$F$89,"Marketing",Headcount!$H$6:$H$89,"&gt;="&amp;Marketing!AM$3)/12)),AL12),IF(YEAR(AM$3)=YEAR(Headcount!$P$4),IF((AM$5=2),((SUMIFS(Headcount!$P$6:$P$89,Headcount!$F$6:$F$89,"Marketing",Headcount!$H$6:$H$89,"&gt;="&amp;Marketing!AM$3)/12)),AL12),IF(YEAR(AM$3)=YEAR(Headcount!$Q$4),IF((AM$5=2),((SUMIFS(Headcount!$Q$6:$Q$89,Headcount!$F$6:$F$89,"Marketing",Headcount!$H$6:$H$89,"&gt;="&amp;Marketing!AM$3)/12)),AL12),IF(YEAR(AM$3)=YEAR(Headcount!$R$4),IF((AM$5=2),((SUMIFS(Headcount!$R$6:$R$89,Headcount!$F$6:$F$89,"Marketing",Headcount!$H$6:$H$89,"&gt;="&amp;Marketing!AM$3)/12)),AL12),"New Year"))))),'Dept. Cost Actuals'!AQ320-'Dept. Cost Actuals'!AQ310)</f>
        <v>58468.75</v>
      </c>
      <c r="AN12" s="806">
        <f>IF(AN$4="forecast",IF(YEAR(AN$3)=YEAR(Headcount!$N$4),((SUMIFS(Headcount!$N$6:$N$89,Headcount!$F$6:$F$89,"Marketing",Headcount!$H$6:$H$89,"&gt;="&amp;Marketing!AN$3)/12)),IF(YEAR(AN$3)=YEAR(Headcount!$O$4),IF((AN$5=2),((SUMIFS(Headcount!$O$6:$O$89,Headcount!$F$6:$F$89,"Marketing",Headcount!$H$6:$H$89,"&gt;="&amp;Marketing!AN$3)/12)),AM12),IF(YEAR(AN$3)=YEAR(Headcount!$P$4),IF((AN$5=2),((SUMIFS(Headcount!$P$6:$P$89,Headcount!$F$6:$F$89,"Marketing",Headcount!$H$6:$H$89,"&gt;="&amp;Marketing!AN$3)/12)),AM12),IF(YEAR(AN$3)=YEAR(Headcount!$Q$4),IF((AN$5=2),((SUMIFS(Headcount!$Q$6:$Q$89,Headcount!$F$6:$F$89,"Marketing",Headcount!$H$6:$H$89,"&gt;="&amp;Marketing!AN$3)/12)),AM12),IF(YEAR(AN$3)=YEAR(Headcount!$R$4),IF((AN$5=2),((SUMIFS(Headcount!$R$6:$R$89,Headcount!$F$6:$F$89,"Marketing",Headcount!$H$6:$H$89,"&gt;="&amp;Marketing!AN$3)/12)),AM12),"New Year"))))),'Dept. Cost Actuals'!AR320-'Dept. Cost Actuals'!AR310)</f>
        <v>60222.8125</v>
      </c>
      <c r="AO12" s="806">
        <f>IF(AO$4="forecast",IF(YEAR(AO$3)=YEAR(Headcount!$N$4),((SUMIFS(Headcount!$N$6:$N$89,Headcount!$F$6:$F$89,"Marketing",Headcount!$H$6:$H$89,"&gt;="&amp;Marketing!AO$3)/12)),IF(YEAR(AO$3)=YEAR(Headcount!$O$4),IF((AO$5=2),((SUMIFS(Headcount!$O$6:$O$89,Headcount!$F$6:$F$89,"Marketing",Headcount!$H$6:$H$89,"&gt;="&amp;Marketing!AO$3)/12)),AN12),IF(YEAR(AO$3)=YEAR(Headcount!$P$4),IF((AO$5=2),((SUMIFS(Headcount!$P$6:$P$89,Headcount!$F$6:$F$89,"Marketing",Headcount!$H$6:$H$89,"&gt;="&amp;Marketing!AO$3)/12)),AN12),IF(YEAR(AO$3)=YEAR(Headcount!$Q$4),IF((AO$5=2),((SUMIFS(Headcount!$Q$6:$Q$89,Headcount!$F$6:$F$89,"Marketing",Headcount!$H$6:$H$89,"&gt;="&amp;Marketing!AO$3)/12)),AN12),IF(YEAR(AO$3)=YEAR(Headcount!$R$4),IF((AO$5=2),((SUMIFS(Headcount!$R$6:$R$89,Headcount!$F$6:$F$89,"Marketing",Headcount!$H$6:$H$89,"&gt;="&amp;Marketing!AO$3)/12)),AN12),"New Year"))))),'Dept. Cost Actuals'!AS320-'Dept. Cost Actuals'!AS310)</f>
        <v>60222.8125</v>
      </c>
      <c r="AP12" s="806">
        <f>IF(AP$4="forecast",IF(YEAR(AP$3)=YEAR(Headcount!$N$4),((SUMIFS(Headcount!$N$6:$N$89,Headcount!$F$6:$F$89,"Marketing",Headcount!$H$6:$H$89,"&gt;="&amp;Marketing!AP$3)/12)),IF(YEAR(AP$3)=YEAR(Headcount!$O$4),IF((AP$5=2),((SUMIFS(Headcount!$O$6:$O$89,Headcount!$F$6:$F$89,"Marketing",Headcount!$H$6:$H$89,"&gt;="&amp;Marketing!AP$3)/12)),AO12),IF(YEAR(AP$3)=YEAR(Headcount!$P$4),IF((AP$5=2),((SUMIFS(Headcount!$P$6:$P$89,Headcount!$F$6:$F$89,"Marketing",Headcount!$H$6:$H$89,"&gt;="&amp;Marketing!AP$3)/12)),AO12),IF(YEAR(AP$3)=YEAR(Headcount!$Q$4),IF((AP$5=2),((SUMIFS(Headcount!$Q$6:$Q$89,Headcount!$F$6:$F$89,"Marketing",Headcount!$H$6:$H$89,"&gt;="&amp;Marketing!AP$3)/12)),AO12),IF(YEAR(AP$3)=YEAR(Headcount!$R$4),IF((AP$5=2),((SUMIFS(Headcount!$R$6:$R$89,Headcount!$F$6:$F$89,"Marketing",Headcount!$H$6:$H$89,"&gt;="&amp;Marketing!AP$3)/12)),AO12),"New Year"))))),'Dept. Cost Actuals'!AT320-'Dept. Cost Actuals'!AT310)</f>
        <v>60222.8125</v>
      </c>
      <c r="AQ12" s="806">
        <f>IF(AQ$4="forecast",IF(YEAR(AQ$3)=YEAR(Headcount!$N$4),((SUMIFS(Headcount!$N$6:$N$89,Headcount!$F$6:$F$89,"Marketing",Headcount!$H$6:$H$89,"&gt;="&amp;Marketing!AQ$3)/12)),IF(YEAR(AQ$3)=YEAR(Headcount!$O$4),IF((AQ$5=2),((SUMIFS(Headcount!$O$6:$O$89,Headcount!$F$6:$F$89,"Marketing",Headcount!$H$6:$H$89,"&gt;="&amp;Marketing!AQ$3)/12)),AP12),IF(YEAR(AQ$3)=YEAR(Headcount!$P$4),IF((AQ$5=2),((SUMIFS(Headcount!$P$6:$P$89,Headcount!$F$6:$F$89,"Marketing",Headcount!$H$6:$H$89,"&gt;="&amp;Marketing!AQ$3)/12)),AP12),IF(YEAR(AQ$3)=YEAR(Headcount!$Q$4),IF((AQ$5=2),((SUMIFS(Headcount!$Q$6:$Q$89,Headcount!$F$6:$F$89,"Marketing",Headcount!$H$6:$H$89,"&gt;="&amp;Marketing!AQ$3)/12)),AP12),IF(YEAR(AQ$3)=YEAR(Headcount!$R$4),IF((AQ$5=2),((SUMIFS(Headcount!$R$6:$R$89,Headcount!$F$6:$F$89,"Marketing",Headcount!$H$6:$H$89,"&gt;="&amp;Marketing!AQ$3)/12)),AP12),"New Year"))))),'Dept. Cost Actuals'!AU320-'Dept. Cost Actuals'!AU310)</f>
        <v>60222.8125</v>
      </c>
      <c r="AR12" s="806">
        <f>IF(AR$4="forecast",IF(YEAR(AR$3)=YEAR(Headcount!$N$4),((SUMIFS(Headcount!$N$6:$N$89,Headcount!$F$6:$F$89,"Marketing",Headcount!$H$6:$H$89,"&gt;="&amp;Marketing!AR$3)/12)),IF(YEAR(AR$3)=YEAR(Headcount!$O$4),IF((AR$5=2),((SUMIFS(Headcount!$O$6:$O$89,Headcount!$F$6:$F$89,"Marketing",Headcount!$H$6:$H$89,"&gt;="&amp;Marketing!AR$3)/12)),AQ12),IF(YEAR(AR$3)=YEAR(Headcount!$P$4),IF((AR$5=2),((SUMIFS(Headcount!$P$6:$P$89,Headcount!$F$6:$F$89,"Marketing",Headcount!$H$6:$H$89,"&gt;="&amp;Marketing!AR$3)/12)),AQ12),IF(YEAR(AR$3)=YEAR(Headcount!$Q$4),IF((AR$5=2),((SUMIFS(Headcount!$Q$6:$Q$89,Headcount!$F$6:$F$89,"Marketing",Headcount!$H$6:$H$89,"&gt;="&amp;Marketing!AR$3)/12)),AQ12),IF(YEAR(AR$3)=YEAR(Headcount!$R$4),IF((AR$5=2),((SUMIFS(Headcount!$R$6:$R$89,Headcount!$F$6:$F$89,"Marketing",Headcount!$H$6:$H$89,"&gt;="&amp;Marketing!AR$3)/12)),AQ12),"New Year"))))),'Dept. Cost Actuals'!AV320-'Dept. Cost Actuals'!AV310)</f>
        <v>60222.8125</v>
      </c>
      <c r="AS12" s="806">
        <f>IF(AS$4="forecast",IF(YEAR(AS$3)=YEAR(Headcount!$N$4),((SUMIFS(Headcount!$N$6:$N$89,Headcount!$F$6:$F$89,"Marketing",Headcount!$H$6:$H$89,"&gt;="&amp;Marketing!AS$3)/12)),IF(YEAR(AS$3)=YEAR(Headcount!$O$4),IF((AS$5=2),((SUMIFS(Headcount!$O$6:$O$89,Headcount!$F$6:$F$89,"Marketing",Headcount!$H$6:$H$89,"&gt;="&amp;Marketing!AS$3)/12)),AR12),IF(YEAR(AS$3)=YEAR(Headcount!$P$4),IF((AS$5=2),((SUMIFS(Headcount!$P$6:$P$89,Headcount!$F$6:$F$89,"Marketing",Headcount!$H$6:$H$89,"&gt;="&amp;Marketing!AS$3)/12)),AR12),IF(YEAR(AS$3)=YEAR(Headcount!$Q$4),IF((AS$5=2),((SUMIFS(Headcount!$Q$6:$Q$89,Headcount!$F$6:$F$89,"Marketing",Headcount!$H$6:$H$89,"&gt;="&amp;Marketing!AS$3)/12)),AR12),IF(YEAR(AS$3)=YEAR(Headcount!$R$4),IF((AS$5=2),((SUMIFS(Headcount!$R$6:$R$89,Headcount!$F$6:$F$89,"Marketing",Headcount!$H$6:$H$89,"&gt;="&amp;Marketing!AS$3)/12)),AR12),"New Year"))))),'Dept. Cost Actuals'!AW320-'Dept. Cost Actuals'!AW310)</f>
        <v>60222.8125</v>
      </c>
      <c r="AT12" s="806">
        <f>IF(AT$4="forecast",IF(YEAR(AT$3)=YEAR(Headcount!$N$4),((SUMIFS(Headcount!$N$6:$N$89,Headcount!$F$6:$F$89,"Marketing",Headcount!$H$6:$H$89,"&gt;="&amp;Marketing!AT$3)/12)),IF(YEAR(AT$3)=YEAR(Headcount!$O$4),IF((AT$5=2),((SUMIFS(Headcount!$O$6:$O$89,Headcount!$F$6:$F$89,"Marketing",Headcount!$H$6:$H$89,"&gt;="&amp;Marketing!AT$3)/12)),AS12),IF(YEAR(AT$3)=YEAR(Headcount!$P$4),IF((AT$5=2),((SUMIFS(Headcount!$P$6:$P$89,Headcount!$F$6:$F$89,"Marketing",Headcount!$H$6:$H$89,"&gt;="&amp;Marketing!AT$3)/12)),AS12),IF(YEAR(AT$3)=YEAR(Headcount!$Q$4),IF((AT$5=2),((SUMIFS(Headcount!$Q$6:$Q$89,Headcount!$F$6:$F$89,"Marketing",Headcount!$H$6:$H$89,"&gt;="&amp;Marketing!AT$3)/12)),AS12),IF(YEAR(AT$3)=YEAR(Headcount!$R$4),IF((AT$5=2),((SUMIFS(Headcount!$R$6:$R$89,Headcount!$F$6:$F$89,"Marketing",Headcount!$H$6:$H$89,"&gt;="&amp;Marketing!AT$3)/12)),AS12),"New Year"))))),'Dept. Cost Actuals'!AX320-'Dept. Cost Actuals'!AX310)</f>
        <v>60222.8125</v>
      </c>
      <c r="AU12" s="806">
        <f>IF(AU$4="forecast",IF(YEAR(AU$3)=YEAR(Headcount!$N$4),((SUMIFS(Headcount!$N$6:$N$89,Headcount!$F$6:$F$89,"Marketing",Headcount!$H$6:$H$89,"&gt;="&amp;Marketing!AU$3)/12)),IF(YEAR(AU$3)=YEAR(Headcount!$O$4),IF((AU$5=2),((SUMIFS(Headcount!$O$6:$O$89,Headcount!$F$6:$F$89,"Marketing",Headcount!$H$6:$H$89,"&gt;="&amp;Marketing!AU$3)/12)),AT12),IF(YEAR(AU$3)=YEAR(Headcount!$P$4),IF((AU$5=2),((SUMIFS(Headcount!$P$6:$P$89,Headcount!$F$6:$F$89,"Marketing",Headcount!$H$6:$H$89,"&gt;="&amp;Marketing!AU$3)/12)),AT12),IF(YEAR(AU$3)=YEAR(Headcount!$Q$4),IF((AU$5=2),((SUMIFS(Headcount!$Q$6:$Q$89,Headcount!$F$6:$F$89,"Marketing",Headcount!$H$6:$H$89,"&gt;="&amp;Marketing!AU$3)/12)),AT12),IF(YEAR(AU$3)=YEAR(Headcount!$R$4),IF((AU$5=2),((SUMIFS(Headcount!$R$6:$R$89,Headcount!$F$6:$F$89,"Marketing",Headcount!$H$6:$H$89,"&gt;="&amp;Marketing!AU$3)/12)),AT12),"New Year"))))),'Dept. Cost Actuals'!AY320-'Dept. Cost Actuals'!AY310)</f>
        <v>60222.8125</v>
      </c>
      <c r="AV12" s="806">
        <f>IF(AV$4="forecast",IF(YEAR(AV$3)=YEAR(Headcount!$N$4),((SUMIFS(Headcount!$N$6:$N$89,Headcount!$F$6:$F$89,"Marketing",Headcount!$H$6:$H$89,"&gt;="&amp;Marketing!AV$3)/12)),IF(YEAR(AV$3)=YEAR(Headcount!$O$4),IF((AV$5=2),((SUMIFS(Headcount!$O$6:$O$89,Headcount!$F$6:$F$89,"Marketing",Headcount!$H$6:$H$89,"&gt;="&amp;Marketing!AV$3)/12)),AU12),IF(YEAR(AV$3)=YEAR(Headcount!$P$4),IF((AV$5=2),((SUMIFS(Headcount!$P$6:$P$89,Headcount!$F$6:$F$89,"Marketing",Headcount!$H$6:$H$89,"&gt;="&amp;Marketing!AV$3)/12)),AU12),IF(YEAR(AV$3)=YEAR(Headcount!$Q$4),IF((AV$5=2),((SUMIFS(Headcount!$Q$6:$Q$89,Headcount!$F$6:$F$89,"Marketing",Headcount!$H$6:$H$89,"&gt;="&amp;Marketing!AV$3)/12)),AU12),IF(YEAR(AV$3)=YEAR(Headcount!$R$4),IF((AV$5=2),((SUMIFS(Headcount!$R$6:$R$89,Headcount!$F$6:$F$89,"Marketing",Headcount!$H$6:$H$89,"&gt;="&amp;Marketing!AV$3)/12)),AU12),"New Year"))))),'Dept. Cost Actuals'!AZ320-'Dept. Cost Actuals'!AZ310)</f>
        <v>60222.8125</v>
      </c>
      <c r="AW12" s="806">
        <f>IF(AW$4="forecast",IF(YEAR(AW$3)=YEAR(Headcount!$N$4),((SUMIFS(Headcount!$N$6:$N$89,Headcount!$F$6:$F$89,"Marketing",Headcount!$H$6:$H$89,"&gt;="&amp;Marketing!AW$3)/12)),IF(YEAR(AW$3)=YEAR(Headcount!$O$4),IF((AW$5=2),((SUMIFS(Headcount!$O$6:$O$89,Headcount!$F$6:$F$89,"Marketing",Headcount!$H$6:$H$89,"&gt;="&amp;Marketing!AW$3)/12)),AV12),IF(YEAR(AW$3)=YEAR(Headcount!$P$4),IF((AW$5=2),((SUMIFS(Headcount!$P$6:$P$89,Headcount!$F$6:$F$89,"Marketing",Headcount!$H$6:$H$89,"&gt;="&amp;Marketing!AW$3)/12)),AV12),IF(YEAR(AW$3)=YEAR(Headcount!$Q$4),IF((AW$5=2),((SUMIFS(Headcount!$Q$6:$Q$89,Headcount!$F$6:$F$89,"Marketing",Headcount!$H$6:$H$89,"&gt;="&amp;Marketing!AW$3)/12)),AV12),IF(YEAR(AW$3)=YEAR(Headcount!$R$4),IF((AW$5=2),((SUMIFS(Headcount!$R$6:$R$89,Headcount!$F$6:$F$89,"Marketing",Headcount!$H$6:$H$89,"&gt;="&amp;Marketing!AW$3)/12)),AV12),"New Year"))))),'Dept. Cost Actuals'!BA320-'Dept. Cost Actuals'!BA310)</f>
        <v>60222.8125</v>
      </c>
      <c r="AX12" s="806">
        <f>IF(AX$4="forecast",IF(YEAR(AX$3)=YEAR(Headcount!$N$4),((SUMIFS(Headcount!$N$6:$N$89,Headcount!$F$6:$F$89,"Marketing",Headcount!$H$6:$H$89,"&gt;="&amp;Marketing!AX$3)/12)),IF(YEAR(AX$3)=YEAR(Headcount!$O$4),IF((AX$5=2),((SUMIFS(Headcount!$O$6:$O$89,Headcount!$F$6:$F$89,"Marketing",Headcount!$H$6:$H$89,"&gt;="&amp;Marketing!AX$3)/12)),AW12),IF(YEAR(AX$3)=YEAR(Headcount!$P$4),IF((AX$5=2),((SUMIFS(Headcount!$P$6:$P$89,Headcount!$F$6:$F$89,"Marketing",Headcount!$H$6:$H$89,"&gt;="&amp;Marketing!AX$3)/12)),AW12),IF(YEAR(AX$3)=YEAR(Headcount!$Q$4),IF((AX$5=2),((SUMIFS(Headcount!$Q$6:$Q$89,Headcount!$F$6:$F$89,"Marketing",Headcount!$H$6:$H$89,"&gt;="&amp;Marketing!AX$3)/12)),AW12),IF(YEAR(AX$3)=YEAR(Headcount!$R$4),IF((AX$5=2),((SUMIFS(Headcount!$R$6:$R$89,Headcount!$F$6:$F$89,"Marketing",Headcount!$H$6:$H$89,"&gt;="&amp;Marketing!AX$3)/12)),AW12),"New Year"))))),'Dept. Cost Actuals'!BB320-'Dept. Cost Actuals'!BB310)</f>
        <v>60222.8125</v>
      </c>
      <c r="AY12" s="806">
        <f>IF(AY$4="forecast",IF(YEAR(AY$3)=YEAR(Headcount!$N$4),((SUMIFS(Headcount!$N$6:$N$89,Headcount!$F$6:$F$89,"Marketing",Headcount!$H$6:$H$89,"&gt;="&amp;Marketing!AY$3)/12)),IF(YEAR(AY$3)=YEAR(Headcount!$O$4),IF((AY$5=2),((SUMIFS(Headcount!$O$6:$O$89,Headcount!$F$6:$F$89,"Marketing",Headcount!$H$6:$H$89,"&gt;="&amp;Marketing!AY$3)/12)),AX12),IF(YEAR(AY$3)=YEAR(Headcount!$P$4),IF((AY$5=2),((SUMIFS(Headcount!$P$6:$P$89,Headcount!$F$6:$F$89,"Marketing",Headcount!$H$6:$H$89,"&gt;="&amp;Marketing!AY$3)/12)),AX12),IF(YEAR(AY$3)=YEAR(Headcount!$Q$4),IF((AY$5=2),((SUMIFS(Headcount!$Q$6:$Q$89,Headcount!$F$6:$F$89,"Marketing",Headcount!$H$6:$H$89,"&gt;="&amp;Marketing!AY$3)/12)),AX12),IF(YEAR(AY$3)=YEAR(Headcount!$R$4),IF((AY$5=2),((SUMIFS(Headcount!$R$6:$R$89,Headcount!$F$6:$F$89,"Marketing",Headcount!$H$6:$H$89,"&gt;="&amp;Marketing!AY$3)/12)),AX12),"New Year"))))),'Dept. Cost Actuals'!BC320-'Dept. Cost Actuals'!BC310)</f>
        <v>60222.8125</v>
      </c>
      <c r="AZ12" s="806">
        <f>IF(AZ$4="forecast",IF(YEAR(AZ$3)=YEAR(Headcount!$N$4),((SUMIFS(Headcount!$N$6:$N$89,Headcount!$F$6:$F$89,"Marketing",Headcount!$H$6:$H$89,"&gt;="&amp;Marketing!AZ$3)/12)),IF(YEAR(AZ$3)=YEAR(Headcount!$O$4),IF((AZ$5=2),((SUMIFS(Headcount!$O$6:$O$89,Headcount!$F$6:$F$89,"Marketing",Headcount!$H$6:$H$89,"&gt;="&amp;Marketing!AZ$3)/12)),AY12),IF(YEAR(AZ$3)=YEAR(Headcount!$P$4),IF((AZ$5=2),((SUMIFS(Headcount!$P$6:$P$89,Headcount!$F$6:$F$89,"Marketing",Headcount!$H$6:$H$89,"&gt;="&amp;Marketing!AZ$3)/12)),AY12),IF(YEAR(AZ$3)=YEAR(Headcount!$Q$4),IF((AZ$5=2),((SUMIFS(Headcount!$Q$6:$Q$89,Headcount!$F$6:$F$89,"Marketing",Headcount!$H$6:$H$89,"&gt;="&amp;Marketing!AZ$3)/12)),AY12),IF(YEAR(AZ$3)=YEAR(Headcount!$R$4),IF((AZ$5=2),((SUMIFS(Headcount!$R$6:$R$89,Headcount!$F$6:$F$89,"Marketing",Headcount!$H$6:$H$89,"&gt;="&amp;Marketing!AZ$3)/12)),AY12),"New Year"))))),'Dept. Cost Actuals'!BD320-'Dept. Cost Actuals'!BD310)</f>
        <v>62029.496875000004</v>
      </c>
      <c r="BA12" s="806">
        <f>IF(BA$4="forecast",IF(YEAR(BA$3)=YEAR(Headcount!$N$4),((SUMIFS(Headcount!$N$6:$N$89,Headcount!$F$6:$F$89,"Marketing",Headcount!$H$6:$H$89,"&gt;="&amp;Marketing!BA$3)/12)),IF(YEAR(BA$3)=YEAR(Headcount!$O$4),IF((BA$5=2),((SUMIFS(Headcount!$O$6:$O$89,Headcount!$F$6:$F$89,"Marketing",Headcount!$H$6:$H$89,"&gt;="&amp;Marketing!BA$3)/12)),AZ12),IF(YEAR(BA$3)=YEAR(Headcount!$P$4),IF((BA$5=2),((SUMIFS(Headcount!$P$6:$P$89,Headcount!$F$6:$F$89,"Marketing",Headcount!$H$6:$H$89,"&gt;="&amp;Marketing!BA$3)/12)),AZ12),IF(YEAR(BA$3)=YEAR(Headcount!$Q$4),IF((BA$5=2),((SUMIFS(Headcount!$Q$6:$Q$89,Headcount!$F$6:$F$89,"Marketing",Headcount!$H$6:$H$89,"&gt;="&amp;Marketing!BA$3)/12)),AZ12),IF(YEAR(BA$3)=YEAR(Headcount!$R$4),IF((BA$5=2),((SUMIFS(Headcount!$R$6:$R$89,Headcount!$F$6:$F$89,"Marketing",Headcount!$H$6:$H$89,"&gt;="&amp;Marketing!BA$3)/12)),AZ12),"New Year"))))),'Dept. Cost Actuals'!BE320-'Dept. Cost Actuals'!BE310)</f>
        <v>62029.496875000004</v>
      </c>
      <c r="BB12" s="806">
        <f>IF(BB$4="forecast",IF(YEAR(BB$3)=YEAR(Headcount!$N$4),((SUMIFS(Headcount!$N$6:$N$89,Headcount!$F$6:$F$89,"Marketing",Headcount!$H$6:$H$89,"&gt;="&amp;Marketing!BB$3)/12)),IF(YEAR(BB$3)=YEAR(Headcount!$O$4),IF((BB$5=2),((SUMIFS(Headcount!$O$6:$O$89,Headcount!$F$6:$F$89,"Marketing",Headcount!$H$6:$H$89,"&gt;="&amp;Marketing!BB$3)/12)),BA12),IF(YEAR(BB$3)=YEAR(Headcount!$P$4),IF((BB$5=2),((SUMIFS(Headcount!$P$6:$P$89,Headcount!$F$6:$F$89,"Marketing",Headcount!$H$6:$H$89,"&gt;="&amp;Marketing!BB$3)/12)),BA12),IF(YEAR(BB$3)=YEAR(Headcount!$Q$4),IF((BB$5=2),((SUMIFS(Headcount!$Q$6:$Q$89,Headcount!$F$6:$F$89,"Marketing",Headcount!$H$6:$H$89,"&gt;="&amp;Marketing!BB$3)/12)),BA12),IF(YEAR(BB$3)=YEAR(Headcount!$R$4),IF((BB$5=2),((SUMIFS(Headcount!$R$6:$R$89,Headcount!$F$6:$F$89,"Marketing",Headcount!$H$6:$H$89,"&gt;="&amp;Marketing!BB$3)/12)),BA12),"New Year"))))),'Dept. Cost Actuals'!BF320-'Dept. Cost Actuals'!BF310)</f>
        <v>62029.496875000004</v>
      </c>
      <c r="BC12" s="806">
        <f>IF(BC$4="forecast",IF(YEAR(BC$3)=YEAR(Headcount!$N$4),((SUMIFS(Headcount!$N$6:$N$89,Headcount!$F$6:$F$89,"Marketing",Headcount!$H$6:$H$89,"&gt;="&amp;Marketing!BC$3)/12)),IF(YEAR(BC$3)=YEAR(Headcount!$O$4),IF((BC$5=2),((SUMIFS(Headcount!$O$6:$O$89,Headcount!$F$6:$F$89,"Marketing",Headcount!$H$6:$H$89,"&gt;="&amp;Marketing!BC$3)/12)),BB12),IF(YEAR(BC$3)=YEAR(Headcount!$P$4),IF((BC$5=2),((SUMIFS(Headcount!$P$6:$P$89,Headcount!$F$6:$F$89,"Marketing",Headcount!$H$6:$H$89,"&gt;="&amp;Marketing!BC$3)/12)),BB12),IF(YEAR(BC$3)=YEAR(Headcount!$Q$4),IF((BC$5=2),((SUMIFS(Headcount!$Q$6:$Q$89,Headcount!$F$6:$F$89,"Marketing",Headcount!$H$6:$H$89,"&gt;="&amp;Marketing!BC$3)/12)),BB12),IF(YEAR(BC$3)=YEAR(Headcount!$R$4),IF((BC$5=2),((SUMIFS(Headcount!$R$6:$R$89,Headcount!$F$6:$F$89,"Marketing",Headcount!$H$6:$H$89,"&gt;="&amp;Marketing!BC$3)/12)),BB12),"New Year"))))),'Dept. Cost Actuals'!BG320-'Dept. Cost Actuals'!BG310)</f>
        <v>62029.496875000004</v>
      </c>
      <c r="BD12" s="806">
        <f>IF(BD$4="forecast",IF(YEAR(BD$3)=YEAR(Headcount!$N$4),((SUMIFS(Headcount!$N$6:$N$89,Headcount!$F$6:$F$89,"Marketing",Headcount!$H$6:$H$89,"&gt;="&amp;Marketing!BD$3)/12)),IF(YEAR(BD$3)=YEAR(Headcount!$O$4),IF((BD$5=2),((SUMIFS(Headcount!$O$6:$O$89,Headcount!$F$6:$F$89,"Marketing",Headcount!$H$6:$H$89,"&gt;="&amp;Marketing!BD$3)/12)),BC12),IF(YEAR(BD$3)=YEAR(Headcount!$P$4),IF((BD$5=2),((SUMIFS(Headcount!$P$6:$P$89,Headcount!$F$6:$F$89,"Marketing",Headcount!$H$6:$H$89,"&gt;="&amp;Marketing!BD$3)/12)),BC12),IF(YEAR(BD$3)=YEAR(Headcount!$Q$4),IF((BD$5=2),((SUMIFS(Headcount!$Q$6:$Q$89,Headcount!$F$6:$F$89,"Marketing",Headcount!$H$6:$H$89,"&gt;="&amp;Marketing!BD$3)/12)),BC12),IF(YEAR(BD$3)=YEAR(Headcount!$R$4),IF((BD$5=2),((SUMIFS(Headcount!$R$6:$R$89,Headcount!$F$6:$F$89,"Marketing",Headcount!$H$6:$H$89,"&gt;="&amp;Marketing!BD$3)/12)),BC12),"New Year"))))),'Dept. Cost Actuals'!BH320-'Dept. Cost Actuals'!BH310)</f>
        <v>62029.496875000004</v>
      </c>
      <c r="BE12" s="806">
        <f>IF(BE$4="forecast",IF(YEAR(BE$3)=YEAR(Headcount!$N$4),((SUMIFS(Headcount!$N$6:$N$89,Headcount!$F$6:$F$89,"Marketing",Headcount!$H$6:$H$89,"&gt;="&amp;Marketing!BE$3)/12)),IF(YEAR(BE$3)=YEAR(Headcount!$O$4),IF((BE$5=2),((SUMIFS(Headcount!$O$6:$O$89,Headcount!$F$6:$F$89,"Marketing",Headcount!$H$6:$H$89,"&gt;="&amp;Marketing!BE$3)/12)),BD12),IF(YEAR(BE$3)=YEAR(Headcount!$P$4),IF((BE$5=2),((SUMIFS(Headcount!$P$6:$P$89,Headcount!$F$6:$F$89,"Marketing",Headcount!$H$6:$H$89,"&gt;="&amp;Marketing!BE$3)/12)),BD12),IF(YEAR(BE$3)=YEAR(Headcount!$Q$4),IF((BE$5=2),((SUMIFS(Headcount!$Q$6:$Q$89,Headcount!$F$6:$F$89,"Marketing",Headcount!$H$6:$H$89,"&gt;="&amp;Marketing!BE$3)/12)),BD12),IF(YEAR(BE$3)=YEAR(Headcount!$R$4),IF((BE$5=2),((SUMIFS(Headcount!$R$6:$R$89,Headcount!$F$6:$F$89,"Marketing",Headcount!$H$6:$H$89,"&gt;="&amp;Marketing!BE$3)/12)),BD12),"New Year"))))),'Dept. Cost Actuals'!BI320-'Dept. Cost Actuals'!BI310)</f>
        <v>62029.496875000004</v>
      </c>
      <c r="BF12" s="806">
        <f>IF(BF$4="forecast",IF(YEAR(BF$3)=YEAR(Headcount!$N$4),((SUMIFS(Headcount!$N$6:$N$89,Headcount!$F$6:$F$89,"Marketing",Headcount!$H$6:$H$89,"&gt;="&amp;Marketing!BF$3)/12)),IF(YEAR(BF$3)=YEAR(Headcount!$O$4),IF((BF$5=2),((SUMIFS(Headcount!$O$6:$O$89,Headcount!$F$6:$F$89,"Marketing",Headcount!$H$6:$H$89,"&gt;="&amp;Marketing!BF$3)/12)),BE12),IF(YEAR(BF$3)=YEAR(Headcount!$P$4),IF((BF$5=2),((SUMIFS(Headcount!$P$6:$P$89,Headcount!$F$6:$F$89,"Marketing",Headcount!$H$6:$H$89,"&gt;="&amp;Marketing!BF$3)/12)),BE12),IF(YEAR(BF$3)=YEAR(Headcount!$Q$4),IF((BF$5=2),((SUMIFS(Headcount!$Q$6:$Q$89,Headcount!$F$6:$F$89,"Marketing",Headcount!$H$6:$H$89,"&gt;="&amp;Marketing!BF$3)/12)),BE12),IF(YEAR(BF$3)=YEAR(Headcount!$R$4),IF((BF$5=2),((SUMIFS(Headcount!$R$6:$R$89,Headcount!$F$6:$F$89,"Marketing",Headcount!$H$6:$H$89,"&gt;="&amp;Marketing!BF$3)/12)),BE12),"New Year"))))),'Dept. Cost Actuals'!BJ320-'Dept. Cost Actuals'!BJ310)</f>
        <v>62029.496875000004</v>
      </c>
      <c r="BG12" s="806">
        <f>IF(BG$4="forecast",IF(YEAR(BG$3)=YEAR(Headcount!$N$4),((SUMIFS(Headcount!$N$6:$N$89,Headcount!$F$6:$F$89,"Marketing",Headcount!$H$6:$H$89,"&gt;="&amp;Marketing!BG$3)/12)),IF(YEAR(BG$3)=YEAR(Headcount!$O$4),IF((BG$5=2),((SUMIFS(Headcount!$O$6:$O$89,Headcount!$F$6:$F$89,"Marketing",Headcount!$H$6:$H$89,"&gt;="&amp;Marketing!BG$3)/12)),BF12),IF(YEAR(BG$3)=YEAR(Headcount!$P$4),IF((BG$5=2),((SUMIFS(Headcount!$P$6:$P$89,Headcount!$F$6:$F$89,"Marketing",Headcount!$H$6:$H$89,"&gt;="&amp;Marketing!BG$3)/12)),BF12),IF(YEAR(BG$3)=YEAR(Headcount!$Q$4),IF((BG$5=2),((SUMIFS(Headcount!$Q$6:$Q$89,Headcount!$F$6:$F$89,"Marketing",Headcount!$H$6:$H$89,"&gt;="&amp;Marketing!BG$3)/12)),BF12),IF(YEAR(BG$3)=YEAR(Headcount!$R$4),IF((BG$5=2),((SUMIFS(Headcount!$R$6:$R$89,Headcount!$F$6:$F$89,"Marketing",Headcount!$H$6:$H$89,"&gt;="&amp;Marketing!BG$3)/12)),BF12),"New Year"))))),'Dept. Cost Actuals'!BK320-'Dept. Cost Actuals'!BK310)</f>
        <v>62029.496875000004</v>
      </c>
      <c r="BH12" s="806">
        <f>IF(BH$4="forecast",IF(YEAR(BH$3)=YEAR(Headcount!$N$4),((SUMIFS(Headcount!$N$6:$N$89,Headcount!$F$6:$F$89,"Marketing",Headcount!$H$6:$H$89,"&gt;="&amp;Marketing!BH$3)/12)),IF(YEAR(BH$3)=YEAR(Headcount!$O$4),IF((BH$5=2),((SUMIFS(Headcount!$O$6:$O$89,Headcount!$F$6:$F$89,"Marketing",Headcount!$H$6:$H$89,"&gt;="&amp;Marketing!BH$3)/12)),BG12),IF(YEAR(BH$3)=YEAR(Headcount!$P$4),IF((BH$5=2),((SUMIFS(Headcount!$P$6:$P$89,Headcount!$F$6:$F$89,"Marketing",Headcount!$H$6:$H$89,"&gt;="&amp;Marketing!BH$3)/12)),BG12),IF(YEAR(BH$3)=YEAR(Headcount!$Q$4),IF((BH$5=2),((SUMIFS(Headcount!$Q$6:$Q$89,Headcount!$F$6:$F$89,"Marketing",Headcount!$H$6:$H$89,"&gt;="&amp;Marketing!BH$3)/12)),BG12),IF(YEAR(BH$3)=YEAR(Headcount!$R$4),IF((BH$5=2),((SUMIFS(Headcount!$R$6:$R$89,Headcount!$F$6:$F$89,"Marketing",Headcount!$H$6:$H$89,"&gt;="&amp;Marketing!BH$3)/12)),BG12),"New Year"))))),'Dept. Cost Actuals'!BL320-'Dept. Cost Actuals'!BL310)</f>
        <v>62029.496875000004</v>
      </c>
      <c r="BI12" s="806">
        <f>IF(BI$4="forecast",IF(YEAR(BI$3)=YEAR(Headcount!$N$4),((SUMIFS(Headcount!$N$6:$N$89,Headcount!$F$6:$F$89,"Marketing",Headcount!$H$6:$H$89,"&gt;="&amp;Marketing!BI$3)/12)),IF(YEAR(BI$3)=YEAR(Headcount!$O$4),IF((BI$5=2),((SUMIFS(Headcount!$O$6:$O$89,Headcount!$F$6:$F$89,"Marketing",Headcount!$H$6:$H$89,"&gt;="&amp;Marketing!BI$3)/12)),BH12),IF(YEAR(BI$3)=YEAR(Headcount!$P$4),IF((BI$5=2),((SUMIFS(Headcount!$P$6:$P$89,Headcount!$F$6:$F$89,"Marketing",Headcount!$H$6:$H$89,"&gt;="&amp;Marketing!BI$3)/12)),BH12),IF(YEAR(BI$3)=YEAR(Headcount!$Q$4),IF((BI$5=2),((SUMIFS(Headcount!$Q$6:$Q$89,Headcount!$F$6:$F$89,"Marketing",Headcount!$H$6:$H$89,"&gt;="&amp;Marketing!BI$3)/12)),BH12),IF(YEAR(BI$3)=YEAR(Headcount!$R$4),IF((BI$5=2),((SUMIFS(Headcount!$R$6:$R$89,Headcount!$F$6:$F$89,"Marketing",Headcount!$H$6:$H$89,"&gt;="&amp;Marketing!BI$3)/12)),BH12),"New Year"))))),'Dept. Cost Actuals'!BM320-'Dept. Cost Actuals'!BM310)</f>
        <v>62029.496875000004</v>
      </c>
      <c r="BJ12" s="806">
        <f>IF(BJ$4="forecast",IF(YEAR(BJ$3)=YEAR(Headcount!$N$4),((SUMIFS(Headcount!$N$6:$N$89,Headcount!$F$6:$F$89,"Marketing",Headcount!$H$6:$H$89,"&gt;="&amp;Marketing!BJ$3)/12)),IF(YEAR(BJ$3)=YEAR(Headcount!$O$4),IF((BJ$5=2),((SUMIFS(Headcount!$O$6:$O$89,Headcount!$F$6:$F$89,"Marketing",Headcount!$H$6:$H$89,"&gt;="&amp;Marketing!BJ$3)/12)),BI12),IF(YEAR(BJ$3)=YEAR(Headcount!$P$4),IF((BJ$5=2),((SUMIFS(Headcount!$P$6:$P$89,Headcount!$F$6:$F$89,"Marketing",Headcount!$H$6:$H$89,"&gt;="&amp;Marketing!BJ$3)/12)),BI12),IF(YEAR(BJ$3)=YEAR(Headcount!$Q$4),IF((BJ$5=2),((SUMIFS(Headcount!$Q$6:$Q$89,Headcount!$F$6:$F$89,"Marketing",Headcount!$H$6:$H$89,"&gt;="&amp;Marketing!BJ$3)/12)),BI12),IF(YEAR(BJ$3)=YEAR(Headcount!$R$4),IF((BJ$5=2),((SUMIFS(Headcount!$R$6:$R$89,Headcount!$F$6:$F$89,"Marketing",Headcount!$H$6:$H$89,"&gt;="&amp;Marketing!BJ$3)/12)),BI12),"New Year"))))),'Dept. Cost Actuals'!BN320-'Dept. Cost Actuals'!BN310)</f>
        <v>62029.496875000004</v>
      </c>
      <c r="BK12" s="806">
        <f>IF(BK$4="forecast",IF(YEAR(BK$3)=YEAR(Headcount!$N$4),((SUMIFS(Headcount!$N$6:$N$89,Headcount!$F$6:$F$89,"Marketing",Headcount!$H$6:$H$89,"&gt;="&amp;Marketing!BK$3)/12)),IF(YEAR(BK$3)=YEAR(Headcount!$O$4),IF((BK$5=2),((SUMIFS(Headcount!$O$6:$O$89,Headcount!$F$6:$F$89,"Marketing",Headcount!$H$6:$H$89,"&gt;="&amp;Marketing!BK$3)/12)),BJ12),IF(YEAR(BK$3)=YEAR(Headcount!$P$4),IF((BK$5=2),((SUMIFS(Headcount!$P$6:$P$89,Headcount!$F$6:$F$89,"Marketing",Headcount!$H$6:$H$89,"&gt;="&amp;Marketing!BK$3)/12)),BJ12),IF(YEAR(BK$3)=YEAR(Headcount!$Q$4),IF((BK$5=2),((SUMIFS(Headcount!$Q$6:$Q$89,Headcount!$F$6:$F$89,"Marketing",Headcount!$H$6:$H$89,"&gt;="&amp;Marketing!BK$3)/12)),BJ12),IF(YEAR(BK$3)=YEAR(Headcount!$R$4),IF((BK$5=2),((SUMIFS(Headcount!$R$6:$R$89,Headcount!$F$6:$F$89,"Marketing",Headcount!$H$6:$H$89,"&gt;="&amp;Marketing!BK$3)/12)),BJ12),"New Year"))))),'Dept. Cost Actuals'!BO320-'Dept. Cost Actuals'!BO310)</f>
        <v>62029.496875000004</v>
      </c>
      <c r="BL12" s="806">
        <f>IF(BL$4="forecast",IF(YEAR(BL$3)=YEAR(Headcount!$N$4),((SUMIFS(Headcount!$N$6:$N$89,Headcount!$F$6:$F$89,"Marketing",Headcount!$H$6:$H$89,"&gt;="&amp;Marketing!BL$3)/12)),IF(YEAR(BL$3)=YEAR(Headcount!$O$4),IF((BL$5=2),((SUMIFS(Headcount!$O$6:$O$89,Headcount!$F$6:$F$89,"Marketing",Headcount!$H$6:$H$89,"&gt;="&amp;Marketing!BL$3)/12)),BK12),IF(YEAR(BL$3)=YEAR(Headcount!$P$4),IF((BL$5=2),((SUMIFS(Headcount!$P$6:$P$89,Headcount!$F$6:$F$89,"Marketing",Headcount!$H$6:$H$89,"&gt;="&amp;Marketing!BL$3)/12)),BK12),IF(YEAR(BL$3)=YEAR(Headcount!$Q$4),IF((BL$5=2),((SUMIFS(Headcount!$Q$6:$Q$89,Headcount!$F$6:$F$89,"Marketing",Headcount!$H$6:$H$89,"&gt;="&amp;Marketing!BL$3)/12)),BK12),IF(YEAR(BL$3)=YEAR(Headcount!$R$4),IF((BL$5=2),((SUMIFS(Headcount!$R$6:$R$89,Headcount!$F$6:$F$89,"Marketing",Headcount!$H$6:$H$89,"&gt;="&amp;Marketing!BL$3)/12)),BK12),"New Year"))))),'Dept. Cost Actuals'!#REF!-'Dept. Cost Actuals'!#REF!)</f>
        <v>63890.381781250006</v>
      </c>
      <c r="BM12" s="806">
        <f>IF(BM$4="forecast",IF(YEAR(BM$3)=YEAR(Headcount!$N$4),((SUMIFS(Headcount!$N$6:$N$89,Headcount!$F$6:$F$89,"Marketing",Headcount!$H$6:$H$89,"&gt;="&amp;Marketing!BM$3)/12)),IF(YEAR(BM$3)=YEAR(Headcount!$O$4),IF((BM$5=2),((SUMIFS(Headcount!$O$6:$O$89,Headcount!$F$6:$F$89,"Marketing",Headcount!$H$6:$H$89,"&gt;="&amp;Marketing!BM$3)/12)),BL12),IF(YEAR(BM$3)=YEAR(Headcount!$P$4),IF((BM$5=2),((SUMIFS(Headcount!$P$6:$P$89,Headcount!$F$6:$F$89,"Marketing",Headcount!$H$6:$H$89,"&gt;="&amp;Marketing!BM$3)/12)),BL12),IF(YEAR(BM$3)=YEAR(Headcount!$Q$4),IF((BM$5=2),((SUMIFS(Headcount!$Q$6:$Q$89,Headcount!$F$6:$F$89,"Marketing",Headcount!$H$6:$H$89,"&gt;="&amp;Marketing!BM$3)/12)),BL12),IF(YEAR(BM$3)=YEAR(Headcount!$R$4),IF((BM$5=2),((SUMIFS(Headcount!$R$6:$R$89,Headcount!$F$6:$F$89,"Marketing",Headcount!$H$6:$H$89,"&gt;="&amp;Marketing!BM$3)/12)),BL12),"New Year"))))),'Dept. Cost Actuals'!#REF!-'Dept. Cost Actuals'!#REF!)</f>
        <v>63890.381781250006</v>
      </c>
      <c r="BN12" s="806">
        <f>IF(BN$4="forecast",IF(YEAR(BN$3)=YEAR(Headcount!$N$4),((SUMIFS(Headcount!$N$6:$N$89,Headcount!$F$6:$F$89,"Marketing",Headcount!$H$6:$H$89,"&gt;="&amp;Marketing!BN$3)/12)),IF(YEAR(BN$3)=YEAR(Headcount!$O$4),IF((BN$5=2),((SUMIFS(Headcount!$O$6:$O$89,Headcount!$F$6:$F$89,"Marketing",Headcount!$H$6:$H$89,"&gt;="&amp;Marketing!BN$3)/12)),BM12),IF(YEAR(BN$3)=YEAR(Headcount!$P$4),IF((BN$5=2),((SUMIFS(Headcount!$P$6:$P$89,Headcount!$F$6:$F$89,"Marketing",Headcount!$H$6:$H$89,"&gt;="&amp;Marketing!BN$3)/12)),BM12),IF(YEAR(BN$3)=YEAR(Headcount!$Q$4),IF((BN$5=2),((SUMIFS(Headcount!$Q$6:$Q$89,Headcount!$F$6:$F$89,"Marketing",Headcount!$H$6:$H$89,"&gt;="&amp;Marketing!BN$3)/12)),BM12),IF(YEAR(BN$3)=YEAR(Headcount!$R$4),IF((BN$5=2),((SUMIFS(Headcount!$R$6:$R$89,Headcount!$F$6:$F$89,"Marketing",Headcount!$H$6:$H$89,"&gt;="&amp;Marketing!BN$3)/12)),BM12),"New Year"))))),'Dept. Cost Actuals'!#REF!-'Dept. Cost Actuals'!#REF!)</f>
        <v>63890.381781250006</v>
      </c>
      <c r="BO12" s="806">
        <f>IF(BO$4="forecast",IF(YEAR(BO$3)=YEAR(Headcount!$N$4),((SUMIFS(Headcount!$N$6:$N$89,Headcount!$F$6:$F$89,"Marketing",Headcount!$H$6:$H$89,"&gt;="&amp;Marketing!BO$3)/12)),IF(YEAR(BO$3)=YEAR(Headcount!$O$4),IF((BO$5=2),((SUMIFS(Headcount!$O$6:$O$89,Headcount!$F$6:$F$89,"Marketing",Headcount!$H$6:$H$89,"&gt;="&amp;Marketing!BO$3)/12)),BN12),IF(YEAR(BO$3)=YEAR(Headcount!$P$4),IF((BO$5=2),((SUMIFS(Headcount!$P$6:$P$89,Headcount!$F$6:$F$89,"Marketing",Headcount!$H$6:$H$89,"&gt;="&amp;Marketing!BO$3)/12)),BN12),IF(YEAR(BO$3)=YEAR(Headcount!$Q$4),IF((BO$5=2),((SUMIFS(Headcount!$Q$6:$Q$89,Headcount!$F$6:$F$89,"Marketing",Headcount!$H$6:$H$89,"&gt;="&amp;Marketing!BO$3)/12)),BN12),IF(YEAR(BO$3)=YEAR(Headcount!$R$4),IF((BO$5=2),((SUMIFS(Headcount!$R$6:$R$89,Headcount!$F$6:$F$89,"Marketing",Headcount!$H$6:$H$89,"&gt;="&amp;Marketing!BO$3)/12)),BN12),"New Year"))))),'Dept. Cost Actuals'!#REF!-'Dept. Cost Actuals'!#REF!)</f>
        <v>63890.381781250006</v>
      </c>
      <c r="BP12" s="806">
        <f>IF(BP$4="forecast",IF(YEAR(BP$3)=YEAR(Headcount!$N$4),((SUMIFS(Headcount!$N$6:$N$89,Headcount!$F$6:$F$89,"Marketing",Headcount!$H$6:$H$89,"&gt;="&amp;Marketing!BP$3)/12)),IF(YEAR(BP$3)=YEAR(Headcount!$O$4),IF((BP$5=2),((SUMIFS(Headcount!$O$6:$O$89,Headcount!$F$6:$F$89,"Marketing",Headcount!$H$6:$H$89,"&gt;="&amp;Marketing!BP$3)/12)),BO12),IF(YEAR(BP$3)=YEAR(Headcount!$P$4),IF((BP$5=2),((SUMIFS(Headcount!$P$6:$P$89,Headcount!$F$6:$F$89,"Marketing",Headcount!$H$6:$H$89,"&gt;="&amp;Marketing!BP$3)/12)),BO12),IF(YEAR(BP$3)=YEAR(Headcount!$Q$4),IF((BP$5=2),((SUMIFS(Headcount!$Q$6:$Q$89,Headcount!$F$6:$F$89,"Marketing",Headcount!$H$6:$H$89,"&gt;="&amp;Marketing!BP$3)/12)),BO12),IF(YEAR(BP$3)=YEAR(Headcount!$R$4),IF((BP$5=2),((SUMIFS(Headcount!$R$6:$R$89,Headcount!$F$6:$F$89,"Marketing",Headcount!$H$6:$H$89,"&gt;="&amp;Marketing!BP$3)/12)),BO12),"New Year"))))),'Dept. Cost Actuals'!#REF!-'Dept. Cost Actuals'!#REF!)</f>
        <v>63890.381781250006</v>
      </c>
      <c r="BQ12" s="806">
        <f>IF(BQ$4="forecast",IF(YEAR(BQ$3)=YEAR(Headcount!$N$4),((SUMIFS(Headcount!$N$6:$N$89,Headcount!$F$6:$F$89,"Marketing",Headcount!$H$6:$H$89,"&gt;="&amp;Marketing!BQ$3)/12)),IF(YEAR(BQ$3)=YEAR(Headcount!$O$4),IF((BQ$5=2),((SUMIFS(Headcount!$O$6:$O$89,Headcount!$F$6:$F$89,"Marketing",Headcount!$H$6:$H$89,"&gt;="&amp;Marketing!BQ$3)/12)),BP12),IF(YEAR(BQ$3)=YEAR(Headcount!$P$4),IF((BQ$5=2),((SUMIFS(Headcount!$P$6:$P$89,Headcount!$F$6:$F$89,"Marketing",Headcount!$H$6:$H$89,"&gt;="&amp;Marketing!BQ$3)/12)),BP12),IF(YEAR(BQ$3)=YEAR(Headcount!$Q$4),IF((BQ$5=2),((SUMIFS(Headcount!$Q$6:$Q$89,Headcount!$F$6:$F$89,"Marketing",Headcount!$H$6:$H$89,"&gt;="&amp;Marketing!BQ$3)/12)),BP12),IF(YEAR(BQ$3)=YEAR(Headcount!$R$4),IF((BQ$5=2),((SUMIFS(Headcount!$R$6:$R$89,Headcount!$F$6:$F$89,"Marketing",Headcount!$H$6:$H$89,"&gt;="&amp;Marketing!BQ$3)/12)),BP12),"New Year"))))),'Dept. Cost Actuals'!#REF!-'Dept. Cost Actuals'!#REF!)</f>
        <v>63890.381781250006</v>
      </c>
      <c r="BR12" s="806">
        <f>IF(BR$4="forecast",IF(YEAR(BR$3)=YEAR(Headcount!$N$4),((SUMIFS(Headcount!$N$6:$N$89,Headcount!$F$6:$F$89,"Marketing",Headcount!$H$6:$H$89,"&gt;="&amp;Marketing!BR$3)/12)),IF(YEAR(BR$3)=YEAR(Headcount!$O$4),IF((BR$5=2),((SUMIFS(Headcount!$O$6:$O$89,Headcount!$F$6:$F$89,"Marketing",Headcount!$H$6:$H$89,"&gt;="&amp;Marketing!BR$3)/12)),BQ12),IF(YEAR(BR$3)=YEAR(Headcount!$P$4),IF((BR$5=2),((SUMIFS(Headcount!$P$6:$P$89,Headcount!$F$6:$F$89,"Marketing",Headcount!$H$6:$H$89,"&gt;="&amp;Marketing!BR$3)/12)),BQ12),IF(YEAR(BR$3)=YEAR(Headcount!$Q$4),IF((BR$5=2),((SUMIFS(Headcount!$Q$6:$Q$89,Headcount!$F$6:$F$89,"Marketing",Headcount!$H$6:$H$89,"&gt;="&amp;Marketing!BR$3)/12)),BQ12),IF(YEAR(BR$3)=YEAR(Headcount!$R$4),IF((BR$5=2),((SUMIFS(Headcount!$R$6:$R$89,Headcount!$F$6:$F$89,"Marketing",Headcount!$H$6:$H$89,"&gt;="&amp;Marketing!BR$3)/12)),BQ12),"New Year"))))),'Dept. Cost Actuals'!#REF!-'Dept. Cost Actuals'!#REF!)</f>
        <v>63890.381781250006</v>
      </c>
      <c r="BS12" s="806">
        <f>IF(BS$4="forecast",IF(YEAR(BS$3)=YEAR(Headcount!$N$4),((SUMIFS(Headcount!$N$6:$N$89,Headcount!$F$6:$F$89,"Marketing",Headcount!$H$6:$H$89,"&gt;="&amp;Marketing!BS$3)/12)),IF(YEAR(BS$3)=YEAR(Headcount!$O$4),IF((BS$5=2),((SUMIFS(Headcount!$O$6:$O$89,Headcount!$F$6:$F$89,"Marketing",Headcount!$H$6:$H$89,"&gt;="&amp;Marketing!BS$3)/12)),BR12),IF(YEAR(BS$3)=YEAR(Headcount!$P$4),IF((BS$5=2),((SUMIFS(Headcount!$P$6:$P$89,Headcount!$F$6:$F$89,"Marketing",Headcount!$H$6:$H$89,"&gt;="&amp;Marketing!BS$3)/12)),BR12),IF(YEAR(BS$3)=YEAR(Headcount!$Q$4),IF((BS$5=2),((SUMIFS(Headcount!$Q$6:$Q$89,Headcount!$F$6:$F$89,"Marketing",Headcount!$H$6:$H$89,"&gt;="&amp;Marketing!BS$3)/12)),BR12),IF(YEAR(BS$3)=YEAR(Headcount!$R$4),IF((BS$5=2),((SUMIFS(Headcount!$R$6:$R$89,Headcount!$F$6:$F$89,"Marketing",Headcount!$H$6:$H$89,"&gt;="&amp;Marketing!BS$3)/12)),BR12),"New Year"))))),'Dept. Cost Actuals'!#REF!-'Dept. Cost Actuals'!#REF!)</f>
        <v>63890.381781250006</v>
      </c>
      <c r="BT12" s="806">
        <f>IF(BT$4="forecast",IF(YEAR(BT$3)=YEAR(Headcount!$N$4),((SUMIFS(Headcount!$N$6:$N$89,Headcount!$F$6:$F$89,"Marketing",Headcount!$H$6:$H$89,"&gt;="&amp;Marketing!BT$3)/12)),IF(YEAR(BT$3)=YEAR(Headcount!$O$4),IF((BT$5=2),((SUMIFS(Headcount!$O$6:$O$89,Headcount!$F$6:$F$89,"Marketing",Headcount!$H$6:$H$89,"&gt;="&amp;Marketing!BT$3)/12)),BS12),IF(YEAR(BT$3)=YEAR(Headcount!$P$4),IF((BT$5=2),((SUMIFS(Headcount!$P$6:$P$89,Headcount!$F$6:$F$89,"Marketing",Headcount!$H$6:$H$89,"&gt;="&amp;Marketing!BT$3)/12)),BS12),IF(YEAR(BT$3)=YEAR(Headcount!$Q$4),IF((BT$5=2),((SUMIFS(Headcount!$Q$6:$Q$89,Headcount!$F$6:$F$89,"Marketing",Headcount!$H$6:$H$89,"&gt;="&amp;Marketing!BT$3)/12)),BS12),IF(YEAR(BT$3)=YEAR(Headcount!$R$4),IF((BT$5=2),((SUMIFS(Headcount!$R$6:$R$89,Headcount!$F$6:$F$89,"Marketing",Headcount!$H$6:$H$89,"&gt;="&amp;Marketing!BT$3)/12)),BS12),"New Year"))))),'Dept. Cost Actuals'!#REF!-'Dept. Cost Actuals'!#REF!)</f>
        <v>63890.381781250006</v>
      </c>
      <c r="BU12" s="806">
        <f>IF(BU$4="forecast",IF(YEAR(BU$3)=YEAR(Headcount!$N$4),((SUMIFS(Headcount!$N$6:$N$89,Headcount!$F$6:$F$89,"Marketing",Headcount!$H$6:$H$89,"&gt;="&amp;Marketing!BU$3)/12)),IF(YEAR(BU$3)=YEAR(Headcount!$O$4),IF((BU$5=2),((SUMIFS(Headcount!$O$6:$O$89,Headcount!$F$6:$F$89,"Marketing",Headcount!$H$6:$H$89,"&gt;="&amp;Marketing!BU$3)/12)),BT12),IF(YEAR(BU$3)=YEAR(Headcount!$P$4),IF((BU$5=2),((SUMIFS(Headcount!$P$6:$P$89,Headcount!$F$6:$F$89,"Marketing",Headcount!$H$6:$H$89,"&gt;="&amp;Marketing!BU$3)/12)),BT12),IF(YEAR(BU$3)=YEAR(Headcount!$Q$4),IF((BU$5=2),((SUMIFS(Headcount!$Q$6:$Q$89,Headcount!$F$6:$F$89,"Marketing",Headcount!$H$6:$H$89,"&gt;="&amp;Marketing!BU$3)/12)),BT12),IF(YEAR(BU$3)=YEAR(Headcount!$R$4),IF((BU$5=2),((SUMIFS(Headcount!$R$6:$R$89,Headcount!$F$6:$F$89,"Marketing",Headcount!$H$6:$H$89,"&gt;="&amp;Marketing!BU$3)/12)),BT12),"New Year"))))),'Dept. Cost Actuals'!#REF!-'Dept. Cost Actuals'!#REF!)</f>
        <v>63890.381781250006</v>
      </c>
      <c r="BV12" s="807">
        <f>IF(BV$4="forecast",IF(YEAR(BV$3)=YEAR(Headcount!$N$4),((SUMIFS(Headcount!$N$6:$N$89,Headcount!$F$6:$F$89,"Marketing",Headcount!$H$6:$H$89,"&gt;="&amp;Marketing!BV$3)/12)),IF(YEAR(BV$3)=YEAR(Headcount!$O$4),IF((BV$5=2),((SUMIFS(Headcount!$O$6:$O$89,Headcount!$F$6:$F$89,"Marketing",Headcount!$H$6:$H$89,"&gt;="&amp;Marketing!BV$3)/12)),BU12),IF(YEAR(BV$3)=YEAR(Headcount!$P$4),IF((BV$5=2),((SUMIFS(Headcount!$P$6:$P$89,Headcount!$F$6:$F$89,"Marketing",Headcount!$H$6:$H$89,"&gt;="&amp;Marketing!BV$3)/12)),BU12),IF(YEAR(BV$3)=YEAR(Headcount!$Q$4),IF((BV$5=2),((SUMIFS(Headcount!$Q$6:$Q$89,Headcount!$F$6:$F$89,"Marketing",Headcount!$H$6:$H$89,"&gt;="&amp;Marketing!BV$3)/12)),BU12),IF(YEAR(BV$3)=YEAR(Headcount!$R$4),IF((BV$5=2),((SUMIFS(Headcount!$R$6:$R$89,Headcount!$F$6:$F$89,"Marketing",Headcount!$H$6:$H$89,"&gt;="&amp;Marketing!BV$3)/12)),BU12),"New Year"))))),'Dept. Cost Actuals'!#REF!-'Dept. Cost Actuals'!#REF!)</f>
        <v>63890.381781250006</v>
      </c>
    </row>
    <row r="13" spans="2:74" x14ac:dyDescent="0.35">
      <c r="B13" s="797" t="s">
        <v>935</v>
      </c>
      <c r="C13" s="684">
        <f>IF(C$4="forecast",IF(YEAR(C$3)=YEAR('New Hires Forecast'!$N$3),((SUMIFS('New Hires Forecast'!$N$5:$N$81,'New Hires Forecast'!$F$5:$F$81,"Marketing",'New Hires Forecast'!$H$5:$H$81,"&gt;="&amp;Marketing!C$3,'New Hires Forecast'!$G$5:$G$81,"&lt;="&amp;Marketing!C$3)/12)),IF(YEAR(C$3)=YEAR('New Hires Forecast'!$O$3),((SUMIFS('New Hires Forecast'!$O$5:$O$81,'New Hires Forecast'!$F$5:$F$81,"Marketing",'New Hires Forecast'!$H$5:$H$81,"&gt;="&amp;Marketing!C$3,'New Hires Forecast'!$G$5:$G$81,"&lt;="&amp;Marketing!C$3)/12)),IF(YEAR(C$3)=YEAR('New Hires Forecast'!$P$3),((SUMIFS('New Hires Forecast'!$P$5:$P$81,'New Hires Forecast'!$F$5:$F$81,"Marketing",'New Hires Forecast'!$H$5:$H$81,"&gt;="&amp;Marketing!C$3,'New Hires Forecast'!$G$5:$G$81,"&lt;="&amp;Marketing!C$3)/12)),IF(YEAR(C$3)=YEAR('New Hires Forecast'!$Q$3),((SUMIFS('New Hires Forecast'!$Q$5:$Q$81,'New Hires Forecast'!$F$5:$F$81,"Marketing",'New Hires Forecast'!$H$5:$H$81,"&gt;="&amp;Marketing!C$3,'New Hires Forecast'!$G$5:$G$81,"&lt;="&amp;Marketing!C$3)/12)),IF(YEAR(C$3)=YEAR('New Hires Forecast'!$R$3),((SUMIFS('New Hires Forecast'!$R$5:$R$81,'New Hires Forecast'!$F$5:$F$81,"Marketing",'New Hires Forecast'!$H$5:$H$81,"&gt;="&amp;Marketing!C$3,'New Hires Forecast'!$G$5:$G$81,"&lt;="&amp;Marketing!C$3)/12))))))),0)</f>
        <v>0</v>
      </c>
      <c r="D13" s="684">
        <f>IF(D$4="forecast",IF(YEAR(D$3)=YEAR('New Hires Forecast'!$N$3),((SUMIFS('New Hires Forecast'!$N$5:$N$81,'New Hires Forecast'!$F$5:$F$81,"Marketing",'New Hires Forecast'!$H$5:$H$81,"&gt;="&amp;Marketing!D$3,'New Hires Forecast'!$G$5:$G$81,"&lt;="&amp;Marketing!D$3)/12)),IF(YEAR(D$3)=YEAR('New Hires Forecast'!$O$3),((SUMIFS('New Hires Forecast'!$O$5:$O$81,'New Hires Forecast'!$F$5:$F$81,"Marketing",'New Hires Forecast'!$H$5:$H$81,"&gt;="&amp;Marketing!D$3,'New Hires Forecast'!$G$5:$G$81,"&lt;="&amp;Marketing!D$3)/12)),IF(YEAR(D$3)=YEAR('New Hires Forecast'!$P$3),((SUMIFS('New Hires Forecast'!$P$5:$P$81,'New Hires Forecast'!$F$5:$F$81,"Marketing",'New Hires Forecast'!$H$5:$H$81,"&gt;="&amp;Marketing!D$3,'New Hires Forecast'!$G$5:$G$81,"&lt;="&amp;Marketing!D$3)/12)),IF(YEAR(D$3)=YEAR('New Hires Forecast'!$Q$3),((SUMIFS('New Hires Forecast'!$Q$5:$Q$81,'New Hires Forecast'!$F$5:$F$81,"Marketing",'New Hires Forecast'!$H$5:$H$81,"&gt;="&amp;Marketing!D$3,'New Hires Forecast'!$G$5:$G$81,"&lt;="&amp;Marketing!D$3)/12)),IF(YEAR(D$3)=YEAR('New Hires Forecast'!$R$3),((SUMIFS('New Hires Forecast'!$R$5:$R$81,'New Hires Forecast'!$F$5:$F$81,"Marketing",'New Hires Forecast'!$H$5:$H$81,"&gt;="&amp;Marketing!D$3,'New Hires Forecast'!$G$5:$G$81,"&lt;="&amp;Marketing!D$3)/12))))))),0)</f>
        <v>0</v>
      </c>
      <c r="E13" s="684">
        <f>IF(E$4="forecast",IF(YEAR(E$3)=YEAR('New Hires Forecast'!$N$3),((SUMIFS('New Hires Forecast'!$N$5:$N$81,'New Hires Forecast'!$F$5:$F$81,"Marketing",'New Hires Forecast'!$H$5:$H$81,"&gt;="&amp;Marketing!E$3,'New Hires Forecast'!$G$5:$G$81,"&lt;="&amp;Marketing!E$3)/12)),IF(YEAR(E$3)=YEAR('New Hires Forecast'!$O$3),((SUMIFS('New Hires Forecast'!$O$5:$O$81,'New Hires Forecast'!$F$5:$F$81,"Marketing",'New Hires Forecast'!$H$5:$H$81,"&gt;="&amp;Marketing!E$3,'New Hires Forecast'!$G$5:$G$81,"&lt;="&amp;Marketing!E$3)/12)),IF(YEAR(E$3)=YEAR('New Hires Forecast'!$P$3),((SUMIFS('New Hires Forecast'!$P$5:$P$81,'New Hires Forecast'!$F$5:$F$81,"Marketing",'New Hires Forecast'!$H$5:$H$81,"&gt;="&amp;Marketing!E$3,'New Hires Forecast'!$G$5:$G$81,"&lt;="&amp;Marketing!E$3)/12)),IF(YEAR(E$3)=YEAR('New Hires Forecast'!$Q$3),((SUMIFS('New Hires Forecast'!$Q$5:$Q$81,'New Hires Forecast'!$F$5:$F$81,"Marketing",'New Hires Forecast'!$H$5:$H$81,"&gt;="&amp;Marketing!E$3,'New Hires Forecast'!$G$5:$G$81,"&lt;="&amp;Marketing!E$3)/12)),IF(YEAR(E$3)=YEAR('New Hires Forecast'!$R$3),((SUMIFS('New Hires Forecast'!$R$5:$R$81,'New Hires Forecast'!$F$5:$F$81,"Marketing",'New Hires Forecast'!$H$5:$H$81,"&gt;="&amp;Marketing!E$3,'New Hires Forecast'!$G$5:$G$81,"&lt;="&amp;Marketing!E$3)/12))))))),0)</f>
        <v>0</v>
      </c>
      <c r="F13" s="684">
        <f>IF(F$4="forecast",IF(YEAR(F$3)=YEAR('New Hires Forecast'!$N$3),((SUMIFS('New Hires Forecast'!$N$5:$N$81,'New Hires Forecast'!$F$5:$F$81,"Marketing",'New Hires Forecast'!$H$5:$H$81,"&gt;="&amp;Marketing!F$3,'New Hires Forecast'!$G$5:$G$81,"&lt;="&amp;Marketing!F$3)/12)),IF(YEAR(F$3)=YEAR('New Hires Forecast'!$O$3),((SUMIFS('New Hires Forecast'!$O$5:$O$81,'New Hires Forecast'!$F$5:$F$81,"Marketing",'New Hires Forecast'!$H$5:$H$81,"&gt;="&amp;Marketing!F$3,'New Hires Forecast'!$G$5:$G$81,"&lt;="&amp;Marketing!F$3)/12)),IF(YEAR(F$3)=YEAR('New Hires Forecast'!$P$3),((SUMIFS('New Hires Forecast'!$P$5:$P$81,'New Hires Forecast'!$F$5:$F$81,"Marketing",'New Hires Forecast'!$H$5:$H$81,"&gt;="&amp;Marketing!F$3,'New Hires Forecast'!$G$5:$G$81,"&lt;="&amp;Marketing!F$3)/12)),IF(YEAR(F$3)=YEAR('New Hires Forecast'!$Q$3),((SUMIFS('New Hires Forecast'!$Q$5:$Q$81,'New Hires Forecast'!$F$5:$F$81,"Marketing",'New Hires Forecast'!$H$5:$H$81,"&gt;="&amp;Marketing!F$3,'New Hires Forecast'!$G$5:$G$81,"&lt;="&amp;Marketing!F$3)/12)),IF(YEAR(F$3)=YEAR('New Hires Forecast'!$R$3),((SUMIFS('New Hires Forecast'!$R$5:$R$81,'New Hires Forecast'!$F$5:$F$81,"Marketing",'New Hires Forecast'!$H$5:$H$81,"&gt;="&amp;Marketing!F$3,'New Hires Forecast'!$G$5:$G$81,"&lt;="&amp;Marketing!F$3)/12))))))),0)</f>
        <v>0</v>
      </c>
      <c r="G13" s="684">
        <f>IF(G$4="forecast",IF(YEAR(G$3)=YEAR('New Hires Forecast'!$N$3),((SUMIFS('New Hires Forecast'!$N$5:$N$81,'New Hires Forecast'!$F$5:$F$81,"Marketing",'New Hires Forecast'!$H$5:$H$81,"&gt;="&amp;Marketing!G$3,'New Hires Forecast'!$G$5:$G$81,"&lt;="&amp;Marketing!G$3)/12)),IF(YEAR(G$3)=YEAR('New Hires Forecast'!$O$3),((SUMIFS('New Hires Forecast'!$O$5:$O$81,'New Hires Forecast'!$F$5:$F$81,"Marketing",'New Hires Forecast'!$H$5:$H$81,"&gt;="&amp;Marketing!G$3,'New Hires Forecast'!$G$5:$G$81,"&lt;="&amp;Marketing!G$3)/12)),IF(YEAR(G$3)=YEAR('New Hires Forecast'!$P$3),((SUMIFS('New Hires Forecast'!$P$5:$P$81,'New Hires Forecast'!$F$5:$F$81,"Marketing",'New Hires Forecast'!$H$5:$H$81,"&gt;="&amp;Marketing!G$3,'New Hires Forecast'!$G$5:$G$81,"&lt;="&amp;Marketing!G$3)/12)),IF(YEAR(G$3)=YEAR('New Hires Forecast'!$Q$3),((SUMIFS('New Hires Forecast'!$Q$5:$Q$81,'New Hires Forecast'!$F$5:$F$81,"Marketing",'New Hires Forecast'!$H$5:$H$81,"&gt;="&amp;Marketing!G$3,'New Hires Forecast'!$G$5:$G$81,"&lt;="&amp;Marketing!G$3)/12)),IF(YEAR(G$3)=YEAR('New Hires Forecast'!$R$3),((SUMIFS('New Hires Forecast'!$R$5:$R$81,'New Hires Forecast'!$F$5:$F$81,"Marketing",'New Hires Forecast'!$H$5:$H$81,"&gt;="&amp;Marketing!G$3,'New Hires Forecast'!$G$5:$G$81,"&lt;="&amp;Marketing!G$3)/12))))))),0)</f>
        <v>0</v>
      </c>
      <c r="H13" s="684">
        <f>IF(H$4="forecast",IF(YEAR(H$3)=YEAR('New Hires Forecast'!$N$3),((SUMIFS('New Hires Forecast'!$N$5:$N$81,'New Hires Forecast'!$F$5:$F$81,"Marketing",'New Hires Forecast'!$H$5:$H$81,"&gt;="&amp;Marketing!H$3,'New Hires Forecast'!$G$5:$G$81,"&lt;="&amp;Marketing!H$3)/12)),IF(YEAR(H$3)=YEAR('New Hires Forecast'!$O$3),((SUMIFS('New Hires Forecast'!$O$5:$O$81,'New Hires Forecast'!$F$5:$F$81,"Marketing",'New Hires Forecast'!$H$5:$H$81,"&gt;="&amp;Marketing!H$3,'New Hires Forecast'!$G$5:$G$81,"&lt;="&amp;Marketing!H$3)/12)),IF(YEAR(H$3)=YEAR('New Hires Forecast'!$P$3),((SUMIFS('New Hires Forecast'!$P$5:$P$81,'New Hires Forecast'!$F$5:$F$81,"Marketing",'New Hires Forecast'!$H$5:$H$81,"&gt;="&amp;Marketing!H$3,'New Hires Forecast'!$G$5:$G$81,"&lt;="&amp;Marketing!H$3)/12)),IF(YEAR(H$3)=YEAR('New Hires Forecast'!$Q$3),((SUMIFS('New Hires Forecast'!$Q$5:$Q$81,'New Hires Forecast'!$F$5:$F$81,"Marketing",'New Hires Forecast'!$H$5:$H$81,"&gt;="&amp;Marketing!H$3,'New Hires Forecast'!$G$5:$G$81,"&lt;="&amp;Marketing!H$3)/12)),IF(YEAR(H$3)=YEAR('New Hires Forecast'!$R$3),((SUMIFS('New Hires Forecast'!$R$5:$R$81,'New Hires Forecast'!$F$5:$F$81,"Marketing",'New Hires Forecast'!$H$5:$H$81,"&gt;="&amp;Marketing!H$3,'New Hires Forecast'!$G$5:$G$81,"&lt;="&amp;Marketing!H$3)/12))))))),0)</f>
        <v>0</v>
      </c>
      <c r="I13" s="684">
        <f>IF(I$4="forecast",IF(YEAR(I$3)=YEAR('New Hires Forecast'!$N$3),((SUMIFS('New Hires Forecast'!$N$5:$N$81,'New Hires Forecast'!$F$5:$F$81,"Marketing",'New Hires Forecast'!$H$5:$H$81,"&gt;="&amp;Marketing!I$3,'New Hires Forecast'!$G$5:$G$81,"&lt;="&amp;Marketing!I$3)/12)),IF(YEAR(I$3)=YEAR('New Hires Forecast'!$O$3),((SUMIFS('New Hires Forecast'!$O$5:$O$81,'New Hires Forecast'!$F$5:$F$81,"Marketing",'New Hires Forecast'!$H$5:$H$81,"&gt;="&amp;Marketing!I$3,'New Hires Forecast'!$G$5:$G$81,"&lt;="&amp;Marketing!I$3)/12)),IF(YEAR(I$3)=YEAR('New Hires Forecast'!$P$3),((SUMIFS('New Hires Forecast'!$P$5:$P$81,'New Hires Forecast'!$F$5:$F$81,"Marketing",'New Hires Forecast'!$H$5:$H$81,"&gt;="&amp;Marketing!I$3,'New Hires Forecast'!$G$5:$G$81,"&lt;="&amp;Marketing!I$3)/12)),IF(YEAR(I$3)=YEAR('New Hires Forecast'!$Q$3),((SUMIFS('New Hires Forecast'!$Q$5:$Q$81,'New Hires Forecast'!$F$5:$F$81,"Marketing",'New Hires Forecast'!$H$5:$H$81,"&gt;="&amp;Marketing!I$3,'New Hires Forecast'!$G$5:$G$81,"&lt;="&amp;Marketing!I$3)/12)),IF(YEAR(I$3)=YEAR('New Hires Forecast'!$R$3),((SUMIFS('New Hires Forecast'!$R$5:$R$81,'New Hires Forecast'!$F$5:$F$81,"Marketing",'New Hires Forecast'!$H$5:$H$81,"&gt;="&amp;Marketing!I$3,'New Hires Forecast'!$G$5:$G$81,"&lt;="&amp;Marketing!I$3)/12))))))),0)</f>
        <v>0</v>
      </c>
      <c r="J13" s="684">
        <f>IF(J$4="forecast",IF(YEAR(J$3)=YEAR('New Hires Forecast'!$N$3),((SUMIFS('New Hires Forecast'!$N$5:$N$81,'New Hires Forecast'!$F$5:$F$81,"Marketing",'New Hires Forecast'!$H$5:$H$81,"&gt;="&amp;Marketing!J$3,'New Hires Forecast'!$G$5:$G$81,"&lt;="&amp;Marketing!J$3)/12)),IF(YEAR(J$3)=YEAR('New Hires Forecast'!$O$3),((SUMIFS('New Hires Forecast'!$O$5:$O$81,'New Hires Forecast'!$F$5:$F$81,"Marketing",'New Hires Forecast'!$H$5:$H$81,"&gt;="&amp;Marketing!J$3,'New Hires Forecast'!$G$5:$G$81,"&lt;="&amp;Marketing!J$3)/12)),IF(YEAR(J$3)=YEAR('New Hires Forecast'!$P$3),((SUMIFS('New Hires Forecast'!$P$5:$P$81,'New Hires Forecast'!$F$5:$F$81,"Marketing",'New Hires Forecast'!$H$5:$H$81,"&gt;="&amp;Marketing!J$3,'New Hires Forecast'!$G$5:$G$81,"&lt;="&amp;Marketing!J$3)/12)),IF(YEAR(J$3)=YEAR('New Hires Forecast'!$Q$3),((SUMIFS('New Hires Forecast'!$Q$5:$Q$81,'New Hires Forecast'!$F$5:$F$81,"Marketing",'New Hires Forecast'!$H$5:$H$81,"&gt;="&amp;Marketing!J$3,'New Hires Forecast'!$G$5:$G$81,"&lt;="&amp;Marketing!J$3)/12)),IF(YEAR(J$3)=YEAR('New Hires Forecast'!$R$3),((SUMIFS('New Hires Forecast'!$R$5:$R$81,'New Hires Forecast'!$F$5:$F$81,"Marketing",'New Hires Forecast'!$H$5:$H$81,"&gt;="&amp;Marketing!J$3,'New Hires Forecast'!$G$5:$G$81,"&lt;="&amp;Marketing!J$3)/12))))))),0)</f>
        <v>0</v>
      </c>
      <c r="K13" s="684">
        <f>IF(K$4="forecast",IF(YEAR(K$3)=YEAR('New Hires Forecast'!$N$3),((SUMIFS('New Hires Forecast'!$N$5:$N$81,'New Hires Forecast'!$F$5:$F$81,"Marketing",'New Hires Forecast'!$H$5:$H$81,"&gt;="&amp;Marketing!K$3,'New Hires Forecast'!$G$5:$G$81,"&lt;="&amp;Marketing!K$3)/12)),IF(YEAR(K$3)=YEAR('New Hires Forecast'!$O$3),((SUMIFS('New Hires Forecast'!$O$5:$O$81,'New Hires Forecast'!$F$5:$F$81,"Marketing",'New Hires Forecast'!$H$5:$H$81,"&gt;="&amp;Marketing!K$3,'New Hires Forecast'!$G$5:$G$81,"&lt;="&amp;Marketing!K$3)/12)),IF(YEAR(K$3)=YEAR('New Hires Forecast'!$P$3),((SUMIFS('New Hires Forecast'!$P$5:$P$81,'New Hires Forecast'!$F$5:$F$81,"Marketing",'New Hires Forecast'!$H$5:$H$81,"&gt;="&amp;Marketing!K$3,'New Hires Forecast'!$G$5:$G$81,"&lt;="&amp;Marketing!K$3)/12)),IF(YEAR(K$3)=YEAR('New Hires Forecast'!$Q$3),((SUMIFS('New Hires Forecast'!$Q$5:$Q$81,'New Hires Forecast'!$F$5:$F$81,"Marketing",'New Hires Forecast'!$H$5:$H$81,"&gt;="&amp;Marketing!K$3,'New Hires Forecast'!$G$5:$G$81,"&lt;="&amp;Marketing!K$3)/12)),IF(YEAR(K$3)=YEAR('New Hires Forecast'!$R$3),((SUMIFS('New Hires Forecast'!$R$5:$R$81,'New Hires Forecast'!$F$5:$F$81,"Marketing",'New Hires Forecast'!$H$5:$H$81,"&gt;="&amp;Marketing!K$3,'New Hires Forecast'!$G$5:$G$81,"&lt;="&amp;Marketing!K$3)/12))))))),0)</f>
        <v>0</v>
      </c>
      <c r="L13" s="684">
        <f>IF(L$4="forecast",IF(YEAR(L$3)=YEAR('New Hires Forecast'!$N$3),((SUMIFS('New Hires Forecast'!$N$5:$N$81,'New Hires Forecast'!$F$5:$F$81,"Marketing",'New Hires Forecast'!$H$5:$H$81,"&gt;="&amp;Marketing!L$3,'New Hires Forecast'!$G$5:$G$81,"&lt;="&amp;Marketing!L$3)/12)),IF(YEAR(L$3)=YEAR('New Hires Forecast'!$O$3),((SUMIFS('New Hires Forecast'!$O$5:$O$81,'New Hires Forecast'!$F$5:$F$81,"Marketing",'New Hires Forecast'!$H$5:$H$81,"&gt;="&amp;Marketing!L$3,'New Hires Forecast'!$G$5:$G$81,"&lt;="&amp;Marketing!L$3)/12)),IF(YEAR(L$3)=YEAR('New Hires Forecast'!$P$3),((SUMIFS('New Hires Forecast'!$P$5:$P$81,'New Hires Forecast'!$F$5:$F$81,"Marketing",'New Hires Forecast'!$H$5:$H$81,"&gt;="&amp;Marketing!L$3,'New Hires Forecast'!$G$5:$G$81,"&lt;="&amp;Marketing!L$3)/12)),IF(YEAR(L$3)=YEAR('New Hires Forecast'!$Q$3),((SUMIFS('New Hires Forecast'!$Q$5:$Q$81,'New Hires Forecast'!$F$5:$F$81,"Marketing",'New Hires Forecast'!$H$5:$H$81,"&gt;="&amp;Marketing!L$3,'New Hires Forecast'!$G$5:$G$81,"&lt;="&amp;Marketing!L$3)/12)),IF(YEAR(L$3)=YEAR('New Hires Forecast'!$R$3),((SUMIFS('New Hires Forecast'!$R$5:$R$81,'New Hires Forecast'!$F$5:$F$81,"Marketing",'New Hires Forecast'!$H$5:$H$81,"&gt;="&amp;Marketing!L$3,'New Hires Forecast'!$G$5:$G$81,"&lt;="&amp;Marketing!L$3)/12))))))),0)</f>
        <v>0</v>
      </c>
      <c r="M13" s="684">
        <f>IF(M$4="forecast",IF(YEAR(M$3)=YEAR('New Hires Forecast'!$N$3),((SUMIFS('New Hires Forecast'!$N$5:$N$81,'New Hires Forecast'!$F$5:$F$81,"Marketing",'New Hires Forecast'!$H$5:$H$81,"&gt;="&amp;Marketing!M$3,'New Hires Forecast'!$G$5:$G$81,"&lt;="&amp;Marketing!M$3)/12)),IF(YEAR(M$3)=YEAR('New Hires Forecast'!$O$3),((SUMIFS('New Hires Forecast'!$O$5:$O$81,'New Hires Forecast'!$F$5:$F$81,"Marketing",'New Hires Forecast'!$H$5:$H$81,"&gt;="&amp;Marketing!M$3,'New Hires Forecast'!$G$5:$G$81,"&lt;="&amp;Marketing!M$3)/12)),IF(YEAR(M$3)=YEAR('New Hires Forecast'!$P$3),((SUMIFS('New Hires Forecast'!$P$5:$P$81,'New Hires Forecast'!$F$5:$F$81,"Marketing",'New Hires Forecast'!$H$5:$H$81,"&gt;="&amp;Marketing!M$3,'New Hires Forecast'!$G$5:$G$81,"&lt;="&amp;Marketing!M$3)/12)),IF(YEAR(M$3)=YEAR('New Hires Forecast'!$Q$3),((SUMIFS('New Hires Forecast'!$Q$5:$Q$81,'New Hires Forecast'!$F$5:$F$81,"Marketing",'New Hires Forecast'!$H$5:$H$81,"&gt;="&amp;Marketing!M$3,'New Hires Forecast'!$G$5:$G$81,"&lt;="&amp;Marketing!M$3)/12)),IF(YEAR(M$3)=YEAR('New Hires Forecast'!$R$3),((SUMIFS('New Hires Forecast'!$R$5:$R$81,'New Hires Forecast'!$F$5:$F$81,"Marketing",'New Hires Forecast'!$H$5:$H$81,"&gt;="&amp;Marketing!M$3,'New Hires Forecast'!$G$5:$G$81,"&lt;="&amp;Marketing!M$3)/12))))))),0)</f>
        <v>0</v>
      </c>
      <c r="N13" s="684">
        <f>IF(N$4="forecast",IF(YEAR(N$3)=YEAR('New Hires Forecast'!$N$3),((SUMIFS('New Hires Forecast'!$N$5:$N$81,'New Hires Forecast'!$F$5:$F$81,"Marketing",'New Hires Forecast'!$H$5:$H$81,"&gt;="&amp;Marketing!N$3,'New Hires Forecast'!$G$5:$G$81,"&lt;="&amp;Marketing!N$3)/12)),IF(YEAR(N$3)=YEAR('New Hires Forecast'!$O$3),((SUMIFS('New Hires Forecast'!$O$5:$O$81,'New Hires Forecast'!$F$5:$F$81,"Marketing",'New Hires Forecast'!$H$5:$H$81,"&gt;="&amp;Marketing!N$3,'New Hires Forecast'!$G$5:$G$81,"&lt;="&amp;Marketing!N$3)/12)),IF(YEAR(N$3)=YEAR('New Hires Forecast'!$P$3),((SUMIFS('New Hires Forecast'!$P$5:$P$81,'New Hires Forecast'!$F$5:$F$81,"Marketing",'New Hires Forecast'!$H$5:$H$81,"&gt;="&amp;Marketing!N$3,'New Hires Forecast'!$G$5:$G$81,"&lt;="&amp;Marketing!N$3)/12)),IF(YEAR(N$3)=YEAR('New Hires Forecast'!$Q$3),((SUMIFS('New Hires Forecast'!$Q$5:$Q$81,'New Hires Forecast'!$F$5:$F$81,"Marketing",'New Hires Forecast'!$H$5:$H$81,"&gt;="&amp;Marketing!N$3,'New Hires Forecast'!$G$5:$G$81,"&lt;="&amp;Marketing!N$3)/12)),IF(YEAR(N$3)=YEAR('New Hires Forecast'!$R$3),((SUMIFS('New Hires Forecast'!$R$5:$R$81,'New Hires Forecast'!$F$5:$F$81,"Marketing",'New Hires Forecast'!$H$5:$H$81,"&gt;="&amp;Marketing!N$3,'New Hires Forecast'!$G$5:$G$81,"&lt;="&amp;Marketing!N$3)/12))))))),0)</f>
        <v>0</v>
      </c>
      <c r="O13" s="684">
        <f>IF(O$4="forecast",IF(YEAR(O$3)=YEAR('New Hires Forecast'!$N$3),((SUMIFS('New Hires Forecast'!$N$5:$N$81,'New Hires Forecast'!$F$5:$F$81,"Marketing",'New Hires Forecast'!$H$5:$H$81,"&gt;="&amp;Marketing!O$3,'New Hires Forecast'!$G$5:$G$81,"&lt;="&amp;Marketing!O$3)/12)),IF(YEAR(O$3)=YEAR('New Hires Forecast'!$O$3),((SUMIFS('New Hires Forecast'!$O$5:$O$81,'New Hires Forecast'!$F$5:$F$81,"Marketing",'New Hires Forecast'!$H$5:$H$81,"&gt;="&amp;Marketing!O$3,'New Hires Forecast'!$G$5:$G$81,"&lt;="&amp;Marketing!O$3)/12)),IF(YEAR(O$3)=YEAR('New Hires Forecast'!$P$3),((SUMIFS('New Hires Forecast'!$P$5:$P$81,'New Hires Forecast'!$F$5:$F$81,"Marketing",'New Hires Forecast'!$H$5:$H$81,"&gt;="&amp;Marketing!O$3,'New Hires Forecast'!$G$5:$G$81,"&lt;="&amp;Marketing!O$3)/12)),IF(YEAR(O$3)=YEAR('New Hires Forecast'!$Q$3),((SUMIFS('New Hires Forecast'!$Q$5:$Q$81,'New Hires Forecast'!$F$5:$F$81,"Marketing",'New Hires Forecast'!$H$5:$H$81,"&gt;="&amp;Marketing!O$3,'New Hires Forecast'!$G$5:$G$81,"&lt;="&amp;Marketing!O$3)/12)),IF(YEAR(O$3)=YEAR('New Hires Forecast'!$R$3),((SUMIFS('New Hires Forecast'!$R$5:$R$81,'New Hires Forecast'!$F$5:$F$81,"Marketing",'New Hires Forecast'!$H$5:$H$81,"&gt;="&amp;Marketing!O$3,'New Hires Forecast'!$G$5:$G$81,"&lt;="&amp;Marketing!O$3)/12))))))),0)</f>
        <v>0</v>
      </c>
      <c r="P13" s="684">
        <f>IF(P$4="forecast",IF(YEAR(P$3)=YEAR('New Hires Forecast'!$N$3),((SUMIFS('New Hires Forecast'!$N$5:$N$81,'New Hires Forecast'!$F$5:$F$81,"Marketing",'New Hires Forecast'!$H$5:$H$81,"&gt;="&amp;Marketing!P$3,'New Hires Forecast'!$G$5:$G$81,"&lt;="&amp;Marketing!P$3)/12)),IF(YEAR(P$3)=YEAR('New Hires Forecast'!$O$3),((SUMIFS('New Hires Forecast'!$O$5:$O$81,'New Hires Forecast'!$F$5:$F$81,"Marketing",'New Hires Forecast'!$H$5:$H$81,"&gt;="&amp;Marketing!P$3,'New Hires Forecast'!$G$5:$G$81,"&lt;="&amp;Marketing!P$3)/12)),IF(YEAR(P$3)=YEAR('New Hires Forecast'!$P$3),((SUMIFS('New Hires Forecast'!$P$5:$P$81,'New Hires Forecast'!$F$5:$F$81,"Marketing",'New Hires Forecast'!$H$5:$H$81,"&gt;="&amp;Marketing!P$3,'New Hires Forecast'!$G$5:$G$81,"&lt;="&amp;Marketing!P$3)/12)),IF(YEAR(P$3)=YEAR('New Hires Forecast'!$Q$3),((SUMIFS('New Hires Forecast'!$Q$5:$Q$81,'New Hires Forecast'!$F$5:$F$81,"Marketing",'New Hires Forecast'!$H$5:$H$81,"&gt;="&amp;Marketing!P$3,'New Hires Forecast'!$G$5:$G$81,"&lt;="&amp;Marketing!P$3)/12)),IF(YEAR(P$3)=YEAR('New Hires Forecast'!$R$3),((SUMIFS('New Hires Forecast'!$R$5:$R$81,'New Hires Forecast'!$F$5:$F$81,"Marketing",'New Hires Forecast'!$H$5:$H$81,"&gt;="&amp;Marketing!P$3,'New Hires Forecast'!$G$5:$G$81,"&lt;="&amp;Marketing!P$3)/12))))))),0)</f>
        <v>0</v>
      </c>
      <c r="Q13" s="684">
        <f>IF(Q$4="forecast",IF(YEAR(Q$3)=YEAR('New Hires Forecast'!$N$3),((SUMIFS('New Hires Forecast'!$N$5:$N$81,'New Hires Forecast'!$F$5:$F$81,"Marketing",'New Hires Forecast'!$H$5:$H$81,"&gt;="&amp;Marketing!Q$3,'New Hires Forecast'!$G$5:$G$81,"&lt;="&amp;Marketing!Q$3)/12)),IF(YEAR(Q$3)=YEAR('New Hires Forecast'!$O$3),((SUMIFS('New Hires Forecast'!$O$5:$O$81,'New Hires Forecast'!$F$5:$F$81,"Marketing",'New Hires Forecast'!$H$5:$H$81,"&gt;="&amp;Marketing!Q$3,'New Hires Forecast'!$G$5:$G$81,"&lt;="&amp;Marketing!Q$3)/12)),IF(YEAR(Q$3)=YEAR('New Hires Forecast'!$P$3),((SUMIFS('New Hires Forecast'!$P$5:$P$81,'New Hires Forecast'!$F$5:$F$81,"Marketing",'New Hires Forecast'!$H$5:$H$81,"&gt;="&amp;Marketing!Q$3,'New Hires Forecast'!$G$5:$G$81,"&lt;="&amp;Marketing!Q$3)/12)),IF(YEAR(Q$3)=YEAR('New Hires Forecast'!$Q$3),((SUMIFS('New Hires Forecast'!$Q$5:$Q$81,'New Hires Forecast'!$F$5:$F$81,"Marketing",'New Hires Forecast'!$H$5:$H$81,"&gt;="&amp;Marketing!Q$3,'New Hires Forecast'!$G$5:$G$81,"&lt;="&amp;Marketing!Q$3)/12)),IF(YEAR(Q$3)=YEAR('New Hires Forecast'!$R$3),((SUMIFS('New Hires Forecast'!$R$5:$R$81,'New Hires Forecast'!$F$5:$F$81,"Marketing",'New Hires Forecast'!$H$5:$H$81,"&gt;="&amp;Marketing!Q$3,'New Hires Forecast'!$G$5:$G$81,"&lt;="&amp;Marketing!Q$3)/12))))))),0)</f>
        <v>0</v>
      </c>
      <c r="R13" s="684">
        <f>IF(R$4="forecast",IF(YEAR(R$3)=YEAR('New Hires Forecast'!$N$3),((SUMIFS('New Hires Forecast'!$N$5:$N$81,'New Hires Forecast'!$F$5:$F$81,"Marketing",'New Hires Forecast'!$H$5:$H$81,"&gt;="&amp;Marketing!R$3,'New Hires Forecast'!$G$5:$G$81,"&lt;="&amp;Marketing!R$3)/12)),IF(YEAR(R$3)=YEAR('New Hires Forecast'!$O$3),((SUMIFS('New Hires Forecast'!$O$5:$O$81,'New Hires Forecast'!$F$5:$F$81,"Marketing",'New Hires Forecast'!$H$5:$H$81,"&gt;="&amp;Marketing!R$3,'New Hires Forecast'!$G$5:$G$81,"&lt;="&amp;Marketing!R$3)/12)),IF(YEAR(R$3)=YEAR('New Hires Forecast'!$P$3),((SUMIFS('New Hires Forecast'!$P$5:$P$81,'New Hires Forecast'!$F$5:$F$81,"Marketing",'New Hires Forecast'!$H$5:$H$81,"&gt;="&amp;Marketing!R$3,'New Hires Forecast'!$G$5:$G$81,"&lt;="&amp;Marketing!R$3)/12)),IF(YEAR(R$3)=YEAR('New Hires Forecast'!$Q$3),((SUMIFS('New Hires Forecast'!$Q$5:$Q$81,'New Hires Forecast'!$F$5:$F$81,"Marketing",'New Hires Forecast'!$H$5:$H$81,"&gt;="&amp;Marketing!R$3,'New Hires Forecast'!$G$5:$G$81,"&lt;="&amp;Marketing!R$3)/12)),IF(YEAR(R$3)=YEAR('New Hires Forecast'!$R$3),((SUMIFS('New Hires Forecast'!$R$5:$R$81,'New Hires Forecast'!$F$5:$F$81,"Marketing",'New Hires Forecast'!$H$5:$H$81,"&gt;="&amp;Marketing!R$3,'New Hires Forecast'!$G$5:$G$81,"&lt;="&amp;Marketing!R$3)/12))))))),0)</f>
        <v>0</v>
      </c>
      <c r="S13" s="684">
        <f>IF(S$4="forecast",IF(YEAR(S$3)=YEAR('New Hires Forecast'!$N$3),((SUMIFS('New Hires Forecast'!$N$5:$N$81,'New Hires Forecast'!$F$5:$F$81,"Marketing",'New Hires Forecast'!$H$5:$H$81,"&gt;="&amp;Marketing!S$3,'New Hires Forecast'!$G$5:$G$81,"&lt;="&amp;Marketing!S$3)/12)),IF(YEAR(S$3)=YEAR('New Hires Forecast'!$O$3),((SUMIFS('New Hires Forecast'!$O$5:$O$81,'New Hires Forecast'!$F$5:$F$81,"Marketing",'New Hires Forecast'!$H$5:$H$81,"&gt;="&amp;Marketing!S$3,'New Hires Forecast'!$G$5:$G$81,"&lt;="&amp;Marketing!S$3)/12)),IF(YEAR(S$3)=YEAR('New Hires Forecast'!$P$3),((SUMIFS('New Hires Forecast'!$P$5:$P$81,'New Hires Forecast'!$F$5:$F$81,"Marketing",'New Hires Forecast'!$H$5:$H$81,"&gt;="&amp;Marketing!S$3,'New Hires Forecast'!$G$5:$G$81,"&lt;="&amp;Marketing!S$3)/12)),IF(YEAR(S$3)=YEAR('New Hires Forecast'!$Q$3),((SUMIFS('New Hires Forecast'!$Q$5:$Q$81,'New Hires Forecast'!$F$5:$F$81,"Marketing",'New Hires Forecast'!$H$5:$H$81,"&gt;="&amp;Marketing!S$3,'New Hires Forecast'!$G$5:$G$81,"&lt;="&amp;Marketing!S$3)/12)),IF(YEAR(S$3)=YEAR('New Hires Forecast'!$R$3),((SUMIFS('New Hires Forecast'!$R$5:$R$81,'New Hires Forecast'!$F$5:$F$81,"Marketing",'New Hires Forecast'!$H$5:$H$81,"&gt;="&amp;Marketing!S$3,'New Hires Forecast'!$G$5:$G$81,"&lt;="&amp;Marketing!S$3)/12))))))),0)</f>
        <v>0</v>
      </c>
      <c r="T13" s="684">
        <f>IF(T$4="forecast",IF(YEAR(T$3)=YEAR('New Hires Forecast'!$N$3),((SUMIFS('New Hires Forecast'!$N$5:$N$81,'New Hires Forecast'!$F$5:$F$81,"Marketing",'New Hires Forecast'!$H$5:$H$81,"&gt;="&amp;Marketing!T$3,'New Hires Forecast'!$G$5:$G$81,"&lt;="&amp;Marketing!T$3)/12)),IF(YEAR(T$3)=YEAR('New Hires Forecast'!$O$3),((SUMIFS('New Hires Forecast'!$O$5:$O$81,'New Hires Forecast'!$F$5:$F$81,"Marketing",'New Hires Forecast'!$H$5:$H$81,"&gt;="&amp;Marketing!T$3,'New Hires Forecast'!$G$5:$G$81,"&lt;="&amp;Marketing!T$3)/12)),IF(YEAR(T$3)=YEAR('New Hires Forecast'!$P$3),((SUMIFS('New Hires Forecast'!$P$5:$P$81,'New Hires Forecast'!$F$5:$F$81,"Marketing",'New Hires Forecast'!$H$5:$H$81,"&gt;="&amp;Marketing!T$3,'New Hires Forecast'!$G$5:$G$81,"&lt;="&amp;Marketing!T$3)/12)),IF(YEAR(T$3)=YEAR('New Hires Forecast'!$Q$3),((SUMIFS('New Hires Forecast'!$Q$5:$Q$81,'New Hires Forecast'!$F$5:$F$81,"Marketing",'New Hires Forecast'!$H$5:$H$81,"&gt;="&amp;Marketing!T$3,'New Hires Forecast'!$G$5:$G$81,"&lt;="&amp;Marketing!T$3)/12)),IF(YEAR(T$3)=YEAR('New Hires Forecast'!$R$3),((SUMIFS('New Hires Forecast'!$R$5:$R$81,'New Hires Forecast'!$F$5:$F$81,"Marketing",'New Hires Forecast'!$H$5:$H$81,"&gt;="&amp;Marketing!T$3,'New Hires Forecast'!$G$5:$G$81,"&lt;="&amp;Marketing!T$3)/12))))))),0)</f>
        <v>0</v>
      </c>
      <c r="U13" s="684">
        <f>IF(U$4="forecast",IF(YEAR(U$3)=YEAR('New Hires Forecast'!$N$3),((SUMIFS('New Hires Forecast'!$N$5:$N$81,'New Hires Forecast'!$F$5:$F$81,"Marketing",'New Hires Forecast'!$H$5:$H$81,"&gt;="&amp;Marketing!U$3,'New Hires Forecast'!$G$5:$G$81,"&lt;="&amp;Marketing!U$3)/12)),IF(YEAR(U$3)=YEAR('New Hires Forecast'!$O$3),((SUMIFS('New Hires Forecast'!$O$5:$O$81,'New Hires Forecast'!$F$5:$F$81,"Marketing",'New Hires Forecast'!$H$5:$H$81,"&gt;="&amp;Marketing!U$3,'New Hires Forecast'!$G$5:$G$81,"&lt;="&amp;Marketing!U$3)/12)),IF(YEAR(U$3)=YEAR('New Hires Forecast'!$P$3),((SUMIFS('New Hires Forecast'!$P$5:$P$81,'New Hires Forecast'!$F$5:$F$81,"Marketing",'New Hires Forecast'!$H$5:$H$81,"&gt;="&amp;Marketing!U$3,'New Hires Forecast'!$G$5:$G$81,"&lt;="&amp;Marketing!U$3)/12)),IF(YEAR(U$3)=YEAR('New Hires Forecast'!$Q$3),((SUMIFS('New Hires Forecast'!$Q$5:$Q$81,'New Hires Forecast'!$F$5:$F$81,"Marketing",'New Hires Forecast'!$H$5:$H$81,"&gt;="&amp;Marketing!U$3,'New Hires Forecast'!$G$5:$G$81,"&lt;="&amp;Marketing!U$3)/12)),IF(YEAR(U$3)=YEAR('New Hires Forecast'!$R$3),((SUMIFS('New Hires Forecast'!$R$5:$R$81,'New Hires Forecast'!$F$5:$F$81,"Marketing",'New Hires Forecast'!$H$5:$H$81,"&gt;="&amp;Marketing!U$3,'New Hires Forecast'!$G$5:$G$81,"&lt;="&amp;Marketing!U$3)/12))))))),0)</f>
        <v>0</v>
      </c>
      <c r="V13" s="684">
        <f>IF(V$4="forecast",IF(YEAR(V$3)=YEAR('New Hires Forecast'!$N$3),((SUMIFS('New Hires Forecast'!$N$5:$N$81,'New Hires Forecast'!$F$5:$F$81,"Marketing",'New Hires Forecast'!$H$5:$H$81,"&gt;="&amp;Marketing!V$3,'New Hires Forecast'!$G$5:$G$81,"&lt;="&amp;Marketing!V$3)/12)),IF(YEAR(V$3)=YEAR('New Hires Forecast'!$O$3),((SUMIFS('New Hires Forecast'!$O$5:$O$81,'New Hires Forecast'!$F$5:$F$81,"Marketing",'New Hires Forecast'!$H$5:$H$81,"&gt;="&amp;Marketing!V$3,'New Hires Forecast'!$G$5:$G$81,"&lt;="&amp;Marketing!V$3)/12)),IF(YEAR(V$3)=YEAR('New Hires Forecast'!$P$3),((SUMIFS('New Hires Forecast'!$P$5:$P$81,'New Hires Forecast'!$F$5:$F$81,"Marketing",'New Hires Forecast'!$H$5:$H$81,"&gt;="&amp;Marketing!V$3,'New Hires Forecast'!$G$5:$G$81,"&lt;="&amp;Marketing!V$3)/12)),IF(YEAR(V$3)=YEAR('New Hires Forecast'!$Q$3),((SUMIFS('New Hires Forecast'!$Q$5:$Q$81,'New Hires Forecast'!$F$5:$F$81,"Marketing",'New Hires Forecast'!$H$5:$H$81,"&gt;="&amp;Marketing!V$3,'New Hires Forecast'!$G$5:$G$81,"&lt;="&amp;Marketing!V$3)/12)),IF(YEAR(V$3)=YEAR('New Hires Forecast'!$R$3),((SUMIFS('New Hires Forecast'!$R$5:$R$81,'New Hires Forecast'!$F$5:$F$81,"Marketing",'New Hires Forecast'!$H$5:$H$81,"&gt;="&amp;Marketing!V$3,'New Hires Forecast'!$G$5:$G$81,"&lt;="&amp;Marketing!V$3)/12))))))),0)</f>
        <v>0</v>
      </c>
      <c r="W13" s="684">
        <f>IF(W$4="forecast",IF(YEAR(W$3)=YEAR('New Hires Forecast'!$N$3),((SUMIFS('New Hires Forecast'!$N$5:$N$81,'New Hires Forecast'!$F$5:$F$81,"Marketing",'New Hires Forecast'!$H$5:$H$81,"&gt;="&amp;Marketing!W$3,'New Hires Forecast'!$G$5:$G$81,"&lt;="&amp;Marketing!W$3)/12)),IF(YEAR(W$3)=YEAR('New Hires Forecast'!$O$3),((SUMIFS('New Hires Forecast'!$O$5:$O$81,'New Hires Forecast'!$F$5:$F$81,"Marketing",'New Hires Forecast'!$H$5:$H$81,"&gt;="&amp;Marketing!W$3,'New Hires Forecast'!$G$5:$G$81,"&lt;="&amp;Marketing!W$3)/12)),IF(YEAR(W$3)=YEAR('New Hires Forecast'!$P$3),((SUMIFS('New Hires Forecast'!$P$5:$P$81,'New Hires Forecast'!$F$5:$F$81,"Marketing",'New Hires Forecast'!$H$5:$H$81,"&gt;="&amp;Marketing!W$3,'New Hires Forecast'!$G$5:$G$81,"&lt;="&amp;Marketing!W$3)/12)),IF(YEAR(W$3)=YEAR('New Hires Forecast'!$Q$3),((SUMIFS('New Hires Forecast'!$Q$5:$Q$81,'New Hires Forecast'!$F$5:$F$81,"Marketing",'New Hires Forecast'!$H$5:$H$81,"&gt;="&amp;Marketing!W$3,'New Hires Forecast'!$G$5:$G$81,"&lt;="&amp;Marketing!W$3)/12)),IF(YEAR(W$3)=YEAR('New Hires Forecast'!$R$3),((SUMIFS('New Hires Forecast'!$R$5:$R$81,'New Hires Forecast'!$F$5:$F$81,"Marketing",'New Hires Forecast'!$H$5:$H$81,"&gt;="&amp;Marketing!W$3,'New Hires Forecast'!$G$5:$G$81,"&lt;="&amp;Marketing!W$3)/12))))))),0)</f>
        <v>0</v>
      </c>
      <c r="X13" s="684">
        <f>IF(X$4="forecast",IF(YEAR(X$3)=YEAR('New Hires Forecast'!$N$3),((SUMIFS('New Hires Forecast'!$N$5:$N$81,'New Hires Forecast'!$F$5:$F$81,"Marketing",'New Hires Forecast'!$H$5:$H$81,"&gt;="&amp;Marketing!X$3,'New Hires Forecast'!$G$5:$G$81,"&lt;="&amp;Marketing!X$3)/12)),IF(YEAR(X$3)=YEAR('New Hires Forecast'!$O$3),((SUMIFS('New Hires Forecast'!$O$5:$O$81,'New Hires Forecast'!$F$5:$F$81,"Marketing",'New Hires Forecast'!$H$5:$H$81,"&gt;="&amp;Marketing!X$3,'New Hires Forecast'!$G$5:$G$81,"&lt;="&amp;Marketing!X$3)/12)),IF(YEAR(X$3)=YEAR('New Hires Forecast'!$P$3),((SUMIFS('New Hires Forecast'!$P$5:$P$81,'New Hires Forecast'!$F$5:$F$81,"Marketing",'New Hires Forecast'!$H$5:$H$81,"&gt;="&amp;Marketing!X$3,'New Hires Forecast'!$G$5:$G$81,"&lt;="&amp;Marketing!X$3)/12)),IF(YEAR(X$3)=YEAR('New Hires Forecast'!$Q$3),((SUMIFS('New Hires Forecast'!$Q$5:$Q$81,'New Hires Forecast'!$F$5:$F$81,"Marketing",'New Hires Forecast'!$H$5:$H$81,"&gt;="&amp;Marketing!X$3,'New Hires Forecast'!$G$5:$G$81,"&lt;="&amp;Marketing!X$3)/12)),IF(YEAR(X$3)=YEAR('New Hires Forecast'!$R$3),((SUMIFS('New Hires Forecast'!$R$5:$R$81,'New Hires Forecast'!$F$5:$F$81,"Marketing",'New Hires Forecast'!$H$5:$H$81,"&gt;="&amp;Marketing!X$3,'New Hires Forecast'!$G$5:$G$81,"&lt;="&amp;Marketing!X$3)/12))))))),0)</f>
        <v>0</v>
      </c>
      <c r="Y13" s="684">
        <f>IF(Y$4="forecast",IF(YEAR(Y$3)=YEAR('New Hires Forecast'!$N$3),((SUMIFS('New Hires Forecast'!$N$5:$N$81,'New Hires Forecast'!$F$5:$F$81,"Marketing",'New Hires Forecast'!$H$5:$H$81,"&gt;="&amp;Marketing!Y$3,'New Hires Forecast'!$G$5:$G$81,"&lt;="&amp;Marketing!Y$3)/12)),IF(YEAR(Y$3)=YEAR('New Hires Forecast'!$O$3),((SUMIFS('New Hires Forecast'!$O$5:$O$81,'New Hires Forecast'!$F$5:$F$81,"Marketing",'New Hires Forecast'!$H$5:$H$81,"&gt;="&amp;Marketing!Y$3,'New Hires Forecast'!$G$5:$G$81,"&lt;="&amp;Marketing!Y$3)/12)),IF(YEAR(Y$3)=YEAR('New Hires Forecast'!$P$3),((SUMIFS('New Hires Forecast'!$P$5:$P$81,'New Hires Forecast'!$F$5:$F$81,"Marketing",'New Hires Forecast'!$H$5:$H$81,"&gt;="&amp;Marketing!Y$3,'New Hires Forecast'!$G$5:$G$81,"&lt;="&amp;Marketing!Y$3)/12)),IF(YEAR(Y$3)=YEAR('New Hires Forecast'!$Q$3),((SUMIFS('New Hires Forecast'!$Q$5:$Q$81,'New Hires Forecast'!$F$5:$F$81,"Marketing",'New Hires Forecast'!$H$5:$H$81,"&gt;="&amp;Marketing!Y$3,'New Hires Forecast'!$G$5:$G$81,"&lt;="&amp;Marketing!Y$3)/12)),IF(YEAR(Y$3)=YEAR('New Hires Forecast'!$R$3),((SUMIFS('New Hires Forecast'!$R$5:$R$81,'New Hires Forecast'!$F$5:$F$81,"Marketing",'New Hires Forecast'!$H$5:$H$81,"&gt;="&amp;Marketing!Y$3,'New Hires Forecast'!$G$5:$G$81,"&lt;="&amp;Marketing!Y$3)/12))))))),0)</f>
        <v>0</v>
      </c>
      <c r="Z13" s="684">
        <f>IF(Z$4="forecast",IF(YEAR(Z$3)=YEAR('New Hires Forecast'!$N$3),((SUMIFS('New Hires Forecast'!$N$5:$N$81,'New Hires Forecast'!$F$5:$F$81,"Marketing",'New Hires Forecast'!$H$5:$H$81,"&gt;="&amp;Marketing!Z$3,'New Hires Forecast'!$G$5:$G$81,"&lt;="&amp;Marketing!Z$3)/12)),IF(YEAR(Z$3)=YEAR('New Hires Forecast'!$O$3),((SUMIFS('New Hires Forecast'!$O$5:$O$81,'New Hires Forecast'!$F$5:$F$81,"Marketing",'New Hires Forecast'!$H$5:$H$81,"&gt;="&amp;Marketing!Z$3,'New Hires Forecast'!$G$5:$G$81,"&lt;="&amp;Marketing!Z$3)/12)),IF(YEAR(Z$3)=YEAR('New Hires Forecast'!$P$3),((SUMIFS('New Hires Forecast'!$P$5:$P$81,'New Hires Forecast'!$F$5:$F$81,"Marketing",'New Hires Forecast'!$H$5:$H$81,"&gt;="&amp;Marketing!Z$3,'New Hires Forecast'!$G$5:$G$81,"&lt;="&amp;Marketing!Z$3)/12)),IF(YEAR(Z$3)=YEAR('New Hires Forecast'!$Q$3),((SUMIFS('New Hires Forecast'!$Q$5:$Q$81,'New Hires Forecast'!$F$5:$F$81,"Marketing",'New Hires Forecast'!$H$5:$H$81,"&gt;="&amp;Marketing!Z$3,'New Hires Forecast'!$G$5:$G$81,"&lt;="&amp;Marketing!Z$3)/12)),IF(YEAR(Z$3)=YEAR('New Hires Forecast'!$R$3),((SUMIFS('New Hires Forecast'!$R$5:$R$81,'New Hires Forecast'!$F$5:$F$81,"Marketing",'New Hires Forecast'!$H$5:$H$81,"&gt;="&amp;Marketing!Z$3,'New Hires Forecast'!$G$5:$G$81,"&lt;="&amp;Marketing!Z$3)/12))))))),0)</f>
        <v>0</v>
      </c>
      <c r="AA13" s="684">
        <f>IF(AA$4="forecast",IF(YEAR(AA$3)=YEAR('New Hires Forecast'!$N$3),((SUMIFS('New Hires Forecast'!$N$5:$N$81,'New Hires Forecast'!$F$5:$F$81,"Marketing",'New Hires Forecast'!$H$5:$H$81,"&gt;="&amp;Marketing!AA$3,'New Hires Forecast'!$G$5:$G$81,"&lt;="&amp;Marketing!AA$3)/12)),IF(YEAR(AA$3)=YEAR('New Hires Forecast'!$O$3),((SUMIFS('New Hires Forecast'!$O$5:$O$81,'New Hires Forecast'!$F$5:$F$81,"Marketing",'New Hires Forecast'!$H$5:$H$81,"&gt;="&amp;Marketing!AA$3,'New Hires Forecast'!$G$5:$G$81,"&lt;="&amp;Marketing!AA$3)/12)),IF(YEAR(AA$3)=YEAR('New Hires Forecast'!$P$3),((SUMIFS('New Hires Forecast'!$P$5:$P$81,'New Hires Forecast'!$F$5:$F$81,"Marketing",'New Hires Forecast'!$H$5:$H$81,"&gt;="&amp;Marketing!AA$3,'New Hires Forecast'!$G$5:$G$81,"&lt;="&amp;Marketing!AA$3)/12)),IF(YEAR(AA$3)=YEAR('New Hires Forecast'!$Q$3),((SUMIFS('New Hires Forecast'!$Q$5:$Q$81,'New Hires Forecast'!$F$5:$F$81,"Marketing",'New Hires Forecast'!$H$5:$H$81,"&gt;="&amp;Marketing!AA$3,'New Hires Forecast'!$G$5:$G$81,"&lt;="&amp;Marketing!AA$3)/12)),IF(YEAR(AA$3)=YEAR('New Hires Forecast'!$R$3),((SUMIFS('New Hires Forecast'!$R$5:$R$81,'New Hires Forecast'!$F$5:$F$81,"Marketing",'New Hires Forecast'!$H$5:$H$81,"&gt;="&amp;Marketing!AA$3,'New Hires Forecast'!$G$5:$G$81,"&lt;="&amp;Marketing!AA$3)/12))))))),0)</f>
        <v>0</v>
      </c>
      <c r="AB13" s="684">
        <f>IF(AB$4="forecast",IF(YEAR(AB$3)=YEAR('New Hires Forecast'!$N$3),((SUMIFS('New Hires Forecast'!$N$5:$N$81,'New Hires Forecast'!$F$5:$F$81,"Marketing",'New Hires Forecast'!$H$5:$H$81,"&gt;="&amp;Marketing!AB$3,'New Hires Forecast'!$G$5:$G$81,"&lt;="&amp;Marketing!AB$3)/12)),IF(YEAR(AB$3)=YEAR('New Hires Forecast'!$O$3),((SUMIFS('New Hires Forecast'!$O$5:$O$81,'New Hires Forecast'!$F$5:$F$81,"Marketing",'New Hires Forecast'!$H$5:$H$81,"&gt;="&amp;Marketing!AB$3,'New Hires Forecast'!$G$5:$G$81,"&lt;="&amp;Marketing!AB$3)/12)),IF(YEAR(AB$3)=YEAR('New Hires Forecast'!$P$3),((SUMIFS('New Hires Forecast'!$P$5:$P$81,'New Hires Forecast'!$F$5:$F$81,"Marketing",'New Hires Forecast'!$H$5:$H$81,"&gt;="&amp;Marketing!AB$3,'New Hires Forecast'!$G$5:$G$81,"&lt;="&amp;Marketing!AB$3)/12)),IF(YEAR(AB$3)=YEAR('New Hires Forecast'!$Q$3),((SUMIFS('New Hires Forecast'!$Q$5:$Q$81,'New Hires Forecast'!$F$5:$F$81,"Marketing",'New Hires Forecast'!$H$5:$H$81,"&gt;="&amp;Marketing!AB$3,'New Hires Forecast'!$G$5:$G$81,"&lt;="&amp;Marketing!AB$3)/12)),IF(YEAR(AB$3)=YEAR('New Hires Forecast'!$R$3),((SUMIFS('New Hires Forecast'!$R$5:$R$81,'New Hires Forecast'!$F$5:$F$81,"Marketing",'New Hires Forecast'!$H$5:$H$81,"&gt;="&amp;Marketing!AB$3,'New Hires Forecast'!$G$5:$G$81,"&lt;="&amp;Marketing!AB$3)/12))))))),0)</f>
        <v>0</v>
      </c>
      <c r="AC13" s="684">
        <f>IF(AC$4="forecast",IF(YEAR(AC$3)=YEAR('New Hires Forecast'!$N$3),((SUMIFS('New Hires Forecast'!$N$5:$N$81,'New Hires Forecast'!$F$5:$F$81,"Marketing",'New Hires Forecast'!$H$5:$H$81,"&gt;="&amp;Marketing!AC$3,'New Hires Forecast'!$G$5:$G$81,"&lt;="&amp;Marketing!AC$3)/12)),IF(YEAR(AC$3)=YEAR('New Hires Forecast'!$O$3),((SUMIFS('New Hires Forecast'!$O$5:$O$81,'New Hires Forecast'!$F$5:$F$81,"Marketing",'New Hires Forecast'!$H$5:$H$81,"&gt;="&amp;Marketing!AC$3,'New Hires Forecast'!$G$5:$G$81,"&lt;="&amp;Marketing!AC$3)/12)),IF(YEAR(AC$3)=YEAR('New Hires Forecast'!$P$3),((SUMIFS('New Hires Forecast'!$P$5:$P$81,'New Hires Forecast'!$F$5:$F$81,"Marketing",'New Hires Forecast'!$H$5:$H$81,"&gt;="&amp;Marketing!AC$3,'New Hires Forecast'!$G$5:$G$81,"&lt;="&amp;Marketing!AC$3)/12)),IF(YEAR(AC$3)=YEAR('New Hires Forecast'!$Q$3),((SUMIFS('New Hires Forecast'!$Q$5:$Q$81,'New Hires Forecast'!$F$5:$F$81,"Marketing",'New Hires Forecast'!$H$5:$H$81,"&gt;="&amp;Marketing!AC$3,'New Hires Forecast'!$G$5:$G$81,"&lt;="&amp;Marketing!AC$3)/12)),IF(YEAR(AC$3)=YEAR('New Hires Forecast'!$R$3),((SUMIFS('New Hires Forecast'!$R$5:$R$81,'New Hires Forecast'!$F$5:$F$81,"Marketing",'New Hires Forecast'!$H$5:$H$81,"&gt;="&amp;Marketing!AC$3,'New Hires Forecast'!$G$5:$G$81,"&lt;="&amp;Marketing!AC$3)/12))))))),0)</f>
        <v>0</v>
      </c>
      <c r="AD13" s="684">
        <f>IF(AD$4="forecast",IF(YEAR(AD$3)=YEAR('New Hires Forecast'!$N$3),((SUMIFS('New Hires Forecast'!$N$5:$N$81,'New Hires Forecast'!$F$5:$F$81,"Marketing",'New Hires Forecast'!$H$5:$H$81,"&gt;="&amp;Marketing!AD$3,'New Hires Forecast'!$G$5:$G$81,"&lt;="&amp;Marketing!AD$3)/12)),IF(YEAR(AD$3)=YEAR('New Hires Forecast'!$O$3),((SUMIFS('New Hires Forecast'!$O$5:$O$81,'New Hires Forecast'!$F$5:$F$81,"Marketing",'New Hires Forecast'!$H$5:$H$81,"&gt;="&amp;Marketing!AD$3,'New Hires Forecast'!$G$5:$G$81,"&lt;="&amp;Marketing!AD$3)/12)),IF(YEAR(AD$3)=YEAR('New Hires Forecast'!$P$3),((SUMIFS('New Hires Forecast'!$P$5:$P$81,'New Hires Forecast'!$F$5:$F$81,"Marketing",'New Hires Forecast'!$H$5:$H$81,"&gt;="&amp;Marketing!AD$3,'New Hires Forecast'!$G$5:$G$81,"&lt;="&amp;Marketing!AD$3)/12)),IF(YEAR(AD$3)=YEAR('New Hires Forecast'!$Q$3),((SUMIFS('New Hires Forecast'!$Q$5:$Q$81,'New Hires Forecast'!$F$5:$F$81,"Marketing",'New Hires Forecast'!$H$5:$H$81,"&gt;="&amp;Marketing!AD$3,'New Hires Forecast'!$G$5:$G$81,"&lt;="&amp;Marketing!AD$3)/12)),IF(YEAR(AD$3)=YEAR('New Hires Forecast'!$R$3),((SUMIFS('New Hires Forecast'!$R$5:$R$81,'New Hires Forecast'!$F$5:$F$81,"Marketing",'New Hires Forecast'!$H$5:$H$81,"&gt;="&amp;Marketing!AD$3,'New Hires Forecast'!$G$5:$G$81,"&lt;="&amp;Marketing!AD$3)/12))))))),0)</f>
        <v>6666.666666666667</v>
      </c>
      <c r="AE13" s="684">
        <f>IF(AE$4="forecast",IF(YEAR(AE$3)=YEAR('New Hires Forecast'!$N$3),((SUMIFS('New Hires Forecast'!$N$5:$N$81,'New Hires Forecast'!$F$5:$F$81,"Marketing",'New Hires Forecast'!$H$5:$H$81,"&gt;="&amp;Marketing!AE$3,'New Hires Forecast'!$G$5:$G$81,"&lt;="&amp;Marketing!AE$3)/12)),IF(YEAR(AE$3)=YEAR('New Hires Forecast'!$O$3),((SUMIFS('New Hires Forecast'!$O$5:$O$81,'New Hires Forecast'!$F$5:$F$81,"Marketing",'New Hires Forecast'!$H$5:$H$81,"&gt;="&amp;Marketing!AE$3,'New Hires Forecast'!$G$5:$G$81,"&lt;="&amp;Marketing!AE$3)/12)),IF(YEAR(AE$3)=YEAR('New Hires Forecast'!$P$3),((SUMIFS('New Hires Forecast'!$P$5:$P$81,'New Hires Forecast'!$F$5:$F$81,"Marketing",'New Hires Forecast'!$H$5:$H$81,"&gt;="&amp;Marketing!AE$3,'New Hires Forecast'!$G$5:$G$81,"&lt;="&amp;Marketing!AE$3)/12)),IF(YEAR(AE$3)=YEAR('New Hires Forecast'!$Q$3),((SUMIFS('New Hires Forecast'!$Q$5:$Q$81,'New Hires Forecast'!$F$5:$F$81,"Marketing",'New Hires Forecast'!$H$5:$H$81,"&gt;="&amp;Marketing!AE$3,'New Hires Forecast'!$G$5:$G$81,"&lt;="&amp;Marketing!AE$3)/12)),IF(YEAR(AE$3)=YEAR('New Hires Forecast'!$R$3),((SUMIFS('New Hires Forecast'!$R$5:$R$81,'New Hires Forecast'!$F$5:$F$81,"Marketing",'New Hires Forecast'!$H$5:$H$81,"&gt;="&amp;Marketing!AE$3,'New Hires Forecast'!$G$5:$G$81,"&lt;="&amp;Marketing!AE$3)/12))))))),0)</f>
        <v>6666.666666666667</v>
      </c>
      <c r="AF13" s="684">
        <f>IF(AF$4="forecast",IF(YEAR(AF$3)=YEAR('New Hires Forecast'!$N$3),((SUMIFS('New Hires Forecast'!$N$5:$N$81,'New Hires Forecast'!$F$5:$F$81,"Marketing",'New Hires Forecast'!$H$5:$H$81,"&gt;="&amp;Marketing!AF$3,'New Hires Forecast'!$G$5:$G$81,"&lt;="&amp;Marketing!AF$3)/12)),IF(YEAR(AF$3)=YEAR('New Hires Forecast'!$O$3),((SUMIFS('New Hires Forecast'!$O$5:$O$81,'New Hires Forecast'!$F$5:$F$81,"Marketing",'New Hires Forecast'!$H$5:$H$81,"&gt;="&amp;Marketing!AF$3,'New Hires Forecast'!$G$5:$G$81,"&lt;="&amp;Marketing!AF$3)/12)),IF(YEAR(AF$3)=YEAR('New Hires Forecast'!$P$3),((SUMIFS('New Hires Forecast'!$P$5:$P$81,'New Hires Forecast'!$F$5:$F$81,"Marketing",'New Hires Forecast'!$H$5:$H$81,"&gt;="&amp;Marketing!AF$3,'New Hires Forecast'!$G$5:$G$81,"&lt;="&amp;Marketing!AF$3)/12)),IF(YEAR(AF$3)=YEAR('New Hires Forecast'!$Q$3),((SUMIFS('New Hires Forecast'!$Q$5:$Q$81,'New Hires Forecast'!$F$5:$F$81,"Marketing",'New Hires Forecast'!$H$5:$H$81,"&gt;="&amp;Marketing!AF$3,'New Hires Forecast'!$G$5:$G$81,"&lt;="&amp;Marketing!AF$3)/12)),IF(YEAR(AF$3)=YEAR('New Hires Forecast'!$R$3),((SUMIFS('New Hires Forecast'!$R$5:$R$81,'New Hires Forecast'!$F$5:$F$81,"Marketing",'New Hires Forecast'!$H$5:$H$81,"&gt;="&amp;Marketing!AF$3,'New Hires Forecast'!$G$5:$G$81,"&lt;="&amp;Marketing!AF$3)/12))))))),0)</f>
        <v>12083.333333333334</v>
      </c>
      <c r="AG13" s="684">
        <f>IF(AG$4="forecast",IF(YEAR(AG$3)=YEAR('New Hires Forecast'!$N$3),((SUMIFS('New Hires Forecast'!$N$5:$N$81,'New Hires Forecast'!$F$5:$F$81,"Marketing",'New Hires Forecast'!$H$5:$H$81,"&gt;="&amp;Marketing!AG$3,'New Hires Forecast'!$G$5:$G$81,"&lt;="&amp;Marketing!AG$3)/12)),IF(YEAR(AG$3)=YEAR('New Hires Forecast'!$O$3),((SUMIFS('New Hires Forecast'!$O$5:$O$81,'New Hires Forecast'!$F$5:$F$81,"Marketing",'New Hires Forecast'!$H$5:$H$81,"&gt;="&amp;Marketing!AG$3,'New Hires Forecast'!$G$5:$G$81,"&lt;="&amp;Marketing!AG$3)/12)),IF(YEAR(AG$3)=YEAR('New Hires Forecast'!$P$3),((SUMIFS('New Hires Forecast'!$P$5:$P$81,'New Hires Forecast'!$F$5:$F$81,"Marketing",'New Hires Forecast'!$H$5:$H$81,"&gt;="&amp;Marketing!AG$3,'New Hires Forecast'!$G$5:$G$81,"&lt;="&amp;Marketing!AG$3)/12)),IF(YEAR(AG$3)=YEAR('New Hires Forecast'!$Q$3),((SUMIFS('New Hires Forecast'!$Q$5:$Q$81,'New Hires Forecast'!$F$5:$F$81,"Marketing",'New Hires Forecast'!$H$5:$H$81,"&gt;="&amp;Marketing!AG$3,'New Hires Forecast'!$G$5:$G$81,"&lt;="&amp;Marketing!AG$3)/12)),IF(YEAR(AG$3)=YEAR('New Hires Forecast'!$R$3),((SUMIFS('New Hires Forecast'!$R$5:$R$81,'New Hires Forecast'!$F$5:$F$81,"Marketing",'New Hires Forecast'!$H$5:$H$81,"&gt;="&amp;Marketing!AG$3,'New Hires Forecast'!$G$5:$G$81,"&lt;="&amp;Marketing!AG$3)/12))))))),0)</f>
        <v>12083.333333333334</v>
      </c>
      <c r="AH13" s="684">
        <f>IF(AH$4="forecast",IF(YEAR(AH$3)=YEAR('New Hires Forecast'!$N$3),((SUMIFS('New Hires Forecast'!$N$5:$N$81,'New Hires Forecast'!$F$5:$F$81,"Marketing",'New Hires Forecast'!$H$5:$H$81,"&gt;="&amp;Marketing!AH$3,'New Hires Forecast'!$G$5:$G$81,"&lt;="&amp;Marketing!AH$3)/12)),IF(YEAR(AH$3)=YEAR('New Hires Forecast'!$O$3),((SUMIFS('New Hires Forecast'!$O$5:$O$81,'New Hires Forecast'!$F$5:$F$81,"Marketing",'New Hires Forecast'!$H$5:$H$81,"&gt;="&amp;Marketing!AH$3,'New Hires Forecast'!$G$5:$G$81,"&lt;="&amp;Marketing!AH$3)/12)),IF(YEAR(AH$3)=YEAR('New Hires Forecast'!$P$3),((SUMIFS('New Hires Forecast'!$P$5:$P$81,'New Hires Forecast'!$F$5:$F$81,"Marketing",'New Hires Forecast'!$H$5:$H$81,"&gt;="&amp;Marketing!AH$3,'New Hires Forecast'!$G$5:$G$81,"&lt;="&amp;Marketing!AH$3)/12)),IF(YEAR(AH$3)=YEAR('New Hires Forecast'!$Q$3),((SUMIFS('New Hires Forecast'!$Q$5:$Q$81,'New Hires Forecast'!$F$5:$F$81,"Marketing",'New Hires Forecast'!$H$5:$H$81,"&gt;="&amp;Marketing!AH$3,'New Hires Forecast'!$G$5:$G$81,"&lt;="&amp;Marketing!AH$3)/12)),IF(YEAR(AH$3)=YEAR('New Hires Forecast'!$R$3),((SUMIFS('New Hires Forecast'!$R$5:$R$81,'New Hires Forecast'!$F$5:$F$81,"Marketing",'New Hires Forecast'!$H$5:$H$81,"&gt;="&amp;Marketing!AH$3,'New Hires Forecast'!$G$5:$G$81,"&lt;="&amp;Marketing!AH$3)/12))))))),0)</f>
        <v>12083.333333333334</v>
      </c>
      <c r="AI13" s="684">
        <f>IF(AI$4="forecast",IF(YEAR(AI$3)=YEAR('New Hires Forecast'!$N$3),((SUMIFS('New Hires Forecast'!$N$5:$N$81,'New Hires Forecast'!$F$5:$F$81,"Marketing",'New Hires Forecast'!$H$5:$H$81,"&gt;="&amp;Marketing!AI$3,'New Hires Forecast'!$G$5:$G$81,"&lt;="&amp;Marketing!AI$3)/12)),IF(YEAR(AI$3)=YEAR('New Hires Forecast'!$O$3),((SUMIFS('New Hires Forecast'!$O$5:$O$81,'New Hires Forecast'!$F$5:$F$81,"Marketing",'New Hires Forecast'!$H$5:$H$81,"&gt;="&amp;Marketing!AI$3,'New Hires Forecast'!$G$5:$G$81,"&lt;="&amp;Marketing!AI$3)/12)),IF(YEAR(AI$3)=YEAR('New Hires Forecast'!$P$3),((SUMIFS('New Hires Forecast'!$P$5:$P$81,'New Hires Forecast'!$F$5:$F$81,"Marketing",'New Hires Forecast'!$H$5:$H$81,"&gt;="&amp;Marketing!AI$3,'New Hires Forecast'!$G$5:$G$81,"&lt;="&amp;Marketing!AI$3)/12)),IF(YEAR(AI$3)=YEAR('New Hires Forecast'!$Q$3),((SUMIFS('New Hires Forecast'!$Q$5:$Q$81,'New Hires Forecast'!$F$5:$F$81,"Marketing",'New Hires Forecast'!$H$5:$H$81,"&gt;="&amp;Marketing!AI$3,'New Hires Forecast'!$G$5:$G$81,"&lt;="&amp;Marketing!AI$3)/12)),IF(YEAR(AI$3)=YEAR('New Hires Forecast'!$R$3),((SUMIFS('New Hires Forecast'!$R$5:$R$81,'New Hires Forecast'!$F$5:$F$81,"Marketing",'New Hires Forecast'!$H$5:$H$81,"&gt;="&amp;Marketing!AI$3,'New Hires Forecast'!$G$5:$G$81,"&lt;="&amp;Marketing!AI$3)/12))))))),0)</f>
        <v>12083.333333333334</v>
      </c>
      <c r="AJ13" s="684">
        <f>IF(AJ$4="forecast",IF(YEAR(AJ$3)=YEAR('New Hires Forecast'!$N$3),((SUMIFS('New Hires Forecast'!$N$5:$N$81,'New Hires Forecast'!$F$5:$F$81,"Marketing",'New Hires Forecast'!$H$5:$H$81,"&gt;="&amp;Marketing!AJ$3,'New Hires Forecast'!$G$5:$G$81,"&lt;="&amp;Marketing!AJ$3)/12)),IF(YEAR(AJ$3)=YEAR('New Hires Forecast'!$O$3),((SUMIFS('New Hires Forecast'!$O$5:$O$81,'New Hires Forecast'!$F$5:$F$81,"Marketing",'New Hires Forecast'!$H$5:$H$81,"&gt;="&amp;Marketing!AJ$3,'New Hires Forecast'!$G$5:$G$81,"&lt;="&amp;Marketing!AJ$3)/12)),IF(YEAR(AJ$3)=YEAR('New Hires Forecast'!$P$3),((SUMIFS('New Hires Forecast'!$P$5:$P$81,'New Hires Forecast'!$F$5:$F$81,"Marketing",'New Hires Forecast'!$H$5:$H$81,"&gt;="&amp;Marketing!AJ$3,'New Hires Forecast'!$G$5:$G$81,"&lt;="&amp;Marketing!AJ$3)/12)),IF(YEAR(AJ$3)=YEAR('New Hires Forecast'!$Q$3),((SUMIFS('New Hires Forecast'!$Q$5:$Q$81,'New Hires Forecast'!$F$5:$F$81,"Marketing",'New Hires Forecast'!$H$5:$H$81,"&gt;="&amp;Marketing!AJ$3,'New Hires Forecast'!$G$5:$G$81,"&lt;="&amp;Marketing!AJ$3)/12)),IF(YEAR(AJ$3)=YEAR('New Hires Forecast'!$R$3),((SUMIFS('New Hires Forecast'!$R$5:$R$81,'New Hires Forecast'!$F$5:$F$81,"Marketing",'New Hires Forecast'!$H$5:$H$81,"&gt;="&amp;Marketing!AJ$3,'New Hires Forecast'!$G$5:$G$81,"&lt;="&amp;Marketing!AJ$3)/12))))))),0)</f>
        <v>12083.333333333334</v>
      </c>
      <c r="AK13" s="684">
        <f>IF(AK$4="forecast",IF(YEAR(AK$3)=YEAR('New Hires Forecast'!$N$3),((SUMIFS('New Hires Forecast'!$N$5:$N$81,'New Hires Forecast'!$F$5:$F$81,"Marketing",'New Hires Forecast'!$H$5:$H$81,"&gt;="&amp;Marketing!AK$3,'New Hires Forecast'!$G$5:$G$81,"&lt;="&amp;Marketing!AK$3)/12)),IF(YEAR(AK$3)=YEAR('New Hires Forecast'!$O$3),((SUMIFS('New Hires Forecast'!$O$5:$O$81,'New Hires Forecast'!$F$5:$F$81,"Marketing",'New Hires Forecast'!$H$5:$H$81,"&gt;="&amp;Marketing!AK$3,'New Hires Forecast'!$G$5:$G$81,"&lt;="&amp;Marketing!AK$3)/12)),IF(YEAR(AK$3)=YEAR('New Hires Forecast'!$P$3),((SUMIFS('New Hires Forecast'!$P$5:$P$81,'New Hires Forecast'!$F$5:$F$81,"Marketing",'New Hires Forecast'!$H$5:$H$81,"&gt;="&amp;Marketing!AK$3,'New Hires Forecast'!$G$5:$G$81,"&lt;="&amp;Marketing!AK$3)/12)),IF(YEAR(AK$3)=YEAR('New Hires Forecast'!$Q$3),((SUMIFS('New Hires Forecast'!$Q$5:$Q$81,'New Hires Forecast'!$F$5:$F$81,"Marketing",'New Hires Forecast'!$H$5:$H$81,"&gt;="&amp;Marketing!AK$3,'New Hires Forecast'!$G$5:$G$81,"&lt;="&amp;Marketing!AK$3)/12)),IF(YEAR(AK$3)=YEAR('New Hires Forecast'!$R$3),((SUMIFS('New Hires Forecast'!$R$5:$R$81,'New Hires Forecast'!$F$5:$F$81,"Marketing",'New Hires Forecast'!$H$5:$H$81,"&gt;="&amp;Marketing!AK$3,'New Hires Forecast'!$G$5:$G$81,"&lt;="&amp;Marketing!AK$3)/12))))))),0)</f>
        <v>12083.333333333334</v>
      </c>
      <c r="AL13" s="684">
        <f>IF(AL$4="forecast",IF(YEAR(AL$3)=YEAR('New Hires Forecast'!$N$3),((SUMIFS('New Hires Forecast'!$N$5:$N$81,'New Hires Forecast'!$F$5:$F$81,"Marketing",'New Hires Forecast'!$H$5:$H$81,"&gt;="&amp;Marketing!AL$3,'New Hires Forecast'!$G$5:$G$81,"&lt;="&amp;Marketing!AL$3)/12)),IF(YEAR(AL$3)=YEAR('New Hires Forecast'!$O$3),((SUMIFS('New Hires Forecast'!$O$5:$O$81,'New Hires Forecast'!$F$5:$F$81,"Marketing",'New Hires Forecast'!$H$5:$H$81,"&gt;="&amp;Marketing!AL$3,'New Hires Forecast'!$G$5:$G$81,"&lt;="&amp;Marketing!AL$3)/12)),IF(YEAR(AL$3)=YEAR('New Hires Forecast'!$P$3),((SUMIFS('New Hires Forecast'!$P$5:$P$81,'New Hires Forecast'!$F$5:$F$81,"Marketing",'New Hires Forecast'!$H$5:$H$81,"&gt;="&amp;Marketing!AL$3,'New Hires Forecast'!$G$5:$G$81,"&lt;="&amp;Marketing!AL$3)/12)),IF(YEAR(AL$3)=YEAR('New Hires Forecast'!$Q$3),((SUMIFS('New Hires Forecast'!$Q$5:$Q$81,'New Hires Forecast'!$F$5:$F$81,"Marketing",'New Hires Forecast'!$H$5:$H$81,"&gt;="&amp;Marketing!AL$3,'New Hires Forecast'!$G$5:$G$81,"&lt;="&amp;Marketing!AL$3)/12)),IF(YEAR(AL$3)=YEAR('New Hires Forecast'!$R$3),((SUMIFS('New Hires Forecast'!$R$5:$R$81,'New Hires Forecast'!$F$5:$F$81,"Marketing",'New Hires Forecast'!$H$5:$H$81,"&gt;="&amp;Marketing!AL$3,'New Hires Forecast'!$G$5:$G$81,"&lt;="&amp;Marketing!AL$3)/12))))))),0)</f>
        <v>12083.333333333334</v>
      </c>
      <c r="AM13" s="684">
        <f>IF(AM$4="forecast",IF(YEAR(AM$3)=YEAR('New Hires Forecast'!$N$3),((SUMIFS('New Hires Forecast'!$N$5:$N$81,'New Hires Forecast'!$F$5:$F$81,"Marketing",'New Hires Forecast'!$H$5:$H$81,"&gt;="&amp;Marketing!AM$3,'New Hires Forecast'!$G$5:$G$81,"&lt;="&amp;Marketing!AM$3)/12)),IF(YEAR(AM$3)=YEAR('New Hires Forecast'!$O$3),((SUMIFS('New Hires Forecast'!$O$5:$O$81,'New Hires Forecast'!$F$5:$F$81,"Marketing",'New Hires Forecast'!$H$5:$H$81,"&gt;="&amp;Marketing!AM$3,'New Hires Forecast'!$G$5:$G$81,"&lt;="&amp;Marketing!AM$3)/12)),IF(YEAR(AM$3)=YEAR('New Hires Forecast'!$P$3),((SUMIFS('New Hires Forecast'!$P$5:$P$81,'New Hires Forecast'!$F$5:$F$81,"Marketing",'New Hires Forecast'!$H$5:$H$81,"&gt;="&amp;Marketing!AM$3,'New Hires Forecast'!$G$5:$G$81,"&lt;="&amp;Marketing!AM$3)/12)),IF(YEAR(AM$3)=YEAR('New Hires Forecast'!$Q$3),((SUMIFS('New Hires Forecast'!$Q$5:$Q$81,'New Hires Forecast'!$F$5:$F$81,"Marketing",'New Hires Forecast'!$H$5:$H$81,"&gt;="&amp;Marketing!AM$3,'New Hires Forecast'!$G$5:$G$81,"&lt;="&amp;Marketing!AM$3)/12)),IF(YEAR(AM$3)=YEAR('New Hires Forecast'!$R$3),((SUMIFS('New Hires Forecast'!$R$5:$R$81,'New Hires Forecast'!$F$5:$F$81,"Marketing",'New Hires Forecast'!$H$5:$H$81,"&gt;="&amp;Marketing!AM$3,'New Hires Forecast'!$G$5:$G$81,"&lt;="&amp;Marketing!AM$3)/12))))))),0)</f>
        <v>12445.833333333334</v>
      </c>
      <c r="AN13" s="684">
        <f>IF(AN$4="forecast",IF(YEAR(AN$3)=YEAR('New Hires Forecast'!$N$3),((SUMIFS('New Hires Forecast'!$N$5:$N$81,'New Hires Forecast'!$F$5:$F$81,"Marketing",'New Hires Forecast'!$H$5:$H$81,"&gt;="&amp;Marketing!AN$3,'New Hires Forecast'!$G$5:$G$81,"&lt;="&amp;Marketing!AN$3)/12)),IF(YEAR(AN$3)=YEAR('New Hires Forecast'!$O$3),((SUMIFS('New Hires Forecast'!$O$5:$O$81,'New Hires Forecast'!$F$5:$F$81,"Marketing",'New Hires Forecast'!$H$5:$H$81,"&gt;="&amp;Marketing!AN$3,'New Hires Forecast'!$G$5:$G$81,"&lt;="&amp;Marketing!AN$3)/12)),IF(YEAR(AN$3)=YEAR('New Hires Forecast'!$P$3),((SUMIFS('New Hires Forecast'!$P$5:$P$81,'New Hires Forecast'!$F$5:$F$81,"Marketing",'New Hires Forecast'!$H$5:$H$81,"&gt;="&amp;Marketing!AN$3,'New Hires Forecast'!$G$5:$G$81,"&lt;="&amp;Marketing!AN$3)/12)),IF(YEAR(AN$3)=YEAR('New Hires Forecast'!$Q$3),((SUMIFS('New Hires Forecast'!$Q$5:$Q$81,'New Hires Forecast'!$F$5:$F$81,"Marketing",'New Hires Forecast'!$H$5:$H$81,"&gt;="&amp;Marketing!AN$3,'New Hires Forecast'!$G$5:$G$81,"&lt;="&amp;Marketing!AN$3)/12)),IF(YEAR(AN$3)=YEAR('New Hires Forecast'!$R$3),((SUMIFS('New Hires Forecast'!$R$5:$R$81,'New Hires Forecast'!$F$5:$F$81,"Marketing",'New Hires Forecast'!$H$5:$H$81,"&gt;="&amp;Marketing!AN$3,'New Hires Forecast'!$G$5:$G$81,"&lt;="&amp;Marketing!AN$3)/12))))))),0)</f>
        <v>12445.833333333334</v>
      </c>
      <c r="AO13" s="684">
        <f>IF(AO$4="forecast",IF(YEAR(AO$3)=YEAR('New Hires Forecast'!$N$3),((SUMIFS('New Hires Forecast'!$N$5:$N$81,'New Hires Forecast'!$F$5:$F$81,"Marketing",'New Hires Forecast'!$H$5:$H$81,"&gt;="&amp;Marketing!AO$3,'New Hires Forecast'!$G$5:$G$81,"&lt;="&amp;Marketing!AO$3)/12)),IF(YEAR(AO$3)=YEAR('New Hires Forecast'!$O$3),((SUMIFS('New Hires Forecast'!$O$5:$O$81,'New Hires Forecast'!$F$5:$F$81,"Marketing",'New Hires Forecast'!$H$5:$H$81,"&gt;="&amp;Marketing!AO$3,'New Hires Forecast'!$G$5:$G$81,"&lt;="&amp;Marketing!AO$3)/12)),IF(YEAR(AO$3)=YEAR('New Hires Forecast'!$P$3),((SUMIFS('New Hires Forecast'!$P$5:$P$81,'New Hires Forecast'!$F$5:$F$81,"Marketing",'New Hires Forecast'!$H$5:$H$81,"&gt;="&amp;Marketing!AO$3,'New Hires Forecast'!$G$5:$G$81,"&lt;="&amp;Marketing!AO$3)/12)),IF(YEAR(AO$3)=YEAR('New Hires Forecast'!$Q$3),((SUMIFS('New Hires Forecast'!$Q$5:$Q$81,'New Hires Forecast'!$F$5:$F$81,"Marketing",'New Hires Forecast'!$H$5:$H$81,"&gt;="&amp;Marketing!AO$3,'New Hires Forecast'!$G$5:$G$81,"&lt;="&amp;Marketing!AO$3)/12)),IF(YEAR(AO$3)=YEAR('New Hires Forecast'!$R$3),((SUMIFS('New Hires Forecast'!$R$5:$R$81,'New Hires Forecast'!$F$5:$F$81,"Marketing",'New Hires Forecast'!$H$5:$H$81,"&gt;="&amp;Marketing!AO$3,'New Hires Forecast'!$G$5:$G$81,"&lt;="&amp;Marketing!AO$3)/12))))))),0)</f>
        <v>12445.833333333334</v>
      </c>
      <c r="AP13" s="684">
        <f>IF(AP$4="forecast",IF(YEAR(AP$3)=YEAR('New Hires Forecast'!$N$3),((SUMIFS('New Hires Forecast'!$N$5:$N$81,'New Hires Forecast'!$F$5:$F$81,"Marketing",'New Hires Forecast'!$H$5:$H$81,"&gt;="&amp;Marketing!AP$3,'New Hires Forecast'!$G$5:$G$81,"&lt;="&amp;Marketing!AP$3)/12)),IF(YEAR(AP$3)=YEAR('New Hires Forecast'!$O$3),((SUMIFS('New Hires Forecast'!$O$5:$O$81,'New Hires Forecast'!$F$5:$F$81,"Marketing",'New Hires Forecast'!$H$5:$H$81,"&gt;="&amp;Marketing!AP$3,'New Hires Forecast'!$G$5:$G$81,"&lt;="&amp;Marketing!AP$3)/12)),IF(YEAR(AP$3)=YEAR('New Hires Forecast'!$P$3),((SUMIFS('New Hires Forecast'!$P$5:$P$81,'New Hires Forecast'!$F$5:$F$81,"Marketing",'New Hires Forecast'!$H$5:$H$81,"&gt;="&amp;Marketing!AP$3,'New Hires Forecast'!$G$5:$G$81,"&lt;="&amp;Marketing!AP$3)/12)),IF(YEAR(AP$3)=YEAR('New Hires Forecast'!$Q$3),((SUMIFS('New Hires Forecast'!$Q$5:$Q$81,'New Hires Forecast'!$F$5:$F$81,"Marketing",'New Hires Forecast'!$H$5:$H$81,"&gt;="&amp;Marketing!AP$3,'New Hires Forecast'!$G$5:$G$81,"&lt;="&amp;Marketing!AP$3)/12)),IF(YEAR(AP$3)=YEAR('New Hires Forecast'!$R$3),((SUMIFS('New Hires Forecast'!$R$5:$R$81,'New Hires Forecast'!$F$5:$F$81,"Marketing",'New Hires Forecast'!$H$5:$H$81,"&gt;="&amp;Marketing!AP$3,'New Hires Forecast'!$G$5:$G$81,"&lt;="&amp;Marketing!AP$3)/12))))))),0)</f>
        <v>12445.833333333334</v>
      </c>
      <c r="AQ13" s="684">
        <f>IF(AQ$4="forecast",IF(YEAR(AQ$3)=YEAR('New Hires Forecast'!$N$3),((SUMIFS('New Hires Forecast'!$N$5:$N$81,'New Hires Forecast'!$F$5:$F$81,"Marketing",'New Hires Forecast'!$H$5:$H$81,"&gt;="&amp;Marketing!AQ$3,'New Hires Forecast'!$G$5:$G$81,"&lt;="&amp;Marketing!AQ$3)/12)),IF(YEAR(AQ$3)=YEAR('New Hires Forecast'!$O$3),((SUMIFS('New Hires Forecast'!$O$5:$O$81,'New Hires Forecast'!$F$5:$F$81,"Marketing",'New Hires Forecast'!$H$5:$H$81,"&gt;="&amp;Marketing!AQ$3,'New Hires Forecast'!$G$5:$G$81,"&lt;="&amp;Marketing!AQ$3)/12)),IF(YEAR(AQ$3)=YEAR('New Hires Forecast'!$P$3),((SUMIFS('New Hires Forecast'!$P$5:$P$81,'New Hires Forecast'!$F$5:$F$81,"Marketing",'New Hires Forecast'!$H$5:$H$81,"&gt;="&amp;Marketing!AQ$3,'New Hires Forecast'!$G$5:$G$81,"&lt;="&amp;Marketing!AQ$3)/12)),IF(YEAR(AQ$3)=YEAR('New Hires Forecast'!$Q$3),((SUMIFS('New Hires Forecast'!$Q$5:$Q$81,'New Hires Forecast'!$F$5:$F$81,"Marketing",'New Hires Forecast'!$H$5:$H$81,"&gt;="&amp;Marketing!AQ$3,'New Hires Forecast'!$G$5:$G$81,"&lt;="&amp;Marketing!AQ$3)/12)),IF(YEAR(AQ$3)=YEAR('New Hires Forecast'!$R$3),((SUMIFS('New Hires Forecast'!$R$5:$R$81,'New Hires Forecast'!$F$5:$F$81,"Marketing",'New Hires Forecast'!$H$5:$H$81,"&gt;="&amp;Marketing!AQ$3,'New Hires Forecast'!$G$5:$G$81,"&lt;="&amp;Marketing!AQ$3)/12))))))),0)</f>
        <v>12445.833333333334</v>
      </c>
      <c r="AR13" s="684">
        <f>IF(AR$4="forecast",IF(YEAR(AR$3)=YEAR('New Hires Forecast'!$N$3),((SUMIFS('New Hires Forecast'!$N$5:$N$81,'New Hires Forecast'!$F$5:$F$81,"Marketing",'New Hires Forecast'!$H$5:$H$81,"&gt;="&amp;Marketing!AR$3,'New Hires Forecast'!$G$5:$G$81,"&lt;="&amp;Marketing!AR$3)/12)),IF(YEAR(AR$3)=YEAR('New Hires Forecast'!$O$3),((SUMIFS('New Hires Forecast'!$O$5:$O$81,'New Hires Forecast'!$F$5:$F$81,"Marketing",'New Hires Forecast'!$H$5:$H$81,"&gt;="&amp;Marketing!AR$3,'New Hires Forecast'!$G$5:$G$81,"&lt;="&amp;Marketing!AR$3)/12)),IF(YEAR(AR$3)=YEAR('New Hires Forecast'!$P$3),((SUMIFS('New Hires Forecast'!$P$5:$P$81,'New Hires Forecast'!$F$5:$F$81,"Marketing",'New Hires Forecast'!$H$5:$H$81,"&gt;="&amp;Marketing!AR$3,'New Hires Forecast'!$G$5:$G$81,"&lt;="&amp;Marketing!AR$3)/12)),IF(YEAR(AR$3)=YEAR('New Hires Forecast'!$Q$3),((SUMIFS('New Hires Forecast'!$Q$5:$Q$81,'New Hires Forecast'!$F$5:$F$81,"Marketing",'New Hires Forecast'!$H$5:$H$81,"&gt;="&amp;Marketing!AR$3,'New Hires Forecast'!$G$5:$G$81,"&lt;="&amp;Marketing!AR$3)/12)),IF(YEAR(AR$3)=YEAR('New Hires Forecast'!$R$3),((SUMIFS('New Hires Forecast'!$R$5:$R$81,'New Hires Forecast'!$F$5:$F$81,"Marketing",'New Hires Forecast'!$H$5:$H$81,"&gt;="&amp;Marketing!AR$3,'New Hires Forecast'!$G$5:$G$81,"&lt;="&amp;Marketing!AR$3)/12))))))),0)</f>
        <v>12445.833333333334</v>
      </c>
      <c r="AS13" s="684">
        <f>IF(AS$4="forecast",IF(YEAR(AS$3)=YEAR('New Hires Forecast'!$N$3),((SUMIFS('New Hires Forecast'!$N$5:$N$81,'New Hires Forecast'!$F$5:$F$81,"Marketing",'New Hires Forecast'!$H$5:$H$81,"&gt;="&amp;Marketing!AS$3,'New Hires Forecast'!$G$5:$G$81,"&lt;="&amp;Marketing!AS$3)/12)),IF(YEAR(AS$3)=YEAR('New Hires Forecast'!$O$3),((SUMIFS('New Hires Forecast'!$O$5:$O$81,'New Hires Forecast'!$F$5:$F$81,"Marketing",'New Hires Forecast'!$H$5:$H$81,"&gt;="&amp;Marketing!AS$3,'New Hires Forecast'!$G$5:$G$81,"&lt;="&amp;Marketing!AS$3)/12)),IF(YEAR(AS$3)=YEAR('New Hires Forecast'!$P$3),((SUMIFS('New Hires Forecast'!$P$5:$P$81,'New Hires Forecast'!$F$5:$F$81,"Marketing",'New Hires Forecast'!$H$5:$H$81,"&gt;="&amp;Marketing!AS$3,'New Hires Forecast'!$G$5:$G$81,"&lt;="&amp;Marketing!AS$3)/12)),IF(YEAR(AS$3)=YEAR('New Hires Forecast'!$Q$3),((SUMIFS('New Hires Forecast'!$Q$5:$Q$81,'New Hires Forecast'!$F$5:$F$81,"Marketing",'New Hires Forecast'!$H$5:$H$81,"&gt;="&amp;Marketing!AS$3,'New Hires Forecast'!$G$5:$G$81,"&lt;="&amp;Marketing!AS$3)/12)),IF(YEAR(AS$3)=YEAR('New Hires Forecast'!$R$3),((SUMIFS('New Hires Forecast'!$R$5:$R$81,'New Hires Forecast'!$F$5:$F$81,"Marketing",'New Hires Forecast'!$H$5:$H$81,"&gt;="&amp;Marketing!AS$3,'New Hires Forecast'!$G$5:$G$81,"&lt;="&amp;Marketing!AS$3)/12))))))),0)</f>
        <v>12445.833333333334</v>
      </c>
      <c r="AT13" s="684">
        <f>IF(AT$4="forecast",IF(YEAR(AT$3)=YEAR('New Hires Forecast'!$N$3),((SUMIFS('New Hires Forecast'!$N$5:$N$81,'New Hires Forecast'!$F$5:$F$81,"Marketing",'New Hires Forecast'!$H$5:$H$81,"&gt;="&amp;Marketing!AT$3,'New Hires Forecast'!$G$5:$G$81,"&lt;="&amp;Marketing!AT$3)/12)),IF(YEAR(AT$3)=YEAR('New Hires Forecast'!$O$3),((SUMIFS('New Hires Forecast'!$O$5:$O$81,'New Hires Forecast'!$F$5:$F$81,"Marketing",'New Hires Forecast'!$H$5:$H$81,"&gt;="&amp;Marketing!AT$3,'New Hires Forecast'!$G$5:$G$81,"&lt;="&amp;Marketing!AT$3)/12)),IF(YEAR(AT$3)=YEAR('New Hires Forecast'!$P$3),((SUMIFS('New Hires Forecast'!$P$5:$P$81,'New Hires Forecast'!$F$5:$F$81,"Marketing",'New Hires Forecast'!$H$5:$H$81,"&gt;="&amp;Marketing!AT$3,'New Hires Forecast'!$G$5:$G$81,"&lt;="&amp;Marketing!AT$3)/12)),IF(YEAR(AT$3)=YEAR('New Hires Forecast'!$Q$3),((SUMIFS('New Hires Forecast'!$Q$5:$Q$81,'New Hires Forecast'!$F$5:$F$81,"Marketing",'New Hires Forecast'!$H$5:$H$81,"&gt;="&amp;Marketing!AT$3,'New Hires Forecast'!$G$5:$G$81,"&lt;="&amp;Marketing!AT$3)/12)),IF(YEAR(AT$3)=YEAR('New Hires Forecast'!$R$3),((SUMIFS('New Hires Forecast'!$R$5:$R$81,'New Hires Forecast'!$F$5:$F$81,"Marketing",'New Hires Forecast'!$H$5:$H$81,"&gt;="&amp;Marketing!AT$3,'New Hires Forecast'!$G$5:$G$81,"&lt;="&amp;Marketing!AT$3)/12))))))),0)</f>
        <v>12445.833333333334</v>
      </c>
      <c r="AU13" s="684">
        <f>IF(AU$4="forecast",IF(YEAR(AU$3)=YEAR('New Hires Forecast'!$N$3),((SUMIFS('New Hires Forecast'!$N$5:$N$81,'New Hires Forecast'!$F$5:$F$81,"Marketing",'New Hires Forecast'!$H$5:$H$81,"&gt;="&amp;Marketing!AU$3,'New Hires Forecast'!$G$5:$G$81,"&lt;="&amp;Marketing!AU$3)/12)),IF(YEAR(AU$3)=YEAR('New Hires Forecast'!$O$3),((SUMIFS('New Hires Forecast'!$O$5:$O$81,'New Hires Forecast'!$F$5:$F$81,"Marketing",'New Hires Forecast'!$H$5:$H$81,"&gt;="&amp;Marketing!AU$3,'New Hires Forecast'!$G$5:$G$81,"&lt;="&amp;Marketing!AU$3)/12)),IF(YEAR(AU$3)=YEAR('New Hires Forecast'!$P$3),((SUMIFS('New Hires Forecast'!$P$5:$P$81,'New Hires Forecast'!$F$5:$F$81,"Marketing",'New Hires Forecast'!$H$5:$H$81,"&gt;="&amp;Marketing!AU$3,'New Hires Forecast'!$G$5:$G$81,"&lt;="&amp;Marketing!AU$3)/12)),IF(YEAR(AU$3)=YEAR('New Hires Forecast'!$Q$3),((SUMIFS('New Hires Forecast'!$Q$5:$Q$81,'New Hires Forecast'!$F$5:$F$81,"Marketing",'New Hires Forecast'!$H$5:$H$81,"&gt;="&amp;Marketing!AU$3,'New Hires Forecast'!$G$5:$G$81,"&lt;="&amp;Marketing!AU$3)/12)),IF(YEAR(AU$3)=YEAR('New Hires Forecast'!$R$3),((SUMIFS('New Hires Forecast'!$R$5:$R$81,'New Hires Forecast'!$F$5:$F$81,"Marketing",'New Hires Forecast'!$H$5:$H$81,"&gt;="&amp;Marketing!AU$3,'New Hires Forecast'!$G$5:$G$81,"&lt;="&amp;Marketing!AU$3)/12))))))),0)</f>
        <v>12445.833333333334</v>
      </c>
      <c r="AV13" s="684">
        <f>IF(AV$4="forecast",IF(YEAR(AV$3)=YEAR('New Hires Forecast'!$N$3),((SUMIFS('New Hires Forecast'!$N$5:$N$81,'New Hires Forecast'!$F$5:$F$81,"Marketing",'New Hires Forecast'!$H$5:$H$81,"&gt;="&amp;Marketing!AV$3,'New Hires Forecast'!$G$5:$G$81,"&lt;="&amp;Marketing!AV$3)/12)),IF(YEAR(AV$3)=YEAR('New Hires Forecast'!$O$3),((SUMIFS('New Hires Forecast'!$O$5:$O$81,'New Hires Forecast'!$F$5:$F$81,"Marketing",'New Hires Forecast'!$H$5:$H$81,"&gt;="&amp;Marketing!AV$3,'New Hires Forecast'!$G$5:$G$81,"&lt;="&amp;Marketing!AV$3)/12)),IF(YEAR(AV$3)=YEAR('New Hires Forecast'!$P$3),((SUMIFS('New Hires Forecast'!$P$5:$P$81,'New Hires Forecast'!$F$5:$F$81,"Marketing",'New Hires Forecast'!$H$5:$H$81,"&gt;="&amp;Marketing!AV$3,'New Hires Forecast'!$G$5:$G$81,"&lt;="&amp;Marketing!AV$3)/12)),IF(YEAR(AV$3)=YEAR('New Hires Forecast'!$Q$3),((SUMIFS('New Hires Forecast'!$Q$5:$Q$81,'New Hires Forecast'!$F$5:$F$81,"Marketing",'New Hires Forecast'!$H$5:$H$81,"&gt;="&amp;Marketing!AV$3,'New Hires Forecast'!$G$5:$G$81,"&lt;="&amp;Marketing!AV$3)/12)),IF(YEAR(AV$3)=YEAR('New Hires Forecast'!$R$3),((SUMIFS('New Hires Forecast'!$R$5:$R$81,'New Hires Forecast'!$F$5:$F$81,"Marketing",'New Hires Forecast'!$H$5:$H$81,"&gt;="&amp;Marketing!AV$3,'New Hires Forecast'!$G$5:$G$81,"&lt;="&amp;Marketing!AV$3)/12))))))),0)</f>
        <v>12445.833333333334</v>
      </c>
      <c r="AW13" s="684">
        <f>IF(AW$4="forecast",IF(YEAR(AW$3)=YEAR('New Hires Forecast'!$N$3),((SUMIFS('New Hires Forecast'!$N$5:$N$81,'New Hires Forecast'!$F$5:$F$81,"Marketing",'New Hires Forecast'!$H$5:$H$81,"&gt;="&amp;Marketing!AW$3,'New Hires Forecast'!$G$5:$G$81,"&lt;="&amp;Marketing!AW$3)/12)),IF(YEAR(AW$3)=YEAR('New Hires Forecast'!$O$3),((SUMIFS('New Hires Forecast'!$O$5:$O$81,'New Hires Forecast'!$F$5:$F$81,"Marketing",'New Hires Forecast'!$H$5:$H$81,"&gt;="&amp;Marketing!AW$3,'New Hires Forecast'!$G$5:$G$81,"&lt;="&amp;Marketing!AW$3)/12)),IF(YEAR(AW$3)=YEAR('New Hires Forecast'!$P$3),((SUMIFS('New Hires Forecast'!$P$5:$P$81,'New Hires Forecast'!$F$5:$F$81,"Marketing",'New Hires Forecast'!$H$5:$H$81,"&gt;="&amp;Marketing!AW$3,'New Hires Forecast'!$G$5:$G$81,"&lt;="&amp;Marketing!AW$3)/12)),IF(YEAR(AW$3)=YEAR('New Hires Forecast'!$Q$3),((SUMIFS('New Hires Forecast'!$Q$5:$Q$81,'New Hires Forecast'!$F$5:$F$81,"Marketing",'New Hires Forecast'!$H$5:$H$81,"&gt;="&amp;Marketing!AW$3,'New Hires Forecast'!$G$5:$G$81,"&lt;="&amp;Marketing!AW$3)/12)),IF(YEAR(AW$3)=YEAR('New Hires Forecast'!$R$3),((SUMIFS('New Hires Forecast'!$R$5:$R$81,'New Hires Forecast'!$F$5:$F$81,"Marketing",'New Hires Forecast'!$H$5:$H$81,"&gt;="&amp;Marketing!AW$3,'New Hires Forecast'!$G$5:$G$81,"&lt;="&amp;Marketing!AW$3)/12))))))),0)</f>
        <v>12445.833333333334</v>
      </c>
      <c r="AX13" s="684">
        <f>IF(AX$4="forecast",IF(YEAR(AX$3)=YEAR('New Hires Forecast'!$N$3),((SUMIFS('New Hires Forecast'!$N$5:$N$81,'New Hires Forecast'!$F$5:$F$81,"Marketing",'New Hires Forecast'!$H$5:$H$81,"&gt;="&amp;Marketing!AX$3,'New Hires Forecast'!$G$5:$G$81,"&lt;="&amp;Marketing!AX$3)/12)),IF(YEAR(AX$3)=YEAR('New Hires Forecast'!$O$3),((SUMIFS('New Hires Forecast'!$O$5:$O$81,'New Hires Forecast'!$F$5:$F$81,"Marketing",'New Hires Forecast'!$H$5:$H$81,"&gt;="&amp;Marketing!AX$3,'New Hires Forecast'!$G$5:$G$81,"&lt;="&amp;Marketing!AX$3)/12)),IF(YEAR(AX$3)=YEAR('New Hires Forecast'!$P$3),((SUMIFS('New Hires Forecast'!$P$5:$P$81,'New Hires Forecast'!$F$5:$F$81,"Marketing",'New Hires Forecast'!$H$5:$H$81,"&gt;="&amp;Marketing!AX$3,'New Hires Forecast'!$G$5:$G$81,"&lt;="&amp;Marketing!AX$3)/12)),IF(YEAR(AX$3)=YEAR('New Hires Forecast'!$Q$3),((SUMIFS('New Hires Forecast'!$Q$5:$Q$81,'New Hires Forecast'!$F$5:$F$81,"Marketing",'New Hires Forecast'!$H$5:$H$81,"&gt;="&amp;Marketing!AX$3,'New Hires Forecast'!$G$5:$G$81,"&lt;="&amp;Marketing!AX$3)/12)),IF(YEAR(AX$3)=YEAR('New Hires Forecast'!$R$3),((SUMIFS('New Hires Forecast'!$R$5:$R$81,'New Hires Forecast'!$F$5:$F$81,"Marketing",'New Hires Forecast'!$H$5:$H$81,"&gt;="&amp;Marketing!AX$3,'New Hires Forecast'!$G$5:$G$81,"&lt;="&amp;Marketing!AX$3)/12))))))),0)</f>
        <v>12445.833333333334</v>
      </c>
      <c r="AY13" s="684">
        <f>IF(AY$4="forecast",IF(YEAR(AY$3)=YEAR('New Hires Forecast'!$N$3),((SUMIFS('New Hires Forecast'!$N$5:$N$81,'New Hires Forecast'!$F$5:$F$81,"Marketing",'New Hires Forecast'!$H$5:$H$81,"&gt;="&amp;Marketing!AY$3,'New Hires Forecast'!$G$5:$G$81,"&lt;="&amp;Marketing!AY$3)/12)),IF(YEAR(AY$3)=YEAR('New Hires Forecast'!$O$3),((SUMIFS('New Hires Forecast'!$O$5:$O$81,'New Hires Forecast'!$F$5:$F$81,"Marketing",'New Hires Forecast'!$H$5:$H$81,"&gt;="&amp;Marketing!AY$3,'New Hires Forecast'!$G$5:$G$81,"&lt;="&amp;Marketing!AY$3)/12)),IF(YEAR(AY$3)=YEAR('New Hires Forecast'!$P$3),((SUMIFS('New Hires Forecast'!$P$5:$P$81,'New Hires Forecast'!$F$5:$F$81,"Marketing",'New Hires Forecast'!$H$5:$H$81,"&gt;="&amp;Marketing!AY$3,'New Hires Forecast'!$G$5:$G$81,"&lt;="&amp;Marketing!AY$3)/12)),IF(YEAR(AY$3)=YEAR('New Hires Forecast'!$Q$3),((SUMIFS('New Hires Forecast'!$Q$5:$Q$81,'New Hires Forecast'!$F$5:$F$81,"Marketing",'New Hires Forecast'!$H$5:$H$81,"&gt;="&amp;Marketing!AY$3,'New Hires Forecast'!$G$5:$G$81,"&lt;="&amp;Marketing!AY$3)/12)),IF(YEAR(AY$3)=YEAR('New Hires Forecast'!$R$3),((SUMIFS('New Hires Forecast'!$R$5:$R$81,'New Hires Forecast'!$F$5:$F$81,"Marketing",'New Hires Forecast'!$H$5:$H$81,"&gt;="&amp;Marketing!AY$3,'New Hires Forecast'!$G$5:$G$81,"&lt;="&amp;Marketing!AY$3)/12))))))),0)</f>
        <v>12819.208333333334</v>
      </c>
      <c r="AZ13" s="684">
        <f>IF(AZ$4="forecast",IF(YEAR(AZ$3)=YEAR('New Hires Forecast'!$N$3),((SUMIFS('New Hires Forecast'!$N$5:$N$81,'New Hires Forecast'!$F$5:$F$81,"Marketing",'New Hires Forecast'!$H$5:$H$81,"&gt;="&amp;Marketing!AZ$3,'New Hires Forecast'!$G$5:$G$81,"&lt;="&amp;Marketing!AZ$3)/12)),IF(YEAR(AZ$3)=YEAR('New Hires Forecast'!$O$3),((SUMIFS('New Hires Forecast'!$O$5:$O$81,'New Hires Forecast'!$F$5:$F$81,"Marketing",'New Hires Forecast'!$H$5:$H$81,"&gt;="&amp;Marketing!AZ$3,'New Hires Forecast'!$G$5:$G$81,"&lt;="&amp;Marketing!AZ$3)/12)),IF(YEAR(AZ$3)=YEAR('New Hires Forecast'!$P$3),((SUMIFS('New Hires Forecast'!$P$5:$P$81,'New Hires Forecast'!$F$5:$F$81,"Marketing",'New Hires Forecast'!$H$5:$H$81,"&gt;="&amp;Marketing!AZ$3,'New Hires Forecast'!$G$5:$G$81,"&lt;="&amp;Marketing!AZ$3)/12)),IF(YEAR(AZ$3)=YEAR('New Hires Forecast'!$Q$3),((SUMIFS('New Hires Forecast'!$Q$5:$Q$81,'New Hires Forecast'!$F$5:$F$81,"Marketing",'New Hires Forecast'!$H$5:$H$81,"&gt;="&amp;Marketing!AZ$3,'New Hires Forecast'!$G$5:$G$81,"&lt;="&amp;Marketing!AZ$3)/12)),IF(YEAR(AZ$3)=YEAR('New Hires Forecast'!$R$3),((SUMIFS('New Hires Forecast'!$R$5:$R$81,'New Hires Forecast'!$F$5:$F$81,"Marketing",'New Hires Forecast'!$H$5:$H$81,"&gt;="&amp;Marketing!AZ$3,'New Hires Forecast'!$G$5:$G$81,"&lt;="&amp;Marketing!AZ$3)/12))))))),0)</f>
        <v>12819.208333333334</v>
      </c>
      <c r="BA13" s="684">
        <f>IF(BA$4="forecast",IF(YEAR(BA$3)=YEAR('New Hires Forecast'!$N$3),((SUMIFS('New Hires Forecast'!$N$5:$N$81,'New Hires Forecast'!$F$5:$F$81,"Marketing",'New Hires Forecast'!$H$5:$H$81,"&gt;="&amp;Marketing!BA$3,'New Hires Forecast'!$G$5:$G$81,"&lt;="&amp;Marketing!BA$3)/12)),IF(YEAR(BA$3)=YEAR('New Hires Forecast'!$O$3),((SUMIFS('New Hires Forecast'!$O$5:$O$81,'New Hires Forecast'!$F$5:$F$81,"Marketing",'New Hires Forecast'!$H$5:$H$81,"&gt;="&amp;Marketing!BA$3,'New Hires Forecast'!$G$5:$G$81,"&lt;="&amp;Marketing!BA$3)/12)),IF(YEAR(BA$3)=YEAR('New Hires Forecast'!$P$3),((SUMIFS('New Hires Forecast'!$P$5:$P$81,'New Hires Forecast'!$F$5:$F$81,"Marketing",'New Hires Forecast'!$H$5:$H$81,"&gt;="&amp;Marketing!BA$3,'New Hires Forecast'!$G$5:$G$81,"&lt;="&amp;Marketing!BA$3)/12)),IF(YEAR(BA$3)=YEAR('New Hires Forecast'!$Q$3),((SUMIFS('New Hires Forecast'!$Q$5:$Q$81,'New Hires Forecast'!$F$5:$F$81,"Marketing",'New Hires Forecast'!$H$5:$H$81,"&gt;="&amp;Marketing!BA$3,'New Hires Forecast'!$G$5:$G$81,"&lt;="&amp;Marketing!BA$3)/12)),IF(YEAR(BA$3)=YEAR('New Hires Forecast'!$R$3),((SUMIFS('New Hires Forecast'!$R$5:$R$81,'New Hires Forecast'!$F$5:$F$81,"Marketing",'New Hires Forecast'!$H$5:$H$81,"&gt;="&amp;Marketing!BA$3,'New Hires Forecast'!$G$5:$G$81,"&lt;="&amp;Marketing!BA$3)/12))))))),0)</f>
        <v>12819.208333333334</v>
      </c>
      <c r="BB13" s="684">
        <f>IF(BB$4="forecast",IF(YEAR(BB$3)=YEAR('New Hires Forecast'!$N$3),((SUMIFS('New Hires Forecast'!$N$5:$N$81,'New Hires Forecast'!$F$5:$F$81,"Marketing",'New Hires Forecast'!$H$5:$H$81,"&gt;="&amp;Marketing!BB$3,'New Hires Forecast'!$G$5:$G$81,"&lt;="&amp;Marketing!BB$3)/12)),IF(YEAR(BB$3)=YEAR('New Hires Forecast'!$O$3),((SUMIFS('New Hires Forecast'!$O$5:$O$81,'New Hires Forecast'!$F$5:$F$81,"Marketing",'New Hires Forecast'!$H$5:$H$81,"&gt;="&amp;Marketing!BB$3,'New Hires Forecast'!$G$5:$G$81,"&lt;="&amp;Marketing!BB$3)/12)),IF(YEAR(BB$3)=YEAR('New Hires Forecast'!$P$3),((SUMIFS('New Hires Forecast'!$P$5:$P$81,'New Hires Forecast'!$F$5:$F$81,"Marketing",'New Hires Forecast'!$H$5:$H$81,"&gt;="&amp;Marketing!BB$3,'New Hires Forecast'!$G$5:$G$81,"&lt;="&amp;Marketing!BB$3)/12)),IF(YEAR(BB$3)=YEAR('New Hires Forecast'!$Q$3),((SUMIFS('New Hires Forecast'!$Q$5:$Q$81,'New Hires Forecast'!$F$5:$F$81,"Marketing",'New Hires Forecast'!$H$5:$H$81,"&gt;="&amp;Marketing!BB$3,'New Hires Forecast'!$G$5:$G$81,"&lt;="&amp;Marketing!BB$3)/12)),IF(YEAR(BB$3)=YEAR('New Hires Forecast'!$R$3),((SUMIFS('New Hires Forecast'!$R$5:$R$81,'New Hires Forecast'!$F$5:$F$81,"Marketing",'New Hires Forecast'!$H$5:$H$81,"&gt;="&amp;Marketing!BB$3,'New Hires Forecast'!$G$5:$G$81,"&lt;="&amp;Marketing!BB$3)/12))))))),0)</f>
        <v>12819.208333333334</v>
      </c>
      <c r="BC13" s="684">
        <f>IF(BC$4="forecast",IF(YEAR(BC$3)=YEAR('New Hires Forecast'!$N$3),((SUMIFS('New Hires Forecast'!$N$5:$N$81,'New Hires Forecast'!$F$5:$F$81,"Marketing",'New Hires Forecast'!$H$5:$H$81,"&gt;="&amp;Marketing!BC$3,'New Hires Forecast'!$G$5:$G$81,"&lt;="&amp;Marketing!BC$3)/12)),IF(YEAR(BC$3)=YEAR('New Hires Forecast'!$O$3),((SUMIFS('New Hires Forecast'!$O$5:$O$81,'New Hires Forecast'!$F$5:$F$81,"Marketing",'New Hires Forecast'!$H$5:$H$81,"&gt;="&amp;Marketing!BC$3,'New Hires Forecast'!$G$5:$G$81,"&lt;="&amp;Marketing!BC$3)/12)),IF(YEAR(BC$3)=YEAR('New Hires Forecast'!$P$3),((SUMIFS('New Hires Forecast'!$P$5:$P$81,'New Hires Forecast'!$F$5:$F$81,"Marketing",'New Hires Forecast'!$H$5:$H$81,"&gt;="&amp;Marketing!BC$3,'New Hires Forecast'!$G$5:$G$81,"&lt;="&amp;Marketing!BC$3)/12)),IF(YEAR(BC$3)=YEAR('New Hires Forecast'!$Q$3),((SUMIFS('New Hires Forecast'!$Q$5:$Q$81,'New Hires Forecast'!$F$5:$F$81,"Marketing",'New Hires Forecast'!$H$5:$H$81,"&gt;="&amp;Marketing!BC$3,'New Hires Forecast'!$G$5:$G$81,"&lt;="&amp;Marketing!BC$3)/12)),IF(YEAR(BC$3)=YEAR('New Hires Forecast'!$R$3),((SUMIFS('New Hires Forecast'!$R$5:$R$81,'New Hires Forecast'!$F$5:$F$81,"Marketing",'New Hires Forecast'!$H$5:$H$81,"&gt;="&amp;Marketing!BC$3,'New Hires Forecast'!$G$5:$G$81,"&lt;="&amp;Marketing!BC$3)/12))))))),0)</f>
        <v>12819.208333333334</v>
      </c>
      <c r="BD13" s="684">
        <f>IF(BD$4="forecast",IF(YEAR(BD$3)=YEAR('New Hires Forecast'!$N$3),((SUMIFS('New Hires Forecast'!$N$5:$N$81,'New Hires Forecast'!$F$5:$F$81,"Marketing",'New Hires Forecast'!$H$5:$H$81,"&gt;="&amp;Marketing!BD$3,'New Hires Forecast'!$G$5:$G$81,"&lt;="&amp;Marketing!BD$3)/12)),IF(YEAR(BD$3)=YEAR('New Hires Forecast'!$O$3),((SUMIFS('New Hires Forecast'!$O$5:$O$81,'New Hires Forecast'!$F$5:$F$81,"Marketing",'New Hires Forecast'!$H$5:$H$81,"&gt;="&amp;Marketing!BD$3,'New Hires Forecast'!$G$5:$G$81,"&lt;="&amp;Marketing!BD$3)/12)),IF(YEAR(BD$3)=YEAR('New Hires Forecast'!$P$3),((SUMIFS('New Hires Forecast'!$P$5:$P$81,'New Hires Forecast'!$F$5:$F$81,"Marketing",'New Hires Forecast'!$H$5:$H$81,"&gt;="&amp;Marketing!BD$3,'New Hires Forecast'!$G$5:$G$81,"&lt;="&amp;Marketing!BD$3)/12)),IF(YEAR(BD$3)=YEAR('New Hires Forecast'!$Q$3),((SUMIFS('New Hires Forecast'!$Q$5:$Q$81,'New Hires Forecast'!$F$5:$F$81,"Marketing",'New Hires Forecast'!$H$5:$H$81,"&gt;="&amp;Marketing!BD$3,'New Hires Forecast'!$G$5:$G$81,"&lt;="&amp;Marketing!BD$3)/12)),IF(YEAR(BD$3)=YEAR('New Hires Forecast'!$R$3),((SUMIFS('New Hires Forecast'!$R$5:$R$81,'New Hires Forecast'!$F$5:$F$81,"Marketing",'New Hires Forecast'!$H$5:$H$81,"&gt;="&amp;Marketing!BD$3,'New Hires Forecast'!$G$5:$G$81,"&lt;="&amp;Marketing!BD$3)/12))))))),0)</f>
        <v>12819.208333333334</v>
      </c>
      <c r="BE13" s="684">
        <f>IF(BE$4="forecast",IF(YEAR(BE$3)=YEAR('New Hires Forecast'!$N$3),((SUMIFS('New Hires Forecast'!$N$5:$N$81,'New Hires Forecast'!$F$5:$F$81,"Marketing",'New Hires Forecast'!$H$5:$H$81,"&gt;="&amp;Marketing!BE$3,'New Hires Forecast'!$G$5:$G$81,"&lt;="&amp;Marketing!BE$3)/12)),IF(YEAR(BE$3)=YEAR('New Hires Forecast'!$O$3),((SUMIFS('New Hires Forecast'!$O$5:$O$81,'New Hires Forecast'!$F$5:$F$81,"Marketing",'New Hires Forecast'!$H$5:$H$81,"&gt;="&amp;Marketing!BE$3,'New Hires Forecast'!$G$5:$G$81,"&lt;="&amp;Marketing!BE$3)/12)),IF(YEAR(BE$3)=YEAR('New Hires Forecast'!$P$3),((SUMIFS('New Hires Forecast'!$P$5:$P$81,'New Hires Forecast'!$F$5:$F$81,"Marketing",'New Hires Forecast'!$H$5:$H$81,"&gt;="&amp;Marketing!BE$3,'New Hires Forecast'!$G$5:$G$81,"&lt;="&amp;Marketing!BE$3)/12)),IF(YEAR(BE$3)=YEAR('New Hires Forecast'!$Q$3),((SUMIFS('New Hires Forecast'!$Q$5:$Q$81,'New Hires Forecast'!$F$5:$F$81,"Marketing",'New Hires Forecast'!$H$5:$H$81,"&gt;="&amp;Marketing!BE$3,'New Hires Forecast'!$G$5:$G$81,"&lt;="&amp;Marketing!BE$3)/12)),IF(YEAR(BE$3)=YEAR('New Hires Forecast'!$R$3),((SUMIFS('New Hires Forecast'!$R$5:$R$81,'New Hires Forecast'!$F$5:$F$81,"Marketing",'New Hires Forecast'!$H$5:$H$81,"&gt;="&amp;Marketing!BE$3,'New Hires Forecast'!$G$5:$G$81,"&lt;="&amp;Marketing!BE$3)/12))))))),0)</f>
        <v>12819.208333333334</v>
      </c>
      <c r="BF13" s="684">
        <f>IF(BF$4="forecast",IF(YEAR(BF$3)=YEAR('New Hires Forecast'!$N$3),((SUMIFS('New Hires Forecast'!$N$5:$N$81,'New Hires Forecast'!$F$5:$F$81,"Marketing",'New Hires Forecast'!$H$5:$H$81,"&gt;="&amp;Marketing!BF$3,'New Hires Forecast'!$G$5:$G$81,"&lt;="&amp;Marketing!BF$3)/12)),IF(YEAR(BF$3)=YEAR('New Hires Forecast'!$O$3),((SUMIFS('New Hires Forecast'!$O$5:$O$81,'New Hires Forecast'!$F$5:$F$81,"Marketing",'New Hires Forecast'!$H$5:$H$81,"&gt;="&amp;Marketing!BF$3,'New Hires Forecast'!$G$5:$G$81,"&lt;="&amp;Marketing!BF$3)/12)),IF(YEAR(BF$3)=YEAR('New Hires Forecast'!$P$3),((SUMIFS('New Hires Forecast'!$P$5:$P$81,'New Hires Forecast'!$F$5:$F$81,"Marketing",'New Hires Forecast'!$H$5:$H$81,"&gt;="&amp;Marketing!BF$3,'New Hires Forecast'!$G$5:$G$81,"&lt;="&amp;Marketing!BF$3)/12)),IF(YEAR(BF$3)=YEAR('New Hires Forecast'!$Q$3),((SUMIFS('New Hires Forecast'!$Q$5:$Q$81,'New Hires Forecast'!$F$5:$F$81,"Marketing",'New Hires Forecast'!$H$5:$H$81,"&gt;="&amp;Marketing!BF$3,'New Hires Forecast'!$G$5:$G$81,"&lt;="&amp;Marketing!BF$3)/12)),IF(YEAR(BF$3)=YEAR('New Hires Forecast'!$R$3),((SUMIFS('New Hires Forecast'!$R$5:$R$81,'New Hires Forecast'!$F$5:$F$81,"Marketing",'New Hires Forecast'!$H$5:$H$81,"&gt;="&amp;Marketing!BF$3,'New Hires Forecast'!$G$5:$G$81,"&lt;="&amp;Marketing!BF$3)/12))))))),0)</f>
        <v>12819.208333333334</v>
      </c>
      <c r="BG13" s="684">
        <f>IF(BG$4="forecast",IF(YEAR(BG$3)=YEAR('New Hires Forecast'!$N$3),((SUMIFS('New Hires Forecast'!$N$5:$N$81,'New Hires Forecast'!$F$5:$F$81,"Marketing",'New Hires Forecast'!$H$5:$H$81,"&gt;="&amp;Marketing!BG$3,'New Hires Forecast'!$G$5:$G$81,"&lt;="&amp;Marketing!BG$3)/12)),IF(YEAR(BG$3)=YEAR('New Hires Forecast'!$O$3),((SUMIFS('New Hires Forecast'!$O$5:$O$81,'New Hires Forecast'!$F$5:$F$81,"Marketing",'New Hires Forecast'!$H$5:$H$81,"&gt;="&amp;Marketing!BG$3,'New Hires Forecast'!$G$5:$G$81,"&lt;="&amp;Marketing!BG$3)/12)),IF(YEAR(BG$3)=YEAR('New Hires Forecast'!$P$3),((SUMIFS('New Hires Forecast'!$P$5:$P$81,'New Hires Forecast'!$F$5:$F$81,"Marketing",'New Hires Forecast'!$H$5:$H$81,"&gt;="&amp;Marketing!BG$3,'New Hires Forecast'!$G$5:$G$81,"&lt;="&amp;Marketing!BG$3)/12)),IF(YEAR(BG$3)=YEAR('New Hires Forecast'!$Q$3),((SUMIFS('New Hires Forecast'!$Q$5:$Q$81,'New Hires Forecast'!$F$5:$F$81,"Marketing",'New Hires Forecast'!$H$5:$H$81,"&gt;="&amp;Marketing!BG$3,'New Hires Forecast'!$G$5:$G$81,"&lt;="&amp;Marketing!BG$3)/12)),IF(YEAR(BG$3)=YEAR('New Hires Forecast'!$R$3),((SUMIFS('New Hires Forecast'!$R$5:$R$81,'New Hires Forecast'!$F$5:$F$81,"Marketing",'New Hires Forecast'!$H$5:$H$81,"&gt;="&amp;Marketing!BG$3,'New Hires Forecast'!$G$5:$G$81,"&lt;="&amp;Marketing!BG$3)/12))))))),0)</f>
        <v>12819.208333333334</v>
      </c>
      <c r="BH13" s="684">
        <f>IF(BH$4="forecast",IF(YEAR(BH$3)=YEAR('New Hires Forecast'!$N$3),((SUMIFS('New Hires Forecast'!$N$5:$N$81,'New Hires Forecast'!$F$5:$F$81,"Marketing",'New Hires Forecast'!$H$5:$H$81,"&gt;="&amp;Marketing!BH$3,'New Hires Forecast'!$G$5:$G$81,"&lt;="&amp;Marketing!BH$3)/12)),IF(YEAR(BH$3)=YEAR('New Hires Forecast'!$O$3),((SUMIFS('New Hires Forecast'!$O$5:$O$81,'New Hires Forecast'!$F$5:$F$81,"Marketing",'New Hires Forecast'!$H$5:$H$81,"&gt;="&amp;Marketing!BH$3,'New Hires Forecast'!$G$5:$G$81,"&lt;="&amp;Marketing!BH$3)/12)),IF(YEAR(BH$3)=YEAR('New Hires Forecast'!$P$3),((SUMIFS('New Hires Forecast'!$P$5:$P$81,'New Hires Forecast'!$F$5:$F$81,"Marketing",'New Hires Forecast'!$H$5:$H$81,"&gt;="&amp;Marketing!BH$3,'New Hires Forecast'!$G$5:$G$81,"&lt;="&amp;Marketing!BH$3)/12)),IF(YEAR(BH$3)=YEAR('New Hires Forecast'!$Q$3),((SUMIFS('New Hires Forecast'!$Q$5:$Q$81,'New Hires Forecast'!$F$5:$F$81,"Marketing",'New Hires Forecast'!$H$5:$H$81,"&gt;="&amp;Marketing!BH$3,'New Hires Forecast'!$G$5:$G$81,"&lt;="&amp;Marketing!BH$3)/12)),IF(YEAR(BH$3)=YEAR('New Hires Forecast'!$R$3),((SUMIFS('New Hires Forecast'!$R$5:$R$81,'New Hires Forecast'!$F$5:$F$81,"Marketing",'New Hires Forecast'!$H$5:$H$81,"&gt;="&amp;Marketing!BH$3,'New Hires Forecast'!$G$5:$G$81,"&lt;="&amp;Marketing!BH$3)/12))))))),0)</f>
        <v>12819.208333333334</v>
      </c>
      <c r="BI13" s="684">
        <f>IF(BI$4="forecast",IF(YEAR(BI$3)=YEAR('New Hires Forecast'!$N$3),((SUMIFS('New Hires Forecast'!$N$5:$N$81,'New Hires Forecast'!$F$5:$F$81,"Marketing",'New Hires Forecast'!$H$5:$H$81,"&gt;="&amp;Marketing!BI$3,'New Hires Forecast'!$G$5:$G$81,"&lt;="&amp;Marketing!BI$3)/12)),IF(YEAR(BI$3)=YEAR('New Hires Forecast'!$O$3),((SUMIFS('New Hires Forecast'!$O$5:$O$81,'New Hires Forecast'!$F$5:$F$81,"Marketing",'New Hires Forecast'!$H$5:$H$81,"&gt;="&amp;Marketing!BI$3,'New Hires Forecast'!$G$5:$G$81,"&lt;="&amp;Marketing!BI$3)/12)),IF(YEAR(BI$3)=YEAR('New Hires Forecast'!$P$3),((SUMIFS('New Hires Forecast'!$P$5:$P$81,'New Hires Forecast'!$F$5:$F$81,"Marketing",'New Hires Forecast'!$H$5:$H$81,"&gt;="&amp;Marketing!BI$3,'New Hires Forecast'!$G$5:$G$81,"&lt;="&amp;Marketing!BI$3)/12)),IF(YEAR(BI$3)=YEAR('New Hires Forecast'!$Q$3),((SUMIFS('New Hires Forecast'!$Q$5:$Q$81,'New Hires Forecast'!$F$5:$F$81,"Marketing",'New Hires Forecast'!$H$5:$H$81,"&gt;="&amp;Marketing!BI$3,'New Hires Forecast'!$G$5:$G$81,"&lt;="&amp;Marketing!BI$3)/12)),IF(YEAR(BI$3)=YEAR('New Hires Forecast'!$R$3),((SUMIFS('New Hires Forecast'!$R$5:$R$81,'New Hires Forecast'!$F$5:$F$81,"Marketing",'New Hires Forecast'!$H$5:$H$81,"&gt;="&amp;Marketing!BI$3,'New Hires Forecast'!$G$5:$G$81,"&lt;="&amp;Marketing!BI$3)/12))))))),0)</f>
        <v>12819.208333333334</v>
      </c>
      <c r="BJ13" s="684">
        <f>IF(BJ$4="forecast",IF(YEAR(BJ$3)=YEAR('New Hires Forecast'!$N$3),((SUMIFS('New Hires Forecast'!$N$5:$N$81,'New Hires Forecast'!$F$5:$F$81,"Marketing",'New Hires Forecast'!$H$5:$H$81,"&gt;="&amp;Marketing!BJ$3,'New Hires Forecast'!$G$5:$G$81,"&lt;="&amp;Marketing!BJ$3)/12)),IF(YEAR(BJ$3)=YEAR('New Hires Forecast'!$O$3),((SUMIFS('New Hires Forecast'!$O$5:$O$81,'New Hires Forecast'!$F$5:$F$81,"Marketing",'New Hires Forecast'!$H$5:$H$81,"&gt;="&amp;Marketing!BJ$3,'New Hires Forecast'!$G$5:$G$81,"&lt;="&amp;Marketing!BJ$3)/12)),IF(YEAR(BJ$3)=YEAR('New Hires Forecast'!$P$3),((SUMIFS('New Hires Forecast'!$P$5:$P$81,'New Hires Forecast'!$F$5:$F$81,"Marketing",'New Hires Forecast'!$H$5:$H$81,"&gt;="&amp;Marketing!BJ$3,'New Hires Forecast'!$G$5:$G$81,"&lt;="&amp;Marketing!BJ$3)/12)),IF(YEAR(BJ$3)=YEAR('New Hires Forecast'!$Q$3),((SUMIFS('New Hires Forecast'!$Q$5:$Q$81,'New Hires Forecast'!$F$5:$F$81,"Marketing",'New Hires Forecast'!$H$5:$H$81,"&gt;="&amp;Marketing!BJ$3,'New Hires Forecast'!$G$5:$G$81,"&lt;="&amp;Marketing!BJ$3)/12)),IF(YEAR(BJ$3)=YEAR('New Hires Forecast'!$R$3),((SUMIFS('New Hires Forecast'!$R$5:$R$81,'New Hires Forecast'!$F$5:$F$81,"Marketing",'New Hires Forecast'!$H$5:$H$81,"&gt;="&amp;Marketing!BJ$3,'New Hires Forecast'!$G$5:$G$81,"&lt;="&amp;Marketing!BJ$3)/12))))))),0)</f>
        <v>12819.208333333334</v>
      </c>
      <c r="BK13" s="684">
        <f>IF(BK$4="forecast",IF(YEAR(BK$3)=YEAR('New Hires Forecast'!$N$3),((SUMIFS('New Hires Forecast'!$N$5:$N$81,'New Hires Forecast'!$F$5:$F$81,"Marketing",'New Hires Forecast'!$H$5:$H$81,"&gt;="&amp;Marketing!BK$3,'New Hires Forecast'!$G$5:$G$81,"&lt;="&amp;Marketing!BK$3)/12)),IF(YEAR(BK$3)=YEAR('New Hires Forecast'!$O$3),((SUMIFS('New Hires Forecast'!$O$5:$O$81,'New Hires Forecast'!$F$5:$F$81,"Marketing",'New Hires Forecast'!$H$5:$H$81,"&gt;="&amp;Marketing!BK$3,'New Hires Forecast'!$G$5:$G$81,"&lt;="&amp;Marketing!BK$3)/12)),IF(YEAR(BK$3)=YEAR('New Hires Forecast'!$P$3),((SUMIFS('New Hires Forecast'!$P$5:$P$81,'New Hires Forecast'!$F$5:$F$81,"Marketing",'New Hires Forecast'!$H$5:$H$81,"&gt;="&amp;Marketing!BK$3,'New Hires Forecast'!$G$5:$G$81,"&lt;="&amp;Marketing!BK$3)/12)),IF(YEAR(BK$3)=YEAR('New Hires Forecast'!$Q$3),((SUMIFS('New Hires Forecast'!$Q$5:$Q$81,'New Hires Forecast'!$F$5:$F$81,"Marketing",'New Hires Forecast'!$H$5:$H$81,"&gt;="&amp;Marketing!BK$3,'New Hires Forecast'!$G$5:$G$81,"&lt;="&amp;Marketing!BK$3)/12)),IF(YEAR(BK$3)=YEAR('New Hires Forecast'!$R$3),((SUMIFS('New Hires Forecast'!$R$5:$R$81,'New Hires Forecast'!$F$5:$F$81,"Marketing",'New Hires Forecast'!$H$5:$H$81,"&gt;="&amp;Marketing!BK$3,'New Hires Forecast'!$G$5:$G$81,"&lt;="&amp;Marketing!BK$3)/12))))))),0)</f>
        <v>13203.784583333334</v>
      </c>
      <c r="BL13" s="684">
        <f>IF(BL$4="forecast",IF(YEAR(BL$3)=YEAR('New Hires Forecast'!$N$3),((SUMIFS('New Hires Forecast'!$N$5:$N$81,'New Hires Forecast'!$F$5:$F$81,"Marketing",'New Hires Forecast'!$H$5:$H$81,"&gt;="&amp;Marketing!BL$3,'New Hires Forecast'!$G$5:$G$81,"&lt;="&amp;Marketing!BL$3)/12)),IF(YEAR(BL$3)=YEAR('New Hires Forecast'!$O$3),((SUMIFS('New Hires Forecast'!$O$5:$O$81,'New Hires Forecast'!$F$5:$F$81,"Marketing",'New Hires Forecast'!$H$5:$H$81,"&gt;="&amp;Marketing!BL$3,'New Hires Forecast'!$G$5:$G$81,"&lt;="&amp;Marketing!BL$3)/12)),IF(YEAR(BL$3)=YEAR('New Hires Forecast'!$P$3),((SUMIFS('New Hires Forecast'!$P$5:$P$81,'New Hires Forecast'!$F$5:$F$81,"Marketing",'New Hires Forecast'!$H$5:$H$81,"&gt;="&amp;Marketing!BL$3,'New Hires Forecast'!$G$5:$G$81,"&lt;="&amp;Marketing!BL$3)/12)),IF(YEAR(BL$3)=YEAR('New Hires Forecast'!$Q$3),((SUMIFS('New Hires Forecast'!$Q$5:$Q$81,'New Hires Forecast'!$F$5:$F$81,"Marketing",'New Hires Forecast'!$H$5:$H$81,"&gt;="&amp;Marketing!BL$3,'New Hires Forecast'!$G$5:$G$81,"&lt;="&amp;Marketing!BL$3)/12)),IF(YEAR(BL$3)=YEAR('New Hires Forecast'!$R$3),((SUMIFS('New Hires Forecast'!$R$5:$R$81,'New Hires Forecast'!$F$5:$F$81,"Marketing",'New Hires Forecast'!$H$5:$H$81,"&gt;="&amp;Marketing!BL$3,'New Hires Forecast'!$G$5:$G$81,"&lt;="&amp;Marketing!BL$3)/12))))))),0)</f>
        <v>13203.784583333334</v>
      </c>
      <c r="BM13" s="684">
        <f>IF(BM$4="forecast",IF(YEAR(BM$3)=YEAR('New Hires Forecast'!$N$3),((SUMIFS('New Hires Forecast'!$N$5:$N$81,'New Hires Forecast'!$F$5:$F$81,"Marketing",'New Hires Forecast'!$H$5:$H$81,"&gt;="&amp;Marketing!BM$3,'New Hires Forecast'!$G$5:$G$81,"&lt;="&amp;Marketing!BM$3)/12)),IF(YEAR(BM$3)=YEAR('New Hires Forecast'!$O$3),((SUMIFS('New Hires Forecast'!$O$5:$O$81,'New Hires Forecast'!$F$5:$F$81,"Marketing",'New Hires Forecast'!$H$5:$H$81,"&gt;="&amp;Marketing!BM$3,'New Hires Forecast'!$G$5:$G$81,"&lt;="&amp;Marketing!BM$3)/12)),IF(YEAR(BM$3)=YEAR('New Hires Forecast'!$P$3),((SUMIFS('New Hires Forecast'!$P$5:$P$81,'New Hires Forecast'!$F$5:$F$81,"Marketing",'New Hires Forecast'!$H$5:$H$81,"&gt;="&amp;Marketing!BM$3,'New Hires Forecast'!$G$5:$G$81,"&lt;="&amp;Marketing!BM$3)/12)),IF(YEAR(BM$3)=YEAR('New Hires Forecast'!$Q$3),((SUMIFS('New Hires Forecast'!$Q$5:$Q$81,'New Hires Forecast'!$F$5:$F$81,"Marketing",'New Hires Forecast'!$H$5:$H$81,"&gt;="&amp;Marketing!BM$3,'New Hires Forecast'!$G$5:$G$81,"&lt;="&amp;Marketing!BM$3)/12)),IF(YEAR(BM$3)=YEAR('New Hires Forecast'!$R$3),((SUMIFS('New Hires Forecast'!$R$5:$R$81,'New Hires Forecast'!$F$5:$F$81,"Marketing",'New Hires Forecast'!$H$5:$H$81,"&gt;="&amp;Marketing!BM$3,'New Hires Forecast'!$G$5:$G$81,"&lt;="&amp;Marketing!BM$3)/12))))))),0)</f>
        <v>13203.784583333334</v>
      </c>
      <c r="BN13" s="684">
        <f>IF(BN$4="forecast",IF(YEAR(BN$3)=YEAR('New Hires Forecast'!$N$3),((SUMIFS('New Hires Forecast'!$N$5:$N$81,'New Hires Forecast'!$F$5:$F$81,"Marketing",'New Hires Forecast'!$H$5:$H$81,"&gt;="&amp;Marketing!BN$3,'New Hires Forecast'!$G$5:$G$81,"&lt;="&amp;Marketing!BN$3)/12)),IF(YEAR(BN$3)=YEAR('New Hires Forecast'!$O$3),((SUMIFS('New Hires Forecast'!$O$5:$O$81,'New Hires Forecast'!$F$5:$F$81,"Marketing",'New Hires Forecast'!$H$5:$H$81,"&gt;="&amp;Marketing!BN$3,'New Hires Forecast'!$G$5:$G$81,"&lt;="&amp;Marketing!BN$3)/12)),IF(YEAR(BN$3)=YEAR('New Hires Forecast'!$P$3),((SUMIFS('New Hires Forecast'!$P$5:$P$81,'New Hires Forecast'!$F$5:$F$81,"Marketing",'New Hires Forecast'!$H$5:$H$81,"&gt;="&amp;Marketing!BN$3,'New Hires Forecast'!$G$5:$G$81,"&lt;="&amp;Marketing!BN$3)/12)),IF(YEAR(BN$3)=YEAR('New Hires Forecast'!$Q$3),((SUMIFS('New Hires Forecast'!$Q$5:$Q$81,'New Hires Forecast'!$F$5:$F$81,"Marketing",'New Hires Forecast'!$H$5:$H$81,"&gt;="&amp;Marketing!BN$3,'New Hires Forecast'!$G$5:$G$81,"&lt;="&amp;Marketing!BN$3)/12)),IF(YEAR(BN$3)=YEAR('New Hires Forecast'!$R$3),((SUMIFS('New Hires Forecast'!$R$5:$R$81,'New Hires Forecast'!$F$5:$F$81,"Marketing",'New Hires Forecast'!$H$5:$H$81,"&gt;="&amp;Marketing!BN$3,'New Hires Forecast'!$G$5:$G$81,"&lt;="&amp;Marketing!BN$3)/12))))))),0)</f>
        <v>13203.784583333334</v>
      </c>
      <c r="BO13" s="684">
        <f>IF(BO$4="forecast",IF(YEAR(BO$3)=YEAR('New Hires Forecast'!$N$3),((SUMIFS('New Hires Forecast'!$N$5:$N$81,'New Hires Forecast'!$F$5:$F$81,"Marketing",'New Hires Forecast'!$H$5:$H$81,"&gt;="&amp;Marketing!BO$3,'New Hires Forecast'!$G$5:$G$81,"&lt;="&amp;Marketing!BO$3)/12)),IF(YEAR(BO$3)=YEAR('New Hires Forecast'!$O$3),((SUMIFS('New Hires Forecast'!$O$5:$O$81,'New Hires Forecast'!$F$5:$F$81,"Marketing",'New Hires Forecast'!$H$5:$H$81,"&gt;="&amp;Marketing!BO$3,'New Hires Forecast'!$G$5:$G$81,"&lt;="&amp;Marketing!BO$3)/12)),IF(YEAR(BO$3)=YEAR('New Hires Forecast'!$P$3),((SUMIFS('New Hires Forecast'!$P$5:$P$81,'New Hires Forecast'!$F$5:$F$81,"Marketing",'New Hires Forecast'!$H$5:$H$81,"&gt;="&amp;Marketing!BO$3,'New Hires Forecast'!$G$5:$G$81,"&lt;="&amp;Marketing!BO$3)/12)),IF(YEAR(BO$3)=YEAR('New Hires Forecast'!$Q$3),((SUMIFS('New Hires Forecast'!$Q$5:$Q$81,'New Hires Forecast'!$F$5:$F$81,"Marketing",'New Hires Forecast'!$H$5:$H$81,"&gt;="&amp;Marketing!BO$3,'New Hires Forecast'!$G$5:$G$81,"&lt;="&amp;Marketing!BO$3)/12)),IF(YEAR(BO$3)=YEAR('New Hires Forecast'!$R$3),((SUMIFS('New Hires Forecast'!$R$5:$R$81,'New Hires Forecast'!$F$5:$F$81,"Marketing",'New Hires Forecast'!$H$5:$H$81,"&gt;="&amp;Marketing!BO$3,'New Hires Forecast'!$G$5:$G$81,"&lt;="&amp;Marketing!BO$3)/12))))))),0)</f>
        <v>13203.784583333334</v>
      </c>
      <c r="BP13" s="684">
        <f>IF(BP$4="forecast",IF(YEAR(BP$3)=YEAR('New Hires Forecast'!$N$3),((SUMIFS('New Hires Forecast'!$N$5:$N$81,'New Hires Forecast'!$F$5:$F$81,"Marketing",'New Hires Forecast'!$H$5:$H$81,"&gt;="&amp;Marketing!BP$3,'New Hires Forecast'!$G$5:$G$81,"&lt;="&amp;Marketing!BP$3)/12)),IF(YEAR(BP$3)=YEAR('New Hires Forecast'!$O$3),((SUMIFS('New Hires Forecast'!$O$5:$O$81,'New Hires Forecast'!$F$5:$F$81,"Marketing",'New Hires Forecast'!$H$5:$H$81,"&gt;="&amp;Marketing!BP$3,'New Hires Forecast'!$G$5:$G$81,"&lt;="&amp;Marketing!BP$3)/12)),IF(YEAR(BP$3)=YEAR('New Hires Forecast'!$P$3),((SUMIFS('New Hires Forecast'!$P$5:$P$81,'New Hires Forecast'!$F$5:$F$81,"Marketing",'New Hires Forecast'!$H$5:$H$81,"&gt;="&amp;Marketing!BP$3,'New Hires Forecast'!$G$5:$G$81,"&lt;="&amp;Marketing!BP$3)/12)),IF(YEAR(BP$3)=YEAR('New Hires Forecast'!$Q$3),((SUMIFS('New Hires Forecast'!$Q$5:$Q$81,'New Hires Forecast'!$F$5:$F$81,"Marketing",'New Hires Forecast'!$H$5:$H$81,"&gt;="&amp;Marketing!BP$3,'New Hires Forecast'!$G$5:$G$81,"&lt;="&amp;Marketing!BP$3)/12)),IF(YEAR(BP$3)=YEAR('New Hires Forecast'!$R$3),((SUMIFS('New Hires Forecast'!$R$5:$R$81,'New Hires Forecast'!$F$5:$F$81,"Marketing",'New Hires Forecast'!$H$5:$H$81,"&gt;="&amp;Marketing!BP$3,'New Hires Forecast'!$G$5:$G$81,"&lt;="&amp;Marketing!BP$3)/12))))))),0)</f>
        <v>13203.784583333334</v>
      </c>
      <c r="BQ13" s="684">
        <f>IF(BQ$4="forecast",IF(YEAR(BQ$3)=YEAR('New Hires Forecast'!$N$3),((SUMIFS('New Hires Forecast'!$N$5:$N$81,'New Hires Forecast'!$F$5:$F$81,"Marketing",'New Hires Forecast'!$H$5:$H$81,"&gt;="&amp;Marketing!BQ$3,'New Hires Forecast'!$G$5:$G$81,"&lt;="&amp;Marketing!BQ$3)/12)),IF(YEAR(BQ$3)=YEAR('New Hires Forecast'!$O$3),((SUMIFS('New Hires Forecast'!$O$5:$O$81,'New Hires Forecast'!$F$5:$F$81,"Marketing",'New Hires Forecast'!$H$5:$H$81,"&gt;="&amp;Marketing!BQ$3,'New Hires Forecast'!$G$5:$G$81,"&lt;="&amp;Marketing!BQ$3)/12)),IF(YEAR(BQ$3)=YEAR('New Hires Forecast'!$P$3),((SUMIFS('New Hires Forecast'!$P$5:$P$81,'New Hires Forecast'!$F$5:$F$81,"Marketing",'New Hires Forecast'!$H$5:$H$81,"&gt;="&amp;Marketing!BQ$3,'New Hires Forecast'!$G$5:$G$81,"&lt;="&amp;Marketing!BQ$3)/12)),IF(YEAR(BQ$3)=YEAR('New Hires Forecast'!$Q$3),((SUMIFS('New Hires Forecast'!$Q$5:$Q$81,'New Hires Forecast'!$F$5:$F$81,"Marketing",'New Hires Forecast'!$H$5:$H$81,"&gt;="&amp;Marketing!BQ$3,'New Hires Forecast'!$G$5:$G$81,"&lt;="&amp;Marketing!BQ$3)/12)),IF(YEAR(BQ$3)=YEAR('New Hires Forecast'!$R$3),((SUMIFS('New Hires Forecast'!$R$5:$R$81,'New Hires Forecast'!$F$5:$F$81,"Marketing",'New Hires Forecast'!$H$5:$H$81,"&gt;="&amp;Marketing!BQ$3,'New Hires Forecast'!$G$5:$G$81,"&lt;="&amp;Marketing!BQ$3)/12))))))),0)</f>
        <v>13203.784583333334</v>
      </c>
      <c r="BR13" s="684">
        <f>IF(BR$4="forecast",IF(YEAR(BR$3)=YEAR('New Hires Forecast'!$N$3),((SUMIFS('New Hires Forecast'!$N$5:$N$81,'New Hires Forecast'!$F$5:$F$81,"Marketing",'New Hires Forecast'!$H$5:$H$81,"&gt;="&amp;Marketing!BR$3,'New Hires Forecast'!$G$5:$G$81,"&lt;="&amp;Marketing!BR$3)/12)),IF(YEAR(BR$3)=YEAR('New Hires Forecast'!$O$3),((SUMIFS('New Hires Forecast'!$O$5:$O$81,'New Hires Forecast'!$F$5:$F$81,"Marketing",'New Hires Forecast'!$H$5:$H$81,"&gt;="&amp;Marketing!BR$3,'New Hires Forecast'!$G$5:$G$81,"&lt;="&amp;Marketing!BR$3)/12)),IF(YEAR(BR$3)=YEAR('New Hires Forecast'!$P$3),((SUMIFS('New Hires Forecast'!$P$5:$P$81,'New Hires Forecast'!$F$5:$F$81,"Marketing",'New Hires Forecast'!$H$5:$H$81,"&gt;="&amp;Marketing!BR$3,'New Hires Forecast'!$G$5:$G$81,"&lt;="&amp;Marketing!BR$3)/12)),IF(YEAR(BR$3)=YEAR('New Hires Forecast'!$Q$3),((SUMIFS('New Hires Forecast'!$Q$5:$Q$81,'New Hires Forecast'!$F$5:$F$81,"Marketing",'New Hires Forecast'!$H$5:$H$81,"&gt;="&amp;Marketing!BR$3,'New Hires Forecast'!$G$5:$G$81,"&lt;="&amp;Marketing!BR$3)/12)),IF(YEAR(BR$3)=YEAR('New Hires Forecast'!$R$3),((SUMIFS('New Hires Forecast'!$R$5:$R$81,'New Hires Forecast'!$F$5:$F$81,"Marketing",'New Hires Forecast'!$H$5:$H$81,"&gt;="&amp;Marketing!BR$3,'New Hires Forecast'!$G$5:$G$81,"&lt;="&amp;Marketing!BR$3)/12))))))),0)</f>
        <v>13203.784583333334</v>
      </c>
      <c r="BS13" s="684">
        <f>IF(BS$4="forecast",IF(YEAR(BS$3)=YEAR('New Hires Forecast'!$N$3),((SUMIFS('New Hires Forecast'!$N$5:$N$81,'New Hires Forecast'!$F$5:$F$81,"Marketing",'New Hires Forecast'!$H$5:$H$81,"&gt;="&amp;Marketing!BS$3,'New Hires Forecast'!$G$5:$G$81,"&lt;="&amp;Marketing!BS$3)/12)),IF(YEAR(BS$3)=YEAR('New Hires Forecast'!$O$3),((SUMIFS('New Hires Forecast'!$O$5:$O$81,'New Hires Forecast'!$F$5:$F$81,"Marketing",'New Hires Forecast'!$H$5:$H$81,"&gt;="&amp;Marketing!BS$3,'New Hires Forecast'!$G$5:$G$81,"&lt;="&amp;Marketing!BS$3)/12)),IF(YEAR(BS$3)=YEAR('New Hires Forecast'!$P$3),((SUMIFS('New Hires Forecast'!$P$5:$P$81,'New Hires Forecast'!$F$5:$F$81,"Marketing",'New Hires Forecast'!$H$5:$H$81,"&gt;="&amp;Marketing!BS$3,'New Hires Forecast'!$G$5:$G$81,"&lt;="&amp;Marketing!BS$3)/12)),IF(YEAR(BS$3)=YEAR('New Hires Forecast'!$Q$3),((SUMIFS('New Hires Forecast'!$Q$5:$Q$81,'New Hires Forecast'!$F$5:$F$81,"Marketing",'New Hires Forecast'!$H$5:$H$81,"&gt;="&amp;Marketing!BS$3,'New Hires Forecast'!$G$5:$G$81,"&lt;="&amp;Marketing!BS$3)/12)),IF(YEAR(BS$3)=YEAR('New Hires Forecast'!$R$3),((SUMIFS('New Hires Forecast'!$R$5:$R$81,'New Hires Forecast'!$F$5:$F$81,"Marketing",'New Hires Forecast'!$H$5:$H$81,"&gt;="&amp;Marketing!BS$3,'New Hires Forecast'!$G$5:$G$81,"&lt;="&amp;Marketing!BS$3)/12))))))),0)</f>
        <v>13203.784583333334</v>
      </c>
      <c r="BT13" s="684">
        <f>IF(BT$4="forecast",IF(YEAR(BT$3)=YEAR('New Hires Forecast'!$N$3),((SUMIFS('New Hires Forecast'!$N$5:$N$81,'New Hires Forecast'!$F$5:$F$81,"Marketing",'New Hires Forecast'!$H$5:$H$81,"&gt;="&amp;Marketing!BT$3,'New Hires Forecast'!$G$5:$G$81,"&lt;="&amp;Marketing!BT$3)/12)),IF(YEAR(BT$3)=YEAR('New Hires Forecast'!$O$3),((SUMIFS('New Hires Forecast'!$O$5:$O$81,'New Hires Forecast'!$F$5:$F$81,"Marketing",'New Hires Forecast'!$H$5:$H$81,"&gt;="&amp;Marketing!BT$3,'New Hires Forecast'!$G$5:$G$81,"&lt;="&amp;Marketing!BT$3)/12)),IF(YEAR(BT$3)=YEAR('New Hires Forecast'!$P$3),((SUMIFS('New Hires Forecast'!$P$5:$P$81,'New Hires Forecast'!$F$5:$F$81,"Marketing",'New Hires Forecast'!$H$5:$H$81,"&gt;="&amp;Marketing!BT$3,'New Hires Forecast'!$G$5:$G$81,"&lt;="&amp;Marketing!BT$3)/12)),IF(YEAR(BT$3)=YEAR('New Hires Forecast'!$Q$3),((SUMIFS('New Hires Forecast'!$Q$5:$Q$81,'New Hires Forecast'!$F$5:$F$81,"Marketing",'New Hires Forecast'!$H$5:$H$81,"&gt;="&amp;Marketing!BT$3,'New Hires Forecast'!$G$5:$G$81,"&lt;="&amp;Marketing!BT$3)/12)),IF(YEAR(BT$3)=YEAR('New Hires Forecast'!$R$3),((SUMIFS('New Hires Forecast'!$R$5:$R$81,'New Hires Forecast'!$F$5:$F$81,"Marketing",'New Hires Forecast'!$H$5:$H$81,"&gt;="&amp;Marketing!BT$3,'New Hires Forecast'!$G$5:$G$81,"&lt;="&amp;Marketing!BT$3)/12))))))),0)</f>
        <v>13203.784583333334</v>
      </c>
      <c r="BU13" s="684">
        <f>IF(BU$4="forecast",IF(YEAR(BU$3)=YEAR('New Hires Forecast'!$N$3),((SUMIFS('New Hires Forecast'!$N$5:$N$81,'New Hires Forecast'!$F$5:$F$81,"Marketing",'New Hires Forecast'!$H$5:$H$81,"&gt;="&amp;Marketing!BU$3,'New Hires Forecast'!$G$5:$G$81,"&lt;="&amp;Marketing!BU$3)/12)),IF(YEAR(BU$3)=YEAR('New Hires Forecast'!$O$3),((SUMIFS('New Hires Forecast'!$O$5:$O$81,'New Hires Forecast'!$F$5:$F$81,"Marketing",'New Hires Forecast'!$H$5:$H$81,"&gt;="&amp;Marketing!BU$3,'New Hires Forecast'!$G$5:$G$81,"&lt;="&amp;Marketing!BU$3)/12)),IF(YEAR(BU$3)=YEAR('New Hires Forecast'!$P$3),((SUMIFS('New Hires Forecast'!$P$5:$P$81,'New Hires Forecast'!$F$5:$F$81,"Marketing",'New Hires Forecast'!$H$5:$H$81,"&gt;="&amp;Marketing!BU$3,'New Hires Forecast'!$G$5:$G$81,"&lt;="&amp;Marketing!BU$3)/12)),IF(YEAR(BU$3)=YEAR('New Hires Forecast'!$Q$3),((SUMIFS('New Hires Forecast'!$Q$5:$Q$81,'New Hires Forecast'!$F$5:$F$81,"Marketing",'New Hires Forecast'!$H$5:$H$81,"&gt;="&amp;Marketing!BU$3,'New Hires Forecast'!$G$5:$G$81,"&lt;="&amp;Marketing!BU$3)/12)),IF(YEAR(BU$3)=YEAR('New Hires Forecast'!$R$3),((SUMIFS('New Hires Forecast'!$R$5:$R$81,'New Hires Forecast'!$F$5:$F$81,"Marketing",'New Hires Forecast'!$H$5:$H$81,"&gt;="&amp;Marketing!BU$3,'New Hires Forecast'!$G$5:$G$81,"&lt;="&amp;Marketing!BU$3)/12))))))),0)</f>
        <v>13203.784583333334</v>
      </c>
      <c r="BV13" s="808">
        <f>IF(BV$4="forecast",IF(YEAR(BV$3)=YEAR('New Hires Forecast'!$N$3),((SUMIFS('New Hires Forecast'!$N$5:$N$81,'New Hires Forecast'!$F$5:$F$81,"Marketing",'New Hires Forecast'!$H$5:$H$81,"&gt;="&amp;Marketing!BV$3,'New Hires Forecast'!$G$5:$G$81,"&lt;="&amp;Marketing!BV$3)/12)),IF(YEAR(BV$3)=YEAR('New Hires Forecast'!$O$3),((SUMIFS('New Hires Forecast'!$O$5:$O$81,'New Hires Forecast'!$F$5:$F$81,"Marketing",'New Hires Forecast'!$H$5:$H$81,"&gt;="&amp;Marketing!BV$3,'New Hires Forecast'!$G$5:$G$81,"&lt;="&amp;Marketing!BV$3)/12)),IF(YEAR(BV$3)=YEAR('New Hires Forecast'!$P$3),((SUMIFS('New Hires Forecast'!$P$5:$P$81,'New Hires Forecast'!$F$5:$F$81,"Marketing",'New Hires Forecast'!$H$5:$H$81,"&gt;="&amp;Marketing!BV$3,'New Hires Forecast'!$G$5:$G$81,"&lt;="&amp;Marketing!BV$3)/12)),IF(YEAR(BV$3)=YEAR('New Hires Forecast'!$Q$3),((SUMIFS('New Hires Forecast'!$Q$5:$Q$81,'New Hires Forecast'!$F$5:$F$81,"Marketing",'New Hires Forecast'!$H$5:$H$81,"&gt;="&amp;Marketing!BV$3,'New Hires Forecast'!$G$5:$G$81,"&lt;="&amp;Marketing!BV$3)/12)),IF(YEAR(BV$3)=YEAR('New Hires Forecast'!$R$3),((SUMIFS('New Hires Forecast'!$R$5:$R$81,'New Hires Forecast'!$F$5:$F$81,"Marketing",'New Hires Forecast'!$H$5:$H$81,"&gt;="&amp;Marketing!BV$3,'New Hires Forecast'!$G$5:$G$81,"&lt;="&amp;Marketing!BV$3)/12))))))),0)</f>
        <v>13203.784583333334</v>
      </c>
    </row>
    <row r="14" spans="2:74" x14ac:dyDescent="0.35">
      <c r="B14" s="809" t="s">
        <v>936</v>
      </c>
      <c r="C14" s="806">
        <f t="shared" ref="C14" si="2">SUM(C12:C13)</f>
        <v>29131.994595408367</v>
      </c>
      <c r="D14" s="806">
        <f t="shared" ref="D14:BO14" si="3">SUM(D12:D13)</f>
        <v>26554.74573340427</v>
      </c>
      <c r="E14" s="806">
        <f t="shared" si="3"/>
        <v>29208.480490878996</v>
      </c>
      <c r="F14" s="806">
        <f t="shared" si="3"/>
        <v>30106.313963001703</v>
      </c>
      <c r="G14" s="806">
        <f t="shared" si="3"/>
        <v>32192.463478002192</v>
      </c>
      <c r="H14" s="806">
        <f t="shared" si="3"/>
        <v>32597.474533091296</v>
      </c>
      <c r="I14" s="806">
        <f t="shared" si="3"/>
        <v>20875.678505895739</v>
      </c>
      <c r="J14" s="806">
        <f t="shared" si="3"/>
        <v>26613.62365656266</v>
      </c>
      <c r="K14" s="806">
        <f t="shared" si="3"/>
        <v>21193.009805431531</v>
      </c>
      <c r="L14" s="806">
        <f t="shared" si="3"/>
        <v>21044.053082243863</v>
      </c>
      <c r="M14" s="806">
        <f t="shared" si="3"/>
        <v>29239.730087666318</v>
      </c>
      <c r="N14" s="806">
        <f t="shared" si="3"/>
        <v>30805.010394118137</v>
      </c>
      <c r="O14" s="806">
        <f t="shared" si="3"/>
        <v>15541.669999999998</v>
      </c>
      <c r="P14" s="806">
        <f t="shared" si="3"/>
        <v>12499.58</v>
      </c>
      <c r="Q14" s="806">
        <f t="shared" si="3"/>
        <v>23724.5</v>
      </c>
      <c r="R14" s="806">
        <f t="shared" si="3"/>
        <v>5189.29</v>
      </c>
      <c r="S14" s="806">
        <f t="shared" si="3"/>
        <v>20004.400000000001</v>
      </c>
      <c r="T14" s="806">
        <f t="shared" si="3"/>
        <v>19328.559999999998</v>
      </c>
      <c r="U14" s="806">
        <f t="shared" si="3"/>
        <v>22269.559999999998</v>
      </c>
      <c r="V14" s="806">
        <f t="shared" si="3"/>
        <v>21251.800000000003</v>
      </c>
      <c r="W14" s="806">
        <f t="shared" si="3"/>
        <v>16798.96</v>
      </c>
      <c r="X14" s="806">
        <f t="shared" si="3"/>
        <v>27962.9</v>
      </c>
      <c r="Y14" s="806">
        <f t="shared" si="3"/>
        <v>25394.78</v>
      </c>
      <c r="Z14" s="806">
        <f t="shared" si="3"/>
        <v>28577.41</v>
      </c>
      <c r="AA14" s="806">
        <f t="shared" si="3"/>
        <v>28577.41</v>
      </c>
      <c r="AB14" s="806">
        <f t="shared" si="3"/>
        <v>58468.75</v>
      </c>
      <c r="AC14" s="806">
        <f t="shared" si="3"/>
        <v>58468.75</v>
      </c>
      <c r="AD14" s="806">
        <f t="shared" si="3"/>
        <v>65135.416666666664</v>
      </c>
      <c r="AE14" s="806">
        <f t="shared" si="3"/>
        <v>65135.416666666664</v>
      </c>
      <c r="AF14" s="806">
        <f t="shared" si="3"/>
        <v>70552.083333333328</v>
      </c>
      <c r="AG14" s="806">
        <f t="shared" si="3"/>
        <v>70552.083333333328</v>
      </c>
      <c r="AH14" s="806">
        <f t="shared" si="3"/>
        <v>70552.083333333328</v>
      </c>
      <c r="AI14" s="806">
        <f t="shared" si="3"/>
        <v>70552.083333333328</v>
      </c>
      <c r="AJ14" s="806">
        <f t="shared" si="3"/>
        <v>70552.083333333328</v>
      </c>
      <c r="AK14" s="806">
        <f t="shared" si="3"/>
        <v>70552.083333333328</v>
      </c>
      <c r="AL14" s="806">
        <f t="shared" si="3"/>
        <v>70552.083333333328</v>
      </c>
      <c r="AM14" s="806">
        <f t="shared" si="3"/>
        <v>70914.583333333328</v>
      </c>
      <c r="AN14" s="806">
        <f t="shared" si="3"/>
        <v>72668.645833333328</v>
      </c>
      <c r="AO14" s="806">
        <f t="shared" si="3"/>
        <v>72668.645833333328</v>
      </c>
      <c r="AP14" s="806">
        <f t="shared" si="3"/>
        <v>72668.645833333328</v>
      </c>
      <c r="AQ14" s="806">
        <f t="shared" si="3"/>
        <v>72668.645833333328</v>
      </c>
      <c r="AR14" s="806">
        <f t="shared" si="3"/>
        <v>72668.645833333328</v>
      </c>
      <c r="AS14" s="806">
        <f t="shared" si="3"/>
        <v>72668.645833333328</v>
      </c>
      <c r="AT14" s="806">
        <f t="shared" si="3"/>
        <v>72668.645833333328</v>
      </c>
      <c r="AU14" s="806">
        <f t="shared" si="3"/>
        <v>72668.645833333328</v>
      </c>
      <c r="AV14" s="806">
        <f t="shared" si="3"/>
        <v>72668.645833333328</v>
      </c>
      <c r="AW14" s="806">
        <f t="shared" si="3"/>
        <v>72668.645833333328</v>
      </c>
      <c r="AX14" s="806">
        <f t="shared" si="3"/>
        <v>72668.645833333328</v>
      </c>
      <c r="AY14" s="806">
        <f t="shared" si="3"/>
        <v>73042.020833333328</v>
      </c>
      <c r="AZ14" s="806">
        <f t="shared" si="3"/>
        <v>74848.70520833334</v>
      </c>
      <c r="BA14" s="806">
        <f t="shared" si="3"/>
        <v>74848.70520833334</v>
      </c>
      <c r="BB14" s="806">
        <f t="shared" si="3"/>
        <v>74848.70520833334</v>
      </c>
      <c r="BC14" s="806">
        <f t="shared" si="3"/>
        <v>74848.70520833334</v>
      </c>
      <c r="BD14" s="806">
        <f t="shared" si="3"/>
        <v>74848.70520833334</v>
      </c>
      <c r="BE14" s="806">
        <f t="shared" si="3"/>
        <v>74848.70520833334</v>
      </c>
      <c r="BF14" s="806">
        <f t="shared" si="3"/>
        <v>74848.70520833334</v>
      </c>
      <c r="BG14" s="806">
        <f t="shared" si="3"/>
        <v>74848.70520833334</v>
      </c>
      <c r="BH14" s="806">
        <f t="shared" si="3"/>
        <v>74848.70520833334</v>
      </c>
      <c r="BI14" s="806">
        <f t="shared" si="3"/>
        <v>74848.70520833334</v>
      </c>
      <c r="BJ14" s="806">
        <f t="shared" si="3"/>
        <v>74848.70520833334</v>
      </c>
      <c r="BK14" s="806">
        <f t="shared" si="3"/>
        <v>75233.281458333338</v>
      </c>
      <c r="BL14" s="806">
        <f t="shared" si="3"/>
        <v>77094.166364583332</v>
      </c>
      <c r="BM14" s="806">
        <f t="shared" si="3"/>
        <v>77094.166364583332</v>
      </c>
      <c r="BN14" s="806">
        <f t="shared" si="3"/>
        <v>77094.166364583332</v>
      </c>
      <c r="BO14" s="806">
        <f t="shared" si="3"/>
        <v>77094.166364583332</v>
      </c>
      <c r="BP14" s="806">
        <f t="shared" ref="BP14:BV14" si="4">SUM(BP12:BP13)</f>
        <v>77094.166364583332</v>
      </c>
      <c r="BQ14" s="806">
        <f t="shared" si="4"/>
        <v>77094.166364583332</v>
      </c>
      <c r="BR14" s="806">
        <f t="shared" si="4"/>
        <v>77094.166364583332</v>
      </c>
      <c r="BS14" s="806">
        <f t="shared" si="4"/>
        <v>77094.166364583332</v>
      </c>
      <c r="BT14" s="806">
        <f t="shared" si="4"/>
        <v>77094.166364583332</v>
      </c>
      <c r="BU14" s="806">
        <f t="shared" si="4"/>
        <v>77094.166364583332</v>
      </c>
      <c r="BV14" s="807">
        <f t="shared" si="4"/>
        <v>77094.166364583332</v>
      </c>
    </row>
    <row r="15" spans="2:74" x14ac:dyDescent="0.35">
      <c r="B15" s="797" t="s">
        <v>938</v>
      </c>
      <c r="C15" s="684">
        <f>IF(C$4="forecast",IF(YEAR(C$3)=YEAR('New Hires Forecast'!$N$3),IF((C$5=12),(SUMPRODUCT(--('New Hires Forecast'!$F$5:$F$84="Marketing"),--('New Hires Forecast'!$H$5:$H$84&gt;=Marketing!C$3),'New Hires Forecast'!$N$5:$N$84,'New Hires Forecast'!$L$5:$L$84)),0),IF(YEAR(C$3)=YEAR('New Hires Forecast'!$O$3),IF((C$5=12),(SUMPRODUCT(--('New Hires Forecast'!$F$5:$F$84="Marketing"),--('New Hires Forecast'!$H$5:$H$84&gt;=Marketing!C$3),'New Hires Forecast'!$O$5:$O$84,'New Hires Forecast'!$L$5:$L$84)),0),IF(YEAR(C$3)=YEAR('New Hires Forecast'!$P$3),IF((C$5=12),(SUMPRODUCT(--('New Hires Forecast'!$F$5:$F$84="Marketing"),--('New Hires Forecast'!$H$5:$H$84&gt;=Marketing!C$3),'New Hires Forecast'!$P$5:$P$84,'New Hires Forecast'!$L$5:$L$84)),0),IF(YEAR(C$3)=YEAR('New Hires Forecast'!$Q$3),IF((C$5=12),(SUMPRODUCT(--('New Hires Forecast'!$F$5:$F$84="Marketing"),--('New Hires Forecast'!$H$5:$H$84&gt;=Marketing!C$3),'New Hires Forecast'!$Q$5:$Q$84,'New Hires Forecast'!$L$5:$L$84)),0),IF(YEAR(C$3)=YEAR('New Hires Forecast'!$R$3),IF((C$5=12),(SUMPRODUCT(--('New Hires Forecast'!$F$5:$F$84="Marketing"),--('New Hires Forecast'!$H$5:$H$84&gt;=Marketing!C$3),'New Hires Forecast'!$R$5:$R$84,'New Hires Forecast'!$L$5:$L$84)),0),"New Year"))))),0)</f>
        <v>0</v>
      </c>
      <c r="D15" s="684">
        <f>IF(D$4="forecast",IF(YEAR(D$3)=YEAR('New Hires Forecast'!$N$3),IF((D$5=12),(SUMPRODUCT(--('New Hires Forecast'!$F$5:$F$84="Marketing"),--('New Hires Forecast'!$H$5:$H$84&gt;=Marketing!D$3),'New Hires Forecast'!$N$5:$N$84,'New Hires Forecast'!$L$5:$L$84)),0),IF(YEAR(D$3)=YEAR('New Hires Forecast'!$O$3),IF((D$5=12),(SUMPRODUCT(--('New Hires Forecast'!$F$5:$F$84="Marketing"),--('New Hires Forecast'!$H$5:$H$84&gt;=Marketing!D$3),'New Hires Forecast'!$O$5:$O$84,'New Hires Forecast'!$L$5:$L$84)),0),IF(YEAR(D$3)=YEAR('New Hires Forecast'!$P$3),IF((D$5=12),(SUMPRODUCT(--('New Hires Forecast'!$F$5:$F$84="Marketing"),--('New Hires Forecast'!$H$5:$H$84&gt;=Marketing!D$3),'New Hires Forecast'!$P$5:$P$84,'New Hires Forecast'!$L$5:$L$84)),0),IF(YEAR(D$3)=YEAR('New Hires Forecast'!$Q$3),IF((D$5=12),(SUMPRODUCT(--('New Hires Forecast'!$F$5:$F$84="Marketing"),--('New Hires Forecast'!$H$5:$H$84&gt;=Marketing!D$3),'New Hires Forecast'!$Q$5:$Q$84,'New Hires Forecast'!$L$5:$L$84)),0),IF(YEAR(D$3)=YEAR('New Hires Forecast'!$R$3),IF((D$5=12),(SUMPRODUCT(--('New Hires Forecast'!$F$5:$F$84="Marketing"),--('New Hires Forecast'!$H$5:$H$84&gt;=Marketing!D$3),'New Hires Forecast'!$R$5:$R$84,'New Hires Forecast'!$L$5:$L$84)),0),"New Year"))))),0)</f>
        <v>0</v>
      </c>
      <c r="E15" s="684">
        <f>IF(E$4="forecast",IF(YEAR(E$3)=YEAR('New Hires Forecast'!$N$3),IF((E$5=12),(SUMPRODUCT(--('New Hires Forecast'!$F$5:$F$84="Marketing"),--('New Hires Forecast'!$H$5:$H$84&gt;=Marketing!E$3),'New Hires Forecast'!$N$5:$N$84,'New Hires Forecast'!$L$5:$L$84)),0),IF(YEAR(E$3)=YEAR('New Hires Forecast'!$O$3),IF((E$5=12),(SUMPRODUCT(--('New Hires Forecast'!$F$5:$F$84="Marketing"),--('New Hires Forecast'!$H$5:$H$84&gt;=Marketing!E$3),'New Hires Forecast'!$O$5:$O$84,'New Hires Forecast'!$L$5:$L$84)),0),IF(YEAR(E$3)=YEAR('New Hires Forecast'!$P$3),IF((E$5=12),(SUMPRODUCT(--('New Hires Forecast'!$F$5:$F$84="Marketing"),--('New Hires Forecast'!$H$5:$H$84&gt;=Marketing!E$3),'New Hires Forecast'!$P$5:$P$84,'New Hires Forecast'!$L$5:$L$84)),0),IF(YEAR(E$3)=YEAR('New Hires Forecast'!$Q$3),IF((E$5=12),(SUMPRODUCT(--('New Hires Forecast'!$F$5:$F$84="Marketing"),--('New Hires Forecast'!$H$5:$H$84&gt;=Marketing!E$3),'New Hires Forecast'!$Q$5:$Q$84,'New Hires Forecast'!$L$5:$L$84)),0),IF(YEAR(E$3)=YEAR('New Hires Forecast'!$R$3),IF((E$5=12),(SUMPRODUCT(--('New Hires Forecast'!$F$5:$F$84="Marketing"),--('New Hires Forecast'!$H$5:$H$84&gt;=Marketing!E$3),'New Hires Forecast'!$R$5:$R$84,'New Hires Forecast'!$L$5:$L$84)),0),"New Year"))))),0)</f>
        <v>0</v>
      </c>
      <c r="F15" s="684">
        <f>IF(F$4="forecast",IF(YEAR(F$3)=YEAR('New Hires Forecast'!$N$3),IF((F$5=12),(SUMPRODUCT(--('New Hires Forecast'!$F$5:$F$84="Marketing"),--('New Hires Forecast'!$H$5:$H$84&gt;=Marketing!F$3),'New Hires Forecast'!$N$5:$N$84,'New Hires Forecast'!$L$5:$L$84)),0),IF(YEAR(F$3)=YEAR('New Hires Forecast'!$O$3),IF((F$5=12),(SUMPRODUCT(--('New Hires Forecast'!$F$5:$F$84="Marketing"),--('New Hires Forecast'!$H$5:$H$84&gt;=Marketing!F$3),'New Hires Forecast'!$O$5:$O$84,'New Hires Forecast'!$L$5:$L$84)),0),IF(YEAR(F$3)=YEAR('New Hires Forecast'!$P$3),IF((F$5=12),(SUMPRODUCT(--('New Hires Forecast'!$F$5:$F$84="Marketing"),--('New Hires Forecast'!$H$5:$H$84&gt;=Marketing!F$3),'New Hires Forecast'!$P$5:$P$84,'New Hires Forecast'!$L$5:$L$84)),0),IF(YEAR(F$3)=YEAR('New Hires Forecast'!$Q$3),IF((F$5=12),(SUMPRODUCT(--('New Hires Forecast'!$F$5:$F$84="Marketing"),--('New Hires Forecast'!$H$5:$H$84&gt;=Marketing!F$3),'New Hires Forecast'!$Q$5:$Q$84,'New Hires Forecast'!$L$5:$L$84)),0),IF(YEAR(F$3)=YEAR('New Hires Forecast'!$R$3),IF((F$5=12),(SUMPRODUCT(--('New Hires Forecast'!$F$5:$F$84="Marketing"),--('New Hires Forecast'!$H$5:$H$84&gt;=Marketing!F$3),'New Hires Forecast'!$R$5:$R$84,'New Hires Forecast'!$L$5:$L$84)),0),"New Year"))))),0)</f>
        <v>0</v>
      </c>
      <c r="G15" s="684">
        <f>IF(G$4="forecast",IF(YEAR(G$3)=YEAR('New Hires Forecast'!$N$3),IF((G$5=12),(SUMPRODUCT(--('New Hires Forecast'!$F$5:$F$84="Marketing"),--('New Hires Forecast'!$H$5:$H$84&gt;=Marketing!G$3),'New Hires Forecast'!$N$5:$N$84,'New Hires Forecast'!$L$5:$L$84)),0),IF(YEAR(G$3)=YEAR('New Hires Forecast'!$O$3),IF((G$5=12),(SUMPRODUCT(--('New Hires Forecast'!$F$5:$F$84="Marketing"),--('New Hires Forecast'!$H$5:$H$84&gt;=Marketing!G$3),'New Hires Forecast'!$O$5:$O$84,'New Hires Forecast'!$L$5:$L$84)),0),IF(YEAR(G$3)=YEAR('New Hires Forecast'!$P$3),IF((G$5=12),(SUMPRODUCT(--('New Hires Forecast'!$F$5:$F$84="Marketing"),--('New Hires Forecast'!$H$5:$H$84&gt;=Marketing!G$3),'New Hires Forecast'!$P$5:$P$84,'New Hires Forecast'!$L$5:$L$84)),0),IF(YEAR(G$3)=YEAR('New Hires Forecast'!$Q$3),IF((G$5=12),(SUMPRODUCT(--('New Hires Forecast'!$F$5:$F$84="Marketing"),--('New Hires Forecast'!$H$5:$H$84&gt;=Marketing!G$3),'New Hires Forecast'!$Q$5:$Q$84,'New Hires Forecast'!$L$5:$L$84)),0),IF(YEAR(G$3)=YEAR('New Hires Forecast'!$R$3),IF((G$5=12),(SUMPRODUCT(--('New Hires Forecast'!$F$5:$F$84="Marketing"),--('New Hires Forecast'!$H$5:$H$84&gt;=Marketing!G$3),'New Hires Forecast'!$R$5:$R$84,'New Hires Forecast'!$L$5:$L$84)),0),"New Year"))))),0)</f>
        <v>0</v>
      </c>
      <c r="H15" s="684">
        <f>IF(H$4="forecast",IF(YEAR(H$3)=YEAR('New Hires Forecast'!$N$3),IF((H$5=12),(SUMPRODUCT(--('New Hires Forecast'!$F$5:$F$84="Marketing"),--('New Hires Forecast'!$H$5:$H$84&gt;=Marketing!H$3),'New Hires Forecast'!$N$5:$N$84,'New Hires Forecast'!$L$5:$L$84)),0),IF(YEAR(H$3)=YEAR('New Hires Forecast'!$O$3),IF((H$5=12),(SUMPRODUCT(--('New Hires Forecast'!$F$5:$F$84="Marketing"),--('New Hires Forecast'!$H$5:$H$84&gt;=Marketing!H$3),'New Hires Forecast'!$O$5:$O$84,'New Hires Forecast'!$L$5:$L$84)),0),IF(YEAR(H$3)=YEAR('New Hires Forecast'!$P$3),IF((H$5=12),(SUMPRODUCT(--('New Hires Forecast'!$F$5:$F$84="Marketing"),--('New Hires Forecast'!$H$5:$H$84&gt;=Marketing!H$3),'New Hires Forecast'!$P$5:$P$84,'New Hires Forecast'!$L$5:$L$84)),0),IF(YEAR(H$3)=YEAR('New Hires Forecast'!$Q$3),IF((H$5=12),(SUMPRODUCT(--('New Hires Forecast'!$F$5:$F$84="Marketing"),--('New Hires Forecast'!$H$5:$H$84&gt;=Marketing!H$3),'New Hires Forecast'!$Q$5:$Q$84,'New Hires Forecast'!$L$5:$L$84)),0),IF(YEAR(H$3)=YEAR('New Hires Forecast'!$R$3),IF((H$5=12),(SUMPRODUCT(--('New Hires Forecast'!$F$5:$F$84="Marketing"),--('New Hires Forecast'!$H$5:$H$84&gt;=Marketing!H$3),'New Hires Forecast'!$R$5:$R$84,'New Hires Forecast'!$L$5:$L$84)),0),"New Year"))))),0)</f>
        <v>0</v>
      </c>
      <c r="I15" s="684">
        <f>IF(I$4="forecast",IF(YEAR(I$3)=YEAR('New Hires Forecast'!$N$3),IF((I$5=12),(SUMPRODUCT(--('New Hires Forecast'!$F$5:$F$84="Marketing"),--('New Hires Forecast'!$H$5:$H$84&gt;=Marketing!I$3),'New Hires Forecast'!$N$5:$N$84,'New Hires Forecast'!$L$5:$L$84)),0),IF(YEAR(I$3)=YEAR('New Hires Forecast'!$O$3),IF((I$5=12),(SUMPRODUCT(--('New Hires Forecast'!$F$5:$F$84="Marketing"),--('New Hires Forecast'!$H$5:$H$84&gt;=Marketing!I$3),'New Hires Forecast'!$O$5:$O$84,'New Hires Forecast'!$L$5:$L$84)),0),IF(YEAR(I$3)=YEAR('New Hires Forecast'!$P$3),IF((I$5=12),(SUMPRODUCT(--('New Hires Forecast'!$F$5:$F$84="Marketing"),--('New Hires Forecast'!$H$5:$H$84&gt;=Marketing!I$3),'New Hires Forecast'!$P$5:$P$84,'New Hires Forecast'!$L$5:$L$84)),0),IF(YEAR(I$3)=YEAR('New Hires Forecast'!$Q$3),IF((I$5=12),(SUMPRODUCT(--('New Hires Forecast'!$F$5:$F$84="Marketing"),--('New Hires Forecast'!$H$5:$H$84&gt;=Marketing!I$3),'New Hires Forecast'!$Q$5:$Q$84,'New Hires Forecast'!$L$5:$L$84)),0),IF(YEAR(I$3)=YEAR('New Hires Forecast'!$R$3),IF((I$5=12),(SUMPRODUCT(--('New Hires Forecast'!$F$5:$F$84="Marketing"),--('New Hires Forecast'!$H$5:$H$84&gt;=Marketing!I$3),'New Hires Forecast'!$R$5:$R$84,'New Hires Forecast'!$L$5:$L$84)),0),"New Year"))))),0)</f>
        <v>0</v>
      </c>
      <c r="J15" s="684">
        <f>IF(J$4="forecast",IF(YEAR(J$3)=YEAR('New Hires Forecast'!$N$3),IF((J$5=12),(SUMPRODUCT(--('New Hires Forecast'!$F$5:$F$84="Marketing"),--('New Hires Forecast'!$H$5:$H$84&gt;=Marketing!J$3),'New Hires Forecast'!$N$5:$N$84,'New Hires Forecast'!$L$5:$L$84)),0),IF(YEAR(J$3)=YEAR('New Hires Forecast'!$O$3),IF((J$5=12),(SUMPRODUCT(--('New Hires Forecast'!$F$5:$F$84="Marketing"),--('New Hires Forecast'!$H$5:$H$84&gt;=Marketing!J$3),'New Hires Forecast'!$O$5:$O$84,'New Hires Forecast'!$L$5:$L$84)),0),IF(YEAR(J$3)=YEAR('New Hires Forecast'!$P$3),IF((J$5=12),(SUMPRODUCT(--('New Hires Forecast'!$F$5:$F$84="Marketing"),--('New Hires Forecast'!$H$5:$H$84&gt;=Marketing!J$3),'New Hires Forecast'!$P$5:$P$84,'New Hires Forecast'!$L$5:$L$84)),0),IF(YEAR(J$3)=YEAR('New Hires Forecast'!$Q$3),IF((J$5=12),(SUMPRODUCT(--('New Hires Forecast'!$F$5:$F$84="Marketing"),--('New Hires Forecast'!$H$5:$H$84&gt;=Marketing!J$3),'New Hires Forecast'!$Q$5:$Q$84,'New Hires Forecast'!$L$5:$L$84)),0),IF(YEAR(J$3)=YEAR('New Hires Forecast'!$R$3),IF((J$5=12),(SUMPRODUCT(--('New Hires Forecast'!$F$5:$F$84="Marketing"),--('New Hires Forecast'!$H$5:$H$84&gt;=Marketing!J$3),'New Hires Forecast'!$R$5:$R$84,'New Hires Forecast'!$L$5:$L$84)),0),"New Year"))))),0)</f>
        <v>0</v>
      </c>
      <c r="K15" s="684">
        <f>IF(K$4="forecast",IF(YEAR(K$3)=YEAR('New Hires Forecast'!$N$3),IF((K$5=12),(SUMPRODUCT(--('New Hires Forecast'!$F$5:$F$84="Marketing"),--('New Hires Forecast'!$H$5:$H$84&gt;=Marketing!K$3),'New Hires Forecast'!$N$5:$N$84,'New Hires Forecast'!$L$5:$L$84)),0),IF(YEAR(K$3)=YEAR('New Hires Forecast'!$O$3),IF((K$5=12),(SUMPRODUCT(--('New Hires Forecast'!$F$5:$F$84="Marketing"),--('New Hires Forecast'!$H$5:$H$84&gt;=Marketing!K$3),'New Hires Forecast'!$O$5:$O$84,'New Hires Forecast'!$L$5:$L$84)),0),IF(YEAR(K$3)=YEAR('New Hires Forecast'!$P$3),IF((K$5=12),(SUMPRODUCT(--('New Hires Forecast'!$F$5:$F$84="Marketing"),--('New Hires Forecast'!$H$5:$H$84&gt;=Marketing!K$3),'New Hires Forecast'!$P$5:$P$84,'New Hires Forecast'!$L$5:$L$84)),0),IF(YEAR(K$3)=YEAR('New Hires Forecast'!$Q$3),IF((K$5=12),(SUMPRODUCT(--('New Hires Forecast'!$F$5:$F$84="Marketing"),--('New Hires Forecast'!$H$5:$H$84&gt;=Marketing!K$3),'New Hires Forecast'!$Q$5:$Q$84,'New Hires Forecast'!$L$5:$L$84)),0),IF(YEAR(K$3)=YEAR('New Hires Forecast'!$R$3),IF((K$5=12),(SUMPRODUCT(--('New Hires Forecast'!$F$5:$F$84="Marketing"),--('New Hires Forecast'!$H$5:$H$84&gt;=Marketing!K$3),'New Hires Forecast'!$R$5:$R$84,'New Hires Forecast'!$L$5:$L$84)),0),"New Year"))))),0)</f>
        <v>0</v>
      </c>
      <c r="L15" s="684">
        <f>IF(L$4="forecast",IF(YEAR(L$3)=YEAR('New Hires Forecast'!$N$3),IF((L$5=12),(SUMPRODUCT(--('New Hires Forecast'!$F$5:$F$84="Marketing"),--('New Hires Forecast'!$H$5:$H$84&gt;=Marketing!L$3),'New Hires Forecast'!$N$5:$N$84,'New Hires Forecast'!$L$5:$L$84)),0),IF(YEAR(L$3)=YEAR('New Hires Forecast'!$O$3),IF((L$5=12),(SUMPRODUCT(--('New Hires Forecast'!$F$5:$F$84="Marketing"),--('New Hires Forecast'!$H$5:$H$84&gt;=Marketing!L$3),'New Hires Forecast'!$O$5:$O$84,'New Hires Forecast'!$L$5:$L$84)),0),IF(YEAR(L$3)=YEAR('New Hires Forecast'!$P$3),IF((L$5=12),(SUMPRODUCT(--('New Hires Forecast'!$F$5:$F$84="Marketing"),--('New Hires Forecast'!$H$5:$H$84&gt;=Marketing!L$3),'New Hires Forecast'!$P$5:$P$84,'New Hires Forecast'!$L$5:$L$84)),0),IF(YEAR(L$3)=YEAR('New Hires Forecast'!$Q$3),IF((L$5=12),(SUMPRODUCT(--('New Hires Forecast'!$F$5:$F$84="Marketing"),--('New Hires Forecast'!$H$5:$H$84&gt;=Marketing!L$3),'New Hires Forecast'!$Q$5:$Q$84,'New Hires Forecast'!$L$5:$L$84)),0),IF(YEAR(L$3)=YEAR('New Hires Forecast'!$R$3),IF((L$5=12),(SUMPRODUCT(--('New Hires Forecast'!$F$5:$F$84="Marketing"),--('New Hires Forecast'!$H$5:$H$84&gt;=Marketing!L$3),'New Hires Forecast'!$R$5:$R$84,'New Hires Forecast'!$L$5:$L$84)),0),"New Year"))))),0)</f>
        <v>0</v>
      </c>
      <c r="M15" s="684">
        <f>IF(M$4="forecast",IF(YEAR(M$3)=YEAR('New Hires Forecast'!$N$3),IF((M$5=12),(SUMPRODUCT(--('New Hires Forecast'!$F$5:$F$84="Marketing"),--('New Hires Forecast'!$H$5:$H$84&gt;=Marketing!M$3),'New Hires Forecast'!$N$5:$N$84,'New Hires Forecast'!$L$5:$L$84)),0),IF(YEAR(M$3)=YEAR('New Hires Forecast'!$O$3),IF((M$5=12),(SUMPRODUCT(--('New Hires Forecast'!$F$5:$F$84="Marketing"),--('New Hires Forecast'!$H$5:$H$84&gt;=Marketing!M$3),'New Hires Forecast'!$O$5:$O$84,'New Hires Forecast'!$L$5:$L$84)),0),IF(YEAR(M$3)=YEAR('New Hires Forecast'!$P$3),IF((M$5=12),(SUMPRODUCT(--('New Hires Forecast'!$F$5:$F$84="Marketing"),--('New Hires Forecast'!$H$5:$H$84&gt;=Marketing!M$3),'New Hires Forecast'!$P$5:$P$84,'New Hires Forecast'!$L$5:$L$84)),0),IF(YEAR(M$3)=YEAR('New Hires Forecast'!$Q$3),IF((M$5=12),(SUMPRODUCT(--('New Hires Forecast'!$F$5:$F$84="Marketing"),--('New Hires Forecast'!$H$5:$H$84&gt;=Marketing!M$3),'New Hires Forecast'!$Q$5:$Q$84,'New Hires Forecast'!$L$5:$L$84)),0),IF(YEAR(M$3)=YEAR('New Hires Forecast'!$R$3),IF((M$5=12),(SUMPRODUCT(--('New Hires Forecast'!$F$5:$F$84="Marketing"),--('New Hires Forecast'!$H$5:$H$84&gt;=Marketing!M$3),'New Hires Forecast'!$R$5:$R$84,'New Hires Forecast'!$L$5:$L$84)),0),"New Year"))))),0)</f>
        <v>0</v>
      </c>
      <c r="N15" s="684">
        <f>IF(N$4="forecast",IF(YEAR(N$3)=YEAR('New Hires Forecast'!$N$3),IF((N$5=12),(SUMPRODUCT(--('New Hires Forecast'!$F$5:$F$84="Marketing"),--('New Hires Forecast'!$H$5:$H$84&gt;=Marketing!N$3),'New Hires Forecast'!$N$5:$N$84,'New Hires Forecast'!$L$5:$L$84)),0),IF(YEAR(N$3)=YEAR('New Hires Forecast'!$O$3),IF((N$5=12),(SUMPRODUCT(--('New Hires Forecast'!$F$5:$F$84="Marketing"),--('New Hires Forecast'!$H$5:$H$84&gt;=Marketing!N$3),'New Hires Forecast'!$O$5:$O$84,'New Hires Forecast'!$L$5:$L$84)),0),IF(YEAR(N$3)=YEAR('New Hires Forecast'!$P$3),IF((N$5=12),(SUMPRODUCT(--('New Hires Forecast'!$F$5:$F$84="Marketing"),--('New Hires Forecast'!$H$5:$H$84&gt;=Marketing!N$3),'New Hires Forecast'!$P$5:$P$84,'New Hires Forecast'!$L$5:$L$84)),0),IF(YEAR(N$3)=YEAR('New Hires Forecast'!$Q$3),IF((N$5=12),(SUMPRODUCT(--('New Hires Forecast'!$F$5:$F$84="Marketing"),--('New Hires Forecast'!$H$5:$H$84&gt;=Marketing!N$3),'New Hires Forecast'!$Q$5:$Q$84,'New Hires Forecast'!$L$5:$L$84)),0),IF(YEAR(N$3)=YEAR('New Hires Forecast'!$R$3),IF((N$5=12),(SUMPRODUCT(--('New Hires Forecast'!$F$5:$F$84="Marketing"),--('New Hires Forecast'!$H$5:$H$84&gt;=Marketing!N$3),'New Hires Forecast'!$R$5:$R$84,'New Hires Forecast'!$L$5:$L$84)),0),"New Year"))))),0)</f>
        <v>0</v>
      </c>
      <c r="O15" s="684">
        <f>IF(O$4="forecast",IF(YEAR(O$3)=YEAR('New Hires Forecast'!$N$3),IF((O$5=12),(SUMPRODUCT(--('New Hires Forecast'!$F$5:$F$84="Marketing"),--('New Hires Forecast'!$H$5:$H$84&gt;=Marketing!O$3),'New Hires Forecast'!$N$5:$N$84,'New Hires Forecast'!$L$5:$L$84)),0),IF(YEAR(O$3)=YEAR('New Hires Forecast'!$O$3),IF((O$5=12),(SUMPRODUCT(--('New Hires Forecast'!$F$5:$F$84="Marketing"),--('New Hires Forecast'!$H$5:$H$84&gt;=Marketing!O$3),'New Hires Forecast'!$O$5:$O$84,'New Hires Forecast'!$L$5:$L$84)),0),IF(YEAR(O$3)=YEAR('New Hires Forecast'!$P$3),IF((O$5=12),(SUMPRODUCT(--('New Hires Forecast'!$F$5:$F$84="Marketing"),--('New Hires Forecast'!$H$5:$H$84&gt;=Marketing!O$3),'New Hires Forecast'!$P$5:$P$84,'New Hires Forecast'!$L$5:$L$84)),0),IF(YEAR(O$3)=YEAR('New Hires Forecast'!$Q$3),IF((O$5=12),(SUMPRODUCT(--('New Hires Forecast'!$F$5:$F$84="Marketing"),--('New Hires Forecast'!$H$5:$H$84&gt;=Marketing!O$3),'New Hires Forecast'!$Q$5:$Q$84,'New Hires Forecast'!$L$5:$L$84)),0),IF(YEAR(O$3)=YEAR('New Hires Forecast'!$R$3),IF((O$5=12),(SUMPRODUCT(--('New Hires Forecast'!$F$5:$F$84="Marketing"),--('New Hires Forecast'!$H$5:$H$84&gt;=Marketing!O$3),'New Hires Forecast'!$R$5:$R$84,'New Hires Forecast'!$L$5:$L$84)),0),"New Year"))))),0)</f>
        <v>0</v>
      </c>
      <c r="P15" s="684">
        <f>IF(P$4="forecast",IF(YEAR(P$3)=YEAR('New Hires Forecast'!$N$3),IF((P$5=12),(SUMPRODUCT(--('New Hires Forecast'!$F$5:$F$84="Marketing"),--('New Hires Forecast'!$H$5:$H$84&gt;=Marketing!P$3),'New Hires Forecast'!$N$5:$N$84,'New Hires Forecast'!$L$5:$L$84)),0),IF(YEAR(P$3)=YEAR('New Hires Forecast'!$O$3),IF((P$5=12),(SUMPRODUCT(--('New Hires Forecast'!$F$5:$F$84="Marketing"),--('New Hires Forecast'!$H$5:$H$84&gt;=Marketing!P$3),'New Hires Forecast'!$O$5:$O$84,'New Hires Forecast'!$L$5:$L$84)),0),IF(YEAR(P$3)=YEAR('New Hires Forecast'!$P$3),IF((P$5=12),(SUMPRODUCT(--('New Hires Forecast'!$F$5:$F$84="Marketing"),--('New Hires Forecast'!$H$5:$H$84&gt;=Marketing!P$3),'New Hires Forecast'!$P$5:$P$84,'New Hires Forecast'!$L$5:$L$84)),0),IF(YEAR(P$3)=YEAR('New Hires Forecast'!$Q$3),IF((P$5=12),(SUMPRODUCT(--('New Hires Forecast'!$F$5:$F$84="Marketing"),--('New Hires Forecast'!$H$5:$H$84&gt;=Marketing!P$3),'New Hires Forecast'!$Q$5:$Q$84,'New Hires Forecast'!$L$5:$L$84)),0),IF(YEAR(P$3)=YEAR('New Hires Forecast'!$R$3),IF((P$5=12),(SUMPRODUCT(--('New Hires Forecast'!$F$5:$F$84="Marketing"),--('New Hires Forecast'!$H$5:$H$84&gt;=Marketing!P$3),'New Hires Forecast'!$R$5:$R$84,'New Hires Forecast'!$L$5:$L$84)),0),"New Year"))))),0)</f>
        <v>0</v>
      </c>
      <c r="Q15" s="684">
        <f>IF(Q$4="forecast",IF(YEAR(Q$3)=YEAR('New Hires Forecast'!$N$3),IF((Q$5=12),(SUMPRODUCT(--('New Hires Forecast'!$F$5:$F$84="Marketing"),--('New Hires Forecast'!$H$5:$H$84&gt;=Marketing!Q$3),'New Hires Forecast'!$N$5:$N$84,'New Hires Forecast'!$L$5:$L$84)),0),IF(YEAR(Q$3)=YEAR('New Hires Forecast'!$O$3),IF((Q$5=12),(SUMPRODUCT(--('New Hires Forecast'!$F$5:$F$84="Marketing"),--('New Hires Forecast'!$H$5:$H$84&gt;=Marketing!Q$3),'New Hires Forecast'!$O$5:$O$84,'New Hires Forecast'!$L$5:$L$84)),0),IF(YEAR(Q$3)=YEAR('New Hires Forecast'!$P$3),IF((Q$5=12),(SUMPRODUCT(--('New Hires Forecast'!$F$5:$F$84="Marketing"),--('New Hires Forecast'!$H$5:$H$84&gt;=Marketing!Q$3),'New Hires Forecast'!$P$5:$P$84,'New Hires Forecast'!$L$5:$L$84)),0),IF(YEAR(Q$3)=YEAR('New Hires Forecast'!$Q$3),IF((Q$5=12),(SUMPRODUCT(--('New Hires Forecast'!$F$5:$F$84="Marketing"),--('New Hires Forecast'!$H$5:$H$84&gt;=Marketing!Q$3),'New Hires Forecast'!$Q$5:$Q$84,'New Hires Forecast'!$L$5:$L$84)),0),IF(YEAR(Q$3)=YEAR('New Hires Forecast'!$R$3),IF((Q$5=12),(SUMPRODUCT(--('New Hires Forecast'!$F$5:$F$84="Marketing"),--('New Hires Forecast'!$H$5:$H$84&gt;=Marketing!Q$3),'New Hires Forecast'!$R$5:$R$84,'New Hires Forecast'!$L$5:$L$84)),0),"New Year"))))),0)</f>
        <v>0</v>
      </c>
      <c r="R15" s="684">
        <f>IF(R$4="forecast",IF(YEAR(R$3)=YEAR('New Hires Forecast'!$N$3),IF((R$5=12),(SUMPRODUCT(--('New Hires Forecast'!$F$5:$F$84="Marketing"),--('New Hires Forecast'!$H$5:$H$84&gt;=Marketing!R$3),'New Hires Forecast'!$N$5:$N$84,'New Hires Forecast'!$L$5:$L$84)),0),IF(YEAR(R$3)=YEAR('New Hires Forecast'!$O$3),IF((R$5=12),(SUMPRODUCT(--('New Hires Forecast'!$F$5:$F$84="Marketing"),--('New Hires Forecast'!$H$5:$H$84&gt;=Marketing!R$3),'New Hires Forecast'!$O$5:$O$84,'New Hires Forecast'!$L$5:$L$84)),0),IF(YEAR(R$3)=YEAR('New Hires Forecast'!$P$3),IF((R$5=12),(SUMPRODUCT(--('New Hires Forecast'!$F$5:$F$84="Marketing"),--('New Hires Forecast'!$H$5:$H$84&gt;=Marketing!R$3),'New Hires Forecast'!$P$5:$P$84,'New Hires Forecast'!$L$5:$L$84)),0),IF(YEAR(R$3)=YEAR('New Hires Forecast'!$Q$3),IF((R$5=12),(SUMPRODUCT(--('New Hires Forecast'!$F$5:$F$84="Marketing"),--('New Hires Forecast'!$H$5:$H$84&gt;=Marketing!R$3),'New Hires Forecast'!$Q$5:$Q$84,'New Hires Forecast'!$L$5:$L$84)),0),IF(YEAR(R$3)=YEAR('New Hires Forecast'!$R$3),IF((R$5=12),(SUMPRODUCT(--('New Hires Forecast'!$F$5:$F$84="Marketing"),--('New Hires Forecast'!$H$5:$H$84&gt;=Marketing!R$3),'New Hires Forecast'!$R$5:$R$84,'New Hires Forecast'!$L$5:$L$84)),0),"New Year"))))),0)</f>
        <v>0</v>
      </c>
      <c r="S15" s="684">
        <f>IF(S$4="forecast",IF(YEAR(S$3)=YEAR('New Hires Forecast'!$N$3),IF((S$5=12),(SUMPRODUCT(--('New Hires Forecast'!$F$5:$F$84="Marketing"),--('New Hires Forecast'!$H$5:$H$84&gt;=Marketing!S$3),'New Hires Forecast'!$N$5:$N$84,'New Hires Forecast'!$L$5:$L$84)),0),IF(YEAR(S$3)=YEAR('New Hires Forecast'!$O$3),IF((S$5=12),(SUMPRODUCT(--('New Hires Forecast'!$F$5:$F$84="Marketing"),--('New Hires Forecast'!$H$5:$H$84&gt;=Marketing!S$3),'New Hires Forecast'!$O$5:$O$84,'New Hires Forecast'!$L$5:$L$84)),0),IF(YEAR(S$3)=YEAR('New Hires Forecast'!$P$3),IF((S$5=12),(SUMPRODUCT(--('New Hires Forecast'!$F$5:$F$84="Marketing"),--('New Hires Forecast'!$H$5:$H$84&gt;=Marketing!S$3),'New Hires Forecast'!$P$5:$P$84,'New Hires Forecast'!$L$5:$L$84)),0),IF(YEAR(S$3)=YEAR('New Hires Forecast'!$Q$3),IF((S$5=12),(SUMPRODUCT(--('New Hires Forecast'!$F$5:$F$84="Marketing"),--('New Hires Forecast'!$H$5:$H$84&gt;=Marketing!S$3),'New Hires Forecast'!$Q$5:$Q$84,'New Hires Forecast'!$L$5:$L$84)),0),IF(YEAR(S$3)=YEAR('New Hires Forecast'!$R$3),IF((S$5=12),(SUMPRODUCT(--('New Hires Forecast'!$F$5:$F$84="Marketing"),--('New Hires Forecast'!$H$5:$H$84&gt;=Marketing!S$3),'New Hires Forecast'!$R$5:$R$84,'New Hires Forecast'!$L$5:$L$84)),0),"New Year"))))),0)</f>
        <v>0</v>
      </c>
      <c r="T15" s="684">
        <f>IF(T$4="forecast",IF(YEAR(T$3)=YEAR('New Hires Forecast'!$N$3),IF((T$5=12),(SUMPRODUCT(--('New Hires Forecast'!$F$5:$F$84="Marketing"),--('New Hires Forecast'!$H$5:$H$84&gt;=Marketing!T$3),'New Hires Forecast'!$N$5:$N$84,'New Hires Forecast'!$L$5:$L$84)),0),IF(YEAR(T$3)=YEAR('New Hires Forecast'!$O$3),IF((T$5=12),(SUMPRODUCT(--('New Hires Forecast'!$F$5:$F$84="Marketing"),--('New Hires Forecast'!$H$5:$H$84&gt;=Marketing!T$3),'New Hires Forecast'!$O$5:$O$84,'New Hires Forecast'!$L$5:$L$84)),0),IF(YEAR(T$3)=YEAR('New Hires Forecast'!$P$3),IF((T$5=12),(SUMPRODUCT(--('New Hires Forecast'!$F$5:$F$84="Marketing"),--('New Hires Forecast'!$H$5:$H$84&gt;=Marketing!T$3),'New Hires Forecast'!$P$5:$P$84,'New Hires Forecast'!$L$5:$L$84)),0),IF(YEAR(T$3)=YEAR('New Hires Forecast'!$Q$3),IF((T$5=12),(SUMPRODUCT(--('New Hires Forecast'!$F$5:$F$84="Marketing"),--('New Hires Forecast'!$H$5:$H$84&gt;=Marketing!T$3),'New Hires Forecast'!$Q$5:$Q$84,'New Hires Forecast'!$L$5:$L$84)),0),IF(YEAR(T$3)=YEAR('New Hires Forecast'!$R$3),IF((T$5=12),(SUMPRODUCT(--('New Hires Forecast'!$F$5:$F$84="Marketing"),--('New Hires Forecast'!$H$5:$H$84&gt;=Marketing!T$3),'New Hires Forecast'!$R$5:$R$84,'New Hires Forecast'!$L$5:$L$84)),0),"New Year"))))),0)</f>
        <v>0</v>
      </c>
      <c r="U15" s="684">
        <f>IF(U$4="forecast",IF(YEAR(U$3)=YEAR('New Hires Forecast'!$N$3),IF((U$5=12),(SUMPRODUCT(--('New Hires Forecast'!$F$5:$F$84="Marketing"),--('New Hires Forecast'!$H$5:$H$84&gt;=Marketing!U$3),'New Hires Forecast'!$N$5:$N$84,'New Hires Forecast'!$L$5:$L$84)),0),IF(YEAR(U$3)=YEAR('New Hires Forecast'!$O$3),IF((U$5=12),(SUMPRODUCT(--('New Hires Forecast'!$F$5:$F$84="Marketing"),--('New Hires Forecast'!$H$5:$H$84&gt;=Marketing!U$3),'New Hires Forecast'!$O$5:$O$84,'New Hires Forecast'!$L$5:$L$84)),0),IF(YEAR(U$3)=YEAR('New Hires Forecast'!$P$3),IF((U$5=12),(SUMPRODUCT(--('New Hires Forecast'!$F$5:$F$84="Marketing"),--('New Hires Forecast'!$H$5:$H$84&gt;=Marketing!U$3),'New Hires Forecast'!$P$5:$P$84,'New Hires Forecast'!$L$5:$L$84)),0),IF(YEAR(U$3)=YEAR('New Hires Forecast'!$Q$3),IF((U$5=12),(SUMPRODUCT(--('New Hires Forecast'!$F$5:$F$84="Marketing"),--('New Hires Forecast'!$H$5:$H$84&gt;=Marketing!U$3),'New Hires Forecast'!$Q$5:$Q$84,'New Hires Forecast'!$L$5:$L$84)),0),IF(YEAR(U$3)=YEAR('New Hires Forecast'!$R$3),IF((U$5=12),(SUMPRODUCT(--('New Hires Forecast'!$F$5:$F$84="Marketing"),--('New Hires Forecast'!$H$5:$H$84&gt;=Marketing!U$3),'New Hires Forecast'!$R$5:$R$84,'New Hires Forecast'!$L$5:$L$84)),0),"New Year"))))),0)</f>
        <v>0</v>
      </c>
      <c r="V15" s="684">
        <f>IF(V$4="forecast",IF(YEAR(V$3)=YEAR('New Hires Forecast'!$N$3),IF((V$5=12),(SUMPRODUCT(--('New Hires Forecast'!$F$5:$F$84="Marketing"),--('New Hires Forecast'!$H$5:$H$84&gt;=Marketing!V$3),'New Hires Forecast'!$N$5:$N$84,'New Hires Forecast'!$L$5:$L$84)),0),IF(YEAR(V$3)=YEAR('New Hires Forecast'!$O$3),IF((V$5=12),(SUMPRODUCT(--('New Hires Forecast'!$F$5:$F$84="Marketing"),--('New Hires Forecast'!$H$5:$H$84&gt;=Marketing!V$3),'New Hires Forecast'!$O$5:$O$84,'New Hires Forecast'!$L$5:$L$84)),0),IF(YEAR(V$3)=YEAR('New Hires Forecast'!$P$3),IF((V$5=12),(SUMPRODUCT(--('New Hires Forecast'!$F$5:$F$84="Marketing"),--('New Hires Forecast'!$H$5:$H$84&gt;=Marketing!V$3),'New Hires Forecast'!$P$5:$P$84,'New Hires Forecast'!$L$5:$L$84)),0),IF(YEAR(V$3)=YEAR('New Hires Forecast'!$Q$3),IF((V$5=12),(SUMPRODUCT(--('New Hires Forecast'!$F$5:$F$84="Marketing"),--('New Hires Forecast'!$H$5:$H$84&gt;=Marketing!V$3),'New Hires Forecast'!$Q$5:$Q$84,'New Hires Forecast'!$L$5:$L$84)),0),IF(YEAR(V$3)=YEAR('New Hires Forecast'!$R$3),IF((V$5=12),(SUMPRODUCT(--('New Hires Forecast'!$F$5:$F$84="Marketing"),--('New Hires Forecast'!$H$5:$H$84&gt;=Marketing!V$3),'New Hires Forecast'!$R$5:$R$84,'New Hires Forecast'!$L$5:$L$84)),0),"New Year"))))),0)</f>
        <v>0</v>
      </c>
      <c r="W15" s="684">
        <f>IF(W$4="forecast",IF(YEAR(W$3)=YEAR('New Hires Forecast'!$N$3),IF((W$5=12),(SUMPRODUCT(--('New Hires Forecast'!$F$5:$F$84="Marketing"),--('New Hires Forecast'!$H$5:$H$84&gt;=Marketing!W$3),'New Hires Forecast'!$N$5:$N$84,'New Hires Forecast'!$L$5:$L$84)),0),IF(YEAR(W$3)=YEAR('New Hires Forecast'!$O$3),IF((W$5=12),(SUMPRODUCT(--('New Hires Forecast'!$F$5:$F$84="Marketing"),--('New Hires Forecast'!$H$5:$H$84&gt;=Marketing!W$3),'New Hires Forecast'!$O$5:$O$84,'New Hires Forecast'!$L$5:$L$84)),0),IF(YEAR(W$3)=YEAR('New Hires Forecast'!$P$3),IF((W$5=12),(SUMPRODUCT(--('New Hires Forecast'!$F$5:$F$84="Marketing"),--('New Hires Forecast'!$H$5:$H$84&gt;=Marketing!W$3),'New Hires Forecast'!$P$5:$P$84,'New Hires Forecast'!$L$5:$L$84)),0),IF(YEAR(W$3)=YEAR('New Hires Forecast'!$Q$3),IF((W$5=12),(SUMPRODUCT(--('New Hires Forecast'!$F$5:$F$84="Marketing"),--('New Hires Forecast'!$H$5:$H$84&gt;=Marketing!W$3),'New Hires Forecast'!$Q$5:$Q$84,'New Hires Forecast'!$L$5:$L$84)),0),IF(YEAR(W$3)=YEAR('New Hires Forecast'!$R$3),IF((W$5=12),(SUMPRODUCT(--('New Hires Forecast'!$F$5:$F$84="Marketing"),--('New Hires Forecast'!$H$5:$H$84&gt;=Marketing!W$3),'New Hires Forecast'!$R$5:$R$84,'New Hires Forecast'!$L$5:$L$84)),0),"New Year"))))),0)</f>
        <v>0</v>
      </c>
      <c r="X15" s="684">
        <f>IF(X$4="forecast",IF(YEAR(X$3)=YEAR('New Hires Forecast'!$N$3),IF((X$5=12),(SUMPRODUCT(--('New Hires Forecast'!$F$5:$F$84="Marketing"),--('New Hires Forecast'!$H$5:$H$84&gt;=Marketing!X$3),'New Hires Forecast'!$N$5:$N$84,'New Hires Forecast'!$L$5:$L$84)),0),IF(YEAR(X$3)=YEAR('New Hires Forecast'!$O$3),IF((X$5=12),(SUMPRODUCT(--('New Hires Forecast'!$F$5:$F$84="Marketing"),--('New Hires Forecast'!$H$5:$H$84&gt;=Marketing!X$3),'New Hires Forecast'!$O$5:$O$84,'New Hires Forecast'!$L$5:$L$84)),0),IF(YEAR(X$3)=YEAR('New Hires Forecast'!$P$3),IF((X$5=12),(SUMPRODUCT(--('New Hires Forecast'!$F$5:$F$84="Marketing"),--('New Hires Forecast'!$H$5:$H$84&gt;=Marketing!X$3),'New Hires Forecast'!$P$5:$P$84,'New Hires Forecast'!$L$5:$L$84)),0),IF(YEAR(X$3)=YEAR('New Hires Forecast'!$Q$3),IF((X$5=12),(SUMPRODUCT(--('New Hires Forecast'!$F$5:$F$84="Marketing"),--('New Hires Forecast'!$H$5:$H$84&gt;=Marketing!X$3),'New Hires Forecast'!$Q$5:$Q$84,'New Hires Forecast'!$L$5:$L$84)),0),IF(YEAR(X$3)=YEAR('New Hires Forecast'!$R$3),IF((X$5=12),(SUMPRODUCT(--('New Hires Forecast'!$F$5:$F$84="Marketing"),--('New Hires Forecast'!$H$5:$H$84&gt;=Marketing!X$3),'New Hires Forecast'!$R$5:$R$84,'New Hires Forecast'!$L$5:$L$84)),0),"New Year"))))),0)</f>
        <v>0</v>
      </c>
      <c r="Y15" s="684">
        <f>IF(Y$4="forecast",IF(YEAR(Y$3)=YEAR('New Hires Forecast'!$N$3),IF((Y$5=12),(SUMPRODUCT(--('New Hires Forecast'!$F$5:$F$84="Marketing"),--('New Hires Forecast'!$H$5:$H$84&gt;=Marketing!Y$3),'New Hires Forecast'!$N$5:$N$84,'New Hires Forecast'!$L$5:$L$84)),0),IF(YEAR(Y$3)=YEAR('New Hires Forecast'!$O$3),IF((Y$5=12),(SUMPRODUCT(--('New Hires Forecast'!$F$5:$F$84="Marketing"),--('New Hires Forecast'!$H$5:$H$84&gt;=Marketing!Y$3),'New Hires Forecast'!$O$5:$O$84,'New Hires Forecast'!$L$5:$L$84)),0),IF(YEAR(Y$3)=YEAR('New Hires Forecast'!$P$3),IF((Y$5=12),(SUMPRODUCT(--('New Hires Forecast'!$F$5:$F$84="Marketing"),--('New Hires Forecast'!$H$5:$H$84&gt;=Marketing!Y$3),'New Hires Forecast'!$P$5:$P$84,'New Hires Forecast'!$L$5:$L$84)),0),IF(YEAR(Y$3)=YEAR('New Hires Forecast'!$Q$3),IF((Y$5=12),(SUMPRODUCT(--('New Hires Forecast'!$F$5:$F$84="Marketing"),--('New Hires Forecast'!$H$5:$H$84&gt;=Marketing!Y$3),'New Hires Forecast'!$Q$5:$Q$84,'New Hires Forecast'!$L$5:$L$84)),0),IF(YEAR(Y$3)=YEAR('New Hires Forecast'!$R$3),IF((Y$5=12),(SUMPRODUCT(--('New Hires Forecast'!$F$5:$F$84="Marketing"),--('New Hires Forecast'!$H$5:$H$84&gt;=Marketing!Y$3),'New Hires Forecast'!$R$5:$R$84,'New Hires Forecast'!$L$5:$L$84)),0),"New Year"))))),0)</f>
        <v>0</v>
      </c>
      <c r="Z15" s="684">
        <f>IF(Z$4="forecast",IF(YEAR(Z$3)=YEAR('New Hires Forecast'!$N$3),IF((Z$5=12),(SUMPRODUCT(--('New Hires Forecast'!$F$5:$F$84="Marketing"),--('New Hires Forecast'!$H$5:$H$84&gt;=Marketing!Z$3),'New Hires Forecast'!$N$5:$N$84,'New Hires Forecast'!$L$5:$L$84)),0),IF(YEAR(Z$3)=YEAR('New Hires Forecast'!$O$3),IF((Z$5=12),(SUMPRODUCT(--('New Hires Forecast'!$F$5:$F$84="Marketing"),--('New Hires Forecast'!$H$5:$H$84&gt;=Marketing!Z$3),'New Hires Forecast'!$O$5:$O$84,'New Hires Forecast'!$L$5:$L$84)),0),IF(YEAR(Z$3)=YEAR('New Hires Forecast'!$P$3),IF((Z$5=12),(SUMPRODUCT(--('New Hires Forecast'!$F$5:$F$84="Marketing"),--('New Hires Forecast'!$H$5:$H$84&gt;=Marketing!Z$3),'New Hires Forecast'!$P$5:$P$84,'New Hires Forecast'!$L$5:$L$84)),0),IF(YEAR(Z$3)=YEAR('New Hires Forecast'!$Q$3),IF((Z$5=12),(SUMPRODUCT(--('New Hires Forecast'!$F$5:$F$84="Marketing"),--('New Hires Forecast'!$H$5:$H$84&gt;=Marketing!Z$3),'New Hires Forecast'!$Q$5:$Q$84,'New Hires Forecast'!$L$5:$L$84)),0),IF(YEAR(Z$3)=YEAR('New Hires Forecast'!$R$3),IF((Z$5=12),(SUMPRODUCT(--('New Hires Forecast'!$F$5:$F$84="Marketing"),--('New Hires Forecast'!$H$5:$H$84&gt;=Marketing!Z$3),'New Hires Forecast'!$R$5:$R$84,'New Hires Forecast'!$L$5:$L$84)),0),"New Year"))))),0)</f>
        <v>0</v>
      </c>
      <c r="AA15" s="684">
        <f>IF(AA$4="forecast",IF(YEAR(AA$3)=YEAR('New Hires Forecast'!$N$3),IF((AA$5=12),(SUMPRODUCT(--('New Hires Forecast'!$F$5:$F$84="Marketing"),--('New Hires Forecast'!$H$5:$H$84&gt;=Marketing!AA$3),'New Hires Forecast'!$N$5:$N$84,'New Hires Forecast'!$L$5:$L$84)),0),IF(YEAR(AA$3)=YEAR('New Hires Forecast'!$O$3),IF((AA$5=12),(SUMPRODUCT(--('New Hires Forecast'!$F$5:$F$84="Marketing"),--('New Hires Forecast'!$H$5:$H$84&gt;=Marketing!AA$3),'New Hires Forecast'!$O$5:$O$84,'New Hires Forecast'!$L$5:$L$84)),0),IF(YEAR(AA$3)=YEAR('New Hires Forecast'!$P$3),IF((AA$5=12),(SUMPRODUCT(--('New Hires Forecast'!$F$5:$F$84="Marketing"),--('New Hires Forecast'!$H$5:$H$84&gt;=Marketing!AA$3),'New Hires Forecast'!$P$5:$P$84,'New Hires Forecast'!$L$5:$L$84)),0),IF(YEAR(AA$3)=YEAR('New Hires Forecast'!$Q$3),IF((AA$5=12),(SUMPRODUCT(--('New Hires Forecast'!$F$5:$F$84="Marketing"),--('New Hires Forecast'!$H$5:$H$84&gt;=Marketing!AA$3),'New Hires Forecast'!$Q$5:$Q$84,'New Hires Forecast'!$L$5:$L$84)),0),IF(YEAR(AA$3)=YEAR('New Hires Forecast'!$R$3),IF((AA$5=12),(SUMPRODUCT(--('New Hires Forecast'!$F$5:$F$84="Marketing"),--('New Hires Forecast'!$H$5:$H$84&gt;=Marketing!AA$3),'New Hires Forecast'!$R$5:$R$84,'New Hires Forecast'!$L$5:$L$84)),0),"New Year"))))),0)</f>
        <v>0</v>
      </c>
      <c r="AB15" s="684">
        <f>IF(AB$4="forecast",IF(YEAR(AB$3)=YEAR('New Hires Forecast'!$N$3),IF((AB$5=12),(SUMPRODUCT(--('New Hires Forecast'!$F$5:$F$84="Marketing"),--('New Hires Forecast'!$H$5:$H$84&gt;=Marketing!AB$3),'New Hires Forecast'!$N$5:$N$84,'New Hires Forecast'!$L$5:$L$84)),0),IF(YEAR(AB$3)=YEAR('New Hires Forecast'!$O$3),IF((AB$5=12),(SUMPRODUCT(--('New Hires Forecast'!$F$5:$F$84="Marketing"),--('New Hires Forecast'!$H$5:$H$84&gt;=Marketing!AB$3),'New Hires Forecast'!$O$5:$O$84,'New Hires Forecast'!$L$5:$L$84)),0),IF(YEAR(AB$3)=YEAR('New Hires Forecast'!$P$3),IF((AB$5=12),(SUMPRODUCT(--('New Hires Forecast'!$F$5:$F$84="Marketing"),--('New Hires Forecast'!$H$5:$H$84&gt;=Marketing!AB$3),'New Hires Forecast'!$P$5:$P$84,'New Hires Forecast'!$L$5:$L$84)),0),IF(YEAR(AB$3)=YEAR('New Hires Forecast'!$Q$3),IF((AB$5=12),(SUMPRODUCT(--('New Hires Forecast'!$F$5:$F$84="Marketing"),--('New Hires Forecast'!$H$5:$H$84&gt;=Marketing!AB$3),'New Hires Forecast'!$Q$5:$Q$84,'New Hires Forecast'!$L$5:$L$84)),0),IF(YEAR(AB$3)=YEAR('New Hires Forecast'!$R$3),IF((AB$5=12),(SUMPRODUCT(--('New Hires Forecast'!$F$5:$F$84="Marketing"),--('New Hires Forecast'!$H$5:$H$84&gt;=Marketing!AB$3),'New Hires Forecast'!$R$5:$R$84,'New Hires Forecast'!$L$5:$L$84)),0),"New Year"))))),0)</f>
        <v>0</v>
      </c>
      <c r="AC15" s="684">
        <f>IF(AC$4="forecast",IF(YEAR(AC$3)=YEAR('New Hires Forecast'!$N$3),IF((AC$5=12),(SUMPRODUCT(--('New Hires Forecast'!$F$5:$F$84="Marketing"),--('New Hires Forecast'!$H$5:$H$84&gt;=Marketing!AC$3),'New Hires Forecast'!$N$5:$N$84,'New Hires Forecast'!$L$5:$L$84)),0),IF(YEAR(AC$3)=YEAR('New Hires Forecast'!$O$3),IF((AC$5=12),(SUMPRODUCT(--('New Hires Forecast'!$F$5:$F$84="Marketing"),--('New Hires Forecast'!$H$5:$H$84&gt;=Marketing!AC$3),'New Hires Forecast'!$O$5:$O$84,'New Hires Forecast'!$L$5:$L$84)),0),IF(YEAR(AC$3)=YEAR('New Hires Forecast'!$P$3),IF((AC$5=12),(SUMPRODUCT(--('New Hires Forecast'!$F$5:$F$84="Marketing"),--('New Hires Forecast'!$H$5:$H$84&gt;=Marketing!AC$3),'New Hires Forecast'!$P$5:$P$84,'New Hires Forecast'!$L$5:$L$84)),0),IF(YEAR(AC$3)=YEAR('New Hires Forecast'!$Q$3),IF((AC$5=12),(SUMPRODUCT(--('New Hires Forecast'!$F$5:$F$84="Marketing"),--('New Hires Forecast'!$H$5:$H$84&gt;=Marketing!AC$3),'New Hires Forecast'!$Q$5:$Q$84,'New Hires Forecast'!$L$5:$L$84)),0),IF(YEAR(AC$3)=YEAR('New Hires Forecast'!$R$3),IF((AC$5=12),(SUMPRODUCT(--('New Hires Forecast'!$F$5:$F$84="Marketing"),--('New Hires Forecast'!$H$5:$H$84&gt;=Marketing!AC$3),'New Hires Forecast'!$R$5:$R$84,'New Hires Forecast'!$L$5:$L$84)),0),"New Year"))))),0)</f>
        <v>0</v>
      </c>
      <c r="AD15" s="684">
        <f>IF(AD$4="forecast",IF(YEAR(AD$3)=YEAR('New Hires Forecast'!$N$3),IF((AD$5=12),(SUMPRODUCT(--('New Hires Forecast'!$F$5:$F$84="Marketing"),--('New Hires Forecast'!$H$5:$H$84&gt;=Marketing!AD$3),'New Hires Forecast'!$N$5:$N$84,'New Hires Forecast'!$L$5:$L$84)),0),IF(YEAR(AD$3)=YEAR('New Hires Forecast'!$O$3),IF((AD$5=12),(SUMPRODUCT(--('New Hires Forecast'!$F$5:$F$84="Marketing"),--('New Hires Forecast'!$H$5:$H$84&gt;=Marketing!AD$3),'New Hires Forecast'!$O$5:$O$84,'New Hires Forecast'!$L$5:$L$84)),0),IF(YEAR(AD$3)=YEAR('New Hires Forecast'!$P$3),IF((AD$5=12),(SUMPRODUCT(--('New Hires Forecast'!$F$5:$F$84="Marketing"),--('New Hires Forecast'!$H$5:$H$84&gt;=Marketing!AD$3),'New Hires Forecast'!$P$5:$P$84,'New Hires Forecast'!$L$5:$L$84)),0),IF(YEAR(AD$3)=YEAR('New Hires Forecast'!$Q$3),IF((AD$5=12),(SUMPRODUCT(--('New Hires Forecast'!$F$5:$F$84="Marketing"),--('New Hires Forecast'!$H$5:$H$84&gt;=Marketing!AD$3),'New Hires Forecast'!$Q$5:$Q$84,'New Hires Forecast'!$L$5:$L$84)),0),IF(YEAR(AD$3)=YEAR('New Hires Forecast'!$R$3),IF((AD$5=12),(SUMPRODUCT(--('New Hires Forecast'!$F$5:$F$84="Marketing"),--('New Hires Forecast'!$H$5:$H$84&gt;=Marketing!AD$3),'New Hires Forecast'!$R$5:$R$84,'New Hires Forecast'!$L$5:$L$84)),0),"New Year"))))),0)</f>
        <v>0</v>
      </c>
      <c r="AE15" s="684">
        <f>IF(AE$4="forecast",IF(YEAR(AE$3)=YEAR('New Hires Forecast'!$N$3),IF((AE$5=12),(SUMPRODUCT(--('New Hires Forecast'!$F$5:$F$84="Marketing"),--('New Hires Forecast'!$H$5:$H$84&gt;=Marketing!AE$3),'New Hires Forecast'!$N$5:$N$84,'New Hires Forecast'!$L$5:$L$84)),0),IF(YEAR(AE$3)=YEAR('New Hires Forecast'!$O$3),IF((AE$5=12),(SUMPRODUCT(--('New Hires Forecast'!$F$5:$F$84="Marketing"),--('New Hires Forecast'!$H$5:$H$84&gt;=Marketing!AE$3),'New Hires Forecast'!$O$5:$O$84,'New Hires Forecast'!$L$5:$L$84)),0),IF(YEAR(AE$3)=YEAR('New Hires Forecast'!$P$3),IF((AE$5=12),(SUMPRODUCT(--('New Hires Forecast'!$F$5:$F$84="Marketing"),--('New Hires Forecast'!$H$5:$H$84&gt;=Marketing!AE$3),'New Hires Forecast'!$P$5:$P$84,'New Hires Forecast'!$L$5:$L$84)),0),IF(YEAR(AE$3)=YEAR('New Hires Forecast'!$Q$3),IF((AE$5=12),(SUMPRODUCT(--('New Hires Forecast'!$F$5:$F$84="Marketing"),--('New Hires Forecast'!$H$5:$H$84&gt;=Marketing!AE$3),'New Hires Forecast'!$Q$5:$Q$84,'New Hires Forecast'!$L$5:$L$84)),0),IF(YEAR(AE$3)=YEAR('New Hires Forecast'!$R$3),IF((AE$5=12),(SUMPRODUCT(--('New Hires Forecast'!$F$5:$F$84="Marketing"),--('New Hires Forecast'!$H$5:$H$84&gt;=Marketing!AE$3),'New Hires Forecast'!$R$5:$R$84,'New Hires Forecast'!$L$5:$L$84)),0),"New Year"))))),0)</f>
        <v>0</v>
      </c>
      <c r="AF15" s="684">
        <f>IF(AF$4="forecast",IF(YEAR(AF$3)=YEAR('New Hires Forecast'!$N$3),IF((AF$5=12),(SUMPRODUCT(--('New Hires Forecast'!$F$5:$F$84="Marketing"),--('New Hires Forecast'!$H$5:$H$84&gt;=Marketing!AF$3),'New Hires Forecast'!$N$5:$N$84,'New Hires Forecast'!$L$5:$L$84)),0),IF(YEAR(AF$3)=YEAR('New Hires Forecast'!$O$3),IF((AF$5=12),(SUMPRODUCT(--('New Hires Forecast'!$F$5:$F$84="Marketing"),--('New Hires Forecast'!$H$5:$H$84&gt;=Marketing!AF$3),'New Hires Forecast'!$O$5:$O$84,'New Hires Forecast'!$L$5:$L$84)),0),IF(YEAR(AF$3)=YEAR('New Hires Forecast'!$P$3),IF((AF$5=12),(SUMPRODUCT(--('New Hires Forecast'!$F$5:$F$84="Marketing"),--('New Hires Forecast'!$H$5:$H$84&gt;=Marketing!AF$3),'New Hires Forecast'!$P$5:$P$84,'New Hires Forecast'!$L$5:$L$84)),0),IF(YEAR(AF$3)=YEAR('New Hires Forecast'!$Q$3),IF((AF$5=12),(SUMPRODUCT(--('New Hires Forecast'!$F$5:$F$84="Marketing"),--('New Hires Forecast'!$H$5:$H$84&gt;=Marketing!AF$3),'New Hires Forecast'!$Q$5:$Q$84,'New Hires Forecast'!$L$5:$L$84)),0),IF(YEAR(AF$3)=YEAR('New Hires Forecast'!$R$3),IF((AF$5=12),(SUMPRODUCT(--('New Hires Forecast'!$F$5:$F$84="Marketing"),--('New Hires Forecast'!$H$5:$H$84&gt;=Marketing!AF$3),'New Hires Forecast'!$R$5:$R$84,'New Hires Forecast'!$L$5:$L$84)),0),"New Year"))))),0)</f>
        <v>0</v>
      </c>
      <c r="AG15" s="684">
        <f>IF(AG$4="forecast",IF(YEAR(AG$3)=YEAR('New Hires Forecast'!$N$3),IF((AG$5=12),(SUMPRODUCT(--('New Hires Forecast'!$F$5:$F$84="Marketing"),--('New Hires Forecast'!$H$5:$H$84&gt;=Marketing!AG$3),'New Hires Forecast'!$N$5:$N$84,'New Hires Forecast'!$L$5:$L$84)),0),IF(YEAR(AG$3)=YEAR('New Hires Forecast'!$O$3),IF((AG$5=12),(SUMPRODUCT(--('New Hires Forecast'!$F$5:$F$84="Marketing"),--('New Hires Forecast'!$H$5:$H$84&gt;=Marketing!AG$3),'New Hires Forecast'!$O$5:$O$84,'New Hires Forecast'!$L$5:$L$84)),0),IF(YEAR(AG$3)=YEAR('New Hires Forecast'!$P$3),IF((AG$5=12),(SUMPRODUCT(--('New Hires Forecast'!$F$5:$F$84="Marketing"),--('New Hires Forecast'!$H$5:$H$84&gt;=Marketing!AG$3),'New Hires Forecast'!$P$5:$P$84,'New Hires Forecast'!$L$5:$L$84)),0),IF(YEAR(AG$3)=YEAR('New Hires Forecast'!$Q$3),IF((AG$5=12),(SUMPRODUCT(--('New Hires Forecast'!$F$5:$F$84="Marketing"),--('New Hires Forecast'!$H$5:$H$84&gt;=Marketing!AG$3),'New Hires Forecast'!$Q$5:$Q$84,'New Hires Forecast'!$L$5:$L$84)),0),IF(YEAR(AG$3)=YEAR('New Hires Forecast'!$R$3),IF((AG$5=12),(SUMPRODUCT(--('New Hires Forecast'!$F$5:$F$84="Marketing"),--('New Hires Forecast'!$H$5:$H$84&gt;=Marketing!AG$3),'New Hires Forecast'!$R$5:$R$84,'New Hires Forecast'!$L$5:$L$84)),0),"New Year"))))),0)</f>
        <v>0</v>
      </c>
      <c r="AH15" s="684">
        <f>IF(AH$4="forecast",IF(YEAR(AH$3)=YEAR('New Hires Forecast'!$N$3),IF((AH$5=12),(SUMPRODUCT(--('New Hires Forecast'!$F$5:$F$84="Marketing"),--('New Hires Forecast'!$H$5:$H$84&gt;=Marketing!AH$3),'New Hires Forecast'!$N$5:$N$84,'New Hires Forecast'!$L$5:$L$84)),0),IF(YEAR(AH$3)=YEAR('New Hires Forecast'!$O$3),IF((AH$5=12),(SUMPRODUCT(--('New Hires Forecast'!$F$5:$F$84="Marketing"),--('New Hires Forecast'!$H$5:$H$84&gt;=Marketing!AH$3),'New Hires Forecast'!$O$5:$O$84,'New Hires Forecast'!$L$5:$L$84)),0),IF(YEAR(AH$3)=YEAR('New Hires Forecast'!$P$3),IF((AH$5=12),(SUMPRODUCT(--('New Hires Forecast'!$F$5:$F$84="Marketing"),--('New Hires Forecast'!$H$5:$H$84&gt;=Marketing!AH$3),'New Hires Forecast'!$P$5:$P$84,'New Hires Forecast'!$L$5:$L$84)),0),IF(YEAR(AH$3)=YEAR('New Hires Forecast'!$Q$3),IF((AH$5=12),(SUMPRODUCT(--('New Hires Forecast'!$F$5:$F$84="Marketing"),--('New Hires Forecast'!$H$5:$H$84&gt;=Marketing!AH$3),'New Hires Forecast'!$Q$5:$Q$84,'New Hires Forecast'!$L$5:$L$84)),0),IF(YEAR(AH$3)=YEAR('New Hires Forecast'!$R$3),IF((AH$5=12),(SUMPRODUCT(--('New Hires Forecast'!$F$5:$F$84="Marketing"),--('New Hires Forecast'!$H$5:$H$84&gt;=Marketing!AH$3),'New Hires Forecast'!$R$5:$R$84,'New Hires Forecast'!$L$5:$L$84)),0),"New Year"))))),0)</f>
        <v>0</v>
      </c>
      <c r="AI15" s="684">
        <f>IF(AI$4="forecast",IF(YEAR(AI$3)=YEAR('New Hires Forecast'!$N$3),IF((AI$5=12),(SUMPRODUCT(--('New Hires Forecast'!$F$5:$F$84="Marketing"),--('New Hires Forecast'!$H$5:$H$84&gt;=Marketing!AI$3),'New Hires Forecast'!$N$5:$N$84,'New Hires Forecast'!$L$5:$L$84)),0),IF(YEAR(AI$3)=YEAR('New Hires Forecast'!$O$3),IF((AI$5=12),(SUMPRODUCT(--('New Hires Forecast'!$F$5:$F$84="Marketing"),--('New Hires Forecast'!$H$5:$H$84&gt;=Marketing!AI$3),'New Hires Forecast'!$O$5:$O$84,'New Hires Forecast'!$L$5:$L$84)),0),IF(YEAR(AI$3)=YEAR('New Hires Forecast'!$P$3),IF((AI$5=12),(SUMPRODUCT(--('New Hires Forecast'!$F$5:$F$84="Marketing"),--('New Hires Forecast'!$H$5:$H$84&gt;=Marketing!AI$3),'New Hires Forecast'!$P$5:$P$84,'New Hires Forecast'!$L$5:$L$84)),0),IF(YEAR(AI$3)=YEAR('New Hires Forecast'!$Q$3),IF((AI$5=12),(SUMPRODUCT(--('New Hires Forecast'!$F$5:$F$84="Marketing"),--('New Hires Forecast'!$H$5:$H$84&gt;=Marketing!AI$3),'New Hires Forecast'!$Q$5:$Q$84,'New Hires Forecast'!$L$5:$L$84)),0),IF(YEAR(AI$3)=YEAR('New Hires Forecast'!$R$3),IF((AI$5=12),(SUMPRODUCT(--('New Hires Forecast'!$F$5:$F$84="Marketing"),--('New Hires Forecast'!$H$5:$H$84&gt;=Marketing!AI$3),'New Hires Forecast'!$R$5:$R$84,'New Hires Forecast'!$L$5:$L$84)),0),"New Year"))))),0)</f>
        <v>0</v>
      </c>
      <c r="AJ15" s="684">
        <f>IF(AJ$4="forecast",IF(YEAR(AJ$3)=YEAR('New Hires Forecast'!$N$3),IF((AJ$5=12),(SUMPRODUCT(--('New Hires Forecast'!$F$5:$F$84="Marketing"),--('New Hires Forecast'!$H$5:$H$84&gt;=Marketing!AJ$3),'New Hires Forecast'!$N$5:$N$84,'New Hires Forecast'!$L$5:$L$84)),0),IF(YEAR(AJ$3)=YEAR('New Hires Forecast'!$O$3),IF((AJ$5=12),(SUMPRODUCT(--('New Hires Forecast'!$F$5:$F$84="Marketing"),--('New Hires Forecast'!$H$5:$H$84&gt;=Marketing!AJ$3),'New Hires Forecast'!$O$5:$O$84,'New Hires Forecast'!$L$5:$L$84)),0),IF(YEAR(AJ$3)=YEAR('New Hires Forecast'!$P$3),IF((AJ$5=12),(SUMPRODUCT(--('New Hires Forecast'!$F$5:$F$84="Marketing"),--('New Hires Forecast'!$H$5:$H$84&gt;=Marketing!AJ$3),'New Hires Forecast'!$P$5:$P$84,'New Hires Forecast'!$L$5:$L$84)),0),IF(YEAR(AJ$3)=YEAR('New Hires Forecast'!$Q$3),IF((AJ$5=12),(SUMPRODUCT(--('New Hires Forecast'!$F$5:$F$84="Marketing"),--('New Hires Forecast'!$H$5:$H$84&gt;=Marketing!AJ$3),'New Hires Forecast'!$Q$5:$Q$84,'New Hires Forecast'!$L$5:$L$84)),0),IF(YEAR(AJ$3)=YEAR('New Hires Forecast'!$R$3),IF((AJ$5=12),(SUMPRODUCT(--('New Hires Forecast'!$F$5:$F$84="Marketing"),--('New Hires Forecast'!$H$5:$H$84&gt;=Marketing!AJ$3),'New Hires Forecast'!$R$5:$R$84,'New Hires Forecast'!$L$5:$L$84)),0),"New Year"))))),0)</f>
        <v>0</v>
      </c>
      <c r="AK15" s="684">
        <f>IF(AK$4="forecast",IF(YEAR(AK$3)=YEAR('New Hires Forecast'!$N$3),IF((AK$5=12),(SUMPRODUCT(--('New Hires Forecast'!$F$5:$F$84="Marketing"),--('New Hires Forecast'!$H$5:$H$84&gt;=Marketing!AK$3),'New Hires Forecast'!$N$5:$N$84,'New Hires Forecast'!$L$5:$L$84)),0),IF(YEAR(AK$3)=YEAR('New Hires Forecast'!$O$3),IF((AK$5=12),(SUMPRODUCT(--('New Hires Forecast'!$F$5:$F$84="Marketing"),--('New Hires Forecast'!$H$5:$H$84&gt;=Marketing!AK$3),'New Hires Forecast'!$O$5:$O$84,'New Hires Forecast'!$L$5:$L$84)),0),IF(YEAR(AK$3)=YEAR('New Hires Forecast'!$P$3),IF((AK$5=12),(SUMPRODUCT(--('New Hires Forecast'!$F$5:$F$84="Marketing"),--('New Hires Forecast'!$H$5:$H$84&gt;=Marketing!AK$3),'New Hires Forecast'!$P$5:$P$84,'New Hires Forecast'!$L$5:$L$84)),0),IF(YEAR(AK$3)=YEAR('New Hires Forecast'!$Q$3),IF((AK$5=12),(SUMPRODUCT(--('New Hires Forecast'!$F$5:$F$84="Marketing"),--('New Hires Forecast'!$H$5:$H$84&gt;=Marketing!AK$3),'New Hires Forecast'!$Q$5:$Q$84,'New Hires Forecast'!$L$5:$L$84)),0),IF(YEAR(AK$3)=YEAR('New Hires Forecast'!$R$3),IF((AK$5=12),(SUMPRODUCT(--('New Hires Forecast'!$F$5:$F$84="Marketing"),--('New Hires Forecast'!$H$5:$H$84&gt;=Marketing!AK$3),'New Hires Forecast'!$R$5:$R$84,'New Hires Forecast'!$L$5:$L$84)),0),"New Year"))))),0)</f>
        <v>0</v>
      </c>
      <c r="AL15" s="684">
        <f>IF(AL$4="forecast",IF(YEAR(AL$3)=YEAR('New Hires Forecast'!$N$3),IF((AL$5=12),(SUMPRODUCT(--('New Hires Forecast'!$F$5:$F$84="Marketing"),--('New Hires Forecast'!$H$5:$H$84&gt;=Marketing!AL$3),'New Hires Forecast'!$N$5:$N$84,'New Hires Forecast'!$L$5:$L$84)),0),IF(YEAR(AL$3)=YEAR('New Hires Forecast'!$O$3),IF((AL$5=12),(SUMPRODUCT(--('New Hires Forecast'!$F$5:$F$84="Marketing"),--('New Hires Forecast'!$H$5:$H$84&gt;=Marketing!AL$3),'New Hires Forecast'!$O$5:$O$84,'New Hires Forecast'!$L$5:$L$84)),0),IF(YEAR(AL$3)=YEAR('New Hires Forecast'!$P$3),IF((AL$5=12),(SUMPRODUCT(--('New Hires Forecast'!$F$5:$F$84="Marketing"),--('New Hires Forecast'!$H$5:$H$84&gt;=Marketing!AL$3),'New Hires Forecast'!$P$5:$P$84,'New Hires Forecast'!$L$5:$L$84)),0),IF(YEAR(AL$3)=YEAR('New Hires Forecast'!$Q$3),IF((AL$5=12),(SUMPRODUCT(--('New Hires Forecast'!$F$5:$F$84="Marketing"),--('New Hires Forecast'!$H$5:$H$84&gt;=Marketing!AL$3),'New Hires Forecast'!$Q$5:$Q$84,'New Hires Forecast'!$L$5:$L$84)),0),IF(YEAR(AL$3)=YEAR('New Hires Forecast'!$R$3),IF((AL$5=12),(SUMPRODUCT(--('New Hires Forecast'!$F$5:$F$84="Marketing"),--('New Hires Forecast'!$H$5:$H$84&gt;=Marketing!AL$3),'New Hires Forecast'!$R$5:$R$84,'New Hires Forecast'!$L$5:$L$84)),0),"New Year"))))),0)</f>
        <v>14500</v>
      </c>
      <c r="AM15" s="684">
        <f>IF(AM$4="forecast",IF(YEAR(AM$3)=YEAR('New Hires Forecast'!$N$3),IF((AM$5=12),(SUMPRODUCT(--('New Hires Forecast'!$F$5:$F$84="Marketing"),--('New Hires Forecast'!$H$5:$H$84&gt;=Marketing!AM$3),'New Hires Forecast'!$N$5:$N$84,'New Hires Forecast'!$L$5:$L$84)),0),IF(YEAR(AM$3)=YEAR('New Hires Forecast'!$O$3),IF((AM$5=12),(SUMPRODUCT(--('New Hires Forecast'!$F$5:$F$84="Marketing"),--('New Hires Forecast'!$H$5:$H$84&gt;=Marketing!AM$3),'New Hires Forecast'!$O$5:$O$84,'New Hires Forecast'!$L$5:$L$84)),0),IF(YEAR(AM$3)=YEAR('New Hires Forecast'!$P$3),IF((AM$5=12),(SUMPRODUCT(--('New Hires Forecast'!$F$5:$F$84="Marketing"),--('New Hires Forecast'!$H$5:$H$84&gt;=Marketing!AM$3),'New Hires Forecast'!$P$5:$P$84,'New Hires Forecast'!$L$5:$L$84)),0),IF(YEAR(AM$3)=YEAR('New Hires Forecast'!$Q$3),IF((AM$5=12),(SUMPRODUCT(--('New Hires Forecast'!$F$5:$F$84="Marketing"),--('New Hires Forecast'!$H$5:$H$84&gt;=Marketing!AM$3),'New Hires Forecast'!$Q$5:$Q$84,'New Hires Forecast'!$L$5:$L$84)),0),IF(YEAR(AM$3)=YEAR('New Hires Forecast'!$R$3),IF((AM$5=12),(SUMPRODUCT(--('New Hires Forecast'!$F$5:$F$84="Marketing"),--('New Hires Forecast'!$H$5:$H$84&gt;=Marketing!AM$3),'New Hires Forecast'!$R$5:$R$84,'New Hires Forecast'!$L$5:$L$84)),0),"New Year"))))),0)</f>
        <v>0</v>
      </c>
      <c r="AN15" s="684">
        <f>IF(AN$4="forecast",IF(YEAR(AN$3)=YEAR('New Hires Forecast'!$N$3),IF((AN$5=12),(SUMPRODUCT(--('New Hires Forecast'!$F$5:$F$84="Marketing"),--('New Hires Forecast'!$H$5:$H$84&gt;=Marketing!AN$3),'New Hires Forecast'!$N$5:$N$84,'New Hires Forecast'!$L$5:$L$84)),0),IF(YEAR(AN$3)=YEAR('New Hires Forecast'!$O$3),IF((AN$5=12),(SUMPRODUCT(--('New Hires Forecast'!$F$5:$F$84="Marketing"),--('New Hires Forecast'!$H$5:$H$84&gt;=Marketing!AN$3),'New Hires Forecast'!$O$5:$O$84,'New Hires Forecast'!$L$5:$L$84)),0),IF(YEAR(AN$3)=YEAR('New Hires Forecast'!$P$3),IF((AN$5=12),(SUMPRODUCT(--('New Hires Forecast'!$F$5:$F$84="Marketing"),--('New Hires Forecast'!$H$5:$H$84&gt;=Marketing!AN$3),'New Hires Forecast'!$P$5:$P$84,'New Hires Forecast'!$L$5:$L$84)),0),IF(YEAR(AN$3)=YEAR('New Hires Forecast'!$Q$3),IF((AN$5=12),(SUMPRODUCT(--('New Hires Forecast'!$F$5:$F$84="Marketing"),--('New Hires Forecast'!$H$5:$H$84&gt;=Marketing!AN$3),'New Hires Forecast'!$Q$5:$Q$84,'New Hires Forecast'!$L$5:$L$84)),0),IF(YEAR(AN$3)=YEAR('New Hires Forecast'!$R$3),IF((AN$5=12),(SUMPRODUCT(--('New Hires Forecast'!$F$5:$F$84="Marketing"),--('New Hires Forecast'!$H$5:$H$84&gt;=Marketing!AN$3),'New Hires Forecast'!$R$5:$R$84,'New Hires Forecast'!$L$5:$L$84)),0),"New Year"))))),0)</f>
        <v>0</v>
      </c>
      <c r="AO15" s="684">
        <f>IF(AO$4="forecast",IF(YEAR(AO$3)=YEAR('New Hires Forecast'!$N$3),IF((AO$5=12),(SUMPRODUCT(--('New Hires Forecast'!$F$5:$F$84="Marketing"),--('New Hires Forecast'!$H$5:$H$84&gt;=Marketing!AO$3),'New Hires Forecast'!$N$5:$N$84,'New Hires Forecast'!$L$5:$L$84)),0),IF(YEAR(AO$3)=YEAR('New Hires Forecast'!$O$3),IF((AO$5=12),(SUMPRODUCT(--('New Hires Forecast'!$F$5:$F$84="Marketing"),--('New Hires Forecast'!$H$5:$H$84&gt;=Marketing!AO$3),'New Hires Forecast'!$O$5:$O$84,'New Hires Forecast'!$L$5:$L$84)),0),IF(YEAR(AO$3)=YEAR('New Hires Forecast'!$P$3),IF((AO$5=12),(SUMPRODUCT(--('New Hires Forecast'!$F$5:$F$84="Marketing"),--('New Hires Forecast'!$H$5:$H$84&gt;=Marketing!AO$3),'New Hires Forecast'!$P$5:$P$84,'New Hires Forecast'!$L$5:$L$84)),0),IF(YEAR(AO$3)=YEAR('New Hires Forecast'!$Q$3),IF((AO$5=12),(SUMPRODUCT(--('New Hires Forecast'!$F$5:$F$84="Marketing"),--('New Hires Forecast'!$H$5:$H$84&gt;=Marketing!AO$3),'New Hires Forecast'!$Q$5:$Q$84,'New Hires Forecast'!$L$5:$L$84)),0),IF(YEAR(AO$3)=YEAR('New Hires Forecast'!$R$3),IF((AO$5=12),(SUMPRODUCT(--('New Hires Forecast'!$F$5:$F$84="Marketing"),--('New Hires Forecast'!$H$5:$H$84&gt;=Marketing!AO$3),'New Hires Forecast'!$R$5:$R$84,'New Hires Forecast'!$L$5:$L$84)),0),"New Year"))))),0)</f>
        <v>0</v>
      </c>
      <c r="AP15" s="684">
        <f>IF(AP$4="forecast",IF(YEAR(AP$3)=YEAR('New Hires Forecast'!$N$3),IF((AP$5=12),(SUMPRODUCT(--('New Hires Forecast'!$F$5:$F$84="Marketing"),--('New Hires Forecast'!$H$5:$H$84&gt;=Marketing!AP$3),'New Hires Forecast'!$N$5:$N$84,'New Hires Forecast'!$L$5:$L$84)),0),IF(YEAR(AP$3)=YEAR('New Hires Forecast'!$O$3),IF((AP$5=12),(SUMPRODUCT(--('New Hires Forecast'!$F$5:$F$84="Marketing"),--('New Hires Forecast'!$H$5:$H$84&gt;=Marketing!AP$3),'New Hires Forecast'!$O$5:$O$84,'New Hires Forecast'!$L$5:$L$84)),0),IF(YEAR(AP$3)=YEAR('New Hires Forecast'!$P$3),IF((AP$5=12),(SUMPRODUCT(--('New Hires Forecast'!$F$5:$F$84="Marketing"),--('New Hires Forecast'!$H$5:$H$84&gt;=Marketing!AP$3),'New Hires Forecast'!$P$5:$P$84,'New Hires Forecast'!$L$5:$L$84)),0),IF(YEAR(AP$3)=YEAR('New Hires Forecast'!$Q$3),IF((AP$5=12),(SUMPRODUCT(--('New Hires Forecast'!$F$5:$F$84="Marketing"),--('New Hires Forecast'!$H$5:$H$84&gt;=Marketing!AP$3),'New Hires Forecast'!$Q$5:$Q$84,'New Hires Forecast'!$L$5:$L$84)),0),IF(YEAR(AP$3)=YEAR('New Hires Forecast'!$R$3),IF((AP$5=12),(SUMPRODUCT(--('New Hires Forecast'!$F$5:$F$84="Marketing"),--('New Hires Forecast'!$H$5:$H$84&gt;=Marketing!AP$3),'New Hires Forecast'!$R$5:$R$84,'New Hires Forecast'!$L$5:$L$84)),0),"New Year"))))),0)</f>
        <v>0</v>
      </c>
      <c r="AQ15" s="684">
        <f>IF(AQ$4="forecast",IF(YEAR(AQ$3)=YEAR('New Hires Forecast'!$N$3),IF((AQ$5=12),(SUMPRODUCT(--('New Hires Forecast'!$F$5:$F$84="Marketing"),--('New Hires Forecast'!$H$5:$H$84&gt;=Marketing!AQ$3),'New Hires Forecast'!$N$5:$N$84,'New Hires Forecast'!$L$5:$L$84)),0),IF(YEAR(AQ$3)=YEAR('New Hires Forecast'!$O$3),IF((AQ$5=12),(SUMPRODUCT(--('New Hires Forecast'!$F$5:$F$84="Marketing"),--('New Hires Forecast'!$H$5:$H$84&gt;=Marketing!AQ$3),'New Hires Forecast'!$O$5:$O$84,'New Hires Forecast'!$L$5:$L$84)),0),IF(YEAR(AQ$3)=YEAR('New Hires Forecast'!$P$3),IF((AQ$5=12),(SUMPRODUCT(--('New Hires Forecast'!$F$5:$F$84="Marketing"),--('New Hires Forecast'!$H$5:$H$84&gt;=Marketing!AQ$3),'New Hires Forecast'!$P$5:$P$84,'New Hires Forecast'!$L$5:$L$84)),0),IF(YEAR(AQ$3)=YEAR('New Hires Forecast'!$Q$3),IF((AQ$5=12),(SUMPRODUCT(--('New Hires Forecast'!$F$5:$F$84="Marketing"),--('New Hires Forecast'!$H$5:$H$84&gt;=Marketing!AQ$3),'New Hires Forecast'!$Q$5:$Q$84,'New Hires Forecast'!$L$5:$L$84)),0),IF(YEAR(AQ$3)=YEAR('New Hires Forecast'!$R$3),IF((AQ$5=12),(SUMPRODUCT(--('New Hires Forecast'!$F$5:$F$84="Marketing"),--('New Hires Forecast'!$H$5:$H$84&gt;=Marketing!AQ$3),'New Hires Forecast'!$R$5:$R$84,'New Hires Forecast'!$L$5:$L$84)),0),"New Year"))))),0)</f>
        <v>0</v>
      </c>
      <c r="AR15" s="684">
        <f>IF(AR$4="forecast",IF(YEAR(AR$3)=YEAR('New Hires Forecast'!$N$3),IF((AR$5=12),(SUMPRODUCT(--('New Hires Forecast'!$F$5:$F$84="Marketing"),--('New Hires Forecast'!$H$5:$H$84&gt;=Marketing!AR$3),'New Hires Forecast'!$N$5:$N$84,'New Hires Forecast'!$L$5:$L$84)),0),IF(YEAR(AR$3)=YEAR('New Hires Forecast'!$O$3),IF((AR$5=12),(SUMPRODUCT(--('New Hires Forecast'!$F$5:$F$84="Marketing"),--('New Hires Forecast'!$H$5:$H$84&gt;=Marketing!AR$3),'New Hires Forecast'!$O$5:$O$84,'New Hires Forecast'!$L$5:$L$84)),0),IF(YEAR(AR$3)=YEAR('New Hires Forecast'!$P$3),IF((AR$5=12),(SUMPRODUCT(--('New Hires Forecast'!$F$5:$F$84="Marketing"),--('New Hires Forecast'!$H$5:$H$84&gt;=Marketing!AR$3),'New Hires Forecast'!$P$5:$P$84,'New Hires Forecast'!$L$5:$L$84)),0),IF(YEAR(AR$3)=YEAR('New Hires Forecast'!$Q$3),IF((AR$5=12),(SUMPRODUCT(--('New Hires Forecast'!$F$5:$F$84="Marketing"),--('New Hires Forecast'!$H$5:$H$84&gt;=Marketing!AR$3),'New Hires Forecast'!$Q$5:$Q$84,'New Hires Forecast'!$L$5:$L$84)),0),IF(YEAR(AR$3)=YEAR('New Hires Forecast'!$R$3),IF((AR$5=12),(SUMPRODUCT(--('New Hires Forecast'!$F$5:$F$84="Marketing"),--('New Hires Forecast'!$H$5:$H$84&gt;=Marketing!AR$3),'New Hires Forecast'!$R$5:$R$84,'New Hires Forecast'!$L$5:$L$84)),0),"New Year"))))),0)</f>
        <v>0</v>
      </c>
      <c r="AS15" s="684">
        <f>IF(AS$4="forecast",IF(YEAR(AS$3)=YEAR('New Hires Forecast'!$N$3),IF((AS$5=12),(SUMPRODUCT(--('New Hires Forecast'!$F$5:$F$84="Marketing"),--('New Hires Forecast'!$H$5:$H$84&gt;=Marketing!AS$3),'New Hires Forecast'!$N$5:$N$84,'New Hires Forecast'!$L$5:$L$84)),0),IF(YEAR(AS$3)=YEAR('New Hires Forecast'!$O$3),IF((AS$5=12),(SUMPRODUCT(--('New Hires Forecast'!$F$5:$F$84="Marketing"),--('New Hires Forecast'!$H$5:$H$84&gt;=Marketing!AS$3),'New Hires Forecast'!$O$5:$O$84,'New Hires Forecast'!$L$5:$L$84)),0),IF(YEAR(AS$3)=YEAR('New Hires Forecast'!$P$3),IF((AS$5=12),(SUMPRODUCT(--('New Hires Forecast'!$F$5:$F$84="Marketing"),--('New Hires Forecast'!$H$5:$H$84&gt;=Marketing!AS$3),'New Hires Forecast'!$P$5:$P$84,'New Hires Forecast'!$L$5:$L$84)),0),IF(YEAR(AS$3)=YEAR('New Hires Forecast'!$Q$3),IF((AS$5=12),(SUMPRODUCT(--('New Hires Forecast'!$F$5:$F$84="Marketing"),--('New Hires Forecast'!$H$5:$H$84&gt;=Marketing!AS$3),'New Hires Forecast'!$Q$5:$Q$84,'New Hires Forecast'!$L$5:$L$84)),0),IF(YEAR(AS$3)=YEAR('New Hires Forecast'!$R$3),IF((AS$5=12),(SUMPRODUCT(--('New Hires Forecast'!$F$5:$F$84="Marketing"),--('New Hires Forecast'!$H$5:$H$84&gt;=Marketing!AS$3),'New Hires Forecast'!$R$5:$R$84,'New Hires Forecast'!$L$5:$L$84)),0),"New Year"))))),0)</f>
        <v>0</v>
      </c>
      <c r="AT15" s="684">
        <f>IF(AT$4="forecast",IF(YEAR(AT$3)=YEAR('New Hires Forecast'!$N$3),IF((AT$5=12),(SUMPRODUCT(--('New Hires Forecast'!$F$5:$F$84="Marketing"),--('New Hires Forecast'!$H$5:$H$84&gt;=Marketing!AT$3),'New Hires Forecast'!$N$5:$N$84,'New Hires Forecast'!$L$5:$L$84)),0),IF(YEAR(AT$3)=YEAR('New Hires Forecast'!$O$3),IF((AT$5=12),(SUMPRODUCT(--('New Hires Forecast'!$F$5:$F$84="Marketing"),--('New Hires Forecast'!$H$5:$H$84&gt;=Marketing!AT$3),'New Hires Forecast'!$O$5:$O$84,'New Hires Forecast'!$L$5:$L$84)),0),IF(YEAR(AT$3)=YEAR('New Hires Forecast'!$P$3),IF((AT$5=12),(SUMPRODUCT(--('New Hires Forecast'!$F$5:$F$84="Marketing"),--('New Hires Forecast'!$H$5:$H$84&gt;=Marketing!AT$3),'New Hires Forecast'!$P$5:$P$84,'New Hires Forecast'!$L$5:$L$84)),0),IF(YEAR(AT$3)=YEAR('New Hires Forecast'!$Q$3),IF((AT$5=12),(SUMPRODUCT(--('New Hires Forecast'!$F$5:$F$84="Marketing"),--('New Hires Forecast'!$H$5:$H$84&gt;=Marketing!AT$3),'New Hires Forecast'!$Q$5:$Q$84,'New Hires Forecast'!$L$5:$L$84)),0),IF(YEAR(AT$3)=YEAR('New Hires Forecast'!$R$3),IF((AT$5=12),(SUMPRODUCT(--('New Hires Forecast'!$F$5:$F$84="Marketing"),--('New Hires Forecast'!$H$5:$H$84&gt;=Marketing!AT$3),'New Hires Forecast'!$R$5:$R$84,'New Hires Forecast'!$L$5:$L$84)),0),"New Year"))))),0)</f>
        <v>0</v>
      </c>
      <c r="AU15" s="684">
        <f>IF(AU$4="forecast",IF(YEAR(AU$3)=YEAR('New Hires Forecast'!$N$3),IF((AU$5=12),(SUMPRODUCT(--('New Hires Forecast'!$F$5:$F$84="Marketing"),--('New Hires Forecast'!$H$5:$H$84&gt;=Marketing!AU$3),'New Hires Forecast'!$N$5:$N$84,'New Hires Forecast'!$L$5:$L$84)),0),IF(YEAR(AU$3)=YEAR('New Hires Forecast'!$O$3),IF((AU$5=12),(SUMPRODUCT(--('New Hires Forecast'!$F$5:$F$84="Marketing"),--('New Hires Forecast'!$H$5:$H$84&gt;=Marketing!AU$3),'New Hires Forecast'!$O$5:$O$84,'New Hires Forecast'!$L$5:$L$84)),0),IF(YEAR(AU$3)=YEAR('New Hires Forecast'!$P$3),IF((AU$5=12),(SUMPRODUCT(--('New Hires Forecast'!$F$5:$F$84="Marketing"),--('New Hires Forecast'!$H$5:$H$84&gt;=Marketing!AU$3),'New Hires Forecast'!$P$5:$P$84,'New Hires Forecast'!$L$5:$L$84)),0),IF(YEAR(AU$3)=YEAR('New Hires Forecast'!$Q$3),IF((AU$5=12),(SUMPRODUCT(--('New Hires Forecast'!$F$5:$F$84="Marketing"),--('New Hires Forecast'!$H$5:$H$84&gt;=Marketing!AU$3),'New Hires Forecast'!$Q$5:$Q$84,'New Hires Forecast'!$L$5:$L$84)),0),IF(YEAR(AU$3)=YEAR('New Hires Forecast'!$R$3),IF((AU$5=12),(SUMPRODUCT(--('New Hires Forecast'!$F$5:$F$84="Marketing"),--('New Hires Forecast'!$H$5:$H$84&gt;=Marketing!AU$3),'New Hires Forecast'!$R$5:$R$84,'New Hires Forecast'!$L$5:$L$84)),0),"New Year"))))),0)</f>
        <v>0</v>
      </c>
      <c r="AV15" s="684">
        <f>IF(AV$4="forecast",IF(YEAR(AV$3)=YEAR('New Hires Forecast'!$N$3),IF((AV$5=12),(SUMPRODUCT(--('New Hires Forecast'!$F$5:$F$84="Marketing"),--('New Hires Forecast'!$H$5:$H$84&gt;=Marketing!AV$3),'New Hires Forecast'!$N$5:$N$84,'New Hires Forecast'!$L$5:$L$84)),0),IF(YEAR(AV$3)=YEAR('New Hires Forecast'!$O$3),IF((AV$5=12),(SUMPRODUCT(--('New Hires Forecast'!$F$5:$F$84="Marketing"),--('New Hires Forecast'!$H$5:$H$84&gt;=Marketing!AV$3),'New Hires Forecast'!$O$5:$O$84,'New Hires Forecast'!$L$5:$L$84)),0),IF(YEAR(AV$3)=YEAR('New Hires Forecast'!$P$3),IF((AV$5=12),(SUMPRODUCT(--('New Hires Forecast'!$F$5:$F$84="Marketing"),--('New Hires Forecast'!$H$5:$H$84&gt;=Marketing!AV$3),'New Hires Forecast'!$P$5:$P$84,'New Hires Forecast'!$L$5:$L$84)),0),IF(YEAR(AV$3)=YEAR('New Hires Forecast'!$Q$3),IF((AV$5=12),(SUMPRODUCT(--('New Hires Forecast'!$F$5:$F$84="Marketing"),--('New Hires Forecast'!$H$5:$H$84&gt;=Marketing!AV$3),'New Hires Forecast'!$Q$5:$Q$84,'New Hires Forecast'!$L$5:$L$84)),0),IF(YEAR(AV$3)=YEAR('New Hires Forecast'!$R$3),IF((AV$5=12),(SUMPRODUCT(--('New Hires Forecast'!$F$5:$F$84="Marketing"),--('New Hires Forecast'!$H$5:$H$84&gt;=Marketing!AV$3),'New Hires Forecast'!$R$5:$R$84,'New Hires Forecast'!$L$5:$L$84)),0),"New Year"))))),0)</f>
        <v>0</v>
      </c>
      <c r="AW15" s="684">
        <f>IF(AW$4="forecast",IF(YEAR(AW$3)=YEAR('New Hires Forecast'!$N$3),IF((AW$5=12),(SUMPRODUCT(--('New Hires Forecast'!$F$5:$F$84="Marketing"),--('New Hires Forecast'!$H$5:$H$84&gt;=Marketing!AW$3),'New Hires Forecast'!$N$5:$N$84,'New Hires Forecast'!$L$5:$L$84)),0),IF(YEAR(AW$3)=YEAR('New Hires Forecast'!$O$3),IF((AW$5=12),(SUMPRODUCT(--('New Hires Forecast'!$F$5:$F$84="Marketing"),--('New Hires Forecast'!$H$5:$H$84&gt;=Marketing!AW$3),'New Hires Forecast'!$O$5:$O$84,'New Hires Forecast'!$L$5:$L$84)),0),IF(YEAR(AW$3)=YEAR('New Hires Forecast'!$P$3),IF((AW$5=12),(SUMPRODUCT(--('New Hires Forecast'!$F$5:$F$84="Marketing"),--('New Hires Forecast'!$H$5:$H$84&gt;=Marketing!AW$3),'New Hires Forecast'!$P$5:$P$84,'New Hires Forecast'!$L$5:$L$84)),0),IF(YEAR(AW$3)=YEAR('New Hires Forecast'!$Q$3),IF((AW$5=12),(SUMPRODUCT(--('New Hires Forecast'!$F$5:$F$84="Marketing"),--('New Hires Forecast'!$H$5:$H$84&gt;=Marketing!AW$3),'New Hires Forecast'!$Q$5:$Q$84,'New Hires Forecast'!$L$5:$L$84)),0),IF(YEAR(AW$3)=YEAR('New Hires Forecast'!$R$3),IF((AW$5=12),(SUMPRODUCT(--('New Hires Forecast'!$F$5:$F$84="Marketing"),--('New Hires Forecast'!$H$5:$H$84&gt;=Marketing!AW$3),'New Hires Forecast'!$R$5:$R$84,'New Hires Forecast'!$L$5:$L$84)),0),"New Year"))))),0)</f>
        <v>0</v>
      </c>
      <c r="AX15" s="684">
        <f>IF(AX$4="forecast",IF(YEAR(AX$3)=YEAR('New Hires Forecast'!$N$3),IF((AX$5=12),(SUMPRODUCT(--('New Hires Forecast'!$F$5:$F$84="Marketing"),--('New Hires Forecast'!$H$5:$H$84&gt;=Marketing!AX$3),'New Hires Forecast'!$N$5:$N$84,'New Hires Forecast'!$L$5:$L$84)),0),IF(YEAR(AX$3)=YEAR('New Hires Forecast'!$O$3),IF((AX$5=12),(SUMPRODUCT(--('New Hires Forecast'!$F$5:$F$84="Marketing"),--('New Hires Forecast'!$H$5:$H$84&gt;=Marketing!AX$3),'New Hires Forecast'!$O$5:$O$84,'New Hires Forecast'!$L$5:$L$84)),0),IF(YEAR(AX$3)=YEAR('New Hires Forecast'!$P$3),IF((AX$5=12),(SUMPRODUCT(--('New Hires Forecast'!$F$5:$F$84="Marketing"),--('New Hires Forecast'!$H$5:$H$84&gt;=Marketing!AX$3),'New Hires Forecast'!$P$5:$P$84,'New Hires Forecast'!$L$5:$L$84)),0),IF(YEAR(AX$3)=YEAR('New Hires Forecast'!$Q$3),IF((AX$5=12),(SUMPRODUCT(--('New Hires Forecast'!$F$5:$F$84="Marketing"),--('New Hires Forecast'!$H$5:$H$84&gt;=Marketing!AX$3),'New Hires Forecast'!$Q$5:$Q$84,'New Hires Forecast'!$L$5:$L$84)),0),IF(YEAR(AX$3)=YEAR('New Hires Forecast'!$R$3),IF((AX$5=12),(SUMPRODUCT(--('New Hires Forecast'!$F$5:$F$84="Marketing"),--('New Hires Forecast'!$H$5:$H$84&gt;=Marketing!AX$3),'New Hires Forecast'!$R$5:$R$84,'New Hires Forecast'!$L$5:$L$84)),0),"New Year"))))),0)</f>
        <v>14935</v>
      </c>
      <c r="AY15" s="684">
        <f>IF(AY$4="forecast",IF(YEAR(AY$3)=YEAR('New Hires Forecast'!$N$3),IF((AY$5=12),(SUMPRODUCT(--('New Hires Forecast'!$F$5:$F$84="Marketing"),--('New Hires Forecast'!$H$5:$H$84&gt;=Marketing!AY$3),'New Hires Forecast'!$N$5:$N$84,'New Hires Forecast'!$L$5:$L$84)),0),IF(YEAR(AY$3)=YEAR('New Hires Forecast'!$O$3),IF((AY$5=12),(SUMPRODUCT(--('New Hires Forecast'!$F$5:$F$84="Marketing"),--('New Hires Forecast'!$H$5:$H$84&gt;=Marketing!AY$3),'New Hires Forecast'!$O$5:$O$84,'New Hires Forecast'!$L$5:$L$84)),0),IF(YEAR(AY$3)=YEAR('New Hires Forecast'!$P$3),IF((AY$5=12),(SUMPRODUCT(--('New Hires Forecast'!$F$5:$F$84="Marketing"),--('New Hires Forecast'!$H$5:$H$84&gt;=Marketing!AY$3),'New Hires Forecast'!$P$5:$P$84,'New Hires Forecast'!$L$5:$L$84)),0),IF(YEAR(AY$3)=YEAR('New Hires Forecast'!$Q$3),IF((AY$5=12),(SUMPRODUCT(--('New Hires Forecast'!$F$5:$F$84="Marketing"),--('New Hires Forecast'!$H$5:$H$84&gt;=Marketing!AY$3),'New Hires Forecast'!$Q$5:$Q$84,'New Hires Forecast'!$L$5:$L$84)),0),IF(YEAR(AY$3)=YEAR('New Hires Forecast'!$R$3),IF((AY$5=12),(SUMPRODUCT(--('New Hires Forecast'!$F$5:$F$84="Marketing"),--('New Hires Forecast'!$H$5:$H$84&gt;=Marketing!AY$3),'New Hires Forecast'!$R$5:$R$84,'New Hires Forecast'!$L$5:$L$84)),0),"New Year"))))),0)</f>
        <v>0</v>
      </c>
      <c r="AZ15" s="684">
        <f>IF(AZ$4="forecast",IF(YEAR(AZ$3)=YEAR('New Hires Forecast'!$N$3),IF((AZ$5=12),(SUMPRODUCT(--('New Hires Forecast'!$F$5:$F$84="Marketing"),--('New Hires Forecast'!$H$5:$H$84&gt;=Marketing!AZ$3),'New Hires Forecast'!$N$5:$N$84,'New Hires Forecast'!$L$5:$L$84)),0),IF(YEAR(AZ$3)=YEAR('New Hires Forecast'!$O$3),IF((AZ$5=12),(SUMPRODUCT(--('New Hires Forecast'!$F$5:$F$84="Marketing"),--('New Hires Forecast'!$H$5:$H$84&gt;=Marketing!AZ$3),'New Hires Forecast'!$O$5:$O$84,'New Hires Forecast'!$L$5:$L$84)),0),IF(YEAR(AZ$3)=YEAR('New Hires Forecast'!$P$3),IF((AZ$5=12),(SUMPRODUCT(--('New Hires Forecast'!$F$5:$F$84="Marketing"),--('New Hires Forecast'!$H$5:$H$84&gt;=Marketing!AZ$3),'New Hires Forecast'!$P$5:$P$84,'New Hires Forecast'!$L$5:$L$84)),0),IF(YEAR(AZ$3)=YEAR('New Hires Forecast'!$Q$3),IF((AZ$5=12),(SUMPRODUCT(--('New Hires Forecast'!$F$5:$F$84="Marketing"),--('New Hires Forecast'!$H$5:$H$84&gt;=Marketing!AZ$3),'New Hires Forecast'!$Q$5:$Q$84,'New Hires Forecast'!$L$5:$L$84)),0),IF(YEAR(AZ$3)=YEAR('New Hires Forecast'!$R$3),IF((AZ$5=12),(SUMPRODUCT(--('New Hires Forecast'!$F$5:$F$84="Marketing"),--('New Hires Forecast'!$H$5:$H$84&gt;=Marketing!AZ$3),'New Hires Forecast'!$R$5:$R$84,'New Hires Forecast'!$L$5:$L$84)),0),"New Year"))))),0)</f>
        <v>0</v>
      </c>
      <c r="BA15" s="684">
        <f>IF(BA$4="forecast",IF(YEAR(BA$3)=YEAR('New Hires Forecast'!$N$3),IF((BA$5=12),(SUMPRODUCT(--('New Hires Forecast'!$F$5:$F$84="Marketing"),--('New Hires Forecast'!$H$5:$H$84&gt;=Marketing!BA$3),'New Hires Forecast'!$N$5:$N$84,'New Hires Forecast'!$L$5:$L$84)),0),IF(YEAR(BA$3)=YEAR('New Hires Forecast'!$O$3),IF((BA$5=12),(SUMPRODUCT(--('New Hires Forecast'!$F$5:$F$84="Marketing"),--('New Hires Forecast'!$H$5:$H$84&gt;=Marketing!BA$3),'New Hires Forecast'!$O$5:$O$84,'New Hires Forecast'!$L$5:$L$84)),0),IF(YEAR(BA$3)=YEAR('New Hires Forecast'!$P$3),IF((BA$5=12),(SUMPRODUCT(--('New Hires Forecast'!$F$5:$F$84="Marketing"),--('New Hires Forecast'!$H$5:$H$84&gt;=Marketing!BA$3),'New Hires Forecast'!$P$5:$P$84,'New Hires Forecast'!$L$5:$L$84)),0),IF(YEAR(BA$3)=YEAR('New Hires Forecast'!$Q$3),IF((BA$5=12),(SUMPRODUCT(--('New Hires Forecast'!$F$5:$F$84="Marketing"),--('New Hires Forecast'!$H$5:$H$84&gt;=Marketing!BA$3),'New Hires Forecast'!$Q$5:$Q$84,'New Hires Forecast'!$L$5:$L$84)),0),IF(YEAR(BA$3)=YEAR('New Hires Forecast'!$R$3),IF((BA$5=12),(SUMPRODUCT(--('New Hires Forecast'!$F$5:$F$84="Marketing"),--('New Hires Forecast'!$H$5:$H$84&gt;=Marketing!BA$3),'New Hires Forecast'!$R$5:$R$84,'New Hires Forecast'!$L$5:$L$84)),0),"New Year"))))),0)</f>
        <v>0</v>
      </c>
      <c r="BB15" s="684">
        <f>IF(BB$4="forecast",IF(YEAR(BB$3)=YEAR('New Hires Forecast'!$N$3),IF((BB$5=12),(SUMPRODUCT(--('New Hires Forecast'!$F$5:$F$84="Marketing"),--('New Hires Forecast'!$H$5:$H$84&gt;=Marketing!BB$3),'New Hires Forecast'!$N$5:$N$84,'New Hires Forecast'!$L$5:$L$84)),0),IF(YEAR(BB$3)=YEAR('New Hires Forecast'!$O$3),IF((BB$5=12),(SUMPRODUCT(--('New Hires Forecast'!$F$5:$F$84="Marketing"),--('New Hires Forecast'!$H$5:$H$84&gt;=Marketing!BB$3),'New Hires Forecast'!$O$5:$O$84,'New Hires Forecast'!$L$5:$L$84)),0),IF(YEAR(BB$3)=YEAR('New Hires Forecast'!$P$3),IF((BB$5=12),(SUMPRODUCT(--('New Hires Forecast'!$F$5:$F$84="Marketing"),--('New Hires Forecast'!$H$5:$H$84&gt;=Marketing!BB$3),'New Hires Forecast'!$P$5:$P$84,'New Hires Forecast'!$L$5:$L$84)),0),IF(YEAR(BB$3)=YEAR('New Hires Forecast'!$Q$3),IF((BB$5=12),(SUMPRODUCT(--('New Hires Forecast'!$F$5:$F$84="Marketing"),--('New Hires Forecast'!$H$5:$H$84&gt;=Marketing!BB$3),'New Hires Forecast'!$Q$5:$Q$84,'New Hires Forecast'!$L$5:$L$84)),0),IF(YEAR(BB$3)=YEAR('New Hires Forecast'!$R$3),IF((BB$5=12),(SUMPRODUCT(--('New Hires Forecast'!$F$5:$F$84="Marketing"),--('New Hires Forecast'!$H$5:$H$84&gt;=Marketing!BB$3),'New Hires Forecast'!$R$5:$R$84,'New Hires Forecast'!$L$5:$L$84)),0),"New Year"))))),0)</f>
        <v>0</v>
      </c>
      <c r="BC15" s="684">
        <f>IF(BC$4="forecast",IF(YEAR(BC$3)=YEAR('New Hires Forecast'!$N$3),IF((BC$5=12),(SUMPRODUCT(--('New Hires Forecast'!$F$5:$F$84="Marketing"),--('New Hires Forecast'!$H$5:$H$84&gt;=Marketing!BC$3),'New Hires Forecast'!$N$5:$N$84,'New Hires Forecast'!$L$5:$L$84)),0),IF(YEAR(BC$3)=YEAR('New Hires Forecast'!$O$3),IF((BC$5=12),(SUMPRODUCT(--('New Hires Forecast'!$F$5:$F$84="Marketing"),--('New Hires Forecast'!$H$5:$H$84&gt;=Marketing!BC$3),'New Hires Forecast'!$O$5:$O$84,'New Hires Forecast'!$L$5:$L$84)),0),IF(YEAR(BC$3)=YEAR('New Hires Forecast'!$P$3),IF((BC$5=12),(SUMPRODUCT(--('New Hires Forecast'!$F$5:$F$84="Marketing"),--('New Hires Forecast'!$H$5:$H$84&gt;=Marketing!BC$3),'New Hires Forecast'!$P$5:$P$84,'New Hires Forecast'!$L$5:$L$84)),0),IF(YEAR(BC$3)=YEAR('New Hires Forecast'!$Q$3),IF((BC$5=12),(SUMPRODUCT(--('New Hires Forecast'!$F$5:$F$84="Marketing"),--('New Hires Forecast'!$H$5:$H$84&gt;=Marketing!BC$3),'New Hires Forecast'!$Q$5:$Q$84,'New Hires Forecast'!$L$5:$L$84)),0),IF(YEAR(BC$3)=YEAR('New Hires Forecast'!$R$3),IF((BC$5=12),(SUMPRODUCT(--('New Hires Forecast'!$F$5:$F$84="Marketing"),--('New Hires Forecast'!$H$5:$H$84&gt;=Marketing!BC$3),'New Hires Forecast'!$R$5:$R$84,'New Hires Forecast'!$L$5:$L$84)),0),"New Year"))))),0)</f>
        <v>0</v>
      </c>
      <c r="BD15" s="684">
        <f>IF(BD$4="forecast",IF(YEAR(BD$3)=YEAR('New Hires Forecast'!$N$3),IF((BD$5=12),(SUMPRODUCT(--('New Hires Forecast'!$F$5:$F$84="Marketing"),--('New Hires Forecast'!$H$5:$H$84&gt;=Marketing!BD$3),'New Hires Forecast'!$N$5:$N$84,'New Hires Forecast'!$L$5:$L$84)),0),IF(YEAR(BD$3)=YEAR('New Hires Forecast'!$O$3),IF((BD$5=12),(SUMPRODUCT(--('New Hires Forecast'!$F$5:$F$84="Marketing"),--('New Hires Forecast'!$H$5:$H$84&gt;=Marketing!BD$3),'New Hires Forecast'!$O$5:$O$84,'New Hires Forecast'!$L$5:$L$84)),0),IF(YEAR(BD$3)=YEAR('New Hires Forecast'!$P$3),IF((BD$5=12),(SUMPRODUCT(--('New Hires Forecast'!$F$5:$F$84="Marketing"),--('New Hires Forecast'!$H$5:$H$84&gt;=Marketing!BD$3),'New Hires Forecast'!$P$5:$P$84,'New Hires Forecast'!$L$5:$L$84)),0),IF(YEAR(BD$3)=YEAR('New Hires Forecast'!$Q$3),IF((BD$5=12),(SUMPRODUCT(--('New Hires Forecast'!$F$5:$F$84="Marketing"),--('New Hires Forecast'!$H$5:$H$84&gt;=Marketing!BD$3),'New Hires Forecast'!$Q$5:$Q$84,'New Hires Forecast'!$L$5:$L$84)),0),IF(YEAR(BD$3)=YEAR('New Hires Forecast'!$R$3),IF((BD$5=12),(SUMPRODUCT(--('New Hires Forecast'!$F$5:$F$84="Marketing"),--('New Hires Forecast'!$H$5:$H$84&gt;=Marketing!BD$3),'New Hires Forecast'!$R$5:$R$84,'New Hires Forecast'!$L$5:$L$84)),0),"New Year"))))),0)</f>
        <v>0</v>
      </c>
      <c r="BE15" s="684">
        <f>IF(BE$4="forecast",IF(YEAR(BE$3)=YEAR('New Hires Forecast'!$N$3),IF((BE$5=12),(SUMPRODUCT(--('New Hires Forecast'!$F$5:$F$84="Marketing"),--('New Hires Forecast'!$H$5:$H$84&gt;=Marketing!BE$3),'New Hires Forecast'!$N$5:$N$84,'New Hires Forecast'!$L$5:$L$84)),0),IF(YEAR(BE$3)=YEAR('New Hires Forecast'!$O$3),IF((BE$5=12),(SUMPRODUCT(--('New Hires Forecast'!$F$5:$F$84="Marketing"),--('New Hires Forecast'!$H$5:$H$84&gt;=Marketing!BE$3),'New Hires Forecast'!$O$5:$O$84,'New Hires Forecast'!$L$5:$L$84)),0),IF(YEAR(BE$3)=YEAR('New Hires Forecast'!$P$3),IF((BE$5=12),(SUMPRODUCT(--('New Hires Forecast'!$F$5:$F$84="Marketing"),--('New Hires Forecast'!$H$5:$H$84&gt;=Marketing!BE$3),'New Hires Forecast'!$P$5:$P$84,'New Hires Forecast'!$L$5:$L$84)),0),IF(YEAR(BE$3)=YEAR('New Hires Forecast'!$Q$3),IF((BE$5=12),(SUMPRODUCT(--('New Hires Forecast'!$F$5:$F$84="Marketing"),--('New Hires Forecast'!$H$5:$H$84&gt;=Marketing!BE$3),'New Hires Forecast'!$Q$5:$Q$84,'New Hires Forecast'!$L$5:$L$84)),0),IF(YEAR(BE$3)=YEAR('New Hires Forecast'!$R$3),IF((BE$5=12),(SUMPRODUCT(--('New Hires Forecast'!$F$5:$F$84="Marketing"),--('New Hires Forecast'!$H$5:$H$84&gt;=Marketing!BE$3),'New Hires Forecast'!$R$5:$R$84,'New Hires Forecast'!$L$5:$L$84)),0),"New Year"))))),0)</f>
        <v>0</v>
      </c>
      <c r="BF15" s="684">
        <f>IF(BF$4="forecast",IF(YEAR(BF$3)=YEAR('New Hires Forecast'!$N$3),IF((BF$5=12),(SUMPRODUCT(--('New Hires Forecast'!$F$5:$F$84="Marketing"),--('New Hires Forecast'!$H$5:$H$84&gt;=Marketing!BF$3),'New Hires Forecast'!$N$5:$N$84,'New Hires Forecast'!$L$5:$L$84)),0),IF(YEAR(BF$3)=YEAR('New Hires Forecast'!$O$3),IF((BF$5=12),(SUMPRODUCT(--('New Hires Forecast'!$F$5:$F$84="Marketing"),--('New Hires Forecast'!$H$5:$H$84&gt;=Marketing!BF$3),'New Hires Forecast'!$O$5:$O$84,'New Hires Forecast'!$L$5:$L$84)),0),IF(YEAR(BF$3)=YEAR('New Hires Forecast'!$P$3),IF((BF$5=12),(SUMPRODUCT(--('New Hires Forecast'!$F$5:$F$84="Marketing"),--('New Hires Forecast'!$H$5:$H$84&gt;=Marketing!BF$3),'New Hires Forecast'!$P$5:$P$84,'New Hires Forecast'!$L$5:$L$84)),0),IF(YEAR(BF$3)=YEAR('New Hires Forecast'!$Q$3),IF((BF$5=12),(SUMPRODUCT(--('New Hires Forecast'!$F$5:$F$84="Marketing"),--('New Hires Forecast'!$H$5:$H$84&gt;=Marketing!BF$3),'New Hires Forecast'!$Q$5:$Q$84,'New Hires Forecast'!$L$5:$L$84)),0),IF(YEAR(BF$3)=YEAR('New Hires Forecast'!$R$3),IF((BF$5=12),(SUMPRODUCT(--('New Hires Forecast'!$F$5:$F$84="Marketing"),--('New Hires Forecast'!$H$5:$H$84&gt;=Marketing!BF$3),'New Hires Forecast'!$R$5:$R$84,'New Hires Forecast'!$L$5:$L$84)),0),"New Year"))))),0)</f>
        <v>0</v>
      </c>
      <c r="BG15" s="684">
        <f>IF(BG$4="forecast",IF(YEAR(BG$3)=YEAR('New Hires Forecast'!$N$3),IF((BG$5=12),(SUMPRODUCT(--('New Hires Forecast'!$F$5:$F$84="Marketing"),--('New Hires Forecast'!$H$5:$H$84&gt;=Marketing!BG$3),'New Hires Forecast'!$N$5:$N$84,'New Hires Forecast'!$L$5:$L$84)),0),IF(YEAR(BG$3)=YEAR('New Hires Forecast'!$O$3),IF((BG$5=12),(SUMPRODUCT(--('New Hires Forecast'!$F$5:$F$84="Marketing"),--('New Hires Forecast'!$H$5:$H$84&gt;=Marketing!BG$3),'New Hires Forecast'!$O$5:$O$84,'New Hires Forecast'!$L$5:$L$84)),0),IF(YEAR(BG$3)=YEAR('New Hires Forecast'!$P$3),IF((BG$5=12),(SUMPRODUCT(--('New Hires Forecast'!$F$5:$F$84="Marketing"),--('New Hires Forecast'!$H$5:$H$84&gt;=Marketing!BG$3),'New Hires Forecast'!$P$5:$P$84,'New Hires Forecast'!$L$5:$L$84)),0),IF(YEAR(BG$3)=YEAR('New Hires Forecast'!$Q$3),IF((BG$5=12),(SUMPRODUCT(--('New Hires Forecast'!$F$5:$F$84="Marketing"),--('New Hires Forecast'!$H$5:$H$84&gt;=Marketing!BG$3),'New Hires Forecast'!$Q$5:$Q$84,'New Hires Forecast'!$L$5:$L$84)),0),IF(YEAR(BG$3)=YEAR('New Hires Forecast'!$R$3),IF((BG$5=12),(SUMPRODUCT(--('New Hires Forecast'!$F$5:$F$84="Marketing"),--('New Hires Forecast'!$H$5:$H$84&gt;=Marketing!BG$3),'New Hires Forecast'!$R$5:$R$84,'New Hires Forecast'!$L$5:$L$84)),0),"New Year"))))),0)</f>
        <v>0</v>
      </c>
      <c r="BH15" s="684">
        <f>IF(BH$4="forecast",IF(YEAR(BH$3)=YEAR('New Hires Forecast'!$N$3),IF((BH$5=12),(SUMPRODUCT(--('New Hires Forecast'!$F$5:$F$84="Marketing"),--('New Hires Forecast'!$H$5:$H$84&gt;=Marketing!BH$3),'New Hires Forecast'!$N$5:$N$84,'New Hires Forecast'!$L$5:$L$84)),0),IF(YEAR(BH$3)=YEAR('New Hires Forecast'!$O$3),IF((BH$5=12),(SUMPRODUCT(--('New Hires Forecast'!$F$5:$F$84="Marketing"),--('New Hires Forecast'!$H$5:$H$84&gt;=Marketing!BH$3),'New Hires Forecast'!$O$5:$O$84,'New Hires Forecast'!$L$5:$L$84)),0),IF(YEAR(BH$3)=YEAR('New Hires Forecast'!$P$3),IF((BH$5=12),(SUMPRODUCT(--('New Hires Forecast'!$F$5:$F$84="Marketing"),--('New Hires Forecast'!$H$5:$H$84&gt;=Marketing!BH$3),'New Hires Forecast'!$P$5:$P$84,'New Hires Forecast'!$L$5:$L$84)),0),IF(YEAR(BH$3)=YEAR('New Hires Forecast'!$Q$3),IF((BH$5=12),(SUMPRODUCT(--('New Hires Forecast'!$F$5:$F$84="Marketing"),--('New Hires Forecast'!$H$5:$H$84&gt;=Marketing!BH$3),'New Hires Forecast'!$Q$5:$Q$84,'New Hires Forecast'!$L$5:$L$84)),0),IF(YEAR(BH$3)=YEAR('New Hires Forecast'!$R$3),IF((BH$5=12),(SUMPRODUCT(--('New Hires Forecast'!$F$5:$F$84="Marketing"),--('New Hires Forecast'!$H$5:$H$84&gt;=Marketing!BH$3),'New Hires Forecast'!$R$5:$R$84,'New Hires Forecast'!$L$5:$L$84)),0),"New Year"))))),0)</f>
        <v>0</v>
      </c>
      <c r="BI15" s="684">
        <f>IF(BI$4="forecast",IF(YEAR(BI$3)=YEAR('New Hires Forecast'!$N$3),IF((BI$5=12),(SUMPRODUCT(--('New Hires Forecast'!$F$5:$F$84="Marketing"),--('New Hires Forecast'!$H$5:$H$84&gt;=Marketing!BI$3),'New Hires Forecast'!$N$5:$N$84,'New Hires Forecast'!$L$5:$L$84)),0),IF(YEAR(BI$3)=YEAR('New Hires Forecast'!$O$3),IF((BI$5=12),(SUMPRODUCT(--('New Hires Forecast'!$F$5:$F$84="Marketing"),--('New Hires Forecast'!$H$5:$H$84&gt;=Marketing!BI$3),'New Hires Forecast'!$O$5:$O$84,'New Hires Forecast'!$L$5:$L$84)),0),IF(YEAR(BI$3)=YEAR('New Hires Forecast'!$P$3),IF((BI$5=12),(SUMPRODUCT(--('New Hires Forecast'!$F$5:$F$84="Marketing"),--('New Hires Forecast'!$H$5:$H$84&gt;=Marketing!BI$3),'New Hires Forecast'!$P$5:$P$84,'New Hires Forecast'!$L$5:$L$84)),0),IF(YEAR(BI$3)=YEAR('New Hires Forecast'!$Q$3),IF((BI$5=12),(SUMPRODUCT(--('New Hires Forecast'!$F$5:$F$84="Marketing"),--('New Hires Forecast'!$H$5:$H$84&gt;=Marketing!BI$3),'New Hires Forecast'!$Q$5:$Q$84,'New Hires Forecast'!$L$5:$L$84)),0),IF(YEAR(BI$3)=YEAR('New Hires Forecast'!$R$3),IF((BI$5=12),(SUMPRODUCT(--('New Hires Forecast'!$F$5:$F$84="Marketing"),--('New Hires Forecast'!$H$5:$H$84&gt;=Marketing!BI$3),'New Hires Forecast'!$R$5:$R$84,'New Hires Forecast'!$L$5:$L$84)),0),"New Year"))))),0)</f>
        <v>0</v>
      </c>
      <c r="BJ15" s="684">
        <f>IF(BJ$4="forecast",IF(YEAR(BJ$3)=YEAR('New Hires Forecast'!$N$3),IF((BJ$5=12),(SUMPRODUCT(--('New Hires Forecast'!$F$5:$F$84="Marketing"),--('New Hires Forecast'!$H$5:$H$84&gt;=Marketing!BJ$3),'New Hires Forecast'!$N$5:$N$84,'New Hires Forecast'!$L$5:$L$84)),0),IF(YEAR(BJ$3)=YEAR('New Hires Forecast'!$O$3),IF((BJ$5=12),(SUMPRODUCT(--('New Hires Forecast'!$F$5:$F$84="Marketing"),--('New Hires Forecast'!$H$5:$H$84&gt;=Marketing!BJ$3),'New Hires Forecast'!$O$5:$O$84,'New Hires Forecast'!$L$5:$L$84)),0),IF(YEAR(BJ$3)=YEAR('New Hires Forecast'!$P$3),IF((BJ$5=12),(SUMPRODUCT(--('New Hires Forecast'!$F$5:$F$84="Marketing"),--('New Hires Forecast'!$H$5:$H$84&gt;=Marketing!BJ$3),'New Hires Forecast'!$P$5:$P$84,'New Hires Forecast'!$L$5:$L$84)),0),IF(YEAR(BJ$3)=YEAR('New Hires Forecast'!$Q$3),IF((BJ$5=12),(SUMPRODUCT(--('New Hires Forecast'!$F$5:$F$84="Marketing"),--('New Hires Forecast'!$H$5:$H$84&gt;=Marketing!BJ$3),'New Hires Forecast'!$Q$5:$Q$84,'New Hires Forecast'!$L$5:$L$84)),0),IF(YEAR(BJ$3)=YEAR('New Hires Forecast'!$R$3),IF((BJ$5=12),(SUMPRODUCT(--('New Hires Forecast'!$F$5:$F$84="Marketing"),--('New Hires Forecast'!$H$5:$H$84&gt;=Marketing!BJ$3),'New Hires Forecast'!$R$5:$R$84,'New Hires Forecast'!$L$5:$L$84)),0),"New Year"))))),0)</f>
        <v>15383.050000000001</v>
      </c>
      <c r="BK15" s="684">
        <f>IF(BK$4="forecast",IF(YEAR(BK$3)=YEAR('New Hires Forecast'!$N$3),IF((BK$5=12),(SUMPRODUCT(--('New Hires Forecast'!$F$5:$F$84="Marketing"),--('New Hires Forecast'!$H$5:$H$84&gt;=Marketing!BK$3),'New Hires Forecast'!$N$5:$N$84,'New Hires Forecast'!$L$5:$L$84)),0),IF(YEAR(BK$3)=YEAR('New Hires Forecast'!$O$3),IF((BK$5=12),(SUMPRODUCT(--('New Hires Forecast'!$F$5:$F$84="Marketing"),--('New Hires Forecast'!$H$5:$H$84&gt;=Marketing!BK$3),'New Hires Forecast'!$O$5:$O$84,'New Hires Forecast'!$L$5:$L$84)),0),IF(YEAR(BK$3)=YEAR('New Hires Forecast'!$P$3),IF((BK$5=12),(SUMPRODUCT(--('New Hires Forecast'!$F$5:$F$84="Marketing"),--('New Hires Forecast'!$H$5:$H$84&gt;=Marketing!BK$3),'New Hires Forecast'!$P$5:$P$84,'New Hires Forecast'!$L$5:$L$84)),0),IF(YEAR(BK$3)=YEAR('New Hires Forecast'!$Q$3),IF((BK$5=12),(SUMPRODUCT(--('New Hires Forecast'!$F$5:$F$84="Marketing"),--('New Hires Forecast'!$H$5:$H$84&gt;=Marketing!BK$3),'New Hires Forecast'!$Q$5:$Q$84,'New Hires Forecast'!$L$5:$L$84)),0),IF(YEAR(BK$3)=YEAR('New Hires Forecast'!$R$3),IF((BK$5=12),(SUMPRODUCT(--('New Hires Forecast'!$F$5:$F$84="Marketing"),--('New Hires Forecast'!$H$5:$H$84&gt;=Marketing!BK$3),'New Hires Forecast'!$R$5:$R$84,'New Hires Forecast'!$L$5:$L$84)),0),"New Year"))))),0)</f>
        <v>0</v>
      </c>
      <c r="BL15" s="684">
        <f>IF(BL$4="forecast",IF(YEAR(BL$3)=YEAR('New Hires Forecast'!$N$3),IF((BL$5=12),(SUMPRODUCT(--('New Hires Forecast'!$F$5:$F$84="Marketing"),--('New Hires Forecast'!$H$5:$H$84&gt;=Marketing!BL$3),'New Hires Forecast'!$N$5:$N$84,'New Hires Forecast'!$L$5:$L$84)),0),IF(YEAR(BL$3)=YEAR('New Hires Forecast'!$O$3),IF((BL$5=12),(SUMPRODUCT(--('New Hires Forecast'!$F$5:$F$84="Marketing"),--('New Hires Forecast'!$H$5:$H$84&gt;=Marketing!BL$3),'New Hires Forecast'!$O$5:$O$84,'New Hires Forecast'!$L$5:$L$84)),0),IF(YEAR(BL$3)=YEAR('New Hires Forecast'!$P$3),IF((BL$5=12),(SUMPRODUCT(--('New Hires Forecast'!$F$5:$F$84="Marketing"),--('New Hires Forecast'!$H$5:$H$84&gt;=Marketing!BL$3),'New Hires Forecast'!$P$5:$P$84,'New Hires Forecast'!$L$5:$L$84)),0),IF(YEAR(BL$3)=YEAR('New Hires Forecast'!$Q$3),IF((BL$5=12),(SUMPRODUCT(--('New Hires Forecast'!$F$5:$F$84="Marketing"),--('New Hires Forecast'!$H$5:$H$84&gt;=Marketing!BL$3),'New Hires Forecast'!$Q$5:$Q$84,'New Hires Forecast'!$L$5:$L$84)),0),IF(YEAR(BL$3)=YEAR('New Hires Forecast'!$R$3),IF((BL$5=12),(SUMPRODUCT(--('New Hires Forecast'!$F$5:$F$84="Marketing"),--('New Hires Forecast'!$H$5:$H$84&gt;=Marketing!BL$3),'New Hires Forecast'!$R$5:$R$84,'New Hires Forecast'!$L$5:$L$84)),0),"New Year"))))),0)</f>
        <v>0</v>
      </c>
      <c r="BM15" s="684">
        <f>IF(BM$4="forecast",IF(YEAR(BM$3)=YEAR('New Hires Forecast'!$N$3),IF((BM$5=12),(SUMPRODUCT(--('New Hires Forecast'!$F$5:$F$84="Marketing"),--('New Hires Forecast'!$H$5:$H$84&gt;=Marketing!BM$3),'New Hires Forecast'!$N$5:$N$84,'New Hires Forecast'!$L$5:$L$84)),0),IF(YEAR(BM$3)=YEAR('New Hires Forecast'!$O$3),IF((BM$5=12),(SUMPRODUCT(--('New Hires Forecast'!$F$5:$F$84="Marketing"),--('New Hires Forecast'!$H$5:$H$84&gt;=Marketing!BM$3),'New Hires Forecast'!$O$5:$O$84,'New Hires Forecast'!$L$5:$L$84)),0),IF(YEAR(BM$3)=YEAR('New Hires Forecast'!$P$3),IF((BM$5=12),(SUMPRODUCT(--('New Hires Forecast'!$F$5:$F$84="Marketing"),--('New Hires Forecast'!$H$5:$H$84&gt;=Marketing!BM$3),'New Hires Forecast'!$P$5:$P$84,'New Hires Forecast'!$L$5:$L$84)),0),IF(YEAR(BM$3)=YEAR('New Hires Forecast'!$Q$3),IF((BM$5=12),(SUMPRODUCT(--('New Hires Forecast'!$F$5:$F$84="Marketing"),--('New Hires Forecast'!$H$5:$H$84&gt;=Marketing!BM$3),'New Hires Forecast'!$Q$5:$Q$84,'New Hires Forecast'!$L$5:$L$84)),0),IF(YEAR(BM$3)=YEAR('New Hires Forecast'!$R$3),IF((BM$5=12),(SUMPRODUCT(--('New Hires Forecast'!$F$5:$F$84="Marketing"),--('New Hires Forecast'!$H$5:$H$84&gt;=Marketing!BM$3),'New Hires Forecast'!$R$5:$R$84,'New Hires Forecast'!$L$5:$L$84)),0),"New Year"))))),0)</f>
        <v>0</v>
      </c>
      <c r="BN15" s="684">
        <f>IF(BN$4="forecast",IF(YEAR(BN$3)=YEAR('New Hires Forecast'!$N$3),IF((BN$5=12),(SUMPRODUCT(--('New Hires Forecast'!$F$5:$F$84="Marketing"),--('New Hires Forecast'!$H$5:$H$84&gt;=Marketing!BN$3),'New Hires Forecast'!$N$5:$N$84,'New Hires Forecast'!$L$5:$L$84)),0),IF(YEAR(BN$3)=YEAR('New Hires Forecast'!$O$3),IF((BN$5=12),(SUMPRODUCT(--('New Hires Forecast'!$F$5:$F$84="Marketing"),--('New Hires Forecast'!$H$5:$H$84&gt;=Marketing!BN$3),'New Hires Forecast'!$O$5:$O$84,'New Hires Forecast'!$L$5:$L$84)),0),IF(YEAR(BN$3)=YEAR('New Hires Forecast'!$P$3),IF((BN$5=12),(SUMPRODUCT(--('New Hires Forecast'!$F$5:$F$84="Marketing"),--('New Hires Forecast'!$H$5:$H$84&gt;=Marketing!BN$3),'New Hires Forecast'!$P$5:$P$84,'New Hires Forecast'!$L$5:$L$84)),0),IF(YEAR(BN$3)=YEAR('New Hires Forecast'!$Q$3),IF((BN$5=12),(SUMPRODUCT(--('New Hires Forecast'!$F$5:$F$84="Marketing"),--('New Hires Forecast'!$H$5:$H$84&gt;=Marketing!BN$3),'New Hires Forecast'!$Q$5:$Q$84,'New Hires Forecast'!$L$5:$L$84)),0),IF(YEAR(BN$3)=YEAR('New Hires Forecast'!$R$3),IF((BN$5=12),(SUMPRODUCT(--('New Hires Forecast'!$F$5:$F$84="Marketing"),--('New Hires Forecast'!$H$5:$H$84&gt;=Marketing!BN$3),'New Hires Forecast'!$R$5:$R$84,'New Hires Forecast'!$L$5:$L$84)),0),"New Year"))))),0)</f>
        <v>0</v>
      </c>
      <c r="BO15" s="684">
        <f>IF(BO$4="forecast",IF(YEAR(BO$3)=YEAR('New Hires Forecast'!$N$3),IF((BO$5=12),(SUMPRODUCT(--('New Hires Forecast'!$F$5:$F$84="Marketing"),--('New Hires Forecast'!$H$5:$H$84&gt;=Marketing!BO$3),'New Hires Forecast'!$N$5:$N$84,'New Hires Forecast'!$L$5:$L$84)),0),IF(YEAR(BO$3)=YEAR('New Hires Forecast'!$O$3),IF((BO$5=12),(SUMPRODUCT(--('New Hires Forecast'!$F$5:$F$84="Marketing"),--('New Hires Forecast'!$H$5:$H$84&gt;=Marketing!BO$3),'New Hires Forecast'!$O$5:$O$84,'New Hires Forecast'!$L$5:$L$84)),0),IF(YEAR(BO$3)=YEAR('New Hires Forecast'!$P$3),IF((BO$5=12),(SUMPRODUCT(--('New Hires Forecast'!$F$5:$F$84="Marketing"),--('New Hires Forecast'!$H$5:$H$84&gt;=Marketing!BO$3),'New Hires Forecast'!$P$5:$P$84,'New Hires Forecast'!$L$5:$L$84)),0),IF(YEAR(BO$3)=YEAR('New Hires Forecast'!$Q$3),IF((BO$5=12),(SUMPRODUCT(--('New Hires Forecast'!$F$5:$F$84="Marketing"),--('New Hires Forecast'!$H$5:$H$84&gt;=Marketing!BO$3),'New Hires Forecast'!$Q$5:$Q$84,'New Hires Forecast'!$L$5:$L$84)),0),IF(YEAR(BO$3)=YEAR('New Hires Forecast'!$R$3),IF((BO$5=12),(SUMPRODUCT(--('New Hires Forecast'!$F$5:$F$84="Marketing"),--('New Hires Forecast'!$H$5:$H$84&gt;=Marketing!BO$3),'New Hires Forecast'!$R$5:$R$84,'New Hires Forecast'!$L$5:$L$84)),0),"New Year"))))),0)</f>
        <v>0</v>
      </c>
      <c r="BP15" s="684">
        <f>IF(BP$4="forecast",IF(YEAR(BP$3)=YEAR('New Hires Forecast'!$N$3),IF((BP$5=12),(SUMPRODUCT(--('New Hires Forecast'!$F$5:$F$84="Marketing"),--('New Hires Forecast'!$H$5:$H$84&gt;=Marketing!BP$3),'New Hires Forecast'!$N$5:$N$84,'New Hires Forecast'!$L$5:$L$84)),0),IF(YEAR(BP$3)=YEAR('New Hires Forecast'!$O$3),IF((BP$5=12),(SUMPRODUCT(--('New Hires Forecast'!$F$5:$F$84="Marketing"),--('New Hires Forecast'!$H$5:$H$84&gt;=Marketing!BP$3),'New Hires Forecast'!$O$5:$O$84,'New Hires Forecast'!$L$5:$L$84)),0),IF(YEAR(BP$3)=YEAR('New Hires Forecast'!$P$3),IF((BP$5=12),(SUMPRODUCT(--('New Hires Forecast'!$F$5:$F$84="Marketing"),--('New Hires Forecast'!$H$5:$H$84&gt;=Marketing!BP$3),'New Hires Forecast'!$P$5:$P$84,'New Hires Forecast'!$L$5:$L$84)),0),IF(YEAR(BP$3)=YEAR('New Hires Forecast'!$Q$3),IF((BP$5=12),(SUMPRODUCT(--('New Hires Forecast'!$F$5:$F$84="Marketing"),--('New Hires Forecast'!$H$5:$H$84&gt;=Marketing!BP$3),'New Hires Forecast'!$Q$5:$Q$84,'New Hires Forecast'!$L$5:$L$84)),0),IF(YEAR(BP$3)=YEAR('New Hires Forecast'!$R$3),IF((BP$5=12),(SUMPRODUCT(--('New Hires Forecast'!$F$5:$F$84="Marketing"),--('New Hires Forecast'!$H$5:$H$84&gt;=Marketing!BP$3),'New Hires Forecast'!$R$5:$R$84,'New Hires Forecast'!$L$5:$L$84)),0),"New Year"))))),0)</f>
        <v>0</v>
      </c>
      <c r="BQ15" s="684">
        <f>IF(BQ$4="forecast",IF(YEAR(BQ$3)=YEAR('New Hires Forecast'!$N$3),IF((BQ$5=12),(SUMPRODUCT(--('New Hires Forecast'!$F$5:$F$84="Marketing"),--('New Hires Forecast'!$H$5:$H$84&gt;=Marketing!BQ$3),'New Hires Forecast'!$N$5:$N$84,'New Hires Forecast'!$L$5:$L$84)),0),IF(YEAR(BQ$3)=YEAR('New Hires Forecast'!$O$3),IF((BQ$5=12),(SUMPRODUCT(--('New Hires Forecast'!$F$5:$F$84="Marketing"),--('New Hires Forecast'!$H$5:$H$84&gt;=Marketing!BQ$3),'New Hires Forecast'!$O$5:$O$84,'New Hires Forecast'!$L$5:$L$84)),0),IF(YEAR(BQ$3)=YEAR('New Hires Forecast'!$P$3),IF((BQ$5=12),(SUMPRODUCT(--('New Hires Forecast'!$F$5:$F$84="Marketing"),--('New Hires Forecast'!$H$5:$H$84&gt;=Marketing!BQ$3),'New Hires Forecast'!$P$5:$P$84,'New Hires Forecast'!$L$5:$L$84)),0),IF(YEAR(BQ$3)=YEAR('New Hires Forecast'!$Q$3),IF((BQ$5=12),(SUMPRODUCT(--('New Hires Forecast'!$F$5:$F$84="Marketing"),--('New Hires Forecast'!$H$5:$H$84&gt;=Marketing!BQ$3),'New Hires Forecast'!$Q$5:$Q$84,'New Hires Forecast'!$L$5:$L$84)),0),IF(YEAR(BQ$3)=YEAR('New Hires Forecast'!$R$3),IF((BQ$5=12),(SUMPRODUCT(--('New Hires Forecast'!$F$5:$F$84="Marketing"),--('New Hires Forecast'!$H$5:$H$84&gt;=Marketing!BQ$3),'New Hires Forecast'!$R$5:$R$84,'New Hires Forecast'!$L$5:$L$84)),0),"New Year"))))),0)</f>
        <v>0</v>
      </c>
      <c r="BR15" s="684">
        <f>IF(BR$4="forecast",IF(YEAR(BR$3)=YEAR('New Hires Forecast'!$N$3),IF((BR$5=12),(SUMPRODUCT(--('New Hires Forecast'!$F$5:$F$84="Marketing"),--('New Hires Forecast'!$H$5:$H$84&gt;=Marketing!BR$3),'New Hires Forecast'!$N$5:$N$84,'New Hires Forecast'!$L$5:$L$84)),0),IF(YEAR(BR$3)=YEAR('New Hires Forecast'!$O$3),IF((BR$5=12),(SUMPRODUCT(--('New Hires Forecast'!$F$5:$F$84="Marketing"),--('New Hires Forecast'!$H$5:$H$84&gt;=Marketing!BR$3),'New Hires Forecast'!$O$5:$O$84,'New Hires Forecast'!$L$5:$L$84)),0),IF(YEAR(BR$3)=YEAR('New Hires Forecast'!$P$3),IF((BR$5=12),(SUMPRODUCT(--('New Hires Forecast'!$F$5:$F$84="Marketing"),--('New Hires Forecast'!$H$5:$H$84&gt;=Marketing!BR$3),'New Hires Forecast'!$P$5:$P$84,'New Hires Forecast'!$L$5:$L$84)),0),IF(YEAR(BR$3)=YEAR('New Hires Forecast'!$Q$3),IF((BR$5=12),(SUMPRODUCT(--('New Hires Forecast'!$F$5:$F$84="Marketing"),--('New Hires Forecast'!$H$5:$H$84&gt;=Marketing!BR$3),'New Hires Forecast'!$Q$5:$Q$84,'New Hires Forecast'!$L$5:$L$84)),0),IF(YEAR(BR$3)=YEAR('New Hires Forecast'!$R$3),IF((BR$5=12),(SUMPRODUCT(--('New Hires Forecast'!$F$5:$F$84="Marketing"),--('New Hires Forecast'!$H$5:$H$84&gt;=Marketing!BR$3),'New Hires Forecast'!$R$5:$R$84,'New Hires Forecast'!$L$5:$L$84)),0),"New Year"))))),0)</f>
        <v>0</v>
      </c>
      <c r="BS15" s="684">
        <f>IF(BS$4="forecast",IF(YEAR(BS$3)=YEAR('New Hires Forecast'!$N$3),IF((BS$5=12),(SUMPRODUCT(--('New Hires Forecast'!$F$5:$F$84="Marketing"),--('New Hires Forecast'!$H$5:$H$84&gt;=Marketing!BS$3),'New Hires Forecast'!$N$5:$N$84,'New Hires Forecast'!$L$5:$L$84)),0),IF(YEAR(BS$3)=YEAR('New Hires Forecast'!$O$3),IF((BS$5=12),(SUMPRODUCT(--('New Hires Forecast'!$F$5:$F$84="Marketing"),--('New Hires Forecast'!$H$5:$H$84&gt;=Marketing!BS$3),'New Hires Forecast'!$O$5:$O$84,'New Hires Forecast'!$L$5:$L$84)),0),IF(YEAR(BS$3)=YEAR('New Hires Forecast'!$P$3),IF((BS$5=12),(SUMPRODUCT(--('New Hires Forecast'!$F$5:$F$84="Marketing"),--('New Hires Forecast'!$H$5:$H$84&gt;=Marketing!BS$3),'New Hires Forecast'!$P$5:$P$84,'New Hires Forecast'!$L$5:$L$84)),0),IF(YEAR(BS$3)=YEAR('New Hires Forecast'!$Q$3),IF((BS$5=12),(SUMPRODUCT(--('New Hires Forecast'!$F$5:$F$84="Marketing"),--('New Hires Forecast'!$H$5:$H$84&gt;=Marketing!BS$3),'New Hires Forecast'!$Q$5:$Q$84,'New Hires Forecast'!$L$5:$L$84)),0),IF(YEAR(BS$3)=YEAR('New Hires Forecast'!$R$3),IF((BS$5=12),(SUMPRODUCT(--('New Hires Forecast'!$F$5:$F$84="Marketing"),--('New Hires Forecast'!$H$5:$H$84&gt;=Marketing!BS$3),'New Hires Forecast'!$R$5:$R$84,'New Hires Forecast'!$L$5:$L$84)),0),"New Year"))))),0)</f>
        <v>0</v>
      </c>
      <c r="BT15" s="684">
        <f>IF(BT$4="forecast",IF(YEAR(BT$3)=YEAR('New Hires Forecast'!$N$3),IF((BT$5=12),(SUMPRODUCT(--('New Hires Forecast'!$F$5:$F$84="Marketing"),--('New Hires Forecast'!$H$5:$H$84&gt;=Marketing!BT$3),'New Hires Forecast'!$N$5:$N$84,'New Hires Forecast'!$L$5:$L$84)),0),IF(YEAR(BT$3)=YEAR('New Hires Forecast'!$O$3),IF((BT$5=12),(SUMPRODUCT(--('New Hires Forecast'!$F$5:$F$84="Marketing"),--('New Hires Forecast'!$H$5:$H$84&gt;=Marketing!BT$3),'New Hires Forecast'!$O$5:$O$84,'New Hires Forecast'!$L$5:$L$84)),0),IF(YEAR(BT$3)=YEAR('New Hires Forecast'!$P$3),IF((BT$5=12),(SUMPRODUCT(--('New Hires Forecast'!$F$5:$F$84="Marketing"),--('New Hires Forecast'!$H$5:$H$84&gt;=Marketing!BT$3),'New Hires Forecast'!$P$5:$P$84,'New Hires Forecast'!$L$5:$L$84)),0),IF(YEAR(BT$3)=YEAR('New Hires Forecast'!$Q$3),IF((BT$5=12),(SUMPRODUCT(--('New Hires Forecast'!$F$5:$F$84="Marketing"),--('New Hires Forecast'!$H$5:$H$84&gt;=Marketing!BT$3),'New Hires Forecast'!$Q$5:$Q$84,'New Hires Forecast'!$L$5:$L$84)),0),IF(YEAR(BT$3)=YEAR('New Hires Forecast'!$R$3),IF((BT$5=12),(SUMPRODUCT(--('New Hires Forecast'!$F$5:$F$84="Marketing"),--('New Hires Forecast'!$H$5:$H$84&gt;=Marketing!BT$3),'New Hires Forecast'!$R$5:$R$84,'New Hires Forecast'!$L$5:$L$84)),0),"New Year"))))),0)</f>
        <v>0</v>
      </c>
      <c r="BU15" s="684">
        <f>IF(BU$4="forecast",IF(YEAR(BU$3)=YEAR('New Hires Forecast'!$N$3),IF((BU$5=12),(SUMPRODUCT(--('New Hires Forecast'!$F$5:$F$84="Marketing"),--('New Hires Forecast'!$H$5:$H$84&gt;=Marketing!BU$3),'New Hires Forecast'!$N$5:$N$84,'New Hires Forecast'!$L$5:$L$84)),0),IF(YEAR(BU$3)=YEAR('New Hires Forecast'!$O$3),IF((BU$5=12),(SUMPRODUCT(--('New Hires Forecast'!$F$5:$F$84="Marketing"),--('New Hires Forecast'!$H$5:$H$84&gt;=Marketing!BU$3),'New Hires Forecast'!$O$5:$O$84,'New Hires Forecast'!$L$5:$L$84)),0),IF(YEAR(BU$3)=YEAR('New Hires Forecast'!$P$3),IF((BU$5=12),(SUMPRODUCT(--('New Hires Forecast'!$F$5:$F$84="Marketing"),--('New Hires Forecast'!$H$5:$H$84&gt;=Marketing!BU$3),'New Hires Forecast'!$P$5:$P$84,'New Hires Forecast'!$L$5:$L$84)),0),IF(YEAR(BU$3)=YEAR('New Hires Forecast'!$Q$3),IF((BU$5=12),(SUMPRODUCT(--('New Hires Forecast'!$F$5:$F$84="Marketing"),--('New Hires Forecast'!$H$5:$H$84&gt;=Marketing!BU$3),'New Hires Forecast'!$Q$5:$Q$84,'New Hires Forecast'!$L$5:$L$84)),0),IF(YEAR(BU$3)=YEAR('New Hires Forecast'!$R$3),IF((BU$5=12),(SUMPRODUCT(--('New Hires Forecast'!$F$5:$F$84="Marketing"),--('New Hires Forecast'!$H$5:$H$84&gt;=Marketing!BU$3),'New Hires Forecast'!$R$5:$R$84,'New Hires Forecast'!$L$5:$L$84)),0),"New Year"))))),0)</f>
        <v>0</v>
      </c>
      <c r="BV15" s="808">
        <f>IF(BV$4="forecast",IF(YEAR(BV$3)=YEAR('New Hires Forecast'!$N$3),IF((BV$5=12),(SUMPRODUCT(--('New Hires Forecast'!$F$5:$F$84="Marketing"),--('New Hires Forecast'!$H$5:$H$84&gt;=Marketing!BV$3),'New Hires Forecast'!$N$5:$N$84,'New Hires Forecast'!$L$5:$L$84)),0),IF(YEAR(BV$3)=YEAR('New Hires Forecast'!$O$3),IF((BV$5=12),(SUMPRODUCT(--('New Hires Forecast'!$F$5:$F$84="Marketing"),--('New Hires Forecast'!$H$5:$H$84&gt;=Marketing!BV$3),'New Hires Forecast'!$O$5:$O$84,'New Hires Forecast'!$L$5:$L$84)),0),IF(YEAR(BV$3)=YEAR('New Hires Forecast'!$P$3),IF((BV$5=12),(SUMPRODUCT(--('New Hires Forecast'!$F$5:$F$84="Marketing"),--('New Hires Forecast'!$H$5:$H$84&gt;=Marketing!BV$3),'New Hires Forecast'!$P$5:$P$84,'New Hires Forecast'!$L$5:$L$84)),0),IF(YEAR(BV$3)=YEAR('New Hires Forecast'!$Q$3),IF((BV$5=12),(SUMPRODUCT(--('New Hires Forecast'!$F$5:$F$84="Marketing"),--('New Hires Forecast'!$H$5:$H$84&gt;=Marketing!BV$3),'New Hires Forecast'!$Q$5:$Q$84,'New Hires Forecast'!$L$5:$L$84)),0),IF(YEAR(BV$3)=YEAR('New Hires Forecast'!$R$3),IF((BV$5=12),(SUMPRODUCT(--('New Hires Forecast'!$F$5:$F$84="Marketing"),--('New Hires Forecast'!$H$5:$H$84&gt;=Marketing!BV$3),'New Hires Forecast'!$R$5:$R$84,'New Hires Forecast'!$L$5:$L$84)),0),"New Year"))))),0)</f>
        <v>15844.541500000001</v>
      </c>
    </row>
    <row r="16" spans="2:74" x14ac:dyDescent="0.35">
      <c r="B16" s="797" t="s">
        <v>937</v>
      </c>
      <c r="C16" s="684">
        <f>IF(C$4="forecast",IF(YEAR(C$3)=YEAR(Headcount!$N$4),IF((C$5=12),(SUMPRODUCT(--(Headcount!$F$6:$F$92="Marketing"),--(Headcount!$H$6:$H$92&gt;=Marketing!C$3),Headcount!$N$6:$N$92,Headcount!$L$6:$L$92)),0),IF(YEAR(C$3)=YEAR(Headcount!$O$4),IF((C$5=12),(SUMPRODUCT(--(Headcount!$F$6:$F$92="Marketing"),--(Headcount!$H$6:$H$92&gt;=Marketing!C$3),Headcount!$O$6:$O$92,Headcount!$L$6:$L$92)),0),IF(YEAR(C$3)=YEAR(Headcount!$P$4),IF((C$5=12),(SUMPRODUCT(--(Headcount!$F$6:$F$92="Marketing"),--(Headcount!$H$6:$H$92&gt;=Marketing!C$3),Headcount!$P$6:$P$92,Headcount!$L$6:$L$92)),0),IF(YEAR(C$3)=YEAR(Headcount!$Q$4),IF((C$5=12),(SUMPRODUCT(--(Headcount!$F$6:$F$92="Marketing"),--(Headcount!$H$6:$H$92&gt;=Marketing!C$3),Headcount!$Q$6:$Q$92,Headcount!$L$6:$L$92)),0),IF(YEAR(C$3)=YEAR(Headcount!$R$4),IF((C$5=12),(SUMPRODUCT(--(Headcount!$F$6:$F$92="Marketing"),--(Headcount!$H$6:$H$92&gt;=Marketing!C$3),Headcount!$R$6:$R$92,Headcount!$L$6:$L$92)),0),"New Year"))))),'Dept. Cost Actuals'!G310)</f>
        <v>0</v>
      </c>
      <c r="D16" s="684">
        <f>IF(D$4="forecast",IF(YEAR(D$3)=YEAR(Headcount!$N$4),IF((D$5=12),(SUMPRODUCT(--(Headcount!$F$6:$F$92="Marketing"),--(Headcount!$H$6:$H$92&gt;=Marketing!D$3),Headcount!$N$6:$N$92,Headcount!$L$6:$L$92)),0),IF(YEAR(D$3)=YEAR(Headcount!$O$4),IF((D$5=12),(SUMPRODUCT(--(Headcount!$F$6:$F$92="Marketing"),--(Headcount!$H$6:$H$92&gt;=Marketing!D$3),Headcount!$O$6:$O$92,Headcount!$L$6:$L$92)),0),IF(YEAR(D$3)=YEAR(Headcount!$P$4),IF((D$5=12),(SUMPRODUCT(--(Headcount!$F$6:$F$92="Marketing"),--(Headcount!$H$6:$H$92&gt;=Marketing!D$3),Headcount!$P$6:$P$92,Headcount!$L$6:$L$92)),0),IF(YEAR(D$3)=YEAR(Headcount!$Q$4),IF((D$5=12),(SUMPRODUCT(--(Headcount!$F$6:$F$92="Marketing"),--(Headcount!$H$6:$H$92&gt;=Marketing!D$3),Headcount!$Q$6:$Q$92,Headcount!$L$6:$L$92)),0),IF(YEAR(D$3)=YEAR(Headcount!$R$4),IF((D$5=12),(SUMPRODUCT(--(Headcount!$F$6:$F$92="Marketing"),--(Headcount!$H$6:$H$92&gt;=Marketing!D$3),Headcount!$R$6:$R$92,Headcount!$L$6:$L$92)),0),"New Year"))))),'Dept. Cost Actuals'!H310)</f>
        <v>0</v>
      </c>
      <c r="E16" s="684">
        <f>IF(E$4="forecast",IF(YEAR(E$3)=YEAR(Headcount!$N$4),IF((E$5=12),(SUMPRODUCT(--(Headcount!$F$6:$F$92="Marketing"),--(Headcount!$H$6:$H$92&gt;=Marketing!E$3),Headcount!$N$6:$N$92,Headcount!$L$6:$L$92)),0),IF(YEAR(E$3)=YEAR(Headcount!$O$4),IF((E$5=12),(SUMPRODUCT(--(Headcount!$F$6:$F$92="Marketing"),--(Headcount!$H$6:$H$92&gt;=Marketing!E$3),Headcount!$O$6:$O$92,Headcount!$L$6:$L$92)),0),IF(YEAR(E$3)=YEAR(Headcount!$P$4),IF((E$5=12),(SUMPRODUCT(--(Headcount!$F$6:$F$92="Marketing"),--(Headcount!$H$6:$H$92&gt;=Marketing!E$3),Headcount!$P$6:$P$92,Headcount!$L$6:$L$92)),0),IF(YEAR(E$3)=YEAR(Headcount!$Q$4),IF((E$5=12),(SUMPRODUCT(--(Headcount!$F$6:$F$92="Marketing"),--(Headcount!$H$6:$H$92&gt;=Marketing!E$3),Headcount!$Q$6:$Q$92,Headcount!$L$6:$L$92)),0),IF(YEAR(E$3)=YEAR(Headcount!$R$4),IF((E$5=12),(SUMPRODUCT(--(Headcount!$F$6:$F$92="Marketing"),--(Headcount!$H$6:$H$92&gt;=Marketing!E$3),Headcount!$R$6:$R$92,Headcount!$L$6:$L$92)),0),"New Year"))))),'Dept. Cost Actuals'!I310)</f>
        <v>0</v>
      </c>
      <c r="F16" s="684">
        <f>IF(F$4="forecast",IF(YEAR(F$3)=YEAR(Headcount!$N$4),IF((F$5=12),(SUMPRODUCT(--(Headcount!$F$6:$F$92="Marketing"),--(Headcount!$H$6:$H$92&gt;=Marketing!F$3),Headcount!$N$6:$N$92,Headcount!$L$6:$L$92)),0),IF(YEAR(F$3)=YEAR(Headcount!$O$4),IF((F$5=12),(SUMPRODUCT(--(Headcount!$F$6:$F$92="Marketing"),--(Headcount!$H$6:$H$92&gt;=Marketing!F$3),Headcount!$O$6:$O$92,Headcount!$L$6:$L$92)),0),IF(YEAR(F$3)=YEAR(Headcount!$P$4),IF((F$5=12),(SUMPRODUCT(--(Headcount!$F$6:$F$92="Marketing"),--(Headcount!$H$6:$H$92&gt;=Marketing!F$3),Headcount!$P$6:$P$92,Headcount!$L$6:$L$92)),0),IF(YEAR(F$3)=YEAR(Headcount!$Q$4),IF((F$5=12),(SUMPRODUCT(--(Headcount!$F$6:$F$92="Marketing"),--(Headcount!$H$6:$H$92&gt;=Marketing!F$3),Headcount!$Q$6:$Q$92,Headcount!$L$6:$L$92)),0),IF(YEAR(F$3)=YEAR(Headcount!$R$4),IF((F$5=12),(SUMPRODUCT(--(Headcount!$F$6:$F$92="Marketing"),--(Headcount!$H$6:$H$92&gt;=Marketing!F$3),Headcount!$R$6:$R$92,Headcount!$L$6:$L$92)),0),"New Year"))))),'Dept. Cost Actuals'!J310)</f>
        <v>0</v>
      </c>
      <c r="G16" s="684">
        <f>IF(G$4="forecast",IF(YEAR(G$3)=YEAR(Headcount!$N$4),IF((G$5=12),(SUMPRODUCT(--(Headcount!$F$6:$F$92="Marketing"),--(Headcount!$H$6:$H$92&gt;=Marketing!G$3),Headcount!$N$6:$N$92,Headcount!$L$6:$L$92)),0),IF(YEAR(G$3)=YEAR(Headcount!$O$4),IF((G$5=12),(SUMPRODUCT(--(Headcount!$F$6:$F$92="Marketing"),--(Headcount!$H$6:$H$92&gt;=Marketing!G$3),Headcount!$O$6:$O$92,Headcount!$L$6:$L$92)),0),IF(YEAR(G$3)=YEAR(Headcount!$P$4),IF((G$5=12),(SUMPRODUCT(--(Headcount!$F$6:$F$92="Marketing"),--(Headcount!$H$6:$H$92&gt;=Marketing!G$3),Headcount!$P$6:$P$92,Headcount!$L$6:$L$92)),0),IF(YEAR(G$3)=YEAR(Headcount!$Q$4),IF((G$5=12),(SUMPRODUCT(--(Headcount!$F$6:$F$92="Marketing"),--(Headcount!$H$6:$H$92&gt;=Marketing!G$3),Headcount!$Q$6:$Q$92,Headcount!$L$6:$L$92)),0),IF(YEAR(G$3)=YEAR(Headcount!$R$4),IF((G$5=12),(SUMPRODUCT(--(Headcount!$F$6:$F$92="Marketing"),--(Headcount!$H$6:$H$92&gt;=Marketing!G$3),Headcount!$R$6:$R$92,Headcount!$L$6:$L$92)),0),"New Year"))))),'Dept. Cost Actuals'!K310)</f>
        <v>0</v>
      </c>
      <c r="H16" s="684">
        <f>IF(H$4="forecast",IF(YEAR(H$3)=YEAR(Headcount!$N$4),IF((H$5=12),(SUMPRODUCT(--(Headcount!$F$6:$F$92="Marketing"),--(Headcount!$H$6:$H$92&gt;=Marketing!H$3),Headcount!$N$6:$N$92,Headcount!$L$6:$L$92)),0),IF(YEAR(H$3)=YEAR(Headcount!$O$4),IF((H$5=12),(SUMPRODUCT(--(Headcount!$F$6:$F$92="Marketing"),--(Headcount!$H$6:$H$92&gt;=Marketing!H$3),Headcount!$O$6:$O$92,Headcount!$L$6:$L$92)),0),IF(YEAR(H$3)=YEAR(Headcount!$P$4),IF((H$5=12),(SUMPRODUCT(--(Headcount!$F$6:$F$92="Marketing"),--(Headcount!$H$6:$H$92&gt;=Marketing!H$3),Headcount!$P$6:$P$92,Headcount!$L$6:$L$92)),0),IF(YEAR(H$3)=YEAR(Headcount!$Q$4),IF((H$5=12),(SUMPRODUCT(--(Headcount!$F$6:$F$92="Marketing"),--(Headcount!$H$6:$H$92&gt;=Marketing!H$3),Headcount!$Q$6:$Q$92,Headcount!$L$6:$L$92)),0),IF(YEAR(H$3)=YEAR(Headcount!$R$4),IF((H$5=12),(SUMPRODUCT(--(Headcount!$F$6:$F$92="Marketing"),--(Headcount!$H$6:$H$92&gt;=Marketing!H$3),Headcount!$R$6:$R$92,Headcount!$L$6:$L$92)),0),"New Year"))))),'Dept. Cost Actuals'!L310)</f>
        <v>0</v>
      </c>
      <c r="I16" s="684">
        <f>IF(I$4="forecast",IF(YEAR(I$3)=YEAR(Headcount!$N$4),IF((I$5=12),(SUMPRODUCT(--(Headcount!$F$6:$F$92="Marketing"),--(Headcount!$H$6:$H$92&gt;=Marketing!I$3),Headcount!$N$6:$N$92,Headcount!$L$6:$L$92)),0),IF(YEAR(I$3)=YEAR(Headcount!$O$4),IF((I$5=12),(SUMPRODUCT(--(Headcount!$F$6:$F$92="Marketing"),--(Headcount!$H$6:$H$92&gt;=Marketing!I$3),Headcount!$O$6:$O$92,Headcount!$L$6:$L$92)),0),IF(YEAR(I$3)=YEAR(Headcount!$P$4),IF((I$5=12),(SUMPRODUCT(--(Headcount!$F$6:$F$92="Marketing"),--(Headcount!$H$6:$H$92&gt;=Marketing!I$3),Headcount!$P$6:$P$92,Headcount!$L$6:$L$92)),0),IF(YEAR(I$3)=YEAR(Headcount!$Q$4),IF((I$5=12),(SUMPRODUCT(--(Headcount!$F$6:$F$92="Marketing"),--(Headcount!$H$6:$H$92&gt;=Marketing!I$3),Headcount!$Q$6:$Q$92,Headcount!$L$6:$L$92)),0),IF(YEAR(I$3)=YEAR(Headcount!$R$4),IF((I$5=12),(SUMPRODUCT(--(Headcount!$F$6:$F$92="Marketing"),--(Headcount!$H$6:$H$92&gt;=Marketing!I$3),Headcount!$R$6:$R$92,Headcount!$L$6:$L$92)),0),"New Year"))))),'Dept. Cost Actuals'!M310)</f>
        <v>0</v>
      </c>
      <c r="J16" s="684">
        <f>IF(J$4="forecast",IF(YEAR(J$3)=YEAR(Headcount!$N$4),IF((J$5=12),(SUMPRODUCT(--(Headcount!$F$6:$F$92="Marketing"),--(Headcount!$H$6:$H$92&gt;=Marketing!J$3),Headcount!$N$6:$N$92,Headcount!$L$6:$L$92)),0),IF(YEAR(J$3)=YEAR(Headcount!$O$4),IF((J$5=12),(SUMPRODUCT(--(Headcount!$F$6:$F$92="Marketing"),--(Headcount!$H$6:$H$92&gt;=Marketing!J$3),Headcount!$O$6:$O$92,Headcount!$L$6:$L$92)),0),IF(YEAR(J$3)=YEAR(Headcount!$P$4),IF((J$5=12),(SUMPRODUCT(--(Headcount!$F$6:$F$92="Marketing"),--(Headcount!$H$6:$H$92&gt;=Marketing!J$3),Headcount!$P$6:$P$92,Headcount!$L$6:$L$92)),0),IF(YEAR(J$3)=YEAR(Headcount!$Q$4),IF((J$5=12),(SUMPRODUCT(--(Headcount!$F$6:$F$92="Marketing"),--(Headcount!$H$6:$H$92&gt;=Marketing!J$3),Headcount!$Q$6:$Q$92,Headcount!$L$6:$L$92)),0),IF(YEAR(J$3)=YEAR(Headcount!$R$4),IF((J$5=12),(SUMPRODUCT(--(Headcount!$F$6:$F$92="Marketing"),--(Headcount!$H$6:$H$92&gt;=Marketing!J$3),Headcount!$R$6:$R$92,Headcount!$L$6:$L$92)),0),"New Year"))))),'Dept. Cost Actuals'!N310)</f>
        <v>0</v>
      </c>
      <c r="K16" s="684">
        <f>IF(K$4="forecast",IF(YEAR(K$3)=YEAR(Headcount!$N$4),IF((K$5=12),(SUMPRODUCT(--(Headcount!$F$6:$F$92="Marketing"),--(Headcount!$H$6:$H$92&gt;=Marketing!K$3),Headcount!$N$6:$N$92,Headcount!$L$6:$L$92)),0),IF(YEAR(K$3)=YEAR(Headcount!$O$4),IF((K$5=12),(SUMPRODUCT(--(Headcount!$F$6:$F$92="Marketing"),--(Headcount!$H$6:$H$92&gt;=Marketing!K$3),Headcount!$O$6:$O$92,Headcount!$L$6:$L$92)),0),IF(YEAR(K$3)=YEAR(Headcount!$P$4),IF((K$5=12),(SUMPRODUCT(--(Headcount!$F$6:$F$92="Marketing"),--(Headcount!$H$6:$H$92&gt;=Marketing!K$3),Headcount!$P$6:$P$92,Headcount!$L$6:$L$92)),0),IF(YEAR(K$3)=YEAR(Headcount!$Q$4),IF((K$5=12),(SUMPRODUCT(--(Headcount!$F$6:$F$92="Marketing"),--(Headcount!$H$6:$H$92&gt;=Marketing!K$3),Headcount!$Q$6:$Q$92,Headcount!$L$6:$L$92)),0),IF(YEAR(K$3)=YEAR(Headcount!$R$4),IF((K$5=12),(SUMPRODUCT(--(Headcount!$F$6:$F$92="Marketing"),--(Headcount!$H$6:$H$92&gt;=Marketing!K$3),Headcount!$R$6:$R$92,Headcount!$L$6:$L$92)),0),"New Year"))))),'Dept. Cost Actuals'!O310)</f>
        <v>0</v>
      </c>
      <c r="L16" s="684">
        <f>IF(L$4="forecast",IF(YEAR(L$3)=YEAR(Headcount!$N$4),IF((L$5=12),(SUMPRODUCT(--(Headcount!$F$6:$F$92="Marketing"),--(Headcount!$H$6:$H$92&gt;=Marketing!L$3),Headcount!$N$6:$N$92,Headcount!$L$6:$L$92)),0),IF(YEAR(L$3)=YEAR(Headcount!$O$4),IF((L$5=12),(SUMPRODUCT(--(Headcount!$F$6:$F$92="Marketing"),--(Headcount!$H$6:$H$92&gt;=Marketing!L$3),Headcount!$O$6:$O$92,Headcount!$L$6:$L$92)),0),IF(YEAR(L$3)=YEAR(Headcount!$P$4),IF((L$5=12),(SUMPRODUCT(--(Headcount!$F$6:$F$92="Marketing"),--(Headcount!$H$6:$H$92&gt;=Marketing!L$3),Headcount!$P$6:$P$92,Headcount!$L$6:$L$92)),0),IF(YEAR(L$3)=YEAR(Headcount!$Q$4),IF((L$5=12),(SUMPRODUCT(--(Headcount!$F$6:$F$92="Marketing"),--(Headcount!$H$6:$H$92&gt;=Marketing!L$3),Headcount!$Q$6:$Q$92,Headcount!$L$6:$L$92)),0),IF(YEAR(L$3)=YEAR(Headcount!$R$4),IF((L$5=12),(SUMPRODUCT(--(Headcount!$F$6:$F$92="Marketing"),--(Headcount!$H$6:$H$92&gt;=Marketing!L$3),Headcount!$R$6:$R$92,Headcount!$L$6:$L$92)),0),"New Year"))))),'Dept. Cost Actuals'!P310)</f>
        <v>0</v>
      </c>
      <c r="M16" s="684">
        <f>IF(M$4="forecast",IF(YEAR(M$3)=YEAR(Headcount!$N$4),IF((M$5=12),(SUMPRODUCT(--(Headcount!$F$6:$F$92="Marketing"),--(Headcount!$H$6:$H$92&gt;=Marketing!M$3),Headcount!$N$6:$N$92,Headcount!$L$6:$L$92)),0),IF(YEAR(M$3)=YEAR(Headcount!$O$4),IF((M$5=12),(SUMPRODUCT(--(Headcount!$F$6:$F$92="Marketing"),--(Headcount!$H$6:$H$92&gt;=Marketing!M$3),Headcount!$O$6:$O$92,Headcount!$L$6:$L$92)),0),IF(YEAR(M$3)=YEAR(Headcount!$P$4),IF((M$5=12),(SUMPRODUCT(--(Headcount!$F$6:$F$92="Marketing"),--(Headcount!$H$6:$H$92&gt;=Marketing!M$3),Headcount!$P$6:$P$92,Headcount!$L$6:$L$92)),0),IF(YEAR(M$3)=YEAR(Headcount!$Q$4),IF((M$5=12),(SUMPRODUCT(--(Headcount!$F$6:$F$92="Marketing"),--(Headcount!$H$6:$H$92&gt;=Marketing!M$3),Headcount!$Q$6:$Q$92,Headcount!$L$6:$L$92)),0),IF(YEAR(M$3)=YEAR(Headcount!$R$4),IF((M$5=12),(SUMPRODUCT(--(Headcount!$F$6:$F$92="Marketing"),--(Headcount!$H$6:$H$92&gt;=Marketing!M$3),Headcount!$R$6:$R$92,Headcount!$L$6:$L$92)),0),"New Year"))))),'Dept. Cost Actuals'!Q310)</f>
        <v>0</v>
      </c>
      <c r="N16" s="684">
        <f>IF(N$4="forecast",IF(YEAR(N$3)=YEAR(Headcount!$N$4),IF((N$5=12),(SUMPRODUCT(--(Headcount!$F$6:$F$92="Marketing"),--(Headcount!$H$6:$H$92&gt;=Marketing!N$3),Headcount!$N$6:$N$92,Headcount!$L$6:$L$92)),0),IF(YEAR(N$3)=YEAR(Headcount!$O$4),IF((N$5=12),(SUMPRODUCT(--(Headcount!$F$6:$F$92="Marketing"),--(Headcount!$H$6:$H$92&gt;=Marketing!N$3),Headcount!$O$6:$O$92,Headcount!$L$6:$L$92)),0),IF(YEAR(N$3)=YEAR(Headcount!$P$4),IF((N$5=12),(SUMPRODUCT(--(Headcount!$F$6:$F$92="Marketing"),--(Headcount!$H$6:$H$92&gt;=Marketing!N$3),Headcount!$P$6:$P$92,Headcount!$L$6:$L$92)),0),IF(YEAR(N$3)=YEAR(Headcount!$Q$4),IF((N$5=12),(SUMPRODUCT(--(Headcount!$F$6:$F$92="Marketing"),--(Headcount!$H$6:$H$92&gt;=Marketing!N$3),Headcount!$Q$6:$Q$92,Headcount!$L$6:$L$92)),0),IF(YEAR(N$3)=YEAR(Headcount!$R$4),IF((N$5=12),(SUMPRODUCT(--(Headcount!$F$6:$F$92="Marketing"),--(Headcount!$H$6:$H$92&gt;=Marketing!N$3),Headcount!$R$6:$R$92,Headcount!$L$6:$L$92)),0),"New Year"))))),'Dept. Cost Actuals'!R310)</f>
        <v>0</v>
      </c>
      <c r="O16" s="684">
        <f>IF(O$4="forecast",IF(YEAR(O$3)=YEAR(Headcount!$N$4),IF((O$5=12),(SUMPRODUCT(--(Headcount!$F$6:$F$92="Marketing"),--(Headcount!$H$6:$H$92&gt;=Marketing!O$3),Headcount!$N$6:$N$92,Headcount!$L$6:$L$92)),0),IF(YEAR(O$3)=YEAR(Headcount!$O$4),IF((O$5=12),(SUMPRODUCT(--(Headcount!$F$6:$F$92="Marketing"),--(Headcount!$H$6:$H$92&gt;=Marketing!O$3),Headcount!$O$6:$O$92,Headcount!$L$6:$L$92)),0),IF(YEAR(O$3)=YEAR(Headcount!$P$4),IF((O$5=12),(SUMPRODUCT(--(Headcount!$F$6:$F$92="Marketing"),--(Headcount!$H$6:$H$92&gt;=Marketing!O$3),Headcount!$P$6:$P$92,Headcount!$L$6:$L$92)),0),IF(YEAR(O$3)=YEAR(Headcount!$Q$4),IF((O$5=12),(SUMPRODUCT(--(Headcount!$F$6:$F$92="Marketing"),--(Headcount!$H$6:$H$92&gt;=Marketing!O$3),Headcount!$Q$6:$Q$92,Headcount!$L$6:$L$92)),0),IF(YEAR(O$3)=YEAR(Headcount!$R$4),IF((O$5=12),(SUMPRODUCT(--(Headcount!$F$6:$F$92="Marketing"),--(Headcount!$H$6:$H$92&gt;=Marketing!O$3),Headcount!$R$6:$R$92,Headcount!$L$6:$L$92)),0),"New Year"))))),'Dept. Cost Actuals'!S310)</f>
        <v>11684.59</v>
      </c>
      <c r="P16" s="684">
        <f>IF(P$4="forecast",IF(YEAR(P$3)=YEAR(Headcount!$N$4),IF((P$5=12),(SUMPRODUCT(--(Headcount!$F$6:$F$92="Marketing"),--(Headcount!$H$6:$H$92&gt;=Marketing!P$3),Headcount!$N$6:$N$92,Headcount!$L$6:$L$92)),0),IF(YEAR(P$3)=YEAR(Headcount!$O$4),IF((P$5=12),(SUMPRODUCT(--(Headcount!$F$6:$F$92="Marketing"),--(Headcount!$H$6:$H$92&gt;=Marketing!P$3),Headcount!$O$6:$O$92,Headcount!$L$6:$L$92)),0),IF(YEAR(P$3)=YEAR(Headcount!$P$4),IF((P$5=12),(SUMPRODUCT(--(Headcount!$F$6:$F$92="Marketing"),--(Headcount!$H$6:$H$92&gt;=Marketing!P$3),Headcount!$P$6:$P$92,Headcount!$L$6:$L$92)),0),IF(YEAR(P$3)=YEAR(Headcount!$Q$4),IF((P$5=12),(SUMPRODUCT(--(Headcount!$F$6:$F$92="Marketing"),--(Headcount!$H$6:$H$92&gt;=Marketing!P$3),Headcount!$Q$6:$Q$92,Headcount!$L$6:$L$92)),0),IF(YEAR(P$3)=YEAR(Headcount!$R$4),IF((P$5=12),(SUMPRODUCT(--(Headcount!$F$6:$F$92="Marketing"),--(Headcount!$H$6:$H$92&gt;=Marketing!P$3),Headcount!$R$6:$R$92,Headcount!$L$6:$L$92)),0),"New Year"))))),'Dept. Cost Actuals'!T310)</f>
        <v>1614.58</v>
      </c>
      <c r="Q16" s="684">
        <f>IF(Q$4="forecast",IF(YEAR(Q$3)=YEAR(Headcount!$N$4),IF((Q$5=12),(SUMPRODUCT(--(Headcount!$F$6:$F$92="Marketing"),--(Headcount!$H$6:$H$92&gt;=Marketing!Q$3),Headcount!$N$6:$N$92,Headcount!$L$6:$L$92)),0),IF(YEAR(Q$3)=YEAR(Headcount!$O$4),IF((Q$5=12),(SUMPRODUCT(--(Headcount!$F$6:$F$92="Marketing"),--(Headcount!$H$6:$H$92&gt;=Marketing!Q$3),Headcount!$O$6:$O$92,Headcount!$L$6:$L$92)),0),IF(YEAR(Q$3)=YEAR(Headcount!$P$4),IF((Q$5=12),(SUMPRODUCT(--(Headcount!$F$6:$F$92="Marketing"),--(Headcount!$H$6:$H$92&gt;=Marketing!Q$3),Headcount!$P$6:$P$92,Headcount!$L$6:$L$92)),0),IF(YEAR(Q$3)=YEAR(Headcount!$Q$4),IF((Q$5=12),(SUMPRODUCT(--(Headcount!$F$6:$F$92="Marketing"),--(Headcount!$H$6:$H$92&gt;=Marketing!Q$3),Headcount!$Q$6:$Q$92,Headcount!$L$6:$L$92)),0),IF(YEAR(Q$3)=YEAR(Headcount!$R$4),IF((Q$5=12),(SUMPRODUCT(--(Headcount!$F$6:$F$92="Marketing"),--(Headcount!$H$6:$H$92&gt;=Marketing!Q$3),Headcount!$R$6:$R$92,Headcount!$L$6:$L$92)),0),"New Year"))))),'Dept. Cost Actuals'!U310)</f>
        <v>1869.72</v>
      </c>
      <c r="R16" s="684">
        <f>IF(R$4="forecast",IF(YEAR(R$3)=YEAR(Headcount!$N$4),IF((R$5=12),(SUMPRODUCT(--(Headcount!$F$6:$F$92="Marketing"),--(Headcount!$H$6:$H$92&gt;=Marketing!R$3),Headcount!$N$6:$N$92,Headcount!$L$6:$L$92)),0),IF(YEAR(R$3)=YEAR(Headcount!$O$4),IF((R$5=12),(SUMPRODUCT(--(Headcount!$F$6:$F$92="Marketing"),--(Headcount!$H$6:$H$92&gt;=Marketing!R$3),Headcount!$O$6:$O$92,Headcount!$L$6:$L$92)),0),IF(YEAR(R$3)=YEAR(Headcount!$P$4),IF((R$5=12),(SUMPRODUCT(--(Headcount!$F$6:$F$92="Marketing"),--(Headcount!$H$6:$H$92&gt;=Marketing!R$3),Headcount!$P$6:$P$92,Headcount!$L$6:$L$92)),0),IF(YEAR(R$3)=YEAR(Headcount!$Q$4),IF((R$5=12),(SUMPRODUCT(--(Headcount!$F$6:$F$92="Marketing"),--(Headcount!$H$6:$H$92&gt;=Marketing!R$3),Headcount!$Q$6:$Q$92,Headcount!$L$6:$L$92)),0),IF(YEAR(R$3)=YEAR(Headcount!$R$4),IF((R$5=12),(SUMPRODUCT(--(Headcount!$F$6:$F$92="Marketing"),--(Headcount!$H$6:$H$92&gt;=Marketing!R$3),Headcount!$R$6:$R$92,Headcount!$L$6:$L$92)),0),"New Year"))))),'Dept. Cost Actuals'!V310)</f>
        <v>2295.4899999999998</v>
      </c>
      <c r="S16" s="684">
        <f>IF(S$4="forecast",IF(YEAR(S$3)=YEAR(Headcount!$N$4),IF((S$5=12),(SUMPRODUCT(--(Headcount!$F$6:$F$92="Marketing"),--(Headcount!$H$6:$H$92&gt;=Marketing!S$3),Headcount!$N$6:$N$92,Headcount!$L$6:$L$92)),0),IF(YEAR(S$3)=YEAR(Headcount!$O$4),IF((S$5=12),(SUMPRODUCT(--(Headcount!$F$6:$F$92="Marketing"),--(Headcount!$H$6:$H$92&gt;=Marketing!S$3),Headcount!$O$6:$O$92,Headcount!$L$6:$L$92)),0),IF(YEAR(S$3)=YEAR(Headcount!$P$4),IF((S$5=12),(SUMPRODUCT(--(Headcount!$F$6:$F$92="Marketing"),--(Headcount!$H$6:$H$92&gt;=Marketing!S$3),Headcount!$P$6:$P$92,Headcount!$L$6:$L$92)),0),IF(YEAR(S$3)=YEAR(Headcount!$Q$4),IF((S$5=12),(SUMPRODUCT(--(Headcount!$F$6:$F$92="Marketing"),--(Headcount!$H$6:$H$92&gt;=Marketing!S$3),Headcount!$Q$6:$Q$92,Headcount!$L$6:$L$92)),0),IF(YEAR(S$3)=YEAR(Headcount!$R$4),IF((S$5=12),(SUMPRODUCT(--(Headcount!$F$6:$F$92="Marketing"),--(Headcount!$H$6:$H$92&gt;=Marketing!S$3),Headcount!$R$6:$R$92,Headcount!$L$6:$L$92)),0),"New Year"))))),'Dept. Cost Actuals'!W310)</f>
        <v>1614.58</v>
      </c>
      <c r="T16" s="684">
        <f>IF(T$4="forecast",IF(YEAR(T$3)=YEAR(Headcount!$N$4),IF((T$5=12),(SUMPRODUCT(--(Headcount!$F$6:$F$92="Marketing"),--(Headcount!$H$6:$H$92&gt;=Marketing!T$3),Headcount!$N$6:$N$92,Headcount!$L$6:$L$92)),0),IF(YEAR(T$3)=YEAR(Headcount!$O$4),IF((T$5=12),(SUMPRODUCT(--(Headcount!$F$6:$F$92="Marketing"),--(Headcount!$H$6:$H$92&gt;=Marketing!T$3),Headcount!$O$6:$O$92,Headcount!$L$6:$L$92)),0),IF(YEAR(T$3)=YEAR(Headcount!$P$4),IF((T$5=12),(SUMPRODUCT(--(Headcount!$F$6:$F$92="Marketing"),--(Headcount!$H$6:$H$92&gt;=Marketing!T$3),Headcount!$P$6:$P$92,Headcount!$L$6:$L$92)),0),IF(YEAR(T$3)=YEAR(Headcount!$Q$4),IF((T$5=12),(SUMPRODUCT(--(Headcount!$F$6:$F$92="Marketing"),--(Headcount!$H$6:$H$92&gt;=Marketing!T$3),Headcount!$Q$6:$Q$92,Headcount!$L$6:$L$92)),0),IF(YEAR(T$3)=YEAR(Headcount!$R$4),IF((T$5=12),(SUMPRODUCT(--(Headcount!$F$6:$F$92="Marketing"),--(Headcount!$H$6:$H$92&gt;=Marketing!T$3),Headcount!$R$6:$R$92,Headcount!$L$6:$L$92)),0),"New Year"))))),'Dept. Cost Actuals'!X310)</f>
        <v>1614.58</v>
      </c>
      <c r="U16" s="684">
        <f>IF(U$4="forecast",IF(YEAR(U$3)=YEAR(Headcount!$N$4),IF((U$5=12),(SUMPRODUCT(--(Headcount!$F$6:$F$92="Marketing"),--(Headcount!$H$6:$H$92&gt;=Marketing!U$3),Headcount!$N$6:$N$92,Headcount!$L$6:$L$92)),0),IF(YEAR(U$3)=YEAR(Headcount!$O$4),IF((U$5=12),(SUMPRODUCT(--(Headcount!$F$6:$F$92="Marketing"),--(Headcount!$H$6:$H$92&gt;=Marketing!U$3),Headcount!$O$6:$O$92,Headcount!$L$6:$L$92)),0),IF(YEAR(U$3)=YEAR(Headcount!$P$4),IF((U$5=12),(SUMPRODUCT(--(Headcount!$F$6:$F$92="Marketing"),--(Headcount!$H$6:$H$92&gt;=Marketing!U$3),Headcount!$P$6:$P$92,Headcount!$L$6:$L$92)),0),IF(YEAR(U$3)=YEAR(Headcount!$Q$4),IF((U$5=12),(SUMPRODUCT(--(Headcount!$F$6:$F$92="Marketing"),--(Headcount!$H$6:$H$92&gt;=Marketing!U$3),Headcount!$Q$6:$Q$92,Headcount!$L$6:$L$92)),0),IF(YEAR(U$3)=YEAR(Headcount!$R$4),IF((U$5=12),(SUMPRODUCT(--(Headcount!$F$6:$F$92="Marketing"),--(Headcount!$H$6:$H$92&gt;=Marketing!U$3),Headcount!$R$6:$R$92,Headcount!$L$6:$L$92)),0),"New Year"))))),'Dept. Cost Actuals'!Y310)</f>
        <v>2607.17</v>
      </c>
      <c r="V16" s="684">
        <f>IF(V$4="forecast",IF(YEAR(V$3)=YEAR(Headcount!$N$4),IF((V$5=12),(SUMPRODUCT(--(Headcount!$F$6:$F$92="Marketing"),--(Headcount!$H$6:$H$92&gt;=Marketing!V$3),Headcount!$N$6:$N$92,Headcount!$L$6:$L$92)),0),IF(YEAR(V$3)=YEAR(Headcount!$O$4),IF((V$5=12),(SUMPRODUCT(--(Headcount!$F$6:$F$92="Marketing"),--(Headcount!$H$6:$H$92&gt;=Marketing!V$3),Headcount!$O$6:$O$92,Headcount!$L$6:$L$92)),0),IF(YEAR(V$3)=YEAR(Headcount!$P$4),IF((V$5=12),(SUMPRODUCT(--(Headcount!$F$6:$F$92="Marketing"),--(Headcount!$H$6:$H$92&gt;=Marketing!V$3),Headcount!$P$6:$P$92,Headcount!$L$6:$L$92)),0),IF(YEAR(V$3)=YEAR(Headcount!$Q$4),IF((V$5=12),(SUMPRODUCT(--(Headcount!$F$6:$F$92="Marketing"),--(Headcount!$H$6:$H$92&gt;=Marketing!V$3),Headcount!$Q$6:$Q$92,Headcount!$L$6:$L$92)),0),IF(YEAR(V$3)=YEAR(Headcount!$R$4),IF((V$5=12),(SUMPRODUCT(--(Headcount!$F$6:$F$92="Marketing"),--(Headcount!$H$6:$H$92&gt;=Marketing!V$3),Headcount!$R$6:$R$92,Headcount!$L$6:$L$92)),0),"New Year"))))),'Dept. Cost Actuals'!Z310)</f>
        <v>3607.17</v>
      </c>
      <c r="W16" s="684">
        <f>IF(W$4="forecast",IF(YEAR(W$3)=YEAR(Headcount!$N$4),IF((W$5=12),(SUMPRODUCT(--(Headcount!$F$6:$F$92="Marketing"),--(Headcount!$H$6:$H$92&gt;=Marketing!W$3),Headcount!$N$6:$N$92,Headcount!$L$6:$L$92)),0),IF(YEAR(W$3)=YEAR(Headcount!$O$4),IF((W$5=12),(SUMPRODUCT(--(Headcount!$F$6:$F$92="Marketing"),--(Headcount!$H$6:$H$92&gt;=Marketing!W$3),Headcount!$O$6:$O$92,Headcount!$L$6:$L$92)),0),IF(YEAR(W$3)=YEAR(Headcount!$P$4),IF((W$5=12),(SUMPRODUCT(--(Headcount!$F$6:$F$92="Marketing"),--(Headcount!$H$6:$H$92&gt;=Marketing!W$3),Headcount!$P$6:$P$92,Headcount!$L$6:$L$92)),0),IF(YEAR(W$3)=YEAR(Headcount!$Q$4),IF((W$5=12),(SUMPRODUCT(--(Headcount!$F$6:$F$92="Marketing"),--(Headcount!$H$6:$H$92&gt;=Marketing!W$3),Headcount!$Q$6:$Q$92,Headcount!$L$6:$L$92)),0),IF(YEAR(W$3)=YEAR(Headcount!$R$4),IF((W$5=12),(SUMPRODUCT(--(Headcount!$F$6:$F$92="Marketing"),--(Headcount!$H$6:$H$92&gt;=Marketing!W$3),Headcount!$R$6:$R$92,Headcount!$L$6:$L$92)),0),"New Year"))))),'Dept. Cost Actuals'!AA310)</f>
        <v>6614.58</v>
      </c>
      <c r="X16" s="684">
        <f>IF(X$4="forecast",IF(YEAR(X$3)=YEAR(Headcount!$N$4),IF((X$5=12),(SUMPRODUCT(--(Headcount!$F$6:$F$92="Marketing"),--(Headcount!$H$6:$H$92&gt;=Marketing!X$3),Headcount!$N$6:$N$92,Headcount!$L$6:$L$92)),0),IF(YEAR(X$3)=YEAR(Headcount!$O$4),IF((X$5=12),(SUMPRODUCT(--(Headcount!$F$6:$F$92="Marketing"),--(Headcount!$H$6:$H$92&gt;=Marketing!X$3),Headcount!$O$6:$O$92,Headcount!$L$6:$L$92)),0),IF(YEAR(X$3)=YEAR(Headcount!$P$4),IF((X$5=12),(SUMPRODUCT(--(Headcount!$F$6:$F$92="Marketing"),--(Headcount!$H$6:$H$92&gt;=Marketing!X$3),Headcount!$P$6:$P$92,Headcount!$L$6:$L$92)),0),IF(YEAR(X$3)=YEAR(Headcount!$Q$4),IF((X$5=12),(SUMPRODUCT(--(Headcount!$F$6:$F$92="Marketing"),--(Headcount!$H$6:$H$92&gt;=Marketing!X$3),Headcount!$Q$6:$Q$92,Headcount!$L$6:$L$92)),0),IF(YEAR(X$3)=YEAR(Headcount!$R$4),IF((X$5=12),(SUMPRODUCT(--(Headcount!$F$6:$F$92="Marketing"),--(Headcount!$H$6:$H$92&gt;=Marketing!X$3),Headcount!$R$6:$R$92,Headcount!$L$6:$L$92)),0),"New Year"))))),'Dept. Cost Actuals'!AB310)</f>
        <v>3599.76</v>
      </c>
      <c r="Y16" s="684">
        <f>IF(Y$4="forecast",IF(YEAR(Y$3)=YEAR(Headcount!$N$4),IF((Y$5=12),(SUMPRODUCT(--(Headcount!$F$6:$F$92="Marketing"),--(Headcount!$H$6:$H$92&gt;=Marketing!Y$3),Headcount!$N$6:$N$92,Headcount!$L$6:$L$92)),0),IF(YEAR(Y$3)=YEAR(Headcount!$O$4),IF((Y$5=12),(SUMPRODUCT(--(Headcount!$F$6:$F$92="Marketing"),--(Headcount!$H$6:$H$92&gt;=Marketing!Y$3),Headcount!$O$6:$O$92,Headcount!$L$6:$L$92)),0),IF(YEAR(Y$3)=YEAR(Headcount!$P$4),IF((Y$5=12),(SUMPRODUCT(--(Headcount!$F$6:$F$92="Marketing"),--(Headcount!$H$6:$H$92&gt;=Marketing!Y$3),Headcount!$P$6:$P$92,Headcount!$L$6:$L$92)),0),IF(YEAR(Y$3)=YEAR(Headcount!$Q$4),IF((Y$5=12),(SUMPRODUCT(--(Headcount!$F$6:$F$92="Marketing"),--(Headcount!$H$6:$H$92&gt;=Marketing!Y$3),Headcount!$Q$6:$Q$92,Headcount!$L$6:$L$92)),0),IF(YEAR(Y$3)=YEAR(Headcount!$R$4),IF((Y$5=12),(SUMPRODUCT(--(Headcount!$F$6:$F$92="Marketing"),--(Headcount!$H$6:$H$92&gt;=Marketing!Y$3),Headcount!$R$6:$R$92,Headcount!$L$6:$L$92)),0),"New Year"))))),'Dept. Cost Actuals'!AC310)</f>
        <v>2614.58</v>
      </c>
      <c r="Z16" s="684">
        <f>IF(Z$4="forecast",IF(YEAR(Z$3)=YEAR(Headcount!$N$4),IF((Z$5=12),(SUMPRODUCT(--(Headcount!$F$6:$F$92="Marketing"),--(Headcount!$H$6:$H$92&gt;=Marketing!Z$3),Headcount!$N$6:$N$92,Headcount!$L$6:$L$92)),0),IF(YEAR(Z$3)=YEAR(Headcount!$O$4),IF((Z$5=12),(SUMPRODUCT(--(Headcount!$F$6:$F$92="Marketing"),--(Headcount!$H$6:$H$92&gt;=Marketing!Z$3),Headcount!$O$6:$O$92,Headcount!$L$6:$L$92)),0),IF(YEAR(Z$3)=YEAR(Headcount!$P$4),IF((Z$5=12),(SUMPRODUCT(--(Headcount!$F$6:$F$92="Marketing"),--(Headcount!$H$6:$H$92&gt;=Marketing!Z$3),Headcount!$P$6:$P$92,Headcount!$L$6:$L$92)),0),IF(YEAR(Z$3)=YEAR(Headcount!$Q$4),IF((Z$5=12),(SUMPRODUCT(--(Headcount!$F$6:$F$92="Marketing"),--(Headcount!$H$6:$H$92&gt;=Marketing!Z$3),Headcount!$Q$6:$Q$92,Headcount!$L$6:$L$92)),0),IF(YEAR(Z$3)=YEAR(Headcount!$R$4),IF((Z$5=12),(SUMPRODUCT(--(Headcount!$F$6:$F$92="Marketing"),--(Headcount!$H$6:$H$92&gt;=Marketing!Z$3),Headcount!$R$6:$R$92,Headcount!$L$6:$L$92)),0),"New Year"))))),'Dept. Cost Actuals'!AD310)</f>
        <v>-7327.69</v>
      </c>
      <c r="AA16" s="684">
        <f>IF(AA$4="forecast",IF(YEAR(AA$3)=YEAR(Headcount!$N$4),IF((AA$5=12),(SUMPRODUCT(--(Headcount!$F$6:$F$92="Marketing"),--(Headcount!$H$6:$H$92&gt;=Marketing!AA$3),Headcount!$N$6:$N$92,Headcount!$L$6:$L$92)),0),IF(YEAR(AA$3)=YEAR(Headcount!$O$4),IF((AA$5=12),(SUMPRODUCT(--(Headcount!$F$6:$F$92="Marketing"),--(Headcount!$H$6:$H$92&gt;=Marketing!AA$3),Headcount!$O$6:$O$92,Headcount!$L$6:$L$92)),0),IF(YEAR(AA$3)=YEAR(Headcount!$P$4),IF((AA$5=12),(SUMPRODUCT(--(Headcount!$F$6:$F$92="Marketing"),--(Headcount!$H$6:$H$92&gt;=Marketing!AA$3),Headcount!$P$6:$P$92,Headcount!$L$6:$L$92)),0),IF(YEAR(AA$3)=YEAR(Headcount!$Q$4),IF((AA$5=12),(SUMPRODUCT(--(Headcount!$F$6:$F$92="Marketing"),--(Headcount!$H$6:$H$92&gt;=Marketing!AA$3),Headcount!$Q$6:$Q$92,Headcount!$L$6:$L$92)),0),IF(YEAR(AA$3)=YEAR(Headcount!$R$4),IF((AA$5=12),(SUMPRODUCT(--(Headcount!$F$6:$F$92="Marketing"),--(Headcount!$H$6:$H$92&gt;=Marketing!AA$3),Headcount!$R$6:$R$92,Headcount!$L$6:$L$92)),0),"New Year"))))),'Dept. Cost Actuals'!AE310)</f>
        <v>0</v>
      </c>
      <c r="AB16" s="684">
        <f>IF(AB$4="forecast",IF(YEAR(AB$3)=YEAR(Headcount!$N$4),IF((AB$5=12),(SUMPRODUCT(--(Headcount!$F$6:$F$92="Marketing"),--(Headcount!$H$6:$H$92&gt;=Marketing!AB$3),Headcount!$N$6:$N$92,Headcount!$L$6:$L$92)),0),IF(YEAR(AB$3)=YEAR(Headcount!$O$4),IF((AB$5=12),(SUMPRODUCT(--(Headcount!$F$6:$F$92="Marketing"),--(Headcount!$H$6:$H$92&gt;=Marketing!AB$3),Headcount!$O$6:$O$92,Headcount!$L$6:$L$92)),0),IF(YEAR(AB$3)=YEAR(Headcount!$P$4),IF((AB$5=12),(SUMPRODUCT(--(Headcount!$F$6:$F$92="Marketing"),--(Headcount!$H$6:$H$92&gt;=Marketing!AB$3),Headcount!$P$6:$P$92,Headcount!$L$6:$L$92)),0),IF(YEAR(AB$3)=YEAR(Headcount!$Q$4),IF((AB$5=12),(SUMPRODUCT(--(Headcount!$F$6:$F$92="Marketing"),--(Headcount!$H$6:$H$92&gt;=Marketing!AB$3),Headcount!$Q$6:$Q$92,Headcount!$L$6:$L$92)),0),IF(YEAR(AB$3)=YEAR(Headcount!$R$4),IF((AB$5=12),(SUMPRODUCT(--(Headcount!$F$6:$F$92="Marketing"),--(Headcount!$H$6:$H$92&gt;=Marketing!AB$3),Headcount!$R$6:$R$92,Headcount!$L$6:$L$92)),0),"New Year"))))),'Dept. Cost Actuals'!AF310)</f>
        <v>0</v>
      </c>
      <c r="AC16" s="684">
        <f>IF(AC$4="forecast",IF(YEAR(AC$3)=YEAR(Headcount!$N$4),IF((AC$5=12),(SUMPRODUCT(--(Headcount!$F$6:$F$92="Marketing"),--(Headcount!$H$6:$H$92&gt;=Marketing!AC$3),Headcount!$N$6:$N$92,Headcount!$L$6:$L$92)),0),IF(YEAR(AC$3)=YEAR(Headcount!$O$4),IF((AC$5=12),(SUMPRODUCT(--(Headcount!$F$6:$F$92="Marketing"),--(Headcount!$H$6:$H$92&gt;=Marketing!AC$3),Headcount!$O$6:$O$92,Headcount!$L$6:$L$92)),0),IF(YEAR(AC$3)=YEAR(Headcount!$P$4),IF((AC$5=12),(SUMPRODUCT(--(Headcount!$F$6:$F$92="Marketing"),--(Headcount!$H$6:$H$92&gt;=Marketing!AC$3),Headcount!$P$6:$P$92,Headcount!$L$6:$L$92)),0),IF(YEAR(AC$3)=YEAR(Headcount!$Q$4),IF((AC$5=12),(SUMPRODUCT(--(Headcount!$F$6:$F$92="Marketing"),--(Headcount!$H$6:$H$92&gt;=Marketing!AC$3),Headcount!$Q$6:$Q$92,Headcount!$L$6:$L$92)),0),IF(YEAR(AC$3)=YEAR(Headcount!$R$4),IF((AC$5=12),(SUMPRODUCT(--(Headcount!$F$6:$F$92="Marketing"),--(Headcount!$H$6:$H$92&gt;=Marketing!AC$3),Headcount!$R$6:$R$92,Headcount!$L$6:$L$92)),0),"New Year"))))),'Dept. Cost Actuals'!AG310)</f>
        <v>0</v>
      </c>
      <c r="AD16" s="684">
        <f>IF(AD$4="forecast",IF(YEAR(AD$3)=YEAR(Headcount!$N$4),IF((AD$5=12),(SUMPRODUCT(--(Headcount!$F$6:$F$92="Marketing"),--(Headcount!$H$6:$H$92&gt;=Marketing!AD$3),Headcount!$N$6:$N$92,Headcount!$L$6:$L$92)),0),IF(YEAR(AD$3)=YEAR(Headcount!$O$4),IF((AD$5=12),(SUMPRODUCT(--(Headcount!$F$6:$F$92="Marketing"),--(Headcount!$H$6:$H$92&gt;=Marketing!AD$3),Headcount!$O$6:$O$92,Headcount!$L$6:$L$92)),0),IF(YEAR(AD$3)=YEAR(Headcount!$P$4),IF((AD$5=12),(SUMPRODUCT(--(Headcount!$F$6:$F$92="Marketing"),--(Headcount!$H$6:$H$92&gt;=Marketing!AD$3),Headcount!$P$6:$P$92,Headcount!$L$6:$L$92)),0),IF(YEAR(AD$3)=YEAR(Headcount!$Q$4),IF((AD$5=12),(SUMPRODUCT(--(Headcount!$F$6:$F$92="Marketing"),--(Headcount!$H$6:$H$92&gt;=Marketing!AD$3),Headcount!$Q$6:$Q$92,Headcount!$L$6:$L$92)),0),IF(YEAR(AD$3)=YEAR(Headcount!$R$4),IF((AD$5=12),(SUMPRODUCT(--(Headcount!$F$6:$F$92="Marketing"),--(Headcount!$H$6:$H$92&gt;=Marketing!AD$3),Headcount!$R$6:$R$92,Headcount!$L$6:$L$92)),0),"New Year"))))),'Dept. Cost Actuals'!AH310)</f>
        <v>0</v>
      </c>
      <c r="AE16" s="684">
        <f>IF(AE$4="forecast",IF(YEAR(AE$3)=YEAR(Headcount!$N$4),IF((AE$5=12),(SUMPRODUCT(--(Headcount!$F$6:$F$92="Marketing"),--(Headcount!$H$6:$H$92&gt;=Marketing!AE$3),Headcount!$N$6:$N$92,Headcount!$L$6:$L$92)),0),IF(YEAR(AE$3)=YEAR(Headcount!$O$4),IF((AE$5=12),(SUMPRODUCT(--(Headcount!$F$6:$F$92="Marketing"),--(Headcount!$H$6:$H$92&gt;=Marketing!AE$3),Headcount!$O$6:$O$92,Headcount!$L$6:$L$92)),0),IF(YEAR(AE$3)=YEAR(Headcount!$P$4),IF((AE$5=12),(SUMPRODUCT(--(Headcount!$F$6:$F$92="Marketing"),--(Headcount!$H$6:$H$92&gt;=Marketing!AE$3),Headcount!$P$6:$P$92,Headcount!$L$6:$L$92)),0),IF(YEAR(AE$3)=YEAR(Headcount!$Q$4),IF((AE$5=12),(SUMPRODUCT(--(Headcount!$F$6:$F$92="Marketing"),--(Headcount!$H$6:$H$92&gt;=Marketing!AE$3),Headcount!$Q$6:$Q$92,Headcount!$L$6:$L$92)),0),IF(YEAR(AE$3)=YEAR(Headcount!$R$4),IF((AE$5=12),(SUMPRODUCT(--(Headcount!$F$6:$F$92="Marketing"),--(Headcount!$H$6:$H$92&gt;=Marketing!AE$3),Headcount!$R$6:$R$92,Headcount!$L$6:$L$92)),0),"New Year"))))),'Dept. Cost Actuals'!AI310)</f>
        <v>0</v>
      </c>
      <c r="AF16" s="684">
        <f>IF(AF$4="forecast",IF(YEAR(AF$3)=YEAR(Headcount!$N$4),IF((AF$5=12),(SUMPRODUCT(--(Headcount!$F$6:$F$92="Marketing"),--(Headcount!$H$6:$H$92&gt;=Marketing!AF$3),Headcount!$N$6:$N$92,Headcount!$L$6:$L$92)),0),IF(YEAR(AF$3)=YEAR(Headcount!$O$4),IF((AF$5=12),(SUMPRODUCT(--(Headcount!$F$6:$F$92="Marketing"),--(Headcount!$H$6:$H$92&gt;=Marketing!AF$3),Headcount!$O$6:$O$92,Headcount!$L$6:$L$92)),0),IF(YEAR(AF$3)=YEAR(Headcount!$P$4),IF((AF$5=12),(SUMPRODUCT(--(Headcount!$F$6:$F$92="Marketing"),--(Headcount!$H$6:$H$92&gt;=Marketing!AF$3),Headcount!$P$6:$P$92,Headcount!$L$6:$L$92)),0),IF(YEAR(AF$3)=YEAR(Headcount!$Q$4),IF((AF$5=12),(SUMPRODUCT(--(Headcount!$F$6:$F$92="Marketing"),--(Headcount!$H$6:$H$92&gt;=Marketing!AF$3),Headcount!$Q$6:$Q$92,Headcount!$L$6:$L$92)),0),IF(YEAR(AF$3)=YEAR(Headcount!$R$4),IF((AF$5=12),(SUMPRODUCT(--(Headcount!$F$6:$F$92="Marketing"),--(Headcount!$H$6:$H$92&gt;=Marketing!AF$3),Headcount!$R$6:$R$92,Headcount!$L$6:$L$92)),0),"New Year"))))),'Dept. Cost Actuals'!AJ310)</f>
        <v>0</v>
      </c>
      <c r="AG16" s="684">
        <f>IF(AG$4="forecast",IF(YEAR(AG$3)=YEAR(Headcount!$N$4),IF((AG$5=12),(SUMPRODUCT(--(Headcount!$F$6:$F$92="Marketing"),--(Headcount!$H$6:$H$92&gt;=Marketing!AG$3),Headcount!$N$6:$N$92,Headcount!$L$6:$L$92)),0),IF(YEAR(AG$3)=YEAR(Headcount!$O$4),IF((AG$5=12),(SUMPRODUCT(--(Headcount!$F$6:$F$92="Marketing"),--(Headcount!$H$6:$H$92&gt;=Marketing!AG$3),Headcount!$O$6:$O$92,Headcount!$L$6:$L$92)),0),IF(YEAR(AG$3)=YEAR(Headcount!$P$4),IF((AG$5=12),(SUMPRODUCT(--(Headcount!$F$6:$F$92="Marketing"),--(Headcount!$H$6:$H$92&gt;=Marketing!AG$3),Headcount!$P$6:$P$92,Headcount!$L$6:$L$92)),0),IF(YEAR(AG$3)=YEAR(Headcount!$Q$4),IF((AG$5=12),(SUMPRODUCT(--(Headcount!$F$6:$F$92="Marketing"),--(Headcount!$H$6:$H$92&gt;=Marketing!AG$3),Headcount!$Q$6:$Q$92,Headcount!$L$6:$L$92)),0),IF(YEAR(AG$3)=YEAR(Headcount!$R$4),IF((AG$5=12),(SUMPRODUCT(--(Headcount!$F$6:$F$92="Marketing"),--(Headcount!$H$6:$H$92&gt;=Marketing!AG$3),Headcount!$R$6:$R$92,Headcount!$L$6:$L$92)),0),"New Year"))))),'Dept. Cost Actuals'!AK310)</f>
        <v>0</v>
      </c>
      <c r="AH16" s="684">
        <f>IF(AH$4="forecast",IF(YEAR(AH$3)=YEAR(Headcount!$N$4),IF((AH$5=12),(SUMPRODUCT(--(Headcount!$F$6:$F$92="Marketing"),--(Headcount!$H$6:$H$92&gt;=Marketing!AH$3),Headcount!$N$6:$N$92,Headcount!$L$6:$L$92)),0),IF(YEAR(AH$3)=YEAR(Headcount!$O$4),IF((AH$5=12),(SUMPRODUCT(--(Headcount!$F$6:$F$92="Marketing"),--(Headcount!$H$6:$H$92&gt;=Marketing!AH$3),Headcount!$O$6:$O$92,Headcount!$L$6:$L$92)),0),IF(YEAR(AH$3)=YEAR(Headcount!$P$4),IF((AH$5=12),(SUMPRODUCT(--(Headcount!$F$6:$F$92="Marketing"),--(Headcount!$H$6:$H$92&gt;=Marketing!AH$3),Headcount!$P$6:$P$92,Headcount!$L$6:$L$92)),0),IF(YEAR(AH$3)=YEAR(Headcount!$Q$4),IF((AH$5=12),(SUMPRODUCT(--(Headcount!$F$6:$F$92="Marketing"),--(Headcount!$H$6:$H$92&gt;=Marketing!AH$3),Headcount!$Q$6:$Q$92,Headcount!$L$6:$L$92)),0),IF(YEAR(AH$3)=YEAR(Headcount!$R$4),IF((AH$5=12),(SUMPRODUCT(--(Headcount!$F$6:$F$92="Marketing"),--(Headcount!$H$6:$H$92&gt;=Marketing!AH$3),Headcount!$R$6:$R$92,Headcount!$L$6:$L$92)),0),"New Year"))))),'Dept. Cost Actuals'!AL310)</f>
        <v>0</v>
      </c>
      <c r="AI16" s="684">
        <f>IF(AI$4="forecast",IF(YEAR(AI$3)=YEAR(Headcount!$N$4),IF((AI$5=12),(SUMPRODUCT(--(Headcount!$F$6:$F$92="Marketing"),--(Headcount!$H$6:$H$92&gt;=Marketing!AI$3),Headcount!$N$6:$N$92,Headcount!$L$6:$L$92)),0),IF(YEAR(AI$3)=YEAR(Headcount!$O$4),IF((AI$5=12),(SUMPRODUCT(--(Headcount!$F$6:$F$92="Marketing"),--(Headcount!$H$6:$H$92&gt;=Marketing!AI$3),Headcount!$O$6:$O$92,Headcount!$L$6:$L$92)),0),IF(YEAR(AI$3)=YEAR(Headcount!$P$4),IF((AI$5=12),(SUMPRODUCT(--(Headcount!$F$6:$F$92="Marketing"),--(Headcount!$H$6:$H$92&gt;=Marketing!AI$3),Headcount!$P$6:$P$92,Headcount!$L$6:$L$92)),0),IF(YEAR(AI$3)=YEAR(Headcount!$Q$4),IF((AI$5=12),(SUMPRODUCT(--(Headcount!$F$6:$F$92="Marketing"),--(Headcount!$H$6:$H$92&gt;=Marketing!AI$3),Headcount!$Q$6:$Q$92,Headcount!$L$6:$L$92)),0),IF(YEAR(AI$3)=YEAR(Headcount!$R$4),IF((AI$5=12),(SUMPRODUCT(--(Headcount!$F$6:$F$92="Marketing"),--(Headcount!$H$6:$H$92&gt;=Marketing!AI$3),Headcount!$R$6:$R$92,Headcount!$L$6:$L$92)),0),"New Year"))))),'Dept. Cost Actuals'!AM310)</f>
        <v>0</v>
      </c>
      <c r="AJ16" s="684">
        <f>IF(AJ$4="forecast",IF(YEAR(AJ$3)=YEAR(Headcount!$N$4),IF((AJ$5=12),(SUMPRODUCT(--(Headcount!$F$6:$F$92="Marketing"),--(Headcount!$H$6:$H$92&gt;=Marketing!AJ$3),Headcount!$N$6:$N$92,Headcount!$L$6:$L$92)),0),IF(YEAR(AJ$3)=YEAR(Headcount!$O$4),IF((AJ$5=12),(SUMPRODUCT(--(Headcount!$F$6:$F$92="Marketing"),--(Headcount!$H$6:$H$92&gt;=Marketing!AJ$3),Headcount!$O$6:$O$92,Headcount!$L$6:$L$92)),0),IF(YEAR(AJ$3)=YEAR(Headcount!$P$4),IF((AJ$5=12),(SUMPRODUCT(--(Headcount!$F$6:$F$92="Marketing"),--(Headcount!$H$6:$H$92&gt;=Marketing!AJ$3),Headcount!$P$6:$P$92,Headcount!$L$6:$L$92)),0),IF(YEAR(AJ$3)=YEAR(Headcount!$Q$4),IF((AJ$5=12),(SUMPRODUCT(--(Headcount!$F$6:$F$92="Marketing"),--(Headcount!$H$6:$H$92&gt;=Marketing!AJ$3),Headcount!$Q$6:$Q$92,Headcount!$L$6:$L$92)),0),IF(YEAR(AJ$3)=YEAR(Headcount!$R$4),IF((AJ$5=12),(SUMPRODUCT(--(Headcount!$F$6:$F$92="Marketing"),--(Headcount!$H$6:$H$92&gt;=Marketing!AJ$3),Headcount!$R$6:$R$92,Headcount!$L$6:$L$92)),0),"New Year"))))),'Dept. Cost Actuals'!AN310)</f>
        <v>0</v>
      </c>
      <c r="AK16" s="684">
        <f>IF(AK$4="forecast",IF(YEAR(AK$3)=YEAR(Headcount!$N$4),IF((AK$5=12),(SUMPRODUCT(--(Headcount!$F$6:$F$92="Marketing"),--(Headcount!$H$6:$H$92&gt;=Marketing!AK$3),Headcount!$N$6:$N$92,Headcount!$L$6:$L$92)),0),IF(YEAR(AK$3)=YEAR(Headcount!$O$4),IF((AK$5=12),(SUMPRODUCT(--(Headcount!$F$6:$F$92="Marketing"),--(Headcount!$H$6:$H$92&gt;=Marketing!AK$3),Headcount!$O$6:$O$92,Headcount!$L$6:$L$92)),0),IF(YEAR(AK$3)=YEAR(Headcount!$P$4),IF((AK$5=12),(SUMPRODUCT(--(Headcount!$F$6:$F$92="Marketing"),--(Headcount!$H$6:$H$92&gt;=Marketing!AK$3),Headcount!$P$6:$P$92,Headcount!$L$6:$L$92)),0),IF(YEAR(AK$3)=YEAR(Headcount!$Q$4),IF((AK$5=12),(SUMPRODUCT(--(Headcount!$F$6:$F$92="Marketing"),--(Headcount!$H$6:$H$92&gt;=Marketing!AK$3),Headcount!$Q$6:$Q$92,Headcount!$L$6:$L$92)),0),IF(YEAR(AK$3)=YEAR(Headcount!$R$4),IF((AK$5=12),(SUMPRODUCT(--(Headcount!$F$6:$F$92="Marketing"),--(Headcount!$H$6:$H$92&gt;=Marketing!AK$3),Headcount!$R$6:$R$92,Headcount!$L$6:$L$92)),0),"New Year"))))),'Dept. Cost Actuals'!AO310)</f>
        <v>0</v>
      </c>
      <c r="AL16" s="684">
        <f>IF(AL$4="forecast",IF(YEAR(AL$3)=YEAR(Headcount!$N$4),IF((AL$5=12),(SUMPRODUCT(--(Headcount!$F$6:$F$92="Marketing"),--(Headcount!$H$6:$H$92&gt;=Marketing!AL$3),Headcount!$N$6:$N$92,Headcount!$L$6:$L$92)),0),IF(YEAR(AL$3)=YEAR(Headcount!$O$4),IF((AL$5=12),(SUMPRODUCT(--(Headcount!$F$6:$F$92="Marketing"),--(Headcount!$H$6:$H$92&gt;=Marketing!AL$3),Headcount!$O$6:$O$92,Headcount!$L$6:$L$92)),0),IF(YEAR(AL$3)=YEAR(Headcount!$P$4),IF((AL$5=12),(SUMPRODUCT(--(Headcount!$F$6:$F$92="Marketing"),--(Headcount!$H$6:$H$92&gt;=Marketing!AL$3),Headcount!$P$6:$P$92,Headcount!$L$6:$L$92)),0),IF(YEAR(AL$3)=YEAR(Headcount!$Q$4),IF((AL$5=12),(SUMPRODUCT(--(Headcount!$F$6:$F$92="Marketing"),--(Headcount!$H$6:$H$92&gt;=Marketing!AL$3),Headcount!$Q$6:$Q$92,Headcount!$L$6:$L$92)),0),IF(YEAR(AL$3)=YEAR(Headcount!$R$4),IF((AL$5=12),(SUMPRODUCT(--(Headcount!$F$6:$F$92="Marketing"),--(Headcount!$H$6:$H$92&gt;=Marketing!AL$3),Headcount!$R$6:$R$92,Headcount!$L$6:$L$92)),0),"New Year"))))),'Dept. Cost Actuals'!AP310)</f>
        <v>166412.5</v>
      </c>
      <c r="AM16" s="684">
        <f>IF(AM$4="forecast",IF(YEAR(AM$3)=YEAR(Headcount!$N$4),IF((AM$5=12),(SUMPRODUCT(--(Headcount!$F$6:$F$92="Marketing"),--(Headcount!$H$6:$H$92&gt;=Marketing!AM$3),Headcount!$N$6:$N$92,Headcount!$L$6:$L$92)),0),IF(YEAR(AM$3)=YEAR(Headcount!$O$4),IF((AM$5=12),(SUMPRODUCT(--(Headcount!$F$6:$F$92="Marketing"),--(Headcount!$H$6:$H$92&gt;=Marketing!AM$3),Headcount!$O$6:$O$92,Headcount!$L$6:$L$92)),0),IF(YEAR(AM$3)=YEAR(Headcount!$P$4),IF((AM$5=12),(SUMPRODUCT(--(Headcount!$F$6:$F$92="Marketing"),--(Headcount!$H$6:$H$92&gt;=Marketing!AM$3),Headcount!$P$6:$P$92,Headcount!$L$6:$L$92)),0),IF(YEAR(AM$3)=YEAR(Headcount!$Q$4),IF((AM$5=12),(SUMPRODUCT(--(Headcount!$F$6:$F$92="Marketing"),--(Headcount!$H$6:$H$92&gt;=Marketing!AM$3),Headcount!$Q$6:$Q$92,Headcount!$L$6:$L$92)),0),IF(YEAR(AM$3)=YEAR(Headcount!$R$4),IF((AM$5=12),(SUMPRODUCT(--(Headcount!$F$6:$F$92="Marketing"),--(Headcount!$H$6:$H$92&gt;=Marketing!AM$3),Headcount!$R$6:$R$92,Headcount!$L$6:$L$92)),0),"New Year"))))),'Dept. Cost Actuals'!AQ310)</f>
        <v>0</v>
      </c>
      <c r="AN16" s="684">
        <f>IF(AN$4="forecast",IF(YEAR(AN$3)=YEAR(Headcount!$N$4),IF((AN$5=12),(SUMPRODUCT(--(Headcount!$F$6:$F$92="Marketing"),--(Headcount!$H$6:$H$92&gt;=Marketing!AN$3),Headcount!$N$6:$N$92,Headcount!$L$6:$L$92)),0),IF(YEAR(AN$3)=YEAR(Headcount!$O$4),IF((AN$5=12),(SUMPRODUCT(--(Headcount!$F$6:$F$92="Marketing"),--(Headcount!$H$6:$H$92&gt;=Marketing!AN$3),Headcount!$O$6:$O$92,Headcount!$L$6:$L$92)),0),IF(YEAR(AN$3)=YEAR(Headcount!$P$4),IF((AN$5=12),(SUMPRODUCT(--(Headcount!$F$6:$F$92="Marketing"),--(Headcount!$H$6:$H$92&gt;=Marketing!AN$3),Headcount!$P$6:$P$92,Headcount!$L$6:$L$92)),0),IF(YEAR(AN$3)=YEAR(Headcount!$Q$4),IF((AN$5=12),(SUMPRODUCT(--(Headcount!$F$6:$F$92="Marketing"),--(Headcount!$H$6:$H$92&gt;=Marketing!AN$3),Headcount!$Q$6:$Q$92,Headcount!$L$6:$L$92)),0),IF(YEAR(AN$3)=YEAR(Headcount!$R$4),IF((AN$5=12),(SUMPRODUCT(--(Headcount!$F$6:$F$92="Marketing"),--(Headcount!$H$6:$H$92&gt;=Marketing!AN$3),Headcount!$R$6:$R$92,Headcount!$L$6:$L$92)),0),"New Year"))))),'Dept. Cost Actuals'!AR310)</f>
        <v>0</v>
      </c>
      <c r="AO16" s="684">
        <f>IF(AO$4="forecast",IF(YEAR(AO$3)=YEAR(Headcount!$N$4),IF((AO$5=12),(SUMPRODUCT(--(Headcount!$F$6:$F$92="Marketing"),--(Headcount!$H$6:$H$92&gt;=Marketing!AO$3),Headcount!$N$6:$N$92,Headcount!$L$6:$L$92)),0),IF(YEAR(AO$3)=YEAR(Headcount!$O$4),IF((AO$5=12),(SUMPRODUCT(--(Headcount!$F$6:$F$92="Marketing"),--(Headcount!$H$6:$H$92&gt;=Marketing!AO$3),Headcount!$O$6:$O$92,Headcount!$L$6:$L$92)),0),IF(YEAR(AO$3)=YEAR(Headcount!$P$4),IF((AO$5=12),(SUMPRODUCT(--(Headcount!$F$6:$F$92="Marketing"),--(Headcount!$H$6:$H$92&gt;=Marketing!AO$3),Headcount!$P$6:$P$92,Headcount!$L$6:$L$92)),0),IF(YEAR(AO$3)=YEAR(Headcount!$Q$4),IF((AO$5=12),(SUMPRODUCT(--(Headcount!$F$6:$F$92="Marketing"),--(Headcount!$H$6:$H$92&gt;=Marketing!AO$3),Headcount!$Q$6:$Q$92,Headcount!$L$6:$L$92)),0),IF(YEAR(AO$3)=YEAR(Headcount!$R$4),IF((AO$5=12),(SUMPRODUCT(--(Headcount!$F$6:$F$92="Marketing"),--(Headcount!$H$6:$H$92&gt;=Marketing!AO$3),Headcount!$R$6:$R$92,Headcount!$L$6:$L$92)),0),"New Year"))))),'Dept. Cost Actuals'!AS310)</f>
        <v>0</v>
      </c>
      <c r="AP16" s="684">
        <f>IF(AP$4="forecast",IF(YEAR(AP$3)=YEAR(Headcount!$N$4),IF((AP$5=12),(SUMPRODUCT(--(Headcount!$F$6:$F$92="Marketing"),--(Headcount!$H$6:$H$92&gt;=Marketing!AP$3),Headcount!$N$6:$N$92,Headcount!$L$6:$L$92)),0),IF(YEAR(AP$3)=YEAR(Headcount!$O$4),IF((AP$5=12),(SUMPRODUCT(--(Headcount!$F$6:$F$92="Marketing"),--(Headcount!$H$6:$H$92&gt;=Marketing!AP$3),Headcount!$O$6:$O$92,Headcount!$L$6:$L$92)),0),IF(YEAR(AP$3)=YEAR(Headcount!$P$4),IF((AP$5=12),(SUMPRODUCT(--(Headcount!$F$6:$F$92="Marketing"),--(Headcount!$H$6:$H$92&gt;=Marketing!AP$3),Headcount!$P$6:$P$92,Headcount!$L$6:$L$92)),0),IF(YEAR(AP$3)=YEAR(Headcount!$Q$4),IF((AP$5=12),(SUMPRODUCT(--(Headcount!$F$6:$F$92="Marketing"),--(Headcount!$H$6:$H$92&gt;=Marketing!AP$3),Headcount!$Q$6:$Q$92,Headcount!$L$6:$L$92)),0),IF(YEAR(AP$3)=YEAR(Headcount!$R$4),IF((AP$5=12),(SUMPRODUCT(--(Headcount!$F$6:$F$92="Marketing"),--(Headcount!$H$6:$H$92&gt;=Marketing!AP$3),Headcount!$R$6:$R$92,Headcount!$L$6:$L$92)),0),"New Year"))))),'Dept. Cost Actuals'!AT310)</f>
        <v>0</v>
      </c>
      <c r="AQ16" s="684">
        <f>IF(AQ$4="forecast",IF(YEAR(AQ$3)=YEAR(Headcount!$N$4),IF((AQ$5=12),(SUMPRODUCT(--(Headcount!$F$6:$F$92="Marketing"),--(Headcount!$H$6:$H$92&gt;=Marketing!AQ$3),Headcount!$N$6:$N$92,Headcount!$L$6:$L$92)),0),IF(YEAR(AQ$3)=YEAR(Headcount!$O$4),IF((AQ$5=12),(SUMPRODUCT(--(Headcount!$F$6:$F$92="Marketing"),--(Headcount!$H$6:$H$92&gt;=Marketing!AQ$3),Headcount!$O$6:$O$92,Headcount!$L$6:$L$92)),0),IF(YEAR(AQ$3)=YEAR(Headcount!$P$4),IF((AQ$5=12),(SUMPRODUCT(--(Headcount!$F$6:$F$92="Marketing"),--(Headcount!$H$6:$H$92&gt;=Marketing!AQ$3),Headcount!$P$6:$P$92,Headcount!$L$6:$L$92)),0),IF(YEAR(AQ$3)=YEAR(Headcount!$Q$4),IF((AQ$5=12),(SUMPRODUCT(--(Headcount!$F$6:$F$92="Marketing"),--(Headcount!$H$6:$H$92&gt;=Marketing!AQ$3),Headcount!$Q$6:$Q$92,Headcount!$L$6:$L$92)),0),IF(YEAR(AQ$3)=YEAR(Headcount!$R$4),IF((AQ$5=12),(SUMPRODUCT(--(Headcount!$F$6:$F$92="Marketing"),--(Headcount!$H$6:$H$92&gt;=Marketing!AQ$3),Headcount!$R$6:$R$92,Headcount!$L$6:$L$92)),0),"New Year"))))),'Dept. Cost Actuals'!AU310)</f>
        <v>0</v>
      </c>
      <c r="AR16" s="684">
        <f>IF(AR$4="forecast",IF(YEAR(AR$3)=YEAR(Headcount!$N$4),IF((AR$5=12),(SUMPRODUCT(--(Headcount!$F$6:$F$92="Marketing"),--(Headcount!$H$6:$H$92&gt;=Marketing!AR$3),Headcount!$N$6:$N$92,Headcount!$L$6:$L$92)),0),IF(YEAR(AR$3)=YEAR(Headcount!$O$4),IF((AR$5=12),(SUMPRODUCT(--(Headcount!$F$6:$F$92="Marketing"),--(Headcount!$H$6:$H$92&gt;=Marketing!AR$3),Headcount!$O$6:$O$92,Headcount!$L$6:$L$92)),0),IF(YEAR(AR$3)=YEAR(Headcount!$P$4),IF((AR$5=12),(SUMPRODUCT(--(Headcount!$F$6:$F$92="Marketing"),--(Headcount!$H$6:$H$92&gt;=Marketing!AR$3),Headcount!$P$6:$P$92,Headcount!$L$6:$L$92)),0),IF(YEAR(AR$3)=YEAR(Headcount!$Q$4),IF((AR$5=12),(SUMPRODUCT(--(Headcount!$F$6:$F$92="Marketing"),--(Headcount!$H$6:$H$92&gt;=Marketing!AR$3),Headcount!$Q$6:$Q$92,Headcount!$L$6:$L$92)),0),IF(YEAR(AR$3)=YEAR(Headcount!$R$4),IF((AR$5=12),(SUMPRODUCT(--(Headcount!$F$6:$F$92="Marketing"),--(Headcount!$H$6:$H$92&gt;=Marketing!AR$3),Headcount!$R$6:$R$92,Headcount!$L$6:$L$92)),0),"New Year"))))),'Dept. Cost Actuals'!AV310)</f>
        <v>0</v>
      </c>
      <c r="AS16" s="684">
        <f>IF(AS$4="forecast",IF(YEAR(AS$3)=YEAR(Headcount!$N$4),IF((AS$5=12),(SUMPRODUCT(--(Headcount!$F$6:$F$92="Marketing"),--(Headcount!$H$6:$H$92&gt;=Marketing!AS$3),Headcount!$N$6:$N$92,Headcount!$L$6:$L$92)),0),IF(YEAR(AS$3)=YEAR(Headcount!$O$4),IF((AS$5=12),(SUMPRODUCT(--(Headcount!$F$6:$F$92="Marketing"),--(Headcount!$H$6:$H$92&gt;=Marketing!AS$3),Headcount!$O$6:$O$92,Headcount!$L$6:$L$92)),0),IF(YEAR(AS$3)=YEAR(Headcount!$P$4),IF((AS$5=12),(SUMPRODUCT(--(Headcount!$F$6:$F$92="Marketing"),--(Headcount!$H$6:$H$92&gt;=Marketing!AS$3),Headcount!$P$6:$P$92,Headcount!$L$6:$L$92)),0),IF(YEAR(AS$3)=YEAR(Headcount!$Q$4),IF((AS$5=12),(SUMPRODUCT(--(Headcount!$F$6:$F$92="Marketing"),--(Headcount!$H$6:$H$92&gt;=Marketing!AS$3),Headcount!$Q$6:$Q$92,Headcount!$L$6:$L$92)),0),IF(YEAR(AS$3)=YEAR(Headcount!$R$4),IF((AS$5=12),(SUMPRODUCT(--(Headcount!$F$6:$F$92="Marketing"),--(Headcount!$H$6:$H$92&gt;=Marketing!AS$3),Headcount!$R$6:$R$92,Headcount!$L$6:$L$92)),0),"New Year"))))),'Dept. Cost Actuals'!AW310)</f>
        <v>0</v>
      </c>
      <c r="AT16" s="684">
        <f>IF(AT$4="forecast",IF(YEAR(AT$3)=YEAR(Headcount!$N$4),IF((AT$5=12),(SUMPRODUCT(--(Headcount!$F$6:$F$92="Marketing"),--(Headcount!$H$6:$H$92&gt;=Marketing!AT$3),Headcount!$N$6:$N$92,Headcount!$L$6:$L$92)),0),IF(YEAR(AT$3)=YEAR(Headcount!$O$4),IF((AT$5=12),(SUMPRODUCT(--(Headcount!$F$6:$F$92="Marketing"),--(Headcount!$H$6:$H$92&gt;=Marketing!AT$3),Headcount!$O$6:$O$92,Headcount!$L$6:$L$92)),0),IF(YEAR(AT$3)=YEAR(Headcount!$P$4),IF((AT$5=12),(SUMPRODUCT(--(Headcount!$F$6:$F$92="Marketing"),--(Headcount!$H$6:$H$92&gt;=Marketing!AT$3),Headcount!$P$6:$P$92,Headcount!$L$6:$L$92)),0),IF(YEAR(AT$3)=YEAR(Headcount!$Q$4),IF((AT$5=12),(SUMPRODUCT(--(Headcount!$F$6:$F$92="Marketing"),--(Headcount!$H$6:$H$92&gt;=Marketing!AT$3),Headcount!$Q$6:$Q$92,Headcount!$L$6:$L$92)),0),IF(YEAR(AT$3)=YEAR(Headcount!$R$4),IF((AT$5=12),(SUMPRODUCT(--(Headcount!$F$6:$F$92="Marketing"),--(Headcount!$H$6:$H$92&gt;=Marketing!AT$3),Headcount!$R$6:$R$92,Headcount!$L$6:$L$92)),0),"New Year"))))),'Dept. Cost Actuals'!AX310)</f>
        <v>0</v>
      </c>
      <c r="AU16" s="684">
        <f>IF(AU$4="forecast",IF(YEAR(AU$3)=YEAR(Headcount!$N$4),IF((AU$5=12),(SUMPRODUCT(--(Headcount!$F$6:$F$92="Marketing"),--(Headcount!$H$6:$H$92&gt;=Marketing!AU$3),Headcount!$N$6:$N$92,Headcount!$L$6:$L$92)),0),IF(YEAR(AU$3)=YEAR(Headcount!$O$4),IF((AU$5=12),(SUMPRODUCT(--(Headcount!$F$6:$F$92="Marketing"),--(Headcount!$H$6:$H$92&gt;=Marketing!AU$3),Headcount!$O$6:$O$92,Headcount!$L$6:$L$92)),0),IF(YEAR(AU$3)=YEAR(Headcount!$P$4),IF((AU$5=12),(SUMPRODUCT(--(Headcount!$F$6:$F$92="Marketing"),--(Headcount!$H$6:$H$92&gt;=Marketing!AU$3),Headcount!$P$6:$P$92,Headcount!$L$6:$L$92)),0),IF(YEAR(AU$3)=YEAR(Headcount!$Q$4),IF((AU$5=12),(SUMPRODUCT(--(Headcount!$F$6:$F$92="Marketing"),--(Headcount!$H$6:$H$92&gt;=Marketing!AU$3),Headcount!$Q$6:$Q$92,Headcount!$L$6:$L$92)),0),IF(YEAR(AU$3)=YEAR(Headcount!$R$4),IF((AU$5=12),(SUMPRODUCT(--(Headcount!$F$6:$F$92="Marketing"),--(Headcount!$H$6:$H$92&gt;=Marketing!AU$3),Headcount!$R$6:$R$92,Headcount!$L$6:$L$92)),0),"New Year"))))),'Dept. Cost Actuals'!AY310)</f>
        <v>0</v>
      </c>
      <c r="AV16" s="684">
        <f>IF(AV$4="forecast",IF(YEAR(AV$3)=YEAR(Headcount!$N$4),IF((AV$5=12),(SUMPRODUCT(--(Headcount!$F$6:$F$92="Marketing"),--(Headcount!$H$6:$H$92&gt;=Marketing!AV$3),Headcount!$N$6:$N$92,Headcount!$L$6:$L$92)),0),IF(YEAR(AV$3)=YEAR(Headcount!$O$4),IF((AV$5=12),(SUMPRODUCT(--(Headcount!$F$6:$F$92="Marketing"),--(Headcount!$H$6:$H$92&gt;=Marketing!AV$3),Headcount!$O$6:$O$92,Headcount!$L$6:$L$92)),0),IF(YEAR(AV$3)=YEAR(Headcount!$P$4),IF((AV$5=12),(SUMPRODUCT(--(Headcount!$F$6:$F$92="Marketing"),--(Headcount!$H$6:$H$92&gt;=Marketing!AV$3),Headcount!$P$6:$P$92,Headcount!$L$6:$L$92)),0),IF(YEAR(AV$3)=YEAR(Headcount!$Q$4),IF((AV$5=12),(SUMPRODUCT(--(Headcount!$F$6:$F$92="Marketing"),--(Headcount!$H$6:$H$92&gt;=Marketing!AV$3),Headcount!$Q$6:$Q$92,Headcount!$L$6:$L$92)),0),IF(YEAR(AV$3)=YEAR(Headcount!$R$4),IF((AV$5=12),(SUMPRODUCT(--(Headcount!$F$6:$F$92="Marketing"),--(Headcount!$H$6:$H$92&gt;=Marketing!AV$3),Headcount!$R$6:$R$92,Headcount!$L$6:$L$92)),0),"New Year"))))),'Dept. Cost Actuals'!AZ310)</f>
        <v>0</v>
      </c>
      <c r="AW16" s="684">
        <f>IF(AW$4="forecast",IF(YEAR(AW$3)=YEAR(Headcount!$N$4),IF((AW$5=12),(SUMPRODUCT(--(Headcount!$F$6:$F$92="Marketing"),--(Headcount!$H$6:$H$92&gt;=Marketing!AW$3),Headcount!$N$6:$N$92,Headcount!$L$6:$L$92)),0),IF(YEAR(AW$3)=YEAR(Headcount!$O$4),IF((AW$5=12),(SUMPRODUCT(--(Headcount!$F$6:$F$92="Marketing"),--(Headcount!$H$6:$H$92&gt;=Marketing!AW$3),Headcount!$O$6:$O$92,Headcount!$L$6:$L$92)),0),IF(YEAR(AW$3)=YEAR(Headcount!$P$4),IF((AW$5=12),(SUMPRODUCT(--(Headcount!$F$6:$F$92="Marketing"),--(Headcount!$H$6:$H$92&gt;=Marketing!AW$3),Headcount!$P$6:$P$92,Headcount!$L$6:$L$92)),0),IF(YEAR(AW$3)=YEAR(Headcount!$Q$4),IF((AW$5=12),(SUMPRODUCT(--(Headcount!$F$6:$F$92="Marketing"),--(Headcount!$H$6:$H$92&gt;=Marketing!AW$3),Headcount!$Q$6:$Q$92,Headcount!$L$6:$L$92)),0),IF(YEAR(AW$3)=YEAR(Headcount!$R$4),IF((AW$5=12),(SUMPRODUCT(--(Headcount!$F$6:$F$92="Marketing"),--(Headcount!$H$6:$H$92&gt;=Marketing!AW$3),Headcount!$R$6:$R$92,Headcount!$L$6:$L$92)),0),"New Year"))))),'Dept. Cost Actuals'!BA310)</f>
        <v>0</v>
      </c>
      <c r="AX16" s="684">
        <f>IF(AX$4="forecast",IF(YEAR(AX$3)=YEAR(Headcount!$N$4),IF((AX$5=12),(SUMPRODUCT(--(Headcount!$F$6:$F$92="Marketing"),--(Headcount!$H$6:$H$92&gt;=Marketing!AX$3),Headcount!$N$6:$N$92,Headcount!$L$6:$L$92)),0),IF(YEAR(AX$3)=YEAR(Headcount!$O$4),IF((AX$5=12),(SUMPRODUCT(--(Headcount!$F$6:$F$92="Marketing"),--(Headcount!$H$6:$H$92&gt;=Marketing!AX$3),Headcount!$O$6:$O$92,Headcount!$L$6:$L$92)),0),IF(YEAR(AX$3)=YEAR(Headcount!$P$4),IF((AX$5=12),(SUMPRODUCT(--(Headcount!$F$6:$F$92="Marketing"),--(Headcount!$H$6:$H$92&gt;=Marketing!AX$3),Headcount!$P$6:$P$92,Headcount!$L$6:$L$92)),0),IF(YEAR(AX$3)=YEAR(Headcount!$Q$4),IF((AX$5=12),(SUMPRODUCT(--(Headcount!$F$6:$F$92="Marketing"),--(Headcount!$H$6:$H$92&gt;=Marketing!AX$3),Headcount!$Q$6:$Q$92,Headcount!$L$6:$L$92)),0),IF(YEAR(AX$3)=YEAR(Headcount!$R$4),IF((AX$5=12),(SUMPRODUCT(--(Headcount!$F$6:$F$92="Marketing"),--(Headcount!$H$6:$H$92&gt;=Marketing!AX$3),Headcount!$R$6:$R$92,Headcount!$L$6:$L$92)),0),"New Year"))))),'Dept. Cost Actuals'!BB310)</f>
        <v>171404.875</v>
      </c>
      <c r="AY16" s="684">
        <f>IF(AY$4="forecast",IF(YEAR(AY$3)=YEAR(Headcount!$N$4),IF((AY$5=12),(SUMPRODUCT(--(Headcount!$F$6:$F$92="Marketing"),--(Headcount!$H$6:$H$92&gt;=Marketing!AY$3),Headcount!$N$6:$N$92,Headcount!$L$6:$L$92)),0),IF(YEAR(AY$3)=YEAR(Headcount!$O$4),IF((AY$5=12),(SUMPRODUCT(--(Headcount!$F$6:$F$92="Marketing"),--(Headcount!$H$6:$H$92&gt;=Marketing!AY$3),Headcount!$O$6:$O$92,Headcount!$L$6:$L$92)),0),IF(YEAR(AY$3)=YEAR(Headcount!$P$4),IF((AY$5=12),(SUMPRODUCT(--(Headcount!$F$6:$F$92="Marketing"),--(Headcount!$H$6:$H$92&gt;=Marketing!AY$3),Headcount!$P$6:$P$92,Headcount!$L$6:$L$92)),0),IF(YEAR(AY$3)=YEAR(Headcount!$Q$4),IF((AY$5=12),(SUMPRODUCT(--(Headcount!$F$6:$F$92="Marketing"),--(Headcount!$H$6:$H$92&gt;=Marketing!AY$3),Headcount!$Q$6:$Q$92,Headcount!$L$6:$L$92)),0),IF(YEAR(AY$3)=YEAR(Headcount!$R$4),IF((AY$5=12),(SUMPRODUCT(--(Headcount!$F$6:$F$92="Marketing"),--(Headcount!$H$6:$H$92&gt;=Marketing!AY$3),Headcount!$R$6:$R$92,Headcount!$L$6:$L$92)),0),"New Year"))))),'Dept. Cost Actuals'!BC310)</f>
        <v>0</v>
      </c>
      <c r="AZ16" s="684">
        <f>IF(AZ$4="forecast",IF(YEAR(AZ$3)=YEAR(Headcount!$N$4),IF((AZ$5=12),(SUMPRODUCT(--(Headcount!$F$6:$F$92="Marketing"),--(Headcount!$H$6:$H$92&gt;=Marketing!AZ$3),Headcount!$N$6:$N$92,Headcount!$L$6:$L$92)),0),IF(YEAR(AZ$3)=YEAR(Headcount!$O$4),IF((AZ$5=12),(SUMPRODUCT(--(Headcount!$F$6:$F$92="Marketing"),--(Headcount!$H$6:$H$92&gt;=Marketing!AZ$3),Headcount!$O$6:$O$92,Headcount!$L$6:$L$92)),0),IF(YEAR(AZ$3)=YEAR(Headcount!$P$4),IF((AZ$5=12),(SUMPRODUCT(--(Headcount!$F$6:$F$92="Marketing"),--(Headcount!$H$6:$H$92&gt;=Marketing!AZ$3),Headcount!$P$6:$P$92,Headcount!$L$6:$L$92)),0),IF(YEAR(AZ$3)=YEAR(Headcount!$Q$4),IF((AZ$5=12),(SUMPRODUCT(--(Headcount!$F$6:$F$92="Marketing"),--(Headcount!$H$6:$H$92&gt;=Marketing!AZ$3),Headcount!$Q$6:$Q$92,Headcount!$L$6:$L$92)),0),IF(YEAR(AZ$3)=YEAR(Headcount!$R$4),IF((AZ$5=12),(SUMPRODUCT(--(Headcount!$F$6:$F$92="Marketing"),--(Headcount!$H$6:$H$92&gt;=Marketing!AZ$3),Headcount!$R$6:$R$92,Headcount!$L$6:$L$92)),0),"New Year"))))),'Dept. Cost Actuals'!BD310)</f>
        <v>0</v>
      </c>
      <c r="BA16" s="684">
        <f>IF(BA$4="forecast",IF(YEAR(BA$3)=YEAR(Headcount!$N$4),IF((BA$5=12),(SUMPRODUCT(--(Headcount!$F$6:$F$92="Marketing"),--(Headcount!$H$6:$H$92&gt;=Marketing!BA$3),Headcount!$N$6:$N$92,Headcount!$L$6:$L$92)),0),IF(YEAR(BA$3)=YEAR(Headcount!$O$4),IF((BA$5=12),(SUMPRODUCT(--(Headcount!$F$6:$F$92="Marketing"),--(Headcount!$H$6:$H$92&gt;=Marketing!BA$3),Headcount!$O$6:$O$92,Headcount!$L$6:$L$92)),0),IF(YEAR(BA$3)=YEAR(Headcount!$P$4),IF((BA$5=12),(SUMPRODUCT(--(Headcount!$F$6:$F$92="Marketing"),--(Headcount!$H$6:$H$92&gt;=Marketing!BA$3),Headcount!$P$6:$P$92,Headcount!$L$6:$L$92)),0),IF(YEAR(BA$3)=YEAR(Headcount!$Q$4),IF((BA$5=12),(SUMPRODUCT(--(Headcount!$F$6:$F$92="Marketing"),--(Headcount!$H$6:$H$92&gt;=Marketing!BA$3),Headcount!$Q$6:$Q$92,Headcount!$L$6:$L$92)),0),IF(YEAR(BA$3)=YEAR(Headcount!$R$4),IF((BA$5=12),(SUMPRODUCT(--(Headcount!$F$6:$F$92="Marketing"),--(Headcount!$H$6:$H$92&gt;=Marketing!BA$3),Headcount!$R$6:$R$92,Headcount!$L$6:$L$92)),0),"New Year"))))),'Dept. Cost Actuals'!BE310)</f>
        <v>0</v>
      </c>
      <c r="BB16" s="684">
        <f>IF(BB$4="forecast",IF(YEAR(BB$3)=YEAR(Headcount!$N$4),IF((BB$5=12),(SUMPRODUCT(--(Headcount!$F$6:$F$92="Marketing"),--(Headcount!$H$6:$H$92&gt;=Marketing!BB$3),Headcount!$N$6:$N$92,Headcount!$L$6:$L$92)),0),IF(YEAR(BB$3)=YEAR(Headcount!$O$4),IF((BB$5=12),(SUMPRODUCT(--(Headcount!$F$6:$F$92="Marketing"),--(Headcount!$H$6:$H$92&gt;=Marketing!BB$3),Headcount!$O$6:$O$92,Headcount!$L$6:$L$92)),0),IF(YEAR(BB$3)=YEAR(Headcount!$P$4),IF((BB$5=12),(SUMPRODUCT(--(Headcount!$F$6:$F$92="Marketing"),--(Headcount!$H$6:$H$92&gt;=Marketing!BB$3),Headcount!$P$6:$P$92,Headcount!$L$6:$L$92)),0),IF(YEAR(BB$3)=YEAR(Headcount!$Q$4),IF((BB$5=12),(SUMPRODUCT(--(Headcount!$F$6:$F$92="Marketing"),--(Headcount!$H$6:$H$92&gt;=Marketing!BB$3),Headcount!$Q$6:$Q$92,Headcount!$L$6:$L$92)),0),IF(YEAR(BB$3)=YEAR(Headcount!$R$4),IF((BB$5=12),(SUMPRODUCT(--(Headcount!$F$6:$F$92="Marketing"),--(Headcount!$H$6:$H$92&gt;=Marketing!BB$3),Headcount!$R$6:$R$92,Headcount!$L$6:$L$92)),0),"New Year"))))),'Dept. Cost Actuals'!BF310)</f>
        <v>0</v>
      </c>
      <c r="BC16" s="684">
        <f>IF(BC$4="forecast",IF(YEAR(BC$3)=YEAR(Headcount!$N$4),IF((BC$5=12),(SUMPRODUCT(--(Headcount!$F$6:$F$92="Marketing"),--(Headcount!$H$6:$H$92&gt;=Marketing!BC$3),Headcount!$N$6:$N$92,Headcount!$L$6:$L$92)),0),IF(YEAR(BC$3)=YEAR(Headcount!$O$4),IF((BC$5=12),(SUMPRODUCT(--(Headcount!$F$6:$F$92="Marketing"),--(Headcount!$H$6:$H$92&gt;=Marketing!BC$3),Headcount!$O$6:$O$92,Headcount!$L$6:$L$92)),0),IF(YEAR(BC$3)=YEAR(Headcount!$P$4),IF((BC$5=12),(SUMPRODUCT(--(Headcount!$F$6:$F$92="Marketing"),--(Headcount!$H$6:$H$92&gt;=Marketing!BC$3),Headcount!$P$6:$P$92,Headcount!$L$6:$L$92)),0),IF(YEAR(BC$3)=YEAR(Headcount!$Q$4),IF((BC$5=12),(SUMPRODUCT(--(Headcount!$F$6:$F$92="Marketing"),--(Headcount!$H$6:$H$92&gt;=Marketing!BC$3),Headcount!$Q$6:$Q$92,Headcount!$L$6:$L$92)),0),IF(YEAR(BC$3)=YEAR(Headcount!$R$4),IF((BC$5=12),(SUMPRODUCT(--(Headcount!$F$6:$F$92="Marketing"),--(Headcount!$H$6:$H$92&gt;=Marketing!BC$3),Headcount!$R$6:$R$92,Headcount!$L$6:$L$92)),0),"New Year"))))),'Dept. Cost Actuals'!BG310)</f>
        <v>0</v>
      </c>
      <c r="BD16" s="684">
        <f>IF(BD$4="forecast",IF(YEAR(BD$3)=YEAR(Headcount!$N$4),IF((BD$5=12),(SUMPRODUCT(--(Headcount!$F$6:$F$92="Marketing"),--(Headcount!$H$6:$H$92&gt;=Marketing!BD$3),Headcount!$N$6:$N$92,Headcount!$L$6:$L$92)),0),IF(YEAR(BD$3)=YEAR(Headcount!$O$4),IF((BD$5=12),(SUMPRODUCT(--(Headcount!$F$6:$F$92="Marketing"),--(Headcount!$H$6:$H$92&gt;=Marketing!BD$3),Headcount!$O$6:$O$92,Headcount!$L$6:$L$92)),0),IF(YEAR(BD$3)=YEAR(Headcount!$P$4),IF((BD$5=12),(SUMPRODUCT(--(Headcount!$F$6:$F$92="Marketing"),--(Headcount!$H$6:$H$92&gt;=Marketing!BD$3),Headcount!$P$6:$P$92,Headcount!$L$6:$L$92)),0),IF(YEAR(BD$3)=YEAR(Headcount!$Q$4),IF((BD$5=12),(SUMPRODUCT(--(Headcount!$F$6:$F$92="Marketing"),--(Headcount!$H$6:$H$92&gt;=Marketing!BD$3),Headcount!$Q$6:$Q$92,Headcount!$L$6:$L$92)),0),IF(YEAR(BD$3)=YEAR(Headcount!$R$4),IF((BD$5=12),(SUMPRODUCT(--(Headcount!$F$6:$F$92="Marketing"),--(Headcount!$H$6:$H$92&gt;=Marketing!BD$3),Headcount!$R$6:$R$92,Headcount!$L$6:$L$92)),0),"New Year"))))),'Dept. Cost Actuals'!BH310)</f>
        <v>0</v>
      </c>
      <c r="BE16" s="684">
        <f>IF(BE$4="forecast",IF(YEAR(BE$3)=YEAR(Headcount!$N$4),IF((BE$5=12),(SUMPRODUCT(--(Headcount!$F$6:$F$92="Marketing"),--(Headcount!$H$6:$H$92&gt;=Marketing!BE$3),Headcount!$N$6:$N$92,Headcount!$L$6:$L$92)),0),IF(YEAR(BE$3)=YEAR(Headcount!$O$4),IF((BE$5=12),(SUMPRODUCT(--(Headcount!$F$6:$F$92="Marketing"),--(Headcount!$H$6:$H$92&gt;=Marketing!BE$3),Headcount!$O$6:$O$92,Headcount!$L$6:$L$92)),0),IF(YEAR(BE$3)=YEAR(Headcount!$P$4),IF((BE$5=12),(SUMPRODUCT(--(Headcount!$F$6:$F$92="Marketing"),--(Headcount!$H$6:$H$92&gt;=Marketing!BE$3),Headcount!$P$6:$P$92,Headcount!$L$6:$L$92)),0),IF(YEAR(BE$3)=YEAR(Headcount!$Q$4),IF((BE$5=12),(SUMPRODUCT(--(Headcount!$F$6:$F$92="Marketing"),--(Headcount!$H$6:$H$92&gt;=Marketing!BE$3),Headcount!$Q$6:$Q$92,Headcount!$L$6:$L$92)),0),IF(YEAR(BE$3)=YEAR(Headcount!$R$4),IF((BE$5=12),(SUMPRODUCT(--(Headcount!$F$6:$F$92="Marketing"),--(Headcount!$H$6:$H$92&gt;=Marketing!BE$3),Headcount!$R$6:$R$92,Headcount!$L$6:$L$92)),0),"New Year"))))),'Dept. Cost Actuals'!BI310)</f>
        <v>0</v>
      </c>
      <c r="BF16" s="684">
        <f>IF(BF$4="forecast",IF(YEAR(BF$3)=YEAR(Headcount!$N$4),IF((BF$5=12),(SUMPRODUCT(--(Headcount!$F$6:$F$92="Marketing"),--(Headcount!$H$6:$H$92&gt;=Marketing!BF$3),Headcount!$N$6:$N$92,Headcount!$L$6:$L$92)),0),IF(YEAR(BF$3)=YEAR(Headcount!$O$4),IF((BF$5=12),(SUMPRODUCT(--(Headcount!$F$6:$F$92="Marketing"),--(Headcount!$H$6:$H$92&gt;=Marketing!BF$3),Headcount!$O$6:$O$92,Headcount!$L$6:$L$92)),0),IF(YEAR(BF$3)=YEAR(Headcount!$P$4),IF((BF$5=12),(SUMPRODUCT(--(Headcount!$F$6:$F$92="Marketing"),--(Headcount!$H$6:$H$92&gt;=Marketing!BF$3),Headcount!$P$6:$P$92,Headcount!$L$6:$L$92)),0),IF(YEAR(BF$3)=YEAR(Headcount!$Q$4),IF((BF$5=12),(SUMPRODUCT(--(Headcount!$F$6:$F$92="Marketing"),--(Headcount!$H$6:$H$92&gt;=Marketing!BF$3),Headcount!$Q$6:$Q$92,Headcount!$L$6:$L$92)),0),IF(YEAR(BF$3)=YEAR(Headcount!$R$4),IF((BF$5=12),(SUMPRODUCT(--(Headcount!$F$6:$F$92="Marketing"),--(Headcount!$H$6:$H$92&gt;=Marketing!BF$3),Headcount!$R$6:$R$92,Headcount!$L$6:$L$92)),0),"New Year"))))),'Dept. Cost Actuals'!BJ310)</f>
        <v>0</v>
      </c>
      <c r="BG16" s="684">
        <f>IF(BG$4="forecast",IF(YEAR(BG$3)=YEAR(Headcount!$N$4),IF((BG$5=12),(SUMPRODUCT(--(Headcount!$F$6:$F$92="Marketing"),--(Headcount!$H$6:$H$92&gt;=Marketing!BG$3),Headcount!$N$6:$N$92,Headcount!$L$6:$L$92)),0),IF(YEAR(BG$3)=YEAR(Headcount!$O$4),IF((BG$5=12),(SUMPRODUCT(--(Headcount!$F$6:$F$92="Marketing"),--(Headcount!$H$6:$H$92&gt;=Marketing!BG$3),Headcount!$O$6:$O$92,Headcount!$L$6:$L$92)),0),IF(YEAR(BG$3)=YEAR(Headcount!$P$4),IF((BG$5=12),(SUMPRODUCT(--(Headcount!$F$6:$F$92="Marketing"),--(Headcount!$H$6:$H$92&gt;=Marketing!BG$3),Headcount!$P$6:$P$92,Headcount!$L$6:$L$92)),0),IF(YEAR(BG$3)=YEAR(Headcount!$Q$4),IF((BG$5=12),(SUMPRODUCT(--(Headcount!$F$6:$F$92="Marketing"),--(Headcount!$H$6:$H$92&gt;=Marketing!BG$3),Headcount!$Q$6:$Q$92,Headcount!$L$6:$L$92)),0),IF(YEAR(BG$3)=YEAR(Headcount!$R$4),IF((BG$5=12),(SUMPRODUCT(--(Headcount!$F$6:$F$92="Marketing"),--(Headcount!$H$6:$H$92&gt;=Marketing!BG$3),Headcount!$R$6:$R$92,Headcount!$L$6:$L$92)),0),"New Year"))))),'Dept. Cost Actuals'!BK310)</f>
        <v>0</v>
      </c>
      <c r="BH16" s="684">
        <f>IF(BH$4="forecast",IF(YEAR(BH$3)=YEAR(Headcount!$N$4),IF((BH$5=12),(SUMPRODUCT(--(Headcount!$F$6:$F$92="Marketing"),--(Headcount!$H$6:$H$92&gt;=Marketing!BH$3),Headcount!$N$6:$N$92,Headcount!$L$6:$L$92)),0),IF(YEAR(BH$3)=YEAR(Headcount!$O$4),IF((BH$5=12),(SUMPRODUCT(--(Headcount!$F$6:$F$92="Marketing"),--(Headcount!$H$6:$H$92&gt;=Marketing!BH$3),Headcount!$O$6:$O$92,Headcount!$L$6:$L$92)),0),IF(YEAR(BH$3)=YEAR(Headcount!$P$4),IF((BH$5=12),(SUMPRODUCT(--(Headcount!$F$6:$F$92="Marketing"),--(Headcount!$H$6:$H$92&gt;=Marketing!BH$3),Headcount!$P$6:$P$92,Headcount!$L$6:$L$92)),0),IF(YEAR(BH$3)=YEAR(Headcount!$Q$4),IF((BH$5=12),(SUMPRODUCT(--(Headcount!$F$6:$F$92="Marketing"),--(Headcount!$H$6:$H$92&gt;=Marketing!BH$3),Headcount!$Q$6:$Q$92,Headcount!$L$6:$L$92)),0),IF(YEAR(BH$3)=YEAR(Headcount!$R$4),IF((BH$5=12),(SUMPRODUCT(--(Headcount!$F$6:$F$92="Marketing"),--(Headcount!$H$6:$H$92&gt;=Marketing!BH$3),Headcount!$R$6:$R$92,Headcount!$L$6:$L$92)),0),"New Year"))))),'Dept. Cost Actuals'!BL310)</f>
        <v>0</v>
      </c>
      <c r="BI16" s="684">
        <f>IF(BI$4="forecast",IF(YEAR(BI$3)=YEAR(Headcount!$N$4),IF((BI$5=12),(SUMPRODUCT(--(Headcount!$F$6:$F$92="Marketing"),--(Headcount!$H$6:$H$92&gt;=Marketing!BI$3),Headcount!$N$6:$N$92,Headcount!$L$6:$L$92)),0),IF(YEAR(BI$3)=YEAR(Headcount!$O$4),IF((BI$5=12),(SUMPRODUCT(--(Headcount!$F$6:$F$92="Marketing"),--(Headcount!$H$6:$H$92&gt;=Marketing!BI$3),Headcount!$O$6:$O$92,Headcount!$L$6:$L$92)),0),IF(YEAR(BI$3)=YEAR(Headcount!$P$4),IF((BI$5=12),(SUMPRODUCT(--(Headcount!$F$6:$F$92="Marketing"),--(Headcount!$H$6:$H$92&gt;=Marketing!BI$3),Headcount!$P$6:$P$92,Headcount!$L$6:$L$92)),0),IF(YEAR(BI$3)=YEAR(Headcount!$Q$4),IF((BI$5=12),(SUMPRODUCT(--(Headcount!$F$6:$F$92="Marketing"),--(Headcount!$H$6:$H$92&gt;=Marketing!BI$3),Headcount!$Q$6:$Q$92,Headcount!$L$6:$L$92)),0),IF(YEAR(BI$3)=YEAR(Headcount!$R$4),IF((BI$5=12),(SUMPRODUCT(--(Headcount!$F$6:$F$92="Marketing"),--(Headcount!$H$6:$H$92&gt;=Marketing!BI$3),Headcount!$R$6:$R$92,Headcount!$L$6:$L$92)),0),"New Year"))))),'Dept. Cost Actuals'!BM310)</f>
        <v>0</v>
      </c>
      <c r="BJ16" s="684">
        <f>IF(BJ$4="forecast",IF(YEAR(BJ$3)=YEAR(Headcount!$N$4),IF((BJ$5=12),(SUMPRODUCT(--(Headcount!$F$6:$F$92="Marketing"),--(Headcount!$H$6:$H$92&gt;=Marketing!BJ$3),Headcount!$N$6:$N$92,Headcount!$L$6:$L$92)),0),IF(YEAR(BJ$3)=YEAR(Headcount!$O$4),IF((BJ$5=12),(SUMPRODUCT(--(Headcount!$F$6:$F$92="Marketing"),--(Headcount!$H$6:$H$92&gt;=Marketing!BJ$3),Headcount!$O$6:$O$92,Headcount!$L$6:$L$92)),0),IF(YEAR(BJ$3)=YEAR(Headcount!$P$4),IF((BJ$5=12),(SUMPRODUCT(--(Headcount!$F$6:$F$92="Marketing"),--(Headcount!$H$6:$H$92&gt;=Marketing!BJ$3),Headcount!$P$6:$P$92,Headcount!$L$6:$L$92)),0),IF(YEAR(BJ$3)=YEAR(Headcount!$Q$4),IF((BJ$5=12),(SUMPRODUCT(--(Headcount!$F$6:$F$92="Marketing"),--(Headcount!$H$6:$H$92&gt;=Marketing!BJ$3),Headcount!$Q$6:$Q$92,Headcount!$L$6:$L$92)),0),IF(YEAR(BJ$3)=YEAR(Headcount!$R$4),IF((BJ$5=12),(SUMPRODUCT(--(Headcount!$F$6:$F$92="Marketing"),--(Headcount!$H$6:$H$92&gt;=Marketing!BJ$3),Headcount!$R$6:$R$92,Headcount!$L$6:$L$92)),0),"New Year"))))),'Dept. Cost Actuals'!BN310)</f>
        <v>176547.02124999999</v>
      </c>
      <c r="BK16" s="684">
        <f>IF(BK$4="forecast",IF(YEAR(BK$3)=YEAR(Headcount!$N$4),IF((BK$5=12),(SUMPRODUCT(--(Headcount!$F$6:$F$92="Marketing"),--(Headcount!$H$6:$H$92&gt;=Marketing!BK$3),Headcount!$N$6:$N$92,Headcount!$L$6:$L$92)),0),IF(YEAR(BK$3)=YEAR(Headcount!$O$4),IF((BK$5=12),(SUMPRODUCT(--(Headcount!$F$6:$F$92="Marketing"),--(Headcount!$H$6:$H$92&gt;=Marketing!BK$3),Headcount!$O$6:$O$92,Headcount!$L$6:$L$92)),0),IF(YEAR(BK$3)=YEAR(Headcount!$P$4),IF((BK$5=12),(SUMPRODUCT(--(Headcount!$F$6:$F$92="Marketing"),--(Headcount!$H$6:$H$92&gt;=Marketing!BK$3),Headcount!$P$6:$P$92,Headcount!$L$6:$L$92)),0),IF(YEAR(BK$3)=YEAR(Headcount!$Q$4),IF((BK$5=12),(SUMPRODUCT(--(Headcount!$F$6:$F$92="Marketing"),--(Headcount!$H$6:$H$92&gt;=Marketing!BK$3),Headcount!$Q$6:$Q$92,Headcount!$L$6:$L$92)),0),IF(YEAR(BK$3)=YEAR(Headcount!$R$4),IF((BK$5=12),(SUMPRODUCT(--(Headcount!$F$6:$F$92="Marketing"),--(Headcount!$H$6:$H$92&gt;=Marketing!BK$3),Headcount!$R$6:$R$92,Headcount!$L$6:$L$92)),0),"New Year"))))),'Dept. Cost Actuals'!BO310)</f>
        <v>0</v>
      </c>
      <c r="BL16" s="684">
        <f>IF(BL$4="forecast",IF(YEAR(BL$3)=YEAR(Headcount!$N$4),IF((BL$5=12),(SUMPRODUCT(--(Headcount!$F$6:$F$92="Marketing"),--(Headcount!$H$6:$H$92&gt;=Marketing!BL$3),Headcount!$N$6:$N$92,Headcount!$L$6:$L$92)),0),IF(YEAR(BL$3)=YEAR(Headcount!$O$4),IF((BL$5=12),(SUMPRODUCT(--(Headcount!$F$6:$F$92="Marketing"),--(Headcount!$H$6:$H$92&gt;=Marketing!BL$3),Headcount!$O$6:$O$92,Headcount!$L$6:$L$92)),0),IF(YEAR(BL$3)=YEAR(Headcount!$P$4),IF((BL$5=12),(SUMPRODUCT(--(Headcount!$F$6:$F$92="Marketing"),--(Headcount!$H$6:$H$92&gt;=Marketing!BL$3),Headcount!$P$6:$P$92,Headcount!$L$6:$L$92)),0),IF(YEAR(BL$3)=YEAR(Headcount!$Q$4),IF((BL$5=12),(SUMPRODUCT(--(Headcount!$F$6:$F$92="Marketing"),--(Headcount!$H$6:$H$92&gt;=Marketing!BL$3),Headcount!$Q$6:$Q$92,Headcount!$L$6:$L$92)),0),IF(YEAR(BL$3)=YEAR(Headcount!$R$4),IF((BL$5=12),(SUMPRODUCT(--(Headcount!$F$6:$F$92="Marketing"),--(Headcount!$H$6:$H$92&gt;=Marketing!BL$3),Headcount!$R$6:$R$92,Headcount!$L$6:$L$92)),0),"New Year"))))),'Dept. Cost Actuals'!BP310)</f>
        <v>0</v>
      </c>
      <c r="BM16" s="684">
        <f>IF(BM$4="forecast",IF(YEAR(BM$3)=YEAR(Headcount!$N$4),IF((BM$5=12),(SUMPRODUCT(--(Headcount!$F$6:$F$92="Marketing"),--(Headcount!$H$6:$H$92&gt;=Marketing!BM$3),Headcount!$N$6:$N$92,Headcount!$L$6:$L$92)),0),IF(YEAR(BM$3)=YEAR(Headcount!$O$4),IF((BM$5=12),(SUMPRODUCT(--(Headcount!$F$6:$F$92="Marketing"),--(Headcount!$H$6:$H$92&gt;=Marketing!BM$3),Headcount!$O$6:$O$92,Headcount!$L$6:$L$92)),0),IF(YEAR(BM$3)=YEAR(Headcount!$P$4),IF((BM$5=12),(SUMPRODUCT(--(Headcount!$F$6:$F$92="Marketing"),--(Headcount!$H$6:$H$92&gt;=Marketing!BM$3),Headcount!$P$6:$P$92,Headcount!$L$6:$L$92)),0),IF(YEAR(BM$3)=YEAR(Headcount!$Q$4),IF((BM$5=12),(SUMPRODUCT(--(Headcount!$F$6:$F$92="Marketing"),--(Headcount!$H$6:$H$92&gt;=Marketing!BM$3),Headcount!$Q$6:$Q$92,Headcount!$L$6:$L$92)),0),IF(YEAR(BM$3)=YEAR(Headcount!$R$4),IF((BM$5=12),(SUMPRODUCT(--(Headcount!$F$6:$F$92="Marketing"),--(Headcount!$H$6:$H$92&gt;=Marketing!BM$3),Headcount!$R$6:$R$92,Headcount!$L$6:$L$92)),0),"New Year"))))),'Dept. Cost Actuals'!BQ310)</f>
        <v>0</v>
      </c>
      <c r="BN16" s="684">
        <f>IF(BN$4="forecast",IF(YEAR(BN$3)=YEAR(Headcount!$N$4),IF((BN$5=12),(SUMPRODUCT(--(Headcount!$F$6:$F$92="Marketing"),--(Headcount!$H$6:$H$92&gt;=Marketing!BN$3),Headcount!$N$6:$N$92,Headcount!$L$6:$L$92)),0),IF(YEAR(BN$3)=YEAR(Headcount!$O$4),IF((BN$5=12),(SUMPRODUCT(--(Headcount!$F$6:$F$92="Marketing"),--(Headcount!$H$6:$H$92&gt;=Marketing!BN$3),Headcount!$O$6:$O$92,Headcount!$L$6:$L$92)),0),IF(YEAR(BN$3)=YEAR(Headcount!$P$4),IF((BN$5=12),(SUMPRODUCT(--(Headcount!$F$6:$F$92="Marketing"),--(Headcount!$H$6:$H$92&gt;=Marketing!BN$3),Headcount!$P$6:$P$92,Headcount!$L$6:$L$92)),0),IF(YEAR(BN$3)=YEAR(Headcount!$Q$4),IF((BN$5=12),(SUMPRODUCT(--(Headcount!$F$6:$F$92="Marketing"),--(Headcount!$H$6:$H$92&gt;=Marketing!BN$3),Headcount!$Q$6:$Q$92,Headcount!$L$6:$L$92)),0),IF(YEAR(BN$3)=YEAR(Headcount!$R$4),IF((BN$5=12),(SUMPRODUCT(--(Headcount!$F$6:$F$92="Marketing"),--(Headcount!$H$6:$H$92&gt;=Marketing!BN$3),Headcount!$R$6:$R$92,Headcount!$L$6:$L$92)),0),"New Year"))))),'Dept. Cost Actuals'!BR310)</f>
        <v>0</v>
      </c>
      <c r="BO16" s="684">
        <f>IF(BO$4="forecast",IF(YEAR(BO$3)=YEAR(Headcount!$N$4),IF((BO$5=12),(SUMPRODUCT(--(Headcount!$F$6:$F$92="Marketing"),--(Headcount!$H$6:$H$92&gt;=Marketing!BO$3),Headcount!$N$6:$N$92,Headcount!$L$6:$L$92)),0),IF(YEAR(BO$3)=YEAR(Headcount!$O$4),IF((BO$5=12),(SUMPRODUCT(--(Headcount!$F$6:$F$92="Marketing"),--(Headcount!$H$6:$H$92&gt;=Marketing!BO$3),Headcount!$O$6:$O$92,Headcount!$L$6:$L$92)),0),IF(YEAR(BO$3)=YEAR(Headcount!$P$4),IF((BO$5=12),(SUMPRODUCT(--(Headcount!$F$6:$F$92="Marketing"),--(Headcount!$H$6:$H$92&gt;=Marketing!BO$3),Headcount!$P$6:$P$92,Headcount!$L$6:$L$92)),0),IF(YEAR(BO$3)=YEAR(Headcount!$Q$4),IF((BO$5=12),(SUMPRODUCT(--(Headcount!$F$6:$F$92="Marketing"),--(Headcount!$H$6:$H$92&gt;=Marketing!BO$3),Headcount!$Q$6:$Q$92,Headcount!$L$6:$L$92)),0),IF(YEAR(BO$3)=YEAR(Headcount!$R$4),IF((BO$5=12),(SUMPRODUCT(--(Headcount!$F$6:$F$92="Marketing"),--(Headcount!$H$6:$H$92&gt;=Marketing!BO$3),Headcount!$R$6:$R$92,Headcount!$L$6:$L$92)),0),"New Year"))))),'Dept. Cost Actuals'!BS310)</f>
        <v>0</v>
      </c>
      <c r="BP16" s="684">
        <f>IF(BP$4="forecast",IF(YEAR(BP$3)=YEAR(Headcount!$N$4),IF((BP$5=12),(SUMPRODUCT(--(Headcount!$F$6:$F$92="Marketing"),--(Headcount!$H$6:$H$92&gt;=Marketing!BP$3),Headcount!$N$6:$N$92,Headcount!$L$6:$L$92)),0),IF(YEAR(BP$3)=YEAR(Headcount!$O$4),IF((BP$5=12),(SUMPRODUCT(--(Headcount!$F$6:$F$92="Marketing"),--(Headcount!$H$6:$H$92&gt;=Marketing!BP$3),Headcount!$O$6:$O$92,Headcount!$L$6:$L$92)),0),IF(YEAR(BP$3)=YEAR(Headcount!$P$4),IF((BP$5=12),(SUMPRODUCT(--(Headcount!$F$6:$F$92="Marketing"),--(Headcount!$H$6:$H$92&gt;=Marketing!BP$3),Headcount!$P$6:$P$92,Headcount!$L$6:$L$92)),0),IF(YEAR(BP$3)=YEAR(Headcount!$Q$4),IF((BP$5=12),(SUMPRODUCT(--(Headcount!$F$6:$F$92="Marketing"),--(Headcount!$H$6:$H$92&gt;=Marketing!BP$3),Headcount!$Q$6:$Q$92,Headcount!$L$6:$L$92)),0),IF(YEAR(BP$3)=YEAR(Headcount!$R$4),IF((BP$5=12),(SUMPRODUCT(--(Headcount!$F$6:$F$92="Marketing"),--(Headcount!$H$6:$H$92&gt;=Marketing!BP$3),Headcount!$R$6:$R$92,Headcount!$L$6:$L$92)),0),"New Year"))))),'Dept. Cost Actuals'!BT310)</f>
        <v>0</v>
      </c>
      <c r="BQ16" s="684">
        <f>IF(BQ$4="forecast",IF(YEAR(BQ$3)=YEAR(Headcount!$N$4),IF((BQ$5=12),(SUMPRODUCT(--(Headcount!$F$6:$F$92="Marketing"),--(Headcount!$H$6:$H$92&gt;=Marketing!BQ$3),Headcount!$N$6:$N$92,Headcount!$L$6:$L$92)),0),IF(YEAR(BQ$3)=YEAR(Headcount!$O$4),IF((BQ$5=12),(SUMPRODUCT(--(Headcount!$F$6:$F$92="Marketing"),--(Headcount!$H$6:$H$92&gt;=Marketing!BQ$3),Headcount!$O$6:$O$92,Headcount!$L$6:$L$92)),0),IF(YEAR(BQ$3)=YEAR(Headcount!$P$4),IF((BQ$5=12),(SUMPRODUCT(--(Headcount!$F$6:$F$92="Marketing"),--(Headcount!$H$6:$H$92&gt;=Marketing!BQ$3),Headcount!$P$6:$P$92,Headcount!$L$6:$L$92)),0),IF(YEAR(BQ$3)=YEAR(Headcount!$Q$4),IF((BQ$5=12),(SUMPRODUCT(--(Headcount!$F$6:$F$92="Marketing"),--(Headcount!$H$6:$H$92&gt;=Marketing!BQ$3),Headcount!$Q$6:$Q$92,Headcount!$L$6:$L$92)),0),IF(YEAR(BQ$3)=YEAR(Headcount!$R$4),IF((BQ$5=12),(SUMPRODUCT(--(Headcount!$F$6:$F$92="Marketing"),--(Headcount!$H$6:$H$92&gt;=Marketing!BQ$3),Headcount!$R$6:$R$92,Headcount!$L$6:$L$92)),0),"New Year"))))),'Dept. Cost Actuals'!BU310)</f>
        <v>0</v>
      </c>
      <c r="BR16" s="684">
        <f>IF(BR$4="forecast",IF(YEAR(BR$3)=YEAR(Headcount!$N$4),IF((BR$5=12),(SUMPRODUCT(--(Headcount!$F$6:$F$92="Marketing"),--(Headcount!$H$6:$H$92&gt;=Marketing!BR$3),Headcount!$N$6:$N$92,Headcount!$L$6:$L$92)),0),IF(YEAR(BR$3)=YEAR(Headcount!$O$4),IF((BR$5=12),(SUMPRODUCT(--(Headcount!$F$6:$F$92="Marketing"),--(Headcount!$H$6:$H$92&gt;=Marketing!BR$3),Headcount!$O$6:$O$92,Headcount!$L$6:$L$92)),0),IF(YEAR(BR$3)=YEAR(Headcount!$P$4),IF((BR$5=12),(SUMPRODUCT(--(Headcount!$F$6:$F$92="Marketing"),--(Headcount!$H$6:$H$92&gt;=Marketing!BR$3),Headcount!$P$6:$P$92,Headcount!$L$6:$L$92)),0),IF(YEAR(BR$3)=YEAR(Headcount!$Q$4),IF((BR$5=12),(SUMPRODUCT(--(Headcount!$F$6:$F$92="Marketing"),--(Headcount!$H$6:$H$92&gt;=Marketing!BR$3),Headcount!$Q$6:$Q$92,Headcount!$L$6:$L$92)),0),IF(YEAR(BR$3)=YEAR(Headcount!$R$4),IF((BR$5=12),(SUMPRODUCT(--(Headcount!$F$6:$F$92="Marketing"),--(Headcount!$H$6:$H$92&gt;=Marketing!BR$3),Headcount!$R$6:$R$92,Headcount!$L$6:$L$92)),0),"New Year"))))),'Dept. Cost Actuals'!BV310)</f>
        <v>0</v>
      </c>
      <c r="BS16" s="684">
        <f>IF(BS$4="forecast",IF(YEAR(BS$3)=YEAR(Headcount!$N$4),IF((BS$5=12),(SUMPRODUCT(--(Headcount!$F$6:$F$92="Marketing"),--(Headcount!$H$6:$H$92&gt;=Marketing!BS$3),Headcount!$N$6:$N$92,Headcount!$L$6:$L$92)),0),IF(YEAR(BS$3)=YEAR(Headcount!$O$4),IF((BS$5=12),(SUMPRODUCT(--(Headcount!$F$6:$F$92="Marketing"),--(Headcount!$H$6:$H$92&gt;=Marketing!BS$3),Headcount!$O$6:$O$92,Headcount!$L$6:$L$92)),0),IF(YEAR(BS$3)=YEAR(Headcount!$P$4),IF((BS$5=12),(SUMPRODUCT(--(Headcount!$F$6:$F$92="Marketing"),--(Headcount!$H$6:$H$92&gt;=Marketing!BS$3),Headcount!$P$6:$P$92,Headcount!$L$6:$L$92)),0),IF(YEAR(BS$3)=YEAR(Headcount!$Q$4),IF((BS$5=12),(SUMPRODUCT(--(Headcount!$F$6:$F$92="Marketing"),--(Headcount!$H$6:$H$92&gt;=Marketing!BS$3),Headcount!$Q$6:$Q$92,Headcount!$L$6:$L$92)),0),IF(YEAR(BS$3)=YEAR(Headcount!$R$4),IF((BS$5=12),(SUMPRODUCT(--(Headcount!$F$6:$F$92="Marketing"),--(Headcount!$H$6:$H$92&gt;=Marketing!BS$3),Headcount!$R$6:$R$92,Headcount!$L$6:$L$92)),0),"New Year"))))),'Dept. Cost Actuals'!BW310)</f>
        <v>0</v>
      </c>
      <c r="BT16" s="684">
        <f>IF(BT$4="forecast",IF(YEAR(BT$3)=YEAR(Headcount!$N$4),IF((BT$5=12),(SUMPRODUCT(--(Headcount!$F$6:$F$92="Marketing"),--(Headcount!$H$6:$H$92&gt;=Marketing!BT$3),Headcount!$N$6:$N$92,Headcount!$L$6:$L$92)),0),IF(YEAR(BT$3)=YEAR(Headcount!$O$4),IF((BT$5=12),(SUMPRODUCT(--(Headcount!$F$6:$F$92="Marketing"),--(Headcount!$H$6:$H$92&gt;=Marketing!BT$3),Headcount!$O$6:$O$92,Headcount!$L$6:$L$92)),0),IF(YEAR(BT$3)=YEAR(Headcount!$P$4),IF((BT$5=12),(SUMPRODUCT(--(Headcount!$F$6:$F$92="Marketing"),--(Headcount!$H$6:$H$92&gt;=Marketing!BT$3),Headcount!$P$6:$P$92,Headcount!$L$6:$L$92)),0),IF(YEAR(BT$3)=YEAR(Headcount!$Q$4),IF((BT$5=12),(SUMPRODUCT(--(Headcount!$F$6:$F$92="Marketing"),--(Headcount!$H$6:$H$92&gt;=Marketing!BT$3),Headcount!$Q$6:$Q$92,Headcount!$L$6:$L$92)),0),IF(YEAR(BT$3)=YEAR(Headcount!$R$4),IF((BT$5=12),(SUMPRODUCT(--(Headcount!$F$6:$F$92="Marketing"),--(Headcount!$H$6:$H$92&gt;=Marketing!BT$3),Headcount!$R$6:$R$92,Headcount!$L$6:$L$92)),0),"New Year"))))),'Dept. Cost Actuals'!BX310)</f>
        <v>0</v>
      </c>
      <c r="BU16" s="684">
        <f>IF(BU$4="forecast",IF(YEAR(BU$3)=YEAR(Headcount!$N$4),IF((BU$5=12),(SUMPRODUCT(--(Headcount!$F$6:$F$92="Marketing"),--(Headcount!$H$6:$H$92&gt;=Marketing!BU$3),Headcount!$N$6:$N$92,Headcount!$L$6:$L$92)),0),IF(YEAR(BU$3)=YEAR(Headcount!$O$4),IF((BU$5=12),(SUMPRODUCT(--(Headcount!$F$6:$F$92="Marketing"),--(Headcount!$H$6:$H$92&gt;=Marketing!BU$3),Headcount!$O$6:$O$92,Headcount!$L$6:$L$92)),0),IF(YEAR(BU$3)=YEAR(Headcount!$P$4),IF((BU$5=12),(SUMPRODUCT(--(Headcount!$F$6:$F$92="Marketing"),--(Headcount!$H$6:$H$92&gt;=Marketing!BU$3),Headcount!$P$6:$P$92,Headcount!$L$6:$L$92)),0),IF(YEAR(BU$3)=YEAR(Headcount!$Q$4),IF((BU$5=12),(SUMPRODUCT(--(Headcount!$F$6:$F$92="Marketing"),--(Headcount!$H$6:$H$92&gt;=Marketing!BU$3),Headcount!$Q$6:$Q$92,Headcount!$L$6:$L$92)),0),IF(YEAR(BU$3)=YEAR(Headcount!$R$4),IF((BU$5=12),(SUMPRODUCT(--(Headcount!$F$6:$F$92="Marketing"),--(Headcount!$H$6:$H$92&gt;=Marketing!BU$3),Headcount!$R$6:$R$92,Headcount!$L$6:$L$92)),0),"New Year"))))),'Dept. Cost Actuals'!BY310)</f>
        <v>0</v>
      </c>
      <c r="BV16" s="817">
        <f>IF(BV$4="forecast",IF(YEAR(BV$3)=YEAR(Headcount!$N$4),IF((BV$5=12),(SUMPRODUCT(--(Headcount!$F$6:$F$92="Marketing"),--(Headcount!$H$6:$H$92&gt;=Marketing!BV$3),Headcount!$N$6:$N$92,Headcount!$L$6:$L$92)),0),IF(YEAR(BV$3)=YEAR(Headcount!$O$4),IF((BV$5=12),(SUMPRODUCT(--(Headcount!$F$6:$F$92="Marketing"),--(Headcount!$H$6:$H$92&gt;=Marketing!BV$3),Headcount!$O$6:$O$92,Headcount!$L$6:$L$92)),0),IF(YEAR(BV$3)=YEAR(Headcount!$P$4),IF((BV$5=12),(SUMPRODUCT(--(Headcount!$F$6:$F$92="Marketing"),--(Headcount!$H$6:$H$92&gt;=Marketing!BV$3),Headcount!$P$6:$P$92,Headcount!$L$6:$L$92)),0),IF(YEAR(BV$3)=YEAR(Headcount!$Q$4),IF((BV$5=12),(SUMPRODUCT(--(Headcount!$F$6:$F$92="Marketing"),--(Headcount!$H$6:$H$92&gt;=Marketing!BV$3),Headcount!$Q$6:$Q$92,Headcount!$L$6:$L$92)),0),IF(YEAR(BV$3)=YEAR(Headcount!$R$4),IF((BV$5=12),(SUMPRODUCT(--(Headcount!$F$6:$F$92="Marketing"),--(Headcount!$H$6:$H$92&gt;=Marketing!BV$3),Headcount!$R$6:$R$92,Headcount!$L$6:$L$92)),0),"New Year"))))),'Dept. Cost Actuals'!BZ310)</f>
        <v>181843.43188749999</v>
      </c>
    </row>
    <row r="17" spans="2:74" s="641" customFormat="1" ht="13" x14ac:dyDescent="0.3">
      <c r="B17" s="809" t="s">
        <v>939</v>
      </c>
      <c r="C17" s="995">
        <f t="shared" ref="C17:N17" si="5">SUM(C15:C16)</f>
        <v>0</v>
      </c>
      <c r="D17" s="995">
        <f t="shared" si="5"/>
        <v>0</v>
      </c>
      <c r="E17" s="995">
        <f t="shared" si="5"/>
        <v>0</v>
      </c>
      <c r="F17" s="995">
        <f t="shared" si="5"/>
        <v>0</v>
      </c>
      <c r="G17" s="995">
        <f t="shared" si="5"/>
        <v>0</v>
      </c>
      <c r="H17" s="995">
        <f t="shared" si="5"/>
        <v>0</v>
      </c>
      <c r="I17" s="995">
        <f t="shared" si="5"/>
        <v>0</v>
      </c>
      <c r="J17" s="995">
        <f t="shared" si="5"/>
        <v>0</v>
      </c>
      <c r="K17" s="995">
        <f t="shared" si="5"/>
        <v>0</v>
      </c>
      <c r="L17" s="995">
        <f t="shared" si="5"/>
        <v>0</v>
      </c>
      <c r="M17" s="995">
        <f t="shared" si="5"/>
        <v>0</v>
      </c>
      <c r="N17" s="995">
        <f t="shared" si="5"/>
        <v>0</v>
      </c>
      <c r="O17" s="995">
        <f t="shared" ref="O17:BV17" si="6">SUM(O15:O16)</f>
        <v>11684.59</v>
      </c>
      <c r="P17" s="995">
        <f t="shared" si="6"/>
        <v>1614.58</v>
      </c>
      <c r="Q17" s="995">
        <f t="shared" si="6"/>
        <v>1869.72</v>
      </c>
      <c r="R17" s="995">
        <f t="shared" si="6"/>
        <v>2295.4899999999998</v>
      </c>
      <c r="S17" s="995">
        <f t="shared" si="6"/>
        <v>1614.58</v>
      </c>
      <c r="T17" s="995">
        <f t="shared" si="6"/>
        <v>1614.58</v>
      </c>
      <c r="U17" s="995">
        <f t="shared" si="6"/>
        <v>2607.17</v>
      </c>
      <c r="V17" s="995">
        <f t="shared" si="6"/>
        <v>3607.17</v>
      </c>
      <c r="W17" s="995">
        <f t="shared" si="6"/>
        <v>6614.58</v>
      </c>
      <c r="X17" s="995">
        <f t="shared" si="6"/>
        <v>3599.76</v>
      </c>
      <c r="Y17" s="995">
        <f t="shared" si="6"/>
        <v>2614.58</v>
      </c>
      <c r="Z17" s="995">
        <f t="shared" si="6"/>
        <v>-7327.69</v>
      </c>
      <c r="AA17" s="995">
        <f t="shared" si="6"/>
        <v>0</v>
      </c>
      <c r="AB17" s="995">
        <f t="shared" si="6"/>
        <v>0</v>
      </c>
      <c r="AC17" s="995">
        <f t="shared" si="6"/>
        <v>0</v>
      </c>
      <c r="AD17" s="995">
        <f t="shared" si="6"/>
        <v>0</v>
      </c>
      <c r="AE17" s="995">
        <f t="shared" si="6"/>
        <v>0</v>
      </c>
      <c r="AF17" s="995">
        <f t="shared" si="6"/>
        <v>0</v>
      </c>
      <c r="AG17" s="995">
        <f t="shared" si="6"/>
        <v>0</v>
      </c>
      <c r="AH17" s="995">
        <f t="shared" si="6"/>
        <v>0</v>
      </c>
      <c r="AI17" s="995">
        <f t="shared" si="6"/>
        <v>0</v>
      </c>
      <c r="AJ17" s="995">
        <f t="shared" si="6"/>
        <v>0</v>
      </c>
      <c r="AK17" s="995">
        <f t="shared" si="6"/>
        <v>0</v>
      </c>
      <c r="AL17" s="995">
        <f t="shared" si="6"/>
        <v>180912.5</v>
      </c>
      <c r="AM17" s="995">
        <f t="shared" si="6"/>
        <v>0</v>
      </c>
      <c r="AN17" s="995">
        <f t="shared" si="6"/>
        <v>0</v>
      </c>
      <c r="AO17" s="995">
        <f t="shared" si="6"/>
        <v>0</v>
      </c>
      <c r="AP17" s="995">
        <f t="shared" si="6"/>
        <v>0</v>
      </c>
      <c r="AQ17" s="995">
        <f t="shared" si="6"/>
        <v>0</v>
      </c>
      <c r="AR17" s="995">
        <f t="shared" si="6"/>
        <v>0</v>
      </c>
      <c r="AS17" s="995">
        <f t="shared" si="6"/>
        <v>0</v>
      </c>
      <c r="AT17" s="995">
        <f t="shared" si="6"/>
        <v>0</v>
      </c>
      <c r="AU17" s="995">
        <f t="shared" si="6"/>
        <v>0</v>
      </c>
      <c r="AV17" s="995">
        <f t="shared" si="6"/>
        <v>0</v>
      </c>
      <c r="AW17" s="995">
        <f t="shared" si="6"/>
        <v>0</v>
      </c>
      <c r="AX17" s="995">
        <f t="shared" si="6"/>
        <v>186339.875</v>
      </c>
      <c r="AY17" s="995">
        <f t="shared" si="6"/>
        <v>0</v>
      </c>
      <c r="AZ17" s="995">
        <f t="shared" si="6"/>
        <v>0</v>
      </c>
      <c r="BA17" s="995">
        <f t="shared" si="6"/>
        <v>0</v>
      </c>
      <c r="BB17" s="995">
        <f t="shared" si="6"/>
        <v>0</v>
      </c>
      <c r="BC17" s="995">
        <f t="shared" si="6"/>
        <v>0</v>
      </c>
      <c r="BD17" s="995">
        <f t="shared" si="6"/>
        <v>0</v>
      </c>
      <c r="BE17" s="995">
        <f t="shared" si="6"/>
        <v>0</v>
      </c>
      <c r="BF17" s="995">
        <f t="shared" si="6"/>
        <v>0</v>
      </c>
      <c r="BG17" s="995">
        <f t="shared" si="6"/>
        <v>0</v>
      </c>
      <c r="BH17" s="995">
        <f t="shared" si="6"/>
        <v>0</v>
      </c>
      <c r="BI17" s="995">
        <f t="shared" si="6"/>
        <v>0</v>
      </c>
      <c r="BJ17" s="995">
        <f t="shared" si="6"/>
        <v>191930.07124999998</v>
      </c>
      <c r="BK17" s="995">
        <f t="shared" si="6"/>
        <v>0</v>
      </c>
      <c r="BL17" s="995">
        <f t="shared" si="6"/>
        <v>0</v>
      </c>
      <c r="BM17" s="995">
        <f t="shared" si="6"/>
        <v>0</v>
      </c>
      <c r="BN17" s="995">
        <f t="shared" si="6"/>
        <v>0</v>
      </c>
      <c r="BO17" s="995">
        <f t="shared" si="6"/>
        <v>0</v>
      </c>
      <c r="BP17" s="995">
        <f t="shared" si="6"/>
        <v>0</v>
      </c>
      <c r="BQ17" s="995">
        <f t="shared" si="6"/>
        <v>0</v>
      </c>
      <c r="BR17" s="995">
        <f t="shared" si="6"/>
        <v>0</v>
      </c>
      <c r="BS17" s="995">
        <f t="shared" si="6"/>
        <v>0</v>
      </c>
      <c r="BT17" s="995">
        <f t="shared" si="6"/>
        <v>0</v>
      </c>
      <c r="BU17" s="995">
        <f t="shared" si="6"/>
        <v>0</v>
      </c>
      <c r="BV17" s="996">
        <f t="shared" si="6"/>
        <v>197687.97338749998</v>
      </c>
    </row>
    <row r="18" spans="2:74" s="641" customFormat="1" ht="13" x14ac:dyDescent="0.3">
      <c r="B18" s="811" t="s">
        <v>940</v>
      </c>
      <c r="C18" s="684">
        <f>IF(C$4="forecast",C$7*'Direct People Department Costs'!$H$7,'Dept. Cost Actuals'!G326)</f>
        <v>569.21875486742715</v>
      </c>
      <c r="D18" s="684">
        <f>IF(D$4="forecast",D$7*'Direct People Department Costs'!$H$7,'Dept. Cost Actuals'!H158)</f>
        <v>361.09496888920626</v>
      </c>
      <c r="E18" s="684">
        <f>IF(E$4="forecast",E$7*'Direct People Department Costs'!$H$7,'Dept. Cost Actuals'!I158)</f>
        <v>475.67596733913291</v>
      </c>
      <c r="F18" s="684">
        <f>IF(F$4="forecast",F$7*'Direct People Department Costs'!$H$7,'Dept. Cost Actuals'!J158)</f>
        <v>218.28432268638224</v>
      </c>
      <c r="G18" s="684">
        <f>IF(G$4="forecast",G$7*'Direct People Department Costs'!$H$7,'Dept. Cost Actuals'!K158)</f>
        <v>710.878506328507</v>
      </c>
      <c r="H18" s="684">
        <f>IF(H$4="forecast",H$7*'Direct People Department Costs'!$H$7,'Dept. Cost Actuals'!L158)</f>
        <v>784.92668265095392</v>
      </c>
      <c r="I18" s="684">
        <f>IF(I$4="forecast",I$7*'Direct People Department Costs'!$H$7,'Dept. Cost Actuals'!M158)</f>
        <v>515.88605290083558</v>
      </c>
      <c r="J18" s="684">
        <f>IF(J$4="forecast",J$7*'Direct People Department Costs'!$H$7,'Dept. Cost Actuals'!N158)</f>
        <v>815.06891379593048</v>
      </c>
      <c r="K18" s="684">
        <f>IF(K$4="forecast",K$7*'Direct People Department Costs'!$H$7,'Dept. Cost Actuals'!O158)</f>
        <v>1046.826793758353</v>
      </c>
      <c r="L18" s="684">
        <f>IF(L$4="forecast",L$7*'Direct People Department Costs'!$H$7,'Dept. Cost Actuals'!P158)</f>
        <v>473.90424780788931</v>
      </c>
      <c r="M18" s="684">
        <f>IF(M$4="forecast",M$7*'Direct People Department Costs'!$H$7,'Dept. Cost Actuals'!Q158)</f>
        <v>725.2887367522369</v>
      </c>
      <c r="N18" s="684">
        <f>IF(N$4="forecast",N$7*'Direct People Department Costs'!$H$7,'Dept. Cost Actuals'!R158)</f>
        <v>4536.4033619463344</v>
      </c>
      <c r="O18" s="684">
        <f>IF(O$4="forecast",O$7*'Direct People Department Costs'!$H$7,'Dept. Cost Actuals'!S158)</f>
        <v>8232.8799999999992</v>
      </c>
      <c r="P18" s="684">
        <f>IF(P$4="forecast",P$7*'Direct People Department Costs'!$H$7,'Dept. Cost Actuals'!T158)</f>
        <v>7559.81</v>
      </c>
      <c r="Q18" s="684">
        <f>IF(Q$4="forecast",Q$7*'Direct People Department Costs'!$H$7,'Dept. Cost Actuals'!U158)</f>
        <v>7833.84</v>
      </c>
      <c r="R18" s="684">
        <f>IF(R$4="forecast",R$7*'Direct People Department Costs'!$H$7,'Dept. Cost Actuals'!V158)</f>
        <v>7998.63</v>
      </c>
      <c r="S18" s="684">
        <f>IF(S$4="forecast",S$7*'Direct People Department Costs'!$H$7,'Dept. Cost Actuals'!W158)</f>
        <v>7148.38</v>
      </c>
      <c r="T18" s="684">
        <f>IF(T$4="forecast",T$7*'Direct People Department Costs'!$H$7,'Dept. Cost Actuals'!X158)</f>
        <v>7322.98</v>
      </c>
      <c r="U18" s="684">
        <f>IF(U$4="forecast",U$7*'Direct People Department Costs'!$H$7,'Dept. Cost Actuals'!Y158)</f>
        <v>7824.35</v>
      </c>
      <c r="V18" s="684">
        <f>IF(V$4="forecast",V$7*'Direct People Department Costs'!$H$7,'Dept. Cost Actuals'!Z158)</f>
        <v>6813.22</v>
      </c>
      <c r="W18" s="684">
        <f>IF(W$4="forecast",W$7*'Direct People Department Costs'!$H$7,'Dept. Cost Actuals'!AA158)</f>
        <v>7826.58</v>
      </c>
      <c r="X18" s="684">
        <f>IF(X$4="forecast",X$7*'Direct People Department Costs'!$H$7,'Dept. Cost Actuals'!AB158)</f>
        <v>8605.8799999999992</v>
      </c>
      <c r="Y18" s="684">
        <f>IF(Y$4="forecast",Y$7*'Direct People Department Costs'!$H$7,'Dept. Cost Actuals'!AC158)</f>
        <v>0</v>
      </c>
      <c r="Z18" s="684">
        <f>IF(Z$4="forecast",Z$7*'Direct People Department Costs'!$H$7,'Dept. Cost Actuals'!AD158)</f>
        <v>0</v>
      </c>
      <c r="AA18" s="684">
        <f>IF(AA$4="forecast",(((SUM($O$18:$Z$18)/12)*1.03)+((400/12)*AA$7)),'Dept. Cost Actuals'!AE158)</f>
        <v>6790.1288750000003</v>
      </c>
      <c r="AB18" s="684">
        <f>IF(AB$4="forecast",(((SUM($O$18:$Z$18)/12)*1.03)+((400/12)*AB$7)),'Dept. Cost Actuals'!AF158)</f>
        <v>6790.1288750000003</v>
      </c>
      <c r="AC18" s="684">
        <f>IF(AC$4="forecast",(((SUM($O$18:$Z$18)/12)*1.03)+((400/12)*AC$7)),'Dept. Cost Actuals'!AG158)</f>
        <v>6790.1288750000003</v>
      </c>
      <c r="AD18" s="684">
        <f>IF(AD$4="forecast",(((SUM($O$18:$Z$18)/12)*1.03)+((400/12)*AD$7)),'Dept. Cost Actuals'!AH158)</f>
        <v>6823.4622083333334</v>
      </c>
      <c r="AE18" s="684">
        <f>IF(AE$4="forecast",(((SUM($O$18:$Z$18)/12)*1.03)+((400/12)*AE$7)),'Dept. Cost Actuals'!AI158)</f>
        <v>6823.4622083333334</v>
      </c>
      <c r="AF18" s="684">
        <f>IF(AF$4="forecast",(((SUM($O$18:$Z$18)/12)*1.03)+((400/12)*AF$7)),'Dept. Cost Actuals'!AJ158)</f>
        <v>6856.7955416666664</v>
      </c>
      <c r="AG18" s="684">
        <f>IF(AG$4="forecast",(((SUM($O$18:$Z$18)/12)*1.03)+((400/12)*AG$7)),'Dept. Cost Actuals'!AK158)</f>
        <v>6856.7955416666664</v>
      </c>
      <c r="AH18" s="684">
        <f>IF(AH$4="forecast",(((SUM($O$18:$Z$18)/12)*1.03)+((400/12)*AH$7)),'Dept. Cost Actuals'!AL158)</f>
        <v>6856.7955416666664</v>
      </c>
      <c r="AI18" s="684">
        <f>IF(AI$4="forecast",(((SUM($O$18:$Z$18)/12)*1.03)+((400/12)*AI$7)),'Dept. Cost Actuals'!AM158)</f>
        <v>6856.7955416666664</v>
      </c>
      <c r="AJ18" s="684">
        <f>IF(AJ$4="forecast",(((SUM($O$18:$Z$18)/12)*1.03)+((400/12)*AJ$7)),'Dept. Cost Actuals'!AN158)</f>
        <v>6856.7955416666664</v>
      </c>
      <c r="AK18" s="684">
        <f>IF(AK$4="forecast",(((SUM($O$18:$Z$18)/12)*1.03)+((400/12)*AK$7)),'Dept. Cost Actuals'!AO158)</f>
        <v>6856.7955416666664</v>
      </c>
      <c r="AL18" s="684">
        <f>IF(AL$4="forecast",(((SUM($O$18:$Z$18)/12)*1.03)+((400/12)*AL$7)),'Dept. Cost Actuals'!AP158)</f>
        <v>6856.7955416666664</v>
      </c>
      <c r="AM18" s="684">
        <f>IF(AM$4="forecast",(((SUM($AA$18:$AL$18)/12)*1.03)+((400/12)*AM$7)),'Dept. Cost Actuals'!AQ158)</f>
        <v>7272.9438523611116</v>
      </c>
      <c r="AN18" s="684">
        <f>IF(AN$4="forecast",(((SUM($AA$18:$AL$18)/12)*1.03)+((400/12)*AN$7)),'Dept. Cost Actuals'!AR158)</f>
        <v>7272.9438523611116</v>
      </c>
      <c r="AO18" s="684">
        <f>IF(AO$4="forecast",(((SUM($AA$18:$AL$18)/12)*1.03)+((400/12)*AO$7)),'Dept. Cost Actuals'!AS158)</f>
        <v>7272.9438523611116</v>
      </c>
      <c r="AP18" s="684">
        <f>IF(AP$4="forecast",(((SUM($AA$18:$AL$18)/12)*1.03)+((400/12)*AP$7)),'Dept. Cost Actuals'!AT158)</f>
        <v>7272.9438523611116</v>
      </c>
      <c r="AQ18" s="684">
        <f>IF(AQ$4="forecast",(((SUM($AA$18:$AL$18)/12)*1.03)+((400/12)*AQ$7)),'Dept. Cost Actuals'!AU158)</f>
        <v>7272.9438523611116</v>
      </c>
      <c r="AR18" s="684">
        <f>IF(AR$4="forecast",(((SUM($AA$18:$AL$18)/12)*1.03)+((400/12)*AR$7)),'Dept. Cost Actuals'!AV158)</f>
        <v>7272.9438523611116</v>
      </c>
      <c r="AS18" s="684">
        <f>IF(AS$4="forecast",(((SUM($AA$18:$AL$18)/12)*1.03)+((400/12)*AS$7)),'Dept. Cost Actuals'!AW158)</f>
        <v>7272.9438523611116</v>
      </c>
      <c r="AT18" s="684">
        <f>IF(AT$4="forecast",(((SUM($AA$18:$AL$18)/12)*1.03)+((400/12)*AT$7)),'Dept. Cost Actuals'!AX158)</f>
        <v>7272.9438523611116</v>
      </c>
      <c r="AU18" s="684">
        <f>IF(AU$4="forecast",(((SUM($AA$18:$AL$18)/12)*1.03)+((400/12)*AU$7)),'Dept. Cost Actuals'!AY158)</f>
        <v>7272.9438523611116</v>
      </c>
      <c r="AV18" s="684">
        <f>IF(AV$4="forecast",(((SUM($AA$18:$AL$18)/12)*1.03)+((400/12)*AV$7)),'Dept. Cost Actuals'!AZ158)</f>
        <v>7272.9438523611116</v>
      </c>
      <c r="AW18" s="684">
        <f>IF(AW$4="forecast",(((SUM($AA$18:$AL$18)/12)*1.03)+((400/12)*AW$7)),'Dept. Cost Actuals'!BA158)</f>
        <v>7272.9438523611116</v>
      </c>
      <c r="AX18" s="684">
        <f>IF(AX$4="forecast",(((SUM($AA$18:$AL$18)/12)*1.03)+((400/12)*AX$7)),'Dept. Cost Actuals'!BB158)</f>
        <v>7272.9438523611116</v>
      </c>
      <c r="AY18" s="684">
        <f>IF(AY$4="forecast",AY$7*'Direct People Department Costs'!$H$7,'Dept. Cost Actuals'!BC158)</f>
        <v>4025</v>
      </c>
      <c r="AZ18" s="684">
        <f>IF(AZ$4="forecast",AZ$7*'Direct People Department Costs'!$H$7,'Dept. Cost Actuals'!BD158)</f>
        <v>4025</v>
      </c>
      <c r="BA18" s="684">
        <f>IF(BA$4="forecast",BA$7*'Direct People Department Costs'!$H$7,'Dept. Cost Actuals'!BE158)</f>
        <v>4025</v>
      </c>
      <c r="BB18" s="684">
        <f>IF(BB$4="forecast",BB$7*'Direct People Department Costs'!$H$7,'Dept. Cost Actuals'!BF158)</f>
        <v>4025</v>
      </c>
      <c r="BC18" s="684">
        <f>IF(BC$4="forecast",BC$7*'Direct People Department Costs'!$H$7,'Dept. Cost Actuals'!BG158)</f>
        <v>4025</v>
      </c>
      <c r="BD18" s="684">
        <f>IF(BD$4="forecast",BD$7*'Direct People Department Costs'!$H$7,'Dept. Cost Actuals'!BH158)</f>
        <v>4025</v>
      </c>
      <c r="BE18" s="684">
        <f>IF(BE$4="forecast",BE$7*'Direct People Department Costs'!$H$7,'Dept. Cost Actuals'!BI158)</f>
        <v>4025</v>
      </c>
      <c r="BF18" s="684">
        <f>IF(BF$4="forecast",BF$7*'Direct People Department Costs'!$H$7,'Dept. Cost Actuals'!BJ158)</f>
        <v>4025</v>
      </c>
      <c r="BG18" s="684">
        <f>IF(BG$4="forecast",BG$7*'Direct People Department Costs'!$H$7,'Dept. Cost Actuals'!BK158)</f>
        <v>4025</v>
      </c>
      <c r="BH18" s="684">
        <f>IF(BH$4="forecast",BH$7*'Direct People Department Costs'!$H$7,'Dept. Cost Actuals'!BL158)</f>
        <v>4025</v>
      </c>
      <c r="BI18" s="684">
        <f>IF(BI$4="forecast",BI$7*'Direct People Department Costs'!$H$7,'Dept. Cost Actuals'!BM158)</f>
        <v>4025</v>
      </c>
      <c r="BJ18" s="684">
        <f>IF(BJ$4="forecast",BJ$7*'Direct People Department Costs'!$H$7,'Dept. Cost Actuals'!BN158)</f>
        <v>4025</v>
      </c>
      <c r="BK18" s="684">
        <f>IF(BK$4="forecast",BK$7*'Direct People Department Costs'!$H$7,'Dept. Cost Actuals'!BO158)</f>
        <v>4025</v>
      </c>
      <c r="BL18" s="684">
        <f>IF(BL$4="forecast",BL$7*'Direct People Department Costs'!$H$7,'Dept. Cost Actuals'!#REF!)</f>
        <v>4025</v>
      </c>
      <c r="BM18" s="684">
        <f>IF(BM$4="forecast",BM$7*'Direct People Department Costs'!$H$7,'Dept. Cost Actuals'!#REF!)</f>
        <v>4025</v>
      </c>
      <c r="BN18" s="684">
        <f>IF(BN$4="forecast",BN$7*'Direct People Department Costs'!$H$7,'Dept. Cost Actuals'!#REF!)</f>
        <v>4025</v>
      </c>
      <c r="BO18" s="684">
        <f>IF(BO$4="forecast",BO$7*'Direct People Department Costs'!$H$7,'Dept. Cost Actuals'!#REF!)</f>
        <v>4025</v>
      </c>
      <c r="BP18" s="684">
        <f>IF(BP$4="forecast",BP$7*'Direct People Department Costs'!$H$7,'Dept. Cost Actuals'!#REF!)</f>
        <v>4025</v>
      </c>
      <c r="BQ18" s="684">
        <f>IF(BQ$4="forecast",BQ$7*'Direct People Department Costs'!$H$7,'Dept. Cost Actuals'!#REF!)</f>
        <v>4025</v>
      </c>
      <c r="BR18" s="684">
        <f>IF(BR$4="forecast",BR$7*'Direct People Department Costs'!$H$7,'Dept. Cost Actuals'!#REF!)</f>
        <v>4025</v>
      </c>
      <c r="BS18" s="684">
        <f>IF(BS$4="forecast",BS$7*'Direct People Department Costs'!$H$7,'Dept. Cost Actuals'!#REF!)</f>
        <v>4025</v>
      </c>
      <c r="BT18" s="684">
        <f>IF(BT$4="forecast",BT$7*'Direct People Department Costs'!$H$7,'Dept. Cost Actuals'!#REF!)</f>
        <v>4025</v>
      </c>
      <c r="BU18" s="684">
        <f>IF(BU$4="forecast",BU$7*'Direct People Department Costs'!$H$7,'Dept. Cost Actuals'!#REF!)</f>
        <v>4025</v>
      </c>
      <c r="BV18" s="808">
        <f>IF(BV$4="forecast",BV$7*'Direct People Department Costs'!$H$7,'Dept. Cost Actuals'!#REF!)</f>
        <v>4025</v>
      </c>
    </row>
    <row r="19" spans="2:74" x14ac:dyDescent="0.35">
      <c r="B19" s="812" t="s">
        <v>941</v>
      </c>
      <c r="C19" s="684">
        <f>IF(C$4="forecast",C$8*'Direct People Department Costs'!$H$8,'Dept. Cost Actuals'!G210)</f>
        <v>0</v>
      </c>
      <c r="D19" s="684">
        <f>IF(D$4="forecast",D$8*'Direct People Department Costs'!$H$8,'Dept. Cost Actuals'!H42)</f>
        <v>0</v>
      </c>
      <c r="E19" s="684">
        <f>IF(E$4="forecast",E$8*'Direct People Department Costs'!$H$8,'Dept. Cost Actuals'!I42)</f>
        <v>0</v>
      </c>
      <c r="F19" s="684">
        <f>IF(F$4="forecast",F$8*'Direct People Department Costs'!$H$8,'Dept. Cost Actuals'!J42)</f>
        <v>0</v>
      </c>
      <c r="G19" s="684">
        <f>IF(G$4="forecast",G$8*'Direct People Department Costs'!$H$8,'Dept. Cost Actuals'!K42)</f>
        <v>0</v>
      </c>
      <c r="H19" s="684">
        <f>IF(H$4="forecast",H$8*'Direct People Department Costs'!$H$8,'Dept. Cost Actuals'!L42)</f>
        <v>0</v>
      </c>
      <c r="I19" s="684">
        <f>IF(I$4="forecast",I$8*'Direct People Department Costs'!$H$8,'Dept. Cost Actuals'!M42)</f>
        <v>0</v>
      </c>
      <c r="J19" s="684">
        <f>IF(J$4="forecast",J$8*'Direct People Department Costs'!$H$8,'Dept. Cost Actuals'!N42)</f>
        <v>0</v>
      </c>
      <c r="K19" s="684">
        <f>IF(K$4="forecast",K$8*'Direct People Department Costs'!$H$8,'Dept. Cost Actuals'!O42)</f>
        <v>0</v>
      </c>
      <c r="L19" s="684">
        <f>IF(L$4="forecast",L$8*'Direct People Department Costs'!$H$8,'Dept. Cost Actuals'!P42)</f>
        <v>0</v>
      </c>
      <c r="M19" s="684">
        <f>IF(M$4="forecast",M$8*'Direct People Department Costs'!$H$8,'Dept. Cost Actuals'!Q42)</f>
        <v>0</v>
      </c>
      <c r="N19" s="684">
        <f>IF(N$4="forecast",N$8*'Direct People Department Costs'!$H$8,'Dept. Cost Actuals'!R42)</f>
        <v>0</v>
      </c>
      <c r="O19" s="684">
        <f>IF(O$4="forecast",O$8*'Direct People Department Costs'!$H$8,'Dept. Cost Actuals'!S42)</f>
        <v>0</v>
      </c>
      <c r="P19" s="684">
        <f>IF(P$4="forecast",P$8*'Direct People Department Costs'!$H$8,'Dept. Cost Actuals'!T42)</f>
        <v>0</v>
      </c>
      <c r="Q19" s="684">
        <f>IF(Q$4="forecast",Q$8*'Direct People Department Costs'!$H$8,'Dept. Cost Actuals'!U42)</f>
        <v>446.96</v>
      </c>
      <c r="R19" s="684">
        <f>IF(R$4="forecast",R$8*'Direct People Department Costs'!$H$8,'Dept. Cost Actuals'!V42)</f>
        <v>383.23</v>
      </c>
      <c r="S19" s="684">
        <f>IF(S$4="forecast",S$8*'Direct People Department Costs'!$H$8,'Dept. Cost Actuals'!W42)</f>
        <v>0</v>
      </c>
      <c r="T19" s="684">
        <f>IF(T$4="forecast",T$8*'Direct People Department Costs'!$H$8,'Dept. Cost Actuals'!X42)</f>
        <v>549.6</v>
      </c>
      <c r="U19" s="684">
        <f>IF(U$4="forecast",U$8*'Direct People Department Costs'!$H$8,'Dept. Cost Actuals'!Y42)</f>
        <v>0</v>
      </c>
      <c r="V19" s="684">
        <f>IF(V$4="forecast",V$8*'Direct People Department Costs'!$H$8,'Dept. Cost Actuals'!Z42)</f>
        <v>225.68</v>
      </c>
      <c r="W19" s="684">
        <f>IF(W$4="forecast",W$8*'Direct People Department Costs'!$H$8,'Dept. Cost Actuals'!AA42)</f>
        <v>428.15</v>
      </c>
      <c r="X19" s="684">
        <f>IF(X$4="forecast",X$8*'Direct People Department Costs'!$H$8,'Dept. Cost Actuals'!AB42)</f>
        <v>44.99</v>
      </c>
      <c r="Y19" s="684">
        <f>IF(Y$4="forecast",Y$8*'Direct People Department Costs'!$H$8,'Dept. Cost Actuals'!AC42)</f>
        <v>334.86</v>
      </c>
      <c r="Z19" s="684">
        <f>IF(Z$4="forecast",Z$8*'Direct People Department Costs'!$H$8,'Dept. Cost Actuals'!AD42)</f>
        <v>875.88</v>
      </c>
      <c r="AA19" s="684">
        <f>IF(AA$4="forecast",AA$8*'Direct People Department Costs'!$H$8,'Dept. Cost Actuals'!AE42)</f>
        <v>0</v>
      </c>
      <c r="AB19" s="684">
        <f>IF(AB$4="forecast",AB$8*'Direct People Department Costs'!$H$8,'Dept. Cost Actuals'!AF42)</f>
        <v>0</v>
      </c>
      <c r="AC19" s="684">
        <f>IF(AC$4="forecast",AC$8*'Direct People Department Costs'!$H$8,'Dept. Cost Actuals'!AG42)</f>
        <v>0</v>
      </c>
      <c r="AD19" s="684">
        <f>IF(AD$4="forecast",AD$8*'Direct People Department Costs'!$H$8,'Dept. Cost Actuals'!AH42)</f>
        <v>3600</v>
      </c>
      <c r="AE19" s="684">
        <f>IF(AE$4="forecast",AE$8*'Direct People Department Costs'!$H$8,'Dept. Cost Actuals'!AI42)</f>
        <v>0</v>
      </c>
      <c r="AF19" s="684">
        <f>IF(AF$4="forecast",AF$8*'Direct People Department Costs'!$H$8,'Dept. Cost Actuals'!AJ42)</f>
        <v>3600</v>
      </c>
      <c r="AG19" s="684">
        <f>IF(AG$4="forecast",AG$8*'Direct People Department Costs'!$H$8,'Dept. Cost Actuals'!AK42)</f>
        <v>0</v>
      </c>
      <c r="AH19" s="684">
        <f>IF(AH$4="forecast",AH$8*'Direct People Department Costs'!$H$8,'Dept. Cost Actuals'!AL42)</f>
        <v>0</v>
      </c>
      <c r="AI19" s="684">
        <f>IF(AI$4="forecast",AI$8*'Direct People Department Costs'!$H$8,'Dept. Cost Actuals'!AM42)</f>
        <v>0</v>
      </c>
      <c r="AJ19" s="684">
        <f>IF(AJ$4="forecast",AJ$8*'Direct People Department Costs'!$H$8,'Dept. Cost Actuals'!AN42)</f>
        <v>0</v>
      </c>
      <c r="AK19" s="684">
        <f>IF(AK$4="forecast",AK$8*'Direct People Department Costs'!$H$8,'Dept. Cost Actuals'!AO42)</f>
        <v>0</v>
      </c>
      <c r="AL19" s="684">
        <f>IF(AL$4="forecast",AL$8*'Direct People Department Costs'!$H$8,'Dept. Cost Actuals'!AP42)</f>
        <v>0</v>
      </c>
      <c r="AM19" s="684">
        <f>IF(AM$4="forecast",AM$8*'Direct People Department Costs'!$H$8,'Dept. Cost Actuals'!AQ42)</f>
        <v>0</v>
      </c>
      <c r="AN19" s="684">
        <f>IF(AN$4="forecast",AN$8*'Direct People Department Costs'!$H$8,'Dept. Cost Actuals'!AR42)</f>
        <v>0</v>
      </c>
      <c r="AO19" s="684">
        <f>IF(AO$4="forecast",AO$8*'Direct People Department Costs'!$H$8,'Dept. Cost Actuals'!AS42)</f>
        <v>0</v>
      </c>
      <c r="AP19" s="684">
        <f>IF(AP$4="forecast",AP$8*'Direct People Department Costs'!$H$8,'Dept. Cost Actuals'!AT42)</f>
        <v>0</v>
      </c>
      <c r="AQ19" s="684">
        <f>IF(AQ$4="forecast",AQ$8*'Direct People Department Costs'!$H$8,'Dept. Cost Actuals'!AU42)</f>
        <v>0</v>
      </c>
      <c r="AR19" s="684">
        <f>IF(AR$4="forecast",AR$8*'Direct People Department Costs'!$H$8,'Dept. Cost Actuals'!AV42)</f>
        <v>0</v>
      </c>
      <c r="AS19" s="684">
        <f>IF(AS$4="forecast",AS$8*'Direct People Department Costs'!$H$8,'Dept. Cost Actuals'!AW42)</f>
        <v>0</v>
      </c>
      <c r="AT19" s="684">
        <f>IF(AT$4="forecast",AT$8*'Direct People Department Costs'!$H$8,'Dept. Cost Actuals'!AX42)</f>
        <v>0</v>
      </c>
      <c r="AU19" s="684">
        <f>IF(AU$4="forecast",AU$8*'Direct People Department Costs'!$H$8,'Dept. Cost Actuals'!AY42)</f>
        <v>0</v>
      </c>
      <c r="AV19" s="684">
        <f>IF(AV$4="forecast",AV$8*'Direct People Department Costs'!$H$8,'Dept. Cost Actuals'!AZ42)</f>
        <v>0</v>
      </c>
      <c r="AW19" s="684">
        <f>IF(AW$4="forecast",AW$8*'Direct People Department Costs'!$H$8,'Dept. Cost Actuals'!BA42)</f>
        <v>0</v>
      </c>
      <c r="AX19" s="684">
        <f>IF(AX$4="forecast",AX$8*'Direct People Department Costs'!$H$8,'Dept. Cost Actuals'!BB42)</f>
        <v>0</v>
      </c>
      <c r="AY19" s="684">
        <f>IF(AY$4="forecast",AY$8*'Direct People Department Costs'!$H$8,'Dept. Cost Actuals'!BC42)</f>
        <v>0</v>
      </c>
      <c r="AZ19" s="684">
        <f>IF(AZ$4="forecast",AZ$8*'Direct People Department Costs'!$H$8,'Dept. Cost Actuals'!BD42)</f>
        <v>0</v>
      </c>
      <c r="BA19" s="684">
        <f>IF(BA$4="forecast",BA$8*'Direct People Department Costs'!$H$8,'Dept. Cost Actuals'!BE42)</f>
        <v>0</v>
      </c>
      <c r="BB19" s="684">
        <f>IF(BB$4="forecast",BB$8*'Direct People Department Costs'!$H$8,'Dept. Cost Actuals'!BF42)</f>
        <v>0</v>
      </c>
      <c r="BC19" s="684">
        <f>IF(BC$4="forecast",BC$8*'Direct People Department Costs'!$H$8,'Dept. Cost Actuals'!BG42)</f>
        <v>0</v>
      </c>
      <c r="BD19" s="684">
        <f>IF(BD$4="forecast",BD$8*'Direct People Department Costs'!$H$8,'Dept. Cost Actuals'!BH42)</f>
        <v>0</v>
      </c>
      <c r="BE19" s="684">
        <f>IF(BE$4="forecast",BE$8*'Direct People Department Costs'!$H$8,'Dept. Cost Actuals'!BI42)</f>
        <v>0</v>
      </c>
      <c r="BF19" s="684">
        <f>IF(BF$4="forecast",BF$8*'Direct People Department Costs'!$H$8,'Dept. Cost Actuals'!BJ42)</f>
        <v>0</v>
      </c>
      <c r="BG19" s="684">
        <f>IF(BG$4="forecast",BG$8*'Direct People Department Costs'!$H$8,'Dept. Cost Actuals'!BK42)</f>
        <v>0</v>
      </c>
      <c r="BH19" s="684">
        <f>IF(BH$4="forecast",BH$8*'Direct People Department Costs'!$H$8,'Dept. Cost Actuals'!BL42)</f>
        <v>0</v>
      </c>
      <c r="BI19" s="684">
        <f>IF(BI$4="forecast",BI$8*'Direct People Department Costs'!$H$8,'Dept. Cost Actuals'!BM42)</f>
        <v>0</v>
      </c>
      <c r="BJ19" s="684">
        <f>IF(BJ$4="forecast",BJ$8*'Direct People Department Costs'!$H$8,'Dept. Cost Actuals'!BN42)</f>
        <v>0</v>
      </c>
      <c r="BK19" s="684">
        <f>IF(BK$4="forecast",BK$8*'Direct People Department Costs'!$H$8,'Dept. Cost Actuals'!BO42)</f>
        <v>0</v>
      </c>
      <c r="BL19" s="684">
        <f>IF(BL$4="forecast",BL$8*'Direct People Department Costs'!$H$8,'Dept. Cost Actuals'!#REF!)</f>
        <v>0</v>
      </c>
      <c r="BM19" s="684">
        <f>IF(BM$4="forecast",BM$8*'Direct People Department Costs'!$H$8,'Dept. Cost Actuals'!#REF!)</f>
        <v>0</v>
      </c>
      <c r="BN19" s="684">
        <f>IF(BN$4="forecast",BN$8*'Direct People Department Costs'!$H$8,'Dept. Cost Actuals'!#REF!)</f>
        <v>0</v>
      </c>
      <c r="BO19" s="684">
        <f>IF(BO$4="forecast",BO$8*'Direct People Department Costs'!$H$8,'Dept. Cost Actuals'!#REF!)</f>
        <v>0</v>
      </c>
      <c r="BP19" s="684">
        <f>IF(BP$4="forecast",BP$8*'Direct People Department Costs'!$H$8,'Dept. Cost Actuals'!#REF!)</f>
        <v>0</v>
      </c>
      <c r="BQ19" s="684">
        <f>IF(BQ$4="forecast",BQ$8*'Direct People Department Costs'!$H$8,'Dept. Cost Actuals'!#REF!)</f>
        <v>0</v>
      </c>
      <c r="BR19" s="684">
        <f>IF(BR$4="forecast",BR$8*'Direct People Department Costs'!$H$8,'Dept. Cost Actuals'!#REF!)</f>
        <v>0</v>
      </c>
      <c r="BS19" s="684">
        <f>IF(BS$4="forecast",BS$8*'Direct People Department Costs'!$H$8,'Dept. Cost Actuals'!#REF!)</f>
        <v>0</v>
      </c>
      <c r="BT19" s="684">
        <f>IF(BT$4="forecast",BT$8*'Direct People Department Costs'!$H$8,'Dept. Cost Actuals'!#REF!)</f>
        <v>0</v>
      </c>
      <c r="BU19" s="684">
        <f>IF(BU$4="forecast",BU$8*'Direct People Department Costs'!$H$8,'Dept. Cost Actuals'!#REF!)</f>
        <v>0</v>
      </c>
      <c r="BV19" s="808">
        <f>IF(BV$4="forecast",BV$8*'Direct People Department Costs'!$H$8,'Dept. Cost Actuals'!#REF!)</f>
        <v>0</v>
      </c>
    </row>
    <row r="20" spans="2:74" x14ac:dyDescent="0.35">
      <c r="B20" s="812" t="s">
        <v>925</v>
      </c>
      <c r="C20" s="684">
        <f>IF(C$4="forecast",C$8*'Direct People Department Costs'!$H$9,'Dept. Cost Actuals'!G328)</f>
        <v>190.18409366099317</v>
      </c>
      <c r="D20" s="684">
        <f>IF(D$4="forecast",D$8*'Direct People Department Costs'!$H$9,'Dept. Cost Actuals'!H160)</f>
        <v>33.710183452770586</v>
      </c>
      <c r="E20" s="684">
        <f>IF(E$4="forecast",E$8*'Direct People Department Costs'!$H$9,'Dept. Cost Actuals'!I160)</f>
        <v>20.296402785650265</v>
      </c>
      <c r="F20" s="684">
        <f>IF(F$4="forecast",F$8*'Direct People Department Costs'!$H$9,'Dept. Cost Actuals'!J160)</f>
        <v>2236.014620553608</v>
      </c>
      <c r="G20" s="684">
        <f>IF(G$4="forecast",G$8*'Direct People Department Costs'!$H$9,'Dept. Cost Actuals'!K160)</f>
        <v>129.53824352184637</v>
      </c>
      <c r="H20" s="684">
        <f>IF(H$4="forecast",H$8*'Direct People Department Costs'!$H$9,'Dept. Cost Actuals'!L160)</f>
        <v>2012.7717452546296</v>
      </c>
      <c r="I20" s="684">
        <f>IF(I$4="forecast",I$8*'Direct People Department Costs'!$H$9,'Dept. Cost Actuals'!M160)</f>
        <v>1853.2194614683319</v>
      </c>
      <c r="J20" s="684">
        <f>IF(J$4="forecast",J$8*'Direct People Department Costs'!$H$9,'Dept. Cost Actuals'!N160)</f>
        <v>2754.9999481303234</v>
      </c>
      <c r="K20" s="684">
        <f>IF(K$4="forecast",K$8*'Direct People Department Costs'!$H$9,'Dept. Cost Actuals'!O160)</f>
        <v>13.53815056037079</v>
      </c>
      <c r="L20" s="684">
        <f>IF(L$4="forecast",L$8*'Direct People Department Costs'!$H$9,'Dept. Cost Actuals'!P160)</f>
        <v>1188.4648830619644</v>
      </c>
      <c r="M20" s="684">
        <f>IF(M$4="forecast",M$8*'Direct People Department Costs'!$H$9,'Dept. Cost Actuals'!Q160)</f>
        <v>0</v>
      </c>
      <c r="N20" s="684">
        <f>IF(N$4="forecast",N$8*'Direct People Department Costs'!$H$9,'Dept. Cost Actuals'!R160)</f>
        <v>0</v>
      </c>
      <c r="O20" s="684">
        <f>IF(O$4="forecast",O$8*'Direct People Department Costs'!$H$9,'Dept. Cost Actuals'!S160)</f>
        <v>200</v>
      </c>
      <c r="P20" s="684">
        <f>IF(P$4="forecast",P$8*'Direct People Department Costs'!$H$9,'Dept. Cost Actuals'!T160)</f>
        <v>125</v>
      </c>
      <c r="Q20" s="684">
        <f>IF(Q$4="forecast",Q$8*'Direct People Department Costs'!$H$9,'Dept. Cost Actuals'!U160)</f>
        <v>263.16000000000003</v>
      </c>
      <c r="R20" s="684">
        <f>IF(R$4="forecast",R$8*'Direct People Department Costs'!$H$9,'Dept. Cost Actuals'!V160)</f>
        <v>25</v>
      </c>
      <c r="S20" s="684">
        <f>IF(S$4="forecast",S$8*'Direct People Department Costs'!$H$9,'Dept. Cost Actuals'!W160)</f>
        <v>150</v>
      </c>
      <c r="T20" s="684">
        <f>IF(T$4="forecast",T$8*'Direct People Department Costs'!$H$9,'Dept. Cost Actuals'!X160)</f>
        <v>135</v>
      </c>
      <c r="U20" s="684">
        <f>IF(U$4="forecast",U$8*'Direct People Department Costs'!$H$9,'Dept. Cost Actuals'!Y160)</f>
        <v>60</v>
      </c>
      <c r="V20" s="684">
        <f>IF(V$4="forecast",V$8*'Direct People Department Costs'!$H$9,'Dept. Cost Actuals'!Z160)</f>
        <v>60</v>
      </c>
      <c r="W20" s="684">
        <f>IF(W$4="forecast",W$8*'Direct People Department Costs'!$H$9,'Dept. Cost Actuals'!AA160)</f>
        <v>60</v>
      </c>
      <c r="X20" s="684">
        <f>IF(X$4="forecast",X$8*'Direct People Department Costs'!$H$9,'Dept. Cost Actuals'!AB160)</f>
        <v>135</v>
      </c>
      <c r="Y20" s="684">
        <f>IF(Y$4="forecast",Y$8*'Direct People Department Costs'!$H$9,'Dept. Cost Actuals'!AC160)</f>
        <v>185</v>
      </c>
      <c r="Z20" s="684">
        <f>IF(Z$4="forecast",Z$8*'Direct People Department Costs'!$H$9,'Dept. Cost Actuals'!AD160)</f>
        <v>0</v>
      </c>
      <c r="AA20" s="684">
        <f>IF(AA$4="forecast",AA$8*'Direct People Department Costs'!$H$9,'Dept. Cost Actuals'!AE160)</f>
        <v>0</v>
      </c>
      <c r="AB20" s="684">
        <f>IF(AB$4="forecast",AB$8*'Direct People Department Costs'!$H$9,'Dept. Cost Actuals'!AF160)</f>
        <v>0</v>
      </c>
      <c r="AC20" s="684">
        <f>IF(AC$4="forecast",AC$8*'Direct People Department Costs'!$H$9,'Dept. Cost Actuals'!AG160)</f>
        <v>0</v>
      </c>
      <c r="AD20" s="684">
        <f>IF(AD$4="forecast",AD$8*'Direct People Department Costs'!$H$9,'Dept. Cost Actuals'!AH160)</f>
        <v>1000</v>
      </c>
      <c r="AE20" s="684">
        <f>IF(AE$4="forecast",AE$8*'Direct People Department Costs'!$H$9,'Dept. Cost Actuals'!AI160)</f>
        <v>0</v>
      </c>
      <c r="AF20" s="684">
        <f>IF(AF$4="forecast",AF$8*'Direct People Department Costs'!$H$9,'Dept. Cost Actuals'!AJ160)</f>
        <v>1000</v>
      </c>
      <c r="AG20" s="684">
        <f>IF(AG$4="forecast",AG$8*'Direct People Department Costs'!$H$9,'Dept. Cost Actuals'!AK160)</f>
        <v>0</v>
      </c>
      <c r="AH20" s="684">
        <f>IF(AH$4="forecast",AH$8*'Direct People Department Costs'!$H$9,'Dept. Cost Actuals'!AL160)</f>
        <v>0</v>
      </c>
      <c r="AI20" s="684">
        <f>IF(AI$4="forecast",AI$8*'Direct People Department Costs'!$H$9,'Dept. Cost Actuals'!AM160)</f>
        <v>0</v>
      </c>
      <c r="AJ20" s="684">
        <f>IF(AJ$4="forecast",AJ$8*'Direct People Department Costs'!$H$9,'Dept. Cost Actuals'!AN160)</f>
        <v>0</v>
      </c>
      <c r="AK20" s="684">
        <f>IF(AK$4="forecast",AK$8*'Direct People Department Costs'!$H$9,'Dept. Cost Actuals'!AO160)</f>
        <v>0</v>
      </c>
      <c r="AL20" s="684">
        <f>IF(AL$4="forecast",AL$8*'Direct People Department Costs'!$H$9,'Dept. Cost Actuals'!AP160)</f>
        <v>0</v>
      </c>
      <c r="AM20" s="684">
        <f>IF(AM$4="forecast",AM$8*'Direct People Department Costs'!$H$9,'Dept. Cost Actuals'!AQ160)</f>
        <v>0</v>
      </c>
      <c r="AN20" s="684">
        <f>IF(AN$4="forecast",AN$8*'Direct People Department Costs'!$H$9,'Dept. Cost Actuals'!AR160)</f>
        <v>0</v>
      </c>
      <c r="AO20" s="684">
        <f>IF(AO$4="forecast",AO$8*'Direct People Department Costs'!$H$9,'Dept. Cost Actuals'!AS160)</f>
        <v>0</v>
      </c>
      <c r="AP20" s="684">
        <f>IF(AP$4="forecast",AP$8*'Direct People Department Costs'!$H$9,'Dept. Cost Actuals'!AT160)</f>
        <v>0</v>
      </c>
      <c r="AQ20" s="684">
        <f>IF(AQ$4="forecast",AQ$8*'Direct People Department Costs'!$H$9,'Dept. Cost Actuals'!AU160)</f>
        <v>0</v>
      </c>
      <c r="AR20" s="684">
        <f>IF(AR$4="forecast",AR$8*'Direct People Department Costs'!$H$9,'Dept. Cost Actuals'!AV160)</f>
        <v>0</v>
      </c>
      <c r="AS20" s="684">
        <f>IF(AS$4="forecast",AS$8*'Direct People Department Costs'!$H$9,'Dept. Cost Actuals'!AW160)</f>
        <v>0</v>
      </c>
      <c r="AT20" s="684">
        <f>IF(AT$4="forecast",AT$8*'Direct People Department Costs'!$H$9,'Dept. Cost Actuals'!AX160)</f>
        <v>0</v>
      </c>
      <c r="AU20" s="684">
        <f>IF(AU$4="forecast",AU$8*'Direct People Department Costs'!$H$9,'Dept. Cost Actuals'!AY160)</f>
        <v>0</v>
      </c>
      <c r="AV20" s="684">
        <f>IF(AV$4="forecast",AV$8*'Direct People Department Costs'!$H$9,'Dept. Cost Actuals'!AZ160)</f>
        <v>0</v>
      </c>
      <c r="AW20" s="684">
        <f>IF(AW$4="forecast",AW$8*'Direct People Department Costs'!$H$9,'Dept. Cost Actuals'!BA160)</f>
        <v>0</v>
      </c>
      <c r="AX20" s="684">
        <f>IF(AX$4="forecast",AX$8*'Direct People Department Costs'!$H$9,'Dept. Cost Actuals'!BB160)</f>
        <v>0</v>
      </c>
      <c r="AY20" s="684">
        <f>IF(AY$4="forecast",AY$8*'Direct People Department Costs'!$H$9,'Dept. Cost Actuals'!BC160)</f>
        <v>0</v>
      </c>
      <c r="AZ20" s="684">
        <f>IF(AZ$4="forecast",AZ$8*'Direct People Department Costs'!$H$9,'Dept. Cost Actuals'!BD160)</f>
        <v>0</v>
      </c>
      <c r="BA20" s="684">
        <f>IF(BA$4="forecast",BA$8*'Direct People Department Costs'!$H$9,'Dept. Cost Actuals'!BE160)</f>
        <v>0</v>
      </c>
      <c r="BB20" s="684">
        <f>IF(BB$4="forecast",BB$8*'Direct People Department Costs'!$H$9,'Dept. Cost Actuals'!BF160)</f>
        <v>0</v>
      </c>
      <c r="BC20" s="684">
        <f>IF(BC$4="forecast",BC$8*'Direct People Department Costs'!$H$9,'Dept. Cost Actuals'!BG160)</f>
        <v>0</v>
      </c>
      <c r="BD20" s="684">
        <f>IF(BD$4="forecast",BD$8*'Direct People Department Costs'!$H$9,'Dept. Cost Actuals'!BH160)</f>
        <v>0</v>
      </c>
      <c r="BE20" s="684">
        <f>IF(BE$4="forecast",BE$8*'Direct People Department Costs'!$H$9,'Dept. Cost Actuals'!BI160)</f>
        <v>0</v>
      </c>
      <c r="BF20" s="684">
        <f>IF(BF$4="forecast",BF$8*'Direct People Department Costs'!$H$9,'Dept. Cost Actuals'!BJ160)</f>
        <v>0</v>
      </c>
      <c r="BG20" s="684">
        <f>IF(BG$4="forecast",BG$8*'Direct People Department Costs'!$H$9,'Dept. Cost Actuals'!BK160)</f>
        <v>0</v>
      </c>
      <c r="BH20" s="684">
        <f>IF(BH$4="forecast",BH$8*'Direct People Department Costs'!$H$9,'Dept. Cost Actuals'!BL160)</f>
        <v>0</v>
      </c>
      <c r="BI20" s="684">
        <f>IF(BI$4="forecast",BI$8*'Direct People Department Costs'!$H$9,'Dept. Cost Actuals'!BM160)</f>
        <v>0</v>
      </c>
      <c r="BJ20" s="684">
        <f>IF(BJ$4="forecast",BJ$8*'Direct People Department Costs'!$H$9,'Dept. Cost Actuals'!BN160)</f>
        <v>0</v>
      </c>
      <c r="BK20" s="684">
        <f>IF(BK$4="forecast",BK$8*'Direct People Department Costs'!$H$9,'Dept. Cost Actuals'!BO160)</f>
        <v>0</v>
      </c>
      <c r="BL20" s="684">
        <f>IF(BL$4="forecast",BL$8*'Direct People Department Costs'!$H$9,'Dept. Cost Actuals'!#REF!)</f>
        <v>0</v>
      </c>
      <c r="BM20" s="684">
        <f>IF(BM$4="forecast",BM$8*'Direct People Department Costs'!$H$9,'Dept. Cost Actuals'!#REF!)</f>
        <v>0</v>
      </c>
      <c r="BN20" s="684">
        <f>IF(BN$4="forecast",BN$8*'Direct People Department Costs'!$H$9,'Dept. Cost Actuals'!#REF!)</f>
        <v>0</v>
      </c>
      <c r="BO20" s="684">
        <f>IF(BO$4="forecast",BO$8*'Direct People Department Costs'!$H$9,'Dept. Cost Actuals'!#REF!)</f>
        <v>0</v>
      </c>
      <c r="BP20" s="684">
        <f>IF(BP$4="forecast",BP$8*'Direct People Department Costs'!$H$9,'Dept. Cost Actuals'!#REF!)</f>
        <v>0</v>
      </c>
      <c r="BQ20" s="684">
        <f>IF(BQ$4="forecast",BQ$8*'Direct People Department Costs'!$H$9,'Dept. Cost Actuals'!#REF!)</f>
        <v>0</v>
      </c>
      <c r="BR20" s="684">
        <f>IF(BR$4="forecast",BR$8*'Direct People Department Costs'!$H$9,'Dept. Cost Actuals'!#REF!)</f>
        <v>0</v>
      </c>
      <c r="BS20" s="684">
        <f>IF(BS$4="forecast",BS$8*'Direct People Department Costs'!$H$9,'Dept. Cost Actuals'!#REF!)</f>
        <v>0</v>
      </c>
      <c r="BT20" s="684">
        <f>IF(BT$4="forecast",BT$8*'Direct People Department Costs'!$H$9,'Dept. Cost Actuals'!#REF!)</f>
        <v>0</v>
      </c>
      <c r="BU20" s="684">
        <f>IF(BU$4="forecast",BU$8*'Direct People Department Costs'!$H$9,'Dept. Cost Actuals'!#REF!)</f>
        <v>0</v>
      </c>
      <c r="BV20" s="808">
        <f>IF(BV$4="forecast",BV$8*'Direct People Department Costs'!$H$9,'Dept. Cost Actuals'!#REF!)</f>
        <v>0</v>
      </c>
    </row>
    <row r="21" spans="2:74" x14ac:dyDescent="0.35">
      <c r="B21" s="812" t="s">
        <v>433</v>
      </c>
      <c r="C21" s="684">
        <f>IF(C$4="forecast","Month Limit",'Dept. Cost Actuals'!G283)</f>
        <v>74.293738093722908</v>
      </c>
      <c r="D21" s="684">
        <f>IF(D$4="forecast","Month Limit",'Dept. Cost Actuals'!H115)</f>
        <v>359.04208953366464</v>
      </c>
      <c r="E21" s="684">
        <f>IF(E$4="forecast","Month Limit",'Dept. Cost Actuals'!I115)</f>
        <v>155.35002001488616</v>
      </c>
      <c r="F21" s="684">
        <f>IF(F$4="forecast","Month Limit",'Dept. Cost Actuals'!J115)</f>
        <v>413.71678270438792</v>
      </c>
      <c r="G21" s="684">
        <f>IF(G$4="forecast","Month Limit",'Dept. Cost Actuals'!K115)</f>
        <v>383.15750433656586</v>
      </c>
      <c r="H21" s="684">
        <f>IF(H$4="forecast","Month Limit",'Dept. Cost Actuals'!L115)</f>
        <v>601.53494512110819</v>
      </c>
      <c r="I21" s="684">
        <f>IF(I$4="forecast","Month Limit",'Dept. Cost Actuals'!M115)</f>
        <v>212.97044725885405</v>
      </c>
      <c r="J21" s="684">
        <f>IF(J$4="forecast","Month Limit",'Dept. Cost Actuals'!N115)</f>
        <v>651.17982263950375</v>
      </c>
      <c r="K21" s="684">
        <f>IF(K$4="forecast","Month Limit",'Dept. Cost Actuals'!O115)</f>
        <v>903.98185861062029</v>
      </c>
      <c r="L21" s="684">
        <f>IF(L$4="forecast","Month Limit",'Dept. Cost Actuals'!P115)</f>
        <v>867.75552201679079</v>
      </c>
      <c r="M21" s="684">
        <f>IF(M$4="forecast","Month Limit",'Dept. Cost Actuals'!Q115)</f>
        <v>809.25710009974568</v>
      </c>
      <c r="N21" s="684">
        <f>IF(N$4="forecast","Month Limit",'Dept. Cost Actuals'!R115)</f>
        <v>233.53098003406208</v>
      </c>
      <c r="O21" s="684">
        <f>IF(O$4="forecast",(AVERAGE(C21:N21)),'Dept. Cost Actuals'!S115)</f>
        <v>1696.18</v>
      </c>
      <c r="P21" s="684">
        <f>IF(P$4="forecast",(AVERAGE(D21:O21)),'Dept. Cost Actuals'!T115)</f>
        <v>723.4</v>
      </c>
      <c r="Q21" s="684">
        <f>IF(Q$4="forecast",(AVERAGE(E21:P21)),'Dept. Cost Actuals'!U115)</f>
        <v>3314.42</v>
      </c>
      <c r="R21" s="684">
        <f>IF(R$4="forecast",(AVERAGE(F21:Q21)),'Dept. Cost Actuals'!V115)</f>
        <v>4193.91</v>
      </c>
      <c r="S21" s="684">
        <f>IF(S$4="forecast",(AVERAGE(G21:R21)),'Dept. Cost Actuals'!W115)</f>
        <v>597.27</v>
      </c>
      <c r="T21" s="684">
        <f>IF(T$4="forecast",(AVERAGE(H21:S21)),'Dept. Cost Actuals'!X115)</f>
        <v>1189.78</v>
      </c>
      <c r="U21" s="684">
        <f>IF(U$4="forecast",(AVERAGE(I21:T21)),'Dept. Cost Actuals'!Y115)</f>
        <v>75</v>
      </c>
      <c r="V21" s="684">
        <f>IF(V$4="forecast",(AVERAGE(J21:U21)),'Dept. Cost Actuals'!Z115)</f>
        <v>0</v>
      </c>
      <c r="W21" s="684">
        <f>IF(W$4="forecast",(AVERAGE(K21:V21)),'Dept. Cost Actuals'!AA115)</f>
        <v>5748.9</v>
      </c>
      <c r="X21" s="684">
        <f>IF(X$4="forecast",(AVERAGE(L21:W21)),'Dept. Cost Actuals'!AB115)</f>
        <v>3208.4</v>
      </c>
      <c r="Y21" s="684">
        <f>IF(Y$4="forecast",(AVERAGE(M21:X21)),'Dept. Cost Actuals'!AC115)</f>
        <v>6896.56</v>
      </c>
      <c r="Z21" s="684">
        <f>IF(Z$4="forecast",(AVERAGE(N21:Y21)),'Dept. Cost Actuals'!AD115)</f>
        <v>11899.34</v>
      </c>
      <c r="AA21" s="684">
        <f>IF(AA$4="forecast",(SUMIFS(Planning_Mkt!D$5:D$133,Planning_Mkt!$B$5:$B$133,"Travel")),'Dept. Cost Actuals'!AE115)</f>
        <v>5000</v>
      </c>
      <c r="AB21" s="684">
        <f>IF(AB$4="forecast",(SUMIFS(Planning_Mkt!E$5:E$133,Planning_Mkt!$B$5:$B$133,"Travel")),'Dept. Cost Actuals'!AF115)</f>
        <v>0</v>
      </c>
      <c r="AC21" s="684">
        <f>IF(AC$4="forecast",(SUMIFS(Planning_Mkt!F$5:F$133,Planning_Mkt!$B$5:$B$133,"Travel")),'Dept. Cost Actuals'!AG115)</f>
        <v>4000</v>
      </c>
      <c r="AD21" s="684">
        <f>IF(AD$4="forecast",(SUMIFS(Planning_Mkt!G$5:G$133,Planning_Mkt!$B$5:$B$133,"Travel")),'Dept. Cost Actuals'!AH115)</f>
        <v>4000</v>
      </c>
      <c r="AE21" s="684">
        <f>IF(AE$4="forecast",(SUMIFS(Planning_Mkt!H$5:H$133,Planning_Mkt!$B$5:$B$133,"Travel")),'Dept. Cost Actuals'!AI115)</f>
        <v>4000</v>
      </c>
      <c r="AF21" s="684">
        <f>IF(AF$4="forecast",(SUMIFS(Planning_Mkt!I$5:I$133,Planning_Mkt!$B$5:$B$133,"Travel")),'Dept. Cost Actuals'!AJ115)</f>
        <v>4000</v>
      </c>
      <c r="AG21" s="684">
        <f>IF(AG$4="forecast",(SUMIFS(Planning_Mkt!J$5:J$133,Planning_Mkt!$B$5:$B$133,"Travel")),'Dept. Cost Actuals'!AK115)</f>
        <v>4000</v>
      </c>
      <c r="AH21" s="684">
        <f>IF(AH$4="forecast",(SUMIFS(Planning_Mkt!K$5:K$133,Planning_Mkt!$B$5:$B$133,"Travel")),'Dept. Cost Actuals'!AL115)</f>
        <v>4000</v>
      </c>
      <c r="AI21" s="684">
        <f>IF(AI$4="forecast",(SUMIFS(Planning_Mkt!L$5:L$133,Planning_Mkt!$B$5:$B$133,"Travel")),'Dept. Cost Actuals'!AM115)</f>
        <v>4000</v>
      </c>
      <c r="AJ21" s="684">
        <f>IF(AJ$4="forecast",(SUMIFS(Planning_Mkt!M$5:M$133,Planning_Mkt!$B$5:$B$133,"Travel")),'Dept. Cost Actuals'!AN115)</f>
        <v>4000</v>
      </c>
      <c r="AK21" s="684">
        <f>IF(AK$4="forecast",(SUMIFS(Planning_Mkt!N$5:N$133,Planning_Mkt!$B$5:$B$133,"Travel")),'Dept. Cost Actuals'!AO115)</f>
        <v>4000</v>
      </c>
      <c r="AL21" s="684">
        <f>IF(AL$4="forecast",(SUMIFS(Planning_Mkt!O$5:O$133,Planning_Mkt!$B$5:$B$133,"Travel")),'Dept. Cost Actuals'!AP115)</f>
        <v>4000</v>
      </c>
      <c r="AM21" s="684">
        <f>IF(AM$4="forecast",(AVERAGE(AA21:AL21)),'Dept. Cost Actuals'!AQ115)</f>
        <v>3750</v>
      </c>
      <c r="AN21" s="684">
        <f>IF(AN$4="forecast",(AVERAGE(AB21:AM21)),'Dept. Cost Actuals'!AR115)</f>
        <v>3645.8333333333335</v>
      </c>
      <c r="AO21" s="684">
        <f>IF(AO$4="forecast",(AVERAGE(AC21:AN21)),'Dept. Cost Actuals'!AS115)</f>
        <v>3949.6527777777778</v>
      </c>
      <c r="AP21" s="684">
        <f>IF(AP$4="forecast",(AVERAGE(AD21:AO21)),'Dept. Cost Actuals'!AT115)</f>
        <v>3945.4571759259265</v>
      </c>
      <c r="AQ21" s="684">
        <f>IF(AQ$4="forecast",(AVERAGE(AE21:AP21)),'Dept. Cost Actuals'!AU115)</f>
        <v>3940.9119405864203</v>
      </c>
      <c r="AR21" s="684">
        <f>IF(AR$4="forecast",(AVERAGE(AF21:AQ21)),'Dept. Cost Actuals'!AV115)</f>
        <v>3935.9879356352885</v>
      </c>
      <c r="AS21" s="684">
        <f>IF(AS$4="forecast",(AVERAGE(AG21:AR21)),'Dept. Cost Actuals'!AW115)</f>
        <v>3930.6535969382289</v>
      </c>
      <c r="AT21" s="684">
        <f>IF(AT$4="forecast",(AVERAGE(AH21:AS21)),'Dept. Cost Actuals'!AX115)</f>
        <v>3924.8747300164146</v>
      </c>
      <c r="AU21" s="684">
        <f>IF(AU$4="forecast",(AVERAGE(AI21:AT21)),'Dept. Cost Actuals'!AY115)</f>
        <v>3918.614290851116</v>
      </c>
      <c r="AV21" s="684">
        <f>IF(AV$4="forecast",(AVERAGE(AJ21:AU21)),'Dept. Cost Actuals'!AZ115)</f>
        <v>3911.8321484220428</v>
      </c>
      <c r="AW21" s="684">
        <f>IF(AW$4="forecast",(AVERAGE(AK21:AV21)),'Dept. Cost Actuals'!BA115)</f>
        <v>3904.4848274572137</v>
      </c>
      <c r="AX21" s="684">
        <f>IF(AX$4="forecast",(AVERAGE(AL21:AW21)),'Dept. Cost Actuals'!BB115)</f>
        <v>3896.5252297453135</v>
      </c>
      <c r="AY21" s="684">
        <f>IF(AY$4="forecast",(AVERAGE(AM21:AX21)),'Dept. Cost Actuals'!BC115)</f>
        <v>3887.9023322240896</v>
      </c>
      <c r="AZ21" s="684">
        <f>IF(AZ$4="forecast",(AVERAGE(AN21:AY21)),'Dept. Cost Actuals'!BD115)</f>
        <v>3899.3941932427638</v>
      </c>
      <c r="BA21" s="684">
        <f>IF(BA$4="forecast",(AVERAGE(AO21:AZ21)),'Dept. Cost Actuals'!BE115)</f>
        <v>3920.5242649018824</v>
      </c>
      <c r="BB21" s="684">
        <f>IF(BB$4="forecast",(AVERAGE(AP21:BA21)),'Dept. Cost Actuals'!BF115)</f>
        <v>3918.0968888288921</v>
      </c>
      <c r="BC21" s="684">
        <f>IF(BC$4="forecast",(AVERAGE(AQ21:BB21)),'Dept. Cost Actuals'!BG115)</f>
        <v>3915.8168649041386</v>
      </c>
      <c r="BD21" s="684">
        <f>IF(BD$4="forecast",(AVERAGE(AR21:BC21)),'Dept. Cost Actuals'!BH115)</f>
        <v>3913.7256085972822</v>
      </c>
      <c r="BE21" s="684">
        <f>IF(BE$4="forecast",(AVERAGE(AS21:BD21)),'Dept. Cost Actuals'!BI115)</f>
        <v>3911.8704146774485</v>
      </c>
      <c r="BF21" s="684">
        <f>IF(BF$4="forecast",(AVERAGE(AT21:BE21)),'Dept. Cost Actuals'!BJ115)</f>
        <v>3910.3051494890501</v>
      </c>
      <c r="BG21" s="684">
        <f>IF(BG$4="forecast",(AVERAGE(AU21:BF21)),'Dept. Cost Actuals'!BK115)</f>
        <v>3909.0910177784367</v>
      </c>
      <c r="BH21" s="684">
        <f>IF(BH$4="forecast",(AVERAGE(AV21:BG21)),'Dept. Cost Actuals'!BL115)</f>
        <v>3908.2974116890468</v>
      </c>
      <c r="BI21" s="684">
        <f>IF(BI$4="forecast",(AVERAGE(AW21:BH21)),'Dept. Cost Actuals'!BM115)</f>
        <v>3908.0028502946302</v>
      </c>
      <c r="BJ21" s="684">
        <f>IF(BJ$4="forecast",(AVERAGE(AX21:BI21)),'Dept. Cost Actuals'!BN115)</f>
        <v>3908.2960188644151</v>
      </c>
      <c r="BK21" s="684">
        <f>IF(BK$4="forecast",(AVERAGE(AY21:BJ21)),'Dept. Cost Actuals'!BO115)</f>
        <v>3909.276917957673</v>
      </c>
      <c r="BL21" s="684">
        <f>IF(BL$4="forecast",(AVERAGE(AZ21:BK21)),'Dept. Cost Actuals'!#REF!)</f>
        <v>3911.0581334354706</v>
      </c>
      <c r="BM21" s="684">
        <f>IF(BM$4="forecast",(AVERAGE(BA21:BL21)),'Dept. Cost Actuals'!#REF!)</f>
        <v>3912.0301284515303</v>
      </c>
      <c r="BN21" s="684">
        <f>IF(BN$4="forecast",(AVERAGE(BB21:BM21)),'Dept. Cost Actuals'!#REF!)</f>
        <v>3911.3222837473345</v>
      </c>
      <c r="BO21" s="684">
        <f>IF(BO$4="forecast",(AVERAGE(BC21:BN21)),'Dept. Cost Actuals'!#REF!)</f>
        <v>3910.7577333238714</v>
      </c>
      <c r="BP21" s="684">
        <f>IF(BP$4="forecast",(AVERAGE(BD21:BO21)),'Dept. Cost Actuals'!#REF!)</f>
        <v>3910.3361390255159</v>
      </c>
      <c r="BQ21" s="684">
        <f>IF(BQ$4="forecast",(AVERAGE(BE21:BP21)),'Dept. Cost Actuals'!#REF!)</f>
        <v>3910.053683227869</v>
      </c>
      <c r="BR21" s="684">
        <f>IF(BR$4="forecast",(AVERAGE(BF21:BQ21)),'Dept. Cost Actuals'!#REF!)</f>
        <v>3909.9022889404037</v>
      </c>
      <c r="BS21" s="684">
        <f>IF(BS$4="forecast",(AVERAGE(BG21:BR21)),'Dept. Cost Actuals'!#REF!)</f>
        <v>3909.8687172280156</v>
      </c>
      <c r="BT21" s="684">
        <f>IF(BT$4="forecast",(AVERAGE(BH21:BS21)),'Dept. Cost Actuals'!#REF!)</f>
        <v>3909.9335255154815</v>
      </c>
      <c r="BU21" s="684">
        <f>IF(BU$4="forecast",(AVERAGE(BI21:BT21)),'Dept. Cost Actuals'!#REF!)</f>
        <v>3910.0698683343508</v>
      </c>
      <c r="BV21" s="808">
        <f>IF(BV$4="forecast",(AVERAGE(BJ21:BU21)),'Dept. Cost Actuals'!#REF!)</f>
        <v>3910.2421198376614</v>
      </c>
    </row>
    <row r="22" spans="2:74" x14ac:dyDescent="0.35">
      <c r="B22" s="812" t="s">
        <v>942</v>
      </c>
      <c r="C22" s="684">
        <f>IF(C$4="forecast",(AVERAGE(#REF!)),'Dept. Cost Actuals'!G84)</f>
        <v>208.27001365953981</v>
      </c>
      <c r="D22" s="684">
        <f>IF(D$4="forecast",(AVERAGE(#REF!)),'Dept. Cost Actuals'!H84)</f>
        <v>298.61487958851058</v>
      </c>
      <c r="E22" s="684">
        <f>IF(E$4="forecast",(AVERAGE(#REF!)),'Dept. Cost Actuals'!I84)</f>
        <v>123.93</v>
      </c>
      <c r="F22" s="684">
        <f>IF(F$4="forecast",(AVERAGE(#REF!)),'Dept. Cost Actuals'!J84)</f>
        <v>194.84</v>
      </c>
      <c r="G22" s="684">
        <f>IF(G$4="forecast",(AVERAGE(#REF!)),'Dept. Cost Actuals'!K84)</f>
        <v>338.67064974624066</v>
      </c>
      <c r="H22" s="684">
        <f>IF(H$4="forecast",(AVERAGE(#REF!)),'Dept. Cost Actuals'!L84)</f>
        <v>715.09827107786532</v>
      </c>
      <c r="I22" s="684">
        <f>IF(I$4="forecast",(AVERAGE(#REF!)),'Dept. Cost Actuals'!M84)</f>
        <v>350.52402250753443</v>
      </c>
      <c r="J22" s="684">
        <f>IF(J$4="forecast",(AVERAGE(#REF!)),'Dept. Cost Actuals'!N84)</f>
        <v>349.80652871319876</v>
      </c>
      <c r="K22" s="684">
        <f>IF(K$4="forecast",(AVERAGE(#REF!)),'Dept. Cost Actuals'!O84)</f>
        <v>427.72389017756359</v>
      </c>
      <c r="L22" s="684">
        <f>IF(L$4="forecast",(AVERAGE(#REF!)),'Dept. Cost Actuals'!P84)</f>
        <v>504.63313260739989</v>
      </c>
      <c r="M22" s="684">
        <f>IF(M$4="forecast",(AVERAGE(A22:L22)),'Dept. Cost Actuals'!Q84)</f>
        <v>211.51175454842254</v>
      </c>
      <c r="N22" s="684">
        <f>IF(N$4="forecast",(AVERAGE(B22:M22)),'Dept. Cost Actuals'!R84)</f>
        <v>121.78729632244772</v>
      </c>
      <c r="O22" s="684">
        <f>IF(O$4="forecast",(AVERAGE(C22:N22)),'Dept. Cost Actuals'!S84)</f>
        <v>1277.8499999999999</v>
      </c>
      <c r="P22" s="684">
        <f>IF(P$4="forecast",(AVERAGE(D22:O22)),'Dept. Cost Actuals'!T84)</f>
        <v>14.98</v>
      </c>
      <c r="Q22" s="684">
        <f>IF(Q$4="forecast",(AVERAGE(E22:P22)),'Dept. Cost Actuals'!U84)</f>
        <v>410.88</v>
      </c>
      <c r="R22" s="684">
        <f>IF(R$4="forecast",(AVERAGE(F22:Q22)),'Dept. Cost Actuals'!V84)</f>
        <v>1032.72</v>
      </c>
      <c r="S22" s="684">
        <f>IF(S$4="forecast",(AVERAGE(G22:R22)),'Dept. Cost Actuals'!W84)</f>
        <v>913.72</v>
      </c>
      <c r="T22" s="684">
        <f>IF(T$4="forecast",(AVERAGE(H22:S22)),'Dept. Cost Actuals'!X84)</f>
        <v>58.09</v>
      </c>
      <c r="U22" s="684">
        <f>IF(U$4="forecast",(AVERAGE(I22:T22)),'Dept. Cost Actuals'!Y84)</f>
        <v>954.43</v>
      </c>
      <c r="V22" s="684">
        <f>IF(V$4="forecast",(AVERAGE(J22:U22)),'Dept. Cost Actuals'!Z84)</f>
        <v>167.31</v>
      </c>
      <c r="W22" s="684">
        <f>IF(W$4="forecast",(AVERAGE(K22:V22)),'Dept. Cost Actuals'!AA84)</f>
        <v>665.17</v>
      </c>
      <c r="X22" s="684">
        <f>IF(X$4="forecast",(AVERAGE(L22:W22)),'Dept. Cost Actuals'!AB84)</f>
        <v>1968.62</v>
      </c>
      <c r="Y22" s="684">
        <f>IF(Y$4="forecast",(AVERAGE(M22:X22)),'Dept. Cost Actuals'!AC84)</f>
        <v>1224.3399999999999</v>
      </c>
      <c r="Z22" s="684">
        <f>IF(Z$4="forecast",(AVERAGE(N22:Y22)),'Dept. Cost Actuals'!AD84)</f>
        <v>861.11</v>
      </c>
      <c r="AA22" s="684">
        <f>IF(AA$4="forecast",SUMIFS(Planning_Mkt!D$5:D$133,Planning_Mkt!$B$5:$B$133,"Meals and Entertainment - Other"),'Dept. Cost Actuals'!AE84)</f>
        <v>0</v>
      </c>
      <c r="AB22" s="684">
        <f>IF(AB$4="forecast",SUMIFS(Planning_Mkt!E$5:E$133,Planning_Mkt!$B$5:$B$133,"Meals and Entertainment - Other"),'Dept. Cost Actuals'!AF84)</f>
        <v>0</v>
      </c>
      <c r="AC22" s="684">
        <f>IF(AC$4="forecast",SUMIFS(Planning_Mkt!F$5:F$133,Planning_Mkt!$B$5:$B$133,"Meals and Entertainment - Other"),'Dept. Cost Actuals'!AG84)</f>
        <v>200</v>
      </c>
      <c r="AD22" s="684">
        <f>IF(AD$4="forecast",SUMIFS(Planning_Mkt!G$5:G$133,Planning_Mkt!$B$5:$B$133,"Meals and Entertainment - Other"),'Dept. Cost Actuals'!AH84)</f>
        <v>200</v>
      </c>
      <c r="AE22" s="684">
        <f>IF(AE$4="forecast",SUMIFS(Planning_Mkt!H$5:H$133,Planning_Mkt!$B$5:$B$133,"Meals and Entertainment - Other"),'Dept. Cost Actuals'!AI84)</f>
        <v>200</v>
      </c>
      <c r="AF22" s="684">
        <f>IF(AF$4="forecast",SUMIFS(Planning_Mkt!I$5:I$133,Planning_Mkt!$B$5:$B$133,"Meals and Entertainment - Other"),'Dept. Cost Actuals'!AJ84)</f>
        <v>200</v>
      </c>
      <c r="AG22" s="684">
        <f>IF(AG$4="forecast",SUMIFS(Planning_Mkt!J$5:J$133,Planning_Mkt!$B$5:$B$133,"Meals and Entertainment - Other"),'Dept. Cost Actuals'!AK84)</f>
        <v>200</v>
      </c>
      <c r="AH22" s="684">
        <f>IF(AH$4="forecast",SUMIFS(Planning_Mkt!K$5:K$133,Planning_Mkt!$B$5:$B$133,"Meals and Entertainment - Other"),'Dept. Cost Actuals'!AL84)</f>
        <v>200</v>
      </c>
      <c r="AI22" s="684">
        <f>IF(AI$4="forecast",SUMIFS(Planning_Mkt!L$5:L$133,Planning_Mkt!$B$5:$B$133,"Meals and Entertainment - Other"),'Dept. Cost Actuals'!AM84)</f>
        <v>200</v>
      </c>
      <c r="AJ22" s="684">
        <f>IF(AJ$4="forecast",SUMIFS(Planning_Mkt!M$5:M$133,Planning_Mkt!$B$5:$B$133,"Meals and Entertainment - Other"),'Dept. Cost Actuals'!AN84)</f>
        <v>200</v>
      </c>
      <c r="AK22" s="684">
        <f>IF(AK$4="forecast",SUMIFS(Planning_Mkt!N$5:N$133,Planning_Mkt!$B$5:$B$133,"Meals and Entertainment - Other"),'Dept. Cost Actuals'!AO84)</f>
        <v>200</v>
      </c>
      <c r="AL22" s="684">
        <f>IF(AL$4="forecast",SUMIFS(Planning_Mkt!O$5:O$133,Planning_Mkt!$B$5:$B$133,"Meals and Entertainment - Other"),'Dept. Cost Actuals'!AP84)</f>
        <v>800</v>
      </c>
      <c r="AM22" s="684">
        <f>IF(AM$4="forecast",(AVERAGE(AA22:AL22)),'Dept. Cost Actuals'!AQ84)</f>
        <v>216.66666666666666</v>
      </c>
      <c r="AN22" s="684">
        <f>IF(AN$4="forecast",(AVERAGE(AB22:AM22)),'Dept. Cost Actuals'!AR84)</f>
        <v>234.7222222222222</v>
      </c>
      <c r="AO22" s="684">
        <f>IF(AO$4="forecast",(AVERAGE(AC22:AN22)),'Dept. Cost Actuals'!AS84)</f>
        <v>254.28240740740739</v>
      </c>
      <c r="AP22" s="684">
        <f>IF(AP$4="forecast",(AVERAGE(AD22:AO22)),'Dept. Cost Actuals'!AT84)</f>
        <v>258.80594135802465</v>
      </c>
      <c r="AQ22" s="684">
        <f>IF(AQ$4="forecast",(AVERAGE(AE22:AP22)),'Dept. Cost Actuals'!AU84)</f>
        <v>263.7064364711934</v>
      </c>
      <c r="AR22" s="684">
        <f>IF(AR$4="forecast",(AVERAGE(AF22:AQ22)),'Dept. Cost Actuals'!AV84)</f>
        <v>269.01530617712615</v>
      </c>
      <c r="AS22" s="684">
        <f>IF(AS$4="forecast",(AVERAGE(AG22:AR22)),'Dept. Cost Actuals'!AW84)</f>
        <v>274.7665816918867</v>
      </c>
      <c r="AT22" s="684">
        <f>IF(AT$4="forecast",(AVERAGE(AH22:AS22)),'Dept. Cost Actuals'!AX84)</f>
        <v>280.99713016621058</v>
      </c>
      <c r="AU22" s="684">
        <f>IF(AU$4="forecast",(AVERAGE(AI22:AT22)),'Dept. Cost Actuals'!AY84)</f>
        <v>287.74689101339482</v>
      </c>
      <c r="AV22" s="684">
        <f>IF(AV$4="forecast",(AVERAGE(AJ22:AU22)),'Dept. Cost Actuals'!AZ84)</f>
        <v>295.05913193117772</v>
      </c>
      <c r="AW22" s="684">
        <f>IF(AW$4="forecast",(AVERAGE(AK22:AV22)),'Dept. Cost Actuals'!BA84)</f>
        <v>302.98072625877586</v>
      </c>
      <c r="AX22" s="684">
        <f>IF(AX$4="forecast",(AVERAGE(AL22:AW22)),'Dept. Cost Actuals'!BB84)</f>
        <v>311.56245344700721</v>
      </c>
      <c r="AY22" s="684">
        <f>IF(AY$4="forecast",(AVERAGE(AM22:AX22)),'Dept. Cost Actuals'!BC84)</f>
        <v>270.85932456759116</v>
      </c>
      <c r="AZ22" s="684">
        <f>IF(AZ$4="forecast",(AVERAGE(AN22:AY22)),'Dept. Cost Actuals'!BD84)</f>
        <v>275.37537939266815</v>
      </c>
      <c r="BA22" s="684">
        <f>IF(BA$4="forecast",(AVERAGE(AO22:AZ22)),'Dept. Cost Actuals'!BE84)</f>
        <v>278.76314249020533</v>
      </c>
      <c r="BB22" s="684">
        <f>IF(BB$4="forecast",(AVERAGE(AP22:BA22)),'Dept. Cost Actuals'!BF84)</f>
        <v>280.8032037471051</v>
      </c>
      <c r="BC22" s="684">
        <f>IF(BC$4="forecast",(AVERAGE(AQ22:BB22)),'Dept. Cost Actuals'!BG84)</f>
        <v>282.63630894619513</v>
      </c>
      <c r="BD22" s="684">
        <f>IF(BD$4="forecast",(AVERAGE(AR22:BC22)),'Dept. Cost Actuals'!BH84)</f>
        <v>284.21379831911196</v>
      </c>
      <c r="BE22" s="684">
        <f>IF(BE$4="forecast",(AVERAGE(AS22:BD22)),'Dept. Cost Actuals'!BI84)</f>
        <v>285.4803393309441</v>
      </c>
      <c r="BF22" s="684">
        <f>IF(BF$4="forecast",(AVERAGE(AT22:BE22)),'Dept. Cost Actuals'!BJ84)</f>
        <v>286.37315246753224</v>
      </c>
      <c r="BG22" s="684">
        <f>IF(BG$4="forecast",(AVERAGE(AU22:BF22)),'Dept. Cost Actuals'!BK84)</f>
        <v>286.82115432597567</v>
      </c>
      <c r="BH22" s="684">
        <f>IF(BH$4="forecast",(AVERAGE(AV22:BG22)),'Dept. Cost Actuals'!BL84)</f>
        <v>286.74400960202416</v>
      </c>
      <c r="BI22" s="684">
        <f>IF(BI$4="forecast",(AVERAGE(AW22:BH22)),'Dept. Cost Actuals'!BM84)</f>
        <v>286.05108274126133</v>
      </c>
      <c r="BJ22" s="684">
        <f>IF(BJ$4="forecast",(AVERAGE(AX22:BI22)),'Dept. Cost Actuals'!BN84)</f>
        <v>284.64027911480179</v>
      </c>
      <c r="BK22" s="684">
        <f>IF(BK$4="forecast",(AVERAGE(AY22:BJ22)),'Dept. Cost Actuals'!BO84)</f>
        <v>282.39676458711801</v>
      </c>
      <c r="BL22" s="684">
        <f>IF(BL$4="forecast",(AVERAGE(AZ22:BK22)),'Dept. Cost Actuals'!#REF!)</f>
        <v>283.35821792207855</v>
      </c>
      <c r="BM22" s="684">
        <f>IF(BM$4="forecast",(AVERAGE(BA22:BL22)),'Dept. Cost Actuals'!#REF!)</f>
        <v>284.02345446619609</v>
      </c>
      <c r="BN22" s="684">
        <f>IF(BN$4="forecast",(AVERAGE(BB22:BM22)),'Dept. Cost Actuals'!#REF!)</f>
        <v>284.46181379752863</v>
      </c>
      <c r="BO22" s="684">
        <f>IF(BO$4="forecast",(AVERAGE(BC22:BN22)),'Dept. Cost Actuals'!#REF!)</f>
        <v>284.7666979683973</v>
      </c>
      <c r="BP22" s="684">
        <f>IF(BP$4="forecast",(AVERAGE(BD22:BO22)),'Dept. Cost Actuals'!#REF!)</f>
        <v>284.94423038691411</v>
      </c>
      <c r="BQ22" s="684">
        <f>IF(BQ$4="forecast",(AVERAGE(BE22:BP22)),'Dept. Cost Actuals'!#REF!)</f>
        <v>285.00509972589765</v>
      </c>
      <c r="BR22" s="684">
        <f>IF(BR$4="forecast",(AVERAGE(BF22:BQ22)),'Dept. Cost Actuals'!#REF!)</f>
        <v>284.96549642547711</v>
      </c>
      <c r="BS22" s="684">
        <f>IF(BS$4="forecast",(AVERAGE(BG22:BR22)),'Dept. Cost Actuals'!#REF!)</f>
        <v>284.84819175530583</v>
      </c>
      <c r="BT22" s="684">
        <f>IF(BT$4="forecast",(AVERAGE(BH22:BS22)),'Dept. Cost Actuals'!#REF!)</f>
        <v>284.68377820775009</v>
      </c>
      <c r="BU22" s="684">
        <f>IF(BU$4="forecast",(AVERAGE(BI22:BT22)),'Dept. Cost Actuals'!#REF!)</f>
        <v>284.5120922582272</v>
      </c>
      <c r="BV22" s="808">
        <f>IF(BV$4="forecast",(AVERAGE(BJ22:BU22)),'Dept. Cost Actuals'!#REF!)</f>
        <v>284.38384305130774</v>
      </c>
    </row>
    <row r="23" spans="2:74" x14ac:dyDescent="0.35">
      <c r="B23" s="812" t="s">
        <v>1083</v>
      </c>
      <c r="C23" s="684">
        <f>IF(C$4="forecast",(AVERAGE(#REF!)),'Dept. Cost Actuals'!G282)</f>
        <v>116.24723042537528</v>
      </c>
      <c r="D23" s="684">
        <f>IF(D$4="forecast",(AVERAGE(#REF!)),'Dept. Cost Actuals'!H282)</f>
        <v>58.54336726045279</v>
      </c>
      <c r="E23" s="684">
        <f>IF(E$4="forecast",(AVERAGE(#REF!)),'Dept. Cost Actuals'!I282)</f>
        <v>36.740805843856428</v>
      </c>
      <c r="F23" s="684">
        <f>IF(F$4="forecast",(AVERAGE(#REF!)),'Dept. Cost Actuals'!J282)</f>
        <v>14.492260975829055</v>
      </c>
      <c r="G23" s="684">
        <f>IF(G$4="forecast",(AVERAGE(#REF!)),'Dept. Cost Actuals'!K282)</f>
        <v>18.068529335019775</v>
      </c>
      <c r="H23" s="684">
        <f>IF(H$4="forecast",(AVERAGE(#REF!)),'Dept. Cost Actuals'!L282)</f>
        <v>12.893678091046883</v>
      </c>
      <c r="I23" s="684">
        <f>IF(I$4="forecast",(AVERAGE(#REF!)),'Dept. Cost Actuals'!M282)</f>
        <v>40.191266961505569</v>
      </c>
      <c r="J23" s="684">
        <f>IF(J$4="forecast",(AVERAGE(#REF!)),'Dept. Cost Actuals'!N282)</f>
        <v>8.964946127121264</v>
      </c>
      <c r="K23" s="684">
        <f>IF(K$4="forecast",(AVERAGE(#REF!)),'Dept. Cost Actuals'!O282)</f>
        <v>7.2729728603401718</v>
      </c>
      <c r="L23" s="684">
        <f>IF(L$4="forecast",(AVERAGE(#REF!)),'Dept. Cost Actuals'!P282)</f>
        <v>4.3732638357107447</v>
      </c>
      <c r="M23" s="684">
        <f>IF(M$4="forecast",(AVERAGE(A23:L23)),'Dept. Cost Actuals'!Q282)</f>
        <v>7.6875868821589624</v>
      </c>
      <c r="N23" s="684">
        <f>IF(N$4="forecast",(AVERAGE(B23:M23)),'Dept. Cost Actuals'!R282)</f>
        <v>7.7348735766294112</v>
      </c>
      <c r="O23" s="684">
        <f>IF(O$4="forecast",(AVERAGE(C23:N23)),'Dept. Cost Actuals'!S282)</f>
        <v>0</v>
      </c>
      <c r="P23" s="684">
        <f>IF(P$4="forecast",(AVERAGE(D23:O23)),'Dept. Cost Actuals'!T282)</f>
        <v>0</v>
      </c>
      <c r="Q23" s="684">
        <f>IF(Q$4="forecast",(AVERAGE(E23:P23)),'Dept. Cost Actuals'!U282)</f>
        <v>0</v>
      </c>
      <c r="R23" s="684">
        <f>IF(R$4="forecast",(AVERAGE(F23:Q23)),'Dept. Cost Actuals'!V282)</f>
        <v>0</v>
      </c>
      <c r="S23" s="684">
        <f>IF(S$4="forecast",(AVERAGE(G23:R23)),'Dept. Cost Actuals'!W282)</f>
        <v>0</v>
      </c>
      <c r="T23" s="684">
        <f>IF(T$4="forecast",(AVERAGE(H23:S23)),'Dept. Cost Actuals'!X282)</f>
        <v>0</v>
      </c>
      <c r="U23" s="684">
        <f>IF(U$4="forecast",(AVERAGE(I23:T23)),'Dept. Cost Actuals'!Y282)</f>
        <v>0</v>
      </c>
      <c r="V23" s="684">
        <f>IF(V$4="forecast",(AVERAGE(J23:U23)),'Dept. Cost Actuals'!Z282)</f>
        <v>0</v>
      </c>
      <c r="W23" s="684">
        <f>IF(W$4="forecast",(AVERAGE(K23:V23)),'Dept. Cost Actuals'!AA282)</f>
        <v>0</v>
      </c>
      <c r="X23" s="684">
        <f>IF(X$4="forecast",(AVERAGE(L23:W23)),'Dept. Cost Actuals'!AB282)</f>
        <v>0</v>
      </c>
      <c r="Y23" s="684">
        <f>IF(Y$4="forecast",(AVERAGE(M23:X23)),'Dept. Cost Actuals'!AC282)</f>
        <v>0</v>
      </c>
      <c r="Z23" s="684">
        <f>IF(Z$4="forecast",(AVERAGE(N23:Y23)),'Dept. Cost Actuals'!AD282)</f>
        <v>0</v>
      </c>
      <c r="AA23" s="684">
        <f>IF(AA$4="forecast",(AVERAGE(O23:Z23)),'Dept. Cost Actuals'!AE282)</f>
        <v>0</v>
      </c>
      <c r="AB23" s="684">
        <f>IF(AB$4="forecast",(AVERAGE(P23:AA23)),'Dept. Cost Actuals'!AF282)</f>
        <v>0</v>
      </c>
      <c r="AC23" s="684">
        <f>IF(AC$4="forecast",(AVERAGE(Q23:AB23)),'Dept. Cost Actuals'!AG282)</f>
        <v>0</v>
      </c>
      <c r="AD23" s="684">
        <f>IF(AD$4="forecast",(AVERAGE(R23:AC23)),'Dept. Cost Actuals'!AH282)</f>
        <v>0</v>
      </c>
      <c r="AE23" s="684">
        <f>IF(AE$4="forecast",(AVERAGE(S23:AD23)),'Dept. Cost Actuals'!AI282)</f>
        <v>0</v>
      </c>
      <c r="AF23" s="684">
        <f>IF(AF$4="forecast",(AVERAGE(T23:AE23)),'Dept. Cost Actuals'!AJ282)</f>
        <v>0</v>
      </c>
      <c r="AG23" s="684">
        <f>IF(AG$4="forecast",(AVERAGE(U23:AF23)),'Dept. Cost Actuals'!AK282)</f>
        <v>0</v>
      </c>
      <c r="AH23" s="684">
        <f>IF(AH$4="forecast",(AVERAGE(V23:AG23)),'Dept. Cost Actuals'!AL282)</f>
        <v>0</v>
      </c>
      <c r="AI23" s="684">
        <f>IF(AI$4="forecast",(AVERAGE(W23:AH23)),'Dept. Cost Actuals'!AM282)</f>
        <v>0</v>
      </c>
      <c r="AJ23" s="684">
        <f>IF(AJ$4="forecast",(AVERAGE(X23:AI23)),'Dept. Cost Actuals'!AN282)</f>
        <v>0</v>
      </c>
      <c r="AK23" s="684">
        <f>IF(AK$4="forecast",(AVERAGE(Y23:AJ23)),'Dept. Cost Actuals'!AO282)</f>
        <v>0</v>
      </c>
      <c r="AL23" s="684">
        <f>IF(AL$4="forecast",(AVERAGE(Z23:AK23)),'Dept. Cost Actuals'!AP282)</f>
        <v>0</v>
      </c>
      <c r="AM23" s="684">
        <f>IF(AM$4="forecast",(AVERAGE(AA23:AL23)),'Dept. Cost Actuals'!AQ282)</f>
        <v>0</v>
      </c>
      <c r="AN23" s="684">
        <f>IF(AN$4="forecast",(AVERAGE(AB23:AM23)),'Dept. Cost Actuals'!AR282)</f>
        <v>0</v>
      </c>
      <c r="AO23" s="684">
        <f>IF(AO$4="forecast",(AVERAGE(AC23:AN23)),'Dept. Cost Actuals'!AS282)</f>
        <v>0</v>
      </c>
      <c r="AP23" s="684">
        <f>IF(AP$4="forecast",(AVERAGE(AD23:AO23)),'Dept. Cost Actuals'!AT282)</f>
        <v>0</v>
      </c>
      <c r="AQ23" s="684">
        <f>IF(AQ$4="forecast",(AVERAGE(AE23:AP23)),'Dept. Cost Actuals'!AU282)</f>
        <v>0</v>
      </c>
      <c r="AR23" s="684">
        <f>IF(AR$4="forecast",(AVERAGE(AF23:AQ23)),'Dept. Cost Actuals'!AV282)</f>
        <v>0</v>
      </c>
      <c r="AS23" s="684">
        <f>IF(AS$4="forecast",(AVERAGE(AG23:AR23)),'Dept. Cost Actuals'!AW282)</f>
        <v>0</v>
      </c>
      <c r="AT23" s="684">
        <f>IF(AT$4="forecast",(AVERAGE(AH23:AS23)),'Dept. Cost Actuals'!AX282)</f>
        <v>0</v>
      </c>
      <c r="AU23" s="684">
        <f>IF(AU$4="forecast",(AVERAGE(AI23:AT23)),'Dept. Cost Actuals'!AY282)</f>
        <v>0</v>
      </c>
      <c r="AV23" s="684">
        <f>IF(AV$4="forecast",(AVERAGE(AJ23:AU23)),'Dept. Cost Actuals'!AZ282)</f>
        <v>0</v>
      </c>
      <c r="AW23" s="684">
        <f>IF(AW$4="forecast",(AVERAGE(AK23:AV23)),'Dept. Cost Actuals'!BA282)</f>
        <v>0</v>
      </c>
      <c r="AX23" s="684">
        <f>IF(AX$4="forecast",(AVERAGE(AL23:AW23)),'Dept. Cost Actuals'!BB282)</f>
        <v>0</v>
      </c>
      <c r="AY23" s="684">
        <f>IF(AY$4="forecast",(AVERAGE(AM23:AX23)),'Dept. Cost Actuals'!BC282)</f>
        <v>0</v>
      </c>
      <c r="AZ23" s="684">
        <f>IF(AZ$4="forecast",(AVERAGE(AN23:AY23)),'Dept. Cost Actuals'!BD282)</f>
        <v>0</v>
      </c>
      <c r="BA23" s="684">
        <f>IF(BA$4="forecast",(AVERAGE(AO23:AZ23)),'Dept. Cost Actuals'!BE282)</f>
        <v>0</v>
      </c>
      <c r="BB23" s="684">
        <f>IF(BB$4="forecast",(AVERAGE(AP23:BA23)),'Dept. Cost Actuals'!BF282)</f>
        <v>0</v>
      </c>
      <c r="BC23" s="684">
        <f>IF(BC$4="forecast",(AVERAGE(AQ23:BB23)),'Dept. Cost Actuals'!BG282)</f>
        <v>0</v>
      </c>
      <c r="BD23" s="684">
        <f>IF(BD$4="forecast",(AVERAGE(AR23:BC23)),'Dept. Cost Actuals'!BH282)</f>
        <v>0</v>
      </c>
      <c r="BE23" s="684">
        <f>IF(BE$4="forecast",(AVERAGE(AS23:BD23)),'Dept. Cost Actuals'!BI282)</f>
        <v>0</v>
      </c>
      <c r="BF23" s="684">
        <f>IF(BF$4="forecast",(AVERAGE(AT23:BE23)),'Dept. Cost Actuals'!BJ282)</f>
        <v>0</v>
      </c>
      <c r="BG23" s="684">
        <f>IF(BG$4="forecast",(AVERAGE(AU23:BF23)),'Dept. Cost Actuals'!BK282)</f>
        <v>0</v>
      </c>
      <c r="BH23" s="684">
        <f>IF(BH$4="forecast",(AVERAGE(AV23:BG23)),'Dept. Cost Actuals'!BL282)</f>
        <v>0</v>
      </c>
      <c r="BI23" s="684">
        <f>IF(BI$4="forecast",(AVERAGE(AW23:BH23)),'Dept. Cost Actuals'!BM282)</f>
        <v>0</v>
      </c>
      <c r="BJ23" s="684">
        <f>IF(BJ$4="forecast",(AVERAGE(AX23:BI23)),'Dept. Cost Actuals'!BN282)</f>
        <v>0</v>
      </c>
      <c r="BK23" s="684">
        <f>IF(BK$4="forecast",(AVERAGE(AY23:BJ23)),'Dept. Cost Actuals'!BO282)</f>
        <v>0</v>
      </c>
      <c r="BL23" s="684">
        <f>IF(BL$4="forecast",(AVERAGE(AZ23:BK23)),'Dept. Cost Actuals'!BP282)</f>
        <v>0</v>
      </c>
      <c r="BM23" s="684">
        <f>IF(BM$4="forecast",(AVERAGE(BA23:BL23)),'Dept. Cost Actuals'!BQ282)</f>
        <v>0</v>
      </c>
      <c r="BN23" s="684">
        <f>IF(BN$4="forecast",(AVERAGE(BB23:BM23)),'Dept. Cost Actuals'!BR282)</f>
        <v>0</v>
      </c>
      <c r="BO23" s="684">
        <f>IF(BO$4="forecast",(AVERAGE(BC23:BN23)),'Dept. Cost Actuals'!BS282)</f>
        <v>0</v>
      </c>
      <c r="BP23" s="684">
        <f>IF(BP$4="forecast",(AVERAGE(BD23:BO23)),'Dept. Cost Actuals'!BT282)</f>
        <v>0</v>
      </c>
      <c r="BQ23" s="684">
        <f>IF(BQ$4="forecast",(AVERAGE(BE23:BP23)),'Dept. Cost Actuals'!BU282)</f>
        <v>0</v>
      </c>
      <c r="BR23" s="684">
        <f>IF(BR$4="forecast",(AVERAGE(BF23:BQ23)),'Dept. Cost Actuals'!BV282)</f>
        <v>0</v>
      </c>
      <c r="BS23" s="684">
        <f>IF(BS$4="forecast",(AVERAGE(BG23:BR23)),'Dept. Cost Actuals'!BW282)</f>
        <v>0</v>
      </c>
      <c r="BT23" s="684">
        <f>IF(BT$4="forecast",(AVERAGE(BH23:BS23)),'Dept. Cost Actuals'!BX282)</f>
        <v>0</v>
      </c>
      <c r="BU23" s="684">
        <f>IF(BU$4="forecast",(AVERAGE(BI23:BT23)),'Dept. Cost Actuals'!BY282)</f>
        <v>0</v>
      </c>
      <c r="BV23" s="808">
        <f>IF(BV$4="forecast",(AVERAGE(BJ23:BU23)),'Dept. Cost Actuals'!BZ282)</f>
        <v>0</v>
      </c>
    </row>
    <row r="24" spans="2:74" x14ac:dyDescent="0.35">
      <c r="B24" s="812" t="s">
        <v>943</v>
      </c>
      <c r="C24" s="684">
        <f>IF(C$4="forecast",C$7*'Direct People Department Costs'!$H$13,'Dept. Cost Actuals'!G211)</f>
        <v>0</v>
      </c>
      <c r="D24" s="684">
        <f>IF(D$4="forecast",D$7*'Direct People Department Costs'!$H$13,'Dept. Cost Actuals'!H43)</f>
        <v>0</v>
      </c>
      <c r="E24" s="684">
        <f>IF(E$4="forecast",E$7*'Direct People Department Costs'!$H$13,'Dept. Cost Actuals'!I43)</f>
        <v>0</v>
      </c>
      <c r="F24" s="684">
        <f>IF(F$4="forecast",F$7*'Direct People Department Costs'!$H$13,'Dept. Cost Actuals'!J43)</f>
        <v>0</v>
      </c>
      <c r="G24" s="684">
        <f>IF(G$4="forecast",G$7*'Direct People Department Costs'!$H$13,'Dept. Cost Actuals'!K43)</f>
        <v>0</v>
      </c>
      <c r="H24" s="684">
        <f>IF(H$4="forecast",H$7*'Direct People Department Costs'!$H$13,'Dept. Cost Actuals'!L43)</f>
        <v>0</v>
      </c>
      <c r="I24" s="684">
        <f>IF(I$4="forecast",I$7*'Direct People Department Costs'!$H$13,'Dept. Cost Actuals'!M43)</f>
        <v>0</v>
      </c>
      <c r="J24" s="684">
        <f>IF(J$4="forecast",J$7*'Direct People Department Costs'!$H$13,'Dept. Cost Actuals'!N43)</f>
        <v>0</v>
      </c>
      <c r="K24" s="684">
        <f>IF(K$4="forecast",K$7*'Direct People Department Costs'!$H$13,'Dept. Cost Actuals'!O43)</f>
        <v>0</v>
      </c>
      <c r="L24" s="684">
        <f>IF(L$4="forecast",L$7*'Direct People Department Costs'!$H$13,'Dept. Cost Actuals'!P43)</f>
        <v>0</v>
      </c>
      <c r="M24" s="684">
        <f>IF(M$4="forecast",M$7*'Direct People Department Costs'!$H$13,'Dept. Cost Actuals'!Q43)</f>
        <v>0</v>
      </c>
      <c r="N24" s="684">
        <f>IF(N$4="forecast",N$7*'Direct People Department Costs'!$H$13,'Dept. Cost Actuals'!R43)</f>
        <v>0</v>
      </c>
      <c r="O24" s="684">
        <f>IF(O$4="forecast",O$7*'Direct People Department Costs'!$H$13,'Dept. Cost Actuals'!S43)</f>
        <v>602.86</v>
      </c>
      <c r="P24" s="684">
        <f>IF(P$4="forecast",P$7*'Direct People Department Costs'!$H$13,'Dept. Cost Actuals'!T43)</f>
        <v>948.07</v>
      </c>
      <c r="Q24" s="684">
        <f>IF(Q$4="forecast",Q$7*'Direct People Department Costs'!$H$13,'Dept. Cost Actuals'!U43)</f>
        <v>1569.88</v>
      </c>
      <c r="R24" s="684">
        <f>IF(R$4="forecast",R$7*'Direct People Department Costs'!$H$13,'Dept. Cost Actuals'!V43)</f>
        <v>3965.79</v>
      </c>
      <c r="S24" s="684">
        <f>IF(S$4="forecast",S$7*'Direct People Department Costs'!$H$13,'Dept. Cost Actuals'!W43)</f>
        <v>3477.79</v>
      </c>
      <c r="T24" s="684">
        <f>IF(T$4="forecast",T$7*'Direct People Department Costs'!$H$13,'Dept. Cost Actuals'!X43)</f>
        <v>4301.6499999999996</v>
      </c>
      <c r="U24" s="684">
        <f>IF(U$4="forecast",U$7*'Direct People Department Costs'!$H$13,'Dept. Cost Actuals'!Y43)</f>
        <v>4874</v>
      </c>
      <c r="V24" s="684">
        <f>IF(V$4="forecast",V$7*'Direct People Department Costs'!$H$13,'Dept. Cost Actuals'!Z43)</f>
        <v>5367.18</v>
      </c>
      <c r="W24" s="684">
        <f>IF(W$4="forecast",W$7*'Direct People Department Costs'!$H$13,'Dept. Cost Actuals'!AA43)</f>
        <v>6001.4</v>
      </c>
      <c r="X24" s="684">
        <f>IF(X$4="forecast",X$7*'Direct People Department Costs'!$H$13,'Dept. Cost Actuals'!AB43)</f>
        <v>5007.83</v>
      </c>
      <c r="Y24" s="684">
        <f>IF(Y$4="forecast",Y$7*'Direct People Department Costs'!$H$13,'Dept. Cost Actuals'!AC43)</f>
        <v>4021.79</v>
      </c>
      <c r="Z24" s="684">
        <f>IF(Z$4="forecast",Z$7*'Direct People Department Costs'!$H$13,'Dept. Cost Actuals'!AD43)</f>
        <v>5254.45</v>
      </c>
      <c r="AA24" s="684">
        <f>IF(AA$4="forecast",((SUM($O$24:$Z$24)*1.1)/12),'Dept. Cost Actuals'!AE43)</f>
        <v>4160.9965833333345</v>
      </c>
      <c r="AB24" s="684">
        <f>IF(AB$4="forecast",((SUM($O$24:$Z$24)*1.1)/12),'Dept. Cost Actuals'!AF43)</f>
        <v>4160.9965833333345</v>
      </c>
      <c r="AC24" s="684">
        <f>IF(AC$4="forecast",((SUM($O$24:$Z$24)*1.1)/12),'Dept. Cost Actuals'!AG43)</f>
        <v>4160.9965833333345</v>
      </c>
      <c r="AD24" s="684">
        <f>IF(AD$4="forecast",((SUM($O$24:$Z$24)*1.1)/12),'Dept. Cost Actuals'!AH43)</f>
        <v>4160.9965833333345</v>
      </c>
      <c r="AE24" s="684">
        <f>IF(AE$4="forecast",((SUM($O$24:$Z$24)*1.1)/12),'Dept. Cost Actuals'!AI43)</f>
        <v>4160.9965833333345</v>
      </c>
      <c r="AF24" s="684">
        <f>IF(AF$4="forecast",((SUM($O$24:$Z$24)*1.1)/12),'Dept. Cost Actuals'!AJ43)</f>
        <v>4160.9965833333345</v>
      </c>
      <c r="AG24" s="684">
        <f>IF(AG$4="forecast",((SUM($O$24:$Z$24)*1.1)/12),'Dept. Cost Actuals'!AK43)</f>
        <v>4160.9965833333345</v>
      </c>
      <c r="AH24" s="684">
        <f>IF(AH$4="forecast",((SUM($O$24:$Z$24)*1.1)/12),'Dept. Cost Actuals'!AL43)</f>
        <v>4160.9965833333345</v>
      </c>
      <c r="AI24" s="684">
        <f>IF(AI$4="forecast",((SUM($O$24:$Z$24)*1.1)/12),'Dept. Cost Actuals'!AM43)</f>
        <v>4160.9965833333345</v>
      </c>
      <c r="AJ24" s="684">
        <f>IF(AJ$4="forecast",((SUM($O$24:$Z$24)*1.1)/12),'Dept. Cost Actuals'!AN43)</f>
        <v>4160.9965833333345</v>
      </c>
      <c r="AK24" s="684">
        <f>IF(AK$4="forecast",((SUM($O$24:$Z$24)*1.1)/12),'Dept. Cost Actuals'!AO43)</f>
        <v>4160.9965833333345</v>
      </c>
      <c r="AL24" s="684">
        <f>IF(AL$4="forecast",((SUM($O$24:$Z$24)*1.1)/12),'Dept. Cost Actuals'!AP43)</f>
        <v>4160.9965833333345</v>
      </c>
      <c r="AM24" s="684">
        <f>IF(AM$4="forecast",((SUM(AA24:AL24)*1.1)/12),'Dept. Cost Actuals'!AQ43)</f>
        <v>4577.096241666668</v>
      </c>
      <c r="AN24" s="684">
        <f>IF(AN$4="forecast",((SUM(AB24:AM24)*1.1)/12),'Dept. Cost Actuals'!AR43)</f>
        <v>4615.2387103472238</v>
      </c>
      <c r="AO24" s="684">
        <f>IF(AO$4="forecast",((SUM(AC24:AN24)*1.1)/12),'Dept. Cost Actuals'!AS43)</f>
        <v>4656.8775719901632</v>
      </c>
      <c r="AP24" s="684">
        <f>IF(AP$4="forecast",((SUM(AD24:AO24)*1.1)/12),'Dept. Cost Actuals'!AT43)</f>
        <v>4702.333329283706</v>
      </c>
      <c r="AQ24" s="684">
        <f>IF(AQ$4="forecast",((SUM(AE24:AP24)*1.1)/12),'Dept. Cost Actuals'!AU43)</f>
        <v>4751.9558643291566</v>
      </c>
      <c r="AR24" s="684">
        <f>IF(AR$4="forecast",((SUM(AF24:AQ24)*1.1)/12),'Dept. Cost Actuals'!AV43)</f>
        <v>4806.127131753773</v>
      </c>
      <c r="AS24" s="684">
        <f>IF(AS$4="forecast",((SUM(AG24:AR24)*1.1)/12),'Dept. Cost Actuals'!AW43)</f>
        <v>4865.2640986923143</v>
      </c>
      <c r="AT24" s="684">
        <f>IF(AT$4="forecast",((SUM(AH24:AS24)*1.1)/12),'Dept. Cost Actuals'!AX43)</f>
        <v>4929.8219542668885</v>
      </c>
      <c r="AU24" s="684">
        <f>IF(AU$4="forecast",((SUM(AI24:AT24)*1.1)/12),'Dept. Cost Actuals'!AY43)</f>
        <v>5000.2976132691301</v>
      </c>
      <c r="AV24" s="684">
        <f>IF(AV$4="forecast",((SUM(AJ24:AU24)*1.1)/12),'Dept. Cost Actuals'!AZ43)</f>
        <v>5077.2335410132455</v>
      </c>
      <c r="AW24" s="684">
        <f>IF(AW$4="forecast",((SUM(AK24:AV24)*1.1)/12),'Dept. Cost Actuals'!BA43)</f>
        <v>5161.2219288005699</v>
      </c>
      <c r="AX24" s="684">
        <f>IF(AX$4="forecast",((SUM(AL24:AW24)*1.1)/12),'Dept. Cost Actuals'!BB43)</f>
        <v>5252.9092521350676</v>
      </c>
      <c r="AY24" s="684">
        <f>IF(AY$4="forecast",((SUM(AM24:AX24)*1.1)/12),'Dept. Cost Actuals'!BC43)</f>
        <v>5353.0012467752249</v>
      </c>
      <c r="AZ24" s="684">
        <f>IF(AZ$4="forecast",((SUM(AN24:AY24)*1.1)/12),'Dept. Cost Actuals'!BD43)</f>
        <v>5424.1258722435095</v>
      </c>
      <c r="BA24" s="684">
        <f>IF(BA$4="forecast",((SUM(AO24:AZ24)*1.1)/12),'Dept. Cost Actuals'!BE43)</f>
        <v>5498.2738620840028</v>
      </c>
      <c r="BB24" s="684">
        <f>IF(BB$4="forecast",((SUM(AP24:BA24)*1.1)/12),'Dept. Cost Actuals'!BF43)</f>
        <v>5575.401855342604</v>
      </c>
      <c r="BC24" s="684">
        <f>IF(BC$4="forecast",((SUM(AQ24:BB24)*1.1)/12),'Dept. Cost Actuals'!BG43)</f>
        <v>5655.4331368980047</v>
      </c>
      <c r="BD24" s="684">
        <f>IF(BD$4="forecast",((SUM(AR24:BC24)*1.1)/12),'Dept. Cost Actuals'!BH43)</f>
        <v>5738.2518868834804</v>
      </c>
      <c r="BE24" s="684">
        <f>IF(BE$4="forecast",((SUM(AS24:BD24)*1.1)/12),'Dept. Cost Actuals'!BI43)</f>
        <v>5823.6966561037052</v>
      </c>
      <c r="BF24" s="684">
        <f>IF(BF$4="forecast",((SUM(AT24:BE24)*1.1)/12),'Dept. Cost Actuals'!BJ43)</f>
        <v>5911.5529738664154</v>
      </c>
      <c r="BG24" s="684">
        <f>IF(BG$4="forecast",((SUM(AU24:BF24)*1.1)/12),'Dept. Cost Actuals'!BK43)</f>
        <v>6001.5449839963721</v>
      </c>
      <c r="BH24" s="684">
        <f>IF(BH$4="forecast",((SUM(AV24:BG24)*1.1)/12),'Dept. Cost Actuals'!BL43)</f>
        <v>6093.3259929797023</v>
      </c>
      <c r="BI24" s="684">
        <f>IF(BI$4="forecast",((SUM(AW24:BH24)*1.1)/12),'Dept. Cost Actuals'!BM43)</f>
        <v>6186.4678010766283</v>
      </c>
      <c r="BJ24" s="684">
        <f>IF(BJ$4="forecast",((SUM(AX24:BI24)*1.1)/12),'Dept. Cost Actuals'!BN43)</f>
        <v>6280.4486727019321</v>
      </c>
      <c r="BK24" s="684">
        <f>IF(BK$4="forecast",((SUM(AY24:BJ24)*1.1)/12),'Dept. Cost Actuals'!BO43)</f>
        <v>6374.6397862538952</v>
      </c>
      <c r="BL24" s="684">
        <f>IF(BL$4="forecast",((SUM(AZ24:BK24)*1.1)/12),'Dept. Cost Actuals'!BP43)</f>
        <v>6468.2899857061084</v>
      </c>
      <c r="BM24" s="684">
        <f>IF(BM$4="forecast",((SUM(BA24:BL24)*1.1)/12),'Dept. Cost Actuals'!BQ43)</f>
        <v>6564.0050294401772</v>
      </c>
      <c r="BN24" s="684">
        <f>IF(BN$4="forecast",((SUM(BB24:BM24)*1.1)/12),'Dept. Cost Actuals'!BR43)</f>
        <v>6661.6970531144943</v>
      </c>
      <c r="BO24" s="684">
        <f>IF(BO$4="forecast",((SUM(BC24:BN24)*1.1)/12),'Dept. Cost Actuals'!BS43)</f>
        <v>6761.2741129102506</v>
      </c>
      <c r="BP24" s="684">
        <f>IF(BP$4="forecast",((SUM(BD24:BO24)*1.1)/12),'Dept. Cost Actuals'!BT43)</f>
        <v>6862.6428690447065</v>
      </c>
      <c r="BQ24" s="684">
        <f>IF(BQ$4="forecast",((SUM(BE24:BP24)*1.1)/12),'Dept. Cost Actuals'!BU43)</f>
        <v>6965.7120424094855</v>
      </c>
      <c r="BR24" s="684">
        <f>IF(BR$4="forecast",((SUM(BF24:BQ24)*1.1)/12),'Dept. Cost Actuals'!BV43)</f>
        <v>7070.3967861541823</v>
      </c>
      <c r="BS24" s="684">
        <f>IF(BS$4="forecast",((SUM(BG24:BR24)*1.1)/12),'Dept. Cost Actuals'!BW43)</f>
        <v>7176.6241356138953</v>
      </c>
      <c r="BT24" s="684">
        <f>IF(BT$4="forecast",((SUM(BH24:BS24)*1.1)/12),'Dept. Cost Actuals'!BX43)</f>
        <v>7284.3397245121669</v>
      </c>
      <c r="BU24" s="684">
        <f>IF(BU$4="forecast",((SUM(BI24:BT24)*1.1)/12),'Dept. Cost Actuals'!BY43)</f>
        <v>7393.5159832359759</v>
      </c>
      <c r="BV24" s="808">
        <f>IF(BV$4="forecast",((SUM(BJ24:BU24)*1.1)/12),'Dept. Cost Actuals'!BZ43)</f>
        <v>7504.1620666005838</v>
      </c>
    </row>
    <row r="25" spans="2:74" x14ac:dyDescent="0.35">
      <c r="B25" s="812" t="s">
        <v>1082</v>
      </c>
      <c r="C25" s="684">
        <f>IF(C$4="forecast",(AVERAGE(#REF!)),'Dept. Cost Actuals'!G272)</f>
        <v>0</v>
      </c>
      <c r="D25" s="684">
        <f>IF(D$4="forecast",(AVERAGE(#REF!)),'Dept. Cost Actuals'!H272)</f>
        <v>17</v>
      </c>
      <c r="E25" s="684">
        <f>IF(E$4="forecast",(AVERAGE(#REF!)),'Dept. Cost Actuals'!I272)</f>
        <v>45</v>
      </c>
      <c r="F25" s="684">
        <f>IF(F$4="forecast",(AVERAGE(#REF!)),'Dept. Cost Actuals'!J272)</f>
        <v>0</v>
      </c>
      <c r="G25" s="684">
        <f>IF(G$4="forecast",(AVERAGE(#REF!)),'Dept. Cost Actuals'!K272)</f>
        <v>0</v>
      </c>
      <c r="H25" s="684">
        <f>IF(H$4="forecast",(AVERAGE(#REF!)),'Dept. Cost Actuals'!L272)</f>
        <v>0</v>
      </c>
      <c r="I25" s="684">
        <f>IF(I$4="forecast",(AVERAGE(#REF!)),'Dept. Cost Actuals'!M272)</f>
        <v>0</v>
      </c>
      <c r="J25" s="684">
        <f>IF(J$4="forecast",(AVERAGE(#REF!)),'Dept. Cost Actuals'!N272)</f>
        <v>0</v>
      </c>
      <c r="K25" s="684">
        <f>IF(K$4="forecast",(AVERAGE(#REF!)),'Dept. Cost Actuals'!O272)</f>
        <v>0</v>
      </c>
      <c r="L25" s="684">
        <f>IF(L$4="forecast",(AVERAGE(#REF!)),'Dept. Cost Actuals'!P272)</f>
        <v>0</v>
      </c>
      <c r="M25" s="684">
        <f>IF(M$4="forecast",(AVERAGE(A25:L25)),'Dept. Cost Actuals'!Q272)</f>
        <v>0</v>
      </c>
      <c r="N25" s="684">
        <f>IF(N$4="forecast",(AVERAGE(B25:M25)),'Dept. Cost Actuals'!R272)</f>
        <v>0</v>
      </c>
      <c r="O25" s="684">
        <f>IF(O$4="forecast",(AVERAGE(C25:N25)),'Dept. Cost Actuals'!S272)</f>
        <v>74</v>
      </c>
      <c r="P25" s="684">
        <f>IF(P$4="forecast",(AVERAGE(D25:O25)),'Dept. Cost Actuals'!T272)</f>
        <v>1450.5</v>
      </c>
      <c r="Q25" s="684">
        <f>IF(Q$4="forecast",(AVERAGE(E25:P25)),'Dept. Cost Actuals'!U272)</f>
        <v>222</v>
      </c>
      <c r="R25" s="684">
        <f>IF(R$4="forecast",(AVERAGE(F25:Q25)),'Dept. Cost Actuals'!V272)</f>
        <v>154</v>
      </c>
      <c r="S25" s="684">
        <f>IF(S$4="forecast",(AVERAGE(G25:R25)),'Dept. Cost Actuals'!W272)</f>
        <v>168</v>
      </c>
      <c r="T25" s="684">
        <f>IF(T$4="forecast",(AVERAGE(H25:S25)),'Dept. Cost Actuals'!X272)</f>
        <v>128</v>
      </c>
      <c r="U25" s="684">
        <f>IF(U$4="forecast",(AVERAGE(I25:T25)),'Dept. Cost Actuals'!Y272)</f>
        <v>141</v>
      </c>
      <c r="V25" s="684">
        <f>IF(V$4="forecast",(AVERAGE(J25:U25)),'Dept. Cost Actuals'!Z272)</f>
        <v>196</v>
      </c>
      <c r="W25" s="684">
        <f>IF(W$4="forecast",(AVERAGE(K25:V25)),'Dept. Cost Actuals'!AA272)</f>
        <v>231</v>
      </c>
      <c r="X25" s="684">
        <f>IF(X$4="forecast",(AVERAGE(L25:W25)),'Dept. Cost Actuals'!AB272)</f>
        <v>0</v>
      </c>
      <c r="Y25" s="684">
        <f>IF(Y$4="forecast",(AVERAGE(M25:X25)),'Dept. Cost Actuals'!AC272)</f>
        <v>28</v>
      </c>
      <c r="Z25" s="684">
        <f>IF(Z$4="forecast",(AVERAGE(N25:Y25)),'Dept. Cost Actuals'!AD272)</f>
        <v>55.5</v>
      </c>
      <c r="AA25" s="684">
        <f>IF(AA$4="forecast",(SUM($O$25:$Z$25)/12),'Dept. Cost Actuals'!AE272)</f>
        <v>237.33333333333334</v>
      </c>
      <c r="AB25" s="684">
        <f>IF(AB$4="forecast",(SUM($O$25:$Z$25)/12),'Dept. Cost Actuals'!AF272)</f>
        <v>237.33333333333334</v>
      </c>
      <c r="AC25" s="684">
        <f>IF(AC$4="forecast",(SUM($O$25:$Z$25)/12),'Dept. Cost Actuals'!AG272)</f>
        <v>237.33333333333334</v>
      </c>
      <c r="AD25" s="684">
        <f>IF(AD$4="forecast",(SUM($O$25:$Z$25)/12),'Dept. Cost Actuals'!AH272)</f>
        <v>237.33333333333334</v>
      </c>
      <c r="AE25" s="684">
        <f>IF(AE$4="forecast",(SUM($O$25:$Z$25)/12),'Dept. Cost Actuals'!AI272)</f>
        <v>237.33333333333334</v>
      </c>
      <c r="AF25" s="684">
        <f>IF(AF$4="forecast",(SUM($O$25:$Z$25)/12),'Dept. Cost Actuals'!AJ272)</f>
        <v>237.33333333333334</v>
      </c>
      <c r="AG25" s="684">
        <f>IF(AG$4="forecast",(SUM($O$25:$Z$25)/12),'Dept. Cost Actuals'!AK272)</f>
        <v>237.33333333333334</v>
      </c>
      <c r="AH25" s="684">
        <f>IF(AH$4="forecast",(SUM($O$25:$Z$25)/12),'Dept. Cost Actuals'!AL272)</f>
        <v>237.33333333333334</v>
      </c>
      <c r="AI25" s="684">
        <f>IF(AI$4="forecast",(SUM($O$25:$Z$25)/12),'Dept. Cost Actuals'!AM272)</f>
        <v>237.33333333333334</v>
      </c>
      <c r="AJ25" s="684">
        <f>IF(AJ$4="forecast",(SUM($O$25:$Z$25)/12),'Dept. Cost Actuals'!AN272)</f>
        <v>237.33333333333334</v>
      </c>
      <c r="AK25" s="684">
        <f>IF(AK$4="forecast",(SUM($O$25:$Z$25)/12),'Dept. Cost Actuals'!AO272)</f>
        <v>237.33333333333334</v>
      </c>
      <c r="AL25" s="684">
        <f>IF(AL$4="forecast",(SUM($O$25:$Z$25)/12),'Dept. Cost Actuals'!AP272)</f>
        <v>237.33333333333334</v>
      </c>
      <c r="AM25" s="684">
        <f>IF(AM$4="forecast",(AVERAGE(AA25:AL25)),'Dept. Cost Actuals'!AQ272)</f>
        <v>237.33333333333337</v>
      </c>
      <c r="AN25" s="684">
        <f>IF(AN$4="forecast",(AVERAGE(AB25:AM25)),'Dept. Cost Actuals'!AR272)</f>
        <v>237.33333333333337</v>
      </c>
      <c r="AO25" s="684">
        <f>IF(AO$4="forecast",(AVERAGE(AC25:AN25)),'Dept. Cost Actuals'!AS272)</f>
        <v>237.33333333333337</v>
      </c>
      <c r="AP25" s="684">
        <f>IF(AP$4="forecast",(AVERAGE(AD25:AO25)),'Dept. Cost Actuals'!AT272)</f>
        <v>237.33333333333337</v>
      </c>
      <c r="AQ25" s="684">
        <f>IF(AQ$4="forecast",(AVERAGE(AE25:AP25)),'Dept. Cost Actuals'!AU272)</f>
        <v>237.33333333333337</v>
      </c>
      <c r="AR25" s="684">
        <f>IF(AR$4="forecast",(AVERAGE(AF25:AQ25)),'Dept. Cost Actuals'!AV272)</f>
        <v>237.33333333333337</v>
      </c>
      <c r="AS25" s="684">
        <f>IF(AS$4="forecast",(AVERAGE(AG25:AR25)),'Dept. Cost Actuals'!AW272)</f>
        <v>237.3333333333334</v>
      </c>
      <c r="AT25" s="684">
        <f>IF(AT$4="forecast",(AVERAGE(AH25:AS25)),'Dept. Cost Actuals'!AX272)</f>
        <v>237.3333333333334</v>
      </c>
      <c r="AU25" s="684">
        <f>IF(AU$4="forecast",(AVERAGE(AI25:AT25)),'Dept. Cost Actuals'!AY272)</f>
        <v>237.3333333333334</v>
      </c>
      <c r="AV25" s="684">
        <f>IF(AV$4="forecast",(AVERAGE(AJ25:AU25)),'Dept. Cost Actuals'!AZ272)</f>
        <v>237.3333333333334</v>
      </c>
      <c r="AW25" s="684">
        <f>IF(AW$4="forecast",(AVERAGE(AK25:AV25)),'Dept. Cost Actuals'!BA272)</f>
        <v>237.3333333333334</v>
      </c>
      <c r="AX25" s="684">
        <f>IF(AX$4="forecast",(AVERAGE(AL25:AW25)),'Dept. Cost Actuals'!BB272)</f>
        <v>237.33333333333346</v>
      </c>
      <c r="AY25" s="684">
        <f>IF(AY$4="forecast",(AVERAGE(AM25:AX25)),'Dept. Cost Actuals'!BC272)</f>
        <v>237.33333333333346</v>
      </c>
      <c r="AZ25" s="684">
        <f>IF(AZ$4="forecast",(AVERAGE(AN25:AY25)),'Dept. Cost Actuals'!BD272)</f>
        <v>237.33333333333346</v>
      </c>
      <c r="BA25" s="684">
        <f>IF(BA$4="forecast",(AVERAGE(AO25:AZ25)),'Dept. Cost Actuals'!BE272)</f>
        <v>237.33333333333346</v>
      </c>
      <c r="BB25" s="684">
        <f>IF(BB$4="forecast",(AVERAGE(AP25:BA25)),'Dept. Cost Actuals'!BF272)</f>
        <v>237.33333333333346</v>
      </c>
      <c r="BC25" s="684">
        <f>IF(BC$4="forecast",(AVERAGE(AQ25:BB25)),'Dept. Cost Actuals'!BG272)</f>
        <v>237.33333333333346</v>
      </c>
      <c r="BD25" s="684">
        <f>IF(BD$4="forecast",(AVERAGE(AR25:BC25)),'Dept. Cost Actuals'!BH272)</f>
        <v>237.33333333333346</v>
      </c>
      <c r="BE25" s="684">
        <f>IF(BE$4="forecast",(AVERAGE(AS25:BD25)),'Dept. Cost Actuals'!BI272)</f>
        <v>237.33333333333346</v>
      </c>
      <c r="BF25" s="684">
        <f>IF(BF$4="forecast",(AVERAGE(AT25:BE25)),'Dept. Cost Actuals'!BJ272)</f>
        <v>237.33333333333346</v>
      </c>
      <c r="BG25" s="684">
        <f>IF(BG$4="forecast",(AVERAGE(AU25:BF25)),'Dept. Cost Actuals'!BK272)</f>
        <v>237.33333333333346</v>
      </c>
      <c r="BH25" s="684">
        <f>IF(BH$4="forecast",(AVERAGE(AV25:BG25)),'Dept. Cost Actuals'!BL272)</f>
        <v>237.33333333333346</v>
      </c>
      <c r="BI25" s="684">
        <f>IF(BI$4="forecast",(AVERAGE(AW25:BH25)),'Dept. Cost Actuals'!BM272)</f>
        <v>237.33333333333346</v>
      </c>
      <c r="BJ25" s="684">
        <f>IF(BJ$4="forecast",(AVERAGE(AX25:BI25)),'Dept. Cost Actuals'!BN272)</f>
        <v>237.33333333333346</v>
      </c>
      <c r="BK25" s="684">
        <f>IF(BK$4="forecast",(AVERAGE(AY25:BJ25)),'Dept. Cost Actuals'!BO272)</f>
        <v>237.33333333333346</v>
      </c>
      <c r="BL25" s="684">
        <f>IF(BL$4="forecast",(AVERAGE(AZ25:BK25)),'Dept. Cost Actuals'!BP272)</f>
        <v>237.33333333333346</v>
      </c>
      <c r="BM25" s="684">
        <f>IF(BM$4="forecast",(AVERAGE(BA25:BL25)),'Dept. Cost Actuals'!BQ272)</f>
        <v>237.33333333333346</v>
      </c>
      <c r="BN25" s="684">
        <f>IF(BN$4="forecast",(AVERAGE(BB25:BM25)),'Dept. Cost Actuals'!BR272)</f>
        <v>237.33333333333346</v>
      </c>
      <c r="BO25" s="684">
        <f>IF(BO$4="forecast",(AVERAGE(BC25:BN25)),'Dept. Cost Actuals'!BS272)</f>
        <v>237.33333333333346</v>
      </c>
      <c r="BP25" s="684">
        <f>IF(BP$4="forecast",(AVERAGE(BD25:BO25)),'Dept. Cost Actuals'!BT272)</f>
        <v>237.33333333333346</v>
      </c>
      <c r="BQ25" s="684">
        <f>IF(BQ$4="forecast",(AVERAGE(BE25:BP25)),'Dept. Cost Actuals'!BU272)</f>
        <v>237.33333333333346</v>
      </c>
      <c r="BR25" s="684">
        <f>IF(BR$4="forecast",(AVERAGE(BF25:BQ25)),'Dept. Cost Actuals'!BV272)</f>
        <v>237.33333333333346</v>
      </c>
      <c r="BS25" s="684">
        <f>IF(BS$4="forecast",(AVERAGE(BG25:BR25)),'Dept. Cost Actuals'!BW272)</f>
        <v>237.33333333333346</v>
      </c>
      <c r="BT25" s="684">
        <f>IF(BT$4="forecast",(AVERAGE(BH25:BS25)),'Dept. Cost Actuals'!BX272)</f>
        <v>237.33333333333346</v>
      </c>
      <c r="BU25" s="684">
        <f>IF(BU$4="forecast",(AVERAGE(BI25:BT25)),'Dept. Cost Actuals'!BY272)</f>
        <v>237.33333333333346</v>
      </c>
      <c r="BV25" s="684">
        <f>IF(BV$4="forecast",(AVERAGE(BJ25:BU25)),'Dept. Cost Actuals'!BZ272)</f>
        <v>237.33333333333346</v>
      </c>
    </row>
    <row r="26" spans="2:74" x14ac:dyDescent="0.35">
      <c r="B26" s="813" t="s">
        <v>944</v>
      </c>
      <c r="C26" s="814">
        <f>SUM(C17:C25,C14)</f>
        <v>30290.208426115423</v>
      </c>
      <c r="D26" s="814">
        <f t="shared" ref="D26:BO26" si="7">SUM(D17:D25,D14)</f>
        <v>27682.751222128874</v>
      </c>
      <c r="E26" s="814">
        <f t="shared" si="7"/>
        <v>30065.473686862522</v>
      </c>
      <c r="F26" s="814">
        <f t="shared" si="7"/>
        <v>33183.661949921909</v>
      </c>
      <c r="G26" s="814">
        <f t="shared" si="7"/>
        <v>33772.776911270368</v>
      </c>
      <c r="H26" s="814">
        <f t="shared" si="7"/>
        <v>36724.699855286897</v>
      </c>
      <c r="I26" s="814">
        <f t="shared" si="7"/>
        <v>23848.469756992803</v>
      </c>
      <c r="J26" s="814">
        <f t="shared" si="7"/>
        <v>31193.643815968739</v>
      </c>
      <c r="K26" s="814">
        <f t="shared" si="7"/>
        <v>23592.353471398779</v>
      </c>
      <c r="L26" s="814">
        <f t="shared" si="7"/>
        <v>24083.184131573616</v>
      </c>
      <c r="M26" s="814">
        <f t="shared" si="7"/>
        <v>30993.47526594888</v>
      </c>
      <c r="N26" s="814">
        <f t="shared" si="7"/>
        <v>35704.466905997608</v>
      </c>
      <c r="O26" s="814">
        <f t="shared" si="7"/>
        <v>39310.03</v>
      </c>
      <c r="P26" s="814">
        <f t="shared" si="7"/>
        <v>24935.919999999998</v>
      </c>
      <c r="Q26" s="814">
        <f t="shared" si="7"/>
        <v>39655.360000000001</v>
      </c>
      <c r="R26" s="814">
        <f t="shared" si="7"/>
        <v>25238.059999999998</v>
      </c>
      <c r="S26" s="814">
        <f t="shared" si="7"/>
        <v>34074.14</v>
      </c>
      <c r="T26" s="814">
        <f t="shared" si="7"/>
        <v>34628.239999999998</v>
      </c>
      <c r="U26" s="814">
        <f t="shared" si="7"/>
        <v>38805.509999999995</v>
      </c>
      <c r="V26" s="814">
        <f t="shared" si="7"/>
        <v>37688.36</v>
      </c>
      <c r="W26" s="814">
        <f t="shared" si="7"/>
        <v>44374.74</v>
      </c>
      <c r="X26" s="814">
        <f t="shared" si="7"/>
        <v>50533.38</v>
      </c>
      <c r="Y26" s="814">
        <f t="shared" si="7"/>
        <v>40699.910000000003</v>
      </c>
      <c r="Z26" s="814">
        <f t="shared" si="7"/>
        <v>40196</v>
      </c>
      <c r="AA26" s="814">
        <f t="shared" si="7"/>
        <v>44765.868791666668</v>
      </c>
      <c r="AB26" s="814">
        <f t="shared" si="7"/>
        <v>69657.208791666664</v>
      </c>
      <c r="AC26" s="814">
        <f t="shared" si="7"/>
        <v>73857.208791666664</v>
      </c>
      <c r="AD26" s="814">
        <f t="shared" si="7"/>
        <v>85157.208791666664</v>
      </c>
      <c r="AE26" s="814">
        <f t="shared" si="7"/>
        <v>80557.208791666664</v>
      </c>
      <c r="AF26" s="814">
        <f t="shared" si="7"/>
        <v>90607.208791666664</v>
      </c>
      <c r="AG26" s="814">
        <f t="shared" si="7"/>
        <v>86007.208791666664</v>
      </c>
      <c r="AH26" s="814">
        <f t="shared" si="7"/>
        <v>86007.208791666664</v>
      </c>
      <c r="AI26" s="814">
        <f t="shared" si="7"/>
        <v>86007.208791666664</v>
      </c>
      <c r="AJ26" s="814">
        <f t="shared" si="7"/>
        <v>86007.208791666664</v>
      </c>
      <c r="AK26" s="814">
        <f t="shared" si="7"/>
        <v>86007.208791666664</v>
      </c>
      <c r="AL26" s="814">
        <f t="shared" si="7"/>
        <v>267519.70879166666</v>
      </c>
      <c r="AM26" s="814">
        <f t="shared" si="7"/>
        <v>86968.623427361104</v>
      </c>
      <c r="AN26" s="814">
        <f t="shared" si="7"/>
        <v>88674.71728493055</v>
      </c>
      <c r="AO26" s="814">
        <f t="shared" si="7"/>
        <v>89039.735776203117</v>
      </c>
      <c r="AP26" s="814">
        <f t="shared" si="7"/>
        <v>89085.519465595426</v>
      </c>
      <c r="AQ26" s="814">
        <f t="shared" si="7"/>
        <v>89135.497260414544</v>
      </c>
      <c r="AR26" s="814">
        <f t="shared" si="7"/>
        <v>89190.053392593953</v>
      </c>
      <c r="AS26" s="814">
        <f t="shared" si="7"/>
        <v>89249.607296350208</v>
      </c>
      <c r="AT26" s="814">
        <f t="shared" si="7"/>
        <v>89314.616833477281</v>
      </c>
      <c r="AU26" s="814">
        <f t="shared" si="7"/>
        <v>89385.581814161415</v>
      </c>
      <c r="AV26" s="814">
        <f t="shared" si="7"/>
        <v>89463.04784039424</v>
      </c>
      <c r="AW26" s="814">
        <f t="shared" si="7"/>
        <v>89547.610501544332</v>
      </c>
      <c r="AX26" s="814">
        <f t="shared" si="7"/>
        <v>275979.79495435517</v>
      </c>
      <c r="AY26" s="814">
        <f t="shared" si="7"/>
        <v>86816.117070233566</v>
      </c>
      <c r="AZ26" s="814">
        <f t="shared" si="7"/>
        <v>88709.933986545613</v>
      </c>
      <c r="BA26" s="814">
        <f t="shared" si="7"/>
        <v>88808.599811142762</v>
      </c>
      <c r="BB26" s="814">
        <f t="shared" si="7"/>
        <v>88885.340489585273</v>
      </c>
      <c r="BC26" s="814">
        <f t="shared" si="7"/>
        <v>88964.924852415017</v>
      </c>
      <c r="BD26" s="814">
        <f t="shared" si="7"/>
        <v>89047.229835466555</v>
      </c>
      <c r="BE26" s="814">
        <f t="shared" si="7"/>
        <v>89132.085951778776</v>
      </c>
      <c r="BF26" s="814">
        <f t="shared" si="7"/>
        <v>89219.269817489665</v>
      </c>
      <c r="BG26" s="814">
        <f t="shared" si="7"/>
        <v>89308.495697767459</v>
      </c>
      <c r="BH26" s="814">
        <f t="shared" si="7"/>
        <v>89399.405955937444</v>
      </c>
      <c r="BI26" s="814">
        <f t="shared" si="7"/>
        <v>89491.560275779193</v>
      </c>
      <c r="BJ26" s="814">
        <f t="shared" si="7"/>
        <v>281514.49476234778</v>
      </c>
      <c r="BK26" s="814">
        <f t="shared" si="7"/>
        <v>90061.928260465356</v>
      </c>
      <c r="BL26" s="814">
        <f t="shared" si="7"/>
        <v>92019.206034980321</v>
      </c>
      <c r="BM26" s="814">
        <f t="shared" si="7"/>
        <v>92116.558310274573</v>
      </c>
      <c r="BN26" s="814">
        <f t="shared" si="7"/>
        <v>92213.98084857603</v>
      </c>
      <c r="BO26" s="814">
        <f t="shared" si="7"/>
        <v>92313.298242119185</v>
      </c>
      <c r="BP26" s="814">
        <f t="shared" ref="BP26:BV26" si="8">SUM(BP17:BP25,BP14)</f>
        <v>92414.422936373798</v>
      </c>
      <c r="BQ26" s="814">
        <f t="shared" si="8"/>
        <v>92517.27052327992</v>
      </c>
      <c r="BR26" s="814">
        <f t="shared" si="8"/>
        <v>92621.764269436724</v>
      </c>
      <c r="BS26" s="814">
        <f t="shared" si="8"/>
        <v>92727.840742513887</v>
      </c>
      <c r="BT26" s="814">
        <f t="shared" si="8"/>
        <v>92835.456726152071</v>
      </c>
      <c r="BU26" s="814">
        <f t="shared" si="8"/>
        <v>92944.597641745218</v>
      </c>
      <c r="BV26" s="815">
        <f t="shared" si="8"/>
        <v>290743.26111490617</v>
      </c>
    </row>
    <row r="27" spans="2:74" x14ac:dyDescent="0.35">
      <c r="B27" s="800"/>
      <c r="C27" s="157"/>
      <c r="D27" s="157"/>
      <c r="E27" s="157"/>
      <c r="F27" s="157"/>
      <c r="G27" s="157"/>
      <c r="H27" s="157"/>
      <c r="I27" s="157"/>
      <c r="J27" s="157"/>
      <c r="K27" s="157"/>
      <c r="L27" s="157"/>
      <c r="M27" s="157"/>
      <c r="N27" s="157"/>
      <c r="O27" s="157"/>
      <c r="P27" s="157"/>
      <c r="Q27" s="157"/>
      <c r="R27" s="157"/>
      <c r="S27" s="157"/>
      <c r="T27" s="157"/>
      <c r="U27" s="157"/>
      <c r="V27" s="157"/>
      <c r="W27" s="157"/>
      <c r="X27" s="157"/>
      <c r="Y27" s="157"/>
      <c r="Z27" s="157"/>
      <c r="AA27" s="157"/>
      <c r="AB27" s="157"/>
      <c r="AC27" s="157"/>
      <c r="AD27" s="157"/>
      <c r="AE27" s="157"/>
      <c r="AF27" s="157"/>
      <c r="AG27" s="157"/>
      <c r="AH27" s="157"/>
      <c r="AI27" s="157"/>
      <c r="AJ27" s="157"/>
      <c r="AK27" s="157"/>
      <c r="AL27" s="157"/>
      <c r="AM27" s="157"/>
      <c r="AN27" s="157"/>
      <c r="AO27" s="157"/>
      <c r="AP27" s="157"/>
      <c r="AQ27" s="157"/>
      <c r="AR27" s="157"/>
      <c r="AS27" s="157"/>
      <c r="AT27" s="157"/>
      <c r="AU27" s="157"/>
      <c r="AV27" s="157"/>
      <c r="AW27" s="157"/>
      <c r="AX27" s="157"/>
      <c r="AY27" s="157"/>
      <c r="AZ27" s="157"/>
      <c r="BA27" s="157"/>
      <c r="BB27" s="157"/>
      <c r="BC27" s="157"/>
      <c r="BD27" s="157"/>
      <c r="BE27" s="157"/>
      <c r="BF27" s="157"/>
      <c r="BG27" s="157"/>
      <c r="BH27" s="157"/>
      <c r="BI27" s="157"/>
      <c r="BJ27" s="157"/>
      <c r="BK27" s="157"/>
      <c r="BL27" s="157"/>
      <c r="BM27" s="157"/>
      <c r="BN27" s="157"/>
      <c r="BO27" s="157"/>
      <c r="BP27" s="157"/>
      <c r="BQ27" s="157"/>
      <c r="BR27" s="157"/>
      <c r="BS27" s="157"/>
      <c r="BT27" s="157"/>
      <c r="BU27" s="157"/>
      <c r="BV27" s="801"/>
    </row>
    <row r="28" spans="2:74" x14ac:dyDescent="0.35">
      <c r="B28" s="802" t="s">
        <v>945</v>
      </c>
      <c r="C28" s="803"/>
      <c r="D28" s="803"/>
      <c r="E28" s="803"/>
      <c r="F28" s="803"/>
      <c r="G28" s="803"/>
      <c r="H28" s="803"/>
      <c r="I28" s="803"/>
      <c r="J28" s="803"/>
      <c r="K28" s="803"/>
      <c r="L28" s="803"/>
      <c r="M28" s="803"/>
      <c r="N28" s="803"/>
      <c r="O28" s="804"/>
      <c r="P28" s="804"/>
      <c r="Q28" s="804"/>
      <c r="R28" s="804"/>
      <c r="S28" s="804"/>
      <c r="T28" s="804"/>
      <c r="U28" s="804"/>
      <c r="V28" s="804"/>
      <c r="W28" s="804"/>
      <c r="X28" s="804"/>
      <c r="Y28" s="804"/>
      <c r="Z28" s="804"/>
      <c r="AA28" s="804"/>
      <c r="AB28" s="804"/>
      <c r="AC28" s="804"/>
      <c r="AD28" s="804"/>
      <c r="AE28" s="804"/>
      <c r="AF28" s="804"/>
      <c r="AG28" s="804"/>
      <c r="AH28" s="804"/>
      <c r="AI28" s="804"/>
      <c r="AJ28" s="804"/>
      <c r="AK28" s="804"/>
      <c r="AL28" s="804"/>
      <c r="AM28" s="804"/>
      <c r="AN28" s="804"/>
      <c r="AO28" s="804"/>
      <c r="AP28" s="804"/>
      <c r="AQ28" s="804"/>
      <c r="AR28" s="804"/>
      <c r="AS28" s="804"/>
      <c r="AT28" s="804"/>
      <c r="AU28" s="804"/>
      <c r="AV28" s="804"/>
      <c r="AW28" s="804"/>
      <c r="AX28" s="804"/>
      <c r="AY28" s="804"/>
      <c r="AZ28" s="804"/>
      <c r="BA28" s="804"/>
      <c r="BB28" s="804"/>
      <c r="BC28" s="804"/>
      <c r="BD28" s="804"/>
      <c r="BE28" s="804"/>
      <c r="BF28" s="804"/>
      <c r="BG28" s="804"/>
      <c r="BH28" s="804"/>
      <c r="BI28" s="804"/>
      <c r="BJ28" s="804"/>
      <c r="BK28" s="804"/>
      <c r="BL28" s="804"/>
      <c r="BM28" s="804"/>
      <c r="BN28" s="804"/>
      <c r="BO28" s="804"/>
      <c r="BP28" s="804"/>
      <c r="BQ28" s="804"/>
      <c r="BR28" s="804"/>
      <c r="BS28" s="804"/>
      <c r="BT28" s="804"/>
      <c r="BU28" s="804"/>
      <c r="BV28" s="805"/>
    </row>
    <row r="29" spans="2:74" x14ac:dyDescent="0.35">
      <c r="B29" s="811" t="s">
        <v>946</v>
      </c>
      <c r="C29" s="684">
        <f>IF(C$4="forecast",(AVERAGE(#REF!)),'Dept. Cost Actuals'!G267-'Dept. Cost Actuals'!G265)</f>
        <v>0</v>
      </c>
      <c r="D29" s="684">
        <f>IF(D$4="forecast",(AVERAGE(#REF!)),'Dept. Cost Actuals'!H267-'Dept. Cost Actuals'!H265)</f>
        <v>58.900303097221951</v>
      </c>
      <c r="E29" s="684">
        <f>IF(E$4="forecast",(AVERAGE(#REF!)),'Dept. Cost Actuals'!I267-'Dept. Cost Actuals'!I265)</f>
        <v>0</v>
      </c>
      <c r="F29" s="684">
        <f>IF(F$4="forecast",(AVERAGE(#REF!)),'Dept. Cost Actuals'!J267-'Dept. Cost Actuals'!J265)</f>
        <v>81.423235224850799</v>
      </c>
      <c r="G29" s="684">
        <f>IF(G$4="forecast",(AVERAGE(#REF!)),'Dept. Cost Actuals'!K267-'Dept. Cost Actuals'!K265)</f>
        <v>79.588055575533232</v>
      </c>
      <c r="H29" s="684">
        <f>IF(H$4="forecast",(AVERAGE(#REF!)),'Dept. Cost Actuals'!L267-'Dept. Cost Actuals'!L265)</f>
        <v>600.7981519619716</v>
      </c>
      <c r="I29" s="684">
        <f>IF(I$4="forecast",(AVERAGE(#REF!)),'Dept. Cost Actuals'!M267-'Dept. Cost Actuals'!M265)</f>
        <v>957.17246009714677</v>
      </c>
      <c r="J29" s="684">
        <f>IF(J$4="forecast",(AVERAGE(#REF!)),'Dept. Cost Actuals'!N267-'Dept. Cost Actuals'!N265)</f>
        <v>1232.4185712969356</v>
      </c>
      <c r="K29" s="684">
        <f>IF(K$4="forecast",(AVERAGE(#REF!)),'Dept. Cost Actuals'!O267-'Dept. Cost Actuals'!O265)</f>
        <v>1143.82959355764</v>
      </c>
      <c r="L29" s="684">
        <f>IF(L$4="forecast",(AVERAGE(#REF!)),'Dept. Cost Actuals'!P267-'Dept. Cost Actuals'!P265)</f>
        <v>314.83094986976101</v>
      </c>
      <c r="M29" s="684">
        <f>IF(M$4="forecast",(AVERAGE(A29:L29)),'Dept. Cost Actuals'!Q267-'Dept. Cost Actuals'!Q265)</f>
        <v>1335.3510364063306</v>
      </c>
      <c r="N29" s="684">
        <f>IF(N$4="forecast",(AVERAGE(B29:M29)),'Dept. Cost Actuals'!R267-'Dept. Cost Actuals'!R265)</f>
        <v>5515.8588502170451</v>
      </c>
      <c r="O29" s="684">
        <f>IF(O$4="forecast",(AVERAGE(C29:N29)),'Dept. Cost Actuals'!S267-'Dept. Cost Actuals'!S265)</f>
        <v>6539.5</v>
      </c>
      <c r="P29" s="684">
        <f>IF(P$4="forecast",(AVERAGE(D29:O29)),'Dept. Cost Actuals'!T267-'Dept. Cost Actuals'!T265)</f>
        <v>16210.5</v>
      </c>
      <c r="Q29" s="684">
        <f>IF(Q$4="forecast",(AVERAGE(E29:P29)),'Dept. Cost Actuals'!U267-'Dept. Cost Actuals'!U265)</f>
        <v>6004</v>
      </c>
      <c r="R29" s="684">
        <f>IF(R$4="forecast",(AVERAGE(F29:Q29)),'Dept. Cost Actuals'!V267-'Dept. Cost Actuals'!V265)</f>
        <v>28507</v>
      </c>
      <c r="S29" s="684">
        <f>IF(S$4="forecast",(AVERAGE(G29:R29)),'Dept. Cost Actuals'!W267-'Dept. Cost Actuals'!W265)</f>
        <v>7905</v>
      </c>
      <c r="T29" s="684">
        <f>IF(T$4="forecast",(AVERAGE(H29:S29)),'Dept. Cost Actuals'!X267-'Dept. Cost Actuals'!X265)</f>
        <v>15938</v>
      </c>
      <c r="U29" s="684">
        <f>IF(U$4="forecast",(AVERAGE(I29:T29)),'Dept. Cost Actuals'!Y267-'Dept. Cost Actuals'!Y265)</f>
        <v>15934.5</v>
      </c>
      <c r="V29" s="684">
        <f>IF(V$4="forecast",(AVERAGE(J29:U29)),'Dept. Cost Actuals'!Z267-'Dept. Cost Actuals'!Z265)</f>
        <v>15637</v>
      </c>
      <c r="W29" s="684">
        <f>IF(W$4="forecast",(AVERAGE(K29:V29)),'Dept. Cost Actuals'!AA267-'Dept. Cost Actuals'!AA265)</f>
        <v>20647</v>
      </c>
      <c r="X29" s="684">
        <f>IF(X$4="forecast",(AVERAGE(L29:W29)),'Dept. Cost Actuals'!AB267-'Dept. Cost Actuals'!AB265)</f>
        <v>11638.5</v>
      </c>
      <c r="Y29" s="684">
        <f>IF(Y$4="forecast",(AVERAGE(M29:X29)),'Dept. Cost Actuals'!AC267-'Dept. Cost Actuals'!AC265)</f>
        <v>23509.25</v>
      </c>
      <c r="Z29" s="684">
        <f>IF(Z$4="forecast",(AVERAGE(N29:Y29)),'Dept. Cost Actuals'!AD267-'Dept. Cost Actuals'!AD265)</f>
        <v>10451</v>
      </c>
      <c r="AA29" s="684">
        <f>IF(AA$4="forecast",(SUMIFS(Planning_Mkt!D$5:D$133,Planning_Mkt!$B$5:$B$133,"Total Professional Service Fees")),'Dept. Cost Actuals'!AE267-'Dept. Cost Actuals'!AE265)</f>
        <v>0</v>
      </c>
      <c r="AB29" s="684">
        <f>IF(AB$4="forecast",(SUMIFS(Planning_Mkt!E$5:E$133,Planning_Mkt!$B$5:$B$133,"Total Professional Service Fees")),'Dept. Cost Actuals'!AF267-'Dept. Cost Actuals'!AF265)</f>
        <v>0</v>
      </c>
      <c r="AC29" s="684">
        <f>IF(AC$4="forecast",(SUMIFS(Planning_Mkt!F$5:F$133,Planning_Mkt!$B$5:$B$133,"Total Professional Service Fees")),'Dept. Cost Actuals'!AG267-'Dept. Cost Actuals'!AG265)</f>
        <v>16100</v>
      </c>
      <c r="AD29" s="684">
        <f>IF(AD$4="forecast",(SUMIFS(Planning_Mkt!G$5:G$133,Planning_Mkt!$B$5:$B$133,"Total Professional Service Fees")),'Dept. Cost Actuals'!AH267-'Dept. Cost Actuals'!AH265)</f>
        <v>16100</v>
      </c>
      <c r="AE29" s="684">
        <f>IF(AE$4="forecast",(SUMIFS(Planning_Mkt!H$5:H$133,Planning_Mkt!$B$5:$B$133,"Total Professional Service Fees")),'Dept. Cost Actuals'!AI267-'Dept. Cost Actuals'!AI265)</f>
        <v>16100</v>
      </c>
      <c r="AF29" s="684">
        <f>IF(AF$4="forecast",(SUMIFS(Planning_Mkt!I$5:I$133,Planning_Mkt!$B$5:$B$133,"Total Professional Service Fees")),'Dept. Cost Actuals'!AJ267-'Dept. Cost Actuals'!AJ265)</f>
        <v>16100</v>
      </c>
      <c r="AG29" s="684">
        <f>IF(AG$4="forecast",(SUMIFS(Planning_Mkt!J$5:J$133,Planning_Mkt!$B$5:$B$133,"Total Professional Service Fees")),'Dept. Cost Actuals'!AK267-'Dept. Cost Actuals'!AK265)</f>
        <v>16100</v>
      </c>
      <c r="AH29" s="684">
        <f>IF(AH$4="forecast",(SUMIFS(Planning_Mkt!K$5:K$133,Planning_Mkt!$B$5:$B$133,"Total Professional Service Fees")),'Dept. Cost Actuals'!AL267-'Dept. Cost Actuals'!AL265)</f>
        <v>16100</v>
      </c>
      <c r="AI29" s="684">
        <f>IF(AI$4="forecast",(SUMIFS(Planning_Mkt!L$5:L$133,Planning_Mkt!$B$5:$B$133,"Total Professional Service Fees")),'Dept. Cost Actuals'!AM267-'Dept. Cost Actuals'!AM265)</f>
        <v>16100</v>
      </c>
      <c r="AJ29" s="684">
        <f>IF(AJ$4="forecast",(SUMIFS(Planning_Mkt!M$5:M$133,Planning_Mkt!$B$5:$B$133,"Total Professional Service Fees")),'Dept. Cost Actuals'!AN267-'Dept. Cost Actuals'!AN265)</f>
        <v>16100</v>
      </c>
      <c r="AK29" s="684">
        <f>IF(AK$4="forecast",(SUMIFS(Planning_Mkt!N$5:N$133,Planning_Mkt!$B$5:$B$133,"Total Professional Service Fees")),'Dept. Cost Actuals'!AO267-'Dept. Cost Actuals'!AO265)</f>
        <v>16100</v>
      </c>
      <c r="AL29" s="684">
        <f>IF(AL$4="forecast",(SUMIFS(Planning_Mkt!O$5:O$133,Planning_Mkt!$B$5:$B$133,"Total Professional Service Fees")),'Dept. Cost Actuals'!AP267-'Dept. Cost Actuals'!AP265)</f>
        <v>16100</v>
      </c>
      <c r="AM29" s="684">
        <f>IF(AM$4="forecast",(AVERAGE(AA29:AL29)),'Dept. Cost Actuals'!AQ267-'Dept. Cost Actuals'!AQ265)</f>
        <v>13416.666666666666</v>
      </c>
      <c r="AN29" s="684">
        <f>IF(AN$4="forecast",(AVERAGE(AB29:AM29)),'Dept. Cost Actuals'!AR267-'Dept. Cost Actuals'!AR265)</f>
        <v>14534.722222222221</v>
      </c>
      <c r="AO29" s="684">
        <f>IF(AO$4="forecast",(AVERAGE(AC29:AN29)),'Dept. Cost Actuals'!AS267-'Dept. Cost Actuals'!AS265)</f>
        <v>15745.949074074073</v>
      </c>
      <c r="AP29" s="684">
        <f>IF(AP$4="forecast",(AVERAGE(AD29:AO29)),'Dept. Cost Actuals'!AT267-'Dept. Cost Actuals'!AT265)</f>
        <v>15716.444830246912</v>
      </c>
      <c r="AQ29" s="684">
        <f>IF(AQ$4="forecast",(AVERAGE(AE29:AP29)),'Dept. Cost Actuals'!AU267-'Dept. Cost Actuals'!AU265)</f>
        <v>15684.481899434155</v>
      </c>
      <c r="AR29" s="684">
        <f>IF(AR$4="forecast",(AVERAGE(AF29:AQ29)),'Dept. Cost Actuals'!AV267-'Dept. Cost Actuals'!AV265)</f>
        <v>15649.85539105367</v>
      </c>
      <c r="AS29" s="684">
        <f>IF(AS$4="forecast",(AVERAGE(AG29:AR29)),'Dept. Cost Actuals'!AW267-'Dept. Cost Actuals'!AW265)</f>
        <v>15612.343340308142</v>
      </c>
      <c r="AT29" s="684">
        <f>IF(AT$4="forecast",(AVERAGE(AH29:AS29)),'Dept. Cost Actuals'!AX267-'Dept. Cost Actuals'!AX265)</f>
        <v>15571.705285333819</v>
      </c>
      <c r="AU29" s="684">
        <f>IF(AU$4="forecast",(AVERAGE(AI29:AT29)),'Dept. Cost Actuals'!AY267-'Dept. Cost Actuals'!AY265)</f>
        <v>15527.680725778306</v>
      </c>
      <c r="AV29" s="684">
        <f>IF(AV$4="forecast",(AVERAGE(AJ29:AU29)),'Dept. Cost Actuals'!AZ267-'Dept. Cost Actuals'!AZ265)</f>
        <v>15479.987452926498</v>
      </c>
      <c r="AW29" s="684">
        <f>IF(AW$4="forecast",(AVERAGE(AK29:AV29)),'Dept. Cost Actuals'!BA267-'Dept. Cost Actuals'!BA265)</f>
        <v>15428.319740670369</v>
      </c>
      <c r="AX29" s="684">
        <f>IF(AX$4="forecast",(AVERAGE(AL29:AW29)),'Dept. Cost Actuals'!BB267-'Dept. Cost Actuals'!BB265)</f>
        <v>15372.346385726234</v>
      </c>
      <c r="AY29" s="684">
        <f>IF(AY$4="forecast",(AVERAGE(AM29:AX29)),'Dept. Cost Actuals'!BC267-'Dept. Cost Actuals'!BC265)</f>
        <v>15311.708584536755</v>
      </c>
      <c r="AZ29" s="684">
        <f>IF(AZ$4="forecast",(AVERAGE(AN29:AY29)),'Dept. Cost Actuals'!BD267-'Dept. Cost Actuals'!BD265)</f>
        <v>15469.628744359265</v>
      </c>
      <c r="BA29" s="684">
        <f>IF(BA$4="forecast",(AVERAGE(AO29:AZ29)),'Dept. Cost Actuals'!BE267-'Dept. Cost Actuals'!BE265)</f>
        <v>15547.537621204016</v>
      </c>
      <c r="BB29" s="684">
        <f>IF(BB$4="forecast",(AVERAGE(AP29:BA29)),'Dept. Cost Actuals'!BF267-'Dept. Cost Actuals'!BF265)</f>
        <v>15531.003333464847</v>
      </c>
      <c r="BC29" s="684">
        <f>IF(BC$4="forecast",(AVERAGE(AQ29:BB29)),'Dept. Cost Actuals'!BG267-'Dept. Cost Actuals'!BG265)</f>
        <v>15515.549875399674</v>
      </c>
      <c r="BD29" s="684">
        <f>IF(BD$4="forecast",(AVERAGE(AR29:BC29)),'Dept. Cost Actuals'!BH267-'Dept. Cost Actuals'!BH265)</f>
        <v>15501.472206730134</v>
      </c>
      <c r="BE29" s="684">
        <f>IF(BE$4="forecast",(AVERAGE(AS29:BD29)),'Dept. Cost Actuals'!BI267-'Dept. Cost Actuals'!BI265)</f>
        <v>15489.106941369841</v>
      </c>
      <c r="BF29" s="684">
        <f>IF(BF$4="forecast",(AVERAGE(AT29:BE29)),'Dept. Cost Actuals'!BJ267-'Dept. Cost Actuals'!BJ265)</f>
        <v>15478.837241458312</v>
      </c>
      <c r="BG29" s="684">
        <f>IF(BG$4="forecast",(AVERAGE(AU29:BF29)),'Dept. Cost Actuals'!BK267-'Dept. Cost Actuals'!BK265)</f>
        <v>15471.098237802018</v>
      </c>
      <c r="BH29" s="684">
        <f>IF(BH$4="forecast",(AVERAGE(AV29:BG29)),'Dept. Cost Actuals'!BL267-'Dept. Cost Actuals'!BL265)</f>
        <v>15466.383030470663</v>
      </c>
      <c r="BI29" s="684">
        <f>IF(BI$4="forecast",(AVERAGE(AW29:BH29)),'Dept. Cost Actuals'!BM267-'Dept. Cost Actuals'!BM265)</f>
        <v>15465.249328599342</v>
      </c>
      <c r="BJ29" s="684">
        <f>IF(BJ$4="forecast",(AVERAGE(AX29:BI29)),'Dept. Cost Actuals'!BN267-'Dept. Cost Actuals'!BN265)</f>
        <v>15468.326794260092</v>
      </c>
      <c r="BK29" s="684">
        <f>IF(BK$4="forecast",(AVERAGE(AY29:BJ29)),'Dept. Cost Actuals'!BO267-'Dept. Cost Actuals'!BO265)</f>
        <v>15476.325161637913</v>
      </c>
      <c r="BL29" s="684">
        <f>IF(BL$4="forecast",(AVERAGE(AZ29:BK29)),'Dept. Cost Actuals'!#REF!-'Dept. Cost Actuals'!#REF!)</f>
        <v>15490.043209729674</v>
      </c>
      <c r="BM29" s="684">
        <f>IF(BM$4="forecast",(AVERAGE(BA29:BL29)),'Dept. Cost Actuals'!#REF!-'Dept. Cost Actuals'!#REF!)</f>
        <v>15491.744415177212</v>
      </c>
      <c r="BN29" s="684">
        <f>IF(BN$4="forecast",(AVERAGE(BB29:BM29)),'Dept. Cost Actuals'!#REF!-'Dept. Cost Actuals'!#REF!)</f>
        <v>15487.094981341643</v>
      </c>
      <c r="BO29" s="684">
        <f>IF(BO$4="forecast",(AVERAGE(BC29:BN29)),'Dept. Cost Actuals'!#REF!-'Dept. Cost Actuals'!#REF!)</f>
        <v>15483.435951998044</v>
      </c>
      <c r="BP29" s="684">
        <f>IF(BP$4="forecast",(AVERAGE(BD29:BO29)),'Dept. Cost Actuals'!#REF!-'Dept. Cost Actuals'!#REF!)</f>
        <v>15480.759791714576</v>
      </c>
      <c r="BQ29" s="684">
        <f>IF(BQ$4="forecast",(AVERAGE(BE29:BP29)),'Dept. Cost Actuals'!#REF!-'Dept. Cost Actuals'!#REF!)</f>
        <v>15479.033757129946</v>
      </c>
      <c r="BR29" s="684">
        <f>IF(BR$4="forecast",(AVERAGE(BF29:BQ29)),'Dept. Cost Actuals'!#REF!-'Dept. Cost Actuals'!#REF!)</f>
        <v>15478.194325109953</v>
      </c>
      <c r="BS29" s="684">
        <f>IF(BS$4="forecast",(AVERAGE(BG29:BR29)),'Dept. Cost Actuals'!#REF!-'Dept. Cost Actuals'!#REF!)</f>
        <v>15478.140748747588</v>
      </c>
      <c r="BT29" s="684">
        <f>IF(BT$4="forecast",(AVERAGE(BH29:BS29)),'Dept. Cost Actuals'!#REF!-'Dept. Cost Actuals'!#REF!)</f>
        <v>15478.727624659719</v>
      </c>
      <c r="BU29" s="684">
        <f>IF(BU$4="forecast",(AVERAGE(BI29:BT29)),'Dept. Cost Actuals'!#REF!-'Dept. Cost Actuals'!#REF!)</f>
        <v>15479.756340842141</v>
      </c>
      <c r="BV29" s="808">
        <f>IF(BV$4="forecast",(AVERAGE(BJ29:BU29)),'Dept. Cost Actuals'!#REF!-'Dept. Cost Actuals'!#REF!)</f>
        <v>15480.965258529044</v>
      </c>
    </row>
    <row r="30" spans="2:74" x14ac:dyDescent="0.35">
      <c r="B30" s="812" t="s">
        <v>926</v>
      </c>
      <c r="C30" s="684">
        <f>IF(C$4="forecast",AVERAGE(#REF!),'Dept. Cost Actuals'!G216+'Dept. Cost Actuals'!G176)</f>
        <v>0</v>
      </c>
      <c r="D30" s="684">
        <f>IF(D$4="forecast",AVERAGE(#REF!),'Dept. Cost Actuals'!H216+'Dept. Cost Actuals'!H176)</f>
        <v>0</v>
      </c>
      <c r="E30" s="684">
        <f>IF(E$4="forecast",AVERAGE(#REF!),'Dept. Cost Actuals'!I216+'Dept. Cost Actuals'!I176)</f>
        <v>0</v>
      </c>
      <c r="F30" s="684">
        <f>IF(F$4="forecast",AVERAGE(#REF!),'Dept. Cost Actuals'!J216+'Dept. Cost Actuals'!J176)</f>
        <v>0</v>
      </c>
      <c r="G30" s="684">
        <f>IF(G$4="forecast",AVERAGE(#REF!),'Dept. Cost Actuals'!K216+'Dept. Cost Actuals'!K176)</f>
        <v>0</v>
      </c>
      <c r="H30" s="684">
        <f>IF(H$4="forecast",AVERAGE(#REF!),'Dept. Cost Actuals'!L216+'Dept. Cost Actuals'!L176)</f>
        <v>0</v>
      </c>
      <c r="I30" s="684">
        <f>IF(I$4="forecast",AVERAGE(#REF!),'Dept. Cost Actuals'!M216+'Dept. Cost Actuals'!M176)</f>
        <v>44.781508495617182</v>
      </c>
      <c r="J30" s="684">
        <f>IF(J$4="forecast",AVERAGE(#REF!),'Dept. Cost Actuals'!N216+'Dept. Cost Actuals'!N176)</f>
        <v>0</v>
      </c>
      <c r="K30" s="684">
        <f>IF(K$4="forecast",AVERAGE(#REF!),'Dept. Cost Actuals'!O216+'Dept. Cost Actuals'!O176)</f>
        <v>29.37981361478559</v>
      </c>
      <c r="L30" s="684">
        <f>IF(L$4="forecast",AVERAGE(#REF!),'Dept. Cost Actuals'!P216+'Dept. Cost Actuals'!P176)</f>
        <v>25.582447790158994</v>
      </c>
      <c r="M30" s="684">
        <f>IF(M$4="forecast",AVERAGE(A30:L30),'Dept. Cost Actuals'!Q216+'Dept. Cost Actuals'!Q176)</f>
        <v>0</v>
      </c>
      <c r="N30" s="684">
        <f>IF(N$4="forecast",AVERAGE(B30:M30),'Dept. Cost Actuals'!R216+'Dept. Cost Actuals'!R176)</f>
        <v>0</v>
      </c>
      <c r="O30" s="684">
        <f>IF(O$4="forecast",AVERAGE(C30:N30),'Dept. Cost Actuals'!S216+'Dept. Cost Actuals'!S176)</f>
        <v>0</v>
      </c>
      <c r="P30" s="684">
        <f>IF(P$4="forecast",AVERAGE(D30:O30),'Dept. Cost Actuals'!T216+'Dept. Cost Actuals'!T176)</f>
        <v>904.83</v>
      </c>
      <c r="Q30" s="684">
        <f>IF(Q$4="forecast",AVERAGE(E30:P30),'Dept. Cost Actuals'!U216+'Dept. Cost Actuals'!U176)</f>
        <v>2449.9899999999998</v>
      </c>
      <c r="R30" s="684">
        <f>IF(R$4="forecast",AVERAGE(F30:Q30),'Dept. Cost Actuals'!V216+'Dept. Cost Actuals'!V176)</f>
        <v>595</v>
      </c>
      <c r="S30" s="684">
        <f>IF(S$4="forecast",AVERAGE(G30:R30),'Dept. Cost Actuals'!W216+'Dept. Cost Actuals'!W176)</f>
        <v>0</v>
      </c>
      <c r="T30" s="684">
        <f>IF(T$4="forecast",AVERAGE(H30:S30),'Dept. Cost Actuals'!X216+'Dept. Cost Actuals'!X176)</f>
        <v>0</v>
      </c>
      <c r="U30" s="684">
        <f>IF(U$4="forecast",AVERAGE(I30:T30),'Dept. Cost Actuals'!Y216+'Dept. Cost Actuals'!Y176)</f>
        <v>0</v>
      </c>
      <c r="V30" s="684">
        <f>IF(V$4="forecast",AVERAGE(J30:U30),'Dept. Cost Actuals'!Z216+'Dept. Cost Actuals'!Z176)</f>
        <v>0</v>
      </c>
      <c r="W30" s="684">
        <f>IF(W$4="forecast",AVERAGE(K30:V30),'Dept. Cost Actuals'!AA216+'Dept. Cost Actuals'!AA176)</f>
        <v>0</v>
      </c>
      <c r="X30" s="684">
        <f>IF(X$4="forecast",AVERAGE(L30:W30),'Dept. Cost Actuals'!AB216+'Dept. Cost Actuals'!AB176)</f>
        <v>0</v>
      </c>
      <c r="Y30" s="684">
        <f>IF(Y$4="forecast",AVERAGE(M30:X30),'Dept. Cost Actuals'!AC216+'Dept. Cost Actuals'!AC176)</f>
        <v>0</v>
      </c>
      <c r="Z30" s="684">
        <f>IF(Z$4="forecast",AVERAGE(N30:Y30),'Dept. Cost Actuals'!AD216+'Dept. Cost Actuals'!AD176)</f>
        <v>0</v>
      </c>
      <c r="AA30" s="684">
        <f>IF(AA$4="forecast",SUMIFS(Planning_Mkt!D$5:D$133,Planning_Mkt!$B$5:$B$133,"Conferences and Events"),'Dept. Cost Actuals'!AE216+'Dept. Cost Actuals'!AE176)</f>
        <v>0</v>
      </c>
      <c r="AB30" s="684">
        <f>IF(AB$4="forecast",SUMIFS(Planning_Mkt!E$5:E$133,Planning_Mkt!$B$5:$B$133,"Conferences and Events"),'Dept. Cost Actuals'!AF216+'Dept. Cost Actuals'!AF176)</f>
        <v>0</v>
      </c>
      <c r="AC30" s="684">
        <f>IF(AC$4="forecast",SUMIFS(Planning_Mkt!F$5:F$133,Planning_Mkt!$B$5:$B$133,"Conferences and Events"),'Dept. Cost Actuals'!AG216+'Dept. Cost Actuals'!AG176)</f>
        <v>0</v>
      </c>
      <c r="AD30" s="684">
        <f>IF(AD$4="forecast",SUMIFS(Planning_Mkt!G$5:G$133,Planning_Mkt!$B$5:$B$133,"Conferences and Events"),'Dept. Cost Actuals'!AH216+'Dept. Cost Actuals'!AH176)</f>
        <v>0</v>
      </c>
      <c r="AE30" s="684">
        <f>IF(AE$4="forecast",SUMIFS(Planning_Mkt!H$5:H$133,Planning_Mkt!$B$5:$B$133,"Conferences and Events"),'Dept. Cost Actuals'!AI216+'Dept. Cost Actuals'!AI176)</f>
        <v>0</v>
      </c>
      <c r="AF30" s="684">
        <f>IF(AF$4="forecast",SUMIFS(Planning_Mkt!I$5:I$133,Planning_Mkt!$B$5:$B$133,"Conferences and Events"),'Dept. Cost Actuals'!AJ216+'Dept. Cost Actuals'!AJ176)</f>
        <v>0</v>
      </c>
      <c r="AG30" s="684">
        <f>IF(AG$4="forecast",SUMIFS(Planning_Mkt!J$5:J$133,Planning_Mkt!$B$5:$B$133,"Conferences and Events"),'Dept. Cost Actuals'!AK216+'Dept. Cost Actuals'!AK176)</f>
        <v>0</v>
      </c>
      <c r="AH30" s="684">
        <f>IF(AH$4="forecast",SUMIFS(Planning_Mkt!K$5:K$133,Planning_Mkt!$B$5:$B$133,"Conferences and Events"),'Dept. Cost Actuals'!AL216+'Dept. Cost Actuals'!AL176)</f>
        <v>0</v>
      </c>
      <c r="AI30" s="684">
        <f>IF(AI$4="forecast",SUMIFS(Planning_Mkt!L$5:L$133,Planning_Mkt!$B$5:$B$133,"Conferences and Events"),'Dept. Cost Actuals'!AM216+'Dept. Cost Actuals'!AM176)</f>
        <v>0</v>
      </c>
      <c r="AJ30" s="684">
        <f>IF(AJ$4="forecast",SUMIFS(Planning_Mkt!M$5:M$133,Planning_Mkt!$B$5:$B$133,"Conferences and Events"),'Dept. Cost Actuals'!AN216+'Dept. Cost Actuals'!AN176)</f>
        <v>0</v>
      </c>
      <c r="AK30" s="684">
        <f>IF(AK$4="forecast",SUMIFS(Planning_Mkt!N$5:N$133,Planning_Mkt!$B$5:$B$133,"Conferences and Events"),'Dept. Cost Actuals'!AO216+'Dept. Cost Actuals'!AO176)</f>
        <v>0</v>
      </c>
      <c r="AL30" s="684">
        <f>IF(AL$4="forecast",SUMIFS(Planning_Mkt!O$5:O$133,Planning_Mkt!$B$5:$B$133,"Conferences and Events"),'Dept. Cost Actuals'!AP216+'Dept. Cost Actuals'!AP176)</f>
        <v>0</v>
      </c>
      <c r="AM30" s="684">
        <f>IF(AM$4="forecast",AVERAGE(AA30:AL30),'Dept. Cost Actuals'!AQ216+'Dept. Cost Actuals'!AQ176)</f>
        <v>0</v>
      </c>
      <c r="AN30" s="684">
        <f>IF(AN$4="forecast",AVERAGE(AB30:AM30),'Dept. Cost Actuals'!AR216+'Dept. Cost Actuals'!AR176)</f>
        <v>0</v>
      </c>
      <c r="AO30" s="684">
        <f>IF(AO$4="forecast",AVERAGE(AC30:AN30),'Dept. Cost Actuals'!AS216+'Dept. Cost Actuals'!AS176)</f>
        <v>0</v>
      </c>
      <c r="AP30" s="684">
        <f>IF(AP$4="forecast",AVERAGE(AD30:AO30),'Dept. Cost Actuals'!AT216+'Dept. Cost Actuals'!AT176)</f>
        <v>0</v>
      </c>
      <c r="AQ30" s="684">
        <f>IF(AQ$4="forecast",AVERAGE(AE30:AP30),'Dept. Cost Actuals'!AU216+'Dept. Cost Actuals'!AU176)</f>
        <v>0</v>
      </c>
      <c r="AR30" s="684">
        <f>IF(AR$4="forecast",AVERAGE(AF30:AQ30),'Dept. Cost Actuals'!AV216+'Dept. Cost Actuals'!AV176)</f>
        <v>0</v>
      </c>
      <c r="AS30" s="684">
        <f>IF(AS$4="forecast",AVERAGE(AG30:AR30),'Dept. Cost Actuals'!AW216+'Dept. Cost Actuals'!AW176)</f>
        <v>0</v>
      </c>
      <c r="AT30" s="684">
        <f>IF(AT$4="forecast",AVERAGE(AH30:AS30),'Dept. Cost Actuals'!AX216+'Dept. Cost Actuals'!AX176)</f>
        <v>0</v>
      </c>
      <c r="AU30" s="684">
        <f>IF(AU$4="forecast",AVERAGE(AI30:AT30),'Dept. Cost Actuals'!AY216+'Dept. Cost Actuals'!AY176)</f>
        <v>0</v>
      </c>
      <c r="AV30" s="684">
        <f>IF(AV$4="forecast",AVERAGE(AJ30:AU30),'Dept. Cost Actuals'!AZ216+'Dept. Cost Actuals'!AZ176)</f>
        <v>0</v>
      </c>
      <c r="AW30" s="684">
        <f>IF(AW$4="forecast",AVERAGE(AK30:AV30),'Dept. Cost Actuals'!BA216+'Dept. Cost Actuals'!BA176)</f>
        <v>0</v>
      </c>
      <c r="AX30" s="684">
        <f>IF(AX$4="forecast",AVERAGE(AL30:AW30),'Dept. Cost Actuals'!BB216+'Dept. Cost Actuals'!BB176)</f>
        <v>0</v>
      </c>
      <c r="AY30" s="684">
        <f>IF(AY$4="forecast",AVERAGE(AM30:AX30),'Dept. Cost Actuals'!BC216+'Dept. Cost Actuals'!BC176)</f>
        <v>0</v>
      </c>
      <c r="AZ30" s="684">
        <f>IF(AZ$4="forecast",AVERAGE(AN30:AY30),'Dept. Cost Actuals'!BD216+'Dept. Cost Actuals'!BD176)</f>
        <v>0</v>
      </c>
      <c r="BA30" s="684">
        <f>IF(BA$4="forecast",AVERAGE(AO30:AZ30),'Dept. Cost Actuals'!BE216+'Dept. Cost Actuals'!BE176)</f>
        <v>0</v>
      </c>
      <c r="BB30" s="684">
        <f>IF(BB$4="forecast",AVERAGE(AP30:BA30),'Dept. Cost Actuals'!BF216+'Dept. Cost Actuals'!BF176)</f>
        <v>0</v>
      </c>
      <c r="BC30" s="684">
        <f>IF(BC$4="forecast",AVERAGE(AQ30:BB30),'Dept. Cost Actuals'!BG216+'Dept. Cost Actuals'!BG176)</f>
        <v>0</v>
      </c>
      <c r="BD30" s="684">
        <f>IF(BD$4="forecast",AVERAGE(AR30:BC30),'Dept. Cost Actuals'!BH216+'Dept. Cost Actuals'!BH176)</f>
        <v>0</v>
      </c>
      <c r="BE30" s="684">
        <f>IF(BE$4="forecast",AVERAGE(AS30:BD30),'Dept. Cost Actuals'!BI216+'Dept. Cost Actuals'!BI176)</f>
        <v>0</v>
      </c>
      <c r="BF30" s="684">
        <f>IF(BF$4="forecast",AVERAGE(AT30:BE30),'Dept. Cost Actuals'!BJ216+'Dept. Cost Actuals'!BJ176)</f>
        <v>0</v>
      </c>
      <c r="BG30" s="684">
        <f>IF(BG$4="forecast",AVERAGE(AU30:BF30),'Dept. Cost Actuals'!BK216+'Dept. Cost Actuals'!BK176)</f>
        <v>0</v>
      </c>
      <c r="BH30" s="684">
        <f>IF(BH$4="forecast",AVERAGE(AV30:BG30),'Dept. Cost Actuals'!BL216+'Dept. Cost Actuals'!BL176)</f>
        <v>0</v>
      </c>
      <c r="BI30" s="684">
        <f>IF(BI$4="forecast",AVERAGE(AW30:BH30),'Dept. Cost Actuals'!BM216+'Dept. Cost Actuals'!BM176)</f>
        <v>0</v>
      </c>
      <c r="BJ30" s="684">
        <f>IF(BJ$4="forecast",AVERAGE(AX30:BI30),'Dept. Cost Actuals'!BN216+'Dept. Cost Actuals'!BN176)</f>
        <v>0</v>
      </c>
      <c r="BK30" s="684">
        <f>IF(BK$4="forecast",AVERAGE(AY30:BJ30),'Dept. Cost Actuals'!BO216+'Dept. Cost Actuals'!BO176)</f>
        <v>0</v>
      </c>
      <c r="BL30" s="684">
        <f>IF(BL$4="forecast",AVERAGE(AZ30:BK30),'Dept. Cost Actuals'!#REF!+'Dept. Cost Actuals'!#REF!)</f>
        <v>0</v>
      </c>
      <c r="BM30" s="684">
        <f>IF(BM$4="forecast",AVERAGE(BA30:BL30),'Dept. Cost Actuals'!#REF!+'Dept. Cost Actuals'!#REF!)</f>
        <v>0</v>
      </c>
      <c r="BN30" s="684">
        <f>IF(BN$4="forecast",AVERAGE(BB30:BM30),'Dept. Cost Actuals'!#REF!+'Dept. Cost Actuals'!#REF!)</f>
        <v>0</v>
      </c>
      <c r="BO30" s="684">
        <f>IF(BO$4="forecast",AVERAGE(BC30:BN30),'Dept. Cost Actuals'!#REF!+'Dept. Cost Actuals'!#REF!)</f>
        <v>0</v>
      </c>
      <c r="BP30" s="684">
        <f>IF(BP$4="forecast",AVERAGE(BD30:BO30),'Dept. Cost Actuals'!#REF!+'Dept. Cost Actuals'!#REF!)</f>
        <v>0</v>
      </c>
      <c r="BQ30" s="684">
        <f>IF(BQ$4="forecast",AVERAGE(BE30:BP30),'Dept. Cost Actuals'!#REF!+'Dept. Cost Actuals'!#REF!)</f>
        <v>0</v>
      </c>
      <c r="BR30" s="684">
        <f>IF(BR$4="forecast",AVERAGE(BF30:BQ30),'Dept. Cost Actuals'!#REF!+'Dept. Cost Actuals'!#REF!)</f>
        <v>0</v>
      </c>
      <c r="BS30" s="684">
        <f>IF(BS$4="forecast",AVERAGE(BG30:BR30),'Dept. Cost Actuals'!#REF!+'Dept. Cost Actuals'!#REF!)</f>
        <v>0</v>
      </c>
      <c r="BT30" s="684">
        <f>IF(BT$4="forecast",AVERAGE(BH30:BS30),'Dept. Cost Actuals'!#REF!+'Dept. Cost Actuals'!#REF!)</f>
        <v>0</v>
      </c>
      <c r="BU30" s="684">
        <f>IF(BU$4="forecast",AVERAGE(BI30:BT30),'Dept. Cost Actuals'!#REF!+'Dept. Cost Actuals'!#REF!)</f>
        <v>0</v>
      </c>
      <c r="BV30" s="808">
        <f>IF(BV$4="forecast",AVERAGE(BJ30:BU30),'Dept. Cost Actuals'!#REF!+'Dept. Cost Actuals'!#REF!)</f>
        <v>0</v>
      </c>
    </row>
    <row r="31" spans="2:74" x14ac:dyDescent="0.35">
      <c r="B31" s="812" t="s">
        <v>947</v>
      </c>
      <c r="C31" s="684">
        <f>IF(C$4="forecast",AVERAGE(#REF!),'Dept. Cost Actuals'!G204)</f>
        <v>0</v>
      </c>
      <c r="D31" s="684">
        <f>IF(D$4="forecast",AVERAGE(#REF!),'Dept. Cost Actuals'!H204)</f>
        <v>8.1276528243856578</v>
      </c>
      <c r="E31" s="684">
        <f>IF(E$4="forecast",AVERAGE(#REF!),'Dept. Cost Actuals'!I204)</f>
        <v>1.7351823953788208</v>
      </c>
      <c r="F31" s="684">
        <f>IF(F$4="forecast",AVERAGE(#REF!),'Dept. Cost Actuals'!J204)</f>
        <v>17.283626836879012</v>
      </c>
      <c r="G31" s="684">
        <f>IF(G$4="forecast",AVERAGE(#REF!),'Dept. Cost Actuals'!K204)</f>
        <v>3.6096244282564913</v>
      </c>
      <c r="H31" s="684">
        <f>IF(H$4="forecast",AVERAGE(#REF!),'Dept. Cost Actuals'!L204)</f>
        <v>21.678996322559826</v>
      </c>
      <c r="I31" s="684">
        <f>IF(I$4="forecast",AVERAGE(#REF!),'Dept. Cost Actuals'!M204)</f>
        <v>0.48446248453913554</v>
      </c>
      <c r="J31" s="684">
        <f>IF(J$4="forecast",AVERAGE(#REF!),'Dept. Cost Actuals'!N204)</f>
        <v>4.9100601965198871</v>
      </c>
      <c r="K31" s="684">
        <f>IF(K$4="forecast",AVERAGE(#REF!),'Dept. Cost Actuals'!O204)</f>
        <v>4.2593384788035404</v>
      </c>
      <c r="L31" s="684">
        <f>IF(L$4="forecast",AVERAGE(#REF!),'Dept. Cost Actuals'!P204)</f>
        <v>20.365630545576224</v>
      </c>
      <c r="M31" s="684">
        <f>IF(M$4="forecast",AVERAGE(A31:L31),'Dept. Cost Actuals'!Q204)</f>
        <v>0</v>
      </c>
      <c r="N31" s="684">
        <f>IF(N$4="forecast",AVERAGE(B31:M31),'Dept. Cost Actuals'!R204)</f>
        <v>0</v>
      </c>
      <c r="O31" s="684">
        <f>IF(O$4="forecast",AVERAGE(C31:N31),'Dept. Cost Actuals'!S204)</f>
        <v>0</v>
      </c>
      <c r="P31" s="684">
        <f>IF(P$4="forecast",AVERAGE(D31:O31),'Dept. Cost Actuals'!T204)</f>
        <v>0</v>
      </c>
      <c r="Q31" s="684">
        <f>IF(Q$4="forecast",AVERAGE(E31:P31),'Dept. Cost Actuals'!U204)</f>
        <v>0</v>
      </c>
      <c r="R31" s="684">
        <f>IF(R$4="forecast",AVERAGE(F31:Q31),'Dept. Cost Actuals'!V204)</f>
        <v>0</v>
      </c>
      <c r="S31" s="684">
        <f>IF(S$4="forecast",AVERAGE(G31:R31),'Dept. Cost Actuals'!W204)</f>
        <v>0</v>
      </c>
      <c r="T31" s="684">
        <f>IF(T$4="forecast",AVERAGE(H31:S31),'Dept. Cost Actuals'!X204)</f>
        <v>0</v>
      </c>
      <c r="U31" s="684">
        <f>IF(U$4="forecast",AVERAGE(I31:T31),'Dept. Cost Actuals'!Y204)</f>
        <v>0</v>
      </c>
      <c r="V31" s="684">
        <f>IF(V$4="forecast",AVERAGE(J31:U31),'Dept. Cost Actuals'!Z204)</f>
        <v>0</v>
      </c>
      <c r="W31" s="684">
        <f>IF(W$4="forecast",AVERAGE(K31:V31),'Dept. Cost Actuals'!AA204)</f>
        <v>0</v>
      </c>
      <c r="X31" s="684">
        <f>IF(X$4="forecast",AVERAGE(L31:W31),'Dept. Cost Actuals'!AB204)</f>
        <v>0</v>
      </c>
      <c r="Y31" s="684">
        <f>IF(Y$4="forecast",AVERAGE(M31:X31),'Dept. Cost Actuals'!AC204)</f>
        <v>0</v>
      </c>
      <c r="Z31" s="684">
        <f>IF(Z$4="forecast",AVERAGE(N31:Y31),'Dept. Cost Actuals'!AD204)</f>
        <v>0</v>
      </c>
      <c r="AA31" s="684">
        <f>IF(AA$4="forecast",SUMIFS(Planning_Mkt!D$5:D$133,Planning_Mkt!$B$5:$B$133,"Books and periodicals"),'Dept. Cost Actuals'!AE204)</f>
        <v>0</v>
      </c>
      <c r="AB31" s="684">
        <f>IF(AB$4="forecast",SUMIFS(Planning_Mkt!E$5:E$133,Planning_Mkt!$B$5:$B$133,"Books and periodicals"),'Dept. Cost Actuals'!AF204)</f>
        <v>0</v>
      </c>
      <c r="AC31" s="684">
        <f>IF(AC$4="forecast",SUMIFS(Planning_Mkt!F$5:F$133,Planning_Mkt!$B$5:$B$133,"Books and periodicals"),'Dept. Cost Actuals'!AG204)</f>
        <v>0</v>
      </c>
      <c r="AD31" s="684">
        <f>IF(AD$4="forecast",SUMIFS(Planning_Mkt!G$5:G$133,Planning_Mkt!$B$5:$B$133,"Books and periodicals"),'Dept. Cost Actuals'!AH204)</f>
        <v>0</v>
      </c>
      <c r="AE31" s="684">
        <f>IF(AE$4="forecast",SUMIFS(Planning_Mkt!H$5:H$133,Planning_Mkt!$B$5:$B$133,"Books and periodicals"),'Dept. Cost Actuals'!AI204)</f>
        <v>0</v>
      </c>
      <c r="AF31" s="684">
        <f>IF(AF$4="forecast",SUMIFS(Planning_Mkt!I$5:I$133,Planning_Mkt!$B$5:$B$133,"Books and periodicals"),'Dept. Cost Actuals'!AJ204)</f>
        <v>0</v>
      </c>
      <c r="AG31" s="684">
        <f>IF(AG$4="forecast",SUMIFS(Planning_Mkt!J$5:J$133,Planning_Mkt!$B$5:$B$133,"Books and periodicals"),'Dept. Cost Actuals'!AK204)</f>
        <v>0</v>
      </c>
      <c r="AH31" s="684">
        <f>IF(AH$4="forecast",SUMIFS(Planning_Mkt!K$5:K$133,Planning_Mkt!$B$5:$B$133,"Books and periodicals"),'Dept. Cost Actuals'!AL204)</f>
        <v>0</v>
      </c>
      <c r="AI31" s="684">
        <f>IF(AI$4="forecast",SUMIFS(Planning_Mkt!L$5:L$133,Planning_Mkt!$B$5:$B$133,"Books and periodicals"),'Dept. Cost Actuals'!AM204)</f>
        <v>0</v>
      </c>
      <c r="AJ31" s="684">
        <f>IF(AJ$4="forecast",SUMIFS(Planning_Mkt!M$5:M$133,Planning_Mkt!$B$5:$B$133,"Books and periodicals"),'Dept. Cost Actuals'!AN204)</f>
        <v>0</v>
      </c>
      <c r="AK31" s="684">
        <f>IF(AK$4="forecast",SUMIFS(Planning_Mkt!N$5:N$133,Planning_Mkt!$B$5:$B$133,"Books and periodicals"),'Dept. Cost Actuals'!AO204)</f>
        <v>0</v>
      </c>
      <c r="AL31" s="684">
        <f>IF(AL$4="forecast",SUMIFS(Planning_Mkt!O$5:O$133,Planning_Mkt!$B$5:$B$133,"Books and periodicals"),'Dept. Cost Actuals'!AP204)</f>
        <v>0</v>
      </c>
      <c r="AM31" s="684">
        <f>IF(AM$4="forecast",AVERAGE(AA31:AL31),'Dept. Cost Actuals'!AQ204)</f>
        <v>0</v>
      </c>
      <c r="AN31" s="684">
        <f>IF(AN$4="forecast",AVERAGE(AB31:AM31),'Dept. Cost Actuals'!AR204)</f>
        <v>0</v>
      </c>
      <c r="AO31" s="684">
        <f>IF(AO$4="forecast",AVERAGE(AC31:AN31),'Dept. Cost Actuals'!AS204)</f>
        <v>0</v>
      </c>
      <c r="AP31" s="684">
        <f>IF(AP$4="forecast",AVERAGE(AD31:AO31),'Dept. Cost Actuals'!AT204)</f>
        <v>0</v>
      </c>
      <c r="AQ31" s="684">
        <f>IF(AQ$4="forecast",AVERAGE(AE31:AP31),'Dept. Cost Actuals'!AU204)</f>
        <v>0</v>
      </c>
      <c r="AR31" s="684">
        <f>IF(AR$4="forecast",AVERAGE(AF31:AQ31),'Dept. Cost Actuals'!AV204)</f>
        <v>0</v>
      </c>
      <c r="AS31" s="684">
        <f>IF(AS$4="forecast",AVERAGE(AG31:AR31),'Dept. Cost Actuals'!AW204)</f>
        <v>0</v>
      </c>
      <c r="AT31" s="684">
        <f>IF(AT$4="forecast",AVERAGE(AH31:AS31),'Dept. Cost Actuals'!AX204)</f>
        <v>0</v>
      </c>
      <c r="AU31" s="684">
        <f>IF(AU$4="forecast",AVERAGE(AI31:AT31),'Dept. Cost Actuals'!AY204)</f>
        <v>0</v>
      </c>
      <c r="AV31" s="684">
        <f>IF(AV$4="forecast",AVERAGE(AJ31:AU31),'Dept. Cost Actuals'!AZ204)</f>
        <v>0</v>
      </c>
      <c r="AW31" s="684">
        <f>IF(AW$4="forecast",AVERAGE(AK31:AV31),'Dept. Cost Actuals'!BA204)</f>
        <v>0</v>
      </c>
      <c r="AX31" s="684">
        <f>IF(AX$4="forecast",AVERAGE(AL31:AW31),'Dept. Cost Actuals'!BB204)</f>
        <v>0</v>
      </c>
      <c r="AY31" s="684">
        <f>IF(AY$4="forecast",AVERAGE(AM31:AX31),'Dept. Cost Actuals'!BC204)</f>
        <v>0</v>
      </c>
      <c r="AZ31" s="684">
        <f>IF(AZ$4="forecast",AVERAGE(AN31:AY31),'Dept. Cost Actuals'!BD204)</f>
        <v>0</v>
      </c>
      <c r="BA31" s="684">
        <f>IF(BA$4="forecast",AVERAGE(AO31:AZ31),'Dept. Cost Actuals'!BE204)</f>
        <v>0</v>
      </c>
      <c r="BB31" s="684">
        <f>IF(BB$4="forecast",AVERAGE(AP31:BA31),'Dept. Cost Actuals'!BF204)</f>
        <v>0</v>
      </c>
      <c r="BC31" s="684">
        <f>IF(BC$4="forecast",AVERAGE(AQ31:BB31),'Dept. Cost Actuals'!BG204)</f>
        <v>0</v>
      </c>
      <c r="BD31" s="684">
        <f>IF(BD$4="forecast",AVERAGE(AR31:BC31),'Dept. Cost Actuals'!BH204)</f>
        <v>0</v>
      </c>
      <c r="BE31" s="684">
        <f>IF(BE$4="forecast",AVERAGE(AS31:BD31),'Dept. Cost Actuals'!BI204)</f>
        <v>0</v>
      </c>
      <c r="BF31" s="684">
        <f>IF(BF$4="forecast",AVERAGE(AT31:BE31),'Dept. Cost Actuals'!BJ204)</f>
        <v>0</v>
      </c>
      <c r="BG31" s="684">
        <f>IF(BG$4="forecast",AVERAGE(AU31:BF31),'Dept. Cost Actuals'!BK204)</f>
        <v>0</v>
      </c>
      <c r="BH31" s="684">
        <f>IF(BH$4="forecast",AVERAGE(AV31:BG31),'Dept. Cost Actuals'!BL204)</f>
        <v>0</v>
      </c>
      <c r="BI31" s="684">
        <f>IF(BI$4="forecast",AVERAGE(AW31:BH31),'Dept. Cost Actuals'!BM204)</f>
        <v>0</v>
      </c>
      <c r="BJ31" s="684">
        <f>IF(BJ$4="forecast",AVERAGE(AX31:BI31),'Dept. Cost Actuals'!BN204)</f>
        <v>0</v>
      </c>
      <c r="BK31" s="684">
        <f>IF(BK$4="forecast",AVERAGE(AY31:BJ31),'Dept. Cost Actuals'!BO204)</f>
        <v>0</v>
      </c>
      <c r="BL31" s="684">
        <f>IF(BL$4="forecast",AVERAGE(AZ31:BK31),'Dept. Cost Actuals'!#REF!)</f>
        <v>0</v>
      </c>
      <c r="BM31" s="684">
        <f>IF(BM$4="forecast",AVERAGE(BA31:BL31),'Dept. Cost Actuals'!#REF!)</f>
        <v>0</v>
      </c>
      <c r="BN31" s="684">
        <f>IF(BN$4="forecast",AVERAGE(BB31:BM31),'Dept. Cost Actuals'!#REF!)</f>
        <v>0</v>
      </c>
      <c r="BO31" s="684">
        <f>IF(BO$4="forecast",AVERAGE(BC31:BN31),'Dept. Cost Actuals'!#REF!)</f>
        <v>0</v>
      </c>
      <c r="BP31" s="684">
        <f>IF(BP$4="forecast",AVERAGE(BD31:BO31),'Dept. Cost Actuals'!#REF!)</f>
        <v>0</v>
      </c>
      <c r="BQ31" s="684">
        <f>IF(BQ$4="forecast",AVERAGE(BE31:BP31),'Dept. Cost Actuals'!#REF!)</f>
        <v>0</v>
      </c>
      <c r="BR31" s="684">
        <f>IF(BR$4="forecast",AVERAGE(BF31:BQ31),'Dept. Cost Actuals'!#REF!)</f>
        <v>0</v>
      </c>
      <c r="BS31" s="684">
        <f>IF(BS$4="forecast",AVERAGE(BG31:BR31),'Dept. Cost Actuals'!#REF!)</f>
        <v>0</v>
      </c>
      <c r="BT31" s="684">
        <f>IF(BT$4="forecast",AVERAGE(BH31:BS31),'Dept. Cost Actuals'!#REF!)</f>
        <v>0</v>
      </c>
      <c r="BU31" s="684">
        <f>IF(BU$4="forecast",AVERAGE(BI31:BT31),'Dept. Cost Actuals'!#REF!)</f>
        <v>0</v>
      </c>
      <c r="BV31" s="808">
        <f>IF(BV$4="forecast",AVERAGE(BJ31:BU31),'Dept. Cost Actuals'!#REF!)</f>
        <v>0</v>
      </c>
    </row>
    <row r="32" spans="2:74" x14ac:dyDescent="0.35">
      <c r="B32" s="812" t="s">
        <v>948</v>
      </c>
      <c r="C32" s="684">
        <f>IF(C$4="forecast",AVERAGE(#REF!),'Dept. Cost Actuals'!G255)</f>
        <v>5.6932167802399656</v>
      </c>
      <c r="D32" s="684">
        <f>IF(D$4="forecast",AVERAGE(#REF!),'Dept. Cost Actuals'!H255)</f>
        <v>2.7912853637773485</v>
      </c>
      <c r="E32" s="684">
        <f>IF(E$4="forecast",AVERAGE(#REF!),'Dept. Cost Actuals'!I255)</f>
        <v>0</v>
      </c>
      <c r="F32" s="684">
        <f>IF(F$4="forecast",AVERAGE(#REF!),'Dept. Cost Actuals'!J255)</f>
        <v>4.3788502243859533</v>
      </c>
      <c r="G32" s="684">
        <f>IF(G$4="forecast",AVERAGE(#REF!),'Dept. Cost Actuals'!K255)</f>
        <v>45.930062800702849</v>
      </c>
      <c r="H32" s="684">
        <f>IF(H$4="forecast",AVERAGE(#REF!),'Dept. Cost Actuals'!L255)</f>
        <v>1.1365687392410004</v>
      </c>
      <c r="I32" s="684">
        <f>IF(I$4="forecast",AVERAGE(#REF!),'Dept. Cost Actuals'!M255)</f>
        <v>0</v>
      </c>
      <c r="J32" s="684">
        <f>IF(J$4="forecast",AVERAGE(#REF!),'Dept. Cost Actuals'!N255)</f>
        <v>1.5129000392472729</v>
      </c>
      <c r="K32" s="684">
        <f>IF(K$4="forecast",AVERAGE(#REF!),'Dept. Cost Actuals'!O255)</f>
        <v>0.31546574868876026</v>
      </c>
      <c r="L32" s="684">
        <f>IF(L$4="forecast",AVERAGE(#REF!),'Dept. Cost Actuals'!P255)</f>
        <v>4.9018194526622034</v>
      </c>
      <c r="M32" s="684">
        <f>IF(M$4="forecast",AVERAGE(A32:L32),'Dept. Cost Actuals'!Q255)</f>
        <v>21.333590940969835</v>
      </c>
      <c r="N32" s="684">
        <f>IF(N$4="forecast",AVERAGE(B32:M32),'Dept. Cost Actuals'!R255)</f>
        <v>10.263871589818473</v>
      </c>
      <c r="O32" s="684">
        <f>IF(O$4="forecast",AVERAGE(C32:N32),'Dept. Cost Actuals'!S255)</f>
        <v>0</v>
      </c>
      <c r="P32" s="684">
        <f>IF(P$4="forecast",AVERAGE(D32:O32),'Dept. Cost Actuals'!T255)</f>
        <v>16.829999999999998</v>
      </c>
      <c r="Q32" s="684">
        <f>IF(Q$4="forecast",AVERAGE(E32:P32),'Dept. Cost Actuals'!U255)</f>
        <v>416.15</v>
      </c>
      <c r="R32" s="684">
        <f>IF(R$4="forecast",AVERAGE(F32:Q32),'Dept. Cost Actuals'!V255)</f>
        <v>32.6</v>
      </c>
      <c r="S32" s="684">
        <f>IF(S$4="forecast",AVERAGE(G32:R32),'Dept. Cost Actuals'!W255)</f>
        <v>0</v>
      </c>
      <c r="T32" s="684">
        <f>IF(T$4="forecast",AVERAGE(H32:S32),'Dept. Cost Actuals'!X255)</f>
        <v>196.3</v>
      </c>
      <c r="U32" s="684">
        <f>IF(U$4="forecast",AVERAGE(I32:T32),'Dept. Cost Actuals'!Y255)</f>
        <v>54.18</v>
      </c>
      <c r="V32" s="684">
        <f>IF(V$4="forecast",AVERAGE(J32:U32),'Dept. Cost Actuals'!Z255)</f>
        <v>60.28</v>
      </c>
      <c r="W32" s="684">
        <f>IF(W$4="forecast",AVERAGE(K32:V32),'Dept. Cost Actuals'!AA255)</f>
        <v>188.72</v>
      </c>
      <c r="X32" s="684">
        <f>IF(X$4="forecast",AVERAGE(L32:W32),'Dept. Cost Actuals'!AB255)</f>
        <v>306.70999999999998</v>
      </c>
      <c r="Y32" s="684">
        <f>IF(Y$4="forecast",AVERAGE(M32:X32),'Dept. Cost Actuals'!AC255)</f>
        <v>43.3</v>
      </c>
      <c r="Z32" s="684">
        <f>IF(Z$4="forecast",AVERAGE(N32:Y32),'Dept. Cost Actuals'!AD255)</f>
        <v>144.41</v>
      </c>
      <c r="AA32" s="684">
        <f>IF(AA$4="forecast",SUMIFS(Planning_Mkt!D$5:D$133,Planning_Mkt!$B$5:$B$133,"Postage and Delivery"),'Dept. Cost Actuals'!AE255)</f>
        <v>0</v>
      </c>
      <c r="AB32" s="684">
        <f>IF(AB$4="forecast",SUMIFS(Planning_Mkt!E$5:E$133,Planning_Mkt!$B$5:$B$133,"Postage and Delivery"),'Dept. Cost Actuals'!AF255)</f>
        <v>0</v>
      </c>
      <c r="AC32" s="684">
        <f>IF(AC$4="forecast",SUMIFS(Planning_Mkt!F$5:F$133,Planning_Mkt!$B$5:$B$133,"Postage and Delivery"),'Dept. Cost Actuals'!AG255)</f>
        <v>200</v>
      </c>
      <c r="AD32" s="684">
        <f>IF(AD$4="forecast",SUMIFS(Planning_Mkt!G$5:G$133,Planning_Mkt!$B$5:$B$133,"Postage and Delivery"),'Dept. Cost Actuals'!AH255)</f>
        <v>200</v>
      </c>
      <c r="AE32" s="684">
        <f>IF(AE$4="forecast",SUMIFS(Planning_Mkt!H$5:H$133,Planning_Mkt!$B$5:$B$133,"Postage and Delivery"),'Dept. Cost Actuals'!AI255)</f>
        <v>200</v>
      </c>
      <c r="AF32" s="684">
        <f>IF(AF$4="forecast",SUMIFS(Planning_Mkt!I$5:I$133,Planning_Mkt!$B$5:$B$133,"Postage and Delivery"),'Dept. Cost Actuals'!AJ255)</f>
        <v>200</v>
      </c>
      <c r="AG32" s="684">
        <f>IF(AG$4="forecast",SUMIFS(Planning_Mkt!J$5:J$133,Planning_Mkt!$B$5:$B$133,"Postage and Delivery"),'Dept. Cost Actuals'!AK255)</f>
        <v>200</v>
      </c>
      <c r="AH32" s="684">
        <f>IF(AH$4="forecast",SUMIFS(Planning_Mkt!K$5:K$133,Planning_Mkt!$B$5:$B$133,"Postage and Delivery"),'Dept. Cost Actuals'!AL255)</f>
        <v>200</v>
      </c>
      <c r="AI32" s="684">
        <f>IF(AI$4="forecast",SUMIFS(Planning_Mkt!L$5:L$133,Planning_Mkt!$B$5:$B$133,"Postage and Delivery"),'Dept. Cost Actuals'!AM255)</f>
        <v>200</v>
      </c>
      <c r="AJ32" s="684">
        <f>IF(AJ$4="forecast",SUMIFS(Planning_Mkt!M$5:M$133,Planning_Mkt!$B$5:$B$133,"Postage and Delivery"),'Dept. Cost Actuals'!AN255)</f>
        <v>200</v>
      </c>
      <c r="AK32" s="684">
        <f>IF(AK$4="forecast",SUMIFS(Planning_Mkt!N$5:N$133,Planning_Mkt!$B$5:$B$133,"Postage and Delivery"),'Dept. Cost Actuals'!AO255)</f>
        <v>200</v>
      </c>
      <c r="AL32" s="684">
        <f>IF(AL$4="forecast",SUMIFS(Planning_Mkt!O$5:O$133,Planning_Mkt!$B$5:$B$133,"Postage and Delivery"),'Dept. Cost Actuals'!AP255)</f>
        <v>500</v>
      </c>
      <c r="AM32" s="684">
        <f>IF(AM$4="forecast",AVERAGE(AA32:AL32),'Dept. Cost Actuals'!AQ255)</f>
        <v>191.66666666666666</v>
      </c>
      <c r="AN32" s="684">
        <f>IF(AN$4="forecast",AVERAGE(AB32:AM32),'Dept. Cost Actuals'!AR255)</f>
        <v>207.63888888888889</v>
      </c>
      <c r="AO32" s="684">
        <f>IF(AO$4="forecast",AVERAGE(AC32:AN32),'Dept. Cost Actuals'!AS255)</f>
        <v>224.94212962962959</v>
      </c>
      <c r="AP32" s="684">
        <f>IF(AP$4="forecast",AVERAGE(AD32:AO32),'Dept. Cost Actuals'!AT255)</f>
        <v>227.02064043209873</v>
      </c>
      <c r="AQ32" s="684">
        <f>IF(AQ$4="forecast",AVERAGE(AE32:AP32),'Dept. Cost Actuals'!AU255)</f>
        <v>229.27236046810697</v>
      </c>
      <c r="AR32" s="684">
        <f>IF(AR$4="forecast",AVERAGE(AF32:AQ32),'Dept. Cost Actuals'!AV255)</f>
        <v>231.71172384044925</v>
      </c>
      <c r="AS32" s="684">
        <f>IF(AS$4="forecast",AVERAGE(AG32:AR32),'Dept. Cost Actuals'!AW255)</f>
        <v>234.35436749382004</v>
      </c>
      <c r="AT32" s="684">
        <f>IF(AT$4="forecast",AVERAGE(AH32:AS32),'Dept. Cost Actuals'!AX255)</f>
        <v>237.21723145163836</v>
      </c>
      <c r="AU32" s="684">
        <f>IF(AU$4="forecast",AVERAGE(AI32:AT32),'Dept. Cost Actuals'!AY255)</f>
        <v>240.31866740594157</v>
      </c>
      <c r="AV32" s="684">
        <f>IF(AV$4="forecast",AVERAGE(AJ32:AU32),'Dept. Cost Actuals'!AZ255)</f>
        <v>243.6785563564367</v>
      </c>
      <c r="AW32" s="684">
        <f>IF(AW$4="forecast",AVERAGE(AK32:AV32),'Dept. Cost Actuals'!BA255)</f>
        <v>247.31843605280633</v>
      </c>
      <c r="AX32" s="684">
        <f>IF(AX$4="forecast",AVERAGE(AL32:AW32),'Dept. Cost Actuals'!BB255)</f>
        <v>251.26163905720693</v>
      </c>
      <c r="AY32" s="684">
        <f>IF(AY$4="forecast",AVERAGE(AM32:AX32),'Dept. Cost Actuals'!BC255)</f>
        <v>230.53344231197414</v>
      </c>
      <c r="AZ32" s="684">
        <f>IF(AZ$4="forecast",AVERAGE(AN32:AY32),'Dept. Cost Actuals'!BD255)</f>
        <v>233.77234028241648</v>
      </c>
      <c r="BA32" s="684">
        <f>IF(BA$4="forecast",AVERAGE(AO32:AZ32),'Dept. Cost Actuals'!BE255)</f>
        <v>235.95012789854377</v>
      </c>
      <c r="BB32" s="684">
        <f>IF(BB$4="forecast",AVERAGE(AP32:BA32),'Dept. Cost Actuals'!BF255)</f>
        <v>236.86746108761994</v>
      </c>
      <c r="BC32" s="684">
        <f>IF(BC$4="forecast",AVERAGE(AQ32:BB32),'Dept. Cost Actuals'!BG255)</f>
        <v>237.68802947558004</v>
      </c>
      <c r="BD32" s="684">
        <f>IF(BD$4="forecast",AVERAGE(AR32:BC32),'Dept. Cost Actuals'!BH255)</f>
        <v>238.3893352262028</v>
      </c>
      <c r="BE32" s="684">
        <f>IF(BE$4="forecast",AVERAGE(AS32:BD32),'Dept. Cost Actuals'!BI255)</f>
        <v>238.94580284168231</v>
      </c>
      <c r="BF32" s="684">
        <f>IF(BF$4="forecast",AVERAGE(AT32:BE32),'Dept. Cost Actuals'!BJ255)</f>
        <v>239.32842245400414</v>
      </c>
      <c r="BG32" s="684">
        <f>IF(BG$4="forecast",AVERAGE(AU32:BF32),'Dept. Cost Actuals'!BK255)</f>
        <v>239.50435503753465</v>
      </c>
      <c r="BH32" s="684">
        <f>IF(BH$4="forecast",AVERAGE(AV32:BG32),'Dept. Cost Actuals'!BL255)</f>
        <v>239.43649567350076</v>
      </c>
      <c r="BI32" s="684">
        <f>IF(BI$4="forecast",AVERAGE(AW32:BH32),'Dept. Cost Actuals'!BM255)</f>
        <v>239.0829906165894</v>
      </c>
      <c r="BJ32" s="684">
        <f>IF(BJ$4="forecast",AVERAGE(AX32:BI32),'Dept. Cost Actuals'!BN255)</f>
        <v>238.39670349690462</v>
      </c>
      <c r="BK32" s="684">
        <f>IF(BK$4="forecast",AVERAGE(AY32:BJ32),'Dept. Cost Actuals'!BO255)</f>
        <v>237.32462553354608</v>
      </c>
      <c r="BL32" s="684">
        <f>IF(BL$4="forecast",AVERAGE(AZ32:BK32),'Dept. Cost Actuals'!#REF!)</f>
        <v>237.89055746867709</v>
      </c>
      <c r="BM32" s="684">
        <f>IF(BM$4="forecast",AVERAGE(BA32:BL32),'Dept. Cost Actuals'!#REF!)</f>
        <v>238.23374223419879</v>
      </c>
      <c r="BN32" s="684">
        <f>IF(BN$4="forecast",AVERAGE(BB32:BM32),'Dept. Cost Actuals'!#REF!)</f>
        <v>238.42404342883671</v>
      </c>
      <c r="BO32" s="684">
        <f>IF(BO$4="forecast",AVERAGE(BC32:BN32),'Dept. Cost Actuals'!#REF!)</f>
        <v>238.55375862393808</v>
      </c>
      <c r="BP32" s="684">
        <f>IF(BP$4="forecast",AVERAGE(BD32:BO32),'Dept. Cost Actuals'!#REF!)</f>
        <v>238.62590271963461</v>
      </c>
      <c r="BQ32" s="684">
        <f>IF(BQ$4="forecast",AVERAGE(BE32:BP32),'Dept. Cost Actuals'!#REF!)</f>
        <v>238.64561667742058</v>
      </c>
      <c r="BR32" s="684">
        <f>IF(BR$4="forecast",AVERAGE(BF32:BQ32),'Dept. Cost Actuals'!#REF!)</f>
        <v>238.62060116373212</v>
      </c>
      <c r="BS32" s="684">
        <f>IF(BS$4="forecast",AVERAGE(BG32:BR32),'Dept. Cost Actuals'!#REF!)</f>
        <v>238.56161605620949</v>
      </c>
      <c r="BT32" s="684">
        <f>IF(BT$4="forecast",AVERAGE(BH32:BS32),'Dept. Cost Actuals'!#REF!)</f>
        <v>238.48305447443238</v>
      </c>
      <c r="BU32" s="684">
        <f>IF(BU$4="forecast",AVERAGE(BI32:BT32),'Dept. Cost Actuals'!#REF!)</f>
        <v>238.40360104117667</v>
      </c>
      <c r="BV32" s="808">
        <f>IF(BV$4="forecast",AVERAGE(BJ32:BU32),'Dept. Cost Actuals'!#REF!)</f>
        <v>238.34698524322562</v>
      </c>
    </row>
    <row r="33" spans="2:74" x14ac:dyDescent="0.35">
      <c r="B33" s="812" t="s">
        <v>949</v>
      </c>
      <c r="C33" s="684">
        <f>IF(C$4="forecast",AVERAGE(#REF!),'Dept. Cost Actuals'!G213+'Dept. Cost Actuals'!G212)</f>
        <v>572.82144060739211</v>
      </c>
      <c r="D33" s="684">
        <f>IF(D$4="forecast",AVERAGE(#REF!),'Dept. Cost Actuals'!H213+'Dept. Cost Actuals'!H212)</f>
        <v>132.53275000512107</v>
      </c>
      <c r="E33" s="684">
        <f>IF(E$4="forecast",AVERAGE(#REF!),'Dept. Cost Actuals'!I213+'Dept. Cost Actuals'!I212)</f>
        <v>677.44009155458502</v>
      </c>
      <c r="F33" s="684">
        <f>IF(F$4="forecast",AVERAGE(#REF!),'Dept. Cost Actuals'!J213+'Dept. Cost Actuals'!J212)</f>
        <v>191.58981301649402</v>
      </c>
      <c r="G33" s="684">
        <f>IF(G$4="forecast",AVERAGE(#REF!),'Dept. Cost Actuals'!K213+'Dept. Cost Actuals'!K212)</f>
        <v>342.21557837080104</v>
      </c>
      <c r="H33" s="684">
        <f>IF(H$4="forecast",AVERAGE(#REF!),'Dept. Cost Actuals'!L213+'Dept. Cost Actuals'!L212)</f>
        <v>442.62849636968673</v>
      </c>
      <c r="I33" s="684">
        <f>IF(I$4="forecast",AVERAGE(#REF!),'Dept. Cost Actuals'!M213+'Dept. Cost Actuals'!M212)</f>
        <v>311.74010484227074</v>
      </c>
      <c r="J33" s="684">
        <f>IF(J$4="forecast",AVERAGE(#REF!),'Dept. Cost Actuals'!N213+'Dept. Cost Actuals'!N212)</f>
        <v>171.35303728875837</v>
      </c>
      <c r="K33" s="684">
        <f>IF(K$4="forecast",AVERAGE(#REF!),'Dept. Cost Actuals'!O213+'Dept. Cost Actuals'!O212)</f>
        <v>137.12587307496952</v>
      </c>
      <c r="L33" s="684">
        <f>IF(L$4="forecast",AVERAGE(#REF!),'Dept. Cost Actuals'!P213+'Dept. Cost Actuals'!P212)</f>
        <v>286.9447470420813</v>
      </c>
      <c r="M33" s="684">
        <f>IF(M$4="forecast",AVERAGE(A33:L33),'Dept. Cost Actuals'!Q213+'Dept. Cost Actuals'!Q212)</f>
        <v>159.69403453046968</v>
      </c>
      <c r="N33" s="684">
        <f>IF(N$4="forecast",AVERAGE(B33:M33),'Dept. Cost Actuals'!R213+'Dept. Cost Actuals'!R212)</f>
        <v>24.400123615266235</v>
      </c>
      <c r="O33" s="684">
        <f>IF(O$4="forecast",AVERAGE(C33:N33),'Dept. Cost Actuals'!S213+'Dept. Cost Actuals'!S212)</f>
        <v>1000</v>
      </c>
      <c r="P33" s="684">
        <f>IF(P$4="forecast",AVERAGE(D33:O33),'Dept. Cost Actuals'!T213+'Dept. Cost Actuals'!T212)</f>
        <v>0</v>
      </c>
      <c r="Q33" s="684">
        <f>IF(Q$4="forecast",AVERAGE(E33:P33),'Dept. Cost Actuals'!U213+'Dept. Cost Actuals'!U212)</f>
        <v>87.99</v>
      </c>
      <c r="R33" s="684">
        <f>IF(R$4="forecast",AVERAGE(F33:Q33),'Dept. Cost Actuals'!V213+'Dept. Cost Actuals'!V212)</f>
        <v>79.900000000000006</v>
      </c>
      <c r="S33" s="684">
        <f>IF(S$4="forecast",AVERAGE(G33:R33),'Dept. Cost Actuals'!W213+'Dept. Cost Actuals'!W212)</f>
        <v>39.950000000000003</v>
      </c>
      <c r="T33" s="684">
        <f>IF(T$4="forecast",AVERAGE(H33:S33),'Dept. Cost Actuals'!X213+'Dept. Cost Actuals'!X212)</f>
        <v>79.95</v>
      </c>
      <c r="U33" s="684">
        <f>IF(U$4="forecast",AVERAGE(I33:T33),'Dept. Cost Actuals'!Y213+'Dept. Cost Actuals'!Y212)</f>
        <v>0</v>
      </c>
      <c r="V33" s="684">
        <f>IF(V$4="forecast",AVERAGE(J33:U33),'Dept. Cost Actuals'!Z213+'Dept. Cost Actuals'!Z212)</f>
        <v>0</v>
      </c>
      <c r="W33" s="684">
        <f>IF(W$4="forecast",AVERAGE(K33:V33),'Dept. Cost Actuals'!AA213+'Dept. Cost Actuals'!AA212)</f>
        <v>55.95</v>
      </c>
      <c r="X33" s="684">
        <f>IF(X$4="forecast",AVERAGE(L33:W33),'Dept. Cost Actuals'!AB213+'Dept. Cost Actuals'!AB212)</f>
        <v>0</v>
      </c>
      <c r="Y33" s="684">
        <f>IF(Y$4="forecast",AVERAGE(M33:X33),'Dept. Cost Actuals'!AC213+'Dept. Cost Actuals'!AC212)</f>
        <v>0</v>
      </c>
      <c r="Z33" s="684">
        <f>IF(Z$4="forecast",AVERAGE(N33:Y33),'Dept. Cost Actuals'!AD213+'Dept. Cost Actuals'!AD212)</f>
        <v>0</v>
      </c>
      <c r="AA33" s="684">
        <f>IF(AA$4="forecast",SUMIFS(Planning_Mkt!D$5:D$133,Planning_Mkt!$B$5:$B$133,"Computer Supplies &amp; Internet"),'Dept. Cost Actuals'!AE213+'Dept. Cost Actuals'!AE212)</f>
        <v>0</v>
      </c>
      <c r="AB33" s="684">
        <f>IF(AB$4="forecast",SUMIFS(Planning_Mkt!E$5:E$133,Planning_Mkt!$B$5:$B$133,"Computer Supplies &amp; Internet"),'Dept. Cost Actuals'!AF213+'Dept. Cost Actuals'!AF212)</f>
        <v>0</v>
      </c>
      <c r="AC33" s="684">
        <f>IF(AC$4="forecast",SUMIFS(Planning_Mkt!F$5:F$133,Planning_Mkt!$B$5:$B$133,"Computer Supplies &amp; Internet"),'Dept. Cost Actuals'!AG213+'Dept. Cost Actuals'!AG212)</f>
        <v>0</v>
      </c>
      <c r="AD33" s="684">
        <f>IF(AD$4="forecast",SUMIFS(Planning_Mkt!G$5:G$133,Planning_Mkt!$B$5:$B$133,"Computer Supplies &amp; Internet"),'Dept. Cost Actuals'!AH213+'Dept. Cost Actuals'!AH212)</f>
        <v>0</v>
      </c>
      <c r="AE33" s="684">
        <f>IF(AE$4="forecast",SUMIFS(Planning_Mkt!H$5:H$133,Planning_Mkt!$B$5:$B$133,"Computer Supplies &amp; Internet"),'Dept. Cost Actuals'!AI213+'Dept. Cost Actuals'!AI212)</f>
        <v>0</v>
      </c>
      <c r="AF33" s="684">
        <f>IF(AF$4="forecast",SUMIFS(Planning_Mkt!I$5:I$133,Planning_Mkt!$B$5:$B$133,"Computer Supplies &amp; Internet"),'Dept. Cost Actuals'!AJ213+'Dept. Cost Actuals'!AJ212)</f>
        <v>0</v>
      </c>
      <c r="AG33" s="684">
        <f>IF(AG$4="forecast",SUMIFS(Planning_Mkt!J$5:J$133,Planning_Mkt!$B$5:$B$133,"Computer Supplies &amp; Internet"),'Dept. Cost Actuals'!AK213+'Dept. Cost Actuals'!AK212)</f>
        <v>0</v>
      </c>
      <c r="AH33" s="684">
        <f>IF(AH$4="forecast",SUMIFS(Planning_Mkt!K$5:K$133,Planning_Mkt!$B$5:$B$133,"Computer Supplies &amp; Internet"),'Dept. Cost Actuals'!AL213+'Dept. Cost Actuals'!AL212)</f>
        <v>0</v>
      </c>
      <c r="AI33" s="684">
        <f>IF(AI$4="forecast",SUMIFS(Planning_Mkt!L$5:L$133,Planning_Mkt!$B$5:$B$133,"Computer Supplies &amp; Internet"),'Dept. Cost Actuals'!AM213+'Dept. Cost Actuals'!AM212)</f>
        <v>0</v>
      </c>
      <c r="AJ33" s="684">
        <f>IF(AJ$4="forecast",SUMIFS(Planning_Mkt!M$5:M$133,Planning_Mkt!$B$5:$B$133,"Computer Supplies &amp; Internet"),'Dept. Cost Actuals'!AN213+'Dept. Cost Actuals'!AN212)</f>
        <v>0</v>
      </c>
      <c r="AK33" s="684">
        <f>IF(AK$4="forecast",SUMIFS(Planning_Mkt!N$5:N$133,Planning_Mkt!$B$5:$B$133,"Computer Supplies &amp; Internet"),'Dept. Cost Actuals'!AO213+'Dept. Cost Actuals'!AO212)</f>
        <v>0</v>
      </c>
      <c r="AL33" s="684">
        <f>IF(AL$4="forecast",SUMIFS(Planning_Mkt!O$5:O$133,Planning_Mkt!$B$5:$B$133,"Computer Supplies &amp; Internet"),'Dept. Cost Actuals'!AP213+'Dept. Cost Actuals'!AP212)</f>
        <v>0</v>
      </c>
      <c r="AM33" s="684">
        <f>IF(AM$4="forecast",AVERAGE(AA33:AL33),'Dept. Cost Actuals'!AQ213+'Dept. Cost Actuals'!AQ212)</f>
        <v>0</v>
      </c>
      <c r="AN33" s="684">
        <f>IF(AN$4="forecast",AVERAGE(AB33:AM33),'Dept. Cost Actuals'!AR213+'Dept. Cost Actuals'!AR212)</f>
        <v>0</v>
      </c>
      <c r="AO33" s="684">
        <f>IF(AO$4="forecast",AVERAGE(AC33:AN33),'Dept. Cost Actuals'!AS213+'Dept. Cost Actuals'!AS212)</f>
        <v>0</v>
      </c>
      <c r="AP33" s="684">
        <f>IF(AP$4="forecast",AVERAGE(AD33:AO33),'Dept. Cost Actuals'!AT213+'Dept. Cost Actuals'!AT212)</f>
        <v>0</v>
      </c>
      <c r="AQ33" s="684">
        <f>IF(AQ$4="forecast",AVERAGE(AE33:AP33),'Dept. Cost Actuals'!AU213+'Dept. Cost Actuals'!AU212)</f>
        <v>0</v>
      </c>
      <c r="AR33" s="684">
        <f>IF(AR$4="forecast",AVERAGE(AF33:AQ33),'Dept. Cost Actuals'!AV213+'Dept. Cost Actuals'!AV212)</f>
        <v>0</v>
      </c>
      <c r="AS33" s="684">
        <f>IF(AS$4="forecast",AVERAGE(AG33:AR33),'Dept. Cost Actuals'!AW213+'Dept. Cost Actuals'!AW212)</f>
        <v>0</v>
      </c>
      <c r="AT33" s="684">
        <f>IF(AT$4="forecast",AVERAGE(AH33:AS33),'Dept. Cost Actuals'!AX213+'Dept. Cost Actuals'!AX212)</f>
        <v>0</v>
      </c>
      <c r="AU33" s="684">
        <f>IF(AU$4="forecast",AVERAGE(AI33:AT33),'Dept. Cost Actuals'!AY213+'Dept. Cost Actuals'!AY212)</f>
        <v>0</v>
      </c>
      <c r="AV33" s="684">
        <f>IF(AV$4="forecast",AVERAGE(AJ33:AU33),'Dept. Cost Actuals'!AZ213+'Dept. Cost Actuals'!AZ212)</f>
        <v>0</v>
      </c>
      <c r="AW33" s="684">
        <f>IF(AW$4="forecast",AVERAGE(AK33:AV33),'Dept. Cost Actuals'!BA213+'Dept. Cost Actuals'!BA212)</f>
        <v>0</v>
      </c>
      <c r="AX33" s="684">
        <f>IF(AX$4="forecast",AVERAGE(AL33:AW33),'Dept. Cost Actuals'!BB213+'Dept. Cost Actuals'!BB212)</f>
        <v>0</v>
      </c>
      <c r="AY33" s="684">
        <f>IF(AY$4="forecast",AVERAGE(AM33:AX33),'Dept. Cost Actuals'!BC213+'Dept. Cost Actuals'!BC212)</f>
        <v>0</v>
      </c>
      <c r="AZ33" s="684">
        <f>IF(AZ$4="forecast",AVERAGE(AN33:AY33),'Dept. Cost Actuals'!BD213+'Dept. Cost Actuals'!BD212)</f>
        <v>0</v>
      </c>
      <c r="BA33" s="684">
        <f>IF(BA$4="forecast",AVERAGE(AO33:AZ33),'Dept. Cost Actuals'!BE213+'Dept. Cost Actuals'!BE212)</f>
        <v>0</v>
      </c>
      <c r="BB33" s="684">
        <f>IF(BB$4="forecast",AVERAGE(AP33:BA33),'Dept. Cost Actuals'!BF213+'Dept. Cost Actuals'!BF212)</f>
        <v>0</v>
      </c>
      <c r="BC33" s="684">
        <f>IF(BC$4="forecast",AVERAGE(AQ33:BB33),'Dept. Cost Actuals'!BG213+'Dept. Cost Actuals'!BG212)</f>
        <v>0</v>
      </c>
      <c r="BD33" s="684">
        <f>IF(BD$4="forecast",AVERAGE(AR33:BC33),'Dept. Cost Actuals'!BH213+'Dept. Cost Actuals'!BH212)</f>
        <v>0</v>
      </c>
      <c r="BE33" s="684">
        <f>IF(BE$4="forecast",AVERAGE(AS33:BD33),'Dept. Cost Actuals'!BI213+'Dept. Cost Actuals'!BI212)</f>
        <v>0</v>
      </c>
      <c r="BF33" s="684">
        <f>IF(BF$4="forecast",AVERAGE(AT33:BE33),'Dept. Cost Actuals'!BJ213+'Dept. Cost Actuals'!BJ212)</f>
        <v>0</v>
      </c>
      <c r="BG33" s="684">
        <f>IF(BG$4="forecast",AVERAGE(AU33:BF33),'Dept. Cost Actuals'!BK213+'Dept. Cost Actuals'!BK212)</f>
        <v>0</v>
      </c>
      <c r="BH33" s="684">
        <f>IF(BH$4="forecast",AVERAGE(AV33:BG33),'Dept. Cost Actuals'!BL213+'Dept. Cost Actuals'!BL212)</f>
        <v>0</v>
      </c>
      <c r="BI33" s="684">
        <f>IF(BI$4="forecast",AVERAGE(AW33:BH33),'Dept. Cost Actuals'!BM213+'Dept. Cost Actuals'!BM212)</f>
        <v>0</v>
      </c>
      <c r="BJ33" s="684">
        <f>IF(BJ$4="forecast",AVERAGE(AX33:BI33),'Dept. Cost Actuals'!BN213+'Dept. Cost Actuals'!BN212)</f>
        <v>0</v>
      </c>
      <c r="BK33" s="684">
        <f>IF(BK$4="forecast",AVERAGE(AY33:BJ33),'Dept. Cost Actuals'!BO213+'Dept. Cost Actuals'!BO212)</f>
        <v>0</v>
      </c>
      <c r="BL33" s="684">
        <f>IF(BL$4="forecast",AVERAGE(AZ33:BK33),'Dept. Cost Actuals'!#REF!+'Dept. Cost Actuals'!#REF!)</f>
        <v>0</v>
      </c>
      <c r="BM33" s="684">
        <f>IF(BM$4="forecast",AVERAGE(BA33:BL33),'Dept. Cost Actuals'!#REF!+'Dept. Cost Actuals'!#REF!)</f>
        <v>0</v>
      </c>
      <c r="BN33" s="684">
        <f>IF(BN$4="forecast",AVERAGE(BB33:BM33),'Dept. Cost Actuals'!#REF!+'Dept. Cost Actuals'!#REF!)</f>
        <v>0</v>
      </c>
      <c r="BO33" s="684">
        <f>IF(BO$4="forecast",AVERAGE(BC33:BN33),'Dept. Cost Actuals'!#REF!+'Dept. Cost Actuals'!#REF!)</f>
        <v>0</v>
      </c>
      <c r="BP33" s="684">
        <f>IF(BP$4="forecast",AVERAGE(BD33:BO33),'Dept. Cost Actuals'!#REF!+'Dept. Cost Actuals'!#REF!)</f>
        <v>0</v>
      </c>
      <c r="BQ33" s="684">
        <f>IF(BQ$4="forecast",AVERAGE(BE33:BP33),'Dept. Cost Actuals'!#REF!+'Dept. Cost Actuals'!#REF!)</f>
        <v>0</v>
      </c>
      <c r="BR33" s="684">
        <f>IF(BR$4="forecast",AVERAGE(BF33:BQ33),'Dept. Cost Actuals'!#REF!+'Dept. Cost Actuals'!#REF!)</f>
        <v>0</v>
      </c>
      <c r="BS33" s="684">
        <f>IF(BS$4="forecast",AVERAGE(BG33:BR33),'Dept. Cost Actuals'!#REF!+'Dept. Cost Actuals'!#REF!)</f>
        <v>0</v>
      </c>
      <c r="BT33" s="684">
        <f>IF(BT$4="forecast",AVERAGE(BH33:BS33),'Dept. Cost Actuals'!#REF!+'Dept. Cost Actuals'!#REF!)</f>
        <v>0</v>
      </c>
      <c r="BU33" s="684">
        <f>IF(BU$4="forecast",AVERAGE(BI33:BT33),'Dept. Cost Actuals'!#REF!+'Dept. Cost Actuals'!#REF!)</f>
        <v>0</v>
      </c>
      <c r="BV33" s="808">
        <f>IF(BV$4="forecast",AVERAGE(BJ33:BU33),'Dept. Cost Actuals'!#REF!+'Dept. Cost Actuals'!#REF!)</f>
        <v>0</v>
      </c>
    </row>
    <row r="34" spans="2:74" x14ac:dyDescent="0.35">
      <c r="B34" s="812" t="s">
        <v>950</v>
      </c>
      <c r="C34" s="684">
        <f>IF(C$4="forecast",AVERAGE(#REF!),'Dept. Cost Actuals'!G256)</f>
        <v>0</v>
      </c>
      <c r="D34" s="684">
        <f>IF(D$4="forecast",AVERAGE(#REF!),'Dept. Cost Actuals'!H256)</f>
        <v>0</v>
      </c>
      <c r="E34" s="684">
        <f>IF(E$4="forecast",AVERAGE(#REF!),'Dept. Cost Actuals'!I256)</f>
        <v>0</v>
      </c>
      <c r="F34" s="684">
        <f>IF(F$4="forecast",AVERAGE(#REF!),'Dept. Cost Actuals'!J256)</f>
        <v>104.53077316869542</v>
      </c>
      <c r="G34" s="684">
        <f>IF(G$4="forecast",AVERAGE(#REF!),'Dept. Cost Actuals'!K256)</f>
        <v>9.7954529939117823</v>
      </c>
      <c r="H34" s="684">
        <f>IF(H$4="forecast",AVERAGE(#REF!),'Dept. Cost Actuals'!L256)</f>
        <v>0</v>
      </c>
      <c r="I34" s="684">
        <f>IF(I$4="forecast",AVERAGE(#REF!),'Dept. Cost Actuals'!M256)</f>
        <v>0</v>
      </c>
      <c r="J34" s="684">
        <f>IF(J$4="forecast",AVERAGE(#REF!),'Dept. Cost Actuals'!N256)</f>
        <v>0</v>
      </c>
      <c r="K34" s="684">
        <f>IF(K$4="forecast",AVERAGE(#REF!),'Dept. Cost Actuals'!O256)</f>
        <v>4.7099513701203142</v>
      </c>
      <c r="L34" s="684">
        <f>IF(L$4="forecast",AVERAGE(#REF!),'Dept. Cost Actuals'!P256)</f>
        <v>9.1429443841350849E-2</v>
      </c>
      <c r="M34" s="684">
        <f>IF(M$4="forecast",AVERAGE(A34:L34),'Dept. Cost Actuals'!Q256)</f>
        <v>7.6016120055644532</v>
      </c>
      <c r="N34" s="684">
        <f>IF(N$4="forecast",AVERAGE(B34:M34),'Dept. Cost Actuals'!R256)</f>
        <v>0</v>
      </c>
      <c r="O34" s="684">
        <f>IF(O$4="forecast",AVERAGE(C34:N34),'Dept. Cost Actuals'!S256)</f>
        <v>654</v>
      </c>
      <c r="P34" s="684">
        <f>IF(P$4="forecast",AVERAGE(D34:O34),'Dept. Cost Actuals'!T256)</f>
        <v>0</v>
      </c>
      <c r="Q34" s="684">
        <f>IF(Q$4="forecast",AVERAGE(E34:P34),'Dept. Cost Actuals'!U256)</f>
        <v>29.74</v>
      </c>
      <c r="R34" s="684">
        <f>IF(R$4="forecast",AVERAGE(F34:Q34),'Dept. Cost Actuals'!V256)</f>
        <v>0</v>
      </c>
      <c r="S34" s="684">
        <f>IF(S$4="forecast",AVERAGE(G34:R34),'Dept. Cost Actuals'!W256)</f>
        <v>618.03</v>
      </c>
      <c r="T34" s="684">
        <f>IF(T$4="forecast",AVERAGE(H34:S34),'Dept. Cost Actuals'!X256)</f>
        <v>0</v>
      </c>
      <c r="U34" s="684">
        <f>IF(U$4="forecast",AVERAGE(I34:T34),'Dept. Cost Actuals'!Y256)</f>
        <v>0</v>
      </c>
      <c r="V34" s="684">
        <f>IF(V$4="forecast",AVERAGE(J34:U34),'Dept. Cost Actuals'!Z256)</f>
        <v>0</v>
      </c>
      <c r="W34" s="684">
        <f>IF(W$4="forecast",AVERAGE(K34:V34),'Dept. Cost Actuals'!AA256)</f>
        <v>0</v>
      </c>
      <c r="X34" s="684">
        <f>IF(X$4="forecast",AVERAGE(L34:W34),'Dept. Cost Actuals'!AB256)</f>
        <v>0</v>
      </c>
      <c r="Y34" s="684">
        <f>IF(Y$4="forecast",AVERAGE(M34:X34),'Dept. Cost Actuals'!AC256)</f>
        <v>0</v>
      </c>
      <c r="Z34" s="684">
        <f>IF(Z$4="forecast",AVERAGE(N34:Y34),'Dept. Cost Actuals'!AD256)</f>
        <v>86.5</v>
      </c>
      <c r="AA34" s="684">
        <f>IF(AA$4="forecast",SUMIFS(Planning_Mkt!D$5:D$133,Planning_Mkt!$B$5:$B$133,"Printing and Reproduction"),'Dept. Cost Actuals'!AE256)</f>
        <v>0</v>
      </c>
      <c r="AB34" s="684">
        <f>IF(AB$4="forecast",SUMIFS(Planning_Mkt!E$5:E$133,Planning_Mkt!$B$5:$B$133,"Printing and Reproduction"),'Dept. Cost Actuals'!AF256)</f>
        <v>0</v>
      </c>
      <c r="AC34" s="684">
        <f>IF(AC$4="forecast",SUMIFS(Planning_Mkt!F$5:F$133,Planning_Mkt!$B$5:$B$133,"Printing and Reproduction"),'Dept. Cost Actuals'!AG256)</f>
        <v>0</v>
      </c>
      <c r="AD34" s="684">
        <f>IF(AD$4="forecast",SUMIFS(Planning_Mkt!G$5:G$133,Planning_Mkt!$B$5:$B$133,"Printing and Reproduction"),'Dept. Cost Actuals'!AH256)</f>
        <v>0</v>
      </c>
      <c r="AE34" s="684">
        <f>IF(AE$4="forecast",SUMIFS(Planning_Mkt!H$5:H$133,Planning_Mkt!$B$5:$B$133,"Printing and Reproduction"),'Dept. Cost Actuals'!AI256)</f>
        <v>0</v>
      </c>
      <c r="AF34" s="684">
        <f>IF(AF$4="forecast",SUMIFS(Planning_Mkt!I$5:I$133,Planning_Mkt!$B$5:$B$133,"Printing and Reproduction"),'Dept. Cost Actuals'!AJ256)</f>
        <v>0</v>
      </c>
      <c r="AG34" s="684">
        <f>IF(AG$4="forecast",SUMIFS(Planning_Mkt!J$5:J$133,Planning_Mkt!$B$5:$B$133,"Printing and Reproduction"),'Dept. Cost Actuals'!AK256)</f>
        <v>0</v>
      </c>
      <c r="AH34" s="684">
        <f>IF(AH$4="forecast",SUMIFS(Planning_Mkt!K$5:K$133,Planning_Mkt!$B$5:$B$133,"Printing and Reproduction"),'Dept. Cost Actuals'!AL256)</f>
        <v>0</v>
      </c>
      <c r="AI34" s="684">
        <f>IF(AI$4="forecast",SUMIFS(Planning_Mkt!L$5:L$133,Planning_Mkt!$B$5:$B$133,"Printing and Reproduction"),'Dept. Cost Actuals'!AM256)</f>
        <v>0</v>
      </c>
      <c r="AJ34" s="684">
        <f>IF(AJ$4="forecast",SUMIFS(Planning_Mkt!M$5:M$133,Planning_Mkt!$B$5:$B$133,"Printing and Reproduction"),'Dept. Cost Actuals'!AN256)</f>
        <v>0</v>
      </c>
      <c r="AK34" s="684">
        <f>IF(AK$4="forecast",SUMIFS(Planning_Mkt!N$5:N$133,Planning_Mkt!$B$5:$B$133,"Printing and Reproduction"),'Dept. Cost Actuals'!AO256)</f>
        <v>0</v>
      </c>
      <c r="AL34" s="684">
        <f>IF(AL$4="forecast",SUMIFS(Planning_Mkt!O$5:O$133,Planning_Mkt!$B$5:$B$133,"Printing and Reproduction"),'Dept. Cost Actuals'!AP256)</f>
        <v>0</v>
      </c>
      <c r="AM34" s="684">
        <f>IF(AM$4="forecast",AVERAGE(AA34:AL34),'Dept. Cost Actuals'!AQ256)</f>
        <v>0</v>
      </c>
      <c r="AN34" s="684">
        <f>IF(AN$4="forecast",AVERAGE(AB34:AM34),'Dept. Cost Actuals'!AR256)</f>
        <v>0</v>
      </c>
      <c r="AO34" s="684">
        <f>IF(AO$4="forecast",AVERAGE(AC34:AN34),'Dept. Cost Actuals'!AS256)</f>
        <v>0</v>
      </c>
      <c r="AP34" s="684">
        <f>IF(AP$4="forecast",AVERAGE(AD34:AO34),'Dept. Cost Actuals'!AT256)</f>
        <v>0</v>
      </c>
      <c r="AQ34" s="684">
        <f>IF(AQ$4="forecast",AVERAGE(AE34:AP34),'Dept. Cost Actuals'!AU256)</f>
        <v>0</v>
      </c>
      <c r="AR34" s="684">
        <f>IF(AR$4="forecast",AVERAGE(AF34:AQ34),'Dept. Cost Actuals'!AV256)</f>
        <v>0</v>
      </c>
      <c r="AS34" s="684">
        <f>IF(AS$4="forecast",AVERAGE(AG34:AR34),'Dept. Cost Actuals'!AW256)</f>
        <v>0</v>
      </c>
      <c r="AT34" s="684">
        <f>IF(AT$4="forecast",AVERAGE(AH34:AS34),'Dept. Cost Actuals'!AX256)</f>
        <v>0</v>
      </c>
      <c r="AU34" s="684">
        <f>IF(AU$4="forecast",AVERAGE(AI34:AT34),'Dept. Cost Actuals'!AY256)</f>
        <v>0</v>
      </c>
      <c r="AV34" s="684">
        <f>IF(AV$4="forecast",AVERAGE(AJ34:AU34),'Dept. Cost Actuals'!AZ256)</f>
        <v>0</v>
      </c>
      <c r="AW34" s="684">
        <f>IF(AW$4="forecast",AVERAGE(AK34:AV34),'Dept. Cost Actuals'!BA256)</f>
        <v>0</v>
      </c>
      <c r="AX34" s="684">
        <f>IF(AX$4="forecast",AVERAGE(AL34:AW34),'Dept. Cost Actuals'!BB256)</f>
        <v>0</v>
      </c>
      <c r="AY34" s="684">
        <f>IF(AY$4="forecast",AVERAGE(AM34:AX34),'Dept. Cost Actuals'!BC256)</f>
        <v>0</v>
      </c>
      <c r="AZ34" s="684">
        <f>IF(AZ$4="forecast",AVERAGE(AN34:AY34),'Dept. Cost Actuals'!BD256)</f>
        <v>0</v>
      </c>
      <c r="BA34" s="684">
        <f>IF(BA$4="forecast",AVERAGE(AO34:AZ34),'Dept. Cost Actuals'!BE256)</f>
        <v>0</v>
      </c>
      <c r="BB34" s="684">
        <f>IF(BB$4="forecast",AVERAGE(AP34:BA34),'Dept. Cost Actuals'!BF256)</f>
        <v>0</v>
      </c>
      <c r="BC34" s="684">
        <f>IF(BC$4="forecast",AVERAGE(AQ34:BB34),'Dept. Cost Actuals'!BG256)</f>
        <v>0</v>
      </c>
      <c r="BD34" s="684">
        <f>IF(BD$4="forecast",AVERAGE(AR34:BC34),'Dept. Cost Actuals'!BH256)</f>
        <v>0</v>
      </c>
      <c r="BE34" s="684">
        <f>IF(BE$4="forecast",AVERAGE(AS34:BD34),'Dept. Cost Actuals'!BI256)</f>
        <v>0</v>
      </c>
      <c r="BF34" s="684">
        <f>IF(BF$4="forecast",AVERAGE(AT34:BE34),'Dept. Cost Actuals'!BJ256)</f>
        <v>0</v>
      </c>
      <c r="BG34" s="684">
        <f>IF(BG$4="forecast",AVERAGE(AU34:BF34),'Dept. Cost Actuals'!BK256)</f>
        <v>0</v>
      </c>
      <c r="BH34" s="684">
        <f>IF(BH$4="forecast",AVERAGE(AV34:BG34),'Dept. Cost Actuals'!BL256)</f>
        <v>0</v>
      </c>
      <c r="BI34" s="684">
        <f>IF(BI$4="forecast",AVERAGE(AW34:BH34),'Dept. Cost Actuals'!BM256)</f>
        <v>0</v>
      </c>
      <c r="BJ34" s="684">
        <f>IF(BJ$4="forecast",AVERAGE(AX34:BI34),'Dept. Cost Actuals'!BN256)</f>
        <v>0</v>
      </c>
      <c r="BK34" s="684">
        <f>IF(BK$4="forecast",AVERAGE(AY34:BJ34),'Dept. Cost Actuals'!BO256)</f>
        <v>0</v>
      </c>
      <c r="BL34" s="684">
        <f>IF(BL$4="forecast",AVERAGE(AZ34:BK34),'Dept. Cost Actuals'!#REF!)</f>
        <v>0</v>
      </c>
      <c r="BM34" s="684">
        <f>IF(BM$4="forecast",AVERAGE(BA34:BL34),'Dept. Cost Actuals'!#REF!)</f>
        <v>0</v>
      </c>
      <c r="BN34" s="684">
        <f>IF(BN$4="forecast",AVERAGE(BB34:BM34),'Dept. Cost Actuals'!#REF!)</f>
        <v>0</v>
      </c>
      <c r="BO34" s="684">
        <f>IF(BO$4="forecast",AVERAGE(BC34:BN34),'Dept. Cost Actuals'!#REF!)</f>
        <v>0</v>
      </c>
      <c r="BP34" s="684">
        <f>IF(BP$4="forecast",AVERAGE(BD34:BO34),'Dept. Cost Actuals'!#REF!)</f>
        <v>0</v>
      </c>
      <c r="BQ34" s="684">
        <f>IF(BQ$4="forecast",AVERAGE(BE34:BP34),'Dept. Cost Actuals'!#REF!)</f>
        <v>0</v>
      </c>
      <c r="BR34" s="684">
        <f>IF(BR$4="forecast",AVERAGE(BF34:BQ34),'Dept. Cost Actuals'!#REF!)</f>
        <v>0</v>
      </c>
      <c r="BS34" s="684">
        <f>IF(BS$4="forecast",AVERAGE(BG34:BR34),'Dept. Cost Actuals'!#REF!)</f>
        <v>0</v>
      </c>
      <c r="BT34" s="684">
        <f>IF(BT$4="forecast",AVERAGE(BH34:BS34),'Dept. Cost Actuals'!#REF!)</f>
        <v>0</v>
      </c>
      <c r="BU34" s="684">
        <f>IF(BU$4="forecast",AVERAGE(BI34:BT34),'Dept. Cost Actuals'!#REF!)</f>
        <v>0</v>
      </c>
      <c r="BV34" s="808">
        <f>IF(BV$4="forecast",AVERAGE(BJ34:BU34),'Dept. Cost Actuals'!#REF!)</f>
        <v>0</v>
      </c>
    </row>
    <row r="35" spans="2:74" x14ac:dyDescent="0.35">
      <c r="B35" s="812" t="s">
        <v>1070</v>
      </c>
      <c r="C35" s="684">
        <f>IF(C$4="forecast",AVERAGE(#REF!),'Dept. Cost Actuals'!G265)</f>
        <v>0</v>
      </c>
      <c r="D35" s="684">
        <f>IF(D$4="forecast",AVERAGE(#REF!),'Dept. Cost Actuals'!H265)</f>
        <v>0</v>
      </c>
      <c r="E35" s="684">
        <f>IF(E$4="forecast",AVERAGE(#REF!),'Dept. Cost Actuals'!I265)</f>
        <v>0</v>
      </c>
      <c r="F35" s="684">
        <f>IF(F$4="forecast",AVERAGE(#REF!),'Dept. Cost Actuals'!J265)</f>
        <v>0</v>
      </c>
      <c r="G35" s="684">
        <f>IF(G$4="forecast",AVERAGE(#REF!),'Dept. Cost Actuals'!K265)</f>
        <v>0</v>
      </c>
      <c r="H35" s="684">
        <f>IF(H$4="forecast",AVERAGE(#REF!),'Dept. Cost Actuals'!L265)</f>
        <v>0</v>
      </c>
      <c r="I35" s="684">
        <f>IF(I$4="forecast",AVERAGE(#REF!),'Dept. Cost Actuals'!M265)</f>
        <v>0</v>
      </c>
      <c r="J35" s="684">
        <f>IF(J$4="forecast",AVERAGE(#REF!),'Dept. Cost Actuals'!N265)</f>
        <v>0</v>
      </c>
      <c r="K35" s="684">
        <f>IF(K$4="forecast",AVERAGE(#REF!),'Dept. Cost Actuals'!O265)</f>
        <v>0</v>
      </c>
      <c r="L35" s="684">
        <f>IF(L$4="forecast",AVERAGE(#REF!),'Dept. Cost Actuals'!P265)</f>
        <v>0</v>
      </c>
      <c r="M35" s="684">
        <f>IF(M$4="forecast",AVERAGE(A35:L35),'Dept. Cost Actuals'!Q265)</f>
        <v>0</v>
      </c>
      <c r="N35" s="684">
        <f>IF(N$4="forecast",AVERAGE(B35:M35),'Dept. Cost Actuals'!R265)</f>
        <v>0</v>
      </c>
      <c r="O35" s="684">
        <f>IF(O$4="forecast",AVERAGE(C35:N35),'Dept. Cost Actuals'!S265)</f>
        <v>0</v>
      </c>
      <c r="P35" s="684">
        <f>IF(P$4="forecast",AVERAGE(D35:O35),'Dept. Cost Actuals'!T265)</f>
        <v>0</v>
      </c>
      <c r="Q35" s="684">
        <f>IF(Q$4="forecast",AVERAGE(E35:P35),'Dept. Cost Actuals'!U265)</f>
        <v>0</v>
      </c>
      <c r="R35" s="684">
        <f>IF(R$4="forecast",AVERAGE(F35:Q35),'Dept. Cost Actuals'!V265)</f>
        <v>0</v>
      </c>
      <c r="S35" s="684">
        <f>IF(S$4="forecast",AVERAGE(G35:R35),'Dept. Cost Actuals'!W265)</f>
        <v>0</v>
      </c>
      <c r="T35" s="684">
        <f>IF(T$4="forecast",AVERAGE(H35:S35),'Dept. Cost Actuals'!X265)</f>
        <v>0</v>
      </c>
      <c r="U35" s="684">
        <f>IF(U$4="forecast",AVERAGE(I35:T35),'Dept. Cost Actuals'!Y265)</f>
        <v>0</v>
      </c>
      <c r="V35" s="684">
        <f>IF(V$4="forecast",AVERAGE(J35:U35),'Dept. Cost Actuals'!Z265)</f>
        <v>0</v>
      </c>
      <c r="W35" s="684">
        <f>IF(W$4="forecast",AVERAGE(K35:V35),'Dept. Cost Actuals'!AA265)</f>
        <v>0</v>
      </c>
      <c r="X35" s="684">
        <f>IF(X$4="forecast",AVERAGE(L35:W35),'Dept. Cost Actuals'!AB265)</f>
        <v>0</v>
      </c>
      <c r="Y35" s="684">
        <f>IF(Y$4="forecast",AVERAGE(M35:X35),'Dept. Cost Actuals'!AC265)</f>
        <v>0</v>
      </c>
      <c r="Z35" s="684">
        <f>IF(Z$4="forecast",AVERAGE(N35:Y35),'Dept. Cost Actuals'!AD265)</f>
        <v>0</v>
      </c>
      <c r="AA35" s="684">
        <f>IF(AA$4="forecast",SUMIFS(Planning_Mkt!D$5:D$133,Planning_Mkt!$B$5:$B$133,"Phone Service- Marketing &amp; Support"),'Dept. Cost Actuals'!AE265)</f>
        <v>0</v>
      </c>
      <c r="AB35" s="684">
        <f>IF(AB$4="forecast",SUMIFS(Planning_Mkt!E$5:E$133,Planning_Mkt!$B$5:$B$133,"Phone Service- Marketing &amp; Support"),'Dept. Cost Actuals'!AF265)</f>
        <v>0</v>
      </c>
      <c r="AC35" s="684">
        <f>IF(AC$4="forecast",SUMIFS(Planning_Mkt!F$5:F$133,Planning_Mkt!$B$5:$B$133,"Phone Service- Marketing &amp; Support"),'Dept. Cost Actuals'!AG265)</f>
        <v>0</v>
      </c>
      <c r="AD35" s="684">
        <f>IF(AD$4="forecast",SUMIFS(Planning_Mkt!G$5:G$133,Planning_Mkt!$B$5:$B$133,"Phone Service- Marketing &amp; Support"),'Dept. Cost Actuals'!AH265)</f>
        <v>0</v>
      </c>
      <c r="AE35" s="684">
        <f>IF(AE$4="forecast",SUMIFS(Planning_Mkt!H$5:H$133,Planning_Mkt!$B$5:$B$133,"Phone Service- Marketing &amp; Support"),'Dept. Cost Actuals'!AI265)</f>
        <v>0</v>
      </c>
      <c r="AF35" s="684">
        <f>IF(AF$4="forecast",SUMIFS(Planning_Mkt!I$5:I$133,Planning_Mkt!$B$5:$B$133,"Phone Service- Marketing &amp; Support"),'Dept. Cost Actuals'!AJ265)</f>
        <v>0</v>
      </c>
      <c r="AG35" s="684">
        <f>IF(AG$4="forecast",SUMIFS(Planning_Mkt!J$5:J$133,Planning_Mkt!$B$5:$B$133,"Phone Service- Marketing &amp; Support"),'Dept. Cost Actuals'!AK265)</f>
        <v>0</v>
      </c>
      <c r="AH35" s="684">
        <f>IF(AH$4="forecast",SUMIFS(Planning_Mkt!K$5:K$133,Planning_Mkt!$B$5:$B$133,"Phone Service- Marketing &amp; Support"),'Dept. Cost Actuals'!AL265)</f>
        <v>0</v>
      </c>
      <c r="AI35" s="684">
        <f>IF(AI$4="forecast",SUMIFS(Planning_Mkt!L$5:L$133,Planning_Mkt!$B$5:$B$133,"Phone Service- Marketing &amp; Support"),'Dept. Cost Actuals'!AM265)</f>
        <v>0</v>
      </c>
      <c r="AJ35" s="684">
        <f>IF(AJ$4="forecast",SUMIFS(Planning_Mkt!M$5:M$133,Planning_Mkt!$B$5:$B$133,"Phone Service- Marketing &amp; Support"),'Dept. Cost Actuals'!AN265)</f>
        <v>0</v>
      </c>
      <c r="AK35" s="684">
        <f>IF(AK$4="forecast",SUMIFS(Planning_Mkt!N$5:N$133,Planning_Mkt!$B$5:$B$133,"Phone Service- Marketing &amp; Support"),'Dept. Cost Actuals'!AO265)</f>
        <v>0</v>
      </c>
      <c r="AL35" s="684">
        <f>IF(AL$4="forecast",SUMIFS(Planning_Mkt!O$5:O$133,Planning_Mkt!$B$5:$B$133,"Phone Service- Marketing &amp; Support"),'Dept. Cost Actuals'!AP265)</f>
        <v>0</v>
      </c>
      <c r="AM35" s="684">
        <f>IF(AM$4="forecast",AVERAGE(AA35:AL35),'Dept. Cost Actuals'!AQ265)</f>
        <v>0</v>
      </c>
      <c r="AN35" s="684">
        <f>IF(AN$4="forecast",AVERAGE(AB35:AM35),'Dept. Cost Actuals'!AR265)</f>
        <v>0</v>
      </c>
      <c r="AO35" s="684">
        <f>IF(AO$4="forecast",AVERAGE(AC35:AN35),'Dept. Cost Actuals'!AS265)</f>
        <v>0</v>
      </c>
      <c r="AP35" s="684">
        <f>IF(AP$4="forecast",AVERAGE(AD35:AO35),'Dept. Cost Actuals'!AT265)</f>
        <v>0</v>
      </c>
      <c r="AQ35" s="684">
        <f>IF(AQ$4="forecast",AVERAGE(AE35:AP35),'Dept. Cost Actuals'!AU265)</f>
        <v>0</v>
      </c>
      <c r="AR35" s="684">
        <f>IF(AR$4="forecast",AVERAGE(AF35:AQ35),'Dept. Cost Actuals'!AV265)</f>
        <v>0</v>
      </c>
      <c r="AS35" s="684">
        <f>IF(AS$4="forecast",AVERAGE(AG35:AR35),'Dept. Cost Actuals'!AW265)</f>
        <v>0</v>
      </c>
      <c r="AT35" s="684">
        <f>IF(AT$4="forecast",AVERAGE(AH35:AS35),'Dept. Cost Actuals'!AX265)</f>
        <v>0</v>
      </c>
      <c r="AU35" s="684">
        <f>IF(AU$4="forecast",AVERAGE(AI35:AT35),'Dept. Cost Actuals'!AY265)</f>
        <v>0</v>
      </c>
      <c r="AV35" s="684">
        <f>IF(AV$4="forecast",AVERAGE(AJ35:AU35),'Dept. Cost Actuals'!AZ265)</f>
        <v>0</v>
      </c>
      <c r="AW35" s="684">
        <f>IF(AW$4="forecast",AVERAGE(AK35:AV35),'Dept. Cost Actuals'!BA265)</f>
        <v>0</v>
      </c>
      <c r="AX35" s="684">
        <f>IF(AX$4="forecast",AVERAGE(AL35:AW35),'Dept. Cost Actuals'!BB265)</f>
        <v>0</v>
      </c>
      <c r="AY35" s="684">
        <f>IF(AY$4="forecast",AVERAGE(AM35:AX35),'Dept. Cost Actuals'!BC265)</f>
        <v>0</v>
      </c>
      <c r="AZ35" s="684">
        <f>IF(AZ$4="forecast",AVERAGE(AN35:AY35),'Dept. Cost Actuals'!BD265)</f>
        <v>0</v>
      </c>
      <c r="BA35" s="684">
        <f>IF(BA$4="forecast",AVERAGE(AO35:AZ35),'Dept. Cost Actuals'!BE265)</f>
        <v>0</v>
      </c>
      <c r="BB35" s="684">
        <f>IF(BB$4="forecast",AVERAGE(AP35:BA35),'Dept. Cost Actuals'!BF265)</f>
        <v>0</v>
      </c>
      <c r="BC35" s="684">
        <f>IF(BC$4="forecast",AVERAGE(AQ35:BB35),'Dept. Cost Actuals'!BG265)</f>
        <v>0</v>
      </c>
      <c r="BD35" s="684">
        <f>IF(BD$4="forecast",AVERAGE(AR35:BC35),'Dept. Cost Actuals'!BH265)</f>
        <v>0</v>
      </c>
      <c r="BE35" s="684">
        <f>IF(BE$4="forecast",AVERAGE(AS35:BD35),'Dept. Cost Actuals'!BI265)</f>
        <v>0</v>
      </c>
      <c r="BF35" s="684">
        <f>IF(BF$4="forecast",AVERAGE(AT35:BE35),'Dept. Cost Actuals'!BJ265)</f>
        <v>0</v>
      </c>
      <c r="BG35" s="684">
        <f>IF(BG$4="forecast",AVERAGE(AU35:BF35),'Dept. Cost Actuals'!BK265)</f>
        <v>0</v>
      </c>
      <c r="BH35" s="684">
        <f>IF(BH$4="forecast",AVERAGE(AV35:BG35),'Dept. Cost Actuals'!BL265)</f>
        <v>0</v>
      </c>
      <c r="BI35" s="684">
        <f>IF(BI$4="forecast",AVERAGE(AW35:BH35),'Dept. Cost Actuals'!BM265)</f>
        <v>0</v>
      </c>
      <c r="BJ35" s="684">
        <f>IF(BJ$4="forecast",AVERAGE(AX35:BI35),'Dept. Cost Actuals'!BN265)</f>
        <v>0</v>
      </c>
      <c r="BK35" s="684">
        <f>IF(BK$4="forecast",AVERAGE(AY35:BJ35),'Dept. Cost Actuals'!BO265)</f>
        <v>0</v>
      </c>
      <c r="BL35" s="684">
        <f>IF(BL$4="forecast",AVERAGE(AZ35:BK35),'Dept. Cost Actuals'!#REF!)</f>
        <v>0</v>
      </c>
      <c r="BM35" s="684">
        <f>IF(BM$4="forecast",AVERAGE(BA35:BL35),'Dept. Cost Actuals'!#REF!)</f>
        <v>0</v>
      </c>
      <c r="BN35" s="684">
        <f>IF(BN$4="forecast",AVERAGE(BB35:BM35),'Dept. Cost Actuals'!#REF!)</f>
        <v>0</v>
      </c>
      <c r="BO35" s="684">
        <f>IF(BO$4="forecast",AVERAGE(BC35:BN35),'Dept. Cost Actuals'!#REF!)</f>
        <v>0</v>
      </c>
      <c r="BP35" s="684">
        <f>IF(BP$4="forecast",AVERAGE(BD35:BO35),'Dept. Cost Actuals'!#REF!)</f>
        <v>0</v>
      </c>
      <c r="BQ35" s="684">
        <f>IF(BQ$4="forecast",AVERAGE(BE35:BP35),'Dept. Cost Actuals'!#REF!)</f>
        <v>0</v>
      </c>
      <c r="BR35" s="684">
        <f>IF(BR$4="forecast",AVERAGE(BF35:BQ35),'Dept. Cost Actuals'!#REF!)</f>
        <v>0</v>
      </c>
      <c r="BS35" s="684">
        <f>IF(BS$4="forecast",AVERAGE(BG35:BR35),'Dept. Cost Actuals'!#REF!)</f>
        <v>0</v>
      </c>
      <c r="BT35" s="684">
        <f>IF(BT$4="forecast",AVERAGE(BH35:BS35),'Dept. Cost Actuals'!#REF!)</f>
        <v>0</v>
      </c>
      <c r="BU35" s="684">
        <f>IF(BU$4="forecast",AVERAGE(BI35:BT35),'Dept. Cost Actuals'!#REF!)</f>
        <v>0</v>
      </c>
      <c r="BV35" s="808">
        <f>IF(BV$4="forecast",AVERAGE(BJ35:BU35),'Dept. Cost Actuals'!#REF!)</f>
        <v>0</v>
      </c>
    </row>
    <row r="36" spans="2:74" x14ac:dyDescent="0.35">
      <c r="B36" s="812" t="s">
        <v>928</v>
      </c>
      <c r="C36" s="684">
        <f>IF(C$4="forecast",AVERAGE(#REF!),'Dept. Cost Actuals'!G290)</f>
        <v>138.96527977816228</v>
      </c>
      <c r="D36" s="684">
        <f>IF(D$4="forecast",AVERAGE(#REF!),'Dept. Cost Actuals'!H290)</f>
        <v>92.808029584230695</v>
      </c>
      <c r="E36" s="684">
        <f>IF(E$4="forecast",AVERAGE(#REF!),'Dept. Cost Actuals'!I290)</f>
        <v>148.99365579854535</v>
      </c>
      <c r="F36" s="684">
        <f>IF(F$4="forecast",AVERAGE(#REF!),'Dept. Cost Actuals'!J290)</f>
        <v>189.46286612934981</v>
      </c>
      <c r="G36" s="684">
        <f>IF(G$4="forecast",AVERAGE(#REF!),'Dept. Cost Actuals'!K290)</f>
        <v>89.683086173508812</v>
      </c>
      <c r="H36" s="684">
        <f>IF(H$4="forecast",AVERAGE(#REF!),'Dept. Cost Actuals'!L290)</f>
        <v>201.75601271446232</v>
      </c>
      <c r="I36" s="684">
        <f>IF(I$4="forecast",AVERAGE(#REF!),'Dept. Cost Actuals'!M290)</f>
        <v>165.30313649718352</v>
      </c>
      <c r="J36" s="684">
        <f>IF(J$4="forecast",AVERAGE(#REF!),'Dept. Cost Actuals'!N290)</f>
        <v>103.14264666878618</v>
      </c>
      <c r="K36" s="684">
        <f>IF(K$4="forecast",AVERAGE(#REF!),'Dept. Cost Actuals'!O290)</f>
        <v>66.475500780154235</v>
      </c>
      <c r="L36" s="684">
        <f>IF(L$4="forecast",AVERAGE(#REF!),'Dept. Cost Actuals'!P290)</f>
        <v>83.439934168450321</v>
      </c>
      <c r="M36" s="684">
        <f>IF(M$4="forecast",AVERAGE(A36:L36),'Dept. Cost Actuals'!Q290)</f>
        <v>68.375102898307603</v>
      </c>
      <c r="N36" s="684">
        <f>IF(N$4="forecast",AVERAGE(B36:M36),'Dept. Cost Actuals'!R290)</f>
        <v>35.70860937677422</v>
      </c>
      <c r="O36" s="684">
        <f>IF(O$4="forecast",AVERAGE(C36:N36),'Dept. Cost Actuals'!S290)</f>
        <v>306.58999999999997</v>
      </c>
      <c r="P36" s="684">
        <f>IF(P$4="forecast",AVERAGE(D36:O36),'Dept. Cost Actuals'!T290)</f>
        <v>27.18</v>
      </c>
      <c r="Q36" s="684">
        <f>IF(Q$4="forecast",AVERAGE(E36:P36),'Dept. Cost Actuals'!U290)</f>
        <v>85.39</v>
      </c>
      <c r="R36" s="684">
        <f>IF(R$4="forecast",AVERAGE(F36:Q36),'Dept. Cost Actuals'!V290)</f>
        <v>0</v>
      </c>
      <c r="S36" s="684">
        <f>IF(S$4="forecast",AVERAGE(G36:R36),'Dept. Cost Actuals'!W290)</f>
        <v>5.46</v>
      </c>
      <c r="T36" s="684">
        <f>IF(T$4="forecast",AVERAGE(H36:S36),'Dept. Cost Actuals'!X290)</f>
        <v>81.849999999999994</v>
      </c>
      <c r="U36" s="684">
        <f>IF(U$4="forecast",AVERAGE(I36:T36),'Dept. Cost Actuals'!Y290)</f>
        <v>0</v>
      </c>
      <c r="V36" s="684">
        <f>IF(V$4="forecast",AVERAGE(J36:U36),'Dept. Cost Actuals'!Z290)</f>
        <v>14.13</v>
      </c>
      <c r="W36" s="684">
        <f>IF(W$4="forecast",AVERAGE(K36:V36),'Dept. Cost Actuals'!AA290)</f>
        <v>98.13</v>
      </c>
      <c r="X36" s="684">
        <f>IF(X$4="forecast",AVERAGE(L36:W36),'Dept. Cost Actuals'!AB290)</f>
        <v>0</v>
      </c>
      <c r="Y36" s="684">
        <f>IF(Y$4="forecast",AVERAGE(M36:X36),'Dept. Cost Actuals'!AC290)</f>
        <v>74</v>
      </c>
      <c r="Z36" s="684">
        <f>IF(Z$4="forecast",AVERAGE(N36:Y36),'Dept. Cost Actuals'!AD290)</f>
        <v>13.1</v>
      </c>
      <c r="AA36" s="684">
        <f>IF(AA$4="forecast",SUMIFS(Planning_Mkt!D$5:D$133,Planning_Mkt!$B$5:$B$133,"Office Supplies"),'Dept. Cost Actuals'!AE290)</f>
        <v>0</v>
      </c>
      <c r="AB36" s="684">
        <f>IF(AB$4="forecast",SUMIFS(Planning_Mkt!E$5:E$133,Planning_Mkt!$B$5:$B$133,"Office Supplies"),'Dept. Cost Actuals'!AF290)</f>
        <v>0</v>
      </c>
      <c r="AC36" s="684">
        <f>IF(AC$4="forecast",SUMIFS(Planning_Mkt!F$5:F$133,Planning_Mkt!$B$5:$B$133,"Office Supplies"),'Dept. Cost Actuals'!AG290)</f>
        <v>0</v>
      </c>
      <c r="AD36" s="684">
        <f>IF(AD$4="forecast",SUMIFS(Planning_Mkt!G$5:G$133,Planning_Mkt!$B$5:$B$133,"Office Supplies"),'Dept. Cost Actuals'!AH290)</f>
        <v>0</v>
      </c>
      <c r="AE36" s="684">
        <f>IF(AE$4="forecast",SUMIFS(Planning_Mkt!H$5:H$133,Planning_Mkt!$B$5:$B$133,"Office Supplies"),'Dept. Cost Actuals'!AI290)</f>
        <v>0</v>
      </c>
      <c r="AF36" s="684">
        <f>IF(AF$4="forecast",SUMIFS(Planning_Mkt!I$5:I$133,Planning_Mkt!$B$5:$B$133,"Office Supplies"),'Dept. Cost Actuals'!AJ290)</f>
        <v>0</v>
      </c>
      <c r="AG36" s="684">
        <f>IF(AG$4="forecast",SUMIFS(Planning_Mkt!J$5:J$133,Planning_Mkt!$B$5:$B$133,"Office Supplies"),'Dept. Cost Actuals'!AK290)</f>
        <v>0</v>
      </c>
      <c r="AH36" s="684">
        <f>IF(AH$4="forecast",SUMIFS(Planning_Mkt!K$5:K$133,Planning_Mkt!$B$5:$B$133,"Office Supplies"),'Dept. Cost Actuals'!AL290)</f>
        <v>0</v>
      </c>
      <c r="AI36" s="684">
        <f>IF(AI$4="forecast",SUMIFS(Planning_Mkt!L$5:L$133,Planning_Mkt!$B$5:$B$133,"Office Supplies"),'Dept. Cost Actuals'!AM290)</f>
        <v>0</v>
      </c>
      <c r="AJ36" s="684">
        <f>IF(AJ$4="forecast",SUMIFS(Planning_Mkt!M$5:M$133,Planning_Mkt!$B$5:$B$133,"Office Supplies"),'Dept. Cost Actuals'!AN290)</f>
        <v>0</v>
      </c>
      <c r="AK36" s="684">
        <f>IF(AK$4="forecast",SUMIFS(Planning_Mkt!N$5:N$133,Planning_Mkt!$B$5:$B$133,"Office Supplies"),'Dept. Cost Actuals'!AO290)</f>
        <v>0</v>
      </c>
      <c r="AL36" s="684">
        <f>IF(AL$4="forecast",SUMIFS(Planning_Mkt!O$5:O$133,Planning_Mkt!$B$5:$B$133,"Office Supplies"),'Dept. Cost Actuals'!AP290)</f>
        <v>0</v>
      </c>
      <c r="AM36" s="684">
        <f>IF(AM$4="forecast",AVERAGE(AA36:AL36),'Dept. Cost Actuals'!AQ290)</f>
        <v>0</v>
      </c>
      <c r="AN36" s="684">
        <f>IF(AN$4="forecast",AVERAGE(AB36:AM36),'Dept. Cost Actuals'!AR290)</f>
        <v>0</v>
      </c>
      <c r="AO36" s="684">
        <f>IF(AO$4="forecast",AVERAGE(AC36:AN36),'Dept. Cost Actuals'!AS290)</f>
        <v>0</v>
      </c>
      <c r="AP36" s="684">
        <f>IF(AP$4="forecast",AVERAGE(AD36:AO36),'Dept. Cost Actuals'!AT290)</f>
        <v>0</v>
      </c>
      <c r="AQ36" s="684">
        <f>IF(AQ$4="forecast",AVERAGE(AE36:AP36),'Dept. Cost Actuals'!AU290)</f>
        <v>0</v>
      </c>
      <c r="AR36" s="684">
        <f>IF(AR$4="forecast",AVERAGE(AF36:AQ36),'Dept. Cost Actuals'!AV290)</f>
        <v>0</v>
      </c>
      <c r="AS36" s="684">
        <f>IF(AS$4="forecast",AVERAGE(AG36:AR36),'Dept. Cost Actuals'!AW290)</f>
        <v>0</v>
      </c>
      <c r="AT36" s="684">
        <f>IF(AT$4="forecast",AVERAGE(AH36:AS36),'Dept. Cost Actuals'!AX290)</f>
        <v>0</v>
      </c>
      <c r="AU36" s="684">
        <f>IF(AU$4="forecast",AVERAGE(AI36:AT36),'Dept. Cost Actuals'!AY290)</f>
        <v>0</v>
      </c>
      <c r="AV36" s="684">
        <f>IF(AV$4="forecast",AVERAGE(AJ36:AU36),'Dept. Cost Actuals'!AZ290)</f>
        <v>0</v>
      </c>
      <c r="AW36" s="684">
        <f>IF(AW$4="forecast",AVERAGE(AK36:AV36),'Dept. Cost Actuals'!BA290)</f>
        <v>0</v>
      </c>
      <c r="AX36" s="684">
        <f>IF(AX$4="forecast",AVERAGE(AL36:AW36),'Dept. Cost Actuals'!BB290)</f>
        <v>0</v>
      </c>
      <c r="AY36" s="684">
        <f>IF(AY$4="forecast",AVERAGE(AM36:AX36),'Dept. Cost Actuals'!BC290)</f>
        <v>0</v>
      </c>
      <c r="AZ36" s="684">
        <f>IF(AZ$4="forecast",AVERAGE(AN36:AY36),'Dept. Cost Actuals'!BD290)</f>
        <v>0</v>
      </c>
      <c r="BA36" s="684">
        <f>IF(BA$4="forecast",AVERAGE(AO36:AZ36),'Dept. Cost Actuals'!BE290)</f>
        <v>0</v>
      </c>
      <c r="BB36" s="684">
        <f>IF(BB$4="forecast",AVERAGE(AP36:BA36),'Dept. Cost Actuals'!BF290)</f>
        <v>0</v>
      </c>
      <c r="BC36" s="684">
        <f>IF(BC$4="forecast",AVERAGE(AQ36:BB36),'Dept. Cost Actuals'!BG290)</f>
        <v>0</v>
      </c>
      <c r="BD36" s="684">
        <f>IF(BD$4="forecast",AVERAGE(AR36:BC36),'Dept. Cost Actuals'!BH290)</f>
        <v>0</v>
      </c>
      <c r="BE36" s="684">
        <f>IF(BE$4="forecast",AVERAGE(AS36:BD36),'Dept. Cost Actuals'!BI290)</f>
        <v>0</v>
      </c>
      <c r="BF36" s="684">
        <f>IF(BF$4="forecast",AVERAGE(AT36:BE36),'Dept. Cost Actuals'!BJ290)</f>
        <v>0</v>
      </c>
      <c r="BG36" s="684">
        <f>IF(BG$4="forecast",AVERAGE(AU36:BF36),'Dept. Cost Actuals'!BK290)</f>
        <v>0</v>
      </c>
      <c r="BH36" s="684">
        <f>IF(BH$4="forecast",AVERAGE(AV36:BG36),'Dept. Cost Actuals'!BL290)</f>
        <v>0</v>
      </c>
      <c r="BI36" s="684">
        <f>IF(BI$4="forecast",AVERAGE(AW36:BH36),'Dept. Cost Actuals'!BM290)</f>
        <v>0</v>
      </c>
      <c r="BJ36" s="684">
        <f>IF(BJ$4="forecast",AVERAGE(AX36:BI36),'Dept. Cost Actuals'!BN290)</f>
        <v>0</v>
      </c>
      <c r="BK36" s="684">
        <f>IF(BK$4="forecast",AVERAGE(AY36:BJ36),'Dept. Cost Actuals'!BO290)</f>
        <v>0</v>
      </c>
      <c r="BL36" s="684">
        <f>IF(BL$4="forecast",AVERAGE(AZ36:BK36),'Dept. Cost Actuals'!#REF!)</f>
        <v>0</v>
      </c>
      <c r="BM36" s="684">
        <f>IF(BM$4="forecast",AVERAGE(BA36:BL36),'Dept. Cost Actuals'!#REF!)</f>
        <v>0</v>
      </c>
      <c r="BN36" s="684">
        <f>IF(BN$4="forecast",AVERAGE(BB36:BM36),'Dept. Cost Actuals'!#REF!)</f>
        <v>0</v>
      </c>
      <c r="BO36" s="684">
        <f>IF(BO$4="forecast",AVERAGE(BC36:BN36),'Dept. Cost Actuals'!#REF!)</f>
        <v>0</v>
      </c>
      <c r="BP36" s="684">
        <f>IF(BP$4="forecast",AVERAGE(BD36:BO36),'Dept. Cost Actuals'!#REF!)</f>
        <v>0</v>
      </c>
      <c r="BQ36" s="684">
        <f>IF(BQ$4="forecast",AVERAGE(BE36:BP36),'Dept. Cost Actuals'!#REF!)</f>
        <v>0</v>
      </c>
      <c r="BR36" s="684">
        <f>IF(BR$4="forecast",AVERAGE(BF36:BQ36),'Dept. Cost Actuals'!#REF!)</f>
        <v>0</v>
      </c>
      <c r="BS36" s="684">
        <f>IF(BS$4="forecast",AVERAGE(BG36:BR36),'Dept. Cost Actuals'!#REF!)</f>
        <v>0</v>
      </c>
      <c r="BT36" s="684">
        <f>IF(BT$4="forecast",AVERAGE(BH36:BS36),'Dept. Cost Actuals'!#REF!)</f>
        <v>0</v>
      </c>
      <c r="BU36" s="684">
        <f>IF(BU$4="forecast",AVERAGE(BI36:BT36),'Dept. Cost Actuals'!#REF!)</f>
        <v>0</v>
      </c>
      <c r="BV36" s="808">
        <f>IF(BV$4="forecast",AVERAGE(BJ36:BU36),'Dept. Cost Actuals'!#REF!)</f>
        <v>0</v>
      </c>
    </row>
    <row r="37" spans="2:74" x14ac:dyDescent="0.35">
      <c r="B37" s="812" t="s">
        <v>929</v>
      </c>
      <c r="C37" s="684">
        <f>IF(C$4="forecast",AVERAGE(#REF!),'Dept. Cost Actuals'!G327)</f>
        <v>0</v>
      </c>
      <c r="D37" s="684">
        <f>IF(D$4="forecast",AVERAGE(#REF!),'Dept. Cost Actuals'!H327)</f>
        <v>27.853364331645288</v>
      </c>
      <c r="E37" s="684">
        <f>IF(E$4="forecast",AVERAGE(#REF!),'Dept. Cost Actuals'!I327)</f>
        <v>32.955014485876831</v>
      </c>
      <c r="F37" s="684">
        <f>IF(F$4="forecast",AVERAGE(#REF!),'Dept. Cost Actuals'!J327)</f>
        <v>26.87235485968673</v>
      </c>
      <c r="G37" s="684">
        <f>IF(G$4="forecast",AVERAGE(#REF!),'Dept. Cost Actuals'!K327)</f>
        <v>53.058703717022155</v>
      </c>
      <c r="H37" s="684">
        <f>IF(H$4="forecast",AVERAGE(#REF!),'Dept. Cost Actuals'!L327)</f>
        <v>0</v>
      </c>
      <c r="I37" s="684">
        <f>IF(I$4="forecast",AVERAGE(#REF!),'Dept. Cost Actuals'!M327)</f>
        <v>3.2405517360477294</v>
      </c>
      <c r="J37" s="684">
        <f>IF(J$4="forecast",AVERAGE(#REF!),'Dept. Cost Actuals'!N327)</f>
        <v>0</v>
      </c>
      <c r="K37" s="684">
        <f>IF(K$4="forecast",AVERAGE(#REF!),'Dept. Cost Actuals'!O327)</f>
        <v>0</v>
      </c>
      <c r="L37" s="684">
        <f>IF(L$4="forecast",AVERAGE(#REF!),'Dept. Cost Actuals'!P327)</f>
        <v>0.80061938779810637</v>
      </c>
      <c r="M37" s="684">
        <f>IF(M$4="forecast",AVERAGE(A37:L37),'Dept. Cost Actuals'!Q327)</f>
        <v>0</v>
      </c>
      <c r="N37" s="684">
        <f>IF(N$4="forecast",AVERAGE(B37:M37),'Dept. Cost Actuals'!R327)</f>
        <v>0</v>
      </c>
      <c r="O37" s="684">
        <f>IF(O$4="forecast",AVERAGE(C37:N37),'Dept. Cost Actuals'!S327)</f>
        <v>0</v>
      </c>
      <c r="P37" s="684">
        <f>IF(P$4="forecast",AVERAGE(D37:O37),'Dept. Cost Actuals'!T327)</f>
        <v>0</v>
      </c>
      <c r="Q37" s="684">
        <f>IF(Q$4="forecast",AVERAGE(E37:P37),'Dept. Cost Actuals'!U327)</f>
        <v>0</v>
      </c>
      <c r="R37" s="684">
        <f>IF(R$4="forecast",AVERAGE(F37:Q37),'Dept. Cost Actuals'!V327)</f>
        <v>0</v>
      </c>
      <c r="S37" s="684">
        <f>IF(S$4="forecast",AVERAGE(G37:R37),'Dept. Cost Actuals'!W327)</f>
        <v>0</v>
      </c>
      <c r="T37" s="684">
        <f>IF(T$4="forecast",AVERAGE(H37:S37),'Dept. Cost Actuals'!X327)</f>
        <v>0</v>
      </c>
      <c r="U37" s="684">
        <f>IF(U$4="forecast",AVERAGE(I37:T37),'Dept. Cost Actuals'!Y327)</f>
        <v>0</v>
      </c>
      <c r="V37" s="684">
        <f>IF(V$4="forecast",AVERAGE(J37:U37),'Dept. Cost Actuals'!Z327)</f>
        <v>0</v>
      </c>
      <c r="W37" s="684">
        <f>IF(W$4="forecast",AVERAGE(K37:V37),'Dept. Cost Actuals'!AA327)</f>
        <v>0</v>
      </c>
      <c r="X37" s="684">
        <f>IF(X$4="forecast",AVERAGE(L37:W37),'Dept. Cost Actuals'!AB327)</f>
        <v>0</v>
      </c>
      <c r="Y37" s="684">
        <f>IF(Y$4="forecast",AVERAGE(M37:X37),'Dept. Cost Actuals'!AC327)</f>
        <v>0</v>
      </c>
      <c r="Z37" s="684">
        <f>IF(Z$4="forecast",AVERAGE(N37:Y37),'Dept. Cost Actuals'!AD327)</f>
        <v>0</v>
      </c>
      <c r="AA37" s="684">
        <f>IF(AA$4="forecast",SUMIFS(Planning_Mkt!D$5:D$133,Planning_Mkt!$B$5:$B$133,"Professional Development"),'Dept. Cost Actuals'!AE327)</f>
        <v>166.66666666666666</v>
      </c>
      <c r="AB37" s="684">
        <f>IF(AB$4="forecast",SUMIFS(Planning_Mkt!E$5:E$133,Planning_Mkt!$B$5:$B$133,"Professional Development"),'Dept. Cost Actuals'!AF327)</f>
        <v>166.66666666666666</v>
      </c>
      <c r="AC37" s="684">
        <f>IF(AC$4="forecast",SUMIFS(Planning_Mkt!F$5:F$133,Planning_Mkt!$B$5:$B$133,"Professional Development"),'Dept. Cost Actuals'!AG327)</f>
        <v>166.66666666666666</v>
      </c>
      <c r="AD37" s="684">
        <f>IF(AD$4="forecast",SUMIFS(Planning_Mkt!G$5:G$133,Planning_Mkt!$B$5:$B$133,"Professional Development"),'Dept. Cost Actuals'!AH327)</f>
        <v>166.66666666666666</v>
      </c>
      <c r="AE37" s="684">
        <f>IF(AE$4="forecast",SUMIFS(Planning_Mkt!H$5:H$133,Planning_Mkt!$B$5:$B$133,"Professional Development"),'Dept. Cost Actuals'!AI327)</f>
        <v>166.66666666666666</v>
      </c>
      <c r="AF37" s="684">
        <f>IF(AF$4="forecast",SUMIFS(Planning_Mkt!I$5:I$133,Planning_Mkt!$B$5:$B$133,"Professional Development"),'Dept. Cost Actuals'!AJ327)</f>
        <v>166.66666666666666</v>
      </c>
      <c r="AG37" s="684">
        <f>IF(AG$4="forecast",SUMIFS(Planning_Mkt!J$5:J$133,Planning_Mkt!$B$5:$B$133,"Professional Development"),'Dept. Cost Actuals'!AK327)</f>
        <v>166.66666666666666</v>
      </c>
      <c r="AH37" s="684">
        <f>IF(AH$4="forecast",SUMIFS(Planning_Mkt!K$5:K$133,Planning_Mkt!$B$5:$B$133,"Professional Development"),'Dept. Cost Actuals'!AL327)</f>
        <v>166.66666666666666</v>
      </c>
      <c r="AI37" s="684">
        <f>IF(AI$4="forecast",SUMIFS(Planning_Mkt!L$5:L$133,Planning_Mkt!$B$5:$B$133,"Professional Development"),'Dept. Cost Actuals'!AM327)</f>
        <v>166.66666666666666</v>
      </c>
      <c r="AJ37" s="684">
        <f>IF(AJ$4="forecast",SUMIFS(Planning_Mkt!M$5:M$133,Planning_Mkt!$B$5:$B$133,"Professional Development"),'Dept. Cost Actuals'!AN327)</f>
        <v>166.66666666666666</v>
      </c>
      <c r="AK37" s="684">
        <f>IF(AK$4="forecast",SUMIFS(Planning_Mkt!N$5:N$133,Planning_Mkt!$B$5:$B$133,"Professional Development"),'Dept. Cost Actuals'!AO327)</f>
        <v>166.66666666666666</v>
      </c>
      <c r="AL37" s="684">
        <f>IF(AL$4="forecast",SUMIFS(Planning_Mkt!O$5:O$133,Planning_Mkt!$B$5:$B$133,"Professional Development"),'Dept. Cost Actuals'!AP327)</f>
        <v>166.66666666666666</v>
      </c>
      <c r="AM37" s="684">
        <f>IF(AM$4="forecast",AVERAGE(AA37:AL37),'Dept. Cost Actuals'!AQ327)</f>
        <v>166.66666666666669</v>
      </c>
      <c r="AN37" s="684">
        <f>IF(AN$4="forecast",AVERAGE(AB37:AM37),'Dept. Cost Actuals'!AR327)</f>
        <v>166.66666666666669</v>
      </c>
      <c r="AO37" s="684">
        <f>IF(AO$4="forecast",AVERAGE(AC37:AN37),'Dept. Cost Actuals'!AS327)</f>
        <v>166.66666666666669</v>
      </c>
      <c r="AP37" s="684">
        <f>IF(AP$4="forecast",AVERAGE(AD37:AO37),'Dept. Cost Actuals'!AT327)</f>
        <v>166.66666666666669</v>
      </c>
      <c r="AQ37" s="684">
        <f>IF(AQ$4="forecast",AVERAGE(AE37:AP37),'Dept. Cost Actuals'!AU327)</f>
        <v>166.66666666666669</v>
      </c>
      <c r="AR37" s="684">
        <f>IF(AR$4="forecast",AVERAGE(AF37:AQ37),'Dept. Cost Actuals'!AV327)</f>
        <v>166.66666666666669</v>
      </c>
      <c r="AS37" s="684">
        <f>IF(AS$4="forecast",AVERAGE(AG37:AR37),'Dept. Cost Actuals'!AW327)</f>
        <v>166.66666666666669</v>
      </c>
      <c r="AT37" s="684">
        <f>IF(AT$4="forecast",AVERAGE(AH37:AS37),'Dept. Cost Actuals'!AX327)</f>
        <v>166.66666666666671</v>
      </c>
      <c r="AU37" s="684">
        <f>IF(AU$4="forecast",AVERAGE(AI37:AT37),'Dept. Cost Actuals'!AY327)</f>
        <v>166.66666666666671</v>
      </c>
      <c r="AV37" s="684">
        <f>IF(AV$4="forecast",AVERAGE(AJ37:AU37),'Dept. Cost Actuals'!AZ327)</f>
        <v>166.66666666666671</v>
      </c>
      <c r="AW37" s="684">
        <f>IF(AW$4="forecast",AVERAGE(AK37:AV37),'Dept. Cost Actuals'!BA327)</f>
        <v>166.66666666666671</v>
      </c>
      <c r="AX37" s="684">
        <f>IF(AX$4="forecast",AVERAGE(AL37:AW37),'Dept. Cost Actuals'!BB327)</f>
        <v>166.66666666666671</v>
      </c>
      <c r="AY37" s="684">
        <f>IF(AY$4="forecast",AVERAGE(AM37:AX37),'Dept. Cost Actuals'!BC327)</f>
        <v>166.66666666666671</v>
      </c>
      <c r="AZ37" s="684">
        <f>IF(AZ$4="forecast",AVERAGE(AN37:AY37),'Dept. Cost Actuals'!BD327)</f>
        <v>166.66666666666671</v>
      </c>
      <c r="BA37" s="684">
        <f>IF(BA$4="forecast",AVERAGE(AO37:AZ37),'Dept. Cost Actuals'!BE327)</f>
        <v>166.66666666666671</v>
      </c>
      <c r="BB37" s="684">
        <f>IF(BB$4="forecast",AVERAGE(AP37:BA37),'Dept. Cost Actuals'!BF327)</f>
        <v>166.66666666666671</v>
      </c>
      <c r="BC37" s="684">
        <f>IF(BC$4="forecast",AVERAGE(AQ37:BB37),'Dept. Cost Actuals'!BG327)</f>
        <v>166.66666666666671</v>
      </c>
      <c r="BD37" s="684">
        <f>IF(BD$4="forecast",AVERAGE(AR37:BC37),'Dept. Cost Actuals'!BH327)</f>
        <v>166.66666666666671</v>
      </c>
      <c r="BE37" s="684">
        <f>IF(BE$4="forecast",AVERAGE(AS37:BD37),'Dept. Cost Actuals'!BI327)</f>
        <v>166.66666666666671</v>
      </c>
      <c r="BF37" s="684">
        <f>IF(BF$4="forecast",AVERAGE(AT37:BE37),'Dept. Cost Actuals'!BJ327)</f>
        <v>166.66666666666671</v>
      </c>
      <c r="BG37" s="684">
        <f>IF(BG$4="forecast",AVERAGE(AU37:BF37),'Dept. Cost Actuals'!BK327)</f>
        <v>166.66666666666671</v>
      </c>
      <c r="BH37" s="684">
        <f>IF(BH$4="forecast",AVERAGE(AV37:BG37),'Dept. Cost Actuals'!BL327)</f>
        <v>166.66666666666671</v>
      </c>
      <c r="BI37" s="684">
        <f>IF(BI$4="forecast",AVERAGE(AW37:BH37),'Dept. Cost Actuals'!BM327)</f>
        <v>166.66666666666671</v>
      </c>
      <c r="BJ37" s="684">
        <f>IF(BJ$4="forecast",AVERAGE(AX37:BI37),'Dept. Cost Actuals'!BN327)</f>
        <v>166.66666666666671</v>
      </c>
      <c r="BK37" s="684">
        <f>IF(BK$4="forecast",AVERAGE(AY37:BJ37),'Dept. Cost Actuals'!BO327)</f>
        <v>166.66666666666671</v>
      </c>
      <c r="BL37" s="684">
        <f>IF(BL$4="forecast",AVERAGE(AZ37:BK37),'Dept. Cost Actuals'!#REF!)</f>
        <v>166.66666666666671</v>
      </c>
      <c r="BM37" s="684">
        <f>IF(BM$4="forecast",AVERAGE(BA37:BL37),'Dept. Cost Actuals'!#REF!)</f>
        <v>166.66666666666671</v>
      </c>
      <c r="BN37" s="684">
        <f>IF(BN$4="forecast",AVERAGE(BB37:BM37),'Dept. Cost Actuals'!#REF!)</f>
        <v>166.66666666666671</v>
      </c>
      <c r="BO37" s="684">
        <f>IF(BO$4="forecast",AVERAGE(BC37:BN37),'Dept. Cost Actuals'!#REF!)</f>
        <v>166.66666666666671</v>
      </c>
      <c r="BP37" s="684">
        <f>IF(BP$4="forecast",AVERAGE(BD37:BO37),'Dept. Cost Actuals'!#REF!)</f>
        <v>166.66666666666671</v>
      </c>
      <c r="BQ37" s="684">
        <f>IF(BQ$4="forecast",AVERAGE(BE37:BP37),'Dept. Cost Actuals'!#REF!)</f>
        <v>166.66666666666671</v>
      </c>
      <c r="BR37" s="684">
        <f>IF(BR$4="forecast",AVERAGE(BF37:BQ37),'Dept. Cost Actuals'!#REF!)</f>
        <v>166.66666666666671</v>
      </c>
      <c r="BS37" s="684">
        <f>IF(BS$4="forecast",AVERAGE(BG37:BR37),'Dept. Cost Actuals'!#REF!)</f>
        <v>166.66666666666671</v>
      </c>
      <c r="BT37" s="684">
        <f>IF(BT$4="forecast",AVERAGE(BH37:BS37),'Dept. Cost Actuals'!#REF!)</f>
        <v>166.66666666666671</v>
      </c>
      <c r="BU37" s="684">
        <f>IF(BU$4="forecast",AVERAGE(BI37:BT37),'Dept. Cost Actuals'!#REF!)</f>
        <v>166.66666666666671</v>
      </c>
      <c r="BV37" s="808">
        <f>IF(BV$4="forecast",AVERAGE(BJ37:BU37),'Dept. Cost Actuals'!#REF!)</f>
        <v>166.66666666666671</v>
      </c>
    </row>
    <row r="38" spans="2:74" x14ac:dyDescent="0.35">
      <c r="B38" s="812" t="s">
        <v>951</v>
      </c>
      <c r="C38" s="684">
        <f>IF(C$4="forecast",AVERAGE(#REF!),'Dept. Cost Actuals'!G217)</f>
        <v>14.766116777832053</v>
      </c>
      <c r="D38" s="684">
        <f>IF(D$4="forecast",AVERAGE(#REF!),'Dept. Cost Actuals'!H217)</f>
        <v>20.615106084027683</v>
      </c>
      <c r="E38" s="684">
        <f>IF(E$4="forecast",AVERAGE(#REF!),'Dept. Cost Actuals'!I217)</f>
        <v>3.2282463169838524</v>
      </c>
      <c r="F38" s="684">
        <f>IF(F$4="forecast",AVERAGE(#REF!),'Dept. Cost Actuals'!J217)</f>
        <v>3.2246825831624077</v>
      </c>
      <c r="G38" s="684">
        <f>IF(G$4="forecast",AVERAGE(#REF!),'Dept. Cost Actuals'!K217)</f>
        <v>149.13577183230689</v>
      </c>
      <c r="H38" s="684">
        <f>IF(H$4="forecast",AVERAGE(#REF!),'Dept. Cost Actuals'!L217)</f>
        <v>0</v>
      </c>
      <c r="I38" s="684">
        <f>IF(I$4="forecast",AVERAGE(#REF!),'Dept. Cost Actuals'!M217)</f>
        <v>0</v>
      </c>
      <c r="J38" s="684">
        <f>IF(J$4="forecast",AVERAGE(#REF!),'Dept. Cost Actuals'!N217)</f>
        <v>4.1669041703266858</v>
      </c>
      <c r="K38" s="684">
        <f>IF(K$4="forecast",AVERAGE(#REF!),'Dept. Cost Actuals'!O217)</f>
        <v>0</v>
      </c>
      <c r="L38" s="684">
        <f>IF(L$4="forecast",AVERAGE(#REF!),'Dept. Cost Actuals'!P217)</f>
        <v>43.517974931572823</v>
      </c>
      <c r="M38" s="684">
        <f>IF(M$4="forecast",AVERAGE(A38:L38),'Dept. Cost Actuals'!Q217)</f>
        <v>0</v>
      </c>
      <c r="N38" s="684">
        <f>IF(N$4="forecast",AVERAGE(B38:M38),'Dept. Cost Actuals'!R217)</f>
        <v>0</v>
      </c>
      <c r="O38" s="684">
        <f>IF(O$4="forecast",AVERAGE(C38:N38),'Dept. Cost Actuals'!S217)</f>
        <v>0</v>
      </c>
      <c r="P38" s="684">
        <f>IF(P$4="forecast",AVERAGE(D38:O38),'Dept. Cost Actuals'!T217)</f>
        <v>0</v>
      </c>
      <c r="Q38" s="684">
        <f>IF(Q$4="forecast",AVERAGE(E38:P38),'Dept. Cost Actuals'!U217)</f>
        <v>0</v>
      </c>
      <c r="R38" s="684">
        <f>IF(R$4="forecast",AVERAGE(F38:Q38),'Dept. Cost Actuals'!V217)</f>
        <v>0</v>
      </c>
      <c r="S38" s="684">
        <f>IF(S$4="forecast",AVERAGE(G38:R38),'Dept. Cost Actuals'!W217)</f>
        <v>89.2</v>
      </c>
      <c r="T38" s="684">
        <f>IF(T$4="forecast",AVERAGE(H38:S38),'Dept. Cost Actuals'!X217)</f>
        <v>11.98</v>
      </c>
      <c r="U38" s="684">
        <f>IF(U$4="forecast",AVERAGE(I38:T38),'Dept. Cost Actuals'!Y217)</f>
        <v>0</v>
      </c>
      <c r="V38" s="684">
        <f>IF(V$4="forecast",AVERAGE(J38:U38),'Dept. Cost Actuals'!Z217)</f>
        <v>0</v>
      </c>
      <c r="W38" s="684">
        <f>IF(W$4="forecast",AVERAGE(K38:V38),'Dept. Cost Actuals'!AA217)</f>
        <v>45</v>
      </c>
      <c r="X38" s="684">
        <f>IF(X$4="forecast",AVERAGE(L38:W38),'Dept. Cost Actuals'!AB217)</f>
        <v>479.4</v>
      </c>
      <c r="Y38" s="684">
        <f>IF(Y$4="forecast",AVERAGE(M38:X38),'Dept. Cost Actuals'!AC217)</f>
        <v>0</v>
      </c>
      <c r="Z38" s="684">
        <f>IF(Z$4="forecast",AVERAGE(N38:Y38),'Dept. Cost Actuals'!AD217)</f>
        <v>0</v>
      </c>
      <c r="AA38" s="684">
        <f>IF(AA$4="forecast",SUMIFS(Planning_Mkt!D$5:D$133,Planning_Mkt!$B$5:$B$133,"Dues &amp; Subscriptions"),'Dept. Cost Actuals'!AE217)</f>
        <v>0</v>
      </c>
      <c r="AB38" s="684">
        <f>IF(AB$4="forecast",SUMIFS(Planning_Mkt!E$5:E$133,Planning_Mkt!$B$5:$B$133,"Dues &amp; Subscriptions"),'Dept. Cost Actuals'!AF217)</f>
        <v>0</v>
      </c>
      <c r="AC38" s="684">
        <f>IF(AC$4="forecast",SUMIFS(Planning_Mkt!F$5:F$133,Planning_Mkt!$B$5:$B$133,"Dues &amp; Subscriptions"),'Dept. Cost Actuals'!AG217)</f>
        <v>0</v>
      </c>
      <c r="AD38" s="684">
        <f>IF(AD$4="forecast",SUMIFS(Planning_Mkt!G$5:G$133,Planning_Mkt!$B$5:$B$133,"Dues &amp; Subscriptions"),'Dept. Cost Actuals'!AH217)</f>
        <v>0</v>
      </c>
      <c r="AE38" s="684">
        <f>IF(AE$4="forecast",SUMIFS(Planning_Mkt!H$5:H$133,Planning_Mkt!$B$5:$B$133,"Dues &amp; Subscriptions"),'Dept. Cost Actuals'!AI217)</f>
        <v>0</v>
      </c>
      <c r="AF38" s="684">
        <f>IF(AF$4="forecast",SUMIFS(Planning_Mkt!I$5:I$133,Planning_Mkt!$B$5:$B$133,"Dues &amp; Subscriptions"),'Dept. Cost Actuals'!AJ217)</f>
        <v>0</v>
      </c>
      <c r="AG38" s="684">
        <f>IF(AG$4="forecast",SUMIFS(Planning_Mkt!J$5:J$133,Planning_Mkt!$B$5:$B$133,"Dues &amp; Subscriptions"),'Dept. Cost Actuals'!AK217)</f>
        <v>0</v>
      </c>
      <c r="AH38" s="684">
        <f>IF(AH$4="forecast",SUMIFS(Planning_Mkt!K$5:K$133,Planning_Mkt!$B$5:$B$133,"Dues &amp; Subscriptions"),'Dept. Cost Actuals'!AL217)</f>
        <v>0</v>
      </c>
      <c r="AI38" s="684">
        <f>IF(AI$4="forecast",SUMIFS(Planning_Mkt!L$5:L$133,Planning_Mkt!$B$5:$B$133,"Dues &amp; Subscriptions"),'Dept. Cost Actuals'!AM217)</f>
        <v>0</v>
      </c>
      <c r="AJ38" s="684">
        <f>IF(AJ$4="forecast",SUMIFS(Planning_Mkt!M$5:M$133,Planning_Mkt!$B$5:$B$133,"Dues &amp; Subscriptions"),'Dept. Cost Actuals'!AN217)</f>
        <v>0</v>
      </c>
      <c r="AK38" s="684">
        <f>IF(AK$4="forecast",SUMIFS(Planning_Mkt!N$5:N$133,Planning_Mkt!$B$5:$B$133,"Dues &amp; Subscriptions"),'Dept. Cost Actuals'!AO217)</f>
        <v>0</v>
      </c>
      <c r="AL38" s="684">
        <f>IF(AL$4="forecast",SUMIFS(Planning_Mkt!O$5:O$133,Planning_Mkt!$B$5:$B$133,"Dues &amp; Subscriptions"),'Dept. Cost Actuals'!AP217)</f>
        <v>0</v>
      </c>
      <c r="AM38" s="684">
        <f>IF(AM$4="forecast",AVERAGE(AA38:AL38),'Dept. Cost Actuals'!AQ217)</f>
        <v>0</v>
      </c>
      <c r="AN38" s="684">
        <f>IF(AN$4="forecast",AVERAGE(AB38:AM38),'Dept. Cost Actuals'!AR217)</f>
        <v>0</v>
      </c>
      <c r="AO38" s="684">
        <f>IF(AO$4="forecast",AVERAGE(AC38:AN38),'Dept. Cost Actuals'!AS217)</f>
        <v>0</v>
      </c>
      <c r="AP38" s="684">
        <f>IF(AP$4="forecast",AVERAGE(AD38:AO38),'Dept. Cost Actuals'!AT217)</f>
        <v>0</v>
      </c>
      <c r="AQ38" s="684">
        <f>IF(AQ$4="forecast",AVERAGE(AE38:AP38),'Dept. Cost Actuals'!AU217)</f>
        <v>0</v>
      </c>
      <c r="AR38" s="684">
        <f>IF(AR$4="forecast",AVERAGE(AF38:AQ38),'Dept. Cost Actuals'!AV217)</f>
        <v>0</v>
      </c>
      <c r="AS38" s="684">
        <f>IF(AS$4="forecast",AVERAGE(AG38:AR38),'Dept. Cost Actuals'!AW217)</f>
        <v>0</v>
      </c>
      <c r="AT38" s="684">
        <f>IF(AT$4="forecast",AVERAGE(AH38:AS38),'Dept. Cost Actuals'!AX217)</f>
        <v>0</v>
      </c>
      <c r="AU38" s="684">
        <f>IF(AU$4="forecast",AVERAGE(AI38:AT38),'Dept. Cost Actuals'!AY217)</f>
        <v>0</v>
      </c>
      <c r="AV38" s="684">
        <f>IF(AV$4="forecast",AVERAGE(AJ38:AU38),'Dept. Cost Actuals'!AZ217)</f>
        <v>0</v>
      </c>
      <c r="AW38" s="684">
        <f>IF(AW$4="forecast",AVERAGE(AK38:AV38),'Dept. Cost Actuals'!BA217)</f>
        <v>0</v>
      </c>
      <c r="AX38" s="684">
        <f>IF(AX$4="forecast",AVERAGE(AL38:AW38),'Dept. Cost Actuals'!BB217)</f>
        <v>0</v>
      </c>
      <c r="AY38" s="684">
        <f>IF(AY$4="forecast",AVERAGE(AM38:AX38),'Dept. Cost Actuals'!BC217)</f>
        <v>0</v>
      </c>
      <c r="AZ38" s="684">
        <f>IF(AZ$4="forecast",AVERAGE(AN38:AY38),'Dept. Cost Actuals'!BD217)</f>
        <v>0</v>
      </c>
      <c r="BA38" s="684">
        <f>IF(BA$4="forecast",AVERAGE(AO38:AZ38),'Dept. Cost Actuals'!BE217)</f>
        <v>0</v>
      </c>
      <c r="BB38" s="684">
        <f>IF(BB$4="forecast",AVERAGE(AP38:BA38),'Dept. Cost Actuals'!BF217)</f>
        <v>0</v>
      </c>
      <c r="BC38" s="684">
        <f>IF(BC$4="forecast",AVERAGE(AQ38:BB38),'Dept. Cost Actuals'!BG217)</f>
        <v>0</v>
      </c>
      <c r="BD38" s="684">
        <f>IF(BD$4="forecast",AVERAGE(AR38:BC38),'Dept. Cost Actuals'!BH217)</f>
        <v>0</v>
      </c>
      <c r="BE38" s="684">
        <f>IF(BE$4="forecast",AVERAGE(AS38:BD38),'Dept. Cost Actuals'!BI217)</f>
        <v>0</v>
      </c>
      <c r="BF38" s="684">
        <f>IF(BF$4="forecast",AVERAGE(AT38:BE38),'Dept. Cost Actuals'!BJ217)</f>
        <v>0</v>
      </c>
      <c r="BG38" s="684">
        <f>IF(BG$4="forecast",AVERAGE(AU38:BF38),'Dept. Cost Actuals'!BK217)</f>
        <v>0</v>
      </c>
      <c r="BH38" s="684">
        <f>IF(BH$4="forecast",AVERAGE(AV38:BG38),'Dept. Cost Actuals'!BL217)</f>
        <v>0</v>
      </c>
      <c r="BI38" s="684">
        <f>IF(BI$4="forecast",AVERAGE(AW38:BH38),'Dept. Cost Actuals'!BM217)</f>
        <v>0</v>
      </c>
      <c r="BJ38" s="684">
        <f>IF(BJ$4="forecast",AVERAGE(AX38:BI38),'Dept. Cost Actuals'!BN217)</f>
        <v>0</v>
      </c>
      <c r="BK38" s="684">
        <f>IF(BK$4="forecast",AVERAGE(AY38:BJ38),'Dept. Cost Actuals'!BO217)</f>
        <v>0</v>
      </c>
      <c r="BL38" s="684">
        <f>IF(BL$4="forecast",AVERAGE(AZ38:BK38),'Dept. Cost Actuals'!#REF!)</f>
        <v>0</v>
      </c>
      <c r="BM38" s="684">
        <f>IF(BM$4="forecast",AVERAGE(BA38:BL38),'Dept. Cost Actuals'!#REF!)</f>
        <v>0</v>
      </c>
      <c r="BN38" s="684">
        <f>IF(BN$4="forecast",AVERAGE(BB38:BM38),'Dept. Cost Actuals'!#REF!)</f>
        <v>0</v>
      </c>
      <c r="BO38" s="684">
        <f>IF(BO$4="forecast",AVERAGE(BC38:BN38),'Dept. Cost Actuals'!#REF!)</f>
        <v>0</v>
      </c>
      <c r="BP38" s="684">
        <f>IF(BP$4="forecast",AVERAGE(BD38:BO38),'Dept. Cost Actuals'!#REF!)</f>
        <v>0</v>
      </c>
      <c r="BQ38" s="684">
        <f>IF(BQ$4="forecast",AVERAGE(BE38:BP38),'Dept. Cost Actuals'!#REF!)</f>
        <v>0</v>
      </c>
      <c r="BR38" s="684">
        <f>IF(BR$4="forecast",AVERAGE(BF38:BQ38),'Dept. Cost Actuals'!#REF!)</f>
        <v>0</v>
      </c>
      <c r="BS38" s="684">
        <f>IF(BS$4="forecast",AVERAGE(BG38:BR38),'Dept. Cost Actuals'!#REF!)</f>
        <v>0</v>
      </c>
      <c r="BT38" s="684">
        <f>IF(BT$4="forecast",AVERAGE(BH38:BS38),'Dept. Cost Actuals'!#REF!)</f>
        <v>0</v>
      </c>
      <c r="BU38" s="684">
        <f>IF(BU$4="forecast",AVERAGE(BI38:BT38),'Dept. Cost Actuals'!#REF!)</f>
        <v>0</v>
      </c>
      <c r="BV38" s="808">
        <f>IF(BV$4="forecast",AVERAGE(BJ38:BU38),'Dept. Cost Actuals'!#REF!)</f>
        <v>0</v>
      </c>
    </row>
    <row r="39" spans="2:74" x14ac:dyDescent="0.35">
      <c r="B39" s="816" t="s">
        <v>952</v>
      </c>
      <c r="C39" s="810">
        <f>IF(C$4="forecast",AVERAGE(#REF!),'Dept. Cost Actuals'!G254)</f>
        <v>0</v>
      </c>
      <c r="D39" s="810">
        <f>IF(D$4="forecast",AVERAGE(#REF!),'Dept. Cost Actuals'!H254)</f>
        <v>0</v>
      </c>
      <c r="E39" s="810">
        <f>IF(E$4="forecast",AVERAGE(#REF!),'Dept. Cost Actuals'!I254)</f>
        <v>0</v>
      </c>
      <c r="F39" s="810">
        <f>IF(F$4="forecast",AVERAGE(#REF!),'Dept. Cost Actuals'!J254)</f>
        <v>0</v>
      </c>
      <c r="G39" s="810">
        <f>IF(G$4="forecast",AVERAGE(#REF!),'Dept. Cost Actuals'!K254)</f>
        <v>9.81014617340265</v>
      </c>
      <c r="H39" s="810">
        <f>IF(H$4="forecast",AVERAGE(#REF!),'Dept. Cost Actuals'!L254)</f>
        <v>42.432527883979795</v>
      </c>
      <c r="I39" s="810">
        <f>IF(I$4="forecast",AVERAGE(#REF!),'Dept. Cost Actuals'!M254)</f>
        <v>23.665425273182962</v>
      </c>
      <c r="J39" s="810">
        <f>IF(J$4="forecast",AVERAGE(#REF!),'Dept. Cost Actuals'!N254)</f>
        <v>0.33300363871648408</v>
      </c>
      <c r="K39" s="810">
        <f>IF(K$4="forecast",AVERAGE(#REF!),'Dept. Cost Actuals'!O254)</f>
        <v>0</v>
      </c>
      <c r="L39" s="810">
        <f>IF(L$4="forecast",AVERAGE(#REF!),'Dept. Cost Actuals'!P254)</f>
        <v>142.44373666380849</v>
      </c>
      <c r="M39" s="810">
        <f>IF(M$4="forecast",AVERAGE(A39:L39),'Dept. Cost Actuals'!Q254)</f>
        <v>15.61303758956273</v>
      </c>
      <c r="N39" s="810">
        <f>IF(N$4="forecast",AVERAGE(B39:M39),'Dept. Cost Actuals'!R254)</f>
        <v>97.156855849878269</v>
      </c>
      <c r="O39" s="810">
        <f>IF(O$4="forecast",AVERAGE(C39:N39),'Dept. Cost Actuals'!S254)</f>
        <v>0</v>
      </c>
      <c r="P39" s="810">
        <f>IF(P$4="forecast",AVERAGE(D39:O39),'Dept. Cost Actuals'!T254)</f>
        <v>50</v>
      </c>
      <c r="Q39" s="810">
        <f>IF(Q$4="forecast",AVERAGE(E39:P39),'Dept. Cost Actuals'!U254)</f>
        <v>0</v>
      </c>
      <c r="R39" s="810">
        <f>IF(R$4="forecast",AVERAGE(F39:Q39),'Dept. Cost Actuals'!V254)</f>
        <v>114.5</v>
      </c>
      <c r="S39" s="810">
        <f>IF(S$4="forecast",AVERAGE(G39:R39),'Dept. Cost Actuals'!W254)</f>
        <v>1501.01</v>
      </c>
      <c r="T39" s="810">
        <f>IF(T$4="forecast",AVERAGE(H39:S39),'Dept. Cost Actuals'!X254)</f>
        <v>97.14</v>
      </c>
      <c r="U39" s="810">
        <f>IF(U$4="forecast",AVERAGE(I39:T39),'Dept. Cost Actuals'!Y254)</f>
        <v>0</v>
      </c>
      <c r="V39" s="810">
        <f>IF(V$4="forecast",AVERAGE(J39:U39),'Dept. Cost Actuals'!Z254)</f>
        <v>0</v>
      </c>
      <c r="W39" s="810">
        <f>IF(W$4="forecast",AVERAGE(K39:V39),'Dept. Cost Actuals'!AA254)</f>
        <v>0</v>
      </c>
      <c r="X39" s="810">
        <f>IF(X$4="forecast",AVERAGE(L39:W39),'Dept. Cost Actuals'!AB254)</f>
        <v>0</v>
      </c>
      <c r="Y39" s="810">
        <f>IF(Y$4="forecast",AVERAGE(M39:X39),'Dept. Cost Actuals'!AC254)</f>
        <v>200</v>
      </c>
      <c r="Z39" s="810">
        <f>IF(Z$4="forecast",AVERAGE(N39:Y39),'Dept. Cost Actuals'!AD254)</f>
        <v>2102.19</v>
      </c>
      <c r="AA39" s="810">
        <f>IF(AA$4="forecast",SUMIFS(Planning_Mkt!D$5:D$133,Planning_Mkt!$B$5:$B$133,"Miscellaneous")+4200,'Dept. Cost Actuals'!AE590)</f>
        <v>4200</v>
      </c>
      <c r="AB39" s="810">
        <f>IF(AB$4="forecast",SUMIFS(Planning_Mkt!E$5:E$133,Planning_Mkt!$B$5:$B$133,"Miscellaneous")+4200,'Dept. Cost Actuals'!AF590)</f>
        <v>4200</v>
      </c>
      <c r="AC39" s="810">
        <f>IF(AC$4="forecast",SUMIFS(Planning_Mkt!F$5:F$133,Planning_Mkt!$B$5:$B$133,"Miscellaneous")+4200,'Dept. Cost Actuals'!AG590)</f>
        <v>4212</v>
      </c>
      <c r="AD39" s="810">
        <f>IF(AD$4="forecast",SUMIFS(Planning_Mkt!G$5:G$133,Planning_Mkt!$B$5:$B$133,"Miscellaneous")+4200,'Dept. Cost Actuals'!AH590)</f>
        <v>4212</v>
      </c>
      <c r="AE39" s="810">
        <f>IF(AE$4="forecast",SUMIFS(Planning_Mkt!H$5:H$133,Planning_Mkt!$B$5:$B$133,"Miscellaneous")+4200,'Dept. Cost Actuals'!AI590)</f>
        <v>4212</v>
      </c>
      <c r="AF39" s="810">
        <f>IF(AF$4="forecast",SUMIFS(Planning_Mkt!I$5:I$133,Planning_Mkt!$B$5:$B$133,"Miscellaneous")+4200,'Dept. Cost Actuals'!AJ590)</f>
        <v>4212</v>
      </c>
      <c r="AG39" s="810">
        <f>IF(AG$4="forecast",SUMIFS(Planning_Mkt!J$5:J$133,Planning_Mkt!$B$5:$B$133,"Miscellaneous")+4200,'Dept. Cost Actuals'!AK590)</f>
        <v>4212</v>
      </c>
      <c r="AH39" s="810">
        <f>IF(AH$4="forecast",SUMIFS(Planning_Mkt!K$5:K$133,Planning_Mkt!$B$5:$B$133,"Miscellaneous")+4200,'Dept. Cost Actuals'!AL590)</f>
        <v>4212</v>
      </c>
      <c r="AI39" s="810">
        <f>IF(AI$4="forecast",SUMIFS(Planning_Mkt!L$5:L$133,Planning_Mkt!$B$5:$B$133,"Miscellaneous")+4200,'Dept. Cost Actuals'!AM590)</f>
        <v>4212</v>
      </c>
      <c r="AJ39" s="810">
        <f>IF(AJ$4="forecast",SUMIFS(Planning_Mkt!M$5:M$133,Planning_Mkt!$B$5:$B$133,"Miscellaneous")+4200,'Dept. Cost Actuals'!AN590)</f>
        <v>4212</v>
      </c>
      <c r="AK39" s="810">
        <f>IF(AK$4="forecast",SUMIFS(Planning_Mkt!N$5:N$133,Planning_Mkt!$B$5:$B$133,"Miscellaneous")+4200,'Dept. Cost Actuals'!AO590)</f>
        <v>4212</v>
      </c>
      <c r="AL39" s="810">
        <f>IF(AL$4="forecast",SUMIFS(Planning_Mkt!O$5:O$133,Planning_Mkt!$B$5:$B$133,"Miscellaneous")+4200,'Dept. Cost Actuals'!AP590)</f>
        <v>4212</v>
      </c>
      <c r="AM39" s="810">
        <f>IF(AM$4="forecast",AVERAGE(AA39:AL39),'Dept. Cost Actuals'!AQ254)</f>
        <v>4210</v>
      </c>
      <c r="AN39" s="810">
        <f>IF(AN$4="forecast",AVERAGE(AB39:AM39),'Dept. Cost Actuals'!AR254)</f>
        <v>4210.833333333333</v>
      </c>
      <c r="AO39" s="810">
        <f>IF(AO$4="forecast",AVERAGE(AC39:AN39),'Dept. Cost Actuals'!AS254)</f>
        <v>4211.7361111111113</v>
      </c>
      <c r="AP39" s="810">
        <f>IF(AP$4="forecast",AVERAGE(AD39:AO39),'Dept. Cost Actuals'!AT254)</f>
        <v>4211.7141203703704</v>
      </c>
      <c r="AQ39" s="810">
        <f>IF(AQ$4="forecast",AVERAGE(AE39:AP39),'Dept. Cost Actuals'!AU254)</f>
        <v>4211.6902970679012</v>
      </c>
      <c r="AR39" s="810">
        <f>IF(AR$4="forecast",AVERAGE(AF39:AQ39),'Dept. Cost Actuals'!AV254)</f>
        <v>4211.6644884902262</v>
      </c>
      <c r="AS39" s="810">
        <f>IF(AS$4="forecast",AVERAGE(AG39:AR39),'Dept. Cost Actuals'!AW254)</f>
        <v>4211.6365291977454</v>
      </c>
      <c r="AT39" s="810">
        <f>IF(AT$4="forecast",AVERAGE(AH39:AS39),'Dept. Cost Actuals'!AX254)</f>
        <v>4211.6062399642242</v>
      </c>
      <c r="AU39" s="810">
        <f>IF(AU$4="forecast",AVERAGE(AI39:AT39),'Dept. Cost Actuals'!AY254)</f>
        <v>4211.5734266279096</v>
      </c>
      <c r="AV39" s="810">
        <f>IF(AV$4="forecast",AVERAGE(AJ39:AU39),'Dept. Cost Actuals'!AZ254)</f>
        <v>4211.5378788469015</v>
      </c>
      <c r="AW39" s="810">
        <f>IF(AW$4="forecast",AVERAGE(AK39:AV39),'Dept. Cost Actuals'!BA254)</f>
        <v>4211.4993687508104</v>
      </c>
      <c r="AX39" s="810">
        <f>IF(AX$4="forecast",AVERAGE(AL39:AW39),'Dept. Cost Actuals'!BB254)</f>
        <v>4211.4576494800449</v>
      </c>
      <c r="AY39" s="810">
        <f>IF(AY$4="forecast",AVERAGE(AM39:AX39),'Dept. Cost Actuals'!BC254)</f>
        <v>4211.4124536033814</v>
      </c>
      <c r="AZ39" s="810">
        <f>IF(AZ$4="forecast",AVERAGE(AN39:AY39),'Dept. Cost Actuals'!BD254)</f>
        <v>4211.5301580703299</v>
      </c>
      <c r="BA39" s="810">
        <f>IF(BA$4="forecast",AVERAGE(AO39:AZ39),'Dept. Cost Actuals'!BE254)</f>
        <v>4211.5882267984134</v>
      </c>
      <c r="BB39" s="810">
        <f>IF(BB$4="forecast",AVERAGE(AP39:BA39),'Dept. Cost Actuals'!BF254)</f>
        <v>4211.5759031056887</v>
      </c>
      <c r="BC39" s="810">
        <f>IF(BC$4="forecast",AVERAGE(AQ39:BB39),'Dept. Cost Actuals'!BG254)</f>
        <v>4211.5643850002989</v>
      </c>
      <c r="BD39" s="810">
        <f>IF(BD$4="forecast",AVERAGE(AR39:BC39),'Dept. Cost Actuals'!BH254)</f>
        <v>4211.5538923279973</v>
      </c>
      <c r="BE39" s="810">
        <f>IF(BE$4="forecast",AVERAGE(AS39:BD39),'Dept. Cost Actuals'!BI254)</f>
        <v>4211.5446759811448</v>
      </c>
      <c r="BF39" s="810">
        <f>IF(BF$4="forecast",AVERAGE(AT39:BE39),'Dept. Cost Actuals'!BJ254)</f>
        <v>4211.5370215464291</v>
      </c>
      <c r="BG39" s="810">
        <f>IF(BG$4="forecast",AVERAGE(AU39:BF39),'Dept. Cost Actuals'!BK254)</f>
        <v>4211.531253344946</v>
      </c>
      <c r="BH39" s="810">
        <f>IF(BH$4="forecast",AVERAGE(AV39:BG39),'Dept. Cost Actuals'!BL254)</f>
        <v>4211.5277389046987</v>
      </c>
      <c r="BI39" s="810">
        <f>IF(BI$4="forecast",AVERAGE(AW39:BH39),'Dept. Cost Actuals'!BM254)</f>
        <v>4211.5268939095158</v>
      </c>
      <c r="BJ39" s="810">
        <f>IF(BJ$4="forecast",AVERAGE(AX39:BI39),'Dept. Cost Actuals'!BN254)</f>
        <v>4211.5291876727406</v>
      </c>
      <c r="BK39" s="810">
        <f>IF(BK$4="forecast",AVERAGE(AY39:BJ39),'Dept. Cost Actuals'!BO254)</f>
        <v>4211.5351491887986</v>
      </c>
      <c r="BL39" s="810">
        <f>IF(BL$4="forecast",AVERAGE(AZ39:BK39),'Dept. Cost Actuals'!#REF!)</f>
        <v>4211.5453738209171</v>
      </c>
      <c r="BM39" s="810">
        <f>IF(BM$4="forecast",AVERAGE(BA39:BL39),'Dept. Cost Actuals'!#REF!)</f>
        <v>4211.5466418001333</v>
      </c>
      <c r="BN39" s="810">
        <f>IF(BN$4="forecast",AVERAGE(BB39:BM39),'Dept. Cost Actuals'!#REF!)</f>
        <v>4211.5431763836095</v>
      </c>
      <c r="BO39" s="810">
        <f>IF(BO$4="forecast",AVERAGE(BC39:BN39),'Dept. Cost Actuals'!#REF!)</f>
        <v>4211.5404491567688</v>
      </c>
      <c r="BP39" s="810">
        <f>IF(BP$4="forecast",AVERAGE(BD39:BO39),'Dept. Cost Actuals'!#REF!)</f>
        <v>4211.5384545031411</v>
      </c>
      <c r="BQ39" s="810">
        <f>IF(BQ$4="forecast",AVERAGE(BE39:BP39),'Dept. Cost Actuals'!#REF!)</f>
        <v>4211.5371680177368</v>
      </c>
      <c r="BR39" s="810">
        <f>IF(BR$4="forecast",AVERAGE(BF39:BQ39),'Dept. Cost Actuals'!#REF!)</f>
        <v>4211.5365423541198</v>
      </c>
      <c r="BS39" s="810">
        <f>IF(BS$4="forecast",AVERAGE(BG39:BR39),'Dept. Cost Actuals'!#REF!)</f>
        <v>4211.536502421427</v>
      </c>
      <c r="BT39" s="810">
        <f>IF(BT$4="forecast",AVERAGE(BH39:BS39),'Dept. Cost Actuals'!#REF!)</f>
        <v>4211.5369398444673</v>
      </c>
      <c r="BU39" s="810">
        <f>IF(BU$4="forecast",AVERAGE(BI39:BT39),'Dept. Cost Actuals'!#REF!)</f>
        <v>4211.5377065894481</v>
      </c>
      <c r="BV39" s="817">
        <f>IF(BV$4="forecast",AVERAGE(BJ39:BU39),'Dept. Cost Actuals'!#REF!)</f>
        <v>4211.5386076461091</v>
      </c>
    </row>
    <row r="40" spans="2:74" x14ac:dyDescent="0.35">
      <c r="B40" s="818" t="s">
        <v>953</v>
      </c>
      <c r="C40" s="819">
        <f>SUM(C29:C39,)</f>
        <v>732.24605394362641</v>
      </c>
      <c r="D40" s="819">
        <f t="shared" ref="D40:BO40" si="9">SUM(D29:D39,)</f>
        <v>343.62849129040967</v>
      </c>
      <c r="E40" s="819">
        <f t="shared" si="9"/>
        <v>864.35219055136986</v>
      </c>
      <c r="F40" s="819">
        <f t="shared" si="9"/>
        <v>618.76620204350422</v>
      </c>
      <c r="G40" s="819">
        <f t="shared" si="9"/>
        <v>782.82648206544593</v>
      </c>
      <c r="H40" s="819">
        <f t="shared" si="9"/>
        <v>1310.4307539919014</v>
      </c>
      <c r="I40" s="819">
        <f t="shared" si="9"/>
        <v>1506.387649425988</v>
      </c>
      <c r="J40" s="819">
        <f t="shared" si="9"/>
        <v>1517.8371232992906</v>
      </c>
      <c r="K40" s="819">
        <f t="shared" si="9"/>
        <v>1386.0955366251621</v>
      </c>
      <c r="L40" s="819">
        <f t="shared" si="9"/>
        <v>922.91928929571077</v>
      </c>
      <c r="M40" s="819">
        <f t="shared" si="9"/>
        <v>1607.968414371205</v>
      </c>
      <c r="N40" s="819">
        <f t="shared" si="9"/>
        <v>5683.388310648782</v>
      </c>
      <c r="O40" s="819">
        <f t="shared" si="9"/>
        <v>8500.09</v>
      </c>
      <c r="P40" s="819">
        <f t="shared" si="9"/>
        <v>17209.340000000004</v>
      </c>
      <c r="Q40" s="819">
        <f t="shared" si="9"/>
        <v>9073.2599999999984</v>
      </c>
      <c r="R40" s="819">
        <f t="shared" si="9"/>
        <v>29329</v>
      </c>
      <c r="S40" s="819">
        <f t="shared" si="9"/>
        <v>10158.65</v>
      </c>
      <c r="T40" s="819">
        <f t="shared" si="9"/>
        <v>16405.22</v>
      </c>
      <c r="U40" s="819">
        <f t="shared" si="9"/>
        <v>15988.68</v>
      </c>
      <c r="V40" s="819">
        <f t="shared" si="9"/>
        <v>15711.41</v>
      </c>
      <c r="W40" s="819">
        <f t="shared" si="9"/>
        <v>21034.800000000003</v>
      </c>
      <c r="X40" s="819">
        <f t="shared" si="9"/>
        <v>12424.609999999999</v>
      </c>
      <c r="Y40" s="819">
        <f t="shared" si="9"/>
        <v>23826.55</v>
      </c>
      <c r="Z40" s="819">
        <f t="shared" si="9"/>
        <v>12797.2</v>
      </c>
      <c r="AA40" s="819">
        <f t="shared" si="9"/>
        <v>4366.666666666667</v>
      </c>
      <c r="AB40" s="819">
        <f t="shared" si="9"/>
        <v>4366.666666666667</v>
      </c>
      <c r="AC40" s="819">
        <f t="shared" si="9"/>
        <v>20678.666666666668</v>
      </c>
      <c r="AD40" s="819">
        <f t="shared" si="9"/>
        <v>20678.666666666668</v>
      </c>
      <c r="AE40" s="819">
        <f t="shared" si="9"/>
        <v>20678.666666666668</v>
      </c>
      <c r="AF40" s="819">
        <f t="shared" si="9"/>
        <v>20678.666666666668</v>
      </c>
      <c r="AG40" s="819">
        <f t="shared" si="9"/>
        <v>20678.666666666668</v>
      </c>
      <c r="AH40" s="819">
        <f t="shared" si="9"/>
        <v>20678.666666666668</v>
      </c>
      <c r="AI40" s="819">
        <f t="shared" si="9"/>
        <v>20678.666666666668</v>
      </c>
      <c r="AJ40" s="819">
        <f t="shared" si="9"/>
        <v>20678.666666666668</v>
      </c>
      <c r="AK40" s="819">
        <f t="shared" si="9"/>
        <v>20678.666666666668</v>
      </c>
      <c r="AL40" s="819">
        <f t="shared" si="9"/>
        <v>20978.666666666668</v>
      </c>
      <c r="AM40" s="819">
        <f t="shared" si="9"/>
        <v>17985</v>
      </c>
      <c r="AN40" s="819">
        <f t="shared" si="9"/>
        <v>19119.861111111109</v>
      </c>
      <c r="AO40" s="819">
        <f t="shared" si="9"/>
        <v>20349.293981481482</v>
      </c>
      <c r="AP40" s="819">
        <f t="shared" si="9"/>
        <v>20321.846257716046</v>
      </c>
      <c r="AQ40" s="819">
        <f t="shared" si="9"/>
        <v>20292.111223636828</v>
      </c>
      <c r="AR40" s="819">
        <f t="shared" si="9"/>
        <v>20259.898270051013</v>
      </c>
      <c r="AS40" s="819">
        <f t="shared" si="9"/>
        <v>20225.000903666372</v>
      </c>
      <c r="AT40" s="819">
        <f t="shared" si="9"/>
        <v>20187.19542341635</v>
      </c>
      <c r="AU40" s="819">
        <f t="shared" si="9"/>
        <v>20146.239486478822</v>
      </c>
      <c r="AV40" s="819">
        <f t="shared" si="9"/>
        <v>20101.870554796504</v>
      </c>
      <c r="AW40" s="819">
        <f t="shared" si="9"/>
        <v>20053.804212140654</v>
      </c>
      <c r="AX40" s="819">
        <f t="shared" si="9"/>
        <v>20001.732340930153</v>
      </c>
      <c r="AY40" s="819">
        <f t="shared" si="9"/>
        <v>19920.321147118775</v>
      </c>
      <c r="AZ40" s="819">
        <f t="shared" si="9"/>
        <v>20081.597909378677</v>
      </c>
      <c r="BA40" s="819">
        <f t="shared" si="9"/>
        <v>20161.742642567639</v>
      </c>
      <c r="BB40" s="819">
        <f t="shared" si="9"/>
        <v>20146.113364324821</v>
      </c>
      <c r="BC40" s="819">
        <f t="shared" si="9"/>
        <v>20131.46895654222</v>
      </c>
      <c r="BD40" s="819">
        <f t="shared" si="9"/>
        <v>20118.082100951</v>
      </c>
      <c r="BE40" s="819">
        <f t="shared" si="9"/>
        <v>20106.264086859333</v>
      </c>
      <c r="BF40" s="819">
        <f t="shared" si="9"/>
        <v>20096.36935212541</v>
      </c>
      <c r="BG40" s="819">
        <f t="shared" si="9"/>
        <v>20088.800512851165</v>
      </c>
      <c r="BH40" s="819">
        <f t="shared" si="9"/>
        <v>20084.013931715526</v>
      </c>
      <c r="BI40" s="819">
        <f t="shared" si="9"/>
        <v>20082.525879792112</v>
      </c>
      <c r="BJ40" s="819">
        <f t="shared" si="9"/>
        <v>20084.919352096404</v>
      </c>
      <c r="BK40" s="819">
        <f t="shared" si="9"/>
        <v>20091.851603026924</v>
      </c>
      <c r="BL40" s="819">
        <f t="shared" si="9"/>
        <v>20106.145807685934</v>
      </c>
      <c r="BM40" s="819">
        <f t="shared" si="9"/>
        <v>20108.191465878212</v>
      </c>
      <c r="BN40" s="819">
        <f t="shared" si="9"/>
        <v>20103.728867820755</v>
      </c>
      <c r="BO40" s="819">
        <f t="shared" si="9"/>
        <v>20100.196826445419</v>
      </c>
      <c r="BP40" s="819">
        <f t="shared" ref="BP40:BV40" si="10">SUM(BP29:BP39,)</f>
        <v>20097.590815604017</v>
      </c>
      <c r="BQ40" s="819">
        <f t="shared" si="10"/>
        <v>20095.88320849177</v>
      </c>
      <c r="BR40" s="819">
        <f t="shared" si="10"/>
        <v>20095.018135294471</v>
      </c>
      <c r="BS40" s="819">
        <f t="shared" si="10"/>
        <v>20094.905533891892</v>
      </c>
      <c r="BT40" s="819">
        <f t="shared" si="10"/>
        <v>20095.414285645285</v>
      </c>
      <c r="BU40" s="819">
        <f t="shared" si="10"/>
        <v>20096.364315139432</v>
      </c>
      <c r="BV40" s="820">
        <f t="shared" si="10"/>
        <v>20097.517518085046</v>
      </c>
    </row>
    <row r="41" spans="2:74" x14ac:dyDescent="0.35">
      <c r="B41" s="871"/>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c r="AX41" s="26"/>
      <c r="AY41" s="26"/>
      <c r="AZ41" s="26"/>
      <c r="BA41" s="26"/>
      <c r="BB41" s="26"/>
      <c r="BC41" s="26"/>
      <c r="BD41" s="26"/>
      <c r="BE41" s="26"/>
      <c r="BF41" s="26"/>
      <c r="BG41" s="26"/>
      <c r="BH41" s="26"/>
      <c r="BI41" s="26"/>
      <c r="BJ41" s="26"/>
      <c r="BK41" s="26"/>
      <c r="BL41" s="26"/>
      <c r="BM41" s="26"/>
      <c r="BN41" s="26"/>
      <c r="BO41" s="26"/>
      <c r="BP41" s="26"/>
      <c r="BQ41" s="26"/>
      <c r="BR41" s="26"/>
      <c r="BS41" s="26"/>
      <c r="BT41" s="26"/>
      <c r="BU41" s="26"/>
      <c r="BV41" s="872"/>
    </row>
    <row r="42" spans="2:74" x14ac:dyDescent="0.35">
      <c r="B42" s="802" t="s">
        <v>1067</v>
      </c>
      <c r="C42" s="803"/>
      <c r="D42" s="803"/>
      <c r="E42" s="803"/>
      <c r="F42" s="803"/>
      <c r="G42" s="803"/>
      <c r="H42" s="803"/>
      <c r="I42" s="803"/>
      <c r="J42" s="803"/>
      <c r="K42" s="803"/>
      <c r="L42" s="803"/>
      <c r="M42" s="803"/>
      <c r="N42" s="803"/>
      <c r="O42" s="804"/>
      <c r="P42" s="804"/>
      <c r="Q42" s="804"/>
      <c r="R42" s="804"/>
      <c r="S42" s="804"/>
      <c r="T42" s="804"/>
      <c r="U42" s="804"/>
      <c r="V42" s="804"/>
      <c r="W42" s="804"/>
      <c r="X42" s="804"/>
      <c r="Y42" s="804"/>
      <c r="Z42" s="804"/>
      <c r="AA42" s="804"/>
      <c r="AB42" s="804"/>
      <c r="AC42" s="804"/>
      <c r="AD42" s="804"/>
      <c r="AE42" s="804"/>
      <c r="AF42" s="804"/>
      <c r="AG42" s="804"/>
      <c r="AH42" s="804"/>
      <c r="AI42" s="804"/>
      <c r="AJ42" s="804"/>
      <c r="AK42" s="804"/>
      <c r="AL42" s="804"/>
      <c r="AM42" s="804"/>
      <c r="AN42" s="804"/>
      <c r="AO42" s="804"/>
      <c r="AP42" s="804"/>
      <c r="AQ42" s="804"/>
      <c r="AR42" s="804"/>
      <c r="AS42" s="804"/>
      <c r="AT42" s="804"/>
      <c r="AU42" s="804"/>
      <c r="AV42" s="804"/>
      <c r="AW42" s="804"/>
      <c r="AX42" s="804"/>
      <c r="AY42" s="804"/>
      <c r="AZ42" s="804"/>
      <c r="BA42" s="804"/>
      <c r="BB42" s="804"/>
      <c r="BC42" s="804"/>
      <c r="BD42" s="804"/>
      <c r="BE42" s="804"/>
      <c r="BF42" s="804"/>
      <c r="BG42" s="804"/>
      <c r="BH42" s="804"/>
      <c r="BI42" s="804"/>
      <c r="BJ42" s="804"/>
      <c r="BK42" s="804"/>
      <c r="BL42" s="804"/>
      <c r="BM42" s="804"/>
      <c r="BN42" s="804"/>
      <c r="BO42" s="804"/>
      <c r="BP42" s="804"/>
      <c r="BQ42" s="804"/>
      <c r="BR42" s="804"/>
      <c r="BS42" s="804"/>
      <c r="BT42" s="804"/>
      <c r="BU42" s="804"/>
      <c r="BV42" s="805"/>
    </row>
    <row r="43" spans="2:74" x14ac:dyDescent="0.35">
      <c r="B43" s="812" t="s">
        <v>991</v>
      </c>
      <c r="C43" s="684">
        <f>IF(C$4="forecast",AVERAGE(#REF!),'Dept. Cost Actuals'!G237)</f>
        <v>0</v>
      </c>
      <c r="D43" s="684">
        <f>IF(D$4="forecast",AVERAGE(#REF!),'Dept. Cost Actuals'!H237)</f>
        <v>0</v>
      </c>
      <c r="E43" s="684">
        <f>IF(E$4="forecast",AVERAGE(#REF!),'Dept. Cost Actuals'!I237)</f>
        <v>0</v>
      </c>
      <c r="F43" s="684">
        <f>IF(F$4="forecast",AVERAGE(#REF!),'Dept. Cost Actuals'!J237)</f>
        <v>0</v>
      </c>
      <c r="G43" s="684">
        <f>IF(G$4="forecast",AVERAGE(#REF!),'Dept. Cost Actuals'!K237)</f>
        <v>0</v>
      </c>
      <c r="H43" s="684">
        <f>IF(H$4="forecast",AVERAGE(#REF!),'Dept. Cost Actuals'!L237)</f>
        <v>0</v>
      </c>
      <c r="I43" s="684">
        <f>IF(I$4="forecast",AVERAGE(#REF!),'Dept. Cost Actuals'!M237)</f>
        <v>0</v>
      </c>
      <c r="J43" s="684">
        <f>IF(J$4="forecast",AVERAGE(#REF!),'Dept. Cost Actuals'!N237)</f>
        <v>0</v>
      </c>
      <c r="K43" s="684">
        <f>IF(K$4="forecast",AVERAGE(#REF!),'Dept. Cost Actuals'!O237)</f>
        <v>0</v>
      </c>
      <c r="L43" s="684">
        <f>IF(L$4="forecast",AVERAGE(#REF!),'Dept. Cost Actuals'!P237)</f>
        <v>0</v>
      </c>
      <c r="M43" s="684">
        <f>IF(M$4="forecast",AVERAGE(#REF!),'Dept. Cost Actuals'!Q237)</f>
        <v>0</v>
      </c>
      <c r="N43" s="684">
        <f>IF(N$4="forecast",AVERAGE(#REF!),'Dept. Cost Actuals'!R237)</f>
        <v>0</v>
      </c>
      <c r="O43" s="684">
        <f>IF(O$4="forecast",AVERAGE(C43:N43),'Dept. Cost Actuals'!S237)</f>
        <v>12000</v>
      </c>
      <c r="P43" s="684">
        <f>IF(P$4="forecast",AVERAGE(D43:O43),'Dept. Cost Actuals'!T237)</f>
        <v>7285.86</v>
      </c>
      <c r="Q43" s="684">
        <f>IF(Q$4="forecast",AVERAGE(E43:P43),'Dept. Cost Actuals'!U237)</f>
        <v>21140.21</v>
      </c>
      <c r="R43" s="684">
        <f>IF(R$4="forecast",AVERAGE(F43:Q43),'Dept. Cost Actuals'!V237)</f>
        <v>1356.79</v>
      </c>
      <c r="S43" s="684">
        <f>IF(S$4="forecast",AVERAGE(G43:R43),'Dept. Cost Actuals'!W237)</f>
        <v>14085.69</v>
      </c>
      <c r="T43" s="684">
        <f>IF(T$4="forecast",AVERAGE(H43:S43),'Dept. Cost Actuals'!X237)</f>
        <v>23574.21</v>
      </c>
      <c r="U43" s="684">
        <f>IF(U$4="forecast",AVERAGE(I43:T43),'Dept. Cost Actuals'!Y237)</f>
        <v>78990.66</v>
      </c>
      <c r="V43" s="684">
        <f>IF(V$4="forecast",AVERAGE(J43:U43),'Dept. Cost Actuals'!Z237)</f>
        <v>47119.23</v>
      </c>
      <c r="W43" s="684">
        <f>IF(W$4="forecast",AVERAGE(K43:V43),'Dept. Cost Actuals'!AA237)</f>
        <v>28275.4</v>
      </c>
      <c r="X43" s="684">
        <f>IF(X$4="forecast",AVERAGE(L43:W43),'Dept. Cost Actuals'!AB237)</f>
        <v>34860.03</v>
      </c>
      <c r="Y43" s="684">
        <f>IF(Y$4="forecast",AVERAGE(M43:X43),'Dept. Cost Actuals'!AC237)</f>
        <v>27800</v>
      </c>
      <c r="Z43" s="684">
        <f>IF(Z$4="forecast",AVERAGE(N43:Y43),'Dept. Cost Actuals'!AD237)</f>
        <v>27000</v>
      </c>
      <c r="AA43" s="684">
        <f>IF(AA$4="forecast",SUMIFS(Planning_Mkt!D$5:D$133,Planning_Mkt!$B$5:$B$133,"Marketing Conferences and Events"),'Dept. Cost Actuals'!AE237)</f>
        <v>2083.33</v>
      </c>
      <c r="AB43" s="684">
        <f>IF(AB$4="forecast",SUMIFS(Planning_Mkt!E$5:E$133,Planning_Mkt!$B$5:$B$133,"Marketing Conferences and Events"),'Dept. Cost Actuals'!AF237)</f>
        <v>2083.33</v>
      </c>
      <c r="AC43" s="684">
        <f>IF(AC$4="forecast",SUMIFS(Planning_Mkt!F$5:F$133,Planning_Mkt!$B$5:$B$133,"Marketing Conferences and Events"),'Dept. Cost Actuals'!AG237)</f>
        <v>22083.33</v>
      </c>
      <c r="AD43" s="684">
        <f>IF(AD$4="forecast",SUMIFS(Planning_Mkt!G$5:G$133,Planning_Mkt!$B$5:$B$133,"Marketing Conferences and Events"),'Dept. Cost Actuals'!AH237)</f>
        <v>42083.33</v>
      </c>
      <c r="AE43" s="684">
        <f>IF(AE$4="forecast",SUMIFS(Planning_Mkt!H$5:H$133,Planning_Mkt!$B$5:$B$133,"Marketing Conferences and Events"),'Dept. Cost Actuals'!AI237)</f>
        <v>2083.33</v>
      </c>
      <c r="AF43" s="684">
        <f>IF(AF$4="forecast",SUMIFS(Planning_Mkt!I$5:I$133,Planning_Mkt!$B$5:$B$133,"Marketing Conferences and Events"),'Dept. Cost Actuals'!AJ237)</f>
        <v>37083.33</v>
      </c>
      <c r="AG43" s="684">
        <f>IF(AG$4="forecast",SUMIFS(Planning_Mkt!J$5:J$133,Planning_Mkt!$B$5:$B$133,"Marketing Conferences and Events"),'Dept. Cost Actuals'!AK237)</f>
        <v>42083.33</v>
      </c>
      <c r="AH43" s="684">
        <f>IF(AH$4="forecast",SUMIFS(Planning_Mkt!K$5:K$133,Planning_Mkt!$B$5:$B$133,"Marketing Conferences and Events"),'Dept. Cost Actuals'!AL237)</f>
        <v>2083.33</v>
      </c>
      <c r="AI43" s="684">
        <f>IF(AI$4="forecast",SUMIFS(Planning_Mkt!L$5:L$133,Planning_Mkt!$B$5:$B$133,"Marketing Conferences and Events"),'Dept. Cost Actuals'!AM237)</f>
        <v>2083.33</v>
      </c>
      <c r="AJ43" s="684">
        <f>IF(AJ$4="forecast",SUMIFS(Planning_Mkt!M$5:M$133,Planning_Mkt!$B$5:$B$133,"Marketing Conferences and Events"),'Dept. Cost Actuals'!AN237)</f>
        <v>42083.33</v>
      </c>
      <c r="AK43" s="684">
        <f>IF(AK$4="forecast",SUMIFS(Planning_Mkt!N$5:N$133,Planning_Mkt!$B$5:$B$133,"Marketing Conferences and Events"),'Dept. Cost Actuals'!AO237)</f>
        <v>2083.33</v>
      </c>
      <c r="AL43" s="684">
        <f>IF(AL$4="forecast",SUMIFS(Planning_Mkt!O$5:O$133,Planning_Mkt!$B$5:$B$133,"Marketing Conferences and Events"),'Dept. Cost Actuals'!AP237)</f>
        <v>2083.33</v>
      </c>
      <c r="AM43" s="684">
        <f>IF(AM$4="forecast",AVERAGE(AA43:AL43),'Dept. Cost Actuals'!AQ237)</f>
        <v>16666.66333333333</v>
      </c>
      <c r="AN43" s="684">
        <f>IF(AN$4="forecast",AVERAGE(AB43:AM43),'Dept. Cost Actuals'!AR237)</f>
        <v>17881.941111111108</v>
      </c>
      <c r="AO43" s="684">
        <f>IF(AO$4="forecast",AVERAGE(AC43:AN43),'Dept. Cost Actuals'!AS237)</f>
        <v>19198.492037037035</v>
      </c>
      <c r="AP43" s="684">
        <f>IF(AP$4="forecast",AVERAGE(AD43:AO43),'Dept. Cost Actuals'!AT237)</f>
        <v>18958.088873456789</v>
      </c>
      <c r="AQ43" s="684">
        <f>IF(AQ$4="forecast",AVERAGE(AE43:AP43),'Dept. Cost Actuals'!AU237)</f>
        <v>17030.985446244857</v>
      </c>
      <c r="AR43" s="684">
        <f>IF(AR$4="forecast",AVERAGE(AF43:AQ43),'Dept. Cost Actuals'!AV237)</f>
        <v>18276.623400098593</v>
      </c>
      <c r="AS43" s="684">
        <f>IF(AS$4="forecast",AVERAGE(AG43:AR43),'Dept. Cost Actuals'!AW237)</f>
        <v>16709.397850106809</v>
      </c>
      <c r="AT43" s="684">
        <f>IF(AT$4="forecast",AVERAGE(AH43:AS43),'Dept. Cost Actuals'!AX237)</f>
        <v>14594.903504282376</v>
      </c>
      <c r="AU43" s="684">
        <f>IF(AU$4="forecast",AVERAGE(AI43:AT43),'Dept. Cost Actuals'!AY237)</f>
        <v>15637.534629639244</v>
      </c>
      <c r="AV43" s="684">
        <f>IF(AV$4="forecast",AVERAGE(AJ43:AU43),'Dept. Cost Actuals'!AZ237)</f>
        <v>16767.051682109181</v>
      </c>
      <c r="AW43" s="684">
        <f>IF(AW$4="forecast",AVERAGE(AK43:AV43),'Dept. Cost Actuals'!BA237)</f>
        <v>14657.361822284942</v>
      </c>
      <c r="AX43" s="684">
        <f>IF(AX$4="forecast",AVERAGE(AL43:AW43),'Dept. Cost Actuals'!BB237)</f>
        <v>15705.197807475355</v>
      </c>
      <c r="AY43" s="684">
        <f>IF(AY$4="forecast",AVERAGE(AM43:AX43),'Dept. Cost Actuals'!BC237)</f>
        <v>16840.3534580983</v>
      </c>
      <c r="AZ43" s="684">
        <f>IF(AZ$4="forecast",AVERAGE(AN43:AY43),'Dept. Cost Actuals'!BD237)</f>
        <v>16854.827635162048</v>
      </c>
      <c r="BA43" s="684">
        <f>IF(BA$4="forecast",AVERAGE(AO43:AZ43),'Dept. Cost Actuals'!BE237)</f>
        <v>16769.234845499624</v>
      </c>
      <c r="BB43" s="684">
        <f>IF(BB$4="forecast",AVERAGE(AP43:BA43),'Dept. Cost Actuals'!BF237)</f>
        <v>16566.796746204844</v>
      </c>
      <c r="BC43" s="684">
        <f>IF(BC$4="forecast",AVERAGE(AQ43:BB43),'Dept. Cost Actuals'!BG237)</f>
        <v>16367.522402267183</v>
      </c>
      <c r="BD43" s="684">
        <f>IF(BD$4="forecast",AVERAGE(AR43:BC43),'Dept. Cost Actuals'!BH237)</f>
        <v>16312.233815269043</v>
      </c>
      <c r="BE43" s="684">
        <f>IF(BE$4="forecast",AVERAGE(AS43:BD43),'Dept. Cost Actuals'!BI237)</f>
        <v>16148.534683199912</v>
      </c>
      <c r="BF43" s="684">
        <f>IF(BF$4="forecast",AVERAGE(AT43:BE43),'Dept. Cost Actuals'!BJ237)</f>
        <v>16101.796085957671</v>
      </c>
      <c r="BG43" s="684">
        <f>IF(BG$4="forecast",AVERAGE(AU43:BF43),'Dept. Cost Actuals'!BK237)</f>
        <v>16227.370467763947</v>
      </c>
      <c r="BH43" s="684">
        <f>IF(BH$4="forecast",AVERAGE(AV43:BG43),'Dept. Cost Actuals'!BL237)</f>
        <v>16276.523454274336</v>
      </c>
      <c r="BI43" s="684">
        <f>IF(BI$4="forecast",AVERAGE(AW43:BH43),'Dept. Cost Actuals'!BM237)</f>
        <v>16235.64610195477</v>
      </c>
      <c r="BJ43" s="684">
        <f>IF(BJ$4="forecast",AVERAGE(AX43:BI43),'Dept. Cost Actuals'!BN237)</f>
        <v>16367.169791927254</v>
      </c>
      <c r="BK43" s="684">
        <f>IF(BK$4="forecast",AVERAGE(AY43:BJ43),'Dept. Cost Actuals'!BO237)</f>
        <v>16422.334123964913</v>
      </c>
      <c r="BL43" s="684">
        <f>IF(BL$4="forecast",AVERAGE(AZ43:BK43),'Dept. Cost Actuals'!#REF!)</f>
        <v>16387.499179453796</v>
      </c>
      <c r="BM43" s="684">
        <f>IF(BM$4="forecast",AVERAGE(BA43:BL43),'Dept. Cost Actuals'!#REF!)</f>
        <v>16348.555141478108</v>
      </c>
      <c r="BN43" s="684">
        <f>IF(BN$4="forecast",AVERAGE(BB43:BM43),'Dept. Cost Actuals'!#REF!)</f>
        <v>16313.498499476314</v>
      </c>
      <c r="BO43" s="684">
        <f>IF(BO$4="forecast",AVERAGE(BC43:BN43),'Dept. Cost Actuals'!#REF!)</f>
        <v>16292.390312248937</v>
      </c>
      <c r="BP43" s="684">
        <f>IF(BP$4="forecast",AVERAGE(BD43:BO43),'Dept. Cost Actuals'!#REF!)</f>
        <v>16286.129304747417</v>
      </c>
      <c r="BQ43" s="684">
        <f>IF(BQ$4="forecast",AVERAGE(BE43:BP43),'Dept. Cost Actuals'!#REF!)</f>
        <v>16283.953928870615</v>
      </c>
      <c r="BR43" s="684">
        <f>IF(BR$4="forecast",AVERAGE(BF43:BQ43),'Dept. Cost Actuals'!#REF!)</f>
        <v>16295.238866009839</v>
      </c>
      <c r="BS43" s="684">
        <f>IF(BS$4="forecast",AVERAGE(BG43:BR43),'Dept. Cost Actuals'!#REF!)</f>
        <v>16311.359097680854</v>
      </c>
      <c r="BT43" s="684">
        <f>IF(BT$4="forecast",AVERAGE(BH43:BS43),'Dept. Cost Actuals'!#REF!)</f>
        <v>16318.35815017393</v>
      </c>
      <c r="BU43" s="684">
        <f>IF(BU$4="forecast",AVERAGE(BI43:BT43),'Dept. Cost Actuals'!#REF!)</f>
        <v>16321.84437483223</v>
      </c>
      <c r="BV43" s="808">
        <f>IF(BV$4="forecast",AVERAGE(BJ43:BU43),'Dept. Cost Actuals'!#REF!)</f>
        <v>16329.027564238686</v>
      </c>
    </row>
    <row r="44" spans="2:74" x14ac:dyDescent="0.35">
      <c r="B44" s="812" t="s">
        <v>713</v>
      </c>
      <c r="C44" s="684">
        <f>IF(C$4="forecast",AVERAGE(#REF!),'Dept. Cost Actuals'!G238)</f>
        <v>0</v>
      </c>
      <c r="D44" s="684">
        <f>IF(D$4="forecast",AVERAGE(#REF!),'Dept. Cost Actuals'!H238)</f>
        <v>0</v>
      </c>
      <c r="E44" s="684">
        <f>IF(E$4="forecast",AVERAGE(#REF!),'Dept. Cost Actuals'!I238)</f>
        <v>0</v>
      </c>
      <c r="F44" s="684">
        <f>IF(F$4="forecast",AVERAGE(#REF!),'Dept. Cost Actuals'!J238)</f>
        <v>0</v>
      </c>
      <c r="G44" s="684">
        <f>IF(G$4="forecast",AVERAGE(#REF!),'Dept. Cost Actuals'!K238)</f>
        <v>0</v>
      </c>
      <c r="H44" s="684">
        <f>IF(H$4="forecast",AVERAGE(#REF!),'Dept. Cost Actuals'!L238)</f>
        <v>0</v>
      </c>
      <c r="I44" s="684">
        <f>IF(I$4="forecast",AVERAGE(#REF!),'Dept. Cost Actuals'!M238)</f>
        <v>0</v>
      </c>
      <c r="J44" s="684">
        <f>IF(J$4="forecast",AVERAGE(#REF!),'Dept. Cost Actuals'!N238)</f>
        <v>0</v>
      </c>
      <c r="K44" s="684">
        <f>IF(K$4="forecast",AVERAGE(#REF!),'Dept. Cost Actuals'!O238)</f>
        <v>0</v>
      </c>
      <c r="L44" s="684">
        <f>IF(L$4="forecast",AVERAGE(#REF!),'Dept. Cost Actuals'!P238)</f>
        <v>0</v>
      </c>
      <c r="M44" s="684">
        <f>IF(M$4="forecast",AVERAGE(#REF!),'Dept. Cost Actuals'!Q238)</f>
        <v>0</v>
      </c>
      <c r="N44" s="684">
        <f>IF(N$4="forecast",AVERAGE(#REF!),'Dept. Cost Actuals'!R238)</f>
        <v>0</v>
      </c>
      <c r="O44" s="684">
        <f>IF(O$4="forecast",AVERAGE(C44:N44),'Dept. Cost Actuals'!S238)</f>
        <v>2484</v>
      </c>
      <c r="P44" s="684">
        <f>IF(P$4="forecast",AVERAGE(D44:O44),'Dept. Cost Actuals'!T238)</f>
        <v>8458.64</v>
      </c>
      <c r="Q44" s="684">
        <f>IF(Q$4="forecast",AVERAGE(E44:P44),'Dept. Cost Actuals'!U238)</f>
        <v>2703.95</v>
      </c>
      <c r="R44" s="684">
        <f>IF(R$4="forecast",AVERAGE(F44:Q44),'Dept. Cost Actuals'!V238)</f>
        <v>2165.87</v>
      </c>
      <c r="S44" s="684">
        <f>IF(S$4="forecast",AVERAGE(G44:R44),'Dept. Cost Actuals'!W238)</f>
        <v>2555.71</v>
      </c>
      <c r="T44" s="684">
        <f>IF(T$4="forecast",AVERAGE(H44:S44),'Dept. Cost Actuals'!X238)</f>
        <v>32774.410000000003</v>
      </c>
      <c r="U44" s="684">
        <f>IF(U$4="forecast",AVERAGE(I44:T44),'Dept. Cost Actuals'!Y238)</f>
        <v>7038.06</v>
      </c>
      <c r="V44" s="684">
        <f>IF(V$4="forecast",AVERAGE(J44:U44),'Dept. Cost Actuals'!Z238)</f>
        <v>0</v>
      </c>
      <c r="W44" s="684">
        <f>IF(W$4="forecast",AVERAGE(K44:V44),'Dept. Cost Actuals'!AA238)</f>
        <v>16298.09</v>
      </c>
      <c r="X44" s="684">
        <f>IF(X$4="forecast",AVERAGE(L44:W44),'Dept. Cost Actuals'!AB238)</f>
        <v>0</v>
      </c>
      <c r="Y44" s="684">
        <f>IF(Y$4="forecast",AVERAGE(M44:X44),'Dept. Cost Actuals'!AC238)</f>
        <v>105.99</v>
      </c>
      <c r="Z44" s="684">
        <f>IF(Z$4="forecast",AVERAGE(N44:Y44),'Dept. Cost Actuals'!AD238)</f>
        <v>0</v>
      </c>
      <c r="AA44" s="684">
        <f>IF(AA$4="forecast",SUMIFS(Planning_Mkt!D$5:D$133,Planning_Mkt!$B$5:$B$133,"Sales Conferences and Events"),'Dept. Cost Actuals'!AE238)</f>
        <v>0</v>
      </c>
      <c r="AB44" s="684">
        <f>IF(AB$4="forecast",SUMIFS(Planning_Mkt!E$5:E$133,Planning_Mkt!$B$5:$B$133,"Sales Conferences and Events"),'Dept. Cost Actuals'!AF238)</f>
        <v>0</v>
      </c>
      <c r="AC44" s="684">
        <f>IF(AC$4="forecast",SUMIFS(Planning_Mkt!F$5:F$133,Planning_Mkt!$B$5:$B$133,"Sales Conferences and Events"),'Dept. Cost Actuals'!AG238)</f>
        <v>11000</v>
      </c>
      <c r="AD44" s="684">
        <f>IF(AD$4="forecast",SUMIFS(Planning_Mkt!G$5:G$133,Planning_Mkt!$B$5:$B$133,"Sales Conferences and Events"),'Dept. Cost Actuals'!AH238)</f>
        <v>1000</v>
      </c>
      <c r="AE44" s="684">
        <f>IF(AE$4="forecast",SUMIFS(Planning_Mkt!H$5:H$133,Planning_Mkt!$B$5:$B$133,"Sales Conferences and Events"),'Dept. Cost Actuals'!AI238)</f>
        <v>1000</v>
      </c>
      <c r="AF44" s="684">
        <f>IF(AF$4="forecast",SUMIFS(Planning_Mkt!I$5:I$133,Planning_Mkt!$B$5:$B$133,"Sales Conferences and Events"),'Dept. Cost Actuals'!AJ238)</f>
        <v>1000</v>
      </c>
      <c r="AG44" s="684">
        <f>IF(AG$4="forecast",SUMIFS(Planning_Mkt!J$5:J$133,Planning_Mkt!$B$5:$B$133,"Sales Conferences and Events"),'Dept. Cost Actuals'!AK238)</f>
        <v>1000</v>
      </c>
      <c r="AH44" s="684">
        <f>IF(AH$4="forecast",SUMIFS(Planning_Mkt!K$5:K$133,Planning_Mkt!$B$5:$B$133,"Sales Conferences and Events"),'Dept. Cost Actuals'!AL238)</f>
        <v>1000</v>
      </c>
      <c r="AI44" s="684">
        <f>IF(AI$4="forecast",SUMIFS(Planning_Mkt!L$5:L$133,Planning_Mkt!$B$5:$B$133,"Sales Conferences and Events"),'Dept. Cost Actuals'!AM238)</f>
        <v>1000</v>
      </c>
      <c r="AJ44" s="684">
        <f>IF(AJ$4="forecast",SUMIFS(Planning_Mkt!M$5:M$133,Planning_Mkt!$B$5:$B$133,"Sales Conferences and Events"),'Dept. Cost Actuals'!AN238)</f>
        <v>1000</v>
      </c>
      <c r="AK44" s="684">
        <f>IF(AK$4="forecast",SUMIFS(Planning_Mkt!N$5:N$133,Planning_Mkt!$B$5:$B$133,"Sales Conferences and Events"),'Dept. Cost Actuals'!AO238)</f>
        <v>1000</v>
      </c>
      <c r="AL44" s="684">
        <f>IF(AL$4="forecast",SUMIFS(Planning_Mkt!O$5:O$133,Planning_Mkt!$B$5:$B$133,"Sales Conferences and Events"),'Dept. Cost Actuals'!AP238)</f>
        <v>1000</v>
      </c>
      <c r="AM44" s="684">
        <f>IF(AM$4="forecast",AVERAGE(AA44:AL44),'Dept. Cost Actuals'!AQ238)</f>
        <v>1666.6666666666667</v>
      </c>
      <c r="AN44" s="684">
        <f>IF(AN$4="forecast",AVERAGE(AB44:AM44),'Dept. Cost Actuals'!AR238)</f>
        <v>1805.5555555555557</v>
      </c>
      <c r="AO44" s="684">
        <f>IF(AO$4="forecast",AVERAGE(AC44:AN44),'Dept. Cost Actuals'!AS238)</f>
        <v>1956.0185185185185</v>
      </c>
      <c r="AP44" s="684">
        <f>IF(AP$4="forecast",AVERAGE(AD44:AO44),'Dept. Cost Actuals'!AT238)</f>
        <v>1202.3533950617284</v>
      </c>
      <c r="AQ44" s="684">
        <f>IF(AQ$4="forecast",AVERAGE(AE44:AP44),'Dept. Cost Actuals'!AU238)</f>
        <v>1219.216177983539</v>
      </c>
      <c r="AR44" s="684">
        <f>IF(AR$4="forecast",AVERAGE(AF44:AQ44),'Dept. Cost Actuals'!AV238)</f>
        <v>1237.4841928155006</v>
      </c>
      <c r="AS44" s="684">
        <f>IF(AS$4="forecast",AVERAGE(AG44:AR44),'Dept. Cost Actuals'!AW238)</f>
        <v>1257.2745422167923</v>
      </c>
      <c r="AT44" s="684">
        <f>IF(AT$4="forecast",AVERAGE(AH44:AS44),'Dept. Cost Actuals'!AX238)</f>
        <v>1278.7140874015249</v>
      </c>
      <c r="AU44" s="684">
        <f>IF(AU$4="forecast",AVERAGE(AI44:AT44),'Dept. Cost Actuals'!AY238)</f>
        <v>1301.940261351652</v>
      </c>
      <c r="AV44" s="684">
        <f>IF(AV$4="forecast",AVERAGE(AJ44:AU44),'Dept. Cost Actuals'!AZ238)</f>
        <v>1327.1019497976229</v>
      </c>
      <c r="AW44" s="684">
        <f>IF(AW$4="forecast",AVERAGE(AK44:AV44),'Dept. Cost Actuals'!BA238)</f>
        <v>1354.3604456140915</v>
      </c>
      <c r="AX44" s="684">
        <f>IF(AX$4="forecast",AVERAGE(AL44:AW44),'Dept. Cost Actuals'!BB238)</f>
        <v>1383.8904827485994</v>
      </c>
      <c r="AY44" s="684">
        <f>IF(AY$4="forecast",AVERAGE(AM44:AX44),'Dept. Cost Actuals'!BC238)</f>
        <v>1415.8813563109827</v>
      </c>
      <c r="AZ44" s="684">
        <f>IF(AZ$4="forecast",AVERAGE(AN44:AY44),'Dept. Cost Actuals'!BD238)</f>
        <v>1394.982580448009</v>
      </c>
      <c r="BA44" s="684">
        <f>IF(BA$4="forecast",AVERAGE(AO44:AZ44),'Dept. Cost Actuals'!BE238)</f>
        <v>1360.7681658557133</v>
      </c>
      <c r="BB44" s="684">
        <f>IF(BB$4="forecast",AVERAGE(AP44:BA44),'Dept. Cost Actuals'!BF238)</f>
        <v>1311.1639698004797</v>
      </c>
      <c r="BC44" s="684">
        <f>IF(BC$4="forecast",AVERAGE(AQ44:BB44),'Dept. Cost Actuals'!BG238)</f>
        <v>1320.2315176953757</v>
      </c>
      <c r="BD44" s="684">
        <f>IF(BD$4="forecast",AVERAGE(AR44:BC44),'Dept. Cost Actuals'!BH238)</f>
        <v>1328.6494626713622</v>
      </c>
      <c r="BE44" s="684">
        <f>IF(BE$4="forecast",AVERAGE(AS44:BD44),'Dept. Cost Actuals'!BI238)</f>
        <v>1336.246568492684</v>
      </c>
      <c r="BF44" s="684">
        <f>IF(BF$4="forecast",AVERAGE(AT44:BE44),'Dept. Cost Actuals'!BJ238)</f>
        <v>1342.8275706823417</v>
      </c>
      <c r="BG44" s="684">
        <f>IF(BG$4="forecast",AVERAGE(AU44:BF44),'Dept. Cost Actuals'!BK238)</f>
        <v>1348.170360955743</v>
      </c>
      <c r="BH44" s="684">
        <f>IF(BH$4="forecast",AVERAGE(AV44:BG44),'Dept. Cost Actuals'!BL238)</f>
        <v>1352.0228692560838</v>
      </c>
      <c r="BI44" s="684">
        <f>IF(BI$4="forecast",AVERAGE(AW44:BH44),'Dept. Cost Actuals'!BM238)</f>
        <v>1354.0996125442889</v>
      </c>
      <c r="BJ44" s="684">
        <f>IF(BJ$4="forecast",AVERAGE(AX44:BI44),'Dept. Cost Actuals'!BN238)</f>
        <v>1354.0778764551387</v>
      </c>
      <c r="BK44" s="684">
        <f>IF(BK$4="forecast",AVERAGE(AY44:BJ44),'Dept. Cost Actuals'!BO238)</f>
        <v>1351.5934925973504</v>
      </c>
      <c r="BL44" s="684">
        <f>IF(BL$4="forecast",AVERAGE(AZ44:BK44),'Dept. Cost Actuals'!#REF!)</f>
        <v>1346.2361706212143</v>
      </c>
      <c r="BM44" s="684">
        <f>IF(BM$4="forecast",AVERAGE(BA44:BL44),'Dept. Cost Actuals'!#REF!)</f>
        <v>1342.1739698023146</v>
      </c>
      <c r="BN44" s="684">
        <f>IF(BN$4="forecast",AVERAGE(BB44:BM44),'Dept. Cost Actuals'!#REF!)</f>
        <v>1340.6244534645311</v>
      </c>
      <c r="BO44" s="684">
        <f>IF(BO$4="forecast",AVERAGE(BC44:BN44),'Dept. Cost Actuals'!#REF!)</f>
        <v>1343.079493769869</v>
      </c>
      <c r="BP44" s="684">
        <f>IF(BP$4="forecast",AVERAGE(BD44:BO44),'Dept. Cost Actuals'!#REF!)</f>
        <v>1344.9834917760768</v>
      </c>
      <c r="BQ44" s="684">
        <f>IF(BQ$4="forecast",AVERAGE(BE44:BP44),'Dept. Cost Actuals'!#REF!)</f>
        <v>1346.3446608681361</v>
      </c>
      <c r="BR44" s="684">
        <f>IF(BR$4="forecast",AVERAGE(BF44:BQ44),'Dept. Cost Actuals'!#REF!)</f>
        <v>1347.1861685660906</v>
      </c>
      <c r="BS44" s="684">
        <f>IF(BS$4="forecast",AVERAGE(BG44:BR44),'Dept. Cost Actuals'!#REF!)</f>
        <v>1347.5493850564033</v>
      </c>
      <c r="BT44" s="684">
        <f>IF(BT$4="forecast",AVERAGE(BH44:BS44),'Dept. Cost Actuals'!#REF!)</f>
        <v>1347.4976370647914</v>
      </c>
      <c r="BU44" s="684">
        <f>IF(BU$4="forecast",AVERAGE(BI44:BT44),'Dept. Cost Actuals'!#REF!)</f>
        <v>1347.1205343821839</v>
      </c>
      <c r="BV44" s="808">
        <f>IF(BV$4="forecast",AVERAGE(BJ44:BU44),'Dept. Cost Actuals'!#REF!)</f>
        <v>1346.5389445353417</v>
      </c>
    </row>
    <row r="45" spans="2:74" x14ac:dyDescent="0.35">
      <c r="B45" s="812" t="s">
        <v>992</v>
      </c>
      <c r="C45" s="684">
        <f>IF(C$4="forecast",AVERAGE(#REF!),'Dept. Cost Actuals'!G239)</f>
        <v>0</v>
      </c>
      <c r="D45" s="684">
        <f>IF(D$4="forecast",AVERAGE(#REF!),'Dept. Cost Actuals'!H239)</f>
        <v>0</v>
      </c>
      <c r="E45" s="684">
        <f>IF(E$4="forecast",AVERAGE(#REF!),'Dept. Cost Actuals'!I239)</f>
        <v>0</v>
      </c>
      <c r="F45" s="684">
        <f>IF(F$4="forecast",AVERAGE(#REF!),'Dept. Cost Actuals'!J239)</f>
        <v>0</v>
      </c>
      <c r="G45" s="684">
        <f>IF(G$4="forecast",AVERAGE(#REF!),'Dept. Cost Actuals'!K239)</f>
        <v>0</v>
      </c>
      <c r="H45" s="684">
        <f>IF(H$4="forecast",AVERAGE(#REF!),'Dept. Cost Actuals'!L239)</f>
        <v>0</v>
      </c>
      <c r="I45" s="684">
        <f>IF(I$4="forecast",AVERAGE(#REF!),'Dept. Cost Actuals'!M239)</f>
        <v>0</v>
      </c>
      <c r="J45" s="684">
        <f>IF(J$4="forecast",AVERAGE(#REF!),'Dept. Cost Actuals'!N239)</f>
        <v>0</v>
      </c>
      <c r="K45" s="684">
        <f>IF(K$4="forecast",AVERAGE(#REF!),'Dept. Cost Actuals'!O239)</f>
        <v>0</v>
      </c>
      <c r="L45" s="684">
        <f>IF(L$4="forecast",AVERAGE(#REF!),'Dept. Cost Actuals'!P239)</f>
        <v>0</v>
      </c>
      <c r="M45" s="684">
        <f>IF(M$4="forecast",AVERAGE(#REF!),'Dept. Cost Actuals'!Q239)</f>
        <v>0</v>
      </c>
      <c r="N45" s="684">
        <f>IF(N$4="forecast",AVERAGE(#REF!),'Dept. Cost Actuals'!R239)</f>
        <v>0</v>
      </c>
      <c r="O45" s="684">
        <f>IF(O$4="forecast",AVERAGE(C45:N45),'Dept. Cost Actuals'!S239)</f>
        <v>241.46</v>
      </c>
      <c r="P45" s="684">
        <f>IF(P$4="forecast",AVERAGE(D45:O45),'Dept. Cost Actuals'!T239)</f>
        <v>241.46</v>
      </c>
      <c r="Q45" s="684">
        <f>IF(Q$4="forecast",AVERAGE(E45:P45),'Dept. Cost Actuals'!U239)</f>
        <v>736.85</v>
      </c>
      <c r="R45" s="684">
        <f>IF(R$4="forecast",AVERAGE(F45:Q45),'Dept. Cost Actuals'!V239)</f>
        <v>13274.46</v>
      </c>
      <c r="S45" s="684">
        <f>IF(S$4="forecast",AVERAGE(G45:R45),'Dept. Cost Actuals'!W239)</f>
        <v>3960</v>
      </c>
      <c r="T45" s="684">
        <f>IF(T$4="forecast",AVERAGE(H45:S45),'Dept. Cost Actuals'!X239)</f>
        <v>5942.85</v>
      </c>
      <c r="U45" s="684">
        <f>IF(U$4="forecast",AVERAGE(I45:T45),'Dept. Cost Actuals'!Y239)</f>
        <v>8207.25</v>
      </c>
      <c r="V45" s="684">
        <f>IF(V$4="forecast",AVERAGE(J45:U45),'Dept. Cost Actuals'!Z239)</f>
        <v>7795.25</v>
      </c>
      <c r="W45" s="684">
        <f>IF(W$4="forecast",AVERAGE(K45:V45),'Dept. Cost Actuals'!AA239)</f>
        <v>4015.5</v>
      </c>
      <c r="X45" s="684">
        <f>IF(X$4="forecast",AVERAGE(L45:W45),'Dept. Cost Actuals'!AB239)</f>
        <v>3875.5</v>
      </c>
      <c r="Y45" s="684">
        <f>IF(Y$4="forecast",AVERAGE(M45:X45),'Dept. Cost Actuals'!AC239)</f>
        <v>3950.5</v>
      </c>
      <c r="Z45" s="684">
        <f>IF(Z$4="forecast",AVERAGE(N45:Y45),'Dept. Cost Actuals'!AD239)</f>
        <v>6727.35</v>
      </c>
      <c r="AA45" s="684">
        <f>IF(AA$4="forecast",SUMIFS(Planning_Mkt!D$5:D$133,Planning_Mkt!$B$5:$B$133,"Lead Lists and Services"),'Dept. Cost Actuals'!AE239)</f>
        <v>0</v>
      </c>
      <c r="AB45" s="684">
        <f>IF(AB$4="forecast",SUMIFS(Planning_Mkt!E$5:E$133,Planning_Mkt!$B$5:$B$133,"Lead Lists and Services"),'Dept. Cost Actuals'!AF239)</f>
        <v>0</v>
      </c>
      <c r="AC45" s="684">
        <f>IF(AC$4="forecast",SUMIFS(Planning_Mkt!F$5:F$133,Planning_Mkt!$B$5:$B$133,"Lead Lists and Services"),'Dept. Cost Actuals'!AG239)</f>
        <v>1035.5</v>
      </c>
      <c r="AD45" s="684">
        <f>IF(AD$4="forecast",SUMIFS(Planning_Mkt!G$5:G$133,Planning_Mkt!$B$5:$B$133,"Lead Lists and Services"),'Dept. Cost Actuals'!AH239)</f>
        <v>1035.5</v>
      </c>
      <c r="AE45" s="684">
        <f>IF(AE$4="forecast",SUMIFS(Planning_Mkt!H$5:H$133,Planning_Mkt!$B$5:$B$133,"Lead Lists and Services"),'Dept. Cost Actuals'!AI239)</f>
        <v>1035.5</v>
      </c>
      <c r="AF45" s="684">
        <f>IF(AF$4="forecast",SUMIFS(Planning_Mkt!I$5:I$133,Planning_Mkt!$B$5:$B$133,"Lead Lists and Services"),'Dept. Cost Actuals'!AJ239)</f>
        <v>1035.5</v>
      </c>
      <c r="AG45" s="684">
        <f>IF(AG$4="forecast",SUMIFS(Planning_Mkt!J$5:J$133,Planning_Mkt!$B$5:$B$133,"Lead Lists and Services"),'Dept. Cost Actuals'!AK239)</f>
        <v>1035.5</v>
      </c>
      <c r="AH45" s="684">
        <f>IF(AH$4="forecast",SUMIFS(Planning_Mkt!K$5:K$133,Planning_Mkt!$B$5:$B$133,"Lead Lists and Services"),'Dept. Cost Actuals'!AL239)</f>
        <v>1035.5</v>
      </c>
      <c r="AI45" s="684">
        <f>IF(AI$4="forecast",SUMIFS(Planning_Mkt!L$5:L$133,Planning_Mkt!$B$5:$B$133,"Lead Lists and Services"),'Dept. Cost Actuals'!AM239)</f>
        <v>1035.5</v>
      </c>
      <c r="AJ45" s="684">
        <f>IF(AJ$4="forecast",SUMIFS(Planning_Mkt!M$5:M$133,Planning_Mkt!$B$5:$B$133,"Lead Lists and Services"),'Dept. Cost Actuals'!AN239)</f>
        <v>1035.5</v>
      </c>
      <c r="AK45" s="684">
        <f>IF(AK$4="forecast",SUMIFS(Planning_Mkt!N$5:N$133,Planning_Mkt!$B$5:$B$133,"Lead Lists and Services"),'Dept. Cost Actuals'!AO239)</f>
        <v>1035.5</v>
      </c>
      <c r="AL45" s="684">
        <f>IF(AL$4="forecast",SUMIFS(Planning_Mkt!O$5:O$133,Planning_Mkt!$B$5:$B$133,"Lead Lists and Services"),'Dept. Cost Actuals'!AP239)</f>
        <v>1035.5</v>
      </c>
      <c r="AM45" s="684">
        <f>IF(AM$4="forecast",AVERAGE(AA45:AL45),'Dept. Cost Actuals'!AQ239)</f>
        <v>862.91666666666663</v>
      </c>
      <c r="AN45" s="684">
        <f>IF(AN$4="forecast",AVERAGE(AB45:AM45),'Dept. Cost Actuals'!AR239)</f>
        <v>934.8263888888888</v>
      </c>
      <c r="AO45" s="684">
        <f>IF(AO$4="forecast",AVERAGE(AC45:AN45),'Dept. Cost Actuals'!AS239)</f>
        <v>1012.7285879629629</v>
      </c>
      <c r="AP45" s="684">
        <f>IF(AP$4="forecast",AVERAGE(AD45:AO45),'Dept. Cost Actuals'!AT239)</f>
        <v>1010.8309702932098</v>
      </c>
      <c r="AQ45" s="684">
        <f>IF(AQ$4="forecast",AVERAGE(AE45:AP45),'Dept. Cost Actuals'!AU239)</f>
        <v>1008.7752178176439</v>
      </c>
      <c r="AR45" s="684">
        <f>IF(AR$4="forecast",AVERAGE(AF45:AQ45),'Dept. Cost Actuals'!AV239)</f>
        <v>1006.5481526357811</v>
      </c>
      <c r="AS45" s="684">
        <f>IF(AS$4="forecast",AVERAGE(AG45:AR45),'Dept. Cost Actuals'!AW239)</f>
        <v>1004.1354986887627</v>
      </c>
      <c r="AT45" s="684">
        <f>IF(AT$4="forecast",AVERAGE(AH45:AS45),'Dept. Cost Actuals'!AX239)</f>
        <v>1001.5217902461596</v>
      </c>
      <c r="AU45" s="684">
        <f>IF(AU$4="forecast",AVERAGE(AI45:AT45),'Dept. Cost Actuals'!AY239)</f>
        <v>998.69027276667293</v>
      </c>
      <c r="AV45" s="684">
        <f>IF(AV$4="forecast",AVERAGE(AJ45:AU45),'Dept. Cost Actuals'!AZ239)</f>
        <v>995.62279549722905</v>
      </c>
      <c r="AW45" s="684">
        <f>IF(AW$4="forecast",AVERAGE(AK45:AV45),'Dept. Cost Actuals'!BA239)</f>
        <v>992.29969512199807</v>
      </c>
      <c r="AX45" s="684">
        <f>IF(AX$4="forecast",AVERAGE(AL45:AW45),'Dept. Cost Actuals'!BB239)</f>
        <v>988.69966971549786</v>
      </c>
      <c r="AY45" s="684">
        <f>IF(AY$4="forecast",AVERAGE(AM45:AX45),'Dept. Cost Actuals'!BC239)</f>
        <v>984.7996421917893</v>
      </c>
      <c r="AZ45" s="684">
        <f>IF(AZ$4="forecast",AVERAGE(AN45:AY45),'Dept. Cost Actuals'!BD239)</f>
        <v>994.95655681888286</v>
      </c>
      <c r="BA45" s="684">
        <f>IF(BA$4="forecast",AVERAGE(AO45:AZ45),'Dept. Cost Actuals'!BE239)</f>
        <v>999.96740414638236</v>
      </c>
      <c r="BB45" s="684">
        <f>IF(BB$4="forecast",AVERAGE(AP45:BA45),'Dept. Cost Actuals'!BF239)</f>
        <v>998.90397216166741</v>
      </c>
      <c r="BC45" s="684">
        <f>IF(BC$4="forecast",AVERAGE(AQ45:BB45),'Dept. Cost Actuals'!BG239)</f>
        <v>997.91005565070566</v>
      </c>
      <c r="BD45" s="684">
        <f>IF(BD$4="forecast",AVERAGE(AR45:BC45),'Dept. Cost Actuals'!BH239)</f>
        <v>997.00462547012751</v>
      </c>
      <c r="BE45" s="684">
        <f>IF(BE$4="forecast",AVERAGE(AS45:BD45),'Dept. Cost Actuals'!BI239)</f>
        <v>996.20933153965643</v>
      </c>
      <c r="BF45" s="684">
        <f>IF(BF$4="forecast",AVERAGE(AT45:BE45),'Dept. Cost Actuals'!BJ239)</f>
        <v>995.54881761056413</v>
      </c>
      <c r="BG45" s="684">
        <f>IF(BG$4="forecast",AVERAGE(AU45:BF45),'Dept. Cost Actuals'!BK239)</f>
        <v>995.05106989093122</v>
      </c>
      <c r="BH45" s="684">
        <f>IF(BH$4="forecast",AVERAGE(AV45:BG45),'Dept. Cost Actuals'!BL239)</f>
        <v>994.74780298461928</v>
      </c>
      <c r="BI45" s="684">
        <f>IF(BI$4="forecast",AVERAGE(AW45:BH45),'Dept. Cost Actuals'!BM239)</f>
        <v>994.67488694190172</v>
      </c>
      <c r="BJ45" s="684">
        <f>IF(BJ$4="forecast",AVERAGE(AX45:BI45),'Dept. Cost Actuals'!BN239)</f>
        <v>994.87281959356051</v>
      </c>
      <c r="BK45" s="684">
        <f>IF(BK$4="forecast",AVERAGE(AY45:BJ45),'Dept. Cost Actuals'!BO239)</f>
        <v>995.38724875006574</v>
      </c>
      <c r="BL45" s="684">
        <f>IF(BL$4="forecast",AVERAGE(AZ45:BK45),'Dept. Cost Actuals'!#REF!)</f>
        <v>996.26954929658893</v>
      </c>
      <c r="BM45" s="684">
        <f>IF(BM$4="forecast",AVERAGE(BA45:BL45),'Dept. Cost Actuals'!#REF!)</f>
        <v>996.37896533639753</v>
      </c>
      <c r="BN45" s="684">
        <f>IF(BN$4="forecast",AVERAGE(BB45:BM45),'Dept. Cost Actuals'!#REF!)</f>
        <v>996.07992876889875</v>
      </c>
      <c r="BO45" s="684">
        <f>IF(BO$4="forecast",AVERAGE(BC45:BN45),'Dept. Cost Actuals'!#REF!)</f>
        <v>995.8445918195016</v>
      </c>
      <c r="BP45" s="684">
        <f>IF(BP$4="forecast",AVERAGE(BD45:BO45),'Dept. Cost Actuals'!#REF!)</f>
        <v>995.6724698335679</v>
      </c>
      <c r="BQ45" s="684">
        <f>IF(BQ$4="forecast",AVERAGE(BE45:BP45),'Dept. Cost Actuals'!#REF!)</f>
        <v>995.56145686385435</v>
      </c>
      <c r="BR45" s="684">
        <f>IF(BR$4="forecast",AVERAGE(BF45:BQ45),'Dept. Cost Actuals'!#REF!)</f>
        <v>995.50746730753747</v>
      </c>
      <c r="BS45" s="684">
        <f>IF(BS$4="forecast",AVERAGE(BG45:BR45),'Dept. Cost Actuals'!#REF!)</f>
        <v>995.5040214489519</v>
      </c>
      <c r="BT45" s="684">
        <f>IF(BT$4="forecast",AVERAGE(BH45:BS45),'Dept. Cost Actuals'!#REF!)</f>
        <v>995.54176741212041</v>
      </c>
      <c r="BU45" s="684">
        <f>IF(BU$4="forecast",AVERAGE(BI45:BT45),'Dept. Cost Actuals'!#REF!)</f>
        <v>995.60793111441217</v>
      </c>
      <c r="BV45" s="808">
        <f>IF(BV$4="forecast",AVERAGE(BJ45:BU45),'Dept. Cost Actuals'!#REF!)</f>
        <v>995.68568479545468</v>
      </c>
    </row>
    <row r="46" spans="2:74" x14ac:dyDescent="0.35">
      <c r="B46" s="812" t="s">
        <v>12</v>
      </c>
      <c r="C46" s="684">
        <f>IF(C$4="forecast",AVERAGE(#REF!),'Dept. Cost Actuals'!G240)</f>
        <v>0</v>
      </c>
      <c r="D46" s="684">
        <f>IF(D$4="forecast",AVERAGE(#REF!),'Dept. Cost Actuals'!H240)</f>
        <v>0</v>
      </c>
      <c r="E46" s="684">
        <f>IF(E$4="forecast",AVERAGE(#REF!),'Dept. Cost Actuals'!I240)</f>
        <v>0</v>
      </c>
      <c r="F46" s="684">
        <f>IF(F$4="forecast",AVERAGE(#REF!),'Dept. Cost Actuals'!J240)</f>
        <v>0</v>
      </c>
      <c r="G46" s="684">
        <f>IF(G$4="forecast",AVERAGE(#REF!),'Dept. Cost Actuals'!K240)</f>
        <v>0</v>
      </c>
      <c r="H46" s="684">
        <f>IF(H$4="forecast",AVERAGE(#REF!),'Dept. Cost Actuals'!L240)</f>
        <v>0</v>
      </c>
      <c r="I46" s="684">
        <f>IF(I$4="forecast",AVERAGE(#REF!),'Dept. Cost Actuals'!M240)</f>
        <v>0</v>
      </c>
      <c r="J46" s="684">
        <f>IF(J$4="forecast",AVERAGE(#REF!),'Dept. Cost Actuals'!N240)</f>
        <v>0</v>
      </c>
      <c r="K46" s="684">
        <f>IF(K$4="forecast",AVERAGE(#REF!),'Dept. Cost Actuals'!O240)</f>
        <v>0</v>
      </c>
      <c r="L46" s="684">
        <f>IF(L$4="forecast",AVERAGE(#REF!),'Dept. Cost Actuals'!P240)</f>
        <v>0</v>
      </c>
      <c r="M46" s="684">
        <f>IF(M$4="forecast",AVERAGE(#REF!),'Dept. Cost Actuals'!Q240)</f>
        <v>0</v>
      </c>
      <c r="N46" s="684">
        <f>IF(N$4="forecast",AVERAGE(#REF!),'Dept. Cost Actuals'!R240)</f>
        <v>0</v>
      </c>
      <c r="O46" s="684">
        <f>IF(O$4="forecast",AVERAGE(C46:N46),'Dept. Cost Actuals'!S240)</f>
        <v>0</v>
      </c>
      <c r="P46" s="684">
        <f>IF(P$4="forecast",AVERAGE(D46:O46),'Dept. Cost Actuals'!T240)</f>
        <v>0</v>
      </c>
      <c r="Q46" s="684">
        <f>IF(Q$4="forecast",AVERAGE(E46:P46),'Dept. Cost Actuals'!U240)</f>
        <v>476.7</v>
      </c>
      <c r="R46" s="684">
        <f>IF(R$4="forecast",AVERAGE(F46:Q46),'Dept. Cost Actuals'!V240)</f>
        <v>1598.98</v>
      </c>
      <c r="S46" s="684">
        <f>IF(S$4="forecast",AVERAGE(G46:R46),'Dept. Cost Actuals'!W240)</f>
        <v>3343.16</v>
      </c>
      <c r="T46" s="684">
        <f>IF(T$4="forecast",AVERAGE(H46:S46),'Dept. Cost Actuals'!X240)</f>
        <v>670</v>
      </c>
      <c r="U46" s="684">
        <f>IF(U$4="forecast",AVERAGE(I46:T46),'Dept. Cost Actuals'!Y240)</f>
        <v>104.99</v>
      </c>
      <c r="V46" s="684">
        <f>IF(V$4="forecast",AVERAGE(J46:U46),'Dept. Cost Actuals'!Z240)</f>
        <v>179.99</v>
      </c>
      <c r="W46" s="684">
        <f>IF(W$4="forecast",AVERAGE(K46:V46),'Dept. Cost Actuals'!AA240)</f>
        <v>1042.71</v>
      </c>
      <c r="X46" s="684">
        <f>IF(X$4="forecast",AVERAGE(L46:W46),'Dept. Cost Actuals'!AB240)</f>
        <v>5384.78</v>
      </c>
      <c r="Y46" s="684">
        <f>IF(Y$4="forecast",AVERAGE(M46:X46),'Dept. Cost Actuals'!AC240)</f>
        <v>0</v>
      </c>
      <c r="Z46" s="684">
        <f>IF(Z$4="forecast",AVERAGE(N46:Y46),'Dept. Cost Actuals'!AD240)</f>
        <v>1072.78</v>
      </c>
      <c r="AA46" s="684">
        <f>IF(AA$4="forecast",SUMIFS(Planning_Mkt!D$5:D$133,Planning_Mkt!$B$5:$B$133,"Marketing Collateral"),'Dept. Cost Actuals'!AE240)</f>
        <v>0</v>
      </c>
      <c r="AB46" s="684">
        <f>IF(AB$4="forecast",SUMIFS(Planning_Mkt!E$5:E$133,Planning_Mkt!$B$5:$B$133,"Marketing Collateral"),'Dept. Cost Actuals'!AF240)</f>
        <v>0</v>
      </c>
      <c r="AC46" s="684">
        <f>IF(AC$4="forecast",SUMIFS(Planning_Mkt!F$5:F$133,Planning_Mkt!$B$5:$B$133,"Marketing Collateral"),'Dept. Cost Actuals'!AG240)</f>
        <v>6050</v>
      </c>
      <c r="AD46" s="684">
        <f>IF(AD$4="forecast",SUMIFS(Planning_Mkt!G$5:G$133,Planning_Mkt!$B$5:$B$133,"Marketing Collateral"),'Dept. Cost Actuals'!AH240)</f>
        <v>6050</v>
      </c>
      <c r="AE46" s="684">
        <f>IF(AE$4="forecast",SUMIFS(Planning_Mkt!H$5:H$133,Planning_Mkt!$B$5:$B$133,"Marketing Collateral"),'Dept. Cost Actuals'!AI240)</f>
        <v>6050</v>
      </c>
      <c r="AF46" s="684">
        <f>IF(AF$4="forecast",SUMIFS(Planning_Mkt!I$5:I$133,Planning_Mkt!$B$5:$B$133,"Marketing Collateral"),'Dept. Cost Actuals'!AJ240)</f>
        <v>6050</v>
      </c>
      <c r="AG46" s="684">
        <f>IF(AG$4="forecast",SUMIFS(Planning_Mkt!J$5:J$133,Planning_Mkt!$B$5:$B$133,"Marketing Collateral"),'Dept. Cost Actuals'!AK240)</f>
        <v>6150</v>
      </c>
      <c r="AH46" s="684">
        <f>IF(AH$4="forecast",SUMIFS(Planning_Mkt!K$5:K$133,Planning_Mkt!$B$5:$B$133,"Marketing Collateral"),'Dept. Cost Actuals'!AL240)</f>
        <v>6050</v>
      </c>
      <c r="AI46" s="684">
        <f>IF(AI$4="forecast",SUMIFS(Planning_Mkt!L$5:L$133,Planning_Mkt!$B$5:$B$133,"Marketing Collateral"),'Dept. Cost Actuals'!AM240)</f>
        <v>6050</v>
      </c>
      <c r="AJ46" s="684">
        <f>IF(AJ$4="forecast",SUMIFS(Planning_Mkt!M$5:M$133,Planning_Mkt!$B$5:$B$133,"Marketing Collateral"),'Dept. Cost Actuals'!AN240)</f>
        <v>6150</v>
      </c>
      <c r="AK46" s="684">
        <f>IF(AK$4="forecast",SUMIFS(Planning_Mkt!N$5:N$133,Planning_Mkt!$B$5:$B$133,"Marketing Collateral"),'Dept. Cost Actuals'!AO240)</f>
        <v>6050</v>
      </c>
      <c r="AL46" s="684">
        <f>IF(AL$4="forecast",SUMIFS(Planning_Mkt!O$5:O$133,Planning_Mkt!$B$5:$B$133,"Marketing Collateral"),'Dept. Cost Actuals'!AP240)</f>
        <v>6050</v>
      </c>
      <c r="AM46" s="684">
        <f>IF(AM$4="forecast",AVERAGE(AA46:AL46),'Dept. Cost Actuals'!AQ240)</f>
        <v>5058.333333333333</v>
      </c>
      <c r="AN46" s="684">
        <f>IF(AN$4="forecast",AVERAGE(AB46:AM46),'Dept. Cost Actuals'!AR240)</f>
        <v>5479.8611111111104</v>
      </c>
      <c r="AO46" s="684">
        <f>IF(AO$4="forecast",AVERAGE(AC46:AN46),'Dept. Cost Actuals'!AS240)</f>
        <v>5936.5162037037035</v>
      </c>
      <c r="AP46" s="684">
        <f>IF(AP$4="forecast",AVERAGE(AD46:AO46),'Dept. Cost Actuals'!AT240)</f>
        <v>5927.0592206790125</v>
      </c>
      <c r="AQ46" s="684">
        <f>IF(AQ$4="forecast",AVERAGE(AE46:AP46),'Dept. Cost Actuals'!AU240)</f>
        <v>5916.8141557355966</v>
      </c>
      <c r="AR46" s="684">
        <f>IF(AR$4="forecast",AVERAGE(AF46:AQ46),'Dept. Cost Actuals'!AV240)</f>
        <v>5905.7153353802287</v>
      </c>
      <c r="AS46" s="684">
        <f>IF(AS$4="forecast",AVERAGE(AG46:AR46),'Dept. Cost Actuals'!AW240)</f>
        <v>5893.6916133285822</v>
      </c>
      <c r="AT46" s="684">
        <f>IF(AT$4="forecast",AVERAGE(AH46:AS46),'Dept. Cost Actuals'!AX240)</f>
        <v>5872.3325811059631</v>
      </c>
      <c r="AU46" s="684">
        <f>IF(AU$4="forecast",AVERAGE(AI46:AT46),'Dept. Cost Actuals'!AY240)</f>
        <v>5857.5269628647948</v>
      </c>
      <c r="AV46" s="684">
        <f>IF(AV$4="forecast",AVERAGE(AJ46:AU46),'Dept. Cost Actuals'!AZ240)</f>
        <v>5841.487543103528</v>
      </c>
      <c r="AW46" s="684">
        <f>IF(AW$4="forecast",AVERAGE(AK46:AV46),'Dept. Cost Actuals'!BA240)</f>
        <v>5815.7781716954878</v>
      </c>
      <c r="AX46" s="684">
        <f>IF(AX$4="forecast",AVERAGE(AL46:AW46),'Dept. Cost Actuals'!BB240)</f>
        <v>5796.2596860034455</v>
      </c>
      <c r="AY46" s="684">
        <f>IF(AY$4="forecast",AVERAGE(AM46:AX46),'Dept. Cost Actuals'!BC240)</f>
        <v>5775.1146598370651</v>
      </c>
      <c r="AZ46" s="684">
        <f>IF(AZ$4="forecast",AVERAGE(AN46:AY46),'Dept. Cost Actuals'!BD240)</f>
        <v>5834.8464370457086</v>
      </c>
      <c r="BA46" s="684">
        <f>IF(BA$4="forecast",AVERAGE(AO46:AZ46),'Dept. Cost Actuals'!BE240)</f>
        <v>5864.4285475402585</v>
      </c>
      <c r="BB46" s="684">
        <f>IF(BB$4="forecast",AVERAGE(AP46:BA46),'Dept. Cost Actuals'!BF240)</f>
        <v>5858.4212428599712</v>
      </c>
      <c r="BC46" s="684">
        <f>IF(BC$4="forecast",AVERAGE(AQ46:BB46),'Dept. Cost Actuals'!BG240)</f>
        <v>5852.701411375052</v>
      </c>
      <c r="BD46" s="684">
        <f>IF(BD$4="forecast",AVERAGE(AR46:BC46),'Dept. Cost Actuals'!BH240)</f>
        <v>5847.3586826783403</v>
      </c>
      <c r="BE46" s="684">
        <f>IF(BE$4="forecast",AVERAGE(AS46:BD46),'Dept. Cost Actuals'!BI240)</f>
        <v>5842.4956282865169</v>
      </c>
      <c r="BF46" s="684">
        <f>IF(BF$4="forecast",AVERAGE(AT46:BE46),'Dept. Cost Actuals'!BJ240)</f>
        <v>5838.2292961996782</v>
      </c>
      <c r="BG46" s="684">
        <f>IF(BG$4="forecast",AVERAGE(AU46:BF46),'Dept. Cost Actuals'!BK240)</f>
        <v>5835.38735579082</v>
      </c>
      <c r="BH46" s="684">
        <f>IF(BH$4="forecast",AVERAGE(AV46:BG46),'Dept. Cost Actuals'!BL240)</f>
        <v>5833.5423885346563</v>
      </c>
      <c r="BI46" s="684">
        <f>IF(BI$4="forecast",AVERAGE(AW46:BH46),'Dept. Cost Actuals'!BM240)</f>
        <v>5832.880292320584</v>
      </c>
      <c r="BJ46" s="684">
        <f>IF(BJ$4="forecast",AVERAGE(AX46:BI46),'Dept. Cost Actuals'!BN240)</f>
        <v>5834.305469039341</v>
      </c>
      <c r="BK46" s="684">
        <f>IF(BK$4="forecast",AVERAGE(AY46:BJ46),'Dept. Cost Actuals'!BO240)</f>
        <v>5837.4759509590003</v>
      </c>
      <c r="BL46" s="684">
        <f>IF(BL$4="forecast",AVERAGE(AZ46:BK46),'Dept. Cost Actuals'!#REF!)</f>
        <v>5842.6727252191604</v>
      </c>
      <c r="BM46" s="684">
        <f>IF(BM$4="forecast",AVERAGE(BA46:BL46),'Dept. Cost Actuals'!#REF!)</f>
        <v>5843.3249159002817</v>
      </c>
      <c r="BN46" s="684">
        <f>IF(BN$4="forecast",AVERAGE(BB46:BM46),'Dept. Cost Actuals'!#REF!)</f>
        <v>5841.5662799302845</v>
      </c>
      <c r="BO46" s="684">
        <f>IF(BO$4="forecast",AVERAGE(BC46:BN46),'Dept. Cost Actuals'!#REF!)</f>
        <v>5840.1616996861439</v>
      </c>
      <c r="BP46" s="684">
        <f>IF(BP$4="forecast",AVERAGE(BD46:BO46),'Dept. Cost Actuals'!#REF!)</f>
        <v>5839.1167237120671</v>
      </c>
      <c r="BQ46" s="684">
        <f>IF(BQ$4="forecast",AVERAGE(BE46:BP46),'Dept. Cost Actuals'!#REF!)</f>
        <v>5838.4298937982121</v>
      </c>
      <c r="BR46" s="684">
        <f>IF(BR$4="forecast",AVERAGE(BF46:BQ46),'Dept. Cost Actuals'!#REF!)</f>
        <v>5838.0910825908531</v>
      </c>
      <c r="BS46" s="684">
        <f>IF(BS$4="forecast",AVERAGE(BG46:BR46),'Dept. Cost Actuals'!#REF!)</f>
        <v>5838.0795647901168</v>
      </c>
      <c r="BT46" s="684">
        <f>IF(BT$4="forecast",AVERAGE(BH46:BS46),'Dept. Cost Actuals'!#REF!)</f>
        <v>5838.3039155400575</v>
      </c>
      <c r="BU46" s="684">
        <f>IF(BU$4="forecast",AVERAGE(BI46:BT46),'Dept. Cost Actuals'!#REF!)</f>
        <v>5838.7007094571745</v>
      </c>
      <c r="BV46" s="808">
        <f>IF(BV$4="forecast",AVERAGE(BJ46:BU46),'Dept. Cost Actuals'!#REF!)</f>
        <v>5839.1857442185574</v>
      </c>
    </row>
    <row r="47" spans="2:74" x14ac:dyDescent="0.35">
      <c r="B47" s="812" t="s">
        <v>993</v>
      </c>
      <c r="C47" s="684">
        <f>IF(C$4="forecast",AVERAGE(#REF!),'Dept. Cost Actuals'!G242)</f>
        <v>0</v>
      </c>
      <c r="D47" s="684">
        <f>IF(D$4="forecast",AVERAGE(#REF!),'Dept. Cost Actuals'!H242)</f>
        <v>0</v>
      </c>
      <c r="E47" s="684">
        <f>IF(E$4="forecast",AVERAGE(#REF!),'Dept. Cost Actuals'!I242)</f>
        <v>0</v>
      </c>
      <c r="F47" s="684">
        <f>IF(F$4="forecast",AVERAGE(#REF!),'Dept. Cost Actuals'!J242)</f>
        <v>0</v>
      </c>
      <c r="G47" s="684">
        <f>IF(G$4="forecast",AVERAGE(#REF!),'Dept. Cost Actuals'!K242)</f>
        <v>0</v>
      </c>
      <c r="H47" s="684">
        <f>IF(H$4="forecast",AVERAGE(#REF!),'Dept. Cost Actuals'!L242)</f>
        <v>0</v>
      </c>
      <c r="I47" s="684">
        <f>IF(I$4="forecast",AVERAGE(#REF!),'Dept. Cost Actuals'!M242)</f>
        <v>0</v>
      </c>
      <c r="J47" s="684">
        <f>IF(J$4="forecast",AVERAGE(#REF!),'Dept. Cost Actuals'!N242)</f>
        <v>0</v>
      </c>
      <c r="K47" s="684">
        <f>IF(K$4="forecast",AVERAGE(#REF!),'Dept. Cost Actuals'!O242)</f>
        <v>0</v>
      </c>
      <c r="L47" s="684">
        <f>IF(L$4="forecast",AVERAGE(#REF!),'Dept. Cost Actuals'!P242)</f>
        <v>0</v>
      </c>
      <c r="M47" s="684">
        <f>IF(M$4="forecast",AVERAGE(#REF!),'Dept. Cost Actuals'!Q242)</f>
        <v>0</v>
      </c>
      <c r="N47" s="684">
        <f>IF(N$4="forecast",AVERAGE(#REF!),'Dept. Cost Actuals'!R242)</f>
        <v>0</v>
      </c>
      <c r="O47" s="684">
        <f>IF(O$4="forecast",AVERAGE(C47:N47),'Dept. Cost Actuals'!S242)</f>
        <v>0</v>
      </c>
      <c r="P47" s="684">
        <f>IF(P$4="forecast",AVERAGE(D47:O47),'Dept. Cost Actuals'!T242)</f>
        <v>0</v>
      </c>
      <c r="Q47" s="684">
        <f>IF(Q$4="forecast",AVERAGE(E47:P47),'Dept. Cost Actuals'!U242)</f>
        <v>0</v>
      </c>
      <c r="R47" s="684">
        <f>IF(R$4="forecast",AVERAGE(F47:Q47),'Dept. Cost Actuals'!V242)</f>
        <v>0</v>
      </c>
      <c r="S47" s="684">
        <f>IF(S$4="forecast",AVERAGE(G47:R47),'Dept. Cost Actuals'!W242)</f>
        <v>0</v>
      </c>
      <c r="T47" s="684">
        <f>IF(T$4="forecast",AVERAGE(H47:S47),'Dept. Cost Actuals'!X242)</f>
        <v>18680.86</v>
      </c>
      <c r="U47" s="684">
        <f>IF(U$4="forecast",AVERAGE(I47:T47),'Dept. Cost Actuals'!Y242)</f>
        <v>18962.14</v>
      </c>
      <c r="V47" s="684">
        <f>IF(V$4="forecast",AVERAGE(J47:U47),'Dept. Cost Actuals'!Z242)</f>
        <v>16788.7</v>
      </c>
      <c r="W47" s="684">
        <f>IF(W$4="forecast",AVERAGE(K47:V47),'Dept. Cost Actuals'!AA242)</f>
        <v>13318.66</v>
      </c>
      <c r="X47" s="684">
        <f>IF(X$4="forecast",AVERAGE(L47:W47),'Dept. Cost Actuals'!AB242)</f>
        <v>60</v>
      </c>
      <c r="Y47" s="684">
        <f>IF(Y$4="forecast",AVERAGE(M47:X47),'Dept. Cost Actuals'!AC242)</f>
        <v>169.5</v>
      </c>
      <c r="Z47" s="684">
        <f>IF(Z$4="forecast",AVERAGE(N47:Y47),'Dept. Cost Actuals'!AD242)</f>
        <v>0</v>
      </c>
      <c r="AA47" s="684">
        <f>IF(AA$4="forecast",SUMIFS(Planning_Mkt!D$5:D$133,Planning_Mkt!$B$5:$B$133,"Offline Advertising"),'Dept. Cost Actuals'!AE242)</f>
        <v>0</v>
      </c>
      <c r="AB47" s="684">
        <f>IF(AB$4="forecast",SUMIFS(Planning_Mkt!E$5:E$133,Planning_Mkt!$B$5:$B$133,"Offline Advertising"),'Dept. Cost Actuals'!AF242)</f>
        <v>0</v>
      </c>
      <c r="AC47" s="684">
        <f>IF(AC$4="forecast",SUMIFS(Planning_Mkt!F$5:F$133,Planning_Mkt!$B$5:$B$133,"Offline Advertising"),'Dept. Cost Actuals'!AG242)</f>
        <v>0</v>
      </c>
      <c r="AD47" s="684">
        <f>IF(AD$4="forecast",SUMIFS(Planning_Mkt!G$5:G$133,Planning_Mkt!$B$5:$B$133,"Offline Advertising"),'Dept. Cost Actuals'!AH242)</f>
        <v>0</v>
      </c>
      <c r="AE47" s="684">
        <f>IF(AE$4="forecast",SUMIFS(Planning_Mkt!H$5:H$133,Planning_Mkt!$B$5:$B$133,"Offline Advertising"),'Dept. Cost Actuals'!AI242)</f>
        <v>0</v>
      </c>
      <c r="AF47" s="684">
        <f>IF(AF$4="forecast",SUMIFS(Planning_Mkt!I$5:I$133,Planning_Mkt!$B$5:$B$133,"Offline Advertising"),'Dept. Cost Actuals'!AJ242)</f>
        <v>0</v>
      </c>
      <c r="AG47" s="684">
        <f>IF(AG$4="forecast",SUMIFS(Planning_Mkt!J$5:J$133,Planning_Mkt!$B$5:$B$133,"Offline Advertising"),'Dept. Cost Actuals'!AK242)</f>
        <v>4000</v>
      </c>
      <c r="AH47" s="684">
        <f>IF(AH$4="forecast",SUMIFS(Planning_Mkt!K$5:K$133,Planning_Mkt!$B$5:$B$133,"Offline Advertising"),'Dept. Cost Actuals'!AL242)</f>
        <v>0</v>
      </c>
      <c r="AI47" s="684">
        <f>IF(AI$4="forecast",SUMIFS(Planning_Mkt!L$5:L$133,Planning_Mkt!$B$5:$B$133,"Offline Advertising"),'Dept. Cost Actuals'!AM242)</f>
        <v>0</v>
      </c>
      <c r="AJ47" s="684">
        <f>IF(AJ$4="forecast",SUMIFS(Planning_Mkt!M$5:M$133,Planning_Mkt!$B$5:$B$133,"Offline Advertising"),'Dept. Cost Actuals'!AN242)</f>
        <v>0</v>
      </c>
      <c r="AK47" s="684">
        <f>IF(AK$4="forecast",SUMIFS(Planning_Mkt!N$5:N$133,Planning_Mkt!$B$5:$B$133,"Offline Advertising"),'Dept. Cost Actuals'!AO242)</f>
        <v>0</v>
      </c>
      <c r="AL47" s="684">
        <f>IF(AL$4="forecast",SUMIFS(Planning_Mkt!O$5:O$133,Planning_Mkt!$B$5:$B$133,"Offline Advertising"),'Dept. Cost Actuals'!AP242)</f>
        <v>0</v>
      </c>
      <c r="AM47" s="684">
        <f>IF(AM$4="forecast",AVERAGE(AA47:AL47),'Dept. Cost Actuals'!AQ242)</f>
        <v>333.33333333333331</v>
      </c>
      <c r="AN47" s="684">
        <f>IF(AN$4="forecast",AVERAGE(AB47:AM47),'Dept. Cost Actuals'!AR242)</f>
        <v>361.11111111111109</v>
      </c>
      <c r="AO47" s="684">
        <f>IF(AO$4="forecast",AVERAGE(AC47:AN47),'Dept. Cost Actuals'!AS242)</f>
        <v>391.2037037037037</v>
      </c>
      <c r="AP47" s="684">
        <f>IF(AP$4="forecast",AVERAGE(AD47:AO47),'Dept. Cost Actuals'!AT242)</f>
        <v>423.80401234567898</v>
      </c>
      <c r="AQ47" s="684">
        <f>IF(AQ$4="forecast",AVERAGE(AE47:AP47),'Dept. Cost Actuals'!AU242)</f>
        <v>459.12101337448559</v>
      </c>
      <c r="AR47" s="684">
        <f>IF(AR$4="forecast",AVERAGE(AF47:AQ47),'Dept. Cost Actuals'!AV242)</f>
        <v>497.38109782235938</v>
      </c>
      <c r="AS47" s="684">
        <f>IF(AS$4="forecast",AVERAGE(AG47:AR47),'Dept. Cost Actuals'!AW242)</f>
        <v>538.82952264088931</v>
      </c>
      <c r="AT47" s="684">
        <f>IF(AT$4="forecast",AVERAGE(AH47:AS47),'Dept. Cost Actuals'!AX242)</f>
        <v>250.39864952763006</v>
      </c>
      <c r="AU47" s="684">
        <f>IF(AU$4="forecast",AVERAGE(AI47:AT47),'Dept. Cost Actuals'!AY242)</f>
        <v>271.26520365493258</v>
      </c>
      <c r="AV47" s="684">
        <f>IF(AV$4="forecast",AVERAGE(AJ47:AU47),'Dept. Cost Actuals'!AZ242)</f>
        <v>293.87063729284358</v>
      </c>
      <c r="AW47" s="684">
        <f>IF(AW$4="forecast",AVERAGE(AK47:AV47),'Dept. Cost Actuals'!BA242)</f>
        <v>318.35985706724722</v>
      </c>
      <c r="AX47" s="684">
        <f>IF(AX$4="forecast",AVERAGE(AL47:AW47),'Dept. Cost Actuals'!BB242)</f>
        <v>344.88984515618449</v>
      </c>
      <c r="AY47" s="684">
        <f>IF(AY$4="forecast",AVERAGE(AM47:AX47),'Dept. Cost Actuals'!BC242)</f>
        <v>373.63066558586655</v>
      </c>
      <c r="AZ47" s="684">
        <f>IF(AZ$4="forecast",AVERAGE(AN47:AY47),'Dept. Cost Actuals'!BD242)</f>
        <v>376.98877660691096</v>
      </c>
      <c r="BA47" s="684">
        <f>IF(BA$4="forecast",AVERAGE(AO47:AZ47),'Dept. Cost Actuals'!BE242)</f>
        <v>378.31191539822765</v>
      </c>
      <c r="BB47" s="684">
        <f>IF(BB$4="forecast",AVERAGE(AP47:BA47),'Dept. Cost Actuals'!BF242)</f>
        <v>377.23759970610473</v>
      </c>
      <c r="BC47" s="684">
        <f>IF(BC$4="forecast",AVERAGE(AQ47:BB47),'Dept. Cost Actuals'!BG242)</f>
        <v>373.35706531947352</v>
      </c>
      <c r="BD47" s="684">
        <f>IF(BD$4="forecast",AVERAGE(AR47:BC47),'Dept. Cost Actuals'!BH242)</f>
        <v>366.21006964822254</v>
      </c>
      <c r="BE47" s="684">
        <f>IF(BE$4="forecast",AVERAGE(AS47:BD47),'Dept. Cost Actuals'!BI242)</f>
        <v>355.27915063371103</v>
      </c>
      <c r="BF47" s="684">
        <f>IF(BF$4="forecast",AVERAGE(AT47:BE47),'Dept. Cost Actuals'!BJ242)</f>
        <v>339.98328629977959</v>
      </c>
      <c r="BG47" s="684">
        <f>IF(BG$4="forecast",AVERAGE(AU47:BF47),'Dept. Cost Actuals'!BK242)</f>
        <v>347.44867269745873</v>
      </c>
      <c r="BH47" s="684">
        <f>IF(BH$4="forecast",AVERAGE(AV47:BG47),'Dept. Cost Actuals'!BL242)</f>
        <v>353.79729511766919</v>
      </c>
      <c r="BI47" s="684">
        <f>IF(BI$4="forecast",AVERAGE(AW47:BH47),'Dept. Cost Actuals'!BM242)</f>
        <v>358.79118326973804</v>
      </c>
      <c r="BJ47" s="684">
        <f>IF(BJ$4="forecast",AVERAGE(AX47:BI47),'Dept. Cost Actuals'!BN242)</f>
        <v>362.16046045327897</v>
      </c>
      <c r="BK47" s="684">
        <f>IF(BK$4="forecast",AVERAGE(AY47:BJ47),'Dept. Cost Actuals'!BO242)</f>
        <v>363.59967839470346</v>
      </c>
      <c r="BL47" s="684">
        <f>IF(BL$4="forecast",AVERAGE(AZ47:BK47),'Dept. Cost Actuals'!#REF!)</f>
        <v>362.76376279543985</v>
      </c>
      <c r="BM47" s="684">
        <f>IF(BM$4="forecast",AVERAGE(BA47:BL47),'Dept. Cost Actuals'!#REF!)</f>
        <v>361.57834497781732</v>
      </c>
      <c r="BN47" s="684">
        <f>IF(BN$4="forecast",AVERAGE(BB47:BM47),'Dept. Cost Actuals'!#REF!)</f>
        <v>360.18388077611644</v>
      </c>
      <c r="BO47" s="684">
        <f>IF(BO$4="forecast",AVERAGE(BC47:BN47),'Dept. Cost Actuals'!#REF!)</f>
        <v>358.76273753195073</v>
      </c>
      <c r="BP47" s="684">
        <f>IF(BP$4="forecast",AVERAGE(BD47:BO47),'Dept. Cost Actuals'!#REF!)</f>
        <v>357.54654354965714</v>
      </c>
      <c r="BQ47" s="684">
        <f>IF(BQ$4="forecast",AVERAGE(BE47:BP47),'Dept. Cost Actuals'!#REF!)</f>
        <v>356.8245830414433</v>
      </c>
      <c r="BR47" s="684">
        <f>IF(BR$4="forecast",AVERAGE(BF47:BQ47),'Dept. Cost Actuals'!#REF!)</f>
        <v>356.95336907542105</v>
      </c>
      <c r="BS47" s="684">
        <f>IF(BS$4="forecast",AVERAGE(BG47:BR47),'Dept. Cost Actuals'!#REF!)</f>
        <v>358.36754264005793</v>
      </c>
      <c r="BT47" s="684">
        <f>IF(BT$4="forecast",AVERAGE(BH47:BS47),'Dept. Cost Actuals'!#REF!)</f>
        <v>359.27744846860782</v>
      </c>
      <c r="BU47" s="684">
        <f>IF(BU$4="forecast",AVERAGE(BI47:BT47),'Dept. Cost Actuals'!#REF!)</f>
        <v>359.73412791451932</v>
      </c>
      <c r="BV47" s="808">
        <f>IF(BV$4="forecast",AVERAGE(BJ47:BU47),'Dept. Cost Actuals'!#REF!)</f>
        <v>359.81270663491773</v>
      </c>
    </row>
    <row r="48" spans="2:74" x14ac:dyDescent="0.35">
      <c r="B48" s="812" t="s">
        <v>994</v>
      </c>
      <c r="C48" s="684">
        <f>IF(C$4="forecast",AVERAGE(#REF!),'Dept. Cost Actuals'!G243)</f>
        <v>0</v>
      </c>
      <c r="D48" s="684">
        <f>IF(D$4="forecast",AVERAGE(#REF!),'Dept. Cost Actuals'!H243)</f>
        <v>0</v>
      </c>
      <c r="E48" s="684">
        <f>IF(E$4="forecast",AVERAGE(#REF!),'Dept. Cost Actuals'!I243)</f>
        <v>0</v>
      </c>
      <c r="F48" s="684">
        <f>IF(F$4="forecast",AVERAGE(#REF!),'Dept. Cost Actuals'!J243)</f>
        <v>0</v>
      </c>
      <c r="G48" s="684">
        <f>IF(G$4="forecast",AVERAGE(#REF!),'Dept. Cost Actuals'!K243)</f>
        <v>0</v>
      </c>
      <c r="H48" s="684">
        <f>IF(H$4="forecast",AVERAGE(#REF!),'Dept. Cost Actuals'!L243)</f>
        <v>0</v>
      </c>
      <c r="I48" s="684">
        <f>IF(I$4="forecast",AVERAGE(#REF!),'Dept. Cost Actuals'!M243)</f>
        <v>0</v>
      </c>
      <c r="J48" s="684">
        <f>IF(J$4="forecast",AVERAGE(#REF!),'Dept. Cost Actuals'!N243)</f>
        <v>0</v>
      </c>
      <c r="K48" s="684">
        <f>IF(K$4="forecast",AVERAGE(#REF!),'Dept. Cost Actuals'!O243)</f>
        <v>0</v>
      </c>
      <c r="L48" s="684">
        <f>IF(L$4="forecast",AVERAGE(#REF!),'Dept. Cost Actuals'!P243)</f>
        <v>0</v>
      </c>
      <c r="M48" s="684">
        <f>IF(M$4="forecast",AVERAGE(#REF!),'Dept. Cost Actuals'!Q243)</f>
        <v>0</v>
      </c>
      <c r="N48" s="684">
        <f>IF(N$4="forecast",AVERAGE(#REF!),'Dept. Cost Actuals'!R243)</f>
        <v>0</v>
      </c>
      <c r="O48" s="684">
        <f>IF(O$4="forecast",AVERAGE(C48:N48),'Dept. Cost Actuals'!S243)</f>
        <v>0</v>
      </c>
      <c r="P48" s="684">
        <f>IF(P$4="forecast",AVERAGE(D48:O48),'Dept. Cost Actuals'!T243)</f>
        <v>0</v>
      </c>
      <c r="Q48" s="684">
        <f>IF(Q$4="forecast",AVERAGE(E48:P48),'Dept. Cost Actuals'!U243)</f>
        <v>0</v>
      </c>
      <c r="R48" s="684">
        <f>IF(R$4="forecast",AVERAGE(F48:Q48),'Dept. Cost Actuals'!V243)</f>
        <v>0</v>
      </c>
      <c r="S48" s="684">
        <f>IF(S$4="forecast",AVERAGE(G48:R48),'Dept. Cost Actuals'!W243)</f>
        <v>0</v>
      </c>
      <c r="T48" s="684">
        <f>IF(T$4="forecast",AVERAGE(H48:S48),'Dept. Cost Actuals'!X243)</f>
        <v>1150</v>
      </c>
      <c r="U48" s="684">
        <f>IF(U$4="forecast",AVERAGE(I48:T48),'Dept. Cost Actuals'!Y243)</f>
        <v>595.09</v>
      </c>
      <c r="V48" s="684">
        <f>IF(V$4="forecast",AVERAGE(J48:U48),'Dept. Cost Actuals'!Z243)</f>
        <v>5787.96</v>
      </c>
      <c r="W48" s="684">
        <f>IF(W$4="forecast",AVERAGE(K48:V48),'Dept. Cost Actuals'!AA243)</f>
        <v>175</v>
      </c>
      <c r="X48" s="684">
        <f>IF(X$4="forecast",AVERAGE(L48:W48),'Dept. Cost Actuals'!AB243)</f>
        <v>525</v>
      </c>
      <c r="Y48" s="684">
        <f>IF(Y$4="forecast",AVERAGE(M48:X48),'Dept. Cost Actuals'!AC243)</f>
        <v>375</v>
      </c>
      <c r="Z48" s="684">
        <f>IF(Z$4="forecast",AVERAGE(N48:Y48),'Dept. Cost Actuals'!AD243)</f>
        <v>256</v>
      </c>
      <c r="AA48" s="684">
        <f>IF(AA$4="forecast",0,'Dept. Cost Actuals'!AE243)</f>
        <v>0</v>
      </c>
      <c r="AB48" s="684">
        <f>IF(AB$4="forecast",0,'Dept. Cost Actuals'!AF243)</f>
        <v>0</v>
      </c>
      <c r="AC48" s="684">
        <f>IF(AC$4="forecast",0,'Dept. Cost Actuals'!AG243)</f>
        <v>0</v>
      </c>
      <c r="AD48" s="684">
        <f>IF(AD$4="forecast",0,'Dept. Cost Actuals'!AH243)</f>
        <v>0</v>
      </c>
      <c r="AE48" s="684">
        <f>IF(AE$4="forecast",0,'Dept. Cost Actuals'!AI243)</f>
        <v>0</v>
      </c>
      <c r="AF48" s="684">
        <f>IF(AF$4="forecast",0,'Dept. Cost Actuals'!AJ243)</f>
        <v>0</v>
      </c>
      <c r="AG48" s="684">
        <f>IF(AG$4="forecast",0,'Dept. Cost Actuals'!AK243)</f>
        <v>0</v>
      </c>
      <c r="AH48" s="684">
        <f>IF(AH$4="forecast",0,'Dept. Cost Actuals'!AL243)</f>
        <v>0</v>
      </c>
      <c r="AI48" s="684">
        <f>IF(AI$4="forecast",0,'Dept. Cost Actuals'!AM243)</f>
        <v>0</v>
      </c>
      <c r="AJ48" s="684">
        <f>IF(AJ$4="forecast",0,'Dept. Cost Actuals'!AN243)</f>
        <v>0</v>
      </c>
      <c r="AK48" s="684">
        <f>IF(AK$4="forecast",0,'Dept. Cost Actuals'!AO243)</f>
        <v>0</v>
      </c>
      <c r="AL48" s="684">
        <f>IF(AL$4="forecast",0,'Dept. Cost Actuals'!AP243)</f>
        <v>0</v>
      </c>
      <c r="AM48" s="684">
        <f>IF(AM$4="forecast",AVERAGE(AA48:AL48),'Dept. Cost Actuals'!AQ243)</f>
        <v>0</v>
      </c>
      <c r="AN48" s="684">
        <f>IF(AN$4="forecast",AVERAGE(AB48:AM48),'Dept. Cost Actuals'!AR243)</f>
        <v>0</v>
      </c>
      <c r="AO48" s="684">
        <f>IF(AO$4="forecast",AVERAGE(AC48:AN48),'Dept. Cost Actuals'!AS243)</f>
        <v>0</v>
      </c>
      <c r="AP48" s="684">
        <f>IF(AP$4="forecast",AVERAGE(AD48:AO48),'Dept. Cost Actuals'!AT243)</f>
        <v>0</v>
      </c>
      <c r="AQ48" s="684">
        <f>IF(AQ$4="forecast",AVERAGE(AE48:AP48),'Dept. Cost Actuals'!AU243)</f>
        <v>0</v>
      </c>
      <c r="AR48" s="684">
        <f>IF(AR$4="forecast",AVERAGE(AF48:AQ48),'Dept. Cost Actuals'!AV243)</f>
        <v>0</v>
      </c>
      <c r="AS48" s="684">
        <f>IF(AS$4="forecast",AVERAGE(AG48:AR48),'Dept. Cost Actuals'!AW243)</f>
        <v>0</v>
      </c>
      <c r="AT48" s="684">
        <f>IF(AT$4="forecast",AVERAGE(AH48:AS48),'Dept. Cost Actuals'!AX243)</f>
        <v>0</v>
      </c>
      <c r="AU48" s="684">
        <f>IF(AU$4="forecast",AVERAGE(AI48:AT48),'Dept. Cost Actuals'!AY243)</f>
        <v>0</v>
      </c>
      <c r="AV48" s="684">
        <f>IF(AV$4="forecast",AVERAGE(AJ48:AU48),'Dept. Cost Actuals'!AZ243)</f>
        <v>0</v>
      </c>
      <c r="AW48" s="684">
        <f>IF(AW$4="forecast",AVERAGE(AK48:AV48),'Dept. Cost Actuals'!BA243)</f>
        <v>0</v>
      </c>
      <c r="AX48" s="684">
        <f>IF(AX$4="forecast",AVERAGE(AL48:AW48),'Dept. Cost Actuals'!BB243)</f>
        <v>0</v>
      </c>
      <c r="AY48" s="684">
        <f>IF(AY$4="forecast",AVERAGE(AM48:AX48),'Dept. Cost Actuals'!BC243)</f>
        <v>0</v>
      </c>
      <c r="AZ48" s="684">
        <f>IF(AZ$4="forecast",AVERAGE(AN48:AY48),'Dept. Cost Actuals'!BD243)</f>
        <v>0</v>
      </c>
      <c r="BA48" s="684">
        <f>IF(BA$4="forecast",AVERAGE(AO48:AZ48),'Dept. Cost Actuals'!BE243)</f>
        <v>0</v>
      </c>
      <c r="BB48" s="684">
        <f>IF(BB$4="forecast",AVERAGE(AP48:BA48),'Dept. Cost Actuals'!BF243)</f>
        <v>0</v>
      </c>
      <c r="BC48" s="684">
        <f>IF(BC$4="forecast",AVERAGE(AQ48:BB48),'Dept. Cost Actuals'!BG243)</f>
        <v>0</v>
      </c>
      <c r="BD48" s="684">
        <f>IF(BD$4="forecast",AVERAGE(AR48:BC48),'Dept. Cost Actuals'!BH243)</f>
        <v>0</v>
      </c>
      <c r="BE48" s="684">
        <f>IF(BE$4="forecast",AVERAGE(AS48:BD48),'Dept. Cost Actuals'!BI243)</f>
        <v>0</v>
      </c>
      <c r="BF48" s="684">
        <f>IF(BF$4="forecast",AVERAGE(AT48:BE48),'Dept. Cost Actuals'!BJ243)</f>
        <v>0</v>
      </c>
      <c r="BG48" s="684">
        <f>IF(BG$4="forecast",AVERAGE(AU48:BF48),'Dept. Cost Actuals'!BK243)</f>
        <v>0</v>
      </c>
      <c r="BH48" s="684">
        <f>IF(BH$4="forecast",AVERAGE(AV48:BG48),'Dept. Cost Actuals'!BL243)</f>
        <v>0</v>
      </c>
      <c r="BI48" s="684">
        <f>IF(BI$4="forecast",AVERAGE(AW48:BH48),'Dept. Cost Actuals'!BM243)</f>
        <v>0</v>
      </c>
      <c r="BJ48" s="684">
        <f>IF(BJ$4="forecast",AVERAGE(AX48:BI48),'Dept. Cost Actuals'!BN243)</f>
        <v>0</v>
      </c>
      <c r="BK48" s="684">
        <f>IF(BK$4="forecast",AVERAGE(AY48:BJ48),'Dept. Cost Actuals'!BO243)</f>
        <v>0</v>
      </c>
      <c r="BL48" s="684">
        <f>IF(BL$4="forecast",AVERAGE(AZ48:BK48),'Dept. Cost Actuals'!#REF!)</f>
        <v>0</v>
      </c>
      <c r="BM48" s="684">
        <f>IF(BM$4="forecast",AVERAGE(BA48:BL48),'Dept. Cost Actuals'!#REF!)</f>
        <v>0</v>
      </c>
      <c r="BN48" s="684">
        <f>IF(BN$4="forecast",AVERAGE(BB48:BM48),'Dept. Cost Actuals'!#REF!)</f>
        <v>0</v>
      </c>
      <c r="BO48" s="684">
        <f>IF(BO$4="forecast",AVERAGE(BC48:BN48),'Dept. Cost Actuals'!#REF!)</f>
        <v>0</v>
      </c>
      <c r="BP48" s="684">
        <f>IF(BP$4="forecast",AVERAGE(BD48:BO48),'Dept. Cost Actuals'!#REF!)</f>
        <v>0</v>
      </c>
      <c r="BQ48" s="684">
        <f>IF(BQ$4="forecast",AVERAGE(BE48:BP48),'Dept. Cost Actuals'!#REF!)</f>
        <v>0</v>
      </c>
      <c r="BR48" s="684">
        <f>IF(BR$4="forecast",AVERAGE(BF48:BQ48),'Dept. Cost Actuals'!#REF!)</f>
        <v>0</v>
      </c>
      <c r="BS48" s="684">
        <f>IF(BS$4="forecast",AVERAGE(BG48:BR48),'Dept. Cost Actuals'!#REF!)</f>
        <v>0</v>
      </c>
      <c r="BT48" s="684">
        <f>IF(BT$4="forecast",AVERAGE(BH48:BS48),'Dept. Cost Actuals'!#REF!)</f>
        <v>0</v>
      </c>
      <c r="BU48" s="684">
        <f>IF(BU$4="forecast",AVERAGE(BI48:BT48),'Dept. Cost Actuals'!#REF!)</f>
        <v>0</v>
      </c>
      <c r="BV48" s="808">
        <f>IF(BV$4="forecast",AVERAGE(BJ48:BU48),'Dept. Cost Actuals'!#REF!)</f>
        <v>0</v>
      </c>
    </row>
    <row r="49" spans="2:74" x14ac:dyDescent="0.35">
      <c r="B49" s="873" t="s">
        <v>1267</v>
      </c>
      <c r="C49" s="684">
        <f>IF(C$4="forecast",'CAC Update'!E9,'Dept. Cost Actuals'!G244)</f>
        <v>91250.8</v>
      </c>
      <c r="D49" s="684">
        <f>IF(D$4="forecast",'CAC Update'!F9,'Dept. Cost Actuals'!H244)</f>
        <v>137787.19999999998</v>
      </c>
      <c r="E49" s="684">
        <f>IF(E$4="forecast",'CAC Update'!G9,'Dept. Cost Actuals'!I244)</f>
        <v>162742.02000000002</v>
      </c>
      <c r="F49" s="684">
        <f>IF(F$4="forecast",'CAC Update'!H9,'Dept. Cost Actuals'!J244)</f>
        <v>151877.41</v>
      </c>
      <c r="G49" s="684">
        <f>IF(G$4="forecast",'CAC Update'!I9,'Dept. Cost Actuals'!K244)</f>
        <v>115310.32</v>
      </c>
      <c r="H49" s="684">
        <f>IF(H$4="forecast",'CAC Update'!J9,'Dept. Cost Actuals'!L244)</f>
        <v>133316.34</v>
      </c>
      <c r="I49" s="684">
        <f>IF(I$4="forecast",'CAC Update'!K9,'Dept. Cost Actuals'!M244)</f>
        <v>125631.40000000001</v>
      </c>
      <c r="J49" s="684">
        <f>IF(J$4="forecast",'CAC Update'!L9,'Dept. Cost Actuals'!N244)</f>
        <v>142464.76</v>
      </c>
      <c r="K49" s="684">
        <f>IF(K$4="forecast",'CAC Update'!M9,'Dept. Cost Actuals'!O244)</f>
        <v>143788.80000000005</v>
      </c>
      <c r="L49" s="684">
        <f>IF(L$4="forecast",'CAC Update'!N9,'Dept. Cost Actuals'!P244)</f>
        <v>156742.78</v>
      </c>
      <c r="M49" s="684">
        <f>IF(M$4="forecast",'CAC Update'!O9,'Dept. Cost Actuals'!Q244)</f>
        <v>88581.16</v>
      </c>
      <c r="N49" s="684">
        <f>IF(N$4="forecast",'CAC Update'!P9,'Dept. Cost Actuals'!R244)</f>
        <v>60219.11</v>
      </c>
      <c r="O49" s="684">
        <f>IF(O$4="forecast",'CAC Update'!Q9,'Dept. Cost Actuals'!S244)</f>
        <v>228490.91</v>
      </c>
      <c r="P49" s="684">
        <f>IF(P$4="forecast",'CAC Update'!R9,'Dept. Cost Actuals'!T244)</f>
        <v>153736.46</v>
      </c>
      <c r="Q49" s="684">
        <f>IF(Q$4="forecast",'CAC Update'!S9,'Dept. Cost Actuals'!U244)</f>
        <v>213606.6</v>
      </c>
      <c r="R49" s="684">
        <f>IF(R$4="forecast",'CAC Update'!T9,'Dept. Cost Actuals'!V244)</f>
        <v>209812.42</v>
      </c>
      <c r="S49" s="684">
        <f>IF(S$4="forecast",'CAC Update'!U9,'Dept. Cost Actuals'!W244)</f>
        <v>239450.07</v>
      </c>
      <c r="T49" s="684">
        <f>IF(T$4="forecast",'CAC Update'!V9,'Dept. Cost Actuals'!X244)</f>
        <v>334802.44</v>
      </c>
      <c r="U49" s="684">
        <f>IF(U$4="forecast",'CAC Update'!W9,'Dept. Cost Actuals'!Y244)</f>
        <v>558380.03</v>
      </c>
      <c r="V49" s="684">
        <f>IF(V$4="forecast",'CAC Update'!X9,'Dept. Cost Actuals'!Z244)</f>
        <v>565582.63</v>
      </c>
      <c r="W49" s="684">
        <f>IF(W$4="forecast",'CAC Update'!Y9,'Dept. Cost Actuals'!AA244)</f>
        <v>341707.57</v>
      </c>
      <c r="X49" s="684">
        <f>IF(X$4="forecast",'CAC Update'!Z9,'Dept. Cost Actuals'!AB244)</f>
        <v>317949.32</v>
      </c>
      <c r="Y49" s="684">
        <f>IF(Y$4="forecast",'CAC Update'!AA9,'Dept. Cost Actuals'!AC244)</f>
        <v>363905.76</v>
      </c>
      <c r="Z49" s="684">
        <f>IF(Z$4="forecast",'CAC Update'!AB9,'Dept. Cost Actuals'!AD244)</f>
        <v>283172.84999999998</v>
      </c>
      <c r="AA49" s="684">
        <f>IF(AA$4="forecast",'CAC Update'!AC9,'Dept. Cost Actuals'!AE244)</f>
        <v>235000</v>
      </c>
      <c r="AB49" s="684">
        <f>IF(AB$4="forecast",'CAC Update'!AD9,'Dept. Cost Actuals'!AF244)</f>
        <v>300000</v>
      </c>
      <c r="AC49" s="684">
        <f>IF(AC$4="forecast",SUMIFS(Planning_Mkt!F$5:F$133,Planning_Mkt!$B$5:$B$133,"Paid Media"),'Dept. Cost Actuals'!AG244)</f>
        <v>528600</v>
      </c>
      <c r="AD49" s="684">
        <f>IF(AD$4="forecast",SUMIFS(Planning_Mkt!G$5:G$133,Planning_Mkt!$B$5:$B$133,"Paid Media"),'Dept. Cost Actuals'!AH244)</f>
        <v>628600</v>
      </c>
      <c r="AE49" s="684">
        <f>IF(AE$4="forecast",SUMIFS(Planning_Mkt!H$5:H$133,Planning_Mkt!$B$5:$B$133,"Paid Media"),'Dept. Cost Actuals'!AI244)</f>
        <v>633600</v>
      </c>
      <c r="AF49" s="684">
        <f>IF(AF$4="forecast",SUMIFS(Planning_Mkt!I$5:I$133,Planning_Mkt!$B$5:$B$133,"Paid Media"),'Dept. Cost Actuals'!AJ244)</f>
        <v>563600</v>
      </c>
      <c r="AG49" s="684">
        <f>IF(AG$4="forecast",SUMIFS(Planning_Mkt!J$5:J$133,Planning_Mkt!$B$5:$B$133,"Paid Media"),'Dept. Cost Actuals'!AK244)</f>
        <v>513600</v>
      </c>
      <c r="AH49" s="684">
        <f>IF(AH$4="forecast",SUMIFS(Planning_Mkt!K$5:K$133,Planning_Mkt!$B$5:$B$133,"Paid Media"),'Dept. Cost Actuals'!AL244)</f>
        <v>463600</v>
      </c>
      <c r="AI49" s="684">
        <f>IF(AI$4="forecast",SUMIFS(Planning_Mkt!L$5:L$133,Planning_Mkt!$B$5:$B$133,"Paid Media"),'Dept. Cost Actuals'!AM244)</f>
        <v>463600</v>
      </c>
      <c r="AJ49" s="684">
        <f>IF(AJ$4="forecast",SUMIFS(Planning_Mkt!M$5:M$133,Planning_Mkt!$B$5:$B$133,"Paid Media"),'Dept. Cost Actuals'!AN244)</f>
        <v>463600</v>
      </c>
      <c r="AK49" s="684">
        <f>IF(AK$4="forecast",SUMIFS(Planning_Mkt!N$5:N$133,Planning_Mkt!$B$5:$B$133,"Paid Media"),'Dept. Cost Actuals'!AO244)</f>
        <v>463600</v>
      </c>
      <c r="AL49" s="684">
        <f>IF(AL$4="forecast",SUMIFS(Planning_Mkt!O$5:O$133,Planning_Mkt!$B$5:$B$133,"Paid Media"),'Dept. Cost Actuals'!AP244)</f>
        <v>463600</v>
      </c>
      <c r="AM49" s="684">
        <f>IF(AM$4="forecast",'CAC Update'!AO9,'Dept. Cost Actuals'!AQ244)</f>
        <v>400000</v>
      </c>
      <c r="AN49" s="684">
        <f>IF(AN$4="forecast",'CAC Update'!AP9,'Dept. Cost Actuals'!AR244)</f>
        <v>400000</v>
      </c>
      <c r="AO49" s="684">
        <f>IF(AO$4="forecast",'CAC Update'!AQ9,'Dept. Cost Actuals'!AS244)</f>
        <v>400000</v>
      </c>
      <c r="AP49" s="684">
        <f>IF(AP$4="forecast",'CAC Update'!AR9,'Dept. Cost Actuals'!AT244)</f>
        <v>400000</v>
      </c>
      <c r="AQ49" s="684">
        <f>IF(AQ$4="forecast",'CAC Update'!AS9,'Dept. Cost Actuals'!AU244)</f>
        <v>400000</v>
      </c>
      <c r="AR49" s="684">
        <f>IF(AR$4="forecast",'CAC Update'!AT9,'Dept. Cost Actuals'!AV244)</f>
        <v>400000</v>
      </c>
      <c r="AS49" s="684">
        <f>IF(AS$4="forecast",'CAC Update'!AU9,'Dept. Cost Actuals'!AW244)</f>
        <v>400000</v>
      </c>
      <c r="AT49" s="684">
        <f>IF(AT$4="forecast",'CAC Update'!AV9,'Dept. Cost Actuals'!AX244)</f>
        <v>400000</v>
      </c>
      <c r="AU49" s="684">
        <f>IF(AU$4="forecast",'CAC Update'!AW9,'Dept. Cost Actuals'!AY244)</f>
        <v>400000</v>
      </c>
      <c r="AV49" s="684">
        <f>IF(AV$4="forecast",'CAC Update'!AX9,'Dept. Cost Actuals'!AZ244)</f>
        <v>400000</v>
      </c>
      <c r="AW49" s="684">
        <f>IF(AW$4="forecast",'CAC Update'!AY9,'Dept. Cost Actuals'!BA244)</f>
        <v>400000</v>
      </c>
      <c r="AX49" s="684">
        <f>IF(AX$4="forecast",'CAC Update'!AZ9,'Dept. Cost Actuals'!BB244)</f>
        <v>400000</v>
      </c>
      <c r="AY49" s="684">
        <f>IF(AY$4="forecast",'CAC Update'!BA9,'Dept. Cost Actuals'!BC244)</f>
        <v>400000</v>
      </c>
      <c r="AZ49" s="684">
        <f>IF(AZ$4="forecast",'CAC Update'!BB9,'Dept. Cost Actuals'!BD244)</f>
        <v>400000</v>
      </c>
      <c r="BA49" s="684">
        <f>IF(BA$4="forecast",'CAC Update'!BC9,'Dept. Cost Actuals'!BE244)</f>
        <v>400000</v>
      </c>
      <c r="BB49" s="684">
        <f>IF(BB$4="forecast",'CAC Update'!BD9,'Dept. Cost Actuals'!BF244)</f>
        <v>400000</v>
      </c>
      <c r="BC49" s="684">
        <f>IF(BC$4="forecast",'CAC Update'!BE9,'Dept. Cost Actuals'!BG244)</f>
        <v>400000</v>
      </c>
      <c r="BD49" s="684">
        <f>IF(BD$4="forecast",'CAC Update'!BF9,'Dept. Cost Actuals'!BH244)</f>
        <v>400000</v>
      </c>
      <c r="BE49" s="684">
        <f>IF(BE$4="forecast",'CAC Update'!BG9,'Dept. Cost Actuals'!BI244)</f>
        <v>400000</v>
      </c>
      <c r="BF49" s="684">
        <f>IF(BF$4="forecast",'CAC Update'!BH9,'Dept. Cost Actuals'!BJ244)</f>
        <v>400000</v>
      </c>
      <c r="BG49" s="684">
        <f>IF(BG$4="forecast",'CAC Update'!BI9,'Dept. Cost Actuals'!BK244)</f>
        <v>400000</v>
      </c>
      <c r="BH49" s="684">
        <f>IF(BH$4="forecast",'CAC Update'!BJ9,'Dept. Cost Actuals'!BL244)</f>
        <v>400000</v>
      </c>
      <c r="BI49" s="684">
        <f>IF(BI$4="forecast",'CAC Update'!BK9,'Dept. Cost Actuals'!BM244)</f>
        <v>400000</v>
      </c>
      <c r="BJ49" s="684">
        <f>IF(BJ$4="forecast",'CAC Update'!BL9,'Dept. Cost Actuals'!BN244)</f>
        <v>400000</v>
      </c>
      <c r="BK49" s="684">
        <f>IF(BK$4="forecast",'CAC Update'!BM9,'Dept. Cost Actuals'!BO244)</f>
        <v>0</v>
      </c>
      <c r="BL49" s="684">
        <f>IF(BL$4="forecast",'CAC Update'!BN9,'Dept. Cost Actuals'!BP244)</f>
        <v>0</v>
      </c>
      <c r="BM49" s="684">
        <f>IF(BM$4="forecast",'CAC Update'!BO9,'Dept. Cost Actuals'!BQ244)</f>
        <v>0</v>
      </c>
      <c r="BN49" s="684">
        <f>IF(BN$4="forecast",'CAC Update'!BP9,'Dept. Cost Actuals'!BR244)</f>
        <v>0</v>
      </c>
      <c r="BO49" s="684">
        <f>IF(BO$4="forecast",'CAC Update'!BQ9,'Dept. Cost Actuals'!BS244)</f>
        <v>0</v>
      </c>
      <c r="BP49" s="684">
        <f>IF(BP$4="forecast",'CAC Update'!BR9,'Dept. Cost Actuals'!BT244)</f>
        <v>0</v>
      </c>
      <c r="BQ49" s="684">
        <f>IF(BQ$4="forecast",'CAC Update'!BS9,'Dept. Cost Actuals'!BU244)</f>
        <v>0</v>
      </c>
      <c r="BR49" s="684">
        <f>IF(BR$4="forecast",'CAC Update'!BT9,'Dept. Cost Actuals'!BV244)</f>
        <v>0</v>
      </c>
      <c r="BS49" s="684">
        <f>IF(BS$4="forecast",'CAC Update'!BU9,'Dept. Cost Actuals'!BW244)</f>
        <v>0</v>
      </c>
      <c r="BT49" s="684">
        <f>IF(BT$4="forecast",'CAC Update'!BV9,'Dept. Cost Actuals'!BX244)</f>
        <v>0</v>
      </c>
      <c r="BU49" s="684">
        <f>IF(BU$4="forecast",'CAC Update'!BW9,'Dept. Cost Actuals'!BY244)</f>
        <v>0</v>
      </c>
      <c r="BV49" s="808">
        <f>IF(BV$4="forecast",'CAC Update'!BX9,'Dept. Cost Actuals'!BZ244)</f>
        <v>0</v>
      </c>
    </row>
    <row r="50" spans="2:74" x14ac:dyDescent="0.35">
      <c r="B50" s="812" t="s">
        <v>997</v>
      </c>
      <c r="C50" s="684">
        <f>IF(C$4="forecast",AVERAGE(#REF!),'Dept. Cost Actuals'!G245)</f>
        <v>0</v>
      </c>
      <c r="D50" s="684">
        <f>IF(D$4="forecast",AVERAGE(#REF!),'Dept. Cost Actuals'!H245)</f>
        <v>0</v>
      </c>
      <c r="E50" s="684">
        <f>IF(E$4="forecast",AVERAGE(#REF!),'Dept. Cost Actuals'!I245)</f>
        <v>0</v>
      </c>
      <c r="F50" s="684">
        <f>IF(F$4="forecast",AVERAGE(#REF!),'Dept. Cost Actuals'!J245)</f>
        <v>0</v>
      </c>
      <c r="G50" s="684">
        <f>IF(G$4="forecast",AVERAGE(#REF!),'Dept. Cost Actuals'!K245)</f>
        <v>0</v>
      </c>
      <c r="H50" s="684">
        <f>IF(H$4="forecast",AVERAGE(#REF!),'Dept. Cost Actuals'!L245)</f>
        <v>0</v>
      </c>
      <c r="I50" s="684">
        <f>IF(I$4="forecast",AVERAGE(#REF!),'Dept. Cost Actuals'!M245)</f>
        <v>0</v>
      </c>
      <c r="J50" s="684">
        <f>IF(J$4="forecast",AVERAGE(#REF!),'Dept. Cost Actuals'!N245)</f>
        <v>0</v>
      </c>
      <c r="K50" s="684">
        <f>IF(K$4="forecast",AVERAGE(#REF!),'Dept. Cost Actuals'!O245)</f>
        <v>0</v>
      </c>
      <c r="L50" s="684">
        <f>IF(L$4="forecast",AVERAGE(#REF!),'Dept. Cost Actuals'!P245)</f>
        <v>0</v>
      </c>
      <c r="M50" s="684">
        <f>IF(M$4="forecast",AVERAGE(#REF!),'Dept. Cost Actuals'!Q245)</f>
        <v>0</v>
      </c>
      <c r="N50" s="684">
        <f>IF(N$4="forecast",AVERAGE(#REF!),'Dept. Cost Actuals'!R245)</f>
        <v>0</v>
      </c>
      <c r="O50" s="684">
        <f>IF(O$4="forecast",AVERAGE(C50:N50),'Dept. Cost Actuals'!S245)</f>
        <v>8130</v>
      </c>
      <c r="P50" s="684">
        <f>IF(P$4="forecast",AVERAGE(D50:O50),'Dept. Cost Actuals'!T245)</f>
        <v>6635</v>
      </c>
      <c r="Q50" s="684">
        <f>IF(Q$4="forecast",AVERAGE(E50:P50),'Dept. Cost Actuals'!U245)</f>
        <v>6550</v>
      </c>
      <c r="R50" s="684">
        <f>IF(R$4="forecast",AVERAGE(F50:Q50),'Dept. Cost Actuals'!V245)</f>
        <v>6805</v>
      </c>
      <c r="S50" s="684">
        <f>IF(S$4="forecast",AVERAGE(G50:R50),'Dept. Cost Actuals'!W245)</f>
        <v>7525</v>
      </c>
      <c r="T50" s="684">
        <f>IF(T$4="forecast",AVERAGE(H50:S50),'Dept. Cost Actuals'!X245)</f>
        <v>24000</v>
      </c>
      <c r="U50" s="684">
        <f>IF(U$4="forecast",AVERAGE(I50:T50),'Dept. Cost Actuals'!Y245)</f>
        <v>18016.48</v>
      </c>
      <c r="V50" s="684">
        <f>IF(V$4="forecast",AVERAGE(J50:U50),'Dept. Cost Actuals'!Z245)</f>
        <v>18610.48</v>
      </c>
      <c r="W50" s="684">
        <f>IF(W$4="forecast",AVERAGE(K50:V50),'Dept. Cost Actuals'!AA245)</f>
        <v>20104</v>
      </c>
      <c r="X50" s="684">
        <f>IF(X$4="forecast",AVERAGE(L50:W50),'Dept. Cost Actuals'!AB245)</f>
        <v>18030.95</v>
      </c>
      <c r="Y50" s="684">
        <f>IF(Y$4="forecast",AVERAGE(M50:X50),'Dept. Cost Actuals'!AC245)</f>
        <v>18134.849999999999</v>
      </c>
      <c r="Z50" s="684">
        <f>IF(Z$4="forecast",AVERAGE(N50:Y50),'Dept. Cost Actuals'!AD245)</f>
        <v>18093.21</v>
      </c>
      <c r="AA50" s="684">
        <f>IF(AA$4="forecast",SUMIFS(Planning_Mkt!D$5:D$133,Planning_Mkt!$B$5:$B$133,"PR"),'Dept. Cost Actuals'!AE245)</f>
        <v>18000</v>
      </c>
      <c r="AB50" s="684">
        <f>IF(AB$4="forecast",SUMIFS(Planning_Mkt!E$5:E$133,Planning_Mkt!$B$5:$B$133,"PR"),'Dept. Cost Actuals'!AF245)</f>
        <v>18000</v>
      </c>
      <c r="AC50" s="684">
        <f>IF(AC$4="forecast",SUMIFS(Planning_Mkt!F$5:F$133,Planning_Mkt!$B$5:$B$133,"PR"),'Dept. Cost Actuals'!AG245)</f>
        <v>18000</v>
      </c>
      <c r="AD50" s="684">
        <f>IF(AD$4="forecast",SUMIFS(Planning_Mkt!G$5:G$133,Planning_Mkt!$B$5:$B$133,"PR"),'Dept. Cost Actuals'!AH245)</f>
        <v>18000</v>
      </c>
      <c r="AE50" s="684">
        <f>IF(AE$4="forecast",SUMIFS(Planning_Mkt!H$5:H$133,Planning_Mkt!$B$5:$B$133,"PR"),'Dept. Cost Actuals'!AI245)</f>
        <v>18000</v>
      </c>
      <c r="AF50" s="684">
        <f>IF(AF$4="forecast",SUMIFS(Planning_Mkt!I$5:I$133,Planning_Mkt!$B$5:$B$133,"PR"),'Dept. Cost Actuals'!AJ245)</f>
        <v>18000</v>
      </c>
      <c r="AG50" s="684">
        <f>IF(AG$4="forecast",SUMIFS(Planning_Mkt!J$5:J$133,Planning_Mkt!$B$5:$B$133,"PR"),'Dept. Cost Actuals'!AK245)</f>
        <v>18000</v>
      </c>
      <c r="AH50" s="684">
        <f>IF(AH$4="forecast",SUMIFS(Planning_Mkt!K$5:K$133,Planning_Mkt!$B$5:$B$133,"PR"),'Dept. Cost Actuals'!AL245)</f>
        <v>18000</v>
      </c>
      <c r="AI50" s="684">
        <f>IF(AI$4="forecast",SUMIFS(Planning_Mkt!L$5:L$133,Planning_Mkt!$B$5:$B$133,"PR"),'Dept. Cost Actuals'!AM245)</f>
        <v>18000</v>
      </c>
      <c r="AJ50" s="684">
        <f>IF(AJ$4="forecast",SUMIFS(Planning_Mkt!M$5:M$133,Planning_Mkt!$B$5:$B$133,"PR"),'Dept. Cost Actuals'!AN245)</f>
        <v>18000</v>
      </c>
      <c r="AK50" s="684">
        <f>IF(AK$4="forecast",SUMIFS(Planning_Mkt!N$5:N$133,Planning_Mkt!$B$5:$B$133,"PR"),'Dept. Cost Actuals'!AO245)</f>
        <v>18000</v>
      </c>
      <c r="AL50" s="684">
        <f>IF(AL$4="forecast",SUMIFS(Planning_Mkt!O$5:O$133,Planning_Mkt!$B$5:$B$133,"PR"),'Dept. Cost Actuals'!AP245)</f>
        <v>18000</v>
      </c>
      <c r="AM50" s="684">
        <f>IF(AM$4="forecast",AVERAGE(AA50:AL50),'Dept. Cost Actuals'!AQ245)</f>
        <v>18000</v>
      </c>
      <c r="AN50" s="684">
        <f>IF(AN$4="forecast",AVERAGE(AB50:AM50),'Dept. Cost Actuals'!AR245)</f>
        <v>18000</v>
      </c>
      <c r="AO50" s="684">
        <f>IF(AO$4="forecast",AVERAGE(AC50:AN50),'Dept. Cost Actuals'!AS245)</f>
        <v>18000</v>
      </c>
      <c r="AP50" s="684">
        <f>IF(AP$4="forecast",AVERAGE(AD50:AO50),'Dept. Cost Actuals'!AT245)</f>
        <v>18000</v>
      </c>
      <c r="AQ50" s="684">
        <f>IF(AQ$4="forecast",AVERAGE(AE50:AP50),'Dept. Cost Actuals'!AU245)</f>
        <v>18000</v>
      </c>
      <c r="AR50" s="684">
        <f>IF(AR$4="forecast",AVERAGE(AF50:AQ50),'Dept. Cost Actuals'!AV245)</f>
        <v>18000</v>
      </c>
      <c r="AS50" s="684">
        <f>IF(AS$4="forecast",AVERAGE(AG50:AR50),'Dept. Cost Actuals'!AW245)</f>
        <v>18000</v>
      </c>
      <c r="AT50" s="684">
        <f>IF(AT$4="forecast",AVERAGE(AH50:AS50),'Dept. Cost Actuals'!AX245)</f>
        <v>18000</v>
      </c>
      <c r="AU50" s="684">
        <f>IF(AU$4="forecast",AVERAGE(AI50:AT50),'Dept. Cost Actuals'!AY245)</f>
        <v>18000</v>
      </c>
      <c r="AV50" s="684">
        <f>IF(AV$4="forecast",AVERAGE(AJ50:AU50),'Dept. Cost Actuals'!AZ245)</f>
        <v>18000</v>
      </c>
      <c r="AW50" s="684">
        <f>IF(AW$4="forecast",AVERAGE(AK50:AV50),'Dept. Cost Actuals'!BA245)</f>
        <v>18000</v>
      </c>
      <c r="AX50" s="684">
        <f>IF(AX$4="forecast",AVERAGE(AL50:AW50),'Dept. Cost Actuals'!BB245)</f>
        <v>18000</v>
      </c>
      <c r="AY50" s="684">
        <f>IF(AY$4="forecast",AVERAGE(AM50:AX50),'Dept. Cost Actuals'!BC245)</f>
        <v>18000</v>
      </c>
      <c r="AZ50" s="684">
        <f>IF(AZ$4="forecast",AVERAGE(AN50:AY50),'Dept. Cost Actuals'!BD245)</f>
        <v>18000</v>
      </c>
      <c r="BA50" s="684">
        <f>IF(BA$4="forecast",AVERAGE(AO50:AZ50),'Dept. Cost Actuals'!BE245)</f>
        <v>18000</v>
      </c>
      <c r="BB50" s="684">
        <f>IF(BB$4="forecast",AVERAGE(AP50:BA50),'Dept. Cost Actuals'!BF245)</f>
        <v>18000</v>
      </c>
      <c r="BC50" s="684">
        <f>IF(BC$4="forecast",AVERAGE(AQ50:BB50),'Dept. Cost Actuals'!BG245)</f>
        <v>18000</v>
      </c>
      <c r="BD50" s="684">
        <f>IF(BD$4="forecast",AVERAGE(AR50:BC50),'Dept. Cost Actuals'!BH245)</f>
        <v>18000</v>
      </c>
      <c r="BE50" s="684">
        <f>IF(BE$4="forecast",AVERAGE(AS50:BD50),'Dept. Cost Actuals'!BI245)</f>
        <v>18000</v>
      </c>
      <c r="BF50" s="684">
        <f>IF(BF$4="forecast",AVERAGE(AT50:BE50),'Dept. Cost Actuals'!BJ245)</f>
        <v>18000</v>
      </c>
      <c r="BG50" s="684">
        <f>IF(BG$4="forecast",AVERAGE(AU50:BF50),'Dept. Cost Actuals'!BK245)</f>
        <v>18000</v>
      </c>
      <c r="BH50" s="684">
        <f>IF(BH$4="forecast",AVERAGE(AV50:BG50),'Dept. Cost Actuals'!BL245)</f>
        <v>18000</v>
      </c>
      <c r="BI50" s="684">
        <f>IF(BI$4="forecast",AVERAGE(AW50:BH50),'Dept. Cost Actuals'!BM245)</f>
        <v>18000</v>
      </c>
      <c r="BJ50" s="684">
        <f>IF(BJ$4="forecast",AVERAGE(AX50:BI50),'Dept. Cost Actuals'!BN245)</f>
        <v>18000</v>
      </c>
      <c r="BK50" s="684">
        <f>IF(BK$4="forecast",AVERAGE(AY50:BJ50),'Dept. Cost Actuals'!BO245)</f>
        <v>18000</v>
      </c>
      <c r="BL50" s="684">
        <f>IF(BL$4="forecast",AVERAGE(AZ50:BK50),'Dept. Cost Actuals'!#REF!)</f>
        <v>18000</v>
      </c>
      <c r="BM50" s="684">
        <f>IF(BM$4="forecast",AVERAGE(BA50:BL50),'Dept. Cost Actuals'!#REF!)</f>
        <v>18000</v>
      </c>
      <c r="BN50" s="684">
        <f>IF(BN$4="forecast",AVERAGE(BB50:BM50),'Dept. Cost Actuals'!#REF!)</f>
        <v>18000</v>
      </c>
      <c r="BO50" s="684">
        <f>IF(BO$4="forecast",AVERAGE(BC50:BN50),'Dept. Cost Actuals'!#REF!)</f>
        <v>18000</v>
      </c>
      <c r="BP50" s="684">
        <f>IF(BP$4="forecast",AVERAGE(BD50:BO50),'Dept. Cost Actuals'!#REF!)</f>
        <v>18000</v>
      </c>
      <c r="BQ50" s="684">
        <f>IF(BQ$4="forecast",AVERAGE(BE50:BP50),'Dept. Cost Actuals'!#REF!)</f>
        <v>18000</v>
      </c>
      <c r="BR50" s="684">
        <f>IF(BR$4="forecast",AVERAGE(BF50:BQ50),'Dept. Cost Actuals'!#REF!)</f>
        <v>18000</v>
      </c>
      <c r="BS50" s="684">
        <f>IF(BS$4="forecast",AVERAGE(BG50:BR50),'Dept. Cost Actuals'!#REF!)</f>
        <v>18000</v>
      </c>
      <c r="BT50" s="684">
        <f>IF(BT$4="forecast",AVERAGE(BH50:BS50),'Dept. Cost Actuals'!#REF!)</f>
        <v>18000</v>
      </c>
      <c r="BU50" s="684">
        <f>IF(BU$4="forecast",AVERAGE(BI50:BT50),'Dept. Cost Actuals'!#REF!)</f>
        <v>18000</v>
      </c>
      <c r="BV50" s="808">
        <f>IF(BV$4="forecast",AVERAGE(BJ50:BU50),'Dept. Cost Actuals'!#REF!)</f>
        <v>18000</v>
      </c>
    </row>
    <row r="51" spans="2:74" x14ac:dyDescent="0.35">
      <c r="B51" s="812" t="s">
        <v>1277</v>
      </c>
      <c r="C51" s="684">
        <f>IF(C$4="forecast",AVERAGE(#REF!),'Dept. Cost Actuals'!G246)</f>
        <v>0</v>
      </c>
      <c r="D51" s="684">
        <f>IF(D$4="forecast",AVERAGE(#REF!),'Dept. Cost Actuals'!H246)</f>
        <v>0</v>
      </c>
      <c r="E51" s="684">
        <f>IF(E$4="forecast",AVERAGE(#REF!),'Dept. Cost Actuals'!I246)</f>
        <v>0</v>
      </c>
      <c r="F51" s="684">
        <f>IF(F$4="forecast",AVERAGE(#REF!),'Dept. Cost Actuals'!J246)</f>
        <v>0</v>
      </c>
      <c r="G51" s="684">
        <f>IF(G$4="forecast",AVERAGE(#REF!),'Dept. Cost Actuals'!K246)</f>
        <v>0</v>
      </c>
      <c r="H51" s="684">
        <f>IF(H$4="forecast",AVERAGE(#REF!),'Dept. Cost Actuals'!L246)</f>
        <v>0</v>
      </c>
      <c r="I51" s="684">
        <f>IF(I$4="forecast",AVERAGE(#REF!),'Dept. Cost Actuals'!M246)</f>
        <v>0</v>
      </c>
      <c r="J51" s="684">
        <f>IF(J$4="forecast",AVERAGE(#REF!),'Dept. Cost Actuals'!N246)</f>
        <v>0</v>
      </c>
      <c r="K51" s="684">
        <f>IF(K$4="forecast",AVERAGE(#REF!),'Dept. Cost Actuals'!O246)</f>
        <v>0</v>
      </c>
      <c r="L51" s="684">
        <f>IF(L$4="forecast",AVERAGE(#REF!),'Dept. Cost Actuals'!P246)</f>
        <v>0</v>
      </c>
      <c r="M51" s="684">
        <f>IF(M$4="forecast",AVERAGE(#REF!),'Dept. Cost Actuals'!Q246)</f>
        <v>0</v>
      </c>
      <c r="N51" s="684">
        <f>IF(N$4="forecast",AVERAGE(#REF!),'Dept. Cost Actuals'!R246)</f>
        <v>0</v>
      </c>
      <c r="O51" s="684">
        <f>IF(O$4="forecast",AVERAGE(C51:N51),'Dept. Cost Actuals'!S246)</f>
        <v>2685.38</v>
      </c>
      <c r="P51" s="684">
        <f>IF(P$4="forecast",AVERAGE(D51:O51),'Dept. Cost Actuals'!T246)</f>
        <v>0</v>
      </c>
      <c r="Q51" s="684">
        <f>IF(Q$4="forecast",AVERAGE(E51:P51),'Dept. Cost Actuals'!U246)</f>
        <v>0</v>
      </c>
      <c r="R51" s="684">
        <f>IF(R$4="forecast",AVERAGE(F51:Q51),'Dept. Cost Actuals'!V246)</f>
        <v>297</v>
      </c>
      <c r="S51" s="684">
        <f>IF(S$4="forecast",AVERAGE(G51:R51),'Dept. Cost Actuals'!W246)</f>
        <v>0</v>
      </c>
      <c r="T51" s="684">
        <f>IF(T$4="forecast",AVERAGE(H51:S51),'Dept. Cost Actuals'!X246)</f>
        <v>0</v>
      </c>
      <c r="U51" s="684">
        <f>IF(U$4="forecast",AVERAGE(I51:T51),'Dept. Cost Actuals'!Y246)</f>
        <v>0</v>
      </c>
      <c r="V51" s="684">
        <f>IF(V$4="forecast",AVERAGE(J51:U51),'Dept. Cost Actuals'!Z246)</f>
        <v>0</v>
      </c>
      <c r="W51" s="684">
        <f>IF(W$4="forecast",AVERAGE(K51:V51),'Dept. Cost Actuals'!AA246)</f>
        <v>0</v>
      </c>
      <c r="X51" s="684">
        <f>IF(X$4="forecast",AVERAGE(L51:W51),'Dept. Cost Actuals'!AB246)</f>
        <v>0</v>
      </c>
      <c r="Y51" s="684">
        <f>IF(Y$4="forecast",AVERAGE(M51:X51),'Dept. Cost Actuals'!AC246)</f>
        <v>0</v>
      </c>
      <c r="Z51" s="684">
        <f>IF(Z$4="forecast",AVERAGE(N51:Y51),'Dept. Cost Actuals'!AD246)</f>
        <v>0</v>
      </c>
      <c r="AA51" s="684">
        <f>IF(AA$4="forecast",SUMIFS(Planning_Mkt!D$5:D$133,Planning_Mkt!$B$5:$B$133,"Agency Fees"),'Dept. Cost Actuals'!AE246)</f>
        <v>19250</v>
      </c>
      <c r="AB51" s="684">
        <f>IF(AB$4="forecast",SUMIFS(Planning_Mkt!E$5:E$133,Planning_Mkt!$B$5:$B$133,"Agency Fees"),'Dept. Cost Actuals'!AF246)</f>
        <v>15500</v>
      </c>
      <c r="AC51" s="684">
        <f>IF(AC$4="forecast",SUMIFS(Planning_Mkt!F$5:F$133,Planning_Mkt!$B$5:$B$133,"Agency Fees"),'Dept. Cost Actuals'!AG246)</f>
        <v>47987.5</v>
      </c>
      <c r="AD51" s="684">
        <f>IF(AD$4="forecast",SUMIFS(Planning_Mkt!G$5:G$133,Planning_Mkt!$B$5:$B$133,"Agency Fees"),'Dept. Cost Actuals'!AH246)</f>
        <v>53937.5</v>
      </c>
      <c r="AE51" s="684">
        <f>IF(AE$4="forecast",SUMIFS(Planning_Mkt!H$5:H$133,Planning_Mkt!$B$5:$B$133,"Agency Fees"),'Dept. Cost Actuals'!AI246)</f>
        <v>52485</v>
      </c>
      <c r="AF51" s="684">
        <f>IF(AF$4="forecast",SUMIFS(Planning_Mkt!I$5:I$133,Planning_Mkt!$B$5:$B$133,"Agency Fees"),'Dept. Cost Actuals'!AJ246)</f>
        <v>48320</v>
      </c>
      <c r="AG51" s="684">
        <f>IF(AG$4="forecast",SUMIFS(Planning_Mkt!J$5:J$133,Planning_Mkt!$B$5:$B$133,"Agency Fees"),'Dept. Cost Actuals'!AK246)</f>
        <v>45345</v>
      </c>
      <c r="AH51" s="684">
        <f>IF(AH$4="forecast",SUMIFS(Planning_Mkt!K$5:K$133,Planning_Mkt!$B$5:$B$133,"Agency Fees"),'Dept. Cost Actuals'!AL246)</f>
        <v>42370</v>
      </c>
      <c r="AI51" s="684">
        <f>IF(AI$4="forecast",SUMIFS(Planning_Mkt!L$5:L$133,Planning_Mkt!$B$5:$B$133,"Agency Fees"),'Dept. Cost Actuals'!AM246)</f>
        <v>42370</v>
      </c>
      <c r="AJ51" s="684">
        <f>IF(AJ$4="forecast",SUMIFS(Planning_Mkt!M$5:M$133,Planning_Mkt!$B$5:$B$133,"Agency Fees"),'Dept. Cost Actuals'!AN246)</f>
        <v>42370</v>
      </c>
      <c r="AK51" s="684">
        <f>IF(AK$4="forecast",SUMIFS(Planning_Mkt!N$5:N$133,Planning_Mkt!$B$5:$B$133,"Agency Fees"),'Dept. Cost Actuals'!AO246)</f>
        <v>42370</v>
      </c>
      <c r="AL51" s="684">
        <f>IF(AL$4="forecast",SUMIFS(Planning_Mkt!O$5:O$133,Planning_Mkt!$B$5:$B$133,"Agency Fees"),'Dept. Cost Actuals'!AP246)</f>
        <v>42370</v>
      </c>
      <c r="AM51" s="684">
        <f>IF(AM$4="forecast",AVERAGE(AA51:AL51),'Dept. Cost Actuals'!AQ246)</f>
        <v>41222.916666666664</v>
      </c>
      <c r="AN51" s="684">
        <f>IF(AN$4="forecast",AVERAGE(AB51:AM51),'Dept. Cost Actuals'!AR246)</f>
        <v>43053.993055555555</v>
      </c>
      <c r="AO51" s="684">
        <f>IF(AO$4="forecast",AVERAGE(AC51:AN51),'Dept. Cost Actuals'!AS246)</f>
        <v>45350.159143518518</v>
      </c>
      <c r="AP51" s="684">
        <f>IF(AP$4="forecast",AVERAGE(AD51:AO51),'Dept. Cost Actuals'!AT246)</f>
        <v>45130.380738811735</v>
      </c>
      <c r="AQ51" s="684">
        <f>IF(AQ$4="forecast",AVERAGE(AE51:AP51),'Dept. Cost Actuals'!AU246)</f>
        <v>44396.454133712708</v>
      </c>
      <c r="AR51" s="684">
        <f>IF(AR$4="forecast",AVERAGE(AF51:AQ51),'Dept. Cost Actuals'!AV246)</f>
        <v>43722.408644855437</v>
      </c>
      <c r="AS51" s="684">
        <f>IF(AS$4="forecast",AVERAGE(AG51:AR51),'Dept. Cost Actuals'!AW246)</f>
        <v>43339.276031926718</v>
      </c>
      <c r="AT51" s="684">
        <f>IF(AT$4="forecast",AVERAGE(AH51:AS51),'Dept. Cost Actuals'!AX246)</f>
        <v>43172.132367920611</v>
      </c>
      <c r="AU51" s="684">
        <f>IF(AU$4="forecast",AVERAGE(AI51:AT51),'Dept. Cost Actuals'!AY246)</f>
        <v>43238.976731913994</v>
      </c>
      <c r="AV51" s="684">
        <f>IF(AV$4="forecast",AVERAGE(AJ51:AU51),'Dept. Cost Actuals'!AZ246)</f>
        <v>43311.39145957349</v>
      </c>
      <c r="AW51" s="684">
        <f>IF(AW$4="forecast",AVERAGE(AK51:AV51),'Dept. Cost Actuals'!BA246)</f>
        <v>43389.840747871283</v>
      </c>
      <c r="AX51" s="684">
        <f>IF(AX$4="forecast",AVERAGE(AL51:AW51),'Dept. Cost Actuals'!BB246)</f>
        <v>43474.827476860555</v>
      </c>
      <c r="AY51" s="684">
        <f>IF(AY$4="forecast",AVERAGE(AM51:AX51),'Dept. Cost Actuals'!BC246)</f>
        <v>43566.896433265603</v>
      </c>
      <c r="AZ51" s="684">
        <f>IF(AZ$4="forecast",AVERAGE(AN51:AY51),'Dept. Cost Actuals'!BD246)</f>
        <v>43762.228080482186</v>
      </c>
      <c r="BA51" s="684">
        <f>IF(BA$4="forecast",AVERAGE(AO51:AZ51),'Dept. Cost Actuals'!BE246)</f>
        <v>43821.247665892733</v>
      </c>
      <c r="BB51" s="684">
        <f>IF(BB$4="forecast",AVERAGE(AP51:BA51),'Dept. Cost Actuals'!BF246)</f>
        <v>43693.838376090578</v>
      </c>
      <c r="BC51" s="684">
        <f>IF(BC$4="forecast",AVERAGE(AQ51:BB51),'Dept. Cost Actuals'!BG246)</f>
        <v>43574.126512530485</v>
      </c>
      <c r="BD51" s="684">
        <f>IF(BD$4="forecast",AVERAGE(AR51:BC51),'Dept. Cost Actuals'!BH246)</f>
        <v>43505.599210765307</v>
      </c>
      <c r="BE51" s="684">
        <f>IF(BE$4="forecast",AVERAGE(AS51:BD51),'Dept. Cost Actuals'!BI246)</f>
        <v>43487.531757924458</v>
      </c>
      <c r="BF51" s="684">
        <f>IF(BF$4="forecast",AVERAGE(AT51:BE51),'Dept. Cost Actuals'!BJ246)</f>
        <v>43499.886401757612</v>
      </c>
      <c r="BG51" s="684">
        <f>IF(BG$4="forecast",AVERAGE(AU51:BF51),'Dept. Cost Actuals'!BK246)</f>
        <v>43527.199237910689</v>
      </c>
      <c r="BH51" s="684">
        <f>IF(BH$4="forecast",AVERAGE(AV51:BG51),'Dept. Cost Actuals'!BL246)</f>
        <v>43551.217780077081</v>
      </c>
      <c r="BI51" s="684">
        <f>IF(BI$4="forecast",AVERAGE(AW51:BH51),'Dept. Cost Actuals'!BM246)</f>
        <v>43571.203306785712</v>
      </c>
      <c r="BJ51" s="684">
        <f>IF(BJ$4="forecast",AVERAGE(AX51:BI51),'Dept. Cost Actuals'!BN246)</f>
        <v>43586.316853361917</v>
      </c>
      <c r="BK51" s="684">
        <f>IF(BK$4="forecast",AVERAGE(AY51:BJ51),'Dept. Cost Actuals'!BO246)</f>
        <v>43595.607634737025</v>
      </c>
      <c r="BL51" s="684">
        <f>IF(BL$4="forecast",AVERAGE(AZ51:BK51),'Dept. Cost Actuals'!#REF!)</f>
        <v>43598.000234859646</v>
      </c>
      <c r="BM51" s="684">
        <f>IF(BM$4="forecast",AVERAGE(BA51:BL51),'Dept. Cost Actuals'!#REF!)</f>
        <v>43584.31458105777</v>
      </c>
      <c r="BN51" s="684">
        <f>IF(BN$4="forecast",AVERAGE(BB51:BM51),'Dept. Cost Actuals'!#REF!)</f>
        <v>43564.570157321519</v>
      </c>
      <c r="BO51" s="684">
        <f>IF(BO$4="forecast",AVERAGE(BC51:BN51),'Dept. Cost Actuals'!#REF!)</f>
        <v>43553.797805757429</v>
      </c>
      <c r="BP51" s="684">
        <f>IF(BP$4="forecast",AVERAGE(BD51:BO51),'Dept. Cost Actuals'!#REF!)</f>
        <v>43552.103746859684</v>
      </c>
      <c r="BQ51" s="684">
        <f>IF(BQ$4="forecast",AVERAGE(BE51:BP51),'Dept. Cost Actuals'!#REF!)</f>
        <v>43555.979124867546</v>
      </c>
      <c r="BR51" s="684">
        <f>IF(BR$4="forecast",AVERAGE(BF51:BQ51),'Dept. Cost Actuals'!#REF!)</f>
        <v>43561.683072112799</v>
      </c>
      <c r="BS51" s="684">
        <f>IF(BS$4="forecast",AVERAGE(BG51:BR51),'Dept. Cost Actuals'!#REF!)</f>
        <v>43566.832794642403</v>
      </c>
      <c r="BT51" s="684">
        <f>IF(BT$4="forecast",AVERAGE(BH51:BS51),'Dept. Cost Actuals'!#REF!)</f>
        <v>43570.135591036713</v>
      </c>
      <c r="BU51" s="684">
        <f>IF(BU$4="forecast",AVERAGE(BI51:BT51),'Dept. Cost Actuals'!#REF!)</f>
        <v>43571.712075283351</v>
      </c>
      <c r="BV51" s="808">
        <f>IF(BV$4="forecast",AVERAGE(BJ51:BU51),'Dept. Cost Actuals'!#REF!)</f>
        <v>43571.754472658147</v>
      </c>
    </row>
    <row r="52" spans="2:74" x14ac:dyDescent="0.35">
      <c r="B52" s="812" t="s">
        <v>1287</v>
      </c>
      <c r="C52" s="684">
        <f>IF(C$4="forecast",AVERAGE(#REF!),'Dept. Cost Actuals'!G247)</f>
        <v>0</v>
      </c>
      <c r="D52" s="684">
        <f>IF(D$4="forecast",AVERAGE(#REF!),'Dept. Cost Actuals'!H247)</f>
        <v>0</v>
      </c>
      <c r="E52" s="684">
        <f>IF(E$4="forecast",AVERAGE(#REF!),'Dept. Cost Actuals'!I247)</f>
        <v>0</v>
      </c>
      <c r="F52" s="684">
        <f>IF(F$4="forecast",AVERAGE(#REF!),'Dept. Cost Actuals'!J247)</f>
        <v>0</v>
      </c>
      <c r="G52" s="684">
        <f>IF(G$4="forecast",AVERAGE(#REF!),'Dept. Cost Actuals'!K247)</f>
        <v>0</v>
      </c>
      <c r="H52" s="684">
        <f>IF(H$4="forecast",AVERAGE(#REF!),'Dept. Cost Actuals'!L247)</f>
        <v>0</v>
      </c>
      <c r="I52" s="684">
        <f>IF(I$4="forecast",AVERAGE(#REF!),'Dept. Cost Actuals'!M247)</f>
        <v>0</v>
      </c>
      <c r="J52" s="684">
        <f>IF(J$4="forecast",AVERAGE(#REF!),'Dept. Cost Actuals'!N247)</f>
        <v>0</v>
      </c>
      <c r="K52" s="684">
        <f>IF(K$4="forecast",AVERAGE(#REF!),'Dept. Cost Actuals'!O247)</f>
        <v>0</v>
      </c>
      <c r="L52" s="684">
        <f>IF(L$4="forecast",AVERAGE(#REF!),'Dept. Cost Actuals'!P247)</f>
        <v>0</v>
      </c>
      <c r="M52" s="684">
        <f>IF(M$4="forecast",AVERAGE(#REF!),'Dept. Cost Actuals'!Q247)</f>
        <v>0</v>
      </c>
      <c r="N52" s="684">
        <f>IF(N$4="forecast",AVERAGE(#REF!),'Dept. Cost Actuals'!R247)</f>
        <v>0</v>
      </c>
      <c r="O52" s="684">
        <f>IF(O$4="forecast",AVERAGE(C52:N52),'Dept. Cost Actuals'!S247)</f>
        <v>0</v>
      </c>
      <c r="P52" s="684">
        <f>IF(P$4="forecast",AVERAGE(D52:O52),'Dept. Cost Actuals'!T247)</f>
        <v>0</v>
      </c>
      <c r="Q52" s="684">
        <f>IF(Q$4="forecast",AVERAGE(E52:P52),'Dept. Cost Actuals'!U247)</f>
        <v>0</v>
      </c>
      <c r="R52" s="684">
        <f>IF(R$4="forecast",AVERAGE(F52:Q52),'Dept. Cost Actuals'!V247)</f>
        <v>0</v>
      </c>
      <c r="S52" s="684">
        <f>IF(S$4="forecast",AVERAGE(G52:R52),'Dept. Cost Actuals'!W247)</f>
        <v>0</v>
      </c>
      <c r="T52" s="684">
        <f>IF(T$4="forecast",AVERAGE(H52:S52),'Dept. Cost Actuals'!X247)</f>
        <v>0</v>
      </c>
      <c r="U52" s="684">
        <f>IF(U$4="forecast",AVERAGE(I52:T52),'Dept. Cost Actuals'!Y247)</f>
        <v>0</v>
      </c>
      <c r="V52" s="684">
        <f>IF(V$4="forecast",AVERAGE(J52:U52),'Dept. Cost Actuals'!Z247)</f>
        <v>0</v>
      </c>
      <c r="W52" s="684">
        <f>IF(W$4="forecast",AVERAGE(K52:V52),'Dept. Cost Actuals'!AA247)</f>
        <v>0</v>
      </c>
      <c r="X52" s="684">
        <f>IF(X$4="forecast",AVERAGE(L52:W52),'Dept. Cost Actuals'!AB247)</f>
        <v>0</v>
      </c>
      <c r="Y52" s="684">
        <f>IF(Y$4="forecast",AVERAGE(M52:X52),'Dept. Cost Actuals'!AC247)</f>
        <v>0</v>
      </c>
      <c r="Z52" s="684">
        <f>IF(Z$4="forecast",AVERAGE(N52:Y52),'Dept. Cost Actuals'!AD247)</f>
        <v>0</v>
      </c>
      <c r="AA52" s="684">
        <f>IF(AA$4="forecast",SUMIFS(Planning_Mkt!D$5:D$133,Planning_Mkt!$B$5:$B$133,"Special Projects"),'Dept. Cost Actuals'!AE247)</f>
        <v>0</v>
      </c>
      <c r="AB52" s="684">
        <f>IF(AB$4="forecast",SUMIFS(Planning_Mkt!E$5:E$133,Planning_Mkt!$B$5:$B$133,"Special Projects"),'Dept. Cost Actuals'!AF247)</f>
        <v>0</v>
      </c>
      <c r="AC52" s="684">
        <f>IF(AC$4="forecast",SUMIFS(Planning_Mkt!F$5:F$133,Planning_Mkt!$B$5:$B$133,"Special Projects"),'Dept. Cost Actuals'!AG247)</f>
        <v>18000</v>
      </c>
      <c r="AD52" s="684">
        <f>IF(AD$4="forecast",SUMIFS(Planning_Mkt!G$5:G$133,Planning_Mkt!$B$5:$B$133,"Special Projects"),'Dept. Cost Actuals'!AH247)</f>
        <v>54000</v>
      </c>
      <c r="AE52" s="684">
        <f>IF(AE$4="forecast",SUMIFS(Planning_Mkt!H$5:H$133,Planning_Mkt!$B$5:$B$133,"Special Projects"),'Dept. Cost Actuals'!AI247)</f>
        <v>6000</v>
      </c>
      <c r="AF52" s="684">
        <f>IF(AF$4="forecast",SUMIFS(Planning_Mkt!I$5:I$133,Planning_Mkt!$B$5:$B$133,"Special Projects"),'Dept. Cost Actuals'!AJ247)</f>
        <v>38500</v>
      </c>
      <c r="AG52" s="684">
        <f>IF(AG$4="forecast",SUMIFS(Planning_Mkt!J$5:J$133,Planning_Mkt!$B$5:$B$133,"Special Projects"),'Dept. Cost Actuals'!AK247)</f>
        <v>104000</v>
      </c>
      <c r="AH52" s="684">
        <f>IF(AH$4="forecast",SUMIFS(Planning_Mkt!K$5:K$133,Planning_Mkt!$B$5:$B$133,"Special Projects"),'Dept. Cost Actuals'!AL247)</f>
        <v>6000</v>
      </c>
      <c r="AI52" s="684">
        <f>IF(AI$4="forecast",SUMIFS(Planning_Mkt!L$5:L$133,Planning_Mkt!$B$5:$B$133,"Special Projects"),'Dept. Cost Actuals'!AM247)</f>
        <v>26000</v>
      </c>
      <c r="AJ52" s="684">
        <f>IF(AJ$4="forecast",SUMIFS(Planning_Mkt!M$5:M$133,Planning_Mkt!$B$5:$B$133,"Special Projects"),'Dept. Cost Actuals'!AN247)</f>
        <v>76000</v>
      </c>
      <c r="AK52" s="684">
        <f>IF(AK$4="forecast",SUMIFS(Planning_Mkt!N$5:N$133,Planning_Mkt!$B$5:$B$133,"Special Projects"),'Dept. Cost Actuals'!AO247)</f>
        <v>6000</v>
      </c>
      <c r="AL52" s="684">
        <f>IF(AL$4="forecast",SUMIFS(Planning_Mkt!O$5:O$133,Planning_Mkt!$B$5:$B$133,"Special Projects"),'Dept. Cost Actuals'!AP247)</f>
        <v>4500</v>
      </c>
      <c r="AM52" s="684">
        <f>IF(AM$4="forecast",AVERAGE(AA52:AL52),'Dept. Cost Actuals'!AQ247)</f>
        <v>28250</v>
      </c>
      <c r="AN52" s="684">
        <f>IF(AN$4="forecast",AVERAGE(AB52:AM52),'Dept. Cost Actuals'!AR247)</f>
        <v>30604.166666666668</v>
      </c>
      <c r="AO52" s="684">
        <f>IF(AO$4="forecast",AVERAGE(AC52:AN52),'Dept. Cost Actuals'!AS247)</f>
        <v>33154.513888888891</v>
      </c>
      <c r="AP52" s="684">
        <f>IF(AP$4="forecast",AVERAGE(AD52:AO52),'Dept. Cost Actuals'!AT247)</f>
        <v>34417.390046296299</v>
      </c>
      <c r="AQ52" s="684">
        <f>IF(AQ$4="forecast",AVERAGE(AE52:AP52),'Dept. Cost Actuals'!AU247)</f>
        <v>32785.505883487655</v>
      </c>
      <c r="AR52" s="684">
        <f>IF(AR$4="forecast",AVERAGE(AF52:AQ52),'Dept. Cost Actuals'!AV247)</f>
        <v>35017.631373778291</v>
      </c>
      <c r="AS52" s="684">
        <f>IF(AS$4="forecast",AVERAGE(AG52:AR52),'Dept. Cost Actuals'!AW247)</f>
        <v>34727.433988259814</v>
      </c>
      <c r="AT52" s="684">
        <f>IF(AT$4="forecast",AVERAGE(AH52:AS52),'Dept. Cost Actuals'!AX247)</f>
        <v>28954.720153948132</v>
      </c>
      <c r="AU52" s="684">
        <f>IF(AU$4="forecast",AVERAGE(AI52:AT52),'Dept. Cost Actuals'!AY247)</f>
        <v>30867.613500110474</v>
      </c>
      <c r="AV52" s="684">
        <f>IF(AV$4="forecast",AVERAGE(AJ52:AU52),'Dept. Cost Actuals'!AZ247)</f>
        <v>31273.247958453012</v>
      </c>
      <c r="AW52" s="684">
        <f>IF(AW$4="forecast",AVERAGE(AK52:AV52),'Dept. Cost Actuals'!BA247)</f>
        <v>27546.018621657433</v>
      </c>
      <c r="AX52" s="684">
        <f>IF(AX$4="forecast",AVERAGE(AL52:AW52),'Dept. Cost Actuals'!BB247)</f>
        <v>29341.520173462221</v>
      </c>
      <c r="AY52" s="684">
        <f>IF(AY$4="forecast",AVERAGE(AM52:AX52),'Dept. Cost Actuals'!BC247)</f>
        <v>31411.646854584073</v>
      </c>
      <c r="AZ52" s="684">
        <f>IF(AZ$4="forecast",AVERAGE(AN52:AY52),'Dept. Cost Actuals'!BD247)</f>
        <v>31675.117425799413</v>
      </c>
      <c r="BA52" s="684">
        <f>IF(BA$4="forecast",AVERAGE(AO52:AZ52),'Dept. Cost Actuals'!BE247)</f>
        <v>31764.363322393809</v>
      </c>
      <c r="BB52" s="684">
        <f>IF(BB$4="forecast",AVERAGE(AP52:BA52),'Dept. Cost Actuals'!BF247)</f>
        <v>31648.517441852553</v>
      </c>
      <c r="BC52" s="684">
        <f>IF(BC$4="forecast",AVERAGE(AQ52:BB52),'Dept. Cost Actuals'!BG247)</f>
        <v>31417.778058148906</v>
      </c>
      <c r="BD52" s="684">
        <f>IF(BD$4="forecast",AVERAGE(AR52:BC52),'Dept. Cost Actuals'!BH247)</f>
        <v>31303.800739370676</v>
      </c>
      <c r="BE52" s="684">
        <f>IF(BE$4="forecast",AVERAGE(AS52:BD52),'Dept. Cost Actuals'!BI247)</f>
        <v>30994.314853170043</v>
      </c>
      <c r="BF52" s="684">
        <f>IF(BF$4="forecast",AVERAGE(AT52:BE52),'Dept. Cost Actuals'!BJ247)</f>
        <v>30683.221591912559</v>
      </c>
      <c r="BG52" s="684">
        <f>IF(BG$4="forecast",AVERAGE(AU52:BF52),'Dept. Cost Actuals'!BK247)</f>
        <v>30827.2633784096</v>
      </c>
      <c r="BH52" s="684">
        <f>IF(BH$4="forecast",AVERAGE(AV52:BG52),'Dept. Cost Actuals'!BL247)</f>
        <v>30823.900868267865</v>
      </c>
      <c r="BI52" s="684">
        <f>IF(BI$4="forecast",AVERAGE(AW52:BH52),'Dept. Cost Actuals'!BM247)</f>
        <v>30786.455277419096</v>
      </c>
      <c r="BJ52" s="684">
        <f>IF(BJ$4="forecast",AVERAGE(AX52:BI52),'Dept. Cost Actuals'!BN247)</f>
        <v>31056.491665399237</v>
      </c>
      <c r="BK52" s="684">
        <f>IF(BK$4="forecast",AVERAGE(AY52:BJ52),'Dept. Cost Actuals'!BO247)</f>
        <v>31199.405956393985</v>
      </c>
      <c r="BL52" s="684">
        <f>IF(BL$4="forecast",AVERAGE(AZ52:BK52),'Dept. Cost Actuals'!#REF!)</f>
        <v>31181.719214878143</v>
      </c>
      <c r="BM52" s="684">
        <f>IF(BM$4="forecast",AVERAGE(BA52:BL52),'Dept. Cost Actuals'!#REF!)</f>
        <v>31140.602697301376</v>
      </c>
      <c r="BN52" s="684">
        <f>IF(BN$4="forecast",AVERAGE(BB52:BM52),'Dept. Cost Actuals'!#REF!)</f>
        <v>31088.62264521034</v>
      </c>
      <c r="BO52" s="684">
        <f>IF(BO$4="forecast",AVERAGE(BC52:BN52),'Dept. Cost Actuals'!#REF!)</f>
        <v>31041.964745490157</v>
      </c>
      <c r="BP52" s="684">
        <f>IF(BP$4="forecast",AVERAGE(BD52:BO52),'Dept. Cost Actuals'!#REF!)</f>
        <v>31010.646969435256</v>
      </c>
      <c r="BQ52" s="684">
        <f>IF(BQ$4="forecast",AVERAGE(BE52:BP52),'Dept. Cost Actuals'!#REF!)</f>
        <v>30986.217488607308</v>
      </c>
      <c r="BR52" s="684">
        <f>IF(BR$4="forecast",AVERAGE(BF52:BQ52),'Dept. Cost Actuals'!#REF!)</f>
        <v>30985.54270822708</v>
      </c>
      <c r="BS52" s="684">
        <f>IF(BS$4="forecast",AVERAGE(BG52:BR52),'Dept. Cost Actuals'!#REF!)</f>
        <v>31010.736134586619</v>
      </c>
      <c r="BT52" s="684">
        <f>IF(BT$4="forecast",AVERAGE(BH52:BS52),'Dept. Cost Actuals'!#REF!)</f>
        <v>31026.025530934709</v>
      </c>
      <c r="BU52" s="684">
        <f>IF(BU$4="forecast",AVERAGE(BI52:BT52),'Dept. Cost Actuals'!#REF!)</f>
        <v>31042.86925282361</v>
      </c>
      <c r="BV52" s="808">
        <f>IF(BV$4="forecast",AVERAGE(BJ52:BU52),'Dept. Cost Actuals'!#REF!)</f>
        <v>31064.237084107317</v>
      </c>
    </row>
    <row r="53" spans="2:74" x14ac:dyDescent="0.35">
      <c r="B53" s="812" t="s">
        <v>998</v>
      </c>
      <c r="C53" s="684">
        <f>IF(C$4="forecast",AVERAGE(#REF!),'Dept. Cost Actuals'!G248)</f>
        <v>0</v>
      </c>
      <c r="D53" s="684">
        <f>IF(D$4="forecast",AVERAGE(#REF!),'Dept. Cost Actuals'!H248)</f>
        <v>0</v>
      </c>
      <c r="E53" s="684">
        <f>IF(E$4="forecast",AVERAGE(#REF!),'Dept. Cost Actuals'!I248)</f>
        <v>0</v>
      </c>
      <c r="F53" s="684">
        <f>IF(F$4="forecast",AVERAGE(#REF!),'Dept. Cost Actuals'!J248)</f>
        <v>0</v>
      </c>
      <c r="G53" s="684">
        <f>IF(G$4="forecast",AVERAGE(#REF!),'Dept. Cost Actuals'!K248)</f>
        <v>0</v>
      </c>
      <c r="H53" s="684">
        <f>IF(H$4="forecast",AVERAGE(#REF!),'Dept. Cost Actuals'!L248)</f>
        <v>0</v>
      </c>
      <c r="I53" s="684">
        <f>IF(I$4="forecast",AVERAGE(#REF!),'Dept. Cost Actuals'!M248)</f>
        <v>0</v>
      </c>
      <c r="J53" s="684">
        <f>IF(J$4="forecast",AVERAGE(#REF!),'Dept. Cost Actuals'!N248)</f>
        <v>0</v>
      </c>
      <c r="K53" s="684">
        <f>IF(K$4="forecast",AVERAGE(#REF!),'Dept. Cost Actuals'!O248)</f>
        <v>0</v>
      </c>
      <c r="L53" s="684">
        <f>IF(L$4="forecast",AVERAGE(#REF!),'Dept. Cost Actuals'!P248)</f>
        <v>0</v>
      </c>
      <c r="M53" s="684">
        <f>IF(M$4="forecast",AVERAGE(#REF!),'Dept. Cost Actuals'!Q248)</f>
        <v>0</v>
      </c>
      <c r="N53" s="684">
        <f>IF(N$4="forecast",AVERAGE(#REF!),'Dept. Cost Actuals'!R248)</f>
        <v>0</v>
      </c>
      <c r="O53" s="684">
        <f>IF(O$4="forecast",AVERAGE(C53:N53),'Dept. Cost Actuals'!S248)</f>
        <v>-775</v>
      </c>
      <c r="P53" s="684">
        <f>IF(P$4="forecast",AVERAGE(D53:O53),'Dept. Cost Actuals'!T248)</f>
        <v>71.209999999999994</v>
      </c>
      <c r="Q53" s="684">
        <f>IF(Q$4="forecast",AVERAGE(E53:P53),'Dept. Cost Actuals'!U248)</f>
        <v>0</v>
      </c>
      <c r="R53" s="684">
        <f>IF(R$4="forecast",AVERAGE(F53:Q53),'Dept. Cost Actuals'!V248)</f>
        <v>0</v>
      </c>
      <c r="S53" s="684">
        <f>IF(S$4="forecast",AVERAGE(G53:R53),'Dept. Cost Actuals'!W248)</f>
        <v>0</v>
      </c>
      <c r="T53" s="684">
        <f>IF(T$4="forecast",AVERAGE(H53:S53),'Dept. Cost Actuals'!X248)</f>
        <v>0</v>
      </c>
      <c r="U53" s="684">
        <f>IF(U$4="forecast",AVERAGE(I53:T53),'Dept. Cost Actuals'!Y248)</f>
        <v>0</v>
      </c>
      <c r="V53" s="684">
        <f>IF(V$4="forecast",AVERAGE(J53:U53),'Dept. Cost Actuals'!Z248)</f>
        <v>-13333.33</v>
      </c>
      <c r="W53" s="684">
        <f>IF(W$4="forecast",AVERAGE(K53:V53),'Dept. Cost Actuals'!AA248)</f>
        <v>0</v>
      </c>
      <c r="X53" s="684">
        <f>IF(X$4="forecast",AVERAGE(L53:W53),'Dept. Cost Actuals'!AB248)</f>
        <v>0</v>
      </c>
      <c r="Y53" s="684">
        <f>IF(Y$4="forecast",AVERAGE(M53:X53),'Dept. Cost Actuals'!AC248)</f>
        <v>0</v>
      </c>
      <c r="Z53" s="684">
        <f>IF(Z$4="forecast",AVERAGE(N53:Y53),'Dept. Cost Actuals'!AD248)</f>
        <v>0</v>
      </c>
      <c r="AA53" s="684">
        <f>IF(AA$4="forecast",SUMIFS(Planning_Mkt!D$5:D$133,Planning_Mkt!$B$5:$B$133,"Marketing - Other"),'Dept. Cost Actuals'!AE248)</f>
        <v>0</v>
      </c>
      <c r="AB53" s="684">
        <f>IF(AB$4="forecast",SUMIFS(Planning_Mkt!E$5:E$133,Planning_Mkt!$B$5:$B$133,"Marketing - Other"),'Dept. Cost Actuals'!AF248)</f>
        <v>0</v>
      </c>
      <c r="AC53" s="684">
        <f>IF(AC$4="forecast",SUMIFS(Planning_Mkt!F$5:F$133,Planning_Mkt!$B$5:$B$133,"Marketing - Other"),'Dept. Cost Actuals'!AG248)</f>
        <v>0</v>
      </c>
      <c r="AD53" s="684">
        <f>IF(AD$4="forecast",SUMIFS(Planning_Mkt!G$5:G$133,Planning_Mkt!$B$5:$B$133,"Marketing - Other"),'Dept. Cost Actuals'!AH248)</f>
        <v>0</v>
      </c>
      <c r="AE53" s="684">
        <f>IF(AE$4="forecast",SUMIFS(Planning_Mkt!H$5:H$133,Planning_Mkt!$B$5:$B$133,"Marketing - Other"),'Dept. Cost Actuals'!AI248)</f>
        <v>300</v>
      </c>
      <c r="AF53" s="684">
        <f>IF(AF$4="forecast",SUMIFS(Planning_Mkt!I$5:I$133,Planning_Mkt!$B$5:$B$133,"Marketing - Other"),'Dept. Cost Actuals'!AJ248)</f>
        <v>0</v>
      </c>
      <c r="AG53" s="684">
        <f>IF(AG$4="forecast",SUMIFS(Planning_Mkt!J$5:J$133,Planning_Mkt!$B$5:$B$133,"Marketing - Other"),'Dept. Cost Actuals'!AK248)</f>
        <v>0</v>
      </c>
      <c r="AH53" s="684">
        <f>IF(AH$4="forecast",SUMIFS(Planning_Mkt!K$5:K$133,Planning_Mkt!$B$5:$B$133,"Marketing - Other"),'Dept. Cost Actuals'!AL248)</f>
        <v>0</v>
      </c>
      <c r="AI53" s="684">
        <f>IF(AI$4="forecast",SUMIFS(Planning_Mkt!L$5:L$133,Planning_Mkt!$B$5:$B$133,"Marketing - Other"),'Dept. Cost Actuals'!AM248)</f>
        <v>0</v>
      </c>
      <c r="AJ53" s="684">
        <f>IF(AJ$4="forecast",SUMIFS(Planning_Mkt!M$5:M$133,Planning_Mkt!$B$5:$B$133,"Marketing - Other"),'Dept. Cost Actuals'!AN248)</f>
        <v>0</v>
      </c>
      <c r="AK53" s="684">
        <f>IF(AK$4="forecast",SUMIFS(Planning_Mkt!N$5:N$133,Planning_Mkt!$B$5:$B$133,"Marketing - Other"),'Dept. Cost Actuals'!AO248)</f>
        <v>0</v>
      </c>
      <c r="AL53" s="684">
        <f>IF(AL$4="forecast",SUMIFS(Planning_Mkt!O$5:O$133,Planning_Mkt!$B$5:$B$133,"Marketing - Other"),'Dept. Cost Actuals'!AP248)</f>
        <v>0</v>
      </c>
      <c r="AM53" s="684">
        <f>IF(AM$4="forecast",AVERAGE(AA53:AL53),'Dept. Cost Actuals'!AQ248)</f>
        <v>25</v>
      </c>
      <c r="AN53" s="684">
        <f>IF(AN$4="forecast",AVERAGE(AB53:AM53),'Dept. Cost Actuals'!AR248)</f>
        <v>27.083333333333332</v>
      </c>
      <c r="AO53" s="684">
        <f>IF(AO$4="forecast",AVERAGE(AC53:AN53),'Dept. Cost Actuals'!AS248)</f>
        <v>29.340277777777775</v>
      </c>
      <c r="AP53" s="684">
        <f>IF(AP$4="forecast",AVERAGE(AD53:AO53),'Dept. Cost Actuals'!AT248)</f>
        <v>31.785300925925924</v>
      </c>
      <c r="AQ53" s="684">
        <f>IF(AQ$4="forecast",AVERAGE(AE53:AP53),'Dept. Cost Actuals'!AU248)</f>
        <v>34.434076003086417</v>
      </c>
      <c r="AR53" s="684">
        <f>IF(AR$4="forecast",AVERAGE(AF53:AQ53),'Dept. Cost Actuals'!AV248)</f>
        <v>12.303582336676953</v>
      </c>
      <c r="AS53" s="684">
        <f>IF(AS$4="forecast",AVERAGE(AG53:AR53),'Dept. Cost Actuals'!AW248)</f>
        <v>13.328880864733366</v>
      </c>
      <c r="AT53" s="684">
        <f>IF(AT$4="forecast",AVERAGE(AH53:AS53),'Dept. Cost Actuals'!AX248)</f>
        <v>14.439620936794482</v>
      </c>
      <c r="AU53" s="684">
        <f>IF(AU$4="forecast",AVERAGE(AI53:AT53),'Dept. Cost Actuals'!AY248)</f>
        <v>15.642922681527354</v>
      </c>
      <c r="AV53" s="684">
        <f>IF(AV$4="forecast",AVERAGE(AJ53:AU53),'Dept. Cost Actuals'!AZ248)</f>
        <v>16.946499571654634</v>
      </c>
      <c r="AW53" s="684">
        <f>IF(AW$4="forecast",AVERAGE(AK53:AV53),'Dept. Cost Actuals'!BA248)</f>
        <v>18.35870786929252</v>
      </c>
      <c r="AX53" s="684">
        <f>IF(AX$4="forecast",AVERAGE(AL53:AW53),'Dept. Cost Actuals'!BB248)</f>
        <v>19.888600191733563</v>
      </c>
      <c r="AY53" s="684">
        <f>IF(AY$4="forecast",AVERAGE(AM53:AX53),'Dept. Cost Actuals'!BC248)</f>
        <v>21.545983541044695</v>
      </c>
      <c r="AZ53" s="684">
        <f>IF(AZ$4="forecast",AVERAGE(AN53:AY53),'Dept. Cost Actuals'!BD248)</f>
        <v>21.258148836131756</v>
      </c>
      <c r="BA53" s="684">
        <f>IF(BA$4="forecast",AVERAGE(AO53:AZ53),'Dept. Cost Actuals'!BE248)</f>
        <v>20.772716794698287</v>
      </c>
      <c r="BB53" s="684">
        <f>IF(BB$4="forecast",AVERAGE(AP53:BA53),'Dept. Cost Actuals'!BF248)</f>
        <v>20.058753379441665</v>
      </c>
      <c r="BC53" s="684">
        <f>IF(BC$4="forecast",AVERAGE(AQ53:BB53),'Dept. Cost Actuals'!BG248)</f>
        <v>19.08154108390131</v>
      </c>
      <c r="BD53" s="684">
        <f>IF(BD$4="forecast",AVERAGE(AR53:BC53),'Dept. Cost Actuals'!BH248)</f>
        <v>17.802163173969216</v>
      </c>
      <c r="BE53" s="684">
        <f>IF(BE$4="forecast",AVERAGE(AS53:BD53),'Dept. Cost Actuals'!BI248)</f>
        <v>18.26037824374357</v>
      </c>
      <c r="BF53" s="684">
        <f>IF(BF$4="forecast",AVERAGE(AT53:BE53),'Dept. Cost Actuals'!BJ248)</f>
        <v>18.671336358661083</v>
      </c>
      <c r="BG53" s="684">
        <f>IF(BG$4="forecast",AVERAGE(AU53:BF53),'Dept. Cost Actuals'!BK248)</f>
        <v>19.023979310483302</v>
      </c>
      <c r="BH53" s="684">
        <f>IF(BH$4="forecast",AVERAGE(AV53:BG53),'Dept. Cost Actuals'!BL248)</f>
        <v>19.305734029562963</v>
      </c>
      <c r="BI53" s="684">
        <f>IF(BI$4="forecast",AVERAGE(AW53:BH53),'Dept. Cost Actuals'!BM248)</f>
        <v>19.502336901055326</v>
      </c>
      <c r="BJ53" s="684">
        <f>IF(BJ$4="forecast",AVERAGE(AX53:BI53),'Dept. Cost Actuals'!BN248)</f>
        <v>19.597639320368891</v>
      </c>
      <c r="BK53" s="684">
        <f>IF(BK$4="forecast",AVERAGE(AY53:BJ53),'Dept. Cost Actuals'!BO248)</f>
        <v>19.573392581088505</v>
      </c>
      <c r="BL53" s="684">
        <f>IF(BL$4="forecast",AVERAGE(AZ53:BK53),'Dept. Cost Actuals'!#REF!)</f>
        <v>19.409010001092156</v>
      </c>
      <c r="BM53" s="684">
        <f>IF(BM$4="forecast",AVERAGE(BA53:BL53),'Dept. Cost Actuals'!#REF!)</f>
        <v>19.254915098172191</v>
      </c>
      <c r="BN53" s="684">
        <f>IF(BN$4="forecast",AVERAGE(BB53:BM53),'Dept. Cost Actuals'!#REF!)</f>
        <v>19.12843162346168</v>
      </c>
      <c r="BO53" s="684">
        <f>IF(BO$4="forecast",AVERAGE(BC53:BN53),'Dept. Cost Actuals'!#REF!)</f>
        <v>19.050904810463347</v>
      </c>
      <c r="BP53" s="684">
        <f>IF(BP$4="forecast",AVERAGE(BD53:BO53),'Dept. Cost Actuals'!#REF!)</f>
        <v>19.04835178767685</v>
      </c>
      <c r="BQ53" s="684">
        <f>IF(BQ$4="forecast",AVERAGE(BE53:BP53),'Dept. Cost Actuals'!#REF!)</f>
        <v>19.152200838819155</v>
      </c>
      <c r="BR53" s="684">
        <f>IF(BR$4="forecast",AVERAGE(BF53:BQ53),'Dept. Cost Actuals'!#REF!)</f>
        <v>19.226519388408789</v>
      </c>
      <c r="BS53" s="684">
        <f>IF(BS$4="forecast",AVERAGE(BG53:BR53),'Dept. Cost Actuals'!#REF!)</f>
        <v>19.272784640887764</v>
      </c>
      <c r="BT53" s="684">
        <f>IF(BT$4="forecast",AVERAGE(BH53:BS53),'Dept. Cost Actuals'!#REF!)</f>
        <v>19.293518418421471</v>
      </c>
      <c r="BU53" s="684">
        <f>IF(BU$4="forecast",AVERAGE(BI53:BT53),'Dept. Cost Actuals'!#REF!)</f>
        <v>19.292500450826349</v>
      </c>
      <c r="BV53" s="808">
        <f>IF(BV$4="forecast",AVERAGE(BJ53:BU53),'Dept. Cost Actuals'!#REF!)</f>
        <v>19.275014079973932</v>
      </c>
    </row>
    <row r="54" spans="2:74" x14ac:dyDescent="0.35">
      <c r="B54" s="818" t="s">
        <v>1068</v>
      </c>
      <c r="C54" s="819">
        <f>SUM(C43:C53,)</f>
        <v>91250.8</v>
      </c>
      <c r="D54" s="819">
        <f t="shared" ref="D54:BO54" si="11">SUM(D43:D53,)</f>
        <v>137787.19999999998</v>
      </c>
      <c r="E54" s="819">
        <f t="shared" si="11"/>
        <v>162742.02000000002</v>
      </c>
      <c r="F54" s="819">
        <f t="shared" si="11"/>
        <v>151877.41</v>
      </c>
      <c r="G54" s="819">
        <f t="shared" si="11"/>
        <v>115310.32</v>
      </c>
      <c r="H54" s="819">
        <f t="shared" si="11"/>
        <v>133316.34</v>
      </c>
      <c r="I54" s="819">
        <f t="shared" si="11"/>
        <v>125631.40000000001</v>
      </c>
      <c r="J54" s="819">
        <f t="shared" si="11"/>
        <v>142464.76</v>
      </c>
      <c r="K54" s="819">
        <f t="shared" si="11"/>
        <v>143788.80000000005</v>
      </c>
      <c r="L54" s="819">
        <f t="shared" si="11"/>
        <v>156742.78</v>
      </c>
      <c r="M54" s="819">
        <f t="shared" si="11"/>
        <v>88581.16</v>
      </c>
      <c r="N54" s="819">
        <f t="shared" si="11"/>
        <v>60219.11</v>
      </c>
      <c r="O54" s="819">
        <f t="shared" si="11"/>
        <v>253256.75</v>
      </c>
      <c r="P54" s="819">
        <f t="shared" si="11"/>
        <v>176428.62999999998</v>
      </c>
      <c r="Q54" s="819">
        <f t="shared" si="11"/>
        <v>245214.31</v>
      </c>
      <c r="R54" s="819">
        <f t="shared" si="11"/>
        <v>235310.52000000002</v>
      </c>
      <c r="S54" s="819">
        <f t="shared" si="11"/>
        <v>270919.63</v>
      </c>
      <c r="T54" s="819">
        <f t="shared" si="11"/>
        <v>441594.77</v>
      </c>
      <c r="U54" s="819">
        <f t="shared" si="11"/>
        <v>690294.7</v>
      </c>
      <c r="V54" s="819">
        <f t="shared" si="11"/>
        <v>648530.91</v>
      </c>
      <c r="W54" s="819">
        <f t="shared" si="11"/>
        <v>424936.93</v>
      </c>
      <c r="X54" s="819">
        <f t="shared" si="11"/>
        <v>380685.58</v>
      </c>
      <c r="Y54" s="819">
        <f t="shared" si="11"/>
        <v>414441.6</v>
      </c>
      <c r="Z54" s="819">
        <f t="shared" si="11"/>
        <v>336322.19</v>
      </c>
      <c r="AA54" s="819">
        <f t="shared" si="11"/>
        <v>274333.32999999996</v>
      </c>
      <c r="AB54" s="819">
        <f t="shared" si="11"/>
        <v>335583.33</v>
      </c>
      <c r="AC54" s="819">
        <f t="shared" si="11"/>
        <v>652756.32999999996</v>
      </c>
      <c r="AD54" s="819">
        <f t="shared" si="11"/>
        <v>804706.33</v>
      </c>
      <c r="AE54" s="819">
        <f t="shared" si="11"/>
        <v>720553.83</v>
      </c>
      <c r="AF54" s="819">
        <f t="shared" si="11"/>
        <v>713588.83</v>
      </c>
      <c r="AG54" s="819">
        <f t="shared" si="11"/>
        <v>735213.83</v>
      </c>
      <c r="AH54" s="819">
        <f t="shared" si="11"/>
        <v>540138.83000000007</v>
      </c>
      <c r="AI54" s="819">
        <f t="shared" si="11"/>
        <v>560138.83000000007</v>
      </c>
      <c r="AJ54" s="819">
        <f t="shared" si="11"/>
        <v>650238.83000000007</v>
      </c>
      <c r="AK54" s="819">
        <f t="shared" si="11"/>
        <v>540138.83000000007</v>
      </c>
      <c r="AL54" s="819">
        <f t="shared" si="11"/>
        <v>538638.83000000007</v>
      </c>
      <c r="AM54" s="819">
        <f t="shared" si="11"/>
        <v>512085.83</v>
      </c>
      <c r="AN54" s="819">
        <f t="shared" si="11"/>
        <v>518148.53833333333</v>
      </c>
      <c r="AO54" s="819">
        <f t="shared" si="11"/>
        <v>525028.97236111108</v>
      </c>
      <c r="AP54" s="819">
        <f t="shared" si="11"/>
        <v>525101.69255787041</v>
      </c>
      <c r="AQ54" s="819">
        <f t="shared" si="11"/>
        <v>520851.30610435957</v>
      </c>
      <c r="AR54" s="819">
        <f t="shared" si="11"/>
        <v>523676.09577972285</v>
      </c>
      <c r="AS54" s="819">
        <f t="shared" si="11"/>
        <v>521483.36792803311</v>
      </c>
      <c r="AT54" s="819">
        <f t="shared" si="11"/>
        <v>513139.16275536921</v>
      </c>
      <c r="AU54" s="819">
        <f t="shared" si="11"/>
        <v>516189.19048498326</v>
      </c>
      <c r="AV54" s="819">
        <f t="shared" si="11"/>
        <v>517826.72052539856</v>
      </c>
      <c r="AW54" s="819">
        <f t="shared" si="11"/>
        <v>512092.37806918181</v>
      </c>
      <c r="AX54" s="819">
        <f t="shared" si="11"/>
        <v>515055.17374161357</v>
      </c>
      <c r="AY54" s="819">
        <f t="shared" si="11"/>
        <v>518389.86905341467</v>
      </c>
      <c r="AZ54" s="819">
        <f t="shared" si="11"/>
        <v>518915.20564119931</v>
      </c>
      <c r="BA54" s="819">
        <f t="shared" si="11"/>
        <v>518979.09458352136</v>
      </c>
      <c r="BB54" s="819">
        <f t="shared" si="11"/>
        <v>518474.93810205563</v>
      </c>
      <c r="BC54" s="819">
        <f t="shared" si="11"/>
        <v>517922.70856407116</v>
      </c>
      <c r="BD54" s="819">
        <f t="shared" si="11"/>
        <v>517678.65876904706</v>
      </c>
      <c r="BE54" s="819">
        <f t="shared" si="11"/>
        <v>517178.87235149078</v>
      </c>
      <c r="BF54" s="819">
        <f t="shared" si="11"/>
        <v>516820.16438677884</v>
      </c>
      <c r="BG54" s="819">
        <f t="shared" si="11"/>
        <v>517126.91452272964</v>
      </c>
      <c r="BH54" s="819">
        <f t="shared" si="11"/>
        <v>517205.05819254188</v>
      </c>
      <c r="BI54" s="819">
        <f t="shared" si="11"/>
        <v>517153.25299813715</v>
      </c>
      <c r="BJ54" s="819">
        <f t="shared" si="11"/>
        <v>517574.99257555004</v>
      </c>
      <c r="BK54" s="819">
        <f t="shared" si="11"/>
        <v>117784.97747837813</v>
      </c>
      <c r="BL54" s="819">
        <f t="shared" si="11"/>
        <v>117734.56984712509</v>
      </c>
      <c r="BM54" s="819">
        <f t="shared" si="11"/>
        <v>117636.18353095223</v>
      </c>
      <c r="BN54" s="819">
        <f t="shared" si="11"/>
        <v>117524.27427657148</v>
      </c>
      <c r="BO54" s="819">
        <f t="shared" si="11"/>
        <v>117445.05229111445</v>
      </c>
      <c r="BP54" s="819">
        <f t="shared" ref="BP54:BV54" si="12">SUM(BP43:BP53,)</f>
        <v>117405.2476017014</v>
      </c>
      <c r="BQ54" s="819">
        <f t="shared" si="12"/>
        <v>117382.46333775592</v>
      </c>
      <c r="BR54" s="819">
        <f t="shared" si="12"/>
        <v>117399.42925327802</v>
      </c>
      <c r="BS54" s="819">
        <f t="shared" si="12"/>
        <v>117447.70132548628</v>
      </c>
      <c r="BT54" s="819">
        <f t="shared" si="12"/>
        <v>117474.43355904936</v>
      </c>
      <c r="BU54" s="819">
        <f t="shared" si="12"/>
        <v>117496.8815062583</v>
      </c>
      <c r="BV54" s="820">
        <f t="shared" si="12"/>
        <v>117525.5172152684</v>
      </c>
    </row>
    <row r="55" spans="2:74" x14ac:dyDescent="0.35">
      <c r="B55" s="800"/>
      <c r="C55" s="157"/>
      <c r="D55" s="157"/>
      <c r="E55" s="157"/>
      <c r="F55" s="157"/>
      <c r="G55" s="157"/>
      <c r="H55" s="157"/>
      <c r="I55" s="157"/>
      <c r="J55" s="157"/>
      <c r="K55" s="157"/>
      <c r="L55" s="157"/>
      <c r="M55" s="157"/>
      <c r="N55" s="157"/>
      <c r="O55" s="157"/>
      <c r="P55" s="157"/>
      <c r="Q55" s="157"/>
      <c r="R55" s="157"/>
      <c r="S55" s="157"/>
      <c r="T55" s="157"/>
      <c r="U55" s="157"/>
      <c r="V55" s="157"/>
      <c r="W55" s="157"/>
      <c r="X55" s="157"/>
      <c r="Y55" s="157"/>
      <c r="Z55" s="157"/>
      <c r="AA55" s="157"/>
      <c r="AB55" s="157"/>
      <c r="AC55" s="157"/>
      <c r="AD55" s="157"/>
      <c r="AE55" s="157"/>
      <c r="AF55" s="157"/>
      <c r="AG55" s="157"/>
      <c r="AH55" s="157"/>
      <c r="AI55" s="157"/>
      <c r="AJ55" s="157"/>
      <c r="AK55" s="157"/>
      <c r="AL55" s="157"/>
      <c r="AM55" s="157"/>
      <c r="AN55" s="157"/>
      <c r="AO55" s="157"/>
      <c r="AP55" s="157"/>
      <c r="AQ55" s="157"/>
      <c r="AR55" s="157"/>
      <c r="AS55" s="157"/>
      <c r="AT55" s="157"/>
      <c r="AU55" s="157"/>
      <c r="AV55" s="157"/>
      <c r="AW55" s="157"/>
      <c r="AX55" s="157"/>
      <c r="AY55" s="157"/>
      <c r="AZ55" s="157"/>
      <c r="BA55" s="157"/>
      <c r="BB55" s="157"/>
      <c r="BC55" s="157"/>
      <c r="BD55" s="157"/>
      <c r="BE55" s="157"/>
      <c r="BF55" s="157"/>
      <c r="BG55" s="157"/>
      <c r="BH55" s="157"/>
      <c r="BI55" s="157"/>
      <c r="BJ55" s="157"/>
      <c r="BK55" s="157"/>
      <c r="BL55" s="157"/>
      <c r="BM55" s="157"/>
      <c r="BN55" s="157"/>
      <c r="BO55" s="157"/>
      <c r="BP55" s="157"/>
      <c r="BQ55" s="157"/>
      <c r="BR55" s="157"/>
      <c r="BS55" s="157"/>
      <c r="BT55" s="157"/>
      <c r="BU55" s="157"/>
      <c r="BV55" s="801"/>
    </row>
    <row r="56" spans="2:74" x14ac:dyDescent="0.35">
      <c r="B56" s="874" t="s">
        <v>492</v>
      </c>
      <c r="C56" s="875">
        <f>C54+C40+C26</f>
        <v>122273.25448005905</v>
      </c>
      <c r="D56" s="875">
        <f t="shared" ref="D56:BO56" si="13">D54+D40+D26</f>
        <v>165813.57971341925</v>
      </c>
      <c r="E56" s="875">
        <f t="shared" si="13"/>
        <v>193671.84587741393</v>
      </c>
      <c r="F56" s="875">
        <f t="shared" si="13"/>
        <v>185679.83815196541</v>
      </c>
      <c r="G56" s="875">
        <f t="shared" si="13"/>
        <v>149865.92339333583</v>
      </c>
      <c r="H56" s="875">
        <f t="shared" si="13"/>
        <v>171351.4706092788</v>
      </c>
      <c r="I56" s="875">
        <f t="shared" si="13"/>
        <v>150986.25740641879</v>
      </c>
      <c r="J56" s="875">
        <f t="shared" si="13"/>
        <v>175176.24093926803</v>
      </c>
      <c r="K56" s="875">
        <f t="shared" si="13"/>
        <v>168767.24900802399</v>
      </c>
      <c r="L56" s="875">
        <f t="shared" si="13"/>
        <v>181748.88342086933</v>
      </c>
      <c r="M56" s="875">
        <f t="shared" si="13"/>
        <v>121182.60368032008</v>
      </c>
      <c r="N56" s="875">
        <f t="shared" si="13"/>
        <v>101606.96521664638</v>
      </c>
      <c r="O56" s="875">
        <f t="shared" si="13"/>
        <v>301066.87</v>
      </c>
      <c r="P56" s="875">
        <f t="shared" si="13"/>
        <v>218573.88999999996</v>
      </c>
      <c r="Q56" s="875">
        <f t="shared" si="13"/>
        <v>293942.93</v>
      </c>
      <c r="R56" s="875">
        <f t="shared" si="13"/>
        <v>289877.58</v>
      </c>
      <c r="S56" s="875">
        <f t="shared" si="13"/>
        <v>315152.42000000004</v>
      </c>
      <c r="T56" s="875">
        <f t="shared" si="13"/>
        <v>492628.23</v>
      </c>
      <c r="U56" s="875">
        <f t="shared" si="13"/>
        <v>745088.89</v>
      </c>
      <c r="V56" s="875">
        <f t="shared" si="13"/>
        <v>701930.68</v>
      </c>
      <c r="W56" s="875">
        <f t="shared" si="13"/>
        <v>490346.47</v>
      </c>
      <c r="X56" s="875">
        <f t="shared" si="13"/>
        <v>443643.57</v>
      </c>
      <c r="Y56" s="875">
        <f t="shared" si="13"/>
        <v>478968.05999999994</v>
      </c>
      <c r="Z56" s="875">
        <f t="shared" si="13"/>
        <v>389315.39</v>
      </c>
      <c r="AA56" s="875">
        <f t="shared" si="13"/>
        <v>323465.86545833328</v>
      </c>
      <c r="AB56" s="875">
        <f t="shared" si="13"/>
        <v>409607.20545833337</v>
      </c>
      <c r="AC56" s="875">
        <f t="shared" si="13"/>
        <v>747292.20545833325</v>
      </c>
      <c r="AD56" s="875">
        <f t="shared" si="13"/>
        <v>910542.20545833325</v>
      </c>
      <c r="AE56" s="875">
        <f t="shared" si="13"/>
        <v>821789.70545833325</v>
      </c>
      <c r="AF56" s="875">
        <f t="shared" si="13"/>
        <v>824874.70545833325</v>
      </c>
      <c r="AG56" s="875">
        <f t="shared" si="13"/>
        <v>841899.70545833325</v>
      </c>
      <c r="AH56" s="875">
        <f t="shared" si="13"/>
        <v>646824.70545833337</v>
      </c>
      <c r="AI56" s="875">
        <f t="shared" si="13"/>
        <v>666824.70545833337</v>
      </c>
      <c r="AJ56" s="875">
        <f t="shared" si="13"/>
        <v>756924.70545833337</v>
      </c>
      <c r="AK56" s="875">
        <f t="shared" si="13"/>
        <v>646824.70545833337</v>
      </c>
      <c r="AL56" s="875">
        <f t="shared" si="13"/>
        <v>827137.20545833337</v>
      </c>
      <c r="AM56" s="875">
        <f t="shared" si="13"/>
        <v>617039.45342736121</v>
      </c>
      <c r="AN56" s="875">
        <f t="shared" si="13"/>
        <v>625943.11672937497</v>
      </c>
      <c r="AO56" s="875">
        <f t="shared" si="13"/>
        <v>634418.00211879564</v>
      </c>
      <c r="AP56" s="875">
        <f t="shared" si="13"/>
        <v>634509.05828118185</v>
      </c>
      <c r="AQ56" s="875">
        <f t="shared" si="13"/>
        <v>630278.91458841087</v>
      </c>
      <c r="AR56" s="875">
        <f t="shared" si="13"/>
        <v>633126.04744236788</v>
      </c>
      <c r="AS56" s="875">
        <f t="shared" si="13"/>
        <v>630957.97612804966</v>
      </c>
      <c r="AT56" s="875">
        <f t="shared" si="13"/>
        <v>622640.97501226282</v>
      </c>
      <c r="AU56" s="875">
        <f t="shared" si="13"/>
        <v>625721.0117856235</v>
      </c>
      <c r="AV56" s="875">
        <f t="shared" si="13"/>
        <v>627391.63892058923</v>
      </c>
      <c r="AW56" s="875">
        <f t="shared" si="13"/>
        <v>621693.79278286675</v>
      </c>
      <c r="AX56" s="875">
        <f t="shared" si="13"/>
        <v>811036.70103689888</v>
      </c>
      <c r="AY56" s="875">
        <f t="shared" si="13"/>
        <v>625126.30727076705</v>
      </c>
      <c r="AZ56" s="875">
        <f t="shared" si="13"/>
        <v>627706.73753712361</v>
      </c>
      <c r="BA56" s="875">
        <f t="shared" si="13"/>
        <v>627949.43703723175</v>
      </c>
      <c r="BB56" s="875">
        <f t="shared" si="13"/>
        <v>627506.39195596578</v>
      </c>
      <c r="BC56" s="875">
        <f t="shared" si="13"/>
        <v>627019.10237302841</v>
      </c>
      <c r="BD56" s="875">
        <f t="shared" si="13"/>
        <v>626843.97070546472</v>
      </c>
      <c r="BE56" s="875">
        <f t="shared" si="13"/>
        <v>626417.22239012888</v>
      </c>
      <c r="BF56" s="875">
        <f t="shared" si="13"/>
        <v>626135.80355639395</v>
      </c>
      <c r="BG56" s="875">
        <f t="shared" si="13"/>
        <v>626524.21073334827</v>
      </c>
      <c r="BH56" s="875">
        <f t="shared" si="13"/>
        <v>626688.47808019491</v>
      </c>
      <c r="BI56" s="875">
        <f t="shared" si="13"/>
        <v>626727.33915370854</v>
      </c>
      <c r="BJ56" s="875">
        <f t="shared" si="13"/>
        <v>819174.40668999427</v>
      </c>
      <c r="BK56" s="875">
        <f t="shared" si="13"/>
        <v>227938.75734187043</v>
      </c>
      <c r="BL56" s="875">
        <f t="shared" si="13"/>
        <v>229859.92168979137</v>
      </c>
      <c r="BM56" s="875">
        <f t="shared" si="13"/>
        <v>229860.93330710504</v>
      </c>
      <c r="BN56" s="875">
        <f t="shared" si="13"/>
        <v>229841.98399296825</v>
      </c>
      <c r="BO56" s="875">
        <f t="shared" si="13"/>
        <v>229858.54735967907</v>
      </c>
      <c r="BP56" s="875">
        <f t="shared" ref="BP56:BV56" si="14">BP54+BP40+BP26</f>
        <v>229917.26135367921</v>
      </c>
      <c r="BQ56" s="875">
        <f t="shared" si="14"/>
        <v>229995.61706952762</v>
      </c>
      <c r="BR56" s="875">
        <f t="shared" si="14"/>
        <v>230116.21165800921</v>
      </c>
      <c r="BS56" s="875">
        <f t="shared" si="14"/>
        <v>230270.44760189205</v>
      </c>
      <c r="BT56" s="875">
        <f t="shared" si="14"/>
        <v>230405.30457084673</v>
      </c>
      <c r="BU56" s="875">
        <f t="shared" si="14"/>
        <v>230537.84346314293</v>
      </c>
      <c r="BV56" s="876">
        <f t="shared" si="14"/>
        <v>428366.29584825959</v>
      </c>
    </row>
    <row r="58" spans="2:74" x14ac:dyDescent="0.35">
      <c r="AA58" s="406"/>
      <c r="AB58" s="406"/>
      <c r="AC58" s="406"/>
      <c r="AD58" s="406"/>
      <c r="AE58" s="406"/>
      <c r="AF58" s="406"/>
      <c r="AG58" s="406"/>
      <c r="AH58" s="406"/>
      <c r="AI58" s="406"/>
      <c r="AJ58" s="406"/>
      <c r="AK58" s="406"/>
      <c r="AL58" s="406"/>
    </row>
    <row r="60" spans="2:74" x14ac:dyDescent="0.35">
      <c r="AA60" s="406"/>
    </row>
  </sheetData>
  <conditionalFormatting sqref="AA4:BV4">
    <cfRule type="containsText" dxfId="259" priority="5" operator="containsText" text="actual">
      <formula>NOT(ISERROR(SEARCH("actual",AA4)))</formula>
    </cfRule>
    <cfRule type="containsText" dxfId="258" priority="6" operator="containsText" text="forecast">
      <formula>NOT(ISERROR(SEARCH("forecast",AA4)))</formula>
    </cfRule>
  </conditionalFormatting>
  <conditionalFormatting sqref="C4:Z4">
    <cfRule type="containsText" dxfId="257" priority="3" operator="containsText" text="actual">
      <formula>NOT(ISERROR(SEARCH("actual",C4)))</formula>
    </cfRule>
    <cfRule type="containsText" dxfId="256" priority="4" operator="containsText" text="forecast">
      <formula>NOT(ISERROR(SEARCH("forecast",C4)))</formula>
    </cfRule>
  </conditionalFormatting>
  <conditionalFormatting sqref="B4">
    <cfRule type="containsText" dxfId="255" priority="1" operator="containsText" text="actual">
      <formula>NOT(ISERROR(SEARCH("actual",B4)))</formula>
    </cfRule>
    <cfRule type="containsText" dxfId="254" priority="2" operator="containsText" text="forecast">
      <formula>NOT(ISERROR(SEARCH("forecast",B4)))</formula>
    </cfRule>
  </conditionalFormatting>
  <pageMargins left="0.7" right="0.7" top="0.75" bottom="0.75" header="0.3" footer="0.3"/>
  <pageSetup orientation="portrait" horizontalDpi="0" verticalDpi="0"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BW46"/>
  <sheetViews>
    <sheetView zoomScale="80" zoomScaleNormal="80" workbookViewId="0">
      <pane xSplit="2" ySplit="4" topLeftCell="C17" activePane="bottomRight" state="frozen"/>
      <selection activeCell="X49" sqref="X49"/>
      <selection pane="topRight" activeCell="X49" sqref="X49"/>
      <selection pane="bottomLeft" activeCell="X49" sqref="X49"/>
      <selection pane="bottomRight" activeCell="AA21" sqref="AA21"/>
    </sheetView>
  </sheetViews>
  <sheetFormatPr defaultColWidth="9.1796875" defaultRowHeight="14.5" outlineLevelCol="1" x14ac:dyDescent="0.35"/>
  <cols>
    <col min="1" max="1" width="2" style="574" customWidth="1"/>
    <col min="2" max="2" width="27.453125" style="574" bestFit="1" customWidth="1"/>
    <col min="3" max="3" width="12.7265625" style="574" customWidth="1"/>
    <col min="4" max="7" width="12.7265625" style="574" hidden="1" customWidth="1" outlineLevel="1"/>
    <col min="8" max="12" width="16.453125" style="574" hidden="1" customWidth="1" outlineLevel="1"/>
    <col min="13" max="13" width="19.26953125" style="574" hidden="1" customWidth="1" outlineLevel="1"/>
    <col min="14" max="14" width="16.453125" style="574" customWidth="1" collapsed="1"/>
    <col min="15" max="15" width="12.7265625" style="574" bestFit="1" customWidth="1"/>
    <col min="16" max="18" width="12.7265625" style="574" hidden="1" customWidth="1" outlineLevel="1"/>
    <col min="19" max="19" width="12.1796875" style="574" hidden="1" customWidth="1" outlineLevel="1"/>
    <col min="20" max="25" width="12.26953125" style="574" hidden="1" customWidth="1" outlineLevel="1"/>
    <col min="26" max="26" width="12.26953125" style="574" bestFit="1" customWidth="1" collapsed="1"/>
    <col min="27" max="27" width="12.26953125" style="574" customWidth="1"/>
    <col min="28" max="29" width="13.26953125" style="574" customWidth="1" outlineLevel="1"/>
    <col min="30" max="35" width="10.7265625" style="574" customWidth="1" outlineLevel="1"/>
    <col min="36" max="37" width="11.81640625" style="574" customWidth="1" outlineLevel="1"/>
    <col min="38" max="39" width="13.26953125" style="574" customWidth="1"/>
    <col min="40" max="47" width="10.7265625" style="574" customWidth="1" outlineLevel="1"/>
    <col min="48" max="49" width="11.81640625" style="574" customWidth="1" outlineLevel="1"/>
    <col min="50" max="50" width="11.81640625" style="574" customWidth="1"/>
    <col min="51" max="51" width="10.7265625" style="574" bestFit="1" customWidth="1"/>
    <col min="52" max="57" width="10.7265625" style="574" customWidth="1" outlineLevel="1"/>
    <col min="58" max="61" width="13.26953125" style="574" customWidth="1" outlineLevel="1"/>
    <col min="62" max="62" width="13.26953125" style="574" bestFit="1" customWidth="1"/>
    <col min="63" max="63" width="13" style="574" bestFit="1" customWidth="1"/>
    <col min="64" max="73" width="13" style="574" hidden="1" customWidth="1" outlineLevel="1"/>
    <col min="74" max="74" width="13" style="574" bestFit="1" customWidth="1" collapsed="1"/>
    <col min="75" max="75" width="10.54296875" style="574" bestFit="1" customWidth="1"/>
    <col min="76" max="16384" width="9.1796875" style="574"/>
  </cols>
  <sheetData>
    <row r="2" spans="2:75" x14ac:dyDescent="0.35">
      <c r="B2" s="652" t="s">
        <v>1069</v>
      </c>
      <c r="C2" s="652"/>
      <c r="D2" s="652"/>
      <c r="E2" s="652"/>
      <c r="F2" s="652"/>
      <c r="G2" s="652"/>
      <c r="H2" s="652"/>
      <c r="I2" s="652"/>
      <c r="J2" s="652"/>
      <c r="K2" s="652"/>
      <c r="L2" s="652"/>
      <c r="M2" s="652"/>
      <c r="N2" s="652"/>
    </row>
    <row r="3" spans="2:75" x14ac:dyDescent="0.35">
      <c r="B3" s="788" t="s">
        <v>931</v>
      </c>
      <c r="C3" s="789">
        <v>40939</v>
      </c>
      <c r="D3" s="789">
        <v>40968</v>
      </c>
      <c r="E3" s="789">
        <v>40999</v>
      </c>
      <c r="F3" s="789">
        <v>41029</v>
      </c>
      <c r="G3" s="789">
        <v>41060</v>
      </c>
      <c r="H3" s="789">
        <v>41090</v>
      </c>
      <c r="I3" s="789">
        <v>41121</v>
      </c>
      <c r="J3" s="789">
        <v>41152</v>
      </c>
      <c r="K3" s="789">
        <v>41182</v>
      </c>
      <c r="L3" s="789">
        <v>41213</v>
      </c>
      <c r="M3" s="789">
        <v>41243</v>
      </c>
      <c r="N3" s="789">
        <v>41274</v>
      </c>
      <c r="O3" s="789">
        <v>41305</v>
      </c>
      <c r="P3" s="789">
        <v>41333</v>
      </c>
      <c r="Q3" s="789">
        <v>41364</v>
      </c>
      <c r="R3" s="789">
        <v>41394</v>
      </c>
      <c r="S3" s="789">
        <v>41425</v>
      </c>
      <c r="T3" s="789">
        <v>41455</v>
      </c>
      <c r="U3" s="789">
        <v>41486</v>
      </c>
      <c r="V3" s="789">
        <v>41517</v>
      </c>
      <c r="W3" s="789">
        <v>41547</v>
      </c>
      <c r="X3" s="789">
        <v>41578</v>
      </c>
      <c r="Y3" s="789">
        <v>41608</v>
      </c>
      <c r="Z3" s="789">
        <v>41639</v>
      </c>
      <c r="AA3" s="789">
        <v>41670</v>
      </c>
      <c r="AB3" s="789">
        <v>41698</v>
      </c>
      <c r="AC3" s="789">
        <v>41729</v>
      </c>
      <c r="AD3" s="789">
        <v>41759</v>
      </c>
      <c r="AE3" s="789">
        <v>41790</v>
      </c>
      <c r="AF3" s="789">
        <v>41820</v>
      </c>
      <c r="AG3" s="789">
        <v>41851</v>
      </c>
      <c r="AH3" s="789">
        <v>41882</v>
      </c>
      <c r="AI3" s="789">
        <v>41912</v>
      </c>
      <c r="AJ3" s="789">
        <v>41943</v>
      </c>
      <c r="AK3" s="789">
        <v>41973</v>
      </c>
      <c r="AL3" s="789">
        <v>42004</v>
      </c>
      <c r="AM3" s="789">
        <v>42035</v>
      </c>
      <c r="AN3" s="789">
        <v>42063</v>
      </c>
      <c r="AO3" s="789">
        <v>42094</v>
      </c>
      <c r="AP3" s="789">
        <v>42124</v>
      </c>
      <c r="AQ3" s="789">
        <v>42155</v>
      </c>
      <c r="AR3" s="789">
        <v>42185</v>
      </c>
      <c r="AS3" s="789">
        <v>42216</v>
      </c>
      <c r="AT3" s="789">
        <v>42247</v>
      </c>
      <c r="AU3" s="789">
        <v>42277</v>
      </c>
      <c r="AV3" s="789">
        <v>42308</v>
      </c>
      <c r="AW3" s="789">
        <v>42338</v>
      </c>
      <c r="AX3" s="789">
        <v>42369</v>
      </c>
      <c r="AY3" s="789">
        <v>42400</v>
      </c>
      <c r="AZ3" s="789">
        <v>42429</v>
      </c>
      <c r="BA3" s="789">
        <v>42460</v>
      </c>
      <c r="BB3" s="789">
        <v>42490</v>
      </c>
      <c r="BC3" s="789">
        <v>42521</v>
      </c>
      <c r="BD3" s="789">
        <v>42551</v>
      </c>
      <c r="BE3" s="789">
        <v>42582</v>
      </c>
      <c r="BF3" s="789">
        <v>42613</v>
      </c>
      <c r="BG3" s="789">
        <v>42643</v>
      </c>
      <c r="BH3" s="789">
        <v>42674</v>
      </c>
      <c r="BI3" s="789">
        <v>42704</v>
      </c>
      <c r="BJ3" s="789">
        <v>42735</v>
      </c>
      <c r="BK3" s="789">
        <v>42766</v>
      </c>
      <c r="BL3" s="789">
        <v>42794</v>
      </c>
      <c r="BM3" s="789">
        <v>42825</v>
      </c>
      <c r="BN3" s="789">
        <v>42855</v>
      </c>
      <c r="BO3" s="789">
        <v>42886</v>
      </c>
      <c r="BP3" s="789">
        <v>42916</v>
      </c>
      <c r="BQ3" s="789">
        <v>42947</v>
      </c>
      <c r="BR3" s="789">
        <v>42978</v>
      </c>
      <c r="BS3" s="789">
        <v>43008</v>
      </c>
      <c r="BT3" s="789">
        <v>43039</v>
      </c>
      <c r="BU3" s="789">
        <v>43069</v>
      </c>
      <c r="BV3" s="790">
        <v>43100</v>
      </c>
      <c r="BW3" s="306"/>
    </row>
    <row r="4" spans="2:75" x14ac:dyDescent="0.35">
      <c r="B4" s="791" t="s">
        <v>932</v>
      </c>
      <c r="C4" s="4" t="str">
        <f>IF(C3&lt;=Headcount!$U$3,"Actual","Forecast")</f>
        <v>Actual</v>
      </c>
      <c r="D4" s="4" t="str">
        <f>IF(D3&lt;=Headcount!$U$3,"Actual","Forecast")</f>
        <v>Actual</v>
      </c>
      <c r="E4" s="4" t="str">
        <f>IF(E3&lt;=Headcount!$U$3,"Actual","Forecast")</f>
        <v>Actual</v>
      </c>
      <c r="F4" s="4" t="str">
        <f>IF(F3&lt;=Headcount!$U$3,"Actual","Forecast")</f>
        <v>Actual</v>
      </c>
      <c r="G4" s="4" t="str">
        <f>IF(G3&lt;=Headcount!$U$3,"Actual","Forecast")</f>
        <v>Actual</v>
      </c>
      <c r="H4" s="4" t="str">
        <f>IF(H3&lt;=Headcount!$U$3,"Actual","Forecast")</f>
        <v>Actual</v>
      </c>
      <c r="I4" s="4" t="str">
        <f>IF(I3&lt;=Headcount!$U$3,"Actual","Forecast")</f>
        <v>Actual</v>
      </c>
      <c r="J4" s="4" t="str">
        <f>IF(J3&lt;=Headcount!$U$3,"Actual","Forecast")</f>
        <v>Actual</v>
      </c>
      <c r="K4" s="4" t="str">
        <f>IF(K3&lt;=Headcount!$U$3,"Actual","Forecast")</f>
        <v>Actual</v>
      </c>
      <c r="L4" s="4" t="str">
        <f>IF(L3&lt;=Headcount!$U$3,"Actual","Forecast")</f>
        <v>Actual</v>
      </c>
      <c r="M4" s="4" t="str">
        <f>IF(M3&lt;=Headcount!$U$3,"Actual","Forecast")</f>
        <v>Actual</v>
      </c>
      <c r="N4" s="4" t="str">
        <f>IF(N3&lt;=Headcount!$U$3,"Actual","Forecast")</f>
        <v>Actual</v>
      </c>
      <c r="O4" s="4" t="str">
        <f>IF(O3&lt;=Headcount!$U$3,"Actual","Forecast")</f>
        <v>Actual</v>
      </c>
      <c r="P4" s="4" t="str">
        <f>IF(P3&lt;=Headcount!$U$3,"Actual","Forecast")</f>
        <v>Actual</v>
      </c>
      <c r="Q4" s="4" t="str">
        <f>IF(Q3&lt;=Headcount!$U$3,"Actual","Forecast")</f>
        <v>Actual</v>
      </c>
      <c r="R4" s="4" t="str">
        <f>IF(R3&lt;=Headcount!$U$3,"Actual","Forecast")</f>
        <v>Actual</v>
      </c>
      <c r="S4" s="4" t="str">
        <f>IF(S3&lt;=Headcount!$U$3,"Actual","Forecast")</f>
        <v>Actual</v>
      </c>
      <c r="T4" s="4" t="str">
        <f>IF(T3&lt;=Headcount!$U$3,"Actual","Forecast")</f>
        <v>Actual</v>
      </c>
      <c r="U4" s="4" t="str">
        <f>IF(U3&lt;=Headcount!$U$3,"Actual","Forecast")</f>
        <v>Actual</v>
      </c>
      <c r="V4" s="4" t="str">
        <f>IF(V3&lt;=Headcount!$U$3,"Actual","Forecast")</f>
        <v>Actual</v>
      </c>
      <c r="W4" s="4" t="str">
        <f>IF(W3&lt;=Headcount!$U$3,"Actual","Forecast")</f>
        <v>Actual</v>
      </c>
      <c r="X4" s="4" t="str">
        <f>IF(X3&lt;=Headcount!$U$3,"Actual","Forecast")</f>
        <v>Actual</v>
      </c>
      <c r="Y4" s="4" t="str">
        <f>IF(Y3&lt;=Headcount!$U$3,"Actual","Forecast")</f>
        <v>Actual</v>
      </c>
      <c r="Z4" s="4" t="str">
        <f>IF(Z3&lt;=Headcount!$U$3,"Actual","Forecast")</f>
        <v>Actual</v>
      </c>
      <c r="AA4" s="792" t="s">
        <v>7</v>
      </c>
      <c r="AB4" s="792" t="s">
        <v>7</v>
      </c>
      <c r="AC4" s="792" t="s">
        <v>7</v>
      </c>
      <c r="AD4" s="792" t="s">
        <v>7</v>
      </c>
      <c r="AE4" s="792" t="s">
        <v>7</v>
      </c>
      <c r="AF4" s="792" t="s">
        <v>7</v>
      </c>
      <c r="AG4" s="792" t="s">
        <v>7</v>
      </c>
      <c r="AH4" s="792" t="s">
        <v>7</v>
      </c>
      <c r="AI4" s="792" t="s">
        <v>7</v>
      </c>
      <c r="AJ4" s="792" t="s">
        <v>7</v>
      </c>
      <c r="AK4" s="792" t="s">
        <v>7</v>
      </c>
      <c r="AL4" s="792" t="s">
        <v>7</v>
      </c>
      <c r="AM4" s="792" t="s">
        <v>7</v>
      </c>
      <c r="AN4" s="792" t="s">
        <v>7</v>
      </c>
      <c r="AO4" s="792" t="s">
        <v>7</v>
      </c>
      <c r="AP4" s="792" t="s">
        <v>7</v>
      </c>
      <c r="AQ4" s="792" t="s">
        <v>7</v>
      </c>
      <c r="AR4" s="792" t="s">
        <v>7</v>
      </c>
      <c r="AS4" s="792" t="s">
        <v>7</v>
      </c>
      <c r="AT4" s="792" t="s">
        <v>7</v>
      </c>
      <c r="AU4" s="792" t="s">
        <v>7</v>
      </c>
      <c r="AV4" s="792" t="s">
        <v>7</v>
      </c>
      <c r="AW4" s="792" t="s">
        <v>7</v>
      </c>
      <c r="AX4" s="792" t="s">
        <v>7</v>
      </c>
      <c r="AY4" s="792" t="s">
        <v>7</v>
      </c>
      <c r="AZ4" s="792" t="s">
        <v>7</v>
      </c>
      <c r="BA4" s="792" t="s">
        <v>7</v>
      </c>
      <c r="BB4" s="792" t="s">
        <v>7</v>
      </c>
      <c r="BC4" s="792" t="s">
        <v>7</v>
      </c>
      <c r="BD4" s="792" t="s">
        <v>7</v>
      </c>
      <c r="BE4" s="792" t="s">
        <v>7</v>
      </c>
      <c r="BF4" s="792" t="s">
        <v>7</v>
      </c>
      <c r="BG4" s="792" t="s">
        <v>7</v>
      </c>
      <c r="BH4" s="792" t="s">
        <v>7</v>
      </c>
      <c r="BI4" s="792" t="s">
        <v>7</v>
      </c>
      <c r="BJ4" s="792" t="s">
        <v>7</v>
      </c>
      <c r="BK4" s="792" t="s">
        <v>7</v>
      </c>
      <c r="BL4" s="792" t="s">
        <v>7</v>
      </c>
      <c r="BM4" s="792" t="s">
        <v>7</v>
      </c>
      <c r="BN4" s="792" t="s">
        <v>7</v>
      </c>
      <c r="BO4" s="792" t="s">
        <v>7</v>
      </c>
      <c r="BP4" s="792" t="s">
        <v>7</v>
      </c>
      <c r="BQ4" s="792" t="s">
        <v>7</v>
      </c>
      <c r="BR4" s="792" t="s">
        <v>7</v>
      </c>
      <c r="BS4" s="792" t="s">
        <v>7</v>
      </c>
      <c r="BT4" s="792" t="s">
        <v>7</v>
      </c>
      <c r="BU4" s="792" t="s">
        <v>7</v>
      </c>
      <c r="BV4" s="793" t="s">
        <v>7</v>
      </c>
    </row>
    <row r="5" spans="2:75" x14ac:dyDescent="0.35">
      <c r="B5" s="794" t="s">
        <v>68</v>
      </c>
      <c r="C5" s="795">
        <f t="shared" ref="C5:N5" si="0">MONTH(C3)</f>
        <v>1</v>
      </c>
      <c r="D5" s="795">
        <f t="shared" si="0"/>
        <v>2</v>
      </c>
      <c r="E5" s="795">
        <f t="shared" si="0"/>
        <v>3</v>
      </c>
      <c r="F5" s="795">
        <f t="shared" si="0"/>
        <v>4</v>
      </c>
      <c r="G5" s="795">
        <f t="shared" si="0"/>
        <v>5</v>
      </c>
      <c r="H5" s="795">
        <f t="shared" si="0"/>
        <v>6</v>
      </c>
      <c r="I5" s="795">
        <f t="shared" si="0"/>
        <v>7</v>
      </c>
      <c r="J5" s="795">
        <f t="shared" si="0"/>
        <v>8</v>
      </c>
      <c r="K5" s="795">
        <f t="shared" si="0"/>
        <v>9</v>
      </c>
      <c r="L5" s="795">
        <f t="shared" si="0"/>
        <v>10</v>
      </c>
      <c r="M5" s="795">
        <f t="shared" si="0"/>
        <v>11</v>
      </c>
      <c r="N5" s="795">
        <f t="shared" si="0"/>
        <v>12</v>
      </c>
      <c r="O5" s="795">
        <f>MONTH(O3)</f>
        <v>1</v>
      </c>
      <c r="P5" s="795">
        <f t="shared" ref="P5:BV5" si="1">MONTH(P3)</f>
        <v>2</v>
      </c>
      <c r="Q5" s="795">
        <f t="shared" si="1"/>
        <v>3</v>
      </c>
      <c r="R5" s="795">
        <f t="shared" si="1"/>
        <v>4</v>
      </c>
      <c r="S5" s="795">
        <f t="shared" si="1"/>
        <v>5</v>
      </c>
      <c r="T5" s="795">
        <f t="shared" si="1"/>
        <v>6</v>
      </c>
      <c r="U5" s="795">
        <f t="shared" si="1"/>
        <v>7</v>
      </c>
      <c r="V5" s="795">
        <f t="shared" si="1"/>
        <v>8</v>
      </c>
      <c r="W5" s="795">
        <f t="shared" si="1"/>
        <v>9</v>
      </c>
      <c r="X5" s="795">
        <f t="shared" si="1"/>
        <v>10</v>
      </c>
      <c r="Y5" s="795">
        <f t="shared" si="1"/>
        <v>11</v>
      </c>
      <c r="Z5" s="795">
        <f t="shared" si="1"/>
        <v>12</v>
      </c>
      <c r="AA5" s="795">
        <f t="shared" si="1"/>
        <v>1</v>
      </c>
      <c r="AB5" s="795">
        <f t="shared" si="1"/>
        <v>2</v>
      </c>
      <c r="AC5" s="795">
        <f t="shared" si="1"/>
        <v>3</v>
      </c>
      <c r="AD5" s="795">
        <f t="shared" si="1"/>
        <v>4</v>
      </c>
      <c r="AE5" s="795">
        <f t="shared" si="1"/>
        <v>5</v>
      </c>
      <c r="AF5" s="795">
        <f t="shared" si="1"/>
        <v>6</v>
      </c>
      <c r="AG5" s="795">
        <f t="shared" si="1"/>
        <v>7</v>
      </c>
      <c r="AH5" s="795">
        <f t="shared" si="1"/>
        <v>8</v>
      </c>
      <c r="AI5" s="795">
        <f t="shared" si="1"/>
        <v>9</v>
      </c>
      <c r="AJ5" s="795">
        <f t="shared" si="1"/>
        <v>10</v>
      </c>
      <c r="AK5" s="795">
        <f t="shared" si="1"/>
        <v>11</v>
      </c>
      <c r="AL5" s="795">
        <f t="shared" si="1"/>
        <v>12</v>
      </c>
      <c r="AM5" s="795">
        <f t="shared" si="1"/>
        <v>1</v>
      </c>
      <c r="AN5" s="795">
        <f t="shared" si="1"/>
        <v>2</v>
      </c>
      <c r="AO5" s="795">
        <f t="shared" si="1"/>
        <v>3</v>
      </c>
      <c r="AP5" s="795">
        <f t="shared" si="1"/>
        <v>4</v>
      </c>
      <c r="AQ5" s="795">
        <f t="shared" si="1"/>
        <v>5</v>
      </c>
      <c r="AR5" s="795">
        <f t="shared" si="1"/>
        <v>6</v>
      </c>
      <c r="AS5" s="795">
        <f t="shared" si="1"/>
        <v>7</v>
      </c>
      <c r="AT5" s="795">
        <f t="shared" si="1"/>
        <v>8</v>
      </c>
      <c r="AU5" s="795">
        <f t="shared" si="1"/>
        <v>9</v>
      </c>
      <c r="AV5" s="795">
        <f t="shared" si="1"/>
        <v>10</v>
      </c>
      <c r="AW5" s="795">
        <f t="shared" si="1"/>
        <v>11</v>
      </c>
      <c r="AX5" s="795">
        <f t="shared" si="1"/>
        <v>12</v>
      </c>
      <c r="AY5" s="795">
        <f t="shared" si="1"/>
        <v>1</v>
      </c>
      <c r="AZ5" s="795">
        <f t="shared" si="1"/>
        <v>2</v>
      </c>
      <c r="BA5" s="795">
        <f t="shared" si="1"/>
        <v>3</v>
      </c>
      <c r="BB5" s="795">
        <f t="shared" si="1"/>
        <v>4</v>
      </c>
      <c r="BC5" s="795">
        <f t="shared" si="1"/>
        <v>5</v>
      </c>
      <c r="BD5" s="795">
        <f t="shared" si="1"/>
        <v>6</v>
      </c>
      <c r="BE5" s="795">
        <f t="shared" si="1"/>
        <v>7</v>
      </c>
      <c r="BF5" s="795">
        <f t="shared" si="1"/>
        <v>8</v>
      </c>
      <c r="BG5" s="795">
        <f t="shared" si="1"/>
        <v>9</v>
      </c>
      <c r="BH5" s="795">
        <f t="shared" si="1"/>
        <v>10</v>
      </c>
      <c r="BI5" s="795">
        <f t="shared" si="1"/>
        <v>11</v>
      </c>
      <c r="BJ5" s="795">
        <f t="shared" si="1"/>
        <v>12</v>
      </c>
      <c r="BK5" s="795">
        <f t="shared" si="1"/>
        <v>1</v>
      </c>
      <c r="BL5" s="795">
        <f t="shared" si="1"/>
        <v>2</v>
      </c>
      <c r="BM5" s="795">
        <f t="shared" si="1"/>
        <v>3</v>
      </c>
      <c r="BN5" s="795">
        <f t="shared" si="1"/>
        <v>4</v>
      </c>
      <c r="BO5" s="795">
        <f t="shared" si="1"/>
        <v>5</v>
      </c>
      <c r="BP5" s="795">
        <f t="shared" si="1"/>
        <v>6</v>
      </c>
      <c r="BQ5" s="795">
        <f t="shared" si="1"/>
        <v>7</v>
      </c>
      <c r="BR5" s="795">
        <f t="shared" si="1"/>
        <v>8</v>
      </c>
      <c r="BS5" s="795">
        <f t="shared" si="1"/>
        <v>9</v>
      </c>
      <c r="BT5" s="795">
        <f t="shared" si="1"/>
        <v>10</v>
      </c>
      <c r="BU5" s="795">
        <f t="shared" si="1"/>
        <v>11</v>
      </c>
      <c r="BV5" s="796">
        <f t="shared" si="1"/>
        <v>12</v>
      </c>
    </row>
    <row r="6" spans="2:75" x14ac:dyDescent="0.35">
      <c r="B6" s="797"/>
      <c r="C6" s="798"/>
      <c r="D6" s="798"/>
      <c r="E6" s="798"/>
      <c r="F6" s="798"/>
      <c r="G6" s="798"/>
      <c r="H6" s="798"/>
      <c r="I6" s="798"/>
      <c r="J6" s="798"/>
      <c r="K6" s="798"/>
      <c r="L6" s="798"/>
      <c r="M6" s="798"/>
      <c r="N6" s="798"/>
      <c r="O6" s="798"/>
      <c r="P6" s="798"/>
      <c r="Q6" s="798"/>
      <c r="R6" s="798"/>
      <c r="S6" s="798"/>
      <c r="T6" s="798"/>
      <c r="U6" s="798"/>
      <c r="V6" s="798"/>
      <c r="W6" s="798"/>
      <c r="X6" s="798"/>
      <c r="Y6" s="798"/>
      <c r="Z6" s="798"/>
      <c r="AA6" s="798"/>
      <c r="AB6" s="798"/>
      <c r="AC6" s="798"/>
      <c r="AD6" s="798"/>
      <c r="AE6" s="798"/>
      <c r="AF6" s="798"/>
      <c r="AG6" s="798"/>
      <c r="AH6" s="798"/>
      <c r="AI6" s="798"/>
      <c r="AJ6" s="798"/>
      <c r="AK6" s="798"/>
      <c r="AL6" s="798"/>
      <c r="AM6" s="798"/>
      <c r="AN6" s="798"/>
      <c r="AO6" s="798"/>
      <c r="AP6" s="798"/>
      <c r="AQ6" s="798"/>
      <c r="AR6" s="798"/>
      <c r="AS6" s="798"/>
      <c r="AT6" s="798"/>
      <c r="AU6" s="798"/>
      <c r="AV6" s="798"/>
      <c r="AW6" s="798"/>
      <c r="AX6" s="798"/>
      <c r="AY6" s="798"/>
      <c r="AZ6" s="798"/>
      <c r="BA6" s="798"/>
      <c r="BB6" s="798"/>
      <c r="BC6" s="798"/>
      <c r="BD6" s="798"/>
      <c r="BE6" s="798"/>
      <c r="BF6" s="798"/>
      <c r="BG6" s="798"/>
      <c r="BH6" s="798"/>
      <c r="BI6" s="798"/>
      <c r="BJ6" s="798"/>
      <c r="BK6" s="798"/>
      <c r="BL6" s="798"/>
      <c r="BM6" s="798"/>
      <c r="BN6" s="798"/>
      <c r="BO6" s="798"/>
      <c r="BP6" s="798"/>
      <c r="BQ6" s="798"/>
      <c r="BR6" s="798"/>
      <c r="BS6" s="798"/>
      <c r="BT6" s="798"/>
      <c r="BU6" s="798"/>
      <c r="BV6" s="799"/>
    </row>
    <row r="7" spans="2:75" x14ac:dyDescent="0.35">
      <c r="B7" s="794" t="s">
        <v>14</v>
      </c>
      <c r="C7" s="798">
        <f>SUMIFS(Headcount!$B$6:$B$89,Headcount!$F$6:$F$89,"Software",Headcount!$H$6:$H$89,"&gt;"&amp;C3,Headcount!$G$6:$G$89,"&lt;"&amp;C3)</f>
        <v>5</v>
      </c>
      <c r="D7" s="799">
        <f>IF(D4="forecast",IF(C4="actual",(SUMIFS(Headcount!$B$6:$B$89,Headcount!$F$6:$F$89,"Software",Headcount!$H$6:$H$89,"&gt;"&amp;D3,Headcount!$G$6:$G$89,"&lt;"&amp;D3)+D8-D9),(C7+D8-D9)),SUMIFS(Headcount!$B$6:$B$89,Headcount!$F$6:$F$89,"Software",Headcount!$H$6:$H$89,"&gt;"&amp;D3,Headcount!$G$6:$G$89,"&lt;"&amp;C3))</f>
        <v>5</v>
      </c>
      <c r="E7" s="798">
        <f>IF(E4="forecast",IF(D4="actual",(SUMIFS(Headcount!$B$6:$B$89,Headcount!$F$6:$F$89,"Software",Headcount!$H$6:$H$89,"&gt;"&amp;E3,Headcount!$G$6:$G$89,"&lt;"&amp;E3)+E8-E9),(D7+E8-E9)),SUMIFS(Headcount!$B$6:$B$89,Headcount!$F$6:$F$89,"Software",Headcount!$H$6:$H$89,"&gt;"&amp;E3,Headcount!$G$6:$G$89,"&lt;"&amp;D3))</f>
        <v>5</v>
      </c>
      <c r="F7" s="798">
        <f>IF(F4="forecast",IF(E4="actual",(SUMIFS(Headcount!$B$6:$B$89,Headcount!$F$6:$F$89,"Software",Headcount!$H$6:$H$89,"&gt;"&amp;F3,Headcount!$G$6:$G$89,"&lt;"&amp;F3)+F8-F9),(E7+F8-F9)),SUMIFS(Headcount!$B$6:$B$89,Headcount!$F$6:$F$89,"Software",Headcount!$H$6:$H$89,"&gt;"&amp;F3,Headcount!$G$6:$G$89,"&lt;"&amp;E3))</f>
        <v>5</v>
      </c>
      <c r="G7" s="798">
        <f>IF(G4="forecast",IF(F4="actual",(SUMIFS(Headcount!$B$6:$B$89,Headcount!$F$6:$F$89,"Software",Headcount!$H$6:$H$89,"&gt;"&amp;G3,Headcount!$G$6:$G$89,"&lt;"&amp;G3)+G8-G9),(F7+G8-G9)),SUMIFS(Headcount!$B$6:$B$89,Headcount!$F$6:$F$89,"Software",Headcount!$H$6:$H$89,"&gt;"&amp;G3,Headcount!$G$6:$G$89,"&lt;"&amp;F3))</f>
        <v>5</v>
      </c>
      <c r="H7" s="798">
        <f>IF(H4="forecast",IF(G4="actual",(SUMIFS(Headcount!$B$6:$B$89,Headcount!$F$6:$F$89,"Software",Headcount!$H$6:$H$89,"&gt;"&amp;H3,Headcount!$G$6:$G$89,"&lt;"&amp;H3)+H8-H9),(G7+H8-H9)),SUMIFS(Headcount!$B$6:$B$89,Headcount!$F$6:$F$89,"Software",Headcount!$H$6:$H$89,"&gt;"&amp;H3,Headcount!$G$6:$G$89,"&lt;"&amp;G3))</f>
        <v>5</v>
      </c>
      <c r="I7" s="798">
        <f>IF(I4="forecast",IF(H4="actual",(SUMIFS(Headcount!$B$6:$B$89,Headcount!$F$6:$F$89,"Software",Headcount!$H$6:$H$89,"&gt;"&amp;I3,Headcount!$G$6:$G$89,"&lt;"&amp;I3)+I8-I9),(H7+I8-I9)),SUMIFS(Headcount!$B$6:$B$89,Headcount!$F$6:$F$89,"Software",Headcount!$H$6:$H$89,"&gt;"&amp;I3,Headcount!$G$6:$G$89,"&lt;"&amp;H3))</f>
        <v>5</v>
      </c>
      <c r="J7" s="798">
        <f>IF(J4="forecast",IF(I4="actual",(SUMIFS(Headcount!$B$6:$B$89,Headcount!$F$6:$F$89,"Software",Headcount!$H$6:$H$89,"&gt;"&amp;J3,Headcount!$G$6:$G$89,"&lt;"&amp;J3)+J8-J9),(I7+J8-J9)),SUMIFS(Headcount!$B$6:$B$89,Headcount!$F$6:$F$89,"Software",Headcount!$H$6:$H$89,"&gt;"&amp;J3,Headcount!$G$6:$G$89,"&lt;"&amp;I3))</f>
        <v>8</v>
      </c>
      <c r="K7" s="798">
        <f>IF(K4="forecast",IF(J4="actual",(SUMIFS(Headcount!$B$6:$B$89,Headcount!$F$6:$F$89,"Software",Headcount!$H$6:$H$89,"&gt;"&amp;K3,Headcount!$G$6:$G$89,"&lt;"&amp;K3)+K8-K9),(J7+K8-K9)),SUMIFS(Headcount!$B$6:$B$89,Headcount!$F$6:$F$89,"Software",Headcount!$H$6:$H$89,"&gt;"&amp;K3,Headcount!$G$6:$G$89,"&lt;"&amp;J3))</f>
        <v>8</v>
      </c>
      <c r="L7" s="798">
        <f>IF(L4="forecast",IF(K4="actual",(SUMIFS(Headcount!$B$6:$B$89,Headcount!$F$6:$F$89,"Software",Headcount!$H$6:$H$89,"&gt;"&amp;L3,Headcount!$G$6:$G$89,"&lt;"&amp;L3)+L8-L9),(K7+L8-L9)),SUMIFS(Headcount!$B$6:$B$89,Headcount!$F$6:$F$89,"Software",Headcount!$H$6:$H$89,"&gt;"&amp;L3,Headcount!$G$6:$G$89,"&lt;"&amp;K3))</f>
        <v>8</v>
      </c>
      <c r="M7" s="798">
        <f>IF(M4="forecast",IF(L4="actual",(SUMIFS(Headcount!$B$6:$B$89,Headcount!$F$6:$F$89,"Software",Headcount!$H$6:$H$89,"&gt;"&amp;M3,Headcount!$G$6:$G$89,"&lt;"&amp;M3)+M8-M9),(L7+M8-M9)),SUMIFS(Headcount!$B$6:$B$89,Headcount!$F$6:$F$89,"Software",Headcount!$H$6:$H$89,"&gt;"&amp;M3,Headcount!$G$6:$G$89,"&lt;"&amp;L3))</f>
        <v>8</v>
      </c>
      <c r="N7" s="798">
        <f>IF(N4="forecast",IF(M4="actual",(SUMIFS(Headcount!$B$6:$B$89,Headcount!$F$6:$F$89,"Software",Headcount!$H$6:$H$89,"&gt;"&amp;N3,Headcount!$G$6:$G$89,"&lt;"&amp;N3)+N8-N9),(M7+N8-N9)),SUMIFS(Headcount!$B$6:$B$89,Headcount!$F$6:$F$89,"Software",Headcount!$H$6:$H$89,"&gt;"&amp;N3,Headcount!$G$6:$G$89,"&lt;"&amp;M3))</f>
        <v>18</v>
      </c>
      <c r="O7" s="798">
        <f>IF(O4="forecast",IF(N4="actual",(SUMIFS(Headcount!$B$6:$B$89,Headcount!$F$6:$F$89,"Software",Headcount!$H$6:$H$89,"&gt;"&amp;O3,Headcount!$G$6:$G$89,"&lt;"&amp;O3)+O8-O9),(N7+O8-O9)),SUMIFS(Headcount!$B$6:$B$89,Headcount!$F$6:$F$89,"Software",Headcount!$H$6:$H$89,"&gt;"&amp;O3,Headcount!$G$6:$G$89,"&lt;"&amp;N3))</f>
        <v>18</v>
      </c>
      <c r="P7" s="798">
        <f>IF(P4="forecast",IF(O4="actual",(SUMIFS(Headcount!$B$6:$B$89,Headcount!$F$6:$F$89,"Software",Headcount!$H$6:$H$89,"&gt;"&amp;P3,Headcount!$G$6:$G$89,"&lt;"&amp;P3)+P8-P9),(O7+P8-P9)),SUMIFS(Headcount!$B$6:$B$89,Headcount!$F$6:$F$89,"Software",Headcount!$H$6:$H$89,"&gt;"&amp;P3,Headcount!$G$6:$G$89,"&lt;"&amp;O3))</f>
        <v>18</v>
      </c>
      <c r="Q7" s="798">
        <f>IF(Q4="forecast",IF(P4="actual",(SUMIFS(Headcount!$B$6:$B$89,Headcount!$F$6:$F$89,"Software",Headcount!$H$6:$H$89,"&gt;"&amp;Q3,Headcount!$G$6:$G$89,"&lt;"&amp;Q3)+Q8-Q9),(P7+Q8-Q9)),SUMIFS(Headcount!$B$6:$B$89,Headcount!$F$6:$F$89,"Software",Headcount!$H$6:$H$89,"&gt;"&amp;Q3,Headcount!$G$6:$G$89,"&lt;"&amp;P3))</f>
        <v>18</v>
      </c>
      <c r="R7" s="798">
        <f>IF(R4="forecast",IF(Q4="actual",(SUMIFS(Headcount!$B$6:$B$89,Headcount!$F$6:$F$89,"Software",Headcount!$H$6:$H$89,"&gt;"&amp;R3,Headcount!$G$6:$G$89,"&lt;"&amp;R3)+R8-R9),(Q7+R8-R9)),SUMIFS(Headcount!$B$6:$B$89,Headcount!$F$6:$F$89,"Software",Headcount!$H$6:$H$89,"&gt;"&amp;R3,Headcount!$G$6:$G$89,"&lt;"&amp;Q3))</f>
        <v>20</v>
      </c>
      <c r="S7" s="798">
        <f>IF(S4="forecast",IF(R4="actual",(SUMIFS(Headcount!$B$6:$B$89,Headcount!$F$6:$F$89,"Software",Headcount!$H$6:$H$89,"&gt;"&amp;S3,Headcount!$G$6:$G$89,"&lt;"&amp;S3)+S8-S9),(R7+S8-S9)),SUMIFS(Headcount!$B$6:$B$89,Headcount!$F$6:$F$89,"Software",Headcount!$H$6:$H$89,"&gt;"&amp;S3,Headcount!$G$6:$G$89,"&lt;"&amp;R3))</f>
        <v>20</v>
      </c>
      <c r="T7" s="798">
        <f>IF(T4="forecast",IF(S4="actual",(SUMIFS(Headcount!$B$6:$B$89,Headcount!$F$6:$F$89,"Software",Headcount!$H$6:$H$89,"&gt;"&amp;T3,Headcount!$G$6:$G$89,"&lt;"&amp;T3)+T8-T9),(S7+T8-T9)),SUMIFS(Headcount!$B$6:$B$89,Headcount!$F$6:$F$89,"Software",Headcount!$H$6:$H$89,"&gt;"&amp;T3,Headcount!$G$6:$G$89,"&lt;"&amp;S3))</f>
        <v>20</v>
      </c>
      <c r="U7" s="798">
        <f>IF(U4="forecast",IF(T4="actual",(SUMIFS(Headcount!$B$6:$B$89,Headcount!$F$6:$F$89,"Software",Headcount!$H$6:$H$89,"&gt;"&amp;U3,Headcount!$G$6:$G$89,"&lt;"&amp;U3)+U8-U9),(T7+U8-U9)),SUMIFS(Headcount!$B$6:$B$89,Headcount!$F$6:$F$89,"Software",Headcount!$H$6:$H$89,"&gt;"&amp;U3,Headcount!$G$6:$G$89,"&lt;"&amp;T3))</f>
        <v>20</v>
      </c>
      <c r="V7" s="798">
        <f>IF(V4="forecast",IF(U4="actual",(SUMIFS(Headcount!$B$6:$B$89,Headcount!$F$6:$F$89,"Software",Headcount!$H$6:$H$89,"&gt;"&amp;V3,Headcount!$G$6:$G$89,"&lt;"&amp;V3)+V8-V9),(U7+V8-V9)),SUMIFS(Headcount!$B$6:$B$89,Headcount!$F$6:$F$89,"Software",Headcount!$H$6:$H$89,"&gt;"&amp;V3,Headcount!$G$6:$G$89,"&lt;"&amp;U3))</f>
        <v>20</v>
      </c>
      <c r="W7" s="798">
        <f>IF(W4="forecast",IF(V4="actual",(SUMIFS(Headcount!$B$6:$B$89,Headcount!$F$6:$F$89,"Software",Headcount!$H$6:$H$89,"&gt;"&amp;W3,Headcount!$G$6:$G$89,"&lt;"&amp;W3)+W8-W9),(V7+W8-W9)),SUMIFS(Headcount!$B$6:$B$89,Headcount!$F$6:$F$89,"Software",Headcount!$H$6:$H$89,"&gt;"&amp;W3,Headcount!$G$6:$G$89,"&lt;"&amp;V3))</f>
        <v>19</v>
      </c>
      <c r="X7" s="798">
        <f>IF(X4="forecast",IF(W4="actual",(SUMIFS(Headcount!$B$6:$B$89,Headcount!$F$6:$F$89,"Software",Headcount!$H$6:$H$89,"&gt;"&amp;X3,Headcount!$G$6:$G$89,"&lt;"&amp;X3)+X8-X9),(W7+X8-X9)),SUMIFS(Headcount!$B$6:$B$89,Headcount!$F$6:$F$89,"Software",Headcount!$H$6:$H$89,"&gt;"&amp;X3,Headcount!$G$6:$G$89,"&lt;"&amp;W3))</f>
        <v>19</v>
      </c>
      <c r="Y7" s="798">
        <f>IF(Y4="forecast",IF(X4="actual",(SUMIFS(Headcount!$B$6:$B$89,Headcount!$F$6:$F$89,"Software",Headcount!$H$6:$H$89,"&gt;"&amp;Y3,Headcount!$G$6:$G$89,"&lt;"&amp;Y3)+Y8-Y9),(X7+Y8-Y9)),SUMIFS(Headcount!$B$6:$B$89,Headcount!$F$6:$F$89,"Software",Headcount!$H$6:$H$89,"&gt;"&amp;Y3,Headcount!$G$6:$G$89,"&lt;"&amp;X3))</f>
        <v>20</v>
      </c>
      <c r="Z7" s="798">
        <f>IF(Z4="forecast",IF(Y4="actual",(SUMIFS(Headcount!$B$6:$B$89,Headcount!$F$6:$F$89,"Software",Headcount!$H$6:$H$89,"&gt;"&amp;Z3,Headcount!$G$6:$G$89,"&lt;"&amp;Z3)+Z8-Z9),(Y7+Z8-Z9)),SUMIFS(Headcount!$B$6:$B$89,Headcount!$F$6:$F$89,"Software",Headcount!$H$6:$H$89,"&gt;"&amp;Z3,Headcount!$G$6:$G$89,"&lt;"&amp;Y3))</f>
        <v>20</v>
      </c>
      <c r="AA7" s="798">
        <f>IF(AA4="forecast",IF(Z4="actual",(SUMIFS(Headcount!$B$6:$B$89,Headcount!$F$6:$F$89,"Software",Headcount!$H$6:$H$89,"&gt;"&amp;AA3,Headcount!$G$6:$G$89,"&lt;"&amp;AA3)+AA8-AA9),(Z7+AA8-AA9)),SUMIFS(Headcount!$B$6:$B$89,Headcount!$F$6:$F$89,"Software",Headcount!$H$6:$H$89,"&gt;"&amp;AA3,Headcount!$G$6:$G$89,"&lt;"&amp;Z3))</f>
        <v>23</v>
      </c>
      <c r="AB7" s="798">
        <f>IF(AB4="forecast",IF(AA4="actual",(SUMIFS(Headcount!$B$6:$B$89,Headcount!$F$6:$F$89,"Software",Headcount!$H$6:$H$89,"&gt;"&amp;AB3,Headcount!$G$6:$G$89,"&lt;"&amp;AB3)+AB8-AB9),(AA7+AB8-AB9)),SUMIFS(Headcount!$B$6:$B$89,Headcount!$F$6:$F$89,"Software",Headcount!$H$6:$H$89,"&gt;"&amp;AB3,Headcount!$G$6:$G$89,"&lt;"&amp;AA3))</f>
        <v>23</v>
      </c>
      <c r="AC7" s="798">
        <f>IF(AC4="forecast",IF(AB4="actual",(SUMIFS(Headcount!$B$6:$B$89,Headcount!$F$6:$F$89,"Software",Headcount!$H$6:$H$89,"&gt;"&amp;AC3,Headcount!$G$6:$G$89,"&lt;"&amp;AC3)+AC8-AC9),(AB7+AC8-AC9)),SUMIFS(Headcount!$B$6:$B$89,Headcount!$F$6:$F$89,"Software",Headcount!$H$6:$H$89,"&gt;"&amp;AC3,Headcount!$G$6:$G$89,"&lt;"&amp;AB3))</f>
        <v>23</v>
      </c>
      <c r="AD7" s="798">
        <f>IF(AD4="forecast",IF(AC4="actual",(SUMIFS(Headcount!$B$6:$B$89,Headcount!$F$6:$F$89,"Software",Headcount!$H$6:$H$89,"&gt;"&amp;AD3,Headcount!$G$6:$G$89,"&lt;"&amp;AD3)+AD8-AD9),(AC7+AD8-AD9)),SUMIFS(Headcount!$B$6:$B$89,Headcount!$F$6:$F$89,"Software",Headcount!$H$6:$H$89,"&gt;"&amp;AD3,Headcount!$G$6:$G$89,"&lt;"&amp;AC3))</f>
        <v>23</v>
      </c>
      <c r="AE7" s="798">
        <f>IF(AE4="forecast",IF(AD4="actual",(SUMIFS(Headcount!$B$6:$B$89,Headcount!$F$6:$F$89,"Software",Headcount!$H$6:$H$89,"&gt;"&amp;AE3,Headcount!$G$6:$G$89,"&lt;"&amp;AE3)+AE8-AE9),(AD7+AE8-AE9)),SUMIFS(Headcount!$B$6:$B$89,Headcount!$F$6:$F$89,"Software",Headcount!$H$6:$H$89,"&gt;"&amp;AE3,Headcount!$G$6:$G$89,"&lt;"&amp;AD3))</f>
        <v>23</v>
      </c>
      <c r="AF7" s="798">
        <f>IF(AF4="forecast",IF(AE4="actual",(SUMIFS(Headcount!$B$6:$B$89,Headcount!$F$6:$F$89,"Software",Headcount!$H$6:$H$89,"&gt;"&amp;AF3,Headcount!$G$6:$G$89,"&lt;"&amp;AF3)+AF8-AF9),(AE7+AF8-AF9)),SUMIFS(Headcount!$B$6:$B$89,Headcount!$F$6:$F$89,"Software",Headcount!$H$6:$H$89,"&gt;"&amp;AF3,Headcount!$G$6:$G$89,"&lt;"&amp;AE3))</f>
        <v>23</v>
      </c>
      <c r="AG7" s="798">
        <f>IF(AG4="forecast",IF(AF4="actual",(SUMIFS(Headcount!$B$6:$B$89,Headcount!$F$6:$F$89,"Software",Headcount!$H$6:$H$89,"&gt;"&amp;AG3,Headcount!$G$6:$G$89,"&lt;"&amp;AG3)+AG8-AG9),(AF7+AG8-AG9)),SUMIFS(Headcount!$B$6:$B$89,Headcount!$F$6:$F$89,"Software",Headcount!$H$6:$H$89,"&gt;"&amp;AG3,Headcount!$G$6:$G$89,"&lt;"&amp;AF3))</f>
        <v>25</v>
      </c>
      <c r="AH7" s="798">
        <f>IF(AH4="forecast",IF(AG4="actual",(SUMIFS(Headcount!$B$6:$B$89,Headcount!$F$6:$F$89,"Software",Headcount!$H$6:$H$89,"&gt;"&amp;AH3,Headcount!$G$6:$G$89,"&lt;"&amp;AH3)+AH8-AH9),(AG7+AH8-AH9)),SUMIFS(Headcount!$B$6:$B$89,Headcount!$F$6:$F$89,"Software",Headcount!$H$6:$H$89,"&gt;"&amp;AH3,Headcount!$G$6:$G$89,"&lt;"&amp;AG3))</f>
        <v>25</v>
      </c>
      <c r="AI7" s="798">
        <f>IF(AI4="forecast",IF(AH4="actual",(SUMIFS(Headcount!$B$6:$B$89,Headcount!$F$6:$F$89,"Software",Headcount!$H$6:$H$89,"&gt;"&amp;AI3,Headcount!$G$6:$G$89,"&lt;"&amp;AI3)+AI8-AI9),(AH7+AI8-AI9)),SUMIFS(Headcount!$B$6:$B$89,Headcount!$F$6:$F$89,"Software",Headcount!$H$6:$H$89,"&gt;"&amp;AI3,Headcount!$G$6:$G$89,"&lt;"&amp;AH3))</f>
        <v>25</v>
      </c>
      <c r="AJ7" s="798">
        <f>IF(AJ4="forecast",IF(AI4="actual",(SUMIFS(Headcount!$B$6:$B$89,Headcount!$F$6:$F$89,"Software",Headcount!$H$6:$H$89,"&gt;"&amp;AJ3,Headcount!$G$6:$G$89,"&lt;"&amp;AJ3)+AJ8-AJ9),(AI7+AJ8-AJ9)),SUMIFS(Headcount!$B$6:$B$89,Headcount!$F$6:$F$89,"Software",Headcount!$H$6:$H$89,"&gt;"&amp;AJ3,Headcount!$G$6:$G$89,"&lt;"&amp;AI3))</f>
        <v>26</v>
      </c>
      <c r="AK7" s="798">
        <f>IF(AK4="forecast",IF(AJ4="actual",(SUMIFS(Headcount!$B$6:$B$89,Headcount!$F$6:$F$89,"Software",Headcount!$H$6:$H$89,"&gt;"&amp;AK3,Headcount!$G$6:$G$89,"&lt;"&amp;AK3)+AK8-AK9),(AJ7+AK8-AK9)),SUMIFS(Headcount!$B$6:$B$89,Headcount!$F$6:$F$89,"Software",Headcount!$H$6:$H$89,"&gt;"&amp;AK3,Headcount!$G$6:$G$89,"&lt;"&amp;AJ3))</f>
        <v>26</v>
      </c>
      <c r="AL7" s="798">
        <f>IF(AL4="forecast",IF(AK4="actual",(SUMIFS(Headcount!$B$6:$B$89,Headcount!$F$6:$F$89,"Software",Headcount!$H$6:$H$89,"&gt;"&amp;AL3,Headcount!$G$6:$G$89,"&lt;"&amp;AL3)+AL8-AL9),(AK7+AL8-AL9)),SUMIFS(Headcount!$B$6:$B$89,Headcount!$F$6:$F$89,"Software",Headcount!$H$6:$H$89,"&gt;"&amp;AL3,Headcount!$G$6:$G$89,"&lt;"&amp;AK3))</f>
        <v>26</v>
      </c>
      <c r="AM7" s="798">
        <f>IF(AM4="forecast",IF(AL4="actual",(SUMIFS(Headcount!$B$6:$B$89,Headcount!$F$6:$F$89,"Software",Headcount!$H$6:$H$89,"&gt;"&amp;AM3,Headcount!$G$6:$G$89,"&lt;"&amp;AM3)+AM8-AM9),(AL7+AM8-AM9)),SUMIFS(Headcount!$B$6:$B$89,Headcount!$F$6:$F$89,"Software",Headcount!$H$6:$H$89,"&gt;"&amp;AM3,Headcount!$G$6:$G$89,"&lt;"&amp;AL3))</f>
        <v>26</v>
      </c>
      <c r="AN7" s="798">
        <f>IF(AN4="forecast",IF(AM4="actual",(SUMIFS(Headcount!$B$6:$B$89,Headcount!$F$6:$F$89,"Software",Headcount!$H$6:$H$89,"&gt;"&amp;AN3,Headcount!$G$6:$G$89,"&lt;"&amp;AN3)+AN8-AN9),(AM7+AN8-AN9)),SUMIFS(Headcount!$B$6:$B$89,Headcount!$F$6:$F$89,"Software",Headcount!$H$6:$H$89,"&gt;"&amp;AN3,Headcount!$G$6:$G$89,"&lt;"&amp;AM3))</f>
        <v>26</v>
      </c>
      <c r="AO7" s="798">
        <f>IF(AO4="forecast",IF(AN4="actual",(SUMIFS(Headcount!$B$6:$B$89,Headcount!$F$6:$F$89,"Software",Headcount!$H$6:$H$89,"&gt;"&amp;AO3,Headcount!$G$6:$G$89,"&lt;"&amp;AO3)+AO8-AO9),(AN7+AO8-AO9)),SUMIFS(Headcount!$B$6:$B$89,Headcount!$F$6:$F$89,"Software",Headcount!$H$6:$H$89,"&gt;"&amp;AO3,Headcount!$G$6:$G$89,"&lt;"&amp;AN3))</f>
        <v>26</v>
      </c>
      <c r="AP7" s="798">
        <f>IF(AP4="forecast",IF(AO4="actual",(SUMIFS(Headcount!$B$6:$B$89,Headcount!$F$6:$F$89,"Software",Headcount!$H$6:$H$89,"&gt;"&amp;AP3,Headcount!$G$6:$G$89,"&lt;"&amp;AP3)+AP8-AP9),(AO7+AP8-AP9)),SUMIFS(Headcount!$B$6:$B$89,Headcount!$F$6:$F$89,"Software",Headcount!$H$6:$H$89,"&gt;"&amp;AP3,Headcount!$G$6:$G$89,"&lt;"&amp;AO3))</f>
        <v>26</v>
      </c>
      <c r="AQ7" s="798">
        <f>IF(AQ4="forecast",IF(AP4="actual",(SUMIFS(Headcount!$B$6:$B$89,Headcount!$F$6:$F$89,"Software",Headcount!$H$6:$H$89,"&gt;"&amp;AQ3,Headcount!$G$6:$G$89,"&lt;"&amp;AQ3)+AQ8-AQ9),(AP7+AQ8-AQ9)),SUMIFS(Headcount!$B$6:$B$89,Headcount!$F$6:$F$89,"Software",Headcount!$H$6:$H$89,"&gt;"&amp;AQ3,Headcount!$G$6:$G$89,"&lt;"&amp;AP3))</f>
        <v>26</v>
      </c>
      <c r="AR7" s="798">
        <f>IF(AR4="forecast",IF(AQ4="actual",(SUMIFS(Headcount!$B$6:$B$89,Headcount!$F$6:$F$89,"Software",Headcount!$H$6:$H$89,"&gt;"&amp;AR3,Headcount!$G$6:$G$89,"&lt;"&amp;AR3)+AR8-AR9),(AQ7+AR8-AR9)),SUMIFS(Headcount!$B$6:$B$89,Headcount!$F$6:$F$89,"Software",Headcount!$H$6:$H$89,"&gt;"&amp;AR3,Headcount!$G$6:$G$89,"&lt;"&amp;AQ3))</f>
        <v>26</v>
      </c>
      <c r="AS7" s="798">
        <f>IF(AS4="forecast",IF(AR4="actual",(SUMIFS(Headcount!$B$6:$B$89,Headcount!$F$6:$F$89,"Software",Headcount!$H$6:$H$89,"&gt;"&amp;AS3,Headcount!$G$6:$G$89,"&lt;"&amp;AS3)+AS8-AS9),(AR7+AS8-AS9)),SUMIFS(Headcount!$B$6:$B$89,Headcount!$F$6:$F$89,"Software",Headcount!$H$6:$H$89,"&gt;"&amp;AS3,Headcount!$G$6:$G$89,"&lt;"&amp;AR3))</f>
        <v>26</v>
      </c>
      <c r="AT7" s="798">
        <f>IF(AT4="forecast",IF(AS4="actual",(SUMIFS(Headcount!$B$6:$B$89,Headcount!$F$6:$F$89,"Software",Headcount!$H$6:$H$89,"&gt;"&amp;AT3,Headcount!$G$6:$G$89,"&lt;"&amp;AT3)+AT8-AT9),(AS7+AT8-AT9)),SUMIFS(Headcount!$B$6:$B$89,Headcount!$F$6:$F$89,"Software",Headcount!$H$6:$H$89,"&gt;"&amp;AT3,Headcount!$G$6:$G$89,"&lt;"&amp;AS3))</f>
        <v>26</v>
      </c>
      <c r="AU7" s="798">
        <f>IF(AU4="forecast",IF(AT4="actual",(SUMIFS(Headcount!$B$6:$B$89,Headcount!$F$6:$F$89,"Software",Headcount!$H$6:$H$89,"&gt;"&amp;AU3,Headcount!$G$6:$G$89,"&lt;"&amp;AU3)+AU8-AU9),(AT7+AU8-AU9)),SUMIFS(Headcount!$B$6:$B$89,Headcount!$F$6:$F$89,"Software",Headcount!$H$6:$H$89,"&gt;"&amp;AU3,Headcount!$G$6:$G$89,"&lt;"&amp;AT3))</f>
        <v>26</v>
      </c>
      <c r="AV7" s="798">
        <f>IF(AV4="forecast",IF(AU4="actual",(SUMIFS(Headcount!$B$6:$B$89,Headcount!$F$6:$F$89,"Software",Headcount!$H$6:$H$89,"&gt;"&amp;AV3,Headcount!$G$6:$G$89,"&lt;"&amp;AV3)+AV8-AV9),(AU7+AV8-AV9)),SUMIFS(Headcount!$B$6:$B$89,Headcount!$F$6:$F$89,"Software",Headcount!$H$6:$H$89,"&gt;"&amp;AV3,Headcount!$G$6:$G$89,"&lt;"&amp;AU3))</f>
        <v>26</v>
      </c>
      <c r="AW7" s="798">
        <f>IF(AW4="forecast",IF(AV4="actual",(SUMIFS(Headcount!$B$6:$B$89,Headcount!$F$6:$F$89,"Software",Headcount!$H$6:$H$89,"&gt;"&amp;AW3,Headcount!$G$6:$G$89,"&lt;"&amp;AW3)+AW8-AW9),(AV7+AW8-AW9)),SUMIFS(Headcount!$B$6:$B$89,Headcount!$F$6:$F$89,"Software",Headcount!$H$6:$H$89,"&gt;"&amp;AW3,Headcount!$G$6:$G$89,"&lt;"&amp;AV3))</f>
        <v>26</v>
      </c>
      <c r="AX7" s="798">
        <f>IF(AX4="forecast",IF(AW4="actual",(SUMIFS(Headcount!$B$6:$B$89,Headcount!$F$6:$F$89,"Software",Headcount!$H$6:$H$89,"&gt;"&amp;AX3,Headcount!$G$6:$G$89,"&lt;"&amp;AX3)+AX8-AX9),(AW7+AX8-AX9)),SUMIFS(Headcount!$B$6:$B$89,Headcount!$F$6:$F$89,"Software",Headcount!$H$6:$H$89,"&gt;"&amp;AX3,Headcount!$G$6:$G$89,"&lt;"&amp;AW3))</f>
        <v>26</v>
      </c>
      <c r="AY7" s="798">
        <f>IF(AY4="forecast",IF(AX4="actual",(SUMIFS(Headcount!$B$6:$B$89,Headcount!$F$6:$F$89,"Software",Headcount!$H$6:$H$89,"&gt;"&amp;AY3,Headcount!$G$6:$G$89,"&lt;"&amp;AY3)+AY8-AY9),(AX7+AY8-AY9)),SUMIFS(Headcount!$B$6:$B$89,Headcount!$F$6:$F$89,"Software",Headcount!$H$6:$H$89,"&gt;"&amp;AY3,Headcount!$G$6:$G$89,"&lt;"&amp;AX3))</f>
        <v>26</v>
      </c>
      <c r="AZ7" s="798">
        <f>IF(AZ4="forecast",IF(AY4="actual",(SUMIFS(Headcount!$B$6:$B$89,Headcount!$F$6:$F$89,"Software",Headcount!$H$6:$H$89,"&gt;"&amp;AZ3,Headcount!$G$6:$G$89,"&lt;"&amp;AZ3)+AZ8-AZ9),(AY7+AZ8-AZ9)),SUMIFS(Headcount!$B$6:$B$89,Headcount!$F$6:$F$89,"Software",Headcount!$H$6:$H$89,"&gt;"&amp;AZ3,Headcount!$G$6:$G$89,"&lt;"&amp;AY3))</f>
        <v>26</v>
      </c>
      <c r="BA7" s="798">
        <f>IF(BA4="forecast",IF(AZ4="actual",(SUMIFS(Headcount!$B$6:$B$89,Headcount!$F$6:$F$89,"Software",Headcount!$H$6:$H$89,"&gt;"&amp;BA3,Headcount!$G$6:$G$89,"&lt;"&amp;BA3)+BA8-BA9),(AZ7+BA8-BA9)),SUMIFS(Headcount!$B$6:$B$89,Headcount!$F$6:$F$89,"Software",Headcount!$H$6:$H$89,"&gt;"&amp;BA3,Headcount!$G$6:$G$89,"&lt;"&amp;AZ3))</f>
        <v>26</v>
      </c>
      <c r="BB7" s="798">
        <f>IF(BB4="forecast",IF(BA4="actual",(SUMIFS(Headcount!$B$6:$B$89,Headcount!$F$6:$F$89,"Software",Headcount!$H$6:$H$89,"&gt;"&amp;BB3,Headcount!$G$6:$G$89,"&lt;"&amp;BB3)+BB8-BB9),(BA7+BB8-BB9)),SUMIFS(Headcount!$B$6:$B$89,Headcount!$F$6:$F$89,"Software",Headcount!$H$6:$H$89,"&gt;"&amp;BB3,Headcount!$G$6:$G$89,"&lt;"&amp;BA3))</f>
        <v>26</v>
      </c>
      <c r="BC7" s="798">
        <f>IF(BC4="forecast",IF(BB4="actual",(SUMIFS(Headcount!$B$6:$B$89,Headcount!$F$6:$F$89,"Software",Headcount!$H$6:$H$89,"&gt;"&amp;BC3,Headcount!$G$6:$G$89,"&lt;"&amp;BC3)+BC8-BC9),(BB7+BC8-BC9)),SUMIFS(Headcount!$B$6:$B$89,Headcount!$F$6:$F$89,"Software",Headcount!$H$6:$H$89,"&gt;"&amp;BC3,Headcount!$G$6:$G$89,"&lt;"&amp;BB3))</f>
        <v>26</v>
      </c>
      <c r="BD7" s="798">
        <f>IF(BD4="forecast",IF(BC4="actual",(SUMIFS(Headcount!$B$6:$B$89,Headcount!$F$6:$F$89,"Software",Headcount!$H$6:$H$89,"&gt;"&amp;BD3,Headcount!$G$6:$G$89,"&lt;"&amp;BD3)+BD8-BD9),(BC7+BD8-BD9)),SUMIFS(Headcount!$B$6:$B$89,Headcount!$F$6:$F$89,"Software",Headcount!$H$6:$H$89,"&gt;"&amp;BD3,Headcount!$G$6:$G$89,"&lt;"&amp;BC3))</f>
        <v>26</v>
      </c>
      <c r="BE7" s="798">
        <f>IF(BE4="forecast",IF(BD4="actual",(SUMIFS(Headcount!$B$6:$B$89,Headcount!$F$6:$F$89,"Software",Headcount!$H$6:$H$89,"&gt;"&amp;BE3,Headcount!$G$6:$G$89,"&lt;"&amp;BE3)+BE8-BE9),(BD7+BE8-BE9)),SUMIFS(Headcount!$B$6:$B$89,Headcount!$F$6:$F$89,"Software",Headcount!$H$6:$H$89,"&gt;"&amp;BE3,Headcount!$G$6:$G$89,"&lt;"&amp;BD3))</f>
        <v>26</v>
      </c>
      <c r="BF7" s="798">
        <f>IF(BF4="forecast",IF(BE4="actual",(SUMIFS(Headcount!$B$6:$B$89,Headcount!$F$6:$F$89,"Software",Headcount!$H$6:$H$89,"&gt;"&amp;BF3,Headcount!$G$6:$G$89,"&lt;"&amp;BF3)+BF8-BF9),(BE7+BF8-BF9)),SUMIFS(Headcount!$B$6:$B$89,Headcount!$F$6:$F$89,"Software",Headcount!$H$6:$H$89,"&gt;"&amp;BF3,Headcount!$G$6:$G$89,"&lt;"&amp;BE3))</f>
        <v>26</v>
      </c>
      <c r="BG7" s="798">
        <f>IF(BG4="forecast",IF(BF4="actual",(SUMIFS(Headcount!$B$6:$B$89,Headcount!$F$6:$F$89,"Software",Headcount!$H$6:$H$89,"&gt;"&amp;BG3,Headcount!$G$6:$G$89,"&lt;"&amp;BG3)+BG8-BG9),(BF7+BG8-BG9)),SUMIFS(Headcount!$B$6:$B$89,Headcount!$F$6:$F$89,"Software",Headcount!$H$6:$H$89,"&gt;"&amp;BG3,Headcount!$G$6:$G$89,"&lt;"&amp;BF3))</f>
        <v>26</v>
      </c>
      <c r="BH7" s="798">
        <f>IF(BH4="forecast",IF(BG4="actual",(SUMIFS(Headcount!$B$6:$B$89,Headcount!$F$6:$F$89,"Software",Headcount!$H$6:$H$89,"&gt;"&amp;BH3,Headcount!$G$6:$G$89,"&lt;"&amp;BH3)+BH8-BH9),(BG7+BH8-BH9)),SUMIFS(Headcount!$B$6:$B$89,Headcount!$F$6:$F$89,"Software",Headcount!$H$6:$H$89,"&gt;"&amp;BH3,Headcount!$G$6:$G$89,"&lt;"&amp;BG3))</f>
        <v>26</v>
      </c>
      <c r="BI7" s="798">
        <f>IF(BI4="forecast",IF(BH4="actual",(SUMIFS(Headcount!$B$6:$B$89,Headcount!$F$6:$F$89,"Software",Headcount!$H$6:$H$89,"&gt;"&amp;BI3,Headcount!$G$6:$G$89,"&lt;"&amp;BI3)+BI8-BI9),(BH7+BI8-BI9)),SUMIFS(Headcount!$B$6:$B$89,Headcount!$F$6:$F$89,"Software",Headcount!$H$6:$H$89,"&gt;"&amp;BI3,Headcount!$G$6:$G$89,"&lt;"&amp;BH3))</f>
        <v>26</v>
      </c>
      <c r="BJ7" s="798">
        <f>IF(BJ4="forecast",IF(BI4="actual",(SUMIFS(Headcount!$B$6:$B$89,Headcount!$F$6:$F$89,"Software",Headcount!$H$6:$H$89,"&gt;"&amp;BJ3,Headcount!$G$6:$G$89,"&lt;"&amp;BJ3)+BJ8-BJ9),(BI7+BJ8-BJ9)),SUMIFS(Headcount!$B$6:$B$89,Headcount!$F$6:$F$89,"Software",Headcount!$H$6:$H$89,"&gt;"&amp;BJ3,Headcount!$G$6:$G$89,"&lt;"&amp;BI3))</f>
        <v>26</v>
      </c>
      <c r="BK7" s="798">
        <f>IF(BK4="forecast",IF(BJ4="actual",(SUMIFS(Headcount!$B$6:$B$89,Headcount!$F$6:$F$89,"Software",Headcount!$H$6:$H$89,"&gt;"&amp;BK3,Headcount!$G$6:$G$89,"&lt;"&amp;BK3)+BK8-BK9),(BJ7+BK8-BK9)),SUMIFS(Headcount!$B$6:$B$89,Headcount!$F$6:$F$89,"Software",Headcount!$H$6:$H$89,"&gt;"&amp;BK3,Headcount!$G$6:$G$89,"&lt;"&amp;BJ3))</f>
        <v>26</v>
      </c>
      <c r="BL7" s="798">
        <f>IF(BL4="forecast",IF(BK4="actual",(SUMIFS(Headcount!$B$6:$B$89,Headcount!$F$6:$F$89,"Software",Headcount!$H$6:$H$89,"&gt;"&amp;BL3,Headcount!$G$6:$G$89,"&lt;"&amp;BL3)+BL8-BL9),(BK7+BL8-BL9)),SUMIFS(Headcount!$B$6:$B$89,Headcount!$F$6:$F$89,"Software",Headcount!$H$6:$H$89,"&gt;"&amp;BL3,Headcount!$G$6:$G$89,"&lt;"&amp;BK3))</f>
        <v>26</v>
      </c>
      <c r="BM7" s="798">
        <f>IF(BM4="forecast",IF(BL4="actual",(SUMIFS(Headcount!$B$6:$B$89,Headcount!$F$6:$F$89,"Software",Headcount!$H$6:$H$89,"&gt;"&amp;BM3,Headcount!$G$6:$G$89,"&lt;"&amp;BM3)+BM8-BM9),(BL7+BM8-BM9)),SUMIFS(Headcount!$B$6:$B$89,Headcount!$F$6:$F$89,"Software",Headcount!$H$6:$H$89,"&gt;"&amp;BM3,Headcount!$G$6:$G$89,"&lt;"&amp;BL3))</f>
        <v>26</v>
      </c>
      <c r="BN7" s="798">
        <f>IF(BN4="forecast",IF(BM4="actual",(SUMIFS(Headcount!$B$6:$B$89,Headcount!$F$6:$F$89,"Software",Headcount!$H$6:$H$89,"&gt;"&amp;BN3,Headcount!$G$6:$G$89,"&lt;"&amp;BN3)+BN8-BN9),(BM7+BN8-BN9)),SUMIFS(Headcount!$B$6:$B$89,Headcount!$F$6:$F$89,"Software",Headcount!$H$6:$H$89,"&gt;"&amp;BN3,Headcount!$G$6:$G$89,"&lt;"&amp;BM3))</f>
        <v>26</v>
      </c>
      <c r="BO7" s="798">
        <f>IF(BO4="forecast",IF(BN4="actual",(SUMIFS(Headcount!$B$6:$B$89,Headcount!$F$6:$F$89,"Software",Headcount!$H$6:$H$89,"&gt;"&amp;BO3,Headcount!$G$6:$G$89,"&lt;"&amp;BO3)+BO8-BO9),(BN7+BO8-BO9)),SUMIFS(Headcount!$B$6:$B$89,Headcount!$F$6:$F$89,"Software",Headcount!$H$6:$H$89,"&gt;"&amp;BO3,Headcount!$G$6:$G$89,"&lt;"&amp;BN3))</f>
        <v>26</v>
      </c>
      <c r="BP7" s="798">
        <f>IF(BP4="forecast",IF(BO4="actual",(SUMIFS(Headcount!$B$6:$B$89,Headcount!$F$6:$F$89,"Software",Headcount!$H$6:$H$89,"&gt;"&amp;BP3,Headcount!$G$6:$G$89,"&lt;"&amp;BP3)+BP8-BP9),(BO7+BP8-BP9)),SUMIFS(Headcount!$B$6:$B$89,Headcount!$F$6:$F$89,"Software",Headcount!$H$6:$H$89,"&gt;"&amp;BP3,Headcount!$G$6:$G$89,"&lt;"&amp;BO3))</f>
        <v>26</v>
      </c>
      <c r="BQ7" s="798">
        <f>IF(BQ4="forecast",IF(BP4="actual",(SUMIFS(Headcount!$B$6:$B$89,Headcount!$F$6:$F$89,"Software",Headcount!$H$6:$H$89,"&gt;"&amp;BQ3,Headcount!$G$6:$G$89,"&lt;"&amp;BQ3)+BQ8-BQ9),(BP7+BQ8-BQ9)),SUMIFS(Headcount!$B$6:$B$89,Headcount!$F$6:$F$89,"Software",Headcount!$H$6:$H$89,"&gt;"&amp;BQ3,Headcount!$G$6:$G$89,"&lt;"&amp;BP3))</f>
        <v>26</v>
      </c>
      <c r="BR7" s="798">
        <f>IF(BR4="forecast",IF(BQ4="actual",(SUMIFS(Headcount!$B$6:$B$89,Headcount!$F$6:$F$89,"Software",Headcount!$H$6:$H$89,"&gt;"&amp;BR3,Headcount!$G$6:$G$89,"&lt;"&amp;BR3)+BR8-BR9),(BQ7+BR8-BR9)),SUMIFS(Headcount!$B$6:$B$89,Headcount!$F$6:$F$89,"Software",Headcount!$H$6:$H$89,"&gt;"&amp;BR3,Headcount!$G$6:$G$89,"&lt;"&amp;BQ3))</f>
        <v>26</v>
      </c>
      <c r="BS7" s="798">
        <f>IF(BS4="forecast",IF(BR4="actual",(SUMIFS(Headcount!$B$6:$B$89,Headcount!$F$6:$F$89,"Software",Headcount!$H$6:$H$89,"&gt;"&amp;BS3,Headcount!$G$6:$G$89,"&lt;"&amp;BS3)+BS8-BS9),(BR7+BS8-BS9)),SUMIFS(Headcount!$B$6:$B$89,Headcount!$F$6:$F$89,"Software",Headcount!$H$6:$H$89,"&gt;"&amp;BS3,Headcount!$G$6:$G$89,"&lt;"&amp;BR3))</f>
        <v>26</v>
      </c>
      <c r="BT7" s="798">
        <f>IF(BT4="forecast",IF(BS4="actual",(SUMIFS(Headcount!$B$6:$B$89,Headcount!$F$6:$F$89,"Software",Headcount!$H$6:$H$89,"&gt;"&amp;BT3,Headcount!$G$6:$G$89,"&lt;"&amp;BT3)+BT8-BT9),(BS7+BT8-BT9)),SUMIFS(Headcount!$B$6:$B$89,Headcount!$F$6:$F$89,"Software",Headcount!$H$6:$H$89,"&gt;"&amp;BT3,Headcount!$G$6:$G$89,"&lt;"&amp;BS3))</f>
        <v>26</v>
      </c>
      <c r="BU7" s="798">
        <f>IF(BU4="forecast",IF(BT4="actual",(SUMIFS(Headcount!$B$6:$B$89,Headcount!$F$6:$F$89,"Software",Headcount!$H$6:$H$89,"&gt;"&amp;BU3,Headcount!$G$6:$G$89,"&lt;"&amp;BU3)+BU8-BU9),(BT7+BU8-BU9)),SUMIFS(Headcount!$B$6:$B$89,Headcount!$F$6:$F$89,"Software",Headcount!$H$6:$H$89,"&gt;"&amp;BU3,Headcount!$G$6:$G$89,"&lt;"&amp;BT3))</f>
        <v>26</v>
      </c>
      <c r="BV7" s="799">
        <f>IF(BV4="forecast",IF(BU4="actual",(SUMIFS(Headcount!$B$6:$B$89,Headcount!$F$6:$F$89,"Software",Headcount!$H$6:$H$89,"&gt;"&amp;BV3,Headcount!$G$6:$G$89,"&lt;"&amp;BV3)+BV8-BV9),(BU7+BV8-BV9)),SUMIFS(Headcount!$B$6:$B$89,Headcount!$F$6:$F$89,"Software",Headcount!$H$6:$H$89,"&gt;"&amp;BV3,Headcount!$G$6:$G$89,"&lt;"&amp;BU3))</f>
        <v>26</v>
      </c>
    </row>
    <row r="8" spans="2:75" x14ac:dyDescent="0.35">
      <c r="B8" s="794" t="s">
        <v>15</v>
      </c>
      <c r="C8" s="798">
        <f>SUMIFS('New Hires Forecast'!$B$5:$B$83,'New Hires Forecast'!$G$5:$G$83,"&gt;"&amp;Software!B3,'New Hires Forecast'!$G$5:$G$83,"&lt;="&amp;Software!C3,'New Hires Forecast'!$F$5:$F$83,"Software")</f>
        <v>0</v>
      </c>
      <c r="D8" s="798">
        <f>SUMIFS('New Hires Forecast'!$B$5:$B$83,'New Hires Forecast'!$G$5:$G$83,"&gt;"&amp;Software!C3,'New Hires Forecast'!$G$5:$G$83,"&lt;="&amp;Software!D3,'New Hires Forecast'!$F$5:$F$83,"Software")</f>
        <v>0</v>
      </c>
      <c r="E8" s="798">
        <f>SUMIFS('New Hires Forecast'!$B$5:$B$83,'New Hires Forecast'!$G$5:$G$83,"&gt;"&amp;Software!D3,'New Hires Forecast'!$G$5:$G$83,"&lt;="&amp;Software!E3,'New Hires Forecast'!$F$5:$F$83,"Software")</f>
        <v>0</v>
      </c>
      <c r="F8" s="798">
        <f>SUMIFS('New Hires Forecast'!$B$5:$B$83,'New Hires Forecast'!$G$5:$G$83,"&gt;"&amp;Software!E3,'New Hires Forecast'!$G$5:$G$83,"&lt;="&amp;Software!F3,'New Hires Forecast'!$F$5:$F$83,"Software")</f>
        <v>0</v>
      </c>
      <c r="G8" s="798">
        <f>SUMIFS('New Hires Forecast'!$B$5:$B$83,'New Hires Forecast'!$G$5:$G$83,"&gt;"&amp;Software!F3,'New Hires Forecast'!$G$5:$G$83,"&lt;="&amp;Software!G3,'New Hires Forecast'!$F$5:$F$83,"Software")</f>
        <v>0</v>
      </c>
      <c r="H8" s="798">
        <f>SUMIFS('New Hires Forecast'!$B$5:$B$83,'New Hires Forecast'!$G$5:$G$83,"&gt;"&amp;Software!G3,'New Hires Forecast'!$G$5:$G$83,"&lt;="&amp;Software!H3,'New Hires Forecast'!$F$5:$F$83,"Software")</f>
        <v>0</v>
      </c>
      <c r="I8" s="798">
        <f>SUMIFS('New Hires Forecast'!$B$5:$B$83,'New Hires Forecast'!$G$5:$G$83,"&gt;"&amp;Software!H3,'New Hires Forecast'!$G$5:$G$83,"&lt;="&amp;Software!I3,'New Hires Forecast'!$F$5:$F$83,"Software")</f>
        <v>0</v>
      </c>
      <c r="J8" s="798">
        <f>SUMIFS('New Hires Forecast'!$B$5:$B$83,'New Hires Forecast'!$G$5:$G$83,"&gt;"&amp;Software!I3,'New Hires Forecast'!$G$5:$G$83,"&lt;="&amp;Software!J3,'New Hires Forecast'!$F$5:$F$83,"Software")</f>
        <v>0</v>
      </c>
      <c r="K8" s="798">
        <f>SUMIFS('New Hires Forecast'!$B$5:$B$83,'New Hires Forecast'!$G$5:$G$83,"&gt;"&amp;Software!J3,'New Hires Forecast'!$G$5:$G$83,"&lt;="&amp;Software!K3,'New Hires Forecast'!$F$5:$F$83,"Software")</f>
        <v>0</v>
      </c>
      <c r="L8" s="798">
        <f>SUMIFS('New Hires Forecast'!$B$5:$B$83,'New Hires Forecast'!$G$5:$G$83,"&gt;"&amp;Software!K3,'New Hires Forecast'!$G$5:$G$83,"&lt;="&amp;Software!L3,'New Hires Forecast'!$F$5:$F$83,"Software")</f>
        <v>0</v>
      </c>
      <c r="M8" s="798">
        <f>SUMIFS('New Hires Forecast'!$B$5:$B$83,'New Hires Forecast'!$G$5:$G$83,"&gt;"&amp;Software!L3,'New Hires Forecast'!$G$5:$G$83,"&lt;="&amp;Software!M3,'New Hires Forecast'!$F$5:$F$83,"Software")</f>
        <v>0</v>
      </c>
      <c r="N8" s="798">
        <f>SUMIFS('New Hires Forecast'!$B$5:$B$83,'New Hires Forecast'!$G$5:$G$83,"&gt;"&amp;Software!M3,'New Hires Forecast'!$G$5:$G$83,"&lt;="&amp;Software!N3,'New Hires Forecast'!$F$5:$F$83,"Software")</f>
        <v>0</v>
      </c>
      <c r="O8" s="798">
        <f>SUMIFS('New Hires Forecast'!$B$5:$B$83,'New Hires Forecast'!$G$5:$G$83,"&gt;"&amp;Software!N3,'New Hires Forecast'!$G$5:$G$83,"&lt;="&amp;Software!O3,'New Hires Forecast'!$F$5:$F$83,"Software")</f>
        <v>0</v>
      </c>
      <c r="P8" s="798">
        <f>SUMIFS('New Hires Forecast'!$B$5:$B$83,'New Hires Forecast'!$G$5:$G$83,"&gt;"&amp;Software!O3,'New Hires Forecast'!$G$5:$G$83,"&lt;="&amp;Software!P3,'New Hires Forecast'!$F$5:$F$83,"Software")</f>
        <v>0</v>
      </c>
      <c r="Q8" s="798">
        <f>SUMIFS('New Hires Forecast'!$B$5:$B$83,'New Hires Forecast'!$G$5:$G$83,"&gt;"&amp;Software!P3,'New Hires Forecast'!$G$5:$G$83,"&lt;="&amp;Software!Q3,'New Hires Forecast'!$F$5:$F$83,"Software")</f>
        <v>0</v>
      </c>
      <c r="R8" s="798">
        <f>SUMIFS('New Hires Forecast'!$B$5:$B$83,'New Hires Forecast'!$G$5:$G$83,"&gt;"&amp;Software!Q3,'New Hires Forecast'!$G$5:$G$83,"&lt;="&amp;Software!R3,'New Hires Forecast'!$F$5:$F$83,"Software")</f>
        <v>0</v>
      </c>
      <c r="S8" s="798">
        <f>SUMIFS('New Hires Forecast'!$B$5:$B$83,'New Hires Forecast'!$G$5:$G$83,"&gt;"&amp;Software!R3,'New Hires Forecast'!$G$5:$G$83,"&lt;="&amp;Software!S3,'New Hires Forecast'!$F$5:$F$83,"Software")</f>
        <v>0</v>
      </c>
      <c r="T8" s="798">
        <f>SUMIFS('New Hires Forecast'!$B$5:$B$83,'New Hires Forecast'!$G$5:$G$83,"&gt;"&amp;Software!S3,'New Hires Forecast'!$G$5:$G$83,"&lt;="&amp;Software!T3,'New Hires Forecast'!$F$5:$F$83,"Software")</f>
        <v>0</v>
      </c>
      <c r="U8" s="798">
        <f>SUMIFS('New Hires Forecast'!$B$5:$B$83,'New Hires Forecast'!$G$5:$G$83,"&gt;"&amp;Software!T3,'New Hires Forecast'!$G$5:$G$83,"&lt;="&amp;Software!U3,'New Hires Forecast'!$F$5:$F$83,"Software")</f>
        <v>0</v>
      </c>
      <c r="V8" s="798">
        <f>SUMIFS('New Hires Forecast'!$B$5:$B$83,'New Hires Forecast'!$G$5:$G$83,"&gt;"&amp;Software!U3,'New Hires Forecast'!$G$5:$G$83,"&lt;="&amp;Software!V3,'New Hires Forecast'!$F$5:$F$83,"Software")</f>
        <v>0</v>
      </c>
      <c r="W8" s="798">
        <f>SUMIFS('New Hires Forecast'!$B$5:$B$83,'New Hires Forecast'!$G$5:$G$83,"&gt;"&amp;Software!V3,'New Hires Forecast'!$G$5:$G$83,"&lt;="&amp;Software!W3,'New Hires Forecast'!$F$5:$F$83,"Software")</f>
        <v>0</v>
      </c>
      <c r="X8" s="798">
        <f>SUMIFS('New Hires Forecast'!$B$5:$B$83,'New Hires Forecast'!$G$5:$G$83,"&gt;"&amp;Software!W3,'New Hires Forecast'!$G$5:$G$83,"&lt;="&amp;Software!X3,'New Hires Forecast'!$F$5:$F$83,"Software")</f>
        <v>0</v>
      </c>
      <c r="Y8" s="798">
        <f>SUMIFS('New Hires Forecast'!$B$5:$B$83,'New Hires Forecast'!$G$5:$G$83,"&gt;"&amp;Software!X3,'New Hires Forecast'!$G$5:$G$83,"&lt;="&amp;Software!Y3,'New Hires Forecast'!$F$5:$F$83,"Software")</f>
        <v>0</v>
      </c>
      <c r="Z8" s="798">
        <f>SUMIFS('New Hires Forecast'!$B$5:$B$83,'New Hires Forecast'!$G$5:$G$83,"&gt;"&amp;Software!Y3,'New Hires Forecast'!$G$5:$G$83,"&lt;="&amp;Software!Z3,'New Hires Forecast'!$F$5:$F$83,"Software")</f>
        <v>0</v>
      </c>
      <c r="AA8" s="798">
        <f>SUMIFS('New Hires Forecast'!$B$5:$B$83,'New Hires Forecast'!$G$5:$G$83,"&gt;"&amp;Software!Z3,'New Hires Forecast'!$G$5:$G$83,"&lt;="&amp;Software!AA3,'New Hires Forecast'!$F$5:$F$83,"Software")</f>
        <v>0</v>
      </c>
      <c r="AB8" s="798">
        <f>SUMIFS('New Hires Forecast'!$B$5:$B$83,'New Hires Forecast'!$G$5:$G$83,"&gt;"&amp;Software!AA3,'New Hires Forecast'!$G$5:$G$83,"&lt;="&amp;Software!AB3,'New Hires Forecast'!$F$5:$F$83,"Software")</f>
        <v>0</v>
      </c>
      <c r="AC8" s="798">
        <f>SUMIFS('New Hires Forecast'!$B$5:$B$83,'New Hires Forecast'!$G$5:$G$83,"&gt;"&amp;Software!AB3,'New Hires Forecast'!$G$5:$G$83,"&lt;="&amp;Software!AC3,'New Hires Forecast'!$F$5:$F$83,"Software")</f>
        <v>0</v>
      </c>
      <c r="AD8" s="798">
        <f>SUMIFS('New Hires Forecast'!$B$5:$B$83,'New Hires Forecast'!$G$5:$G$83,"&gt;"&amp;Software!AC3,'New Hires Forecast'!$G$5:$G$83,"&lt;="&amp;Software!AD3,'New Hires Forecast'!$F$5:$F$83,"Software")</f>
        <v>0</v>
      </c>
      <c r="AE8" s="798">
        <f>SUMIFS('New Hires Forecast'!$B$5:$B$83,'New Hires Forecast'!$G$5:$G$83,"&gt;"&amp;Software!AD3,'New Hires Forecast'!$G$5:$G$83,"&lt;="&amp;Software!AE3,'New Hires Forecast'!$F$5:$F$83,"Software")</f>
        <v>0</v>
      </c>
      <c r="AF8" s="798">
        <f>SUMIFS('New Hires Forecast'!$B$5:$B$83,'New Hires Forecast'!$G$5:$G$83,"&gt;"&amp;Software!AE3,'New Hires Forecast'!$G$5:$G$83,"&lt;="&amp;Software!AF3,'New Hires Forecast'!$F$5:$F$83,"Software")</f>
        <v>0</v>
      </c>
      <c r="AG8" s="798">
        <f>SUMIFS('New Hires Forecast'!$B$5:$B$83,'New Hires Forecast'!$G$5:$G$83,"&gt;"&amp;Software!AF3,'New Hires Forecast'!$G$5:$G$83,"&lt;="&amp;Software!AG3,'New Hires Forecast'!$F$5:$F$83,"Software")</f>
        <v>2</v>
      </c>
      <c r="AH8" s="798">
        <f>SUMIFS('New Hires Forecast'!$B$5:$B$83,'New Hires Forecast'!$G$5:$G$83,"&gt;"&amp;Software!AG3,'New Hires Forecast'!$G$5:$G$83,"&lt;="&amp;Software!AH3,'New Hires Forecast'!$F$5:$F$83,"Software")</f>
        <v>0</v>
      </c>
      <c r="AI8" s="798">
        <f>SUMIFS('New Hires Forecast'!$B$5:$B$83,'New Hires Forecast'!$G$5:$G$83,"&gt;"&amp;Software!AH3,'New Hires Forecast'!$G$5:$G$83,"&lt;="&amp;Software!AI3,'New Hires Forecast'!$F$5:$F$83,"Software")</f>
        <v>0</v>
      </c>
      <c r="AJ8" s="798">
        <f>SUMIFS('New Hires Forecast'!$B$5:$B$83,'New Hires Forecast'!$G$5:$G$83,"&gt;"&amp;Software!AI3,'New Hires Forecast'!$G$5:$G$83,"&lt;="&amp;Software!AJ3,'New Hires Forecast'!$F$5:$F$83,"Software")</f>
        <v>1</v>
      </c>
      <c r="AK8" s="798">
        <f>SUMIFS('New Hires Forecast'!$B$5:$B$83,'New Hires Forecast'!$G$5:$G$83,"&gt;"&amp;Software!AJ3,'New Hires Forecast'!$G$5:$G$83,"&lt;="&amp;Software!AK3,'New Hires Forecast'!$F$5:$F$83,"Software")</f>
        <v>0</v>
      </c>
      <c r="AL8" s="798">
        <f>SUMIFS('New Hires Forecast'!$B$5:$B$83,'New Hires Forecast'!$G$5:$G$83,"&gt;"&amp;Software!AK3,'New Hires Forecast'!$G$5:$G$83,"&lt;="&amp;Software!AL3,'New Hires Forecast'!$F$5:$F$83,"Software")</f>
        <v>0</v>
      </c>
      <c r="AM8" s="798">
        <f>SUMIFS('New Hires Forecast'!$B$5:$B$83,'New Hires Forecast'!$G$5:$G$83,"&gt;"&amp;Software!AL3,'New Hires Forecast'!$G$5:$G$83,"&lt;="&amp;Software!AM3,'New Hires Forecast'!$F$5:$F$83,"Software")</f>
        <v>0</v>
      </c>
      <c r="AN8" s="798">
        <f>SUMIFS('New Hires Forecast'!$B$5:$B$83,'New Hires Forecast'!$G$5:$G$83,"&gt;"&amp;Software!AM3,'New Hires Forecast'!$G$5:$G$83,"&lt;="&amp;Software!AN3,'New Hires Forecast'!$F$5:$F$83,"Software")</f>
        <v>0</v>
      </c>
      <c r="AO8" s="798">
        <f>SUMIFS('New Hires Forecast'!$B$5:$B$83,'New Hires Forecast'!$G$5:$G$83,"&gt;"&amp;Software!AN3,'New Hires Forecast'!$G$5:$G$83,"&lt;="&amp;Software!AO3,'New Hires Forecast'!$F$5:$F$83,"Software")</f>
        <v>0</v>
      </c>
      <c r="AP8" s="798">
        <f>SUMIFS('New Hires Forecast'!$B$5:$B$83,'New Hires Forecast'!$G$5:$G$83,"&gt;"&amp;Software!AO3,'New Hires Forecast'!$G$5:$G$83,"&lt;="&amp;Software!AP3,'New Hires Forecast'!$F$5:$F$83,"Software")</f>
        <v>0</v>
      </c>
      <c r="AQ8" s="798">
        <f>SUMIFS('New Hires Forecast'!$B$5:$B$83,'New Hires Forecast'!$G$5:$G$83,"&gt;"&amp;Software!AP3,'New Hires Forecast'!$G$5:$G$83,"&lt;="&amp;Software!AQ3,'New Hires Forecast'!$F$5:$F$83,"Software")</f>
        <v>0</v>
      </c>
      <c r="AR8" s="798">
        <f>SUMIFS('New Hires Forecast'!$B$5:$B$83,'New Hires Forecast'!$G$5:$G$83,"&gt;"&amp;Software!AQ3,'New Hires Forecast'!$G$5:$G$83,"&lt;="&amp;Software!AR3,'New Hires Forecast'!$F$5:$F$83,"Software")</f>
        <v>0</v>
      </c>
      <c r="AS8" s="798">
        <f>SUMIFS('New Hires Forecast'!$B$5:$B$83,'New Hires Forecast'!$G$5:$G$83,"&gt;"&amp;Software!AR3,'New Hires Forecast'!$G$5:$G$83,"&lt;="&amp;Software!AS3,'New Hires Forecast'!$F$5:$F$83,"Software")</f>
        <v>0</v>
      </c>
      <c r="AT8" s="798">
        <f>SUMIFS('New Hires Forecast'!$B$5:$B$83,'New Hires Forecast'!$G$5:$G$83,"&gt;"&amp;Software!AS3,'New Hires Forecast'!$G$5:$G$83,"&lt;="&amp;Software!AT3,'New Hires Forecast'!$F$5:$F$83,"Software")</f>
        <v>0</v>
      </c>
      <c r="AU8" s="798">
        <f>SUMIFS('New Hires Forecast'!$B$5:$B$83,'New Hires Forecast'!$G$5:$G$83,"&gt;"&amp;Software!AT3,'New Hires Forecast'!$G$5:$G$83,"&lt;="&amp;Software!AU3,'New Hires Forecast'!$F$5:$F$83,"Software")</f>
        <v>0</v>
      </c>
      <c r="AV8" s="798">
        <f>SUMIFS('New Hires Forecast'!$B$5:$B$83,'New Hires Forecast'!$G$5:$G$83,"&gt;"&amp;Software!AU3,'New Hires Forecast'!$G$5:$G$83,"&lt;="&amp;Software!AV3,'New Hires Forecast'!$F$5:$F$83,"Software")</f>
        <v>0</v>
      </c>
      <c r="AW8" s="798">
        <f>SUMIFS('New Hires Forecast'!$B$5:$B$83,'New Hires Forecast'!$G$5:$G$83,"&gt;"&amp;Software!AV3,'New Hires Forecast'!$G$5:$G$83,"&lt;="&amp;Software!AW3,'New Hires Forecast'!$F$5:$F$83,"Software")</f>
        <v>0</v>
      </c>
      <c r="AX8" s="798">
        <f>SUMIFS('New Hires Forecast'!$B$5:$B$83,'New Hires Forecast'!$G$5:$G$83,"&gt;"&amp;Software!AW3,'New Hires Forecast'!$G$5:$G$83,"&lt;="&amp;Software!AX3,'New Hires Forecast'!$F$5:$F$83,"Software")</f>
        <v>0</v>
      </c>
      <c r="AY8" s="798">
        <f>SUMIFS('New Hires Forecast'!$B$5:$B$83,'New Hires Forecast'!$G$5:$G$83,"&gt;"&amp;Software!AX3,'New Hires Forecast'!$G$5:$G$83,"&lt;="&amp;Software!AY3,'New Hires Forecast'!$F$5:$F$83,"Software")</f>
        <v>0</v>
      </c>
      <c r="AZ8" s="798">
        <f>SUMIFS('New Hires Forecast'!$B$5:$B$83,'New Hires Forecast'!$G$5:$G$83,"&gt;"&amp;Software!AY3,'New Hires Forecast'!$G$5:$G$83,"&lt;="&amp;Software!AZ3,'New Hires Forecast'!$F$5:$F$83,"Software")</f>
        <v>0</v>
      </c>
      <c r="BA8" s="798">
        <f>SUMIFS('New Hires Forecast'!$B$5:$B$83,'New Hires Forecast'!$G$5:$G$83,"&gt;"&amp;Software!AZ3,'New Hires Forecast'!$G$5:$G$83,"&lt;="&amp;Software!BA3,'New Hires Forecast'!$F$5:$F$83,"Software")</f>
        <v>0</v>
      </c>
      <c r="BB8" s="798">
        <f>SUMIFS('New Hires Forecast'!$B$5:$B$83,'New Hires Forecast'!$G$5:$G$83,"&gt;"&amp;Software!BA3,'New Hires Forecast'!$G$5:$G$83,"&lt;="&amp;Software!BB3,'New Hires Forecast'!$F$5:$F$83,"Software")</f>
        <v>0</v>
      </c>
      <c r="BC8" s="798">
        <f>SUMIFS('New Hires Forecast'!$B$5:$B$83,'New Hires Forecast'!$G$5:$G$83,"&gt;"&amp;Software!BB3,'New Hires Forecast'!$G$5:$G$83,"&lt;="&amp;Software!BC3,'New Hires Forecast'!$F$5:$F$83,"Software")</f>
        <v>0</v>
      </c>
      <c r="BD8" s="798">
        <f>SUMIFS('New Hires Forecast'!$B$5:$B$83,'New Hires Forecast'!$G$5:$G$83,"&gt;"&amp;Software!BC3,'New Hires Forecast'!$G$5:$G$83,"&lt;="&amp;Software!BD3,'New Hires Forecast'!$F$5:$F$83,"Software")</f>
        <v>0</v>
      </c>
      <c r="BE8" s="798">
        <f>SUMIFS('New Hires Forecast'!$B$5:$B$83,'New Hires Forecast'!$G$5:$G$83,"&gt;"&amp;Software!BD3,'New Hires Forecast'!$G$5:$G$83,"&lt;="&amp;Software!BE3,'New Hires Forecast'!$F$5:$F$83,"Software")</f>
        <v>0</v>
      </c>
      <c r="BF8" s="798">
        <f>SUMIFS('New Hires Forecast'!$B$5:$B$83,'New Hires Forecast'!$G$5:$G$83,"&gt;"&amp;Software!BE3,'New Hires Forecast'!$G$5:$G$83,"&lt;="&amp;Software!BF3,'New Hires Forecast'!$F$5:$F$83,"Software")</f>
        <v>0</v>
      </c>
      <c r="BG8" s="798">
        <f>SUMIFS('New Hires Forecast'!$B$5:$B$83,'New Hires Forecast'!$G$5:$G$83,"&gt;"&amp;Software!BF3,'New Hires Forecast'!$G$5:$G$83,"&lt;="&amp;Software!BG3,'New Hires Forecast'!$F$5:$F$83,"Software")</f>
        <v>0</v>
      </c>
      <c r="BH8" s="798">
        <f>SUMIFS('New Hires Forecast'!$B$5:$B$83,'New Hires Forecast'!$G$5:$G$83,"&gt;"&amp;Software!BG3,'New Hires Forecast'!$G$5:$G$83,"&lt;="&amp;Software!BH3,'New Hires Forecast'!$F$5:$F$83,"Software")</f>
        <v>0</v>
      </c>
      <c r="BI8" s="798">
        <f>SUMIFS('New Hires Forecast'!$B$5:$B$83,'New Hires Forecast'!$G$5:$G$83,"&gt;"&amp;Software!BH3,'New Hires Forecast'!$G$5:$G$83,"&lt;="&amp;Software!BI3,'New Hires Forecast'!$F$5:$F$83,"Software")</f>
        <v>0</v>
      </c>
      <c r="BJ8" s="798">
        <f>SUMIFS('New Hires Forecast'!$B$5:$B$83,'New Hires Forecast'!$G$5:$G$83,"&gt;"&amp;Software!BI3,'New Hires Forecast'!$G$5:$G$83,"&lt;="&amp;Software!BJ3,'New Hires Forecast'!$F$5:$F$83,"Software")</f>
        <v>0</v>
      </c>
      <c r="BK8" s="798">
        <f>SUMIFS('New Hires Forecast'!$B$5:$B$83,'New Hires Forecast'!$G$5:$G$83,"&gt;"&amp;Software!BJ3,'New Hires Forecast'!$G$5:$G$83,"&lt;="&amp;Software!BK3,'New Hires Forecast'!$F$5:$F$83,"Software")</f>
        <v>0</v>
      </c>
      <c r="BL8" s="798">
        <f>SUMIFS('New Hires Forecast'!$B$5:$B$83,'New Hires Forecast'!$G$5:$G$83,"&gt;"&amp;Software!BK3,'New Hires Forecast'!$G$5:$G$83,"&lt;="&amp;Software!BL3,'New Hires Forecast'!$F$5:$F$83,"Software")</f>
        <v>0</v>
      </c>
      <c r="BM8" s="798">
        <f>SUMIFS('New Hires Forecast'!$B$5:$B$83,'New Hires Forecast'!$G$5:$G$83,"&gt;"&amp;Software!BL3,'New Hires Forecast'!$G$5:$G$83,"&lt;="&amp;Software!BM3,'New Hires Forecast'!$F$5:$F$83,"Software")</f>
        <v>0</v>
      </c>
      <c r="BN8" s="798">
        <f>SUMIFS('New Hires Forecast'!$B$5:$B$83,'New Hires Forecast'!$G$5:$G$83,"&gt;"&amp;Software!BM3,'New Hires Forecast'!$G$5:$G$83,"&lt;="&amp;Software!BN3,'New Hires Forecast'!$F$5:$F$83,"Software")</f>
        <v>0</v>
      </c>
      <c r="BO8" s="798">
        <f>SUMIFS('New Hires Forecast'!$B$5:$B$83,'New Hires Forecast'!$G$5:$G$83,"&gt;"&amp;Software!BN3,'New Hires Forecast'!$G$5:$G$83,"&lt;="&amp;Software!BO3,'New Hires Forecast'!$F$5:$F$83,"Software")</f>
        <v>0</v>
      </c>
      <c r="BP8" s="798">
        <f>SUMIFS('New Hires Forecast'!$B$5:$B$83,'New Hires Forecast'!$G$5:$G$83,"&gt;"&amp;Software!BO3,'New Hires Forecast'!$G$5:$G$83,"&lt;="&amp;Software!BP3,'New Hires Forecast'!$F$5:$F$83,"Software")</f>
        <v>0</v>
      </c>
      <c r="BQ8" s="798">
        <f>SUMIFS('New Hires Forecast'!$B$5:$B$83,'New Hires Forecast'!$G$5:$G$83,"&gt;"&amp;Software!BP3,'New Hires Forecast'!$G$5:$G$83,"&lt;="&amp;Software!BQ3,'New Hires Forecast'!$F$5:$F$83,"Software")</f>
        <v>0</v>
      </c>
      <c r="BR8" s="798">
        <f>SUMIFS('New Hires Forecast'!$B$5:$B$83,'New Hires Forecast'!$G$5:$G$83,"&gt;"&amp;Software!BQ3,'New Hires Forecast'!$G$5:$G$83,"&lt;="&amp;Software!BR3,'New Hires Forecast'!$F$5:$F$83,"Software")</f>
        <v>0</v>
      </c>
      <c r="BS8" s="798">
        <f>SUMIFS('New Hires Forecast'!$B$5:$B$83,'New Hires Forecast'!$G$5:$G$83,"&gt;"&amp;Software!BR3,'New Hires Forecast'!$G$5:$G$83,"&lt;="&amp;Software!BS3,'New Hires Forecast'!$F$5:$F$83,"Software")</f>
        <v>0</v>
      </c>
      <c r="BT8" s="798">
        <f>SUMIFS('New Hires Forecast'!$B$5:$B$83,'New Hires Forecast'!$G$5:$G$83,"&gt;"&amp;Software!BS3,'New Hires Forecast'!$G$5:$G$83,"&lt;="&amp;Software!BT3,'New Hires Forecast'!$F$5:$F$83,"Software")</f>
        <v>0</v>
      </c>
      <c r="BU8" s="798">
        <f>SUMIFS('New Hires Forecast'!$B$5:$B$83,'New Hires Forecast'!$G$5:$G$83,"&gt;"&amp;Software!BT3,'New Hires Forecast'!$G$5:$G$83,"&lt;="&amp;Software!BU3,'New Hires Forecast'!$F$5:$F$83,"Software")</f>
        <v>0</v>
      </c>
      <c r="BV8" s="799">
        <f>SUMIFS('New Hires Forecast'!$B$5:$B$83,'New Hires Forecast'!$G$5:$G$83,"&gt;"&amp;Software!BU3,'New Hires Forecast'!$G$5:$G$83,"&lt;="&amp;Software!BV3,'New Hires Forecast'!$F$5:$F$83,"Software")</f>
        <v>0</v>
      </c>
    </row>
    <row r="9" spans="2:75" x14ac:dyDescent="0.35">
      <c r="B9" s="794" t="s">
        <v>150</v>
      </c>
      <c r="C9" s="798">
        <f>SUMIFS(Headcount!$B$6:$B$88,Headcount!$H$6:$H$88,"&gt;"&amp;B3,Headcount!$H$6:$H$88,"&lt;="&amp;C3,Headcount!$F$6:$F$88,"Software")</f>
        <v>0</v>
      </c>
      <c r="D9" s="798">
        <f>SUMIFS(Headcount!$B$6:$B$88,Headcount!$H$6:$H$88,"&gt;"&amp;C3,Headcount!$H$6:$H$88,"&lt;="&amp;D3,Headcount!$F$6:$F$88,"Software")</f>
        <v>0</v>
      </c>
      <c r="E9" s="798">
        <f>SUMIFS(Headcount!$B$6:$B$88,Headcount!$H$6:$H$88,"&gt;"&amp;D3,Headcount!$H$6:$H$88,"&lt;="&amp;E3,Headcount!$F$6:$F$88,"Software")</f>
        <v>0</v>
      </c>
      <c r="F9" s="798">
        <f>SUMIFS(Headcount!$B$6:$B$88,Headcount!$H$6:$H$88,"&gt;"&amp;E3,Headcount!$H$6:$H$88,"&lt;="&amp;F3,Headcount!$F$6:$F$88,"Software")</f>
        <v>0</v>
      </c>
      <c r="G9" s="798">
        <f>SUMIFS(Headcount!$B$6:$B$88,Headcount!$H$6:$H$88,"&gt;"&amp;F3,Headcount!$H$6:$H$88,"&lt;="&amp;G3,Headcount!$F$6:$F$88,"Software")</f>
        <v>0</v>
      </c>
      <c r="H9" s="798">
        <f>SUMIFS(Headcount!$B$6:$B$88,Headcount!$H$6:$H$88,"&gt;"&amp;G3,Headcount!$H$6:$H$88,"&lt;="&amp;H3,Headcount!$F$6:$F$88,"Software")</f>
        <v>0</v>
      </c>
      <c r="I9" s="798">
        <f>SUMIFS(Headcount!$B$6:$B$88,Headcount!$H$6:$H$88,"&gt;"&amp;H3,Headcount!$H$6:$H$88,"&lt;="&amp;I3,Headcount!$F$6:$F$88,"Software")</f>
        <v>0</v>
      </c>
      <c r="J9" s="798">
        <f>SUMIFS(Headcount!$B$6:$B$88,Headcount!$H$6:$H$88,"&gt;"&amp;I3,Headcount!$H$6:$H$88,"&lt;="&amp;J3,Headcount!$F$6:$F$88,"Software")</f>
        <v>0</v>
      </c>
      <c r="K9" s="798">
        <f>SUMIFS(Headcount!$B$6:$B$88,Headcount!$H$6:$H$88,"&gt;"&amp;J3,Headcount!$H$6:$H$88,"&lt;="&amp;K3,Headcount!$F$6:$F$88,"Software")</f>
        <v>0</v>
      </c>
      <c r="L9" s="798">
        <f>SUMIFS(Headcount!$B$6:$B$88,Headcount!$H$6:$H$88,"&gt;"&amp;K3,Headcount!$H$6:$H$88,"&lt;="&amp;L3,Headcount!$F$6:$F$88,"Software")</f>
        <v>0</v>
      </c>
      <c r="M9" s="798">
        <f>SUMIFS(Headcount!$B$6:$B$88,Headcount!$H$6:$H$88,"&gt;"&amp;L3,Headcount!$H$6:$H$88,"&lt;="&amp;M3,Headcount!$F$6:$F$88,"Software")</f>
        <v>0</v>
      </c>
      <c r="N9" s="798">
        <f>SUMIFS(Headcount!$B$6:$B$88,Headcount!$H$6:$H$88,"&gt;"&amp;M3,Headcount!$H$6:$H$88,"&lt;="&amp;N3,Headcount!$F$6:$F$88,"Software")</f>
        <v>0</v>
      </c>
      <c r="O9" s="798">
        <f>SUMIFS(Headcount!$B$6:$B$88,Headcount!$H$6:$H$88,"&gt;"&amp;N3,Headcount!$H$6:$H$88,"&lt;="&amp;O3,Headcount!$F$6:$F$88,"Software")</f>
        <v>0</v>
      </c>
      <c r="P9" s="798">
        <f>SUMIFS(Headcount!$B$6:$B$88,Headcount!$H$6:$H$88,"&gt;"&amp;O3,Headcount!$H$6:$H$88,"&lt;="&amp;P3,Headcount!$F$6:$F$88,"Software")</f>
        <v>0</v>
      </c>
      <c r="Q9" s="798">
        <f>SUMIFS(Headcount!$B$6:$B$88,Headcount!$H$6:$H$88,"&gt;"&amp;P3,Headcount!$H$6:$H$88,"&lt;="&amp;Q3,Headcount!$F$6:$F$88,"Software")</f>
        <v>0</v>
      </c>
      <c r="R9" s="798">
        <f>SUMIFS(Headcount!$B$6:$B$88,Headcount!$H$6:$H$88,"&gt;"&amp;Q3,Headcount!$H$6:$H$88,"&lt;="&amp;R3,Headcount!$F$6:$F$88,"Software")</f>
        <v>0</v>
      </c>
      <c r="S9" s="798">
        <f>SUMIFS(Headcount!$B$6:$B$88,Headcount!$H$6:$H$88,"&gt;"&amp;R3,Headcount!$H$6:$H$88,"&lt;="&amp;S3,Headcount!$F$6:$F$88,"Software")</f>
        <v>0</v>
      </c>
      <c r="T9" s="798">
        <f>SUMIFS(Headcount!$B$6:$B$88,Headcount!$H$6:$H$88,"&gt;"&amp;S3,Headcount!$H$6:$H$88,"&lt;="&amp;T3,Headcount!$F$6:$F$88,"Software")</f>
        <v>0</v>
      </c>
      <c r="U9" s="798">
        <f>SUMIFS(Headcount!$B$6:$B$88,Headcount!$H$6:$H$88,"&gt;"&amp;T3,Headcount!$H$6:$H$88,"&lt;="&amp;U3,Headcount!$F$6:$F$88,"Software")</f>
        <v>0</v>
      </c>
      <c r="V9" s="798">
        <f>SUMIFS(Headcount!$B$6:$B$88,Headcount!$H$6:$H$88,"&gt;"&amp;U3,Headcount!$H$6:$H$88,"&lt;="&amp;V3,Headcount!$F$6:$F$88,"Software")</f>
        <v>0</v>
      </c>
      <c r="W9" s="798">
        <f>SUMIFS(Headcount!$B$6:$B$88,Headcount!$H$6:$H$88,"&gt;"&amp;V3,Headcount!$H$6:$H$88,"&lt;="&amp;W3,Headcount!$F$6:$F$88,"Software")</f>
        <v>1</v>
      </c>
      <c r="X9" s="798">
        <f>SUMIFS(Headcount!$B$6:$B$88,Headcount!$H$6:$H$88,"&gt;"&amp;W3,Headcount!$H$6:$H$88,"&lt;="&amp;X3,Headcount!$F$6:$F$88,"Software")</f>
        <v>0</v>
      </c>
      <c r="Y9" s="798">
        <f>SUMIFS(Headcount!$B$6:$B$88,Headcount!$H$6:$H$88,"&gt;"&amp;X3,Headcount!$H$6:$H$88,"&lt;="&amp;Y3,Headcount!$F$6:$F$88,"Software")</f>
        <v>0</v>
      </c>
      <c r="Z9" s="798">
        <f>SUMIFS(Headcount!$B$6:$B$88,Headcount!$H$6:$H$88,"&gt;"&amp;Y3,Headcount!$H$6:$H$88,"&lt;="&amp;Z3,Headcount!$F$6:$F$88,"Software")</f>
        <v>0</v>
      </c>
      <c r="AA9" s="798">
        <f>SUMIFS(Headcount!$B$6:$B$88,Headcount!$H$6:$H$88,"&gt;"&amp;Z3,Headcount!$H$6:$H$88,"&lt;="&amp;AA3,Headcount!$F$6:$F$88,"Software")</f>
        <v>0</v>
      </c>
      <c r="AB9" s="798">
        <f>SUMIFS(Headcount!$B$6:$B$88,Headcount!$H$6:$H$88,"&gt;"&amp;AA3,Headcount!$H$6:$H$88,"&lt;="&amp;AB3,Headcount!$F$6:$F$88,"Software")</f>
        <v>0</v>
      </c>
      <c r="AC9" s="798">
        <f>SUMIFS(Headcount!$B$6:$B$88,Headcount!$H$6:$H$88,"&gt;"&amp;AB3,Headcount!$H$6:$H$88,"&lt;="&amp;AC3,Headcount!$F$6:$F$88,"Software")</f>
        <v>0</v>
      </c>
      <c r="AD9" s="798">
        <f>SUMIFS(Headcount!$B$6:$B$88,Headcount!$H$6:$H$88,"&gt;"&amp;AC3,Headcount!$H$6:$H$88,"&lt;="&amp;AD3,Headcount!$F$6:$F$88,"Software")</f>
        <v>0</v>
      </c>
      <c r="AE9" s="798">
        <f>SUMIFS(Headcount!$B$6:$B$88,Headcount!$H$6:$H$88,"&gt;"&amp;AD3,Headcount!$H$6:$H$88,"&lt;="&amp;AE3,Headcount!$F$6:$F$88,"Software")</f>
        <v>0</v>
      </c>
      <c r="AF9" s="798">
        <f>SUMIFS(Headcount!$B$6:$B$88,Headcount!$H$6:$H$88,"&gt;"&amp;AE3,Headcount!$H$6:$H$88,"&lt;="&amp;AF3,Headcount!$F$6:$F$88,"Software")</f>
        <v>0</v>
      </c>
      <c r="AG9" s="798">
        <f>SUMIFS(Headcount!$B$6:$B$88,Headcount!$H$6:$H$88,"&gt;"&amp;AF3,Headcount!$H$6:$H$88,"&lt;="&amp;AG3,Headcount!$F$6:$F$88,"Software")</f>
        <v>0</v>
      </c>
      <c r="AH9" s="798">
        <f>SUMIFS(Headcount!$B$6:$B$88,Headcount!$H$6:$H$88,"&gt;"&amp;AG3,Headcount!$H$6:$H$88,"&lt;="&amp;AH3,Headcount!$F$6:$F$88,"Software")</f>
        <v>0</v>
      </c>
      <c r="AI9" s="798">
        <f>SUMIFS(Headcount!$B$6:$B$88,Headcount!$H$6:$H$88,"&gt;"&amp;AH3,Headcount!$H$6:$H$88,"&lt;="&amp;AI3,Headcount!$F$6:$F$88,"Software")</f>
        <v>0</v>
      </c>
      <c r="AJ9" s="798">
        <f>SUMIFS(Headcount!$B$6:$B$88,Headcount!$H$6:$H$88,"&gt;"&amp;AI3,Headcount!$H$6:$H$88,"&lt;="&amp;AJ3,Headcount!$F$6:$F$88,"Software")</f>
        <v>0</v>
      </c>
      <c r="AK9" s="798">
        <f>SUMIFS(Headcount!$B$6:$B$88,Headcount!$H$6:$H$88,"&gt;"&amp;AJ3,Headcount!$H$6:$H$88,"&lt;="&amp;AK3,Headcount!$F$6:$F$88,"Software")</f>
        <v>0</v>
      </c>
      <c r="AL9" s="798">
        <f>SUMIFS(Headcount!$B$6:$B$88,Headcount!$H$6:$H$88,"&gt;"&amp;AK3,Headcount!$H$6:$H$88,"&lt;="&amp;AL3,Headcount!$F$6:$F$88,"Software")</f>
        <v>0</v>
      </c>
      <c r="AM9" s="798">
        <f>SUMIFS(Headcount!$B$6:$B$88,Headcount!$H$6:$H$88,"&gt;"&amp;AL3,Headcount!$H$6:$H$88,"&lt;="&amp;AM3,Headcount!$F$6:$F$88,"Software")</f>
        <v>0</v>
      </c>
      <c r="AN9" s="798">
        <f>SUMIFS(Headcount!$B$6:$B$88,Headcount!$H$6:$H$88,"&gt;"&amp;AM3,Headcount!$H$6:$H$88,"&lt;="&amp;AN3,Headcount!$F$6:$F$88,"Software")</f>
        <v>0</v>
      </c>
      <c r="AO9" s="798">
        <f>SUMIFS(Headcount!$B$6:$B$88,Headcount!$H$6:$H$88,"&gt;"&amp;AN3,Headcount!$H$6:$H$88,"&lt;="&amp;AO3,Headcount!$F$6:$F$88,"Software")</f>
        <v>0</v>
      </c>
      <c r="AP9" s="798">
        <f>SUMIFS(Headcount!$B$6:$B$88,Headcount!$H$6:$H$88,"&gt;"&amp;AO3,Headcount!$H$6:$H$88,"&lt;="&amp;AP3,Headcount!$F$6:$F$88,"Software")</f>
        <v>0</v>
      </c>
      <c r="AQ9" s="798">
        <f>SUMIFS(Headcount!$B$6:$B$88,Headcount!$H$6:$H$88,"&gt;"&amp;AP3,Headcount!$H$6:$H$88,"&lt;="&amp;AQ3,Headcount!$F$6:$F$88,"Software")</f>
        <v>0</v>
      </c>
      <c r="AR9" s="798">
        <f>SUMIFS(Headcount!$B$6:$B$88,Headcount!$H$6:$H$88,"&gt;"&amp;AQ3,Headcount!$H$6:$H$88,"&lt;="&amp;AR3,Headcount!$F$6:$F$88,"Software")</f>
        <v>0</v>
      </c>
      <c r="AS9" s="798">
        <f>SUMIFS(Headcount!$B$6:$B$88,Headcount!$H$6:$H$88,"&gt;"&amp;AR3,Headcount!$H$6:$H$88,"&lt;="&amp;AS3,Headcount!$F$6:$F$88,"Software")</f>
        <v>0</v>
      </c>
      <c r="AT9" s="798">
        <f>SUMIFS(Headcount!$B$6:$B$88,Headcount!$H$6:$H$88,"&gt;"&amp;AS3,Headcount!$H$6:$H$88,"&lt;="&amp;AT3,Headcount!$F$6:$F$88,"Software")</f>
        <v>0</v>
      </c>
      <c r="AU9" s="798">
        <f>SUMIFS(Headcount!$B$6:$B$88,Headcount!$H$6:$H$88,"&gt;"&amp;AT3,Headcount!$H$6:$H$88,"&lt;="&amp;AU3,Headcount!$F$6:$F$88,"Software")</f>
        <v>0</v>
      </c>
      <c r="AV9" s="798">
        <f>SUMIFS(Headcount!$B$6:$B$88,Headcount!$H$6:$H$88,"&gt;"&amp;AU3,Headcount!$H$6:$H$88,"&lt;="&amp;AV3,Headcount!$F$6:$F$88,"Software")</f>
        <v>0</v>
      </c>
      <c r="AW9" s="798">
        <f>SUMIFS(Headcount!$B$6:$B$88,Headcount!$H$6:$H$88,"&gt;"&amp;AV3,Headcount!$H$6:$H$88,"&lt;="&amp;AW3,Headcount!$F$6:$F$88,"Software")</f>
        <v>0</v>
      </c>
      <c r="AX9" s="798">
        <f>SUMIFS(Headcount!$B$6:$B$88,Headcount!$H$6:$H$88,"&gt;"&amp;AW3,Headcount!$H$6:$H$88,"&lt;="&amp;AX3,Headcount!$F$6:$F$88,"Software")</f>
        <v>0</v>
      </c>
      <c r="AY9" s="798">
        <f>SUMIFS(Headcount!$B$6:$B$88,Headcount!$H$6:$H$88,"&gt;"&amp;AX3,Headcount!$H$6:$H$88,"&lt;="&amp;AY3,Headcount!$F$6:$F$88,"Software")</f>
        <v>0</v>
      </c>
      <c r="AZ9" s="798">
        <f>SUMIFS(Headcount!$B$6:$B$88,Headcount!$H$6:$H$88,"&gt;"&amp;AY3,Headcount!$H$6:$H$88,"&lt;="&amp;AZ3,Headcount!$F$6:$F$88,"Software")</f>
        <v>0</v>
      </c>
      <c r="BA9" s="798">
        <f>SUMIFS(Headcount!$B$6:$B$88,Headcount!$H$6:$H$88,"&gt;"&amp;AZ3,Headcount!$H$6:$H$88,"&lt;="&amp;BA3,Headcount!$F$6:$F$88,"Software")</f>
        <v>0</v>
      </c>
      <c r="BB9" s="798">
        <f>SUMIFS(Headcount!$B$6:$B$88,Headcount!$H$6:$H$88,"&gt;"&amp;BA3,Headcount!$H$6:$H$88,"&lt;="&amp;BB3,Headcount!$F$6:$F$88,"Software")</f>
        <v>0</v>
      </c>
      <c r="BC9" s="798">
        <f>SUMIFS(Headcount!$B$6:$B$88,Headcount!$H$6:$H$88,"&gt;"&amp;BB3,Headcount!$H$6:$H$88,"&lt;="&amp;BC3,Headcount!$F$6:$F$88,"Software")</f>
        <v>0</v>
      </c>
      <c r="BD9" s="798">
        <f>SUMIFS(Headcount!$B$6:$B$88,Headcount!$H$6:$H$88,"&gt;"&amp;BC3,Headcount!$H$6:$H$88,"&lt;="&amp;BD3,Headcount!$F$6:$F$88,"Software")</f>
        <v>0</v>
      </c>
      <c r="BE9" s="798">
        <f>SUMIFS(Headcount!$B$6:$B$88,Headcount!$H$6:$H$88,"&gt;"&amp;BD3,Headcount!$H$6:$H$88,"&lt;="&amp;BE3,Headcount!$F$6:$F$88,"Software")</f>
        <v>0</v>
      </c>
      <c r="BF9" s="798">
        <f>SUMIFS(Headcount!$B$6:$B$88,Headcount!$H$6:$H$88,"&gt;"&amp;BE3,Headcount!$H$6:$H$88,"&lt;="&amp;BF3,Headcount!$F$6:$F$88,"Software")</f>
        <v>0</v>
      </c>
      <c r="BG9" s="798">
        <f>SUMIFS(Headcount!$B$6:$B$88,Headcount!$H$6:$H$88,"&gt;"&amp;BF3,Headcount!$H$6:$H$88,"&lt;="&amp;BG3,Headcount!$F$6:$F$88,"Software")</f>
        <v>0</v>
      </c>
      <c r="BH9" s="798">
        <f>SUMIFS(Headcount!$B$6:$B$88,Headcount!$H$6:$H$88,"&gt;"&amp;BG3,Headcount!$H$6:$H$88,"&lt;="&amp;BH3,Headcount!$F$6:$F$88,"Software")</f>
        <v>0</v>
      </c>
      <c r="BI9" s="798">
        <f>SUMIFS(Headcount!$B$6:$B$88,Headcount!$H$6:$H$88,"&gt;"&amp;BH3,Headcount!$H$6:$H$88,"&lt;="&amp;BI3,Headcount!$F$6:$F$88,"Software")</f>
        <v>0</v>
      </c>
      <c r="BJ9" s="798">
        <f>SUMIFS(Headcount!$B$6:$B$88,Headcount!$H$6:$H$88,"&gt;"&amp;BI3,Headcount!$H$6:$H$88,"&lt;="&amp;BJ3,Headcount!$F$6:$F$88,"Software")</f>
        <v>0</v>
      </c>
      <c r="BK9" s="798">
        <f>SUMIFS(Headcount!$B$6:$B$88,Headcount!$H$6:$H$88,"&gt;"&amp;BJ3,Headcount!$H$6:$H$88,"&lt;="&amp;BK3,Headcount!$F$6:$F$88,"Software")</f>
        <v>0</v>
      </c>
      <c r="BL9" s="798">
        <f>SUMIFS(Headcount!$B$6:$B$88,Headcount!$H$6:$H$88,"&gt;"&amp;BK3,Headcount!$H$6:$H$88,"&lt;="&amp;BL3,Headcount!$F$6:$F$88,"Software")</f>
        <v>0</v>
      </c>
      <c r="BM9" s="798">
        <f>SUMIFS(Headcount!$B$6:$B$88,Headcount!$H$6:$H$88,"&gt;"&amp;BL3,Headcount!$H$6:$H$88,"&lt;="&amp;BM3,Headcount!$F$6:$F$88,"Software")</f>
        <v>0</v>
      </c>
      <c r="BN9" s="798">
        <f>SUMIFS(Headcount!$B$6:$B$88,Headcount!$H$6:$H$88,"&gt;"&amp;BM3,Headcount!$H$6:$H$88,"&lt;="&amp;BN3,Headcount!$F$6:$F$88,"Software")</f>
        <v>0</v>
      </c>
      <c r="BO9" s="798">
        <f>SUMIFS(Headcount!$B$6:$B$88,Headcount!$H$6:$H$88,"&gt;"&amp;BN3,Headcount!$H$6:$H$88,"&lt;="&amp;BO3,Headcount!$F$6:$F$88,"Software")</f>
        <v>0</v>
      </c>
      <c r="BP9" s="798">
        <f>SUMIFS(Headcount!$B$6:$B$88,Headcount!$H$6:$H$88,"&gt;"&amp;BO3,Headcount!$H$6:$H$88,"&lt;="&amp;BP3,Headcount!$F$6:$F$88,"Software")</f>
        <v>0</v>
      </c>
      <c r="BQ9" s="798">
        <f>SUMIFS(Headcount!$B$6:$B$88,Headcount!$H$6:$H$88,"&gt;"&amp;BP3,Headcount!$H$6:$H$88,"&lt;="&amp;BQ3,Headcount!$F$6:$F$88,"Software")</f>
        <v>0</v>
      </c>
      <c r="BR9" s="798">
        <f>SUMIFS(Headcount!$B$6:$B$88,Headcount!$H$6:$H$88,"&gt;"&amp;BQ3,Headcount!$H$6:$H$88,"&lt;="&amp;BR3,Headcount!$F$6:$F$88,"Software")</f>
        <v>0</v>
      </c>
      <c r="BS9" s="798">
        <f>SUMIFS(Headcount!$B$6:$B$88,Headcount!$H$6:$H$88,"&gt;"&amp;BR3,Headcount!$H$6:$H$88,"&lt;="&amp;BS3,Headcount!$F$6:$F$88,"Software")</f>
        <v>0</v>
      </c>
      <c r="BT9" s="798">
        <f>SUMIFS(Headcount!$B$6:$B$88,Headcount!$H$6:$H$88,"&gt;"&amp;BS3,Headcount!$H$6:$H$88,"&lt;="&amp;BT3,Headcount!$F$6:$F$88,"Software")</f>
        <v>0</v>
      </c>
      <c r="BU9" s="798">
        <f>SUMIFS(Headcount!$B$6:$B$88,Headcount!$H$6:$H$88,"&gt;"&amp;BT3,Headcount!$H$6:$H$88,"&lt;="&amp;BU3,Headcount!$F$6:$F$88,"Software")</f>
        <v>0</v>
      </c>
      <c r="BV9" s="799">
        <f>SUMIFS(Headcount!$B$6:$B$88,Headcount!$H$6:$H$88,"&gt;"&amp;BU3,Headcount!$H$6:$H$88,"&lt;="&amp;BV3,Headcount!$F$6:$F$88,"Software")</f>
        <v>0</v>
      </c>
    </row>
    <row r="10" spans="2:75" x14ac:dyDescent="0.35">
      <c r="B10" s="800"/>
      <c r="C10" s="157"/>
      <c r="D10" s="157"/>
      <c r="E10" s="157"/>
      <c r="F10" s="157"/>
      <c r="G10" s="157"/>
      <c r="H10" s="157"/>
      <c r="I10" s="157"/>
      <c r="J10" s="157"/>
      <c r="K10" s="157"/>
      <c r="L10" s="157"/>
      <c r="M10" s="157"/>
      <c r="N10" s="157"/>
      <c r="O10" s="157"/>
      <c r="P10" s="157"/>
      <c r="Q10" s="157"/>
      <c r="R10" s="157"/>
      <c r="S10" s="157"/>
      <c r="T10" s="157"/>
      <c r="U10" s="157"/>
      <c r="V10" s="157"/>
      <c r="W10" s="157"/>
      <c r="X10" s="157"/>
      <c r="Y10" s="157"/>
      <c r="Z10" s="157"/>
      <c r="AA10" s="157"/>
      <c r="AB10" s="157"/>
      <c r="AC10" s="157"/>
      <c r="AD10" s="157"/>
      <c r="AE10" s="157"/>
      <c r="AF10" s="157"/>
      <c r="AG10" s="157"/>
      <c r="AH10" s="157"/>
      <c r="AI10" s="157"/>
      <c r="AJ10" s="157"/>
      <c r="AK10" s="157"/>
      <c r="AL10" s="157"/>
      <c r="AM10" s="157"/>
      <c r="AN10" s="157"/>
      <c r="AO10" s="157"/>
      <c r="AP10" s="157"/>
      <c r="AQ10" s="157"/>
      <c r="AR10" s="157"/>
      <c r="AS10" s="157"/>
      <c r="AT10" s="157"/>
      <c r="AU10" s="157"/>
      <c r="AV10" s="157"/>
      <c r="AW10" s="157"/>
      <c r="AX10" s="157"/>
      <c r="AY10" s="157"/>
      <c r="AZ10" s="157"/>
      <c r="BA10" s="157"/>
      <c r="BB10" s="157"/>
      <c r="BC10" s="157"/>
      <c r="BD10" s="157"/>
      <c r="BE10" s="157"/>
      <c r="BF10" s="157"/>
      <c r="BG10" s="157"/>
      <c r="BH10" s="157"/>
      <c r="BI10" s="157"/>
      <c r="BJ10" s="157"/>
      <c r="BK10" s="157"/>
      <c r="BL10" s="157"/>
      <c r="BM10" s="157"/>
      <c r="BN10" s="157"/>
      <c r="BO10" s="157"/>
      <c r="BP10" s="157"/>
      <c r="BQ10" s="157"/>
      <c r="BR10" s="157"/>
      <c r="BS10" s="157"/>
      <c r="BT10" s="157"/>
      <c r="BU10" s="157"/>
      <c r="BV10" s="801"/>
    </row>
    <row r="11" spans="2:75" x14ac:dyDescent="0.35">
      <c r="B11" s="802" t="s">
        <v>933</v>
      </c>
      <c r="C11" s="803"/>
      <c r="D11" s="803"/>
      <c r="E11" s="803"/>
      <c r="F11" s="803"/>
      <c r="G11" s="803"/>
      <c r="H11" s="803"/>
      <c r="I11" s="803"/>
      <c r="J11" s="803"/>
      <c r="K11" s="803"/>
      <c r="L11" s="803"/>
      <c r="M11" s="803"/>
      <c r="N11" s="803"/>
      <c r="O11" s="804"/>
      <c r="P11" s="804"/>
      <c r="Q11" s="804"/>
      <c r="R11" s="804"/>
      <c r="S11" s="804"/>
      <c r="T11" s="804"/>
      <c r="U11" s="804"/>
      <c r="V11" s="804"/>
      <c r="W11" s="804"/>
      <c r="X11" s="804"/>
      <c r="Y11" s="804"/>
      <c r="Z11" s="804"/>
      <c r="AA11" s="804"/>
      <c r="AB11" s="804"/>
      <c r="AC11" s="804"/>
      <c r="AD11" s="804"/>
      <c r="AE11" s="804"/>
      <c r="AF11" s="804"/>
      <c r="AG11" s="804"/>
      <c r="AH11" s="804"/>
      <c r="AI11" s="804"/>
      <c r="AJ11" s="804"/>
      <c r="AK11" s="804"/>
      <c r="AL11" s="804"/>
      <c r="AM11" s="804"/>
      <c r="AN11" s="804"/>
      <c r="AO11" s="804"/>
      <c r="AP11" s="804"/>
      <c r="AQ11" s="804"/>
      <c r="AR11" s="804"/>
      <c r="AS11" s="804"/>
      <c r="AT11" s="804"/>
      <c r="AU11" s="804"/>
      <c r="AV11" s="804"/>
      <c r="AW11" s="804"/>
      <c r="AX11" s="804"/>
      <c r="AY11" s="804"/>
      <c r="AZ11" s="804"/>
      <c r="BA11" s="804"/>
      <c r="BB11" s="804"/>
      <c r="BC11" s="804"/>
      <c r="BD11" s="804"/>
      <c r="BE11" s="804"/>
      <c r="BF11" s="804"/>
      <c r="BG11" s="804"/>
      <c r="BH11" s="804"/>
      <c r="BI11" s="804"/>
      <c r="BJ11" s="804"/>
      <c r="BK11" s="804"/>
      <c r="BL11" s="804"/>
      <c r="BM11" s="804"/>
      <c r="BN11" s="804"/>
      <c r="BO11" s="804"/>
      <c r="BP11" s="804"/>
      <c r="BQ11" s="804"/>
      <c r="BR11" s="804"/>
      <c r="BS11" s="804"/>
      <c r="BT11" s="804"/>
      <c r="BU11" s="804"/>
      <c r="BV11" s="805"/>
    </row>
    <row r="12" spans="2:75" x14ac:dyDescent="0.35">
      <c r="B12" s="797" t="s">
        <v>934</v>
      </c>
      <c r="C12" s="806">
        <f>IF(C$4="forecast",IF(YEAR(C$3)=YEAR(Headcount!$N$4),((SUMIFS(Headcount!$N$6:$N$89,Headcount!$F$6:$F$89,"Software",Headcount!$H$6:$H$89,"&gt;="&amp;Software!C$3)/12)),IF(YEAR(C$3)=YEAR(Headcount!$O$4),IF((C$5=2),((SUMIFS(Headcount!$O$6:$O$89,Headcount!$F$6:$F$89,"Software",Headcount!$H$6:$H$89,"&gt;="&amp;Software!C$3)/12)),B12),IF(YEAR(C$3)=YEAR(Headcount!$P$4),IF((C$5=2),((SUMIFS(Headcount!$P$6:$P$89,Headcount!$F$6:$F$89,"Software",Headcount!$H$6:$H$89,"&gt;="&amp;Software!C$3)/12)),B12),IF(YEAR(C$3)=YEAR(Headcount!$Q$4),IF((C$5=2),((SUMIFS(Headcount!$Q$6:$Q$89,Headcount!$F$6:$F$89,"Software",Headcount!$H$6:$H$89,"&gt;="&amp;Software!C$3)/12)),B12),IF(YEAR(C$3)=YEAR(Headcount!$R$4),IF((C$5=2),((SUMIFS(Headcount!$R$6:$R$89,Headcount!$F$6:$F$89,"Software",Headcount!$H$6:$H$89,"&gt;="&amp;Software!C$3)/12)),B12),"New Year"))))),'Dept. Cost Actuals'!G488-'Dept. Cost Actuals'!G478)</f>
        <v>48523.123631166149</v>
      </c>
      <c r="D12" s="806">
        <f>IF(D$4="forecast",IF(YEAR(D$3)=YEAR(Headcount!$N$4),((SUMIFS(Headcount!$N$6:$N$89,Headcount!$F$6:$F$89,"Software",Headcount!$H$6:$H$89,"&gt;="&amp;Software!D$3)/12)),IF(YEAR(D$3)=YEAR(Headcount!$O$4),IF((D$5=2),((SUMIFS(Headcount!$O$6:$O$89,Headcount!$F$6:$F$89,"Software",Headcount!$H$6:$H$89,"&gt;="&amp;Software!D$3)/12)),C12),IF(YEAR(D$3)=YEAR(Headcount!$P$4),IF((D$5=2),((SUMIFS(Headcount!$P$6:$P$89,Headcount!$F$6:$F$89,"Software",Headcount!$H$6:$H$89,"&gt;="&amp;Software!D$3)/12)),C12),IF(YEAR(D$3)=YEAR(Headcount!$Q$4),IF((D$5=2),((SUMIFS(Headcount!$Q$6:$Q$89,Headcount!$F$6:$F$89,"Software",Headcount!$H$6:$H$89,"&gt;="&amp;Software!D$3)/12)),C12),IF(YEAR(D$3)=YEAR(Headcount!$R$4),IF((D$5=2),((SUMIFS(Headcount!$R$6:$R$89,Headcount!$F$6:$F$89,"Software",Headcount!$H$6:$H$89,"&gt;="&amp;Software!D$3)/12)),C12),"New Year"))))),'Dept. Cost Actuals'!H488-'Dept. Cost Actuals'!H478)</f>
        <v>40688.471832429699</v>
      </c>
      <c r="E12" s="806">
        <f>IF(E$4="forecast",IF(YEAR(E$3)=YEAR(Headcount!$N$4),((SUMIFS(Headcount!$N$6:$N$89,Headcount!$F$6:$F$89,"Software",Headcount!$H$6:$H$89,"&gt;="&amp;Software!E$3)/12)),IF(YEAR(E$3)=YEAR(Headcount!$O$4),IF((E$5=2),((SUMIFS(Headcount!$O$6:$O$89,Headcount!$F$6:$F$89,"Software",Headcount!$H$6:$H$89,"&gt;="&amp;Software!E$3)/12)),D12),IF(YEAR(E$3)=YEAR(Headcount!$P$4),IF((E$5=2),((SUMIFS(Headcount!$P$6:$P$89,Headcount!$F$6:$F$89,"Software",Headcount!$H$6:$H$89,"&gt;="&amp;Software!E$3)/12)),D12),IF(YEAR(E$3)=YEAR(Headcount!$Q$4),IF((E$5=2),((SUMIFS(Headcount!$Q$6:$Q$89,Headcount!$F$6:$F$89,"Software",Headcount!$H$6:$H$89,"&gt;="&amp;Software!E$3)/12)),D12),IF(YEAR(E$3)=YEAR(Headcount!$R$4),IF((E$5=2),((SUMIFS(Headcount!$R$6:$R$89,Headcount!$F$6:$F$89,"Software",Headcount!$H$6:$H$89,"&gt;="&amp;Software!E$3)/12)),D12),"New Year"))))),'Dept. Cost Actuals'!I488-'Dept. Cost Actuals'!I478)</f>
        <v>48662.909652747447</v>
      </c>
      <c r="F12" s="806">
        <f>IF(F$4="forecast",IF(YEAR(F$3)=YEAR(Headcount!$N$4),((SUMIFS(Headcount!$N$6:$N$89,Headcount!$F$6:$F$89,"Software",Headcount!$H$6:$H$89,"&gt;="&amp;Software!F$3)/12)),IF(YEAR(F$3)=YEAR(Headcount!$O$4),IF((F$5=2),((SUMIFS(Headcount!$O$6:$O$89,Headcount!$F$6:$F$89,"Software",Headcount!$H$6:$H$89,"&gt;="&amp;Software!F$3)/12)),E12),IF(YEAR(F$3)=YEAR(Headcount!$P$4),IF((F$5=2),((SUMIFS(Headcount!$P$6:$P$89,Headcount!$F$6:$F$89,"Software",Headcount!$H$6:$H$89,"&gt;="&amp;Software!F$3)/12)),E12),IF(YEAR(F$3)=YEAR(Headcount!$Q$4),IF((F$5=2),((SUMIFS(Headcount!$Q$6:$Q$89,Headcount!$F$6:$F$89,"Software",Headcount!$H$6:$H$89,"&gt;="&amp;Software!F$3)/12)),E12),IF(YEAR(F$3)=YEAR(Headcount!$R$4),IF((F$5=2),((SUMIFS(Headcount!$R$6:$R$89,Headcount!$F$6:$F$89,"Software",Headcount!$H$6:$H$89,"&gt;="&amp;Software!F$3)/12)),E12),"New Year"))))),'Dept. Cost Actuals'!J488-'Dept. Cost Actuals'!J478)</f>
        <v>51837.308427549164</v>
      </c>
      <c r="G12" s="806">
        <f>IF(G$4="forecast",IF(YEAR(G$3)=YEAR(Headcount!$N$4),((SUMIFS(Headcount!$N$6:$N$89,Headcount!$F$6:$F$89,"Software",Headcount!$H$6:$H$89,"&gt;="&amp;Software!G$3)/12)),IF(YEAR(G$3)=YEAR(Headcount!$O$4),IF((G$5=2),((SUMIFS(Headcount!$O$6:$O$89,Headcount!$F$6:$F$89,"Software",Headcount!$H$6:$H$89,"&gt;="&amp;Software!G$3)/12)),F12),IF(YEAR(G$3)=YEAR(Headcount!$P$4),IF((G$5=2),((SUMIFS(Headcount!$P$6:$P$89,Headcount!$F$6:$F$89,"Software",Headcount!$H$6:$H$89,"&gt;="&amp;Software!G$3)/12)),F12),IF(YEAR(G$3)=YEAR(Headcount!$Q$4),IF((G$5=2),((SUMIFS(Headcount!$Q$6:$Q$89,Headcount!$F$6:$F$89,"Software",Headcount!$H$6:$H$89,"&gt;="&amp;Software!G$3)/12)),F12),IF(YEAR(G$3)=YEAR(Headcount!$R$4),IF((G$5=2),((SUMIFS(Headcount!$R$6:$R$89,Headcount!$F$6:$F$89,"Software",Headcount!$H$6:$H$89,"&gt;="&amp;Software!G$3)/12)),F12),"New Year"))))),'Dept. Cost Actuals'!K488-'Dept. Cost Actuals'!K478)</f>
        <v>48656.654085733921</v>
      </c>
      <c r="H12" s="806">
        <f>IF(H$4="forecast",IF(YEAR(H$3)=YEAR(Headcount!$N$4),((SUMIFS(Headcount!$N$6:$N$89,Headcount!$F$6:$F$89,"Software",Headcount!$H$6:$H$89,"&gt;="&amp;Software!H$3)/12)),IF(YEAR(H$3)=YEAR(Headcount!$O$4),IF((H$5=2),((SUMIFS(Headcount!$O$6:$O$89,Headcount!$F$6:$F$89,"Software",Headcount!$H$6:$H$89,"&gt;="&amp;Software!H$3)/12)),G12),IF(YEAR(H$3)=YEAR(Headcount!$P$4),IF((H$5=2),((SUMIFS(Headcount!$P$6:$P$89,Headcount!$F$6:$F$89,"Software",Headcount!$H$6:$H$89,"&gt;="&amp;Software!H$3)/12)),G12),IF(YEAR(H$3)=YEAR(Headcount!$Q$4),IF((H$5=2),((SUMIFS(Headcount!$Q$6:$Q$89,Headcount!$F$6:$F$89,"Software",Headcount!$H$6:$H$89,"&gt;="&amp;Software!H$3)/12)),G12),IF(YEAR(H$3)=YEAR(Headcount!$R$4),IF((H$5=2),((SUMIFS(Headcount!$R$6:$R$89,Headcount!$F$6:$F$89,"Software",Headcount!$H$6:$H$89,"&gt;="&amp;Software!H$3)/12)),G12),"New Year"))))),'Dept. Cost Actuals'!L488-'Dept. Cost Actuals'!L478)</f>
        <v>70880.42231328247</v>
      </c>
      <c r="I12" s="806">
        <f>IF(I$4="forecast",IF(YEAR(I$3)=YEAR(Headcount!$N$4),((SUMIFS(Headcount!$N$6:$N$89,Headcount!$F$6:$F$89,"Software",Headcount!$H$6:$H$89,"&gt;="&amp;Software!I$3)/12)),IF(YEAR(I$3)=YEAR(Headcount!$O$4),IF((I$5=2),((SUMIFS(Headcount!$O$6:$O$89,Headcount!$F$6:$F$89,"Software",Headcount!$H$6:$H$89,"&gt;="&amp;Software!I$3)/12)),H12),IF(YEAR(I$3)=YEAR(Headcount!$P$4),IF((I$5=2),((SUMIFS(Headcount!$P$6:$P$89,Headcount!$F$6:$F$89,"Software",Headcount!$H$6:$H$89,"&gt;="&amp;Software!I$3)/12)),H12),IF(YEAR(I$3)=YEAR(Headcount!$Q$4),IF((I$5=2),((SUMIFS(Headcount!$Q$6:$Q$89,Headcount!$F$6:$F$89,"Software",Headcount!$H$6:$H$89,"&gt;="&amp;Software!I$3)/12)),H12),IF(YEAR(I$3)=YEAR(Headcount!$R$4),IF((I$5=2),((SUMIFS(Headcount!$R$6:$R$89,Headcount!$F$6:$F$89,"Software",Headcount!$H$6:$H$89,"&gt;="&amp;Software!I$3)/12)),H12),"New Year"))))),'Dept. Cost Actuals'!M488-'Dept. Cost Actuals'!M478)</f>
        <v>76538.039119631751</v>
      </c>
      <c r="J12" s="806">
        <f>IF(J$4="forecast",IF(YEAR(J$3)=YEAR(Headcount!$N$4),((SUMIFS(Headcount!$N$6:$N$89,Headcount!$F$6:$F$89,"Software",Headcount!$H$6:$H$89,"&gt;="&amp;Software!J$3)/12)),IF(YEAR(J$3)=YEAR(Headcount!$O$4),IF((J$5=2),((SUMIFS(Headcount!$O$6:$O$89,Headcount!$F$6:$F$89,"Software",Headcount!$H$6:$H$89,"&gt;="&amp;Software!J$3)/12)),I12),IF(YEAR(J$3)=YEAR(Headcount!$P$4),IF((J$5=2),((SUMIFS(Headcount!$P$6:$P$89,Headcount!$F$6:$F$89,"Software",Headcount!$H$6:$H$89,"&gt;="&amp;Software!J$3)/12)),I12),IF(YEAR(J$3)=YEAR(Headcount!$Q$4),IF((J$5=2),((SUMIFS(Headcount!$Q$6:$Q$89,Headcount!$F$6:$F$89,"Software",Headcount!$H$6:$H$89,"&gt;="&amp;Software!J$3)/12)),I12),IF(YEAR(J$3)=YEAR(Headcount!$R$4),IF((J$5=2),((SUMIFS(Headcount!$R$6:$R$89,Headcount!$F$6:$F$89,"Software",Headcount!$H$6:$H$89,"&gt;="&amp;Software!J$3)/12)),I12),"New Year"))))),'Dept. Cost Actuals'!N488-'Dept. Cost Actuals'!N478)</f>
        <v>90552.434318458807</v>
      </c>
      <c r="K12" s="806">
        <f>IF(K$4="forecast",IF(YEAR(K$3)=YEAR(Headcount!$N$4),((SUMIFS(Headcount!$N$6:$N$89,Headcount!$F$6:$F$89,"Software",Headcount!$H$6:$H$89,"&gt;="&amp;Software!K$3)/12)),IF(YEAR(K$3)=YEAR(Headcount!$O$4),IF((K$5=2),((SUMIFS(Headcount!$O$6:$O$89,Headcount!$F$6:$F$89,"Software",Headcount!$H$6:$H$89,"&gt;="&amp;Software!K$3)/12)),J12),IF(YEAR(K$3)=YEAR(Headcount!$P$4),IF((K$5=2),((SUMIFS(Headcount!$P$6:$P$89,Headcount!$F$6:$F$89,"Software",Headcount!$H$6:$H$89,"&gt;="&amp;Software!K$3)/12)),J12),IF(YEAR(K$3)=YEAR(Headcount!$Q$4),IF((K$5=2),((SUMIFS(Headcount!$Q$6:$Q$89,Headcount!$F$6:$F$89,"Software",Headcount!$H$6:$H$89,"&gt;="&amp;Software!K$3)/12)),J12),IF(YEAR(K$3)=YEAR(Headcount!$R$4),IF((K$5=2),((SUMIFS(Headcount!$R$6:$R$89,Headcount!$F$6:$F$89,"Software",Headcount!$H$6:$H$89,"&gt;="&amp;Software!K$3)/12)),J12),"New Year"))))),'Dept. Cost Actuals'!O488-'Dept. Cost Actuals'!O478)</f>
        <v>91730.409777639376</v>
      </c>
      <c r="L12" s="806">
        <f>IF(L$4="forecast",IF(YEAR(L$3)=YEAR(Headcount!$N$4),((SUMIFS(Headcount!$N$6:$N$89,Headcount!$F$6:$F$89,"Software",Headcount!$H$6:$H$89,"&gt;="&amp;Software!L$3)/12)),IF(YEAR(L$3)=YEAR(Headcount!$O$4),IF((L$5=2),((SUMIFS(Headcount!$O$6:$O$89,Headcount!$F$6:$F$89,"Software",Headcount!$H$6:$H$89,"&gt;="&amp;Software!L$3)/12)),K12),IF(YEAR(L$3)=YEAR(Headcount!$P$4),IF((L$5=2),((SUMIFS(Headcount!$P$6:$P$89,Headcount!$F$6:$F$89,"Software",Headcount!$H$6:$H$89,"&gt;="&amp;Software!L$3)/12)),K12),IF(YEAR(L$3)=YEAR(Headcount!$Q$4),IF((L$5=2),((SUMIFS(Headcount!$Q$6:$Q$89,Headcount!$F$6:$F$89,"Software",Headcount!$H$6:$H$89,"&gt;="&amp;Software!L$3)/12)),K12),IF(YEAR(L$3)=YEAR(Headcount!$R$4),IF((L$5=2),((SUMIFS(Headcount!$R$6:$R$89,Headcount!$F$6:$F$89,"Software",Headcount!$H$6:$H$89,"&gt;="&amp;Software!L$3)/12)),K12),"New Year"))))),'Dept. Cost Actuals'!P488-'Dept. Cost Actuals'!P478)</f>
        <v>91230.853562927601</v>
      </c>
      <c r="M12" s="806">
        <f>IF(M$4="forecast",IF(YEAR(M$3)=YEAR(Headcount!$N$4),((SUMIFS(Headcount!$N$6:$N$89,Headcount!$F$6:$F$89,"Software",Headcount!$H$6:$H$89,"&gt;="&amp;Software!M$3)/12)),IF(YEAR(M$3)=YEAR(Headcount!$O$4),IF((M$5=2),((SUMIFS(Headcount!$O$6:$O$89,Headcount!$F$6:$F$89,"Software",Headcount!$H$6:$H$89,"&gt;="&amp;Software!M$3)/12)),L12),IF(YEAR(M$3)=YEAR(Headcount!$P$4),IF((M$5=2),((SUMIFS(Headcount!$P$6:$P$89,Headcount!$F$6:$F$89,"Software",Headcount!$H$6:$H$89,"&gt;="&amp;Software!M$3)/12)),L12),IF(YEAR(M$3)=YEAR(Headcount!$Q$4),IF((M$5=2),((SUMIFS(Headcount!$Q$6:$Q$89,Headcount!$F$6:$F$89,"Software",Headcount!$H$6:$H$89,"&gt;="&amp;Software!M$3)/12)),L12),IF(YEAR(M$3)=YEAR(Headcount!$R$4),IF((M$5=2),((SUMIFS(Headcount!$R$6:$R$89,Headcount!$F$6:$F$89,"Software",Headcount!$H$6:$H$89,"&gt;="&amp;Software!M$3)/12)),L12),"New Year"))))),'Dept. Cost Actuals'!Q488-'Dept. Cost Actuals'!Q478)</f>
        <v>134161.7148773334</v>
      </c>
      <c r="N12" s="806">
        <f>IF(N$4="forecast",IF(YEAR(N$3)=YEAR(Headcount!$N$4),((SUMIFS(Headcount!$N$6:$N$89,Headcount!$F$6:$F$89,"Software",Headcount!$H$6:$H$89,"&gt;="&amp;Software!N$3)/12)),IF(YEAR(N$3)=YEAR(Headcount!$O$4),IF((N$5=2),((SUMIFS(Headcount!$O$6:$O$89,Headcount!$F$6:$F$89,"Software",Headcount!$H$6:$H$89,"&gt;="&amp;Software!N$3)/12)),M12),IF(YEAR(N$3)=YEAR(Headcount!$P$4),IF((N$5=2),((SUMIFS(Headcount!$P$6:$P$89,Headcount!$F$6:$F$89,"Software",Headcount!$H$6:$H$89,"&gt;="&amp;Software!N$3)/12)),M12),IF(YEAR(N$3)=YEAR(Headcount!$Q$4),IF((N$5=2),((SUMIFS(Headcount!$Q$6:$Q$89,Headcount!$F$6:$F$89,"Software",Headcount!$H$6:$H$89,"&gt;="&amp;Software!N$3)/12)),M12),IF(YEAR(N$3)=YEAR(Headcount!$R$4),IF((N$5=2),((SUMIFS(Headcount!$R$6:$R$89,Headcount!$F$6:$F$89,"Software",Headcount!$H$6:$H$89,"&gt;="&amp;Software!N$3)/12)),M12),"New Year"))))),'Dept. Cost Actuals'!R488-'Dept. Cost Actuals'!R478)</f>
        <v>128576.61631589517</v>
      </c>
      <c r="O12" s="806">
        <f>IF(O$4="forecast",IF(YEAR(O$3)=YEAR(Headcount!$N$4),((SUMIFS(Headcount!$N$6:$N$89,Headcount!$F$6:$F$89,"Software",Headcount!$H$6:$H$89,"&gt;="&amp;Software!O$3)/12)),IF(YEAR(O$3)=YEAR(Headcount!$O$4),IF((O$5=2),((SUMIFS(Headcount!$O$6:$O$89,Headcount!$F$6:$F$89,"Software",Headcount!$H$6:$H$89,"&gt;="&amp;Software!O$3)/12)),N12),IF(YEAR(O$3)=YEAR(Headcount!$P$4),IF((O$5=2),((SUMIFS(Headcount!$P$6:$P$89,Headcount!$F$6:$F$89,"Software",Headcount!$H$6:$H$89,"&gt;="&amp;Software!O$3)/12)),N12),IF(YEAR(O$3)=YEAR(Headcount!$Q$4),IF((O$5=2),((SUMIFS(Headcount!$Q$6:$Q$89,Headcount!$F$6:$F$89,"Software",Headcount!$H$6:$H$89,"&gt;="&amp;Software!O$3)/12)),N12),IF(YEAR(O$3)=YEAR(Headcount!$R$4),IF((O$5=2),((SUMIFS(Headcount!$R$6:$R$89,Headcount!$F$6:$F$89,"Software",Headcount!$H$6:$H$89,"&gt;="&amp;Software!O$3)/12)),N12),"New Year"))))),'Dept. Cost Actuals'!S488-'Dept. Cost Actuals'!S478)</f>
        <v>107891.83</v>
      </c>
      <c r="P12" s="806">
        <f>IF(P$4="forecast",IF(YEAR(P$3)=YEAR(Headcount!$N$4),((SUMIFS(Headcount!$N$6:$N$89,Headcount!$F$6:$F$89,"Software",Headcount!$H$6:$H$89,"&gt;="&amp;Software!P$3)/12)),IF(YEAR(P$3)=YEAR(Headcount!$O$4),IF((P$5=2),((SUMIFS(Headcount!$O$6:$O$89,Headcount!$F$6:$F$89,"Software",Headcount!$H$6:$H$89,"&gt;="&amp;Software!P$3)/12)),O12),IF(YEAR(P$3)=YEAR(Headcount!$P$4),IF((P$5=2),((SUMIFS(Headcount!$P$6:$P$89,Headcount!$F$6:$F$89,"Software",Headcount!$H$6:$H$89,"&gt;="&amp;Software!P$3)/12)),O12),IF(YEAR(P$3)=YEAR(Headcount!$Q$4),IF((P$5=2),((SUMIFS(Headcount!$Q$6:$Q$89,Headcount!$F$6:$F$89,"Software",Headcount!$H$6:$H$89,"&gt;="&amp;Software!P$3)/12)),O12),IF(YEAR(P$3)=YEAR(Headcount!$R$4),IF((P$5=2),((SUMIFS(Headcount!$R$6:$R$89,Headcount!$F$6:$F$89,"Software",Headcount!$H$6:$H$89,"&gt;="&amp;Software!P$3)/12)),O12),"New Year"))))),'Dept. Cost Actuals'!T488-'Dept. Cost Actuals'!T478)</f>
        <v>112688.90000000001</v>
      </c>
      <c r="Q12" s="806">
        <f>IF(Q$4="forecast",IF(YEAR(Q$3)=YEAR(Headcount!$N$4),((SUMIFS(Headcount!$N$6:$N$89,Headcount!$F$6:$F$89,"Software",Headcount!$H$6:$H$89,"&gt;="&amp;Software!Q$3)/12)),IF(YEAR(Q$3)=YEAR(Headcount!$O$4),IF((Q$5=2),((SUMIFS(Headcount!$O$6:$O$89,Headcount!$F$6:$F$89,"Software",Headcount!$H$6:$H$89,"&gt;="&amp;Software!Q$3)/12)),P12),IF(YEAR(Q$3)=YEAR(Headcount!$P$4),IF((Q$5=2),((SUMIFS(Headcount!$P$6:$P$89,Headcount!$F$6:$F$89,"Software",Headcount!$H$6:$H$89,"&gt;="&amp;Software!Q$3)/12)),P12),IF(YEAR(Q$3)=YEAR(Headcount!$Q$4),IF((Q$5=2),((SUMIFS(Headcount!$Q$6:$Q$89,Headcount!$F$6:$F$89,"Software",Headcount!$H$6:$H$89,"&gt;="&amp;Software!Q$3)/12)),P12),IF(YEAR(Q$3)=YEAR(Headcount!$R$4),IF((Q$5=2),((SUMIFS(Headcount!$R$6:$R$89,Headcount!$F$6:$F$89,"Software",Headcount!$H$6:$H$89,"&gt;="&amp;Software!Q$3)/12)),P12),"New Year"))))),'Dept. Cost Actuals'!U488-'Dept. Cost Actuals'!U478)</f>
        <v>179464</v>
      </c>
      <c r="R12" s="806">
        <f>IF(R$4="forecast",IF(YEAR(R$3)=YEAR(Headcount!$N$4),((SUMIFS(Headcount!$N$6:$N$89,Headcount!$F$6:$F$89,"Software",Headcount!$H$6:$H$89,"&gt;="&amp;Software!R$3)/12)),IF(YEAR(R$3)=YEAR(Headcount!$O$4),IF((R$5=2),((SUMIFS(Headcount!$O$6:$O$89,Headcount!$F$6:$F$89,"Software",Headcount!$H$6:$H$89,"&gt;="&amp;Software!R$3)/12)),Q12),IF(YEAR(R$3)=YEAR(Headcount!$P$4),IF((R$5=2),((SUMIFS(Headcount!$P$6:$P$89,Headcount!$F$6:$F$89,"Software",Headcount!$H$6:$H$89,"&gt;="&amp;Software!R$3)/12)),Q12),IF(YEAR(R$3)=YEAR(Headcount!$Q$4),IF((R$5=2),((SUMIFS(Headcount!$Q$6:$Q$89,Headcount!$F$6:$F$89,"Software",Headcount!$H$6:$H$89,"&gt;="&amp;Software!R$3)/12)),Q12),IF(YEAR(R$3)=YEAR(Headcount!$R$4),IF((R$5=2),((SUMIFS(Headcount!$R$6:$R$89,Headcount!$F$6:$F$89,"Software",Headcount!$H$6:$H$89,"&gt;="&amp;Software!R$3)/12)),Q12),"New Year"))))),'Dept. Cost Actuals'!V488-'Dept. Cost Actuals'!V478)</f>
        <v>169347.40000000002</v>
      </c>
      <c r="S12" s="806">
        <f>IF(S$4="forecast",IF(YEAR(S$3)=YEAR(Headcount!$N$4),((SUMIFS(Headcount!$N$6:$N$89,Headcount!$F$6:$F$89,"Software",Headcount!$H$6:$H$89,"&gt;="&amp;Software!S$3)/12)),IF(YEAR(S$3)=YEAR(Headcount!$O$4),IF((S$5=2),((SUMIFS(Headcount!$O$6:$O$89,Headcount!$F$6:$F$89,"Software",Headcount!$H$6:$H$89,"&gt;="&amp;Software!S$3)/12)),R12),IF(YEAR(S$3)=YEAR(Headcount!$P$4),IF((S$5=2),((SUMIFS(Headcount!$P$6:$P$89,Headcount!$F$6:$F$89,"Software",Headcount!$H$6:$H$89,"&gt;="&amp;Software!S$3)/12)),R12),IF(YEAR(S$3)=YEAR(Headcount!$Q$4),IF((S$5=2),((SUMIFS(Headcount!$Q$6:$Q$89,Headcount!$F$6:$F$89,"Software",Headcount!$H$6:$H$89,"&gt;="&amp;Software!S$3)/12)),R12),IF(YEAR(S$3)=YEAR(Headcount!$R$4),IF((S$5=2),((SUMIFS(Headcount!$R$6:$R$89,Headcount!$F$6:$F$89,"Software",Headcount!$H$6:$H$89,"&gt;="&amp;Software!S$3)/12)),R12),"New Year"))))),'Dept. Cost Actuals'!W488-'Dept. Cost Actuals'!W478)</f>
        <v>155439.22999999998</v>
      </c>
      <c r="T12" s="806">
        <f>IF(T$4="forecast",IF(YEAR(T$3)=YEAR(Headcount!$N$4),((SUMIFS(Headcount!$N$6:$N$89,Headcount!$F$6:$F$89,"Software",Headcount!$H$6:$H$89,"&gt;="&amp;Software!T$3)/12)),IF(YEAR(T$3)=YEAR(Headcount!$O$4),IF((T$5=2),((SUMIFS(Headcount!$O$6:$O$89,Headcount!$F$6:$F$89,"Software",Headcount!$H$6:$H$89,"&gt;="&amp;Software!T$3)/12)),S12),IF(YEAR(T$3)=YEAR(Headcount!$P$4),IF((T$5=2),((SUMIFS(Headcount!$P$6:$P$89,Headcount!$F$6:$F$89,"Software",Headcount!$H$6:$H$89,"&gt;="&amp;Software!T$3)/12)),S12),IF(YEAR(T$3)=YEAR(Headcount!$Q$4),IF((T$5=2),((SUMIFS(Headcount!$Q$6:$Q$89,Headcount!$F$6:$F$89,"Software",Headcount!$H$6:$H$89,"&gt;="&amp;Software!T$3)/12)),S12),IF(YEAR(T$3)=YEAR(Headcount!$R$4),IF((T$5=2),((SUMIFS(Headcount!$R$6:$R$89,Headcount!$F$6:$F$89,"Software",Headcount!$H$6:$H$89,"&gt;="&amp;Software!T$3)/12)),S12),"New Year"))))),'Dept. Cost Actuals'!X488-'Dept. Cost Actuals'!X478)</f>
        <v>142482.90999999997</v>
      </c>
      <c r="U12" s="806">
        <f>IF(U$4="forecast",IF(YEAR(U$3)=YEAR(Headcount!$N$4),((SUMIFS(Headcount!$N$6:$N$89,Headcount!$F$6:$F$89,"Software",Headcount!$H$6:$H$89,"&gt;="&amp;Software!U$3)/12)),IF(YEAR(U$3)=YEAR(Headcount!$O$4),IF((U$5=2),((SUMIFS(Headcount!$O$6:$O$89,Headcount!$F$6:$F$89,"Software",Headcount!$H$6:$H$89,"&gt;="&amp;Software!U$3)/12)),T12),IF(YEAR(U$3)=YEAR(Headcount!$P$4),IF((U$5=2),((SUMIFS(Headcount!$P$6:$P$89,Headcount!$F$6:$F$89,"Software",Headcount!$H$6:$H$89,"&gt;="&amp;Software!U$3)/12)),T12),IF(YEAR(U$3)=YEAR(Headcount!$Q$4),IF((U$5=2),((SUMIFS(Headcount!$Q$6:$Q$89,Headcount!$F$6:$F$89,"Software",Headcount!$H$6:$H$89,"&gt;="&amp;Software!U$3)/12)),T12),IF(YEAR(U$3)=YEAR(Headcount!$R$4),IF((U$5=2),((SUMIFS(Headcount!$R$6:$R$89,Headcount!$F$6:$F$89,"Software",Headcount!$H$6:$H$89,"&gt;="&amp;Software!U$3)/12)),T12),"New Year"))))),'Dept. Cost Actuals'!Y488-'Dept. Cost Actuals'!Y478)</f>
        <v>148817.37</v>
      </c>
      <c r="V12" s="806">
        <f>IF(V$4="forecast",IF(YEAR(V$3)=YEAR(Headcount!$N$4),((SUMIFS(Headcount!$N$6:$N$89,Headcount!$F$6:$F$89,"Software",Headcount!$H$6:$H$89,"&gt;="&amp;Software!V$3)/12)),IF(YEAR(V$3)=YEAR(Headcount!$O$4),IF((V$5=2),((SUMIFS(Headcount!$O$6:$O$89,Headcount!$F$6:$F$89,"Software",Headcount!$H$6:$H$89,"&gt;="&amp;Software!V$3)/12)),U12),IF(YEAR(V$3)=YEAR(Headcount!$P$4),IF((V$5=2),((SUMIFS(Headcount!$P$6:$P$89,Headcount!$F$6:$F$89,"Software",Headcount!$H$6:$H$89,"&gt;="&amp;Software!V$3)/12)),U12),IF(YEAR(V$3)=YEAR(Headcount!$Q$4),IF((V$5=2),((SUMIFS(Headcount!$Q$6:$Q$89,Headcount!$F$6:$F$89,"Software",Headcount!$H$6:$H$89,"&gt;="&amp;Software!V$3)/12)),U12),IF(YEAR(V$3)=YEAR(Headcount!$R$4),IF((V$5=2),((SUMIFS(Headcount!$R$6:$R$89,Headcount!$F$6:$F$89,"Software",Headcount!$H$6:$H$89,"&gt;="&amp;Software!V$3)/12)),U12),"New Year"))))),'Dept. Cost Actuals'!Z488-'Dept. Cost Actuals'!Z478)</f>
        <v>151851.07</v>
      </c>
      <c r="W12" s="806">
        <f>IF(W$4="forecast",IF(YEAR(W$3)=YEAR(Headcount!$N$4),((SUMIFS(Headcount!$N$6:$N$89,Headcount!$F$6:$F$89,"Software",Headcount!$H$6:$H$89,"&gt;="&amp;Software!W$3)/12)),IF(YEAR(W$3)=YEAR(Headcount!$O$4),IF((W$5=2),((SUMIFS(Headcount!$O$6:$O$89,Headcount!$F$6:$F$89,"Software",Headcount!$H$6:$H$89,"&gt;="&amp;Software!W$3)/12)),V12),IF(YEAR(W$3)=YEAR(Headcount!$P$4),IF((W$5=2),((SUMIFS(Headcount!$P$6:$P$89,Headcount!$F$6:$F$89,"Software",Headcount!$H$6:$H$89,"&gt;="&amp;Software!W$3)/12)),V12),IF(YEAR(W$3)=YEAR(Headcount!$Q$4),IF((W$5=2),((SUMIFS(Headcount!$Q$6:$Q$89,Headcount!$F$6:$F$89,"Software",Headcount!$H$6:$H$89,"&gt;="&amp;Software!W$3)/12)),V12),IF(YEAR(W$3)=YEAR(Headcount!$R$4),IF((W$5=2),((SUMIFS(Headcount!$R$6:$R$89,Headcount!$F$6:$F$89,"Software",Headcount!$H$6:$H$89,"&gt;="&amp;Software!W$3)/12)),V12),"New Year"))))),'Dept. Cost Actuals'!AA488-'Dept. Cost Actuals'!AA478)</f>
        <v>148985.5</v>
      </c>
      <c r="X12" s="806">
        <f>IF(X$4="forecast",IF(YEAR(X$3)=YEAR(Headcount!$N$4),((SUMIFS(Headcount!$N$6:$N$89,Headcount!$F$6:$F$89,"Software",Headcount!$H$6:$H$89,"&gt;="&amp;Software!X$3)/12)),IF(YEAR(X$3)=YEAR(Headcount!$O$4),IF((X$5=2),((SUMIFS(Headcount!$O$6:$O$89,Headcount!$F$6:$F$89,"Software",Headcount!$H$6:$H$89,"&gt;="&amp;Software!X$3)/12)),W12),IF(YEAR(X$3)=YEAR(Headcount!$P$4),IF((X$5=2),((SUMIFS(Headcount!$P$6:$P$89,Headcount!$F$6:$F$89,"Software",Headcount!$H$6:$H$89,"&gt;="&amp;Software!X$3)/12)),W12),IF(YEAR(X$3)=YEAR(Headcount!$Q$4),IF((X$5=2),((SUMIFS(Headcount!$Q$6:$Q$89,Headcount!$F$6:$F$89,"Software",Headcount!$H$6:$H$89,"&gt;="&amp;Software!X$3)/12)),W12),IF(YEAR(X$3)=YEAR(Headcount!$R$4),IF((X$5=2),((SUMIFS(Headcount!$R$6:$R$89,Headcount!$F$6:$F$89,"Software",Headcount!$H$6:$H$89,"&gt;="&amp;Software!X$3)/12)),W12),"New Year"))))),'Dept. Cost Actuals'!AB488-'Dept. Cost Actuals'!AB478)</f>
        <v>153078.63</v>
      </c>
      <c r="Y12" s="806">
        <f>IF(Y$4="forecast",IF(YEAR(Y$3)=YEAR(Headcount!$N$4),((SUMIFS(Headcount!$N$6:$N$89,Headcount!$F$6:$F$89,"Software",Headcount!$H$6:$H$89,"&gt;="&amp;Software!Y$3)/12)),IF(YEAR(Y$3)=YEAR(Headcount!$O$4),IF((Y$5=2),((SUMIFS(Headcount!$O$6:$O$89,Headcount!$F$6:$F$89,"Software",Headcount!$H$6:$H$89,"&gt;="&amp;Software!Y$3)/12)),X12),IF(YEAR(Y$3)=YEAR(Headcount!$P$4),IF((Y$5=2),((SUMIFS(Headcount!$P$6:$P$89,Headcount!$F$6:$F$89,"Software",Headcount!$H$6:$H$89,"&gt;="&amp;Software!Y$3)/12)),X12),IF(YEAR(Y$3)=YEAR(Headcount!$Q$4),IF((Y$5=2),((SUMIFS(Headcount!$Q$6:$Q$89,Headcount!$F$6:$F$89,"Software",Headcount!$H$6:$H$89,"&gt;="&amp;Software!Y$3)/12)),X12),IF(YEAR(Y$3)=YEAR(Headcount!$R$4),IF((Y$5=2),((SUMIFS(Headcount!$R$6:$R$89,Headcount!$F$6:$F$89,"Software",Headcount!$H$6:$H$89,"&gt;="&amp;Software!Y$3)/12)),X12),"New Year"))))),'Dept. Cost Actuals'!AC488-'Dept. Cost Actuals'!AC478)</f>
        <v>154160.11000000002</v>
      </c>
      <c r="Z12" s="806">
        <f>IF(Z$4="forecast",IF(YEAR(Z$3)=YEAR(Headcount!$N$4),((SUMIFS(Headcount!$N$6:$N$89,Headcount!$F$6:$F$89,"Software",Headcount!$H$6:$H$89,"&gt;="&amp;Software!Z$3)/12)),IF(YEAR(Z$3)=YEAR(Headcount!$O$4),IF((Z$5=2),((SUMIFS(Headcount!$O$6:$O$89,Headcount!$F$6:$F$89,"Software",Headcount!$H$6:$H$89,"&gt;="&amp;Software!Z$3)/12)),Y12),IF(YEAR(Z$3)=YEAR(Headcount!$P$4),IF((Z$5=2),((SUMIFS(Headcount!$P$6:$P$89,Headcount!$F$6:$F$89,"Software",Headcount!$H$6:$H$89,"&gt;="&amp;Software!Z$3)/12)),Y12),IF(YEAR(Z$3)=YEAR(Headcount!$Q$4),IF((Z$5=2),((SUMIFS(Headcount!$Q$6:$Q$89,Headcount!$F$6:$F$89,"Software",Headcount!$H$6:$H$89,"&gt;="&amp;Software!Z$3)/12)),Y12),IF(YEAR(Z$3)=YEAR(Headcount!$R$4),IF((Z$5=2),((SUMIFS(Headcount!$R$6:$R$89,Headcount!$F$6:$F$89,"Software",Headcount!$H$6:$H$89,"&gt;="&amp;Software!Z$3)/12)),Y12),"New Year"))))),'Dept. Cost Actuals'!AD488-'Dept. Cost Actuals'!AD478)</f>
        <v>148003.19</v>
      </c>
      <c r="AA12" s="806">
        <f>IF(AA$4="forecast",IF(YEAR(AA$3)=YEAR(Headcount!$N$4),((SUMIFS(Headcount!$N$6:$N$89,Headcount!$F$6:$F$89,"Software",Headcount!$H$6:$H$89,"&gt;="&amp;Software!AA$3)/12)),IF(YEAR(AA$3)=YEAR(Headcount!$O$4),IF((AA$5=2),((SUMIFS(Headcount!$O$6:$O$89,Headcount!$F$6:$F$89,"Software",Headcount!$H$6:$H$89,"&gt;="&amp;Software!AA$3)/12)),Z12),IF(YEAR(AA$3)=YEAR(Headcount!$P$4),IF((AA$5=2),((SUMIFS(Headcount!$P$6:$P$89,Headcount!$F$6:$F$89,"Software",Headcount!$H$6:$H$89,"&gt;="&amp;Software!AA$3)/12)),Z12),IF(YEAR(AA$3)=YEAR(Headcount!$Q$4),IF((AA$5=2),((SUMIFS(Headcount!$Q$6:$Q$89,Headcount!$F$6:$F$89,"Software",Headcount!$H$6:$H$89,"&gt;="&amp;Software!AA$3)/12)),Z12),IF(YEAR(AA$3)=YEAR(Headcount!$R$4),IF((AA$5=2),((SUMIFS(Headcount!$R$6:$R$89,Headcount!$F$6:$F$89,"Software",Headcount!$H$6:$H$89,"&gt;="&amp;Software!AA$3)/12)),Z12),"New Year"))))),'Dept. Cost Actuals'!AE488-'Dept. Cost Actuals'!AE478)</f>
        <v>148003.19</v>
      </c>
      <c r="AB12" s="806">
        <f>IF(AB$4="forecast",IF(YEAR(AB$3)=YEAR(Headcount!$N$4),((SUMIFS(Headcount!$N$6:$N$89,Headcount!$F$6:$F$89,"Software",Headcount!$H$6:$H$89,"&gt;="&amp;Software!AB$3)/12)),IF(YEAR(AB$3)=YEAR(Headcount!$O$4),IF((AB$5=2),((SUMIFS(Headcount!$O$6:$O$89,Headcount!$F$6:$F$89,"Software",Headcount!$H$6:$H$89,"&gt;="&amp;Software!AB$3)/12)),AA12),IF(YEAR(AB$3)=YEAR(Headcount!$P$4),IF((AB$5=2),((SUMIFS(Headcount!$P$6:$P$89,Headcount!$F$6:$F$89,"Software",Headcount!$H$6:$H$89,"&gt;="&amp;Software!AB$3)/12)),AA12),IF(YEAR(AB$3)=YEAR(Headcount!$Q$4),IF((AB$5=2),((SUMIFS(Headcount!$Q$6:$Q$89,Headcount!$F$6:$F$89,"Software",Headcount!$H$6:$H$89,"&gt;="&amp;Software!AB$3)/12)),AA12),IF(YEAR(AB$3)=YEAR(Headcount!$R$4),IF((AB$5=2),((SUMIFS(Headcount!$R$6:$R$89,Headcount!$F$6:$F$89,"Software",Headcount!$H$6:$H$89,"&gt;="&amp;Software!AB$3)/12)),AA12),"New Year"))))),'Dept. Cost Actuals'!AF488-'Dept. Cost Actuals'!AF478)</f>
        <v>182170.83333333334</v>
      </c>
      <c r="AC12" s="806">
        <f>IF(AC$4="forecast",IF(YEAR(AC$3)=YEAR(Headcount!$N$4),((SUMIFS(Headcount!$N$6:$N$89,Headcount!$F$6:$F$89,"Software",Headcount!$H$6:$H$89,"&gt;="&amp;Software!AC$3)/12)),IF(YEAR(AC$3)=YEAR(Headcount!$O$4),IF((AC$5=2),((SUMIFS(Headcount!$O$6:$O$89,Headcount!$F$6:$F$89,"Software",Headcount!$H$6:$H$89,"&gt;="&amp;Software!AC$3)/12)),AB12),IF(YEAR(AC$3)=YEAR(Headcount!$P$4),IF((AC$5=2),((SUMIFS(Headcount!$P$6:$P$89,Headcount!$F$6:$F$89,"Software",Headcount!$H$6:$H$89,"&gt;="&amp;Software!AC$3)/12)),AB12),IF(YEAR(AC$3)=YEAR(Headcount!$Q$4),IF((AC$5=2),((SUMIFS(Headcount!$Q$6:$Q$89,Headcount!$F$6:$F$89,"Software",Headcount!$H$6:$H$89,"&gt;="&amp;Software!AC$3)/12)),AB12),IF(YEAR(AC$3)=YEAR(Headcount!$R$4),IF((AC$5=2),((SUMIFS(Headcount!$R$6:$R$89,Headcount!$F$6:$F$89,"Software",Headcount!$H$6:$H$89,"&gt;="&amp;Software!AC$3)/12)),AB12),"New Year"))))),'Dept. Cost Actuals'!AG488-'Dept. Cost Actuals'!AG478)</f>
        <v>182170.83333333334</v>
      </c>
      <c r="AD12" s="806">
        <f>IF(AD$4="forecast",IF(YEAR(AD$3)=YEAR(Headcount!$N$4),((SUMIFS(Headcount!$N$6:$N$89,Headcount!$F$6:$F$89,"Software",Headcount!$H$6:$H$89,"&gt;="&amp;Software!AD$3)/12)),IF(YEAR(AD$3)=YEAR(Headcount!$O$4),IF((AD$5=2),((SUMIFS(Headcount!$O$6:$O$89,Headcount!$F$6:$F$89,"Software",Headcount!$H$6:$H$89,"&gt;="&amp;Software!AD$3)/12)),AC12),IF(YEAR(AD$3)=YEAR(Headcount!$P$4),IF((AD$5=2),((SUMIFS(Headcount!$P$6:$P$89,Headcount!$F$6:$F$89,"Software",Headcount!$H$6:$H$89,"&gt;="&amp;Software!AD$3)/12)),AC12),IF(YEAR(AD$3)=YEAR(Headcount!$Q$4),IF((AD$5=2),((SUMIFS(Headcount!$Q$6:$Q$89,Headcount!$F$6:$F$89,"Software",Headcount!$H$6:$H$89,"&gt;="&amp;Software!AD$3)/12)),AC12),IF(YEAR(AD$3)=YEAR(Headcount!$R$4),IF((AD$5=2),((SUMIFS(Headcount!$R$6:$R$89,Headcount!$F$6:$F$89,"Software",Headcount!$H$6:$H$89,"&gt;="&amp;Software!AD$3)/12)),AC12),"New Year"))))),'Dept. Cost Actuals'!AH488-'Dept. Cost Actuals'!AH478)</f>
        <v>182170.83333333334</v>
      </c>
      <c r="AE12" s="806">
        <f>IF(AE$4="forecast",IF(YEAR(AE$3)=YEAR(Headcount!$N$4),((SUMIFS(Headcount!$N$6:$N$89,Headcount!$F$6:$F$89,"Software",Headcount!$H$6:$H$89,"&gt;="&amp;Software!AE$3)/12)),IF(YEAR(AE$3)=YEAR(Headcount!$O$4),IF((AE$5=2),((SUMIFS(Headcount!$O$6:$O$89,Headcount!$F$6:$F$89,"Software",Headcount!$H$6:$H$89,"&gt;="&amp;Software!AE$3)/12)),AD12),IF(YEAR(AE$3)=YEAR(Headcount!$P$4),IF((AE$5=2),((SUMIFS(Headcount!$P$6:$P$89,Headcount!$F$6:$F$89,"Software",Headcount!$H$6:$H$89,"&gt;="&amp;Software!AE$3)/12)),AD12),IF(YEAR(AE$3)=YEAR(Headcount!$Q$4),IF((AE$5=2),((SUMIFS(Headcount!$Q$6:$Q$89,Headcount!$F$6:$F$89,"Software",Headcount!$H$6:$H$89,"&gt;="&amp;Software!AE$3)/12)),AD12),IF(YEAR(AE$3)=YEAR(Headcount!$R$4),IF((AE$5=2),((SUMIFS(Headcount!$R$6:$R$89,Headcount!$F$6:$F$89,"Software",Headcount!$H$6:$H$89,"&gt;="&amp;Software!AE$3)/12)),AD12),"New Year"))))),'Dept. Cost Actuals'!AI488-'Dept. Cost Actuals'!AI478)</f>
        <v>182170.83333333334</v>
      </c>
      <c r="AF12" s="806">
        <f>IF(AF$4="forecast",IF(YEAR(AF$3)=YEAR(Headcount!$N$4),((SUMIFS(Headcount!$N$6:$N$89,Headcount!$F$6:$F$89,"Software",Headcount!$H$6:$H$89,"&gt;="&amp;Software!AF$3)/12)),IF(YEAR(AF$3)=YEAR(Headcount!$O$4),IF((AF$5=2),((SUMIFS(Headcount!$O$6:$O$89,Headcount!$F$6:$F$89,"Software",Headcount!$H$6:$H$89,"&gt;="&amp;Software!AF$3)/12)),AE12),IF(YEAR(AF$3)=YEAR(Headcount!$P$4),IF((AF$5=2),((SUMIFS(Headcount!$P$6:$P$89,Headcount!$F$6:$F$89,"Software",Headcount!$H$6:$H$89,"&gt;="&amp;Software!AF$3)/12)),AE12),IF(YEAR(AF$3)=YEAR(Headcount!$Q$4),IF((AF$5=2),((SUMIFS(Headcount!$Q$6:$Q$89,Headcount!$F$6:$F$89,"Software",Headcount!$H$6:$H$89,"&gt;="&amp;Software!AF$3)/12)),AE12),IF(YEAR(AF$3)=YEAR(Headcount!$R$4),IF((AF$5=2),((SUMIFS(Headcount!$R$6:$R$89,Headcount!$F$6:$F$89,"Software",Headcount!$H$6:$H$89,"&gt;="&amp;Software!AF$3)/12)),AE12),"New Year"))))),'Dept. Cost Actuals'!AJ488-'Dept. Cost Actuals'!AJ478)</f>
        <v>182170.83333333334</v>
      </c>
      <c r="AG12" s="806">
        <f>IF(AG$4="forecast",IF(YEAR(AG$3)=YEAR(Headcount!$N$4),((SUMIFS(Headcount!$N$6:$N$89,Headcount!$F$6:$F$89,"Software",Headcount!$H$6:$H$89,"&gt;="&amp;Software!AG$3)/12)),IF(YEAR(AG$3)=YEAR(Headcount!$O$4),IF((AG$5=2),((SUMIFS(Headcount!$O$6:$O$89,Headcount!$F$6:$F$89,"Software",Headcount!$H$6:$H$89,"&gt;="&amp;Software!AG$3)/12)),AF12),IF(YEAR(AG$3)=YEAR(Headcount!$P$4),IF((AG$5=2),((SUMIFS(Headcount!$P$6:$P$89,Headcount!$F$6:$F$89,"Software",Headcount!$H$6:$H$89,"&gt;="&amp;Software!AG$3)/12)),AF12),IF(YEAR(AG$3)=YEAR(Headcount!$Q$4),IF((AG$5=2),((SUMIFS(Headcount!$Q$6:$Q$89,Headcount!$F$6:$F$89,"Software",Headcount!$H$6:$H$89,"&gt;="&amp;Software!AG$3)/12)),AF12),IF(YEAR(AG$3)=YEAR(Headcount!$R$4),IF((AG$5=2),((SUMIFS(Headcount!$R$6:$R$89,Headcount!$F$6:$F$89,"Software",Headcount!$H$6:$H$89,"&gt;="&amp;Software!AG$3)/12)),AF12),"New Year"))))),'Dept. Cost Actuals'!AK488-'Dept. Cost Actuals'!AK478)</f>
        <v>182170.83333333334</v>
      </c>
      <c r="AH12" s="806">
        <f>IF(AH$4="forecast",IF(YEAR(AH$3)=YEAR(Headcount!$N$4),((SUMIFS(Headcount!$N$6:$N$89,Headcount!$F$6:$F$89,"Software",Headcount!$H$6:$H$89,"&gt;="&amp;Software!AH$3)/12)),IF(YEAR(AH$3)=YEAR(Headcount!$O$4),IF((AH$5=2),((SUMIFS(Headcount!$O$6:$O$89,Headcount!$F$6:$F$89,"Software",Headcount!$H$6:$H$89,"&gt;="&amp;Software!AH$3)/12)),AG12),IF(YEAR(AH$3)=YEAR(Headcount!$P$4),IF((AH$5=2),((SUMIFS(Headcount!$P$6:$P$89,Headcount!$F$6:$F$89,"Software",Headcount!$H$6:$H$89,"&gt;="&amp;Software!AH$3)/12)),AG12),IF(YEAR(AH$3)=YEAR(Headcount!$Q$4),IF((AH$5=2),((SUMIFS(Headcount!$Q$6:$Q$89,Headcount!$F$6:$F$89,"Software",Headcount!$H$6:$H$89,"&gt;="&amp;Software!AH$3)/12)),AG12),IF(YEAR(AH$3)=YEAR(Headcount!$R$4),IF((AH$5=2),((SUMIFS(Headcount!$R$6:$R$89,Headcount!$F$6:$F$89,"Software",Headcount!$H$6:$H$89,"&gt;="&amp;Software!AH$3)/12)),AG12),"New Year"))))),'Dept. Cost Actuals'!AL488-'Dept. Cost Actuals'!AL478)</f>
        <v>182170.83333333334</v>
      </c>
      <c r="AI12" s="806">
        <f>IF(AI$4="forecast",IF(YEAR(AI$3)=YEAR(Headcount!$N$4),((SUMIFS(Headcount!$N$6:$N$89,Headcount!$F$6:$F$89,"Software",Headcount!$H$6:$H$89,"&gt;="&amp;Software!AI$3)/12)),IF(YEAR(AI$3)=YEAR(Headcount!$O$4),IF((AI$5=2),((SUMIFS(Headcount!$O$6:$O$89,Headcount!$F$6:$F$89,"Software",Headcount!$H$6:$H$89,"&gt;="&amp;Software!AI$3)/12)),AH12),IF(YEAR(AI$3)=YEAR(Headcount!$P$4),IF((AI$5=2),((SUMIFS(Headcount!$P$6:$P$89,Headcount!$F$6:$F$89,"Software",Headcount!$H$6:$H$89,"&gt;="&amp;Software!AI$3)/12)),AH12),IF(YEAR(AI$3)=YEAR(Headcount!$Q$4),IF((AI$5=2),((SUMIFS(Headcount!$Q$6:$Q$89,Headcount!$F$6:$F$89,"Software",Headcount!$H$6:$H$89,"&gt;="&amp;Software!AI$3)/12)),AH12),IF(YEAR(AI$3)=YEAR(Headcount!$R$4),IF((AI$5=2),((SUMIFS(Headcount!$R$6:$R$89,Headcount!$F$6:$F$89,"Software",Headcount!$H$6:$H$89,"&gt;="&amp;Software!AI$3)/12)),AH12),"New Year"))))),'Dept. Cost Actuals'!AM488-'Dept. Cost Actuals'!AM478)</f>
        <v>182170.83333333334</v>
      </c>
      <c r="AJ12" s="806">
        <f>IF(AJ$4="forecast",IF(YEAR(AJ$3)=YEAR(Headcount!$N$4),((SUMIFS(Headcount!$N$6:$N$89,Headcount!$F$6:$F$89,"Software",Headcount!$H$6:$H$89,"&gt;="&amp;Software!AJ$3)/12)),IF(YEAR(AJ$3)=YEAR(Headcount!$O$4),IF((AJ$5=2),((SUMIFS(Headcount!$O$6:$O$89,Headcount!$F$6:$F$89,"Software",Headcount!$H$6:$H$89,"&gt;="&amp;Software!AJ$3)/12)),AI12),IF(YEAR(AJ$3)=YEAR(Headcount!$P$4),IF((AJ$5=2),((SUMIFS(Headcount!$P$6:$P$89,Headcount!$F$6:$F$89,"Software",Headcount!$H$6:$H$89,"&gt;="&amp;Software!AJ$3)/12)),AI12),IF(YEAR(AJ$3)=YEAR(Headcount!$Q$4),IF((AJ$5=2),((SUMIFS(Headcount!$Q$6:$Q$89,Headcount!$F$6:$F$89,"Software",Headcount!$H$6:$H$89,"&gt;="&amp;Software!AJ$3)/12)),AI12),IF(YEAR(AJ$3)=YEAR(Headcount!$R$4),IF((AJ$5=2),((SUMIFS(Headcount!$R$6:$R$89,Headcount!$F$6:$F$89,"Software",Headcount!$H$6:$H$89,"&gt;="&amp;Software!AJ$3)/12)),AI12),"New Year"))))),'Dept. Cost Actuals'!AN488-'Dept. Cost Actuals'!AN478)</f>
        <v>182170.83333333334</v>
      </c>
      <c r="AK12" s="806">
        <f>IF(AK$4="forecast",IF(YEAR(AK$3)=YEAR(Headcount!$N$4),((SUMIFS(Headcount!$N$6:$N$89,Headcount!$F$6:$F$89,"Software",Headcount!$H$6:$H$89,"&gt;="&amp;Software!AK$3)/12)),IF(YEAR(AK$3)=YEAR(Headcount!$O$4),IF((AK$5=2),((SUMIFS(Headcount!$O$6:$O$89,Headcount!$F$6:$F$89,"Software",Headcount!$H$6:$H$89,"&gt;="&amp;Software!AK$3)/12)),AJ12),IF(YEAR(AK$3)=YEAR(Headcount!$P$4),IF((AK$5=2),((SUMIFS(Headcount!$P$6:$P$89,Headcount!$F$6:$F$89,"Software",Headcount!$H$6:$H$89,"&gt;="&amp;Software!AK$3)/12)),AJ12),IF(YEAR(AK$3)=YEAR(Headcount!$Q$4),IF((AK$5=2),((SUMIFS(Headcount!$Q$6:$Q$89,Headcount!$F$6:$F$89,"Software",Headcount!$H$6:$H$89,"&gt;="&amp;Software!AK$3)/12)),AJ12),IF(YEAR(AK$3)=YEAR(Headcount!$R$4),IF((AK$5=2),((SUMIFS(Headcount!$R$6:$R$89,Headcount!$F$6:$F$89,"Software",Headcount!$H$6:$H$89,"&gt;="&amp;Software!AK$3)/12)),AJ12),"New Year"))))),'Dept. Cost Actuals'!AO488-'Dept. Cost Actuals'!AO478)</f>
        <v>182170.83333333334</v>
      </c>
      <c r="AL12" s="806">
        <f>IF(AL$4="forecast",IF(YEAR(AL$3)=YEAR(Headcount!$N$4),((SUMIFS(Headcount!$N$6:$N$89,Headcount!$F$6:$F$89,"Software",Headcount!$H$6:$H$89,"&gt;="&amp;Software!AL$3)/12)),IF(YEAR(AL$3)=YEAR(Headcount!$O$4),IF((AL$5=2),((SUMIFS(Headcount!$O$6:$O$89,Headcount!$F$6:$F$89,"Software",Headcount!$H$6:$H$89,"&gt;="&amp;Software!AL$3)/12)),AK12),IF(YEAR(AL$3)=YEAR(Headcount!$P$4),IF((AL$5=2),((SUMIFS(Headcount!$P$6:$P$89,Headcount!$F$6:$F$89,"Software",Headcount!$H$6:$H$89,"&gt;="&amp;Software!AL$3)/12)),AK12),IF(YEAR(AL$3)=YEAR(Headcount!$Q$4),IF((AL$5=2),((SUMIFS(Headcount!$Q$6:$Q$89,Headcount!$F$6:$F$89,"Software",Headcount!$H$6:$H$89,"&gt;="&amp;Software!AL$3)/12)),AK12),IF(YEAR(AL$3)=YEAR(Headcount!$R$4),IF((AL$5=2),((SUMIFS(Headcount!$R$6:$R$89,Headcount!$F$6:$F$89,"Software",Headcount!$H$6:$H$89,"&gt;="&amp;Software!AL$3)/12)),AK12),"New Year"))))),'Dept. Cost Actuals'!AP488-'Dept. Cost Actuals'!AP478)</f>
        <v>182170.83333333334</v>
      </c>
      <c r="AM12" s="806">
        <f>IF(AM$4="forecast",IF(YEAR(AM$3)=YEAR(Headcount!$N$4),((SUMIFS(Headcount!$N$6:$N$89,Headcount!$F$6:$F$89,"Software",Headcount!$H$6:$H$89,"&gt;="&amp;Software!AM$3)/12)),IF(YEAR(AM$3)=YEAR(Headcount!$O$4),IF((AM$5=2),((SUMIFS(Headcount!$O$6:$O$89,Headcount!$F$6:$F$89,"Software",Headcount!$H$6:$H$89,"&gt;="&amp;Software!AM$3)/12)),AL12),IF(YEAR(AM$3)=YEAR(Headcount!$P$4),IF((AM$5=2),((SUMIFS(Headcount!$P$6:$P$89,Headcount!$F$6:$F$89,"Software",Headcount!$H$6:$H$89,"&gt;="&amp;Software!AM$3)/12)),AL12),IF(YEAR(AM$3)=YEAR(Headcount!$Q$4),IF((AM$5=2),((SUMIFS(Headcount!$Q$6:$Q$89,Headcount!$F$6:$F$89,"Software",Headcount!$H$6:$H$89,"&gt;="&amp;Software!AM$3)/12)),AL12),IF(YEAR(AM$3)=YEAR(Headcount!$R$4),IF((AM$5=2),((SUMIFS(Headcount!$R$6:$R$89,Headcount!$F$6:$F$89,"Software",Headcount!$H$6:$H$89,"&gt;="&amp;Software!AM$3)/12)),AL12),"New Year"))))),'Dept. Cost Actuals'!AQ488-'Dept. Cost Actuals'!AQ478)</f>
        <v>182170.83333333334</v>
      </c>
      <c r="AN12" s="806">
        <f>IF(AN$4="forecast",IF(YEAR(AN$3)=YEAR(Headcount!$N$4),((SUMIFS(Headcount!$N$6:$N$89,Headcount!$F$6:$F$89,"Software",Headcount!$H$6:$H$89,"&gt;="&amp;Software!AN$3)/12)),IF(YEAR(AN$3)=YEAR(Headcount!$O$4),IF((AN$5=2),((SUMIFS(Headcount!$O$6:$O$89,Headcount!$F$6:$F$89,"Software",Headcount!$H$6:$H$89,"&gt;="&amp;Software!AN$3)/12)),AM12),IF(YEAR(AN$3)=YEAR(Headcount!$P$4),IF((AN$5=2),((SUMIFS(Headcount!$P$6:$P$89,Headcount!$F$6:$F$89,"Software",Headcount!$H$6:$H$89,"&gt;="&amp;Software!AN$3)/12)),AM12),IF(YEAR(AN$3)=YEAR(Headcount!$Q$4),IF((AN$5=2),((SUMIFS(Headcount!$Q$6:$Q$89,Headcount!$F$6:$F$89,"Software",Headcount!$H$6:$H$89,"&gt;="&amp;Software!AN$3)/12)),AM12),IF(YEAR(AN$3)=YEAR(Headcount!$R$4),IF((AN$5=2),((SUMIFS(Headcount!$R$6:$R$89,Headcount!$F$6:$F$89,"Software",Headcount!$H$6:$H$89,"&gt;="&amp;Software!AN$3)/12)),AM12),"New Year"))))),'Dept. Cost Actuals'!AR488-'Dept. Cost Actuals'!AR478)</f>
        <v>227264.44833333333</v>
      </c>
      <c r="AO12" s="806">
        <f>IF(AO$4="forecast",IF(YEAR(AO$3)=YEAR(Headcount!$N$4),((SUMIFS(Headcount!$N$6:$N$89,Headcount!$F$6:$F$89,"Software",Headcount!$H$6:$H$89,"&gt;="&amp;Software!AO$3)/12)),IF(YEAR(AO$3)=YEAR(Headcount!$O$4),IF((AO$5=2),((SUMIFS(Headcount!$O$6:$O$89,Headcount!$F$6:$F$89,"Software",Headcount!$H$6:$H$89,"&gt;="&amp;Software!AO$3)/12)),AN12),IF(YEAR(AO$3)=YEAR(Headcount!$P$4),IF((AO$5=2),((SUMIFS(Headcount!$P$6:$P$89,Headcount!$F$6:$F$89,"Software",Headcount!$H$6:$H$89,"&gt;="&amp;Software!AO$3)/12)),AN12),IF(YEAR(AO$3)=YEAR(Headcount!$Q$4),IF((AO$5=2),((SUMIFS(Headcount!$Q$6:$Q$89,Headcount!$F$6:$F$89,"Software",Headcount!$H$6:$H$89,"&gt;="&amp;Software!AO$3)/12)),AN12),IF(YEAR(AO$3)=YEAR(Headcount!$R$4),IF((AO$5=2),((SUMIFS(Headcount!$R$6:$R$89,Headcount!$F$6:$F$89,"Software",Headcount!$H$6:$H$89,"&gt;="&amp;Software!AO$3)/12)),AN12),"New Year"))))),'Dept. Cost Actuals'!AS488-'Dept. Cost Actuals'!AS478)</f>
        <v>227264.44833333333</v>
      </c>
      <c r="AP12" s="806">
        <f>IF(AP$4="forecast",IF(YEAR(AP$3)=YEAR(Headcount!$N$4),((SUMIFS(Headcount!$N$6:$N$89,Headcount!$F$6:$F$89,"Software",Headcount!$H$6:$H$89,"&gt;="&amp;Software!AP$3)/12)),IF(YEAR(AP$3)=YEAR(Headcount!$O$4),IF((AP$5=2),((SUMIFS(Headcount!$O$6:$O$89,Headcount!$F$6:$F$89,"Software",Headcount!$H$6:$H$89,"&gt;="&amp;Software!AP$3)/12)),AO12),IF(YEAR(AP$3)=YEAR(Headcount!$P$4),IF((AP$5=2),((SUMIFS(Headcount!$P$6:$P$89,Headcount!$F$6:$F$89,"Software",Headcount!$H$6:$H$89,"&gt;="&amp;Software!AP$3)/12)),AO12),IF(YEAR(AP$3)=YEAR(Headcount!$Q$4),IF((AP$5=2),((SUMIFS(Headcount!$Q$6:$Q$89,Headcount!$F$6:$F$89,"Software",Headcount!$H$6:$H$89,"&gt;="&amp;Software!AP$3)/12)),AO12),IF(YEAR(AP$3)=YEAR(Headcount!$R$4),IF((AP$5=2),((SUMIFS(Headcount!$R$6:$R$89,Headcount!$F$6:$F$89,"Software",Headcount!$H$6:$H$89,"&gt;="&amp;Software!AP$3)/12)),AO12),"New Year"))))),'Dept. Cost Actuals'!AT488-'Dept. Cost Actuals'!AT478)</f>
        <v>227264.44833333333</v>
      </c>
      <c r="AQ12" s="806">
        <f>IF(AQ$4="forecast",IF(YEAR(AQ$3)=YEAR(Headcount!$N$4),((SUMIFS(Headcount!$N$6:$N$89,Headcount!$F$6:$F$89,"Software",Headcount!$H$6:$H$89,"&gt;="&amp;Software!AQ$3)/12)),IF(YEAR(AQ$3)=YEAR(Headcount!$O$4),IF((AQ$5=2),((SUMIFS(Headcount!$O$6:$O$89,Headcount!$F$6:$F$89,"Software",Headcount!$H$6:$H$89,"&gt;="&amp;Software!AQ$3)/12)),AP12),IF(YEAR(AQ$3)=YEAR(Headcount!$P$4),IF((AQ$5=2),((SUMIFS(Headcount!$P$6:$P$89,Headcount!$F$6:$F$89,"Software",Headcount!$H$6:$H$89,"&gt;="&amp;Software!AQ$3)/12)),AP12),IF(YEAR(AQ$3)=YEAR(Headcount!$Q$4),IF((AQ$5=2),((SUMIFS(Headcount!$Q$6:$Q$89,Headcount!$F$6:$F$89,"Software",Headcount!$H$6:$H$89,"&gt;="&amp;Software!AQ$3)/12)),AP12),IF(YEAR(AQ$3)=YEAR(Headcount!$R$4),IF((AQ$5=2),((SUMIFS(Headcount!$R$6:$R$89,Headcount!$F$6:$F$89,"Software",Headcount!$H$6:$H$89,"&gt;="&amp;Software!AQ$3)/12)),AP12),"New Year"))))),'Dept. Cost Actuals'!AU488-'Dept. Cost Actuals'!AU478)</f>
        <v>227264.44833333333</v>
      </c>
      <c r="AR12" s="806">
        <f>IF(AR$4="forecast",IF(YEAR(AR$3)=YEAR(Headcount!$N$4),((SUMIFS(Headcount!$N$6:$N$89,Headcount!$F$6:$F$89,"Software",Headcount!$H$6:$H$89,"&gt;="&amp;Software!AR$3)/12)),IF(YEAR(AR$3)=YEAR(Headcount!$O$4),IF((AR$5=2),((SUMIFS(Headcount!$O$6:$O$89,Headcount!$F$6:$F$89,"Software",Headcount!$H$6:$H$89,"&gt;="&amp;Software!AR$3)/12)),AQ12),IF(YEAR(AR$3)=YEAR(Headcount!$P$4),IF((AR$5=2),((SUMIFS(Headcount!$P$6:$P$89,Headcount!$F$6:$F$89,"Software",Headcount!$H$6:$H$89,"&gt;="&amp;Software!AR$3)/12)),AQ12),IF(YEAR(AR$3)=YEAR(Headcount!$Q$4),IF((AR$5=2),((SUMIFS(Headcount!$Q$6:$Q$89,Headcount!$F$6:$F$89,"Software",Headcount!$H$6:$H$89,"&gt;="&amp;Software!AR$3)/12)),AQ12),IF(YEAR(AR$3)=YEAR(Headcount!$R$4),IF((AR$5=2),((SUMIFS(Headcount!$R$6:$R$89,Headcount!$F$6:$F$89,"Software",Headcount!$H$6:$H$89,"&gt;="&amp;Software!AR$3)/12)),AQ12),"New Year"))))),'Dept. Cost Actuals'!AV488-'Dept. Cost Actuals'!AV478)</f>
        <v>227264.44833333333</v>
      </c>
      <c r="AS12" s="806">
        <f>IF(AS$4="forecast",IF(YEAR(AS$3)=YEAR(Headcount!$N$4),((SUMIFS(Headcount!$N$6:$N$89,Headcount!$F$6:$F$89,"Software",Headcount!$H$6:$H$89,"&gt;="&amp;Software!AS$3)/12)),IF(YEAR(AS$3)=YEAR(Headcount!$O$4),IF((AS$5=2),((SUMIFS(Headcount!$O$6:$O$89,Headcount!$F$6:$F$89,"Software",Headcount!$H$6:$H$89,"&gt;="&amp;Software!AS$3)/12)),AR12),IF(YEAR(AS$3)=YEAR(Headcount!$P$4),IF((AS$5=2),((SUMIFS(Headcount!$P$6:$P$89,Headcount!$F$6:$F$89,"Software",Headcount!$H$6:$H$89,"&gt;="&amp;Software!AS$3)/12)),AR12),IF(YEAR(AS$3)=YEAR(Headcount!$Q$4),IF((AS$5=2),((SUMIFS(Headcount!$Q$6:$Q$89,Headcount!$F$6:$F$89,"Software",Headcount!$H$6:$H$89,"&gt;="&amp;Software!AS$3)/12)),AR12),IF(YEAR(AS$3)=YEAR(Headcount!$R$4),IF((AS$5=2),((SUMIFS(Headcount!$R$6:$R$89,Headcount!$F$6:$F$89,"Software",Headcount!$H$6:$H$89,"&gt;="&amp;Software!AS$3)/12)),AR12),"New Year"))))),'Dept. Cost Actuals'!AW488-'Dept. Cost Actuals'!AW478)</f>
        <v>227264.44833333333</v>
      </c>
      <c r="AT12" s="806">
        <f>IF(AT$4="forecast",IF(YEAR(AT$3)=YEAR(Headcount!$N$4),((SUMIFS(Headcount!$N$6:$N$89,Headcount!$F$6:$F$89,"Software",Headcount!$H$6:$H$89,"&gt;="&amp;Software!AT$3)/12)),IF(YEAR(AT$3)=YEAR(Headcount!$O$4),IF((AT$5=2),((SUMIFS(Headcount!$O$6:$O$89,Headcount!$F$6:$F$89,"Software",Headcount!$H$6:$H$89,"&gt;="&amp;Software!AT$3)/12)),AS12),IF(YEAR(AT$3)=YEAR(Headcount!$P$4),IF((AT$5=2),((SUMIFS(Headcount!$P$6:$P$89,Headcount!$F$6:$F$89,"Software",Headcount!$H$6:$H$89,"&gt;="&amp;Software!AT$3)/12)),AS12),IF(YEAR(AT$3)=YEAR(Headcount!$Q$4),IF((AT$5=2),((SUMIFS(Headcount!$Q$6:$Q$89,Headcount!$F$6:$F$89,"Software",Headcount!$H$6:$H$89,"&gt;="&amp;Software!AT$3)/12)),AS12),IF(YEAR(AT$3)=YEAR(Headcount!$R$4),IF((AT$5=2),((SUMIFS(Headcount!$R$6:$R$89,Headcount!$F$6:$F$89,"Software",Headcount!$H$6:$H$89,"&gt;="&amp;Software!AT$3)/12)),AS12),"New Year"))))),'Dept. Cost Actuals'!AX488-'Dept. Cost Actuals'!AX478)</f>
        <v>227264.44833333333</v>
      </c>
      <c r="AU12" s="806">
        <f>IF(AU$4="forecast",IF(YEAR(AU$3)=YEAR(Headcount!$N$4),((SUMIFS(Headcount!$N$6:$N$89,Headcount!$F$6:$F$89,"Software",Headcount!$H$6:$H$89,"&gt;="&amp;Software!AU$3)/12)),IF(YEAR(AU$3)=YEAR(Headcount!$O$4),IF((AU$5=2),((SUMIFS(Headcount!$O$6:$O$89,Headcount!$F$6:$F$89,"Software",Headcount!$H$6:$H$89,"&gt;="&amp;Software!AU$3)/12)),AT12),IF(YEAR(AU$3)=YEAR(Headcount!$P$4),IF((AU$5=2),((SUMIFS(Headcount!$P$6:$P$89,Headcount!$F$6:$F$89,"Software",Headcount!$H$6:$H$89,"&gt;="&amp;Software!AU$3)/12)),AT12),IF(YEAR(AU$3)=YEAR(Headcount!$Q$4),IF((AU$5=2),((SUMIFS(Headcount!$Q$6:$Q$89,Headcount!$F$6:$F$89,"Software",Headcount!$H$6:$H$89,"&gt;="&amp;Software!AU$3)/12)),AT12),IF(YEAR(AU$3)=YEAR(Headcount!$R$4),IF((AU$5=2),((SUMIFS(Headcount!$R$6:$R$89,Headcount!$F$6:$F$89,"Software",Headcount!$H$6:$H$89,"&gt;="&amp;Software!AU$3)/12)),AT12),"New Year"))))),'Dept. Cost Actuals'!AY488-'Dept. Cost Actuals'!AY478)</f>
        <v>227264.44833333333</v>
      </c>
      <c r="AV12" s="806">
        <f>IF(AV$4="forecast",IF(YEAR(AV$3)=YEAR(Headcount!$N$4),((SUMIFS(Headcount!$N$6:$N$89,Headcount!$F$6:$F$89,"Software",Headcount!$H$6:$H$89,"&gt;="&amp;Software!AV$3)/12)),IF(YEAR(AV$3)=YEAR(Headcount!$O$4),IF((AV$5=2),((SUMIFS(Headcount!$O$6:$O$89,Headcount!$F$6:$F$89,"Software",Headcount!$H$6:$H$89,"&gt;="&amp;Software!AV$3)/12)),AU12),IF(YEAR(AV$3)=YEAR(Headcount!$P$4),IF((AV$5=2),((SUMIFS(Headcount!$P$6:$P$89,Headcount!$F$6:$F$89,"Software",Headcount!$H$6:$H$89,"&gt;="&amp;Software!AV$3)/12)),AU12),IF(YEAR(AV$3)=YEAR(Headcount!$Q$4),IF((AV$5=2),((SUMIFS(Headcount!$Q$6:$Q$89,Headcount!$F$6:$F$89,"Software",Headcount!$H$6:$H$89,"&gt;="&amp;Software!AV$3)/12)),AU12),IF(YEAR(AV$3)=YEAR(Headcount!$R$4),IF((AV$5=2),((SUMIFS(Headcount!$R$6:$R$89,Headcount!$F$6:$F$89,"Software",Headcount!$H$6:$H$89,"&gt;="&amp;Software!AV$3)/12)),AU12),"New Year"))))),'Dept. Cost Actuals'!AZ488-'Dept. Cost Actuals'!AZ478)</f>
        <v>227264.44833333333</v>
      </c>
      <c r="AW12" s="806">
        <f>IF(AW$4="forecast",IF(YEAR(AW$3)=YEAR(Headcount!$N$4),((SUMIFS(Headcount!$N$6:$N$89,Headcount!$F$6:$F$89,"Software",Headcount!$H$6:$H$89,"&gt;="&amp;Software!AW$3)/12)),IF(YEAR(AW$3)=YEAR(Headcount!$O$4),IF((AW$5=2),((SUMIFS(Headcount!$O$6:$O$89,Headcount!$F$6:$F$89,"Software",Headcount!$H$6:$H$89,"&gt;="&amp;Software!AW$3)/12)),AV12),IF(YEAR(AW$3)=YEAR(Headcount!$P$4),IF((AW$5=2),((SUMIFS(Headcount!$P$6:$P$89,Headcount!$F$6:$F$89,"Software",Headcount!$H$6:$H$89,"&gt;="&amp;Software!AW$3)/12)),AV12),IF(YEAR(AW$3)=YEAR(Headcount!$Q$4),IF((AW$5=2),((SUMIFS(Headcount!$Q$6:$Q$89,Headcount!$F$6:$F$89,"Software",Headcount!$H$6:$H$89,"&gt;="&amp;Software!AW$3)/12)),AV12),IF(YEAR(AW$3)=YEAR(Headcount!$R$4),IF((AW$5=2),((SUMIFS(Headcount!$R$6:$R$89,Headcount!$F$6:$F$89,"Software",Headcount!$H$6:$H$89,"&gt;="&amp;Software!AW$3)/12)),AV12),"New Year"))))),'Dept. Cost Actuals'!BA488-'Dept. Cost Actuals'!BA478)</f>
        <v>227264.44833333333</v>
      </c>
      <c r="AX12" s="806">
        <f>IF(AX$4="forecast",IF(YEAR(AX$3)=YEAR(Headcount!$N$4),((SUMIFS(Headcount!$N$6:$N$89,Headcount!$F$6:$F$89,"Software",Headcount!$H$6:$H$89,"&gt;="&amp;Software!AX$3)/12)),IF(YEAR(AX$3)=YEAR(Headcount!$O$4),IF((AX$5=2),((SUMIFS(Headcount!$O$6:$O$89,Headcount!$F$6:$F$89,"Software",Headcount!$H$6:$H$89,"&gt;="&amp;Software!AX$3)/12)),AW12),IF(YEAR(AX$3)=YEAR(Headcount!$P$4),IF((AX$5=2),((SUMIFS(Headcount!$P$6:$P$89,Headcount!$F$6:$F$89,"Software",Headcount!$H$6:$H$89,"&gt;="&amp;Software!AX$3)/12)),AW12),IF(YEAR(AX$3)=YEAR(Headcount!$Q$4),IF((AX$5=2),((SUMIFS(Headcount!$Q$6:$Q$89,Headcount!$F$6:$F$89,"Software",Headcount!$H$6:$H$89,"&gt;="&amp;Software!AX$3)/12)),AW12),IF(YEAR(AX$3)=YEAR(Headcount!$R$4),IF((AX$5=2),((SUMIFS(Headcount!$R$6:$R$89,Headcount!$F$6:$F$89,"Software",Headcount!$H$6:$H$89,"&gt;="&amp;Software!AX$3)/12)),AW12),"New Year"))))),'Dept. Cost Actuals'!BB488-'Dept. Cost Actuals'!BB478)</f>
        <v>227264.44833333333</v>
      </c>
      <c r="AY12" s="806">
        <f>IF(AY$4="forecast",IF(YEAR(AY$3)=YEAR(Headcount!$N$4),((SUMIFS(Headcount!$N$6:$N$89,Headcount!$F$6:$F$89,"Software",Headcount!$H$6:$H$89,"&gt;="&amp;Software!AY$3)/12)),IF(YEAR(AY$3)=YEAR(Headcount!$O$4),IF((AY$5=2),((SUMIFS(Headcount!$O$6:$O$89,Headcount!$F$6:$F$89,"Software",Headcount!$H$6:$H$89,"&gt;="&amp;Software!AY$3)/12)),AX12),IF(YEAR(AY$3)=YEAR(Headcount!$P$4),IF((AY$5=2),((SUMIFS(Headcount!$P$6:$P$89,Headcount!$F$6:$F$89,"Software",Headcount!$H$6:$H$89,"&gt;="&amp;Software!AY$3)/12)),AX12),IF(YEAR(AY$3)=YEAR(Headcount!$Q$4),IF((AY$5=2),((SUMIFS(Headcount!$Q$6:$Q$89,Headcount!$F$6:$F$89,"Software",Headcount!$H$6:$H$89,"&gt;="&amp;Software!AY$3)/12)),AX12),IF(YEAR(AY$3)=YEAR(Headcount!$R$4),IF((AY$5=2),((SUMIFS(Headcount!$R$6:$R$89,Headcount!$F$6:$F$89,"Software",Headcount!$H$6:$H$89,"&gt;="&amp;Software!AY$3)/12)),AX12),"New Year"))))),'Dept. Cost Actuals'!BC488-'Dept. Cost Actuals'!BC478)</f>
        <v>227264.44833333333</v>
      </c>
      <c r="AZ12" s="806">
        <f>IF(AZ$4="forecast",IF(YEAR(AZ$3)=YEAR(Headcount!$N$4),((SUMIFS(Headcount!$N$6:$N$89,Headcount!$F$6:$F$89,"Software",Headcount!$H$6:$H$89,"&gt;="&amp;Software!AZ$3)/12)),IF(YEAR(AZ$3)=YEAR(Headcount!$O$4),IF((AZ$5=2),((SUMIFS(Headcount!$O$6:$O$89,Headcount!$F$6:$F$89,"Software",Headcount!$H$6:$H$89,"&gt;="&amp;Software!AZ$3)/12)),AY12),IF(YEAR(AZ$3)=YEAR(Headcount!$P$4),IF((AZ$5=2),((SUMIFS(Headcount!$P$6:$P$89,Headcount!$F$6:$F$89,"Software",Headcount!$H$6:$H$89,"&gt;="&amp;Software!AZ$3)/12)),AY12),IF(YEAR(AZ$3)=YEAR(Headcount!$Q$4),IF((AZ$5=2),((SUMIFS(Headcount!$Q$6:$Q$89,Headcount!$F$6:$F$89,"Software",Headcount!$H$6:$H$89,"&gt;="&amp;Software!AZ$3)/12)),AY12),IF(YEAR(AZ$3)=YEAR(Headcount!$R$4),IF((AZ$5=2),((SUMIFS(Headcount!$R$6:$R$89,Headcount!$F$6:$F$89,"Software",Headcount!$H$6:$H$89,"&gt;="&amp;Software!AZ$3)/12)),AY12),"New Year"))))),'Dept. Cost Actuals'!BD488-'Dept. Cost Actuals'!BD478)</f>
        <v>234082.38178333335</v>
      </c>
      <c r="BA12" s="806">
        <f>IF(BA$4="forecast",IF(YEAR(BA$3)=YEAR(Headcount!$N$4),((SUMIFS(Headcount!$N$6:$N$89,Headcount!$F$6:$F$89,"Software",Headcount!$H$6:$H$89,"&gt;="&amp;Software!BA$3)/12)),IF(YEAR(BA$3)=YEAR(Headcount!$O$4),IF((BA$5=2),((SUMIFS(Headcount!$O$6:$O$89,Headcount!$F$6:$F$89,"Software",Headcount!$H$6:$H$89,"&gt;="&amp;Software!BA$3)/12)),AZ12),IF(YEAR(BA$3)=YEAR(Headcount!$P$4),IF((BA$5=2),((SUMIFS(Headcount!$P$6:$P$89,Headcount!$F$6:$F$89,"Software",Headcount!$H$6:$H$89,"&gt;="&amp;Software!BA$3)/12)),AZ12),IF(YEAR(BA$3)=YEAR(Headcount!$Q$4),IF((BA$5=2),((SUMIFS(Headcount!$Q$6:$Q$89,Headcount!$F$6:$F$89,"Software",Headcount!$H$6:$H$89,"&gt;="&amp;Software!BA$3)/12)),AZ12),IF(YEAR(BA$3)=YEAR(Headcount!$R$4),IF((BA$5=2),((SUMIFS(Headcount!$R$6:$R$89,Headcount!$F$6:$F$89,"Software",Headcount!$H$6:$H$89,"&gt;="&amp;Software!BA$3)/12)),AZ12),"New Year"))))),'Dept. Cost Actuals'!BE488-'Dept. Cost Actuals'!BE478)</f>
        <v>234082.38178333335</v>
      </c>
      <c r="BB12" s="806">
        <f>IF(BB$4="forecast",IF(YEAR(BB$3)=YEAR(Headcount!$N$4),((SUMIFS(Headcount!$N$6:$N$89,Headcount!$F$6:$F$89,"Software",Headcount!$H$6:$H$89,"&gt;="&amp;Software!BB$3)/12)),IF(YEAR(BB$3)=YEAR(Headcount!$O$4),IF((BB$5=2),((SUMIFS(Headcount!$O$6:$O$89,Headcount!$F$6:$F$89,"Software",Headcount!$H$6:$H$89,"&gt;="&amp;Software!BB$3)/12)),BA12),IF(YEAR(BB$3)=YEAR(Headcount!$P$4),IF((BB$5=2),((SUMIFS(Headcount!$P$6:$P$89,Headcount!$F$6:$F$89,"Software",Headcount!$H$6:$H$89,"&gt;="&amp;Software!BB$3)/12)),BA12),IF(YEAR(BB$3)=YEAR(Headcount!$Q$4),IF((BB$5=2),((SUMIFS(Headcount!$Q$6:$Q$89,Headcount!$F$6:$F$89,"Software",Headcount!$H$6:$H$89,"&gt;="&amp;Software!BB$3)/12)),BA12),IF(YEAR(BB$3)=YEAR(Headcount!$R$4),IF((BB$5=2),((SUMIFS(Headcount!$R$6:$R$89,Headcount!$F$6:$F$89,"Software",Headcount!$H$6:$H$89,"&gt;="&amp;Software!BB$3)/12)),BA12),"New Year"))))),'Dept. Cost Actuals'!BF488-'Dept. Cost Actuals'!BF478)</f>
        <v>234082.38178333335</v>
      </c>
      <c r="BC12" s="806">
        <f>IF(BC$4="forecast",IF(YEAR(BC$3)=YEAR(Headcount!$N$4),((SUMIFS(Headcount!$N$6:$N$89,Headcount!$F$6:$F$89,"Software",Headcount!$H$6:$H$89,"&gt;="&amp;Software!BC$3)/12)),IF(YEAR(BC$3)=YEAR(Headcount!$O$4),IF((BC$5=2),((SUMIFS(Headcount!$O$6:$O$89,Headcount!$F$6:$F$89,"Software",Headcount!$H$6:$H$89,"&gt;="&amp;Software!BC$3)/12)),BB12),IF(YEAR(BC$3)=YEAR(Headcount!$P$4),IF((BC$5=2),((SUMIFS(Headcount!$P$6:$P$89,Headcount!$F$6:$F$89,"Software",Headcount!$H$6:$H$89,"&gt;="&amp;Software!BC$3)/12)),BB12),IF(YEAR(BC$3)=YEAR(Headcount!$Q$4),IF((BC$5=2),((SUMIFS(Headcount!$Q$6:$Q$89,Headcount!$F$6:$F$89,"Software",Headcount!$H$6:$H$89,"&gt;="&amp;Software!BC$3)/12)),BB12),IF(YEAR(BC$3)=YEAR(Headcount!$R$4),IF((BC$5=2),((SUMIFS(Headcount!$R$6:$R$89,Headcount!$F$6:$F$89,"Software",Headcount!$H$6:$H$89,"&gt;="&amp;Software!BC$3)/12)),BB12),"New Year"))))),'Dept. Cost Actuals'!BG488-'Dept. Cost Actuals'!BG478)</f>
        <v>234082.38178333335</v>
      </c>
      <c r="BD12" s="806">
        <f>IF(BD$4="forecast",IF(YEAR(BD$3)=YEAR(Headcount!$N$4),((SUMIFS(Headcount!$N$6:$N$89,Headcount!$F$6:$F$89,"Software",Headcount!$H$6:$H$89,"&gt;="&amp;Software!BD$3)/12)),IF(YEAR(BD$3)=YEAR(Headcount!$O$4),IF((BD$5=2),((SUMIFS(Headcount!$O$6:$O$89,Headcount!$F$6:$F$89,"Software",Headcount!$H$6:$H$89,"&gt;="&amp;Software!BD$3)/12)),BC12),IF(YEAR(BD$3)=YEAR(Headcount!$P$4),IF((BD$5=2),((SUMIFS(Headcount!$P$6:$P$89,Headcount!$F$6:$F$89,"Software",Headcount!$H$6:$H$89,"&gt;="&amp;Software!BD$3)/12)),BC12),IF(YEAR(BD$3)=YEAR(Headcount!$Q$4),IF((BD$5=2),((SUMIFS(Headcount!$Q$6:$Q$89,Headcount!$F$6:$F$89,"Software",Headcount!$H$6:$H$89,"&gt;="&amp;Software!BD$3)/12)),BC12),IF(YEAR(BD$3)=YEAR(Headcount!$R$4),IF((BD$5=2),((SUMIFS(Headcount!$R$6:$R$89,Headcount!$F$6:$F$89,"Software",Headcount!$H$6:$H$89,"&gt;="&amp;Software!BD$3)/12)),BC12),"New Year"))))),'Dept. Cost Actuals'!BH488-'Dept. Cost Actuals'!BH478)</f>
        <v>234082.38178333335</v>
      </c>
      <c r="BE12" s="806">
        <f>IF(BE$4="forecast",IF(YEAR(BE$3)=YEAR(Headcount!$N$4),((SUMIFS(Headcount!$N$6:$N$89,Headcount!$F$6:$F$89,"Software",Headcount!$H$6:$H$89,"&gt;="&amp;Software!BE$3)/12)),IF(YEAR(BE$3)=YEAR(Headcount!$O$4),IF((BE$5=2),((SUMIFS(Headcount!$O$6:$O$89,Headcount!$F$6:$F$89,"Software",Headcount!$H$6:$H$89,"&gt;="&amp;Software!BE$3)/12)),BD12),IF(YEAR(BE$3)=YEAR(Headcount!$P$4),IF((BE$5=2),((SUMIFS(Headcount!$P$6:$P$89,Headcount!$F$6:$F$89,"Software",Headcount!$H$6:$H$89,"&gt;="&amp;Software!BE$3)/12)),BD12),IF(YEAR(BE$3)=YEAR(Headcount!$Q$4),IF((BE$5=2),((SUMIFS(Headcount!$Q$6:$Q$89,Headcount!$F$6:$F$89,"Software",Headcount!$H$6:$H$89,"&gt;="&amp;Software!BE$3)/12)),BD12),IF(YEAR(BE$3)=YEAR(Headcount!$R$4),IF((BE$5=2),((SUMIFS(Headcount!$R$6:$R$89,Headcount!$F$6:$F$89,"Software",Headcount!$H$6:$H$89,"&gt;="&amp;Software!BE$3)/12)),BD12),"New Year"))))),'Dept. Cost Actuals'!BI488-'Dept. Cost Actuals'!BI478)</f>
        <v>234082.38178333335</v>
      </c>
      <c r="BF12" s="806">
        <f>IF(BF$4="forecast",IF(YEAR(BF$3)=YEAR(Headcount!$N$4),((SUMIFS(Headcount!$N$6:$N$89,Headcount!$F$6:$F$89,"Software",Headcount!$H$6:$H$89,"&gt;="&amp;Software!BF$3)/12)),IF(YEAR(BF$3)=YEAR(Headcount!$O$4),IF((BF$5=2),((SUMIFS(Headcount!$O$6:$O$89,Headcount!$F$6:$F$89,"Software",Headcount!$H$6:$H$89,"&gt;="&amp;Software!BF$3)/12)),BE12),IF(YEAR(BF$3)=YEAR(Headcount!$P$4),IF((BF$5=2),((SUMIFS(Headcount!$P$6:$P$89,Headcount!$F$6:$F$89,"Software",Headcount!$H$6:$H$89,"&gt;="&amp;Software!BF$3)/12)),BE12),IF(YEAR(BF$3)=YEAR(Headcount!$Q$4),IF((BF$5=2),((SUMIFS(Headcount!$Q$6:$Q$89,Headcount!$F$6:$F$89,"Software",Headcount!$H$6:$H$89,"&gt;="&amp;Software!BF$3)/12)),BE12),IF(YEAR(BF$3)=YEAR(Headcount!$R$4),IF((BF$5=2),((SUMIFS(Headcount!$R$6:$R$89,Headcount!$F$6:$F$89,"Software",Headcount!$H$6:$H$89,"&gt;="&amp;Software!BF$3)/12)),BE12),"New Year"))))),'Dept. Cost Actuals'!BJ488-'Dept. Cost Actuals'!BJ478)</f>
        <v>234082.38178333335</v>
      </c>
      <c r="BG12" s="806">
        <f>IF(BG$4="forecast",IF(YEAR(BG$3)=YEAR(Headcount!$N$4),((SUMIFS(Headcount!$N$6:$N$89,Headcount!$F$6:$F$89,"Software",Headcount!$H$6:$H$89,"&gt;="&amp;Software!BG$3)/12)),IF(YEAR(BG$3)=YEAR(Headcount!$O$4),IF((BG$5=2),((SUMIFS(Headcount!$O$6:$O$89,Headcount!$F$6:$F$89,"Software",Headcount!$H$6:$H$89,"&gt;="&amp;Software!BG$3)/12)),BF12),IF(YEAR(BG$3)=YEAR(Headcount!$P$4),IF((BG$5=2),((SUMIFS(Headcount!$P$6:$P$89,Headcount!$F$6:$F$89,"Software",Headcount!$H$6:$H$89,"&gt;="&amp;Software!BG$3)/12)),BF12),IF(YEAR(BG$3)=YEAR(Headcount!$Q$4),IF((BG$5=2),((SUMIFS(Headcount!$Q$6:$Q$89,Headcount!$F$6:$F$89,"Software",Headcount!$H$6:$H$89,"&gt;="&amp;Software!BG$3)/12)),BF12),IF(YEAR(BG$3)=YEAR(Headcount!$R$4),IF((BG$5=2),((SUMIFS(Headcount!$R$6:$R$89,Headcount!$F$6:$F$89,"Software",Headcount!$H$6:$H$89,"&gt;="&amp;Software!BG$3)/12)),BF12),"New Year"))))),'Dept. Cost Actuals'!BK488-'Dept. Cost Actuals'!BK478)</f>
        <v>234082.38178333335</v>
      </c>
      <c r="BH12" s="806">
        <f>IF(BH$4="forecast",IF(YEAR(BH$3)=YEAR(Headcount!$N$4),((SUMIFS(Headcount!$N$6:$N$89,Headcount!$F$6:$F$89,"Software",Headcount!$H$6:$H$89,"&gt;="&amp;Software!BH$3)/12)),IF(YEAR(BH$3)=YEAR(Headcount!$O$4),IF((BH$5=2),((SUMIFS(Headcount!$O$6:$O$89,Headcount!$F$6:$F$89,"Software",Headcount!$H$6:$H$89,"&gt;="&amp;Software!BH$3)/12)),BG12),IF(YEAR(BH$3)=YEAR(Headcount!$P$4),IF((BH$5=2),((SUMIFS(Headcount!$P$6:$P$89,Headcount!$F$6:$F$89,"Software",Headcount!$H$6:$H$89,"&gt;="&amp;Software!BH$3)/12)),BG12),IF(YEAR(BH$3)=YEAR(Headcount!$Q$4),IF((BH$5=2),((SUMIFS(Headcount!$Q$6:$Q$89,Headcount!$F$6:$F$89,"Software",Headcount!$H$6:$H$89,"&gt;="&amp;Software!BH$3)/12)),BG12),IF(YEAR(BH$3)=YEAR(Headcount!$R$4),IF((BH$5=2),((SUMIFS(Headcount!$R$6:$R$89,Headcount!$F$6:$F$89,"Software",Headcount!$H$6:$H$89,"&gt;="&amp;Software!BH$3)/12)),BG12),"New Year"))))),'Dept. Cost Actuals'!BL488-'Dept. Cost Actuals'!BL478)</f>
        <v>234082.38178333335</v>
      </c>
      <c r="BI12" s="806">
        <f>IF(BI$4="forecast",IF(YEAR(BI$3)=YEAR(Headcount!$N$4),((SUMIFS(Headcount!$N$6:$N$89,Headcount!$F$6:$F$89,"Software",Headcount!$H$6:$H$89,"&gt;="&amp;Software!BI$3)/12)),IF(YEAR(BI$3)=YEAR(Headcount!$O$4),IF((BI$5=2),((SUMIFS(Headcount!$O$6:$O$89,Headcount!$F$6:$F$89,"Software",Headcount!$H$6:$H$89,"&gt;="&amp;Software!BI$3)/12)),BH12),IF(YEAR(BI$3)=YEAR(Headcount!$P$4),IF((BI$5=2),((SUMIFS(Headcount!$P$6:$P$89,Headcount!$F$6:$F$89,"Software",Headcount!$H$6:$H$89,"&gt;="&amp;Software!BI$3)/12)),BH12),IF(YEAR(BI$3)=YEAR(Headcount!$Q$4),IF((BI$5=2),((SUMIFS(Headcount!$Q$6:$Q$89,Headcount!$F$6:$F$89,"Software",Headcount!$H$6:$H$89,"&gt;="&amp;Software!BI$3)/12)),BH12),IF(YEAR(BI$3)=YEAR(Headcount!$R$4),IF((BI$5=2),((SUMIFS(Headcount!$R$6:$R$89,Headcount!$F$6:$F$89,"Software",Headcount!$H$6:$H$89,"&gt;="&amp;Software!BI$3)/12)),BH12),"New Year"))))),'Dept. Cost Actuals'!BM488-'Dept. Cost Actuals'!BM478)</f>
        <v>234082.38178333335</v>
      </c>
      <c r="BJ12" s="806">
        <f>IF(BJ$4="forecast",IF(YEAR(BJ$3)=YEAR(Headcount!$N$4),((SUMIFS(Headcount!$N$6:$N$89,Headcount!$F$6:$F$89,"Software",Headcount!$H$6:$H$89,"&gt;="&amp;Software!BJ$3)/12)),IF(YEAR(BJ$3)=YEAR(Headcount!$O$4),IF((BJ$5=2),((SUMIFS(Headcount!$O$6:$O$89,Headcount!$F$6:$F$89,"Software",Headcount!$H$6:$H$89,"&gt;="&amp;Software!BJ$3)/12)),BI12),IF(YEAR(BJ$3)=YEAR(Headcount!$P$4),IF((BJ$5=2),((SUMIFS(Headcount!$P$6:$P$89,Headcount!$F$6:$F$89,"Software",Headcount!$H$6:$H$89,"&gt;="&amp;Software!BJ$3)/12)),BI12),IF(YEAR(BJ$3)=YEAR(Headcount!$Q$4),IF((BJ$5=2),((SUMIFS(Headcount!$Q$6:$Q$89,Headcount!$F$6:$F$89,"Software",Headcount!$H$6:$H$89,"&gt;="&amp;Software!BJ$3)/12)),BI12),IF(YEAR(BJ$3)=YEAR(Headcount!$R$4),IF((BJ$5=2),((SUMIFS(Headcount!$R$6:$R$89,Headcount!$F$6:$F$89,"Software",Headcount!$H$6:$H$89,"&gt;="&amp;Software!BJ$3)/12)),BI12),"New Year"))))),'Dept. Cost Actuals'!BN488-'Dept. Cost Actuals'!BN478)</f>
        <v>234082.38178333335</v>
      </c>
      <c r="BK12" s="806">
        <f>IF(BK$4="forecast",IF(YEAR(BK$3)=YEAR(Headcount!$N$4),((SUMIFS(Headcount!$N$6:$N$89,Headcount!$F$6:$F$89,"Software",Headcount!$H$6:$H$89,"&gt;="&amp;Software!BK$3)/12)),IF(YEAR(BK$3)=YEAR(Headcount!$O$4),IF((BK$5=2),((SUMIFS(Headcount!$O$6:$O$89,Headcount!$F$6:$F$89,"Software",Headcount!$H$6:$H$89,"&gt;="&amp;Software!BK$3)/12)),BJ12),IF(YEAR(BK$3)=YEAR(Headcount!$P$4),IF((BK$5=2),((SUMIFS(Headcount!$P$6:$P$89,Headcount!$F$6:$F$89,"Software",Headcount!$H$6:$H$89,"&gt;="&amp;Software!BK$3)/12)),BJ12),IF(YEAR(BK$3)=YEAR(Headcount!$Q$4),IF((BK$5=2),((SUMIFS(Headcount!$Q$6:$Q$89,Headcount!$F$6:$F$89,"Software",Headcount!$H$6:$H$89,"&gt;="&amp;Software!BK$3)/12)),BJ12),IF(YEAR(BK$3)=YEAR(Headcount!$R$4),IF((BK$5=2),((SUMIFS(Headcount!$R$6:$R$89,Headcount!$F$6:$F$89,"Software",Headcount!$H$6:$H$89,"&gt;="&amp;Software!BK$3)/12)),BJ12),"New Year"))))),'Dept. Cost Actuals'!BO488-'Dept. Cost Actuals'!BO478)</f>
        <v>234082.38178333335</v>
      </c>
      <c r="BL12" s="806">
        <f>IF(BL$4="forecast",IF(YEAR(BL$3)=YEAR(Headcount!$N$4),((SUMIFS(Headcount!$N$6:$N$89,Headcount!$F$6:$F$89,"Software",Headcount!$H$6:$H$89,"&gt;="&amp;Software!BL$3)/12)),IF(YEAR(BL$3)=YEAR(Headcount!$O$4),IF((BL$5=2),((SUMIFS(Headcount!$O$6:$O$89,Headcount!$F$6:$F$89,"Software",Headcount!$H$6:$H$89,"&gt;="&amp;Software!BL$3)/12)),BK12),IF(YEAR(BL$3)=YEAR(Headcount!$P$4),IF((BL$5=2),((SUMIFS(Headcount!$P$6:$P$89,Headcount!$F$6:$F$89,"Software",Headcount!$H$6:$H$89,"&gt;="&amp;Software!BL$3)/12)),BK12),IF(YEAR(BL$3)=YEAR(Headcount!$Q$4),IF((BL$5=2),((SUMIFS(Headcount!$Q$6:$Q$89,Headcount!$F$6:$F$89,"Software",Headcount!$H$6:$H$89,"&gt;="&amp;Software!BL$3)/12)),BK12),IF(YEAR(BL$3)=YEAR(Headcount!$R$4),IF((BL$5=2),((SUMIFS(Headcount!$R$6:$R$89,Headcount!$F$6:$F$89,"Software",Headcount!$H$6:$H$89,"&gt;="&amp;Software!BL$3)/12)),BK12),"New Year"))))),'Dept. Cost Actuals'!#REF!-'Dept. Cost Actuals'!#REF!)</f>
        <v>241104.85323683333</v>
      </c>
      <c r="BM12" s="806">
        <f>IF(BM$4="forecast",IF(YEAR(BM$3)=YEAR(Headcount!$N$4),((SUMIFS(Headcount!$N$6:$N$89,Headcount!$F$6:$F$89,"Software",Headcount!$H$6:$H$89,"&gt;="&amp;Software!BM$3)/12)),IF(YEAR(BM$3)=YEAR(Headcount!$O$4),IF((BM$5=2),((SUMIFS(Headcount!$O$6:$O$89,Headcount!$F$6:$F$89,"Software",Headcount!$H$6:$H$89,"&gt;="&amp;Software!BM$3)/12)),BL12),IF(YEAR(BM$3)=YEAR(Headcount!$P$4),IF((BM$5=2),((SUMIFS(Headcount!$P$6:$P$89,Headcount!$F$6:$F$89,"Software",Headcount!$H$6:$H$89,"&gt;="&amp;Software!BM$3)/12)),BL12),IF(YEAR(BM$3)=YEAR(Headcount!$Q$4),IF((BM$5=2),((SUMIFS(Headcount!$Q$6:$Q$89,Headcount!$F$6:$F$89,"Software",Headcount!$H$6:$H$89,"&gt;="&amp;Software!BM$3)/12)),BL12),IF(YEAR(BM$3)=YEAR(Headcount!$R$4),IF((BM$5=2),((SUMIFS(Headcount!$R$6:$R$89,Headcount!$F$6:$F$89,"Software",Headcount!$H$6:$H$89,"&gt;="&amp;Software!BM$3)/12)),BL12),"New Year"))))),'Dept. Cost Actuals'!#REF!-'Dept. Cost Actuals'!#REF!)</f>
        <v>241104.85323683333</v>
      </c>
      <c r="BN12" s="806">
        <f>IF(BN$4="forecast",IF(YEAR(BN$3)=YEAR(Headcount!$N$4),((SUMIFS(Headcount!$N$6:$N$89,Headcount!$F$6:$F$89,"Software",Headcount!$H$6:$H$89,"&gt;="&amp;Software!BN$3)/12)),IF(YEAR(BN$3)=YEAR(Headcount!$O$4),IF((BN$5=2),((SUMIFS(Headcount!$O$6:$O$89,Headcount!$F$6:$F$89,"Software",Headcount!$H$6:$H$89,"&gt;="&amp;Software!BN$3)/12)),BM12),IF(YEAR(BN$3)=YEAR(Headcount!$P$4),IF((BN$5=2),((SUMIFS(Headcount!$P$6:$P$89,Headcount!$F$6:$F$89,"Software",Headcount!$H$6:$H$89,"&gt;="&amp;Software!BN$3)/12)),BM12),IF(YEAR(BN$3)=YEAR(Headcount!$Q$4),IF((BN$5=2),((SUMIFS(Headcount!$Q$6:$Q$89,Headcount!$F$6:$F$89,"Software",Headcount!$H$6:$H$89,"&gt;="&amp;Software!BN$3)/12)),BM12),IF(YEAR(BN$3)=YEAR(Headcount!$R$4),IF((BN$5=2),((SUMIFS(Headcount!$R$6:$R$89,Headcount!$F$6:$F$89,"Software",Headcount!$H$6:$H$89,"&gt;="&amp;Software!BN$3)/12)),BM12),"New Year"))))),'Dept. Cost Actuals'!#REF!-'Dept. Cost Actuals'!#REF!)</f>
        <v>241104.85323683333</v>
      </c>
      <c r="BO12" s="806">
        <f>IF(BO$4="forecast",IF(YEAR(BO$3)=YEAR(Headcount!$N$4),((SUMIFS(Headcount!$N$6:$N$89,Headcount!$F$6:$F$89,"Software",Headcount!$H$6:$H$89,"&gt;="&amp;Software!BO$3)/12)),IF(YEAR(BO$3)=YEAR(Headcount!$O$4),IF((BO$5=2),((SUMIFS(Headcount!$O$6:$O$89,Headcount!$F$6:$F$89,"Software",Headcount!$H$6:$H$89,"&gt;="&amp;Software!BO$3)/12)),BN12),IF(YEAR(BO$3)=YEAR(Headcount!$P$4),IF((BO$5=2),((SUMIFS(Headcount!$P$6:$P$89,Headcount!$F$6:$F$89,"Software",Headcount!$H$6:$H$89,"&gt;="&amp;Software!BO$3)/12)),BN12),IF(YEAR(BO$3)=YEAR(Headcount!$Q$4),IF((BO$5=2),((SUMIFS(Headcount!$Q$6:$Q$89,Headcount!$F$6:$F$89,"Software",Headcount!$H$6:$H$89,"&gt;="&amp;Software!BO$3)/12)),BN12),IF(YEAR(BO$3)=YEAR(Headcount!$R$4),IF((BO$5=2),((SUMIFS(Headcount!$R$6:$R$89,Headcount!$F$6:$F$89,"Software",Headcount!$H$6:$H$89,"&gt;="&amp;Software!BO$3)/12)),BN12),"New Year"))))),'Dept. Cost Actuals'!#REF!-'Dept. Cost Actuals'!#REF!)</f>
        <v>241104.85323683333</v>
      </c>
      <c r="BP12" s="806">
        <f>IF(BP$4="forecast",IF(YEAR(BP$3)=YEAR(Headcount!$N$4),((SUMIFS(Headcount!$N$6:$N$89,Headcount!$F$6:$F$89,"Software",Headcount!$H$6:$H$89,"&gt;="&amp;Software!BP$3)/12)),IF(YEAR(BP$3)=YEAR(Headcount!$O$4),IF((BP$5=2),((SUMIFS(Headcount!$O$6:$O$89,Headcount!$F$6:$F$89,"Software",Headcount!$H$6:$H$89,"&gt;="&amp;Software!BP$3)/12)),BO12),IF(YEAR(BP$3)=YEAR(Headcount!$P$4),IF((BP$5=2),((SUMIFS(Headcount!$P$6:$P$89,Headcount!$F$6:$F$89,"Software",Headcount!$H$6:$H$89,"&gt;="&amp;Software!BP$3)/12)),BO12),IF(YEAR(BP$3)=YEAR(Headcount!$Q$4),IF((BP$5=2),((SUMIFS(Headcount!$Q$6:$Q$89,Headcount!$F$6:$F$89,"Software",Headcount!$H$6:$H$89,"&gt;="&amp;Software!BP$3)/12)),BO12),IF(YEAR(BP$3)=YEAR(Headcount!$R$4),IF((BP$5=2),((SUMIFS(Headcount!$R$6:$R$89,Headcount!$F$6:$F$89,"Software",Headcount!$H$6:$H$89,"&gt;="&amp;Software!BP$3)/12)),BO12),"New Year"))))),'Dept. Cost Actuals'!#REF!-'Dept. Cost Actuals'!#REF!)</f>
        <v>241104.85323683333</v>
      </c>
      <c r="BQ12" s="806">
        <f>IF(BQ$4="forecast",IF(YEAR(BQ$3)=YEAR(Headcount!$N$4),((SUMIFS(Headcount!$N$6:$N$89,Headcount!$F$6:$F$89,"Software",Headcount!$H$6:$H$89,"&gt;="&amp;Software!BQ$3)/12)),IF(YEAR(BQ$3)=YEAR(Headcount!$O$4),IF((BQ$5=2),((SUMIFS(Headcount!$O$6:$O$89,Headcount!$F$6:$F$89,"Software",Headcount!$H$6:$H$89,"&gt;="&amp;Software!BQ$3)/12)),BP12),IF(YEAR(BQ$3)=YEAR(Headcount!$P$4),IF((BQ$5=2),((SUMIFS(Headcount!$P$6:$P$89,Headcount!$F$6:$F$89,"Software",Headcount!$H$6:$H$89,"&gt;="&amp;Software!BQ$3)/12)),BP12),IF(YEAR(BQ$3)=YEAR(Headcount!$Q$4),IF((BQ$5=2),((SUMIFS(Headcount!$Q$6:$Q$89,Headcount!$F$6:$F$89,"Software",Headcount!$H$6:$H$89,"&gt;="&amp;Software!BQ$3)/12)),BP12),IF(YEAR(BQ$3)=YEAR(Headcount!$R$4),IF((BQ$5=2),((SUMIFS(Headcount!$R$6:$R$89,Headcount!$F$6:$F$89,"Software",Headcount!$H$6:$H$89,"&gt;="&amp;Software!BQ$3)/12)),BP12),"New Year"))))),'Dept. Cost Actuals'!#REF!-'Dept. Cost Actuals'!#REF!)</f>
        <v>241104.85323683333</v>
      </c>
      <c r="BR12" s="806">
        <f>IF(BR$4="forecast",IF(YEAR(BR$3)=YEAR(Headcount!$N$4),((SUMIFS(Headcount!$N$6:$N$89,Headcount!$F$6:$F$89,"Software",Headcount!$H$6:$H$89,"&gt;="&amp;Software!BR$3)/12)),IF(YEAR(BR$3)=YEAR(Headcount!$O$4),IF((BR$5=2),((SUMIFS(Headcount!$O$6:$O$89,Headcount!$F$6:$F$89,"Software",Headcount!$H$6:$H$89,"&gt;="&amp;Software!BR$3)/12)),BQ12),IF(YEAR(BR$3)=YEAR(Headcount!$P$4),IF((BR$5=2),((SUMIFS(Headcount!$P$6:$P$89,Headcount!$F$6:$F$89,"Software",Headcount!$H$6:$H$89,"&gt;="&amp;Software!BR$3)/12)),BQ12),IF(YEAR(BR$3)=YEAR(Headcount!$Q$4),IF((BR$5=2),((SUMIFS(Headcount!$Q$6:$Q$89,Headcount!$F$6:$F$89,"Software",Headcount!$H$6:$H$89,"&gt;="&amp;Software!BR$3)/12)),BQ12),IF(YEAR(BR$3)=YEAR(Headcount!$R$4),IF((BR$5=2),((SUMIFS(Headcount!$R$6:$R$89,Headcount!$F$6:$F$89,"Software",Headcount!$H$6:$H$89,"&gt;="&amp;Software!BR$3)/12)),BQ12),"New Year"))))),'Dept. Cost Actuals'!#REF!-'Dept. Cost Actuals'!#REF!)</f>
        <v>241104.85323683333</v>
      </c>
      <c r="BS12" s="806">
        <f>IF(BS$4="forecast",IF(YEAR(BS$3)=YEAR(Headcount!$N$4),((SUMIFS(Headcount!$N$6:$N$89,Headcount!$F$6:$F$89,"Software",Headcount!$H$6:$H$89,"&gt;="&amp;Software!BS$3)/12)),IF(YEAR(BS$3)=YEAR(Headcount!$O$4),IF((BS$5=2),((SUMIFS(Headcount!$O$6:$O$89,Headcount!$F$6:$F$89,"Software",Headcount!$H$6:$H$89,"&gt;="&amp;Software!BS$3)/12)),BR12),IF(YEAR(BS$3)=YEAR(Headcount!$P$4),IF((BS$5=2),((SUMIFS(Headcount!$P$6:$P$89,Headcount!$F$6:$F$89,"Software",Headcount!$H$6:$H$89,"&gt;="&amp;Software!BS$3)/12)),BR12),IF(YEAR(BS$3)=YEAR(Headcount!$Q$4),IF((BS$5=2),((SUMIFS(Headcount!$Q$6:$Q$89,Headcount!$F$6:$F$89,"Software",Headcount!$H$6:$H$89,"&gt;="&amp;Software!BS$3)/12)),BR12),IF(YEAR(BS$3)=YEAR(Headcount!$R$4),IF((BS$5=2),((SUMIFS(Headcount!$R$6:$R$89,Headcount!$F$6:$F$89,"Software",Headcount!$H$6:$H$89,"&gt;="&amp;Software!BS$3)/12)),BR12),"New Year"))))),'Dept. Cost Actuals'!#REF!-'Dept. Cost Actuals'!#REF!)</f>
        <v>241104.85323683333</v>
      </c>
      <c r="BT12" s="806">
        <f>IF(BT$4="forecast",IF(YEAR(BT$3)=YEAR(Headcount!$N$4),((SUMIFS(Headcount!$N$6:$N$89,Headcount!$F$6:$F$89,"Software",Headcount!$H$6:$H$89,"&gt;="&amp;Software!BT$3)/12)),IF(YEAR(BT$3)=YEAR(Headcount!$O$4),IF((BT$5=2),((SUMIFS(Headcount!$O$6:$O$89,Headcount!$F$6:$F$89,"Software",Headcount!$H$6:$H$89,"&gt;="&amp;Software!BT$3)/12)),BS12),IF(YEAR(BT$3)=YEAR(Headcount!$P$4),IF((BT$5=2),((SUMIFS(Headcount!$P$6:$P$89,Headcount!$F$6:$F$89,"Software",Headcount!$H$6:$H$89,"&gt;="&amp;Software!BT$3)/12)),BS12),IF(YEAR(BT$3)=YEAR(Headcount!$Q$4),IF((BT$5=2),((SUMIFS(Headcount!$Q$6:$Q$89,Headcount!$F$6:$F$89,"Software",Headcount!$H$6:$H$89,"&gt;="&amp;Software!BT$3)/12)),BS12),IF(YEAR(BT$3)=YEAR(Headcount!$R$4),IF((BT$5=2),((SUMIFS(Headcount!$R$6:$R$89,Headcount!$F$6:$F$89,"Software",Headcount!$H$6:$H$89,"&gt;="&amp;Software!BT$3)/12)),BS12),"New Year"))))),'Dept. Cost Actuals'!#REF!-'Dept. Cost Actuals'!#REF!)</f>
        <v>241104.85323683333</v>
      </c>
      <c r="BU12" s="806">
        <f>IF(BU$4="forecast",IF(YEAR(BU$3)=YEAR(Headcount!$N$4),((SUMIFS(Headcount!$N$6:$N$89,Headcount!$F$6:$F$89,"Software",Headcount!$H$6:$H$89,"&gt;="&amp;Software!BU$3)/12)),IF(YEAR(BU$3)=YEAR(Headcount!$O$4),IF((BU$5=2),((SUMIFS(Headcount!$O$6:$O$89,Headcount!$F$6:$F$89,"Software",Headcount!$H$6:$H$89,"&gt;="&amp;Software!BU$3)/12)),BT12),IF(YEAR(BU$3)=YEAR(Headcount!$P$4),IF((BU$5=2),((SUMIFS(Headcount!$P$6:$P$89,Headcount!$F$6:$F$89,"Software",Headcount!$H$6:$H$89,"&gt;="&amp;Software!BU$3)/12)),BT12),IF(YEAR(BU$3)=YEAR(Headcount!$Q$4),IF((BU$5=2),((SUMIFS(Headcount!$Q$6:$Q$89,Headcount!$F$6:$F$89,"Software",Headcount!$H$6:$H$89,"&gt;="&amp;Software!BU$3)/12)),BT12),IF(YEAR(BU$3)=YEAR(Headcount!$R$4),IF((BU$5=2),((SUMIFS(Headcount!$R$6:$R$89,Headcount!$F$6:$F$89,"Software",Headcount!$H$6:$H$89,"&gt;="&amp;Software!BU$3)/12)),BT12),"New Year"))))),'Dept. Cost Actuals'!#REF!-'Dept. Cost Actuals'!#REF!)</f>
        <v>241104.85323683333</v>
      </c>
      <c r="BV12" s="807">
        <f>IF(BV$4="forecast",IF(YEAR(BV$3)=YEAR(Headcount!$N$4),((SUMIFS(Headcount!$N$6:$N$89,Headcount!$F$6:$F$89,"Software",Headcount!$H$6:$H$89,"&gt;="&amp;Software!BV$3)/12)),IF(YEAR(BV$3)=YEAR(Headcount!$O$4),IF((BV$5=2),((SUMIFS(Headcount!$O$6:$O$89,Headcount!$F$6:$F$89,"Software",Headcount!$H$6:$H$89,"&gt;="&amp;Software!BV$3)/12)),BU12),IF(YEAR(BV$3)=YEAR(Headcount!$P$4),IF((BV$5=2),((SUMIFS(Headcount!$P$6:$P$89,Headcount!$F$6:$F$89,"Software",Headcount!$H$6:$H$89,"&gt;="&amp;Software!BV$3)/12)),BU12),IF(YEAR(BV$3)=YEAR(Headcount!$Q$4),IF((BV$5=2),((SUMIFS(Headcount!$Q$6:$Q$89,Headcount!$F$6:$F$89,"Software",Headcount!$H$6:$H$89,"&gt;="&amp;Software!BV$3)/12)),BU12),IF(YEAR(BV$3)=YEAR(Headcount!$R$4),IF((BV$5=2),((SUMIFS(Headcount!$R$6:$R$89,Headcount!$F$6:$F$89,"Software",Headcount!$H$6:$H$89,"&gt;="&amp;Software!BV$3)/12)),BU12),"New Year"))))),'Dept. Cost Actuals'!#REF!-'Dept. Cost Actuals'!#REF!)</f>
        <v>241104.85323683333</v>
      </c>
    </row>
    <row r="13" spans="2:75" x14ac:dyDescent="0.35">
      <c r="B13" s="797" t="s">
        <v>935</v>
      </c>
      <c r="C13" s="684">
        <f>IF(C$4="forecast",IF(YEAR(C$3)=YEAR('New Hires Forecast'!$N$3),((SUMIFS('New Hires Forecast'!$N$5:$N$81,'New Hires Forecast'!$F$5:$F$81,"Software",'New Hires Forecast'!$H$5:$H$81,"&gt;="&amp;Software!C$3,'New Hires Forecast'!$G$5:$G$81,"&lt;="&amp;Software!C$3)/12)),IF(YEAR(C$3)=YEAR('New Hires Forecast'!$O$3),((SUMIFS('New Hires Forecast'!$O$5:$O$81,'New Hires Forecast'!$F$5:$F$81,"Software",'New Hires Forecast'!$H$5:$H$81,"&gt;="&amp;Software!C$3,'New Hires Forecast'!$G$5:$G$81,"&lt;="&amp;Software!C$3)/12)),IF(YEAR(C$3)=YEAR('New Hires Forecast'!$P$3),((SUMIFS('New Hires Forecast'!$P$5:$P$81,'New Hires Forecast'!$F$5:$F$81,"Software",'New Hires Forecast'!$H$5:$H$81,"&gt;="&amp;Software!C$3,'New Hires Forecast'!$G$5:$G$81,"&lt;="&amp;Software!C$3)/12)),IF(YEAR(C$3)=YEAR('New Hires Forecast'!$Q$3),((SUMIFS('New Hires Forecast'!$Q$5:$Q$81,'New Hires Forecast'!$F$5:$F$81,"Software",'New Hires Forecast'!$H$5:$H$81,"&gt;="&amp;Software!C$3,'New Hires Forecast'!$G$5:$G$81,"&lt;="&amp;Software!C$3)/12)),IF(YEAR(C$3)=YEAR('New Hires Forecast'!$R$3),((SUMIFS('New Hires Forecast'!$R$5:$R$81,'New Hires Forecast'!$F$5:$F$81,"Software",'New Hires Forecast'!$H$5:$H$81,"&gt;="&amp;Software!C$3,'New Hires Forecast'!$G$5:$G$81,"&lt;="&amp;Software!C$3)/12))))))),0)</f>
        <v>0</v>
      </c>
      <c r="D13" s="684">
        <f>IF(D$4="forecast",IF(YEAR(D$3)=YEAR('New Hires Forecast'!$N$3),((SUMIFS('New Hires Forecast'!$N$5:$N$81,'New Hires Forecast'!$F$5:$F$81,"Software",'New Hires Forecast'!$H$5:$H$81,"&gt;="&amp;Software!D$3,'New Hires Forecast'!$G$5:$G$81,"&lt;="&amp;Software!D$3)/12)),IF(YEAR(D$3)=YEAR('New Hires Forecast'!$O$3),((SUMIFS('New Hires Forecast'!$O$5:$O$81,'New Hires Forecast'!$F$5:$F$81,"Software",'New Hires Forecast'!$H$5:$H$81,"&gt;="&amp;Software!D$3,'New Hires Forecast'!$G$5:$G$81,"&lt;="&amp;Software!D$3)/12)),IF(YEAR(D$3)=YEAR('New Hires Forecast'!$P$3),((SUMIFS('New Hires Forecast'!$P$5:$P$81,'New Hires Forecast'!$F$5:$F$81,"Software",'New Hires Forecast'!$H$5:$H$81,"&gt;="&amp;Software!D$3,'New Hires Forecast'!$G$5:$G$81,"&lt;="&amp;Software!D$3)/12)),IF(YEAR(D$3)=YEAR('New Hires Forecast'!$Q$3),((SUMIFS('New Hires Forecast'!$Q$5:$Q$81,'New Hires Forecast'!$F$5:$F$81,"Software",'New Hires Forecast'!$H$5:$H$81,"&gt;="&amp;Software!D$3,'New Hires Forecast'!$G$5:$G$81,"&lt;="&amp;Software!D$3)/12)),IF(YEAR(D$3)=YEAR('New Hires Forecast'!$R$3),((SUMIFS('New Hires Forecast'!$R$5:$R$81,'New Hires Forecast'!$F$5:$F$81,"Software",'New Hires Forecast'!$H$5:$H$81,"&gt;="&amp;Software!D$3,'New Hires Forecast'!$G$5:$G$81,"&lt;="&amp;Software!D$3)/12))))))),0)</f>
        <v>0</v>
      </c>
      <c r="E13" s="684">
        <f>IF(E$4="forecast",IF(YEAR(E$3)=YEAR('New Hires Forecast'!$N$3),((SUMIFS('New Hires Forecast'!$N$5:$N$81,'New Hires Forecast'!$F$5:$F$81,"Software",'New Hires Forecast'!$H$5:$H$81,"&gt;="&amp;Software!E$3,'New Hires Forecast'!$G$5:$G$81,"&lt;="&amp;Software!E$3)/12)),IF(YEAR(E$3)=YEAR('New Hires Forecast'!$O$3),((SUMIFS('New Hires Forecast'!$O$5:$O$81,'New Hires Forecast'!$F$5:$F$81,"Software",'New Hires Forecast'!$H$5:$H$81,"&gt;="&amp;Software!E$3,'New Hires Forecast'!$G$5:$G$81,"&lt;="&amp;Software!E$3)/12)),IF(YEAR(E$3)=YEAR('New Hires Forecast'!$P$3),((SUMIFS('New Hires Forecast'!$P$5:$P$81,'New Hires Forecast'!$F$5:$F$81,"Software",'New Hires Forecast'!$H$5:$H$81,"&gt;="&amp;Software!E$3,'New Hires Forecast'!$G$5:$G$81,"&lt;="&amp;Software!E$3)/12)),IF(YEAR(E$3)=YEAR('New Hires Forecast'!$Q$3),((SUMIFS('New Hires Forecast'!$Q$5:$Q$81,'New Hires Forecast'!$F$5:$F$81,"Software",'New Hires Forecast'!$H$5:$H$81,"&gt;="&amp;Software!E$3,'New Hires Forecast'!$G$5:$G$81,"&lt;="&amp;Software!E$3)/12)),IF(YEAR(E$3)=YEAR('New Hires Forecast'!$R$3),((SUMIFS('New Hires Forecast'!$R$5:$R$81,'New Hires Forecast'!$F$5:$F$81,"Software",'New Hires Forecast'!$H$5:$H$81,"&gt;="&amp;Software!E$3,'New Hires Forecast'!$G$5:$G$81,"&lt;="&amp;Software!E$3)/12))))))),0)</f>
        <v>0</v>
      </c>
      <c r="F13" s="684">
        <f>IF(F$4="forecast",IF(YEAR(F$3)=YEAR('New Hires Forecast'!$N$3),((SUMIFS('New Hires Forecast'!$N$5:$N$81,'New Hires Forecast'!$F$5:$F$81,"Software",'New Hires Forecast'!$H$5:$H$81,"&gt;="&amp;Software!F$3,'New Hires Forecast'!$G$5:$G$81,"&lt;="&amp;Software!F$3)/12)),IF(YEAR(F$3)=YEAR('New Hires Forecast'!$O$3),((SUMIFS('New Hires Forecast'!$O$5:$O$81,'New Hires Forecast'!$F$5:$F$81,"Software",'New Hires Forecast'!$H$5:$H$81,"&gt;="&amp;Software!F$3,'New Hires Forecast'!$G$5:$G$81,"&lt;="&amp;Software!F$3)/12)),IF(YEAR(F$3)=YEAR('New Hires Forecast'!$P$3),((SUMIFS('New Hires Forecast'!$P$5:$P$81,'New Hires Forecast'!$F$5:$F$81,"Software",'New Hires Forecast'!$H$5:$H$81,"&gt;="&amp;Software!F$3,'New Hires Forecast'!$G$5:$G$81,"&lt;="&amp;Software!F$3)/12)),IF(YEAR(F$3)=YEAR('New Hires Forecast'!$Q$3),((SUMIFS('New Hires Forecast'!$Q$5:$Q$81,'New Hires Forecast'!$F$5:$F$81,"Software",'New Hires Forecast'!$H$5:$H$81,"&gt;="&amp;Software!F$3,'New Hires Forecast'!$G$5:$G$81,"&lt;="&amp;Software!F$3)/12)),IF(YEAR(F$3)=YEAR('New Hires Forecast'!$R$3),((SUMIFS('New Hires Forecast'!$R$5:$R$81,'New Hires Forecast'!$F$5:$F$81,"Software",'New Hires Forecast'!$H$5:$H$81,"&gt;="&amp;Software!F$3,'New Hires Forecast'!$G$5:$G$81,"&lt;="&amp;Software!F$3)/12))))))),0)</f>
        <v>0</v>
      </c>
      <c r="G13" s="684">
        <f>IF(G$4="forecast",IF(YEAR(G$3)=YEAR('New Hires Forecast'!$N$3),((SUMIFS('New Hires Forecast'!$N$5:$N$81,'New Hires Forecast'!$F$5:$F$81,"Software",'New Hires Forecast'!$H$5:$H$81,"&gt;="&amp;Software!G$3,'New Hires Forecast'!$G$5:$G$81,"&lt;="&amp;Software!G$3)/12)),IF(YEAR(G$3)=YEAR('New Hires Forecast'!$O$3),((SUMIFS('New Hires Forecast'!$O$5:$O$81,'New Hires Forecast'!$F$5:$F$81,"Software",'New Hires Forecast'!$H$5:$H$81,"&gt;="&amp;Software!G$3,'New Hires Forecast'!$G$5:$G$81,"&lt;="&amp;Software!G$3)/12)),IF(YEAR(G$3)=YEAR('New Hires Forecast'!$P$3),((SUMIFS('New Hires Forecast'!$P$5:$P$81,'New Hires Forecast'!$F$5:$F$81,"Software",'New Hires Forecast'!$H$5:$H$81,"&gt;="&amp;Software!G$3,'New Hires Forecast'!$G$5:$G$81,"&lt;="&amp;Software!G$3)/12)),IF(YEAR(G$3)=YEAR('New Hires Forecast'!$Q$3),((SUMIFS('New Hires Forecast'!$Q$5:$Q$81,'New Hires Forecast'!$F$5:$F$81,"Software",'New Hires Forecast'!$H$5:$H$81,"&gt;="&amp;Software!G$3,'New Hires Forecast'!$G$5:$G$81,"&lt;="&amp;Software!G$3)/12)),IF(YEAR(G$3)=YEAR('New Hires Forecast'!$R$3),((SUMIFS('New Hires Forecast'!$R$5:$R$81,'New Hires Forecast'!$F$5:$F$81,"Software",'New Hires Forecast'!$H$5:$H$81,"&gt;="&amp;Software!G$3,'New Hires Forecast'!$G$5:$G$81,"&lt;="&amp;Software!G$3)/12))))))),0)</f>
        <v>0</v>
      </c>
      <c r="H13" s="684">
        <f>IF(H$4="forecast",IF(YEAR(H$3)=YEAR('New Hires Forecast'!$N$3),((SUMIFS('New Hires Forecast'!$N$5:$N$81,'New Hires Forecast'!$F$5:$F$81,"Software",'New Hires Forecast'!$H$5:$H$81,"&gt;="&amp;Software!H$3,'New Hires Forecast'!$G$5:$G$81,"&lt;="&amp;Software!H$3)/12)),IF(YEAR(H$3)=YEAR('New Hires Forecast'!$O$3),((SUMIFS('New Hires Forecast'!$O$5:$O$81,'New Hires Forecast'!$F$5:$F$81,"Software",'New Hires Forecast'!$H$5:$H$81,"&gt;="&amp;Software!H$3,'New Hires Forecast'!$G$5:$G$81,"&lt;="&amp;Software!H$3)/12)),IF(YEAR(H$3)=YEAR('New Hires Forecast'!$P$3),((SUMIFS('New Hires Forecast'!$P$5:$P$81,'New Hires Forecast'!$F$5:$F$81,"Software",'New Hires Forecast'!$H$5:$H$81,"&gt;="&amp;Software!H$3,'New Hires Forecast'!$G$5:$G$81,"&lt;="&amp;Software!H$3)/12)),IF(YEAR(H$3)=YEAR('New Hires Forecast'!$Q$3),((SUMIFS('New Hires Forecast'!$Q$5:$Q$81,'New Hires Forecast'!$F$5:$F$81,"Software",'New Hires Forecast'!$H$5:$H$81,"&gt;="&amp;Software!H$3,'New Hires Forecast'!$G$5:$G$81,"&lt;="&amp;Software!H$3)/12)),IF(YEAR(H$3)=YEAR('New Hires Forecast'!$R$3),((SUMIFS('New Hires Forecast'!$R$5:$R$81,'New Hires Forecast'!$F$5:$F$81,"Software",'New Hires Forecast'!$H$5:$H$81,"&gt;="&amp;Software!H$3,'New Hires Forecast'!$G$5:$G$81,"&lt;="&amp;Software!H$3)/12))))))),0)</f>
        <v>0</v>
      </c>
      <c r="I13" s="684">
        <f>IF(I$4="forecast",IF(YEAR(I$3)=YEAR('New Hires Forecast'!$N$3),((SUMIFS('New Hires Forecast'!$N$5:$N$81,'New Hires Forecast'!$F$5:$F$81,"Software",'New Hires Forecast'!$H$5:$H$81,"&gt;="&amp;Software!I$3,'New Hires Forecast'!$G$5:$G$81,"&lt;="&amp;Software!I$3)/12)),IF(YEAR(I$3)=YEAR('New Hires Forecast'!$O$3),((SUMIFS('New Hires Forecast'!$O$5:$O$81,'New Hires Forecast'!$F$5:$F$81,"Software",'New Hires Forecast'!$H$5:$H$81,"&gt;="&amp;Software!I$3,'New Hires Forecast'!$G$5:$G$81,"&lt;="&amp;Software!I$3)/12)),IF(YEAR(I$3)=YEAR('New Hires Forecast'!$P$3),((SUMIFS('New Hires Forecast'!$P$5:$P$81,'New Hires Forecast'!$F$5:$F$81,"Software",'New Hires Forecast'!$H$5:$H$81,"&gt;="&amp;Software!I$3,'New Hires Forecast'!$G$5:$G$81,"&lt;="&amp;Software!I$3)/12)),IF(YEAR(I$3)=YEAR('New Hires Forecast'!$Q$3),((SUMIFS('New Hires Forecast'!$Q$5:$Q$81,'New Hires Forecast'!$F$5:$F$81,"Software",'New Hires Forecast'!$H$5:$H$81,"&gt;="&amp;Software!I$3,'New Hires Forecast'!$G$5:$G$81,"&lt;="&amp;Software!I$3)/12)),IF(YEAR(I$3)=YEAR('New Hires Forecast'!$R$3),((SUMIFS('New Hires Forecast'!$R$5:$R$81,'New Hires Forecast'!$F$5:$F$81,"Software",'New Hires Forecast'!$H$5:$H$81,"&gt;="&amp;Software!I$3,'New Hires Forecast'!$G$5:$G$81,"&lt;="&amp;Software!I$3)/12))))))),0)</f>
        <v>0</v>
      </c>
      <c r="J13" s="684">
        <f>IF(J$4="forecast",IF(YEAR(J$3)=YEAR('New Hires Forecast'!$N$3),((SUMIFS('New Hires Forecast'!$N$5:$N$81,'New Hires Forecast'!$F$5:$F$81,"Software",'New Hires Forecast'!$H$5:$H$81,"&gt;="&amp;Software!J$3,'New Hires Forecast'!$G$5:$G$81,"&lt;="&amp;Software!J$3)/12)),IF(YEAR(J$3)=YEAR('New Hires Forecast'!$O$3),((SUMIFS('New Hires Forecast'!$O$5:$O$81,'New Hires Forecast'!$F$5:$F$81,"Software",'New Hires Forecast'!$H$5:$H$81,"&gt;="&amp;Software!J$3,'New Hires Forecast'!$G$5:$G$81,"&lt;="&amp;Software!J$3)/12)),IF(YEAR(J$3)=YEAR('New Hires Forecast'!$P$3),((SUMIFS('New Hires Forecast'!$P$5:$P$81,'New Hires Forecast'!$F$5:$F$81,"Software",'New Hires Forecast'!$H$5:$H$81,"&gt;="&amp;Software!J$3,'New Hires Forecast'!$G$5:$G$81,"&lt;="&amp;Software!J$3)/12)),IF(YEAR(J$3)=YEAR('New Hires Forecast'!$Q$3),((SUMIFS('New Hires Forecast'!$Q$5:$Q$81,'New Hires Forecast'!$F$5:$F$81,"Software",'New Hires Forecast'!$H$5:$H$81,"&gt;="&amp;Software!J$3,'New Hires Forecast'!$G$5:$G$81,"&lt;="&amp;Software!J$3)/12)),IF(YEAR(J$3)=YEAR('New Hires Forecast'!$R$3),((SUMIFS('New Hires Forecast'!$R$5:$R$81,'New Hires Forecast'!$F$5:$F$81,"Software",'New Hires Forecast'!$H$5:$H$81,"&gt;="&amp;Software!J$3,'New Hires Forecast'!$G$5:$G$81,"&lt;="&amp;Software!J$3)/12))))))),0)</f>
        <v>0</v>
      </c>
      <c r="K13" s="684">
        <f>IF(K$4="forecast",IF(YEAR(K$3)=YEAR('New Hires Forecast'!$N$3),((SUMIFS('New Hires Forecast'!$N$5:$N$81,'New Hires Forecast'!$F$5:$F$81,"Software",'New Hires Forecast'!$H$5:$H$81,"&gt;="&amp;Software!K$3,'New Hires Forecast'!$G$5:$G$81,"&lt;="&amp;Software!K$3)/12)),IF(YEAR(K$3)=YEAR('New Hires Forecast'!$O$3),((SUMIFS('New Hires Forecast'!$O$5:$O$81,'New Hires Forecast'!$F$5:$F$81,"Software",'New Hires Forecast'!$H$5:$H$81,"&gt;="&amp;Software!K$3,'New Hires Forecast'!$G$5:$G$81,"&lt;="&amp;Software!K$3)/12)),IF(YEAR(K$3)=YEAR('New Hires Forecast'!$P$3),((SUMIFS('New Hires Forecast'!$P$5:$P$81,'New Hires Forecast'!$F$5:$F$81,"Software",'New Hires Forecast'!$H$5:$H$81,"&gt;="&amp;Software!K$3,'New Hires Forecast'!$G$5:$G$81,"&lt;="&amp;Software!K$3)/12)),IF(YEAR(K$3)=YEAR('New Hires Forecast'!$Q$3),((SUMIFS('New Hires Forecast'!$Q$5:$Q$81,'New Hires Forecast'!$F$5:$F$81,"Software",'New Hires Forecast'!$H$5:$H$81,"&gt;="&amp;Software!K$3,'New Hires Forecast'!$G$5:$G$81,"&lt;="&amp;Software!K$3)/12)),IF(YEAR(K$3)=YEAR('New Hires Forecast'!$R$3),((SUMIFS('New Hires Forecast'!$R$5:$R$81,'New Hires Forecast'!$F$5:$F$81,"Software",'New Hires Forecast'!$H$5:$H$81,"&gt;="&amp;Software!K$3,'New Hires Forecast'!$G$5:$G$81,"&lt;="&amp;Software!K$3)/12))))))),0)</f>
        <v>0</v>
      </c>
      <c r="L13" s="684">
        <f>IF(L$4="forecast",IF(YEAR(L$3)=YEAR('New Hires Forecast'!$N$3),((SUMIFS('New Hires Forecast'!$N$5:$N$81,'New Hires Forecast'!$F$5:$F$81,"Software",'New Hires Forecast'!$H$5:$H$81,"&gt;="&amp;Software!L$3,'New Hires Forecast'!$G$5:$G$81,"&lt;="&amp;Software!L$3)/12)),IF(YEAR(L$3)=YEAR('New Hires Forecast'!$O$3),((SUMIFS('New Hires Forecast'!$O$5:$O$81,'New Hires Forecast'!$F$5:$F$81,"Software",'New Hires Forecast'!$H$5:$H$81,"&gt;="&amp;Software!L$3,'New Hires Forecast'!$G$5:$G$81,"&lt;="&amp;Software!L$3)/12)),IF(YEAR(L$3)=YEAR('New Hires Forecast'!$P$3),((SUMIFS('New Hires Forecast'!$P$5:$P$81,'New Hires Forecast'!$F$5:$F$81,"Software",'New Hires Forecast'!$H$5:$H$81,"&gt;="&amp;Software!L$3,'New Hires Forecast'!$G$5:$G$81,"&lt;="&amp;Software!L$3)/12)),IF(YEAR(L$3)=YEAR('New Hires Forecast'!$Q$3),((SUMIFS('New Hires Forecast'!$Q$5:$Q$81,'New Hires Forecast'!$F$5:$F$81,"Software",'New Hires Forecast'!$H$5:$H$81,"&gt;="&amp;Software!L$3,'New Hires Forecast'!$G$5:$G$81,"&lt;="&amp;Software!L$3)/12)),IF(YEAR(L$3)=YEAR('New Hires Forecast'!$R$3),((SUMIFS('New Hires Forecast'!$R$5:$R$81,'New Hires Forecast'!$F$5:$F$81,"Software",'New Hires Forecast'!$H$5:$H$81,"&gt;="&amp;Software!L$3,'New Hires Forecast'!$G$5:$G$81,"&lt;="&amp;Software!L$3)/12))))))),0)</f>
        <v>0</v>
      </c>
      <c r="M13" s="684">
        <f>IF(M$4="forecast",IF(YEAR(M$3)=YEAR('New Hires Forecast'!$N$3),((SUMIFS('New Hires Forecast'!$N$5:$N$81,'New Hires Forecast'!$F$5:$F$81,"Software",'New Hires Forecast'!$H$5:$H$81,"&gt;="&amp;Software!M$3,'New Hires Forecast'!$G$5:$G$81,"&lt;="&amp;Software!M$3)/12)),IF(YEAR(M$3)=YEAR('New Hires Forecast'!$O$3),((SUMIFS('New Hires Forecast'!$O$5:$O$81,'New Hires Forecast'!$F$5:$F$81,"Software",'New Hires Forecast'!$H$5:$H$81,"&gt;="&amp;Software!M$3,'New Hires Forecast'!$G$5:$G$81,"&lt;="&amp;Software!M$3)/12)),IF(YEAR(M$3)=YEAR('New Hires Forecast'!$P$3),((SUMIFS('New Hires Forecast'!$P$5:$P$81,'New Hires Forecast'!$F$5:$F$81,"Software",'New Hires Forecast'!$H$5:$H$81,"&gt;="&amp;Software!M$3,'New Hires Forecast'!$G$5:$G$81,"&lt;="&amp;Software!M$3)/12)),IF(YEAR(M$3)=YEAR('New Hires Forecast'!$Q$3),((SUMIFS('New Hires Forecast'!$Q$5:$Q$81,'New Hires Forecast'!$F$5:$F$81,"Software",'New Hires Forecast'!$H$5:$H$81,"&gt;="&amp;Software!M$3,'New Hires Forecast'!$G$5:$G$81,"&lt;="&amp;Software!M$3)/12)),IF(YEAR(M$3)=YEAR('New Hires Forecast'!$R$3),((SUMIFS('New Hires Forecast'!$R$5:$R$81,'New Hires Forecast'!$F$5:$F$81,"Software",'New Hires Forecast'!$H$5:$H$81,"&gt;="&amp;Software!M$3,'New Hires Forecast'!$G$5:$G$81,"&lt;="&amp;Software!M$3)/12))))))),0)</f>
        <v>0</v>
      </c>
      <c r="N13" s="684">
        <f>IF(N$4="forecast",IF(YEAR(N$3)=YEAR('New Hires Forecast'!$N$3),((SUMIFS('New Hires Forecast'!$N$5:$N$81,'New Hires Forecast'!$F$5:$F$81,"Software",'New Hires Forecast'!$H$5:$H$81,"&gt;="&amp;Software!N$3,'New Hires Forecast'!$G$5:$G$81,"&lt;="&amp;Software!N$3)/12)),IF(YEAR(N$3)=YEAR('New Hires Forecast'!$O$3),((SUMIFS('New Hires Forecast'!$O$5:$O$81,'New Hires Forecast'!$F$5:$F$81,"Software",'New Hires Forecast'!$H$5:$H$81,"&gt;="&amp;Software!N$3,'New Hires Forecast'!$G$5:$G$81,"&lt;="&amp;Software!N$3)/12)),IF(YEAR(N$3)=YEAR('New Hires Forecast'!$P$3),((SUMIFS('New Hires Forecast'!$P$5:$P$81,'New Hires Forecast'!$F$5:$F$81,"Software",'New Hires Forecast'!$H$5:$H$81,"&gt;="&amp;Software!N$3,'New Hires Forecast'!$G$5:$G$81,"&lt;="&amp;Software!N$3)/12)),IF(YEAR(N$3)=YEAR('New Hires Forecast'!$Q$3),((SUMIFS('New Hires Forecast'!$Q$5:$Q$81,'New Hires Forecast'!$F$5:$F$81,"Software",'New Hires Forecast'!$H$5:$H$81,"&gt;="&amp;Software!N$3,'New Hires Forecast'!$G$5:$G$81,"&lt;="&amp;Software!N$3)/12)),IF(YEAR(N$3)=YEAR('New Hires Forecast'!$R$3),((SUMIFS('New Hires Forecast'!$R$5:$R$81,'New Hires Forecast'!$F$5:$F$81,"Software",'New Hires Forecast'!$H$5:$H$81,"&gt;="&amp;Software!N$3,'New Hires Forecast'!$G$5:$G$81,"&lt;="&amp;Software!N$3)/12))))))),0)</f>
        <v>0</v>
      </c>
      <c r="O13" s="684">
        <f>IF(O$4="forecast",IF(YEAR(O$3)=YEAR('New Hires Forecast'!$N$3),((SUMIFS('New Hires Forecast'!$N$5:$N$81,'New Hires Forecast'!$F$5:$F$81,"Software",'New Hires Forecast'!$H$5:$H$81,"&gt;="&amp;Software!O$3,'New Hires Forecast'!$G$5:$G$81,"&lt;="&amp;Software!O$3)/12)),IF(YEAR(O$3)=YEAR('New Hires Forecast'!$O$3),((SUMIFS('New Hires Forecast'!$O$5:$O$81,'New Hires Forecast'!$F$5:$F$81,"Software",'New Hires Forecast'!$H$5:$H$81,"&gt;="&amp;Software!O$3,'New Hires Forecast'!$G$5:$G$81,"&lt;="&amp;Software!O$3)/12)),IF(YEAR(O$3)=YEAR('New Hires Forecast'!$P$3),((SUMIFS('New Hires Forecast'!$P$5:$P$81,'New Hires Forecast'!$F$5:$F$81,"Software",'New Hires Forecast'!$H$5:$H$81,"&gt;="&amp;Software!O$3,'New Hires Forecast'!$G$5:$G$81,"&lt;="&amp;Software!O$3)/12)),IF(YEAR(O$3)=YEAR('New Hires Forecast'!$Q$3),((SUMIFS('New Hires Forecast'!$Q$5:$Q$81,'New Hires Forecast'!$F$5:$F$81,"Software",'New Hires Forecast'!$H$5:$H$81,"&gt;="&amp;Software!O$3,'New Hires Forecast'!$G$5:$G$81,"&lt;="&amp;Software!O$3)/12)),IF(YEAR(O$3)=YEAR('New Hires Forecast'!$R$3),((SUMIFS('New Hires Forecast'!$R$5:$R$81,'New Hires Forecast'!$F$5:$F$81,"Software",'New Hires Forecast'!$H$5:$H$81,"&gt;="&amp;Software!O$3,'New Hires Forecast'!$G$5:$G$81,"&lt;="&amp;Software!O$3)/12))))))),0)</f>
        <v>0</v>
      </c>
      <c r="P13" s="684">
        <f>IF(P$4="forecast",IF(YEAR(P$3)=YEAR('New Hires Forecast'!$N$3),((SUMIFS('New Hires Forecast'!$N$5:$N$81,'New Hires Forecast'!$F$5:$F$81,"Software",'New Hires Forecast'!$H$5:$H$81,"&gt;="&amp;Software!P$3,'New Hires Forecast'!$G$5:$G$81,"&lt;="&amp;Software!P$3)/12)),IF(YEAR(P$3)=YEAR('New Hires Forecast'!$O$3),((SUMIFS('New Hires Forecast'!$O$5:$O$81,'New Hires Forecast'!$F$5:$F$81,"Software",'New Hires Forecast'!$H$5:$H$81,"&gt;="&amp;Software!P$3,'New Hires Forecast'!$G$5:$G$81,"&lt;="&amp;Software!P$3)/12)),IF(YEAR(P$3)=YEAR('New Hires Forecast'!$P$3),((SUMIFS('New Hires Forecast'!$P$5:$P$81,'New Hires Forecast'!$F$5:$F$81,"Software",'New Hires Forecast'!$H$5:$H$81,"&gt;="&amp;Software!P$3,'New Hires Forecast'!$G$5:$G$81,"&lt;="&amp;Software!P$3)/12)),IF(YEAR(P$3)=YEAR('New Hires Forecast'!$Q$3),((SUMIFS('New Hires Forecast'!$Q$5:$Q$81,'New Hires Forecast'!$F$5:$F$81,"Software",'New Hires Forecast'!$H$5:$H$81,"&gt;="&amp;Software!P$3,'New Hires Forecast'!$G$5:$G$81,"&lt;="&amp;Software!P$3)/12)),IF(YEAR(P$3)=YEAR('New Hires Forecast'!$R$3),((SUMIFS('New Hires Forecast'!$R$5:$R$81,'New Hires Forecast'!$F$5:$F$81,"Software",'New Hires Forecast'!$H$5:$H$81,"&gt;="&amp;Software!P$3,'New Hires Forecast'!$G$5:$G$81,"&lt;="&amp;Software!P$3)/12))))))),0)</f>
        <v>0</v>
      </c>
      <c r="Q13" s="684">
        <f>IF(Q$4="forecast",IF(YEAR(Q$3)=YEAR('New Hires Forecast'!$N$3),((SUMIFS('New Hires Forecast'!$N$5:$N$81,'New Hires Forecast'!$F$5:$F$81,"Software",'New Hires Forecast'!$H$5:$H$81,"&gt;="&amp;Software!Q$3,'New Hires Forecast'!$G$5:$G$81,"&lt;="&amp;Software!Q$3)/12)),IF(YEAR(Q$3)=YEAR('New Hires Forecast'!$O$3),((SUMIFS('New Hires Forecast'!$O$5:$O$81,'New Hires Forecast'!$F$5:$F$81,"Software",'New Hires Forecast'!$H$5:$H$81,"&gt;="&amp;Software!Q$3,'New Hires Forecast'!$G$5:$G$81,"&lt;="&amp;Software!Q$3)/12)),IF(YEAR(Q$3)=YEAR('New Hires Forecast'!$P$3),((SUMIFS('New Hires Forecast'!$P$5:$P$81,'New Hires Forecast'!$F$5:$F$81,"Software",'New Hires Forecast'!$H$5:$H$81,"&gt;="&amp;Software!Q$3,'New Hires Forecast'!$G$5:$G$81,"&lt;="&amp;Software!Q$3)/12)),IF(YEAR(Q$3)=YEAR('New Hires Forecast'!$Q$3),((SUMIFS('New Hires Forecast'!$Q$5:$Q$81,'New Hires Forecast'!$F$5:$F$81,"Software",'New Hires Forecast'!$H$5:$H$81,"&gt;="&amp;Software!Q$3,'New Hires Forecast'!$G$5:$G$81,"&lt;="&amp;Software!Q$3)/12)),IF(YEAR(Q$3)=YEAR('New Hires Forecast'!$R$3),((SUMIFS('New Hires Forecast'!$R$5:$R$81,'New Hires Forecast'!$F$5:$F$81,"Software",'New Hires Forecast'!$H$5:$H$81,"&gt;="&amp;Software!Q$3,'New Hires Forecast'!$G$5:$G$81,"&lt;="&amp;Software!Q$3)/12))))))),0)</f>
        <v>0</v>
      </c>
      <c r="R13" s="684">
        <f>IF(R$4="forecast",IF(YEAR(R$3)=YEAR('New Hires Forecast'!$N$3),((SUMIFS('New Hires Forecast'!$N$5:$N$81,'New Hires Forecast'!$F$5:$F$81,"Software",'New Hires Forecast'!$H$5:$H$81,"&gt;="&amp;Software!R$3,'New Hires Forecast'!$G$5:$G$81,"&lt;="&amp;Software!R$3)/12)),IF(YEAR(R$3)=YEAR('New Hires Forecast'!$O$3),((SUMIFS('New Hires Forecast'!$O$5:$O$81,'New Hires Forecast'!$F$5:$F$81,"Software",'New Hires Forecast'!$H$5:$H$81,"&gt;="&amp;Software!R$3,'New Hires Forecast'!$G$5:$G$81,"&lt;="&amp;Software!R$3)/12)),IF(YEAR(R$3)=YEAR('New Hires Forecast'!$P$3),((SUMIFS('New Hires Forecast'!$P$5:$P$81,'New Hires Forecast'!$F$5:$F$81,"Software",'New Hires Forecast'!$H$5:$H$81,"&gt;="&amp;Software!R$3,'New Hires Forecast'!$G$5:$G$81,"&lt;="&amp;Software!R$3)/12)),IF(YEAR(R$3)=YEAR('New Hires Forecast'!$Q$3),((SUMIFS('New Hires Forecast'!$Q$5:$Q$81,'New Hires Forecast'!$F$5:$F$81,"Software",'New Hires Forecast'!$H$5:$H$81,"&gt;="&amp;Software!R$3,'New Hires Forecast'!$G$5:$G$81,"&lt;="&amp;Software!R$3)/12)),IF(YEAR(R$3)=YEAR('New Hires Forecast'!$R$3),((SUMIFS('New Hires Forecast'!$R$5:$R$81,'New Hires Forecast'!$F$5:$F$81,"Software",'New Hires Forecast'!$H$5:$H$81,"&gt;="&amp;Software!R$3,'New Hires Forecast'!$G$5:$G$81,"&lt;="&amp;Software!R$3)/12))))))),0)</f>
        <v>0</v>
      </c>
      <c r="S13" s="684">
        <f>IF(S$4="forecast",IF(YEAR(S$3)=YEAR('New Hires Forecast'!$N$3),((SUMIFS('New Hires Forecast'!$N$5:$N$81,'New Hires Forecast'!$F$5:$F$81,"Software",'New Hires Forecast'!$H$5:$H$81,"&gt;="&amp;Software!S$3,'New Hires Forecast'!$G$5:$G$81,"&lt;="&amp;Software!S$3)/12)),IF(YEAR(S$3)=YEAR('New Hires Forecast'!$O$3),((SUMIFS('New Hires Forecast'!$O$5:$O$81,'New Hires Forecast'!$F$5:$F$81,"Software",'New Hires Forecast'!$H$5:$H$81,"&gt;="&amp;Software!S$3,'New Hires Forecast'!$G$5:$G$81,"&lt;="&amp;Software!S$3)/12)),IF(YEAR(S$3)=YEAR('New Hires Forecast'!$P$3),((SUMIFS('New Hires Forecast'!$P$5:$P$81,'New Hires Forecast'!$F$5:$F$81,"Software",'New Hires Forecast'!$H$5:$H$81,"&gt;="&amp;Software!S$3,'New Hires Forecast'!$G$5:$G$81,"&lt;="&amp;Software!S$3)/12)),IF(YEAR(S$3)=YEAR('New Hires Forecast'!$Q$3),((SUMIFS('New Hires Forecast'!$Q$5:$Q$81,'New Hires Forecast'!$F$5:$F$81,"Software",'New Hires Forecast'!$H$5:$H$81,"&gt;="&amp;Software!S$3,'New Hires Forecast'!$G$5:$G$81,"&lt;="&amp;Software!S$3)/12)),IF(YEAR(S$3)=YEAR('New Hires Forecast'!$R$3),((SUMIFS('New Hires Forecast'!$R$5:$R$81,'New Hires Forecast'!$F$5:$F$81,"Software",'New Hires Forecast'!$H$5:$H$81,"&gt;="&amp;Software!S$3,'New Hires Forecast'!$G$5:$G$81,"&lt;="&amp;Software!S$3)/12))))))),0)</f>
        <v>0</v>
      </c>
      <c r="T13" s="684">
        <f>IF(T$4="forecast",IF(YEAR(T$3)=YEAR('New Hires Forecast'!$N$3),((SUMIFS('New Hires Forecast'!$N$5:$N$81,'New Hires Forecast'!$F$5:$F$81,"Software",'New Hires Forecast'!$H$5:$H$81,"&gt;="&amp;Software!T$3,'New Hires Forecast'!$G$5:$G$81,"&lt;="&amp;Software!T$3)/12)),IF(YEAR(T$3)=YEAR('New Hires Forecast'!$O$3),((SUMIFS('New Hires Forecast'!$O$5:$O$81,'New Hires Forecast'!$F$5:$F$81,"Software",'New Hires Forecast'!$H$5:$H$81,"&gt;="&amp;Software!T$3,'New Hires Forecast'!$G$5:$G$81,"&lt;="&amp;Software!T$3)/12)),IF(YEAR(T$3)=YEAR('New Hires Forecast'!$P$3),((SUMIFS('New Hires Forecast'!$P$5:$P$81,'New Hires Forecast'!$F$5:$F$81,"Software",'New Hires Forecast'!$H$5:$H$81,"&gt;="&amp;Software!T$3,'New Hires Forecast'!$G$5:$G$81,"&lt;="&amp;Software!T$3)/12)),IF(YEAR(T$3)=YEAR('New Hires Forecast'!$Q$3),((SUMIFS('New Hires Forecast'!$Q$5:$Q$81,'New Hires Forecast'!$F$5:$F$81,"Software",'New Hires Forecast'!$H$5:$H$81,"&gt;="&amp;Software!T$3,'New Hires Forecast'!$G$5:$G$81,"&lt;="&amp;Software!T$3)/12)),IF(YEAR(T$3)=YEAR('New Hires Forecast'!$R$3),((SUMIFS('New Hires Forecast'!$R$5:$R$81,'New Hires Forecast'!$F$5:$F$81,"Software",'New Hires Forecast'!$H$5:$H$81,"&gt;="&amp;Software!T$3,'New Hires Forecast'!$G$5:$G$81,"&lt;="&amp;Software!T$3)/12))))))),0)</f>
        <v>0</v>
      </c>
      <c r="U13" s="684">
        <f>IF(U$4="forecast",IF(YEAR(U$3)=YEAR('New Hires Forecast'!$N$3),((SUMIFS('New Hires Forecast'!$N$5:$N$81,'New Hires Forecast'!$F$5:$F$81,"Software",'New Hires Forecast'!$H$5:$H$81,"&gt;="&amp;Software!U$3,'New Hires Forecast'!$G$5:$G$81,"&lt;="&amp;Software!U$3)/12)),IF(YEAR(U$3)=YEAR('New Hires Forecast'!$O$3),((SUMIFS('New Hires Forecast'!$O$5:$O$81,'New Hires Forecast'!$F$5:$F$81,"Software",'New Hires Forecast'!$H$5:$H$81,"&gt;="&amp;Software!U$3,'New Hires Forecast'!$G$5:$G$81,"&lt;="&amp;Software!U$3)/12)),IF(YEAR(U$3)=YEAR('New Hires Forecast'!$P$3),((SUMIFS('New Hires Forecast'!$P$5:$P$81,'New Hires Forecast'!$F$5:$F$81,"Software",'New Hires Forecast'!$H$5:$H$81,"&gt;="&amp;Software!U$3,'New Hires Forecast'!$G$5:$G$81,"&lt;="&amp;Software!U$3)/12)),IF(YEAR(U$3)=YEAR('New Hires Forecast'!$Q$3),((SUMIFS('New Hires Forecast'!$Q$5:$Q$81,'New Hires Forecast'!$F$5:$F$81,"Software",'New Hires Forecast'!$H$5:$H$81,"&gt;="&amp;Software!U$3,'New Hires Forecast'!$G$5:$G$81,"&lt;="&amp;Software!U$3)/12)),IF(YEAR(U$3)=YEAR('New Hires Forecast'!$R$3),((SUMIFS('New Hires Forecast'!$R$5:$R$81,'New Hires Forecast'!$F$5:$F$81,"Software",'New Hires Forecast'!$H$5:$H$81,"&gt;="&amp;Software!U$3,'New Hires Forecast'!$G$5:$G$81,"&lt;="&amp;Software!U$3)/12))))))),0)</f>
        <v>0</v>
      </c>
      <c r="V13" s="684">
        <f>IF(V$4="forecast",IF(YEAR(V$3)=YEAR('New Hires Forecast'!$N$3),((SUMIFS('New Hires Forecast'!$N$5:$N$81,'New Hires Forecast'!$F$5:$F$81,"Software",'New Hires Forecast'!$H$5:$H$81,"&gt;="&amp;Software!V$3,'New Hires Forecast'!$G$5:$G$81,"&lt;="&amp;Software!V$3)/12)),IF(YEAR(V$3)=YEAR('New Hires Forecast'!$O$3),((SUMIFS('New Hires Forecast'!$O$5:$O$81,'New Hires Forecast'!$F$5:$F$81,"Software",'New Hires Forecast'!$H$5:$H$81,"&gt;="&amp;Software!V$3,'New Hires Forecast'!$G$5:$G$81,"&lt;="&amp;Software!V$3)/12)),IF(YEAR(V$3)=YEAR('New Hires Forecast'!$P$3),((SUMIFS('New Hires Forecast'!$P$5:$P$81,'New Hires Forecast'!$F$5:$F$81,"Software",'New Hires Forecast'!$H$5:$H$81,"&gt;="&amp;Software!V$3,'New Hires Forecast'!$G$5:$G$81,"&lt;="&amp;Software!V$3)/12)),IF(YEAR(V$3)=YEAR('New Hires Forecast'!$Q$3),((SUMIFS('New Hires Forecast'!$Q$5:$Q$81,'New Hires Forecast'!$F$5:$F$81,"Software",'New Hires Forecast'!$H$5:$H$81,"&gt;="&amp;Software!V$3,'New Hires Forecast'!$G$5:$G$81,"&lt;="&amp;Software!V$3)/12)),IF(YEAR(V$3)=YEAR('New Hires Forecast'!$R$3),((SUMIFS('New Hires Forecast'!$R$5:$R$81,'New Hires Forecast'!$F$5:$F$81,"Software",'New Hires Forecast'!$H$5:$H$81,"&gt;="&amp;Software!V$3,'New Hires Forecast'!$G$5:$G$81,"&lt;="&amp;Software!V$3)/12))))))),0)</f>
        <v>0</v>
      </c>
      <c r="W13" s="684">
        <f>IF(W$4="forecast",IF(YEAR(W$3)=YEAR('New Hires Forecast'!$N$3),((SUMIFS('New Hires Forecast'!$N$5:$N$81,'New Hires Forecast'!$F$5:$F$81,"Software",'New Hires Forecast'!$H$5:$H$81,"&gt;="&amp;Software!W$3,'New Hires Forecast'!$G$5:$G$81,"&lt;="&amp;Software!W$3)/12)),IF(YEAR(W$3)=YEAR('New Hires Forecast'!$O$3),((SUMIFS('New Hires Forecast'!$O$5:$O$81,'New Hires Forecast'!$F$5:$F$81,"Software",'New Hires Forecast'!$H$5:$H$81,"&gt;="&amp;Software!W$3,'New Hires Forecast'!$G$5:$G$81,"&lt;="&amp;Software!W$3)/12)),IF(YEAR(W$3)=YEAR('New Hires Forecast'!$P$3),((SUMIFS('New Hires Forecast'!$P$5:$P$81,'New Hires Forecast'!$F$5:$F$81,"Software",'New Hires Forecast'!$H$5:$H$81,"&gt;="&amp;Software!W$3,'New Hires Forecast'!$G$5:$G$81,"&lt;="&amp;Software!W$3)/12)),IF(YEAR(W$3)=YEAR('New Hires Forecast'!$Q$3),((SUMIFS('New Hires Forecast'!$Q$5:$Q$81,'New Hires Forecast'!$F$5:$F$81,"Software",'New Hires Forecast'!$H$5:$H$81,"&gt;="&amp;Software!W$3,'New Hires Forecast'!$G$5:$G$81,"&lt;="&amp;Software!W$3)/12)),IF(YEAR(W$3)=YEAR('New Hires Forecast'!$R$3),((SUMIFS('New Hires Forecast'!$R$5:$R$81,'New Hires Forecast'!$F$5:$F$81,"Software",'New Hires Forecast'!$H$5:$H$81,"&gt;="&amp;Software!W$3,'New Hires Forecast'!$G$5:$G$81,"&lt;="&amp;Software!W$3)/12))))))),0)</f>
        <v>0</v>
      </c>
      <c r="X13" s="684">
        <f>IF(X$4="forecast",IF(YEAR(X$3)=YEAR('New Hires Forecast'!$N$3),((SUMIFS('New Hires Forecast'!$N$5:$N$81,'New Hires Forecast'!$F$5:$F$81,"Software",'New Hires Forecast'!$H$5:$H$81,"&gt;="&amp;Software!X$3,'New Hires Forecast'!$G$5:$G$81,"&lt;="&amp;Software!X$3)/12)),IF(YEAR(X$3)=YEAR('New Hires Forecast'!$O$3),((SUMIFS('New Hires Forecast'!$O$5:$O$81,'New Hires Forecast'!$F$5:$F$81,"Software",'New Hires Forecast'!$H$5:$H$81,"&gt;="&amp;Software!X$3,'New Hires Forecast'!$G$5:$G$81,"&lt;="&amp;Software!X$3)/12)),IF(YEAR(X$3)=YEAR('New Hires Forecast'!$P$3),((SUMIFS('New Hires Forecast'!$P$5:$P$81,'New Hires Forecast'!$F$5:$F$81,"Software",'New Hires Forecast'!$H$5:$H$81,"&gt;="&amp;Software!X$3,'New Hires Forecast'!$G$5:$G$81,"&lt;="&amp;Software!X$3)/12)),IF(YEAR(X$3)=YEAR('New Hires Forecast'!$Q$3),((SUMIFS('New Hires Forecast'!$Q$5:$Q$81,'New Hires Forecast'!$F$5:$F$81,"Software",'New Hires Forecast'!$H$5:$H$81,"&gt;="&amp;Software!X$3,'New Hires Forecast'!$G$5:$G$81,"&lt;="&amp;Software!X$3)/12)),IF(YEAR(X$3)=YEAR('New Hires Forecast'!$R$3),((SUMIFS('New Hires Forecast'!$R$5:$R$81,'New Hires Forecast'!$F$5:$F$81,"Software",'New Hires Forecast'!$H$5:$H$81,"&gt;="&amp;Software!X$3,'New Hires Forecast'!$G$5:$G$81,"&lt;="&amp;Software!X$3)/12))))))),0)</f>
        <v>0</v>
      </c>
      <c r="Y13" s="684">
        <f>IF(Y$4="forecast",IF(YEAR(Y$3)=YEAR('New Hires Forecast'!$N$3),((SUMIFS('New Hires Forecast'!$N$5:$N$81,'New Hires Forecast'!$F$5:$F$81,"Software",'New Hires Forecast'!$H$5:$H$81,"&gt;="&amp;Software!Y$3,'New Hires Forecast'!$G$5:$G$81,"&lt;="&amp;Software!Y$3)/12)),IF(YEAR(Y$3)=YEAR('New Hires Forecast'!$O$3),((SUMIFS('New Hires Forecast'!$O$5:$O$81,'New Hires Forecast'!$F$5:$F$81,"Software",'New Hires Forecast'!$H$5:$H$81,"&gt;="&amp;Software!Y$3,'New Hires Forecast'!$G$5:$G$81,"&lt;="&amp;Software!Y$3)/12)),IF(YEAR(Y$3)=YEAR('New Hires Forecast'!$P$3),((SUMIFS('New Hires Forecast'!$P$5:$P$81,'New Hires Forecast'!$F$5:$F$81,"Software",'New Hires Forecast'!$H$5:$H$81,"&gt;="&amp;Software!Y$3,'New Hires Forecast'!$G$5:$G$81,"&lt;="&amp;Software!Y$3)/12)),IF(YEAR(Y$3)=YEAR('New Hires Forecast'!$Q$3),((SUMIFS('New Hires Forecast'!$Q$5:$Q$81,'New Hires Forecast'!$F$5:$F$81,"Software",'New Hires Forecast'!$H$5:$H$81,"&gt;="&amp;Software!Y$3,'New Hires Forecast'!$G$5:$G$81,"&lt;="&amp;Software!Y$3)/12)),IF(YEAR(Y$3)=YEAR('New Hires Forecast'!$R$3),((SUMIFS('New Hires Forecast'!$R$5:$R$81,'New Hires Forecast'!$F$5:$F$81,"Software",'New Hires Forecast'!$H$5:$H$81,"&gt;="&amp;Software!Y$3,'New Hires Forecast'!$G$5:$G$81,"&lt;="&amp;Software!Y$3)/12))))))),0)</f>
        <v>0</v>
      </c>
      <c r="Z13" s="684">
        <f>IF(Z$4="forecast",IF(YEAR(Z$3)=YEAR('New Hires Forecast'!$N$3),((SUMIFS('New Hires Forecast'!$N$5:$N$81,'New Hires Forecast'!$F$5:$F$81,"Software",'New Hires Forecast'!$H$5:$H$81,"&gt;="&amp;Software!Z$3,'New Hires Forecast'!$G$5:$G$81,"&lt;="&amp;Software!Z$3)/12)),IF(YEAR(Z$3)=YEAR('New Hires Forecast'!$O$3),((SUMIFS('New Hires Forecast'!$O$5:$O$81,'New Hires Forecast'!$F$5:$F$81,"Software",'New Hires Forecast'!$H$5:$H$81,"&gt;="&amp;Software!Z$3,'New Hires Forecast'!$G$5:$G$81,"&lt;="&amp;Software!Z$3)/12)),IF(YEAR(Z$3)=YEAR('New Hires Forecast'!$P$3),((SUMIFS('New Hires Forecast'!$P$5:$P$81,'New Hires Forecast'!$F$5:$F$81,"Software",'New Hires Forecast'!$H$5:$H$81,"&gt;="&amp;Software!Z$3,'New Hires Forecast'!$G$5:$G$81,"&lt;="&amp;Software!Z$3)/12)),IF(YEAR(Z$3)=YEAR('New Hires Forecast'!$Q$3),((SUMIFS('New Hires Forecast'!$Q$5:$Q$81,'New Hires Forecast'!$F$5:$F$81,"Software",'New Hires Forecast'!$H$5:$H$81,"&gt;="&amp;Software!Z$3,'New Hires Forecast'!$G$5:$G$81,"&lt;="&amp;Software!Z$3)/12)),IF(YEAR(Z$3)=YEAR('New Hires Forecast'!$R$3),((SUMIFS('New Hires Forecast'!$R$5:$R$81,'New Hires Forecast'!$F$5:$F$81,"Software",'New Hires Forecast'!$H$5:$H$81,"&gt;="&amp;Software!Z$3,'New Hires Forecast'!$G$5:$G$81,"&lt;="&amp;Software!Z$3)/12))))))),0)</f>
        <v>0</v>
      </c>
      <c r="AA13" s="684">
        <f>IF(AA$4="forecast",IF(YEAR(AA$3)=YEAR('New Hires Forecast'!$N$3),((SUMIFS('New Hires Forecast'!$N$5:$N$81,'New Hires Forecast'!$F$5:$F$81,"Software",'New Hires Forecast'!$H$5:$H$81,"&gt;="&amp;Software!AA$3,'New Hires Forecast'!$G$5:$G$81,"&lt;="&amp;Software!AA$3)/12)),IF(YEAR(AA$3)=YEAR('New Hires Forecast'!$O$3),((SUMIFS('New Hires Forecast'!$O$5:$O$81,'New Hires Forecast'!$F$5:$F$81,"Software",'New Hires Forecast'!$H$5:$H$81,"&gt;="&amp;Software!AA$3,'New Hires Forecast'!$G$5:$G$81,"&lt;="&amp;Software!AA$3)/12)),IF(YEAR(AA$3)=YEAR('New Hires Forecast'!$P$3),((SUMIFS('New Hires Forecast'!$P$5:$P$81,'New Hires Forecast'!$F$5:$F$81,"Software",'New Hires Forecast'!$H$5:$H$81,"&gt;="&amp;Software!AA$3,'New Hires Forecast'!$G$5:$G$81,"&lt;="&amp;Software!AA$3)/12)),IF(YEAR(AA$3)=YEAR('New Hires Forecast'!$Q$3),((SUMIFS('New Hires Forecast'!$Q$5:$Q$81,'New Hires Forecast'!$F$5:$F$81,"Software",'New Hires Forecast'!$H$5:$H$81,"&gt;="&amp;Software!AA$3,'New Hires Forecast'!$G$5:$G$81,"&lt;="&amp;Software!AA$3)/12)),IF(YEAR(AA$3)=YEAR('New Hires Forecast'!$R$3),((SUMIFS('New Hires Forecast'!$R$5:$R$81,'New Hires Forecast'!$F$5:$F$81,"Software",'New Hires Forecast'!$H$5:$H$81,"&gt;="&amp;Software!AA$3,'New Hires Forecast'!$G$5:$G$81,"&lt;="&amp;Software!AA$3)/12))))))),0)</f>
        <v>0</v>
      </c>
      <c r="AB13" s="684">
        <f>IF(AB$4="forecast",IF(YEAR(AB$3)=YEAR('New Hires Forecast'!$N$3),((SUMIFS('New Hires Forecast'!$N$5:$N$81,'New Hires Forecast'!$F$5:$F$81,"Software",'New Hires Forecast'!$H$5:$H$81,"&gt;="&amp;Software!AB$3,'New Hires Forecast'!$G$5:$G$81,"&lt;="&amp;Software!AB$3)/12)),IF(YEAR(AB$3)=YEAR('New Hires Forecast'!$O$3),((SUMIFS('New Hires Forecast'!$O$5:$O$81,'New Hires Forecast'!$F$5:$F$81,"Software",'New Hires Forecast'!$H$5:$H$81,"&gt;="&amp;Software!AB$3,'New Hires Forecast'!$G$5:$G$81,"&lt;="&amp;Software!AB$3)/12)),IF(YEAR(AB$3)=YEAR('New Hires Forecast'!$P$3),((SUMIFS('New Hires Forecast'!$P$5:$P$81,'New Hires Forecast'!$F$5:$F$81,"Software",'New Hires Forecast'!$H$5:$H$81,"&gt;="&amp;Software!AB$3,'New Hires Forecast'!$G$5:$G$81,"&lt;="&amp;Software!AB$3)/12)),IF(YEAR(AB$3)=YEAR('New Hires Forecast'!$Q$3),((SUMIFS('New Hires Forecast'!$Q$5:$Q$81,'New Hires Forecast'!$F$5:$F$81,"Software",'New Hires Forecast'!$H$5:$H$81,"&gt;="&amp;Software!AB$3,'New Hires Forecast'!$G$5:$G$81,"&lt;="&amp;Software!AB$3)/12)),IF(YEAR(AB$3)=YEAR('New Hires Forecast'!$R$3),((SUMIFS('New Hires Forecast'!$R$5:$R$81,'New Hires Forecast'!$F$5:$F$81,"Software",'New Hires Forecast'!$H$5:$H$81,"&gt;="&amp;Software!AB$3,'New Hires Forecast'!$G$5:$G$81,"&lt;="&amp;Software!AB$3)/12))))))),0)</f>
        <v>0</v>
      </c>
      <c r="AC13" s="684">
        <f>IF(AC$4="forecast",IF(YEAR(AC$3)=YEAR('New Hires Forecast'!$N$3),((SUMIFS('New Hires Forecast'!$N$5:$N$81,'New Hires Forecast'!$F$5:$F$81,"Software",'New Hires Forecast'!$H$5:$H$81,"&gt;="&amp;Software!AC$3,'New Hires Forecast'!$G$5:$G$81,"&lt;="&amp;Software!AC$3)/12)),IF(YEAR(AC$3)=YEAR('New Hires Forecast'!$O$3),((SUMIFS('New Hires Forecast'!$O$5:$O$81,'New Hires Forecast'!$F$5:$F$81,"Software",'New Hires Forecast'!$H$5:$H$81,"&gt;="&amp;Software!AC$3,'New Hires Forecast'!$G$5:$G$81,"&lt;="&amp;Software!AC$3)/12)),IF(YEAR(AC$3)=YEAR('New Hires Forecast'!$P$3),((SUMIFS('New Hires Forecast'!$P$5:$P$81,'New Hires Forecast'!$F$5:$F$81,"Software",'New Hires Forecast'!$H$5:$H$81,"&gt;="&amp;Software!AC$3,'New Hires Forecast'!$G$5:$G$81,"&lt;="&amp;Software!AC$3)/12)),IF(YEAR(AC$3)=YEAR('New Hires Forecast'!$Q$3),((SUMIFS('New Hires Forecast'!$Q$5:$Q$81,'New Hires Forecast'!$F$5:$F$81,"Software",'New Hires Forecast'!$H$5:$H$81,"&gt;="&amp;Software!AC$3,'New Hires Forecast'!$G$5:$G$81,"&lt;="&amp;Software!AC$3)/12)),IF(YEAR(AC$3)=YEAR('New Hires Forecast'!$R$3),((SUMIFS('New Hires Forecast'!$R$5:$R$81,'New Hires Forecast'!$F$5:$F$81,"Software",'New Hires Forecast'!$H$5:$H$81,"&gt;="&amp;Software!AC$3,'New Hires Forecast'!$G$5:$G$81,"&lt;="&amp;Software!AC$3)/12))))))),0)</f>
        <v>0</v>
      </c>
      <c r="AD13" s="684">
        <f>IF(AD$4="forecast",IF(YEAR(AD$3)=YEAR('New Hires Forecast'!$N$3),((SUMIFS('New Hires Forecast'!$N$5:$N$81,'New Hires Forecast'!$F$5:$F$81,"Software",'New Hires Forecast'!$H$5:$H$81,"&gt;="&amp;Software!AD$3,'New Hires Forecast'!$G$5:$G$81,"&lt;="&amp;Software!AD$3)/12)),IF(YEAR(AD$3)=YEAR('New Hires Forecast'!$O$3),((SUMIFS('New Hires Forecast'!$O$5:$O$81,'New Hires Forecast'!$F$5:$F$81,"Software",'New Hires Forecast'!$H$5:$H$81,"&gt;="&amp;Software!AD$3,'New Hires Forecast'!$G$5:$G$81,"&lt;="&amp;Software!AD$3)/12)),IF(YEAR(AD$3)=YEAR('New Hires Forecast'!$P$3),((SUMIFS('New Hires Forecast'!$P$5:$P$81,'New Hires Forecast'!$F$5:$F$81,"Software",'New Hires Forecast'!$H$5:$H$81,"&gt;="&amp;Software!AD$3,'New Hires Forecast'!$G$5:$G$81,"&lt;="&amp;Software!AD$3)/12)),IF(YEAR(AD$3)=YEAR('New Hires Forecast'!$Q$3),((SUMIFS('New Hires Forecast'!$Q$5:$Q$81,'New Hires Forecast'!$F$5:$F$81,"Software",'New Hires Forecast'!$H$5:$H$81,"&gt;="&amp;Software!AD$3,'New Hires Forecast'!$G$5:$G$81,"&lt;="&amp;Software!AD$3)/12)),IF(YEAR(AD$3)=YEAR('New Hires Forecast'!$R$3),((SUMIFS('New Hires Forecast'!$R$5:$R$81,'New Hires Forecast'!$F$5:$F$81,"Software",'New Hires Forecast'!$H$5:$H$81,"&gt;="&amp;Software!AD$3,'New Hires Forecast'!$G$5:$G$81,"&lt;="&amp;Software!AD$3)/12))))))),0)</f>
        <v>0</v>
      </c>
      <c r="AE13" s="684">
        <f>IF(AE$4="forecast",IF(YEAR(AE$3)=YEAR('New Hires Forecast'!$N$3),((SUMIFS('New Hires Forecast'!$N$5:$N$81,'New Hires Forecast'!$F$5:$F$81,"Software",'New Hires Forecast'!$H$5:$H$81,"&gt;="&amp;Software!AE$3,'New Hires Forecast'!$G$5:$G$81,"&lt;="&amp;Software!AE$3)/12)),IF(YEAR(AE$3)=YEAR('New Hires Forecast'!$O$3),((SUMIFS('New Hires Forecast'!$O$5:$O$81,'New Hires Forecast'!$F$5:$F$81,"Software",'New Hires Forecast'!$H$5:$H$81,"&gt;="&amp;Software!AE$3,'New Hires Forecast'!$G$5:$G$81,"&lt;="&amp;Software!AE$3)/12)),IF(YEAR(AE$3)=YEAR('New Hires Forecast'!$P$3),((SUMIFS('New Hires Forecast'!$P$5:$P$81,'New Hires Forecast'!$F$5:$F$81,"Software",'New Hires Forecast'!$H$5:$H$81,"&gt;="&amp;Software!AE$3,'New Hires Forecast'!$G$5:$G$81,"&lt;="&amp;Software!AE$3)/12)),IF(YEAR(AE$3)=YEAR('New Hires Forecast'!$Q$3),((SUMIFS('New Hires Forecast'!$Q$5:$Q$81,'New Hires Forecast'!$F$5:$F$81,"Software",'New Hires Forecast'!$H$5:$H$81,"&gt;="&amp;Software!AE$3,'New Hires Forecast'!$G$5:$G$81,"&lt;="&amp;Software!AE$3)/12)),IF(YEAR(AE$3)=YEAR('New Hires Forecast'!$R$3),((SUMIFS('New Hires Forecast'!$R$5:$R$81,'New Hires Forecast'!$F$5:$F$81,"Software",'New Hires Forecast'!$H$5:$H$81,"&gt;="&amp;Software!AE$3,'New Hires Forecast'!$G$5:$G$81,"&lt;="&amp;Software!AE$3)/12))))))),0)</f>
        <v>0</v>
      </c>
      <c r="AF13" s="684">
        <f>IF(AF$4="forecast",IF(YEAR(AF$3)=YEAR('New Hires Forecast'!$N$3),((SUMIFS('New Hires Forecast'!$N$5:$N$81,'New Hires Forecast'!$F$5:$F$81,"Software",'New Hires Forecast'!$H$5:$H$81,"&gt;="&amp;Software!AF$3,'New Hires Forecast'!$G$5:$G$81,"&lt;="&amp;Software!AF$3)/12)),IF(YEAR(AF$3)=YEAR('New Hires Forecast'!$O$3),((SUMIFS('New Hires Forecast'!$O$5:$O$81,'New Hires Forecast'!$F$5:$F$81,"Software",'New Hires Forecast'!$H$5:$H$81,"&gt;="&amp;Software!AF$3,'New Hires Forecast'!$G$5:$G$81,"&lt;="&amp;Software!AF$3)/12)),IF(YEAR(AF$3)=YEAR('New Hires Forecast'!$P$3),((SUMIFS('New Hires Forecast'!$P$5:$P$81,'New Hires Forecast'!$F$5:$F$81,"Software",'New Hires Forecast'!$H$5:$H$81,"&gt;="&amp;Software!AF$3,'New Hires Forecast'!$G$5:$G$81,"&lt;="&amp;Software!AF$3)/12)),IF(YEAR(AF$3)=YEAR('New Hires Forecast'!$Q$3),((SUMIFS('New Hires Forecast'!$Q$5:$Q$81,'New Hires Forecast'!$F$5:$F$81,"Software",'New Hires Forecast'!$H$5:$H$81,"&gt;="&amp;Software!AF$3,'New Hires Forecast'!$G$5:$G$81,"&lt;="&amp;Software!AF$3)/12)),IF(YEAR(AF$3)=YEAR('New Hires Forecast'!$R$3),((SUMIFS('New Hires Forecast'!$R$5:$R$81,'New Hires Forecast'!$F$5:$F$81,"Software",'New Hires Forecast'!$H$5:$H$81,"&gt;="&amp;Software!AF$3,'New Hires Forecast'!$G$5:$G$81,"&lt;="&amp;Software!AF$3)/12))))))),0)</f>
        <v>0</v>
      </c>
      <c r="AG13" s="684">
        <f>IF(AG$4="forecast",IF(YEAR(AG$3)=YEAR('New Hires Forecast'!$N$3),((SUMIFS('New Hires Forecast'!$N$5:$N$81,'New Hires Forecast'!$F$5:$F$81,"Software",'New Hires Forecast'!$H$5:$H$81,"&gt;="&amp;Software!AG$3,'New Hires Forecast'!$G$5:$G$81,"&lt;="&amp;Software!AG$3)/12)),IF(YEAR(AG$3)=YEAR('New Hires Forecast'!$O$3),((SUMIFS('New Hires Forecast'!$O$5:$O$81,'New Hires Forecast'!$F$5:$F$81,"Software",'New Hires Forecast'!$H$5:$H$81,"&gt;="&amp;Software!AG$3,'New Hires Forecast'!$G$5:$G$81,"&lt;="&amp;Software!AG$3)/12)),IF(YEAR(AG$3)=YEAR('New Hires Forecast'!$P$3),((SUMIFS('New Hires Forecast'!$P$5:$P$81,'New Hires Forecast'!$F$5:$F$81,"Software",'New Hires Forecast'!$H$5:$H$81,"&gt;="&amp;Software!AG$3,'New Hires Forecast'!$G$5:$G$81,"&lt;="&amp;Software!AG$3)/12)),IF(YEAR(AG$3)=YEAR('New Hires Forecast'!$Q$3),((SUMIFS('New Hires Forecast'!$Q$5:$Q$81,'New Hires Forecast'!$F$5:$F$81,"Software",'New Hires Forecast'!$H$5:$H$81,"&gt;="&amp;Software!AG$3,'New Hires Forecast'!$G$5:$G$81,"&lt;="&amp;Software!AG$3)/12)),IF(YEAR(AG$3)=YEAR('New Hires Forecast'!$R$3),((SUMIFS('New Hires Forecast'!$R$5:$R$81,'New Hires Forecast'!$F$5:$F$81,"Software",'New Hires Forecast'!$H$5:$H$81,"&gt;="&amp;Software!AG$3,'New Hires Forecast'!$G$5:$G$81,"&lt;="&amp;Software!AG$3)/12))))))),0)</f>
        <v>20000</v>
      </c>
      <c r="AH13" s="684">
        <f>IF(AH$4="forecast",IF(YEAR(AH$3)=YEAR('New Hires Forecast'!$N$3),((SUMIFS('New Hires Forecast'!$N$5:$N$81,'New Hires Forecast'!$F$5:$F$81,"Software",'New Hires Forecast'!$H$5:$H$81,"&gt;="&amp;Software!AH$3,'New Hires Forecast'!$G$5:$G$81,"&lt;="&amp;Software!AH$3)/12)),IF(YEAR(AH$3)=YEAR('New Hires Forecast'!$O$3),((SUMIFS('New Hires Forecast'!$O$5:$O$81,'New Hires Forecast'!$F$5:$F$81,"Software",'New Hires Forecast'!$H$5:$H$81,"&gt;="&amp;Software!AH$3,'New Hires Forecast'!$G$5:$G$81,"&lt;="&amp;Software!AH$3)/12)),IF(YEAR(AH$3)=YEAR('New Hires Forecast'!$P$3),((SUMIFS('New Hires Forecast'!$P$5:$P$81,'New Hires Forecast'!$F$5:$F$81,"Software",'New Hires Forecast'!$H$5:$H$81,"&gt;="&amp;Software!AH$3,'New Hires Forecast'!$G$5:$G$81,"&lt;="&amp;Software!AH$3)/12)),IF(YEAR(AH$3)=YEAR('New Hires Forecast'!$Q$3),((SUMIFS('New Hires Forecast'!$Q$5:$Q$81,'New Hires Forecast'!$F$5:$F$81,"Software",'New Hires Forecast'!$H$5:$H$81,"&gt;="&amp;Software!AH$3,'New Hires Forecast'!$G$5:$G$81,"&lt;="&amp;Software!AH$3)/12)),IF(YEAR(AH$3)=YEAR('New Hires Forecast'!$R$3),((SUMIFS('New Hires Forecast'!$R$5:$R$81,'New Hires Forecast'!$F$5:$F$81,"Software",'New Hires Forecast'!$H$5:$H$81,"&gt;="&amp;Software!AH$3,'New Hires Forecast'!$G$5:$G$81,"&lt;="&amp;Software!AH$3)/12))))))),0)</f>
        <v>20000</v>
      </c>
      <c r="AI13" s="684">
        <f>IF(AI$4="forecast",IF(YEAR(AI$3)=YEAR('New Hires Forecast'!$N$3),((SUMIFS('New Hires Forecast'!$N$5:$N$81,'New Hires Forecast'!$F$5:$F$81,"Software",'New Hires Forecast'!$H$5:$H$81,"&gt;="&amp;Software!AI$3,'New Hires Forecast'!$G$5:$G$81,"&lt;="&amp;Software!AI$3)/12)),IF(YEAR(AI$3)=YEAR('New Hires Forecast'!$O$3),((SUMIFS('New Hires Forecast'!$O$5:$O$81,'New Hires Forecast'!$F$5:$F$81,"Software",'New Hires Forecast'!$H$5:$H$81,"&gt;="&amp;Software!AI$3,'New Hires Forecast'!$G$5:$G$81,"&lt;="&amp;Software!AI$3)/12)),IF(YEAR(AI$3)=YEAR('New Hires Forecast'!$P$3),((SUMIFS('New Hires Forecast'!$P$5:$P$81,'New Hires Forecast'!$F$5:$F$81,"Software",'New Hires Forecast'!$H$5:$H$81,"&gt;="&amp;Software!AI$3,'New Hires Forecast'!$G$5:$G$81,"&lt;="&amp;Software!AI$3)/12)),IF(YEAR(AI$3)=YEAR('New Hires Forecast'!$Q$3),((SUMIFS('New Hires Forecast'!$Q$5:$Q$81,'New Hires Forecast'!$F$5:$F$81,"Software",'New Hires Forecast'!$H$5:$H$81,"&gt;="&amp;Software!AI$3,'New Hires Forecast'!$G$5:$G$81,"&lt;="&amp;Software!AI$3)/12)),IF(YEAR(AI$3)=YEAR('New Hires Forecast'!$R$3),((SUMIFS('New Hires Forecast'!$R$5:$R$81,'New Hires Forecast'!$F$5:$F$81,"Software",'New Hires Forecast'!$H$5:$H$81,"&gt;="&amp;Software!AI$3,'New Hires Forecast'!$G$5:$G$81,"&lt;="&amp;Software!AI$3)/12))))))),0)</f>
        <v>20000</v>
      </c>
      <c r="AJ13" s="684">
        <f>IF(AJ$4="forecast",IF(YEAR(AJ$3)=YEAR('New Hires Forecast'!$N$3),((SUMIFS('New Hires Forecast'!$N$5:$N$81,'New Hires Forecast'!$F$5:$F$81,"Software",'New Hires Forecast'!$H$5:$H$81,"&gt;="&amp;Software!AJ$3,'New Hires Forecast'!$G$5:$G$81,"&lt;="&amp;Software!AJ$3)/12)),IF(YEAR(AJ$3)=YEAR('New Hires Forecast'!$O$3),((SUMIFS('New Hires Forecast'!$O$5:$O$81,'New Hires Forecast'!$F$5:$F$81,"Software",'New Hires Forecast'!$H$5:$H$81,"&gt;="&amp;Software!AJ$3,'New Hires Forecast'!$G$5:$G$81,"&lt;="&amp;Software!AJ$3)/12)),IF(YEAR(AJ$3)=YEAR('New Hires Forecast'!$P$3),((SUMIFS('New Hires Forecast'!$P$5:$P$81,'New Hires Forecast'!$F$5:$F$81,"Software",'New Hires Forecast'!$H$5:$H$81,"&gt;="&amp;Software!AJ$3,'New Hires Forecast'!$G$5:$G$81,"&lt;="&amp;Software!AJ$3)/12)),IF(YEAR(AJ$3)=YEAR('New Hires Forecast'!$Q$3),((SUMIFS('New Hires Forecast'!$Q$5:$Q$81,'New Hires Forecast'!$F$5:$F$81,"Software",'New Hires Forecast'!$H$5:$H$81,"&gt;="&amp;Software!AJ$3,'New Hires Forecast'!$G$5:$G$81,"&lt;="&amp;Software!AJ$3)/12)),IF(YEAR(AJ$3)=YEAR('New Hires Forecast'!$R$3),((SUMIFS('New Hires Forecast'!$R$5:$R$81,'New Hires Forecast'!$F$5:$F$81,"Software",'New Hires Forecast'!$H$5:$H$81,"&gt;="&amp;Software!AJ$3,'New Hires Forecast'!$G$5:$G$81,"&lt;="&amp;Software!AJ$3)/12))))))),0)</f>
        <v>30000</v>
      </c>
      <c r="AK13" s="684">
        <f>IF(AK$4="forecast",IF(YEAR(AK$3)=YEAR('New Hires Forecast'!$N$3),((SUMIFS('New Hires Forecast'!$N$5:$N$81,'New Hires Forecast'!$F$5:$F$81,"Software",'New Hires Forecast'!$H$5:$H$81,"&gt;="&amp;Software!AK$3,'New Hires Forecast'!$G$5:$G$81,"&lt;="&amp;Software!AK$3)/12)),IF(YEAR(AK$3)=YEAR('New Hires Forecast'!$O$3),((SUMIFS('New Hires Forecast'!$O$5:$O$81,'New Hires Forecast'!$F$5:$F$81,"Software",'New Hires Forecast'!$H$5:$H$81,"&gt;="&amp;Software!AK$3,'New Hires Forecast'!$G$5:$G$81,"&lt;="&amp;Software!AK$3)/12)),IF(YEAR(AK$3)=YEAR('New Hires Forecast'!$P$3),((SUMIFS('New Hires Forecast'!$P$5:$P$81,'New Hires Forecast'!$F$5:$F$81,"Software",'New Hires Forecast'!$H$5:$H$81,"&gt;="&amp;Software!AK$3,'New Hires Forecast'!$G$5:$G$81,"&lt;="&amp;Software!AK$3)/12)),IF(YEAR(AK$3)=YEAR('New Hires Forecast'!$Q$3),((SUMIFS('New Hires Forecast'!$Q$5:$Q$81,'New Hires Forecast'!$F$5:$F$81,"Software",'New Hires Forecast'!$H$5:$H$81,"&gt;="&amp;Software!AK$3,'New Hires Forecast'!$G$5:$G$81,"&lt;="&amp;Software!AK$3)/12)),IF(YEAR(AK$3)=YEAR('New Hires Forecast'!$R$3),((SUMIFS('New Hires Forecast'!$R$5:$R$81,'New Hires Forecast'!$F$5:$F$81,"Software",'New Hires Forecast'!$H$5:$H$81,"&gt;="&amp;Software!AK$3,'New Hires Forecast'!$G$5:$G$81,"&lt;="&amp;Software!AK$3)/12))))))),0)</f>
        <v>30000</v>
      </c>
      <c r="AL13" s="684">
        <f>IF(AL$4="forecast",IF(YEAR(AL$3)=YEAR('New Hires Forecast'!$N$3),((SUMIFS('New Hires Forecast'!$N$5:$N$81,'New Hires Forecast'!$F$5:$F$81,"Software",'New Hires Forecast'!$H$5:$H$81,"&gt;="&amp;Software!AL$3,'New Hires Forecast'!$G$5:$G$81,"&lt;="&amp;Software!AL$3)/12)),IF(YEAR(AL$3)=YEAR('New Hires Forecast'!$O$3),((SUMIFS('New Hires Forecast'!$O$5:$O$81,'New Hires Forecast'!$F$5:$F$81,"Software",'New Hires Forecast'!$H$5:$H$81,"&gt;="&amp;Software!AL$3,'New Hires Forecast'!$G$5:$G$81,"&lt;="&amp;Software!AL$3)/12)),IF(YEAR(AL$3)=YEAR('New Hires Forecast'!$P$3),((SUMIFS('New Hires Forecast'!$P$5:$P$81,'New Hires Forecast'!$F$5:$F$81,"Software",'New Hires Forecast'!$H$5:$H$81,"&gt;="&amp;Software!AL$3,'New Hires Forecast'!$G$5:$G$81,"&lt;="&amp;Software!AL$3)/12)),IF(YEAR(AL$3)=YEAR('New Hires Forecast'!$Q$3),((SUMIFS('New Hires Forecast'!$Q$5:$Q$81,'New Hires Forecast'!$F$5:$F$81,"Software",'New Hires Forecast'!$H$5:$H$81,"&gt;="&amp;Software!AL$3,'New Hires Forecast'!$G$5:$G$81,"&lt;="&amp;Software!AL$3)/12)),IF(YEAR(AL$3)=YEAR('New Hires Forecast'!$R$3),((SUMIFS('New Hires Forecast'!$R$5:$R$81,'New Hires Forecast'!$F$5:$F$81,"Software",'New Hires Forecast'!$H$5:$H$81,"&gt;="&amp;Software!AL$3,'New Hires Forecast'!$G$5:$G$81,"&lt;="&amp;Software!AL$3)/12))))))),0)</f>
        <v>30000</v>
      </c>
      <c r="AM13" s="684">
        <f>IF(AM$4="forecast",IF(YEAR(AM$3)=YEAR('New Hires Forecast'!$N$3),((SUMIFS('New Hires Forecast'!$N$5:$N$81,'New Hires Forecast'!$F$5:$F$81,"Software",'New Hires Forecast'!$H$5:$H$81,"&gt;="&amp;Software!AM$3,'New Hires Forecast'!$G$5:$G$81,"&lt;="&amp;Software!AM$3)/12)),IF(YEAR(AM$3)=YEAR('New Hires Forecast'!$O$3),((SUMIFS('New Hires Forecast'!$O$5:$O$81,'New Hires Forecast'!$F$5:$F$81,"Software",'New Hires Forecast'!$H$5:$H$81,"&gt;="&amp;Software!AM$3,'New Hires Forecast'!$G$5:$G$81,"&lt;="&amp;Software!AM$3)/12)),IF(YEAR(AM$3)=YEAR('New Hires Forecast'!$P$3),((SUMIFS('New Hires Forecast'!$P$5:$P$81,'New Hires Forecast'!$F$5:$F$81,"Software",'New Hires Forecast'!$H$5:$H$81,"&gt;="&amp;Software!AM$3,'New Hires Forecast'!$G$5:$G$81,"&lt;="&amp;Software!AM$3)/12)),IF(YEAR(AM$3)=YEAR('New Hires Forecast'!$Q$3),((SUMIFS('New Hires Forecast'!$Q$5:$Q$81,'New Hires Forecast'!$F$5:$F$81,"Software",'New Hires Forecast'!$H$5:$H$81,"&gt;="&amp;Software!AM$3,'New Hires Forecast'!$G$5:$G$81,"&lt;="&amp;Software!AM$3)/12)),IF(YEAR(AM$3)=YEAR('New Hires Forecast'!$R$3),((SUMIFS('New Hires Forecast'!$R$5:$R$81,'New Hires Forecast'!$F$5:$F$81,"Software",'New Hires Forecast'!$H$5:$H$81,"&gt;="&amp;Software!AM$3,'New Hires Forecast'!$G$5:$G$81,"&lt;="&amp;Software!AM$3)/12))))))),0)</f>
        <v>30900</v>
      </c>
      <c r="AN13" s="684">
        <f>IF(AN$4="forecast",IF(YEAR(AN$3)=YEAR('New Hires Forecast'!$N$3),((SUMIFS('New Hires Forecast'!$N$5:$N$81,'New Hires Forecast'!$F$5:$F$81,"Software",'New Hires Forecast'!$H$5:$H$81,"&gt;="&amp;Software!AN$3,'New Hires Forecast'!$G$5:$G$81,"&lt;="&amp;Software!AN$3)/12)),IF(YEAR(AN$3)=YEAR('New Hires Forecast'!$O$3),((SUMIFS('New Hires Forecast'!$O$5:$O$81,'New Hires Forecast'!$F$5:$F$81,"Software",'New Hires Forecast'!$H$5:$H$81,"&gt;="&amp;Software!AN$3,'New Hires Forecast'!$G$5:$G$81,"&lt;="&amp;Software!AN$3)/12)),IF(YEAR(AN$3)=YEAR('New Hires Forecast'!$P$3),((SUMIFS('New Hires Forecast'!$P$5:$P$81,'New Hires Forecast'!$F$5:$F$81,"Software",'New Hires Forecast'!$H$5:$H$81,"&gt;="&amp;Software!AN$3,'New Hires Forecast'!$G$5:$G$81,"&lt;="&amp;Software!AN$3)/12)),IF(YEAR(AN$3)=YEAR('New Hires Forecast'!$Q$3),((SUMIFS('New Hires Forecast'!$Q$5:$Q$81,'New Hires Forecast'!$F$5:$F$81,"Software",'New Hires Forecast'!$H$5:$H$81,"&gt;="&amp;Software!AN$3,'New Hires Forecast'!$G$5:$G$81,"&lt;="&amp;Software!AN$3)/12)),IF(YEAR(AN$3)=YEAR('New Hires Forecast'!$R$3),((SUMIFS('New Hires Forecast'!$R$5:$R$81,'New Hires Forecast'!$F$5:$F$81,"Software",'New Hires Forecast'!$H$5:$H$81,"&gt;="&amp;Software!AN$3,'New Hires Forecast'!$G$5:$G$81,"&lt;="&amp;Software!AN$3)/12))))))),0)</f>
        <v>30900</v>
      </c>
      <c r="AO13" s="684">
        <f>IF(AO$4="forecast",IF(YEAR(AO$3)=YEAR('New Hires Forecast'!$N$3),((SUMIFS('New Hires Forecast'!$N$5:$N$81,'New Hires Forecast'!$F$5:$F$81,"Software",'New Hires Forecast'!$H$5:$H$81,"&gt;="&amp;Software!AO$3,'New Hires Forecast'!$G$5:$G$81,"&lt;="&amp;Software!AO$3)/12)),IF(YEAR(AO$3)=YEAR('New Hires Forecast'!$O$3),((SUMIFS('New Hires Forecast'!$O$5:$O$81,'New Hires Forecast'!$F$5:$F$81,"Software",'New Hires Forecast'!$H$5:$H$81,"&gt;="&amp;Software!AO$3,'New Hires Forecast'!$G$5:$G$81,"&lt;="&amp;Software!AO$3)/12)),IF(YEAR(AO$3)=YEAR('New Hires Forecast'!$P$3),((SUMIFS('New Hires Forecast'!$P$5:$P$81,'New Hires Forecast'!$F$5:$F$81,"Software",'New Hires Forecast'!$H$5:$H$81,"&gt;="&amp;Software!AO$3,'New Hires Forecast'!$G$5:$G$81,"&lt;="&amp;Software!AO$3)/12)),IF(YEAR(AO$3)=YEAR('New Hires Forecast'!$Q$3),((SUMIFS('New Hires Forecast'!$Q$5:$Q$81,'New Hires Forecast'!$F$5:$F$81,"Software",'New Hires Forecast'!$H$5:$H$81,"&gt;="&amp;Software!AO$3,'New Hires Forecast'!$G$5:$G$81,"&lt;="&amp;Software!AO$3)/12)),IF(YEAR(AO$3)=YEAR('New Hires Forecast'!$R$3),((SUMIFS('New Hires Forecast'!$R$5:$R$81,'New Hires Forecast'!$F$5:$F$81,"Software",'New Hires Forecast'!$H$5:$H$81,"&gt;="&amp;Software!AO$3,'New Hires Forecast'!$G$5:$G$81,"&lt;="&amp;Software!AO$3)/12))))))),0)</f>
        <v>30900</v>
      </c>
      <c r="AP13" s="684">
        <f>IF(AP$4="forecast",IF(YEAR(AP$3)=YEAR('New Hires Forecast'!$N$3),((SUMIFS('New Hires Forecast'!$N$5:$N$81,'New Hires Forecast'!$F$5:$F$81,"Software",'New Hires Forecast'!$H$5:$H$81,"&gt;="&amp;Software!AP$3,'New Hires Forecast'!$G$5:$G$81,"&lt;="&amp;Software!AP$3)/12)),IF(YEAR(AP$3)=YEAR('New Hires Forecast'!$O$3),((SUMIFS('New Hires Forecast'!$O$5:$O$81,'New Hires Forecast'!$F$5:$F$81,"Software",'New Hires Forecast'!$H$5:$H$81,"&gt;="&amp;Software!AP$3,'New Hires Forecast'!$G$5:$G$81,"&lt;="&amp;Software!AP$3)/12)),IF(YEAR(AP$3)=YEAR('New Hires Forecast'!$P$3),((SUMIFS('New Hires Forecast'!$P$5:$P$81,'New Hires Forecast'!$F$5:$F$81,"Software",'New Hires Forecast'!$H$5:$H$81,"&gt;="&amp;Software!AP$3,'New Hires Forecast'!$G$5:$G$81,"&lt;="&amp;Software!AP$3)/12)),IF(YEAR(AP$3)=YEAR('New Hires Forecast'!$Q$3),((SUMIFS('New Hires Forecast'!$Q$5:$Q$81,'New Hires Forecast'!$F$5:$F$81,"Software",'New Hires Forecast'!$H$5:$H$81,"&gt;="&amp;Software!AP$3,'New Hires Forecast'!$G$5:$G$81,"&lt;="&amp;Software!AP$3)/12)),IF(YEAR(AP$3)=YEAR('New Hires Forecast'!$R$3),((SUMIFS('New Hires Forecast'!$R$5:$R$81,'New Hires Forecast'!$F$5:$F$81,"Software",'New Hires Forecast'!$H$5:$H$81,"&gt;="&amp;Software!AP$3,'New Hires Forecast'!$G$5:$G$81,"&lt;="&amp;Software!AP$3)/12))))))),0)</f>
        <v>30900</v>
      </c>
      <c r="AQ13" s="684">
        <f>IF(AQ$4="forecast",IF(YEAR(AQ$3)=YEAR('New Hires Forecast'!$N$3),((SUMIFS('New Hires Forecast'!$N$5:$N$81,'New Hires Forecast'!$F$5:$F$81,"Software",'New Hires Forecast'!$H$5:$H$81,"&gt;="&amp;Software!AQ$3,'New Hires Forecast'!$G$5:$G$81,"&lt;="&amp;Software!AQ$3)/12)),IF(YEAR(AQ$3)=YEAR('New Hires Forecast'!$O$3),((SUMIFS('New Hires Forecast'!$O$5:$O$81,'New Hires Forecast'!$F$5:$F$81,"Software",'New Hires Forecast'!$H$5:$H$81,"&gt;="&amp;Software!AQ$3,'New Hires Forecast'!$G$5:$G$81,"&lt;="&amp;Software!AQ$3)/12)),IF(YEAR(AQ$3)=YEAR('New Hires Forecast'!$P$3),((SUMIFS('New Hires Forecast'!$P$5:$P$81,'New Hires Forecast'!$F$5:$F$81,"Software",'New Hires Forecast'!$H$5:$H$81,"&gt;="&amp;Software!AQ$3,'New Hires Forecast'!$G$5:$G$81,"&lt;="&amp;Software!AQ$3)/12)),IF(YEAR(AQ$3)=YEAR('New Hires Forecast'!$Q$3),((SUMIFS('New Hires Forecast'!$Q$5:$Q$81,'New Hires Forecast'!$F$5:$F$81,"Software",'New Hires Forecast'!$H$5:$H$81,"&gt;="&amp;Software!AQ$3,'New Hires Forecast'!$G$5:$G$81,"&lt;="&amp;Software!AQ$3)/12)),IF(YEAR(AQ$3)=YEAR('New Hires Forecast'!$R$3),((SUMIFS('New Hires Forecast'!$R$5:$R$81,'New Hires Forecast'!$F$5:$F$81,"Software",'New Hires Forecast'!$H$5:$H$81,"&gt;="&amp;Software!AQ$3,'New Hires Forecast'!$G$5:$G$81,"&lt;="&amp;Software!AQ$3)/12))))))),0)</f>
        <v>30900</v>
      </c>
      <c r="AR13" s="684">
        <f>IF(AR$4="forecast",IF(YEAR(AR$3)=YEAR('New Hires Forecast'!$N$3),((SUMIFS('New Hires Forecast'!$N$5:$N$81,'New Hires Forecast'!$F$5:$F$81,"Software",'New Hires Forecast'!$H$5:$H$81,"&gt;="&amp;Software!AR$3,'New Hires Forecast'!$G$5:$G$81,"&lt;="&amp;Software!AR$3)/12)),IF(YEAR(AR$3)=YEAR('New Hires Forecast'!$O$3),((SUMIFS('New Hires Forecast'!$O$5:$O$81,'New Hires Forecast'!$F$5:$F$81,"Software",'New Hires Forecast'!$H$5:$H$81,"&gt;="&amp;Software!AR$3,'New Hires Forecast'!$G$5:$G$81,"&lt;="&amp;Software!AR$3)/12)),IF(YEAR(AR$3)=YEAR('New Hires Forecast'!$P$3),((SUMIFS('New Hires Forecast'!$P$5:$P$81,'New Hires Forecast'!$F$5:$F$81,"Software",'New Hires Forecast'!$H$5:$H$81,"&gt;="&amp;Software!AR$3,'New Hires Forecast'!$G$5:$G$81,"&lt;="&amp;Software!AR$3)/12)),IF(YEAR(AR$3)=YEAR('New Hires Forecast'!$Q$3),((SUMIFS('New Hires Forecast'!$Q$5:$Q$81,'New Hires Forecast'!$F$5:$F$81,"Software",'New Hires Forecast'!$H$5:$H$81,"&gt;="&amp;Software!AR$3,'New Hires Forecast'!$G$5:$G$81,"&lt;="&amp;Software!AR$3)/12)),IF(YEAR(AR$3)=YEAR('New Hires Forecast'!$R$3),((SUMIFS('New Hires Forecast'!$R$5:$R$81,'New Hires Forecast'!$F$5:$F$81,"Software",'New Hires Forecast'!$H$5:$H$81,"&gt;="&amp;Software!AR$3,'New Hires Forecast'!$G$5:$G$81,"&lt;="&amp;Software!AR$3)/12))))))),0)</f>
        <v>30900</v>
      </c>
      <c r="AS13" s="684">
        <f>IF(AS$4="forecast",IF(YEAR(AS$3)=YEAR('New Hires Forecast'!$N$3),((SUMIFS('New Hires Forecast'!$N$5:$N$81,'New Hires Forecast'!$F$5:$F$81,"Software",'New Hires Forecast'!$H$5:$H$81,"&gt;="&amp;Software!AS$3,'New Hires Forecast'!$G$5:$G$81,"&lt;="&amp;Software!AS$3)/12)),IF(YEAR(AS$3)=YEAR('New Hires Forecast'!$O$3),((SUMIFS('New Hires Forecast'!$O$5:$O$81,'New Hires Forecast'!$F$5:$F$81,"Software",'New Hires Forecast'!$H$5:$H$81,"&gt;="&amp;Software!AS$3,'New Hires Forecast'!$G$5:$G$81,"&lt;="&amp;Software!AS$3)/12)),IF(YEAR(AS$3)=YEAR('New Hires Forecast'!$P$3),((SUMIFS('New Hires Forecast'!$P$5:$P$81,'New Hires Forecast'!$F$5:$F$81,"Software",'New Hires Forecast'!$H$5:$H$81,"&gt;="&amp;Software!AS$3,'New Hires Forecast'!$G$5:$G$81,"&lt;="&amp;Software!AS$3)/12)),IF(YEAR(AS$3)=YEAR('New Hires Forecast'!$Q$3),((SUMIFS('New Hires Forecast'!$Q$5:$Q$81,'New Hires Forecast'!$F$5:$F$81,"Software",'New Hires Forecast'!$H$5:$H$81,"&gt;="&amp;Software!AS$3,'New Hires Forecast'!$G$5:$G$81,"&lt;="&amp;Software!AS$3)/12)),IF(YEAR(AS$3)=YEAR('New Hires Forecast'!$R$3),((SUMIFS('New Hires Forecast'!$R$5:$R$81,'New Hires Forecast'!$F$5:$F$81,"Software",'New Hires Forecast'!$H$5:$H$81,"&gt;="&amp;Software!AS$3,'New Hires Forecast'!$G$5:$G$81,"&lt;="&amp;Software!AS$3)/12))))))),0)</f>
        <v>30900</v>
      </c>
      <c r="AT13" s="684">
        <f>IF(AT$4="forecast",IF(YEAR(AT$3)=YEAR('New Hires Forecast'!$N$3),((SUMIFS('New Hires Forecast'!$N$5:$N$81,'New Hires Forecast'!$F$5:$F$81,"Software",'New Hires Forecast'!$H$5:$H$81,"&gt;="&amp;Software!AT$3,'New Hires Forecast'!$G$5:$G$81,"&lt;="&amp;Software!AT$3)/12)),IF(YEAR(AT$3)=YEAR('New Hires Forecast'!$O$3),((SUMIFS('New Hires Forecast'!$O$5:$O$81,'New Hires Forecast'!$F$5:$F$81,"Software",'New Hires Forecast'!$H$5:$H$81,"&gt;="&amp;Software!AT$3,'New Hires Forecast'!$G$5:$G$81,"&lt;="&amp;Software!AT$3)/12)),IF(YEAR(AT$3)=YEAR('New Hires Forecast'!$P$3),((SUMIFS('New Hires Forecast'!$P$5:$P$81,'New Hires Forecast'!$F$5:$F$81,"Software",'New Hires Forecast'!$H$5:$H$81,"&gt;="&amp;Software!AT$3,'New Hires Forecast'!$G$5:$G$81,"&lt;="&amp;Software!AT$3)/12)),IF(YEAR(AT$3)=YEAR('New Hires Forecast'!$Q$3),((SUMIFS('New Hires Forecast'!$Q$5:$Q$81,'New Hires Forecast'!$F$5:$F$81,"Software",'New Hires Forecast'!$H$5:$H$81,"&gt;="&amp;Software!AT$3,'New Hires Forecast'!$G$5:$G$81,"&lt;="&amp;Software!AT$3)/12)),IF(YEAR(AT$3)=YEAR('New Hires Forecast'!$R$3),((SUMIFS('New Hires Forecast'!$R$5:$R$81,'New Hires Forecast'!$F$5:$F$81,"Software",'New Hires Forecast'!$H$5:$H$81,"&gt;="&amp;Software!AT$3,'New Hires Forecast'!$G$5:$G$81,"&lt;="&amp;Software!AT$3)/12))))))),0)</f>
        <v>30900</v>
      </c>
      <c r="AU13" s="684">
        <f>IF(AU$4="forecast",IF(YEAR(AU$3)=YEAR('New Hires Forecast'!$N$3),((SUMIFS('New Hires Forecast'!$N$5:$N$81,'New Hires Forecast'!$F$5:$F$81,"Software",'New Hires Forecast'!$H$5:$H$81,"&gt;="&amp;Software!AU$3,'New Hires Forecast'!$G$5:$G$81,"&lt;="&amp;Software!AU$3)/12)),IF(YEAR(AU$3)=YEAR('New Hires Forecast'!$O$3),((SUMIFS('New Hires Forecast'!$O$5:$O$81,'New Hires Forecast'!$F$5:$F$81,"Software",'New Hires Forecast'!$H$5:$H$81,"&gt;="&amp;Software!AU$3,'New Hires Forecast'!$G$5:$G$81,"&lt;="&amp;Software!AU$3)/12)),IF(YEAR(AU$3)=YEAR('New Hires Forecast'!$P$3),((SUMIFS('New Hires Forecast'!$P$5:$P$81,'New Hires Forecast'!$F$5:$F$81,"Software",'New Hires Forecast'!$H$5:$H$81,"&gt;="&amp;Software!AU$3,'New Hires Forecast'!$G$5:$G$81,"&lt;="&amp;Software!AU$3)/12)),IF(YEAR(AU$3)=YEAR('New Hires Forecast'!$Q$3),((SUMIFS('New Hires Forecast'!$Q$5:$Q$81,'New Hires Forecast'!$F$5:$F$81,"Software",'New Hires Forecast'!$H$5:$H$81,"&gt;="&amp;Software!AU$3,'New Hires Forecast'!$G$5:$G$81,"&lt;="&amp;Software!AU$3)/12)),IF(YEAR(AU$3)=YEAR('New Hires Forecast'!$R$3),((SUMIFS('New Hires Forecast'!$R$5:$R$81,'New Hires Forecast'!$F$5:$F$81,"Software",'New Hires Forecast'!$H$5:$H$81,"&gt;="&amp;Software!AU$3,'New Hires Forecast'!$G$5:$G$81,"&lt;="&amp;Software!AU$3)/12))))))),0)</f>
        <v>30900</v>
      </c>
      <c r="AV13" s="684">
        <f>IF(AV$4="forecast",IF(YEAR(AV$3)=YEAR('New Hires Forecast'!$N$3),((SUMIFS('New Hires Forecast'!$N$5:$N$81,'New Hires Forecast'!$F$5:$F$81,"Software",'New Hires Forecast'!$H$5:$H$81,"&gt;="&amp;Software!AV$3,'New Hires Forecast'!$G$5:$G$81,"&lt;="&amp;Software!AV$3)/12)),IF(YEAR(AV$3)=YEAR('New Hires Forecast'!$O$3),((SUMIFS('New Hires Forecast'!$O$5:$O$81,'New Hires Forecast'!$F$5:$F$81,"Software",'New Hires Forecast'!$H$5:$H$81,"&gt;="&amp;Software!AV$3,'New Hires Forecast'!$G$5:$G$81,"&lt;="&amp;Software!AV$3)/12)),IF(YEAR(AV$3)=YEAR('New Hires Forecast'!$P$3),((SUMIFS('New Hires Forecast'!$P$5:$P$81,'New Hires Forecast'!$F$5:$F$81,"Software",'New Hires Forecast'!$H$5:$H$81,"&gt;="&amp;Software!AV$3,'New Hires Forecast'!$G$5:$G$81,"&lt;="&amp;Software!AV$3)/12)),IF(YEAR(AV$3)=YEAR('New Hires Forecast'!$Q$3),((SUMIFS('New Hires Forecast'!$Q$5:$Q$81,'New Hires Forecast'!$F$5:$F$81,"Software",'New Hires Forecast'!$H$5:$H$81,"&gt;="&amp;Software!AV$3,'New Hires Forecast'!$G$5:$G$81,"&lt;="&amp;Software!AV$3)/12)),IF(YEAR(AV$3)=YEAR('New Hires Forecast'!$R$3),((SUMIFS('New Hires Forecast'!$R$5:$R$81,'New Hires Forecast'!$F$5:$F$81,"Software",'New Hires Forecast'!$H$5:$H$81,"&gt;="&amp;Software!AV$3,'New Hires Forecast'!$G$5:$G$81,"&lt;="&amp;Software!AV$3)/12))))))),0)</f>
        <v>30900</v>
      </c>
      <c r="AW13" s="684">
        <f>IF(AW$4="forecast",IF(YEAR(AW$3)=YEAR('New Hires Forecast'!$N$3),((SUMIFS('New Hires Forecast'!$N$5:$N$81,'New Hires Forecast'!$F$5:$F$81,"Software",'New Hires Forecast'!$H$5:$H$81,"&gt;="&amp;Software!AW$3,'New Hires Forecast'!$G$5:$G$81,"&lt;="&amp;Software!AW$3)/12)),IF(YEAR(AW$3)=YEAR('New Hires Forecast'!$O$3),((SUMIFS('New Hires Forecast'!$O$5:$O$81,'New Hires Forecast'!$F$5:$F$81,"Software",'New Hires Forecast'!$H$5:$H$81,"&gt;="&amp;Software!AW$3,'New Hires Forecast'!$G$5:$G$81,"&lt;="&amp;Software!AW$3)/12)),IF(YEAR(AW$3)=YEAR('New Hires Forecast'!$P$3),((SUMIFS('New Hires Forecast'!$P$5:$P$81,'New Hires Forecast'!$F$5:$F$81,"Software",'New Hires Forecast'!$H$5:$H$81,"&gt;="&amp;Software!AW$3,'New Hires Forecast'!$G$5:$G$81,"&lt;="&amp;Software!AW$3)/12)),IF(YEAR(AW$3)=YEAR('New Hires Forecast'!$Q$3),((SUMIFS('New Hires Forecast'!$Q$5:$Q$81,'New Hires Forecast'!$F$5:$F$81,"Software",'New Hires Forecast'!$H$5:$H$81,"&gt;="&amp;Software!AW$3,'New Hires Forecast'!$G$5:$G$81,"&lt;="&amp;Software!AW$3)/12)),IF(YEAR(AW$3)=YEAR('New Hires Forecast'!$R$3),((SUMIFS('New Hires Forecast'!$R$5:$R$81,'New Hires Forecast'!$F$5:$F$81,"Software",'New Hires Forecast'!$H$5:$H$81,"&gt;="&amp;Software!AW$3,'New Hires Forecast'!$G$5:$G$81,"&lt;="&amp;Software!AW$3)/12))))))),0)</f>
        <v>30900</v>
      </c>
      <c r="AX13" s="684">
        <f>IF(AX$4="forecast",IF(YEAR(AX$3)=YEAR('New Hires Forecast'!$N$3),((SUMIFS('New Hires Forecast'!$N$5:$N$81,'New Hires Forecast'!$F$5:$F$81,"Software",'New Hires Forecast'!$H$5:$H$81,"&gt;="&amp;Software!AX$3,'New Hires Forecast'!$G$5:$G$81,"&lt;="&amp;Software!AX$3)/12)),IF(YEAR(AX$3)=YEAR('New Hires Forecast'!$O$3),((SUMIFS('New Hires Forecast'!$O$5:$O$81,'New Hires Forecast'!$F$5:$F$81,"Software",'New Hires Forecast'!$H$5:$H$81,"&gt;="&amp;Software!AX$3,'New Hires Forecast'!$G$5:$G$81,"&lt;="&amp;Software!AX$3)/12)),IF(YEAR(AX$3)=YEAR('New Hires Forecast'!$P$3),((SUMIFS('New Hires Forecast'!$P$5:$P$81,'New Hires Forecast'!$F$5:$F$81,"Software",'New Hires Forecast'!$H$5:$H$81,"&gt;="&amp;Software!AX$3,'New Hires Forecast'!$G$5:$G$81,"&lt;="&amp;Software!AX$3)/12)),IF(YEAR(AX$3)=YEAR('New Hires Forecast'!$Q$3),((SUMIFS('New Hires Forecast'!$Q$5:$Q$81,'New Hires Forecast'!$F$5:$F$81,"Software",'New Hires Forecast'!$H$5:$H$81,"&gt;="&amp;Software!AX$3,'New Hires Forecast'!$G$5:$G$81,"&lt;="&amp;Software!AX$3)/12)),IF(YEAR(AX$3)=YEAR('New Hires Forecast'!$R$3),((SUMIFS('New Hires Forecast'!$R$5:$R$81,'New Hires Forecast'!$F$5:$F$81,"Software",'New Hires Forecast'!$H$5:$H$81,"&gt;="&amp;Software!AX$3,'New Hires Forecast'!$G$5:$G$81,"&lt;="&amp;Software!AX$3)/12))))))),0)</f>
        <v>30900</v>
      </c>
      <c r="AY13" s="684">
        <f>IF(AY$4="forecast",IF(YEAR(AY$3)=YEAR('New Hires Forecast'!$N$3),((SUMIFS('New Hires Forecast'!$N$5:$N$81,'New Hires Forecast'!$F$5:$F$81,"Software",'New Hires Forecast'!$H$5:$H$81,"&gt;="&amp;Software!AY$3,'New Hires Forecast'!$G$5:$G$81,"&lt;="&amp;Software!AY$3)/12)),IF(YEAR(AY$3)=YEAR('New Hires Forecast'!$O$3),((SUMIFS('New Hires Forecast'!$O$5:$O$81,'New Hires Forecast'!$F$5:$F$81,"Software",'New Hires Forecast'!$H$5:$H$81,"&gt;="&amp;Software!AY$3,'New Hires Forecast'!$G$5:$G$81,"&lt;="&amp;Software!AY$3)/12)),IF(YEAR(AY$3)=YEAR('New Hires Forecast'!$P$3),((SUMIFS('New Hires Forecast'!$P$5:$P$81,'New Hires Forecast'!$F$5:$F$81,"Software",'New Hires Forecast'!$H$5:$H$81,"&gt;="&amp;Software!AY$3,'New Hires Forecast'!$G$5:$G$81,"&lt;="&amp;Software!AY$3)/12)),IF(YEAR(AY$3)=YEAR('New Hires Forecast'!$Q$3),((SUMIFS('New Hires Forecast'!$Q$5:$Q$81,'New Hires Forecast'!$F$5:$F$81,"Software",'New Hires Forecast'!$H$5:$H$81,"&gt;="&amp;Software!AY$3,'New Hires Forecast'!$G$5:$G$81,"&lt;="&amp;Software!AY$3)/12)),IF(YEAR(AY$3)=YEAR('New Hires Forecast'!$R$3),((SUMIFS('New Hires Forecast'!$R$5:$R$81,'New Hires Forecast'!$F$5:$F$81,"Software",'New Hires Forecast'!$H$5:$H$81,"&gt;="&amp;Software!AY$3,'New Hires Forecast'!$G$5:$G$81,"&lt;="&amp;Software!AY$3)/12))))))),0)</f>
        <v>31827</v>
      </c>
      <c r="AZ13" s="684">
        <f>IF(AZ$4="forecast",IF(YEAR(AZ$3)=YEAR('New Hires Forecast'!$N$3),((SUMIFS('New Hires Forecast'!$N$5:$N$81,'New Hires Forecast'!$F$5:$F$81,"Software",'New Hires Forecast'!$H$5:$H$81,"&gt;="&amp;Software!AZ$3,'New Hires Forecast'!$G$5:$G$81,"&lt;="&amp;Software!AZ$3)/12)),IF(YEAR(AZ$3)=YEAR('New Hires Forecast'!$O$3),((SUMIFS('New Hires Forecast'!$O$5:$O$81,'New Hires Forecast'!$F$5:$F$81,"Software",'New Hires Forecast'!$H$5:$H$81,"&gt;="&amp;Software!AZ$3,'New Hires Forecast'!$G$5:$G$81,"&lt;="&amp;Software!AZ$3)/12)),IF(YEAR(AZ$3)=YEAR('New Hires Forecast'!$P$3),((SUMIFS('New Hires Forecast'!$P$5:$P$81,'New Hires Forecast'!$F$5:$F$81,"Software",'New Hires Forecast'!$H$5:$H$81,"&gt;="&amp;Software!AZ$3,'New Hires Forecast'!$G$5:$G$81,"&lt;="&amp;Software!AZ$3)/12)),IF(YEAR(AZ$3)=YEAR('New Hires Forecast'!$Q$3),((SUMIFS('New Hires Forecast'!$Q$5:$Q$81,'New Hires Forecast'!$F$5:$F$81,"Software",'New Hires Forecast'!$H$5:$H$81,"&gt;="&amp;Software!AZ$3,'New Hires Forecast'!$G$5:$G$81,"&lt;="&amp;Software!AZ$3)/12)),IF(YEAR(AZ$3)=YEAR('New Hires Forecast'!$R$3),((SUMIFS('New Hires Forecast'!$R$5:$R$81,'New Hires Forecast'!$F$5:$F$81,"Software",'New Hires Forecast'!$H$5:$H$81,"&gt;="&amp;Software!AZ$3,'New Hires Forecast'!$G$5:$G$81,"&lt;="&amp;Software!AZ$3)/12))))))),0)</f>
        <v>31827</v>
      </c>
      <c r="BA13" s="684">
        <f>IF(BA$4="forecast",IF(YEAR(BA$3)=YEAR('New Hires Forecast'!$N$3),((SUMIFS('New Hires Forecast'!$N$5:$N$81,'New Hires Forecast'!$F$5:$F$81,"Software",'New Hires Forecast'!$H$5:$H$81,"&gt;="&amp;Software!BA$3,'New Hires Forecast'!$G$5:$G$81,"&lt;="&amp;Software!BA$3)/12)),IF(YEAR(BA$3)=YEAR('New Hires Forecast'!$O$3),((SUMIFS('New Hires Forecast'!$O$5:$O$81,'New Hires Forecast'!$F$5:$F$81,"Software",'New Hires Forecast'!$H$5:$H$81,"&gt;="&amp;Software!BA$3,'New Hires Forecast'!$G$5:$G$81,"&lt;="&amp;Software!BA$3)/12)),IF(YEAR(BA$3)=YEAR('New Hires Forecast'!$P$3),((SUMIFS('New Hires Forecast'!$P$5:$P$81,'New Hires Forecast'!$F$5:$F$81,"Software",'New Hires Forecast'!$H$5:$H$81,"&gt;="&amp;Software!BA$3,'New Hires Forecast'!$G$5:$G$81,"&lt;="&amp;Software!BA$3)/12)),IF(YEAR(BA$3)=YEAR('New Hires Forecast'!$Q$3),((SUMIFS('New Hires Forecast'!$Q$5:$Q$81,'New Hires Forecast'!$F$5:$F$81,"Software",'New Hires Forecast'!$H$5:$H$81,"&gt;="&amp;Software!BA$3,'New Hires Forecast'!$G$5:$G$81,"&lt;="&amp;Software!BA$3)/12)),IF(YEAR(BA$3)=YEAR('New Hires Forecast'!$R$3),((SUMIFS('New Hires Forecast'!$R$5:$R$81,'New Hires Forecast'!$F$5:$F$81,"Software",'New Hires Forecast'!$H$5:$H$81,"&gt;="&amp;Software!BA$3,'New Hires Forecast'!$G$5:$G$81,"&lt;="&amp;Software!BA$3)/12))))))),0)</f>
        <v>31827</v>
      </c>
      <c r="BB13" s="684">
        <f>IF(BB$4="forecast",IF(YEAR(BB$3)=YEAR('New Hires Forecast'!$N$3),((SUMIFS('New Hires Forecast'!$N$5:$N$81,'New Hires Forecast'!$F$5:$F$81,"Software",'New Hires Forecast'!$H$5:$H$81,"&gt;="&amp;Software!BB$3,'New Hires Forecast'!$G$5:$G$81,"&lt;="&amp;Software!BB$3)/12)),IF(YEAR(BB$3)=YEAR('New Hires Forecast'!$O$3),((SUMIFS('New Hires Forecast'!$O$5:$O$81,'New Hires Forecast'!$F$5:$F$81,"Software",'New Hires Forecast'!$H$5:$H$81,"&gt;="&amp;Software!BB$3,'New Hires Forecast'!$G$5:$G$81,"&lt;="&amp;Software!BB$3)/12)),IF(YEAR(BB$3)=YEAR('New Hires Forecast'!$P$3),((SUMIFS('New Hires Forecast'!$P$5:$P$81,'New Hires Forecast'!$F$5:$F$81,"Software",'New Hires Forecast'!$H$5:$H$81,"&gt;="&amp;Software!BB$3,'New Hires Forecast'!$G$5:$G$81,"&lt;="&amp;Software!BB$3)/12)),IF(YEAR(BB$3)=YEAR('New Hires Forecast'!$Q$3),((SUMIFS('New Hires Forecast'!$Q$5:$Q$81,'New Hires Forecast'!$F$5:$F$81,"Software",'New Hires Forecast'!$H$5:$H$81,"&gt;="&amp;Software!BB$3,'New Hires Forecast'!$G$5:$G$81,"&lt;="&amp;Software!BB$3)/12)),IF(YEAR(BB$3)=YEAR('New Hires Forecast'!$R$3),((SUMIFS('New Hires Forecast'!$R$5:$R$81,'New Hires Forecast'!$F$5:$F$81,"Software",'New Hires Forecast'!$H$5:$H$81,"&gt;="&amp;Software!BB$3,'New Hires Forecast'!$G$5:$G$81,"&lt;="&amp;Software!BB$3)/12))))))),0)</f>
        <v>31827</v>
      </c>
      <c r="BC13" s="684">
        <f>IF(BC$4="forecast",IF(YEAR(BC$3)=YEAR('New Hires Forecast'!$N$3),((SUMIFS('New Hires Forecast'!$N$5:$N$81,'New Hires Forecast'!$F$5:$F$81,"Software",'New Hires Forecast'!$H$5:$H$81,"&gt;="&amp;Software!BC$3,'New Hires Forecast'!$G$5:$G$81,"&lt;="&amp;Software!BC$3)/12)),IF(YEAR(BC$3)=YEAR('New Hires Forecast'!$O$3),((SUMIFS('New Hires Forecast'!$O$5:$O$81,'New Hires Forecast'!$F$5:$F$81,"Software",'New Hires Forecast'!$H$5:$H$81,"&gt;="&amp;Software!BC$3,'New Hires Forecast'!$G$5:$G$81,"&lt;="&amp;Software!BC$3)/12)),IF(YEAR(BC$3)=YEAR('New Hires Forecast'!$P$3),((SUMIFS('New Hires Forecast'!$P$5:$P$81,'New Hires Forecast'!$F$5:$F$81,"Software",'New Hires Forecast'!$H$5:$H$81,"&gt;="&amp;Software!BC$3,'New Hires Forecast'!$G$5:$G$81,"&lt;="&amp;Software!BC$3)/12)),IF(YEAR(BC$3)=YEAR('New Hires Forecast'!$Q$3),((SUMIFS('New Hires Forecast'!$Q$5:$Q$81,'New Hires Forecast'!$F$5:$F$81,"Software",'New Hires Forecast'!$H$5:$H$81,"&gt;="&amp;Software!BC$3,'New Hires Forecast'!$G$5:$G$81,"&lt;="&amp;Software!BC$3)/12)),IF(YEAR(BC$3)=YEAR('New Hires Forecast'!$R$3),((SUMIFS('New Hires Forecast'!$R$5:$R$81,'New Hires Forecast'!$F$5:$F$81,"Software",'New Hires Forecast'!$H$5:$H$81,"&gt;="&amp;Software!BC$3,'New Hires Forecast'!$G$5:$G$81,"&lt;="&amp;Software!BC$3)/12))))))),0)</f>
        <v>31827</v>
      </c>
      <c r="BD13" s="684">
        <f>IF(BD$4="forecast",IF(YEAR(BD$3)=YEAR('New Hires Forecast'!$N$3),((SUMIFS('New Hires Forecast'!$N$5:$N$81,'New Hires Forecast'!$F$5:$F$81,"Software",'New Hires Forecast'!$H$5:$H$81,"&gt;="&amp;Software!BD$3,'New Hires Forecast'!$G$5:$G$81,"&lt;="&amp;Software!BD$3)/12)),IF(YEAR(BD$3)=YEAR('New Hires Forecast'!$O$3),((SUMIFS('New Hires Forecast'!$O$5:$O$81,'New Hires Forecast'!$F$5:$F$81,"Software",'New Hires Forecast'!$H$5:$H$81,"&gt;="&amp;Software!BD$3,'New Hires Forecast'!$G$5:$G$81,"&lt;="&amp;Software!BD$3)/12)),IF(YEAR(BD$3)=YEAR('New Hires Forecast'!$P$3),((SUMIFS('New Hires Forecast'!$P$5:$P$81,'New Hires Forecast'!$F$5:$F$81,"Software",'New Hires Forecast'!$H$5:$H$81,"&gt;="&amp;Software!BD$3,'New Hires Forecast'!$G$5:$G$81,"&lt;="&amp;Software!BD$3)/12)),IF(YEAR(BD$3)=YEAR('New Hires Forecast'!$Q$3),((SUMIFS('New Hires Forecast'!$Q$5:$Q$81,'New Hires Forecast'!$F$5:$F$81,"Software",'New Hires Forecast'!$H$5:$H$81,"&gt;="&amp;Software!BD$3,'New Hires Forecast'!$G$5:$G$81,"&lt;="&amp;Software!BD$3)/12)),IF(YEAR(BD$3)=YEAR('New Hires Forecast'!$R$3),((SUMIFS('New Hires Forecast'!$R$5:$R$81,'New Hires Forecast'!$F$5:$F$81,"Software",'New Hires Forecast'!$H$5:$H$81,"&gt;="&amp;Software!BD$3,'New Hires Forecast'!$G$5:$G$81,"&lt;="&amp;Software!BD$3)/12))))))),0)</f>
        <v>31827</v>
      </c>
      <c r="BE13" s="684">
        <f>IF(BE$4="forecast",IF(YEAR(BE$3)=YEAR('New Hires Forecast'!$N$3),((SUMIFS('New Hires Forecast'!$N$5:$N$81,'New Hires Forecast'!$F$5:$F$81,"Software",'New Hires Forecast'!$H$5:$H$81,"&gt;="&amp;Software!BE$3,'New Hires Forecast'!$G$5:$G$81,"&lt;="&amp;Software!BE$3)/12)),IF(YEAR(BE$3)=YEAR('New Hires Forecast'!$O$3),((SUMIFS('New Hires Forecast'!$O$5:$O$81,'New Hires Forecast'!$F$5:$F$81,"Software",'New Hires Forecast'!$H$5:$H$81,"&gt;="&amp;Software!BE$3,'New Hires Forecast'!$G$5:$G$81,"&lt;="&amp;Software!BE$3)/12)),IF(YEAR(BE$3)=YEAR('New Hires Forecast'!$P$3),((SUMIFS('New Hires Forecast'!$P$5:$P$81,'New Hires Forecast'!$F$5:$F$81,"Software",'New Hires Forecast'!$H$5:$H$81,"&gt;="&amp;Software!BE$3,'New Hires Forecast'!$G$5:$G$81,"&lt;="&amp;Software!BE$3)/12)),IF(YEAR(BE$3)=YEAR('New Hires Forecast'!$Q$3),((SUMIFS('New Hires Forecast'!$Q$5:$Q$81,'New Hires Forecast'!$F$5:$F$81,"Software",'New Hires Forecast'!$H$5:$H$81,"&gt;="&amp;Software!BE$3,'New Hires Forecast'!$G$5:$G$81,"&lt;="&amp;Software!BE$3)/12)),IF(YEAR(BE$3)=YEAR('New Hires Forecast'!$R$3),((SUMIFS('New Hires Forecast'!$R$5:$R$81,'New Hires Forecast'!$F$5:$F$81,"Software",'New Hires Forecast'!$H$5:$H$81,"&gt;="&amp;Software!BE$3,'New Hires Forecast'!$G$5:$G$81,"&lt;="&amp;Software!BE$3)/12))))))),0)</f>
        <v>31827</v>
      </c>
      <c r="BF13" s="684">
        <f>IF(BF$4="forecast",IF(YEAR(BF$3)=YEAR('New Hires Forecast'!$N$3),((SUMIFS('New Hires Forecast'!$N$5:$N$81,'New Hires Forecast'!$F$5:$F$81,"Software",'New Hires Forecast'!$H$5:$H$81,"&gt;="&amp;Software!BF$3,'New Hires Forecast'!$G$5:$G$81,"&lt;="&amp;Software!BF$3)/12)),IF(YEAR(BF$3)=YEAR('New Hires Forecast'!$O$3),((SUMIFS('New Hires Forecast'!$O$5:$O$81,'New Hires Forecast'!$F$5:$F$81,"Software",'New Hires Forecast'!$H$5:$H$81,"&gt;="&amp;Software!BF$3,'New Hires Forecast'!$G$5:$G$81,"&lt;="&amp;Software!BF$3)/12)),IF(YEAR(BF$3)=YEAR('New Hires Forecast'!$P$3),((SUMIFS('New Hires Forecast'!$P$5:$P$81,'New Hires Forecast'!$F$5:$F$81,"Software",'New Hires Forecast'!$H$5:$H$81,"&gt;="&amp;Software!BF$3,'New Hires Forecast'!$G$5:$G$81,"&lt;="&amp;Software!BF$3)/12)),IF(YEAR(BF$3)=YEAR('New Hires Forecast'!$Q$3),((SUMIFS('New Hires Forecast'!$Q$5:$Q$81,'New Hires Forecast'!$F$5:$F$81,"Software",'New Hires Forecast'!$H$5:$H$81,"&gt;="&amp;Software!BF$3,'New Hires Forecast'!$G$5:$G$81,"&lt;="&amp;Software!BF$3)/12)),IF(YEAR(BF$3)=YEAR('New Hires Forecast'!$R$3),((SUMIFS('New Hires Forecast'!$R$5:$R$81,'New Hires Forecast'!$F$5:$F$81,"Software",'New Hires Forecast'!$H$5:$H$81,"&gt;="&amp;Software!BF$3,'New Hires Forecast'!$G$5:$G$81,"&lt;="&amp;Software!BF$3)/12))))))),0)</f>
        <v>31827</v>
      </c>
      <c r="BG13" s="684">
        <f>IF(BG$4="forecast",IF(YEAR(BG$3)=YEAR('New Hires Forecast'!$N$3),((SUMIFS('New Hires Forecast'!$N$5:$N$81,'New Hires Forecast'!$F$5:$F$81,"Software",'New Hires Forecast'!$H$5:$H$81,"&gt;="&amp;Software!BG$3,'New Hires Forecast'!$G$5:$G$81,"&lt;="&amp;Software!BG$3)/12)),IF(YEAR(BG$3)=YEAR('New Hires Forecast'!$O$3),((SUMIFS('New Hires Forecast'!$O$5:$O$81,'New Hires Forecast'!$F$5:$F$81,"Software",'New Hires Forecast'!$H$5:$H$81,"&gt;="&amp;Software!BG$3,'New Hires Forecast'!$G$5:$G$81,"&lt;="&amp;Software!BG$3)/12)),IF(YEAR(BG$3)=YEAR('New Hires Forecast'!$P$3),((SUMIFS('New Hires Forecast'!$P$5:$P$81,'New Hires Forecast'!$F$5:$F$81,"Software",'New Hires Forecast'!$H$5:$H$81,"&gt;="&amp;Software!BG$3,'New Hires Forecast'!$G$5:$G$81,"&lt;="&amp;Software!BG$3)/12)),IF(YEAR(BG$3)=YEAR('New Hires Forecast'!$Q$3),((SUMIFS('New Hires Forecast'!$Q$5:$Q$81,'New Hires Forecast'!$F$5:$F$81,"Software",'New Hires Forecast'!$H$5:$H$81,"&gt;="&amp;Software!BG$3,'New Hires Forecast'!$G$5:$G$81,"&lt;="&amp;Software!BG$3)/12)),IF(YEAR(BG$3)=YEAR('New Hires Forecast'!$R$3),((SUMIFS('New Hires Forecast'!$R$5:$R$81,'New Hires Forecast'!$F$5:$F$81,"Software",'New Hires Forecast'!$H$5:$H$81,"&gt;="&amp;Software!BG$3,'New Hires Forecast'!$G$5:$G$81,"&lt;="&amp;Software!BG$3)/12))))))),0)</f>
        <v>31827</v>
      </c>
      <c r="BH13" s="684">
        <f>IF(BH$4="forecast",IF(YEAR(BH$3)=YEAR('New Hires Forecast'!$N$3),((SUMIFS('New Hires Forecast'!$N$5:$N$81,'New Hires Forecast'!$F$5:$F$81,"Software",'New Hires Forecast'!$H$5:$H$81,"&gt;="&amp;Software!BH$3,'New Hires Forecast'!$G$5:$G$81,"&lt;="&amp;Software!BH$3)/12)),IF(YEAR(BH$3)=YEAR('New Hires Forecast'!$O$3),((SUMIFS('New Hires Forecast'!$O$5:$O$81,'New Hires Forecast'!$F$5:$F$81,"Software",'New Hires Forecast'!$H$5:$H$81,"&gt;="&amp;Software!BH$3,'New Hires Forecast'!$G$5:$G$81,"&lt;="&amp;Software!BH$3)/12)),IF(YEAR(BH$3)=YEAR('New Hires Forecast'!$P$3),((SUMIFS('New Hires Forecast'!$P$5:$P$81,'New Hires Forecast'!$F$5:$F$81,"Software",'New Hires Forecast'!$H$5:$H$81,"&gt;="&amp;Software!BH$3,'New Hires Forecast'!$G$5:$G$81,"&lt;="&amp;Software!BH$3)/12)),IF(YEAR(BH$3)=YEAR('New Hires Forecast'!$Q$3),((SUMIFS('New Hires Forecast'!$Q$5:$Q$81,'New Hires Forecast'!$F$5:$F$81,"Software",'New Hires Forecast'!$H$5:$H$81,"&gt;="&amp;Software!BH$3,'New Hires Forecast'!$G$5:$G$81,"&lt;="&amp;Software!BH$3)/12)),IF(YEAR(BH$3)=YEAR('New Hires Forecast'!$R$3),((SUMIFS('New Hires Forecast'!$R$5:$R$81,'New Hires Forecast'!$F$5:$F$81,"Software",'New Hires Forecast'!$H$5:$H$81,"&gt;="&amp;Software!BH$3,'New Hires Forecast'!$G$5:$G$81,"&lt;="&amp;Software!BH$3)/12))))))),0)</f>
        <v>31827</v>
      </c>
      <c r="BI13" s="684">
        <f>IF(BI$4="forecast",IF(YEAR(BI$3)=YEAR('New Hires Forecast'!$N$3),((SUMIFS('New Hires Forecast'!$N$5:$N$81,'New Hires Forecast'!$F$5:$F$81,"Software",'New Hires Forecast'!$H$5:$H$81,"&gt;="&amp;Software!BI$3,'New Hires Forecast'!$G$5:$G$81,"&lt;="&amp;Software!BI$3)/12)),IF(YEAR(BI$3)=YEAR('New Hires Forecast'!$O$3),((SUMIFS('New Hires Forecast'!$O$5:$O$81,'New Hires Forecast'!$F$5:$F$81,"Software",'New Hires Forecast'!$H$5:$H$81,"&gt;="&amp;Software!BI$3,'New Hires Forecast'!$G$5:$G$81,"&lt;="&amp;Software!BI$3)/12)),IF(YEAR(BI$3)=YEAR('New Hires Forecast'!$P$3),((SUMIFS('New Hires Forecast'!$P$5:$P$81,'New Hires Forecast'!$F$5:$F$81,"Software",'New Hires Forecast'!$H$5:$H$81,"&gt;="&amp;Software!BI$3,'New Hires Forecast'!$G$5:$G$81,"&lt;="&amp;Software!BI$3)/12)),IF(YEAR(BI$3)=YEAR('New Hires Forecast'!$Q$3),((SUMIFS('New Hires Forecast'!$Q$5:$Q$81,'New Hires Forecast'!$F$5:$F$81,"Software",'New Hires Forecast'!$H$5:$H$81,"&gt;="&amp;Software!BI$3,'New Hires Forecast'!$G$5:$G$81,"&lt;="&amp;Software!BI$3)/12)),IF(YEAR(BI$3)=YEAR('New Hires Forecast'!$R$3),((SUMIFS('New Hires Forecast'!$R$5:$R$81,'New Hires Forecast'!$F$5:$F$81,"Software",'New Hires Forecast'!$H$5:$H$81,"&gt;="&amp;Software!BI$3,'New Hires Forecast'!$G$5:$G$81,"&lt;="&amp;Software!BI$3)/12))))))),0)</f>
        <v>31827</v>
      </c>
      <c r="BJ13" s="684">
        <f>IF(BJ$4="forecast",IF(YEAR(BJ$3)=YEAR('New Hires Forecast'!$N$3),((SUMIFS('New Hires Forecast'!$N$5:$N$81,'New Hires Forecast'!$F$5:$F$81,"Software",'New Hires Forecast'!$H$5:$H$81,"&gt;="&amp;Software!BJ$3,'New Hires Forecast'!$G$5:$G$81,"&lt;="&amp;Software!BJ$3)/12)),IF(YEAR(BJ$3)=YEAR('New Hires Forecast'!$O$3),((SUMIFS('New Hires Forecast'!$O$5:$O$81,'New Hires Forecast'!$F$5:$F$81,"Software",'New Hires Forecast'!$H$5:$H$81,"&gt;="&amp;Software!BJ$3,'New Hires Forecast'!$G$5:$G$81,"&lt;="&amp;Software!BJ$3)/12)),IF(YEAR(BJ$3)=YEAR('New Hires Forecast'!$P$3),((SUMIFS('New Hires Forecast'!$P$5:$P$81,'New Hires Forecast'!$F$5:$F$81,"Software",'New Hires Forecast'!$H$5:$H$81,"&gt;="&amp;Software!BJ$3,'New Hires Forecast'!$G$5:$G$81,"&lt;="&amp;Software!BJ$3)/12)),IF(YEAR(BJ$3)=YEAR('New Hires Forecast'!$Q$3),((SUMIFS('New Hires Forecast'!$Q$5:$Q$81,'New Hires Forecast'!$F$5:$F$81,"Software",'New Hires Forecast'!$H$5:$H$81,"&gt;="&amp;Software!BJ$3,'New Hires Forecast'!$G$5:$G$81,"&lt;="&amp;Software!BJ$3)/12)),IF(YEAR(BJ$3)=YEAR('New Hires Forecast'!$R$3),((SUMIFS('New Hires Forecast'!$R$5:$R$81,'New Hires Forecast'!$F$5:$F$81,"Software",'New Hires Forecast'!$H$5:$H$81,"&gt;="&amp;Software!BJ$3,'New Hires Forecast'!$G$5:$G$81,"&lt;="&amp;Software!BJ$3)/12))))))),0)</f>
        <v>31827</v>
      </c>
      <c r="BK13" s="684">
        <f>IF(BK$4="forecast",IF(YEAR(BK$3)=YEAR('New Hires Forecast'!$N$3),((SUMIFS('New Hires Forecast'!$N$5:$N$81,'New Hires Forecast'!$F$5:$F$81,"Software",'New Hires Forecast'!$H$5:$H$81,"&gt;="&amp;Software!BK$3,'New Hires Forecast'!$G$5:$G$81,"&lt;="&amp;Software!BK$3)/12)),IF(YEAR(BK$3)=YEAR('New Hires Forecast'!$O$3),((SUMIFS('New Hires Forecast'!$O$5:$O$81,'New Hires Forecast'!$F$5:$F$81,"Software",'New Hires Forecast'!$H$5:$H$81,"&gt;="&amp;Software!BK$3,'New Hires Forecast'!$G$5:$G$81,"&lt;="&amp;Software!BK$3)/12)),IF(YEAR(BK$3)=YEAR('New Hires Forecast'!$P$3),((SUMIFS('New Hires Forecast'!$P$5:$P$81,'New Hires Forecast'!$F$5:$F$81,"Software",'New Hires Forecast'!$H$5:$H$81,"&gt;="&amp;Software!BK$3,'New Hires Forecast'!$G$5:$G$81,"&lt;="&amp;Software!BK$3)/12)),IF(YEAR(BK$3)=YEAR('New Hires Forecast'!$Q$3),((SUMIFS('New Hires Forecast'!$Q$5:$Q$81,'New Hires Forecast'!$F$5:$F$81,"Software",'New Hires Forecast'!$H$5:$H$81,"&gt;="&amp;Software!BK$3,'New Hires Forecast'!$G$5:$G$81,"&lt;="&amp;Software!BK$3)/12)),IF(YEAR(BK$3)=YEAR('New Hires Forecast'!$R$3),((SUMIFS('New Hires Forecast'!$R$5:$R$81,'New Hires Forecast'!$F$5:$F$81,"Software",'New Hires Forecast'!$H$5:$H$81,"&gt;="&amp;Software!BK$3,'New Hires Forecast'!$G$5:$G$81,"&lt;="&amp;Software!BK$3)/12))))))),0)</f>
        <v>32781.81</v>
      </c>
      <c r="BL13" s="684">
        <f>IF(BL$4="forecast",IF(YEAR(BL$3)=YEAR('New Hires Forecast'!$N$3),((SUMIFS('New Hires Forecast'!$N$5:$N$81,'New Hires Forecast'!$F$5:$F$81,"Software",'New Hires Forecast'!$H$5:$H$81,"&gt;="&amp;Software!BL$3,'New Hires Forecast'!$G$5:$G$81,"&lt;="&amp;Software!BL$3)/12)),IF(YEAR(BL$3)=YEAR('New Hires Forecast'!$O$3),((SUMIFS('New Hires Forecast'!$O$5:$O$81,'New Hires Forecast'!$F$5:$F$81,"Software",'New Hires Forecast'!$H$5:$H$81,"&gt;="&amp;Software!BL$3,'New Hires Forecast'!$G$5:$G$81,"&lt;="&amp;Software!BL$3)/12)),IF(YEAR(BL$3)=YEAR('New Hires Forecast'!$P$3),((SUMIFS('New Hires Forecast'!$P$5:$P$81,'New Hires Forecast'!$F$5:$F$81,"Software",'New Hires Forecast'!$H$5:$H$81,"&gt;="&amp;Software!BL$3,'New Hires Forecast'!$G$5:$G$81,"&lt;="&amp;Software!BL$3)/12)),IF(YEAR(BL$3)=YEAR('New Hires Forecast'!$Q$3),((SUMIFS('New Hires Forecast'!$Q$5:$Q$81,'New Hires Forecast'!$F$5:$F$81,"Software",'New Hires Forecast'!$H$5:$H$81,"&gt;="&amp;Software!BL$3,'New Hires Forecast'!$G$5:$G$81,"&lt;="&amp;Software!BL$3)/12)),IF(YEAR(BL$3)=YEAR('New Hires Forecast'!$R$3),((SUMIFS('New Hires Forecast'!$R$5:$R$81,'New Hires Forecast'!$F$5:$F$81,"Software",'New Hires Forecast'!$H$5:$H$81,"&gt;="&amp;Software!BL$3,'New Hires Forecast'!$G$5:$G$81,"&lt;="&amp;Software!BL$3)/12))))))),0)</f>
        <v>32781.81</v>
      </c>
      <c r="BM13" s="684">
        <f>IF(BM$4="forecast",IF(YEAR(BM$3)=YEAR('New Hires Forecast'!$N$3),((SUMIFS('New Hires Forecast'!$N$5:$N$81,'New Hires Forecast'!$F$5:$F$81,"Software",'New Hires Forecast'!$H$5:$H$81,"&gt;="&amp;Software!BM$3,'New Hires Forecast'!$G$5:$G$81,"&lt;="&amp;Software!BM$3)/12)),IF(YEAR(BM$3)=YEAR('New Hires Forecast'!$O$3),((SUMIFS('New Hires Forecast'!$O$5:$O$81,'New Hires Forecast'!$F$5:$F$81,"Software",'New Hires Forecast'!$H$5:$H$81,"&gt;="&amp;Software!BM$3,'New Hires Forecast'!$G$5:$G$81,"&lt;="&amp;Software!BM$3)/12)),IF(YEAR(BM$3)=YEAR('New Hires Forecast'!$P$3),((SUMIFS('New Hires Forecast'!$P$5:$P$81,'New Hires Forecast'!$F$5:$F$81,"Software",'New Hires Forecast'!$H$5:$H$81,"&gt;="&amp;Software!BM$3,'New Hires Forecast'!$G$5:$G$81,"&lt;="&amp;Software!BM$3)/12)),IF(YEAR(BM$3)=YEAR('New Hires Forecast'!$Q$3),((SUMIFS('New Hires Forecast'!$Q$5:$Q$81,'New Hires Forecast'!$F$5:$F$81,"Software",'New Hires Forecast'!$H$5:$H$81,"&gt;="&amp;Software!BM$3,'New Hires Forecast'!$G$5:$G$81,"&lt;="&amp;Software!BM$3)/12)),IF(YEAR(BM$3)=YEAR('New Hires Forecast'!$R$3),((SUMIFS('New Hires Forecast'!$R$5:$R$81,'New Hires Forecast'!$F$5:$F$81,"Software",'New Hires Forecast'!$H$5:$H$81,"&gt;="&amp;Software!BM$3,'New Hires Forecast'!$G$5:$G$81,"&lt;="&amp;Software!BM$3)/12))))))),0)</f>
        <v>32781.81</v>
      </c>
      <c r="BN13" s="684">
        <f>IF(BN$4="forecast",IF(YEAR(BN$3)=YEAR('New Hires Forecast'!$N$3),((SUMIFS('New Hires Forecast'!$N$5:$N$81,'New Hires Forecast'!$F$5:$F$81,"Software",'New Hires Forecast'!$H$5:$H$81,"&gt;="&amp;Software!BN$3,'New Hires Forecast'!$G$5:$G$81,"&lt;="&amp;Software!BN$3)/12)),IF(YEAR(BN$3)=YEAR('New Hires Forecast'!$O$3),((SUMIFS('New Hires Forecast'!$O$5:$O$81,'New Hires Forecast'!$F$5:$F$81,"Software",'New Hires Forecast'!$H$5:$H$81,"&gt;="&amp;Software!BN$3,'New Hires Forecast'!$G$5:$G$81,"&lt;="&amp;Software!BN$3)/12)),IF(YEAR(BN$3)=YEAR('New Hires Forecast'!$P$3),((SUMIFS('New Hires Forecast'!$P$5:$P$81,'New Hires Forecast'!$F$5:$F$81,"Software",'New Hires Forecast'!$H$5:$H$81,"&gt;="&amp;Software!BN$3,'New Hires Forecast'!$G$5:$G$81,"&lt;="&amp;Software!BN$3)/12)),IF(YEAR(BN$3)=YEAR('New Hires Forecast'!$Q$3),((SUMIFS('New Hires Forecast'!$Q$5:$Q$81,'New Hires Forecast'!$F$5:$F$81,"Software",'New Hires Forecast'!$H$5:$H$81,"&gt;="&amp;Software!BN$3,'New Hires Forecast'!$G$5:$G$81,"&lt;="&amp;Software!BN$3)/12)),IF(YEAR(BN$3)=YEAR('New Hires Forecast'!$R$3),((SUMIFS('New Hires Forecast'!$R$5:$R$81,'New Hires Forecast'!$F$5:$F$81,"Software",'New Hires Forecast'!$H$5:$H$81,"&gt;="&amp;Software!BN$3,'New Hires Forecast'!$G$5:$G$81,"&lt;="&amp;Software!BN$3)/12))))))),0)</f>
        <v>32781.81</v>
      </c>
      <c r="BO13" s="684">
        <f>IF(BO$4="forecast",IF(YEAR(BO$3)=YEAR('New Hires Forecast'!$N$3),((SUMIFS('New Hires Forecast'!$N$5:$N$81,'New Hires Forecast'!$F$5:$F$81,"Software",'New Hires Forecast'!$H$5:$H$81,"&gt;="&amp;Software!BO$3,'New Hires Forecast'!$G$5:$G$81,"&lt;="&amp;Software!BO$3)/12)),IF(YEAR(BO$3)=YEAR('New Hires Forecast'!$O$3),((SUMIFS('New Hires Forecast'!$O$5:$O$81,'New Hires Forecast'!$F$5:$F$81,"Software",'New Hires Forecast'!$H$5:$H$81,"&gt;="&amp;Software!BO$3,'New Hires Forecast'!$G$5:$G$81,"&lt;="&amp;Software!BO$3)/12)),IF(YEAR(BO$3)=YEAR('New Hires Forecast'!$P$3),((SUMIFS('New Hires Forecast'!$P$5:$P$81,'New Hires Forecast'!$F$5:$F$81,"Software",'New Hires Forecast'!$H$5:$H$81,"&gt;="&amp;Software!BO$3,'New Hires Forecast'!$G$5:$G$81,"&lt;="&amp;Software!BO$3)/12)),IF(YEAR(BO$3)=YEAR('New Hires Forecast'!$Q$3),((SUMIFS('New Hires Forecast'!$Q$5:$Q$81,'New Hires Forecast'!$F$5:$F$81,"Software",'New Hires Forecast'!$H$5:$H$81,"&gt;="&amp;Software!BO$3,'New Hires Forecast'!$G$5:$G$81,"&lt;="&amp;Software!BO$3)/12)),IF(YEAR(BO$3)=YEAR('New Hires Forecast'!$R$3),((SUMIFS('New Hires Forecast'!$R$5:$R$81,'New Hires Forecast'!$F$5:$F$81,"Software",'New Hires Forecast'!$H$5:$H$81,"&gt;="&amp;Software!BO$3,'New Hires Forecast'!$G$5:$G$81,"&lt;="&amp;Software!BO$3)/12))))))),0)</f>
        <v>32781.81</v>
      </c>
      <c r="BP13" s="684">
        <f>IF(BP$4="forecast",IF(YEAR(BP$3)=YEAR('New Hires Forecast'!$N$3),((SUMIFS('New Hires Forecast'!$N$5:$N$81,'New Hires Forecast'!$F$5:$F$81,"Software",'New Hires Forecast'!$H$5:$H$81,"&gt;="&amp;Software!BP$3,'New Hires Forecast'!$G$5:$G$81,"&lt;="&amp;Software!BP$3)/12)),IF(YEAR(BP$3)=YEAR('New Hires Forecast'!$O$3),((SUMIFS('New Hires Forecast'!$O$5:$O$81,'New Hires Forecast'!$F$5:$F$81,"Software",'New Hires Forecast'!$H$5:$H$81,"&gt;="&amp;Software!BP$3,'New Hires Forecast'!$G$5:$G$81,"&lt;="&amp;Software!BP$3)/12)),IF(YEAR(BP$3)=YEAR('New Hires Forecast'!$P$3),((SUMIFS('New Hires Forecast'!$P$5:$P$81,'New Hires Forecast'!$F$5:$F$81,"Software",'New Hires Forecast'!$H$5:$H$81,"&gt;="&amp;Software!BP$3,'New Hires Forecast'!$G$5:$G$81,"&lt;="&amp;Software!BP$3)/12)),IF(YEAR(BP$3)=YEAR('New Hires Forecast'!$Q$3),((SUMIFS('New Hires Forecast'!$Q$5:$Q$81,'New Hires Forecast'!$F$5:$F$81,"Software",'New Hires Forecast'!$H$5:$H$81,"&gt;="&amp;Software!BP$3,'New Hires Forecast'!$G$5:$G$81,"&lt;="&amp;Software!BP$3)/12)),IF(YEAR(BP$3)=YEAR('New Hires Forecast'!$R$3),((SUMIFS('New Hires Forecast'!$R$5:$R$81,'New Hires Forecast'!$F$5:$F$81,"Software",'New Hires Forecast'!$H$5:$H$81,"&gt;="&amp;Software!BP$3,'New Hires Forecast'!$G$5:$G$81,"&lt;="&amp;Software!BP$3)/12))))))),0)</f>
        <v>32781.81</v>
      </c>
      <c r="BQ13" s="684">
        <f>IF(BQ$4="forecast",IF(YEAR(BQ$3)=YEAR('New Hires Forecast'!$N$3),((SUMIFS('New Hires Forecast'!$N$5:$N$81,'New Hires Forecast'!$F$5:$F$81,"Software",'New Hires Forecast'!$H$5:$H$81,"&gt;="&amp;Software!BQ$3,'New Hires Forecast'!$G$5:$G$81,"&lt;="&amp;Software!BQ$3)/12)),IF(YEAR(BQ$3)=YEAR('New Hires Forecast'!$O$3),((SUMIFS('New Hires Forecast'!$O$5:$O$81,'New Hires Forecast'!$F$5:$F$81,"Software",'New Hires Forecast'!$H$5:$H$81,"&gt;="&amp;Software!BQ$3,'New Hires Forecast'!$G$5:$G$81,"&lt;="&amp;Software!BQ$3)/12)),IF(YEAR(BQ$3)=YEAR('New Hires Forecast'!$P$3),((SUMIFS('New Hires Forecast'!$P$5:$P$81,'New Hires Forecast'!$F$5:$F$81,"Software",'New Hires Forecast'!$H$5:$H$81,"&gt;="&amp;Software!BQ$3,'New Hires Forecast'!$G$5:$G$81,"&lt;="&amp;Software!BQ$3)/12)),IF(YEAR(BQ$3)=YEAR('New Hires Forecast'!$Q$3),((SUMIFS('New Hires Forecast'!$Q$5:$Q$81,'New Hires Forecast'!$F$5:$F$81,"Software",'New Hires Forecast'!$H$5:$H$81,"&gt;="&amp;Software!BQ$3,'New Hires Forecast'!$G$5:$G$81,"&lt;="&amp;Software!BQ$3)/12)),IF(YEAR(BQ$3)=YEAR('New Hires Forecast'!$R$3),((SUMIFS('New Hires Forecast'!$R$5:$R$81,'New Hires Forecast'!$F$5:$F$81,"Software",'New Hires Forecast'!$H$5:$H$81,"&gt;="&amp;Software!BQ$3,'New Hires Forecast'!$G$5:$G$81,"&lt;="&amp;Software!BQ$3)/12))))))),0)</f>
        <v>32781.81</v>
      </c>
      <c r="BR13" s="684">
        <f>IF(BR$4="forecast",IF(YEAR(BR$3)=YEAR('New Hires Forecast'!$N$3),((SUMIFS('New Hires Forecast'!$N$5:$N$81,'New Hires Forecast'!$F$5:$F$81,"Software",'New Hires Forecast'!$H$5:$H$81,"&gt;="&amp;Software!BR$3,'New Hires Forecast'!$G$5:$G$81,"&lt;="&amp;Software!BR$3)/12)),IF(YEAR(BR$3)=YEAR('New Hires Forecast'!$O$3),((SUMIFS('New Hires Forecast'!$O$5:$O$81,'New Hires Forecast'!$F$5:$F$81,"Software",'New Hires Forecast'!$H$5:$H$81,"&gt;="&amp;Software!BR$3,'New Hires Forecast'!$G$5:$G$81,"&lt;="&amp;Software!BR$3)/12)),IF(YEAR(BR$3)=YEAR('New Hires Forecast'!$P$3),((SUMIFS('New Hires Forecast'!$P$5:$P$81,'New Hires Forecast'!$F$5:$F$81,"Software",'New Hires Forecast'!$H$5:$H$81,"&gt;="&amp;Software!BR$3,'New Hires Forecast'!$G$5:$G$81,"&lt;="&amp;Software!BR$3)/12)),IF(YEAR(BR$3)=YEAR('New Hires Forecast'!$Q$3),((SUMIFS('New Hires Forecast'!$Q$5:$Q$81,'New Hires Forecast'!$F$5:$F$81,"Software",'New Hires Forecast'!$H$5:$H$81,"&gt;="&amp;Software!BR$3,'New Hires Forecast'!$G$5:$G$81,"&lt;="&amp;Software!BR$3)/12)),IF(YEAR(BR$3)=YEAR('New Hires Forecast'!$R$3),((SUMIFS('New Hires Forecast'!$R$5:$R$81,'New Hires Forecast'!$F$5:$F$81,"Software",'New Hires Forecast'!$H$5:$H$81,"&gt;="&amp;Software!BR$3,'New Hires Forecast'!$G$5:$G$81,"&lt;="&amp;Software!BR$3)/12))))))),0)</f>
        <v>32781.81</v>
      </c>
      <c r="BS13" s="684">
        <f>IF(BS$4="forecast",IF(YEAR(BS$3)=YEAR('New Hires Forecast'!$N$3),((SUMIFS('New Hires Forecast'!$N$5:$N$81,'New Hires Forecast'!$F$5:$F$81,"Software",'New Hires Forecast'!$H$5:$H$81,"&gt;="&amp;Software!BS$3,'New Hires Forecast'!$G$5:$G$81,"&lt;="&amp;Software!BS$3)/12)),IF(YEAR(BS$3)=YEAR('New Hires Forecast'!$O$3),((SUMIFS('New Hires Forecast'!$O$5:$O$81,'New Hires Forecast'!$F$5:$F$81,"Software",'New Hires Forecast'!$H$5:$H$81,"&gt;="&amp;Software!BS$3,'New Hires Forecast'!$G$5:$G$81,"&lt;="&amp;Software!BS$3)/12)),IF(YEAR(BS$3)=YEAR('New Hires Forecast'!$P$3),((SUMIFS('New Hires Forecast'!$P$5:$P$81,'New Hires Forecast'!$F$5:$F$81,"Software",'New Hires Forecast'!$H$5:$H$81,"&gt;="&amp;Software!BS$3,'New Hires Forecast'!$G$5:$G$81,"&lt;="&amp;Software!BS$3)/12)),IF(YEAR(BS$3)=YEAR('New Hires Forecast'!$Q$3),((SUMIFS('New Hires Forecast'!$Q$5:$Q$81,'New Hires Forecast'!$F$5:$F$81,"Software",'New Hires Forecast'!$H$5:$H$81,"&gt;="&amp;Software!BS$3,'New Hires Forecast'!$G$5:$G$81,"&lt;="&amp;Software!BS$3)/12)),IF(YEAR(BS$3)=YEAR('New Hires Forecast'!$R$3),((SUMIFS('New Hires Forecast'!$R$5:$R$81,'New Hires Forecast'!$F$5:$F$81,"Software",'New Hires Forecast'!$H$5:$H$81,"&gt;="&amp;Software!BS$3,'New Hires Forecast'!$G$5:$G$81,"&lt;="&amp;Software!BS$3)/12))))))),0)</f>
        <v>32781.81</v>
      </c>
      <c r="BT13" s="684">
        <f>IF(BT$4="forecast",IF(YEAR(BT$3)=YEAR('New Hires Forecast'!$N$3),((SUMIFS('New Hires Forecast'!$N$5:$N$81,'New Hires Forecast'!$F$5:$F$81,"Software",'New Hires Forecast'!$H$5:$H$81,"&gt;="&amp;Software!BT$3,'New Hires Forecast'!$G$5:$G$81,"&lt;="&amp;Software!BT$3)/12)),IF(YEAR(BT$3)=YEAR('New Hires Forecast'!$O$3),((SUMIFS('New Hires Forecast'!$O$5:$O$81,'New Hires Forecast'!$F$5:$F$81,"Software",'New Hires Forecast'!$H$5:$H$81,"&gt;="&amp;Software!BT$3,'New Hires Forecast'!$G$5:$G$81,"&lt;="&amp;Software!BT$3)/12)),IF(YEAR(BT$3)=YEAR('New Hires Forecast'!$P$3),((SUMIFS('New Hires Forecast'!$P$5:$P$81,'New Hires Forecast'!$F$5:$F$81,"Software",'New Hires Forecast'!$H$5:$H$81,"&gt;="&amp;Software!BT$3,'New Hires Forecast'!$G$5:$G$81,"&lt;="&amp;Software!BT$3)/12)),IF(YEAR(BT$3)=YEAR('New Hires Forecast'!$Q$3),((SUMIFS('New Hires Forecast'!$Q$5:$Q$81,'New Hires Forecast'!$F$5:$F$81,"Software",'New Hires Forecast'!$H$5:$H$81,"&gt;="&amp;Software!BT$3,'New Hires Forecast'!$G$5:$G$81,"&lt;="&amp;Software!BT$3)/12)),IF(YEAR(BT$3)=YEAR('New Hires Forecast'!$R$3),((SUMIFS('New Hires Forecast'!$R$5:$R$81,'New Hires Forecast'!$F$5:$F$81,"Software",'New Hires Forecast'!$H$5:$H$81,"&gt;="&amp;Software!BT$3,'New Hires Forecast'!$G$5:$G$81,"&lt;="&amp;Software!BT$3)/12))))))),0)</f>
        <v>32781.81</v>
      </c>
      <c r="BU13" s="684">
        <f>IF(BU$4="forecast",IF(YEAR(BU$3)=YEAR('New Hires Forecast'!$N$3),((SUMIFS('New Hires Forecast'!$N$5:$N$81,'New Hires Forecast'!$F$5:$F$81,"Software",'New Hires Forecast'!$H$5:$H$81,"&gt;="&amp;Software!BU$3,'New Hires Forecast'!$G$5:$G$81,"&lt;="&amp;Software!BU$3)/12)),IF(YEAR(BU$3)=YEAR('New Hires Forecast'!$O$3),((SUMIFS('New Hires Forecast'!$O$5:$O$81,'New Hires Forecast'!$F$5:$F$81,"Software",'New Hires Forecast'!$H$5:$H$81,"&gt;="&amp;Software!BU$3,'New Hires Forecast'!$G$5:$G$81,"&lt;="&amp;Software!BU$3)/12)),IF(YEAR(BU$3)=YEAR('New Hires Forecast'!$P$3),((SUMIFS('New Hires Forecast'!$P$5:$P$81,'New Hires Forecast'!$F$5:$F$81,"Software",'New Hires Forecast'!$H$5:$H$81,"&gt;="&amp;Software!BU$3,'New Hires Forecast'!$G$5:$G$81,"&lt;="&amp;Software!BU$3)/12)),IF(YEAR(BU$3)=YEAR('New Hires Forecast'!$Q$3),((SUMIFS('New Hires Forecast'!$Q$5:$Q$81,'New Hires Forecast'!$F$5:$F$81,"Software",'New Hires Forecast'!$H$5:$H$81,"&gt;="&amp;Software!BU$3,'New Hires Forecast'!$G$5:$G$81,"&lt;="&amp;Software!BU$3)/12)),IF(YEAR(BU$3)=YEAR('New Hires Forecast'!$R$3),((SUMIFS('New Hires Forecast'!$R$5:$R$81,'New Hires Forecast'!$F$5:$F$81,"Software",'New Hires Forecast'!$H$5:$H$81,"&gt;="&amp;Software!BU$3,'New Hires Forecast'!$G$5:$G$81,"&lt;="&amp;Software!BU$3)/12))))))),0)</f>
        <v>32781.81</v>
      </c>
      <c r="BV13" s="808">
        <f>IF(BV$4="forecast",IF(YEAR(BV$3)=YEAR('New Hires Forecast'!$N$3),((SUMIFS('New Hires Forecast'!$N$5:$N$81,'New Hires Forecast'!$F$5:$F$81,"Software",'New Hires Forecast'!$H$5:$H$81,"&gt;="&amp;Software!BV$3,'New Hires Forecast'!$G$5:$G$81,"&lt;="&amp;Software!BV$3)/12)),IF(YEAR(BV$3)=YEAR('New Hires Forecast'!$O$3),((SUMIFS('New Hires Forecast'!$O$5:$O$81,'New Hires Forecast'!$F$5:$F$81,"Software",'New Hires Forecast'!$H$5:$H$81,"&gt;="&amp;Software!BV$3,'New Hires Forecast'!$G$5:$G$81,"&lt;="&amp;Software!BV$3)/12)),IF(YEAR(BV$3)=YEAR('New Hires Forecast'!$P$3),((SUMIFS('New Hires Forecast'!$P$5:$P$81,'New Hires Forecast'!$F$5:$F$81,"Software",'New Hires Forecast'!$H$5:$H$81,"&gt;="&amp;Software!BV$3,'New Hires Forecast'!$G$5:$G$81,"&lt;="&amp;Software!BV$3)/12)),IF(YEAR(BV$3)=YEAR('New Hires Forecast'!$Q$3),((SUMIFS('New Hires Forecast'!$Q$5:$Q$81,'New Hires Forecast'!$F$5:$F$81,"Software",'New Hires Forecast'!$H$5:$H$81,"&gt;="&amp;Software!BV$3,'New Hires Forecast'!$G$5:$G$81,"&lt;="&amp;Software!BV$3)/12)),IF(YEAR(BV$3)=YEAR('New Hires Forecast'!$R$3),((SUMIFS('New Hires Forecast'!$R$5:$R$81,'New Hires Forecast'!$F$5:$F$81,"Software",'New Hires Forecast'!$H$5:$H$81,"&gt;="&amp;Software!BV$3,'New Hires Forecast'!$G$5:$G$81,"&lt;="&amp;Software!BV$3)/12))))))),0)</f>
        <v>32781.81</v>
      </c>
      <c r="BW13" s="684"/>
    </row>
    <row r="14" spans="2:75" x14ac:dyDescent="0.35">
      <c r="B14" s="809" t="s">
        <v>936</v>
      </c>
      <c r="C14" s="806">
        <f t="shared" ref="C14" si="2">SUM(C12:C13)</f>
        <v>48523.123631166149</v>
      </c>
      <c r="D14" s="806">
        <f t="shared" ref="D14:BO14" si="3">SUM(D12:D13)</f>
        <v>40688.471832429699</v>
      </c>
      <c r="E14" s="806">
        <f t="shared" si="3"/>
        <v>48662.909652747447</v>
      </c>
      <c r="F14" s="806">
        <f t="shared" si="3"/>
        <v>51837.308427549164</v>
      </c>
      <c r="G14" s="806">
        <f t="shared" si="3"/>
        <v>48656.654085733921</v>
      </c>
      <c r="H14" s="806">
        <f t="shared" si="3"/>
        <v>70880.42231328247</v>
      </c>
      <c r="I14" s="806">
        <f t="shared" si="3"/>
        <v>76538.039119631751</v>
      </c>
      <c r="J14" s="806">
        <f t="shared" si="3"/>
        <v>90552.434318458807</v>
      </c>
      <c r="K14" s="806">
        <f t="shared" si="3"/>
        <v>91730.409777639376</v>
      </c>
      <c r="L14" s="806">
        <f t="shared" si="3"/>
        <v>91230.853562927601</v>
      </c>
      <c r="M14" s="806">
        <f t="shared" si="3"/>
        <v>134161.7148773334</v>
      </c>
      <c r="N14" s="806">
        <f t="shared" si="3"/>
        <v>128576.61631589517</v>
      </c>
      <c r="O14" s="806">
        <f t="shared" si="3"/>
        <v>107891.83</v>
      </c>
      <c r="P14" s="806">
        <f t="shared" si="3"/>
        <v>112688.90000000001</v>
      </c>
      <c r="Q14" s="806">
        <f t="shared" si="3"/>
        <v>179464</v>
      </c>
      <c r="R14" s="806">
        <f t="shared" si="3"/>
        <v>169347.40000000002</v>
      </c>
      <c r="S14" s="806">
        <f t="shared" si="3"/>
        <v>155439.22999999998</v>
      </c>
      <c r="T14" s="806">
        <f t="shared" si="3"/>
        <v>142482.90999999997</v>
      </c>
      <c r="U14" s="806">
        <f t="shared" si="3"/>
        <v>148817.37</v>
      </c>
      <c r="V14" s="806">
        <f t="shared" si="3"/>
        <v>151851.07</v>
      </c>
      <c r="W14" s="806">
        <f t="shared" si="3"/>
        <v>148985.5</v>
      </c>
      <c r="X14" s="806">
        <f t="shared" si="3"/>
        <v>153078.63</v>
      </c>
      <c r="Y14" s="806">
        <f t="shared" si="3"/>
        <v>154160.11000000002</v>
      </c>
      <c r="Z14" s="806">
        <f t="shared" si="3"/>
        <v>148003.19</v>
      </c>
      <c r="AA14" s="806">
        <f t="shared" si="3"/>
        <v>148003.19</v>
      </c>
      <c r="AB14" s="806">
        <f t="shared" si="3"/>
        <v>182170.83333333334</v>
      </c>
      <c r="AC14" s="806">
        <f t="shared" si="3"/>
        <v>182170.83333333334</v>
      </c>
      <c r="AD14" s="806">
        <f t="shared" si="3"/>
        <v>182170.83333333334</v>
      </c>
      <c r="AE14" s="806">
        <f t="shared" si="3"/>
        <v>182170.83333333334</v>
      </c>
      <c r="AF14" s="806">
        <f t="shared" si="3"/>
        <v>182170.83333333334</v>
      </c>
      <c r="AG14" s="806">
        <f t="shared" si="3"/>
        <v>202170.83333333334</v>
      </c>
      <c r="AH14" s="806">
        <f t="shared" si="3"/>
        <v>202170.83333333334</v>
      </c>
      <c r="AI14" s="806">
        <f t="shared" si="3"/>
        <v>202170.83333333334</v>
      </c>
      <c r="AJ14" s="806">
        <f t="shared" si="3"/>
        <v>212170.83333333334</v>
      </c>
      <c r="AK14" s="806">
        <f t="shared" si="3"/>
        <v>212170.83333333334</v>
      </c>
      <c r="AL14" s="806">
        <f t="shared" si="3"/>
        <v>212170.83333333334</v>
      </c>
      <c r="AM14" s="806">
        <f t="shared" si="3"/>
        <v>213070.83333333334</v>
      </c>
      <c r="AN14" s="806">
        <f t="shared" si="3"/>
        <v>258164.44833333333</v>
      </c>
      <c r="AO14" s="806">
        <f t="shared" si="3"/>
        <v>258164.44833333333</v>
      </c>
      <c r="AP14" s="806">
        <f t="shared" si="3"/>
        <v>258164.44833333333</v>
      </c>
      <c r="AQ14" s="806">
        <f t="shared" si="3"/>
        <v>258164.44833333333</v>
      </c>
      <c r="AR14" s="806">
        <f t="shared" si="3"/>
        <v>258164.44833333333</v>
      </c>
      <c r="AS14" s="806">
        <f t="shared" si="3"/>
        <v>258164.44833333333</v>
      </c>
      <c r="AT14" s="806">
        <f t="shared" si="3"/>
        <v>258164.44833333333</v>
      </c>
      <c r="AU14" s="806">
        <f t="shared" si="3"/>
        <v>258164.44833333333</v>
      </c>
      <c r="AV14" s="806">
        <f t="shared" si="3"/>
        <v>258164.44833333333</v>
      </c>
      <c r="AW14" s="806">
        <f t="shared" si="3"/>
        <v>258164.44833333333</v>
      </c>
      <c r="AX14" s="806">
        <f t="shared" si="3"/>
        <v>258164.44833333333</v>
      </c>
      <c r="AY14" s="806">
        <f t="shared" si="3"/>
        <v>259091.44833333333</v>
      </c>
      <c r="AZ14" s="806">
        <f t="shared" si="3"/>
        <v>265909.38178333337</v>
      </c>
      <c r="BA14" s="806">
        <f t="shared" si="3"/>
        <v>265909.38178333337</v>
      </c>
      <c r="BB14" s="806">
        <f t="shared" si="3"/>
        <v>265909.38178333337</v>
      </c>
      <c r="BC14" s="806">
        <f t="shared" si="3"/>
        <v>265909.38178333337</v>
      </c>
      <c r="BD14" s="806">
        <f t="shared" si="3"/>
        <v>265909.38178333337</v>
      </c>
      <c r="BE14" s="806">
        <f t="shared" si="3"/>
        <v>265909.38178333337</v>
      </c>
      <c r="BF14" s="806">
        <f t="shared" si="3"/>
        <v>265909.38178333337</v>
      </c>
      <c r="BG14" s="806">
        <f t="shared" si="3"/>
        <v>265909.38178333337</v>
      </c>
      <c r="BH14" s="806">
        <f t="shared" si="3"/>
        <v>265909.38178333337</v>
      </c>
      <c r="BI14" s="806">
        <f t="shared" si="3"/>
        <v>265909.38178333337</v>
      </c>
      <c r="BJ14" s="806">
        <f t="shared" si="3"/>
        <v>265909.38178333337</v>
      </c>
      <c r="BK14" s="806">
        <f t="shared" si="3"/>
        <v>266864.19178333331</v>
      </c>
      <c r="BL14" s="806">
        <f t="shared" si="3"/>
        <v>273886.66323683329</v>
      </c>
      <c r="BM14" s="806">
        <f t="shared" si="3"/>
        <v>273886.66323683329</v>
      </c>
      <c r="BN14" s="806">
        <f t="shared" si="3"/>
        <v>273886.66323683329</v>
      </c>
      <c r="BO14" s="806">
        <f t="shared" si="3"/>
        <v>273886.66323683329</v>
      </c>
      <c r="BP14" s="806">
        <f t="shared" ref="BP14:BV14" si="4">SUM(BP12:BP13)</f>
        <v>273886.66323683329</v>
      </c>
      <c r="BQ14" s="806">
        <f t="shared" si="4"/>
        <v>273886.66323683329</v>
      </c>
      <c r="BR14" s="806">
        <f t="shared" si="4"/>
        <v>273886.66323683329</v>
      </c>
      <c r="BS14" s="806">
        <f t="shared" si="4"/>
        <v>273886.66323683329</v>
      </c>
      <c r="BT14" s="806">
        <f t="shared" si="4"/>
        <v>273886.66323683329</v>
      </c>
      <c r="BU14" s="806">
        <f t="shared" si="4"/>
        <v>273886.66323683329</v>
      </c>
      <c r="BV14" s="807">
        <f t="shared" si="4"/>
        <v>273886.66323683329</v>
      </c>
    </row>
    <row r="15" spans="2:75" x14ac:dyDescent="0.35">
      <c r="B15" s="797" t="s">
        <v>938</v>
      </c>
      <c r="C15" s="684">
        <f>IF(C$4="forecast",IF(YEAR(C$3)=YEAR('New Hires Forecast'!$N$3),IF((C$5=12),(SUMPRODUCT(--('New Hires Forecast'!$F$5:$F$84="Software"),--('New Hires Forecast'!$H$5:$H$84&gt;=Software!C$3),'New Hires Forecast'!$N$5:$N$84,'New Hires Forecast'!$L$5:$L$84)),0),IF(YEAR(C$3)=YEAR('New Hires Forecast'!$O$3),IF((C$5=12),(SUMPRODUCT(--('New Hires Forecast'!$F$5:$F$84="Software"),--('New Hires Forecast'!$H$5:$H$84&gt;=Software!C$3),'New Hires Forecast'!$O$5:$O$84,'New Hires Forecast'!$L$5:$L$84)),0),IF(YEAR(C$3)=YEAR('New Hires Forecast'!$P$3),IF((C$5=12),(SUMPRODUCT(--('New Hires Forecast'!$F$5:$F$84="Software"),--('New Hires Forecast'!$H$5:$H$84&gt;=Software!C$3),'New Hires Forecast'!$P$5:$P$84,'New Hires Forecast'!$L$5:$L$84)),0),IF(YEAR(C$3)=YEAR('New Hires Forecast'!$Q$3),IF((C$5=12),(SUMPRODUCT(--('New Hires Forecast'!$F$5:$F$84="Software"),--('New Hires Forecast'!$H$5:$H$84&gt;=Software!C$3),'New Hires Forecast'!$Q$5:$Q$84,'New Hires Forecast'!$L$5:$L$84)),0),IF(YEAR(C$3)=YEAR('New Hires Forecast'!$R$3),IF((C$5=12),(SUMPRODUCT(--('New Hires Forecast'!$F$5:$F$84="Software"),--('New Hires Forecast'!$H$5:$H$84&gt;=Software!C$3),'New Hires Forecast'!$R$5:$R$84,'New Hires Forecast'!$L$5:$L$84)),0),"New Year"))))),0)</f>
        <v>0</v>
      </c>
      <c r="D15" s="684">
        <f>IF(D$4="forecast",IF(YEAR(D$3)=YEAR('New Hires Forecast'!$N$3),IF((D$5=12),(SUMPRODUCT(--('New Hires Forecast'!$F$5:$F$84="Software"),--('New Hires Forecast'!$H$5:$H$84&gt;=Software!D$3),'New Hires Forecast'!$N$5:$N$84,'New Hires Forecast'!$L$5:$L$84)),0),IF(YEAR(D$3)=YEAR('New Hires Forecast'!$O$3),IF((D$5=12),(SUMPRODUCT(--('New Hires Forecast'!$F$5:$F$84="Software"),--('New Hires Forecast'!$H$5:$H$84&gt;=Software!D$3),'New Hires Forecast'!$O$5:$O$84,'New Hires Forecast'!$L$5:$L$84)),0),IF(YEAR(D$3)=YEAR('New Hires Forecast'!$P$3),IF((D$5=12),(SUMPRODUCT(--('New Hires Forecast'!$F$5:$F$84="Software"),--('New Hires Forecast'!$H$5:$H$84&gt;=Software!D$3),'New Hires Forecast'!$P$5:$P$84,'New Hires Forecast'!$L$5:$L$84)),0),IF(YEAR(D$3)=YEAR('New Hires Forecast'!$Q$3),IF((D$5=12),(SUMPRODUCT(--('New Hires Forecast'!$F$5:$F$84="Software"),--('New Hires Forecast'!$H$5:$H$84&gt;=Software!D$3),'New Hires Forecast'!$Q$5:$Q$84,'New Hires Forecast'!$L$5:$L$84)),0),IF(YEAR(D$3)=YEAR('New Hires Forecast'!$R$3),IF((D$5=12),(SUMPRODUCT(--('New Hires Forecast'!$F$5:$F$84="Software"),--('New Hires Forecast'!$H$5:$H$84&gt;=Software!D$3),'New Hires Forecast'!$R$5:$R$84,'New Hires Forecast'!$L$5:$L$84)),0),"New Year"))))),0)</f>
        <v>0</v>
      </c>
      <c r="E15" s="684">
        <f>IF(E$4="forecast",IF(YEAR(E$3)=YEAR('New Hires Forecast'!$N$3),IF((E$5=12),(SUMPRODUCT(--('New Hires Forecast'!$F$5:$F$84="Software"),--('New Hires Forecast'!$H$5:$H$84&gt;=Software!E$3),'New Hires Forecast'!$N$5:$N$84,'New Hires Forecast'!$L$5:$L$84)),0),IF(YEAR(E$3)=YEAR('New Hires Forecast'!$O$3),IF((E$5=12),(SUMPRODUCT(--('New Hires Forecast'!$F$5:$F$84="Software"),--('New Hires Forecast'!$H$5:$H$84&gt;=Software!E$3),'New Hires Forecast'!$O$5:$O$84,'New Hires Forecast'!$L$5:$L$84)),0),IF(YEAR(E$3)=YEAR('New Hires Forecast'!$P$3),IF((E$5=12),(SUMPRODUCT(--('New Hires Forecast'!$F$5:$F$84="Software"),--('New Hires Forecast'!$H$5:$H$84&gt;=Software!E$3),'New Hires Forecast'!$P$5:$P$84,'New Hires Forecast'!$L$5:$L$84)),0),IF(YEAR(E$3)=YEAR('New Hires Forecast'!$Q$3),IF((E$5=12),(SUMPRODUCT(--('New Hires Forecast'!$F$5:$F$84="Software"),--('New Hires Forecast'!$H$5:$H$84&gt;=Software!E$3),'New Hires Forecast'!$Q$5:$Q$84,'New Hires Forecast'!$L$5:$L$84)),0),IF(YEAR(E$3)=YEAR('New Hires Forecast'!$R$3),IF((E$5=12),(SUMPRODUCT(--('New Hires Forecast'!$F$5:$F$84="Software"),--('New Hires Forecast'!$H$5:$H$84&gt;=Software!E$3),'New Hires Forecast'!$R$5:$R$84,'New Hires Forecast'!$L$5:$L$84)),0),"New Year"))))),0)</f>
        <v>0</v>
      </c>
      <c r="F15" s="684">
        <f>IF(F$4="forecast",IF(YEAR(F$3)=YEAR('New Hires Forecast'!$N$3),IF((F$5=12),(SUMPRODUCT(--('New Hires Forecast'!$F$5:$F$84="Software"),--('New Hires Forecast'!$H$5:$H$84&gt;=Software!F$3),'New Hires Forecast'!$N$5:$N$84,'New Hires Forecast'!$L$5:$L$84)),0),IF(YEAR(F$3)=YEAR('New Hires Forecast'!$O$3),IF((F$5=12),(SUMPRODUCT(--('New Hires Forecast'!$F$5:$F$84="Software"),--('New Hires Forecast'!$H$5:$H$84&gt;=Software!F$3),'New Hires Forecast'!$O$5:$O$84,'New Hires Forecast'!$L$5:$L$84)),0),IF(YEAR(F$3)=YEAR('New Hires Forecast'!$P$3),IF((F$5=12),(SUMPRODUCT(--('New Hires Forecast'!$F$5:$F$84="Software"),--('New Hires Forecast'!$H$5:$H$84&gt;=Software!F$3),'New Hires Forecast'!$P$5:$P$84,'New Hires Forecast'!$L$5:$L$84)),0),IF(YEAR(F$3)=YEAR('New Hires Forecast'!$Q$3),IF((F$5=12),(SUMPRODUCT(--('New Hires Forecast'!$F$5:$F$84="Software"),--('New Hires Forecast'!$H$5:$H$84&gt;=Software!F$3),'New Hires Forecast'!$Q$5:$Q$84,'New Hires Forecast'!$L$5:$L$84)),0),IF(YEAR(F$3)=YEAR('New Hires Forecast'!$R$3),IF((F$5=12),(SUMPRODUCT(--('New Hires Forecast'!$F$5:$F$84="Software"),--('New Hires Forecast'!$H$5:$H$84&gt;=Software!F$3),'New Hires Forecast'!$R$5:$R$84,'New Hires Forecast'!$L$5:$L$84)),0),"New Year"))))),0)</f>
        <v>0</v>
      </c>
      <c r="G15" s="684">
        <f>IF(G$4="forecast",IF(YEAR(G$3)=YEAR('New Hires Forecast'!$N$3),IF((G$5=12),(SUMPRODUCT(--('New Hires Forecast'!$F$5:$F$84="Software"),--('New Hires Forecast'!$H$5:$H$84&gt;=Software!G$3),'New Hires Forecast'!$N$5:$N$84,'New Hires Forecast'!$L$5:$L$84)),0),IF(YEAR(G$3)=YEAR('New Hires Forecast'!$O$3),IF((G$5=12),(SUMPRODUCT(--('New Hires Forecast'!$F$5:$F$84="Software"),--('New Hires Forecast'!$H$5:$H$84&gt;=Software!G$3),'New Hires Forecast'!$O$5:$O$84,'New Hires Forecast'!$L$5:$L$84)),0),IF(YEAR(G$3)=YEAR('New Hires Forecast'!$P$3),IF((G$5=12),(SUMPRODUCT(--('New Hires Forecast'!$F$5:$F$84="Software"),--('New Hires Forecast'!$H$5:$H$84&gt;=Software!G$3),'New Hires Forecast'!$P$5:$P$84,'New Hires Forecast'!$L$5:$L$84)),0),IF(YEAR(G$3)=YEAR('New Hires Forecast'!$Q$3),IF((G$5=12),(SUMPRODUCT(--('New Hires Forecast'!$F$5:$F$84="Software"),--('New Hires Forecast'!$H$5:$H$84&gt;=Software!G$3),'New Hires Forecast'!$Q$5:$Q$84,'New Hires Forecast'!$L$5:$L$84)),0),IF(YEAR(G$3)=YEAR('New Hires Forecast'!$R$3),IF((G$5=12),(SUMPRODUCT(--('New Hires Forecast'!$F$5:$F$84="Software"),--('New Hires Forecast'!$H$5:$H$84&gt;=Software!G$3),'New Hires Forecast'!$R$5:$R$84,'New Hires Forecast'!$L$5:$L$84)),0),"New Year"))))),0)</f>
        <v>0</v>
      </c>
      <c r="H15" s="684">
        <f>IF(H$4="forecast",IF(YEAR(H$3)=YEAR('New Hires Forecast'!$N$3),IF((H$5=12),(SUMPRODUCT(--('New Hires Forecast'!$F$5:$F$84="Software"),--('New Hires Forecast'!$H$5:$H$84&gt;=Software!H$3),'New Hires Forecast'!$N$5:$N$84,'New Hires Forecast'!$L$5:$L$84)),0),IF(YEAR(H$3)=YEAR('New Hires Forecast'!$O$3),IF((H$5=12),(SUMPRODUCT(--('New Hires Forecast'!$F$5:$F$84="Software"),--('New Hires Forecast'!$H$5:$H$84&gt;=Software!H$3),'New Hires Forecast'!$O$5:$O$84,'New Hires Forecast'!$L$5:$L$84)),0),IF(YEAR(H$3)=YEAR('New Hires Forecast'!$P$3),IF((H$5=12),(SUMPRODUCT(--('New Hires Forecast'!$F$5:$F$84="Software"),--('New Hires Forecast'!$H$5:$H$84&gt;=Software!H$3),'New Hires Forecast'!$P$5:$P$84,'New Hires Forecast'!$L$5:$L$84)),0),IF(YEAR(H$3)=YEAR('New Hires Forecast'!$Q$3),IF((H$5=12),(SUMPRODUCT(--('New Hires Forecast'!$F$5:$F$84="Software"),--('New Hires Forecast'!$H$5:$H$84&gt;=Software!H$3),'New Hires Forecast'!$Q$5:$Q$84,'New Hires Forecast'!$L$5:$L$84)),0),IF(YEAR(H$3)=YEAR('New Hires Forecast'!$R$3),IF((H$5=12),(SUMPRODUCT(--('New Hires Forecast'!$F$5:$F$84="Software"),--('New Hires Forecast'!$H$5:$H$84&gt;=Software!H$3),'New Hires Forecast'!$R$5:$R$84,'New Hires Forecast'!$L$5:$L$84)),0),"New Year"))))),0)</f>
        <v>0</v>
      </c>
      <c r="I15" s="684">
        <f>IF(I$4="forecast",IF(YEAR(I$3)=YEAR('New Hires Forecast'!$N$3),IF((I$5=12),(SUMPRODUCT(--('New Hires Forecast'!$F$5:$F$84="Software"),--('New Hires Forecast'!$H$5:$H$84&gt;=Software!I$3),'New Hires Forecast'!$N$5:$N$84,'New Hires Forecast'!$L$5:$L$84)),0),IF(YEAR(I$3)=YEAR('New Hires Forecast'!$O$3),IF((I$5=12),(SUMPRODUCT(--('New Hires Forecast'!$F$5:$F$84="Software"),--('New Hires Forecast'!$H$5:$H$84&gt;=Software!I$3),'New Hires Forecast'!$O$5:$O$84,'New Hires Forecast'!$L$5:$L$84)),0),IF(YEAR(I$3)=YEAR('New Hires Forecast'!$P$3),IF((I$5=12),(SUMPRODUCT(--('New Hires Forecast'!$F$5:$F$84="Software"),--('New Hires Forecast'!$H$5:$H$84&gt;=Software!I$3),'New Hires Forecast'!$P$5:$P$84,'New Hires Forecast'!$L$5:$L$84)),0),IF(YEAR(I$3)=YEAR('New Hires Forecast'!$Q$3),IF((I$5=12),(SUMPRODUCT(--('New Hires Forecast'!$F$5:$F$84="Software"),--('New Hires Forecast'!$H$5:$H$84&gt;=Software!I$3),'New Hires Forecast'!$Q$5:$Q$84,'New Hires Forecast'!$L$5:$L$84)),0),IF(YEAR(I$3)=YEAR('New Hires Forecast'!$R$3),IF((I$5=12),(SUMPRODUCT(--('New Hires Forecast'!$F$5:$F$84="Software"),--('New Hires Forecast'!$H$5:$H$84&gt;=Software!I$3),'New Hires Forecast'!$R$5:$R$84,'New Hires Forecast'!$L$5:$L$84)),0),"New Year"))))),0)</f>
        <v>0</v>
      </c>
      <c r="J15" s="684">
        <f>IF(J$4="forecast",IF(YEAR(J$3)=YEAR('New Hires Forecast'!$N$3),IF((J$5=12),(SUMPRODUCT(--('New Hires Forecast'!$F$5:$F$84="Software"),--('New Hires Forecast'!$H$5:$H$84&gt;=Software!J$3),'New Hires Forecast'!$N$5:$N$84,'New Hires Forecast'!$L$5:$L$84)),0),IF(YEAR(J$3)=YEAR('New Hires Forecast'!$O$3),IF((J$5=12),(SUMPRODUCT(--('New Hires Forecast'!$F$5:$F$84="Software"),--('New Hires Forecast'!$H$5:$H$84&gt;=Software!J$3),'New Hires Forecast'!$O$5:$O$84,'New Hires Forecast'!$L$5:$L$84)),0),IF(YEAR(J$3)=YEAR('New Hires Forecast'!$P$3),IF((J$5=12),(SUMPRODUCT(--('New Hires Forecast'!$F$5:$F$84="Software"),--('New Hires Forecast'!$H$5:$H$84&gt;=Software!J$3),'New Hires Forecast'!$P$5:$P$84,'New Hires Forecast'!$L$5:$L$84)),0),IF(YEAR(J$3)=YEAR('New Hires Forecast'!$Q$3),IF((J$5=12),(SUMPRODUCT(--('New Hires Forecast'!$F$5:$F$84="Software"),--('New Hires Forecast'!$H$5:$H$84&gt;=Software!J$3),'New Hires Forecast'!$Q$5:$Q$84,'New Hires Forecast'!$L$5:$L$84)),0),IF(YEAR(J$3)=YEAR('New Hires Forecast'!$R$3),IF((J$5=12),(SUMPRODUCT(--('New Hires Forecast'!$F$5:$F$84="Software"),--('New Hires Forecast'!$H$5:$H$84&gt;=Software!J$3),'New Hires Forecast'!$R$5:$R$84,'New Hires Forecast'!$L$5:$L$84)),0),"New Year"))))),0)</f>
        <v>0</v>
      </c>
      <c r="K15" s="684">
        <f>IF(K$4="forecast",IF(YEAR(K$3)=YEAR('New Hires Forecast'!$N$3),IF((K$5=12),(SUMPRODUCT(--('New Hires Forecast'!$F$5:$F$84="Software"),--('New Hires Forecast'!$H$5:$H$84&gt;=Software!K$3),'New Hires Forecast'!$N$5:$N$84,'New Hires Forecast'!$L$5:$L$84)),0),IF(YEAR(K$3)=YEAR('New Hires Forecast'!$O$3),IF((K$5=12),(SUMPRODUCT(--('New Hires Forecast'!$F$5:$F$84="Software"),--('New Hires Forecast'!$H$5:$H$84&gt;=Software!K$3),'New Hires Forecast'!$O$5:$O$84,'New Hires Forecast'!$L$5:$L$84)),0),IF(YEAR(K$3)=YEAR('New Hires Forecast'!$P$3),IF((K$5=12),(SUMPRODUCT(--('New Hires Forecast'!$F$5:$F$84="Software"),--('New Hires Forecast'!$H$5:$H$84&gt;=Software!K$3),'New Hires Forecast'!$P$5:$P$84,'New Hires Forecast'!$L$5:$L$84)),0),IF(YEAR(K$3)=YEAR('New Hires Forecast'!$Q$3),IF((K$5=12),(SUMPRODUCT(--('New Hires Forecast'!$F$5:$F$84="Software"),--('New Hires Forecast'!$H$5:$H$84&gt;=Software!K$3),'New Hires Forecast'!$Q$5:$Q$84,'New Hires Forecast'!$L$5:$L$84)),0),IF(YEAR(K$3)=YEAR('New Hires Forecast'!$R$3),IF((K$5=12),(SUMPRODUCT(--('New Hires Forecast'!$F$5:$F$84="Software"),--('New Hires Forecast'!$H$5:$H$84&gt;=Software!K$3),'New Hires Forecast'!$R$5:$R$84,'New Hires Forecast'!$L$5:$L$84)),0),"New Year"))))),0)</f>
        <v>0</v>
      </c>
      <c r="L15" s="684">
        <f>IF(L$4="forecast",IF(YEAR(L$3)=YEAR('New Hires Forecast'!$N$3),IF((L$5=12),(SUMPRODUCT(--('New Hires Forecast'!$F$5:$F$84="Software"),--('New Hires Forecast'!$H$5:$H$84&gt;=Software!L$3),'New Hires Forecast'!$N$5:$N$84,'New Hires Forecast'!$L$5:$L$84)),0),IF(YEAR(L$3)=YEAR('New Hires Forecast'!$O$3),IF((L$5=12),(SUMPRODUCT(--('New Hires Forecast'!$F$5:$F$84="Software"),--('New Hires Forecast'!$H$5:$H$84&gt;=Software!L$3),'New Hires Forecast'!$O$5:$O$84,'New Hires Forecast'!$L$5:$L$84)),0),IF(YEAR(L$3)=YEAR('New Hires Forecast'!$P$3),IF((L$5=12),(SUMPRODUCT(--('New Hires Forecast'!$F$5:$F$84="Software"),--('New Hires Forecast'!$H$5:$H$84&gt;=Software!L$3),'New Hires Forecast'!$P$5:$P$84,'New Hires Forecast'!$L$5:$L$84)),0),IF(YEAR(L$3)=YEAR('New Hires Forecast'!$Q$3),IF((L$5=12),(SUMPRODUCT(--('New Hires Forecast'!$F$5:$F$84="Software"),--('New Hires Forecast'!$H$5:$H$84&gt;=Software!L$3),'New Hires Forecast'!$Q$5:$Q$84,'New Hires Forecast'!$L$5:$L$84)),0),IF(YEAR(L$3)=YEAR('New Hires Forecast'!$R$3),IF((L$5=12),(SUMPRODUCT(--('New Hires Forecast'!$F$5:$F$84="Software"),--('New Hires Forecast'!$H$5:$H$84&gt;=Software!L$3),'New Hires Forecast'!$R$5:$R$84,'New Hires Forecast'!$L$5:$L$84)),0),"New Year"))))),0)</f>
        <v>0</v>
      </c>
      <c r="M15" s="684">
        <f>IF(M$4="forecast",IF(YEAR(M$3)=YEAR('New Hires Forecast'!$N$3),IF((M$5=12),(SUMPRODUCT(--('New Hires Forecast'!$F$5:$F$84="Software"),--('New Hires Forecast'!$H$5:$H$84&gt;=Software!M$3),'New Hires Forecast'!$N$5:$N$84,'New Hires Forecast'!$L$5:$L$84)),0),IF(YEAR(M$3)=YEAR('New Hires Forecast'!$O$3),IF((M$5=12),(SUMPRODUCT(--('New Hires Forecast'!$F$5:$F$84="Software"),--('New Hires Forecast'!$H$5:$H$84&gt;=Software!M$3),'New Hires Forecast'!$O$5:$O$84,'New Hires Forecast'!$L$5:$L$84)),0),IF(YEAR(M$3)=YEAR('New Hires Forecast'!$P$3),IF((M$5=12),(SUMPRODUCT(--('New Hires Forecast'!$F$5:$F$84="Software"),--('New Hires Forecast'!$H$5:$H$84&gt;=Software!M$3),'New Hires Forecast'!$P$5:$P$84,'New Hires Forecast'!$L$5:$L$84)),0),IF(YEAR(M$3)=YEAR('New Hires Forecast'!$Q$3),IF((M$5=12),(SUMPRODUCT(--('New Hires Forecast'!$F$5:$F$84="Software"),--('New Hires Forecast'!$H$5:$H$84&gt;=Software!M$3),'New Hires Forecast'!$Q$5:$Q$84,'New Hires Forecast'!$L$5:$L$84)),0),IF(YEAR(M$3)=YEAR('New Hires Forecast'!$R$3),IF((M$5=12),(SUMPRODUCT(--('New Hires Forecast'!$F$5:$F$84="Software"),--('New Hires Forecast'!$H$5:$H$84&gt;=Software!M$3),'New Hires Forecast'!$R$5:$R$84,'New Hires Forecast'!$L$5:$L$84)),0),"New Year"))))),0)</f>
        <v>0</v>
      </c>
      <c r="N15" s="684">
        <f>IF(N$4="forecast",IF(YEAR(N$3)=YEAR('New Hires Forecast'!$N$3),IF((N$5=12),(SUMPRODUCT(--('New Hires Forecast'!$F$5:$F$84="Software"),--('New Hires Forecast'!$H$5:$H$84&gt;=Software!N$3),'New Hires Forecast'!$N$5:$N$84,'New Hires Forecast'!$L$5:$L$84)),0),IF(YEAR(N$3)=YEAR('New Hires Forecast'!$O$3),IF((N$5=12),(SUMPRODUCT(--('New Hires Forecast'!$F$5:$F$84="Software"),--('New Hires Forecast'!$H$5:$H$84&gt;=Software!N$3),'New Hires Forecast'!$O$5:$O$84,'New Hires Forecast'!$L$5:$L$84)),0),IF(YEAR(N$3)=YEAR('New Hires Forecast'!$P$3),IF((N$5=12),(SUMPRODUCT(--('New Hires Forecast'!$F$5:$F$84="Software"),--('New Hires Forecast'!$H$5:$H$84&gt;=Software!N$3),'New Hires Forecast'!$P$5:$P$84,'New Hires Forecast'!$L$5:$L$84)),0),IF(YEAR(N$3)=YEAR('New Hires Forecast'!$Q$3),IF((N$5=12),(SUMPRODUCT(--('New Hires Forecast'!$F$5:$F$84="Software"),--('New Hires Forecast'!$H$5:$H$84&gt;=Software!N$3),'New Hires Forecast'!$Q$5:$Q$84,'New Hires Forecast'!$L$5:$L$84)),0),IF(YEAR(N$3)=YEAR('New Hires Forecast'!$R$3),IF((N$5=12),(SUMPRODUCT(--('New Hires Forecast'!$F$5:$F$84="Software"),--('New Hires Forecast'!$H$5:$H$84&gt;=Software!N$3),'New Hires Forecast'!$R$5:$R$84,'New Hires Forecast'!$L$5:$L$84)),0),"New Year"))))),0)</f>
        <v>0</v>
      </c>
      <c r="O15" s="684">
        <f>IF(O$4="forecast",IF(YEAR(O$3)=YEAR('New Hires Forecast'!$N$3),IF((O$5=12),(SUMPRODUCT(--('New Hires Forecast'!$F$5:$F$84="Software"),--('New Hires Forecast'!$H$5:$H$84&gt;=Software!O$3),'New Hires Forecast'!$N$5:$N$84,'New Hires Forecast'!$L$5:$L$84)),0),IF(YEAR(O$3)=YEAR('New Hires Forecast'!$O$3),IF((O$5=12),(SUMPRODUCT(--('New Hires Forecast'!$F$5:$F$84="Software"),--('New Hires Forecast'!$H$5:$H$84&gt;=Software!O$3),'New Hires Forecast'!$O$5:$O$84,'New Hires Forecast'!$L$5:$L$84)),0),IF(YEAR(O$3)=YEAR('New Hires Forecast'!$P$3),IF((O$5=12),(SUMPRODUCT(--('New Hires Forecast'!$F$5:$F$84="Software"),--('New Hires Forecast'!$H$5:$H$84&gt;=Software!O$3),'New Hires Forecast'!$P$5:$P$84,'New Hires Forecast'!$L$5:$L$84)),0),IF(YEAR(O$3)=YEAR('New Hires Forecast'!$Q$3),IF((O$5=12),(SUMPRODUCT(--('New Hires Forecast'!$F$5:$F$84="Software"),--('New Hires Forecast'!$H$5:$H$84&gt;=Software!O$3),'New Hires Forecast'!$Q$5:$Q$84,'New Hires Forecast'!$L$5:$L$84)),0),IF(YEAR(O$3)=YEAR('New Hires Forecast'!$R$3),IF((O$5=12),(SUMPRODUCT(--('New Hires Forecast'!$F$5:$F$84="Software"),--('New Hires Forecast'!$H$5:$H$84&gt;=Software!O$3),'New Hires Forecast'!$R$5:$R$84,'New Hires Forecast'!$L$5:$L$84)),0),"New Year"))))),0)</f>
        <v>0</v>
      </c>
      <c r="P15" s="684">
        <f>IF(P$4="forecast",IF(YEAR(P$3)=YEAR('New Hires Forecast'!$N$3),IF((P$5=12),(SUMPRODUCT(--('New Hires Forecast'!$F$5:$F$84="Software"),--('New Hires Forecast'!$H$5:$H$84&gt;=Software!P$3),'New Hires Forecast'!$N$5:$N$84,'New Hires Forecast'!$L$5:$L$84)),0),IF(YEAR(P$3)=YEAR('New Hires Forecast'!$O$3),IF((P$5=12),(SUMPRODUCT(--('New Hires Forecast'!$F$5:$F$84="Software"),--('New Hires Forecast'!$H$5:$H$84&gt;=Software!P$3),'New Hires Forecast'!$O$5:$O$84,'New Hires Forecast'!$L$5:$L$84)),0),IF(YEAR(P$3)=YEAR('New Hires Forecast'!$P$3),IF((P$5=12),(SUMPRODUCT(--('New Hires Forecast'!$F$5:$F$84="Software"),--('New Hires Forecast'!$H$5:$H$84&gt;=Software!P$3),'New Hires Forecast'!$P$5:$P$84,'New Hires Forecast'!$L$5:$L$84)),0),IF(YEAR(P$3)=YEAR('New Hires Forecast'!$Q$3),IF((P$5=12),(SUMPRODUCT(--('New Hires Forecast'!$F$5:$F$84="Software"),--('New Hires Forecast'!$H$5:$H$84&gt;=Software!P$3),'New Hires Forecast'!$Q$5:$Q$84,'New Hires Forecast'!$L$5:$L$84)),0),IF(YEAR(P$3)=YEAR('New Hires Forecast'!$R$3),IF((P$5=12),(SUMPRODUCT(--('New Hires Forecast'!$F$5:$F$84="Software"),--('New Hires Forecast'!$H$5:$H$84&gt;=Software!P$3),'New Hires Forecast'!$R$5:$R$84,'New Hires Forecast'!$L$5:$L$84)),0),"New Year"))))),0)</f>
        <v>0</v>
      </c>
      <c r="Q15" s="684">
        <f>IF(Q$4="forecast",IF(YEAR(Q$3)=YEAR('New Hires Forecast'!$N$3),IF((Q$5=12),(SUMPRODUCT(--('New Hires Forecast'!$F$5:$F$84="Software"),--('New Hires Forecast'!$H$5:$H$84&gt;=Software!Q$3),'New Hires Forecast'!$N$5:$N$84,'New Hires Forecast'!$L$5:$L$84)),0),IF(YEAR(Q$3)=YEAR('New Hires Forecast'!$O$3),IF((Q$5=12),(SUMPRODUCT(--('New Hires Forecast'!$F$5:$F$84="Software"),--('New Hires Forecast'!$H$5:$H$84&gt;=Software!Q$3),'New Hires Forecast'!$O$5:$O$84,'New Hires Forecast'!$L$5:$L$84)),0),IF(YEAR(Q$3)=YEAR('New Hires Forecast'!$P$3),IF((Q$5=12),(SUMPRODUCT(--('New Hires Forecast'!$F$5:$F$84="Software"),--('New Hires Forecast'!$H$5:$H$84&gt;=Software!Q$3),'New Hires Forecast'!$P$5:$P$84,'New Hires Forecast'!$L$5:$L$84)),0),IF(YEAR(Q$3)=YEAR('New Hires Forecast'!$Q$3),IF((Q$5=12),(SUMPRODUCT(--('New Hires Forecast'!$F$5:$F$84="Software"),--('New Hires Forecast'!$H$5:$H$84&gt;=Software!Q$3),'New Hires Forecast'!$Q$5:$Q$84,'New Hires Forecast'!$L$5:$L$84)),0),IF(YEAR(Q$3)=YEAR('New Hires Forecast'!$R$3),IF((Q$5=12),(SUMPRODUCT(--('New Hires Forecast'!$F$5:$F$84="Software"),--('New Hires Forecast'!$H$5:$H$84&gt;=Software!Q$3),'New Hires Forecast'!$R$5:$R$84,'New Hires Forecast'!$L$5:$L$84)),0),"New Year"))))),0)</f>
        <v>0</v>
      </c>
      <c r="R15" s="684">
        <f>IF(R$4="forecast",IF(YEAR(R$3)=YEAR('New Hires Forecast'!$N$3),IF((R$5=12),(SUMPRODUCT(--('New Hires Forecast'!$F$5:$F$84="Software"),--('New Hires Forecast'!$H$5:$H$84&gt;=Software!R$3),'New Hires Forecast'!$N$5:$N$84,'New Hires Forecast'!$L$5:$L$84)),0),IF(YEAR(R$3)=YEAR('New Hires Forecast'!$O$3),IF((R$5=12),(SUMPRODUCT(--('New Hires Forecast'!$F$5:$F$84="Software"),--('New Hires Forecast'!$H$5:$H$84&gt;=Software!R$3),'New Hires Forecast'!$O$5:$O$84,'New Hires Forecast'!$L$5:$L$84)),0),IF(YEAR(R$3)=YEAR('New Hires Forecast'!$P$3),IF((R$5=12),(SUMPRODUCT(--('New Hires Forecast'!$F$5:$F$84="Software"),--('New Hires Forecast'!$H$5:$H$84&gt;=Software!R$3),'New Hires Forecast'!$P$5:$P$84,'New Hires Forecast'!$L$5:$L$84)),0),IF(YEAR(R$3)=YEAR('New Hires Forecast'!$Q$3),IF((R$5=12),(SUMPRODUCT(--('New Hires Forecast'!$F$5:$F$84="Software"),--('New Hires Forecast'!$H$5:$H$84&gt;=Software!R$3),'New Hires Forecast'!$Q$5:$Q$84,'New Hires Forecast'!$L$5:$L$84)),0),IF(YEAR(R$3)=YEAR('New Hires Forecast'!$R$3),IF((R$5=12),(SUMPRODUCT(--('New Hires Forecast'!$F$5:$F$84="Software"),--('New Hires Forecast'!$H$5:$H$84&gt;=Software!R$3),'New Hires Forecast'!$R$5:$R$84,'New Hires Forecast'!$L$5:$L$84)),0),"New Year"))))),0)</f>
        <v>0</v>
      </c>
      <c r="S15" s="684">
        <f>IF(S$4="forecast",IF(YEAR(S$3)=YEAR('New Hires Forecast'!$N$3),IF((S$5=12),(SUMPRODUCT(--('New Hires Forecast'!$F$5:$F$84="Software"),--('New Hires Forecast'!$H$5:$H$84&gt;=Software!S$3),'New Hires Forecast'!$N$5:$N$84,'New Hires Forecast'!$L$5:$L$84)),0),IF(YEAR(S$3)=YEAR('New Hires Forecast'!$O$3),IF((S$5=12),(SUMPRODUCT(--('New Hires Forecast'!$F$5:$F$84="Software"),--('New Hires Forecast'!$H$5:$H$84&gt;=Software!S$3),'New Hires Forecast'!$O$5:$O$84,'New Hires Forecast'!$L$5:$L$84)),0),IF(YEAR(S$3)=YEAR('New Hires Forecast'!$P$3),IF((S$5=12),(SUMPRODUCT(--('New Hires Forecast'!$F$5:$F$84="Software"),--('New Hires Forecast'!$H$5:$H$84&gt;=Software!S$3),'New Hires Forecast'!$P$5:$P$84,'New Hires Forecast'!$L$5:$L$84)),0),IF(YEAR(S$3)=YEAR('New Hires Forecast'!$Q$3),IF((S$5=12),(SUMPRODUCT(--('New Hires Forecast'!$F$5:$F$84="Software"),--('New Hires Forecast'!$H$5:$H$84&gt;=Software!S$3),'New Hires Forecast'!$Q$5:$Q$84,'New Hires Forecast'!$L$5:$L$84)),0),IF(YEAR(S$3)=YEAR('New Hires Forecast'!$R$3),IF((S$5=12),(SUMPRODUCT(--('New Hires Forecast'!$F$5:$F$84="Software"),--('New Hires Forecast'!$H$5:$H$84&gt;=Software!S$3),'New Hires Forecast'!$R$5:$R$84,'New Hires Forecast'!$L$5:$L$84)),0),"New Year"))))),0)</f>
        <v>0</v>
      </c>
      <c r="T15" s="684">
        <f>IF(T$4="forecast",IF(YEAR(T$3)=YEAR('New Hires Forecast'!$N$3),IF((T$5=12),(SUMPRODUCT(--('New Hires Forecast'!$F$5:$F$84="Software"),--('New Hires Forecast'!$H$5:$H$84&gt;=Software!T$3),'New Hires Forecast'!$N$5:$N$84,'New Hires Forecast'!$L$5:$L$84)),0),IF(YEAR(T$3)=YEAR('New Hires Forecast'!$O$3),IF((T$5=12),(SUMPRODUCT(--('New Hires Forecast'!$F$5:$F$84="Software"),--('New Hires Forecast'!$H$5:$H$84&gt;=Software!T$3),'New Hires Forecast'!$O$5:$O$84,'New Hires Forecast'!$L$5:$L$84)),0),IF(YEAR(T$3)=YEAR('New Hires Forecast'!$P$3),IF((T$5=12),(SUMPRODUCT(--('New Hires Forecast'!$F$5:$F$84="Software"),--('New Hires Forecast'!$H$5:$H$84&gt;=Software!T$3),'New Hires Forecast'!$P$5:$P$84,'New Hires Forecast'!$L$5:$L$84)),0),IF(YEAR(T$3)=YEAR('New Hires Forecast'!$Q$3),IF((T$5=12),(SUMPRODUCT(--('New Hires Forecast'!$F$5:$F$84="Software"),--('New Hires Forecast'!$H$5:$H$84&gt;=Software!T$3),'New Hires Forecast'!$Q$5:$Q$84,'New Hires Forecast'!$L$5:$L$84)),0),IF(YEAR(T$3)=YEAR('New Hires Forecast'!$R$3),IF((T$5=12),(SUMPRODUCT(--('New Hires Forecast'!$F$5:$F$84="Software"),--('New Hires Forecast'!$H$5:$H$84&gt;=Software!T$3),'New Hires Forecast'!$R$5:$R$84,'New Hires Forecast'!$L$5:$L$84)),0),"New Year"))))),0)</f>
        <v>0</v>
      </c>
      <c r="U15" s="684">
        <f>IF(U$4="forecast",IF(YEAR(U$3)=YEAR('New Hires Forecast'!$N$3),IF((U$5=12),(SUMPRODUCT(--('New Hires Forecast'!$F$5:$F$84="Software"),--('New Hires Forecast'!$H$5:$H$84&gt;=Software!U$3),'New Hires Forecast'!$N$5:$N$84,'New Hires Forecast'!$L$5:$L$84)),0),IF(YEAR(U$3)=YEAR('New Hires Forecast'!$O$3),IF((U$5=12),(SUMPRODUCT(--('New Hires Forecast'!$F$5:$F$84="Software"),--('New Hires Forecast'!$H$5:$H$84&gt;=Software!U$3),'New Hires Forecast'!$O$5:$O$84,'New Hires Forecast'!$L$5:$L$84)),0),IF(YEAR(U$3)=YEAR('New Hires Forecast'!$P$3),IF((U$5=12),(SUMPRODUCT(--('New Hires Forecast'!$F$5:$F$84="Software"),--('New Hires Forecast'!$H$5:$H$84&gt;=Software!U$3),'New Hires Forecast'!$P$5:$P$84,'New Hires Forecast'!$L$5:$L$84)),0),IF(YEAR(U$3)=YEAR('New Hires Forecast'!$Q$3),IF((U$5=12),(SUMPRODUCT(--('New Hires Forecast'!$F$5:$F$84="Software"),--('New Hires Forecast'!$H$5:$H$84&gt;=Software!U$3),'New Hires Forecast'!$Q$5:$Q$84,'New Hires Forecast'!$L$5:$L$84)),0),IF(YEAR(U$3)=YEAR('New Hires Forecast'!$R$3),IF((U$5=12),(SUMPRODUCT(--('New Hires Forecast'!$F$5:$F$84="Software"),--('New Hires Forecast'!$H$5:$H$84&gt;=Software!U$3),'New Hires Forecast'!$R$5:$R$84,'New Hires Forecast'!$L$5:$L$84)),0),"New Year"))))),0)</f>
        <v>0</v>
      </c>
      <c r="V15" s="684">
        <f>IF(V$4="forecast",IF(YEAR(V$3)=YEAR('New Hires Forecast'!$N$3),IF((V$5=12),(SUMPRODUCT(--('New Hires Forecast'!$F$5:$F$84="Software"),--('New Hires Forecast'!$H$5:$H$84&gt;=Software!V$3),'New Hires Forecast'!$N$5:$N$84,'New Hires Forecast'!$L$5:$L$84)),0),IF(YEAR(V$3)=YEAR('New Hires Forecast'!$O$3),IF((V$5=12),(SUMPRODUCT(--('New Hires Forecast'!$F$5:$F$84="Software"),--('New Hires Forecast'!$H$5:$H$84&gt;=Software!V$3),'New Hires Forecast'!$O$5:$O$84,'New Hires Forecast'!$L$5:$L$84)),0),IF(YEAR(V$3)=YEAR('New Hires Forecast'!$P$3),IF((V$5=12),(SUMPRODUCT(--('New Hires Forecast'!$F$5:$F$84="Software"),--('New Hires Forecast'!$H$5:$H$84&gt;=Software!V$3),'New Hires Forecast'!$P$5:$P$84,'New Hires Forecast'!$L$5:$L$84)),0),IF(YEAR(V$3)=YEAR('New Hires Forecast'!$Q$3),IF((V$5=12),(SUMPRODUCT(--('New Hires Forecast'!$F$5:$F$84="Software"),--('New Hires Forecast'!$H$5:$H$84&gt;=Software!V$3),'New Hires Forecast'!$Q$5:$Q$84,'New Hires Forecast'!$L$5:$L$84)),0),IF(YEAR(V$3)=YEAR('New Hires Forecast'!$R$3),IF((V$5=12),(SUMPRODUCT(--('New Hires Forecast'!$F$5:$F$84="Software"),--('New Hires Forecast'!$H$5:$H$84&gt;=Software!V$3),'New Hires Forecast'!$R$5:$R$84,'New Hires Forecast'!$L$5:$L$84)),0),"New Year"))))),0)</f>
        <v>0</v>
      </c>
      <c r="W15" s="684">
        <f>IF(W$4="forecast",IF(YEAR(W$3)=YEAR('New Hires Forecast'!$N$3),IF((W$5=12),(SUMPRODUCT(--('New Hires Forecast'!$F$5:$F$84="Software"),--('New Hires Forecast'!$H$5:$H$84&gt;=Software!W$3),'New Hires Forecast'!$N$5:$N$84,'New Hires Forecast'!$L$5:$L$84)),0),IF(YEAR(W$3)=YEAR('New Hires Forecast'!$O$3),IF((W$5=12),(SUMPRODUCT(--('New Hires Forecast'!$F$5:$F$84="Software"),--('New Hires Forecast'!$H$5:$H$84&gt;=Software!W$3),'New Hires Forecast'!$O$5:$O$84,'New Hires Forecast'!$L$5:$L$84)),0),IF(YEAR(W$3)=YEAR('New Hires Forecast'!$P$3),IF((W$5=12),(SUMPRODUCT(--('New Hires Forecast'!$F$5:$F$84="Software"),--('New Hires Forecast'!$H$5:$H$84&gt;=Software!W$3),'New Hires Forecast'!$P$5:$P$84,'New Hires Forecast'!$L$5:$L$84)),0),IF(YEAR(W$3)=YEAR('New Hires Forecast'!$Q$3),IF((W$5=12),(SUMPRODUCT(--('New Hires Forecast'!$F$5:$F$84="Software"),--('New Hires Forecast'!$H$5:$H$84&gt;=Software!W$3),'New Hires Forecast'!$Q$5:$Q$84,'New Hires Forecast'!$L$5:$L$84)),0),IF(YEAR(W$3)=YEAR('New Hires Forecast'!$R$3),IF((W$5=12),(SUMPRODUCT(--('New Hires Forecast'!$F$5:$F$84="Software"),--('New Hires Forecast'!$H$5:$H$84&gt;=Software!W$3),'New Hires Forecast'!$R$5:$R$84,'New Hires Forecast'!$L$5:$L$84)),0),"New Year"))))),0)</f>
        <v>0</v>
      </c>
      <c r="X15" s="684">
        <f>IF(X$4="forecast",IF(YEAR(X$3)=YEAR('New Hires Forecast'!$N$3),IF((X$5=12),(SUMPRODUCT(--('New Hires Forecast'!$F$5:$F$84="Software"),--('New Hires Forecast'!$H$5:$H$84&gt;=Software!X$3),'New Hires Forecast'!$N$5:$N$84,'New Hires Forecast'!$L$5:$L$84)),0),IF(YEAR(X$3)=YEAR('New Hires Forecast'!$O$3),IF((X$5=12),(SUMPRODUCT(--('New Hires Forecast'!$F$5:$F$84="Software"),--('New Hires Forecast'!$H$5:$H$84&gt;=Software!X$3),'New Hires Forecast'!$O$5:$O$84,'New Hires Forecast'!$L$5:$L$84)),0),IF(YEAR(X$3)=YEAR('New Hires Forecast'!$P$3),IF((X$5=12),(SUMPRODUCT(--('New Hires Forecast'!$F$5:$F$84="Software"),--('New Hires Forecast'!$H$5:$H$84&gt;=Software!X$3),'New Hires Forecast'!$P$5:$P$84,'New Hires Forecast'!$L$5:$L$84)),0),IF(YEAR(X$3)=YEAR('New Hires Forecast'!$Q$3),IF((X$5=12),(SUMPRODUCT(--('New Hires Forecast'!$F$5:$F$84="Software"),--('New Hires Forecast'!$H$5:$H$84&gt;=Software!X$3),'New Hires Forecast'!$Q$5:$Q$84,'New Hires Forecast'!$L$5:$L$84)),0),IF(YEAR(X$3)=YEAR('New Hires Forecast'!$R$3),IF((X$5=12),(SUMPRODUCT(--('New Hires Forecast'!$F$5:$F$84="Software"),--('New Hires Forecast'!$H$5:$H$84&gt;=Software!X$3),'New Hires Forecast'!$R$5:$R$84,'New Hires Forecast'!$L$5:$L$84)),0),"New Year"))))),0)</f>
        <v>0</v>
      </c>
      <c r="Y15" s="684">
        <f>IF(Y$4="forecast",IF(YEAR(Y$3)=YEAR('New Hires Forecast'!$N$3),IF((Y$5=12),(SUMPRODUCT(--('New Hires Forecast'!$F$5:$F$84="Software"),--('New Hires Forecast'!$H$5:$H$84&gt;=Software!Y$3),'New Hires Forecast'!$N$5:$N$84,'New Hires Forecast'!$L$5:$L$84)),0),IF(YEAR(Y$3)=YEAR('New Hires Forecast'!$O$3),IF((Y$5=12),(SUMPRODUCT(--('New Hires Forecast'!$F$5:$F$84="Software"),--('New Hires Forecast'!$H$5:$H$84&gt;=Software!Y$3),'New Hires Forecast'!$O$5:$O$84,'New Hires Forecast'!$L$5:$L$84)),0),IF(YEAR(Y$3)=YEAR('New Hires Forecast'!$P$3),IF((Y$5=12),(SUMPRODUCT(--('New Hires Forecast'!$F$5:$F$84="Software"),--('New Hires Forecast'!$H$5:$H$84&gt;=Software!Y$3),'New Hires Forecast'!$P$5:$P$84,'New Hires Forecast'!$L$5:$L$84)),0),IF(YEAR(Y$3)=YEAR('New Hires Forecast'!$Q$3),IF((Y$5=12),(SUMPRODUCT(--('New Hires Forecast'!$F$5:$F$84="Software"),--('New Hires Forecast'!$H$5:$H$84&gt;=Software!Y$3),'New Hires Forecast'!$Q$5:$Q$84,'New Hires Forecast'!$L$5:$L$84)),0),IF(YEAR(Y$3)=YEAR('New Hires Forecast'!$R$3),IF((Y$5=12),(SUMPRODUCT(--('New Hires Forecast'!$F$5:$F$84="Software"),--('New Hires Forecast'!$H$5:$H$84&gt;=Software!Y$3),'New Hires Forecast'!$R$5:$R$84,'New Hires Forecast'!$L$5:$L$84)),0),"New Year"))))),0)</f>
        <v>0</v>
      </c>
      <c r="Z15" s="684">
        <f>IF(Z$4="forecast",IF(YEAR(Z$3)=YEAR('New Hires Forecast'!$N$3),IF((Z$5=12),(SUMPRODUCT(--('New Hires Forecast'!$F$5:$F$84="Software"),--('New Hires Forecast'!$H$5:$H$84&gt;=Software!Z$3),'New Hires Forecast'!$N$5:$N$84,'New Hires Forecast'!$L$5:$L$84)),0),IF(YEAR(Z$3)=YEAR('New Hires Forecast'!$O$3),IF((Z$5=12),(SUMPRODUCT(--('New Hires Forecast'!$F$5:$F$84="Software"),--('New Hires Forecast'!$H$5:$H$84&gt;=Software!Z$3),'New Hires Forecast'!$O$5:$O$84,'New Hires Forecast'!$L$5:$L$84)),0),IF(YEAR(Z$3)=YEAR('New Hires Forecast'!$P$3),IF((Z$5=12),(SUMPRODUCT(--('New Hires Forecast'!$F$5:$F$84="Software"),--('New Hires Forecast'!$H$5:$H$84&gt;=Software!Z$3),'New Hires Forecast'!$P$5:$P$84,'New Hires Forecast'!$L$5:$L$84)),0),IF(YEAR(Z$3)=YEAR('New Hires Forecast'!$Q$3),IF((Z$5=12),(SUMPRODUCT(--('New Hires Forecast'!$F$5:$F$84="Software"),--('New Hires Forecast'!$H$5:$H$84&gt;=Software!Z$3),'New Hires Forecast'!$Q$5:$Q$84,'New Hires Forecast'!$L$5:$L$84)),0),IF(YEAR(Z$3)=YEAR('New Hires Forecast'!$R$3),IF((Z$5=12),(SUMPRODUCT(--('New Hires Forecast'!$F$5:$F$84="Software"),--('New Hires Forecast'!$H$5:$H$84&gt;=Software!Z$3),'New Hires Forecast'!$R$5:$R$84,'New Hires Forecast'!$L$5:$L$84)),0),"New Year"))))),0)</f>
        <v>0</v>
      </c>
      <c r="AA15" s="684">
        <f>IF(AA$4="forecast",IF(YEAR(AA$3)=YEAR('New Hires Forecast'!$N$3),IF((AA$5=12),(SUMPRODUCT(--('New Hires Forecast'!$F$5:$F$84="Software"),--('New Hires Forecast'!$H$5:$H$84&gt;=Software!AA$3),'New Hires Forecast'!$N$5:$N$84,'New Hires Forecast'!$L$5:$L$84)),0),IF(YEAR(AA$3)=YEAR('New Hires Forecast'!$O$3),IF((AA$5=12),(SUMPRODUCT(--('New Hires Forecast'!$F$5:$F$84="Software"),--('New Hires Forecast'!$H$5:$H$84&gt;=Software!AA$3),'New Hires Forecast'!$O$5:$O$84,'New Hires Forecast'!$L$5:$L$84)),0),IF(YEAR(AA$3)=YEAR('New Hires Forecast'!$P$3),IF((AA$5=12),(SUMPRODUCT(--('New Hires Forecast'!$F$5:$F$84="Software"),--('New Hires Forecast'!$H$5:$H$84&gt;=Software!AA$3),'New Hires Forecast'!$P$5:$P$84,'New Hires Forecast'!$L$5:$L$84)),0),IF(YEAR(AA$3)=YEAR('New Hires Forecast'!$Q$3),IF((AA$5=12),(SUMPRODUCT(--('New Hires Forecast'!$F$5:$F$84="Software"),--('New Hires Forecast'!$H$5:$H$84&gt;=Software!AA$3),'New Hires Forecast'!$Q$5:$Q$84,'New Hires Forecast'!$L$5:$L$84)),0),IF(YEAR(AA$3)=YEAR('New Hires Forecast'!$R$3),IF((AA$5=12),(SUMPRODUCT(--('New Hires Forecast'!$F$5:$F$84="Software"),--('New Hires Forecast'!$H$5:$H$84&gt;=Software!AA$3),'New Hires Forecast'!$R$5:$R$84,'New Hires Forecast'!$L$5:$L$84)),0),"New Year"))))),0)</f>
        <v>0</v>
      </c>
      <c r="AB15" s="684">
        <f>IF(AB$4="forecast",IF(YEAR(AB$3)=YEAR('New Hires Forecast'!$N$3),IF((AB$5=12),(SUMPRODUCT(--('New Hires Forecast'!$F$5:$F$84="Software"),--('New Hires Forecast'!$H$5:$H$84&gt;=Software!AB$3),'New Hires Forecast'!$N$5:$N$84,'New Hires Forecast'!$L$5:$L$84)),0),IF(YEAR(AB$3)=YEAR('New Hires Forecast'!$O$3),IF((AB$5=12),(SUMPRODUCT(--('New Hires Forecast'!$F$5:$F$84="Software"),--('New Hires Forecast'!$H$5:$H$84&gt;=Software!AB$3),'New Hires Forecast'!$O$5:$O$84,'New Hires Forecast'!$L$5:$L$84)),0),IF(YEAR(AB$3)=YEAR('New Hires Forecast'!$P$3),IF((AB$5=12),(SUMPRODUCT(--('New Hires Forecast'!$F$5:$F$84="Software"),--('New Hires Forecast'!$H$5:$H$84&gt;=Software!AB$3),'New Hires Forecast'!$P$5:$P$84,'New Hires Forecast'!$L$5:$L$84)),0),IF(YEAR(AB$3)=YEAR('New Hires Forecast'!$Q$3),IF((AB$5=12),(SUMPRODUCT(--('New Hires Forecast'!$F$5:$F$84="Software"),--('New Hires Forecast'!$H$5:$H$84&gt;=Software!AB$3),'New Hires Forecast'!$Q$5:$Q$84,'New Hires Forecast'!$L$5:$L$84)),0),IF(YEAR(AB$3)=YEAR('New Hires Forecast'!$R$3),IF((AB$5=12),(SUMPRODUCT(--('New Hires Forecast'!$F$5:$F$84="Software"),--('New Hires Forecast'!$H$5:$H$84&gt;=Software!AB$3),'New Hires Forecast'!$R$5:$R$84,'New Hires Forecast'!$L$5:$L$84)),0),"New Year"))))),0)</f>
        <v>0</v>
      </c>
      <c r="AC15" s="684">
        <f>IF(AC$4="forecast",IF(YEAR(AC$3)=YEAR('New Hires Forecast'!$N$3),IF((AC$5=12),(SUMPRODUCT(--('New Hires Forecast'!$F$5:$F$84="Software"),--('New Hires Forecast'!$H$5:$H$84&gt;=Software!AC$3),'New Hires Forecast'!$N$5:$N$84,'New Hires Forecast'!$L$5:$L$84)),0),IF(YEAR(AC$3)=YEAR('New Hires Forecast'!$O$3),IF((AC$5=12),(SUMPRODUCT(--('New Hires Forecast'!$F$5:$F$84="Software"),--('New Hires Forecast'!$H$5:$H$84&gt;=Software!AC$3),'New Hires Forecast'!$O$5:$O$84,'New Hires Forecast'!$L$5:$L$84)),0),IF(YEAR(AC$3)=YEAR('New Hires Forecast'!$P$3),IF((AC$5=12),(SUMPRODUCT(--('New Hires Forecast'!$F$5:$F$84="Software"),--('New Hires Forecast'!$H$5:$H$84&gt;=Software!AC$3),'New Hires Forecast'!$P$5:$P$84,'New Hires Forecast'!$L$5:$L$84)),0),IF(YEAR(AC$3)=YEAR('New Hires Forecast'!$Q$3),IF((AC$5=12),(SUMPRODUCT(--('New Hires Forecast'!$F$5:$F$84="Software"),--('New Hires Forecast'!$H$5:$H$84&gt;=Software!AC$3),'New Hires Forecast'!$Q$5:$Q$84,'New Hires Forecast'!$L$5:$L$84)),0),IF(YEAR(AC$3)=YEAR('New Hires Forecast'!$R$3),IF((AC$5=12),(SUMPRODUCT(--('New Hires Forecast'!$F$5:$F$84="Software"),--('New Hires Forecast'!$H$5:$H$84&gt;=Software!AC$3),'New Hires Forecast'!$R$5:$R$84,'New Hires Forecast'!$L$5:$L$84)),0),"New Year"))))),0)</f>
        <v>0</v>
      </c>
      <c r="AD15" s="684">
        <f>IF(AD$4="forecast",IF(YEAR(AD$3)=YEAR('New Hires Forecast'!$N$3),IF((AD$5=12),(SUMPRODUCT(--('New Hires Forecast'!$F$5:$F$84="Software"),--('New Hires Forecast'!$H$5:$H$84&gt;=Software!AD$3),'New Hires Forecast'!$N$5:$N$84,'New Hires Forecast'!$L$5:$L$84)),0),IF(YEAR(AD$3)=YEAR('New Hires Forecast'!$O$3),IF((AD$5=12),(SUMPRODUCT(--('New Hires Forecast'!$F$5:$F$84="Software"),--('New Hires Forecast'!$H$5:$H$84&gt;=Software!AD$3),'New Hires Forecast'!$O$5:$O$84,'New Hires Forecast'!$L$5:$L$84)),0),IF(YEAR(AD$3)=YEAR('New Hires Forecast'!$P$3),IF((AD$5=12),(SUMPRODUCT(--('New Hires Forecast'!$F$5:$F$84="Software"),--('New Hires Forecast'!$H$5:$H$84&gt;=Software!AD$3),'New Hires Forecast'!$P$5:$P$84,'New Hires Forecast'!$L$5:$L$84)),0),IF(YEAR(AD$3)=YEAR('New Hires Forecast'!$Q$3),IF((AD$5=12),(SUMPRODUCT(--('New Hires Forecast'!$F$5:$F$84="Software"),--('New Hires Forecast'!$H$5:$H$84&gt;=Software!AD$3),'New Hires Forecast'!$Q$5:$Q$84,'New Hires Forecast'!$L$5:$L$84)),0),IF(YEAR(AD$3)=YEAR('New Hires Forecast'!$R$3),IF((AD$5=12),(SUMPRODUCT(--('New Hires Forecast'!$F$5:$F$84="Software"),--('New Hires Forecast'!$H$5:$H$84&gt;=Software!AD$3),'New Hires Forecast'!$R$5:$R$84,'New Hires Forecast'!$L$5:$L$84)),0),"New Year"))))),0)</f>
        <v>0</v>
      </c>
      <c r="AE15" s="684">
        <f>IF(AE$4="forecast",IF(YEAR(AE$3)=YEAR('New Hires Forecast'!$N$3),IF((AE$5=12),(SUMPRODUCT(--('New Hires Forecast'!$F$5:$F$84="Software"),--('New Hires Forecast'!$H$5:$H$84&gt;=Software!AE$3),'New Hires Forecast'!$N$5:$N$84,'New Hires Forecast'!$L$5:$L$84)),0),IF(YEAR(AE$3)=YEAR('New Hires Forecast'!$O$3),IF((AE$5=12),(SUMPRODUCT(--('New Hires Forecast'!$F$5:$F$84="Software"),--('New Hires Forecast'!$H$5:$H$84&gt;=Software!AE$3),'New Hires Forecast'!$O$5:$O$84,'New Hires Forecast'!$L$5:$L$84)),0),IF(YEAR(AE$3)=YEAR('New Hires Forecast'!$P$3),IF((AE$5=12),(SUMPRODUCT(--('New Hires Forecast'!$F$5:$F$84="Software"),--('New Hires Forecast'!$H$5:$H$84&gt;=Software!AE$3),'New Hires Forecast'!$P$5:$P$84,'New Hires Forecast'!$L$5:$L$84)),0),IF(YEAR(AE$3)=YEAR('New Hires Forecast'!$Q$3),IF((AE$5=12),(SUMPRODUCT(--('New Hires Forecast'!$F$5:$F$84="Software"),--('New Hires Forecast'!$H$5:$H$84&gt;=Software!AE$3),'New Hires Forecast'!$Q$5:$Q$84,'New Hires Forecast'!$L$5:$L$84)),0),IF(YEAR(AE$3)=YEAR('New Hires Forecast'!$R$3),IF((AE$5=12),(SUMPRODUCT(--('New Hires Forecast'!$F$5:$F$84="Software"),--('New Hires Forecast'!$H$5:$H$84&gt;=Software!AE$3),'New Hires Forecast'!$R$5:$R$84,'New Hires Forecast'!$L$5:$L$84)),0),"New Year"))))),0)</f>
        <v>0</v>
      </c>
      <c r="AF15" s="684">
        <f>IF(AF$4="forecast",IF(YEAR(AF$3)=YEAR('New Hires Forecast'!$N$3),IF((AF$5=12),(SUMPRODUCT(--('New Hires Forecast'!$F$5:$F$84="Software"),--('New Hires Forecast'!$H$5:$H$84&gt;=Software!AF$3),'New Hires Forecast'!$N$5:$N$84,'New Hires Forecast'!$L$5:$L$84)),0),IF(YEAR(AF$3)=YEAR('New Hires Forecast'!$O$3),IF((AF$5=12),(SUMPRODUCT(--('New Hires Forecast'!$F$5:$F$84="Software"),--('New Hires Forecast'!$H$5:$H$84&gt;=Software!AF$3),'New Hires Forecast'!$O$5:$O$84,'New Hires Forecast'!$L$5:$L$84)),0),IF(YEAR(AF$3)=YEAR('New Hires Forecast'!$P$3),IF((AF$5=12),(SUMPRODUCT(--('New Hires Forecast'!$F$5:$F$84="Software"),--('New Hires Forecast'!$H$5:$H$84&gt;=Software!AF$3),'New Hires Forecast'!$P$5:$P$84,'New Hires Forecast'!$L$5:$L$84)),0),IF(YEAR(AF$3)=YEAR('New Hires Forecast'!$Q$3),IF((AF$5=12),(SUMPRODUCT(--('New Hires Forecast'!$F$5:$F$84="Software"),--('New Hires Forecast'!$H$5:$H$84&gt;=Software!AF$3),'New Hires Forecast'!$Q$5:$Q$84,'New Hires Forecast'!$L$5:$L$84)),0),IF(YEAR(AF$3)=YEAR('New Hires Forecast'!$R$3),IF((AF$5=12),(SUMPRODUCT(--('New Hires Forecast'!$F$5:$F$84="Software"),--('New Hires Forecast'!$H$5:$H$84&gt;=Software!AF$3),'New Hires Forecast'!$R$5:$R$84,'New Hires Forecast'!$L$5:$L$84)),0),"New Year"))))),0)</f>
        <v>0</v>
      </c>
      <c r="AG15" s="684">
        <f>IF(AG$4="forecast",IF(YEAR(AG$3)=YEAR('New Hires Forecast'!$N$3),IF((AG$5=12),(SUMPRODUCT(--('New Hires Forecast'!$F$5:$F$84="Software"),--('New Hires Forecast'!$H$5:$H$84&gt;=Software!AG$3),'New Hires Forecast'!$N$5:$N$84,'New Hires Forecast'!$L$5:$L$84)),0),IF(YEAR(AG$3)=YEAR('New Hires Forecast'!$O$3),IF((AG$5=12),(SUMPRODUCT(--('New Hires Forecast'!$F$5:$F$84="Software"),--('New Hires Forecast'!$H$5:$H$84&gt;=Software!AG$3),'New Hires Forecast'!$O$5:$O$84,'New Hires Forecast'!$L$5:$L$84)),0),IF(YEAR(AG$3)=YEAR('New Hires Forecast'!$P$3),IF((AG$5=12),(SUMPRODUCT(--('New Hires Forecast'!$F$5:$F$84="Software"),--('New Hires Forecast'!$H$5:$H$84&gt;=Software!AG$3),'New Hires Forecast'!$P$5:$P$84,'New Hires Forecast'!$L$5:$L$84)),0),IF(YEAR(AG$3)=YEAR('New Hires Forecast'!$Q$3),IF((AG$5=12),(SUMPRODUCT(--('New Hires Forecast'!$F$5:$F$84="Software"),--('New Hires Forecast'!$H$5:$H$84&gt;=Software!AG$3),'New Hires Forecast'!$Q$5:$Q$84,'New Hires Forecast'!$L$5:$L$84)),0),IF(YEAR(AG$3)=YEAR('New Hires Forecast'!$R$3),IF((AG$5=12),(SUMPRODUCT(--('New Hires Forecast'!$F$5:$F$84="Software"),--('New Hires Forecast'!$H$5:$H$84&gt;=Software!AG$3),'New Hires Forecast'!$R$5:$R$84,'New Hires Forecast'!$L$5:$L$84)),0),"New Year"))))),0)</f>
        <v>0</v>
      </c>
      <c r="AH15" s="684">
        <f>IF(AH$4="forecast",IF(YEAR(AH$3)=YEAR('New Hires Forecast'!$N$3),IF((AH$5=12),(SUMPRODUCT(--('New Hires Forecast'!$F$5:$F$84="Software"),--('New Hires Forecast'!$H$5:$H$84&gt;=Software!AH$3),'New Hires Forecast'!$N$5:$N$84,'New Hires Forecast'!$L$5:$L$84)),0),IF(YEAR(AH$3)=YEAR('New Hires Forecast'!$O$3),IF((AH$5=12),(SUMPRODUCT(--('New Hires Forecast'!$F$5:$F$84="Software"),--('New Hires Forecast'!$H$5:$H$84&gt;=Software!AH$3),'New Hires Forecast'!$O$5:$O$84,'New Hires Forecast'!$L$5:$L$84)),0),IF(YEAR(AH$3)=YEAR('New Hires Forecast'!$P$3),IF((AH$5=12),(SUMPRODUCT(--('New Hires Forecast'!$F$5:$F$84="Software"),--('New Hires Forecast'!$H$5:$H$84&gt;=Software!AH$3),'New Hires Forecast'!$P$5:$P$84,'New Hires Forecast'!$L$5:$L$84)),0),IF(YEAR(AH$3)=YEAR('New Hires Forecast'!$Q$3),IF((AH$5=12),(SUMPRODUCT(--('New Hires Forecast'!$F$5:$F$84="Software"),--('New Hires Forecast'!$H$5:$H$84&gt;=Software!AH$3),'New Hires Forecast'!$Q$5:$Q$84,'New Hires Forecast'!$L$5:$L$84)),0),IF(YEAR(AH$3)=YEAR('New Hires Forecast'!$R$3),IF((AH$5=12),(SUMPRODUCT(--('New Hires Forecast'!$F$5:$F$84="Software"),--('New Hires Forecast'!$H$5:$H$84&gt;=Software!AH$3),'New Hires Forecast'!$R$5:$R$84,'New Hires Forecast'!$L$5:$L$84)),0),"New Year"))))),0)</f>
        <v>0</v>
      </c>
      <c r="AI15" s="684">
        <f>IF(AI$4="forecast",IF(YEAR(AI$3)=YEAR('New Hires Forecast'!$N$3),IF((AI$5=12),(SUMPRODUCT(--('New Hires Forecast'!$F$5:$F$84="Software"),--('New Hires Forecast'!$H$5:$H$84&gt;=Software!AI$3),'New Hires Forecast'!$N$5:$N$84,'New Hires Forecast'!$L$5:$L$84)),0),IF(YEAR(AI$3)=YEAR('New Hires Forecast'!$O$3),IF((AI$5=12),(SUMPRODUCT(--('New Hires Forecast'!$F$5:$F$84="Software"),--('New Hires Forecast'!$H$5:$H$84&gt;=Software!AI$3),'New Hires Forecast'!$O$5:$O$84,'New Hires Forecast'!$L$5:$L$84)),0),IF(YEAR(AI$3)=YEAR('New Hires Forecast'!$P$3),IF((AI$5=12),(SUMPRODUCT(--('New Hires Forecast'!$F$5:$F$84="Software"),--('New Hires Forecast'!$H$5:$H$84&gt;=Software!AI$3),'New Hires Forecast'!$P$5:$P$84,'New Hires Forecast'!$L$5:$L$84)),0),IF(YEAR(AI$3)=YEAR('New Hires Forecast'!$Q$3),IF((AI$5=12),(SUMPRODUCT(--('New Hires Forecast'!$F$5:$F$84="Software"),--('New Hires Forecast'!$H$5:$H$84&gt;=Software!AI$3),'New Hires Forecast'!$Q$5:$Q$84,'New Hires Forecast'!$L$5:$L$84)),0),IF(YEAR(AI$3)=YEAR('New Hires Forecast'!$R$3),IF((AI$5=12),(SUMPRODUCT(--('New Hires Forecast'!$F$5:$F$84="Software"),--('New Hires Forecast'!$H$5:$H$84&gt;=Software!AI$3),'New Hires Forecast'!$R$5:$R$84,'New Hires Forecast'!$L$5:$L$84)),0),"New Year"))))),0)</f>
        <v>0</v>
      </c>
      <c r="AJ15" s="684">
        <f>IF(AJ$4="forecast",IF(YEAR(AJ$3)=YEAR('New Hires Forecast'!$N$3),IF((AJ$5=12),(SUMPRODUCT(--('New Hires Forecast'!$F$5:$F$84="Software"),--('New Hires Forecast'!$H$5:$H$84&gt;=Software!AJ$3),'New Hires Forecast'!$N$5:$N$84,'New Hires Forecast'!$L$5:$L$84)),0),IF(YEAR(AJ$3)=YEAR('New Hires Forecast'!$O$3),IF((AJ$5=12),(SUMPRODUCT(--('New Hires Forecast'!$F$5:$F$84="Software"),--('New Hires Forecast'!$H$5:$H$84&gt;=Software!AJ$3),'New Hires Forecast'!$O$5:$O$84,'New Hires Forecast'!$L$5:$L$84)),0),IF(YEAR(AJ$3)=YEAR('New Hires Forecast'!$P$3),IF((AJ$5=12),(SUMPRODUCT(--('New Hires Forecast'!$F$5:$F$84="Software"),--('New Hires Forecast'!$H$5:$H$84&gt;=Software!AJ$3),'New Hires Forecast'!$P$5:$P$84,'New Hires Forecast'!$L$5:$L$84)),0),IF(YEAR(AJ$3)=YEAR('New Hires Forecast'!$Q$3),IF((AJ$5=12),(SUMPRODUCT(--('New Hires Forecast'!$F$5:$F$84="Software"),--('New Hires Forecast'!$H$5:$H$84&gt;=Software!AJ$3),'New Hires Forecast'!$Q$5:$Q$84,'New Hires Forecast'!$L$5:$L$84)),0),IF(YEAR(AJ$3)=YEAR('New Hires Forecast'!$R$3),IF((AJ$5=12),(SUMPRODUCT(--('New Hires Forecast'!$F$5:$F$84="Software"),--('New Hires Forecast'!$H$5:$H$84&gt;=Software!AJ$3),'New Hires Forecast'!$R$5:$R$84,'New Hires Forecast'!$L$5:$L$84)),0),"New Year"))))),0)</f>
        <v>0</v>
      </c>
      <c r="AK15" s="684">
        <f>IF(AK$4="forecast",IF(YEAR(AK$3)=YEAR('New Hires Forecast'!$N$3),IF((AK$5=12),(SUMPRODUCT(--('New Hires Forecast'!$F$5:$F$84="Software"),--('New Hires Forecast'!$H$5:$H$84&gt;=Software!AK$3),'New Hires Forecast'!$N$5:$N$84,'New Hires Forecast'!$L$5:$L$84)),0),IF(YEAR(AK$3)=YEAR('New Hires Forecast'!$O$3),IF((AK$5=12),(SUMPRODUCT(--('New Hires Forecast'!$F$5:$F$84="Software"),--('New Hires Forecast'!$H$5:$H$84&gt;=Software!AK$3),'New Hires Forecast'!$O$5:$O$84,'New Hires Forecast'!$L$5:$L$84)),0),IF(YEAR(AK$3)=YEAR('New Hires Forecast'!$P$3),IF((AK$5=12),(SUMPRODUCT(--('New Hires Forecast'!$F$5:$F$84="Software"),--('New Hires Forecast'!$H$5:$H$84&gt;=Software!AK$3),'New Hires Forecast'!$P$5:$P$84,'New Hires Forecast'!$L$5:$L$84)),0),IF(YEAR(AK$3)=YEAR('New Hires Forecast'!$Q$3),IF((AK$5=12),(SUMPRODUCT(--('New Hires Forecast'!$F$5:$F$84="Software"),--('New Hires Forecast'!$H$5:$H$84&gt;=Software!AK$3),'New Hires Forecast'!$Q$5:$Q$84,'New Hires Forecast'!$L$5:$L$84)),0),IF(YEAR(AK$3)=YEAR('New Hires Forecast'!$R$3),IF((AK$5=12),(SUMPRODUCT(--('New Hires Forecast'!$F$5:$F$84="Software"),--('New Hires Forecast'!$H$5:$H$84&gt;=Software!AK$3),'New Hires Forecast'!$R$5:$R$84,'New Hires Forecast'!$L$5:$L$84)),0),"New Year"))))),0)</f>
        <v>0</v>
      </c>
      <c r="AL15" s="684">
        <f>IF(AL$4="forecast",IF(YEAR(AL$3)=YEAR('New Hires Forecast'!$N$3),IF((AL$5=12),(SUMPRODUCT(--('New Hires Forecast'!$F$5:$F$84="Software"),--('New Hires Forecast'!$H$5:$H$84&gt;=Software!AL$3),'New Hires Forecast'!$N$5:$N$84,'New Hires Forecast'!$L$5:$L$84)),0),IF(YEAR(AL$3)=YEAR('New Hires Forecast'!$O$3),IF((AL$5=12),(SUMPRODUCT(--('New Hires Forecast'!$F$5:$F$84="Software"),--('New Hires Forecast'!$H$5:$H$84&gt;=Software!AL$3),'New Hires Forecast'!$O$5:$O$84,'New Hires Forecast'!$L$5:$L$84)),0),IF(YEAR(AL$3)=YEAR('New Hires Forecast'!$P$3),IF((AL$5=12),(SUMPRODUCT(--('New Hires Forecast'!$F$5:$F$84="Software"),--('New Hires Forecast'!$H$5:$H$84&gt;=Software!AL$3),'New Hires Forecast'!$P$5:$P$84,'New Hires Forecast'!$L$5:$L$84)),0),IF(YEAR(AL$3)=YEAR('New Hires Forecast'!$Q$3),IF((AL$5=12),(SUMPRODUCT(--('New Hires Forecast'!$F$5:$F$84="Software"),--('New Hires Forecast'!$H$5:$H$84&gt;=Software!AL$3),'New Hires Forecast'!$Q$5:$Q$84,'New Hires Forecast'!$L$5:$L$84)),0),IF(YEAR(AL$3)=YEAR('New Hires Forecast'!$R$3),IF((AL$5=12),(SUMPRODUCT(--('New Hires Forecast'!$F$5:$F$84="Software"),--('New Hires Forecast'!$H$5:$H$84&gt;=Software!AL$3),'New Hires Forecast'!$R$5:$R$84,'New Hires Forecast'!$L$5:$L$84)),0),"New Year"))))),0)</f>
        <v>36000</v>
      </c>
      <c r="AM15" s="684">
        <f>IF(AM$4="forecast",IF(YEAR(AM$3)=YEAR('New Hires Forecast'!$N$3),IF((AM$5=12),(SUMPRODUCT(--('New Hires Forecast'!$F$5:$F$84="Software"),--('New Hires Forecast'!$H$5:$H$84&gt;=Software!AM$3),'New Hires Forecast'!$N$5:$N$84,'New Hires Forecast'!$L$5:$L$84)),0),IF(YEAR(AM$3)=YEAR('New Hires Forecast'!$O$3),IF((AM$5=12),(SUMPRODUCT(--('New Hires Forecast'!$F$5:$F$84="Software"),--('New Hires Forecast'!$H$5:$H$84&gt;=Software!AM$3),'New Hires Forecast'!$O$5:$O$84,'New Hires Forecast'!$L$5:$L$84)),0),IF(YEAR(AM$3)=YEAR('New Hires Forecast'!$P$3),IF((AM$5=12),(SUMPRODUCT(--('New Hires Forecast'!$F$5:$F$84="Software"),--('New Hires Forecast'!$H$5:$H$84&gt;=Software!AM$3),'New Hires Forecast'!$P$5:$P$84,'New Hires Forecast'!$L$5:$L$84)),0),IF(YEAR(AM$3)=YEAR('New Hires Forecast'!$Q$3),IF((AM$5=12),(SUMPRODUCT(--('New Hires Forecast'!$F$5:$F$84="Software"),--('New Hires Forecast'!$H$5:$H$84&gt;=Software!AM$3),'New Hires Forecast'!$Q$5:$Q$84,'New Hires Forecast'!$L$5:$L$84)),0),IF(YEAR(AM$3)=YEAR('New Hires Forecast'!$R$3),IF((AM$5=12),(SUMPRODUCT(--('New Hires Forecast'!$F$5:$F$84="Software"),--('New Hires Forecast'!$H$5:$H$84&gt;=Software!AM$3),'New Hires Forecast'!$R$5:$R$84,'New Hires Forecast'!$L$5:$L$84)),0),"New Year"))))),0)</f>
        <v>0</v>
      </c>
      <c r="AN15" s="684">
        <f>IF(AN$4="forecast",IF(YEAR(AN$3)=YEAR('New Hires Forecast'!$N$3),IF((AN$5=12),(SUMPRODUCT(--('New Hires Forecast'!$F$5:$F$84="Software"),--('New Hires Forecast'!$H$5:$H$84&gt;=Software!AN$3),'New Hires Forecast'!$N$5:$N$84,'New Hires Forecast'!$L$5:$L$84)),0),IF(YEAR(AN$3)=YEAR('New Hires Forecast'!$O$3),IF((AN$5=12),(SUMPRODUCT(--('New Hires Forecast'!$F$5:$F$84="Software"),--('New Hires Forecast'!$H$5:$H$84&gt;=Software!AN$3),'New Hires Forecast'!$O$5:$O$84,'New Hires Forecast'!$L$5:$L$84)),0),IF(YEAR(AN$3)=YEAR('New Hires Forecast'!$P$3),IF((AN$5=12),(SUMPRODUCT(--('New Hires Forecast'!$F$5:$F$84="Software"),--('New Hires Forecast'!$H$5:$H$84&gt;=Software!AN$3),'New Hires Forecast'!$P$5:$P$84,'New Hires Forecast'!$L$5:$L$84)),0),IF(YEAR(AN$3)=YEAR('New Hires Forecast'!$Q$3),IF((AN$5=12),(SUMPRODUCT(--('New Hires Forecast'!$F$5:$F$84="Software"),--('New Hires Forecast'!$H$5:$H$84&gt;=Software!AN$3),'New Hires Forecast'!$Q$5:$Q$84,'New Hires Forecast'!$L$5:$L$84)),0),IF(YEAR(AN$3)=YEAR('New Hires Forecast'!$R$3),IF((AN$5=12),(SUMPRODUCT(--('New Hires Forecast'!$F$5:$F$84="Software"),--('New Hires Forecast'!$H$5:$H$84&gt;=Software!AN$3),'New Hires Forecast'!$R$5:$R$84,'New Hires Forecast'!$L$5:$L$84)),0),"New Year"))))),0)</f>
        <v>0</v>
      </c>
      <c r="AO15" s="684">
        <f>IF(AO$4="forecast",IF(YEAR(AO$3)=YEAR('New Hires Forecast'!$N$3),IF((AO$5=12),(SUMPRODUCT(--('New Hires Forecast'!$F$5:$F$84="Software"),--('New Hires Forecast'!$H$5:$H$84&gt;=Software!AO$3),'New Hires Forecast'!$N$5:$N$84,'New Hires Forecast'!$L$5:$L$84)),0),IF(YEAR(AO$3)=YEAR('New Hires Forecast'!$O$3),IF((AO$5=12),(SUMPRODUCT(--('New Hires Forecast'!$F$5:$F$84="Software"),--('New Hires Forecast'!$H$5:$H$84&gt;=Software!AO$3),'New Hires Forecast'!$O$5:$O$84,'New Hires Forecast'!$L$5:$L$84)),0),IF(YEAR(AO$3)=YEAR('New Hires Forecast'!$P$3),IF((AO$5=12),(SUMPRODUCT(--('New Hires Forecast'!$F$5:$F$84="Software"),--('New Hires Forecast'!$H$5:$H$84&gt;=Software!AO$3),'New Hires Forecast'!$P$5:$P$84,'New Hires Forecast'!$L$5:$L$84)),0),IF(YEAR(AO$3)=YEAR('New Hires Forecast'!$Q$3),IF((AO$5=12),(SUMPRODUCT(--('New Hires Forecast'!$F$5:$F$84="Software"),--('New Hires Forecast'!$H$5:$H$84&gt;=Software!AO$3),'New Hires Forecast'!$Q$5:$Q$84,'New Hires Forecast'!$L$5:$L$84)),0),IF(YEAR(AO$3)=YEAR('New Hires Forecast'!$R$3),IF((AO$5=12),(SUMPRODUCT(--('New Hires Forecast'!$F$5:$F$84="Software"),--('New Hires Forecast'!$H$5:$H$84&gt;=Software!AO$3),'New Hires Forecast'!$R$5:$R$84,'New Hires Forecast'!$L$5:$L$84)),0),"New Year"))))),0)</f>
        <v>0</v>
      </c>
      <c r="AP15" s="684">
        <f>IF(AP$4="forecast",IF(YEAR(AP$3)=YEAR('New Hires Forecast'!$N$3),IF((AP$5=12),(SUMPRODUCT(--('New Hires Forecast'!$F$5:$F$84="Software"),--('New Hires Forecast'!$H$5:$H$84&gt;=Software!AP$3),'New Hires Forecast'!$N$5:$N$84,'New Hires Forecast'!$L$5:$L$84)),0),IF(YEAR(AP$3)=YEAR('New Hires Forecast'!$O$3),IF((AP$5=12),(SUMPRODUCT(--('New Hires Forecast'!$F$5:$F$84="Software"),--('New Hires Forecast'!$H$5:$H$84&gt;=Software!AP$3),'New Hires Forecast'!$O$5:$O$84,'New Hires Forecast'!$L$5:$L$84)),0),IF(YEAR(AP$3)=YEAR('New Hires Forecast'!$P$3),IF((AP$5=12),(SUMPRODUCT(--('New Hires Forecast'!$F$5:$F$84="Software"),--('New Hires Forecast'!$H$5:$H$84&gt;=Software!AP$3),'New Hires Forecast'!$P$5:$P$84,'New Hires Forecast'!$L$5:$L$84)),0),IF(YEAR(AP$3)=YEAR('New Hires Forecast'!$Q$3),IF((AP$5=12),(SUMPRODUCT(--('New Hires Forecast'!$F$5:$F$84="Software"),--('New Hires Forecast'!$H$5:$H$84&gt;=Software!AP$3),'New Hires Forecast'!$Q$5:$Q$84,'New Hires Forecast'!$L$5:$L$84)),0),IF(YEAR(AP$3)=YEAR('New Hires Forecast'!$R$3),IF((AP$5=12),(SUMPRODUCT(--('New Hires Forecast'!$F$5:$F$84="Software"),--('New Hires Forecast'!$H$5:$H$84&gt;=Software!AP$3),'New Hires Forecast'!$R$5:$R$84,'New Hires Forecast'!$L$5:$L$84)),0),"New Year"))))),0)</f>
        <v>0</v>
      </c>
      <c r="AQ15" s="684">
        <f>IF(AQ$4="forecast",IF(YEAR(AQ$3)=YEAR('New Hires Forecast'!$N$3),IF((AQ$5=12),(SUMPRODUCT(--('New Hires Forecast'!$F$5:$F$84="Software"),--('New Hires Forecast'!$H$5:$H$84&gt;=Software!AQ$3),'New Hires Forecast'!$N$5:$N$84,'New Hires Forecast'!$L$5:$L$84)),0),IF(YEAR(AQ$3)=YEAR('New Hires Forecast'!$O$3),IF((AQ$5=12),(SUMPRODUCT(--('New Hires Forecast'!$F$5:$F$84="Software"),--('New Hires Forecast'!$H$5:$H$84&gt;=Software!AQ$3),'New Hires Forecast'!$O$5:$O$84,'New Hires Forecast'!$L$5:$L$84)),0),IF(YEAR(AQ$3)=YEAR('New Hires Forecast'!$P$3),IF((AQ$5=12),(SUMPRODUCT(--('New Hires Forecast'!$F$5:$F$84="Software"),--('New Hires Forecast'!$H$5:$H$84&gt;=Software!AQ$3),'New Hires Forecast'!$P$5:$P$84,'New Hires Forecast'!$L$5:$L$84)),0),IF(YEAR(AQ$3)=YEAR('New Hires Forecast'!$Q$3),IF((AQ$5=12),(SUMPRODUCT(--('New Hires Forecast'!$F$5:$F$84="Software"),--('New Hires Forecast'!$H$5:$H$84&gt;=Software!AQ$3),'New Hires Forecast'!$Q$5:$Q$84,'New Hires Forecast'!$L$5:$L$84)),0),IF(YEAR(AQ$3)=YEAR('New Hires Forecast'!$R$3),IF((AQ$5=12),(SUMPRODUCT(--('New Hires Forecast'!$F$5:$F$84="Software"),--('New Hires Forecast'!$H$5:$H$84&gt;=Software!AQ$3),'New Hires Forecast'!$R$5:$R$84,'New Hires Forecast'!$L$5:$L$84)),0),"New Year"))))),0)</f>
        <v>0</v>
      </c>
      <c r="AR15" s="684">
        <f>IF(AR$4="forecast",IF(YEAR(AR$3)=YEAR('New Hires Forecast'!$N$3),IF((AR$5=12),(SUMPRODUCT(--('New Hires Forecast'!$F$5:$F$84="Software"),--('New Hires Forecast'!$H$5:$H$84&gt;=Software!AR$3),'New Hires Forecast'!$N$5:$N$84,'New Hires Forecast'!$L$5:$L$84)),0),IF(YEAR(AR$3)=YEAR('New Hires Forecast'!$O$3),IF((AR$5=12),(SUMPRODUCT(--('New Hires Forecast'!$F$5:$F$84="Software"),--('New Hires Forecast'!$H$5:$H$84&gt;=Software!AR$3),'New Hires Forecast'!$O$5:$O$84,'New Hires Forecast'!$L$5:$L$84)),0),IF(YEAR(AR$3)=YEAR('New Hires Forecast'!$P$3),IF((AR$5=12),(SUMPRODUCT(--('New Hires Forecast'!$F$5:$F$84="Software"),--('New Hires Forecast'!$H$5:$H$84&gt;=Software!AR$3),'New Hires Forecast'!$P$5:$P$84,'New Hires Forecast'!$L$5:$L$84)),0),IF(YEAR(AR$3)=YEAR('New Hires Forecast'!$Q$3),IF((AR$5=12),(SUMPRODUCT(--('New Hires Forecast'!$F$5:$F$84="Software"),--('New Hires Forecast'!$H$5:$H$84&gt;=Software!AR$3),'New Hires Forecast'!$Q$5:$Q$84,'New Hires Forecast'!$L$5:$L$84)),0),IF(YEAR(AR$3)=YEAR('New Hires Forecast'!$R$3),IF((AR$5=12),(SUMPRODUCT(--('New Hires Forecast'!$F$5:$F$84="Software"),--('New Hires Forecast'!$H$5:$H$84&gt;=Software!AR$3),'New Hires Forecast'!$R$5:$R$84,'New Hires Forecast'!$L$5:$L$84)),0),"New Year"))))),0)</f>
        <v>0</v>
      </c>
      <c r="AS15" s="684">
        <f>IF(AS$4="forecast",IF(YEAR(AS$3)=YEAR('New Hires Forecast'!$N$3),IF((AS$5=12),(SUMPRODUCT(--('New Hires Forecast'!$F$5:$F$84="Software"),--('New Hires Forecast'!$H$5:$H$84&gt;=Software!AS$3),'New Hires Forecast'!$N$5:$N$84,'New Hires Forecast'!$L$5:$L$84)),0),IF(YEAR(AS$3)=YEAR('New Hires Forecast'!$O$3),IF((AS$5=12),(SUMPRODUCT(--('New Hires Forecast'!$F$5:$F$84="Software"),--('New Hires Forecast'!$H$5:$H$84&gt;=Software!AS$3),'New Hires Forecast'!$O$5:$O$84,'New Hires Forecast'!$L$5:$L$84)),0),IF(YEAR(AS$3)=YEAR('New Hires Forecast'!$P$3),IF((AS$5=12),(SUMPRODUCT(--('New Hires Forecast'!$F$5:$F$84="Software"),--('New Hires Forecast'!$H$5:$H$84&gt;=Software!AS$3),'New Hires Forecast'!$P$5:$P$84,'New Hires Forecast'!$L$5:$L$84)),0),IF(YEAR(AS$3)=YEAR('New Hires Forecast'!$Q$3),IF((AS$5=12),(SUMPRODUCT(--('New Hires Forecast'!$F$5:$F$84="Software"),--('New Hires Forecast'!$H$5:$H$84&gt;=Software!AS$3),'New Hires Forecast'!$Q$5:$Q$84,'New Hires Forecast'!$L$5:$L$84)),0),IF(YEAR(AS$3)=YEAR('New Hires Forecast'!$R$3),IF((AS$5=12),(SUMPRODUCT(--('New Hires Forecast'!$F$5:$F$84="Software"),--('New Hires Forecast'!$H$5:$H$84&gt;=Software!AS$3),'New Hires Forecast'!$R$5:$R$84,'New Hires Forecast'!$L$5:$L$84)),0),"New Year"))))),0)</f>
        <v>0</v>
      </c>
      <c r="AT15" s="684">
        <f>IF(AT$4="forecast",IF(YEAR(AT$3)=YEAR('New Hires Forecast'!$N$3),IF((AT$5=12),(SUMPRODUCT(--('New Hires Forecast'!$F$5:$F$84="Software"),--('New Hires Forecast'!$H$5:$H$84&gt;=Software!AT$3),'New Hires Forecast'!$N$5:$N$84,'New Hires Forecast'!$L$5:$L$84)),0),IF(YEAR(AT$3)=YEAR('New Hires Forecast'!$O$3),IF((AT$5=12),(SUMPRODUCT(--('New Hires Forecast'!$F$5:$F$84="Software"),--('New Hires Forecast'!$H$5:$H$84&gt;=Software!AT$3),'New Hires Forecast'!$O$5:$O$84,'New Hires Forecast'!$L$5:$L$84)),0),IF(YEAR(AT$3)=YEAR('New Hires Forecast'!$P$3),IF((AT$5=12),(SUMPRODUCT(--('New Hires Forecast'!$F$5:$F$84="Software"),--('New Hires Forecast'!$H$5:$H$84&gt;=Software!AT$3),'New Hires Forecast'!$P$5:$P$84,'New Hires Forecast'!$L$5:$L$84)),0),IF(YEAR(AT$3)=YEAR('New Hires Forecast'!$Q$3),IF((AT$5=12),(SUMPRODUCT(--('New Hires Forecast'!$F$5:$F$84="Software"),--('New Hires Forecast'!$H$5:$H$84&gt;=Software!AT$3),'New Hires Forecast'!$Q$5:$Q$84,'New Hires Forecast'!$L$5:$L$84)),0),IF(YEAR(AT$3)=YEAR('New Hires Forecast'!$R$3),IF((AT$5=12),(SUMPRODUCT(--('New Hires Forecast'!$F$5:$F$84="Software"),--('New Hires Forecast'!$H$5:$H$84&gt;=Software!AT$3),'New Hires Forecast'!$R$5:$R$84,'New Hires Forecast'!$L$5:$L$84)),0),"New Year"))))),0)</f>
        <v>0</v>
      </c>
      <c r="AU15" s="684">
        <f>IF(AU$4="forecast",IF(YEAR(AU$3)=YEAR('New Hires Forecast'!$N$3),IF((AU$5=12),(SUMPRODUCT(--('New Hires Forecast'!$F$5:$F$84="Software"),--('New Hires Forecast'!$H$5:$H$84&gt;=Software!AU$3),'New Hires Forecast'!$N$5:$N$84,'New Hires Forecast'!$L$5:$L$84)),0),IF(YEAR(AU$3)=YEAR('New Hires Forecast'!$O$3),IF((AU$5=12),(SUMPRODUCT(--('New Hires Forecast'!$F$5:$F$84="Software"),--('New Hires Forecast'!$H$5:$H$84&gt;=Software!AU$3),'New Hires Forecast'!$O$5:$O$84,'New Hires Forecast'!$L$5:$L$84)),0),IF(YEAR(AU$3)=YEAR('New Hires Forecast'!$P$3),IF((AU$5=12),(SUMPRODUCT(--('New Hires Forecast'!$F$5:$F$84="Software"),--('New Hires Forecast'!$H$5:$H$84&gt;=Software!AU$3),'New Hires Forecast'!$P$5:$P$84,'New Hires Forecast'!$L$5:$L$84)),0),IF(YEAR(AU$3)=YEAR('New Hires Forecast'!$Q$3),IF((AU$5=12),(SUMPRODUCT(--('New Hires Forecast'!$F$5:$F$84="Software"),--('New Hires Forecast'!$H$5:$H$84&gt;=Software!AU$3),'New Hires Forecast'!$Q$5:$Q$84,'New Hires Forecast'!$L$5:$L$84)),0),IF(YEAR(AU$3)=YEAR('New Hires Forecast'!$R$3),IF((AU$5=12),(SUMPRODUCT(--('New Hires Forecast'!$F$5:$F$84="Software"),--('New Hires Forecast'!$H$5:$H$84&gt;=Software!AU$3),'New Hires Forecast'!$R$5:$R$84,'New Hires Forecast'!$L$5:$L$84)),0),"New Year"))))),0)</f>
        <v>0</v>
      </c>
      <c r="AV15" s="684">
        <f>IF(AV$4="forecast",IF(YEAR(AV$3)=YEAR('New Hires Forecast'!$N$3),IF((AV$5=12),(SUMPRODUCT(--('New Hires Forecast'!$F$5:$F$84="Software"),--('New Hires Forecast'!$H$5:$H$84&gt;=Software!AV$3),'New Hires Forecast'!$N$5:$N$84,'New Hires Forecast'!$L$5:$L$84)),0),IF(YEAR(AV$3)=YEAR('New Hires Forecast'!$O$3),IF((AV$5=12),(SUMPRODUCT(--('New Hires Forecast'!$F$5:$F$84="Software"),--('New Hires Forecast'!$H$5:$H$84&gt;=Software!AV$3),'New Hires Forecast'!$O$5:$O$84,'New Hires Forecast'!$L$5:$L$84)),0),IF(YEAR(AV$3)=YEAR('New Hires Forecast'!$P$3),IF((AV$5=12),(SUMPRODUCT(--('New Hires Forecast'!$F$5:$F$84="Software"),--('New Hires Forecast'!$H$5:$H$84&gt;=Software!AV$3),'New Hires Forecast'!$P$5:$P$84,'New Hires Forecast'!$L$5:$L$84)),0),IF(YEAR(AV$3)=YEAR('New Hires Forecast'!$Q$3),IF((AV$5=12),(SUMPRODUCT(--('New Hires Forecast'!$F$5:$F$84="Software"),--('New Hires Forecast'!$H$5:$H$84&gt;=Software!AV$3),'New Hires Forecast'!$Q$5:$Q$84,'New Hires Forecast'!$L$5:$L$84)),0),IF(YEAR(AV$3)=YEAR('New Hires Forecast'!$R$3),IF((AV$5=12),(SUMPRODUCT(--('New Hires Forecast'!$F$5:$F$84="Software"),--('New Hires Forecast'!$H$5:$H$84&gt;=Software!AV$3),'New Hires Forecast'!$R$5:$R$84,'New Hires Forecast'!$L$5:$L$84)),0),"New Year"))))),0)</f>
        <v>0</v>
      </c>
      <c r="AW15" s="684">
        <f>IF(AW$4="forecast",IF(YEAR(AW$3)=YEAR('New Hires Forecast'!$N$3),IF((AW$5=12),(SUMPRODUCT(--('New Hires Forecast'!$F$5:$F$84="Software"),--('New Hires Forecast'!$H$5:$H$84&gt;=Software!AW$3),'New Hires Forecast'!$N$5:$N$84,'New Hires Forecast'!$L$5:$L$84)),0),IF(YEAR(AW$3)=YEAR('New Hires Forecast'!$O$3),IF((AW$5=12),(SUMPRODUCT(--('New Hires Forecast'!$F$5:$F$84="Software"),--('New Hires Forecast'!$H$5:$H$84&gt;=Software!AW$3),'New Hires Forecast'!$O$5:$O$84,'New Hires Forecast'!$L$5:$L$84)),0),IF(YEAR(AW$3)=YEAR('New Hires Forecast'!$P$3),IF((AW$5=12),(SUMPRODUCT(--('New Hires Forecast'!$F$5:$F$84="Software"),--('New Hires Forecast'!$H$5:$H$84&gt;=Software!AW$3),'New Hires Forecast'!$P$5:$P$84,'New Hires Forecast'!$L$5:$L$84)),0),IF(YEAR(AW$3)=YEAR('New Hires Forecast'!$Q$3),IF((AW$5=12),(SUMPRODUCT(--('New Hires Forecast'!$F$5:$F$84="Software"),--('New Hires Forecast'!$H$5:$H$84&gt;=Software!AW$3),'New Hires Forecast'!$Q$5:$Q$84,'New Hires Forecast'!$L$5:$L$84)),0),IF(YEAR(AW$3)=YEAR('New Hires Forecast'!$R$3),IF((AW$5=12),(SUMPRODUCT(--('New Hires Forecast'!$F$5:$F$84="Software"),--('New Hires Forecast'!$H$5:$H$84&gt;=Software!AW$3),'New Hires Forecast'!$R$5:$R$84,'New Hires Forecast'!$L$5:$L$84)),0),"New Year"))))),0)</f>
        <v>0</v>
      </c>
      <c r="AX15" s="684">
        <f>IF(AX$4="forecast",IF(YEAR(AX$3)=YEAR('New Hires Forecast'!$N$3),IF((AX$5=12),(SUMPRODUCT(--('New Hires Forecast'!$F$5:$F$84="Software"),--('New Hires Forecast'!$H$5:$H$84&gt;=Software!AX$3),'New Hires Forecast'!$N$5:$N$84,'New Hires Forecast'!$L$5:$L$84)),0),IF(YEAR(AX$3)=YEAR('New Hires Forecast'!$O$3),IF((AX$5=12),(SUMPRODUCT(--('New Hires Forecast'!$F$5:$F$84="Software"),--('New Hires Forecast'!$H$5:$H$84&gt;=Software!AX$3),'New Hires Forecast'!$O$5:$O$84,'New Hires Forecast'!$L$5:$L$84)),0),IF(YEAR(AX$3)=YEAR('New Hires Forecast'!$P$3),IF((AX$5=12),(SUMPRODUCT(--('New Hires Forecast'!$F$5:$F$84="Software"),--('New Hires Forecast'!$H$5:$H$84&gt;=Software!AX$3),'New Hires Forecast'!$P$5:$P$84,'New Hires Forecast'!$L$5:$L$84)),0),IF(YEAR(AX$3)=YEAR('New Hires Forecast'!$Q$3),IF((AX$5=12),(SUMPRODUCT(--('New Hires Forecast'!$F$5:$F$84="Software"),--('New Hires Forecast'!$H$5:$H$84&gt;=Software!AX$3),'New Hires Forecast'!$Q$5:$Q$84,'New Hires Forecast'!$L$5:$L$84)),0),IF(YEAR(AX$3)=YEAR('New Hires Forecast'!$R$3),IF((AX$5=12),(SUMPRODUCT(--('New Hires Forecast'!$F$5:$F$84="Software"),--('New Hires Forecast'!$H$5:$H$84&gt;=Software!AX$3),'New Hires Forecast'!$R$5:$R$84,'New Hires Forecast'!$L$5:$L$84)),0),"New Year"))))),0)</f>
        <v>37080</v>
      </c>
      <c r="AY15" s="684">
        <f>IF(AY$4="forecast",IF(YEAR(AY$3)=YEAR('New Hires Forecast'!$N$3),IF((AY$5=12),(SUMPRODUCT(--('New Hires Forecast'!$F$5:$F$84="Software"),--('New Hires Forecast'!$H$5:$H$84&gt;=Software!AY$3),'New Hires Forecast'!$N$5:$N$84,'New Hires Forecast'!$L$5:$L$84)),0),IF(YEAR(AY$3)=YEAR('New Hires Forecast'!$O$3),IF((AY$5=12),(SUMPRODUCT(--('New Hires Forecast'!$F$5:$F$84="Software"),--('New Hires Forecast'!$H$5:$H$84&gt;=Software!AY$3),'New Hires Forecast'!$O$5:$O$84,'New Hires Forecast'!$L$5:$L$84)),0),IF(YEAR(AY$3)=YEAR('New Hires Forecast'!$P$3),IF((AY$5=12),(SUMPRODUCT(--('New Hires Forecast'!$F$5:$F$84="Software"),--('New Hires Forecast'!$H$5:$H$84&gt;=Software!AY$3),'New Hires Forecast'!$P$5:$P$84,'New Hires Forecast'!$L$5:$L$84)),0),IF(YEAR(AY$3)=YEAR('New Hires Forecast'!$Q$3),IF((AY$5=12),(SUMPRODUCT(--('New Hires Forecast'!$F$5:$F$84="Software"),--('New Hires Forecast'!$H$5:$H$84&gt;=Software!AY$3),'New Hires Forecast'!$Q$5:$Q$84,'New Hires Forecast'!$L$5:$L$84)),0),IF(YEAR(AY$3)=YEAR('New Hires Forecast'!$R$3),IF((AY$5=12),(SUMPRODUCT(--('New Hires Forecast'!$F$5:$F$84="Software"),--('New Hires Forecast'!$H$5:$H$84&gt;=Software!AY$3),'New Hires Forecast'!$R$5:$R$84,'New Hires Forecast'!$L$5:$L$84)),0),"New Year"))))),0)</f>
        <v>0</v>
      </c>
      <c r="AZ15" s="684">
        <f>IF(AZ$4="forecast",IF(YEAR(AZ$3)=YEAR('New Hires Forecast'!$N$3),IF((AZ$5=12),(SUMPRODUCT(--('New Hires Forecast'!$F$5:$F$84="Software"),--('New Hires Forecast'!$H$5:$H$84&gt;=Software!AZ$3),'New Hires Forecast'!$N$5:$N$84,'New Hires Forecast'!$L$5:$L$84)),0),IF(YEAR(AZ$3)=YEAR('New Hires Forecast'!$O$3),IF((AZ$5=12),(SUMPRODUCT(--('New Hires Forecast'!$F$5:$F$84="Software"),--('New Hires Forecast'!$H$5:$H$84&gt;=Software!AZ$3),'New Hires Forecast'!$O$5:$O$84,'New Hires Forecast'!$L$5:$L$84)),0),IF(YEAR(AZ$3)=YEAR('New Hires Forecast'!$P$3),IF((AZ$5=12),(SUMPRODUCT(--('New Hires Forecast'!$F$5:$F$84="Software"),--('New Hires Forecast'!$H$5:$H$84&gt;=Software!AZ$3),'New Hires Forecast'!$P$5:$P$84,'New Hires Forecast'!$L$5:$L$84)),0),IF(YEAR(AZ$3)=YEAR('New Hires Forecast'!$Q$3),IF((AZ$5=12),(SUMPRODUCT(--('New Hires Forecast'!$F$5:$F$84="Software"),--('New Hires Forecast'!$H$5:$H$84&gt;=Software!AZ$3),'New Hires Forecast'!$Q$5:$Q$84,'New Hires Forecast'!$L$5:$L$84)),0),IF(YEAR(AZ$3)=YEAR('New Hires Forecast'!$R$3),IF((AZ$5=12),(SUMPRODUCT(--('New Hires Forecast'!$F$5:$F$84="Software"),--('New Hires Forecast'!$H$5:$H$84&gt;=Software!AZ$3),'New Hires Forecast'!$R$5:$R$84,'New Hires Forecast'!$L$5:$L$84)),0),"New Year"))))),0)</f>
        <v>0</v>
      </c>
      <c r="BA15" s="684">
        <f>IF(BA$4="forecast",IF(YEAR(BA$3)=YEAR('New Hires Forecast'!$N$3),IF((BA$5=12),(SUMPRODUCT(--('New Hires Forecast'!$F$5:$F$84="Software"),--('New Hires Forecast'!$H$5:$H$84&gt;=Software!BA$3),'New Hires Forecast'!$N$5:$N$84,'New Hires Forecast'!$L$5:$L$84)),0),IF(YEAR(BA$3)=YEAR('New Hires Forecast'!$O$3),IF((BA$5=12),(SUMPRODUCT(--('New Hires Forecast'!$F$5:$F$84="Software"),--('New Hires Forecast'!$H$5:$H$84&gt;=Software!BA$3),'New Hires Forecast'!$O$5:$O$84,'New Hires Forecast'!$L$5:$L$84)),0),IF(YEAR(BA$3)=YEAR('New Hires Forecast'!$P$3),IF((BA$5=12),(SUMPRODUCT(--('New Hires Forecast'!$F$5:$F$84="Software"),--('New Hires Forecast'!$H$5:$H$84&gt;=Software!BA$3),'New Hires Forecast'!$P$5:$P$84,'New Hires Forecast'!$L$5:$L$84)),0),IF(YEAR(BA$3)=YEAR('New Hires Forecast'!$Q$3),IF((BA$5=12),(SUMPRODUCT(--('New Hires Forecast'!$F$5:$F$84="Software"),--('New Hires Forecast'!$H$5:$H$84&gt;=Software!BA$3),'New Hires Forecast'!$Q$5:$Q$84,'New Hires Forecast'!$L$5:$L$84)),0),IF(YEAR(BA$3)=YEAR('New Hires Forecast'!$R$3),IF((BA$5=12),(SUMPRODUCT(--('New Hires Forecast'!$F$5:$F$84="Software"),--('New Hires Forecast'!$H$5:$H$84&gt;=Software!BA$3),'New Hires Forecast'!$R$5:$R$84,'New Hires Forecast'!$L$5:$L$84)),0),"New Year"))))),0)</f>
        <v>0</v>
      </c>
      <c r="BB15" s="684">
        <f>IF(BB$4="forecast",IF(YEAR(BB$3)=YEAR('New Hires Forecast'!$N$3),IF((BB$5=12),(SUMPRODUCT(--('New Hires Forecast'!$F$5:$F$84="Software"),--('New Hires Forecast'!$H$5:$H$84&gt;=Software!BB$3),'New Hires Forecast'!$N$5:$N$84,'New Hires Forecast'!$L$5:$L$84)),0),IF(YEAR(BB$3)=YEAR('New Hires Forecast'!$O$3),IF((BB$5=12),(SUMPRODUCT(--('New Hires Forecast'!$F$5:$F$84="Software"),--('New Hires Forecast'!$H$5:$H$84&gt;=Software!BB$3),'New Hires Forecast'!$O$5:$O$84,'New Hires Forecast'!$L$5:$L$84)),0),IF(YEAR(BB$3)=YEAR('New Hires Forecast'!$P$3),IF((BB$5=12),(SUMPRODUCT(--('New Hires Forecast'!$F$5:$F$84="Software"),--('New Hires Forecast'!$H$5:$H$84&gt;=Software!BB$3),'New Hires Forecast'!$P$5:$P$84,'New Hires Forecast'!$L$5:$L$84)),0),IF(YEAR(BB$3)=YEAR('New Hires Forecast'!$Q$3),IF((BB$5=12),(SUMPRODUCT(--('New Hires Forecast'!$F$5:$F$84="Software"),--('New Hires Forecast'!$H$5:$H$84&gt;=Software!BB$3),'New Hires Forecast'!$Q$5:$Q$84,'New Hires Forecast'!$L$5:$L$84)),0),IF(YEAR(BB$3)=YEAR('New Hires Forecast'!$R$3),IF((BB$5=12),(SUMPRODUCT(--('New Hires Forecast'!$F$5:$F$84="Software"),--('New Hires Forecast'!$H$5:$H$84&gt;=Software!BB$3),'New Hires Forecast'!$R$5:$R$84,'New Hires Forecast'!$L$5:$L$84)),0),"New Year"))))),0)</f>
        <v>0</v>
      </c>
      <c r="BC15" s="684">
        <f>IF(BC$4="forecast",IF(YEAR(BC$3)=YEAR('New Hires Forecast'!$N$3),IF((BC$5=12),(SUMPRODUCT(--('New Hires Forecast'!$F$5:$F$84="Software"),--('New Hires Forecast'!$H$5:$H$84&gt;=Software!BC$3),'New Hires Forecast'!$N$5:$N$84,'New Hires Forecast'!$L$5:$L$84)),0),IF(YEAR(BC$3)=YEAR('New Hires Forecast'!$O$3),IF((BC$5=12),(SUMPRODUCT(--('New Hires Forecast'!$F$5:$F$84="Software"),--('New Hires Forecast'!$H$5:$H$84&gt;=Software!BC$3),'New Hires Forecast'!$O$5:$O$84,'New Hires Forecast'!$L$5:$L$84)),0),IF(YEAR(BC$3)=YEAR('New Hires Forecast'!$P$3),IF((BC$5=12),(SUMPRODUCT(--('New Hires Forecast'!$F$5:$F$84="Software"),--('New Hires Forecast'!$H$5:$H$84&gt;=Software!BC$3),'New Hires Forecast'!$P$5:$P$84,'New Hires Forecast'!$L$5:$L$84)),0),IF(YEAR(BC$3)=YEAR('New Hires Forecast'!$Q$3),IF((BC$5=12),(SUMPRODUCT(--('New Hires Forecast'!$F$5:$F$84="Software"),--('New Hires Forecast'!$H$5:$H$84&gt;=Software!BC$3),'New Hires Forecast'!$Q$5:$Q$84,'New Hires Forecast'!$L$5:$L$84)),0),IF(YEAR(BC$3)=YEAR('New Hires Forecast'!$R$3),IF((BC$5=12),(SUMPRODUCT(--('New Hires Forecast'!$F$5:$F$84="Software"),--('New Hires Forecast'!$H$5:$H$84&gt;=Software!BC$3),'New Hires Forecast'!$R$5:$R$84,'New Hires Forecast'!$L$5:$L$84)),0),"New Year"))))),0)</f>
        <v>0</v>
      </c>
      <c r="BD15" s="684">
        <f>IF(BD$4="forecast",IF(YEAR(BD$3)=YEAR('New Hires Forecast'!$N$3),IF((BD$5=12),(SUMPRODUCT(--('New Hires Forecast'!$F$5:$F$84="Software"),--('New Hires Forecast'!$H$5:$H$84&gt;=Software!BD$3),'New Hires Forecast'!$N$5:$N$84,'New Hires Forecast'!$L$5:$L$84)),0),IF(YEAR(BD$3)=YEAR('New Hires Forecast'!$O$3),IF((BD$5=12),(SUMPRODUCT(--('New Hires Forecast'!$F$5:$F$84="Software"),--('New Hires Forecast'!$H$5:$H$84&gt;=Software!BD$3),'New Hires Forecast'!$O$5:$O$84,'New Hires Forecast'!$L$5:$L$84)),0),IF(YEAR(BD$3)=YEAR('New Hires Forecast'!$P$3),IF((BD$5=12),(SUMPRODUCT(--('New Hires Forecast'!$F$5:$F$84="Software"),--('New Hires Forecast'!$H$5:$H$84&gt;=Software!BD$3),'New Hires Forecast'!$P$5:$P$84,'New Hires Forecast'!$L$5:$L$84)),0),IF(YEAR(BD$3)=YEAR('New Hires Forecast'!$Q$3),IF((BD$5=12),(SUMPRODUCT(--('New Hires Forecast'!$F$5:$F$84="Software"),--('New Hires Forecast'!$H$5:$H$84&gt;=Software!BD$3),'New Hires Forecast'!$Q$5:$Q$84,'New Hires Forecast'!$L$5:$L$84)),0),IF(YEAR(BD$3)=YEAR('New Hires Forecast'!$R$3),IF((BD$5=12),(SUMPRODUCT(--('New Hires Forecast'!$F$5:$F$84="Software"),--('New Hires Forecast'!$H$5:$H$84&gt;=Software!BD$3),'New Hires Forecast'!$R$5:$R$84,'New Hires Forecast'!$L$5:$L$84)),0),"New Year"))))),0)</f>
        <v>0</v>
      </c>
      <c r="BE15" s="684">
        <f>IF(BE$4="forecast",IF(YEAR(BE$3)=YEAR('New Hires Forecast'!$N$3),IF((BE$5=12),(SUMPRODUCT(--('New Hires Forecast'!$F$5:$F$84="Software"),--('New Hires Forecast'!$H$5:$H$84&gt;=Software!BE$3),'New Hires Forecast'!$N$5:$N$84,'New Hires Forecast'!$L$5:$L$84)),0),IF(YEAR(BE$3)=YEAR('New Hires Forecast'!$O$3),IF((BE$5=12),(SUMPRODUCT(--('New Hires Forecast'!$F$5:$F$84="Software"),--('New Hires Forecast'!$H$5:$H$84&gt;=Software!BE$3),'New Hires Forecast'!$O$5:$O$84,'New Hires Forecast'!$L$5:$L$84)),0),IF(YEAR(BE$3)=YEAR('New Hires Forecast'!$P$3),IF((BE$5=12),(SUMPRODUCT(--('New Hires Forecast'!$F$5:$F$84="Software"),--('New Hires Forecast'!$H$5:$H$84&gt;=Software!BE$3),'New Hires Forecast'!$P$5:$P$84,'New Hires Forecast'!$L$5:$L$84)),0),IF(YEAR(BE$3)=YEAR('New Hires Forecast'!$Q$3),IF((BE$5=12),(SUMPRODUCT(--('New Hires Forecast'!$F$5:$F$84="Software"),--('New Hires Forecast'!$H$5:$H$84&gt;=Software!BE$3),'New Hires Forecast'!$Q$5:$Q$84,'New Hires Forecast'!$L$5:$L$84)),0),IF(YEAR(BE$3)=YEAR('New Hires Forecast'!$R$3),IF((BE$5=12),(SUMPRODUCT(--('New Hires Forecast'!$F$5:$F$84="Software"),--('New Hires Forecast'!$H$5:$H$84&gt;=Software!BE$3),'New Hires Forecast'!$R$5:$R$84,'New Hires Forecast'!$L$5:$L$84)),0),"New Year"))))),0)</f>
        <v>0</v>
      </c>
      <c r="BF15" s="684">
        <f>IF(BF$4="forecast",IF(YEAR(BF$3)=YEAR('New Hires Forecast'!$N$3),IF((BF$5=12),(SUMPRODUCT(--('New Hires Forecast'!$F$5:$F$84="Software"),--('New Hires Forecast'!$H$5:$H$84&gt;=Software!BF$3),'New Hires Forecast'!$N$5:$N$84,'New Hires Forecast'!$L$5:$L$84)),0),IF(YEAR(BF$3)=YEAR('New Hires Forecast'!$O$3),IF((BF$5=12),(SUMPRODUCT(--('New Hires Forecast'!$F$5:$F$84="Software"),--('New Hires Forecast'!$H$5:$H$84&gt;=Software!BF$3),'New Hires Forecast'!$O$5:$O$84,'New Hires Forecast'!$L$5:$L$84)),0),IF(YEAR(BF$3)=YEAR('New Hires Forecast'!$P$3),IF((BF$5=12),(SUMPRODUCT(--('New Hires Forecast'!$F$5:$F$84="Software"),--('New Hires Forecast'!$H$5:$H$84&gt;=Software!BF$3),'New Hires Forecast'!$P$5:$P$84,'New Hires Forecast'!$L$5:$L$84)),0),IF(YEAR(BF$3)=YEAR('New Hires Forecast'!$Q$3),IF((BF$5=12),(SUMPRODUCT(--('New Hires Forecast'!$F$5:$F$84="Software"),--('New Hires Forecast'!$H$5:$H$84&gt;=Software!BF$3),'New Hires Forecast'!$Q$5:$Q$84,'New Hires Forecast'!$L$5:$L$84)),0),IF(YEAR(BF$3)=YEAR('New Hires Forecast'!$R$3),IF((BF$5=12),(SUMPRODUCT(--('New Hires Forecast'!$F$5:$F$84="Software"),--('New Hires Forecast'!$H$5:$H$84&gt;=Software!BF$3),'New Hires Forecast'!$R$5:$R$84,'New Hires Forecast'!$L$5:$L$84)),0),"New Year"))))),0)</f>
        <v>0</v>
      </c>
      <c r="BG15" s="684">
        <f>IF(BG$4="forecast",IF(YEAR(BG$3)=YEAR('New Hires Forecast'!$N$3),IF((BG$5=12),(SUMPRODUCT(--('New Hires Forecast'!$F$5:$F$84="Software"),--('New Hires Forecast'!$H$5:$H$84&gt;=Software!BG$3),'New Hires Forecast'!$N$5:$N$84,'New Hires Forecast'!$L$5:$L$84)),0),IF(YEAR(BG$3)=YEAR('New Hires Forecast'!$O$3),IF((BG$5=12),(SUMPRODUCT(--('New Hires Forecast'!$F$5:$F$84="Software"),--('New Hires Forecast'!$H$5:$H$84&gt;=Software!BG$3),'New Hires Forecast'!$O$5:$O$84,'New Hires Forecast'!$L$5:$L$84)),0),IF(YEAR(BG$3)=YEAR('New Hires Forecast'!$P$3),IF((BG$5=12),(SUMPRODUCT(--('New Hires Forecast'!$F$5:$F$84="Software"),--('New Hires Forecast'!$H$5:$H$84&gt;=Software!BG$3),'New Hires Forecast'!$P$5:$P$84,'New Hires Forecast'!$L$5:$L$84)),0),IF(YEAR(BG$3)=YEAR('New Hires Forecast'!$Q$3),IF((BG$5=12),(SUMPRODUCT(--('New Hires Forecast'!$F$5:$F$84="Software"),--('New Hires Forecast'!$H$5:$H$84&gt;=Software!BG$3),'New Hires Forecast'!$Q$5:$Q$84,'New Hires Forecast'!$L$5:$L$84)),0),IF(YEAR(BG$3)=YEAR('New Hires Forecast'!$R$3),IF((BG$5=12),(SUMPRODUCT(--('New Hires Forecast'!$F$5:$F$84="Software"),--('New Hires Forecast'!$H$5:$H$84&gt;=Software!BG$3),'New Hires Forecast'!$R$5:$R$84,'New Hires Forecast'!$L$5:$L$84)),0),"New Year"))))),0)</f>
        <v>0</v>
      </c>
      <c r="BH15" s="684">
        <f>IF(BH$4="forecast",IF(YEAR(BH$3)=YEAR('New Hires Forecast'!$N$3),IF((BH$5=12),(SUMPRODUCT(--('New Hires Forecast'!$F$5:$F$84="Software"),--('New Hires Forecast'!$H$5:$H$84&gt;=Software!BH$3),'New Hires Forecast'!$N$5:$N$84,'New Hires Forecast'!$L$5:$L$84)),0),IF(YEAR(BH$3)=YEAR('New Hires Forecast'!$O$3),IF((BH$5=12),(SUMPRODUCT(--('New Hires Forecast'!$F$5:$F$84="Software"),--('New Hires Forecast'!$H$5:$H$84&gt;=Software!BH$3),'New Hires Forecast'!$O$5:$O$84,'New Hires Forecast'!$L$5:$L$84)),0),IF(YEAR(BH$3)=YEAR('New Hires Forecast'!$P$3),IF((BH$5=12),(SUMPRODUCT(--('New Hires Forecast'!$F$5:$F$84="Software"),--('New Hires Forecast'!$H$5:$H$84&gt;=Software!BH$3),'New Hires Forecast'!$P$5:$P$84,'New Hires Forecast'!$L$5:$L$84)),0),IF(YEAR(BH$3)=YEAR('New Hires Forecast'!$Q$3),IF((BH$5=12),(SUMPRODUCT(--('New Hires Forecast'!$F$5:$F$84="Software"),--('New Hires Forecast'!$H$5:$H$84&gt;=Software!BH$3),'New Hires Forecast'!$Q$5:$Q$84,'New Hires Forecast'!$L$5:$L$84)),0),IF(YEAR(BH$3)=YEAR('New Hires Forecast'!$R$3),IF((BH$5=12),(SUMPRODUCT(--('New Hires Forecast'!$F$5:$F$84="Software"),--('New Hires Forecast'!$H$5:$H$84&gt;=Software!BH$3),'New Hires Forecast'!$R$5:$R$84,'New Hires Forecast'!$L$5:$L$84)),0),"New Year"))))),0)</f>
        <v>0</v>
      </c>
      <c r="BI15" s="684">
        <f>IF(BI$4="forecast",IF(YEAR(BI$3)=YEAR('New Hires Forecast'!$N$3),IF((BI$5=12),(SUMPRODUCT(--('New Hires Forecast'!$F$5:$F$84="Software"),--('New Hires Forecast'!$H$5:$H$84&gt;=Software!BI$3),'New Hires Forecast'!$N$5:$N$84,'New Hires Forecast'!$L$5:$L$84)),0),IF(YEAR(BI$3)=YEAR('New Hires Forecast'!$O$3),IF((BI$5=12),(SUMPRODUCT(--('New Hires Forecast'!$F$5:$F$84="Software"),--('New Hires Forecast'!$H$5:$H$84&gt;=Software!BI$3),'New Hires Forecast'!$O$5:$O$84,'New Hires Forecast'!$L$5:$L$84)),0),IF(YEAR(BI$3)=YEAR('New Hires Forecast'!$P$3),IF((BI$5=12),(SUMPRODUCT(--('New Hires Forecast'!$F$5:$F$84="Software"),--('New Hires Forecast'!$H$5:$H$84&gt;=Software!BI$3),'New Hires Forecast'!$P$5:$P$84,'New Hires Forecast'!$L$5:$L$84)),0),IF(YEAR(BI$3)=YEAR('New Hires Forecast'!$Q$3),IF((BI$5=12),(SUMPRODUCT(--('New Hires Forecast'!$F$5:$F$84="Software"),--('New Hires Forecast'!$H$5:$H$84&gt;=Software!BI$3),'New Hires Forecast'!$Q$5:$Q$84,'New Hires Forecast'!$L$5:$L$84)),0),IF(YEAR(BI$3)=YEAR('New Hires Forecast'!$R$3),IF((BI$5=12),(SUMPRODUCT(--('New Hires Forecast'!$F$5:$F$84="Software"),--('New Hires Forecast'!$H$5:$H$84&gt;=Software!BI$3),'New Hires Forecast'!$R$5:$R$84,'New Hires Forecast'!$L$5:$L$84)),0),"New Year"))))),0)</f>
        <v>0</v>
      </c>
      <c r="BJ15" s="684">
        <f>IF(BJ$4="forecast",IF(YEAR(BJ$3)=YEAR('New Hires Forecast'!$N$3),IF((BJ$5=12),(SUMPRODUCT(--('New Hires Forecast'!$F$5:$F$84="Software"),--('New Hires Forecast'!$H$5:$H$84&gt;=Software!BJ$3),'New Hires Forecast'!$N$5:$N$84,'New Hires Forecast'!$L$5:$L$84)),0),IF(YEAR(BJ$3)=YEAR('New Hires Forecast'!$O$3),IF((BJ$5=12),(SUMPRODUCT(--('New Hires Forecast'!$F$5:$F$84="Software"),--('New Hires Forecast'!$H$5:$H$84&gt;=Software!BJ$3),'New Hires Forecast'!$O$5:$O$84,'New Hires Forecast'!$L$5:$L$84)),0),IF(YEAR(BJ$3)=YEAR('New Hires Forecast'!$P$3),IF((BJ$5=12),(SUMPRODUCT(--('New Hires Forecast'!$F$5:$F$84="Software"),--('New Hires Forecast'!$H$5:$H$84&gt;=Software!BJ$3),'New Hires Forecast'!$P$5:$P$84,'New Hires Forecast'!$L$5:$L$84)),0),IF(YEAR(BJ$3)=YEAR('New Hires Forecast'!$Q$3),IF((BJ$5=12),(SUMPRODUCT(--('New Hires Forecast'!$F$5:$F$84="Software"),--('New Hires Forecast'!$H$5:$H$84&gt;=Software!BJ$3),'New Hires Forecast'!$Q$5:$Q$84,'New Hires Forecast'!$L$5:$L$84)),0),IF(YEAR(BJ$3)=YEAR('New Hires Forecast'!$R$3),IF((BJ$5=12),(SUMPRODUCT(--('New Hires Forecast'!$F$5:$F$84="Software"),--('New Hires Forecast'!$H$5:$H$84&gt;=Software!BJ$3),'New Hires Forecast'!$R$5:$R$84,'New Hires Forecast'!$L$5:$L$84)),0),"New Year"))))),0)</f>
        <v>38192.400000000001</v>
      </c>
      <c r="BK15" s="684">
        <f>IF(BK$4="forecast",IF(YEAR(BK$3)=YEAR('New Hires Forecast'!$N$3),IF((BK$5=12),(SUMPRODUCT(--('New Hires Forecast'!$F$5:$F$84="Software"),--('New Hires Forecast'!$H$5:$H$84&gt;=Software!BK$3),'New Hires Forecast'!$N$5:$N$84,'New Hires Forecast'!$L$5:$L$84)),0),IF(YEAR(BK$3)=YEAR('New Hires Forecast'!$O$3),IF((BK$5=12),(SUMPRODUCT(--('New Hires Forecast'!$F$5:$F$84="Software"),--('New Hires Forecast'!$H$5:$H$84&gt;=Software!BK$3),'New Hires Forecast'!$O$5:$O$84,'New Hires Forecast'!$L$5:$L$84)),0),IF(YEAR(BK$3)=YEAR('New Hires Forecast'!$P$3),IF((BK$5=12),(SUMPRODUCT(--('New Hires Forecast'!$F$5:$F$84="Software"),--('New Hires Forecast'!$H$5:$H$84&gt;=Software!BK$3),'New Hires Forecast'!$P$5:$P$84,'New Hires Forecast'!$L$5:$L$84)),0),IF(YEAR(BK$3)=YEAR('New Hires Forecast'!$Q$3),IF((BK$5=12),(SUMPRODUCT(--('New Hires Forecast'!$F$5:$F$84="Software"),--('New Hires Forecast'!$H$5:$H$84&gt;=Software!BK$3),'New Hires Forecast'!$Q$5:$Q$84,'New Hires Forecast'!$L$5:$L$84)),0),IF(YEAR(BK$3)=YEAR('New Hires Forecast'!$R$3),IF((BK$5=12),(SUMPRODUCT(--('New Hires Forecast'!$F$5:$F$84="Software"),--('New Hires Forecast'!$H$5:$H$84&gt;=Software!BK$3),'New Hires Forecast'!$R$5:$R$84,'New Hires Forecast'!$L$5:$L$84)),0),"New Year"))))),0)</f>
        <v>0</v>
      </c>
      <c r="BL15" s="684">
        <f>IF(BL$4="forecast",IF(YEAR(BL$3)=YEAR('New Hires Forecast'!$N$3),IF((BL$5=12),(SUMPRODUCT(--('New Hires Forecast'!$F$5:$F$84="Software"),--('New Hires Forecast'!$H$5:$H$84&gt;=Software!BL$3),'New Hires Forecast'!$N$5:$N$84,'New Hires Forecast'!$L$5:$L$84)),0),IF(YEAR(BL$3)=YEAR('New Hires Forecast'!$O$3),IF((BL$5=12),(SUMPRODUCT(--('New Hires Forecast'!$F$5:$F$84="Software"),--('New Hires Forecast'!$H$5:$H$84&gt;=Software!BL$3),'New Hires Forecast'!$O$5:$O$84,'New Hires Forecast'!$L$5:$L$84)),0),IF(YEAR(BL$3)=YEAR('New Hires Forecast'!$P$3),IF((BL$5=12),(SUMPRODUCT(--('New Hires Forecast'!$F$5:$F$84="Software"),--('New Hires Forecast'!$H$5:$H$84&gt;=Software!BL$3),'New Hires Forecast'!$P$5:$P$84,'New Hires Forecast'!$L$5:$L$84)),0),IF(YEAR(BL$3)=YEAR('New Hires Forecast'!$Q$3),IF((BL$5=12),(SUMPRODUCT(--('New Hires Forecast'!$F$5:$F$84="Software"),--('New Hires Forecast'!$H$5:$H$84&gt;=Software!BL$3),'New Hires Forecast'!$Q$5:$Q$84,'New Hires Forecast'!$L$5:$L$84)),0),IF(YEAR(BL$3)=YEAR('New Hires Forecast'!$R$3),IF((BL$5=12),(SUMPRODUCT(--('New Hires Forecast'!$F$5:$F$84="Software"),--('New Hires Forecast'!$H$5:$H$84&gt;=Software!BL$3),'New Hires Forecast'!$R$5:$R$84,'New Hires Forecast'!$L$5:$L$84)),0),"New Year"))))),0)</f>
        <v>0</v>
      </c>
      <c r="BM15" s="684">
        <f>IF(BM$4="forecast",IF(YEAR(BM$3)=YEAR('New Hires Forecast'!$N$3),IF((BM$5=12),(SUMPRODUCT(--('New Hires Forecast'!$F$5:$F$84="Software"),--('New Hires Forecast'!$H$5:$H$84&gt;=Software!BM$3),'New Hires Forecast'!$N$5:$N$84,'New Hires Forecast'!$L$5:$L$84)),0),IF(YEAR(BM$3)=YEAR('New Hires Forecast'!$O$3),IF((BM$5=12),(SUMPRODUCT(--('New Hires Forecast'!$F$5:$F$84="Software"),--('New Hires Forecast'!$H$5:$H$84&gt;=Software!BM$3),'New Hires Forecast'!$O$5:$O$84,'New Hires Forecast'!$L$5:$L$84)),0),IF(YEAR(BM$3)=YEAR('New Hires Forecast'!$P$3),IF((BM$5=12),(SUMPRODUCT(--('New Hires Forecast'!$F$5:$F$84="Software"),--('New Hires Forecast'!$H$5:$H$84&gt;=Software!BM$3),'New Hires Forecast'!$P$5:$P$84,'New Hires Forecast'!$L$5:$L$84)),0),IF(YEAR(BM$3)=YEAR('New Hires Forecast'!$Q$3),IF((BM$5=12),(SUMPRODUCT(--('New Hires Forecast'!$F$5:$F$84="Software"),--('New Hires Forecast'!$H$5:$H$84&gt;=Software!BM$3),'New Hires Forecast'!$Q$5:$Q$84,'New Hires Forecast'!$L$5:$L$84)),0),IF(YEAR(BM$3)=YEAR('New Hires Forecast'!$R$3),IF((BM$5=12),(SUMPRODUCT(--('New Hires Forecast'!$F$5:$F$84="Software"),--('New Hires Forecast'!$H$5:$H$84&gt;=Software!BM$3),'New Hires Forecast'!$R$5:$R$84,'New Hires Forecast'!$L$5:$L$84)),0),"New Year"))))),0)</f>
        <v>0</v>
      </c>
      <c r="BN15" s="684">
        <f>IF(BN$4="forecast",IF(YEAR(BN$3)=YEAR('New Hires Forecast'!$N$3),IF((BN$5=12),(SUMPRODUCT(--('New Hires Forecast'!$F$5:$F$84="Software"),--('New Hires Forecast'!$H$5:$H$84&gt;=Software!BN$3),'New Hires Forecast'!$N$5:$N$84,'New Hires Forecast'!$L$5:$L$84)),0),IF(YEAR(BN$3)=YEAR('New Hires Forecast'!$O$3),IF((BN$5=12),(SUMPRODUCT(--('New Hires Forecast'!$F$5:$F$84="Software"),--('New Hires Forecast'!$H$5:$H$84&gt;=Software!BN$3),'New Hires Forecast'!$O$5:$O$84,'New Hires Forecast'!$L$5:$L$84)),0),IF(YEAR(BN$3)=YEAR('New Hires Forecast'!$P$3),IF((BN$5=12),(SUMPRODUCT(--('New Hires Forecast'!$F$5:$F$84="Software"),--('New Hires Forecast'!$H$5:$H$84&gt;=Software!BN$3),'New Hires Forecast'!$P$5:$P$84,'New Hires Forecast'!$L$5:$L$84)),0),IF(YEAR(BN$3)=YEAR('New Hires Forecast'!$Q$3),IF((BN$5=12),(SUMPRODUCT(--('New Hires Forecast'!$F$5:$F$84="Software"),--('New Hires Forecast'!$H$5:$H$84&gt;=Software!BN$3),'New Hires Forecast'!$Q$5:$Q$84,'New Hires Forecast'!$L$5:$L$84)),0),IF(YEAR(BN$3)=YEAR('New Hires Forecast'!$R$3),IF((BN$5=12),(SUMPRODUCT(--('New Hires Forecast'!$F$5:$F$84="Software"),--('New Hires Forecast'!$H$5:$H$84&gt;=Software!BN$3),'New Hires Forecast'!$R$5:$R$84,'New Hires Forecast'!$L$5:$L$84)),0),"New Year"))))),0)</f>
        <v>0</v>
      </c>
      <c r="BO15" s="684">
        <f>IF(BO$4="forecast",IF(YEAR(BO$3)=YEAR('New Hires Forecast'!$N$3),IF((BO$5=12),(SUMPRODUCT(--('New Hires Forecast'!$F$5:$F$84="Software"),--('New Hires Forecast'!$H$5:$H$84&gt;=Software!BO$3),'New Hires Forecast'!$N$5:$N$84,'New Hires Forecast'!$L$5:$L$84)),0),IF(YEAR(BO$3)=YEAR('New Hires Forecast'!$O$3),IF((BO$5=12),(SUMPRODUCT(--('New Hires Forecast'!$F$5:$F$84="Software"),--('New Hires Forecast'!$H$5:$H$84&gt;=Software!BO$3),'New Hires Forecast'!$O$5:$O$84,'New Hires Forecast'!$L$5:$L$84)),0),IF(YEAR(BO$3)=YEAR('New Hires Forecast'!$P$3),IF((BO$5=12),(SUMPRODUCT(--('New Hires Forecast'!$F$5:$F$84="Software"),--('New Hires Forecast'!$H$5:$H$84&gt;=Software!BO$3),'New Hires Forecast'!$P$5:$P$84,'New Hires Forecast'!$L$5:$L$84)),0),IF(YEAR(BO$3)=YEAR('New Hires Forecast'!$Q$3),IF((BO$5=12),(SUMPRODUCT(--('New Hires Forecast'!$F$5:$F$84="Software"),--('New Hires Forecast'!$H$5:$H$84&gt;=Software!BO$3),'New Hires Forecast'!$Q$5:$Q$84,'New Hires Forecast'!$L$5:$L$84)),0),IF(YEAR(BO$3)=YEAR('New Hires Forecast'!$R$3),IF((BO$5=12),(SUMPRODUCT(--('New Hires Forecast'!$F$5:$F$84="Software"),--('New Hires Forecast'!$H$5:$H$84&gt;=Software!BO$3),'New Hires Forecast'!$R$5:$R$84,'New Hires Forecast'!$L$5:$L$84)),0),"New Year"))))),0)</f>
        <v>0</v>
      </c>
      <c r="BP15" s="684">
        <f>IF(BP$4="forecast",IF(YEAR(BP$3)=YEAR('New Hires Forecast'!$N$3),IF((BP$5=12),(SUMPRODUCT(--('New Hires Forecast'!$F$5:$F$84="Software"),--('New Hires Forecast'!$H$5:$H$84&gt;=Software!BP$3),'New Hires Forecast'!$N$5:$N$84,'New Hires Forecast'!$L$5:$L$84)),0),IF(YEAR(BP$3)=YEAR('New Hires Forecast'!$O$3),IF((BP$5=12),(SUMPRODUCT(--('New Hires Forecast'!$F$5:$F$84="Software"),--('New Hires Forecast'!$H$5:$H$84&gt;=Software!BP$3),'New Hires Forecast'!$O$5:$O$84,'New Hires Forecast'!$L$5:$L$84)),0),IF(YEAR(BP$3)=YEAR('New Hires Forecast'!$P$3),IF((BP$5=12),(SUMPRODUCT(--('New Hires Forecast'!$F$5:$F$84="Software"),--('New Hires Forecast'!$H$5:$H$84&gt;=Software!BP$3),'New Hires Forecast'!$P$5:$P$84,'New Hires Forecast'!$L$5:$L$84)),0),IF(YEAR(BP$3)=YEAR('New Hires Forecast'!$Q$3),IF((BP$5=12),(SUMPRODUCT(--('New Hires Forecast'!$F$5:$F$84="Software"),--('New Hires Forecast'!$H$5:$H$84&gt;=Software!BP$3),'New Hires Forecast'!$Q$5:$Q$84,'New Hires Forecast'!$L$5:$L$84)),0),IF(YEAR(BP$3)=YEAR('New Hires Forecast'!$R$3),IF((BP$5=12),(SUMPRODUCT(--('New Hires Forecast'!$F$5:$F$84="Software"),--('New Hires Forecast'!$H$5:$H$84&gt;=Software!BP$3),'New Hires Forecast'!$R$5:$R$84,'New Hires Forecast'!$L$5:$L$84)),0),"New Year"))))),0)</f>
        <v>0</v>
      </c>
      <c r="BQ15" s="684">
        <f>IF(BQ$4="forecast",IF(YEAR(BQ$3)=YEAR('New Hires Forecast'!$N$3),IF((BQ$5=12),(SUMPRODUCT(--('New Hires Forecast'!$F$5:$F$84="Software"),--('New Hires Forecast'!$H$5:$H$84&gt;=Software!BQ$3),'New Hires Forecast'!$N$5:$N$84,'New Hires Forecast'!$L$5:$L$84)),0),IF(YEAR(BQ$3)=YEAR('New Hires Forecast'!$O$3),IF((BQ$5=12),(SUMPRODUCT(--('New Hires Forecast'!$F$5:$F$84="Software"),--('New Hires Forecast'!$H$5:$H$84&gt;=Software!BQ$3),'New Hires Forecast'!$O$5:$O$84,'New Hires Forecast'!$L$5:$L$84)),0),IF(YEAR(BQ$3)=YEAR('New Hires Forecast'!$P$3),IF((BQ$5=12),(SUMPRODUCT(--('New Hires Forecast'!$F$5:$F$84="Software"),--('New Hires Forecast'!$H$5:$H$84&gt;=Software!BQ$3),'New Hires Forecast'!$P$5:$P$84,'New Hires Forecast'!$L$5:$L$84)),0),IF(YEAR(BQ$3)=YEAR('New Hires Forecast'!$Q$3),IF((BQ$5=12),(SUMPRODUCT(--('New Hires Forecast'!$F$5:$F$84="Software"),--('New Hires Forecast'!$H$5:$H$84&gt;=Software!BQ$3),'New Hires Forecast'!$Q$5:$Q$84,'New Hires Forecast'!$L$5:$L$84)),0),IF(YEAR(BQ$3)=YEAR('New Hires Forecast'!$R$3),IF((BQ$5=12),(SUMPRODUCT(--('New Hires Forecast'!$F$5:$F$84="Software"),--('New Hires Forecast'!$H$5:$H$84&gt;=Software!BQ$3),'New Hires Forecast'!$R$5:$R$84,'New Hires Forecast'!$L$5:$L$84)),0),"New Year"))))),0)</f>
        <v>0</v>
      </c>
      <c r="BR15" s="684">
        <f>IF(BR$4="forecast",IF(YEAR(BR$3)=YEAR('New Hires Forecast'!$N$3),IF((BR$5=12),(SUMPRODUCT(--('New Hires Forecast'!$F$5:$F$84="Software"),--('New Hires Forecast'!$H$5:$H$84&gt;=Software!BR$3),'New Hires Forecast'!$N$5:$N$84,'New Hires Forecast'!$L$5:$L$84)),0),IF(YEAR(BR$3)=YEAR('New Hires Forecast'!$O$3),IF((BR$5=12),(SUMPRODUCT(--('New Hires Forecast'!$F$5:$F$84="Software"),--('New Hires Forecast'!$H$5:$H$84&gt;=Software!BR$3),'New Hires Forecast'!$O$5:$O$84,'New Hires Forecast'!$L$5:$L$84)),0),IF(YEAR(BR$3)=YEAR('New Hires Forecast'!$P$3),IF((BR$5=12),(SUMPRODUCT(--('New Hires Forecast'!$F$5:$F$84="Software"),--('New Hires Forecast'!$H$5:$H$84&gt;=Software!BR$3),'New Hires Forecast'!$P$5:$P$84,'New Hires Forecast'!$L$5:$L$84)),0),IF(YEAR(BR$3)=YEAR('New Hires Forecast'!$Q$3),IF((BR$5=12),(SUMPRODUCT(--('New Hires Forecast'!$F$5:$F$84="Software"),--('New Hires Forecast'!$H$5:$H$84&gt;=Software!BR$3),'New Hires Forecast'!$Q$5:$Q$84,'New Hires Forecast'!$L$5:$L$84)),0),IF(YEAR(BR$3)=YEAR('New Hires Forecast'!$R$3),IF((BR$5=12),(SUMPRODUCT(--('New Hires Forecast'!$F$5:$F$84="Software"),--('New Hires Forecast'!$H$5:$H$84&gt;=Software!BR$3),'New Hires Forecast'!$R$5:$R$84,'New Hires Forecast'!$L$5:$L$84)),0),"New Year"))))),0)</f>
        <v>0</v>
      </c>
      <c r="BS15" s="684">
        <f>IF(BS$4="forecast",IF(YEAR(BS$3)=YEAR('New Hires Forecast'!$N$3),IF((BS$5=12),(SUMPRODUCT(--('New Hires Forecast'!$F$5:$F$84="Software"),--('New Hires Forecast'!$H$5:$H$84&gt;=Software!BS$3),'New Hires Forecast'!$N$5:$N$84,'New Hires Forecast'!$L$5:$L$84)),0),IF(YEAR(BS$3)=YEAR('New Hires Forecast'!$O$3),IF((BS$5=12),(SUMPRODUCT(--('New Hires Forecast'!$F$5:$F$84="Software"),--('New Hires Forecast'!$H$5:$H$84&gt;=Software!BS$3),'New Hires Forecast'!$O$5:$O$84,'New Hires Forecast'!$L$5:$L$84)),0),IF(YEAR(BS$3)=YEAR('New Hires Forecast'!$P$3),IF((BS$5=12),(SUMPRODUCT(--('New Hires Forecast'!$F$5:$F$84="Software"),--('New Hires Forecast'!$H$5:$H$84&gt;=Software!BS$3),'New Hires Forecast'!$P$5:$P$84,'New Hires Forecast'!$L$5:$L$84)),0),IF(YEAR(BS$3)=YEAR('New Hires Forecast'!$Q$3),IF((BS$5=12),(SUMPRODUCT(--('New Hires Forecast'!$F$5:$F$84="Software"),--('New Hires Forecast'!$H$5:$H$84&gt;=Software!BS$3),'New Hires Forecast'!$Q$5:$Q$84,'New Hires Forecast'!$L$5:$L$84)),0),IF(YEAR(BS$3)=YEAR('New Hires Forecast'!$R$3),IF((BS$5=12),(SUMPRODUCT(--('New Hires Forecast'!$F$5:$F$84="Software"),--('New Hires Forecast'!$H$5:$H$84&gt;=Software!BS$3),'New Hires Forecast'!$R$5:$R$84,'New Hires Forecast'!$L$5:$L$84)),0),"New Year"))))),0)</f>
        <v>0</v>
      </c>
      <c r="BT15" s="684">
        <f>IF(BT$4="forecast",IF(YEAR(BT$3)=YEAR('New Hires Forecast'!$N$3),IF((BT$5=12),(SUMPRODUCT(--('New Hires Forecast'!$F$5:$F$84="Software"),--('New Hires Forecast'!$H$5:$H$84&gt;=Software!BT$3),'New Hires Forecast'!$N$5:$N$84,'New Hires Forecast'!$L$5:$L$84)),0),IF(YEAR(BT$3)=YEAR('New Hires Forecast'!$O$3),IF((BT$5=12),(SUMPRODUCT(--('New Hires Forecast'!$F$5:$F$84="Software"),--('New Hires Forecast'!$H$5:$H$84&gt;=Software!BT$3),'New Hires Forecast'!$O$5:$O$84,'New Hires Forecast'!$L$5:$L$84)),0),IF(YEAR(BT$3)=YEAR('New Hires Forecast'!$P$3),IF((BT$5=12),(SUMPRODUCT(--('New Hires Forecast'!$F$5:$F$84="Software"),--('New Hires Forecast'!$H$5:$H$84&gt;=Software!BT$3),'New Hires Forecast'!$P$5:$P$84,'New Hires Forecast'!$L$5:$L$84)),0),IF(YEAR(BT$3)=YEAR('New Hires Forecast'!$Q$3),IF((BT$5=12),(SUMPRODUCT(--('New Hires Forecast'!$F$5:$F$84="Software"),--('New Hires Forecast'!$H$5:$H$84&gt;=Software!BT$3),'New Hires Forecast'!$Q$5:$Q$84,'New Hires Forecast'!$L$5:$L$84)),0),IF(YEAR(BT$3)=YEAR('New Hires Forecast'!$R$3),IF((BT$5=12),(SUMPRODUCT(--('New Hires Forecast'!$F$5:$F$84="Software"),--('New Hires Forecast'!$H$5:$H$84&gt;=Software!BT$3),'New Hires Forecast'!$R$5:$R$84,'New Hires Forecast'!$L$5:$L$84)),0),"New Year"))))),0)</f>
        <v>0</v>
      </c>
      <c r="BU15" s="684">
        <f>IF(BU$4="forecast",IF(YEAR(BU$3)=YEAR('New Hires Forecast'!$N$3),IF((BU$5=12),(SUMPRODUCT(--('New Hires Forecast'!$F$5:$F$84="Software"),--('New Hires Forecast'!$H$5:$H$84&gt;=Software!BU$3),'New Hires Forecast'!$N$5:$N$84,'New Hires Forecast'!$L$5:$L$84)),0),IF(YEAR(BU$3)=YEAR('New Hires Forecast'!$O$3),IF((BU$5=12),(SUMPRODUCT(--('New Hires Forecast'!$F$5:$F$84="Software"),--('New Hires Forecast'!$H$5:$H$84&gt;=Software!BU$3),'New Hires Forecast'!$O$5:$O$84,'New Hires Forecast'!$L$5:$L$84)),0),IF(YEAR(BU$3)=YEAR('New Hires Forecast'!$P$3),IF((BU$5=12),(SUMPRODUCT(--('New Hires Forecast'!$F$5:$F$84="Software"),--('New Hires Forecast'!$H$5:$H$84&gt;=Software!BU$3),'New Hires Forecast'!$P$5:$P$84,'New Hires Forecast'!$L$5:$L$84)),0),IF(YEAR(BU$3)=YEAR('New Hires Forecast'!$Q$3),IF((BU$5=12),(SUMPRODUCT(--('New Hires Forecast'!$F$5:$F$84="Software"),--('New Hires Forecast'!$H$5:$H$84&gt;=Software!BU$3),'New Hires Forecast'!$Q$5:$Q$84,'New Hires Forecast'!$L$5:$L$84)),0),IF(YEAR(BU$3)=YEAR('New Hires Forecast'!$R$3),IF((BU$5=12),(SUMPRODUCT(--('New Hires Forecast'!$F$5:$F$84="Software"),--('New Hires Forecast'!$H$5:$H$84&gt;=Software!BU$3),'New Hires Forecast'!$R$5:$R$84,'New Hires Forecast'!$L$5:$L$84)),0),"New Year"))))),0)</f>
        <v>0</v>
      </c>
      <c r="BV15" s="808">
        <f>IF(BV$4="forecast",IF(YEAR(BV$3)=YEAR('New Hires Forecast'!$N$3),IF((BV$5=12),(SUMPRODUCT(--('New Hires Forecast'!$F$5:$F$84="Software"),--('New Hires Forecast'!$H$5:$H$84&gt;=Software!BV$3),'New Hires Forecast'!$N$5:$N$84,'New Hires Forecast'!$L$5:$L$84)),0),IF(YEAR(BV$3)=YEAR('New Hires Forecast'!$O$3),IF((BV$5=12),(SUMPRODUCT(--('New Hires Forecast'!$F$5:$F$84="Software"),--('New Hires Forecast'!$H$5:$H$84&gt;=Software!BV$3),'New Hires Forecast'!$O$5:$O$84,'New Hires Forecast'!$L$5:$L$84)),0),IF(YEAR(BV$3)=YEAR('New Hires Forecast'!$P$3),IF((BV$5=12),(SUMPRODUCT(--('New Hires Forecast'!$F$5:$F$84="Software"),--('New Hires Forecast'!$H$5:$H$84&gt;=Software!BV$3),'New Hires Forecast'!$P$5:$P$84,'New Hires Forecast'!$L$5:$L$84)),0),IF(YEAR(BV$3)=YEAR('New Hires Forecast'!$Q$3),IF((BV$5=12),(SUMPRODUCT(--('New Hires Forecast'!$F$5:$F$84="Software"),--('New Hires Forecast'!$H$5:$H$84&gt;=Software!BV$3),'New Hires Forecast'!$Q$5:$Q$84,'New Hires Forecast'!$L$5:$L$84)),0),IF(YEAR(BV$3)=YEAR('New Hires Forecast'!$R$3),IF((BV$5=12),(SUMPRODUCT(--('New Hires Forecast'!$F$5:$F$84="Software"),--('New Hires Forecast'!$H$5:$H$84&gt;=Software!BV$3),'New Hires Forecast'!$R$5:$R$84,'New Hires Forecast'!$L$5:$L$84)),0),"New Year"))))),0)</f>
        <v>39338.171999999999</v>
      </c>
    </row>
    <row r="16" spans="2:75" x14ac:dyDescent="0.35">
      <c r="B16" s="797" t="s">
        <v>937</v>
      </c>
      <c r="C16" s="684">
        <f>IF(C$4="forecast",IF(YEAR(C$3)=YEAR(Headcount!$N$4),IF((C$5=12),(SUMPRODUCT(--(Headcount!$F$6:$F$92="Software"),--(Headcount!$H$6:$H$92&gt;=Software!C$3),Headcount!$N$6:$N$92,Headcount!$L$6:$L$92)),0),IF(YEAR(C$3)=YEAR(Headcount!$O$4),IF((C$5=12),(SUMPRODUCT(--(Headcount!$F$6:$F$92="Software"),--(Headcount!$H$6:$H$92&gt;=Software!C$3),Headcount!$O$6:$O$92,Headcount!$L$6:$L$92)),0),IF(YEAR(C$3)=YEAR(Headcount!$P$4),IF((C$5=12),(SUMPRODUCT(--(Headcount!$F$6:$F$92="Software"),--(Headcount!$H$6:$H$92&gt;=Software!C$3),Headcount!$P$6:$P$92,Headcount!$L$6:$L$92)),0),IF(YEAR(C$3)=YEAR(Headcount!$Q$4),IF((C$5=12),(SUMPRODUCT(--(Headcount!$F$6:$F$92="Software"),--(Headcount!$H$6:$H$92&gt;=Software!C$3),Headcount!$Q$6:$Q$92,Headcount!$L$6:$L$92)),0),IF(YEAR(C$3)=YEAR(Headcount!$R$4),IF((C$5=12),(SUMPRODUCT(--(Headcount!$F$6:$F$92="Software"),--(Headcount!$H$6:$H$92&gt;=Software!C$3),Headcount!$R$6:$R$92,Headcount!$L$6:$L$92)),0),"New Year"))))),0)</f>
        <v>0</v>
      </c>
      <c r="D16" s="684">
        <f>IF(D$4="forecast",IF(YEAR(D$3)=YEAR(Headcount!$N$4),IF((D$5=12),(SUMPRODUCT(--(Headcount!$F$6:$F$92="Software"),--(Headcount!$H$6:$H$92&gt;=Software!D$3),Headcount!$N$6:$N$92,Headcount!$L$6:$L$92)),0),IF(YEAR(D$3)=YEAR(Headcount!$O$4),IF((D$5=12),(SUMPRODUCT(--(Headcount!$F$6:$F$92="Software"),--(Headcount!$H$6:$H$92&gt;=Software!D$3),Headcount!$O$6:$O$92,Headcount!$L$6:$L$92)),0),IF(YEAR(D$3)=YEAR(Headcount!$P$4),IF((D$5=12),(SUMPRODUCT(--(Headcount!$F$6:$F$92="Software"),--(Headcount!$H$6:$H$92&gt;=Software!D$3),Headcount!$P$6:$P$92,Headcount!$L$6:$L$92)),0),IF(YEAR(D$3)=YEAR(Headcount!$Q$4),IF((D$5=12),(SUMPRODUCT(--(Headcount!$F$6:$F$92="Software"),--(Headcount!$H$6:$H$92&gt;=Software!D$3),Headcount!$Q$6:$Q$92,Headcount!$L$6:$L$92)),0),IF(YEAR(D$3)=YEAR(Headcount!$R$4),IF((D$5=12),(SUMPRODUCT(--(Headcount!$F$6:$F$92="Software"),--(Headcount!$H$6:$H$92&gt;=Software!D$3),Headcount!$R$6:$R$92,Headcount!$L$6:$L$92)),0),"New Year"))))),0)</f>
        <v>0</v>
      </c>
      <c r="E16" s="684">
        <f>IF(E$4="forecast",IF(YEAR(E$3)=YEAR(Headcount!$N$4),IF((E$5=12),(SUMPRODUCT(--(Headcount!$F$6:$F$92="Software"),--(Headcount!$H$6:$H$92&gt;=Software!E$3),Headcount!$N$6:$N$92,Headcount!$L$6:$L$92)),0),IF(YEAR(E$3)=YEAR(Headcount!$O$4),IF((E$5=12),(SUMPRODUCT(--(Headcount!$F$6:$F$92="Software"),--(Headcount!$H$6:$H$92&gt;=Software!E$3),Headcount!$O$6:$O$92,Headcount!$L$6:$L$92)),0),IF(YEAR(E$3)=YEAR(Headcount!$P$4),IF((E$5=12),(SUMPRODUCT(--(Headcount!$F$6:$F$92="Software"),--(Headcount!$H$6:$H$92&gt;=Software!E$3),Headcount!$P$6:$P$92,Headcount!$L$6:$L$92)),0),IF(YEAR(E$3)=YEAR(Headcount!$Q$4),IF((E$5=12),(SUMPRODUCT(--(Headcount!$F$6:$F$92="Software"),--(Headcount!$H$6:$H$92&gt;=Software!E$3),Headcount!$Q$6:$Q$92,Headcount!$L$6:$L$92)),0),IF(YEAR(E$3)=YEAR(Headcount!$R$4),IF((E$5=12),(SUMPRODUCT(--(Headcount!$F$6:$F$92="Software"),--(Headcount!$H$6:$H$92&gt;=Software!E$3),Headcount!$R$6:$R$92,Headcount!$L$6:$L$92)),0),"New Year"))))),0)</f>
        <v>0</v>
      </c>
      <c r="F16" s="684">
        <f>IF(F$4="forecast",IF(YEAR(F$3)=YEAR(Headcount!$N$4),IF((F$5=12),(SUMPRODUCT(--(Headcount!$F$6:$F$92="Software"),--(Headcount!$H$6:$H$92&gt;=Software!F$3),Headcount!$N$6:$N$92,Headcount!$L$6:$L$92)),0),IF(YEAR(F$3)=YEAR(Headcount!$O$4),IF((F$5=12),(SUMPRODUCT(--(Headcount!$F$6:$F$92="Software"),--(Headcount!$H$6:$H$92&gt;=Software!F$3),Headcount!$O$6:$O$92,Headcount!$L$6:$L$92)),0),IF(YEAR(F$3)=YEAR(Headcount!$P$4),IF((F$5=12),(SUMPRODUCT(--(Headcount!$F$6:$F$92="Software"),--(Headcount!$H$6:$H$92&gt;=Software!F$3),Headcount!$P$6:$P$92,Headcount!$L$6:$L$92)),0),IF(YEAR(F$3)=YEAR(Headcount!$Q$4),IF((F$5=12),(SUMPRODUCT(--(Headcount!$F$6:$F$92="Software"),--(Headcount!$H$6:$H$92&gt;=Software!F$3),Headcount!$Q$6:$Q$92,Headcount!$L$6:$L$92)),0),IF(YEAR(F$3)=YEAR(Headcount!$R$4),IF((F$5=12),(SUMPRODUCT(--(Headcount!$F$6:$F$92="Software"),--(Headcount!$H$6:$H$92&gt;=Software!F$3),Headcount!$R$6:$R$92,Headcount!$L$6:$L$92)),0),"New Year"))))),0)</f>
        <v>0</v>
      </c>
      <c r="G16" s="684">
        <f>IF(G$4="forecast",IF(YEAR(G$3)=YEAR(Headcount!$N$4),IF((G$5=12),(SUMPRODUCT(--(Headcount!$F$6:$F$92="Software"),--(Headcount!$H$6:$H$92&gt;=Software!G$3),Headcount!$N$6:$N$92,Headcount!$L$6:$L$92)),0),IF(YEAR(G$3)=YEAR(Headcount!$O$4),IF((G$5=12),(SUMPRODUCT(--(Headcount!$F$6:$F$92="Software"),--(Headcount!$H$6:$H$92&gt;=Software!G$3),Headcount!$O$6:$O$92,Headcount!$L$6:$L$92)),0),IF(YEAR(G$3)=YEAR(Headcount!$P$4),IF((G$5=12),(SUMPRODUCT(--(Headcount!$F$6:$F$92="Software"),--(Headcount!$H$6:$H$92&gt;=Software!G$3),Headcount!$P$6:$P$92,Headcount!$L$6:$L$92)),0),IF(YEAR(G$3)=YEAR(Headcount!$Q$4),IF((G$5=12),(SUMPRODUCT(--(Headcount!$F$6:$F$92="Software"),--(Headcount!$H$6:$H$92&gt;=Software!G$3),Headcount!$Q$6:$Q$92,Headcount!$L$6:$L$92)),0),IF(YEAR(G$3)=YEAR(Headcount!$R$4),IF((G$5=12),(SUMPRODUCT(--(Headcount!$F$6:$F$92="Software"),--(Headcount!$H$6:$H$92&gt;=Software!G$3),Headcount!$R$6:$R$92,Headcount!$L$6:$L$92)),0),"New Year"))))),0)</f>
        <v>0</v>
      </c>
      <c r="H16" s="684">
        <f>IF(H$4="forecast",IF(YEAR(H$3)=YEAR(Headcount!$N$4),IF((H$5=12),(SUMPRODUCT(--(Headcount!$F$6:$F$92="Software"),--(Headcount!$H$6:$H$92&gt;=Software!H$3),Headcount!$N$6:$N$92,Headcount!$L$6:$L$92)),0),IF(YEAR(H$3)=YEAR(Headcount!$O$4),IF((H$5=12),(SUMPRODUCT(--(Headcount!$F$6:$F$92="Software"),--(Headcount!$H$6:$H$92&gt;=Software!H$3),Headcount!$O$6:$O$92,Headcount!$L$6:$L$92)),0),IF(YEAR(H$3)=YEAR(Headcount!$P$4),IF((H$5=12),(SUMPRODUCT(--(Headcount!$F$6:$F$92="Software"),--(Headcount!$H$6:$H$92&gt;=Software!H$3),Headcount!$P$6:$P$92,Headcount!$L$6:$L$92)),0),IF(YEAR(H$3)=YEAR(Headcount!$Q$4),IF((H$5=12),(SUMPRODUCT(--(Headcount!$F$6:$F$92="Software"),--(Headcount!$H$6:$H$92&gt;=Software!H$3),Headcount!$Q$6:$Q$92,Headcount!$L$6:$L$92)),0),IF(YEAR(H$3)=YEAR(Headcount!$R$4),IF((H$5=12),(SUMPRODUCT(--(Headcount!$F$6:$F$92="Software"),--(Headcount!$H$6:$H$92&gt;=Software!H$3),Headcount!$R$6:$R$92,Headcount!$L$6:$L$92)),0),"New Year"))))),0)</f>
        <v>0</v>
      </c>
      <c r="I16" s="684">
        <f>IF(I$4="forecast",IF(YEAR(I$3)=YEAR(Headcount!$N$4),IF((I$5=12),(SUMPRODUCT(--(Headcount!$F$6:$F$92="Software"),--(Headcount!$H$6:$H$92&gt;=Software!I$3),Headcount!$N$6:$N$92,Headcount!$L$6:$L$92)),0),IF(YEAR(I$3)=YEAR(Headcount!$O$4),IF((I$5=12),(SUMPRODUCT(--(Headcount!$F$6:$F$92="Software"),--(Headcount!$H$6:$H$92&gt;=Software!I$3),Headcount!$O$6:$O$92,Headcount!$L$6:$L$92)),0),IF(YEAR(I$3)=YEAR(Headcount!$P$4),IF((I$5=12),(SUMPRODUCT(--(Headcount!$F$6:$F$92="Software"),--(Headcount!$H$6:$H$92&gt;=Software!I$3),Headcount!$P$6:$P$92,Headcount!$L$6:$L$92)),0),IF(YEAR(I$3)=YEAR(Headcount!$Q$4),IF((I$5=12),(SUMPRODUCT(--(Headcount!$F$6:$F$92="Software"),--(Headcount!$H$6:$H$92&gt;=Software!I$3),Headcount!$Q$6:$Q$92,Headcount!$L$6:$L$92)),0),IF(YEAR(I$3)=YEAR(Headcount!$R$4),IF((I$5=12),(SUMPRODUCT(--(Headcount!$F$6:$F$92="Software"),--(Headcount!$H$6:$H$92&gt;=Software!I$3),Headcount!$R$6:$R$92,Headcount!$L$6:$L$92)),0),"New Year"))))),0)</f>
        <v>0</v>
      </c>
      <c r="J16" s="684">
        <f>IF(J$4="forecast",IF(YEAR(J$3)=YEAR(Headcount!$N$4),IF((J$5=12),(SUMPRODUCT(--(Headcount!$F$6:$F$92="Software"),--(Headcount!$H$6:$H$92&gt;=Software!J$3),Headcount!$N$6:$N$92,Headcount!$L$6:$L$92)),0),IF(YEAR(J$3)=YEAR(Headcount!$O$4),IF((J$5=12),(SUMPRODUCT(--(Headcount!$F$6:$F$92="Software"),--(Headcount!$H$6:$H$92&gt;=Software!J$3),Headcount!$O$6:$O$92,Headcount!$L$6:$L$92)),0),IF(YEAR(J$3)=YEAR(Headcount!$P$4),IF((J$5=12),(SUMPRODUCT(--(Headcount!$F$6:$F$92="Software"),--(Headcount!$H$6:$H$92&gt;=Software!J$3),Headcount!$P$6:$P$92,Headcount!$L$6:$L$92)),0),IF(YEAR(J$3)=YEAR(Headcount!$Q$4),IF((J$5=12),(SUMPRODUCT(--(Headcount!$F$6:$F$92="Software"),--(Headcount!$H$6:$H$92&gt;=Software!J$3),Headcount!$Q$6:$Q$92,Headcount!$L$6:$L$92)),0),IF(YEAR(J$3)=YEAR(Headcount!$R$4),IF((J$5=12),(SUMPRODUCT(--(Headcount!$F$6:$F$92="Software"),--(Headcount!$H$6:$H$92&gt;=Software!J$3),Headcount!$R$6:$R$92,Headcount!$L$6:$L$92)),0),"New Year"))))),0)</f>
        <v>0</v>
      </c>
      <c r="K16" s="684">
        <f>IF(K$4="forecast",IF(YEAR(K$3)=YEAR(Headcount!$N$4),IF((K$5=12),(SUMPRODUCT(--(Headcount!$F$6:$F$92="Software"),--(Headcount!$H$6:$H$92&gt;=Software!K$3),Headcount!$N$6:$N$92,Headcount!$L$6:$L$92)),0),IF(YEAR(K$3)=YEAR(Headcount!$O$4),IF((K$5=12),(SUMPRODUCT(--(Headcount!$F$6:$F$92="Software"),--(Headcount!$H$6:$H$92&gt;=Software!K$3),Headcount!$O$6:$O$92,Headcount!$L$6:$L$92)),0),IF(YEAR(K$3)=YEAR(Headcount!$P$4),IF((K$5=12),(SUMPRODUCT(--(Headcount!$F$6:$F$92="Software"),--(Headcount!$H$6:$H$92&gt;=Software!K$3),Headcount!$P$6:$P$92,Headcount!$L$6:$L$92)),0),IF(YEAR(K$3)=YEAR(Headcount!$Q$4),IF((K$5=12),(SUMPRODUCT(--(Headcount!$F$6:$F$92="Software"),--(Headcount!$H$6:$H$92&gt;=Software!K$3),Headcount!$Q$6:$Q$92,Headcount!$L$6:$L$92)),0),IF(YEAR(K$3)=YEAR(Headcount!$R$4),IF((K$5=12),(SUMPRODUCT(--(Headcount!$F$6:$F$92="Software"),--(Headcount!$H$6:$H$92&gt;=Software!K$3),Headcount!$R$6:$R$92,Headcount!$L$6:$L$92)),0),"New Year"))))),0)</f>
        <v>0</v>
      </c>
      <c r="L16" s="684">
        <f>IF(L$4="forecast",IF(YEAR(L$3)=YEAR(Headcount!$N$4),IF((L$5=12),(SUMPRODUCT(--(Headcount!$F$6:$F$92="Software"),--(Headcount!$H$6:$H$92&gt;=Software!L$3),Headcount!$N$6:$N$92,Headcount!$L$6:$L$92)),0),IF(YEAR(L$3)=YEAR(Headcount!$O$4),IF((L$5=12),(SUMPRODUCT(--(Headcount!$F$6:$F$92="Software"),--(Headcount!$H$6:$H$92&gt;=Software!L$3),Headcount!$O$6:$O$92,Headcount!$L$6:$L$92)),0),IF(YEAR(L$3)=YEAR(Headcount!$P$4),IF((L$5=12),(SUMPRODUCT(--(Headcount!$F$6:$F$92="Software"),--(Headcount!$H$6:$H$92&gt;=Software!L$3),Headcount!$P$6:$P$92,Headcount!$L$6:$L$92)),0),IF(YEAR(L$3)=YEAR(Headcount!$Q$4),IF((L$5=12),(SUMPRODUCT(--(Headcount!$F$6:$F$92="Software"),--(Headcount!$H$6:$H$92&gt;=Software!L$3),Headcount!$Q$6:$Q$92,Headcount!$L$6:$L$92)),0),IF(YEAR(L$3)=YEAR(Headcount!$R$4),IF((L$5=12),(SUMPRODUCT(--(Headcount!$F$6:$F$92="Software"),--(Headcount!$H$6:$H$92&gt;=Software!L$3),Headcount!$R$6:$R$92,Headcount!$L$6:$L$92)),0),"New Year"))))),0)</f>
        <v>0</v>
      </c>
      <c r="M16" s="684">
        <f>IF(M$4="forecast",IF(YEAR(M$3)=YEAR(Headcount!$N$4),IF((M$5=12),(SUMPRODUCT(--(Headcount!$F$6:$F$92="Software"),--(Headcount!$H$6:$H$92&gt;=Software!M$3),Headcount!$N$6:$N$92,Headcount!$L$6:$L$92)),0),IF(YEAR(M$3)=YEAR(Headcount!$O$4),IF((M$5=12),(SUMPRODUCT(--(Headcount!$F$6:$F$92="Software"),--(Headcount!$H$6:$H$92&gt;=Software!M$3),Headcount!$O$6:$O$92,Headcount!$L$6:$L$92)),0),IF(YEAR(M$3)=YEAR(Headcount!$P$4),IF((M$5=12),(SUMPRODUCT(--(Headcount!$F$6:$F$92="Software"),--(Headcount!$H$6:$H$92&gt;=Software!M$3),Headcount!$P$6:$P$92,Headcount!$L$6:$L$92)),0),IF(YEAR(M$3)=YEAR(Headcount!$Q$4),IF((M$5=12),(SUMPRODUCT(--(Headcount!$F$6:$F$92="Software"),--(Headcount!$H$6:$H$92&gt;=Software!M$3),Headcount!$Q$6:$Q$92,Headcount!$L$6:$L$92)),0),IF(YEAR(M$3)=YEAR(Headcount!$R$4),IF((M$5=12),(SUMPRODUCT(--(Headcount!$F$6:$F$92="Software"),--(Headcount!$H$6:$H$92&gt;=Software!M$3),Headcount!$R$6:$R$92,Headcount!$L$6:$L$92)),0),"New Year"))))),0)</f>
        <v>0</v>
      </c>
      <c r="N16" s="684">
        <f>IF(N$4="forecast",IF(YEAR(N$3)=YEAR(Headcount!$N$4),IF((N$5=12),(SUMPRODUCT(--(Headcount!$F$6:$F$92="Software"),--(Headcount!$H$6:$H$92&gt;=Software!N$3),Headcount!$N$6:$N$92,Headcount!$L$6:$L$92)),0),IF(YEAR(N$3)=YEAR(Headcount!$O$4),IF((N$5=12),(SUMPRODUCT(--(Headcount!$F$6:$F$92="Software"),--(Headcount!$H$6:$H$92&gt;=Software!N$3),Headcount!$O$6:$O$92,Headcount!$L$6:$L$92)),0),IF(YEAR(N$3)=YEAR(Headcount!$P$4),IF((N$5=12),(SUMPRODUCT(--(Headcount!$F$6:$F$92="Software"),--(Headcount!$H$6:$H$92&gt;=Software!N$3),Headcount!$P$6:$P$92,Headcount!$L$6:$L$92)),0),IF(YEAR(N$3)=YEAR(Headcount!$Q$4),IF((N$5=12),(SUMPRODUCT(--(Headcount!$F$6:$F$92="Software"),--(Headcount!$H$6:$H$92&gt;=Software!N$3),Headcount!$Q$6:$Q$92,Headcount!$L$6:$L$92)),0),IF(YEAR(N$3)=YEAR(Headcount!$R$4),IF((N$5=12),(SUMPRODUCT(--(Headcount!$F$6:$F$92="Software"),--(Headcount!$H$6:$H$92&gt;=Software!N$3),Headcount!$R$6:$R$92,Headcount!$L$6:$L$92)),0),"New Year"))))),0)</f>
        <v>0</v>
      </c>
      <c r="O16" s="684">
        <f>IF(O$4="forecast",IF(YEAR(O$3)=YEAR(Headcount!$N$4),IF((O$5=12),(SUMPRODUCT(--(Headcount!$F$6:$F$92="Software"),--(Headcount!$H$6:$H$92&gt;=Software!O$3),Headcount!$N$6:$N$92,Headcount!$L$6:$L$92)),0),IF(YEAR(O$3)=YEAR(Headcount!$O$4),IF((O$5=12),(SUMPRODUCT(--(Headcount!$F$6:$F$92="Software"),--(Headcount!$H$6:$H$92&gt;=Software!O$3),Headcount!$O$6:$O$92,Headcount!$L$6:$L$92)),0),IF(YEAR(O$3)=YEAR(Headcount!$P$4),IF((O$5=12),(SUMPRODUCT(--(Headcount!$F$6:$F$92="Software"),--(Headcount!$H$6:$H$92&gt;=Software!O$3),Headcount!$P$6:$P$92,Headcount!$L$6:$L$92)),0),IF(YEAR(O$3)=YEAR(Headcount!$Q$4),IF((O$5=12),(SUMPRODUCT(--(Headcount!$F$6:$F$92="Software"),--(Headcount!$H$6:$H$92&gt;=Software!O$3),Headcount!$Q$6:$Q$92,Headcount!$L$6:$L$92)),0),IF(YEAR(O$3)=YEAR(Headcount!$R$4),IF((O$5=12),(SUMPRODUCT(--(Headcount!$F$6:$F$92="Software"),--(Headcount!$H$6:$H$92&gt;=Software!O$3),Headcount!$R$6:$R$92,Headcount!$L$6:$L$92)),0),"New Year"))))),'Dept. Cost Actuals'!S478)</f>
        <v>19932.419999999998</v>
      </c>
      <c r="P16" s="684">
        <f>IF(P$4="forecast",IF(YEAR(P$3)=YEAR(Headcount!$N$4),IF((P$5=12),(SUMPRODUCT(--(Headcount!$F$6:$F$92="Software"),--(Headcount!$H$6:$H$92&gt;=Software!P$3),Headcount!$N$6:$N$92,Headcount!$L$6:$L$92)),0),IF(YEAR(P$3)=YEAR(Headcount!$O$4),IF((P$5=12),(SUMPRODUCT(--(Headcount!$F$6:$F$92="Software"),--(Headcount!$H$6:$H$92&gt;=Software!P$3),Headcount!$O$6:$O$92,Headcount!$L$6:$L$92)),0),IF(YEAR(P$3)=YEAR(Headcount!$P$4),IF((P$5=12),(SUMPRODUCT(--(Headcount!$F$6:$F$92="Software"),--(Headcount!$H$6:$H$92&gt;=Software!P$3),Headcount!$P$6:$P$92,Headcount!$L$6:$L$92)),0),IF(YEAR(P$3)=YEAR(Headcount!$Q$4),IF((P$5=12),(SUMPRODUCT(--(Headcount!$F$6:$F$92="Software"),--(Headcount!$H$6:$H$92&gt;=Software!P$3),Headcount!$Q$6:$Q$92,Headcount!$L$6:$L$92)),0),IF(YEAR(P$3)=YEAR(Headcount!$R$4),IF((P$5=12),(SUMPRODUCT(--(Headcount!$F$6:$F$92="Software"),--(Headcount!$H$6:$H$92&gt;=Software!P$3),Headcount!$R$6:$R$92,Headcount!$L$6:$L$92)),0),"New Year"))))),'Dept. Cost Actuals'!T478)</f>
        <v>19967.419999999998</v>
      </c>
      <c r="Q16" s="684">
        <f>IF(Q$4="forecast",IF(YEAR(Q$3)=YEAR(Headcount!$N$4),IF((Q$5=12),(SUMPRODUCT(--(Headcount!$F$6:$F$92="Software"),--(Headcount!$H$6:$H$92&gt;=Software!Q$3),Headcount!$N$6:$N$92,Headcount!$L$6:$L$92)),0),IF(YEAR(Q$3)=YEAR(Headcount!$O$4),IF((Q$5=12),(SUMPRODUCT(--(Headcount!$F$6:$F$92="Software"),--(Headcount!$H$6:$H$92&gt;=Software!Q$3),Headcount!$O$6:$O$92,Headcount!$L$6:$L$92)),0),IF(YEAR(Q$3)=YEAR(Headcount!$P$4),IF((Q$5=12),(SUMPRODUCT(--(Headcount!$F$6:$F$92="Software"),--(Headcount!$H$6:$H$92&gt;=Software!Q$3),Headcount!$P$6:$P$92,Headcount!$L$6:$L$92)),0),IF(YEAR(Q$3)=YEAR(Headcount!$Q$4),IF((Q$5=12),(SUMPRODUCT(--(Headcount!$F$6:$F$92="Software"),--(Headcount!$H$6:$H$92&gt;=Software!Q$3),Headcount!$Q$6:$Q$92,Headcount!$L$6:$L$92)),0),IF(YEAR(Q$3)=YEAR(Headcount!$R$4),IF((Q$5=12),(SUMPRODUCT(--(Headcount!$F$6:$F$92="Software"),--(Headcount!$H$6:$H$92&gt;=Software!Q$3),Headcount!$R$6:$R$92,Headcount!$L$6:$L$92)),0),"New Year"))))),'Dept. Cost Actuals'!U478)</f>
        <v>22043.54</v>
      </c>
      <c r="R16" s="684">
        <f>IF(R$4="forecast",IF(YEAR(R$3)=YEAR(Headcount!$N$4),IF((R$5=12),(SUMPRODUCT(--(Headcount!$F$6:$F$92="Software"),--(Headcount!$H$6:$H$92&gt;=Software!R$3),Headcount!$N$6:$N$92,Headcount!$L$6:$L$92)),0),IF(YEAR(R$3)=YEAR(Headcount!$O$4),IF((R$5=12),(SUMPRODUCT(--(Headcount!$F$6:$F$92="Software"),--(Headcount!$H$6:$H$92&gt;=Software!R$3),Headcount!$O$6:$O$92,Headcount!$L$6:$L$92)),0),IF(YEAR(R$3)=YEAR(Headcount!$P$4),IF((R$5=12),(SUMPRODUCT(--(Headcount!$F$6:$F$92="Software"),--(Headcount!$H$6:$H$92&gt;=Software!R$3),Headcount!$P$6:$P$92,Headcount!$L$6:$L$92)),0),IF(YEAR(R$3)=YEAR(Headcount!$Q$4),IF((R$5=12),(SUMPRODUCT(--(Headcount!$F$6:$F$92="Software"),--(Headcount!$H$6:$H$92&gt;=Software!R$3),Headcount!$Q$6:$Q$92,Headcount!$L$6:$L$92)),0),IF(YEAR(R$3)=YEAR(Headcount!$R$4),IF((R$5=12),(SUMPRODUCT(--(Headcount!$F$6:$F$92="Software"),--(Headcount!$H$6:$H$92&gt;=Software!R$3),Headcount!$R$6:$R$92,Headcount!$L$6:$L$92)),0),"New Year"))))),'Dept. Cost Actuals'!V478)</f>
        <v>26060.61</v>
      </c>
      <c r="S16" s="684">
        <f>IF(S$4="forecast",IF(YEAR(S$3)=YEAR(Headcount!$N$4),IF((S$5=12),(SUMPRODUCT(--(Headcount!$F$6:$F$92="Software"),--(Headcount!$H$6:$H$92&gt;=Software!S$3),Headcount!$N$6:$N$92,Headcount!$L$6:$L$92)),0),IF(YEAR(S$3)=YEAR(Headcount!$O$4),IF((S$5=12),(SUMPRODUCT(--(Headcount!$F$6:$F$92="Software"),--(Headcount!$H$6:$H$92&gt;=Software!S$3),Headcount!$O$6:$O$92,Headcount!$L$6:$L$92)),0),IF(YEAR(S$3)=YEAR(Headcount!$P$4),IF((S$5=12),(SUMPRODUCT(--(Headcount!$F$6:$F$92="Software"),--(Headcount!$H$6:$H$92&gt;=Software!S$3),Headcount!$P$6:$P$92,Headcount!$L$6:$L$92)),0),IF(YEAR(S$3)=YEAR(Headcount!$Q$4),IF((S$5=12),(SUMPRODUCT(--(Headcount!$F$6:$F$92="Software"),--(Headcount!$H$6:$H$92&gt;=Software!S$3),Headcount!$Q$6:$Q$92,Headcount!$L$6:$L$92)),0),IF(YEAR(S$3)=YEAR(Headcount!$R$4),IF((S$5=12),(SUMPRODUCT(--(Headcount!$F$6:$F$92="Software"),--(Headcount!$H$6:$H$92&gt;=Software!S$3),Headcount!$R$6:$R$92,Headcount!$L$6:$L$92)),0),"New Year"))))),'Dept. Cost Actuals'!W478)</f>
        <v>19932.419999999998</v>
      </c>
      <c r="T16" s="684">
        <f>IF(T$4="forecast",IF(YEAR(T$3)=YEAR(Headcount!$N$4),IF((T$5=12),(SUMPRODUCT(--(Headcount!$F$6:$F$92="Software"),--(Headcount!$H$6:$H$92&gt;=Software!T$3),Headcount!$N$6:$N$92,Headcount!$L$6:$L$92)),0),IF(YEAR(T$3)=YEAR(Headcount!$O$4),IF((T$5=12),(SUMPRODUCT(--(Headcount!$F$6:$F$92="Software"),--(Headcount!$H$6:$H$92&gt;=Software!T$3),Headcount!$O$6:$O$92,Headcount!$L$6:$L$92)),0),IF(YEAR(T$3)=YEAR(Headcount!$P$4),IF((T$5=12),(SUMPRODUCT(--(Headcount!$F$6:$F$92="Software"),--(Headcount!$H$6:$H$92&gt;=Software!T$3),Headcount!$P$6:$P$92,Headcount!$L$6:$L$92)),0),IF(YEAR(T$3)=YEAR(Headcount!$Q$4),IF((T$5=12),(SUMPRODUCT(--(Headcount!$F$6:$F$92="Software"),--(Headcount!$H$6:$H$92&gt;=Software!T$3),Headcount!$Q$6:$Q$92,Headcount!$L$6:$L$92)),0),IF(YEAR(T$3)=YEAR(Headcount!$R$4),IF((T$5=12),(SUMPRODUCT(--(Headcount!$F$6:$F$92="Software"),--(Headcount!$H$6:$H$92&gt;=Software!T$3),Headcount!$R$6:$R$92,Headcount!$L$6:$L$92)),0),"New Year"))))),'Dept. Cost Actuals'!X478)</f>
        <v>22432.42</v>
      </c>
      <c r="U16" s="684">
        <f>IF(U$4="forecast",IF(YEAR(U$3)=YEAR(Headcount!$N$4),IF((U$5=12),(SUMPRODUCT(--(Headcount!$F$6:$F$92="Software"),--(Headcount!$H$6:$H$92&gt;=Software!U$3),Headcount!$N$6:$N$92,Headcount!$L$6:$L$92)),0),IF(YEAR(U$3)=YEAR(Headcount!$O$4),IF((U$5=12),(SUMPRODUCT(--(Headcount!$F$6:$F$92="Software"),--(Headcount!$H$6:$H$92&gt;=Software!U$3),Headcount!$O$6:$O$92,Headcount!$L$6:$L$92)),0),IF(YEAR(U$3)=YEAR(Headcount!$P$4),IF((U$5=12),(SUMPRODUCT(--(Headcount!$F$6:$F$92="Software"),--(Headcount!$H$6:$H$92&gt;=Software!U$3),Headcount!$P$6:$P$92,Headcount!$L$6:$L$92)),0),IF(YEAR(U$3)=YEAR(Headcount!$Q$4),IF((U$5=12),(SUMPRODUCT(--(Headcount!$F$6:$F$92="Software"),--(Headcount!$H$6:$H$92&gt;=Software!U$3),Headcount!$Q$6:$Q$92,Headcount!$L$6:$L$92)),0),IF(YEAR(U$3)=YEAR(Headcount!$R$4),IF((U$5=12),(SUMPRODUCT(--(Headcount!$F$6:$F$92="Software"),--(Headcount!$H$6:$H$92&gt;=Software!U$3),Headcount!$R$6:$R$92,Headcount!$L$6:$L$92)),0),"New Year"))))),'Dept. Cost Actuals'!Y478)</f>
        <v>29226.23</v>
      </c>
      <c r="V16" s="684">
        <f>IF(V$4="forecast",IF(YEAR(V$3)=YEAR(Headcount!$N$4),IF((V$5=12),(SUMPRODUCT(--(Headcount!$F$6:$F$92="Software"),--(Headcount!$H$6:$H$92&gt;=Software!V$3),Headcount!$N$6:$N$92,Headcount!$L$6:$L$92)),0),IF(YEAR(V$3)=YEAR(Headcount!$O$4),IF((V$5=12),(SUMPRODUCT(--(Headcount!$F$6:$F$92="Software"),--(Headcount!$H$6:$H$92&gt;=Software!V$3),Headcount!$O$6:$O$92,Headcount!$L$6:$L$92)),0),IF(YEAR(V$3)=YEAR(Headcount!$P$4),IF((V$5=12),(SUMPRODUCT(--(Headcount!$F$6:$F$92="Software"),--(Headcount!$H$6:$H$92&gt;=Software!V$3),Headcount!$P$6:$P$92,Headcount!$L$6:$L$92)),0),IF(YEAR(V$3)=YEAR(Headcount!$Q$4),IF((V$5=12),(SUMPRODUCT(--(Headcount!$F$6:$F$92="Software"),--(Headcount!$H$6:$H$92&gt;=Software!V$3),Headcount!$Q$6:$Q$92,Headcount!$L$6:$L$92)),0),IF(YEAR(V$3)=YEAR(Headcount!$R$4),IF((V$5=12),(SUMPRODUCT(--(Headcount!$F$6:$F$92="Software"),--(Headcount!$H$6:$H$92&gt;=Software!V$3),Headcount!$R$6:$R$92,Headcount!$L$6:$L$92)),0),"New Year"))))),'Dept. Cost Actuals'!Z478)</f>
        <v>20109.419999999998</v>
      </c>
      <c r="W16" s="684">
        <f>IF(W$4="forecast",IF(YEAR(W$3)=YEAR(Headcount!$N$4),IF((W$5=12),(SUMPRODUCT(--(Headcount!$F$6:$F$92="Software"),--(Headcount!$H$6:$H$92&gt;=Software!W$3),Headcount!$N$6:$N$92,Headcount!$L$6:$L$92)),0),IF(YEAR(W$3)=YEAR(Headcount!$O$4),IF((W$5=12),(SUMPRODUCT(--(Headcount!$F$6:$F$92="Software"),--(Headcount!$H$6:$H$92&gt;=Software!W$3),Headcount!$O$6:$O$92,Headcount!$L$6:$L$92)),0),IF(YEAR(W$3)=YEAR(Headcount!$P$4),IF((W$5=12),(SUMPRODUCT(--(Headcount!$F$6:$F$92="Software"),--(Headcount!$H$6:$H$92&gt;=Software!W$3),Headcount!$P$6:$P$92,Headcount!$L$6:$L$92)),0),IF(YEAR(W$3)=YEAR(Headcount!$Q$4),IF((W$5=12),(SUMPRODUCT(--(Headcount!$F$6:$F$92="Software"),--(Headcount!$H$6:$H$92&gt;=Software!W$3),Headcount!$Q$6:$Q$92,Headcount!$L$6:$L$92)),0),IF(YEAR(W$3)=YEAR(Headcount!$R$4),IF((W$5=12),(SUMPRODUCT(--(Headcount!$F$6:$F$92="Software"),--(Headcount!$H$6:$H$92&gt;=Software!W$3),Headcount!$R$6:$R$92,Headcount!$L$6:$L$92)),0),"New Year"))))),'Dept. Cost Actuals'!AA478)</f>
        <v>20153.919999999998</v>
      </c>
      <c r="X16" s="684">
        <f>IF(X$4="forecast",IF(YEAR(X$3)=YEAR(Headcount!$N$4),IF((X$5=12),(SUMPRODUCT(--(Headcount!$F$6:$F$92="Software"),--(Headcount!$H$6:$H$92&gt;=Software!X$3),Headcount!$N$6:$N$92,Headcount!$L$6:$L$92)),0),IF(YEAR(X$3)=YEAR(Headcount!$O$4),IF((X$5=12),(SUMPRODUCT(--(Headcount!$F$6:$F$92="Software"),--(Headcount!$H$6:$H$92&gt;=Software!X$3),Headcount!$O$6:$O$92,Headcount!$L$6:$L$92)),0),IF(YEAR(X$3)=YEAR(Headcount!$P$4),IF((X$5=12),(SUMPRODUCT(--(Headcount!$F$6:$F$92="Software"),--(Headcount!$H$6:$H$92&gt;=Software!X$3),Headcount!$P$6:$P$92,Headcount!$L$6:$L$92)),0),IF(YEAR(X$3)=YEAR(Headcount!$Q$4),IF((X$5=12),(SUMPRODUCT(--(Headcount!$F$6:$F$92="Software"),--(Headcount!$H$6:$H$92&gt;=Software!X$3),Headcount!$Q$6:$Q$92,Headcount!$L$6:$L$92)),0),IF(YEAR(X$3)=YEAR(Headcount!$R$4),IF((X$5=12),(SUMPRODUCT(--(Headcount!$F$6:$F$92="Software"),--(Headcount!$H$6:$H$92&gt;=Software!X$3),Headcount!$R$6:$R$92,Headcount!$L$6:$L$92)),0),"New Year"))))),'Dept. Cost Actuals'!AB478)</f>
        <v>25509.81</v>
      </c>
      <c r="Y16" s="684">
        <f>IF(Y$4="forecast",IF(YEAR(Y$3)=YEAR(Headcount!$N$4),IF((Y$5=12),(SUMPRODUCT(--(Headcount!$F$6:$F$92="Software"),--(Headcount!$H$6:$H$92&gt;=Software!Y$3),Headcount!$N$6:$N$92,Headcount!$L$6:$L$92)),0),IF(YEAR(Y$3)=YEAR(Headcount!$O$4),IF((Y$5=12),(SUMPRODUCT(--(Headcount!$F$6:$F$92="Software"),--(Headcount!$H$6:$H$92&gt;=Software!Y$3),Headcount!$O$6:$O$92,Headcount!$L$6:$L$92)),0),IF(YEAR(Y$3)=YEAR(Headcount!$P$4),IF((Y$5=12),(SUMPRODUCT(--(Headcount!$F$6:$F$92="Software"),--(Headcount!$H$6:$H$92&gt;=Software!Y$3),Headcount!$P$6:$P$92,Headcount!$L$6:$L$92)),0),IF(YEAR(Y$3)=YEAR(Headcount!$Q$4),IF((Y$5=12),(SUMPRODUCT(--(Headcount!$F$6:$F$92="Software"),--(Headcount!$H$6:$H$92&gt;=Software!Y$3),Headcount!$Q$6:$Q$92,Headcount!$L$6:$L$92)),0),IF(YEAR(Y$3)=YEAR(Headcount!$R$4),IF((Y$5=12),(SUMPRODUCT(--(Headcount!$F$6:$F$92="Software"),--(Headcount!$H$6:$H$92&gt;=Software!Y$3),Headcount!$R$6:$R$92,Headcount!$L$6:$L$92)),0),"New Year"))))),'Dept. Cost Actuals'!AC478)</f>
        <v>20282.400000000001</v>
      </c>
      <c r="Z16" s="684">
        <f>IF(Z$4="forecast",IF(YEAR(Z$3)=YEAR(Headcount!$N$4),IF((Z$5=12),(SUMPRODUCT(--(Headcount!$F$6:$F$92="Software"),--(Headcount!$H$6:$H$92&gt;=Software!Z$3),Headcount!$N$6:$N$92,Headcount!$L$6:$L$92)),0),IF(YEAR(Z$3)=YEAR(Headcount!$O$4),IF((Z$5=12),(SUMPRODUCT(--(Headcount!$F$6:$F$92="Software"),--(Headcount!$H$6:$H$92&gt;=Software!Z$3),Headcount!$O$6:$O$92,Headcount!$L$6:$L$92)),0),IF(YEAR(Z$3)=YEAR(Headcount!$P$4),IF((Z$5=12),(SUMPRODUCT(--(Headcount!$F$6:$F$92="Software"),--(Headcount!$H$6:$H$92&gt;=Software!Z$3),Headcount!$P$6:$P$92,Headcount!$L$6:$L$92)),0),IF(YEAR(Z$3)=YEAR(Headcount!$Q$4),IF((Z$5=12),(SUMPRODUCT(--(Headcount!$F$6:$F$92="Software"),--(Headcount!$H$6:$H$92&gt;=Software!Z$3),Headcount!$Q$6:$Q$92,Headcount!$L$6:$L$92)),0),IF(YEAR(Z$3)=YEAR(Headcount!$R$4),IF((Z$5=12),(SUMPRODUCT(--(Headcount!$F$6:$F$92="Software"),--(Headcount!$H$6:$H$92&gt;=Software!Z$3),Headcount!$R$6:$R$92,Headcount!$L$6:$L$92)),0),"New Year"))))),'Dept. Cost Actuals'!AD478)</f>
        <v>-19772.349999999999</v>
      </c>
      <c r="AA16" s="684">
        <f>IF(AA$4="forecast",IF(YEAR(AA$3)=YEAR(Headcount!$N$4),IF((AA$5=12),(SUMPRODUCT(--(Headcount!$F$6:$F$92="Software"),--(Headcount!$H$6:$H$92&gt;=Software!AA$3),Headcount!$N$6:$N$92,Headcount!$L$6:$L$92)),0),IF(YEAR(AA$3)=YEAR(Headcount!$O$4),IF((AA$5=12),(SUMPRODUCT(--(Headcount!$F$6:$F$92="Software"),--(Headcount!$H$6:$H$92&gt;=Software!AA$3),Headcount!$O$6:$O$92,Headcount!$L$6:$L$92)),0),IF(YEAR(AA$3)=YEAR(Headcount!$P$4),IF((AA$5=12),(SUMPRODUCT(--(Headcount!$F$6:$F$92="Software"),--(Headcount!$H$6:$H$92&gt;=Software!AA$3),Headcount!$P$6:$P$92,Headcount!$L$6:$L$92)),0),IF(YEAR(AA$3)=YEAR(Headcount!$Q$4),IF((AA$5=12),(SUMPRODUCT(--(Headcount!$F$6:$F$92="Software"),--(Headcount!$H$6:$H$92&gt;=Software!AA$3),Headcount!$Q$6:$Q$92,Headcount!$L$6:$L$92)),0),IF(YEAR(AA$3)=YEAR(Headcount!$R$4),IF((AA$5=12),(SUMPRODUCT(--(Headcount!$F$6:$F$92="Software"),--(Headcount!$H$6:$H$92&gt;=Software!AA$3),Headcount!$R$6:$R$92,Headcount!$L$6:$L$92)),0),"New Year"))))),'Dept. Cost Actuals'!AE478)</f>
        <v>0</v>
      </c>
      <c r="AB16" s="684">
        <f>IF(AB$4="forecast",IF(YEAR(AB$3)=YEAR(Headcount!$N$4),IF((AB$5=12),(SUMPRODUCT(--(Headcount!$F$6:$F$92="Software"),--(Headcount!$H$6:$H$92&gt;=Software!AB$3),Headcount!$N$6:$N$92,Headcount!$L$6:$L$92)),0),IF(YEAR(AB$3)=YEAR(Headcount!$O$4),IF((AB$5=12),(SUMPRODUCT(--(Headcount!$F$6:$F$92="Software"),--(Headcount!$H$6:$H$92&gt;=Software!AB$3),Headcount!$O$6:$O$92,Headcount!$L$6:$L$92)),0),IF(YEAR(AB$3)=YEAR(Headcount!$P$4),IF((AB$5=12),(SUMPRODUCT(--(Headcount!$F$6:$F$92="Software"),--(Headcount!$H$6:$H$92&gt;=Software!AB$3),Headcount!$P$6:$P$92,Headcount!$L$6:$L$92)),0),IF(YEAR(AB$3)=YEAR(Headcount!$Q$4),IF((AB$5=12),(SUMPRODUCT(--(Headcount!$F$6:$F$92="Software"),--(Headcount!$H$6:$H$92&gt;=Software!AB$3),Headcount!$Q$6:$Q$92,Headcount!$L$6:$L$92)),0),IF(YEAR(AB$3)=YEAR(Headcount!$R$4),IF((AB$5=12),(SUMPRODUCT(--(Headcount!$F$6:$F$92="Software"),--(Headcount!$H$6:$H$92&gt;=Software!AB$3),Headcount!$R$6:$R$92,Headcount!$L$6:$L$92)),0),"New Year"))))),'Dept. Cost Actuals'!AF478)</f>
        <v>0</v>
      </c>
      <c r="AC16" s="684">
        <f>IF(AC$4="forecast",IF(YEAR(AC$3)=YEAR(Headcount!$N$4),IF((AC$5=12),(SUMPRODUCT(--(Headcount!$F$6:$F$92="Software"),--(Headcount!$H$6:$H$92&gt;=Software!AC$3),Headcount!$N$6:$N$92,Headcount!$L$6:$L$92)),0),IF(YEAR(AC$3)=YEAR(Headcount!$O$4),IF((AC$5=12),(SUMPRODUCT(--(Headcount!$F$6:$F$92="Software"),--(Headcount!$H$6:$H$92&gt;=Software!AC$3),Headcount!$O$6:$O$92,Headcount!$L$6:$L$92)),0),IF(YEAR(AC$3)=YEAR(Headcount!$P$4),IF((AC$5=12),(SUMPRODUCT(--(Headcount!$F$6:$F$92="Software"),--(Headcount!$H$6:$H$92&gt;=Software!AC$3),Headcount!$P$6:$P$92,Headcount!$L$6:$L$92)),0),IF(YEAR(AC$3)=YEAR(Headcount!$Q$4),IF((AC$5=12),(SUMPRODUCT(--(Headcount!$F$6:$F$92="Software"),--(Headcount!$H$6:$H$92&gt;=Software!AC$3),Headcount!$Q$6:$Q$92,Headcount!$L$6:$L$92)),0),IF(YEAR(AC$3)=YEAR(Headcount!$R$4),IF((AC$5=12),(SUMPRODUCT(--(Headcount!$F$6:$F$92="Software"),--(Headcount!$H$6:$H$92&gt;=Software!AC$3),Headcount!$R$6:$R$92,Headcount!$L$6:$L$92)),0),"New Year"))))),'Dept. Cost Actuals'!AG478)</f>
        <v>0</v>
      </c>
      <c r="AD16" s="684">
        <f>IF(AD$4="forecast",IF(YEAR(AD$3)=YEAR(Headcount!$N$4),IF((AD$5=12),(SUMPRODUCT(--(Headcount!$F$6:$F$92="Software"),--(Headcount!$H$6:$H$92&gt;=Software!AD$3),Headcount!$N$6:$N$92,Headcount!$L$6:$L$92)),0),IF(YEAR(AD$3)=YEAR(Headcount!$O$4),IF((AD$5=12),(SUMPRODUCT(--(Headcount!$F$6:$F$92="Software"),--(Headcount!$H$6:$H$92&gt;=Software!AD$3),Headcount!$O$6:$O$92,Headcount!$L$6:$L$92)),0),IF(YEAR(AD$3)=YEAR(Headcount!$P$4),IF((AD$5=12),(SUMPRODUCT(--(Headcount!$F$6:$F$92="Software"),--(Headcount!$H$6:$H$92&gt;=Software!AD$3),Headcount!$P$6:$P$92,Headcount!$L$6:$L$92)),0),IF(YEAR(AD$3)=YEAR(Headcount!$Q$4),IF((AD$5=12),(SUMPRODUCT(--(Headcount!$F$6:$F$92="Software"),--(Headcount!$H$6:$H$92&gt;=Software!AD$3),Headcount!$Q$6:$Q$92,Headcount!$L$6:$L$92)),0),IF(YEAR(AD$3)=YEAR(Headcount!$R$4),IF((AD$5=12),(SUMPRODUCT(--(Headcount!$F$6:$F$92="Software"),--(Headcount!$H$6:$H$92&gt;=Software!AD$3),Headcount!$R$6:$R$92,Headcount!$L$6:$L$92)),0),"New Year"))))),'Dept. Cost Actuals'!AH478)</f>
        <v>0</v>
      </c>
      <c r="AE16" s="684">
        <f>IF(AE$4="forecast",IF(YEAR(AE$3)=YEAR(Headcount!$N$4),IF((AE$5=12),(SUMPRODUCT(--(Headcount!$F$6:$F$92="Software"),--(Headcount!$H$6:$H$92&gt;=Software!AE$3),Headcount!$N$6:$N$92,Headcount!$L$6:$L$92)),0),IF(YEAR(AE$3)=YEAR(Headcount!$O$4),IF((AE$5=12),(SUMPRODUCT(--(Headcount!$F$6:$F$92="Software"),--(Headcount!$H$6:$H$92&gt;=Software!AE$3),Headcount!$O$6:$O$92,Headcount!$L$6:$L$92)),0),IF(YEAR(AE$3)=YEAR(Headcount!$P$4),IF((AE$5=12),(SUMPRODUCT(--(Headcount!$F$6:$F$92="Software"),--(Headcount!$H$6:$H$92&gt;=Software!AE$3),Headcount!$P$6:$P$92,Headcount!$L$6:$L$92)),0),IF(YEAR(AE$3)=YEAR(Headcount!$Q$4),IF((AE$5=12),(SUMPRODUCT(--(Headcount!$F$6:$F$92="Software"),--(Headcount!$H$6:$H$92&gt;=Software!AE$3),Headcount!$Q$6:$Q$92,Headcount!$L$6:$L$92)),0),IF(YEAR(AE$3)=YEAR(Headcount!$R$4),IF((AE$5=12),(SUMPRODUCT(--(Headcount!$F$6:$F$92="Software"),--(Headcount!$H$6:$H$92&gt;=Software!AE$3),Headcount!$R$6:$R$92,Headcount!$L$6:$L$92)),0),"New Year"))))),'Dept. Cost Actuals'!AI478)</f>
        <v>0</v>
      </c>
      <c r="AF16" s="684">
        <f>IF(AF$4="forecast",IF(YEAR(AF$3)=YEAR(Headcount!$N$4),IF((AF$5=12),(SUMPRODUCT(--(Headcount!$F$6:$F$92="Software"),--(Headcount!$H$6:$H$92&gt;=Software!AF$3),Headcount!$N$6:$N$92,Headcount!$L$6:$L$92)),0),IF(YEAR(AF$3)=YEAR(Headcount!$O$4),IF((AF$5=12),(SUMPRODUCT(--(Headcount!$F$6:$F$92="Software"),--(Headcount!$H$6:$H$92&gt;=Software!AF$3),Headcount!$O$6:$O$92,Headcount!$L$6:$L$92)),0),IF(YEAR(AF$3)=YEAR(Headcount!$P$4),IF((AF$5=12),(SUMPRODUCT(--(Headcount!$F$6:$F$92="Software"),--(Headcount!$H$6:$H$92&gt;=Software!AF$3),Headcount!$P$6:$P$92,Headcount!$L$6:$L$92)),0),IF(YEAR(AF$3)=YEAR(Headcount!$Q$4),IF((AF$5=12),(SUMPRODUCT(--(Headcount!$F$6:$F$92="Software"),--(Headcount!$H$6:$H$92&gt;=Software!AF$3),Headcount!$Q$6:$Q$92,Headcount!$L$6:$L$92)),0),IF(YEAR(AF$3)=YEAR(Headcount!$R$4),IF((AF$5=12),(SUMPRODUCT(--(Headcount!$F$6:$F$92="Software"),--(Headcount!$H$6:$H$92&gt;=Software!AF$3),Headcount!$R$6:$R$92,Headcount!$L$6:$L$92)),0),"New Year"))))),'Dept. Cost Actuals'!AJ478)</f>
        <v>0</v>
      </c>
      <c r="AG16" s="684">
        <f>IF(AG$4="forecast",IF(YEAR(AG$3)=YEAR(Headcount!$N$4),IF((AG$5=12),(SUMPRODUCT(--(Headcount!$F$6:$F$92="Software"),--(Headcount!$H$6:$H$92&gt;=Software!AG$3),Headcount!$N$6:$N$92,Headcount!$L$6:$L$92)),0),IF(YEAR(AG$3)=YEAR(Headcount!$O$4),IF((AG$5=12),(SUMPRODUCT(--(Headcount!$F$6:$F$92="Software"),--(Headcount!$H$6:$H$92&gt;=Software!AG$3),Headcount!$O$6:$O$92,Headcount!$L$6:$L$92)),0),IF(YEAR(AG$3)=YEAR(Headcount!$P$4),IF((AG$5=12),(SUMPRODUCT(--(Headcount!$F$6:$F$92="Software"),--(Headcount!$H$6:$H$92&gt;=Software!AG$3),Headcount!$P$6:$P$92,Headcount!$L$6:$L$92)),0),IF(YEAR(AG$3)=YEAR(Headcount!$Q$4),IF((AG$5=12),(SUMPRODUCT(--(Headcount!$F$6:$F$92="Software"),--(Headcount!$H$6:$H$92&gt;=Software!AG$3),Headcount!$Q$6:$Q$92,Headcount!$L$6:$L$92)),0),IF(YEAR(AG$3)=YEAR(Headcount!$R$4),IF((AG$5=12),(SUMPRODUCT(--(Headcount!$F$6:$F$92="Software"),--(Headcount!$H$6:$H$92&gt;=Software!AG$3),Headcount!$R$6:$R$92,Headcount!$L$6:$L$92)),0),"New Year"))))),'Dept. Cost Actuals'!AK478)</f>
        <v>0</v>
      </c>
      <c r="AH16" s="684">
        <f>IF(AH$4="forecast",IF(YEAR(AH$3)=YEAR(Headcount!$N$4),IF((AH$5=12),(SUMPRODUCT(--(Headcount!$F$6:$F$92="Software"),--(Headcount!$H$6:$H$92&gt;=Software!AH$3),Headcount!$N$6:$N$92,Headcount!$L$6:$L$92)),0),IF(YEAR(AH$3)=YEAR(Headcount!$O$4),IF((AH$5=12),(SUMPRODUCT(--(Headcount!$F$6:$F$92="Software"),--(Headcount!$H$6:$H$92&gt;=Software!AH$3),Headcount!$O$6:$O$92,Headcount!$L$6:$L$92)),0),IF(YEAR(AH$3)=YEAR(Headcount!$P$4),IF((AH$5=12),(SUMPRODUCT(--(Headcount!$F$6:$F$92="Software"),--(Headcount!$H$6:$H$92&gt;=Software!AH$3),Headcount!$P$6:$P$92,Headcount!$L$6:$L$92)),0),IF(YEAR(AH$3)=YEAR(Headcount!$Q$4),IF((AH$5=12),(SUMPRODUCT(--(Headcount!$F$6:$F$92="Software"),--(Headcount!$H$6:$H$92&gt;=Software!AH$3),Headcount!$Q$6:$Q$92,Headcount!$L$6:$L$92)),0),IF(YEAR(AH$3)=YEAR(Headcount!$R$4),IF((AH$5=12),(SUMPRODUCT(--(Headcount!$F$6:$F$92="Software"),--(Headcount!$H$6:$H$92&gt;=Software!AH$3),Headcount!$R$6:$R$92,Headcount!$L$6:$L$92)),0),"New Year"))))),'Dept. Cost Actuals'!AL478)</f>
        <v>0</v>
      </c>
      <c r="AI16" s="684">
        <f>IF(AI$4="forecast",IF(YEAR(AI$3)=YEAR(Headcount!$N$4),IF((AI$5=12),(SUMPRODUCT(--(Headcount!$F$6:$F$92="Software"),--(Headcount!$H$6:$H$92&gt;=Software!AI$3),Headcount!$N$6:$N$92,Headcount!$L$6:$L$92)),0),IF(YEAR(AI$3)=YEAR(Headcount!$O$4),IF((AI$5=12),(SUMPRODUCT(--(Headcount!$F$6:$F$92="Software"),--(Headcount!$H$6:$H$92&gt;=Software!AI$3),Headcount!$O$6:$O$92,Headcount!$L$6:$L$92)),0),IF(YEAR(AI$3)=YEAR(Headcount!$P$4),IF((AI$5=12),(SUMPRODUCT(--(Headcount!$F$6:$F$92="Software"),--(Headcount!$H$6:$H$92&gt;=Software!AI$3),Headcount!$P$6:$P$92,Headcount!$L$6:$L$92)),0),IF(YEAR(AI$3)=YEAR(Headcount!$Q$4),IF((AI$5=12),(SUMPRODUCT(--(Headcount!$F$6:$F$92="Software"),--(Headcount!$H$6:$H$92&gt;=Software!AI$3),Headcount!$Q$6:$Q$92,Headcount!$L$6:$L$92)),0),IF(YEAR(AI$3)=YEAR(Headcount!$R$4),IF((AI$5=12),(SUMPRODUCT(--(Headcount!$F$6:$F$92="Software"),--(Headcount!$H$6:$H$92&gt;=Software!AI$3),Headcount!$R$6:$R$92,Headcount!$L$6:$L$92)),0),"New Year"))))),'Dept. Cost Actuals'!AM478)</f>
        <v>0</v>
      </c>
      <c r="AJ16" s="684">
        <f>IF(AJ$4="forecast",IF(YEAR(AJ$3)=YEAR(Headcount!$N$4),IF((AJ$5=12),(SUMPRODUCT(--(Headcount!$F$6:$F$92="Software"),--(Headcount!$H$6:$H$92&gt;=Software!AJ$3),Headcount!$N$6:$N$92,Headcount!$L$6:$L$92)),0),IF(YEAR(AJ$3)=YEAR(Headcount!$O$4),IF((AJ$5=12),(SUMPRODUCT(--(Headcount!$F$6:$F$92="Software"),--(Headcount!$H$6:$H$92&gt;=Software!AJ$3),Headcount!$O$6:$O$92,Headcount!$L$6:$L$92)),0),IF(YEAR(AJ$3)=YEAR(Headcount!$P$4),IF((AJ$5=12),(SUMPRODUCT(--(Headcount!$F$6:$F$92="Software"),--(Headcount!$H$6:$H$92&gt;=Software!AJ$3),Headcount!$P$6:$P$92,Headcount!$L$6:$L$92)),0),IF(YEAR(AJ$3)=YEAR(Headcount!$Q$4),IF((AJ$5=12),(SUMPRODUCT(--(Headcount!$F$6:$F$92="Software"),--(Headcount!$H$6:$H$92&gt;=Software!AJ$3),Headcount!$Q$6:$Q$92,Headcount!$L$6:$L$92)),0),IF(YEAR(AJ$3)=YEAR(Headcount!$R$4),IF((AJ$5=12),(SUMPRODUCT(--(Headcount!$F$6:$F$92="Software"),--(Headcount!$H$6:$H$92&gt;=Software!AJ$3),Headcount!$R$6:$R$92,Headcount!$L$6:$L$92)),0),"New Year"))))),'Dept. Cost Actuals'!AN478)</f>
        <v>0</v>
      </c>
      <c r="AK16" s="684">
        <f>IF(AK$4="forecast",IF(YEAR(AK$3)=YEAR(Headcount!$N$4),IF((AK$5=12),(SUMPRODUCT(--(Headcount!$F$6:$F$92="Software"),--(Headcount!$H$6:$H$92&gt;=Software!AK$3),Headcount!$N$6:$N$92,Headcount!$L$6:$L$92)),0),IF(YEAR(AK$3)=YEAR(Headcount!$O$4),IF((AK$5=12),(SUMPRODUCT(--(Headcount!$F$6:$F$92="Software"),--(Headcount!$H$6:$H$92&gt;=Software!AK$3),Headcount!$O$6:$O$92,Headcount!$L$6:$L$92)),0),IF(YEAR(AK$3)=YEAR(Headcount!$P$4),IF((AK$5=12),(SUMPRODUCT(--(Headcount!$F$6:$F$92="Software"),--(Headcount!$H$6:$H$92&gt;=Software!AK$3),Headcount!$P$6:$P$92,Headcount!$L$6:$L$92)),0),IF(YEAR(AK$3)=YEAR(Headcount!$Q$4),IF((AK$5=12),(SUMPRODUCT(--(Headcount!$F$6:$F$92="Software"),--(Headcount!$H$6:$H$92&gt;=Software!AK$3),Headcount!$Q$6:$Q$92,Headcount!$L$6:$L$92)),0),IF(YEAR(AK$3)=YEAR(Headcount!$R$4),IF((AK$5=12),(SUMPRODUCT(--(Headcount!$F$6:$F$92="Software"),--(Headcount!$H$6:$H$92&gt;=Software!AK$3),Headcount!$R$6:$R$92,Headcount!$L$6:$L$92)),0),"New Year"))))),'Dept. Cost Actuals'!AO478)</f>
        <v>0</v>
      </c>
      <c r="AL16" s="684">
        <f>IF(AL$4="forecast",IF(YEAR(AL$3)=YEAR(Headcount!$N$4),IF((AL$5=12),(SUMPRODUCT(--(Headcount!$F$6:$F$92="Software"),--(Headcount!$H$6:$H$92&gt;=Software!AL$3),Headcount!$N$6:$N$92,Headcount!$L$6:$L$92)),0),IF(YEAR(AL$3)=YEAR(Headcount!$O$4),IF((AL$5=12),(SUMPRODUCT(--(Headcount!$F$6:$F$92="Software"),--(Headcount!$H$6:$H$92&gt;=Software!AL$3),Headcount!$O$6:$O$92,Headcount!$L$6:$L$92)),0),IF(YEAR(AL$3)=YEAR(Headcount!$P$4),IF((AL$5=12),(SUMPRODUCT(--(Headcount!$F$6:$F$92="Software"),--(Headcount!$H$6:$H$92&gt;=Software!AL$3),Headcount!$P$6:$P$92,Headcount!$L$6:$L$92)),0),IF(YEAR(AL$3)=YEAR(Headcount!$Q$4),IF((AL$5=12),(SUMPRODUCT(--(Headcount!$F$6:$F$92="Software"),--(Headcount!$H$6:$H$92&gt;=Software!AL$3),Headcount!$Q$6:$Q$92,Headcount!$L$6:$L$92)),0),IF(YEAR(AL$3)=YEAR(Headcount!$R$4),IF((AL$5=12),(SUMPRODUCT(--(Headcount!$F$6:$F$92="Software"),--(Headcount!$H$6:$H$92&gt;=Software!AL$3),Headcount!$R$6:$R$92,Headcount!$L$6:$L$92)),0),"New Year"))))),'Dept. Cost Actuals'!AP478)</f>
        <v>410880</v>
      </c>
      <c r="AM16" s="684">
        <f>IF(AM$4="forecast",IF(YEAR(AM$3)=YEAR(Headcount!$N$4),IF((AM$5=12),(SUMPRODUCT(--(Headcount!$F$6:$F$92="Software"),--(Headcount!$H$6:$H$92&gt;=Software!AM$3),Headcount!$N$6:$N$92,Headcount!$L$6:$L$92)),0),IF(YEAR(AM$3)=YEAR(Headcount!$O$4),IF((AM$5=12),(SUMPRODUCT(--(Headcount!$F$6:$F$92="Software"),--(Headcount!$H$6:$H$92&gt;=Software!AM$3),Headcount!$O$6:$O$92,Headcount!$L$6:$L$92)),0),IF(YEAR(AM$3)=YEAR(Headcount!$P$4),IF((AM$5=12),(SUMPRODUCT(--(Headcount!$F$6:$F$92="Software"),--(Headcount!$H$6:$H$92&gt;=Software!AM$3),Headcount!$P$6:$P$92,Headcount!$L$6:$L$92)),0),IF(YEAR(AM$3)=YEAR(Headcount!$Q$4),IF((AM$5=12),(SUMPRODUCT(--(Headcount!$F$6:$F$92="Software"),--(Headcount!$H$6:$H$92&gt;=Software!AM$3),Headcount!$Q$6:$Q$92,Headcount!$L$6:$L$92)),0),IF(YEAR(AM$3)=YEAR(Headcount!$R$4),IF((AM$5=12),(SUMPRODUCT(--(Headcount!$F$6:$F$92="Software"),--(Headcount!$H$6:$H$92&gt;=Software!AM$3),Headcount!$R$6:$R$92,Headcount!$L$6:$L$92)),0),"New Year"))))),'Dept. Cost Actuals'!AQ478)</f>
        <v>0</v>
      </c>
      <c r="AN16" s="684">
        <f>IF(AN$4="forecast",IF(YEAR(AN$3)=YEAR(Headcount!$N$4),IF((AN$5=12),(SUMPRODUCT(--(Headcount!$F$6:$F$92="Software"),--(Headcount!$H$6:$H$92&gt;=Software!AN$3),Headcount!$N$6:$N$92,Headcount!$L$6:$L$92)),0),IF(YEAR(AN$3)=YEAR(Headcount!$O$4),IF((AN$5=12),(SUMPRODUCT(--(Headcount!$F$6:$F$92="Software"),--(Headcount!$H$6:$H$92&gt;=Software!AN$3),Headcount!$O$6:$O$92,Headcount!$L$6:$L$92)),0),IF(YEAR(AN$3)=YEAR(Headcount!$P$4),IF((AN$5=12),(SUMPRODUCT(--(Headcount!$F$6:$F$92="Software"),--(Headcount!$H$6:$H$92&gt;=Software!AN$3),Headcount!$P$6:$P$92,Headcount!$L$6:$L$92)),0),IF(YEAR(AN$3)=YEAR(Headcount!$Q$4),IF((AN$5=12),(SUMPRODUCT(--(Headcount!$F$6:$F$92="Software"),--(Headcount!$H$6:$H$92&gt;=Software!AN$3),Headcount!$Q$6:$Q$92,Headcount!$L$6:$L$92)),0),IF(YEAR(AN$3)=YEAR(Headcount!$R$4),IF((AN$5=12),(SUMPRODUCT(--(Headcount!$F$6:$F$92="Software"),--(Headcount!$H$6:$H$92&gt;=Software!AN$3),Headcount!$R$6:$R$92,Headcount!$L$6:$L$92)),0),"New Year"))))),'Dept. Cost Actuals'!AR478)</f>
        <v>0</v>
      </c>
      <c r="AO16" s="684">
        <f>IF(AO$4="forecast",IF(YEAR(AO$3)=YEAR(Headcount!$N$4),IF((AO$5=12),(SUMPRODUCT(--(Headcount!$F$6:$F$92="Software"),--(Headcount!$H$6:$H$92&gt;=Software!AO$3),Headcount!$N$6:$N$92,Headcount!$L$6:$L$92)),0),IF(YEAR(AO$3)=YEAR(Headcount!$O$4),IF((AO$5=12),(SUMPRODUCT(--(Headcount!$F$6:$F$92="Software"),--(Headcount!$H$6:$H$92&gt;=Software!AO$3),Headcount!$O$6:$O$92,Headcount!$L$6:$L$92)),0),IF(YEAR(AO$3)=YEAR(Headcount!$P$4),IF((AO$5=12),(SUMPRODUCT(--(Headcount!$F$6:$F$92="Software"),--(Headcount!$H$6:$H$92&gt;=Software!AO$3),Headcount!$P$6:$P$92,Headcount!$L$6:$L$92)),0),IF(YEAR(AO$3)=YEAR(Headcount!$Q$4),IF((AO$5=12),(SUMPRODUCT(--(Headcount!$F$6:$F$92="Software"),--(Headcount!$H$6:$H$92&gt;=Software!AO$3),Headcount!$Q$6:$Q$92,Headcount!$L$6:$L$92)),0),IF(YEAR(AO$3)=YEAR(Headcount!$R$4),IF((AO$5=12),(SUMPRODUCT(--(Headcount!$F$6:$F$92="Software"),--(Headcount!$H$6:$H$92&gt;=Software!AO$3),Headcount!$R$6:$R$92,Headcount!$L$6:$L$92)),0),"New Year"))))),'Dept. Cost Actuals'!AS478)</f>
        <v>0</v>
      </c>
      <c r="AP16" s="684">
        <f>IF(AP$4="forecast",IF(YEAR(AP$3)=YEAR(Headcount!$N$4),IF((AP$5=12),(SUMPRODUCT(--(Headcount!$F$6:$F$92="Software"),--(Headcount!$H$6:$H$92&gt;=Software!AP$3),Headcount!$N$6:$N$92,Headcount!$L$6:$L$92)),0),IF(YEAR(AP$3)=YEAR(Headcount!$O$4),IF((AP$5=12),(SUMPRODUCT(--(Headcount!$F$6:$F$92="Software"),--(Headcount!$H$6:$H$92&gt;=Software!AP$3),Headcount!$O$6:$O$92,Headcount!$L$6:$L$92)),0),IF(YEAR(AP$3)=YEAR(Headcount!$P$4),IF((AP$5=12),(SUMPRODUCT(--(Headcount!$F$6:$F$92="Software"),--(Headcount!$H$6:$H$92&gt;=Software!AP$3),Headcount!$P$6:$P$92,Headcount!$L$6:$L$92)),0),IF(YEAR(AP$3)=YEAR(Headcount!$Q$4),IF((AP$5=12),(SUMPRODUCT(--(Headcount!$F$6:$F$92="Software"),--(Headcount!$H$6:$H$92&gt;=Software!AP$3),Headcount!$Q$6:$Q$92,Headcount!$L$6:$L$92)),0),IF(YEAR(AP$3)=YEAR(Headcount!$R$4),IF((AP$5=12),(SUMPRODUCT(--(Headcount!$F$6:$F$92="Software"),--(Headcount!$H$6:$H$92&gt;=Software!AP$3),Headcount!$R$6:$R$92,Headcount!$L$6:$L$92)),0),"New Year"))))),'Dept. Cost Actuals'!AT478)</f>
        <v>0</v>
      </c>
      <c r="AQ16" s="684">
        <f>IF(AQ$4="forecast",IF(YEAR(AQ$3)=YEAR(Headcount!$N$4),IF((AQ$5=12),(SUMPRODUCT(--(Headcount!$F$6:$F$92="Software"),--(Headcount!$H$6:$H$92&gt;=Software!AQ$3),Headcount!$N$6:$N$92,Headcount!$L$6:$L$92)),0),IF(YEAR(AQ$3)=YEAR(Headcount!$O$4),IF((AQ$5=12),(SUMPRODUCT(--(Headcount!$F$6:$F$92="Software"),--(Headcount!$H$6:$H$92&gt;=Software!AQ$3),Headcount!$O$6:$O$92,Headcount!$L$6:$L$92)),0),IF(YEAR(AQ$3)=YEAR(Headcount!$P$4),IF((AQ$5=12),(SUMPRODUCT(--(Headcount!$F$6:$F$92="Software"),--(Headcount!$H$6:$H$92&gt;=Software!AQ$3),Headcount!$P$6:$P$92,Headcount!$L$6:$L$92)),0),IF(YEAR(AQ$3)=YEAR(Headcount!$Q$4),IF((AQ$5=12),(SUMPRODUCT(--(Headcount!$F$6:$F$92="Software"),--(Headcount!$H$6:$H$92&gt;=Software!AQ$3),Headcount!$Q$6:$Q$92,Headcount!$L$6:$L$92)),0),IF(YEAR(AQ$3)=YEAR(Headcount!$R$4),IF((AQ$5=12),(SUMPRODUCT(--(Headcount!$F$6:$F$92="Software"),--(Headcount!$H$6:$H$92&gt;=Software!AQ$3),Headcount!$R$6:$R$92,Headcount!$L$6:$L$92)),0),"New Year"))))),'Dept. Cost Actuals'!AU478)</f>
        <v>0</v>
      </c>
      <c r="AR16" s="684">
        <f>IF(AR$4="forecast",IF(YEAR(AR$3)=YEAR(Headcount!$N$4),IF((AR$5=12),(SUMPRODUCT(--(Headcount!$F$6:$F$92="Software"),--(Headcount!$H$6:$H$92&gt;=Software!AR$3),Headcount!$N$6:$N$92,Headcount!$L$6:$L$92)),0),IF(YEAR(AR$3)=YEAR(Headcount!$O$4),IF((AR$5=12),(SUMPRODUCT(--(Headcount!$F$6:$F$92="Software"),--(Headcount!$H$6:$H$92&gt;=Software!AR$3),Headcount!$O$6:$O$92,Headcount!$L$6:$L$92)),0),IF(YEAR(AR$3)=YEAR(Headcount!$P$4),IF((AR$5=12),(SUMPRODUCT(--(Headcount!$F$6:$F$92="Software"),--(Headcount!$H$6:$H$92&gt;=Software!AR$3),Headcount!$P$6:$P$92,Headcount!$L$6:$L$92)),0),IF(YEAR(AR$3)=YEAR(Headcount!$Q$4),IF((AR$5=12),(SUMPRODUCT(--(Headcount!$F$6:$F$92="Software"),--(Headcount!$H$6:$H$92&gt;=Software!AR$3),Headcount!$Q$6:$Q$92,Headcount!$L$6:$L$92)),0),IF(YEAR(AR$3)=YEAR(Headcount!$R$4),IF((AR$5=12),(SUMPRODUCT(--(Headcount!$F$6:$F$92="Software"),--(Headcount!$H$6:$H$92&gt;=Software!AR$3),Headcount!$R$6:$R$92,Headcount!$L$6:$L$92)),0),"New Year"))))),'Dept. Cost Actuals'!AV478)</f>
        <v>0</v>
      </c>
      <c r="AS16" s="684">
        <f>IF(AS$4="forecast",IF(YEAR(AS$3)=YEAR(Headcount!$N$4),IF((AS$5=12),(SUMPRODUCT(--(Headcount!$F$6:$F$92="Software"),--(Headcount!$H$6:$H$92&gt;=Software!AS$3),Headcount!$N$6:$N$92,Headcount!$L$6:$L$92)),0),IF(YEAR(AS$3)=YEAR(Headcount!$O$4),IF((AS$5=12),(SUMPRODUCT(--(Headcount!$F$6:$F$92="Software"),--(Headcount!$H$6:$H$92&gt;=Software!AS$3),Headcount!$O$6:$O$92,Headcount!$L$6:$L$92)),0),IF(YEAR(AS$3)=YEAR(Headcount!$P$4),IF((AS$5=12),(SUMPRODUCT(--(Headcount!$F$6:$F$92="Software"),--(Headcount!$H$6:$H$92&gt;=Software!AS$3),Headcount!$P$6:$P$92,Headcount!$L$6:$L$92)),0),IF(YEAR(AS$3)=YEAR(Headcount!$Q$4),IF((AS$5=12),(SUMPRODUCT(--(Headcount!$F$6:$F$92="Software"),--(Headcount!$H$6:$H$92&gt;=Software!AS$3),Headcount!$Q$6:$Q$92,Headcount!$L$6:$L$92)),0),IF(YEAR(AS$3)=YEAR(Headcount!$R$4),IF((AS$5=12),(SUMPRODUCT(--(Headcount!$F$6:$F$92="Software"),--(Headcount!$H$6:$H$92&gt;=Software!AS$3),Headcount!$R$6:$R$92,Headcount!$L$6:$L$92)),0),"New Year"))))),'Dept. Cost Actuals'!AW478)</f>
        <v>0</v>
      </c>
      <c r="AT16" s="684">
        <f>IF(AT$4="forecast",IF(YEAR(AT$3)=YEAR(Headcount!$N$4),IF((AT$5=12),(SUMPRODUCT(--(Headcount!$F$6:$F$92="Software"),--(Headcount!$H$6:$H$92&gt;=Software!AT$3),Headcount!$N$6:$N$92,Headcount!$L$6:$L$92)),0),IF(YEAR(AT$3)=YEAR(Headcount!$O$4),IF((AT$5=12),(SUMPRODUCT(--(Headcount!$F$6:$F$92="Software"),--(Headcount!$H$6:$H$92&gt;=Software!AT$3),Headcount!$O$6:$O$92,Headcount!$L$6:$L$92)),0),IF(YEAR(AT$3)=YEAR(Headcount!$P$4),IF((AT$5=12),(SUMPRODUCT(--(Headcount!$F$6:$F$92="Software"),--(Headcount!$H$6:$H$92&gt;=Software!AT$3),Headcount!$P$6:$P$92,Headcount!$L$6:$L$92)),0),IF(YEAR(AT$3)=YEAR(Headcount!$Q$4),IF((AT$5=12),(SUMPRODUCT(--(Headcount!$F$6:$F$92="Software"),--(Headcount!$H$6:$H$92&gt;=Software!AT$3),Headcount!$Q$6:$Q$92,Headcount!$L$6:$L$92)),0),IF(YEAR(AT$3)=YEAR(Headcount!$R$4),IF((AT$5=12),(SUMPRODUCT(--(Headcount!$F$6:$F$92="Software"),--(Headcount!$H$6:$H$92&gt;=Software!AT$3),Headcount!$R$6:$R$92,Headcount!$L$6:$L$92)),0),"New Year"))))),'Dept. Cost Actuals'!AX478)</f>
        <v>0</v>
      </c>
      <c r="AU16" s="684">
        <f>IF(AU$4="forecast",IF(YEAR(AU$3)=YEAR(Headcount!$N$4),IF((AU$5=12),(SUMPRODUCT(--(Headcount!$F$6:$F$92="Software"),--(Headcount!$H$6:$H$92&gt;=Software!AU$3),Headcount!$N$6:$N$92,Headcount!$L$6:$L$92)),0),IF(YEAR(AU$3)=YEAR(Headcount!$O$4),IF((AU$5=12),(SUMPRODUCT(--(Headcount!$F$6:$F$92="Software"),--(Headcount!$H$6:$H$92&gt;=Software!AU$3),Headcount!$O$6:$O$92,Headcount!$L$6:$L$92)),0),IF(YEAR(AU$3)=YEAR(Headcount!$P$4),IF((AU$5=12),(SUMPRODUCT(--(Headcount!$F$6:$F$92="Software"),--(Headcount!$H$6:$H$92&gt;=Software!AU$3),Headcount!$P$6:$P$92,Headcount!$L$6:$L$92)),0),IF(YEAR(AU$3)=YEAR(Headcount!$Q$4),IF((AU$5=12),(SUMPRODUCT(--(Headcount!$F$6:$F$92="Software"),--(Headcount!$H$6:$H$92&gt;=Software!AU$3),Headcount!$Q$6:$Q$92,Headcount!$L$6:$L$92)),0),IF(YEAR(AU$3)=YEAR(Headcount!$R$4),IF((AU$5=12),(SUMPRODUCT(--(Headcount!$F$6:$F$92="Software"),--(Headcount!$H$6:$H$92&gt;=Software!AU$3),Headcount!$R$6:$R$92,Headcount!$L$6:$L$92)),0),"New Year"))))),'Dept. Cost Actuals'!AY478)</f>
        <v>0</v>
      </c>
      <c r="AV16" s="684">
        <f>IF(AV$4="forecast",IF(YEAR(AV$3)=YEAR(Headcount!$N$4),IF((AV$5=12),(SUMPRODUCT(--(Headcount!$F$6:$F$92="Software"),--(Headcount!$H$6:$H$92&gt;=Software!AV$3),Headcount!$N$6:$N$92,Headcount!$L$6:$L$92)),0),IF(YEAR(AV$3)=YEAR(Headcount!$O$4),IF((AV$5=12),(SUMPRODUCT(--(Headcount!$F$6:$F$92="Software"),--(Headcount!$H$6:$H$92&gt;=Software!AV$3),Headcount!$O$6:$O$92,Headcount!$L$6:$L$92)),0),IF(YEAR(AV$3)=YEAR(Headcount!$P$4),IF((AV$5=12),(SUMPRODUCT(--(Headcount!$F$6:$F$92="Software"),--(Headcount!$H$6:$H$92&gt;=Software!AV$3),Headcount!$P$6:$P$92,Headcount!$L$6:$L$92)),0),IF(YEAR(AV$3)=YEAR(Headcount!$Q$4),IF((AV$5=12),(SUMPRODUCT(--(Headcount!$F$6:$F$92="Software"),--(Headcount!$H$6:$H$92&gt;=Software!AV$3),Headcount!$Q$6:$Q$92,Headcount!$L$6:$L$92)),0),IF(YEAR(AV$3)=YEAR(Headcount!$R$4),IF((AV$5=12),(SUMPRODUCT(--(Headcount!$F$6:$F$92="Software"),--(Headcount!$H$6:$H$92&gt;=Software!AV$3),Headcount!$R$6:$R$92,Headcount!$L$6:$L$92)),0),"New Year"))))),'Dept. Cost Actuals'!AZ478)</f>
        <v>0</v>
      </c>
      <c r="AW16" s="684">
        <f>IF(AW$4="forecast",IF(YEAR(AW$3)=YEAR(Headcount!$N$4),IF((AW$5=12),(SUMPRODUCT(--(Headcount!$F$6:$F$92="Software"),--(Headcount!$H$6:$H$92&gt;=Software!AW$3),Headcount!$N$6:$N$92,Headcount!$L$6:$L$92)),0),IF(YEAR(AW$3)=YEAR(Headcount!$O$4),IF((AW$5=12),(SUMPRODUCT(--(Headcount!$F$6:$F$92="Software"),--(Headcount!$H$6:$H$92&gt;=Software!AW$3),Headcount!$O$6:$O$92,Headcount!$L$6:$L$92)),0),IF(YEAR(AW$3)=YEAR(Headcount!$P$4),IF((AW$5=12),(SUMPRODUCT(--(Headcount!$F$6:$F$92="Software"),--(Headcount!$H$6:$H$92&gt;=Software!AW$3),Headcount!$P$6:$P$92,Headcount!$L$6:$L$92)),0),IF(YEAR(AW$3)=YEAR(Headcount!$Q$4),IF((AW$5=12),(SUMPRODUCT(--(Headcount!$F$6:$F$92="Software"),--(Headcount!$H$6:$H$92&gt;=Software!AW$3),Headcount!$Q$6:$Q$92,Headcount!$L$6:$L$92)),0),IF(YEAR(AW$3)=YEAR(Headcount!$R$4),IF((AW$5=12),(SUMPRODUCT(--(Headcount!$F$6:$F$92="Software"),--(Headcount!$H$6:$H$92&gt;=Software!AW$3),Headcount!$R$6:$R$92,Headcount!$L$6:$L$92)),0),"New Year"))))),'Dept. Cost Actuals'!BA478)</f>
        <v>0</v>
      </c>
      <c r="AX16" s="684">
        <f>IF(AX$4="forecast",IF(YEAR(AX$3)=YEAR(Headcount!$N$4),IF((AX$5=12),(SUMPRODUCT(--(Headcount!$F$6:$F$92="Software"),--(Headcount!$H$6:$H$92&gt;=Software!AX$3),Headcount!$N$6:$N$92,Headcount!$L$6:$L$92)),0),IF(YEAR(AX$3)=YEAR(Headcount!$O$4),IF((AX$5=12),(SUMPRODUCT(--(Headcount!$F$6:$F$92="Software"),--(Headcount!$H$6:$H$92&gt;=Software!AX$3),Headcount!$O$6:$O$92,Headcount!$L$6:$L$92)),0),IF(YEAR(AX$3)=YEAR(Headcount!$P$4),IF((AX$5=12),(SUMPRODUCT(--(Headcount!$F$6:$F$92="Software"),--(Headcount!$H$6:$H$92&gt;=Software!AX$3),Headcount!$P$6:$P$92,Headcount!$L$6:$L$92)),0),IF(YEAR(AX$3)=YEAR(Headcount!$Q$4),IF((AX$5=12),(SUMPRODUCT(--(Headcount!$F$6:$F$92="Software"),--(Headcount!$H$6:$H$92&gt;=Software!AX$3),Headcount!$Q$6:$Q$92,Headcount!$L$6:$L$92)),0),IF(YEAR(AX$3)=YEAR(Headcount!$R$4),IF((AX$5=12),(SUMPRODUCT(--(Headcount!$F$6:$F$92="Software"),--(Headcount!$H$6:$H$92&gt;=Software!AX$3),Headcount!$R$6:$R$92,Headcount!$L$6:$L$92)),0),"New Year"))))),'Dept. Cost Actuals'!BB478)</f>
        <v>470760.58800000005</v>
      </c>
      <c r="AY16" s="684">
        <f>IF(AY$4="forecast",IF(YEAR(AY$3)=YEAR(Headcount!$N$4),IF((AY$5=12),(SUMPRODUCT(--(Headcount!$F$6:$F$92="Software"),--(Headcount!$H$6:$H$92&gt;=Software!AY$3),Headcount!$N$6:$N$92,Headcount!$L$6:$L$92)),0),IF(YEAR(AY$3)=YEAR(Headcount!$O$4),IF((AY$5=12),(SUMPRODUCT(--(Headcount!$F$6:$F$92="Software"),--(Headcount!$H$6:$H$92&gt;=Software!AY$3),Headcount!$O$6:$O$92,Headcount!$L$6:$L$92)),0),IF(YEAR(AY$3)=YEAR(Headcount!$P$4),IF((AY$5=12),(SUMPRODUCT(--(Headcount!$F$6:$F$92="Software"),--(Headcount!$H$6:$H$92&gt;=Software!AY$3),Headcount!$P$6:$P$92,Headcount!$L$6:$L$92)),0),IF(YEAR(AY$3)=YEAR(Headcount!$Q$4),IF((AY$5=12),(SUMPRODUCT(--(Headcount!$F$6:$F$92="Software"),--(Headcount!$H$6:$H$92&gt;=Software!AY$3),Headcount!$Q$6:$Q$92,Headcount!$L$6:$L$92)),0),IF(YEAR(AY$3)=YEAR(Headcount!$R$4),IF((AY$5=12),(SUMPRODUCT(--(Headcount!$F$6:$F$92="Software"),--(Headcount!$H$6:$H$92&gt;=Software!AY$3),Headcount!$R$6:$R$92,Headcount!$L$6:$L$92)),0),"New Year"))))),'Dept. Cost Actuals'!BC478)</f>
        <v>0</v>
      </c>
      <c r="AZ16" s="684">
        <f>IF(AZ$4="forecast",IF(YEAR(AZ$3)=YEAR(Headcount!$N$4),IF((AZ$5=12),(SUMPRODUCT(--(Headcount!$F$6:$F$92="Software"),--(Headcount!$H$6:$H$92&gt;=Software!AZ$3),Headcount!$N$6:$N$92,Headcount!$L$6:$L$92)),0),IF(YEAR(AZ$3)=YEAR(Headcount!$O$4),IF((AZ$5=12),(SUMPRODUCT(--(Headcount!$F$6:$F$92="Software"),--(Headcount!$H$6:$H$92&gt;=Software!AZ$3),Headcount!$O$6:$O$92,Headcount!$L$6:$L$92)),0),IF(YEAR(AZ$3)=YEAR(Headcount!$P$4),IF((AZ$5=12),(SUMPRODUCT(--(Headcount!$F$6:$F$92="Software"),--(Headcount!$H$6:$H$92&gt;=Software!AZ$3),Headcount!$P$6:$P$92,Headcount!$L$6:$L$92)),0),IF(YEAR(AZ$3)=YEAR(Headcount!$Q$4),IF((AZ$5=12),(SUMPRODUCT(--(Headcount!$F$6:$F$92="Software"),--(Headcount!$H$6:$H$92&gt;=Software!AZ$3),Headcount!$Q$6:$Q$92,Headcount!$L$6:$L$92)),0),IF(YEAR(AZ$3)=YEAR(Headcount!$R$4),IF((AZ$5=12),(SUMPRODUCT(--(Headcount!$F$6:$F$92="Software"),--(Headcount!$H$6:$H$92&gt;=Software!AZ$3),Headcount!$R$6:$R$92,Headcount!$L$6:$L$92)),0),"New Year"))))),'Dept. Cost Actuals'!BD478)</f>
        <v>0</v>
      </c>
      <c r="BA16" s="684">
        <f>IF(BA$4="forecast",IF(YEAR(BA$3)=YEAR(Headcount!$N$4),IF((BA$5=12),(SUMPRODUCT(--(Headcount!$F$6:$F$92="Software"),--(Headcount!$H$6:$H$92&gt;=Software!BA$3),Headcount!$N$6:$N$92,Headcount!$L$6:$L$92)),0),IF(YEAR(BA$3)=YEAR(Headcount!$O$4),IF((BA$5=12),(SUMPRODUCT(--(Headcount!$F$6:$F$92="Software"),--(Headcount!$H$6:$H$92&gt;=Software!BA$3),Headcount!$O$6:$O$92,Headcount!$L$6:$L$92)),0),IF(YEAR(BA$3)=YEAR(Headcount!$P$4),IF((BA$5=12),(SUMPRODUCT(--(Headcount!$F$6:$F$92="Software"),--(Headcount!$H$6:$H$92&gt;=Software!BA$3),Headcount!$P$6:$P$92,Headcount!$L$6:$L$92)),0),IF(YEAR(BA$3)=YEAR(Headcount!$Q$4),IF((BA$5=12),(SUMPRODUCT(--(Headcount!$F$6:$F$92="Software"),--(Headcount!$H$6:$H$92&gt;=Software!BA$3),Headcount!$Q$6:$Q$92,Headcount!$L$6:$L$92)),0),IF(YEAR(BA$3)=YEAR(Headcount!$R$4),IF((BA$5=12),(SUMPRODUCT(--(Headcount!$F$6:$F$92="Software"),--(Headcount!$H$6:$H$92&gt;=Software!BA$3),Headcount!$R$6:$R$92,Headcount!$L$6:$L$92)),0),"New Year"))))),'Dept. Cost Actuals'!BE478)</f>
        <v>0</v>
      </c>
      <c r="BB16" s="684">
        <f>IF(BB$4="forecast",IF(YEAR(BB$3)=YEAR(Headcount!$N$4),IF((BB$5=12),(SUMPRODUCT(--(Headcount!$F$6:$F$92="Software"),--(Headcount!$H$6:$H$92&gt;=Software!BB$3),Headcount!$N$6:$N$92,Headcount!$L$6:$L$92)),0),IF(YEAR(BB$3)=YEAR(Headcount!$O$4),IF((BB$5=12),(SUMPRODUCT(--(Headcount!$F$6:$F$92="Software"),--(Headcount!$H$6:$H$92&gt;=Software!BB$3),Headcount!$O$6:$O$92,Headcount!$L$6:$L$92)),0),IF(YEAR(BB$3)=YEAR(Headcount!$P$4),IF((BB$5=12),(SUMPRODUCT(--(Headcount!$F$6:$F$92="Software"),--(Headcount!$H$6:$H$92&gt;=Software!BB$3),Headcount!$P$6:$P$92,Headcount!$L$6:$L$92)),0),IF(YEAR(BB$3)=YEAR(Headcount!$Q$4),IF((BB$5=12),(SUMPRODUCT(--(Headcount!$F$6:$F$92="Software"),--(Headcount!$H$6:$H$92&gt;=Software!BB$3),Headcount!$Q$6:$Q$92,Headcount!$L$6:$L$92)),0),IF(YEAR(BB$3)=YEAR(Headcount!$R$4),IF((BB$5=12),(SUMPRODUCT(--(Headcount!$F$6:$F$92="Software"),--(Headcount!$H$6:$H$92&gt;=Software!BB$3),Headcount!$R$6:$R$92,Headcount!$L$6:$L$92)),0),"New Year"))))),'Dept. Cost Actuals'!BF478)</f>
        <v>0</v>
      </c>
      <c r="BC16" s="684">
        <f>IF(BC$4="forecast",IF(YEAR(BC$3)=YEAR(Headcount!$N$4),IF((BC$5=12),(SUMPRODUCT(--(Headcount!$F$6:$F$92="Software"),--(Headcount!$H$6:$H$92&gt;=Software!BC$3),Headcount!$N$6:$N$92,Headcount!$L$6:$L$92)),0),IF(YEAR(BC$3)=YEAR(Headcount!$O$4),IF((BC$5=12),(SUMPRODUCT(--(Headcount!$F$6:$F$92="Software"),--(Headcount!$H$6:$H$92&gt;=Software!BC$3),Headcount!$O$6:$O$92,Headcount!$L$6:$L$92)),0),IF(YEAR(BC$3)=YEAR(Headcount!$P$4),IF((BC$5=12),(SUMPRODUCT(--(Headcount!$F$6:$F$92="Software"),--(Headcount!$H$6:$H$92&gt;=Software!BC$3),Headcount!$P$6:$P$92,Headcount!$L$6:$L$92)),0),IF(YEAR(BC$3)=YEAR(Headcount!$Q$4),IF((BC$5=12),(SUMPRODUCT(--(Headcount!$F$6:$F$92="Software"),--(Headcount!$H$6:$H$92&gt;=Software!BC$3),Headcount!$Q$6:$Q$92,Headcount!$L$6:$L$92)),0),IF(YEAR(BC$3)=YEAR(Headcount!$R$4),IF((BC$5=12),(SUMPRODUCT(--(Headcount!$F$6:$F$92="Software"),--(Headcount!$H$6:$H$92&gt;=Software!BC$3),Headcount!$R$6:$R$92,Headcount!$L$6:$L$92)),0),"New Year"))))),'Dept. Cost Actuals'!BG478)</f>
        <v>0</v>
      </c>
      <c r="BD16" s="684">
        <f>IF(BD$4="forecast",IF(YEAR(BD$3)=YEAR(Headcount!$N$4),IF((BD$5=12),(SUMPRODUCT(--(Headcount!$F$6:$F$92="Software"),--(Headcount!$H$6:$H$92&gt;=Software!BD$3),Headcount!$N$6:$N$92,Headcount!$L$6:$L$92)),0),IF(YEAR(BD$3)=YEAR(Headcount!$O$4),IF((BD$5=12),(SUMPRODUCT(--(Headcount!$F$6:$F$92="Software"),--(Headcount!$H$6:$H$92&gt;=Software!BD$3),Headcount!$O$6:$O$92,Headcount!$L$6:$L$92)),0),IF(YEAR(BD$3)=YEAR(Headcount!$P$4),IF((BD$5=12),(SUMPRODUCT(--(Headcount!$F$6:$F$92="Software"),--(Headcount!$H$6:$H$92&gt;=Software!BD$3),Headcount!$P$6:$P$92,Headcount!$L$6:$L$92)),0),IF(YEAR(BD$3)=YEAR(Headcount!$Q$4),IF((BD$5=12),(SUMPRODUCT(--(Headcount!$F$6:$F$92="Software"),--(Headcount!$H$6:$H$92&gt;=Software!BD$3),Headcount!$Q$6:$Q$92,Headcount!$L$6:$L$92)),0),IF(YEAR(BD$3)=YEAR(Headcount!$R$4),IF((BD$5=12),(SUMPRODUCT(--(Headcount!$F$6:$F$92="Software"),--(Headcount!$H$6:$H$92&gt;=Software!BD$3),Headcount!$R$6:$R$92,Headcount!$L$6:$L$92)),0),"New Year"))))),'Dept. Cost Actuals'!BH478)</f>
        <v>0</v>
      </c>
      <c r="BE16" s="684">
        <f>IF(BE$4="forecast",IF(YEAR(BE$3)=YEAR(Headcount!$N$4),IF((BE$5=12),(SUMPRODUCT(--(Headcount!$F$6:$F$92="Software"),--(Headcount!$H$6:$H$92&gt;=Software!BE$3),Headcount!$N$6:$N$92,Headcount!$L$6:$L$92)),0),IF(YEAR(BE$3)=YEAR(Headcount!$O$4),IF((BE$5=12),(SUMPRODUCT(--(Headcount!$F$6:$F$92="Software"),--(Headcount!$H$6:$H$92&gt;=Software!BE$3),Headcount!$O$6:$O$92,Headcount!$L$6:$L$92)),0),IF(YEAR(BE$3)=YEAR(Headcount!$P$4),IF((BE$5=12),(SUMPRODUCT(--(Headcount!$F$6:$F$92="Software"),--(Headcount!$H$6:$H$92&gt;=Software!BE$3),Headcount!$P$6:$P$92,Headcount!$L$6:$L$92)),0),IF(YEAR(BE$3)=YEAR(Headcount!$Q$4),IF((BE$5=12),(SUMPRODUCT(--(Headcount!$F$6:$F$92="Software"),--(Headcount!$H$6:$H$92&gt;=Software!BE$3),Headcount!$Q$6:$Q$92,Headcount!$L$6:$L$92)),0),IF(YEAR(BE$3)=YEAR(Headcount!$R$4),IF((BE$5=12),(SUMPRODUCT(--(Headcount!$F$6:$F$92="Software"),--(Headcount!$H$6:$H$92&gt;=Software!BE$3),Headcount!$R$6:$R$92,Headcount!$L$6:$L$92)),0),"New Year"))))),'Dept. Cost Actuals'!BI478)</f>
        <v>0</v>
      </c>
      <c r="BF16" s="684">
        <f>IF(BF$4="forecast",IF(YEAR(BF$3)=YEAR(Headcount!$N$4),IF((BF$5=12),(SUMPRODUCT(--(Headcount!$F$6:$F$92="Software"),--(Headcount!$H$6:$H$92&gt;=Software!BF$3),Headcount!$N$6:$N$92,Headcount!$L$6:$L$92)),0),IF(YEAR(BF$3)=YEAR(Headcount!$O$4),IF((BF$5=12),(SUMPRODUCT(--(Headcount!$F$6:$F$92="Software"),--(Headcount!$H$6:$H$92&gt;=Software!BF$3),Headcount!$O$6:$O$92,Headcount!$L$6:$L$92)),0),IF(YEAR(BF$3)=YEAR(Headcount!$P$4),IF((BF$5=12),(SUMPRODUCT(--(Headcount!$F$6:$F$92="Software"),--(Headcount!$H$6:$H$92&gt;=Software!BF$3),Headcount!$P$6:$P$92,Headcount!$L$6:$L$92)),0),IF(YEAR(BF$3)=YEAR(Headcount!$Q$4),IF((BF$5=12),(SUMPRODUCT(--(Headcount!$F$6:$F$92="Software"),--(Headcount!$H$6:$H$92&gt;=Software!BF$3),Headcount!$Q$6:$Q$92,Headcount!$L$6:$L$92)),0),IF(YEAR(BF$3)=YEAR(Headcount!$R$4),IF((BF$5=12),(SUMPRODUCT(--(Headcount!$F$6:$F$92="Software"),--(Headcount!$H$6:$H$92&gt;=Software!BF$3),Headcount!$R$6:$R$92,Headcount!$L$6:$L$92)),0),"New Year"))))),'Dept. Cost Actuals'!BJ478)</f>
        <v>0</v>
      </c>
      <c r="BG16" s="684">
        <f>IF(BG$4="forecast",IF(YEAR(BG$3)=YEAR(Headcount!$N$4),IF((BG$5=12),(SUMPRODUCT(--(Headcount!$F$6:$F$92="Software"),--(Headcount!$H$6:$H$92&gt;=Software!BG$3),Headcount!$N$6:$N$92,Headcount!$L$6:$L$92)),0),IF(YEAR(BG$3)=YEAR(Headcount!$O$4),IF((BG$5=12),(SUMPRODUCT(--(Headcount!$F$6:$F$92="Software"),--(Headcount!$H$6:$H$92&gt;=Software!BG$3),Headcount!$O$6:$O$92,Headcount!$L$6:$L$92)),0),IF(YEAR(BG$3)=YEAR(Headcount!$P$4),IF((BG$5=12),(SUMPRODUCT(--(Headcount!$F$6:$F$92="Software"),--(Headcount!$H$6:$H$92&gt;=Software!BG$3),Headcount!$P$6:$P$92,Headcount!$L$6:$L$92)),0),IF(YEAR(BG$3)=YEAR(Headcount!$Q$4),IF((BG$5=12),(SUMPRODUCT(--(Headcount!$F$6:$F$92="Software"),--(Headcount!$H$6:$H$92&gt;=Software!BG$3),Headcount!$Q$6:$Q$92,Headcount!$L$6:$L$92)),0),IF(YEAR(BG$3)=YEAR(Headcount!$R$4),IF((BG$5=12),(SUMPRODUCT(--(Headcount!$F$6:$F$92="Software"),--(Headcount!$H$6:$H$92&gt;=Software!BG$3),Headcount!$R$6:$R$92,Headcount!$L$6:$L$92)),0),"New Year"))))),'Dept. Cost Actuals'!BK478)</f>
        <v>0</v>
      </c>
      <c r="BH16" s="684">
        <f>IF(BH$4="forecast",IF(YEAR(BH$3)=YEAR(Headcount!$N$4),IF((BH$5=12),(SUMPRODUCT(--(Headcount!$F$6:$F$92="Software"),--(Headcount!$H$6:$H$92&gt;=Software!BH$3),Headcount!$N$6:$N$92,Headcount!$L$6:$L$92)),0),IF(YEAR(BH$3)=YEAR(Headcount!$O$4),IF((BH$5=12),(SUMPRODUCT(--(Headcount!$F$6:$F$92="Software"),--(Headcount!$H$6:$H$92&gt;=Software!BH$3),Headcount!$O$6:$O$92,Headcount!$L$6:$L$92)),0),IF(YEAR(BH$3)=YEAR(Headcount!$P$4),IF((BH$5=12),(SUMPRODUCT(--(Headcount!$F$6:$F$92="Software"),--(Headcount!$H$6:$H$92&gt;=Software!BH$3),Headcount!$P$6:$P$92,Headcount!$L$6:$L$92)),0),IF(YEAR(BH$3)=YEAR(Headcount!$Q$4),IF((BH$5=12),(SUMPRODUCT(--(Headcount!$F$6:$F$92="Software"),--(Headcount!$H$6:$H$92&gt;=Software!BH$3),Headcount!$Q$6:$Q$92,Headcount!$L$6:$L$92)),0),IF(YEAR(BH$3)=YEAR(Headcount!$R$4),IF((BH$5=12),(SUMPRODUCT(--(Headcount!$F$6:$F$92="Software"),--(Headcount!$H$6:$H$92&gt;=Software!BH$3),Headcount!$R$6:$R$92,Headcount!$L$6:$L$92)),0),"New Year"))))),'Dept. Cost Actuals'!BL478)</f>
        <v>0</v>
      </c>
      <c r="BI16" s="684">
        <f>IF(BI$4="forecast",IF(YEAR(BI$3)=YEAR(Headcount!$N$4),IF((BI$5=12),(SUMPRODUCT(--(Headcount!$F$6:$F$92="Software"),--(Headcount!$H$6:$H$92&gt;=Software!BI$3),Headcount!$N$6:$N$92,Headcount!$L$6:$L$92)),0),IF(YEAR(BI$3)=YEAR(Headcount!$O$4),IF((BI$5=12),(SUMPRODUCT(--(Headcount!$F$6:$F$92="Software"),--(Headcount!$H$6:$H$92&gt;=Software!BI$3),Headcount!$O$6:$O$92,Headcount!$L$6:$L$92)),0),IF(YEAR(BI$3)=YEAR(Headcount!$P$4),IF((BI$5=12),(SUMPRODUCT(--(Headcount!$F$6:$F$92="Software"),--(Headcount!$H$6:$H$92&gt;=Software!BI$3),Headcount!$P$6:$P$92,Headcount!$L$6:$L$92)),0),IF(YEAR(BI$3)=YEAR(Headcount!$Q$4),IF((BI$5=12),(SUMPRODUCT(--(Headcount!$F$6:$F$92="Software"),--(Headcount!$H$6:$H$92&gt;=Software!BI$3),Headcount!$Q$6:$Q$92,Headcount!$L$6:$L$92)),0),IF(YEAR(BI$3)=YEAR(Headcount!$R$4),IF((BI$5=12),(SUMPRODUCT(--(Headcount!$F$6:$F$92="Software"),--(Headcount!$H$6:$H$92&gt;=Software!BI$3),Headcount!$R$6:$R$92,Headcount!$L$6:$L$92)),0),"New Year"))))),'Dept. Cost Actuals'!BM478)</f>
        <v>0</v>
      </c>
      <c r="BJ16" s="684">
        <f>IF(BJ$4="forecast",IF(YEAR(BJ$3)=YEAR(Headcount!$N$4),IF((BJ$5=12),(SUMPRODUCT(--(Headcount!$F$6:$F$92="Software"),--(Headcount!$H$6:$H$92&gt;=Software!BJ$3),Headcount!$N$6:$N$92,Headcount!$L$6:$L$92)),0),IF(YEAR(BJ$3)=YEAR(Headcount!$O$4),IF((BJ$5=12),(SUMPRODUCT(--(Headcount!$F$6:$F$92="Software"),--(Headcount!$H$6:$H$92&gt;=Software!BJ$3),Headcount!$O$6:$O$92,Headcount!$L$6:$L$92)),0),IF(YEAR(BJ$3)=YEAR(Headcount!$P$4),IF((BJ$5=12),(SUMPRODUCT(--(Headcount!$F$6:$F$92="Software"),--(Headcount!$H$6:$H$92&gt;=Software!BJ$3),Headcount!$P$6:$P$92,Headcount!$L$6:$L$92)),0),IF(YEAR(BJ$3)=YEAR(Headcount!$Q$4),IF((BJ$5=12),(SUMPRODUCT(--(Headcount!$F$6:$F$92="Software"),--(Headcount!$H$6:$H$92&gt;=Software!BJ$3),Headcount!$Q$6:$Q$92,Headcount!$L$6:$L$92)),0),IF(YEAR(BJ$3)=YEAR(Headcount!$R$4),IF((BJ$5=12),(SUMPRODUCT(--(Headcount!$F$6:$F$92="Software"),--(Headcount!$H$6:$H$92&gt;=Software!BJ$3),Headcount!$R$6:$R$92,Headcount!$L$6:$L$92)),0),"New Year"))))),'Dept. Cost Actuals'!BN478)</f>
        <v>484883.40564000007</v>
      </c>
      <c r="BK16" s="684">
        <f>IF(BK$4="forecast",IF(YEAR(BK$3)=YEAR(Headcount!$N$4),IF((BK$5=12),(SUMPRODUCT(--(Headcount!$F$6:$F$92="Software"),--(Headcount!$H$6:$H$92&gt;=Software!BK$3),Headcount!$N$6:$N$92,Headcount!$L$6:$L$92)),0),IF(YEAR(BK$3)=YEAR(Headcount!$O$4),IF((BK$5=12),(SUMPRODUCT(--(Headcount!$F$6:$F$92="Software"),--(Headcount!$H$6:$H$92&gt;=Software!BK$3),Headcount!$O$6:$O$92,Headcount!$L$6:$L$92)),0),IF(YEAR(BK$3)=YEAR(Headcount!$P$4),IF((BK$5=12),(SUMPRODUCT(--(Headcount!$F$6:$F$92="Software"),--(Headcount!$H$6:$H$92&gt;=Software!BK$3),Headcount!$P$6:$P$92,Headcount!$L$6:$L$92)),0),IF(YEAR(BK$3)=YEAR(Headcount!$Q$4),IF((BK$5=12),(SUMPRODUCT(--(Headcount!$F$6:$F$92="Software"),--(Headcount!$H$6:$H$92&gt;=Software!BK$3),Headcount!$Q$6:$Q$92,Headcount!$L$6:$L$92)),0),IF(YEAR(BK$3)=YEAR(Headcount!$R$4),IF((BK$5=12),(SUMPRODUCT(--(Headcount!$F$6:$F$92="Software"),--(Headcount!$H$6:$H$92&gt;=Software!BK$3),Headcount!$R$6:$R$92,Headcount!$L$6:$L$92)),0),"New Year"))))),'Dept. Cost Actuals'!BO478)</f>
        <v>0</v>
      </c>
      <c r="BL16" s="684">
        <f>IF(BL$4="forecast",IF(YEAR(BL$3)=YEAR(Headcount!$N$4),IF((BL$5=12),(SUMPRODUCT(--(Headcount!$F$6:$F$92="Software"),--(Headcount!$H$6:$H$92&gt;=Software!BL$3),Headcount!$N$6:$N$92,Headcount!$L$6:$L$92)),0),IF(YEAR(BL$3)=YEAR(Headcount!$O$4),IF((BL$5=12),(SUMPRODUCT(--(Headcount!$F$6:$F$92="Software"),--(Headcount!$H$6:$H$92&gt;=Software!BL$3),Headcount!$O$6:$O$92,Headcount!$L$6:$L$92)),0),IF(YEAR(BL$3)=YEAR(Headcount!$P$4),IF((BL$5=12),(SUMPRODUCT(--(Headcount!$F$6:$F$92="Software"),--(Headcount!$H$6:$H$92&gt;=Software!BL$3),Headcount!$P$6:$P$92,Headcount!$L$6:$L$92)),0),IF(YEAR(BL$3)=YEAR(Headcount!$Q$4),IF((BL$5=12),(SUMPRODUCT(--(Headcount!$F$6:$F$92="Software"),--(Headcount!$H$6:$H$92&gt;=Software!BL$3),Headcount!$Q$6:$Q$92,Headcount!$L$6:$L$92)),0),IF(YEAR(BL$3)=YEAR(Headcount!$R$4),IF((BL$5=12),(SUMPRODUCT(--(Headcount!$F$6:$F$92="Software"),--(Headcount!$H$6:$H$92&gt;=Software!BL$3),Headcount!$R$6:$R$92,Headcount!$L$6:$L$92)),0),"New Year"))))),'Dept. Cost Actuals'!BP478)</f>
        <v>0</v>
      </c>
      <c r="BM16" s="684">
        <f>IF(BM$4="forecast",IF(YEAR(BM$3)=YEAR(Headcount!$N$4),IF((BM$5=12),(SUMPRODUCT(--(Headcount!$F$6:$F$92="Software"),--(Headcount!$H$6:$H$92&gt;=Software!BM$3),Headcount!$N$6:$N$92,Headcount!$L$6:$L$92)),0),IF(YEAR(BM$3)=YEAR(Headcount!$O$4),IF((BM$5=12),(SUMPRODUCT(--(Headcount!$F$6:$F$92="Software"),--(Headcount!$H$6:$H$92&gt;=Software!BM$3),Headcount!$O$6:$O$92,Headcount!$L$6:$L$92)),0),IF(YEAR(BM$3)=YEAR(Headcount!$P$4),IF((BM$5=12),(SUMPRODUCT(--(Headcount!$F$6:$F$92="Software"),--(Headcount!$H$6:$H$92&gt;=Software!BM$3),Headcount!$P$6:$P$92,Headcount!$L$6:$L$92)),0),IF(YEAR(BM$3)=YEAR(Headcount!$Q$4),IF((BM$5=12),(SUMPRODUCT(--(Headcount!$F$6:$F$92="Software"),--(Headcount!$H$6:$H$92&gt;=Software!BM$3),Headcount!$Q$6:$Q$92,Headcount!$L$6:$L$92)),0),IF(YEAR(BM$3)=YEAR(Headcount!$R$4),IF((BM$5=12),(SUMPRODUCT(--(Headcount!$F$6:$F$92="Software"),--(Headcount!$H$6:$H$92&gt;=Software!BM$3),Headcount!$R$6:$R$92,Headcount!$L$6:$L$92)),0),"New Year"))))),'Dept. Cost Actuals'!BQ478)</f>
        <v>0</v>
      </c>
      <c r="BN16" s="684">
        <f>IF(BN$4="forecast",IF(YEAR(BN$3)=YEAR(Headcount!$N$4),IF((BN$5=12),(SUMPRODUCT(--(Headcount!$F$6:$F$92="Software"),--(Headcount!$H$6:$H$92&gt;=Software!BN$3),Headcount!$N$6:$N$92,Headcount!$L$6:$L$92)),0),IF(YEAR(BN$3)=YEAR(Headcount!$O$4),IF((BN$5=12),(SUMPRODUCT(--(Headcount!$F$6:$F$92="Software"),--(Headcount!$H$6:$H$92&gt;=Software!BN$3),Headcount!$O$6:$O$92,Headcount!$L$6:$L$92)),0),IF(YEAR(BN$3)=YEAR(Headcount!$P$4),IF((BN$5=12),(SUMPRODUCT(--(Headcount!$F$6:$F$92="Software"),--(Headcount!$H$6:$H$92&gt;=Software!BN$3),Headcount!$P$6:$P$92,Headcount!$L$6:$L$92)),0),IF(YEAR(BN$3)=YEAR(Headcount!$Q$4),IF((BN$5=12),(SUMPRODUCT(--(Headcount!$F$6:$F$92="Software"),--(Headcount!$H$6:$H$92&gt;=Software!BN$3),Headcount!$Q$6:$Q$92,Headcount!$L$6:$L$92)),0),IF(YEAR(BN$3)=YEAR(Headcount!$R$4),IF((BN$5=12),(SUMPRODUCT(--(Headcount!$F$6:$F$92="Software"),--(Headcount!$H$6:$H$92&gt;=Software!BN$3),Headcount!$R$6:$R$92,Headcount!$L$6:$L$92)),0),"New Year"))))),'Dept. Cost Actuals'!BR478)</f>
        <v>0</v>
      </c>
      <c r="BO16" s="684">
        <f>IF(BO$4="forecast",IF(YEAR(BO$3)=YEAR(Headcount!$N$4),IF((BO$5=12),(SUMPRODUCT(--(Headcount!$F$6:$F$92="Software"),--(Headcount!$H$6:$H$92&gt;=Software!BO$3),Headcount!$N$6:$N$92,Headcount!$L$6:$L$92)),0),IF(YEAR(BO$3)=YEAR(Headcount!$O$4),IF((BO$5=12),(SUMPRODUCT(--(Headcount!$F$6:$F$92="Software"),--(Headcount!$H$6:$H$92&gt;=Software!BO$3),Headcount!$O$6:$O$92,Headcount!$L$6:$L$92)),0),IF(YEAR(BO$3)=YEAR(Headcount!$P$4),IF((BO$5=12),(SUMPRODUCT(--(Headcount!$F$6:$F$92="Software"),--(Headcount!$H$6:$H$92&gt;=Software!BO$3),Headcount!$P$6:$P$92,Headcount!$L$6:$L$92)),0),IF(YEAR(BO$3)=YEAR(Headcount!$Q$4),IF((BO$5=12),(SUMPRODUCT(--(Headcount!$F$6:$F$92="Software"),--(Headcount!$H$6:$H$92&gt;=Software!BO$3),Headcount!$Q$6:$Q$92,Headcount!$L$6:$L$92)),0),IF(YEAR(BO$3)=YEAR(Headcount!$R$4),IF((BO$5=12),(SUMPRODUCT(--(Headcount!$F$6:$F$92="Software"),--(Headcount!$H$6:$H$92&gt;=Software!BO$3),Headcount!$R$6:$R$92,Headcount!$L$6:$L$92)),0),"New Year"))))),'Dept. Cost Actuals'!BS478)</f>
        <v>0</v>
      </c>
      <c r="BP16" s="684">
        <f>IF(BP$4="forecast",IF(YEAR(BP$3)=YEAR(Headcount!$N$4),IF((BP$5=12),(SUMPRODUCT(--(Headcount!$F$6:$F$92="Software"),--(Headcount!$H$6:$H$92&gt;=Software!BP$3),Headcount!$N$6:$N$92,Headcount!$L$6:$L$92)),0),IF(YEAR(BP$3)=YEAR(Headcount!$O$4),IF((BP$5=12),(SUMPRODUCT(--(Headcount!$F$6:$F$92="Software"),--(Headcount!$H$6:$H$92&gt;=Software!BP$3),Headcount!$O$6:$O$92,Headcount!$L$6:$L$92)),0),IF(YEAR(BP$3)=YEAR(Headcount!$P$4),IF((BP$5=12),(SUMPRODUCT(--(Headcount!$F$6:$F$92="Software"),--(Headcount!$H$6:$H$92&gt;=Software!BP$3),Headcount!$P$6:$P$92,Headcount!$L$6:$L$92)),0),IF(YEAR(BP$3)=YEAR(Headcount!$Q$4),IF((BP$5=12),(SUMPRODUCT(--(Headcount!$F$6:$F$92="Software"),--(Headcount!$H$6:$H$92&gt;=Software!BP$3),Headcount!$Q$6:$Q$92,Headcount!$L$6:$L$92)),0),IF(YEAR(BP$3)=YEAR(Headcount!$R$4),IF((BP$5=12),(SUMPRODUCT(--(Headcount!$F$6:$F$92="Software"),--(Headcount!$H$6:$H$92&gt;=Software!BP$3),Headcount!$R$6:$R$92,Headcount!$L$6:$L$92)),0),"New Year"))))),'Dept. Cost Actuals'!BT478)</f>
        <v>0</v>
      </c>
      <c r="BQ16" s="684">
        <f>IF(BQ$4="forecast",IF(YEAR(BQ$3)=YEAR(Headcount!$N$4),IF((BQ$5=12),(SUMPRODUCT(--(Headcount!$F$6:$F$92="Software"),--(Headcount!$H$6:$H$92&gt;=Software!BQ$3),Headcount!$N$6:$N$92,Headcount!$L$6:$L$92)),0),IF(YEAR(BQ$3)=YEAR(Headcount!$O$4),IF((BQ$5=12),(SUMPRODUCT(--(Headcount!$F$6:$F$92="Software"),--(Headcount!$H$6:$H$92&gt;=Software!BQ$3),Headcount!$O$6:$O$92,Headcount!$L$6:$L$92)),0),IF(YEAR(BQ$3)=YEAR(Headcount!$P$4),IF((BQ$5=12),(SUMPRODUCT(--(Headcount!$F$6:$F$92="Software"),--(Headcount!$H$6:$H$92&gt;=Software!BQ$3),Headcount!$P$6:$P$92,Headcount!$L$6:$L$92)),0),IF(YEAR(BQ$3)=YEAR(Headcount!$Q$4),IF((BQ$5=12),(SUMPRODUCT(--(Headcount!$F$6:$F$92="Software"),--(Headcount!$H$6:$H$92&gt;=Software!BQ$3),Headcount!$Q$6:$Q$92,Headcount!$L$6:$L$92)),0),IF(YEAR(BQ$3)=YEAR(Headcount!$R$4),IF((BQ$5=12),(SUMPRODUCT(--(Headcount!$F$6:$F$92="Software"),--(Headcount!$H$6:$H$92&gt;=Software!BQ$3),Headcount!$R$6:$R$92,Headcount!$L$6:$L$92)),0),"New Year"))))),'Dept. Cost Actuals'!BU478)</f>
        <v>0</v>
      </c>
      <c r="BR16" s="684">
        <f>IF(BR$4="forecast",IF(YEAR(BR$3)=YEAR(Headcount!$N$4),IF((BR$5=12),(SUMPRODUCT(--(Headcount!$F$6:$F$92="Software"),--(Headcount!$H$6:$H$92&gt;=Software!BR$3),Headcount!$N$6:$N$92,Headcount!$L$6:$L$92)),0),IF(YEAR(BR$3)=YEAR(Headcount!$O$4),IF((BR$5=12),(SUMPRODUCT(--(Headcount!$F$6:$F$92="Software"),--(Headcount!$H$6:$H$92&gt;=Software!BR$3),Headcount!$O$6:$O$92,Headcount!$L$6:$L$92)),0),IF(YEAR(BR$3)=YEAR(Headcount!$P$4),IF((BR$5=12),(SUMPRODUCT(--(Headcount!$F$6:$F$92="Software"),--(Headcount!$H$6:$H$92&gt;=Software!BR$3),Headcount!$P$6:$P$92,Headcount!$L$6:$L$92)),0),IF(YEAR(BR$3)=YEAR(Headcount!$Q$4),IF((BR$5=12),(SUMPRODUCT(--(Headcount!$F$6:$F$92="Software"),--(Headcount!$H$6:$H$92&gt;=Software!BR$3),Headcount!$Q$6:$Q$92,Headcount!$L$6:$L$92)),0),IF(YEAR(BR$3)=YEAR(Headcount!$R$4),IF((BR$5=12),(SUMPRODUCT(--(Headcount!$F$6:$F$92="Software"),--(Headcount!$H$6:$H$92&gt;=Software!BR$3),Headcount!$R$6:$R$92,Headcount!$L$6:$L$92)),0),"New Year"))))),'Dept. Cost Actuals'!BV478)</f>
        <v>0</v>
      </c>
      <c r="BS16" s="684">
        <f>IF(BS$4="forecast",IF(YEAR(BS$3)=YEAR(Headcount!$N$4),IF((BS$5=12),(SUMPRODUCT(--(Headcount!$F$6:$F$92="Software"),--(Headcount!$H$6:$H$92&gt;=Software!BS$3),Headcount!$N$6:$N$92,Headcount!$L$6:$L$92)),0),IF(YEAR(BS$3)=YEAR(Headcount!$O$4),IF((BS$5=12),(SUMPRODUCT(--(Headcount!$F$6:$F$92="Software"),--(Headcount!$H$6:$H$92&gt;=Software!BS$3),Headcount!$O$6:$O$92,Headcount!$L$6:$L$92)),0),IF(YEAR(BS$3)=YEAR(Headcount!$P$4),IF((BS$5=12),(SUMPRODUCT(--(Headcount!$F$6:$F$92="Software"),--(Headcount!$H$6:$H$92&gt;=Software!BS$3),Headcount!$P$6:$P$92,Headcount!$L$6:$L$92)),0),IF(YEAR(BS$3)=YEAR(Headcount!$Q$4),IF((BS$5=12),(SUMPRODUCT(--(Headcount!$F$6:$F$92="Software"),--(Headcount!$H$6:$H$92&gt;=Software!BS$3),Headcount!$Q$6:$Q$92,Headcount!$L$6:$L$92)),0),IF(YEAR(BS$3)=YEAR(Headcount!$R$4),IF((BS$5=12),(SUMPRODUCT(--(Headcount!$F$6:$F$92="Software"),--(Headcount!$H$6:$H$92&gt;=Software!BS$3),Headcount!$R$6:$R$92,Headcount!$L$6:$L$92)),0),"New Year"))))),'Dept. Cost Actuals'!BW478)</f>
        <v>0</v>
      </c>
      <c r="BT16" s="684">
        <f>IF(BT$4="forecast",IF(YEAR(BT$3)=YEAR(Headcount!$N$4),IF((BT$5=12),(SUMPRODUCT(--(Headcount!$F$6:$F$92="Software"),--(Headcount!$H$6:$H$92&gt;=Software!BT$3),Headcount!$N$6:$N$92,Headcount!$L$6:$L$92)),0),IF(YEAR(BT$3)=YEAR(Headcount!$O$4),IF((BT$5=12),(SUMPRODUCT(--(Headcount!$F$6:$F$92="Software"),--(Headcount!$H$6:$H$92&gt;=Software!BT$3),Headcount!$O$6:$O$92,Headcount!$L$6:$L$92)),0),IF(YEAR(BT$3)=YEAR(Headcount!$P$4),IF((BT$5=12),(SUMPRODUCT(--(Headcount!$F$6:$F$92="Software"),--(Headcount!$H$6:$H$92&gt;=Software!BT$3),Headcount!$P$6:$P$92,Headcount!$L$6:$L$92)),0),IF(YEAR(BT$3)=YEAR(Headcount!$Q$4),IF((BT$5=12),(SUMPRODUCT(--(Headcount!$F$6:$F$92="Software"),--(Headcount!$H$6:$H$92&gt;=Software!BT$3),Headcount!$Q$6:$Q$92,Headcount!$L$6:$L$92)),0),IF(YEAR(BT$3)=YEAR(Headcount!$R$4),IF((BT$5=12),(SUMPRODUCT(--(Headcount!$F$6:$F$92="Software"),--(Headcount!$H$6:$H$92&gt;=Software!BT$3),Headcount!$R$6:$R$92,Headcount!$L$6:$L$92)),0),"New Year"))))),'Dept. Cost Actuals'!BX478)</f>
        <v>0</v>
      </c>
      <c r="BU16" s="684">
        <f>IF(BU$4="forecast",IF(YEAR(BU$3)=YEAR(Headcount!$N$4),IF((BU$5=12),(SUMPRODUCT(--(Headcount!$F$6:$F$92="Software"),--(Headcount!$H$6:$H$92&gt;=Software!BU$3),Headcount!$N$6:$N$92,Headcount!$L$6:$L$92)),0),IF(YEAR(BU$3)=YEAR(Headcount!$O$4),IF((BU$5=12),(SUMPRODUCT(--(Headcount!$F$6:$F$92="Software"),--(Headcount!$H$6:$H$92&gt;=Software!BU$3),Headcount!$O$6:$O$92,Headcount!$L$6:$L$92)),0),IF(YEAR(BU$3)=YEAR(Headcount!$P$4),IF((BU$5=12),(SUMPRODUCT(--(Headcount!$F$6:$F$92="Software"),--(Headcount!$H$6:$H$92&gt;=Software!BU$3),Headcount!$P$6:$P$92,Headcount!$L$6:$L$92)),0),IF(YEAR(BU$3)=YEAR(Headcount!$Q$4),IF((BU$5=12),(SUMPRODUCT(--(Headcount!$F$6:$F$92="Software"),--(Headcount!$H$6:$H$92&gt;=Software!BU$3),Headcount!$Q$6:$Q$92,Headcount!$L$6:$L$92)),0),IF(YEAR(BU$3)=YEAR(Headcount!$R$4),IF((BU$5=12),(SUMPRODUCT(--(Headcount!$F$6:$F$92="Software"),--(Headcount!$H$6:$H$92&gt;=Software!BU$3),Headcount!$R$6:$R$92,Headcount!$L$6:$L$92)),0),"New Year"))))),'Dept. Cost Actuals'!BY478)</f>
        <v>0</v>
      </c>
      <c r="BV16" s="817">
        <f>IF(BV$4="forecast",IF(YEAR(BV$3)=YEAR(Headcount!$N$4),IF((BV$5=12),(SUMPRODUCT(--(Headcount!$F$6:$F$92="Software"),--(Headcount!$H$6:$H$92&gt;=Software!BV$3),Headcount!$N$6:$N$92,Headcount!$L$6:$L$92)),0),IF(YEAR(BV$3)=YEAR(Headcount!$O$4),IF((BV$5=12),(SUMPRODUCT(--(Headcount!$F$6:$F$92="Software"),--(Headcount!$H$6:$H$92&gt;=Software!BV$3),Headcount!$O$6:$O$92,Headcount!$L$6:$L$92)),0),IF(YEAR(BV$3)=YEAR(Headcount!$P$4),IF((BV$5=12),(SUMPRODUCT(--(Headcount!$F$6:$F$92="Software"),--(Headcount!$H$6:$H$92&gt;=Software!BV$3),Headcount!$P$6:$P$92,Headcount!$L$6:$L$92)),0),IF(YEAR(BV$3)=YEAR(Headcount!$Q$4),IF((BV$5=12),(SUMPRODUCT(--(Headcount!$F$6:$F$92="Software"),--(Headcount!$H$6:$H$92&gt;=Software!BV$3),Headcount!$Q$6:$Q$92,Headcount!$L$6:$L$92)),0),IF(YEAR(BV$3)=YEAR(Headcount!$R$4),IF((BV$5=12),(SUMPRODUCT(--(Headcount!$F$6:$F$92="Software"),--(Headcount!$H$6:$H$92&gt;=Software!BV$3),Headcount!$R$6:$R$92,Headcount!$L$6:$L$92)),0),"New Year"))))),'Dept. Cost Actuals'!BZ478)</f>
        <v>499429.90780920006</v>
      </c>
    </row>
    <row r="17" spans="2:74" s="641" customFormat="1" ht="13" x14ac:dyDescent="0.3">
      <c r="B17" s="809" t="s">
        <v>939</v>
      </c>
      <c r="C17" s="995">
        <f t="shared" ref="C17:N17" si="5">SUM(C15:C16)</f>
        <v>0</v>
      </c>
      <c r="D17" s="995">
        <f t="shared" si="5"/>
        <v>0</v>
      </c>
      <c r="E17" s="995">
        <f t="shared" si="5"/>
        <v>0</v>
      </c>
      <c r="F17" s="995">
        <f t="shared" si="5"/>
        <v>0</v>
      </c>
      <c r="G17" s="995">
        <f t="shared" si="5"/>
        <v>0</v>
      </c>
      <c r="H17" s="995">
        <f t="shared" si="5"/>
        <v>0</v>
      </c>
      <c r="I17" s="995">
        <f t="shared" si="5"/>
        <v>0</v>
      </c>
      <c r="J17" s="995">
        <f t="shared" si="5"/>
        <v>0</v>
      </c>
      <c r="K17" s="995">
        <f t="shared" si="5"/>
        <v>0</v>
      </c>
      <c r="L17" s="995">
        <f t="shared" si="5"/>
        <v>0</v>
      </c>
      <c r="M17" s="995">
        <f t="shared" si="5"/>
        <v>0</v>
      </c>
      <c r="N17" s="995">
        <f t="shared" si="5"/>
        <v>0</v>
      </c>
      <c r="O17" s="995">
        <f t="shared" ref="O17:BV17" si="6">SUM(O15:O16)</f>
        <v>19932.419999999998</v>
      </c>
      <c r="P17" s="995">
        <f t="shared" si="6"/>
        <v>19967.419999999998</v>
      </c>
      <c r="Q17" s="995">
        <f t="shared" si="6"/>
        <v>22043.54</v>
      </c>
      <c r="R17" s="995">
        <f t="shared" si="6"/>
        <v>26060.61</v>
      </c>
      <c r="S17" s="995">
        <f t="shared" si="6"/>
        <v>19932.419999999998</v>
      </c>
      <c r="T17" s="995">
        <f t="shared" si="6"/>
        <v>22432.42</v>
      </c>
      <c r="U17" s="995">
        <f t="shared" si="6"/>
        <v>29226.23</v>
      </c>
      <c r="V17" s="995">
        <f t="shared" si="6"/>
        <v>20109.419999999998</v>
      </c>
      <c r="W17" s="995">
        <f t="shared" si="6"/>
        <v>20153.919999999998</v>
      </c>
      <c r="X17" s="995">
        <f t="shared" si="6"/>
        <v>25509.81</v>
      </c>
      <c r="Y17" s="995">
        <f t="shared" si="6"/>
        <v>20282.400000000001</v>
      </c>
      <c r="Z17" s="995">
        <f t="shared" si="6"/>
        <v>-19772.349999999999</v>
      </c>
      <c r="AA17" s="995">
        <f t="shared" si="6"/>
        <v>0</v>
      </c>
      <c r="AB17" s="995">
        <f t="shared" si="6"/>
        <v>0</v>
      </c>
      <c r="AC17" s="995">
        <f t="shared" si="6"/>
        <v>0</v>
      </c>
      <c r="AD17" s="995">
        <f t="shared" si="6"/>
        <v>0</v>
      </c>
      <c r="AE17" s="995">
        <f t="shared" si="6"/>
        <v>0</v>
      </c>
      <c r="AF17" s="995">
        <f t="shared" si="6"/>
        <v>0</v>
      </c>
      <c r="AG17" s="995">
        <f t="shared" si="6"/>
        <v>0</v>
      </c>
      <c r="AH17" s="995">
        <f t="shared" si="6"/>
        <v>0</v>
      </c>
      <c r="AI17" s="995">
        <f t="shared" si="6"/>
        <v>0</v>
      </c>
      <c r="AJ17" s="995">
        <f t="shared" si="6"/>
        <v>0</v>
      </c>
      <c r="AK17" s="995">
        <f t="shared" si="6"/>
        <v>0</v>
      </c>
      <c r="AL17" s="995">
        <f t="shared" si="6"/>
        <v>446880</v>
      </c>
      <c r="AM17" s="995">
        <f t="shared" si="6"/>
        <v>0</v>
      </c>
      <c r="AN17" s="995">
        <f t="shared" si="6"/>
        <v>0</v>
      </c>
      <c r="AO17" s="995">
        <f t="shared" si="6"/>
        <v>0</v>
      </c>
      <c r="AP17" s="995">
        <f t="shared" si="6"/>
        <v>0</v>
      </c>
      <c r="AQ17" s="995">
        <f t="shared" si="6"/>
        <v>0</v>
      </c>
      <c r="AR17" s="995">
        <f t="shared" si="6"/>
        <v>0</v>
      </c>
      <c r="AS17" s="995">
        <f t="shared" si="6"/>
        <v>0</v>
      </c>
      <c r="AT17" s="995">
        <f t="shared" si="6"/>
        <v>0</v>
      </c>
      <c r="AU17" s="995">
        <f t="shared" si="6"/>
        <v>0</v>
      </c>
      <c r="AV17" s="995">
        <f t="shared" si="6"/>
        <v>0</v>
      </c>
      <c r="AW17" s="995">
        <f t="shared" si="6"/>
        <v>0</v>
      </c>
      <c r="AX17" s="995">
        <f t="shared" si="6"/>
        <v>507840.58800000005</v>
      </c>
      <c r="AY17" s="995">
        <f t="shared" si="6"/>
        <v>0</v>
      </c>
      <c r="AZ17" s="995">
        <f t="shared" si="6"/>
        <v>0</v>
      </c>
      <c r="BA17" s="995">
        <f t="shared" si="6"/>
        <v>0</v>
      </c>
      <c r="BB17" s="995">
        <f t="shared" si="6"/>
        <v>0</v>
      </c>
      <c r="BC17" s="995">
        <f t="shared" si="6"/>
        <v>0</v>
      </c>
      <c r="BD17" s="995">
        <f t="shared" si="6"/>
        <v>0</v>
      </c>
      <c r="BE17" s="995">
        <f t="shared" si="6"/>
        <v>0</v>
      </c>
      <c r="BF17" s="995">
        <f t="shared" si="6"/>
        <v>0</v>
      </c>
      <c r="BG17" s="995">
        <f t="shared" si="6"/>
        <v>0</v>
      </c>
      <c r="BH17" s="995">
        <f t="shared" si="6"/>
        <v>0</v>
      </c>
      <c r="BI17" s="995">
        <f t="shared" si="6"/>
        <v>0</v>
      </c>
      <c r="BJ17" s="995">
        <f t="shared" si="6"/>
        <v>523075.80564000009</v>
      </c>
      <c r="BK17" s="995">
        <f t="shared" si="6"/>
        <v>0</v>
      </c>
      <c r="BL17" s="995">
        <f t="shared" si="6"/>
        <v>0</v>
      </c>
      <c r="BM17" s="995">
        <f t="shared" si="6"/>
        <v>0</v>
      </c>
      <c r="BN17" s="995">
        <f t="shared" si="6"/>
        <v>0</v>
      </c>
      <c r="BO17" s="995">
        <f t="shared" si="6"/>
        <v>0</v>
      </c>
      <c r="BP17" s="995">
        <f t="shared" si="6"/>
        <v>0</v>
      </c>
      <c r="BQ17" s="995">
        <f t="shared" si="6"/>
        <v>0</v>
      </c>
      <c r="BR17" s="995">
        <f t="shared" si="6"/>
        <v>0</v>
      </c>
      <c r="BS17" s="995">
        <f t="shared" si="6"/>
        <v>0</v>
      </c>
      <c r="BT17" s="995">
        <f t="shared" si="6"/>
        <v>0</v>
      </c>
      <c r="BU17" s="995">
        <f t="shared" si="6"/>
        <v>0</v>
      </c>
      <c r="BV17" s="996">
        <f t="shared" si="6"/>
        <v>538768.07980920002</v>
      </c>
    </row>
    <row r="18" spans="2:74" s="641" customFormat="1" ht="13" x14ac:dyDescent="0.3">
      <c r="B18" s="811" t="s">
        <v>940</v>
      </c>
      <c r="C18" s="684">
        <f>IF(C$4="forecast",C$7*'Direct People Department Costs'!$H$7,'Dept. Cost Actuals'!G494)</f>
        <v>852.34152445065149</v>
      </c>
      <c r="D18" s="684">
        <f>IF(D$4="forecast",D$7*'Direct People Department Costs'!$H$7,'Dept. Cost Actuals'!H158)</f>
        <v>361.09496888920626</v>
      </c>
      <c r="E18" s="684">
        <f>IF(E$4="forecast",E$7*'Direct People Department Costs'!$H$7,'Dept. Cost Actuals'!I158)</f>
        <v>475.67596733913291</v>
      </c>
      <c r="F18" s="684">
        <f>IF(F$4="forecast",F$7*'Direct People Department Costs'!$H$7,'Dept. Cost Actuals'!J158)</f>
        <v>218.28432268638224</v>
      </c>
      <c r="G18" s="684">
        <f>IF(G$4="forecast",G$7*'Direct People Department Costs'!$H$7,'Dept. Cost Actuals'!K158)</f>
        <v>710.878506328507</v>
      </c>
      <c r="H18" s="684">
        <f>IF(H$4="forecast",H$7*'Direct People Department Costs'!$H$7,'Dept. Cost Actuals'!L158)</f>
        <v>784.92668265095392</v>
      </c>
      <c r="I18" s="684">
        <f>IF(I$4="forecast",I$7*'Direct People Department Costs'!$H$7,'Dept. Cost Actuals'!M158)</f>
        <v>515.88605290083558</v>
      </c>
      <c r="J18" s="684">
        <f>IF(J$4="forecast",J$7*'Direct People Department Costs'!$H$7,'Dept. Cost Actuals'!N158)</f>
        <v>815.06891379593048</v>
      </c>
      <c r="K18" s="684">
        <f>IF(K$4="forecast",K$7*'Direct People Department Costs'!$H$7,'Dept. Cost Actuals'!O494)</f>
        <v>1858.9638199068484</v>
      </c>
      <c r="L18" s="684">
        <f>IF(L$4="forecast",L$7*'Direct People Department Costs'!$H$7,'Dept. Cost Actuals'!P494)</f>
        <v>577.90996933157385</v>
      </c>
      <c r="M18" s="684">
        <f>IF(M$4="forecast",M$7*'Direct People Department Costs'!$H$7,'Dept. Cost Actuals'!Q494)</f>
        <v>985.72769216041388</v>
      </c>
      <c r="N18" s="684">
        <f>IF(N$4="forecast",N$7*'Direct People Department Costs'!$H$7,'Dept. Cost Actuals'!R494)</f>
        <v>9943.7617819453189</v>
      </c>
      <c r="O18" s="684">
        <f>IF(O$4="forecast",O$7*'Direct People Department Costs'!$H$7,'Dept. Cost Actuals'!S494)</f>
        <v>14023.9</v>
      </c>
      <c r="P18" s="684">
        <f>IF(P$4="forecast",P$7*'Direct People Department Costs'!$H$7,'Dept. Cost Actuals'!T494)</f>
        <v>6178.38</v>
      </c>
      <c r="Q18" s="684">
        <f>IF(Q$4="forecast",Q$7*'Direct People Department Costs'!$H$7,'Dept. Cost Actuals'!U494)</f>
        <v>5372.79</v>
      </c>
      <c r="R18" s="684">
        <f>IF(R$4="forecast",R$7*'Direct People Department Costs'!$H$7,'Dept. Cost Actuals'!V494)</f>
        <v>5001.71</v>
      </c>
      <c r="S18" s="684">
        <f>IF(S$4="forecast",S$7*'Direct People Department Costs'!$H$7,'Dept. Cost Actuals'!W494)</f>
        <v>7751.31</v>
      </c>
      <c r="T18" s="684">
        <f>IF(T$4="forecast",T$7*'Direct People Department Costs'!$H$7,'Dept. Cost Actuals'!X494)</f>
        <v>9533.3700000000008</v>
      </c>
      <c r="U18" s="684">
        <f>IF(U$4="forecast",U$7*'Direct People Department Costs'!$H$7,'Dept. Cost Actuals'!Y494)</f>
        <v>7498.7</v>
      </c>
      <c r="V18" s="684">
        <f>IF(V$4="forecast",V$7*'Direct People Department Costs'!$H$7,'Dept. Cost Actuals'!Z494)</f>
        <v>7383.23</v>
      </c>
      <c r="W18" s="684">
        <f>IF(W$4="forecast",W$7*'Direct People Department Costs'!$H$7,'Dept. Cost Actuals'!AA494)</f>
        <v>6775.82</v>
      </c>
      <c r="X18" s="684">
        <f>IF(X$4="forecast",X$7*'Direct People Department Costs'!$H$7,'Dept. Cost Actuals'!AB494)</f>
        <v>7937.72</v>
      </c>
      <c r="Y18" s="684">
        <f>IF(Y$4="forecast",Y$7*'Direct People Department Costs'!$H$7,'Dept. Cost Actuals'!AC494)</f>
        <v>40</v>
      </c>
      <c r="Z18" s="684">
        <f>IF(Z$4="forecast",Z$7*'Direct People Department Costs'!$H$7,'Dept. Cost Actuals'!AD494)</f>
        <v>0</v>
      </c>
      <c r="AA18" s="684">
        <f>IF(AA$4="forecast",(((SUM($O$18:$Z$18)/12)*1.03)+((400/12)*AA$7)),'Dept. Cost Actuals'!AE158)</f>
        <v>7418.4864916666666</v>
      </c>
      <c r="AB18" s="684">
        <f>IF(AB$4="forecast",(((SUM($O$18:$Z$18)/12)*1.03)+((400/12)*AB$7)),'Dept. Cost Actuals'!AF158)</f>
        <v>7418.4864916666666</v>
      </c>
      <c r="AC18" s="684">
        <f>IF(AC$4="forecast",(((SUM($O$18:$Z$18)/12)*1.03)+((400/12)*AC$7)),'Dept. Cost Actuals'!AG158)</f>
        <v>7418.4864916666666</v>
      </c>
      <c r="AD18" s="684">
        <f>IF(AD$4="forecast",(((SUM($O$18:$Z$18)/12)*1.03)+((400/12)*AD$7)),'Dept. Cost Actuals'!AH158)</f>
        <v>7418.4864916666666</v>
      </c>
      <c r="AE18" s="684">
        <f>IF(AE$4="forecast",(((SUM($O$18:$Z$18)/12)*1.03)+((400/12)*AE$7)),'Dept. Cost Actuals'!AI158)</f>
        <v>7418.4864916666666</v>
      </c>
      <c r="AF18" s="684">
        <f>IF(AF$4="forecast",(((SUM($O$18:$Z$18)/12)*1.03)+((400/12)*AF$7)),'Dept. Cost Actuals'!AJ158)</f>
        <v>7418.4864916666666</v>
      </c>
      <c r="AG18" s="684">
        <f>IF(AG$4="forecast",(((SUM($O$18:$Z$18)/12)*1.03)+((400/12)*AG$7)),'Dept. Cost Actuals'!AK158)</f>
        <v>7485.1531583333326</v>
      </c>
      <c r="AH18" s="684">
        <f>IF(AH$4="forecast",(((SUM($O$18:$Z$18)/12)*1.03)+((400/12)*AH$7)),'Dept. Cost Actuals'!AL158)</f>
        <v>7485.1531583333326</v>
      </c>
      <c r="AI18" s="684">
        <f>IF(AI$4="forecast",(((SUM($O$18:$Z$18)/12)*1.03)+((400/12)*AI$7)),'Dept. Cost Actuals'!AM158)</f>
        <v>7485.1531583333326</v>
      </c>
      <c r="AJ18" s="684">
        <f>IF(AJ$4="forecast",(((SUM($O$18:$Z$18)/12)*1.03)+((400/12)*AJ$7)),'Dept. Cost Actuals'!AN158)</f>
        <v>7518.4864916666666</v>
      </c>
      <c r="AK18" s="684">
        <f>IF(AK$4="forecast",(((SUM($O$18:$Z$18)/12)*1.03)+((400/12)*AK$7)),'Dept. Cost Actuals'!AO158)</f>
        <v>7518.4864916666666</v>
      </c>
      <c r="AL18" s="684">
        <f>IF(AL$4="forecast",(((SUM($O$18:$Z$18)/12)*1.03)+((400/12)*AL$7)),'Dept. Cost Actuals'!AP158)</f>
        <v>7518.4864916666666</v>
      </c>
      <c r="AM18" s="684">
        <f>IF(AM$4="forecast",(((SUM($AA$18:$AL$18)/12)*1.03)+((400/12)*AM$7)),'Dept. Cost Actuals'!AQ158)</f>
        <v>8550.6244197500018</v>
      </c>
      <c r="AN18" s="684">
        <f>IF(AN$4="forecast",(((SUM($AA$18:$AL$18)/12)*1.03)+((400/12)*AN$7)),'Dept. Cost Actuals'!AR158)</f>
        <v>8550.6244197500018</v>
      </c>
      <c r="AO18" s="684">
        <f>IF(AO$4="forecast",(((SUM($AA$18:$AL$18)/12)*1.03)+((400/12)*AO$7)),'Dept. Cost Actuals'!AS158)</f>
        <v>8550.6244197500018</v>
      </c>
      <c r="AP18" s="684">
        <f>IF(AP$4="forecast",(((SUM($AA$18:$AL$18)/12)*1.03)+((400/12)*AP$7)),'Dept. Cost Actuals'!AT158)</f>
        <v>8550.6244197500018</v>
      </c>
      <c r="AQ18" s="684">
        <f>IF(AQ$4="forecast",(((SUM($AA$18:$AL$18)/12)*1.03)+((400/12)*AQ$7)),'Dept. Cost Actuals'!AU158)</f>
        <v>8550.6244197500018</v>
      </c>
      <c r="AR18" s="684">
        <f>IF(AR$4="forecast",(((SUM($AA$18:$AL$18)/12)*1.03)+((400/12)*AR$7)),'Dept. Cost Actuals'!AV158)</f>
        <v>8550.6244197500018</v>
      </c>
      <c r="AS18" s="684">
        <f>IF(AS$4="forecast",(((SUM($AA$18:$AL$18)/12)*1.03)+((400/12)*AS$7)),'Dept. Cost Actuals'!AW158)</f>
        <v>8550.6244197500018</v>
      </c>
      <c r="AT18" s="684">
        <f>IF(AT$4="forecast",(((SUM($AA$18:$AL$18)/12)*1.03)+((400/12)*AT$7)),'Dept. Cost Actuals'!AX158)</f>
        <v>8550.6244197500018</v>
      </c>
      <c r="AU18" s="684">
        <f>IF(AU$4="forecast",(((SUM($AA$18:$AL$18)/12)*1.03)+((400/12)*AU$7)),'Dept. Cost Actuals'!AY158)</f>
        <v>8550.6244197500018</v>
      </c>
      <c r="AV18" s="684">
        <f>IF(AV$4="forecast",(((SUM($AA$18:$AL$18)/12)*1.03)+((400/12)*AV$7)),'Dept. Cost Actuals'!AZ158)</f>
        <v>8550.6244197500018</v>
      </c>
      <c r="AW18" s="684">
        <f>IF(AW$4="forecast",(((SUM($AA$18:$AL$18)/12)*1.03)+((400/12)*AW$7)),'Dept. Cost Actuals'!BA158)</f>
        <v>8550.6244197500018</v>
      </c>
      <c r="AX18" s="684">
        <f>IF(AX$4="forecast",(((SUM($AA$18:$AL$18)/12)*1.03)+((400/12)*AX$7)),'Dept. Cost Actuals'!BB158)</f>
        <v>8550.6244197500018</v>
      </c>
      <c r="AY18" s="684">
        <f>IF(AY$4="forecast",AY$7*'Direct People Department Costs'!$H$7,'Dept. Cost Actuals'!BC494)</f>
        <v>14950</v>
      </c>
      <c r="AZ18" s="684">
        <f>IF(AZ$4="forecast",AZ$7*'Direct People Department Costs'!$H$7,'Dept. Cost Actuals'!BD494)</f>
        <v>14950</v>
      </c>
      <c r="BA18" s="684">
        <f>IF(BA$4="forecast",BA$7*'Direct People Department Costs'!$H$7,'Dept. Cost Actuals'!BE494)</f>
        <v>14950</v>
      </c>
      <c r="BB18" s="684">
        <f>IF(BB$4="forecast",BB$7*'Direct People Department Costs'!$H$7,'Dept. Cost Actuals'!BF494)</f>
        <v>14950</v>
      </c>
      <c r="BC18" s="684">
        <f>IF(BC$4="forecast",BC$7*'Direct People Department Costs'!$H$7,'Dept. Cost Actuals'!BG494)</f>
        <v>14950</v>
      </c>
      <c r="BD18" s="684">
        <f>IF(BD$4="forecast",BD$7*'Direct People Department Costs'!$H$7,'Dept. Cost Actuals'!BH494)</f>
        <v>14950</v>
      </c>
      <c r="BE18" s="684">
        <f>IF(BE$4="forecast",BE$7*'Direct People Department Costs'!$H$7,'Dept. Cost Actuals'!BI494)</f>
        <v>14950</v>
      </c>
      <c r="BF18" s="684">
        <f>IF(BF$4="forecast",BF$7*'Direct People Department Costs'!$H$7,'Dept. Cost Actuals'!BJ494)</f>
        <v>14950</v>
      </c>
      <c r="BG18" s="684">
        <f>IF(BG$4="forecast",BG$7*'Direct People Department Costs'!$H$7,'Dept. Cost Actuals'!BK494)</f>
        <v>14950</v>
      </c>
      <c r="BH18" s="684">
        <f>IF(BH$4="forecast",BH$7*'Direct People Department Costs'!$H$7,'Dept. Cost Actuals'!BL494)</f>
        <v>14950</v>
      </c>
      <c r="BI18" s="684">
        <f>IF(BI$4="forecast",BI$7*'Direct People Department Costs'!$H$7,'Dept. Cost Actuals'!BM494)</f>
        <v>14950</v>
      </c>
      <c r="BJ18" s="684">
        <f>IF(BJ$4="forecast",BJ$7*'Direct People Department Costs'!$H$7,'Dept. Cost Actuals'!BN494)</f>
        <v>14950</v>
      </c>
      <c r="BK18" s="684">
        <f>IF(BK$4="forecast",BK$7*'Direct People Department Costs'!$H$7,'Dept. Cost Actuals'!BO494)</f>
        <v>14950</v>
      </c>
      <c r="BL18" s="684">
        <f>IF(BL$4="forecast",BL$7*'Direct People Department Costs'!$H$7,'Dept. Cost Actuals'!BP494)</f>
        <v>14950</v>
      </c>
      <c r="BM18" s="684">
        <f>IF(BM$4="forecast",BM$7*'Direct People Department Costs'!$H$7,'Dept. Cost Actuals'!BQ494)</f>
        <v>14950</v>
      </c>
      <c r="BN18" s="684">
        <f>IF(BN$4="forecast",BN$7*'Direct People Department Costs'!$H$7,'Dept. Cost Actuals'!BR494)</f>
        <v>14950</v>
      </c>
      <c r="BO18" s="684">
        <f>IF(BO$4="forecast",BO$7*'Direct People Department Costs'!$H$7,'Dept. Cost Actuals'!BS494)</f>
        <v>14950</v>
      </c>
      <c r="BP18" s="684">
        <f>IF(BP$4="forecast",BP$7*'Direct People Department Costs'!$H$7,'Dept. Cost Actuals'!BT494)</f>
        <v>14950</v>
      </c>
      <c r="BQ18" s="684">
        <f>IF(BQ$4="forecast",BQ$7*'Direct People Department Costs'!$H$7,'Dept. Cost Actuals'!BU494)</f>
        <v>14950</v>
      </c>
      <c r="BR18" s="684">
        <f>IF(BR$4="forecast",BR$7*'Direct People Department Costs'!$H$7,'Dept. Cost Actuals'!BV494)</f>
        <v>14950</v>
      </c>
      <c r="BS18" s="684">
        <f>IF(BS$4="forecast",BS$7*'Direct People Department Costs'!$H$7,'Dept. Cost Actuals'!BW494)</f>
        <v>14950</v>
      </c>
      <c r="BT18" s="684">
        <f>IF(BT$4="forecast",BT$7*'Direct People Department Costs'!$H$7,'Dept. Cost Actuals'!BX494)</f>
        <v>14950</v>
      </c>
      <c r="BU18" s="684">
        <f>IF(BU$4="forecast",BU$7*'Direct People Department Costs'!$H$7,'Dept. Cost Actuals'!BY494)</f>
        <v>14950</v>
      </c>
      <c r="BV18" s="808">
        <f>IF(BV$4="forecast",BV$7*'Direct People Department Costs'!$H$7,'Dept. Cost Actuals'!#REF!)</f>
        <v>14950</v>
      </c>
    </row>
    <row r="19" spans="2:74" x14ac:dyDescent="0.35">
      <c r="B19" s="812" t="s">
        <v>941</v>
      </c>
      <c r="C19" s="684">
        <f>IF(C$4="forecast",C$8*'Direct People Department Costs'!$H$8,'Dept. Cost Actuals'!G378)</f>
        <v>0</v>
      </c>
      <c r="D19" s="684">
        <f>IF(D$4="forecast",D$8*'Direct People Department Costs'!$H$8,'Dept. Cost Actuals'!H378)</f>
        <v>0</v>
      </c>
      <c r="E19" s="684">
        <f>IF(E$4="forecast",E$8*'Direct People Department Costs'!$H$8,'Dept. Cost Actuals'!I378)</f>
        <v>0</v>
      </c>
      <c r="F19" s="684">
        <f>IF(F$4="forecast",F$8*'Direct People Department Costs'!$H$8,'Dept. Cost Actuals'!J378)</f>
        <v>0</v>
      </c>
      <c r="G19" s="684">
        <f>IF(G$4="forecast",G$8*'Direct People Department Costs'!$H$8,'Dept. Cost Actuals'!K378)</f>
        <v>0</v>
      </c>
      <c r="H19" s="684">
        <f>IF(H$4="forecast",H$8*'Direct People Department Costs'!$H$8,'Dept. Cost Actuals'!L378)</f>
        <v>0</v>
      </c>
      <c r="I19" s="684">
        <f>IF(I$4="forecast",I$8*'Direct People Department Costs'!$H$8,'Dept. Cost Actuals'!M378)</f>
        <v>0</v>
      </c>
      <c r="J19" s="684">
        <f>IF(J$4="forecast",J$8*'Direct People Department Costs'!$H$8,'Dept. Cost Actuals'!N378)</f>
        <v>0</v>
      </c>
      <c r="K19" s="684">
        <f>IF(K$4="forecast",K$8*'Direct People Department Costs'!$H$8,'Dept. Cost Actuals'!O378)</f>
        <v>0</v>
      </c>
      <c r="L19" s="684">
        <f>IF(L$4="forecast",L$8*'Direct People Department Costs'!$H$8,'Dept. Cost Actuals'!P378)</f>
        <v>0</v>
      </c>
      <c r="M19" s="684">
        <f>IF(M$4="forecast",M$8*'Direct People Department Costs'!$H$8,'Dept. Cost Actuals'!Q378)</f>
        <v>0</v>
      </c>
      <c r="N19" s="684">
        <f>IF(N$4="forecast",N$8*'Direct People Department Costs'!$H$8,'Dept. Cost Actuals'!R378)</f>
        <v>0</v>
      </c>
      <c r="O19" s="684">
        <f>IF(O$4="forecast",O$8*'Direct People Department Costs'!$H$8,'Dept. Cost Actuals'!S378)</f>
        <v>0</v>
      </c>
      <c r="P19" s="684">
        <f>IF(P$4="forecast",P$8*'Direct People Department Costs'!$H$8,'Dept. Cost Actuals'!T378)</f>
        <v>0</v>
      </c>
      <c r="Q19" s="684">
        <f>IF(Q$4="forecast",Q$8*'Direct People Department Costs'!$H$8,'Dept. Cost Actuals'!U378)</f>
        <v>1196.54</v>
      </c>
      <c r="R19" s="684">
        <f>IF(R$4="forecast",R$8*'Direct People Department Costs'!$H$8,'Dept. Cost Actuals'!V378)</f>
        <v>2136.38</v>
      </c>
      <c r="S19" s="684">
        <f>IF(S$4="forecast",S$8*'Direct People Department Costs'!$H$8,'Dept. Cost Actuals'!W378)</f>
        <v>3416.44</v>
      </c>
      <c r="T19" s="684">
        <f>IF(T$4="forecast",T$8*'Direct People Department Costs'!$H$8,'Dept. Cost Actuals'!X378)</f>
        <v>372.23</v>
      </c>
      <c r="U19" s="684">
        <f>IF(U$4="forecast",U$8*'Direct People Department Costs'!$H$8,'Dept. Cost Actuals'!Y378)</f>
        <v>5107.42</v>
      </c>
      <c r="V19" s="684">
        <f>IF(V$4="forecast",V$8*'Direct People Department Costs'!$H$8,'Dept. Cost Actuals'!Z378)</f>
        <v>101.46</v>
      </c>
      <c r="W19" s="684">
        <f>IF(W$4="forecast",W$8*'Direct People Department Costs'!$H$8,'Dept. Cost Actuals'!AA378)</f>
        <v>397.41</v>
      </c>
      <c r="X19" s="684">
        <f>IF(X$4="forecast",X$8*'Direct People Department Costs'!$H$8,'Dept. Cost Actuals'!AB378)</f>
        <v>0</v>
      </c>
      <c r="Y19" s="684">
        <f>IF(Y$4="forecast",Y$8*'Direct People Department Costs'!$H$8,'Dept. Cost Actuals'!AC378)</f>
        <v>1345.67</v>
      </c>
      <c r="Z19" s="684">
        <f>IF(Z$4="forecast",Z$8*'Direct People Department Costs'!$H$8,'Dept. Cost Actuals'!AD378)</f>
        <v>120.09</v>
      </c>
      <c r="AA19" s="684">
        <f>IF(AA$4="forecast",AA$8*'Direct People Department Costs'!$H$8,'Dept. Cost Actuals'!AE378)</f>
        <v>0</v>
      </c>
      <c r="AB19" s="684">
        <f>IF(AB$4="forecast",AB$8*'Direct People Department Costs'!$H$8,'Dept. Cost Actuals'!AF378)</f>
        <v>0</v>
      </c>
      <c r="AC19" s="684">
        <f>IF(AC$4="forecast",AC$8*'Direct People Department Costs'!$H$8,'Dept. Cost Actuals'!AG378)</f>
        <v>0</v>
      </c>
      <c r="AD19" s="684">
        <f>IF(AD$4="forecast",AD$8*'Direct People Department Costs'!$H$8,'Dept. Cost Actuals'!AH378)</f>
        <v>0</v>
      </c>
      <c r="AE19" s="684">
        <f>IF(AE$4="forecast",AE$8*'Direct People Department Costs'!$H$8,'Dept. Cost Actuals'!AI378)</f>
        <v>0</v>
      </c>
      <c r="AF19" s="684">
        <f>IF(AF$4="forecast",AF$8*'Direct People Department Costs'!$H$8,'Dept. Cost Actuals'!AJ378)</f>
        <v>0</v>
      </c>
      <c r="AG19" s="684">
        <f>IF(AG$4="forecast",AG$8*'Direct People Department Costs'!$H$8,'Dept. Cost Actuals'!AK378)</f>
        <v>7200</v>
      </c>
      <c r="AH19" s="684">
        <f>IF(AH$4="forecast",AH$8*'Direct People Department Costs'!$H$8,'Dept. Cost Actuals'!AL378)</f>
        <v>0</v>
      </c>
      <c r="AI19" s="684">
        <f>IF(AI$4="forecast",AI$8*'Direct People Department Costs'!$H$8,'Dept. Cost Actuals'!AM378)</f>
        <v>0</v>
      </c>
      <c r="AJ19" s="684">
        <f>IF(AJ$4="forecast",AJ$8*'Direct People Department Costs'!$H$8,'Dept. Cost Actuals'!AN378)</f>
        <v>3600</v>
      </c>
      <c r="AK19" s="684">
        <f>IF(AK$4="forecast",AK$8*'Direct People Department Costs'!$H$8,'Dept. Cost Actuals'!AO378)</f>
        <v>0</v>
      </c>
      <c r="AL19" s="684">
        <f>IF(AL$4="forecast",AL$8*'Direct People Department Costs'!$H$8,'Dept. Cost Actuals'!AP378)</f>
        <v>0</v>
      </c>
      <c r="AM19" s="684">
        <f>IF(AM$4="forecast",AM$8*'Direct People Department Costs'!$H$8,'Dept. Cost Actuals'!AQ378)</f>
        <v>0</v>
      </c>
      <c r="AN19" s="684">
        <f>IF(AN$4="forecast",AN$8*'Direct People Department Costs'!$H$8,'Dept. Cost Actuals'!AR378)</f>
        <v>0</v>
      </c>
      <c r="AO19" s="684">
        <f>IF(AO$4="forecast",AO$8*'Direct People Department Costs'!$H$8,'Dept. Cost Actuals'!AS378)</f>
        <v>0</v>
      </c>
      <c r="AP19" s="684">
        <f>IF(AP$4="forecast",AP$8*'Direct People Department Costs'!$H$8,'Dept. Cost Actuals'!AT378)</f>
        <v>0</v>
      </c>
      <c r="AQ19" s="684">
        <f>IF(AQ$4="forecast",AQ$8*'Direct People Department Costs'!$H$8,'Dept. Cost Actuals'!AU378)</f>
        <v>0</v>
      </c>
      <c r="AR19" s="684">
        <f>IF(AR$4="forecast",AR$8*'Direct People Department Costs'!$H$8,'Dept. Cost Actuals'!AV378)</f>
        <v>0</v>
      </c>
      <c r="AS19" s="684">
        <f>IF(AS$4="forecast",AS$8*'Direct People Department Costs'!$H$8,'Dept. Cost Actuals'!AW378)</f>
        <v>0</v>
      </c>
      <c r="AT19" s="684">
        <f>IF(AT$4="forecast",AT$8*'Direct People Department Costs'!$H$8,'Dept. Cost Actuals'!AX378)</f>
        <v>0</v>
      </c>
      <c r="AU19" s="684">
        <f>IF(AU$4="forecast",AU$8*'Direct People Department Costs'!$H$8,'Dept. Cost Actuals'!AY378)</f>
        <v>0</v>
      </c>
      <c r="AV19" s="684">
        <f>IF(AV$4="forecast",AV$8*'Direct People Department Costs'!$H$8,'Dept. Cost Actuals'!AZ378)</f>
        <v>0</v>
      </c>
      <c r="AW19" s="684">
        <f>IF(AW$4="forecast",AW$8*'Direct People Department Costs'!$H$8,'Dept. Cost Actuals'!BA378)</f>
        <v>0</v>
      </c>
      <c r="AX19" s="684">
        <f>IF(AX$4="forecast",AX$8*'Direct People Department Costs'!$H$8,'Dept. Cost Actuals'!BB378)</f>
        <v>0</v>
      </c>
      <c r="AY19" s="684">
        <f>IF(AY$4="forecast",AY$8*'Direct People Department Costs'!$H$8,'Dept. Cost Actuals'!BC378)</f>
        <v>0</v>
      </c>
      <c r="AZ19" s="684">
        <f>IF(AZ$4="forecast",AZ$8*'Direct People Department Costs'!$H$8,'Dept. Cost Actuals'!BD378)</f>
        <v>0</v>
      </c>
      <c r="BA19" s="684">
        <f>IF(BA$4="forecast",BA$8*'Direct People Department Costs'!$H$8,'Dept. Cost Actuals'!BE378)</f>
        <v>0</v>
      </c>
      <c r="BB19" s="684">
        <f>IF(BB$4="forecast",BB$8*'Direct People Department Costs'!$H$8,'Dept. Cost Actuals'!BF378)</f>
        <v>0</v>
      </c>
      <c r="BC19" s="684">
        <f>IF(BC$4="forecast",BC$8*'Direct People Department Costs'!$H$8,'Dept. Cost Actuals'!BG378)</f>
        <v>0</v>
      </c>
      <c r="BD19" s="684">
        <f>IF(BD$4="forecast",BD$8*'Direct People Department Costs'!$H$8,'Dept. Cost Actuals'!BH378)</f>
        <v>0</v>
      </c>
      <c r="BE19" s="684">
        <f>IF(BE$4="forecast",BE$8*'Direct People Department Costs'!$H$8,'Dept. Cost Actuals'!BI378)</f>
        <v>0</v>
      </c>
      <c r="BF19" s="684">
        <f>IF(BF$4="forecast",BF$8*'Direct People Department Costs'!$H$8,'Dept. Cost Actuals'!BJ378)</f>
        <v>0</v>
      </c>
      <c r="BG19" s="684">
        <f>IF(BG$4="forecast",BG$8*'Direct People Department Costs'!$H$8,'Dept. Cost Actuals'!BK378)</f>
        <v>0</v>
      </c>
      <c r="BH19" s="684">
        <f>IF(BH$4="forecast",BH$8*'Direct People Department Costs'!$H$8,'Dept. Cost Actuals'!BL378)</f>
        <v>0</v>
      </c>
      <c r="BI19" s="684">
        <f>IF(BI$4="forecast",BI$8*'Direct People Department Costs'!$H$8,'Dept. Cost Actuals'!BM378)</f>
        <v>0</v>
      </c>
      <c r="BJ19" s="684">
        <f>IF(BJ$4="forecast",BJ$8*'Direct People Department Costs'!$H$8,'Dept. Cost Actuals'!BN378)</f>
        <v>0</v>
      </c>
      <c r="BK19" s="684">
        <f>IF(BK$4="forecast",BK$8*'Direct People Department Costs'!$H$8,'Dept. Cost Actuals'!BO378)</f>
        <v>0</v>
      </c>
      <c r="BL19" s="684">
        <f>IF(BL$4="forecast",BL$8*'Direct People Department Costs'!$H$8,'Dept. Cost Actuals'!#REF!)</f>
        <v>0</v>
      </c>
      <c r="BM19" s="684">
        <f>IF(BM$4="forecast",BM$8*'Direct People Department Costs'!$H$8,'Dept. Cost Actuals'!#REF!)</f>
        <v>0</v>
      </c>
      <c r="BN19" s="684">
        <f>IF(BN$4="forecast",BN$8*'Direct People Department Costs'!$H$8,'Dept. Cost Actuals'!#REF!)</f>
        <v>0</v>
      </c>
      <c r="BO19" s="684">
        <f>IF(BO$4="forecast",BO$8*'Direct People Department Costs'!$H$8,'Dept. Cost Actuals'!#REF!)</f>
        <v>0</v>
      </c>
      <c r="BP19" s="684">
        <f>IF(BP$4="forecast",BP$8*'Direct People Department Costs'!$H$8,'Dept. Cost Actuals'!#REF!)</f>
        <v>0</v>
      </c>
      <c r="BQ19" s="684">
        <f>IF(BQ$4="forecast",BQ$8*'Direct People Department Costs'!$H$8,'Dept. Cost Actuals'!#REF!)</f>
        <v>0</v>
      </c>
      <c r="BR19" s="684">
        <f>IF(BR$4="forecast",BR$8*'Direct People Department Costs'!$H$8,'Dept. Cost Actuals'!#REF!)</f>
        <v>0</v>
      </c>
      <c r="BS19" s="684">
        <f>IF(BS$4="forecast",BS$8*'Direct People Department Costs'!$H$8,'Dept. Cost Actuals'!#REF!)</f>
        <v>0</v>
      </c>
      <c r="BT19" s="684">
        <f>IF(BT$4="forecast",BT$8*'Direct People Department Costs'!$H$8,'Dept. Cost Actuals'!#REF!)</f>
        <v>0</v>
      </c>
      <c r="BU19" s="684">
        <f>IF(BU$4="forecast",BU$8*'Direct People Department Costs'!$H$8,'Dept. Cost Actuals'!#REF!)</f>
        <v>0</v>
      </c>
      <c r="BV19" s="808">
        <f>IF(BV$4="forecast",BV$8*'Direct People Department Costs'!$H$8,'Dept. Cost Actuals'!#REF!)</f>
        <v>0</v>
      </c>
    </row>
    <row r="20" spans="2:74" x14ac:dyDescent="0.35">
      <c r="B20" s="812" t="s">
        <v>925</v>
      </c>
      <c r="C20" s="684">
        <f>IF(C$4="forecast",C$8*'Direct People Department Costs'!$H$9,'Dept. Cost Actuals'!G496)</f>
        <v>284.77944363416213</v>
      </c>
      <c r="D20" s="684">
        <f>IF(D$4="forecast",D$8*'Direct People Department Costs'!$H$9,'Dept. Cost Actuals'!H496)</f>
        <v>45.578906960820568</v>
      </c>
      <c r="E20" s="684">
        <f>IF(E$4="forecast",E$8*'Direct People Department Costs'!$H$9,'Dept. Cost Actuals'!I496)</f>
        <v>36.345817700261549</v>
      </c>
      <c r="F20" s="684">
        <f>IF(F$4="forecast",F$8*'Direct People Department Costs'!$H$9,'Dept. Cost Actuals'!J496)</f>
        <v>3954.0683445792706</v>
      </c>
      <c r="G20" s="684">
        <f>IF(G$4="forecast",G$8*'Direct People Department Costs'!$H$9,'Dept. Cost Actuals'!K496)</f>
        <v>170.53019257797948</v>
      </c>
      <c r="H20" s="684">
        <f>IF(H$4="forecast",H$8*'Direct People Department Costs'!$H$9,'Dept. Cost Actuals'!L496)</f>
        <v>2876.6241612598556</v>
      </c>
      <c r="I20" s="684">
        <f>IF(I$4="forecast",I$8*'Direct People Department Costs'!$H$9,'Dept. Cost Actuals'!M496)</f>
        <v>3996.6512989751841</v>
      </c>
      <c r="J20" s="684">
        <f>IF(J$4="forecast",J$8*'Direct People Department Costs'!$H$9,'Dept. Cost Actuals'!N496)</f>
        <v>5072.4053966338033</v>
      </c>
      <c r="K20" s="684">
        <f>IF(K$4="forecast",K$8*'Direct People Department Costs'!$H$9,'Dept. Cost Actuals'!O496)</f>
        <v>34.837241077225869</v>
      </c>
      <c r="L20" s="684">
        <f>IF(L$4="forecast",L$8*'Direct People Department Costs'!$H$9,'Dept. Cost Actuals'!P496)</f>
        <v>3049.0058019342564</v>
      </c>
      <c r="M20" s="684">
        <f>IF(M$4="forecast",M$8*'Direct People Department Costs'!$H$9,'Dept. Cost Actuals'!Q496)</f>
        <v>0</v>
      </c>
      <c r="N20" s="684">
        <f>IF(N$4="forecast",N$8*'Direct People Department Costs'!$H$9,'Dept. Cost Actuals'!R496)</f>
        <v>0</v>
      </c>
      <c r="O20" s="684">
        <f>IF(O$4="forecast",O$8*'Direct People Department Costs'!$H$9,'Dept. Cost Actuals'!S496)</f>
        <v>575</v>
      </c>
      <c r="P20" s="684">
        <f>IF(P$4="forecast",P$8*'Direct People Department Costs'!$H$9,'Dept. Cost Actuals'!T496)</f>
        <v>0</v>
      </c>
      <c r="Q20" s="684">
        <f>IF(Q$4="forecast",Q$8*'Direct People Department Costs'!$H$9,'Dept. Cost Actuals'!U496)</f>
        <v>19550</v>
      </c>
      <c r="R20" s="684">
        <f>IF(R$4="forecast",R$8*'Direct People Department Costs'!$H$9,'Dept. Cost Actuals'!V496)</f>
        <v>0</v>
      </c>
      <c r="S20" s="684">
        <f>IF(S$4="forecast",S$8*'Direct People Department Costs'!$H$9,'Dept. Cost Actuals'!W496)</f>
        <v>0</v>
      </c>
      <c r="T20" s="684">
        <f>IF(T$4="forecast",T$8*'Direct People Department Costs'!$H$9,'Dept. Cost Actuals'!X496)</f>
        <v>0</v>
      </c>
      <c r="U20" s="684">
        <f>IF(U$4="forecast",U$8*'Direct People Department Costs'!$H$9,'Dept. Cost Actuals'!Y496)</f>
        <v>0</v>
      </c>
      <c r="V20" s="684">
        <f>IF(V$4="forecast",V$8*'Direct People Department Costs'!$H$9,'Dept. Cost Actuals'!Z496)</f>
        <v>1557</v>
      </c>
      <c r="W20" s="684">
        <f>IF(W$4="forecast",W$8*'Direct People Department Costs'!$H$9,'Dept. Cost Actuals'!AA496)</f>
        <v>1166.9000000000001</v>
      </c>
      <c r="X20" s="684">
        <f>IF(X$4="forecast",X$8*'Direct People Department Costs'!$H$9,'Dept. Cost Actuals'!AB496)</f>
        <v>500</v>
      </c>
      <c r="Y20" s="684">
        <f>IF(Y$4="forecast",Y$8*'Direct People Department Costs'!$H$9,'Dept. Cost Actuals'!AC496)</f>
        <v>0</v>
      </c>
      <c r="Z20" s="684">
        <f>IF(Z$4="forecast",Z$8*'Direct People Department Costs'!$H$9,'Dept. Cost Actuals'!AD496)</f>
        <v>0</v>
      </c>
      <c r="AA20" s="684">
        <f>IF(AA$4="forecast",AA$8*'Direct People Department Costs'!$H$9+24000,'Dept. Cost Actuals'!AE496)</f>
        <v>24000</v>
      </c>
      <c r="AB20" s="684">
        <f>IF(AB$4="forecast",AB$8*'Direct People Department Costs'!$H$31+7500,'Dept. Cost Actuals'!AF496)</f>
        <v>7500</v>
      </c>
      <c r="AC20" s="684">
        <f>IF(AC$4="forecast",AC$8*'Direct People Department Costs'!$H$31,'Dept. Cost Actuals'!AG496)</f>
        <v>0</v>
      </c>
      <c r="AD20" s="684">
        <f>IF(AD$4="forecast",AD$8*'Direct People Department Costs'!$H$31+5000,'Dept. Cost Actuals'!AH496)</f>
        <v>5000</v>
      </c>
      <c r="AE20" s="684">
        <f>IF(AE$4="forecast",AE$8*'Direct People Department Costs'!$H$31,'Dept. Cost Actuals'!AI496)</f>
        <v>0</v>
      </c>
      <c r="AF20" s="684">
        <f>IF(AF$4="forecast",AF$8*'Direct People Department Costs'!$H$31,'Dept. Cost Actuals'!AJ496)</f>
        <v>0</v>
      </c>
      <c r="AG20" s="684">
        <f>IF(AG$4="forecast",AG$8*'Direct People Department Costs'!$H$31,'Dept. Cost Actuals'!AK496)</f>
        <v>40000</v>
      </c>
      <c r="AH20" s="684">
        <f>IF(AH$4="forecast",AH$8*'Direct People Department Costs'!$H$31,'Dept. Cost Actuals'!AL496)</f>
        <v>0</v>
      </c>
      <c r="AI20" s="684">
        <f>IF(AI$4="forecast",AI$8*'Direct People Department Costs'!$H$31,'Dept. Cost Actuals'!AM496)</f>
        <v>0</v>
      </c>
      <c r="AJ20" s="684">
        <f>IF(AJ$4="forecast",AJ$8*'Direct People Department Costs'!$H$31,'Dept. Cost Actuals'!AN496)</f>
        <v>20000</v>
      </c>
      <c r="AK20" s="684">
        <f>IF(AK$4="forecast",AK$8*'Direct People Department Costs'!$H$31,'Dept. Cost Actuals'!AO496)</f>
        <v>0</v>
      </c>
      <c r="AL20" s="684">
        <f>IF(AL$4="forecast",AL$8*'Direct People Department Costs'!$H$31,'Dept. Cost Actuals'!AP496)</f>
        <v>0</v>
      </c>
      <c r="AM20" s="684">
        <f>IF(AM$4="forecast",AM$8*'Direct People Department Costs'!$H$31,'Dept. Cost Actuals'!AQ496)</f>
        <v>0</v>
      </c>
      <c r="AN20" s="684">
        <f>IF(AN$4="forecast",AN$8*'Direct People Department Costs'!$H$31,'Dept. Cost Actuals'!AR496)</f>
        <v>0</v>
      </c>
      <c r="AO20" s="684">
        <f>IF(AO$4="forecast",AO$8*'Direct People Department Costs'!$H$31,'Dept. Cost Actuals'!AS496)</f>
        <v>0</v>
      </c>
      <c r="AP20" s="684">
        <f>IF(AP$4="forecast",AP$8*'Direct People Department Costs'!$H$31,'Dept. Cost Actuals'!AT496)</f>
        <v>0</v>
      </c>
      <c r="AQ20" s="684">
        <f>IF(AQ$4="forecast",AQ$8*'Direct People Department Costs'!$H$31,'Dept. Cost Actuals'!AU496)</f>
        <v>0</v>
      </c>
      <c r="AR20" s="684">
        <f>IF(AR$4="forecast",AR$8*'Direct People Department Costs'!$H$31,'Dept. Cost Actuals'!AV496)</f>
        <v>0</v>
      </c>
      <c r="AS20" s="684">
        <f>IF(AS$4="forecast",AS$8*'Direct People Department Costs'!$H$31,'Dept. Cost Actuals'!AW496)</f>
        <v>0</v>
      </c>
      <c r="AT20" s="684">
        <f>IF(AT$4="forecast",AT$8*'Direct People Department Costs'!$H$31,'Dept. Cost Actuals'!AX496)</f>
        <v>0</v>
      </c>
      <c r="AU20" s="684">
        <f>IF(AU$4="forecast",AU$8*'Direct People Department Costs'!$H$31,'Dept. Cost Actuals'!AY496)</f>
        <v>0</v>
      </c>
      <c r="AV20" s="684">
        <f>IF(AV$4="forecast",AV$8*'Direct People Department Costs'!$H$31,'Dept. Cost Actuals'!AZ496)</f>
        <v>0</v>
      </c>
      <c r="AW20" s="684">
        <f>IF(AW$4="forecast",AW$8*'Direct People Department Costs'!$H$31,'Dept. Cost Actuals'!BA496)</f>
        <v>0</v>
      </c>
      <c r="AX20" s="684">
        <f>IF(AX$4="forecast",AX$8*'Direct People Department Costs'!$H$31,'Dept. Cost Actuals'!BB496)</f>
        <v>0</v>
      </c>
      <c r="AY20" s="684">
        <f>IF(AY$4="forecast",AY$8*'Direct People Department Costs'!$H$31,'Dept. Cost Actuals'!BC496)</f>
        <v>0</v>
      </c>
      <c r="AZ20" s="684">
        <f>IF(AZ$4="forecast",AZ$8*'Direct People Department Costs'!$H$31,'Dept. Cost Actuals'!BD496)</f>
        <v>0</v>
      </c>
      <c r="BA20" s="684">
        <f>IF(BA$4="forecast",BA$8*'Direct People Department Costs'!$H$31,'Dept. Cost Actuals'!BE496)</f>
        <v>0</v>
      </c>
      <c r="BB20" s="684">
        <f>IF(BB$4="forecast",BB$8*'Direct People Department Costs'!$H$31,'Dept. Cost Actuals'!BF496)</f>
        <v>0</v>
      </c>
      <c r="BC20" s="684">
        <f>IF(BC$4="forecast",BC$8*'Direct People Department Costs'!$H$31,'Dept. Cost Actuals'!BG496)</f>
        <v>0</v>
      </c>
      <c r="BD20" s="684">
        <f>IF(BD$4="forecast",BD$8*'Direct People Department Costs'!$H$31,'Dept. Cost Actuals'!BH496)</f>
        <v>0</v>
      </c>
      <c r="BE20" s="684">
        <f>IF(BE$4="forecast",BE$8*'Direct People Department Costs'!$H$31,'Dept. Cost Actuals'!BI496)</f>
        <v>0</v>
      </c>
      <c r="BF20" s="684">
        <f>IF(BF$4="forecast",BF$8*'Direct People Department Costs'!$H$31,'Dept. Cost Actuals'!BJ496)</f>
        <v>0</v>
      </c>
      <c r="BG20" s="684">
        <f>IF(BG$4="forecast",BG$8*'Direct People Department Costs'!$H$31,'Dept. Cost Actuals'!BK496)</f>
        <v>0</v>
      </c>
      <c r="BH20" s="684">
        <f>IF(BH$4="forecast",BH$8*'Direct People Department Costs'!$H$31,'Dept. Cost Actuals'!BL496)</f>
        <v>0</v>
      </c>
      <c r="BI20" s="684">
        <f>IF(BI$4="forecast",BI$8*'Direct People Department Costs'!$H$31,'Dept. Cost Actuals'!BM496)</f>
        <v>0</v>
      </c>
      <c r="BJ20" s="684">
        <f>IF(BJ$4="forecast",BJ$8*'Direct People Department Costs'!$H$31,'Dept. Cost Actuals'!BN496)</f>
        <v>0</v>
      </c>
      <c r="BK20" s="684">
        <f>IF(BK$4="forecast",BK$8*'Direct People Department Costs'!$H$31,'Dept. Cost Actuals'!BO496)</f>
        <v>0</v>
      </c>
      <c r="BL20" s="684">
        <f>IF(BL$4="forecast",BL$8*'Direct People Department Costs'!$H$31,'Dept. Cost Actuals'!BP496)</f>
        <v>0</v>
      </c>
      <c r="BM20" s="684">
        <f>IF(BM$4="forecast",BM$8*'Direct People Department Costs'!$H$31,'Dept. Cost Actuals'!BQ496)</f>
        <v>0</v>
      </c>
      <c r="BN20" s="684">
        <f>IF(BN$4="forecast",BN$8*'Direct People Department Costs'!$H$31,'Dept. Cost Actuals'!BR496)</f>
        <v>0</v>
      </c>
      <c r="BO20" s="684">
        <f>IF(BO$4="forecast",BO$8*'Direct People Department Costs'!$H$31,'Dept. Cost Actuals'!BS496)</f>
        <v>0</v>
      </c>
      <c r="BP20" s="684">
        <f>IF(BP$4="forecast",BP$8*'Direct People Department Costs'!$H$31,'Dept. Cost Actuals'!BT496)</f>
        <v>0</v>
      </c>
      <c r="BQ20" s="684">
        <f>IF(BQ$4="forecast",BQ$8*'Direct People Department Costs'!$H$31,'Dept. Cost Actuals'!BU496)</f>
        <v>0</v>
      </c>
      <c r="BR20" s="684">
        <f>IF(BR$4="forecast",BR$8*'Direct People Department Costs'!$H$31,'Dept. Cost Actuals'!BV496)</f>
        <v>0</v>
      </c>
      <c r="BS20" s="684">
        <f>IF(BS$4="forecast",BS$8*'Direct People Department Costs'!$H$31,'Dept. Cost Actuals'!BW496)</f>
        <v>0</v>
      </c>
      <c r="BT20" s="684">
        <f>IF(BT$4="forecast",BT$8*'Direct People Department Costs'!$H$31,'Dept. Cost Actuals'!BX496)</f>
        <v>0</v>
      </c>
      <c r="BU20" s="684">
        <f>IF(BU$4="forecast",BU$8*'Direct People Department Costs'!$H$31,'Dept. Cost Actuals'!BY496)</f>
        <v>0</v>
      </c>
      <c r="BV20" s="684">
        <f>IF(BV$4="forecast",BV$8*'Direct People Department Costs'!$H$31,'Dept. Cost Actuals'!BZ496)</f>
        <v>0</v>
      </c>
    </row>
    <row r="21" spans="2:74" x14ac:dyDescent="0.35">
      <c r="B21" s="812" t="s">
        <v>433</v>
      </c>
      <c r="C21" s="684">
        <f>IF(C$4="forecast","Month Limit",'Dept. Cost Actuals'!G451)</f>
        <v>111.24657689588867</v>
      </c>
      <c r="D21" s="684">
        <f>IF(D$4="forecast","Month Limit",'Dept. Cost Actuals'!H451)</f>
        <v>310.23786789748925</v>
      </c>
      <c r="E21" s="684">
        <f>IF(E$4="forecast","Month Limit",'Dept. Cost Actuals'!I451)</f>
        <v>278.19331173231518</v>
      </c>
      <c r="F21" s="684">
        <f>IF(F$4="forecast","Month Limit",'Dept. Cost Actuals'!J451)</f>
        <v>682.97162386959712</v>
      </c>
      <c r="G21" s="684">
        <f>IF(G$4="forecast","Month Limit",'Dept. Cost Actuals'!K451)</f>
        <v>504.40643030020044</v>
      </c>
      <c r="H21" s="684">
        <f>IF(H$4="forecast","Month Limit",'Dept. Cost Actuals'!L451)</f>
        <v>561.68373186851807</v>
      </c>
      <c r="I21" s="684">
        <f>IF(I$4="forecast","Month Limit",'Dept. Cost Actuals'!M451)</f>
        <v>381.54693317346693</v>
      </c>
      <c r="J21" s="684">
        <f>IF(J$4="forecast","Month Limit",'Dept. Cost Actuals'!N451)</f>
        <v>1060.8412692608422</v>
      </c>
      <c r="K21" s="684">
        <f>IF(K$4="forecast","Month Limit",'Dept. Cost Actuals'!O451)</f>
        <v>2133.1895171561737</v>
      </c>
      <c r="L21" s="684">
        <f>IF(L$4="forecast","Month Limit",'Dept. Cost Actuals'!P451)</f>
        <v>1560.6073788224332</v>
      </c>
      <c r="M21" s="684">
        <f>IF(M$4="forecast","Month Limit",'Dept. Cost Actuals'!Q451)</f>
        <v>697.21280793559595</v>
      </c>
      <c r="N21" s="684">
        <f>IF(N$4="forecast","Month Limit",'Dept. Cost Actuals'!R451)</f>
        <v>195.41037126893255</v>
      </c>
      <c r="O21" s="684">
        <f>IF(O$4="forecast",(AVERAGE(C21:N21)),'Dept. Cost Actuals'!S451)</f>
        <v>3620.4</v>
      </c>
      <c r="P21" s="684">
        <f>IF(P$4="forecast",(AVERAGE(D21:O21)),'Dept. Cost Actuals'!T451)</f>
        <v>6180.12</v>
      </c>
      <c r="Q21" s="684">
        <f>IF(Q$4="forecast",(AVERAGE(E21:P21)),'Dept. Cost Actuals'!U451)</f>
        <v>635.97</v>
      </c>
      <c r="R21" s="684">
        <f>IF(R$4="forecast",(AVERAGE(F21:Q21)),'Dept. Cost Actuals'!V451)</f>
        <v>13565.36</v>
      </c>
      <c r="S21" s="684">
        <f>IF(S$4="forecast",(AVERAGE(G21:R21)),'Dept. Cost Actuals'!W451)</f>
        <v>2247.19</v>
      </c>
      <c r="T21" s="684">
        <f>IF(T$4="forecast",(AVERAGE(H21:S21)),'Dept. Cost Actuals'!X451)</f>
        <v>2060.0500000000002</v>
      </c>
      <c r="U21" s="684">
        <f>IF(U$4="forecast",(AVERAGE(I21:T21)),'Dept. Cost Actuals'!Y451)</f>
        <v>1426.5</v>
      </c>
      <c r="V21" s="684">
        <f>IF(V$4="forecast",(AVERAGE(J21:U21)),'Dept. Cost Actuals'!Z451)</f>
        <v>2824.62</v>
      </c>
      <c r="W21" s="684">
        <f>IF(W$4="forecast",(AVERAGE(K21:V21)),'Dept. Cost Actuals'!AA451)</f>
        <v>4415.6000000000004</v>
      </c>
      <c r="X21" s="684">
        <f>IF(X$4="forecast",(AVERAGE(L21:W21)),'Dept. Cost Actuals'!AB451)</f>
        <v>5955</v>
      </c>
      <c r="Y21" s="684">
        <f>IF(Y$4="forecast",(AVERAGE(M21:X21)),'Dept. Cost Actuals'!AC451)</f>
        <v>101.34</v>
      </c>
      <c r="Z21" s="684">
        <f>IF(Z$4="forecast",(AVERAGE(N21:Y21)),'Dept. Cost Actuals'!AD451)</f>
        <v>1013.4</v>
      </c>
      <c r="AA21" s="684">
        <f>IF(AA$4="forecast",120000/12,'Dept. Cost Actuals'!AE451)</f>
        <v>10000</v>
      </c>
      <c r="AB21" s="684">
        <f>IF(AB$4="forecast",120000/12,'Dept. Cost Actuals'!AF451)</f>
        <v>10000</v>
      </c>
      <c r="AC21" s="684">
        <f>IF(AC$4="forecast",120000/12,'Dept. Cost Actuals'!AG451)</f>
        <v>10000</v>
      </c>
      <c r="AD21" s="684">
        <f>IF(AD$4="forecast",120000/12,'Dept. Cost Actuals'!AH451)</f>
        <v>10000</v>
      </c>
      <c r="AE21" s="684">
        <f>IF(AE$4="forecast",120000/12,'Dept. Cost Actuals'!AI451)</f>
        <v>10000</v>
      </c>
      <c r="AF21" s="684">
        <f>IF(AF$4="forecast",120000/12,'Dept. Cost Actuals'!AJ451)</f>
        <v>10000</v>
      </c>
      <c r="AG21" s="684">
        <f>IF(AG$4="forecast",120000/12,'Dept. Cost Actuals'!AK451)</f>
        <v>10000</v>
      </c>
      <c r="AH21" s="684">
        <f>IF(AH$4="forecast",120000/12,'Dept. Cost Actuals'!AL451)</f>
        <v>10000</v>
      </c>
      <c r="AI21" s="684">
        <f>IF(AI$4="forecast",120000/12,'Dept. Cost Actuals'!AM451)</f>
        <v>10000</v>
      </c>
      <c r="AJ21" s="684">
        <f>IF(AJ$4="forecast",120000/12,'Dept. Cost Actuals'!AN451)</f>
        <v>10000</v>
      </c>
      <c r="AK21" s="684">
        <f>IF(AK$4="forecast",120000/12,'Dept. Cost Actuals'!AO451)</f>
        <v>10000</v>
      </c>
      <c r="AL21" s="684">
        <f>IF(AL$4="forecast",120000/12,'Dept. Cost Actuals'!AP451)</f>
        <v>10000</v>
      </c>
      <c r="AM21" s="684">
        <f>IF(AM$4="forecast",(AVERAGE(AA21:AL21)),'Dept. Cost Actuals'!AQ451)</f>
        <v>10000</v>
      </c>
      <c r="AN21" s="684">
        <f>IF(AN$4="forecast",(AVERAGE(AB21:AM21)),'Dept. Cost Actuals'!AR451)</f>
        <v>10000</v>
      </c>
      <c r="AO21" s="684">
        <f>IF(AO$4="forecast",(AVERAGE(AC21:AN21)),'Dept. Cost Actuals'!AS451)</f>
        <v>10000</v>
      </c>
      <c r="AP21" s="684">
        <f>IF(AP$4="forecast",(AVERAGE(AD21:AO21)),'Dept. Cost Actuals'!AT451)</f>
        <v>10000</v>
      </c>
      <c r="AQ21" s="684">
        <f>IF(AQ$4="forecast",(AVERAGE(AE21:AP21)),'Dept. Cost Actuals'!AU451)</f>
        <v>10000</v>
      </c>
      <c r="AR21" s="684">
        <f>IF(AR$4="forecast",(AVERAGE(AF21:AQ21)),'Dept. Cost Actuals'!AV451)</f>
        <v>10000</v>
      </c>
      <c r="AS21" s="684">
        <f>IF(AS$4="forecast",(AVERAGE(AG21:AR21)),'Dept. Cost Actuals'!AW451)</f>
        <v>10000</v>
      </c>
      <c r="AT21" s="684">
        <f>IF(AT$4="forecast",(AVERAGE(AH21:AS21)),'Dept. Cost Actuals'!AX451)</f>
        <v>10000</v>
      </c>
      <c r="AU21" s="684">
        <f>IF(AU$4="forecast",(AVERAGE(AI21:AT21)),'Dept. Cost Actuals'!AY451)</f>
        <v>10000</v>
      </c>
      <c r="AV21" s="684">
        <f>IF(AV$4="forecast",(AVERAGE(AJ21:AU21)),'Dept. Cost Actuals'!AZ451)</f>
        <v>10000</v>
      </c>
      <c r="AW21" s="684">
        <f>IF(AW$4="forecast",(AVERAGE(AK21:AV21)),'Dept. Cost Actuals'!BA451)</f>
        <v>10000</v>
      </c>
      <c r="AX21" s="684">
        <f>IF(AX$4="forecast",(AVERAGE(AL21:AW21)),'Dept. Cost Actuals'!BB451)</f>
        <v>10000</v>
      </c>
      <c r="AY21" s="684">
        <f>IF(AY$4="forecast",(AVERAGE(AM21:AX21)),'Dept. Cost Actuals'!BC451)</f>
        <v>10000</v>
      </c>
      <c r="AZ21" s="684">
        <f>IF(AZ$4="forecast",(AVERAGE(AN21:AY21)),'Dept. Cost Actuals'!BD451)</f>
        <v>10000</v>
      </c>
      <c r="BA21" s="684">
        <f>IF(BA$4="forecast",(AVERAGE(AO21:AZ21)),'Dept. Cost Actuals'!BE451)</f>
        <v>10000</v>
      </c>
      <c r="BB21" s="684">
        <f>IF(BB$4="forecast",(AVERAGE(AP21:BA21)),'Dept. Cost Actuals'!BF451)</f>
        <v>10000</v>
      </c>
      <c r="BC21" s="684">
        <f>IF(BC$4="forecast",(AVERAGE(AQ21:BB21)),'Dept. Cost Actuals'!BG451)</f>
        <v>10000</v>
      </c>
      <c r="BD21" s="684">
        <f>IF(BD$4="forecast",(AVERAGE(AR21:BC21)),'Dept. Cost Actuals'!BH451)</f>
        <v>10000</v>
      </c>
      <c r="BE21" s="684">
        <f>IF(BE$4="forecast",(AVERAGE(AS21:BD21)),'Dept. Cost Actuals'!BI451)</f>
        <v>10000</v>
      </c>
      <c r="BF21" s="684">
        <f>IF(BF$4="forecast",(AVERAGE(AT21:BE21)),'Dept. Cost Actuals'!BJ451)</f>
        <v>10000</v>
      </c>
      <c r="BG21" s="684">
        <f>IF(BG$4="forecast",(AVERAGE(AU21:BF21)),'Dept. Cost Actuals'!BK451)</f>
        <v>10000</v>
      </c>
      <c r="BH21" s="684">
        <f>IF(BH$4="forecast",(AVERAGE(AV21:BG21)),'Dept. Cost Actuals'!BL451)</f>
        <v>10000</v>
      </c>
      <c r="BI21" s="684">
        <f>IF(BI$4="forecast",(AVERAGE(AW21:BH21)),'Dept. Cost Actuals'!BM451)</f>
        <v>10000</v>
      </c>
      <c r="BJ21" s="684">
        <f>IF(BJ$4="forecast",(AVERAGE(AX21:BI21)),'Dept. Cost Actuals'!BN451)</f>
        <v>10000</v>
      </c>
      <c r="BK21" s="684">
        <f>IF(BK$4="forecast",(AVERAGE(AY21:BJ21)),'Dept. Cost Actuals'!BO451)</f>
        <v>10000</v>
      </c>
      <c r="BL21" s="684">
        <f>IF(BL$4="forecast",(AVERAGE(AZ21:BK21)),'Dept. Cost Actuals'!#REF!)</f>
        <v>10000</v>
      </c>
      <c r="BM21" s="684">
        <f>IF(BM$4="forecast",(AVERAGE(BA21:BL21)),'Dept. Cost Actuals'!#REF!)</f>
        <v>10000</v>
      </c>
      <c r="BN21" s="684">
        <f>IF(BN$4="forecast",(AVERAGE(BB21:BM21)),'Dept. Cost Actuals'!#REF!)</f>
        <v>10000</v>
      </c>
      <c r="BO21" s="684">
        <f>IF(BO$4="forecast",(AVERAGE(BC21:BN21)),'Dept. Cost Actuals'!#REF!)</f>
        <v>10000</v>
      </c>
      <c r="BP21" s="684">
        <f>IF(BP$4="forecast",(AVERAGE(BD21:BO21)),'Dept. Cost Actuals'!#REF!)</f>
        <v>10000</v>
      </c>
      <c r="BQ21" s="684">
        <f>IF(BQ$4="forecast",(AVERAGE(BE21:BP21)),'Dept. Cost Actuals'!#REF!)</f>
        <v>10000</v>
      </c>
      <c r="BR21" s="684">
        <f>IF(BR$4="forecast",(AVERAGE(BF21:BQ21)),'Dept. Cost Actuals'!#REF!)</f>
        <v>10000</v>
      </c>
      <c r="BS21" s="684">
        <f>IF(BS$4="forecast",(AVERAGE(BG21:BR21)),'Dept. Cost Actuals'!#REF!)</f>
        <v>10000</v>
      </c>
      <c r="BT21" s="684">
        <f>IF(BT$4="forecast",(AVERAGE(BH21:BS21)),'Dept. Cost Actuals'!#REF!)</f>
        <v>10000</v>
      </c>
      <c r="BU21" s="684">
        <f>IF(BU$4="forecast",(AVERAGE(BI21:BT21)),'Dept. Cost Actuals'!#REF!)</f>
        <v>10000</v>
      </c>
      <c r="BV21" s="808">
        <f>IF(BV$4="forecast",(AVERAGE(BJ21:BU21)),'Dept. Cost Actuals'!#REF!)</f>
        <v>10000</v>
      </c>
    </row>
    <row r="22" spans="2:74" x14ac:dyDescent="0.35">
      <c r="B22" s="812" t="s">
        <v>942</v>
      </c>
      <c r="C22" s="684">
        <f>IF(C$4="forecast",(AVERAGE(#REF!)),'Dept. Cost Actuals'!G420)</f>
        <v>304.4426266305021</v>
      </c>
      <c r="D22" s="684">
        <f>IF(D$4="forecast",(AVERAGE(#REF!)),'Dept. Cost Actuals'!H420)</f>
        <v>160.57976678061894</v>
      </c>
      <c r="E22" s="684">
        <f>IF(E$4="forecast",(AVERAGE(#REF!)),'Dept. Cost Actuals'!I420)</f>
        <v>221.92029371425696</v>
      </c>
      <c r="F22" s="684">
        <f>IF(F$4="forecast",(AVERAGE(#REF!)),'Dept. Cost Actuals'!J420)</f>
        <v>351.62574187244627</v>
      </c>
      <c r="G22" s="684">
        <f>IF(G$4="forecast",(AVERAGE(#REF!)),'Dept. Cost Actuals'!K420)</f>
        <v>445.84185759779763</v>
      </c>
      <c r="H22" s="684">
        <f>IF(H$4="forecast",(AVERAGE(#REF!)),'Dept. Cost Actuals'!L420)</f>
        <v>690.34191265521838</v>
      </c>
      <c r="I22" s="684">
        <f>IF(I$4="forecast",(AVERAGE(#REF!)),'Dept. Cost Actuals'!M420)</f>
        <v>755.93976806544742</v>
      </c>
      <c r="J22" s="684">
        <f>IF(J$4="forecast",(AVERAGE(#REF!)),'Dept. Cost Actuals'!N420)</f>
        <v>584.48937922277253</v>
      </c>
      <c r="K22" s="684">
        <f>IF(K$4="forecast",(AVERAGE(#REF!)),'Dept. Cost Actuals'!O420)</f>
        <v>984.20645112808234</v>
      </c>
      <c r="L22" s="684">
        <f>IF(L$4="forecast",(AVERAGE(#REF!)),'Dept. Cost Actuals'!P420)</f>
        <v>883.10419890229639</v>
      </c>
      <c r="M22" s="684">
        <f>IF(M$4="forecast",(AVERAGE(A22:L22)),'Dept. Cost Actuals'!Q420)</f>
        <v>271.04885618884373</v>
      </c>
      <c r="N22" s="684">
        <f>IF(N$4="forecast",(AVERAGE(B22:M22)),'Dept. Cost Actuals'!R420)</f>
        <v>64.764339013570037</v>
      </c>
      <c r="O22" s="684">
        <f>IF(O$4="forecast",(AVERAGE(C22:N22)),'Dept. Cost Actuals'!S420)</f>
        <v>839.45</v>
      </c>
      <c r="P22" s="684">
        <f>IF(P$4="forecast",(AVERAGE(D22:O22)),'Dept. Cost Actuals'!T420)</f>
        <v>1700.66</v>
      </c>
      <c r="Q22" s="684">
        <f>IF(Q$4="forecast",(AVERAGE(E22:P22)),'Dept. Cost Actuals'!U420)</f>
        <v>97.11</v>
      </c>
      <c r="R22" s="684">
        <f>IF(R$4="forecast",(AVERAGE(F22:Q22)),'Dept. Cost Actuals'!V420)</f>
        <v>1527.89</v>
      </c>
      <c r="S22" s="684">
        <f>IF(S$4="forecast",(AVERAGE(G22:R22)),'Dept. Cost Actuals'!W420)</f>
        <v>1410.19</v>
      </c>
      <c r="T22" s="684">
        <f>IF(T$4="forecast",(AVERAGE(H22:S22)),'Dept. Cost Actuals'!X420)</f>
        <v>155.78</v>
      </c>
      <c r="U22" s="684">
        <f>IF(U$4="forecast",(AVERAGE(I22:T22)),'Dept. Cost Actuals'!Y420)</f>
        <v>635.14</v>
      </c>
      <c r="V22" s="684">
        <f>IF(V$4="forecast",(AVERAGE(J22:U22)),'Dept. Cost Actuals'!Z420)</f>
        <v>0</v>
      </c>
      <c r="W22" s="684">
        <f>IF(W$4="forecast",(AVERAGE(K22:V22)),'Dept. Cost Actuals'!AA420)</f>
        <v>1108.6300000000001</v>
      </c>
      <c r="X22" s="684">
        <f>IF(X$4="forecast",(AVERAGE(L22:W22)),'Dept. Cost Actuals'!AB420)</f>
        <v>4068.05</v>
      </c>
      <c r="Y22" s="684">
        <f>IF(Y$4="forecast",(AVERAGE(M22:X22)),'Dept. Cost Actuals'!AC420)</f>
        <v>395.27</v>
      </c>
      <c r="Z22" s="684">
        <f>IF(Z$4="forecast",(AVERAGE(N22:Y22)),'Dept. Cost Actuals'!AD420)</f>
        <v>17.760000000000002</v>
      </c>
      <c r="AA22" s="684">
        <f>IF(AA$4="forecast",(AVERAGE(O22:Z22)),'Dept. Cost Actuals'!AE420)</f>
        <v>996.32750000000021</v>
      </c>
      <c r="AB22" s="684">
        <f>IF(AB$4="forecast",(AVERAGE(P22:AA22)),'Dept. Cost Actuals'!AF420)</f>
        <v>1009.4006250000001</v>
      </c>
      <c r="AC22" s="684">
        <f>IF(AC$4="forecast",(AVERAGE(Q22:AB22)),'Dept. Cost Actuals'!AG420)</f>
        <v>951.79567708333343</v>
      </c>
      <c r="AD22" s="684">
        <f>IF(AD$4="forecast",(AVERAGE(R22:AC22)),'Dept. Cost Actuals'!AH420)</f>
        <v>1023.0194835069445</v>
      </c>
      <c r="AE22" s="684">
        <f>IF(AE$4="forecast",(AVERAGE(S22:AD22)),'Dept. Cost Actuals'!AI420)</f>
        <v>980.94694046585664</v>
      </c>
      <c r="AF22" s="684">
        <f>IF(AF$4="forecast",(AVERAGE(T22:AE22)),'Dept. Cost Actuals'!AJ420)</f>
        <v>945.17668550467806</v>
      </c>
      <c r="AG22" s="684">
        <f>IF(AG$4="forecast",(AVERAGE(U22:AF22)),'Dept. Cost Actuals'!AK420)</f>
        <v>1010.9597426300676</v>
      </c>
      <c r="AH22" s="684">
        <f>IF(AH$4="forecast",(AVERAGE(V22:AG22)),'Dept. Cost Actuals'!AL420)</f>
        <v>1042.2780545159067</v>
      </c>
      <c r="AI22" s="684">
        <f>IF(AI$4="forecast",(AVERAGE(W22:AH22)),'Dept. Cost Actuals'!AM420)</f>
        <v>1129.134559058899</v>
      </c>
      <c r="AJ22" s="684">
        <f>IF(AJ$4="forecast",(AVERAGE(X22:AI22)),'Dept. Cost Actuals'!AN420)</f>
        <v>1130.8432723138071</v>
      </c>
      <c r="AK22" s="684">
        <f>IF(AK$4="forecast",(AVERAGE(Y22:AJ22)),'Dept. Cost Actuals'!AO420)</f>
        <v>886.07604500662444</v>
      </c>
      <c r="AL22" s="684">
        <f>IF(AL$4="forecast",(AVERAGE(Z22:AK22)),'Dept. Cost Actuals'!AP420)</f>
        <v>926.9765487571766</v>
      </c>
      <c r="AM22" s="684">
        <f>IF(AM$4="forecast",(AVERAGE(AA22:AL22)),'Dept. Cost Actuals'!AQ420)</f>
        <v>1002.7445944869413</v>
      </c>
      <c r="AN22" s="684">
        <f>IF(AN$4="forecast",(AVERAGE(AB22:AM22)),'Dept. Cost Actuals'!AR420)</f>
        <v>1003.2793523608531</v>
      </c>
      <c r="AO22" s="684">
        <f>IF(AO$4="forecast",(AVERAGE(AC22:AN22)),'Dept. Cost Actuals'!AS420)</f>
        <v>1002.7692463075906</v>
      </c>
      <c r="AP22" s="684">
        <f>IF(AP$4="forecast",(AVERAGE(AD22:AO22)),'Dept. Cost Actuals'!AT420)</f>
        <v>1007.0170437429455</v>
      </c>
      <c r="AQ22" s="684">
        <f>IF(AQ$4="forecast",(AVERAGE(AE22:AP22)),'Dept. Cost Actuals'!AU420)</f>
        <v>1005.6835070959455</v>
      </c>
      <c r="AR22" s="684">
        <f>IF(AR$4="forecast",(AVERAGE(AF22:AQ22)),'Dept. Cost Actuals'!AV420)</f>
        <v>1007.7448876484531</v>
      </c>
      <c r="AS22" s="684">
        <f>IF(AS$4="forecast",(AVERAGE(AG22:AR22)),'Dept. Cost Actuals'!AW420)</f>
        <v>1012.9589044937676</v>
      </c>
      <c r="AT22" s="684">
        <f>IF(AT$4="forecast",(AVERAGE(AH22:AS22)),'Dept. Cost Actuals'!AX420)</f>
        <v>1013.1255013157426</v>
      </c>
      <c r="AU22" s="684">
        <f>IF(AU$4="forecast",(AVERAGE(AI22:AT22)),'Dept. Cost Actuals'!AY420)</f>
        <v>1010.6961218823955</v>
      </c>
      <c r="AV22" s="684">
        <f>IF(AV$4="forecast",(AVERAGE(AJ22:AU22)),'Dept. Cost Actuals'!AZ420)</f>
        <v>1000.826252117687</v>
      </c>
      <c r="AW22" s="684">
        <f>IF(AW$4="forecast",(AVERAGE(AK22:AV22)),'Dept. Cost Actuals'!BA420)</f>
        <v>989.99150043467705</v>
      </c>
      <c r="AX22" s="684">
        <f>IF(AX$4="forecast",(AVERAGE(AL22:AW22)),'Dept. Cost Actuals'!BB420)</f>
        <v>998.65112172034799</v>
      </c>
      <c r="AY22" s="684">
        <f>IF(AY$4="forecast",(AVERAGE(AM22:AX22)),'Dept. Cost Actuals'!BC420)</f>
        <v>1004.6240028006123</v>
      </c>
      <c r="AZ22" s="684">
        <f>IF(AZ$4="forecast",(AVERAGE(AN22:AY22)),'Dept. Cost Actuals'!BD420)</f>
        <v>1004.7806201600847</v>
      </c>
      <c r="BA22" s="684">
        <f>IF(BA$4="forecast",(AVERAGE(AO22:AZ22)),'Dept. Cost Actuals'!BE420)</f>
        <v>1004.9057258100207</v>
      </c>
      <c r="BB22" s="684">
        <f>IF(BB$4="forecast",(AVERAGE(AP22:BA22)),'Dept. Cost Actuals'!BF420)</f>
        <v>1005.0837657685565</v>
      </c>
      <c r="BC22" s="684">
        <f>IF(BC$4="forecast",(AVERAGE(AQ22:BB22)),'Dept. Cost Actuals'!BG420)</f>
        <v>1004.9226592706908</v>
      </c>
      <c r="BD22" s="684">
        <f>IF(BD$4="forecast",(AVERAGE(AR22:BC22)),'Dept. Cost Actuals'!BH420)</f>
        <v>1004.8592552852529</v>
      </c>
      <c r="BE22" s="684">
        <f>IF(BE$4="forecast",(AVERAGE(AS22:BD22)),'Dept. Cost Actuals'!BI420)</f>
        <v>1004.6187859216529</v>
      </c>
      <c r="BF22" s="684">
        <f>IF(BF$4="forecast",(AVERAGE(AT22:BE22)),'Dept. Cost Actuals'!BJ420)</f>
        <v>1003.9237760406435</v>
      </c>
      <c r="BG22" s="684">
        <f>IF(BG$4="forecast",(AVERAGE(AU22:BF22)),'Dept. Cost Actuals'!BK420)</f>
        <v>1003.1569656010519</v>
      </c>
      <c r="BH22" s="684">
        <f>IF(BH$4="forecast",(AVERAGE(AV22:BG22)),'Dept. Cost Actuals'!BL420)</f>
        <v>1002.5287025776066</v>
      </c>
      <c r="BI22" s="684">
        <f>IF(BI$4="forecast",(AVERAGE(AW22:BH22)),'Dept. Cost Actuals'!BM420)</f>
        <v>1002.6705734492666</v>
      </c>
      <c r="BJ22" s="684">
        <f>IF(BJ$4="forecast",(AVERAGE(AX22:BI22)),'Dept. Cost Actuals'!BN420)</f>
        <v>1003.7271628671491</v>
      </c>
      <c r="BK22" s="684">
        <f>IF(BK$4="forecast",(AVERAGE(AY22:BJ22)),'Dept. Cost Actuals'!BO420)</f>
        <v>1004.1501662960491</v>
      </c>
      <c r="BL22" s="684">
        <f>IF(BL$4="forecast",(AVERAGE(AZ22:BK22)),'Dept. Cost Actuals'!#REF!)</f>
        <v>1004.1106799206686</v>
      </c>
      <c r="BM22" s="684">
        <f>IF(BM$4="forecast",(AVERAGE(BA22:BL22)),'Dept. Cost Actuals'!#REF!)</f>
        <v>1004.054851567384</v>
      </c>
      <c r="BN22" s="684">
        <f>IF(BN$4="forecast",(AVERAGE(BB22:BM22)),'Dept. Cost Actuals'!#REF!)</f>
        <v>1003.9839453804976</v>
      </c>
      <c r="BO22" s="684">
        <f>IF(BO$4="forecast",(AVERAGE(BC22:BN22)),'Dept. Cost Actuals'!#REF!)</f>
        <v>1003.8922936814929</v>
      </c>
      <c r="BP22" s="684">
        <f>IF(BP$4="forecast",(AVERAGE(BD22:BO22)),'Dept. Cost Actuals'!#REF!)</f>
        <v>1003.806429882393</v>
      </c>
      <c r="BQ22" s="684">
        <f>IF(BQ$4="forecast",(AVERAGE(BE22:BP22)),'Dept. Cost Actuals'!#REF!)</f>
        <v>1003.7186944321547</v>
      </c>
      <c r="BR22" s="684">
        <f>IF(BR$4="forecast",(AVERAGE(BF22:BQ22)),'Dept. Cost Actuals'!#REF!)</f>
        <v>1003.6436868080299</v>
      </c>
      <c r="BS22" s="684">
        <f>IF(BS$4="forecast",(AVERAGE(BG22:BR22)),'Dept. Cost Actuals'!#REF!)</f>
        <v>1003.6203460386454</v>
      </c>
      <c r="BT22" s="684">
        <f>IF(BT$4="forecast",(AVERAGE(BH22:BS22)),'Dept. Cost Actuals'!#REF!)</f>
        <v>1003.6589610751115</v>
      </c>
      <c r="BU22" s="684">
        <f>IF(BU$4="forecast",(AVERAGE(BI22:BT22)),'Dept. Cost Actuals'!#REF!)</f>
        <v>1003.7531492832369</v>
      </c>
      <c r="BV22" s="808">
        <f>IF(BV$4="forecast",(AVERAGE(BJ22:BU22)),'Dept. Cost Actuals'!#REF!)</f>
        <v>1003.8433639360677</v>
      </c>
    </row>
    <row r="23" spans="2:74" x14ac:dyDescent="0.35">
      <c r="B23" s="812" t="s">
        <v>1083</v>
      </c>
      <c r="C23" s="684">
        <f>IF(C$4="forecast",(AVERAGE(#REF!)),'Dept. Cost Actuals'!G450)</f>
        <v>174.06724698838696</v>
      </c>
      <c r="D23" s="684">
        <f>IF(D$4="forecast",(AVERAGE(#REF!)),'Dept. Cost Actuals'!H450)</f>
        <v>95.374102704501041</v>
      </c>
      <c r="E23" s="684">
        <f>IF(E$4="forecast",(AVERAGE(#REF!)),'Dept. Cost Actuals'!I450)</f>
        <v>66.184522504919599</v>
      </c>
      <c r="F23" s="684">
        <f>IF(F$4="forecast",(AVERAGE(#REF!)),'Dept. Cost Actuals'!J450)</f>
        <v>27.127552183081775</v>
      </c>
      <c r="G23" s="684">
        <f>IF(G$4="forecast",(AVERAGE(#REF!)),'Dept. Cost Actuals'!K450)</f>
        <v>28.488194812932644</v>
      </c>
      <c r="H23" s="684">
        <f>IF(H$4="forecast",(AVERAGE(#REF!)),'Dept. Cost Actuals'!L450)</f>
        <v>31.660962601229642</v>
      </c>
      <c r="I23" s="684">
        <f>IF(I$4="forecast",(AVERAGE(#REF!)),'Dept. Cost Actuals'!M450)</f>
        <v>206.53780807699039</v>
      </c>
      <c r="J23" s="684">
        <f>IF(J$4="forecast",(AVERAGE(#REF!)),'Dept. Cost Actuals'!N450)</f>
        <v>38.604712006647205</v>
      </c>
      <c r="K23" s="684">
        <f>IF(K$4="forecast",(AVERAGE(#REF!)),'Dept. Cost Actuals'!O450)</f>
        <v>44.881389688614433</v>
      </c>
      <c r="L23" s="684">
        <f>IF(L$4="forecast",(AVERAGE(#REF!)),'Dept. Cost Actuals'!P450)</f>
        <v>346.49855428965691</v>
      </c>
      <c r="M23" s="684">
        <f>IF(M$4="forecast",(AVERAGE(A23:L23)),'Dept. Cost Actuals'!Q450)</f>
        <v>44.767327939326613</v>
      </c>
      <c r="N23" s="684">
        <f>IF(N$4="forecast",(AVERAGE(B23:M23)),'Dept. Cost Actuals'!R450)</f>
        <v>39.969293495838301</v>
      </c>
      <c r="O23" s="684">
        <f>IF(O$4="forecast",(AVERAGE(C23:N23)),'Dept. Cost Actuals'!S450)</f>
        <v>0</v>
      </c>
      <c r="P23" s="684">
        <f>IF(P$4="forecast",(AVERAGE(D23:O23)),'Dept. Cost Actuals'!T450)</f>
        <v>43.26</v>
      </c>
      <c r="Q23" s="684">
        <f>IF(Q$4="forecast",(AVERAGE(E23:P23)),'Dept. Cost Actuals'!U450)</f>
        <v>26.51</v>
      </c>
      <c r="R23" s="684">
        <f>IF(R$4="forecast",(AVERAGE(F23:Q23)),'Dept. Cost Actuals'!V450)</f>
        <v>0</v>
      </c>
      <c r="S23" s="684">
        <f>IF(S$4="forecast",(AVERAGE(G23:R23)),'Dept. Cost Actuals'!W450)</f>
        <v>50</v>
      </c>
      <c r="T23" s="684">
        <f>IF(T$4="forecast",(AVERAGE(H23:S23)),'Dept. Cost Actuals'!X450)</f>
        <v>0</v>
      </c>
      <c r="U23" s="684">
        <f>IF(U$4="forecast",(AVERAGE(I23:T23)),'Dept. Cost Actuals'!Y450)</f>
        <v>0</v>
      </c>
      <c r="V23" s="684">
        <f>IF(V$4="forecast",(AVERAGE(J23:U23)),'Dept. Cost Actuals'!Z450)</f>
        <v>0</v>
      </c>
      <c r="W23" s="684">
        <f>IF(W$4="forecast",(AVERAGE(K23:V23)),'Dept. Cost Actuals'!AA450)</f>
        <v>0</v>
      </c>
      <c r="X23" s="684">
        <f>IF(X$4="forecast",(AVERAGE(L23:W23)),'Dept. Cost Actuals'!AB450)</f>
        <v>0</v>
      </c>
      <c r="Y23" s="684">
        <f>IF(Y$4="forecast",(AVERAGE(M23:X23)),'Dept. Cost Actuals'!AC450)</f>
        <v>0</v>
      </c>
      <c r="Z23" s="684">
        <f>IF(Z$4="forecast",(AVERAGE(N23:Y23)),'Dept. Cost Actuals'!AD450)</f>
        <v>0</v>
      </c>
      <c r="AA23" s="684">
        <f>IF(AA$4="forecast",(AVERAGE(O23:Z23)),'Dept. Cost Actuals'!AE450)</f>
        <v>9.980833333333333</v>
      </c>
      <c r="AB23" s="684">
        <f>IF(AB$4="forecast",(AVERAGE(P23:AA23)),'Dept. Cost Actuals'!AF450)</f>
        <v>10.812569444444444</v>
      </c>
      <c r="AC23" s="684">
        <f>IF(AC$4="forecast",(AVERAGE(Q23:AB23)),'Dept. Cost Actuals'!AG450)</f>
        <v>8.1086168981481492</v>
      </c>
      <c r="AD23" s="684">
        <f>IF(AD$4="forecast",(AVERAGE(R23:AC23)),'Dept. Cost Actuals'!AH450)</f>
        <v>6.5751683063271615</v>
      </c>
      <c r="AE23" s="684">
        <f>IF(AE$4="forecast",(AVERAGE(S23:AD23)),'Dept. Cost Actuals'!AI450)</f>
        <v>7.1230989985210913</v>
      </c>
      <c r="AF23" s="684">
        <f>IF(AF$4="forecast",(AVERAGE(T23:AE23)),'Dept. Cost Actuals'!AJ450)</f>
        <v>3.5500239150645156</v>
      </c>
      <c r="AG23" s="684">
        <f>IF(AG$4="forecast",(AVERAGE(U23:AF23)),'Dept. Cost Actuals'!AK450)</f>
        <v>3.8458592413198915</v>
      </c>
      <c r="AH23" s="684">
        <f>IF(AH$4="forecast",(AVERAGE(V23:AG23)),'Dept. Cost Actuals'!AL450)</f>
        <v>4.1663475114298825</v>
      </c>
      <c r="AI23" s="684">
        <f>IF(AI$4="forecast",(AVERAGE(W23:AH23)),'Dept. Cost Actuals'!AM450)</f>
        <v>4.5135431373823733</v>
      </c>
      <c r="AJ23" s="684">
        <f>IF(AJ$4="forecast",(AVERAGE(X23:AI23)),'Dept. Cost Actuals'!AN450)</f>
        <v>4.8896717321642376</v>
      </c>
      <c r="AK23" s="684">
        <f>IF(AK$4="forecast",(AVERAGE(Y23:AJ23)),'Dept. Cost Actuals'!AO450)</f>
        <v>5.2971443765112571</v>
      </c>
      <c r="AL23" s="684">
        <f>IF(AL$4="forecast",(AVERAGE(Z23:AK23)),'Dept. Cost Actuals'!AP450)</f>
        <v>5.7385730745538623</v>
      </c>
      <c r="AM23" s="684">
        <f>IF(AM$4="forecast",(AVERAGE(AA23:AL23)),'Dept. Cost Actuals'!AQ450)</f>
        <v>6.2167874974333515</v>
      </c>
      <c r="AN23" s="684">
        <f>IF(AN$4="forecast",(AVERAGE(AB23:AM23)),'Dept. Cost Actuals'!AR450)</f>
        <v>5.9031170111083524</v>
      </c>
      <c r="AO23" s="684">
        <f>IF(AO$4="forecast",(AVERAGE(AC23:AN23)),'Dept. Cost Actuals'!AS450)</f>
        <v>5.4939959749970102</v>
      </c>
      <c r="AP23" s="684">
        <f>IF(AP$4="forecast",(AVERAGE(AD23:AO23)),'Dept. Cost Actuals'!AT450)</f>
        <v>5.2761108980677491</v>
      </c>
      <c r="AQ23" s="684">
        <f>IF(AQ$4="forecast",(AVERAGE(AE23:AP23)),'Dept. Cost Actuals'!AU450)</f>
        <v>5.1678561140461312</v>
      </c>
      <c r="AR23" s="684">
        <f>IF(AR$4="forecast",(AVERAGE(AF23:AQ23)),'Dept. Cost Actuals'!AV450)</f>
        <v>5.0049192070065516</v>
      </c>
      <c r="AS23" s="684">
        <f>IF(AS$4="forecast",(AVERAGE(AG23:AR23)),'Dept. Cost Actuals'!AW450)</f>
        <v>5.1261604813350541</v>
      </c>
      <c r="AT23" s="684">
        <f>IF(AT$4="forecast",(AVERAGE(AH23:AS23)),'Dept. Cost Actuals'!AX450)</f>
        <v>5.2328522513363174</v>
      </c>
      <c r="AU23" s="684">
        <f>IF(AU$4="forecast",(AVERAGE(AI23:AT23)),'Dept. Cost Actuals'!AY450)</f>
        <v>5.3217276463285215</v>
      </c>
      <c r="AV23" s="684">
        <f>IF(AV$4="forecast",(AVERAGE(AJ23:AU23)),'Dept. Cost Actuals'!AZ450)</f>
        <v>5.389076355407366</v>
      </c>
      <c r="AW23" s="684">
        <f>IF(AW$4="forecast",(AVERAGE(AK23:AV23)),'Dept. Cost Actuals'!BA450)</f>
        <v>5.4306934073442932</v>
      </c>
      <c r="AX23" s="684">
        <f>IF(AX$4="forecast",(AVERAGE(AL23:AW23)),'Dept. Cost Actuals'!BB450)</f>
        <v>5.4418224932470478</v>
      </c>
      <c r="AY23" s="684">
        <f>IF(AY$4="forecast",(AVERAGE(AM23:AX23)),'Dept. Cost Actuals'!BC450)</f>
        <v>5.4170932781381458</v>
      </c>
      <c r="AZ23" s="684">
        <f>IF(AZ$4="forecast",(AVERAGE(AN23:AY23)),'Dept. Cost Actuals'!BD450)</f>
        <v>5.3504520931968784</v>
      </c>
      <c r="BA23" s="684">
        <f>IF(BA$4="forecast",(AVERAGE(AO23:AZ23)),'Dept. Cost Actuals'!BE450)</f>
        <v>5.3043966833709222</v>
      </c>
      <c r="BB23" s="684">
        <f>IF(BB$4="forecast",(AVERAGE(AP23:BA23)),'Dept. Cost Actuals'!BF450)</f>
        <v>5.2885967424020821</v>
      </c>
      <c r="BC23" s="684">
        <f>IF(BC$4="forecast",(AVERAGE(AQ23:BB23)),'Dept. Cost Actuals'!BG450)</f>
        <v>5.2896372294299425</v>
      </c>
      <c r="BD23" s="684">
        <f>IF(BD$4="forecast",(AVERAGE(AR23:BC23)),'Dept. Cost Actuals'!BH450)</f>
        <v>5.2997856557119274</v>
      </c>
      <c r="BE23" s="684">
        <f>IF(BE$4="forecast",(AVERAGE(AS23:BD23)),'Dept. Cost Actuals'!BI450)</f>
        <v>5.3243578597707089</v>
      </c>
      <c r="BF23" s="684">
        <f>IF(BF$4="forecast",(AVERAGE(AT23:BE23)),'Dept. Cost Actuals'!BJ450)</f>
        <v>5.3408743079736807</v>
      </c>
      <c r="BG23" s="684">
        <f>IF(BG$4="forecast",(AVERAGE(AU23:BF23)),'Dept. Cost Actuals'!BK450)</f>
        <v>5.3498761460267934</v>
      </c>
      <c r="BH23" s="684">
        <f>IF(BH$4="forecast",(AVERAGE(AV23:BG23)),'Dept. Cost Actuals'!BL450)</f>
        <v>5.3522218543349824</v>
      </c>
      <c r="BI23" s="684">
        <f>IF(BI$4="forecast",(AVERAGE(AW23:BH23)),'Dept. Cost Actuals'!BM450)</f>
        <v>5.3491506459122844</v>
      </c>
      <c r="BJ23" s="684">
        <f>IF(BJ$4="forecast",(AVERAGE(AX23:BI23)),'Dept. Cost Actuals'!BN450)</f>
        <v>5.3423554157929489</v>
      </c>
      <c r="BK23" s="684">
        <f>IF(BK$4="forecast",(AVERAGE(AY23:BJ23)),'Dept. Cost Actuals'!BO450)</f>
        <v>5.3340664926717745</v>
      </c>
      <c r="BL23" s="684">
        <f>IF(BL$4="forecast",(AVERAGE(AZ23:BK23)),'Dept. Cost Actuals'!BP450)</f>
        <v>5.32714759388291</v>
      </c>
      <c r="BM23" s="684">
        <f>IF(BM$4="forecast",(AVERAGE(BA23:BL23)),'Dept. Cost Actuals'!BQ450)</f>
        <v>5.3252055522734132</v>
      </c>
      <c r="BN23" s="684">
        <f>IF(BN$4="forecast",(AVERAGE(BB23:BM23)),'Dept. Cost Actuals'!BR450)</f>
        <v>5.3269396246819545</v>
      </c>
      <c r="BO23" s="684">
        <f>IF(BO$4="forecast",(AVERAGE(BC23:BN23)),'Dept. Cost Actuals'!BS450)</f>
        <v>5.330134864871944</v>
      </c>
      <c r="BP23" s="684">
        <f>IF(BP$4="forecast",(AVERAGE(BD23:BO23)),'Dept. Cost Actuals'!BT450)</f>
        <v>5.3335096678254432</v>
      </c>
      <c r="BQ23" s="684">
        <f>IF(BQ$4="forecast",(AVERAGE(BE23:BP23)),'Dept. Cost Actuals'!BU450)</f>
        <v>5.3363200021682369</v>
      </c>
      <c r="BR23" s="684">
        <f>IF(BR$4="forecast",(AVERAGE(BF23:BQ23)),'Dept. Cost Actuals'!BV450)</f>
        <v>5.3373168473680304</v>
      </c>
      <c r="BS23" s="684">
        <f>IF(BS$4="forecast",(AVERAGE(BG23:BR23)),'Dept. Cost Actuals'!BW450)</f>
        <v>5.3370203923175596</v>
      </c>
      <c r="BT23" s="684">
        <f>IF(BT$4="forecast",(AVERAGE(BH23:BS23)),'Dept. Cost Actuals'!BX450)</f>
        <v>5.3359490795084561</v>
      </c>
      <c r="BU23" s="684">
        <f>IF(BU$4="forecast",(AVERAGE(BI23:BT23)),'Dept. Cost Actuals'!BY450)</f>
        <v>5.3345930149395793</v>
      </c>
      <c r="BV23" s="808">
        <f>IF(BV$4="forecast",(AVERAGE(BJ23:BU23)),'Dept. Cost Actuals'!BZ450)</f>
        <v>5.3333798790251885</v>
      </c>
    </row>
    <row r="24" spans="2:74" x14ac:dyDescent="0.35">
      <c r="B24" s="812" t="s">
        <v>943</v>
      </c>
      <c r="C24" s="684">
        <f>IF(C$4="forecast",C$7*'Direct People Department Costs'!$H$13,'Dept. Cost Actuals'!G379)</f>
        <v>0</v>
      </c>
      <c r="D24" s="684">
        <f>IF(D$4="forecast",D$7*'Direct People Department Costs'!$H$13,'Dept. Cost Actuals'!H379)</f>
        <v>0</v>
      </c>
      <c r="E24" s="684">
        <f>IF(E$4="forecast",E$7*'Direct People Department Costs'!$H$13,'Dept. Cost Actuals'!I379)</f>
        <v>0</v>
      </c>
      <c r="F24" s="684">
        <f>IF(F$4="forecast",F$7*'Direct People Department Costs'!$H$13,'Dept. Cost Actuals'!J379)</f>
        <v>0</v>
      </c>
      <c r="G24" s="684">
        <f>IF(G$4="forecast",G$7*'Direct People Department Costs'!$H$13,'Dept. Cost Actuals'!K379)</f>
        <v>0</v>
      </c>
      <c r="H24" s="684">
        <f>IF(H$4="forecast",H$7*'Direct People Department Costs'!$H$13,'Dept. Cost Actuals'!L379)</f>
        <v>0</v>
      </c>
      <c r="I24" s="684">
        <f>IF(I$4="forecast",I$7*'Direct People Department Costs'!$H$13,'Dept. Cost Actuals'!M379)</f>
        <v>0</v>
      </c>
      <c r="J24" s="684">
        <f>IF(J$4="forecast",J$7*'Direct People Department Costs'!$H$13,'Dept. Cost Actuals'!N379)</f>
        <v>0</v>
      </c>
      <c r="K24" s="684">
        <f>IF(K$4="forecast",K$7*'Direct People Department Costs'!$H$13,'Dept. Cost Actuals'!O379)</f>
        <v>0</v>
      </c>
      <c r="L24" s="684">
        <f>IF(L$4="forecast",L$7*'Direct People Department Costs'!$H$13,'Dept. Cost Actuals'!P379)</f>
        <v>0</v>
      </c>
      <c r="M24" s="684">
        <f>IF(M$4="forecast",M$7*'Direct People Department Costs'!$H$13,'Dept. Cost Actuals'!Q379)</f>
        <v>0</v>
      </c>
      <c r="N24" s="684">
        <f>IF(N$4="forecast",N$7*'Direct People Department Costs'!$H$13,'Dept. Cost Actuals'!R379)</f>
        <v>0</v>
      </c>
      <c r="O24" s="684">
        <f>IF(O$4="forecast",O$7*'Direct People Department Costs'!$H$13,'Dept. Cost Actuals'!S379)</f>
        <v>423.38</v>
      </c>
      <c r="P24" s="684">
        <f>IF(P$4="forecast",P$7*'Direct People Department Costs'!$H$13,'Dept. Cost Actuals'!T379)</f>
        <v>72.95</v>
      </c>
      <c r="Q24" s="684">
        <f>IF(Q$4="forecast",Q$7*'Direct People Department Costs'!$H$13,'Dept. Cost Actuals'!U379)</f>
        <v>0</v>
      </c>
      <c r="R24" s="684">
        <f>IF(R$4="forecast",R$7*'Direct People Department Costs'!$H$13,'Dept. Cost Actuals'!V379)</f>
        <v>49</v>
      </c>
      <c r="S24" s="684">
        <f>IF(S$4="forecast",S$7*'Direct People Department Costs'!$H$13,'Dept. Cost Actuals'!W379)</f>
        <v>0</v>
      </c>
      <c r="T24" s="684">
        <f>IF(T$4="forecast",T$7*'Direct People Department Costs'!$H$13,'Dept. Cost Actuals'!X379)</f>
        <v>258.04000000000002</v>
      </c>
      <c r="U24" s="684">
        <f>IF(U$4="forecast",U$7*'Direct People Department Costs'!$H$13,'Dept. Cost Actuals'!Y379)</f>
        <v>239.29</v>
      </c>
      <c r="V24" s="684">
        <f>IF(V$4="forecast",V$7*'Direct People Department Costs'!$H$13,'Dept. Cost Actuals'!Z379)</f>
        <v>167.29</v>
      </c>
      <c r="W24" s="684">
        <f>IF(W$4="forecast",W$7*'Direct People Department Costs'!$H$13,'Dept. Cost Actuals'!AA379)</f>
        <v>167.29</v>
      </c>
      <c r="X24" s="684">
        <f>IF(X$4="forecast",X$7*'Direct People Department Costs'!$H$13,'Dept. Cost Actuals'!AB379)</f>
        <v>167.29</v>
      </c>
      <c r="Y24" s="684">
        <f>IF(Y$4="forecast",Y$7*'Direct People Department Costs'!$H$13,'Dept. Cost Actuals'!AC379)</f>
        <v>167.29</v>
      </c>
      <c r="Z24" s="684">
        <f>IF(Z$4="forecast",Z$7*'Direct People Department Costs'!$H$13,'Dept. Cost Actuals'!AD379)</f>
        <v>167.29</v>
      </c>
      <c r="AA24" s="684">
        <f>IF(AA$4="forecast",(((SUM($O$24:$Z$24)*1.1)/12)+(20000/12)),'Dept. Cost Actuals'!AE43)</f>
        <v>1838.9184166666666</v>
      </c>
      <c r="AB24" s="684">
        <f>IF(AB$4="forecast",(((SUM($O$24:$Z$24)*1.1)/12)+(20000/12)),'Dept. Cost Actuals'!AF43)</f>
        <v>1838.9184166666666</v>
      </c>
      <c r="AC24" s="684">
        <f>IF(AC$4="forecast",(((SUM($O$24:$Z$24)*1.1)/12)+(20000/12)),'Dept. Cost Actuals'!AG43)</f>
        <v>1838.9184166666666</v>
      </c>
      <c r="AD24" s="684">
        <f>IF(AD$4="forecast",(((SUM($O$24:$Z$24)*1.1)/12)+(20000/12)),'Dept. Cost Actuals'!AH43)</f>
        <v>1838.9184166666666</v>
      </c>
      <c r="AE24" s="684">
        <f>IF(AE$4="forecast",(((SUM($O$24:$Z$24)*1.1)/12)+(20000/12)),'Dept. Cost Actuals'!AI43)</f>
        <v>1838.9184166666666</v>
      </c>
      <c r="AF24" s="684">
        <f>IF(AF$4="forecast",(((SUM($O$24:$Z$24)*1.1)/12)+(20000/12)),'Dept. Cost Actuals'!AJ43)</f>
        <v>1838.9184166666666</v>
      </c>
      <c r="AG24" s="684">
        <f>IF(AG$4="forecast",(((SUM($O$24:$Z$24)*1.1)/12)+(20000/12)),'Dept. Cost Actuals'!AK43)</f>
        <v>1838.9184166666666</v>
      </c>
      <c r="AH24" s="684">
        <f>IF(AH$4="forecast",(((SUM($O$24:$Z$24)*1.1)/12)+(20000/12)),'Dept. Cost Actuals'!AL43)</f>
        <v>1838.9184166666666</v>
      </c>
      <c r="AI24" s="684">
        <f>IF(AI$4="forecast",(((SUM($O$24:$Z$24)*1.1)/12)+(20000/12)),'Dept. Cost Actuals'!AM43)</f>
        <v>1838.9184166666666</v>
      </c>
      <c r="AJ24" s="684">
        <f>IF(AJ$4="forecast",(((SUM($O$24:$Z$24)*1.1)/12)+(20000/12)),'Dept. Cost Actuals'!AN43)</f>
        <v>1838.9184166666666</v>
      </c>
      <c r="AK24" s="684">
        <f>IF(AK$4="forecast",(((SUM($O$24:$Z$24)*1.1)/12)+(20000/12)),'Dept. Cost Actuals'!AO43)</f>
        <v>1838.9184166666666</v>
      </c>
      <c r="AL24" s="684">
        <f>IF(AL$4="forecast",(((SUM($O$24:$Z$24)*1.1)/12)+(20000/12)),'Dept. Cost Actuals'!AP43)</f>
        <v>1838.9184166666666</v>
      </c>
      <c r="AM24" s="684">
        <f>IF(AM$4="forecast",((SUM(AA24:AL24)*1.1)/12),'Dept. Cost Actuals'!AQ43)</f>
        <v>2022.8102583333339</v>
      </c>
      <c r="AN24" s="684">
        <f>IF(AN$4="forecast",((SUM(AB24:AM24)*1.1)/12),'Dept. Cost Actuals'!AR43)</f>
        <v>2039.6670104861116</v>
      </c>
      <c r="AO24" s="684">
        <f>IF(AO$4="forecast",((SUM(AC24:AN24)*1.1)/12),'Dept. Cost Actuals'!AS43)</f>
        <v>2058.0689649195606</v>
      </c>
      <c r="AP24" s="684">
        <f>IF(AP$4="forecast",((SUM(AD24:AO24)*1.1)/12),'Dept. Cost Actuals'!AT43)</f>
        <v>2078.1577651760758</v>
      </c>
      <c r="AQ24" s="684">
        <f>IF(AQ$4="forecast",((SUM(AE24:AP24)*1.1)/12),'Dept. Cost Actuals'!AU43)</f>
        <v>2100.0880387894381</v>
      </c>
      <c r="AR24" s="684">
        <f>IF(AR$4="forecast",((SUM(AF24:AQ24)*1.1)/12),'Dept. Cost Actuals'!AV43)</f>
        <v>2124.0285874840256</v>
      </c>
      <c r="AS24" s="684">
        <f>IF(AS$4="forecast",((SUM(AG24:AR24)*1.1)/12),'Dept. Cost Actuals'!AW43)</f>
        <v>2150.1636864756169</v>
      </c>
      <c r="AT24" s="684">
        <f>IF(AT$4="forecast",((SUM(AH24:AS24)*1.1)/12),'Dept. Cost Actuals'!AX43)</f>
        <v>2178.6945028747709</v>
      </c>
      <c r="AU24" s="684">
        <f>IF(AU$4="forecast",((SUM(AI24:AT24)*1.1)/12),'Dept. Cost Actuals'!AY43)</f>
        <v>2209.8406441105139</v>
      </c>
      <c r="AV24" s="684">
        <f>IF(AV$4="forecast",((SUM(AJ24:AU24)*1.1)/12),'Dept. Cost Actuals'!AZ43)</f>
        <v>2243.8418482928669</v>
      </c>
      <c r="AW24" s="684">
        <f>IF(AW$4="forecast",((SUM(AK24:AV24)*1.1)/12),'Dept. Cost Actuals'!BA43)</f>
        <v>2280.9598295252686</v>
      </c>
      <c r="AX24" s="684">
        <f>IF(AX$4="forecast",((SUM(AL24:AW24)*1.1)/12),'Dept. Cost Actuals'!BB43)</f>
        <v>2321.4802923706402</v>
      </c>
      <c r="AY24" s="684">
        <f>IF(AY$4="forecast",((SUM(AM24:AX24)*1.1)/12),'Dept. Cost Actuals'!BC43)</f>
        <v>2365.7151309768374</v>
      </c>
      <c r="AZ24" s="684">
        <f>IF(AZ$4="forecast",((SUM(AN24:AY24)*1.1)/12),'Dept. Cost Actuals'!BD43)</f>
        <v>2397.1480776358253</v>
      </c>
      <c r="BA24" s="684">
        <f>IF(BA$4="forecast",((SUM(AO24:AZ24)*1.1)/12),'Dept. Cost Actuals'!BE43)</f>
        <v>2429.9171754578824</v>
      </c>
      <c r="BB24" s="684">
        <f>IF(BB$4="forecast",((SUM(AP24:BA24)*1.1)/12),'Dept. Cost Actuals'!BF43)</f>
        <v>2464.0032614238949</v>
      </c>
      <c r="BC24" s="684">
        <f>IF(BC$4="forecast",((SUM(AQ24:BB24)*1.1)/12),'Dept. Cost Actuals'!BG43)</f>
        <v>2499.3724319132784</v>
      </c>
      <c r="BD24" s="684">
        <f>IF(BD$4="forecast",((SUM(AR24:BC24)*1.1)/12),'Dept. Cost Actuals'!BH43)</f>
        <v>2535.9735012829638</v>
      </c>
      <c r="BE24" s="684">
        <f>IF(BE$4="forecast",((SUM(AS24:BD24)*1.1)/12),'Dept. Cost Actuals'!BI43)</f>
        <v>2573.7351183811998</v>
      </c>
      <c r="BF24" s="684">
        <f>IF(BF$4="forecast",((SUM(AT24:BE24)*1.1)/12),'Dept. Cost Actuals'!BJ43)</f>
        <v>2612.5624996392116</v>
      </c>
      <c r="BG24" s="684">
        <f>IF(BG$4="forecast",((SUM(AU24:BF24)*1.1)/12),'Dept. Cost Actuals'!BK43)</f>
        <v>2652.3337326759515</v>
      </c>
      <c r="BH24" s="684">
        <f>IF(BH$4="forecast",((SUM(AV24:BG24)*1.1)/12),'Dept. Cost Actuals'!BL43)</f>
        <v>2692.895599127783</v>
      </c>
      <c r="BI24" s="684">
        <f>IF(BI$4="forecast",((SUM(AW24:BH24)*1.1)/12),'Dept. Cost Actuals'!BM43)</f>
        <v>2734.0588596209841</v>
      </c>
      <c r="BJ24" s="684">
        <f>IF(BJ$4="forecast",((SUM(AX24:BI24)*1.1)/12),'Dept. Cost Actuals'!BN43)</f>
        <v>2775.5929373797585</v>
      </c>
      <c r="BK24" s="684">
        <f>IF(BK$4="forecast",((SUM(AY24:BJ24)*1.1)/12),'Dept. Cost Actuals'!BO43)</f>
        <v>2817.2199298389278</v>
      </c>
      <c r="BL24" s="684">
        <f>IF(BL$4="forecast",((SUM(AZ24:BK24)*1.1)/12),'Dept. Cost Actuals'!BP43)</f>
        <v>2858.6078697346197</v>
      </c>
      <c r="BM24" s="684">
        <f>IF(BM$4="forecast",((SUM(BA24:BL24)*1.1)/12),'Dept. Cost Actuals'!BQ43)</f>
        <v>2900.9083506770089</v>
      </c>
      <c r="BN24" s="684">
        <f>IF(BN$4="forecast",((SUM(BB24:BM24)*1.1)/12),'Dept. Cost Actuals'!BR43)</f>
        <v>2944.0825417387618</v>
      </c>
      <c r="BO24" s="684">
        <f>IF(BO$4="forecast",((SUM(BC24:BN24)*1.1)/12),'Dept. Cost Actuals'!BS43)</f>
        <v>2988.0898091009581</v>
      </c>
      <c r="BP24" s="684">
        <f>IF(BP$4="forecast",((SUM(BD24:BO24)*1.1)/12),'Dept. Cost Actuals'!BT43)</f>
        <v>3032.8889020098281</v>
      </c>
      <c r="BQ24" s="684">
        <f>IF(BQ$4="forecast",((SUM(BE24:BP24)*1.1)/12),'Dept. Cost Actuals'!BU43)</f>
        <v>3078.4394804097915</v>
      </c>
      <c r="BR24" s="684">
        <f>IF(BR$4="forecast",((SUM(BF24:BQ24)*1.1)/12),'Dept. Cost Actuals'!BV43)</f>
        <v>3124.7040469290787</v>
      </c>
      <c r="BS24" s="684">
        <f>IF(BS$4="forecast",((SUM(BG24:BR24)*1.1)/12),'Dept. Cost Actuals'!BW43)</f>
        <v>3171.6503554306496</v>
      </c>
      <c r="BT24" s="684">
        <f>IF(BT$4="forecast",((SUM(BH24:BS24)*1.1)/12),'Dept. Cost Actuals'!BX43)</f>
        <v>3219.2543791831636</v>
      </c>
      <c r="BU24" s="684">
        <f>IF(BU$4="forecast",((SUM(BI24:BT24)*1.1)/12),'Dept. Cost Actuals'!BY43)</f>
        <v>3267.503934021574</v>
      </c>
      <c r="BV24" s="808">
        <f>IF(BV$4="forecast",((SUM(BJ24:BU24)*1.1)/12),'Dept. Cost Actuals'!BZ43)</f>
        <v>3316.4030658416282</v>
      </c>
    </row>
    <row r="25" spans="2:74" x14ac:dyDescent="0.35">
      <c r="B25" s="812" t="s">
        <v>1082</v>
      </c>
      <c r="C25" s="684">
        <f>IF(C$4="forecast",(AVERAGE(#REF!)),'Dept. Cost Actuals'!G440)</f>
        <v>0</v>
      </c>
      <c r="D25" s="684">
        <f>IF(D$4="forecast",(AVERAGE(#REF!)),'Dept. Cost Actuals'!H440)</f>
        <v>0</v>
      </c>
      <c r="E25" s="684">
        <f>IF(E$4="forecast",(AVERAGE(#REF!)),'Dept. Cost Actuals'!I440)</f>
        <v>9</v>
      </c>
      <c r="F25" s="684">
        <f>IF(F$4="forecast",(AVERAGE(#REF!)),'Dept. Cost Actuals'!J440)</f>
        <v>0</v>
      </c>
      <c r="G25" s="684">
        <f>IF(G$4="forecast",(AVERAGE(#REF!)),'Dept. Cost Actuals'!K440)</f>
        <v>0</v>
      </c>
      <c r="H25" s="684">
        <f>IF(H$4="forecast",(AVERAGE(#REF!)),'Dept. Cost Actuals'!L440)</f>
        <v>0</v>
      </c>
      <c r="I25" s="684">
        <f>IF(I$4="forecast",(AVERAGE(#REF!)),'Dept. Cost Actuals'!M440)</f>
        <v>0</v>
      </c>
      <c r="J25" s="684">
        <f>IF(J$4="forecast",(AVERAGE(#REF!)),'Dept. Cost Actuals'!N440)</f>
        <v>0</v>
      </c>
      <c r="K25" s="684">
        <f>IF(K$4="forecast",(AVERAGE(#REF!)),'Dept. Cost Actuals'!O440)</f>
        <v>0</v>
      </c>
      <c r="L25" s="684">
        <f>IF(L$4="forecast",(AVERAGE(#REF!)),'Dept. Cost Actuals'!P440)</f>
        <v>0</v>
      </c>
      <c r="M25" s="684">
        <f>IF(M$4="forecast",(AVERAGE(A25:L25)),'Dept. Cost Actuals'!Q440)</f>
        <v>0</v>
      </c>
      <c r="N25" s="684">
        <f>IF(N$4="forecast",(AVERAGE(B25:M25)),'Dept. Cost Actuals'!R440)</f>
        <v>0</v>
      </c>
      <c r="O25" s="684">
        <f>IF(O$4="forecast",(AVERAGE(C25:N25)),'Dept. Cost Actuals'!S440)</f>
        <v>43.14</v>
      </c>
      <c r="P25" s="684">
        <f>IF(P$4="forecast",(AVERAGE(D25:O25)),'Dept. Cost Actuals'!T440)</f>
        <v>0</v>
      </c>
      <c r="Q25" s="684">
        <f>IF(Q$4="forecast",(AVERAGE(E25:P25)),'Dept. Cost Actuals'!U440)</f>
        <v>0</v>
      </c>
      <c r="R25" s="684">
        <f>IF(R$4="forecast",(AVERAGE(F25:Q25)),'Dept. Cost Actuals'!V440)</f>
        <v>28</v>
      </c>
      <c r="S25" s="684">
        <f>IF(S$4="forecast",(AVERAGE(G25:R25)),'Dept. Cost Actuals'!W440)</f>
        <v>0</v>
      </c>
      <c r="T25" s="684">
        <f>IF(T$4="forecast",(AVERAGE(H25:S25)),'Dept. Cost Actuals'!X440)</f>
        <v>191.16</v>
      </c>
      <c r="U25" s="684">
        <f>IF(U$4="forecast",(AVERAGE(I25:T25)),'Dept. Cost Actuals'!Y440)</f>
        <v>175</v>
      </c>
      <c r="V25" s="684">
        <f>IF(V$4="forecast",(AVERAGE(J25:U25)),'Dept. Cost Actuals'!Z440)</f>
        <v>257</v>
      </c>
      <c r="W25" s="684">
        <f>IF(W$4="forecast",(AVERAGE(K25:V25)),'Dept. Cost Actuals'!AA440)</f>
        <v>144.5</v>
      </c>
      <c r="X25" s="684">
        <f>IF(X$4="forecast",(AVERAGE(L25:W25)),'Dept. Cost Actuals'!AB440)</f>
        <v>0</v>
      </c>
      <c r="Y25" s="684">
        <f>IF(Y$4="forecast",(AVERAGE(M25:X25)),'Dept. Cost Actuals'!AC440)</f>
        <v>0</v>
      </c>
      <c r="Z25" s="684">
        <f>IF(Z$4="forecast",(AVERAGE(N25:Y25)),'Dept. Cost Actuals'!AD440)</f>
        <v>0</v>
      </c>
      <c r="AA25" s="684">
        <f>IF(AA$4="forecast",(SUM($O$25:$Z$25)/12),'Dept. Cost Actuals'!AE440)</f>
        <v>69.899999999999991</v>
      </c>
      <c r="AB25" s="684">
        <f>IF(AB$4="forecast",(SUM($O$25:$Z$25)/12),'Dept. Cost Actuals'!AF440)</f>
        <v>69.899999999999991</v>
      </c>
      <c r="AC25" s="684">
        <f>IF(AC$4="forecast",(SUM($O$25:$Z$25)/12),'Dept. Cost Actuals'!AG440)</f>
        <v>69.899999999999991</v>
      </c>
      <c r="AD25" s="684">
        <f>IF(AD$4="forecast",(SUM($O$25:$Z$25)/12),'Dept. Cost Actuals'!AH440)</f>
        <v>69.899999999999991</v>
      </c>
      <c r="AE25" s="684">
        <f>IF(AE$4="forecast",(SUM($O$25:$Z$25)/12),'Dept. Cost Actuals'!AI440)</f>
        <v>69.899999999999991</v>
      </c>
      <c r="AF25" s="684">
        <f>IF(AF$4="forecast",(SUM($O$25:$Z$25)/12),'Dept. Cost Actuals'!AJ440)</f>
        <v>69.899999999999991</v>
      </c>
      <c r="AG25" s="684">
        <f>IF(AG$4="forecast",(SUM($O$25:$Z$25)/12),'Dept. Cost Actuals'!AK440)</f>
        <v>69.899999999999991</v>
      </c>
      <c r="AH25" s="684">
        <f>IF(AH$4="forecast",(SUM($O$25:$Z$25)/12),'Dept. Cost Actuals'!AL440)</f>
        <v>69.899999999999991</v>
      </c>
      <c r="AI25" s="684">
        <f>IF(AI$4="forecast",(SUM($O$25:$Z$25)/12),'Dept. Cost Actuals'!AM440)</f>
        <v>69.899999999999991</v>
      </c>
      <c r="AJ25" s="684">
        <f>IF(AJ$4="forecast",(SUM($O$25:$Z$25)/12),'Dept. Cost Actuals'!AN440)</f>
        <v>69.899999999999991</v>
      </c>
      <c r="AK25" s="684">
        <f>IF(AK$4="forecast",(SUM($O$25:$Z$25)/12),'Dept. Cost Actuals'!AO440)</f>
        <v>69.899999999999991</v>
      </c>
      <c r="AL25" s="684">
        <f>IF(AL$4="forecast",(SUM($O$25:$Z$25)/12),'Dept. Cost Actuals'!AP440)</f>
        <v>69.899999999999991</v>
      </c>
      <c r="AM25" s="684">
        <f>IF(AM$4="forecast",(AVERAGE(AA25:AL25)),'Dept. Cost Actuals'!AQ440)</f>
        <v>69.899999999999991</v>
      </c>
      <c r="AN25" s="684">
        <f>IF(AN$4="forecast",(AVERAGE(AB25:AM25)),'Dept. Cost Actuals'!AR440)</f>
        <v>69.899999999999991</v>
      </c>
      <c r="AO25" s="684">
        <f>IF(AO$4="forecast",(AVERAGE(AC25:AN25)),'Dept. Cost Actuals'!AS440)</f>
        <v>69.899999999999991</v>
      </c>
      <c r="AP25" s="684">
        <f>IF(AP$4="forecast",(AVERAGE(AD25:AO25)),'Dept. Cost Actuals'!AT440)</f>
        <v>69.899999999999991</v>
      </c>
      <c r="AQ25" s="684">
        <f>IF(AQ$4="forecast",(AVERAGE(AE25:AP25)),'Dept. Cost Actuals'!AU440)</f>
        <v>69.899999999999991</v>
      </c>
      <c r="AR25" s="684">
        <f>IF(AR$4="forecast",(AVERAGE(AF25:AQ25)),'Dept. Cost Actuals'!AV440)</f>
        <v>69.899999999999991</v>
      </c>
      <c r="AS25" s="684">
        <f>IF(AS$4="forecast",(AVERAGE(AG25:AR25)),'Dept. Cost Actuals'!AW440)</f>
        <v>69.899999999999991</v>
      </c>
      <c r="AT25" s="684">
        <f>IF(AT$4="forecast",(AVERAGE(AH25:AS25)),'Dept. Cost Actuals'!AX440)</f>
        <v>69.899999999999991</v>
      </c>
      <c r="AU25" s="684">
        <f>IF(AU$4="forecast",(AVERAGE(AI25:AT25)),'Dept. Cost Actuals'!AY440)</f>
        <v>69.899999999999991</v>
      </c>
      <c r="AV25" s="684">
        <f>IF(AV$4="forecast",(AVERAGE(AJ25:AU25)),'Dept. Cost Actuals'!AZ440)</f>
        <v>69.899999999999991</v>
      </c>
      <c r="AW25" s="684">
        <f>IF(AW$4="forecast",(AVERAGE(AK25:AV25)),'Dept. Cost Actuals'!BA440)</f>
        <v>69.899999999999991</v>
      </c>
      <c r="AX25" s="684">
        <f>IF(AX$4="forecast",(AVERAGE(AL25:AW25)),'Dept. Cost Actuals'!BB440)</f>
        <v>69.899999999999991</v>
      </c>
      <c r="AY25" s="684">
        <f>IF(AY$4="forecast",(AVERAGE(AM25:AX25)),'Dept. Cost Actuals'!BC440)</f>
        <v>69.899999999999991</v>
      </c>
      <c r="AZ25" s="684">
        <f>IF(AZ$4="forecast",(AVERAGE(AN25:AY25)),'Dept. Cost Actuals'!BD440)</f>
        <v>69.899999999999991</v>
      </c>
      <c r="BA25" s="684">
        <f>IF(BA$4="forecast",(AVERAGE(AO25:AZ25)),'Dept. Cost Actuals'!BE440)</f>
        <v>69.899999999999991</v>
      </c>
      <c r="BB25" s="684">
        <f>IF(BB$4="forecast",(AVERAGE(AP25:BA25)),'Dept. Cost Actuals'!BF440)</f>
        <v>69.899999999999991</v>
      </c>
      <c r="BC25" s="684">
        <f>IF(BC$4="forecast",(AVERAGE(AQ25:BB25)),'Dept. Cost Actuals'!BG440)</f>
        <v>69.899999999999991</v>
      </c>
      <c r="BD25" s="684">
        <f>IF(BD$4="forecast",(AVERAGE(AR25:BC25)),'Dept. Cost Actuals'!BH440)</f>
        <v>69.899999999999991</v>
      </c>
      <c r="BE25" s="684">
        <f>IF(BE$4="forecast",(AVERAGE(AS25:BD25)),'Dept. Cost Actuals'!BI440)</f>
        <v>69.899999999999991</v>
      </c>
      <c r="BF25" s="684">
        <f>IF(BF$4="forecast",(AVERAGE(AT25:BE25)),'Dept. Cost Actuals'!BJ440)</f>
        <v>69.899999999999991</v>
      </c>
      <c r="BG25" s="684">
        <f>IF(BG$4="forecast",(AVERAGE(AU25:BF25)),'Dept. Cost Actuals'!BK440)</f>
        <v>69.899999999999991</v>
      </c>
      <c r="BH25" s="684">
        <f>IF(BH$4="forecast",(AVERAGE(AV25:BG25)),'Dept. Cost Actuals'!BL440)</f>
        <v>69.899999999999991</v>
      </c>
      <c r="BI25" s="684">
        <f>IF(BI$4="forecast",(AVERAGE(AW25:BH25)),'Dept. Cost Actuals'!BM440)</f>
        <v>69.899999999999991</v>
      </c>
      <c r="BJ25" s="684">
        <f>IF(BJ$4="forecast",(AVERAGE(AX25:BI25)),'Dept. Cost Actuals'!BN440)</f>
        <v>69.899999999999991</v>
      </c>
      <c r="BK25" s="684">
        <f>IF(BK$4="forecast",(AVERAGE(AY25:BJ25)),'Dept. Cost Actuals'!BO440)</f>
        <v>69.899999999999991</v>
      </c>
      <c r="BL25" s="684">
        <f>IF(BL$4="forecast",(AVERAGE(AZ25:BK25)),'Dept. Cost Actuals'!BP440)</f>
        <v>69.899999999999991</v>
      </c>
      <c r="BM25" s="684">
        <f>IF(BM$4="forecast",(AVERAGE(BA25:BL25)),'Dept. Cost Actuals'!BQ440)</f>
        <v>69.899999999999991</v>
      </c>
      <c r="BN25" s="684">
        <f>IF(BN$4="forecast",(AVERAGE(BB25:BM25)),'Dept. Cost Actuals'!BR440)</f>
        <v>69.899999999999991</v>
      </c>
      <c r="BO25" s="684">
        <f>IF(BO$4="forecast",(AVERAGE(BC25:BN25)),'Dept. Cost Actuals'!BS440)</f>
        <v>69.899999999999991</v>
      </c>
      <c r="BP25" s="684">
        <f>IF(BP$4="forecast",(AVERAGE(BD25:BO25)),'Dept. Cost Actuals'!BT440)</f>
        <v>69.899999999999991</v>
      </c>
      <c r="BQ25" s="684">
        <f>IF(BQ$4="forecast",(AVERAGE(BE25:BP25)),'Dept. Cost Actuals'!BU440)</f>
        <v>69.899999999999991</v>
      </c>
      <c r="BR25" s="684">
        <f>IF(BR$4="forecast",(AVERAGE(BF25:BQ25)),'Dept. Cost Actuals'!BV440)</f>
        <v>69.899999999999991</v>
      </c>
      <c r="BS25" s="684">
        <f>IF(BS$4="forecast",(AVERAGE(BG25:BR25)),'Dept. Cost Actuals'!BW440)</f>
        <v>69.899999999999991</v>
      </c>
      <c r="BT25" s="684">
        <f>IF(BT$4="forecast",(AVERAGE(BH25:BS25)),'Dept. Cost Actuals'!BX440)</f>
        <v>69.899999999999991</v>
      </c>
      <c r="BU25" s="684">
        <f>IF(BU$4="forecast",(AVERAGE(BI25:BT25)),'Dept. Cost Actuals'!BY440)</f>
        <v>69.899999999999991</v>
      </c>
      <c r="BV25" s="808">
        <f>IF(BV$4="forecast",(AVERAGE(BJ25:BU25)),'Dept. Cost Actuals'!BZ440)</f>
        <v>69.899999999999991</v>
      </c>
    </row>
    <row r="26" spans="2:74" x14ac:dyDescent="0.35">
      <c r="B26" s="813" t="s">
        <v>944</v>
      </c>
      <c r="C26" s="814">
        <f>SUM(C17:C25,C14)</f>
        <v>50250.001049765742</v>
      </c>
      <c r="D26" s="814">
        <f t="shared" ref="D26:BO26" si="7">SUM(D17:D25,D14)</f>
        <v>41661.337445662335</v>
      </c>
      <c r="E26" s="814">
        <f t="shared" si="7"/>
        <v>49750.229565738337</v>
      </c>
      <c r="F26" s="814">
        <f t="shared" si="7"/>
        <v>57071.386012739938</v>
      </c>
      <c r="G26" s="814">
        <f t="shared" si="7"/>
        <v>50516.799267351336</v>
      </c>
      <c r="H26" s="814">
        <f t="shared" si="7"/>
        <v>75825.659764318247</v>
      </c>
      <c r="I26" s="814">
        <f t="shared" si="7"/>
        <v>82394.60098082367</v>
      </c>
      <c r="J26" s="814">
        <f t="shared" si="7"/>
        <v>98123.843989378802</v>
      </c>
      <c r="K26" s="814">
        <f t="shared" si="7"/>
        <v>96786.488196596314</v>
      </c>
      <c r="L26" s="814">
        <f t="shared" si="7"/>
        <v>97647.97946620782</v>
      </c>
      <c r="M26" s="814">
        <f t="shared" si="7"/>
        <v>136160.47156155758</v>
      </c>
      <c r="N26" s="814">
        <f t="shared" si="7"/>
        <v>138820.52210161882</v>
      </c>
      <c r="O26" s="814">
        <f t="shared" si="7"/>
        <v>147349.51999999999</v>
      </c>
      <c r="P26" s="814">
        <f t="shared" si="7"/>
        <v>146831.69</v>
      </c>
      <c r="Q26" s="814">
        <f t="shared" si="7"/>
        <v>228386.46000000002</v>
      </c>
      <c r="R26" s="814">
        <f t="shared" si="7"/>
        <v>217716.35000000003</v>
      </c>
      <c r="S26" s="814">
        <f t="shared" si="7"/>
        <v>190246.77999999997</v>
      </c>
      <c r="T26" s="814">
        <f t="shared" si="7"/>
        <v>177485.95999999996</v>
      </c>
      <c r="U26" s="814">
        <f t="shared" si="7"/>
        <v>193125.65</v>
      </c>
      <c r="V26" s="814">
        <f t="shared" si="7"/>
        <v>184251.09</v>
      </c>
      <c r="W26" s="814">
        <f t="shared" si="7"/>
        <v>183315.57</v>
      </c>
      <c r="X26" s="814">
        <f t="shared" si="7"/>
        <v>197216.5</v>
      </c>
      <c r="Y26" s="814">
        <f t="shared" si="7"/>
        <v>176492.08000000002</v>
      </c>
      <c r="Z26" s="814">
        <f t="shared" si="7"/>
        <v>129549.38</v>
      </c>
      <c r="AA26" s="814">
        <f t="shared" si="7"/>
        <v>192336.80324166667</v>
      </c>
      <c r="AB26" s="814">
        <f t="shared" si="7"/>
        <v>210018.35143611112</v>
      </c>
      <c r="AC26" s="814">
        <f t="shared" si="7"/>
        <v>202458.04253564816</v>
      </c>
      <c r="AD26" s="814">
        <f t="shared" si="7"/>
        <v>207527.73289347996</v>
      </c>
      <c r="AE26" s="814">
        <f t="shared" si="7"/>
        <v>202486.20828113105</v>
      </c>
      <c r="AF26" s="814">
        <f t="shared" si="7"/>
        <v>202446.86495108641</v>
      </c>
      <c r="AG26" s="814">
        <f t="shared" si="7"/>
        <v>269779.61051020474</v>
      </c>
      <c r="AH26" s="814">
        <f t="shared" si="7"/>
        <v>222611.2493103607</v>
      </c>
      <c r="AI26" s="814">
        <f t="shared" si="7"/>
        <v>222698.45301052963</v>
      </c>
      <c r="AJ26" s="814">
        <f t="shared" si="7"/>
        <v>256333.87118571266</v>
      </c>
      <c r="AK26" s="814">
        <f t="shared" si="7"/>
        <v>232489.51143104982</v>
      </c>
      <c r="AL26" s="814">
        <f t="shared" si="7"/>
        <v>679410.85336349846</v>
      </c>
      <c r="AM26" s="814">
        <f t="shared" si="7"/>
        <v>234723.12939340106</v>
      </c>
      <c r="AN26" s="814">
        <f t="shared" si="7"/>
        <v>279833.8222329414</v>
      </c>
      <c r="AO26" s="814">
        <f t="shared" si="7"/>
        <v>279851.30496028549</v>
      </c>
      <c r="AP26" s="814">
        <f t="shared" si="7"/>
        <v>279875.42367290042</v>
      </c>
      <c r="AQ26" s="814">
        <f t="shared" si="7"/>
        <v>279895.9121550828</v>
      </c>
      <c r="AR26" s="814">
        <f t="shared" si="7"/>
        <v>279921.75114742282</v>
      </c>
      <c r="AS26" s="814">
        <f t="shared" si="7"/>
        <v>279953.22150453407</v>
      </c>
      <c r="AT26" s="814">
        <f t="shared" si="7"/>
        <v>279982.02560952521</v>
      </c>
      <c r="AU26" s="814">
        <f t="shared" si="7"/>
        <v>280010.83124672261</v>
      </c>
      <c r="AV26" s="814">
        <f t="shared" si="7"/>
        <v>280035.02992984932</v>
      </c>
      <c r="AW26" s="814">
        <f t="shared" si="7"/>
        <v>280061.35477645061</v>
      </c>
      <c r="AX26" s="814">
        <f t="shared" si="7"/>
        <v>787951.13398966764</v>
      </c>
      <c r="AY26" s="814">
        <f t="shared" si="7"/>
        <v>287487.10456038895</v>
      </c>
      <c r="AZ26" s="814">
        <f t="shared" si="7"/>
        <v>294336.56093322247</v>
      </c>
      <c r="BA26" s="814">
        <f t="shared" si="7"/>
        <v>294369.40908128466</v>
      </c>
      <c r="BB26" s="814">
        <f t="shared" si="7"/>
        <v>294403.65740726824</v>
      </c>
      <c r="BC26" s="814">
        <f t="shared" si="7"/>
        <v>294438.86651174678</v>
      </c>
      <c r="BD26" s="814">
        <f t="shared" si="7"/>
        <v>294475.4143255573</v>
      </c>
      <c r="BE26" s="814">
        <f t="shared" si="7"/>
        <v>294512.960045496</v>
      </c>
      <c r="BF26" s="814">
        <f t="shared" si="7"/>
        <v>294551.1089333212</v>
      </c>
      <c r="BG26" s="814">
        <f t="shared" si="7"/>
        <v>294590.12235775642</v>
      </c>
      <c r="BH26" s="814">
        <f t="shared" si="7"/>
        <v>294630.0583068931</v>
      </c>
      <c r="BI26" s="814">
        <f t="shared" si="7"/>
        <v>294671.36036704952</v>
      </c>
      <c r="BJ26" s="814">
        <f t="shared" si="7"/>
        <v>817789.74987899628</v>
      </c>
      <c r="BK26" s="814">
        <f t="shared" si="7"/>
        <v>295710.79594596097</v>
      </c>
      <c r="BL26" s="814">
        <f t="shared" si="7"/>
        <v>302774.60893408244</v>
      </c>
      <c r="BM26" s="814">
        <f t="shared" si="7"/>
        <v>302816.85164462996</v>
      </c>
      <c r="BN26" s="814">
        <f t="shared" si="7"/>
        <v>302859.95666357724</v>
      </c>
      <c r="BO26" s="814">
        <f t="shared" si="7"/>
        <v>302903.87547448062</v>
      </c>
      <c r="BP26" s="814">
        <f t="shared" ref="BP26:BV26" si="8">SUM(BP17:BP25,BP14)</f>
        <v>302948.59207839333</v>
      </c>
      <c r="BQ26" s="814">
        <f t="shared" si="8"/>
        <v>302994.05773167743</v>
      </c>
      <c r="BR26" s="814">
        <f t="shared" si="8"/>
        <v>303040.24828741775</v>
      </c>
      <c r="BS26" s="814">
        <f t="shared" si="8"/>
        <v>303087.17095869489</v>
      </c>
      <c r="BT26" s="814">
        <f t="shared" si="8"/>
        <v>303134.8125261711</v>
      </c>
      <c r="BU26" s="814">
        <f t="shared" si="8"/>
        <v>303183.15491315303</v>
      </c>
      <c r="BV26" s="815">
        <f t="shared" si="8"/>
        <v>842000.22285569005</v>
      </c>
    </row>
    <row r="27" spans="2:74" x14ac:dyDescent="0.35">
      <c r="B27" s="800"/>
      <c r="C27" s="157"/>
      <c r="D27" s="157"/>
      <c r="E27" s="157"/>
      <c r="F27" s="157"/>
      <c r="G27" s="157"/>
      <c r="H27" s="157"/>
      <c r="I27" s="157"/>
      <c r="J27" s="157"/>
      <c r="K27" s="157"/>
      <c r="L27" s="157"/>
      <c r="M27" s="157"/>
      <c r="N27" s="157"/>
      <c r="O27" s="157"/>
      <c r="P27" s="157"/>
      <c r="Q27" s="157"/>
      <c r="R27" s="157"/>
      <c r="S27" s="157"/>
      <c r="T27" s="157"/>
      <c r="U27" s="157"/>
      <c r="V27" s="157"/>
      <c r="W27" s="157"/>
      <c r="X27" s="157"/>
      <c r="Y27" s="157"/>
      <c r="Z27" s="157"/>
      <c r="AA27" s="157"/>
      <c r="AB27" s="157"/>
      <c r="AC27" s="157"/>
      <c r="AD27" s="157"/>
      <c r="AE27" s="157"/>
      <c r="AF27" s="157"/>
      <c r="AG27" s="157"/>
      <c r="AH27" s="157"/>
      <c r="AI27" s="157"/>
      <c r="AJ27" s="157"/>
      <c r="AK27" s="157"/>
      <c r="AL27" s="157"/>
      <c r="AM27" s="157"/>
      <c r="AN27" s="157"/>
      <c r="AO27" s="157"/>
      <c r="AP27" s="157"/>
      <c r="AQ27" s="157"/>
      <c r="AR27" s="157"/>
      <c r="AS27" s="157"/>
      <c r="AT27" s="157"/>
      <c r="AU27" s="157"/>
      <c r="AV27" s="157"/>
      <c r="AW27" s="157"/>
      <c r="AX27" s="157"/>
      <c r="AY27" s="157"/>
      <c r="AZ27" s="157"/>
      <c r="BA27" s="157"/>
      <c r="BB27" s="157"/>
      <c r="BC27" s="157"/>
      <c r="BD27" s="157"/>
      <c r="BE27" s="157"/>
      <c r="BF27" s="157"/>
      <c r="BG27" s="157"/>
      <c r="BH27" s="157"/>
      <c r="BI27" s="157"/>
      <c r="BJ27" s="157"/>
      <c r="BK27" s="157"/>
      <c r="BL27" s="157"/>
      <c r="BM27" s="157"/>
      <c r="BN27" s="157"/>
      <c r="BO27" s="157"/>
      <c r="BP27" s="157"/>
      <c r="BQ27" s="157"/>
      <c r="BR27" s="157"/>
      <c r="BS27" s="157"/>
      <c r="BT27" s="157"/>
      <c r="BU27" s="157"/>
      <c r="BV27" s="801"/>
    </row>
    <row r="28" spans="2:74" x14ac:dyDescent="0.35">
      <c r="B28" s="874" t="s">
        <v>945</v>
      </c>
      <c r="C28" s="877"/>
      <c r="D28" s="877"/>
      <c r="E28" s="877"/>
      <c r="F28" s="877"/>
      <c r="G28" s="877"/>
      <c r="H28" s="877"/>
      <c r="I28" s="877"/>
      <c r="J28" s="877"/>
      <c r="K28" s="877"/>
      <c r="L28" s="877"/>
      <c r="M28" s="877"/>
      <c r="N28" s="877"/>
      <c r="O28" s="878"/>
      <c r="P28" s="878"/>
      <c r="Q28" s="878"/>
      <c r="R28" s="878"/>
      <c r="S28" s="878"/>
      <c r="T28" s="878"/>
      <c r="U28" s="878"/>
      <c r="V28" s="878"/>
      <c r="W28" s="878"/>
      <c r="X28" s="878"/>
      <c r="Y28" s="878"/>
      <c r="Z28" s="878"/>
      <c r="AA28" s="878"/>
      <c r="AB28" s="878"/>
      <c r="AC28" s="878"/>
      <c r="AD28" s="878"/>
      <c r="AE28" s="878"/>
      <c r="AF28" s="878"/>
      <c r="AG28" s="878"/>
      <c r="AH28" s="878"/>
      <c r="AI28" s="878"/>
      <c r="AJ28" s="878"/>
      <c r="AK28" s="878"/>
      <c r="AL28" s="878"/>
      <c r="AM28" s="878"/>
      <c r="AN28" s="878"/>
      <c r="AO28" s="878"/>
      <c r="AP28" s="878"/>
      <c r="AQ28" s="878"/>
      <c r="AR28" s="878"/>
      <c r="AS28" s="878"/>
      <c r="AT28" s="878"/>
      <c r="AU28" s="878"/>
      <c r="AV28" s="878"/>
      <c r="AW28" s="878"/>
      <c r="AX28" s="878"/>
      <c r="AY28" s="878"/>
      <c r="AZ28" s="878"/>
      <c r="BA28" s="878"/>
      <c r="BB28" s="878"/>
      <c r="BC28" s="878"/>
      <c r="BD28" s="878"/>
      <c r="BE28" s="878"/>
      <c r="BF28" s="878"/>
      <c r="BG28" s="878"/>
      <c r="BH28" s="878"/>
      <c r="BI28" s="878"/>
      <c r="BJ28" s="878"/>
      <c r="BK28" s="878"/>
      <c r="BL28" s="878"/>
      <c r="BM28" s="878"/>
      <c r="BN28" s="878"/>
      <c r="BO28" s="878"/>
      <c r="BP28" s="878"/>
      <c r="BQ28" s="878"/>
      <c r="BR28" s="878"/>
      <c r="BS28" s="878"/>
      <c r="BT28" s="878"/>
      <c r="BU28" s="878"/>
      <c r="BV28" s="879"/>
    </row>
    <row r="29" spans="2:74" x14ac:dyDescent="0.35">
      <c r="B29" s="811" t="s">
        <v>946</v>
      </c>
      <c r="C29" s="684">
        <f>IF(C$4="forecast",(AVERAGE(#REF!)),'Dept. Cost Actuals'!G435-'Dept. Cost Actuals'!G433)</f>
        <v>8616</v>
      </c>
      <c r="D29" s="684">
        <f>IF(D$4="forecast",(AVERAGE(#REF!)),'Dept. Cost Actuals'!H435-'Dept. Cost Actuals'!H433)</f>
        <v>11985.015593601727</v>
      </c>
      <c r="E29" s="684">
        <f>IF(E$4="forecast",(AVERAGE(#REF!)),'Dept. Cost Actuals'!I435-'Dept. Cost Actuals'!I433)</f>
        <v>25778.66</v>
      </c>
      <c r="F29" s="684">
        <f>IF(F$4="forecast",(AVERAGE(#REF!)),'Dept. Cost Actuals'!J435-'Dept. Cost Actuals'!J433)</f>
        <v>25840.583282245014</v>
      </c>
      <c r="G29" s="684">
        <f>IF(G$4="forecast",(AVERAGE(#REF!)),'Dept. Cost Actuals'!K435-'Dept. Cost Actuals'!K433)</f>
        <v>27893.584481330963</v>
      </c>
      <c r="H29" s="684">
        <f>IF(H$4="forecast",(AVERAGE(#REF!)),'Dept. Cost Actuals'!L435-'Dept. Cost Actuals'!L433)</f>
        <v>28219.524840046091</v>
      </c>
      <c r="I29" s="684">
        <f>IF(I$4="forecast",(AVERAGE(#REF!)),'Dept. Cost Actuals'!M435-'Dept. Cost Actuals'!M433)</f>
        <v>31195.597507979561</v>
      </c>
      <c r="J29" s="684">
        <f>IF(J$4="forecast",(AVERAGE(#REF!)),'Dept. Cost Actuals'!N435-'Dept. Cost Actuals'!N433)</f>
        <v>30369.671742454055</v>
      </c>
      <c r="K29" s="684">
        <f>IF(K$4="forecast",(AVERAGE(#REF!)),'Dept. Cost Actuals'!O435-'Dept. Cost Actuals'!O433)</f>
        <v>36046.392632001538</v>
      </c>
      <c r="L29" s="684">
        <f>IF(L$4="forecast",(AVERAGE(#REF!)),'Dept. Cost Actuals'!P435-'Dept. Cost Actuals'!P433)</f>
        <v>33708.99267757449</v>
      </c>
      <c r="M29" s="684">
        <f>IF(M$4="forecast",(AVERAGE(A29:L29)),'Dept. Cost Actuals'!Q435-'Dept. Cost Actuals'!Q433)</f>
        <v>41161.854995015412</v>
      </c>
      <c r="N29" s="684">
        <f>IF(N$4="forecast",(AVERAGE(B29:M29)),'Dept. Cost Actuals'!R435-'Dept. Cost Actuals'!R433)</f>
        <v>68064.846210471078</v>
      </c>
      <c r="O29" s="684">
        <f>IF(O$4="forecast",(AVERAGE(C29:N29)),'Dept. Cost Actuals'!S435-'Dept. Cost Actuals'!S433)</f>
        <v>25275.3</v>
      </c>
      <c r="P29" s="684">
        <f>IF(P$4="forecast",(AVERAGE(D29:O29)),'Dept. Cost Actuals'!T435-'Dept. Cost Actuals'!T433)</f>
        <v>33285.94</v>
      </c>
      <c r="Q29" s="684">
        <f>IF(Q$4="forecast",(AVERAGE(E29:P29)),'Dept. Cost Actuals'!U435-'Dept. Cost Actuals'!U433)</f>
        <v>22569.81</v>
      </c>
      <c r="R29" s="684">
        <f>IF(R$4="forecast",(AVERAGE(F29:Q29)),'Dept. Cost Actuals'!V435-'Dept. Cost Actuals'!V433)</f>
        <v>44332.59</v>
      </c>
      <c r="S29" s="684">
        <f>IF(S$4="forecast",(AVERAGE(G29:R29)),'Dept. Cost Actuals'!W435-'Dept. Cost Actuals'!W433)</f>
        <v>38551.74</v>
      </c>
      <c r="T29" s="684">
        <f>IF(T$4="forecast",(AVERAGE(H29:S29)),'Dept. Cost Actuals'!X435-'Dept. Cost Actuals'!X433)</f>
        <v>13441.7</v>
      </c>
      <c r="U29" s="684">
        <f>IF(U$4="forecast",(AVERAGE(I29:T29)),'Dept. Cost Actuals'!Y435-'Dept. Cost Actuals'!Y433)</f>
        <v>92442.89</v>
      </c>
      <c r="V29" s="684">
        <f>IF(V$4="forecast",(AVERAGE(J29:U29)),'Dept. Cost Actuals'!Z435-'Dept. Cost Actuals'!Z433)</f>
        <v>64219.5</v>
      </c>
      <c r="W29" s="684">
        <f>IF(W$4="forecast",(AVERAGE(K29:V29)),'Dept. Cost Actuals'!AA435-'Dept. Cost Actuals'!AA433)</f>
        <v>57772.639999999999</v>
      </c>
      <c r="X29" s="684">
        <f>IF(X$4="forecast",(AVERAGE(L29:W29)),'Dept. Cost Actuals'!AB435-'Dept. Cost Actuals'!AB433)</f>
        <v>60730.34</v>
      </c>
      <c r="Y29" s="684">
        <f>IF(Y$4="forecast",(AVERAGE(M29:X29)),'Dept. Cost Actuals'!AC435-'Dept. Cost Actuals'!AC433)</f>
        <v>67048.78</v>
      </c>
      <c r="Z29" s="684">
        <f>IF(Z$4="forecast",(AVERAGE(N29:Y29)),'Dept. Cost Actuals'!AD435-'Dept. Cost Actuals'!AD433)</f>
        <v>90162.65</v>
      </c>
      <c r="AA29" s="684">
        <f>40000/12</f>
        <v>3333.3333333333335</v>
      </c>
      <c r="AB29" s="684">
        <f t="shared" ref="AB29:AL29" si="9">40000/12</f>
        <v>3333.3333333333335</v>
      </c>
      <c r="AC29" s="684">
        <f t="shared" si="9"/>
        <v>3333.3333333333335</v>
      </c>
      <c r="AD29" s="684">
        <f t="shared" si="9"/>
        <v>3333.3333333333335</v>
      </c>
      <c r="AE29" s="684">
        <f t="shared" si="9"/>
        <v>3333.3333333333335</v>
      </c>
      <c r="AF29" s="684">
        <f t="shared" si="9"/>
        <v>3333.3333333333335</v>
      </c>
      <c r="AG29" s="684">
        <f t="shared" si="9"/>
        <v>3333.3333333333335</v>
      </c>
      <c r="AH29" s="684">
        <f t="shared" si="9"/>
        <v>3333.3333333333335</v>
      </c>
      <c r="AI29" s="684">
        <f t="shared" si="9"/>
        <v>3333.3333333333335</v>
      </c>
      <c r="AJ29" s="684">
        <f t="shared" si="9"/>
        <v>3333.3333333333335</v>
      </c>
      <c r="AK29" s="684">
        <f t="shared" si="9"/>
        <v>3333.3333333333335</v>
      </c>
      <c r="AL29" s="684">
        <f t="shared" si="9"/>
        <v>3333.3333333333335</v>
      </c>
      <c r="AM29" s="684">
        <f>IF(AM$4="forecast",(AVERAGE(AA29:AL29)),'Dept. Cost Actuals'!AQ435-'Dept. Cost Actuals'!AQ433)</f>
        <v>3333.3333333333335</v>
      </c>
      <c r="AN29" s="684">
        <f>IF(AN$4="forecast",(AVERAGE(AB29:AM29)),'Dept. Cost Actuals'!AR435-'Dept. Cost Actuals'!AR433)</f>
        <v>3333.3333333333335</v>
      </c>
      <c r="AO29" s="684">
        <f>IF(AO$4="forecast",(AVERAGE(AC29:AN29)),'Dept. Cost Actuals'!AS435-'Dept. Cost Actuals'!AS433)</f>
        <v>3333.3333333333335</v>
      </c>
      <c r="AP29" s="684">
        <f>IF(AP$4="forecast",(AVERAGE(AD29:AO29)),'Dept. Cost Actuals'!AT435-'Dept. Cost Actuals'!AT433)</f>
        <v>3333.3333333333335</v>
      </c>
      <c r="AQ29" s="684">
        <f>IF(AQ$4="forecast",(AVERAGE(AE29:AP29)),'Dept. Cost Actuals'!AU435-'Dept. Cost Actuals'!AU433)</f>
        <v>3333.3333333333335</v>
      </c>
      <c r="AR29" s="684">
        <f>IF(AR$4="forecast",(AVERAGE(AF29:AQ29)),'Dept. Cost Actuals'!AV435-'Dept. Cost Actuals'!AV433)</f>
        <v>3333.3333333333335</v>
      </c>
      <c r="AS29" s="684">
        <f>IF(AS$4="forecast",(AVERAGE(AG29:AR29)),'Dept. Cost Actuals'!AW435-'Dept. Cost Actuals'!AW433)</f>
        <v>3333.3333333333335</v>
      </c>
      <c r="AT29" s="684">
        <f>IF(AT$4="forecast",(AVERAGE(AH29:AS29)),'Dept. Cost Actuals'!AX435-'Dept. Cost Actuals'!AX433)</f>
        <v>3333.3333333333335</v>
      </c>
      <c r="AU29" s="684">
        <f>IF(AU$4="forecast",(AVERAGE(AI29:AT29)),'Dept. Cost Actuals'!AY435-'Dept. Cost Actuals'!AY433)</f>
        <v>3333.3333333333335</v>
      </c>
      <c r="AV29" s="684">
        <f>IF(AV$4="forecast",(AVERAGE(AJ29:AU29)),'Dept. Cost Actuals'!AZ435-'Dept. Cost Actuals'!AZ433)</f>
        <v>3333.3333333333335</v>
      </c>
      <c r="AW29" s="684">
        <f>IF(AW$4="forecast",(AVERAGE(AK29:AV29)),'Dept. Cost Actuals'!BA435-'Dept. Cost Actuals'!BA433)</f>
        <v>3333.3333333333335</v>
      </c>
      <c r="AX29" s="684">
        <f>IF(AX$4="forecast",(AVERAGE(AL29:AW29)),'Dept. Cost Actuals'!BB435-'Dept. Cost Actuals'!BB433)</f>
        <v>3333.3333333333335</v>
      </c>
      <c r="AY29" s="684">
        <f>IF(AY$4="forecast",(AVERAGE(AM29:AX29)),'Dept. Cost Actuals'!BC435-'Dept. Cost Actuals'!BC433)</f>
        <v>3333.3333333333335</v>
      </c>
      <c r="AZ29" s="684">
        <f>IF(AZ$4="forecast",(AVERAGE(AN29:AY29)),'Dept. Cost Actuals'!BD435-'Dept. Cost Actuals'!BD433)</f>
        <v>3333.3333333333335</v>
      </c>
      <c r="BA29" s="684">
        <f>IF(BA$4="forecast",(AVERAGE(AO29:AZ29)),'Dept. Cost Actuals'!BE435-'Dept. Cost Actuals'!BE433)</f>
        <v>3333.3333333333335</v>
      </c>
      <c r="BB29" s="684">
        <f>IF(BB$4="forecast",(AVERAGE(AP29:BA29)),'Dept. Cost Actuals'!BF435-'Dept. Cost Actuals'!BF433)</f>
        <v>3333.3333333333335</v>
      </c>
      <c r="BC29" s="684">
        <f>IF(BC$4="forecast",(AVERAGE(AQ29:BB29)),'Dept. Cost Actuals'!BG435-'Dept. Cost Actuals'!BG433)</f>
        <v>3333.3333333333335</v>
      </c>
      <c r="BD29" s="684">
        <f>IF(BD$4="forecast",(AVERAGE(AR29:BC29)),'Dept. Cost Actuals'!BH435-'Dept. Cost Actuals'!BH433)</f>
        <v>3333.3333333333335</v>
      </c>
      <c r="BE29" s="684">
        <f>IF(BE$4="forecast",(AVERAGE(AS29:BD29)),'Dept. Cost Actuals'!BI435-'Dept. Cost Actuals'!BI433)</f>
        <v>3333.3333333333335</v>
      </c>
      <c r="BF29" s="684">
        <f>IF(BF$4="forecast",(AVERAGE(AT29:BE29)),'Dept. Cost Actuals'!BJ435-'Dept. Cost Actuals'!BJ433)</f>
        <v>3333.3333333333335</v>
      </c>
      <c r="BG29" s="684">
        <f>IF(BG$4="forecast",(AVERAGE(AU29:BF29)),'Dept. Cost Actuals'!BK435-'Dept. Cost Actuals'!BK433)</f>
        <v>3333.3333333333335</v>
      </c>
      <c r="BH29" s="684">
        <f>IF(BH$4="forecast",(AVERAGE(AV29:BG29)),'Dept. Cost Actuals'!BL435-'Dept. Cost Actuals'!BL433)</f>
        <v>3333.3333333333335</v>
      </c>
      <c r="BI29" s="684">
        <f>IF(BI$4="forecast",(AVERAGE(AW29:BH29)),'Dept. Cost Actuals'!BM435-'Dept. Cost Actuals'!BM433)</f>
        <v>3333.3333333333335</v>
      </c>
      <c r="BJ29" s="684">
        <f>IF(BJ$4="forecast",(AVERAGE(AX29:BI29)),'Dept. Cost Actuals'!BN435-'Dept. Cost Actuals'!BN433)</f>
        <v>3333.3333333333335</v>
      </c>
      <c r="BK29" s="684">
        <f>IF(BK$4="forecast",(AVERAGE(AY29:BJ29)),'Dept. Cost Actuals'!BO435-'Dept. Cost Actuals'!BO433)</f>
        <v>3333.3333333333335</v>
      </c>
      <c r="BL29" s="684">
        <f>IF(BL$4="forecast",(AVERAGE(AZ29:BK29)),'Dept. Cost Actuals'!#REF!-'Dept. Cost Actuals'!#REF!)</f>
        <v>3333.3333333333335</v>
      </c>
      <c r="BM29" s="684">
        <f>IF(BM$4="forecast",(AVERAGE(BA29:BL29)),'Dept. Cost Actuals'!#REF!-'Dept. Cost Actuals'!#REF!)</f>
        <v>3333.3333333333335</v>
      </c>
      <c r="BN29" s="684">
        <f>IF(BN$4="forecast",(AVERAGE(BB29:BM29)),'Dept. Cost Actuals'!#REF!-'Dept. Cost Actuals'!#REF!)</f>
        <v>3333.3333333333335</v>
      </c>
      <c r="BO29" s="684">
        <f>IF(BO$4="forecast",(AVERAGE(BC29:BN29)),'Dept. Cost Actuals'!#REF!-'Dept. Cost Actuals'!#REF!)</f>
        <v>3333.3333333333335</v>
      </c>
      <c r="BP29" s="684">
        <f>IF(BP$4="forecast",(AVERAGE(BD29:BO29)),'Dept. Cost Actuals'!#REF!-'Dept. Cost Actuals'!#REF!)</f>
        <v>3333.3333333333335</v>
      </c>
      <c r="BQ29" s="684">
        <f>IF(BQ$4="forecast",(AVERAGE(BE29:BP29)),'Dept. Cost Actuals'!#REF!-'Dept. Cost Actuals'!#REF!)</f>
        <v>3333.3333333333335</v>
      </c>
      <c r="BR29" s="684">
        <f>IF(BR$4="forecast",(AVERAGE(BF29:BQ29)),'Dept. Cost Actuals'!#REF!-'Dept. Cost Actuals'!#REF!)</f>
        <v>3333.3333333333335</v>
      </c>
      <c r="BS29" s="684">
        <f>IF(BS$4="forecast",(AVERAGE(BG29:BR29)),'Dept. Cost Actuals'!#REF!-'Dept. Cost Actuals'!#REF!)</f>
        <v>3333.3333333333335</v>
      </c>
      <c r="BT29" s="684">
        <f>IF(BT$4="forecast",(AVERAGE(BH29:BS29)),'Dept. Cost Actuals'!#REF!-'Dept. Cost Actuals'!#REF!)</f>
        <v>3333.3333333333335</v>
      </c>
      <c r="BU29" s="684">
        <f>IF(BU$4="forecast",(AVERAGE(BI29:BT29)),'Dept. Cost Actuals'!#REF!-'Dept. Cost Actuals'!#REF!)</f>
        <v>3333.3333333333335</v>
      </c>
      <c r="BV29" s="808">
        <f>IF(BV$4="forecast",(AVERAGE(BJ29:BU29)),'Dept. Cost Actuals'!#REF!-'Dept. Cost Actuals'!#REF!)</f>
        <v>3333.3333333333335</v>
      </c>
    </row>
    <row r="30" spans="2:74" x14ac:dyDescent="0.35">
      <c r="B30" s="812" t="s">
        <v>926</v>
      </c>
      <c r="C30" s="684">
        <f>IF(C$4="forecast",AVERAGE(#REF!),'Dept. Cost Actuals'!G384+'Dept. Cost Actuals'!G344)</f>
        <v>0</v>
      </c>
      <c r="D30" s="684">
        <f>IF(D$4="forecast",AVERAGE(#REF!),'Dept. Cost Actuals'!H384+'Dept. Cost Actuals'!H344)</f>
        <v>0</v>
      </c>
      <c r="E30" s="684">
        <f>IF(E$4="forecast",AVERAGE(#REF!),'Dept. Cost Actuals'!I384+'Dept. Cost Actuals'!I344)</f>
        <v>0</v>
      </c>
      <c r="F30" s="684">
        <f>IF(F$4="forecast",AVERAGE(#REF!),'Dept. Cost Actuals'!J384+'Dept. Cost Actuals'!J344)</f>
        <v>0</v>
      </c>
      <c r="G30" s="684">
        <f>IF(G$4="forecast",AVERAGE(#REF!),'Dept. Cost Actuals'!K384+'Dept. Cost Actuals'!K344)</f>
        <v>0</v>
      </c>
      <c r="H30" s="684">
        <f>IF(H$4="forecast",AVERAGE(#REF!),'Dept. Cost Actuals'!L384+'Dept. Cost Actuals'!L344)</f>
        <v>0</v>
      </c>
      <c r="I30" s="684">
        <f>IF(I$4="forecast",AVERAGE(#REF!),'Dept. Cost Actuals'!M384+'Dept. Cost Actuals'!M344)</f>
        <v>230.12647538393063</v>
      </c>
      <c r="J30" s="684">
        <f>IF(J$4="forecast",AVERAGE(#REF!),'Dept. Cost Actuals'!N384+'Dept. Cost Actuals'!N344)</f>
        <v>0</v>
      </c>
      <c r="K30" s="684">
        <f>IF(K$4="forecast",AVERAGE(#REF!),'Dept. Cost Actuals'!O384+'Dept. Cost Actuals'!O344)</f>
        <v>181.30232150520879</v>
      </c>
      <c r="L30" s="684">
        <f>IF(L$4="forecast",AVERAGE(#REF!),'Dept. Cost Actuals'!P384+'Dept. Cost Actuals'!P344)</f>
        <v>158.69493582128018</v>
      </c>
      <c r="M30" s="684">
        <f>IF(M$4="forecast",AVERAGE(A30:L30),'Dept. Cost Actuals'!Q384+'Dept. Cost Actuals'!Q344)</f>
        <v>0</v>
      </c>
      <c r="N30" s="684">
        <f>IF(N$4="forecast",AVERAGE(B30:M30),'Dept. Cost Actuals'!R384+'Dept. Cost Actuals'!R344)</f>
        <v>0</v>
      </c>
      <c r="O30" s="684">
        <f>IF(O$4="forecast",AVERAGE(C30:N30),'Dept. Cost Actuals'!S384+'Dept. Cost Actuals'!S344)</f>
        <v>0</v>
      </c>
      <c r="P30" s="684">
        <f>IF(P$4="forecast",AVERAGE(D30:O30),'Dept. Cost Actuals'!T384+'Dept. Cost Actuals'!T344)</f>
        <v>0</v>
      </c>
      <c r="Q30" s="684">
        <f>IF(Q$4="forecast",AVERAGE(E30:P30),'Dept. Cost Actuals'!U384+'Dept. Cost Actuals'!U344)</f>
        <v>0</v>
      </c>
      <c r="R30" s="684">
        <f>IF(R$4="forecast",AVERAGE(F30:Q30),'Dept. Cost Actuals'!V384+'Dept. Cost Actuals'!V344)</f>
        <v>0</v>
      </c>
      <c r="S30" s="684">
        <f>IF(S$4="forecast",AVERAGE(G30:R30),'Dept. Cost Actuals'!W384+'Dept. Cost Actuals'!W344)</f>
        <v>414.62</v>
      </c>
      <c r="T30" s="684">
        <f>IF(T$4="forecast",AVERAGE(H30:S30),'Dept. Cost Actuals'!X384+'Dept. Cost Actuals'!X344)</f>
        <v>525.26</v>
      </c>
      <c r="U30" s="684">
        <f>IF(U$4="forecast",AVERAGE(I30:T30),'Dept. Cost Actuals'!Y384+'Dept. Cost Actuals'!Y344)</f>
        <v>1122.46</v>
      </c>
      <c r="V30" s="684">
        <f>IF(V$4="forecast",AVERAGE(J30:U30),'Dept. Cost Actuals'!Z384+'Dept. Cost Actuals'!Z344)</f>
        <v>0</v>
      </c>
      <c r="W30" s="684">
        <f>IF(W$4="forecast",AVERAGE(K30:V30),'Dept. Cost Actuals'!AA384+'Dept. Cost Actuals'!AA344)</f>
        <v>0</v>
      </c>
      <c r="X30" s="684">
        <f>IF(X$4="forecast",AVERAGE(L30:W30),'Dept. Cost Actuals'!AB384+'Dept. Cost Actuals'!AB344)</f>
        <v>990</v>
      </c>
      <c r="Y30" s="684">
        <f>IF(Y$4="forecast",AVERAGE(M30:X30),'Dept. Cost Actuals'!AC384+'Dept. Cost Actuals'!AC344)</f>
        <v>1267.72</v>
      </c>
      <c r="Z30" s="684">
        <f>IF(Z$4="forecast",AVERAGE(N30:Y30),'Dept. Cost Actuals'!AD384+'Dept. Cost Actuals'!AD344)</f>
        <v>0</v>
      </c>
      <c r="AA30" s="684">
        <f>IF(AA$4="forecast",AVERAGE(O30:Z30),'Dept. Cost Actuals'!AE384+'Dept. Cost Actuals'!AE344)</f>
        <v>360.00500000000005</v>
      </c>
      <c r="AB30" s="684">
        <f>IF(AB$4="forecast",AVERAGE(P30:AA30),'Dept. Cost Actuals'!AF384+'Dept. Cost Actuals'!AF344)</f>
        <v>390.00541666666669</v>
      </c>
      <c r="AC30" s="684">
        <f>IF(AC$4="forecast",AVERAGE(Q30:AB30),'Dept. Cost Actuals'!AG384+'Dept. Cost Actuals'!AG344)</f>
        <v>422.5058680555556</v>
      </c>
      <c r="AD30" s="684">
        <f>IF(AD$4="forecast",AVERAGE(R30:AC30)+1000,'Dept. Cost Actuals'!AH384+'Dept. Cost Actuals'!AH344)</f>
        <v>1457.7146903935186</v>
      </c>
      <c r="AE30" s="684">
        <f>IF(AE$4="forecast",AVERAGE(S30:AD30),'Dept. Cost Actuals'!AI384+'Dept. Cost Actuals'!AI344)</f>
        <v>579.19091459297852</v>
      </c>
      <c r="AF30" s="684">
        <f>IF(AF$4="forecast",AVERAGE(T30:AE30),'Dept. Cost Actuals'!AJ384+'Dept. Cost Actuals'!AJ344)</f>
        <v>592.9051574757267</v>
      </c>
      <c r="AG30" s="684">
        <f>IF(AG$4="forecast",AVERAGE(U30:AF30),'Dept. Cost Actuals'!AK384+'Dept. Cost Actuals'!AK344)</f>
        <v>598.54225393203717</v>
      </c>
      <c r="AH30" s="684">
        <f>IF(AH$4="forecast",AVERAGE(V30:AG30),'Dept. Cost Actuals'!AL384+'Dept. Cost Actuals'!AL344)</f>
        <v>554.88244175970704</v>
      </c>
      <c r="AI30" s="684">
        <f>IF(AI$4="forecast",AVERAGE(W30:AH30),'Dept. Cost Actuals'!AM384+'Dept. Cost Actuals'!AM344)</f>
        <v>601.12264523968258</v>
      </c>
      <c r="AJ30" s="684">
        <f>IF(AJ$4="forecast",AVERAGE(X30:AI30),'Dept. Cost Actuals'!AN384+'Dept. Cost Actuals'!AN344)</f>
        <v>651.21619900965618</v>
      </c>
      <c r="AK30" s="684">
        <f>IF(AK$4="forecast",AVERAGE(Y30:AJ30),'Dept. Cost Actuals'!AO384+'Dept. Cost Actuals'!AO344)</f>
        <v>622.98421559379415</v>
      </c>
      <c r="AL30" s="684">
        <f>IF(AL$4="forecast",AVERAGE(Z30:AK30),'Dept. Cost Actuals'!AP384+'Dept. Cost Actuals'!AP344)</f>
        <v>569.25623355994355</v>
      </c>
      <c r="AM30" s="684">
        <f>IF(AM$4="forecast",AVERAGE(AA30:AL30),'Dept. Cost Actuals'!AQ384+'Dept. Cost Actuals'!AQ344)</f>
        <v>616.69425302327215</v>
      </c>
      <c r="AN30" s="684">
        <f>IF(AN$4="forecast",AVERAGE(AB30:AM30),'Dept. Cost Actuals'!AR384+'Dept. Cost Actuals'!AR344)</f>
        <v>638.08502410854487</v>
      </c>
      <c r="AO30" s="684">
        <f>IF(AO$4="forecast",AVERAGE(AC30:AN30),'Dept. Cost Actuals'!AS384+'Dept. Cost Actuals'!AS344)</f>
        <v>658.75832472870127</v>
      </c>
      <c r="AP30" s="684">
        <f>IF(AP$4="forecast",AVERAGE(AD30:AO30),'Dept. Cost Actuals'!AT384+'Dept. Cost Actuals'!AT344)</f>
        <v>678.44602945146346</v>
      </c>
      <c r="AQ30" s="684">
        <f>IF(AQ$4="forecast",AVERAGE(AE30:AP30),'Dept. Cost Actuals'!AU384+'Dept. Cost Actuals'!AU344)</f>
        <v>613.50697437295889</v>
      </c>
      <c r="AR30" s="684">
        <f>IF(AR$4="forecast",AVERAGE(AF30:AQ30),'Dept. Cost Actuals'!AV384+'Dept. Cost Actuals'!AV344)</f>
        <v>616.36664602129065</v>
      </c>
      <c r="AS30" s="684">
        <f>IF(AS$4="forecast",AVERAGE(AG30:AR30),'Dept. Cost Actuals'!AW384+'Dept. Cost Actuals'!AW344)</f>
        <v>618.32177006675431</v>
      </c>
      <c r="AT30" s="684">
        <f>IF(AT$4="forecast",AVERAGE(AH30:AS30),'Dept. Cost Actuals'!AX384+'Dept. Cost Actuals'!AX344)</f>
        <v>619.97006307798085</v>
      </c>
      <c r="AU30" s="684">
        <f>IF(AU$4="forecast",AVERAGE(AI30:AT30),'Dept. Cost Actuals'!AY384+'Dept. Cost Actuals'!AY344)</f>
        <v>625.3940315211704</v>
      </c>
      <c r="AV30" s="684">
        <f>IF(AV$4="forecast",AVERAGE(AJ30:AU30),'Dept. Cost Actuals'!AZ384+'Dept. Cost Actuals'!AZ344)</f>
        <v>627.41664704462767</v>
      </c>
      <c r="AW30" s="684">
        <f>IF(AW$4="forecast",AVERAGE(AK30:AV30),'Dept. Cost Actuals'!BA384+'Dept. Cost Actuals'!BA344)</f>
        <v>625.43335104754192</v>
      </c>
      <c r="AX30" s="684">
        <f>IF(AX$4="forecast",AVERAGE(AL30:AW30),'Dept. Cost Actuals'!BB384+'Dept. Cost Actuals'!BB344)</f>
        <v>625.63744566868752</v>
      </c>
      <c r="AY30" s="684">
        <f>IF(AY$4="forecast",AVERAGE(AM30:AX30),'Dept. Cost Actuals'!BC384+'Dept. Cost Actuals'!BC344)</f>
        <v>630.33588001108285</v>
      </c>
      <c r="AZ30" s="684">
        <f>IF(AZ$4="forecast",AVERAGE(AN30:AY30),'Dept. Cost Actuals'!BD384+'Dept. Cost Actuals'!BD344)</f>
        <v>631.47268226006702</v>
      </c>
      <c r="BA30" s="684">
        <f>IF(BA$4="forecast",AVERAGE(AO30:AZ30),'Dept. Cost Actuals'!BE384+'Dept. Cost Actuals'!BE344)</f>
        <v>630.92165377269384</v>
      </c>
      <c r="BB30" s="684">
        <f>IF(BB$4="forecast",AVERAGE(AP30:BA30),'Dept. Cost Actuals'!BF384+'Dept. Cost Actuals'!BF344)</f>
        <v>628.60193119302664</v>
      </c>
      <c r="BC30" s="684">
        <f>IF(BC$4="forecast",AVERAGE(AQ30:BB30),'Dept. Cost Actuals'!BG384+'Dept. Cost Actuals'!BG344)</f>
        <v>624.44825633815674</v>
      </c>
      <c r="BD30" s="684">
        <f>IF(BD$4="forecast",AVERAGE(AR30:BC30),'Dept. Cost Actuals'!BH384+'Dept. Cost Actuals'!BH344)</f>
        <v>625.36002983525668</v>
      </c>
      <c r="BE30" s="684">
        <f>IF(BE$4="forecast",AVERAGE(AS30:BD30),'Dept. Cost Actuals'!BI384+'Dept. Cost Actuals'!BI344)</f>
        <v>626.10947848642058</v>
      </c>
      <c r="BF30" s="684">
        <f>IF(BF$4="forecast",AVERAGE(AT30:BE30),'Dept. Cost Actuals'!BJ384+'Dept. Cost Actuals'!BJ344)</f>
        <v>626.75845418805955</v>
      </c>
      <c r="BG30" s="684">
        <f>IF(BG$4="forecast",AVERAGE(AU30:BF30),'Dept. Cost Actuals'!BK384+'Dept. Cost Actuals'!BK344)</f>
        <v>627.32415344723267</v>
      </c>
      <c r="BH30" s="684">
        <f>IF(BH$4="forecast",AVERAGE(AV30:BG30),'Dept. Cost Actuals'!BL384+'Dept. Cost Actuals'!BL344)</f>
        <v>627.48499694107124</v>
      </c>
      <c r="BI30" s="684">
        <f>IF(BI$4="forecast",AVERAGE(AW30:BH30),'Dept. Cost Actuals'!BM384+'Dept. Cost Actuals'!BM344)</f>
        <v>627.49069276577484</v>
      </c>
      <c r="BJ30" s="684">
        <f>IF(BJ$4="forecast",AVERAGE(AX30:BI30),'Dept. Cost Actuals'!BN384+'Dept. Cost Actuals'!BN344)</f>
        <v>627.66213790896086</v>
      </c>
      <c r="BK30" s="684">
        <f>IF(BK$4="forecast",AVERAGE(AY30:BJ30),'Dept. Cost Actuals'!BO384+'Dept. Cost Actuals'!BO344)</f>
        <v>627.83086226231705</v>
      </c>
      <c r="BL30" s="684">
        <f>IF(BL$4="forecast",AVERAGE(AZ30:BK30),'Dept. Cost Actuals'!#REF!+'Dept. Cost Actuals'!#REF!)</f>
        <v>627.62211078325322</v>
      </c>
      <c r="BM30" s="684">
        <f>IF(BM$4="forecast",AVERAGE(BA30:BL30),'Dept. Cost Actuals'!#REF!+'Dept. Cost Actuals'!#REF!)</f>
        <v>627.30122982685214</v>
      </c>
      <c r="BN30" s="684">
        <f>IF(BN$4="forecast",AVERAGE(BB30:BM30),'Dept. Cost Actuals'!#REF!+'Dept. Cost Actuals'!#REF!)</f>
        <v>626.9995278313653</v>
      </c>
      <c r="BO30" s="684">
        <f>IF(BO$4="forecast",AVERAGE(BC30:BN30),'Dept. Cost Actuals'!#REF!+'Dept. Cost Actuals'!#REF!)</f>
        <v>626.86599421789344</v>
      </c>
      <c r="BP30" s="684">
        <f>IF(BP$4="forecast",AVERAGE(BD30:BO30),'Dept. Cost Actuals'!#REF!+'Dept. Cost Actuals'!#REF!)</f>
        <v>627.06747237453817</v>
      </c>
      <c r="BQ30" s="684">
        <f>IF(BQ$4="forecast",AVERAGE(BE30:BP30),'Dept. Cost Actuals'!#REF!+'Dept. Cost Actuals'!#REF!)</f>
        <v>627.20975925281164</v>
      </c>
      <c r="BR30" s="684">
        <f>IF(BR$4="forecast",AVERAGE(BF30:BQ30),'Dept. Cost Actuals'!#REF!+'Dept. Cost Actuals'!#REF!)</f>
        <v>627.30144931667758</v>
      </c>
      <c r="BS30" s="684">
        <f>IF(BS$4="forecast",AVERAGE(BG30:BR30),'Dept. Cost Actuals'!#REF!+'Dept. Cost Actuals'!#REF!)</f>
        <v>627.34669891072906</v>
      </c>
      <c r="BT30" s="684">
        <f>IF(BT$4="forecast",AVERAGE(BH30:BS30),'Dept. Cost Actuals'!#REF!+'Dept. Cost Actuals'!#REF!)</f>
        <v>627.34857769935377</v>
      </c>
      <c r="BU30" s="684">
        <f>IF(BU$4="forecast",AVERAGE(BI30:BT30),'Dept. Cost Actuals'!#REF!+'Dept. Cost Actuals'!#REF!)</f>
        <v>627.33720942921059</v>
      </c>
      <c r="BV30" s="808">
        <f>IF(BV$4="forecast",AVERAGE(BJ30:BU30),'Dept. Cost Actuals'!#REF!+'Dept. Cost Actuals'!#REF!)</f>
        <v>627.32441915116362</v>
      </c>
    </row>
    <row r="31" spans="2:74" x14ac:dyDescent="0.35">
      <c r="B31" s="812" t="s">
        <v>947</v>
      </c>
      <c r="C31" s="684">
        <f>IF(C$4="forecast",AVERAGE(#REF!),'Dept. Cost Actuals'!G372)</f>
        <v>0</v>
      </c>
      <c r="D31" s="684">
        <f>IF(D$4="forecast",AVERAGE(#REF!),'Dept. Cost Actuals'!H372)</f>
        <v>13.24091236110238</v>
      </c>
      <c r="E31" s="684">
        <f>IF(E$4="forecast",AVERAGE(#REF!),'Dept. Cost Actuals'!I372)</f>
        <v>3.1257403222224931</v>
      </c>
      <c r="F31" s="684">
        <f>IF(F$4="forecast",AVERAGE(#REF!),'Dept. Cost Actuals'!J372)</f>
        <v>32.352611487768627</v>
      </c>
      <c r="G31" s="684">
        <f>IF(G$4="forecast",AVERAGE(#REF!),'Dept. Cost Actuals'!K372)</f>
        <v>5.6912038609798126</v>
      </c>
      <c r="H31" s="684">
        <f>IF(H$4="forecast",AVERAGE(#REF!),'Dept. Cost Actuals'!L372)</f>
        <v>53.233676764225166</v>
      </c>
      <c r="I31" s="684">
        <f>IF(I$4="forecast",AVERAGE(#REF!),'Dept. Cost Actuals'!M372)</f>
        <v>2.4895910782827846</v>
      </c>
      <c r="J31" s="684">
        <f>IF(J$4="forecast",AVERAGE(#REF!),'Dept. Cost Actuals'!N372)</f>
        <v>21.143625085320924</v>
      </c>
      <c r="K31" s="684">
        <f>IF(K$4="forecast",AVERAGE(#REF!),'Dept. Cost Actuals'!O372)</f>
        <v>26.284304060217647</v>
      </c>
      <c r="L31" s="684">
        <f>IF(L$4="forecast",AVERAGE(#REF!),'Dept. Cost Actuals'!P372)</f>
        <v>126.33358851741201</v>
      </c>
      <c r="M31" s="684">
        <f>IF(M$4="forecast",AVERAGE(A31:L31),'Dept. Cost Actuals'!Q372)</f>
        <v>0</v>
      </c>
      <c r="N31" s="684">
        <f>IF(N$4="forecast",AVERAGE(B31:M31),'Dept. Cost Actuals'!R372)</f>
        <v>0</v>
      </c>
      <c r="O31" s="684">
        <f>IF(O$4="forecast",AVERAGE(C31:N31),'Dept. Cost Actuals'!S372)</f>
        <v>0</v>
      </c>
      <c r="P31" s="684">
        <f>IF(P$4="forecast",AVERAGE(D31:O31),'Dept. Cost Actuals'!T372)</f>
        <v>0</v>
      </c>
      <c r="Q31" s="684">
        <f>IF(Q$4="forecast",AVERAGE(E31:P31),'Dept. Cost Actuals'!U372)</f>
        <v>65.22</v>
      </c>
      <c r="R31" s="684">
        <f>IF(R$4="forecast",AVERAGE(F31:Q31),'Dept. Cost Actuals'!V372)</f>
        <v>0</v>
      </c>
      <c r="S31" s="684">
        <f>IF(S$4="forecast",AVERAGE(G31:R31),'Dept. Cost Actuals'!W372)</f>
        <v>131.72999999999999</v>
      </c>
      <c r="T31" s="684">
        <f>IF(T$4="forecast",AVERAGE(H31:S31),'Dept. Cost Actuals'!X372)</f>
        <v>173.78</v>
      </c>
      <c r="U31" s="684">
        <f>IF(U$4="forecast",AVERAGE(I31:T31),'Dept. Cost Actuals'!Y372)</f>
        <v>28.81</v>
      </c>
      <c r="V31" s="684">
        <f>IF(V$4="forecast",AVERAGE(J31:U31),'Dept. Cost Actuals'!Z372)</f>
        <v>31.19</v>
      </c>
      <c r="W31" s="684">
        <f>IF(W$4="forecast",AVERAGE(K31:V31),'Dept. Cost Actuals'!AA372)</f>
        <v>0</v>
      </c>
      <c r="X31" s="684">
        <f>IF(X$4="forecast",AVERAGE(L31:W31),'Dept. Cost Actuals'!AB372)</f>
        <v>0</v>
      </c>
      <c r="Y31" s="684">
        <f>IF(Y$4="forecast",AVERAGE(M31:X31),'Dept. Cost Actuals'!AC372)</f>
        <v>0</v>
      </c>
      <c r="Z31" s="684">
        <f>IF(Z$4="forecast",AVERAGE(N31:Y31),'Dept. Cost Actuals'!AD372)</f>
        <v>0</v>
      </c>
      <c r="AA31" s="684">
        <f>IF(AA$4="forecast",AVERAGE(O31:Z31),'Dept. Cost Actuals'!AE372)</f>
        <v>35.894166666666671</v>
      </c>
      <c r="AB31" s="684">
        <f>IF(AB$4="forecast",AVERAGE(P31:AA31),'Dept. Cost Actuals'!AF372)</f>
        <v>38.885347222222222</v>
      </c>
      <c r="AC31" s="684">
        <f>IF(AC$4="forecast",AVERAGE(Q31:AB31),'Dept. Cost Actuals'!AG372)</f>
        <v>42.125792824074075</v>
      </c>
      <c r="AD31" s="684">
        <f>IF(AD$4="forecast",AVERAGE(R31:AC31),'Dept. Cost Actuals'!AH372)</f>
        <v>40.201275559413581</v>
      </c>
      <c r="AE31" s="684">
        <f>IF(AE$4="forecast",AVERAGE(S31:AD31),'Dept. Cost Actuals'!AI372)</f>
        <v>43.551381856031377</v>
      </c>
      <c r="AF31" s="684">
        <f>IF(AF$4="forecast",AVERAGE(T31:AE31),'Dept. Cost Actuals'!AJ372)</f>
        <v>36.203163677367328</v>
      </c>
      <c r="AG31" s="684">
        <f>IF(AG$4="forecast",AVERAGE(U31:AF31),'Dept. Cost Actuals'!AK372)</f>
        <v>24.738427317147938</v>
      </c>
      <c r="AH31" s="684">
        <f>IF(AH$4="forecast",AVERAGE(V31:AG31),'Dept. Cost Actuals'!AL372)</f>
        <v>24.39912959357693</v>
      </c>
      <c r="AI31" s="684">
        <f>IF(AI$4="forecast",AVERAGE(W31:AH31),'Dept. Cost Actuals'!AM372)</f>
        <v>23.833223726375014</v>
      </c>
      <c r="AJ31" s="684">
        <f>IF(AJ$4="forecast",AVERAGE(X31:AI31),'Dept. Cost Actuals'!AN372)</f>
        <v>25.819325703572932</v>
      </c>
      <c r="AK31" s="684">
        <f>IF(AK$4="forecast",AVERAGE(Y31:AJ31),'Dept. Cost Actuals'!AO372)</f>
        <v>27.970936178870677</v>
      </c>
      <c r="AL31" s="684">
        <f>IF(AL$4="forecast",AVERAGE(Z31:AK31),'Dept. Cost Actuals'!AP372)</f>
        <v>30.301847527109899</v>
      </c>
      <c r="AM31" s="684">
        <f>IF(AM$4="forecast",AVERAGE(AA31:AL31),'Dept. Cost Actuals'!AQ372)</f>
        <v>32.82700148770239</v>
      </c>
      <c r="AN31" s="684">
        <f>IF(AN$4="forecast",AVERAGE(AB31:AM31),'Dept. Cost Actuals'!AR372)</f>
        <v>32.57140438945536</v>
      </c>
      <c r="AO31" s="684">
        <f>IF(AO$4="forecast",AVERAGE(AC31:AN31),'Dept. Cost Actuals'!AS372)</f>
        <v>32.045242486724788</v>
      </c>
      <c r="AP31" s="684">
        <f>IF(AP$4="forecast",AVERAGE(AD31:AO31),'Dept. Cost Actuals'!AT372)</f>
        <v>31.205196625279019</v>
      </c>
      <c r="AQ31" s="684">
        <f>IF(AQ$4="forecast",AVERAGE(AE31:AP31),'Dept. Cost Actuals'!AU372)</f>
        <v>30.455523380767804</v>
      </c>
      <c r="AR31" s="684">
        <f>IF(AR$4="forecast",AVERAGE(AF31:AQ31),'Dept. Cost Actuals'!AV372)</f>
        <v>29.364201841162508</v>
      </c>
      <c r="AS31" s="684">
        <f>IF(AS$4="forecast",AVERAGE(AG31:AR31),'Dept. Cost Actuals'!AW372)</f>
        <v>28.794288354812107</v>
      </c>
      <c r="AT31" s="684">
        <f>IF(AT$4="forecast",AVERAGE(AH31:AS31),'Dept. Cost Actuals'!AX372)</f>
        <v>29.132276774617456</v>
      </c>
      <c r="AU31" s="684">
        <f>IF(AU$4="forecast",AVERAGE(AI31:AT31),'Dept. Cost Actuals'!AY372)</f>
        <v>29.526705706370837</v>
      </c>
      <c r="AV31" s="684">
        <f>IF(AV$4="forecast",AVERAGE(AJ31:AU31),'Dept. Cost Actuals'!AZ372)</f>
        <v>30.00116253803715</v>
      </c>
      <c r="AW31" s="684">
        <f>IF(AW$4="forecast",AVERAGE(AK31:AV31),'Dept. Cost Actuals'!BA372)</f>
        <v>30.349648940909166</v>
      </c>
      <c r="AX31" s="684">
        <f>IF(AX$4="forecast",AVERAGE(AL31:AW31),'Dept. Cost Actuals'!BB372)</f>
        <v>30.547875004412372</v>
      </c>
      <c r="AY31" s="684">
        <f>IF(AY$4="forecast",AVERAGE(AM31:AX31),'Dept. Cost Actuals'!BC372)</f>
        <v>30.568377294187581</v>
      </c>
      <c r="AZ31" s="684">
        <f>IF(AZ$4="forecast",AVERAGE(AN31:AY31),'Dept. Cost Actuals'!BD372)</f>
        <v>30.38015861139468</v>
      </c>
      <c r="BA31" s="684">
        <f>IF(BA$4="forecast",AVERAGE(AO31:AZ31),'Dept. Cost Actuals'!BE372)</f>
        <v>30.19755479655629</v>
      </c>
      <c r="BB31" s="684">
        <f>IF(BB$4="forecast",AVERAGE(AP31:BA31),'Dept. Cost Actuals'!BF372)</f>
        <v>30.043580822375585</v>
      </c>
      <c r="BC31" s="684">
        <f>IF(BC$4="forecast",AVERAGE(AQ31:BB31),'Dept. Cost Actuals'!BG372)</f>
        <v>29.94677950546696</v>
      </c>
      <c r="BD31" s="684">
        <f>IF(BD$4="forecast",AVERAGE(AR31:BC31),'Dept. Cost Actuals'!BH372)</f>
        <v>29.904384182525224</v>
      </c>
      <c r="BE31" s="684">
        <f>IF(BE$4="forecast",AVERAGE(AS31:BD31),'Dept. Cost Actuals'!BI372)</f>
        <v>29.949399377638784</v>
      </c>
      <c r="BF31" s="684">
        <f>IF(BF$4="forecast",AVERAGE(AT31:BE31),'Dept. Cost Actuals'!BJ372)</f>
        <v>30.045658629541006</v>
      </c>
      <c r="BG31" s="684">
        <f>IF(BG$4="forecast",AVERAGE(AU31:BF31),'Dept. Cost Actuals'!BK372)</f>
        <v>30.121773784117966</v>
      </c>
      <c r="BH31" s="684">
        <f>IF(BH$4="forecast",AVERAGE(AV31:BG31),'Dept. Cost Actuals'!BL372)</f>
        <v>30.171362790596898</v>
      </c>
      <c r="BI31" s="684">
        <f>IF(BI$4="forecast",AVERAGE(AW31:BH31),'Dept. Cost Actuals'!BM372)</f>
        <v>30.185546144976879</v>
      </c>
      <c r="BJ31" s="684">
        <f>IF(BJ$4="forecast",AVERAGE(AX31:BI31),'Dept. Cost Actuals'!BN372)</f>
        <v>30.17187091198252</v>
      </c>
      <c r="BK31" s="684">
        <f>IF(BK$4="forecast",AVERAGE(AY31:BJ31),'Dept. Cost Actuals'!BO372)</f>
        <v>30.140537237613362</v>
      </c>
      <c r="BL31" s="684">
        <f>IF(BL$4="forecast",AVERAGE(AZ31:BK31),'Dept. Cost Actuals'!#REF!)</f>
        <v>30.104883899565511</v>
      </c>
      <c r="BM31" s="684">
        <f>IF(BM$4="forecast",AVERAGE(BA31:BL31),'Dept. Cost Actuals'!#REF!)</f>
        <v>30.08194434024642</v>
      </c>
      <c r="BN31" s="684">
        <f>IF(BN$4="forecast",AVERAGE(BB31:BM31),'Dept. Cost Actuals'!#REF!)</f>
        <v>30.072310135553931</v>
      </c>
      <c r="BO31" s="684">
        <f>IF(BO$4="forecast",AVERAGE(BC31:BN31),'Dept. Cost Actuals'!#REF!)</f>
        <v>30.074704244985458</v>
      </c>
      <c r="BP31" s="684">
        <f>IF(BP$4="forecast",AVERAGE(BD31:BO31),'Dept. Cost Actuals'!#REF!)</f>
        <v>30.085364639945329</v>
      </c>
      <c r="BQ31" s="684">
        <f>IF(BQ$4="forecast",AVERAGE(BE31:BP31),'Dept. Cost Actuals'!#REF!)</f>
        <v>30.100446344730344</v>
      </c>
      <c r="BR31" s="684">
        <f>IF(BR$4="forecast",AVERAGE(BF31:BQ31),'Dept. Cost Actuals'!#REF!)</f>
        <v>30.113033591987971</v>
      </c>
      <c r="BS31" s="684">
        <f>IF(BS$4="forecast",AVERAGE(BG31:BR31),'Dept. Cost Actuals'!#REF!)</f>
        <v>30.118648172191886</v>
      </c>
      <c r="BT31" s="684">
        <f>IF(BT$4="forecast",AVERAGE(BH31:BS31),'Dept. Cost Actuals'!#REF!)</f>
        <v>30.118387704531376</v>
      </c>
      <c r="BU31" s="684">
        <f>IF(BU$4="forecast",AVERAGE(BI31:BT31),'Dept. Cost Actuals'!#REF!)</f>
        <v>30.113973114025914</v>
      </c>
      <c r="BV31" s="808">
        <f>IF(BV$4="forecast",AVERAGE(BJ31:BU31),'Dept. Cost Actuals'!#REF!)</f>
        <v>30.108008694780001</v>
      </c>
    </row>
    <row r="32" spans="2:74" x14ac:dyDescent="0.35">
      <c r="B32" s="812" t="s">
        <v>948</v>
      </c>
      <c r="C32" s="684">
        <f>IF(C$4="forecast",AVERAGE(#REF!),'Dept. Cost Actuals'!G423)</f>
        <v>8.5249564038485364</v>
      </c>
      <c r="D32" s="684">
        <f>IF(D$4="forecast",AVERAGE(#REF!),'Dept. Cost Actuals'!H423)</f>
        <v>4.5473355807858669</v>
      </c>
      <c r="E32" s="684">
        <f>IF(E$4="forecast",AVERAGE(#REF!),'Dept. Cost Actuals'!I423)</f>
        <v>0</v>
      </c>
      <c r="F32" s="684">
        <f>IF(F$4="forecast",AVERAGE(#REF!),'Dept. Cost Actuals'!J423)</f>
        <v>8.1966152943318669</v>
      </c>
      <c r="G32" s="684">
        <f>IF(G$4="forecast",AVERAGE(#REF!),'Dept. Cost Actuals'!K423)</f>
        <v>72.416772421020156</v>
      </c>
      <c r="H32" s="684">
        <f>IF(H$4="forecast",AVERAGE(#REF!),'Dept. Cost Actuals'!L423)</f>
        <v>2.7908917915224842</v>
      </c>
      <c r="I32" s="684">
        <f>IF(I$4="forecast",AVERAGE(#REF!),'Dept. Cost Actuals'!M423)</f>
        <v>0</v>
      </c>
      <c r="J32" s="684">
        <f>IF(J$4="forecast",AVERAGE(#REF!),'Dept. Cost Actuals'!N423)</f>
        <v>6.5148266907367001</v>
      </c>
      <c r="K32" s="684">
        <f>IF(K$4="forecast",AVERAGE(#REF!),'Dept. Cost Actuals'!O423)</f>
        <v>1.9467336771621795</v>
      </c>
      <c r="L32" s="684">
        <f>IF(L$4="forecast",AVERAGE(#REF!),'Dept. Cost Actuals'!P423)</f>
        <v>30.407329659320947</v>
      </c>
      <c r="M32" s="684">
        <f>IF(M$4="forecast",AVERAGE(A32:L32),'Dept. Cost Actuals'!Q423)</f>
        <v>124.23246415520586</v>
      </c>
      <c r="N32" s="684">
        <f>IF(N$4="forecast",AVERAGE(B32:M32),'Dept. Cost Actuals'!R423)</f>
        <v>53.037673067672721</v>
      </c>
      <c r="O32" s="684">
        <f>IF(O$4="forecast",AVERAGE(C32:N32),'Dept. Cost Actuals'!S423)</f>
        <v>2.19</v>
      </c>
      <c r="P32" s="684">
        <f>IF(P$4="forecast",AVERAGE(D32:O32),'Dept. Cost Actuals'!T423)</f>
        <v>0</v>
      </c>
      <c r="Q32" s="684">
        <f>IF(Q$4="forecast",AVERAGE(E32:P32),'Dept. Cost Actuals'!U423)</f>
        <v>0</v>
      </c>
      <c r="R32" s="684">
        <f>IF(R$4="forecast",AVERAGE(F32:Q32),'Dept. Cost Actuals'!V423)</f>
        <v>127.04</v>
      </c>
      <c r="S32" s="684">
        <f>IF(S$4="forecast",AVERAGE(G32:R32),'Dept. Cost Actuals'!W423)</f>
        <v>0</v>
      </c>
      <c r="T32" s="684">
        <f>IF(T$4="forecast",AVERAGE(H32:S32),'Dept. Cost Actuals'!X423)</f>
        <v>0</v>
      </c>
      <c r="U32" s="684">
        <f>IF(U$4="forecast",AVERAGE(I32:T32),'Dept. Cost Actuals'!Y423)</f>
        <v>0</v>
      </c>
      <c r="V32" s="684">
        <f>IF(V$4="forecast",AVERAGE(J32:U32),'Dept. Cost Actuals'!Z423)</f>
        <v>18.39</v>
      </c>
      <c r="W32" s="684">
        <f>IF(W$4="forecast",AVERAGE(K32:V32),'Dept. Cost Actuals'!AA423)</f>
        <v>0</v>
      </c>
      <c r="X32" s="684">
        <f>IF(X$4="forecast",AVERAGE(L32:W32),'Dept. Cost Actuals'!AB423)</f>
        <v>0</v>
      </c>
      <c r="Y32" s="684">
        <f>IF(Y$4="forecast",AVERAGE(M32:X32),'Dept. Cost Actuals'!AC423)</f>
        <v>0</v>
      </c>
      <c r="Z32" s="684">
        <f>IF(Z$4="forecast",AVERAGE(N32:Y32),'Dept. Cost Actuals'!AD423)</f>
        <v>0</v>
      </c>
      <c r="AA32" s="684">
        <f>IF(AA$4="forecast",AVERAGE(O32:Z32),'Dept. Cost Actuals'!AE423)</f>
        <v>12.301666666666668</v>
      </c>
      <c r="AB32" s="684">
        <f>IF(AB$4="forecast",AVERAGE(P32:AA32),'Dept. Cost Actuals'!AF423)</f>
        <v>13.144305555555556</v>
      </c>
      <c r="AC32" s="684">
        <f>IF(AC$4="forecast",AVERAGE(Q32:AB32),'Dept. Cost Actuals'!AG423)</f>
        <v>14.239664351851852</v>
      </c>
      <c r="AD32" s="684">
        <f>IF(AD$4="forecast",AVERAGE(R32:AC32),'Dept. Cost Actuals'!AH423)</f>
        <v>15.426303047839506</v>
      </c>
      <c r="AE32" s="684">
        <f>IF(AE$4="forecast",AVERAGE(S32:AD32),'Dept. Cost Actuals'!AI423)</f>
        <v>6.1251616351594649</v>
      </c>
      <c r="AF32" s="684">
        <f>IF(AF$4="forecast",AVERAGE(T32:AE32),'Dept. Cost Actuals'!AJ423)</f>
        <v>6.635591771422753</v>
      </c>
      <c r="AG32" s="684">
        <f>IF(AG$4="forecast",AVERAGE(U32:AF32),'Dept. Cost Actuals'!AK423)</f>
        <v>7.1885577523746491</v>
      </c>
      <c r="AH32" s="684">
        <f>IF(AH$4="forecast",AVERAGE(V32:AG32),'Dept. Cost Actuals'!AL423)</f>
        <v>7.7876042317392029</v>
      </c>
      <c r="AI32" s="684">
        <f>IF(AI$4="forecast",AVERAGE(W32:AH32),'Dept. Cost Actuals'!AM423)</f>
        <v>6.9040712510508051</v>
      </c>
      <c r="AJ32" s="684">
        <f>IF(AJ$4="forecast",AVERAGE(X32:AI32),'Dept. Cost Actuals'!AN423)</f>
        <v>7.4794105219717055</v>
      </c>
      <c r="AK32" s="684">
        <f>IF(AK$4="forecast",AVERAGE(Y32:AJ32),'Dept. Cost Actuals'!AO423)</f>
        <v>8.1026947321360137</v>
      </c>
      <c r="AL32" s="684">
        <f>IF(AL$4="forecast",AVERAGE(Z32:AK32),'Dept. Cost Actuals'!AP423)</f>
        <v>8.7779192931473489</v>
      </c>
      <c r="AM32" s="684">
        <f>IF(AM$4="forecast",AVERAGE(AA32:AL32),'Dept. Cost Actuals'!AQ423)</f>
        <v>9.5094125675762946</v>
      </c>
      <c r="AN32" s="684">
        <f>IF(AN$4="forecast",AVERAGE(AB32:AM32),'Dept. Cost Actuals'!AR423)</f>
        <v>9.2767247259854297</v>
      </c>
      <c r="AO32" s="684">
        <f>IF(AO$4="forecast",AVERAGE(AC32:AN32),'Dept. Cost Actuals'!AS423)</f>
        <v>8.9544263235212522</v>
      </c>
      <c r="AP32" s="684">
        <f>IF(AP$4="forecast",AVERAGE(AD32:AO32),'Dept. Cost Actuals'!AT423)</f>
        <v>8.5139898211603668</v>
      </c>
      <c r="AQ32" s="684">
        <f>IF(AQ$4="forecast",AVERAGE(AE32:AP32),'Dept. Cost Actuals'!AU423)</f>
        <v>7.9379637189371079</v>
      </c>
      <c r="AR32" s="684">
        <f>IF(AR$4="forecast",AVERAGE(AF32:AQ32),'Dept. Cost Actuals'!AV423)</f>
        <v>8.0890305592519116</v>
      </c>
      <c r="AS32" s="684">
        <f>IF(AS$4="forecast",AVERAGE(AG32:AR32),'Dept. Cost Actuals'!AW423)</f>
        <v>8.2101504582376741</v>
      </c>
      <c r="AT32" s="684">
        <f>IF(AT$4="forecast",AVERAGE(AH32:AS32),'Dept. Cost Actuals'!AX423)</f>
        <v>8.2952831837262604</v>
      </c>
      <c r="AU32" s="684">
        <f>IF(AU$4="forecast",AVERAGE(AI32:AT32),'Dept. Cost Actuals'!AY423)</f>
        <v>8.3375897630585154</v>
      </c>
      <c r="AV32" s="684">
        <f>IF(AV$4="forecast",AVERAGE(AJ32:AU32),'Dept. Cost Actuals'!AZ423)</f>
        <v>8.4570496390591572</v>
      </c>
      <c r="AW32" s="684">
        <f>IF(AW$4="forecast",AVERAGE(AK32:AV32),'Dept. Cost Actuals'!BA423)</f>
        <v>8.5385195654831119</v>
      </c>
      <c r="AX32" s="684">
        <f>IF(AX$4="forecast",AVERAGE(AL32:AW32),'Dept. Cost Actuals'!BB423)</f>
        <v>8.5748383015953689</v>
      </c>
      <c r="AY32" s="684">
        <f>IF(AY$4="forecast",AVERAGE(AM32:AX32),'Dept. Cost Actuals'!BC423)</f>
        <v>8.5579148856327034</v>
      </c>
      <c r="AZ32" s="684">
        <f>IF(AZ$4="forecast",AVERAGE(AN32:AY32),'Dept. Cost Actuals'!BD423)</f>
        <v>8.478623412137404</v>
      </c>
      <c r="BA32" s="684">
        <f>IF(BA$4="forecast",AVERAGE(AO32:AZ32),'Dept. Cost Actuals'!BE423)</f>
        <v>8.4121149693167361</v>
      </c>
      <c r="BB32" s="684">
        <f>IF(BB$4="forecast",AVERAGE(AP32:BA32),'Dept. Cost Actuals'!BF423)</f>
        <v>8.3669223564663593</v>
      </c>
      <c r="BC32" s="684">
        <f>IF(BC$4="forecast",AVERAGE(AQ32:BB32),'Dept. Cost Actuals'!BG423)</f>
        <v>8.3546667344085268</v>
      </c>
      <c r="BD32" s="684">
        <f>IF(BD$4="forecast",AVERAGE(AR32:BC32),'Dept. Cost Actuals'!BH423)</f>
        <v>8.3893919856978112</v>
      </c>
      <c r="BE32" s="684">
        <f>IF(BE$4="forecast",AVERAGE(AS32:BD32),'Dept. Cost Actuals'!BI423)</f>
        <v>8.4144221045683025</v>
      </c>
      <c r="BF32" s="684">
        <f>IF(BF$4="forecast",AVERAGE(AT32:BE32),'Dept. Cost Actuals'!BJ423)</f>
        <v>8.4314447417625207</v>
      </c>
      <c r="BG32" s="684">
        <f>IF(BG$4="forecast",AVERAGE(AU32:BF32),'Dept. Cost Actuals'!BK423)</f>
        <v>8.4427915382655438</v>
      </c>
      <c r="BH32" s="684">
        <f>IF(BH$4="forecast",AVERAGE(AV32:BG32),'Dept. Cost Actuals'!BL423)</f>
        <v>8.4515583528661278</v>
      </c>
      <c r="BI32" s="684">
        <f>IF(BI$4="forecast",AVERAGE(AW32:BH32),'Dept. Cost Actuals'!BM423)</f>
        <v>8.4511007456833749</v>
      </c>
      <c r="BJ32" s="684">
        <f>IF(BJ$4="forecast",AVERAGE(AX32:BI32),'Dept. Cost Actuals'!BN423)</f>
        <v>8.4438158440333986</v>
      </c>
      <c r="BK32" s="684">
        <f>IF(BK$4="forecast",AVERAGE(AY32:BJ32),'Dept. Cost Actuals'!BO423)</f>
        <v>8.4328973059032339</v>
      </c>
      <c r="BL32" s="684">
        <f>IF(BL$4="forecast",AVERAGE(AZ32:BK32),'Dept. Cost Actuals'!#REF!)</f>
        <v>8.4224791742591112</v>
      </c>
      <c r="BM32" s="684">
        <f>IF(BM$4="forecast",AVERAGE(BA32:BL32),'Dept. Cost Actuals'!#REF!)</f>
        <v>8.417800487769254</v>
      </c>
      <c r="BN32" s="684">
        <f>IF(BN$4="forecast",AVERAGE(BB32:BM32),'Dept. Cost Actuals'!#REF!)</f>
        <v>8.4182742809736304</v>
      </c>
      <c r="BO32" s="684">
        <f>IF(BO$4="forecast",AVERAGE(BC32:BN32),'Dept. Cost Actuals'!#REF!)</f>
        <v>8.4225536080159049</v>
      </c>
      <c r="BP32" s="684">
        <f>IF(BP$4="forecast",AVERAGE(BD32:BO32),'Dept. Cost Actuals'!#REF!)</f>
        <v>8.4282108474831858</v>
      </c>
      <c r="BQ32" s="684">
        <f>IF(BQ$4="forecast",AVERAGE(BE32:BP32),'Dept. Cost Actuals'!#REF!)</f>
        <v>8.4314457526319675</v>
      </c>
      <c r="BR32" s="684">
        <f>IF(BR$4="forecast",AVERAGE(BF32:BQ32),'Dept. Cost Actuals'!#REF!)</f>
        <v>8.4328643899706055</v>
      </c>
      <c r="BS32" s="684">
        <f>IF(BS$4="forecast",AVERAGE(BG32:BR32),'Dept. Cost Actuals'!#REF!)</f>
        <v>8.4329826939879435</v>
      </c>
      <c r="BT32" s="684">
        <f>IF(BT$4="forecast",AVERAGE(BH32:BS32),'Dept. Cost Actuals'!#REF!)</f>
        <v>8.4321652902981441</v>
      </c>
      <c r="BU32" s="684">
        <f>IF(BU$4="forecast",AVERAGE(BI32:BT32),'Dept. Cost Actuals'!#REF!)</f>
        <v>8.4305492017508126</v>
      </c>
      <c r="BV32" s="808">
        <f>IF(BV$4="forecast",AVERAGE(BJ32:BU32),'Dept. Cost Actuals'!#REF!)</f>
        <v>8.4288365730897663</v>
      </c>
    </row>
    <row r="33" spans="2:74" x14ac:dyDescent="0.35">
      <c r="B33" s="812" t="s">
        <v>949</v>
      </c>
      <c r="C33" s="684">
        <f>IF(C$4="forecast",AVERAGE(#REF!),'Dept. Cost Actuals'!G381+'Dept. Cost Actuals'!G380)</f>
        <v>854.72362073799138</v>
      </c>
      <c r="D33" s="684">
        <f>IF(D$4="forecast",AVERAGE(#REF!),'Dept. Cost Actuals'!H381+'Dept. Cost Actuals'!H380)</f>
        <v>270.35776364067527</v>
      </c>
      <c r="E33" s="684">
        <f>IF(E$4="forecast",AVERAGE(#REF!),'Dept. Cost Actuals'!I381+'Dept. Cost Actuals'!I380)</f>
        <v>1220.3338483041584</v>
      </c>
      <c r="F33" s="684">
        <f>IF(F$4="forecast",AVERAGE(#REF!),'Dept. Cost Actuals'!J381+'Dept. Cost Actuals'!J380)</f>
        <v>358.63021367199036</v>
      </c>
      <c r="G33" s="684">
        <f>IF(G$4="forecast",AVERAGE(#REF!),'Dept. Cost Actuals'!K381+'Dept. Cost Actuals'!K380)</f>
        <v>539.5626773980124</v>
      </c>
      <c r="H33" s="684">
        <f>IF(H$4="forecast",AVERAGE(#REF!),'Dept. Cost Actuals'!L381+'Dept. Cost Actuals'!L380)</f>
        <v>1086.892674909438</v>
      </c>
      <c r="I33" s="684">
        <f>IF(I$4="forecast",AVERAGE(#REF!),'Dept. Cost Actuals'!M381+'Dept. Cost Actuals'!M380)</f>
        <v>1601.992741494852</v>
      </c>
      <c r="J33" s="684">
        <f>IF(J$4="forecast",AVERAGE(#REF!),'Dept. Cost Actuals'!N381+'Dept. Cost Actuals'!N380)</f>
        <v>737.87779225851887</v>
      </c>
      <c r="K33" s="684">
        <f>IF(K$4="forecast",AVERAGE(#REF!),'Dept. Cost Actuals'!O381+'Dept. Cost Actuals'!O380)</f>
        <v>846.20139027733626</v>
      </c>
      <c r="L33" s="684">
        <f>IF(L$4="forecast",AVERAGE(#REF!),'Dept. Cost Actuals'!P381+'Dept. Cost Actuals'!P380)</f>
        <v>1779.9969177935168</v>
      </c>
      <c r="M33" s="684">
        <f>IF(M$4="forecast",AVERAGE(A33:L33),'Dept. Cost Actuals'!Q381+'Dept. Cost Actuals'!Q380)</f>
        <v>929.95049335584963</v>
      </c>
      <c r="N33" s="684">
        <f>IF(N$4="forecast",AVERAGE(B33:M33),'Dept. Cost Actuals'!R381+'Dept. Cost Actuals'!R380)</f>
        <v>126.08553875528162</v>
      </c>
      <c r="O33" s="684">
        <f>IF(O$4="forecast",AVERAGE(C33:N33),'Dept. Cost Actuals'!S381+'Dept. Cost Actuals'!S380)</f>
        <v>0</v>
      </c>
      <c r="P33" s="684">
        <f>IF(P$4="forecast",AVERAGE(D33:O33),'Dept. Cost Actuals'!T381+'Dept. Cost Actuals'!T380)</f>
        <v>0</v>
      </c>
      <c r="Q33" s="684">
        <f>IF(Q$4="forecast",AVERAGE(E33:P33),'Dept. Cost Actuals'!U381+'Dept. Cost Actuals'!U380)</f>
        <v>0</v>
      </c>
      <c r="R33" s="684">
        <f>IF(R$4="forecast",AVERAGE(F33:Q33),'Dept. Cost Actuals'!V381+'Dept. Cost Actuals'!V380)</f>
        <v>0</v>
      </c>
      <c r="S33" s="684">
        <f>IF(S$4="forecast",AVERAGE(G33:R33),'Dept. Cost Actuals'!W381+'Dept. Cost Actuals'!W380)</f>
        <v>23</v>
      </c>
      <c r="T33" s="684">
        <f>IF(T$4="forecast",AVERAGE(H33:S33),'Dept. Cost Actuals'!X381+'Dept. Cost Actuals'!X380)</f>
        <v>0</v>
      </c>
      <c r="U33" s="684">
        <f>IF(U$4="forecast",AVERAGE(I33:T33),'Dept. Cost Actuals'!Y381+'Dept. Cost Actuals'!Y380)</f>
        <v>0</v>
      </c>
      <c r="V33" s="684">
        <f>IF(V$4="forecast",AVERAGE(J33:U33),'Dept. Cost Actuals'!Z381+'Dept. Cost Actuals'!Z380)</f>
        <v>15.3</v>
      </c>
      <c r="W33" s="684">
        <f>IF(W$4="forecast",AVERAGE(K33:V33),'Dept. Cost Actuals'!AA381+'Dept. Cost Actuals'!AA380)</f>
        <v>0</v>
      </c>
      <c r="X33" s="684">
        <f>IF(X$4="forecast",AVERAGE(L33:W33),'Dept. Cost Actuals'!AB381+'Dept. Cost Actuals'!AB380)</f>
        <v>0</v>
      </c>
      <c r="Y33" s="684">
        <f>IF(Y$4="forecast",AVERAGE(M33:X33),'Dept. Cost Actuals'!AC381+'Dept. Cost Actuals'!AC380)</f>
        <v>0</v>
      </c>
      <c r="Z33" s="684">
        <f>IF(Z$4="forecast",AVERAGE(N33:Y33),'Dept. Cost Actuals'!AD381+'Dept. Cost Actuals'!AD380)</f>
        <v>0</v>
      </c>
      <c r="AA33" s="684">
        <f>IF(AA$4="forecast",AVERAGE(O33:Z33),'Dept. Cost Actuals'!AE381+'Dept. Cost Actuals'!AE380)</f>
        <v>3.1916666666666664</v>
      </c>
      <c r="AB33" s="684">
        <f>IF(AB$4="forecast",AVERAGE(P33:AA33),'Dept. Cost Actuals'!AF381+'Dept. Cost Actuals'!AF380)</f>
        <v>3.4576388888888885</v>
      </c>
      <c r="AC33" s="684">
        <f>IF(AC$4="forecast",AVERAGE(Q33:AB33),'Dept. Cost Actuals'!AG381+'Dept. Cost Actuals'!AG380)</f>
        <v>3.7457754629629623</v>
      </c>
      <c r="AD33" s="684">
        <f>IF(AD$4="forecast",AVERAGE(R33:AC33),'Dept. Cost Actuals'!AH381+'Dept. Cost Actuals'!AH380)</f>
        <v>4.0579234182098753</v>
      </c>
      <c r="AE33" s="684">
        <f>IF(AE$4="forecast",AVERAGE(S33:AD33),'Dept. Cost Actuals'!AI381+'Dept. Cost Actuals'!AI380)</f>
        <v>4.3960837030606985</v>
      </c>
      <c r="AF33" s="684">
        <f>IF(AF$4="forecast",AVERAGE(T33:AE33),'Dept. Cost Actuals'!AJ381+'Dept. Cost Actuals'!AJ380)</f>
        <v>2.8457573449824238</v>
      </c>
      <c r="AG33" s="684">
        <f>IF(AG$4="forecast",AVERAGE(U33:AF33),'Dept. Cost Actuals'!AK381+'Dept. Cost Actuals'!AK380)</f>
        <v>3.082903790397626</v>
      </c>
      <c r="AH33" s="684">
        <f>IF(AH$4="forecast",AVERAGE(V33:AG33),'Dept. Cost Actuals'!AL381+'Dept. Cost Actuals'!AL380)</f>
        <v>3.3398124395974276</v>
      </c>
      <c r="AI33" s="684">
        <f>IF(AI$4="forecast",AVERAGE(W33:AH33),'Dept. Cost Actuals'!AM381+'Dept. Cost Actuals'!AM380)</f>
        <v>2.343130142897214</v>
      </c>
      <c r="AJ33" s="684">
        <f>IF(AJ$4="forecast",AVERAGE(X33:AI33),'Dept. Cost Actuals'!AN381+'Dept. Cost Actuals'!AN380)</f>
        <v>2.5383909881386484</v>
      </c>
      <c r="AK33" s="684">
        <f>IF(AK$4="forecast",AVERAGE(Y33:AJ33),'Dept. Cost Actuals'!AO381+'Dept. Cost Actuals'!AO380)</f>
        <v>2.7499235704835354</v>
      </c>
      <c r="AL33" s="684">
        <f>IF(AL$4="forecast",AVERAGE(Z33:AK33),'Dept. Cost Actuals'!AP381+'Dept. Cost Actuals'!AP380)</f>
        <v>2.9790838680238303</v>
      </c>
      <c r="AM33" s="684">
        <f>IF(AM$4="forecast",AVERAGE(AA33:AL33),'Dept. Cost Actuals'!AQ381+'Dept. Cost Actuals'!AQ380)</f>
        <v>3.227340857025816</v>
      </c>
      <c r="AN33" s="684">
        <f>IF(AN$4="forecast",AVERAGE(AB33:AM33),'Dept. Cost Actuals'!AR381+'Dept. Cost Actuals'!AR380)</f>
        <v>3.2303137062224123</v>
      </c>
      <c r="AO33" s="684">
        <f>IF(AO$4="forecast",AVERAGE(AC33:AN33),'Dept. Cost Actuals'!AS381+'Dept. Cost Actuals'!AS380)</f>
        <v>3.2113699410002052</v>
      </c>
      <c r="AP33" s="684">
        <f>IF(AP$4="forecast",AVERAGE(AD33:AO33),'Dept. Cost Actuals'!AT381+'Dept. Cost Actuals'!AT380)</f>
        <v>3.1668361475033096</v>
      </c>
      <c r="AQ33" s="684">
        <f>IF(AQ$4="forecast",AVERAGE(AE33:AP33),'Dept. Cost Actuals'!AU381+'Dept. Cost Actuals'!AU380)</f>
        <v>3.092578874944429</v>
      </c>
      <c r="AR33" s="684">
        <f>IF(AR$4="forecast",AVERAGE(AF33:AQ33),'Dept. Cost Actuals'!AV381+'Dept. Cost Actuals'!AV380)</f>
        <v>2.9839534726014065</v>
      </c>
      <c r="AS33" s="684">
        <f>IF(AS$4="forecast",AVERAGE(AG33:AR33),'Dept. Cost Actuals'!AW381+'Dept. Cost Actuals'!AW380)</f>
        <v>2.9954698165696549</v>
      </c>
      <c r="AT33" s="684">
        <f>IF(AT$4="forecast",AVERAGE(AH33:AS33),'Dept. Cost Actuals'!AX381+'Dept. Cost Actuals'!AX380)</f>
        <v>2.9881836520839902</v>
      </c>
      <c r="AU33" s="684">
        <f>IF(AU$4="forecast",AVERAGE(AI33:AT33),'Dept. Cost Actuals'!AY381+'Dept. Cost Actuals'!AY380)</f>
        <v>2.9588812531245376</v>
      </c>
      <c r="AV33" s="684">
        <f>IF(AV$4="forecast",AVERAGE(AJ33:AU33),'Dept. Cost Actuals'!AZ381+'Dept. Cost Actuals'!AZ380)</f>
        <v>3.0101938456434816</v>
      </c>
      <c r="AW33" s="684">
        <f>IF(AW$4="forecast",AVERAGE(AK33:AV33),'Dept. Cost Actuals'!BA381+'Dept. Cost Actuals'!BA380)</f>
        <v>3.0495107504355503</v>
      </c>
      <c r="AX33" s="684">
        <f>IF(AX$4="forecast",AVERAGE(AL33:AW33),'Dept. Cost Actuals'!BB381+'Dept. Cost Actuals'!BB380)</f>
        <v>3.0744763487648856</v>
      </c>
      <c r="AY33" s="684">
        <f>IF(AY$4="forecast",AVERAGE(AM33:AX33),'Dept. Cost Actuals'!BC381+'Dept. Cost Actuals'!BC380)</f>
        <v>3.0824257221599733</v>
      </c>
      <c r="AZ33" s="684">
        <f>IF(AZ$4="forecast",AVERAGE(AN33:AY33),'Dept. Cost Actuals'!BD381+'Dept. Cost Actuals'!BD380)</f>
        <v>3.0703494609211535</v>
      </c>
      <c r="BA33" s="684">
        <f>IF(BA$4="forecast",AVERAGE(AO33:AZ33),'Dept. Cost Actuals'!BE381+'Dept. Cost Actuals'!BE380)</f>
        <v>3.0570191071460484</v>
      </c>
      <c r="BB33" s="684">
        <f>IF(BB$4="forecast",AVERAGE(AP33:BA33),'Dept. Cost Actuals'!BF381+'Dept. Cost Actuals'!BF380)</f>
        <v>3.0441565376582016</v>
      </c>
      <c r="BC33" s="684">
        <f>IF(BC$4="forecast",AVERAGE(AQ33:BB33),'Dept. Cost Actuals'!BG381+'Dept. Cost Actuals'!BG380)</f>
        <v>3.0339332368377767</v>
      </c>
      <c r="BD33" s="684">
        <f>IF(BD$4="forecast",AVERAGE(AR33:BC33),'Dept. Cost Actuals'!BH381+'Dept. Cost Actuals'!BH380)</f>
        <v>3.029046100328888</v>
      </c>
      <c r="BE33" s="684">
        <f>IF(BE$4="forecast",AVERAGE(AS33:BD33),'Dept. Cost Actuals'!BI381+'Dept. Cost Actuals'!BI380)</f>
        <v>3.0328038193061784</v>
      </c>
      <c r="BF33" s="684">
        <f>IF(BF$4="forecast",AVERAGE(AT33:BE33),'Dept. Cost Actuals'!BJ381+'Dept. Cost Actuals'!BJ380)</f>
        <v>3.0359149862008894</v>
      </c>
      <c r="BG33" s="684">
        <f>IF(BG$4="forecast",AVERAGE(AU33:BF33),'Dept. Cost Actuals'!BK381+'Dept. Cost Actuals'!BK380)</f>
        <v>3.0398925973772966</v>
      </c>
      <c r="BH33" s="684">
        <f>IF(BH$4="forecast",AVERAGE(AV33:BG33),'Dept. Cost Actuals'!BL381+'Dept. Cost Actuals'!BL380)</f>
        <v>3.0466435427316934</v>
      </c>
      <c r="BI33" s="684">
        <f>IF(BI$4="forecast",AVERAGE(AW33:BH33),'Dept. Cost Actuals'!BM381+'Dept. Cost Actuals'!BM380)</f>
        <v>3.0496810174890445</v>
      </c>
      <c r="BJ33" s="684">
        <f>IF(BJ$4="forecast",AVERAGE(AX33:BI33),'Dept. Cost Actuals'!BN381+'Dept. Cost Actuals'!BN380)</f>
        <v>3.0496952064101688</v>
      </c>
      <c r="BK33" s="684">
        <f>IF(BK$4="forecast",AVERAGE(AY33:BJ33),'Dept. Cost Actuals'!BO381+'Dept. Cost Actuals'!BO380)</f>
        <v>3.0476301112139428</v>
      </c>
      <c r="BL33" s="684">
        <f>IF(BL$4="forecast",AVERAGE(AZ33:BK33),'Dept. Cost Actuals'!#REF!+'Dept. Cost Actuals'!#REF!)</f>
        <v>3.0447304769684407</v>
      </c>
      <c r="BM33" s="684">
        <f>IF(BM$4="forecast",AVERAGE(BA33:BL33),'Dept. Cost Actuals'!#REF!+'Dept. Cost Actuals'!#REF!)</f>
        <v>3.0425955616390472</v>
      </c>
      <c r="BN33" s="684">
        <f>IF(BN$4="forecast",AVERAGE(BB33:BM33),'Dept. Cost Actuals'!#REF!+'Dept. Cost Actuals'!#REF!)</f>
        <v>3.041393599513464</v>
      </c>
      <c r="BO33" s="684">
        <f>IF(BO$4="forecast",AVERAGE(BC33:BN33),'Dept. Cost Actuals'!#REF!+'Dept. Cost Actuals'!#REF!)</f>
        <v>3.0411633546680688</v>
      </c>
      <c r="BP33" s="684">
        <f>IF(BP$4="forecast",AVERAGE(BD33:BO33),'Dept. Cost Actuals'!#REF!+'Dept. Cost Actuals'!#REF!)</f>
        <v>3.0417658644872603</v>
      </c>
      <c r="BQ33" s="684">
        <f>IF(BQ$4="forecast",AVERAGE(BE33:BP33),'Dept. Cost Actuals'!#REF!+'Dept. Cost Actuals'!#REF!)</f>
        <v>3.042825844833791</v>
      </c>
      <c r="BR33" s="684">
        <f>IF(BR$4="forecast",AVERAGE(BF33:BQ33),'Dept. Cost Actuals'!#REF!+'Dept. Cost Actuals'!#REF!)</f>
        <v>3.0436610136277591</v>
      </c>
      <c r="BS33" s="684">
        <f>IF(BS$4="forecast",AVERAGE(BG33:BR33),'Dept. Cost Actuals'!#REF!+'Dept. Cost Actuals'!#REF!)</f>
        <v>3.0443065159133318</v>
      </c>
      <c r="BT33" s="684">
        <f>IF(BT$4="forecast",AVERAGE(BH33:BS33),'Dept. Cost Actuals'!#REF!+'Dept. Cost Actuals'!#REF!)</f>
        <v>3.0446743424580016</v>
      </c>
      <c r="BU33" s="684">
        <f>IF(BU$4="forecast",AVERAGE(BI33:BT33),'Dept. Cost Actuals'!#REF!+'Dept. Cost Actuals'!#REF!)</f>
        <v>3.0445102424351931</v>
      </c>
      <c r="BV33" s="808">
        <f>IF(BV$4="forecast",AVERAGE(BJ33:BU33),'Dept. Cost Actuals'!#REF!+'Dept. Cost Actuals'!#REF!)</f>
        <v>3.0440793445140391</v>
      </c>
    </row>
    <row r="34" spans="2:74" x14ac:dyDescent="0.35">
      <c r="B34" s="812" t="s">
        <v>950</v>
      </c>
      <c r="C34" s="684">
        <f>IF(C$4="forecast",AVERAGE(#REF!),'Dept. Cost Actuals'!G424)</f>
        <v>0</v>
      </c>
      <c r="D34" s="684">
        <f>IF(D$4="forecast",AVERAGE(#REF!),'Dept. Cost Actuals'!H424)</f>
        <v>0</v>
      </c>
      <c r="E34" s="684">
        <f>IF(E$4="forecast",AVERAGE(#REF!),'Dept. Cost Actuals'!I424)</f>
        <v>0</v>
      </c>
      <c r="F34" s="684">
        <f>IF(F$4="forecast",AVERAGE(#REF!),'Dept. Cost Actuals'!J424)</f>
        <v>195.66746752636712</v>
      </c>
      <c r="G34" s="684">
        <f>IF(G$4="forecast",AVERAGE(#REF!),'Dept. Cost Actuals'!K424)</f>
        <v>15.444243856118895</v>
      </c>
      <c r="H34" s="684">
        <f>IF(H$4="forecast",AVERAGE(#REF!),'Dept. Cost Actuals'!L424)</f>
        <v>0</v>
      </c>
      <c r="I34" s="684">
        <f>IF(I$4="forecast",AVERAGE(#REF!),'Dept. Cost Actuals'!M424)</f>
        <v>0</v>
      </c>
      <c r="J34" s="684">
        <f>IF(J$4="forecast",AVERAGE(#REF!),'Dept. Cost Actuals'!N424)</f>
        <v>0</v>
      </c>
      <c r="K34" s="684">
        <f>IF(K$4="forecast",AVERAGE(#REF!),'Dept. Cost Actuals'!O424)</f>
        <v>29.065028416303786</v>
      </c>
      <c r="L34" s="684">
        <f>IF(L$4="forecast",AVERAGE(#REF!),'Dept. Cost Actuals'!P424)</f>
        <v>0.56716190106561881</v>
      </c>
      <c r="M34" s="684">
        <f>IF(M$4="forecast",AVERAGE(A34:L34),'Dept. Cost Actuals'!Q424)</f>
        <v>44.266668167404973</v>
      </c>
      <c r="N34" s="684">
        <f>IF(N$4="forecast",AVERAGE(B34:M34),'Dept. Cost Actuals'!R424)</f>
        <v>0</v>
      </c>
      <c r="O34" s="684">
        <f>IF(O$4="forecast",AVERAGE(C34:N34),'Dept. Cost Actuals'!S424)</f>
        <v>0</v>
      </c>
      <c r="P34" s="684">
        <f>IF(P$4="forecast",AVERAGE(D34:O34),'Dept. Cost Actuals'!T424)</f>
        <v>0</v>
      </c>
      <c r="Q34" s="684">
        <f>IF(Q$4="forecast",AVERAGE(E34:P34),'Dept. Cost Actuals'!U424)</f>
        <v>0</v>
      </c>
      <c r="R34" s="684">
        <f>IF(R$4="forecast",AVERAGE(F34:Q34),'Dept. Cost Actuals'!V424)</f>
        <v>71.25</v>
      </c>
      <c r="S34" s="684">
        <f>IF(S$4="forecast",AVERAGE(G34:R34),'Dept. Cost Actuals'!W424)</f>
        <v>0</v>
      </c>
      <c r="T34" s="684">
        <f>IF(T$4="forecast",AVERAGE(H34:S34),'Dept. Cost Actuals'!X424)</f>
        <v>0</v>
      </c>
      <c r="U34" s="684">
        <f>IF(U$4="forecast",AVERAGE(I34:T34),'Dept. Cost Actuals'!Y424)</f>
        <v>0</v>
      </c>
      <c r="V34" s="684">
        <f>IF(V$4="forecast",AVERAGE(J34:U34),'Dept. Cost Actuals'!Z424)</f>
        <v>0</v>
      </c>
      <c r="W34" s="684">
        <f>IF(W$4="forecast",AVERAGE(K34:V34),'Dept. Cost Actuals'!AA424)</f>
        <v>0</v>
      </c>
      <c r="X34" s="684">
        <f>IF(X$4="forecast",AVERAGE(L34:W34),'Dept. Cost Actuals'!AB424)</f>
        <v>0</v>
      </c>
      <c r="Y34" s="684">
        <f>IF(Y$4="forecast",AVERAGE(M34:X34),'Dept. Cost Actuals'!AC424)</f>
        <v>0</v>
      </c>
      <c r="Z34" s="684">
        <f>IF(Z$4="forecast",AVERAGE(N34:Y34),'Dept. Cost Actuals'!AD424)</f>
        <v>0</v>
      </c>
      <c r="AA34" s="684">
        <f>IF(AA$4="forecast",AVERAGE(O34:Z34),'Dept. Cost Actuals'!AE424)</f>
        <v>5.9375</v>
      </c>
      <c r="AB34" s="684">
        <f>IF(AB$4="forecast",AVERAGE(P34:AA34),'Dept. Cost Actuals'!AF424)</f>
        <v>6.432291666666667</v>
      </c>
      <c r="AC34" s="684">
        <f>IF(AC$4="forecast",AVERAGE(Q34:AB34),'Dept. Cost Actuals'!AG424)</f>
        <v>6.9683159722222223</v>
      </c>
      <c r="AD34" s="684">
        <f>IF(AD$4="forecast",AVERAGE(R34:AC34),'Dept. Cost Actuals'!AH424)</f>
        <v>7.5490089699074083</v>
      </c>
      <c r="AE34" s="684">
        <f>IF(AE$4="forecast",AVERAGE(S34:AD34),'Dept. Cost Actuals'!AI424)</f>
        <v>2.2405930507330249</v>
      </c>
      <c r="AF34" s="684">
        <f>IF(AF$4="forecast",AVERAGE(T34:AE34),'Dept. Cost Actuals'!AJ424)</f>
        <v>2.4273091382941101</v>
      </c>
      <c r="AG34" s="684">
        <f>IF(AG$4="forecast",AVERAGE(U34:AF34),'Dept. Cost Actuals'!AK424)</f>
        <v>2.6295848998186195</v>
      </c>
      <c r="AH34" s="684">
        <f>IF(AH$4="forecast",AVERAGE(V34:AG34),'Dept. Cost Actuals'!AL424)</f>
        <v>2.8487169748035046</v>
      </c>
      <c r="AI34" s="684">
        <f>IF(AI$4="forecast",AVERAGE(W34:AH34),'Dept. Cost Actuals'!AM424)</f>
        <v>3.0861100560371297</v>
      </c>
      <c r="AJ34" s="684">
        <f>IF(AJ$4="forecast",AVERAGE(X34:AI34),'Dept. Cost Actuals'!AN424)</f>
        <v>3.3432858940402235</v>
      </c>
      <c r="AK34" s="684">
        <f>IF(AK$4="forecast",AVERAGE(Y34:AJ34),'Dept. Cost Actuals'!AO424)</f>
        <v>3.6218930518769086</v>
      </c>
      <c r="AL34" s="684">
        <f>IF(AL$4="forecast",AVERAGE(Z34:AK34),'Dept. Cost Actuals'!AP424)</f>
        <v>3.9237174728666511</v>
      </c>
      <c r="AM34" s="684">
        <f>IF(AM$4="forecast",AVERAGE(AA34:AL34),'Dept. Cost Actuals'!AQ424)</f>
        <v>4.2506939289388717</v>
      </c>
      <c r="AN34" s="684">
        <f>IF(AN$4="forecast",AVERAGE(AB34:AM34),'Dept. Cost Actuals'!AR424)</f>
        <v>4.1101267563504456</v>
      </c>
      <c r="AO34" s="684">
        <f>IF(AO$4="forecast",AVERAGE(AC34:AN34),'Dept. Cost Actuals'!AS424)</f>
        <v>3.9166130138240933</v>
      </c>
      <c r="AP34" s="684">
        <f>IF(AP$4="forecast",AVERAGE(AD34:AO34),'Dept. Cost Actuals'!AT424)</f>
        <v>3.6623044339575821</v>
      </c>
      <c r="AQ34" s="684">
        <f>IF(AQ$4="forecast",AVERAGE(AE34:AP34),'Dept. Cost Actuals'!AU424)</f>
        <v>3.338412389295097</v>
      </c>
      <c r="AR34" s="684">
        <f>IF(AR$4="forecast",AVERAGE(AF34:AQ34),'Dept. Cost Actuals'!AV424)</f>
        <v>3.4298973341752692</v>
      </c>
      <c r="AS34" s="684">
        <f>IF(AS$4="forecast",AVERAGE(AG34:AR34),'Dept. Cost Actuals'!AW424)</f>
        <v>3.513446350498699</v>
      </c>
      <c r="AT34" s="684">
        <f>IF(AT$4="forecast",AVERAGE(AH34:AS34),'Dept. Cost Actuals'!AX424)</f>
        <v>3.5871014713887064</v>
      </c>
      <c r="AU34" s="684">
        <f>IF(AU$4="forecast",AVERAGE(AI34:AT34),'Dept. Cost Actuals'!AY424)</f>
        <v>3.6486335127708061</v>
      </c>
      <c r="AV34" s="684">
        <f>IF(AV$4="forecast",AVERAGE(AJ34:AU34),'Dept. Cost Actuals'!AZ424)</f>
        <v>3.6955104674986128</v>
      </c>
      <c r="AW34" s="684">
        <f>IF(AW$4="forecast",AVERAGE(AK34:AV34),'Dept. Cost Actuals'!BA424)</f>
        <v>3.7248625152868122</v>
      </c>
      <c r="AX34" s="684">
        <f>IF(AX$4="forecast",AVERAGE(AL34:AW34),'Dept. Cost Actuals'!BB424)</f>
        <v>3.7334433039043042</v>
      </c>
      <c r="AY34" s="684">
        <f>IF(AY$4="forecast",AVERAGE(AM34:AX34),'Dept. Cost Actuals'!BC424)</f>
        <v>3.7175871231574416</v>
      </c>
      <c r="AZ34" s="684">
        <f>IF(AZ$4="forecast",AVERAGE(AN34:AY34),'Dept. Cost Actuals'!BD424)</f>
        <v>3.673161556008989</v>
      </c>
      <c r="BA34" s="684">
        <f>IF(BA$4="forecast",AVERAGE(AO34:AZ34),'Dept. Cost Actuals'!BE424)</f>
        <v>3.6367477893138687</v>
      </c>
      <c r="BB34" s="684">
        <f>IF(BB$4="forecast",AVERAGE(AP34:BA34),'Dept. Cost Actuals'!BF424)</f>
        <v>3.6134256872713491</v>
      </c>
      <c r="BC34" s="684">
        <f>IF(BC$4="forecast",AVERAGE(AQ34:BB34),'Dept. Cost Actuals'!BG424)</f>
        <v>3.6093524583808301</v>
      </c>
      <c r="BD34" s="684">
        <f>IF(BD$4="forecast",AVERAGE(AR34:BC34),'Dept. Cost Actuals'!BH424)</f>
        <v>3.6319307974713078</v>
      </c>
      <c r="BE34" s="684">
        <f>IF(BE$4="forecast",AVERAGE(AS34:BD34),'Dept. Cost Actuals'!BI424)</f>
        <v>3.648766919412644</v>
      </c>
      <c r="BF34" s="684">
        <f>IF(BF$4="forecast",AVERAGE(AT34:BE34),'Dept. Cost Actuals'!BJ424)</f>
        <v>3.6600436334888062</v>
      </c>
      <c r="BG34" s="684">
        <f>IF(BG$4="forecast",AVERAGE(AU34:BF34),'Dept. Cost Actuals'!BK424)</f>
        <v>3.666122146997147</v>
      </c>
      <c r="BH34" s="684">
        <f>IF(BH$4="forecast",AVERAGE(AV34:BG34),'Dept. Cost Actuals'!BL424)</f>
        <v>3.6675795331826762</v>
      </c>
      <c r="BI34" s="684">
        <f>IF(BI$4="forecast",AVERAGE(AW34:BH34),'Dept. Cost Actuals'!BM424)</f>
        <v>3.6652519553230145</v>
      </c>
      <c r="BJ34" s="684">
        <f>IF(BJ$4="forecast",AVERAGE(AX34:BI34),'Dept. Cost Actuals'!BN424)</f>
        <v>3.6602844086593649</v>
      </c>
      <c r="BK34" s="684">
        <f>IF(BK$4="forecast",AVERAGE(AY34:BJ34),'Dept. Cost Actuals'!BO424)</f>
        <v>3.65418783405562</v>
      </c>
      <c r="BL34" s="684">
        <f>IF(BL$4="forecast",AVERAGE(AZ34:BK34),'Dept. Cost Actuals'!#REF!)</f>
        <v>3.6489045599638015</v>
      </c>
      <c r="BM34" s="684">
        <f>IF(BM$4="forecast",AVERAGE(BA34:BL34),'Dept. Cost Actuals'!#REF!)</f>
        <v>3.6468831436267024</v>
      </c>
      <c r="BN34" s="684">
        <f>IF(BN$4="forecast",AVERAGE(BB34:BM34),'Dept. Cost Actuals'!#REF!)</f>
        <v>3.6477277564861055</v>
      </c>
      <c r="BO34" s="684">
        <f>IF(BO$4="forecast",AVERAGE(BC34:BN34),'Dept. Cost Actuals'!#REF!)</f>
        <v>3.6505862622540022</v>
      </c>
      <c r="BP34" s="684">
        <f>IF(BP$4="forecast",AVERAGE(BD34:BO34),'Dept. Cost Actuals'!#REF!)</f>
        <v>3.6540224125767655</v>
      </c>
      <c r="BQ34" s="684">
        <f>IF(BQ$4="forecast",AVERAGE(BE34:BP34),'Dept. Cost Actuals'!#REF!)</f>
        <v>3.6558633805022205</v>
      </c>
      <c r="BR34" s="684">
        <f>IF(BR$4="forecast",AVERAGE(BF34:BQ34),'Dept. Cost Actuals'!#REF!)</f>
        <v>3.6564547522596853</v>
      </c>
      <c r="BS34" s="684">
        <f>IF(BS$4="forecast",AVERAGE(BG34:BR34),'Dept. Cost Actuals'!#REF!)</f>
        <v>3.6561556788239251</v>
      </c>
      <c r="BT34" s="684">
        <f>IF(BT$4="forecast",AVERAGE(BH34:BS34),'Dept. Cost Actuals'!#REF!)</f>
        <v>3.6553251398094901</v>
      </c>
      <c r="BU34" s="684">
        <f>IF(BU$4="forecast",AVERAGE(BI34:BT34),'Dept. Cost Actuals'!#REF!)</f>
        <v>3.654303940361725</v>
      </c>
      <c r="BV34" s="808">
        <f>IF(BV$4="forecast",AVERAGE(BJ34:BU34),'Dept. Cost Actuals'!#REF!)</f>
        <v>3.6533916057816178</v>
      </c>
    </row>
    <row r="35" spans="2:74" x14ac:dyDescent="0.35">
      <c r="B35" s="812" t="s">
        <v>927</v>
      </c>
      <c r="C35" s="684">
        <f>IF(C$4="forecast",AVERAGE(#REF!),'Dept. Cost Actuals'!G433)</f>
        <v>0</v>
      </c>
      <c r="D35" s="684">
        <f>IF(D$4="forecast",AVERAGE(#REF!),'Dept. Cost Actuals'!H433)</f>
        <v>0</v>
      </c>
      <c r="E35" s="684">
        <f>IF(E$4="forecast",AVERAGE(#REF!),'Dept. Cost Actuals'!I433)</f>
        <v>0</v>
      </c>
      <c r="F35" s="684">
        <f>IF(F$4="forecast",AVERAGE(#REF!),'Dept. Cost Actuals'!J433)</f>
        <v>0</v>
      </c>
      <c r="G35" s="684">
        <f>IF(G$4="forecast",AVERAGE(#REF!),'Dept. Cost Actuals'!K433)</f>
        <v>0</v>
      </c>
      <c r="H35" s="684">
        <f>IF(H$4="forecast",AVERAGE(#REF!),'Dept. Cost Actuals'!L433)</f>
        <v>0</v>
      </c>
      <c r="I35" s="684">
        <f>IF(I$4="forecast",AVERAGE(#REF!),'Dept. Cost Actuals'!M433)</f>
        <v>0</v>
      </c>
      <c r="J35" s="684">
        <f>IF(J$4="forecast",AVERAGE(#REF!),'Dept. Cost Actuals'!N433)</f>
        <v>0</v>
      </c>
      <c r="K35" s="684">
        <f>IF(K$4="forecast",AVERAGE(#REF!),'Dept. Cost Actuals'!O433)</f>
        <v>0</v>
      </c>
      <c r="L35" s="684">
        <f>IF(L$4="forecast",AVERAGE(#REF!),'Dept. Cost Actuals'!P433)</f>
        <v>0</v>
      </c>
      <c r="M35" s="684">
        <f>IF(M$4="forecast",AVERAGE(A35:L35),'Dept. Cost Actuals'!Q433)</f>
        <v>0</v>
      </c>
      <c r="N35" s="684">
        <f>IF(N$4="forecast",AVERAGE(B35:M35),'Dept. Cost Actuals'!R433)</f>
        <v>0</v>
      </c>
      <c r="O35" s="684">
        <f>IF(O$4="forecast",AVERAGE(C35:N35),'Dept. Cost Actuals'!S433)</f>
        <v>0</v>
      </c>
      <c r="P35" s="684">
        <f>IF(P$4="forecast",AVERAGE(D35:O35),'Dept. Cost Actuals'!T433)</f>
        <v>0</v>
      </c>
      <c r="Q35" s="684">
        <f>IF(Q$4="forecast",AVERAGE(E35:P35),'Dept. Cost Actuals'!U433)</f>
        <v>0</v>
      </c>
      <c r="R35" s="684">
        <f>IF(R$4="forecast",AVERAGE(F35:Q35),'Dept. Cost Actuals'!V433)</f>
        <v>0</v>
      </c>
      <c r="S35" s="684">
        <f>IF(S$4="forecast",AVERAGE(G35:R35),'Dept. Cost Actuals'!W433)</f>
        <v>0</v>
      </c>
      <c r="T35" s="684">
        <f>IF(T$4="forecast",AVERAGE(H35:S35),'Dept. Cost Actuals'!X433)</f>
        <v>0</v>
      </c>
      <c r="U35" s="684">
        <f>IF(U$4="forecast",AVERAGE(I35:T35),'Dept. Cost Actuals'!Y433)</f>
        <v>0</v>
      </c>
      <c r="V35" s="684">
        <f>IF(V$4="forecast",AVERAGE(J35:U35),'Dept. Cost Actuals'!Z433)</f>
        <v>0</v>
      </c>
      <c r="W35" s="684">
        <f>IF(W$4="forecast",AVERAGE(K35:V35),'Dept. Cost Actuals'!AA433)</f>
        <v>0</v>
      </c>
      <c r="X35" s="684">
        <f>IF(X$4="forecast",AVERAGE(L35:W35),'Dept. Cost Actuals'!AB433)</f>
        <v>0</v>
      </c>
      <c r="Y35" s="684">
        <f>IF(Y$4="forecast",AVERAGE(M35:X35),'Dept. Cost Actuals'!AC433)</f>
        <v>0</v>
      </c>
      <c r="Z35" s="684">
        <f>IF(Z$4="forecast",AVERAGE(N35:Y35),'Dept. Cost Actuals'!AD433)</f>
        <v>0</v>
      </c>
      <c r="AA35" s="684">
        <f>IF(AA$4="forecast",AVERAGE(O35:Z35),'Dept. Cost Actuals'!AE433)</f>
        <v>0</v>
      </c>
      <c r="AB35" s="684">
        <f>IF(AB$4="forecast",AVERAGE(P35:AA35),'Dept. Cost Actuals'!AF433)</f>
        <v>0</v>
      </c>
      <c r="AC35" s="684">
        <f>IF(AC$4="forecast",AVERAGE(Q35:AB35),'Dept. Cost Actuals'!AG433)</f>
        <v>0</v>
      </c>
      <c r="AD35" s="684">
        <f>IF(AD$4="forecast",AVERAGE(R35:AC35),'Dept. Cost Actuals'!AH433)</f>
        <v>0</v>
      </c>
      <c r="AE35" s="684">
        <f>IF(AE$4="forecast",AVERAGE(S35:AD35),'Dept. Cost Actuals'!AI433)</f>
        <v>0</v>
      </c>
      <c r="AF35" s="684">
        <f>IF(AF$4="forecast",AVERAGE(T35:AE35),'Dept. Cost Actuals'!AJ433)</f>
        <v>0</v>
      </c>
      <c r="AG35" s="684">
        <f>IF(AG$4="forecast",AVERAGE(U35:AF35),'Dept. Cost Actuals'!AK433)</f>
        <v>0</v>
      </c>
      <c r="AH35" s="684">
        <f>IF(AH$4="forecast",AVERAGE(V35:AG35),'Dept. Cost Actuals'!AL433)</f>
        <v>0</v>
      </c>
      <c r="AI35" s="684">
        <f>IF(AI$4="forecast",AVERAGE(W35:AH35),'Dept. Cost Actuals'!AM433)</f>
        <v>0</v>
      </c>
      <c r="AJ35" s="684">
        <f>IF(AJ$4="forecast",AVERAGE(X35:AI35),'Dept. Cost Actuals'!AN433)</f>
        <v>0</v>
      </c>
      <c r="AK35" s="684">
        <f>IF(AK$4="forecast",AVERAGE(Y35:AJ35),'Dept. Cost Actuals'!AO433)</f>
        <v>0</v>
      </c>
      <c r="AL35" s="684">
        <f>IF(AL$4="forecast",AVERAGE(Z35:AK35),'Dept. Cost Actuals'!AP433)</f>
        <v>0</v>
      </c>
      <c r="AM35" s="684">
        <f>IF(AM$4="forecast",AVERAGE(AA35:AL35),'Dept. Cost Actuals'!AQ433)</f>
        <v>0</v>
      </c>
      <c r="AN35" s="684">
        <f>IF(AN$4="forecast",AVERAGE(AB35:AM35),'Dept. Cost Actuals'!AR433)</f>
        <v>0</v>
      </c>
      <c r="AO35" s="684">
        <f>IF(AO$4="forecast",AVERAGE(AC35:AN35),'Dept. Cost Actuals'!AS433)</f>
        <v>0</v>
      </c>
      <c r="AP35" s="684">
        <f>IF(AP$4="forecast",AVERAGE(AD35:AO35),'Dept. Cost Actuals'!AT433)</f>
        <v>0</v>
      </c>
      <c r="AQ35" s="684">
        <f>IF(AQ$4="forecast",AVERAGE(AE35:AP35),'Dept. Cost Actuals'!AU433)</f>
        <v>0</v>
      </c>
      <c r="AR35" s="684">
        <f>IF(AR$4="forecast",AVERAGE(AF35:AQ35),'Dept. Cost Actuals'!AV433)</f>
        <v>0</v>
      </c>
      <c r="AS35" s="684">
        <f>IF(AS$4="forecast",AVERAGE(AG35:AR35),'Dept. Cost Actuals'!AW433)</f>
        <v>0</v>
      </c>
      <c r="AT35" s="684">
        <f>IF(AT$4="forecast",AVERAGE(AH35:AS35),'Dept. Cost Actuals'!AX433)</f>
        <v>0</v>
      </c>
      <c r="AU35" s="684">
        <f>IF(AU$4="forecast",AVERAGE(AI35:AT35),'Dept. Cost Actuals'!AY433)</f>
        <v>0</v>
      </c>
      <c r="AV35" s="684">
        <f>IF(AV$4="forecast",AVERAGE(AJ35:AU35),'Dept. Cost Actuals'!AZ433)</f>
        <v>0</v>
      </c>
      <c r="AW35" s="684">
        <f>IF(AW$4="forecast",AVERAGE(AK35:AV35),'Dept. Cost Actuals'!BA433)</f>
        <v>0</v>
      </c>
      <c r="AX35" s="684">
        <f>IF(AX$4="forecast",AVERAGE(AL35:AW35),'Dept. Cost Actuals'!BB433)</f>
        <v>0</v>
      </c>
      <c r="AY35" s="684">
        <f>IF(AY$4="forecast",AVERAGE(AM35:AX35),'Dept. Cost Actuals'!BC433)</f>
        <v>0</v>
      </c>
      <c r="AZ35" s="684">
        <f>IF(AZ$4="forecast",AVERAGE(AN35:AY35),'Dept. Cost Actuals'!BD433)</f>
        <v>0</v>
      </c>
      <c r="BA35" s="684">
        <f>IF(BA$4="forecast",AVERAGE(AO35:AZ35),'Dept. Cost Actuals'!BE433)</f>
        <v>0</v>
      </c>
      <c r="BB35" s="684">
        <f>IF(BB$4="forecast",AVERAGE(AP35:BA35),'Dept. Cost Actuals'!BF433)</f>
        <v>0</v>
      </c>
      <c r="BC35" s="684">
        <f>IF(BC$4="forecast",AVERAGE(AQ35:BB35),'Dept. Cost Actuals'!BG433)</f>
        <v>0</v>
      </c>
      <c r="BD35" s="684">
        <f>IF(BD$4="forecast",AVERAGE(AR35:BC35),'Dept. Cost Actuals'!BH433)</f>
        <v>0</v>
      </c>
      <c r="BE35" s="684">
        <f>IF(BE$4="forecast",AVERAGE(AS35:BD35),'Dept. Cost Actuals'!BI433)</f>
        <v>0</v>
      </c>
      <c r="BF35" s="684">
        <f>IF(BF$4="forecast",AVERAGE(AT35:BE35),'Dept. Cost Actuals'!BJ433)</f>
        <v>0</v>
      </c>
      <c r="BG35" s="684">
        <f>IF(BG$4="forecast",AVERAGE(AU35:BF35),'Dept. Cost Actuals'!BK433)</f>
        <v>0</v>
      </c>
      <c r="BH35" s="684">
        <f>IF(BH$4="forecast",AVERAGE(AV35:BG35),'Dept. Cost Actuals'!BL433)</f>
        <v>0</v>
      </c>
      <c r="BI35" s="684">
        <f>IF(BI$4="forecast",AVERAGE(AW35:BH35),'Dept. Cost Actuals'!BM433)</f>
        <v>0</v>
      </c>
      <c r="BJ35" s="684">
        <f>IF(BJ$4="forecast",AVERAGE(AX35:BI35),'Dept. Cost Actuals'!BN433)</f>
        <v>0</v>
      </c>
      <c r="BK35" s="684">
        <f>IF(BK$4="forecast",AVERAGE(AY35:BJ35),'Dept. Cost Actuals'!BO433)</f>
        <v>0</v>
      </c>
      <c r="BL35" s="684">
        <f>IF(BL$4="forecast",AVERAGE(AZ35:BK35),'Dept. Cost Actuals'!#REF!)</f>
        <v>0</v>
      </c>
      <c r="BM35" s="684">
        <f>IF(BM$4="forecast",AVERAGE(BA35:BL35),'Dept. Cost Actuals'!#REF!)</f>
        <v>0</v>
      </c>
      <c r="BN35" s="684">
        <f>IF(BN$4="forecast",AVERAGE(BB35:BM35),'Dept. Cost Actuals'!#REF!)</f>
        <v>0</v>
      </c>
      <c r="BO35" s="684">
        <f>IF(BO$4="forecast",AVERAGE(BC35:BN35),'Dept. Cost Actuals'!#REF!)</f>
        <v>0</v>
      </c>
      <c r="BP35" s="684">
        <f>IF(BP$4="forecast",AVERAGE(BD35:BO35),'Dept. Cost Actuals'!#REF!)</f>
        <v>0</v>
      </c>
      <c r="BQ35" s="684">
        <f>IF(BQ$4="forecast",AVERAGE(BE35:BP35),'Dept. Cost Actuals'!#REF!)</f>
        <v>0</v>
      </c>
      <c r="BR35" s="684">
        <f>IF(BR$4="forecast",AVERAGE(BF35:BQ35),'Dept. Cost Actuals'!#REF!)</f>
        <v>0</v>
      </c>
      <c r="BS35" s="684">
        <f>IF(BS$4="forecast",AVERAGE(BG35:BR35),'Dept. Cost Actuals'!#REF!)</f>
        <v>0</v>
      </c>
      <c r="BT35" s="684">
        <f>IF(BT$4="forecast",AVERAGE(BH35:BS35),'Dept. Cost Actuals'!#REF!)</f>
        <v>0</v>
      </c>
      <c r="BU35" s="684">
        <f>IF(BU$4="forecast",AVERAGE(BI35:BT35),'Dept. Cost Actuals'!#REF!)</f>
        <v>0</v>
      </c>
      <c r="BV35" s="808">
        <f>IF(BV$4="forecast",AVERAGE(BJ35:BU35),'Dept. Cost Actuals'!#REF!)</f>
        <v>0</v>
      </c>
    </row>
    <row r="36" spans="2:74" x14ac:dyDescent="0.35">
      <c r="B36" s="812" t="s">
        <v>928</v>
      </c>
      <c r="C36" s="684">
        <f>IF(C$4="forecast",AVERAGE(#REF!),'Dept. Cost Actuals'!G458)</f>
        <v>208.08498911708659</v>
      </c>
      <c r="D36" s="684">
        <f>IF(D$4="forecast",AVERAGE(#REF!),'Dept. Cost Actuals'!H458)</f>
        <v>151.19530972637</v>
      </c>
      <c r="E36" s="684">
        <f>IF(E$4="forecast",AVERAGE(#REF!),'Dept. Cost Actuals'!I458)</f>
        <v>415.08569080758139</v>
      </c>
      <c r="F36" s="684">
        <f>IF(F$4="forecast",AVERAGE(#REF!),'Dept. Cost Actuals'!J458)</f>
        <v>354.64885681070547</v>
      </c>
      <c r="G36" s="684">
        <f>IF(G$4="forecast",AVERAGE(#REF!),'Dept. Cost Actuals'!K458)</f>
        <v>141.4010616450179</v>
      </c>
      <c r="H36" s="684">
        <f>IF(H$4="forecast",AVERAGE(#REF!),'Dept. Cost Actuals'!L458)</f>
        <v>463.27723792200788</v>
      </c>
      <c r="I36" s="684">
        <f>IF(I$4="forecast",AVERAGE(#REF!),'Dept. Cost Actuals'!M458)</f>
        <v>997.39178980647125</v>
      </c>
      <c r="J36" s="684">
        <f>IF(J$4="forecast",AVERAGE(#REF!),'Dept. Cost Actuals'!N458)</f>
        <v>444.15126580693186</v>
      </c>
      <c r="K36" s="684">
        <f>IF(K$4="forecast",AVERAGE(#REF!),'Dept. Cost Actuals'!O458)</f>
        <v>410.21916519572301</v>
      </c>
      <c r="L36" s="684">
        <f>IF(L$4="forecast",AVERAGE(#REF!),'Dept. Cost Actuals'!P458)</f>
        <v>517.60078263065111</v>
      </c>
      <c r="M36" s="684">
        <f>IF(M$4="forecast",AVERAGE(A36:L36),'Dept. Cost Actuals'!Q458)</f>
        <v>398.17054444451406</v>
      </c>
      <c r="N36" s="684">
        <f>IF(N$4="forecast",AVERAGE(B36:M36),'Dept. Cost Actuals'!R458)</f>
        <v>184.52116564915823</v>
      </c>
      <c r="O36" s="684">
        <f>IF(O$4="forecast",AVERAGE(C36:N36),'Dept. Cost Actuals'!S458)</f>
        <v>641.36</v>
      </c>
      <c r="P36" s="684">
        <f>IF(P$4="forecast",AVERAGE(D36:O36),'Dept. Cost Actuals'!T458)</f>
        <v>3606.17</v>
      </c>
      <c r="Q36" s="684">
        <f>IF(Q$4="forecast",AVERAGE(E36:P36),'Dept. Cost Actuals'!U458)</f>
        <v>226.9</v>
      </c>
      <c r="R36" s="684">
        <f>IF(R$4="forecast",AVERAGE(F36:Q36),'Dept. Cost Actuals'!V458)</f>
        <v>47.95</v>
      </c>
      <c r="S36" s="684">
        <f>IF(S$4="forecast",AVERAGE(G36:R36),'Dept. Cost Actuals'!W458)</f>
        <v>0</v>
      </c>
      <c r="T36" s="684">
        <f>IF(T$4="forecast",AVERAGE(H36:S36),'Dept. Cost Actuals'!X458)</f>
        <v>87.31</v>
      </c>
      <c r="U36" s="684">
        <f>IF(U$4="forecast",AVERAGE(I36:T36),'Dept. Cost Actuals'!Y458)</f>
        <v>476.52</v>
      </c>
      <c r="V36" s="684">
        <f>IF(V$4="forecast",AVERAGE(J36:U36),'Dept. Cost Actuals'!Z458)</f>
        <v>14.95</v>
      </c>
      <c r="W36" s="684">
        <f>IF(W$4="forecast",AVERAGE(K36:V36),'Dept. Cost Actuals'!AA458)</f>
        <v>31.58</v>
      </c>
      <c r="X36" s="684">
        <f>IF(X$4="forecast",AVERAGE(L36:W36),'Dept. Cost Actuals'!AB458)</f>
        <v>0</v>
      </c>
      <c r="Y36" s="684">
        <f>IF(Y$4="forecast",AVERAGE(M36:X36),'Dept. Cost Actuals'!AC458)</f>
        <v>353.69</v>
      </c>
      <c r="Z36" s="684">
        <f>IF(Z$4="forecast",AVERAGE(N36:Y36),'Dept. Cost Actuals'!AD458)</f>
        <v>65.66</v>
      </c>
      <c r="AA36" s="684">
        <f>IF(AA$4="forecast",AVERAGE(O36:Z36),'Dept. Cost Actuals'!AE458)</f>
        <v>462.67416666666651</v>
      </c>
      <c r="AB36" s="684">
        <f>IF(AB$4="forecast",AVERAGE(P36:AA36),'Dept. Cost Actuals'!AF458)</f>
        <v>447.78368055555552</v>
      </c>
      <c r="AC36" s="684">
        <f>IF(AC$4="forecast",AVERAGE(Q36:AB36),'Dept. Cost Actuals'!AG458)</f>
        <v>184.58482060185187</v>
      </c>
      <c r="AD36" s="684">
        <f>IF(AD$4="forecast",AVERAGE(R36:AC36),'Dept. Cost Actuals'!AH458)</f>
        <v>181.05855565200616</v>
      </c>
      <c r="AE36" s="684">
        <f>IF(AE$4="forecast",AVERAGE(S36:AD36),'Dept. Cost Actuals'!AI458)</f>
        <v>192.15093528967336</v>
      </c>
      <c r="AF36" s="684">
        <f>IF(AF$4="forecast",AVERAGE(T36:AE36),'Dept. Cost Actuals'!AJ458)</f>
        <v>208.16351323047945</v>
      </c>
      <c r="AG36" s="684">
        <f>IF(AG$4="forecast",AVERAGE(U36:AF36),'Dept. Cost Actuals'!AK458)</f>
        <v>218.23463933301943</v>
      </c>
      <c r="AH36" s="684">
        <f>IF(AH$4="forecast",AVERAGE(V36:AG36),'Dept. Cost Actuals'!AL458)</f>
        <v>196.71085927743766</v>
      </c>
      <c r="AI36" s="684">
        <f>IF(AI$4="forecast",AVERAGE(W36:AH36),'Dept. Cost Actuals'!AM458)</f>
        <v>211.85759755055747</v>
      </c>
      <c r="AJ36" s="684">
        <f>IF(AJ$4="forecast",AVERAGE(X36:AI36),'Dept. Cost Actuals'!AN458)</f>
        <v>226.88073067977061</v>
      </c>
      <c r="AK36" s="684">
        <f>IF(AK$4="forecast",AVERAGE(Y36:AJ36),'Dept. Cost Actuals'!AO458)</f>
        <v>245.78745823641816</v>
      </c>
      <c r="AL36" s="684">
        <f>IF(AL$4="forecast",AVERAGE(Z36:AK36),'Dept. Cost Actuals'!AP458)</f>
        <v>236.79557975611965</v>
      </c>
      <c r="AM36" s="684">
        <f>IF(AM$4="forecast",AVERAGE(AA36:AL36),'Dept. Cost Actuals'!AQ458)</f>
        <v>251.05687806912965</v>
      </c>
      <c r="AN36" s="684">
        <f>IF(AN$4="forecast",AVERAGE(AB36:AM36),'Dept. Cost Actuals'!AR458)</f>
        <v>233.42210401933497</v>
      </c>
      <c r="AO36" s="684">
        <f>IF(AO$4="forecast",AVERAGE(AC36:AN36),'Dept. Cost Actuals'!AS458)</f>
        <v>215.55863930798321</v>
      </c>
      <c r="AP36" s="684">
        <f>IF(AP$4="forecast",AVERAGE(AD36:AO36),'Dept. Cost Actuals'!AT458)</f>
        <v>218.1397908668275</v>
      </c>
      <c r="AQ36" s="684">
        <f>IF(AQ$4="forecast",AVERAGE(AE36:AP36),'Dept. Cost Actuals'!AU458)</f>
        <v>221.22989380139595</v>
      </c>
      <c r="AR36" s="684">
        <f>IF(AR$4="forecast",AVERAGE(AF36:AQ36),'Dept. Cost Actuals'!AV458)</f>
        <v>223.65314034403946</v>
      </c>
      <c r="AS36" s="684">
        <f>IF(AS$4="forecast",AVERAGE(AG36:AR36),'Dept. Cost Actuals'!AW458)</f>
        <v>224.94394260350282</v>
      </c>
      <c r="AT36" s="684">
        <f>IF(AT$4="forecast",AVERAGE(AH36:AS36),'Dept. Cost Actuals'!AX458)</f>
        <v>225.50305120937639</v>
      </c>
      <c r="AU36" s="684">
        <f>IF(AU$4="forecast",AVERAGE(AI36:AT36),'Dept. Cost Actuals'!AY458)</f>
        <v>227.90240053703795</v>
      </c>
      <c r="AV36" s="684">
        <f>IF(AV$4="forecast",AVERAGE(AJ36:AU36),'Dept. Cost Actuals'!AZ458)</f>
        <v>229.239467452578</v>
      </c>
      <c r="AW36" s="684">
        <f>IF(AW$4="forecast",AVERAGE(AK36:AV36),'Dept. Cost Actuals'!BA458)</f>
        <v>229.436028850312</v>
      </c>
      <c r="AX36" s="684">
        <f>IF(AX$4="forecast",AVERAGE(AL36:AW36),'Dept. Cost Actuals'!BB458)</f>
        <v>228.07340973480314</v>
      </c>
      <c r="AY36" s="684">
        <f>IF(AY$4="forecast",AVERAGE(AM36:AX36),'Dept. Cost Actuals'!BC458)</f>
        <v>227.34656223302679</v>
      </c>
      <c r="AZ36" s="684">
        <f>IF(AZ$4="forecast",AVERAGE(AN36:AY36),'Dept. Cost Actuals'!BD458)</f>
        <v>225.37070258001822</v>
      </c>
      <c r="BA36" s="684">
        <f>IF(BA$4="forecast",AVERAGE(AO36:AZ36),'Dept. Cost Actuals'!BE458)</f>
        <v>224.69975246007513</v>
      </c>
      <c r="BB36" s="684">
        <f>IF(BB$4="forecast",AVERAGE(AP36:BA36),'Dept. Cost Actuals'!BF458)</f>
        <v>225.4615118894161</v>
      </c>
      <c r="BC36" s="684">
        <f>IF(BC$4="forecast",AVERAGE(AQ36:BB36),'Dept. Cost Actuals'!BG458)</f>
        <v>226.07165530796519</v>
      </c>
      <c r="BD36" s="684">
        <f>IF(BD$4="forecast",AVERAGE(AR36:BC36),'Dept. Cost Actuals'!BH458)</f>
        <v>226.47513543351258</v>
      </c>
      <c r="BE36" s="684">
        <f>IF(BE$4="forecast",AVERAGE(AS36:BD36),'Dept. Cost Actuals'!BI458)</f>
        <v>226.71030169096866</v>
      </c>
      <c r="BF36" s="684">
        <f>IF(BF$4="forecast",AVERAGE(AT36:BE36),'Dept. Cost Actuals'!BJ458)</f>
        <v>226.85749828159086</v>
      </c>
      <c r="BG36" s="684">
        <f>IF(BG$4="forecast",AVERAGE(AU36:BF36),'Dept. Cost Actuals'!BK458)</f>
        <v>226.97036887094202</v>
      </c>
      <c r="BH36" s="684">
        <f>IF(BH$4="forecast",AVERAGE(AV36:BG36),'Dept. Cost Actuals'!BL458)</f>
        <v>226.89269956543401</v>
      </c>
      <c r="BI36" s="684">
        <f>IF(BI$4="forecast",AVERAGE(AW36:BH36),'Dept. Cost Actuals'!BM458)</f>
        <v>226.69713557483874</v>
      </c>
      <c r="BJ36" s="684">
        <f>IF(BJ$4="forecast",AVERAGE(AX36:BI36),'Dept. Cost Actuals'!BN458)</f>
        <v>226.46889446854928</v>
      </c>
      <c r="BK36" s="684">
        <f>IF(BK$4="forecast",AVERAGE(AY36:BJ36),'Dept. Cost Actuals'!BO458)</f>
        <v>226.33518486302816</v>
      </c>
      <c r="BL36" s="684">
        <f>IF(BL$4="forecast",AVERAGE(AZ36:BK36),'Dept. Cost Actuals'!#REF!)</f>
        <v>226.25090341552823</v>
      </c>
      <c r="BM36" s="684">
        <f>IF(BM$4="forecast",AVERAGE(BA36:BL36),'Dept. Cost Actuals'!#REF!)</f>
        <v>226.32425348515406</v>
      </c>
      <c r="BN36" s="684">
        <f>IF(BN$4="forecast",AVERAGE(BB36:BM36),'Dept. Cost Actuals'!#REF!)</f>
        <v>226.45962857057734</v>
      </c>
      <c r="BO36" s="684">
        <f>IF(BO$4="forecast",AVERAGE(BC36:BN36),'Dept. Cost Actuals'!#REF!)</f>
        <v>226.54280496067409</v>
      </c>
      <c r="BP36" s="684">
        <f>IF(BP$4="forecast",AVERAGE(BD36:BO36),'Dept. Cost Actuals'!#REF!)</f>
        <v>226.58206743173318</v>
      </c>
      <c r="BQ36" s="684">
        <f>IF(BQ$4="forecast",AVERAGE(BE36:BP36),'Dept. Cost Actuals'!#REF!)</f>
        <v>226.59097843158489</v>
      </c>
      <c r="BR36" s="684">
        <f>IF(BR$4="forecast",AVERAGE(BF36:BQ36),'Dept. Cost Actuals'!#REF!)</f>
        <v>226.58103482663626</v>
      </c>
      <c r="BS36" s="684">
        <f>IF(BS$4="forecast",AVERAGE(BG36:BR36),'Dept. Cost Actuals'!#REF!)</f>
        <v>226.55799620539003</v>
      </c>
      <c r="BT36" s="684">
        <f>IF(BT$4="forecast",AVERAGE(BH36:BS36),'Dept. Cost Actuals'!#REF!)</f>
        <v>226.52363181659402</v>
      </c>
      <c r="BU36" s="684">
        <f>IF(BU$4="forecast",AVERAGE(BI36:BT36),'Dept. Cost Actuals'!#REF!)</f>
        <v>226.49287617085733</v>
      </c>
      <c r="BV36" s="808">
        <f>IF(BV$4="forecast",AVERAGE(BJ36:BU36),'Dept. Cost Actuals'!#REF!)</f>
        <v>226.47585455385888</v>
      </c>
    </row>
    <row r="37" spans="2:74" x14ac:dyDescent="0.35">
      <c r="B37" s="812" t="s">
        <v>929</v>
      </c>
      <c r="C37" s="684">
        <f>IF(C$4="forecast",AVERAGE(#REF!),'Dept. Cost Actuals'!G495)</f>
        <v>0</v>
      </c>
      <c r="D37" s="684">
        <f>IF(D$4="forecast",AVERAGE(#REF!),'Dept. Cost Actuals'!H495)</f>
        <v>45.376440658320917</v>
      </c>
      <c r="E37" s="684">
        <f>IF(E$4="forecast",AVERAGE(#REF!),'Dept. Cost Actuals'!I495)</f>
        <v>59.364835577093857</v>
      </c>
      <c r="F37" s="684">
        <f>IF(F$4="forecast",AVERAGE(#REF!),'Dept. Cost Actuals'!J495)</f>
        <v>50.301413282183894</v>
      </c>
      <c r="G37" s="684">
        <f>IF(G$4="forecast",AVERAGE(#REF!),'Dept. Cost Actuals'!K495)</f>
        <v>83.656320887310684</v>
      </c>
      <c r="H37" s="684">
        <f>IF(H$4="forecast",AVERAGE(#REF!),'Dept. Cost Actuals'!L495)</f>
        <v>0</v>
      </c>
      <c r="I37" s="684">
        <f>IF(I$4="forecast",AVERAGE(#REF!),'Dept. Cost Actuals'!M495)</f>
        <v>16.652783132326316</v>
      </c>
      <c r="J37" s="684">
        <f>IF(J$4="forecast",AVERAGE(#REF!),'Dept. Cost Actuals'!N495)</f>
        <v>0</v>
      </c>
      <c r="K37" s="684">
        <f>IF(K$4="forecast",AVERAGE(#REF!),'Dept. Cost Actuals'!O495)</f>
        <v>0</v>
      </c>
      <c r="L37" s="684">
        <f>IF(L$4="forecast",AVERAGE(#REF!),'Dept. Cost Actuals'!P495)</f>
        <v>4.9664615132242389</v>
      </c>
      <c r="M37" s="684">
        <f>IF(M$4="forecast",AVERAGE(A37:L37),'Dept. Cost Actuals'!Q495)</f>
        <v>0</v>
      </c>
      <c r="N37" s="684">
        <f>IF(N$4="forecast",AVERAGE(B37:M37),'Dept. Cost Actuals'!R495)</f>
        <v>0</v>
      </c>
      <c r="O37" s="684">
        <f>IF(O$4="forecast",AVERAGE(C37:N37),'Dept. Cost Actuals'!S495)</f>
        <v>0</v>
      </c>
      <c r="P37" s="684">
        <f>IF(P$4="forecast",AVERAGE(D37:O37),'Dept. Cost Actuals'!T495)</f>
        <v>0</v>
      </c>
      <c r="Q37" s="684">
        <f>IF(Q$4="forecast",AVERAGE(E37:P37),'Dept. Cost Actuals'!U495)</f>
        <v>0</v>
      </c>
      <c r="R37" s="684">
        <f>IF(R$4="forecast",AVERAGE(F37:Q37),'Dept. Cost Actuals'!V495)</f>
        <v>0</v>
      </c>
      <c r="S37" s="684">
        <f>IF(S$4="forecast",AVERAGE(G37:R37),'Dept. Cost Actuals'!W495)</f>
        <v>0</v>
      </c>
      <c r="T37" s="684">
        <f>IF(T$4="forecast",AVERAGE(H37:S37),'Dept. Cost Actuals'!X495)</f>
        <v>17.95</v>
      </c>
      <c r="U37" s="684">
        <f>IF(U$4="forecast",AVERAGE(I37:T37),'Dept. Cost Actuals'!Y495)</f>
        <v>71.849999999999994</v>
      </c>
      <c r="V37" s="684">
        <f>IF(V$4="forecast",AVERAGE(J37:U37),'Dept. Cost Actuals'!Z495)</f>
        <v>0</v>
      </c>
      <c r="W37" s="684">
        <f>IF(W$4="forecast",AVERAGE(K37:V37),'Dept. Cost Actuals'!AA495)</f>
        <v>0</v>
      </c>
      <c r="X37" s="684">
        <f>IF(X$4="forecast",AVERAGE(L37:W37),'Dept. Cost Actuals'!AB495)</f>
        <v>0</v>
      </c>
      <c r="Y37" s="684">
        <f>IF(Y$4="forecast",AVERAGE(M37:X37),'Dept. Cost Actuals'!AC495)</f>
        <v>0</v>
      </c>
      <c r="Z37" s="684">
        <f>IF(Z$4="forecast",AVERAGE(N37:Y37),'Dept. Cost Actuals'!AD495)</f>
        <v>0</v>
      </c>
      <c r="AA37" s="684">
        <f>IF(AA$4="forecast",AVERAGE(O37:Z37),'Dept. Cost Actuals'!AE495)</f>
        <v>7.4833333333333334</v>
      </c>
      <c r="AB37" s="684">
        <f>IF(AB$4="forecast",AVERAGE(P37:AA37),'Dept. Cost Actuals'!AF495)</f>
        <v>8.1069444444444443</v>
      </c>
      <c r="AC37" s="684">
        <f>IF(AC$4="forecast",AVERAGE(Q37:AB37),'Dept. Cost Actuals'!AG495)</f>
        <v>8.7825231481481492</v>
      </c>
      <c r="AD37" s="684">
        <f>IF(AD$4="forecast",AVERAGE(R37:AC37),'Dept. Cost Actuals'!AH495)</f>
        <v>9.5144000771604933</v>
      </c>
      <c r="AE37" s="684">
        <f>IF(AE$4="forecast",AVERAGE(S37:AD37),'Dept. Cost Actuals'!AI495)</f>
        <v>10.307266750257201</v>
      </c>
      <c r="AF37" s="684">
        <f>IF(AF$4="forecast",AVERAGE(T37:AE37),'Dept. Cost Actuals'!AJ495)</f>
        <v>11.166205646111969</v>
      </c>
      <c r="AG37" s="684">
        <f>IF(AG$4="forecast",AVERAGE(U37:AF37),'Dept. Cost Actuals'!AK495)</f>
        <v>10.60088944995463</v>
      </c>
      <c r="AH37" s="684">
        <f>IF(AH$4="forecast",AVERAGE(V37:AG37),'Dept. Cost Actuals'!AL495)</f>
        <v>5.4967969041175193</v>
      </c>
      <c r="AI37" s="684">
        <f>IF(AI$4="forecast",AVERAGE(W37:AH37),'Dept. Cost Actuals'!AM495)</f>
        <v>5.9548633127939787</v>
      </c>
      <c r="AJ37" s="684">
        <f>IF(AJ$4="forecast",AVERAGE(X37:AI37),'Dept. Cost Actuals'!AN495)</f>
        <v>6.4511019221934767</v>
      </c>
      <c r="AK37" s="684">
        <f>IF(AK$4="forecast",AVERAGE(Y37:AJ37),'Dept. Cost Actuals'!AO495)</f>
        <v>6.9886937490429331</v>
      </c>
      <c r="AL37" s="684">
        <f>IF(AL$4="forecast",AVERAGE(Z37:AK37),'Dept. Cost Actuals'!AP495)</f>
        <v>7.5710848947965106</v>
      </c>
      <c r="AM37" s="684">
        <f>IF(AM$4="forecast",AVERAGE(AA37:AL37),'Dept. Cost Actuals'!AQ495)</f>
        <v>8.2020086360295537</v>
      </c>
      <c r="AN37" s="684">
        <f>IF(AN$4="forecast",AVERAGE(AB37:AM37),'Dept. Cost Actuals'!AR495)</f>
        <v>8.2618982445875719</v>
      </c>
      <c r="AO37" s="684">
        <f>IF(AO$4="forecast",AVERAGE(AC37:AN37),'Dept. Cost Actuals'!AS495)</f>
        <v>8.2748110612661652</v>
      </c>
      <c r="AP37" s="684">
        <f>IF(AP$4="forecast",AVERAGE(AD37:AO37),'Dept. Cost Actuals'!AT495)</f>
        <v>8.2325017206926656</v>
      </c>
      <c r="AQ37" s="684">
        <f>IF(AQ$4="forecast",AVERAGE(AE37:AP37),'Dept. Cost Actuals'!AU495)</f>
        <v>8.12567685765368</v>
      </c>
      <c r="AR37" s="684">
        <f>IF(AR$4="forecast",AVERAGE(AF37:AQ37),'Dept. Cost Actuals'!AV495)</f>
        <v>7.9438776999367207</v>
      </c>
      <c r="AS37" s="684">
        <f>IF(AS$4="forecast",AVERAGE(AG37:AR37),'Dept. Cost Actuals'!AW495)</f>
        <v>7.6753503710887836</v>
      </c>
      <c r="AT37" s="684">
        <f>IF(AT$4="forecast",AVERAGE(AH37:AS37),'Dept. Cost Actuals'!AX495)</f>
        <v>7.4315554478499637</v>
      </c>
      <c r="AU37" s="684">
        <f>IF(AU$4="forecast",AVERAGE(AI37:AT37),'Dept. Cost Actuals'!AY495)</f>
        <v>7.592785326494333</v>
      </c>
      <c r="AV37" s="684">
        <f>IF(AV$4="forecast",AVERAGE(AJ37:AU37),'Dept. Cost Actuals'!AZ495)</f>
        <v>7.7292788276360298</v>
      </c>
      <c r="AW37" s="684">
        <f>IF(AW$4="forecast",AVERAGE(AK37:AV37),'Dept. Cost Actuals'!BA495)</f>
        <v>7.8357935697562437</v>
      </c>
      <c r="AX37" s="684">
        <f>IF(AX$4="forecast",AVERAGE(AL37:AW37),'Dept. Cost Actuals'!BB495)</f>
        <v>7.9063852214823527</v>
      </c>
      <c r="AY37" s="684">
        <f>IF(AY$4="forecast",AVERAGE(AM37:AX37),'Dept. Cost Actuals'!BC495)</f>
        <v>7.9343269153728393</v>
      </c>
      <c r="AZ37" s="684">
        <f>IF(AZ$4="forecast",AVERAGE(AN37:AY37),'Dept. Cost Actuals'!BD495)</f>
        <v>7.9120201053181134</v>
      </c>
      <c r="BA37" s="684">
        <f>IF(BA$4="forecast",AVERAGE(AO37:AZ37),'Dept. Cost Actuals'!BE495)</f>
        <v>7.882863593712325</v>
      </c>
      <c r="BB37" s="684">
        <f>IF(BB$4="forecast",AVERAGE(AP37:BA37),'Dept. Cost Actuals'!BF495)</f>
        <v>7.8502013047495041</v>
      </c>
      <c r="BC37" s="684">
        <f>IF(BC$4="forecast",AVERAGE(AQ37:BB37),'Dept. Cost Actuals'!BG495)</f>
        <v>7.8183429367542416</v>
      </c>
      <c r="BD37" s="684">
        <f>IF(BD$4="forecast",AVERAGE(AR37:BC37),'Dept. Cost Actuals'!BH495)</f>
        <v>7.792731776679287</v>
      </c>
      <c r="BE37" s="684">
        <f>IF(BE$4="forecast",AVERAGE(AS37:BD37),'Dept. Cost Actuals'!BI495)</f>
        <v>7.7801362830745004</v>
      </c>
      <c r="BF37" s="684">
        <f>IF(BF$4="forecast",AVERAGE(AT37:BE37),'Dept. Cost Actuals'!BJ495)</f>
        <v>7.7888684424066446</v>
      </c>
      <c r="BG37" s="684">
        <f>IF(BG$4="forecast",AVERAGE(AU37:BF37),'Dept. Cost Actuals'!BK495)</f>
        <v>7.8186445252863663</v>
      </c>
      <c r="BH37" s="684">
        <f>IF(BH$4="forecast",AVERAGE(AV37:BG37),'Dept. Cost Actuals'!BL495)</f>
        <v>7.8374661251857036</v>
      </c>
      <c r="BI37" s="684">
        <f>IF(BI$4="forecast",AVERAGE(AW37:BH37),'Dept. Cost Actuals'!BM495)</f>
        <v>7.8464817333148433</v>
      </c>
      <c r="BJ37" s="684">
        <f>IF(BJ$4="forecast",AVERAGE(AX37:BI37),'Dept. Cost Actuals'!BN495)</f>
        <v>7.8473724136113931</v>
      </c>
      <c r="BK37" s="684">
        <f>IF(BK$4="forecast",AVERAGE(AY37:BJ37),'Dept. Cost Actuals'!BO495)</f>
        <v>7.842454679622147</v>
      </c>
      <c r="BL37" s="684">
        <f>IF(BL$4="forecast",AVERAGE(AZ37:BK37),'Dept. Cost Actuals'!#REF!)</f>
        <v>7.8347986599762569</v>
      </c>
      <c r="BM37" s="684">
        <f>IF(BM$4="forecast",AVERAGE(BA37:BL37),'Dept. Cost Actuals'!#REF!)</f>
        <v>7.8283635395311011</v>
      </c>
      <c r="BN37" s="684">
        <f>IF(BN$4="forecast",AVERAGE(BB37:BM37),'Dept. Cost Actuals'!#REF!)</f>
        <v>7.8238218683493335</v>
      </c>
      <c r="BO37" s="684">
        <f>IF(BO$4="forecast",AVERAGE(BC37:BN37),'Dept. Cost Actuals'!#REF!)</f>
        <v>7.8216235819826521</v>
      </c>
      <c r="BP37" s="684">
        <f>IF(BP$4="forecast",AVERAGE(BD37:BO37),'Dept. Cost Actuals'!#REF!)</f>
        <v>7.8218969690850182</v>
      </c>
      <c r="BQ37" s="684">
        <f>IF(BQ$4="forecast",AVERAGE(BE37:BP37),'Dept. Cost Actuals'!#REF!)</f>
        <v>7.8243274017854958</v>
      </c>
      <c r="BR37" s="684">
        <f>IF(BR$4="forecast",AVERAGE(BF37:BQ37),'Dept. Cost Actuals'!#REF!)</f>
        <v>7.8280099950114135</v>
      </c>
      <c r="BS37" s="684">
        <f>IF(BS$4="forecast",AVERAGE(BG37:BR37),'Dept. Cost Actuals'!#REF!)</f>
        <v>7.8312717910618099</v>
      </c>
      <c r="BT37" s="684">
        <f>IF(BT$4="forecast",AVERAGE(BH37:BS37),'Dept. Cost Actuals'!#REF!)</f>
        <v>7.8323240632097644</v>
      </c>
      <c r="BU37" s="684">
        <f>IF(BU$4="forecast",AVERAGE(BI37:BT37),'Dept. Cost Actuals'!#REF!)</f>
        <v>7.831895558045102</v>
      </c>
      <c r="BV37" s="808">
        <f>IF(BV$4="forecast",AVERAGE(BJ37:BU37),'Dept. Cost Actuals'!#REF!)</f>
        <v>7.8306800434392905</v>
      </c>
    </row>
    <row r="38" spans="2:74" x14ac:dyDescent="0.35">
      <c r="B38" s="812" t="s">
        <v>951</v>
      </c>
      <c r="C38" s="684">
        <f>IF(C$4="forecast",AVERAGE(#REF!),'Dept. Cost Actuals'!G385)</f>
        <v>22.11061103839592</v>
      </c>
      <c r="D38" s="684">
        <f>IF(D$4="forecast",AVERAGE(#REF!),'Dept. Cost Actuals'!H385)</f>
        <v>33.584457760604629</v>
      </c>
      <c r="E38" s="684">
        <f>IF(E$4="forecast",AVERAGE(#REF!),'Dept. Cost Actuals'!I385)</f>
        <v>5.8153308320418473</v>
      </c>
      <c r="F38" s="684">
        <f>IF(F$4="forecast",AVERAGE(#REF!),'Dept. Cost Actuals'!J385)</f>
        <v>6.0361695938620672</v>
      </c>
      <c r="G38" s="684">
        <f>IF(G$4="forecast",AVERAGE(#REF!),'Dept. Cost Actuals'!K385)</f>
        <v>235.13861270941018</v>
      </c>
      <c r="H38" s="684">
        <f>IF(H$4="forecast",AVERAGE(#REF!),'Dept. Cost Actuals'!L385)</f>
        <v>0</v>
      </c>
      <c r="I38" s="684">
        <f>IF(I$4="forecast",AVERAGE(#REF!),'Dept. Cost Actuals'!M385)</f>
        <v>0</v>
      </c>
      <c r="J38" s="684">
        <f>IF(J$4="forecast",AVERAGE(#REF!),'Dept. Cost Actuals'!N385)</f>
        <v>17.943458128332715</v>
      </c>
      <c r="K38" s="684">
        <f>IF(K$4="forecast",AVERAGE(#REF!),'Dept. Cost Actuals'!O385)</f>
        <v>0</v>
      </c>
      <c r="L38" s="684">
        <f>IF(L$4="forecast",AVERAGE(#REF!),'Dept. Cost Actuals'!P385)</f>
        <v>253.41937397005296</v>
      </c>
      <c r="M38" s="684">
        <f>IF(M$4="forecast",AVERAGE(A38:L38),'Dept. Cost Actuals'!Q385)</f>
        <v>0</v>
      </c>
      <c r="N38" s="684">
        <f>IF(N$4="forecast",AVERAGE(B38:M38),'Dept. Cost Actuals'!R385)</f>
        <v>0</v>
      </c>
      <c r="O38" s="684">
        <f>IF(O$4="forecast",AVERAGE(C38:N38),'Dept. Cost Actuals'!S385)</f>
        <v>0</v>
      </c>
      <c r="P38" s="684">
        <f>IF(P$4="forecast",AVERAGE(D38:O38),'Dept. Cost Actuals'!T385)</f>
        <v>439.75</v>
      </c>
      <c r="Q38" s="684">
        <f>IF(Q$4="forecast",AVERAGE(E38:P38),'Dept. Cost Actuals'!U385)</f>
        <v>0</v>
      </c>
      <c r="R38" s="684">
        <f>IF(R$4="forecast",AVERAGE(F38:Q38),'Dept. Cost Actuals'!V385)</f>
        <v>210.83</v>
      </c>
      <c r="S38" s="684">
        <f>IF(S$4="forecast",AVERAGE(G38:R38),'Dept. Cost Actuals'!W385)</f>
        <v>0</v>
      </c>
      <c r="T38" s="684">
        <f>IF(T$4="forecast",AVERAGE(H38:S38),'Dept. Cost Actuals'!X385)</f>
        <v>0</v>
      </c>
      <c r="U38" s="684">
        <f>IF(U$4="forecast",AVERAGE(I38:T38),'Dept. Cost Actuals'!Y385)</f>
        <v>152.82</v>
      </c>
      <c r="V38" s="684">
        <f>IF(V$4="forecast",AVERAGE(J38:U38),'Dept. Cost Actuals'!Z385)</f>
        <v>252</v>
      </c>
      <c r="W38" s="684">
        <f>IF(W$4="forecast",AVERAGE(K38:V38),'Dept. Cost Actuals'!AA385)</f>
        <v>276.14999999999998</v>
      </c>
      <c r="X38" s="684">
        <f>IF(X$4="forecast",AVERAGE(L38:W38),'Dept. Cost Actuals'!AB385)</f>
        <v>288</v>
      </c>
      <c r="Y38" s="684">
        <f>IF(Y$4="forecast",AVERAGE(M38:X38),'Dept. Cost Actuals'!AC385)</f>
        <v>288</v>
      </c>
      <c r="Z38" s="684">
        <f>IF(Z$4="forecast",AVERAGE(N38:Y38),'Dept. Cost Actuals'!AD385)</f>
        <v>288</v>
      </c>
      <c r="AA38" s="684">
        <f>IF(AA$4="forecast",AVERAGE(O38:Z38),'Dept. Cost Actuals'!AE385)</f>
        <v>182.96250000000001</v>
      </c>
      <c r="AB38" s="684">
        <f>IF(AB$4="forecast",AVERAGE(P38:AA38),'Dept. Cost Actuals'!AF385)</f>
        <v>198.20937500000002</v>
      </c>
      <c r="AC38" s="684">
        <f>IF(AC$4="forecast",AVERAGE(Q38:AB38),'Dept. Cost Actuals'!AG385)</f>
        <v>178.08098958333335</v>
      </c>
      <c r="AD38" s="684">
        <f>IF(AD$4="forecast",AVERAGE(R38:AC38),'Dept. Cost Actuals'!AH385)</f>
        <v>192.92107204861114</v>
      </c>
      <c r="AE38" s="684">
        <f>IF(AE$4="forecast",AVERAGE(S38:AD38),'Dept. Cost Actuals'!AI385)</f>
        <v>191.42866138599541</v>
      </c>
      <c r="AF38" s="684">
        <f>IF(AF$4="forecast",AVERAGE(T38:AE38),'Dept. Cost Actuals'!AJ385)</f>
        <v>207.38104983482836</v>
      </c>
      <c r="AG38" s="684">
        <f>IF(AG$4="forecast",AVERAGE(U38:AF38),'Dept. Cost Actuals'!AK385)</f>
        <v>224.66280398773074</v>
      </c>
      <c r="AH38" s="684">
        <f>IF(AH$4="forecast",AVERAGE(V38:AG38),'Dept. Cost Actuals'!AL385)</f>
        <v>230.64970432004156</v>
      </c>
      <c r="AI38" s="684">
        <f>IF(AI$4="forecast",AVERAGE(W38:AH38),'Dept. Cost Actuals'!AM385)</f>
        <v>228.87051301337843</v>
      </c>
      <c r="AJ38" s="684">
        <f>IF(AJ$4="forecast",AVERAGE(X38:AI38),'Dept. Cost Actuals'!AN385)</f>
        <v>224.93055576449328</v>
      </c>
      <c r="AK38" s="684">
        <f>IF(AK$4="forecast",AVERAGE(Y38:AJ38),'Dept. Cost Actuals'!AO385)</f>
        <v>219.67476874486772</v>
      </c>
      <c r="AL38" s="684">
        <f>IF(AL$4="forecast",AVERAGE(Z38:AK38),'Dept. Cost Actuals'!AP385)</f>
        <v>213.98099947360672</v>
      </c>
      <c r="AM38" s="684">
        <f>IF(AM$4="forecast",AVERAGE(AA38:AL38),'Dept. Cost Actuals'!AQ385)</f>
        <v>207.81274942974053</v>
      </c>
      <c r="AN38" s="684">
        <f>IF(AN$4="forecast",AVERAGE(AB38:AM38),'Dept. Cost Actuals'!AR385)</f>
        <v>209.88360354888559</v>
      </c>
      <c r="AO38" s="684">
        <f>IF(AO$4="forecast",AVERAGE(AC38:AN38),'Dept. Cost Actuals'!AS385)</f>
        <v>210.85645592795939</v>
      </c>
      <c r="AP38" s="684">
        <f>IF(AP$4="forecast",AVERAGE(AD38:AO38),'Dept. Cost Actuals'!AT385)</f>
        <v>213.58774479001158</v>
      </c>
      <c r="AQ38" s="684">
        <f>IF(AQ$4="forecast",AVERAGE(AE38:AP38),'Dept. Cost Actuals'!AU385)</f>
        <v>215.3099675184616</v>
      </c>
      <c r="AR38" s="684">
        <f>IF(AR$4="forecast",AVERAGE(AF38:AQ38),'Dept. Cost Actuals'!AV385)</f>
        <v>217.30007636283378</v>
      </c>
      <c r="AS38" s="684">
        <f>IF(AS$4="forecast",AVERAGE(AG38:AR38),'Dept. Cost Actuals'!AW385)</f>
        <v>218.12666190683424</v>
      </c>
      <c r="AT38" s="684">
        <f>IF(AT$4="forecast",AVERAGE(AH38:AS38),'Dept. Cost Actuals'!AX385)</f>
        <v>217.58198340009287</v>
      </c>
      <c r="AU38" s="684">
        <f>IF(AU$4="forecast",AVERAGE(AI38:AT38),'Dept. Cost Actuals'!AY385)</f>
        <v>216.49300665676378</v>
      </c>
      <c r="AV38" s="684">
        <f>IF(AV$4="forecast",AVERAGE(AJ38:AU38),'Dept. Cost Actuals'!AZ385)</f>
        <v>215.46154779371258</v>
      </c>
      <c r="AW38" s="684">
        <f>IF(AW$4="forecast",AVERAGE(AK38:AV38),'Dept. Cost Actuals'!BA385)</f>
        <v>214.67246379614755</v>
      </c>
      <c r="AX38" s="684">
        <f>IF(AX$4="forecast",AVERAGE(AL38:AW38),'Dept. Cost Actuals'!BB385)</f>
        <v>214.25560505042085</v>
      </c>
      <c r="AY38" s="684">
        <f>IF(AY$4="forecast",AVERAGE(AM38:AX38),'Dept. Cost Actuals'!BC385)</f>
        <v>214.27848884848868</v>
      </c>
      <c r="AZ38" s="684">
        <f>IF(AZ$4="forecast",AVERAGE(AN38:AY38),'Dept. Cost Actuals'!BD385)</f>
        <v>214.81730046671768</v>
      </c>
      <c r="BA38" s="684">
        <f>IF(BA$4="forecast",AVERAGE(AO38:AZ38),'Dept. Cost Actuals'!BE385)</f>
        <v>215.22844187653709</v>
      </c>
      <c r="BB38" s="684">
        <f>IF(BB$4="forecast",AVERAGE(AP38:BA38),'Dept. Cost Actuals'!BF385)</f>
        <v>215.59277403891849</v>
      </c>
      <c r="BC38" s="684">
        <f>IF(BC$4="forecast",AVERAGE(AQ38:BB38),'Dept. Cost Actuals'!BG385)</f>
        <v>215.75985980966075</v>
      </c>
      <c r="BD38" s="684">
        <f>IF(BD$4="forecast",AVERAGE(AR38:BC38),'Dept. Cost Actuals'!BH385)</f>
        <v>215.79735083392734</v>
      </c>
      <c r="BE38" s="684">
        <f>IF(BE$4="forecast",AVERAGE(AS38:BD38),'Dept. Cost Actuals'!BI385)</f>
        <v>215.67212370651848</v>
      </c>
      <c r="BF38" s="684">
        <f>IF(BF$4="forecast",AVERAGE(AT38:BE38),'Dept. Cost Actuals'!BJ385)</f>
        <v>215.46757885649217</v>
      </c>
      <c r="BG38" s="684">
        <f>IF(BG$4="forecast",AVERAGE(AU38:BF38),'Dept. Cost Actuals'!BK385)</f>
        <v>215.29137847785884</v>
      </c>
      <c r="BH38" s="684">
        <f>IF(BH$4="forecast",AVERAGE(AV38:BG38),'Dept. Cost Actuals'!BL385)</f>
        <v>215.19124279628338</v>
      </c>
      <c r="BI38" s="684">
        <f>IF(BI$4="forecast",AVERAGE(AW38:BH38),'Dept. Cost Actuals'!BM385)</f>
        <v>215.16871737983095</v>
      </c>
      <c r="BJ38" s="684">
        <f>IF(BJ$4="forecast",AVERAGE(AX38:BI38),'Dept. Cost Actuals'!BN385)</f>
        <v>215.21007184513789</v>
      </c>
      <c r="BK38" s="684">
        <f>IF(BK$4="forecast",AVERAGE(AY38:BJ38),'Dept. Cost Actuals'!BO385)</f>
        <v>215.28961074469763</v>
      </c>
      <c r="BL38" s="684">
        <f>IF(BL$4="forecast",AVERAGE(AZ38:BK38),'Dept. Cost Actuals'!#REF!)</f>
        <v>215.37387090271508</v>
      </c>
      <c r="BM38" s="684">
        <f>IF(BM$4="forecast",AVERAGE(BA38:BL38),'Dept. Cost Actuals'!#REF!)</f>
        <v>215.42025177238153</v>
      </c>
      <c r="BN38" s="684">
        <f>IF(BN$4="forecast",AVERAGE(BB38:BM38),'Dept. Cost Actuals'!#REF!)</f>
        <v>215.43623593036855</v>
      </c>
      <c r="BO38" s="684">
        <f>IF(BO$4="forecast",AVERAGE(BC38:BN38),'Dept. Cost Actuals'!#REF!)</f>
        <v>215.42319108798941</v>
      </c>
      <c r="BP38" s="684">
        <f>IF(BP$4="forecast",AVERAGE(BD38:BO38),'Dept. Cost Actuals'!#REF!)</f>
        <v>215.39513536118343</v>
      </c>
      <c r="BQ38" s="684">
        <f>IF(BQ$4="forecast",AVERAGE(BE38:BP38),'Dept. Cost Actuals'!#REF!)</f>
        <v>215.36161740512145</v>
      </c>
      <c r="BR38" s="684">
        <f>IF(BR$4="forecast",AVERAGE(BF38:BQ38),'Dept. Cost Actuals'!#REF!)</f>
        <v>215.335741880005</v>
      </c>
      <c r="BS38" s="684">
        <f>IF(BS$4="forecast",AVERAGE(BG38:BR38),'Dept. Cost Actuals'!#REF!)</f>
        <v>215.32475546529778</v>
      </c>
      <c r="BT38" s="684">
        <f>IF(BT$4="forecast",AVERAGE(BH38:BS38),'Dept. Cost Actuals'!#REF!)</f>
        <v>215.32753688091768</v>
      </c>
      <c r="BU38" s="684">
        <f>IF(BU$4="forecast",AVERAGE(BI38:BT38),'Dept. Cost Actuals'!#REF!)</f>
        <v>215.33889472130386</v>
      </c>
      <c r="BV38" s="808">
        <f>IF(BV$4="forecast",AVERAGE(BJ38:BU38),'Dept. Cost Actuals'!#REF!)</f>
        <v>215.3530761664266</v>
      </c>
    </row>
    <row r="39" spans="2:74" x14ac:dyDescent="0.35">
      <c r="B39" s="816" t="s">
        <v>952</v>
      </c>
      <c r="C39" s="810">
        <f>IF(C$4="forecast",AVERAGE(#REF!),'Dept. Cost Actuals'!G422)</f>
        <v>0</v>
      </c>
      <c r="D39" s="810">
        <f>IF(D$4="forecast",AVERAGE(#REF!),'Dept. Cost Actuals'!H422)</f>
        <v>0</v>
      </c>
      <c r="E39" s="810">
        <f>IF(E$4="forecast",AVERAGE(#REF!),'Dept. Cost Actuals'!I422)</f>
        <v>0</v>
      </c>
      <c r="F39" s="810">
        <f>IF(F$4="forecast",AVERAGE(#REF!),'Dept. Cost Actuals'!J422)</f>
        <v>0</v>
      </c>
      <c r="G39" s="810">
        <f>IF(G$4="forecast",AVERAGE(#REF!),'Dept. Cost Actuals'!K422)</f>
        <v>15.467410221903075</v>
      </c>
      <c r="H39" s="810">
        <f>IF(H$4="forecast",AVERAGE(#REF!),'Dept. Cost Actuals'!L422)</f>
        <v>104.19483633170482</v>
      </c>
      <c r="I39" s="810">
        <f>IF(I$4="forecast",AVERAGE(#REF!),'Dept. Cost Actuals'!M422)</f>
        <v>341.6336099370659</v>
      </c>
      <c r="J39" s="810">
        <f>IF(J$4="forecast",AVERAGE(#REF!),'Dept. Cost Actuals'!N422)</f>
        <v>1.4339751056533674</v>
      </c>
      <c r="K39" s="810">
        <f>IF(K$4="forecast",AVERAGE(#REF!),'Dept. Cost Actuals'!O422)</f>
        <v>0</v>
      </c>
      <c r="L39" s="810">
        <f>IF(L$4="forecast",AVERAGE(#REF!),'Dept. Cost Actuals'!P422)</f>
        <v>883.61754252077901</v>
      </c>
      <c r="M39" s="810">
        <f>IF(M$4="forecast",AVERAGE(A39:L39),'Dept. Cost Actuals'!Q422)</f>
        <v>90.919814580969756</v>
      </c>
      <c r="N39" s="810">
        <f>IF(N$4="forecast",AVERAGE(B39:M39),'Dept. Cost Actuals'!R422)</f>
        <v>502.04969068012127</v>
      </c>
      <c r="O39" s="810">
        <f>IF(O$4="forecast",AVERAGE(C39:N39),'Dept. Cost Actuals'!S422)</f>
        <v>200</v>
      </c>
      <c r="P39" s="810">
        <f>IF(P$4="forecast",AVERAGE(D39:O39),'Dept. Cost Actuals'!T422)</f>
        <v>0</v>
      </c>
      <c r="Q39" s="810">
        <f>IF(Q$4="forecast",AVERAGE(E39:P39),'Dept. Cost Actuals'!U422)</f>
        <v>0</v>
      </c>
      <c r="R39" s="810">
        <f>IF(R$4="forecast",AVERAGE(F39:Q39),'Dept. Cost Actuals'!V422)</f>
        <v>85</v>
      </c>
      <c r="S39" s="810">
        <f>IF(S$4="forecast",AVERAGE(G39:R39),'Dept. Cost Actuals'!W422)</f>
        <v>0</v>
      </c>
      <c r="T39" s="810">
        <f>IF(T$4="forecast",AVERAGE(H39:S39),'Dept. Cost Actuals'!X422)</f>
        <v>0</v>
      </c>
      <c r="U39" s="810">
        <f>IF(U$4="forecast",AVERAGE(I39:T39),'Dept. Cost Actuals'!Y422)</f>
        <v>0</v>
      </c>
      <c r="V39" s="810">
        <f>IF(V$4="forecast",AVERAGE(J39:U39),'Dept. Cost Actuals'!Z422)</f>
        <v>0</v>
      </c>
      <c r="W39" s="810">
        <f>IF(W$4="forecast",AVERAGE(K39:V39),'Dept. Cost Actuals'!AA422)</f>
        <v>0</v>
      </c>
      <c r="X39" s="810">
        <f>IF(X$4="forecast",AVERAGE(L39:W39),'Dept. Cost Actuals'!AB422)</f>
        <v>0</v>
      </c>
      <c r="Y39" s="810">
        <f>IF(Y$4="forecast",AVERAGE(M39:X39),'Dept. Cost Actuals'!AC422)</f>
        <v>0</v>
      </c>
      <c r="Z39" s="810">
        <f>IF(Z$4="forecast",AVERAGE(N39:Y39),'Dept. Cost Actuals'!AD422)</f>
        <v>0</v>
      </c>
      <c r="AA39" s="810">
        <f>IF(AA$4="forecast",SUM($O$39:$Z$39)/12+4200,'Dept. Cost Actuals'!AE590)</f>
        <v>4223.75</v>
      </c>
      <c r="AB39" s="810">
        <f>IF(AB$4="forecast",SUM($O$39:$Z$39)/12+4200,'Dept. Cost Actuals'!AF590)</f>
        <v>4223.75</v>
      </c>
      <c r="AC39" s="810">
        <f>IF(AC$4="forecast",SUM($O$39:$Z$39)/12+4200,'Dept. Cost Actuals'!AG590)</f>
        <v>4223.75</v>
      </c>
      <c r="AD39" s="810">
        <f>IF(AD$4="forecast",SUM($O$39:$Z$39)/12+4200,'Dept. Cost Actuals'!AH590)</f>
        <v>4223.75</v>
      </c>
      <c r="AE39" s="810">
        <f>IF(AE$4="forecast",SUM($O$39:$Z$39)/12+4200,'Dept. Cost Actuals'!AI590)</f>
        <v>4223.75</v>
      </c>
      <c r="AF39" s="810">
        <f>IF(AF$4="forecast",SUM($O$39:$Z$39)/12+4200,'Dept. Cost Actuals'!AJ590)</f>
        <v>4223.75</v>
      </c>
      <c r="AG39" s="810">
        <f>IF(AG$4="forecast",SUM($O$39:$Z$39)/12+4200,'Dept. Cost Actuals'!AK590)</f>
        <v>4223.75</v>
      </c>
      <c r="AH39" s="810">
        <f>IF(AH$4="forecast",SUM($O$39:$Z$39)/12+4200,'Dept. Cost Actuals'!AL590)</f>
        <v>4223.75</v>
      </c>
      <c r="AI39" s="810">
        <f>IF(AI$4="forecast",SUM($O$39:$Z$39)/12+4200,'Dept. Cost Actuals'!AM590)</f>
        <v>4223.75</v>
      </c>
      <c r="AJ39" s="810">
        <f>IF(AJ$4="forecast",SUM($O$39:$Z$39)/12+4200,'Dept. Cost Actuals'!AN590)</f>
        <v>4223.75</v>
      </c>
      <c r="AK39" s="810">
        <f>IF(AK$4="forecast",SUM($O$39:$Z$39)/12+4200,'Dept. Cost Actuals'!AO590)</f>
        <v>4223.75</v>
      </c>
      <c r="AL39" s="810">
        <f>IF(AL$4="forecast",SUM($O$39:$Z$39)/12+4200,'Dept. Cost Actuals'!AP590)</f>
        <v>4223.75</v>
      </c>
      <c r="AM39" s="810">
        <f>IF(AM$4="forecast",AVERAGE(AA39:AL39),'Dept. Cost Actuals'!AQ422)</f>
        <v>4223.75</v>
      </c>
      <c r="AN39" s="810">
        <f>IF(AN$4="forecast",AVERAGE(AB39:AM39),'Dept. Cost Actuals'!AR422)</f>
        <v>4223.75</v>
      </c>
      <c r="AO39" s="810">
        <f>IF(AO$4="forecast",AVERAGE(AC39:AN39),'Dept. Cost Actuals'!AS422)</f>
        <v>4223.75</v>
      </c>
      <c r="AP39" s="810">
        <f>IF(AP$4="forecast",AVERAGE(AD39:AO39),'Dept. Cost Actuals'!AT422)</f>
        <v>4223.75</v>
      </c>
      <c r="AQ39" s="810">
        <f>IF(AQ$4="forecast",AVERAGE(AE39:AP39),'Dept. Cost Actuals'!AU422)</f>
        <v>4223.75</v>
      </c>
      <c r="AR39" s="810">
        <f>IF(AR$4="forecast",AVERAGE(AF39:AQ39),'Dept. Cost Actuals'!AV422)</f>
        <v>4223.75</v>
      </c>
      <c r="AS39" s="810">
        <f>IF(AS$4="forecast",AVERAGE(AG39:AR39),'Dept. Cost Actuals'!AW422)</f>
        <v>4223.75</v>
      </c>
      <c r="AT39" s="810">
        <f>IF(AT$4="forecast",AVERAGE(AH39:AS39),'Dept. Cost Actuals'!AX422)</f>
        <v>4223.75</v>
      </c>
      <c r="AU39" s="810">
        <f>IF(AU$4="forecast",AVERAGE(AI39:AT39),'Dept. Cost Actuals'!AY422)</f>
        <v>4223.75</v>
      </c>
      <c r="AV39" s="810">
        <f>IF(AV$4="forecast",AVERAGE(AJ39:AU39),'Dept. Cost Actuals'!AZ422)</f>
        <v>4223.75</v>
      </c>
      <c r="AW39" s="810">
        <f>IF(AW$4="forecast",AVERAGE(AK39:AV39),'Dept. Cost Actuals'!BA422)</f>
        <v>4223.75</v>
      </c>
      <c r="AX39" s="810">
        <f>IF(AX$4="forecast",AVERAGE(AL39:AW39),'Dept. Cost Actuals'!BB422)</f>
        <v>4223.75</v>
      </c>
      <c r="AY39" s="810">
        <f>IF(AY$4="forecast",AVERAGE(AM39:AX39),'Dept. Cost Actuals'!BC422)</f>
        <v>4223.75</v>
      </c>
      <c r="AZ39" s="810">
        <f>IF(AZ$4="forecast",AVERAGE(AN39:AY39),'Dept. Cost Actuals'!BD422)</f>
        <v>4223.75</v>
      </c>
      <c r="BA39" s="810">
        <f>IF(BA$4="forecast",AVERAGE(AO39:AZ39),'Dept. Cost Actuals'!BE422)</f>
        <v>4223.75</v>
      </c>
      <c r="BB39" s="810">
        <f>IF(BB$4="forecast",AVERAGE(AP39:BA39),'Dept. Cost Actuals'!BF422)</f>
        <v>4223.75</v>
      </c>
      <c r="BC39" s="810">
        <f>IF(BC$4="forecast",AVERAGE(AQ39:BB39),'Dept. Cost Actuals'!BG422)</f>
        <v>4223.75</v>
      </c>
      <c r="BD39" s="810">
        <f>IF(BD$4="forecast",AVERAGE(AR39:BC39),'Dept. Cost Actuals'!BH422)</f>
        <v>4223.75</v>
      </c>
      <c r="BE39" s="810">
        <f>IF(BE$4="forecast",AVERAGE(AS39:BD39),'Dept. Cost Actuals'!BI422)</f>
        <v>4223.75</v>
      </c>
      <c r="BF39" s="810">
        <f>IF(BF$4="forecast",AVERAGE(AT39:BE39),'Dept. Cost Actuals'!BJ422)</f>
        <v>4223.75</v>
      </c>
      <c r="BG39" s="810">
        <f>IF(BG$4="forecast",AVERAGE(AU39:BF39),'Dept. Cost Actuals'!BK422)</f>
        <v>4223.75</v>
      </c>
      <c r="BH39" s="810">
        <f>IF(BH$4="forecast",AVERAGE(AV39:BG39),'Dept. Cost Actuals'!BL422)</f>
        <v>4223.75</v>
      </c>
      <c r="BI39" s="810">
        <f>IF(BI$4="forecast",AVERAGE(AW39:BH39),'Dept. Cost Actuals'!BM422)</f>
        <v>4223.75</v>
      </c>
      <c r="BJ39" s="810">
        <f>IF(BJ$4="forecast",AVERAGE(AX39:BI39),'Dept. Cost Actuals'!BN422)</f>
        <v>4223.75</v>
      </c>
      <c r="BK39" s="810">
        <f>IF(BK$4="forecast",AVERAGE(AY39:BJ39),'Dept. Cost Actuals'!BO422)</f>
        <v>4223.75</v>
      </c>
      <c r="BL39" s="810">
        <f>IF(BL$4="forecast",AVERAGE(AZ39:BK39),'Dept. Cost Actuals'!#REF!)</f>
        <v>4223.75</v>
      </c>
      <c r="BM39" s="810">
        <f>IF(BM$4="forecast",AVERAGE(BA39:BL39),'Dept. Cost Actuals'!#REF!)</f>
        <v>4223.75</v>
      </c>
      <c r="BN39" s="810">
        <f>IF(BN$4="forecast",AVERAGE(BB39:BM39),'Dept. Cost Actuals'!#REF!)</f>
        <v>4223.75</v>
      </c>
      <c r="BO39" s="810">
        <f>IF(BO$4="forecast",AVERAGE(BC39:BN39),'Dept. Cost Actuals'!#REF!)</f>
        <v>4223.75</v>
      </c>
      <c r="BP39" s="810">
        <f>IF(BP$4="forecast",AVERAGE(BD39:BO39),'Dept. Cost Actuals'!#REF!)</f>
        <v>4223.75</v>
      </c>
      <c r="BQ39" s="810">
        <f>IF(BQ$4="forecast",AVERAGE(BE39:BP39),'Dept. Cost Actuals'!#REF!)</f>
        <v>4223.75</v>
      </c>
      <c r="BR39" s="810">
        <f>IF(BR$4="forecast",AVERAGE(BF39:BQ39),'Dept. Cost Actuals'!#REF!)</f>
        <v>4223.75</v>
      </c>
      <c r="BS39" s="810">
        <f>IF(BS$4="forecast",AVERAGE(BG39:BR39),'Dept. Cost Actuals'!#REF!)</f>
        <v>4223.75</v>
      </c>
      <c r="BT39" s="810">
        <f>IF(BT$4="forecast",AVERAGE(BH39:BS39),'Dept. Cost Actuals'!#REF!)</f>
        <v>4223.75</v>
      </c>
      <c r="BU39" s="810">
        <f>IF(BU$4="forecast",AVERAGE(BI39:BT39),'Dept. Cost Actuals'!#REF!)</f>
        <v>4223.75</v>
      </c>
      <c r="BV39" s="817">
        <f>IF(BV$4="forecast",AVERAGE(BJ39:BU39),'Dept. Cost Actuals'!#REF!)</f>
        <v>4223.75</v>
      </c>
    </row>
    <row r="40" spans="2:74" x14ac:dyDescent="0.35">
      <c r="B40" s="818" t="s">
        <v>953</v>
      </c>
      <c r="C40" s="819">
        <f>SUM(C29:C39,)</f>
        <v>9709.4441772973223</v>
      </c>
      <c r="D40" s="819">
        <f t="shared" ref="D40:BO40" si="10">SUM(D29:D39,)</f>
        <v>12503.317813329588</v>
      </c>
      <c r="E40" s="819">
        <f t="shared" si="10"/>
        <v>27482.385445843098</v>
      </c>
      <c r="F40" s="819">
        <f t="shared" si="10"/>
        <v>26846.416629912223</v>
      </c>
      <c r="G40" s="819">
        <f t="shared" si="10"/>
        <v>29002.36278433074</v>
      </c>
      <c r="H40" s="819">
        <f t="shared" si="10"/>
        <v>29929.914157764993</v>
      </c>
      <c r="I40" s="819">
        <f t="shared" si="10"/>
        <v>34385.884498812491</v>
      </c>
      <c r="J40" s="819">
        <f t="shared" si="10"/>
        <v>31598.736685529551</v>
      </c>
      <c r="K40" s="819">
        <f t="shared" si="10"/>
        <v>37541.411575133498</v>
      </c>
      <c r="L40" s="819">
        <f t="shared" si="10"/>
        <v>37464.596771901794</v>
      </c>
      <c r="M40" s="819">
        <f t="shared" si="10"/>
        <v>42749.394979719349</v>
      </c>
      <c r="N40" s="819">
        <f t="shared" si="10"/>
        <v>68930.540278623332</v>
      </c>
      <c r="O40" s="819">
        <f t="shared" si="10"/>
        <v>26118.85</v>
      </c>
      <c r="P40" s="819">
        <f t="shared" si="10"/>
        <v>37331.86</v>
      </c>
      <c r="Q40" s="819">
        <f t="shared" si="10"/>
        <v>22861.930000000004</v>
      </c>
      <c r="R40" s="819">
        <f t="shared" si="10"/>
        <v>44874.659999999996</v>
      </c>
      <c r="S40" s="819">
        <f t="shared" si="10"/>
        <v>39121.090000000004</v>
      </c>
      <c r="T40" s="819">
        <f t="shared" si="10"/>
        <v>14246.000000000002</v>
      </c>
      <c r="U40" s="819">
        <f t="shared" si="10"/>
        <v>94295.35000000002</v>
      </c>
      <c r="V40" s="819">
        <f t="shared" si="10"/>
        <v>64551.33</v>
      </c>
      <c r="W40" s="819">
        <f t="shared" si="10"/>
        <v>58080.37</v>
      </c>
      <c r="X40" s="819">
        <f t="shared" si="10"/>
        <v>62008.34</v>
      </c>
      <c r="Y40" s="819">
        <f t="shared" si="10"/>
        <v>68958.19</v>
      </c>
      <c r="Z40" s="819">
        <f t="shared" si="10"/>
        <v>90516.31</v>
      </c>
      <c r="AA40" s="819">
        <f t="shared" si="10"/>
        <v>8627.5333333333328</v>
      </c>
      <c r="AB40" s="819">
        <f t="shared" si="10"/>
        <v>8663.1083333333336</v>
      </c>
      <c r="AC40" s="819">
        <f t="shared" si="10"/>
        <v>8418.1170833333344</v>
      </c>
      <c r="AD40" s="819">
        <f t="shared" si="10"/>
        <v>9465.5265624999993</v>
      </c>
      <c r="AE40" s="819">
        <f t="shared" si="10"/>
        <v>8586.4743315972228</v>
      </c>
      <c r="AF40" s="819">
        <f t="shared" si="10"/>
        <v>8624.8110814525462</v>
      </c>
      <c r="AG40" s="819">
        <f t="shared" si="10"/>
        <v>8646.7633937958126</v>
      </c>
      <c r="AH40" s="819">
        <f t="shared" si="10"/>
        <v>8583.1983988343545</v>
      </c>
      <c r="AI40" s="819">
        <f t="shared" si="10"/>
        <v>8641.0554876261067</v>
      </c>
      <c r="AJ40" s="819">
        <f t="shared" si="10"/>
        <v>8705.7423338171702</v>
      </c>
      <c r="AK40" s="819">
        <f t="shared" si="10"/>
        <v>8694.9639171908238</v>
      </c>
      <c r="AL40" s="819">
        <f t="shared" si="10"/>
        <v>8630.6697991789479</v>
      </c>
      <c r="AM40" s="819">
        <f t="shared" si="10"/>
        <v>8690.6636713327498</v>
      </c>
      <c r="AN40" s="819">
        <f t="shared" si="10"/>
        <v>8695.9245328326997</v>
      </c>
      <c r="AO40" s="819">
        <f t="shared" si="10"/>
        <v>8698.6592161243134</v>
      </c>
      <c r="AP40" s="819">
        <f t="shared" si="10"/>
        <v>8722.0377271902289</v>
      </c>
      <c r="AQ40" s="819">
        <f t="shared" si="10"/>
        <v>8660.0803242477486</v>
      </c>
      <c r="AR40" s="819">
        <f t="shared" si="10"/>
        <v>8666.2141569686246</v>
      </c>
      <c r="AS40" s="819">
        <f t="shared" si="10"/>
        <v>8669.6644132616329</v>
      </c>
      <c r="AT40" s="819">
        <f t="shared" si="10"/>
        <v>8671.5728315504493</v>
      </c>
      <c r="AU40" s="819">
        <f t="shared" si="10"/>
        <v>8678.9373676101241</v>
      </c>
      <c r="AV40" s="819">
        <f t="shared" si="10"/>
        <v>8682.0941909421272</v>
      </c>
      <c r="AW40" s="819">
        <f t="shared" si="10"/>
        <v>8680.1235123692059</v>
      </c>
      <c r="AX40" s="819">
        <f t="shared" si="10"/>
        <v>8678.8868119674044</v>
      </c>
      <c r="AY40" s="819">
        <f t="shared" si="10"/>
        <v>8682.9048963664427</v>
      </c>
      <c r="AZ40" s="819">
        <f t="shared" si="10"/>
        <v>8682.2583317859171</v>
      </c>
      <c r="BA40" s="819">
        <f t="shared" si="10"/>
        <v>8681.1194816986845</v>
      </c>
      <c r="BB40" s="819">
        <f t="shared" si="10"/>
        <v>8679.6578371632168</v>
      </c>
      <c r="BC40" s="819">
        <f t="shared" si="10"/>
        <v>8676.1261796609651</v>
      </c>
      <c r="BD40" s="819">
        <f t="shared" si="10"/>
        <v>8677.4633342787311</v>
      </c>
      <c r="BE40" s="819">
        <f t="shared" si="10"/>
        <v>8678.4007657212405</v>
      </c>
      <c r="BF40" s="819">
        <f t="shared" si="10"/>
        <v>8679.1287950928763</v>
      </c>
      <c r="BG40" s="819">
        <f t="shared" si="10"/>
        <v>8679.7584587214114</v>
      </c>
      <c r="BH40" s="819">
        <f t="shared" si="10"/>
        <v>8679.8268829806839</v>
      </c>
      <c r="BI40" s="819">
        <f t="shared" si="10"/>
        <v>8679.6379406505657</v>
      </c>
      <c r="BJ40" s="819">
        <f t="shared" si="10"/>
        <v>8679.5974763406775</v>
      </c>
      <c r="BK40" s="819">
        <f t="shared" si="10"/>
        <v>8679.6566983717858</v>
      </c>
      <c r="BL40" s="819">
        <f t="shared" si="10"/>
        <v>8679.386015205564</v>
      </c>
      <c r="BM40" s="819">
        <f t="shared" si="10"/>
        <v>8679.1466554905346</v>
      </c>
      <c r="BN40" s="819">
        <f t="shared" si="10"/>
        <v>8678.9822533065199</v>
      </c>
      <c r="BO40" s="819">
        <f t="shared" si="10"/>
        <v>8678.9259546517969</v>
      </c>
      <c r="BP40" s="819">
        <f t="shared" ref="BP40:BV40" si="11">SUM(BP29:BP39,)</f>
        <v>8679.1592692343656</v>
      </c>
      <c r="BQ40" s="819">
        <f t="shared" si="11"/>
        <v>8679.3005971473358</v>
      </c>
      <c r="BR40" s="819">
        <f t="shared" si="11"/>
        <v>8679.3755830995105</v>
      </c>
      <c r="BS40" s="819">
        <f t="shared" si="11"/>
        <v>8679.3961487667293</v>
      </c>
      <c r="BT40" s="819">
        <f t="shared" si="11"/>
        <v>8679.365956270507</v>
      </c>
      <c r="BU40" s="819">
        <f t="shared" si="11"/>
        <v>8679.3275457113232</v>
      </c>
      <c r="BV40" s="820">
        <f t="shared" si="11"/>
        <v>8679.3016794663872</v>
      </c>
    </row>
    <row r="41" spans="2:74" x14ac:dyDescent="0.35">
      <c r="B41" s="800"/>
      <c r="C41" s="157"/>
      <c r="D41" s="157"/>
      <c r="E41" s="157"/>
      <c r="F41" s="157"/>
      <c r="G41" s="157"/>
      <c r="H41" s="157"/>
      <c r="I41" s="157"/>
      <c r="J41" s="157"/>
      <c r="K41" s="157"/>
      <c r="L41" s="157"/>
      <c r="M41" s="157"/>
      <c r="N41" s="157"/>
      <c r="O41" s="157"/>
      <c r="P41" s="157"/>
      <c r="Q41" s="157"/>
      <c r="R41" s="157"/>
      <c r="S41" s="157"/>
      <c r="T41" s="157"/>
      <c r="U41" s="157"/>
      <c r="V41" s="157"/>
      <c r="W41" s="157"/>
      <c r="X41" s="157"/>
      <c r="Y41" s="157"/>
      <c r="Z41" s="157"/>
      <c r="AA41" s="157"/>
      <c r="AB41" s="157"/>
      <c r="AC41" s="157"/>
      <c r="AD41" s="157"/>
      <c r="AE41" s="157"/>
      <c r="AF41" s="157"/>
      <c r="AG41" s="157"/>
      <c r="AH41" s="157"/>
      <c r="AI41" s="157"/>
      <c r="AJ41" s="157"/>
      <c r="AK41" s="157"/>
      <c r="AL41" s="157"/>
      <c r="AM41" s="157"/>
      <c r="AN41" s="157"/>
      <c r="AO41" s="157"/>
      <c r="AP41" s="157"/>
      <c r="AQ41" s="157"/>
      <c r="AR41" s="157"/>
      <c r="AS41" s="157"/>
      <c r="AT41" s="157"/>
      <c r="AU41" s="157"/>
      <c r="AV41" s="157"/>
      <c r="AW41" s="157"/>
      <c r="AX41" s="157"/>
      <c r="AY41" s="157"/>
      <c r="AZ41" s="157"/>
      <c r="BA41" s="157"/>
      <c r="BB41" s="157"/>
      <c r="BC41" s="157"/>
      <c r="BD41" s="157"/>
      <c r="BE41" s="157"/>
      <c r="BF41" s="157"/>
      <c r="BG41" s="157"/>
      <c r="BH41" s="157"/>
      <c r="BI41" s="157"/>
      <c r="BJ41" s="157"/>
      <c r="BK41" s="157"/>
      <c r="BL41" s="157"/>
      <c r="BM41" s="157"/>
      <c r="BN41" s="157"/>
      <c r="BO41" s="157"/>
      <c r="BP41" s="157"/>
      <c r="BQ41" s="157"/>
      <c r="BR41" s="157"/>
      <c r="BS41" s="157"/>
      <c r="BT41" s="157"/>
      <c r="BU41" s="157"/>
      <c r="BV41" s="801"/>
    </row>
    <row r="42" spans="2:74" x14ac:dyDescent="0.35">
      <c r="B42" s="874" t="s">
        <v>492</v>
      </c>
      <c r="C42" s="875">
        <f>C40+C26</f>
        <v>59959.445227063065</v>
      </c>
      <c r="D42" s="875">
        <f t="shared" ref="D42:BO42" si="12">D40+D26</f>
        <v>54164.655258991923</v>
      </c>
      <c r="E42" s="875">
        <f t="shared" si="12"/>
        <v>77232.615011581438</v>
      </c>
      <c r="F42" s="875">
        <f t="shared" si="12"/>
        <v>83917.802642652154</v>
      </c>
      <c r="G42" s="875">
        <f t="shared" si="12"/>
        <v>79519.162051682069</v>
      </c>
      <c r="H42" s="875">
        <f t="shared" si="12"/>
        <v>105755.57392208325</v>
      </c>
      <c r="I42" s="875">
        <f t="shared" si="12"/>
        <v>116780.48547963616</v>
      </c>
      <c r="J42" s="875">
        <f t="shared" si="12"/>
        <v>129722.58067490836</v>
      </c>
      <c r="K42" s="875">
        <f t="shared" si="12"/>
        <v>134327.8997717298</v>
      </c>
      <c r="L42" s="875">
        <f t="shared" si="12"/>
        <v>135112.57623810961</v>
      </c>
      <c r="M42" s="875">
        <f t="shared" si="12"/>
        <v>178909.86654127692</v>
      </c>
      <c r="N42" s="875">
        <f t="shared" si="12"/>
        <v>207751.06238024216</v>
      </c>
      <c r="O42" s="875">
        <f t="shared" si="12"/>
        <v>173468.37</v>
      </c>
      <c r="P42" s="875">
        <f t="shared" si="12"/>
        <v>184163.55</v>
      </c>
      <c r="Q42" s="875">
        <f t="shared" si="12"/>
        <v>251248.39</v>
      </c>
      <c r="R42" s="875">
        <f t="shared" si="12"/>
        <v>262591.01</v>
      </c>
      <c r="S42" s="875">
        <f t="shared" si="12"/>
        <v>229367.86999999997</v>
      </c>
      <c r="T42" s="875">
        <f t="shared" si="12"/>
        <v>191731.95999999996</v>
      </c>
      <c r="U42" s="875">
        <f t="shared" si="12"/>
        <v>287421</v>
      </c>
      <c r="V42" s="875">
        <f t="shared" si="12"/>
        <v>248802.41999999998</v>
      </c>
      <c r="W42" s="875">
        <f t="shared" si="12"/>
        <v>241395.94</v>
      </c>
      <c r="X42" s="875">
        <f t="shared" si="12"/>
        <v>259224.84</v>
      </c>
      <c r="Y42" s="875">
        <f t="shared" si="12"/>
        <v>245450.27000000002</v>
      </c>
      <c r="Z42" s="875">
        <f t="shared" si="12"/>
        <v>220065.69</v>
      </c>
      <c r="AA42" s="875">
        <f t="shared" si="12"/>
        <v>200964.33657499999</v>
      </c>
      <c r="AB42" s="875">
        <f t="shared" si="12"/>
        <v>218681.45976944445</v>
      </c>
      <c r="AC42" s="875">
        <f t="shared" si="12"/>
        <v>210876.1596189815</v>
      </c>
      <c r="AD42" s="875">
        <f t="shared" si="12"/>
        <v>216993.25945597995</v>
      </c>
      <c r="AE42" s="875">
        <f t="shared" si="12"/>
        <v>211072.68261272827</v>
      </c>
      <c r="AF42" s="875">
        <f t="shared" si="12"/>
        <v>211071.67603253896</v>
      </c>
      <c r="AG42" s="875">
        <f t="shared" si="12"/>
        <v>278426.37390400056</v>
      </c>
      <c r="AH42" s="875">
        <f t="shared" si="12"/>
        <v>231194.44770919505</v>
      </c>
      <c r="AI42" s="875">
        <f t="shared" si="12"/>
        <v>231339.50849815574</v>
      </c>
      <c r="AJ42" s="875">
        <f t="shared" si="12"/>
        <v>265039.61351952981</v>
      </c>
      <c r="AK42" s="875">
        <f t="shared" si="12"/>
        <v>241184.47534824064</v>
      </c>
      <c r="AL42" s="875">
        <f t="shared" si="12"/>
        <v>688041.52316267742</v>
      </c>
      <c r="AM42" s="875">
        <f t="shared" si="12"/>
        <v>243413.79306473382</v>
      </c>
      <c r="AN42" s="875">
        <f t="shared" si="12"/>
        <v>288529.74676577409</v>
      </c>
      <c r="AO42" s="875">
        <f t="shared" si="12"/>
        <v>288549.96417640982</v>
      </c>
      <c r="AP42" s="875">
        <f t="shared" si="12"/>
        <v>288597.46140009066</v>
      </c>
      <c r="AQ42" s="875">
        <f t="shared" si="12"/>
        <v>288555.99247933057</v>
      </c>
      <c r="AR42" s="875">
        <f t="shared" si="12"/>
        <v>288587.96530439146</v>
      </c>
      <c r="AS42" s="875">
        <f t="shared" si="12"/>
        <v>288622.88591779571</v>
      </c>
      <c r="AT42" s="875">
        <f t="shared" si="12"/>
        <v>288653.59844107565</v>
      </c>
      <c r="AU42" s="875">
        <f t="shared" si="12"/>
        <v>288689.76861433272</v>
      </c>
      <c r="AV42" s="875">
        <f t="shared" si="12"/>
        <v>288717.12412079144</v>
      </c>
      <c r="AW42" s="875">
        <f t="shared" si="12"/>
        <v>288741.47828881984</v>
      </c>
      <c r="AX42" s="875">
        <f t="shared" si="12"/>
        <v>796630.02080163499</v>
      </c>
      <c r="AY42" s="875">
        <f t="shared" si="12"/>
        <v>296170.00945675542</v>
      </c>
      <c r="AZ42" s="875">
        <f t="shared" si="12"/>
        <v>303018.81926500838</v>
      </c>
      <c r="BA42" s="875">
        <f t="shared" si="12"/>
        <v>303050.52856298332</v>
      </c>
      <c r="BB42" s="875">
        <f t="shared" si="12"/>
        <v>303083.31524443143</v>
      </c>
      <c r="BC42" s="875">
        <f t="shared" si="12"/>
        <v>303114.99269140774</v>
      </c>
      <c r="BD42" s="875">
        <f t="shared" si="12"/>
        <v>303152.87765983603</v>
      </c>
      <c r="BE42" s="875">
        <f t="shared" si="12"/>
        <v>303191.36081121722</v>
      </c>
      <c r="BF42" s="875">
        <f t="shared" si="12"/>
        <v>303230.23772841407</v>
      </c>
      <c r="BG42" s="875">
        <f t="shared" si="12"/>
        <v>303269.88081647782</v>
      </c>
      <c r="BH42" s="875">
        <f t="shared" si="12"/>
        <v>303309.88518987381</v>
      </c>
      <c r="BI42" s="875">
        <f t="shared" si="12"/>
        <v>303350.99830770009</v>
      </c>
      <c r="BJ42" s="875">
        <f t="shared" si="12"/>
        <v>826469.347355337</v>
      </c>
      <c r="BK42" s="875">
        <f t="shared" si="12"/>
        <v>304390.45264433278</v>
      </c>
      <c r="BL42" s="875">
        <f t="shared" si="12"/>
        <v>311453.99494928803</v>
      </c>
      <c r="BM42" s="875">
        <f t="shared" si="12"/>
        <v>311495.99830012047</v>
      </c>
      <c r="BN42" s="875">
        <f t="shared" si="12"/>
        <v>311538.93891688378</v>
      </c>
      <c r="BO42" s="875">
        <f t="shared" si="12"/>
        <v>311582.80142913241</v>
      </c>
      <c r="BP42" s="875">
        <f t="shared" ref="BP42:BV42" si="13">BP40+BP26</f>
        <v>311627.75134762767</v>
      </c>
      <c r="BQ42" s="875">
        <f t="shared" si="13"/>
        <v>311673.35832882475</v>
      </c>
      <c r="BR42" s="875">
        <f t="shared" si="13"/>
        <v>311719.62387051724</v>
      </c>
      <c r="BS42" s="875">
        <f t="shared" si="13"/>
        <v>311766.56710746163</v>
      </c>
      <c r="BT42" s="875">
        <f t="shared" si="13"/>
        <v>311814.17848244158</v>
      </c>
      <c r="BU42" s="875">
        <f t="shared" si="13"/>
        <v>311862.48245886434</v>
      </c>
      <c r="BV42" s="876">
        <f t="shared" si="13"/>
        <v>850679.52453515644</v>
      </c>
    </row>
    <row r="43" spans="2:74" x14ac:dyDescent="0.35">
      <c r="O43" s="625"/>
      <c r="P43" s="625"/>
      <c r="Q43" s="625"/>
      <c r="R43" s="625"/>
      <c r="S43" s="625"/>
      <c r="T43" s="625"/>
      <c r="U43" s="625"/>
      <c r="V43" s="625"/>
      <c r="W43" s="625"/>
      <c r="X43" s="625"/>
      <c r="Y43" s="625"/>
      <c r="Z43" s="625"/>
      <c r="AA43" s="625"/>
      <c r="AB43" s="625"/>
      <c r="AC43" s="625"/>
      <c r="AD43" s="625"/>
      <c r="AE43" s="625"/>
      <c r="AF43" s="625"/>
      <c r="AG43" s="625"/>
      <c r="AH43" s="625"/>
      <c r="AI43" s="625"/>
      <c r="AJ43" s="625"/>
      <c r="AK43" s="625"/>
      <c r="AL43" s="625"/>
      <c r="AM43" s="625"/>
      <c r="AN43" s="625"/>
      <c r="AO43" s="625"/>
      <c r="AP43" s="625"/>
      <c r="AQ43" s="625"/>
      <c r="AR43" s="625"/>
      <c r="AS43" s="625"/>
      <c r="AT43" s="625"/>
      <c r="AU43" s="625"/>
      <c r="AV43" s="625"/>
      <c r="AW43" s="625"/>
      <c r="AX43" s="625"/>
      <c r="AY43" s="625"/>
      <c r="AZ43" s="625"/>
      <c r="BA43" s="625"/>
    </row>
    <row r="44" spans="2:74" x14ac:dyDescent="0.35">
      <c r="O44" s="575"/>
      <c r="P44" s="575"/>
      <c r="Q44" s="575"/>
      <c r="R44" s="575"/>
      <c r="S44" s="575"/>
      <c r="T44" s="575"/>
      <c r="U44" s="575"/>
      <c r="V44" s="575"/>
      <c r="W44" s="575"/>
      <c r="X44" s="575"/>
      <c r="Y44" s="575"/>
      <c r="Z44" s="575"/>
      <c r="AA44" s="575"/>
      <c r="AB44" s="575"/>
      <c r="AC44" s="575"/>
      <c r="AD44" s="575"/>
      <c r="AE44" s="575"/>
      <c r="AF44" s="575"/>
      <c r="AG44" s="575"/>
      <c r="AH44" s="575"/>
      <c r="AI44" s="575"/>
      <c r="AJ44" s="575"/>
      <c r="AK44" s="575"/>
      <c r="AL44" s="575"/>
      <c r="AM44" s="575"/>
      <c r="AN44" s="575"/>
      <c r="AO44" s="575"/>
      <c r="AP44" s="575"/>
      <c r="AQ44" s="575"/>
      <c r="AR44" s="575"/>
      <c r="AS44" s="575"/>
      <c r="AT44" s="575"/>
      <c r="AU44" s="575"/>
      <c r="AV44" s="575"/>
      <c r="AW44" s="575"/>
      <c r="AX44" s="575"/>
      <c r="AY44" s="575"/>
      <c r="AZ44" s="575"/>
      <c r="BA44" s="575"/>
      <c r="BB44" s="575"/>
      <c r="BC44" s="575"/>
      <c r="BD44" s="575"/>
      <c r="BE44" s="575"/>
      <c r="BF44" s="575"/>
      <c r="BG44" s="575"/>
      <c r="BH44" s="575"/>
      <c r="BI44" s="575"/>
      <c r="BJ44" s="575"/>
    </row>
    <row r="45" spans="2:74" x14ac:dyDescent="0.35">
      <c r="M45" s="152"/>
      <c r="N45" s="152"/>
      <c r="O45" s="152"/>
      <c r="P45" s="152"/>
      <c r="Q45" s="152"/>
      <c r="R45" s="152"/>
      <c r="S45" s="152"/>
      <c r="T45" s="152"/>
      <c r="U45" s="152"/>
      <c r="V45" s="152"/>
      <c r="W45" s="152"/>
      <c r="X45" s="152"/>
      <c r="Y45" s="152"/>
      <c r="Z45" s="152"/>
      <c r="AA45" s="152"/>
      <c r="AB45" s="152"/>
      <c r="AC45" s="152"/>
      <c r="AD45" s="152"/>
      <c r="AE45" s="152"/>
      <c r="AF45" s="152"/>
      <c r="AG45" s="152"/>
      <c r="AH45" s="152"/>
      <c r="AI45" s="152"/>
      <c r="AJ45" s="152"/>
      <c r="AK45" s="152"/>
      <c r="AL45" s="152"/>
      <c r="AM45" s="152"/>
      <c r="AN45" s="152"/>
      <c r="AO45" s="152"/>
      <c r="AP45" s="152"/>
    </row>
    <row r="46" spans="2:74" x14ac:dyDescent="0.35">
      <c r="AN46" s="152"/>
    </row>
  </sheetData>
  <conditionalFormatting sqref="AA4:BV4">
    <cfRule type="containsText" dxfId="253" priority="5" operator="containsText" text="actual">
      <formula>NOT(ISERROR(SEARCH("actual",AA4)))</formula>
    </cfRule>
    <cfRule type="containsText" dxfId="252" priority="6" operator="containsText" text="forecast">
      <formula>NOT(ISERROR(SEARCH("forecast",AA4)))</formula>
    </cfRule>
  </conditionalFormatting>
  <conditionalFormatting sqref="C4:Z4">
    <cfRule type="containsText" dxfId="251" priority="3" operator="containsText" text="actual">
      <formula>NOT(ISERROR(SEARCH("actual",C4)))</formula>
    </cfRule>
    <cfRule type="containsText" dxfId="250" priority="4" operator="containsText" text="forecast">
      <formula>NOT(ISERROR(SEARCH("forecast",C4)))</formula>
    </cfRule>
  </conditionalFormatting>
  <conditionalFormatting sqref="B4">
    <cfRule type="containsText" dxfId="249" priority="1" operator="containsText" text="actual">
      <formula>NOT(ISERROR(SEARCH("actual",B4)))</formula>
    </cfRule>
    <cfRule type="containsText" dxfId="248" priority="2" operator="containsText" text="forecast">
      <formula>NOT(ISERROR(SEARCH("forecast",B4)))</formula>
    </cfRule>
  </conditionalFormatting>
  <pageMargins left="0.7" right="0.7" top="0.75" bottom="0.75" header="0.3" footer="0.3"/>
  <pageSetup orientation="portrait" horizontalDpi="0" verticalDpi="0"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V46"/>
  <sheetViews>
    <sheetView zoomScale="80" zoomScaleNormal="80" workbookViewId="0">
      <pane xSplit="2" ySplit="4" topLeftCell="C17" activePane="bottomRight" state="frozen"/>
      <selection activeCell="AA39" sqref="AA39:AL39"/>
      <selection pane="topRight" activeCell="AA39" sqref="AA39:AL39"/>
      <selection pane="bottomLeft" activeCell="AA39" sqref="AA39:AL39"/>
      <selection pane="bottomRight" activeCell="AH39" sqref="AH39"/>
    </sheetView>
  </sheetViews>
  <sheetFormatPr defaultColWidth="9.1796875" defaultRowHeight="14.5" outlineLevelCol="1" x14ac:dyDescent="0.35"/>
  <cols>
    <col min="1" max="1" width="2" style="574" customWidth="1"/>
    <col min="2" max="2" width="27.453125" style="574" bestFit="1" customWidth="1"/>
    <col min="3" max="3" width="12.7265625" style="574" customWidth="1"/>
    <col min="4" max="7" width="12.7265625" style="574" hidden="1" customWidth="1" outlineLevel="1"/>
    <col min="8" max="12" width="16.453125" style="574" hidden="1" customWidth="1" outlineLevel="1"/>
    <col min="13" max="13" width="19.26953125" style="574" hidden="1" customWidth="1" outlineLevel="1"/>
    <col min="14" max="14" width="16.453125" style="574" customWidth="1" collapsed="1"/>
    <col min="15" max="15" width="12.7265625" style="574" bestFit="1" customWidth="1"/>
    <col min="16" max="18" width="12.7265625" style="574" hidden="1" customWidth="1" outlineLevel="1"/>
    <col min="19" max="19" width="12.1796875" style="574" hidden="1" customWidth="1" outlineLevel="1"/>
    <col min="20" max="25" width="12.26953125" style="574" hidden="1" customWidth="1" outlineLevel="1"/>
    <col min="26" max="26" width="12.26953125" style="574" bestFit="1" customWidth="1" collapsed="1"/>
    <col min="27" max="27" width="12.26953125" style="574" customWidth="1"/>
    <col min="28" max="29" width="13.26953125" style="574" customWidth="1" outlineLevel="1"/>
    <col min="30" max="35" width="10.7265625" style="574" customWidth="1" outlineLevel="1"/>
    <col min="36" max="37" width="11.81640625" style="574" customWidth="1" outlineLevel="1"/>
    <col min="38" max="39" width="13.26953125" style="574" customWidth="1"/>
    <col min="40" max="47" width="10.7265625" style="574" hidden="1" customWidth="1" outlineLevel="1"/>
    <col min="48" max="49" width="11.81640625" style="574" hidden="1" customWidth="1" outlineLevel="1"/>
    <col min="50" max="50" width="11.81640625" style="574" customWidth="1" collapsed="1"/>
    <col min="51" max="51" width="10.7265625" style="574" bestFit="1" customWidth="1"/>
    <col min="52" max="57" width="10.7265625" style="574" hidden="1" customWidth="1" outlineLevel="1"/>
    <col min="58" max="61" width="13.26953125" style="574" hidden="1" customWidth="1" outlineLevel="1"/>
    <col min="62" max="62" width="13.26953125" style="574" bestFit="1" customWidth="1" collapsed="1"/>
    <col min="63" max="63" width="13" style="574" bestFit="1" customWidth="1"/>
    <col min="64" max="73" width="13" style="574" hidden="1" customWidth="1" outlineLevel="1"/>
    <col min="74" max="74" width="13" style="574" bestFit="1" customWidth="1" collapsed="1"/>
    <col min="75" max="16384" width="9.1796875" style="574"/>
  </cols>
  <sheetData>
    <row r="2" spans="2:74" x14ac:dyDescent="0.35">
      <c r="B2" s="652" t="s">
        <v>1079</v>
      </c>
      <c r="C2" s="652"/>
      <c r="D2" s="652"/>
      <c r="E2" s="652"/>
      <c r="F2" s="652"/>
      <c r="G2" s="652"/>
      <c r="H2" s="652"/>
      <c r="I2" s="652"/>
      <c r="J2" s="652"/>
      <c r="K2" s="652"/>
      <c r="L2" s="652"/>
      <c r="M2" s="652"/>
      <c r="N2" s="652"/>
    </row>
    <row r="3" spans="2:74" x14ac:dyDescent="0.35">
      <c r="B3" s="788" t="s">
        <v>931</v>
      </c>
      <c r="C3" s="789">
        <v>40939</v>
      </c>
      <c r="D3" s="789">
        <v>40968</v>
      </c>
      <c r="E3" s="789">
        <v>40999</v>
      </c>
      <c r="F3" s="789">
        <v>41029</v>
      </c>
      <c r="G3" s="789">
        <v>41060</v>
      </c>
      <c r="H3" s="789">
        <v>41090</v>
      </c>
      <c r="I3" s="789">
        <v>41121</v>
      </c>
      <c r="J3" s="789">
        <v>41152</v>
      </c>
      <c r="K3" s="789">
        <v>41182</v>
      </c>
      <c r="L3" s="789">
        <v>41213</v>
      </c>
      <c r="M3" s="789">
        <v>41243</v>
      </c>
      <c r="N3" s="789">
        <v>41274</v>
      </c>
      <c r="O3" s="789">
        <v>41305</v>
      </c>
      <c r="P3" s="789">
        <v>41333</v>
      </c>
      <c r="Q3" s="789">
        <v>41364</v>
      </c>
      <c r="R3" s="789">
        <v>41394</v>
      </c>
      <c r="S3" s="789">
        <v>41425</v>
      </c>
      <c r="T3" s="789">
        <v>41455</v>
      </c>
      <c r="U3" s="789">
        <v>41486</v>
      </c>
      <c r="V3" s="789">
        <v>41517</v>
      </c>
      <c r="W3" s="789">
        <v>41547</v>
      </c>
      <c r="X3" s="789">
        <v>41578</v>
      </c>
      <c r="Y3" s="789">
        <v>41608</v>
      </c>
      <c r="Z3" s="789">
        <v>41639</v>
      </c>
      <c r="AA3" s="789">
        <v>41670</v>
      </c>
      <c r="AB3" s="789">
        <v>41698</v>
      </c>
      <c r="AC3" s="789">
        <v>41729</v>
      </c>
      <c r="AD3" s="789">
        <v>41759</v>
      </c>
      <c r="AE3" s="789">
        <v>41790</v>
      </c>
      <c r="AF3" s="789">
        <v>41820</v>
      </c>
      <c r="AG3" s="789">
        <v>41851</v>
      </c>
      <c r="AH3" s="789">
        <v>41882</v>
      </c>
      <c r="AI3" s="789">
        <v>41912</v>
      </c>
      <c r="AJ3" s="789">
        <v>41943</v>
      </c>
      <c r="AK3" s="789">
        <v>41973</v>
      </c>
      <c r="AL3" s="789">
        <v>42004</v>
      </c>
      <c r="AM3" s="789">
        <v>42035</v>
      </c>
      <c r="AN3" s="789">
        <v>42063</v>
      </c>
      <c r="AO3" s="789">
        <v>42094</v>
      </c>
      <c r="AP3" s="789">
        <v>42124</v>
      </c>
      <c r="AQ3" s="789">
        <v>42155</v>
      </c>
      <c r="AR3" s="789">
        <v>42185</v>
      </c>
      <c r="AS3" s="789">
        <v>42216</v>
      </c>
      <c r="AT3" s="789">
        <v>42247</v>
      </c>
      <c r="AU3" s="789">
        <v>42277</v>
      </c>
      <c r="AV3" s="789">
        <v>42308</v>
      </c>
      <c r="AW3" s="789">
        <v>42338</v>
      </c>
      <c r="AX3" s="789">
        <v>42369</v>
      </c>
      <c r="AY3" s="789">
        <v>42400</v>
      </c>
      <c r="AZ3" s="789">
        <v>42429</v>
      </c>
      <c r="BA3" s="789">
        <v>42460</v>
      </c>
      <c r="BB3" s="789">
        <v>42490</v>
      </c>
      <c r="BC3" s="789">
        <v>42521</v>
      </c>
      <c r="BD3" s="789">
        <v>42551</v>
      </c>
      <c r="BE3" s="789">
        <v>42582</v>
      </c>
      <c r="BF3" s="789">
        <v>42613</v>
      </c>
      <c r="BG3" s="789">
        <v>42643</v>
      </c>
      <c r="BH3" s="789">
        <v>42674</v>
      </c>
      <c r="BI3" s="789">
        <v>42704</v>
      </c>
      <c r="BJ3" s="789">
        <v>42735</v>
      </c>
      <c r="BK3" s="789">
        <v>42766</v>
      </c>
      <c r="BL3" s="789">
        <v>42794</v>
      </c>
      <c r="BM3" s="789">
        <v>42825</v>
      </c>
      <c r="BN3" s="789">
        <v>42855</v>
      </c>
      <c r="BO3" s="789">
        <v>42886</v>
      </c>
      <c r="BP3" s="789">
        <v>42916</v>
      </c>
      <c r="BQ3" s="789">
        <v>42947</v>
      </c>
      <c r="BR3" s="789">
        <v>42978</v>
      </c>
      <c r="BS3" s="789">
        <v>43008</v>
      </c>
      <c r="BT3" s="789">
        <v>43039</v>
      </c>
      <c r="BU3" s="789">
        <v>43069</v>
      </c>
      <c r="BV3" s="790">
        <v>43100</v>
      </c>
    </row>
    <row r="4" spans="2:74" x14ac:dyDescent="0.35">
      <c r="B4" s="791" t="s">
        <v>932</v>
      </c>
      <c r="C4" s="4" t="str">
        <f>IF(C3&lt;=Headcount!$U$3,"Actual","Forecast")</f>
        <v>Actual</v>
      </c>
      <c r="D4" s="4" t="str">
        <f>IF(D3&lt;=Headcount!$U$3,"Actual","Forecast")</f>
        <v>Actual</v>
      </c>
      <c r="E4" s="4" t="str">
        <f>IF(E3&lt;=Headcount!$U$3,"Actual","Forecast")</f>
        <v>Actual</v>
      </c>
      <c r="F4" s="4" t="str">
        <f>IF(F3&lt;=Headcount!$U$3,"Actual","Forecast")</f>
        <v>Actual</v>
      </c>
      <c r="G4" s="4" t="str">
        <f>IF(G3&lt;=Headcount!$U$3,"Actual","Forecast")</f>
        <v>Actual</v>
      </c>
      <c r="H4" s="4" t="str">
        <f>IF(H3&lt;=Headcount!$U$3,"Actual","Forecast")</f>
        <v>Actual</v>
      </c>
      <c r="I4" s="4" t="str">
        <f>IF(I3&lt;=Headcount!$U$3,"Actual","Forecast")</f>
        <v>Actual</v>
      </c>
      <c r="J4" s="4" t="str">
        <f>IF(J3&lt;=Headcount!$U$3,"Actual","Forecast")</f>
        <v>Actual</v>
      </c>
      <c r="K4" s="4" t="str">
        <f>IF(K3&lt;=Headcount!$U$3,"Actual","Forecast")</f>
        <v>Actual</v>
      </c>
      <c r="L4" s="4" t="str">
        <f>IF(L3&lt;=Headcount!$U$3,"Actual","Forecast")</f>
        <v>Actual</v>
      </c>
      <c r="M4" s="4" t="str">
        <f>IF(M3&lt;=Headcount!$U$3,"Actual","Forecast")</f>
        <v>Actual</v>
      </c>
      <c r="N4" s="4" t="str">
        <f>IF(N3&lt;=Headcount!$U$3,"Actual","Forecast")</f>
        <v>Actual</v>
      </c>
      <c r="O4" s="4" t="str">
        <f>IF(O3&lt;=Headcount!$U$3,"Actual","Forecast")</f>
        <v>Actual</v>
      </c>
      <c r="P4" s="4" t="str">
        <f>IF(P3&lt;=Headcount!$U$3,"Actual","Forecast")</f>
        <v>Actual</v>
      </c>
      <c r="Q4" s="4" t="str">
        <f>IF(Q3&lt;=Headcount!$U$3,"Actual","Forecast")</f>
        <v>Actual</v>
      </c>
      <c r="R4" s="4" t="str">
        <f>IF(R3&lt;=Headcount!$U$3,"Actual","Forecast")</f>
        <v>Actual</v>
      </c>
      <c r="S4" s="4" t="str">
        <f>IF(S3&lt;=Headcount!$U$3,"Actual","Forecast")</f>
        <v>Actual</v>
      </c>
      <c r="T4" s="4" t="str">
        <f>IF(T3&lt;=Headcount!$U$3,"Actual","Forecast")</f>
        <v>Actual</v>
      </c>
      <c r="U4" s="4" t="str">
        <f>IF(U3&lt;=Headcount!$U$3,"Actual","Forecast")</f>
        <v>Actual</v>
      </c>
      <c r="V4" s="4" t="str">
        <f>IF(V3&lt;=Headcount!$U$3,"Actual","Forecast")</f>
        <v>Actual</v>
      </c>
      <c r="W4" s="4" t="str">
        <f>IF(W3&lt;=Headcount!$U$3,"Actual","Forecast")</f>
        <v>Actual</v>
      </c>
      <c r="X4" s="4" t="str">
        <f>IF(X3&lt;=Headcount!$U$3,"Actual","Forecast")</f>
        <v>Actual</v>
      </c>
      <c r="Y4" s="4" t="str">
        <f>IF(Y3&lt;=Headcount!$U$3,"Actual","Forecast")</f>
        <v>Actual</v>
      </c>
      <c r="Z4" s="4" t="str">
        <f>IF(Z3&lt;=Headcount!$U$3,"Actual","Forecast")</f>
        <v>Actual</v>
      </c>
      <c r="AA4" s="792" t="s">
        <v>7</v>
      </c>
      <c r="AB4" s="792" t="s">
        <v>7</v>
      </c>
      <c r="AC4" s="792" t="s">
        <v>7</v>
      </c>
      <c r="AD4" s="792" t="s">
        <v>7</v>
      </c>
      <c r="AE4" s="792" t="s">
        <v>7</v>
      </c>
      <c r="AF4" s="792" t="s">
        <v>7</v>
      </c>
      <c r="AG4" s="792" t="s">
        <v>7</v>
      </c>
      <c r="AH4" s="792" t="s">
        <v>7</v>
      </c>
      <c r="AI4" s="792" t="s">
        <v>7</v>
      </c>
      <c r="AJ4" s="792" t="s">
        <v>7</v>
      </c>
      <c r="AK4" s="792" t="s">
        <v>7</v>
      </c>
      <c r="AL4" s="792" t="s">
        <v>7</v>
      </c>
      <c r="AM4" s="792" t="s">
        <v>7</v>
      </c>
      <c r="AN4" s="792" t="s">
        <v>7</v>
      </c>
      <c r="AO4" s="792" t="s">
        <v>7</v>
      </c>
      <c r="AP4" s="792" t="s">
        <v>7</v>
      </c>
      <c r="AQ4" s="792" t="s">
        <v>7</v>
      </c>
      <c r="AR4" s="792" t="s">
        <v>7</v>
      </c>
      <c r="AS4" s="792" t="s">
        <v>7</v>
      </c>
      <c r="AT4" s="792" t="s">
        <v>7</v>
      </c>
      <c r="AU4" s="792" t="s">
        <v>7</v>
      </c>
      <c r="AV4" s="792" t="s">
        <v>7</v>
      </c>
      <c r="AW4" s="792" t="s">
        <v>7</v>
      </c>
      <c r="AX4" s="792" t="s">
        <v>7</v>
      </c>
      <c r="AY4" s="792" t="s">
        <v>7</v>
      </c>
      <c r="AZ4" s="792" t="s">
        <v>7</v>
      </c>
      <c r="BA4" s="792" t="s">
        <v>7</v>
      </c>
      <c r="BB4" s="792" t="s">
        <v>7</v>
      </c>
      <c r="BC4" s="792" t="s">
        <v>7</v>
      </c>
      <c r="BD4" s="792" t="s">
        <v>7</v>
      </c>
      <c r="BE4" s="792" t="s">
        <v>7</v>
      </c>
      <c r="BF4" s="792" t="s">
        <v>7</v>
      </c>
      <c r="BG4" s="792" t="s">
        <v>7</v>
      </c>
      <c r="BH4" s="792" t="s">
        <v>7</v>
      </c>
      <c r="BI4" s="792" t="s">
        <v>7</v>
      </c>
      <c r="BJ4" s="792" t="s">
        <v>7</v>
      </c>
      <c r="BK4" s="792" t="s">
        <v>7</v>
      </c>
      <c r="BL4" s="792" t="s">
        <v>7</v>
      </c>
      <c r="BM4" s="792" t="s">
        <v>7</v>
      </c>
      <c r="BN4" s="792" t="s">
        <v>7</v>
      </c>
      <c r="BO4" s="792" t="s">
        <v>7</v>
      </c>
      <c r="BP4" s="792" t="s">
        <v>7</v>
      </c>
      <c r="BQ4" s="792" t="s">
        <v>7</v>
      </c>
      <c r="BR4" s="792" t="s">
        <v>7</v>
      </c>
      <c r="BS4" s="792" t="s">
        <v>7</v>
      </c>
      <c r="BT4" s="792" t="s">
        <v>7</v>
      </c>
      <c r="BU4" s="792" t="s">
        <v>7</v>
      </c>
      <c r="BV4" s="793" t="s">
        <v>7</v>
      </c>
    </row>
    <row r="5" spans="2:74" x14ac:dyDescent="0.35">
      <c r="B5" s="794" t="s">
        <v>68</v>
      </c>
      <c r="C5" s="795">
        <f t="shared" ref="C5:N5" si="0">MONTH(C3)</f>
        <v>1</v>
      </c>
      <c r="D5" s="795">
        <f t="shared" si="0"/>
        <v>2</v>
      </c>
      <c r="E5" s="795">
        <f t="shared" si="0"/>
        <v>3</v>
      </c>
      <c r="F5" s="795">
        <f t="shared" si="0"/>
        <v>4</v>
      </c>
      <c r="G5" s="795">
        <f t="shared" si="0"/>
        <v>5</v>
      </c>
      <c r="H5" s="795">
        <f t="shared" si="0"/>
        <v>6</v>
      </c>
      <c r="I5" s="795">
        <f t="shared" si="0"/>
        <v>7</v>
      </c>
      <c r="J5" s="795">
        <f t="shared" si="0"/>
        <v>8</v>
      </c>
      <c r="K5" s="795">
        <f t="shared" si="0"/>
        <v>9</v>
      </c>
      <c r="L5" s="795">
        <f t="shared" si="0"/>
        <v>10</v>
      </c>
      <c r="M5" s="795">
        <f t="shared" si="0"/>
        <v>11</v>
      </c>
      <c r="N5" s="795">
        <f t="shared" si="0"/>
        <v>12</v>
      </c>
      <c r="O5" s="795">
        <f>MONTH(O3)</f>
        <v>1</v>
      </c>
      <c r="P5" s="795">
        <f t="shared" ref="P5:BV5" si="1">MONTH(P3)</f>
        <v>2</v>
      </c>
      <c r="Q5" s="795">
        <f t="shared" si="1"/>
        <v>3</v>
      </c>
      <c r="R5" s="795">
        <f t="shared" si="1"/>
        <v>4</v>
      </c>
      <c r="S5" s="795">
        <f t="shared" si="1"/>
        <v>5</v>
      </c>
      <c r="T5" s="795">
        <f t="shared" si="1"/>
        <v>6</v>
      </c>
      <c r="U5" s="795">
        <f t="shared" si="1"/>
        <v>7</v>
      </c>
      <c r="V5" s="795">
        <f t="shared" si="1"/>
        <v>8</v>
      </c>
      <c r="W5" s="795">
        <f t="shared" si="1"/>
        <v>9</v>
      </c>
      <c r="X5" s="795">
        <f t="shared" si="1"/>
        <v>10</v>
      </c>
      <c r="Y5" s="795">
        <f t="shared" si="1"/>
        <v>11</v>
      </c>
      <c r="Z5" s="795">
        <f t="shared" si="1"/>
        <v>12</v>
      </c>
      <c r="AA5" s="795">
        <f t="shared" si="1"/>
        <v>1</v>
      </c>
      <c r="AB5" s="795">
        <f t="shared" si="1"/>
        <v>2</v>
      </c>
      <c r="AC5" s="795">
        <f t="shared" si="1"/>
        <v>3</v>
      </c>
      <c r="AD5" s="795">
        <f t="shared" si="1"/>
        <v>4</v>
      </c>
      <c r="AE5" s="795">
        <f t="shared" si="1"/>
        <v>5</v>
      </c>
      <c r="AF5" s="795">
        <f t="shared" si="1"/>
        <v>6</v>
      </c>
      <c r="AG5" s="795">
        <f t="shared" si="1"/>
        <v>7</v>
      </c>
      <c r="AH5" s="795">
        <f t="shared" si="1"/>
        <v>8</v>
      </c>
      <c r="AI5" s="795">
        <f t="shared" si="1"/>
        <v>9</v>
      </c>
      <c r="AJ5" s="795">
        <f t="shared" si="1"/>
        <v>10</v>
      </c>
      <c r="AK5" s="795">
        <f t="shared" si="1"/>
        <v>11</v>
      </c>
      <c r="AL5" s="795">
        <f t="shared" si="1"/>
        <v>12</v>
      </c>
      <c r="AM5" s="795">
        <f t="shared" si="1"/>
        <v>1</v>
      </c>
      <c r="AN5" s="795">
        <f t="shared" si="1"/>
        <v>2</v>
      </c>
      <c r="AO5" s="795">
        <f t="shared" si="1"/>
        <v>3</v>
      </c>
      <c r="AP5" s="795">
        <f t="shared" si="1"/>
        <v>4</v>
      </c>
      <c r="AQ5" s="795">
        <f t="shared" si="1"/>
        <v>5</v>
      </c>
      <c r="AR5" s="795">
        <f t="shared" si="1"/>
        <v>6</v>
      </c>
      <c r="AS5" s="795">
        <f t="shared" si="1"/>
        <v>7</v>
      </c>
      <c r="AT5" s="795">
        <f t="shared" si="1"/>
        <v>8</v>
      </c>
      <c r="AU5" s="795">
        <f t="shared" si="1"/>
        <v>9</v>
      </c>
      <c r="AV5" s="795">
        <f t="shared" si="1"/>
        <v>10</v>
      </c>
      <c r="AW5" s="795">
        <f t="shared" si="1"/>
        <v>11</v>
      </c>
      <c r="AX5" s="795">
        <f t="shared" si="1"/>
        <v>12</v>
      </c>
      <c r="AY5" s="795">
        <f t="shared" si="1"/>
        <v>1</v>
      </c>
      <c r="AZ5" s="795">
        <f t="shared" si="1"/>
        <v>2</v>
      </c>
      <c r="BA5" s="795">
        <f t="shared" si="1"/>
        <v>3</v>
      </c>
      <c r="BB5" s="795">
        <f t="shared" si="1"/>
        <v>4</v>
      </c>
      <c r="BC5" s="795">
        <f t="shared" si="1"/>
        <v>5</v>
      </c>
      <c r="BD5" s="795">
        <f t="shared" si="1"/>
        <v>6</v>
      </c>
      <c r="BE5" s="795">
        <f t="shared" si="1"/>
        <v>7</v>
      </c>
      <c r="BF5" s="795">
        <f t="shared" si="1"/>
        <v>8</v>
      </c>
      <c r="BG5" s="795">
        <f t="shared" si="1"/>
        <v>9</v>
      </c>
      <c r="BH5" s="795">
        <f t="shared" si="1"/>
        <v>10</v>
      </c>
      <c r="BI5" s="795">
        <f t="shared" si="1"/>
        <v>11</v>
      </c>
      <c r="BJ5" s="795">
        <f t="shared" si="1"/>
        <v>12</v>
      </c>
      <c r="BK5" s="795">
        <f t="shared" si="1"/>
        <v>1</v>
      </c>
      <c r="BL5" s="795">
        <f t="shared" si="1"/>
        <v>2</v>
      </c>
      <c r="BM5" s="795">
        <f t="shared" si="1"/>
        <v>3</v>
      </c>
      <c r="BN5" s="795">
        <f t="shared" si="1"/>
        <v>4</v>
      </c>
      <c r="BO5" s="795">
        <f t="shared" si="1"/>
        <v>5</v>
      </c>
      <c r="BP5" s="795">
        <f t="shared" si="1"/>
        <v>6</v>
      </c>
      <c r="BQ5" s="795">
        <f t="shared" si="1"/>
        <v>7</v>
      </c>
      <c r="BR5" s="795">
        <f t="shared" si="1"/>
        <v>8</v>
      </c>
      <c r="BS5" s="795">
        <f t="shared" si="1"/>
        <v>9</v>
      </c>
      <c r="BT5" s="795">
        <f t="shared" si="1"/>
        <v>10</v>
      </c>
      <c r="BU5" s="795">
        <f t="shared" si="1"/>
        <v>11</v>
      </c>
      <c r="BV5" s="796">
        <f t="shared" si="1"/>
        <v>12</v>
      </c>
    </row>
    <row r="6" spans="2:74" x14ac:dyDescent="0.35">
      <c r="B6" s="797"/>
      <c r="C6" s="798"/>
      <c r="D6" s="798"/>
      <c r="E6" s="798"/>
      <c r="F6" s="798"/>
      <c r="G6" s="798"/>
      <c r="H6" s="798"/>
      <c r="I6" s="798"/>
      <c r="J6" s="798"/>
      <c r="K6" s="798"/>
      <c r="L6" s="798"/>
      <c r="M6" s="798"/>
      <c r="N6" s="798"/>
      <c r="O6" s="798"/>
      <c r="P6" s="798"/>
      <c r="Q6" s="798"/>
      <c r="R6" s="798"/>
      <c r="S6" s="798"/>
      <c r="T6" s="798"/>
      <c r="U6" s="798"/>
      <c r="V6" s="798"/>
      <c r="W6" s="798"/>
      <c r="X6" s="798"/>
      <c r="Y6" s="798"/>
      <c r="Z6" s="798"/>
      <c r="AA6" s="798"/>
      <c r="AB6" s="798"/>
      <c r="AC6" s="798"/>
      <c r="AD6" s="798"/>
      <c r="AE6" s="798"/>
      <c r="AF6" s="798"/>
      <c r="AG6" s="798"/>
      <c r="AH6" s="798"/>
      <c r="AI6" s="798"/>
      <c r="AJ6" s="798"/>
      <c r="AK6" s="798"/>
      <c r="AL6" s="798"/>
      <c r="AM6" s="798"/>
      <c r="AN6" s="798"/>
      <c r="AO6" s="798"/>
      <c r="AP6" s="798"/>
      <c r="AQ6" s="798"/>
      <c r="AR6" s="798"/>
      <c r="AS6" s="798"/>
      <c r="AT6" s="798"/>
      <c r="AU6" s="798"/>
      <c r="AV6" s="798"/>
      <c r="AW6" s="798"/>
      <c r="AX6" s="798"/>
      <c r="AY6" s="798"/>
      <c r="AZ6" s="798"/>
      <c r="BA6" s="798"/>
      <c r="BB6" s="798"/>
      <c r="BC6" s="798"/>
      <c r="BD6" s="798"/>
      <c r="BE6" s="798"/>
      <c r="BF6" s="798"/>
      <c r="BG6" s="798"/>
      <c r="BH6" s="798"/>
      <c r="BI6" s="798"/>
      <c r="BJ6" s="798"/>
      <c r="BK6" s="798"/>
      <c r="BL6" s="798"/>
      <c r="BM6" s="798"/>
      <c r="BN6" s="798"/>
      <c r="BO6" s="798"/>
      <c r="BP6" s="798"/>
      <c r="BQ6" s="798"/>
      <c r="BR6" s="798"/>
      <c r="BS6" s="798"/>
      <c r="BT6" s="798"/>
      <c r="BU6" s="798"/>
      <c r="BV6" s="799"/>
    </row>
    <row r="7" spans="2:74" x14ac:dyDescent="0.35">
      <c r="B7" s="794" t="s">
        <v>14</v>
      </c>
      <c r="C7" s="798">
        <f>SUMIFS(Headcount!$B$6:$B$89,Headcount!$F$6:$F$89,"Finance",Headcount!$H$6:$H$89,"&gt;"&amp;C3,Headcount!$G$6:$G$89,"&lt;"&amp;C3)</f>
        <v>1</v>
      </c>
      <c r="D7" s="799">
        <f>IF(D4="forecast",IF(C4="actual",(SUMIFS(Headcount!$B$6:$B$89,Headcount!$F$6:$F$89,"Finance",Headcount!$H$6:$H$89,"&gt;"&amp;D3,Headcount!$G$6:$G$89,"&lt;"&amp;D3)+D8-D9),(C7+D8-D9)),SUMIFS(Headcount!$B$6:$B$89,Headcount!$F$6:$F$89,"Finance",Headcount!$H$6:$H$89,"&gt;"&amp;D3,Headcount!$G$6:$G$89,"&lt;"&amp;C3))</f>
        <v>1</v>
      </c>
      <c r="E7" s="798">
        <f>IF(E4="forecast",IF(D4="actual",(SUMIFS(Headcount!$B$6:$B$89,Headcount!$F$6:$F$89,"Finance",Headcount!$H$6:$H$89,"&gt;"&amp;E3,Headcount!$G$6:$G$89,"&lt;"&amp;E3)+E8-E9),(D7+E8-E9)),SUMIFS(Headcount!$B$6:$B$89,Headcount!$F$6:$F$89,"Finance",Headcount!$H$6:$H$89,"&gt;"&amp;E3,Headcount!$G$6:$G$89,"&lt;"&amp;D3))</f>
        <v>1</v>
      </c>
      <c r="F7" s="798">
        <f>IF(F4="forecast",IF(E4="actual",(SUMIFS(Headcount!$B$6:$B$89,Headcount!$F$6:$F$89,"Finance",Headcount!$H$6:$H$89,"&gt;"&amp;F3,Headcount!$G$6:$G$89,"&lt;"&amp;F3)+F8-F9),(E7+F8-F9)),SUMIFS(Headcount!$B$6:$B$89,Headcount!$F$6:$F$89,"Finance",Headcount!$H$6:$H$89,"&gt;"&amp;F3,Headcount!$G$6:$G$89,"&lt;"&amp;E3))</f>
        <v>1</v>
      </c>
      <c r="G7" s="798">
        <f>IF(G4="forecast",IF(F4="actual",(SUMIFS(Headcount!$B$6:$B$89,Headcount!$F$6:$F$89,"Finance",Headcount!$H$6:$H$89,"&gt;"&amp;G3,Headcount!$G$6:$G$89,"&lt;"&amp;G3)+G8-G9),(F7+G8-G9)),SUMIFS(Headcount!$B$6:$B$89,Headcount!$F$6:$F$89,"Finance",Headcount!$H$6:$H$89,"&gt;"&amp;G3,Headcount!$G$6:$G$89,"&lt;"&amp;F3))</f>
        <v>1</v>
      </c>
      <c r="H7" s="798">
        <f>IF(H4="forecast",IF(G4="actual",(SUMIFS(Headcount!$B$6:$B$89,Headcount!$F$6:$F$89,"Finance",Headcount!$H$6:$H$89,"&gt;"&amp;H3,Headcount!$G$6:$G$89,"&lt;"&amp;H3)+H8-H9),(G7+H8-H9)),SUMIFS(Headcount!$B$6:$B$89,Headcount!$F$6:$F$89,"Finance",Headcount!$H$6:$H$89,"&gt;"&amp;H3,Headcount!$G$6:$G$89,"&lt;"&amp;G3))</f>
        <v>1</v>
      </c>
      <c r="I7" s="798">
        <f>IF(I4="forecast",IF(H4="actual",(SUMIFS(Headcount!$B$6:$B$89,Headcount!$F$6:$F$89,"Finance",Headcount!$H$6:$H$89,"&gt;"&amp;I3,Headcount!$G$6:$G$89,"&lt;"&amp;I3)+I8-I9),(H7+I8-I9)),SUMIFS(Headcount!$B$6:$B$89,Headcount!$F$6:$F$89,"Finance",Headcount!$H$6:$H$89,"&gt;"&amp;I3,Headcount!$G$6:$G$89,"&lt;"&amp;H3))</f>
        <v>1</v>
      </c>
      <c r="J7" s="798">
        <f>IF(J4="forecast",IF(I4="actual",(SUMIFS(Headcount!$B$6:$B$89,Headcount!$F$6:$F$89,"Finance",Headcount!$H$6:$H$89,"&gt;"&amp;J3,Headcount!$G$6:$G$89,"&lt;"&amp;J3)+J8-J9),(I7+J8-J9)),SUMIFS(Headcount!$B$6:$B$89,Headcount!$F$6:$F$89,"Finance",Headcount!$H$6:$H$89,"&gt;"&amp;J3,Headcount!$G$6:$G$89,"&lt;"&amp;I3))</f>
        <v>1</v>
      </c>
      <c r="K7" s="798">
        <f>IF(K4="forecast",IF(J4="actual",(SUMIFS(Headcount!$B$6:$B$89,Headcount!$F$6:$F$89,"Finance",Headcount!$H$6:$H$89,"&gt;"&amp;K3,Headcount!$G$6:$G$89,"&lt;"&amp;K3)+K8-K9),(J7+K8-K9)),SUMIFS(Headcount!$B$6:$B$89,Headcount!$F$6:$F$89,"Finance",Headcount!$H$6:$H$89,"&gt;"&amp;K3,Headcount!$G$6:$G$89,"&lt;"&amp;J3))</f>
        <v>1</v>
      </c>
      <c r="L7" s="798">
        <f>IF(L4="forecast",IF(K4="actual",(SUMIFS(Headcount!$B$6:$B$89,Headcount!$F$6:$F$89,"Finance",Headcount!$H$6:$H$89,"&gt;"&amp;L3,Headcount!$G$6:$G$89,"&lt;"&amp;L3)+L8-L9),(K7+L8-L9)),SUMIFS(Headcount!$B$6:$B$89,Headcount!$F$6:$F$89,"Finance",Headcount!$H$6:$H$89,"&gt;"&amp;L3,Headcount!$G$6:$G$89,"&lt;"&amp;K3))</f>
        <v>1</v>
      </c>
      <c r="M7" s="798">
        <f>IF(M4="forecast",IF(L4="actual",(SUMIFS(Headcount!$B$6:$B$89,Headcount!$F$6:$F$89,"Finance",Headcount!$H$6:$H$89,"&gt;"&amp;M3,Headcount!$G$6:$G$89,"&lt;"&amp;M3)+M8-M9),(L7+M8-M9)),SUMIFS(Headcount!$B$6:$B$89,Headcount!$F$6:$F$89,"Finance",Headcount!$H$6:$H$89,"&gt;"&amp;M3,Headcount!$G$6:$G$89,"&lt;"&amp;L3))</f>
        <v>1</v>
      </c>
      <c r="N7" s="798">
        <f>IF(N4="forecast",IF(M4="actual",(SUMIFS(Headcount!$B$6:$B$89,Headcount!$F$6:$F$89,"Finance",Headcount!$H$6:$H$89,"&gt;"&amp;N3,Headcount!$G$6:$G$89,"&lt;"&amp;N3)+N8-N9),(M7+N8-N9)),SUMIFS(Headcount!$B$6:$B$89,Headcount!$F$6:$F$89,"Finance",Headcount!$H$6:$H$89,"&gt;"&amp;N3,Headcount!$G$6:$G$89,"&lt;"&amp;M3))</f>
        <v>2</v>
      </c>
      <c r="O7" s="798">
        <f>IF(O4="forecast",IF(N4="actual",(SUMIFS(Headcount!$B$6:$B$89,Headcount!$F$6:$F$89,"Finance",Headcount!$H$6:$H$89,"&gt;"&amp;O3,Headcount!$G$6:$G$89,"&lt;"&amp;O3)+O8-O9),(N7+O8-O9)),SUMIFS(Headcount!$B$6:$B$89,Headcount!$F$6:$F$89,"Finance",Headcount!$H$6:$H$89,"&gt;"&amp;O3,Headcount!$G$6:$G$89,"&lt;"&amp;N3))</f>
        <v>2</v>
      </c>
      <c r="P7" s="798">
        <f>IF(P4="forecast",IF(O4="actual",(SUMIFS(Headcount!$B$6:$B$89,Headcount!$F$6:$F$89,"Finance",Headcount!$H$6:$H$89,"&gt;"&amp;P3,Headcount!$G$6:$G$89,"&lt;"&amp;P3)+P8-P9),(O7+P8-P9)),SUMIFS(Headcount!$B$6:$B$89,Headcount!$F$6:$F$89,"Finance",Headcount!$H$6:$H$89,"&gt;"&amp;P3,Headcount!$G$6:$G$89,"&lt;"&amp;O3))</f>
        <v>2</v>
      </c>
      <c r="Q7" s="798">
        <f>IF(Q4="forecast",IF(P4="actual",(SUMIFS(Headcount!$B$6:$B$89,Headcount!$F$6:$F$89,"Finance",Headcount!$H$6:$H$89,"&gt;"&amp;Q3,Headcount!$G$6:$G$89,"&lt;"&amp;Q3)+Q8-Q9),(P7+Q8-Q9)),SUMIFS(Headcount!$B$6:$B$89,Headcount!$F$6:$F$89,"Finance",Headcount!$H$6:$H$89,"&gt;"&amp;Q3,Headcount!$G$6:$G$89,"&lt;"&amp;P3))</f>
        <v>3</v>
      </c>
      <c r="R7" s="798">
        <f>IF(R4="forecast",IF(Q4="actual",(SUMIFS(Headcount!$B$6:$B$89,Headcount!$F$6:$F$89,"Finance",Headcount!$H$6:$H$89,"&gt;"&amp;R3,Headcount!$G$6:$G$89,"&lt;"&amp;R3)+R8-R9),(Q7+R8-R9)),SUMIFS(Headcount!$B$6:$B$89,Headcount!$F$6:$F$89,"Finance",Headcount!$H$6:$H$89,"&gt;"&amp;R3,Headcount!$G$6:$G$89,"&lt;"&amp;Q3))</f>
        <v>3</v>
      </c>
      <c r="S7" s="798">
        <f>IF(S4="forecast",IF(R4="actual",(SUMIFS(Headcount!$B$6:$B$89,Headcount!$F$6:$F$89,"Finance",Headcount!$H$6:$H$89,"&gt;"&amp;S3,Headcount!$G$6:$G$89,"&lt;"&amp;S3)+S8-S9),(R7+S8-S9)),SUMIFS(Headcount!$B$6:$B$89,Headcount!$F$6:$F$89,"Finance",Headcount!$H$6:$H$89,"&gt;"&amp;S3,Headcount!$G$6:$G$89,"&lt;"&amp;R3))</f>
        <v>3</v>
      </c>
      <c r="T7" s="798">
        <f>IF(T4="forecast",IF(S4="actual",(SUMIFS(Headcount!$B$6:$B$89,Headcount!$F$6:$F$89,"Finance",Headcount!$H$6:$H$89,"&gt;"&amp;T3,Headcount!$G$6:$G$89,"&lt;"&amp;T3)+T8-T9),(S7+T8-T9)),SUMIFS(Headcount!$B$6:$B$89,Headcount!$F$6:$F$89,"Finance",Headcount!$H$6:$H$89,"&gt;"&amp;T3,Headcount!$G$6:$G$89,"&lt;"&amp;S3))</f>
        <v>3</v>
      </c>
      <c r="U7" s="798">
        <f>IF(U4="forecast",IF(T4="actual",(SUMIFS(Headcount!$B$6:$B$89,Headcount!$F$6:$F$89,"Finance",Headcount!$H$6:$H$89,"&gt;"&amp;U3,Headcount!$G$6:$G$89,"&lt;"&amp;U3)+U8-U9),(T7+U8-U9)),SUMIFS(Headcount!$B$6:$B$89,Headcount!$F$6:$F$89,"Finance",Headcount!$H$6:$H$89,"&gt;"&amp;U3,Headcount!$G$6:$G$89,"&lt;"&amp;T3))</f>
        <v>3</v>
      </c>
      <c r="V7" s="798">
        <f>IF(V4="forecast",IF(U4="actual",(SUMIFS(Headcount!$B$6:$B$89,Headcount!$F$6:$F$89,"Finance",Headcount!$H$6:$H$89,"&gt;"&amp;V3,Headcount!$G$6:$G$89,"&lt;"&amp;V3)+V8-V9),(U7+V8-V9)),SUMIFS(Headcount!$B$6:$B$89,Headcount!$F$6:$F$89,"Finance",Headcount!$H$6:$H$89,"&gt;"&amp;V3,Headcount!$G$6:$G$89,"&lt;"&amp;U3))</f>
        <v>3</v>
      </c>
      <c r="W7" s="798">
        <f>IF(W4="forecast",IF(V4="actual",(SUMIFS(Headcount!$B$6:$B$89,Headcount!$F$6:$F$89,"Finance",Headcount!$H$6:$H$89,"&gt;"&amp;W3,Headcount!$G$6:$G$89,"&lt;"&amp;W3)+W8-W9),(V7+W8-W9)),SUMIFS(Headcount!$B$6:$B$89,Headcount!$F$6:$F$89,"Finance",Headcount!$H$6:$H$89,"&gt;"&amp;W3,Headcount!$G$6:$G$89,"&lt;"&amp;V3))</f>
        <v>4</v>
      </c>
      <c r="X7" s="798">
        <f>IF(X4="forecast",IF(W4="actual",(SUMIFS(Headcount!$B$6:$B$89,Headcount!$F$6:$F$89,"Finance",Headcount!$H$6:$H$89,"&gt;"&amp;X3,Headcount!$G$6:$G$89,"&lt;"&amp;X3)+X8-X9),(W7+X8-X9)),SUMIFS(Headcount!$B$6:$B$89,Headcount!$F$6:$F$89,"Finance",Headcount!$H$6:$H$89,"&gt;"&amp;X3,Headcount!$G$6:$G$89,"&lt;"&amp;W3))</f>
        <v>4</v>
      </c>
      <c r="Y7" s="798">
        <f>IF(Y4="forecast",IF(X4="actual",(SUMIFS(Headcount!$B$6:$B$89,Headcount!$F$6:$F$89,"Finance",Headcount!$H$6:$H$89,"&gt;"&amp;Y3,Headcount!$G$6:$G$89,"&lt;"&amp;Y3)+Y8-Y9),(X7+Y8-Y9)),SUMIFS(Headcount!$B$6:$B$89,Headcount!$F$6:$F$89,"Finance",Headcount!$H$6:$H$89,"&gt;"&amp;Y3,Headcount!$G$6:$G$89,"&lt;"&amp;X3))</f>
        <v>4</v>
      </c>
      <c r="Z7" s="798">
        <f>IF(Z4="forecast",IF(Y4="actual",(SUMIFS(Headcount!$B$6:$B$89,Headcount!$F$6:$F$89,"Finance",Headcount!$H$6:$H$89,"&gt;"&amp;Z3,Headcount!$G$6:$G$89,"&lt;"&amp;Z3)+Z8-Z9),(Y7+Z8-Z9)),SUMIFS(Headcount!$B$6:$B$89,Headcount!$F$6:$F$89,"Finance",Headcount!$H$6:$H$89,"&gt;"&amp;Z3,Headcount!$G$6:$G$89,"&lt;"&amp;Y3))</f>
        <v>4</v>
      </c>
      <c r="AA7" s="798">
        <f>IF(AA4="forecast",IF(Z4="actual",(SUMIFS(Headcount!$B$6:$B$89,Headcount!$F$6:$F$89,"Finance",Headcount!$H$6:$H$89,"&gt;"&amp;AA3,Headcount!$G$6:$G$89,"&lt;"&amp;AA3)+AA8-AA9),(Z7+AA8-AA9)),SUMIFS(Headcount!$B$6:$B$89,Headcount!$F$6:$F$89,"Finance",Headcount!$H$6:$H$89,"&gt;"&amp;AA3,Headcount!$G$6:$G$89,"&lt;"&amp;Z3))</f>
        <v>4</v>
      </c>
      <c r="AB7" s="798">
        <f>IF(AB4="forecast",IF(AA4="actual",(SUMIFS(Headcount!$B$6:$B$89,Headcount!$F$6:$F$89,"Finance",Headcount!$H$6:$H$89,"&gt;"&amp;AB3,Headcount!$G$6:$G$89,"&lt;"&amp;AB3)+AB8-AB9),(AA7+AB8-AB9)),SUMIFS(Headcount!$B$6:$B$89,Headcount!$F$6:$F$89,"Finance",Headcount!$H$6:$H$89,"&gt;"&amp;AB3,Headcount!$G$6:$G$89,"&lt;"&amp;AA3))</f>
        <v>4</v>
      </c>
      <c r="AC7" s="798">
        <f>IF(AC4="forecast",IF(AB4="actual",(SUMIFS(Headcount!$B$6:$B$89,Headcount!$F$6:$F$89,"Finance",Headcount!$H$6:$H$89,"&gt;"&amp;AC3,Headcount!$G$6:$G$89,"&lt;"&amp;AC3)+AC8-AC9),(AB7+AC8-AC9)),SUMIFS(Headcount!$B$6:$B$89,Headcount!$F$6:$F$89,"Finance",Headcount!$H$6:$H$89,"&gt;"&amp;AC3,Headcount!$G$6:$G$89,"&lt;"&amp;AB3))</f>
        <v>4</v>
      </c>
      <c r="AD7" s="798">
        <f>IF(AD4="forecast",IF(AC4="actual",(SUMIFS(Headcount!$B$6:$B$89,Headcount!$F$6:$F$89,"Finance",Headcount!$H$6:$H$89,"&gt;"&amp;AD3,Headcount!$G$6:$G$89,"&lt;"&amp;AD3)+AD8-AD9),(AC7+AD8-AD9)),SUMIFS(Headcount!$B$6:$B$89,Headcount!$F$6:$F$89,"Finance",Headcount!$H$6:$H$89,"&gt;"&amp;AD3,Headcount!$G$6:$G$89,"&lt;"&amp;AC3))</f>
        <v>4</v>
      </c>
      <c r="AE7" s="798">
        <f>IF(AE4="forecast",IF(AD4="actual",(SUMIFS(Headcount!$B$6:$B$89,Headcount!$F$6:$F$89,"Finance",Headcount!$H$6:$H$89,"&gt;"&amp;AE3,Headcount!$G$6:$G$89,"&lt;"&amp;AE3)+AE8-AE9),(AD7+AE8-AE9)),SUMIFS(Headcount!$B$6:$B$89,Headcount!$F$6:$F$89,"Finance",Headcount!$H$6:$H$89,"&gt;"&amp;AE3,Headcount!$G$6:$G$89,"&lt;"&amp;AD3))</f>
        <v>4</v>
      </c>
      <c r="AF7" s="798">
        <f>IF(AF4="forecast",IF(AE4="actual",(SUMIFS(Headcount!$B$6:$B$89,Headcount!$F$6:$F$89,"Finance",Headcount!$H$6:$H$89,"&gt;"&amp;AF3,Headcount!$G$6:$G$89,"&lt;"&amp;AF3)+AF8-AF9),(AE7+AF8-AF9)),SUMIFS(Headcount!$B$6:$B$89,Headcount!$F$6:$F$89,"Finance",Headcount!$H$6:$H$89,"&gt;"&amp;AF3,Headcount!$G$6:$G$89,"&lt;"&amp;AE3))</f>
        <v>4</v>
      </c>
      <c r="AG7" s="798">
        <f>IF(AG4="forecast",IF(AF4="actual",(SUMIFS(Headcount!$B$6:$B$89,Headcount!$F$6:$F$89,"Finance",Headcount!$H$6:$H$89,"&gt;"&amp;AG3,Headcount!$G$6:$G$89,"&lt;"&amp;AG3)+AG8-AG9),(AF7+AG8-AG9)),SUMIFS(Headcount!$B$6:$B$89,Headcount!$F$6:$F$89,"Finance",Headcount!$H$6:$H$89,"&gt;"&amp;AG3,Headcount!$G$6:$G$89,"&lt;"&amp;AF3))</f>
        <v>4</v>
      </c>
      <c r="AH7" s="798">
        <f>IF(AH4="forecast",IF(AG4="actual",(SUMIFS(Headcount!$B$6:$B$89,Headcount!$F$6:$F$89,"Finance",Headcount!$H$6:$H$89,"&gt;"&amp;AH3,Headcount!$G$6:$G$89,"&lt;"&amp;AH3)+AH8-AH9),(AG7+AH8-AH9)),SUMIFS(Headcount!$B$6:$B$89,Headcount!$F$6:$F$89,"Finance",Headcount!$H$6:$H$89,"&gt;"&amp;AH3,Headcount!$G$6:$G$89,"&lt;"&amp;AG3))</f>
        <v>4</v>
      </c>
      <c r="AI7" s="798">
        <f>IF(AI4="forecast",IF(AH4="actual",(SUMIFS(Headcount!$B$6:$B$89,Headcount!$F$6:$F$89,"Finance",Headcount!$H$6:$H$89,"&gt;"&amp;AI3,Headcount!$G$6:$G$89,"&lt;"&amp;AI3)+AI8-AI9),(AH7+AI8-AI9)),SUMIFS(Headcount!$B$6:$B$89,Headcount!$F$6:$F$89,"Finance",Headcount!$H$6:$H$89,"&gt;"&amp;AI3,Headcount!$G$6:$G$89,"&lt;"&amp;AH3))</f>
        <v>4</v>
      </c>
      <c r="AJ7" s="798">
        <f>IF(AJ4="forecast",IF(AI4="actual",(SUMIFS(Headcount!$B$6:$B$89,Headcount!$F$6:$F$89,"Finance",Headcount!$H$6:$H$89,"&gt;"&amp;AJ3,Headcount!$G$6:$G$89,"&lt;"&amp;AJ3)+AJ8-AJ9),(AI7+AJ8-AJ9)),SUMIFS(Headcount!$B$6:$B$89,Headcount!$F$6:$F$89,"Finance",Headcount!$H$6:$H$89,"&gt;"&amp;AJ3,Headcount!$G$6:$G$89,"&lt;"&amp;AI3))</f>
        <v>4</v>
      </c>
      <c r="AK7" s="798">
        <f>IF(AK4="forecast",IF(AJ4="actual",(SUMIFS(Headcount!$B$6:$B$89,Headcount!$F$6:$F$89,"Finance",Headcount!$H$6:$H$89,"&gt;"&amp;AK3,Headcount!$G$6:$G$89,"&lt;"&amp;AK3)+AK8-AK9),(AJ7+AK8-AK9)),SUMIFS(Headcount!$B$6:$B$89,Headcount!$F$6:$F$89,"Finance",Headcount!$H$6:$H$89,"&gt;"&amp;AK3,Headcount!$G$6:$G$89,"&lt;"&amp;AJ3))</f>
        <v>4</v>
      </c>
      <c r="AL7" s="798">
        <f>IF(AL4="forecast",IF(AK4="actual",(SUMIFS(Headcount!$B$6:$B$89,Headcount!$F$6:$F$89,"Finance",Headcount!$H$6:$H$89,"&gt;"&amp;AL3,Headcount!$G$6:$G$89,"&lt;"&amp;AL3)+AL8-AL9),(AK7+AL8-AL9)),SUMIFS(Headcount!$B$6:$B$89,Headcount!$F$6:$F$89,"Finance",Headcount!$H$6:$H$89,"&gt;"&amp;AL3,Headcount!$G$6:$G$89,"&lt;"&amp;AK3))</f>
        <v>4</v>
      </c>
      <c r="AM7" s="798">
        <f>IF(AM4="forecast",IF(AL4="actual",(SUMIFS(Headcount!$B$6:$B$89,Headcount!$F$6:$F$89,"Finance",Headcount!$H$6:$H$89,"&gt;"&amp;AM3,Headcount!$G$6:$G$89,"&lt;"&amp;AM3)+AM8-AM9),(AL7+AM8-AM9)),SUMIFS(Headcount!$B$6:$B$89,Headcount!$F$6:$F$89,"Finance",Headcount!$H$6:$H$89,"&gt;"&amp;AM3,Headcount!$G$6:$G$89,"&lt;"&amp;AL3))</f>
        <v>4</v>
      </c>
      <c r="AN7" s="798">
        <f>IF(AN4="forecast",IF(AM4="actual",(SUMIFS(Headcount!$B$6:$B$89,Headcount!$F$6:$F$89,"Finance",Headcount!$H$6:$H$89,"&gt;"&amp;AN3,Headcount!$G$6:$G$89,"&lt;"&amp;AN3)+AN8-AN9),(AM7+AN8-AN9)),SUMIFS(Headcount!$B$6:$B$89,Headcount!$F$6:$F$89,"Finance",Headcount!$H$6:$H$89,"&gt;"&amp;AN3,Headcount!$G$6:$G$89,"&lt;"&amp;AM3))</f>
        <v>4</v>
      </c>
      <c r="AO7" s="798">
        <f>IF(AO4="forecast",IF(AN4="actual",(SUMIFS(Headcount!$B$6:$B$89,Headcount!$F$6:$F$89,"Finance",Headcount!$H$6:$H$89,"&gt;"&amp;AO3,Headcount!$G$6:$G$89,"&lt;"&amp;AO3)+AO8-AO9),(AN7+AO8-AO9)),SUMIFS(Headcount!$B$6:$B$89,Headcount!$F$6:$F$89,"Finance",Headcount!$H$6:$H$89,"&gt;"&amp;AO3,Headcount!$G$6:$G$89,"&lt;"&amp;AN3))</f>
        <v>4</v>
      </c>
      <c r="AP7" s="798">
        <f>IF(AP4="forecast",IF(AO4="actual",(SUMIFS(Headcount!$B$6:$B$89,Headcount!$F$6:$F$89,"Finance",Headcount!$H$6:$H$89,"&gt;"&amp;AP3,Headcount!$G$6:$G$89,"&lt;"&amp;AP3)+AP8-AP9),(AO7+AP8-AP9)),SUMIFS(Headcount!$B$6:$B$89,Headcount!$F$6:$F$89,"Finance",Headcount!$H$6:$H$89,"&gt;"&amp;AP3,Headcount!$G$6:$G$89,"&lt;"&amp;AO3))</f>
        <v>4</v>
      </c>
      <c r="AQ7" s="798">
        <f>IF(AQ4="forecast",IF(AP4="actual",(SUMIFS(Headcount!$B$6:$B$89,Headcount!$F$6:$F$89,"Finance",Headcount!$H$6:$H$89,"&gt;"&amp;AQ3,Headcount!$G$6:$G$89,"&lt;"&amp;AQ3)+AQ8-AQ9),(AP7+AQ8-AQ9)),SUMIFS(Headcount!$B$6:$B$89,Headcount!$F$6:$F$89,"Finance",Headcount!$H$6:$H$89,"&gt;"&amp;AQ3,Headcount!$G$6:$G$89,"&lt;"&amp;AP3))</f>
        <v>4</v>
      </c>
      <c r="AR7" s="798">
        <f>IF(AR4="forecast",IF(AQ4="actual",(SUMIFS(Headcount!$B$6:$B$89,Headcount!$F$6:$F$89,"Finance",Headcount!$H$6:$H$89,"&gt;"&amp;AR3,Headcount!$G$6:$G$89,"&lt;"&amp;AR3)+AR8-AR9),(AQ7+AR8-AR9)),SUMIFS(Headcount!$B$6:$B$89,Headcount!$F$6:$F$89,"Finance",Headcount!$H$6:$H$89,"&gt;"&amp;AR3,Headcount!$G$6:$G$89,"&lt;"&amp;AQ3))</f>
        <v>4</v>
      </c>
      <c r="AS7" s="798">
        <f>IF(AS4="forecast",IF(AR4="actual",(SUMIFS(Headcount!$B$6:$B$89,Headcount!$F$6:$F$89,"Finance",Headcount!$H$6:$H$89,"&gt;"&amp;AS3,Headcount!$G$6:$G$89,"&lt;"&amp;AS3)+AS8-AS9),(AR7+AS8-AS9)),SUMIFS(Headcount!$B$6:$B$89,Headcount!$F$6:$F$89,"Finance",Headcount!$H$6:$H$89,"&gt;"&amp;AS3,Headcount!$G$6:$G$89,"&lt;"&amp;AR3))</f>
        <v>4</v>
      </c>
      <c r="AT7" s="798">
        <f>IF(AT4="forecast",IF(AS4="actual",(SUMIFS(Headcount!$B$6:$B$89,Headcount!$F$6:$F$89,"Finance",Headcount!$H$6:$H$89,"&gt;"&amp;AT3,Headcount!$G$6:$G$89,"&lt;"&amp;AT3)+AT8-AT9),(AS7+AT8-AT9)),SUMIFS(Headcount!$B$6:$B$89,Headcount!$F$6:$F$89,"Finance",Headcount!$H$6:$H$89,"&gt;"&amp;AT3,Headcount!$G$6:$G$89,"&lt;"&amp;AS3))</f>
        <v>4</v>
      </c>
      <c r="AU7" s="798">
        <f>IF(AU4="forecast",IF(AT4="actual",(SUMIFS(Headcount!$B$6:$B$89,Headcount!$F$6:$F$89,"Finance",Headcount!$H$6:$H$89,"&gt;"&amp;AU3,Headcount!$G$6:$G$89,"&lt;"&amp;AU3)+AU8-AU9),(AT7+AU8-AU9)),SUMIFS(Headcount!$B$6:$B$89,Headcount!$F$6:$F$89,"Finance",Headcount!$H$6:$H$89,"&gt;"&amp;AU3,Headcount!$G$6:$G$89,"&lt;"&amp;AT3))</f>
        <v>4</v>
      </c>
      <c r="AV7" s="798">
        <f>IF(AV4="forecast",IF(AU4="actual",(SUMIFS(Headcount!$B$6:$B$89,Headcount!$F$6:$F$89,"Finance",Headcount!$H$6:$H$89,"&gt;"&amp;AV3,Headcount!$G$6:$G$89,"&lt;"&amp;AV3)+AV8-AV9),(AU7+AV8-AV9)),SUMIFS(Headcount!$B$6:$B$89,Headcount!$F$6:$F$89,"Finance",Headcount!$H$6:$H$89,"&gt;"&amp;AV3,Headcount!$G$6:$G$89,"&lt;"&amp;AU3))</f>
        <v>4</v>
      </c>
      <c r="AW7" s="798">
        <f>IF(AW4="forecast",IF(AV4="actual",(SUMIFS(Headcount!$B$6:$B$89,Headcount!$F$6:$F$89,"Finance",Headcount!$H$6:$H$89,"&gt;"&amp;AW3,Headcount!$G$6:$G$89,"&lt;"&amp;AW3)+AW8-AW9),(AV7+AW8-AW9)),SUMIFS(Headcount!$B$6:$B$89,Headcount!$F$6:$F$89,"Finance",Headcount!$H$6:$H$89,"&gt;"&amp;AW3,Headcount!$G$6:$G$89,"&lt;"&amp;AV3))</f>
        <v>4</v>
      </c>
      <c r="AX7" s="798">
        <f>IF(AX4="forecast",IF(AW4="actual",(SUMIFS(Headcount!$B$6:$B$89,Headcount!$F$6:$F$89,"Finance",Headcount!$H$6:$H$89,"&gt;"&amp;AX3,Headcount!$G$6:$G$89,"&lt;"&amp;AX3)+AX8-AX9),(AW7+AX8-AX9)),SUMIFS(Headcount!$B$6:$B$89,Headcount!$F$6:$F$89,"Finance",Headcount!$H$6:$H$89,"&gt;"&amp;AX3,Headcount!$G$6:$G$89,"&lt;"&amp;AW3))</f>
        <v>4</v>
      </c>
      <c r="AY7" s="798">
        <f>IF(AY4="forecast",IF(AX4="actual",(SUMIFS(Headcount!$B$6:$B$89,Headcount!$F$6:$F$89,"Finance",Headcount!$H$6:$H$89,"&gt;"&amp;AY3,Headcount!$G$6:$G$89,"&lt;"&amp;AY3)+AY8-AY9),(AX7+AY8-AY9)),SUMIFS(Headcount!$B$6:$B$89,Headcount!$F$6:$F$89,"Finance",Headcount!$H$6:$H$89,"&gt;"&amp;AY3,Headcount!$G$6:$G$89,"&lt;"&amp;AX3))</f>
        <v>4</v>
      </c>
      <c r="AZ7" s="798">
        <f>IF(AZ4="forecast",IF(AY4="actual",(SUMIFS(Headcount!$B$6:$B$89,Headcount!$F$6:$F$89,"Finance",Headcount!$H$6:$H$89,"&gt;"&amp;AZ3,Headcount!$G$6:$G$89,"&lt;"&amp;AZ3)+AZ8-AZ9),(AY7+AZ8-AZ9)),SUMIFS(Headcount!$B$6:$B$89,Headcount!$F$6:$F$89,"Finance",Headcount!$H$6:$H$89,"&gt;"&amp;AZ3,Headcount!$G$6:$G$89,"&lt;"&amp;AY3))</f>
        <v>4</v>
      </c>
      <c r="BA7" s="798">
        <f>IF(BA4="forecast",IF(AZ4="actual",(SUMIFS(Headcount!$B$6:$B$89,Headcount!$F$6:$F$89,"Finance",Headcount!$H$6:$H$89,"&gt;"&amp;BA3,Headcount!$G$6:$G$89,"&lt;"&amp;BA3)+BA8-BA9),(AZ7+BA8-BA9)),SUMIFS(Headcount!$B$6:$B$89,Headcount!$F$6:$F$89,"Finance",Headcount!$H$6:$H$89,"&gt;"&amp;BA3,Headcount!$G$6:$G$89,"&lt;"&amp;AZ3))</f>
        <v>4</v>
      </c>
      <c r="BB7" s="798">
        <f>IF(BB4="forecast",IF(BA4="actual",(SUMIFS(Headcount!$B$6:$B$89,Headcount!$F$6:$F$89,"Finance",Headcount!$H$6:$H$89,"&gt;"&amp;BB3,Headcount!$G$6:$G$89,"&lt;"&amp;BB3)+BB8-BB9),(BA7+BB8-BB9)),SUMIFS(Headcount!$B$6:$B$89,Headcount!$F$6:$F$89,"Finance",Headcount!$H$6:$H$89,"&gt;"&amp;BB3,Headcount!$G$6:$G$89,"&lt;"&amp;BA3))</f>
        <v>4</v>
      </c>
      <c r="BC7" s="798">
        <f>IF(BC4="forecast",IF(BB4="actual",(SUMIFS(Headcount!$B$6:$B$89,Headcount!$F$6:$F$89,"Finance",Headcount!$H$6:$H$89,"&gt;"&amp;BC3,Headcount!$G$6:$G$89,"&lt;"&amp;BC3)+BC8-BC9),(BB7+BC8-BC9)),SUMIFS(Headcount!$B$6:$B$89,Headcount!$F$6:$F$89,"Finance",Headcount!$H$6:$H$89,"&gt;"&amp;BC3,Headcount!$G$6:$G$89,"&lt;"&amp;BB3))</f>
        <v>4</v>
      </c>
      <c r="BD7" s="798">
        <f>IF(BD4="forecast",IF(BC4="actual",(SUMIFS(Headcount!$B$6:$B$89,Headcount!$F$6:$F$89,"Finance",Headcount!$H$6:$H$89,"&gt;"&amp;BD3,Headcount!$G$6:$G$89,"&lt;"&amp;BD3)+BD8-BD9),(BC7+BD8-BD9)),SUMIFS(Headcount!$B$6:$B$89,Headcount!$F$6:$F$89,"Finance",Headcount!$H$6:$H$89,"&gt;"&amp;BD3,Headcount!$G$6:$G$89,"&lt;"&amp;BC3))</f>
        <v>4</v>
      </c>
      <c r="BE7" s="798">
        <f>IF(BE4="forecast",IF(BD4="actual",(SUMIFS(Headcount!$B$6:$B$89,Headcount!$F$6:$F$89,"Finance",Headcount!$H$6:$H$89,"&gt;"&amp;BE3,Headcount!$G$6:$G$89,"&lt;"&amp;BE3)+BE8-BE9),(BD7+BE8-BE9)),SUMIFS(Headcount!$B$6:$B$89,Headcount!$F$6:$F$89,"Finance",Headcount!$H$6:$H$89,"&gt;"&amp;BE3,Headcount!$G$6:$G$89,"&lt;"&amp;BD3))</f>
        <v>4</v>
      </c>
      <c r="BF7" s="798">
        <f>IF(BF4="forecast",IF(BE4="actual",(SUMIFS(Headcount!$B$6:$B$89,Headcount!$F$6:$F$89,"Finance",Headcount!$H$6:$H$89,"&gt;"&amp;BF3,Headcount!$G$6:$G$89,"&lt;"&amp;BF3)+BF8-BF9),(BE7+BF8-BF9)),SUMIFS(Headcount!$B$6:$B$89,Headcount!$F$6:$F$89,"Finance",Headcount!$H$6:$H$89,"&gt;"&amp;BF3,Headcount!$G$6:$G$89,"&lt;"&amp;BE3))</f>
        <v>4</v>
      </c>
      <c r="BG7" s="798">
        <f>IF(BG4="forecast",IF(BF4="actual",(SUMIFS(Headcount!$B$6:$B$89,Headcount!$F$6:$F$89,"Finance",Headcount!$H$6:$H$89,"&gt;"&amp;BG3,Headcount!$G$6:$G$89,"&lt;"&amp;BG3)+BG8-BG9),(BF7+BG8-BG9)),SUMIFS(Headcount!$B$6:$B$89,Headcount!$F$6:$F$89,"Finance",Headcount!$H$6:$H$89,"&gt;"&amp;BG3,Headcount!$G$6:$G$89,"&lt;"&amp;BF3))</f>
        <v>4</v>
      </c>
      <c r="BH7" s="798">
        <f>IF(BH4="forecast",IF(BG4="actual",(SUMIFS(Headcount!$B$6:$B$89,Headcount!$F$6:$F$89,"Finance",Headcount!$H$6:$H$89,"&gt;"&amp;BH3,Headcount!$G$6:$G$89,"&lt;"&amp;BH3)+BH8-BH9),(BG7+BH8-BH9)),SUMIFS(Headcount!$B$6:$B$89,Headcount!$F$6:$F$89,"Finance",Headcount!$H$6:$H$89,"&gt;"&amp;BH3,Headcount!$G$6:$G$89,"&lt;"&amp;BG3))</f>
        <v>4</v>
      </c>
      <c r="BI7" s="798">
        <f>IF(BI4="forecast",IF(BH4="actual",(SUMIFS(Headcount!$B$6:$B$89,Headcount!$F$6:$F$89,"Finance",Headcount!$H$6:$H$89,"&gt;"&amp;BI3,Headcount!$G$6:$G$89,"&lt;"&amp;BI3)+BI8-BI9),(BH7+BI8-BI9)),SUMIFS(Headcount!$B$6:$B$89,Headcount!$F$6:$F$89,"Finance",Headcount!$H$6:$H$89,"&gt;"&amp;BI3,Headcount!$G$6:$G$89,"&lt;"&amp;BH3))</f>
        <v>4</v>
      </c>
      <c r="BJ7" s="798">
        <f>IF(BJ4="forecast",IF(BI4="actual",(SUMIFS(Headcount!$B$6:$B$89,Headcount!$F$6:$F$89,"Finance",Headcount!$H$6:$H$89,"&gt;"&amp;BJ3,Headcount!$G$6:$G$89,"&lt;"&amp;BJ3)+BJ8-BJ9),(BI7+BJ8-BJ9)),SUMIFS(Headcount!$B$6:$B$89,Headcount!$F$6:$F$89,"Finance",Headcount!$H$6:$H$89,"&gt;"&amp;BJ3,Headcount!$G$6:$G$89,"&lt;"&amp;BI3))</f>
        <v>4</v>
      </c>
      <c r="BK7" s="798">
        <f>IF(BK4="forecast",IF(BJ4="actual",(SUMIFS(Headcount!$B$6:$B$89,Headcount!$F$6:$F$89,"Finance",Headcount!$H$6:$H$89,"&gt;"&amp;BK3,Headcount!$G$6:$G$89,"&lt;"&amp;BK3)+BK8-BK9),(BJ7+BK8-BK9)),SUMIFS(Headcount!$B$6:$B$89,Headcount!$F$6:$F$89,"Finance",Headcount!$H$6:$H$89,"&gt;"&amp;BK3,Headcount!$G$6:$G$89,"&lt;"&amp;BJ3))</f>
        <v>4</v>
      </c>
      <c r="BL7" s="798">
        <f>IF(BL4="forecast",IF(BK4="actual",(SUMIFS(Headcount!$B$6:$B$89,Headcount!$F$6:$F$89,"Finance",Headcount!$H$6:$H$89,"&gt;"&amp;BL3,Headcount!$G$6:$G$89,"&lt;"&amp;BL3)+BL8-BL9),(BK7+BL8-BL9)),SUMIFS(Headcount!$B$6:$B$89,Headcount!$F$6:$F$89,"Finance",Headcount!$H$6:$H$89,"&gt;"&amp;BL3,Headcount!$G$6:$G$89,"&lt;"&amp;BK3))</f>
        <v>4</v>
      </c>
      <c r="BM7" s="798">
        <f>IF(BM4="forecast",IF(BL4="actual",(SUMIFS(Headcount!$B$6:$B$89,Headcount!$F$6:$F$89,"Finance",Headcount!$H$6:$H$89,"&gt;"&amp;BM3,Headcount!$G$6:$G$89,"&lt;"&amp;BM3)+BM8-BM9),(BL7+BM8-BM9)),SUMIFS(Headcount!$B$6:$B$89,Headcount!$F$6:$F$89,"Finance",Headcount!$H$6:$H$89,"&gt;"&amp;BM3,Headcount!$G$6:$G$89,"&lt;"&amp;BL3))</f>
        <v>4</v>
      </c>
      <c r="BN7" s="798">
        <f>IF(BN4="forecast",IF(BM4="actual",(SUMIFS(Headcount!$B$6:$B$89,Headcount!$F$6:$F$89,"Finance",Headcount!$H$6:$H$89,"&gt;"&amp;BN3,Headcount!$G$6:$G$89,"&lt;"&amp;BN3)+BN8-BN9),(BM7+BN8-BN9)),SUMIFS(Headcount!$B$6:$B$89,Headcount!$F$6:$F$89,"Finance",Headcount!$H$6:$H$89,"&gt;"&amp;BN3,Headcount!$G$6:$G$89,"&lt;"&amp;BM3))</f>
        <v>4</v>
      </c>
      <c r="BO7" s="798">
        <f>IF(BO4="forecast",IF(BN4="actual",(SUMIFS(Headcount!$B$6:$B$89,Headcount!$F$6:$F$89,"Finance",Headcount!$H$6:$H$89,"&gt;"&amp;BO3,Headcount!$G$6:$G$89,"&lt;"&amp;BO3)+BO8-BO9),(BN7+BO8-BO9)),SUMIFS(Headcount!$B$6:$B$89,Headcount!$F$6:$F$89,"Finance",Headcount!$H$6:$H$89,"&gt;"&amp;BO3,Headcount!$G$6:$G$89,"&lt;"&amp;BN3))</f>
        <v>4</v>
      </c>
      <c r="BP7" s="798">
        <f>IF(BP4="forecast",IF(BO4="actual",(SUMIFS(Headcount!$B$6:$B$89,Headcount!$F$6:$F$89,"Finance",Headcount!$H$6:$H$89,"&gt;"&amp;BP3,Headcount!$G$6:$G$89,"&lt;"&amp;BP3)+BP8-BP9),(BO7+BP8-BP9)),SUMIFS(Headcount!$B$6:$B$89,Headcount!$F$6:$F$89,"Finance",Headcount!$H$6:$H$89,"&gt;"&amp;BP3,Headcount!$G$6:$G$89,"&lt;"&amp;BO3))</f>
        <v>4</v>
      </c>
      <c r="BQ7" s="798">
        <f>IF(BQ4="forecast",IF(BP4="actual",(SUMIFS(Headcount!$B$6:$B$89,Headcount!$F$6:$F$89,"Finance",Headcount!$H$6:$H$89,"&gt;"&amp;BQ3,Headcount!$G$6:$G$89,"&lt;"&amp;BQ3)+BQ8-BQ9),(BP7+BQ8-BQ9)),SUMIFS(Headcount!$B$6:$B$89,Headcount!$F$6:$F$89,"Finance",Headcount!$H$6:$H$89,"&gt;"&amp;BQ3,Headcount!$G$6:$G$89,"&lt;"&amp;BP3))</f>
        <v>4</v>
      </c>
      <c r="BR7" s="798">
        <f>IF(BR4="forecast",IF(BQ4="actual",(SUMIFS(Headcount!$B$6:$B$89,Headcount!$F$6:$F$89,"Finance",Headcount!$H$6:$H$89,"&gt;"&amp;BR3,Headcount!$G$6:$G$89,"&lt;"&amp;BR3)+BR8-BR9),(BQ7+BR8-BR9)),SUMIFS(Headcount!$B$6:$B$89,Headcount!$F$6:$F$89,"Finance",Headcount!$H$6:$H$89,"&gt;"&amp;BR3,Headcount!$G$6:$G$89,"&lt;"&amp;BQ3))</f>
        <v>4</v>
      </c>
      <c r="BS7" s="798">
        <f>IF(BS4="forecast",IF(BR4="actual",(SUMIFS(Headcount!$B$6:$B$89,Headcount!$F$6:$F$89,"Finance",Headcount!$H$6:$H$89,"&gt;"&amp;BS3,Headcount!$G$6:$G$89,"&lt;"&amp;BS3)+BS8-BS9),(BR7+BS8-BS9)),SUMIFS(Headcount!$B$6:$B$89,Headcount!$F$6:$F$89,"Finance",Headcount!$H$6:$H$89,"&gt;"&amp;BS3,Headcount!$G$6:$G$89,"&lt;"&amp;BR3))</f>
        <v>4</v>
      </c>
      <c r="BT7" s="798">
        <f>IF(BT4="forecast",IF(BS4="actual",(SUMIFS(Headcount!$B$6:$B$89,Headcount!$F$6:$F$89,"Finance",Headcount!$H$6:$H$89,"&gt;"&amp;BT3,Headcount!$G$6:$G$89,"&lt;"&amp;BT3)+BT8-BT9),(BS7+BT8-BT9)),SUMIFS(Headcount!$B$6:$B$89,Headcount!$F$6:$F$89,"Finance",Headcount!$H$6:$H$89,"&gt;"&amp;BT3,Headcount!$G$6:$G$89,"&lt;"&amp;BS3))</f>
        <v>4</v>
      </c>
      <c r="BU7" s="798">
        <f>IF(BU4="forecast",IF(BT4="actual",(SUMIFS(Headcount!$B$6:$B$89,Headcount!$F$6:$F$89,"Finance",Headcount!$H$6:$H$89,"&gt;"&amp;BU3,Headcount!$G$6:$G$89,"&lt;"&amp;BU3)+BU8-BU9),(BT7+BU8-BU9)),SUMIFS(Headcount!$B$6:$B$89,Headcount!$F$6:$F$89,"Finance",Headcount!$H$6:$H$89,"&gt;"&amp;BU3,Headcount!$G$6:$G$89,"&lt;"&amp;BT3))</f>
        <v>4</v>
      </c>
      <c r="BV7" s="799">
        <f>IF(BV4="forecast",IF(BU4="actual",(SUMIFS(Headcount!$B$6:$B$89,Headcount!$F$6:$F$89,"Finance",Headcount!$H$6:$H$89,"&gt;"&amp;BV3,Headcount!$G$6:$G$89,"&lt;"&amp;BV3)+BV8-BV9),(BU7+BV8-BV9)),SUMIFS(Headcount!$B$6:$B$89,Headcount!$F$6:$F$89,"Finance",Headcount!$H$6:$H$89,"&gt;"&amp;BV3,Headcount!$G$6:$G$89,"&lt;"&amp;BU3))</f>
        <v>4</v>
      </c>
    </row>
    <row r="8" spans="2:74" x14ac:dyDescent="0.35">
      <c r="B8" s="794" t="s">
        <v>15</v>
      </c>
      <c r="C8" s="798">
        <f>SUMIFS('New Hires Forecast'!$B$5:$B$83,'New Hires Forecast'!$G$5:$G$83,"&gt;"&amp;Finance!B3,'New Hires Forecast'!$G$5:$G$83,"&lt;="&amp;Finance!C3,'New Hires Forecast'!$G$5:$G$83,"Finance")</f>
        <v>0</v>
      </c>
      <c r="D8" s="798">
        <f>SUMIFS('New Hires Forecast'!$B$5:$B$83,'New Hires Forecast'!$G$5:$G$83,"&gt;"&amp;Finance!C3,'New Hires Forecast'!$G$5:$G$83,"&lt;="&amp;Finance!D3,'New Hires Forecast'!$G$5:$G$83,"Finance")</f>
        <v>0</v>
      </c>
      <c r="E8" s="798">
        <f>SUMIFS('New Hires Forecast'!$B$5:$B$83,'New Hires Forecast'!$G$5:$G$83,"&gt;"&amp;Finance!D3,'New Hires Forecast'!$G$5:$G$83,"&lt;="&amp;Finance!E3,'New Hires Forecast'!$G$5:$G$83,"Finance")</f>
        <v>0</v>
      </c>
      <c r="F8" s="798">
        <f>SUMIFS('New Hires Forecast'!$B$5:$B$83,'New Hires Forecast'!$G$5:$G$83,"&gt;"&amp;Finance!E3,'New Hires Forecast'!$G$5:$G$83,"&lt;="&amp;Finance!F3,'New Hires Forecast'!$G$5:$G$83,"Finance")</f>
        <v>0</v>
      </c>
      <c r="G8" s="798">
        <f>SUMIFS('New Hires Forecast'!$B$5:$B$83,'New Hires Forecast'!$G$5:$G$83,"&gt;"&amp;Finance!F3,'New Hires Forecast'!$G$5:$G$83,"&lt;="&amp;Finance!G3,'New Hires Forecast'!$G$5:$G$83,"Finance")</f>
        <v>0</v>
      </c>
      <c r="H8" s="798">
        <f>SUMIFS('New Hires Forecast'!$B$5:$B$83,'New Hires Forecast'!$G$5:$G$83,"&gt;"&amp;Finance!G3,'New Hires Forecast'!$G$5:$G$83,"&lt;="&amp;Finance!H3,'New Hires Forecast'!$G$5:$G$83,"Finance")</f>
        <v>0</v>
      </c>
      <c r="I8" s="798">
        <f>SUMIFS('New Hires Forecast'!$B$5:$B$83,'New Hires Forecast'!$G$5:$G$83,"&gt;"&amp;Finance!H3,'New Hires Forecast'!$G$5:$G$83,"&lt;="&amp;Finance!I3,'New Hires Forecast'!$G$5:$G$83,"Finance")</f>
        <v>0</v>
      </c>
      <c r="J8" s="798">
        <f>SUMIFS('New Hires Forecast'!$B$5:$B$83,'New Hires Forecast'!$G$5:$G$83,"&gt;"&amp;Finance!I3,'New Hires Forecast'!$G$5:$G$83,"&lt;="&amp;Finance!J3,'New Hires Forecast'!$G$5:$G$83,"Finance")</f>
        <v>0</v>
      </c>
      <c r="K8" s="798">
        <f>SUMIFS('New Hires Forecast'!$B$5:$B$83,'New Hires Forecast'!$G$5:$G$83,"&gt;"&amp;Finance!J3,'New Hires Forecast'!$G$5:$G$83,"&lt;="&amp;Finance!K3,'New Hires Forecast'!$G$5:$G$83,"Finance")</f>
        <v>0</v>
      </c>
      <c r="L8" s="798">
        <f>SUMIFS('New Hires Forecast'!$B$5:$B$83,'New Hires Forecast'!$G$5:$G$83,"&gt;"&amp;Finance!K3,'New Hires Forecast'!$G$5:$G$83,"&lt;="&amp;Finance!L3,'New Hires Forecast'!$G$5:$G$83,"Finance")</f>
        <v>0</v>
      </c>
      <c r="M8" s="798">
        <f>SUMIFS('New Hires Forecast'!$B$5:$B$83,'New Hires Forecast'!$G$5:$G$83,"&gt;"&amp;Finance!L3,'New Hires Forecast'!$G$5:$G$83,"&lt;="&amp;Finance!M3,'New Hires Forecast'!$G$5:$G$83,"Finance")</f>
        <v>0</v>
      </c>
      <c r="N8" s="798">
        <f>SUMIFS('New Hires Forecast'!$B$5:$B$83,'New Hires Forecast'!$G$5:$G$83,"&gt;"&amp;Finance!M3,'New Hires Forecast'!$G$5:$G$83,"&lt;="&amp;Finance!N3,'New Hires Forecast'!$G$5:$G$83,"Finance")</f>
        <v>0</v>
      </c>
      <c r="O8" s="798">
        <f>SUMIFS('New Hires Forecast'!$B$5:$B$83,'New Hires Forecast'!$G$5:$G$83,"&gt;"&amp;Finance!N3,'New Hires Forecast'!$G$5:$G$83,"&lt;="&amp;Finance!O3,'New Hires Forecast'!$G$5:$G$83,"Finance")</f>
        <v>0</v>
      </c>
      <c r="P8" s="798">
        <f>SUMIFS('New Hires Forecast'!$B$5:$B$83,'New Hires Forecast'!$G$5:$G$83,"&gt;"&amp;Finance!O3,'New Hires Forecast'!$G$5:$G$83,"&lt;="&amp;Finance!P3,'New Hires Forecast'!$G$5:$G$83,"Finance")</f>
        <v>0</v>
      </c>
      <c r="Q8" s="798">
        <f>SUMIFS('New Hires Forecast'!$B$5:$B$83,'New Hires Forecast'!$G$5:$G$83,"&gt;"&amp;Finance!P3,'New Hires Forecast'!$G$5:$G$83,"&lt;="&amp;Finance!Q3,'New Hires Forecast'!$G$5:$G$83,"Finance")</f>
        <v>0</v>
      </c>
      <c r="R8" s="798">
        <f>SUMIFS('New Hires Forecast'!$B$5:$B$83,'New Hires Forecast'!$G$5:$G$83,"&gt;"&amp;Finance!Q3,'New Hires Forecast'!$G$5:$G$83,"&lt;="&amp;Finance!R3,'New Hires Forecast'!$G$5:$G$83,"Finance")</f>
        <v>0</v>
      </c>
      <c r="S8" s="798">
        <f>SUMIFS('New Hires Forecast'!$B$5:$B$83,'New Hires Forecast'!$G$5:$G$83,"&gt;"&amp;Finance!R3,'New Hires Forecast'!$G$5:$G$83,"&lt;="&amp;Finance!S3,'New Hires Forecast'!$G$5:$G$83,"Finance")</f>
        <v>0</v>
      </c>
      <c r="T8" s="798">
        <f>SUMIFS('New Hires Forecast'!$B$5:$B$83,'New Hires Forecast'!$G$5:$G$83,"&gt;"&amp;Finance!S3,'New Hires Forecast'!$G$5:$G$83,"&lt;="&amp;Finance!T3,'New Hires Forecast'!$G$5:$G$83,"Finance")</f>
        <v>0</v>
      </c>
      <c r="U8" s="798">
        <f>SUMIFS('New Hires Forecast'!$B$5:$B$83,'New Hires Forecast'!$G$5:$G$83,"&gt;"&amp;Finance!T3,'New Hires Forecast'!$G$5:$G$83,"&lt;="&amp;Finance!U3,'New Hires Forecast'!$G$5:$G$83,"Finance")</f>
        <v>0</v>
      </c>
      <c r="V8" s="798">
        <f>SUMIFS('New Hires Forecast'!$B$5:$B$83,'New Hires Forecast'!$G$5:$G$83,"&gt;"&amp;Finance!U3,'New Hires Forecast'!$G$5:$G$83,"&lt;="&amp;Finance!V3,'New Hires Forecast'!$G$5:$G$83,"Finance")</f>
        <v>0</v>
      </c>
      <c r="W8" s="798">
        <f>SUMIFS('New Hires Forecast'!$B$5:$B$83,'New Hires Forecast'!$G$5:$G$83,"&gt;"&amp;Finance!V3,'New Hires Forecast'!$G$5:$G$83,"&lt;="&amp;Finance!W3,'New Hires Forecast'!$G$5:$G$83,"Finance")</f>
        <v>0</v>
      </c>
      <c r="X8" s="798">
        <f>SUMIFS('New Hires Forecast'!$B$5:$B$83,'New Hires Forecast'!$G$5:$G$83,"&gt;"&amp;Finance!W3,'New Hires Forecast'!$G$5:$G$83,"&lt;="&amp;Finance!X3,'New Hires Forecast'!$G$5:$G$83,"Finance")</f>
        <v>0</v>
      </c>
      <c r="Y8" s="798">
        <f>SUMIFS('New Hires Forecast'!$B$5:$B$83,'New Hires Forecast'!$G$5:$G$83,"&gt;"&amp;Finance!X3,'New Hires Forecast'!$G$5:$G$83,"&lt;="&amp;Finance!Y3,'New Hires Forecast'!$G$5:$G$83,"Finance")</f>
        <v>0</v>
      </c>
      <c r="Z8" s="798">
        <f>SUMIFS('New Hires Forecast'!$B$5:$B$83,'New Hires Forecast'!$G$5:$G$83,"&gt;"&amp;Finance!Y3,'New Hires Forecast'!$G$5:$G$83,"&lt;="&amp;Finance!Z3,'New Hires Forecast'!$G$5:$G$83,"Finance")</f>
        <v>0</v>
      </c>
      <c r="AA8" s="798">
        <f>SUMIFS('New Hires Forecast'!$B$5:$B$83,'New Hires Forecast'!$G$5:$G$83,"&gt;"&amp;Finance!Z3,'New Hires Forecast'!$G$5:$G$83,"&lt;="&amp;Finance!AA3,'New Hires Forecast'!$G$5:$G$83,"Finance")</f>
        <v>0</v>
      </c>
      <c r="AB8" s="798">
        <f>SUMIFS('New Hires Forecast'!$B$5:$B$83,'New Hires Forecast'!$G$5:$G$83,"&gt;"&amp;Finance!AA3,'New Hires Forecast'!$G$5:$G$83,"&lt;="&amp;Finance!AB3,'New Hires Forecast'!$G$5:$G$83,"Finance")</f>
        <v>0</v>
      </c>
      <c r="AC8" s="798">
        <f>SUMIFS('New Hires Forecast'!$B$5:$B$83,'New Hires Forecast'!$G$5:$G$83,"&gt;"&amp;Finance!AB3,'New Hires Forecast'!$G$5:$G$83,"&lt;="&amp;Finance!AC3,'New Hires Forecast'!$G$5:$G$83,"Finance")</f>
        <v>0</v>
      </c>
      <c r="AD8" s="798">
        <f>SUMIFS('New Hires Forecast'!$B$5:$B$83,'New Hires Forecast'!$G$5:$G$83,"&gt;"&amp;Finance!AC3,'New Hires Forecast'!$G$5:$G$83,"&lt;="&amp;Finance!AD3,'New Hires Forecast'!$G$5:$G$83,"Finance")</f>
        <v>0</v>
      </c>
      <c r="AE8" s="798">
        <f>SUMIFS('New Hires Forecast'!$B$5:$B$83,'New Hires Forecast'!$G$5:$G$83,"&gt;"&amp;Finance!AD3,'New Hires Forecast'!$G$5:$G$83,"&lt;="&amp;Finance!AE3,'New Hires Forecast'!$G$5:$G$83,"Finance")</f>
        <v>0</v>
      </c>
      <c r="AF8" s="798">
        <f>SUMIFS('New Hires Forecast'!$B$5:$B$83,'New Hires Forecast'!$G$5:$G$83,"&gt;"&amp;Finance!AE3,'New Hires Forecast'!$G$5:$G$83,"&lt;="&amp;Finance!AF3,'New Hires Forecast'!$G$5:$G$83,"Finance")</f>
        <v>0</v>
      </c>
      <c r="AG8" s="798">
        <f>SUMIFS('New Hires Forecast'!$B$5:$B$83,'New Hires Forecast'!$G$5:$G$83,"&gt;"&amp;Finance!AF3,'New Hires Forecast'!$G$5:$G$83,"&lt;="&amp;Finance!AG3,'New Hires Forecast'!$G$5:$G$83,"Finance")</f>
        <v>0</v>
      </c>
      <c r="AH8" s="798">
        <f>SUMIFS('New Hires Forecast'!$B$5:$B$83,'New Hires Forecast'!$G$5:$G$83,"&gt;"&amp;Finance!AG3,'New Hires Forecast'!$G$5:$G$83,"&lt;="&amp;Finance!AH3,'New Hires Forecast'!$G$5:$G$83,"Finance")</f>
        <v>0</v>
      </c>
      <c r="AI8" s="798">
        <f>SUMIFS('New Hires Forecast'!$B$5:$B$83,'New Hires Forecast'!$G$5:$G$83,"&gt;"&amp;Finance!AH3,'New Hires Forecast'!$G$5:$G$83,"&lt;="&amp;Finance!AI3,'New Hires Forecast'!$G$5:$G$83,"Finance")</f>
        <v>0</v>
      </c>
      <c r="AJ8" s="798">
        <f>SUMIFS('New Hires Forecast'!$B$5:$B$83,'New Hires Forecast'!$G$5:$G$83,"&gt;"&amp;Finance!AI3,'New Hires Forecast'!$G$5:$G$83,"&lt;="&amp;Finance!AJ3,'New Hires Forecast'!$G$5:$G$83,"Finance")</f>
        <v>0</v>
      </c>
      <c r="AK8" s="798">
        <f>SUMIFS('New Hires Forecast'!$B$5:$B$83,'New Hires Forecast'!$G$5:$G$83,"&gt;"&amp;Finance!AJ3,'New Hires Forecast'!$G$5:$G$83,"&lt;="&amp;Finance!AK3,'New Hires Forecast'!$G$5:$G$83,"Finance")</f>
        <v>0</v>
      </c>
      <c r="AL8" s="798">
        <f>SUMIFS('New Hires Forecast'!$B$5:$B$83,'New Hires Forecast'!$G$5:$G$83,"&gt;"&amp;Finance!AK3,'New Hires Forecast'!$G$5:$G$83,"&lt;="&amp;Finance!AL3,'New Hires Forecast'!$G$5:$G$83,"Finance")</f>
        <v>0</v>
      </c>
      <c r="AM8" s="798">
        <f>SUMIFS('New Hires Forecast'!$B$5:$B$83,'New Hires Forecast'!$G$5:$G$83,"&gt;"&amp;Finance!AL3,'New Hires Forecast'!$G$5:$G$83,"&lt;="&amp;Finance!AM3,'New Hires Forecast'!$G$5:$G$83,"Finance")</f>
        <v>0</v>
      </c>
      <c r="AN8" s="798">
        <f>SUMIFS('New Hires Forecast'!$B$5:$B$83,'New Hires Forecast'!$G$5:$G$83,"&gt;"&amp;Finance!AM3,'New Hires Forecast'!$G$5:$G$83,"&lt;="&amp;Finance!AN3,'New Hires Forecast'!$G$5:$G$83,"Finance")</f>
        <v>0</v>
      </c>
      <c r="AO8" s="798">
        <f>SUMIFS('New Hires Forecast'!$B$5:$B$83,'New Hires Forecast'!$G$5:$G$83,"&gt;"&amp;Finance!AN3,'New Hires Forecast'!$G$5:$G$83,"&lt;="&amp;Finance!AO3,'New Hires Forecast'!$G$5:$G$83,"Finance")</f>
        <v>0</v>
      </c>
      <c r="AP8" s="798">
        <f>SUMIFS('New Hires Forecast'!$B$5:$B$83,'New Hires Forecast'!$G$5:$G$83,"&gt;"&amp;Finance!AO3,'New Hires Forecast'!$G$5:$G$83,"&lt;="&amp;Finance!AP3,'New Hires Forecast'!$G$5:$G$83,"Finance")</f>
        <v>0</v>
      </c>
      <c r="AQ8" s="798">
        <f>SUMIFS('New Hires Forecast'!$B$5:$B$83,'New Hires Forecast'!$G$5:$G$83,"&gt;"&amp;Finance!AP3,'New Hires Forecast'!$G$5:$G$83,"&lt;="&amp;Finance!AQ3,'New Hires Forecast'!$G$5:$G$83,"Finance")</f>
        <v>0</v>
      </c>
      <c r="AR8" s="798">
        <f>SUMIFS('New Hires Forecast'!$B$5:$B$83,'New Hires Forecast'!$G$5:$G$83,"&gt;"&amp;Finance!AQ3,'New Hires Forecast'!$G$5:$G$83,"&lt;="&amp;Finance!AR3,'New Hires Forecast'!$G$5:$G$83,"Finance")</f>
        <v>0</v>
      </c>
      <c r="AS8" s="798">
        <f>SUMIFS('New Hires Forecast'!$B$5:$B$83,'New Hires Forecast'!$G$5:$G$83,"&gt;"&amp;Finance!AR3,'New Hires Forecast'!$G$5:$G$83,"&lt;="&amp;Finance!AS3,'New Hires Forecast'!$G$5:$G$83,"Finance")</f>
        <v>0</v>
      </c>
      <c r="AT8" s="798">
        <f>SUMIFS('New Hires Forecast'!$B$5:$B$83,'New Hires Forecast'!$G$5:$G$83,"&gt;"&amp;Finance!AS3,'New Hires Forecast'!$G$5:$G$83,"&lt;="&amp;Finance!AT3,'New Hires Forecast'!$G$5:$G$83,"Finance")</f>
        <v>0</v>
      </c>
      <c r="AU8" s="798">
        <f>SUMIFS('New Hires Forecast'!$B$5:$B$83,'New Hires Forecast'!$G$5:$G$83,"&gt;"&amp;Finance!AT3,'New Hires Forecast'!$G$5:$G$83,"&lt;="&amp;Finance!AU3,'New Hires Forecast'!$G$5:$G$83,"Finance")</f>
        <v>0</v>
      </c>
      <c r="AV8" s="798">
        <f>SUMIFS('New Hires Forecast'!$B$5:$B$83,'New Hires Forecast'!$G$5:$G$83,"&gt;"&amp;Finance!AU3,'New Hires Forecast'!$G$5:$G$83,"&lt;="&amp;Finance!AV3,'New Hires Forecast'!$G$5:$G$83,"Finance")</f>
        <v>0</v>
      </c>
      <c r="AW8" s="798">
        <f>SUMIFS('New Hires Forecast'!$B$5:$B$83,'New Hires Forecast'!$G$5:$G$83,"&gt;"&amp;Finance!AV3,'New Hires Forecast'!$G$5:$G$83,"&lt;="&amp;Finance!AW3,'New Hires Forecast'!$G$5:$G$83,"Finance")</f>
        <v>0</v>
      </c>
      <c r="AX8" s="798">
        <f>SUMIFS('New Hires Forecast'!$B$5:$B$83,'New Hires Forecast'!$G$5:$G$83,"&gt;"&amp;Finance!AW3,'New Hires Forecast'!$G$5:$G$83,"&lt;="&amp;Finance!AX3,'New Hires Forecast'!$G$5:$G$83,"Finance")</f>
        <v>0</v>
      </c>
      <c r="AY8" s="798">
        <f>SUMIFS('New Hires Forecast'!$B$5:$B$83,'New Hires Forecast'!$G$5:$G$83,"&gt;"&amp;Finance!AX3,'New Hires Forecast'!$G$5:$G$83,"&lt;="&amp;Finance!AY3,'New Hires Forecast'!$G$5:$G$83,"Finance")</f>
        <v>0</v>
      </c>
      <c r="AZ8" s="798">
        <f>SUMIFS('New Hires Forecast'!$B$5:$B$83,'New Hires Forecast'!$G$5:$G$83,"&gt;"&amp;Finance!AY3,'New Hires Forecast'!$G$5:$G$83,"&lt;="&amp;Finance!AZ3,'New Hires Forecast'!$G$5:$G$83,"Finance")</f>
        <v>0</v>
      </c>
      <c r="BA8" s="798">
        <f>SUMIFS('New Hires Forecast'!$B$5:$B$83,'New Hires Forecast'!$G$5:$G$83,"&gt;"&amp;Finance!AZ3,'New Hires Forecast'!$G$5:$G$83,"&lt;="&amp;Finance!BA3,'New Hires Forecast'!$G$5:$G$83,"Finance")</f>
        <v>0</v>
      </c>
      <c r="BB8" s="798">
        <f>SUMIFS('New Hires Forecast'!$B$5:$B$83,'New Hires Forecast'!$G$5:$G$83,"&gt;"&amp;Finance!BA3,'New Hires Forecast'!$G$5:$G$83,"&lt;="&amp;Finance!BB3,'New Hires Forecast'!$G$5:$G$83,"Finance")</f>
        <v>0</v>
      </c>
      <c r="BC8" s="798">
        <f>SUMIFS('New Hires Forecast'!$B$5:$B$83,'New Hires Forecast'!$G$5:$G$83,"&gt;"&amp;Finance!BB3,'New Hires Forecast'!$G$5:$G$83,"&lt;="&amp;Finance!BC3,'New Hires Forecast'!$G$5:$G$83,"Finance")</f>
        <v>0</v>
      </c>
      <c r="BD8" s="798">
        <f>SUMIFS('New Hires Forecast'!$B$5:$B$83,'New Hires Forecast'!$G$5:$G$83,"&gt;"&amp;Finance!BC3,'New Hires Forecast'!$G$5:$G$83,"&lt;="&amp;Finance!BD3,'New Hires Forecast'!$G$5:$G$83,"Finance")</f>
        <v>0</v>
      </c>
      <c r="BE8" s="798">
        <f>SUMIFS('New Hires Forecast'!$B$5:$B$83,'New Hires Forecast'!$G$5:$G$83,"&gt;"&amp;Finance!BD3,'New Hires Forecast'!$G$5:$G$83,"&lt;="&amp;Finance!BE3,'New Hires Forecast'!$G$5:$G$83,"Finance")</f>
        <v>0</v>
      </c>
      <c r="BF8" s="798">
        <f>SUMIFS('New Hires Forecast'!$B$5:$B$83,'New Hires Forecast'!$G$5:$G$83,"&gt;"&amp;Finance!BE3,'New Hires Forecast'!$G$5:$G$83,"&lt;="&amp;Finance!BF3,'New Hires Forecast'!$G$5:$G$83,"Finance")</f>
        <v>0</v>
      </c>
      <c r="BG8" s="798">
        <f>SUMIFS('New Hires Forecast'!$B$5:$B$83,'New Hires Forecast'!$G$5:$G$83,"&gt;"&amp;Finance!BF3,'New Hires Forecast'!$G$5:$G$83,"&lt;="&amp;Finance!BG3,'New Hires Forecast'!$G$5:$G$83,"Finance")</f>
        <v>0</v>
      </c>
      <c r="BH8" s="798">
        <f>SUMIFS('New Hires Forecast'!$B$5:$B$83,'New Hires Forecast'!$G$5:$G$83,"&gt;"&amp;Finance!BG3,'New Hires Forecast'!$G$5:$G$83,"&lt;="&amp;Finance!BH3,'New Hires Forecast'!$G$5:$G$83,"Finance")</f>
        <v>0</v>
      </c>
      <c r="BI8" s="798">
        <f>SUMIFS('New Hires Forecast'!$B$5:$B$83,'New Hires Forecast'!$G$5:$G$83,"&gt;"&amp;Finance!BH3,'New Hires Forecast'!$G$5:$G$83,"&lt;="&amp;Finance!BI3,'New Hires Forecast'!$G$5:$G$83,"Finance")</f>
        <v>0</v>
      </c>
      <c r="BJ8" s="798">
        <f>SUMIFS('New Hires Forecast'!$B$5:$B$83,'New Hires Forecast'!$G$5:$G$83,"&gt;"&amp;Finance!BI3,'New Hires Forecast'!$G$5:$G$83,"&lt;="&amp;Finance!BJ3,'New Hires Forecast'!$G$5:$G$83,"Finance")</f>
        <v>0</v>
      </c>
      <c r="BK8" s="798">
        <f>SUMIFS('New Hires Forecast'!$B$5:$B$83,'New Hires Forecast'!$G$5:$G$83,"&gt;"&amp;Finance!BJ3,'New Hires Forecast'!$G$5:$G$83,"&lt;="&amp;Finance!BK3,'New Hires Forecast'!$G$5:$G$83,"Finance")</f>
        <v>0</v>
      </c>
      <c r="BL8" s="798">
        <f>SUMIFS('New Hires Forecast'!$B$5:$B$83,'New Hires Forecast'!$G$5:$G$83,"&gt;"&amp;Finance!BK3,'New Hires Forecast'!$G$5:$G$83,"&lt;="&amp;Finance!BL3,'New Hires Forecast'!$G$5:$G$83,"Finance")</f>
        <v>0</v>
      </c>
      <c r="BM8" s="798">
        <f>SUMIFS('New Hires Forecast'!$B$5:$B$83,'New Hires Forecast'!$G$5:$G$83,"&gt;"&amp;Finance!BL3,'New Hires Forecast'!$G$5:$G$83,"&lt;="&amp;Finance!BM3,'New Hires Forecast'!$G$5:$G$83,"Finance")</f>
        <v>0</v>
      </c>
      <c r="BN8" s="798">
        <f>SUMIFS('New Hires Forecast'!$B$5:$B$83,'New Hires Forecast'!$G$5:$G$83,"&gt;"&amp;Finance!BM3,'New Hires Forecast'!$G$5:$G$83,"&lt;="&amp;Finance!BN3,'New Hires Forecast'!$G$5:$G$83,"Finance")</f>
        <v>0</v>
      </c>
      <c r="BO8" s="798">
        <f>SUMIFS('New Hires Forecast'!$B$5:$B$83,'New Hires Forecast'!$G$5:$G$83,"&gt;"&amp;Finance!BN3,'New Hires Forecast'!$G$5:$G$83,"&lt;="&amp;Finance!BO3,'New Hires Forecast'!$G$5:$G$83,"Finance")</f>
        <v>0</v>
      </c>
      <c r="BP8" s="798">
        <f>SUMIFS('New Hires Forecast'!$B$5:$B$83,'New Hires Forecast'!$G$5:$G$83,"&gt;"&amp;Finance!BO3,'New Hires Forecast'!$G$5:$G$83,"&lt;="&amp;Finance!BP3,'New Hires Forecast'!$G$5:$G$83,"Finance")</f>
        <v>0</v>
      </c>
      <c r="BQ8" s="798">
        <f>SUMIFS('New Hires Forecast'!$B$5:$B$83,'New Hires Forecast'!$G$5:$G$83,"&gt;"&amp;Finance!BP3,'New Hires Forecast'!$G$5:$G$83,"&lt;="&amp;Finance!BQ3,'New Hires Forecast'!$G$5:$G$83,"Finance")</f>
        <v>0</v>
      </c>
      <c r="BR8" s="798">
        <f>SUMIFS('New Hires Forecast'!$B$5:$B$83,'New Hires Forecast'!$G$5:$G$83,"&gt;"&amp;Finance!BQ3,'New Hires Forecast'!$G$5:$G$83,"&lt;="&amp;Finance!BR3,'New Hires Forecast'!$G$5:$G$83,"Finance")</f>
        <v>0</v>
      </c>
      <c r="BS8" s="798">
        <f>SUMIFS('New Hires Forecast'!$B$5:$B$83,'New Hires Forecast'!$G$5:$G$83,"&gt;"&amp;Finance!BR3,'New Hires Forecast'!$G$5:$G$83,"&lt;="&amp;Finance!BS3,'New Hires Forecast'!$G$5:$G$83,"Finance")</f>
        <v>0</v>
      </c>
      <c r="BT8" s="798">
        <f>SUMIFS('New Hires Forecast'!$B$5:$B$83,'New Hires Forecast'!$G$5:$G$83,"&gt;"&amp;Finance!BS3,'New Hires Forecast'!$G$5:$G$83,"&lt;="&amp;Finance!BT3,'New Hires Forecast'!$G$5:$G$83,"Finance")</f>
        <v>0</v>
      </c>
      <c r="BU8" s="798">
        <f>SUMIFS('New Hires Forecast'!$B$5:$B$83,'New Hires Forecast'!$G$5:$G$83,"&gt;"&amp;Finance!BT3,'New Hires Forecast'!$G$5:$G$83,"&lt;="&amp;Finance!BU3,'New Hires Forecast'!$G$5:$G$83,"Finance")</f>
        <v>0</v>
      </c>
      <c r="BV8" s="799">
        <f>SUMIFS('New Hires Forecast'!$B$5:$B$83,'New Hires Forecast'!$G$5:$G$83,"&gt;"&amp;Finance!BU3,'New Hires Forecast'!$G$5:$G$83,"&lt;="&amp;Finance!BV3,'New Hires Forecast'!$G$5:$G$83,"Finance")</f>
        <v>0</v>
      </c>
    </row>
    <row r="9" spans="2:74" x14ac:dyDescent="0.35">
      <c r="B9" s="794" t="s">
        <v>150</v>
      </c>
      <c r="C9" s="798">
        <f>SUMIFS(Headcount!$B$6:$B$88,Headcount!$H$6:$H$88,"&gt;"&amp;B3,Headcount!$H$6:$H$88,"&lt;="&amp;C3,Headcount!$H$6:$H$88,"Finance")</f>
        <v>0</v>
      </c>
      <c r="D9" s="798">
        <f>SUMIFS(Headcount!$B$6:$B$88,Headcount!$H$6:$H$88,"&gt;"&amp;C3,Headcount!$H$6:$H$88,"&lt;="&amp;D3,Headcount!$H$6:$H$88,"Finance")</f>
        <v>0</v>
      </c>
      <c r="E9" s="798">
        <f>SUMIFS(Headcount!$B$6:$B$88,Headcount!$H$6:$H$88,"&gt;"&amp;D3,Headcount!$H$6:$H$88,"&lt;="&amp;E3,Headcount!$H$6:$H$88,"Finance")</f>
        <v>0</v>
      </c>
      <c r="F9" s="798">
        <f>SUMIFS(Headcount!$B$6:$B$88,Headcount!$H$6:$H$88,"&gt;"&amp;E3,Headcount!$H$6:$H$88,"&lt;="&amp;F3,Headcount!$H$6:$H$88,"Finance")</f>
        <v>0</v>
      </c>
      <c r="G9" s="798">
        <f>SUMIFS(Headcount!$B$6:$B$88,Headcount!$H$6:$H$88,"&gt;"&amp;F3,Headcount!$H$6:$H$88,"&lt;="&amp;G3,Headcount!$H$6:$H$88,"Finance")</f>
        <v>0</v>
      </c>
      <c r="H9" s="798">
        <f>SUMIFS(Headcount!$B$6:$B$88,Headcount!$H$6:$H$88,"&gt;"&amp;G3,Headcount!$H$6:$H$88,"&lt;="&amp;H3,Headcount!$H$6:$H$88,"Finance")</f>
        <v>0</v>
      </c>
      <c r="I9" s="798">
        <f>SUMIFS(Headcount!$B$6:$B$88,Headcount!$H$6:$H$88,"&gt;"&amp;H3,Headcount!$H$6:$H$88,"&lt;="&amp;I3,Headcount!$H$6:$H$88,"Finance")</f>
        <v>0</v>
      </c>
      <c r="J9" s="798">
        <f>SUMIFS(Headcount!$B$6:$B$88,Headcount!$H$6:$H$88,"&gt;"&amp;I3,Headcount!$H$6:$H$88,"&lt;="&amp;J3,Headcount!$H$6:$H$88,"Finance")</f>
        <v>0</v>
      </c>
      <c r="K9" s="798">
        <f>SUMIFS(Headcount!$B$6:$B$88,Headcount!$H$6:$H$88,"&gt;"&amp;J3,Headcount!$H$6:$H$88,"&lt;="&amp;K3,Headcount!$H$6:$H$88,"Finance")</f>
        <v>0</v>
      </c>
      <c r="L9" s="798">
        <f>SUMIFS(Headcount!$B$6:$B$88,Headcount!$H$6:$H$88,"&gt;"&amp;K3,Headcount!$H$6:$H$88,"&lt;="&amp;L3,Headcount!$H$6:$H$88,"Finance")</f>
        <v>0</v>
      </c>
      <c r="M9" s="798">
        <f>SUMIFS(Headcount!$B$6:$B$88,Headcount!$H$6:$H$88,"&gt;"&amp;L3,Headcount!$H$6:$H$88,"&lt;="&amp;M3,Headcount!$H$6:$H$88,"Finance")</f>
        <v>0</v>
      </c>
      <c r="N9" s="798">
        <f>SUMIFS(Headcount!$B$6:$B$88,Headcount!$H$6:$H$88,"&gt;"&amp;M3,Headcount!$H$6:$H$88,"&lt;="&amp;N3,Headcount!$H$6:$H$88,"Finance")</f>
        <v>0</v>
      </c>
      <c r="O9" s="798">
        <f>SUMIFS(Headcount!$B$6:$B$88,Headcount!$H$6:$H$88,"&gt;"&amp;N3,Headcount!$H$6:$H$88,"&lt;="&amp;O3,Headcount!$H$6:$H$88,"Finance")</f>
        <v>0</v>
      </c>
      <c r="P9" s="798">
        <f>SUMIFS(Headcount!$B$6:$B$88,Headcount!$H$6:$H$88,"&gt;"&amp;O3,Headcount!$H$6:$H$88,"&lt;="&amp;P3,Headcount!$H$6:$H$88,"Finance")</f>
        <v>0</v>
      </c>
      <c r="Q9" s="798">
        <f>SUMIFS(Headcount!$B$6:$B$88,Headcount!$H$6:$H$88,"&gt;"&amp;P3,Headcount!$H$6:$H$88,"&lt;="&amp;Q3,Headcount!$H$6:$H$88,"Finance")</f>
        <v>0</v>
      </c>
      <c r="R9" s="798">
        <f>SUMIFS(Headcount!$B$6:$B$88,Headcount!$H$6:$H$88,"&gt;"&amp;Q3,Headcount!$H$6:$H$88,"&lt;="&amp;R3,Headcount!$H$6:$H$88,"Finance")</f>
        <v>0</v>
      </c>
      <c r="S9" s="798">
        <f>SUMIFS(Headcount!$B$6:$B$88,Headcount!$H$6:$H$88,"&gt;"&amp;R3,Headcount!$H$6:$H$88,"&lt;="&amp;S3,Headcount!$H$6:$H$88,"Finance")</f>
        <v>0</v>
      </c>
      <c r="T9" s="798">
        <f>SUMIFS(Headcount!$B$6:$B$88,Headcount!$H$6:$H$88,"&gt;"&amp;S3,Headcount!$H$6:$H$88,"&lt;="&amp;T3,Headcount!$H$6:$H$88,"Finance")</f>
        <v>0</v>
      </c>
      <c r="U9" s="798">
        <f>SUMIFS(Headcount!$B$6:$B$88,Headcount!$H$6:$H$88,"&gt;"&amp;T3,Headcount!$H$6:$H$88,"&lt;="&amp;U3,Headcount!$H$6:$H$88,"Finance")</f>
        <v>0</v>
      </c>
      <c r="V9" s="798">
        <f>SUMIFS(Headcount!$B$6:$B$88,Headcount!$H$6:$H$88,"&gt;"&amp;U3,Headcount!$H$6:$H$88,"&lt;="&amp;V3,Headcount!$H$6:$H$88,"Finance")</f>
        <v>0</v>
      </c>
      <c r="W9" s="798">
        <f>SUMIFS(Headcount!$B$6:$B$88,Headcount!$H$6:$H$88,"&gt;"&amp;V3,Headcount!$H$6:$H$88,"&lt;="&amp;W3,Headcount!$H$6:$H$88,"Finance")</f>
        <v>0</v>
      </c>
      <c r="X9" s="798">
        <f>SUMIFS(Headcount!$B$6:$B$88,Headcount!$H$6:$H$88,"&gt;"&amp;W3,Headcount!$H$6:$H$88,"&lt;="&amp;X3,Headcount!$H$6:$H$88,"Finance")</f>
        <v>0</v>
      </c>
      <c r="Y9" s="798">
        <f>SUMIFS(Headcount!$B$6:$B$88,Headcount!$H$6:$H$88,"&gt;"&amp;X3,Headcount!$H$6:$H$88,"&lt;="&amp;Y3,Headcount!$H$6:$H$88,"Finance")</f>
        <v>0</v>
      </c>
      <c r="Z9" s="798">
        <f>SUMIFS(Headcount!$B$6:$B$88,Headcount!$H$6:$H$88,"&gt;"&amp;Y3,Headcount!$H$6:$H$88,"&lt;="&amp;Z3,Headcount!$H$6:$H$88,"Finance")</f>
        <v>0</v>
      </c>
      <c r="AA9" s="798">
        <f>SUMIFS(Headcount!$B$6:$B$88,Headcount!$H$6:$H$88,"&gt;"&amp;Z3,Headcount!$H$6:$H$88,"&lt;="&amp;AA3,Headcount!$H$6:$H$88,"Finance")</f>
        <v>0</v>
      </c>
      <c r="AB9" s="798">
        <f>SUMIFS(Headcount!$B$6:$B$88,Headcount!$H$6:$H$88,"&gt;"&amp;AA3,Headcount!$H$6:$H$88,"&lt;="&amp;AB3,Headcount!$H$6:$H$88,"Finance")</f>
        <v>0</v>
      </c>
      <c r="AC9" s="798">
        <f>SUMIFS(Headcount!$B$6:$B$88,Headcount!$H$6:$H$88,"&gt;"&amp;AB3,Headcount!$H$6:$H$88,"&lt;="&amp;AC3,Headcount!$H$6:$H$88,"Finance")</f>
        <v>0</v>
      </c>
      <c r="AD9" s="798">
        <f>SUMIFS(Headcount!$B$6:$B$88,Headcount!$H$6:$H$88,"&gt;"&amp;AC3,Headcount!$H$6:$H$88,"&lt;="&amp;AD3,Headcount!$H$6:$H$88,"Finance")</f>
        <v>0</v>
      </c>
      <c r="AE9" s="798">
        <f>SUMIFS(Headcount!$B$6:$B$88,Headcount!$H$6:$H$88,"&gt;"&amp;AD3,Headcount!$H$6:$H$88,"&lt;="&amp;AE3,Headcount!$H$6:$H$88,"Finance")</f>
        <v>0</v>
      </c>
      <c r="AF9" s="798">
        <f>SUMIFS(Headcount!$B$6:$B$88,Headcount!$H$6:$H$88,"&gt;"&amp;AE3,Headcount!$H$6:$H$88,"&lt;="&amp;AF3,Headcount!$H$6:$H$88,"Finance")</f>
        <v>0</v>
      </c>
      <c r="AG9" s="798">
        <f>SUMIFS(Headcount!$B$6:$B$88,Headcount!$H$6:$H$88,"&gt;"&amp;AF3,Headcount!$H$6:$H$88,"&lt;="&amp;AG3,Headcount!$H$6:$H$88,"Finance")</f>
        <v>0</v>
      </c>
      <c r="AH9" s="798">
        <f>SUMIFS(Headcount!$B$6:$B$88,Headcount!$H$6:$H$88,"&gt;"&amp;AG3,Headcount!$H$6:$H$88,"&lt;="&amp;AH3,Headcount!$H$6:$H$88,"Finance")</f>
        <v>0</v>
      </c>
      <c r="AI9" s="798">
        <f>SUMIFS(Headcount!$B$6:$B$88,Headcount!$H$6:$H$88,"&gt;"&amp;AH3,Headcount!$H$6:$H$88,"&lt;="&amp;AI3,Headcount!$H$6:$H$88,"Finance")</f>
        <v>0</v>
      </c>
      <c r="AJ9" s="798">
        <f>SUMIFS(Headcount!$B$6:$B$88,Headcount!$H$6:$H$88,"&gt;"&amp;AI3,Headcount!$H$6:$H$88,"&lt;="&amp;AJ3,Headcount!$H$6:$H$88,"Finance")</f>
        <v>0</v>
      </c>
      <c r="AK9" s="798">
        <f>SUMIFS(Headcount!$B$6:$B$88,Headcount!$H$6:$H$88,"&gt;"&amp;AJ3,Headcount!$H$6:$H$88,"&lt;="&amp;AK3,Headcount!$H$6:$H$88,"Finance")</f>
        <v>0</v>
      </c>
      <c r="AL9" s="798">
        <f>SUMIFS(Headcount!$B$6:$B$88,Headcount!$H$6:$H$88,"&gt;"&amp;AK3,Headcount!$H$6:$H$88,"&lt;="&amp;AL3,Headcount!$H$6:$H$88,"Finance")</f>
        <v>0</v>
      </c>
      <c r="AM9" s="798">
        <f>SUMIFS(Headcount!$B$6:$B$88,Headcount!$H$6:$H$88,"&gt;"&amp;AL3,Headcount!$H$6:$H$88,"&lt;="&amp;AM3,Headcount!$H$6:$H$88,"Finance")</f>
        <v>0</v>
      </c>
      <c r="AN9" s="798">
        <f>SUMIFS(Headcount!$B$6:$B$88,Headcount!$H$6:$H$88,"&gt;"&amp;AM3,Headcount!$H$6:$H$88,"&lt;="&amp;AN3,Headcount!$H$6:$H$88,"Finance")</f>
        <v>0</v>
      </c>
      <c r="AO9" s="798">
        <f>SUMIFS(Headcount!$B$6:$B$88,Headcount!$H$6:$H$88,"&gt;"&amp;AN3,Headcount!$H$6:$H$88,"&lt;="&amp;AO3,Headcount!$H$6:$H$88,"Finance")</f>
        <v>0</v>
      </c>
      <c r="AP9" s="798">
        <f>SUMIFS(Headcount!$B$6:$B$88,Headcount!$H$6:$H$88,"&gt;"&amp;AO3,Headcount!$H$6:$H$88,"&lt;="&amp;AP3,Headcount!$H$6:$H$88,"Finance")</f>
        <v>0</v>
      </c>
      <c r="AQ9" s="798">
        <f>SUMIFS(Headcount!$B$6:$B$88,Headcount!$H$6:$H$88,"&gt;"&amp;AP3,Headcount!$H$6:$H$88,"&lt;="&amp;AQ3,Headcount!$H$6:$H$88,"Finance")</f>
        <v>0</v>
      </c>
      <c r="AR9" s="798">
        <f>SUMIFS(Headcount!$B$6:$B$88,Headcount!$H$6:$H$88,"&gt;"&amp;AQ3,Headcount!$H$6:$H$88,"&lt;="&amp;AR3,Headcount!$H$6:$H$88,"Finance")</f>
        <v>0</v>
      </c>
      <c r="AS9" s="798">
        <f>SUMIFS(Headcount!$B$6:$B$88,Headcount!$H$6:$H$88,"&gt;"&amp;AR3,Headcount!$H$6:$H$88,"&lt;="&amp;AS3,Headcount!$H$6:$H$88,"Finance")</f>
        <v>0</v>
      </c>
      <c r="AT9" s="798">
        <f>SUMIFS(Headcount!$B$6:$B$88,Headcount!$H$6:$H$88,"&gt;"&amp;AS3,Headcount!$H$6:$H$88,"&lt;="&amp;AT3,Headcount!$H$6:$H$88,"Finance")</f>
        <v>0</v>
      </c>
      <c r="AU9" s="798">
        <f>SUMIFS(Headcount!$B$6:$B$88,Headcount!$H$6:$H$88,"&gt;"&amp;AT3,Headcount!$H$6:$H$88,"&lt;="&amp;AU3,Headcount!$H$6:$H$88,"Finance")</f>
        <v>0</v>
      </c>
      <c r="AV9" s="798">
        <f>SUMIFS(Headcount!$B$6:$B$88,Headcount!$H$6:$H$88,"&gt;"&amp;AU3,Headcount!$H$6:$H$88,"&lt;="&amp;AV3,Headcount!$H$6:$H$88,"Finance")</f>
        <v>0</v>
      </c>
      <c r="AW9" s="798">
        <f>SUMIFS(Headcount!$B$6:$B$88,Headcount!$H$6:$H$88,"&gt;"&amp;AV3,Headcount!$H$6:$H$88,"&lt;="&amp;AW3,Headcount!$H$6:$H$88,"Finance")</f>
        <v>0</v>
      </c>
      <c r="AX9" s="798">
        <f>SUMIFS(Headcount!$B$6:$B$88,Headcount!$H$6:$H$88,"&gt;"&amp;AW3,Headcount!$H$6:$H$88,"&lt;="&amp;AX3,Headcount!$H$6:$H$88,"Finance")</f>
        <v>0</v>
      </c>
      <c r="AY9" s="798">
        <f>SUMIFS(Headcount!$B$6:$B$88,Headcount!$H$6:$H$88,"&gt;"&amp;AX3,Headcount!$H$6:$H$88,"&lt;="&amp;AY3,Headcount!$H$6:$H$88,"Finance")</f>
        <v>0</v>
      </c>
      <c r="AZ9" s="798">
        <f>SUMIFS(Headcount!$B$6:$B$88,Headcount!$H$6:$H$88,"&gt;"&amp;AY3,Headcount!$H$6:$H$88,"&lt;="&amp;AZ3,Headcount!$H$6:$H$88,"Finance")</f>
        <v>0</v>
      </c>
      <c r="BA9" s="798">
        <f>SUMIFS(Headcount!$B$6:$B$88,Headcount!$H$6:$H$88,"&gt;"&amp;AZ3,Headcount!$H$6:$H$88,"&lt;="&amp;BA3,Headcount!$H$6:$H$88,"Finance")</f>
        <v>0</v>
      </c>
      <c r="BB9" s="798">
        <f>SUMIFS(Headcount!$B$6:$B$88,Headcount!$H$6:$H$88,"&gt;"&amp;BA3,Headcount!$H$6:$H$88,"&lt;="&amp;BB3,Headcount!$H$6:$H$88,"Finance")</f>
        <v>0</v>
      </c>
      <c r="BC9" s="798">
        <f>SUMIFS(Headcount!$B$6:$B$88,Headcount!$H$6:$H$88,"&gt;"&amp;BB3,Headcount!$H$6:$H$88,"&lt;="&amp;BC3,Headcount!$H$6:$H$88,"Finance")</f>
        <v>0</v>
      </c>
      <c r="BD9" s="798">
        <f>SUMIFS(Headcount!$B$6:$B$88,Headcount!$H$6:$H$88,"&gt;"&amp;BC3,Headcount!$H$6:$H$88,"&lt;="&amp;BD3,Headcount!$H$6:$H$88,"Finance")</f>
        <v>0</v>
      </c>
      <c r="BE9" s="798">
        <f>SUMIFS(Headcount!$B$6:$B$88,Headcount!$H$6:$H$88,"&gt;"&amp;BD3,Headcount!$H$6:$H$88,"&lt;="&amp;BE3,Headcount!$H$6:$H$88,"Finance")</f>
        <v>0</v>
      </c>
      <c r="BF9" s="798">
        <f>SUMIFS(Headcount!$B$6:$B$88,Headcount!$H$6:$H$88,"&gt;"&amp;BE3,Headcount!$H$6:$H$88,"&lt;="&amp;BF3,Headcount!$H$6:$H$88,"Finance")</f>
        <v>0</v>
      </c>
      <c r="BG9" s="798">
        <f>SUMIFS(Headcount!$B$6:$B$88,Headcount!$H$6:$H$88,"&gt;"&amp;BF3,Headcount!$H$6:$H$88,"&lt;="&amp;BG3,Headcount!$H$6:$H$88,"Finance")</f>
        <v>0</v>
      </c>
      <c r="BH9" s="798">
        <f>SUMIFS(Headcount!$B$6:$B$88,Headcount!$H$6:$H$88,"&gt;"&amp;BG3,Headcount!$H$6:$H$88,"&lt;="&amp;BH3,Headcount!$H$6:$H$88,"Finance")</f>
        <v>0</v>
      </c>
      <c r="BI9" s="798">
        <f>SUMIFS(Headcount!$B$6:$B$88,Headcount!$H$6:$H$88,"&gt;"&amp;BH3,Headcount!$H$6:$H$88,"&lt;="&amp;BI3,Headcount!$H$6:$H$88,"Finance")</f>
        <v>0</v>
      </c>
      <c r="BJ9" s="798">
        <f>SUMIFS(Headcount!$B$6:$B$88,Headcount!$H$6:$H$88,"&gt;"&amp;BI3,Headcount!$H$6:$H$88,"&lt;="&amp;BJ3,Headcount!$H$6:$H$88,"Finance")</f>
        <v>0</v>
      </c>
      <c r="BK9" s="798">
        <f>SUMIFS(Headcount!$B$6:$B$88,Headcount!$H$6:$H$88,"&gt;"&amp;BJ3,Headcount!$H$6:$H$88,"&lt;="&amp;BK3,Headcount!$H$6:$H$88,"Finance")</f>
        <v>0</v>
      </c>
      <c r="BL9" s="798">
        <f>SUMIFS(Headcount!$B$6:$B$88,Headcount!$H$6:$H$88,"&gt;"&amp;BK3,Headcount!$H$6:$H$88,"&lt;="&amp;BL3,Headcount!$H$6:$H$88,"Finance")</f>
        <v>0</v>
      </c>
      <c r="BM9" s="798">
        <f>SUMIFS(Headcount!$B$6:$B$88,Headcount!$H$6:$H$88,"&gt;"&amp;BL3,Headcount!$H$6:$H$88,"&lt;="&amp;BM3,Headcount!$H$6:$H$88,"Finance")</f>
        <v>0</v>
      </c>
      <c r="BN9" s="798">
        <f>SUMIFS(Headcount!$B$6:$B$88,Headcount!$H$6:$H$88,"&gt;"&amp;BM3,Headcount!$H$6:$H$88,"&lt;="&amp;BN3,Headcount!$H$6:$H$88,"Finance")</f>
        <v>0</v>
      </c>
      <c r="BO9" s="798">
        <f>SUMIFS(Headcount!$B$6:$B$88,Headcount!$H$6:$H$88,"&gt;"&amp;BN3,Headcount!$H$6:$H$88,"&lt;="&amp;BO3,Headcount!$H$6:$H$88,"Finance")</f>
        <v>0</v>
      </c>
      <c r="BP9" s="798">
        <f>SUMIFS(Headcount!$B$6:$B$88,Headcount!$H$6:$H$88,"&gt;"&amp;BO3,Headcount!$H$6:$H$88,"&lt;="&amp;BP3,Headcount!$H$6:$H$88,"Finance")</f>
        <v>0</v>
      </c>
      <c r="BQ9" s="798">
        <f>SUMIFS(Headcount!$B$6:$B$88,Headcount!$H$6:$H$88,"&gt;"&amp;BP3,Headcount!$H$6:$H$88,"&lt;="&amp;BQ3,Headcount!$H$6:$H$88,"Finance")</f>
        <v>0</v>
      </c>
      <c r="BR9" s="798">
        <f>SUMIFS(Headcount!$B$6:$B$88,Headcount!$H$6:$H$88,"&gt;"&amp;BQ3,Headcount!$H$6:$H$88,"&lt;="&amp;BR3,Headcount!$H$6:$H$88,"Finance")</f>
        <v>0</v>
      </c>
      <c r="BS9" s="798">
        <f>SUMIFS(Headcount!$B$6:$B$88,Headcount!$H$6:$H$88,"&gt;"&amp;BR3,Headcount!$H$6:$H$88,"&lt;="&amp;BS3,Headcount!$H$6:$H$88,"Finance")</f>
        <v>0</v>
      </c>
      <c r="BT9" s="798">
        <f>SUMIFS(Headcount!$B$6:$B$88,Headcount!$H$6:$H$88,"&gt;"&amp;BS3,Headcount!$H$6:$H$88,"&lt;="&amp;BT3,Headcount!$H$6:$H$88,"Finance")</f>
        <v>0</v>
      </c>
      <c r="BU9" s="798">
        <f>SUMIFS(Headcount!$B$6:$B$88,Headcount!$H$6:$H$88,"&gt;"&amp;BT3,Headcount!$H$6:$H$88,"&lt;="&amp;BU3,Headcount!$H$6:$H$88,"Finance")</f>
        <v>0</v>
      </c>
      <c r="BV9" s="799">
        <f>SUMIFS(Headcount!$B$6:$B$88,Headcount!$H$6:$H$88,"&gt;"&amp;BU3,Headcount!$H$6:$H$88,"&lt;="&amp;BV3,Headcount!$H$6:$H$88,"Finance")</f>
        <v>0</v>
      </c>
    </row>
    <row r="10" spans="2:74" x14ac:dyDescent="0.35">
      <c r="B10" s="800"/>
      <c r="C10" s="157"/>
      <c r="D10" s="157"/>
      <c r="E10" s="157"/>
      <c r="F10" s="157"/>
      <c r="G10" s="157"/>
      <c r="H10" s="157"/>
      <c r="I10" s="157"/>
      <c r="J10" s="157"/>
      <c r="K10" s="157"/>
      <c r="L10" s="157"/>
      <c r="M10" s="157"/>
      <c r="N10" s="157"/>
      <c r="O10" s="157"/>
      <c r="P10" s="157"/>
      <c r="Q10" s="157"/>
      <c r="R10" s="157"/>
      <c r="S10" s="157"/>
      <c r="T10" s="157"/>
      <c r="U10" s="157"/>
      <c r="V10" s="157"/>
      <c r="W10" s="157"/>
      <c r="X10" s="157"/>
      <c r="Y10" s="157"/>
      <c r="Z10" s="157"/>
      <c r="AA10" s="157"/>
      <c r="AB10" s="157"/>
      <c r="AC10" s="157"/>
      <c r="AD10" s="157"/>
      <c r="AE10" s="157"/>
      <c r="AF10" s="157"/>
      <c r="AG10" s="157"/>
      <c r="AH10" s="157"/>
      <c r="AI10" s="157"/>
      <c r="AJ10" s="157"/>
      <c r="AK10" s="157"/>
      <c r="AL10" s="157"/>
      <c r="AM10" s="157"/>
      <c r="AN10" s="157"/>
      <c r="AO10" s="157"/>
      <c r="AP10" s="157"/>
      <c r="AQ10" s="157"/>
      <c r="AR10" s="157"/>
      <c r="AS10" s="157"/>
      <c r="AT10" s="157"/>
      <c r="AU10" s="157"/>
      <c r="AV10" s="157"/>
      <c r="AW10" s="157"/>
      <c r="AX10" s="157"/>
      <c r="AY10" s="157"/>
      <c r="AZ10" s="157"/>
      <c r="BA10" s="157"/>
      <c r="BB10" s="157"/>
      <c r="BC10" s="157"/>
      <c r="BD10" s="157"/>
      <c r="BE10" s="157"/>
      <c r="BF10" s="157"/>
      <c r="BG10" s="157"/>
      <c r="BH10" s="157"/>
      <c r="BI10" s="157"/>
      <c r="BJ10" s="157"/>
      <c r="BK10" s="157"/>
      <c r="BL10" s="157"/>
      <c r="BM10" s="157"/>
      <c r="BN10" s="157"/>
      <c r="BO10" s="157"/>
      <c r="BP10" s="157"/>
      <c r="BQ10" s="157"/>
      <c r="BR10" s="157"/>
      <c r="BS10" s="157"/>
      <c r="BT10" s="157"/>
      <c r="BU10" s="157"/>
      <c r="BV10" s="801"/>
    </row>
    <row r="11" spans="2:74" x14ac:dyDescent="0.35">
      <c r="B11" s="802" t="s">
        <v>933</v>
      </c>
      <c r="C11" s="803"/>
      <c r="D11" s="803"/>
      <c r="E11" s="803"/>
      <c r="F11" s="803"/>
      <c r="G11" s="803"/>
      <c r="H11" s="803"/>
      <c r="I11" s="803"/>
      <c r="J11" s="803"/>
      <c r="K11" s="803"/>
      <c r="L11" s="803"/>
      <c r="M11" s="803"/>
      <c r="N11" s="803"/>
      <c r="O11" s="804"/>
      <c r="P11" s="804"/>
      <c r="Q11" s="804"/>
      <c r="R11" s="804"/>
      <c r="S11" s="804"/>
      <c r="T11" s="804"/>
      <c r="U11" s="804"/>
      <c r="V11" s="804"/>
      <c r="W11" s="804"/>
      <c r="X11" s="804"/>
      <c r="Y11" s="804"/>
      <c r="Z11" s="804"/>
      <c r="AA11" s="804"/>
      <c r="AB11" s="804"/>
      <c r="AC11" s="804"/>
      <c r="AD11" s="804"/>
      <c r="AE11" s="804"/>
      <c r="AF11" s="804"/>
      <c r="AG11" s="804"/>
      <c r="AH11" s="804"/>
      <c r="AI11" s="804"/>
      <c r="AJ11" s="804"/>
      <c r="AK11" s="804"/>
      <c r="AL11" s="804"/>
      <c r="AM11" s="804"/>
      <c r="AN11" s="804"/>
      <c r="AO11" s="804"/>
      <c r="AP11" s="804"/>
      <c r="AQ11" s="804"/>
      <c r="AR11" s="804"/>
      <c r="AS11" s="804"/>
      <c r="AT11" s="804"/>
      <c r="AU11" s="804"/>
      <c r="AV11" s="804"/>
      <c r="AW11" s="804"/>
      <c r="AX11" s="804"/>
      <c r="AY11" s="804"/>
      <c r="AZ11" s="804"/>
      <c r="BA11" s="804"/>
      <c r="BB11" s="804"/>
      <c r="BC11" s="804"/>
      <c r="BD11" s="804"/>
      <c r="BE11" s="804"/>
      <c r="BF11" s="804"/>
      <c r="BG11" s="804"/>
      <c r="BH11" s="804"/>
      <c r="BI11" s="804"/>
      <c r="BJ11" s="804"/>
      <c r="BK11" s="804"/>
      <c r="BL11" s="804"/>
      <c r="BM11" s="804"/>
      <c r="BN11" s="804"/>
      <c r="BO11" s="804"/>
      <c r="BP11" s="804"/>
      <c r="BQ11" s="804"/>
      <c r="BR11" s="804"/>
      <c r="BS11" s="804"/>
      <c r="BT11" s="804"/>
      <c r="BU11" s="804"/>
      <c r="BV11" s="805"/>
    </row>
    <row r="12" spans="2:74" x14ac:dyDescent="0.35">
      <c r="B12" s="797" t="s">
        <v>934</v>
      </c>
      <c r="C12" s="806">
        <f>IF(C$4="forecast",IF(YEAR(C$3)=YEAR(Headcount!$N$4),((SUMIFS(Headcount!$N$6:$N$89,Headcount!$F$6:$F$89,"Finance",Headcount!$H$6:$H$89,"&gt;="&amp;Finance!C$3)/12)),IF(YEAR(C$3)=YEAR(Headcount!$O$4),IF((C$5=2),((SUMIFS(Headcount!$O$6:$O$89,Headcount!$F$6:$F$89,"Finance",Headcount!$H$6:$H$89,"&gt;="&amp;Finance!C$3)/12)),B12),IF(YEAR(C$3)=YEAR(Headcount!$P$4),IF((C$5=2),((SUMIFS(Headcount!$P$6:$P$89,Headcount!$F$6:$F$89,"Finance",Headcount!$H$6:$H$89,"&gt;="&amp;Finance!C$3)/12)),B12),IF(YEAR(C$3)=YEAR(Headcount!$Q$4),IF((C$5=2),((SUMIFS(Headcount!$Q$6:$Q$89,Headcount!$F$6:$F$89,"Finance",Headcount!$H$6:$H$89,"&gt;="&amp;Finance!C$3)/12)),B12),IF(YEAR(C$3)=YEAR(Headcount!$R$4),IF((C$5=2),((SUMIFS(Headcount!$R$6:$R$89,Headcount!$F$6:$F$89,"Finance",Headcount!$H$6:$H$89,"&gt;="&amp;Finance!C$3)/12)),B12),"New Year"))))),'Dept. Cost Actuals'!G656-'Dept. Cost Actuals'!G646)</f>
        <v>9040.825025247952</v>
      </c>
      <c r="D12" s="806">
        <f>IF(D$4="forecast",IF(YEAR(D$3)=YEAR(Headcount!$N$4),((SUMIFS(Headcount!$N$6:$N$89,Headcount!$F$6:$F$89,"Finance",Headcount!$H$6:$H$89,"&gt;="&amp;Finance!D$3)/12)),IF(YEAR(D$3)=YEAR(Headcount!$O$4),IF((D$5=2),((SUMIFS(Headcount!$O$6:$O$89,Headcount!$F$6:$F$89,"Finance",Headcount!$H$6:$H$89,"&gt;="&amp;Finance!D$3)/12)),C12),IF(YEAR(D$3)=YEAR(Headcount!$P$4),IF((D$5=2),((SUMIFS(Headcount!$P$6:$P$89,Headcount!$F$6:$F$89,"Finance",Headcount!$H$6:$H$89,"&gt;="&amp;Finance!D$3)/12)),C12),IF(YEAR(D$3)=YEAR(Headcount!$Q$4),IF((D$5=2),((SUMIFS(Headcount!$Q$6:$Q$89,Headcount!$F$6:$F$89,"Finance",Headcount!$H$6:$H$89,"&gt;="&amp;Finance!D$3)/12)),C12),IF(YEAR(D$3)=YEAR(Headcount!$R$4),IF((D$5=2),((SUMIFS(Headcount!$R$6:$R$89,Headcount!$F$6:$F$89,"Finance",Headcount!$H$6:$H$89,"&gt;="&amp;Finance!D$3)/12)),C12),"New Year"))))),'Dept. Cost Actuals'!H656-'Dept. Cost Actuals'!H646)</f>
        <v>8961.3278112356056</v>
      </c>
      <c r="E12" s="806">
        <f>IF(E$4="forecast",IF(YEAR(E$3)=YEAR(Headcount!$N$4),((SUMIFS(Headcount!$N$6:$N$89,Headcount!$F$6:$F$89,"Finance",Headcount!$H$6:$H$89,"&gt;="&amp;Finance!E$3)/12)),IF(YEAR(E$3)=YEAR(Headcount!$O$4),IF((E$5=2),((SUMIFS(Headcount!$O$6:$O$89,Headcount!$F$6:$F$89,"Finance",Headcount!$H$6:$H$89,"&gt;="&amp;Finance!E$3)/12)),D12),IF(YEAR(E$3)=YEAR(Headcount!$P$4),IF((E$5=2),((SUMIFS(Headcount!$P$6:$P$89,Headcount!$F$6:$F$89,"Finance",Headcount!$H$6:$H$89,"&gt;="&amp;Finance!E$3)/12)),D12),IF(YEAR(E$3)=YEAR(Headcount!$Q$4),IF((E$5=2),((SUMIFS(Headcount!$Q$6:$Q$89,Headcount!$F$6:$F$89,"Finance",Headcount!$H$6:$H$89,"&gt;="&amp;Finance!E$3)/12)),D12),IF(YEAR(E$3)=YEAR(Headcount!$R$4),IF((E$5=2),((SUMIFS(Headcount!$R$6:$R$89,Headcount!$F$6:$F$89,"Finance",Headcount!$H$6:$H$89,"&gt;="&amp;Finance!E$3)/12)),D12),"New Year"))))),'Dept. Cost Actuals'!I656-'Dept. Cost Actuals'!I646)</f>
        <v>8987.1048993974837</v>
      </c>
      <c r="F12" s="806">
        <f>IF(F$4="forecast",IF(YEAR(F$3)=YEAR(Headcount!$N$4),((SUMIFS(Headcount!$N$6:$N$89,Headcount!$F$6:$F$89,"Finance",Headcount!$H$6:$H$89,"&gt;="&amp;Finance!F$3)/12)),IF(YEAR(F$3)=YEAR(Headcount!$O$4),IF((F$5=2),((SUMIFS(Headcount!$O$6:$O$89,Headcount!$F$6:$F$89,"Finance",Headcount!$H$6:$H$89,"&gt;="&amp;Finance!F$3)/12)),E12),IF(YEAR(F$3)=YEAR(Headcount!$P$4),IF((F$5=2),((SUMIFS(Headcount!$P$6:$P$89,Headcount!$F$6:$F$89,"Finance",Headcount!$H$6:$H$89,"&gt;="&amp;Finance!F$3)/12)),E12),IF(YEAR(F$3)=YEAR(Headcount!$Q$4),IF((F$5=2),((SUMIFS(Headcount!$Q$6:$Q$89,Headcount!$F$6:$F$89,"Finance",Headcount!$H$6:$H$89,"&gt;="&amp;Finance!F$3)/12)),E12),IF(YEAR(F$3)=YEAR(Headcount!$R$4),IF((F$5=2),((SUMIFS(Headcount!$R$6:$R$89,Headcount!$F$6:$F$89,"Finance",Headcount!$H$6:$H$89,"&gt;="&amp;Finance!F$3)/12)),E12),"New Year"))))),'Dept. Cost Actuals'!J656-'Dept. Cost Actuals'!J646)</f>
        <v>9502.2703778282848</v>
      </c>
      <c r="G12" s="806">
        <f>IF(G$4="forecast",IF(YEAR(G$3)=YEAR(Headcount!$N$4),((SUMIFS(Headcount!$N$6:$N$89,Headcount!$F$6:$F$89,"Finance",Headcount!$H$6:$H$89,"&gt;="&amp;Finance!G$3)/12)),IF(YEAR(G$3)=YEAR(Headcount!$O$4),IF((G$5=2),((SUMIFS(Headcount!$O$6:$O$89,Headcount!$F$6:$F$89,"Finance",Headcount!$H$6:$H$89,"&gt;="&amp;Finance!G$3)/12)),F12),IF(YEAR(G$3)=YEAR(Headcount!$P$4),IF((G$5=2),((SUMIFS(Headcount!$P$6:$P$89,Headcount!$F$6:$F$89,"Finance",Headcount!$H$6:$H$89,"&gt;="&amp;Finance!G$3)/12)),F12),IF(YEAR(G$3)=YEAR(Headcount!$Q$4),IF((G$5=2),((SUMIFS(Headcount!$Q$6:$Q$89,Headcount!$F$6:$F$89,"Finance",Headcount!$H$6:$H$89,"&gt;="&amp;Finance!G$3)/12)),F12),IF(YEAR(G$3)=YEAR(Headcount!$R$4),IF((G$5=2),((SUMIFS(Headcount!$R$6:$R$89,Headcount!$F$6:$F$89,"Finance",Headcount!$H$6:$H$89,"&gt;="&amp;Finance!G$3)/12)),F12),"New Year"))))),'Dept. Cost Actuals'!K656-'Dept. Cost Actuals'!K646)</f>
        <v>6607.6548645223238</v>
      </c>
      <c r="H12" s="806">
        <f>IF(H$4="forecast",IF(YEAR(H$3)=YEAR(Headcount!$N$4),((SUMIFS(Headcount!$N$6:$N$89,Headcount!$F$6:$F$89,"Finance",Headcount!$H$6:$H$89,"&gt;="&amp;Finance!H$3)/12)),IF(YEAR(H$3)=YEAR(Headcount!$O$4),IF((H$5=2),((SUMIFS(Headcount!$O$6:$O$89,Headcount!$F$6:$F$89,"Finance",Headcount!$H$6:$H$89,"&gt;="&amp;Finance!H$3)/12)),G12),IF(YEAR(H$3)=YEAR(Headcount!$P$4),IF((H$5=2),((SUMIFS(Headcount!$P$6:$P$89,Headcount!$F$6:$F$89,"Finance",Headcount!$H$6:$H$89,"&gt;="&amp;Finance!H$3)/12)),G12),IF(YEAR(H$3)=YEAR(Headcount!$Q$4),IF((H$5=2),((SUMIFS(Headcount!$Q$6:$Q$89,Headcount!$F$6:$F$89,"Finance",Headcount!$H$6:$H$89,"&gt;="&amp;Finance!H$3)/12)),G12),IF(YEAR(H$3)=YEAR(Headcount!$R$4),IF((H$5=2),((SUMIFS(Headcount!$R$6:$R$89,Headcount!$F$6:$F$89,"Finance",Headcount!$H$6:$H$89,"&gt;="&amp;Finance!H$3)/12)),G12),"New Year"))))),'Dept. Cost Actuals'!L656-'Dept. Cost Actuals'!L646)</f>
        <v>10172.674014432794</v>
      </c>
      <c r="I12" s="806">
        <f>IF(I$4="forecast",IF(YEAR(I$3)=YEAR(Headcount!$N$4),((SUMIFS(Headcount!$N$6:$N$89,Headcount!$F$6:$F$89,"Finance",Headcount!$H$6:$H$89,"&gt;="&amp;Finance!I$3)/12)),IF(YEAR(I$3)=YEAR(Headcount!$O$4),IF((I$5=2),((SUMIFS(Headcount!$O$6:$O$89,Headcount!$F$6:$F$89,"Finance",Headcount!$H$6:$H$89,"&gt;="&amp;Finance!I$3)/12)),H12),IF(YEAR(I$3)=YEAR(Headcount!$P$4),IF((I$5=2),((SUMIFS(Headcount!$P$6:$P$89,Headcount!$F$6:$F$89,"Finance",Headcount!$H$6:$H$89,"&gt;="&amp;Finance!I$3)/12)),H12),IF(YEAR(I$3)=YEAR(Headcount!$Q$4),IF((I$5=2),((SUMIFS(Headcount!$Q$6:$Q$89,Headcount!$F$6:$F$89,"Finance",Headcount!$H$6:$H$89,"&gt;="&amp;Finance!I$3)/12)),H12),IF(YEAR(I$3)=YEAR(Headcount!$R$4),IF((I$5=2),((SUMIFS(Headcount!$R$6:$R$89,Headcount!$F$6:$F$89,"Finance",Headcount!$H$6:$H$89,"&gt;="&amp;Finance!I$3)/12)),H12),"New Year"))))),'Dept. Cost Actuals'!M656-'Dept. Cost Actuals'!M646)</f>
        <v>9218.6648696523371</v>
      </c>
      <c r="J12" s="806">
        <f>IF(J$4="forecast",IF(YEAR(J$3)=YEAR(Headcount!$N$4),((SUMIFS(Headcount!$N$6:$N$89,Headcount!$F$6:$F$89,"Finance",Headcount!$H$6:$H$89,"&gt;="&amp;Finance!J$3)/12)),IF(YEAR(J$3)=YEAR(Headcount!$O$4),IF((J$5=2),((SUMIFS(Headcount!$O$6:$O$89,Headcount!$F$6:$F$89,"Finance",Headcount!$H$6:$H$89,"&gt;="&amp;Finance!J$3)/12)),I12),IF(YEAR(J$3)=YEAR(Headcount!$P$4),IF((J$5=2),((SUMIFS(Headcount!$P$6:$P$89,Headcount!$F$6:$F$89,"Finance",Headcount!$H$6:$H$89,"&gt;="&amp;Finance!J$3)/12)),I12),IF(YEAR(J$3)=YEAR(Headcount!$Q$4),IF((J$5=2),((SUMIFS(Headcount!$Q$6:$Q$89,Headcount!$F$6:$F$89,"Finance",Headcount!$H$6:$H$89,"&gt;="&amp;Finance!J$3)/12)),I12),IF(YEAR(J$3)=YEAR(Headcount!$R$4),IF((J$5=2),((SUMIFS(Headcount!$R$6:$R$89,Headcount!$F$6:$F$89,"Finance",Headcount!$H$6:$H$89,"&gt;="&amp;Finance!J$3)/12)),I12),"New Year"))))),'Dept. Cost Actuals'!N656-'Dept. Cost Actuals'!N646)</f>
        <v>11507.85498386608</v>
      </c>
      <c r="K12" s="806">
        <f>IF(K$4="forecast",IF(YEAR(K$3)=YEAR(Headcount!$N$4),((SUMIFS(Headcount!$N$6:$N$89,Headcount!$F$6:$F$89,"Finance",Headcount!$H$6:$H$89,"&gt;="&amp;Finance!K$3)/12)),IF(YEAR(K$3)=YEAR(Headcount!$O$4),IF((K$5=2),((SUMIFS(Headcount!$O$6:$O$89,Headcount!$F$6:$F$89,"Finance",Headcount!$H$6:$H$89,"&gt;="&amp;Finance!K$3)/12)),J12),IF(YEAR(K$3)=YEAR(Headcount!$P$4),IF((K$5=2),((SUMIFS(Headcount!$P$6:$P$89,Headcount!$F$6:$F$89,"Finance",Headcount!$H$6:$H$89,"&gt;="&amp;Finance!K$3)/12)),J12),IF(YEAR(K$3)=YEAR(Headcount!$Q$4),IF((K$5=2),((SUMIFS(Headcount!$Q$6:$Q$89,Headcount!$F$6:$F$89,"Finance",Headcount!$H$6:$H$89,"&gt;="&amp;Finance!K$3)/12)),J12),IF(YEAR(K$3)=YEAR(Headcount!$R$4),IF((K$5=2),((SUMIFS(Headcount!$R$6:$R$89,Headcount!$F$6:$F$89,"Finance",Headcount!$H$6:$H$89,"&gt;="&amp;Finance!K$3)/12)),J12),"New Year"))))),'Dept. Cost Actuals'!O656-'Dept. Cost Actuals'!O646)</f>
        <v>9414.4400417115248</v>
      </c>
      <c r="L12" s="806">
        <f>IF(L$4="forecast",IF(YEAR(L$3)=YEAR(Headcount!$N$4),((SUMIFS(Headcount!$N$6:$N$89,Headcount!$F$6:$F$89,"Finance",Headcount!$H$6:$H$89,"&gt;="&amp;Finance!L$3)/12)),IF(YEAR(L$3)=YEAR(Headcount!$O$4),IF((L$5=2),((SUMIFS(Headcount!$O$6:$O$89,Headcount!$F$6:$F$89,"Finance",Headcount!$H$6:$H$89,"&gt;="&amp;Finance!L$3)/12)),K12),IF(YEAR(L$3)=YEAR(Headcount!$P$4),IF((L$5=2),((SUMIFS(Headcount!$P$6:$P$89,Headcount!$F$6:$F$89,"Finance",Headcount!$H$6:$H$89,"&gt;="&amp;Finance!L$3)/12)),K12),IF(YEAR(L$3)=YEAR(Headcount!$Q$4),IF((L$5=2),((SUMIFS(Headcount!$Q$6:$Q$89,Headcount!$F$6:$F$89,"Finance",Headcount!$H$6:$H$89,"&gt;="&amp;Finance!L$3)/12)),K12),IF(YEAR(L$3)=YEAR(Headcount!$R$4),IF((L$5=2),((SUMIFS(Headcount!$R$6:$R$89,Headcount!$F$6:$F$89,"Finance",Headcount!$H$6:$H$89,"&gt;="&amp;Finance!L$3)/12)),K12),"New Year"))))),'Dept. Cost Actuals'!P656-'Dept. Cost Actuals'!P646)</f>
        <v>10447.904561516651</v>
      </c>
      <c r="M12" s="806">
        <f>IF(M$4="forecast",IF(YEAR(M$3)=YEAR(Headcount!$N$4),((SUMIFS(Headcount!$N$6:$N$89,Headcount!$F$6:$F$89,"Finance",Headcount!$H$6:$H$89,"&gt;="&amp;Finance!M$3)/12)),IF(YEAR(M$3)=YEAR(Headcount!$O$4),IF((M$5=2),((SUMIFS(Headcount!$O$6:$O$89,Headcount!$F$6:$F$89,"Finance",Headcount!$H$6:$H$89,"&gt;="&amp;Finance!M$3)/12)),L12),IF(YEAR(M$3)=YEAR(Headcount!$P$4),IF((M$5=2),((SUMIFS(Headcount!$P$6:$P$89,Headcount!$F$6:$F$89,"Finance",Headcount!$H$6:$H$89,"&gt;="&amp;Finance!M$3)/12)),L12),IF(YEAR(M$3)=YEAR(Headcount!$Q$4),IF((M$5=2),((SUMIFS(Headcount!$Q$6:$Q$89,Headcount!$F$6:$F$89,"Finance",Headcount!$H$6:$H$89,"&gt;="&amp;Finance!M$3)/12)),L12),IF(YEAR(M$3)=YEAR(Headcount!$R$4),IF((M$5=2),((SUMIFS(Headcount!$R$6:$R$89,Headcount!$F$6:$F$89,"Finance",Headcount!$H$6:$H$89,"&gt;="&amp;Finance!M$3)/12)),L12),"New Year"))))),'Dept. Cost Actuals'!Q656-'Dept. Cost Actuals'!Q646)</f>
        <v>14486.431255502628</v>
      </c>
      <c r="N12" s="806">
        <f>IF(N$4="forecast",IF(YEAR(N$3)=YEAR(Headcount!$N$4),((SUMIFS(Headcount!$N$6:$N$89,Headcount!$F$6:$F$89,"Finance",Headcount!$H$6:$H$89,"&gt;="&amp;Finance!N$3)/12)),IF(YEAR(N$3)=YEAR(Headcount!$O$4),IF((N$5=2),((SUMIFS(Headcount!$O$6:$O$89,Headcount!$F$6:$F$89,"Finance",Headcount!$H$6:$H$89,"&gt;="&amp;Finance!N$3)/12)),M12),IF(YEAR(N$3)=YEAR(Headcount!$P$4),IF((N$5=2),((SUMIFS(Headcount!$P$6:$P$89,Headcount!$F$6:$F$89,"Finance",Headcount!$H$6:$H$89,"&gt;="&amp;Finance!N$3)/12)),M12),IF(YEAR(N$3)=YEAR(Headcount!$Q$4),IF((N$5=2),((SUMIFS(Headcount!$Q$6:$Q$89,Headcount!$F$6:$F$89,"Finance",Headcount!$H$6:$H$89,"&gt;="&amp;Finance!N$3)/12)),M12),IF(YEAR(N$3)=YEAR(Headcount!$R$4),IF((N$5=2),((SUMIFS(Headcount!$R$6:$R$89,Headcount!$F$6:$F$89,"Finance",Headcount!$H$6:$H$89,"&gt;="&amp;Finance!N$3)/12)),M12),"New Year"))))),'Dept. Cost Actuals'!R656-'Dept. Cost Actuals'!R646)</f>
        <v>11972.187175655527</v>
      </c>
      <c r="O12" s="806">
        <f>IF(O$4="forecast",IF(YEAR(O$3)=YEAR(Headcount!$N$4),((SUMIFS(Headcount!$N$6:$N$89,Headcount!$F$6:$F$89,"Finance",Headcount!$H$6:$H$89,"&gt;="&amp;Finance!O$3)/12)),IF(YEAR(O$3)=YEAR(Headcount!$O$4),IF((O$5=2),((SUMIFS(Headcount!$O$6:$O$89,Headcount!$F$6:$F$89,"Finance",Headcount!$H$6:$H$89,"&gt;="&amp;Finance!O$3)/12)),N12),IF(YEAR(O$3)=YEAR(Headcount!$P$4),IF((O$5=2),((SUMIFS(Headcount!$P$6:$P$89,Headcount!$F$6:$F$89,"Finance",Headcount!$H$6:$H$89,"&gt;="&amp;Finance!O$3)/12)),N12),IF(YEAR(O$3)=YEAR(Headcount!$Q$4),IF((O$5=2),((SUMIFS(Headcount!$Q$6:$Q$89,Headcount!$F$6:$F$89,"Finance",Headcount!$H$6:$H$89,"&gt;="&amp;Finance!O$3)/12)),N12),IF(YEAR(O$3)=YEAR(Headcount!$R$4),IF((O$5=2),((SUMIFS(Headcount!$R$6:$R$89,Headcount!$F$6:$F$89,"Finance",Headcount!$H$6:$H$89,"&gt;="&amp;Finance!O$3)/12)),N12),"New Year"))))),'Dept. Cost Actuals'!S656-'Dept. Cost Actuals'!S646)</f>
        <v>6629.41</v>
      </c>
      <c r="P12" s="806">
        <f>IF(P$4="forecast",IF(YEAR(P$3)=YEAR(Headcount!$N$4),((SUMIFS(Headcount!$N$6:$N$89,Headcount!$F$6:$F$89,"Finance",Headcount!$H$6:$H$89,"&gt;="&amp;Finance!P$3)/12)),IF(YEAR(P$3)=YEAR(Headcount!$O$4),IF((P$5=2),((SUMIFS(Headcount!$O$6:$O$89,Headcount!$F$6:$F$89,"Finance",Headcount!$H$6:$H$89,"&gt;="&amp;Finance!P$3)/12)),O12),IF(YEAR(P$3)=YEAR(Headcount!$P$4),IF((P$5=2),((SUMIFS(Headcount!$P$6:$P$89,Headcount!$F$6:$F$89,"Finance",Headcount!$H$6:$H$89,"&gt;="&amp;Finance!P$3)/12)),O12),IF(YEAR(P$3)=YEAR(Headcount!$Q$4),IF((P$5=2),((SUMIFS(Headcount!$Q$6:$Q$89,Headcount!$F$6:$F$89,"Finance",Headcount!$H$6:$H$89,"&gt;="&amp;Finance!P$3)/12)),O12),IF(YEAR(P$3)=YEAR(Headcount!$R$4),IF((P$5=2),((SUMIFS(Headcount!$R$6:$R$89,Headcount!$F$6:$F$89,"Finance",Headcount!$H$6:$H$89,"&gt;="&amp;Finance!P$3)/12)),O12),"New Year"))))),'Dept. Cost Actuals'!T656-'Dept. Cost Actuals'!T646)</f>
        <v>4529.8799999999992</v>
      </c>
      <c r="Q12" s="806">
        <f>IF(Q$4="forecast",IF(YEAR(Q$3)=YEAR(Headcount!$N$4),((SUMIFS(Headcount!$N$6:$N$89,Headcount!$F$6:$F$89,"Finance",Headcount!$H$6:$H$89,"&gt;="&amp;Finance!Q$3)/12)),IF(YEAR(Q$3)=YEAR(Headcount!$O$4),IF((Q$5=2),((SUMIFS(Headcount!$O$6:$O$89,Headcount!$F$6:$F$89,"Finance",Headcount!$H$6:$H$89,"&gt;="&amp;Finance!Q$3)/12)),P12),IF(YEAR(Q$3)=YEAR(Headcount!$P$4),IF((Q$5=2),((SUMIFS(Headcount!$P$6:$P$89,Headcount!$F$6:$F$89,"Finance",Headcount!$H$6:$H$89,"&gt;="&amp;Finance!Q$3)/12)),P12),IF(YEAR(Q$3)=YEAR(Headcount!$Q$4),IF((Q$5=2),((SUMIFS(Headcount!$Q$6:$Q$89,Headcount!$F$6:$F$89,"Finance",Headcount!$H$6:$H$89,"&gt;="&amp;Finance!Q$3)/12)),P12),IF(YEAR(Q$3)=YEAR(Headcount!$R$4),IF((Q$5=2),((SUMIFS(Headcount!$R$6:$R$89,Headcount!$F$6:$F$89,"Finance",Headcount!$H$6:$H$89,"&gt;="&amp;Finance!Q$3)/12)),P12),"New Year"))))),'Dept. Cost Actuals'!U656-'Dept. Cost Actuals'!U646)</f>
        <v>6731.4600000000009</v>
      </c>
      <c r="R12" s="806">
        <f>IF(R$4="forecast",IF(YEAR(R$3)=YEAR(Headcount!$N$4),((SUMIFS(Headcount!$N$6:$N$89,Headcount!$F$6:$F$89,"Finance",Headcount!$H$6:$H$89,"&gt;="&amp;Finance!R$3)/12)),IF(YEAR(R$3)=YEAR(Headcount!$O$4),IF((R$5=2),((SUMIFS(Headcount!$O$6:$O$89,Headcount!$F$6:$F$89,"Finance",Headcount!$H$6:$H$89,"&gt;="&amp;Finance!R$3)/12)),Q12),IF(YEAR(R$3)=YEAR(Headcount!$P$4),IF((R$5=2),((SUMIFS(Headcount!$P$6:$P$89,Headcount!$F$6:$F$89,"Finance",Headcount!$H$6:$H$89,"&gt;="&amp;Finance!R$3)/12)),Q12),IF(YEAR(R$3)=YEAR(Headcount!$Q$4),IF((R$5=2),((SUMIFS(Headcount!$Q$6:$Q$89,Headcount!$F$6:$F$89,"Finance",Headcount!$H$6:$H$89,"&gt;="&amp;Finance!R$3)/12)),Q12),IF(YEAR(R$3)=YEAR(Headcount!$R$4),IF((R$5=2),((SUMIFS(Headcount!$R$6:$R$89,Headcount!$F$6:$F$89,"Finance",Headcount!$H$6:$H$89,"&gt;="&amp;Finance!R$3)/12)),Q12),"New Year"))))),'Dept. Cost Actuals'!V656-'Dept. Cost Actuals'!V646)</f>
        <v>4175.880000000001</v>
      </c>
      <c r="S12" s="806">
        <f>IF(S$4="forecast",IF(YEAR(S$3)=YEAR(Headcount!$N$4),((SUMIFS(Headcount!$N$6:$N$89,Headcount!$F$6:$F$89,"Finance",Headcount!$H$6:$H$89,"&gt;="&amp;Finance!S$3)/12)),IF(YEAR(S$3)=YEAR(Headcount!$O$4),IF((S$5=2),((SUMIFS(Headcount!$O$6:$O$89,Headcount!$F$6:$F$89,"Finance",Headcount!$H$6:$H$89,"&gt;="&amp;Finance!S$3)/12)),R12),IF(YEAR(S$3)=YEAR(Headcount!$P$4),IF((S$5=2),((SUMIFS(Headcount!$P$6:$P$89,Headcount!$F$6:$F$89,"Finance",Headcount!$H$6:$H$89,"&gt;="&amp;Finance!S$3)/12)),R12),IF(YEAR(S$3)=YEAR(Headcount!$Q$4),IF((S$5=2),((SUMIFS(Headcount!$Q$6:$Q$89,Headcount!$F$6:$F$89,"Finance",Headcount!$H$6:$H$89,"&gt;="&amp;Finance!S$3)/12)),R12),IF(YEAR(S$3)=YEAR(Headcount!$R$4),IF((S$5=2),((SUMIFS(Headcount!$R$6:$R$89,Headcount!$F$6:$F$89,"Finance",Headcount!$H$6:$H$89,"&gt;="&amp;Finance!S$3)/12)),R12),"New Year"))))),'Dept. Cost Actuals'!W656-'Dept. Cost Actuals'!W646)</f>
        <v>14283.83</v>
      </c>
      <c r="T12" s="806">
        <f>IF(T$4="forecast",IF(YEAR(T$3)=YEAR(Headcount!$N$4),((SUMIFS(Headcount!$N$6:$N$89,Headcount!$F$6:$F$89,"Finance",Headcount!$H$6:$H$89,"&gt;="&amp;Finance!T$3)/12)),IF(YEAR(T$3)=YEAR(Headcount!$O$4),IF((T$5=2),((SUMIFS(Headcount!$O$6:$O$89,Headcount!$F$6:$F$89,"Finance",Headcount!$H$6:$H$89,"&gt;="&amp;Finance!T$3)/12)),S12),IF(YEAR(T$3)=YEAR(Headcount!$P$4),IF((T$5=2),((SUMIFS(Headcount!$P$6:$P$89,Headcount!$F$6:$F$89,"Finance",Headcount!$H$6:$H$89,"&gt;="&amp;Finance!T$3)/12)),S12),IF(YEAR(T$3)=YEAR(Headcount!$Q$4),IF((T$5=2),((SUMIFS(Headcount!$Q$6:$Q$89,Headcount!$F$6:$F$89,"Finance",Headcount!$H$6:$H$89,"&gt;="&amp;Finance!T$3)/12)),S12),IF(YEAR(T$3)=YEAR(Headcount!$R$4),IF((T$5=2),((SUMIFS(Headcount!$R$6:$R$89,Headcount!$F$6:$F$89,"Finance",Headcount!$H$6:$H$89,"&gt;="&amp;Finance!T$3)/12)),S12),"New Year"))))),'Dept. Cost Actuals'!X656-'Dept. Cost Actuals'!X646)</f>
        <v>14654.87</v>
      </c>
      <c r="U12" s="806">
        <f>IF(U$4="forecast",IF(YEAR(U$3)=YEAR(Headcount!$N$4),((SUMIFS(Headcount!$N$6:$N$89,Headcount!$F$6:$F$89,"Finance",Headcount!$H$6:$H$89,"&gt;="&amp;Finance!U$3)/12)),IF(YEAR(U$3)=YEAR(Headcount!$O$4),IF((U$5=2),((SUMIFS(Headcount!$O$6:$O$89,Headcount!$F$6:$F$89,"Finance",Headcount!$H$6:$H$89,"&gt;="&amp;Finance!U$3)/12)),T12),IF(YEAR(U$3)=YEAR(Headcount!$P$4),IF((U$5=2),((SUMIFS(Headcount!$P$6:$P$89,Headcount!$F$6:$F$89,"Finance",Headcount!$H$6:$H$89,"&gt;="&amp;Finance!U$3)/12)),T12),IF(YEAR(U$3)=YEAR(Headcount!$Q$4),IF((U$5=2),((SUMIFS(Headcount!$Q$6:$Q$89,Headcount!$F$6:$F$89,"Finance",Headcount!$H$6:$H$89,"&gt;="&amp;Finance!U$3)/12)),T12),IF(YEAR(U$3)=YEAR(Headcount!$R$4),IF((U$5=2),((SUMIFS(Headcount!$R$6:$R$89,Headcount!$F$6:$F$89,"Finance",Headcount!$H$6:$H$89,"&gt;="&amp;Finance!U$3)/12)),T12),"New Year"))))),'Dept. Cost Actuals'!Y656-'Dept. Cost Actuals'!Y646)</f>
        <v>16741.059999999998</v>
      </c>
      <c r="V12" s="806">
        <f>IF(V$4="forecast",IF(YEAR(V$3)=YEAR(Headcount!$N$4),((SUMIFS(Headcount!$N$6:$N$89,Headcount!$F$6:$F$89,"Finance",Headcount!$H$6:$H$89,"&gt;="&amp;Finance!V$3)/12)),IF(YEAR(V$3)=YEAR(Headcount!$O$4),IF((V$5=2),((SUMIFS(Headcount!$O$6:$O$89,Headcount!$F$6:$F$89,"Finance",Headcount!$H$6:$H$89,"&gt;="&amp;Finance!V$3)/12)),U12),IF(YEAR(V$3)=YEAR(Headcount!$P$4),IF((V$5=2),((SUMIFS(Headcount!$P$6:$P$89,Headcount!$F$6:$F$89,"Finance",Headcount!$H$6:$H$89,"&gt;="&amp;Finance!V$3)/12)),U12),IF(YEAR(V$3)=YEAR(Headcount!$Q$4),IF((V$5=2),((SUMIFS(Headcount!$Q$6:$Q$89,Headcount!$F$6:$F$89,"Finance",Headcount!$H$6:$H$89,"&gt;="&amp;Finance!V$3)/12)),U12),IF(YEAR(V$3)=YEAR(Headcount!$R$4),IF((V$5=2),((SUMIFS(Headcount!$R$6:$R$89,Headcount!$F$6:$F$89,"Finance",Headcount!$H$6:$H$89,"&gt;="&amp;Finance!V$3)/12)),U12),"New Year"))))),'Dept. Cost Actuals'!Z656-'Dept. Cost Actuals'!Z646)</f>
        <v>22829.75</v>
      </c>
      <c r="W12" s="806">
        <f>IF(W$4="forecast",IF(YEAR(W$3)=YEAR(Headcount!$N$4),((SUMIFS(Headcount!$N$6:$N$89,Headcount!$F$6:$F$89,"Finance",Headcount!$H$6:$H$89,"&gt;="&amp;Finance!W$3)/12)),IF(YEAR(W$3)=YEAR(Headcount!$O$4),IF((W$5=2),((SUMIFS(Headcount!$O$6:$O$89,Headcount!$F$6:$F$89,"Finance",Headcount!$H$6:$H$89,"&gt;="&amp;Finance!W$3)/12)),V12),IF(YEAR(W$3)=YEAR(Headcount!$P$4),IF((W$5=2),((SUMIFS(Headcount!$P$6:$P$89,Headcount!$F$6:$F$89,"Finance",Headcount!$H$6:$H$89,"&gt;="&amp;Finance!W$3)/12)),V12),IF(YEAR(W$3)=YEAR(Headcount!$Q$4),IF((W$5=2),((SUMIFS(Headcount!$Q$6:$Q$89,Headcount!$F$6:$F$89,"Finance",Headcount!$H$6:$H$89,"&gt;="&amp;Finance!W$3)/12)),V12),IF(YEAR(W$3)=YEAR(Headcount!$R$4),IF((W$5=2),((SUMIFS(Headcount!$R$6:$R$89,Headcount!$F$6:$F$89,"Finance",Headcount!$H$6:$H$89,"&gt;="&amp;Finance!W$3)/12)),V12),"New Year"))))),'Dept. Cost Actuals'!AA656-'Dept. Cost Actuals'!AA646)</f>
        <v>25735.260000000002</v>
      </c>
      <c r="X12" s="806">
        <f>IF(X$4="forecast",IF(YEAR(X$3)=YEAR(Headcount!$N$4),((SUMIFS(Headcount!$N$6:$N$89,Headcount!$F$6:$F$89,"Finance",Headcount!$H$6:$H$89,"&gt;="&amp;Finance!X$3)/12)),IF(YEAR(X$3)=YEAR(Headcount!$O$4),IF((X$5=2),((SUMIFS(Headcount!$O$6:$O$89,Headcount!$F$6:$F$89,"Finance",Headcount!$H$6:$H$89,"&gt;="&amp;Finance!X$3)/12)),W12),IF(YEAR(X$3)=YEAR(Headcount!$P$4),IF((X$5=2),((SUMIFS(Headcount!$P$6:$P$89,Headcount!$F$6:$F$89,"Finance",Headcount!$H$6:$H$89,"&gt;="&amp;Finance!X$3)/12)),W12),IF(YEAR(X$3)=YEAR(Headcount!$Q$4),IF((X$5=2),((SUMIFS(Headcount!$Q$6:$Q$89,Headcount!$F$6:$F$89,"Finance",Headcount!$H$6:$H$89,"&gt;="&amp;Finance!X$3)/12)),W12),IF(YEAR(X$3)=YEAR(Headcount!$R$4),IF((X$5=2),((SUMIFS(Headcount!$R$6:$R$89,Headcount!$F$6:$F$89,"Finance",Headcount!$H$6:$H$89,"&gt;="&amp;Finance!X$3)/12)),W12),"New Year"))))),'Dept. Cost Actuals'!AB656-'Dept. Cost Actuals'!AB646)</f>
        <v>26570.14</v>
      </c>
      <c r="Y12" s="806">
        <f>IF(Y$4="forecast",IF(YEAR(Y$3)=YEAR(Headcount!$N$4),((SUMIFS(Headcount!$N$6:$N$89,Headcount!$F$6:$F$89,"Finance",Headcount!$H$6:$H$89,"&gt;="&amp;Finance!Y$3)/12)),IF(YEAR(Y$3)=YEAR(Headcount!$O$4),IF((Y$5=2),((SUMIFS(Headcount!$O$6:$O$89,Headcount!$F$6:$F$89,"Finance",Headcount!$H$6:$H$89,"&gt;="&amp;Finance!Y$3)/12)),X12),IF(YEAR(Y$3)=YEAR(Headcount!$P$4),IF((Y$5=2),((SUMIFS(Headcount!$P$6:$P$89,Headcount!$F$6:$F$89,"Finance",Headcount!$H$6:$H$89,"&gt;="&amp;Finance!Y$3)/12)),X12),IF(YEAR(Y$3)=YEAR(Headcount!$Q$4),IF((Y$5=2),((SUMIFS(Headcount!$Q$6:$Q$89,Headcount!$F$6:$F$89,"Finance",Headcount!$H$6:$H$89,"&gt;="&amp;Finance!Y$3)/12)),X12),IF(YEAR(Y$3)=YEAR(Headcount!$R$4),IF((Y$5=2),((SUMIFS(Headcount!$R$6:$R$89,Headcount!$F$6:$F$89,"Finance",Headcount!$H$6:$H$89,"&gt;="&amp;Finance!Y$3)/12)),X12),"New Year"))))),'Dept. Cost Actuals'!AC656-'Dept. Cost Actuals'!AC646)</f>
        <v>26907.800000000003</v>
      </c>
      <c r="Z12" s="806">
        <f>IF(Z$4="forecast",IF(YEAR(Z$3)=YEAR(Headcount!$N$4),((SUMIFS(Headcount!$N$6:$N$89,Headcount!$F$6:$F$89,"Finance",Headcount!$H$6:$H$89,"&gt;="&amp;Finance!Z$3)/12)),IF(YEAR(Z$3)=YEAR(Headcount!$O$4),IF((Z$5=2),((SUMIFS(Headcount!$O$6:$O$89,Headcount!$F$6:$F$89,"Finance",Headcount!$H$6:$H$89,"&gt;="&amp;Finance!Z$3)/12)),Y12),IF(YEAR(Z$3)=YEAR(Headcount!$P$4),IF((Z$5=2),((SUMIFS(Headcount!$P$6:$P$89,Headcount!$F$6:$F$89,"Finance",Headcount!$H$6:$H$89,"&gt;="&amp;Finance!Z$3)/12)),Y12),IF(YEAR(Z$3)=YEAR(Headcount!$Q$4),IF((Z$5=2),((SUMIFS(Headcount!$Q$6:$Q$89,Headcount!$F$6:$F$89,"Finance",Headcount!$H$6:$H$89,"&gt;="&amp;Finance!Z$3)/12)),Y12),IF(YEAR(Z$3)=YEAR(Headcount!$R$4),IF((Z$5=2),((SUMIFS(Headcount!$R$6:$R$89,Headcount!$F$6:$F$89,"Finance",Headcount!$H$6:$H$89,"&gt;="&amp;Finance!Z$3)/12)),Y12),"New Year"))))),'Dept. Cost Actuals'!AD656-'Dept. Cost Actuals'!AD646)</f>
        <v>26206.489999999998</v>
      </c>
      <c r="AA12" s="806">
        <f>IF(AA$4="forecast",IF(YEAR(AA$3)=YEAR(Headcount!$N$4),((SUMIFS(Headcount!$N$6:$N$89,Headcount!$F$6:$F$89,"Finance",Headcount!$H$6:$H$89,"&gt;="&amp;Finance!AA$3)/12)),IF(YEAR(AA$3)=YEAR(Headcount!$O$4),IF((AA$5=2),((SUMIFS(Headcount!$O$6:$O$89,Headcount!$F$6:$F$89,"Finance",Headcount!$H$6:$H$89,"&gt;="&amp;Finance!AA$3)/12)),Z12),IF(YEAR(AA$3)=YEAR(Headcount!$P$4),IF((AA$5=2),((SUMIFS(Headcount!$P$6:$P$89,Headcount!$F$6:$F$89,"Finance",Headcount!$H$6:$H$89,"&gt;="&amp;Finance!AA$3)/12)),Z12),IF(YEAR(AA$3)=YEAR(Headcount!$Q$4),IF((AA$5=2),((SUMIFS(Headcount!$Q$6:$Q$89,Headcount!$F$6:$F$89,"Finance",Headcount!$H$6:$H$89,"&gt;="&amp;Finance!AA$3)/12)),Z12),IF(YEAR(AA$3)=YEAR(Headcount!$R$4),IF((AA$5=2),((SUMIFS(Headcount!$R$6:$R$89,Headcount!$F$6:$F$89,"Finance",Headcount!$H$6:$H$89,"&gt;="&amp;Finance!AA$3)/12)),Z12),"New Year"))))),'Dept. Cost Actuals'!AE656-'Dept. Cost Actuals'!AE646)</f>
        <v>26206.489999999998</v>
      </c>
      <c r="AB12" s="806">
        <f>IF(AB$4="forecast",IF(YEAR(AB$3)=YEAR(Headcount!$N$4),((SUMIFS(Headcount!$N$6:$N$89,Headcount!$F$6:$F$89,"Finance",Headcount!$H$6:$H$89,"&gt;="&amp;Finance!AB$3)/12)),IF(YEAR(AB$3)=YEAR(Headcount!$O$4),IF((AB$5=2),((SUMIFS(Headcount!$O$6:$O$89,Headcount!$F$6:$F$89,"Finance",Headcount!$H$6:$H$89,"&gt;="&amp;Finance!AB$3)/12)),AA12),IF(YEAR(AB$3)=YEAR(Headcount!$P$4),IF((AB$5=2),((SUMIFS(Headcount!$P$6:$P$89,Headcount!$F$6:$F$89,"Finance",Headcount!$H$6:$H$89,"&gt;="&amp;Finance!AB$3)/12)),AA12),IF(YEAR(AB$3)=YEAR(Headcount!$Q$4),IF((AB$5=2),((SUMIFS(Headcount!$Q$6:$Q$89,Headcount!$F$6:$F$89,"Finance",Headcount!$H$6:$H$89,"&gt;="&amp;Finance!AB$3)/12)),AA12),IF(YEAR(AB$3)=YEAR(Headcount!$R$4),IF((AB$5=2),((SUMIFS(Headcount!$R$6:$R$89,Headcount!$F$6:$F$89,"Finance",Headcount!$H$6:$H$89,"&gt;="&amp;Finance!AB$3)/12)),AA12),"New Year"))))),'Dept. Cost Actuals'!AF656-'Dept. Cost Actuals'!AF646)</f>
        <v>30470.833333333332</v>
      </c>
      <c r="AC12" s="806">
        <f>IF(AC$4="forecast",IF(YEAR(AC$3)=YEAR(Headcount!$N$4),((SUMIFS(Headcount!$N$6:$N$89,Headcount!$F$6:$F$89,"Finance",Headcount!$H$6:$H$89,"&gt;="&amp;Finance!AC$3)/12)),IF(YEAR(AC$3)=YEAR(Headcount!$O$4),IF((AC$5=2),((SUMIFS(Headcount!$O$6:$O$89,Headcount!$F$6:$F$89,"Finance",Headcount!$H$6:$H$89,"&gt;="&amp;Finance!AC$3)/12)),AB12),IF(YEAR(AC$3)=YEAR(Headcount!$P$4),IF((AC$5=2),((SUMIFS(Headcount!$P$6:$P$89,Headcount!$F$6:$F$89,"Finance",Headcount!$H$6:$H$89,"&gt;="&amp;Finance!AC$3)/12)),AB12),IF(YEAR(AC$3)=YEAR(Headcount!$Q$4),IF((AC$5=2),((SUMIFS(Headcount!$Q$6:$Q$89,Headcount!$F$6:$F$89,"Finance",Headcount!$H$6:$H$89,"&gt;="&amp;Finance!AC$3)/12)),AB12),IF(YEAR(AC$3)=YEAR(Headcount!$R$4),IF((AC$5=2),((SUMIFS(Headcount!$R$6:$R$89,Headcount!$F$6:$F$89,"Finance",Headcount!$H$6:$H$89,"&gt;="&amp;Finance!AC$3)/12)),AB12),"New Year"))))),'Dept. Cost Actuals'!AG656-'Dept. Cost Actuals'!AG646)</f>
        <v>30470.833333333332</v>
      </c>
      <c r="AD12" s="806">
        <f>IF(AD$4="forecast",IF(YEAR(AD$3)=YEAR(Headcount!$N$4),((SUMIFS(Headcount!$N$6:$N$89,Headcount!$F$6:$F$89,"Finance",Headcount!$H$6:$H$89,"&gt;="&amp;Finance!AD$3)/12)),IF(YEAR(AD$3)=YEAR(Headcount!$O$4),IF((AD$5=2),((SUMIFS(Headcount!$O$6:$O$89,Headcount!$F$6:$F$89,"Finance",Headcount!$H$6:$H$89,"&gt;="&amp;Finance!AD$3)/12)),AC12),IF(YEAR(AD$3)=YEAR(Headcount!$P$4),IF((AD$5=2),((SUMIFS(Headcount!$P$6:$P$89,Headcount!$F$6:$F$89,"Finance",Headcount!$H$6:$H$89,"&gt;="&amp;Finance!AD$3)/12)),AC12),IF(YEAR(AD$3)=YEAR(Headcount!$Q$4),IF((AD$5=2),((SUMIFS(Headcount!$Q$6:$Q$89,Headcount!$F$6:$F$89,"Finance",Headcount!$H$6:$H$89,"&gt;="&amp;Finance!AD$3)/12)),AC12),IF(YEAR(AD$3)=YEAR(Headcount!$R$4),IF((AD$5=2),((SUMIFS(Headcount!$R$6:$R$89,Headcount!$F$6:$F$89,"Finance",Headcount!$H$6:$H$89,"&gt;="&amp;Finance!AD$3)/12)),AC12),"New Year"))))),'Dept. Cost Actuals'!AH656-'Dept. Cost Actuals'!AH646)</f>
        <v>30470.833333333332</v>
      </c>
      <c r="AE12" s="806">
        <f>IF(AE$4="forecast",IF(YEAR(AE$3)=YEAR(Headcount!$N$4),((SUMIFS(Headcount!$N$6:$N$89,Headcount!$F$6:$F$89,"Finance",Headcount!$H$6:$H$89,"&gt;="&amp;Finance!AE$3)/12)),IF(YEAR(AE$3)=YEAR(Headcount!$O$4),IF((AE$5=2),((SUMIFS(Headcount!$O$6:$O$89,Headcount!$F$6:$F$89,"Finance",Headcount!$H$6:$H$89,"&gt;="&amp;Finance!AE$3)/12)),AD12),IF(YEAR(AE$3)=YEAR(Headcount!$P$4),IF((AE$5=2),((SUMIFS(Headcount!$P$6:$P$89,Headcount!$F$6:$F$89,"Finance",Headcount!$H$6:$H$89,"&gt;="&amp;Finance!AE$3)/12)),AD12),IF(YEAR(AE$3)=YEAR(Headcount!$Q$4),IF((AE$5=2),((SUMIFS(Headcount!$Q$6:$Q$89,Headcount!$F$6:$F$89,"Finance",Headcount!$H$6:$H$89,"&gt;="&amp;Finance!AE$3)/12)),AD12),IF(YEAR(AE$3)=YEAR(Headcount!$R$4),IF((AE$5=2),((SUMIFS(Headcount!$R$6:$R$89,Headcount!$F$6:$F$89,"Finance",Headcount!$H$6:$H$89,"&gt;="&amp;Finance!AE$3)/12)),AD12),"New Year"))))),'Dept. Cost Actuals'!AI656-'Dept. Cost Actuals'!AI646)</f>
        <v>30470.833333333332</v>
      </c>
      <c r="AF12" s="806">
        <f>IF(AF$4="forecast",IF(YEAR(AF$3)=YEAR(Headcount!$N$4),((SUMIFS(Headcount!$N$6:$N$89,Headcount!$F$6:$F$89,"Finance",Headcount!$H$6:$H$89,"&gt;="&amp;Finance!AF$3)/12)),IF(YEAR(AF$3)=YEAR(Headcount!$O$4),IF((AF$5=2),((SUMIFS(Headcount!$O$6:$O$89,Headcount!$F$6:$F$89,"Finance",Headcount!$H$6:$H$89,"&gt;="&amp;Finance!AF$3)/12)),AE12),IF(YEAR(AF$3)=YEAR(Headcount!$P$4),IF((AF$5=2),((SUMIFS(Headcount!$P$6:$P$89,Headcount!$F$6:$F$89,"Finance",Headcount!$H$6:$H$89,"&gt;="&amp;Finance!AF$3)/12)),AE12),IF(YEAR(AF$3)=YEAR(Headcount!$Q$4),IF((AF$5=2),((SUMIFS(Headcount!$Q$6:$Q$89,Headcount!$F$6:$F$89,"Finance",Headcount!$H$6:$H$89,"&gt;="&amp;Finance!AF$3)/12)),AE12),IF(YEAR(AF$3)=YEAR(Headcount!$R$4),IF((AF$5=2),((SUMIFS(Headcount!$R$6:$R$89,Headcount!$F$6:$F$89,"Finance",Headcount!$H$6:$H$89,"&gt;="&amp;Finance!AF$3)/12)),AE12),"New Year"))))),'Dept. Cost Actuals'!AJ656-'Dept. Cost Actuals'!AJ646)</f>
        <v>30470.833333333332</v>
      </c>
      <c r="AG12" s="806">
        <f>IF(AG$4="forecast",IF(YEAR(AG$3)=YEAR(Headcount!$N$4),((SUMIFS(Headcount!$N$6:$N$89,Headcount!$F$6:$F$89,"Finance",Headcount!$H$6:$H$89,"&gt;="&amp;Finance!AG$3)/12)),IF(YEAR(AG$3)=YEAR(Headcount!$O$4),IF((AG$5=2),((SUMIFS(Headcount!$O$6:$O$89,Headcount!$F$6:$F$89,"Finance",Headcount!$H$6:$H$89,"&gt;="&amp;Finance!AG$3)/12)),AF12),IF(YEAR(AG$3)=YEAR(Headcount!$P$4),IF((AG$5=2),((SUMIFS(Headcount!$P$6:$P$89,Headcount!$F$6:$F$89,"Finance",Headcount!$H$6:$H$89,"&gt;="&amp;Finance!AG$3)/12)),AF12),IF(YEAR(AG$3)=YEAR(Headcount!$Q$4),IF((AG$5=2),((SUMIFS(Headcount!$Q$6:$Q$89,Headcount!$F$6:$F$89,"Finance",Headcount!$H$6:$H$89,"&gt;="&amp;Finance!AG$3)/12)),AF12),IF(YEAR(AG$3)=YEAR(Headcount!$R$4),IF((AG$5=2),((SUMIFS(Headcount!$R$6:$R$89,Headcount!$F$6:$F$89,"Finance",Headcount!$H$6:$H$89,"&gt;="&amp;Finance!AG$3)/12)),AF12),"New Year"))))),'Dept. Cost Actuals'!AK656-'Dept. Cost Actuals'!AK646)</f>
        <v>30470.833333333332</v>
      </c>
      <c r="AH12" s="806">
        <f>IF(AH$4="forecast",IF(YEAR(AH$3)=YEAR(Headcount!$N$4),((SUMIFS(Headcount!$N$6:$N$89,Headcount!$F$6:$F$89,"Finance",Headcount!$H$6:$H$89,"&gt;="&amp;Finance!AH$3)/12)),IF(YEAR(AH$3)=YEAR(Headcount!$O$4),IF((AH$5=2),((SUMIFS(Headcount!$O$6:$O$89,Headcount!$F$6:$F$89,"Finance",Headcount!$H$6:$H$89,"&gt;="&amp;Finance!AH$3)/12)),AG12),IF(YEAR(AH$3)=YEAR(Headcount!$P$4),IF((AH$5=2),((SUMIFS(Headcount!$P$6:$P$89,Headcount!$F$6:$F$89,"Finance",Headcount!$H$6:$H$89,"&gt;="&amp;Finance!AH$3)/12)),AG12),IF(YEAR(AH$3)=YEAR(Headcount!$Q$4),IF((AH$5=2),((SUMIFS(Headcount!$Q$6:$Q$89,Headcount!$F$6:$F$89,"Finance",Headcount!$H$6:$H$89,"&gt;="&amp;Finance!AH$3)/12)),AG12),IF(YEAR(AH$3)=YEAR(Headcount!$R$4),IF((AH$5=2),((SUMIFS(Headcount!$R$6:$R$89,Headcount!$F$6:$F$89,"Finance",Headcount!$H$6:$H$89,"&gt;="&amp;Finance!AH$3)/12)),AG12),"New Year"))))),'Dept. Cost Actuals'!AL656-'Dept. Cost Actuals'!AL646)</f>
        <v>30470.833333333332</v>
      </c>
      <c r="AI12" s="806">
        <f>IF(AI$4="forecast",IF(YEAR(AI$3)=YEAR(Headcount!$N$4),((SUMIFS(Headcount!$N$6:$N$89,Headcount!$F$6:$F$89,"Finance",Headcount!$H$6:$H$89,"&gt;="&amp;Finance!AI$3)/12)),IF(YEAR(AI$3)=YEAR(Headcount!$O$4),IF((AI$5=2),((SUMIFS(Headcount!$O$6:$O$89,Headcount!$F$6:$F$89,"Finance",Headcount!$H$6:$H$89,"&gt;="&amp;Finance!AI$3)/12)),AH12),IF(YEAR(AI$3)=YEAR(Headcount!$P$4),IF((AI$5=2),((SUMIFS(Headcount!$P$6:$P$89,Headcount!$F$6:$F$89,"Finance",Headcount!$H$6:$H$89,"&gt;="&amp;Finance!AI$3)/12)),AH12),IF(YEAR(AI$3)=YEAR(Headcount!$Q$4),IF((AI$5=2),((SUMIFS(Headcount!$Q$6:$Q$89,Headcount!$F$6:$F$89,"Finance",Headcount!$H$6:$H$89,"&gt;="&amp;Finance!AI$3)/12)),AH12),IF(YEAR(AI$3)=YEAR(Headcount!$R$4),IF((AI$5=2),((SUMIFS(Headcount!$R$6:$R$89,Headcount!$F$6:$F$89,"Finance",Headcount!$H$6:$H$89,"&gt;="&amp;Finance!AI$3)/12)),AH12),"New Year"))))),'Dept. Cost Actuals'!AM656-'Dept. Cost Actuals'!AM646)</f>
        <v>30470.833333333332</v>
      </c>
      <c r="AJ12" s="806">
        <f>IF(AJ$4="forecast",IF(YEAR(AJ$3)=YEAR(Headcount!$N$4),((SUMIFS(Headcount!$N$6:$N$89,Headcount!$F$6:$F$89,"Finance",Headcount!$H$6:$H$89,"&gt;="&amp;Finance!AJ$3)/12)),IF(YEAR(AJ$3)=YEAR(Headcount!$O$4),IF((AJ$5=2),((SUMIFS(Headcount!$O$6:$O$89,Headcount!$F$6:$F$89,"Finance",Headcount!$H$6:$H$89,"&gt;="&amp;Finance!AJ$3)/12)),AI12),IF(YEAR(AJ$3)=YEAR(Headcount!$P$4),IF((AJ$5=2),((SUMIFS(Headcount!$P$6:$P$89,Headcount!$F$6:$F$89,"Finance",Headcount!$H$6:$H$89,"&gt;="&amp;Finance!AJ$3)/12)),AI12),IF(YEAR(AJ$3)=YEAR(Headcount!$Q$4),IF((AJ$5=2),((SUMIFS(Headcount!$Q$6:$Q$89,Headcount!$F$6:$F$89,"Finance",Headcount!$H$6:$H$89,"&gt;="&amp;Finance!AJ$3)/12)),AI12),IF(YEAR(AJ$3)=YEAR(Headcount!$R$4),IF((AJ$5=2),((SUMIFS(Headcount!$R$6:$R$89,Headcount!$F$6:$F$89,"Finance",Headcount!$H$6:$H$89,"&gt;="&amp;Finance!AJ$3)/12)),AI12),"New Year"))))),'Dept. Cost Actuals'!AN656-'Dept. Cost Actuals'!AN646)</f>
        <v>30470.833333333332</v>
      </c>
      <c r="AK12" s="806">
        <f>IF(AK$4="forecast",IF(YEAR(AK$3)=YEAR(Headcount!$N$4),((SUMIFS(Headcount!$N$6:$N$89,Headcount!$F$6:$F$89,"Finance",Headcount!$H$6:$H$89,"&gt;="&amp;Finance!AK$3)/12)),IF(YEAR(AK$3)=YEAR(Headcount!$O$4),IF((AK$5=2),((SUMIFS(Headcount!$O$6:$O$89,Headcount!$F$6:$F$89,"Finance",Headcount!$H$6:$H$89,"&gt;="&amp;Finance!AK$3)/12)),AJ12),IF(YEAR(AK$3)=YEAR(Headcount!$P$4),IF((AK$5=2),((SUMIFS(Headcount!$P$6:$P$89,Headcount!$F$6:$F$89,"Finance",Headcount!$H$6:$H$89,"&gt;="&amp;Finance!AK$3)/12)),AJ12),IF(YEAR(AK$3)=YEAR(Headcount!$Q$4),IF((AK$5=2),((SUMIFS(Headcount!$Q$6:$Q$89,Headcount!$F$6:$F$89,"Finance",Headcount!$H$6:$H$89,"&gt;="&amp;Finance!AK$3)/12)),AJ12),IF(YEAR(AK$3)=YEAR(Headcount!$R$4),IF((AK$5=2),((SUMIFS(Headcount!$R$6:$R$89,Headcount!$F$6:$F$89,"Finance",Headcount!$H$6:$H$89,"&gt;="&amp;Finance!AK$3)/12)),AJ12),"New Year"))))),'Dept. Cost Actuals'!AO656-'Dept. Cost Actuals'!AO646)</f>
        <v>30470.833333333332</v>
      </c>
      <c r="AL12" s="806">
        <f>IF(AL$4="forecast",IF(YEAR(AL$3)=YEAR(Headcount!$N$4),((SUMIFS(Headcount!$N$6:$N$89,Headcount!$F$6:$F$89,"Finance",Headcount!$H$6:$H$89,"&gt;="&amp;Finance!AL$3)/12)),IF(YEAR(AL$3)=YEAR(Headcount!$O$4),IF((AL$5=2),((SUMIFS(Headcount!$O$6:$O$89,Headcount!$F$6:$F$89,"Finance",Headcount!$H$6:$H$89,"&gt;="&amp;Finance!AL$3)/12)),AK12),IF(YEAR(AL$3)=YEAR(Headcount!$P$4),IF((AL$5=2),((SUMIFS(Headcount!$P$6:$P$89,Headcount!$F$6:$F$89,"Finance",Headcount!$H$6:$H$89,"&gt;="&amp;Finance!AL$3)/12)),AK12),IF(YEAR(AL$3)=YEAR(Headcount!$Q$4),IF((AL$5=2),((SUMIFS(Headcount!$Q$6:$Q$89,Headcount!$F$6:$F$89,"Finance",Headcount!$H$6:$H$89,"&gt;="&amp;Finance!AL$3)/12)),AK12),IF(YEAR(AL$3)=YEAR(Headcount!$R$4),IF((AL$5=2),((SUMIFS(Headcount!$R$6:$R$89,Headcount!$F$6:$F$89,"Finance",Headcount!$H$6:$H$89,"&gt;="&amp;Finance!AL$3)/12)),AK12),"New Year"))))),'Dept. Cost Actuals'!AP656-'Dept. Cost Actuals'!AP646)</f>
        <v>30470.833333333332</v>
      </c>
      <c r="AM12" s="806">
        <f>IF(AM$4="forecast",IF(YEAR(AM$3)=YEAR(Headcount!$N$4),((SUMIFS(Headcount!$N$6:$N$89,Headcount!$F$6:$F$89,"Finance",Headcount!$H$6:$H$89,"&gt;="&amp;Finance!AM$3)/12)),IF(YEAR(AM$3)=YEAR(Headcount!$O$4),IF((AM$5=2),((SUMIFS(Headcount!$O$6:$O$89,Headcount!$F$6:$F$89,"Finance",Headcount!$H$6:$H$89,"&gt;="&amp;Finance!AM$3)/12)),AL12),IF(YEAR(AM$3)=YEAR(Headcount!$P$4),IF((AM$5=2),((SUMIFS(Headcount!$P$6:$P$89,Headcount!$F$6:$F$89,"Finance",Headcount!$H$6:$H$89,"&gt;="&amp;Finance!AM$3)/12)),AL12),IF(YEAR(AM$3)=YEAR(Headcount!$Q$4),IF((AM$5=2),((SUMIFS(Headcount!$Q$6:$Q$89,Headcount!$F$6:$F$89,"Finance",Headcount!$H$6:$H$89,"&gt;="&amp;Finance!AM$3)/12)),AL12),IF(YEAR(AM$3)=YEAR(Headcount!$R$4),IF((AM$5=2),((SUMIFS(Headcount!$R$6:$R$89,Headcount!$F$6:$F$89,"Finance",Headcount!$H$6:$H$89,"&gt;="&amp;Finance!AM$3)/12)),AL12),"New Year"))))),'Dept. Cost Actuals'!AQ656-'Dept. Cost Actuals'!AQ646)</f>
        <v>30470.833333333332</v>
      </c>
      <c r="AN12" s="806">
        <f>IF(AN$4="forecast",IF(YEAR(AN$3)=YEAR(Headcount!$N$4),((SUMIFS(Headcount!$N$6:$N$89,Headcount!$F$6:$F$89,"Finance",Headcount!$H$6:$H$89,"&gt;="&amp;Finance!AN$3)/12)),IF(YEAR(AN$3)=YEAR(Headcount!$O$4),IF((AN$5=2),((SUMIFS(Headcount!$O$6:$O$89,Headcount!$F$6:$F$89,"Finance",Headcount!$H$6:$H$89,"&gt;="&amp;Finance!AN$3)/12)),AM12),IF(YEAR(AN$3)=YEAR(Headcount!$P$4),IF((AN$5=2),((SUMIFS(Headcount!$P$6:$P$89,Headcount!$F$6:$F$89,"Finance",Headcount!$H$6:$H$89,"&gt;="&amp;Finance!AN$3)/12)),AM12),IF(YEAR(AN$3)=YEAR(Headcount!$Q$4),IF((AN$5=2),((SUMIFS(Headcount!$Q$6:$Q$89,Headcount!$F$6:$F$89,"Finance",Headcount!$H$6:$H$89,"&gt;="&amp;Finance!AN$3)/12)),AM12),IF(YEAR(AN$3)=YEAR(Headcount!$R$4),IF((AN$5=2),((SUMIFS(Headcount!$R$6:$R$89,Headcount!$F$6:$F$89,"Finance",Headcount!$H$6:$H$89,"&gt;="&amp;Finance!AN$3)/12)),AM12),"New Year"))))),'Dept. Cost Actuals'!AR656-'Dept. Cost Actuals'!AR646)</f>
        <v>31384.958333333332</v>
      </c>
      <c r="AO12" s="806">
        <f>IF(AO$4="forecast",IF(YEAR(AO$3)=YEAR(Headcount!$N$4),((SUMIFS(Headcount!$N$6:$N$89,Headcount!$F$6:$F$89,"Finance",Headcount!$H$6:$H$89,"&gt;="&amp;Finance!AO$3)/12)),IF(YEAR(AO$3)=YEAR(Headcount!$O$4),IF((AO$5=2),((SUMIFS(Headcount!$O$6:$O$89,Headcount!$F$6:$F$89,"Finance",Headcount!$H$6:$H$89,"&gt;="&amp;Finance!AO$3)/12)),AN12),IF(YEAR(AO$3)=YEAR(Headcount!$P$4),IF((AO$5=2),((SUMIFS(Headcount!$P$6:$P$89,Headcount!$F$6:$F$89,"Finance",Headcount!$H$6:$H$89,"&gt;="&amp;Finance!AO$3)/12)),AN12),IF(YEAR(AO$3)=YEAR(Headcount!$Q$4),IF((AO$5=2),((SUMIFS(Headcount!$Q$6:$Q$89,Headcount!$F$6:$F$89,"Finance",Headcount!$H$6:$H$89,"&gt;="&amp;Finance!AO$3)/12)),AN12),IF(YEAR(AO$3)=YEAR(Headcount!$R$4),IF((AO$5=2),((SUMIFS(Headcount!$R$6:$R$89,Headcount!$F$6:$F$89,"Finance",Headcount!$H$6:$H$89,"&gt;="&amp;Finance!AO$3)/12)),AN12),"New Year"))))),'Dept. Cost Actuals'!AS656-'Dept. Cost Actuals'!AS646)</f>
        <v>31384.958333333332</v>
      </c>
      <c r="AP12" s="806">
        <f>IF(AP$4="forecast",IF(YEAR(AP$3)=YEAR(Headcount!$N$4),((SUMIFS(Headcount!$N$6:$N$89,Headcount!$F$6:$F$89,"Finance",Headcount!$H$6:$H$89,"&gt;="&amp;Finance!AP$3)/12)),IF(YEAR(AP$3)=YEAR(Headcount!$O$4),IF((AP$5=2),((SUMIFS(Headcount!$O$6:$O$89,Headcount!$F$6:$F$89,"Finance",Headcount!$H$6:$H$89,"&gt;="&amp;Finance!AP$3)/12)),AO12),IF(YEAR(AP$3)=YEAR(Headcount!$P$4),IF((AP$5=2),((SUMIFS(Headcount!$P$6:$P$89,Headcount!$F$6:$F$89,"Finance",Headcount!$H$6:$H$89,"&gt;="&amp;Finance!AP$3)/12)),AO12),IF(YEAR(AP$3)=YEAR(Headcount!$Q$4),IF((AP$5=2),((SUMIFS(Headcount!$Q$6:$Q$89,Headcount!$F$6:$F$89,"Finance",Headcount!$H$6:$H$89,"&gt;="&amp;Finance!AP$3)/12)),AO12),IF(YEAR(AP$3)=YEAR(Headcount!$R$4),IF((AP$5=2),((SUMIFS(Headcount!$R$6:$R$89,Headcount!$F$6:$F$89,"Finance",Headcount!$H$6:$H$89,"&gt;="&amp;Finance!AP$3)/12)),AO12),"New Year"))))),'Dept. Cost Actuals'!AT656-'Dept. Cost Actuals'!AT646)</f>
        <v>31384.958333333332</v>
      </c>
      <c r="AQ12" s="806">
        <f>IF(AQ$4="forecast",IF(YEAR(AQ$3)=YEAR(Headcount!$N$4),((SUMIFS(Headcount!$N$6:$N$89,Headcount!$F$6:$F$89,"Finance",Headcount!$H$6:$H$89,"&gt;="&amp;Finance!AQ$3)/12)),IF(YEAR(AQ$3)=YEAR(Headcount!$O$4),IF((AQ$5=2),((SUMIFS(Headcount!$O$6:$O$89,Headcount!$F$6:$F$89,"Finance",Headcount!$H$6:$H$89,"&gt;="&amp;Finance!AQ$3)/12)),AP12),IF(YEAR(AQ$3)=YEAR(Headcount!$P$4),IF((AQ$5=2),((SUMIFS(Headcount!$P$6:$P$89,Headcount!$F$6:$F$89,"Finance",Headcount!$H$6:$H$89,"&gt;="&amp;Finance!AQ$3)/12)),AP12),IF(YEAR(AQ$3)=YEAR(Headcount!$Q$4),IF((AQ$5=2),((SUMIFS(Headcount!$Q$6:$Q$89,Headcount!$F$6:$F$89,"Finance",Headcount!$H$6:$H$89,"&gt;="&amp;Finance!AQ$3)/12)),AP12),IF(YEAR(AQ$3)=YEAR(Headcount!$R$4),IF((AQ$5=2),((SUMIFS(Headcount!$R$6:$R$89,Headcount!$F$6:$F$89,"Finance",Headcount!$H$6:$H$89,"&gt;="&amp;Finance!AQ$3)/12)),AP12),"New Year"))))),'Dept. Cost Actuals'!AU656-'Dept. Cost Actuals'!AU646)</f>
        <v>31384.958333333332</v>
      </c>
      <c r="AR12" s="806">
        <f>IF(AR$4="forecast",IF(YEAR(AR$3)=YEAR(Headcount!$N$4),((SUMIFS(Headcount!$N$6:$N$89,Headcount!$F$6:$F$89,"Finance",Headcount!$H$6:$H$89,"&gt;="&amp;Finance!AR$3)/12)),IF(YEAR(AR$3)=YEAR(Headcount!$O$4),IF((AR$5=2),((SUMIFS(Headcount!$O$6:$O$89,Headcount!$F$6:$F$89,"Finance",Headcount!$H$6:$H$89,"&gt;="&amp;Finance!AR$3)/12)),AQ12),IF(YEAR(AR$3)=YEAR(Headcount!$P$4),IF((AR$5=2),((SUMIFS(Headcount!$P$6:$P$89,Headcount!$F$6:$F$89,"Finance",Headcount!$H$6:$H$89,"&gt;="&amp;Finance!AR$3)/12)),AQ12),IF(YEAR(AR$3)=YEAR(Headcount!$Q$4),IF((AR$5=2),((SUMIFS(Headcount!$Q$6:$Q$89,Headcount!$F$6:$F$89,"Finance",Headcount!$H$6:$H$89,"&gt;="&amp;Finance!AR$3)/12)),AQ12),IF(YEAR(AR$3)=YEAR(Headcount!$R$4),IF((AR$5=2),((SUMIFS(Headcount!$R$6:$R$89,Headcount!$F$6:$F$89,"Finance",Headcount!$H$6:$H$89,"&gt;="&amp;Finance!AR$3)/12)),AQ12),"New Year"))))),'Dept. Cost Actuals'!AV656-'Dept. Cost Actuals'!AV646)</f>
        <v>31384.958333333332</v>
      </c>
      <c r="AS12" s="806">
        <f>IF(AS$4="forecast",IF(YEAR(AS$3)=YEAR(Headcount!$N$4),((SUMIFS(Headcount!$N$6:$N$89,Headcount!$F$6:$F$89,"Finance",Headcount!$H$6:$H$89,"&gt;="&amp;Finance!AS$3)/12)),IF(YEAR(AS$3)=YEAR(Headcount!$O$4),IF((AS$5=2),((SUMIFS(Headcount!$O$6:$O$89,Headcount!$F$6:$F$89,"Finance",Headcount!$H$6:$H$89,"&gt;="&amp;Finance!AS$3)/12)),AR12),IF(YEAR(AS$3)=YEAR(Headcount!$P$4),IF((AS$5=2),((SUMIFS(Headcount!$P$6:$P$89,Headcount!$F$6:$F$89,"Finance",Headcount!$H$6:$H$89,"&gt;="&amp;Finance!AS$3)/12)),AR12),IF(YEAR(AS$3)=YEAR(Headcount!$Q$4),IF((AS$5=2),((SUMIFS(Headcount!$Q$6:$Q$89,Headcount!$F$6:$F$89,"Finance",Headcount!$H$6:$H$89,"&gt;="&amp;Finance!AS$3)/12)),AR12),IF(YEAR(AS$3)=YEAR(Headcount!$R$4),IF((AS$5=2),((SUMIFS(Headcount!$R$6:$R$89,Headcount!$F$6:$F$89,"Finance",Headcount!$H$6:$H$89,"&gt;="&amp;Finance!AS$3)/12)),AR12),"New Year"))))),'Dept. Cost Actuals'!AW656-'Dept. Cost Actuals'!AW646)</f>
        <v>31384.958333333332</v>
      </c>
      <c r="AT12" s="806">
        <f>IF(AT$4="forecast",IF(YEAR(AT$3)=YEAR(Headcount!$N$4),((SUMIFS(Headcount!$N$6:$N$89,Headcount!$F$6:$F$89,"Finance",Headcount!$H$6:$H$89,"&gt;="&amp;Finance!AT$3)/12)),IF(YEAR(AT$3)=YEAR(Headcount!$O$4),IF((AT$5=2),((SUMIFS(Headcount!$O$6:$O$89,Headcount!$F$6:$F$89,"Finance",Headcount!$H$6:$H$89,"&gt;="&amp;Finance!AT$3)/12)),AS12),IF(YEAR(AT$3)=YEAR(Headcount!$P$4),IF((AT$5=2),((SUMIFS(Headcount!$P$6:$P$89,Headcount!$F$6:$F$89,"Finance",Headcount!$H$6:$H$89,"&gt;="&amp;Finance!AT$3)/12)),AS12),IF(YEAR(AT$3)=YEAR(Headcount!$Q$4),IF((AT$5=2),((SUMIFS(Headcount!$Q$6:$Q$89,Headcount!$F$6:$F$89,"Finance",Headcount!$H$6:$H$89,"&gt;="&amp;Finance!AT$3)/12)),AS12),IF(YEAR(AT$3)=YEAR(Headcount!$R$4),IF((AT$5=2),((SUMIFS(Headcount!$R$6:$R$89,Headcount!$F$6:$F$89,"Finance",Headcount!$H$6:$H$89,"&gt;="&amp;Finance!AT$3)/12)),AS12),"New Year"))))),'Dept. Cost Actuals'!AX656-'Dept. Cost Actuals'!AX646)</f>
        <v>31384.958333333332</v>
      </c>
      <c r="AU12" s="806">
        <f>IF(AU$4="forecast",IF(YEAR(AU$3)=YEAR(Headcount!$N$4),((SUMIFS(Headcount!$N$6:$N$89,Headcount!$F$6:$F$89,"Finance",Headcount!$H$6:$H$89,"&gt;="&amp;Finance!AU$3)/12)),IF(YEAR(AU$3)=YEAR(Headcount!$O$4),IF((AU$5=2),((SUMIFS(Headcount!$O$6:$O$89,Headcount!$F$6:$F$89,"Finance",Headcount!$H$6:$H$89,"&gt;="&amp;Finance!AU$3)/12)),AT12),IF(YEAR(AU$3)=YEAR(Headcount!$P$4),IF((AU$5=2),((SUMIFS(Headcount!$P$6:$P$89,Headcount!$F$6:$F$89,"Finance",Headcount!$H$6:$H$89,"&gt;="&amp;Finance!AU$3)/12)),AT12),IF(YEAR(AU$3)=YEAR(Headcount!$Q$4),IF((AU$5=2),((SUMIFS(Headcount!$Q$6:$Q$89,Headcount!$F$6:$F$89,"Finance",Headcount!$H$6:$H$89,"&gt;="&amp;Finance!AU$3)/12)),AT12),IF(YEAR(AU$3)=YEAR(Headcount!$R$4),IF((AU$5=2),((SUMIFS(Headcount!$R$6:$R$89,Headcount!$F$6:$F$89,"Finance",Headcount!$H$6:$H$89,"&gt;="&amp;Finance!AU$3)/12)),AT12),"New Year"))))),'Dept. Cost Actuals'!AY656-'Dept. Cost Actuals'!AY646)</f>
        <v>31384.958333333332</v>
      </c>
      <c r="AV12" s="806">
        <f>IF(AV$4="forecast",IF(YEAR(AV$3)=YEAR(Headcount!$N$4),((SUMIFS(Headcount!$N$6:$N$89,Headcount!$F$6:$F$89,"Finance",Headcount!$H$6:$H$89,"&gt;="&amp;Finance!AV$3)/12)),IF(YEAR(AV$3)=YEAR(Headcount!$O$4),IF((AV$5=2),((SUMIFS(Headcount!$O$6:$O$89,Headcount!$F$6:$F$89,"Finance",Headcount!$H$6:$H$89,"&gt;="&amp;Finance!AV$3)/12)),AU12),IF(YEAR(AV$3)=YEAR(Headcount!$P$4),IF((AV$5=2),((SUMIFS(Headcount!$P$6:$P$89,Headcount!$F$6:$F$89,"Finance",Headcount!$H$6:$H$89,"&gt;="&amp;Finance!AV$3)/12)),AU12),IF(YEAR(AV$3)=YEAR(Headcount!$Q$4),IF((AV$5=2),((SUMIFS(Headcount!$Q$6:$Q$89,Headcount!$F$6:$F$89,"Finance",Headcount!$H$6:$H$89,"&gt;="&amp;Finance!AV$3)/12)),AU12),IF(YEAR(AV$3)=YEAR(Headcount!$R$4),IF((AV$5=2),((SUMIFS(Headcount!$R$6:$R$89,Headcount!$F$6:$F$89,"Finance",Headcount!$H$6:$H$89,"&gt;="&amp;Finance!AV$3)/12)),AU12),"New Year"))))),'Dept. Cost Actuals'!AZ656-'Dept. Cost Actuals'!AZ646)</f>
        <v>31384.958333333332</v>
      </c>
      <c r="AW12" s="806">
        <f>IF(AW$4="forecast",IF(YEAR(AW$3)=YEAR(Headcount!$N$4),((SUMIFS(Headcount!$N$6:$N$89,Headcount!$F$6:$F$89,"Finance",Headcount!$H$6:$H$89,"&gt;="&amp;Finance!AW$3)/12)),IF(YEAR(AW$3)=YEAR(Headcount!$O$4),IF((AW$5=2),((SUMIFS(Headcount!$O$6:$O$89,Headcount!$F$6:$F$89,"Finance",Headcount!$H$6:$H$89,"&gt;="&amp;Finance!AW$3)/12)),AV12),IF(YEAR(AW$3)=YEAR(Headcount!$P$4),IF((AW$5=2),((SUMIFS(Headcount!$P$6:$P$89,Headcount!$F$6:$F$89,"Finance",Headcount!$H$6:$H$89,"&gt;="&amp;Finance!AW$3)/12)),AV12),IF(YEAR(AW$3)=YEAR(Headcount!$Q$4),IF((AW$5=2),((SUMIFS(Headcount!$Q$6:$Q$89,Headcount!$F$6:$F$89,"Finance",Headcount!$H$6:$H$89,"&gt;="&amp;Finance!AW$3)/12)),AV12),IF(YEAR(AW$3)=YEAR(Headcount!$R$4),IF((AW$5=2),((SUMIFS(Headcount!$R$6:$R$89,Headcount!$F$6:$F$89,"Finance",Headcount!$H$6:$H$89,"&gt;="&amp;Finance!AW$3)/12)),AV12),"New Year"))))),'Dept. Cost Actuals'!BA656-'Dept. Cost Actuals'!BA646)</f>
        <v>31384.958333333332</v>
      </c>
      <c r="AX12" s="806">
        <f>IF(AX$4="forecast",IF(YEAR(AX$3)=YEAR(Headcount!$N$4),((SUMIFS(Headcount!$N$6:$N$89,Headcount!$F$6:$F$89,"Finance",Headcount!$H$6:$H$89,"&gt;="&amp;Finance!AX$3)/12)),IF(YEAR(AX$3)=YEAR(Headcount!$O$4),IF((AX$5=2),((SUMIFS(Headcount!$O$6:$O$89,Headcount!$F$6:$F$89,"Finance",Headcount!$H$6:$H$89,"&gt;="&amp;Finance!AX$3)/12)),AW12),IF(YEAR(AX$3)=YEAR(Headcount!$P$4),IF((AX$5=2),((SUMIFS(Headcount!$P$6:$P$89,Headcount!$F$6:$F$89,"Finance",Headcount!$H$6:$H$89,"&gt;="&amp;Finance!AX$3)/12)),AW12),IF(YEAR(AX$3)=YEAR(Headcount!$Q$4),IF((AX$5=2),((SUMIFS(Headcount!$Q$6:$Q$89,Headcount!$F$6:$F$89,"Finance",Headcount!$H$6:$H$89,"&gt;="&amp;Finance!AX$3)/12)),AW12),IF(YEAR(AX$3)=YEAR(Headcount!$R$4),IF((AX$5=2),((SUMIFS(Headcount!$R$6:$R$89,Headcount!$F$6:$F$89,"Finance",Headcount!$H$6:$H$89,"&gt;="&amp;Finance!AX$3)/12)),AW12),"New Year"))))),'Dept. Cost Actuals'!BB656-'Dept. Cost Actuals'!BB646)</f>
        <v>31384.958333333332</v>
      </c>
      <c r="AY12" s="806">
        <f>IF(AY$4="forecast",IF(YEAR(AY$3)=YEAR(Headcount!$N$4),((SUMIFS(Headcount!$N$6:$N$89,Headcount!$F$6:$F$89,"Finance",Headcount!$H$6:$H$89,"&gt;="&amp;Finance!AY$3)/12)),IF(YEAR(AY$3)=YEAR(Headcount!$O$4),IF((AY$5=2),((SUMIFS(Headcount!$O$6:$O$89,Headcount!$F$6:$F$89,"Finance",Headcount!$H$6:$H$89,"&gt;="&amp;Finance!AY$3)/12)),AX12),IF(YEAR(AY$3)=YEAR(Headcount!$P$4),IF((AY$5=2),((SUMIFS(Headcount!$P$6:$P$89,Headcount!$F$6:$F$89,"Finance",Headcount!$H$6:$H$89,"&gt;="&amp;Finance!AY$3)/12)),AX12),IF(YEAR(AY$3)=YEAR(Headcount!$Q$4),IF((AY$5=2),((SUMIFS(Headcount!$Q$6:$Q$89,Headcount!$F$6:$F$89,"Finance",Headcount!$H$6:$H$89,"&gt;="&amp;Finance!AY$3)/12)),AX12),IF(YEAR(AY$3)=YEAR(Headcount!$R$4),IF((AY$5=2),((SUMIFS(Headcount!$R$6:$R$89,Headcount!$F$6:$F$89,"Finance",Headcount!$H$6:$H$89,"&gt;="&amp;Finance!AY$3)/12)),AX12),"New Year"))))),'Dept. Cost Actuals'!BC656-'Dept. Cost Actuals'!BC646)</f>
        <v>31384.958333333332</v>
      </c>
      <c r="AZ12" s="806">
        <f>IF(AZ$4="forecast",IF(YEAR(AZ$3)=YEAR(Headcount!$N$4),((SUMIFS(Headcount!$N$6:$N$89,Headcount!$F$6:$F$89,"Finance",Headcount!$H$6:$H$89,"&gt;="&amp;Finance!AZ$3)/12)),IF(YEAR(AZ$3)=YEAR(Headcount!$O$4),IF((AZ$5=2),((SUMIFS(Headcount!$O$6:$O$89,Headcount!$F$6:$F$89,"Finance",Headcount!$H$6:$H$89,"&gt;="&amp;Finance!AZ$3)/12)),AY12),IF(YEAR(AZ$3)=YEAR(Headcount!$P$4),IF((AZ$5=2),((SUMIFS(Headcount!$P$6:$P$89,Headcount!$F$6:$F$89,"Finance",Headcount!$H$6:$H$89,"&gt;="&amp;Finance!AZ$3)/12)),AY12),IF(YEAR(AZ$3)=YEAR(Headcount!$Q$4),IF((AZ$5=2),((SUMIFS(Headcount!$Q$6:$Q$89,Headcount!$F$6:$F$89,"Finance",Headcount!$H$6:$H$89,"&gt;="&amp;Finance!AZ$3)/12)),AY12),IF(YEAR(AZ$3)=YEAR(Headcount!$R$4),IF((AZ$5=2),((SUMIFS(Headcount!$R$6:$R$89,Headcount!$F$6:$F$89,"Finance",Headcount!$H$6:$H$89,"&gt;="&amp;Finance!AZ$3)/12)),AY12),"New Year"))))),'Dept. Cost Actuals'!BD656-'Dept. Cost Actuals'!BD646)</f>
        <v>32326.50708333333</v>
      </c>
      <c r="BA12" s="806">
        <f>IF(BA$4="forecast",IF(YEAR(BA$3)=YEAR(Headcount!$N$4),((SUMIFS(Headcount!$N$6:$N$89,Headcount!$F$6:$F$89,"Finance",Headcount!$H$6:$H$89,"&gt;="&amp;Finance!BA$3)/12)),IF(YEAR(BA$3)=YEAR(Headcount!$O$4),IF((BA$5=2),((SUMIFS(Headcount!$O$6:$O$89,Headcount!$F$6:$F$89,"Finance",Headcount!$H$6:$H$89,"&gt;="&amp;Finance!BA$3)/12)),AZ12),IF(YEAR(BA$3)=YEAR(Headcount!$P$4),IF((BA$5=2),((SUMIFS(Headcount!$P$6:$P$89,Headcount!$F$6:$F$89,"Finance",Headcount!$H$6:$H$89,"&gt;="&amp;Finance!BA$3)/12)),AZ12),IF(YEAR(BA$3)=YEAR(Headcount!$Q$4),IF((BA$5=2),((SUMIFS(Headcount!$Q$6:$Q$89,Headcount!$F$6:$F$89,"Finance",Headcount!$H$6:$H$89,"&gt;="&amp;Finance!BA$3)/12)),AZ12),IF(YEAR(BA$3)=YEAR(Headcount!$R$4),IF((BA$5=2),((SUMIFS(Headcount!$R$6:$R$89,Headcount!$F$6:$F$89,"Finance",Headcount!$H$6:$H$89,"&gt;="&amp;Finance!BA$3)/12)),AZ12),"New Year"))))),'Dept. Cost Actuals'!BE656-'Dept. Cost Actuals'!BE646)</f>
        <v>32326.50708333333</v>
      </c>
      <c r="BB12" s="806">
        <f>IF(BB$4="forecast",IF(YEAR(BB$3)=YEAR(Headcount!$N$4),((SUMIFS(Headcount!$N$6:$N$89,Headcount!$F$6:$F$89,"Finance",Headcount!$H$6:$H$89,"&gt;="&amp;Finance!BB$3)/12)),IF(YEAR(BB$3)=YEAR(Headcount!$O$4),IF((BB$5=2),((SUMIFS(Headcount!$O$6:$O$89,Headcount!$F$6:$F$89,"Finance",Headcount!$H$6:$H$89,"&gt;="&amp;Finance!BB$3)/12)),BA12),IF(YEAR(BB$3)=YEAR(Headcount!$P$4),IF((BB$5=2),((SUMIFS(Headcount!$P$6:$P$89,Headcount!$F$6:$F$89,"Finance",Headcount!$H$6:$H$89,"&gt;="&amp;Finance!BB$3)/12)),BA12),IF(YEAR(BB$3)=YEAR(Headcount!$Q$4),IF((BB$5=2),((SUMIFS(Headcount!$Q$6:$Q$89,Headcount!$F$6:$F$89,"Finance",Headcount!$H$6:$H$89,"&gt;="&amp;Finance!BB$3)/12)),BA12),IF(YEAR(BB$3)=YEAR(Headcount!$R$4),IF((BB$5=2),((SUMIFS(Headcount!$R$6:$R$89,Headcount!$F$6:$F$89,"Finance",Headcount!$H$6:$H$89,"&gt;="&amp;Finance!BB$3)/12)),BA12),"New Year"))))),'Dept. Cost Actuals'!BF656-'Dept. Cost Actuals'!BF646)</f>
        <v>32326.50708333333</v>
      </c>
      <c r="BC12" s="806">
        <f>IF(BC$4="forecast",IF(YEAR(BC$3)=YEAR(Headcount!$N$4),((SUMIFS(Headcount!$N$6:$N$89,Headcount!$F$6:$F$89,"Finance",Headcount!$H$6:$H$89,"&gt;="&amp;Finance!BC$3)/12)),IF(YEAR(BC$3)=YEAR(Headcount!$O$4),IF((BC$5=2),((SUMIFS(Headcount!$O$6:$O$89,Headcount!$F$6:$F$89,"Finance",Headcount!$H$6:$H$89,"&gt;="&amp;Finance!BC$3)/12)),BB12),IF(YEAR(BC$3)=YEAR(Headcount!$P$4),IF((BC$5=2),((SUMIFS(Headcount!$P$6:$P$89,Headcount!$F$6:$F$89,"Finance",Headcount!$H$6:$H$89,"&gt;="&amp;Finance!BC$3)/12)),BB12),IF(YEAR(BC$3)=YEAR(Headcount!$Q$4),IF((BC$5=2),((SUMIFS(Headcount!$Q$6:$Q$89,Headcount!$F$6:$F$89,"Finance",Headcount!$H$6:$H$89,"&gt;="&amp;Finance!BC$3)/12)),BB12),IF(YEAR(BC$3)=YEAR(Headcount!$R$4),IF((BC$5=2),((SUMIFS(Headcount!$R$6:$R$89,Headcount!$F$6:$F$89,"Finance",Headcount!$H$6:$H$89,"&gt;="&amp;Finance!BC$3)/12)),BB12),"New Year"))))),'Dept. Cost Actuals'!BG656-'Dept. Cost Actuals'!BG646)</f>
        <v>32326.50708333333</v>
      </c>
      <c r="BD12" s="806">
        <f>IF(BD$4="forecast",IF(YEAR(BD$3)=YEAR(Headcount!$N$4),((SUMIFS(Headcount!$N$6:$N$89,Headcount!$F$6:$F$89,"Finance",Headcount!$H$6:$H$89,"&gt;="&amp;Finance!BD$3)/12)),IF(YEAR(BD$3)=YEAR(Headcount!$O$4),IF((BD$5=2),((SUMIFS(Headcount!$O$6:$O$89,Headcount!$F$6:$F$89,"Finance",Headcount!$H$6:$H$89,"&gt;="&amp;Finance!BD$3)/12)),BC12),IF(YEAR(BD$3)=YEAR(Headcount!$P$4),IF((BD$5=2),((SUMIFS(Headcount!$P$6:$P$89,Headcount!$F$6:$F$89,"Finance",Headcount!$H$6:$H$89,"&gt;="&amp;Finance!BD$3)/12)),BC12),IF(YEAR(BD$3)=YEAR(Headcount!$Q$4),IF((BD$5=2),((SUMIFS(Headcount!$Q$6:$Q$89,Headcount!$F$6:$F$89,"Finance",Headcount!$H$6:$H$89,"&gt;="&amp;Finance!BD$3)/12)),BC12),IF(YEAR(BD$3)=YEAR(Headcount!$R$4),IF((BD$5=2),((SUMIFS(Headcount!$R$6:$R$89,Headcount!$F$6:$F$89,"Finance",Headcount!$H$6:$H$89,"&gt;="&amp;Finance!BD$3)/12)),BC12),"New Year"))))),'Dept. Cost Actuals'!BH656-'Dept. Cost Actuals'!BH646)</f>
        <v>32326.50708333333</v>
      </c>
      <c r="BE12" s="806">
        <f>IF(BE$4="forecast",IF(YEAR(BE$3)=YEAR(Headcount!$N$4),((SUMIFS(Headcount!$N$6:$N$89,Headcount!$F$6:$F$89,"Finance",Headcount!$H$6:$H$89,"&gt;="&amp;Finance!BE$3)/12)),IF(YEAR(BE$3)=YEAR(Headcount!$O$4),IF((BE$5=2),((SUMIFS(Headcount!$O$6:$O$89,Headcount!$F$6:$F$89,"Finance",Headcount!$H$6:$H$89,"&gt;="&amp;Finance!BE$3)/12)),BD12),IF(YEAR(BE$3)=YEAR(Headcount!$P$4),IF((BE$5=2),((SUMIFS(Headcount!$P$6:$P$89,Headcount!$F$6:$F$89,"Finance",Headcount!$H$6:$H$89,"&gt;="&amp;Finance!BE$3)/12)),BD12),IF(YEAR(BE$3)=YEAR(Headcount!$Q$4),IF((BE$5=2),((SUMIFS(Headcount!$Q$6:$Q$89,Headcount!$F$6:$F$89,"Finance",Headcount!$H$6:$H$89,"&gt;="&amp;Finance!BE$3)/12)),BD12),IF(YEAR(BE$3)=YEAR(Headcount!$R$4),IF((BE$5=2),((SUMIFS(Headcount!$R$6:$R$89,Headcount!$F$6:$F$89,"Finance",Headcount!$H$6:$H$89,"&gt;="&amp;Finance!BE$3)/12)),BD12),"New Year"))))),'Dept. Cost Actuals'!BI656-'Dept. Cost Actuals'!BI646)</f>
        <v>32326.50708333333</v>
      </c>
      <c r="BF12" s="806">
        <f>IF(BF$4="forecast",IF(YEAR(BF$3)=YEAR(Headcount!$N$4),((SUMIFS(Headcount!$N$6:$N$89,Headcount!$F$6:$F$89,"Finance",Headcount!$H$6:$H$89,"&gt;="&amp;Finance!BF$3)/12)),IF(YEAR(BF$3)=YEAR(Headcount!$O$4),IF((BF$5=2),((SUMIFS(Headcount!$O$6:$O$89,Headcount!$F$6:$F$89,"Finance",Headcount!$H$6:$H$89,"&gt;="&amp;Finance!BF$3)/12)),BE12),IF(YEAR(BF$3)=YEAR(Headcount!$P$4),IF((BF$5=2),((SUMIFS(Headcount!$P$6:$P$89,Headcount!$F$6:$F$89,"Finance",Headcount!$H$6:$H$89,"&gt;="&amp;Finance!BF$3)/12)),BE12),IF(YEAR(BF$3)=YEAR(Headcount!$Q$4),IF((BF$5=2),((SUMIFS(Headcount!$Q$6:$Q$89,Headcount!$F$6:$F$89,"Finance",Headcount!$H$6:$H$89,"&gt;="&amp;Finance!BF$3)/12)),BE12),IF(YEAR(BF$3)=YEAR(Headcount!$R$4),IF((BF$5=2),((SUMIFS(Headcount!$R$6:$R$89,Headcount!$F$6:$F$89,"Finance",Headcount!$H$6:$H$89,"&gt;="&amp;Finance!BF$3)/12)),BE12),"New Year"))))),'Dept. Cost Actuals'!BJ656-'Dept. Cost Actuals'!BJ646)</f>
        <v>32326.50708333333</v>
      </c>
      <c r="BG12" s="806">
        <f>IF(BG$4="forecast",IF(YEAR(BG$3)=YEAR(Headcount!$N$4),((SUMIFS(Headcount!$N$6:$N$89,Headcount!$F$6:$F$89,"Finance",Headcount!$H$6:$H$89,"&gt;="&amp;Finance!BG$3)/12)),IF(YEAR(BG$3)=YEAR(Headcount!$O$4),IF((BG$5=2),((SUMIFS(Headcount!$O$6:$O$89,Headcount!$F$6:$F$89,"Finance",Headcount!$H$6:$H$89,"&gt;="&amp;Finance!BG$3)/12)),BF12),IF(YEAR(BG$3)=YEAR(Headcount!$P$4),IF((BG$5=2),((SUMIFS(Headcount!$P$6:$P$89,Headcount!$F$6:$F$89,"Finance",Headcount!$H$6:$H$89,"&gt;="&amp;Finance!BG$3)/12)),BF12),IF(YEAR(BG$3)=YEAR(Headcount!$Q$4),IF((BG$5=2),((SUMIFS(Headcount!$Q$6:$Q$89,Headcount!$F$6:$F$89,"Finance",Headcount!$H$6:$H$89,"&gt;="&amp;Finance!BG$3)/12)),BF12),IF(YEAR(BG$3)=YEAR(Headcount!$R$4),IF((BG$5=2),((SUMIFS(Headcount!$R$6:$R$89,Headcount!$F$6:$F$89,"Finance",Headcount!$H$6:$H$89,"&gt;="&amp;Finance!BG$3)/12)),BF12),"New Year"))))),'Dept. Cost Actuals'!BK656-'Dept. Cost Actuals'!BK646)</f>
        <v>32326.50708333333</v>
      </c>
      <c r="BH12" s="806">
        <f>IF(BH$4="forecast",IF(YEAR(BH$3)=YEAR(Headcount!$N$4),((SUMIFS(Headcount!$N$6:$N$89,Headcount!$F$6:$F$89,"Finance",Headcount!$H$6:$H$89,"&gt;="&amp;Finance!BH$3)/12)),IF(YEAR(BH$3)=YEAR(Headcount!$O$4),IF((BH$5=2),((SUMIFS(Headcount!$O$6:$O$89,Headcount!$F$6:$F$89,"Finance",Headcount!$H$6:$H$89,"&gt;="&amp;Finance!BH$3)/12)),BG12),IF(YEAR(BH$3)=YEAR(Headcount!$P$4),IF((BH$5=2),((SUMIFS(Headcount!$P$6:$P$89,Headcount!$F$6:$F$89,"Finance",Headcount!$H$6:$H$89,"&gt;="&amp;Finance!BH$3)/12)),BG12),IF(YEAR(BH$3)=YEAR(Headcount!$Q$4),IF((BH$5=2),((SUMIFS(Headcount!$Q$6:$Q$89,Headcount!$F$6:$F$89,"Finance",Headcount!$H$6:$H$89,"&gt;="&amp;Finance!BH$3)/12)),BG12),IF(YEAR(BH$3)=YEAR(Headcount!$R$4),IF((BH$5=2),((SUMIFS(Headcount!$R$6:$R$89,Headcount!$F$6:$F$89,"Finance",Headcount!$H$6:$H$89,"&gt;="&amp;Finance!BH$3)/12)),BG12),"New Year"))))),'Dept. Cost Actuals'!BL656-'Dept. Cost Actuals'!BL646)</f>
        <v>32326.50708333333</v>
      </c>
      <c r="BI12" s="806">
        <f>IF(BI$4="forecast",IF(YEAR(BI$3)=YEAR(Headcount!$N$4),((SUMIFS(Headcount!$N$6:$N$89,Headcount!$F$6:$F$89,"Finance",Headcount!$H$6:$H$89,"&gt;="&amp;Finance!BI$3)/12)),IF(YEAR(BI$3)=YEAR(Headcount!$O$4),IF((BI$5=2),((SUMIFS(Headcount!$O$6:$O$89,Headcount!$F$6:$F$89,"Finance",Headcount!$H$6:$H$89,"&gt;="&amp;Finance!BI$3)/12)),BH12),IF(YEAR(BI$3)=YEAR(Headcount!$P$4),IF((BI$5=2),((SUMIFS(Headcount!$P$6:$P$89,Headcount!$F$6:$F$89,"Finance",Headcount!$H$6:$H$89,"&gt;="&amp;Finance!BI$3)/12)),BH12),IF(YEAR(BI$3)=YEAR(Headcount!$Q$4),IF((BI$5=2),((SUMIFS(Headcount!$Q$6:$Q$89,Headcount!$F$6:$F$89,"Finance",Headcount!$H$6:$H$89,"&gt;="&amp;Finance!BI$3)/12)),BH12),IF(YEAR(BI$3)=YEAR(Headcount!$R$4),IF((BI$5=2),((SUMIFS(Headcount!$R$6:$R$89,Headcount!$F$6:$F$89,"Finance",Headcount!$H$6:$H$89,"&gt;="&amp;Finance!BI$3)/12)),BH12),"New Year"))))),'Dept. Cost Actuals'!BM656-'Dept. Cost Actuals'!BM646)</f>
        <v>32326.50708333333</v>
      </c>
      <c r="BJ12" s="806">
        <f>IF(BJ$4="forecast",IF(YEAR(BJ$3)=YEAR(Headcount!$N$4),((SUMIFS(Headcount!$N$6:$N$89,Headcount!$F$6:$F$89,"Finance",Headcount!$H$6:$H$89,"&gt;="&amp;Finance!BJ$3)/12)),IF(YEAR(BJ$3)=YEAR(Headcount!$O$4),IF((BJ$5=2),((SUMIFS(Headcount!$O$6:$O$89,Headcount!$F$6:$F$89,"Finance",Headcount!$H$6:$H$89,"&gt;="&amp;Finance!BJ$3)/12)),BI12),IF(YEAR(BJ$3)=YEAR(Headcount!$P$4),IF((BJ$5=2),((SUMIFS(Headcount!$P$6:$P$89,Headcount!$F$6:$F$89,"Finance",Headcount!$H$6:$H$89,"&gt;="&amp;Finance!BJ$3)/12)),BI12),IF(YEAR(BJ$3)=YEAR(Headcount!$Q$4),IF((BJ$5=2),((SUMIFS(Headcount!$Q$6:$Q$89,Headcount!$F$6:$F$89,"Finance",Headcount!$H$6:$H$89,"&gt;="&amp;Finance!BJ$3)/12)),BI12),IF(YEAR(BJ$3)=YEAR(Headcount!$R$4),IF((BJ$5=2),((SUMIFS(Headcount!$R$6:$R$89,Headcount!$F$6:$F$89,"Finance",Headcount!$H$6:$H$89,"&gt;="&amp;Finance!BJ$3)/12)),BI12),"New Year"))))),'Dept. Cost Actuals'!BN656-'Dept. Cost Actuals'!BN646)</f>
        <v>32326.50708333333</v>
      </c>
      <c r="BK12" s="806">
        <f>IF(BK$4="forecast",IF(YEAR(BK$3)=YEAR(Headcount!$N$4),((SUMIFS(Headcount!$N$6:$N$89,Headcount!$F$6:$F$89,"Finance",Headcount!$H$6:$H$89,"&gt;="&amp;Finance!BK$3)/12)),IF(YEAR(BK$3)=YEAR(Headcount!$O$4),IF((BK$5=2),((SUMIFS(Headcount!$O$6:$O$89,Headcount!$F$6:$F$89,"Finance",Headcount!$H$6:$H$89,"&gt;="&amp;Finance!BK$3)/12)),BJ12),IF(YEAR(BK$3)=YEAR(Headcount!$P$4),IF((BK$5=2),((SUMIFS(Headcount!$P$6:$P$89,Headcount!$F$6:$F$89,"Finance",Headcount!$H$6:$H$89,"&gt;="&amp;Finance!BK$3)/12)),BJ12),IF(YEAR(BK$3)=YEAR(Headcount!$Q$4),IF((BK$5=2),((SUMIFS(Headcount!$Q$6:$Q$89,Headcount!$F$6:$F$89,"Finance",Headcount!$H$6:$H$89,"&gt;="&amp;Finance!BK$3)/12)),BJ12),IF(YEAR(BK$3)=YEAR(Headcount!$R$4),IF((BK$5=2),((SUMIFS(Headcount!$R$6:$R$89,Headcount!$F$6:$F$89,"Finance",Headcount!$H$6:$H$89,"&gt;="&amp;Finance!BK$3)/12)),BJ12),"New Year"))))),'Dept. Cost Actuals'!BO656-'Dept. Cost Actuals'!BO646)</f>
        <v>32326.50708333333</v>
      </c>
      <c r="BL12" s="806">
        <f>IF(BL$4="forecast",IF(YEAR(BL$3)=YEAR(Headcount!$N$4),((SUMIFS(Headcount!$N$6:$N$89,Headcount!$F$6:$F$89,"Finance",Headcount!$H$6:$H$89,"&gt;="&amp;Finance!BL$3)/12)),IF(YEAR(BL$3)=YEAR(Headcount!$O$4),IF((BL$5=2),((SUMIFS(Headcount!$O$6:$O$89,Headcount!$F$6:$F$89,"Finance",Headcount!$H$6:$H$89,"&gt;="&amp;Finance!BL$3)/12)),BK12),IF(YEAR(BL$3)=YEAR(Headcount!$P$4),IF((BL$5=2),((SUMIFS(Headcount!$P$6:$P$89,Headcount!$F$6:$F$89,"Finance",Headcount!$H$6:$H$89,"&gt;="&amp;Finance!BL$3)/12)),BK12),IF(YEAR(BL$3)=YEAR(Headcount!$Q$4),IF((BL$5=2),((SUMIFS(Headcount!$Q$6:$Q$89,Headcount!$F$6:$F$89,"Finance",Headcount!$H$6:$H$89,"&gt;="&amp;Finance!BL$3)/12)),BK12),IF(YEAR(BL$3)=YEAR(Headcount!$R$4),IF((BL$5=2),((SUMIFS(Headcount!$R$6:$R$89,Headcount!$F$6:$F$89,"Finance",Headcount!$H$6:$H$89,"&gt;="&amp;Finance!BL$3)/12)),BK12),"New Year"))))),'Dept. Cost Actuals'!BP656-'Dept. Cost Actuals'!BP646)</f>
        <v>33296.302295833339</v>
      </c>
      <c r="BM12" s="806">
        <f>IF(BM$4="forecast",IF(YEAR(BM$3)=YEAR(Headcount!$N$4),((SUMIFS(Headcount!$N$6:$N$89,Headcount!$F$6:$F$89,"Finance",Headcount!$H$6:$H$89,"&gt;="&amp;Finance!BM$3)/12)),IF(YEAR(BM$3)=YEAR(Headcount!$O$4),IF((BM$5=2),((SUMIFS(Headcount!$O$6:$O$89,Headcount!$F$6:$F$89,"Finance",Headcount!$H$6:$H$89,"&gt;="&amp;Finance!BM$3)/12)),BL12),IF(YEAR(BM$3)=YEAR(Headcount!$P$4),IF((BM$5=2),((SUMIFS(Headcount!$P$6:$P$89,Headcount!$F$6:$F$89,"Finance",Headcount!$H$6:$H$89,"&gt;="&amp;Finance!BM$3)/12)),BL12),IF(YEAR(BM$3)=YEAR(Headcount!$Q$4),IF((BM$5=2),((SUMIFS(Headcount!$Q$6:$Q$89,Headcount!$F$6:$F$89,"Finance",Headcount!$H$6:$H$89,"&gt;="&amp;Finance!BM$3)/12)),BL12),IF(YEAR(BM$3)=YEAR(Headcount!$R$4),IF((BM$5=2),((SUMIFS(Headcount!$R$6:$R$89,Headcount!$F$6:$F$89,"Finance",Headcount!$H$6:$H$89,"&gt;="&amp;Finance!BM$3)/12)),BL12),"New Year"))))),'Dept. Cost Actuals'!BQ656-'Dept. Cost Actuals'!BQ646)</f>
        <v>33296.302295833339</v>
      </c>
      <c r="BN12" s="806">
        <f>IF(BN$4="forecast",IF(YEAR(BN$3)=YEAR(Headcount!$N$4),((SUMIFS(Headcount!$N$6:$N$89,Headcount!$F$6:$F$89,"Finance",Headcount!$H$6:$H$89,"&gt;="&amp;Finance!BN$3)/12)),IF(YEAR(BN$3)=YEAR(Headcount!$O$4),IF((BN$5=2),((SUMIFS(Headcount!$O$6:$O$89,Headcount!$F$6:$F$89,"Finance",Headcount!$H$6:$H$89,"&gt;="&amp;Finance!BN$3)/12)),BM12),IF(YEAR(BN$3)=YEAR(Headcount!$P$4),IF((BN$5=2),((SUMIFS(Headcount!$P$6:$P$89,Headcount!$F$6:$F$89,"Finance",Headcount!$H$6:$H$89,"&gt;="&amp;Finance!BN$3)/12)),BM12),IF(YEAR(BN$3)=YEAR(Headcount!$Q$4),IF((BN$5=2),((SUMIFS(Headcount!$Q$6:$Q$89,Headcount!$F$6:$F$89,"Finance",Headcount!$H$6:$H$89,"&gt;="&amp;Finance!BN$3)/12)),BM12),IF(YEAR(BN$3)=YEAR(Headcount!$R$4),IF((BN$5=2),((SUMIFS(Headcount!$R$6:$R$89,Headcount!$F$6:$F$89,"Finance",Headcount!$H$6:$H$89,"&gt;="&amp;Finance!BN$3)/12)),BM12),"New Year"))))),'Dept. Cost Actuals'!BR656-'Dept. Cost Actuals'!BR646)</f>
        <v>33296.302295833339</v>
      </c>
      <c r="BO12" s="806">
        <f>IF(BO$4="forecast",IF(YEAR(BO$3)=YEAR(Headcount!$N$4),((SUMIFS(Headcount!$N$6:$N$89,Headcount!$F$6:$F$89,"Finance",Headcount!$H$6:$H$89,"&gt;="&amp;Finance!BO$3)/12)),IF(YEAR(BO$3)=YEAR(Headcount!$O$4),IF((BO$5=2),((SUMIFS(Headcount!$O$6:$O$89,Headcount!$F$6:$F$89,"Finance",Headcount!$H$6:$H$89,"&gt;="&amp;Finance!BO$3)/12)),BN12),IF(YEAR(BO$3)=YEAR(Headcount!$P$4),IF((BO$5=2),((SUMIFS(Headcount!$P$6:$P$89,Headcount!$F$6:$F$89,"Finance",Headcount!$H$6:$H$89,"&gt;="&amp;Finance!BO$3)/12)),BN12),IF(YEAR(BO$3)=YEAR(Headcount!$Q$4),IF((BO$5=2),((SUMIFS(Headcount!$Q$6:$Q$89,Headcount!$F$6:$F$89,"Finance",Headcount!$H$6:$H$89,"&gt;="&amp;Finance!BO$3)/12)),BN12),IF(YEAR(BO$3)=YEAR(Headcount!$R$4),IF((BO$5=2),((SUMIFS(Headcount!$R$6:$R$89,Headcount!$F$6:$F$89,"Finance",Headcount!$H$6:$H$89,"&gt;="&amp;Finance!BO$3)/12)),BN12),"New Year"))))),'Dept. Cost Actuals'!BS656-'Dept. Cost Actuals'!BS646)</f>
        <v>33296.302295833339</v>
      </c>
      <c r="BP12" s="806">
        <f>IF(BP$4="forecast",IF(YEAR(BP$3)=YEAR(Headcount!$N$4),((SUMIFS(Headcount!$N$6:$N$89,Headcount!$F$6:$F$89,"Finance",Headcount!$H$6:$H$89,"&gt;="&amp;Finance!BP$3)/12)),IF(YEAR(BP$3)=YEAR(Headcount!$O$4),IF((BP$5=2),((SUMIFS(Headcount!$O$6:$O$89,Headcount!$F$6:$F$89,"Finance",Headcount!$H$6:$H$89,"&gt;="&amp;Finance!BP$3)/12)),BO12),IF(YEAR(BP$3)=YEAR(Headcount!$P$4),IF((BP$5=2),((SUMIFS(Headcount!$P$6:$P$89,Headcount!$F$6:$F$89,"Finance",Headcount!$H$6:$H$89,"&gt;="&amp;Finance!BP$3)/12)),BO12),IF(YEAR(BP$3)=YEAR(Headcount!$Q$4),IF((BP$5=2),((SUMIFS(Headcount!$Q$6:$Q$89,Headcount!$F$6:$F$89,"Finance",Headcount!$H$6:$H$89,"&gt;="&amp;Finance!BP$3)/12)),BO12),IF(YEAR(BP$3)=YEAR(Headcount!$R$4),IF((BP$5=2),((SUMIFS(Headcount!$R$6:$R$89,Headcount!$F$6:$F$89,"Finance",Headcount!$H$6:$H$89,"&gt;="&amp;Finance!BP$3)/12)),BO12),"New Year"))))),'Dept. Cost Actuals'!BT656-'Dept. Cost Actuals'!BT646)</f>
        <v>33296.302295833339</v>
      </c>
      <c r="BQ12" s="806">
        <f>IF(BQ$4="forecast",IF(YEAR(BQ$3)=YEAR(Headcount!$N$4),((SUMIFS(Headcount!$N$6:$N$89,Headcount!$F$6:$F$89,"Finance",Headcount!$H$6:$H$89,"&gt;="&amp;Finance!BQ$3)/12)),IF(YEAR(BQ$3)=YEAR(Headcount!$O$4),IF((BQ$5=2),((SUMIFS(Headcount!$O$6:$O$89,Headcount!$F$6:$F$89,"Finance",Headcount!$H$6:$H$89,"&gt;="&amp;Finance!BQ$3)/12)),BP12),IF(YEAR(BQ$3)=YEAR(Headcount!$P$4),IF((BQ$5=2),((SUMIFS(Headcount!$P$6:$P$89,Headcount!$F$6:$F$89,"Finance",Headcount!$H$6:$H$89,"&gt;="&amp;Finance!BQ$3)/12)),BP12),IF(YEAR(BQ$3)=YEAR(Headcount!$Q$4),IF((BQ$5=2),((SUMIFS(Headcount!$Q$6:$Q$89,Headcount!$F$6:$F$89,"Finance",Headcount!$H$6:$H$89,"&gt;="&amp;Finance!BQ$3)/12)),BP12),IF(YEAR(BQ$3)=YEAR(Headcount!$R$4),IF((BQ$5=2),((SUMIFS(Headcount!$R$6:$R$89,Headcount!$F$6:$F$89,"Finance",Headcount!$H$6:$H$89,"&gt;="&amp;Finance!BQ$3)/12)),BP12),"New Year"))))),'Dept. Cost Actuals'!BU656-'Dept. Cost Actuals'!BU646)</f>
        <v>33296.302295833339</v>
      </c>
      <c r="BR12" s="806">
        <f>IF(BR$4="forecast",IF(YEAR(BR$3)=YEAR(Headcount!$N$4),((SUMIFS(Headcount!$N$6:$N$89,Headcount!$F$6:$F$89,"Finance",Headcount!$H$6:$H$89,"&gt;="&amp;Finance!BR$3)/12)),IF(YEAR(BR$3)=YEAR(Headcount!$O$4),IF((BR$5=2),((SUMIFS(Headcount!$O$6:$O$89,Headcount!$F$6:$F$89,"Finance",Headcount!$H$6:$H$89,"&gt;="&amp;Finance!BR$3)/12)),BQ12),IF(YEAR(BR$3)=YEAR(Headcount!$P$4),IF((BR$5=2),((SUMIFS(Headcount!$P$6:$P$89,Headcount!$F$6:$F$89,"Finance",Headcount!$H$6:$H$89,"&gt;="&amp;Finance!BR$3)/12)),BQ12),IF(YEAR(BR$3)=YEAR(Headcount!$Q$4),IF((BR$5=2),((SUMIFS(Headcount!$Q$6:$Q$89,Headcount!$F$6:$F$89,"Finance",Headcount!$H$6:$H$89,"&gt;="&amp;Finance!BR$3)/12)),BQ12),IF(YEAR(BR$3)=YEAR(Headcount!$R$4),IF((BR$5=2),((SUMIFS(Headcount!$R$6:$R$89,Headcount!$F$6:$F$89,"Finance",Headcount!$H$6:$H$89,"&gt;="&amp;Finance!BR$3)/12)),BQ12),"New Year"))))),'Dept. Cost Actuals'!BV656-'Dept. Cost Actuals'!BV646)</f>
        <v>33296.302295833339</v>
      </c>
      <c r="BS12" s="806">
        <f>IF(BS$4="forecast",IF(YEAR(BS$3)=YEAR(Headcount!$N$4),((SUMIFS(Headcount!$N$6:$N$89,Headcount!$F$6:$F$89,"Finance",Headcount!$H$6:$H$89,"&gt;="&amp;Finance!BS$3)/12)),IF(YEAR(BS$3)=YEAR(Headcount!$O$4),IF((BS$5=2),((SUMIFS(Headcount!$O$6:$O$89,Headcount!$F$6:$F$89,"Finance",Headcount!$H$6:$H$89,"&gt;="&amp;Finance!BS$3)/12)),BR12),IF(YEAR(BS$3)=YEAR(Headcount!$P$4),IF((BS$5=2),((SUMIFS(Headcount!$P$6:$P$89,Headcount!$F$6:$F$89,"Finance",Headcount!$H$6:$H$89,"&gt;="&amp;Finance!BS$3)/12)),BR12),IF(YEAR(BS$3)=YEAR(Headcount!$Q$4),IF((BS$5=2),((SUMIFS(Headcount!$Q$6:$Q$89,Headcount!$F$6:$F$89,"Finance",Headcount!$H$6:$H$89,"&gt;="&amp;Finance!BS$3)/12)),BR12),IF(YEAR(BS$3)=YEAR(Headcount!$R$4),IF((BS$5=2),((SUMIFS(Headcount!$R$6:$R$89,Headcount!$F$6:$F$89,"Finance",Headcount!$H$6:$H$89,"&gt;="&amp;Finance!BS$3)/12)),BR12),"New Year"))))),'Dept. Cost Actuals'!BW656-'Dept. Cost Actuals'!BW646)</f>
        <v>33296.302295833339</v>
      </c>
      <c r="BT12" s="806">
        <f>IF(BT$4="forecast",IF(YEAR(BT$3)=YEAR(Headcount!$N$4),((SUMIFS(Headcount!$N$6:$N$89,Headcount!$F$6:$F$89,"Finance",Headcount!$H$6:$H$89,"&gt;="&amp;Finance!BT$3)/12)),IF(YEAR(BT$3)=YEAR(Headcount!$O$4),IF((BT$5=2),((SUMIFS(Headcount!$O$6:$O$89,Headcount!$F$6:$F$89,"Finance",Headcount!$H$6:$H$89,"&gt;="&amp;Finance!BT$3)/12)),BS12),IF(YEAR(BT$3)=YEAR(Headcount!$P$4),IF((BT$5=2),((SUMIFS(Headcount!$P$6:$P$89,Headcount!$F$6:$F$89,"Finance",Headcount!$H$6:$H$89,"&gt;="&amp;Finance!BT$3)/12)),BS12),IF(YEAR(BT$3)=YEAR(Headcount!$Q$4),IF((BT$5=2),((SUMIFS(Headcount!$Q$6:$Q$89,Headcount!$F$6:$F$89,"Finance",Headcount!$H$6:$H$89,"&gt;="&amp;Finance!BT$3)/12)),BS12),IF(YEAR(BT$3)=YEAR(Headcount!$R$4),IF((BT$5=2),((SUMIFS(Headcount!$R$6:$R$89,Headcount!$F$6:$F$89,"Finance",Headcount!$H$6:$H$89,"&gt;="&amp;Finance!BT$3)/12)),BS12),"New Year"))))),'Dept. Cost Actuals'!BX656-'Dept. Cost Actuals'!BX646)</f>
        <v>33296.302295833339</v>
      </c>
      <c r="BU12" s="806">
        <f>IF(BU$4="forecast",IF(YEAR(BU$3)=YEAR(Headcount!$N$4),((SUMIFS(Headcount!$N$6:$N$89,Headcount!$F$6:$F$89,"Finance",Headcount!$H$6:$H$89,"&gt;="&amp;Finance!BU$3)/12)),IF(YEAR(BU$3)=YEAR(Headcount!$O$4),IF((BU$5=2),((SUMIFS(Headcount!$O$6:$O$89,Headcount!$F$6:$F$89,"Finance",Headcount!$H$6:$H$89,"&gt;="&amp;Finance!BU$3)/12)),BT12),IF(YEAR(BU$3)=YEAR(Headcount!$P$4),IF((BU$5=2),((SUMIFS(Headcount!$P$6:$P$89,Headcount!$F$6:$F$89,"Finance",Headcount!$H$6:$H$89,"&gt;="&amp;Finance!BU$3)/12)),BT12),IF(YEAR(BU$3)=YEAR(Headcount!$Q$4),IF((BU$5=2),((SUMIFS(Headcount!$Q$6:$Q$89,Headcount!$F$6:$F$89,"Finance",Headcount!$H$6:$H$89,"&gt;="&amp;Finance!BU$3)/12)),BT12),IF(YEAR(BU$3)=YEAR(Headcount!$R$4),IF((BU$5=2),((SUMIFS(Headcount!$R$6:$R$89,Headcount!$F$6:$F$89,"Finance",Headcount!$H$6:$H$89,"&gt;="&amp;Finance!BU$3)/12)),BT12),"New Year"))))),'Dept. Cost Actuals'!BY656-'Dept. Cost Actuals'!BY646)</f>
        <v>33296.302295833339</v>
      </c>
      <c r="BV12" s="807">
        <f>IF(BV$4="forecast",IF(YEAR(BV$3)=YEAR(Headcount!$N$4),((SUMIFS(Headcount!$N$6:$N$89,Headcount!$F$6:$F$89,"Finance",Headcount!$H$6:$H$89,"&gt;="&amp;Finance!BV$3)/12)),IF(YEAR(BV$3)=YEAR(Headcount!$O$4),IF((BV$5=2),((SUMIFS(Headcount!$O$6:$O$89,Headcount!$F$6:$F$89,"Finance",Headcount!$H$6:$H$89,"&gt;="&amp;Finance!BV$3)/12)),BU12),IF(YEAR(BV$3)=YEAR(Headcount!$P$4),IF((BV$5=2),((SUMIFS(Headcount!$P$6:$P$89,Headcount!$F$6:$F$89,"Finance",Headcount!$H$6:$H$89,"&gt;="&amp;Finance!BV$3)/12)),BU12),IF(YEAR(BV$3)=YEAR(Headcount!$Q$4),IF((BV$5=2),((SUMIFS(Headcount!$Q$6:$Q$89,Headcount!$F$6:$F$89,"Finance",Headcount!$H$6:$H$89,"&gt;="&amp;Finance!BV$3)/12)),BU12),IF(YEAR(BV$3)=YEAR(Headcount!$R$4),IF((BV$5=2),((SUMIFS(Headcount!$R$6:$R$89,Headcount!$F$6:$F$89,"Finance",Headcount!$H$6:$H$89,"&gt;="&amp;Finance!BV$3)/12)),BU12),"New Year"))))),'Dept. Cost Actuals'!BZ656-'Dept. Cost Actuals'!BZ646)</f>
        <v>33296.302295833339</v>
      </c>
    </row>
    <row r="13" spans="2:74" x14ac:dyDescent="0.35">
      <c r="B13" s="797" t="s">
        <v>935</v>
      </c>
      <c r="C13" s="684">
        <f>IF(C$4="forecast",IF(YEAR(C$3)=YEAR('New Hires Forecast'!$N$3),((SUMIFS('New Hires Forecast'!$N$5:$N$81,'New Hires Forecast'!$F$5:$F$81,"Finance",'New Hires Forecast'!$H$5:$H$81,"&gt;="&amp;Finance!C$3,'New Hires Forecast'!$G$5:$G$81,"&lt;="&amp;Finance!C$3)/12)),IF(YEAR(C$3)=YEAR('New Hires Forecast'!$O$3),((SUMIFS('New Hires Forecast'!$O$5:$O$81,'New Hires Forecast'!$F$5:$F$81,"Finance",'New Hires Forecast'!$H$5:$H$81,"&gt;="&amp;Finance!C$3,'New Hires Forecast'!$G$5:$G$81,"&lt;="&amp;Finance!C$3)/12)),IF(YEAR(C$3)=YEAR('New Hires Forecast'!$P$3),((SUMIFS('New Hires Forecast'!$P$5:$P$81,'New Hires Forecast'!$F$5:$F$81,"Finance",'New Hires Forecast'!$H$5:$H$81,"&gt;="&amp;Finance!C$3,'New Hires Forecast'!$G$5:$G$81,"&lt;="&amp;Finance!C$3)/12)),IF(YEAR(C$3)=YEAR('New Hires Forecast'!$Q$3),((SUMIFS('New Hires Forecast'!$Q$5:$Q$81,'New Hires Forecast'!$F$5:$F$81,"Finance",'New Hires Forecast'!$H$5:$H$81,"&gt;="&amp;Finance!C$3,'New Hires Forecast'!$G$5:$G$81,"&lt;="&amp;Finance!C$3)/12)),IF(YEAR(C$3)=YEAR('New Hires Forecast'!$R$3),((SUMIFS('New Hires Forecast'!$R$5:$R$81,'New Hires Forecast'!$F$5:$F$81,"Finance",'New Hires Forecast'!$H$5:$H$81,"&gt;="&amp;Finance!C$3,'New Hires Forecast'!$G$5:$G$81,"&lt;="&amp;Finance!C$3)/12))))))),0)</f>
        <v>0</v>
      </c>
      <c r="D13" s="684">
        <f>IF(D$4="forecast",IF(YEAR(D$3)=YEAR('New Hires Forecast'!$N$3),((SUMIFS('New Hires Forecast'!$N$5:$N$81,'New Hires Forecast'!$F$5:$F$81,"Finance",'New Hires Forecast'!$H$5:$H$81,"&gt;="&amp;Finance!D$3,'New Hires Forecast'!$G$5:$G$81,"&lt;="&amp;Finance!D$3)/12)),IF(YEAR(D$3)=YEAR('New Hires Forecast'!$O$3),((SUMIFS('New Hires Forecast'!$O$5:$O$81,'New Hires Forecast'!$F$5:$F$81,"Finance",'New Hires Forecast'!$H$5:$H$81,"&gt;="&amp;Finance!D$3,'New Hires Forecast'!$G$5:$G$81,"&lt;="&amp;Finance!D$3)/12)),IF(YEAR(D$3)=YEAR('New Hires Forecast'!$P$3),((SUMIFS('New Hires Forecast'!$P$5:$P$81,'New Hires Forecast'!$F$5:$F$81,"Finance",'New Hires Forecast'!$H$5:$H$81,"&gt;="&amp;Finance!D$3,'New Hires Forecast'!$G$5:$G$81,"&lt;="&amp;Finance!D$3)/12)),IF(YEAR(D$3)=YEAR('New Hires Forecast'!$Q$3),((SUMIFS('New Hires Forecast'!$Q$5:$Q$81,'New Hires Forecast'!$F$5:$F$81,"Finance",'New Hires Forecast'!$H$5:$H$81,"&gt;="&amp;Finance!D$3,'New Hires Forecast'!$G$5:$G$81,"&lt;="&amp;Finance!D$3)/12)),IF(YEAR(D$3)=YEAR('New Hires Forecast'!$R$3),((SUMIFS('New Hires Forecast'!$R$5:$R$81,'New Hires Forecast'!$F$5:$F$81,"Finance",'New Hires Forecast'!$H$5:$H$81,"&gt;="&amp;Finance!D$3,'New Hires Forecast'!$G$5:$G$81,"&lt;="&amp;Finance!D$3)/12))))))),0)</f>
        <v>0</v>
      </c>
      <c r="E13" s="684">
        <f>IF(E$4="forecast",IF(YEAR(E$3)=YEAR('New Hires Forecast'!$N$3),((SUMIFS('New Hires Forecast'!$N$5:$N$81,'New Hires Forecast'!$F$5:$F$81,"Finance",'New Hires Forecast'!$H$5:$H$81,"&gt;="&amp;Finance!E$3,'New Hires Forecast'!$G$5:$G$81,"&lt;="&amp;Finance!E$3)/12)),IF(YEAR(E$3)=YEAR('New Hires Forecast'!$O$3),((SUMIFS('New Hires Forecast'!$O$5:$O$81,'New Hires Forecast'!$F$5:$F$81,"Finance",'New Hires Forecast'!$H$5:$H$81,"&gt;="&amp;Finance!E$3,'New Hires Forecast'!$G$5:$G$81,"&lt;="&amp;Finance!E$3)/12)),IF(YEAR(E$3)=YEAR('New Hires Forecast'!$P$3),((SUMIFS('New Hires Forecast'!$P$5:$P$81,'New Hires Forecast'!$F$5:$F$81,"Finance",'New Hires Forecast'!$H$5:$H$81,"&gt;="&amp;Finance!E$3,'New Hires Forecast'!$G$5:$G$81,"&lt;="&amp;Finance!E$3)/12)),IF(YEAR(E$3)=YEAR('New Hires Forecast'!$Q$3),((SUMIFS('New Hires Forecast'!$Q$5:$Q$81,'New Hires Forecast'!$F$5:$F$81,"Finance",'New Hires Forecast'!$H$5:$H$81,"&gt;="&amp;Finance!E$3,'New Hires Forecast'!$G$5:$G$81,"&lt;="&amp;Finance!E$3)/12)),IF(YEAR(E$3)=YEAR('New Hires Forecast'!$R$3),((SUMIFS('New Hires Forecast'!$R$5:$R$81,'New Hires Forecast'!$F$5:$F$81,"Finance",'New Hires Forecast'!$H$5:$H$81,"&gt;="&amp;Finance!E$3,'New Hires Forecast'!$G$5:$G$81,"&lt;="&amp;Finance!E$3)/12))))))),0)</f>
        <v>0</v>
      </c>
      <c r="F13" s="684">
        <f>IF(F$4="forecast",IF(YEAR(F$3)=YEAR('New Hires Forecast'!$N$3),((SUMIFS('New Hires Forecast'!$N$5:$N$81,'New Hires Forecast'!$F$5:$F$81,"Finance",'New Hires Forecast'!$H$5:$H$81,"&gt;="&amp;Finance!F$3,'New Hires Forecast'!$G$5:$G$81,"&lt;="&amp;Finance!F$3)/12)),IF(YEAR(F$3)=YEAR('New Hires Forecast'!$O$3),((SUMIFS('New Hires Forecast'!$O$5:$O$81,'New Hires Forecast'!$F$5:$F$81,"Finance",'New Hires Forecast'!$H$5:$H$81,"&gt;="&amp;Finance!F$3,'New Hires Forecast'!$G$5:$G$81,"&lt;="&amp;Finance!F$3)/12)),IF(YEAR(F$3)=YEAR('New Hires Forecast'!$P$3),((SUMIFS('New Hires Forecast'!$P$5:$P$81,'New Hires Forecast'!$F$5:$F$81,"Finance",'New Hires Forecast'!$H$5:$H$81,"&gt;="&amp;Finance!F$3,'New Hires Forecast'!$G$5:$G$81,"&lt;="&amp;Finance!F$3)/12)),IF(YEAR(F$3)=YEAR('New Hires Forecast'!$Q$3),((SUMIFS('New Hires Forecast'!$Q$5:$Q$81,'New Hires Forecast'!$F$5:$F$81,"Finance",'New Hires Forecast'!$H$5:$H$81,"&gt;="&amp;Finance!F$3,'New Hires Forecast'!$G$5:$G$81,"&lt;="&amp;Finance!F$3)/12)),IF(YEAR(F$3)=YEAR('New Hires Forecast'!$R$3),((SUMIFS('New Hires Forecast'!$R$5:$R$81,'New Hires Forecast'!$F$5:$F$81,"Finance",'New Hires Forecast'!$H$5:$H$81,"&gt;="&amp;Finance!F$3,'New Hires Forecast'!$G$5:$G$81,"&lt;="&amp;Finance!F$3)/12))))))),0)</f>
        <v>0</v>
      </c>
      <c r="G13" s="684">
        <f>IF(G$4="forecast",IF(YEAR(G$3)=YEAR('New Hires Forecast'!$N$3),((SUMIFS('New Hires Forecast'!$N$5:$N$81,'New Hires Forecast'!$F$5:$F$81,"Finance",'New Hires Forecast'!$H$5:$H$81,"&gt;="&amp;Finance!G$3,'New Hires Forecast'!$G$5:$G$81,"&lt;="&amp;Finance!G$3)/12)),IF(YEAR(G$3)=YEAR('New Hires Forecast'!$O$3),((SUMIFS('New Hires Forecast'!$O$5:$O$81,'New Hires Forecast'!$F$5:$F$81,"Finance",'New Hires Forecast'!$H$5:$H$81,"&gt;="&amp;Finance!G$3,'New Hires Forecast'!$G$5:$G$81,"&lt;="&amp;Finance!G$3)/12)),IF(YEAR(G$3)=YEAR('New Hires Forecast'!$P$3),((SUMIFS('New Hires Forecast'!$P$5:$P$81,'New Hires Forecast'!$F$5:$F$81,"Finance",'New Hires Forecast'!$H$5:$H$81,"&gt;="&amp;Finance!G$3,'New Hires Forecast'!$G$5:$G$81,"&lt;="&amp;Finance!G$3)/12)),IF(YEAR(G$3)=YEAR('New Hires Forecast'!$Q$3),((SUMIFS('New Hires Forecast'!$Q$5:$Q$81,'New Hires Forecast'!$F$5:$F$81,"Finance",'New Hires Forecast'!$H$5:$H$81,"&gt;="&amp;Finance!G$3,'New Hires Forecast'!$G$5:$G$81,"&lt;="&amp;Finance!G$3)/12)),IF(YEAR(G$3)=YEAR('New Hires Forecast'!$R$3),((SUMIFS('New Hires Forecast'!$R$5:$R$81,'New Hires Forecast'!$F$5:$F$81,"Finance",'New Hires Forecast'!$H$5:$H$81,"&gt;="&amp;Finance!G$3,'New Hires Forecast'!$G$5:$G$81,"&lt;="&amp;Finance!G$3)/12))))))),0)</f>
        <v>0</v>
      </c>
      <c r="H13" s="684">
        <f>IF(H$4="forecast",IF(YEAR(H$3)=YEAR('New Hires Forecast'!$N$3),((SUMIFS('New Hires Forecast'!$N$5:$N$81,'New Hires Forecast'!$F$5:$F$81,"Finance",'New Hires Forecast'!$H$5:$H$81,"&gt;="&amp;Finance!H$3,'New Hires Forecast'!$G$5:$G$81,"&lt;="&amp;Finance!H$3)/12)),IF(YEAR(H$3)=YEAR('New Hires Forecast'!$O$3),((SUMIFS('New Hires Forecast'!$O$5:$O$81,'New Hires Forecast'!$F$5:$F$81,"Finance",'New Hires Forecast'!$H$5:$H$81,"&gt;="&amp;Finance!H$3,'New Hires Forecast'!$G$5:$G$81,"&lt;="&amp;Finance!H$3)/12)),IF(YEAR(H$3)=YEAR('New Hires Forecast'!$P$3),((SUMIFS('New Hires Forecast'!$P$5:$P$81,'New Hires Forecast'!$F$5:$F$81,"Finance",'New Hires Forecast'!$H$5:$H$81,"&gt;="&amp;Finance!H$3,'New Hires Forecast'!$G$5:$G$81,"&lt;="&amp;Finance!H$3)/12)),IF(YEAR(H$3)=YEAR('New Hires Forecast'!$Q$3),((SUMIFS('New Hires Forecast'!$Q$5:$Q$81,'New Hires Forecast'!$F$5:$F$81,"Finance",'New Hires Forecast'!$H$5:$H$81,"&gt;="&amp;Finance!H$3,'New Hires Forecast'!$G$5:$G$81,"&lt;="&amp;Finance!H$3)/12)),IF(YEAR(H$3)=YEAR('New Hires Forecast'!$R$3),((SUMIFS('New Hires Forecast'!$R$5:$R$81,'New Hires Forecast'!$F$5:$F$81,"Finance",'New Hires Forecast'!$H$5:$H$81,"&gt;="&amp;Finance!H$3,'New Hires Forecast'!$G$5:$G$81,"&lt;="&amp;Finance!H$3)/12))))))),0)</f>
        <v>0</v>
      </c>
      <c r="I13" s="684">
        <f>IF(I$4="forecast",IF(YEAR(I$3)=YEAR('New Hires Forecast'!$N$3),((SUMIFS('New Hires Forecast'!$N$5:$N$81,'New Hires Forecast'!$F$5:$F$81,"Finance",'New Hires Forecast'!$H$5:$H$81,"&gt;="&amp;Finance!I$3,'New Hires Forecast'!$G$5:$G$81,"&lt;="&amp;Finance!I$3)/12)),IF(YEAR(I$3)=YEAR('New Hires Forecast'!$O$3),((SUMIFS('New Hires Forecast'!$O$5:$O$81,'New Hires Forecast'!$F$5:$F$81,"Finance",'New Hires Forecast'!$H$5:$H$81,"&gt;="&amp;Finance!I$3,'New Hires Forecast'!$G$5:$G$81,"&lt;="&amp;Finance!I$3)/12)),IF(YEAR(I$3)=YEAR('New Hires Forecast'!$P$3),((SUMIFS('New Hires Forecast'!$P$5:$P$81,'New Hires Forecast'!$F$5:$F$81,"Finance",'New Hires Forecast'!$H$5:$H$81,"&gt;="&amp;Finance!I$3,'New Hires Forecast'!$G$5:$G$81,"&lt;="&amp;Finance!I$3)/12)),IF(YEAR(I$3)=YEAR('New Hires Forecast'!$Q$3),((SUMIFS('New Hires Forecast'!$Q$5:$Q$81,'New Hires Forecast'!$F$5:$F$81,"Finance",'New Hires Forecast'!$H$5:$H$81,"&gt;="&amp;Finance!I$3,'New Hires Forecast'!$G$5:$G$81,"&lt;="&amp;Finance!I$3)/12)),IF(YEAR(I$3)=YEAR('New Hires Forecast'!$R$3),((SUMIFS('New Hires Forecast'!$R$5:$R$81,'New Hires Forecast'!$F$5:$F$81,"Finance",'New Hires Forecast'!$H$5:$H$81,"&gt;="&amp;Finance!I$3,'New Hires Forecast'!$G$5:$G$81,"&lt;="&amp;Finance!I$3)/12))))))),0)</f>
        <v>0</v>
      </c>
      <c r="J13" s="684">
        <f>IF(J$4="forecast",IF(YEAR(J$3)=YEAR('New Hires Forecast'!$N$3),((SUMIFS('New Hires Forecast'!$N$5:$N$81,'New Hires Forecast'!$F$5:$F$81,"Finance",'New Hires Forecast'!$H$5:$H$81,"&gt;="&amp;Finance!J$3,'New Hires Forecast'!$G$5:$G$81,"&lt;="&amp;Finance!J$3)/12)),IF(YEAR(J$3)=YEAR('New Hires Forecast'!$O$3),((SUMIFS('New Hires Forecast'!$O$5:$O$81,'New Hires Forecast'!$F$5:$F$81,"Finance",'New Hires Forecast'!$H$5:$H$81,"&gt;="&amp;Finance!J$3,'New Hires Forecast'!$G$5:$G$81,"&lt;="&amp;Finance!J$3)/12)),IF(YEAR(J$3)=YEAR('New Hires Forecast'!$P$3),((SUMIFS('New Hires Forecast'!$P$5:$P$81,'New Hires Forecast'!$F$5:$F$81,"Finance",'New Hires Forecast'!$H$5:$H$81,"&gt;="&amp;Finance!J$3,'New Hires Forecast'!$G$5:$G$81,"&lt;="&amp;Finance!J$3)/12)),IF(YEAR(J$3)=YEAR('New Hires Forecast'!$Q$3),((SUMIFS('New Hires Forecast'!$Q$5:$Q$81,'New Hires Forecast'!$F$5:$F$81,"Finance",'New Hires Forecast'!$H$5:$H$81,"&gt;="&amp;Finance!J$3,'New Hires Forecast'!$G$5:$G$81,"&lt;="&amp;Finance!J$3)/12)),IF(YEAR(J$3)=YEAR('New Hires Forecast'!$R$3),((SUMIFS('New Hires Forecast'!$R$5:$R$81,'New Hires Forecast'!$F$5:$F$81,"Finance",'New Hires Forecast'!$H$5:$H$81,"&gt;="&amp;Finance!J$3,'New Hires Forecast'!$G$5:$G$81,"&lt;="&amp;Finance!J$3)/12))))))),0)</f>
        <v>0</v>
      </c>
      <c r="K13" s="684">
        <f>IF(K$4="forecast",IF(YEAR(K$3)=YEAR('New Hires Forecast'!$N$3),((SUMIFS('New Hires Forecast'!$N$5:$N$81,'New Hires Forecast'!$F$5:$F$81,"Finance",'New Hires Forecast'!$H$5:$H$81,"&gt;="&amp;Finance!K$3,'New Hires Forecast'!$G$5:$G$81,"&lt;="&amp;Finance!K$3)/12)),IF(YEAR(K$3)=YEAR('New Hires Forecast'!$O$3),((SUMIFS('New Hires Forecast'!$O$5:$O$81,'New Hires Forecast'!$F$5:$F$81,"Finance",'New Hires Forecast'!$H$5:$H$81,"&gt;="&amp;Finance!K$3,'New Hires Forecast'!$G$5:$G$81,"&lt;="&amp;Finance!K$3)/12)),IF(YEAR(K$3)=YEAR('New Hires Forecast'!$P$3),((SUMIFS('New Hires Forecast'!$P$5:$P$81,'New Hires Forecast'!$F$5:$F$81,"Finance",'New Hires Forecast'!$H$5:$H$81,"&gt;="&amp;Finance!K$3,'New Hires Forecast'!$G$5:$G$81,"&lt;="&amp;Finance!K$3)/12)),IF(YEAR(K$3)=YEAR('New Hires Forecast'!$Q$3),((SUMIFS('New Hires Forecast'!$Q$5:$Q$81,'New Hires Forecast'!$F$5:$F$81,"Finance",'New Hires Forecast'!$H$5:$H$81,"&gt;="&amp;Finance!K$3,'New Hires Forecast'!$G$5:$G$81,"&lt;="&amp;Finance!K$3)/12)),IF(YEAR(K$3)=YEAR('New Hires Forecast'!$R$3),((SUMIFS('New Hires Forecast'!$R$5:$R$81,'New Hires Forecast'!$F$5:$F$81,"Finance",'New Hires Forecast'!$H$5:$H$81,"&gt;="&amp;Finance!K$3,'New Hires Forecast'!$G$5:$G$81,"&lt;="&amp;Finance!K$3)/12))))))),0)</f>
        <v>0</v>
      </c>
      <c r="L13" s="684">
        <f>IF(L$4="forecast",IF(YEAR(L$3)=YEAR('New Hires Forecast'!$N$3),((SUMIFS('New Hires Forecast'!$N$5:$N$81,'New Hires Forecast'!$F$5:$F$81,"Finance",'New Hires Forecast'!$H$5:$H$81,"&gt;="&amp;Finance!L$3,'New Hires Forecast'!$G$5:$G$81,"&lt;="&amp;Finance!L$3)/12)),IF(YEAR(L$3)=YEAR('New Hires Forecast'!$O$3),((SUMIFS('New Hires Forecast'!$O$5:$O$81,'New Hires Forecast'!$F$5:$F$81,"Finance",'New Hires Forecast'!$H$5:$H$81,"&gt;="&amp;Finance!L$3,'New Hires Forecast'!$G$5:$G$81,"&lt;="&amp;Finance!L$3)/12)),IF(YEAR(L$3)=YEAR('New Hires Forecast'!$P$3),((SUMIFS('New Hires Forecast'!$P$5:$P$81,'New Hires Forecast'!$F$5:$F$81,"Finance",'New Hires Forecast'!$H$5:$H$81,"&gt;="&amp;Finance!L$3,'New Hires Forecast'!$G$5:$G$81,"&lt;="&amp;Finance!L$3)/12)),IF(YEAR(L$3)=YEAR('New Hires Forecast'!$Q$3),((SUMIFS('New Hires Forecast'!$Q$5:$Q$81,'New Hires Forecast'!$F$5:$F$81,"Finance",'New Hires Forecast'!$H$5:$H$81,"&gt;="&amp;Finance!L$3,'New Hires Forecast'!$G$5:$G$81,"&lt;="&amp;Finance!L$3)/12)),IF(YEAR(L$3)=YEAR('New Hires Forecast'!$R$3),((SUMIFS('New Hires Forecast'!$R$5:$R$81,'New Hires Forecast'!$F$5:$F$81,"Finance",'New Hires Forecast'!$H$5:$H$81,"&gt;="&amp;Finance!L$3,'New Hires Forecast'!$G$5:$G$81,"&lt;="&amp;Finance!L$3)/12))))))),0)</f>
        <v>0</v>
      </c>
      <c r="M13" s="684">
        <f>IF(M$4="forecast",IF(YEAR(M$3)=YEAR('New Hires Forecast'!$N$3),((SUMIFS('New Hires Forecast'!$N$5:$N$81,'New Hires Forecast'!$F$5:$F$81,"Finance",'New Hires Forecast'!$H$5:$H$81,"&gt;="&amp;Finance!M$3,'New Hires Forecast'!$G$5:$G$81,"&lt;="&amp;Finance!M$3)/12)),IF(YEAR(M$3)=YEAR('New Hires Forecast'!$O$3),((SUMIFS('New Hires Forecast'!$O$5:$O$81,'New Hires Forecast'!$F$5:$F$81,"Finance",'New Hires Forecast'!$H$5:$H$81,"&gt;="&amp;Finance!M$3,'New Hires Forecast'!$G$5:$G$81,"&lt;="&amp;Finance!M$3)/12)),IF(YEAR(M$3)=YEAR('New Hires Forecast'!$P$3),((SUMIFS('New Hires Forecast'!$P$5:$P$81,'New Hires Forecast'!$F$5:$F$81,"Finance",'New Hires Forecast'!$H$5:$H$81,"&gt;="&amp;Finance!M$3,'New Hires Forecast'!$G$5:$G$81,"&lt;="&amp;Finance!M$3)/12)),IF(YEAR(M$3)=YEAR('New Hires Forecast'!$Q$3),((SUMIFS('New Hires Forecast'!$Q$5:$Q$81,'New Hires Forecast'!$F$5:$F$81,"Finance",'New Hires Forecast'!$H$5:$H$81,"&gt;="&amp;Finance!M$3,'New Hires Forecast'!$G$5:$G$81,"&lt;="&amp;Finance!M$3)/12)),IF(YEAR(M$3)=YEAR('New Hires Forecast'!$R$3),((SUMIFS('New Hires Forecast'!$R$5:$R$81,'New Hires Forecast'!$F$5:$F$81,"Finance",'New Hires Forecast'!$H$5:$H$81,"&gt;="&amp;Finance!M$3,'New Hires Forecast'!$G$5:$G$81,"&lt;="&amp;Finance!M$3)/12))))))),0)</f>
        <v>0</v>
      </c>
      <c r="N13" s="684">
        <f>IF(N$4="forecast",IF(YEAR(N$3)=YEAR('New Hires Forecast'!$N$3),((SUMIFS('New Hires Forecast'!$N$5:$N$81,'New Hires Forecast'!$F$5:$F$81,"Finance",'New Hires Forecast'!$H$5:$H$81,"&gt;="&amp;Finance!N$3,'New Hires Forecast'!$G$5:$G$81,"&lt;="&amp;Finance!N$3)/12)),IF(YEAR(N$3)=YEAR('New Hires Forecast'!$O$3),((SUMIFS('New Hires Forecast'!$O$5:$O$81,'New Hires Forecast'!$F$5:$F$81,"Finance",'New Hires Forecast'!$H$5:$H$81,"&gt;="&amp;Finance!N$3,'New Hires Forecast'!$G$5:$G$81,"&lt;="&amp;Finance!N$3)/12)),IF(YEAR(N$3)=YEAR('New Hires Forecast'!$P$3),((SUMIFS('New Hires Forecast'!$P$5:$P$81,'New Hires Forecast'!$F$5:$F$81,"Finance",'New Hires Forecast'!$H$5:$H$81,"&gt;="&amp;Finance!N$3,'New Hires Forecast'!$G$5:$G$81,"&lt;="&amp;Finance!N$3)/12)),IF(YEAR(N$3)=YEAR('New Hires Forecast'!$Q$3),((SUMIFS('New Hires Forecast'!$Q$5:$Q$81,'New Hires Forecast'!$F$5:$F$81,"Finance",'New Hires Forecast'!$H$5:$H$81,"&gt;="&amp;Finance!N$3,'New Hires Forecast'!$G$5:$G$81,"&lt;="&amp;Finance!N$3)/12)),IF(YEAR(N$3)=YEAR('New Hires Forecast'!$R$3),((SUMIFS('New Hires Forecast'!$R$5:$R$81,'New Hires Forecast'!$F$5:$F$81,"Finance",'New Hires Forecast'!$H$5:$H$81,"&gt;="&amp;Finance!N$3,'New Hires Forecast'!$G$5:$G$81,"&lt;="&amp;Finance!N$3)/12))))))),0)</f>
        <v>0</v>
      </c>
      <c r="O13" s="684">
        <f>IF(O$4="forecast",IF(YEAR(O$3)=YEAR('New Hires Forecast'!$N$3),((SUMIFS('New Hires Forecast'!$N$5:$N$81,'New Hires Forecast'!$F$5:$F$81,"Finance",'New Hires Forecast'!$H$5:$H$81,"&gt;="&amp;Finance!O$3,'New Hires Forecast'!$G$5:$G$81,"&lt;="&amp;Finance!O$3)/12)),IF(YEAR(O$3)=YEAR('New Hires Forecast'!$O$3),((SUMIFS('New Hires Forecast'!$O$5:$O$81,'New Hires Forecast'!$F$5:$F$81,"Finance",'New Hires Forecast'!$H$5:$H$81,"&gt;="&amp;Finance!O$3,'New Hires Forecast'!$G$5:$G$81,"&lt;="&amp;Finance!O$3)/12)),IF(YEAR(O$3)=YEAR('New Hires Forecast'!$P$3),((SUMIFS('New Hires Forecast'!$P$5:$P$81,'New Hires Forecast'!$F$5:$F$81,"Finance",'New Hires Forecast'!$H$5:$H$81,"&gt;="&amp;Finance!O$3,'New Hires Forecast'!$G$5:$G$81,"&lt;="&amp;Finance!O$3)/12)),IF(YEAR(O$3)=YEAR('New Hires Forecast'!$Q$3),((SUMIFS('New Hires Forecast'!$Q$5:$Q$81,'New Hires Forecast'!$F$5:$F$81,"Finance",'New Hires Forecast'!$H$5:$H$81,"&gt;="&amp;Finance!O$3,'New Hires Forecast'!$G$5:$G$81,"&lt;="&amp;Finance!O$3)/12)),IF(YEAR(O$3)=YEAR('New Hires Forecast'!$R$3),((SUMIFS('New Hires Forecast'!$R$5:$R$81,'New Hires Forecast'!$F$5:$F$81,"Finance",'New Hires Forecast'!$H$5:$H$81,"&gt;="&amp;Finance!O$3,'New Hires Forecast'!$G$5:$G$81,"&lt;="&amp;Finance!O$3)/12))))))),0)</f>
        <v>0</v>
      </c>
      <c r="P13" s="684">
        <f>IF(P$4="forecast",IF(YEAR(P$3)=YEAR('New Hires Forecast'!$N$3),((SUMIFS('New Hires Forecast'!$N$5:$N$81,'New Hires Forecast'!$F$5:$F$81,"Finance",'New Hires Forecast'!$H$5:$H$81,"&gt;="&amp;Finance!P$3,'New Hires Forecast'!$G$5:$G$81,"&lt;="&amp;Finance!P$3)/12)),IF(YEAR(P$3)=YEAR('New Hires Forecast'!$O$3),((SUMIFS('New Hires Forecast'!$O$5:$O$81,'New Hires Forecast'!$F$5:$F$81,"Finance",'New Hires Forecast'!$H$5:$H$81,"&gt;="&amp;Finance!P$3,'New Hires Forecast'!$G$5:$G$81,"&lt;="&amp;Finance!P$3)/12)),IF(YEAR(P$3)=YEAR('New Hires Forecast'!$P$3),((SUMIFS('New Hires Forecast'!$P$5:$P$81,'New Hires Forecast'!$F$5:$F$81,"Finance",'New Hires Forecast'!$H$5:$H$81,"&gt;="&amp;Finance!P$3,'New Hires Forecast'!$G$5:$G$81,"&lt;="&amp;Finance!P$3)/12)),IF(YEAR(P$3)=YEAR('New Hires Forecast'!$Q$3),((SUMIFS('New Hires Forecast'!$Q$5:$Q$81,'New Hires Forecast'!$F$5:$F$81,"Finance",'New Hires Forecast'!$H$5:$H$81,"&gt;="&amp;Finance!P$3,'New Hires Forecast'!$G$5:$G$81,"&lt;="&amp;Finance!P$3)/12)),IF(YEAR(P$3)=YEAR('New Hires Forecast'!$R$3),((SUMIFS('New Hires Forecast'!$R$5:$R$81,'New Hires Forecast'!$F$5:$F$81,"Finance",'New Hires Forecast'!$H$5:$H$81,"&gt;="&amp;Finance!P$3,'New Hires Forecast'!$G$5:$G$81,"&lt;="&amp;Finance!P$3)/12))))))),0)</f>
        <v>0</v>
      </c>
      <c r="Q13" s="684">
        <f>IF(Q$4="forecast",IF(YEAR(Q$3)=YEAR('New Hires Forecast'!$N$3),((SUMIFS('New Hires Forecast'!$N$5:$N$81,'New Hires Forecast'!$F$5:$F$81,"Finance",'New Hires Forecast'!$H$5:$H$81,"&gt;="&amp;Finance!Q$3,'New Hires Forecast'!$G$5:$G$81,"&lt;="&amp;Finance!Q$3)/12)),IF(YEAR(Q$3)=YEAR('New Hires Forecast'!$O$3),((SUMIFS('New Hires Forecast'!$O$5:$O$81,'New Hires Forecast'!$F$5:$F$81,"Finance",'New Hires Forecast'!$H$5:$H$81,"&gt;="&amp;Finance!Q$3,'New Hires Forecast'!$G$5:$G$81,"&lt;="&amp;Finance!Q$3)/12)),IF(YEAR(Q$3)=YEAR('New Hires Forecast'!$P$3),((SUMIFS('New Hires Forecast'!$P$5:$P$81,'New Hires Forecast'!$F$5:$F$81,"Finance",'New Hires Forecast'!$H$5:$H$81,"&gt;="&amp;Finance!Q$3,'New Hires Forecast'!$G$5:$G$81,"&lt;="&amp;Finance!Q$3)/12)),IF(YEAR(Q$3)=YEAR('New Hires Forecast'!$Q$3),((SUMIFS('New Hires Forecast'!$Q$5:$Q$81,'New Hires Forecast'!$F$5:$F$81,"Finance",'New Hires Forecast'!$H$5:$H$81,"&gt;="&amp;Finance!Q$3,'New Hires Forecast'!$G$5:$G$81,"&lt;="&amp;Finance!Q$3)/12)),IF(YEAR(Q$3)=YEAR('New Hires Forecast'!$R$3),((SUMIFS('New Hires Forecast'!$R$5:$R$81,'New Hires Forecast'!$F$5:$F$81,"Finance",'New Hires Forecast'!$H$5:$H$81,"&gt;="&amp;Finance!Q$3,'New Hires Forecast'!$G$5:$G$81,"&lt;="&amp;Finance!Q$3)/12))))))),0)</f>
        <v>0</v>
      </c>
      <c r="R13" s="684">
        <f>IF(R$4="forecast",IF(YEAR(R$3)=YEAR('New Hires Forecast'!$N$3),((SUMIFS('New Hires Forecast'!$N$5:$N$81,'New Hires Forecast'!$F$5:$F$81,"Finance",'New Hires Forecast'!$H$5:$H$81,"&gt;="&amp;Finance!R$3,'New Hires Forecast'!$G$5:$G$81,"&lt;="&amp;Finance!R$3)/12)),IF(YEAR(R$3)=YEAR('New Hires Forecast'!$O$3),((SUMIFS('New Hires Forecast'!$O$5:$O$81,'New Hires Forecast'!$F$5:$F$81,"Finance",'New Hires Forecast'!$H$5:$H$81,"&gt;="&amp;Finance!R$3,'New Hires Forecast'!$G$5:$G$81,"&lt;="&amp;Finance!R$3)/12)),IF(YEAR(R$3)=YEAR('New Hires Forecast'!$P$3),((SUMIFS('New Hires Forecast'!$P$5:$P$81,'New Hires Forecast'!$F$5:$F$81,"Finance",'New Hires Forecast'!$H$5:$H$81,"&gt;="&amp;Finance!R$3,'New Hires Forecast'!$G$5:$G$81,"&lt;="&amp;Finance!R$3)/12)),IF(YEAR(R$3)=YEAR('New Hires Forecast'!$Q$3),((SUMIFS('New Hires Forecast'!$Q$5:$Q$81,'New Hires Forecast'!$F$5:$F$81,"Finance",'New Hires Forecast'!$H$5:$H$81,"&gt;="&amp;Finance!R$3,'New Hires Forecast'!$G$5:$G$81,"&lt;="&amp;Finance!R$3)/12)),IF(YEAR(R$3)=YEAR('New Hires Forecast'!$R$3),((SUMIFS('New Hires Forecast'!$R$5:$R$81,'New Hires Forecast'!$F$5:$F$81,"Finance",'New Hires Forecast'!$H$5:$H$81,"&gt;="&amp;Finance!R$3,'New Hires Forecast'!$G$5:$G$81,"&lt;="&amp;Finance!R$3)/12))))))),0)</f>
        <v>0</v>
      </c>
      <c r="S13" s="684">
        <f>IF(S$4="forecast",IF(YEAR(S$3)=YEAR('New Hires Forecast'!$N$3),((SUMIFS('New Hires Forecast'!$N$5:$N$81,'New Hires Forecast'!$F$5:$F$81,"Finance",'New Hires Forecast'!$H$5:$H$81,"&gt;="&amp;Finance!S$3,'New Hires Forecast'!$G$5:$G$81,"&lt;="&amp;Finance!S$3)/12)),IF(YEAR(S$3)=YEAR('New Hires Forecast'!$O$3),((SUMIFS('New Hires Forecast'!$O$5:$O$81,'New Hires Forecast'!$F$5:$F$81,"Finance",'New Hires Forecast'!$H$5:$H$81,"&gt;="&amp;Finance!S$3,'New Hires Forecast'!$G$5:$G$81,"&lt;="&amp;Finance!S$3)/12)),IF(YEAR(S$3)=YEAR('New Hires Forecast'!$P$3),((SUMIFS('New Hires Forecast'!$P$5:$P$81,'New Hires Forecast'!$F$5:$F$81,"Finance",'New Hires Forecast'!$H$5:$H$81,"&gt;="&amp;Finance!S$3,'New Hires Forecast'!$G$5:$G$81,"&lt;="&amp;Finance!S$3)/12)),IF(YEAR(S$3)=YEAR('New Hires Forecast'!$Q$3),((SUMIFS('New Hires Forecast'!$Q$5:$Q$81,'New Hires Forecast'!$F$5:$F$81,"Finance",'New Hires Forecast'!$H$5:$H$81,"&gt;="&amp;Finance!S$3,'New Hires Forecast'!$G$5:$G$81,"&lt;="&amp;Finance!S$3)/12)),IF(YEAR(S$3)=YEAR('New Hires Forecast'!$R$3),((SUMIFS('New Hires Forecast'!$R$5:$R$81,'New Hires Forecast'!$F$5:$F$81,"Finance",'New Hires Forecast'!$H$5:$H$81,"&gt;="&amp;Finance!S$3,'New Hires Forecast'!$G$5:$G$81,"&lt;="&amp;Finance!S$3)/12))))))),0)</f>
        <v>0</v>
      </c>
      <c r="T13" s="684">
        <f>IF(T$4="forecast",IF(YEAR(T$3)=YEAR('New Hires Forecast'!$N$3),((SUMIFS('New Hires Forecast'!$N$5:$N$81,'New Hires Forecast'!$F$5:$F$81,"Finance",'New Hires Forecast'!$H$5:$H$81,"&gt;="&amp;Finance!T$3,'New Hires Forecast'!$G$5:$G$81,"&lt;="&amp;Finance!T$3)/12)),IF(YEAR(T$3)=YEAR('New Hires Forecast'!$O$3),((SUMIFS('New Hires Forecast'!$O$5:$O$81,'New Hires Forecast'!$F$5:$F$81,"Finance",'New Hires Forecast'!$H$5:$H$81,"&gt;="&amp;Finance!T$3,'New Hires Forecast'!$G$5:$G$81,"&lt;="&amp;Finance!T$3)/12)),IF(YEAR(T$3)=YEAR('New Hires Forecast'!$P$3),((SUMIFS('New Hires Forecast'!$P$5:$P$81,'New Hires Forecast'!$F$5:$F$81,"Finance",'New Hires Forecast'!$H$5:$H$81,"&gt;="&amp;Finance!T$3,'New Hires Forecast'!$G$5:$G$81,"&lt;="&amp;Finance!T$3)/12)),IF(YEAR(T$3)=YEAR('New Hires Forecast'!$Q$3),((SUMIFS('New Hires Forecast'!$Q$5:$Q$81,'New Hires Forecast'!$F$5:$F$81,"Finance",'New Hires Forecast'!$H$5:$H$81,"&gt;="&amp;Finance!T$3,'New Hires Forecast'!$G$5:$G$81,"&lt;="&amp;Finance!T$3)/12)),IF(YEAR(T$3)=YEAR('New Hires Forecast'!$R$3),((SUMIFS('New Hires Forecast'!$R$5:$R$81,'New Hires Forecast'!$F$5:$F$81,"Finance",'New Hires Forecast'!$H$5:$H$81,"&gt;="&amp;Finance!T$3,'New Hires Forecast'!$G$5:$G$81,"&lt;="&amp;Finance!T$3)/12))))))),0)</f>
        <v>0</v>
      </c>
      <c r="U13" s="684">
        <f>IF(U$4="forecast",IF(YEAR(U$3)=YEAR('New Hires Forecast'!$N$3),((SUMIFS('New Hires Forecast'!$N$5:$N$81,'New Hires Forecast'!$F$5:$F$81,"Finance",'New Hires Forecast'!$H$5:$H$81,"&gt;="&amp;Finance!U$3,'New Hires Forecast'!$G$5:$G$81,"&lt;="&amp;Finance!U$3)/12)),IF(YEAR(U$3)=YEAR('New Hires Forecast'!$O$3),((SUMIFS('New Hires Forecast'!$O$5:$O$81,'New Hires Forecast'!$F$5:$F$81,"Finance",'New Hires Forecast'!$H$5:$H$81,"&gt;="&amp;Finance!U$3,'New Hires Forecast'!$G$5:$G$81,"&lt;="&amp;Finance!U$3)/12)),IF(YEAR(U$3)=YEAR('New Hires Forecast'!$P$3),((SUMIFS('New Hires Forecast'!$P$5:$P$81,'New Hires Forecast'!$F$5:$F$81,"Finance",'New Hires Forecast'!$H$5:$H$81,"&gt;="&amp;Finance!U$3,'New Hires Forecast'!$G$5:$G$81,"&lt;="&amp;Finance!U$3)/12)),IF(YEAR(U$3)=YEAR('New Hires Forecast'!$Q$3),((SUMIFS('New Hires Forecast'!$Q$5:$Q$81,'New Hires Forecast'!$F$5:$F$81,"Finance",'New Hires Forecast'!$H$5:$H$81,"&gt;="&amp;Finance!U$3,'New Hires Forecast'!$G$5:$G$81,"&lt;="&amp;Finance!U$3)/12)),IF(YEAR(U$3)=YEAR('New Hires Forecast'!$R$3),((SUMIFS('New Hires Forecast'!$R$5:$R$81,'New Hires Forecast'!$F$5:$F$81,"Finance",'New Hires Forecast'!$H$5:$H$81,"&gt;="&amp;Finance!U$3,'New Hires Forecast'!$G$5:$G$81,"&lt;="&amp;Finance!U$3)/12))))))),0)</f>
        <v>0</v>
      </c>
      <c r="V13" s="684">
        <f>IF(V$4="forecast",IF(YEAR(V$3)=YEAR('New Hires Forecast'!$N$3),((SUMIFS('New Hires Forecast'!$N$5:$N$81,'New Hires Forecast'!$F$5:$F$81,"Finance",'New Hires Forecast'!$H$5:$H$81,"&gt;="&amp;Finance!V$3,'New Hires Forecast'!$G$5:$G$81,"&lt;="&amp;Finance!V$3)/12)),IF(YEAR(V$3)=YEAR('New Hires Forecast'!$O$3),((SUMIFS('New Hires Forecast'!$O$5:$O$81,'New Hires Forecast'!$F$5:$F$81,"Finance",'New Hires Forecast'!$H$5:$H$81,"&gt;="&amp;Finance!V$3,'New Hires Forecast'!$G$5:$G$81,"&lt;="&amp;Finance!V$3)/12)),IF(YEAR(V$3)=YEAR('New Hires Forecast'!$P$3),((SUMIFS('New Hires Forecast'!$P$5:$P$81,'New Hires Forecast'!$F$5:$F$81,"Finance",'New Hires Forecast'!$H$5:$H$81,"&gt;="&amp;Finance!V$3,'New Hires Forecast'!$G$5:$G$81,"&lt;="&amp;Finance!V$3)/12)),IF(YEAR(V$3)=YEAR('New Hires Forecast'!$Q$3),((SUMIFS('New Hires Forecast'!$Q$5:$Q$81,'New Hires Forecast'!$F$5:$F$81,"Finance",'New Hires Forecast'!$H$5:$H$81,"&gt;="&amp;Finance!V$3,'New Hires Forecast'!$G$5:$G$81,"&lt;="&amp;Finance!V$3)/12)),IF(YEAR(V$3)=YEAR('New Hires Forecast'!$R$3),((SUMIFS('New Hires Forecast'!$R$5:$R$81,'New Hires Forecast'!$F$5:$F$81,"Finance",'New Hires Forecast'!$H$5:$H$81,"&gt;="&amp;Finance!V$3,'New Hires Forecast'!$G$5:$G$81,"&lt;="&amp;Finance!V$3)/12))))))),0)</f>
        <v>0</v>
      </c>
      <c r="W13" s="684">
        <f>IF(W$4="forecast",IF(YEAR(W$3)=YEAR('New Hires Forecast'!$N$3),((SUMIFS('New Hires Forecast'!$N$5:$N$81,'New Hires Forecast'!$F$5:$F$81,"Finance",'New Hires Forecast'!$H$5:$H$81,"&gt;="&amp;Finance!W$3,'New Hires Forecast'!$G$5:$G$81,"&lt;="&amp;Finance!W$3)/12)),IF(YEAR(W$3)=YEAR('New Hires Forecast'!$O$3),((SUMIFS('New Hires Forecast'!$O$5:$O$81,'New Hires Forecast'!$F$5:$F$81,"Finance",'New Hires Forecast'!$H$5:$H$81,"&gt;="&amp;Finance!W$3,'New Hires Forecast'!$G$5:$G$81,"&lt;="&amp;Finance!W$3)/12)),IF(YEAR(W$3)=YEAR('New Hires Forecast'!$P$3),((SUMIFS('New Hires Forecast'!$P$5:$P$81,'New Hires Forecast'!$F$5:$F$81,"Finance",'New Hires Forecast'!$H$5:$H$81,"&gt;="&amp;Finance!W$3,'New Hires Forecast'!$G$5:$G$81,"&lt;="&amp;Finance!W$3)/12)),IF(YEAR(W$3)=YEAR('New Hires Forecast'!$Q$3),((SUMIFS('New Hires Forecast'!$Q$5:$Q$81,'New Hires Forecast'!$F$5:$F$81,"Finance",'New Hires Forecast'!$H$5:$H$81,"&gt;="&amp;Finance!W$3,'New Hires Forecast'!$G$5:$G$81,"&lt;="&amp;Finance!W$3)/12)),IF(YEAR(W$3)=YEAR('New Hires Forecast'!$R$3),((SUMIFS('New Hires Forecast'!$R$5:$R$81,'New Hires Forecast'!$F$5:$F$81,"Finance",'New Hires Forecast'!$H$5:$H$81,"&gt;="&amp;Finance!W$3,'New Hires Forecast'!$G$5:$G$81,"&lt;="&amp;Finance!W$3)/12))))))),0)</f>
        <v>0</v>
      </c>
      <c r="X13" s="684">
        <f>IF(X$4="forecast",IF(YEAR(X$3)=YEAR('New Hires Forecast'!$N$3),((SUMIFS('New Hires Forecast'!$N$5:$N$81,'New Hires Forecast'!$F$5:$F$81,"Finance",'New Hires Forecast'!$H$5:$H$81,"&gt;="&amp;Finance!X$3,'New Hires Forecast'!$G$5:$G$81,"&lt;="&amp;Finance!X$3)/12)),IF(YEAR(X$3)=YEAR('New Hires Forecast'!$O$3),((SUMIFS('New Hires Forecast'!$O$5:$O$81,'New Hires Forecast'!$F$5:$F$81,"Finance",'New Hires Forecast'!$H$5:$H$81,"&gt;="&amp;Finance!X$3,'New Hires Forecast'!$G$5:$G$81,"&lt;="&amp;Finance!X$3)/12)),IF(YEAR(X$3)=YEAR('New Hires Forecast'!$P$3),((SUMIFS('New Hires Forecast'!$P$5:$P$81,'New Hires Forecast'!$F$5:$F$81,"Finance",'New Hires Forecast'!$H$5:$H$81,"&gt;="&amp;Finance!X$3,'New Hires Forecast'!$G$5:$G$81,"&lt;="&amp;Finance!X$3)/12)),IF(YEAR(X$3)=YEAR('New Hires Forecast'!$Q$3),((SUMIFS('New Hires Forecast'!$Q$5:$Q$81,'New Hires Forecast'!$F$5:$F$81,"Finance",'New Hires Forecast'!$H$5:$H$81,"&gt;="&amp;Finance!X$3,'New Hires Forecast'!$G$5:$G$81,"&lt;="&amp;Finance!X$3)/12)),IF(YEAR(X$3)=YEAR('New Hires Forecast'!$R$3),((SUMIFS('New Hires Forecast'!$R$5:$R$81,'New Hires Forecast'!$F$5:$F$81,"Finance",'New Hires Forecast'!$H$5:$H$81,"&gt;="&amp;Finance!X$3,'New Hires Forecast'!$G$5:$G$81,"&lt;="&amp;Finance!X$3)/12))))))),0)</f>
        <v>0</v>
      </c>
      <c r="Y13" s="684">
        <f>IF(Y$4="forecast",IF(YEAR(Y$3)=YEAR('New Hires Forecast'!$N$3),((SUMIFS('New Hires Forecast'!$N$5:$N$81,'New Hires Forecast'!$F$5:$F$81,"Finance",'New Hires Forecast'!$H$5:$H$81,"&gt;="&amp;Finance!Y$3,'New Hires Forecast'!$G$5:$G$81,"&lt;="&amp;Finance!Y$3)/12)),IF(YEAR(Y$3)=YEAR('New Hires Forecast'!$O$3),((SUMIFS('New Hires Forecast'!$O$5:$O$81,'New Hires Forecast'!$F$5:$F$81,"Finance",'New Hires Forecast'!$H$5:$H$81,"&gt;="&amp;Finance!Y$3,'New Hires Forecast'!$G$5:$G$81,"&lt;="&amp;Finance!Y$3)/12)),IF(YEAR(Y$3)=YEAR('New Hires Forecast'!$P$3),((SUMIFS('New Hires Forecast'!$P$5:$P$81,'New Hires Forecast'!$F$5:$F$81,"Finance",'New Hires Forecast'!$H$5:$H$81,"&gt;="&amp;Finance!Y$3,'New Hires Forecast'!$G$5:$G$81,"&lt;="&amp;Finance!Y$3)/12)),IF(YEAR(Y$3)=YEAR('New Hires Forecast'!$Q$3),((SUMIFS('New Hires Forecast'!$Q$5:$Q$81,'New Hires Forecast'!$F$5:$F$81,"Finance",'New Hires Forecast'!$H$5:$H$81,"&gt;="&amp;Finance!Y$3,'New Hires Forecast'!$G$5:$G$81,"&lt;="&amp;Finance!Y$3)/12)),IF(YEAR(Y$3)=YEAR('New Hires Forecast'!$R$3),((SUMIFS('New Hires Forecast'!$R$5:$R$81,'New Hires Forecast'!$F$5:$F$81,"Finance",'New Hires Forecast'!$H$5:$H$81,"&gt;="&amp;Finance!Y$3,'New Hires Forecast'!$G$5:$G$81,"&lt;="&amp;Finance!Y$3)/12))))))),0)</f>
        <v>0</v>
      </c>
      <c r="Z13" s="684">
        <f>IF(Z$4="forecast",IF(YEAR(Z$3)=YEAR('New Hires Forecast'!$N$3),((SUMIFS('New Hires Forecast'!$N$5:$N$81,'New Hires Forecast'!$F$5:$F$81,"Finance",'New Hires Forecast'!$H$5:$H$81,"&gt;="&amp;Finance!Z$3,'New Hires Forecast'!$G$5:$G$81,"&lt;="&amp;Finance!Z$3)/12)),IF(YEAR(Z$3)=YEAR('New Hires Forecast'!$O$3),((SUMIFS('New Hires Forecast'!$O$5:$O$81,'New Hires Forecast'!$F$5:$F$81,"Finance",'New Hires Forecast'!$H$5:$H$81,"&gt;="&amp;Finance!Z$3,'New Hires Forecast'!$G$5:$G$81,"&lt;="&amp;Finance!Z$3)/12)),IF(YEAR(Z$3)=YEAR('New Hires Forecast'!$P$3),((SUMIFS('New Hires Forecast'!$P$5:$P$81,'New Hires Forecast'!$F$5:$F$81,"Finance",'New Hires Forecast'!$H$5:$H$81,"&gt;="&amp;Finance!Z$3,'New Hires Forecast'!$G$5:$G$81,"&lt;="&amp;Finance!Z$3)/12)),IF(YEAR(Z$3)=YEAR('New Hires Forecast'!$Q$3),((SUMIFS('New Hires Forecast'!$Q$5:$Q$81,'New Hires Forecast'!$F$5:$F$81,"Finance",'New Hires Forecast'!$H$5:$H$81,"&gt;="&amp;Finance!Z$3,'New Hires Forecast'!$G$5:$G$81,"&lt;="&amp;Finance!Z$3)/12)),IF(YEAR(Z$3)=YEAR('New Hires Forecast'!$R$3),((SUMIFS('New Hires Forecast'!$R$5:$R$81,'New Hires Forecast'!$F$5:$F$81,"Finance",'New Hires Forecast'!$H$5:$H$81,"&gt;="&amp;Finance!Z$3,'New Hires Forecast'!$G$5:$G$81,"&lt;="&amp;Finance!Z$3)/12))))))),0)</f>
        <v>0</v>
      </c>
      <c r="AA13" s="684">
        <f>IF(AA$4="forecast",IF(YEAR(AA$3)=YEAR('New Hires Forecast'!$N$3),((SUMIFS('New Hires Forecast'!$N$5:$N$81,'New Hires Forecast'!$F$5:$F$81,"Finance",'New Hires Forecast'!$H$5:$H$81,"&gt;="&amp;Finance!AA$3,'New Hires Forecast'!$G$5:$G$81,"&lt;="&amp;Finance!AA$3)/12)),IF(YEAR(AA$3)=YEAR('New Hires Forecast'!$O$3),((SUMIFS('New Hires Forecast'!$O$5:$O$81,'New Hires Forecast'!$F$5:$F$81,"Finance",'New Hires Forecast'!$H$5:$H$81,"&gt;="&amp;Finance!AA$3,'New Hires Forecast'!$G$5:$G$81,"&lt;="&amp;Finance!AA$3)/12)),IF(YEAR(AA$3)=YEAR('New Hires Forecast'!$P$3),((SUMIFS('New Hires Forecast'!$P$5:$P$81,'New Hires Forecast'!$F$5:$F$81,"Finance",'New Hires Forecast'!$H$5:$H$81,"&gt;="&amp;Finance!AA$3,'New Hires Forecast'!$G$5:$G$81,"&lt;="&amp;Finance!AA$3)/12)),IF(YEAR(AA$3)=YEAR('New Hires Forecast'!$Q$3),((SUMIFS('New Hires Forecast'!$Q$5:$Q$81,'New Hires Forecast'!$F$5:$F$81,"Finance",'New Hires Forecast'!$H$5:$H$81,"&gt;="&amp;Finance!AA$3,'New Hires Forecast'!$G$5:$G$81,"&lt;="&amp;Finance!AA$3)/12)),IF(YEAR(AA$3)=YEAR('New Hires Forecast'!$R$3),((SUMIFS('New Hires Forecast'!$R$5:$R$81,'New Hires Forecast'!$F$5:$F$81,"Finance",'New Hires Forecast'!$H$5:$H$81,"&gt;="&amp;Finance!AA$3,'New Hires Forecast'!$G$5:$G$81,"&lt;="&amp;Finance!AA$3)/12))))))),0)</f>
        <v>0</v>
      </c>
      <c r="AB13" s="684">
        <f>IF(AB$4="forecast",IF(YEAR(AB$3)=YEAR('New Hires Forecast'!$N$3),((SUMIFS('New Hires Forecast'!$N$5:$N$81,'New Hires Forecast'!$F$5:$F$81,"Finance",'New Hires Forecast'!$H$5:$H$81,"&gt;="&amp;Finance!AB$3,'New Hires Forecast'!$G$5:$G$81,"&lt;="&amp;Finance!AB$3)/12)),IF(YEAR(AB$3)=YEAR('New Hires Forecast'!$O$3),((SUMIFS('New Hires Forecast'!$O$5:$O$81,'New Hires Forecast'!$F$5:$F$81,"Finance",'New Hires Forecast'!$H$5:$H$81,"&gt;="&amp;Finance!AB$3,'New Hires Forecast'!$G$5:$G$81,"&lt;="&amp;Finance!AB$3)/12)),IF(YEAR(AB$3)=YEAR('New Hires Forecast'!$P$3),((SUMIFS('New Hires Forecast'!$P$5:$P$81,'New Hires Forecast'!$F$5:$F$81,"Finance",'New Hires Forecast'!$H$5:$H$81,"&gt;="&amp;Finance!AB$3,'New Hires Forecast'!$G$5:$G$81,"&lt;="&amp;Finance!AB$3)/12)),IF(YEAR(AB$3)=YEAR('New Hires Forecast'!$Q$3),((SUMIFS('New Hires Forecast'!$Q$5:$Q$81,'New Hires Forecast'!$F$5:$F$81,"Finance",'New Hires Forecast'!$H$5:$H$81,"&gt;="&amp;Finance!AB$3,'New Hires Forecast'!$G$5:$G$81,"&lt;="&amp;Finance!AB$3)/12)),IF(YEAR(AB$3)=YEAR('New Hires Forecast'!$R$3),((SUMIFS('New Hires Forecast'!$R$5:$R$81,'New Hires Forecast'!$F$5:$F$81,"Finance",'New Hires Forecast'!$H$5:$H$81,"&gt;="&amp;Finance!AB$3,'New Hires Forecast'!$G$5:$G$81,"&lt;="&amp;Finance!AB$3)/12))))))),0)</f>
        <v>0</v>
      </c>
      <c r="AC13" s="684">
        <f>IF(AC$4="forecast",IF(YEAR(AC$3)=YEAR('New Hires Forecast'!$N$3),((SUMIFS('New Hires Forecast'!$N$5:$N$81,'New Hires Forecast'!$F$5:$F$81,"Finance",'New Hires Forecast'!$H$5:$H$81,"&gt;="&amp;Finance!AC$3,'New Hires Forecast'!$G$5:$G$81,"&lt;="&amp;Finance!AC$3)/12)),IF(YEAR(AC$3)=YEAR('New Hires Forecast'!$O$3),((SUMIFS('New Hires Forecast'!$O$5:$O$81,'New Hires Forecast'!$F$5:$F$81,"Finance",'New Hires Forecast'!$H$5:$H$81,"&gt;="&amp;Finance!AC$3,'New Hires Forecast'!$G$5:$G$81,"&lt;="&amp;Finance!AC$3)/12)),IF(YEAR(AC$3)=YEAR('New Hires Forecast'!$P$3),((SUMIFS('New Hires Forecast'!$P$5:$P$81,'New Hires Forecast'!$F$5:$F$81,"Finance",'New Hires Forecast'!$H$5:$H$81,"&gt;="&amp;Finance!AC$3,'New Hires Forecast'!$G$5:$G$81,"&lt;="&amp;Finance!AC$3)/12)),IF(YEAR(AC$3)=YEAR('New Hires Forecast'!$Q$3),((SUMIFS('New Hires Forecast'!$Q$5:$Q$81,'New Hires Forecast'!$F$5:$F$81,"Finance",'New Hires Forecast'!$H$5:$H$81,"&gt;="&amp;Finance!AC$3,'New Hires Forecast'!$G$5:$G$81,"&lt;="&amp;Finance!AC$3)/12)),IF(YEAR(AC$3)=YEAR('New Hires Forecast'!$R$3),((SUMIFS('New Hires Forecast'!$R$5:$R$81,'New Hires Forecast'!$F$5:$F$81,"Finance",'New Hires Forecast'!$H$5:$H$81,"&gt;="&amp;Finance!AC$3,'New Hires Forecast'!$G$5:$G$81,"&lt;="&amp;Finance!AC$3)/12))))))),0)</f>
        <v>0</v>
      </c>
      <c r="AD13" s="684">
        <f>IF(AD$4="forecast",IF(YEAR(AD$3)=YEAR('New Hires Forecast'!$N$3),((SUMIFS('New Hires Forecast'!$N$5:$N$81,'New Hires Forecast'!$F$5:$F$81,"Finance",'New Hires Forecast'!$H$5:$H$81,"&gt;="&amp;Finance!AD$3,'New Hires Forecast'!$G$5:$G$81,"&lt;="&amp;Finance!AD$3)/12)),IF(YEAR(AD$3)=YEAR('New Hires Forecast'!$O$3),((SUMIFS('New Hires Forecast'!$O$5:$O$81,'New Hires Forecast'!$F$5:$F$81,"Finance",'New Hires Forecast'!$H$5:$H$81,"&gt;="&amp;Finance!AD$3,'New Hires Forecast'!$G$5:$G$81,"&lt;="&amp;Finance!AD$3)/12)),IF(YEAR(AD$3)=YEAR('New Hires Forecast'!$P$3),((SUMIFS('New Hires Forecast'!$P$5:$P$81,'New Hires Forecast'!$F$5:$F$81,"Finance",'New Hires Forecast'!$H$5:$H$81,"&gt;="&amp;Finance!AD$3,'New Hires Forecast'!$G$5:$G$81,"&lt;="&amp;Finance!AD$3)/12)),IF(YEAR(AD$3)=YEAR('New Hires Forecast'!$Q$3),((SUMIFS('New Hires Forecast'!$Q$5:$Q$81,'New Hires Forecast'!$F$5:$F$81,"Finance",'New Hires Forecast'!$H$5:$H$81,"&gt;="&amp;Finance!AD$3,'New Hires Forecast'!$G$5:$G$81,"&lt;="&amp;Finance!AD$3)/12)),IF(YEAR(AD$3)=YEAR('New Hires Forecast'!$R$3),((SUMIFS('New Hires Forecast'!$R$5:$R$81,'New Hires Forecast'!$F$5:$F$81,"Finance",'New Hires Forecast'!$H$5:$H$81,"&gt;="&amp;Finance!AD$3,'New Hires Forecast'!$G$5:$G$81,"&lt;="&amp;Finance!AD$3)/12))))))),0)</f>
        <v>22916.666666666668</v>
      </c>
      <c r="AE13" s="684">
        <f>IF(AE$4="forecast",IF(YEAR(AE$3)=YEAR('New Hires Forecast'!$N$3),((SUMIFS('New Hires Forecast'!$N$5:$N$81,'New Hires Forecast'!$F$5:$F$81,"Finance",'New Hires Forecast'!$H$5:$H$81,"&gt;="&amp;Finance!AE$3,'New Hires Forecast'!$G$5:$G$81,"&lt;="&amp;Finance!AE$3)/12)),IF(YEAR(AE$3)=YEAR('New Hires Forecast'!$O$3),((SUMIFS('New Hires Forecast'!$O$5:$O$81,'New Hires Forecast'!$F$5:$F$81,"Finance",'New Hires Forecast'!$H$5:$H$81,"&gt;="&amp;Finance!AE$3,'New Hires Forecast'!$G$5:$G$81,"&lt;="&amp;Finance!AE$3)/12)),IF(YEAR(AE$3)=YEAR('New Hires Forecast'!$P$3),((SUMIFS('New Hires Forecast'!$P$5:$P$81,'New Hires Forecast'!$F$5:$F$81,"Finance",'New Hires Forecast'!$H$5:$H$81,"&gt;="&amp;Finance!AE$3,'New Hires Forecast'!$G$5:$G$81,"&lt;="&amp;Finance!AE$3)/12)),IF(YEAR(AE$3)=YEAR('New Hires Forecast'!$Q$3),((SUMIFS('New Hires Forecast'!$Q$5:$Q$81,'New Hires Forecast'!$F$5:$F$81,"Finance",'New Hires Forecast'!$H$5:$H$81,"&gt;="&amp;Finance!AE$3,'New Hires Forecast'!$G$5:$G$81,"&lt;="&amp;Finance!AE$3)/12)),IF(YEAR(AE$3)=YEAR('New Hires Forecast'!$R$3),((SUMIFS('New Hires Forecast'!$R$5:$R$81,'New Hires Forecast'!$F$5:$F$81,"Finance",'New Hires Forecast'!$H$5:$H$81,"&gt;="&amp;Finance!AE$3,'New Hires Forecast'!$G$5:$G$81,"&lt;="&amp;Finance!AE$3)/12))))))),0)</f>
        <v>22916.666666666668</v>
      </c>
      <c r="AF13" s="684">
        <f>IF(AF$4="forecast",IF(YEAR(AF$3)=YEAR('New Hires Forecast'!$N$3),((SUMIFS('New Hires Forecast'!$N$5:$N$81,'New Hires Forecast'!$F$5:$F$81,"Finance",'New Hires Forecast'!$H$5:$H$81,"&gt;="&amp;Finance!AF$3,'New Hires Forecast'!$G$5:$G$81,"&lt;="&amp;Finance!AF$3)/12)),IF(YEAR(AF$3)=YEAR('New Hires Forecast'!$O$3),((SUMIFS('New Hires Forecast'!$O$5:$O$81,'New Hires Forecast'!$F$5:$F$81,"Finance",'New Hires Forecast'!$H$5:$H$81,"&gt;="&amp;Finance!AF$3,'New Hires Forecast'!$G$5:$G$81,"&lt;="&amp;Finance!AF$3)/12)),IF(YEAR(AF$3)=YEAR('New Hires Forecast'!$P$3),((SUMIFS('New Hires Forecast'!$P$5:$P$81,'New Hires Forecast'!$F$5:$F$81,"Finance",'New Hires Forecast'!$H$5:$H$81,"&gt;="&amp;Finance!AF$3,'New Hires Forecast'!$G$5:$G$81,"&lt;="&amp;Finance!AF$3)/12)),IF(YEAR(AF$3)=YEAR('New Hires Forecast'!$Q$3),((SUMIFS('New Hires Forecast'!$Q$5:$Q$81,'New Hires Forecast'!$F$5:$F$81,"Finance",'New Hires Forecast'!$H$5:$H$81,"&gt;="&amp;Finance!AF$3,'New Hires Forecast'!$G$5:$G$81,"&lt;="&amp;Finance!AF$3)/12)),IF(YEAR(AF$3)=YEAR('New Hires Forecast'!$R$3),((SUMIFS('New Hires Forecast'!$R$5:$R$81,'New Hires Forecast'!$F$5:$F$81,"Finance",'New Hires Forecast'!$H$5:$H$81,"&gt;="&amp;Finance!AF$3,'New Hires Forecast'!$G$5:$G$81,"&lt;="&amp;Finance!AF$3)/12))))))),0)</f>
        <v>22916.666666666668</v>
      </c>
      <c r="AG13" s="684">
        <f>IF(AG$4="forecast",IF(YEAR(AG$3)=YEAR('New Hires Forecast'!$N$3),((SUMIFS('New Hires Forecast'!$N$5:$N$81,'New Hires Forecast'!$F$5:$F$81,"Finance",'New Hires Forecast'!$H$5:$H$81,"&gt;="&amp;Finance!AG$3,'New Hires Forecast'!$G$5:$G$81,"&lt;="&amp;Finance!AG$3)/12)),IF(YEAR(AG$3)=YEAR('New Hires Forecast'!$O$3),((SUMIFS('New Hires Forecast'!$O$5:$O$81,'New Hires Forecast'!$F$5:$F$81,"Finance",'New Hires Forecast'!$H$5:$H$81,"&gt;="&amp;Finance!AG$3,'New Hires Forecast'!$G$5:$G$81,"&lt;="&amp;Finance!AG$3)/12)),IF(YEAR(AG$3)=YEAR('New Hires Forecast'!$P$3),((SUMIFS('New Hires Forecast'!$P$5:$P$81,'New Hires Forecast'!$F$5:$F$81,"Finance",'New Hires Forecast'!$H$5:$H$81,"&gt;="&amp;Finance!AG$3,'New Hires Forecast'!$G$5:$G$81,"&lt;="&amp;Finance!AG$3)/12)),IF(YEAR(AG$3)=YEAR('New Hires Forecast'!$Q$3),((SUMIFS('New Hires Forecast'!$Q$5:$Q$81,'New Hires Forecast'!$F$5:$F$81,"Finance",'New Hires Forecast'!$H$5:$H$81,"&gt;="&amp;Finance!AG$3,'New Hires Forecast'!$G$5:$G$81,"&lt;="&amp;Finance!AG$3)/12)),IF(YEAR(AG$3)=YEAR('New Hires Forecast'!$R$3),((SUMIFS('New Hires Forecast'!$R$5:$R$81,'New Hires Forecast'!$F$5:$F$81,"Finance",'New Hires Forecast'!$H$5:$H$81,"&gt;="&amp;Finance!AG$3,'New Hires Forecast'!$G$5:$G$81,"&lt;="&amp;Finance!AG$3)/12))))))),0)</f>
        <v>22916.666666666668</v>
      </c>
      <c r="AH13" s="684">
        <f>IF(AH$4="forecast",IF(YEAR(AH$3)=YEAR('New Hires Forecast'!$N$3),((SUMIFS('New Hires Forecast'!$N$5:$N$81,'New Hires Forecast'!$F$5:$F$81,"Finance",'New Hires Forecast'!$H$5:$H$81,"&gt;="&amp;Finance!AH$3,'New Hires Forecast'!$G$5:$G$81,"&lt;="&amp;Finance!AH$3)/12)),IF(YEAR(AH$3)=YEAR('New Hires Forecast'!$O$3),((SUMIFS('New Hires Forecast'!$O$5:$O$81,'New Hires Forecast'!$F$5:$F$81,"Finance",'New Hires Forecast'!$H$5:$H$81,"&gt;="&amp;Finance!AH$3,'New Hires Forecast'!$G$5:$G$81,"&lt;="&amp;Finance!AH$3)/12)),IF(YEAR(AH$3)=YEAR('New Hires Forecast'!$P$3),((SUMIFS('New Hires Forecast'!$P$5:$P$81,'New Hires Forecast'!$F$5:$F$81,"Finance",'New Hires Forecast'!$H$5:$H$81,"&gt;="&amp;Finance!AH$3,'New Hires Forecast'!$G$5:$G$81,"&lt;="&amp;Finance!AH$3)/12)),IF(YEAR(AH$3)=YEAR('New Hires Forecast'!$Q$3),((SUMIFS('New Hires Forecast'!$Q$5:$Q$81,'New Hires Forecast'!$F$5:$F$81,"Finance",'New Hires Forecast'!$H$5:$H$81,"&gt;="&amp;Finance!AH$3,'New Hires Forecast'!$G$5:$G$81,"&lt;="&amp;Finance!AH$3)/12)),IF(YEAR(AH$3)=YEAR('New Hires Forecast'!$R$3),((SUMIFS('New Hires Forecast'!$R$5:$R$81,'New Hires Forecast'!$F$5:$F$81,"Finance",'New Hires Forecast'!$H$5:$H$81,"&gt;="&amp;Finance!AH$3,'New Hires Forecast'!$G$5:$G$81,"&lt;="&amp;Finance!AH$3)/12))))))),0)</f>
        <v>22916.666666666668</v>
      </c>
      <c r="AI13" s="684">
        <f>IF(AI$4="forecast",IF(YEAR(AI$3)=YEAR('New Hires Forecast'!$N$3),((SUMIFS('New Hires Forecast'!$N$5:$N$81,'New Hires Forecast'!$F$5:$F$81,"Finance",'New Hires Forecast'!$H$5:$H$81,"&gt;="&amp;Finance!AI$3,'New Hires Forecast'!$G$5:$G$81,"&lt;="&amp;Finance!AI$3)/12)),IF(YEAR(AI$3)=YEAR('New Hires Forecast'!$O$3),((SUMIFS('New Hires Forecast'!$O$5:$O$81,'New Hires Forecast'!$F$5:$F$81,"Finance",'New Hires Forecast'!$H$5:$H$81,"&gt;="&amp;Finance!AI$3,'New Hires Forecast'!$G$5:$G$81,"&lt;="&amp;Finance!AI$3)/12)),IF(YEAR(AI$3)=YEAR('New Hires Forecast'!$P$3),((SUMIFS('New Hires Forecast'!$P$5:$P$81,'New Hires Forecast'!$F$5:$F$81,"Finance",'New Hires Forecast'!$H$5:$H$81,"&gt;="&amp;Finance!AI$3,'New Hires Forecast'!$G$5:$G$81,"&lt;="&amp;Finance!AI$3)/12)),IF(YEAR(AI$3)=YEAR('New Hires Forecast'!$Q$3),((SUMIFS('New Hires Forecast'!$Q$5:$Q$81,'New Hires Forecast'!$F$5:$F$81,"Finance",'New Hires Forecast'!$H$5:$H$81,"&gt;="&amp;Finance!AI$3,'New Hires Forecast'!$G$5:$G$81,"&lt;="&amp;Finance!AI$3)/12)),IF(YEAR(AI$3)=YEAR('New Hires Forecast'!$R$3),((SUMIFS('New Hires Forecast'!$R$5:$R$81,'New Hires Forecast'!$F$5:$F$81,"Finance",'New Hires Forecast'!$H$5:$H$81,"&gt;="&amp;Finance!AI$3,'New Hires Forecast'!$G$5:$G$81,"&lt;="&amp;Finance!AI$3)/12))))))),0)</f>
        <v>22916.666666666668</v>
      </c>
      <c r="AJ13" s="684">
        <f>IF(AJ$4="forecast",IF(YEAR(AJ$3)=YEAR('New Hires Forecast'!$N$3),((SUMIFS('New Hires Forecast'!$N$5:$N$81,'New Hires Forecast'!$F$5:$F$81,"Finance",'New Hires Forecast'!$H$5:$H$81,"&gt;="&amp;Finance!AJ$3,'New Hires Forecast'!$G$5:$G$81,"&lt;="&amp;Finance!AJ$3)/12)),IF(YEAR(AJ$3)=YEAR('New Hires Forecast'!$O$3),((SUMIFS('New Hires Forecast'!$O$5:$O$81,'New Hires Forecast'!$F$5:$F$81,"Finance",'New Hires Forecast'!$H$5:$H$81,"&gt;="&amp;Finance!AJ$3,'New Hires Forecast'!$G$5:$G$81,"&lt;="&amp;Finance!AJ$3)/12)),IF(YEAR(AJ$3)=YEAR('New Hires Forecast'!$P$3),((SUMIFS('New Hires Forecast'!$P$5:$P$81,'New Hires Forecast'!$F$5:$F$81,"Finance",'New Hires Forecast'!$H$5:$H$81,"&gt;="&amp;Finance!AJ$3,'New Hires Forecast'!$G$5:$G$81,"&lt;="&amp;Finance!AJ$3)/12)),IF(YEAR(AJ$3)=YEAR('New Hires Forecast'!$Q$3),((SUMIFS('New Hires Forecast'!$Q$5:$Q$81,'New Hires Forecast'!$F$5:$F$81,"Finance",'New Hires Forecast'!$H$5:$H$81,"&gt;="&amp;Finance!AJ$3,'New Hires Forecast'!$G$5:$G$81,"&lt;="&amp;Finance!AJ$3)/12)),IF(YEAR(AJ$3)=YEAR('New Hires Forecast'!$R$3),((SUMIFS('New Hires Forecast'!$R$5:$R$81,'New Hires Forecast'!$F$5:$F$81,"Finance",'New Hires Forecast'!$H$5:$H$81,"&gt;="&amp;Finance!AJ$3,'New Hires Forecast'!$G$5:$G$81,"&lt;="&amp;Finance!AJ$3)/12))))))),0)</f>
        <v>22916.666666666668</v>
      </c>
      <c r="AK13" s="684">
        <f>IF(AK$4="forecast",IF(YEAR(AK$3)=YEAR('New Hires Forecast'!$N$3),((SUMIFS('New Hires Forecast'!$N$5:$N$81,'New Hires Forecast'!$F$5:$F$81,"Finance",'New Hires Forecast'!$H$5:$H$81,"&gt;="&amp;Finance!AK$3,'New Hires Forecast'!$G$5:$G$81,"&lt;="&amp;Finance!AK$3)/12)),IF(YEAR(AK$3)=YEAR('New Hires Forecast'!$O$3),((SUMIFS('New Hires Forecast'!$O$5:$O$81,'New Hires Forecast'!$F$5:$F$81,"Finance",'New Hires Forecast'!$H$5:$H$81,"&gt;="&amp;Finance!AK$3,'New Hires Forecast'!$G$5:$G$81,"&lt;="&amp;Finance!AK$3)/12)),IF(YEAR(AK$3)=YEAR('New Hires Forecast'!$P$3),((SUMIFS('New Hires Forecast'!$P$5:$P$81,'New Hires Forecast'!$F$5:$F$81,"Finance",'New Hires Forecast'!$H$5:$H$81,"&gt;="&amp;Finance!AK$3,'New Hires Forecast'!$G$5:$G$81,"&lt;="&amp;Finance!AK$3)/12)),IF(YEAR(AK$3)=YEAR('New Hires Forecast'!$Q$3),((SUMIFS('New Hires Forecast'!$Q$5:$Q$81,'New Hires Forecast'!$F$5:$F$81,"Finance",'New Hires Forecast'!$H$5:$H$81,"&gt;="&amp;Finance!AK$3,'New Hires Forecast'!$G$5:$G$81,"&lt;="&amp;Finance!AK$3)/12)),IF(YEAR(AK$3)=YEAR('New Hires Forecast'!$R$3),((SUMIFS('New Hires Forecast'!$R$5:$R$81,'New Hires Forecast'!$F$5:$F$81,"Finance",'New Hires Forecast'!$H$5:$H$81,"&gt;="&amp;Finance!AK$3,'New Hires Forecast'!$G$5:$G$81,"&lt;="&amp;Finance!AK$3)/12))))))),0)</f>
        <v>22916.666666666668</v>
      </c>
      <c r="AL13" s="684">
        <f>IF(AL$4="forecast",IF(YEAR(AL$3)=YEAR('New Hires Forecast'!$N$3),((SUMIFS('New Hires Forecast'!$N$5:$N$81,'New Hires Forecast'!$F$5:$F$81,"Finance",'New Hires Forecast'!$H$5:$H$81,"&gt;="&amp;Finance!AL$3,'New Hires Forecast'!$G$5:$G$81,"&lt;="&amp;Finance!AL$3)/12)),IF(YEAR(AL$3)=YEAR('New Hires Forecast'!$O$3),((SUMIFS('New Hires Forecast'!$O$5:$O$81,'New Hires Forecast'!$F$5:$F$81,"Finance",'New Hires Forecast'!$H$5:$H$81,"&gt;="&amp;Finance!AL$3,'New Hires Forecast'!$G$5:$G$81,"&lt;="&amp;Finance!AL$3)/12)),IF(YEAR(AL$3)=YEAR('New Hires Forecast'!$P$3),((SUMIFS('New Hires Forecast'!$P$5:$P$81,'New Hires Forecast'!$F$5:$F$81,"Finance",'New Hires Forecast'!$H$5:$H$81,"&gt;="&amp;Finance!AL$3,'New Hires Forecast'!$G$5:$G$81,"&lt;="&amp;Finance!AL$3)/12)),IF(YEAR(AL$3)=YEAR('New Hires Forecast'!$Q$3),((SUMIFS('New Hires Forecast'!$Q$5:$Q$81,'New Hires Forecast'!$F$5:$F$81,"Finance",'New Hires Forecast'!$H$5:$H$81,"&gt;="&amp;Finance!AL$3,'New Hires Forecast'!$G$5:$G$81,"&lt;="&amp;Finance!AL$3)/12)),IF(YEAR(AL$3)=YEAR('New Hires Forecast'!$R$3),((SUMIFS('New Hires Forecast'!$R$5:$R$81,'New Hires Forecast'!$F$5:$F$81,"Finance",'New Hires Forecast'!$H$5:$H$81,"&gt;="&amp;Finance!AL$3,'New Hires Forecast'!$G$5:$G$81,"&lt;="&amp;Finance!AL$3)/12))))))),0)</f>
        <v>22916.666666666668</v>
      </c>
      <c r="AM13" s="684">
        <f>IF(AM$4="forecast",IF(YEAR(AM$3)=YEAR('New Hires Forecast'!$N$3),((SUMIFS('New Hires Forecast'!$N$5:$N$81,'New Hires Forecast'!$F$5:$F$81,"Finance",'New Hires Forecast'!$H$5:$H$81,"&gt;="&amp;Finance!AM$3,'New Hires Forecast'!$G$5:$G$81,"&lt;="&amp;Finance!AM$3)/12)),IF(YEAR(AM$3)=YEAR('New Hires Forecast'!$O$3),((SUMIFS('New Hires Forecast'!$O$5:$O$81,'New Hires Forecast'!$F$5:$F$81,"Finance",'New Hires Forecast'!$H$5:$H$81,"&gt;="&amp;Finance!AM$3,'New Hires Forecast'!$G$5:$G$81,"&lt;="&amp;Finance!AM$3)/12)),IF(YEAR(AM$3)=YEAR('New Hires Forecast'!$P$3),((SUMIFS('New Hires Forecast'!$P$5:$P$81,'New Hires Forecast'!$F$5:$F$81,"Finance",'New Hires Forecast'!$H$5:$H$81,"&gt;="&amp;Finance!AM$3,'New Hires Forecast'!$G$5:$G$81,"&lt;="&amp;Finance!AM$3)/12)),IF(YEAR(AM$3)=YEAR('New Hires Forecast'!$Q$3),((SUMIFS('New Hires Forecast'!$Q$5:$Q$81,'New Hires Forecast'!$F$5:$F$81,"Finance",'New Hires Forecast'!$H$5:$H$81,"&gt;="&amp;Finance!AM$3,'New Hires Forecast'!$G$5:$G$81,"&lt;="&amp;Finance!AM$3)/12)),IF(YEAR(AM$3)=YEAR('New Hires Forecast'!$R$3),((SUMIFS('New Hires Forecast'!$R$5:$R$81,'New Hires Forecast'!$F$5:$F$81,"Finance",'New Hires Forecast'!$H$5:$H$81,"&gt;="&amp;Finance!AM$3,'New Hires Forecast'!$G$5:$G$81,"&lt;="&amp;Finance!AM$3)/12))))))),0)</f>
        <v>23604.166666666668</v>
      </c>
      <c r="AN13" s="684">
        <f>IF(AN$4="forecast",IF(YEAR(AN$3)=YEAR('New Hires Forecast'!$N$3),((SUMIFS('New Hires Forecast'!$N$5:$N$81,'New Hires Forecast'!$F$5:$F$81,"Finance",'New Hires Forecast'!$H$5:$H$81,"&gt;="&amp;Finance!AN$3,'New Hires Forecast'!$G$5:$G$81,"&lt;="&amp;Finance!AN$3)/12)),IF(YEAR(AN$3)=YEAR('New Hires Forecast'!$O$3),((SUMIFS('New Hires Forecast'!$O$5:$O$81,'New Hires Forecast'!$F$5:$F$81,"Finance",'New Hires Forecast'!$H$5:$H$81,"&gt;="&amp;Finance!AN$3,'New Hires Forecast'!$G$5:$G$81,"&lt;="&amp;Finance!AN$3)/12)),IF(YEAR(AN$3)=YEAR('New Hires Forecast'!$P$3),((SUMIFS('New Hires Forecast'!$P$5:$P$81,'New Hires Forecast'!$F$5:$F$81,"Finance",'New Hires Forecast'!$H$5:$H$81,"&gt;="&amp;Finance!AN$3,'New Hires Forecast'!$G$5:$G$81,"&lt;="&amp;Finance!AN$3)/12)),IF(YEAR(AN$3)=YEAR('New Hires Forecast'!$Q$3),((SUMIFS('New Hires Forecast'!$Q$5:$Q$81,'New Hires Forecast'!$F$5:$F$81,"Finance",'New Hires Forecast'!$H$5:$H$81,"&gt;="&amp;Finance!AN$3,'New Hires Forecast'!$G$5:$G$81,"&lt;="&amp;Finance!AN$3)/12)),IF(YEAR(AN$3)=YEAR('New Hires Forecast'!$R$3),((SUMIFS('New Hires Forecast'!$R$5:$R$81,'New Hires Forecast'!$F$5:$F$81,"Finance",'New Hires Forecast'!$H$5:$H$81,"&gt;="&amp;Finance!AN$3,'New Hires Forecast'!$G$5:$G$81,"&lt;="&amp;Finance!AN$3)/12))))))),0)</f>
        <v>23604.166666666668</v>
      </c>
      <c r="AO13" s="684">
        <f>IF(AO$4="forecast",IF(YEAR(AO$3)=YEAR('New Hires Forecast'!$N$3),((SUMIFS('New Hires Forecast'!$N$5:$N$81,'New Hires Forecast'!$F$5:$F$81,"Finance",'New Hires Forecast'!$H$5:$H$81,"&gt;="&amp;Finance!AO$3,'New Hires Forecast'!$G$5:$G$81,"&lt;="&amp;Finance!AO$3)/12)),IF(YEAR(AO$3)=YEAR('New Hires Forecast'!$O$3),((SUMIFS('New Hires Forecast'!$O$5:$O$81,'New Hires Forecast'!$F$5:$F$81,"Finance",'New Hires Forecast'!$H$5:$H$81,"&gt;="&amp;Finance!AO$3,'New Hires Forecast'!$G$5:$G$81,"&lt;="&amp;Finance!AO$3)/12)),IF(YEAR(AO$3)=YEAR('New Hires Forecast'!$P$3),((SUMIFS('New Hires Forecast'!$P$5:$P$81,'New Hires Forecast'!$F$5:$F$81,"Finance",'New Hires Forecast'!$H$5:$H$81,"&gt;="&amp;Finance!AO$3,'New Hires Forecast'!$G$5:$G$81,"&lt;="&amp;Finance!AO$3)/12)),IF(YEAR(AO$3)=YEAR('New Hires Forecast'!$Q$3),((SUMIFS('New Hires Forecast'!$Q$5:$Q$81,'New Hires Forecast'!$F$5:$F$81,"Finance",'New Hires Forecast'!$H$5:$H$81,"&gt;="&amp;Finance!AO$3,'New Hires Forecast'!$G$5:$G$81,"&lt;="&amp;Finance!AO$3)/12)),IF(YEAR(AO$3)=YEAR('New Hires Forecast'!$R$3),((SUMIFS('New Hires Forecast'!$R$5:$R$81,'New Hires Forecast'!$F$5:$F$81,"Finance",'New Hires Forecast'!$H$5:$H$81,"&gt;="&amp;Finance!AO$3,'New Hires Forecast'!$G$5:$G$81,"&lt;="&amp;Finance!AO$3)/12))))))),0)</f>
        <v>23604.166666666668</v>
      </c>
      <c r="AP13" s="684">
        <f>IF(AP$4="forecast",IF(YEAR(AP$3)=YEAR('New Hires Forecast'!$N$3),((SUMIFS('New Hires Forecast'!$N$5:$N$81,'New Hires Forecast'!$F$5:$F$81,"Finance",'New Hires Forecast'!$H$5:$H$81,"&gt;="&amp;Finance!AP$3,'New Hires Forecast'!$G$5:$G$81,"&lt;="&amp;Finance!AP$3)/12)),IF(YEAR(AP$3)=YEAR('New Hires Forecast'!$O$3),((SUMIFS('New Hires Forecast'!$O$5:$O$81,'New Hires Forecast'!$F$5:$F$81,"Finance",'New Hires Forecast'!$H$5:$H$81,"&gt;="&amp;Finance!AP$3,'New Hires Forecast'!$G$5:$G$81,"&lt;="&amp;Finance!AP$3)/12)),IF(YEAR(AP$3)=YEAR('New Hires Forecast'!$P$3),((SUMIFS('New Hires Forecast'!$P$5:$P$81,'New Hires Forecast'!$F$5:$F$81,"Finance",'New Hires Forecast'!$H$5:$H$81,"&gt;="&amp;Finance!AP$3,'New Hires Forecast'!$G$5:$G$81,"&lt;="&amp;Finance!AP$3)/12)),IF(YEAR(AP$3)=YEAR('New Hires Forecast'!$Q$3),((SUMIFS('New Hires Forecast'!$Q$5:$Q$81,'New Hires Forecast'!$F$5:$F$81,"Finance",'New Hires Forecast'!$H$5:$H$81,"&gt;="&amp;Finance!AP$3,'New Hires Forecast'!$G$5:$G$81,"&lt;="&amp;Finance!AP$3)/12)),IF(YEAR(AP$3)=YEAR('New Hires Forecast'!$R$3),((SUMIFS('New Hires Forecast'!$R$5:$R$81,'New Hires Forecast'!$F$5:$F$81,"Finance",'New Hires Forecast'!$H$5:$H$81,"&gt;="&amp;Finance!AP$3,'New Hires Forecast'!$G$5:$G$81,"&lt;="&amp;Finance!AP$3)/12))))))),0)</f>
        <v>23604.166666666668</v>
      </c>
      <c r="AQ13" s="684">
        <f>IF(AQ$4="forecast",IF(YEAR(AQ$3)=YEAR('New Hires Forecast'!$N$3),((SUMIFS('New Hires Forecast'!$N$5:$N$81,'New Hires Forecast'!$F$5:$F$81,"Finance",'New Hires Forecast'!$H$5:$H$81,"&gt;="&amp;Finance!AQ$3,'New Hires Forecast'!$G$5:$G$81,"&lt;="&amp;Finance!AQ$3)/12)),IF(YEAR(AQ$3)=YEAR('New Hires Forecast'!$O$3),((SUMIFS('New Hires Forecast'!$O$5:$O$81,'New Hires Forecast'!$F$5:$F$81,"Finance",'New Hires Forecast'!$H$5:$H$81,"&gt;="&amp;Finance!AQ$3,'New Hires Forecast'!$G$5:$G$81,"&lt;="&amp;Finance!AQ$3)/12)),IF(YEAR(AQ$3)=YEAR('New Hires Forecast'!$P$3),((SUMIFS('New Hires Forecast'!$P$5:$P$81,'New Hires Forecast'!$F$5:$F$81,"Finance",'New Hires Forecast'!$H$5:$H$81,"&gt;="&amp;Finance!AQ$3,'New Hires Forecast'!$G$5:$G$81,"&lt;="&amp;Finance!AQ$3)/12)),IF(YEAR(AQ$3)=YEAR('New Hires Forecast'!$Q$3),((SUMIFS('New Hires Forecast'!$Q$5:$Q$81,'New Hires Forecast'!$F$5:$F$81,"Finance",'New Hires Forecast'!$H$5:$H$81,"&gt;="&amp;Finance!AQ$3,'New Hires Forecast'!$G$5:$G$81,"&lt;="&amp;Finance!AQ$3)/12)),IF(YEAR(AQ$3)=YEAR('New Hires Forecast'!$R$3),((SUMIFS('New Hires Forecast'!$R$5:$R$81,'New Hires Forecast'!$F$5:$F$81,"Finance",'New Hires Forecast'!$H$5:$H$81,"&gt;="&amp;Finance!AQ$3,'New Hires Forecast'!$G$5:$G$81,"&lt;="&amp;Finance!AQ$3)/12))))))),0)</f>
        <v>23604.166666666668</v>
      </c>
      <c r="AR13" s="684">
        <f>IF(AR$4="forecast",IF(YEAR(AR$3)=YEAR('New Hires Forecast'!$N$3),((SUMIFS('New Hires Forecast'!$N$5:$N$81,'New Hires Forecast'!$F$5:$F$81,"Finance",'New Hires Forecast'!$H$5:$H$81,"&gt;="&amp;Finance!AR$3,'New Hires Forecast'!$G$5:$G$81,"&lt;="&amp;Finance!AR$3)/12)),IF(YEAR(AR$3)=YEAR('New Hires Forecast'!$O$3),((SUMIFS('New Hires Forecast'!$O$5:$O$81,'New Hires Forecast'!$F$5:$F$81,"Finance",'New Hires Forecast'!$H$5:$H$81,"&gt;="&amp;Finance!AR$3,'New Hires Forecast'!$G$5:$G$81,"&lt;="&amp;Finance!AR$3)/12)),IF(YEAR(AR$3)=YEAR('New Hires Forecast'!$P$3),((SUMIFS('New Hires Forecast'!$P$5:$P$81,'New Hires Forecast'!$F$5:$F$81,"Finance",'New Hires Forecast'!$H$5:$H$81,"&gt;="&amp;Finance!AR$3,'New Hires Forecast'!$G$5:$G$81,"&lt;="&amp;Finance!AR$3)/12)),IF(YEAR(AR$3)=YEAR('New Hires Forecast'!$Q$3),((SUMIFS('New Hires Forecast'!$Q$5:$Q$81,'New Hires Forecast'!$F$5:$F$81,"Finance",'New Hires Forecast'!$H$5:$H$81,"&gt;="&amp;Finance!AR$3,'New Hires Forecast'!$G$5:$G$81,"&lt;="&amp;Finance!AR$3)/12)),IF(YEAR(AR$3)=YEAR('New Hires Forecast'!$R$3),((SUMIFS('New Hires Forecast'!$R$5:$R$81,'New Hires Forecast'!$F$5:$F$81,"Finance",'New Hires Forecast'!$H$5:$H$81,"&gt;="&amp;Finance!AR$3,'New Hires Forecast'!$G$5:$G$81,"&lt;="&amp;Finance!AR$3)/12))))))),0)</f>
        <v>23604.166666666668</v>
      </c>
      <c r="AS13" s="684">
        <f>IF(AS$4="forecast",IF(YEAR(AS$3)=YEAR('New Hires Forecast'!$N$3),((SUMIFS('New Hires Forecast'!$N$5:$N$81,'New Hires Forecast'!$F$5:$F$81,"Finance",'New Hires Forecast'!$H$5:$H$81,"&gt;="&amp;Finance!AS$3,'New Hires Forecast'!$G$5:$G$81,"&lt;="&amp;Finance!AS$3)/12)),IF(YEAR(AS$3)=YEAR('New Hires Forecast'!$O$3),((SUMIFS('New Hires Forecast'!$O$5:$O$81,'New Hires Forecast'!$F$5:$F$81,"Finance",'New Hires Forecast'!$H$5:$H$81,"&gt;="&amp;Finance!AS$3,'New Hires Forecast'!$G$5:$G$81,"&lt;="&amp;Finance!AS$3)/12)),IF(YEAR(AS$3)=YEAR('New Hires Forecast'!$P$3),((SUMIFS('New Hires Forecast'!$P$5:$P$81,'New Hires Forecast'!$F$5:$F$81,"Finance",'New Hires Forecast'!$H$5:$H$81,"&gt;="&amp;Finance!AS$3,'New Hires Forecast'!$G$5:$G$81,"&lt;="&amp;Finance!AS$3)/12)),IF(YEAR(AS$3)=YEAR('New Hires Forecast'!$Q$3),((SUMIFS('New Hires Forecast'!$Q$5:$Q$81,'New Hires Forecast'!$F$5:$F$81,"Finance",'New Hires Forecast'!$H$5:$H$81,"&gt;="&amp;Finance!AS$3,'New Hires Forecast'!$G$5:$G$81,"&lt;="&amp;Finance!AS$3)/12)),IF(YEAR(AS$3)=YEAR('New Hires Forecast'!$R$3),((SUMIFS('New Hires Forecast'!$R$5:$R$81,'New Hires Forecast'!$F$5:$F$81,"Finance",'New Hires Forecast'!$H$5:$H$81,"&gt;="&amp;Finance!AS$3,'New Hires Forecast'!$G$5:$G$81,"&lt;="&amp;Finance!AS$3)/12))))))),0)</f>
        <v>23604.166666666668</v>
      </c>
      <c r="AT13" s="684">
        <f>IF(AT$4="forecast",IF(YEAR(AT$3)=YEAR('New Hires Forecast'!$N$3),((SUMIFS('New Hires Forecast'!$N$5:$N$81,'New Hires Forecast'!$F$5:$F$81,"Finance",'New Hires Forecast'!$H$5:$H$81,"&gt;="&amp;Finance!AT$3,'New Hires Forecast'!$G$5:$G$81,"&lt;="&amp;Finance!AT$3)/12)),IF(YEAR(AT$3)=YEAR('New Hires Forecast'!$O$3),((SUMIFS('New Hires Forecast'!$O$5:$O$81,'New Hires Forecast'!$F$5:$F$81,"Finance",'New Hires Forecast'!$H$5:$H$81,"&gt;="&amp;Finance!AT$3,'New Hires Forecast'!$G$5:$G$81,"&lt;="&amp;Finance!AT$3)/12)),IF(YEAR(AT$3)=YEAR('New Hires Forecast'!$P$3),((SUMIFS('New Hires Forecast'!$P$5:$P$81,'New Hires Forecast'!$F$5:$F$81,"Finance",'New Hires Forecast'!$H$5:$H$81,"&gt;="&amp;Finance!AT$3,'New Hires Forecast'!$G$5:$G$81,"&lt;="&amp;Finance!AT$3)/12)),IF(YEAR(AT$3)=YEAR('New Hires Forecast'!$Q$3),((SUMIFS('New Hires Forecast'!$Q$5:$Q$81,'New Hires Forecast'!$F$5:$F$81,"Finance",'New Hires Forecast'!$H$5:$H$81,"&gt;="&amp;Finance!AT$3,'New Hires Forecast'!$G$5:$G$81,"&lt;="&amp;Finance!AT$3)/12)),IF(YEAR(AT$3)=YEAR('New Hires Forecast'!$R$3),((SUMIFS('New Hires Forecast'!$R$5:$R$81,'New Hires Forecast'!$F$5:$F$81,"Finance",'New Hires Forecast'!$H$5:$H$81,"&gt;="&amp;Finance!AT$3,'New Hires Forecast'!$G$5:$G$81,"&lt;="&amp;Finance!AT$3)/12))))))),0)</f>
        <v>23604.166666666668</v>
      </c>
      <c r="AU13" s="684">
        <f>IF(AU$4="forecast",IF(YEAR(AU$3)=YEAR('New Hires Forecast'!$N$3),((SUMIFS('New Hires Forecast'!$N$5:$N$81,'New Hires Forecast'!$F$5:$F$81,"Finance",'New Hires Forecast'!$H$5:$H$81,"&gt;="&amp;Finance!AU$3,'New Hires Forecast'!$G$5:$G$81,"&lt;="&amp;Finance!AU$3)/12)),IF(YEAR(AU$3)=YEAR('New Hires Forecast'!$O$3),((SUMIFS('New Hires Forecast'!$O$5:$O$81,'New Hires Forecast'!$F$5:$F$81,"Finance",'New Hires Forecast'!$H$5:$H$81,"&gt;="&amp;Finance!AU$3,'New Hires Forecast'!$G$5:$G$81,"&lt;="&amp;Finance!AU$3)/12)),IF(YEAR(AU$3)=YEAR('New Hires Forecast'!$P$3),((SUMIFS('New Hires Forecast'!$P$5:$P$81,'New Hires Forecast'!$F$5:$F$81,"Finance",'New Hires Forecast'!$H$5:$H$81,"&gt;="&amp;Finance!AU$3,'New Hires Forecast'!$G$5:$G$81,"&lt;="&amp;Finance!AU$3)/12)),IF(YEAR(AU$3)=YEAR('New Hires Forecast'!$Q$3),((SUMIFS('New Hires Forecast'!$Q$5:$Q$81,'New Hires Forecast'!$F$5:$F$81,"Finance",'New Hires Forecast'!$H$5:$H$81,"&gt;="&amp;Finance!AU$3,'New Hires Forecast'!$G$5:$G$81,"&lt;="&amp;Finance!AU$3)/12)),IF(YEAR(AU$3)=YEAR('New Hires Forecast'!$R$3),((SUMIFS('New Hires Forecast'!$R$5:$R$81,'New Hires Forecast'!$F$5:$F$81,"Finance",'New Hires Forecast'!$H$5:$H$81,"&gt;="&amp;Finance!AU$3,'New Hires Forecast'!$G$5:$G$81,"&lt;="&amp;Finance!AU$3)/12))))))),0)</f>
        <v>23604.166666666668</v>
      </c>
      <c r="AV13" s="684">
        <f>IF(AV$4="forecast",IF(YEAR(AV$3)=YEAR('New Hires Forecast'!$N$3),((SUMIFS('New Hires Forecast'!$N$5:$N$81,'New Hires Forecast'!$F$5:$F$81,"Finance",'New Hires Forecast'!$H$5:$H$81,"&gt;="&amp;Finance!AV$3,'New Hires Forecast'!$G$5:$G$81,"&lt;="&amp;Finance!AV$3)/12)),IF(YEAR(AV$3)=YEAR('New Hires Forecast'!$O$3),((SUMIFS('New Hires Forecast'!$O$5:$O$81,'New Hires Forecast'!$F$5:$F$81,"Finance",'New Hires Forecast'!$H$5:$H$81,"&gt;="&amp;Finance!AV$3,'New Hires Forecast'!$G$5:$G$81,"&lt;="&amp;Finance!AV$3)/12)),IF(YEAR(AV$3)=YEAR('New Hires Forecast'!$P$3),((SUMIFS('New Hires Forecast'!$P$5:$P$81,'New Hires Forecast'!$F$5:$F$81,"Finance",'New Hires Forecast'!$H$5:$H$81,"&gt;="&amp;Finance!AV$3,'New Hires Forecast'!$G$5:$G$81,"&lt;="&amp;Finance!AV$3)/12)),IF(YEAR(AV$3)=YEAR('New Hires Forecast'!$Q$3),((SUMIFS('New Hires Forecast'!$Q$5:$Q$81,'New Hires Forecast'!$F$5:$F$81,"Finance",'New Hires Forecast'!$H$5:$H$81,"&gt;="&amp;Finance!AV$3,'New Hires Forecast'!$G$5:$G$81,"&lt;="&amp;Finance!AV$3)/12)),IF(YEAR(AV$3)=YEAR('New Hires Forecast'!$R$3),((SUMIFS('New Hires Forecast'!$R$5:$R$81,'New Hires Forecast'!$F$5:$F$81,"Finance",'New Hires Forecast'!$H$5:$H$81,"&gt;="&amp;Finance!AV$3,'New Hires Forecast'!$G$5:$G$81,"&lt;="&amp;Finance!AV$3)/12))))))),0)</f>
        <v>23604.166666666668</v>
      </c>
      <c r="AW13" s="684">
        <f>IF(AW$4="forecast",IF(YEAR(AW$3)=YEAR('New Hires Forecast'!$N$3),((SUMIFS('New Hires Forecast'!$N$5:$N$81,'New Hires Forecast'!$F$5:$F$81,"Finance",'New Hires Forecast'!$H$5:$H$81,"&gt;="&amp;Finance!AW$3,'New Hires Forecast'!$G$5:$G$81,"&lt;="&amp;Finance!AW$3)/12)),IF(YEAR(AW$3)=YEAR('New Hires Forecast'!$O$3),((SUMIFS('New Hires Forecast'!$O$5:$O$81,'New Hires Forecast'!$F$5:$F$81,"Finance",'New Hires Forecast'!$H$5:$H$81,"&gt;="&amp;Finance!AW$3,'New Hires Forecast'!$G$5:$G$81,"&lt;="&amp;Finance!AW$3)/12)),IF(YEAR(AW$3)=YEAR('New Hires Forecast'!$P$3),((SUMIFS('New Hires Forecast'!$P$5:$P$81,'New Hires Forecast'!$F$5:$F$81,"Finance",'New Hires Forecast'!$H$5:$H$81,"&gt;="&amp;Finance!AW$3,'New Hires Forecast'!$G$5:$G$81,"&lt;="&amp;Finance!AW$3)/12)),IF(YEAR(AW$3)=YEAR('New Hires Forecast'!$Q$3),((SUMIFS('New Hires Forecast'!$Q$5:$Q$81,'New Hires Forecast'!$F$5:$F$81,"Finance",'New Hires Forecast'!$H$5:$H$81,"&gt;="&amp;Finance!AW$3,'New Hires Forecast'!$G$5:$G$81,"&lt;="&amp;Finance!AW$3)/12)),IF(YEAR(AW$3)=YEAR('New Hires Forecast'!$R$3),((SUMIFS('New Hires Forecast'!$R$5:$R$81,'New Hires Forecast'!$F$5:$F$81,"Finance",'New Hires Forecast'!$H$5:$H$81,"&gt;="&amp;Finance!AW$3,'New Hires Forecast'!$G$5:$G$81,"&lt;="&amp;Finance!AW$3)/12))))))),0)</f>
        <v>23604.166666666668</v>
      </c>
      <c r="AX13" s="684">
        <f>IF(AX$4="forecast",IF(YEAR(AX$3)=YEAR('New Hires Forecast'!$N$3),((SUMIFS('New Hires Forecast'!$N$5:$N$81,'New Hires Forecast'!$F$5:$F$81,"Finance",'New Hires Forecast'!$H$5:$H$81,"&gt;="&amp;Finance!AX$3,'New Hires Forecast'!$G$5:$G$81,"&lt;="&amp;Finance!AX$3)/12)),IF(YEAR(AX$3)=YEAR('New Hires Forecast'!$O$3),((SUMIFS('New Hires Forecast'!$O$5:$O$81,'New Hires Forecast'!$F$5:$F$81,"Finance",'New Hires Forecast'!$H$5:$H$81,"&gt;="&amp;Finance!AX$3,'New Hires Forecast'!$G$5:$G$81,"&lt;="&amp;Finance!AX$3)/12)),IF(YEAR(AX$3)=YEAR('New Hires Forecast'!$P$3),((SUMIFS('New Hires Forecast'!$P$5:$P$81,'New Hires Forecast'!$F$5:$F$81,"Finance",'New Hires Forecast'!$H$5:$H$81,"&gt;="&amp;Finance!AX$3,'New Hires Forecast'!$G$5:$G$81,"&lt;="&amp;Finance!AX$3)/12)),IF(YEAR(AX$3)=YEAR('New Hires Forecast'!$Q$3),((SUMIFS('New Hires Forecast'!$Q$5:$Q$81,'New Hires Forecast'!$F$5:$F$81,"Finance",'New Hires Forecast'!$H$5:$H$81,"&gt;="&amp;Finance!AX$3,'New Hires Forecast'!$G$5:$G$81,"&lt;="&amp;Finance!AX$3)/12)),IF(YEAR(AX$3)=YEAR('New Hires Forecast'!$R$3),((SUMIFS('New Hires Forecast'!$R$5:$R$81,'New Hires Forecast'!$F$5:$F$81,"Finance",'New Hires Forecast'!$H$5:$H$81,"&gt;="&amp;Finance!AX$3,'New Hires Forecast'!$G$5:$G$81,"&lt;="&amp;Finance!AX$3)/12))))))),0)</f>
        <v>23604.166666666668</v>
      </c>
      <c r="AY13" s="684">
        <f>IF(AY$4="forecast",IF(YEAR(AY$3)=YEAR('New Hires Forecast'!$N$3),((SUMIFS('New Hires Forecast'!$N$5:$N$81,'New Hires Forecast'!$F$5:$F$81,"Finance",'New Hires Forecast'!$H$5:$H$81,"&gt;="&amp;Finance!AY$3,'New Hires Forecast'!$G$5:$G$81,"&lt;="&amp;Finance!AY$3)/12)),IF(YEAR(AY$3)=YEAR('New Hires Forecast'!$O$3),((SUMIFS('New Hires Forecast'!$O$5:$O$81,'New Hires Forecast'!$F$5:$F$81,"Finance",'New Hires Forecast'!$H$5:$H$81,"&gt;="&amp;Finance!AY$3,'New Hires Forecast'!$G$5:$G$81,"&lt;="&amp;Finance!AY$3)/12)),IF(YEAR(AY$3)=YEAR('New Hires Forecast'!$P$3),((SUMIFS('New Hires Forecast'!$P$5:$P$81,'New Hires Forecast'!$F$5:$F$81,"Finance",'New Hires Forecast'!$H$5:$H$81,"&gt;="&amp;Finance!AY$3,'New Hires Forecast'!$G$5:$G$81,"&lt;="&amp;Finance!AY$3)/12)),IF(YEAR(AY$3)=YEAR('New Hires Forecast'!$Q$3),((SUMIFS('New Hires Forecast'!$Q$5:$Q$81,'New Hires Forecast'!$F$5:$F$81,"Finance",'New Hires Forecast'!$H$5:$H$81,"&gt;="&amp;Finance!AY$3,'New Hires Forecast'!$G$5:$G$81,"&lt;="&amp;Finance!AY$3)/12)),IF(YEAR(AY$3)=YEAR('New Hires Forecast'!$R$3),((SUMIFS('New Hires Forecast'!$R$5:$R$81,'New Hires Forecast'!$F$5:$F$81,"Finance",'New Hires Forecast'!$H$5:$H$81,"&gt;="&amp;Finance!AY$3,'New Hires Forecast'!$G$5:$G$81,"&lt;="&amp;Finance!AY$3)/12))))))),0)</f>
        <v>24312.291666666668</v>
      </c>
      <c r="AZ13" s="684">
        <f>IF(AZ$4="forecast",IF(YEAR(AZ$3)=YEAR('New Hires Forecast'!$N$3),((SUMIFS('New Hires Forecast'!$N$5:$N$81,'New Hires Forecast'!$F$5:$F$81,"Finance",'New Hires Forecast'!$H$5:$H$81,"&gt;="&amp;Finance!AZ$3,'New Hires Forecast'!$G$5:$G$81,"&lt;="&amp;Finance!AZ$3)/12)),IF(YEAR(AZ$3)=YEAR('New Hires Forecast'!$O$3),((SUMIFS('New Hires Forecast'!$O$5:$O$81,'New Hires Forecast'!$F$5:$F$81,"Finance",'New Hires Forecast'!$H$5:$H$81,"&gt;="&amp;Finance!AZ$3,'New Hires Forecast'!$G$5:$G$81,"&lt;="&amp;Finance!AZ$3)/12)),IF(YEAR(AZ$3)=YEAR('New Hires Forecast'!$P$3),((SUMIFS('New Hires Forecast'!$P$5:$P$81,'New Hires Forecast'!$F$5:$F$81,"Finance",'New Hires Forecast'!$H$5:$H$81,"&gt;="&amp;Finance!AZ$3,'New Hires Forecast'!$G$5:$G$81,"&lt;="&amp;Finance!AZ$3)/12)),IF(YEAR(AZ$3)=YEAR('New Hires Forecast'!$Q$3),((SUMIFS('New Hires Forecast'!$Q$5:$Q$81,'New Hires Forecast'!$F$5:$F$81,"Finance",'New Hires Forecast'!$H$5:$H$81,"&gt;="&amp;Finance!AZ$3,'New Hires Forecast'!$G$5:$G$81,"&lt;="&amp;Finance!AZ$3)/12)),IF(YEAR(AZ$3)=YEAR('New Hires Forecast'!$R$3),((SUMIFS('New Hires Forecast'!$R$5:$R$81,'New Hires Forecast'!$F$5:$F$81,"Finance",'New Hires Forecast'!$H$5:$H$81,"&gt;="&amp;Finance!AZ$3,'New Hires Forecast'!$G$5:$G$81,"&lt;="&amp;Finance!AZ$3)/12))))))),0)</f>
        <v>24312.291666666668</v>
      </c>
      <c r="BA13" s="684">
        <f>IF(BA$4="forecast",IF(YEAR(BA$3)=YEAR('New Hires Forecast'!$N$3),((SUMIFS('New Hires Forecast'!$N$5:$N$81,'New Hires Forecast'!$F$5:$F$81,"Finance",'New Hires Forecast'!$H$5:$H$81,"&gt;="&amp;Finance!BA$3,'New Hires Forecast'!$G$5:$G$81,"&lt;="&amp;Finance!BA$3)/12)),IF(YEAR(BA$3)=YEAR('New Hires Forecast'!$O$3),((SUMIFS('New Hires Forecast'!$O$5:$O$81,'New Hires Forecast'!$F$5:$F$81,"Finance",'New Hires Forecast'!$H$5:$H$81,"&gt;="&amp;Finance!BA$3,'New Hires Forecast'!$G$5:$G$81,"&lt;="&amp;Finance!BA$3)/12)),IF(YEAR(BA$3)=YEAR('New Hires Forecast'!$P$3),((SUMIFS('New Hires Forecast'!$P$5:$P$81,'New Hires Forecast'!$F$5:$F$81,"Finance",'New Hires Forecast'!$H$5:$H$81,"&gt;="&amp;Finance!BA$3,'New Hires Forecast'!$G$5:$G$81,"&lt;="&amp;Finance!BA$3)/12)),IF(YEAR(BA$3)=YEAR('New Hires Forecast'!$Q$3),((SUMIFS('New Hires Forecast'!$Q$5:$Q$81,'New Hires Forecast'!$F$5:$F$81,"Finance",'New Hires Forecast'!$H$5:$H$81,"&gt;="&amp;Finance!BA$3,'New Hires Forecast'!$G$5:$G$81,"&lt;="&amp;Finance!BA$3)/12)),IF(YEAR(BA$3)=YEAR('New Hires Forecast'!$R$3),((SUMIFS('New Hires Forecast'!$R$5:$R$81,'New Hires Forecast'!$F$5:$F$81,"Finance",'New Hires Forecast'!$H$5:$H$81,"&gt;="&amp;Finance!BA$3,'New Hires Forecast'!$G$5:$G$81,"&lt;="&amp;Finance!BA$3)/12))))))),0)</f>
        <v>24312.291666666668</v>
      </c>
      <c r="BB13" s="684">
        <f>IF(BB$4="forecast",IF(YEAR(BB$3)=YEAR('New Hires Forecast'!$N$3),((SUMIFS('New Hires Forecast'!$N$5:$N$81,'New Hires Forecast'!$F$5:$F$81,"Finance",'New Hires Forecast'!$H$5:$H$81,"&gt;="&amp;Finance!BB$3,'New Hires Forecast'!$G$5:$G$81,"&lt;="&amp;Finance!BB$3)/12)),IF(YEAR(BB$3)=YEAR('New Hires Forecast'!$O$3),((SUMIFS('New Hires Forecast'!$O$5:$O$81,'New Hires Forecast'!$F$5:$F$81,"Finance",'New Hires Forecast'!$H$5:$H$81,"&gt;="&amp;Finance!BB$3,'New Hires Forecast'!$G$5:$G$81,"&lt;="&amp;Finance!BB$3)/12)),IF(YEAR(BB$3)=YEAR('New Hires Forecast'!$P$3),((SUMIFS('New Hires Forecast'!$P$5:$P$81,'New Hires Forecast'!$F$5:$F$81,"Finance",'New Hires Forecast'!$H$5:$H$81,"&gt;="&amp;Finance!BB$3,'New Hires Forecast'!$G$5:$G$81,"&lt;="&amp;Finance!BB$3)/12)),IF(YEAR(BB$3)=YEAR('New Hires Forecast'!$Q$3),((SUMIFS('New Hires Forecast'!$Q$5:$Q$81,'New Hires Forecast'!$F$5:$F$81,"Finance",'New Hires Forecast'!$H$5:$H$81,"&gt;="&amp;Finance!BB$3,'New Hires Forecast'!$G$5:$G$81,"&lt;="&amp;Finance!BB$3)/12)),IF(YEAR(BB$3)=YEAR('New Hires Forecast'!$R$3),((SUMIFS('New Hires Forecast'!$R$5:$R$81,'New Hires Forecast'!$F$5:$F$81,"Finance",'New Hires Forecast'!$H$5:$H$81,"&gt;="&amp;Finance!BB$3,'New Hires Forecast'!$G$5:$G$81,"&lt;="&amp;Finance!BB$3)/12))))))),0)</f>
        <v>24312.291666666668</v>
      </c>
      <c r="BC13" s="684">
        <f>IF(BC$4="forecast",IF(YEAR(BC$3)=YEAR('New Hires Forecast'!$N$3),((SUMIFS('New Hires Forecast'!$N$5:$N$81,'New Hires Forecast'!$F$5:$F$81,"Finance",'New Hires Forecast'!$H$5:$H$81,"&gt;="&amp;Finance!BC$3,'New Hires Forecast'!$G$5:$G$81,"&lt;="&amp;Finance!BC$3)/12)),IF(YEAR(BC$3)=YEAR('New Hires Forecast'!$O$3),((SUMIFS('New Hires Forecast'!$O$5:$O$81,'New Hires Forecast'!$F$5:$F$81,"Finance",'New Hires Forecast'!$H$5:$H$81,"&gt;="&amp;Finance!BC$3,'New Hires Forecast'!$G$5:$G$81,"&lt;="&amp;Finance!BC$3)/12)),IF(YEAR(BC$3)=YEAR('New Hires Forecast'!$P$3),((SUMIFS('New Hires Forecast'!$P$5:$P$81,'New Hires Forecast'!$F$5:$F$81,"Finance",'New Hires Forecast'!$H$5:$H$81,"&gt;="&amp;Finance!BC$3,'New Hires Forecast'!$G$5:$G$81,"&lt;="&amp;Finance!BC$3)/12)),IF(YEAR(BC$3)=YEAR('New Hires Forecast'!$Q$3),((SUMIFS('New Hires Forecast'!$Q$5:$Q$81,'New Hires Forecast'!$F$5:$F$81,"Finance",'New Hires Forecast'!$H$5:$H$81,"&gt;="&amp;Finance!BC$3,'New Hires Forecast'!$G$5:$G$81,"&lt;="&amp;Finance!BC$3)/12)),IF(YEAR(BC$3)=YEAR('New Hires Forecast'!$R$3),((SUMIFS('New Hires Forecast'!$R$5:$R$81,'New Hires Forecast'!$F$5:$F$81,"Finance",'New Hires Forecast'!$H$5:$H$81,"&gt;="&amp;Finance!BC$3,'New Hires Forecast'!$G$5:$G$81,"&lt;="&amp;Finance!BC$3)/12))))))),0)</f>
        <v>24312.291666666668</v>
      </c>
      <c r="BD13" s="684">
        <f>IF(BD$4="forecast",IF(YEAR(BD$3)=YEAR('New Hires Forecast'!$N$3),((SUMIFS('New Hires Forecast'!$N$5:$N$81,'New Hires Forecast'!$F$5:$F$81,"Finance",'New Hires Forecast'!$H$5:$H$81,"&gt;="&amp;Finance!BD$3,'New Hires Forecast'!$G$5:$G$81,"&lt;="&amp;Finance!BD$3)/12)),IF(YEAR(BD$3)=YEAR('New Hires Forecast'!$O$3),((SUMIFS('New Hires Forecast'!$O$5:$O$81,'New Hires Forecast'!$F$5:$F$81,"Finance",'New Hires Forecast'!$H$5:$H$81,"&gt;="&amp;Finance!BD$3,'New Hires Forecast'!$G$5:$G$81,"&lt;="&amp;Finance!BD$3)/12)),IF(YEAR(BD$3)=YEAR('New Hires Forecast'!$P$3),((SUMIFS('New Hires Forecast'!$P$5:$P$81,'New Hires Forecast'!$F$5:$F$81,"Finance",'New Hires Forecast'!$H$5:$H$81,"&gt;="&amp;Finance!BD$3,'New Hires Forecast'!$G$5:$G$81,"&lt;="&amp;Finance!BD$3)/12)),IF(YEAR(BD$3)=YEAR('New Hires Forecast'!$Q$3),((SUMIFS('New Hires Forecast'!$Q$5:$Q$81,'New Hires Forecast'!$F$5:$F$81,"Finance",'New Hires Forecast'!$H$5:$H$81,"&gt;="&amp;Finance!BD$3,'New Hires Forecast'!$G$5:$G$81,"&lt;="&amp;Finance!BD$3)/12)),IF(YEAR(BD$3)=YEAR('New Hires Forecast'!$R$3),((SUMIFS('New Hires Forecast'!$R$5:$R$81,'New Hires Forecast'!$F$5:$F$81,"Finance",'New Hires Forecast'!$H$5:$H$81,"&gt;="&amp;Finance!BD$3,'New Hires Forecast'!$G$5:$G$81,"&lt;="&amp;Finance!BD$3)/12))))))),0)</f>
        <v>24312.291666666668</v>
      </c>
      <c r="BE13" s="684">
        <f>IF(BE$4="forecast",IF(YEAR(BE$3)=YEAR('New Hires Forecast'!$N$3),((SUMIFS('New Hires Forecast'!$N$5:$N$81,'New Hires Forecast'!$F$5:$F$81,"Finance",'New Hires Forecast'!$H$5:$H$81,"&gt;="&amp;Finance!BE$3,'New Hires Forecast'!$G$5:$G$81,"&lt;="&amp;Finance!BE$3)/12)),IF(YEAR(BE$3)=YEAR('New Hires Forecast'!$O$3),((SUMIFS('New Hires Forecast'!$O$5:$O$81,'New Hires Forecast'!$F$5:$F$81,"Finance",'New Hires Forecast'!$H$5:$H$81,"&gt;="&amp;Finance!BE$3,'New Hires Forecast'!$G$5:$G$81,"&lt;="&amp;Finance!BE$3)/12)),IF(YEAR(BE$3)=YEAR('New Hires Forecast'!$P$3),((SUMIFS('New Hires Forecast'!$P$5:$P$81,'New Hires Forecast'!$F$5:$F$81,"Finance",'New Hires Forecast'!$H$5:$H$81,"&gt;="&amp;Finance!BE$3,'New Hires Forecast'!$G$5:$G$81,"&lt;="&amp;Finance!BE$3)/12)),IF(YEAR(BE$3)=YEAR('New Hires Forecast'!$Q$3),((SUMIFS('New Hires Forecast'!$Q$5:$Q$81,'New Hires Forecast'!$F$5:$F$81,"Finance",'New Hires Forecast'!$H$5:$H$81,"&gt;="&amp;Finance!BE$3,'New Hires Forecast'!$G$5:$G$81,"&lt;="&amp;Finance!BE$3)/12)),IF(YEAR(BE$3)=YEAR('New Hires Forecast'!$R$3),((SUMIFS('New Hires Forecast'!$R$5:$R$81,'New Hires Forecast'!$F$5:$F$81,"Finance",'New Hires Forecast'!$H$5:$H$81,"&gt;="&amp;Finance!BE$3,'New Hires Forecast'!$G$5:$G$81,"&lt;="&amp;Finance!BE$3)/12))))))),0)</f>
        <v>24312.291666666668</v>
      </c>
      <c r="BF13" s="684">
        <f>IF(BF$4="forecast",IF(YEAR(BF$3)=YEAR('New Hires Forecast'!$N$3),((SUMIFS('New Hires Forecast'!$N$5:$N$81,'New Hires Forecast'!$F$5:$F$81,"Finance",'New Hires Forecast'!$H$5:$H$81,"&gt;="&amp;Finance!BF$3,'New Hires Forecast'!$G$5:$G$81,"&lt;="&amp;Finance!BF$3)/12)),IF(YEAR(BF$3)=YEAR('New Hires Forecast'!$O$3),((SUMIFS('New Hires Forecast'!$O$5:$O$81,'New Hires Forecast'!$F$5:$F$81,"Finance",'New Hires Forecast'!$H$5:$H$81,"&gt;="&amp;Finance!BF$3,'New Hires Forecast'!$G$5:$G$81,"&lt;="&amp;Finance!BF$3)/12)),IF(YEAR(BF$3)=YEAR('New Hires Forecast'!$P$3),((SUMIFS('New Hires Forecast'!$P$5:$P$81,'New Hires Forecast'!$F$5:$F$81,"Finance",'New Hires Forecast'!$H$5:$H$81,"&gt;="&amp;Finance!BF$3,'New Hires Forecast'!$G$5:$G$81,"&lt;="&amp;Finance!BF$3)/12)),IF(YEAR(BF$3)=YEAR('New Hires Forecast'!$Q$3),((SUMIFS('New Hires Forecast'!$Q$5:$Q$81,'New Hires Forecast'!$F$5:$F$81,"Finance",'New Hires Forecast'!$H$5:$H$81,"&gt;="&amp;Finance!BF$3,'New Hires Forecast'!$G$5:$G$81,"&lt;="&amp;Finance!BF$3)/12)),IF(YEAR(BF$3)=YEAR('New Hires Forecast'!$R$3),((SUMIFS('New Hires Forecast'!$R$5:$R$81,'New Hires Forecast'!$F$5:$F$81,"Finance",'New Hires Forecast'!$H$5:$H$81,"&gt;="&amp;Finance!BF$3,'New Hires Forecast'!$G$5:$G$81,"&lt;="&amp;Finance!BF$3)/12))))))),0)</f>
        <v>24312.291666666668</v>
      </c>
      <c r="BG13" s="684">
        <f>IF(BG$4="forecast",IF(YEAR(BG$3)=YEAR('New Hires Forecast'!$N$3),((SUMIFS('New Hires Forecast'!$N$5:$N$81,'New Hires Forecast'!$F$5:$F$81,"Finance",'New Hires Forecast'!$H$5:$H$81,"&gt;="&amp;Finance!BG$3,'New Hires Forecast'!$G$5:$G$81,"&lt;="&amp;Finance!BG$3)/12)),IF(YEAR(BG$3)=YEAR('New Hires Forecast'!$O$3),((SUMIFS('New Hires Forecast'!$O$5:$O$81,'New Hires Forecast'!$F$5:$F$81,"Finance",'New Hires Forecast'!$H$5:$H$81,"&gt;="&amp;Finance!BG$3,'New Hires Forecast'!$G$5:$G$81,"&lt;="&amp;Finance!BG$3)/12)),IF(YEAR(BG$3)=YEAR('New Hires Forecast'!$P$3),((SUMIFS('New Hires Forecast'!$P$5:$P$81,'New Hires Forecast'!$F$5:$F$81,"Finance",'New Hires Forecast'!$H$5:$H$81,"&gt;="&amp;Finance!BG$3,'New Hires Forecast'!$G$5:$G$81,"&lt;="&amp;Finance!BG$3)/12)),IF(YEAR(BG$3)=YEAR('New Hires Forecast'!$Q$3),((SUMIFS('New Hires Forecast'!$Q$5:$Q$81,'New Hires Forecast'!$F$5:$F$81,"Finance",'New Hires Forecast'!$H$5:$H$81,"&gt;="&amp;Finance!BG$3,'New Hires Forecast'!$G$5:$G$81,"&lt;="&amp;Finance!BG$3)/12)),IF(YEAR(BG$3)=YEAR('New Hires Forecast'!$R$3),((SUMIFS('New Hires Forecast'!$R$5:$R$81,'New Hires Forecast'!$F$5:$F$81,"Finance",'New Hires Forecast'!$H$5:$H$81,"&gt;="&amp;Finance!BG$3,'New Hires Forecast'!$G$5:$G$81,"&lt;="&amp;Finance!BG$3)/12))))))),0)</f>
        <v>24312.291666666668</v>
      </c>
      <c r="BH13" s="684">
        <f>IF(BH$4="forecast",IF(YEAR(BH$3)=YEAR('New Hires Forecast'!$N$3),((SUMIFS('New Hires Forecast'!$N$5:$N$81,'New Hires Forecast'!$F$5:$F$81,"Finance",'New Hires Forecast'!$H$5:$H$81,"&gt;="&amp;Finance!BH$3,'New Hires Forecast'!$G$5:$G$81,"&lt;="&amp;Finance!BH$3)/12)),IF(YEAR(BH$3)=YEAR('New Hires Forecast'!$O$3),((SUMIFS('New Hires Forecast'!$O$5:$O$81,'New Hires Forecast'!$F$5:$F$81,"Finance",'New Hires Forecast'!$H$5:$H$81,"&gt;="&amp;Finance!BH$3,'New Hires Forecast'!$G$5:$G$81,"&lt;="&amp;Finance!BH$3)/12)),IF(YEAR(BH$3)=YEAR('New Hires Forecast'!$P$3),((SUMIFS('New Hires Forecast'!$P$5:$P$81,'New Hires Forecast'!$F$5:$F$81,"Finance",'New Hires Forecast'!$H$5:$H$81,"&gt;="&amp;Finance!BH$3,'New Hires Forecast'!$G$5:$G$81,"&lt;="&amp;Finance!BH$3)/12)),IF(YEAR(BH$3)=YEAR('New Hires Forecast'!$Q$3),((SUMIFS('New Hires Forecast'!$Q$5:$Q$81,'New Hires Forecast'!$F$5:$F$81,"Finance",'New Hires Forecast'!$H$5:$H$81,"&gt;="&amp;Finance!BH$3,'New Hires Forecast'!$G$5:$G$81,"&lt;="&amp;Finance!BH$3)/12)),IF(YEAR(BH$3)=YEAR('New Hires Forecast'!$R$3),((SUMIFS('New Hires Forecast'!$R$5:$R$81,'New Hires Forecast'!$F$5:$F$81,"Finance",'New Hires Forecast'!$H$5:$H$81,"&gt;="&amp;Finance!BH$3,'New Hires Forecast'!$G$5:$G$81,"&lt;="&amp;Finance!BH$3)/12))))))),0)</f>
        <v>24312.291666666668</v>
      </c>
      <c r="BI13" s="684">
        <f>IF(BI$4="forecast",IF(YEAR(BI$3)=YEAR('New Hires Forecast'!$N$3),((SUMIFS('New Hires Forecast'!$N$5:$N$81,'New Hires Forecast'!$F$5:$F$81,"Finance",'New Hires Forecast'!$H$5:$H$81,"&gt;="&amp;Finance!BI$3,'New Hires Forecast'!$G$5:$G$81,"&lt;="&amp;Finance!BI$3)/12)),IF(YEAR(BI$3)=YEAR('New Hires Forecast'!$O$3),((SUMIFS('New Hires Forecast'!$O$5:$O$81,'New Hires Forecast'!$F$5:$F$81,"Finance",'New Hires Forecast'!$H$5:$H$81,"&gt;="&amp;Finance!BI$3,'New Hires Forecast'!$G$5:$G$81,"&lt;="&amp;Finance!BI$3)/12)),IF(YEAR(BI$3)=YEAR('New Hires Forecast'!$P$3),((SUMIFS('New Hires Forecast'!$P$5:$P$81,'New Hires Forecast'!$F$5:$F$81,"Finance",'New Hires Forecast'!$H$5:$H$81,"&gt;="&amp;Finance!BI$3,'New Hires Forecast'!$G$5:$G$81,"&lt;="&amp;Finance!BI$3)/12)),IF(YEAR(BI$3)=YEAR('New Hires Forecast'!$Q$3),((SUMIFS('New Hires Forecast'!$Q$5:$Q$81,'New Hires Forecast'!$F$5:$F$81,"Finance",'New Hires Forecast'!$H$5:$H$81,"&gt;="&amp;Finance!BI$3,'New Hires Forecast'!$G$5:$G$81,"&lt;="&amp;Finance!BI$3)/12)),IF(YEAR(BI$3)=YEAR('New Hires Forecast'!$R$3),((SUMIFS('New Hires Forecast'!$R$5:$R$81,'New Hires Forecast'!$F$5:$F$81,"Finance",'New Hires Forecast'!$H$5:$H$81,"&gt;="&amp;Finance!BI$3,'New Hires Forecast'!$G$5:$G$81,"&lt;="&amp;Finance!BI$3)/12))))))),0)</f>
        <v>24312.291666666668</v>
      </c>
      <c r="BJ13" s="684">
        <f>IF(BJ$4="forecast",IF(YEAR(BJ$3)=YEAR('New Hires Forecast'!$N$3),((SUMIFS('New Hires Forecast'!$N$5:$N$81,'New Hires Forecast'!$F$5:$F$81,"Finance",'New Hires Forecast'!$H$5:$H$81,"&gt;="&amp;Finance!BJ$3,'New Hires Forecast'!$G$5:$G$81,"&lt;="&amp;Finance!BJ$3)/12)),IF(YEAR(BJ$3)=YEAR('New Hires Forecast'!$O$3),((SUMIFS('New Hires Forecast'!$O$5:$O$81,'New Hires Forecast'!$F$5:$F$81,"Finance",'New Hires Forecast'!$H$5:$H$81,"&gt;="&amp;Finance!BJ$3,'New Hires Forecast'!$G$5:$G$81,"&lt;="&amp;Finance!BJ$3)/12)),IF(YEAR(BJ$3)=YEAR('New Hires Forecast'!$P$3),((SUMIFS('New Hires Forecast'!$P$5:$P$81,'New Hires Forecast'!$F$5:$F$81,"Finance",'New Hires Forecast'!$H$5:$H$81,"&gt;="&amp;Finance!BJ$3,'New Hires Forecast'!$G$5:$G$81,"&lt;="&amp;Finance!BJ$3)/12)),IF(YEAR(BJ$3)=YEAR('New Hires Forecast'!$Q$3),((SUMIFS('New Hires Forecast'!$Q$5:$Q$81,'New Hires Forecast'!$F$5:$F$81,"Finance",'New Hires Forecast'!$H$5:$H$81,"&gt;="&amp;Finance!BJ$3,'New Hires Forecast'!$G$5:$G$81,"&lt;="&amp;Finance!BJ$3)/12)),IF(YEAR(BJ$3)=YEAR('New Hires Forecast'!$R$3),((SUMIFS('New Hires Forecast'!$R$5:$R$81,'New Hires Forecast'!$F$5:$F$81,"Finance",'New Hires Forecast'!$H$5:$H$81,"&gt;="&amp;Finance!BJ$3,'New Hires Forecast'!$G$5:$G$81,"&lt;="&amp;Finance!BJ$3)/12))))))),0)</f>
        <v>24312.291666666668</v>
      </c>
      <c r="BK13" s="684">
        <f>IF(BK$4="forecast",IF(YEAR(BK$3)=YEAR('New Hires Forecast'!$N$3),((SUMIFS('New Hires Forecast'!$N$5:$N$81,'New Hires Forecast'!$F$5:$F$81,"Finance",'New Hires Forecast'!$H$5:$H$81,"&gt;="&amp;Finance!BK$3,'New Hires Forecast'!$G$5:$G$81,"&lt;="&amp;Finance!BK$3)/12)),IF(YEAR(BK$3)=YEAR('New Hires Forecast'!$O$3),((SUMIFS('New Hires Forecast'!$O$5:$O$81,'New Hires Forecast'!$F$5:$F$81,"Finance",'New Hires Forecast'!$H$5:$H$81,"&gt;="&amp;Finance!BK$3,'New Hires Forecast'!$G$5:$G$81,"&lt;="&amp;Finance!BK$3)/12)),IF(YEAR(BK$3)=YEAR('New Hires Forecast'!$P$3),((SUMIFS('New Hires Forecast'!$P$5:$P$81,'New Hires Forecast'!$F$5:$F$81,"Finance",'New Hires Forecast'!$H$5:$H$81,"&gt;="&amp;Finance!BK$3,'New Hires Forecast'!$G$5:$G$81,"&lt;="&amp;Finance!BK$3)/12)),IF(YEAR(BK$3)=YEAR('New Hires Forecast'!$Q$3),((SUMIFS('New Hires Forecast'!$Q$5:$Q$81,'New Hires Forecast'!$F$5:$F$81,"Finance",'New Hires Forecast'!$H$5:$H$81,"&gt;="&amp;Finance!BK$3,'New Hires Forecast'!$G$5:$G$81,"&lt;="&amp;Finance!BK$3)/12)),IF(YEAR(BK$3)=YEAR('New Hires Forecast'!$R$3),((SUMIFS('New Hires Forecast'!$R$5:$R$81,'New Hires Forecast'!$F$5:$F$81,"Finance",'New Hires Forecast'!$H$5:$H$81,"&gt;="&amp;Finance!BK$3,'New Hires Forecast'!$G$5:$G$81,"&lt;="&amp;Finance!BK$3)/12))))))),0)</f>
        <v>25041.660416666666</v>
      </c>
      <c r="BL13" s="684">
        <f>IF(BL$4="forecast",IF(YEAR(BL$3)=YEAR('New Hires Forecast'!$N$3),((SUMIFS('New Hires Forecast'!$N$5:$N$81,'New Hires Forecast'!$F$5:$F$81,"Finance",'New Hires Forecast'!$H$5:$H$81,"&gt;="&amp;Finance!BL$3,'New Hires Forecast'!$G$5:$G$81,"&lt;="&amp;Finance!BL$3)/12)),IF(YEAR(BL$3)=YEAR('New Hires Forecast'!$O$3),((SUMIFS('New Hires Forecast'!$O$5:$O$81,'New Hires Forecast'!$F$5:$F$81,"Finance",'New Hires Forecast'!$H$5:$H$81,"&gt;="&amp;Finance!BL$3,'New Hires Forecast'!$G$5:$G$81,"&lt;="&amp;Finance!BL$3)/12)),IF(YEAR(BL$3)=YEAR('New Hires Forecast'!$P$3),((SUMIFS('New Hires Forecast'!$P$5:$P$81,'New Hires Forecast'!$F$5:$F$81,"Finance",'New Hires Forecast'!$H$5:$H$81,"&gt;="&amp;Finance!BL$3,'New Hires Forecast'!$G$5:$G$81,"&lt;="&amp;Finance!BL$3)/12)),IF(YEAR(BL$3)=YEAR('New Hires Forecast'!$Q$3),((SUMIFS('New Hires Forecast'!$Q$5:$Q$81,'New Hires Forecast'!$F$5:$F$81,"Finance",'New Hires Forecast'!$H$5:$H$81,"&gt;="&amp;Finance!BL$3,'New Hires Forecast'!$G$5:$G$81,"&lt;="&amp;Finance!BL$3)/12)),IF(YEAR(BL$3)=YEAR('New Hires Forecast'!$R$3),((SUMIFS('New Hires Forecast'!$R$5:$R$81,'New Hires Forecast'!$F$5:$F$81,"Finance",'New Hires Forecast'!$H$5:$H$81,"&gt;="&amp;Finance!BL$3,'New Hires Forecast'!$G$5:$G$81,"&lt;="&amp;Finance!BL$3)/12))))))),0)</f>
        <v>25041.660416666666</v>
      </c>
      <c r="BM13" s="684">
        <f>IF(BM$4="forecast",IF(YEAR(BM$3)=YEAR('New Hires Forecast'!$N$3),((SUMIFS('New Hires Forecast'!$N$5:$N$81,'New Hires Forecast'!$F$5:$F$81,"Finance",'New Hires Forecast'!$H$5:$H$81,"&gt;="&amp;Finance!BM$3,'New Hires Forecast'!$G$5:$G$81,"&lt;="&amp;Finance!BM$3)/12)),IF(YEAR(BM$3)=YEAR('New Hires Forecast'!$O$3),((SUMIFS('New Hires Forecast'!$O$5:$O$81,'New Hires Forecast'!$F$5:$F$81,"Finance",'New Hires Forecast'!$H$5:$H$81,"&gt;="&amp;Finance!BM$3,'New Hires Forecast'!$G$5:$G$81,"&lt;="&amp;Finance!BM$3)/12)),IF(YEAR(BM$3)=YEAR('New Hires Forecast'!$P$3),((SUMIFS('New Hires Forecast'!$P$5:$P$81,'New Hires Forecast'!$F$5:$F$81,"Finance",'New Hires Forecast'!$H$5:$H$81,"&gt;="&amp;Finance!BM$3,'New Hires Forecast'!$G$5:$G$81,"&lt;="&amp;Finance!BM$3)/12)),IF(YEAR(BM$3)=YEAR('New Hires Forecast'!$Q$3),((SUMIFS('New Hires Forecast'!$Q$5:$Q$81,'New Hires Forecast'!$F$5:$F$81,"Finance",'New Hires Forecast'!$H$5:$H$81,"&gt;="&amp;Finance!BM$3,'New Hires Forecast'!$G$5:$G$81,"&lt;="&amp;Finance!BM$3)/12)),IF(YEAR(BM$3)=YEAR('New Hires Forecast'!$R$3),((SUMIFS('New Hires Forecast'!$R$5:$R$81,'New Hires Forecast'!$F$5:$F$81,"Finance",'New Hires Forecast'!$H$5:$H$81,"&gt;="&amp;Finance!BM$3,'New Hires Forecast'!$G$5:$G$81,"&lt;="&amp;Finance!BM$3)/12))))))),0)</f>
        <v>25041.660416666666</v>
      </c>
      <c r="BN13" s="684">
        <f>IF(BN$4="forecast",IF(YEAR(BN$3)=YEAR('New Hires Forecast'!$N$3),((SUMIFS('New Hires Forecast'!$N$5:$N$81,'New Hires Forecast'!$F$5:$F$81,"Finance",'New Hires Forecast'!$H$5:$H$81,"&gt;="&amp;Finance!BN$3,'New Hires Forecast'!$G$5:$G$81,"&lt;="&amp;Finance!BN$3)/12)),IF(YEAR(BN$3)=YEAR('New Hires Forecast'!$O$3),((SUMIFS('New Hires Forecast'!$O$5:$O$81,'New Hires Forecast'!$F$5:$F$81,"Finance",'New Hires Forecast'!$H$5:$H$81,"&gt;="&amp;Finance!BN$3,'New Hires Forecast'!$G$5:$G$81,"&lt;="&amp;Finance!BN$3)/12)),IF(YEAR(BN$3)=YEAR('New Hires Forecast'!$P$3),((SUMIFS('New Hires Forecast'!$P$5:$P$81,'New Hires Forecast'!$F$5:$F$81,"Finance",'New Hires Forecast'!$H$5:$H$81,"&gt;="&amp;Finance!BN$3,'New Hires Forecast'!$G$5:$G$81,"&lt;="&amp;Finance!BN$3)/12)),IF(YEAR(BN$3)=YEAR('New Hires Forecast'!$Q$3),((SUMIFS('New Hires Forecast'!$Q$5:$Q$81,'New Hires Forecast'!$F$5:$F$81,"Finance",'New Hires Forecast'!$H$5:$H$81,"&gt;="&amp;Finance!BN$3,'New Hires Forecast'!$G$5:$G$81,"&lt;="&amp;Finance!BN$3)/12)),IF(YEAR(BN$3)=YEAR('New Hires Forecast'!$R$3),((SUMIFS('New Hires Forecast'!$R$5:$R$81,'New Hires Forecast'!$F$5:$F$81,"Finance",'New Hires Forecast'!$H$5:$H$81,"&gt;="&amp;Finance!BN$3,'New Hires Forecast'!$G$5:$G$81,"&lt;="&amp;Finance!BN$3)/12))))))),0)</f>
        <v>25041.660416666666</v>
      </c>
      <c r="BO13" s="684">
        <f>IF(BO$4="forecast",IF(YEAR(BO$3)=YEAR('New Hires Forecast'!$N$3),((SUMIFS('New Hires Forecast'!$N$5:$N$81,'New Hires Forecast'!$F$5:$F$81,"Finance",'New Hires Forecast'!$H$5:$H$81,"&gt;="&amp;Finance!BO$3,'New Hires Forecast'!$G$5:$G$81,"&lt;="&amp;Finance!BO$3)/12)),IF(YEAR(BO$3)=YEAR('New Hires Forecast'!$O$3),((SUMIFS('New Hires Forecast'!$O$5:$O$81,'New Hires Forecast'!$F$5:$F$81,"Finance",'New Hires Forecast'!$H$5:$H$81,"&gt;="&amp;Finance!BO$3,'New Hires Forecast'!$G$5:$G$81,"&lt;="&amp;Finance!BO$3)/12)),IF(YEAR(BO$3)=YEAR('New Hires Forecast'!$P$3),((SUMIFS('New Hires Forecast'!$P$5:$P$81,'New Hires Forecast'!$F$5:$F$81,"Finance",'New Hires Forecast'!$H$5:$H$81,"&gt;="&amp;Finance!BO$3,'New Hires Forecast'!$G$5:$G$81,"&lt;="&amp;Finance!BO$3)/12)),IF(YEAR(BO$3)=YEAR('New Hires Forecast'!$Q$3),((SUMIFS('New Hires Forecast'!$Q$5:$Q$81,'New Hires Forecast'!$F$5:$F$81,"Finance",'New Hires Forecast'!$H$5:$H$81,"&gt;="&amp;Finance!BO$3,'New Hires Forecast'!$G$5:$G$81,"&lt;="&amp;Finance!BO$3)/12)),IF(YEAR(BO$3)=YEAR('New Hires Forecast'!$R$3),((SUMIFS('New Hires Forecast'!$R$5:$R$81,'New Hires Forecast'!$F$5:$F$81,"Finance",'New Hires Forecast'!$H$5:$H$81,"&gt;="&amp;Finance!BO$3,'New Hires Forecast'!$G$5:$G$81,"&lt;="&amp;Finance!BO$3)/12))))))),0)</f>
        <v>25041.660416666666</v>
      </c>
      <c r="BP13" s="684">
        <f>IF(BP$4="forecast",IF(YEAR(BP$3)=YEAR('New Hires Forecast'!$N$3),((SUMIFS('New Hires Forecast'!$N$5:$N$81,'New Hires Forecast'!$F$5:$F$81,"Finance",'New Hires Forecast'!$H$5:$H$81,"&gt;="&amp;Finance!BP$3,'New Hires Forecast'!$G$5:$G$81,"&lt;="&amp;Finance!BP$3)/12)),IF(YEAR(BP$3)=YEAR('New Hires Forecast'!$O$3),((SUMIFS('New Hires Forecast'!$O$5:$O$81,'New Hires Forecast'!$F$5:$F$81,"Finance",'New Hires Forecast'!$H$5:$H$81,"&gt;="&amp;Finance!BP$3,'New Hires Forecast'!$G$5:$G$81,"&lt;="&amp;Finance!BP$3)/12)),IF(YEAR(BP$3)=YEAR('New Hires Forecast'!$P$3),((SUMIFS('New Hires Forecast'!$P$5:$P$81,'New Hires Forecast'!$F$5:$F$81,"Finance",'New Hires Forecast'!$H$5:$H$81,"&gt;="&amp;Finance!BP$3,'New Hires Forecast'!$G$5:$G$81,"&lt;="&amp;Finance!BP$3)/12)),IF(YEAR(BP$3)=YEAR('New Hires Forecast'!$Q$3),((SUMIFS('New Hires Forecast'!$Q$5:$Q$81,'New Hires Forecast'!$F$5:$F$81,"Finance",'New Hires Forecast'!$H$5:$H$81,"&gt;="&amp;Finance!BP$3,'New Hires Forecast'!$G$5:$G$81,"&lt;="&amp;Finance!BP$3)/12)),IF(YEAR(BP$3)=YEAR('New Hires Forecast'!$R$3),((SUMIFS('New Hires Forecast'!$R$5:$R$81,'New Hires Forecast'!$F$5:$F$81,"Finance",'New Hires Forecast'!$H$5:$H$81,"&gt;="&amp;Finance!BP$3,'New Hires Forecast'!$G$5:$G$81,"&lt;="&amp;Finance!BP$3)/12))))))),0)</f>
        <v>25041.660416666666</v>
      </c>
      <c r="BQ13" s="684">
        <f>IF(BQ$4="forecast",IF(YEAR(BQ$3)=YEAR('New Hires Forecast'!$N$3),((SUMIFS('New Hires Forecast'!$N$5:$N$81,'New Hires Forecast'!$F$5:$F$81,"Finance",'New Hires Forecast'!$H$5:$H$81,"&gt;="&amp;Finance!BQ$3,'New Hires Forecast'!$G$5:$G$81,"&lt;="&amp;Finance!BQ$3)/12)),IF(YEAR(BQ$3)=YEAR('New Hires Forecast'!$O$3),((SUMIFS('New Hires Forecast'!$O$5:$O$81,'New Hires Forecast'!$F$5:$F$81,"Finance",'New Hires Forecast'!$H$5:$H$81,"&gt;="&amp;Finance!BQ$3,'New Hires Forecast'!$G$5:$G$81,"&lt;="&amp;Finance!BQ$3)/12)),IF(YEAR(BQ$3)=YEAR('New Hires Forecast'!$P$3),((SUMIFS('New Hires Forecast'!$P$5:$P$81,'New Hires Forecast'!$F$5:$F$81,"Finance",'New Hires Forecast'!$H$5:$H$81,"&gt;="&amp;Finance!BQ$3,'New Hires Forecast'!$G$5:$G$81,"&lt;="&amp;Finance!BQ$3)/12)),IF(YEAR(BQ$3)=YEAR('New Hires Forecast'!$Q$3),((SUMIFS('New Hires Forecast'!$Q$5:$Q$81,'New Hires Forecast'!$F$5:$F$81,"Finance",'New Hires Forecast'!$H$5:$H$81,"&gt;="&amp;Finance!BQ$3,'New Hires Forecast'!$G$5:$G$81,"&lt;="&amp;Finance!BQ$3)/12)),IF(YEAR(BQ$3)=YEAR('New Hires Forecast'!$R$3),((SUMIFS('New Hires Forecast'!$R$5:$R$81,'New Hires Forecast'!$F$5:$F$81,"Finance",'New Hires Forecast'!$H$5:$H$81,"&gt;="&amp;Finance!BQ$3,'New Hires Forecast'!$G$5:$G$81,"&lt;="&amp;Finance!BQ$3)/12))))))),0)</f>
        <v>25041.660416666666</v>
      </c>
      <c r="BR13" s="684">
        <f>IF(BR$4="forecast",IF(YEAR(BR$3)=YEAR('New Hires Forecast'!$N$3),((SUMIFS('New Hires Forecast'!$N$5:$N$81,'New Hires Forecast'!$F$5:$F$81,"Finance",'New Hires Forecast'!$H$5:$H$81,"&gt;="&amp;Finance!BR$3,'New Hires Forecast'!$G$5:$G$81,"&lt;="&amp;Finance!BR$3)/12)),IF(YEAR(BR$3)=YEAR('New Hires Forecast'!$O$3),((SUMIFS('New Hires Forecast'!$O$5:$O$81,'New Hires Forecast'!$F$5:$F$81,"Finance",'New Hires Forecast'!$H$5:$H$81,"&gt;="&amp;Finance!BR$3,'New Hires Forecast'!$G$5:$G$81,"&lt;="&amp;Finance!BR$3)/12)),IF(YEAR(BR$3)=YEAR('New Hires Forecast'!$P$3),((SUMIFS('New Hires Forecast'!$P$5:$P$81,'New Hires Forecast'!$F$5:$F$81,"Finance",'New Hires Forecast'!$H$5:$H$81,"&gt;="&amp;Finance!BR$3,'New Hires Forecast'!$G$5:$G$81,"&lt;="&amp;Finance!BR$3)/12)),IF(YEAR(BR$3)=YEAR('New Hires Forecast'!$Q$3),((SUMIFS('New Hires Forecast'!$Q$5:$Q$81,'New Hires Forecast'!$F$5:$F$81,"Finance",'New Hires Forecast'!$H$5:$H$81,"&gt;="&amp;Finance!BR$3,'New Hires Forecast'!$G$5:$G$81,"&lt;="&amp;Finance!BR$3)/12)),IF(YEAR(BR$3)=YEAR('New Hires Forecast'!$R$3),((SUMIFS('New Hires Forecast'!$R$5:$R$81,'New Hires Forecast'!$F$5:$F$81,"Finance",'New Hires Forecast'!$H$5:$H$81,"&gt;="&amp;Finance!BR$3,'New Hires Forecast'!$G$5:$G$81,"&lt;="&amp;Finance!BR$3)/12))))))),0)</f>
        <v>25041.660416666666</v>
      </c>
      <c r="BS13" s="684">
        <f>IF(BS$4="forecast",IF(YEAR(BS$3)=YEAR('New Hires Forecast'!$N$3),((SUMIFS('New Hires Forecast'!$N$5:$N$81,'New Hires Forecast'!$F$5:$F$81,"Finance",'New Hires Forecast'!$H$5:$H$81,"&gt;="&amp;Finance!BS$3,'New Hires Forecast'!$G$5:$G$81,"&lt;="&amp;Finance!BS$3)/12)),IF(YEAR(BS$3)=YEAR('New Hires Forecast'!$O$3),((SUMIFS('New Hires Forecast'!$O$5:$O$81,'New Hires Forecast'!$F$5:$F$81,"Finance",'New Hires Forecast'!$H$5:$H$81,"&gt;="&amp;Finance!BS$3,'New Hires Forecast'!$G$5:$G$81,"&lt;="&amp;Finance!BS$3)/12)),IF(YEAR(BS$3)=YEAR('New Hires Forecast'!$P$3),((SUMIFS('New Hires Forecast'!$P$5:$P$81,'New Hires Forecast'!$F$5:$F$81,"Finance",'New Hires Forecast'!$H$5:$H$81,"&gt;="&amp;Finance!BS$3,'New Hires Forecast'!$G$5:$G$81,"&lt;="&amp;Finance!BS$3)/12)),IF(YEAR(BS$3)=YEAR('New Hires Forecast'!$Q$3),((SUMIFS('New Hires Forecast'!$Q$5:$Q$81,'New Hires Forecast'!$F$5:$F$81,"Finance",'New Hires Forecast'!$H$5:$H$81,"&gt;="&amp;Finance!BS$3,'New Hires Forecast'!$G$5:$G$81,"&lt;="&amp;Finance!BS$3)/12)),IF(YEAR(BS$3)=YEAR('New Hires Forecast'!$R$3),((SUMIFS('New Hires Forecast'!$R$5:$R$81,'New Hires Forecast'!$F$5:$F$81,"Finance",'New Hires Forecast'!$H$5:$H$81,"&gt;="&amp;Finance!BS$3,'New Hires Forecast'!$G$5:$G$81,"&lt;="&amp;Finance!BS$3)/12))))))),0)</f>
        <v>25041.660416666666</v>
      </c>
      <c r="BT13" s="684">
        <f>IF(BT$4="forecast",IF(YEAR(BT$3)=YEAR('New Hires Forecast'!$N$3),((SUMIFS('New Hires Forecast'!$N$5:$N$81,'New Hires Forecast'!$F$5:$F$81,"Finance",'New Hires Forecast'!$H$5:$H$81,"&gt;="&amp;Finance!BT$3,'New Hires Forecast'!$G$5:$G$81,"&lt;="&amp;Finance!BT$3)/12)),IF(YEAR(BT$3)=YEAR('New Hires Forecast'!$O$3),((SUMIFS('New Hires Forecast'!$O$5:$O$81,'New Hires Forecast'!$F$5:$F$81,"Finance",'New Hires Forecast'!$H$5:$H$81,"&gt;="&amp;Finance!BT$3,'New Hires Forecast'!$G$5:$G$81,"&lt;="&amp;Finance!BT$3)/12)),IF(YEAR(BT$3)=YEAR('New Hires Forecast'!$P$3),((SUMIFS('New Hires Forecast'!$P$5:$P$81,'New Hires Forecast'!$F$5:$F$81,"Finance",'New Hires Forecast'!$H$5:$H$81,"&gt;="&amp;Finance!BT$3,'New Hires Forecast'!$G$5:$G$81,"&lt;="&amp;Finance!BT$3)/12)),IF(YEAR(BT$3)=YEAR('New Hires Forecast'!$Q$3),((SUMIFS('New Hires Forecast'!$Q$5:$Q$81,'New Hires Forecast'!$F$5:$F$81,"Finance",'New Hires Forecast'!$H$5:$H$81,"&gt;="&amp;Finance!BT$3,'New Hires Forecast'!$G$5:$G$81,"&lt;="&amp;Finance!BT$3)/12)),IF(YEAR(BT$3)=YEAR('New Hires Forecast'!$R$3),((SUMIFS('New Hires Forecast'!$R$5:$R$81,'New Hires Forecast'!$F$5:$F$81,"Finance",'New Hires Forecast'!$H$5:$H$81,"&gt;="&amp;Finance!BT$3,'New Hires Forecast'!$G$5:$G$81,"&lt;="&amp;Finance!BT$3)/12))))))),0)</f>
        <v>25041.660416666666</v>
      </c>
      <c r="BU13" s="684">
        <f>IF(BU$4="forecast",IF(YEAR(BU$3)=YEAR('New Hires Forecast'!$N$3),((SUMIFS('New Hires Forecast'!$N$5:$N$81,'New Hires Forecast'!$F$5:$F$81,"Finance",'New Hires Forecast'!$H$5:$H$81,"&gt;="&amp;Finance!BU$3,'New Hires Forecast'!$G$5:$G$81,"&lt;="&amp;Finance!BU$3)/12)),IF(YEAR(BU$3)=YEAR('New Hires Forecast'!$O$3),((SUMIFS('New Hires Forecast'!$O$5:$O$81,'New Hires Forecast'!$F$5:$F$81,"Finance",'New Hires Forecast'!$H$5:$H$81,"&gt;="&amp;Finance!BU$3,'New Hires Forecast'!$G$5:$G$81,"&lt;="&amp;Finance!BU$3)/12)),IF(YEAR(BU$3)=YEAR('New Hires Forecast'!$P$3),((SUMIFS('New Hires Forecast'!$P$5:$P$81,'New Hires Forecast'!$F$5:$F$81,"Finance",'New Hires Forecast'!$H$5:$H$81,"&gt;="&amp;Finance!BU$3,'New Hires Forecast'!$G$5:$G$81,"&lt;="&amp;Finance!BU$3)/12)),IF(YEAR(BU$3)=YEAR('New Hires Forecast'!$Q$3),((SUMIFS('New Hires Forecast'!$Q$5:$Q$81,'New Hires Forecast'!$F$5:$F$81,"Finance",'New Hires Forecast'!$H$5:$H$81,"&gt;="&amp;Finance!BU$3,'New Hires Forecast'!$G$5:$G$81,"&lt;="&amp;Finance!BU$3)/12)),IF(YEAR(BU$3)=YEAR('New Hires Forecast'!$R$3),((SUMIFS('New Hires Forecast'!$R$5:$R$81,'New Hires Forecast'!$F$5:$F$81,"Finance",'New Hires Forecast'!$H$5:$H$81,"&gt;="&amp;Finance!BU$3,'New Hires Forecast'!$G$5:$G$81,"&lt;="&amp;Finance!BU$3)/12))))))),0)</f>
        <v>25041.660416666666</v>
      </c>
      <c r="BV13" s="808">
        <f>IF(BV$4="forecast",IF(YEAR(BV$3)=YEAR('New Hires Forecast'!$N$3),((SUMIFS('New Hires Forecast'!$N$5:$N$81,'New Hires Forecast'!$F$5:$F$81,"Finance",'New Hires Forecast'!$H$5:$H$81,"&gt;="&amp;Finance!BV$3,'New Hires Forecast'!$G$5:$G$81,"&lt;="&amp;Finance!BV$3)/12)),IF(YEAR(BV$3)=YEAR('New Hires Forecast'!$O$3),((SUMIFS('New Hires Forecast'!$O$5:$O$81,'New Hires Forecast'!$F$5:$F$81,"Finance",'New Hires Forecast'!$H$5:$H$81,"&gt;="&amp;Finance!BV$3,'New Hires Forecast'!$G$5:$G$81,"&lt;="&amp;Finance!BV$3)/12)),IF(YEAR(BV$3)=YEAR('New Hires Forecast'!$P$3),((SUMIFS('New Hires Forecast'!$P$5:$P$81,'New Hires Forecast'!$F$5:$F$81,"Finance",'New Hires Forecast'!$H$5:$H$81,"&gt;="&amp;Finance!BV$3,'New Hires Forecast'!$G$5:$G$81,"&lt;="&amp;Finance!BV$3)/12)),IF(YEAR(BV$3)=YEAR('New Hires Forecast'!$Q$3),((SUMIFS('New Hires Forecast'!$Q$5:$Q$81,'New Hires Forecast'!$F$5:$F$81,"Finance",'New Hires Forecast'!$H$5:$H$81,"&gt;="&amp;Finance!BV$3,'New Hires Forecast'!$G$5:$G$81,"&lt;="&amp;Finance!BV$3)/12)),IF(YEAR(BV$3)=YEAR('New Hires Forecast'!$R$3),((SUMIFS('New Hires Forecast'!$R$5:$R$81,'New Hires Forecast'!$F$5:$F$81,"Finance",'New Hires Forecast'!$H$5:$H$81,"&gt;="&amp;Finance!BV$3,'New Hires Forecast'!$G$5:$G$81,"&lt;="&amp;Finance!BV$3)/12))))))),0)</f>
        <v>25041.660416666666</v>
      </c>
    </row>
    <row r="14" spans="2:74" x14ac:dyDescent="0.35">
      <c r="B14" s="809" t="s">
        <v>936</v>
      </c>
      <c r="C14" s="806">
        <f t="shared" ref="C14" si="2">SUM(C12:C13)</f>
        <v>9040.825025247952</v>
      </c>
      <c r="D14" s="806">
        <f t="shared" ref="D14:BO14" si="3">SUM(D12:D13)</f>
        <v>8961.3278112356056</v>
      </c>
      <c r="E14" s="806">
        <f t="shared" si="3"/>
        <v>8987.1048993974837</v>
      </c>
      <c r="F14" s="806">
        <f t="shared" si="3"/>
        <v>9502.2703778282848</v>
      </c>
      <c r="G14" s="806">
        <f t="shared" si="3"/>
        <v>6607.6548645223238</v>
      </c>
      <c r="H14" s="806">
        <f t="shared" si="3"/>
        <v>10172.674014432794</v>
      </c>
      <c r="I14" s="806">
        <f t="shared" si="3"/>
        <v>9218.6648696523371</v>
      </c>
      <c r="J14" s="806">
        <f t="shared" si="3"/>
        <v>11507.85498386608</v>
      </c>
      <c r="K14" s="806">
        <f t="shared" si="3"/>
        <v>9414.4400417115248</v>
      </c>
      <c r="L14" s="806">
        <f t="shared" si="3"/>
        <v>10447.904561516651</v>
      </c>
      <c r="M14" s="806">
        <f t="shared" si="3"/>
        <v>14486.431255502628</v>
      </c>
      <c r="N14" s="806">
        <f t="shared" si="3"/>
        <v>11972.187175655527</v>
      </c>
      <c r="O14" s="806">
        <f t="shared" si="3"/>
        <v>6629.41</v>
      </c>
      <c r="P14" s="806">
        <f t="shared" si="3"/>
        <v>4529.8799999999992</v>
      </c>
      <c r="Q14" s="806">
        <f t="shared" si="3"/>
        <v>6731.4600000000009</v>
      </c>
      <c r="R14" s="806">
        <f t="shared" si="3"/>
        <v>4175.880000000001</v>
      </c>
      <c r="S14" s="806">
        <f t="shared" si="3"/>
        <v>14283.83</v>
      </c>
      <c r="T14" s="806">
        <f t="shared" si="3"/>
        <v>14654.87</v>
      </c>
      <c r="U14" s="806">
        <f t="shared" si="3"/>
        <v>16741.059999999998</v>
      </c>
      <c r="V14" s="806">
        <f t="shared" si="3"/>
        <v>22829.75</v>
      </c>
      <c r="W14" s="806">
        <f t="shared" si="3"/>
        <v>25735.260000000002</v>
      </c>
      <c r="X14" s="806">
        <f t="shared" si="3"/>
        <v>26570.14</v>
      </c>
      <c r="Y14" s="806">
        <f t="shared" si="3"/>
        <v>26907.800000000003</v>
      </c>
      <c r="Z14" s="806">
        <f t="shared" si="3"/>
        <v>26206.489999999998</v>
      </c>
      <c r="AA14" s="806">
        <f t="shared" si="3"/>
        <v>26206.489999999998</v>
      </c>
      <c r="AB14" s="806">
        <f t="shared" si="3"/>
        <v>30470.833333333332</v>
      </c>
      <c r="AC14" s="806">
        <f t="shared" si="3"/>
        <v>30470.833333333332</v>
      </c>
      <c r="AD14" s="806">
        <f t="shared" si="3"/>
        <v>53387.5</v>
      </c>
      <c r="AE14" s="806">
        <f t="shared" si="3"/>
        <v>53387.5</v>
      </c>
      <c r="AF14" s="806">
        <f t="shared" si="3"/>
        <v>53387.5</v>
      </c>
      <c r="AG14" s="806">
        <f t="shared" si="3"/>
        <v>53387.5</v>
      </c>
      <c r="AH14" s="806">
        <f t="shared" si="3"/>
        <v>53387.5</v>
      </c>
      <c r="AI14" s="806">
        <f t="shared" si="3"/>
        <v>53387.5</v>
      </c>
      <c r="AJ14" s="806">
        <f t="shared" si="3"/>
        <v>53387.5</v>
      </c>
      <c r="AK14" s="806">
        <f t="shared" si="3"/>
        <v>53387.5</v>
      </c>
      <c r="AL14" s="806">
        <f t="shared" si="3"/>
        <v>53387.5</v>
      </c>
      <c r="AM14" s="806">
        <f t="shared" si="3"/>
        <v>54075</v>
      </c>
      <c r="AN14" s="806">
        <f t="shared" si="3"/>
        <v>54989.125</v>
      </c>
      <c r="AO14" s="806">
        <f t="shared" si="3"/>
        <v>54989.125</v>
      </c>
      <c r="AP14" s="806">
        <f t="shared" si="3"/>
        <v>54989.125</v>
      </c>
      <c r="AQ14" s="806">
        <f t="shared" si="3"/>
        <v>54989.125</v>
      </c>
      <c r="AR14" s="806">
        <f t="shared" si="3"/>
        <v>54989.125</v>
      </c>
      <c r="AS14" s="806">
        <f t="shared" si="3"/>
        <v>54989.125</v>
      </c>
      <c r="AT14" s="806">
        <f t="shared" si="3"/>
        <v>54989.125</v>
      </c>
      <c r="AU14" s="806">
        <f t="shared" si="3"/>
        <v>54989.125</v>
      </c>
      <c r="AV14" s="806">
        <f t="shared" si="3"/>
        <v>54989.125</v>
      </c>
      <c r="AW14" s="806">
        <f t="shared" si="3"/>
        <v>54989.125</v>
      </c>
      <c r="AX14" s="806">
        <f t="shared" si="3"/>
        <v>54989.125</v>
      </c>
      <c r="AY14" s="806">
        <f t="shared" si="3"/>
        <v>55697.25</v>
      </c>
      <c r="AZ14" s="806">
        <f t="shared" si="3"/>
        <v>56638.798750000002</v>
      </c>
      <c r="BA14" s="806">
        <f t="shared" si="3"/>
        <v>56638.798750000002</v>
      </c>
      <c r="BB14" s="806">
        <f t="shared" si="3"/>
        <v>56638.798750000002</v>
      </c>
      <c r="BC14" s="806">
        <f t="shared" si="3"/>
        <v>56638.798750000002</v>
      </c>
      <c r="BD14" s="806">
        <f t="shared" si="3"/>
        <v>56638.798750000002</v>
      </c>
      <c r="BE14" s="806">
        <f t="shared" si="3"/>
        <v>56638.798750000002</v>
      </c>
      <c r="BF14" s="806">
        <f t="shared" si="3"/>
        <v>56638.798750000002</v>
      </c>
      <c r="BG14" s="806">
        <f t="shared" si="3"/>
        <v>56638.798750000002</v>
      </c>
      <c r="BH14" s="806">
        <f t="shared" si="3"/>
        <v>56638.798750000002</v>
      </c>
      <c r="BI14" s="806">
        <f t="shared" si="3"/>
        <v>56638.798750000002</v>
      </c>
      <c r="BJ14" s="806">
        <f t="shared" si="3"/>
        <v>56638.798750000002</v>
      </c>
      <c r="BK14" s="806">
        <f t="shared" si="3"/>
        <v>57368.167499999996</v>
      </c>
      <c r="BL14" s="806">
        <f t="shared" si="3"/>
        <v>58337.962712500004</v>
      </c>
      <c r="BM14" s="806">
        <f t="shared" si="3"/>
        <v>58337.962712500004</v>
      </c>
      <c r="BN14" s="806">
        <f t="shared" si="3"/>
        <v>58337.962712500004</v>
      </c>
      <c r="BO14" s="806">
        <f t="shared" si="3"/>
        <v>58337.962712500004</v>
      </c>
      <c r="BP14" s="806">
        <f t="shared" ref="BP14:BV14" si="4">SUM(BP12:BP13)</f>
        <v>58337.962712500004</v>
      </c>
      <c r="BQ14" s="806">
        <f t="shared" si="4"/>
        <v>58337.962712500004</v>
      </c>
      <c r="BR14" s="806">
        <f t="shared" si="4"/>
        <v>58337.962712500004</v>
      </c>
      <c r="BS14" s="806">
        <f t="shared" si="4"/>
        <v>58337.962712500004</v>
      </c>
      <c r="BT14" s="806">
        <f t="shared" si="4"/>
        <v>58337.962712500004</v>
      </c>
      <c r="BU14" s="806">
        <f t="shared" si="4"/>
        <v>58337.962712500004</v>
      </c>
      <c r="BV14" s="807">
        <f t="shared" si="4"/>
        <v>58337.962712500004</v>
      </c>
    </row>
    <row r="15" spans="2:74" x14ac:dyDescent="0.35">
      <c r="B15" s="797" t="s">
        <v>938</v>
      </c>
      <c r="C15" s="684">
        <f>IF(C$4="forecast",IF(YEAR(C$3)=YEAR('New Hires Forecast'!$N$3),IF((C$5=12),(SUMPRODUCT(--('New Hires Forecast'!$F$5:$F$84="Finance"),--('New Hires Forecast'!$H$5:$H$84&gt;=Finance!C$3),'New Hires Forecast'!$N$5:$N$84,'New Hires Forecast'!$L$5:$L$84)),0),IF(YEAR(C$3)=YEAR('New Hires Forecast'!$O$3),IF((C$5=12),(SUMPRODUCT(--('New Hires Forecast'!$F$5:$F$84="Finance"),--('New Hires Forecast'!$H$5:$H$84&gt;=Finance!C$3),'New Hires Forecast'!$O$5:$O$84,'New Hires Forecast'!$L$5:$L$84)),0),IF(YEAR(C$3)=YEAR('New Hires Forecast'!$P$3),IF((C$5=12),(SUMPRODUCT(--('New Hires Forecast'!$F$5:$F$84="Finance"),--('New Hires Forecast'!$H$5:$H$84&gt;=Finance!C$3),'New Hires Forecast'!$P$5:$P$84,'New Hires Forecast'!$L$5:$L$84)),0),IF(YEAR(C$3)=YEAR('New Hires Forecast'!$Q$3),IF((C$5=12),(SUMPRODUCT(--('New Hires Forecast'!$F$5:$F$84="Finance"),--('New Hires Forecast'!$H$5:$H$84&gt;=Finance!C$3),'New Hires Forecast'!$Q$5:$Q$84,'New Hires Forecast'!$L$5:$L$84)),0),IF(YEAR(C$3)=YEAR('New Hires Forecast'!$R$3),IF((C$5=12),(SUMPRODUCT(--('New Hires Forecast'!$F$5:$F$84="Finance"),--('New Hires Forecast'!$H$5:$H$84&gt;=Finance!C$3),'New Hires Forecast'!$R$5:$R$84,'New Hires Forecast'!$L$5:$L$84)),0),"New Year"))))),0)</f>
        <v>0</v>
      </c>
      <c r="D15" s="684">
        <f>IF(D$4="forecast",IF(YEAR(D$3)=YEAR('New Hires Forecast'!$N$3),IF((D$5=12),(SUMPRODUCT(--('New Hires Forecast'!$F$5:$F$84="Finance"),--('New Hires Forecast'!$H$5:$H$84&gt;=Finance!D$3),'New Hires Forecast'!$N$5:$N$84,'New Hires Forecast'!$L$5:$L$84)),0),IF(YEAR(D$3)=YEAR('New Hires Forecast'!$O$3),IF((D$5=12),(SUMPRODUCT(--('New Hires Forecast'!$F$5:$F$84="Finance"),--('New Hires Forecast'!$H$5:$H$84&gt;=Finance!D$3),'New Hires Forecast'!$O$5:$O$84,'New Hires Forecast'!$L$5:$L$84)),0),IF(YEAR(D$3)=YEAR('New Hires Forecast'!$P$3),IF((D$5=12),(SUMPRODUCT(--('New Hires Forecast'!$F$5:$F$84="Finance"),--('New Hires Forecast'!$H$5:$H$84&gt;=Finance!D$3),'New Hires Forecast'!$P$5:$P$84,'New Hires Forecast'!$L$5:$L$84)),0),IF(YEAR(D$3)=YEAR('New Hires Forecast'!$Q$3),IF((D$5=12),(SUMPRODUCT(--('New Hires Forecast'!$F$5:$F$84="Finance"),--('New Hires Forecast'!$H$5:$H$84&gt;=Finance!D$3),'New Hires Forecast'!$Q$5:$Q$84,'New Hires Forecast'!$L$5:$L$84)),0),IF(YEAR(D$3)=YEAR('New Hires Forecast'!$R$3),IF((D$5=12),(SUMPRODUCT(--('New Hires Forecast'!$F$5:$F$84="Finance"),--('New Hires Forecast'!$H$5:$H$84&gt;=Finance!D$3),'New Hires Forecast'!$R$5:$R$84,'New Hires Forecast'!$L$5:$L$84)),0),"New Year"))))),0)</f>
        <v>0</v>
      </c>
      <c r="E15" s="684">
        <f>IF(E$4="forecast",IF(YEAR(E$3)=YEAR('New Hires Forecast'!$N$3),IF((E$5=12),(SUMPRODUCT(--('New Hires Forecast'!$F$5:$F$84="Finance"),--('New Hires Forecast'!$H$5:$H$84&gt;=Finance!E$3),'New Hires Forecast'!$N$5:$N$84,'New Hires Forecast'!$L$5:$L$84)),0),IF(YEAR(E$3)=YEAR('New Hires Forecast'!$O$3),IF((E$5=12),(SUMPRODUCT(--('New Hires Forecast'!$F$5:$F$84="Finance"),--('New Hires Forecast'!$H$5:$H$84&gt;=Finance!E$3),'New Hires Forecast'!$O$5:$O$84,'New Hires Forecast'!$L$5:$L$84)),0),IF(YEAR(E$3)=YEAR('New Hires Forecast'!$P$3),IF((E$5=12),(SUMPRODUCT(--('New Hires Forecast'!$F$5:$F$84="Finance"),--('New Hires Forecast'!$H$5:$H$84&gt;=Finance!E$3),'New Hires Forecast'!$P$5:$P$84,'New Hires Forecast'!$L$5:$L$84)),0),IF(YEAR(E$3)=YEAR('New Hires Forecast'!$Q$3),IF((E$5=12),(SUMPRODUCT(--('New Hires Forecast'!$F$5:$F$84="Finance"),--('New Hires Forecast'!$H$5:$H$84&gt;=Finance!E$3),'New Hires Forecast'!$Q$5:$Q$84,'New Hires Forecast'!$L$5:$L$84)),0),IF(YEAR(E$3)=YEAR('New Hires Forecast'!$R$3),IF((E$5=12),(SUMPRODUCT(--('New Hires Forecast'!$F$5:$F$84="Finance"),--('New Hires Forecast'!$H$5:$H$84&gt;=Finance!E$3),'New Hires Forecast'!$R$5:$R$84,'New Hires Forecast'!$L$5:$L$84)),0),"New Year"))))),0)</f>
        <v>0</v>
      </c>
      <c r="F15" s="684">
        <f>IF(F$4="forecast",IF(YEAR(F$3)=YEAR('New Hires Forecast'!$N$3),IF((F$5=12),(SUMPRODUCT(--('New Hires Forecast'!$F$5:$F$84="Finance"),--('New Hires Forecast'!$H$5:$H$84&gt;=Finance!F$3),'New Hires Forecast'!$N$5:$N$84,'New Hires Forecast'!$L$5:$L$84)),0),IF(YEAR(F$3)=YEAR('New Hires Forecast'!$O$3),IF((F$5=12),(SUMPRODUCT(--('New Hires Forecast'!$F$5:$F$84="Finance"),--('New Hires Forecast'!$H$5:$H$84&gt;=Finance!F$3),'New Hires Forecast'!$O$5:$O$84,'New Hires Forecast'!$L$5:$L$84)),0),IF(YEAR(F$3)=YEAR('New Hires Forecast'!$P$3),IF((F$5=12),(SUMPRODUCT(--('New Hires Forecast'!$F$5:$F$84="Finance"),--('New Hires Forecast'!$H$5:$H$84&gt;=Finance!F$3),'New Hires Forecast'!$P$5:$P$84,'New Hires Forecast'!$L$5:$L$84)),0),IF(YEAR(F$3)=YEAR('New Hires Forecast'!$Q$3),IF((F$5=12),(SUMPRODUCT(--('New Hires Forecast'!$F$5:$F$84="Finance"),--('New Hires Forecast'!$H$5:$H$84&gt;=Finance!F$3),'New Hires Forecast'!$Q$5:$Q$84,'New Hires Forecast'!$L$5:$L$84)),0),IF(YEAR(F$3)=YEAR('New Hires Forecast'!$R$3),IF((F$5=12),(SUMPRODUCT(--('New Hires Forecast'!$F$5:$F$84="Finance"),--('New Hires Forecast'!$H$5:$H$84&gt;=Finance!F$3),'New Hires Forecast'!$R$5:$R$84,'New Hires Forecast'!$L$5:$L$84)),0),"New Year"))))),0)</f>
        <v>0</v>
      </c>
      <c r="G15" s="684">
        <f>IF(G$4="forecast",IF(YEAR(G$3)=YEAR('New Hires Forecast'!$N$3),IF((G$5=12),(SUMPRODUCT(--('New Hires Forecast'!$F$5:$F$84="Finance"),--('New Hires Forecast'!$H$5:$H$84&gt;=Finance!G$3),'New Hires Forecast'!$N$5:$N$84,'New Hires Forecast'!$L$5:$L$84)),0),IF(YEAR(G$3)=YEAR('New Hires Forecast'!$O$3),IF((G$5=12),(SUMPRODUCT(--('New Hires Forecast'!$F$5:$F$84="Finance"),--('New Hires Forecast'!$H$5:$H$84&gt;=Finance!G$3),'New Hires Forecast'!$O$5:$O$84,'New Hires Forecast'!$L$5:$L$84)),0),IF(YEAR(G$3)=YEAR('New Hires Forecast'!$P$3),IF((G$5=12),(SUMPRODUCT(--('New Hires Forecast'!$F$5:$F$84="Finance"),--('New Hires Forecast'!$H$5:$H$84&gt;=Finance!G$3),'New Hires Forecast'!$P$5:$P$84,'New Hires Forecast'!$L$5:$L$84)),0),IF(YEAR(G$3)=YEAR('New Hires Forecast'!$Q$3),IF((G$5=12),(SUMPRODUCT(--('New Hires Forecast'!$F$5:$F$84="Finance"),--('New Hires Forecast'!$H$5:$H$84&gt;=Finance!G$3),'New Hires Forecast'!$Q$5:$Q$84,'New Hires Forecast'!$L$5:$L$84)),0),IF(YEAR(G$3)=YEAR('New Hires Forecast'!$R$3),IF((G$5=12),(SUMPRODUCT(--('New Hires Forecast'!$F$5:$F$84="Finance"),--('New Hires Forecast'!$H$5:$H$84&gt;=Finance!G$3),'New Hires Forecast'!$R$5:$R$84,'New Hires Forecast'!$L$5:$L$84)),0),"New Year"))))),0)</f>
        <v>0</v>
      </c>
      <c r="H15" s="684">
        <f>IF(H$4="forecast",IF(YEAR(H$3)=YEAR('New Hires Forecast'!$N$3),IF((H$5=12),(SUMPRODUCT(--('New Hires Forecast'!$F$5:$F$84="Finance"),--('New Hires Forecast'!$H$5:$H$84&gt;=Finance!H$3),'New Hires Forecast'!$N$5:$N$84,'New Hires Forecast'!$L$5:$L$84)),0),IF(YEAR(H$3)=YEAR('New Hires Forecast'!$O$3),IF((H$5=12),(SUMPRODUCT(--('New Hires Forecast'!$F$5:$F$84="Finance"),--('New Hires Forecast'!$H$5:$H$84&gt;=Finance!H$3),'New Hires Forecast'!$O$5:$O$84,'New Hires Forecast'!$L$5:$L$84)),0),IF(YEAR(H$3)=YEAR('New Hires Forecast'!$P$3),IF((H$5=12),(SUMPRODUCT(--('New Hires Forecast'!$F$5:$F$84="Finance"),--('New Hires Forecast'!$H$5:$H$84&gt;=Finance!H$3),'New Hires Forecast'!$P$5:$P$84,'New Hires Forecast'!$L$5:$L$84)),0),IF(YEAR(H$3)=YEAR('New Hires Forecast'!$Q$3),IF((H$5=12),(SUMPRODUCT(--('New Hires Forecast'!$F$5:$F$84="Finance"),--('New Hires Forecast'!$H$5:$H$84&gt;=Finance!H$3),'New Hires Forecast'!$Q$5:$Q$84,'New Hires Forecast'!$L$5:$L$84)),0),IF(YEAR(H$3)=YEAR('New Hires Forecast'!$R$3),IF((H$5=12),(SUMPRODUCT(--('New Hires Forecast'!$F$5:$F$84="Finance"),--('New Hires Forecast'!$H$5:$H$84&gt;=Finance!H$3),'New Hires Forecast'!$R$5:$R$84,'New Hires Forecast'!$L$5:$L$84)),0),"New Year"))))),0)</f>
        <v>0</v>
      </c>
      <c r="I15" s="684">
        <f>IF(I$4="forecast",IF(YEAR(I$3)=YEAR('New Hires Forecast'!$N$3),IF((I$5=12),(SUMPRODUCT(--('New Hires Forecast'!$F$5:$F$84="Finance"),--('New Hires Forecast'!$H$5:$H$84&gt;=Finance!I$3),'New Hires Forecast'!$N$5:$N$84,'New Hires Forecast'!$L$5:$L$84)),0),IF(YEAR(I$3)=YEAR('New Hires Forecast'!$O$3),IF((I$5=12),(SUMPRODUCT(--('New Hires Forecast'!$F$5:$F$84="Finance"),--('New Hires Forecast'!$H$5:$H$84&gt;=Finance!I$3),'New Hires Forecast'!$O$5:$O$84,'New Hires Forecast'!$L$5:$L$84)),0),IF(YEAR(I$3)=YEAR('New Hires Forecast'!$P$3),IF((I$5=12),(SUMPRODUCT(--('New Hires Forecast'!$F$5:$F$84="Finance"),--('New Hires Forecast'!$H$5:$H$84&gt;=Finance!I$3),'New Hires Forecast'!$P$5:$P$84,'New Hires Forecast'!$L$5:$L$84)),0),IF(YEAR(I$3)=YEAR('New Hires Forecast'!$Q$3),IF((I$5=12),(SUMPRODUCT(--('New Hires Forecast'!$F$5:$F$84="Finance"),--('New Hires Forecast'!$H$5:$H$84&gt;=Finance!I$3),'New Hires Forecast'!$Q$5:$Q$84,'New Hires Forecast'!$L$5:$L$84)),0),IF(YEAR(I$3)=YEAR('New Hires Forecast'!$R$3),IF((I$5=12),(SUMPRODUCT(--('New Hires Forecast'!$F$5:$F$84="Finance"),--('New Hires Forecast'!$H$5:$H$84&gt;=Finance!I$3),'New Hires Forecast'!$R$5:$R$84,'New Hires Forecast'!$L$5:$L$84)),0),"New Year"))))),0)</f>
        <v>0</v>
      </c>
      <c r="J15" s="684">
        <f>IF(J$4="forecast",IF(YEAR(J$3)=YEAR('New Hires Forecast'!$N$3),IF((J$5=12),(SUMPRODUCT(--('New Hires Forecast'!$F$5:$F$84="Finance"),--('New Hires Forecast'!$H$5:$H$84&gt;=Finance!J$3),'New Hires Forecast'!$N$5:$N$84,'New Hires Forecast'!$L$5:$L$84)),0),IF(YEAR(J$3)=YEAR('New Hires Forecast'!$O$3),IF((J$5=12),(SUMPRODUCT(--('New Hires Forecast'!$F$5:$F$84="Finance"),--('New Hires Forecast'!$H$5:$H$84&gt;=Finance!J$3),'New Hires Forecast'!$O$5:$O$84,'New Hires Forecast'!$L$5:$L$84)),0),IF(YEAR(J$3)=YEAR('New Hires Forecast'!$P$3),IF((J$5=12),(SUMPRODUCT(--('New Hires Forecast'!$F$5:$F$84="Finance"),--('New Hires Forecast'!$H$5:$H$84&gt;=Finance!J$3),'New Hires Forecast'!$P$5:$P$84,'New Hires Forecast'!$L$5:$L$84)),0),IF(YEAR(J$3)=YEAR('New Hires Forecast'!$Q$3),IF((J$5=12),(SUMPRODUCT(--('New Hires Forecast'!$F$5:$F$84="Finance"),--('New Hires Forecast'!$H$5:$H$84&gt;=Finance!J$3),'New Hires Forecast'!$Q$5:$Q$84,'New Hires Forecast'!$L$5:$L$84)),0),IF(YEAR(J$3)=YEAR('New Hires Forecast'!$R$3),IF((J$5=12),(SUMPRODUCT(--('New Hires Forecast'!$F$5:$F$84="Finance"),--('New Hires Forecast'!$H$5:$H$84&gt;=Finance!J$3),'New Hires Forecast'!$R$5:$R$84,'New Hires Forecast'!$L$5:$L$84)),0),"New Year"))))),0)</f>
        <v>0</v>
      </c>
      <c r="K15" s="684">
        <f>IF(K$4="forecast",IF(YEAR(K$3)=YEAR('New Hires Forecast'!$N$3),IF((K$5=12),(SUMPRODUCT(--('New Hires Forecast'!$F$5:$F$84="Finance"),--('New Hires Forecast'!$H$5:$H$84&gt;=Finance!K$3),'New Hires Forecast'!$N$5:$N$84,'New Hires Forecast'!$L$5:$L$84)),0),IF(YEAR(K$3)=YEAR('New Hires Forecast'!$O$3),IF((K$5=12),(SUMPRODUCT(--('New Hires Forecast'!$F$5:$F$84="Finance"),--('New Hires Forecast'!$H$5:$H$84&gt;=Finance!K$3),'New Hires Forecast'!$O$5:$O$84,'New Hires Forecast'!$L$5:$L$84)),0),IF(YEAR(K$3)=YEAR('New Hires Forecast'!$P$3),IF((K$5=12),(SUMPRODUCT(--('New Hires Forecast'!$F$5:$F$84="Finance"),--('New Hires Forecast'!$H$5:$H$84&gt;=Finance!K$3),'New Hires Forecast'!$P$5:$P$84,'New Hires Forecast'!$L$5:$L$84)),0),IF(YEAR(K$3)=YEAR('New Hires Forecast'!$Q$3),IF((K$5=12),(SUMPRODUCT(--('New Hires Forecast'!$F$5:$F$84="Finance"),--('New Hires Forecast'!$H$5:$H$84&gt;=Finance!K$3),'New Hires Forecast'!$Q$5:$Q$84,'New Hires Forecast'!$L$5:$L$84)),0),IF(YEAR(K$3)=YEAR('New Hires Forecast'!$R$3),IF((K$5=12),(SUMPRODUCT(--('New Hires Forecast'!$F$5:$F$84="Finance"),--('New Hires Forecast'!$H$5:$H$84&gt;=Finance!K$3),'New Hires Forecast'!$R$5:$R$84,'New Hires Forecast'!$L$5:$L$84)),0),"New Year"))))),0)</f>
        <v>0</v>
      </c>
      <c r="L15" s="684">
        <f>IF(L$4="forecast",IF(YEAR(L$3)=YEAR('New Hires Forecast'!$N$3),IF((L$5=12),(SUMPRODUCT(--('New Hires Forecast'!$F$5:$F$84="Finance"),--('New Hires Forecast'!$H$5:$H$84&gt;=Finance!L$3),'New Hires Forecast'!$N$5:$N$84,'New Hires Forecast'!$L$5:$L$84)),0),IF(YEAR(L$3)=YEAR('New Hires Forecast'!$O$3),IF((L$5=12),(SUMPRODUCT(--('New Hires Forecast'!$F$5:$F$84="Finance"),--('New Hires Forecast'!$H$5:$H$84&gt;=Finance!L$3),'New Hires Forecast'!$O$5:$O$84,'New Hires Forecast'!$L$5:$L$84)),0),IF(YEAR(L$3)=YEAR('New Hires Forecast'!$P$3),IF((L$5=12),(SUMPRODUCT(--('New Hires Forecast'!$F$5:$F$84="Finance"),--('New Hires Forecast'!$H$5:$H$84&gt;=Finance!L$3),'New Hires Forecast'!$P$5:$P$84,'New Hires Forecast'!$L$5:$L$84)),0),IF(YEAR(L$3)=YEAR('New Hires Forecast'!$Q$3),IF((L$5=12),(SUMPRODUCT(--('New Hires Forecast'!$F$5:$F$84="Finance"),--('New Hires Forecast'!$H$5:$H$84&gt;=Finance!L$3),'New Hires Forecast'!$Q$5:$Q$84,'New Hires Forecast'!$L$5:$L$84)),0),IF(YEAR(L$3)=YEAR('New Hires Forecast'!$R$3),IF((L$5=12),(SUMPRODUCT(--('New Hires Forecast'!$F$5:$F$84="Finance"),--('New Hires Forecast'!$H$5:$H$84&gt;=Finance!L$3),'New Hires Forecast'!$R$5:$R$84,'New Hires Forecast'!$L$5:$L$84)),0),"New Year"))))),0)</f>
        <v>0</v>
      </c>
      <c r="M15" s="684">
        <f>IF(M$4="forecast",IF(YEAR(M$3)=YEAR('New Hires Forecast'!$N$3),IF((M$5=12),(SUMPRODUCT(--('New Hires Forecast'!$F$5:$F$84="Finance"),--('New Hires Forecast'!$H$5:$H$84&gt;=Finance!M$3),'New Hires Forecast'!$N$5:$N$84,'New Hires Forecast'!$L$5:$L$84)),0),IF(YEAR(M$3)=YEAR('New Hires Forecast'!$O$3),IF((M$5=12),(SUMPRODUCT(--('New Hires Forecast'!$F$5:$F$84="Finance"),--('New Hires Forecast'!$H$5:$H$84&gt;=Finance!M$3),'New Hires Forecast'!$O$5:$O$84,'New Hires Forecast'!$L$5:$L$84)),0),IF(YEAR(M$3)=YEAR('New Hires Forecast'!$P$3),IF((M$5=12),(SUMPRODUCT(--('New Hires Forecast'!$F$5:$F$84="Finance"),--('New Hires Forecast'!$H$5:$H$84&gt;=Finance!M$3),'New Hires Forecast'!$P$5:$P$84,'New Hires Forecast'!$L$5:$L$84)),0),IF(YEAR(M$3)=YEAR('New Hires Forecast'!$Q$3),IF((M$5=12),(SUMPRODUCT(--('New Hires Forecast'!$F$5:$F$84="Finance"),--('New Hires Forecast'!$H$5:$H$84&gt;=Finance!M$3),'New Hires Forecast'!$Q$5:$Q$84,'New Hires Forecast'!$L$5:$L$84)),0),IF(YEAR(M$3)=YEAR('New Hires Forecast'!$R$3),IF((M$5=12),(SUMPRODUCT(--('New Hires Forecast'!$F$5:$F$84="Finance"),--('New Hires Forecast'!$H$5:$H$84&gt;=Finance!M$3),'New Hires Forecast'!$R$5:$R$84,'New Hires Forecast'!$L$5:$L$84)),0),"New Year"))))),0)</f>
        <v>0</v>
      </c>
      <c r="N15" s="684">
        <f>IF(N$4="forecast",IF(YEAR(N$3)=YEAR('New Hires Forecast'!$N$3),IF((N$5=12),(SUMPRODUCT(--('New Hires Forecast'!$F$5:$F$84="Finance"),--('New Hires Forecast'!$H$5:$H$84&gt;=Finance!N$3),'New Hires Forecast'!$N$5:$N$84,'New Hires Forecast'!$L$5:$L$84)),0),IF(YEAR(N$3)=YEAR('New Hires Forecast'!$O$3),IF((N$5=12),(SUMPRODUCT(--('New Hires Forecast'!$F$5:$F$84="Finance"),--('New Hires Forecast'!$H$5:$H$84&gt;=Finance!N$3),'New Hires Forecast'!$O$5:$O$84,'New Hires Forecast'!$L$5:$L$84)),0),IF(YEAR(N$3)=YEAR('New Hires Forecast'!$P$3),IF((N$5=12),(SUMPRODUCT(--('New Hires Forecast'!$F$5:$F$84="Finance"),--('New Hires Forecast'!$H$5:$H$84&gt;=Finance!N$3),'New Hires Forecast'!$P$5:$P$84,'New Hires Forecast'!$L$5:$L$84)),0),IF(YEAR(N$3)=YEAR('New Hires Forecast'!$Q$3),IF((N$5=12),(SUMPRODUCT(--('New Hires Forecast'!$F$5:$F$84="Finance"),--('New Hires Forecast'!$H$5:$H$84&gt;=Finance!N$3),'New Hires Forecast'!$Q$5:$Q$84,'New Hires Forecast'!$L$5:$L$84)),0),IF(YEAR(N$3)=YEAR('New Hires Forecast'!$R$3),IF((N$5=12),(SUMPRODUCT(--('New Hires Forecast'!$F$5:$F$84="Finance"),--('New Hires Forecast'!$H$5:$H$84&gt;=Finance!N$3),'New Hires Forecast'!$R$5:$R$84,'New Hires Forecast'!$L$5:$L$84)),0),"New Year"))))),0)</f>
        <v>0</v>
      </c>
      <c r="O15" s="684">
        <f>IF(O$4="forecast",IF(YEAR(O$3)=YEAR('New Hires Forecast'!$N$3),IF((O$5=12),(SUMPRODUCT(--('New Hires Forecast'!$F$5:$F$84="Finance"),--('New Hires Forecast'!$H$5:$H$84&gt;=Finance!O$3),'New Hires Forecast'!$N$5:$N$84,'New Hires Forecast'!$L$5:$L$84)),0),IF(YEAR(O$3)=YEAR('New Hires Forecast'!$O$3),IF((O$5=12),(SUMPRODUCT(--('New Hires Forecast'!$F$5:$F$84="Finance"),--('New Hires Forecast'!$H$5:$H$84&gt;=Finance!O$3),'New Hires Forecast'!$O$5:$O$84,'New Hires Forecast'!$L$5:$L$84)),0),IF(YEAR(O$3)=YEAR('New Hires Forecast'!$P$3),IF((O$5=12),(SUMPRODUCT(--('New Hires Forecast'!$F$5:$F$84="Finance"),--('New Hires Forecast'!$H$5:$H$84&gt;=Finance!O$3),'New Hires Forecast'!$P$5:$P$84,'New Hires Forecast'!$L$5:$L$84)),0),IF(YEAR(O$3)=YEAR('New Hires Forecast'!$Q$3),IF((O$5=12),(SUMPRODUCT(--('New Hires Forecast'!$F$5:$F$84="Finance"),--('New Hires Forecast'!$H$5:$H$84&gt;=Finance!O$3),'New Hires Forecast'!$Q$5:$Q$84,'New Hires Forecast'!$L$5:$L$84)),0),IF(YEAR(O$3)=YEAR('New Hires Forecast'!$R$3),IF((O$5=12),(SUMPRODUCT(--('New Hires Forecast'!$F$5:$F$84="Finance"),--('New Hires Forecast'!$H$5:$H$84&gt;=Finance!O$3),'New Hires Forecast'!$R$5:$R$84,'New Hires Forecast'!$L$5:$L$84)),0),"New Year"))))),0)</f>
        <v>0</v>
      </c>
      <c r="P15" s="684">
        <f>IF(P$4="forecast",IF(YEAR(P$3)=YEAR('New Hires Forecast'!$N$3),IF((P$5=12),(SUMPRODUCT(--('New Hires Forecast'!$F$5:$F$84="Finance"),--('New Hires Forecast'!$H$5:$H$84&gt;=Finance!P$3),'New Hires Forecast'!$N$5:$N$84,'New Hires Forecast'!$L$5:$L$84)),0),IF(YEAR(P$3)=YEAR('New Hires Forecast'!$O$3),IF((P$5=12),(SUMPRODUCT(--('New Hires Forecast'!$F$5:$F$84="Finance"),--('New Hires Forecast'!$H$5:$H$84&gt;=Finance!P$3),'New Hires Forecast'!$O$5:$O$84,'New Hires Forecast'!$L$5:$L$84)),0),IF(YEAR(P$3)=YEAR('New Hires Forecast'!$P$3),IF((P$5=12),(SUMPRODUCT(--('New Hires Forecast'!$F$5:$F$84="Finance"),--('New Hires Forecast'!$H$5:$H$84&gt;=Finance!P$3),'New Hires Forecast'!$P$5:$P$84,'New Hires Forecast'!$L$5:$L$84)),0),IF(YEAR(P$3)=YEAR('New Hires Forecast'!$Q$3),IF((P$5=12),(SUMPRODUCT(--('New Hires Forecast'!$F$5:$F$84="Finance"),--('New Hires Forecast'!$H$5:$H$84&gt;=Finance!P$3),'New Hires Forecast'!$Q$5:$Q$84,'New Hires Forecast'!$L$5:$L$84)),0),IF(YEAR(P$3)=YEAR('New Hires Forecast'!$R$3),IF((P$5=12),(SUMPRODUCT(--('New Hires Forecast'!$F$5:$F$84="Finance"),--('New Hires Forecast'!$H$5:$H$84&gt;=Finance!P$3),'New Hires Forecast'!$R$5:$R$84,'New Hires Forecast'!$L$5:$L$84)),0),"New Year"))))),0)</f>
        <v>0</v>
      </c>
      <c r="Q15" s="684">
        <f>IF(Q$4="forecast",IF(YEAR(Q$3)=YEAR('New Hires Forecast'!$N$3),IF((Q$5=12),(SUMPRODUCT(--('New Hires Forecast'!$F$5:$F$84="Finance"),--('New Hires Forecast'!$H$5:$H$84&gt;=Finance!Q$3),'New Hires Forecast'!$N$5:$N$84,'New Hires Forecast'!$L$5:$L$84)),0),IF(YEAR(Q$3)=YEAR('New Hires Forecast'!$O$3),IF((Q$5=12),(SUMPRODUCT(--('New Hires Forecast'!$F$5:$F$84="Finance"),--('New Hires Forecast'!$H$5:$H$84&gt;=Finance!Q$3),'New Hires Forecast'!$O$5:$O$84,'New Hires Forecast'!$L$5:$L$84)),0),IF(YEAR(Q$3)=YEAR('New Hires Forecast'!$P$3),IF((Q$5=12),(SUMPRODUCT(--('New Hires Forecast'!$F$5:$F$84="Finance"),--('New Hires Forecast'!$H$5:$H$84&gt;=Finance!Q$3),'New Hires Forecast'!$P$5:$P$84,'New Hires Forecast'!$L$5:$L$84)),0),IF(YEAR(Q$3)=YEAR('New Hires Forecast'!$Q$3),IF((Q$5=12),(SUMPRODUCT(--('New Hires Forecast'!$F$5:$F$84="Finance"),--('New Hires Forecast'!$H$5:$H$84&gt;=Finance!Q$3),'New Hires Forecast'!$Q$5:$Q$84,'New Hires Forecast'!$L$5:$L$84)),0),IF(YEAR(Q$3)=YEAR('New Hires Forecast'!$R$3),IF((Q$5=12),(SUMPRODUCT(--('New Hires Forecast'!$F$5:$F$84="Finance"),--('New Hires Forecast'!$H$5:$H$84&gt;=Finance!Q$3),'New Hires Forecast'!$R$5:$R$84,'New Hires Forecast'!$L$5:$L$84)),0),"New Year"))))),0)</f>
        <v>0</v>
      </c>
      <c r="R15" s="684">
        <f>IF(R$4="forecast",IF(YEAR(R$3)=YEAR('New Hires Forecast'!$N$3),IF((R$5=12),(SUMPRODUCT(--('New Hires Forecast'!$F$5:$F$84="Finance"),--('New Hires Forecast'!$H$5:$H$84&gt;=Finance!R$3),'New Hires Forecast'!$N$5:$N$84,'New Hires Forecast'!$L$5:$L$84)),0),IF(YEAR(R$3)=YEAR('New Hires Forecast'!$O$3),IF((R$5=12),(SUMPRODUCT(--('New Hires Forecast'!$F$5:$F$84="Finance"),--('New Hires Forecast'!$H$5:$H$84&gt;=Finance!R$3),'New Hires Forecast'!$O$5:$O$84,'New Hires Forecast'!$L$5:$L$84)),0),IF(YEAR(R$3)=YEAR('New Hires Forecast'!$P$3),IF((R$5=12),(SUMPRODUCT(--('New Hires Forecast'!$F$5:$F$84="Finance"),--('New Hires Forecast'!$H$5:$H$84&gt;=Finance!R$3),'New Hires Forecast'!$P$5:$P$84,'New Hires Forecast'!$L$5:$L$84)),0),IF(YEAR(R$3)=YEAR('New Hires Forecast'!$Q$3),IF((R$5=12),(SUMPRODUCT(--('New Hires Forecast'!$F$5:$F$84="Finance"),--('New Hires Forecast'!$H$5:$H$84&gt;=Finance!R$3),'New Hires Forecast'!$Q$5:$Q$84,'New Hires Forecast'!$L$5:$L$84)),0),IF(YEAR(R$3)=YEAR('New Hires Forecast'!$R$3),IF((R$5=12),(SUMPRODUCT(--('New Hires Forecast'!$F$5:$F$84="Finance"),--('New Hires Forecast'!$H$5:$H$84&gt;=Finance!R$3),'New Hires Forecast'!$R$5:$R$84,'New Hires Forecast'!$L$5:$L$84)),0),"New Year"))))),0)</f>
        <v>0</v>
      </c>
      <c r="S15" s="684">
        <f>IF(S$4="forecast",IF(YEAR(S$3)=YEAR('New Hires Forecast'!$N$3),IF((S$5=12),(SUMPRODUCT(--('New Hires Forecast'!$F$5:$F$84="Finance"),--('New Hires Forecast'!$H$5:$H$84&gt;=Finance!S$3),'New Hires Forecast'!$N$5:$N$84,'New Hires Forecast'!$L$5:$L$84)),0),IF(YEAR(S$3)=YEAR('New Hires Forecast'!$O$3),IF((S$5=12),(SUMPRODUCT(--('New Hires Forecast'!$F$5:$F$84="Finance"),--('New Hires Forecast'!$H$5:$H$84&gt;=Finance!S$3),'New Hires Forecast'!$O$5:$O$84,'New Hires Forecast'!$L$5:$L$84)),0),IF(YEAR(S$3)=YEAR('New Hires Forecast'!$P$3),IF((S$5=12),(SUMPRODUCT(--('New Hires Forecast'!$F$5:$F$84="Finance"),--('New Hires Forecast'!$H$5:$H$84&gt;=Finance!S$3),'New Hires Forecast'!$P$5:$P$84,'New Hires Forecast'!$L$5:$L$84)),0),IF(YEAR(S$3)=YEAR('New Hires Forecast'!$Q$3),IF((S$5=12),(SUMPRODUCT(--('New Hires Forecast'!$F$5:$F$84="Finance"),--('New Hires Forecast'!$H$5:$H$84&gt;=Finance!S$3),'New Hires Forecast'!$Q$5:$Q$84,'New Hires Forecast'!$L$5:$L$84)),0),IF(YEAR(S$3)=YEAR('New Hires Forecast'!$R$3),IF((S$5=12),(SUMPRODUCT(--('New Hires Forecast'!$F$5:$F$84="Finance"),--('New Hires Forecast'!$H$5:$H$84&gt;=Finance!S$3),'New Hires Forecast'!$R$5:$R$84,'New Hires Forecast'!$L$5:$L$84)),0),"New Year"))))),0)</f>
        <v>0</v>
      </c>
      <c r="T15" s="684">
        <f>IF(T$4="forecast",IF(YEAR(T$3)=YEAR('New Hires Forecast'!$N$3),IF((T$5=12),(SUMPRODUCT(--('New Hires Forecast'!$F$5:$F$84="Finance"),--('New Hires Forecast'!$H$5:$H$84&gt;=Finance!T$3),'New Hires Forecast'!$N$5:$N$84,'New Hires Forecast'!$L$5:$L$84)),0),IF(YEAR(T$3)=YEAR('New Hires Forecast'!$O$3),IF((T$5=12),(SUMPRODUCT(--('New Hires Forecast'!$F$5:$F$84="Finance"),--('New Hires Forecast'!$H$5:$H$84&gt;=Finance!T$3),'New Hires Forecast'!$O$5:$O$84,'New Hires Forecast'!$L$5:$L$84)),0),IF(YEAR(T$3)=YEAR('New Hires Forecast'!$P$3),IF((T$5=12),(SUMPRODUCT(--('New Hires Forecast'!$F$5:$F$84="Finance"),--('New Hires Forecast'!$H$5:$H$84&gt;=Finance!T$3),'New Hires Forecast'!$P$5:$P$84,'New Hires Forecast'!$L$5:$L$84)),0),IF(YEAR(T$3)=YEAR('New Hires Forecast'!$Q$3),IF((T$5=12),(SUMPRODUCT(--('New Hires Forecast'!$F$5:$F$84="Finance"),--('New Hires Forecast'!$H$5:$H$84&gt;=Finance!T$3),'New Hires Forecast'!$Q$5:$Q$84,'New Hires Forecast'!$L$5:$L$84)),0),IF(YEAR(T$3)=YEAR('New Hires Forecast'!$R$3),IF((T$5=12),(SUMPRODUCT(--('New Hires Forecast'!$F$5:$F$84="Finance"),--('New Hires Forecast'!$H$5:$H$84&gt;=Finance!T$3),'New Hires Forecast'!$R$5:$R$84,'New Hires Forecast'!$L$5:$L$84)),0),"New Year"))))),0)</f>
        <v>0</v>
      </c>
      <c r="U15" s="684">
        <f>IF(U$4="forecast",IF(YEAR(U$3)=YEAR('New Hires Forecast'!$N$3),IF((U$5=12),(SUMPRODUCT(--('New Hires Forecast'!$F$5:$F$84="Finance"),--('New Hires Forecast'!$H$5:$H$84&gt;=Finance!U$3),'New Hires Forecast'!$N$5:$N$84,'New Hires Forecast'!$L$5:$L$84)),0),IF(YEAR(U$3)=YEAR('New Hires Forecast'!$O$3),IF((U$5=12),(SUMPRODUCT(--('New Hires Forecast'!$F$5:$F$84="Finance"),--('New Hires Forecast'!$H$5:$H$84&gt;=Finance!U$3),'New Hires Forecast'!$O$5:$O$84,'New Hires Forecast'!$L$5:$L$84)),0),IF(YEAR(U$3)=YEAR('New Hires Forecast'!$P$3),IF((U$5=12),(SUMPRODUCT(--('New Hires Forecast'!$F$5:$F$84="Finance"),--('New Hires Forecast'!$H$5:$H$84&gt;=Finance!U$3),'New Hires Forecast'!$P$5:$P$84,'New Hires Forecast'!$L$5:$L$84)),0),IF(YEAR(U$3)=YEAR('New Hires Forecast'!$Q$3),IF((U$5=12),(SUMPRODUCT(--('New Hires Forecast'!$F$5:$F$84="Finance"),--('New Hires Forecast'!$H$5:$H$84&gt;=Finance!U$3),'New Hires Forecast'!$Q$5:$Q$84,'New Hires Forecast'!$L$5:$L$84)),0),IF(YEAR(U$3)=YEAR('New Hires Forecast'!$R$3),IF((U$5=12),(SUMPRODUCT(--('New Hires Forecast'!$F$5:$F$84="Finance"),--('New Hires Forecast'!$H$5:$H$84&gt;=Finance!U$3),'New Hires Forecast'!$R$5:$R$84,'New Hires Forecast'!$L$5:$L$84)),0),"New Year"))))),0)</f>
        <v>0</v>
      </c>
      <c r="V15" s="684">
        <f>IF(V$4="forecast",IF(YEAR(V$3)=YEAR('New Hires Forecast'!$N$3),IF((V$5=12),(SUMPRODUCT(--('New Hires Forecast'!$F$5:$F$84="Finance"),--('New Hires Forecast'!$H$5:$H$84&gt;=Finance!V$3),'New Hires Forecast'!$N$5:$N$84,'New Hires Forecast'!$L$5:$L$84)),0),IF(YEAR(V$3)=YEAR('New Hires Forecast'!$O$3),IF((V$5=12),(SUMPRODUCT(--('New Hires Forecast'!$F$5:$F$84="Finance"),--('New Hires Forecast'!$H$5:$H$84&gt;=Finance!V$3),'New Hires Forecast'!$O$5:$O$84,'New Hires Forecast'!$L$5:$L$84)),0),IF(YEAR(V$3)=YEAR('New Hires Forecast'!$P$3),IF((V$5=12),(SUMPRODUCT(--('New Hires Forecast'!$F$5:$F$84="Finance"),--('New Hires Forecast'!$H$5:$H$84&gt;=Finance!V$3),'New Hires Forecast'!$P$5:$P$84,'New Hires Forecast'!$L$5:$L$84)),0),IF(YEAR(V$3)=YEAR('New Hires Forecast'!$Q$3),IF((V$5=12),(SUMPRODUCT(--('New Hires Forecast'!$F$5:$F$84="Finance"),--('New Hires Forecast'!$H$5:$H$84&gt;=Finance!V$3),'New Hires Forecast'!$Q$5:$Q$84,'New Hires Forecast'!$L$5:$L$84)),0),IF(YEAR(V$3)=YEAR('New Hires Forecast'!$R$3),IF((V$5=12),(SUMPRODUCT(--('New Hires Forecast'!$F$5:$F$84="Finance"),--('New Hires Forecast'!$H$5:$H$84&gt;=Finance!V$3),'New Hires Forecast'!$R$5:$R$84,'New Hires Forecast'!$L$5:$L$84)),0),"New Year"))))),0)</f>
        <v>0</v>
      </c>
      <c r="W15" s="684">
        <f>IF(W$4="forecast",IF(YEAR(W$3)=YEAR('New Hires Forecast'!$N$3),IF((W$5=12),(SUMPRODUCT(--('New Hires Forecast'!$F$5:$F$84="Finance"),--('New Hires Forecast'!$H$5:$H$84&gt;=Finance!W$3),'New Hires Forecast'!$N$5:$N$84,'New Hires Forecast'!$L$5:$L$84)),0),IF(YEAR(W$3)=YEAR('New Hires Forecast'!$O$3),IF((W$5=12),(SUMPRODUCT(--('New Hires Forecast'!$F$5:$F$84="Finance"),--('New Hires Forecast'!$H$5:$H$84&gt;=Finance!W$3),'New Hires Forecast'!$O$5:$O$84,'New Hires Forecast'!$L$5:$L$84)),0),IF(YEAR(W$3)=YEAR('New Hires Forecast'!$P$3),IF((W$5=12),(SUMPRODUCT(--('New Hires Forecast'!$F$5:$F$84="Finance"),--('New Hires Forecast'!$H$5:$H$84&gt;=Finance!W$3),'New Hires Forecast'!$P$5:$P$84,'New Hires Forecast'!$L$5:$L$84)),0),IF(YEAR(W$3)=YEAR('New Hires Forecast'!$Q$3),IF((W$5=12),(SUMPRODUCT(--('New Hires Forecast'!$F$5:$F$84="Finance"),--('New Hires Forecast'!$H$5:$H$84&gt;=Finance!W$3),'New Hires Forecast'!$Q$5:$Q$84,'New Hires Forecast'!$L$5:$L$84)),0),IF(YEAR(W$3)=YEAR('New Hires Forecast'!$R$3),IF((W$5=12),(SUMPRODUCT(--('New Hires Forecast'!$F$5:$F$84="Finance"),--('New Hires Forecast'!$H$5:$H$84&gt;=Finance!W$3),'New Hires Forecast'!$R$5:$R$84,'New Hires Forecast'!$L$5:$L$84)),0),"New Year"))))),0)</f>
        <v>0</v>
      </c>
      <c r="X15" s="684">
        <f>IF(X$4="forecast",IF(YEAR(X$3)=YEAR('New Hires Forecast'!$N$3),IF((X$5=12),(SUMPRODUCT(--('New Hires Forecast'!$F$5:$F$84="Finance"),--('New Hires Forecast'!$H$5:$H$84&gt;=Finance!X$3),'New Hires Forecast'!$N$5:$N$84,'New Hires Forecast'!$L$5:$L$84)),0),IF(YEAR(X$3)=YEAR('New Hires Forecast'!$O$3),IF((X$5=12),(SUMPRODUCT(--('New Hires Forecast'!$F$5:$F$84="Finance"),--('New Hires Forecast'!$H$5:$H$84&gt;=Finance!X$3),'New Hires Forecast'!$O$5:$O$84,'New Hires Forecast'!$L$5:$L$84)),0),IF(YEAR(X$3)=YEAR('New Hires Forecast'!$P$3),IF((X$5=12),(SUMPRODUCT(--('New Hires Forecast'!$F$5:$F$84="Finance"),--('New Hires Forecast'!$H$5:$H$84&gt;=Finance!X$3),'New Hires Forecast'!$P$5:$P$84,'New Hires Forecast'!$L$5:$L$84)),0),IF(YEAR(X$3)=YEAR('New Hires Forecast'!$Q$3),IF((X$5=12),(SUMPRODUCT(--('New Hires Forecast'!$F$5:$F$84="Finance"),--('New Hires Forecast'!$H$5:$H$84&gt;=Finance!X$3),'New Hires Forecast'!$Q$5:$Q$84,'New Hires Forecast'!$L$5:$L$84)),0),IF(YEAR(X$3)=YEAR('New Hires Forecast'!$R$3),IF((X$5=12),(SUMPRODUCT(--('New Hires Forecast'!$F$5:$F$84="Finance"),--('New Hires Forecast'!$H$5:$H$84&gt;=Finance!X$3),'New Hires Forecast'!$R$5:$R$84,'New Hires Forecast'!$L$5:$L$84)),0),"New Year"))))),0)</f>
        <v>0</v>
      </c>
      <c r="Y15" s="684">
        <f>IF(Y$4="forecast",IF(YEAR(Y$3)=YEAR('New Hires Forecast'!$N$3),IF((Y$5=12),(SUMPRODUCT(--('New Hires Forecast'!$F$5:$F$84="Finance"),--('New Hires Forecast'!$H$5:$H$84&gt;=Finance!Y$3),'New Hires Forecast'!$N$5:$N$84,'New Hires Forecast'!$L$5:$L$84)),0),IF(YEAR(Y$3)=YEAR('New Hires Forecast'!$O$3),IF((Y$5=12),(SUMPRODUCT(--('New Hires Forecast'!$F$5:$F$84="Finance"),--('New Hires Forecast'!$H$5:$H$84&gt;=Finance!Y$3),'New Hires Forecast'!$O$5:$O$84,'New Hires Forecast'!$L$5:$L$84)),0),IF(YEAR(Y$3)=YEAR('New Hires Forecast'!$P$3),IF((Y$5=12),(SUMPRODUCT(--('New Hires Forecast'!$F$5:$F$84="Finance"),--('New Hires Forecast'!$H$5:$H$84&gt;=Finance!Y$3),'New Hires Forecast'!$P$5:$P$84,'New Hires Forecast'!$L$5:$L$84)),0),IF(YEAR(Y$3)=YEAR('New Hires Forecast'!$Q$3),IF((Y$5=12),(SUMPRODUCT(--('New Hires Forecast'!$F$5:$F$84="Finance"),--('New Hires Forecast'!$H$5:$H$84&gt;=Finance!Y$3),'New Hires Forecast'!$Q$5:$Q$84,'New Hires Forecast'!$L$5:$L$84)),0),IF(YEAR(Y$3)=YEAR('New Hires Forecast'!$R$3),IF((Y$5=12),(SUMPRODUCT(--('New Hires Forecast'!$F$5:$F$84="Finance"),--('New Hires Forecast'!$H$5:$H$84&gt;=Finance!Y$3),'New Hires Forecast'!$R$5:$R$84,'New Hires Forecast'!$L$5:$L$84)),0),"New Year"))))),0)</f>
        <v>0</v>
      </c>
      <c r="Z15" s="684">
        <f>IF(Z$4="forecast",IF(YEAR(Z$3)=YEAR('New Hires Forecast'!$N$3),IF((Z$5=12),(SUMPRODUCT(--('New Hires Forecast'!$F$5:$F$84="Finance"),--('New Hires Forecast'!$H$5:$H$84&gt;=Finance!Z$3),'New Hires Forecast'!$N$5:$N$84,'New Hires Forecast'!$L$5:$L$84)),0),IF(YEAR(Z$3)=YEAR('New Hires Forecast'!$O$3),IF((Z$5=12),(SUMPRODUCT(--('New Hires Forecast'!$F$5:$F$84="Finance"),--('New Hires Forecast'!$H$5:$H$84&gt;=Finance!Z$3),'New Hires Forecast'!$O$5:$O$84,'New Hires Forecast'!$L$5:$L$84)),0),IF(YEAR(Z$3)=YEAR('New Hires Forecast'!$P$3),IF((Z$5=12),(SUMPRODUCT(--('New Hires Forecast'!$F$5:$F$84="Finance"),--('New Hires Forecast'!$H$5:$H$84&gt;=Finance!Z$3),'New Hires Forecast'!$P$5:$P$84,'New Hires Forecast'!$L$5:$L$84)),0),IF(YEAR(Z$3)=YEAR('New Hires Forecast'!$Q$3),IF((Z$5=12),(SUMPRODUCT(--('New Hires Forecast'!$F$5:$F$84="Finance"),--('New Hires Forecast'!$H$5:$H$84&gt;=Finance!Z$3),'New Hires Forecast'!$Q$5:$Q$84,'New Hires Forecast'!$L$5:$L$84)),0),IF(YEAR(Z$3)=YEAR('New Hires Forecast'!$R$3),IF((Z$5=12),(SUMPRODUCT(--('New Hires Forecast'!$F$5:$F$84="Finance"),--('New Hires Forecast'!$H$5:$H$84&gt;=Finance!Z$3),'New Hires Forecast'!$R$5:$R$84,'New Hires Forecast'!$L$5:$L$84)),0),"New Year"))))),0)</f>
        <v>0</v>
      </c>
      <c r="AA15" s="684">
        <f>IF(AA$4="forecast",IF(YEAR(AA$3)=YEAR('New Hires Forecast'!$N$3),IF((AA$5=12),(SUMPRODUCT(--('New Hires Forecast'!$F$5:$F$84="Finance"),--('New Hires Forecast'!$H$5:$H$84&gt;=Finance!AA$3),'New Hires Forecast'!$N$5:$N$84,'New Hires Forecast'!$L$5:$L$84)),0),IF(YEAR(AA$3)=YEAR('New Hires Forecast'!$O$3),IF((AA$5=12),(SUMPRODUCT(--('New Hires Forecast'!$F$5:$F$84="Finance"),--('New Hires Forecast'!$H$5:$H$84&gt;=Finance!AA$3),'New Hires Forecast'!$O$5:$O$84,'New Hires Forecast'!$L$5:$L$84)),0),IF(YEAR(AA$3)=YEAR('New Hires Forecast'!$P$3),IF((AA$5=12),(SUMPRODUCT(--('New Hires Forecast'!$F$5:$F$84="Finance"),--('New Hires Forecast'!$H$5:$H$84&gt;=Finance!AA$3),'New Hires Forecast'!$P$5:$P$84,'New Hires Forecast'!$L$5:$L$84)),0),IF(YEAR(AA$3)=YEAR('New Hires Forecast'!$Q$3),IF((AA$5=12),(SUMPRODUCT(--('New Hires Forecast'!$F$5:$F$84="Finance"),--('New Hires Forecast'!$H$5:$H$84&gt;=Finance!AA$3),'New Hires Forecast'!$Q$5:$Q$84,'New Hires Forecast'!$L$5:$L$84)),0),IF(YEAR(AA$3)=YEAR('New Hires Forecast'!$R$3),IF((AA$5=12),(SUMPRODUCT(--('New Hires Forecast'!$F$5:$F$84="Finance"),--('New Hires Forecast'!$H$5:$H$84&gt;=Finance!AA$3),'New Hires Forecast'!$R$5:$R$84,'New Hires Forecast'!$L$5:$L$84)),0),"New Year"))))),0)</f>
        <v>0</v>
      </c>
      <c r="AB15" s="684">
        <f>IF(AB$4="forecast",IF(YEAR(AB$3)=YEAR('New Hires Forecast'!$N$3),IF((AB$5=12),(SUMPRODUCT(--('New Hires Forecast'!$F$5:$F$84="Finance"),--('New Hires Forecast'!$H$5:$H$84&gt;=Finance!AB$3),'New Hires Forecast'!$N$5:$N$84,'New Hires Forecast'!$L$5:$L$84)),0),IF(YEAR(AB$3)=YEAR('New Hires Forecast'!$O$3),IF((AB$5=12),(SUMPRODUCT(--('New Hires Forecast'!$F$5:$F$84="Finance"),--('New Hires Forecast'!$H$5:$H$84&gt;=Finance!AB$3),'New Hires Forecast'!$O$5:$O$84,'New Hires Forecast'!$L$5:$L$84)),0),IF(YEAR(AB$3)=YEAR('New Hires Forecast'!$P$3),IF((AB$5=12),(SUMPRODUCT(--('New Hires Forecast'!$F$5:$F$84="Finance"),--('New Hires Forecast'!$H$5:$H$84&gt;=Finance!AB$3),'New Hires Forecast'!$P$5:$P$84,'New Hires Forecast'!$L$5:$L$84)),0),IF(YEAR(AB$3)=YEAR('New Hires Forecast'!$Q$3),IF((AB$5=12),(SUMPRODUCT(--('New Hires Forecast'!$F$5:$F$84="Finance"),--('New Hires Forecast'!$H$5:$H$84&gt;=Finance!AB$3),'New Hires Forecast'!$Q$5:$Q$84,'New Hires Forecast'!$L$5:$L$84)),0),IF(YEAR(AB$3)=YEAR('New Hires Forecast'!$R$3),IF((AB$5=12),(SUMPRODUCT(--('New Hires Forecast'!$F$5:$F$84="Finance"),--('New Hires Forecast'!$H$5:$H$84&gt;=Finance!AB$3),'New Hires Forecast'!$R$5:$R$84,'New Hires Forecast'!$L$5:$L$84)),0),"New Year"))))),0)</f>
        <v>0</v>
      </c>
      <c r="AC15" s="684">
        <f>IF(AC$4="forecast",IF(YEAR(AC$3)=YEAR('New Hires Forecast'!$N$3),IF((AC$5=12),(SUMPRODUCT(--('New Hires Forecast'!$F$5:$F$84="Finance"),--('New Hires Forecast'!$H$5:$H$84&gt;=Finance!AC$3),'New Hires Forecast'!$N$5:$N$84,'New Hires Forecast'!$L$5:$L$84)),0),IF(YEAR(AC$3)=YEAR('New Hires Forecast'!$O$3),IF((AC$5=12),(SUMPRODUCT(--('New Hires Forecast'!$F$5:$F$84="Finance"),--('New Hires Forecast'!$H$5:$H$84&gt;=Finance!AC$3),'New Hires Forecast'!$O$5:$O$84,'New Hires Forecast'!$L$5:$L$84)),0),IF(YEAR(AC$3)=YEAR('New Hires Forecast'!$P$3),IF((AC$5=12),(SUMPRODUCT(--('New Hires Forecast'!$F$5:$F$84="Finance"),--('New Hires Forecast'!$H$5:$H$84&gt;=Finance!AC$3),'New Hires Forecast'!$P$5:$P$84,'New Hires Forecast'!$L$5:$L$84)),0),IF(YEAR(AC$3)=YEAR('New Hires Forecast'!$Q$3),IF((AC$5=12),(SUMPRODUCT(--('New Hires Forecast'!$F$5:$F$84="Finance"),--('New Hires Forecast'!$H$5:$H$84&gt;=Finance!AC$3),'New Hires Forecast'!$Q$5:$Q$84,'New Hires Forecast'!$L$5:$L$84)),0),IF(YEAR(AC$3)=YEAR('New Hires Forecast'!$R$3),IF((AC$5=12),(SUMPRODUCT(--('New Hires Forecast'!$F$5:$F$84="Finance"),--('New Hires Forecast'!$H$5:$H$84&gt;=Finance!AC$3),'New Hires Forecast'!$R$5:$R$84,'New Hires Forecast'!$L$5:$L$84)),0),"New Year"))))),0)</f>
        <v>0</v>
      </c>
      <c r="AD15" s="684">
        <f>IF(AD$4="forecast",IF(YEAR(AD$3)=YEAR('New Hires Forecast'!$N$3),IF((AD$5=12),(SUMPRODUCT(--('New Hires Forecast'!$F$5:$F$84="Finance"),--('New Hires Forecast'!$H$5:$H$84&gt;=Finance!AD$3),'New Hires Forecast'!$N$5:$N$84,'New Hires Forecast'!$L$5:$L$84)),0),IF(YEAR(AD$3)=YEAR('New Hires Forecast'!$O$3),IF((AD$5=12),(SUMPRODUCT(--('New Hires Forecast'!$F$5:$F$84="Finance"),--('New Hires Forecast'!$H$5:$H$84&gt;=Finance!AD$3),'New Hires Forecast'!$O$5:$O$84,'New Hires Forecast'!$L$5:$L$84)),0),IF(YEAR(AD$3)=YEAR('New Hires Forecast'!$P$3),IF((AD$5=12),(SUMPRODUCT(--('New Hires Forecast'!$F$5:$F$84="Finance"),--('New Hires Forecast'!$H$5:$H$84&gt;=Finance!AD$3),'New Hires Forecast'!$P$5:$P$84,'New Hires Forecast'!$L$5:$L$84)),0),IF(YEAR(AD$3)=YEAR('New Hires Forecast'!$Q$3),IF((AD$5=12),(SUMPRODUCT(--('New Hires Forecast'!$F$5:$F$84="Finance"),--('New Hires Forecast'!$H$5:$H$84&gt;=Finance!AD$3),'New Hires Forecast'!$Q$5:$Q$84,'New Hires Forecast'!$L$5:$L$84)),0),IF(YEAR(AD$3)=YEAR('New Hires Forecast'!$R$3),IF((AD$5=12),(SUMPRODUCT(--('New Hires Forecast'!$F$5:$F$84="Finance"),--('New Hires Forecast'!$H$5:$H$84&gt;=Finance!AD$3),'New Hires Forecast'!$R$5:$R$84,'New Hires Forecast'!$L$5:$L$84)),0),"New Year"))))),0)</f>
        <v>0</v>
      </c>
      <c r="AE15" s="684">
        <f>IF(AE$4="forecast",IF(YEAR(AE$3)=YEAR('New Hires Forecast'!$N$3),IF((AE$5=12),(SUMPRODUCT(--('New Hires Forecast'!$F$5:$F$84="Finance"),--('New Hires Forecast'!$H$5:$H$84&gt;=Finance!AE$3),'New Hires Forecast'!$N$5:$N$84,'New Hires Forecast'!$L$5:$L$84)),0),IF(YEAR(AE$3)=YEAR('New Hires Forecast'!$O$3),IF((AE$5=12),(SUMPRODUCT(--('New Hires Forecast'!$F$5:$F$84="Finance"),--('New Hires Forecast'!$H$5:$H$84&gt;=Finance!AE$3),'New Hires Forecast'!$O$5:$O$84,'New Hires Forecast'!$L$5:$L$84)),0),IF(YEAR(AE$3)=YEAR('New Hires Forecast'!$P$3),IF((AE$5=12),(SUMPRODUCT(--('New Hires Forecast'!$F$5:$F$84="Finance"),--('New Hires Forecast'!$H$5:$H$84&gt;=Finance!AE$3),'New Hires Forecast'!$P$5:$P$84,'New Hires Forecast'!$L$5:$L$84)),0),IF(YEAR(AE$3)=YEAR('New Hires Forecast'!$Q$3),IF((AE$5=12),(SUMPRODUCT(--('New Hires Forecast'!$F$5:$F$84="Finance"),--('New Hires Forecast'!$H$5:$H$84&gt;=Finance!AE$3),'New Hires Forecast'!$Q$5:$Q$84,'New Hires Forecast'!$L$5:$L$84)),0),IF(YEAR(AE$3)=YEAR('New Hires Forecast'!$R$3),IF((AE$5=12),(SUMPRODUCT(--('New Hires Forecast'!$F$5:$F$84="Finance"),--('New Hires Forecast'!$H$5:$H$84&gt;=Finance!AE$3),'New Hires Forecast'!$R$5:$R$84,'New Hires Forecast'!$L$5:$L$84)),0),"New Year"))))),0)</f>
        <v>0</v>
      </c>
      <c r="AF15" s="684">
        <f>IF(AF$4="forecast",IF(YEAR(AF$3)=YEAR('New Hires Forecast'!$N$3),IF((AF$5=12),(SUMPRODUCT(--('New Hires Forecast'!$F$5:$F$84="Finance"),--('New Hires Forecast'!$H$5:$H$84&gt;=Finance!AF$3),'New Hires Forecast'!$N$5:$N$84,'New Hires Forecast'!$L$5:$L$84)),0),IF(YEAR(AF$3)=YEAR('New Hires Forecast'!$O$3),IF((AF$5=12),(SUMPRODUCT(--('New Hires Forecast'!$F$5:$F$84="Finance"),--('New Hires Forecast'!$H$5:$H$84&gt;=Finance!AF$3),'New Hires Forecast'!$O$5:$O$84,'New Hires Forecast'!$L$5:$L$84)),0),IF(YEAR(AF$3)=YEAR('New Hires Forecast'!$P$3),IF((AF$5=12),(SUMPRODUCT(--('New Hires Forecast'!$F$5:$F$84="Finance"),--('New Hires Forecast'!$H$5:$H$84&gt;=Finance!AF$3),'New Hires Forecast'!$P$5:$P$84,'New Hires Forecast'!$L$5:$L$84)),0),IF(YEAR(AF$3)=YEAR('New Hires Forecast'!$Q$3),IF((AF$5=12),(SUMPRODUCT(--('New Hires Forecast'!$F$5:$F$84="Finance"),--('New Hires Forecast'!$H$5:$H$84&gt;=Finance!AF$3),'New Hires Forecast'!$Q$5:$Q$84,'New Hires Forecast'!$L$5:$L$84)),0),IF(YEAR(AF$3)=YEAR('New Hires Forecast'!$R$3),IF((AF$5=12),(SUMPRODUCT(--('New Hires Forecast'!$F$5:$F$84="Finance"),--('New Hires Forecast'!$H$5:$H$84&gt;=Finance!AF$3),'New Hires Forecast'!$R$5:$R$84,'New Hires Forecast'!$L$5:$L$84)),0),"New Year"))))),0)</f>
        <v>0</v>
      </c>
      <c r="AG15" s="684">
        <f>IF(AG$4="forecast",IF(YEAR(AG$3)=YEAR('New Hires Forecast'!$N$3),IF((AG$5=12),(SUMPRODUCT(--('New Hires Forecast'!$F$5:$F$84="Finance"),--('New Hires Forecast'!$H$5:$H$84&gt;=Finance!AG$3),'New Hires Forecast'!$N$5:$N$84,'New Hires Forecast'!$L$5:$L$84)),0),IF(YEAR(AG$3)=YEAR('New Hires Forecast'!$O$3),IF((AG$5=12),(SUMPRODUCT(--('New Hires Forecast'!$F$5:$F$84="Finance"),--('New Hires Forecast'!$H$5:$H$84&gt;=Finance!AG$3),'New Hires Forecast'!$O$5:$O$84,'New Hires Forecast'!$L$5:$L$84)),0),IF(YEAR(AG$3)=YEAR('New Hires Forecast'!$P$3),IF((AG$5=12),(SUMPRODUCT(--('New Hires Forecast'!$F$5:$F$84="Finance"),--('New Hires Forecast'!$H$5:$H$84&gt;=Finance!AG$3),'New Hires Forecast'!$P$5:$P$84,'New Hires Forecast'!$L$5:$L$84)),0),IF(YEAR(AG$3)=YEAR('New Hires Forecast'!$Q$3),IF((AG$5=12),(SUMPRODUCT(--('New Hires Forecast'!$F$5:$F$84="Finance"),--('New Hires Forecast'!$H$5:$H$84&gt;=Finance!AG$3),'New Hires Forecast'!$Q$5:$Q$84,'New Hires Forecast'!$L$5:$L$84)),0),IF(YEAR(AG$3)=YEAR('New Hires Forecast'!$R$3),IF((AG$5=12),(SUMPRODUCT(--('New Hires Forecast'!$F$5:$F$84="Finance"),--('New Hires Forecast'!$H$5:$H$84&gt;=Finance!AG$3),'New Hires Forecast'!$R$5:$R$84,'New Hires Forecast'!$L$5:$L$84)),0),"New Year"))))),0)</f>
        <v>0</v>
      </c>
      <c r="AH15" s="684">
        <f>IF(AH$4="forecast",IF(YEAR(AH$3)=YEAR('New Hires Forecast'!$N$3),IF((AH$5=12),(SUMPRODUCT(--('New Hires Forecast'!$F$5:$F$84="Finance"),--('New Hires Forecast'!$H$5:$H$84&gt;=Finance!AH$3),'New Hires Forecast'!$N$5:$N$84,'New Hires Forecast'!$L$5:$L$84)),0),IF(YEAR(AH$3)=YEAR('New Hires Forecast'!$O$3),IF((AH$5=12),(SUMPRODUCT(--('New Hires Forecast'!$F$5:$F$84="Finance"),--('New Hires Forecast'!$H$5:$H$84&gt;=Finance!AH$3),'New Hires Forecast'!$O$5:$O$84,'New Hires Forecast'!$L$5:$L$84)),0),IF(YEAR(AH$3)=YEAR('New Hires Forecast'!$P$3),IF((AH$5=12),(SUMPRODUCT(--('New Hires Forecast'!$F$5:$F$84="Finance"),--('New Hires Forecast'!$H$5:$H$84&gt;=Finance!AH$3),'New Hires Forecast'!$P$5:$P$84,'New Hires Forecast'!$L$5:$L$84)),0),IF(YEAR(AH$3)=YEAR('New Hires Forecast'!$Q$3),IF((AH$5=12),(SUMPRODUCT(--('New Hires Forecast'!$F$5:$F$84="Finance"),--('New Hires Forecast'!$H$5:$H$84&gt;=Finance!AH$3),'New Hires Forecast'!$Q$5:$Q$84,'New Hires Forecast'!$L$5:$L$84)),0),IF(YEAR(AH$3)=YEAR('New Hires Forecast'!$R$3),IF((AH$5=12),(SUMPRODUCT(--('New Hires Forecast'!$F$5:$F$84="Finance"),--('New Hires Forecast'!$H$5:$H$84&gt;=Finance!AH$3),'New Hires Forecast'!$R$5:$R$84,'New Hires Forecast'!$L$5:$L$84)),0),"New Year"))))),0)</f>
        <v>0</v>
      </c>
      <c r="AI15" s="684">
        <f>IF(AI$4="forecast",IF(YEAR(AI$3)=YEAR('New Hires Forecast'!$N$3),IF((AI$5=12),(SUMPRODUCT(--('New Hires Forecast'!$F$5:$F$84="Finance"),--('New Hires Forecast'!$H$5:$H$84&gt;=Finance!AI$3),'New Hires Forecast'!$N$5:$N$84,'New Hires Forecast'!$L$5:$L$84)),0),IF(YEAR(AI$3)=YEAR('New Hires Forecast'!$O$3),IF((AI$5=12),(SUMPRODUCT(--('New Hires Forecast'!$F$5:$F$84="Finance"),--('New Hires Forecast'!$H$5:$H$84&gt;=Finance!AI$3),'New Hires Forecast'!$O$5:$O$84,'New Hires Forecast'!$L$5:$L$84)),0),IF(YEAR(AI$3)=YEAR('New Hires Forecast'!$P$3),IF((AI$5=12),(SUMPRODUCT(--('New Hires Forecast'!$F$5:$F$84="Finance"),--('New Hires Forecast'!$H$5:$H$84&gt;=Finance!AI$3),'New Hires Forecast'!$P$5:$P$84,'New Hires Forecast'!$L$5:$L$84)),0),IF(YEAR(AI$3)=YEAR('New Hires Forecast'!$Q$3),IF((AI$5=12),(SUMPRODUCT(--('New Hires Forecast'!$F$5:$F$84="Finance"),--('New Hires Forecast'!$H$5:$H$84&gt;=Finance!AI$3),'New Hires Forecast'!$Q$5:$Q$84,'New Hires Forecast'!$L$5:$L$84)),0),IF(YEAR(AI$3)=YEAR('New Hires Forecast'!$R$3),IF((AI$5=12),(SUMPRODUCT(--('New Hires Forecast'!$F$5:$F$84="Finance"),--('New Hires Forecast'!$H$5:$H$84&gt;=Finance!AI$3),'New Hires Forecast'!$R$5:$R$84,'New Hires Forecast'!$L$5:$L$84)),0),"New Year"))))),0)</f>
        <v>0</v>
      </c>
      <c r="AJ15" s="684">
        <f>IF(AJ$4="forecast",IF(YEAR(AJ$3)=YEAR('New Hires Forecast'!$N$3),IF((AJ$5=12),(SUMPRODUCT(--('New Hires Forecast'!$F$5:$F$84="Finance"),--('New Hires Forecast'!$H$5:$H$84&gt;=Finance!AJ$3),'New Hires Forecast'!$N$5:$N$84,'New Hires Forecast'!$L$5:$L$84)),0),IF(YEAR(AJ$3)=YEAR('New Hires Forecast'!$O$3),IF((AJ$5=12),(SUMPRODUCT(--('New Hires Forecast'!$F$5:$F$84="Finance"),--('New Hires Forecast'!$H$5:$H$84&gt;=Finance!AJ$3),'New Hires Forecast'!$O$5:$O$84,'New Hires Forecast'!$L$5:$L$84)),0),IF(YEAR(AJ$3)=YEAR('New Hires Forecast'!$P$3),IF((AJ$5=12),(SUMPRODUCT(--('New Hires Forecast'!$F$5:$F$84="Finance"),--('New Hires Forecast'!$H$5:$H$84&gt;=Finance!AJ$3),'New Hires Forecast'!$P$5:$P$84,'New Hires Forecast'!$L$5:$L$84)),0),IF(YEAR(AJ$3)=YEAR('New Hires Forecast'!$Q$3),IF((AJ$5=12),(SUMPRODUCT(--('New Hires Forecast'!$F$5:$F$84="Finance"),--('New Hires Forecast'!$H$5:$H$84&gt;=Finance!AJ$3),'New Hires Forecast'!$Q$5:$Q$84,'New Hires Forecast'!$L$5:$L$84)),0),IF(YEAR(AJ$3)=YEAR('New Hires Forecast'!$R$3),IF((AJ$5=12),(SUMPRODUCT(--('New Hires Forecast'!$F$5:$F$84="Finance"),--('New Hires Forecast'!$H$5:$H$84&gt;=Finance!AJ$3),'New Hires Forecast'!$R$5:$R$84,'New Hires Forecast'!$L$5:$L$84)),0),"New Year"))))),0)</f>
        <v>0</v>
      </c>
      <c r="AK15" s="684">
        <f>IF(AK$4="forecast",IF(YEAR(AK$3)=YEAR('New Hires Forecast'!$N$3),IF((AK$5=12),(SUMPRODUCT(--('New Hires Forecast'!$F$5:$F$84="Finance"),--('New Hires Forecast'!$H$5:$H$84&gt;=Finance!AK$3),'New Hires Forecast'!$N$5:$N$84,'New Hires Forecast'!$L$5:$L$84)),0),IF(YEAR(AK$3)=YEAR('New Hires Forecast'!$O$3),IF((AK$5=12),(SUMPRODUCT(--('New Hires Forecast'!$F$5:$F$84="Finance"),--('New Hires Forecast'!$H$5:$H$84&gt;=Finance!AK$3),'New Hires Forecast'!$O$5:$O$84,'New Hires Forecast'!$L$5:$L$84)),0),IF(YEAR(AK$3)=YEAR('New Hires Forecast'!$P$3),IF((AK$5=12),(SUMPRODUCT(--('New Hires Forecast'!$F$5:$F$84="Finance"),--('New Hires Forecast'!$H$5:$H$84&gt;=Finance!AK$3),'New Hires Forecast'!$P$5:$P$84,'New Hires Forecast'!$L$5:$L$84)),0),IF(YEAR(AK$3)=YEAR('New Hires Forecast'!$Q$3),IF((AK$5=12),(SUMPRODUCT(--('New Hires Forecast'!$F$5:$F$84="Finance"),--('New Hires Forecast'!$H$5:$H$84&gt;=Finance!AK$3),'New Hires Forecast'!$Q$5:$Q$84,'New Hires Forecast'!$L$5:$L$84)),0),IF(YEAR(AK$3)=YEAR('New Hires Forecast'!$R$3),IF((AK$5=12),(SUMPRODUCT(--('New Hires Forecast'!$F$5:$F$84="Finance"),--('New Hires Forecast'!$H$5:$H$84&gt;=Finance!AK$3),'New Hires Forecast'!$R$5:$R$84,'New Hires Forecast'!$L$5:$L$84)),0),"New Year"))))),0)</f>
        <v>0</v>
      </c>
      <c r="AL15" s="684">
        <f>IF(AL$4="forecast",IF(YEAR(AL$3)=YEAR('New Hires Forecast'!$N$3),IF((AL$5=12),(SUMPRODUCT(--('New Hires Forecast'!$F$5:$F$84="Finance"),--('New Hires Forecast'!$H$5:$H$84&gt;=Finance!AL$3),'New Hires Forecast'!$N$5:$N$84,'New Hires Forecast'!$L$5:$L$84)),0),IF(YEAR(AL$3)=YEAR('New Hires Forecast'!$O$3),IF((AL$5=12),(SUMPRODUCT(--('New Hires Forecast'!$F$5:$F$84="Finance"),--('New Hires Forecast'!$H$5:$H$84&gt;=Finance!AL$3),'New Hires Forecast'!$O$5:$O$84,'New Hires Forecast'!$L$5:$L$84)),0),IF(YEAR(AL$3)=YEAR('New Hires Forecast'!$P$3),IF((AL$5=12),(SUMPRODUCT(--('New Hires Forecast'!$F$5:$F$84="Finance"),--('New Hires Forecast'!$H$5:$H$84&gt;=Finance!AL$3),'New Hires Forecast'!$P$5:$P$84,'New Hires Forecast'!$L$5:$L$84)),0),IF(YEAR(AL$3)=YEAR('New Hires Forecast'!$Q$3),IF((AL$5=12),(SUMPRODUCT(--('New Hires Forecast'!$F$5:$F$84="Finance"),--('New Hires Forecast'!$H$5:$H$84&gt;=Finance!AL$3),'New Hires Forecast'!$Q$5:$Q$84,'New Hires Forecast'!$L$5:$L$84)),0),IF(YEAR(AL$3)=YEAR('New Hires Forecast'!$R$3),IF((AL$5=12),(SUMPRODUCT(--('New Hires Forecast'!$F$5:$F$84="Finance"),--('New Hires Forecast'!$H$5:$H$84&gt;=Finance!AL$3),'New Hires Forecast'!$R$5:$R$84,'New Hires Forecast'!$L$5:$L$84)),0),"New Year"))))),0)</f>
        <v>123750</v>
      </c>
      <c r="AM15" s="684">
        <f>IF(AM$4="forecast",IF(YEAR(AM$3)=YEAR('New Hires Forecast'!$N$3),IF((AM$5=12),(SUMPRODUCT(--('New Hires Forecast'!$F$5:$F$84="Finance"),--('New Hires Forecast'!$H$5:$H$84&gt;=Finance!AM$3),'New Hires Forecast'!$N$5:$N$84,'New Hires Forecast'!$L$5:$L$84)),0),IF(YEAR(AM$3)=YEAR('New Hires Forecast'!$O$3),IF((AM$5=12),(SUMPRODUCT(--('New Hires Forecast'!$F$5:$F$84="Finance"),--('New Hires Forecast'!$H$5:$H$84&gt;=Finance!AM$3),'New Hires Forecast'!$O$5:$O$84,'New Hires Forecast'!$L$5:$L$84)),0),IF(YEAR(AM$3)=YEAR('New Hires Forecast'!$P$3),IF((AM$5=12),(SUMPRODUCT(--('New Hires Forecast'!$F$5:$F$84="Finance"),--('New Hires Forecast'!$H$5:$H$84&gt;=Finance!AM$3),'New Hires Forecast'!$P$5:$P$84,'New Hires Forecast'!$L$5:$L$84)),0),IF(YEAR(AM$3)=YEAR('New Hires Forecast'!$Q$3),IF((AM$5=12),(SUMPRODUCT(--('New Hires Forecast'!$F$5:$F$84="Finance"),--('New Hires Forecast'!$H$5:$H$84&gt;=Finance!AM$3),'New Hires Forecast'!$Q$5:$Q$84,'New Hires Forecast'!$L$5:$L$84)),0),IF(YEAR(AM$3)=YEAR('New Hires Forecast'!$R$3),IF((AM$5=12),(SUMPRODUCT(--('New Hires Forecast'!$F$5:$F$84="Finance"),--('New Hires Forecast'!$H$5:$H$84&gt;=Finance!AM$3),'New Hires Forecast'!$R$5:$R$84,'New Hires Forecast'!$L$5:$L$84)),0),"New Year"))))),0)</f>
        <v>0</v>
      </c>
      <c r="AN15" s="684">
        <f>IF(AN$4="forecast",IF(YEAR(AN$3)=YEAR('New Hires Forecast'!$N$3),IF((AN$5=12),(SUMPRODUCT(--('New Hires Forecast'!$F$5:$F$84="Finance"),--('New Hires Forecast'!$H$5:$H$84&gt;=Finance!AN$3),'New Hires Forecast'!$N$5:$N$84,'New Hires Forecast'!$L$5:$L$84)),0),IF(YEAR(AN$3)=YEAR('New Hires Forecast'!$O$3),IF((AN$5=12),(SUMPRODUCT(--('New Hires Forecast'!$F$5:$F$84="Finance"),--('New Hires Forecast'!$H$5:$H$84&gt;=Finance!AN$3),'New Hires Forecast'!$O$5:$O$84,'New Hires Forecast'!$L$5:$L$84)),0),IF(YEAR(AN$3)=YEAR('New Hires Forecast'!$P$3),IF((AN$5=12),(SUMPRODUCT(--('New Hires Forecast'!$F$5:$F$84="Finance"),--('New Hires Forecast'!$H$5:$H$84&gt;=Finance!AN$3),'New Hires Forecast'!$P$5:$P$84,'New Hires Forecast'!$L$5:$L$84)),0),IF(YEAR(AN$3)=YEAR('New Hires Forecast'!$Q$3),IF((AN$5=12),(SUMPRODUCT(--('New Hires Forecast'!$F$5:$F$84="Finance"),--('New Hires Forecast'!$H$5:$H$84&gt;=Finance!AN$3),'New Hires Forecast'!$Q$5:$Q$84,'New Hires Forecast'!$L$5:$L$84)),0),IF(YEAR(AN$3)=YEAR('New Hires Forecast'!$R$3),IF((AN$5=12),(SUMPRODUCT(--('New Hires Forecast'!$F$5:$F$84="Finance"),--('New Hires Forecast'!$H$5:$H$84&gt;=Finance!AN$3),'New Hires Forecast'!$R$5:$R$84,'New Hires Forecast'!$L$5:$L$84)),0),"New Year"))))),0)</f>
        <v>0</v>
      </c>
      <c r="AO15" s="684">
        <f>IF(AO$4="forecast",IF(YEAR(AO$3)=YEAR('New Hires Forecast'!$N$3),IF((AO$5=12),(SUMPRODUCT(--('New Hires Forecast'!$F$5:$F$84="Finance"),--('New Hires Forecast'!$H$5:$H$84&gt;=Finance!AO$3),'New Hires Forecast'!$N$5:$N$84,'New Hires Forecast'!$L$5:$L$84)),0),IF(YEAR(AO$3)=YEAR('New Hires Forecast'!$O$3),IF((AO$5=12),(SUMPRODUCT(--('New Hires Forecast'!$F$5:$F$84="Finance"),--('New Hires Forecast'!$H$5:$H$84&gt;=Finance!AO$3),'New Hires Forecast'!$O$5:$O$84,'New Hires Forecast'!$L$5:$L$84)),0),IF(YEAR(AO$3)=YEAR('New Hires Forecast'!$P$3),IF((AO$5=12),(SUMPRODUCT(--('New Hires Forecast'!$F$5:$F$84="Finance"),--('New Hires Forecast'!$H$5:$H$84&gt;=Finance!AO$3),'New Hires Forecast'!$P$5:$P$84,'New Hires Forecast'!$L$5:$L$84)),0),IF(YEAR(AO$3)=YEAR('New Hires Forecast'!$Q$3),IF((AO$5=12),(SUMPRODUCT(--('New Hires Forecast'!$F$5:$F$84="Finance"),--('New Hires Forecast'!$H$5:$H$84&gt;=Finance!AO$3),'New Hires Forecast'!$Q$5:$Q$84,'New Hires Forecast'!$L$5:$L$84)),0),IF(YEAR(AO$3)=YEAR('New Hires Forecast'!$R$3),IF((AO$5=12),(SUMPRODUCT(--('New Hires Forecast'!$F$5:$F$84="Finance"),--('New Hires Forecast'!$H$5:$H$84&gt;=Finance!AO$3),'New Hires Forecast'!$R$5:$R$84,'New Hires Forecast'!$L$5:$L$84)),0),"New Year"))))),0)</f>
        <v>0</v>
      </c>
      <c r="AP15" s="684">
        <f>IF(AP$4="forecast",IF(YEAR(AP$3)=YEAR('New Hires Forecast'!$N$3),IF((AP$5=12),(SUMPRODUCT(--('New Hires Forecast'!$F$5:$F$84="Finance"),--('New Hires Forecast'!$H$5:$H$84&gt;=Finance!AP$3),'New Hires Forecast'!$N$5:$N$84,'New Hires Forecast'!$L$5:$L$84)),0),IF(YEAR(AP$3)=YEAR('New Hires Forecast'!$O$3),IF((AP$5=12),(SUMPRODUCT(--('New Hires Forecast'!$F$5:$F$84="Finance"),--('New Hires Forecast'!$H$5:$H$84&gt;=Finance!AP$3),'New Hires Forecast'!$O$5:$O$84,'New Hires Forecast'!$L$5:$L$84)),0),IF(YEAR(AP$3)=YEAR('New Hires Forecast'!$P$3),IF((AP$5=12),(SUMPRODUCT(--('New Hires Forecast'!$F$5:$F$84="Finance"),--('New Hires Forecast'!$H$5:$H$84&gt;=Finance!AP$3),'New Hires Forecast'!$P$5:$P$84,'New Hires Forecast'!$L$5:$L$84)),0),IF(YEAR(AP$3)=YEAR('New Hires Forecast'!$Q$3),IF((AP$5=12),(SUMPRODUCT(--('New Hires Forecast'!$F$5:$F$84="Finance"),--('New Hires Forecast'!$H$5:$H$84&gt;=Finance!AP$3),'New Hires Forecast'!$Q$5:$Q$84,'New Hires Forecast'!$L$5:$L$84)),0),IF(YEAR(AP$3)=YEAR('New Hires Forecast'!$R$3),IF((AP$5=12),(SUMPRODUCT(--('New Hires Forecast'!$F$5:$F$84="Finance"),--('New Hires Forecast'!$H$5:$H$84&gt;=Finance!AP$3),'New Hires Forecast'!$R$5:$R$84,'New Hires Forecast'!$L$5:$L$84)),0),"New Year"))))),0)</f>
        <v>0</v>
      </c>
      <c r="AQ15" s="684">
        <f>IF(AQ$4="forecast",IF(YEAR(AQ$3)=YEAR('New Hires Forecast'!$N$3),IF((AQ$5=12),(SUMPRODUCT(--('New Hires Forecast'!$F$5:$F$84="Finance"),--('New Hires Forecast'!$H$5:$H$84&gt;=Finance!AQ$3),'New Hires Forecast'!$N$5:$N$84,'New Hires Forecast'!$L$5:$L$84)),0),IF(YEAR(AQ$3)=YEAR('New Hires Forecast'!$O$3),IF((AQ$5=12),(SUMPRODUCT(--('New Hires Forecast'!$F$5:$F$84="Finance"),--('New Hires Forecast'!$H$5:$H$84&gt;=Finance!AQ$3),'New Hires Forecast'!$O$5:$O$84,'New Hires Forecast'!$L$5:$L$84)),0),IF(YEAR(AQ$3)=YEAR('New Hires Forecast'!$P$3),IF((AQ$5=12),(SUMPRODUCT(--('New Hires Forecast'!$F$5:$F$84="Finance"),--('New Hires Forecast'!$H$5:$H$84&gt;=Finance!AQ$3),'New Hires Forecast'!$P$5:$P$84,'New Hires Forecast'!$L$5:$L$84)),0),IF(YEAR(AQ$3)=YEAR('New Hires Forecast'!$Q$3),IF((AQ$5=12),(SUMPRODUCT(--('New Hires Forecast'!$F$5:$F$84="Finance"),--('New Hires Forecast'!$H$5:$H$84&gt;=Finance!AQ$3),'New Hires Forecast'!$Q$5:$Q$84,'New Hires Forecast'!$L$5:$L$84)),0),IF(YEAR(AQ$3)=YEAR('New Hires Forecast'!$R$3),IF((AQ$5=12),(SUMPRODUCT(--('New Hires Forecast'!$F$5:$F$84="Finance"),--('New Hires Forecast'!$H$5:$H$84&gt;=Finance!AQ$3),'New Hires Forecast'!$R$5:$R$84,'New Hires Forecast'!$L$5:$L$84)),0),"New Year"))))),0)</f>
        <v>0</v>
      </c>
      <c r="AR15" s="684">
        <f>IF(AR$4="forecast",IF(YEAR(AR$3)=YEAR('New Hires Forecast'!$N$3),IF((AR$5=12),(SUMPRODUCT(--('New Hires Forecast'!$F$5:$F$84="Finance"),--('New Hires Forecast'!$H$5:$H$84&gt;=Finance!AR$3),'New Hires Forecast'!$N$5:$N$84,'New Hires Forecast'!$L$5:$L$84)),0),IF(YEAR(AR$3)=YEAR('New Hires Forecast'!$O$3),IF((AR$5=12),(SUMPRODUCT(--('New Hires Forecast'!$F$5:$F$84="Finance"),--('New Hires Forecast'!$H$5:$H$84&gt;=Finance!AR$3),'New Hires Forecast'!$O$5:$O$84,'New Hires Forecast'!$L$5:$L$84)),0),IF(YEAR(AR$3)=YEAR('New Hires Forecast'!$P$3),IF((AR$5=12),(SUMPRODUCT(--('New Hires Forecast'!$F$5:$F$84="Finance"),--('New Hires Forecast'!$H$5:$H$84&gt;=Finance!AR$3),'New Hires Forecast'!$P$5:$P$84,'New Hires Forecast'!$L$5:$L$84)),0),IF(YEAR(AR$3)=YEAR('New Hires Forecast'!$Q$3),IF((AR$5=12),(SUMPRODUCT(--('New Hires Forecast'!$F$5:$F$84="Finance"),--('New Hires Forecast'!$H$5:$H$84&gt;=Finance!AR$3),'New Hires Forecast'!$Q$5:$Q$84,'New Hires Forecast'!$L$5:$L$84)),0),IF(YEAR(AR$3)=YEAR('New Hires Forecast'!$R$3),IF((AR$5=12),(SUMPRODUCT(--('New Hires Forecast'!$F$5:$F$84="Finance"),--('New Hires Forecast'!$H$5:$H$84&gt;=Finance!AR$3),'New Hires Forecast'!$R$5:$R$84,'New Hires Forecast'!$L$5:$L$84)),0),"New Year"))))),0)</f>
        <v>0</v>
      </c>
      <c r="AS15" s="684">
        <f>IF(AS$4="forecast",IF(YEAR(AS$3)=YEAR('New Hires Forecast'!$N$3),IF((AS$5=12),(SUMPRODUCT(--('New Hires Forecast'!$F$5:$F$84="Finance"),--('New Hires Forecast'!$H$5:$H$84&gt;=Finance!AS$3),'New Hires Forecast'!$N$5:$N$84,'New Hires Forecast'!$L$5:$L$84)),0),IF(YEAR(AS$3)=YEAR('New Hires Forecast'!$O$3),IF((AS$5=12),(SUMPRODUCT(--('New Hires Forecast'!$F$5:$F$84="Finance"),--('New Hires Forecast'!$H$5:$H$84&gt;=Finance!AS$3),'New Hires Forecast'!$O$5:$O$84,'New Hires Forecast'!$L$5:$L$84)),0),IF(YEAR(AS$3)=YEAR('New Hires Forecast'!$P$3),IF((AS$5=12),(SUMPRODUCT(--('New Hires Forecast'!$F$5:$F$84="Finance"),--('New Hires Forecast'!$H$5:$H$84&gt;=Finance!AS$3),'New Hires Forecast'!$P$5:$P$84,'New Hires Forecast'!$L$5:$L$84)),0),IF(YEAR(AS$3)=YEAR('New Hires Forecast'!$Q$3),IF((AS$5=12),(SUMPRODUCT(--('New Hires Forecast'!$F$5:$F$84="Finance"),--('New Hires Forecast'!$H$5:$H$84&gt;=Finance!AS$3),'New Hires Forecast'!$Q$5:$Q$84,'New Hires Forecast'!$L$5:$L$84)),0),IF(YEAR(AS$3)=YEAR('New Hires Forecast'!$R$3),IF((AS$5=12),(SUMPRODUCT(--('New Hires Forecast'!$F$5:$F$84="Finance"),--('New Hires Forecast'!$H$5:$H$84&gt;=Finance!AS$3),'New Hires Forecast'!$R$5:$R$84,'New Hires Forecast'!$L$5:$L$84)),0),"New Year"))))),0)</f>
        <v>0</v>
      </c>
      <c r="AT15" s="684">
        <f>IF(AT$4="forecast",IF(YEAR(AT$3)=YEAR('New Hires Forecast'!$N$3),IF((AT$5=12),(SUMPRODUCT(--('New Hires Forecast'!$F$5:$F$84="Finance"),--('New Hires Forecast'!$H$5:$H$84&gt;=Finance!AT$3),'New Hires Forecast'!$N$5:$N$84,'New Hires Forecast'!$L$5:$L$84)),0),IF(YEAR(AT$3)=YEAR('New Hires Forecast'!$O$3),IF((AT$5=12),(SUMPRODUCT(--('New Hires Forecast'!$F$5:$F$84="Finance"),--('New Hires Forecast'!$H$5:$H$84&gt;=Finance!AT$3),'New Hires Forecast'!$O$5:$O$84,'New Hires Forecast'!$L$5:$L$84)),0),IF(YEAR(AT$3)=YEAR('New Hires Forecast'!$P$3),IF((AT$5=12),(SUMPRODUCT(--('New Hires Forecast'!$F$5:$F$84="Finance"),--('New Hires Forecast'!$H$5:$H$84&gt;=Finance!AT$3),'New Hires Forecast'!$P$5:$P$84,'New Hires Forecast'!$L$5:$L$84)),0),IF(YEAR(AT$3)=YEAR('New Hires Forecast'!$Q$3),IF((AT$5=12),(SUMPRODUCT(--('New Hires Forecast'!$F$5:$F$84="Finance"),--('New Hires Forecast'!$H$5:$H$84&gt;=Finance!AT$3),'New Hires Forecast'!$Q$5:$Q$84,'New Hires Forecast'!$L$5:$L$84)),0),IF(YEAR(AT$3)=YEAR('New Hires Forecast'!$R$3),IF((AT$5=12),(SUMPRODUCT(--('New Hires Forecast'!$F$5:$F$84="Finance"),--('New Hires Forecast'!$H$5:$H$84&gt;=Finance!AT$3),'New Hires Forecast'!$R$5:$R$84,'New Hires Forecast'!$L$5:$L$84)),0),"New Year"))))),0)</f>
        <v>0</v>
      </c>
      <c r="AU15" s="684">
        <f>IF(AU$4="forecast",IF(YEAR(AU$3)=YEAR('New Hires Forecast'!$N$3),IF((AU$5=12),(SUMPRODUCT(--('New Hires Forecast'!$F$5:$F$84="Finance"),--('New Hires Forecast'!$H$5:$H$84&gt;=Finance!AU$3),'New Hires Forecast'!$N$5:$N$84,'New Hires Forecast'!$L$5:$L$84)),0),IF(YEAR(AU$3)=YEAR('New Hires Forecast'!$O$3),IF((AU$5=12),(SUMPRODUCT(--('New Hires Forecast'!$F$5:$F$84="Finance"),--('New Hires Forecast'!$H$5:$H$84&gt;=Finance!AU$3),'New Hires Forecast'!$O$5:$O$84,'New Hires Forecast'!$L$5:$L$84)),0),IF(YEAR(AU$3)=YEAR('New Hires Forecast'!$P$3),IF((AU$5=12),(SUMPRODUCT(--('New Hires Forecast'!$F$5:$F$84="Finance"),--('New Hires Forecast'!$H$5:$H$84&gt;=Finance!AU$3),'New Hires Forecast'!$P$5:$P$84,'New Hires Forecast'!$L$5:$L$84)),0),IF(YEAR(AU$3)=YEAR('New Hires Forecast'!$Q$3),IF((AU$5=12),(SUMPRODUCT(--('New Hires Forecast'!$F$5:$F$84="Finance"),--('New Hires Forecast'!$H$5:$H$84&gt;=Finance!AU$3),'New Hires Forecast'!$Q$5:$Q$84,'New Hires Forecast'!$L$5:$L$84)),0),IF(YEAR(AU$3)=YEAR('New Hires Forecast'!$R$3),IF((AU$5=12),(SUMPRODUCT(--('New Hires Forecast'!$F$5:$F$84="Finance"),--('New Hires Forecast'!$H$5:$H$84&gt;=Finance!AU$3),'New Hires Forecast'!$R$5:$R$84,'New Hires Forecast'!$L$5:$L$84)),0),"New Year"))))),0)</f>
        <v>0</v>
      </c>
      <c r="AV15" s="684">
        <f>IF(AV$4="forecast",IF(YEAR(AV$3)=YEAR('New Hires Forecast'!$N$3),IF((AV$5=12),(SUMPRODUCT(--('New Hires Forecast'!$F$5:$F$84="Finance"),--('New Hires Forecast'!$H$5:$H$84&gt;=Finance!AV$3),'New Hires Forecast'!$N$5:$N$84,'New Hires Forecast'!$L$5:$L$84)),0),IF(YEAR(AV$3)=YEAR('New Hires Forecast'!$O$3),IF((AV$5=12),(SUMPRODUCT(--('New Hires Forecast'!$F$5:$F$84="Finance"),--('New Hires Forecast'!$H$5:$H$84&gt;=Finance!AV$3),'New Hires Forecast'!$O$5:$O$84,'New Hires Forecast'!$L$5:$L$84)),0),IF(YEAR(AV$3)=YEAR('New Hires Forecast'!$P$3),IF((AV$5=12),(SUMPRODUCT(--('New Hires Forecast'!$F$5:$F$84="Finance"),--('New Hires Forecast'!$H$5:$H$84&gt;=Finance!AV$3),'New Hires Forecast'!$P$5:$P$84,'New Hires Forecast'!$L$5:$L$84)),0),IF(YEAR(AV$3)=YEAR('New Hires Forecast'!$Q$3),IF((AV$5=12),(SUMPRODUCT(--('New Hires Forecast'!$F$5:$F$84="Finance"),--('New Hires Forecast'!$H$5:$H$84&gt;=Finance!AV$3),'New Hires Forecast'!$Q$5:$Q$84,'New Hires Forecast'!$L$5:$L$84)),0),IF(YEAR(AV$3)=YEAR('New Hires Forecast'!$R$3),IF((AV$5=12),(SUMPRODUCT(--('New Hires Forecast'!$F$5:$F$84="Finance"),--('New Hires Forecast'!$H$5:$H$84&gt;=Finance!AV$3),'New Hires Forecast'!$R$5:$R$84,'New Hires Forecast'!$L$5:$L$84)),0),"New Year"))))),0)</f>
        <v>0</v>
      </c>
      <c r="AW15" s="684">
        <f>IF(AW$4="forecast",IF(YEAR(AW$3)=YEAR('New Hires Forecast'!$N$3),IF((AW$5=12),(SUMPRODUCT(--('New Hires Forecast'!$F$5:$F$84="Finance"),--('New Hires Forecast'!$H$5:$H$84&gt;=Finance!AW$3),'New Hires Forecast'!$N$5:$N$84,'New Hires Forecast'!$L$5:$L$84)),0),IF(YEAR(AW$3)=YEAR('New Hires Forecast'!$O$3),IF((AW$5=12),(SUMPRODUCT(--('New Hires Forecast'!$F$5:$F$84="Finance"),--('New Hires Forecast'!$H$5:$H$84&gt;=Finance!AW$3),'New Hires Forecast'!$O$5:$O$84,'New Hires Forecast'!$L$5:$L$84)),0),IF(YEAR(AW$3)=YEAR('New Hires Forecast'!$P$3),IF((AW$5=12),(SUMPRODUCT(--('New Hires Forecast'!$F$5:$F$84="Finance"),--('New Hires Forecast'!$H$5:$H$84&gt;=Finance!AW$3),'New Hires Forecast'!$P$5:$P$84,'New Hires Forecast'!$L$5:$L$84)),0),IF(YEAR(AW$3)=YEAR('New Hires Forecast'!$Q$3),IF((AW$5=12),(SUMPRODUCT(--('New Hires Forecast'!$F$5:$F$84="Finance"),--('New Hires Forecast'!$H$5:$H$84&gt;=Finance!AW$3),'New Hires Forecast'!$Q$5:$Q$84,'New Hires Forecast'!$L$5:$L$84)),0),IF(YEAR(AW$3)=YEAR('New Hires Forecast'!$R$3),IF((AW$5=12),(SUMPRODUCT(--('New Hires Forecast'!$F$5:$F$84="Finance"),--('New Hires Forecast'!$H$5:$H$84&gt;=Finance!AW$3),'New Hires Forecast'!$R$5:$R$84,'New Hires Forecast'!$L$5:$L$84)),0),"New Year"))))),0)</f>
        <v>0</v>
      </c>
      <c r="AX15" s="684">
        <f>IF(AX$4="forecast",IF(YEAR(AX$3)=YEAR('New Hires Forecast'!$N$3),IF((AX$5=12),(SUMPRODUCT(--('New Hires Forecast'!$F$5:$F$84="Finance"),--('New Hires Forecast'!$H$5:$H$84&gt;=Finance!AX$3),'New Hires Forecast'!$N$5:$N$84,'New Hires Forecast'!$L$5:$L$84)),0),IF(YEAR(AX$3)=YEAR('New Hires Forecast'!$O$3),IF((AX$5=12),(SUMPRODUCT(--('New Hires Forecast'!$F$5:$F$84="Finance"),--('New Hires Forecast'!$H$5:$H$84&gt;=Finance!AX$3),'New Hires Forecast'!$O$5:$O$84,'New Hires Forecast'!$L$5:$L$84)),0),IF(YEAR(AX$3)=YEAR('New Hires Forecast'!$P$3),IF((AX$5=12),(SUMPRODUCT(--('New Hires Forecast'!$F$5:$F$84="Finance"),--('New Hires Forecast'!$H$5:$H$84&gt;=Finance!AX$3),'New Hires Forecast'!$P$5:$P$84,'New Hires Forecast'!$L$5:$L$84)),0),IF(YEAR(AX$3)=YEAR('New Hires Forecast'!$Q$3),IF((AX$5=12),(SUMPRODUCT(--('New Hires Forecast'!$F$5:$F$84="Finance"),--('New Hires Forecast'!$H$5:$H$84&gt;=Finance!AX$3),'New Hires Forecast'!$Q$5:$Q$84,'New Hires Forecast'!$L$5:$L$84)),0),IF(YEAR(AX$3)=YEAR('New Hires Forecast'!$R$3),IF((AX$5=12),(SUMPRODUCT(--('New Hires Forecast'!$F$5:$F$84="Finance"),--('New Hires Forecast'!$H$5:$H$84&gt;=Finance!AX$3),'New Hires Forecast'!$R$5:$R$84,'New Hires Forecast'!$L$5:$L$84)),0),"New Year"))))),0)</f>
        <v>127462.5</v>
      </c>
      <c r="AY15" s="684">
        <f>IF(AY$4="forecast",IF(YEAR(AY$3)=YEAR('New Hires Forecast'!$N$3),IF((AY$5=12),(SUMPRODUCT(--('New Hires Forecast'!$F$5:$F$84="Finance"),--('New Hires Forecast'!$H$5:$H$84&gt;=Finance!AY$3),'New Hires Forecast'!$N$5:$N$84,'New Hires Forecast'!$L$5:$L$84)),0),IF(YEAR(AY$3)=YEAR('New Hires Forecast'!$O$3),IF((AY$5=12),(SUMPRODUCT(--('New Hires Forecast'!$F$5:$F$84="Finance"),--('New Hires Forecast'!$H$5:$H$84&gt;=Finance!AY$3),'New Hires Forecast'!$O$5:$O$84,'New Hires Forecast'!$L$5:$L$84)),0),IF(YEAR(AY$3)=YEAR('New Hires Forecast'!$P$3),IF((AY$5=12),(SUMPRODUCT(--('New Hires Forecast'!$F$5:$F$84="Finance"),--('New Hires Forecast'!$H$5:$H$84&gt;=Finance!AY$3),'New Hires Forecast'!$P$5:$P$84,'New Hires Forecast'!$L$5:$L$84)),0),IF(YEAR(AY$3)=YEAR('New Hires Forecast'!$Q$3),IF((AY$5=12),(SUMPRODUCT(--('New Hires Forecast'!$F$5:$F$84="Finance"),--('New Hires Forecast'!$H$5:$H$84&gt;=Finance!AY$3),'New Hires Forecast'!$Q$5:$Q$84,'New Hires Forecast'!$L$5:$L$84)),0),IF(YEAR(AY$3)=YEAR('New Hires Forecast'!$R$3),IF((AY$5=12),(SUMPRODUCT(--('New Hires Forecast'!$F$5:$F$84="Finance"),--('New Hires Forecast'!$H$5:$H$84&gt;=Finance!AY$3),'New Hires Forecast'!$R$5:$R$84,'New Hires Forecast'!$L$5:$L$84)),0),"New Year"))))),0)</f>
        <v>0</v>
      </c>
      <c r="AZ15" s="684">
        <f>IF(AZ$4="forecast",IF(YEAR(AZ$3)=YEAR('New Hires Forecast'!$N$3),IF((AZ$5=12),(SUMPRODUCT(--('New Hires Forecast'!$F$5:$F$84="Finance"),--('New Hires Forecast'!$H$5:$H$84&gt;=Finance!AZ$3),'New Hires Forecast'!$N$5:$N$84,'New Hires Forecast'!$L$5:$L$84)),0),IF(YEAR(AZ$3)=YEAR('New Hires Forecast'!$O$3),IF((AZ$5=12),(SUMPRODUCT(--('New Hires Forecast'!$F$5:$F$84="Finance"),--('New Hires Forecast'!$H$5:$H$84&gt;=Finance!AZ$3),'New Hires Forecast'!$O$5:$O$84,'New Hires Forecast'!$L$5:$L$84)),0),IF(YEAR(AZ$3)=YEAR('New Hires Forecast'!$P$3),IF((AZ$5=12),(SUMPRODUCT(--('New Hires Forecast'!$F$5:$F$84="Finance"),--('New Hires Forecast'!$H$5:$H$84&gt;=Finance!AZ$3),'New Hires Forecast'!$P$5:$P$84,'New Hires Forecast'!$L$5:$L$84)),0),IF(YEAR(AZ$3)=YEAR('New Hires Forecast'!$Q$3),IF((AZ$5=12),(SUMPRODUCT(--('New Hires Forecast'!$F$5:$F$84="Finance"),--('New Hires Forecast'!$H$5:$H$84&gt;=Finance!AZ$3),'New Hires Forecast'!$Q$5:$Q$84,'New Hires Forecast'!$L$5:$L$84)),0),IF(YEAR(AZ$3)=YEAR('New Hires Forecast'!$R$3),IF((AZ$5=12),(SUMPRODUCT(--('New Hires Forecast'!$F$5:$F$84="Finance"),--('New Hires Forecast'!$H$5:$H$84&gt;=Finance!AZ$3),'New Hires Forecast'!$R$5:$R$84,'New Hires Forecast'!$L$5:$L$84)),0),"New Year"))))),0)</f>
        <v>0</v>
      </c>
      <c r="BA15" s="684">
        <f>IF(BA$4="forecast",IF(YEAR(BA$3)=YEAR('New Hires Forecast'!$N$3),IF((BA$5=12),(SUMPRODUCT(--('New Hires Forecast'!$F$5:$F$84="Finance"),--('New Hires Forecast'!$H$5:$H$84&gt;=Finance!BA$3),'New Hires Forecast'!$N$5:$N$84,'New Hires Forecast'!$L$5:$L$84)),0),IF(YEAR(BA$3)=YEAR('New Hires Forecast'!$O$3),IF((BA$5=12),(SUMPRODUCT(--('New Hires Forecast'!$F$5:$F$84="Finance"),--('New Hires Forecast'!$H$5:$H$84&gt;=Finance!BA$3),'New Hires Forecast'!$O$5:$O$84,'New Hires Forecast'!$L$5:$L$84)),0),IF(YEAR(BA$3)=YEAR('New Hires Forecast'!$P$3),IF((BA$5=12),(SUMPRODUCT(--('New Hires Forecast'!$F$5:$F$84="Finance"),--('New Hires Forecast'!$H$5:$H$84&gt;=Finance!BA$3),'New Hires Forecast'!$P$5:$P$84,'New Hires Forecast'!$L$5:$L$84)),0),IF(YEAR(BA$3)=YEAR('New Hires Forecast'!$Q$3),IF((BA$5=12),(SUMPRODUCT(--('New Hires Forecast'!$F$5:$F$84="Finance"),--('New Hires Forecast'!$H$5:$H$84&gt;=Finance!BA$3),'New Hires Forecast'!$Q$5:$Q$84,'New Hires Forecast'!$L$5:$L$84)),0),IF(YEAR(BA$3)=YEAR('New Hires Forecast'!$R$3),IF((BA$5=12),(SUMPRODUCT(--('New Hires Forecast'!$F$5:$F$84="Finance"),--('New Hires Forecast'!$H$5:$H$84&gt;=Finance!BA$3),'New Hires Forecast'!$R$5:$R$84,'New Hires Forecast'!$L$5:$L$84)),0),"New Year"))))),0)</f>
        <v>0</v>
      </c>
      <c r="BB15" s="684">
        <f>IF(BB$4="forecast",IF(YEAR(BB$3)=YEAR('New Hires Forecast'!$N$3),IF((BB$5=12),(SUMPRODUCT(--('New Hires Forecast'!$F$5:$F$84="Finance"),--('New Hires Forecast'!$H$5:$H$84&gt;=Finance!BB$3),'New Hires Forecast'!$N$5:$N$84,'New Hires Forecast'!$L$5:$L$84)),0),IF(YEAR(BB$3)=YEAR('New Hires Forecast'!$O$3),IF((BB$5=12),(SUMPRODUCT(--('New Hires Forecast'!$F$5:$F$84="Finance"),--('New Hires Forecast'!$H$5:$H$84&gt;=Finance!BB$3),'New Hires Forecast'!$O$5:$O$84,'New Hires Forecast'!$L$5:$L$84)),0),IF(YEAR(BB$3)=YEAR('New Hires Forecast'!$P$3),IF((BB$5=12),(SUMPRODUCT(--('New Hires Forecast'!$F$5:$F$84="Finance"),--('New Hires Forecast'!$H$5:$H$84&gt;=Finance!BB$3),'New Hires Forecast'!$P$5:$P$84,'New Hires Forecast'!$L$5:$L$84)),0),IF(YEAR(BB$3)=YEAR('New Hires Forecast'!$Q$3),IF((BB$5=12),(SUMPRODUCT(--('New Hires Forecast'!$F$5:$F$84="Finance"),--('New Hires Forecast'!$H$5:$H$84&gt;=Finance!BB$3),'New Hires Forecast'!$Q$5:$Q$84,'New Hires Forecast'!$L$5:$L$84)),0),IF(YEAR(BB$3)=YEAR('New Hires Forecast'!$R$3),IF((BB$5=12),(SUMPRODUCT(--('New Hires Forecast'!$F$5:$F$84="Finance"),--('New Hires Forecast'!$H$5:$H$84&gt;=Finance!BB$3),'New Hires Forecast'!$R$5:$R$84,'New Hires Forecast'!$L$5:$L$84)),0),"New Year"))))),0)</f>
        <v>0</v>
      </c>
      <c r="BC15" s="684">
        <f>IF(BC$4="forecast",IF(YEAR(BC$3)=YEAR('New Hires Forecast'!$N$3),IF((BC$5=12),(SUMPRODUCT(--('New Hires Forecast'!$F$5:$F$84="Finance"),--('New Hires Forecast'!$H$5:$H$84&gt;=Finance!BC$3),'New Hires Forecast'!$N$5:$N$84,'New Hires Forecast'!$L$5:$L$84)),0),IF(YEAR(BC$3)=YEAR('New Hires Forecast'!$O$3),IF((BC$5=12),(SUMPRODUCT(--('New Hires Forecast'!$F$5:$F$84="Finance"),--('New Hires Forecast'!$H$5:$H$84&gt;=Finance!BC$3),'New Hires Forecast'!$O$5:$O$84,'New Hires Forecast'!$L$5:$L$84)),0),IF(YEAR(BC$3)=YEAR('New Hires Forecast'!$P$3),IF((BC$5=12),(SUMPRODUCT(--('New Hires Forecast'!$F$5:$F$84="Finance"),--('New Hires Forecast'!$H$5:$H$84&gt;=Finance!BC$3),'New Hires Forecast'!$P$5:$P$84,'New Hires Forecast'!$L$5:$L$84)),0),IF(YEAR(BC$3)=YEAR('New Hires Forecast'!$Q$3),IF((BC$5=12),(SUMPRODUCT(--('New Hires Forecast'!$F$5:$F$84="Finance"),--('New Hires Forecast'!$H$5:$H$84&gt;=Finance!BC$3),'New Hires Forecast'!$Q$5:$Q$84,'New Hires Forecast'!$L$5:$L$84)),0),IF(YEAR(BC$3)=YEAR('New Hires Forecast'!$R$3),IF((BC$5=12),(SUMPRODUCT(--('New Hires Forecast'!$F$5:$F$84="Finance"),--('New Hires Forecast'!$H$5:$H$84&gt;=Finance!BC$3),'New Hires Forecast'!$R$5:$R$84,'New Hires Forecast'!$L$5:$L$84)),0),"New Year"))))),0)</f>
        <v>0</v>
      </c>
      <c r="BD15" s="684">
        <f>IF(BD$4="forecast",IF(YEAR(BD$3)=YEAR('New Hires Forecast'!$N$3),IF((BD$5=12),(SUMPRODUCT(--('New Hires Forecast'!$F$5:$F$84="Finance"),--('New Hires Forecast'!$H$5:$H$84&gt;=Finance!BD$3),'New Hires Forecast'!$N$5:$N$84,'New Hires Forecast'!$L$5:$L$84)),0),IF(YEAR(BD$3)=YEAR('New Hires Forecast'!$O$3),IF((BD$5=12),(SUMPRODUCT(--('New Hires Forecast'!$F$5:$F$84="Finance"),--('New Hires Forecast'!$H$5:$H$84&gt;=Finance!BD$3),'New Hires Forecast'!$O$5:$O$84,'New Hires Forecast'!$L$5:$L$84)),0),IF(YEAR(BD$3)=YEAR('New Hires Forecast'!$P$3),IF((BD$5=12),(SUMPRODUCT(--('New Hires Forecast'!$F$5:$F$84="Finance"),--('New Hires Forecast'!$H$5:$H$84&gt;=Finance!BD$3),'New Hires Forecast'!$P$5:$P$84,'New Hires Forecast'!$L$5:$L$84)),0),IF(YEAR(BD$3)=YEAR('New Hires Forecast'!$Q$3),IF((BD$5=12),(SUMPRODUCT(--('New Hires Forecast'!$F$5:$F$84="Finance"),--('New Hires Forecast'!$H$5:$H$84&gt;=Finance!BD$3),'New Hires Forecast'!$Q$5:$Q$84,'New Hires Forecast'!$L$5:$L$84)),0),IF(YEAR(BD$3)=YEAR('New Hires Forecast'!$R$3),IF((BD$5=12),(SUMPRODUCT(--('New Hires Forecast'!$F$5:$F$84="Finance"),--('New Hires Forecast'!$H$5:$H$84&gt;=Finance!BD$3),'New Hires Forecast'!$R$5:$R$84,'New Hires Forecast'!$L$5:$L$84)),0),"New Year"))))),0)</f>
        <v>0</v>
      </c>
      <c r="BE15" s="684">
        <f>IF(BE$4="forecast",IF(YEAR(BE$3)=YEAR('New Hires Forecast'!$N$3),IF((BE$5=12),(SUMPRODUCT(--('New Hires Forecast'!$F$5:$F$84="Finance"),--('New Hires Forecast'!$H$5:$H$84&gt;=Finance!BE$3),'New Hires Forecast'!$N$5:$N$84,'New Hires Forecast'!$L$5:$L$84)),0),IF(YEAR(BE$3)=YEAR('New Hires Forecast'!$O$3),IF((BE$5=12),(SUMPRODUCT(--('New Hires Forecast'!$F$5:$F$84="Finance"),--('New Hires Forecast'!$H$5:$H$84&gt;=Finance!BE$3),'New Hires Forecast'!$O$5:$O$84,'New Hires Forecast'!$L$5:$L$84)),0),IF(YEAR(BE$3)=YEAR('New Hires Forecast'!$P$3),IF((BE$5=12),(SUMPRODUCT(--('New Hires Forecast'!$F$5:$F$84="Finance"),--('New Hires Forecast'!$H$5:$H$84&gt;=Finance!BE$3),'New Hires Forecast'!$P$5:$P$84,'New Hires Forecast'!$L$5:$L$84)),0),IF(YEAR(BE$3)=YEAR('New Hires Forecast'!$Q$3),IF((BE$5=12),(SUMPRODUCT(--('New Hires Forecast'!$F$5:$F$84="Finance"),--('New Hires Forecast'!$H$5:$H$84&gt;=Finance!BE$3),'New Hires Forecast'!$Q$5:$Q$84,'New Hires Forecast'!$L$5:$L$84)),0),IF(YEAR(BE$3)=YEAR('New Hires Forecast'!$R$3),IF((BE$5=12),(SUMPRODUCT(--('New Hires Forecast'!$F$5:$F$84="Finance"),--('New Hires Forecast'!$H$5:$H$84&gt;=Finance!BE$3),'New Hires Forecast'!$R$5:$R$84,'New Hires Forecast'!$L$5:$L$84)),0),"New Year"))))),0)</f>
        <v>0</v>
      </c>
      <c r="BF15" s="684">
        <f>IF(BF$4="forecast",IF(YEAR(BF$3)=YEAR('New Hires Forecast'!$N$3),IF((BF$5=12),(SUMPRODUCT(--('New Hires Forecast'!$F$5:$F$84="Finance"),--('New Hires Forecast'!$H$5:$H$84&gt;=Finance!BF$3),'New Hires Forecast'!$N$5:$N$84,'New Hires Forecast'!$L$5:$L$84)),0),IF(YEAR(BF$3)=YEAR('New Hires Forecast'!$O$3),IF((BF$5=12),(SUMPRODUCT(--('New Hires Forecast'!$F$5:$F$84="Finance"),--('New Hires Forecast'!$H$5:$H$84&gt;=Finance!BF$3),'New Hires Forecast'!$O$5:$O$84,'New Hires Forecast'!$L$5:$L$84)),0),IF(YEAR(BF$3)=YEAR('New Hires Forecast'!$P$3),IF((BF$5=12),(SUMPRODUCT(--('New Hires Forecast'!$F$5:$F$84="Finance"),--('New Hires Forecast'!$H$5:$H$84&gt;=Finance!BF$3),'New Hires Forecast'!$P$5:$P$84,'New Hires Forecast'!$L$5:$L$84)),0),IF(YEAR(BF$3)=YEAR('New Hires Forecast'!$Q$3),IF((BF$5=12),(SUMPRODUCT(--('New Hires Forecast'!$F$5:$F$84="Finance"),--('New Hires Forecast'!$H$5:$H$84&gt;=Finance!BF$3),'New Hires Forecast'!$Q$5:$Q$84,'New Hires Forecast'!$L$5:$L$84)),0),IF(YEAR(BF$3)=YEAR('New Hires Forecast'!$R$3),IF((BF$5=12),(SUMPRODUCT(--('New Hires Forecast'!$F$5:$F$84="Finance"),--('New Hires Forecast'!$H$5:$H$84&gt;=Finance!BF$3),'New Hires Forecast'!$R$5:$R$84,'New Hires Forecast'!$L$5:$L$84)),0),"New Year"))))),0)</f>
        <v>0</v>
      </c>
      <c r="BG15" s="684">
        <f>IF(BG$4="forecast",IF(YEAR(BG$3)=YEAR('New Hires Forecast'!$N$3),IF((BG$5=12),(SUMPRODUCT(--('New Hires Forecast'!$F$5:$F$84="Finance"),--('New Hires Forecast'!$H$5:$H$84&gt;=Finance!BG$3),'New Hires Forecast'!$N$5:$N$84,'New Hires Forecast'!$L$5:$L$84)),0),IF(YEAR(BG$3)=YEAR('New Hires Forecast'!$O$3),IF((BG$5=12),(SUMPRODUCT(--('New Hires Forecast'!$F$5:$F$84="Finance"),--('New Hires Forecast'!$H$5:$H$84&gt;=Finance!BG$3),'New Hires Forecast'!$O$5:$O$84,'New Hires Forecast'!$L$5:$L$84)),0),IF(YEAR(BG$3)=YEAR('New Hires Forecast'!$P$3),IF((BG$5=12),(SUMPRODUCT(--('New Hires Forecast'!$F$5:$F$84="Finance"),--('New Hires Forecast'!$H$5:$H$84&gt;=Finance!BG$3),'New Hires Forecast'!$P$5:$P$84,'New Hires Forecast'!$L$5:$L$84)),0),IF(YEAR(BG$3)=YEAR('New Hires Forecast'!$Q$3),IF((BG$5=12),(SUMPRODUCT(--('New Hires Forecast'!$F$5:$F$84="Finance"),--('New Hires Forecast'!$H$5:$H$84&gt;=Finance!BG$3),'New Hires Forecast'!$Q$5:$Q$84,'New Hires Forecast'!$L$5:$L$84)),0),IF(YEAR(BG$3)=YEAR('New Hires Forecast'!$R$3),IF((BG$5=12),(SUMPRODUCT(--('New Hires Forecast'!$F$5:$F$84="Finance"),--('New Hires Forecast'!$H$5:$H$84&gt;=Finance!BG$3),'New Hires Forecast'!$R$5:$R$84,'New Hires Forecast'!$L$5:$L$84)),0),"New Year"))))),0)</f>
        <v>0</v>
      </c>
      <c r="BH15" s="684">
        <f>IF(BH$4="forecast",IF(YEAR(BH$3)=YEAR('New Hires Forecast'!$N$3),IF((BH$5=12),(SUMPRODUCT(--('New Hires Forecast'!$F$5:$F$84="Finance"),--('New Hires Forecast'!$H$5:$H$84&gt;=Finance!BH$3),'New Hires Forecast'!$N$5:$N$84,'New Hires Forecast'!$L$5:$L$84)),0),IF(YEAR(BH$3)=YEAR('New Hires Forecast'!$O$3),IF((BH$5=12),(SUMPRODUCT(--('New Hires Forecast'!$F$5:$F$84="Finance"),--('New Hires Forecast'!$H$5:$H$84&gt;=Finance!BH$3),'New Hires Forecast'!$O$5:$O$84,'New Hires Forecast'!$L$5:$L$84)),0),IF(YEAR(BH$3)=YEAR('New Hires Forecast'!$P$3),IF((BH$5=12),(SUMPRODUCT(--('New Hires Forecast'!$F$5:$F$84="Finance"),--('New Hires Forecast'!$H$5:$H$84&gt;=Finance!BH$3),'New Hires Forecast'!$P$5:$P$84,'New Hires Forecast'!$L$5:$L$84)),0),IF(YEAR(BH$3)=YEAR('New Hires Forecast'!$Q$3),IF((BH$5=12),(SUMPRODUCT(--('New Hires Forecast'!$F$5:$F$84="Finance"),--('New Hires Forecast'!$H$5:$H$84&gt;=Finance!BH$3),'New Hires Forecast'!$Q$5:$Q$84,'New Hires Forecast'!$L$5:$L$84)),0),IF(YEAR(BH$3)=YEAR('New Hires Forecast'!$R$3),IF((BH$5=12),(SUMPRODUCT(--('New Hires Forecast'!$F$5:$F$84="Finance"),--('New Hires Forecast'!$H$5:$H$84&gt;=Finance!BH$3),'New Hires Forecast'!$R$5:$R$84,'New Hires Forecast'!$L$5:$L$84)),0),"New Year"))))),0)</f>
        <v>0</v>
      </c>
      <c r="BI15" s="684">
        <f>IF(BI$4="forecast",IF(YEAR(BI$3)=YEAR('New Hires Forecast'!$N$3),IF((BI$5=12),(SUMPRODUCT(--('New Hires Forecast'!$F$5:$F$84="Finance"),--('New Hires Forecast'!$H$5:$H$84&gt;=Finance!BI$3),'New Hires Forecast'!$N$5:$N$84,'New Hires Forecast'!$L$5:$L$84)),0),IF(YEAR(BI$3)=YEAR('New Hires Forecast'!$O$3),IF((BI$5=12),(SUMPRODUCT(--('New Hires Forecast'!$F$5:$F$84="Finance"),--('New Hires Forecast'!$H$5:$H$84&gt;=Finance!BI$3),'New Hires Forecast'!$O$5:$O$84,'New Hires Forecast'!$L$5:$L$84)),0),IF(YEAR(BI$3)=YEAR('New Hires Forecast'!$P$3),IF((BI$5=12),(SUMPRODUCT(--('New Hires Forecast'!$F$5:$F$84="Finance"),--('New Hires Forecast'!$H$5:$H$84&gt;=Finance!BI$3),'New Hires Forecast'!$P$5:$P$84,'New Hires Forecast'!$L$5:$L$84)),0),IF(YEAR(BI$3)=YEAR('New Hires Forecast'!$Q$3),IF((BI$5=12),(SUMPRODUCT(--('New Hires Forecast'!$F$5:$F$84="Finance"),--('New Hires Forecast'!$H$5:$H$84&gt;=Finance!BI$3),'New Hires Forecast'!$Q$5:$Q$84,'New Hires Forecast'!$L$5:$L$84)),0),IF(YEAR(BI$3)=YEAR('New Hires Forecast'!$R$3),IF((BI$5=12),(SUMPRODUCT(--('New Hires Forecast'!$F$5:$F$84="Finance"),--('New Hires Forecast'!$H$5:$H$84&gt;=Finance!BI$3),'New Hires Forecast'!$R$5:$R$84,'New Hires Forecast'!$L$5:$L$84)),0),"New Year"))))),0)</f>
        <v>0</v>
      </c>
      <c r="BJ15" s="684">
        <f>IF(BJ$4="forecast",IF(YEAR(BJ$3)=YEAR('New Hires Forecast'!$N$3),IF((BJ$5=12),(SUMPRODUCT(--('New Hires Forecast'!$F$5:$F$84="Finance"),--('New Hires Forecast'!$H$5:$H$84&gt;=Finance!BJ$3),'New Hires Forecast'!$N$5:$N$84,'New Hires Forecast'!$L$5:$L$84)),0),IF(YEAR(BJ$3)=YEAR('New Hires Forecast'!$O$3),IF((BJ$5=12),(SUMPRODUCT(--('New Hires Forecast'!$F$5:$F$84="Finance"),--('New Hires Forecast'!$H$5:$H$84&gt;=Finance!BJ$3),'New Hires Forecast'!$O$5:$O$84,'New Hires Forecast'!$L$5:$L$84)),0),IF(YEAR(BJ$3)=YEAR('New Hires Forecast'!$P$3),IF((BJ$5=12),(SUMPRODUCT(--('New Hires Forecast'!$F$5:$F$84="Finance"),--('New Hires Forecast'!$H$5:$H$84&gt;=Finance!BJ$3),'New Hires Forecast'!$P$5:$P$84,'New Hires Forecast'!$L$5:$L$84)),0),IF(YEAR(BJ$3)=YEAR('New Hires Forecast'!$Q$3),IF((BJ$5=12),(SUMPRODUCT(--('New Hires Forecast'!$F$5:$F$84="Finance"),--('New Hires Forecast'!$H$5:$H$84&gt;=Finance!BJ$3),'New Hires Forecast'!$Q$5:$Q$84,'New Hires Forecast'!$L$5:$L$84)),0),IF(YEAR(BJ$3)=YEAR('New Hires Forecast'!$R$3),IF((BJ$5=12),(SUMPRODUCT(--('New Hires Forecast'!$F$5:$F$84="Finance"),--('New Hires Forecast'!$H$5:$H$84&gt;=Finance!BJ$3),'New Hires Forecast'!$R$5:$R$84,'New Hires Forecast'!$L$5:$L$84)),0),"New Year"))))),0)</f>
        <v>131286.375</v>
      </c>
      <c r="BK15" s="684">
        <f>IF(BK$4="forecast",IF(YEAR(BK$3)=YEAR('New Hires Forecast'!$N$3),IF((BK$5=12),(SUMPRODUCT(--('New Hires Forecast'!$F$5:$F$84="Finance"),--('New Hires Forecast'!$H$5:$H$84&gt;=Finance!BK$3),'New Hires Forecast'!$N$5:$N$84,'New Hires Forecast'!$L$5:$L$84)),0),IF(YEAR(BK$3)=YEAR('New Hires Forecast'!$O$3),IF((BK$5=12),(SUMPRODUCT(--('New Hires Forecast'!$F$5:$F$84="Finance"),--('New Hires Forecast'!$H$5:$H$84&gt;=Finance!BK$3),'New Hires Forecast'!$O$5:$O$84,'New Hires Forecast'!$L$5:$L$84)),0),IF(YEAR(BK$3)=YEAR('New Hires Forecast'!$P$3),IF((BK$5=12),(SUMPRODUCT(--('New Hires Forecast'!$F$5:$F$84="Finance"),--('New Hires Forecast'!$H$5:$H$84&gt;=Finance!BK$3),'New Hires Forecast'!$P$5:$P$84,'New Hires Forecast'!$L$5:$L$84)),0),IF(YEAR(BK$3)=YEAR('New Hires Forecast'!$Q$3),IF((BK$5=12),(SUMPRODUCT(--('New Hires Forecast'!$F$5:$F$84="Finance"),--('New Hires Forecast'!$H$5:$H$84&gt;=Finance!BK$3),'New Hires Forecast'!$Q$5:$Q$84,'New Hires Forecast'!$L$5:$L$84)),0),IF(YEAR(BK$3)=YEAR('New Hires Forecast'!$R$3),IF((BK$5=12),(SUMPRODUCT(--('New Hires Forecast'!$F$5:$F$84="Finance"),--('New Hires Forecast'!$H$5:$H$84&gt;=Finance!BK$3),'New Hires Forecast'!$R$5:$R$84,'New Hires Forecast'!$L$5:$L$84)),0),"New Year"))))),0)</f>
        <v>0</v>
      </c>
      <c r="BL15" s="684">
        <f>IF(BL$4="forecast",IF(YEAR(BL$3)=YEAR('New Hires Forecast'!$N$3),IF((BL$5=12),(SUMPRODUCT(--('New Hires Forecast'!$F$5:$F$84="Finance"),--('New Hires Forecast'!$H$5:$H$84&gt;=Finance!BL$3),'New Hires Forecast'!$N$5:$N$84,'New Hires Forecast'!$L$5:$L$84)),0),IF(YEAR(BL$3)=YEAR('New Hires Forecast'!$O$3),IF((BL$5=12),(SUMPRODUCT(--('New Hires Forecast'!$F$5:$F$84="Finance"),--('New Hires Forecast'!$H$5:$H$84&gt;=Finance!BL$3),'New Hires Forecast'!$O$5:$O$84,'New Hires Forecast'!$L$5:$L$84)),0),IF(YEAR(BL$3)=YEAR('New Hires Forecast'!$P$3),IF((BL$5=12),(SUMPRODUCT(--('New Hires Forecast'!$F$5:$F$84="Finance"),--('New Hires Forecast'!$H$5:$H$84&gt;=Finance!BL$3),'New Hires Forecast'!$P$5:$P$84,'New Hires Forecast'!$L$5:$L$84)),0),IF(YEAR(BL$3)=YEAR('New Hires Forecast'!$Q$3),IF((BL$5=12),(SUMPRODUCT(--('New Hires Forecast'!$F$5:$F$84="Finance"),--('New Hires Forecast'!$H$5:$H$84&gt;=Finance!BL$3),'New Hires Forecast'!$Q$5:$Q$84,'New Hires Forecast'!$L$5:$L$84)),0),IF(YEAR(BL$3)=YEAR('New Hires Forecast'!$R$3),IF((BL$5=12),(SUMPRODUCT(--('New Hires Forecast'!$F$5:$F$84="Finance"),--('New Hires Forecast'!$H$5:$H$84&gt;=Finance!BL$3),'New Hires Forecast'!$R$5:$R$84,'New Hires Forecast'!$L$5:$L$84)),0),"New Year"))))),0)</f>
        <v>0</v>
      </c>
      <c r="BM15" s="684">
        <f>IF(BM$4="forecast",IF(YEAR(BM$3)=YEAR('New Hires Forecast'!$N$3),IF((BM$5=12),(SUMPRODUCT(--('New Hires Forecast'!$F$5:$F$84="Finance"),--('New Hires Forecast'!$H$5:$H$84&gt;=Finance!BM$3),'New Hires Forecast'!$N$5:$N$84,'New Hires Forecast'!$L$5:$L$84)),0),IF(YEAR(BM$3)=YEAR('New Hires Forecast'!$O$3),IF((BM$5=12),(SUMPRODUCT(--('New Hires Forecast'!$F$5:$F$84="Finance"),--('New Hires Forecast'!$H$5:$H$84&gt;=Finance!BM$3),'New Hires Forecast'!$O$5:$O$84,'New Hires Forecast'!$L$5:$L$84)),0),IF(YEAR(BM$3)=YEAR('New Hires Forecast'!$P$3),IF((BM$5=12),(SUMPRODUCT(--('New Hires Forecast'!$F$5:$F$84="Finance"),--('New Hires Forecast'!$H$5:$H$84&gt;=Finance!BM$3),'New Hires Forecast'!$P$5:$P$84,'New Hires Forecast'!$L$5:$L$84)),0),IF(YEAR(BM$3)=YEAR('New Hires Forecast'!$Q$3),IF((BM$5=12),(SUMPRODUCT(--('New Hires Forecast'!$F$5:$F$84="Finance"),--('New Hires Forecast'!$H$5:$H$84&gt;=Finance!BM$3),'New Hires Forecast'!$Q$5:$Q$84,'New Hires Forecast'!$L$5:$L$84)),0),IF(YEAR(BM$3)=YEAR('New Hires Forecast'!$R$3),IF((BM$5=12),(SUMPRODUCT(--('New Hires Forecast'!$F$5:$F$84="Finance"),--('New Hires Forecast'!$H$5:$H$84&gt;=Finance!BM$3),'New Hires Forecast'!$R$5:$R$84,'New Hires Forecast'!$L$5:$L$84)),0),"New Year"))))),0)</f>
        <v>0</v>
      </c>
      <c r="BN15" s="684">
        <f>IF(BN$4="forecast",IF(YEAR(BN$3)=YEAR('New Hires Forecast'!$N$3),IF((BN$5=12),(SUMPRODUCT(--('New Hires Forecast'!$F$5:$F$84="Finance"),--('New Hires Forecast'!$H$5:$H$84&gt;=Finance!BN$3),'New Hires Forecast'!$N$5:$N$84,'New Hires Forecast'!$L$5:$L$84)),0),IF(YEAR(BN$3)=YEAR('New Hires Forecast'!$O$3),IF((BN$5=12),(SUMPRODUCT(--('New Hires Forecast'!$F$5:$F$84="Finance"),--('New Hires Forecast'!$H$5:$H$84&gt;=Finance!BN$3),'New Hires Forecast'!$O$5:$O$84,'New Hires Forecast'!$L$5:$L$84)),0),IF(YEAR(BN$3)=YEAR('New Hires Forecast'!$P$3),IF((BN$5=12),(SUMPRODUCT(--('New Hires Forecast'!$F$5:$F$84="Finance"),--('New Hires Forecast'!$H$5:$H$84&gt;=Finance!BN$3),'New Hires Forecast'!$P$5:$P$84,'New Hires Forecast'!$L$5:$L$84)),0),IF(YEAR(BN$3)=YEAR('New Hires Forecast'!$Q$3),IF((BN$5=12),(SUMPRODUCT(--('New Hires Forecast'!$F$5:$F$84="Finance"),--('New Hires Forecast'!$H$5:$H$84&gt;=Finance!BN$3),'New Hires Forecast'!$Q$5:$Q$84,'New Hires Forecast'!$L$5:$L$84)),0),IF(YEAR(BN$3)=YEAR('New Hires Forecast'!$R$3),IF((BN$5=12),(SUMPRODUCT(--('New Hires Forecast'!$F$5:$F$84="Finance"),--('New Hires Forecast'!$H$5:$H$84&gt;=Finance!BN$3),'New Hires Forecast'!$R$5:$R$84,'New Hires Forecast'!$L$5:$L$84)),0),"New Year"))))),0)</f>
        <v>0</v>
      </c>
      <c r="BO15" s="684">
        <f>IF(BO$4="forecast",IF(YEAR(BO$3)=YEAR('New Hires Forecast'!$N$3),IF((BO$5=12),(SUMPRODUCT(--('New Hires Forecast'!$F$5:$F$84="Finance"),--('New Hires Forecast'!$H$5:$H$84&gt;=Finance!BO$3),'New Hires Forecast'!$N$5:$N$84,'New Hires Forecast'!$L$5:$L$84)),0),IF(YEAR(BO$3)=YEAR('New Hires Forecast'!$O$3),IF((BO$5=12),(SUMPRODUCT(--('New Hires Forecast'!$F$5:$F$84="Finance"),--('New Hires Forecast'!$H$5:$H$84&gt;=Finance!BO$3),'New Hires Forecast'!$O$5:$O$84,'New Hires Forecast'!$L$5:$L$84)),0),IF(YEAR(BO$3)=YEAR('New Hires Forecast'!$P$3),IF((BO$5=12),(SUMPRODUCT(--('New Hires Forecast'!$F$5:$F$84="Finance"),--('New Hires Forecast'!$H$5:$H$84&gt;=Finance!BO$3),'New Hires Forecast'!$P$5:$P$84,'New Hires Forecast'!$L$5:$L$84)),0),IF(YEAR(BO$3)=YEAR('New Hires Forecast'!$Q$3),IF((BO$5=12),(SUMPRODUCT(--('New Hires Forecast'!$F$5:$F$84="Finance"),--('New Hires Forecast'!$H$5:$H$84&gt;=Finance!BO$3),'New Hires Forecast'!$Q$5:$Q$84,'New Hires Forecast'!$L$5:$L$84)),0),IF(YEAR(BO$3)=YEAR('New Hires Forecast'!$R$3),IF((BO$5=12),(SUMPRODUCT(--('New Hires Forecast'!$F$5:$F$84="Finance"),--('New Hires Forecast'!$H$5:$H$84&gt;=Finance!BO$3),'New Hires Forecast'!$R$5:$R$84,'New Hires Forecast'!$L$5:$L$84)),0),"New Year"))))),0)</f>
        <v>0</v>
      </c>
      <c r="BP15" s="684">
        <f>IF(BP$4="forecast",IF(YEAR(BP$3)=YEAR('New Hires Forecast'!$N$3),IF((BP$5=12),(SUMPRODUCT(--('New Hires Forecast'!$F$5:$F$84="Finance"),--('New Hires Forecast'!$H$5:$H$84&gt;=Finance!BP$3),'New Hires Forecast'!$N$5:$N$84,'New Hires Forecast'!$L$5:$L$84)),0),IF(YEAR(BP$3)=YEAR('New Hires Forecast'!$O$3),IF((BP$5=12),(SUMPRODUCT(--('New Hires Forecast'!$F$5:$F$84="Finance"),--('New Hires Forecast'!$H$5:$H$84&gt;=Finance!BP$3),'New Hires Forecast'!$O$5:$O$84,'New Hires Forecast'!$L$5:$L$84)),0),IF(YEAR(BP$3)=YEAR('New Hires Forecast'!$P$3),IF((BP$5=12),(SUMPRODUCT(--('New Hires Forecast'!$F$5:$F$84="Finance"),--('New Hires Forecast'!$H$5:$H$84&gt;=Finance!BP$3),'New Hires Forecast'!$P$5:$P$84,'New Hires Forecast'!$L$5:$L$84)),0),IF(YEAR(BP$3)=YEAR('New Hires Forecast'!$Q$3),IF((BP$5=12),(SUMPRODUCT(--('New Hires Forecast'!$F$5:$F$84="Finance"),--('New Hires Forecast'!$H$5:$H$84&gt;=Finance!BP$3),'New Hires Forecast'!$Q$5:$Q$84,'New Hires Forecast'!$L$5:$L$84)),0),IF(YEAR(BP$3)=YEAR('New Hires Forecast'!$R$3),IF((BP$5=12),(SUMPRODUCT(--('New Hires Forecast'!$F$5:$F$84="Finance"),--('New Hires Forecast'!$H$5:$H$84&gt;=Finance!BP$3),'New Hires Forecast'!$R$5:$R$84,'New Hires Forecast'!$L$5:$L$84)),0),"New Year"))))),0)</f>
        <v>0</v>
      </c>
      <c r="BQ15" s="684">
        <f>IF(BQ$4="forecast",IF(YEAR(BQ$3)=YEAR('New Hires Forecast'!$N$3),IF((BQ$5=12),(SUMPRODUCT(--('New Hires Forecast'!$F$5:$F$84="Finance"),--('New Hires Forecast'!$H$5:$H$84&gt;=Finance!BQ$3),'New Hires Forecast'!$N$5:$N$84,'New Hires Forecast'!$L$5:$L$84)),0),IF(YEAR(BQ$3)=YEAR('New Hires Forecast'!$O$3),IF((BQ$5=12),(SUMPRODUCT(--('New Hires Forecast'!$F$5:$F$84="Finance"),--('New Hires Forecast'!$H$5:$H$84&gt;=Finance!BQ$3),'New Hires Forecast'!$O$5:$O$84,'New Hires Forecast'!$L$5:$L$84)),0),IF(YEAR(BQ$3)=YEAR('New Hires Forecast'!$P$3),IF((BQ$5=12),(SUMPRODUCT(--('New Hires Forecast'!$F$5:$F$84="Finance"),--('New Hires Forecast'!$H$5:$H$84&gt;=Finance!BQ$3),'New Hires Forecast'!$P$5:$P$84,'New Hires Forecast'!$L$5:$L$84)),0),IF(YEAR(BQ$3)=YEAR('New Hires Forecast'!$Q$3),IF((BQ$5=12),(SUMPRODUCT(--('New Hires Forecast'!$F$5:$F$84="Finance"),--('New Hires Forecast'!$H$5:$H$84&gt;=Finance!BQ$3),'New Hires Forecast'!$Q$5:$Q$84,'New Hires Forecast'!$L$5:$L$84)),0),IF(YEAR(BQ$3)=YEAR('New Hires Forecast'!$R$3),IF((BQ$5=12),(SUMPRODUCT(--('New Hires Forecast'!$F$5:$F$84="Finance"),--('New Hires Forecast'!$H$5:$H$84&gt;=Finance!BQ$3),'New Hires Forecast'!$R$5:$R$84,'New Hires Forecast'!$L$5:$L$84)),0),"New Year"))))),0)</f>
        <v>0</v>
      </c>
      <c r="BR15" s="684">
        <f>IF(BR$4="forecast",IF(YEAR(BR$3)=YEAR('New Hires Forecast'!$N$3),IF((BR$5=12),(SUMPRODUCT(--('New Hires Forecast'!$F$5:$F$84="Finance"),--('New Hires Forecast'!$H$5:$H$84&gt;=Finance!BR$3),'New Hires Forecast'!$N$5:$N$84,'New Hires Forecast'!$L$5:$L$84)),0),IF(YEAR(BR$3)=YEAR('New Hires Forecast'!$O$3),IF((BR$5=12),(SUMPRODUCT(--('New Hires Forecast'!$F$5:$F$84="Finance"),--('New Hires Forecast'!$H$5:$H$84&gt;=Finance!BR$3),'New Hires Forecast'!$O$5:$O$84,'New Hires Forecast'!$L$5:$L$84)),0),IF(YEAR(BR$3)=YEAR('New Hires Forecast'!$P$3),IF((BR$5=12),(SUMPRODUCT(--('New Hires Forecast'!$F$5:$F$84="Finance"),--('New Hires Forecast'!$H$5:$H$84&gt;=Finance!BR$3),'New Hires Forecast'!$P$5:$P$84,'New Hires Forecast'!$L$5:$L$84)),0),IF(YEAR(BR$3)=YEAR('New Hires Forecast'!$Q$3),IF((BR$5=12),(SUMPRODUCT(--('New Hires Forecast'!$F$5:$F$84="Finance"),--('New Hires Forecast'!$H$5:$H$84&gt;=Finance!BR$3),'New Hires Forecast'!$Q$5:$Q$84,'New Hires Forecast'!$L$5:$L$84)),0),IF(YEAR(BR$3)=YEAR('New Hires Forecast'!$R$3),IF((BR$5=12),(SUMPRODUCT(--('New Hires Forecast'!$F$5:$F$84="Finance"),--('New Hires Forecast'!$H$5:$H$84&gt;=Finance!BR$3),'New Hires Forecast'!$R$5:$R$84,'New Hires Forecast'!$L$5:$L$84)),0),"New Year"))))),0)</f>
        <v>0</v>
      </c>
      <c r="BS15" s="684">
        <f>IF(BS$4="forecast",IF(YEAR(BS$3)=YEAR('New Hires Forecast'!$N$3),IF((BS$5=12),(SUMPRODUCT(--('New Hires Forecast'!$F$5:$F$84="Finance"),--('New Hires Forecast'!$H$5:$H$84&gt;=Finance!BS$3),'New Hires Forecast'!$N$5:$N$84,'New Hires Forecast'!$L$5:$L$84)),0),IF(YEAR(BS$3)=YEAR('New Hires Forecast'!$O$3),IF((BS$5=12),(SUMPRODUCT(--('New Hires Forecast'!$F$5:$F$84="Finance"),--('New Hires Forecast'!$H$5:$H$84&gt;=Finance!BS$3),'New Hires Forecast'!$O$5:$O$84,'New Hires Forecast'!$L$5:$L$84)),0),IF(YEAR(BS$3)=YEAR('New Hires Forecast'!$P$3),IF((BS$5=12),(SUMPRODUCT(--('New Hires Forecast'!$F$5:$F$84="Finance"),--('New Hires Forecast'!$H$5:$H$84&gt;=Finance!BS$3),'New Hires Forecast'!$P$5:$P$84,'New Hires Forecast'!$L$5:$L$84)),0),IF(YEAR(BS$3)=YEAR('New Hires Forecast'!$Q$3),IF((BS$5=12),(SUMPRODUCT(--('New Hires Forecast'!$F$5:$F$84="Finance"),--('New Hires Forecast'!$H$5:$H$84&gt;=Finance!BS$3),'New Hires Forecast'!$Q$5:$Q$84,'New Hires Forecast'!$L$5:$L$84)),0),IF(YEAR(BS$3)=YEAR('New Hires Forecast'!$R$3),IF((BS$5=12),(SUMPRODUCT(--('New Hires Forecast'!$F$5:$F$84="Finance"),--('New Hires Forecast'!$H$5:$H$84&gt;=Finance!BS$3),'New Hires Forecast'!$R$5:$R$84,'New Hires Forecast'!$L$5:$L$84)),0),"New Year"))))),0)</f>
        <v>0</v>
      </c>
      <c r="BT15" s="684">
        <f>IF(BT$4="forecast",IF(YEAR(BT$3)=YEAR('New Hires Forecast'!$N$3),IF((BT$5=12),(SUMPRODUCT(--('New Hires Forecast'!$F$5:$F$84="Finance"),--('New Hires Forecast'!$H$5:$H$84&gt;=Finance!BT$3),'New Hires Forecast'!$N$5:$N$84,'New Hires Forecast'!$L$5:$L$84)),0),IF(YEAR(BT$3)=YEAR('New Hires Forecast'!$O$3),IF((BT$5=12),(SUMPRODUCT(--('New Hires Forecast'!$F$5:$F$84="Finance"),--('New Hires Forecast'!$H$5:$H$84&gt;=Finance!BT$3),'New Hires Forecast'!$O$5:$O$84,'New Hires Forecast'!$L$5:$L$84)),0),IF(YEAR(BT$3)=YEAR('New Hires Forecast'!$P$3),IF((BT$5=12),(SUMPRODUCT(--('New Hires Forecast'!$F$5:$F$84="Finance"),--('New Hires Forecast'!$H$5:$H$84&gt;=Finance!BT$3),'New Hires Forecast'!$P$5:$P$84,'New Hires Forecast'!$L$5:$L$84)),0),IF(YEAR(BT$3)=YEAR('New Hires Forecast'!$Q$3),IF((BT$5=12),(SUMPRODUCT(--('New Hires Forecast'!$F$5:$F$84="Finance"),--('New Hires Forecast'!$H$5:$H$84&gt;=Finance!BT$3),'New Hires Forecast'!$Q$5:$Q$84,'New Hires Forecast'!$L$5:$L$84)),0),IF(YEAR(BT$3)=YEAR('New Hires Forecast'!$R$3),IF((BT$5=12),(SUMPRODUCT(--('New Hires Forecast'!$F$5:$F$84="Finance"),--('New Hires Forecast'!$H$5:$H$84&gt;=Finance!BT$3),'New Hires Forecast'!$R$5:$R$84,'New Hires Forecast'!$L$5:$L$84)),0),"New Year"))))),0)</f>
        <v>0</v>
      </c>
      <c r="BU15" s="684">
        <f>IF(BU$4="forecast",IF(YEAR(BU$3)=YEAR('New Hires Forecast'!$N$3),IF((BU$5=12),(SUMPRODUCT(--('New Hires Forecast'!$F$5:$F$84="Finance"),--('New Hires Forecast'!$H$5:$H$84&gt;=Finance!BU$3),'New Hires Forecast'!$N$5:$N$84,'New Hires Forecast'!$L$5:$L$84)),0),IF(YEAR(BU$3)=YEAR('New Hires Forecast'!$O$3),IF((BU$5=12),(SUMPRODUCT(--('New Hires Forecast'!$F$5:$F$84="Finance"),--('New Hires Forecast'!$H$5:$H$84&gt;=Finance!BU$3),'New Hires Forecast'!$O$5:$O$84,'New Hires Forecast'!$L$5:$L$84)),0),IF(YEAR(BU$3)=YEAR('New Hires Forecast'!$P$3),IF((BU$5=12),(SUMPRODUCT(--('New Hires Forecast'!$F$5:$F$84="Finance"),--('New Hires Forecast'!$H$5:$H$84&gt;=Finance!BU$3),'New Hires Forecast'!$P$5:$P$84,'New Hires Forecast'!$L$5:$L$84)),0),IF(YEAR(BU$3)=YEAR('New Hires Forecast'!$Q$3),IF((BU$5=12),(SUMPRODUCT(--('New Hires Forecast'!$F$5:$F$84="Finance"),--('New Hires Forecast'!$H$5:$H$84&gt;=Finance!BU$3),'New Hires Forecast'!$Q$5:$Q$84,'New Hires Forecast'!$L$5:$L$84)),0),IF(YEAR(BU$3)=YEAR('New Hires Forecast'!$R$3),IF((BU$5=12),(SUMPRODUCT(--('New Hires Forecast'!$F$5:$F$84="Finance"),--('New Hires Forecast'!$H$5:$H$84&gt;=Finance!BU$3),'New Hires Forecast'!$R$5:$R$84,'New Hires Forecast'!$L$5:$L$84)),0),"New Year"))))),0)</f>
        <v>0</v>
      </c>
      <c r="BV15" s="808">
        <f>IF(BV$4="forecast",IF(YEAR(BV$3)=YEAR('New Hires Forecast'!$N$3),IF((BV$5=12),(SUMPRODUCT(--('New Hires Forecast'!$F$5:$F$84="Finance"),--('New Hires Forecast'!$H$5:$H$84&gt;=Finance!BV$3),'New Hires Forecast'!$N$5:$N$84,'New Hires Forecast'!$L$5:$L$84)),0),IF(YEAR(BV$3)=YEAR('New Hires Forecast'!$O$3),IF((BV$5=12),(SUMPRODUCT(--('New Hires Forecast'!$F$5:$F$84="Finance"),--('New Hires Forecast'!$H$5:$H$84&gt;=Finance!BV$3),'New Hires Forecast'!$O$5:$O$84,'New Hires Forecast'!$L$5:$L$84)),0),IF(YEAR(BV$3)=YEAR('New Hires Forecast'!$P$3),IF((BV$5=12),(SUMPRODUCT(--('New Hires Forecast'!$F$5:$F$84="Finance"),--('New Hires Forecast'!$H$5:$H$84&gt;=Finance!BV$3),'New Hires Forecast'!$P$5:$P$84,'New Hires Forecast'!$L$5:$L$84)),0),IF(YEAR(BV$3)=YEAR('New Hires Forecast'!$Q$3),IF((BV$5=12),(SUMPRODUCT(--('New Hires Forecast'!$F$5:$F$84="Finance"),--('New Hires Forecast'!$H$5:$H$84&gt;=Finance!BV$3),'New Hires Forecast'!$Q$5:$Q$84,'New Hires Forecast'!$L$5:$L$84)),0),IF(YEAR(BV$3)=YEAR('New Hires Forecast'!$R$3),IF((BV$5=12),(SUMPRODUCT(--('New Hires Forecast'!$F$5:$F$84="Finance"),--('New Hires Forecast'!$H$5:$H$84&gt;=Finance!BV$3),'New Hires Forecast'!$R$5:$R$84,'New Hires Forecast'!$L$5:$L$84)),0),"New Year"))))),0)</f>
        <v>135224.96625</v>
      </c>
    </row>
    <row r="16" spans="2:74" x14ac:dyDescent="0.35">
      <c r="B16" s="797" t="s">
        <v>937</v>
      </c>
      <c r="C16" s="684">
        <f>IF(C$4="forecast",IF(YEAR(C$3)=YEAR(Headcount!$N$4),IF((C$5=12),(SUMPRODUCT(--(Headcount!$F$6:$F$92="Finance"),--(Headcount!$H$6:$H$92&gt;=Finance!C$3),Headcount!$N$6:$N$92,Headcount!$L$6:$L$92)),0),IF(YEAR(C$3)=YEAR(Headcount!$O$4),IF((C$5=12),(SUMPRODUCT(--(Headcount!$F$6:$F$92="Finance"),--(Headcount!$H$6:$H$92&gt;=Finance!C$3),Headcount!$O$6:$O$92,Headcount!$L$6:$L$92)),0),IF(YEAR(C$3)=YEAR(Headcount!$P$4),IF((C$5=12),(SUMPRODUCT(--(Headcount!$F$6:$F$92="Finance"),--(Headcount!$H$6:$H$92&gt;=Finance!C$3),Headcount!$P$6:$P$92,Headcount!$L$6:$L$92)),0),IF(YEAR(C$3)=YEAR(Headcount!$Q$4),IF((C$5=12),(SUMPRODUCT(--(Headcount!$F$6:$F$92="Finance"),--(Headcount!$H$6:$H$92&gt;=Finance!C$3),Headcount!$Q$6:$Q$92,Headcount!$L$6:$L$92)),0),IF(YEAR(C$3)=YEAR(Headcount!$R$4),IF((C$5=12),(SUMPRODUCT(--(Headcount!$F$6:$F$92="Finance"),--(Headcount!$H$6:$H$92&gt;=Finance!C$3),Headcount!$R$6:$R$92,Headcount!$L$6:$L$92)),0),"New Year"))))),'Dept. Cost Actuals'!G646)</f>
        <v>0</v>
      </c>
      <c r="D16" s="684">
        <f>IF(D$4="forecast",IF(YEAR(D$3)=YEAR(Headcount!$N$4),IF((D$5=12),(SUMPRODUCT(--(Headcount!$F$6:$F$92="Finance"),--(Headcount!$H$6:$H$92&gt;=Finance!D$3),Headcount!$N$6:$N$92,Headcount!$L$6:$L$92)),0),IF(YEAR(D$3)=YEAR(Headcount!$O$4),IF((D$5=12),(SUMPRODUCT(--(Headcount!$F$6:$F$92="Finance"),--(Headcount!$H$6:$H$92&gt;=Finance!D$3),Headcount!$O$6:$O$92,Headcount!$L$6:$L$92)),0),IF(YEAR(D$3)=YEAR(Headcount!$P$4),IF((D$5=12),(SUMPRODUCT(--(Headcount!$F$6:$F$92="Finance"),--(Headcount!$H$6:$H$92&gt;=Finance!D$3),Headcount!$P$6:$P$92,Headcount!$L$6:$L$92)),0),IF(YEAR(D$3)=YEAR(Headcount!$Q$4),IF((D$5=12),(SUMPRODUCT(--(Headcount!$F$6:$F$92="Finance"),--(Headcount!$H$6:$H$92&gt;=Finance!D$3),Headcount!$Q$6:$Q$92,Headcount!$L$6:$L$92)),0),IF(YEAR(D$3)=YEAR(Headcount!$R$4),IF((D$5=12),(SUMPRODUCT(--(Headcount!$F$6:$F$92="Finance"),--(Headcount!$H$6:$H$92&gt;=Finance!D$3),Headcount!$R$6:$R$92,Headcount!$L$6:$L$92)),0),"New Year"))))),'Dept. Cost Actuals'!H646)</f>
        <v>0</v>
      </c>
      <c r="E16" s="684">
        <f>IF(E$4="forecast",IF(YEAR(E$3)=YEAR(Headcount!$N$4),IF((E$5=12),(SUMPRODUCT(--(Headcount!$F$6:$F$92="Finance"),--(Headcount!$H$6:$H$92&gt;=Finance!E$3),Headcount!$N$6:$N$92,Headcount!$L$6:$L$92)),0),IF(YEAR(E$3)=YEAR(Headcount!$O$4),IF((E$5=12),(SUMPRODUCT(--(Headcount!$F$6:$F$92="Finance"),--(Headcount!$H$6:$H$92&gt;=Finance!E$3),Headcount!$O$6:$O$92,Headcount!$L$6:$L$92)),0),IF(YEAR(E$3)=YEAR(Headcount!$P$4),IF((E$5=12),(SUMPRODUCT(--(Headcount!$F$6:$F$92="Finance"),--(Headcount!$H$6:$H$92&gt;=Finance!E$3),Headcount!$P$6:$P$92,Headcount!$L$6:$L$92)),0),IF(YEAR(E$3)=YEAR(Headcount!$Q$4),IF((E$5=12),(SUMPRODUCT(--(Headcount!$F$6:$F$92="Finance"),--(Headcount!$H$6:$H$92&gt;=Finance!E$3),Headcount!$Q$6:$Q$92,Headcount!$L$6:$L$92)),0),IF(YEAR(E$3)=YEAR(Headcount!$R$4),IF((E$5=12),(SUMPRODUCT(--(Headcount!$F$6:$F$92="Finance"),--(Headcount!$H$6:$H$92&gt;=Finance!E$3),Headcount!$R$6:$R$92,Headcount!$L$6:$L$92)),0),"New Year"))))),'Dept. Cost Actuals'!I646)</f>
        <v>0</v>
      </c>
      <c r="F16" s="684">
        <f>IF(F$4="forecast",IF(YEAR(F$3)=YEAR(Headcount!$N$4),IF((F$5=12),(SUMPRODUCT(--(Headcount!$F$6:$F$92="Finance"),--(Headcount!$H$6:$H$92&gt;=Finance!F$3),Headcount!$N$6:$N$92,Headcount!$L$6:$L$92)),0),IF(YEAR(F$3)=YEAR(Headcount!$O$4),IF((F$5=12),(SUMPRODUCT(--(Headcount!$F$6:$F$92="Finance"),--(Headcount!$H$6:$H$92&gt;=Finance!F$3),Headcount!$O$6:$O$92,Headcount!$L$6:$L$92)),0),IF(YEAR(F$3)=YEAR(Headcount!$P$4),IF((F$5=12),(SUMPRODUCT(--(Headcount!$F$6:$F$92="Finance"),--(Headcount!$H$6:$H$92&gt;=Finance!F$3),Headcount!$P$6:$P$92,Headcount!$L$6:$L$92)),0),IF(YEAR(F$3)=YEAR(Headcount!$Q$4),IF((F$5=12),(SUMPRODUCT(--(Headcount!$F$6:$F$92="Finance"),--(Headcount!$H$6:$H$92&gt;=Finance!F$3),Headcount!$Q$6:$Q$92,Headcount!$L$6:$L$92)),0),IF(YEAR(F$3)=YEAR(Headcount!$R$4),IF((F$5=12),(SUMPRODUCT(--(Headcount!$F$6:$F$92="Finance"),--(Headcount!$H$6:$H$92&gt;=Finance!F$3),Headcount!$R$6:$R$92,Headcount!$L$6:$L$92)),0),"New Year"))))),'Dept. Cost Actuals'!J646)</f>
        <v>0</v>
      </c>
      <c r="G16" s="684">
        <f>IF(G$4="forecast",IF(YEAR(G$3)=YEAR(Headcount!$N$4),IF((G$5=12),(SUMPRODUCT(--(Headcount!$F$6:$F$92="Finance"),--(Headcount!$H$6:$H$92&gt;=Finance!G$3),Headcount!$N$6:$N$92,Headcount!$L$6:$L$92)),0),IF(YEAR(G$3)=YEAR(Headcount!$O$4),IF((G$5=12),(SUMPRODUCT(--(Headcount!$F$6:$F$92="Finance"),--(Headcount!$H$6:$H$92&gt;=Finance!G$3),Headcount!$O$6:$O$92,Headcount!$L$6:$L$92)),0),IF(YEAR(G$3)=YEAR(Headcount!$P$4),IF((G$5=12),(SUMPRODUCT(--(Headcount!$F$6:$F$92="Finance"),--(Headcount!$H$6:$H$92&gt;=Finance!G$3),Headcount!$P$6:$P$92,Headcount!$L$6:$L$92)),0),IF(YEAR(G$3)=YEAR(Headcount!$Q$4),IF((G$5=12),(SUMPRODUCT(--(Headcount!$F$6:$F$92="Finance"),--(Headcount!$H$6:$H$92&gt;=Finance!G$3),Headcount!$Q$6:$Q$92,Headcount!$L$6:$L$92)),0),IF(YEAR(G$3)=YEAR(Headcount!$R$4),IF((G$5=12),(SUMPRODUCT(--(Headcount!$F$6:$F$92="Finance"),--(Headcount!$H$6:$H$92&gt;=Finance!G$3),Headcount!$R$6:$R$92,Headcount!$L$6:$L$92)),0),"New Year"))))),'Dept. Cost Actuals'!K646)</f>
        <v>0</v>
      </c>
      <c r="H16" s="684">
        <f>IF(H$4="forecast",IF(YEAR(H$3)=YEAR(Headcount!$N$4),IF((H$5=12),(SUMPRODUCT(--(Headcount!$F$6:$F$92="Finance"),--(Headcount!$H$6:$H$92&gt;=Finance!H$3),Headcount!$N$6:$N$92,Headcount!$L$6:$L$92)),0),IF(YEAR(H$3)=YEAR(Headcount!$O$4),IF((H$5=12),(SUMPRODUCT(--(Headcount!$F$6:$F$92="Finance"),--(Headcount!$H$6:$H$92&gt;=Finance!H$3),Headcount!$O$6:$O$92,Headcount!$L$6:$L$92)),0),IF(YEAR(H$3)=YEAR(Headcount!$P$4),IF((H$5=12),(SUMPRODUCT(--(Headcount!$F$6:$F$92="Finance"),--(Headcount!$H$6:$H$92&gt;=Finance!H$3),Headcount!$P$6:$P$92,Headcount!$L$6:$L$92)),0),IF(YEAR(H$3)=YEAR(Headcount!$Q$4),IF((H$5=12),(SUMPRODUCT(--(Headcount!$F$6:$F$92="Finance"),--(Headcount!$H$6:$H$92&gt;=Finance!H$3),Headcount!$Q$6:$Q$92,Headcount!$L$6:$L$92)),0),IF(YEAR(H$3)=YEAR(Headcount!$R$4),IF((H$5=12),(SUMPRODUCT(--(Headcount!$F$6:$F$92="Finance"),--(Headcount!$H$6:$H$92&gt;=Finance!H$3),Headcount!$R$6:$R$92,Headcount!$L$6:$L$92)),0),"New Year"))))),'Dept. Cost Actuals'!L646)</f>
        <v>0</v>
      </c>
      <c r="I16" s="684">
        <f>IF(I$4="forecast",IF(YEAR(I$3)=YEAR(Headcount!$N$4),IF((I$5=12),(SUMPRODUCT(--(Headcount!$F$6:$F$92="Finance"),--(Headcount!$H$6:$H$92&gt;=Finance!I$3),Headcount!$N$6:$N$92,Headcount!$L$6:$L$92)),0),IF(YEAR(I$3)=YEAR(Headcount!$O$4),IF((I$5=12),(SUMPRODUCT(--(Headcount!$F$6:$F$92="Finance"),--(Headcount!$H$6:$H$92&gt;=Finance!I$3),Headcount!$O$6:$O$92,Headcount!$L$6:$L$92)),0),IF(YEAR(I$3)=YEAR(Headcount!$P$4),IF((I$5=12),(SUMPRODUCT(--(Headcount!$F$6:$F$92="Finance"),--(Headcount!$H$6:$H$92&gt;=Finance!I$3),Headcount!$P$6:$P$92,Headcount!$L$6:$L$92)),0),IF(YEAR(I$3)=YEAR(Headcount!$Q$4),IF((I$5=12),(SUMPRODUCT(--(Headcount!$F$6:$F$92="Finance"),--(Headcount!$H$6:$H$92&gt;=Finance!I$3),Headcount!$Q$6:$Q$92,Headcount!$L$6:$L$92)),0),IF(YEAR(I$3)=YEAR(Headcount!$R$4),IF((I$5=12),(SUMPRODUCT(--(Headcount!$F$6:$F$92="Finance"),--(Headcount!$H$6:$H$92&gt;=Finance!I$3),Headcount!$R$6:$R$92,Headcount!$L$6:$L$92)),0),"New Year"))))),'Dept. Cost Actuals'!M646)</f>
        <v>0</v>
      </c>
      <c r="J16" s="684">
        <f>IF(J$4="forecast",IF(YEAR(J$3)=YEAR(Headcount!$N$4),IF((J$5=12),(SUMPRODUCT(--(Headcount!$F$6:$F$92="Finance"),--(Headcount!$H$6:$H$92&gt;=Finance!J$3),Headcount!$N$6:$N$92,Headcount!$L$6:$L$92)),0),IF(YEAR(J$3)=YEAR(Headcount!$O$4),IF((J$5=12),(SUMPRODUCT(--(Headcount!$F$6:$F$92="Finance"),--(Headcount!$H$6:$H$92&gt;=Finance!J$3),Headcount!$O$6:$O$92,Headcount!$L$6:$L$92)),0),IF(YEAR(J$3)=YEAR(Headcount!$P$4),IF((J$5=12),(SUMPRODUCT(--(Headcount!$F$6:$F$92="Finance"),--(Headcount!$H$6:$H$92&gt;=Finance!J$3),Headcount!$P$6:$P$92,Headcount!$L$6:$L$92)),0),IF(YEAR(J$3)=YEAR(Headcount!$Q$4),IF((J$5=12),(SUMPRODUCT(--(Headcount!$F$6:$F$92="Finance"),--(Headcount!$H$6:$H$92&gt;=Finance!J$3),Headcount!$Q$6:$Q$92,Headcount!$L$6:$L$92)),0),IF(YEAR(J$3)=YEAR(Headcount!$R$4),IF((J$5=12),(SUMPRODUCT(--(Headcount!$F$6:$F$92="Finance"),--(Headcount!$H$6:$H$92&gt;=Finance!J$3),Headcount!$R$6:$R$92,Headcount!$L$6:$L$92)),0),"New Year"))))),'Dept. Cost Actuals'!N646)</f>
        <v>0</v>
      </c>
      <c r="K16" s="684">
        <f>IF(K$4="forecast",IF(YEAR(K$3)=YEAR(Headcount!$N$4),IF((K$5=12),(SUMPRODUCT(--(Headcount!$F$6:$F$92="Finance"),--(Headcount!$H$6:$H$92&gt;=Finance!K$3),Headcount!$N$6:$N$92,Headcount!$L$6:$L$92)),0),IF(YEAR(K$3)=YEAR(Headcount!$O$4),IF((K$5=12),(SUMPRODUCT(--(Headcount!$F$6:$F$92="Finance"),--(Headcount!$H$6:$H$92&gt;=Finance!K$3),Headcount!$O$6:$O$92,Headcount!$L$6:$L$92)),0),IF(YEAR(K$3)=YEAR(Headcount!$P$4),IF((K$5=12),(SUMPRODUCT(--(Headcount!$F$6:$F$92="Finance"),--(Headcount!$H$6:$H$92&gt;=Finance!K$3),Headcount!$P$6:$P$92,Headcount!$L$6:$L$92)),0),IF(YEAR(K$3)=YEAR(Headcount!$Q$4),IF((K$5=12),(SUMPRODUCT(--(Headcount!$F$6:$F$92="Finance"),--(Headcount!$H$6:$H$92&gt;=Finance!K$3),Headcount!$Q$6:$Q$92,Headcount!$L$6:$L$92)),0),IF(YEAR(K$3)=YEAR(Headcount!$R$4),IF((K$5=12),(SUMPRODUCT(--(Headcount!$F$6:$F$92="Finance"),--(Headcount!$H$6:$H$92&gt;=Finance!K$3),Headcount!$R$6:$R$92,Headcount!$L$6:$L$92)),0),"New Year"))))),'Dept. Cost Actuals'!O646)</f>
        <v>0</v>
      </c>
      <c r="L16" s="684">
        <f>IF(L$4="forecast",IF(YEAR(L$3)=YEAR(Headcount!$N$4),IF((L$5=12),(SUMPRODUCT(--(Headcount!$F$6:$F$92="Finance"),--(Headcount!$H$6:$H$92&gt;=Finance!L$3),Headcount!$N$6:$N$92,Headcount!$L$6:$L$92)),0),IF(YEAR(L$3)=YEAR(Headcount!$O$4),IF((L$5=12),(SUMPRODUCT(--(Headcount!$F$6:$F$92="Finance"),--(Headcount!$H$6:$H$92&gt;=Finance!L$3),Headcount!$O$6:$O$92,Headcount!$L$6:$L$92)),0),IF(YEAR(L$3)=YEAR(Headcount!$P$4),IF((L$5=12),(SUMPRODUCT(--(Headcount!$F$6:$F$92="Finance"),--(Headcount!$H$6:$H$92&gt;=Finance!L$3),Headcount!$P$6:$P$92,Headcount!$L$6:$L$92)),0),IF(YEAR(L$3)=YEAR(Headcount!$Q$4),IF((L$5=12),(SUMPRODUCT(--(Headcount!$F$6:$F$92="Finance"),--(Headcount!$H$6:$H$92&gt;=Finance!L$3),Headcount!$Q$6:$Q$92,Headcount!$L$6:$L$92)),0),IF(YEAR(L$3)=YEAR(Headcount!$R$4),IF((L$5=12),(SUMPRODUCT(--(Headcount!$F$6:$F$92="Finance"),--(Headcount!$H$6:$H$92&gt;=Finance!L$3),Headcount!$R$6:$R$92,Headcount!$L$6:$L$92)),0),"New Year"))))),'Dept. Cost Actuals'!P646)</f>
        <v>0</v>
      </c>
      <c r="M16" s="684">
        <f>IF(M$4="forecast",IF(YEAR(M$3)=YEAR(Headcount!$N$4),IF((M$5=12),(SUMPRODUCT(--(Headcount!$F$6:$F$92="Finance"),--(Headcount!$H$6:$H$92&gt;=Finance!M$3),Headcount!$N$6:$N$92,Headcount!$L$6:$L$92)),0),IF(YEAR(M$3)=YEAR(Headcount!$O$4),IF((M$5=12),(SUMPRODUCT(--(Headcount!$F$6:$F$92="Finance"),--(Headcount!$H$6:$H$92&gt;=Finance!M$3),Headcount!$O$6:$O$92,Headcount!$L$6:$L$92)),0),IF(YEAR(M$3)=YEAR(Headcount!$P$4),IF((M$5=12),(SUMPRODUCT(--(Headcount!$F$6:$F$92="Finance"),--(Headcount!$H$6:$H$92&gt;=Finance!M$3),Headcount!$P$6:$P$92,Headcount!$L$6:$L$92)),0),IF(YEAR(M$3)=YEAR(Headcount!$Q$4),IF((M$5=12),(SUMPRODUCT(--(Headcount!$F$6:$F$92="Finance"),--(Headcount!$H$6:$H$92&gt;=Finance!M$3),Headcount!$Q$6:$Q$92,Headcount!$L$6:$L$92)),0),IF(YEAR(M$3)=YEAR(Headcount!$R$4),IF((M$5=12),(SUMPRODUCT(--(Headcount!$F$6:$F$92="Finance"),--(Headcount!$H$6:$H$92&gt;=Finance!M$3),Headcount!$R$6:$R$92,Headcount!$L$6:$L$92)),0),"New Year"))))),'Dept. Cost Actuals'!Q646)</f>
        <v>0</v>
      </c>
      <c r="N16" s="684">
        <f>IF(N$4="forecast",IF(YEAR(N$3)=YEAR(Headcount!$N$4),IF((N$5=12),(SUMPRODUCT(--(Headcount!$F$6:$F$92="Finance"),--(Headcount!$H$6:$H$92&gt;=Finance!N$3),Headcount!$N$6:$N$92,Headcount!$L$6:$L$92)),0),IF(YEAR(N$3)=YEAR(Headcount!$O$4),IF((N$5=12),(SUMPRODUCT(--(Headcount!$F$6:$F$92="Finance"),--(Headcount!$H$6:$H$92&gt;=Finance!N$3),Headcount!$O$6:$O$92,Headcount!$L$6:$L$92)),0),IF(YEAR(N$3)=YEAR(Headcount!$P$4),IF((N$5=12),(SUMPRODUCT(--(Headcount!$F$6:$F$92="Finance"),--(Headcount!$H$6:$H$92&gt;=Finance!N$3),Headcount!$P$6:$P$92,Headcount!$L$6:$L$92)),0),IF(YEAR(N$3)=YEAR(Headcount!$Q$4),IF((N$5=12),(SUMPRODUCT(--(Headcount!$F$6:$F$92="Finance"),--(Headcount!$H$6:$H$92&gt;=Finance!N$3),Headcount!$Q$6:$Q$92,Headcount!$L$6:$L$92)),0),IF(YEAR(N$3)=YEAR(Headcount!$R$4),IF((N$5=12),(SUMPRODUCT(--(Headcount!$F$6:$F$92="Finance"),--(Headcount!$H$6:$H$92&gt;=Finance!N$3),Headcount!$R$6:$R$92,Headcount!$L$6:$L$92)),0),"New Year"))))),'Dept. Cost Actuals'!R646)</f>
        <v>0</v>
      </c>
      <c r="O16" s="684">
        <f>IF(O$4="forecast",IF(YEAR(O$3)=YEAR(Headcount!$N$4),IF((O$5=12),(SUMPRODUCT(--(Headcount!$F$6:$F$92="Finance"),--(Headcount!$H$6:$H$92&gt;=Finance!O$3),Headcount!$N$6:$N$92,Headcount!$L$6:$L$92)),0),IF(YEAR(O$3)=YEAR(Headcount!$O$4),IF((O$5=12),(SUMPRODUCT(--(Headcount!$F$6:$F$92="Finance"),--(Headcount!$H$6:$H$92&gt;=Finance!O$3),Headcount!$O$6:$O$92,Headcount!$L$6:$L$92)),0),IF(YEAR(O$3)=YEAR(Headcount!$P$4),IF((O$5=12),(SUMPRODUCT(--(Headcount!$F$6:$F$92="Finance"),--(Headcount!$H$6:$H$92&gt;=Finance!O$3),Headcount!$P$6:$P$92,Headcount!$L$6:$L$92)),0),IF(YEAR(O$3)=YEAR(Headcount!$Q$4),IF((O$5=12),(SUMPRODUCT(--(Headcount!$F$6:$F$92="Finance"),--(Headcount!$H$6:$H$92&gt;=Finance!O$3),Headcount!$Q$6:$Q$92,Headcount!$L$6:$L$92)),0),IF(YEAR(O$3)=YEAR(Headcount!$R$4),IF((O$5=12),(SUMPRODUCT(--(Headcount!$F$6:$F$92="Finance"),--(Headcount!$H$6:$H$92&gt;=Finance!O$3),Headcount!$R$6:$R$92,Headcount!$L$6:$L$92)),0),"New Year"))))),'Dept. Cost Actuals'!S646)</f>
        <v>3770.83</v>
      </c>
      <c r="P16" s="684">
        <f>IF(P$4="forecast",IF(YEAR(P$3)=YEAR(Headcount!$N$4),IF((P$5=12),(SUMPRODUCT(--(Headcount!$F$6:$F$92="Finance"),--(Headcount!$H$6:$H$92&gt;=Finance!P$3),Headcount!$N$6:$N$92,Headcount!$L$6:$L$92)),0),IF(YEAR(P$3)=YEAR(Headcount!$O$4),IF((P$5=12),(SUMPRODUCT(--(Headcount!$F$6:$F$92="Finance"),--(Headcount!$H$6:$H$92&gt;=Finance!P$3),Headcount!$O$6:$O$92,Headcount!$L$6:$L$92)),0),IF(YEAR(P$3)=YEAR(Headcount!$P$4),IF((P$5=12),(SUMPRODUCT(--(Headcount!$F$6:$F$92="Finance"),--(Headcount!$H$6:$H$92&gt;=Finance!P$3),Headcount!$P$6:$P$92,Headcount!$L$6:$L$92)),0),IF(YEAR(P$3)=YEAR(Headcount!$Q$4),IF((P$5=12),(SUMPRODUCT(--(Headcount!$F$6:$F$92="Finance"),--(Headcount!$H$6:$H$92&gt;=Finance!P$3),Headcount!$Q$6:$Q$92,Headcount!$L$6:$L$92)),0),IF(YEAR(P$3)=YEAR(Headcount!$R$4),IF((P$5=12),(SUMPRODUCT(--(Headcount!$F$6:$F$92="Finance"),--(Headcount!$H$6:$H$92&gt;=Finance!P$3),Headcount!$R$6:$R$92,Headcount!$L$6:$L$92)),0),"New Year"))))),'Dept. Cost Actuals'!T646)</f>
        <v>3770.83</v>
      </c>
      <c r="Q16" s="684">
        <f>IF(Q$4="forecast",IF(YEAR(Q$3)=YEAR(Headcount!$N$4),IF((Q$5=12),(SUMPRODUCT(--(Headcount!$F$6:$F$92="Finance"),--(Headcount!$H$6:$H$92&gt;=Finance!Q$3),Headcount!$N$6:$N$92,Headcount!$L$6:$L$92)),0),IF(YEAR(Q$3)=YEAR(Headcount!$O$4),IF((Q$5=12),(SUMPRODUCT(--(Headcount!$F$6:$F$92="Finance"),--(Headcount!$H$6:$H$92&gt;=Finance!Q$3),Headcount!$O$6:$O$92,Headcount!$L$6:$L$92)),0),IF(YEAR(Q$3)=YEAR(Headcount!$P$4),IF((Q$5=12),(SUMPRODUCT(--(Headcount!$F$6:$F$92="Finance"),--(Headcount!$H$6:$H$92&gt;=Finance!Q$3),Headcount!$P$6:$P$92,Headcount!$L$6:$L$92)),0),IF(YEAR(Q$3)=YEAR(Headcount!$Q$4),IF((Q$5=12),(SUMPRODUCT(--(Headcount!$F$6:$F$92="Finance"),--(Headcount!$H$6:$H$92&gt;=Finance!Q$3),Headcount!$Q$6:$Q$92,Headcount!$L$6:$L$92)),0),IF(YEAR(Q$3)=YEAR(Headcount!$R$4),IF((Q$5=12),(SUMPRODUCT(--(Headcount!$F$6:$F$92="Finance"),--(Headcount!$H$6:$H$92&gt;=Finance!Q$3),Headcount!$R$6:$R$92,Headcount!$L$6:$L$92)),0),"New Year"))))),'Dept. Cost Actuals'!U646)</f>
        <v>4025.97</v>
      </c>
      <c r="R16" s="684">
        <f>IF(R$4="forecast",IF(YEAR(R$3)=YEAR(Headcount!$N$4),IF((R$5=12),(SUMPRODUCT(--(Headcount!$F$6:$F$92="Finance"),--(Headcount!$H$6:$H$92&gt;=Finance!R$3),Headcount!$N$6:$N$92,Headcount!$L$6:$L$92)),0),IF(YEAR(R$3)=YEAR(Headcount!$O$4),IF((R$5=12),(SUMPRODUCT(--(Headcount!$F$6:$F$92="Finance"),--(Headcount!$H$6:$H$92&gt;=Finance!R$3),Headcount!$O$6:$O$92,Headcount!$L$6:$L$92)),0),IF(YEAR(R$3)=YEAR(Headcount!$P$4),IF((R$5=12),(SUMPRODUCT(--(Headcount!$F$6:$F$92="Finance"),--(Headcount!$H$6:$H$92&gt;=Finance!R$3),Headcount!$P$6:$P$92,Headcount!$L$6:$L$92)),0),IF(YEAR(R$3)=YEAR(Headcount!$Q$4),IF((R$5=12),(SUMPRODUCT(--(Headcount!$F$6:$F$92="Finance"),--(Headcount!$H$6:$H$92&gt;=Finance!R$3),Headcount!$Q$6:$Q$92,Headcount!$L$6:$L$92)),0),IF(YEAR(R$3)=YEAR(Headcount!$R$4),IF((R$5=12),(SUMPRODUCT(--(Headcount!$F$6:$F$92="Finance"),--(Headcount!$H$6:$H$92&gt;=Finance!R$3),Headcount!$R$6:$R$92,Headcount!$L$6:$L$92)),0),"New Year"))))),'Dept. Cost Actuals'!V646)</f>
        <v>4451.74</v>
      </c>
      <c r="S16" s="684">
        <f>IF(S$4="forecast",IF(YEAR(S$3)=YEAR(Headcount!$N$4),IF((S$5=12),(SUMPRODUCT(--(Headcount!$F$6:$F$92="Finance"),--(Headcount!$H$6:$H$92&gt;=Finance!S$3),Headcount!$N$6:$N$92,Headcount!$L$6:$L$92)),0),IF(YEAR(S$3)=YEAR(Headcount!$O$4),IF((S$5=12),(SUMPRODUCT(--(Headcount!$F$6:$F$92="Finance"),--(Headcount!$H$6:$H$92&gt;=Finance!S$3),Headcount!$O$6:$O$92,Headcount!$L$6:$L$92)),0),IF(YEAR(S$3)=YEAR(Headcount!$P$4),IF((S$5=12),(SUMPRODUCT(--(Headcount!$F$6:$F$92="Finance"),--(Headcount!$H$6:$H$92&gt;=Finance!S$3),Headcount!$P$6:$P$92,Headcount!$L$6:$L$92)),0),IF(YEAR(S$3)=YEAR(Headcount!$Q$4),IF((S$5=12),(SUMPRODUCT(--(Headcount!$F$6:$F$92="Finance"),--(Headcount!$H$6:$H$92&gt;=Finance!S$3),Headcount!$Q$6:$Q$92,Headcount!$L$6:$L$92)),0),IF(YEAR(S$3)=YEAR(Headcount!$R$4),IF((S$5=12),(SUMPRODUCT(--(Headcount!$F$6:$F$92="Finance"),--(Headcount!$H$6:$H$92&gt;=Finance!S$3),Headcount!$R$6:$R$92,Headcount!$L$6:$L$92)),0),"New Year"))))),'Dept. Cost Actuals'!W646)</f>
        <v>3770.83</v>
      </c>
      <c r="T16" s="684">
        <f>IF(T$4="forecast",IF(YEAR(T$3)=YEAR(Headcount!$N$4),IF((T$5=12),(SUMPRODUCT(--(Headcount!$F$6:$F$92="Finance"),--(Headcount!$H$6:$H$92&gt;=Finance!T$3),Headcount!$N$6:$N$92,Headcount!$L$6:$L$92)),0),IF(YEAR(T$3)=YEAR(Headcount!$O$4),IF((T$5=12),(SUMPRODUCT(--(Headcount!$F$6:$F$92="Finance"),--(Headcount!$H$6:$H$92&gt;=Finance!T$3),Headcount!$O$6:$O$92,Headcount!$L$6:$L$92)),0),IF(YEAR(T$3)=YEAR(Headcount!$P$4),IF((T$5=12),(SUMPRODUCT(--(Headcount!$F$6:$F$92="Finance"),--(Headcount!$H$6:$H$92&gt;=Finance!T$3),Headcount!$P$6:$P$92,Headcount!$L$6:$L$92)),0),IF(YEAR(T$3)=YEAR(Headcount!$Q$4),IF((T$5=12),(SUMPRODUCT(--(Headcount!$F$6:$F$92="Finance"),--(Headcount!$H$6:$H$92&gt;=Finance!T$3),Headcount!$Q$6:$Q$92,Headcount!$L$6:$L$92)),0),IF(YEAR(T$3)=YEAR(Headcount!$R$4),IF((T$5=12),(SUMPRODUCT(--(Headcount!$F$6:$F$92="Finance"),--(Headcount!$H$6:$H$92&gt;=Finance!T$3),Headcount!$R$6:$R$92,Headcount!$L$6:$L$92)),0),"New Year"))))),'Dept. Cost Actuals'!X646)</f>
        <v>3770.83</v>
      </c>
      <c r="U16" s="684">
        <f>IF(U$4="forecast",IF(YEAR(U$3)=YEAR(Headcount!$N$4),IF((U$5=12),(SUMPRODUCT(--(Headcount!$F$6:$F$92="Finance"),--(Headcount!$H$6:$H$92&gt;=Finance!U$3),Headcount!$N$6:$N$92,Headcount!$L$6:$L$92)),0),IF(YEAR(U$3)=YEAR(Headcount!$O$4),IF((U$5=12),(SUMPRODUCT(--(Headcount!$F$6:$F$92="Finance"),--(Headcount!$H$6:$H$92&gt;=Finance!U$3),Headcount!$O$6:$O$92,Headcount!$L$6:$L$92)),0),IF(YEAR(U$3)=YEAR(Headcount!$P$4),IF((U$5=12),(SUMPRODUCT(--(Headcount!$F$6:$F$92="Finance"),--(Headcount!$H$6:$H$92&gt;=Finance!U$3),Headcount!$P$6:$P$92,Headcount!$L$6:$L$92)),0),IF(YEAR(U$3)=YEAR(Headcount!$Q$4),IF((U$5=12),(SUMPRODUCT(--(Headcount!$F$6:$F$92="Finance"),--(Headcount!$H$6:$H$92&gt;=Finance!U$3),Headcount!$Q$6:$Q$92,Headcount!$L$6:$L$92)),0),IF(YEAR(U$3)=YEAR(Headcount!$R$4),IF((U$5=12),(SUMPRODUCT(--(Headcount!$F$6:$F$92="Finance"),--(Headcount!$H$6:$H$92&gt;=Finance!U$3),Headcount!$R$6:$R$92,Headcount!$L$6:$L$92)),0),"New Year"))))),'Dept. Cost Actuals'!Y646)</f>
        <v>4763.42</v>
      </c>
      <c r="V16" s="684">
        <f>IF(V$4="forecast",IF(YEAR(V$3)=YEAR(Headcount!$N$4),IF((V$5=12),(SUMPRODUCT(--(Headcount!$F$6:$F$92="Finance"),--(Headcount!$H$6:$H$92&gt;=Finance!V$3),Headcount!$N$6:$N$92,Headcount!$L$6:$L$92)),0),IF(YEAR(V$3)=YEAR(Headcount!$O$4),IF((V$5=12),(SUMPRODUCT(--(Headcount!$F$6:$F$92="Finance"),--(Headcount!$H$6:$H$92&gt;=Finance!V$3),Headcount!$O$6:$O$92,Headcount!$L$6:$L$92)),0),IF(YEAR(V$3)=YEAR(Headcount!$P$4),IF((V$5=12),(SUMPRODUCT(--(Headcount!$F$6:$F$92="Finance"),--(Headcount!$H$6:$H$92&gt;=Finance!V$3),Headcount!$P$6:$P$92,Headcount!$L$6:$L$92)),0),IF(YEAR(V$3)=YEAR(Headcount!$Q$4),IF((V$5=12),(SUMPRODUCT(--(Headcount!$F$6:$F$92="Finance"),--(Headcount!$H$6:$H$92&gt;=Finance!V$3),Headcount!$Q$6:$Q$92,Headcount!$L$6:$L$92)),0),IF(YEAR(V$3)=YEAR(Headcount!$R$4),IF((V$5=12),(SUMPRODUCT(--(Headcount!$F$6:$F$92="Finance"),--(Headcount!$H$6:$H$92&gt;=Finance!V$3),Headcount!$R$6:$R$92,Headcount!$L$6:$L$92)),0),"New Year"))))),'Dept. Cost Actuals'!Z646)</f>
        <v>3770.83</v>
      </c>
      <c r="W16" s="684">
        <f>IF(W$4="forecast",IF(YEAR(W$3)=YEAR(Headcount!$N$4),IF((W$5=12),(SUMPRODUCT(--(Headcount!$F$6:$F$92="Finance"),--(Headcount!$H$6:$H$92&gt;=Finance!W$3),Headcount!$N$6:$N$92,Headcount!$L$6:$L$92)),0),IF(YEAR(W$3)=YEAR(Headcount!$O$4),IF((W$5=12),(SUMPRODUCT(--(Headcount!$F$6:$F$92="Finance"),--(Headcount!$H$6:$H$92&gt;=Finance!W$3),Headcount!$O$6:$O$92,Headcount!$L$6:$L$92)),0),IF(YEAR(W$3)=YEAR(Headcount!$P$4),IF((W$5=12),(SUMPRODUCT(--(Headcount!$F$6:$F$92="Finance"),--(Headcount!$H$6:$H$92&gt;=Finance!W$3),Headcount!$P$6:$P$92,Headcount!$L$6:$L$92)),0),IF(YEAR(W$3)=YEAR(Headcount!$Q$4),IF((W$5=12),(SUMPRODUCT(--(Headcount!$F$6:$F$92="Finance"),--(Headcount!$H$6:$H$92&gt;=Finance!W$3),Headcount!$Q$6:$Q$92,Headcount!$L$6:$L$92)),0),IF(YEAR(W$3)=YEAR(Headcount!$R$4),IF((W$5=12),(SUMPRODUCT(--(Headcount!$F$6:$F$92="Finance"),--(Headcount!$H$6:$H$92&gt;=Finance!W$3),Headcount!$R$6:$R$92,Headcount!$L$6:$L$92)),0),"New Year"))))),'Dept. Cost Actuals'!AA646)</f>
        <v>4015.82</v>
      </c>
      <c r="X16" s="684">
        <f>IF(X$4="forecast",IF(YEAR(X$3)=YEAR(Headcount!$N$4),IF((X$5=12),(SUMPRODUCT(--(Headcount!$F$6:$F$92="Finance"),--(Headcount!$H$6:$H$92&gt;=Finance!X$3),Headcount!$N$6:$N$92,Headcount!$L$6:$L$92)),0),IF(YEAR(X$3)=YEAR(Headcount!$O$4),IF((X$5=12),(SUMPRODUCT(--(Headcount!$F$6:$F$92="Finance"),--(Headcount!$H$6:$H$92&gt;=Finance!X$3),Headcount!$O$6:$O$92,Headcount!$L$6:$L$92)),0),IF(YEAR(X$3)=YEAR(Headcount!$P$4),IF((X$5=12),(SUMPRODUCT(--(Headcount!$F$6:$F$92="Finance"),--(Headcount!$H$6:$H$92&gt;=Finance!X$3),Headcount!$P$6:$P$92,Headcount!$L$6:$L$92)),0),IF(YEAR(X$3)=YEAR(Headcount!$Q$4),IF((X$5=12),(SUMPRODUCT(--(Headcount!$F$6:$F$92="Finance"),--(Headcount!$H$6:$H$92&gt;=Finance!X$3),Headcount!$Q$6:$Q$92,Headcount!$L$6:$L$92)),0),IF(YEAR(X$3)=YEAR(Headcount!$R$4),IF((X$5=12),(SUMPRODUCT(--(Headcount!$F$6:$F$92="Finance"),--(Headcount!$H$6:$H$92&gt;=Finance!X$3),Headcount!$R$6:$R$92,Headcount!$L$6:$L$92)),0),"New Year"))))),'Dept. Cost Actuals'!AB646)</f>
        <v>4763.42</v>
      </c>
      <c r="Y16" s="684">
        <f>IF(Y$4="forecast",IF(YEAR(Y$3)=YEAR(Headcount!$N$4),IF((Y$5=12),(SUMPRODUCT(--(Headcount!$F$6:$F$92="Finance"),--(Headcount!$H$6:$H$92&gt;=Finance!Y$3),Headcount!$N$6:$N$92,Headcount!$L$6:$L$92)),0),IF(YEAR(Y$3)=YEAR(Headcount!$O$4),IF((Y$5=12),(SUMPRODUCT(--(Headcount!$F$6:$F$92="Finance"),--(Headcount!$H$6:$H$92&gt;=Finance!Y$3),Headcount!$O$6:$O$92,Headcount!$L$6:$L$92)),0),IF(YEAR(Y$3)=YEAR(Headcount!$P$4),IF((Y$5=12),(SUMPRODUCT(--(Headcount!$F$6:$F$92="Finance"),--(Headcount!$H$6:$H$92&gt;=Finance!Y$3),Headcount!$P$6:$P$92,Headcount!$L$6:$L$92)),0),IF(YEAR(Y$3)=YEAR(Headcount!$Q$4),IF((Y$5=12),(SUMPRODUCT(--(Headcount!$F$6:$F$92="Finance"),--(Headcount!$H$6:$H$92&gt;=Finance!Y$3),Headcount!$Q$6:$Q$92,Headcount!$L$6:$L$92)),0),IF(YEAR(Y$3)=YEAR(Headcount!$R$4),IF((Y$5=12),(SUMPRODUCT(--(Headcount!$F$6:$F$92="Finance"),--(Headcount!$H$6:$H$92&gt;=Finance!Y$3),Headcount!$R$6:$R$92,Headcount!$L$6:$L$92)),0),"New Year"))))),'Dept. Cost Actuals'!AC646)</f>
        <v>3815.83</v>
      </c>
      <c r="Z16" s="684">
        <f>IF(Z$4="forecast",IF(YEAR(Z$3)=YEAR(Headcount!$N$4),IF((Z$5=12),(SUMPRODUCT(--(Headcount!$F$6:$F$92="Finance"),--(Headcount!$H$6:$H$92&gt;=Finance!Z$3),Headcount!$N$6:$N$92,Headcount!$L$6:$L$92)),0),IF(YEAR(Z$3)=YEAR(Headcount!$O$4),IF((Z$5=12),(SUMPRODUCT(--(Headcount!$F$6:$F$92="Finance"),--(Headcount!$H$6:$H$92&gt;=Finance!Z$3),Headcount!$O$6:$O$92,Headcount!$L$6:$L$92)),0),IF(YEAR(Z$3)=YEAR(Headcount!$P$4),IF((Z$5=12),(SUMPRODUCT(--(Headcount!$F$6:$F$92="Finance"),--(Headcount!$H$6:$H$92&gt;=Finance!Z$3),Headcount!$P$6:$P$92,Headcount!$L$6:$L$92)),0),IF(YEAR(Z$3)=YEAR(Headcount!$Q$4),IF((Z$5=12),(SUMPRODUCT(--(Headcount!$F$6:$F$92="Finance"),--(Headcount!$H$6:$H$92&gt;=Finance!Z$3),Headcount!$Q$6:$Q$92,Headcount!$L$6:$L$92)),0),IF(YEAR(Z$3)=YEAR(Headcount!$R$4),IF((Z$5=12),(SUMPRODUCT(--(Headcount!$F$6:$F$92="Finance"),--(Headcount!$H$6:$H$92&gt;=Finance!Z$3),Headcount!$R$6:$R$92,Headcount!$L$6:$L$92)),0),"New Year"))))),'Dept. Cost Actuals'!AD646)</f>
        <v>-15197.26</v>
      </c>
      <c r="AA16" s="684">
        <f>IF(AA$4="forecast",IF(YEAR(AA$3)=YEAR(Headcount!$N$4),IF((AA$5=12),(SUMPRODUCT(--(Headcount!$F$6:$F$92="Finance"),--(Headcount!$H$6:$H$92&gt;=Finance!AA$3),Headcount!$N$6:$N$92,Headcount!$L$6:$L$92)),0),IF(YEAR(AA$3)=YEAR(Headcount!$O$4),IF((AA$5=12),(SUMPRODUCT(--(Headcount!$F$6:$F$92="Finance"),--(Headcount!$H$6:$H$92&gt;=Finance!AA$3),Headcount!$O$6:$O$92,Headcount!$L$6:$L$92)),0),IF(YEAR(AA$3)=YEAR(Headcount!$P$4),IF((AA$5=12),(SUMPRODUCT(--(Headcount!$F$6:$F$92="Finance"),--(Headcount!$H$6:$H$92&gt;=Finance!AA$3),Headcount!$P$6:$P$92,Headcount!$L$6:$L$92)),0),IF(YEAR(AA$3)=YEAR(Headcount!$Q$4),IF((AA$5=12),(SUMPRODUCT(--(Headcount!$F$6:$F$92="Finance"),--(Headcount!$H$6:$H$92&gt;=Finance!AA$3),Headcount!$Q$6:$Q$92,Headcount!$L$6:$L$92)),0),IF(YEAR(AA$3)=YEAR(Headcount!$R$4),IF((AA$5=12),(SUMPRODUCT(--(Headcount!$F$6:$F$92="Finance"),--(Headcount!$H$6:$H$92&gt;=Finance!AA$3),Headcount!$R$6:$R$92,Headcount!$L$6:$L$92)),0),"New Year"))))),'Dept. Cost Actuals'!AE646)</f>
        <v>0</v>
      </c>
      <c r="AB16" s="684">
        <f>IF(AB$4="forecast",IF(YEAR(AB$3)=YEAR(Headcount!$N$4),IF((AB$5=12),(SUMPRODUCT(--(Headcount!$F$6:$F$92="Finance"),--(Headcount!$H$6:$H$92&gt;=Finance!AB$3),Headcount!$N$6:$N$92,Headcount!$L$6:$L$92)),0),IF(YEAR(AB$3)=YEAR(Headcount!$O$4),IF((AB$5=12),(SUMPRODUCT(--(Headcount!$F$6:$F$92="Finance"),--(Headcount!$H$6:$H$92&gt;=Finance!AB$3),Headcount!$O$6:$O$92,Headcount!$L$6:$L$92)),0),IF(YEAR(AB$3)=YEAR(Headcount!$P$4),IF((AB$5=12),(SUMPRODUCT(--(Headcount!$F$6:$F$92="Finance"),--(Headcount!$H$6:$H$92&gt;=Finance!AB$3),Headcount!$P$6:$P$92,Headcount!$L$6:$L$92)),0),IF(YEAR(AB$3)=YEAR(Headcount!$Q$4),IF((AB$5=12),(SUMPRODUCT(--(Headcount!$F$6:$F$92="Finance"),--(Headcount!$H$6:$H$92&gt;=Finance!AB$3),Headcount!$Q$6:$Q$92,Headcount!$L$6:$L$92)),0),IF(YEAR(AB$3)=YEAR(Headcount!$R$4),IF((AB$5=12),(SUMPRODUCT(--(Headcount!$F$6:$F$92="Finance"),--(Headcount!$H$6:$H$92&gt;=Finance!AB$3),Headcount!$R$6:$R$92,Headcount!$L$6:$L$92)),0),"New Year"))))),'Dept. Cost Actuals'!AF646)</f>
        <v>0</v>
      </c>
      <c r="AC16" s="684">
        <f>IF(AC$4="forecast",IF(YEAR(AC$3)=YEAR(Headcount!$N$4),IF((AC$5=12),(SUMPRODUCT(--(Headcount!$F$6:$F$92="Finance"),--(Headcount!$H$6:$H$92&gt;=Finance!AC$3),Headcount!$N$6:$N$92,Headcount!$L$6:$L$92)),0),IF(YEAR(AC$3)=YEAR(Headcount!$O$4),IF((AC$5=12),(SUMPRODUCT(--(Headcount!$F$6:$F$92="Finance"),--(Headcount!$H$6:$H$92&gt;=Finance!AC$3),Headcount!$O$6:$O$92,Headcount!$L$6:$L$92)),0),IF(YEAR(AC$3)=YEAR(Headcount!$P$4),IF((AC$5=12),(SUMPRODUCT(--(Headcount!$F$6:$F$92="Finance"),--(Headcount!$H$6:$H$92&gt;=Finance!AC$3),Headcount!$P$6:$P$92,Headcount!$L$6:$L$92)),0),IF(YEAR(AC$3)=YEAR(Headcount!$Q$4),IF((AC$5=12),(SUMPRODUCT(--(Headcount!$F$6:$F$92="Finance"),--(Headcount!$H$6:$H$92&gt;=Finance!AC$3),Headcount!$Q$6:$Q$92,Headcount!$L$6:$L$92)),0),IF(YEAR(AC$3)=YEAR(Headcount!$R$4),IF((AC$5=12),(SUMPRODUCT(--(Headcount!$F$6:$F$92="Finance"),--(Headcount!$H$6:$H$92&gt;=Finance!AC$3),Headcount!$R$6:$R$92,Headcount!$L$6:$L$92)),0),"New Year"))))),'Dept. Cost Actuals'!AG646)</f>
        <v>0</v>
      </c>
      <c r="AD16" s="684">
        <f>IF(AD$4="forecast",IF(YEAR(AD$3)=YEAR(Headcount!$N$4),IF((AD$5=12),(SUMPRODUCT(--(Headcount!$F$6:$F$92="Finance"),--(Headcount!$H$6:$H$92&gt;=Finance!AD$3),Headcount!$N$6:$N$92,Headcount!$L$6:$L$92)),0),IF(YEAR(AD$3)=YEAR(Headcount!$O$4),IF((AD$5=12),(SUMPRODUCT(--(Headcount!$F$6:$F$92="Finance"),--(Headcount!$H$6:$H$92&gt;=Finance!AD$3),Headcount!$O$6:$O$92,Headcount!$L$6:$L$92)),0),IF(YEAR(AD$3)=YEAR(Headcount!$P$4),IF((AD$5=12),(SUMPRODUCT(--(Headcount!$F$6:$F$92="Finance"),--(Headcount!$H$6:$H$92&gt;=Finance!AD$3),Headcount!$P$6:$P$92,Headcount!$L$6:$L$92)),0),IF(YEAR(AD$3)=YEAR(Headcount!$Q$4),IF((AD$5=12),(SUMPRODUCT(--(Headcount!$F$6:$F$92="Finance"),--(Headcount!$H$6:$H$92&gt;=Finance!AD$3),Headcount!$Q$6:$Q$92,Headcount!$L$6:$L$92)),0),IF(YEAR(AD$3)=YEAR(Headcount!$R$4),IF((AD$5=12),(SUMPRODUCT(--(Headcount!$F$6:$F$92="Finance"),--(Headcount!$H$6:$H$92&gt;=Finance!AD$3),Headcount!$R$6:$R$92,Headcount!$L$6:$L$92)),0),"New Year"))))),'Dept. Cost Actuals'!AH646)</f>
        <v>0</v>
      </c>
      <c r="AE16" s="684">
        <f>IF(AE$4="forecast",IF(YEAR(AE$3)=YEAR(Headcount!$N$4),IF((AE$5=12),(SUMPRODUCT(--(Headcount!$F$6:$F$92="Finance"),--(Headcount!$H$6:$H$92&gt;=Finance!AE$3),Headcount!$N$6:$N$92,Headcount!$L$6:$L$92)),0),IF(YEAR(AE$3)=YEAR(Headcount!$O$4),IF((AE$5=12),(SUMPRODUCT(--(Headcount!$F$6:$F$92="Finance"),--(Headcount!$H$6:$H$92&gt;=Finance!AE$3),Headcount!$O$6:$O$92,Headcount!$L$6:$L$92)),0),IF(YEAR(AE$3)=YEAR(Headcount!$P$4),IF((AE$5=12),(SUMPRODUCT(--(Headcount!$F$6:$F$92="Finance"),--(Headcount!$H$6:$H$92&gt;=Finance!AE$3),Headcount!$P$6:$P$92,Headcount!$L$6:$L$92)),0),IF(YEAR(AE$3)=YEAR(Headcount!$Q$4),IF((AE$5=12),(SUMPRODUCT(--(Headcount!$F$6:$F$92="Finance"),--(Headcount!$H$6:$H$92&gt;=Finance!AE$3),Headcount!$Q$6:$Q$92,Headcount!$L$6:$L$92)),0),IF(YEAR(AE$3)=YEAR(Headcount!$R$4),IF((AE$5=12),(SUMPRODUCT(--(Headcount!$F$6:$F$92="Finance"),--(Headcount!$H$6:$H$92&gt;=Finance!AE$3),Headcount!$R$6:$R$92,Headcount!$L$6:$L$92)),0),"New Year"))))),'Dept. Cost Actuals'!AI646)</f>
        <v>0</v>
      </c>
      <c r="AF16" s="684">
        <f>IF(AF$4="forecast",IF(YEAR(AF$3)=YEAR(Headcount!$N$4),IF((AF$5=12),(SUMPRODUCT(--(Headcount!$F$6:$F$92="Finance"),--(Headcount!$H$6:$H$92&gt;=Finance!AF$3),Headcount!$N$6:$N$92,Headcount!$L$6:$L$92)),0),IF(YEAR(AF$3)=YEAR(Headcount!$O$4),IF((AF$5=12),(SUMPRODUCT(--(Headcount!$F$6:$F$92="Finance"),--(Headcount!$H$6:$H$92&gt;=Finance!AF$3),Headcount!$O$6:$O$92,Headcount!$L$6:$L$92)),0),IF(YEAR(AF$3)=YEAR(Headcount!$P$4),IF((AF$5=12),(SUMPRODUCT(--(Headcount!$F$6:$F$92="Finance"),--(Headcount!$H$6:$H$92&gt;=Finance!AF$3),Headcount!$P$6:$P$92,Headcount!$L$6:$L$92)),0),IF(YEAR(AF$3)=YEAR(Headcount!$Q$4),IF((AF$5=12),(SUMPRODUCT(--(Headcount!$F$6:$F$92="Finance"),--(Headcount!$H$6:$H$92&gt;=Finance!AF$3),Headcount!$Q$6:$Q$92,Headcount!$L$6:$L$92)),0),IF(YEAR(AF$3)=YEAR(Headcount!$R$4),IF((AF$5=12),(SUMPRODUCT(--(Headcount!$F$6:$F$92="Finance"),--(Headcount!$H$6:$H$92&gt;=Finance!AF$3),Headcount!$R$6:$R$92,Headcount!$L$6:$L$92)),0),"New Year"))))),'Dept. Cost Actuals'!AJ646)</f>
        <v>0</v>
      </c>
      <c r="AG16" s="684">
        <f>IF(AG$4="forecast",IF(YEAR(AG$3)=YEAR(Headcount!$N$4),IF((AG$5=12),(SUMPRODUCT(--(Headcount!$F$6:$F$92="Finance"),--(Headcount!$H$6:$H$92&gt;=Finance!AG$3),Headcount!$N$6:$N$92,Headcount!$L$6:$L$92)),0),IF(YEAR(AG$3)=YEAR(Headcount!$O$4),IF((AG$5=12),(SUMPRODUCT(--(Headcount!$F$6:$F$92="Finance"),--(Headcount!$H$6:$H$92&gt;=Finance!AG$3),Headcount!$O$6:$O$92,Headcount!$L$6:$L$92)),0),IF(YEAR(AG$3)=YEAR(Headcount!$P$4),IF((AG$5=12),(SUMPRODUCT(--(Headcount!$F$6:$F$92="Finance"),--(Headcount!$H$6:$H$92&gt;=Finance!AG$3),Headcount!$P$6:$P$92,Headcount!$L$6:$L$92)),0),IF(YEAR(AG$3)=YEAR(Headcount!$Q$4),IF((AG$5=12),(SUMPRODUCT(--(Headcount!$F$6:$F$92="Finance"),--(Headcount!$H$6:$H$92&gt;=Finance!AG$3),Headcount!$Q$6:$Q$92,Headcount!$L$6:$L$92)),0),IF(YEAR(AG$3)=YEAR(Headcount!$R$4),IF((AG$5=12),(SUMPRODUCT(--(Headcount!$F$6:$F$92="Finance"),--(Headcount!$H$6:$H$92&gt;=Finance!AG$3),Headcount!$R$6:$R$92,Headcount!$L$6:$L$92)),0),"New Year"))))),'Dept. Cost Actuals'!AK646)</f>
        <v>0</v>
      </c>
      <c r="AH16" s="684">
        <f>IF(AH$4="forecast",IF(YEAR(AH$3)=YEAR(Headcount!$N$4),IF((AH$5=12),(SUMPRODUCT(--(Headcount!$F$6:$F$92="Finance"),--(Headcount!$H$6:$H$92&gt;=Finance!AH$3),Headcount!$N$6:$N$92,Headcount!$L$6:$L$92)),0),IF(YEAR(AH$3)=YEAR(Headcount!$O$4),IF((AH$5=12),(SUMPRODUCT(--(Headcount!$F$6:$F$92="Finance"),--(Headcount!$H$6:$H$92&gt;=Finance!AH$3),Headcount!$O$6:$O$92,Headcount!$L$6:$L$92)),0),IF(YEAR(AH$3)=YEAR(Headcount!$P$4),IF((AH$5=12),(SUMPRODUCT(--(Headcount!$F$6:$F$92="Finance"),--(Headcount!$H$6:$H$92&gt;=Finance!AH$3),Headcount!$P$6:$P$92,Headcount!$L$6:$L$92)),0),IF(YEAR(AH$3)=YEAR(Headcount!$Q$4),IF((AH$5=12),(SUMPRODUCT(--(Headcount!$F$6:$F$92="Finance"),--(Headcount!$H$6:$H$92&gt;=Finance!AH$3),Headcount!$Q$6:$Q$92,Headcount!$L$6:$L$92)),0),IF(YEAR(AH$3)=YEAR(Headcount!$R$4),IF((AH$5=12),(SUMPRODUCT(--(Headcount!$F$6:$F$92="Finance"),--(Headcount!$H$6:$H$92&gt;=Finance!AH$3),Headcount!$R$6:$R$92,Headcount!$L$6:$L$92)),0),"New Year"))))),'Dept. Cost Actuals'!AL646)</f>
        <v>0</v>
      </c>
      <c r="AI16" s="684">
        <f>IF(AI$4="forecast",IF(YEAR(AI$3)=YEAR(Headcount!$N$4),IF((AI$5=12),(SUMPRODUCT(--(Headcount!$F$6:$F$92="Finance"),--(Headcount!$H$6:$H$92&gt;=Finance!AI$3),Headcount!$N$6:$N$92,Headcount!$L$6:$L$92)),0),IF(YEAR(AI$3)=YEAR(Headcount!$O$4),IF((AI$5=12),(SUMPRODUCT(--(Headcount!$F$6:$F$92="Finance"),--(Headcount!$H$6:$H$92&gt;=Finance!AI$3),Headcount!$O$6:$O$92,Headcount!$L$6:$L$92)),0),IF(YEAR(AI$3)=YEAR(Headcount!$P$4),IF((AI$5=12),(SUMPRODUCT(--(Headcount!$F$6:$F$92="Finance"),--(Headcount!$H$6:$H$92&gt;=Finance!AI$3),Headcount!$P$6:$P$92,Headcount!$L$6:$L$92)),0),IF(YEAR(AI$3)=YEAR(Headcount!$Q$4),IF((AI$5=12),(SUMPRODUCT(--(Headcount!$F$6:$F$92="Finance"),--(Headcount!$H$6:$H$92&gt;=Finance!AI$3),Headcount!$Q$6:$Q$92,Headcount!$L$6:$L$92)),0),IF(YEAR(AI$3)=YEAR(Headcount!$R$4),IF((AI$5=12),(SUMPRODUCT(--(Headcount!$F$6:$F$92="Finance"),--(Headcount!$H$6:$H$92&gt;=Finance!AI$3),Headcount!$R$6:$R$92,Headcount!$L$6:$L$92)),0),"New Year"))))),'Dept. Cost Actuals'!AM646)</f>
        <v>0</v>
      </c>
      <c r="AJ16" s="684">
        <f>IF(AJ$4="forecast",IF(YEAR(AJ$3)=YEAR(Headcount!$N$4),IF((AJ$5=12),(SUMPRODUCT(--(Headcount!$F$6:$F$92="Finance"),--(Headcount!$H$6:$H$92&gt;=Finance!AJ$3),Headcount!$N$6:$N$92,Headcount!$L$6:$L$92)),0),IF(YEAR(AJ$3)=YEAR(Headcount!$O$4),IF((AJ$5=12),(SUMPRODUCT(--(Headcount!$F$6:$F$92="Finance"),--(Headcount!$H$6:$H$92&gt;=Finance!AJ$3),Headcount!$O$6:$O$92,Headcount!$L$6:$L$92)),0),IF(YEAR(AJ$3)=YEAR(Headcount!$P$4),IF((AJ$5=12),(SUMPRODUCT(--(Headcount!$F$6:$F$92="Finance"),--(Headcount!$H$6:$H$92&gt;=Finance!AJ$3),Headcount!$P$6:$P$92,Headcount!$L$6:$L$92)),0),IF(YEAR(AJ$3)=YEAR(Headcount!$Q$4),IF((AJ$5=12),(SUMPRODUCT(--(Headcount!$F$6:$F$92="Finance"),--(Headcount!$H$6:$H$92&gt;=Finance!AJ$3),Headcount!$Q$6:$Q$92,Headcount!$L$6:$L$92)),0),IF(YEAR(AJ$3)=YEAR(Headcount!$R$4),IF((AJ$5=12),(SUMPRODUCT(--(Headcount!$F$6:$F$92="Finance"),--(Headcount!$H$6:$H$92&gt;=Finance!AJ$3),Headcount!$R$6:$R$92,Headcount!$L$6:$L$92)),0),"New Year"))))),'Dept. Cost Actuals'!AN646)</f>
        <v>0</v>
      </c>
      <c r="AK16" s="684">
        <f>IF(AK$4="forecast",IF(YEAR(AK$3)=YEAR(Headcount!$N$4),IF((AK$5=12),(SUMPRODUCT(--(Headcount!$F$6:$F$92="Finance"),--(Headcount!$H$6:$H$92&gt;=Finance!AK$3),Headcount!$N$6:$N$92,Headcount!$L$6:$L$92)),0),IF(YEAR(AK$3)=YEAR(Headcount!$O$4),IF((AK$5=12),(SUMPRODUCT(--(Headcount!$F$6:$F$92="Finance"),--(Headcount!$H$6:$H$92&gt;=Finance!AK$3),Headcount!$O$6:$O$92,Headcount!$L$6:$L$92)),0),IF(YEAR(AK$3)=YEAR(Headcount!$P$4),IF((AK$5=12),(SUMPRODUCT(--(Headcount!$F$6:$F$92="Finance"),--(Headcount!$H$6:$H$92&gt;=Finance!AK$3),Headcount!$P$6:$P$92,Headcount!$L$6:$L$92)),0),IF(YEAR(AK$3)=YEAR(Headcount!$Q$4),IF((AK$5=12),(SUMPRODUCT(--(Headcount!$F$6:$F$92="Finance"),--(Headcount!$H$6:$H$92&gt;=Finance!AK$3),Headcount!$Q$6:$Q$92,Headcount!$L$6:$L$92)),0),IF(YEAR(AK$3)=YEAR(Headcount!$R$4),IF((AK$5=12),(SUMPRODUCT(--(Headcount!$F$6:$F$92="Finance"),--(Headcount!$H$6:$H$92&gt;=Finance!AK$3),Headcount!$R$6:$R$92,Headcount!$L$6:$L$92)),0),"New Year"))))),'Dept. Cost Actuals'!AO646)</f>
        <v>0</v>
      </c>
      <c r="AL16" s="684">
        <f>IF(AL$4="forecast",IF(YEAR(AL$3)=YEAR(Headcount!$N$4),IF((AL$5=12),(SUMPRODUCT(--(Headcount!$F$6:$F$92="Finance"),--(Headcount!$H$6:$H$92&gt;=Finance!AL$3),Headcount!$N$6:$N$92,Headcount!$L$6:$L$92)),0),IF(YEAR(AL$3)=YEAR(Headcount!$O$4),IF((AL$5=12),(SUMPRODUCT(--(Headcount!$F$6:$F$92="Finance"),--(Headcount!$H$6:$H$92&gt;=Finance!AL$3),Headcount!$O$6:$O$92,Headcount!$L$6:$L$92)),0),IF(YEAR(AL$3)=YEAR(Headcount!$P$4),IF((AL$5=12),(SUMPRODUCT(--(Headcount!$F$6:$F$92="Finance"),--(Headcount!$H$6:$H$92&gt;=Finance!AL$3),Headcount!$P$6:$P$92,Headcount!$L$6:$L$92)),0),IF(YEAR(AL$3)=YEAR(Headcount!$Q$4),IF((AL$5=12),(SUMPRODUCT(--(Headcount!$F$6:$F$92="Finance"),--(Headcount!$H$6:$H$92&gt;=Finance!AL$3),Headcount!$Q$6:$Q$92,Headcount!$L$6:$L$92)),0),IF(YEAR(AL$3)=YEAR(Headcount!$R$4),IF((AL$5=12),(SUMPRODUCT(--(Headcount!$F$6:$F$92="Finance"),--(Headcount!$H$6:$H$92&gt;=Finance!AL$3),Headcount!$R$6:$R$92,Headcount!$L$6:$L$92)),0),"New Year"))))),'Dept. Cost Actuals'!AP646)</f>
        <v>36565</v>
      </c>
      <c r="AM16" s="684">
        <f>IF(AM$4="forecast",IF(YEAR(AM$3)=YEAR(Headcount!$N$4),IF((AM$5=12),(SUMPRODUCT(--(Headcount!$F$6:$F$92="Finance"),--(Headcount!$H$6:$H$92&gt;=Finance!AM$3),Headcount!$N$6:$N$92,Headcount!$L$6:$L$92)),0),IF(YEAR(AM$3)=YEAR(Headcount!$O$4),IF((AM$5=12),(SUMPRODUCT(--(Headcount!$F$6:$F$92="Finance"),--(Headcount!$H$6:$H$92&gt;=Finance!AM$3),Headcount!$O$6:$O$92,Headcount!$L$6:$L$92)),0),IF(YEAR(AM$3)=YEAR(Headcount!$P$4),IF((AM$5=12),(SUMPRODUCT(--(Headcount!$F$6:$F$92="Finance"),--(Headcount!$H$6:$H$92&gt;=Finance!AM$3),Headcount!$P$6:$P$92,Headcount!$L$6:$L$92)),0),IF(YEAR(AM$3)=YEAR(Headcount!$Q$4),IF((AM$5=12),(SUMPRODUCT(--(Headcount!$F$6:$F$92="Finance"),--(Headcount!$H$6:$H$92&gt;=Finance!AM$3),Headcount!$Q$6:$Q$92,Headcount!$L$6:$L$92)),0),IF(YEAR(AM$3)=YEAR(Headcount!$R$4),IF((AM$5=12),(SUMPRODUCT(--(Headcount!$F$6:$F$92="Finance"),--(Headcount!$H$6:$H$92&gt;=Finance!AM$3),Headcount!$R$6:$R$92,Headcount!$L$6:$L$92)),0),"New Year"))))),'Dept. Cost Actuals'!AQ646)</f>
        <v>0</v>
      </c>
      <c r="AN16" s="684">
        <f>IF(AN$4="forecast",IF(YEAR(AN$3)=YEAR(Headcount!$N$4),IF((AN$5=12),(SUMPRODUCT(--(Headcount!$F$6:$F$92="Finance"),--(Headcount!$H$6:$H$92&gt;=Finance!AN$3),Headcount!$N$6:$N$92,Headcount!$L$6:$L$92)),0),IF(YEAR(AN$3)=YEAR(Headcount!$O$4),IF((AN$5=12),(SUMPRODUCT(--(Headcount!$F$6:$F$92="Finance"),--(Headcount!$H$6:$H$92&gt;=Finance!AN$3),Headcount!$O$6:$O$92,Headcount!$L$6:$L$92)),0),IF(YEAR(AN$3)=YEAR(Headcount!$P$4),IF((AN$5=12),(SUMPRODUCT(--(Headcount!$F$6:$F$92="Finance"),--(Headcount!$H$6:$H$92&gt;=Finance!AN$3),Headcount!$P$6:$P$92,Headcount!$L$6:$L$92)),0),IF(YEAR(AN$3)=YEAR(Headcount!$Q$4),IF((AN$5=12),(SUMPRODUCT(--(Headcount!$F$6:$F$92="Finance"),--(Headcount!$H$6:$H$92&gt;=Finance!AN$3),Headcount!$Q$6:$Q$92,Headcount!$L$6:$L$92)),0),IF(YEAR(AN$3)=YEAR(Headcount!$R$4),IF((AN$5=12),(SUMPRODUCT(--(Headcount!$F$6:$F$92="Finance"),--(Headcount!$H$6:$H$92&gt;=Finance!AN$3),Headcount!$R$6:$R$92,Headcount!$L$6:$L$92)),0),"New Year"))))),'Dept. Cost Actuals'!AR646)</f>
        <v>0</v>
      </c>
      <c r="AO16" s="684">
        <f>IF(AO$4="forecast",IF(YEAR(AO$3)=YEAR(Headcount!$N$4),IF((AO$5=12),(SUMPRODUCT(--(Headcount!$F$6:$F$92="Finance"),--(Headcount!$H$6:$H$92&gt;=Finance!AO$3),Headcount!$N$6:$N$92,Headcount!$L$6:$L$92)),0),IF(YEAR(AO$3)=YEAR(Headcount!$O$4),IF((AO$5=12),(SUMPRODUCT(--(Headcount!$F$6:$F$92="Finance"),--(Headcount!$H$6:$H$92&gt;=Finance!AO$3),Headcount!$O$6:$O$92,Headcount!$L$6:$L$92)),0),IF(YEAR(AO$3)=YEAR(Headcount!$P$4),IF((AO$5=12),(SUMPRODUCT(--(Headcount!$F$6:$F$92="Finance"),--(Headcount!$H$6:$H$92&gt;=Finance!AO$3),Headcount!$P$6:$P$92,Headcount!$L$6:$L$92)),0),IF(YEAR(AO$3)=YEAR(Headcount!$Q$4),IF((AO$5=12),(SUMPRODUCT(--(Headcount!$F$6:$F$92="Finance"),--(Headcount!$H$6:$H$92&gt;=Finance!AO$3),Headcount!$Q$6:$Q$92,Headcount!$L$6:$L$92)),0),IF(YEAR(AO$3)=YEAR(Headcount!$R$4),IF((AO$5=12),(SUMPRODUCT(--(Headcount!$F$6:$F$92="Finance"),--(Headcount!$H$6:$H$92&gt;=Finance!AO$3),Headcount!$R$6:$R$92,Headcount!$L$6:$L$92)),0),"New Year"))))),'Dept. Cost Actuals'!AS646)</f>
        <v>0</v>
      </c>
      <c r="AP16" s="684">
        <f>IF(AP$4="forecast",IF(YEAR(AP$3)=YEAR(Headcount!$N$4),IF((AP$5=12),(SUMPRODUCT(--(Headcount!$F$6:$F$92="Finance"),--(Headcount!$H$6:$H$92&gt;=Finance!AP$3),Headcount!$N$6:$N$92,Headcount!$L$6:$L$92)),0),IF(YEAR(AP$3)=YEAR(Headcount!$O$4),IF((AP$5=12),(SUMPRODUCT(--(Headcount!$F$6:$F$92="Finance"),--(Headcount!$H$6:$H$92&gt;=Finance!AP$3),Headcount!$O$6:$O$92,Headcount!$L$6:$L$92)),0),IF(YEAR(AP$3)=YEAR(Headcount!$P$4),IF((AP$5=12),(SUMPRODUCT(--(Headcount!$F$6:$F$92="Finance"),--(Headcount!$H$6:$H$92&gt;=Finance!AP$3),Headcount!$P$6:$P$92,Headcount!$L$6:$L$92)),0),IF(YEAR(AP$3)=YEAR(Headcount!$Q$4),IF((AP$5=12),(SUMPRODUCT(--(Headcount!$F$6:$F$92="Finance"),--(Headcount!$H$6:$H$92&gt;=Finance!AP$3),Headcount!$Q$6:$Q$92,Headcount!$L$6:$L$92)),0),IF(YEAR(AP$3)=YEAR(Headcount!$R$4),IF((AP$5=12),(SUMPRODUCT(--(Headcount!$F$6:$F$92="Finance"),--(Headcount!$H$6:$H$92&gt;=Finance!AP$3),Headcount!$R$6:$R$92,Headcount!$L$6:$L$92)),0),"New Year"))))),'Dept. Cost Actuals'!AT646)</f>
        <v>0</v>
      </c>
      <c r="AQ16" s="684">
        <f>IF(AQ$4="forecast",IF(YEAR(AQ$3)=YEAR(Headcount!$N$4),IF((AQ$5=12),(SUMPRODUCT(--(Headcount!$F$6:$F$92="Finance"),--(Headcount!$H$6:$H$92&gt;=Finance!AQ$3),Headcount!$N$6:$N$92,Headcount!$L$6:$L$92)),0),IF(YEAR(AQ$3)=YEAR(Headcount!$O$4),IF((AQ$5=12),(SUMPRODUCT(--(Headcount!$F$6:$F$92="Finance"),--(Headcount!$H$6:$H$92&gt;=Finance!AQ$3),Headcount!$O$6:$O$92,Headcount!$L$6:$L$92)),0),IF(YEAR(AQ$3)=YEAR(Headcount!$P$4),IF((AQ$5=12),(SUMPRODUCT(--(Headcount!$F$6:$F$92="Finance"),--(Headcount!$H$6:$H$92&gt;=Finance!AQ$3),Headcount!$P$6:$P$92,Headcount!$L$6:$L$92)),0),IF(YEAR(AQ$3)=YEAR(Headcount!$Q$4),IF((AQ$5=12),(SUMPRODUCT(--(Headcount!$F$6:$F$92="Finance"),--(Headcount!$H$6:$H$92&gt;=Finance!AQ$3),Headcount!$Q$6:$Q$92,Headcount!$L$6:$L$92)),0),IF(YEAR(AQ$3)=YEAR(Headcount!$R$4),IF((AQ$5=12),(SUMPRODUCT(--(Headcount!$F$6:$F$92="Finance"),--(Headcount!$H$6:$H$92&gt;=Finance!AQ$3),Headcount!$R$6:$R$92,Headcount!$L$6:$L$92)),0),"New Year"))))),'Dept. Cost Actuals'!AU646)</f>
        <v>0</v>
      </c>
      <c r="AR16" s="684">
        <f>IF(AR$4="forecast",IF(YEAR(AR$3)=YEAR(Headcount!$N$4),IF((AR$5=12),(SUMPRODUCT(--(Headcount!$F$6:$F$92="Finance"),--(Headcount!$H$6:$H$92&gt;=Finance!AR$3),Headcount!$N$6:$N$92,Headcount!$L$6:$L$92)),0),IF(YEAR(AR$3)=YEAR(Headcount!$O$4),IF((AR$5=12),(SUMPRODUCT(--(Headcount!$F$6:$F$92="Finance"),--(Headcount!$H$6:$H$92&gt;=Finance!AR$3),Headcount!$O$6:$O$92,Headcount!$L$6:$L$92)),0),IF(YEAR(AR$3)=YEAR(Headcount!$P$4),IF((AR$5=12),(SUMPRODUCT(--(Headcount!$F$6:$F$92="Finance"),--(Headcount!$H$6:$H$92&gt;=Finance!AR$3),Headcount!$P$6:$P$92,Headcount!$L$6:$L$92)),0),IF(YEAR(AR$3)=YEAR(Headcount!$Q$4),IF((AR$5=12),(SUMPRODUCT(--(Headcount!$F$6:$F$92="Finance"),--(Headcount!$H$6:$H$92&gt;=Finance!AR$3),Headcount!$Q$6:$Q$92,Headcount!$L$6:$L$92)),0),IF(YEAR(AR$3)=YEAR(Headcount!$R$4),IF((AR$5=12),(SUMPRODUCT(--(Headcount!$F$6:$F$92="Finance"),--(Headcount!$H$6:$H$92&gt;=Finance!AR$3),Headcount!$R$6:$R$92,Headcount!$L$6:$L$92)),0),"New Year"))))),'Dept. Cost Actuals'!AV646)</f>
        <v>0</v>
      </c>
      <c r="AS16" s="684">
        <f>IF(AS$4="forecast",IF(YEAR(AS$3)=YEAR(Headcount!$N$4),IF((AS$5=12),(SUMPRODUCT(--(Headcount!$F$6:$F$92="Finance"),--(Headcount!$H$6:$H$92&gt;=Finance!AS$3),Headcount!$N$6:$N$92,Headcount!$L$6:$L$92)),0),IF(YEAR(AS$3)=YEAR(Headcount!$O$4),IF((AS$5=12),(SUMPRODUCT(--(Headcount!$F$6:$F$92="Finance"),--(Headcount!$H$6:$H$92&gt;=Finance!AS$3),Headcount!$O$6:$O$92,Headcount!$L$6:$L$92)),0),IF(YEAR(AS$3)=YEAR(Headcount!$P$4),IF((AS$5=12),(SUMPRODUCT(--(Headcount!$F$6:$F$92="Finance"),--(Headcount!$H$6:$H$92&gt;=Finance!AS$3),Headcount!$P$6:$P$92,Headcount!$L$6:$L$92)),0),IF(YEAR(AS$3)=YEAR(Headcount!$Q$4),IF((AS$5=12),(SUMPRODUCT(--(Headcount!$F$6:$F$92="Finance"),--(Headcount!$H$6:$H$92&gt;=Finance!AS$3),Headcount!$Q$6:$Q$92,Headcount!$L$6:$L$92)),0),IF(YEAR(AS$3)=YEAR(Headcount!$R$4),IF((AS$5=12),(SUMPRODUCT(--(Headcount!$F$6:$F$92="Finance"),--(Headcount!$H$6:$H$92&gt;=Finance!AS$3),Headcount!$R$6:$R$92,Headcount!$L$6:$L$92)),0),"New Year"))))),'Dept. Cost Actuals'!AW646)</f>
        <v>0</v>
      </c>
      <c r="AT16" s="684">
        <f>IF(AT$4="forecast",IF(YEAR(AT$3)=YEAR(Headcount!$N$4),IF((AT$5=12),(SUMPRODUCT(--(Headcount!$F$6:$F$92="Finance"),--(Headcount!$H$6:$H$92&gt;=Finance!AT$3),Headcount!$N$6:$N$92,Headcount!$L$6:$L$92)),0),IF(YEAR(AT$3)=YEAR(Headcount!$O$4),IF((AT$5=12),(SUMPRODUCT(--(Headcount!$F$6:$F$92="Finance"),--(Headcount!$H$6:$H$92&gt;=Finance!AT$3),Headcount!$O$6:$O$92,Headcount!$L$6:$L$92)),0),IF(YEAR(AT$3)=YEAR(Headcount!$P$4),IF((AT$5=12),(SUMPRODUCT(--(Headcount!$F$6:$F$92="Finance"),--(Headcount!$H$6:$H$92&gt;=Finance!AT$3),Headcount!$P$6:$P$92,Headcount!$L$6:$L$92)),0),IF(YEAR(AT$3)=YEAR(Headcount!$Q$4),IF((AT$5=12),(SUMPRODUCT(--(Headcount!$F$6:$F$92="Finance"),--(Headcount!$H$6:$H$92&gt;=Finance!AT$3),Headcount!$Q$6:$Q$92,Headcount!$L$6:$L$92)),0),IF(YEAR(AT$3)=YEAR(Headcount!$R$4),IF((AT$5=12),(SUMPRODUCT(--(Headcount!$F$6:$F$92="Finance"),--(Headcount!$H$6:$H$92&gt;=Finance!AT$3),Headcount!$R$6:$R$92,Headcount!$L$6:$L$92)),0),"New Year"))))),'Dept. Cost Actuals'!AX646)</f>
        <v>0</v>
      </c>
      <c r="AU16" s="684">
        <f>IF(AU$4="forecast",IF(YEAR(AU$3)=YEAR(Headcount!$N$4),IF((AU$5=12),(SUMPRODUCT(--(Headcount!$F$6:$F$92="Finance"),--(Headcount!$H$6:$H$92&gt;=Finance!AU$3),Headcount!$N$6:$N$92,Headcount!$L$6:$L$92)),0),IF(YEAR(AU$3)=YEAR(Headcount!$O$4),IF((AU$5=12),(SUMPRODUCT(--(Headcount!$F$6:$F$92="Finance"),--(Headcount!$H$6:$H$92&gt;=Finance!AU$3),Headcount!$O$6:$O$92,Headcount!$L$6:$L$92)),0),IF(YEAR(AU$3)=YEAR(Headcount!$P$4),IF((AU$5=12),(SUMPRODUCT(--(Headcount!$F$6:$F$92="Finance"),--(Headcount!$H$6:$H$92&gt;=Finance!AU$3),Headcount!$P$6:$P$92,Headcount!$L$6:$L$92)),0),IF(YEAR(AU$3)=YEAR(Headcount!$Q$4),IF((AU$5=12),(SUMPRODUCT(--(Headcount!$F$6:$F$92="Finance"),--(Headcount!$H$6:$H$92&gt;=Finance!AU$3),Headcount!$Q$6:$Q$92,Headcount!$L$6:$L$92)),0),IF(YEAR(AU$3)=YEAR(Headcount!$R$4),IF((AU$5=12),(SUMPRODUCT(--(Headcount!$F$6:$F$92="Finance"),--(Headcount!$H$6:$H$92&gt;=Finance!AU$3),Headcount!$R$6:$R$92,Headcount!$L$6:$L$92)),0),"New Year"))))),'Dept. Cost Actuals'!AY646)</f>
        <v>0</v>
      </c>
      <c r="AV16" s="684">
        <f>IF(AV$4="forecast",IF(YEAR(AV$3)=YEAR(Headcount!$N$4),IF((AV$5=12),(SUMPRODUCT(--(Headcount!$F$6:$F$92="Finance"),--(Headcount!$H$6:$H$92&gt;=Finance!AV$3),Headcount!$N$6:$N$92,Headcount!$L$6:$L$92)),0),IF(YEAR(AV$3)=YEAR(Headcount!$O$4),IF((AV$5=12),(SUMPRODUCT(--(Headcount!$F$6:$F$92="Finance"),--(Headcount!$H$6:$H$92&gt;=Finance!AV$3),Headcount!$O$6:$O$92,Headcount!$L$6:$L$92)),0),IF(YEAR(AV$3)=YEAR(Headcount!$P$4),IF((AV$5=12),(SUMPRODUCT(--(Headcount!$F$6:$F$92="Finance"),--(Headcount!$H$6:$H$92&gt;=Finance!AV$3),Headcount!$P$6:$P$92,Headcount!$L$6:$L$92)),0),IF(YEAR(AV$3)=YEAR(Headcount!$Q$4),IF((AV$5=12),(SUMPRODUCT(--(Headcount!$F$6:$F$92="Finance"),--(Headcount!$H$6:$H$92&gt;=Finance!AV$3),Headcount!$Q$6:$Q$92,Headcount!$L$6:$L$92)),0),IF(YEAR(AV$3)=YEAR(Headcount!$R$4),IF((AV$5=12),(SUMPRODUCT(--(Headcount!$F$6:$F$92="Finance"),--(Headcount!$H$6:$H$92&gt;=Finance!AV$3),Headcount!$R$6:$R$92,Headcount!$L$6:$L$92)),0),"New Year"))))),'Dept. Cost Actuals'!AZ646)</f>
        <v>0</v>
      </c>
      <c r="AW16" s="684">
        <f>IF(AW$4="forecast",IF(YEAR(AW$3)=YEAR(Headcount!$N$4),IF((AW$5=12),(SUMPRODUCT(--(Headcount!$F$6:$F$92="Finance"),--(Headcount!$H$6:$H$92&gt;=Finance!AW$3),Headcount!$N$6:$N$92,Headcount!$L$6:$L$92)),0),IF(YEAR(AW$3)=YEAR(Headcount!$O$4),IF((AW$5=12),(SUMPRODUCT(--(Headcount!$F$6:$F$92="Finance"),--(Headcount!$H$6:$H$92&gt;=Finance!AW$3),Headcount!$O$6:$O$92,Headcount!$L$6:$L$92)),0),IF(YEAR(AW$3)=YEAR(Headcount!$P$4),IF((AW$5=12),(SUMPRODUCT(--(Headcount!$F$6:$F$92="Finance"),--(Headcount!$H$6:$H$92&gt;=Finance!AW$3),Headcount!$P$6:$P$92,Headcount!$L$6:$L$92)),0),IF(YEAR(AW$3)=YEAR(Headcount!$Q$4),IF((AW$5=12),(SUMPRODUCT(--(Headcount!$F$6:$F$92="Finance"),--(Headcount!$H$6:$H$92&gt;=Finance!AW$3),Headcount!$Q$6:$Q$92,Headcount!$L$6:$L$92)),0),IF(YEAR(AW$3)=YEAR(Headcount!$R$4),IF((AW$5=12),(SUMPRODUCT(--(Headcount!$F$6:$F$92="Finance"),--(Headcount!$H$6:$H$92&gt;=Finance!AW$3),Headcount!$R$6:$R$92,Headcount!$L$6:$L$92)),0),"New Year"))))),'Dept. Cost Actuals'!BA646)</f>
        <v>0</v>
      </c>
      <c r="AX16" s="684">
        <f>IF(AX$4="forecast",IF(YEAR(AX$3)=YEAR(Headcount!$N$4),IF((AX$5=12),(SUMPRODUCT(--(Headcount!$F$6:$F$92="Finance"),--(Headcount!$H$6:$H$92&gt;=Finance!AX$3),Headcount!$N$6:$N$92,Headcount!$L$6:$L$92)),0),IF(YEAR(AX$3)=YEAR(Headcount!$O$4),IF((AX$5=12),(SUMPRODUCT(--(Headcount!$F$6:$F$92="Finance"),--(Headcount!$H$6:$H$92&gt;=Finance!AX$3),Headcount!$O$6:$O$92,Headcount!$L$6:$L$92)),0),IF(YEAR(AX$3)=YEAR(Headcount!$P$4),IF((AX$5=12),(SUMPRODUCT(--(Headcount!$F$6:$F$92="Finance"),--(Headcount!$H$6:$H$92&gt;=Finance!AX$3),Headcount!$P$6:$P$92,Headcount!$L$6:$L$92)),0),IF(YEAR(AX$3)=YEAR(Headcount!$Q$4),IF((AX$5=12),(SUMPRODUCT(--(Headcount!$F$6:$F$92="Finance"),--(Headcount!$H$6:$H$92&gt;=Finance!AX$3),Headcount!$Q$6:$Q$92,Headcount!$L$6:$L$92)),0),IF(YEAR(AX$3)=YEAR(Headcount!$R$4),IF((AX$5=12),(SUMPRODUCT(--(Headcount!$F$6:$F$92="Finance"),--(Headcount!$H$6:$H$92&gt;=Finance!AX$3),Headcount!$R$6:$R$92,Headcount!$L$6:$L$92)),0),"New Year"))))),'Dept. Cost Actuals'!BB646)</f>
        <v>37661.949999999997</v>
      </c>
      <c r="AY16" s="684">
        <f>IF(AY$4="forecast",IF(YEAR(AY$3)=YEAR(Headcount!$N$4),IF((AY$5=12),(SUMPRODUCT(--(Headcount!$F$6:$F$92="Finance"),--(Headcount!$H$6:$H$92&gt;=Finance!AY$3),Headcount!$N$6:$N$92,Headcount!$L$6:$L$92)),0),IF(YEAR(AY$3)=YEAR(Headcount!$O$4),IF((AY$5=12),(SUMPRODUCT(--(Headcount!$F$6:$F$92="Finance"),--(Headcount!$H$6:$H$92&gt;=Finance!AY$3),Headcount!$O$6:$O$92,Headcount!$L$6:$L$92)),0),IF(YEAR(AY$3)=YEAR(Headcount!$P$4),IF((AY$5=12),(SUMPRODUCT(--(Headcount!$F$6:$F$92="Finance"),--(Headcount!$H$6:$H$92&gt;=Finance!AY$3),Headcount!$P$6:$P$92,Headcount!$L$6:$L$92)),0),IF(YEAR(AY$3)=YEAR(Headcount!$Q$4),IF((AY$5=12),(SUMPRODUCT(--(Headcount!$F$6:$F$92="Finance"),--(Headcount!$H$6:$H$92&gt;=Finance!AY$3),Headcount!$Q$6:$Q$92,Headcount!$L$6:$L$92)),0),IF(YEAR(AY$3)=YEAR(Headcount!$R$4),IF((AY$5=12),(SUMPRODUCT(--(Headcount!$F$6:$F$92="Finance"),--(Headcount!$H$6:$H$92&gt;=Finance!AY$3),Headcount!$R$6:$R$92,Headcount!$L$6:$L$92)),0),"New Year"))))),'Dept. Cost Actuals'!BC646)</f>
        <v>0</v>
      </c>
      <c r="AZ16" s="684">
        <f>IF(AZ$4="forecast",IF(YEAR(AZ$3)=YEAR(Headcount!$N$4),IF((AZ$5=12),(SUMPRODUCT(--(Headcount!$F$6:$F$92="Finance"),--(Headcount!$H$6:$H$92&gt;=Finance!AZ$3),Headcount!$N$6:$N$92,Headcount!$L$6:$L$92)),0),IF(YEAR(AZ$3)=YEAR(Headcount!$O$4),IF((AZ$5=12),(SUMPRODUCT(--(Headcount!$F$6:$F$92="Finance"),--(Headcount!$H$6:$H$92&gt;=Finance!AZ$3),Headcount!$O$6:$O$92,Headcount!$L$6:$L$92)),0),IF(YEAR(AZ$3)=YEAR(Headcount!$P$4),IF((AZ$5=12),(SUMPRODUCT(--(Headcount!$F$6:$F$92="Finance"),--(Headcount!$H$6:$H$92&gt;=Finance!AZ$3),Headcount!$P$6:$P$92,Headcount!$L$6:$L$92)),0),IF(YEAR(AZ$3)=YEAR(Headcount!$Q$4),IF((AZ$5=12),(SUMPRODUCT(--(Headcount!$F$6:$F$92="Finance"),--(Headcount!$H$6:$H$92&gt;=Finance!AZ$3),Headcount!$Q$6:$Q$92,Headcount!$L$6:$L$92)),0),IF(YEAR(AZ$3)=YEAR(Headcount!$R$4),IF((AZ$5=12),(SUMPRODUCT(--(Headcount!$F$6:$F$92="Finance"),--(Headcount!$H$6:$H$92&gt;=Finance!AZ$3),Headcount!$R$6:$R$92,Headcount!$L$6:$L$92)),0),"New Year"))))),'Dept. Cost Actuals'!BD646)</f>
        <v>0</v>
      </c>
      <c r="BA16" s="684">
        <f>IF(BA$4="forecast",IF(YEAR(BA$3)=YEAR(Headcount!$N$4),IF((BA$5=12),(SUMPRODUCT(--(Headcount!$F$6:$F$92="Finance"),--(Headcount!$H$6:$H$92&gt;=Finance!BA$3),Headcount!$N$6:$N$92,Headcount!$L$6:$L$92)),0),IF(YEAR(BA$3)=YEAR(Headcount!$O$4),IF((BA$5=12),(SUMPRODUCT(--(Headcount!$F$6:$F$92="Finance"),--(Headcount!$H$6:$H$92&gt;=Finance!BA$3),Headcount!$O$6:$O$92,Headcount!$L$6:$L$92)),0),IF(YEAR(BA$3)=YEAR(Headcount!$P$4),IF((BA$5=12),(SUMPRODUCT(--(Headcount!$F$6:$F$92="Finance"),--(Headcount!$H$6:$H$92&gt;=Finance!BA$3),Headcount!$P$6:$P$92,Headcount!$L$6:$L$92)),0),IF(YEAR(BA$3)=YEAR(Headcount!$Q$4),IF((BA$5=12),(SUMPRODUCT(--(Headcount!$F$6:$F$92="Finance"),--(Headcount!$H$6:$H$92&gt;=Finance!BA$3),Headcount!$Q$6:$Q$92,Headcount!$L$6:$L$92)),0),IF(YEAR(BA$3)=YEAR(Headcount!$R$4),IF((BA$5=12),(SUMPRODUCT(--(Headcount!$F$6:$F$92="Finance"),--(Headcount!$H$6:$H$92&gt;=Finance!BA$3),Headcount!$R$6:$R$92,Headcount!$L$6:$L$92)),0),"New Year"))))),'Dept. Cost Actuals'!BE646)</f>
        <v>0</v>
      </c>
      <c r="BB16" s="684">
        <f>IF(BB$4="forecast",IF(YEAR(BB$3)=YEAR(Headcount!$N$4),IF((BB$5=12),(SUMPRODUCT(--(Headcount!$F$6:$F$92="Finance"),--(Headcount!$H$6:$H$92&gt;=Finance!BB$3),Headcount!$N$6:$N$92,Headcount!$L$6:$L$92)),0),IF(YEAR(BB$3)=YEAR(Headcount!$O$4),IF((BB$5=12),(SUMPRODUCT(--(Headcount!$F$6:$F$92="Finance"),--(Headcount!$H$6:$H$92&gt;=Finance!BB$3),Headcount!$O$6:$O$92,Headcount!$L$6:$L$92)),0),IF(YEAR(BB$3)=YEAR(Headcount!$P$4),IF((BB$5=12),(SUMPRODUCT(--(Headcount!$F$6:$F$92="Finance"),--(Headcount!$H$6:$H$92&gt;=Finance!BB$3),Headcount!$P$6:$P$92,Headcount!$L$6:$L$92)),0),IF(YEAR(BB$3)=YEAR(Headcount!$Q$4),IF((BB$5=12),(SUMPRODUCT(--(Headcount!$F$6:$F$92="Finance"),--(Headcount!$H$6:$H$92&gt;=Finance!BB$3),Headcount!$Q$6:$Q$92,Headcount!$L$6:$L$92)),0),IF(YEAR(BB$3)=YEAR(Headcount!$R$4),IF((BB$5=12),(SUMPRODUCT(--(Headcount!$F$6:$F$92="Finance"),--(Headcount!$H$6:$H$92&gt;=Finance!BB$3),Headcount!$R$6:$R$92,Headcount!$L$6:$L$92)),0),"New Year"))))),'Dept. Cost Actuals'!BF646)</f>
        <v>0</v>
      </c>
      <c r="BC16" s="684">
        <f>IF(BC$4="forecast",IF(YEAR(BC$3)=YEAR(Headcount!$N$4),IF((BC$5=12),(SUMPRODUCT(--(Headcount!$F$6:$F$92="Finance"),--(Headcount!$H$6:$H$92&gt;=Finance!BC$3),Headcount!$N$6:$N$92,Headcount!$L$6:$L$92)),0),IF(YEAR(BC$3)=YEAR(Headcount!$O$4),IF((BC$5=12),(SUMPRODUCT(--(Headcount!$F$6:$F$92="Finance"),--(Headcount!$H$6:$H$92&gt;=Finance!BC$3),Headcount!$O$6:$O$92,Headcount!$L$6:$L$92)),0),IF(YEAR(BC$3)=YEAR(Headcount!$P$4),IF((BC$5=12),(SUMPRODUCT(--(Headcount!$F$6:$F$92="Finance"),--(Headcount!$H$6:$H$92&gt;=Finance!BC$3),Headcount!$P$6:$P$92,Headcount!$L$6:$L$92)),0),IF(YEAR(BC$3)=YEAR(Headcount!$Q$4),IF((BC$5=12),(SUMPRODUCT(--(Headcount!$F$6:$F$92="Finance"),--(Headcount!$H$6:$H$92&gt;=Finance!BC$3),Headcount!$Q$6:$Q$92,Headcount!$L$6:$L$92)),0),IF(YEAR(BC$3)=YEAR(Headcount!$R$4),IF((BC$5=12),(SUMPRODUCT(--(Headcount!$F$6:$F$92="Finance"),--(Headcount!$H$6:$H$92&gt;=Finance!BC$3),Headcount!$R$6:$R$92,Headcount!$L$6:$L$92)),0),"New Year"))))),'Dept. Cost Actuals'!BG646)</f>
        <v>0</v>
      </c>
      <c r="BD16" s="684">
        <f>IF(BD$4="forecast",IF(YEAR(BD$3)=YEAR(Headcount!$N$4),IF((BD$5=12),(SUMPRODUCT(--(Headcount!$F$6:$F$92="Finance"),--(Headcount!$H$6:$H$92&gt;=Finance!BD$3),Headcount!$N$6:$N$92,Headcount!$L$6:$L$92)),0),IF(YEAR(BD$3)=YEAR(Headcount!$O$4),IF((BD$5=12),(SUMPRODUCT(--(Headcount!$F$6:$F$92="Finance"),--(Headcount!$H$6:$H$92&gt;=Finance!BD$3),Headcount!$O$6:$O$92,Headcount!$L$6:$L$92)),0),IF(YEAR(BD$3)=YEAR(Headcount!$P$4),IF((BD$5=12),(SUMPRODUCT(--(Headcount!$F$6:$F$92="Finance"),--(Headcount!$H$6:$H$92&gt;=Finance!BD$3),Headcount!$P$6:$P$92,Headcount!$L$6:$L$92)),0),IF(YEAR(BD$3)=YEAR(Headcount!$Q$4),IF((BD$5=12),(SUMPRODUCT(--(Headcount!$F$6:$F$92="Finance"),--(Headcount!$H$6:$H$92&gt;=Finance!BD$3),Headcount!$Q$6:$Q$92,Headcount!$L$6:$L$92)),0),IF(YEAR(BD$3)=YEAR(Headcount!$R$4),IF((BD$5=12),(SUMPRODUCT(--(Headcount!$F$6:$F$92="Finance"),--(Headcount!$H$6:$H$92&gt;=Finance!BD$3),Headcount!$R$6:$R$92,Headcount!$L$6:$L$92)),0),"New Year"))))),'Dept. Cost Actuals'!BH646)</f>
        <v>0</v>
      </c>
      <c r="BE16" s="684">
        <f>IF(BE$4="forecast",IF(YEAR(BE$3)=YEAR(Headcount!$N$4),IF((BE$5=12),(SUMPRODUCT(--(Headcount!$F$6:$F$92="Finance"),--(Headcount!$H$6:$H$92&gt;=Finance!BE$3),Headcount!$N$6:$N$92,Headcount!$L$6:$L$92)),0),IF(YEAR(BE$3)=YEAR(Headcount!$O$4),IF((BE$5=12),(SUMPRODUCT(--(Headcount!$F$6:$F$92="Finance"),--(Headcount!$H$6:$H$92&gt;=Finance!BE$3),Headcount!$O$6:$O$92,Headcount!$L$6:$L$92)),0),IF(YEAR(BE$3)=YEAR(Headcount!$P$4),IF((BE$5=12),(SUMPRODUCT(--(Headcount!$F$6:$F$92="Finance"),--(Headcount!$H$6:$H$92&gt;=Finance!BE$3),Headcount!$P$6:$P$92,Headcount!$L$6:$L$92)),0),IF(YEAR(BE$3)=YEAR(Headcount!$Q$4),IF((BE$5=12),(SUMPRODUCT(--(Headcount!$F$6:$F$92="Finance"),--(Headcount!$H$6:$H$92&gt;=Finance!BE$3),Headcount!$Q$6:$Q$92,Headcount!$L$6:$L$92)),0),IF(YEAR(BE$3)=YEAR(Headcount!$R$4),IF((BE$5=12),(SUMPRODUCT(--(Headcount!$F$6:$F$92="Finance"),--(Headcount!$H$6:$H$92&gt;=Finance!BE$3),Headcount!$R$6:$R$92,Headcount!$L$6:$L$92)),0),"New Year"))))),'Dept. Cost Actuals'!BI646)</f>
        <v>0</v>
      </c>
      <c r="BF16" s="684">
        <f>IF(BF$4="forecast",IF(YEAR(BF$3)=YEAR(Headcount!$N$4),IF((BF$5=12),(SUMPRODUCT(--(Headcount!$F$6:$F$92="Finance"),--(Headcount!$H$6:$H$92&gt;=Finance!BF$3),Headcount!$N$6:$N$92,Headcount!$L$6:$L$92)),0),IF(YEAR(BF$3)=YEAR(Headcount!$O$4),IF((BF$5=12),(SUMPRODUCT(--(Headcount!$F$6:$F$92="Finance"),--(Headcount!$H$6:$H$92&gt;=Finance!BF$3),Headcount!$O$6:$O$92,Headcount!$L$6:$L$92)),0),IF(YEAR(BF$3)=YEAR(Headcount!$P$4),IF((BF$5=12),(SUMPRODUCT(--(Headcount!$F$6:$F$92="Finance"),--(Headcount!$H$6:$H$92&gt;=Finance!BF$3),Headcount!$P$6:$P$92,Headcount!$L$6:$L$92)),0),IF(YEAR(BF$3)=YEAR(Headcount!$Q$4),IF((BF$5=12),(SUMPRODUCT(--(Headcount!$F$6:$F$92="Finance"),--(Headcount!$H$6:$H$92&gt;=Finance!BF$3),Headcount!$Q$6:$Q$92,Headcount!$L$6:$L$92)),0),IF(YEAR(BF$3)=YEAR(Headcount!$R$4),IF((BF$5=12),(SUMPRODUCT(--(Headcount!$F$6:$F$92="Finance"),--(Headcount!$H$6:$H$92&gt;=Finance!BF$3),Headcount!$R$6:$R$92,Headcount!$L$6:$L$92)),0),"New Year"))))),'Dept. Cost Actuals'!BJ646)</f>
        <v>0</v>
      </c>
      <c r="BG16" s="684">
        <f>IF(BG$4="forecast",IF(YEAR(BG$3)=YEAR(Headcount!$N$4),IF((BG$5=12),(SUMPRODUCT(--(Headcount!$F$6:$F$92="Finance"),--(Headcount!$H$6:$H$92&gt;=Finance!BG$3),Headcount!$N$6:$N$92,Headcount!$L$6:$L$92)),0),IF(YEAR(BG$3)=YEAR(Headcount!$O$4),IF((BG$5=12),(SUMPRODUCT(--(Headcount!$F$6:$F$92="Finance"),--(Headcount!$H$6:$H$92&gt;=Finance!BG$3),Headcount!$O$6:$O$92,Headcount!$L$6:$L$92)),0),IF(YEAR(BG$3)=YEAR(Headcount!$P$4),IF((BG$5=12),(SUMPRODUCT(--(Headcount!$F$6:$F$92="Finance"),--(Headcount!$H$6:$H$92&gt;=Finance!BG$3),Headcount!$P$6:$P$92,Headcount!$L$6:$L$92)),0),IF(YEAR(BG$3)=YEAR(Headcount!$Q$4),IF((BG$5=12),(SUMPRODUCT(--(Headcount!$F$6:$F$92="Finance"),--(Headcount!$H$6:$H$92&gt;=Finance!BG$3),Headcount!$Q$6:$Q$92,Headcount!$L$6:$L$92)),0),IF(YEAR(BG$3)=YEAR(Headcount!$R$4),IF((BG$5=12),(SUMPRODUCT(--(Headcount!$F$6:$F$92="Finance"),--(Headcount!$H$6:$H$92&gt;=Finance!BG$3),Headcount!$R$6:$R$92,Headcount!$L$6:$L$92)),0),"New Year"))))),'Dept. Cost Actuals'!BK646)</f>
        <v>0</v>
      </c>
      <c r="BH16" s="684">
        <f>IF(BH$4="forecast",IF(YEAR(BH$3)=YEAR(Headcount!$N$4),IF((BH$5=12),(SUMPRODUCT(--(Headcount!$F$6:$F$92="Finance"),--(Headcount!$H$6:$H$92&gt;=Finance!BH$3),Headcount!$N$6:$N$92,Headcount!$L$6:$L$92)),0),IF(YEAR(BH$3)=YEAR(Headcount!$O$4),IF((BH$5=12),(SUMPRODUCT(--(Headcount!$F$6:$F$92="Finance"),--(Headcount!$H$6:$H$92&gt;=Finance!BH$3),Headcount!$O$6:$O$92,Headcount!$L$6:$L$92)),0),IF(YEAR(BH$3)=YEAR(Headcount!$P$4),IF((BH$5=12),(SUMPRODUCT(--(Headcount!$F$6:$F$92="Finance"),--(Headcount!$H$6:$H$92&gt;=Finance!BH$3),Headcount!$P$6:$P$92,Headcount!$L$6:$L$92)),0),IF(YEAR(BH$3)=YEAR(Headcount!$Q$4),IF((BH$5=12),(SUMPRODUCT(--(Headcount!$F$6:$F$92="Finance"),--(Headcount!$H$6:$H$92&gt;=Finance!BH$3),Headcount!$Q$6:$Q$92,Headcount!$L$6:$L$92)),0),IF(YEAR(BH$3)=YEAR(Headcount!$R$4),IF((BH$5=12),(SUMPRODUCT(--(Headcount!$F$6:$F$92="Finance"),--(Headcount!$H$6:$H$92&gt;=Finance!BH$3),Headcount!$R$6:$R$92,Headcount!$L$6:$L$92)),0),"New Year"))))),'Dept. Cost Actuals'!BL646)</f>
        <v>0</v>
      </c>
      <c r="BI16" s="684">
        <f>IF(BI$4="forecast",IF(YEAR(BI$3)=YEAR(Headcount!$N$4),IF((BI$5=12),(SUMPRODUCT(--(Headcount!$F$6:$F$92="Finance"),--(Headcount!$H$6:$H$92&gt;=Finance!BI$3),Headcount!$N$6:$N$92,Headcount!$L$6:$L$92)),0),IF(YEAR(BI$3)=YEAR(Headcount!$O$4),IF((BI$5=12),(SUMPRODUCT(--(Headcount!$F$6:$F$92="Finance"),--(Headcount!$H$6:$H$92&gt;=Finance!BI$3),Headcount!$O$6:$O$92,Headcount!$L$6:$L$92)),0),IF(YEAR(BI$3)=YEAR(Headcount!$P$4),IF((BI$5=12),(SUMPRODUCT(--(Headcount!$F$6:$F$92="Finance"),--(Headcount!$H$6:$H$92&gt;=Finance!BI$3),Headcount!$P$6:$P$92,Headcount!$L$6:$L$92)),0),IF(YEAR(BI$3)=YEAR(Headcount!$Q$4),IF((BI$5=12),(SUMPRODUCT(--(Headcount!$F$6:$F$92="Finance"),--(Headcount!$H$6:$H$92&gt;=Finance!BI$3),Headcount!$Q$6:$Q$92,Headcount!$L$6:$L$92)),0),IF(YEAR(BI$3)=YEAR(Headcount!$R$4),IF((BI$5=12),(SUMPRODUCT(--(Headcount!$F$6:$F$92="Finance"),--(Headcount!$H$6:$H$92&gt;=Finance!BI$3),Headcount!$R$6:$R$92,Headcount!$L$6:$L$92)),0),"New Year"))))),'Dept. Cost Actuals'!BM646)</f>
        <v>0</v>
      </c>
      <c r="BJ16" s="684">
        <f>IF(BJ$4="forecast",IF(YEAR(BJ$3)=YEAR(Headcount!$N$4),IF((BJ$5=12),(SUMPRODUCT(--(Headcount!$F$6:$F$92="Finance"),--(Headcount!$H$6:$H$92&gt;=Finance!BJ$3),Headcount!$N$6:$N$92,Headcount!$L$6:$L$92)),0),IF(YEAR(BJ$3)=YEAR(Headcount!$O$4),IF((BJ$5=12),(SUMPRODUCT(--(Headcount!$F$6:$F$92="Finance"),--(Headcount!$H$6:$H$92&gt;=Finance!BJ$3),Headcount!$O$6:$O$92,Headcount!$L$6:$L$92)),0),IF(YEAR(BJ$3)=YEAR(Headcount!$P$4),IF((BJ$5=12),(SUMPRODUCT(--(Headcount!$F$6:$F$92="Finance"),--(Headcount!$H$6:$H$92&gt;=Finance!BJ$3),Headcount!$P$6:$P$92,Headcount!$L$6:$L$92)),0),IF(YEAR(BJ$3)=YEAR(Headcount!$Q$4),IF((BJ$5=12),(SUMPRODUCT(--(Headcount!$F$6:$F$92="Finance"),--(Headcount!$H$6:$H$92&gt;=Finance!BJ$3),Headcount!$Q$6:$Q$92,Headcount!$L$6:$L$92)),0),IF(YEAR(BJ$3)=YEAR(Headcount!$R$4),IF((BJ$5=12),(SUMPRODUCT(--(Headcount!$F$6:$F$92="Finance"),--(Headcount!$H$6:$H$92&gt;=Finance!BJ$3),Headcount!$R$6:$R$92,Headcount!$L$6:$L$92)),0),"New Year"))))),'Dept. Cost Actuals'!BN646)</f>
        <v>38791.808500000006</v>
      </c>
      <c r="BK16" s="684">
        <f>IF(BK$4="forecast",IF(YEAR(BK$3)=YEAR(Headcount!$N$4),IF((BK$5=12),(SUMPRODUCT(--(Headcount!$F$6:$F$92="Finance"),--(Headcount!$H$6:$H$92&gt;=Finance!BK$3),Headcount!$N$6:$N$92,Headcount!$L$6:$L$92)),0),IF(YEAR(BK$3)=YEAR(Headcount!$O$4),IF((BK$5=12),(SUMPRODUCT(--(Headcount!$F$6:$F$92="Finance"),--(Headcount!$H$6:$H$92&gt;=Finance!BK$3),Headcount!$O$6:$O$92,Headcount!$L$6:$L$92)),0),IF(YEAR(BK$3)=YEAR(Headcount!$P$4),IF((BK$5=12),(SUMPRODUCT(--(Headcount!$F$6:$F$92="Finance"),--(Headcount!$H$6:$H$92&gt;=Finance!BK$3),Headcount!$P$6:$P$92,Headcount!$L$6:$L$92)),0),IF(YEAR(BK$3)=YEAR(Headcount!$Q$4),IF((BK$5=12),(SUMPRODUCT(--(Headcount!$F$6:$F$92="Finance"),--(Headcount!$H$6:$H$92&gt;=Finance!BK$3),Headcount!$Q$6:$Q$92,Headcount!$L$6:$L$92)),0),IF(YEAR(BK$3)=YEAR(Headcount!$R$4),IF((BK$5=12),(SUMPRODUCT(--(Headcount!$F$6:$F$92="Finance"),--(Headcount!$H$6:$H$92&gt;=Finance!BK$3),Headcount!$R$6:$R$92,Headcount!$L$6:$L$92)),0),"New Year"))))),'Dept. Cost Actuals'!BO646)</f>
        <v>0</v>
      </c>
      <c r="BL16" s="684">
        <f>IF(BL$4="forecast",IF(YEAR(BL$3)=YEAR(Headcount!$N$4),IF((BL$5=12),(SUMPRODUCT(--(Headcount!$F$6:$F$92="Finance"),--(Headcount!$H$6:$H$92&gt;=Finance!BL$3),Headcount!$N$6:$N$92,Headcount!$L$6:$L$92)),0),IF(YEAR(BL$3)=YEAR(Headcount!$O$4),IF((BL$5=12),(SUMPRODUCT(--(Headcount!$F$6:$F$92="Finance"),--(Headcount!$H$6:$H$92&gt;=Finance!BL$3),Headcount!$O$6:$O$92,Headcount!$L$6:$L$92)),0),IF(YEAR(BL$3)=YEAR(Headcount!$P$4),IF((BL$5=12),(SUMPRODUCT(--(Headcount!$F$6:$F$92="Finance"),--(Headcount!$H$6:$H$92&gt;=Finance!BL$3),Headcount!$P$6:$P$92,Headcount!$L$6:$L$92)),0),IF(YEAR(BL$3)=YEAR(Headcount!$Q$4),IF((BL$5=12),(SUMPRODUCT(--(Headcount!$F$6:$F$92="Finance"),--(Headcount!$H$6:$H$92&gt;=Finance!BL$3),Headcount!$Q$6:$Q$92,Headcount!$L$6:$L$92)),0),IF(YEAR(BL$3)=YEAR(Headcount!$R$4),IF((BL$5=12),(SUMPRODUCT(--(Headcount!$F$6:$F$92="Finance"),--(Headcount!$H$6:$H$92&gt;=Finance!BL$3),Headcount!$R$6:$R$92,Headcount!$L$6:$L$92)),0),"New Year"))))),'Dept. Cost Actuals'!BP646)</f>
        <v>0</v>
      </c>
      <c r="BM16" s="684">
        <f>IF(BM$4="forecast",IF(YEAR(BM$3)=YEAR(Headcount!$N$4),IF((BM$5=12),(SUMPRODUCT(--(Headcount!$F$6:$F$92="Finance"),--(Headcount!$H$6:$H$92&gt;=Finance!BM$3),Headcount!$N$6:$N$92,Headcount!$L$6:$L$92)),0),IF(YEAR(BM$3)=YEAR(Headcount!$O$4),IF((BM$5=12),(SUMPRODUCT(--(Headcount!$F$6:$F$92="Finance"),--(Headcount!$H$6:$H$92&gt;=Finance!BM$3),Headcount!$O$6:$O$92,Headcount!$L$6:$L$92)),0),IF(YEAR(BM$3)=YEAR(Headcount!$P$4),IF((BM$5=12),(SUMPRODUCT(--(Headcount!$F$6:$F$92="Finance"),--(Headcount!$H$6:$H$92&gt;=Finance!BM$3),Headcount!$P$6:$P$92,Headcount!$L$6:$L$92)),0),IF(YEAR(BM$3)=YEAR(Headcount!$Q$4),IF((BM$5=12),(SUMPRODUCT(--(Headcount!$F$6:$F$92="Finance"),--(Headcount!$H$6:$H$92&gt;=Finance!BM$3),Headcount!$Q$6:$Q$92,Headcount!$L$6:$L$92)),0),IF(YEAR(BM$3)=YEAR(Headcount!$R$4),IF((BM$5=12),(SUMPRODUCT(--(Headcount!$F$6:$F$92="Finance"),--(Headcount!$H$6:$H$92&gt;=Finance!BM$3),Headcount!$R$6:$R$92,Headcount!$L$6:$L$92)),0),"New Year"))))),'Dept. Cost Actuals'!BQ646)</f>
        <v>0</v>
      </c>
      <c r="BN16" s="684">
        <f>IF(BN$4="forecast",IF(YEAR(BN$3)=YEAR(Headcount!$N$4),IF((BN$5=12),(SUMPRODUCT(--(Headcount!$F$6:$F$92="Finance"),--(Headcount!$H$6:$H$92&gt;=Finance!BN$3),Headcount!$N$6:$N$92,Headcount!$L$6:$L$92)),0),IF(YEAR(BN$3)=YEAR(Headcount!$O$4),IF((BN$5=12),(SUMPRODUCT(--(Headcount!$F$6:$F$92="Finance"),--(Headcount!$H$6:$H$92&gt;=Finance!BN$3),Headcount!$O$6:$O$92,Headcount!$L$6:$L$92)),0),IF(YEAR(BN$3)=YEAR(Headcount!$P$4),IF((BN$5=12),(SUMPRODUCT(--(Headcount!$F$6:$F$92="Finance"),--(Headcount!$H$6:$H$92&gt;=Finance!BN$3),Headcount!$P$6:$P$92,Headcount!$L$6:$L$92)),0),IF(YEAR(BN$3)=YEAR(Headcount!$Q$4),IF((BN$5=12),(SUMPRODUCT(--(Headcount!$F$6:$F$92="Finance"),--(Headcount!$H$6:$H$92&gt;=Finance!BN$3),Headcount!$Q$6:$Q$92,Headcount!$L$6:$L$92)),0),IF(YEAR(BN$3)=YEAR(Headcount!$R$4),IF((BN$5=12),(SUMPRODUCT(--(Headcount!$F$6:$F$92="Finance"),--(Headcount!$H$6:$H$92&gt;=Finance!BN$3),Headcount!$R$6:$R$92,Headcount!$L$6:$L$92)),0),"New Year"))))),'Dept. Cost Actuals'!BR646)</f>
        <v>0</v>
      </c>
      <c r="BO16" s="684">
        <f>IF(BO$4="forecast",IF(YEAR(BO$3)=YEAR(Headcount!$N$4),IF((BO$5=12),(SUMPRODUCT(--(Headcount!$F$6:$F$92="Finance"),--(Headcount!$H$6:$H$92&gt;=Finance!BO$3),Headcount!$N$6:$N$92,Headcount!$L$6:$L$92)),0),IF(YEAR(BO$3)=YEAR(Headcount!$O$4),IF((BO$5=12),(SUMPRODUCT(--(Headcount!$F$6:$F$92="Finance"),--(Headcount!$H$6:$H$92&gt;=Finance!BO$3),Headcount!$O$6:$O$92,Headcount!$L$6:$L$92)),0),IF(YEAR(BO$3)=YEAR(Headcount!$P$4),IF((BO$5=12),(SUMPRODUCT(--(Headcount!$F$6:$F$92="Finance"),--(Headcount!$H$6:$H$92&gt;=Finance!BO$3),Headcount!$P$6:$P$92,Headcount!$L$6:$L$92)),0),IF(YEAR(BO$3)=YEAR(Headcount!$Q$4),IF((BO$5=12),(SUMPRODUCT(--(Headcount!$F$6:$F$92="Finance"),--(Headcount!$H$6:$H$92&gt;=Finance!BO$3),Headcount!$Q$6:$Q$92,Headcount!$L$6:$L$92)),0),IF(YEAR(BO$3)=YEAR(Headcount!$R$4),IF((BO$5=12),(SUMPRODUCT(--(Headcount!$F$6:$F$92="Finance"),--(Headcount!$H$6:$H$92&gt;=Finance!BO$3),Headcount!$R$6:$R$92,Headcount!$L$6:$L$92)),0),"New Year"))))),'Dept. Cost Actuals'!BS646)</f>
        <v>0</v>
      </c>
      <c r="BP16" s="684">
        <f>IF(BP$4="forecast",IF(YEAR(BP$3)=YEAR(Headcount!$N$4),IF((BP$5=12),(SUMPRODUCT(--(Headcount!$F$6:$F$92="Finance"),--(Headcount!$H$6:$H$92&gt;=Finance!BP$3),Headcount!$N$6:$N$92,Headcount!$L$6:$L$92)),0),IF(YEAR(BP$3)=YEAR(Headcount!$O$4),IF((BP$5=12),(SUMPRODUCT(--(Headcount!$F$6:$F$92="Finance"),--(Headcount!$H$6:$H$92&gt;=Finance!BP$3),Headcount!$O$6:$O$92,Headcount!$L$6:$L$92)),0),IF(YEAR(BP$3)=YEAR(Headcount!$P$4),IF((BP$5=12),(SUMPRODUCT(--(Headcount!$F$6:$F$92="Finance"),--(Headcount!$H$6:$H$92&gt;=Finance!BP$3),Headcount!$P$6:$P$92,Headcount!$L$6:$L$92)),0),IF(YEAR(BP$3)=YEAR(Headcount!$Q$4),IF((BP$5=12),(SUMPRODUCT(--(Headcount!$F$6:$F$92="Finance"),--(Headcount!$H$6:$H$92&gt;=Finance!BP$3),Headcount!$Q$6:$Q$92,Headcount!$L$6:$L$92)),0),IF(YEAR(BP$3)=YEAR(Headcount!$R$4),IF((BP$5=12),(SUMPRODUCT(--(Headcount!$F$6:$F$92="Finance"),--(Headcount!$H$6:$H$92&gt;=Finance!BP$3),Headcount!$R$6:$R$92,Headcount!$L$6:$L$92)),0),"New Year"))))),'Dept. Cost Actuals'!BT646)</f>
        <v>0</v>
      </c>
      <c r="BQ16" s="684">
        <f>IF(BQ$4="forecast",IF(YEAR(BQ$3)=YEAR(Headcount!$N$4),IF((BQ$5=12),(SUMPRODUCT(--(Headcount!$F$6:$F$92="Finance"),--(Headcount!$H$6:$H$92&gt;=Finance!BQ$3),Headcount!$N$6:$N$92,Headcount!$L$6:$L$92)),0),IF(YEAR(BQ$3)=YEAR(Headcount!$O$4),IF((BQ$5=12),(SUMPRODUCT(--(Headcount!$F$6:$F$92="Finance"),--(Headcount!$H$6:$H$92&gt;=Finance!BQ$3),Headcount!$O$6:$O$92,Headcount!$L$6:$L$92)),0),IF(YEAR(BQ$3)=YEAR(Headcount!$P$4),IF((BQ$5=12),(SUMPRODUCT(--(Headcount!$F$6:$F$92="Finance"),--(Headcount!$H$6:$H$92&gt;=Finance!BQ$3),Headcount!$P$6:$P$92,Headcount!$L$6:$L$92)),0),IF(YEAR(BQ$3)=YEAR(Headcount!$Q$4),IF((BQ$5=12),(SUMPRODUCT(--(Headcount!$F$6:$F$92="Finance"),--(Headcount!$H$6:$H$92&gt;=Finance!BQ$3),Headcount!$Q$6:$Q$92,Headcount!$L$6:$L$92)),0),IF(YEAR(BQ$3)=YEAR(Headcount!$R$4),IF((BQ$5=12),(SUMPRODUCT(--(Headcount!$F$6:$F$92="Finance"),--(Headcount!$H$6:$H$92&gt;=Finance!BQ$3),Headcount!$R$6:$R$92,Headcount!$L$6:$L$92)),0),"New Year"))))),'Dept. Cost Actuals'!BU646)</f>
        <v>0</v>
      </c>
      <c r="BR16" s="684">
        <f>IF(BR$4="forecast",IF(YEAR(BR$3)=YEAR(Headcount!$N$4),IF((BR$5=12),(SUMPRODUCT(--(Headcount!$F$6:$F$92="Finance"),--(Headcount!$H$6:$H$92&gt;=Finance!BR$3),Headcount!$N$6:$N$92,Headcount!$L$6:$L$92)),0),IF(YEAR(BR$3)=YEAR(Headcount!$O$4),IF((BR$5=12),(SUMPRODUCT(--(Headcount!$F$6:$F$92="Finance"),--(Headcount!$H$6:$H$92&gt;=Finance!BR$3),Headcount!$O$6:$O$92,Headcount!$L$6:$L$92)),0),IF(YEAR(BR$3)=YEAR(Headcount!$P$4),IF((BR$5=12),(SUMPRODUCT(--(Headcount!$F$6:$F$92="Finance"),--(Headcount!$H$6:$H$92&gt;=Finance!BR$3),Headcount!$P$6:$P$92,Headcount!$L$6:$L$92)),0),IF(YEAR(BR$3)=YEAR(Headcount!$Q$4),IF((BR$5=12),(SUMPRODUCT(--(Headcount!$F$6:$F$92="Finance"),--(Headcount!$H$6:$H$92&gt;=Finance!BR$3),Headcount!$Q$6:$Q$92,Headcount!$L$6:$L$92)),0),IF(YEAR(BR$3)=YEAR(Headcount!$R$4),IF((BR$5=12),(SUMPRODUCT(--(Headcount!$F$6:$F$92="Finance"),--(Headcount!$H$6:$H$92&gt;=Finance!BR$3),Headcount!$R$6:$R$92,Headcount!$L$6:$L$92)),0),"New Year"))))),'Dept. Cost Actuals'!BV646)</f>
        <v>0</v>
      </c>
      <c r="BS16" s="684">
        <f>IF(BS$4="forecast",IF(YEAR(BS$3)=YEAR(Headcount!$N$4),IF((BS$5=12),(SUMPRODUCT(--(Headcount!$F$6:$F$92="Finance"),--(Headcount!$H$6:$H$92&gt;=Finance!BS$3),Headcount!$N$6:$N$92,Headcount!$L$6:$L$92)),0),IF(YEAR(BS$3)=YEAR(Headcount!$O$4),IF((BS$5=12),(SUMPRODUCT(--(Headcount!$F$6:$F$92="Finance"),--(Headcount!$H$6:$H$92&gt;=Finance!BS$3),Headcount!$O$6:$O$92,Headcount!$L$6:$L$92)),0),IF(YEAR(BS$3)=YEAR(Headcount!$P$4),IF((BS$5=12),(SUMPRODUCT(--(Headcount!$F$6:$F$92="Finance"),--(Headcount!$H$6:$H$92&gt;=Finance!BS$3),Headcount!$P$6:$P$92,Headcount!$L$6:$L$92)),0),IF(YEAR(BS$3)=YEAR(Headcount!$Q$4),IF((BS$5=12),(SUMPRODUCT(--(Headcount!$F$6:$F$92="Finance"),--(Headcount!$H$6:$H$92&gt;=Finance!BS$3),Headcount!$Q$6:$Q$92,Headcount!$L$6:$L$92)),0),IF(YEAR(BS$3)=YEAR(Headcount!$R$4),IF((BS$5=12),(SUMPRODUCT(--(Headcount!$F$6:$F$92="Finance"),--(Headcount!$H$6:$H$92&gt;=Finance!BS$3),Headcount!$R$6:$R$92,Headcount!$L$6:$L$92)),0),"New Year"))))),'Dept. Cost Actuals'!BW646)</f>
        <v>0</v>
      </c>
      <c r="BT16" s="684">
        <f>IF(BT$4="forecast",IF(YEAR(BT$3)=YEAR(Headcount!$N$4),IF((BT$5=12),(SUMPRODUCT(--(Headcount!$F$6:$F$92="Finance"),--(Headcount!$H$6:$H$92&gt;=Finance!BT$3),Headcount!$N$6:$N$92,Headcount!$L$6:$L$92)),0),IF(YEAR(BT$3)=YEAR(Headcount!$O$4),IF((BT$5=12),(SUMPRODUCT(--(Headcount!$F$6:$F$92="Finance"),--(Headcount!$H$6:$H$92&gt;=Finance!BT$3),Headcount!$O$6:$O$92,Headcount!$L$6:$L$92)),0),IF(YEAR(BT$3)=YEAR(Headcount!$P$4),IF((BT$5=12),(SUMPRODUCT(--(Headcount!$F$6:$F$92="Finance"),--(Headcount!$H$6:$H$92&gt;=Finance!BT$3),Headcount!$P$6:$P$92,Headcount!$L$6:$L$92)),0),IF(YEAR(BT$3)=YEAR(Headcount!$Q$4),IF((BT$5=12),(SUMPRODUCT(--(Headcount!$F$6:$F$92="Finance"),--(Headcount!$H$6:$H$92&gt;=Finance!BT$3),Headcount!$Q$6:$Q$92,Headcount!$L$6:$L$92)),0),IF(YEAR(BT$3)=YEAR(Headcount!$R$4),IF((BT$5=12),(SUMPRODUCT(--(Headcount!$F$6:$F$92="Finance"),--(Headcount!$H$6:$H$92&gt;=Finance!BT$3),Headcount!$R$6:$R$92,Headcount!$L$6:$L$92)),0),"New Year"))))),'Dept. Cost Actuals'!BX646)</f>
        <v>0</v>
      </c>
      <c r="BU16" s="684">
        <f>IF(BU$4="forecast",IF(YEAR(BU$3)=YEAR(Headcount!$N$4),IF((BU$5=12),(SUMPRODUCT(--(Headcount!$F$6:$F$92="Finance"),--(Headcount!$H$6:$H$92&gt;=Finance!BU$3),Headcount!$N$6:$N$92,Headcount!$L$6:$L$92)),0),IF(YEAR(BU$3)=YEAR(Headcount!$O$4),IF((BU$5=12),(SUMPRODUCT(--(Headcount!$F$6:$F$92="Finance"),--(Headcount!$H$6:$H$92&gt;=Finance!BU$3),Headcount!$O$6:$O$92,Headcount!$L$6:$L$92)),0),IF(YEAR(BU$3)=YEAR(Headcount!$P$4),IF((BU$5=12),(SUMPRODUCT(--(Headcount!$F$6:$F$92="Finance"),--(Headcount!$H$6:$H$92&gt;=Finance!BU$3),Headcount!$P$6:$P$92,Headcount!$L$6:$L$92)),0),IF(YEAR(BU$3)=YEAR(Headcount!$Q$4),IF((BU$5=12),(SUMPRODUCT(--(Headcount!$F$6:$F$92="Finance"),--(Headcount!$H$6:$H$92&gt;=Finance!BU$3),Headcount!$Q$6:$Q$92,Headcount!$L$6:$L$92)),0),IF(YEAR(BU$3)=YEAR(Headcount!$R$4),IF((BU$5=12),(SUMPRODUCT(--(Headcount!$F$6:$F$92="Finance"),--(Headcount!$H$6:$H$92&gt;=Finance!BU$3),Headcount!$R$6:$R$92,Headcount!$L$6:$L$92)),0),"New Year"))))),'Dept. Cost Actuals'!BY646)</f>
        <v>0</v>
      </c>
      <c r="BV16" s="808">
        <f>IF(BV$4="forecast",IF(YEAR(BV$3)=YEAR(Headcount!$N$4),IF((BV$5=12),(SUMPRODUCT(--(Headcount!$F$6:$F$92="Finance"),--(Headcount!$H$6:$H$92&gt;=Finance!BV$3),Headcount!$N$6:$N$92,Headcount!$L$6:$L$92)),0),IF(YEAR(BV$3)=YEAR(Headcount!$O$4),IF((BV$5=12),(SUMPRODUCT(--(Headcount!$F$6:$F$92="Finance"),--(Headcount!$H$6:$H$92&gt;=Finance!BV$3),Headcount!$O$6:$O$92,Headcount!$L$6:$L$92)),0),IF(YEAR(BV$3)=YEAR(Headcount!$P$4),IF((BV$5=12),(SUMPRODUCT(--(Headcount!$F$6:$F$92="Finance"),--(Headcount!$H$6:$H$92&gt;=Finance!BV$3),Headcount!$P$6:$P$92,Headcount!$L$6:$L$92)),0),IF(YEAR(BV$3)=YEAR(Headcount!$Q$4),IF((BV$5=12),(SUMPRODUCT(--(Headcount!$F$6:$F$92="Finance"),--(Headcount!$H$6:$H$92&gt;=Finance!BV$3),Headcount!$Q$6:$Q$92,Headcount!$L$6:$L$92)),0),IF(YEAR(BV$3)=YEAR(Headcount!$R$4),IF((BV$5=12),(SUMPRODUCT(--(Headcount!$F$6:$F$92="Finance"),--(Headcount!$H$6:$H$92&gt;=Finance!BV$3),Headcount!$R$6:$R$92,Headcount!$L$6:$L$92)),0),"New Year"))))),'Dept. Cost Actuals'!BZ646)</f>
        <v>39955.562755000006</v>
      </c>
    </row>
    <row r="17" spans="2:74" s="641" customFormat="1" ht="13" x14ac:dyDescent="0.3">
      <c r="B17" s="809" t="s">
        <v>939</v>
      </c>
      <c r="C17" s="995">
        <f t="shared" ref="C17:N17" si="5">SUM(C15:C16)</f>
        <v>0</v>
      </c>
      <c r="D17" s="995">
        <f t="shared" si="5"/>
        <v>0</v>
      </c>
      <c r="E17" s="995">
        <f t="shared" si="5"/>
        <v>0</v>
      </c>
      <c r="F17" s="995">
        <f t="shared" si="5"/>
        <v>0</v>
      </c>
      <c r="G17" s="995">
        <f t="shared" si="5"/>
        <v>0</v>
      </c>
      <c r="H17" s="995">
        <f t="shared" si="5"/>
        <v>0</v>
      </c>
      <c r="I17" s="995">
        <f t="shared" si="5"/>
        <v>0</v>
      </c>
      <c r="J17" s="995">
        <f t="shared" si="5"/>
        <v>0</v>
      </c>
      <c r="K17" s="995">
        <f t="shared" si="5"/>
        <v>0</v>
      </c>
      <c r="L17" s="995">
        <f t="shared" si="5"/>
        <v>0</v>
      </c>
      <c r="M17" s="995">
        <f t="shared" si="5"/>
        <v>0</v>
      </c>
      <c r="N17" s="995">
        <f t="shared" si="5"/>
        <v>0</v>
      </c>
      <c r="O17" s="995">
        <f t="shared" ref="O17:BV17" si="6">SUM(O15:O16)</f>
        <v>3770.83</v>
      </c>
      <c r="P17" s="995">
        <f t="shared" si="6"/>
        <v>3770.83</v>
      </c>
      <c r="Q17" s="995">
        <f t="shared" si="6"/>
        <v>4025.97</v>
      </c>
      <c r="R17" s="995">
        <f t="shared" si="6"/>
        <v>4451.74</v>
      </c>
      <c r="S17" s="995">
        <f t="shared" si="6"/>
        <v>3770.83</v>
      </c>
      <c r="T17" s="995">
        <f t="shared" si="6"/>
        <v>3770.83</v>
      </c>
      <c r="U17" s="995">
        <f t="shared" si="6"/>
        <v>4763.42</v>
      </c>
      <c r="V17" s="995">
        <f t="shared" si="6"/>
        <v>3770.83</v>
      </c>
      <c r="W17" s="995">
        <f t="shared" si="6"/>
        <v>4015.82</v>
      </c>
      <c r="X17" s="995">
        <f t="shared" si="6"/>
        <v>4763.42</v>
      </c>
      <c r="Y17" s="995">
        <f t="shared" si="6"/>
        <v>3815.83</v>
      </c>
      <c r="Z17" s="995">
        <f t="shared" si="6"/>
        <v>-15197.26</v>
      </c>
      <c r="AA17" s="995">
        <f t="shared" si="6"/>
        <v>0</v>
      </c>
      <c r="AB17" s="995">
        <f t="shared" si="6"/>
        <v>0</v>
      </c>
      <c r="AC17" s="995">
        <f t="shared" si="6"/>
        <v>0</v>
      </c>
      <c r="AD17" s="995">
        <f t="shared" si="6"/>
        <v>0</v>
      </c>
      <c r="AE17" s="995">
        <f t="shared" si="6"/>
        <v>0</v>
      </c>
      <c r="AF17" s="995">
        <f t="shared" si="6"/>
        <v>0</v>
      </c>
      <c r="AG17" s="995">
        <f t="shared" si="6"/>
        <v>0</v>
      </c>
      <c r="AH17" s="995">
        <f t="shared" si="6"/>
        <v>0</v>
      </c>
      <c r="AI17" s="995">
        <f t="shared" si="6"/>
        <v>0</v>
      </c>
      <c r="AJ17" s="995">
        <f t="shared" si="6"/>
        <v>0</v>
      </c>
      <c r="AK17" s="995">
        <f t="shared" si="6"/>
        <v>0</v>
      </c>
      <c r="AL17" s="995">
        <f t="shared" si="6"/>
        <v>160315</v>
      </c>
      <c r="AM17" s="995">
        <f t="shared" si="6"/>
        <v>0</v>
      </c>
      <c r="AN17" s="995">
        <f t="shared" si="6"/>
        <v>0</v>
      </c>
      <c r="AO17" s="995">
        <f t="shared" si="6"/>
        <v>0</v>
      </c>
      <c r="AP17" s="995">
        <f t="shared" si="6"/>
        <v>0</v>
      </c>
      <c r="AQ17" s="995">
        <f t="shared" si="6"/>
        <v>0</v>
      </c>
      <c r="AR17" s="995">
        <f t="shared" si="6"/>
        <v>0</v>
      </c>
      <c r="AS17" s="995">
        <f t="shared" si="6"/>
        <v>0</v>
      </c>
      <c r="AT17" s="995">
        <f t="shared" si="6"/>
        <v>0</v>
      </c>
      <c r="AU17" s="995">
        <f t="shared" si="6"/>
        <v>0</v>
      </c>
      <c r="AV17" s="995">
        <f t="shared" si="6"/>
        <v>0</v>
      </c>
      <c r="AW17" s="995">
        <f t="shared" si="6"/>
        <v>0</v>
      </c>
      <c r="AX17" s="995">
        <f t="shared" si="6"/>
        <v>165124.45000000001</v>
      </c>
      <c r="AY17" s="995">
        <f t="shared" si="6"/>
        <v>0</v>
      </c>
      <c r="AZ17" s="995">
        <f t="shared" si="6"/>
        <v>0</v>
      </c>
      <c r="BA17" s="995">
        <f t="shared" si="6"/>
        <v>0</v>
      </c>
      <c r="BB17" s="995">
        <f t="shared" si="6"/>
        <v>0</v>
      </c>
      <c r="BC17" s="995">
        <f t="shared" si="6"/>
        <v>0</v>
      </c>
      <c r="BD17" s="995">
        <f t="shared" si="6"/>
        <v>0</v>
      </c>
      <c r="BE17" s="995">
        <f t="shared" si="6"/>
        <v>0</v>
      </c>
      <c r="BF17" s="995">
        <f t="shared" si="6"/>
        <v>0</v>
      </c>
      <c r="BG17" s="995">
        <f t="shared" si="6"/>
        <v>0</v>
      </c>
      <c r="BH17" s="995">
        <f t="shared" si="6"/>
        <v>0</v>
      </c>
      <c r="BI17" s="995">
        <f t="shared" si="6"/>
        <v>0</v>
      </c>
      <c r="BJ17" s="995">
        <f t="shared" si="6"/>
        <v>170078.18350000001</v>
      </c>
      <c r="BK17" s="995">
        <f t="shared" si="6"/>
        <v>0</v>
      </c>
      <c r="BL17" s="995">
        <f t="shared" si="6"/>
        <v>0</v>
      </c>
      <c r="BM17" s="995">
        <f t="shared" si="6"/>
        <v>0</v>
      </c>
      <c r="BN17" s="995">
        <f t="shared" si="6"/>
        <v>0</v>
      </c>
      <c r="BO17" s="995">
        <f t="shared" si="6"/>
        <v>0</v>
      </c>
      <c r="BP17" s="995">
        <f t="shared" si="6"/>
        <v>0</v>
      </c>
      <c r="BQ17" s="995">
        <f t="shared" si="6"/>
        <v>0</v>
      </c>
      <c r="BR17" s="995">
        <f t="shared" si="6"/>
        <v>0</v>
      </c>
      <c r="BS17" s="995">
        <f t="shared" si="6"/>
        <v>0</v>
      </c>
      <c r="BT17" s="995">
        <f t="shared" si="6"/>
        <v>0</v>
      </c>
      <c r="BU17" s="995">
        <f t="shared" si="6"/>
        <v>0</v>
      </c>
      <c r="BV17" s="996">
        <f t="shared" si="6"/>
        <v>175180.52900500002</v>
      </c>
    </row>
    <row r="18" spans="2:74" s="641" customFormat="1" ht="13" x14ac:dyDescent="0.3">
      <c r="B18" s="811" t="s">
        <v>940</v>
      </c>
      <c r="C18" s="684">
        <f>IF(C$4="forecast",C$7*'Direct People Department Costs'!$H$7,'Dept. Cost Actuals'!G662)</f>
        <v>79.635799496401887</v>
      </c>
      <c r="D18" s="684">
        <f>IF(D$4="forecast",D$7*'Direct People Department Costs'!$H$7,'Dept. Cost Actuals'!H662)</f>
        <v>47.571414196631828</v>
      </c>
      <c r="E18" s="684">
        <f>IF(E$4="forecast",E$7*'Direct People Department Costs'!$H$7,'Dept. Cost Actuals'!I662)</f>
        <v>67.085710893335957</v>
      </c>
      <c r="F18" s="684">
        <f>IF(F$4="forecast",F$7*'Direct People Department Costs'!$H$7,'Dept. Cost Actuals'!J662)</f>
        <v>-103.00110200944022</v>
      </c>
      <c r="G18" s="684">
        <f>IF(G$4="forecast",G$7*'Direct People Department Costs'!$H$7,'Dept. Cost Actuals'!K662)</f>
        <v>16.603381458639483</v>
      </c>
      <c r="H18" s="684">
        <f>IF(H$4="forecast",H$7*'Direct People Department Costs'!$H$7,'Dept. Cost Actuals'!L662)</f>
        <v>-127.04875876313812</v>
      </c>
      <c r="I18" s="684">
        <f>IF(I$4="forecast",I$7*'Direct People Department Costs'!$H$7,'Dept. Cost Actuals'!M662)</f>
        <v>-50.816661372038567</v>
      </c>
      <c r="J18" s="684">
        <f>IF(J$4="forecast",J$7*'Direct People Department Costs'!$H$7,'Dept. Cost Actuals'!N662)</f>
        <v>-294.42966602875572</v>
      </c>
      <c r="K18" s="684">
        <f>IF(K$4="forecast",K$7*'Direct People Department Costs'!$H$7,'Dept. Cost Actuals'!O662)</f>
        <v>-28.104562373952291</v>
      </c>
      <c r="L18" s="684">
        <f>IF(L$4="forecast",L$7*'Direct People Department Costs'!$H$7,'Dept. Cost Actuals'!P662)</f>
        <v>-69.853372363127178</v>
      </c>
      <c r="M18" s="684">
        <f>IF(M$4="forecast",M$7*'Direct People Department Costs'!$H$7,'Dept. Cost Actuals'!Q662)</f>
        <v>-19.216115292375406</v>
      </c>
      <c r="N18" s="684">
        <f>IF(N$4="forecast",N$7*'Direct People Department Costs'!$H$7,'Dept. Cost Actuals'!R662)</f>
        <v>341.17510993168139</v>
      </c>
      <c r="O18" s="684">
        <f>IF(O$4="forecast",O$7*'Direct People Department Costs'!$H$7,'Dept. Cost Actuals'!S662)</f>
        <v>606.96</v>
      </c>
      <c r="P18" s="684">
        <f>IF(P$4="forecast",P$7*'Direct People Department Costs'!$H$7,'Dept. Cost Actuals'!T662)</f>
        <v>346.91</v>
      </c>
      <c r="Q18" s="684">
        <f>IF(Q$4="forecast",Q$7*'Direct People Department Costs'!$H$7,'Dept. Cost Actuals'!U662)</f>
        <v>346.92</v>
      </c>
      <c r="R18" s="684">
        <f>IF(R$4="forecast",R$7*'Direct People Department Costs'!$H$7,'Dept. Cost Actuals'!V662)</f>
        <v>346.91</v>
      </c>
      <c r="S18" s="684">
        <f>IF(S$4="forecast",S$7*'Direct People Department Costs'!$H$7,'Dept. Cost Actuals'!W662)</f>
        <v>951.81</v>
      </c>
      <c r="T18" s="684">
        <f>IF(T$4="forecast",T$7*'Direct People Department Costs'!$H$7,'Dept. Cost Actuals'!X662)</f>
        <v>1112.57</v>
      </c>
      <c r="U18" s="684">
        <f>IF(U$4="forecast",U$7*'Direct People Department Costs'!$H$7,'Dept. Cost Actuals'!Y662)</f>
        <v>1086.55</v>
      </c>
      <c r="V18" s="684">
        <f>IF(V$4="forecast",V$7*'Direct People Department Costs'!$H$7,'Dept. Cost Actuals'!Z662)</f>
        <v>1038.47</v>
      </c>
      <c r="W18" s="684">
        <f>IF(W$4="forecast",W$7*'Direct People Department Costs'!$H$7,'Dept. Cost Actuals'!AA662)</f>
        <v>1044.44</v>
      </c>
      <c r="X18" s="684">
        <f>IF(X$4="forecast",X$7*'Direct People Department Costs'!$H$7,'Dept. Cost Actuals'!AB662)</f>
        <v>1403.81</v>
      </c>
      <c r="Y18" s="684">
        <f>IF(Y$4="forecast",Y$7*'Direct People Department Costs'!$H$7,'Dept. Cost Actuals'!AC662)</f>
        <v>0</v>
      </c>
      <c r="Z18" s="684">
        <f>IF(Z$4="forecast",Z$7*'Direct People Department Costs'!$H$7,'Dept. Cost Actuals'!AD662)</f>
        <v>0</v>
      </c>
      <c r="AA18" s="684">
        <f>IF(AA$4="forecast",(((SUM($O$18:$Z$18)/12)*1.03)+((400/12)*AA$7)),'Dept. Cost Actuals'!AE158)</f>
        <v>844.49254166666674</v>
      </c>
      <c r="AB18" s="684">
        <f>IF(AB$4="forecast",(((SUM($O$18:$Z$18)/12)*1.03)+((400/12)*AB$7)),'Dept. Cost Actuals'!AF158)</f>
        <v>844.49254166666674</v>
      </c>
      <c r="AC18" s="684">
        <f>IF(AC$4="forecast",(((SUM($O$18:$Z$18)/12)*1.03)+((400/12)*AC$7)),'Dept. Cost Actuals'!AG158)</f>
        <v>844.49254166666674</v>
      </c>
      <c r="AD18" s="684">
        <f>IF(AD$4="forecast",(((SUM($O$18:$Z$18)/12)*1.03)+((400/12)*AD$7)),'Dept. Cost Actuals'!AH158)</f>
        <v>844.49254166666674</v>
      </c>
      <c r="AE18" s="684">
        <f>IF(AE$4="forecast",(((SUM($O$18:$Z$18)/12)*1.03)+((400/12)*AE$7)),'Dept. Cost Actuals'!AI158)</f>
        <v>844.49254166666674</v>
      </c>
      <c r="AF18" s="684">
        <f>IF(AF$4="forecast",(((SUM($O$18:$Z$18)/12)*1.03)+((400/12)*AF$7)),'Dept. Cost Actuals'!AJ158)</f>
        <v>844.49254166666674</v>
      </c>
      <c r="AG18" s="684">
        <f>IF(AG$4="forecast",(((SUM($O$18:$Z$18)/12)*1.03)+((400/12)*AG$7)),'Dept. Cost Actuals'!AK158)</f>
        <v>844.49254166666674</v>
      </c>
      <c r="AH18" s="684">
        <f>IF(AH$4="forecast",(((SUM($O$18:$Z$18)/12)*1.03)+((400/12)*AH$7)),'Dept. Cost Actuals'!AL158)</f>
        <v>844.49254166666674</v>
      </c>
      <c r="AI18" s="684">
        <f>IF(AI$4="forecast",(((SUM($O$18:$Z$18)/12)*1.03)+((400/12)*AI$7)),'Dept. Cost Actuals'!AM158)</f>
        <v>844.49254166666674</v>
      </c>
      <c r="AJ18" s="684">
        <f>IF(AJ$4="forecast",(((SUM($O$18:$Z$18)/12)*1.03)+((400/12)*AJ$7)),'Dept. Cost Actuals'!AN158)</f>
        <v>844.49254166666674</v>
      </c>
      <c r="AK18" s="684">
        <f>IF(AK$4="forecast",(((SUM($O$18:$Z$18)/12)*1.03)+((400/12)*AK$7)),'Dept. Cost Actuals'!AO158)</f>
        <v>844.49254166666674</v>
      </c>
      <c r="AL18" s="684">
        <f>IF(AL$4="forecast",(((SUM($O$18:$Z$18)/12)*1.03)+((400/12)*AL$7)),'Dept. Cost Actuals'!AP158)</f>
        <v>844.49254166666674</v>
      </c>
      <c r="AM18" s="684">
        <f>IF(AM$4="forecast",(((SUM($AA$18:$AL$18)/12)*1.03)+((400/12)*AM$7)),'Dept. Cost Actuals'!AQ158)</f>
        <v>1003.16065125</v>
      </c>
      <c r="AN18" s="684">
        <f>IF(AN$4="forecast",(((SUM($AA$18:$AL$18)/12)*1.03)+((400/12)*AN$7)),'Dept. Cost Actuals'!AR158)</f>
        <v>1003.16065125</v>
      </c>
      <c r="AO18" s="684">
        <f>IF(AO$4="forecast",(((SUM($AA$18:$AL$18)/12)*1.03)+((400/12)*AO$7)),'Dept. Cost Actuals'!AS158)</f>
        <v>1003.16065125</v>
      </c>
      <c r="AP18" s="684">
        <f>IF(AP$4="forecast",(((SUM($AA$18:$AL$18)/12)*1.03)+((400/12)*AP$7)),'Dept. Cost Actuals'!AT158)</f>
        <v>1003.16065125</v>
      </c>
      <c r="AQ18" s="684">
        <f>IF(AQ$4="forecast",(((SUM($AA$18:$AL$18)/12)*1.03)+((400/12)*AQ$7)),'Dept. Cost Actuals'!AU158)</f>
        <v>1003.16065125</v>
      </c>
      <c r="AR18" s="684">
        <f>IF(AR$4="forecast",(((SUM($AA$18:$AL$18)/12)*1.03)+((400/12)*AR$7)),'Dept. Cost Actuals'!AV158)</f>
        <v>1003.16065125</v>
      </c>
      <c r="AS18" s="684">
        <f>IF(AS$4="forecast",(((SUM($AA$18:$AL$18)/12)*1.03)+((400/12)*AS$7)),'Dept. Cost Actuals'!AW158)</f>
        <v>1003.16065125</v>
      </c>
      <c r="AT18" s="684">
        <f>IF(AT$4="forecast",(((SUM($AA$18:$AL$18)/12)*1.03)+((400/12)*AT$7)),'Dept. Cost Actuals'!AX158)</f>
        <v>1003.16065125</v>
      </c>
      <c r="AU18" s="684">
        <f>IF(AU$4="forecast",(((SUM($AA$18:$AL$18)/12)*1.03)+((400/12)*AU$7)),'Dept. Cost Actuals'!AY158)</f>
        <v>1003.16065125</v>
      </c>
      <c r="AV18" s="684">
        <f>IF(AV$4="forecast",(((SUM($AA$18:$AL$18)/12)*1.03)+((400/12)*AV$7)),'Dept. Cost Actuals'!AZ158)</f>
        <v>1003.16065125</v>
      </c>
      <c r="AW18" s="684">
        <f>IF(AW$4="forecast",(((SUM($AA$18:$AL$18)/12)*1.03)+((400/12)*AW$7)),'Dept. Cost Actuals'!BA158)</f>
        <v>1003.16065125</v>
      </c>
      <c r="AX18" s="684">
        <f>IF(AX$4="forecast",(((SUM($AA$18:$AL$18)/12)*1.03)+((400/12)*AX$7)),'Dept. Cost Actuals'!BB158)</f>
        <v>1003.16065125</v>
      </c>
      <c r="AY18" s="684">
        <f>IF(AY$4="forecast",AY$7*'Direct People Department Costs'!$H$7,'Dept. Cost Actuals'!BC662)</f>
        <v>2300</v>
      </c>
      <c r="AZ18" s="684">
        <f>IF(AZ$4="forecast",AZ$7*'Direct People Department Costs'!$H$7,'Dept. Cost Actuals'!BD662)</f>
        <v>2300</v>
      </c>
      <c r="BA18" s="684">
        <f>IF(BA$4="forecast",BA$7*'Direct People Department Costs'!$H$7,'Dept. Cost Actuals'!BE662)</f>
        <v>2300</v>
      </c>
      <c r="BB18" s="684">
        <f>IF(BB$4="forecast",BB$7*'Direct People Department Costs'!$H$7,'Dept. Cost Actuals'!BF662)</f>
        <v>2300</v>
      </c>
      <c r="BC18" s="684">
        <f>IF(BC$4="forecast",BC$7*'Direct People Department Costs'!$H$7,'Dept. Cost Actuals'!BG662)</f>
        <v>2300</v>
      </c>
      <c r="BD18" s="684">
        <f>IF(BD$4="forecast",BD$7*'Direct People Department Costs'!$H$7,'Dept. Cost Actuals'!BH662)</f>
        <v>2300</v>
      </c>
      <c r="BE18" s="684">
        <f>IF(BE$4="forecast",BE$7*'Direct People Department Costs'!$H$7,'Dept. Cost Actuals'!BI662)</f>
        <v>2300</v>
      </c>
      <c r="BF18" s="684">
        <f>IF(BF$4="forecast",BF$7*'Direct People Department Costs'!$H$7,'Dept. Cost Actuals'!BJ662)</f>
        <v>2300</v>
      </c>
      <c r="BG18" s="684">
        <f>IF(BG$4="forecast",BG$7*'Direct People Department Costs'!$H$7,'Dept. Cost Actuals'!BK662)</f>
        <v>2300</v>
      </c>
      <c r="BH18" s="684">
        <f>IF(BH$4="forecast",BH$7*'Direct People Department Costs'!$H$7,'Dept. Cost Actuals'!BL662)</f>
        <v>2300</v>
      </c>
      <c r="BI18" s="684">
        <f>IF(BI$4="forecast",BI$7*'Direct People Department Costs'!$H$7,'Dept. Cost Actuals'!BM662)</f>
        <v>2300</v>
      </c>
      <c r="BJ18" s="684">
        <f>IF(BJ$4="forecast",BJ$7*'Direct People Department Costs'!$H$7,'Dept. Cost Actuals'!BN662)</f>
        <v>2300</v>
      </c>
      <c r="BK18" s="684">
        <f>IF(BK$4="forecast",BK$7*'Direct People Department Costs'!$H$7,'Dept. Cost Actuals'!BO662)</f>
        <v>2300</v>
      </c>
      <c r="BL18" s="684">
        <f>IF(BL$4="forecast",BL$7*'Direct People Department Costs'!$H$7,'Dept. Cost Actuals'!BP662)</f>
        <v>2300</v>
      </c>
      <c r="BM18" s="684">
        <f>IF(BM$4="forecast",BM$7*'Direct People Department Costs'!$H$7,'Dept. Cost Actuals'!BQ662)</f>
        <v>2300</v>
      </c>
      <c r="BN18" s="684">
        <f>IF(BN$4="forecast",BN$7*'Direct People Department Costs'!$H$7,'Dept. Cost Actuals'!BR662)</f>
        <v>2300</v>
      </c>
      <c r="BO18" s="684">
        <f>IF(BO$4="forecast",BO$7*'Direct People Department Costs'!$H$7,'Dept. Cost Actuals'!BS662)</f>
        <v>2300</v>
      </c>
      <c r="BP18" s="684">
        <f>IF(BP$4="forecast",BP$7*'Direct People Department Costs'!$H$7,'Dept. Cost Actuals'!BT662)</f>
        <v>2300</v>
      </c>
      <c r="BQ18" s="684">
        <f>IF(BQ$4="forecast",BQ$7*'Direct People Department Costs'!$H$7,'Dept. Cost Actuals'!BU662)</f>
        <v>2300</v>
      </c>
      <c r="BR18" s="684">
        <f>IF(BR$4="forecast",BR$7*'Direct People Department Costs'!$H$7,'Dept. Cost Actuals'!BV662)</f>
        <v>2300</v>
      </c>
      <c r="BS18" s="684">
        <f>IF(BS$4="forecast",BS$7*'Direct People Department Costs'!$H$7,'Dept. Cost Actuals'!BW662)</f>
        <v>2300</v>
      </c>
      <c r="BT18" s="684">
        <f>IF(BT$4="forecast",BT$7*'Direct People Department Costs'!$H$7,'Dept. Cost Actuals'!BX662)</f>
        <v>2300</v>
      </c>
      <c r="BU18" s="684">
        <f>IF(BU$4="forecast",BU$7*'Direct People Department Costs'!$H$7,'Dept. Cost Actuals'!BY662)</f>
        <v>2300</v>
      </c>
      <c r="BV18" s="808">
        <f>IF(BV$4="forecast",BV$7*'Direct People Department Costs'!$H$7,'Dept. Cost Actuals'!BZ662)</f>
        <v>2300</v>
      </c>
    </row>
    <row r="19" spans="2:74" x14ac:dyDescent="0.35">
      <c r="B19" s="812" t="s">
        <v>941</v>
      </c>
      <c r="C19" s="684">
        <f>IF(C$4="forecast",C$8*'Direct People Department Costs'!$H$8,'Dept. Cost Actuals'!G546)</f>
        <v>0</v>
      </c>
      <c r="D19" s="684">
        <f>IF(D$4="forecast",D$8*'Direct People Department Costs'!$H$8,'Dept. Cost Actuals'!H546)</f>
        <v>0</v>
      </c>
      <c r="E19" s="684">
        <f>IF(E$4="forecast",E$8*'Direct People Department Costs'!$H$8,'Dept. Cost Actuals'!I546)</f>
        <v>0</v>
      </c>
      <c r="F19" s="684">
        <f>IF(F$4="forecast",F$8*'Direct People Department Costs'!$H$8,'Dept. Cost Actuals'!J546)</f>
        <v>0</v>
      </c>
      <c r="G19" s="684">
        <f>IF(G$4="forecast",G$8*'Direct People Department Costs'!$H$8,'Dept. Cost Actuals'!K546)</f>
        <v>0</v>
      </c>
      <c r="H19" s="684">
        <f>IF(H$4="forecast",H$8*'Direct People Department Costs'!$H$8,'Dept. Cost Actuals'!L546)</f>
        <v>0</v>
      </c>
      <c r="I19" s="684">
        <f>IF(I$4="forecast",I$8*'Direct People Department Costs'!$H$8,'Dept. Cost Actuals'!M546)</f>
        <v>0</v>
      </c>
      <c r="J19" s="684">
        <f>IF(J$4="forecast",J$8*'Direct People Department Costs'!$H$8,'Dept. Cost Actuals'!N546)</f>
        <v>0</v>
      </c>
      <c r="K19" s="684">
        <f>IF(K$4="forecast",K$8*'Direct People Department Costs'!$H$8,'Dept. Cost Actuals'!O546)</f>
        <v>0</v>
      </c>
      <c r="L19" s="684">
        <f>IF(L$4="forecast",L$8*'Direct People Department Costs'!$H$8,'Dept. Cost Actuals'!P546)</f>
        <v>0</v>
      </c>
      <c r="M19" s="684">
        <f>IF(M$4="forecast",M$8*'Direct People Department Costs'!$H$8,'Dept. Cost Actuals'!Q546)</f>
        <v>0</v>
      </c>
      <c r="N19" s="684">
        <f>IF(N$4="forecast",N$8*'Direct People Department Costs'!$H$8,'Dept. Cost Actuals'!R546)</f>
        <v>0</v>
      </c>
      <c r="O19" s="684">
        <f>IF(O$4="forecast",O$8*'Direct People Department Costs'!$H$8,'Dept. Cost Actuals'!S546)</f>
        <v>0</v>
      </c>
      <c r="P19" s="684">
        <f>IF(P$4="forecast",P$8*'Direct People Department Costs'!$H$8,'Dept. Cost Actuals'!T546)</f>
        <v>0</v>
      </c>
      <c r="Q19" s="684">
        <f>IF(Q$4="forecast",Q$8*'Direct People Department Costs'!$H$8,'Dept. Cost Actuals'!U546)</f>
        <v>0</v>
      </c>
      <c r="R19" s="684">
        <f>IF(R$4="forecast",R$8*'Direct People Department Costs'!$H$8,'Dept. Cost Actuals'!V546)</f>
        <v>34.21</v>
      </c>
      <c r="S19" s="684">
        <f>IF(S$4="forecast",S$8*'Direct People Department Costs'!$H$8,'Dept. Cost Actuals'!W546)</f>
        <v>0</v>
      </c>
      <c r="T19" s="684">
        <f>IF(T$4="forecast",T$8*'Direct People Department Costs'!$H$8,'Dept. Cost Actuals'!X546)</f>
        <v>197.09</v>
      </c>
      <c r="U19" s="684">
        <f>IF(U$4="forecast",U$8*'Direct People Department Costs'!$H$8,'Dept. Cost Actuals'!Y546)</f>
        <v>0</v>
      </c>
      <c r="V19" s="684">
        <f>IF(V$4="forecast",V$8*'Direct People Department Costs'!$H$8,'Dept. Cost Actuals'!Z546)</f>
        <v>647.39</v>
      </c>
      <c r="W19" s="684">
        <f>IF(W$4="forecast",W$8*'Direct People Department Costs'!$H$8,'Dept. Cost Actuals'!AA546)</f>
        <v>845.51</v>
      </c>
      <c r="X19" s="684">
        <f>IF(X$4="forecast",X$8*'Direct People Department Costs'!$H$8,'Dept. Cost Actuals'!AB546)</f>
        <v>1116.5</v>
      </c>
      <c r="Y19" s="684">
        <f>IF(Y$4="forecast",Y$8*'Direct People Department Costs'!$H$8,'Dept. Cost Actuals'!AC546)</f>
        <v>0</v>
      </c>
      <c r="Z19" s="684">
        <f>IF(Z$4="forecast",Z$8*'Direct People Department Costs'!$H$8,'Dept. Cost Actuals'!AD546)</f>
        <v>0</v>
      </c>
      <c r="AA19" s="684">
        <f>IF(AA$4="forecast",AA$8*'Direct People Department Costs'!$H$8,'Dept. Cost Actuals'!AE546)</f>
        <v>0</v>
      </c>
      <c r="AB19" s="684">
        <f>IF(AB$4="forecast",AB$8*'Direct People Department Costs'!$H$8,'Dept. Cost Actuals'!AF546)</f>
        <v>0</v>
      </c>
      <c r="AC19" s="684">
        <f>IF(AC$4="forecast",AC$8*'Direct People Department Costs'!$H$8,'Dept. Cost Actuals'!AG546)</f>
        <v>0</v>
      </c>
      <c r="AD19" s="684">
        <f>IF(AD$4="forecast",AD$8*'Direct People Department Costs'!$H$8,'Dept. Cost Actuals'!AH546)</f>
        <v>0</v>
      </c>
      <c r="AE19" s="684">
        <f>IF(AE$4="forecast",AE$8*'Direct People Department Costs'!$H$8,'Dept. Cost Actuals'!AI546)</f>
        <v>0</v>
      </c>
      <c r="AF19" s="684">
        <f>IF(AF$4="forecast",AF$8*'Direct People Department Costs'!$H$8,'Dept. Cost Actuals'!AJ546)</f>
        <v>0</v>
      </c>
      <c r="AG19" s="684">
        <f>IF(AG$4="forecast",AG$8*'Direct People Department Costs'!$H$8,'Dept. Cost Actuals'!AK546)</f>
        <v>0</v>
      </c>
      <c r="AH19" s="684">
        <f>IF(AH$4="forecast",AH$8*'Direct People Department Costs'!$H$8,'Dept. Cost Actuals'!AL546)</f>
        <v>0</v>
      </c>
      <c r="AI19" s="684">
        <f>IF(AI$4="forecast",AI$8*'Direct People Department Costs'!$H$8,'Dept. Cost Actuals'!AM546)</f>
        <v>0</v>
      </c>
      <c r="AJ19" s="684">
        <f>IF(AJ$4="forecast",AJ$8*'Direct People Department Costs'!$H$8,'Dept. Cost Actuals'!AN546)</f>
        <v>0</v>
      </c>
      <c r="AK19" s="684">
        <f>IF(AK$4="forecast",AK$8*'Direct People Department Costs'!$H$8,'Dept. Cost Actuals'!AO546)</f>
        <v>0</v>
      </c>
      <c r="AL19" s="684">
        <f>IF(AL$4="forecast",AL$8*'Direct People Department Costs'!$H$8,'Dept. Cost Actuals'!AP546)</f>
        <v>0</v>
      </c>
      <c r="AM19" s="684">
        <f>IF(AM$4="forecast",AM$8*'Direct People Department Costs'!$H$8,'Dept. Cost Actuals'!AQ546)</f>
        <v>0</v>
      </c>
      <c r="AN19" s="684">
        <f>IF(AN$4="forecast",AN$8*'Direct People Department Costs'!$H$8,'Dept. Cost Actuals'!AR546)</f>
        <v>0</v>
      </c>
      <c r="AO19" s="684">
        <f>IF(AO$4="forecast",AO$8*'Direct People Department Costs'!$H$8,'Dept. Cost Actuals'!AS546)</f>
        <v>0</v>
      </c>
      <c r="AP19" s="684">
        <f>IF(AP$4="forecast",AP$8*'Direct People Department Costs'!$H$8,'Dept. Cost Actuals'!AT546)</f>
        <v>0</v>
      </c>
      <c r="AQ19" s="684">
        <f>IF(AQ$4="forecast",AQ$8*'Direct People Department Costs'!$H$8,'Dept. Cost Actuals'!AU546)</f>
        <v>0</v>
      </c>
      <c r="AR19" s="684">
        <f>IF(AR$4="forecast",AR$8*'Direct People Department Costs'!$H$8,'Dept. Cost Actuals'!AV546)</f>
        <v>0</v>
      </c>
      <c r="AS19" s="684">
        <f>IF(AS$4="forecast",AS$8*'Direct People Department Costs'!$H$8,'Dept. Cost Actuals'!AW546)</f>
        <v>0</v>
      </c>
      <c r="AT19" s="684">
        <f>IF(AT$4="forecast",AT$8*'Direct People Department Costs'!$H$8,'Dept. Cost Actuals'!AX546)</f>
        <v>0</v>
      </c>
      <c r="AU19" s="684">
        <f>IF(AU$4="forecast",AU$8*'Direct People Department Costs'!$H$8,'Dept. Cost Actuals'!AY546)</f>
        <v>0</v>
      </c>
      <c r="AV19" s="684">
        <f>IF(AV$4="forecast",AV$8*'Direct People Department Costs'!$H$8,'Dept. Cost Actuals'!AZ546)</f>
        <v>0</v>
      </c>
      <c r="AW19" s="684">
        <f>IF(AW$4="forecast",AW$8*'Direct People Department Costs'!$H$8,'Dept. Cost Actuals'!BA546)</f>
        <v>0</v>
      </c>
      <c r="AX19" s="684">
        <f>IF(AX$4="forecast",AX$8*'Direct People Department Costs'!$H$8,'Dept. Cost Actuals'!BB546)</f>
        <v>0</v>
      </c>
      <c r="AY19" s="684">
        <f>IF(AY$4="forecast",AY$8*'Direct People Department Costs'!$H$8,'Dept. Cost Actuals'!BC546)</f>
        <v>0</v>
      </c>
      <c r="AZ19" s="684">
        <f>IF(AZ$4="forecast",AZ$8*'Direct People Department Costs'!$H$8,'Dept. Cost Actuals'!BD546)</f>
        <v>0</v>
      </c>
      <c r="BA19" s="684">
        <f>IF(BA$4="forecast",BA$8*'Direct People Department Costs'!$H$8,'Dept. Cost Actuals'!BE546)</f>
        <v>0</v>
      </c>
      <c r="BB19" s="684">
        <f>IF(BB$4="forecast",BB$8*'Direct People Department Costs'!$H$8,'Dept. Cost Actuals'!BF546)</f>
        <v>0</v>
      </c>
      <c r="BC19" s="684">
        <f>IF(BC$4="forecast",BC$8*'Direct People Department Costs'!$H$8,'Dept. Cost Actuals'!BG546)</f>
        <v>0</v>
      </c>
      <c r="BD19" s="684">
        <f>IF(BD$4="forecast",BD$8*'Direct People Department Costs'!$H$8,'Dept. Cost Actuals'!BH546)</f>
        <v>0</v>
      </c>
      <c r="BE19" s="684">
        <f>IF(BE$4="forecast",BE$8*'Direct People Department Costs'!$H$8,'Dept. Cost Actuals'!BI546)</f>
        <v>0</v>
      </c>
      <c r="BF19" s="684">
        <f>IF(BF$4="forecast",BF$8*'Direct People Department Costs'!$H$8,'Dept. Cost Actuals'!BJ546)</f>
        <v>0</v>
      </c>
      <c r="BG19" s="684">
        <f>IF(BG$4="forecast",BG$8*'Direct People Department Costs'!$H$8,'Dept. Cost Actuals'!BK546)</f>
        <v>0</v>
      </c>
      <c r="BH19" s="684">
        <f>IF(BH$4="forecast",BH$8*'Direct People Department Costs'!$H$8,'Dept. Cost Actuals'!BL546)</f>
        <v>0</v>
      </c>
      <c r="BI19" s="684">
        <f>IF(BI$4="forecast",BI$8*'Direct People Department Costs'!$H$8,'Dept. Cost Actuals'!BM546)</f>
        <v>0</v>
      </c>
      <c r="BJ19" s="684">
        <f>IF(BJ$4="forecast",BJ$8*'Direct People Department Costs'!$H$8,'Dept. Cost Actuals'!BN546)</f>
        <v>0</v>
      </c>
      <c r="BK19" s="684">
        <f>IF(BK$4="forecast",BK$8*'Direct People Department Costs'!$H$8,'Dept. Cost Actuals'!BO546)</f>
        <v>0</v>
      </c>
      <c r="BL19" s="684">
        <f>IF(BL$4="forecast",BL$8*'Direct People Department Costs'!$H$8,'Dept. Cost Actuals'!BP546)</f>
        <v>0</v>
      </c>
      <c r="BM19" s="684">
        <f>IF(BM$4="forecast",BM$8*'Direct People Department Costs'!$H$8,'Dept. Cost Actuals'!BQ546)</f>
        <v>0</v>
      </c>
      <c r="BN19" s="684">
        <f>IF(BN$4="forecast",BN$8*'Direct People Department Costs'!$H$8,'Dept. Cost Actuals'!BR546)</f>
        <v>0</v>
      </c>
      <c r="BO19" s="684">
        <f>IF(BO$4="forecast",BO$8*'Direct People Department Costs'!$H$8,'Dept. Cost Actuals'!BS546)</f>
        <v>0</v>
      </c>
      <c r="BP19" s="684">
        <f>IF(BP$4="forecast",BP$8*'Direct People Department Costs'!$H$8,'Dept. Cost Actuals'!BT546)</f>
        <v>0</v>
      </c>
      <c r="BQ19" s="684">
        <f>IF(BQ$4="forecast",BQ$8*'Direct People Department Costs'!$H$8,'Dept. Cost Actuals'!BU546)</f>
        <v>0</v>
      </c>
      <c r="BR19" s="684">
        <f>IF(BR$4="forecast",BR$8*'Direct People Department Costs'!$H$8,'Dept. Cost Actuals'!BV546)</f>
        <v>0</v>
      </c>
      <c r="BS19" s="684">
        <f>IF(BS$4="forecast",BS$8*'Direct People Department Costs'!$H$8,'Dept. Cost Actuals'!BW546)</f>
        <v>0</v>
      </c>
      <c r="BT19" s="684">
        <f>IF(BT$4="forecast",BT$8*'Direct People Department Costs'!$H$8,'Dept. Cost Actuals'!BX546)</f>
        <v>0</v>
      </c>
      <c r="BU19" s="684">
        <f>IF(BU$4="forecast",BU$8*'Direct People Department Costs'!$H$8,'Dept. Cost Actuals'!BY546)</f>
        <v>0</v>
      </c>
      <c r="BV19" s="808">
        <f>IF(BV$4="forecast",BV$8*'Direct People Department Costs'!$H$8,'Dept. Cost Actuals'!BZ546)</f>
        <v>0</v>
      </c>
    </row>
    <row r="20" spans="2:74" x14ac:dyDescent="0.35">
      <c r="B20" s="812" t="s">
        <v>925</v>
      </c>
      <c r="C20" s="684">
        <f>IF(C$4="forecast",C$8*'Direct People Department Costs'!$H$9,'Dept. Cost Actuals'!G665)</f>
        <v>0</v>
      </c>
      <c r="D20" s="684">
        <f>IF(D$4="forecast",D$8*'Direct People Department Costs'!$H$9,'Dept. Cost Actuals'!H665)</f>
        <v>0</v>
      </c>
      <c r="E20" s="684">
        <f>IF(E$4="forecast",E$8*'Direct People Department Costs'!$H$9,'Dept. Cost Actuals'!I665)</f>
        <v>0</v>
      </c>
      <c r="F20" s="684">
        <f>IF(F$4="forecast",F$8*'Direct People Department Costs'!$H$9,'Dept. Cost Actuals'!J665)</f>
        <v>27.75402500191468</v>
      </c>
      <c r="G20" s="684">
        <f>IF(G$4="forecast",G$8*'Direct People Department Costs'!$H$9,'Dept. Cost Actuals'!K665)</f>
        <v>0</v>
      </c>
      <c r="H20" s="684">
        <f>IF(H$4="forecast",H$8*'Direct People Department Costs'!$H$9,'Dept. Cost Actuals'!L665)</f>
        <v>42.421495443214226</v>
      </c>
      <c r="I20" s="684">
        <f>IF(I$4="forecast",I$8*'Direct People Department Costs'!$H$9,'Dept. Cost Actuals'!M665)</f>
        <v>0</v>
      </c>
      <c r="J20" s="684">
        <f>IF(J$4="forecast",J$8*'Direct People Department Costs'!$H$9,'Dept. Cost Actuals'!N665)</f>
        <v>0</v>
      </c>
      <c r="K20" s="684">
        <f>IF(K$4="forecast",K$8*'Direct People Department Costs'!$H$9,'Dept. Cost Actuals'!O665)</f>
        <v>0</v>
      </c>
      <c r="L20" s="684">
        <f>IF(L$4="forecast",L$8*'Direct People Department Costs'!$H$9,'Dept. Cost Actuals'!P665)</f>
        <v>0</v>
      </c>
      <c r="M20" s="684">
        <f>IF(M$4="forecast",M$8*'Direct People Department Costs'!$H$9,'Dept. Cost Actuals'!Q665)</f>
        <v>0</v>
      </c>
      <c r="N20" s="684">
        <f>IF(N$4="forecast",N$8*'Direct People Department Costs'!$H$9,'Dept. Cost Actuals'!R665)</f>
        <v>43.714463102746194</v>
      </c>
      <c r="O20" s="684">
        <f>IF(O$4="forecast",O$8*'Direct People Department Costs'!$H$9,'Dept. Cost Actuals'!S665)</f>
        <v>0</v>
      </c>
      <c r="P20" s="684">
        <f>IF(P$4="forecast",P$8*'Direct People Department Costs'!$H$9,'Dept. Cost Actuals'!T665)</f>
        <v>0</v>
      </c>
      <c r="Q20" s="684">
        <f>IF(Q$4="forecast",Q$8*'Direct People Department Costs'!$H$9,'Dept. Cost Actuals'!U665)</f>
        <v>0</v>
      </c>
      <c r="R20" s="684">
        <f>IF(R$4="forecast",R$8*'Direct People Department Costs'!$H$9,'Dept. Cost Actuals'!V665)</f>
        <v>0</v>
      </c>
      <c r="S20" s="684">
        <f>IF(S$4="forecast",S$8*'Direct People Department Costs'!$H$9,'Dept. Cost Actuals'!W665)</f>
        <v>0</v>
      </c>
      <c r="T20" s="684">
        <f>IF(T$4="forecast",T$8*'Direct People Department Costs'!$H$9,'Dept. Cost Actuals'!X665)</f>
        <v>0</v>
      </c>
      <c r="U20" s="684">
        <f>IF(U$4="forecast",U$8*'Direct People Department Costs'!$H$9,'Dept. Cost Actuals'!Y665)</f>
        <v>0</v>
      </c>
      <c r="V20" s="684">
        <f>IF(V$4="forecast",V$8*'Direct People Department Costs'!$H$9,'Dept. Cost Actuals'!Z665)</f>
        <v>0</v>
      </c>
      <c r="W20" s="684">
        <f>IF(W$4="forecast",W$8*'Direct People Department Costs'!$H$9,'Dept. Cost Actuals'!AA665)</f>
        <v>0</v>
      </c>
      <c r="X20" s="684">
        <f>IF(X$4="forecast",X$8*'Direct People Department Costs'!$H$9,'Dept. Cost Actuals'!AB665)</f>
        <v>0</v>
      </c>
      <c r="Y20" s="684">
        <f>IF(Y$4="forecast",Y$8*'Direct People Department Costs'!$H$9,'Dept. Cost Actuals'!AC665)</f>
        <v>0</v>
      </c>
      <c r="Z20" s="684">
        <f>IF(Z$4="forecast",Z$8*'Direct People Department Costs'!$H$9,'Dept. Cost Actuals'!AD665)</f>
        <v>0</v>
      </c>
      <c r="AA20" s="684">
        <f>IF(AA$4="forecast",AA$8*'Direct People Department Costs'!$H$9,'Dept. Cost Actuals'!AE665)</f>
        <v>0</v>
      </c>
      <c r="AB20" s="684">
        <f>IF(AB$4="forecast",AB$8*'Direct People Department Costs'!$H$9,'Dept. Cost Actuals'!AF665)</f>
        <v>0</v>
      </c>
      <c r="AC20" s="684">
        <f>IF(AC$4="forecast",AC$8*'Direct People Department Costs'!$H$9,'Dept. Cost Actuals'!AG665)</f>
        <v>0</v>
      </c>
      <c r="AD20" s="684">
        <f>IF(AD$4="forecast",AD$8*'Direct People Department Costs'!$H$9,'Dept. Cost Actuals'!AH665)</f>
        <v>0</v>
      </c>
      <c r="AE20" s="684">
        <f>IF(AE$4="forecast",AE$8*'Direct People Department Costs'!$H$9,'Dept. Cost Actuals'!AI665)</f>
        <v>0</v>
      </c>
      <c r="AF20" s="684">
        <f>IF(AF$4="forecast",AF$8*'Direct People Department Costs'!$H$9,'Dept. Cost Actuals'!AJ665)</f>
        <v>0</v>
      </c>
      <c r="AG20" s="684">
        <f>IF(AG$4="forecast",AG$8*'Direct People Department Costs'!$H$9,'Dept. Cost Actuals'!AK665)</f>
        <v>0</v>
      </c>
      <c r="AH20" s="684">
        <f>IF(AH$4="forecast",AH$8*'Direct People Department Costs'!$H$9,'Dept. Cost Actuals'!AL665)</f>
        <v>0</v>
      </c>
      <c r="AI20" s="684">
        <f>IF(AI$4="forecast",AI$8*'Direct People Department Costs'!$H$9,'Dept. Cost Actuals'!AM665)</f>
        <v>0</v>
      </c>
      <c r="AJ20" s="684">
        <f>IF(AJ$4="forecast",AJ$8*'Direct People Department Costs'!$H$9,'Dept. Cost Actuals'!AN665)</f>
        <v>0</v>
      </c>
      <c r="AK20" s="684">
        <f>IF(AK$4="forecast",AK$8*'Direct People Department Costs'!$H$9,'Dept. Cost Actuals'!AO665)</f>
        <v>0</v>
      </c>
      <c r="AL20" s="684">
        <f>IF(AL$4="forecast",AL$8*'Direct People Department Costs'!$H$9,'Dept. Cost Actuals'!AP665)</f>
        <v>0</v>
      </c>
      <c r="AM20" s="684">
        <f>IF(AM$4="forecast",AM$8*'Direct People Department Costs'!$H$9,'Dept. Cost Actuals'!AQ665)</f>
        <v>0</v>
      </c>
      <c r="AN20" s="684">
        <f>IF(AN$4="forecast",AN$8*'Direct People Department Costs'!$H$9,'Dept. Cost Actuals'!AR665)</f>
        <v>0</v>
      </c>
      <c r="AO20" s="684">
        <f>IF(AO$4="forecast",AO$8*'Direct People Department Costs'!$H$9,'Dept. Cost Actuals'!AS665)</f>
        <v>0</v>
      </c>
      <c r="AP20" s="684">
        <f>IF(AP$4="forecast",AP$8*'Direct People Department Costs'!$H$9,'Dept. Cost Actuals'!AT665)</f>
        <v>0</v>
      </c>
      <c r="AQ20" s="684">
        <f>IF(AQ$4="forecast",AQ$8*'Direct People Department Costs'!$H$9,'Dept. Cost Actuals'!AU665)</f>
        <v>0</v>
      </c>
      <c r="AR20" s="684">
        <f>IF(AR$4="forecast",AR$8*'Direct People Department Costs'!$H$9,'Dept. Cost Actuals'!AV665)</f>
        <v>0</v>
      </c>
      <c r="AS20" s="684">
        <f>IF(AS$4="forecast",AS$8*'Direct People Department Costs'!$H$9,'Dept. Cost Actuals'!AW665)</f>
        <v>0</v>
      </c>
      <c r="AT20" s="684">
        <f>IF(AT$4="forecast",AT$8*'Direct People Department Costs'!$H$9,'Dept. Cost Actuals'!AX665)</f>
        <v>0</v>
      </c>
      <c r="AU20" s="684">
        <f>IF(AU$4="forecast",AU$8*'Direct People Department Costs'!$H$9,'Dept. Cost Actuals'!AY665)</f>
        <v>0</v>
      </c>
      <c r="AV20" s="684">
        <f>IF(AV$4="forecast",AV$8*'Direct People Department Costs'!$H$9,'Dept. Cost Actuals'!AZ665)</f>
        <v>0</v>
      </c>
      <c r="AW20" s="684">
        <f>IF(AW$4="forecast",AW$8*'Direct People Department Costs'!$H$9,'Dept. Cost Actuals'!BA665)</f>
        <v>0</v>
      </c>
      <c r="AX20" s="684">
        <f>IF(AX$4="forecast",AX$8*'Direct People Department Costs'!$H$9,'Dept. Cost Actuals'!BB665)</f>
        <v>0</v>
      </c>
      <c r="AY20" s="684">
        <f>IF(AY$4="forecast",AY$8*'Direct People Department Costs'!$H$9,'Dept. Cost Actuals'!BC665)</f>
        <v>0</v>
      </c>
      <c r="AZ20" s="684">
        <f>IF(AZ$4="forecast",AZ$8*'Direct People Department Costs'!$H$9,'Dept. Cost Actuals'!BD665)</f>
        <v>0</v>
      </c>
      <c r="BA20" s="684">
        <f>IF(BA$4="forecast",BA$8*'Direct People Department Costs'!$H$9,'Dept. Cost Actuals'!BE665)</f>
        <v>0</v>
      </c>
      <c r="BB20" s="684">
        <f>IF(BB$4="forecast",BB$8*'Direct People Department Costs'!$H$9,'Dept. Cost Actuals'!BF665)</f>
        <v>0</v>
      </c>
      <c r="BC20" s="684">
        <f>IF(BC$4="forecast",BC$8*'Direct People Department Costs'!$H$9,'Dept. Cost Actuals'!BG665)</f>
        <v>0</v>
      </c>
      <c r="BD20" s="684">
        <f>IF(BD$4="forecast",BD$8*'Direct People Department Costs'!$H$9,'Dept. Cost Actuals'!BH665)</f>
        <v>0</v>
      </c>
      <c r="BE20" s="684">
        <f>IF(BE$4="forecast",BE$8*'Direct People Department Costs'!$H$9,'Dept. Cost Actuals'!BI665)</f>
        <v>0</v>
      </c>
      <c r="BF20" s="684">
        <f>IF(BF$4="forecast",BF$8*'Direct People Department Costs'!$H$9,'Dept. Cost Actuals'!BJ665)</f>
        <v>0</v>
      </c>
      <c r="BG20" s="684">
        <f>IF(BG$4="forecast",BG$8*'Direct People Department Costs'!$H$9,'Dept. Cost Actuals'!BK665)</f>
        <v>0</v>
      </c>
      <c r="BH20" s="684">
        <f>IF(BH$4="forecast",BH$8*'Direct People Department Costs'!$H$9,'Dept. Cost Actuals'!BL665)</f>
        <v>0</v>
      </c>
      <c r="BI20" s="684">
        <f>IF(BI$4="forecast",BI$8*'Direct People Department Costs'!$H$9,'Dept. Cost Actuals'!BM665)</f>
        <v>0</v>
      </c>
      <c r="BJ20" s="684">
        <f>IF(BJ$4="forecast",BJ$8*'Direct People Department Costs'!$H$9,'Dept. Cost Actuals'!BN665)</f>
        <v>0</v>
      </c>
      <c r="BK20" s="684">
        <f>IF(BK$4="forecast",BK$8*'Direct People Department Costs'!$H$9,'Dept. Cost Actuals'!BO665)</f>
        <v>0</v>
      </c>
      <c r="BL20" s="684">
        <f>IF(BL$4="forecast",BL$8*'Direct People Department Costs'!$H$9,'Dept. Cost Actuals'!BP665)</f>
        <v>0</v>
      </c>
      <c r="BM20" s="684">
        <f>IF(BM$4="forecast",BM$8*'Direct People Department Costs'!$H$9,'Dept. Cost Actuals'!BQ665)</f>
        <v>0</v>
      </c>
      <c r="BN20" s="684">
        <f>IF(BN$4="forecast",BN$8*'Direct People Department Costs'!$H$9,'Dept. Cost Actuals'!BR665)</f>
        <v>0</v>
      </c>
      <c r="BO20" s="684">
        <f>IF(BO$4="forecast",BO$8*'Direct People Department Costs'!$H$9,'Dept. Cost Actuals'!BS665)</f>
        <v>0</v>
      </c>
      <c r="BP20" s="684">
        <f>IF(BP$4="forecast",BP$8*'Direct People Department Costs'!$H$9,'Dept. Cost Actuals'!BT665)</f>
        <v>0</v>
      </c>
      <c r="BQ20" s="684">
        <f>IF(BQ$4="forecast",BQ$8*'Direct People Department Costs'!$H$9,'Dept. Cost Actuals'!BU665)</f>
        <v>0</v>
      </c>
      <c r="BR20" s="684">
        <f>IF(BR$4="forecast",BR$8*'Direct People Department Costs'!$H$9,'Dept. Cost Actuals'!BV665)</f>
        <v>0</v>
      </c>
      <c r="BS20" s="684">
        <f>IF(BS$4="forecast",BS$8*'Direct People Department Costs'!$H$9,'Dept. Cost Actuals'!BW665)</f>
        <v>0</v>
      </c>
      <c r="BT20" s="684">
        <f>IF(BT$4="forecast",BT$8*'Direct People Department Costs'!$H$9,'Dept. Cost Actuals'!BX665)</f>
        <v>0</v>
      </c>
      <c r="BU20" s="684">
        <f>IF(BU$4="forecast",BU$8*'Direct People Department Costs'!$H$9,'Dept. Cost Actuals'!BY665)</f>
        <v>0</v>
      </c>
      <c r="BV20" s="808">
        <f>IF(BV$4="forecast",BV$8*'Direct People Department Costs'!$H$9,'Dept. Cost Actuals'!BZ665)</f>
        <v>0</v>
      </c>
    </row>
    <row r="21" spans="2:74" x14ac:dyDescent="0.35">
      <c r="B21" s="812" t="s">
        <v>433</v>
      </c>
      <c r="C21" s="684">
        <f>IF(C$4="forecast",(AVERAGE(#REF!)),'Dept. Cost Actuals'!G619)</f>
        <v>10.393967486274889</v>
      </c>
      <c r="D21" s="684">
        <f>IF(D$4="forecast",(AVERAGE(#REF!)),'Dept. Cost Actuals'!H619)</f>
        <v>30.22850310838238</v>
      </c>
      <c r="E21" s="684">
        <f>IF(E$4="forecast",(AVERAGE(#REF!)),'Dept. Cost Actuals'!I619)</f>
        <v>21.909382112135201</v>
      </c>
      <c r="F21" s="684">
        <f>IF(F$4="forecast",(AVERAGE(#REF!)),'Dept. Cost Actuals'!J619)</f>
        <v>34.787917454110463</v>
      </c>
      <c r="G21" s="684">
        <f>IF(G$4="forecast",(AVERAGE(#REF!)),'Dept. Cost Actuals'!K619)</f>
        <v>8.9490822223572462</v>
      </c>
      <c r="H21" s="684">
        <f>IF(H$4="forecast",(AVERAGE(#REF!)),'Dept. Cost Actuals'!L619)</f>
        <v>26.00941688436674</v>
      </c>
      <c r="I21" s="684">
        <f>IF(I$4="forecast",(AVERAGE(#REF!)),'Dept. Cost Actuals'!M619)</f>
        <v>14.86005551217214</v>
      </c>
      <c r="J21" s="684">
        <f>IF(J$4="forecast",(AVERAGE(#REF!)),'Dept. Cost Actuals'!N619)</f>
        <v>74.043608456512857</v>
      </c>
      <c r="K21" s="684">
        <f>IF(K$4="forecast",(AVERAGE(#REF!)),'Dept. Cost Actuals'!O619)</f>
        <v>91.688460044035168</v>
      </c>
      <c r="L21" s="684">
        <f>IF(L$4="forecast",(AVERAGE(#REF!)),'Dept. Cost Actuals'!P619)</f>
        <v>87.491379375218841</v>
      </c>
      <c r="M21" s="684">
        <f>IF(M$4="forecast",(AVERAGE(A21:L21)),'Dept. Cost Actuals'!Q619)</f>
        <v>24.231139868680788</v>
      </c>
      <c r="N21" s="684">
        <f>IF(N$4="forecast",(AVERAGE(B21:M21)),'Dept. Cost Actuals'!R619)</f>
        <v>30.119668132164151</v>
      </c>
      <c r="O21" s="684">
        <f>IF(O$4="forecast",(AVERAGE(C21:N21)),'Dept. Cost Actuals'!S619)</f>
        <v>0</v>
      </c>
      <c r="P21" s="684">
        <f>IF(P$4="forecast",(AVERAGE(D21:O21)),'Dept. Cost Actuals'!T619)</f>
        <v>0</v>
      </c>
      <c r="Q21" s="684">
        <f>IF(Q$4="forecast",(AVERAGE(E21:P21)),'Dept. Cost Actuals'!U619)</f>
        <v>0</v>
      </c>
      <c r="R21" s="684">
        <f>IF(R$4="forecast",(AVERAGE(F21:Q21)),'Dept. Cost Actuals'!V619)</f>
        <v>0</v>
      </c>
      <c r="S21" s="684">
        <f>IF(S$4="forecast",(AVERAGE(G21:R21)),'Dept. Cost Actuals'!W619)</f>
        <v>0</v>
      </c>
      <c r="T21" s="684">
        <f>IF(T$4="forecast",(AVERAGE(H21:S21)),'Dept. Cost Actuals'!X619)</f>
        <v>886.6</v>
      </c>
      <c r="U21" s="684">
        <f>IF(U$4="forecast",(AVERAGE(I21:T21)),'Dept. Cost Actuals'!Y619)</f>
        <v>220.23</v>
      </c>
      <c r="V21" s="684">
        <f>IF(V$4="forecast",(AVERAGE(J21:U21)),'Dept. Cost Actuals'!Z619)</f>
        <v>3060.93</v>
      </c>
      <c r="W21" s="684">
        <f>IF(W$4="forecast",(AVERAGE(K21:V21)),'Dept. Cost Actuals'!AA619)</f>
        <v>207.07</v>
      </c>
      <c r="X21" s="684">
        <f>IF(X$4="forecast",(AVERAGE(L21:W21)),'Dept. Cost Actuals'!AB619)</f>
        <v>5293.32</v>
      </c>
      <c r="Y21" s="684">
        <f>IF(Y$4="forecast",(AVERAGE(M21:X21)),'Dept. Cost Actuals'!AC619)</f>
        <v>2625.87</v>
      </c>
      <c r="Z21" s="684">
        <f>IF(Z$4="forecast",(AVERAGE(N21:Y21)),'Dept. Cost Actuals'!AD619)</f>
        <v>851.01</v>
      </c>
      <c r="AA21" s="684">
        <f>IF(AA$4="forecast",(AVERAGE(O21:Z21)),'Dept. Cost Actuals'!AE619)</f>
        <v>1095.4191666666668</v>
      </c>
      <c r="AB21" s="684">
        <f>IF(AB$4="forecast",(AVERAGE(P21:AA21)),'Dept. Cost Actuals'!AF619)</f>
        <v>1186.7040972222223</v>
      </c>
      <c r="AC21" s="684">
        <f>IF(AC$4="forecast",(AVERAGE(Q21:AB21)),'Dept. Cost Actuals'!AG619)</f>
        <v>1285.5961053240742</v>
      </c>
      <c r="AD21" s="684">
        <f>IF(AD$4="forecast",(AVERAGE(R21:AC21)),'Dept. Cost Actuals'!AH619)</f>
        <v>1392.7291141010803</v>
      </c>
      <c r="AE21" s="684">
        <f>IF(AE$4="forecast",(AVERAGE(S21:AD21)),'Dept. Cost Actuals'!AI619)</f>
        <v>1508.7898736095037</v>
      </c>
      <c r="AF21" s="684">
        <f>IF(AF$4="forecast",(AVERAGE(T21:AE21)),'Dept. Cost Actuals'!AJ619)</f>
        <v>1634.5223630769624</v>
      </c>
      <c r="AG21" s="684">
        <f>IF(AG$4="forecast",(AVERAGE(U21:AF21)),'Dept. Cost Actuals'!AK619)</f>
        <v>1696.849226666709</v>
      </c>
      <c r="AH21" s="684">
        <f>IF(AH$4="forecast",(AVERAGE(V21:AG21)),'Dept. Cost Actuals'!AL619)</f>
        <v>1819.9008288889347</v>
      </c>
      <c r="AI21" s="684">
        <f>IF(AI$4="forecast",(AVERAGE(W21:AH21)),'Dept. Cost Actuals'!AM619)</f>
        <v>1716.481731296346</v>
      </c>
      <c r="AJ21" s="684">
        <f>IF(AJ$4="forecast",(AVERAGE(X21:AI21)),'Dept. Cost Actuals'!AN619)</f>
        <v>1842.2660422377082</v>
      </c>
      <c r="AK21" s="684">
        <f>IF(AK$4="forecast",(AVERAGE(Y21:AJ21)),'Dept. Cost Actuals'!AO619)</f>
        <v>1554.6782124241838</v>
      </c>
      <c r="AL21" s="684">
        <f>IF(AL$4="forecast",(AVERAGE(Z21:AK21)),'Dept. Cost Actuals'!AP619)</f>
        <v>1465.4122301261993</v>
      </c>
      <c r="AM21" s="684">
        <f>IF(AM$4="forecast",(AVERAGE(AA21:AL21)),'Dept. Cost Actuals'!AQ619)</f>
        <v>1516.6124159700494</v>
      </c>
      <c r="AN21" s="684">
        <f>IF(AN$4="forecast",(AVERAGE(AB21:AM21)),'Dept. Cost Actuals'!AR619)</f>
        <v>1551.7118534119975</v>
      </c>
      <c r="AO21" s="684">
        <f>IF(AO$4="forecast",(AVERAGE(AC21:AN21)),'Dept. Cost Actuals'!AS619)</f>
        <v>1582.1291664278124</v>
      </c>
      <c r="AP21" s="684">
        <f>IF(AP$4="forecast",(AVERAGE(AD21:AO21)),'Dept. Cost Actuals'!AT619)</f>
        <v>1606.8402548531237</v>
      </c>
      <c r="AQ21" s="684">
        <f>IF(AQ$4="forecast",(AVERAGE(AE21:AP21)),'Dept. Cost Actuals'!AU619)</f>
        <v>1624.6828499157939</v>
      </c>
      <c r="AR21" s="684">
        <f>IF(AR$4="forecast",(AVERAGE(AF21:AQ21)),'Dept. Cost Actuals'!AV619)</f>
        <v>1634.3405979413183</v>
      </c>
      <c r="AS21" s="684">
        <f>IF(AS$4="forecast",(AVERAGE(AG21:AR21)),'Dept. Cost Actuals'!AW619)</f>
        <v>1634.3254508466814</v>
      </c>
      <c r="AT21" s="684">
        <f>IF(AT$4="forecast",(AVERAGE(AH21:AS21)),'Dept. Cost Actuals'!AX619)</f>
        <v>1629.1151361950124</v>
      </c>
      <c r="AU21" s="684">
        <f>IF(AU$4="forecast",(AVERAGE(AI21:AT21)),'Dept. Cost Actuals'!AY619)</f>
        <v>1613.2163284705191</v>
      </c>
      <c r="AV21" s="684">
        <f>IF(AV$4="forecast",(AVERAGE(AJ21:AU21)),'Dept. Cost Actuals'!AZ619)</f>
        <v>1604.6108782350332</v>
      </c>
      <c r="AW21" s="684">
        <f>IF(AW$4="forecast",(AVERAGE(AK21:AV21)),'Dept. Cost Actuals'!BA619)</f>
        <v>1584.8062812348105</v>
      </c>
      <c r="AX21" s="684">
        <f>IF(AX$4="forecast",(AVERAGE(AL21:AW21)),'Dept. Cost Actuals'!BB619)</f>
        <v>1587.3169536356961</v>
      </c>
      <c r="AY21" s="684">
        <f>IF(AY$4="forecast",(AVERAGE(AM21:AX21)),'Dept. Cost Actuals'!BC619)</f>
        <v>1597.4756805948202</v>
      </c>
      <c r="AZ21" s="684">
        <f>IF(AZ$4="forecast",(AVERAGE(AN21:AY21)),'Dept. Cost Actuals'!BD619)</f>
        <v>1604.2142859802179</v>
      </c>
      <c r="BA21" s="684">
        <f>IF(BA$4="forecast",(AVERAGE(AO21:AZ21)),'Dept. Cost Actuals'!BE619)</f>
        <v>1608.5894886942367</v>
      </c>
      <c r="BB21" s="684">
        <f>IF(BB$4="forecast",(AVERAGE(AP21:BA21)),'Dept. Cost Actuals'!BF619)</f>
        <v>1610.7945155497719</v>
      </c>
      <c r="BC21" s="684">
        <f>IF(BC$4="forecast",(AVERAGE(AQ21:BB21)),'Dept. Cost Actuals'!BG619)</f>
        <v>1611.1240372744926</v>
      </c>
      <c r="BD21" s="684">
        <f>IF(BD$4="forecast",(AVERAGE(AR21:BC21)),'Dept. Cost Actuals'!BH619)</f>
        <v>1609.9941362210511</v>
      </c>
      <c r="BE21" s="684">
        <f>IF(BE$4="forecast",(AVERAGE(AS21:BD21)),'Dept. Cost Actuals'!BI619)</f>
        <v>1607.965264411029</v>
      </c>
      <c r="BF21" s="684">
        <f>IF(BF$4="forecast",(AVERAGE(AT21:BE21)),'Dept. Cost Actuals'!BJ619)</f>
        <v>1605.7685822080575</v>
      </c>
      <c r="BG21" s="684">
        <f>IF(BG$4="forecast",(AVERAGE(AU21:BF21)),'Dept. Cost Actuals'!BK619)</f>
        <v>1603.8230360424777</v>
      </c>
      <c r="BH21" s="684">
        <f>IF(BH$4="forecast",(AVERAGE(AV21:BG21)),'Dept. Cost Actuals'!BL619)</f>
        <v>1603.0402616734743</v>
      </c>
      <c r="BI21" s="684">
        <f>IF(BI$4="forecast",(AVERAGE(AW21:BH21)),'Dept. Cost Actuals'!BM619)</f>
        <v>1602.9093769600113</v>
      </c>
      <c r="BJ21" s="684">
        <f>IF(BJ$4="forecast",(AVERAGE(AX21:BI21)),'Dept. Cost Actuals'!BN619)</f>
        <v>1604.4179682704446</v>
      </c>
      <c r="BK21" s="684">
        <f>IF(BK$4="forecast",(AVERAGE(AY21:BJ21)),'Dept. Cost Actuals'!BO619)</f>
        <v>1605.8430528233405</v>
      </c>
      <c r="BL21" s="684">
        <f>IF(BL$4="forecast",(AVERAGE(AZ21:BK21)),'Dept. Cost Actuals'!BP619)</f>
        <v>1606.5403338423837</v>
      </c>
      <c r="BM21" s="684">
        <f>IF(BM$4="forecast",(AVERAGE(BA21:BL21)),'Dept. Cost Actuals'!BQ619)</f>
        <v>1606.7341711642309</v>
      </c>
      <c r="BN21" s="684">
        <f>IF(BN$4="forecast",(AVERAGE(BB21:BM21)),'Dept. Cost Actuals'!BR619)</f>
        <v>1606.5795613700636</v>
      </c>
      <c r="BO21" s="684">
        <f>IF(BO$4="forecast",(AVERAGE(BC21:BN21)),'Dept. Cost Actuals'!BS619)</f>
        <v>1606.2283151884214</v>
      </c>
      <c r="BP21" s="684">
        <f>IF(BP$4="forecast",(AVERAGE(BD21:BO21)),'Dept. Cost Actuals'!BT619)</f>
        <v>1605.8203383479158</v>
      </c>
      <c r="BQ21" s="684">
        <f>IF(BQ$4="forecast",(AVERAGE(BE21:BP21)),'Dept. Cost Actuals'!BU619)</f>
        <v>1605.4725218584874</v>
      </c>
      <c r="BR21" s="684">
        <f>IF(BR$4="forecast",(AVERAGE(BF21:BQ21)),'Dept. Cost Actuals'!BV619)</f>
        <v>1605.2647933124424</v>
      </c>
      <c r="BS21" s="684">
        <f>IF(BS$4="forecast",(AVERAGE(BG21:BR21)),'Dept. Cost Actuals'!BW619)</f>
        <v>1605.2228109044745</v>
      </c>
      <c r="BT21" s="684">
        <f>IF(BT$4="forecast",(AVERAGE(BH21:BS21)),'Dept. Cost Actuals'!BX619)</f>
        <v>1605.3394588096407</v>
      </c>
      <c r="BU21" s="684">
        <f>IF(BU$4="forecast",(AVERAGE(BI21:BT21)),'Dept. Cost Actuals'!BY619)</f>
        <v>1605.5310585709883</v>
      </c>
      <c r="BV21" s="808">
        <f>IF(BV$4="forecast",(AVERAGE(BJ21:BU21)),'Dept. Cost Actuals'!BZ619)</f>
        <v>1605.7495320385697</v>
      </c>
    </row>
    <row r="22" spans="2:74" x14ac:dyDescent="0.35">
      <c r="B22" s="812" t="s">
        <v>942</v>
      </c>
      <c r="C22" s="684">
        <f>IF(C$4="forecast",(AVERAGE(#REF!)),'Dept. Cost Actuals'!G588)</f>
        <v>28.444621407047624</v>
      </c>
      <c r="D22" s="684">
        <f>IF(D$4="forecast",(AVERAGE(#REF!)),'Dept. Cost Actuals'!H588)</f>
        <v>15.646336187673825</v>
      </c>
      <c r="E22" s="684">
        <f>IF(E$4="forecast",(AVERAGE(#REF!)),'Dept. Cost Actuals'!I588)</f>
        <v>17.477546398029169</v>
      </c>
      <c r="F22" s="684">
        <f>IF(F$4="forecast",(AVERAGE(#REF!)),'Dept. Cost Actuals'!J588)</f>
        <v>20.422215002395721</v>
      </c>
      <c r="G22" s="684">
        <f>IF(G$4="forecast",(AVERAGE(#REF!)),'Dept. Cost Actuals'!K588)</f>
        <v>7.9100407967372339</v>
      </c>
      <c r="H22" s="684">
        <f>IF(H$4="forecast",(AVERAGE(#REF!)),'Dept. Cost Actuals'!L588)</f>
        <v>36.220144833106495</v>
      </c>
      <c r="I22" s="684">
        <f>IF(I$4="forecast",(AVERAGE(#REF!)),'Dept. Cost Actuals'!M588)</f>
        <v>37.753058979647335</v>
      </c>
      <c r="J22" s="684">
        <f>IF(J$4="forecast",(AVERAGE(#REF!)),'Dept. Cost Actuals'!N588)</f>
        <v>40.795643981983893</v>
      </c>
      <c r="K22" s="684">
        <f>IF(K$4="forecast",(AVERAGE(#REF!)),'Dept. Cost Actuals'!O588)</f>
        <v>42.30302706045606</v>
      </c>
      <c r="L22" s="684">
        <f>IF(L$4="forecast",(AVERAGE(#REF!)),'Dept. Cost Actuals'!P588)</f>
        <v>91.508931934122728</v>
      </c>
      <c r="M22" s="684">
        <f>IF(M$4="forecast",(AVERAGE(A22:L22)),'Dept. Cost Actuals'!Q588)</f>
        <v>86.689903434239923</v>
      </c>
      <c r="N22" s="684">
        <f>IF(N$4="forecast",(AVERAGE(B22:M22)),'Dept. Cost Actuals'!R588)</f>
        <v>3.353934662527803</v>
      </c>
      <c r="O22" s="684">
        <f>IF(O$4="forecast",(AVERAGE(C22:N22)),'Dept. Cost Actuals'!S588)</f>
        <v>0</v>
      </c>
      <c r="P22" s="684">
        <f>IF(P$4="forecast",(AVERAGE(D22:O22)),'Dept. Cost Actuals'!T588)</f>
        <v>0</v>
      </c>
      <c r="Q22" s="684">
        <f>IF(Q$4="forecast",(AVERAGE(E22:P22)),'Dept. Cost Actuals'!U588)</f>
        <v>0</v>
      </c>
      <c r="R22" s="684">
        <f>IF(R$4="forecast",(AVERAGE(F22:Q22)),'Dept. Cost Actuals'!V588)</f>
        <v>0</v>
      </c>
      <c r="S22" s="684">
        <f>IF(S$4="forecast",(AVERAGE(G22:R22)),'Dept. Cost Actuals'!W588)</f>
        <v>0</v>
      </c>
      <c r="T22" s="684">
        <f>IF(T$4="forecast",(AVERAGE(H22:S22)),'Dept. Cost Actuals'!X588)</f>
        <v>0</v>
      </c>
      <c r="U22" s="684">
        <f>IF(U$4="forecast",(AVERAGE(I22:T22)),'Dept. Cost Actuals'!Y588)</f>
        <v>7</v>
      </c>
      <c r="V22" s="684">
        <f>IF(V$4="forecast",(AVERAGE(J22:U22)),'Dept. Cost Actuals'!Z588)</f>
        <v>48.48</v>
      </c>
      <c r="W22" s="684">
        <f>IF(W$4="forecast",(AVERAGE(K22:V22)),'Dept. Cost Actuals'!AA588)</f>
        <v>4.9800000000000004</v>
      </c>
      <c r="X22" s="684">
        <f>IF(X$4="forecast",(AVERAGE(L22:W22)),'Dept. Cost Actuals'!AB588)</f>
        <v>166.3</v>
      </c>
      <c r="Y22" s="684">
        <f>IF(Y$4="forecast",(AVERAGE(M22:X22)),'Dept. Cost Actuals'!AC588)</f>
        <v>482.11</v>
      </c>
      <c r="Z22" s="684">
        <f>IF(Z$4="forecast",(AVERAGE(N22:Y22)),'Dept. Cost Actuals'!AD588)</f>
        <v>37.270000000000003</v>
      </c>
      <c r="AA22" s="684">
        <f>IF(AA$4="forecast",(AVERAGE(O22:Z22)),'Dept. Cost Actuals'!AE588)</f>
        <v>62.178333333333335</v>
      </c>
      <c r="AB22" s="684">
        <f>IF(AB$4="forecast",(AVERAGE(P22:AA22)),'Dept. Cost Actuals'!AF588)</f>
        <v>67.359861111111101</v>
      </c>
      <c r="AC22" s="684">
        <f>IF(AC$4="forecast",(AVERAGE(Q22:AB22)),'Dept. Cost Actuals'!AG588)</f>
        <v>72.973182870370366</v>
      </c>
      <c r="AD22" s="684">
        <f>IF(AD$4="forecast",(AVERAGE(R22:AC22)),'Dept. Cost Actuals'!AH588)</f>
        <v>79.054281442901228</v>
      </c>
      <c r="AE22" s="684">
        <f>IF(AE$4="forecast",(AVERAGE(S22:AD22)),'Dept. Cost Actuals'!AI588)</f>
        <v>85.642138229809646</v>
      </c>
      <c r="AF22" s="684">
        <f>IF(AF$4="forecast",(AVERAGE(T22:AE22)),'Dept. Cost Actuals'!AJ588)</f>
        <v>92.778983082293792</v>
      </c>
      <c r="AG22" s="684">
        <f>IF(AG$4="forecast",(AVERAGE(U22:AF22)),'Dept. Cost Actuals'!AK588)</f>
        <v>100.51056500581826</v>
      </c>
      <c r="AH22" s="684">
        <f>IF(AH$4="forecast",(AVERAGE(V22:AG22)),'Dept. Cost Actuals'!AL588)</f>
        <v>108.30311208963646</v>
      </c>
      <c r="AI22" s="684">
        <f>IF(AI$4="forecast",(AVERAGE(W22:AH22)),'Dept. Cost Actuals'!AM588)</f>
        <v>113.2883714304395</v>
      </c>
      <c r="AJ22" s="684">
        <f>IF(AJ$4="forecast",(AVERAGE(X22:AI22)),'Dept. Cost Actuals'!AN588)</f>
        <v>122.31406904964281</v>
      </c>
      <c r="AK22" s="684">
        <f>IF(AK$4="forecast",(AVERAGE(Y22:AJ22)),'Dept. Cost Actuals'!AO588)</f>
        <v>118.6485748037797</v>
      </c>
      <c r="AL22" s="684">
        <f>IF(AL$4="forecast",(AVERAGE(Z22:AK22)),'Dept. Cost Actuals'!AP588)</f>
        <v>88.360122704094692</v>
      </c>
      <c r="AM22" s="684">
        <f>IF(AM$4="forecast",(AVERAGE(AA22:AL22)),'Dept. Cost Actuals'!AQ588)</f>
        <v>92.617632929435914</v>
      </c>
      <c r="AN22" s="684">
        <f>IF(AN$4="forecast",(AVERAGE(AB22:AM22)),'Dept. Cost Actuals'!AR588)</f>
        <v>95.154241229111122</v>
      </c>
      <c r="AO22" s="684">
        <f>IF(AO$4="forecast",(AVERAGE(AC22:AN22)),'Dept. Cost Actuals'!AS588)</f>
        <v>97.470439572277812</v>
      </c>
      <c r="AP22" s="684">
        <f>IF(AP$4="forecast",(AVERAGE(AD22:AO22)),'Dept. Cost Actuals'!AT588)</f>
        <v>99.511877630770087</v>
      </c>
      <c r="AQ22" s="684">
        <f>IF(AQ$4="forecast",(AVERAGE(AE22:AP22)),'Dept. Cost Actuals'!AU588)</f>
        <v>101.21667731309249</v>
      </c>
      <c r="AR22" s="684">
        <f>IF(AR$4="forecast",(AVERAGE(AF22:AQ22)),'Dept. Cost Actuals'!AV588)</f>
        <v>102.51455557003273</v>
      </c>
      <c r="AS22" s="684">
        <f>IF(AS$4="forecast",(AVERAGE(AG22:AR22)),'Dept. Cost Actuals'!AW588)</f>
        <v>103.32585327734431</v>
      </c>
      <c r="AT22" s="684">
        <f>IF(AT$4="forecast",(AVERAGE(AH22:AS22)),'Dept. Cost Actuals'!AX588)</f>
        <v>103.5604606333048</v>
      </c>
      <c r="AU22" s="684">
        <f>IF(AU$4="forecast",(AVERAGE(AI22:AT22)),'Dept. Cost Actuals'!AY588)</f>
        <v>103.16523967861049</v>
      </c>
      <c r="AV22" s="684">
        <f>IF(AV$4="forecast",(AVERAGE(AJ22:AU22)),'Dept. Cost Actuals'!AZ588)</f>
        <v>102.32164536595808</v>
      </c>
      <c r="AW22" s="684">
        <f>IF(AW$4="forecast",(AVERAGE(AK22:AV22)),'Dept. Cost Actuals'!BA588)</f>
        <v>100.65561005898435</v>
      </c>
      <c r="AX22" s="684">
        <f>IF(AX$4="forecast",(AVERAGE(AL22:AW22)),'Dept. Cost Actuals'!BB588)</f>
        <v>99.156196330251419</v>
      </c>
      <c r="AY22" s="684">
        <f>IF(AY$4="forecast",(AVERAGE(AM22:AX22)),'Dept. Cost Actuals'!BC588)</f>
        <v>100.05586913243114</v>
      </c>
      <c r="AZ22" s="684">
        <f>IF(AZ$4="forecast",(AVERAGE(AN22:AY22)),'Dept. Cost Actuals'!BD588)</f>
        <v>100.67572214934741</v>
      </c>
      <c r="BA22" s="684">
        <f>IF(BA$4="forecast",(AVERAGE(AO22:AZ22)),'Dept. Cost Actuals'!BE588)</f>
        <v>101.1358455593671</v>
      </c>
      <c r="BB22" s="684">
        <f>IF(BB$4="forecast",(AVERAGE(AP22:BA22)),'Dept. Cost Actuals'!BF588)</f>
        <v>101.44129605829119</v>
      </c>
      <c r="BC22" s="684">
        <f>IF(BC$4="forecast",(AVERAGE(AQ22:BB22)),'Dept. Cost Actuals'!BG588)</f>
        <v>101.60208092725129</v>
      </c>
      <c r="BD22" s="684">
        <f>IF(BD$4="forecast",(AVERAGE(AR22:BC22)),'Dept. Cost Actuals'!BH588)</f>
        <v>101.63419789509787</v>
      </c>
      <c r="BE22" s="684">
        <f>IF(BE$4="forecast",(AVERAGE(AS22:BD22)),'Dept. Cost Actuals'!BI588)</f>
        <v>101.56083475551996</v>
      </c>
      <c r="BF22" s="684">
        <f>IF(BF$4="forecast",(AVERAGE(AT22:BE22)),'Dept. Cost Actuals'!BJ588)</f>
        <v>101.41374987870125</v>
      </c>
      <c r="BG22" s="684">
        <f>IF(BG$4="forecast",(AVERAGE(AU22:BF22)),'Dept. Cost Actuals'!BK588)</f>
        <v>101.23485731581764</v>
      </c>
      <c r="BH22" s="684">
        <f>IF(BH$4="forecast",(AVERAGE(AV22:BG22)),'Dept. Cost Actuals'!BL588)</f>
        <v>101.07399211891823</v>
      </c>
      <c r="BI22" s="684">
        <f>IF(BI$4="forecast",(AVERAGE(AW22:BH22)),'Dept. Cost Actuals'!BM588)</f>
        <v>100.97002101499822</v>
      </c>
      <c r="BJ22" s="684">
        <f>IF(BJ$4="forecast",(AVERAGE(AX22:BI22)),'Dept. Cost Actuals'!BN588)</f>
        <v>100.99622192799939</v>
      </c>
      <c r="BK22" s="684">
        <f>IF(BK$4="forecast",(AVERAGE(AY22:BJ22)),'Dept. Cost Actuals'!BO588)</f>
        <v>101.14955739447839</v>
      </c>
      <c r="BL22" s="684">
        <f>IF(BL$4="forecast",(AVERAGE(AZ22:BK22)),'Dept. Cost Actuals'!BP588)</f>
        <v>101.24069808298232</v>
      </c>
      <c r="BM22" s="684">
        <f>IF(BM$4="forecast",(AVERAGE(BA22:BL22)),'Dept. Cost Actuals'!BQ588)</f>
        <v>101.28777941078526</v>
      </c>
      <c r="BN22" s="684">
        <f>IF(BN$4="forecast",(AVERAGE(BB22:BM22)),'Dept. Cost Actuals'!BR588)</f>
        <v>101.30044056507008</v>
      </c>
      <c r="BO22" s="684">
        <f>IF(BO$4="forecast",(AVERAGE(BC22:BN22)),'Dept. Cost Actuals'!BS588)</f>
        <v>101.28870260730167</v>
      </c>
      <c r="BP22" s="684">
        <f>IF(BP$4="forecast",(AVERAGE(BD22:BO22)),'Dept. Cost Actuals'!BT588)</f>
        <v>101.26258774730587</v>
      </c>
      <c r="BQ22" s="684">
        <f>IF(BQ$4="forecast",(AVERAGE(BE22:BP22)),'Dept. Cost Actuals'!BU588)</f>
        <v>101.23162023498985</v>
      </c>
      <c r="BR22" s="684">
        <f>IF(BR$4="forecast",(AVERAGE(BF22:BQ22)),'Dept. Cost Actuals'!BV588)</f>
        <v>101.20418569161234</v>
      </c>
      <c r="BS22" s="684">
        <f>IF(BS$4="forecast",(AVERAGE(BG22:BR22)),'Dept. Cost Actuals'!BW588)</f>
        <v>101.18672200935492</v>
      </c>
      <c r="BT22" s="684">
        <f>IF(BT$4="forecast",(AVERAGE(BH22:BS22)),'Dept. Cost Actuals'!BX588)</f>
        <v>101.18271073381636</v>
      </c>
      <c r="BU22" s="684">
        <f>IF(BU$4="forecast",(AVERAGE(BI22:BT22)),'Dept. Cost Actuals'!BY588)</f>
        <v>101.19177061839122</v>
      </c>
      <c r="BV22" s="808">
        <f>IF(BV$4="forecast",(AVERAGE(BJ22:BU22)),'Dept. Cost Actuals'!BZ588)</f>
        <v>101.2102497520073</v>
      </c>
    </row>
    <row r="23" spans="2:74" x14ac:dyDescent="0.35">
      <c r="B23" s="812" t="s">
        <v>1083</v>
      </c>
      <c r="C23" s="684">
        <f>IF(C$4="forecast",(AVERAGE(#REF!)),'Dept. Cost Actuals'!G618)</f>
        <v>16.263415523480607</v>
      </c>
      <c r="D23" s="684">
        <f>IF(D$4="forecast",(AVERAGE(#REF!)),'Dept. Cost Actuals'!H618)</f>
        <v>9.2929221684014873</v>
      </c>
      <c r="E23" s="684">
        <f>IF(E$4="forecast",(AVERAGE(#REF!)),'Dept. Cost Actuals'!I618)</f>
        <v>5.2124257928414259</v>
      </c>
      <c r="F23" s="684">
        <f>IF(F$4="forecast",(AVERAGE(#REF!)),'Dept. Cost Actuals'!J618)</f>
        <v>1.5755521772139565</v>
      </c>
      <c r="G23" s="684">
        <f>IF(G$4="forecast",(AVERAGE(#REF!)),'Dept. Cost Actuals'!K618)</f>
        <v>0.5054320929170838</v>
      </c>
      <c r="H23" s="684">
        <f>IF(H$4="forecast",(AVERAGE(#REF!)),'Dept. Cost Actuals'!L618)</f>
        <v>1.7239087712586976</v>
      </c>
      <c r="I23" s="684">
        <f>IF(I$4="forecast",(AVERAGE(#REF!)),'Dept. Cost Actuals'!M618)</f>
        <v>10.314888009943427</v>
      </c>
      <c r="J23" s="684">
        <f>IF(J$4="forecast",(AVERAGE(#REF!)),'Dept. Cost Actuals'!N618)</f>
        <v>2.6944956453176867</v>
      </c>
      <c r="K23" s="684">
        <f>IF(K$4="forecast",(AVERAGE(#REF!)),'Dept. Cost Actuals'!O618)</f>
        <v>1.9290857526204614</v>
      </c>
      <c r="L23" s="684">
        <f>IF(L$4="forecast",(AVERAGE(#REF!)),'Dept. Cost Actuals'!P618)</f>
        <v>1.520891588407423</v>
      </c>
      <c r="M23" s="684">
        <f>IF(M$4="forecast",(AVERAGE(A23:L23)),'Dept. Cost Actuals'!Q618)</f>
        <v>3.1083576616906448</v>
      </c>
      <c r="N23" s="684">
        <f>IF(N$4="forecast",(AVERAGE(B23:M23)),'Dept. Cost Actuals'!R618)</f>
        <v>2.0698798279150323</v>
      </c>
      <c r="O23" s="684">
        <f>IF(O$4="forecast",(AVERAGE(C23:N23)),'Dept. Cost Actuals'!S618)</f>
        <v>0</v>
      </c>
      <c r="P23" s="684">
        <f>IF(P$4="forecast",(AVERAGE(D23:O23)),'Dept. Cost Actuals'!T618)</f>
        <v>0</v>
      </c>
      <c r="Q23" s="684">
        <f>IF(Q$4="forecast",(AVERAGE(E23:P23)),'Dept. Cost Actuals'!U618)</f>
        <v>0</v>
      </c>
      <c r="R23" s="684">
        <f>IF(R$4="forecast",(AVERAGE(F23:Q23)),'Dept. Cost Actuals'!V618)</f>
        <v>0</v>
      </c>
      <c r="S23" s="684">
        <f>IF(S$4="forecast",(AVERAGE(G23:R23)),'Dept. Cost Actuals'!W618)</f>
        <v>0</v>
      </c>
      <c r="T23" s="684">
        <f>IF(T$4="forecast",(AVERAGE(H23:S23)),'Dept. Cost Actuals'!X618)</f>
        <v>0</v>
      </c>
      <c r="U23" s="684">
        <f>IF(U$4="forecast",(AVERAGE(I23:T23)),'Dept. Cost Actuals'!Y618)</f>
        <v>0</v>
      </c>
      <c r="V23" s="684">
        <f>IF(V$4="forecast",(AVERAGE(J23:U23)),'Dept. Cost Actuals'!Z618)</f>
        <v>-1.72</v>
      </c>
      <c r="W23" s="684">
        <f>IF(W$4="forecast",(AVERAGE(K23:V23)),'Dept. Cost Actuals'!AA618)</f>
        <v>0</v>
      </c>
      <c r="X23" s="684">
        <f>IF(X$4="forecast",(AVERAGE(L23:W23)),'Dept. Cost Actuals'!AB618)</f>
        <v>0</v>
      </c>
      <c r="Y23" s="684">
        <f>IF(Y$4="forecast",(AVERAGE(M23:X23)),'Dept. Cost Actuals'!AC618)</f>
        <v>0</v>
      </c>
      <c r="Z23" s="684">
        <f>IF(Z$4="forecast",(AVERAGE(N23:Y23)),'Dept. Cost Actuals'!AD618)</f>
        <v>0</v>
      </c>
      <c r="AA23" s="684">
        <f>IF(AA$4="forecast",(SUM($O$23:$Z$23)/12),'Dept. Cost Actuals'!AE618)</f>
        <v>-0.14333333333333334</v>
      </c>
      <c r="AB23" s="684">
        <f>IF(AB$4="forecast",(AVERAGE(P23:AA23)),'Dept. Cost Actuals'!AF618)</f>
        <v>-0.15527777777777776</v>
      </c>
      <c r="AC23" s="684">
        <f>IF(AC$4="forecast",(AVERAGE(Q23:AB23)),'Dept. Cost Actuals'!AG618)</f>
        <v>-0.16821759259259259</v>
      </c>
      <c r="AD23" s="684">
        <f>IF(AD$4="forecast",(AVERAGE(R23:AC23)),'Dept. Cost Actuals'!AH618)</f>
        <v>-0.18223572530864196</v>
      </c>
      <c r="AE23" s="684">
        <f>IF(AE$4="forecast",(AVERAGE(S23:AD23)),'Dept. Cost Actuals'!AI618)</f>
        <v>-0.19742203575102879</v>
      </c>
      <c r="AF23" s="684">
        <f>IF(AF$4="forecast",(AVERAGE(T23:AE23)),'Dept. Cost Actuals'!AJ618)</f>
        <v>-0.21387387206361452</v>
      </c>
      <c r="AG23" s="684">
        <f>IF(AG$4="forecast",(AVERAGE(U23:AF23)),'Dept. Cost Actuals'!AK618)</f>
        <v>-0.23169669473558241</v>
      </c>
      <c r="AH23" s="684">
        <f>IF(AH$4="forecast",(AVERAGE(V23:AG23)),'Dept. Cost Actuals'!AL618)</f>
        <v>-0.25100475263021427</v>
      </c>
      <c r="AI23" s="684">
        <f>IF(AI$4="forecast",(AVERAGE(W23:AH23)),'Dept. Cost Actuals'!AM618)</f>
        <v>-0.12858848201606546</v>
      </c>
      <c r="AJ23" s="684">
        <f>IF(AJ$4="forecast",(AVERAGE(X23:AI23)),'Dept. Cost Actuals'!AN618)</f>
        <v>-0.13930418885073759</v>
      </c>
      <c r="AK23" s="684">
        <f>IF(AK$4="forecast",(AVERAGE(Y23:AJ23)),'Dept. Cost Actuals'!AO618)</f>
        <v>-0.15091287125496572</v>
      </c>
      <c r="AL23" s="684">
        <f>IF(AL$4="forecast",(AVERAGE(Z23:AK23)),'Dept. Cost Actuals'!AP618)</f>
        <v>-0.16348894385954618</v>
      </c>
      <c r="AM23" s="684">
        <f>IF(AM$4="forecast",(AVERAGE(AA23:AL23)),'Dept. Cost Actuals'!AQ618)</f>
        <v>-0.17711302251450836</v>
      </c>
      <c r="AN23" s="684">
        <f>IF(AN$4="forecast",(AVERAGE(AB23:AM23)),'Dept. Cost Actuals'!AR618)</f>
        <v>-0.17992799661293959</v>
      </c>
      <c r="AO23" s="684">
        <f>IF(AO$4="forecast",(AVERAGE(AC23:AN23)),'Dept. Cost Actuals'!AS618)</f>
        <v>-0.18198218151586976</v>
      </c>
      <c r="AP23" s="684">
        <f>IF(AP$4="forecast",(AVERAGE(AD23:AO23)),'Dept. Cost Actuals'!AT618)</f>
        <v>-0.18312923059280953</v>
      </c>
      <c r="AQ23" s="684">
        <f>IF(AQ$4="forecast",(AVERAGE(AE23:AP23)),'Dept. Cost Actuals'!AU618)</f>
        <v>-0.18320368936649015</v>
      </c>
      <c r="AR23" s="684">
        <f>IF(AR$4="forecast",(AVERAGE(AF23:AQ23)),'Dept. Cost Actuals'!AV618)</f>
        <v>-0.18201882716777865</v>
      </c>
      <c r="AS23" s="684">
        <f>IF(AS$4="forecast",(AVERAGE(AG23:AR23)),'Dept. Cost Actuals'!AW618)</f>
        <v>-0.17936424009312565</v>
      </c>
      <c r="AT23" s="684">
        <f>IF(AT$4="forecast",(AVERAGE(AH23:AS23)),'Dept. Cost Actuals'!AX618)</f>
        <v>-0.17500320220625423</v>
      </c>
      <c r="AU23" s="684">
        <f>IF(AU$4="forecast",(AVERAGE(AI23:AT23)),'Dept. Cost Actuals'!AY618)</f>
        <v>-0.16866973967092425</v>
      </c>
      <c r="AV23" s="684">
        <f>IF(AV$4="forecast",(AVERAGE(AJ23:AU23)),'Dept. Cost Actuals'!AZ618)</f>
        <v>-0.17200984447549583</v>
      </c>
      <c r="AW23" s="684">
        <f>IF(AW$4="forecast",(AVERAGE(AK23:AV23)),'Dept. Cost Actuals'!BA618)</f>
        <v>-0.17473531577755899</v>
      </c>
      <c r="AX23" s="684">
        <f>IF(AX$4="forecast",(AVERAGE(AL23:AW23)),'Dept. Cost Actuals'!BB618)</f>
        <v>-0.17672051948777512</v>
      </c>
      <c r="AY23" s="684">
        <f>IF(AY$4="forecast",(AVERAGE(AM23:AX23)),'Dept. Cost Actuals'!BC618)</f>
        <v>-0.17782315079012753</v>
      </c>
      <c r="AZ23" s="684">
        <f>IF(AZ$4="forecast",(AVERAGE(AN23:AY23)),'Dept. Cost Actuals'!BD618)</f>
        <v>-0.1778823281464291</v>
      </c>
      <c r="BA23" s="684">
        <f>IF(BA$4="forecast",(AVERAGE(AO23:AZ23)),'Dept. Cost Actuals'!BE618)</f>
        <v>-0.17771185577421988</v>
      </c>
      <c r="BB23" s="684">
        <f>IF(BB$4="forecast",(AVERAGE(AP23:BA23)),'Dept. Cost Actuals'!BF618)</f>
        <v>-0.17735599529574908</v>
      </c>
      <c r="BC23" s="684">
        <f>IF(BC$4="forecast",(AVERAGE(AQ23:BB23)),'Dept. Cost Actuals'!BG618)</f>
        <v>-0.17687489235432738</v>
      </c>
      <c r="BD23" s="684">
        <f>IF(BD$4="forecast",(AVERAGE(AR23:BC23)),'Dept. Cost Actuals'!BH618)</f>
        <v>-0.17634749260331381</v>
      </c>
      <c r="BE23" s="684">
        <f>IF(BE$4="forecast",(AVERAGE(AS23:BD23)),'Dept. Cost Actuals'!BI618)</f>
        <v>-0.17587488138960838</v>
      </c>
      <c r="BF23" s="684">
        <f>IF(BF$4="forecast",(AVERAGE(AT23:BE23)),'Dept. Cost Actuals'!BJ618)</f>
        <v>-0.17558410149764861</v>
      </c>
      <c r="BG23" s="684">
        <f>IF(BG$4="forecast",(AVERAGE(AU23:BF23)),'Dept. Cost Actuals'!BK618)</f>
        <v>-0.17563250977193148</v>
      </c>
      <c r="BH23" s="684">
        <f>IF(BH$4="forecast",(AVERAGE(AV23:BG23)),'Dept. Cost Actuals'!BL618)</f>
        <v>-0.17621274061368211</v>
      </c>
      <c r="BI23" s="684">
        <f>IF(BI$4="forecast",(AVERAGE(AW23:BH23)),'Dept. Cost Actuals'!BM618)</f>
        <v>-0.17656298195853093</v>
      </c>
      <c r="BJ23" s="684">
        <f>IF(BJ$4="forecast",(AVERAGE(AX23:BI23)),'Dept. Cost Actuals'!BN618)</f>
        <v>-0.17671528747361195</v>
      </c>
      <c r="BK23" s="684">
        <f>IF(BK$4="forecast",(AVERAGE(AY23:BJ23)),'Dept. Cost Actuals'!BO618)</f>
        <v>-0.17671485147243168</v>
      </c>
      <c r="BL23" s="684">
        <f>IF(BL$4="forecast",(AVERAGE(AZ23:BK23)),'Dept. Cost Actuals'!BP618)</f>
        <v>-0.17662249319595705</v>
      </c>
      <c r="BM23" s="684">
        <f>IF(BM$4="forecast",(AVERAGE(BA23:BL23)),'Dept. Cost Actuals'!BQ618)</f>
        <v>-0.17651750695008439</v>
      </c>
      <c r="BN23" s="684">
        <f>IF(BN$4="forecast",(AVERAGE(BB23:BM23)),'Dept. Cost Actuals'!BR618)</f>
        <v>-0.17641797788140642</v>
      </c>
      <c r="BO23" s="684">
        <f>IF(BO$4="forecast",(AVERAGE(BC23:BN23)),'Dept. Cost Actuals'!BS618)</f>
        <v>-0.17633980976354449</v>
      </c>
      <c r="BP23" s="684">
        <f>IF(BP$4="forecast",(AVERAGE(BD23:BO23)),'Dept. Cost Actuals'!BT618)</f>
        <v>-0.17629521954764593</v>
      </c>
      <c r="BQ23" s="684">
        <f>IF(BQ$4="forecast",(AVERAGE(BE23:BP23)),'Dept. Cost Actuals'!BU618)</f>
        <v>-0.1762908634596736</v>
      </c>
      <c r="BR23" s="684">
        <f>IF(BR$4="forecast",(AVERAGE(BF23:BQ23)),'Dept. Cost Actuals'!BV618)</f>
        <v>-0.17632552863217907</v>
      </c>
      <c r="BS23" s="684">
        <f>IF(BS$4="forecast",(AVERAGE(BG23:BR23)),'Dept. Cost Actuals'!BW618)</f>
        <v>-0.17638731422672327</v>
      </c>
      <c r="BT23" s="684">
        <f>IF(BT$4="forecast",(AVERAGE(BH23:BS23)),'Dept. Cost Actuals'!BX618)</f>
        <v>-0.17645021459795587</v>
      </c>
      <c r="BU23" s="684">
        <f>IF(BU$4="forecast",(AVERAGE(BI23:BT23)),'Dept. Cost Actuals'!BY618)</f>
        <v>-0.17647000409664537</v>
      </c>
      <c r="BV23" s="808">
        <f>IF(BV$4="forecast",(AVERAGE(BJ23:BU23)),'Dept. Cost Actuals'!BZ618)</f>
        <v>-0.17646225594148826</v>
      </c>
    </row>
    <row r="24" spans="2:74" x14ac:dyDescent="0.35">
      <c r="B24" s="812" t="s">
        <v>943</v>
      </c>
      <c r="C24" s="684">
        <f>IF(C$4="forecast",C$7*'Direct People Department Costs'!$H$13,'Dept. Cost Actuals'!G547)</f>
        <v>0</v>
      </c>
      <c r="D24" s="684">
        <f>IF(D$4="forecast",D$7*'Direct People Department Costs'!$H$13,'Dept. Cost Actuals'!H547)</f>
        <v>0</v>
      </c>
      <c r="E24" s="684">
        <f>IF(E$4="forecast",E$7*'Direct People Department Costs'!$H$13,'Dept. Cost Actuals'!I547)</f>
        <v>0</v>
      </c>
      <c r="F24" s="684">
        <f>IF(F$4="forecast",F$7*'Direct People Department Costs'!$H$13,'Dept. Cost Actuals'!J547)</f>
        <v>0</v>
      </c>
      <c r="G24" s="684">
        <f>IF(G$4="forecast",G$7*'Direct People Department Costs'!$H$13,'Dept. Cost Actuals'!K547)</f>
        <v>0</v>
      </c>
      <c r="H24" s="684">
        <f>IF(H$4="forecast",H$7*'Direct People Department Costs'!$H$13,'Dept. Cost Actuals'!L547)</f>
        <v>0</v>
      </c>
      <c r="I24" s="684">
        <f>IF(I$4="forecast",I$7*'Direct People Department Costs'!$H$13,'Dept. Cost Actuals'!M547)</f>
        <v>0</v>
      </c>
      <c r="J24" s="684">
        <f>IF(J$4="forecast",J$7*'Direct People Department Costs'!$H$13,'Dept. Cost Actuals'!N547)</f>
        <v>0</v>
      </c>
      <c r="K24" s="684">
        <f>IF(K$4="forecast",K$7*'Direct People Department Costs'!$H$13,'Dept. Cost Actuals'!O547)</f>
        <v>0</v>
      </c>
      <c r="L24" s="684">
        <f>IF(L$4="forecast",L$7*'Direct People Department Costs'!$H$13,'Dept. Cost Actuals'!P547)</f>
        <v>0</v>
      </c>
      <c r="M24" s="684">
        <f>IF(M$4="forecast",M$7*'Direct People Department Costs'!$H$13,'Dept. Cost Actuals'!Q547)</f>
        <v>0</v>
      </c>
      <c r="N24" s="684">
        <f>IF(N$4="forecast",N$7*'Direct People Department Costs'!$H$13,'Dept. Cost Actuals'!R547)</f>
        <v>0</v>
      </c>
      <c r="O24" s="684">
        <f>IF(O$4="forecast",O$7*'Direct People Department Costs'!$H$13,'Dept. Cost Actuals'!S547)</f>
        <v>280</v>
      </c>
      <c r="P24" s="684">
        <f>IF(P$4="forecast",P$7*'Direct People Department Costs'!$H$13,'Dept. Cost Actuals'!T547)</f>
        <v>0</v>
      </c>
      <c r="Q24" s="684">
        <f>IF(Q$4="forecast",Q$7*'Direct People Department Costs'!$H$13,'Dept. Cost Actuals'!U547)</f>
        <v>416.09</v>
      </c>
      <c r="R24" s="684">
        <f>IF(R$4="forecast",R$7*'Direct People Department Costs'!$H$13,'Dept. Cost Actuals'!V547)</f>
        <v>269.98</v>
      </c>
      <c r="S24" s="684">
        <f>IF(S$4="forecast",S$7*'Direct People Department Costs'!$H$13,'Dept. Cost Actuals'!W547)</f>
        <v>89.95</v>
      </c>
      <c r="T24" s="684">
        <f>IF(T$4="forecast",T$7*'Direct People Department Costs'!$H$13,'Dept. Cost Actuals'!X547)</f>
        <v>-79.959999999999994</v>
      </c>
      <c r="U24" s="684">
        <f>IF(U$4="forecast",U$7*'Direct People Department Costs'!$H$13,'Dept. Cost Actuals'!Y547)</f>
        <v>0</v>
      </c>
      <c r="V24" s="684">
        <f>IF(V$4="forecast",V$7*'Direct People Department Costs'!$H$13,'Dept. Cost Actuals'!Z547)</f>
        <v>1358.32</v>
      </c>
      <c r="W24" s="684">
        <f>IF(W$4="forecast",W$7*'Direct People Department Costs'!$H$13,'Dept. Cost Actuals'!AA547)</f>
        <v>819.49</v>
      </c>
      <c r="X24" s="684">
        <f>IF(X$4="forecast",X$7*'Direct People Department Costs'!$H$13,'Dept. Cost Actuals'!AB547)</f>
        <v>1125.28</v>
      </c>
      <c r="Y24" s="684">
        <f>IF(Y$4="forecast",Y$7*'Direct People Department Costs'!$H$13,'Dept. Cost Actuals'!AC547)</f>
        <v>777.34</v>
      </c>
      <c r="Z24" s="684">
        <f>IF(Z$4="forecast",Z$7*'Direct People Department Costs'!$H$13,'Dept. Cost Actuals'!AD547)</f>
        <v>618.48</v>
      </c>
      <c r="AA24" s="684">
        <f>IF(AA$4="forecast",((SUM($O$24:$Z$24)*1.1)/12),'Dept. Cost Actuals'!AE43)</f>
        <v>520.20558333333327</v>
      </c>
      <c r="AB24" s="684">
        <f>IF(AB$4="forecast",((SUM($O$24:$Z$24)*1.1)/12),'Dept. Cost Actuals'!AF43)</f>
        <v>520.20558333333327</v>
      </c>
      <c r="AC24" s="684">
        <f>IF(AC$4="forecast",((SUM($O$24:$Z$24)*1.1)/12),'Dept. Cost Actuals'!AG43)</f>
        <v>520.20558333333327</v>
      </c>
      <c r="AD24" s="684">
        <f>IF(AD$4="forecast",((SUM($O$24:$Z$24)*1.1)/12),'Dept. Cost Actuals'!AH43)</f>
        <v>520.20558333333327</v>
      </c>
      <c r="AE24" s="684">
        <f>IF(AE$4="forecast",((SUM($O$24:$Z$24)*1.1)/12),'Dept. Cost Actuals'!AI43)</f>
        <v>520.20558333333327</v>
      </c>
      <c r="AF24" s="684">
        <f>IF(AF$4="forecast",((SUM($O$24:$Z$24)*1.1)/12),'Dept. Cost Actuals'!AJ43)</f>
        <v>520.20558333333327</v>
      </c>
      <c r="AG24" s="684">
        <f>IF(AG$4="forecast",((SUM($O$24:$Z$24)*1.1)/12),'Dept. Cost Actuals'!AK43)</f>
        <v>520.20558333333327</v>
      </c>
      <c r="AH24" s="684">
        <f>IF(AH$4="forecast",((SUM($O$24:$Z$24)*1.1)/12),'Dept. Cost Actuals'!AL43)</f>
        <v>520.20558333333327</v>
      </c>
      <c r="AI24" s="684">
        <f>IF(AI$4="forecast",((SUM($O$24:$Z$24)*1.1)/12),'Dept. Cost Actuals'!AM43)</f>
        <v>520.20558333333327</v>
      </c>
      <c r="AJ24" s="684">
        <f>IF(AJ$4="forecast",((SUM($O$24:$Z$24)*1.1)/12),'Dept. Cost Actuals'!AN43)</f>
        <v>520.20558333333327</v>
      </c>
      <c r="AK24" s="684">
        <f>IF(AK$4="forecast",((SUM($O$24:$Z$24)*1.1)/12),'Dept. Cost Actuals'!AO43)</f>
        <v>520.20558333333327</v>
      </c>
      <c r="AL24" s="684">
        <f>IF(AL$4="forecast",((SUM($O$24:$Z$24)*1.1)/12),'Dept. Cost Actuals'!AP43)</f>
        <v>520.20558333333327</v>
      </c>
      <c r="AM24" s="684">
        <f>IF(AM$4="forecast",((SUM(AA24:AL24)*1.1)/12),'Dept. Cost Actuals'!AQ43)</f>
        <v>572.22614166666665</v>
      </c>
      <c r="AN24" s="684">
        <f>IF(AN$4="forecast",((SUM(AB24:AM24)*1.1)/12),'Dept. Cost Actuals'!AR43)</f>
        <v>576.99469284722227</v>
      </c>
      <c r="AO24" s="684">
        <f>IF(AO$4="forecast",((SUM(AC24:AN24)*1.1)/12),'Dept. Cost Actuals'!AS43)</f>
        <v>582.20036121932867</v>
      </c>
      <c r="AP24" s="684">
        <f>IF(AP$4="forecast",((SUM(AD24:AO24)*1.1)/12),'Dept. Cost Actuals'!AT43)</f>
        <v>587.88321585887832</v>
      </c>
      <c r="AQ24" s="684">
        <f>IF(AQ$4="forecast",((SUM(AE24:AP24)*1.1)/12),'Dept. Cost Actuals'!AU43)</f>
        <v>594.08699884038651</v>
      </c>
      <c r="AR24" s="684">
        <f>IF(AR$4="forecast",((SUM(AF24:AQ24)*1.1)/12),'Dept. Cost Actuals'!AV43)</f>
        <v>600.85946192853316</v>
      </c>
      <c r="AS24" s="684">
        <f>IF(AS$4="forecast",((SUM(AG24:AR24)*1.1)/12),'Dept. Cost Actuals'!AW43)</f>
        <v>608.2527341330931</v>
      </c>
      <c r="AT24" s="684">
        <f>IF(AT$4="forecast",((SUM(AH24:AS24)*1.1)/12),'Dept. Cost Actuals'!AX43)</f>
        <v>616.32372295640448</v>
      </c>
      <c r="AU24" s="684">
        <f>IF(AU$4="forecast",((SUM(AI24:AT24)*1.1)/12),'Dept. Cost Actuals'!AY43)</f>
        <v>625.13455242185262</v>
      </c>
      <c r="AV24" s="684">
        <f>IF(AV$4="forecast",((SUM(AJ24:AU24)*1.1)/12),'Dept. Cost Actuals'!AZ43)</f>
        <v>634.75304125496689</v>
      </c>
      <c r="AW24" s="684">
        <f>IF(AW$4="forecast",((SUM(AK24:AV24)*1.1)/12),'Dept. Cost Actuals'!BA43)</f>
        <v>645.2532248977833</v>
      </c>
      <c r="AX24" s="684">
        <f>IF(AX$4="forecast",((SUM(AL24:AW24)*1.1)/12),'Dept. Cost Actuals'!BB43)</f>
        <v>656.71592537452455</v>
      </c>
      <c r="AY24" s="684">
        <f>IF(AY$4="forecast",((SUM(AM24:AX24)*1.1)/12),'Dept. Cost Actuals'!BC43)</f>
        <v>669.22937339496707</v>
      </c>
      <c r="AZ24" s="684">
        <f>IF(AZ$4="forecast",((SUM(AN24:AY24)*1.1)/12),'Dept. Cost Actuals'!BD43)</f>
        <v>678.12133630339463</v>
      </c>
      <c r="BA24" s="684">
        <f>IF(BA$4="forecast",((SUM(AO24:AZ24)*1.1)/12),'Dept. Cost Actuals'!BE43)</f>
        <v>687.39127862021053</v>
      </c>
      <c r="BB24" s="684">
        <f>IF(BB$4="forecast",((SUM(AP24:BA24)*1.1)/12),'Dept. Cost Actuals'!BF43)</f>
        <v>697.03377938195808</v>
      </c>
      <c r="BC24" s="684">
        <f>IF(BC$4="forecast",((SUM(AQ24:BB24)*1.1)/12),'Dept. Cost Actuals'!BG43)</f>
        <v>707.0392477049071</v>
      </c>
      <c r="BD24" s="684">
        <f>IF(BD$4="forecast",((SUM(AR24:BC24)*1.1)/12),'Dept. Cost Actuals'!BH43)</f>
        <v>717.39320385082146</v>
      </c>
      <c r="BE24" s="684">
        <f>IF(BE$4="forecast",((SUM(AS24:BD24)*1.1)/12),'Dept. Cost Actuals'!BI43)</f>
        <v>728.07546352703105</v>
      </c>
      <c r="BF24" s="684">
        <f>IF(BF$4="forecast",((SUM(AT24:BE24)*1.1)/12),'Dept. Cost Actuals'!BJ43)</f>
        <v>739.05921372147532</v>
      </c>
      <c r="BG24" s="684">
        <f>IF(BG$4="forecast",((SUM(AU24:BF24)*1.1)/12),'Dept. Cost Actuals'!BK43)</f>
        <v>750.30996704160691</v>
      </c>
      <c r="BH24" s="684">
        <f>IF(BH$4="forecast",((SUM(AV24:BG24)*1.1)/12),'Dept. Cost Actuals'!BL43)</f>
        <v>761.7843800484178</v>
      </c>
      <c r="BI24" s="684">
        <f>IF(BI$4="forecast",((SUM(AW24:BH24)*1.1)/12),'Dept. Cost Actuals'!BM43)</f>
        <v>773.4289194378174</v>
      </c>
      <c r="BJ24" s="684">
        <f>IF(BJ$4="forecast",((SUM(AX24:BI24)*1.1)/12),'Dept. Cost Actuals'!BN43)</f>
        <v>785.17835810398719</v>
      </c>
      <c r="BK24" s="684">
        <f>IF(BK$4="forecast",((SUM(AY24:BJ24)*1.1)/12),'Dept. Cost Actuals'!BO43)</f>
        <v>796.95408110418794</v>
      </c>
      <c r="BL24" s="684">
        <f>IF(BL$4="forecast",((SUM(AZ24:BK24)*1.1)/12),'Dept. Cost Actuals'!BP43)</f>
        <v>808.66217931086658</v>
      </c>
      <c r="BM24" s="684">
        <f>IF(BM$4="forecast",((SUM(BA24:BL24)*1.1)/12),'Dept. Cost Actuals'!BQ43)</f>
        <v>820.62842325321799</v>
      </c>
      <c r="BN24" s="684">
        <f>IF(BN$4="forecast",((SUM(BB24:BM24)*1.1)/12),'Dept. Cost Actuals'!BR43)</f>
        <v>832.84182817791043</v>
      </c>
      <c r="BO24" s="684">
        <f>IF(BO$4="forecast",((SUM(BC24:BN24)*1.1)/12),'Dept. Cost Actuals'!BS43)</f>
        <v>845.29089931753936</v>
      </c>
      <c r="BP24" s="684">
        <f>IF(BP$4="forecast",((SUM(BD24:BO24)*1.1)/12),'Dept. Cost Actuals'!BT43)</f>
        <v>857.96396738203055</v>
      </c>
      <c r="BQ24" s="684">
        <f>IF(BQ$4="forecast",((SUM(BE24:BP24)*1.1)/12),'Dept. Cost Actuals'!BU43)</f>
        <v>870.84962070572476</v>
      </c>
      <c r="BR24" s="684">
        <f>IF(BR$4="forecast",((SUM(BF24:BQ24)*1.1)/12),'Dept. Cost Actuals'!BV43)</f>
        <v>883.93725178043849</v>
      </c>
      <c r="BS24" s="684">
        <f>IF(BS$4="forecast",((SUM(BG24:BR24)*1.1)/12),'Dept. Cost Actuals'!BW43)</f>
        <v>897.21773860251005</v>
      </c>
      <c r="BT24" s="684">
        <f>IF(BT$4="forecast",((SUM(BH24:BS24)*1.1)/12),'Dept. Cost Actuals'!BX43)</f>
        <v>910.68428432892631</v>
      </c>
      <c r="BU24" s="684">
        <f>IF(BU$4="forecast",((SUM(BI24:BT24)*1.1)/12),'Dept. Cost Actuals'!BY43)</f>
        <v>924.3334422213062</v>
      </c>
      <c r="BV24" s="808">
        <f>IF(BV$4="forecast",((SUM(BJ24:BU24)*1.1)/12),'Dept. Cost Actuals'!BZ43)</f>
        <v>938.16635680979277</v>
      </c>
    </row>
    <row r="25" spans="2:74" x14ac:dyDescent="0.35">
      <c r="B25" s="812" t="s">
        <v>1082</v>
      </c>
      <c r="C25" s="684">
        <f>IF(C$4="forecast",(AVERAGE(#REF!)),'Dept. Cost Actuals'!G608)</f>
        <v>0</v>
      </c>
      <c r="D25" s="684">
        <f>IF(D$4="forecast",(AVERAGE(#REF!)),'Dept. Cost Actuals'!H608)</f>
        <v>0</v>
      </c>
      <c r="E25" s="684">
        <f>IF(E$4="forecast",(AVERAGE(#REF!)),'Dept. Cost Actuals'!I608)</f>
        <v>0</v>
      </c>
      <c r="F25" s="684">
        <f>IF(F$4="forecast",(AVERAGE(#REF!)),'Dept. Cost Actuals'!J608)</f>
        <v>0</v>
      </c>
      <c r="G25" s="684">
        <f>IF(G$4="forecast",(AVERAGE(#REF!)),'Dept. Cost Actuals'!K608)</f>
        <v>0</v>
      </c>
      <c r="H25" s="684">
        <f>IF(H$4="forecast",(AVERAGE(#REF!)),'Dept. Cost Actuals'!L608)</f>
        <v>0</v>
      </c>
      <c r="I25" s="684">
        <f>IF(I$4="forecast",(AVERAGE(#REF!)),'Dept. Cost Actuals'!M608)</f>
        <v>0</v>
      </c>
      <c r="J25" s="684">
        <f>IF(J$4="forecast",(AVERAGE(#REF!)),'Dept. Cost Actuals'!N608)</f>
        <v>0</v>
      </c>
      <c r="K25" s="684">
        <f>IF(K$4="forecast",(AVERAGE(#REF!)),'Dept. Cost Actuals'!O608)</f>
        <v>81</v>
      </c>
      <c r="L25" s="684">
        <f>IF(L$4="forecast",(AVERAGE(#REF!)),'Dept. Cost Actuals'!P608)</f>
        <v>296</v>
      </c>
      <c r="M25" s="684">
        <f>IF(M$4="forecast",(AVERAGE(A25:L25)),'Dept. Cost Actuals'!Q608)</f>
        <v>308</v>
      </c>
      <c r="N25" s="684">
        <f>IF(N$4="forecast",(AVERAGE(B25:M25)),'Dept. Cost Actuals'!R608)</f>
        <v>28</v>
      </c>
      <c r="O25" s="684">
        <f>IF(O$4="forecast",(AVERAGE(C25:N25)),'Dept. Cost Actuals'!S608)</f>
        <v>0</v>
      </c>
      <c r="P25" s="684">
        <f>IF(P$4="forecast",(AVERAGE(D25:O25)),'Dept. Cost Actuals'!T608)</f>
        <v>0</v>
      </c>
      <c r="Q25" s="684">
        <f>IF(Q$4="forecast",(AVERAGE(E25:P25)),'Dept. Cost Actuals'!U608)</f>
        <v>0</v>
      </c>
      <c r="R25" s="684">
        <f>IF(R$4="forecast",(AVERAGE(F25:Q25)),'Dept. Cost Actuals'!V608)</f>
        <v>14</v>
      </c>
      <c r="S25" s="684">
        <f>IF(S$4="forecast",(AVERAGE(G25:R25)),'Dept. Cost Actuals'!W608)</f>
        <v>14</v>
      </c>
      <c r="T25" s="684">
        <f>IF(T$4="forecast",(AVERAGE(H25:S25)),'Dept. Cost Actuals'!X608)</f>
        <v>0</v>
      </c>
      <c r="U25" s="684">
        <f>IF(U$4="forecast",(AVERAGE(I25:T25)),'Dept. Cost Actuals'!Y608)</f>
        <v>660</v>
      </c>
      <c r="V25" s="684">
        <f>IF(V$4="forecast",(AVERAGE(J25:U25)),'Dept. Cost Actuals'!Z608)</f>
        <v>0</v>
      </c>
      <c r="W25" s="684">
        <f>IF(W$4="forecast",(AVERAGE(K25:V25)),'Dept. Cost Actuals'!AA608)</f>
        <v>0</v>
      </c>
      <c r="X25" s="684">
        <f>IF(X$4="forecast",(AVERAGE(L25:W25)),'Dept. Cost Actuals'!AB608)</f>
        <v>106</v>
      </c>
      <c r="Y25" s="684">
        <f>IF(Y$4="forecast",(AVERAGE(M25:X25)),'Dept. Cost Actuals'!AC608)</f>
        <v>0</v>
      </c>
      <c r="Z25" s="684">
        <f>IF(Z$4="forecast",(AVERAGE(N25:Y25)),'Dept. Cost Actuals'!AD608)</f>
        <v>125</v>
      </c>
      <c r="AA25" s="684">
        <f>IF(AA$4="forecast",(SUM($O$25:$Z$25)/12),'Dept. Cost Actuals'!AE608)</f>
        <v>76.583333333333329</v>
      </c>
      <c r="AB25" s="684">
        <f>IF(AB$4="forecast",(SUM($O$25:$Z$25)/12),'Dept. Cost Actuals'!AF608)</f>
        <v>76.583333333333329</v>
      </c>
      <c r="AC25" s="684">
        <f>IF(AC$4="forecast",(SUM($O$25:$Z$25)/12),'Dept. Cost Actuals'!AG608)</f>
        <v>76.583333333333329</v>
      </c>
      <c r="AD25" s="684">
        <f>IF(AD$4="forecast",(SUM($O$25:$Z$25)/12),'Dept. Cost Actuals'!AH608)</f>
        <v>76.583333333333329</v>
      </c>
      <c r="AE25" s="684">
        <f>IF(AE$4="forecast",(SUM($O$25:$Z$25)/12),'Dept. Cost Actuals'!AI608)</f>
        <v>76.583333333333329</v>
      </c>
      <c r="AF25" s="684">
        <f>IF(AF$4="forecast",(SUM($O$25:$Z$25)/12),'Dept. Cost Actuals'!AJ608)</f>
        <v>76.583333333333329</v>
      </c>
      <c r="AG25" s="684">
        <f>IF(AG$4="forecast",(SUM($O$25:$Z$25)/12),'Dept. Cost Actuals'!AK608)</f>
        <v>76.583333333333329</v>
      </c>
      <c r="AH25" s="684">
        <f>IF(AH$4="forecast",(SUM($O$25:$Z$25)/12),'Dept. Cost Actuals'!AL608)</f>
        <v>76.583333333333329</v>
      </c>
      <c r="AI25" s="684">
        <f>IF(AI$4="forecast",(SUM($O$25:$Z$25)/12),'Dept. Cost Actuals'!AM608)</f>
        <v>76.583333333333329</v>
      </c>
      <c r="AJ25" s="684">
        <f>IF(AJ$4="forecast",(SUM($O$25:$Z$25)/12),'Dept. Cost Actuals'!AN608)</f>
        <v>76.583333333333329</v>
      </c>
      <c r="AK25" s="684">
        <f>IF(AK$4="forecast",(SUM($O$25:$Z$25)/12),'Dept. Cost Actuals'!AO608)</f>
        <v>76.583333333333329</v>
      </c>
      <c r="AL25" s="684">
        <f>IF(AL$4="forecast",(SUM($O$25:$Z$25)/12),'Dept. Cost Actuals'!AP608)</f>
        <v>76.583333333333329</v>
      </c>
      <c r="AM25" s="684">
        <f>IF(AM$4="forecast",(AVERAGE(AA25:AL25)),'Dept. Cost Actuals'!AQ608)</f>
        <v>76.583333333333343</v>
      </c>
      <c r="AN25" s="684">
        <f>IF(AN$4="forecast",(AVERAGE(AB25:AM25)),'Dept. Cost Actuals'!AR608)</f>
        <v>76.583333333333343</v>
      </c>
      <c r="AO25" s="684">
        <f>IF(AO$4="forecast",(AVERAGE(AC25:AN25)),'Dept. Cost Actuals'!AS608)</f>
        <v>76.583333333333343</v>
      </c>
      <c r="AP25" s="684">
        <f>IF(AP$4="forecast",(AVERAGE(AD25:AO25)),'Dept. Cost Actuals'!AT608)</f>
        <v>76.583333333333343</v>
      </c>
      <c r="AQ25" s="684">
        <f>IF(AQ$4="forecast",(AVERAGE(AE25:AP25)),'Dept. Cost Actuals'!AU608)</f>
        <v>76.583333333333343</v>
      </c>
      <c r="AR25" s="684">
        <f>IF(AR$4="forecast",(AVERAGE(AF25:AQ25)),'Dept. Cost Actuals'!AV608)</f>
        <v>76.583333333333343</v>
      </c>
      <c r="AS25" s="684">
        <f>IF(AS$4="forecast",(AVERAGE(AG25:AR25)),'Dept. Cost Actuals'!AW608)</f>
        <v>76.583333333333343</v>
      </c>
      <c r="AT25" s="684">
        <f>IF(AT$4="forecast",(AVERAGE(AH25:AS25)),'Dept. Cost Actuals'!AX608)</f>
        <v>76.583333333333357</v>
      </c>
      <c r="AU25" s="684">
        <f>IF(AU$4="forecast",(AVERAGE(AI25:AT25)),'Dept. Cost Actuals'!AY608)</f>
        <v>76.583333333333357</v>
      </c>
      <c r="AV25" s="684">
        <f>IF(AV$4="forecast",(AVERAGE(AJ25:AU25)),'Dept. Cost Actuals'!AZ608)</f>
        <v>76.583333333333357</v>
      </c>
      <c r="AW25" s="684">
        <f>IF(AW$4="forecast",(AVERAGE(AK25:AV25)),'Dept. Cost Actuals'!BA608)</f>
        <v>76.583333333333357</v>
      </c>
      <c r="AX25" s="684">
        <f>IF(AX$4="forecast",(AVERAGE(AL25:AW25)),'Dept. Cost Actuals'!BB608)</f>
        <v>76.583333333333357</v>
      </c>
      <c r="AY25" s="684">
        <f>IF(AY$4="forecast",(AVERAGE(AM25:AX25)),'Dept. Cost Actuals'!BC608)</f>
        <v>76.583333333333357</v>
      </c>
      <c r="AZ25" s="684">
        <f>IF(AZ$4="forecast",(AVERAGE(AN25:AY25)),'Dept. Cost Actuals'!BD608)</f>
        <v>76.583333333333357</v>
      </c>
      <c r="BA25" s="684">
        <f>IF(BA$4="forecast",(AVERAGE(AO25:AZ25)),'Dept. Cost Actuals'!BE608)</f>
        <v>76.583333333333357</v>
      </c>
      <c r="BB25" s="684">
        <f>IF(BB$4="forecast",(AVERAGE(AP25:BA25)),'Dept. Cost Actuals'!BF608)</f>
        <v>76.583333333333357</v>
      </c>
      <c r="BC25" s="684">
        <f>IF(BC$4="forecast",(AVERAGE(AQ25:BB25)),'Dept. Cost Actuals'!BG608)</f>
        <v>76.583333333333357</v>
      </c>
      <c r="BD25" s="684">
        <f>IF(BD$4="forecast",(AVERAGE(AR25:BC25)),'Dept. Cost Actuals'!BH608)</f>
        <v>76.583333333333357</v>
      </c>
      <c r="BE25" s="684">
        <f>IF(BE$4="forecast",(AVERAGE(AS25:BD25)),'Dept. Cost Actuals'!BI608)</f>
        <v>76.583333333333357</v>
      </c>
      <c r="BF25" s="684">
        <f>IF(BF$4="forecast",(AVERAGE(AT25:BE25)),'Dept. Cost Actuals'!BJ608)</f>
        <v>76.583333333333357</v>
      </c>
      <c r="BG25" s="684">
        <f>IF(BG$4="forecast",(AVERAGE(AU25:BF25)),'Dept. Cost Actuals'!BK608)</f>
        <v>76.583333333333357</v>
      </c>
      <c r="BH25" s="684">
        <f>IF(BH$4="forecast",(AVERAGE(AV25:BG25)),'Dept. Cost Actuals'!BL608)</f>
        <v>76.583333333333357</v>
      </c>
      <c r="BI25" s="684">
        <f>IF(BI$4="forecast",(AVERAGE(AW25:BH25)),'Dept. Cost Actuals'!BM608)</f>
        <v>76.583333333333357</v>
      </c>
      <c r="BJ25" s="684">
        <f>IF(BJ$4="forecast",(AVERAGE(AX25:BI25)),'Dept. Cost Actuals'!BN608)</f>
        <v>76.583333333333357</v>
      </c>
      <c r="BK25" s="684">
        <f>IF(BK$4="forecast",(AVERAGE(AY25:BJ25)),'Dept. Cost Actuals'!BO608)</f>
        <v>76.583333333333357</v>
      </c>
      <c r="BL25" s="684">
        <f>IF(BL$4="forecast",(AVERAGE(AZ25:BK25)),'Dept. Cost Actuals'!BP608)</f>
        <v>76.583333333333357</v>
      </c>
      <c r="BM25" s="684">
        <f>IF(BM$4="forecast",(AVERAGE(BA25:BL25)),'Dept. Cost Actuals'!BQ608)</f>
        <v>76.583333333333357</v>
      </c>
      <c r="BN25" s="684">
        <f>IF(BN$4="forecast",(AVERAGE(BB25:BM25)),'Dept. Cost Actuals'!BR608)</f>
        <v>76.583333333333357</v>
      </c>
      <c r="BO25" s="684">
        <f>IF(BO$4="forecast",(AVERAGE(BC25:BN25)),'Dept. Cost Actuals'!BS608)</f>
        <v>76.583333333333357</v>
      </c>
      <c r="BP25" s="684">
        <f>IF(BP$4="forecast",(AVERAGE(BD25:BO25)),'Dept. Cost Actuals'!BT608)</f>
        <v>76.583333333333357</v>
      </c>
      <c r="BQ25" s="684">
        <f>IF(BQ$4="forecast",(AVERAGE(BE25:BP25)),'Dept. Cost Actuals'!BU608)</f>
        <v>76.583333333333357</v>
      </c>
      <c r="BR25" s="684">
        <f>IF(BR$4="forecast",(AVERAGE(BF25:BQ25)),'Dept. Cost Actuals'!BV608)</f>
        <v>76.583333333333357</v>
      </c>
      <c r="BS25" s="684">
        <f>IF(BS$4="forecast",(AVERAGE(BG25:BR25)),'Dept. Cost Actuals'!BW608)</f>
        <v>76.583333333333357</v>
      </c>
      <c r="BT25" s="684">
        <f>IF(BT$4="forecast",(AVERAGE(BH25:BS25)),'Dept. Cost Actuals'!BX608)</f>
        <v>76.583333333333357</v>
      </c>
      <c r="BU25" s="684">
        <f>IF(BU$4="forecast",(AVERAGE(BI25:BT25)),'Dept. Cost Actuals'!BY608)</f>
        <v>76.583333333333357</v>
      </c>
      <c r="BV25" s="808">
        <f>IF(BV$4="forecast",(AVERAGE(BJ25:BU25)),'Dept. Cost Actuals'!BZ608)</f>
        <v>76.583333333333357</v>
      </c>
    </row>
    <row r="26" spans="2:74" x14ac:dyDescent="0.35">
      <c r="B26" s="813" t="s">
        <v>944</v>
      </c>
      <c r="C26" s="814">
        <f>SUM(C17:C25,C14)</f>
        <v>9175.5628291611574</v>
      </c>
      <c r="D26" s="814">
        <f t="shared" ref="D26:BO26" si="7">SUM(D17:D25,D14)</f>
        <v>9064.0669868966943</v>
      </c>
      <c r="E26" s="814">
        <f t="shared" si="7"/>
        <v>9098.7899645938251</v>
      </c>
      <c r="F26" s="814">
        <f t="shared" si="7"/>
        <v>9483.8089854544796</v>
      </c>
      <c r="G26" s="814">
        <f t="shared" si="7"/>
        <v>6641.6228010929744</v>
      </c>
      <c r="H26" s="814">
        <f t="shared" si="7"/>
        <v>10152.000221601602</v>
      </c>
      <c r="I26" s="814">
        <f t="shared" si="7"/>
        <v>9230.7762107820618</v>
      </c>
      <c r="J26" s="814">
        <f t="shared" si="7"/>
        <v>11330.959065921139</v>
      </c>
      <c r="K26" s="814">
        <f t="shared" si="7"/>
        <v>9603.2560521946834</v>
      </c>
      <c r="L26" s="814">
        <f t="shared" si="7"/>
        <v>10854.572392051272</v>
      </c>
      <c r="M26" s="814">
        <f t="shared" si="7"/>
        <v>14889.244541174865</v>
      </c>
      <c r="N26" s="814">
        <f t="shared" si="7"/>
        <v>12420.620231312561</v>
      </c>
      <c r="O26" s="814">
        <f t="shared" si="7"/>
        <v>11287.2</v>
      </c>
      <c r="P26" s="814">
        <f t="shared" si="7"/>
        <v>8647.619999999999</v>
      </c>
      <c r="Q26" s="814">
        <f t="shared" si="7"/>
        <v>11520.44</v>
      </c>
      <c r="R26" s="814">
        <f t="shared" si="7"/>
        <v>9292.7200000000012</v>
      </c>
      <c r="S26" s="814">
        <f t="shared" si="7"/>
        <v>19110.419999999998</v>
      </c>
      <c r="T26" s="814">
        <f t="shared" si="7"/>
        <v>20542</v>
      </c>
      <c r="U26" s="814">
        <f t="shared" si="7"/>
        <v>23478.26</v>
      </c>
      <c r="V26" s="814">
        <f t="shared" si="7"/>
        <v>32752.45</v>
      </c>
      <c r="W26" s="814">
        <f t="shared" si="7"/>
        <v>32672.57</v>
      </c>
      <c r="X26" s="814">
        <f t="shared" si="7"/>
        <v>40544.769999999997</v>
      </c>
      <c r="Y26" s="814">
        <f t="shared" si="7"/>
        <v>34608.950000000004</v>
      </c>
      <c r="Z26" s="814">
        <f t="shared" si="7"/>
        <v>12640.989999999998</v>
      </c>
      <c r="AA26" s="814">
        <f t="shared" si="7"/>
        <v>28805.225624999999</v>
      </c>
      <c r="AB26" s="814">
        <f t="shared" si="7"/>
        <v>33166.023472222223</v>
      </c>
      <c r="AC26" s="814">
        <f t="shared" si="7"/>
        <v>33270.515862268519</v>
      </c>
      <c r="AD26" s="814">
        <f t="shared" si="7"/>
        <v>56300.382618152005</v>
      </c>
      <c r="AE26" s="814">
        <f t="shared" si="7"/>
        <v>56423.016048136895</v>
      </c>
      <c r="AF26" s="814">
        <f t="shared" si="7"/>
        <v>56555.868930620527</v>
      </c>
      <c r="AG26" s="814">
        <f t="shared" si="7"/>
        <v>56625.909553311125</v>
      </c>
      <c r="AH26" s="814">
        <f t="shared" si="7"/>
        <v>56756.734394559273</v>
      </c>
      <c r="AI26" s="814">
        <f t="shared" si="7"/>
        <v>56658.422972578104</v>
      </c>
      <c r="AJ26" s="814">
        <f t="shared" si="7"/>
        <v>56793.222265431832</v>
      </c>
      <c r="AK26" s="814">
        <f t="shared" si="7"/>
        <v>56501.957332690043</v>
      </c>
      <c r="AL26" s="814">
        <f t="shared" si="7"/>
        <v>216697.39032221978</v>
      </c>
      <c r="AM26" s="814">
        <f t="shared" si="7"/>
        <v>57336.023062126973</v>
      </c>
      <c r="AN26" s="814">
        <f t="shared" si="7"/>
        <v>58292.549844075053</v>
      </c>
      <c r="AO26" s="814">
        <f t="shared" si="7"/>
        <v>58330.486969621234</v>
      </c>
      <c r="AP26" s="814">
        <f t="shared" si="7"/>
        <v>58362.921203695514</v>
      </c>
      <c r="AQ26" s="814">
        <f t="shared" si="7"/>
        <v>58388.672306963243</v>
      </c>
      <c r="AR26" s="814">
        <f t="shared" si="7"/>
        <v>58406.401581196049</v>
      </c>
      <c r="AS26" s="814">
        <f t="shared" si="7"/>
        <v>58414.593658600359</v>
      </c>
      <c r="AT26" s="814">
        <f t="shared" si="7"/>
        <v>58417.693301165848</v>
      </c>
      <c r="AU26" s="814">
        <f t="shared" si="7"/>
        <v>58410.216435414644</v>
      </c>
      <c r="AV26" s="814">
        <f t="shared" si="7"/>
        <v>58410.382539594815</v>
      </c>
      <c r="AW26" s="814">
        <f t="shared" si="7"/>
        <v>58399.409365459134</v>
      </c>
      <c r="AX26" s="814">
        <f t="shared" si="7"/>
        <v>223536.33133940431</v>
      </c>
      <c r="AY26" s="814">
        <f t="shared" si="7"/>
        <v>60440.416433304759</v>
      </c>
      <c r="AZ26" s="814">
        <f t="shared" si="7"/>
        <v>61398.21554543815</v>
      </c>
      <c r="BA26" s="814">
        <f t="shared" si="7"/>
        <v>61412.320984351376</v>
      </c>
      <c r="BB26" s="814">
        <f t="shared" si="7"/>
        <v>61424.474318328059</v>
      </c>
      <c r="BC26" s="814">
        <f t="shared" si="7"/>
        <v>61434.97057434763</v>
      </c>
      <c r="BD26" s="814">
        <f t="shared" si="7"/>
        <v>61444.227273807701</v>
      </c>
      <c r="BE26" s="814">
        <f t="shared" si="7"/>
        <v>61452.807771145526</v>
      </c>
      <c r="BF26" s="814">
        <f t="shared" si="7"/>
        <v>61461.448045040073</v>
      </c>
      <c r="BG26" s="814">
        <f t="shared" si="7"/>
        <v>61470.574311223463</v>
      </c>
      <c r="BH26" s="814">
        <f t="shared" si="7"/>
        <v>61481.104504433533</v>
      </c>
      <c r="BI26" s="814">
        <f t="shared" si="7"/>
        <v>61492.5138377642</v>
      </c>
      <c r="BJ26" s="814">
        <f t="shared" si="7"/>
        <v>231583.98141634837</v>
      </c>
      <c r="BK26" s="814">
        <f t="shared" si="7"/>
        <v>62248.520809803864</v>
      </c>
      <c r="BL26" s="814">
        <f t="shared" si="7"/>
        <v>63230.812634576374</v>
      </c>
      <c r="BM26" s="814">
        <f t="shared" si="7"/>
        <v>63243.019902154621</v>
      </c>
      <c r="BN26" s="814">
        <f t="shared" si="7"/>
        <v>63255.091457968498</v>
      </c>
      <c r="BO26" s="814">
        <f t="shared" si="7"/>
        <v>63267.177623136835</v>
      </c>
      <c r="BP26" s="814">
        <f t="shared" ref="BP26:BV26" si="8">SUM(BP17:BP25,BP14)</f>
        <v>63279.416644091041</v>
      </c>
      <c r="BQ26" s="814">
        <f t="shared" si="8"/>
        <v>63291.923517769079</v>
      </c>
      <c r="BR26" s="814">
        <f t="shared" si="8"/>
        <v>63304.775951089199</v>
      </c>
      <c r="BS26" s="814">
        <f t="shared" si="8"/>
        <v>63317.99693003545</v>
      </c>
      <c r="BT26" s="814">
        <f t="shared" si="8"/>
        <v>63331.576049491123</v>
      </c>
      <c r="BU26" s="814">
        <f t="shared" si="8"/>
        <v>63345.425847239923</v>
      </c>
      <c r="BV26" s="815">
        <f t="shared" si="8"/>
        <v>238540.02472717781</v>
      </c>
    </row>
    <row r="27" spans="2:74" x14ac:dyDescent="0.35">
      <c r="B27" s="800"/>
      <c r="C27" s="157"/>
      <c r="D27" s="157"/>
      <c r="E27" s="157"/>
      <c r="F27" s="157"/>
      <c r="G27" s="157"/>
      <c r="H27" s="157"/>
      <c r="I27" s="157"/>
      <c r="J27" s="157"/>
      <c r="K27" s="157"/>
      <c r="L27" s="157"/>
      <c r="M27" s="157"/>
      <c r="N27" s="157"/>
      <c r="O27" s="157"/>
      <c r="P27" s="157"/>
      <c r="Q27" s="157"/>
      <c r="R27" s="157"/>
      <c r="S27" s="157"/>
      <c r="T27" s="157"/>
      <c r="U27" s="157"/>
      <c r="V27" s="157"/>
      <c r="W27" s="157"/>
      <c r="X27" s="157"/>
      <c r="Y27" s="157"/>
      <c r="Z27" s="157"/>
      <c r="AA27" s="157"/>
      <c r="AB27" s="157"/>
      <c r="AC27" s="157"/>
      <c r="AD27" s="157"/>
      <c r="AE27" s="157"/>
      <c r="AF27" s="157"/>
      <c r="AG27" s="157"/>
      <c r="AH27" s="157"/>
      <c r="AI27" s="157"/>
      <c r="AJ27" s="157"/>
      <c r="AK27" s="157"/>
      <c r="AL27" s="157"/>
      <c r="AM27" s="157"/>
      <c r="AN27" s="157"/>
      <c r="AO27" s="157"/>
      <c r="AP27" s="157"/>
      <c r="AQ27" s="157"/>
      <c r="AR27" s="157"/>
      <c r="AS27" s="157"/>
      <c r="AT27" s="157"/>
      <c r="AU27" s="157"/>
      <c r="AV27" s="157"/>
      <c r="AW27" s="157"/>
      <c r="AX27" s="157"/>
      <c r="AY27" s="157"/>
      <c r="AZ27" s="157"/>
      <c r="BA27" s="157"/>
      <c r="BB27" s="157"/>
      <c r="BC27" s="157"/>
      <c r="BD27" s="157"/>
      <c r="BE27" s="157"/>
      <c r="BF27" s="157"/>
      <c r="BG27" s="157"/>
      <c r="BH27" s="157"/>
      <c r="BI27" s="157"/>
      <c r="BJ27" s="157"/>
      <c r="BK27" s="157"/>
      <c r="BL27" s="157"/>
      <c r="BM27" s="157"/>
      <c r="BN27" s="157"/>
      <c r="BO27" s="157"/>
      <c r="BP27" s="157"/>
      <c r="BQ27" s="157"/>
      <c r="BR27" s="157"/>
      <c r="BS27" s="157"/>
      <c r="BT27" s="157"/>
      <c r="BU27" s="157"/>
      <c r="BV27" s="801"/>
    </row>
    <row r="28" spans="2:74" x14ac:dyDescent="0.35">
      <c r="B28" s="874" t="s">
        <v>945</v>
      </c>
      <c r="C28" s="877"/>
      <c r="D28" s="877"/>
      <c r="E28" s="877"/>
      <c r="F28" s="877"/>
      <c r="G28" s="877"/>
      <c r="H28" s="877"/>
      <c r="I28" s="877"/>
      <c r="J28" s="877"/>
      <c r="K28" s="877"/>
      <c r="L28" s="877"/>
      <c r="M28" s="877"/>
      <c r="N28" s="877"/>
      <c r="O28" s="878"/>
      <c r="P28" s="878"/>
      <c r="Q28" s="878"/>
      <c r="R28" s="878"/>
      <c r="S28" s="878"/>
      <c r="T28" s="878"/>
      <c r="U28" s="878"/>
      <c r="V28" s="878"/>
      <c r="W28" s="878"/>
      <c r="X28" s="878"/>
      <c r="Y28" s="878"/>
      <c r="Z28" s="878"/>
      <c r="AA28" s="878"/>
      <c r="AB28" s="878"/>
      <c r="AC28" s="878"/>
      <c r="AD28" s="878"/>
      <c r="AE28" s="878"/>
      <c r="AF28" s="878"/>
      <c r="AG28" s="878"/>
      <c r="AH28" s="878"/>
      <c r="AI28" s="878"/>
      <c r="AJ28" s="878"/>
      <c r="AK28" s="878"/>
      <c r="AL28" s="878"/>
      <c r="AM28" s="878"/>
      <c r="AN28" s="878"/>
      <c r="AO28" s="878"/>
      <c r="AP28" s="878"/>
      <c r="AQ28" s="878"/>
      <c r="AR28" s="878"/>
      <c r="AS28" s="878"/>
      <c r="AT28" s="878"/>
      <c r="AU28" s="878"/>
      <c r="AV28" s="878"/>
      <c r="AW28" s="878"/>
      <c r="AX28" s="878"/>
      <c r="AY28" s="878"/>
      <c r="AZ28" s="878"/>
      <c r="BA28" s="878"/>
      <c r="BB28" s="878"/>
      <c r="BC28" s="878"/>
      <c r="BD28" s="878"/>
      <c r="BE28" s="878"/>
      <c r="BF28" s="878"/>
      <c r="BG28" s="878"/>
      <c r="BH28" s="878"/>
      <c r="BI28" s="878"/>
      <c r="BJ28" s="878"/>
      <c r="BK28" s="878"/>
      <c r="BL28" s="878"/>
      <c r="BM28" s="878"/>
      <c r="BN28" s="878"/>
      <c r="BO28" s="878"/>
      <c r="BP28" s="878"/>
      <c r="BQ28" s="878"/>
      <c r="BR28" s="878"/>
      <c r="BS28" s="878"/>
      <c r="BT28" s="878"/>
      <c r="BU28" s="878"/>
      <c r="BV28" s="879"/>
    </row>
    <row r="29" spans="2:74" x14ac:dyDescent="0.35">
      <c r="B29" s="811" t="s">
        <v>946</v>
      </c>
      <c r="C29" s="684">
        <f>IF(C$4="forecast",(AVERAGE(#REF!)),'Dept. Cost Actuals'!G603-'Dept. Cost Actuals'!G601)</f>
        <v>0</v>
      </c>
      <c r="D29" s="684">
        <f>IF(D$4="forecast",(AVERAGE(#REF!)),'Dept. Cost Actuals'!H603-'Dept. Cost Actuals'!H601)</f>
        <v>9.3495806270011137</v>
      </c>
      <c r="E29" s="684">
        <f>IF(E$4="forecast",(AVERAGE(#REF!)),'Dept. Cost Actuals'!I603-'Dept. Cost Actuals'!I601)</f>
        <v>0</v>
      </c>
      <c r="F29" s="684">
        <f>IF(F$4="forecast",(AVERAGE(#REF!)),'Dept. Cost Actuals'!J603-'Dept. Cost Actuals'!J601)</f>
        <v>8.8520732374527871</v>
      </c>
      <c r="G29" s="684">
        <f>IF(G$4="forecast",(AVERAGE(#REF!)),'Dept. Cost Actuals'!K603-'Dept. Cost Actuals'!K601)</f>
        <v>2.2263216200323321</v>
      </c>
      <c r="H29" s="684">
        <f>IF(H$4="forecast",(AVERAGE(#REF!)),'Dept. Cost Actuals'!L603-'Dept. Cost Actuals'!L601)</f>
        <v>80.327831717967527</v>
      </c>
      <c r="I29" s="684">
        <f>IF(I$4="forecast",(AVERAGE(#REF!)),'Dept. Cost Actuals'!M603-'Dept. Cost Actuals'!M601)</f>
        <v>245.65353318073815</v>
      </c>
      <c r="J29" s="684">
        <f>IF(J$4="forecast",(AVERAGE(#REF!)),'Dept. Cost Actuals'!N603-'Dept. Cost Actuals'!N601)</f>
        <v>370.414548674434</v>
      </c>
      <c r="K29" s="684">
        <f>IF(K$4="forecast",(AVERAGE(#REF!)),'Dept. Cost Actuals'!O603-'Dept. Cost Actuals'!O601)</f>
        <v>303.38974374427841</v>
      </c>
      <c r="L29" s="684">
        <f>IF(L$4="forecast",(AVERAGE(#REF!)),'Dept. Cost Actuals'!P603-'Dept. Cost Actuals'!P601)</f>
        <v>109.48887636673307</v>
      </c>
      <c r="M29" s="684">
        <f>IF(M$4="forecast",(AVERAGE(A29:L29)),'Dept. Cost Actuals'!Q603-'Dept. Cost Actuals'!Q601)</f>
        <v>539.92867835979177</v>
      </c>
      <c r="N29" s="684">
        <f>IF(N$4="forecast",(AVERAGE(B29:M29)),'Dept. Cost Actuals'!R603-'Dept. Cost Actuals'!R601)</f>
        <v>138.04567295604059</v>
      </c>
      <c r="O29" s="684">
        <f>IF(O$4="forecast",(AVERAGE(C29:N29)),'Dept. Cost Actuals'!S603-'Dept. Cost Actuals'!S601)</f>
        <v>913.25</v>
      </c>
      <c r="P29" s="684">
        <f>IF(P$4="forecast",(AVERAGE(D29:O29)),'Dept. Cost Actuals'!T603-'Dept. Cost Actuals'!T601)</f>
        <v>26824.45</v>
      </c>
      <c r="Q29" s="684">
        <f>IF(Q$4="forecast",(AVERAGE(E29:P29)),'Dept. Cost Actuals'!U603-'Dept. Cost Actuals'!U601)</f>
        <v>9090.2999999999993</v>
      </c>
      <c r="R29" s="684">
        <f>IF(R$4="forecast",(AVERAGE(F29:Q29)),'Dept. Cost Actuals'!V603-'Dept. Cost Actuals'!V601)</f>
        <v>3861.65</v>
      </c>
      <c r="S29" s="684">
        <f>IF(S$4="forecast",(AVERAGE(G29:R29)),'Dept. Cost Actuals'!W603-'Dept. Cost Actuals'!W601)</f>
        <v>12899.98</v>
      </c>
      <c r="T29" s="684">
        <f>IF(T$4="forecast",(AVERAGE(H29:S29)),'Dept. Cost Actuals'!X603-'Dept. Cost Actuals'!X601)</f>
        <v>886.25</v>
      </c>
      <c r="U29" s="684">
        <f>IF(U$4="forecast",(AVERAGE(I29:T29)),'Dept. Cost Actuals'!Y603-'Dept. Cost Actuals'!Y601)</f>
        <v>29941.45</v>
      </c>
      <c r="V29" s="684">
        <f>IF(V$4="forecast",(AVERAGE(J29:U29)),'Dept. Cost Actuals'!Z603-'Dept. Cost Actuals'!Z601)</f>
        <v>17414.11</v>
      </c>
      <c r="W29" s="684">
        <f>IF(W$4="forecast",(AVERAGE(K29:V29)),'Dept. Cost Actuals'!AA603-'Dept. Cost Actuals'!AA601)</f>
        <v>12672.75</v>
      </c>
      <c r="X29" s="684">
        <f>IF(X$4="forecast",(AVERAGE(L29:W29)),'Dept. Cost Actuals'!AB603-'Dept. Cost Actuals'!AB601)</f>
        <v>21.55</v>
      </c>
      <c r="Y29" s="684">
        <f>IF(Y$4="forecast",(AVERAGE(M29:X29)),'Dept. Cost Actuals'!AC603-'Dept. Cost Actuals'!AC601)</f>
        <v>3204.5</v>
      </c>
      <c r="Z29" s="684">
        <f>IF(Z$4="forecast",(AVERAGE(N29:Y29)),'Dept. Cost Actuals'!AD603-'Dept. Cost Actuals'!AD601)</f>
        <v>62074.35</v>
      </c>
      <c r="AA29" s="684">
        <f>IF(AA$4="forecast",(AVERAGE(O29:Z29)),'Dept. Cost Actuals'!AE603-'Dept. Cost Actuals'!AE601)</f>
        <v>14983.715833333334</v>
      </c>
      <c r="AB29" s="684">
        <f>IF(AB$4="forecast",(AVERAGE(P29:AA29)),'Dept. Cost Actuals'!AF603-'Dept. Cost Actuals'!AF601)</f>
        <v>16156.254652777776</v>
      </c>
      <c r="AC29" s="684">
        <f>IF(AC$4="forecast",(AVERAGE(Q29:AB29)),'Dept. Cost Actuals'!AG603-'Dept. Cost Actuals'!AG601)</f>
        <v>15267.238373842592</v>
      </c>
      <c r="AD29" s="684">
        <f>IF(AD$4="forecast",(AVERAGE(R29:AC29)),'Dept. Cost Actuals'!AH603-'Dept. Cost Actuals'!AH601)</f>
        <v>15781.983238329472</v>
      </c>
      <c r="AE29" s="684">
        <f>IF(AE$4="forecast",(AVERAGE(S29:AD29)),'Dept. Cost Actuals'!AI603-'Dept. Cost Actuals'!AI601)</f>
        <v>16775.344341523596</v>
      </c>
      <c r="AF29" s="684">
        <f>IF(AF$4="forecast",(AVERAGE(T29:AE29)),'Dept. Cost Actuals'!AJ603-'Dept. Cost Actuals'!AJ601)</f>
        <v>17098.291369983894</v>
      </c>
      <c r="AG29" s="684">
        <f>IF(AG$4="forecast",(AVERAGE(U29:AF29)),'Dept. Cost Actuals'!AK603-'Dept. Cost Actuals'!AK601)</f>
        <v>18449.294817482554</v>
      </c>
      <c r="AH29" s="684">
        <f>IF(AH$4="forecast",(AVERAGE(V29:AG29)),'Dept. Cost Actuals'!AL603-'Dept. Cost Actuals'!AL601)</f>
        <v>17491.615218939438</v>
      </c>
      <c r="AI29" s="684">
        <f>IF(AI$4="forecast",(AVERAGE(W29:AH29)),'Dept. Cost Actuals'!AM603-'Dept. Cost Actuals'!AM601)</f>
        <v>17498.073987184387</v>
      </c>
      <c r="AJ29" s="684">
        <f>IF(AJ$4="forecast",(AVERAGE(X29:AI29)),'Dept. Cost Actuals'!AN603-'Dept. Cost Actuals'!AN601)</f>
        <v>17900.184319449752</v>
      </c>
      <c r="AK29" s="684">
        <f>IF(AK$4="forecast",(AVERAGE(Y29:AJ29)),'Dept. Cost Actuals'!AO603-'Dept. Cost Actuals'!AO601)</f>
        <v>19390.070512737231</v>
      </c>
      <c r="AL29" s="684">
        <f>IF(AL$4="forecast",(AVERAGE(Z29:AK29)),'Dept. Cost Actuals'!AP603-'Dept. Cost Actuals'!AP601)</f>
        <v>20738.868055465337</v>
      </c>
      <c r="AM29" s="684">
        <f>IF(AM$4="forecast",(AVERAGE(AA29:AL29)),'Dept. Cost Actuals'!AQ603-'Dept. Cost Actuals'!AQ601)</f>
        <v>17294.244560087449</v>
      </c>
      <c r="AN29" s="684">
        <f>IF(AN$4="forecast",(AVERAGE(AB29:AM29)),'Dept. Cost Actuals'!AR603-'Dept. Cost Actuals'!AR601)</f>
        <v>17486.788620650292</v>
      </c>
      <c r="AO29" s="684">
        <f>IF(AO$4="forecast",(AVERAGE(AC29:AN29)),'Dept. Cost Actuals'!AS603-'Dept. Cost Actuals'!AS601)</f>
        <v>17597.666451306333</v>
      </c>
      <c r="AP29" s="684">
        <f>IF(AP$4="forecast",(AVERAGE(AD29:AO29)),'Dept. Cost Actuals'!AT603-'Dept. Cost Actuals'!AT601)</f>
        <v>17791.868791094977</v>
      </c>
      <c r="AQ29" s="684">
        <f>IF(AQ$4="forecast",(AVERAGE(AE29:AP29)),'Dept. Cost Actuals'!AU603-'Dept. Cost Actuals'!AU601)</f>
        <v>17959.359253825438</v>
      </c>
      <c r="AR29" s="684">
        <f>IF(AR$4="forecast",(AVERAGE(AF29:AQ29)),'Dept. Cost Actuals'!AV603-'Dept. Cost Actuals'!AV601)</f>
        <v>18058.027163183924</v>
      </c>
      <c r="AS29" s="684">
        <f>IF(AS$4="forecast",(AVERAGE(AG29:AR29)),'Dept. Cost Actuals'!AW603-'Dept. Cost Actuals'!AW601)</f>
        <v>18138.005145950596</v>
      </c>
      <c r="AT29" s="684">
        <f>IF(AT$4="forecast",(AVERAGE(AH29:AS29)),'Dept. Cost Actuals'!AX603-'Dept. Cost Actuals'!AX601)</f>
        <v>18112.064339989596</v>
      </c>
      <c r="AU29" s="684">
        <f>IF(AU$4="forecast",(AVERAGE(AI29:AT29)),'Dept. Cost Actuals'!AY603-'Dept. Cost Actuals'!AY601)</f>
        <v>18163.768433410442</v>
      </c>
      <c r="AV29" s="684">
        <f>IF(AV$4="forecast",(AVERAGE(AJ29:AU29)),'Dept. Cost Actuals'!AZ603-'Dept. Cost Actuals'!AZ601)</f>
        <v>18219.242970595948</v>
      </c>
      <c r="AW29" s="684">
        <f>IF(AW$4="forecast",(AVERAGE(AK29:AV29)),'Dept. Cost Actuals'!BA603-'Dept. Cost Actuals'!BA601)</f>
        <v>18245.831191524798</v>
      </c>
      <c r="AX29" s="684">
        <f>IF(AX$4="forecast",(AVERAGE(AL29:AW29)),'Dept. Cost Actuals'!BB603-'Dept. Cost Actuals'!BB601)</f>
        <v>18150.477914757095</v>
      </c>
      <c r="AY29" s="684">
        <f>IF(AY$4="forecast",(AVERAGE(AM29:AX29)),'Dept. Cost Actuals'!BC603-'Dept. Cost Actuals'!BC601)</f>
        <v>17934.77873636474</v>
      </c>
      <c r="AZ29" s="684">
        <f>IF(AZ$4="forecast",(AVERAGE(AN29:AY29)),'Dept. Cost Actuals'!BD603-'Dept. Cost Actuals'!BD601)</f>
        <v>17988.156584387849</v>
      </c>
      <c r="BA29" s="684">
        <f>IF(BA$4="forecast",(AVERAGE(AO29:AZ29)),'Dept. Cost Actuals'!BE603-'Dept. Cost Actuals'!BE601)</f>
        <v>18029.937248032646</v>
      </c>
      <c r="BB29" s="684">
        <f>IF(BB$4="forecast",(AVERAGE(AP29:BA29)),'Dept. Cost Actuals'!BF603-'Dept. Cost Actuals'!BF601)</f>
        <v>18065.959814426504</v>
      </c>
      <c r="BC29" s="684">
        <f>IF(BC$4="forecast",(AVERAGE(AQ29:BB29)),'Dept. Cost Actuals'!BG603-'Dept. Cost Actuals'!BG601)</f>
        <v>18088.800733037464</v>
      </c>
      <c r="BD29" s="684">
        <f>IF(BD$4="forecast",(AVERAGE(AR29:BC29)),'Dept. Cost Actuals'!BH603-'Dept. Cost Actuals'!BH601)</f>
        <v>18099.587522971804</v>
      </c>
      <c r="BE29" s="684">
        <f>IF(BE$4="forecast",(AVERAGE(AS29:BD29)),'Dept. Cost Actuals'!BI603-'Dept. Cost Actuals'!BI601)</f>
        <v>18103.050886287456</v>
      </c>
      <c r="BF29" s="684">
        <f>IF(BF$4="forecast",(AVERAGE(AT29:BE29)),'Dept. Cost Actuals'!BJ603-'Dept. Cost Actuals'!BJ601)</f>
        <v>18100.138031315528</v>
      </c>
      <c r="BG29" s="684">
        <f>IF(BG$4="forecast",(AVERAGE(AU29:BF29)),'Dept. Cost Actuals'!BK603-'Dept. Cost Actuals'!BK601)</f>
        <v>18099.144172259355</v>
      </c>
      <c r="BH29" s="684">
        <f>IF(BH$4="forecast",(AVERAGE(AV29:BG29)),'Dept. Cost Actuals'!BL603-'Dept. Cost Actuals'!BL601)</f>
        <v>18093.758817163431</v>
      </c>
      <c r="BI29" s="684">
        <f>IF(BI$4="forecast",(AVERAGE(AW29:BH29)),'Dept. Cost Actuals'!BM603-'Dept. Cost Actuals'!BM601)</f>
        <v>18083.301804377388</v>
      </c>
      <c r="BJ29" s="684">
        <f>IF(BJ$4="forecast",(AVERAGE(AX29:BI29)),'Dept. Cost Actuals'!BN603-'Dept. Cost Actuals'!BN601)</f>
        <v>18069.75768878177</v>
      </c>
      <c r="BK29" s="684">
        <f>IF(BK$4="forecast",(AVERAGE(AY29:BJ29)),'Dept. Cost Actuals'!BO603-'Dept. Cost Actuals'!BO601)</f>
        <v>18063.031003283828</v>
      </c>
      <c r="BL29" s="684">
        <f>IF(BL$4="forecast",(AVERAGE(AZ29:BK29)),'Dept. Cost Actuals'!BP603-'Dept. Cost Actuals'!BP601)</f>
        <v>18073.71869219375</v>
      </c>
      <c r="BM29" s="684">
        <f>IF(BM$4="forecast",(AVERAGE(BA29:BL29)),'Dept. Cost Actuals'!BQ603-'Dept. Cost Actuals'!BQ601)</f>
        <v>18080.848867844241</v>
      </c>
      <c r="BN29" s="684">
        <f>IF(BN$4="forecast",(AVERAGE(BB29:BM29)),'Dept. Cost Actuals'!BR603-'Dept. Cost Actuals'!BR601)</f>
        <v>18085.091502828542</v>
      </c>
      <c r="BO29" s="684">
        <f>IF(BO$4="forecast",(AVERAGE(BC29:BN29)),'Dept. Cost Actuals'!BS603-'Dept. Cost Actuals'!BS601)</f>
        <v>18086.68581019538</v>
      </c>
      <c r="BP29" s="684">
        <f>IF(BP$4="forecast",(AVERAGE(BD29:BO29)),'Dept. Cost Actuals'!BT603-'Dept. Cost Actuals'!BT601)</f>
        <v>18086.509566625205</v>
      </c>
      <c r="BQ29" s="684">
        <f>IF(BQ$4="forecast",(AVERAGE(BE29:BP29)),'Dept. Cost Actuals'!BU603-'Dept. Cost Actuals'!BU601)</f>
        <v>18085.419736929656</v>
      </c>
      <c r="BR29" s="684">
        <f>IF(BR$4="forecast",(AVERAGE(BF29:BQ29)),'Dept. Cost Actuals'!BV603-'Dept. Cost Actuals'!BV601)</f>
        <v>18083.950474483172</v>
      </c>
      <c r="BS29" s="684">
        <f>IF(BS$4="forecast",(AVERAGE(BG29:BR29)),'Dept. Cost Actuals'!BW603-'Dept. Cost Actuals'!BW601)</f>
        <v>18082.60151141381</v>
      </c>
      <c r="BT29" s="684">
        <f>IF(BT$4="forecast",(AVERAGE(BH29:BS29)),'Dept. Cost Actuals'!BX603-'Dept. Cost Actuals'!BX601)</f>
        <v>18081.222956343347</v>
      </c>
      <c r="BU29" s="684">
        <f>IF(BU$4="forecast",(AVERAGE(BI29:BT29)),'Dept. Cost Actuals'!BY603-'Dept. Cost Actuals'!BY601)</f>
        <v>18080.178301275006</v>
      </c>
      <c r="BV29" s="808">
        <f>IF(BV$4="forecast",(AVERAGE(BJ29:BU29)),'Dept. Cost Actuals'!BZ603-'Dept. Cost Actuals'!BZ601)</f>
        <v>18079.918009349811</v>
      </c>
    </row>
    <row r="30" spans="2:74" x14ac:dyDescent="0.35">
      <c r="B30" s="812" t="s">
        <v>926</v>
      </c>
      <c r="C30" s="684">
        <f>IF(C$4="forecast",AVERAGE(#REF!),'Dept. Cost Actuals'!G552+'Dept. Cost Actuals'!G512)</f>
        <v>0</v>
      </c>
      <c r="D30" s="684">
        <f>IF(D$4="forecast",AVERAGE(#REF!),'Dept. Cost Actuals'!H552+'Dept. Cost Actuals'!H512)</f>
        <v>0</v>
      </c>
      <c r="E30" s="684">
        <f>IF(E$4="forecast",AVERAGE(#REF!),'Dept. Cost Actuals'!I552+'Dept. Cost Actuals'!I512)</f>
        <v>0</v>
      </c>
      <c r="F30" s="684">
        <f>IF(F$4="forecast",AVERAGE(#REF!),'Dept. Cost Actuals'!J552+'Dept. Cost Actuals'!J512)</f>
        <v>0</v>
      </c>
      <c r="G30" s="684">
        <f>IF(G$4="forecast",AVERAGE(#REF!),'Dept. Cost Actuals'!K552+'Dept. Cost Actuals'!K512)</f>
        <v>0</v>
      </c>
      <c r="H30" s="684">
        <f>IF(H$4="forecast",AVERAGE(#REF!),'Dept. Cost Actuals'!L552+'Dept. Cost Actuals'!L512)</f>
        <v>0</v>
      </c>
      <c r="I30" s="684">
        <f>IF(I$4="forecast",AVERAGE(#REF!),'Dept. Cost Actuals'!M552+'Dept. Cost Actuals'!M512)</f>
        <v>11.492950582797899</v>
      </c>
      <c r="J30" s="684">
        <f>IF(J$4="forecast",AVERAGE(#REF!),'Dept. Cost Actuals'!N552+'Dept. Cost Actuals'!N512)</f>
        <v>0</v>
      </c>
      <c r="K30" s="684">
        <f>IF(K$4="forecast",AVERAGE(#REF!),'Dept. Cost Actuals'!O552+'Dept. Cost Actuals'!O512)</f>
        <v>7.7927115840050964</v>
      </c>
      <c r="L30" s="684">
        <f>IF(L$4="forecast",AVERAGE(#REF!),'Dept. Cost Actuals'!P552+'Dept. Cost Actuals'!P512)</f>
        <v>8.8968173694925294</v>
      </c>
      <c r="M30" s="684">
        <f>IF(M$4="forecast",AVERAGE(A30:L30),'Dept. Cost Actuals'!Q552+'Dept. Cost Actuals'!Q512)</f>
        <v>0</v>
      </c>
      <c r="N30" s="684">
        <f>IF(N$4="forecast",AVERAGE(B30:M30),'Dept. Cost Actuals'!R552+'Dept. Cost Actuals'!R512)</f>
        <v>0</v>
      </c>
      <c r="O30" s="684">
        <f>IF(O$4="forecast",AVERAGE(C30:N30),'Dept. Cost Actuals'!S552+'Dept. Cost Actuals'!S512)</f>
        <v>0</v>
      </c>
      <c r="P30" s="684">
        <f>IF(P$4="forecast",AVERAGE(D30:O30),'Dept. Cost Actuals'!T552+'Dept. Cost Actuals'!T512)</f>
        <v>0</v>
      </c>
      <c r="Q30" s="684">
        <f>IF(Q$4="forecast",AVERAGE(E30:P30),'Dept. Cost Actuals'!U552+'Dept. Cost Actuals'!U512)</f>
        <v>0</v>
      </c>
      <c r="R30" s="684">
        <f>IF(R$4="forecast",AVERAGE(F30:Q30),'Dept. Cost Actuals'!V552+'Dept. Cost Actuals'!V512)</f>
        <v>0</v>
      </c>
      <c r="S30" s="684">
        <f>IF(S$4="forecast",AVERAGE(G30:R30),'Dept. Cost Actuals'!W552+'Dept. Cost Actuals'!W512)</f>
        <v>0</v>
      </c>
      <c r="T30" s="684">
        <f>IF(T$4="forecast",AVERAGE(H30:S30),'Dept. Cost Actuals'!X552+'Dept. Cost Actuals'!X512)</f>
        <v>0</v>
      </c>
      <c r="U30" s="684">
        <f>IF(U$4="forecast",AVERAGE(I30:T30),'Dept. Cost Actuals'!Y552+'Dept. Cost Actuals'!Y512)</f>
        <v>0</v>
      </c>
      <c r="V30" s="684">
        <f>IF(V$4="forecast",AVERAGE(J30:U30),'Dept. Cost Actuals'!Z552+'Dept. Cost Actuals'!Z512)</f>
        <v>0</v>
      </c>
      <c r="W30" s="684">
        <f>IF(W$4="forecast",AVERAGE(K30:V30),'Dept. Cost Actuals'!AA552+'Dept. Cost Actuals'!AA512)</f>
        <v>0</v>
      </c>
      <c r="X30" s="684">
        <f>IF(X$4="forecast",AVERAGE(L30:W30),'Dept. Cost Actuals'!AB552+'Dept. Cost Actuals'!AB512)</f>
        <v>0</v>
      </c>
      <c r="Y30" s="684">
        <f>IF(Y$4="forecast",AVERAGE(M30:X30),'Dept. Cost Actuals'!AC552+'Dept. Cost Actuals'!AC512)</f>
        <v>0</v>
      </c>
      <c r="Z30" s="684">
        <f>IF(Z$4="forecast",AVERAGE(N30:Y30),'Dept. Cost Actuals'!AD552+'Dept. Cost Actuals'!AD512)</f>
        <v>0</v>
      </c>
      <c r="AA30" s="684">
        <f>IF(AA$4="forecast",AVERAGE(O30:Z30),'Dept. Cost Actuals'!AE552+'Dept. Cost Actuals'!AE512)</f>
        <v>0</v>
      </c>
      <c r="AB30" s="684">
        <f>IF(AB$4="forecast",AVERAGE(P30:AA30),'Dept. Cost Actuals'!AF552+'Dept. Cost Actuals'!AF512)</f>
        <v>0</v>
      </c>
      <c r="AC30" s="684">
        <f>IF(AC$4="forecast",AVERAGE(Q30:AB30),'Dept. Cost Actuals'!AG552+'Dept. Cost Actuals'!AG512)</f>
        <v>0</v>
      </c>
      <c r="AD30" s="684">
        <f>IF(AD$4="forecast",AVERAGE(R30:AC30),'Dept. Cost Actuals'!AH552+'Dept. Cost Actuals'!AH512)</f>
        <v>0</v>
      </c>
      <c r="AE30" s="684">
        <f>IF(AE$4="forecast",AVERAGE(S30:AD30),'Dept. Cost Actuals'!AI552+'Dept. Cost Actuals'!AI512)</f>
        <v>0</v>
      </c>
      <c r="AF30" s="684">
        <f>IF(AF$4="forecast",AVERAGE(T30:AE30),'Dept. Cost Actuals'!AJ552+'Dept. Cost Actuals'!AJ512)</f>
        <v>0</v>
      </c>
      <c r="AG30" s="684">
        <f>IF(AG$4="forecast",AVERAGE(U30:AF30),'Dept. Cost Actuals'!AK552+'Dept. Cost Actuals'!AK512)</f>
        <v>0</v>
      </c>
      <c r="AH30" s="684">
        <f>IF(AH$4="forecast",AVERAGE(V30:AG30),'Dept. Cost Actuals'!AL552+'Dept. Cost Actuals'!AL512)</f>
        <v>0</v>
      </c>
      <c r="AI30" s="684">
        <f>IF(AI$4="forecast",AVERAGE(W30:AH30),'Dept. Cost Actuals'!AM552+'Dept. Cost Actuals'!AM512)</f>
        <v>0</v>
      </c>
      <c r="AJ30" s="684">
        <f>IF(AJ$4="forecast",AVERAGE(X30:AI30),'Dept. Cost Actuals'!AN552+'Dept. Cost Actuals'!AN512)</f>
        <v>0</v>
      </c>
      <c r="AK30" s="684">
        <f>IF(AK$4="forecast",AVERAGE(Y30:AJ30),'Dept. Cost Actuals'!AO552+'Dept. Cost Actuals'!AO512)</f>
        <v>0</v>
      </c>
      <c r="AL30" s="684">
        <f>IF(AL$4="forecast",AVERAGE(Z30:AK30),'Dept. Cost Actuals'!AP552+'Dept. Cost Actuals'!AP512)</f>
        <v>0</v>
      </c>
      <c r="AM30" s="684">
        <f>IF(AM$4="forecast",AVERAGE(AA30:AL30),'Dept. Cost Actuals'!AQ552+'Dept. Cost Actuals'!AQ512)</f>
        <v>0</v>
      </c>
      <c r="AN30" s="684">
        <f>IF(AN$4="forecast",AVERAGE(AB30:AM30),'Dept. Cost Actuals'!AR552+'Dept. Cost Actuals'!AR512)</f>
        <v>0</v>
      </c>
      <c r="AO30" s="684">
        <f>IF(AO$4="forecast",AVERAGE(AC30:AN30),'Dept. Cost Actuals'!AS552+'Dept. Cost Actuals'!AS512)</f>
        <v>0</v>
      </c>
      <c r="AP30" s="684">
        <f>IF(AP$4="forecast",AVERAGE(AD30:AO30),'Dept. Cost Actuals'!AT552+'Dept. Cost Actuals'!AT512)</f>
        <v>0</v>
      </c>
      <c r="AQ30" s="684">
        <f>IF(AQ$4="forecast",AVERAGE(AE30:AP30),'Dept. Cost Actuals'!AU552+'Dept. Cost Actuals'!AU512)</f>
        <v>0</v>
      </c>
      <c r="AR30" s="684">
        <f>IF(AR$4="forecast",AVERAGE(AF30:AQ30),'Dept. Cost Actuals'!AV552+'Dept. Cost Actuals'!AV512)</f>
        <v>0</v>
      </c>
      <c r="AS30" s="684">
        <f>IF(AS$4="forecast",AVERAGE(AG30:AR30),'Dept. Cost Actuals'!AW552+'Dept. Cost Actuals'!AW512)</f>
        <v>0</v>
      </c>
      <c r="AT30" s="684">
        <f>IF(AT$4="forecast",AVERAGE(AH30:AS30),'Dept. Cost Actuals'!AX552+'Dept. Cost Actuals'!AX512)</f>
        <v>0</v>
      </c>
      <c r="AU30" s="684">
        <f>IF(AU$4="forecast",AVERAGE(AI30:AT30),'Dept. Cost Actuals'!AY552+'Dept. Cost Actuals'!AY512)</f>
        <v>0</v>
      </c>
      <c r="AV30" s="684">
        <f>IF(AV$4="forecast",AVERAGE(AJ30:AU30),'Dept. Cost Actuals'!AZ552+'Dept. Cost Actuals'!AZ512)</f>
        <v>0</v>
      </c>
      <c r="AW30" s="684">
        <f>IF(AW$4="forecast",AVERAGE(AK30:AV30),'Dept. Cost Actuals'!BA552+'Dept. Cost Actuals'!BA512)</f>
        <v>0</v>
      </c>
      <c r="AX30" s="684">
        <f>IF(AX$4="forecast",AVERAGE(AL30:AW30),'Dept. Cost Actuals'!BB552+'Dept. Cost Actuals'!BB512)</f>
        <v>0</v>
      </c>
      <c r="AY30" s="684">
        <f>IF(AY$4="forecast",AVERAGE(AM30:AX30),'Dept. Cost Actuals'!BC552+'Dept. Cost Actuals'!BC512)</f>
        <v>0</v>
      </c>
      <c r="AZ30" s="684">
        <f>IF(AZ$4="forecast",AVERAGE(AN30:AY30),'Dept. Cost Actuals'!BD552+'Dept. Cost Actuals'!BD512)</f>
        <v>0</v>
      </c>
      <c r="BA30" s="684">
        <f>IF(BA$4="forecast",AVERAGE(AO30:AZ30),'Dept. Cost Actuals'!BE552+'Dept. Cost Actuals'!BE512)</f>
        <v>0</v>
      </c>
      <c r="BB30" s="684">
        <f>IF(BB$4="forecast",AVERAGE(AP30:BA30),'Dept. Cost Actuals'!BF552+'Dept. Cost Actuals'!BF512)</f>
        <v>0</v>
      </c>
      <c r="BC30" s="684">
        <f>IF(BC$4="forecast",AVERAGE(AQ30:BB30),'Dept. Cost Actuals'!BG552+'Dept. Cost Actuals'!BG512)</f>
        <v>0</v>
      </c>
      <c r="BD30" s="684">
        <f>IF(BD$4="forecast",AVERAGE(AR30:BC30),'Dept. Cost Actuals'!BH552+'Dept. Cost Actuals'!BH512)</f>
        <v>0</v>
      </c>
      <c r="BE30" s="684">
        <f>IF(BE$4="forecast",AVERAGE(AS30:BD30),'Dept. Cost Actuals'!BI552+'Dept. Cost Actuals'!BI512)</f>
        <v>0</v>
      </c>
      <c r="BF30" s="684">
        <f>IF(BF$4="forecast",AVERAGE(AT30:BE30),'Dept. Cost Actuals'!BJ552+'Dept. Cost Actuals'!BJ512)</f>
        <v>0</v>
      </c>
      <c r="BG30" s="684">
        <f>IF(BG$4="forecast",AVERAGE(AU30:BF30),'Dept. Cost Actuals'!BK552+'Dept. Cost Actuals'!BK512)</f>
        <v>0</v>
      </c>
      <c r="BH30" s="684">
        <f>IF(BH$4="forecast",AVERAGE(AV30:BG30),'Dept. Cost Actuals'!BL552+'Dept. Cost Actuals'!BL512)</f>
        <v>0</v>
      </c>
      <c r="BI30" s="684">
        <f>IF(BI$4="forecast",AVERAGE(AW30:BH30),'Dept. Cost Actuals'!BM552+'Dept. Cost Actuals'!BM512)</f>
        <v>0</v>
      </c>
      <c r="BJ30" s="684">
        <f>IF(BJ$4="forecast",AVERAGE(AX30:BI30),'Dept. Cost Actuals'!BN552+'Dept. Cost Actuals'!BN512)</f>
        <v>0</v>
      </c>
      <c r="BK30" s="684">
        <f>IF(BK$4="forecast",AVERAGE(AY30:BJ30),'Dept. Cost Actuals'!BO552+'Dept. Cost Actuals'!BO512)</f>
        <v>0</v>
      </c>
      <c r="BL30" s="684">
        <f>IF(BL$4="forecast",AVERAGE(AZ30:BK30),'Dept. Cost Actuals'!BP552+'Dept. Cost Actuals'!BP512)</f>
        <v>0</v>
      </c>
      <c r="BM30" s="684">
        <f>IF(BM$4="forecast",AVERAGE(BA30:BL30),'Dept. Cost Actuals'!BQ552+'Dept. Cost Actuals'!BQ512)</f>
        <v>0</v>
      </c>
      <c r="BN30" s="684">
        <f>IF(BN$4="forecast",AVERAGE(BB30:BM30),'Dept. Cost Actuals'!BR552+'Dept. Cost Actuals'!BR512)</f>
        <v>0</v>
      </c>
      <c r="BO30" s="684">
        <f>IF(BO$4="forecast",AVERAGE(BC30:BN30),'Dept. Cost Actuals'!BS552+'Dept. Cost Actuals'!BS512)</f>
        <v>0</v>
      </c>
      <c r="BP30" s="684">
        <f>IF(BP$4="forecast",AVERAGE(BD30:BO30),'Dept. Cost Actuals'!BT552+'Dept. Cost Actuals'!BT512)</f>
        <v>0</v>
      </c>
      <c r="BQ30" s="684">
        <f>IF(BQ$4="forecast",AVERAGE(BE30:BP30),'Dept. Cost Actuals'!BU552+'Dept. Cost Actuals'!BU512)</f>
        <v>0</v>
      </c>
      <c r="BR30" s="684">
        <f>IF(BR$4="forecast",AVERAGE(BF30:BQ30),'Dept. Cost Actuals'!BV552+'Dept. Cost Actuals'!BV512)</f>
        <v>0</v>
      </c>
      <c r="BS30" s="684">
        <f>IF(BS$4="forecast",AVERAGE(BG30:BR30),'Dept. Cost Actuals'!BW552+'Dept. Cost Actuals'!BW512)</f>
        <v>0</v>
      </c>
      <c r="BT30" s="684">
        <f>IF(BT$4="forecast",AVERAGE(BH30:BS30),'Dept. Cost Actuals'!BX552+'Dept. Cost Actuals'!BX512)</f>
        <v>0</v>
      </c>
      <c r="BU30" s="684">
        <f>IF(BU$4="forecast",AVERAGE(BI30:BT30),'Dept. Cost Actuals'!BY552+'Dept. Cost Actuals'!BY512)</f>
        <v>0</v>
      </c>
      <c r="BV30" s="808">
        <f>IF(BV$4="forecast",AVERAGE(BJ30:BU30),'Dept. Cost Actuals'!BZ552+'Dept. Cost Actuals'!BZ512)</f>
        <v>0</v>
      </c>
    </row>
    <row r="31" spans="2:74" x14ac:dyDescent="0.35">
      <c r="B31" s="812" t="s">
        <v>947</v>
      </c>
      <c r="C31" s="684">
        <f>IF(C$4="forecast",AVERAGE(#REF!),'Dept. Cost Actuals'!G540)</f>
        <v>0</v>
      </c>
      <c r="D31" s="684">
        <f>IF(D$4="forecast",AVERAGE(#REF!),'Dept. Cost Actuals'!H540)</f>
        <v>1.2901486307198837</v>
      </c>
      <c r="E31" s="684">
        <f>IF(E$4="forecast",AVERAGE(#REF!),'Dept. Cost Actuals'!I540)</f>
        <v>0.24617068856341651</v>
      </c>
      <c r="F31" s="684">
        <f>IF(F$4="forecast",AVERAGE(#REF!),'Dept. Cost Actuals'!J540)</f>
        <v>1.8790205295375235</v>
      </c>
      <c r="G31" s="684">
        <f>IF(G$4="forecast",AVERAGE(#REF!),'Dept. Cost Actuals'!K540)</f>
        <v>0.10097224824392792</v>
      </c>
      <c r="H31" s="684">
        <f>IF(H$4="forecast",AVERAGE(#REF!),'Dept. Cost Actuals'!L540)</f>
        <v>2.8985221787487263</v>
      </c>
      <c r="I31" s="684">
        <f>IF(I$4="forecast",AVERAGE(#REF!),'Dept. Cost Actuals'!M540)</f>
        <v>0.12433487796805044</v>
      </c>
      <c r="J31" s="684">
        <f>IF(J$4="forecast",AVERAGE(#REF!),'Dept. Cost Actuals'!N540)</f>
        <v>1.4757630029416444</v>
      </c>
      <c r="K31" s="684">
        <f>IF(K$4="forecast",AVERAGE(#REF!),'Dept. Cost Actuals'!O540)</f>
        <v>1.1297483618911388</v>
      </c>
      <c r="L31" s="684">
        <f>IF(L$4="forecast",AVERAGE(#REF!),'Dept. Cost Actuals'!P540)</f>
        <v>7.0825628987797531</v>
      </c>
      <c r="M31" s="684">
        <f>IF(M$4="forecast",AVERAGE(A31:L31),'Dept. Cost Actuals'!Q540)</f>
        <v>0</v>
      </c>
      <c r="N31" s="684">
        <f>IF(N$4="forecast",AVERAGE(B31:M31),'Dept. Cost Actuals'!R540)</f>
        <v>0</v>
      </c>
      <c r="O31" s="684">
        <f>IF(O$4="forecast",AVERAGE(C31:N31),'Dept. Cost Actuals'!S540)</f>
        <v>0</v>
      </c>
      <c r="P31" s="684">
        <f>IF(P$4="forecast",AVERAGE(D31:O31),'Dept. Cost Actuals'!T540)</f>
        <v>54.99</v>
      </c>
      <c r="Q31" s="684">
        <f>IF(Q$4="forecast",AVERAGE(E31:P31),'Dept. Cost Actuals'!U540)</f>
        <v>0</v>
      </c>
      <c r="R31" s="684">
        <f>IF(R$4="forecast",AVERAGE(F31:Q31),'Dept. Cost Actuals'!V540)</f>
        <v>0</v>
      </c>
      <c r="S31" s="684">
        <f>IF(S$4="forecast",AVERAGE(G31:R31),'Dept. Cost Actuals'!W540)</f>
        <v>0</v>
      </c>
      <c r="T31" s="684">
        <f>IF(T$4="forecast",AVERAGE(H31:S31),'Dept. Cost Actuals'!X540)</f>
        <v>0</v>
      </c>
      <c r="U31" s="684">
        <f>IF(U$4="forecast",AVERAGE(I31:T31),'Dept. Cost Actuals'!Y540)</f>
        <v>0</v>
      </c>
      <c r="V31" s="684">
        <f>IF(V$4="forecast",AVERAGE(J31:U31),'Dept. Cost Actuals'!Z540)</f>
        <v>0</v>
      </c>
      <c r="W31" s="684">
        <f>IF(W$4="forecast",AVERAGE(K31:V31),'Dept. Cost Actuals'!AA540)</f>
        <v>0</v>
      </c>
      <c r="X31" s="684">
        <f>IF(X$4="forecast",AVERAGE(L31:W31),'Dept. Cost Actuals'!AB540)</f>
        <v>0</v>
      </c>
      <c r="Y31" s="684">
        <f>IF(Y$4="forecast",AVERAGE(M31:X31),'Dept. Cost Actuals'!AC540)</f>
        <v>0</v>
      </c>
      <c r="Z31" s="684">
        <f>IF(Z$4="forecast",AVERAGE(N31:Y31),'Dept. Cost Actuals'!AD540)</f>
        <v>0</v>
      </c>
      <c r="AA31" s="684">
        <f>IF(AA$4="forecast",AVERAGE(O31:Z31),'Dept. Cost Actuals'!AE540)</f>
        <v>4.5825000000000005</v>
      </c>
      <c r="AB31" s="684">
        <f>IF(AB$4="forecast",AVERAGE(P31:AA31),'Dept. Cost Actuals'!AF540)</f>
        <v>4.9643750000000004</v>
      </c>
      <c r="AC31" s="684">
        <f>IF(AC$4="forecast",AVERAGE(Q31:AB31),'Dept. Cost Actuals'!AG540)</f>
        <v>0.79557291666666663</v>
      </c>
      <c r="AD31" s="684">
        <f>IF(AD$4="forecast",AVERAGE(R31:AC31),'Dept. Cost Actuals'!AH540)</f>
        <v>0.86187065972222221</v>
      </c>
      <c r="AE31" s="684">
        <f>IF(AE$4="forecast",AVERAGE(S31:AD31),'Dept. Cost Actuals'!AI540)</f>
        <v>0.93369321469907396</v>
      </c>
      <c r="AF31" s="684">
        <f>IF(AF$4="forecast",AVERAGE(T31:AE31),'Dept. Cost Actuals'!AJ540)</f>
        <v>1.0115009825906636</v>
      </c>
      <c r="AG31" s="684">
        <f>IF(AG$4="forecast",AVERAGE(U31:AF31),'Dept. Cost Actuals'!AK540)</f>
        <v>1.0957927311398854</v>
      </c>
      <c r="AH31" s="684">
        <f>IF(AH$4="forecast",AVERAGE(V31:AG31),'Dept. Cost Actuals'!AL540)</f>
        <v>1.1871087920682093</v>
      </c>
      <c r="AI31" s="684">
        <f>IF(AI$4="forecast",AVERAGE(W31:AH31),'Dept. Cost Actuals'!AM540)</f>
        <v>1.28603452474056</v>
      </c>
      <c r="AJ31" s="684">
        <f>IF(AJ$4="forecast",AVERAGE(X31:AI31),'Dept. Cost Actuals'!AN540)</f>
        <v>1.39320406846894</v>
      </c>
      <c r="AK31" s="684">
        <f>IF(AK$4="forecast",AVERAGE(Y31:AJ31),'Dept. Cost Actuals'!AO540)</f>
        <v>1.5093044075080184</v>
      </c>
      <c r="AL31" s="684">
        <f>IF(AL$4="forecast",AVERAGE(Z31:AK31),'Dept. Cost Actuals'!AP540)</f>
        <v>1.6350797748003532</v>
      </c>
      <c r="AM31" s="684">
        <f>IF(AM$4="forecast",AVERAGE(AA31:AL31),'Dept. Cost Actuals'!AQ540)</f>
        <v>1.7713364227003827</v>
      </c>
      <c r="AN31" s="684">
        <f>IF(AN$4="forecast",AVERAGE(AB31:AM31),'Dept. Cost Actuals'!AR540)</f>
        <v>1.5370727912587479</v>
      </c>
      <c r="AO31" s="684">
        <f>IF(AO$4="forecast",AVERAGE(AC31:AN31),'Dept. Cost Actuals'!AS540)</f>
        <v>1.2514642738636437</v>
      </c>
      <c r="AP31" s="684">
        <f>IF(AP$4="forecast",AVERAGE(AD31:AO31),'Dept. Cost Actuals'!AT540)</f>
        <v>1.2894552202967249</v>
      </c>
      <c r="AQ31" s="684">
        <f>IF(AQ$4="forecast",AVERAGE(AE31:AP31),'Dept. Cost Actuals'!AU540)</f>
        <v>1.325087267011267</v>
      </c>
      <c r="AR31" s="684">
        <f>IF(AR$4="forecast",AVERAGE(AF31:AQ31),'Dept. Cost Actuals'!AV540)</f>
        <v>1.357703438037283</v>
      </c>
      <c r="AS31" s="684">
        <f>IF(AS$4="forecast",AVERAGE(AG31:AR31),'Dept. Cost Actuals'!AW540)</f>
        <v>1.3865536426578347</v>
      </c>
      <c r="AT31" s="684">
        <f>IF(AT$4="forecast",AVERAGE(AH31:AS31),'Dept. Cost Actuals'!AX540)</f>
        <v>1.4107837186176637</v>
      </c>
      <c r="AU31" s="684">
        <f>IF(AU$4="forecast",AVERAGE(AI31:AT31),'Dept. Cost Actuals'!AY540)</f>
        <v>1.4294232958301185</v>
      </c>
      <c r="AV31" s="684">
        <f>IF(AV$4="forecast",AVERAGE(AJ31:AU31),'Dept. Cost Actuals'!AZ540)</f>
        <v>1.4413723600875814</v>
      </c>
      <c r="AW31" s="684">
        <f>IF(AW$4="forecast",AVERAGE(AK31:AV31),'Dept. Cost Actuals'!BA540)</f>
        <v>1.4453863843891348</v>
      </c>
      <c r="AX31" s="684">
        <f>IF(AX$4="forecast",AVERAGE(AL31:AW31),'Dept. Cost Actuals'!BB540)</f>
        <v>1.4400598824625612</v>
      </c>
      <c r="AY31" s="684">
        <f>IF(AY$4="forecast",AVERAGE(AM31:AX31),'Dept. Cost Actuals'!BC540)</f>
        <v>1.423808224767745</v>
      </c>
      <c r="AZ31" s="684">
        <f>IF(AZ$4="forecast",AVERAGE(AN31:AY31),'Dept. Cost Actuals'!BD540)</f>
        <v>1.3948475416066921</v>
      </c>
      <c r="BA31" s="684">
        <f>IF(BA$4="forecast",AVERAGE(AO31:AZ31),'Dept. Cost Actuals'!BE540)</f>
        <v>1.3829954374690205</v>
      </c>
      <c r="BB31" s="684">
        <f>IF(BB$4="forecast",AVERAGE(AP31:BA31),'Dept. Cost Actuals'!BF540)</f>
        <v>1.3939563677694691</v>
      </c>
      <c r="BC31" s="684">
        <f>IF(BC$4="forecast",AVERAGE(AQ31:BB31),'Dept. Cost Actuals'!BG540)</f>
        <v>1.4026647967255308</v>
      </c>
      <c r="BD31" s="684">
        <f>IF(BD$4="forecast",AVERAGE(AR31:BC31),'Dept. Cost Actuals'!BH540)</f>
        <v>1.4091295908683863</v>
      </c>
      <c r="BE31" s="684">
        <f>IF(BE$4="forecast",AVERAGE(AS31:BD31),'Dept. Cost Actuals'!BI540)</f>
        <v>1.4134151036043114</v>
      </c>
      <c r="BF31" s="684">
        <f>IF(BF$4="forecast",AVERAGE(AT31:BE31),'Dept. Cost Actuals'!BJ540)</f>
        <v>1.4156535586831847</v>
      </c>
      <c r="BG31" s="684">
        <f>IF(BG$4="forecast",AVERAGE(AU31:BF31),'Dept. Cost Actuals'!BK540)</f>
        <v>1.4160593786886448</v>
      </c>
      <c r="BH31" s="684">
        <f>IF(BH$4="forecast",AVERAGE(AV31:BG31),'Dept. Cost Actuals'!BL540)</f>
        <v>1.4149457189268553</v>
      </c>
      <c r="BI31" s="684">
        <f>IF(BI$4="forecast",AVERAGE(AW31:BH31),'Dept. Cost Actuals'!BM540)</f>
        <v>1.4127434988301282</v>
      </c>
      <c r="BJ31" s="684">
        <f>IF(BJ$4="forecast",AVERAGE(AX31:BI31),'Dept. Cost Actuals'!BN540)</f>
        <v>1.4100232583668777</v>
      </c>
      <c r="BK31" s="684">
        <f>IF(BK$4="forecast",AVERAGE(AY31:BJ31),'Dept. Cost Actuals'!BO540)</f>
        <v>1.4075202063589038</v>
      </c>
      <c r="BL31" s="684">
        <f>IF(BL$4="forecast",AVERAGE(AZ31:BK31),'Dept. Cost Actuals'!BP540)</f>
        <v>1.4061628714915004</v>
      </c>
      <c r="BM31" s="684">
        <f>IF(BM$4="forecast",AVERAGE(BA31:BL31),'Dept. Cost Actuals'!BQ540)</f>
        <v>1.4071058156485676</v>
      </c>
      <c r="BN31" s="684">
        <f>IF(BN$4="forecast",AVERAGE(BB31:BM31),'Dept. Cost Actuals'!BR540)</f>
        <v>1.4091150138301964</v>
      </c>
      <c r="BO31" s="684">
        <f>IF(BO$4="forecast",AVERAGE(BC31:BN31),'Dept. Cost Actuals'!BS540)</f>
        <v>1.4103782343352569</v>
      </c>
      <c r="BP31" s="684">
        <f>IF(BP$4="forecast",AVERAGE(BD31:BO31),'Dept. Cost Actuals'!BT540)</f>
        <v>1.4110210208027343</v>
      </c>
      <c r="BQ31" s="684">
        <f>IF(BQ$4="forecast",AVERAGE(BE31:BP31),'Dept. Cost Actuals'!BU540)</f>
        <v>1.4111786399639297</v>
      </c>
      <c r="BR31" s="684">
        <f>IF(BR$4="forecast",AVERAGE(BF31:BQ31),'Dept. Cost Actuals'!BV540)</f>
        <v>1.4109922679938982</v>
      </c>
      <c r="BS31" s="684">
        <f>IF(BS$4="forecast",AVERAGE(BG31:BR31),'Dept. Cost Actuals'!BW540)</f>
        <v>1.4106038271031245</v>
      </c>
      <c r="BT31" s="684">
        <f>IF(BT$4="forecast",AVERAGE(BH31:BS31),'Dept. Cost Actuals'!BX540)</f>
        <v>1.410149197804331</v>
      </c>
      <c r="BU31" s="684">
        <f>IF(BU$4="forecast",AVERAGE(BI31:BT31),'Dept. Cost Actuals'!BY540)</f>
        <v>1.4097494877107872</v>
      </c>
      <c r="BV31" s="808">
        <f>IF(BV$4="forecast",AVERAGE(BJ31:BU31),'Dept. Cost Actuals'!BZ540)</f>
        <v>1.4094999867841755</v>
      </c>
    </row>
    <row r="32" spans="2:74" x14ac:dyDescent="0.35">
      <c r="B32" s="812" t="s">
        <v>948</v>
      </c>
      <c r="C32" s="684">
        <f>IF(C$4="forecast",AVERAGE(#REF!),'Dept. Cost Actuals'!G591)</f>
        <v>0.79650198824937746</v>
      </c>
      <c r="D32" s="684">
        <f>IF(D$4="forecast",AVERAGE(#REF!),'Dept. Cost Actuals'!H591)</f>
        <v>22.043076625913585</v>
      </c>
      <c r="E32" s="684">
        <f>IF(E$4="forecast",AVERAGE(#REF!),'Dept. Cost Actuals'!I591)</f>
        <v>0</v>
      </c>
      <c r="F32" s="684">
        <f>IF(F$4="forecast",AVERAGE(#REF!),'Dept. Cost Actuals'!J591)</f>
        <v>0.47605456569073662</v>
      </c>
      <c r="G32" s="684">
        <f>IF(G$4="forecast",AVERAGE(#REF!),'Dept. Cost Actuals'!K591)</f>
        <v>1.2848044984036844</v>
      </c>
      <c r="H32" s="684">
        <f>IF(H$4="forecast",AVERAGE(#REF!),'Dept. Cost Actuals'!L591)</f>
        <v>0.15196135694410798</v>
      </c>
      <c r="I32" s="684">
        <f>IF(I$4="forecast",AVERAGE(#REF!),'Dept. Cost Actuals'!M591)</f>
        <v>0</v>
      </c>
      <c r="J32" s="684">
        <f>IF(J$4="forecast",AVERAGE(#REF!),'Dept. Cost Actuals'!N591)</f>
        <v>0.45471579078654661</v>
      </c>
      <c r="K32" s="684">
        <f>IF(K$4="forecast",AVERAGE(#REF!),'Dept. Cost Actuals'!O591)</f>
        <v>8.3674240633254723E-2</v>
      </c>
      <c r="L32" s="684">
        <f>IF(L$4="forecast",AVERAGE(#REF!),'Dept. Cost Actuals'!P591)</f>
        <v>55.70470757162407</v>
      </c>
      <c r="M32" s="684">
        <f>IF(M$4="forecast",AVERAGE(A32:L32),'Dept. Cost Actuals'!Q591)</f>
        <v>8.6259097775705023</v>
      </c>
      <c r="N32" s="684">
        <f>IF(N$4="forecast",AVERAGE(B32:M32),'Dept. Cost Actuals'!R591)</f>
        <v>2.7466487395820209</v>
      </c>
      <c r="O32" s="684">
        <f>IF(O$4="forecast",AVERAGE(C32:N32),'Dept. Cost Actuals'!S591)</f>
        <v>43.21</v>
      </c>
      <c r="P32" s="684">
        <f>IF(P$4="forecast",AVERAGE(D32:O32),'Dept. Cost Actuals'!T591)</f>
        <v>0</v>
      </c>
      <c r="Q32" s="684">
        <f>IF(Q$4="forecast",AVERAGE(E32:P32),'Dept. Cost Actuals'!U591)</f>
        <v>0</v>
      </c>
      <c r="R32" s="684">
        <f>IF(R$4="forecast",AVERAGE(F32:Q32),'Dept. Cost Actuals'!V591)</f>
        <v>0</v>
      </c>
      <c r="S32" s="684">
        <f>IF(S$4="forecast",AVERAGE(G32:R32),'Dept. Cost Actuals'!W591)</f>
        <v>0</v>
      </c>
      <c r="T32" s="684">
        <f>IF(T$4="forecast",AVERAGE(H32:S32),'Dept. Cost Actuals'!X591)</f>
        <v>46</v>
      </c>
      <c r="U32" s="684">
        <f>IF(U$4="forecast",AVERAGE(I32:T32),'Dept. Cost Actuals'!Y591)</f>
        <v>0</v>
      </c>
      <c r="V32" s="684">
        <f>IF(V$4="forecast",AVERAGE(J32:U32),'Dept. Cost Actuals'!Z591)</f>
        <v>51.64</v>
      </c>
      <c r="W32" s="684">
        <f>IF(W$4="forecast",AVERAGE(K32:V32),'Dept. Cost Actuals'!AA591)</f>
        <v>0</v>
      </c>
      <c r="X32" s="684">
        <f>IF(X$4="forecast",AVERAGE(L32:W32),'Dept. Cost Actuals'!AB591)</f>
        <v>0</v>
      </c>
      <c r="Y32" s="684">
        <f>IF(Y$4="forecast",AVERAGE(M32:X32),'Dept. Cost Actuals'!AC591)</f>
        <v>64.540000000000006</v>
      </c>
      <c r="Z32" s="684">
        <f>IF(Z$4="forecast",AVERAGE(N32:Y32),'Dept. Cost Actuals'!AD591)</f>
        <v>8.3000000000000007</v>
      </c>
      <c r="AA32" s="684">
        <f>IF(AA$4="forecast",AVERAGE(O32:Z32),'Dept. Cost Actuals'!AE591)</f>
        <v>17.807500000000005</v>
      </c>
      <c r="AB32" s="684">
        <f>IF(AB$4="forecast",AVERAGE(P32:AA32),'Dept. Cost Actuals'!AF591)</f>
        <v>15.690625000000002</v>
      </c>
      <c r="AC32" s="684">
        <f>IF(AC$4="forecast",AVERAGE(Q32:AB32),'Dept. Cost Actuals'!AG591)</f>
        <v>16.998177083333335</v>
      </c>
      <c r="AD32" s="684">
        <f>IF(AD$4="forecast",AVERAGE(R32:AC32),'Dept. Cost Actuals'!AH591)</f>
        <v>18.414691840277779</v>
      </c>
      <c r="AE32" s="684">
        <f>IF(AE$4="forecast",AVERAGE(S32:AD32),'Dept. Cost Actuals'!AI591)</f>
        <v>19.949249493634262</v>
      </c>
      <c r="AF32" s="684">
        <f>IF(AF$4="forecast",AVERAGE(T32:AE32),'Dept. Cost Actuals'!AJ591)</f>
        <v>21.611686951437118</v>
      </c>
      <c r="AG32" s="684">
        <f>IF(AG$4="forecast",AVERAGE(U32:AF32),'Dept. Cost Actuals'!AK591)</f>
        <v>19.579327530723543</v>
      </c>
      <c r="AH32" s="684">
        <f>IF(AH$4="forecast",AVERAGE(V32:AG32),'Dept. Cost Actuals'!AL591)</f>
        <v>21.210938158283838</v>
      </c>
      <c r="AI32" s="684">
        <f>IF(AI$4="forecast",AVERAGE(W32:AH32),'Dept. Cost Actuals'!AM591)</f>
        <v>18.67518300480749</v>
      </c>
      <c r="AJ32" s="684">
        <f>IF(AJ$4="forecast",AVERAGE(X32:AI32),'Dept. Cost Actuals'!AN591)</f>
        <v>20.231448255208111</v>
      </c>
      <c r="AK32" s="684">
        <f>IF(AK$4="forecast",AVERAGE(Y32:AJ32),'Dept. Cost Actuals'!AO591)</f>
        <v>21.917402276475457</v>
      </c>
      <c r="AL32" s="684">
        <f>IF(AL$4="forecast",AVERAGE(Z32:AK32),'Dept. Cost Actuals'!AP591)</f>
        <v>18.365519132848412</v>
      </c>
      <c r="AM32" s="684">
        <f>IF(AM$4="forecast",AVERAGE(AA32:AL32),'Dept. Cost Actuals'!AQ591)</f>
        <v>19.204312393919114</v>
      </c>
      <c r="AN32" s="684">
        <f>IF(AN$4="forecast",AVERAGE(AB32:AM32),'Dept. Cost Actuals'!AR591)</f>
        <v>19.320713426745705</v>
      </c>
      <c r="AO32" s="684">
        <f>IF(AO$4="forecast",AVERAGE(AC32:AN32),'Dept. Cost Actuals'!AS591)</f>
        <v>19.623220795641178</v>
      </c>
      <c r="AP32" s="684">
        <f>IF(AP$4="forecast",AVERAGE(AD32:AO32),'Dept. Cost Actuals'!AT591)</f>
        <v>19.841974438333501</v>
      </c>
      <c r="AQ32" s="684">
        <f>IF(AQ$4="forecast",AVERAGE(AE32:AP32),'Dept. Cost Actuals'!AU591)</f>
        <v>19.960914654838142</v>
      </c>
      <c r="AR32" s="684">
        <f>IF(AR$4="forecast",AVERAGE(AF32:AQ32),'Dept. Cost Actuals'!AV591)</f>
        <v>19.961886751605132</v>
      </c>
      <c r="AS32" s="684">
        <f>IF(AS$4="forecast",AVERAGE(AG32:AR32),'Dept. Cost Actuals'!AW591)</f>
        <v>19.824403401619133</v>
      </c>
      <c r="AT32" s="684">
        <f>IF(AT$4="forecast",AVERAGE(AH32:AS32),'Dept. Cost Actuals'!AX591)</f>
        <v>19.844826390860433</v>
      </c>
      <c r="AU32" s="684">
        <f>IF(AU$4="forecast",AVERAGE(AI32:AT32),'Dept. Cost Actuals'!AY591)</f>
        <v>19.730983743575148</v>
      </c>
      <c r="AV32" s="684">
        <f>IF(AV$4="forecast",AVERAGE(AJ32:AU32),'Dept. Cost Actuals'!AZ591)</f>
        <v>19.818967138472452</v>
      </c>
      <c r="AW32" s="684">
        <f>IF(AW$4="forecast",AVERAGE(AK32:AV32),'Dept. Cost Actuals'!BA591)</f>
        <v>19.784593712077818</v>
      </c>
      <c r="AX32" s="684">
        <f>IF(AX$4="forecast",AVERAGE(AL32:AW32),'Dept. Cost Actuals'!BB591)</f>
        <v>19.606859665044681</v>
      </c>
      <c r="AY32" s="684">
        <f>IF(AY$4="forecast",AVERAGE(AM32:AX32),'Dept. Cost Actuals'!BC591)</f>
        <v>19.710304709394368</v>
      </c>
      <c r="AZ32" s="684">
        <f>IF(AZ$4="forecast",AVERAGE(AN32:AY32),'Dept. Cost Actuals'!BD591)</f>
        <v>19.752470735683975</v>
      </c>
      <c r="BA32" s="684">
        <f>IF(BA$4="forecast",AVERAGE(AO32:AZ32),'Dept. Cost Actuals'!BE591)</f>
        <v>19.788450511428831</v>
      </c>
      <c r="BB32" s="684">
        <f>IF(BB$4="forecast",AVERAGE(AP32:BA32),'Dept. Cost Actuals'!BF591)</f>
        <v>19.802219654411136</v>
      </c>
      <c r="BC32" s="684">
        <f>IF(BC$4="forecast",AVERAGE(AQ32:BB32),'Dept. Cost Actuals'!BG591)</f>
        <v>19.798906755750938</v>
      </c>
      <c r="BD32" s="684">
        <f>IF(BD$4="forecast",AVERAGE(AR32:BC32),'Dept. Cost Actuals'!BH591)</f>
        <v>19.785406097493674</v>
      </c>
      <c r="BE32" s="684">
        <f>IF(BE$4="forecast",AVERAGE(AS32:BD32),'Dept. Cost Actuals'!BI591)</f>
        <v>19.770699376317719</v>
      </c>
      <c r="BF32" s="684">
        <f>IF(BF$4="forecast",AVERAGE(AT32:BE32),'Dept. Cost Actuals'!BJ591)</f>
        <v>19.766224040875933</v>
      </c>
      <c r="BG32" s="684">
        <f>IF(BG$4="forecast",AVERAGE(AU32:BF32),'Dept. Cost Actuals'!BK591)</f>
        <v>19.759673845043888</v>
      </c>
      <c r="BH32" s="684">
        <f>IF(BH$4="forecast",AVERAGE(AV32:BG32),'Dept. Cost Actuals'!BL591)</f>
        <v>19.76206468683295</v>
      </c>
      <c r="BI32" s="684">
        <f>IF(BI$4="forecast",AVERAGE(AW32:BH32),'Dept. Cost Actuals'!BM591)</f>
        <v>19.757322815862992</v>
      </c>
      <c r="BJ32" s="684">
        <f>IF(BJ$4="forecast",AVERAGE(AX32:BI32),'Dept. Cost Actuals'!BN591)</f>
        <v>19.755050241178424</v>
      </c>
      <c r="BK32" s="684">
        <f>IF(BK$4="forecast",AVERAGE(AY32:BJ32),'Dept. Cost Actuals'!BO591)</f>
        <v>19.767399455856236</v>
      </c>
      <c r="BL32" s="684">
        <f>IF(BL$4="forecast",AVERAGE(AZ32:BK32),'Dept. Cost Actuals'!BP591)</f>
        <v>19.772157351394728</v>
      </c>
      <c r="BM32" s="684">
        <f>IF(BM$4="forecast",AVERAGE(BA32:BL32),'Dept. Cost Actuals'!BQ591)</f>
        <v>19.773797902703958</v>
      </c>
      <c r="BN32" s="684">
        <f>IF(BN$4="forecast",AVERAGE(BB32:BM32),'Dept. Cost Actuals'!BR591)</f>
        <v>19.772576851976883</v>
      </c>
      <c r="BO32" s="684">
        <f>IF(BO$4="forecast",AVERAGE(BC32:BN32),'Dept. Cost Actuals'!BS591)</f>
        <v>19.770106618440696</v>
      </c>
      <c r="BP32" s="684">
        <f>IF(BP$4="forecast",AVERAGE(BD32:BO32),'Dept. Cost Actuals'!BT591)</f>
        <v>19.767706606998171</v>
      </c>
      <c r="BQ32" s="684">
        <f>IF(BQ$4="forecast",AVERAGE(BE32:BP32),'Dept. Cost Actuals'!BU591)</f>
        <v>19.766231649456881</v>
      </c>
      <c r="BR32" s="684">
        <f>IF(BR$4="forecast",AVERAGE(BF32:BQ32),'Dept. Cost Actuals'!BV591)</f>
        <v>19.765859338885143</v>
      </c>
      <c r="BS32" s="684">
        <f>IF(BS$4="forecast",AVERAGE(BG32:BR32),'Dept. Cost Actuals'!BW591)</f>
        <v>19.765828947052579</v>
      </c>
      <c r="BT32" s="684">
        <f>IF(BT$4="forecast",AVERAGE(BH32:BS32),'Dept. Cost Actuals'!BX591)</f>
        <v>19.766341872219968</v>
      </c>
      <c r="BU32" s="684">
        <f>IF(BU$4="forecast",AVERAGE(BI32:BT32),'Dept. Cost Actuals'!BY591)</f>
        <v>19.766698304335552</v>
      </c>
      <c r="BV32" s="808">
        <f>IF(BV$4="forecast",AVERAGE(BJ32:BU32),'Dept. Cost Actuals'!BZ591)</f>
        <v>19.7674795950416</v>
      </c>
    </row>
    <row r="33" spans="2:74" x14ac:dyDescent="0.35">
      <c r="B33" s="812" t="s">
        <v>949</v>
      </c>
      <c r="C33" s="684">
        <f>IF(C$4="forecast",AVERAGE(#REF!),'Dept. Cost Actuals'!G549+'Dept. Cost Actuals'!G548)</f>
        <v>79.858363030945156</v>
      </c>
      <c r="D33" s="684">
        <f>IF(D$4="forecast",AVERAGE(#REF!),'Dept. Cost Actuals'!H549+'Dept. Cost Actuals'!H548)</f>
        <v>26.34272390399445</v>
      </c>
      <c r="E33" s="684">
        <f>IF(E$4="forecast",AVERAGE(#REF!),'Dept. Cost Actuals'!I549+'Dept. Cost Actuals'!I548)</f>
        <v>96.10856716999379</v>
      </c>
      <c r="F33" s="684">
        <f>IF(F$4="forecast",AVERAGE(#REF!),'Dept. Cost Actuals'!J549+'Dept. Cost Actuals'!J548)</f>
        <v>20.829030579397472</v>
      </c>
      <c r="G33" s="684">
        <f>IF(G$4="forecast",AVERAGE(#REF!),'Dept. Cost Actuals'!K549+'Dept. Cost Actuals'!K548)</f>
        <v>9.5728176210526641</v>
      </c>
      <c r="H33" s="684">
        <f>IF(H$4="forecast",AVERAGE(#REF!),'Dept. Cost Actuals'!L549+'Dept. Cost Actuals'!L548)</f>
        <v>59.180254223238229</v>
      </c>
      <c r="I33" s="684">
        <f>IF(I$4="forecast",AVERAGE(#REF!),'Dept. Cost Actuals'!M549+'Dept. Cost Actuals'!M548)</f>
        <v>80.006541538883369</v>
      </c>
      <c r="J33" s="684">
        <f>IF(J$4="forecast",AVERAGE(#REF!),'Dept. Cost Actuals'!N549+'Dept. Cost Actuals'!N548)</f>
        <v>51.501705223830335</v>
      </c>
      <c r="K33" s="684">
        <f>IF(K$4="forecast",AVERAGE(#REF!),'Dept. Cost Actuals'!O549+'Dept. Cost Actuals'!O548)</f>
        <v>36.371312411606183</v>
      </c>
      <c r="L33" s="684">
        <f>IF(L$4="forecast",AVERAGE(#REF!),'Dept. Cost Actuals'!P549+'Dept. Cost Actuals'!P548)</f>
        <v>99.790881252210411</v>
      </c>
      <c r="M33" s="684">
        <f>IF(M$4="forecast",AVERAGE(A33:L33),'Dept. Cost Actuals'!Q549+'Dept. Cost Actuals'!Q548)</f>
        <v>64.569829696633235</v>
      </c>
      <c r="N33" s="684">
        <f>IF(N$4="forecast",AVERAGE(B33:M33),'Dept. Cost Actuals'!R549+'Dept. Cost Actuals'!R548)</f>
        <v>6.5295603308207211</v>
      </c>
      <c r="O33" s="684">
        <f>IF(O$4="forecast",AVERAGE(C33:N33),'Dept. Cost Actuals'!S549+'Dept. Cost Actuals'!S548)</f>
        <v>0</v>
      </c>
      <c r="P33" s="684">
        <f>IF(P$4="forecast",AVERAGE(D33:O33),'Dept. Cost Actuals'!T549+'Dept. Cost Actuals'!T548)</f>
        <v>0</v>
      </c>
      <c r="Q33" s="684">
        <f>IF(Q$4="forecast",AVERAGE(E33:P33),'Dept. Cost Actuals'!U549+'Dept. Cost Actuals'!U548)</f>
        <v>0</v>
      </c>
      <c r="R33" s="684">
        <f>IF(R$4="forecast",AVERAGE(F33:Q33),'Dept. Cost Actuals'!V549+'Dept. Cost Actuals'!V548)</f>
        <v>0</v>
      </c>
      <c r="S33" s="684">
        <f>IF(S$4="forecast",AVERAGE(G33:R33),'Dept. Cost Actuals'!W549+'Dept. Cost Actuals'!W548)</f>
        <v>0</v>
      </c>
      <c r="T33" s="684">
        <f>IF(T$4="forecast",AVERAGE(H33:S33),'Dept. Cost Actuals'!X549+'Dept. Cost Actuals'!X548)</f>
        <v>0</v>
      </c>
      <c r="U33" s="684">
        <f>IF(U$4="forecast",AVERAGE(I33:T33),'Dept. Cost Actuals'!Y549+'Dept. Cost Actuals'!Y548)</f>
        <v>0</v>
      </c>
      <c r="V33" s="684">
        <f>IF(V$4="forecast",AVERAGE(J33:U33),'Dept. Cost Actuals'!Z549+'Dept. Cost Actuals'!Z548)</f>
        <v>0</v>
      </c>
      <c r="W33" s="684">
        <f>IF(W$4="forecast",AVERAGE(K33:V33),'Dept. Cost Actuals'!AA549+'Dept. Cost Actuals'!AA548)</f>
        <v>0</v>
      </c>
      <c r="X33" s="684">
        <f>IF(X$4="forecast",AVERAGE(L33:W33),'Dept. Cost Actuals'!AB549+'Dept. Cost Actuals'!AB548)</f>
        <v>39.950000000000003</v>
      </c>
      <c r="Y33" s="684">
        <f>IF(Y$4="forecast",AVERAGE(M33:X33),'Dept. Cost Actuals'!AC549+'Dept. Cost Actuals'!AC548)</f>
        <v>0</v>
      </c>
      <c r="Z33" s="684">
        <f>IF(Z$4="forecast",AVERAGE(N33:Y33),'Dept. Cost Actuals'!AD549+'Dept. Cost Actuals'!AD548)</f>
        <v>0</v>
      </c>
      <c r="AA33" s="684">
        <f>IF(AA$4="forecast",AVERAGE(O33:Z33),'Dept. Cost Actuals'!AE549+'Dept. Cost Actuals'!AE548)</f>
        <v>3.3291666666666671</v>
      </c>
      <c r="AB33" s="684">
        <f>IF(AB$4="forecast",AVERAGE(P33:AA33),'Dept. Cost Actuals'!AF549+'Dept. Cost Actuals'!AF548)</f>
        <v>3.6065972222222222</v>
      </c>
      <c r="AC33" s="684">
        <f>IF(AC$4="forecast",AVERAGE(Q33:AB33),'Dept. Cost Actuals'!AG549+'Dept. Cost Actuals'!AG548)</f>
        <v>3.9071469907407406</v>
      </c>
      <c r="AD33" s="684">
        <f>IF(AD$4="forecast",AVERAGE(R33:AC33),'Dept. Cost Actuals'!AH549+'Dept. Cost Actuals'!AH548)</f>
        <v>4.2327425733024695</v>
      </c>
      <c r="AE33" s="684">
        <f>IF(AE$4="forecast",AVERAGE(S33:AD33),'Dept. Cost Actuals'!AI549+'Dept. Cost Actuals'!AI548)</f>
        <v>4.5854711210776751</v>
      </c>
      <c r="AF33" s="684">
        <f>IF(AF$4="forecast",AVERAGE(T33:AE33),'Dept. Cost Actuals'!AJ549+'Dept. Cost Actuals'!AJ548)</f>
        <v>4.967593714500814</v>
      </c>
      <c r="AG33" s="684">
        <f>IF(AG$4="forecast",AVERAGE(U33:AF33),'Dept. Cost Actuals'!AK549+'Dept. Cost Actuals'!AK548)</f>
        <v>5.3815598573758825</v>
      </c>
      <c r="AH33" s="684">
        <f>IF(AH$4="forecast",AVERAGE(V33:AG33),'Dept. Cost Actuals'!AL549+'Dept. Cost Actuals'!AL548)</f>
        <v>5.8300231788238719</v>
      </c>
      <c r="AI33" s="684">
        <f>IF(AI$4="forecast",AVERAGE(W33:AH33),'Dept. Cost Actuals'!AM549+'Dept. Cost Actuals'!AM548)</f>
        <v>6.3158584437258609</v>
      </c>
      <c r="AJ33" s="684">
        <f>IF(AJ$4="forecast",AVERAGE(X33:AI33),'Dept. Cost Actuals'!AN549+'Dept. Cost Actuals'!AN548)</f>
        <v>6.8421799807030155</v>
      </c>
      <c r="AK33" s="684">
        <f>IF(AK$4="forecast",AVERAGE(Y33:AJ33),'Dept. Cost Actuals'!AO549+'Dept. Cost Actuals'!AO548)</f>
        <v>4.0831949790949347</v>
      </c>
      <c r="AL33" s="684">
        <f>IF(AL$4="forecast",AVERAGE(Z33:AK33),'Dept. Cost Actuals'!AP549+'Dept. Cost Actuals'!AP548)</f>
        <v>4.4234612273528455</v>
      </c>
      <c r="AM33" s="684">
        <f>IF(AM$4="forecast",AVERAGE(AA33:AL33),'Dept. Cost Actuals'!AQ549+'Dept. Cost Actuals'!AQ548)</f>
        <v>4.792082996298916</v>
      </c>
      <c r="AN33" s="684">
        <f>IF(AN$4="forecast",AVERAGE(AB33:AM33),'Dept. Cost Actuals'!AR549+'Dept. Cost Actuals'!AR548)</f>
        <v>4.9139926904349371</v>
      </c>
      <c r="AO33" s="684">
        <f>IF(AO$4="forecast",AVERAGE(AC33:AN33),'Dept. Cost Actuals'!AS549+'Dept. Cost Actuals'!AS548)</f>
        <v>5.0229423127859976</v>
      </c>
      <c r="AP33" s="684">
        <f>IF(AP$4="forecast",AVERAGE(AD33:AO33),'Dept. Cost Actuals'!AT549+'Dept. Cost Actuals'!AT548)</f>
        <v>5.1159252562897688</v>
      </c>
      <c r="AQ33" s="684">
        <f>IF(AQ$4="forecast",AVERAGE(AE33:AP33),'Dept. Cost Actuals'!AU549+'Dept. Cost Actuals'!AU548)</f>
        <v>5.1895238132053771</v>
      </c>
      <c r="AR33" s="684">
        <f>IF(AR$4="forecast",AVERAGE(AF33:AQ33),'Dept. Cost Actuals'!AV549+'Dept. Cost Actuals'!AV548)</f>
        <v>5.2398615375493529</v>
      </c>
      <c r="AS33" s="684">
        <f>IF(AS$4="forecast",AVERAGE(AG33:AR33),'Dept. Cost Actuals'!AW549+'Dept. Cost Actuals'!AW548)</f>
        <v>5.2625505228033971</v>
      </c>
      <c r="AT33" s="684">
        <f>IF(AT$4="forecast",AVERAGE(AH33:AS33),'Dept. Cost Actuals'!AX549+'Dept. Cost Actuals'!AX548)</f>
        <v>5.2526330782556903</v>
      </c>
      <c r="AU33" s="684">
        <f>IF(AU$4="forecast",AVERAGE(AI33:AT33),'Dept. Cost Actuals'!AY549+'Dept. Cost Actuals'!AY548)</f>
        <v>5.2045172365416743</v>
      </c>
      <c r="AV33" s="684">
        <f>IF(AV$4="forecast",AVERAGE(AJ33:AU33),'Dept. Cost Actuals'!AZ549+'Dept. Cost Actuals'!AZ548)</f>
        <v>5.1119054692763255</v>
      </c>
      <c r="AW33" s="684">
        <f>IF(AW$4="forecast",AVERAGE(AK33:AV33),'Dept. Cost Actuals'!BA549+'Dept. Cost Actuals'!BA548)</f>
        <v>4.9677159266574344</v>
      </c>
      <c r="AX33" s="684">
        <f>IF(AX$4="forecast",AVERAGE(AL33:AW33),'Dept. Cost Actuals'!BB549+'Dept. Cost Actuals'!BB548)</f>
        <v>5.0414260056209761</v>
      </c>
      <c r="AY33" s="684">
        <f>IF(AY$4="forecast",AVERAGE(AM33:AX33),'Dept. Cost Actuals'!BC549+'Dept. Cost Actuals'!BC548)</f>
        <v>5.0929230704766537</v>
      </c>
      <c r="AZ33" s="684">
        <f>IF(AZ$4="forecast",AVERAGE(AN33:AY33),'Dept. Cost Actuals'!BD549+'Dept. Cost Actuals'!BD548)</f>
        <v>5.1179930766581316</v>
      </c>
      <c r="BA33" s="684">
        <f>IF(BA$4="forecast",AVERAGE(AO33:AZ33),'Dept. Cost Actuals'!BE549+'Dept. Cost Actuals'!BE548)</f>
        <v>5.134993108843398</v>
      </c>
      <c r="BB33" s="684">
        <f>IF(BB$4="forecast",AVERAGE(AP33:BA33),'Dept. Cost Actuals'!BF549+'Dept. Cost Actuals'!BF548)</f>
        <v>5.1443306751815143</v>
      </c>
      <c r="BC33" s="684">
        <f>IF(BC$4="forecast",AVERAGE(AQ33:BB33),'Dept. Cost Actuals'!BG549+'Dept. Cost Actuals'!BG548)</f>
        <v>5.1466977934224936</v>
      </c>
      <c r="BD33" s="684">
        <f>IF(BD$4="forecast",AVERAGE(AR33:BC33),'Dept. Cost Actuals'!BH549+'Dept. Cost Actuals'!BH548)</f>
        <v>5.1431289584405855</v>
      </c>
      <c r="BE33" s="684">
        <f>IF(BE$4="forecast",AVERAGE(AS33:BD33),'Dept. Cost Actuals'!BI549+'Dept. Cost Actuals'!BI548)</f>
        <v>5.1350679101815224</v>
      </c>
      <c r="BF33" s="684">
        <f>IF(BF$4="forecast",AVERAGE(AT33:BE33),'Dept. Cost Actuals'!BJ549+'Dept. Cost Actuals'!BJ548)</f>
        <v>5.1244443591296998</v>
      </c>
      <c r="BG33" s="684">
        <f>IF(BG$4="forecast",AVERAGE(AU33:BF33),'Dept. Cost Actuals'!BK549+'Dept. Cost Actuals'!BK548)</f>
        <v>5.1137619658692008</v>
      </c>
      <c r="BH33" s="684">
        <f>IF(BH$4="forecast",AVERAGE(AV33:BG33),'Dept. Cost Actuals'!BL549+'Dept. Cost Actuals'!BL548)</f>
        <v>5.1061990266464941</v>
      </c>
      <c r="BI33" s="684">
        <f>IF(BI$4="forecast",AVERAGE(AW33:BH33),'Dept. Cost Actuals'!BM549+'Dept. Cost Actuals'!BM548)</f>
        <v>5.1057234897606749</v>
      </c>
      <c r="BJ33" s="684">
        <f>IF(BJ$4="forecast",AVERAGE(AX33:BI33),'Dept. Cost Actuals'!BN549+'Dept. Cost Actuals'!BN548)</f>
        <v>5.1172241200192792</v>
      </c>
      <c r="BK33" s="684">
        <f>IF(BK$4="forecast",AVERAGE(AY33:BJ33),'Dept. Cost Actuals'!BO549+'Dept. Cost Actuals'!BO548)</f>
        <v>5.1235406295524708</v>
      </c>
      <c r="BL33" s="684">
        <f>IF(BL$4="forecast",AVERAGE(AZ33:BK33),'Dept. Cost Actuals'!BP549+'Dept. Cost Actuals'!BP548)</f>
        <v>5.126092092808789</v>
      </c>
      <c r="BM33" s="684">
        <f>IF(BM$4="forecast",AVERAGE(BA33:BL33),'Dept. Cost Actuals'!BQ549+'Dept. Cost Actuals'!BQ548)</f>
        <v>5.1267670108213439</v>
      </c>
      <c r="BN33" s="684">
        <f>IF(BN$4="forecast",AVERAGE(BB33:BM33),'Dept. Cost Actuals'!BR549+'Dept. Cost Actuals'!BR548)</f>
        <v>5.1260815026528403</v>
      </c>
      <c r="BO33" s="684">
        <f>IF(BO$4="forecast",AVERAGE(BC33:BN33),'Dept. Cost Actuals'!BS549+'Dept. Cost Actuals'!BS548)</f>
        <v>5.1245607382754494</v>
      </c>
      <c r="BP33" s="684">
        <f>IF(BP$4="forecast",AVERAGE(BD33:BO33),'Dept. Cost Actuals'!BT549+'Dept. Cost Actuals'!BT548)</f>
        <v>5.1227159836798624</v>
      </c>
      <c r="BQ33" s="684">
        <f>IF(BQ$4="forecast",AVERAGE(BE33:BP33),'Dept. Cost Actuals'!BU549+'Dept. Cost Actuals'!BU548)</f>
        <v>5.1210149024498017</v>
      </c>
      <c r="BR33" s="684">
        <f>IF(BR$4="forecast",AVERAGE(BF33:BQ33),'Dept. Cost Actuals'!BV549+'Dept. Cost Actuals'!BV548)</f>
        <v>5.1198438184721589</v>
      </c>
      <c r="BS33" s="684">
        <f>IF(BS$4="forecast",AVERAGE(BG33:BR33),'Dept. Cost Actuals'!BW549+'Dept. Cost Actuals'!BW548)</f>
        <v>5.1194604400840298</v>
      </c>
      <c r="BT33" s="684">
        <f>IF(BT$4="forecast",AVERAGE(BH33:BS33),'Dept. Cost Actuals'!BX549+'Dept. Cost Actuals'!BX548)</f>
        <v>5.1199353129352652</v>
      </c>
      <c r="BU33" s="684">
        <f>IF(BU$4="forecast",AVERAGE(BI33:BT33),'Dept. Cost Actuals'!BY549+'Dept. Cost Actuals'!BY548)</f>
        <v>5.1210800034593298</v>
      </c>
      <c r="BV33" s="808">
        <f>IF(BV$4="forecast",AVERAGE(BJ33:BU33),'Dept. Cost Actuals'!BZ549+'Dept. Cost Actuals'!BZ548)</f>
        <v>5.1223597129342187</v>
      </c>
    </row>
    <row r="34" spans="2:74" x14ac:dyDescent="0.35">
      <c r="B34" s="812" t="s">
        <v>950</v>
      </c>
      <c r="C34" s="684">
        <f>IF(C$4="forecast",AVERAGE(#REF!),'Dept. Cost Actuals'!G592)</f>
        <v>0</v>
      </c>
      <c r="D34" s="684">
        <f>IF(D$4="forecast",AVERAGE(#REF!),'Dept. Cost Actuals'!H592)</f>
        <v>0</v>
      </c>
      <c r="E34" s="684">
        <f>IF(E$4="forecast",AVERAGE(#REF!),'Dept. Cost Actuals'!I592)</f>
        <v>0</v>
      </c>
      <c r="F34" s="684">
        <f>IF(F$4="forecast",AVERAGE(#REF!),'Dept. Cost Actuals'!J592)</f>
        <v>11.364250721573466</v>
      </c>
      <c r="G34" s="684">
        <f>IF(G$4="forecast",AVERAGE(#REF!),'Dept. Cost Actuals'!K592)</f>
        <v>0.2740088147732101</v>
      </c>
      <c r="H34" s="684">
        <f>IF(H$4="forecast",AVERAGE(#REF!),'Dept. Cost Actuals'!L592)</f>
        <v>0</v>
      </c>
      <c r="I34" s="684">
        <f>IF(I$4="forecast",AVERAGE(#REF!),'Dept. Cost Actuals'!M592)</f>
        <v>0</v>
      </c>
      <c r="J34" s="684">
        <f>IF(J$4="forecast",AVERAGE(#REF!),'Dept. Cost Actuals'!N592)</f>
        <v>0</v>
      </c>
      <c r="K34" s="684">
        <f>IF(K$4="forecast",AVERAGE(#REF!),'Dept. Cost Actuals'!O592)</f>
        <v>1.2492690758108169</v>
      </c>
      <c r="L34" s="684">
        <f>IF(L$4="forecast",AVERAGE(#REF!),'Dept. Cost Actuals'!P592)</f>
        <v>3.1796451642273307E-2</v>
      </c>
      <c r="M34" s="684">
        <f>IF(M$4="forecast",AVERAGE(A34:L34),'Dept. Cost Actuals'!Q592)</f>
        <v>3.0735950410566395</v>
      </c>
      <c r="N34" s="684">
        <f>IF(N$4="forecast",AVERAGE(B34:M34),'Dept. Cost Actuals'!R592)</f>
        <v>0</v>
      </c>
      <c r="O34" s="684">
        <f>IF(O$4="forecast",AVERAGE(C34:N34),'Dept. Cost Actuals'!S592)</f>
        <v>0</v>
      </c>
      <c r="P34" s="684">
        <f>IF(P$4="forecast",AVERAGE(D34:O34),'Dept. Cost Actuals'!T592)</f>
        <v>0</v>
      </c>
      <c r="Q34" s="684">
        <f>IF(Q$4="forecast",AVERAGE(E34:P34),'Dept. Cost Actuals'!U592)</f>
        <v>615.75</v>
      </c>
      <c r="R34" s="684">
        <f>IF(R$4="forecast",AVERAGE(F34:Q34),'Dept. Cost Actuals'!V592)</f>
        <v>0</v>
      </c>
      <c r="S34" s="684">
        <f>IF(S$4="forecast",AVERAGE(G34:R34),'Dept. Cost Actuals'!W592)</f>
        <v>0</v>
      </c>
      <c r="T34" s="684">
        <f>IF(T$4="forecast",AVERAGE(H34:S34),'Dept. Cost Actuals'!X592)</f>
        <v>0</v>
      </c>
      <c r="U34" s="684">
        <f>IF(U$4="forecast",AVERAGE(I34:T34),'Dept. Cost Actuals'!Y592)</f>
        <v>0</v>
      </c>
      <c r="V34" s="684">
        <f>IF(V$4="forecast",AVERAGE(J34:U34),'Dept. Cost Actuals'!Z592)</f>
        <v>0</v>
      </c>
      <c r="W34" s="684">
        <f>IF(W$4="forecast",AVERAGE(K34:V34),'Dept. Cost Actuals'!AA592)</f>
        <v>0</v>
      </c>
      <c r="X34" s="684">
        <f>IF(X$4="forecast",AVERAGE(L34:W34),'Dept. Cost Actuals'!AB592)</f>
        <v>0</v>
      </c>
      <c r="Y34" s="684">
        <f>IF(Y$4="forecast",AVERAGE(M34:X34),'Dept. Cost Actuals'!AC592)</f>
        <v>0</v>
      </c>
      <c r="Z34" s="684">
        <f>IF(Z$4="forecast",AVERAGE(N34:Y34),'Dept. Cost Actuals'!AD592)</f>
        <v>0</v>
      </c>
      <c r="AA34" s="684">
        <f>IF(AA$4="forecast",AVERAGE(O34:Z34),'Dept. Cost Actuals'!AE592)</f>
        <v>51.3125</v>
      </c>
      <c r="AB34" s="684">
        <f>IF(AB$4="forecast",AVERAGE(P34:AA34),'Dept. Cost Actuals'!AF592)</f>
        <v>55.588541666666664</v>
      </c>
      <c r="AC34" s="684">
        <f>IF(AC$4="forecast",AVERAGE(Q34:AB34),'Dept. Cost Actuals'!AG592)</f>
        <v>60.220920138888886</v>
      </c>
      <c r="AD34" s="684">
        <f>IF(AD$4="forecast",AVERAGE(R34:AC34),'Dept. Cost Actuals'!AH592)</f>
        <v>13.926830150462962</v>
      </c>
      <c r="AE34" s="684">
        <f>IF(AE$4="forecast",AVERAGE(S34:AD34),'Dept. Cost Actuals'!AI592)</f>
        <v>15.087399329668209</v>
      </c>
      <c r="AF34" s="684">
        <f>IF(AF$4="forecast",AVERAGE(T34:AE34),'Dept. Cost Actuals'!AJ592)</f>
        <v>16.344682607140559</v>
      </c>
      <c r="AG34" s="684">
        <f>IF(AG$4="forecast",AVERAGE(U34:AF34),'Dept. Cost Actuals'!AK592)</f>
        <v>17.706739491068941</v>
      </c>
      <c r="AH34" s="684">
        <f>IF(AH$4="forecast",AVERAGE(V34:AG34),'Dept. Cost Actuals'!AL592)</f>
        <v>19.182301115324684</v>
      </c>
      <c r="AI34" s="684">
        <f>IF(AI$4="forecast",AVERAGE(W34:AH34),'Dept. Cost Actuals'!AM592)</f>
        <v>20.780826208268408</v>
      </c>
      <c r="AJ34" s="684">
        <f>IF(AJ$4="forecast",AVERAGE(X34:AI34),'Dept. Cost Actuals'!AN592)</f>
        <v>22.51256172562411</v>
      </c>
      <c r="AK34" s="684">
        <f>IF(AK$4="forecast",AVERAGE(Y34:AJ34),'Dept. Cost Actuals'!AO592)</f>
        <v>24.388608536092786</v>
      </c>
      <c r="AL34" s="684">
        <f>IF(AL$4="forecast",AVERAGE(Z34:AK34),'Dept. Cost Actuals'!AP592)</f>
        <v>26.42099258076718</v>
      </c>
      <c r="AM34" s="684">
        <f>IF(AM$4="forecast",AVERAGE(AA34:AL34),'Dept. Cost Actuals'!AQ592)</f>
        <v>28.622741962497781</v>
      </c>
      <c r="AN34" s="684">
        <f>IF(AN$4="forecast",AVERAGE(AB34:AM34),'Dept. Cost Actuals'!AR592)</f>
        <v>26.731928792705929</v>
      </c>
      <c r="AO34" s="684">
        <f>IF(AO$4="forecast",AVERAGE(AC34:AN34),'Dept. Cost Actuals'!AS592)</f>
        <v>24.327211053209197</v>
      </c>
      <c r="AP34" s="684">
        <f>IF(AP$4="forecast",AVERAGE(AD34:AO34),'Dept. Cost Actuals'!AT592)</f>
        <v>21.336068629402561</v>
      </c>
      <c r="AQ34" s="684">
        <f>IF(AQ$4="forecast",AVERAGE(AE34:AP34),'Dept. Cost Actuals'!AU592)</f>
        <v>21.953505169314194</v>
      </c>
      <c r="AR34" s="684">
        <f>IF(AR$4="forecast",AVERAGE(AF34:AQ34),'Dept. Cost Actuals'!AV592)</f>
        <v>22.525680655951362</v>
      </c>
      <c r="AS34" s="684">
        <f>IF(AS$4="forecast",AVERAGE(AG34:AR34),'Dept. Cost Actuals'!AW592)</f>
        <v>23.040763826685595</v>
      </c>
      <c r="AT34" s="684">
        <f>IF(AT$4="forecast",AVERAGE(AH34:AS34),'Dept. Cost Actuals'!AX592)</f>
        <v>23.485265854653644</v>
      </c>
      <c r="AU34" s="684">
        <f>IF(AU$4="forecast",AVERAGE(AI34:AT34),'Dept. Cost Actuals'!AY592)</f>
        <v>23.843846249597728</v>
      </c>
      <c r="AV34" s="684">
        <f>IF(AV$4="forecast",AVERAGE(AJ34:AU34),'Dept. Cost Actuals'!AZ592)</f>
        <v>24.099097919708502</v>
      </c>
      <c r="AW34" s="684">
        <f>IF(AW$4="forecast",AVERAGE(AK34:AV34),'Dept. Cost Actuals'!BA592)</f>
        <v>24.23130926921554</v>
      </c>
      <c r="AX34" s="684">
        <f>IF(AX$4="forecast",AVERAGE(AL34:AW34),'Dept. Cost Actuals'!BB592)</f>
        <v>24.218200996975771</v>
      </c>
      <c r="AY34" s="684">
        <f>IF(AY$4="forecast",AVERAGE(AM34:AX34),'Dept. Cost Actuals'!BC592)</f>
        <v>24.034635031659818</v>
      </c>
      <c r="AZ34" s="684">
        <f>IF(AZ$4="forecast",AVERAGE(AN34:AY34),'Dept. Cost Actuals'!BD592)</f>
        <v>23.65229278742332</v>
      </c>
      <c r="BA34" s="684">
        <f>IF(BA$4="forecast",AVERAGE(AO34:AZ34),'Dept. Cost Actuals'!BE592)</f>
        <v>23.395656453649767</v>
      </c>
      <c r="BB34" s="684">
        <f>IF(BB$4="forecast",AVERAGE(AP34:BA34),'Dept. Cost Actuals'!BF592)</f>
        <v>23.318026903686487</v>
      </c>
      <c r="BC34" s="684">
        <f>IF(BC$4="forecast",AVERAGE(AQ34:BB34),'Dept. Cost Actuals'!BG592)</f>
        <v>23.483190093210144</v>
      </c>
      <c r="BD34" s="684">
        <f>IF(BD$4="forecast",AVERAGE(AR34:BC34),'Dept. Cost Actuals'!BH592)</f>
        <v>23.610663836868145</v>
      </c>
      <c r="BE34" s="684">
        <f>IF(BE$4="forecast",AVERAGE(AS34:BD34),'Dept. Cost Actuals'!BI592)</f>
        <v>23.701079101944543</v>
      </c>
      <c r="BF34" s="684">
        <f>IF(BF$4="forecast",AVERAGE(AT34:BE34),'Dept. Cost Actuals'!BJ592)</f>
        <v>23.756105374882782</v>
      </c>
      <c r="BG34" s="684">
        <f>IF(BG$4="forecast",AVERAGE(AU34:BF34),'Dept. Cost Actuals'!BK592)</f>
        <v>23.778675334901877</v>
      </c>
      <c r="BH34" s="684">
        <f>IF(BH$4="forecast",AVERAGE(AV34:BG34),'Dept. Cost Actuals'!BL592)</f>
        <v>23.77324442534389</v>
      </c>
      <c r="BI34" s="684">
        <f>IF(BI$4="forecast",AVERAGE(AW34:BH34),'Dept. Cost Actuals'!BM592)</f>
        <v>23.746089967480174</v>
      </c>
      <c r="BJ34" s="684">
        <f>IF(BJ$4="forecast",AVERAGE(AX34:BI34),'Dept. Cost Actuals'!BN592)</f>
        <v>23.705655025668893</v>
      </c>
      <c r="BK34" s="684">
        <f>IF(BK$4="forecast",AVERAGE(AY34:BJ34),'Dept. Cost Actuals'!BO592)</f>
        <v>23.662942861393315</v>
      </c>
      <c r="BL34" s="684">
        <f>IF(BL$4="forecast",AVERAGE(AZ34:BK34),'Dept. Cost Actuals'!BP592)</f>
        <v>23.631968513871115</v>
      </c>
      <c r="BM34" s="684">
        <f>IF(BM$4="forecast",AVERAGE(BA34:BL34),'Dept. Cost Actuals'!BQ592)</f>
        <v>23.630274824408431</v>
      </c>
      <c r="BN34" s="684">
        <f>IF(BN$4="forecast",AVERAGE(BB34:BM34),'Dept. Cost Actuals'!BR592)</f>
        <v>23.649826355304981</v>
      </c>
      <c r="BO34" s="684">
        <f>IF(BO$4="forecast",AVERAGE(BC34:BN34),'Dept. Cost Actuals'!BS592)</f>
        <v>23.677476309606522</v>
      </c>
      <c r="BP34" s="684">
        <f>IF(BP$4="forecast",AVERAGE(BD34:BO34),'Dept. Cost Actuals'!BT592)</f>
        <v>23.693666827639557</v>
      </c>
      <c r="BQ34" s="684">
        <f>IF(BQ$4="forecast",AVERAGE(BE34:BP34),'Dept. Cost Actuals'!BU592)</f>
        <v>23.70058374353717</v>
      </c>
      <c r="BR34" s="684">
        <f>IF(BR$4="forecast",AVERAGE(BF34:BQ34),'Dept. Cost Actuals'!BV592)</f>
        <v>23.70054246366989</v>
      </c>
      <c r="BS34" s="684">
        <f>IF(BS$4="forecast",AVERAGE(BG34:BR34),'Dept. Cost Actuals'!BW592)</f>
        <v>23.69591222106882</v>
      </c>
      <c r="BT34" s="684">
        <f>IF(BT$4="forecast",AVERAGE(BH34:BS34),'Dept. Cost Actuals'!BX592)</f>
        <v>23.689015294916061</v>
      </c>
      <c r="BU34" s="684">
        <f>IF(BU$4="forecast",AVERAGE(BI34:BT34),'Dept. Cost Actuals'!BY592)</f>
        <v>23.681996200713741</v>
      </c>
      <c r="BV34" s="808">
        <f>IF(BV$4="forecast",AVERAGE(BJ34:BU34),'Dept. Cost Actuals'!BZ592)</f>
        <v>23.676655053483213</v>
      </c>
    </row>
    <row r="35" spans="2:74" x14ac:dyDescent="0.35">
      <c r="B35" s="812" t="s">
        <v>927</v>
      </c>
      <c r="C35" s="684">
        <f>IF(C$4="forecast",AVERAGE(#REF!),'Dept. Cost Actuals'!G601)</f>
        <v>0</v>
      </c>
      <c r="D35" s="684">
        <f>IF(D$4="forecast",AVERAGE(#REF!),'Dept. Cost Actuals'!H601)</f>
        <v>0</v>
      </c>
      <c r="E35" s="684">
        <f>IF(E$4="forecast",AVERAGE(#REF!),'Dept. Cost Actuals'!I601)</f>
        <v>0</v>
      </c>
      <c r="F35" s="684">
        <f>IF(F$4="forecast",AVERAGE(#REF!),'Dept. Cost Actuals'!J601)</f>
        <v>0</v>
      </c>
      <c r="G35" s="684">
        <f>IF(G$4="forecast",AVERAGE(#REF!),'Dept. Cost Actuals'!K601)</f>
        <v>0</v>
      </c>
      <c r="H35" s="684">
        <f>IF(H$4="forecast",AVERAGE(#REF!),'Dept. Cost Actuals'!L601)</f>
        <v>0</v>
      </c>
      <c r="I35" s="684">
        <f>IF(I$4="forecast",AVERAGE(#REF!),'Dept. Cost Actuals'!M601)</f>
        <v>0</v>
      </c>
      <c r="J35" s="684">
        <f>IF(J$4="forecast",AVERAGE(#REF!),'Dept. Cost Actuals'!N601)</f>
        <v>0</v>
      </c>
      <c r="K35" s="684">
        <f>IF(K$4="forecast",AVERAGE(#REF!),'Dept. Cost Actuals'!O601)</f>
        <v>0</v>
      </c>
      <c r="L35" s="684">
        <f>IF(L$4="forecast",AVERAGE(#REF!),'Dept. Cost Actuals'!P601)</f>
        <v>0</v>
      </c>
      <c r="M35" s="684">
        <f>IF(M$4="forecast",AVERAGE(A35:L35),'Dept. Cost Actuals'!Q601)</f>
        <v>0</v>
      </c>
      <c r="N35" s="684">
        <f>IF(N$4="forecast",AVERAGE(B35:M35),'Dept. Cost Actuals'!R601)</f>
        <v>0</v>
      </c>
      <c r="O35" s="684">
        <f>IF(O$4="forecast",AVERAGE(C35:N35),'Dept. Cost Actuals'!S601)</f>
        <v>0</v>
      </c>
      <c r="P35" s="684">
        <f>IF(P$4="forecast",AVERAGE(D35:O35),'Dept. Cost Actuals'!T601)</f>
        <v>0</v>
      </c>
      <c r="Q35" s="684">
        <f>IF(Q$4="forecast",AVERAGE(E35:P35),'Dept. Cost Actuals'!U601)</f>
        <v>0</v>
      </c>
      <c r="R35" s="684">
        <f>IF(R$4="forecast",AVERAGE(F35:Q35),'Dept. Cost Actuals'!V601)</f>
        <v>0</v>
      </c>
      <c r="S35" s="684">
        <f>IF(S$4="forecast",AVERAGE(G35:R35),'Dept. Cost Actuals'!W601)</f>
        <v>0</v>
      </c>
      <c r="T35" s="684">
        <f>IF(T$4="forecast",AVERAGE(H35:S35),'Dept. Cost Actuals'!X601)</f>
        <v>0</v>
      </c>
      <c r="U35" s="684">
        <f>IF(U$4="forecast",AVERAGE(I35:T35),'Dept. Cost Actuals'!Y601)</f>
        <v>0</v>
      </c>
      <c r="V35" s="684">
        <f>IF(V$4="forecast",AVERAGE(J35:U35),'Dept. Cost Actuals'!Z601)</f>
        <v>0</v>
      </c>
      <c r="W35" s="684">
        <f>IF(W$4="forecast",AVERAGE(K35:V35),'Dept. Cost Actuals'!AA601)</f>
        <v>0</v>
      </c>
      <c r="X35" s="684">
        <f>IF(X$4="forecast",AVERAGE(L35:W35),'Dept. Cost Actuals'!AB601)</f>
        <v>0</v>
      </c>
      <c r="Y35" s="684">
        <f>IF(Y$4="forecast",AVERAGE(M35:X35),'Dept. Cost Actuals'!AC601)</f>
        <v>0</v>
      </c>
      <c r="Z35" s="684">
        <f>IF(Z$4="forecast",AVERAGE(N35:Y35),'Dept. Cost Actuals'!AD601)</f>
        <v>0</v>
      </c>
      <c r="AA35" s="684">
        <f>IF(AA$4="forecast",AVERAGE(O35:Z35),'Dept. Cost Actuals'!AE601)</f>
        <v>0</v>
      </c>
      <c r="AB35" s="684">
        <f>IF(AB$4="forecast",AVERAGE(P35:AA35),'Dept. Cost Actuals'!AF601)</f>
        <v>0</v>
      </c>
      <c r="AC35" s="684">
        <f>IF(AC$4="forecast",AVERAGE(Q35:AB35),'Dept. Cost Actuals'!AG601)</f>
        <v>0</v>
      </c>
      <c r="AD35" s="684">
        <f>IF(AD$4="forecast",AVERAGE(R35:AC35),'Dept. Cost Actuals'!AH601)</f>
        <v>0</v>
      </c>
      <c r="AE35" s="684">
        <f>IF(AE$4="forecast",AVERAGE(S35:AD35),'Dept. Cost Actuals'!AI601)</f>
        <v>0</v>
      </c>
      <c r="AF35" s="684">
        <f>IF(AF$4="forecast",AVERAGE(T35:AE35),'Dept. Cost Actuals'!AJ601)</f>
        <v>0</v>
      </c>
      <c r="AG35" s="684">
        <f>IF(AG$4="forecast",AVERAGE(U35:AF35),'Dept. Cost Actuals'!AK601)</f>
        <v>0</v>
      </c>
      <c r="AH35" s="684">
        <f>IF(AH$4="forecast",AVERAGE(V35:AG35),'Dept. Cost Actuals'!AL601)</f>
        <v>0</v>
      </c>
      <c r="AI35" s="684">
        <f>IF(AI$4="forecast",AVERAGE(W35:AH35),'Dept. Cost Actuals'!AM601)</f>
        <v>0</v>
      </c>
      <c r="AJ35" s="684">
        <f>IF(AJ$4="forecast",AVERAGE(X35:AI35),'Dept. Cost Actuals'!AN601)</f>
        <v>0</v>
      </c>
      <c r="AK35" s="684">
        <f>IF(AK$4="forecast",AVERAGE(Y35:AJ35),'Dept. Cost Actuals'!AO601)</f>
        <v>0</v>
      </c>
      <c r="AL35" s="684">
        <f>IF(AL$4="forecast",AVERAGE(Z35:AK35),'Dept. Cost Actuals'!AP601)</f>
        <v>0</v>
      </c>
      <c r="AM35" s="684">
        <f>IF(AM$4="forecast",AVERAGE(AA35:AL35),'Dept. Cost Actuals'!AQ601)</f>
        <v>0</v>
      </c>
      <c r="AN35" s="684">
        <f>IF(AN$4="forecast",AVERAGE(AB35:AM35),'Dept. Cost Actuals'!AR601)</f>
        <v>0</v>
      </c>
      <c r="AO35" s="684">
        <f>IF(AO$4="forecast",AVERAGE(AC35:AN35),'Dept. Cost Actuals'!AS601)</f>
        <v>0</v>
      </c>
      <c r="AP35" s="684">
        <f>IF(AP$4="forecast",AVERAGE(AD35:AO35),'Dept. Cost Actuals'!AT601)</f>
        <v>0</v>
      </c>
      <c r="AQ35" s="684">
        <f>IF(AQ$4="forecast",AVERAGE(AE35:AP35),'Dept. Cost Actuals'!AU601)</f>
        <v>0</v>
      </c>
      <c r="AR35" s="684">
        <f>IF(AR$4="forecast",AVERAGE(AF35:AQ35),'Dept. Cost Actuals'!AV601)</f>
        <v>0</v>
      </c>
      <c r="AS35" s="684">
        <f>IF(AS$4="forecast",AVERAGE(AG35:AR35),'Dept. Cost Actuals'!AW601)</f>
        <v>0</v>
      </c>
      <c r="AT35" s="684">
        <f>IF(AT$4="forecast",AVERAGE(AH35:AS35),'Dept. Cost Actuals'!AX601)</f>
        <v>0</v>
      </c>
      <c r="AU35" s="684">
        <f>IF(AU$4="forecast",AVERAGE(AI35:AT35),'Dept. Cost Actuals'!AY601)</f>
        <v>0</v>
      </c>
      <c r="AV35" s="684">
        <f>IF(AV$4="forecast",AVERAGE(AJ35:AU35),'Dept. Cost Actuals'!AZ601)</f>
        <v>0</v>
      </c>
      <c r="AW35" s="684">
        <f>IF(AW$4="forecast",AVERAGE(AK35:AV35),'Dept. Cost Actuals'!BA601)</f>
        <v>0</v>
      </c>
      <c r="AX35" s="684">
        <f>IF(AX$4="forecast",AVERAGE(AL35:AW35),'Dept. Cost Actuals'!BB601)</f>
        <v>0</v>
      </c>
      <c r="AY35" s="684">
        <f>IF(AY$4="forecast",AVERAGE(AM35:AX35),'Dept. Cost Actuals'!BC601)</f>
        <v>0</v>
      </c>
      <c r="AZ35" s="684">
        <f>IF(AZ$4="forecast",AVERAGE(AN35:AY35),'Dept. Cost Actuals'!BD601)</f>
        <v>0</v>
      </c>
      <c r="BA35" s="684">
        <f>IF(BA$4="forecast",AVERAGE(AO35:AZ35),'Dept. Cost Actuals'!BE601)</f>
        <v>0</v>
      </c>
      <c r="BB35" s="684">
        <f>IF(BB$4="forecast",AVERAGE(AP35:BA35),'Dept. Cost Actuals'!BF601)</f>
        <v>0</v>
      </c>
      <c r="BC35" s="684">
        <f>IF(BC$4="forecast",AVERAGE(AQ35:BB35),'Dept. Cost Actuals'!BG601)</f>
        <v>0</v>
      </c>
      <c r="BD35" s="684">
        <f>IF(BD$4="forecast",AVERAGE(AR35:BC35),'Dept. Cost Actuals'!BH601)</f>
        <v>0</v>
      </c>
      <c r="BE35" s="684">
        <f>IF(BE$4="forecast",AVERAGE(AS35:BD35),'Dept. Cost Actuals'!BI601)</f>
        <v>0</v>
      </c>
      <c r="BF35" s="684">
        <f>IF(BF$4="forecast",AVERAGE(AT35:BE35),'Dept. Cost Actuals'!BJ601)</f>
        <v>0</v>
      </c>
      <c r="BG35" s="684">
        <f>IF(BG$4="forecast",AVERAGE(AU35:BF35),'Dept. Cost Actuals'!BK601)</f>
        <v>0</v>
      </c>
      <c r="BH35" s="684">
        <f>IF(BH$4="forecast",AVERAGE(AV35:BG35),'Dept. Cost Actuals'!BL601)</f>
        <v>0</v>
      </c>
      <c r="BI35" s="684">
        <f>IF(BI$4="forecast",AVERAGE(AW35:BH35),'Dept. Cost Actuals'!BM601)</f>
        <v>0</v>
      </c>
      <c r="BJ35" s="684">
        <f>IF(BJ$4="forecast",AVERAGE(AX35:BI35),'Dept. Cost Actuals'!BN601)</f>
        <v>0</v>
      </c>
      <c r="BK35" s="684">
        <f>IF(BK$4="forecast",AVERAGE(AY35:BJ35),'Dept. Cost Actuals'!BO601)</f>
        <v>0</v>
      </c>
      <c r="BL35" s="684">
        <f>IF(BL$4="forecast",AVERAGE(AZ35:BK35),'Dept. Cost Actuals'!BP601)</f>
        <v>0</v>
      </c>
      <c r="BM35" s="684">
        <f>IF(BM$4="forecast",AVERAGE(BA35:BL35),'Dept. Cost Actuals'!BQ601)</f>
        <v>0</v>
      </c>
      <c r="BN35" s="684">
        <f>IF(BN$4="forecast",AVERAGE(BB35:BM35),'Dept. Cost Actuals'!BR601)</f>
        <v>0</v>
      </c>
      <c r="BO35" s="684">
        <f>IF(BO$4="forecast",AVERAGE(BC35:BN35),'Dept. Cost Actuals'!BS601)</f>
        <v>0</v>
      </c>
      <c r="BP35" s="684">
        <f>IF(BP$4="forecast",AVERAGE(BD35:BO35),'Dept. Cost Actuals'!BT601)</f>
        <v>0</v>
      </c>
      <c r="BQ35" s="684">
        <f>IF(BQ$4="forecast",AVERAGE(BE35:BP35),'Dept. Cost Actuals'!BU601)</f>
        <v>0</v>
      </c>
      <c r="BR35" s="684">
        <f>IF(BR$4="forecast",AVERAGE(BF35:BQ35),'Dept. Cost Actuals'!BV601)</f>
        <v>0</v>
      </c>
      <c r="BS35" s="684">
        <f>IF(BS$4="forecast",AVERAGE(BG35:BR35),'Dept. Cost Actuals'!BW601)</f>
        <v>0</v>
      </c>
      <c r="BT35" s="684">
        <f>IF(BT$4="forecast",AVERAGE(BH35:BS35),'Dept. Cost Actuals'!BX601)</f>
        <v>0</v>
      </c>
      <c r="BU35" s="684">
        <f>IF(BU$4="forecast",AVERAGE(BI35:BT35),'Dept. Cost Actuals'!BY601)</f>
        <v>0</v>
      </c>
      <c r="BV35" s="808">
        <f>IF(BV$4="forecast",AVERAGE(BJ35:BU35),'Dept. Cost Actuals'!BZ601)</f>
        <v>0</v>
      </c>
    </row>
    <row r="36" spans="2:74" x14ac:dyDescent="0.35">
      <c r="B36" s="812" t="s">
        <v>928</v>
      </c>
      <c r="C36" s="684">
        <f>IF(C$4="forecast",AVERAGE(#REF!),'Dept. Cost Actuals'!G626)</f>
        <v>0</v>
      </c>
      <c r="D36" s="684">
        <f>IF(D$4="forecast",AVERAGE(#REF!),'Dept. Cost Actuals'!H626)</f>
        <v>0</v>
      </c>
      <c r="E36" s="684">
        <f>IF(E$4="forecast",AVERAGE(#REF!),'Dept. Cost Actuals'!I626)</f>
        <v>0</v>
      </c>
      <c r="F36" s="684">
        <f>IF(F$4="forecast",AVERAGE(#REF!),'Dept. Cost Actuals'!J626)</f>
        <v>0</v>
      </c>
      <c r="G36" s="684">
        <f>IF(G$4="forecast",AVERAGE(#REF!),'Dept. Cost Actuals'!K626)</f>
        <v>0</v>
      </c>
      <c r="H36" s="684">
        <f>IF(H$4="forecast",AVERAGE(#REF!),'Dept. Cost Actuals'!L626)</f>
        <v>0</v>
      </c>
      <c r="I36" s="684">
        <f>IF(I$4="forecast",AVERAGE(#REF!),'Dept. Cost Actuals'!M626)</f>
        <v>0</v>
      </c>
      <c r="J36" s="684">
        <f>IF(J$4="forecast",AVERAGE(#REF!),'Dept. Cost Actuals'!N626)</f>
        <v>0</v>
      </c>
      <c r="K36" s="684">
        <f>IF(K$4="forecast",AVERAGE(#REF!),'Dept. Cost Actuals'!O626)</f>
        <v>0</v>
      </c>
      <c r="L36" s="684">
        <f>IF(L$4="forecast",AVERAGE(#REF!),'Dept. Cost Actuals'!P626)</f>
        <v>0</v>
      </c>
      <c r="M36" s="684">
        <f>IF(M$4="forecast",AVERAGE(A36:L36),'Dept. Cost Actuals'!Q626)</f>
        <v>0</v>
      </c>
      <c r="N36" s="684">
        <f>IF(N$4="forecast",AVERAGE(B36:M36),'Dept. Cost Actuals'!R626)</f>
        <v>0</v>
      </c>
      <c r="O36" s="684">
        <f>IF(O$4="forecast",AVERAGE(C36:N36),'Dept. Cost Actuals'!S626)</f>
        <v>0</v>
      </c>
      <c r="P36" s="684">
        <f>IF(P$4="forecast",AVERAGE(D36:O36),'Dept. Cost Actuals'!T626)</f>
        <v>100</v>
      </c>
      <c r="Q36" s="684">
        <f>IF(Q$4="forecast",AVERAGE(E36:P36),'Dept. Cost Actuals'!U626)</f>
        <v>0</v>
      </c>
      <c r="R36" s="684">
        <f>IF(R$4="forecast",AVERAGE(F36:Q36),'Dept. Cost Actuals'!V626)</f>
        <v>25.46</v>
      </c>
      <c r="S36" s="684">
        <f>IF(S$4="forecast",AVERAGE(G36:R36),'Dept. Cost Actuals'!W626)</f>
        <v>0</v>
      </c>
      <c r="T36" s="684">
        <f>IF(T$4="forecast",AVERAGE(H36:S36),'Dept. Cost Actuals'!X626)</f>
        <v>0</v>
      </c>
      <c r="U36" s="684">
        <f>IF(U$4="forecast",AVERAGE(I36:T36),'Dept. Cost Actuals'!Y626)</f>
        <v>0</v>
      </c>
      <c r="V36" s="684">
        <f>IF(V$4="forecast",AVERAGE(J36:U36),'Dept. Cost Actuals'!Z626)</f>
        <v>161.55000000000001</v>
      </c>
      <c r="W36" s="684">
        <f>IF(W$4="forecast",AVERAGE(K36:V36),'Dept. Cost Actuals'!AA626)</f>
        <v>0</v>
      </c>
      <c r="X36" s="684">
        <f>IF(X$4="forecast",AVERAGE(L36:W36),'Dept. Cost Actuals'!AB626)</f>
        <v>0</v>
      </c>
      <c r="Y36" s="684">
        <f>IF(Y$4="forecast",AVERAGE(M36:X36),'Dept. Cost Actuals'!AC626)</f>
        <v>198.9</v>
      </c>
      <c r="Z36" s="684">
        <f>IF(Z$4="forecast",AVERAGE(N36:Y36),'Dept. Cost Actuals'!AD626)</f>
        <v>0</v>
      </c>
      <c r="AA36" s="684">
        <f>IF(AA$4="forecast",2000/12,'Dept. Cost Actuals'!AE626)</f>
        <v>166.66666666666666</v>
      </c>
      <c r="AB36" s="684">
        <f>IF(AB$4="forecast",2000/12,'Dept. Cost Actuals'!AF626)</f>
        <v>166.66666666666666</v>
      </c>
      <c r="AC36" s="684">
        <f>IF(AC$4="forecast",2000/12,'Dept. Cost Actuals'!AG626)</f>
        <v>166.66666666666666</v>
      </c>
      <c r="AD36" s="684">
        <f>IF(AD$4="forecast",2000/12,'Dept. Cost Actuals'!AH626)</f>
        <v>166.66666666666666</v>
      </c>
      <c r="AE36" s="684">
        <f>IF(AE$4="forecast",2000/12,'Dept. Cost Actuals'!AI626)</f>
        <v>166.66666666666666</v>
      </c>
      <c r="AF36" s="684">
        <f>IF(AF$4="forecast",2000/12,'Dept. Cost Actuals'!AJ626)</f>
        <v>166.66666666666666</v>
      </c>
      <c r="AG36" s="684">
        <f>IF(AG$4="forecast",2000/12,'Dept. Cost Actuals'!AK626)</f>
        <v>166.66666666666666</v>
      </c>
      <c r="AH36" s="684">
        <f>IF(AH$4="forecast",2000/12,'Dept. Cost Actuals'!AL626)</f>
        <v>166.66666666666666</v>
      </c>
      <c r="AI36" s="684">
        <f>IF(AI$4="forecast",2000/12,'Dept. Cost Actuals'!AM626)</f>
        <v>166.66666666666666</v>
      </c>
      <c r="AJ36" s="684">
        <f>IF(AJ$4="forecast",2000/12,'Dept. Cost Actuals'!AN626)</f>
        <v>166.66666666666666</v>
      </c>
      <c r="AK36" s="684">
        <f>IF(AK$4="forecast",2000/12,'Dept. Cost Actuals'!AO626)</f>
        <v>166.66666666666666</v>
      </c>
      <c r="AL36" s="684">
        <f>IF(AL$4="forecast",2000/12,'Dept. Cost Actuals'!AP626)</f>
        <v>166.66666666666666</v>
      </c>
      <c r="AM36" s="684">
        <f>IF(AM$4="forecast",AVERAGE(AA36:AL36),'Dept. Cost Actuals'!AQ626)</f>
        <v>166.66666666666669</v>
      </c>
      <c r="AN36" s="684">
        <f>IF(AN$4="forecast",AVERAGE(AB36:AM36),'Dept. Cost Actuals'!AR626)</f>
        <v>166.66666666666669</v>
      </c>
      <c r="AO36" s="684">
        <f>IF(AO$4="forecast",AVERAGE(AC36:AN36),'Dept. Cost Actuals'!AS626)</f>
        <v>166.66666666666669</v>
      </c>
      <c r="AP36" s="684">
        <f>IF(AP$4="forecast",AVERAGE(AD36:AO36),'Dept. Cost Actuals'!AT626)</f>
        <v>166.66666666666669</v>
      </c>
      <c r="AQ36" s="684">
        <f>IF(AQ$4="forecast",AVERAGE(AE36:AP36),'Dept. Cost Actuals'!AU626)</f>
        <v>166.66666666666669</v>
      </c>
      <c r="AR36" s="684">
        <f>IF(AR$4="forecast",AVERAGE(AF36:AQ36),'Dept. Cost Actuals'!AV626)</f>
        <v>166.66666666666669</v>
      </c>
      <c r="AS36" s="684">
        <f>IF(AS$4="forecast",AVERAGE(AG36:AR36),'Dept. Cost Actuals'!AW626)</f>
        <v>166.66666666666669</v>
      </c>
      <c r="AT36" s="684">
        <f>IF(AT$4="forecast",AVERAGE(AH36:AS36),'Dept. Cost Actuals'!AX626)</f>
        <v>166.66666666666671</v>
      </c>
      <c r="AU36" s="684">
        <f>IF(AU$4="forecast",AVERAGE(AI36:AT36),'Dept. Cost Actuals'!AY626)</f>
        <v>166.66666666666671</v>
      </c>
      <c r="AV36" s="684">
        <f>IF(AV$4="forecast",AVERAGE(AJ36:AU36),'Dept. Cost Actuals'!AZ626)</f>
        <v>166.66666666666671</v>
      </c>
      <c r="AW36" s="684">
        <f>IF(AW$4="forecast",AVERAGE(AK36:AV36),'Dept. Cost Actuals'!BA626)</f>
        <v>166.66666666666671</v>
      </c>
      <c r="AX36" s="684">
        <f>IF(AX$4="forecast",AVERAGE(AL36:AW36),'Dept. Cost Actuals'!BB626)</f>
        <v>166.66666666666671</v>
      </c>
      <c r="AY36" s="684">
        <f>IF(AY$4="forecast",AVERAGE(AM36:AX36),'Dept. Cost Actuals'!BC626)</f>
        <v>166.66666666666671</v>
      </c>
      <c r="AZ36" s="684">
        <f>IF(AZ$4="forecast",AVERAGE(AN36:AY36),'Dept. Cost Actuals'!BD626)</f>
        <v>166.66666666666671</v>
      </c>
      <c r="BA36" s="684">
        <f>IF(BA$4="forecast",AVERAGE(AO36:AZ36),'Dept. Cost Actuals'!BE626)</f>
        <v>166.66666666666671</v>
      </c>
      <c r="BB36" s="684">
        <f>IF(BB$4="forecast",AVERAGE(AP36:BA36),'Dept. Cost Actuals'!BF626)</f>
        <v>166.66666666666671</v>
      </c>
      <c r="BC36" s="684">
        <f>IF(BC$4="forecast",AVERAGE(AQ36:BB36),'Dept. Cost Actuals'!BG626)</f>
        <v>166.66666666666671</v>
      </c>
      <c r="BD36" s="684">
        <f>IF(BD$4="forecast",AVERAGE(AR36:BC36),'Dept. Cost Actuals'!BH626)</f>
        <v>166.66666666666671</v>
      </c>
      <c r="BE36" s="684">
        <f>IF(BE$4="forecast",AVERAGE(AS36:BD36),'Dept. Cost Actuals'!BI626)</f>
        <v>166.66666666666671</v>
      </c>
      <c r="BF36" s="684">
        <f>IF(BF$4="forecast",AVERAGE(AT36:BE36),'Dept. Cost Actuals'!BJ626)</f>
        <v>166.66666666666671</v>
      </c>
      <c r="BG36" s="684">
        <f>IF(BG$4="forecast",AVERAGE(AU36:BF36),'Dept. Cost Actuals'!BK626)</f>
        <v>166.66666666666671</v>
      </c>
      <c r="BH36" s="684">
        <f>IF(BH$4="forecast",AVERAGE(AV36:BG36),'Dept. Cost Actuals'!BL626)</f>
        <v>166.66666666666671</v>
      </c>
      <c r="BI36" s="684">
        <f>IF(BI$4="forecast",AVERAGE(AW36:BH36),'Dept. Cost Actuals'!BM626)</f>
        <v>166.66666666666671</v>
      </c>
      <c r="BJ36" s="684">
        <f>IF(BJ$4="forecast",AVERAGE(AX36:BI36),'Dept. Cost Actuals'!BN626)</f>
        <v>166.66666666666671</v>
      </c>
      <c r="BK36" s="684">
        <f>IF(BK$4="forecast",AVERAGE(AY36:BJ36),'Dept. Cost Actuals'!BO626)</f>
        <v>166.66666666666671</v>
      </c>
      <c r="BL36" s="684">
        <f>IF(BL$4="forecast",AVERAGE(AZ36:BK36),'Dept. Cost Actuals'!BP626)</f>
        <v>166.66666666666671</v>
      </c>
      <c r="BM36" s="684">
        <f>IF(BM$4="forecast",AVERAGE(BA36:BL36),'Dept. Cost Actuals'!BQ626)</f>
        <v>166.66666666666671</v>
      </c>
      <c r="BN36" s="684">
        <f>IF(BN$4="forecast",AVERAGE(BB36:BM36),'Dept. Cost Actuals'!BR626)</f>
        <v>166.66666666666671</v>
      </c>
      <c r="BO36" s="684">
        <f>IF(BO$4="forecast",AVERAGE(BC36:BN36),'Dept. Cost Actuals'!BS626)</f>
        <v>166.66666666666671</v>
      </c>
      <c r="BP36" s="684">
        <f>IF(BP$4="forecast",AVERAGE(BD36:BO36),'Dept. Cost Actuals'!BT626)</f>
        <v>166.66666666666671</v>
      </c>
      <c r="BQ36" s="684">
        <f>IF(BQ$4="forecast",AVERAGE(BE36:BP36),'Dept. Cost Actuals'!BU626)</f>
        <v>166.66666666666671</v>
      </c>
      <c r="BR36" s="684">
        <f>IF(BR$4="forecast",AVERAGE(BF36:BQ36),'Dept. Cost Actuals'!BV626)</f>
        <v>166.66666666666671</v>
      </c>
      <c r="BS36" s="684">
        <f>IF(BS$4="forecast",AVERAGE(BG36:BR36),'Dept. Cost Actuals'!BW626)</f>
        <v>166.66666666666671</v>
      </c>
      <c r="BT36" s="684">
        <f>IF(BT$4="forecast",AVERAGE(BH36:BS36),'Dept. Cost Actuals'!BX626)</f>
        <v>166.66666666666671</v>
      </c>
      <c r="BU36" s="684">
        <f>IF(BU$4="forecast",AVERAGE(BI36:BT36),'Dept. Cost Actuals'!BY626)</f>
        <v>166.66666666666671</v>
      </c>
      <c r="BV36" s="808">
        <f>IF(BV$4="forecast",AVERAGE(BJ36:BU36),'Dept. Cost Actuals'!BZ626)</f>
        <v>166.66666666666671</v>
      </c>
    </row>
    <row r="37" spans="2:74" x14ac:dyDescent="0.35">
      <c r="B37" s="812" t="s">
        <v>929</v>
      </c>
      <c r="C37" s="684">
        <f>IF(C$4="forecast",AVERAGE(#REF!),'Dept. Cost Actuals'!G663)</f>
        <v>0</v>
      </c>
      <c r="D37" s="684">
        <f>IF(D$4="forecast",AVERAGE(#REF!),'Dept. Cost Actuals'!H663)</f>
        <v>4.4213231827025563</v>
      </c>
      <c r="E37" s="684">
        <f>IF(E$4="forecast",AVERAGE(#REF!),'Dept. Cost Actuals'!I663)</f>
        <v>4.675334782793569</v>
      </c>
      <c r="F37" s="684">
        <f>IF(F$4="forecast",AVERAGE(#REF!),'Dept. Cost Actuals'!J663)</f>
        <v>2.9214763159910189</v>
      </c>
      <c r="G37" s="684">
        <f>IF(G$4="forecast",AVERAGE(#REF!),'Dept. Cost Actuals'!K663)</f>
        <v>1.484214413354888</v>
      </c>
      <c r="H37" s="684">
        <f>IF(H$4="forecast",AVERAGE(#REF!),'Dept. Cost Actuals'!L663)</f>
        <v>0</v>
      </c>
      <c r="I37" s="684">
        <f>IF(I$4="forecast",AVERAGE(#REF!),'Dept. Cost Actuals'!M663)</f>
        <v>0.83167142453545451</v>
      </c>
      <c r="J37" s="684">
        <f>IF(J$4="forecast",AVERAGE(#REF!),'Dept. Cost Actuals'!N663)</f>
        <v>0</v>
      </c>
      <c r="K37" s="684">
        <f>IF(K$4="forecast",AVERAGE(#REF!),'Dept. Cost Actuals'!O663)</f>
        <v>0</v>
      </c>
      <c r="L37" s="684">
        <f>IF(L$4="forecast",AVERAGE(#REF!),'Dept. Cost Actuals'!P663)</f>
        <v>0.27843170185046623</v>
      </c>
      <c r="M37" s="684">
        <f>IF(M$4="forecast",AVERAGE(A37:L37),'Dept. Cost Actuals'!Q663)</f>
        <v>0</v>
      </c>
      <c r="N37" s="684">
        <f>IF(N$4="forecast",AVERAGE(B37:M37),'Dept. Cost Actuals'!R663)</f>
        <v>0</v>
      </c>
      <c r="O37" s="684">
        <f>IF(O$4="forecast",AVERAGE(C37:N37),'Dept. Cost Actuals'!S663)</f>
        <v>0</v>
      </c>
      <c r="P37" s="684">
        <f>IF(P$4="forecast",AVERAGE(D37:O37),'Dept. Cost Actuals'!T663)</f>
        <v>0</v>
      </c>
      <c r="Q37" s="684">
        <f>IF(Q$4="forecast",AVERAGE(E37:P37),'Dept. Cost Actuals'!U663)</f>
        <v>0</v>
      </c>
      <c r="R37" s="684">
        <f>IF(R$4="forecast",AVERAGE(F37:Q37),'Dept. Cost Actuals'!V663)</f>
        <v>0</v>
      </c>
      <c r="S37" s="684">
        <f>IF(S$4="forecast",AVERAGE(G37:R37),'Dept. Cost Actuals'!W663)</f>
        <v>0</v>
      </c>
      <c r="T37" s="684">
        <f>IF(T$4="forecast",AVERAGE(H37:S37),'Dept. Cost Actuals'!X663)</f>
        <v>0</v>
      </c>
      <c r="U37" s="684">
        <f>IF(U$4="forecast",AVERAGE(I37:T37),'Dept. Cost Actuals'!Y663)</f>
        <v>0</v>
      </c>
      <c r="V37" s="684">
        <f>IF(V$4="forecast",AVERAGE(J37:U37),'Dept. Cost Actuals'!Z663)</f>
        <v>0</v>
      </c>
      <c r="W37" s="684">
        <f>IF(W$4="forecast",AVERAGE(K37:V37),'Dept. Cost Actuals'!AA663)</f>
        <v>0</v>
      </c>
      <c r="X37" s="684">
        <f>IF(X$4="forecast",AVERAGE(L37:W37),'Dept. Cost Actuals'!AB663)</f>
        <v>0</v>
      </c>
      <c r="Y37" s="684">
        <f>IF(Y$4="forecast",AVERAGE(M37:X37),'Dept. Cost Actuals'!AC663)</f>
        <v>0</v>
      </c>
      <c r="Z37" s="684">
        <f>IF(Z$4="forecast",AVERAGE(N37:Y37),'Dept. Cost Actuals'!AD663)</f>
        <v>0</v>
      </c>
      <c r="AA37" s="684">
        <f>IF(AA$4="forecast",AVERAGE(O37:Z37),'Dept. Cost Actuals'!AE663)</f>
        <v>0</v>
      </c>
      <c r="AB37" s="684">
        <f>IF(AB$4="forecast",AVERAGE(P37:AA37),'Dept. Cost Actuals'!AF663)</f>
        <v>0</v>
      </c>
      <c r="AC37" s="684">
        <f>IF(AC$4="forecast",AVERAGE(Q37:AB37),'Dept. Cost Actuals'!AG663)</f>
        <v>0</v>
      </c>
      <c r="AD37" s="684">
        <f>IF(AD$4="forecast",AVERAGE(R37:AC37),'Dept. Cost Actuals'!AH663)</f>
        <v>0</v>
      </c>
      <c r="AE37" s="684">
        <f>IF(AE$4="forecast",AVERAGE(S37:AD37),'Dept. Cost Actuals'!AI663)</f>
        <v>0</v>
      </c>
      <c r="AF37" s="684">
        <f>IF(AF$4="forecast",AVERAGE(T37:AE37),'Dept. Cost Actuals'!AJ663)</f>
        <v>0</v>
      </c>
      <c r="AG37" s="684">
        <f>IF(AG$4="forecast",AVERAGE(U37:AF37),'Dept. Cost Actuals'!AK663)</f>
        <v>0</v>
      </c>
      <c r="AH37" s="684">
        <f>IF(AH$4="forecast",AVERAGE(V37:AG37),'Dept. Cost Actuals'!AL663)</f>
        <v>0</v>
      </c>
      <c r="AI37" s="684">
        <f>IF(AI$4="forecast",AVERAGE(W37:AH37),'Dept. Cost Actuals'!AM663)</f>
        <v>0</v>
      </c>
      <c r="AJ37" s="684">
        <f>IF(AJ$4="forecast",AVERAGE(X37:AI37),'Dept. Cost Actuals'!AN663)</f>
        <v>0</v>
      </c>
      <c r="AK37" s="684">
        <f>IF(AK$4="forecast",AVERAGE(Y37:AJ37),'Dept. Cost Actuals'!AO663)</f>
        <v>0</v>
      </c>
      <c r="AL37" s="684">
        <f>IF(AL$4="forecast",AVERAGE(Z37:AK37),'Dept. Cost Actuals'!AP663)</f>
        <v>0</v>
      </c>
      <c r="AM37" s="684">
        <f>IF(AM$4="forecast",AVERAGE(AA37:AL37),'Dept. Cost Actuals'!AQ663)</f>
        <v>0</v>
      </c>
      <c r="AN37" s="684">
        <f>IF(AN$4="forecast",AVERAGE(AB37:AM37),'Dept. Cost Actuals'!AR663)</f>
        <v>0</v>
      </c>
      <c r="AO37" s="684">
        <f>IF(AO$4="forecast",AVERAGE(AC37:AN37),'Dept. Cost Actuals'!AS663)</f>
        <v>0</v>
      </c>
      <c r="AP37" s="684">
        <f>IF(AP$4="forecast",AVERAGE(AD37:AO37),'Dept. Cost Actuals'!AT663)</f>
        <v>0</v>
      </c>
      <c r="AQ37" s="684">
        <f>IF(AQ$4="forecast",AVERAGE(AE37:AP37),'Dept. Cost Actuals'!AU663)</f>
        <v>0</v>
      </c>
      <c r="AR37" s="684">
        <f>IF(AR$4="forecast",AVERAGE(AF37:AQ37),'Dept. Cost Actuals'!AV663)</f>
        <v>0</v>
      </c>
      <c r="AS37" s="684">
        <f>IF(AS$4="forecast",AVERAGE(AG37:AR37),'Dept. Cost Actuals'!AW663)</f>
        <v>0</v>
      </c>
      <c r="AT37" s="684">
        <f>IF(AT$4="forecast",AVERAGE(AH37:AS37),'Dept. Cost Actuals'!AX663)</f>
        <v>0</v>
      </c>
      <c r="AU37" s="684">
        <f>IF(AU$4="forecast",AVERAGE(AI37:AT37),'Dept. Cost Actuals'!AY663)</f>
        <v>0</v>
      </c>
      <c r="AV37" s="684">
        <f>IF(AV$4="forecast",AVERAGE(AJ37:AU37),'Dept. Cost Actuals'!AZ663)</f>
        <v>0</v>
      </c>
      <c r="AW37" s="684">
        <f>IF(AW$4="forecast",AVERAGE(AK37:AV37),'Dept. Cost Actuals'!BA663)</f>
        <v>0</v>
      </c>
      <c r="AX37" s="684">
        <f>IF(AX$4="forecast",AVERAGE(AL37:AW37),'Dept. Cost Actuals'!BB663)</f>
        <v>0</v>
      </c>
      <c r="AY37" s="684">
        <f>IF(AY$4="forecast",AVERAGE(AM37:AX37),'Dept. Cost Actuals'!BC663)</f>
        <v>0</v>
      </c>
      <c r="AZ37" s="684">
        <f>IF(AZ$4="forecast",AVERAGE(AN37:AY37),'Dept. Cost Actuals'!BD663)</f>
        <v>0</v>
      </c>
      <c r="BA37" s="684">
        <f>IF(BA$4="forecast",AVERAGE(AO37:AZ37),'Dept. Cost Actuals'!BE663)</f>
        <v>0</v>
      </c>
      <c r="BB37" s="684">
        <f>IF(BB$4="forecast",AVERAGE(AP37:BA37),'Dept. Cost Actuals'!BF663)</f>
        <v>0</v>
      </c>
      <c r="BC37" s="684">
        <f>IF(BC$4="forecast",AVERAGE(AQ37:BB37),'Dept. Cost Actuals'!BG663)</f>
        <v>0</v>
      </c>
      <c r="BD37" s="684">
        <f>IF(BD$4="forecast",AVERAGE(AR37:BC37),'Dept. Cost Actuals'!BH663)</f>
        <v>0</v>
      </c>
      <c r="BE37" s="684">
        <f>IF(BE$4="forecast",AVERAGE(AS37:BD37),'Dept. Cost Actuals'!BI663)</f>
        <v>0</v>
      </c>
      <c r="BF37" s="684">
        <f>IF(BF$4="forecast",AVERAGE(AT37:BE37),'Dept. Cost Actuals'!BJ663)</f>
        <v>0</v>
      </c>
      <c r="BG37" s="684">
        <f>IF(BG$4="forecast",AVERAGE(AU37:BF37),'Dept. Cost Actuals'!BK663)</f>
        <v>0</v>
      </c>
      <c r="BH37" s="684">
        <f>IF(BH$4="forecast",AVERAGE(AV37:BG37),'Dept. Cost Actuals'!BL663)</f>
        <v>0</v>
      </c>
      <c r="BI37" s="684">
        <f>IF(BI$4="forecast",AVERAGE(AW37:BH37),'Dept. Cost Actuals'!BM663)</f>
        <v>0</v>
      </c>
      <c r="BJ37" s="684">
        <f>IF(BJ$4="forecast",AVERAGE(AX37:BI37),'Dept. Cost Actuals'!BN663)</f>
        <v>0</v>
      </c>
      <c r="BK37" s="684">
        <f>IF(BK$4="forecast",AVERAGE(AY37:BJ37),'Dept. Cost Actuals'!BO663)</f>
        <v>0</v>
      </c>
      <c r="BL37" s="684">
        <f>IF(BL$4="forecast",AVERAGE(AZ37:BK37),'Dept. Cost Actuals'!BP663)</f>
        <v>0</v>
      </c>
      <c r="BM37" s="684">
        <f>IF(BM$4="forecast",AVERAGE(BA37:BL37),'Dept. Cost Actuals'!BQ663)</f>
        <v>0</v>
      </c>
      <c r="BN37" s="684">
        <f>IF(BN$4="forecast",AVERAGE(BB37:BM37),'Dept. Cost Actuals'!BR663)</f>
        <v>0</v>
      </c>
      <c r="BO37" s="684">
        <f>IF(BO$4="forecast",AVERAGE(BC37:BN37),'Dept. Cost Actuals'!BS663)</f>
        <v>0</v>
      </c>
      <c r="BP37" s="684">
        <f>IF(BP$4="forecast",AVERAGE(BD37:BO37),'Dept. Cost Actuals'!BT663)</f>
        <v>0</v>
      </c>
      <c r="BQ37" s="684">
        <f>IF(BQ$4="forecast",AVERAGE(BE37:BP37),'Dept. Cost Actuals'!BU663)</f>
        <v>0</v>
      </c>
      <c r="BR37" s="684">
        <f>IF(BR$4="forecast",AVERAGE(BF37:BQ37),'Dept. Cost Actuals'!BV663)</f>
        <v>0</v>
      </c>
      <c r="BS37" s="684">
        <f>IF(BS$4="forecast",AVERAGE(BG37:BR37),'Dept. Cost Actuals'!BW663)</f>
        <v>0</v>
      </c>
      <c r="BT37" s="684">
        <f>IF(BT$4="forecast",AVERAGE(BH37:BS37),'Dept. Cost Actuals'!BX663)</f>
        <v>0</v>
      </c>
      <c r="BU37" s="684">
        <f>IF(BU$4="forecast",AVERAGE(BI37:BT37),'Dept. Cost Actuals'!BY663)</f>
        <v>0</v>
      </c>
      <c r="BV37" s="808">
        <f>IF(BV$4="forecast",AVERAGE(BJ37:BU37),'Dept. Cost Actuals'!BZ663)</f>
        <v>0</v>
      </c>
    </row>
    <row r="38" spans="2:74" x14ac:dyDescent="0.35">
      <c r="B38" s="812" t="s">
        <v>951</v>
      </c>
      <c r="C38" s="684">
        <f>IF(C$4="forecast",AVERAGE(#REF!),'Dept. Cost Actuals'!G553)</f>
        <v>2.0658341015727122</v>
      </c>
      <c r="D38" s="684">
        <f>IF(D$4="forecast",AVERAGE(#REF!),'Dept. Cost Actuals'!H553)</f>
        <v>3.2723532194503897</v>
      </c>
      <c r="E38" s="684">
        <f>IF(E$4="forecast",AVERAGE(#REF!),'Dept. Cost Actuals'!I553)</f>
        <v>0.45799197872263536</v>
      </c>
      <c r="F38" s="684">
        <f>IF(F$4="forecast",AVERAGE(#REF!),'Dept. Cost Actuals'!J553)</f>
        <v>0.3505771579189223</v>
      </c>
      <c r="G38" s="684">
        <f>IF(G$4="forecast",AVERAGE(#REF!),'Dept. Cost Actuals'!K553)</f>
        <v>4.1717842049221243</v>
      </c>
      <c r="H38" s="684">
        <f>IF(H$4="forecast",AVERAGE(#REF!),'Dept. Cost Actuals'!L553)</f>
        <v>0</v>
      </c>
      <c r="I38" s="684">
        <f>IF(I$4="forecast",AVERAGE(#REF!),'Dept. Cost Actuals'!M553)</f>
        <v>0</v>
      </c>
      <c r="J38" s="684">
        <f>IF(J$4="forecast",AVERAGE(#REF!),'Dept. Cost Actuals'!N553)</f>
        <v>1.2524007375163888</v>
      </c>
      <c r="K38" s="684">
        <f>IF(K$4="forecast",AVERAGE(#REF!),'Dept. Cost Actuals'!O553)</f>
        <v>0</v>
      </c>
      <c r="L38" s="684">
        <f>IF(L$4="forecast",AVERAGE(#REF!),'Dept. Cost Actuals'!P553)</f>
        <v>17.595824655165014</v>
      </c>
      <c r="M38" s="684">
        <f>IF(M$4="forecast",AVERAGE(A38:L38),'Dept. Cost Actuals'!Q553)</f>
        <v>0</v>
      </c>
      <c r="N38" s="684">
        <f>IF(N$4="forecast",AVERAGE(B38:M38),'Dept. Cost Actuals'!R553)</f>
        <v>0</v>
      </c>
      <c r="O38" s="684">
        <f>IF(O$4="forecast",AVERAGE(C38:N38),'Dept. Cost Actuals'!S553)</f>
        <v>0</v>
      </c>
      <c r="P38" s="684">
        <f>IF(P$4="forecast",AVERAGE(D38:O38),'Dept. Cost Actuals'!T553)</f>
        <v>420</v>
      </c>
      <c r="Q38" s="684">
        <f>IF(Q$4="forecast",AVERAGE(E38:P38),'Dept. Cost Actuals'!U553)</f>
        <v>0</v>
      </c>
      <c r="R38" s="684">
        <f>IF(R$4="forecast",AVERAGE(F38:Q38),'Dept. Cost Actuals'!V553)</f>
        <v>125</v>
      </c>
      <c r="S38" s="684">
        <f>IF(S$4="forecast",AVERAGE(G38:R38),'Dept. Cost Actuals'!W553)</f>
        <v>0</v>
      </c>
      <c r="T38" s="684">
        <f>IF(T$4="forecast",AVERAGE(H38:S38),'Dept. Cost Actuals'!X553)</f>
        <v>125</v>
      </c>
      <c r="U38" s="684">
        <f>IF(U$4="forecast",AVERAGE(I38:T38),'Dept. Cost Actuals'!Y553)</f>
        <v>125</v>
      </c>
      <c r="V38" s="684">
        <f>IF(V$4="forecast",AVERAGE(J38:U38),'Dept. Cost Actuals'!Z553)</f>
        <v>125</v>
      </c>
      <c r="W38" s="684">
        <f>IF(W$4="forecast",AVERAGE(K38:V38),'Dept. Cost Actuals'!AA553)</f>
        <v>125</v>
      </c>
      <c r="X38" s="684">
        <f>IF(X$4="forecast",AVERAGE(L38:W38),'Dept. Cost Actuals'!AB553)</f>
        <v>0</v>
      </c>
      <c r="Y38" s="684">
        <f>IF(Y$4="forecast",AVERAGE(M38:X38),'Dept. Cost Actuals'!AC553)</f>
        <v>0</v>
      </c>
      <c r="Z38" s="684">
        <f>IF(Z$4="forecast",AVERAGE(N38:Y38),'Dept. Cost Actuals'!AD553)</f>
        <v>45</v>
      </c>
      <c r="AA38" s="684">
        <f>IF(AA$4="forecast",AVERAGE(O38:Z38),'Dept. Cost Actuals'!AE553)</f>
        <v>90.833333333333329</v>
      </c>
      <c r="AB38" s="684">
        <f>IF(AB$4="forecast",AVERAGE(P38:AA38),'Dept. Cost Actuals'!AF553)</f>
        <v>98.402777777777771</v>
      </c>
      <c r="AC38" s="684">
        <f>IF(AC$4="forecast",AVERAGE(Q38:AB38),'Dept. Cost Actuals'!AG553)</f>
        <v>71.603009259259252</v>
      </c>
      <c r="AD38" s="684">
        <f>IF(AD$4="forecast",AVERAGE(R38:AC38),'Dept. Cost Actuals'!AH553)</f>
        <v>77.56992669753086</v>
      </c>
      <c r="AE38" s="684">
        <f>IF(AE$4="forecast",AVERAGE(S38:AD38),'Dept. Cost Actuals'!AI553)</f>
        <v>73.617420588991763</v>
      </c>
      <c r="AF38" s="684">
        <f>IF(AF$4="forecast",AVERAGE(T38:AE38),'Dept. Cost Actuals'!AJ553)</f>
        <v>79.752205638074415</v>
      </c>
      <c r="AG38" s="684">
        <f>IF(AG$4="forecast",AVERAGE(U38:AF38),'Dept. Cost Actuals'!AK553)</f>
        <v>75.981556107913946</v>
      </c>
      <c r="AH38" s="684">
        <f>IF(AH$4="forecast",AVERAGE(V38:AG38),'Dept. Cost Actuals'!AL553)</f>
        <v>71.896685783573446</v>
      </c>
      <c r="AI38" s="684">
        <f>IF(AI$4="forecast",AVERAGE(W38:AH38),'Dept. Cost Actuals'!AM553)</f>
        <v>67.471409598871233</v>
      </c>
      <c r="AJ38" s="684">
        <f>IF(AJ$4="forecast",AVERAGE(X38:AI38),'Dept. Cost Actuals'!AN553)</f>
        <v>62.677360398777175</v>
      </c>
      <c r="AK38" s="684">
        <f>IF(AK$4="forecast",AVERAGE(Y38:AJ38),'Dept. Cost Actuals'!AO553)</f>
        <v>67.900473765341943</v>
      </c>
      <c r="AL38" s="684">
        <f>IF(AL$4="forecast",AVERAGE(Z38:AK38),'Dept. Cost Actuals'!AP553)</f>
        <v>73.558846579120441</v>
      </c>
      <c r="AM38" s="684">
        <f>IF(AM$4="forecast",AVERAGE(AA38:AL38),'Dept. Cost Actuals'!AQ553)</f>
        <v>75.938750460713806</v>
      </c>
      <c r="AN38" s="684">
        <f>IF(AN$4="forecast",AVERAGE(AB38:AM38),'Dept. Cost Actuals'!AR553)</f>
        <v>74.697535221328835</v>
      </c>
      <c r="AO38" s="684">
        <f>IF(AO$4="forecast",AVERAGE(AC38:AN38),'Dept. Cost Actuals'!AS553)</f>
        <v>72.722098341624772</v>
      </c>
      <c r="AP38" s="684">
        <f>IF(AP$4="forecast",AVERAGE(AD38:AO38),'Dept. Cost Actuals'!AT553)</f>
        <v>72.815355765155218</v>
      </c>
      <c r="AQ38" s="684">
        <f>IF(AQ$4="forecast",AVERAGE(AE38:AP38),'Dept. Cost Actuals'!AU553)</f>
        <v>72.419141520790589</v>
      </c>
      <c r="AR38" s="684">
        <f>IF(AR$4="forecast",AVERAGE(AF38:AQ38),'Dept. Cost Actuals'!AV553)</f>
        <v>72.319284931773822</v>
      </c>
      <c r="AS38" s="684">
        <f>IF(AS$4="forecast",AVERAGE(AG38:AR38),'Dept. Cost Actuals'!AW553)</f>
        <v>71.699874872915444</v>
      </c>
      <c r="AT38" s="684">
        <f>IF(AT$4="forecast",AVERAGE(AH38:AS38),'Dept. Cost Actuals'!AX553)</f>
        <v>71.343068103332229</v>
      </c>
      <c r="AU38" s="684">
        <f>IF(AU$4="forecast",AVERAGE(AI38:AT38),'Dept. Cost Actuals'!AY553)</f>
        <v>71.296933296645463</v>
      </c>
      <c r="AV38" s="684">
        <f>IF(AV$4="forecast",AVERAGE(AJ38:AU38),'Dept. Cost Actuals'!AZ553)</f>
        <v>71.615726938126642</v>
      </c>
      <c r="AW38" s="684">
        <f>IF(AW$4="forecast",AVERAGE(AK38:AV38),'Dept. Cost Actuals'!BA553)</f>
        <v>72.360590816405761</v>
      </c>
      <c r="AX38" s="684">
        <f>IF(AX$4="forecast",AVERAGE(AL38:AW38),'Dept. Cost Actuals'!BB553)</f>
        <v>72.732267237327747</v>
      </c>
      <c r="AY38" s="684">
        <f>IF(AY$4="forecast",AVERAGE(AM38:AX38),'Dept. Cost Actuals'!BC553)</f>
        <v>72.66338562551168</v>
      </c>
      <c r="AZ38" s="684">
        <f>IF(AZ$4="forecast",AVERAGE(AN38:AY38),'Dept. Cost Actuals'!BD553)</f>
        <v>72.390438555911501</v>
      </c>
      <c r="BA38" s="684">
        <f>IF(BA$4="forecast",AVERAGE(AO38:AZ38),'Dept. Cost Actuals'!BE553)</f>
        <v>72.198180500460069</v>
      </c>
      <c r="BB38" s="684">
        <f>IF(BB$4="forecast",AVERAGE(AP38:BA38),'Dept. Cost Actuals'!BF553)</f>
        <v>72.154520680363021</v>
      </c>
      <c r="BC38" s="684">
        <f>IF(BC$4="forecast",AVERAGE(AQ38:BB38),'Dept. Cost Actuals'!BG553)</f>
        <v>72.099451089963665</v>
      </c>
      <c r="BD38" s="684">
        <f>IF(BD$4="forecast",AVERAGE(AR38:BC38),'Dept. Cost Actuals'!BH553)</f>
        <v>72.072810220728073</v>
      </c>
      <c r="BE38" s="684">
        <f>IF(BE$4="forecast",AVERAGE(AS38:BD38),'Dept. Cost Actuals'!BI553)</f>
        <v>72.052270661474282</v>
      </c>
      <c r="BF38" s="684">
        <f>IF(BF$4="forecast",AVERAGE(AT38:BE38),'Dept. Cost Actuals'!BJ553)</f>
        <v>72.0816369771875</v>
      </c>
      <c r="BG38" s="684">
        <f>IF(BG$4="forecast",AVERAGE(AU38:BF38),'Dept. Cost Actuals'!BK553)</f>
        <v>72.143184383342117</v>
      </c>
      <c r="BH38" s="684">
        <f>IF(BH$4="forecast",AVERAGE(AV38:BG38),'Dept. Cost Actuals'!BL553)</f>
        <v>72.213705307233511</v>
      </c>
      <c r="BI38" s="684">
        <f>IF(BI$4="forecast",AVERAGE(AW38:BH38),'Dept. Cost Actuals'!BM553)</f>
        <v>72.263536837992419</v>
      </c>
      <c r="BJ38" s="684">
        <f>IF(BJ$4="forecast",AVERAGE(AX38:BI38),'Dept. Cost Actuals'!BN553)</f>
        <v>72.255449006457965</v>
      </c>
      <c r="BK38" s="684">
        <f>IF(BK$4="forecast",AVERAGE(AY38:BJ38),'Dept. Cost Actuals'!BO553)</f>
        <v>72.215714153885486</v>
      </c>
      <c r="BL38" s="684">
        <f>IF(BL$4="forecast",AVERAGE(AZ38:BK38),'Dept. Cost Actuals'!BP553)</f>
        <v>72.178408197916639</v>
      </c>
      <c r="BM38" s="684">
        <f>IF(BM$4="forecast",AVERAGE(BA38:BL38),'Dept. Cost Actuals'!BQ553)</f>
        <v>72.16073900141707</v>
      </c>
      <c r="BN38" s="684">
        <f>IF(BN$4="forecast",AVERAGE(BB38:BM38),'Dept. Cost Actuals'!BR553)</f>
        <v>72.157618876496812</v>
      </c>
      <c r="BO38" s="684">
        <f>IF(BO$4="forecast",AVERAGE(BC38:BN38),'Dept. Cost Actuals'!BS553)</f>
        <v>72.157877059507953</v>
      </c>
      <c r="BP38" s="684">
        <f>IF(BP$4="forecast",AVERAGE(BD38:BO38),'Dept. Cost Actuals'!BT553)</f>
        <v>72.162745890303327</v>
      </c>
      <c r="BQ38" s="684">
        <f>IF(BQ$4="forecast",AVERAGE(BE38:BP38),'Dept. Cost Actuals'!BU553)</f>
        <v>72.170240529434594</v>
      </c>
      <c r="BR38" s="684">
        <f>IF(BR$4="forecast",AVERAGE(BF38:BQ38),'Dept. Cost Actuals'!BV553)</f>
        <v>72.180071351764624</v>
      </c>
      <c r="BS38" s="684">
        <f>IF(BS$4="forecast",AVERAGE(BG38:BR38),'Dept. Cost Actuals'!BW553)</f>
        <v>72.188274216312706</v>
      </c>
      <c r="BT38" s="684">
        <f>IF(BT$4="forecast",AVERAGE(BH38:BS38),'Dept. Cost Actuals'!BX553)</f>
        <v>72.192031702393592</v>
      </c>
      <c r="BU38" s="684">
        <f>IF(BU$4="forecast",AVERAGE(BI38:BT38),'Dept. Cost Actuals'!BY553)</f>
        <v>72.190225568656942</v>
      </c>
      <c r="BV38" s="808">
        <f>IF(BV$4="forecast",AVERAGE(BJ38:BU38),'Dept. Cost Actuals'!BZ553)</f>
        <v>72.184116296212309</v>
      </c>
    </row>
    <row r="39" spans="2:74" x14ac:dyDescent="0.35">
      <c r="B39" s="816" t="s">
        <v>952</v>
      </c>
      <c r="C39" s="810">
        <f>IF(C$4="forecast",AVERAGE(#REF!),'Dept. Cost Actuals'!G590)</f>
        <v>0</v>
      </c>
      <c r="D39" s="810">
        <f>IF(D$4="forecast",AVERAGE(#REF!),'Dept. Cost Actuals'!H590)</f>
        <v>0</v>
      </c>
      <c r="E39" s="810">
        <f>IF(E$4="forecast",AVERAGE(#REF!),'Dept. Cost Actuals'!I590)</f>
        <v>0</v>
      </c>
      <c r="F39" s="810">
        <f>IF(F$4="forecast",AVERAGE(#REF!),'Dept. Cost Actuals'!J590)</f>
        <v>0</v>
      </c>
      <c r="G39" s="810">
        <f>IF(G$4="forecast",AVERAGE(#REF!),'Dept. Cost Actuals'!K590)</f>
        <v>0.27441982799536996</v>
      </c>
      <c r="H39" s="810">
        <f>IF(H$4="forecast",AVERAGE(#REF!),'Dept. Cost Actuals'!L590)</f>
        <v>5.6733079955413048</v>
      </c>
      <c r="I39" s="810">
        <f>IF(I$4="forecast",AVERAGE(#REF!),'Dept. Cost Actuals'!M590)</f>
        <v>6.0736132462399706</v>
      </c>
      <c r="J39" s="810">
        <f>IF(J$4="forecast",AVERAGE(#REF!),'Dept. Cost Actuals'!N590)</f>
        <v>0.10008725559231391</v>
      </c>
      <c r="K39" s="810">
        <f>IF(K$4="forecast",AVERAGE(#REF!),'Dept. Cost Actuals'!O590)</f>
        <v>0</v>
      </c>
      <c r="L39" s="810">
        <f>IF(L$4="forecast",AVERAGE(#REF!),'Dept. Cost Actuals'!P590)</f>
        <v>49.537711204222305</v>
      </c>
      <c r="M39" s="810">
        <f>IF(M$4="forecast",AVERAGE(A39:L39),'Dept. Cost Actuals'!Q590)</f>
        <v>6.3128919071353709</v>
      </c>
      <c r="N39" s="810">
        <f>IF(N$4="forecast",AVERAGE(B39:M39),'Dept. Cost Actuals'!R590)</f>
        <v>25.999522044540686</v>
      </c>
      <c r="O39" s="810">
        <f>IF(O$4="forecast",AVERAGE(C39:N39),'Dept. Cost Actuals'!S590)</f>
        <v>3803.8</v>
      </c>
      <c r="P39" s="810">
        <f>IF(P$4="forecast",AVERAGE(D39:O39),'Dept. Cost Actuals'!T590)</f>
        <v>3803.8</v>
      </c>
      <c r="Q39" s="810">
        <f>IF(Q$4="forecast",AVERAGE(E39:P39),'Dept. Cost Actuals'!U590)</f>
        <v>0</v>
      </c>
      <c r="R39" s="810">
        <f>IF(R$4="forecast",AVERAGE(F39:Q39),'Dept. Cost Actuals'!V590)</f>
        <v>0</v>
      </c>
      <c r="S39" s="810">
        <f>IF(S$4="forecast",AVERAGE(G39:R39),'Dept. Cost Actuals'!W590)</f>
        <v>0</v>
      </c>
      <c r="T39" s="810">
        <f>IF(T$4="forecast",AVERAGE(H39:S39),'Dept. Cost Actuals'!X590)</f>
        <v>102.6</v>
      </c>
      <c r="U39" s="810">
        <f>IF(U$4="forecast",AVERAGE(I39:T39),'Dept. Cost Actuals'!Y590)</f>
        <v>0</v>
      </c>
      <c r="V39" s="810">
        <f>IF(V$4="forecast",AVERAGE(J39:U39),'Dept. Cost Actuals'!Z590)</f>
        <v>0</v>
      </c>
      <c r="W39" s="810">
        <f>IF(W$4="forecast",AVERAGE(K39:V39),'Dept. Cost Actuals'!AA590)</f>
        <v>-3619.17</v>
      </c>
      <c r="X39" s="810">
        <f>IF(X$4="forecast",AVERAGE(L39:W39),'Dept. Cost Actuals'!AB590)</f>
        <v>0</v>
      </c>
      <c r="Y39" s="810">
        <f>IF(Y$4="forecast",AVERAGE(M39:X39),'Dept. Cost Actuals'!AC590)</f>
        <v>0</v>
      </c>
      <c r="Z39" s="810">
        <f>IF(Z$4="forecast",AVERAGE(N39:Y39),'Dept. Cost Actuals'!AD590)</f>
        <v>0</v>
      </c>
      <c r="AA39" s="810">
        <f>IF(AA$4="forecast",SUM($O$39:$Z$39)/12+4200,'Dept. Cost Actuals'!AE590)</f>
        <v>4540.9191666666666</v>
      </c>
      <c r="AB39" s="810">
        <f>IF(AB$4="forecast",SUM($O$39:$Z$39)/12+4200,'Dept. Cost Actuals'!AF590)</f>
        <v>4540.9191666666666</v>
      </c>
      <c r="AC39" s="810">
        <f>IF(AC$4="forecast",SUM($O$39:$Z$39)/12+4200,'Dept. Cost Actuals'!AG590)</f>
        <v>4540.9191666666666</v>
      </c>
      <c r="AD39" s="810">
        <f>IF(AD$4="forecast",SUM($O$39:$Z$39)/12+4200,'Dept. Cost Actuals'!AH590)</f>
        <v>4540.9191666666666</v>
      </c>
      <c r="AE39" s="810">
        <f>IF(AE$4="forecast",SUM($O$39:$Z$39)/12+4200,'Dept. Cost Actuals'!AI590)</f>
        <v>4540.9191666666666</v>
      </c>
      <c r="AF39" s="810">
        <f>IF(AF$4="forecast",SUM($O$39:$Z$39)/12+4200,'Dept. Cost Actuals'!AJ590)</f>
        <v>4540.9191666666666</v>
      </c>
      <c r="AG39" s="810">
        <f>IF(AG$4="forecast",SUM($O$39:$Z$39)/12+4200,'Dept. Cost Actuals'!AK590)</f>
        <v>4540.9191666666666</v>
      </c>
      <c r="AH39" s="810">
        <f>IF(AH$4="forecast",SUM($O$39:$Z$39)/12+4200,'Dept. Cost Actuals'!AL590)</f>
        <v>4540.9191666666666</v>
      </c>
      <c r="AI39" s="810">
        <f>IF(AI$4="forecast",SUM($O$39:$Z$39)/12+4200,'Dept. Cost Actuals'!AM590)</f>
        <v>4540.9191666666666</v>
      </c>
      <c r="AJ39" s="810">
        <f>IF(AJ$4="forecast",SUM($O$39:$Z$39)/12+4200,'Dept. Cost Actuals'!AN590)</f>
        <v>4540.9191666666666</v>
      </c>
      <c r="AK39" s="810">
        <f>IF(AK$4="forecast",SUM($O$39:$Z$39)/12+4200,'Dept. Cost Actuals'!AO590)</f>
        <v>4540.9191666666666</v>
      </c>
      <c r="AL39" s="810">
        <f>IF(AL$4="forecast",SUM($O$39:$Z$39)/12+4200,'Dept. Cost Actuals'!AP590)</f>
        <v>4540.9191666666666</v>
      </c>
      <c r="AM39" s="810">
        <f>IF(AM$4="forecast",AVERAGE(AA39:AL39),'Dept. Cost Actuals'!AQ590)</f>
        <v>4540.9191666666666</v>
      </c>
      <c r="AN39" s="810">
        <f>IF(AN$4="forecast",AVERAGE(AB39:AM39),'Dept. Cost Actuals'!AR590)</f>
        <v>4540.9191666666666</v>
      </c>
      <c r="AO39" s="810">
        <f>IF(AO$4="forecast",AVERAGE(AC39:AN39),'Dept. Cost Actuals'!AS590)</f>
        <v>4540.9191666666666</v>
      </c>
      <c r="AP39" s="810">
        <f>IF(AP$4="forecast",AVERAGE(AD39:AO39),'Dept. Cost Actuals'!AT590)</f>
        <v>4540.9191666666666</v>
      </c>
      <c r="AQ39" s="810">
        <f>IF(AQ$4="forecast",AVERAGE(AE39:AP39),'Dept. Cost Actuals'!AU590)</f>
        <v>4540.9191666666666</v>
      </c>
      <c r="AR39" s="810">
        <f>IF(AR$4="forecast",AVERAGE(AF39:AQ39),'Dept. Cost Actuals'!AV590)</f>
        <v>4540.9191666666666</v>
      </c>
      <c r="AS39" s="810">
        <f>IF(AS$4="forecast",AVERAGE(AG39:AR39),'Dept. Cost Actuals'!AW590)</f>
        <v>4540.9191666666666</v>
      </c>
      <c r="AT39" s="810">
        <f>IF(AT$4="forecast",AVERAGE(AH39:AS39),'Dept. Cost Actuals'!AX590)</f>
        <v>4540.9191666666666</v>
      </c>
      <c r="AU39" s="810">
        <f>IF(AU$4="forecast",AVERAGE(AI39:AT39),'Dept. Cost Actuals'!AY590)</f>
        <v>4540.9191666666666</v>
      </c>
      <c r="AV39" s="810">
        <f>IF(AV$4="forecast",AVERAGE(AJ39:AU39),'Dept. Cost Actuals'!AZ590)</f>
        <v>4540.9191666666666</v>
      </c>
      <c r="AW39" s="810">
        <f>IF(AW$4="forecast",AVERAGE(AK39:AV39),'Dept. Cost Actuals'!BA590)</f>
        <v>4540.9191666666666</v>
      </c>
      <c r="AX39" s="810">
        <f>IF(AX$4="forecast",AVERAGE(AL39:AW39),'Dept. Cost Actuals'!BB590)</f>
        <v>4540.9191666666666</v>
      </c>
      <c r="AY39" s="810">
        <f>IF(AY$4="forecast",AVERAGE(AM39:AX39),'Dept. Cost Actuals'!BC590)</f>
        <v>4540.9191666666666</v>
      </c>
      <c r="AZ39" s="810">
        <f>IF(AZ$4="forecast",AVERAGE(AN39:AY39),'Dept. Cost Actuals'!BD590)</f>
        <v>4540.9191666666666</v>
      </c>
      <c r="BA39" s="810">
        <f>IF(BA$4="forecast",AVERAGE(AO39:AZ39),'Dept. Cost Actuals'!BE590)</f>
        <v>4540.9191666666666</v>
      </c>
      <c r="BB39" s="810">
        <f>IF(BB$4="forecast",AVERAGE(AP39:BA39),'Dept. Cost Actuals'!BF590)</f>
        <v>4540.9191666666666</v>
      </c>
      <c r="BC39" s="810">
        <f>IF(BC$4="forecast",AVERAGE(AQ39:BB39),'Dept. Cost Actuals'!BG590)</f>
        <v>4540.9191666666666</v>
      </c>
      <c r="BD39" s="810">
        <f>IF(BD$4="forecast",AVERAGE(AR39:BC39),'Dept. Cost Actuals'!BH590)</f>
        <v>4540.9191666666666</v>
      </c>
      <c r="BE39" s="810">
        <f>IF(BE$4="forecast",AVERAGE(AS39:BD39),'Dept. Cost Actuals'!BI590)</f>
        <v>4540.9191666666666</v>
      </c>
      <c r="BF39" s="810">
        <f>IF(BF$4="forecast",AVERAGE(AT39:BE39),'Dept. Cost Actuals'!BJ590)</f>
        <v>4540.9191666666666</v>
      </c>
      <c r="BG39" s="810">
        <f>IF(BG$4="forecast",AVERAGE(AU39:BF39),'Dept. Cost Actuals'!BK590)</f>
        <v>4540.9191666666666</v>
      </c>
      <c r="BH39" s="810">
        <f>IF(BH$4="forecast",AVERAGE(AV39:BG39),'Dept. Cost Actuals'!BL590)</f>
        <v>4540.9191666666666</v>
      </c>
      <c r="BI39" s="810">
        <f>IF(BI$4="forecast",AVERAGE(AW39:BH39),'Dept. Cost Actuals'!BM590)</f>
        <v>4540.9191666666666</v>
      </c>
      <c r="BJ39" s="810">
        <f>IF(BJ$4="forecast",AVERAGE(AX39:BI39),'Dept. Cost Actuals'!BN590)</f>
        <v>4540.9191666666666</v>
      </c>
      <c r="BK39" s="810">
        <f>IF(BK$4="forecast",AVERAGE(AY39:BJ39),'Dept. Cost Actuals'!BO590)</f>
        <v>4540.9191666666666</v>
      </c>
      <c r="BL39" s="810">
        <f>IF(BL$4="forecast",AVERAGE(AZ39:BK39),'Dept. Cost Actuals'!BP590)</f>
        <v>4540.9191666666666</v>
      </c>
      <c r="BM39" s="810">
        <f>IF(BM$4="forecast",AVERAGE(BA39:BL39),'Dept. Cost Actuals'!BQ590)</f>
        <v>4540.9191666666666</v>
      </c>
      <c r="BN39" s="810">
        <f>IF(BN$4="forecast",AVERAGE(BB39:BM39),'Dept. Cost Actuals'!BR590)</f>
        <v>4540.9191666666666</v>
      </c>
      <c r="BO39" s="810">
        <f>IF(BO$4="forecast",AVERAGE(BC39:BN39),'Dept. Cost Actuals'!BS590)</f>
        <v>4540.9191666666666</v>
      </c>
      <c r="BP39" s="810">
        <f>IF(BP$4="forecast",AVERAGE(BD39:BO39),'Dept. Cost Actuals'!BT590)</f>
        <v>4540.9191666666666</v>
      </c>
      <c r="BQ39" s="810">
        <f>IF(BQ$4="forecast",AVERAGE(BE39:BP39),'Dept. Cost Actuals'!BU590)</f>
        <v>4540.9191666666666</v>
      </c>
      <c r="BR39" s="810">
        <f>IF(BR$4="forecast",AVERAGE(BF39:BQ39),'Dept. Cost Actuals'!BV590)</f>
        <v>4540.9191666666666</v>
      </c>
      <c r="BS39" s="810">
        <f>IF(BS$4="forecast",AVERAGE(BG39:BR39),'Dept. Cost Actuals'!BW590)</f>
        <v>4540.9191666666666</v>
      </c>
      <c r="BT39" s="810">
        <f>IF(BT$4="forecast",AVERAGE(BH39:BS39),'Dept. Cost Actuals'!BX590)</f>
        <v>4540.9191666666666</v>
      </c>
      <c r="BU39" s="810">
        <f>IF(BU$4="forecast",AVERAGE(BI39:BT39),'Dept. Cost Actuals'!BY590)</f>
        <v>4540.9191666666666</v>
      </c>
      <c r="BV39" s="817">
        <f>IF(BV$4="forecast",AVERAGE(BJ39:BU39),'Dept. Cost Actuals'!BZ590)</f>
        <v>4540.9191666666666</v>
      </c>
    </row>
    <row r="40" spans="2:74" x14ac:dyDescent="0.35">
      <c r="B40" s="818" t="s">
        <v>953</v>
      </c>
      <c r="C40" s="819">
        <f>SUM(C29:C39,)</f>
        <v>82.72069912076725</v>
      </c>
      <c r="D40" s="819">
        <f t="shared" ref="D40:BO40" si="9">SUM(D29:D39,)</f>
        <v>66.719206189781985</v>
      </c>
      <c r="E40" s="819">
        <f t="shared" si="9"/>
        <v>101.4880646200734</v>
      </c>
      <c r="F40" s="819">
        <f t="shared" si="9"/>
        <v>46.672483107561924</v>
      </c>
      <c r="G40" s="819">
        <f t="shared" si="9"/>
        <v>19.3893432487782</v>
      </c>
      <c r="H40" s="819">
        <f t="shared" si="9"/>
        <v>148.23187747243989</v>
      </c>
      <c r="I40" s="819">
        <f t="shared" si="9"/>
        <v>344.18264485116288</v>
      </c>
      <c r="J40" s="819">
        <f t="shared" si="9"/>
        <v>425.19922068510124</v>
      </c>
      <c r="K40" s="819">
        <f t="shared" si="9"/>
        <v>350.01645941822488</v>
      </c>
      <c r="L40" s="819">
        <f t="shared" si="9"/>
        <v>348.40760947171992</v>
      </c>
      <c r="M40" s="819">
        <f t="shared" si="9"/>
        <v>622.51090478218748</v>
      </c>
      <c r="N40" s="819">
        <f t="shared" si="9"/>
        <v>173.32140407098402</v>
      </c>
      <c r="O40" s="819">
        <f t="shared" si="9"/>
        <v>4760.26</v>
      </c>
      <c r="P40" s="819">
        <f t="shared" si="9"/>
        <v>31203.24</v>
      </c>
      <c r="Q40" s="819">
        <f t="shared" si="9"/>
        <v>9706.0499999999993</v>
      </c>
      <c r="R40" s="819">
        <f t="shared" si="9"/>
        <v>4012.11</v>
      </c>
      <c r="S40" s="819">
        <f t="shared" si="9"/>
        <v>12899.98</v>
      </c>
      <c r="T40" s="819">
        <f t="shared" si="9"/>
        <v>1159.8499999999999</v>
      </c>
      <c r="U40" s="819">
        <f t="shared" si="9"/>
        <v>30066.45</v>
      </c>
      <c r="V40" s="819">
        <f t="shared" si="9"/>
        <v>17752.3</v>
      </c>
      <c r="W40" s="819">
        <f t="shared" si="9"/>
        <v>9178.58</v>
      </c>
      <c r="X40" s="819">
        <f t="shared" si="9"/>
        <v>61.5</v>
      </c>
      <c r="Y40" s="819">
        <f t="shared" si="9"/>
        <v>3467.94</v>
      </c>
      <c r="Z40" s="819">
        <f t="shared" si="9"/>
        <v>62127.65</v>
      </c>
      <c r="AA40" s="819">
        <f t="shared" si="9"/>
        <v>19859.166666666668</v>
      </c>
      <c r="AB40" s="819">
        <f t="shared" si="9"/>
        <v>21042.093402777773</v>
      </c>
      <c r="AC40" s="819">
        <f t="shared" si="9"/>
        <v>20128.349033564813</v>
      </c>
      <c r="AD40" s="819">
        <f t="shared" si="9"/>
        <v>20604.575133584105</v>
      </c>
      <c r="AE40" s="819">
        <f t="shared" si="9"/>
        <v>21597.103408605002</v>
      </c>
      <c r="AF40" s="819">
        <f t="shared" si="9"/>
        <v>21929.564873210969</v>
      </c>
      <c r="AG40" s="819">
        <f t="shared" si="9"/>
        <v>23276.625626534107</v>
      </c>
      <c r="AH40" s="819">
        <f t="shared" si="9"/>
        <v>22318.508109300848</v>
      </c>
      <c r="AI40" s="819">
        <f t="shared" si="9"/>
        <v>22320.189132298136</v>
      </c>
      <c r="AJ40" s="819">
        <f t="shared" si="9"/>
        <v>22721.42690721187</v>
      </c>
      <c r="AK40" s="819">
        <f t="shared" si="9"/>
        <v>24217.455330035078</v>
      </c>
      <c r="AL40" s="819">
        <f t="shared" si="9"/>
        <v>25570.857788093559</v>
      </c>
      <c r="AM40" s="819">
        <f t="shared" si="9"/>
        <v>22132.159617656918</v>
      </c>
      <c r="AN40" s="819">
        <f t="shared" si="9"/>
        <v>22321.575696906104</v>
      </c>
      <c r="AO40" s="819">
        <f t="shared" si="9"/>
        <v>22428.199221416795</v>
      </c>
      <c r="AP40" s="819">
        <f t="shared" si="9"/>
        <v>22619.85340373779</v>
      </c>
      <c r="AQ40" s="819">
        <f t="shared" si="9"/>
        <v>22787.79325958393</v>
      </c>
      <c r="AR40" s="819">
        <f t="shared" si="9"/>
        <v>22887.017413832174</v>
      </c>
      <c r="AS40" s="819">
        <f t="shared" si="9"/>
        <v>22966.805125550611</v>
      </c>
      <c r="AT40" s="819">
        <f t="shared" si="9"/>
        <v>22940.986750468652</v>
      </c>
      <c r="AU40" s="819">
        <f t="shared" si="9"/>
        <v>22992.859970565969</v>
      </c>
      <c r="AV40" s="819">
        <f t="shared" si="9"/>
        <v>23048.915873754951</v>
      </c>
      <c r="AW40" s="819">
        <f t="shared" si="9"/>
        <v>23076.206620966877</v>
      </c>
      <c r="AX40" s="819">
        <f t="shared" si="9"/>
        <v>22981.102561877859</v>
      </c>
      <c r="AY40" s="819">
        <f t="shared" si="9"/>
        <v>22765.289626359885</v>
      </c>
      <c r="AZ40" s="819">
        <f t="shared" si="9"/>
        <v>22818.050460418468</v>
      </c>
      <c r="BA40" s="819">
        <f t="shared" si="9"/>
        <v>22859.423357377833</v>
      </c>
      <c r="BB40" s="819">
        <f t="shared" si="9"/>
        <v>22895.358702041252</v>
      </c>
      <c r="BC40" s="819">
        <f t="shared" si="9"/>
        <v>22918.317476899872</v>
      </c>
      <c r="BD40" s="819">
        <f t="shared" si="9"/>
        <v>22929.194495009539</v>
      </c>
      <c r="BE40" s="819">
        <f t="shared" si="9"/>
        <v>22932.709251774315</v>
      </c>
      <c r="BF40" s="819">
        <f t="shared" si="9"/>
        <v>22929.867928959626</v>
      </c>
      <c r="BG40" s="819">
        <f t="shared" si="9"/>
        <v>22928.941360500536</v>
      </c>
      <c r="BH40" s="819">
        <f t="shared" si="9"/>
        <v>22923.614809661751</v>
      </c>
      <c r="BI40" s="819">
        <f t="shared" si="9"/>
        <v>22913.173054320647</v>
      </c>
      <c r="BJ40" s="819">
        <f t="shared" si="9"/>
        <v>22899.586923766794</v>
      </c>
      <c r="BK40" s="819">
        <f t="shared" si="9"/>
        <v>22892.793953924207</v>
      </c>
      <c r="BL40" s="819">
        <f t="shared" si="9"/>
        <v>22903.419314554565</v>
      </c>
      <c r="BM40" s="819">
        <f t="shared" si="9"/>
        <v>22910.533385732575</v>
      </c>
      <c r="BN40" s="819">
        <f t="shared" si="9"/>
        <v>22914.792554762138</v>
      </c>
      <c r="BO40" s="819">
        <f t="shared" si="9"/>
        <v>22916.412042488882</v>
      </c>
      <c r="BP40" s="819">
        <f t="shared" ref="BP40:BV40" si="10">SUM(BP29:BP39,)</f>
        <v>22916.253256287961</v>
      </c>
      <c r="BQ40" s="819">
        <f t="shared" si="10"/>
        <v>22915.174819727828</v>
      </c>
      <c r="BR40" s="819">
        <f t="shared" si="10"/>
        <v>22913.713617057292</v>
      </c>
      <c r="BS40" s="819">
        <f t="shared" si="10"/>
        <v>22912.367424398766</v>
      </c>
      <c r="BT40" s="819">
        <f t="shared" si="10"/>
        <v>22910.986263056948</v>
      </c>
      <c r="BU40" s="819">
        <f t="shared" si="10"/>
        <v>22909.933884173217</v>
      </c>
      <c r="BV40" s="820">
        <f t="shared" si="10"/>
        <v>22909.663953327603</v>
      </c>
    </row>
    <row r="41" spans="2:74" x14ac:dyDescent="0.35">
      <c r="B41" s="800"/>
      <c r="C41" s="157"/>
      <c r="D41" s="157"/>
      <c r="E41" s="157"/>
      <c r="F41" s="157"/>
      <c r="G41" s="157"/>
      <c r="H41" s="157"/>
      <c r="I41" s="157"/>
      <c r="J41" s="157"/>
      <c r="K41" s="157"/>
      <c r="L41" s="157"/>
      <c r="M41" s="157"/>
      <c r="N41" s="157"/>
      <c r="O41" s="157"/>
      <c r="P41" s="157"/>
      <c r="Q41" s="157"/>
      <c r="R41" s="157"/>
      <c r="S41" s="157"/>
      <c r="T41" s="157"/>
      <c r="U41" s="157"/>
      <c r="V41" s="157"/>
      <c r="W41" s="157"/>
      <c r="X41" s="157"/>
      <c r="Y41" s="157"/>
      <c r="Z41" s="157"/>
      <c r="AA41" s="157"/>
      <c r="AB41" s="157"/>
      <c r="AC41" s="157"/>
      <c r="AD41" s="157"/>
      <c r="AE41" s="157"/>
      <c r="AF41" s="157"/>
      <c r="AG41" s="157"/>
      <c r="AH41" s="157"/>
      <c r="AI41" s="157"/>
      <c r="AJ41" s="157"/>
      <c r="AK41" s="157"/>
      <c r="AL41" s="157"/>
      <c r="AM41" s="157"/>
      <c r="AN41" s="157"/>
      <c r="AO41" s="157"/>
      <c r="AP41" s="157"/>
      <c r="AQ41" s="157"/>
      <c r="AR41" s="157"/>
      <c r="AS41" s="157"/>
      <c r="AT41" s="157"/>
      <c r="AU41" s="157"/>
      <c r="AV41" s="157"/>
      <c r="AW41" s="157"/>
      <c r="AX41" s="157"/>
      <c r="AY41" s="157"/>
      <c r="AZ41" s="157"/>
      <c r="BA41" s="157"/>
      <c r="BB41" s="157"/>
      <c r="BC41" s="157"/>
      <c r="BD41" s="157"/>
      <c r="BE41" s="157"/>
      <c r="BF41" s="157"/>
      <c r="BG41" s="157"/>
      <c r="BH41" s="157"/>
      <c r="BI41" s="157"/>
      <c r="BJ41" s="157"/>
      <c r="BK41" s="157"/>
      <c r="BL41" s="157"/>
      <c r="BM41" s="157"/>
      <c r="BN41" s="157"/>
      <c r="BO41" s="157"/>
      <c r="BP41" s="157"/>
      <c r="BQ41" s="157"/>
      <c r="BR41" s="157"/>
      <c r="BS41" s="157"/>
      <c r="BT41" s="157"/>
      <c r="BU41" s="157"/>
      <c r="BV41" s="801"/>
    </row>
    <row r="42" spans="2:74" x14ac:dyDescent="0.35">
      <c r="B42" s="874" t="s">
        <v>492</v>
      </c>
      <c r="C42" s="875">
        <f>C40+C26</f>
        <v>9258.2835282819251</v>
      </c>
      <c r="D42" s="875">
        <f t="shared" ref="D42:BO42" si="11">D40+D26</f>
        <v>9130.7861930864765</v>
      </c>
      <c r="E42" s="875">
        <f t="shared" si="11"/>
        <v>9200.2780292138978</v>
      </c>
      <c r="F42" s="875">
        <f t="shared" si="11"/>
        <v>9530.4814685620422</v>
      </c>
      <c r="G42" s="875">
        <f t="shared" si="11"/>
        <v>6661.0121443417529</v>
      </c>
      <c r="H42" s="875">
        <f t="shared" si="11"/>
        <v>10300.232099074041</v>
      </c>
      <c r="I42" s="875">
        <f t="shared" si="11"/>
        <v>9574.9588556332237</v>
      </c>
      <c r="J42" s="875">
        <f t="shared" si="11"/>
        <v>11756.15828660624</v>
      </c>
      <c r="K42" s="875">
        <f t="shared" si="11"/>
        <v>9953.2725116129077</v>
      </c>
      <c r="L42" s="875">
        <f t="shared" si="11"/>
        <v>11202.980001522992</v>
      </c>
      <c r="M42" s="875">
        <f t="shared" si="11"/>
        <v>15511.755445957053</v>
      </c>
      <c r="N42" s="875">
        <f t="shared" si="11"/>
        <v>12593.941635383546</v>
      </c>
      <c r="O42" s="875">
        <f t="shared" si="11"/>
        <v>16047.460000000001</v>
      </c>
      <c r="P42" s="875">
        <f t="shared" si="11"/>
        <v>39850.86</v>
      </c>
      <c r="Q42" s="875">
        <f t="shared" si="11"/>
        <v>21226.489999999998</v>
      </c>
      <c r="R42" s="875">
        <f t="shared" si="11"/>
        <v>13304.830000000002</v>
      </c>
      <c r="S42" s="875">
        <f t="shared" si="11"/>
        <v>32010.399999999998</v>
      </c>
      <c r="T42" s="875">
        <f t="shared" si="11"/>
        <v>21701.85</v>
      </c>
      <c r="U42" s="875">
        <f t="shared" si="11"/>
        <v>53544.71</v>
      </c>
      <c r="V42" s="875">
        <f t="shared" si="11"/>
        <v>50504.75</v>
      </c>
      <c r="W42" s="875">
        <f t="shared" si="11"/>
        <v>41851.15</v>
      </c>
      <c r="X42" s="875">
        <f t="shared" si="11"/>
        <v>40606.269999999997</v>
      </c>
      <c r="Y42" s="875">
        <f t="shared" si="11"/>
        <v>38076.890000000007</v>
      </c>
      <c r="Z42" s="875">
        <f t="shared" si="11"/>
        <v>74768.639999999999</v>
      </c>
      <c r="AA42" s="875">
        <f t="shared" si="11"/>
        <v>48664.392291666663</v>
      </c>
      <c r="AB42" s="875">
        <f t="shared" si="11"/>
        <v>54208.116874999992</v>
      </c>
      <c r="AC42" s="875">
        <f t="shared" si="11"/>
        <v>53398.864895833336</v>
      </c>
      <c r="AD42" s="875">
        <f t="shared" si="11"/>
        <v>76904.957751736103</v>
      </c>
      <c r="AE42" s="875">
        <f t="shared" si="11"/>
        <v>78020.119456741901</v>
      </c>
      <c r="AF42" s="875">
        <f t="shared" si="11"/>
        <v>78485.433803831489</v>
      </c>
      <c r="AG42" s="875">
        <f t="shared" si="11"/>
        <v>79902.535179845232</v>
      </c>
      <c r="AH42" s="875">
        <f t="shared" si="11"/>
        <v>79075.242503860121</v>
      </c>
      <c r="AI42" s="875">
        <f t="shared" si="11"/>
        <v>78978.612104876243</v>
      </c>
      <c r="AJ42" s="875">
        <f t="shared" si="11"/>
        <v>79514.649172643694</v>
      </c>
      <c r="AK42" s="875">
        <f t="shared" si="11"/>
        <v>80719.412662725124</v>
      </c>
      <c r="AL42" s="875">
        <f t="shared" si="11"/>
        <v>242268.24811031335</v>
      </c>
      <c r="AM42" s="875">
        <f t="shared" si="11"/>
        <v>79468.182679783888</v>
      </c>
      <c r="AN42" s="875">
        <f t="shared" si="11"/>
        <v>80614.125540981157</v>
      </c>
      <c r="AO42" s="875">
        <f t="shared" si="11"/>
        <v>80758.686191038025</v>
      </c>
      <c r="AP42" s="875">
        <f t="shared" si="11"/>
        <v>80982.774607433297</v>
      </c>
      <c r="AQ42" s="875">
        <f t="shared" si="11"/>
        <v>81176.46556654718</v>
      </c>
      <c r="AR42" s="875">
        <f t="shared" si="11"/>
        <v>81293.418995028216</v>
      </c>
      <c r="AS42" s="875">
        <f t="shared" si="11"/>
        <v>81381.398784150966</v>
      </c>
      <c r="AT42" s="875">
        <f t="shared" si="11"/>
        <v>81358.680051634496</v>
      </c>
      <c r="AU42" s="875">
        <f t="shared" si="11"/>
        <v>81403.07640598061</v>
      </c>
      <c r="AV42" s="875">
        <f t="shared" si="11"/>
        <v>81459.298413349767</v>
      </c>
      <c r="AW42" s="875">
        <f t="shared" si="11"/>
        <v>81475.615986426012</v>
      </c>
      <c r="AX42" s="875">
        <f t="shared" si="11"/>
        <v>246517.43390128217</v>
      </c>
      <c r="AY42" s="875">
        <f t="shared" si="11"/>
        <v>83205.706059664648</v>
      </c>
      <c r="AZ42" s="875">
        <f t="shared" si="11"/>
        <v>84216.266005856625</v>
      </c>
      <c r="BA42" s="875">
        <f t="shared" si="11"/>
        <v>84271.744341729209</v>
      </c>
      <c r="BB42" s="875">
        <f t="shared" si="11"/>
        <v>84319.833020369319</v>
      </c>
      <c r="BC42" s="875">
        <f t="shared" si="11"/>
        <v>84353.288051247509</v>
      </c>
      <c r="BD42" s="875">
        <f t="shared" si="11"/>
        <v>84373.421768817236</v>
      </c>
      <c r="BE42" s="875">
        <f t="shared" si="11"/>
        <v>84385.517022919841</v>
      </c>
      <c r="BF42" s="875">
        <f t="shared" si="11"/>
        <v>84391.315973999706</v>
      </c>
      <c r="BG42" s="875">
        <f t="shared" si="11"/>
        <v>84399.515671724002</v>
      </c>
      <c r="BH42" s="875">
        <f t="shared" si="11"/>
        <v>84404.719314095288</v>
      </c>
      <c r="BI42" s="875">
        <f t="shared" si="11"/>
        <v>84405.68689208485</v>
      </c>
      <c r="BJ42" s="875">
        <f t="shared" si="11"/>
        <v>254483.56834011516</v>
      </c>
      <c r="BK42" s="875">
        <f t="shared" si="11"/>
        <v>85141.314763728064</v>
      </c>
      <c r="BL42" s="875">
        <f t="shared" si="11"/>
        <v>86134.231949130946</v>
      </c>
      <c r="BM42" s="875">
        <f t="shared" si="11"/>
        <v>86153.553287887189</v>
      </c>
      <c r="BN42" s="875">
        <f t="shared" si="11"/>
        <v>86169.884012730632</v>
      </c>
      <c r="BO42" s="875">
        <f t="shared" si="11"/>
        <v>86183.58966562571</v>
      </c>
      <c r="BP42" s="875">
        <f t="shared" ref="BP42:BV42" si="12">BP40+BP26</f>
        <v>86195.669900378998</v>
      </c>
      <c r="BQ42" s="875">
        <f t="shared" si="12"/>
        <v>86207.098337496907</v>
      </c>
      <c r="BR42" s="875">
        <f t="shared" si="12"/>
        <v>86218.489568146499</v>
      </c>
      <c r="BS42" s="875">
        <f t="shared" si="12"/>
        <v>86230.364354434219</v>
      </c>
      <c r="BT42" s="875">
        <f t="shared" si="12"/>
        <v>86242.562312548078</v>
      </c>
      <c r="BU42" s="875">
        <f t="shared" si="12"/>
        <v>86255.359731413133</v>
      </c>
      <c r="BV42" s="876">
        <f t="shared" si="12"/>
        <v>261449.68868050541</v>
      </c>
    </row>
    <row r="43" spans="2:74" x14ac:dyDescent="0.35">
      <c r="O43" s="625"/>
      <c r="P43" s="625"/>
      <c r="Q43" s="625"/>
      <c r="R43" s="625"/>
      <c r="S43" s="625"/>
      <c r="T43" s="625"/>
      <c r="U43" s="625"/>
      <c r="V43" s="625"/>
      <c r="W43" s="625"/>
      <c r="X43" s="625"/>
      <c r="Y43" s="625"/>
      <c r="Z43" s="625"/>
      <c r="AA43" s="625"/>
      <c r="AB43" s="625"/>
      <c r="AC43" s="625"/>
      <c r="AD43" s="625"/>
      <c r="AE43" s="625"/>
      <c r="AF43" s="625"/>
      <c r="AG43" s="625"/>
      <c r="AH43" s="625"/>
      <c r="AI43" s="625"/>
      <c r="AJ43" s="625"/>
      <c r="AK43" s="625"/>
      <c r="AL43" s="625"/>
      <c r="AM43" s="625"/>
      <c r="AN43" s="625"/>
      <c r="AO43" s="625"/>
      <c r="AP43" s="625"/>
      <c r="AQ43" s="625"/>
      <c r="AR43" s="625"/>
      <c r="AS43" s="625"/>
      <c r="AT43" s="625"/>
      <c r="AU43" s="625"/>
      <c r="AV43" s="625"/>
      <c r="AW43" s="625"/>
      <c r="AX43" s="625"/>
      <c r="AY43" s="625"/>
      <c r="AZ43" s="625"/>
      <c r="BA43" s="625"/>
    </row>
    <row r="44" spans="2:74" x14ac:dyDescent="0.35">
      <c r="O44" s="575"/>
      <c r="P44" s="575"/>
      <c r="Q44" s="575"/>
      <c r="R44" s="575"/>
      <c r="S44" s="575"/>
      <c r="T44" s="575"/>
      <c r="U44" s="575"/>
      <c r="V44" s="575"/>
      <c r="W44" s="575"/>
      <c r="X44" s="575"/>
      <c r="Y44" s="575"/>
      <c r="Z44" s="575"/>
      <c r="AA44" s="575"/>
      <c r="AB44" s="575"/>
      <c r="AC44" s="575"/>
      <c r="AD44" s="575"/>
      <c r="AE44" s="575"/>
      <c r="AF44" s="575"/>
      <c r="AG44" s="575"/>
      <c r="AH44" s="575"/>
      <c r="AI44" s="575"/>
      <c r="AJ44" s="575"/>
      <c r="AK44" s="575"/>
      <c r="AL44" s="575"/>
      <c r="AM44" s="575"/>
      <c r="AN44" s="575"/>
      <c r="AO44" s="575"/>
      <c r="AP44" s="575"/>
      <c r="AQ44" s="575"/>
      <c r="AR44" s="575"/>
      <c r="AS44" s="575"/>
      <c r="AT44" s="575"/>
      <c r="AU44" s="575"/>
      <c r="AV44" s="575"/>
      <c r="AW44" s="575"/>
      <c r="AX44" s="575"/>
      <c r="AY44" s="575"/>
      <c r="AZ44" s="575"/>
      <c r="BA44" s="575"/>
      <c r="BB44" s="575"/>
      <c r="BC44" s="575"/>
      <c r="BD44" s="575"/>
      <c r="BE44" s="575"/>
      <c r="BF44" s="575"/>
      <c r="BG44" s="575"/>
      <c r="BH44" s="575"/>
      <c r="BI44" s="575"/>
      <c r="BJ44" s="575"/>
    </row>
    <row r="45" spans="2:74" x14ac:dyDescent="0.35">
      <c r="M45" s="152"/>
      <c r="N45" s="152"/>
      <c r="O45" s="152"/>
      <c r="P45" s="152"/>
      <c r="Q45" s="152"/>
      <c r="R45" s="152"/>
      <c r="S45" s="152"/>
      <c r="T45" s="152"/>
      <c r="U45" s="152"/>
      <c r="V45" s="152"/>
      <c r="W45" s="152"/>
      <c r="X45" s="152"/>
      <c r="Y45" s="152"/>
      <c r="Z45" s="152"/>
      <c r="AA45" s="152"/>
      <c r="AB45" s="152"/>
      <c r="AC45" s="152"/>
      <c r="AD45" s="152"/>
      <c r="AE45" s="152"/>
      <c r="AF45" s="152"/>
      <c r="AG45" s="152"/>
      <c r="AH45" s="152"/>
      <c r="AI45" s="152"/>
      <c r="AJ45" s="152"/>
      <c r="AK45" s="152"/>
      <c r="AL45" s="152"/>
      <c r="AM45" s="152"/>
      <c r="AN45" s="152"/>
      <c r="AO45" s="152"/>
      <c r="AP45" s="152"/>
    </row>
    <row r="46" spans="2:74" x14ac:dyDescent="0.35">
      <c r="AN46" s="152"/>
    </row>
  </sheetData>
  <conditionalFormatting sqref="AA4:BV4">
    <cfRule type="containsText" dxfId="247" priority="5" operator="containsText" text="actual">
      <formula>NOT(ISERROR(SEARCH("actual",AA4)))</formula>
    </cfRule>
    <cfRule type="containsText" dxfId="246" priority="6" operator="containsText" text="forecast">
      <formula>NOT(ISERROR(SEARCH("forecast",AA4)))</formula>
    </cfRule>
  </conditionalFormatting>
  <conditionalFormatting sqref="C4:Z4">
    <cfRule type="containsText" dxfId="245" priority="3" operator="containsText" text="actual">
      <formula>NOT(ISERROR(SEARCH("actual",C4)))</formula>
    </cfRule>
    <cfRule type="containsText" dxfId="244" priority="4" operator="containsText" text="forecast">
      <formula>NOT(ISERROR(SEARCH("forecast",C4)))</formula>
    </cfRule>
  </conditionalFormatting>
  <conditionalFormatting sqref="B4">
    <cfRule type="containsText" dxfId="243" priority="1" operator="containsText" text="actual">
      <formula>NOT(ISERROR(SEARCH("actual",B4)))</formula>
    </cfRule>
    <cfRule type="containsText" dxfId="242" priority="2" operator="containsText" text="forecast">
      <formula>NOT(ISERROR(SEARCH("forecast",B4)))</formula>
    </cfRule>
  </conditionalFormatting>
  <pageMargins left="0.7" right="0.7" top="0.75" bottom="0.75" header="0.3" footer="0.3"/>
  <pageSetup orientation="portrait" horizontalDpi="0" verticalDpi="0"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BV46"/>
  <sheetViews>
    <sheetView zoomScale="80" zoomScaleNormal="80" workbookViewId="0">
      <pane xSplit="2" ySplit="4" topLeftCell="C8" activePane="bottomRight" state="frozen"/>
      <selection activeCell="AA42" sqref="AA42"/>
      <selection pane="topRight" activeCell="AA42" sqref="AA42"/>
      <selection pane="bottomLeft" activeCell="AA42" sqref="AA42"/>
      <selection pane="bottomRight" activeCell="B35" sqref="B35"/>
    </sheetView>
  </sheetViews>
  <sheetFormatPr defaultColWidth="9.1796875" defaultRowHeight="14.5" outlineLevelCol="1" x14ac:dyDescent="0.35"/>
  <cols>
    <col min="1" max="1" width="2" style="574" customWidth="1"/>
    <col min="2" max="2" width="27.453125" style="574" bestFit="1" customWidth="1"/>
    <col min="3" max="3" width="12.7265625" style="574" customWidth="1"/>
    <col min="4" max="7" width="12.7265625" style="574" hidden="1" customWidth="1" outlineLevel="1"/>
    <col min="8" max="12" width="16.453125" style="574" hidden="1" customWidth="1" outlineLevel="1"/>
    <col min="13" max="13" width="19.26953125" style="574" hidden="1" customWidth="1" outlineLevel="1"/>
    <col min="14" max="14" width="16.453125" style="574" customWidth="1" collapsed="1"/>
    <col min="15" max="15" width="12.7265625" style="574" bestFit="1" customWidth="1"/>
    <col min="16" max="18" width="12.7265625" style="574" hidden="1" customWidth="1" outlineLevel="1"/>
    <col min="19" max="19" width="12.1796875" style="574" hidden="1" customWidth="1" outlineLevel="1"/>
    <col min="20" max="25" width="12.26953125" style="574" hidden="1" customWidth="1" outlineLevel="1"/>
    <col min="26" max="26" width="12.26953125" style="574" bestFit="1" customWidth="1" collapsed="1"/>
    <col min="27" max="27" width="12.26953125" style="574" customWidth="1"/>
    <col min="28" max="29" width="13.26953125" style="574" customWidth="1" outlineLevel="1"/>
    <col min="30" max="35" width="10.7265625" style="574" customWidth="1" outlineLevel="1"/>
    <col min="36" max="37" width="11.81640625" style="574" customWidth="1" outlineLevel="1"/>
    <col min="38" max="39" width="13.26953125" style="574" customWidth="1"/>
    <col min="40" max="47" width="10.7265625" style="574" hidden="1" customWidth="1" outlineLevel="1"/>
    <col min="48" max="49" width="11.81640625" style="574" hidden="1" customWidth="1" outlineLevel="1"/>
    <col min="50" max="50" width="11.81640625" style="574" customWidth="1" collapsed="1"/>
    <col min="51" max="51" width="10.7265625" style="574" bestFit="1" customWidth="1"/>
    <col min="52" max="57" width="10.7265625" style="574" hidden="1" customWidth="1" outlineLevel="1"/>
    <col min="58" max="61" width="13.26953125" style="574" hidden="1" customWidth="1" outlineLevel="1"/>
    <col min="62" max="62" width="13.26953125" style="574" bestFit="1" customWidth="1" collapsed="1"/>
    <col min="63" max="63" width="13" style="574" bestFit="1" customWidth="1"/>
    <col min="64" max="73" width="13" style="574" hidden="1" customWidth="1" outlineLevel="1"/>
    <col min="74" max="74" width="13" style="574" bestFit="1" customWidth="1" collapsed="1"/>
    <col min="75" max="16384" width="9.1796875" style="574"/>
  </cols>
  <sheetData>
    <row r="2" spans="2:74" x14ac:dyDescent="0.35">
      <c r="B2" s="652" t="s">
        <v>1080</v>
      </c>
      <c r="C2" s="652"/>
      <c r="D2" s="652"/>
      <c r="E2" s="652"/>
      <c r="F2" s="652"/>
      <c r="G2" s="652"/>
      <c r="H2" s="652"/>
      <c r="I2" s="652"/>
      <c r="J2" s="652"/>
      <c r="K2" s="652"/>
      <c r="L2" s="652"/>
      <c r="M2" s="652"/>
      <c r="N2" s="652"/>
    </row>
    <row r="3" spans="2:74" x14ac:dyDescent="0.35">
      <c r="B3" s="788" t="s">
        <v>931</v>
      </c>
      <c r="C3" s="789">
        <v>40939</v>
      </c>
      <c r="D3" s="789">
        <v>40968</v>
      </c>
      <c r="E3" s="789">
        <v>40999</v>
      </c>
      <c r="F3" s="789">
        <v>41029</v>
      </c>
      <c r="G3" s="789">
        <v>41060</v>
      </c>
      <c r="H3" s="789">
        <v>41090</v>
      </c>
      <c r="I3" s="789">
        <v>41121</v>
      </c>
      <c r="J3" s="789">
        <v>41152</v>
      </c>
      <c r="K3" s="789">
        <v>41182</v>
      </c>
      <c r="L3" s="789">
        <v>41213</v>
      </c>
      <c r="M3" s="789">
        <v>41243</v>
      </c>
      <c r="N3" s="789">
        <v>41274</v>
      </c>
      <c r="O3" s="789">
        <v>41305</v>
      </c>
      <c r="P3" s="789">
        <v>41333</v>
      </c>
      <c r="Q3" s="789">
        <v>41364</v>
      </c>
      <c r="R3" s="789">
        <v>41394</v>
      </c>
      <c r="S3" s="789">
        <v>41425</v>
      </c>
      <c r="T3" s="789">
        <v>41455</v>
      </c>
      <c r="U3" s="789">
        <v>41486</v>
      </c>
      <c r="V3" s="789">
        <v>41517</v>
      </c>
      <c r="W3" s="789">
        <v>41547</v>
      </c>
      <c r="X3" s="789">
        <v>41578</v>
      </c>
      <c r="Y3" s="789">
        <v>41608</v>
      </c>
      <c r="Z3" s="789">
        <v>41639</v>
      </c>
      <c r="AA3" s="789">
        <v>41670</v>
      </c>
      <c r="AB3" s="789">
        <v>41698</v>
      </c>
      <c r="AC3" s="789">
        <v>41729</v>
      </c>
      <c r="AD3" s="789">
        <v>41759</v>
      </c>
      <c r="AE3" s="789">
        <v>41790</v>
      </c>
      <c r="AF3" s="789">
        <v>41820</v>
      </c>
      <c r="AG3" s="789">
        <v>41851</v>
      </c>
      <c r="AH3" s="789">
        <v>41882</v>
      </c>
      <c r="AI3" s="789">
        <v>41912</v>
      </c>
      <c r="AJ3" s="789">
        <v>41943</v>
      </c>
      <c r="AK3" s="789">
        <v>41973</v>
      </c>
      <c r="AL3" s="789">
        <v>42004</v>
      </c>
      <c r="AM3" s="789">
        <v>42035</v>
      </c>
      <c r="AN3" s="789">
        <v>42063</v>
      </c>
      <c r="AO3" s="789">
        <v>42094</v>
      </c>
      <c r="AP3" s="789">
        <v>42124</v>
      </c>
      <c r="AQ3" s="789">
        <v>42155</v>
      </c>
      <c r="AR3" s="789">
        <v>42185</v>
      </c>
      <c r="AS3" s="789">
        <v>42216</v>
      </c>
      <c r="AT3" s="789">
        <v>42247</v>
      </c>
      <c r="AU3" s="789">
        <v>42277</v>
      </c>
      <c r="AV3" s="789">
        <v>42308</v>
      </c>
      <c r="AW3" s="789">
        <v>42338</v>
      </c>
      <c r="AX3" s="789">
        <v>42369</v>
      </c>
      <c r="AY3" s="789">
        <v>42400</v>
      </c>
      <c r="AZ3" s="789">
        <v>42429</v>
      </c>
      <c r="BA3" s="789">
        <v>42460</v>
      </c>
      <c r="BB3" s="789">
        <v>42490</v>
      </c>
      <c r="BC3" s="789">
        <v>42521</v>
      </c>
      <c r="BD3" s="789">
        <v>42551</v>
      </c>
      <c r="BE3" s="789">
        <v>42582</v>
      </c>
      <c r="BF3" s="789">
        <v>42613</v>
      </c>
      <c r="BG3" s="789">
        <v>42643</v>
      </c>
      <c r="BH3" s="789">
        <v>42674</v>
      </c>
      <c r="BI3" s="789">
        <v>42704</v>
      </c>
      <c r="BJ3" s="789">
        <v>42735</v>
      </c>
      <c r="BK3" s="789">
        <v>42766</v>
      </c>
      <c r="BL3" s="789">
        <v>42794</v>
      </c>
      <c r="BM3" s="789">
        <v>42825</v>
      </c>
      <c r="BN3" s="789">
        <v>42855</v>
      </c>
      <c r="BO3" s="789">
        <v>42886</v>
      </c>
      <c r="BP3" s="789">
        <v>42916</v>
      </c>
      <c r="BQ3" s="789">
        <v>42947</v>
      </c>
      <c r="BR3" s="789">
        <v>42978</v>
      </c>
      <c r="BS3" s="789">
        <v>43008</v>
      </c>
      <c r="BT3" s="789">
        <v>43039</v>
      </c>
      <c r="BU3" s="789">
        <v>43069</v>
      </c>
      <c r="BV3" s="790">
        <v>43100</v>
      </c>
    </row>
    <row r="4" spans="2:74" x14ac:dyDescent="0.35">
      <c r="B4" s="791" t="s">
        <v>932</v>
      </c>
      <c r="C4" s="4" t="str">
        <f>IF(C3&lt;=Headcount!$U$3,"Actual","Forecast")</f>
        <v>Actual</v>
      </c>
      <c r="D4" s="4" t="str">
        <f>IF(D3&lt;=Headcount!$U$3,"Actual","Forecast")</f>
        <v>Actual</v>
      </c>
      <c r="E4" s="4" t="str">
        <f>IF(E3&lt;=Headcount!$U$3,"Actual","Forecast")</f>
        <v>Actual</v>
      </c>
      <c r="F4" s="4" t="str">
        <f>IF(F3&lt;=Headcount!$U$3,"Actual","Forecast")</f>
        <v>Actual</v>
      </c>
      <c r="G4" s="4" t="str">
        <f>IF(G3&lt;=Headcount!$U$3,"Actual","Forecast")</f>
        <v>Actual</v>
      </c>
      <c r="H4" s="4" t="str">
        <f>IF(H3&lt;=Headcount!$U$3,"Actual","Forecast")</f>
        <v>Actual</v>
      </c>
      <c r="I4" s="4" t="str">
        <f>IF(I3&lt;=Headcount!$U$3,"Actual","Forecast")</f>
        <v>Actual</v>
      </c>
      <c r="J4" s="4" t="str">
        <f>IF(J3&lt;=Headcount!$U$3,"Actual","Forecast")</f>
        <v>Actual</v>
      </c>
      <c r="K4" s="4" t="str">
        <f>IF(K3&lt;=Headcount!$U$3,"Actual","Forecast")</f>
        <v>Actual</v>
      </c>
      <c r="L4" s="4" t="str">
        <f>IF(L3&lt;=Headcount!$U$3,"Actual","Forecast")</f>
        <v>Actual</v>
      </c>
      <c r="M4" s="4" t="str">
        <f>IF(M3&lt;=Headcount!$U$3,"Actual","Forecast")</f>
        <v>Actual</v>
      </c>
      <c r="N4" s="4" t="str">
        <f>IF(N3&lt;=Headcount!$U$3,"Actual","Forecast")</f>
        <v>Actual</v>
      </c>
      <c r="O4" s="4" t="str">
        <f>IF(O3&lt;=Headcount!$U$3,"Actual","Forecast")</f>
        <v>Actual</v>
      </c>
      <c r="P4" s="4" t="str">
        <f>IF(P3&lt;=Headcount!$U$3,"Actual","Forecast")</f>
        <v>Actual</v>
      </c>
      <c r="Q4" s="4" t="str">
        <f>IF(Q3&lt;=Headcount!$U$3,"Actual","Forecast")</f>
        <v>Actual</v>
      </c>
      <c r="R4" s="4" t="str">
        <f>IF(R3&lt;=Headcount!$U$3,"Actual","Forecast")</f>
        <v>Actual</v>
      </c>
      <c r="S4" s="4" t="str">
        <f>IF(S3&lt;=Headcount!$U$3,"Actual","Forecast")</f>
        <v>Actual</v>
      </c>
      <c r="T4" s="4" t="str">
        <f>IF(T3&lt;=Headcount!$U$3,"Actual","Forecast")</f>
        <v>Actual</v>
      </c>
      <c r="U4" s="4" t="str">
        <f>IF(U3&lt;=Headcount!$U$3,"Actual","Forecast")</f>
        <v>Actual</v>
      </c>
      <c r="V4" s="4" t="str">
        <f>IF(V3&lt;=Headcount!$U$3,"Actual","Forecast")</f>
        <v>Actual</v>
      </c>
      <c r="W4" s="4" t="str">
        <f>IF(W3&lt;=Headcount!$U$3,"Actual","Forecast")</f>
        <v>Actual</v>
      </c>
      <c r="X4" s="4" t="str">
        <f>IF(X3&lt;=Headcount!$U$3,"Actual","Forecast")</f>
        <v>Actual</v>
      </c>
      <c r="Y4" s="4" t="str">
        <f>IF(Y3&lt;=Headcount!$U$3,"Actual","Forecast")</f>
        <v>Actual</v>
      </c>
      <c r="Z4" s="4" t="str">
        <f>IF(Z3&lt;=Headcount!$U$3,"Actual","Forecast")</f>
        <v>Actual</v>
      </c>
      <c r="AA4" s="792" t="s">
        <v>7</v>
      </c>
      <c r="AB4" s="792" t="s">
        <v>7</v>
      </c>
      <c r="AC4" s="792" t="s">
        <v>7</v>
      </c>
      <c r="AD4" s="792" t="s">
        <v>7</v>
      </c>
      <c r="AE4" s="792" t="s">
        <v>7</v>
      </c>
      <c r="AF4" s="792" t="s">
        <v>7</v>
      </c>
      <c r="AG4" s="792" t="s">
        <v>7</v>
      </c>
      <c r="AH4" s="792" t="s">
        <v>7</v>
      </c>
      <c r="AI4" s="792" t="s">
        <v>7</v>
      </c>
      <c r="AJ4" s="792" t="s">
        <v>7</v>
      </c>
      <c r="AK4" s="792" t="s">
        <v>7</v>
      </c>
      <c r="AL4" s="792" t="s">
        <v>7</v>
      </c>
      <c r="AM4" s="792" t="s">
        <v>7</v>
      </c>
      <c r="AN4" s="792" t="s">
        <v>7</v>
      </c>
      <c r="AO4" s="792" t="s">
        <v>7</v>
      </c>
      <c r="AP4" s="792" t="s">
        <v>7</v>
      </c>
      <c r="AQ4" s="792" t="s">
        <v>7</v>
      </c>
      <c r="AR4" s="792" t="s">
        <v>7</v>
      </c>
      <c r="AS4" s="792" t="s">
        <v>7</v>
      </c>
      <c r="AT4" s="792" t="s">
        <v>7</v>
      </c>
      <c r="AU4" s="792" t="s">
        <v>7</v>
      </c>
      <c r="AV4" s="792" t="s">
        <v>7</v>
      </c>
      <c r="AW4" s="792" t="s">
        <v>7</v>
      </c>
      <c r="AX4" s="792" t="s">
        <v>7</v>
      </c>
      <c r="AY4" s="792" t="s">
        <v>7</v>
      </c>
      <c r="AZ4" s="792" t="s">
        <v>7</v>
      </c>
      <c r="BA4" s="792" t="s">
        <v>7</v>
      </c>
      <c r="BB4" s="792" t="s">
        <v>7</v>
      </c>
      <c r="BC4" s="792" t="s">
        <v>7</v>
      </c>
      <c r="BD4" s="792" t="s">
        <v>7</v>
      </c>
      <c r="BE4" s="792" t="s">
        <v>7</v>
      </c>
      <c r="BF4" s="792" t="s">
        <v>7</v>
      </c>
      <c r="BG4" s="792" t="s">
        <v>7</v>
      </c>
      <c r="BH4" s="792" t="s">
        <v>7</v>
      </c>
      <c r="BI4" s="792" t="s">
        <v>7</v>
      </c>
      <c r="BJ4" s="792" t="s">
        <v>7</v>
      </c>
      <c r="BK4" s="792" t="s">
        <v>7</v>
      </c>
      <c r="BL4" s="792" t="s">
        <v>7</v>
      </c>
      <c r="BM4" s="792" t="s">
        <v>7</v>
      </c>
      <c r="BN4" s="792" t="s">
        <v>7</v>
      </c>
      <c r="BO4" s="792" t="s">
        <v>7</v>
      </c>
      <c r="BP4" s="792" t="s">
        <v>7</v>
      </c>
      <c r="BQ4" s="792" t="s">
        <v>7</v>
      </c>
      <c r="BR4" s="792" t="s">
        <v>7</v>
      </c>
      <c r="BS4" s="792" t="s">
        <v>7</v>
      </c>
      <c r="BT4" s="792" t="s">
        <v>7</v>
      </c>
      <c r="BU4" s="792" t="s">
        <v>7</v>
      </c>
      <c r="BV4" s="793" t="s">
        <v>7</v>
      </c>
    </row>
    <row r="5" spans="2:74" x14ac:dyDescent="0.35">
      <c r="B5" s="794" t="s">
        <v>68</v>
      </c>
      <c r="C5" s="795">
        <f t="shared" ref="C5:N5" si="0">MONTH(C3)</f>
        <v>1</v>
      </c>
      <c r="D5" s="795">
        <f t="shared" si="0"/>
        <v>2</v>
      </c>
      <c r="E5" s="795">
        <f t="shared" si="0"/>
        <v>3</v>
      </c>
      <c r="F5" s="795">
        <f t="shared" si="0"/>
        <v>4</v>
      </c>
      <c r="G5" s="795">
        <f t="shared" si="0"/>
        <v>5</v>
      </c>
      <c r="H5" s="795">
        <f t="shared" si="0"/>
        <v>6</v>
      </c>
      <c r="I5" s="795">
        <f t="shared" si="0"/>
        <v>7</v>
      </c>
      <c r="J5" s="795">
        <f t="shared" si="0"/>
        <v>8</v>
      </c>
      <c r="K5" s="795">
        <f t="shared" si="0"/>
        <v>9</v>
      </c>
      <c r="L5" s="795">
        <f t="shared" si="0"/>
        <v>10</v>
      </c>
      <c r="M5" s="795">
        <f t="shared" si="0"/>
        <v>11</v>
      </c>
      <c r="N5" s="795">
        <f t="shared" si="0"/>
        <v>12</v>
      </c>
      <c r="O5" s="795">
        <f>MONTH(O3)</f>
        <v>1</v>
      </c>
      <c r="P5" s="795">
        <f t="shared" ref="P5:BV5" si="1">MONTH(P3)</f>
        <v>2</v>
      </c>
      <c r="Q5" s="795">
        <f t="shared" si="1"/>
        <v>3</v>
      </c>
      <c r="R5" s="795">
        <f t="shared" si="1"/>
        <v>4</v>
      </c>
      <c r="S5" s="795">
        <f t="shared" si="1"/>
        <v>5</v>
      </c>
      <c r="T5" s="795">
        <f t="shared" si="1"/>
        <v>6</v>
      </c>
      <c r="U5" s="795">
        <f t="shared" si="1"/>
        <v>7</v>
      </c>
      <c r="V5" s="795">
        <f t="shared" si="1"/>
        <v>8</v>
      </c>
      <c r="W5" s="795">
        <f t="shared" si="1"/>
        <v>9</v>
      </c>
      <c r="X5" s="795">
        <f t="shared" si="1"/>
        <v>10</v>
      </c>
      <c r="Y5" s="795">
        <f t="shared" si="1"/>
        <v>11</v>
      </c>
      <c r="Z5" s="795">
        <f t="shared" si="1"/>
        <v>12</v>
      </c>
      <c r="AA5" s="795">
        <f t="shared" si="1"/>
        <v>1</v>
      </c>
      <c r="AB5" s="795">
        <f t="shared" si="1"/>
        <v>2</v>
      </c>
      <c r="AC5" s="795">
        <f t="shared" si="1"/>
        <v>3</v>
      </c>
      <c r="AD5" s="795">
        <f t="shared" si="1"/>
        <v>4</v>
      </c>
      <c r="AE5" s="795">
        <f t="shared" si="1"/>
        <v>5</v>
      </c>
      <c r="AF5" s="795">
        <f t="shared" si="1"/>
        <v>6</v>
      </c>
      <c r="AG5" s="795">
        <f t="shared" si="1"/>
        <v>7</v>
      </c>
      <c r="AH5" s="795">
        <f t="shared" si="1"/>
        <v>8</v>
      </c>
      <c r="AI5" s="795">
        <f t="shared" si="1"/>
        <v>9</v>
      </c>
      <c r="AJ5" s="795">
        <f t="shared" si="1"/>
        <v>10</v>
      </c>
      <c r="AK5" s="795">
        <f t="shared" si="1"/>
        <v>11</v>
      </c>
      <c r="AL5" s="795">
        <f t="shared" si="1"/>
        <v>12</v>
      </c>
      <c r="AM5" s="795">
        <f t="shared" si="1"/>
        <v>1</v>
      </c>
      <c r="AN5" s="795">
        <f t="shared" si="1"/>
        <v>2</v>
      </c>
      <c r="AO5" s="795">
        <f t="shared" si="1"/>
        <v>3</v>
      </c>
      <c r="AP5" s="795">
        <f t="shared" si="1"/>
        <v>4</v>
      </c>
      <c r="AQ5" s="795">
        <f t="shared" si="1"/>
        <v>5</v>
      </c>
      <c r="AR5" s="795">
        <f t="shared" si="1"/>
        <v>6</v>
      </c>
      <c r="AS5" s="795">
        <f t="shared" si="1"/>
        <v>7</v>
      </c>
      <c r="AT5" s="795">
        <f t="shared" si="1"/>
        <v>8</v>
      </c>
      <c r="AU5" s="795">
        <f t="shared" si="1"/>
        <v>9</v>
      </c>
      <c r="AV5" s="795">
        <f t="shared" si="1"/>
        <v>10</v>
      </c>
      <c r="AW5" s="795">
        <f t="shared" si="1"/>
        <v>11</v>
      </c>
      <c r="AX5" s="795">
        <f t="shared" si="1"/>
        <v>12</v>
      </c>
      <c r="AY5" s="795">
        <f t="shared" si="1"/>
        <v>1</v>
      </c>
      <c r="AZ5" s="795">
        <f t="shared" si="1"/>
        <v>2</v>
      </c>
      <c r="BA5" s="795">
        <f t="shared" si="1"/>
        <v>3</v>
      </c>
      <c r="BB5" s="795">
        <f t="shared" si="1"/>
        <v>4</v>
      </c>
      <c r="BC5" s="795">
        <f t="shared" si="1"/>
        <v>5</v>
      </c>
      <c r="BD5" s="795">
        <f t="shared" si="1"/>
        <v>6</v>
      </c>
      <c r="BE5" s="795">
        <f t="shared" si="1"/>
        <v>7</v>
      </c>
      <c r="BF5" s="795">
        <f t="shared" si="1"/>
        <v>8</v>
      </c>
      <c r="BG5" s="795">
        <f t="shared" si="1"/>
        <v>9</v>
      </c>
      <c r="BH5" s="795">
        <f t="shared" si="1"/>
        <v>10</v>
      </c>
      <c r="BI5" s="795">
        <f t="shared" si="1"/>
        <v>11</v>
      </c>
      <c r="BJ5" s="795">
        <f t="shared" si="1"/>
        <v>12</v>
      </c>
      <c r="BK5" s="795">
        <f t="shared" si="1"/>
        <v>1</v>
      </c>
      <c r="BL5" s="795">
        <f t="shared" si="1"/>
        <v>2</v>
      </c>
      <c r="BM5" s="795">
        <f t="shared" si="1"/>
        <v>3</v>
      </c>
      <c r="BN5" s="795">
        <f t="shared" si="1"/>
        <v>4</v>
      </c>
      <c r="BO5" s="795">
        <f t="shared" si="1"/>
        <v>5</v>
      </c>
      <c r="BP5" s="795">
        <f t="shared" si="1"/>
        <v>6</v>
      </c>
      <c r="BQ5" s="795">
        <f t="shared" si="1"/>
        <v>7</v>
      </c>
      <c r="BR5" s="795">
        <f t="shared" si="1"/>
        <v>8</v>
      </c>
      <c r="BS5" s="795">
        <f t="shared" si="1"/>
        <v>9</v>
      </c>
      <c r="BT5" s="795">
        <f t="shared" si="1"/>
        <v>10</v>
      </c>
      <c r="BU5" s="795">
        <f t="shared" si="1"/>
        <v>11</v>
      </c>
      <c r="BV5" s="796">
        <f t="shared" si="1"/>
        <v>12</v>
      </c>
    </row>
    <row r="6" spans="2:74" x14ac:dyDescent="0.35">
      <c r="B6" s="797"/>
      <c r="C6" s="798"/>
      <c r="D6" s="798"/>
      <c r="E6" s="798"/>
      <c r="F6" s="798"/>
      <c r="G6" s="798"/>
      <c r="H6" s="798"/>
      <c r="I6" s="798"/>
      <c r="J6" s="798"/>
      <c r="K6" s="798"/>
      <c r="L6" s="798"/>
      <c r="M6" s="798"/>
      <c r="N6" s="798"/>
      <c r="O6" s="798"/>
      <c r="P6" s="798"/>
      <c r="Q6" s="798"/>
      <c r="R6" s="798"/>
      <c r="S6" s="798"/>
      <c r="T6" s="798"/>
      <c r="U6" s="798"/>
      <c r="V6" s="798"/>
      <c r="W6" s="798"/>
      <c r="X6" s="798"/>
      <c r="Y6" s="798"/>
      <c r="Z6" s="798"/>
      <c r="AA6" s="798"/>
      <c r="AB6" s="798"/>
      <c r="AC6" s="798"/>
      <c r="AD6" s="798"/>
      <c r="AE6" s="798"/>
      <c r="AF6" s="798"/>
      <c r="AG6" s="798"/>
      <c r="AH6" s="798"/>
      <c r="AI6" s="798"/>
      <c r="AJ6" s="798"/>
      <c r="AK6" s="798"/>
      <c r="AL6" s="798"/>
      <c r="AM6" s="798"/>
      <c r="AN6" s="798"/>
      <c r="AO6" s="798"/>
      <c r="AP6" s="798"/>
      <c r="AQ6" s="798"/>
      <c r="AR6" s="798"/>
      <c r="AS6" s="798"/>
      <c r="AT6" s="798"/>
      <c r="AU6" s="798"/>
      <c r="AV6" s="798"/>
      <c r="AW6" s="798"/>
      <c r="AX6" s="798"/>
      <c r="AY6" s="798"/>
      <c r="AZ6" s="798"/>
      <c r="BA6" s="798"/>
      <c r="BB6" s="798"/>
      <c r="BC6" s="798"/>
      <c r="BD6" s="798"/>
      <c r="BE6" s="798"/>
      <c r="BF6" s="798"/>
      <c r="BG6" s="798"/>
      <c r="BH6" s="798"/>
      <c r="BI6" s="798"/>
      <c r="BJ6" s="798"/>
      <c r="BK6" s="798"/>
      <c r="BL6" s="798"/>
      <c r="BM6" s="798"/>
      <c r="BN6" s="798"/>
      <c r="BO6" s="798"/>
      <c r="BP6" s="798"/>
      <c r="BQ6" s="798"/>
      <c r="BR6" s="798"/>
      <c r="BS6" s="798"/>
      <c r="BT6" s="798"/>
      <c r="BU6" s="798"/>
      <c r="BV6" s="799"/>
    </row>
    <row r="7" spans="2:74" x14ac:dyDescent="0.35">
      <c r="B7" s="794" t="s">
        <v>14</v>
      </c>
      <c r="C7" s="798">
        <f>SUMIFS(Headcount!$B$6:$B$89,Headcount!$F$6:$F$89,"Dev Ops",Headcount!$H$6:$H$89,"&gt;"&amp;C3,Headcount!$G$6:$G$89,"&lt;"&amp;C3)</f>
        <v>0</v>
      </c>
      <c r="D7" s="799">
        <f>IF(D4="forecast",IF(C4="actual",(SUMIFS(Headcount!$B$6:$B$89,Headcount!$F$6:$F$89,"Development Operations",Headcount!$H$6:$H$89,"&gt;"&amp;D3,Headcount!$G$6:$G$89,"&lt;"&amp;D3)+D8-D9),(C7+D8-D9)),SUMIFS(Headcount!$B$6:$B$89,Headcount!$F$6:$F$89,"Development Operations",Headcount!$H$6:$H$89,"&gt;"&amp;D3,Headcount!$G$6:$G$89,"&lt;"&amp;C3))</f>
        <v>5</v>
      </c>
      <c r="E7" s="798">
        <f>IF(E4="forecast",IF(D4="actual",(SUMIFS(Headcount!$B$6:$B$89,Headcount!$F$6:$F$89,"Development Operations",Headcount!$H$6:$H$89,"&gt;"&amp;E3,Headcount!$G$6:$G$89,"&lt;"&amp;E3)+E8-E9),(D7+E8-E9)),SUMIFS(Headcount!$B$6:$B$89,Headcount!$F$6:$F$89,"Development Operations",Headcount!$H$6:$H$89,"&gt;"&amp;E3,Headcount!$G$6:$G$89,"&lt;"&amp;D3))</f>
        <v>5</v>
      </c>
      <c r="F7" s="798">
        <f>IF(F4="forecast",IF(E4="actual",(SUMIFS(Headcount!$B$6:$B$89,Headcount!$F$6:$F$89,"Development Operations",Headcount!$H$6:$H$89,"&gt;"&amp;F3,Headcount!$G$6:$G$89,"&lt;"&amp;F3)+F8-F9),(E7+F8-F9)),SUMIFS(Headcount!$B$6:$B$89,Headcount!$F$6:$F$89,"Development Operations",Headcount!$H$6:$H$89,"&gt;"&amp;F3,Headcount!$G$6:$G$89,"&lt;"&amp;E3))</f>
        <v>5</v>
      </c>
      <c r="G7" s="798">
        <f>IF(G4="forecast",IF(F4="actual",(SUMIFS(Headcount!$B$6:$B$89,Headcount!$F$6:$F$89,"Development Operations",Headcount!$H$6:$H$89,"&gt;"&amp;G3,Headcount!$G$6:$G$89,"&lt;"&amp;G3)+G8-G9),(F7+G8-G9)),SUMIFS(Headcount!$B$6:$B$89,Headcount!$F$6:$F$89,"Development Operations",Headcount!$H$6:$H$89,"&gt;"&amp;G3,Headcount!$G$6:$G$89,"&lt;"&amp;F3))</f>
        <v>5</v>
      </c>
      <c r="H7" s="798">
        <f>IF(H4="forecast",IF(G4="actual",(SUMIFS(Headcount!$B$6:$B$89,Headcount!$F$6:$F$89,"Development Operations",Headcount!$H$6:$H$89,"&gt;"&amp;H3,Headcount!$G$6:$G$89,"&lt;"&amp;H3)+H8-H9),(G7+H8-H9)),SUMIFS(Headcount!$B$6:$B$89,Headcount!$F$6:$F$89,"Development Operations",Headcount!$H$6:$H$89,"&gt;"&amp;H3,Headcount!$G$6:$G$89,"&lt;"&amp;G3))</f>
        <v>6</v>
      </c>
      <c r="I7" s="798">
        <f>IF(I4="forecast",IF(H4="actual",(SUMIFS(Headcount!$B$6:$B$89,Headcount!$F$6:$F$89,"Development Operations",Headcount!$H$6:$H$89,"&gt;"&amp;I3,Headcount!$G$6:$G$89,"&lt;"&amp;I3)+I8-I9),(H7+I8-I9)),SUMIFS(Headcount!$B$6:$B$89,Headcount!$F$6:$F$89,"Development Operations",Headcount!$H$6:$H$89,"&gt;"&amp;I3,Headcount!$G$6:$G$89,"&lt;"&amp;H3))</f>
        <v>6</v>
      </c>
      <c r="J7" s="798">
        <f>IF(J4="forecast",IF(I4="actual",(SUMIFS(Headcount!$B$6:$B$89,Headcount!$F$6:$F$89,"Development Operations",Headcount!$H$6:$H$89,"&gt;"&amp;J3,Headcount!$G$6:$G$89,"&lt;"&amp;J3)+J8-J9),(I7+J8-J9)),SUMIFS(Headcount!$B$6:$B$89,Headcount!$F$6:$F$89,"Development Operations",Headcount!$H$6:$H$89,"&gt;"&amp;J3,Headcount!$G$6:$G$89,"&lt;"&amp;I3))</f>
        <v>7</v>
      </c>
      <c r="K7" s="798">
        <f>IF(K4="forecast",IF(J4="actual",(SUMIFS(Headcount!$B$6:$B$89,Headcount!$F$6:$F$89,"Development Operations",Headcount!$H$6:$H$89,"&gt;"&amp;K3,Headcount!$G$6:$G$89,"&lt;"&amp;K3)+K8-K9),(J7+K8-K9)),SUMIFS(Headcount!$B$6:$B$89,Headcount!$F$6:$F$89,"Development Operations",Headcount!$H$6:$H$89,"&gt;"&amp;K3,Headcount!$G$6:$G$89,"&lt;"&amp;J3))</f>
        <v>7</v>
      </c>
      <c r="L7" s="798">
        <f>IF(L4="forecast",IF(K4="actual",(SUMIFS(Headcount!$B$6:$B$89,Headcount!$F$6:$F$89,"Development Operations",Headcount!$H$6:$H$89,"&gt;"&amp;L3,Headcount!$G$6:$G$89,"&lt;"&amp;L3)+L8-L9),(K7+L8-L9)),SUMIFS(Headcount!$B$6:$B$89,Headcount!$F$6:$F$89,"Development Operations",Headcount!$H$6:$H$89,"&gt;"&amp;L3,Headcount!$G$6:$G$89,"&lt;"&amp;K3))</f>
        <v>7</v>
      </c>
      <c r="M7" s="798">
        <f>IF(M4="forecast",IF(L4="actual",(SUMIFS(Headcount!$B$6:$B$89,Headcount!$F$6:$F$89,"Development Operations",Headcount!$H$6:$H$89,"&gt;"&amp;M3,Headcount!$G$6:$G$89,"&lt;"&amp;M3)+M8-M9),(L7+M8-M9)),SUMIFS(Headcount!$B$6:$B$89,Headcount!$F$6:$F$89,"Development Operations",Headcount!$H$6:$H$89,"&gt;"&amp;M3,Headcount!$G$6:$G$89,"&lt;"&amp;L3))</f>
        <v>7</v>
      </c>
      <c r="N7" s="798">
        <f>IF(N4="forecast",IF(M4="actual",(SUMIFS(Headcount!$B$6:$B$89,Headcount!$F$6:$F$89,"Development Operations",Headcount!$H$6:$H$89,"&gt;"&amp;N3,Headcount!$G$6:$G$89,"&lt;"&amp;N3)+N8-N9),(M7+N8-N9)),SUMIFS(Headcount!$B$6:$B$89,Headcount!$F$6:$F$89,"Development Operations",Headcount!$H$6:$H$89,"&gt;"&amp;N3,Headcount!$G$6:$G$89,"&lt;"&amp;M3))</f>
        <v>14</v>
      </c>
      <c r="O7" s="798">
        <f>IF(O4="forecast",IF(N4="actual",(SUMIFS(Headcount!$B$6:$B$89,Headcount!$F$6:$F$89,"Development Operations",Headcount!$H$6:$H$89,"&gt;"&amp;O3,Headcount!$G$6:$G$89,"&lt;"&amp;O3)+O8-O9),(N7+O8-O9)),SUMIFS(Headcount!$B$6:$B$89,Headcount!$F$6:$F$89,"Development Operations",Headcount!$H$6:$H$89,"&gt;"&amp;O3,Headcount!$G$6:$G$89,"&lt;"&amp;N3))</f>
        <v>14</v>
      </c>
      <c r="P7" s="798">
        <f>IF(P4="forecast",IF(O4="actual",(SUMIFS(Headcount!$B$6:$B$89,Headcount!$F$6:$F$89,"Development Operations",Headcount!$H$6:$H$89,"&gt;"&amp;P3,Headcount!$G$6:$G$89,"&lt;"&amp;P3)+P8-P9),(O7+P8-P9)),SUMIFS(Headcount!$B$6:$B$89,Headcount!$F$6:$F$89,"Development Operations",Headcount!$H$6:$H$89,"&gt;"&amp;P3,Headcount!$G$6:$G$89,"&lt;"&amp;O3))</f>
        <v>14</v>
      </c>
      <c r="Q7" s="798">
        <f>IF(Q4="forecast",IF(P4="actual",(SUMIFS(Headcount!$B$6:$B$89,Headcount!$F$6:$F$89,"Development Operations",Headcount!$H$6:$H$89,"&gt;"&amp;Q3,Headcount!$G$6:$G$89,"&lt;"&amp;Q3)+Q8-Q9),(P7+Q8-Q9)),SUMIFS(Headcount!$B$6:$B$89,Headcount!$F$6:$F$89,"Development Operations",Headcount!$H$6:$H$89,"&gt;"&amp;Q3,Headcount!$G$6:$G$89,"&lt;"&amp;P3))</f>
        <v>14</v>
      </c>
      <c r="R7" s="798">
        <f>IF(R4="forecast",IF(Q4="actual",(SUMIFS(Headcount!$B$6:$B$89,Headcount!$F$6:$F$89,"Development Operations",Headcount!$H$6:$H$89,"&gt;"&amp;R3,Headcount!$G$6:$G$89,"&lt;"&amp;R3)+R8-R9),(Q7+R8-R9)),SUMIFS(Headcount!$B$6:$B$89,Headcount!$F$6:$F$89,"Development Operations",Headcount!$H$6:$H$89,"&gt;"&amp;R3,Headcount!$G$6:$G$89,"&lt;"&amp;Q3))</f>
        <v>15</v>
      </c>
      <c r="S7" s="798">
        <f>IF(S4="forecast",IF(R4="actual",(SUMIFS(Headcount!$B$6:$B$89,Headcount!$F$6:$F$89,"Development Operations",Headcount!$H$6:$H$89,"&gt;"&amp;S3,Headcount!$G$6:$G$89,"&lt;"&amp;S3)+S8-S9),(R7+S8-S9)),SUMIFS(Headcount!$B$6:$B$89,Headcount!$F$6:$F$89,"Development Operations",Headcount!$H$6:$H$89,"&gt;"&amp;S3,Headcount!$G$6:$G$89,"&lt;"&amp;R3))</f>
        <v>15</v>
      </c>
      <c r="T7" s="798">
        <f>IF(T4="forecast",IF(S4="actual",(SUMIFS(Headcount!$B$6:$B$89,Headcount!$F$6:$F$89,"Development Operations",Headcount!$H$6:$H$89,"&gt;"&amp;T3,Headcount!$G$6:$G$89,"&lt;"&amp;T3)+T8-T9),(S7+T8-T9)),SUMIFS(Headcount!$B$6:$B$89,Headcount!$F$6:$F$89,"Development Operations",Headcount!$H$6:$H$89,"&gt;"&amp;T3,Headcount!$G$6:$G$89,"&lt;"&amp;S3))</f>
        <v>15</v>
      </c>
      <c r="U7" s="798">
        <f>IF(U4="forecast",IF(T4="actual",(SUMIFS(Headcount!$B$6:$B$89,Headcount!$F$6:$F$89,"Development Operations",Headcount!$H$6:$H$89,"&gt;"&amp;U3,Headcount!$G$6:$G$89,"&lt;"&amp;U3)+U8-U9),(T7+U8-U9)),SUMIFS(Headcount!$B$6:$B$89,Headcount!$F$6:$F$89,"Development Operations",Headcount!$H$6:$H$89,"&gt;"&amp;U3,Headcount!$G$6:$G$89,"&lt;"&amp;T3))</f>
        <v>15</v>
      </c>
      <c r="V7" s="798">
        <f>IF(V4="forecast",IF(U4="actual",(SUMIFS(Headcount!$B$6:$B$89,Headcount!$F$6:$F$89,"Development Operations",Headcount!$H$6:$H$89,"&gt;"&amp;V3,Headcount!$G$6:$G$89,"&lt;"&amp;V3)+V8-V9),(U7+V8-V9)),SUMIFS(Headcount!$B$6:$B$89,Headcount!$F$6:$F$89,"Development Operations",Headcount!$H$6:$H$89,"&gt;"&amp;V3,Headcount!$G$6:$G$89,"&lt;"&amp;U3))</f>
        <v>15</v>
      </c>
      <c r="W7" s="798">
        <f>IF(W4="forecast",IF(V4="actual",(SUMIFS(Headcount!$B$6:$B$89,Headcount!$F$6:$F$89,"Development Operations",Headcount!$H$6:$H$89,"&gt;"&amp;W3,Headcount!$G$6:$G$89,"&lt;"&amp;W3)+W8-W9),(V7+W8-W9)),SUMIFS(Headcount!$B$6:$B$89,Headcount!$F$6:$F$89,"Development Operations",Headcount!$H$6:$H$89,"&gt;"&amp;W3,Headcount!$G$6:$G$89,"&lt;"&amp;V3))</f>
        <v>15</v>
      </c>
      <c r="X7" s="798">
        <f>IF(X4="forecast",IF(W4="actual",(SUMIFS(Headcount!$B$6:$B$89,Headcount!$F$6:$F$89,"Development Operations",Headcount!$H$6:$H$89,"&gt;"&amp;X3,Headcount!$G$6:$G$89,"&lt;"&amp;X3)+X8-X9),(W7+X8-X9)),SUMIFS(Headcount!$B$6:$B$89,Headcount!$F$6:$F$89,"Development Operations",Headcount!$H$6:$H$89,"&gt;"&amp;X3,Headcount!$G$6:$G$89,"&lt;"&amp;W3))</f>
        <v>15</v>
      </c>
      <c r="Y7" s="798">
        <f>IF(Y4="forecast",IF(X4="actual",(SUMIFS(Headcount!$B$6:$B$89,Headcount!$F$6:$F$89,"Development Operations",Headcount!$H$6:$H$89,"&gt;"&amp;Y3,Headcount!$G$6:$G$89,"&lt;"&amp;Y3)+Y8-Y9),(X7+Y8-Y9)),SUMIFS(Headcount!$B$6:$B$89,Headcount!$F$6:$F$89,"Development Operations",Headcount!$H$6:$H$89,"&gt;"&amp;Y3,Headcount!$G$6:$G$89,"&lt;"&amp;X3))</f>
        <v>15</v>
      </c>
      <c r="Z7" s="798">
        <f>IF(Z4="forecast",IF(Y4="actual",(SUMIFS(Headcount!$B$6:$B$89,Headcount!$F$6:$F$89,"Development Operations",Headcount!$H$6:$H$89,"&gt;"&amp;Z3,Headcount!$G$6:$G$89,"&lt;"&amp;Z3)+Z8-Z9),(Y7+Z8-Z9)),SUMIFS(Headcount!$B$6:$B$89,Headcount!$F$6:$F$89,"Development Operations",Headcount!$H$6:$H$89,"&gt;"&amp;Z3,Headcount!$G$6:$G$89,"&lt;"&amp;Y3))</f>
        <v>15</v>
      </c>
      <c r="AA7" s="798">
        <f>IF(AA4="forecast",IF(Z4="actual",(SUMIFS(Headcount!$B$6:$B$89,Headcount!$F$6:$F$89,"Development Operations",Headcount!$H$6:$H$89,"&gt;"&amp;AA3,Headcount!$G$6:$G$89,"&lt;"&amp;AA3)+AA8-AA9),(Z7+AA8-AA9)),SUMIFS(Headcount!$B$6:$B$89,Headcount!$F$6:$F$89,"Development Operations",Headcount!$H$6:$H$89,"&gt;"&amp;AA3,Headcount!$G$6:$G$89,"&lt;"&amp;Z3))</f>
        <v>17</v>
      </c>
      <c r="AB7" s="798">
        <f>IF(AB4="forecast",IF(AA4="actual",(SUMIFS(Headcount!$B$6:$B$89,Headcount!$F$6:$F$89,"Development Operations",Headcount!$H$6:$H$89,"&gt;"&amp;AB3,Headcount!$G$6:$G$89,"&lt;"&amp;AB3)+AB8-AB9),(AA7+AB8-AB9)),SUMIFS(Headcount!$B$6:$B$89,Headcount!$F$6:$F$89,"Development Operations",Headcount!$H$6:$H$89,"&gt;"&amp;AB3,Headcount!$G$6:$G$89,"&lt;"&amp;AA3))</f>
        <v>17</v>
      </c>
      <c r="AC7" s="798">
        <f>IF(AC4="forecast",IF(AB4="actual",(SUMIFS(Headcount!$B$6:$B$89,Headcount!$F$6:$F$89,"Development Operations",Headcount!$H$6:$H$89,"&gt;"&amp;AC3,Headcount!$G$6:$G$89,"&lt;"&amp;AC3)+AC8-AC9),(AB7+AC8-AC9)),SUMIFS(Headcount!$B$6:$B$89,Headcount!$F$6:$F$89,"Development Operations",Headcount!$H$6:$H$89,"&gt;"&amp;AC3,Headcount!$G$6:$G$89,"&lt;"&amp;AB3))</f>
        <v>17</v>
      </c>
      <c r="AD7" s="798">
        <f>IF(AD4="forecast",IF(AC4="actual",(SUMIFS(Headcount!$B$6:$B$89,Headcount!$F$6:$F$89,"Development Operations",Headcount!$H$6:$H$89,"&gt;"&amp;AD3,Headcount!$G$6:$G$89,"&lt;"&amp;AD3)+AD8-AD9),(AC7+AD8-AD9)),SUMIFS(Headcount!$B$6:$B$89,Headcount!$F$6:$F$89,"Development Operations",Headcount!$H$6:$H$89,"&gt;"&amp;AD3,Headcount!$G$6:$G$89,"&lt;"&amp;AC3))</f>
        <v>17</v>
      </c>
      <c r="AE7" s="798">
        <f>IF(AE4="forecast",IF(AD4="actual",(SUMIFS(Headcount!$B$6:$B$89,Headcount!$F$6:$F$89,"Development Operations",Headcount!$H$6:$H$89,"&gt;"&amp;AE3,Headcount!$G$6:$G$89,"&lt;"&amp;AE3)+AE8-AE9),(AD7+AE8-AE9)),SUMIFS(Headcount!$B$6:$B$89,Headcount!$F$6:$F$89,"Development Operations",Headcount!$H$6:$H$89,"&gt;"&amp;AE3,Headcount!$G$6:$G$89,"&lt;"&amp;AD3))</f>
        <v>17</v>
      </c>
      <c r="AF7" s="798">
        <f>IF(AF4="forecast",IF(AE4="actual",(SUMIFS(Headcount!$B$6:$B$89,Headcount!$F$6:$F$89,"Development Operations",Headcount!$H$6:$H$89,"&gt;"&amp;AF3,Headcount!$G$6:$G$89,"&lt;"&amp;AF3)+AF8-AF9),(AE7+AF8-AF9)),SUMIFS(Headcount!$B$6:$B$89,Headcount!$F$6:$F$89,"Development Operations",Headcount!$H$6:$H$89,"&gt;"&amp;AF3,Headcount!$G$6:$G$89,"&lt;"&amp;AE3))</f>
        <v>17</v>
      </c>
      <c r="AG7" s="798">
        <f>IF(AG4="forecast",IF(AF4="actual",(SUMIFS(Headcount!$B$6:$B$89,Headcount!$F$6:$F$89,"Development Operations",Headcount!$H$6:$H$89,"&gt;"&amp;AG3,Headcount!$G$6:$G$89,"&lt;"&amp;AG3)+AG8-AG9),(AF7+AG8-AG9)),SUMIFS(Headcount!$B$6:$B$89,Headcount!$F$6:$F$89,"Development Operations",Headcount!$H$6:$H$89,"&gt;"&amp;AG3,Headcount!$G$6:$G$89,"&lt;"&amp;AF3))</f>
        <v>17</v>
      </c>
      <c r="AH7" s="798">
        <f>IF(AH4="forecast",IF(AG4="actual",(SUMIFS(Headcount!$B$6:$B$89,Headcount!$F$6:$F$89,"Development Operations",Headcount!$H$6:$H$89,"&gt;"&amp;AH3,Headcount!$G$6:$G$89,"&lt;"&amp;AH3)+AH8-AH9),(AG7+AH8-AH9)),SUMIFS(Headcount!$B$6:$B$89,Headcount!$F$6:$F$89,"Development Operations",Headcount!$H$6:$H$89,"&gt;"&amp;AH3,Headcount!$G$6:$G$89,"&lt;"&amp;AG3))</f>
        <v>17</v>
      </c>
      <c r="AI7" s="798">
        <f>IF(AI4="forecast",IF(AH4="actual",(SUMIFS(Headcount!$B$6:$B$89,Headcount!$F$6:$F$89,"Development Operations",Headcount!$H$6:$H$89,"&gt;"&amp;AI3,Headcount!$G$6:$G$89,"&lt;"&amp;AI3)+AI8-AI9),(AH7+AI8-AI9)),SUMIFS(Headcount!$B$6:$B$89,Headcount!$F$6:$F$89,"Development Operations",Headcount!$H$6:$H$89,"&gt;"&amp;AI3,Headcount!$G$6:$G$89,"&lt;"&amp;AH3))</f>
        <v>17</v>
      </c>
      <c r="AJ7" s="798">
        <f>IF(AJ4="forecast",IF(AI4="actual",(SUMIFS(Headcount!$B$6:$B$89,Headcount!$F$6:$F$89,"Development Operations",Headcount!$H$6:$H$89,"&gt;"&amp;AJ3,Headcount!$G$6:$G$89,"&lt;"&amp;AJ3)+AJ8-AJ9),(AI7+AJ8-AJ9)),SUMIFS(Headcount!$B$6:$B$89,Headcount!$F$6:$F$89,"Development Operations",Headcount!$H$6:$H$89,"&gt;"&amp;AJ3,Headcount!$G$6:$G$89,"&lt;"&amp;AI3))</f>
        <v>17</v>
      </c>
      <c r="AK7" s="798">
        <f>IF(AK4="forecast",IF(AJ4="actual",(SUMIFS(Headcount!$B$6:$B$89,Headcount!$F$6:$F$89,"Development Operations",Headcount!$H$6:$H$89,"&gt;"&amp;AK3,Headcount!$G$6:$G$89,"&lt;"&amp;AK3)+AK8-AK9),(AJ7+AK8-AK9)),SUMIFS(Headcount!$B$6:$B$89,Headcount!$F$6:$F$89,"Development Operations",Headcount!$H$6:$H$89,"&gt;"&amp;AK3,Headcount!$G$6:$G$89,"&lt;"&amp;AJ3))</f>
        <v>17</v>
      </c>
      <c r="AL7" s="798">
        <f>IF(AL4="forecast",IF(AK4="actual",(SUMIFS(Headcount!$B$6:$B$89,Headcount!$F$6:$F$89,"Development Operations",Headcount!$H$6:$H$89,"&gt;"&amp;AL3,Headcount!$G$6:$G$89,"&lt;"&amp;AL3)+AL8-AL9),(AK7+AL8-AL9)),SUMIFS(Headcount!$B$6:$B$89,Headcount!$F$6:$F$89,"Development Operations",Headcount!$H$6:$H$89,"&gt;"&amp;AL3,Headcount!$G$6:$G$89,"&lt;"&amp;AK3))</f>
        <v>17</v>
      </c>
      <c r="AM7" s="798">
        <f>IF(AM4="forecast",IF(AL4="actual",(SUMIFS(Headcount!$B$6:$B$89,Headcount!$F$6:$F$89,"Development Operations",Headcount!$H$6:$H$89,"&gt;"&amp;AM3,Headcount!$G$6:$G$89,"&lt;"&amp;AM3)+AM8-AM9),(AL7+AM8-AM9)),SUMIFS(Headcount!$B$6:$B$89,Headcount!$F$6:$F$89,"Development Operations",Headcount!$H$6:$H$89,"&gt;"&amp;AM3,Headcount!$G$6:$G$89,"&lt;"&amp;AL3))</f>
        <v>17</v>
      </c>
      <c r="AN7" s="798">
        <f>IF(AN4="forecast",IF(AM4="actual",(SUMIFS(Headcount!$B$6:$B$89,Headcount!$F$6:$F$89,"Development Operations",Headcount!$H$6:$H$89,"&gt;"&amp;AN3,Headcount!$G$6:$G$89,"&lt;"&amp;AN3)+AN8-AN9),(AM7+AN8-AN9)),SUMIFS(Headcount!$B$6:$B$89,Headcount!$F$6:$F$89,"Development Operations",Headcount!$H$6:$H$89,"&gt;"&amp;AN3,Headcount!$G$6:$G$89,"&lt;"&amp;AM3))</f>
        <v>17</v>
      </c>
      <c r="AO7" s="798">
        <f>IF(AO4="forecast",IF(AN4="actual",(SUMIFS(Headcount!$B$6:$B$89,Headcount!$F$6:$F$89,"Development Operations",Headcount!$H$6:$H$89,"&gt;"&amp;AO3,Headcount!$G$6:$G$89,"&lt;"&amp;AO3)+AO8-AO9),(AN7+AO8-AO9)),SUMIFS(Headcount!$B$6:$B$89,Headcount!$F$6:$F$89,"Development Operations",Headcount!$H$6:$H$89,"&gt;"&amp;AO3,Headcount!$G$6:$G$89,"&lt;"&amp;AN3))</f>
        <v>17</v>
      </c>
      <c r="AP7" s="798">
        <f>IF(AP4="forecast",IF(AO4="actual",(SUMIFS(Headcount!$B$6:$B$89,Headcount!$F$6:$F$89,"Development Operations",Headcount!$H$6:$H$89,"&gt;"&amp;AP3,Headcount!$G$6:$G$89,"&lt;"&amp;AP3)+AP8-AP9),(AO7+AP8-AP9)),SUMIFS(Headcount!$B$6:$B$89,Headcount!$F$6:$F$89,"Development Operations",Headcount!$H$6:$H$89,"&gt;"&amp;AP3,Headcount!$G$6:$G$89,"&lt;"&amp;AO3))</f>
        <v>17</v>
      </c>
      <c r="AQ7" s="798">
        <f>IF(AQ4="forecast",IF(AP4="actual",(SUMIFS(Headcount!$B$6:$B$89,Headcount!$F$6:$F$89,"Development Operations",Headcount!$H$6:$H$89,"&gt;"&amp;AQ3,Headcount!$G$6:$G$89,"&lt;"&amp;AQ3)+AQ8-AQ9),(AP7+AQ8-AQ9)),SUMIFS(Headcount!$B$6:$B$89,Headcount!$F$6:$F$89,"Development Operations",Headcount!$H$6:$H$89,"&gt;"&amp;AQ3,Headcount!$G$6:$G$89,"&lt;"&amp;AP3))</f>
        <v>17</v>
      </c>
      <c r="AR7" s="798">
        <f>IF(AR4="forecast",IF(AQ4="actual",(SUMIFS(Headcount!$B$6:$B$89,Headcount!$F$6:$F$89,"Development Operations",Headcount!$H$6:$H$89,"&gt;"&amp;AR3,Headcount!$G$6:$G$89,"&lt;"&amp;AR3)+AR8-AR9),(AQ7+AR8-AR9)),SUMIFS(Headcount!$B$6:$B$89,Headcount!$F$6:$F$89,"Development Operations",Headcount!$H$6:$H$89,"&gt;"&amp;AR3,Headcount!$G$6:$G$89,"&lt;"&amp;AQ3))</f>
        <v>17</v>
      </c>
      <c r="AS7" s="798">
        <f>IF(AS4="forecast",IF(AR4="actual",(SUMIFS(Headcount!$B$6:$B$89,Headcount!$F$6:$F$89,"Development Operations",Headcount!$H$6:$H$89,"&gt;"&amp;AS3,Headcount!$G$6:$G$89,"&lt;"&amp;AS3)+AS8-AS9),(AR7+AS8-AS9)),SUMIFS(Headcount!$B$6:$B$89,Headcount!$F$6:$F$89,"Development Operations",Headcount!$H$6:$H$89,"&gt;"&amp;AS3,Headcount!$G$6:$G$89,"&lt;"&amp;AR3))</f>
        <v>17</v>
      </c>
      <c r="AT7" s="798">
        <f>IF(AT4="forecast",IF(AS4="actual",(SUMIFS(Headcount!$B$6:$B$89,Headcount!$F$6:$F$89,"Development Operations",Headcount!$H$6:$H$89,"&gt;"&amp;AT3,Headcount!$G$6:$G$89,"&lt;"&amp;AT3)+AT8-AT9),(AS7+AT8-AT9)),SUMIFS(Headcount!$B$6:$B$89,Headcount!$F$6:$F$89,"Development Operations",Headcount!$H$6:$H$89,"&gt;"&amp;AT3,Headcount!$G$6:$G$89,"&lt;"&amp;AS3))</f>
        <v>17</v>
      </c>
      <c r="AU7" s="798">
        <f>IF(AU4="forecast",IF(AT4="actual",(SUMIFS(Headcount!$B$6:$B$89,Headcount!$F$6:$F$89,"Development Operations",Headcount!$H$6:$H$89,"&gt;"&amp;AU3,Headcount!$G$6:$G$89,"&lt;"&amp;AU3)+AU8-AU9),(AT7+AU8-AU9)),SUMIFS(Headcount!$B$6:$B$89,Headcount!$F$6:$F$89,"Development Operations",Headcount!$H$6:$H$89,"&gt;"&amp;AU3,Headcount!$G$6:$G$89,"&lt;"&amp;AT3))</f>
        <v>17</v>
      </c>
      <c r="AV7" s="798">
        <f>IF(AV4="forecast",IF(AU4="actual",(SUMIFS(Headcount!$B$6:$B$89,Headcount!$F$6:$F$89,"Development Operations",Headcount!$H$6:$H$89,"&gt;"&amp;AV3,Headcount!$G$6:$G$89,"&lt;"&amp;AV3)+AV8-AV9),(AU7+AV8-AV9)),SUMIFS(Headcount!$B$6:$B$89,Headcount!$F$6:$F$89,"Development Operations",Headcount!$H$6:$H$89,"&gt;"&amp;AV3,Headcount!$G$6:$G$89,"&lt;"&amp;AU3))</f>
        <v>17</v>
      </c>
      <c r="AW7" s="798">
        <f>IF(AW4="forecast",IF(AV4="actual",(SUMIFS(Headcount!$B$6:$B$89,Headcount!$F$6:$F$89,"Development Operations",Headcount!$H$6:$H$89,"&gt;"&amp;AW3,Headcount!$G$6:$G$89,"&lt;"&amp;AW3)+AW8-AW9),(AV7+AW8-AW9)),SUMIFS(Headcount!$B$6:$B$89,Headcount!$F$6:$F$89,"Development Operations",Headcount!$H$6:$H$89,"&gt;"&amp;AW3,Headcount!$G$6:$G$89,"&lt;"&amp;AV3))</f>
        <v>17</v>
      </c>
      <c r="AX7" s="798">
        <f>IF(AX4="forecast",IF(AW4="actual",(SUMIFS(Headcount!$B$6:$B$89,Headcount!$F$6:$F$89,"Development Operations",Headcount!$H$6:$H$89,"&gt;"&amp;AX3,Headcount!$G$6:$G$89,"&lt;"&amp;AX3)+AX8-AX9),(AW7+AX8-AX9)),SUMIFS(Headcount!$B$6:$B$89,Headcount!$F$6:$F$89,"Development Operations",Headcount!$H$6:$H$89,"&gt;"&amp;AX3,Headcount!$G$6:$G$89,"&lt;"&amp;AW3))</f>
        <v>17</v>
      </c>
      <c r="AY7" s="798">
        <f>IF(AY4="forecast",IF(AX4="actual",(SUMIFS(Headcount!$B$6:$B$89,Headcount!$F$6:$F$89,"Development Operations",Headcount!$H$6:$H$89,"&gt;"&amp;AY3,Headcount!$G$6:$G$89,"&lt;"&amp;AY3)+AY8-AY9),(AX7+AY8-AY9)),SUMIFS(Headcount!$B$6:$B$89,Headcount!$F$6:$F$89,"Development Operations",Headcount!$H$6:$H$89,"&gt;"&amp;AY3,Headcount!$G$6:$G$89,"&lt;"&amp;AX3))</f>
        <v>17</v>
      </c>
      <c r="AZ7" s="798">
        <f>IF(AZ4="forecast",IF(AY4="actual",(SUMIFS(Headcount!$B$6:$B$89,Headcount!$F$6:$F$89,"Development Operations",Headcount!$H$6:$H$89,"&gt;"&amp;AZ3,Headcount!$G$6:$G$89,"&lt;"&amp;AZ3)+AZ8-AZ9),(AY7+AZ8-AZ9)),SUMIFS(Headcount!$B$6:$B$89,Headcount!$F$6:$F$89,"Development Operations",Headcount!$H$6:$H$89,"&gt;"&amp;AZ3,Headcount!$G$6:$G$89,"&lt;"&amp;AY3))</f>
        <v>17</v>
      </c>
      <c r="BA7" s="798">
        <f>IF(BA4="forecast",IF(AZ4="actual",(SUMIFS(Headcount!$B$6:$B$89,Headcount!$F$6:$F$89,"Development Operations",Headcount!$H$6:$H$89,"&gt;"&amp;BA3,Headcount!$G$6:$G$89,"&lt;"&amp;BA3)+BA8-BA9),(AZ7+BA8-BA9)),SUMIFS(Headcount!$B$6:$B$89,Headcount!$F$6:$F$89,"Development Operations",Headcount!$H$6:$H$89,"&gt;"&amp;BA3,Headcount!$G$6:$G$89,"&lt;"&amp;AZ3))</f>
        <v>17</v>
      </c>
      <c r="BB7" s="798">
        <f>IF(BB4="forecast",IF(BA4="actual",(SUMIFS(Headcount!$B$6:$B$89,Headcount!$F$6:$F$89,"Development Operations",Headcount!$H$6:$H$89,"&gt;"&amp;BB3,Headcount!$G$6:$G$89,"&lt;"&amp;BB3)+BB8-BB9),(BA7+BB8-BB9)),SUMIFS(Headcount!$B$6:$B$89,Headcount!$F$6:$F$89,"Development Operations",Headcount!$H$6:$H$89,"&gt;"&amp;BB3,Headcount!$G$6:$G$89,"&lt;"&amp;BA3))</f>
        <v>17</v>
      </c>
      <c r="BC7" s="798">
        <f>IF(BC4="forecast",IF(BB4="actual",(SUMIFS(Headcount!$B$6:$B$89,Headcount!$F$6:$F$89,"Development Operations",Headcount!$H$6:$H$89,"&gt;"&amp;BC3,Headcount!$G$6:$G$89,"&lt;"&amp;BC3)+BC8-BC9),(BB7+BC8-BC9)),SUMIFS(Headcount!$B$6:$B$89,Headcount!$F$6:$F$89,"Development Operations",Headcount!$H$6:$H$89,"&gt;"&amp;BC3,Headcount!$G$6:$G$89,"&lt;"&amp;BB3))</f>
        <v>17</v>
      </c>
      <c r="BD7" s="798">
        <f>IF(BD4="forecast",IF(BC4="actual",(SUMIFS(Headcount!$B$6:$B$89,Headcount!$F$6:$F$89,"Development Operations",Headcount!$H$6:$H$89,"&gt;"&amp;BD3,Headcount!$G$6:$G$89,"&lt;"&amp;BD3)+BD8-BD9),(BC7+BD8-BD9)),SUMIFS(Headcount!$B$6:$B$89,Headcount!$F$6:$F$89,"Development Operations",Headcount!$H$6:$H$89,"&gt;"&amp;BD3,Headcount!$G$6:$G$89,"&lt;"&amp;BC3))</f>
        <v>17</v>
      </c>
      <c r="BE7" s="798">
        <f>IF(BE4="forecast",IF(BD4="actual",(SUMIFS(Headcount!$B$6:$B$89,Headcount!$F$6:$F$89,"Development Operations",Headcount!$H$6:$H$89,"&gt;"&amp;BE3,Headcount!$G$6:$G$89,"&lt;"&amp;BE3)+BE8-BE9),(BD7+BE8-BE9)),SUMIFS(Headcount!$B$6:$B$89,Headcount!$F$6:$F$89,"Development Operations",Headcount!$H$6:$H$89,"&gt;"&amp;BE3,Headcount!$G$6:$G$89,"&lt;"&amp;BD3))</f>
        <v>17</v>
      </c>
      <c r="BF7" s="798">
        <f>IF(BF4="forecast",IF(BE4="actual",(SUMIFS(Headcount!$B$6:$B$89,Headcount!$F$6:$F$89,"Development Operations",Headcount!$H$6:$H$89,"&gt;"&amp;BF3,Headcount!$G$6:$G$89,"&lt;"&amp;BF3)+BF8-BF9),(BE7+BF8-BF9)),SUMIFS(Headcount!$B$6:$B$89,Headcount!$F$6:$F$89,"Development Operations",Headcount!$H$6:$H$89,"&gt;"&amp;BF3,Headcount!$G$6:$G$89,"&lt;"&amp;BE3))</f>
        <v>17</v>
      </c>
      <c r="BG7" s="798">
        <f>IF(BG4="forecast",IF(BF4="actual",(SUMIFS(Headcount!$B$6:$B$89,Headcount!$F$6:$F$89,"Development Operations",Headcount!$H$6:$H$89,"&gt;"&amp;BG3,Headcount!$G$6:$G$89,"&lt;"&amp;BG3)+BG8-BG9),(BF7+BG8-BG9)),SUMIFS(Headcount!$B$6:$B$89,Headcount!$F$6:$F$89,"Development Operations",Headcount!$H$6:$H$89,"&gt;"&amp;BG3,Headcount!$G$6:$G$89,"&lt;"&amp;BF3))</f>
        <v>17</v>
      </c>
      <c r="BH7" s="798">
        <f>IF(BH4="forecast",IF(BG4="actual",(SUMIFS(Headcount!$B$6:$B$89,Headcount!$F$6:$F$89,"Development Operations",Headcount!$H$6:$H$89,"&gt;"&amp;BH3,Headcount!$G$6:$G$89,"&lt;"&amp;BH3)+BH8-BH9),(BG7+BH8-BH9)),SUMIFS(Headcount!$B$6:$B$89,Headcount!$F$6:$F$89,"Development Operations",Headcount!$H$6:$H$89,"&gt;"&amp;BH3,Headcount!$G$6:$G$89,"&lt;"&amp;BG3))</f>
        <v>17</v>
      </c>
      <c r="BI7" s="798">
        <f>IF(BI4="forecast",IF(BH4="actual",(SUMIFS(Headcount!$B$6:$B$89,Headcount!$F$6:$F$89,"Development Operations",Headcount!$H$6:$H$89,"&gt;"&amp;BI3,Headcount!$G$6:$G$89,"&lt;"&amp;BI3)+BI8-BI9),(BH7+BI8-BI9)),SUMIFS(Headcount!$B$6:$B$89,Headcount!$F$6:$F$89,"Development Operations",Headcount!$H$6:$H$89,"&gt;"&amp;BI3,Headcount!$G$6:$G$89,"&lt;"&amp;BH3))</f>
        <v>17</v>
      </c>
      <c r="BJ7" s="798">
        <f>IF(BJ4="forecast",IF(BI4="actual",(SUMIFS(Headcount!$B$6:$B$89,Headcount!$F$6:$F$89,"Development Operations",Headcount!$H$6:$H$89,"&gt;"&amp;BJ3,Headcount!$G$6:$G$89,"&lt;"&amp;BJ3)+BJ8-BJ9),(BI7+BJ8-BJ9)),SUMIFS(Headcount!$B$6:$B$89,Headcount!$F$6:$F$89,"Development Operations",Headcount!$H$6:$H$89,"&gt;"&amp;BJ3,Headcount!$G$6:$G$89,"&lt;"&amp;BI3))</f>
        <v>17</v>
      </c>
      <c r="BK7" s="798">
        <f>IF(BK4="forecast",IF(BJ4="actual",(SUMIFS(Headcount!$B$6:$B$89,Headcount!$F$6:$F$89,"Development Operations",Headcount!$H$6:$H$89,"&gt;"&amp;BK3,Headcount!$G$6:$G$89,"&lt;"&amp;BK3)+BK8-BK9),(BJ7+BK8-BK9)),SUMIFS(Headcount!$B$6:$B$89,Headcount!$F$6:$F$89,"Development Operations",Headcount!$H$6:$H$89,"&gt;"&amp;BK3,Headcount!$G$6:$G$89,"&lt;"&amp;BJ3))</f>
        <v>17</v>
      </c>
      <c r="BL7" s="798">
        <f>IF(BL4="forecast",IF(BK4="actual",(SUMIFS(Headcount!$B$6:$B$89,Headcount!$F$6:$F$89,"Development Operations",Headcount!$H$6:$H$89,"&gt;"&amp;BL3,Headcount!$G$6:$G$89,"&lt;"&amp;BL3)+BL8-BL9),(BK7+BL8-BL9)),SUMIFS(Headcount!$B$6:$B$89,Headcount!$F$6:$F$89,"Development Operations",Headcount!$H$6:$H$89,"&gt;"&amp;BL3,Headcount!$G$6:$G$89,"&lt;"&amp;BK3))</f>
        <v>17</v>
      </c>
      <c r="BM7" s="798">
        <f>IF(BM4="forecast",IF(BL4="actual",(SUMIFS(Headcount!$B$6:$B$89,Headcount!$F$6:$F$89,"Development Operations",Headcount!$H$6:$H$89,"&gt;"&amp;BM3,Headcount!$G$6:$G$89,"&lt;"&amp;BM3)+BM8-BM9),(BL7+BM8-BM9)),SUMIFS(Headcount!$B$6:$B$89,Headcount!$F$6:$F$89,"Development Operations",Headcount!$H$6:$H$89,"&gt;"&amp;BM3,Headcount!$G$6:$G$89,"&lt;"&amp;BL3))</f>
        <v>17</v>
      </c>
      <c r="BN7" s="798">
        <f>IF(BN4="forecast",IF(BM4="actual",(SUMIFS(Headcount!$B$6:$B$89,Headcount!$F$6:$F$89,"Development Operations",Headcount!$H$6:$H$89,"&gt;"&amp;BN3,Headcount!$G$6:$G$89,"&lt;"&amp;BN3)+BN8-BN9),(BM7+BN8-BN9)),SUMIFS(Headcount!$B$6:$B$89,Headcount!$F$6:$F$89,"Development Operations",Headcount!$H$6:$H$89,"&gt;"&amp;BN3,Headcount!$G$6:$G$89,"&lt;"&amp;BM3))</f>
        <v>17</v>
      </c>
      <c r="BO7" s="798">
        <f>IF(BO4="forecast",IF(BN4="actual",(SUMIFS(Headcount!$B$6:$B$89,Headcount!$F$6:$F$89,"Development Operations",Headcount!$H$6:$H$89,"&gt;"&amp;BO3,Headcount!$G$6:$G$89,"&lt;"&amp;BO3)+BO8-BO9),(BN7+BO8-BO9)),SUMIFS(Headcount!$B$6:$B$89,Headcount!$F$6:$F$89,"Development Operations",Headcount!$H$6:$H$89,"&gt;"&amp;BO3,Headcount!$G$6:$G$89,"&lt;"&amp;BN3))</f>
        <v>17</v>
      </c>
      <c r="BP7" s="798">
        <f>IF(BP4="forecast",IF(BO4="actual",(SUMIFS(Headcount!$B$6:$B$89,Headcount!$F$6:$F$89,"Development Operations",Headcount!$H$6:$H$89,"&gt;"&amp;BP3,Headcount!$G$6:$G$89,"&lt;"&amp;BP3)+BP8-BP9),(BO7+BP8-BP9)),SUMIFS(Headcount!$B$6:$B$89,Headcount!$F$6:$F$89,"Development Operations",Headcount!$H$6:$H$89,"&gt;"&amp;BP3,Headcount!$G$6:$G$89,"&lt;"&amp;BO3))</f>
        <v>17</v>
      </c>
      <c r="BQ7" s="798">
        <f>IF(BQ4="forecast",IF(BP4="actual",(SUMIFS(Headcount!$B$6:$B$89,Headcount!$F$6:$F$89,"Development Operations",Headcount!$H$6:$H$89,"&gt;"&amp;BQ3,Headcount!$G$6:$G$89,"&lt;"&amp;BQ3)+BQ8-BQ9),(BP7+BQ8-BQ9)),SUMIFS(Headcount!$B$6:$B$89,Headcount!$F$6:$F$89,"Development Operations",Headcount!$H$6:$H$89,"&gt;"&amp;BQ3,Headcount!$G$6:$G$89,"&lt;"&amp;BP3))</f>
        <v>17</v>
      </c>
      <c r="BR7" s="798">
        <f>IF(BR4="forecast",IF(BQ4="actual",(SUMIFS(Headcount!$B$6:$B$89,Headcount!$F$6:$F$89,"Development Operations",Headcount!$H$6:$H$89,"&gt;"&amp;BR3,Headcount!$G$6:$G$89,"&lt;"&amp;BR3)+BR8-BR9),(BQ7+BR8-BR9)),SUMIFS(Headcount!$B$6:$B$89,Headcount!$F$6:$F$89,"Development Operations",Headcount!$H$6:$H$89,"&gt;"&amp;BR3,Headcount!$G$6:$G$89,"&lt;"&amp;BQ3))</f>
        <v>17</v>
      </c>
      <c r="BS7" s="798">
        <f>IF(BS4="forecast",IF(BR4="actual",(SUMIFS(Headcount!$B$6:$B$89,Headcount!$F$6:$F$89,"Development Operations",Headcount!$H$6:$H$89,"&gt;"&amp;BS3,Headcount!$G$6:$G$89,"&lt;"&amp;BS3)+BS8-BS9),(BR7+BS8-BS9)),SUMIFS(Headcount!$B$6:$B$89,Headcount!$F$6:$F$89,"Development Operations",Headcount!$H$6:$H$89,"&gt;"&amp;BS3,Headcount!$G$6:$G$89,"&lt;"&amp;BR3))</f>
        <v>17</v>
      </c>
      <c r="BT7" s="798">
        <f>IF(BT4="forecast",IF(BS4="actual",(SUMIFS(Headcount!$B$6:$B$89,Headcount!$F$6:$F$89,"Development Operations",Headcount!$H$6:$H$89,"&gt;"&amp;BT3,Headcount!$G$6:$G$89,"&lt;"&amp;BT3)+BT8-BT9),(BS7+BT8-BT9)),SUMIFS(Headcount!$B$6:$B$89,Headcount!$F$6:$F$89,"Development Operations",Headcount!$H$6:$H$89,"&gt;"&amp;BT3,Headcount!$G$6:$G$89,"&lt;"&amp;BS3))</f>
        <v>17</v>
      </c>
      <c r="BU7" s="798">
        <f>IF(BU4="forecast",IF(BT4="actual",(SUMIFS(Headcount!$B$6:$B$89,Headcount!$F$6:$F$89,"Development Operations",Headcount!$H$6:$H$89,"&gt;"&amp;BU3,Headcount!$G$6:$G$89,"&lt;"&amp;BU3)+BU8-BU9),(BT7+BU8-BU9)),SUMIFS(Headcount!$B$6:$B$89,Headcount!$F$6:$F$89,"Development Operations",Headcount!$H$6:$H$89,"&gt;"&amp;BU3,Headcount!$G$6:$G$89,"&lt;"&amp;BT3))</f>
        <v>17</v>
      </c>
      <c r="BV7" s="799">
        <f>IF(BV4="forecast",IF(BU4="actual",(SUMIFS(Headcount!$B$6:$B$89,Headcount!$F$6:$F$89,"Development Operations",Headcount!$H$6:$H$89,"&gt;"&amp;BV3,Headcount!$G$6:$G$89,"&lt;"&amp;BV3)+BV8-BV9),(BU7+BV8-BV9)),SUMIFS(Headcount!$B$6:$B$89,Headcount!$F$6:$F$89,"Development Operations",Headcount!$H$6:$H$89,"&gt;"&amp;BV3,Headcount!$G$6:$G$89,"&lt;"&amp;BU3))</f>
        <v>17</v>
      </c>
    </row>
    <row r="8" spans="2:74" x14ac:dyDescent="0.35">
      <c r="B8" s="794" t="s">
        <v>15</v>
      </c>
      <c r="C8" s="798">
        <f>SUMIFS('New Hires Forecast'!$B$5:$B$83,'New Hires Forecast'!$G$5:$G$83,"&gt;"&amp;'Dev Ops'!B3,'New Hires Forecast'!$G$5:$G$83,"&lt;="&amp;'Dev Ops'!C3,'New Hires Forecast'!$G$5:$G$83,"Dev Ops")</f>
        <v>0</v>
      </c>
      <c r="D8" s="798">
        <f>SUMIFS('New Hires Forecast'!$B$5:$B$83,'New Hires Forecast'!$G$5:$G$83,"&gt;"&amp;'Dev Ops'!C3,'New Hires Forecast'!$G$5:$G$83,"&lt;="&amp;'Dev Ops'!D3,'New Hires Forecast'!$G$5:$G$83,"Dev Ops")</f>
        <v>0</v>
      </c>
      <c r="E8" s="798">
        <f>SUMIFS('New Hires Forecast'!$B$5:$B$83,'New Hires Forecast'!$G$5:$G$83,"&gt;"&amp;'Dev Ops'!D3,'New Hires Forecast'!$G$5:$G$83,"&lt;="&amp;'Dev Ops'!E3,'New Hires Forecast'!$G$5:$G$83,"Dev Ops")</f>
        <v>0</v>
      </c>
      <c r="F8" s="798">
        <f>SUMIFS('New Hires Forecast'!$B$5:$B$83,'New Hires Forecast'!$G$5:$G$83,"&gt;"&amp;'Dev Ops'!E3,'New Hires Forecast'!$G$5:$G$83,"&lt;="&amp;'Dev Ops'!F3,'New Hires Forecast'!$G$5:$G$83,"Dev Ops")</f>
        <v>0</v>
      </c>
      <c r="G8" s="798">
        <f>SUMIFS('New Hires Forecast'!$B$5:$B$83,'New Hires Forecast'!$G$5:$G$83,"&gt;"&amp;'Dev Ops'!F3,'New Hires Forecast'!$G$5:$G$83,"&lt;="&amp;'Dev Ops'!G3,'New Hires Forecast'!$G$5:$G$83,"Dev Ops")</f>
        <v>0</v>
      </c>
      <c r="H8" s="798">
        <f>SUMIFS('New Hires Forecast'!$B$5:$B$83,'New Hires Forecast'!$G$5:$G$83,"&gt;"&amp;'Dev Ops'!G3,'New Hires Forecast'!$G$5:$G$83,"&lt;="&amp;'Dev Ops'!H3,'New Hires Forecast'!$G$5:$G$83,"Dev Ops")</f>
        <v>0</v>
      </c>
      <c r="I8" s="798">
        <f>SUMIFS('New Hires Forecast'!$B$5:$B$83,'New Hires Forecast'!$G$5:$G$83,"&gt;"&amp;'Dev Ops'!H3,'New Hires Forecast'!$G$5:$G$83,"&lt;="&amp;'Dev Ops'!I3,'New Hires Forecast'!$G$5:$G$83,"Dev Ops")</f>
        <v>0</v>
      </c>
      <c r="J8" s="798">
        <f>SUMIFS('New Hires Forecast'!$B$5:$B$83,'New Hires Forecast'!$G$5:$G$83,"&gt;"&amp;'Dev Ops'!I3,'New Hires Forecast'!$G$5:$G$83,"&lt;="&amp;'Dev Ops'!J3,'New Hires Forecast'!$G$5:$G$83,"Dev Ops")</f>
        <v>0</v>
      </c>
      <c r="K8" s="798">
        <f>SUMIFS('New Hires Forecast'!$B$5:$B$83,'New Hires Forecast'!$G$5:$G$83,"&gt;"&amp;'Dev Ops'!J3,'New Hires Forecast'!$G$5:$G$83,"&lt;="&amp;'Dev Ops'!K3,'New Hires Forecast'!$G$5:$G$83,"Dev Ops")</f>
        <v>0</v>
      </c>
      <c r="L8" s="798">
        <f>SUMIFS('New Hires Forecast'!$B$5:$B$83,'New Hires Forecast'!$G$5:$G$83,"&gt;"&amp;'Dev Ops'!K3,'New Hires Forecast'!$G$5:$G$83,"&lt;="&amp;'Dev Ops'!L3,'New Hires Forecast'!$G$5:$G$83,"Dev Ops")</f>
        <v>0</v>
      </c>
      <c r="M8" s="798">
        <f>SUMIFS('New Hires Forecast'!$B$5:$B$83,'New Hires Forecast'!$G$5:$G$83,"&gt;"&amp;'Dev Ops'!L3,'New Hires Forecast'!$G$5:$G$83,"&lt;="&amp;'Dev Ops'!M3,'New Hires Forecast'!$G$5:$G$83,"Dev Ops")</f>
        <v>0</v>
      </c>
      <c r="N8" s="798">
        <f>SUMIFS('New Hires Forecast'!$B$5:$B$83,'New Hires Forecast'!$G$5:$G$83,"&gt;"&amp;'Dev Ops'!M3,'New Hires Forecast'!$G$5:$G$83,"&lt;="&amp;'Dev Ops'!N3,'New Hires Forecast'!$G$5:$G$83,"Dev Ops")</f>
        <v>0</v>
      </c>
      <c r="O8" s="798">
        <f>SUMIFS('New Hires Forecast'!$B$5:$B$83,'New Hires Forecast'!$G$5:$G$83,"&gt;"&amp;'Dev Ops'!N3,'New Hires Forecast'!$G$5:$G$83,"&lt;="&amp;'Dev Ops'!O3,'New Hires Forecast'!$G$5:$G$83,"Dev Ops")</f>
        <v>0</v>
      </c>
      <c r="P8" s="798">
        <f>SUMIFS('New Hires Forecast'!$B$5:$B$83,'New Hires Forecast'!$G$5:$G$83,"&gt;"&amp;'Dev Ops'!O3,'New Hires Forecast'!$G$5:$G$83,"&lt;="&amp;'Dev Ops'!P3,'New Hires Forecast'!$G$5:$G$83,"Dev Ops")</f>
        <v>0</v>
      </c>
      <c r="Q8" s="798">
        <f>SUMIFS('New Hires Forecast'!$B$5:$B$83,'New Hires Forecast'!$G$5:$G$83,"&gt;"&amp;'Dev Ops'!P3,'New Hires Forecast'!$G$5:$G$83,"&lt;="&amp;'Dev Ops'!Q3,'New Hires Forecast'!$G$5:$G$83,"Dev Ops")</f>
        <v>0</v>
      </c>
      <c r="R8" s="798">
        <f>SUMIFS('New Hires Forecast'!$B$5:$B$83,'New Hires Forecast'!$G$5:$G$83,"&gt;"&amp;'Dev Ops'!Q3,'New Hires Forecast'!$G$5:$G$83,"&lt;="&amp;'Dev Ops'!R3,'New Hires Forecast'!$G$5:$G$83,"Dev Ops")</f>
        <v>0</v>
      </c>
      <c r="S8" s="798">
        <f>SUMIFS('New Hires Forecast'!$B$5:$B$83,'New Hires Forecast'!$G$5:$G$83,"&gt;"&amp;'Dev Ops'!R3,'New Hires Forecast'!$G$5:$G$83,"&lt;="&amp;'Dev Ops'!S3,'New Hires Forecast'!$G$5:$G$83,"Dev Ops")</f>
        <v>0</v>
      </c>
      <c r="T8" s="798">
        <f>SUMIFS('New Hires Forecast'!$B$5:$B$83,'New Hires Forecast'!$G$5:$G$83,"&gt;"&amp;'Dev Ops'!S3,'New Hires Forecast'!$G$5:$G$83,"&lt;="&amp;'Dev Ops'!T3,'New Hires Forecast'!$G$5:$G$83,"Dev Ops")</f>
        <v>0</v>
      </c>
      <c r="U8" s="798">
        <f>SUMIFS('New Hires Forecast'!$B$5:$B$83,'New Hires Forecast'!$G$5:$G$83,"&gt;"&amp;'Dev Ops'!T3,'New Hires Forecast'!$G$5:$G$83,"&lt;="&amp;'Dev Ops'!U3,'New Hires Forecast'!$G$5:$G$83,"Dev Ops")</f>
        <v>0</v>
      </c>
      <c r="V8" s="798">
        <f>SUMIFS('New Hires Forecast'!$B$5:$B$83,'New Hires Forecast'!$G$5:$G$83,"&gt;"&amp;'Dev Ops'!U3,'New Hires Forecast'!$G$5:$G$83,"&lt;="&amp;'Dev Ops'!V3,'New Hires Forecast'!$G$5:$G$83,"Dev Ops")</f>
        <v>0</v>
      </c>
      <c r="W8" s="798">
        <f>SUMIFS('New Hires Forecast'!$B$5:$B$83,'New Hires Forecast'!$G$5:$G$83,"&gt;"&amp;'Dev Ops'!V3,'New Hires Forecast'!$G$5:$G$83,"&lt;="&amp;'Dev Ops'!W3,'New Hires Forecast'!$G$5:$G$83,"Dev Ops")</f>
        <v>0</v>
      </c>
      <c r="X8" s="798">
        <f>SUMIFS('New Hires Forecast'!$B$5:$B$83,'New Hires Forecast'!$G$5:$G$83,"&gt;"&amp;'Dev Ops'!W3,'New Hires Forecast'!$G$5:$G$83,"&lt;="&amp;'Dev Ops'!X3,'New Hires Forecast'!$G$5:$G$83,"Dev Ops")</f>
        <v>0</v>
      </c>
      <c r="Y8" s="798">
        <f>SUMIFS('New Hires Forecast'!$B$5:$B$83,'New Hires Forecast'!$G$5:$G$83,"&gt;"&amp;'Dev Ops'!X3,'New Hires Forecast'!$G$5:$G$83,"&lt;="&amp;'Dev Ops'!Y3,'New Hires Forecast'!$G$5:$G$83,"Dev Ops")</f>
        <v>0</v>
      </c>
      <c r="Z8" s="798">
        <f>SUMIFS('New Hires Forecast'!$B$5:$B$83,'New Hires Forecast'!$G$5:$G$83,"&gt;"&amp;'Dev Ops'!Y3,'New Hires Forecast'!$G$5:$G$83,"&lt;="&amp;'Dev Ops'!Z3,'New Hires Forecast'!$G$5:$G$83,"Dev Ops")</f>
        <v>0</v>
      </c>
      <c r="AA8" s="798">
        <f>SUMIFS('New Hires Forecast'!$B$5:$B$83,'New Hires Forecast'!$G$5:$G$83,"&gt;"&amp;'Dev Ops'!Z3,'New Hires Forecast'!$G$5:$G$83,"&lt;="&amp;'Dev Ops'!AA3,'New Hires Forecast'!$G$5:$G$83,"Dev Ops")</f>
        <v>0</v>
      </c>
      <c r="AB8" s="798">
        <f>SUMIFS('New Hires Forecast'!$B$5:$B$83,'New Hires Forecast'!$G$5:$G$83,"&gt;"&amp;'Dev Ops'!AA3,'New Hires Forecast'!$G$5:$G$83,"&lt;="&amp;'Dev Ops'!AB3,'New Hires Forecast'!$G$5:$G$83,"Dev Ops")</f>
        <v>0</v>
      </c>
      <c r="AC8" s="798">
        <f>SUMIFS('New Hires Forecast'!$B$5:$B$83,'New Hires Forecast'!$G$5:$G$83,"&gt;"&amp;'Dev Ops'!AB3,'New Hires Forecast'!$G$5:$G$83,"&lt;="&amp;'Dev Ops'!AC3,'New Hires Forecast'!$G$5:$G$83,"Dev Ops")</f>
        <v>0</v>
      </c>
      <c r="AD8" s="798">
        <f>SUMIFS('New Hires Forecast'!$B$5:$B$83,'New Hires Forecast'!$G$5:$G$83,"&gt;"&amp;'Dev Ops'!AC3,'New Hires Forecast'!$G$5:$G$83,"&lt;="&amp;'Dev Ops'!AD3,'New Hires Forecast'!$G$5:$G$83,"Dev Ops")</f>
        <v>0</v>
      </c>
      <c r="AE8" s="798">
        <f>SUMIFS('New Hires Forecast'!$B$5:$B$83,'New Hires Forecast'!$G$5:$G$83,"&gt;"&amp;'Dev Ops'!AD3,'New Hires Forecast'!$G$5:$G$83,"&lt;="&amp;'Dev Ops'!AE3,'New Hires Forecast'!$G$5:$G$83,"Dev Ops")</f>
        <v>0</v>
      </c>
      <c r="AF8" s="798">
        <f>SUMIFS('New Hires Forecast'!$B$5:$B$83,'New Hires Forecast'!$G$5:$G$83,"&gt;"&amp;'Dev Ops'!AE3,'New Hires Forecast'!$G$5:$G$83,"&lt;="&amp;'Dev Ops'!AF3,'New Hires Forecast'!$G$5:$G$83,"Dev Ops")</f>
        <v>0</v>
      </c>
      <c r="AG8" s="798">
        <f>SUMIFS('New Hires Forecast'!$B$5:$B$83,'New Hires Forecast'!$G$5:$G$83,"&gt;"&amp;'Dev Ops'!AF3,'New Hires Forecast'!$G$5:$G$83,"&lt;="&amp;'Dev Ops'!AG3,'New Hires Forecast'!$G$5:$G$83,"Dev Ops")</f>
        <v>0</v>
      </c>
      <c r="AH8" s="798">
        <f>SUMIFS('New Hires Forecast'!$B$5:$B$83,'New Hires Forecast'!$G$5:$G$83,"&gt;"&amp;'Dev Ops'!AG3,'New Hires Forecast'!$G$5:$G$83,"&lt;="&amp;'Dev Ops'!AH3,'New Hires Forecast'!$G$5:$G$83,"Dev Ops")</f>
        <v>0</v>
      </c>
      <c r="AI8" s="798">
        <f>SUMIFS('New Hires Forecast'!$B$5:$B$83,'New Hires Forecast'!$G$5:$G$83,"&gt;"&amp;'Dev Ops'!AH3,'New Hires Forecast'!$G$5:$G$83,"&lt;="&amp;'Dev Ops'!AI3,'New Hires Forecast'!$G$5:$G$83,"Dev Ops")</f>
        <v>0</v>
      </c>
      <c r="AJ8" s="798">
        <f>SUMIFS('New Hires Forecast'!$B$5:$B$83,'New Hires Forecast'!$G$5:$G$83,"&gt;"&amp;'Dev Ops'!AI3,'New Hires Forecast'!$G$5:$G$83,"&lt;="&amp;'Dev Ops'!AJ3,'New Hires Forecast'!$G$5:$G$83,"Dev Ops")</f>
        <v>0</v>
      </c>
      <c r="AK8" s="798">
        <f>SUMIFS('New Hires Forecast'!$B$5:$B$83,'New Hires Forecast'!$G$5:$G$83,"&gt;"&amp;'Dev Ops'!AJ3,'New Hires Forecast'!$G$5:$G$83,"&lt;="&amp;'Dev Ops'!AK3,'New Hires Forecast'!$G$5:$G$83,"Dev Ops")</f>
        <v>0</v>
      </c>
      <c r="AL8" s="798">
        <f>SUMIFS('New Hires Forecast'!$B$5:$B$83,'New Hires Forecast'!$G$5:$G$83,"&gt;"&amp;'Dev Ops'!AK3,'New Hires Forecast'!$G$5:$G$83,"&lt;="&amp;'Dev Ops'!AL3,'New Hires Forecast'!$G$5:$G$83,"Dev Ops")</f>
        <v>0</v>
      </c>
      <c r="AM8" s="798">
        <f>SUMIFS('New Hires Forecast'!$B$5:$B$83,'New Hires Forecast'!$G$5:$G$83,"&gt;"&amp;'Dev Ops'!AL3,'New Hires Forecast'!$G$5:$G$83,"&lt;="&amp;'Dev Ops'!AM3,'New Hires Forecast'!$G$5:$G$83,"Dev Ops")</f>
        <v>0</v>
      </c>
      <c r="AN8" s="798">
        <f>SUMIFS('New Hires Forecast'!$B$5:$B$83,'New Hires Forecast'!$G$5:$G$83,"&gt;"&amp;'Dev Ops'!AM3,'New Hires Forecast'!$G$5:$G$83,"&lt;="&amp;'Dev Ops'!AN3,'New Hires Forecast'!$G$5:$G$83,"Dev Ops")</f>
        <v>0</v>
      </c>
      <c r="AO8" s="798">
        <f>SUMIFS('New Hires Forecast'!$B$5:$B$83,'New Hires Forecast'!$G$5:$G$83,"&gt;"&amp;'Dev Ops'!AN3,'New Hires Forecast'!$G$5:$G$83,"&lt;="&amp;'Dev Ops'!AO3,'New Hires Forecast'!$G$5:$G$83,"Dev Ops")</f>
        <v>0</v>
      </c>
      <c r="AP8" s="798">
        <f>SUMIFS('New Hires Forecast'!$B$5:$B$83,'New Hires Forecast'!$G$5:$G$83,"&gt;"&amp;'Dev Ops'!AO3,'New Hires Forecast'!$G$5:$G$83,"&lt;="&amp;'Dev Ops'!AP3,'New Hires Forecast'!$G$5:$G$83,"Dev Ops")</f>
        <v>0</v>
      </c>
      <c r="AQ8" s="798">
        <f>SUMIFS('New Hires Forecast'!$B$5:$B$83,'New Hires Forecast'!$G$5:$G$83,"&gt;"&amp;'Dev Ops'!AP3,'New Hires Forecast'!$G$5:$G$83,"&lt;="&amp;'Dev Ops'!AQ3,'New Hires Forecast'!$G$5:$G$83,"Dev Ops")</f>
        <v>0</v>
      </c>
      <c r="AR8" s="798">
        <f>SUMIFS('New Hires Forecast'!$B$5:$B$83,'New Hires Forecast'!$G$5:$G$83,"&gt;"&amp;'Dev Ops'!AQ3,'New Hires Forecast'!$G$5:$G$83,"&lt;="&amp;'Dev Ops'!AR3,'New Hires Forecast'!$G$5:$G$83,"Dev Ops")</f>
        <v>0</v>
      </c>
      <c r="AS8" s="798">
        <f>SUMIFS('New Hires Forecast'!$B$5:$B$83,'New Hires Forecast'!$G$5:$G$83,"&gt;"&amp;'Dev Ops'!AR3,'New Hires Forecast'!$G$5:$G$83,"&lt;="&amp;'Dev Ops'!AS3,'New Hires Forecast'!$G$5:$G$83,"Dev Ops")</f>
        <v>0</v>
      </c>
      <c r="AT8" s="798">
        <f>SUMIFS('New Hires Forecast'!$B$5:$B$83,'New Hires Forecast'!$G$5:$G$83,"&gt;"&amp;'Dev Ops'!AS3,'New Hires Forecast'!$G$5:$G$83,"&lt;="&amp;'Dev Ops'!AT3,'New Hires Forecast'!$G$5:$G$83,"Dev Ops")</f>
        <v>0</v>
      </c>
      <c r="AU8" s="798">
        <f>SUMIFS('New Hires Forecast'!$B$5:$B$83,'New Hires Forecast'!$G$5:$G$83,"&gt;"&amp;'Dev Ops'!AT3,'New Hires Forecast'!$G$5:$G$83,"&lt;="&amp;'Dev Ops'!AU3,'New Hires Forecast'!$G$5:$G$83,"Dev Ops")</f>
        <v>0</v>
      </c>
      <c r="AV8" s="798">
        <f>SUMIFS('New Hires Forecast'!$B$5:$B$83,'New Hires Forecast'!$G$5:$G$83,"&gt;"&amp;'Dev Ops'!AU3,'New Hires Forecast'!$G$5:$G$83,"&lt;="&amp;'Dev Ops'!AV3,'New Hires Forecast'!$G$5:$G$83,"Dev Ops")</f>
        <v>0</v>
      </c>
      <c r="AW8" s="798">
        <f>SUMIFS('New Hires Forecast'!$B$5:$B$83,'New Hires Forecast'!$G$5:$G$83,"&gt;"&amp;'Dev Ops'!AV3,'New Hires Forecast'!$G$5:$G$83,"&lt;="&amp;'Dev Ops'!AW3,'New Hires Forecast'!$G$5:$G$83,"Dev Ops")</f>
        <v>0</v>
      </c>
      <c r="AX8" s="798">
        <f>SUMIFS('New Hires Forecast'!$B$5:$B$83,'New Hires Forecast'!$G$5:$G$83,"&gt;"&amp;'Dev Ops'!AW3,'New Hires Forecast'!$G$5:$G$83,"&lt;="&amp;'Dev Ops'!AX3,'New Hires Forecast'!$G$5:$G$83,"Dev Ops")</f>
        <v>0</v>
      </c>
      <c r="AY8" s="798">
        <f>SUMIFS('New Hires Forecast'!$B$5:$B$83,'New Hires Forecast'!$G$5:$G$83,"&gt;"&amp;'Dev Ops'!AX3,'New Hires Forecast'!$G$5:$G$83,"&lt;="&amp;'Dev Ops'!AY3,'New Hires Forecast'!$G$5:$G$83,"Dev Ops")</f>
        <v>0</v>
      </c>
      <c r="AZ8" s="798">
        <f>SUMIFS('New Hires Forecast'!$B$5:$B$83,'New Hires Forecast'!$G$5:$G$83,"&gt;"&amp;'Dev Ops'!AY3,'New Hires Forecast'!$G$5:$G$83,"&lt;="&amp;'Dev Ops'!AZ3,'New Hires Forecast'!$G$5:$G$83,"Dev Ops")</f>
        <v>0</v>
      </c>
      <c r="BA8" s="798">
        <f>SUMIFS('New Hires Forecast'!$B$5:$B$83,'New Hires Forecast'!$G$5:$G$83,"&gt;"&amp;'Dev Ops'!AZ3,'New Hires Forecast'!$G$5:$G$83,"&lt;="&amp;'Dev Ops'!BA3,'New Hires Forecast'!$G$5:$G$83,"Dev Ops")</f>
        <v>0</v>
      </c>
      <c r="BB8" s="798">
        <f>SUMIFS('New Hires Forecast'!$B$5:$B$83,'New Hires Forecast'!$G$5:$G$83,"&gt;"&amp;'Dev Ops'!BA3,'New Hires Forecast'!$G$5:$G$83,"&lt;="&amp;'Dev Ops'!BB3,'New Hires Forecast'!$G$5:$G$83,"Dev Ops")</f>
        <v>0</v>
      </c>
      <c r="BC8" s="798">
        <f>SUMIFS('New Hires Forecast'!$B$5:$B$83,'New Hires Forecast'!$G$5:$G$83,"&gt;"&amp;'Dev Ops'!BB3,'New Hires Forecast'!$G$5:$G$83,"&lt;="&amp;'Dev Ops'!BC3,'New Hires Forecast'!$G$5:$G$83,"Dev Ops")</f>
        <v>0</v>
      </c>
      <c r="BD8" s="798">
        <f>SUMIFS('New Hires Forecast'!$B$5:$B$83,'New Hires Forecast'!$G$5:$G$83,"&gt;"&amp;'Dev Ops'!BC3,'New Hires Forecast'!$G$5:$G$83,"&lt;="&amp;'Dev Ops'!BD3,'New Hires Forecast'!$G$5:$G$83,"Dev Ops")</f>
        <v>0</v>
      </c>
      <c r="BE8" s="798">
        <f>SUMIFS('New Hires Forecast'!$B$5:$B$83,'New Hires Forecast'!$G$5:$G$83,"&gt;"&amp;'Dev Ops'!BD3,'New Hires Forecast'!$G$5:$G$83,"&lt;="&amp;'Dev Ops'!BE3,'New Hires Forecast'!$G$5:$G$83,"Dev Ops")</f>
        <v>0</v>
      </c>
      <c r="BF8" s="798">
        <f>SUMIFS('New Hires Forecast'!$B$5:$B$83,'New Hires Forecast'!$G$5:$G$83,"&gt;"&amp;'Dev Ops'!BE3,'New Hires Forecast'!$G$5:$G$83,"&lt;="&amp;'Dev Ops'!BF3,'New Hires Forecast'!$G$5:$G$83,"Dev Ops")</f>
        <v>0</v>
      </c>
      <c r="BG8" s="798">
        <f>SUMIFS('New Hires Forecast'!$B$5:$B$83,'New Hires Forecast'!$G$5:$G$83,"&gt;"&amp;'Dev Ops'!BF3,'New Hires Forecast'!$G$5:$G$83,"&lt;="&amp;'Dev Ops'!BG3,'New Hires Forecast'!$G$5:$G$83,"Dev Ops")</f>
        <v>0</v>
      </c>
      <c r="BH8" s="798">
        <f>SUMIFS('New Hires Forecast'!$B$5:$B$83,'New Hires Forecast'!$G$5:$G$83,"&gt;"&amp;'Dev Ops'!BG3,'New Hires Forecast'!$G$5:$G$83,"&lt;="&amp;'Dev Ops'!BH3,'New Hires Forecast'!$G$5:$G$83,"Dev Ops")</f>
        <v>0</v>
      </c>
      <c r="BI8" s="798">
        <f>SUMIFS('New Hires Forecast'!$B$5:$B$83,'New Hires Forecast'!$G$5:$G$83,"&gt;"&amp;'Dev Ops'!BH3,'New Hires Forecast'!$G$5:$G$83,"&lt;="&amp;'Dev Ops'!BI3,'New Hires Forecast'!$G$5:$G$83,"Dev Ops")</f>
        <v>0</v>
      </c>
      <c r="BJ8" s="798">
        <f>SUMIFS('New Hires Forecast'!$B$5:$B$83,'New Hires Forecast'!$G$5:$G$83,"&gt;"&amp;'Dev Ops'!BI3,'New Hires Forecast'!$G$5:$G$83,"&lt;="&amp;'Dev Ops'!BJ3,'New Hires Forecast'!$G$5:$G$83,"Dev Ops")</f>
        <v>0</v>
      </c>
      <c r="BK8" s="798">
        <f>SUMIFS('New Hires Forecast'!$B$5:$B$83,'New Hires Forecast'!$G$5:$G$83,"&gt;"&amp;'Dev Ops'!BJ3,'New Hires Forecast'!$G$5:$G$83,"&lt;="&amp;'Dev Ops'!BK3,'New Hires Forecast'!$G$5:$G$83,"Dev Ops")</f>
        <v>0</v>
      </c>
      <c r="BL8" s="798">
        <f>SUMIFS('New Hires Forecast'!$B$5:$B$83,'New Hires Forecast'!$G$5:$G$83,"&gt;"&amp;'Dev Ops'!BK3,'New Hires Forecast'!$G$5:$G$83,"&lt;="&amp;'Dev Ops'!BL3,'New Hires Forecast'!$G$5:$G$83,"Dev Ops")</f>
        <v>0</v>
      </c>
      <c r="BM8" s="798">
        <f>SUMIFS('New Hires Forecast'!$B$5:$B$83,'New Hires Forecast'!$G$5:$G$83,"&gt;"&amp;'Dev Ops'!BL3,'New Hires Forecast'!$G$5:$G$83,"&lt;="&amp;'Dev Ops'!BM3,'New Hires Forecast'!$G$5:$G$83,"Dev Ops")</f>
        <v>0</v>
      </c>
      <c r="BN8" s="798">
        <f>SUMIFS('New Hires Forecast'!$B$5:$B$83,'New Hires Forecast'!$G$5:$G$83,"&gt;"&amp;'Dev Ops'!BM3,'New Hires Forecast'!$G$5:$G$83,"&lt;="&amp;'Dev Ops'!BN3,'New Hires Forecast'!$G$5:$G$83,"Dev Ops")</f>
        <v>0</v>
      </c>
      <c r="BO8" s="798">
        <f>SUMIFS('New Hires Forecast'!$B$5:$B$83,'New Hires Forecast'!$G$5:$G$83,"&gt;"&amp;'Dev Ops'!BN3,'New Hires Forecast'!$G$5:$G$83,"&lt;="&amp;'Dev Ops'!BO3,'New Hires Forecast'!$G$5:$G$83,"Dev Ops")</f>
        <v>0</v>
      </c>
      <c r="BP8" s="798">
        <f>SUMIFS('New Hires Forecast'!$B$5:$B$83,'New Hires Forecast'!$G$5:$G$83,"&gt;"&amp;'Dev Ops'!BO3,'New Hires Forecast'!$G$5:$G$83,"&lt;="&amp;'Dev Ops'!BP3,'New Hires Forecast'!$G$5:$G$83,"Dev Ops")</f>
        <v>0</v>
      </c>
      <c r="BQ8" s="798">
        <f>SUMIFS('New Hires Forecast'!$B$5:$B$83,'New Hires Forecast'!$G$5:$G$83,"&gt;"&amp;'Dev Ops'!BP3,'New Hires Forecast'!$G$5:$G$83,"&lt;="&amp;'Dev Ops'!BQ3,'New Hires Forecast'!$G$5:$G$83,"Dev Ops")</f>
        <v>0</v>
      </c>
      <c r="BR8" s="798">
        <f>SUMIFS('New Hires Forecast'!$B$5:$B$83,'New Hires Forecast'!$G$5:$G$83,"&gt;"&amp;'Dev Ops'!BQ3,'New Hires Forecast'!$G$5:$G$83,"&lt;="&amp;'Dev Ops'!BR3,'New Hires Forecast'!$G$5:$G$83,"Dev Ops")</f>
        <v>0</v>
      </c>
      <c r="BS8" s="798">
        <f>SUMIFS('New Hires Forecast'!$B$5:$B$83,'New Hires Forecast'!$G$5:$G$83,"&gt;"&amp;'Dev Ops'!BR3,'New Hires Forecast'!$G$5:$G$83,"&lt;="&amp;'Dev Ops'!BS3,'New Hires Forecast'!$G$5:$G$83,"Dev Ops")</f>
        <v>0</v>
      </c>
      <c r="BT8" s="798">
        <f>SUMIFS('New Hires Forecast'!$B$5:$B$83,'New Hires Forecast'!$G$5:$G$83,"&gt;"&amp;'Dev Ops'!BS3,'New Hires Forecast'!$G$5:$G$83,"&lt;="&amp;'Dev Ops'!BT3,'New Hires Forecast'!$G$5:$G$83,"Dev Ops")</f>
        <v>0</v>
      </c>
      <c r="BU8" s="798">
        <f>SUMIFS('New Hires Forecast'!$B$5:$B$83,'New Hires Forecast'!$G$5:$G$83,"&gt;"&amp;'Dev Ops'!BT3,'New Hires Forecast'!$G$5:$G$83,"&lt;="&amp;'Dev Ops'!BU3,'New Hires Forecast'!$G$5:$G$83,"Dev Ops")</f>
        <v>0</v>
      </c>
      <c r="BV8" s="799">
        <f>SUMIFS('New Hires Forecast'!$B$5:$B$83,'New Hires Forecast'!$G$5:$G$83,"&gt;"&amp;'Dev Ops'!BU3,'New Hires Forecast'!$G$5:$G$83,"&lt;="&amp;'Dev Ops'!BV3,'New Hires Forecast'!$G$5:$G$83,"Dev Ops")</f>
        <v>0</v>
      </c>
    </row>
    <row r="9" spans="2:74" x14ac:dyDescent="0.35">
      <c r="B9" s="794" t="s">
        <v>150</v>
      </c>
      <c r="C9" s="798">
        <f>SUMIFS(Headcount!$B$6:$B$88,Headcount!$H$6:$H$88,"&gt;"&amp;B3,Headcount!$H$6:$H$88,"&lt;="&amp;C3,Headcount!$H$6:$H$88,"Dev Ops")</f>
        <v>0</v>
      </c>
      <c r="D9" s="798">
        <f>SUMIFS(Headcount!$B$6:$B$88,Headcount!$H$6:$H$88,"&gt;"&amp;C3,Headcount!$H$6:$H$88,"&lt;="&amp;D3,Headcount!$H$6:$H$88,"Dev Ops")</f>
        <v>0</v>
      </c>
      <c r="E9" s="798">
        <f>SUMIFS(Headcount!$B$6:$B$88,Headcount!$H$6:$H$88,"&gt;"&amp;D3,Headcount!$H$6:$H$88,"&lt;="&amp;E3,Headcount!$H$6:$H$88,"Dev Ops")</f>
        <v>0</v>
      </c>
      <c r="F9" s="798">
        <f>SUMIFS(Headcount!$B$6:$B$88,Headcount!$H$6:$H$88,"&gt;"&amp;E3,Headcount!$H$6:$H$88,"&lt;="&amp;F3,Headcount!$H$6:$H$88,"Dev Ops")</f>
        <v>0</v>
      </c>
      <c r="G9" s="798">
        <f>SUMIFS(Headcount!$B$6:$B$88,Headcount!$H$6:$H$88,"&gt;"&amp;F3,Headcount!$H$6:$H$88,"&lt;="&amp;G3,Headcount!$H$6:$H$88,"Dev Ops")</f>
        <v>0</v>
      </c>
      <c r="H9" s="798">
        <f>SUMIFS(Headcount!$B$6:$B$88,Headcount!$H$6:$H$88,"&gt;"&amp;G3,Headcount!$H$6:$H$88,"&lt;="&amp;H3,Headcount!$H$6:$H$88,"Dev Ops")</f>
        <v>0</v>
      </c>
      <c r="I9" s="798">
        <f>SUMIFS(Headcount!$B$6:$B$88,Headcount!$H$6:$H$88,"&gt;"&amp;H3,Headcount!$H$6:$H$88,"&lt;="&amp;I3,Headcount!$H$6:$H$88,"Dev Ops")</f>
        <v>0</v>
      </c>
      <c r="J9" s="798">
        <f>SUMIFS(Headcount!$B$6:$B$88,Headcount!$H$6:$H$88,"&gt;"&amp;I3,Headcount!$H$6:$H$88,"&lt;="&amp;J3,Headcount!$H$6:$H$88,"Dev Ops")</f>
        <v>0</v>
      </c>
      <c r="K9" s="798">
        <f>SUMIFS(Headcount!$B$6:$B$88,Headcount!$H$6:$H$88,"&gt;"&amp;J3,Headcount!$H$6:$H$88,"&lt;="&amp;K3,Headcount!$H$6:$H$88,"Dev Ops")</f>
        <v>0</v>
      </c>
      <c r="L9" s="798">
        <f>SUMIFS(Headcount!$B$6:$B$88,Headcount!$H$6:$H$88,"&gt;"&amp;K3,Headcount!$H$6:$H$88,"&lt;="&amp;L3,Headcount!$H$6:$H$88,"Dev Ops")</f>
        <v>0</v>
      </c>
      <c r="M9" s="798">
        <f>SUMIFS(Headcount!$B$6:$B$88,Headcount!$H$6:$H$88,"&gt;"&amp;L3,Headcount!$H$6:$H$88,"&lt;="&amp;M3,Headcount!$H$6:$H$88,"Dev Ops")</f>
        <v>0</v>
      </c>
      <c r="N9" s="798">
        <f>SUMIFS(Headcount!$B$6:$B$88,Headcount!$H$6:$H$88,"&gt;"&amp;M3,Headcount!$H$6:$H$88,"&lt;="&amp;N3,Headcount!$H$6:$H$88,"Dev Ops")</f>
        <v>0</v>
      </c>
      <c r="O9" s="798">
        <f>SUMIFS(Headcount!$B$6:$B$88,Headcount!$H$6:$H$88,"&gt;"&amp;N3,Headcount!$H$6:$H$88,"&lt;="&amp;O3,Headcount!$H$6:$H$88,"Dev Ops")</f>
        <v>0</v>
      </c>
      <c r="P9" s="798">
        <f>SUMIFS(Headcount!$B$6:$B$88,Headcount!$H$6:$H$88,"&gt;"&amp;O3,Headcount!$H$6:$H$88,"&lt;="&amp;P3,Headcount!$H$6:$H$88,"Dev Ops")</f>
        <v>0</v>
      </c>
      <c r="Q9" s="798">
        <f>SUMIFS(Headcount!$B$6:$B$88,Headcount!$H$6:$H$88,"&gt;"&amp;P3,Headcount!$H$6:$H$88,"&lt;="&amp;Q3,Headcount!$H$6:$H$88,"Dev Ops")</f>
        <v>0</v>
      </c>
      <c r="R9" s="798">
        <f>SUMIFS(Headcount!$B$6:$B$88,Headcount!$H$6:$H$88,"&gt;"&amp;Q3,Headcount!$H$6:$H$88,"&lt;="&amp;R3,Headcount!$H$6:$H$88,"Dev Ops")</f>
        <v>0</v>
      </c>
      <c r="S9" s="798">
        <f>SUMIFS(Headcount!$B$6:$B$88,Headcount!$H$6:$H$88,"&gt;"&amp;R3,Headcount!$H$6:$H$88,"&lt;="&amp;S3,Headcount!$H$6:$H$88,"Dev Ops")</f>
        <v>0</v>
      </c>
      <c r="T9" s="798">
        <f>SUMIFS(Headcount!$B$6:$B$88,Headcount!$H$6:$H$88,"&gt;"&amp;S3,Headcount!$H$6:$H$88,"&lt;="&amp;T3,Headcount!$H$6:$H$88,"Dev Ops")</f>
        <v>0</v>
      </c>
      <c r="U9" s="798">
        <f>SUMIFS(Headcount!$B$6:$B$88,Headcount!$H$6:$H$88,"&gt;"&amp;T3,Headcount!$H$6:$H$88,"&lt;="&amp;U3,Headcount!$H$6:$H$88,"Dev Ops")</f>
        <v>0</v>
      </c>
      <c r="V9" s="798">
        <f>SUMIFS(Headcount!$B$6:$B$88,Headcount!$H$6:$H$88,"&gt;"&amp;U3,Headcount!$H$6:$H$88,"&lt;="&amp;V3,Headcount!$H$6:$H$88,"Dev Ops")</f>
        <v>0</v>
      </c>
      <c r="W9" s="798">
        <f>SUMIFS(Headcount!$B$6:$B$88,Headcount!$H$6:$H$88,"&gt;"&amp;V3,Headcount!$H$6:$H$88,"&lt;="&amp;W3,Headcount!$H$6:$H$88,"Dev Ops")</f>
        <v>0</v>
      </c>
      <c r="X9" s="798">
        <f>SUMIFS(Headcount!$B$6:$B$88,Headcount!$H$6:$H$88,"&gt;"&amp;W3,Headcount!$H$6:$H$88,"&lt;="&amp;X3,Headcount!$H$6:$H$88,"Dev Ops")</f>
        <v>0</v>
      </c>
      <c r="Y9" s="798">
        <f>SUMIFS(Headcount!$B$6:$B$88,Headcount!$H$6:$H$88,"&gt;"&amp;X3,Headcount!$H$6:$H$88,"&lt;="&amp;Y3,Headcount!$H$6:$H$88,"Dev Ops")</f>
        <v>0</v>
      </c>
      <c r="Z9" s="798">
        <f>SUMIFS(Headcount!$B$6:$B$88,Headcount!$H$6:$H$88,"&gt;"&amp;Y3,Headcount!$H$6:$H$88,"&lt;="&amp;Z3,Headcount!$H$6:$H$88,"Dev Ops")</f>
        <v>0</v>
      </c>
      <c r="AA9" s="798">
        <f>SUMIFS(Headcount!$B$6:$B$88,Headcount!$H$6:$H$88,"&gt;"&amp;Z3,Headcount!$H$6:$H$88,"&lt;="&amp;AA3,Headcount!$H$6:$H$88,"Dev Ops")</f>
        <v>0</v>
      </c>
      <c r="AB9" s="798">
        <f>SUMIFS(Headcount!$B$6:$B$88,Headcount!$H$6:$H$88,"&gt;"&amp;AA3,Headcount!$H$6:$H$88,"&lt;="&amp;AB3,Headcount!$H$6:$H$88,"Dev Ops")</f>
        <v>0</v>
      </c>
      <c r="AC9" s="798">
        <f>SUMIFS(Headcount!$B$6:$B$88,Headcount!$H$6:$H$88,"&gt;"&amp;AB3,Headcount!$H$6:$H$88,"&lt;="&amp;AC3,Headcount!$H$6:$H$88,"Dev Ops")</f>
        <v>0</v>
      </c>
      <c r="AD9" s="798">
        <f>SUMIFS(Headcount!$B$6:$B$88,Headcount!$H$6:$H$88,"&gt;"&amp;AC3,Headcount!$H$6:$H$88,"&lt;="&amp;AD3,Headcount!$H$6:$H$88,"Dev Ops")</f>
        <v>0</v>
      </c>
      <c r="AE9" s="798">
        <f>SUMIFS(Headcount!$B$6:$B$88,Headcount!$H$6:$H$88,"&gt;"&amp;AD3,Headcount!$H$6:$H$88,"&lt;="&amp;AE3,Headcount!$H$6:$H$88,"Dev Ops")</f>
        <v>0</v>
      </c>
      <c r="AF9" s="798">
        <f>SUMIFS(Headcount!$B$6:$B$88,Headcount!$H$6:$H$88,"&gt;"&amp;AE3,Headcount!$H$6:$H$88,"&lt;="&amp;AF3,Headcount!$H$6:$H$88,"Dev Ops")</f>
        <v>0</v>
      </c>
      <c r="AG9" s="798">
        <f>SUMIFS(Headcount!$B$6:$B$88,Headcount!$H$6:$H$88,"&gt;"&amp;AF3,Headcount!$H$6:$H$88,"&lt;="&amp;AG3,Headcount!$H$6:$H$88,"Dev Ops")</f>
        <v>0</v>
      </c>
      <c r="AH9" s="798">
        <f>SUMIFS(Headcount!$B$6:$B$88,Headcount!$H$6:$H$88,"&gt;"&amp;AG3,Headcount!$H$6:$H$88,"&lt;="&amp;AH3,Headcount!$H$6:$H$88,"Dev Ops")</f>
        <v>0</v>
      </c>
      <c r="AI9" s="798">
        <f>SUMIFS(Headcount!$B$6:$B$88,Headcount!$H$6:$H$88,"&gt;"&amp;AH3,Headcount!$H$6:$H$88,"&lt;="&amp;AI3,Headcount!$H$6:$H$88,"Dev Ops")</f>
        <v>0</v>
      </c>
      <c r="AJ9" s="798">
        <f>SUMIFS(Headcount!$B$6:$B$88,Headcount!$H$6:$H$88,"&gt;"&amp;AI3,Headcount!$H$6:$H$88,"&lt;="&amp;AJ3,Headcount!$H$6:$H$88,"Dev Ops")</f>
        <v>0</v>
      </c>
      <c r="AK9" s="798">
        <f>SUMIFS(Headcount!$B$6:$B$88,Headcount!$H$6:$H$88,"&gt;"&amp;AJ3,Headcount!$H$6:$H$88,"&lt;="&amp;AK3,Headcount!$H$6:$H$88,"Dev Ops")</f>
        <v>0</v>
      </c>
      <c r="AL9" s="798">
        <f>SUMIFS(Headcount!$B$6:$B$88,Headcount!$H$6:$H$88,"&gt;"&amp;AK3,Headcount!$H$6:$H$88,"&lt;="&amp;AL3,Headcount!$H$6:$H$88,"Dev Ops")</f>
        <v>0</v>
      </c>
      <c r="AM9" s="798">
        <f>SUMIFS(Headcount!$B$6:$B$88,Headcount!$H$6:$H$88,"&gt;"&amp;AL3,Headcount!$H$6:$H$88,"&lt;="&amp;AM3,Headcount!$H$6:$H$88,"Dev Ops")</f>
        <v>0</v>
      </c>
      <c r="AN9" s="798">
        <f>SUMIFS(Headcount!$B$6:$B$88,Headcount!$H$6:$H$88,"&gt;"&amp;AM3,Headcount!$H$6:$H$88,"&lt;="&amp;AN3,Headcount!$H$6:$H$88,"Dev Ops")</f>
        <v>0</v>
      </c>
      <c r="AO9" s="798">
        <f>SUMIFS(Headcount!$B$6:$B$88,Headcount!$H$6:$H$88,"&gt;"&amp;AN3,Headcount!$H$6:$H$88,"&lt;="&amp;AO3,Headcount!$H$6:$H$88,"Dev Ops")</f>
        <v>0</v>
      </c>
      <c r="AP9" s="798">
        <f>SUMIFS(Headcount!$B$6:$B$88,Headcount!$H$6:$H$88,"&gt;"&amp;AO3,Headcount!$H$6:$H$88,"&lt;="&amp;AP3,Headcount!$H$6:$H$88,"Dev Ops")</f>
        <v>0</v>
      </c>
      <c r="AQ9" s="798">
        <f>SUMIFS(Headcount!$B$6:$B$88,Headcount!$H$6:$H$88,"&gt;"&amp;AP3,Headcount!$H$6:$H$88,"&lt;="&amp;AQ3,Headcount!$H$6:$H$88,"Dev Ops")</f>
        <v>0</v>
      </c>
      <c r="AR9" s="798">
        <f>SUMIFS(Headcount!$B$6:$B$88,Headcount!$H$6:$H$88,"&gt;"&amp;AQ3,Headcount!$H$6:$H$88,"&lt;="&amp;AR3,Headcount!$H$6:$H$88,"Dev Ops")</f>
        <v>0</v>
      </c>
      <c r="AS9" s="798">
        <f>SUMIFS(Headcount!$B$6:$B$88,Headcount!$H$6:$H$88,"&gt;"&amp;AR3,Headcount!$H$6:$H$88,"&lt;="&amp;AS3,Headcount!$H$6:$H$88,"Dev Ops")</f>
        <v>0</v>
      </c>
      <c r="AT9" s="798">
        <f>SUMIFS(Headcount!$B$6:$B$88,Headcount!$H$6:$H$88,"&gt;"&amp;AS3,Headcount!$H$6:$H$88,"&lt;="&amp;AT3,Headcount!$H$6:$H$88,"Dev Ops")</f>
        <v>0</v>
      </c>
      <c r="AU9" s="798">
        <f>SUMIFS(Headcount!$B$6:$B$88,Headcount!$H$6:$H$88,"&gt;"&amp;AT3,Headcount!$H$6:$H$88,"&lt;="&amp;AU3,Headcount!$H$6:$H$88,"Dev Ops")</f>
        <v>0</v>
      </c>
      <c r="AV9" s="798">
        <f>SUMIFS(Headcount!$B$6:$B$88,Headcount!$H$6:$H$88,"&gt;"&amp;AU3,Headcount!$H$6:$H$88,"&lt;="&amp;AV3,Headcount!$H$6:$H$88,"Dev Ops")</f>
        <v>0</v>
      </c>
      <c r="AW9" s="798">
        <f>SUMIFS(Headcount!$B$6:$B$88,Headcount!$H$6:$H$88,"&gt;"&amp;AV3,Headcount!$H$6:$H$88,"&lt;="&amp;AW3,Headcount!$H$6:$H$88,"Dev Ops")</f>
        <v>0</v>
      </c>
      <c r="AX9" s="798">
        <f>SUMIFS(Headcount!$B$6:$B$88,Headcount!$H$6:$H$88,"&gt;"&amp;AW3,Headcount!$H$6:$H$88,"&lt;="&amp;AX3,Headcount!$H$6:$H$88,"Dev Ops")</f>
        <v>0</v>
      </c>
      <c r="AY9" s="798">
        <f>SUMIFS(Headcount!$B$6:$B$88,Headcount!$H$6:$H$88,"&gt;"&amp;AX3,Headcount!$H$6:$H$88,"&lt;="&amp;AY3,Headcount!$H$6:$H$88,"Dev Ops")</f>
        <v>0</v>
      </c>
      <c r="AZ9" s="798">
        <f>SUMIFS(Headcount!$B$6:$B$88,Headcount!$H$6:$H$88,"&gt;"&amp;AY3,Headcount!$H$6:$H$88,"&lt;="&amp;AZ3,Headcount!$H$6:$H$88,"Dev Ops")</f>
        <v>0</v>
      </c>
      <c r="BA9" s="798">
        <f>SUMIFS(Headcount!$B$6:$B$88,Headcount!$H$6:$H$88,"&gt;"&amp;AZ3,Headcount!$H$6:$H$88,"&lt;="&amp;BA3,Headcount!$H$6:$H$88,"Dev Ops")</f>
        <v>0</v>
      </c>
      <c r="BB9" s="798">
        <f>SUMIFS(Headcount!$B$6:$B$88,Headcount!$H$6:$H$88,"&gt;"&amp;BA3,Headcount!$H$6:$H$88,"&lt;="&amp;BB3,Headcount!$H$6:$H$88,"Dev Ops")</f>
        <v>0</v>
      </c>
      <c r="BC9" s="798">
        <f>SUMIFS(Headcount!$B$6:$B$88,Headcount!$H$6:$H$88,"&gt;"&amp;BB3,Headcount!$H$6:$H$88,"&lt;="&amp;BC3,Headcount!$H$6:$H$88,"Dev Ops")</f>
        <v>0</v>
      </c>
      <c r="BD9" s="798">
        <f>SUMIFS(Headcount!$B$6:$B$88,Headcount!$H$6:$H$88,"&gt;"&amp;BC3,Headcount!$H$6:$H$88,"&lt;="&amp;BD3,Headcount!$H$6:$H$88,"Dev Ops")</f>
        <v>0</v>
      </c>
      <c r="BE9" s="798">
        <f>SUMIFS(Headcount!$B$6:$B$88,Headcount!$H$6:$H$88,"&gt;"&amp;BD3,Headcount!$H$6:$H$88,"&lt;="&amp;BE3,Headcount!$H$6:$H$88,"Dev Ops")</f>
        <v>0</v>
      </c>
      <c r="BF9" s="798">
        <f>SUMIFS(Headcount!$B$6:$B$88,Headcount!$H$6:$H$88,"&gt;"&amp;BE3,Headcount!$H$6:$H$88,"&lt;="&amp;BF3,Headcount!$H$6:$H$88,"Dev Ops")</f>
        <v>0</v>
      </c>
      <c r="BG9" s="798">
        <f>SUMIFS(Headcount!$B$6:$B$88,Headcount!$H$6:$H$88,"&gt;"&amp;BF3,Headcount!$H$6:$H$88,"&lt;="&amp;BG3,Headcount!$H$6:$H$88,"Dev Ops")</f>
        <v>0</v>
      </c>
      <c r="BH9" s="798">
        <f>SUMIFS(Headcount!$B$6:$B$88,Headcount!$H$6:$H$88,"&gt;"&amp;BG3,Headcount!$H$6:$H$88,"&lt;="&amp;BH3,Headcount!$H$6:$H$88,"Dev Ops")</f>
        <v>0</v>
      </c>
      <c r="BI9" s="798">
        <f>SUMIFS(Headcount!$B$6:$B$88,Headcount!$H$6:$H$88,"&gt;"&amp;BH3,Headcount!$H$6:$H$88,"&lt;="&amp;BI3,Headcount!$H$6:$H$88,"Dev Ops")</f>
        <v>0</v>
      </c>
      <c r="BJ9" s="798">
        <f>SUMIFS(Headcount!$B$6:$B$88,Headcount!$H$6:$H$88,"&gt;"&amp;BI3,Headcount!$H$6:$H$88,"&lt;="&amp;BJ3,Headcount!$H$6:$H$88,"Dev Ops")</f>
        <v>0</v>
      </c>
      <c r="BK9" s="798">
        <f>SUMIFS(Headcount!$B$6:$B$88,Headcount!$H$6:$H$88,"&gt;"&amp;BJ3,Headcount!$H$6:$H$88,"&lt;="&amp;BK3,Headcount!$H$6:$H$88,"Dev Ops")</f>
        <v>0</v>
      </c>
      <c r="BL9" s="798">
        <f>SUMIFS(Headcount!$B$6:$B$88,Headcount!$H$6:$H$88,"&gt;"&amp;BK3,Headcount!$H$6:$H$88,"&lt;="&amp;BL3,Headcount!$H$6:$H$88,"Dev Ops")</f>
        <v>0</v>
      </c>
      <c r="BM9" s="798">
        <f>SUMIFS(Headcount!$B$6:$B$88,Headcount!$H$6:$H$88,"&gt;"&amp;BL3,Headcount!$H$6:$H$88,"&lt;="&amp;BM3,Headcount!$H$6:$H$88,"Dev Ops")</f>
        <v>0</v>
      </c>
      <c r="BN9" s="798">
        <f>SUMIFS(Headcount!$B$6:$B$88,Headcount!$H$6:$H$88,"&gt;"&amp;BM3,Headcount!$H$6:$H$88,"&lt;="&amp;BN3,Headcount!$H$6:$H$88,"Dev Ops")</f>
        <v>0</v>
      </c>
      <c r="BO9" s="798">
        <f>SUMIFS(Headcount!$B$6:$B$88,Headcount!$H$6:$H$88,"&gt;"&amp;BN3,Headcount!$H$6:$H$88,"&lt;="&amp;BO3,Headcount!$H$6:$H$88,"Dev Ops")</f>
        <v>0</v>
      </c>
      <c r="BP9" s="798">
        <f>SUMIFS(Headcount!$B$6:$B$88,Headcount!$H$6:$H$88,"&gt;"&amp;BO3,Headcount!$H$6:$H$88,"&lt;="&amp;BP3,Headcount!$H$6:$H$88,"Dev Ops")</f>
        <v>0</v>
      </c>
      <c r="BQ9" s="798">
        <f>SUMIFS(Headcount!$B$6:$B$88,Headcount!$H$6:$H$88,"&gt;"&amp;BP3,Headcount!$H$6:$H$88,"&lt;="&amp;BQ3,Headcount!$H$6:$H$88,"Dev Ops")</f>
        <v>0</v>
      </c>
      <c r="BR9" s="798">
        <f>SUMIFS(Headcount!$B$6:$B$88,Headcount!$H$6:$H$88,"&gt;"&amp;BQ3,Headcount!$H$6:$H$88,"&lt;="&amp;BR3,Headcount!$H$6:$H$88,"Dev Ops")</f>
        <v>0</v>
      </c>
      <c r="BS9" s="798">
        <f>SUMIFS(Headcount!$B$6:$B$88,Headcount!$H$6:$H$88,"&gt;"&amp;BR3,Headcount!$H$6:$H$88,"&lt;="&amp;BS3,Headcount!$H$6:$H$88,"Dev Ops")</f>
        <v>0</v>
      </c>
      <c r="BT9" s="798">
        <f>SUMIFS(Headcount!$B$6:$B$88,Headcount!$H$6:$H$88,"&gt;"&amp;BS3,Headcount!$H$6:$H$88,"&lt;="&amp;BT3,Headcount!$H$6:$H$88,"Dev Ops")</f>
        <v>0</v>
      </c>
      <c r="BU9" s="798">
        <f>SUMIFS(Headcount!$B$6:$B$88,Headcount!$H$6:$H$88,"&gt;"&amp;BT3,Headcount!$H$6:$H$88,"&lt;="&amp;BU3,Headcount!$H$6:$H$88,"Dev Ops")</f>
        <v>0</v>
      </c>
      <c r="BV9" s="799">
        <f>SUMIFS(Headcount!$B$6:$B$88,Headcount!$H$6:$H$88,"&gt;"&amp;BU3,Headcount!$H$6:$H$88,"&lt;="&amp;BV3,Headcount!$H$6:$H$88,"Dev Ops")</f>
        <v>0</v>
      </c>
    </row>
    <row r="10" spans="2:74" x14ac:dyDescent="0.35">
      <c r="B10" s="800"/>
      <c r="C10" s="157"/>
      <c r="D10" s="157"/>
      <c r="E10" s="157"/>
      <c r="F10" s="157"/>
      <c r="G10" s="157"/>
      <c r="H10" s="157"/>
      <c r="I10" s="157"/>
      <c r="J10" s="157"/>
      <c r="K10" s="157"/>
      <c r="L10" s="157"/>
      <c r="M10" s="157"/>
      <c r="N10" s="157"/>
      <c r="O10" s="157"/>
      <c r="P10" s="157"/>
      <c r="Q10" s="157"/>
      <c r="R10" s="157"/>
      <c r="S10" s="157"/>
      <c r="T10" s="157"/>
      <c r="U10" s="157"/>
      <c r="V10" s="157"/>
      <c r="W10" s="157"/>
      <c r="X10" s="157"/>
      <c r="Y10" s="157"/>
      <c r="Z10" s="157"/>
      <c r="AA10" s="157"/>
      <c r="AB10" s="157"/>
      <c r="AC10" s="157"/>
      <c r="AD10" s="157"/>
      <c r="AE10" s="157"/>
      <c r="AF10" s="157"/>
      <c r="AG10" s="157"/>
      <c r="AH10" s="157"/>
      <c r="AI10" s="157"/>
      <c r="AJ10" s="157"/>
      <c r="AK10" s="157"/>
      <c r="AL10" s="157"/>
      <c r="AM10" s="157"/>
      <c r="AN10" s="157"/>
      <c r="AO10" s="157"/>
      <c r="AP10" s="157"/>
      <c r="AQ10" s="157"/>
      <c r="AR10" s="157"/>
      <c r="AS10" s="157"/>
      <c r="AT10" s="157"/>
      <c r="AU10" s="157"/>
      <c r="AV10" s="157"/>
      <c r="AW10" s="157"/>
      <c r="AX10" s="157"/>
      <c r="AY10" s="157"/>
      <c r="AZ10" s="157"/>
      <c r="BA10" s="157"/>
      <c r="BB10" s="157"/>
      <c r="BC10" s="157"/>
      <c r="BD10" s="157"/>
      <c r="BE10" s="157"/>
      <c r="BF10" s="157"/>
      <c r="BG10" s="157"/>
      <c r="BH10" s="157"/>
      <c r="BI10" s="157"/>
      <c r="BJ10" s="157"/>
      <c r="BK10" s="157"/>
      <c r="BL10" s="157"/>
      <c r="BM10" s="157"/>
      <c r="BN10" s="157"/>
      <c r="BO10" s="157"/>
      <c r="BP10" s="157"/>
      <c r="BQ10" s="157"/>
      <c r="BR10" s="157"/>
      <c r="BS10" s="157"/>
      <c r="BT10" s="157"/>
      <c r="BU10" s="157"/>
      <c r="BV10" s="801"/>
    </row>
    <row r="11" spans="2:74" x14ac:dyDescent="0.35">
      <c r="B11" s="802" t="s">
        <v>933</v>
      </c>
      <c r="C11" s="803"/>
      <c r="D11" s="803"/>
      <c r="E11" s="803"/>
      <c r="F11" s="803"/>
      <c r="G11" s="803"/>
      <c r="H11" s="803"/>
      <c r="I11" s="803"/>
      <c r="J11" s="803"/>
      <c r="K11" s="803"/>
      <c r="L11" s="803"/>
      <c r="M11" s="803"/>
      <c r="N11" s="803"/>
      <c r="O11" s="804"/>
      <c r="P11" s="804"/>
      <c r="Q11" s="804"/>
      <c r="R11" s="804"/>
      <c r="S11" s="804"/>
      <c r="T11" s="804"/>
      <c r="U11" s="804"/>
      <c r="V11" s="804"/>
      <c r="W11" s="804"/>
      <c r="X11" s="804"/>
      <c r="Y11" s="804"/>
      <c r="Z11" s="804"/>
      <c r="AA11" s="804"/>
      <c r="AB11" s="804"/>
      <c r="AC11" s="804"/>
      <c r="AD11" s="804"/>
      <c r="AE11" s="804"/>
      <c r="AF11" s="804"/>
      <c r="AG11" s="804"/>
      <c r="AH11" s="804"/>
      <c r="AI11" s="804"/>
      <c r="AJ11" s="804"/>
      <c r="AK11" s="804"/>
      <c r="AL11" s="804"/>
      <c r="AM11" s="804"/>
      <c r="AN11" s="804"/>
      <c r="AO11" s="804"/>
      <c r="AP11" s="804"/>
      <c r="AQ11" s="804"/>
      <c r="AR11" s="804"/>
      <c r="AS11" s="804"/>
      <c r="AT11" s="804"/>
      <c r="AU11" s="804"/>
      <c r="AV11" s="804"/>
      <c r="AW11" s="804"/>
      <c r="AX11" s="804"/>
      <c r="AY11" s="804"/>
      <c r="AZ11" s="804"/>
      <c r="BA11" s="804"/>
      <c r="BB11" s="804"/>
      <c r="BC11" s="804"/>
      <c r="BD11" s="804"/>
      <c r="BE11" s="804"/>
      <c r="BF11" s="804"/>
      <c r="BG11" s="804"/>
      <c r="BH11" s="804"/>
      <c r="BI11" s="804"/>
      <c r="BJ11" s="804"/>
      <c r="BK11" s="804"/>
      <c r="BL11" s="804"/>
      <c r="BM11" s="804"/>
      <c r="BN11" s="804"/>
      <c r="BO11" s="804"/>
      <c r="BP11" s="804"/>
      <c r="BQ11" s="804"/>
      <c r="BR11" s="804"/>
      <c r="BS11" s="804"/>
      <c r="BT11" s="804"/>
      <c r="BU11" s="804"/>
      <c r="BV11" s="805"/>
    </row>
    <row r="12" spans="2:74" x14ac:dyDescent="0.35">
      <c r="B12" s="797" t="s">
        <v>934</v>
      </c>
      <c r="C12" s="806">
        <f>IF(C$4="forecast",IF(YEAR(C$3)=YEAR(Headcount!$N$4),((SUMIFS(Headcount!$N$6:$N$89,Headcount!$F$6:$F$89,"Development Operations",Headcount!$H$6:$H$89,"&gt;="&amp;'Dev Ops'!C$3)/12)),IF(YEAR(C$3)=YEAR(Headcount!$O$4),IF((C$5=2),((SUMIFS(Headcount!$O$6:$O$89,Headcount!$F$6:$F$89,"Development Operations",Headcount!$H$6:$H$89,"&gt;="&amp;'Dev Ops'!C$3)/12)),B12),IF(YEAR(C$3)=YEAR(Headcount!$P$4),IF((C$5=2),((SUMIFS(Headcount!$P$6:$P$89,Headcount!$F$6:$F$89,"Development Operations",Headcount!$H$6:$H$89,"&gt;="&amp;'Dev Ops'!C$3)/12)),B12),IF(YEAR(C$3)=YEAR(Headcount!$Q$4),IF((C$5=2),((SUMIFS(Headcount!$Q$6:$Q$89,Headcount!$F$6:$F$89,"Development Operations",Headcount!$H$6:$H$89,"&gt;="&amp;'Dev Ops'!C$3)/12)),B12),IF(YEAR(C$3)=YEAR(Headcount!$R$4),IF((C$5=2),((SUMIFS(Headcount!$R$6:$R$89,Headcount!$F$6:$F$89,"Development Operations",Headcount!$H$6:$H$89,"&gt;="&amp;'Dev Ops'!C$3)/12)),B12),"New Year"))))),'Dept. Cost Actuals'!G824-'Dept. Cost Actuals'!G814)</f>
        <v>20759.3</v>
      </c>
      <c r="D12" s="806">
        <f>IF(D$4="forecast",IF(YEAR(D$3)=YEAR(Headcount!$N$4),((SUMIFS(Headcount!$N$6:$N$89,Headcount!$F$6:$F$89,"Development Operations",Headcount!$H$6:$H$89,"&gt;="&amp;'Dev Ops'!D$3)/12)),IF(YEAR(D$3)=YEAR(Headcount!$O$4),IF((D$5=2),((SUMIFS(Headcount!$O$6:$O$89,Headcount!$F$6:$F$89,"Development Operations",Headcount!$H$6:$H$89,"&gt;="&amp;'Dev Ops'!D$3)/12)),C12),IF(YEAR(D$3)=YEAR(Headcount!$P$4),IF((D$5=2),((SUMIFS(Headcount!$P$6:$P$89,Headcount!$F$6:$F$89,"Development Operations",Headcount!$H$6:$H$89,"&gt;="&amp;'Dev Ops'!D$3)/12)),C12),IF(YEAR(D$3)=YEAR(Headcount!$Q$4),IF((D$5=2),((SUMIFS(Headcount!$Q$6:$Q$89,Headcount!$F$6:$F$89,"Development Operations",Headcount!$H$6:$H$89,"&gt;="&amp;'Dev Ops'!D$3)/12)),C12),IF(YEAR(D$3)=YEAR(Headcount!$R$4),IF((D$5=2),((SUMIFS(Headcount!$R$6:$R$89,Headcount!$F$6:$F$89,"Development Operations",Headcount!$H$6:$H$89,"&gt;="&amp;'Dev Ops'!D$3)/12)),C12),"New Year"))))),'Dept. Cost Actuals'!H824-'Dept. Cost Actuals'!H814)</f>
        <v>19938.13</v>
      </c>
      <c r="E12" s="806">
        <f>IF(E$4="forecast",IF(YEAR(E$3)=YEAR(Headcount!$N$4),((SUMIFS(Headcount!$N$6:$N$89,Headcount!$F$6:$F$89,"Development Operations",Headcount!$H$6:$H$89,"&gt;="&amp;'Dev Ops'!E$3)/12)),IF(YEAR(E$3)=YEAR(Headcount!$O$4),IF((E$5=2),((SUMIFS(Headcount!$O$6:$O$89,Headcount!$F$6:$F$89,"Development Operations",Headcount!$H$6:$H$89,"&gt;="&amp;'Dev Ops'!E$3)/12)),D12),IF(YEAR(E$3)=YEAR(Headcount!$P$4),IF((E$5=2),((SUMIFS(Headcount!$P$6:$P$89,Headcount!$F$6:$F$89,"Development Operations",Headcount!$H$6:$H$89,"&gt;="&amp;'Dev Ops'!E$3)/12)),D12),IF(YEAR(E$3)=YEAR(Headcount!$Q$4),IF((E$5=2),((SUMIFS(Headcount!$Q$6:$Q$89,Headcount!$F$6:$F$89,"Development Operations",Headcount!$H$6:$H$89,"&gt;="&amp;'Dev Ops'!E$3)/12)),D12),IF(YEAR(E$3)=YEAR(Headcount!$R$4),IF((E$5=2),((SUMIFS(Headcount!$R$6:$R$89,Headcount!$F$6:$F$89,"Development Operations",Headcount!$H$6:$H$89,"&gt;="&amp;'Dev Ops'!E$3)/12)),D12),"New Year"))))),'Dept. Cost Actuals'!I824-'Dept. Cost Actuals'!I814)</f>
        <v>19708.23</v>
      </c>
      <c r="F12" s="806">
        <f>IF(F$4="forecast",IF(YEAR(F$3)=YEAR(Headcount!$N$4),((SUMIFS(Headcount!$N$6:$N$89,Headcount!$F$6:$F$89,"Development Operations",Headcount!$H$6:$H$89,"&gt;="&amp;'Dev Ops'!F$3)/12)),IF(YEAR(F$3)=YEAR(Headcount!$O$4),IF((F$5=2),((SUMIFS(Headcount!$O$6:$O$89,Headcount!$F$6:$F$89,"Development Operations",Headcount!$H$6:$H$89,"&gt;="&amp;'Dev Ops'!F$3)/12)),E12),IF(YEAR(F$3)=YEAR(Headcount!$P$4),IF((F$5=2),((SUMIFS(Headcount!$P$6:$P$89,Headcount!$F$6:$F$89,"Development Operations",Headcount!$H$6:$H$89,"&gt;="&amp;'Dev Ops'!F$3)/12)),E12),IF(YEAR(F$3)=YEAR(Headcount!$Q$4),IF((F$5=2),((SUMIFS(Headcount!$Q$6:$Q$89,Headcount!$F$6:$F$89,"Development Operations",Headcount!$H$6:$H$89,"&gt;="&amp;'Dev Ops'!F$3)/12)),E12),IF(YEAR(F$3)=YEAR(Headcount!$R$4),IF((F$5=2),((SUMIFS(Headcount!$R$6:$R$89,Headcount!$F$6:$F$89,"Development Operations",Headcount!$H$6:$H$89,"&gt;="&amp;'Dev Ops'!F$3)/12)),E12),"New Year"))))),'Dept. Cost Actuals'!J824-'Dept. Cost Actuals'!J814)</f>
        <v>22006.140000000003</v>
      </c>
      <c r="G12" s="806">
        <f>IF(G$4="forecast",IF(YEAR(G$3)=YEAR(Headcount!$N$4),((SUMIFS(Headcount!$N$6:$N$89,Headcount!$F$6:$F$89,"Development Operations",Headcount!$H$6:$H$89,"&gt;="&amp;'Dev Ops'!G$3)/12)),IF(YEAR(G$3)=YEAR(Headcount!$O$4),IF((G$5=2),((SUMIFS(Headcount!$O$6:$O$89,Headcount!$F$6:$F$89,"Development Operations",Headcount!$H$6:$H$89,"&gt;="&amp;'Dev Ops'!G$3)/12)),F12),IF(YEAR(G$3)=YEAR(Headcount!$P$4),IF((G$5=2),((SUMIFS(Headcount!$P$6:$P$89,Headcount!$F$6:$F$89,"Development Operations",Headcount!$H$6:$H$89,"&gt;="&amp;'Dev Ops'!G$3)/12)),F12),IF(YEAR(G$3)=YEAR(Headcount!$Q$4),IF((G$5=2),((SUMIFS(Headcount!$Q$6:$Q$89,Headcount!$F$6:$F$89,"Development Operations",Headcount!$H$6:$H$89,"&gt;="&amp;'Dev Ops'!G$3)/12)),F12),IF(YEAR(G$3)=YEAR(Headcount!$R$4),IF((G$5=2),((SUMIFS(Headcount!$R$6:$R$89,Headcount!$F$6:$F$89,"Development Operations",Headcount!$H$6:$H$89,"&gt;="&amp;'Dev Ops'!G$3)/12)),F12),"New Year"))))),'Dept. Cost Actuals'!K824-'Dept. Cost Actuals'!K814)</f>
        <v>22054.17</v>
      </c>
      <c r="H12" s="806">
        <f>IF(H$4="forecast",IF(YEAR(H$3)=YEAR(Headcount!$N$4),((SUMIFS(Headcount!$N$6:$N$89,Headcount!$F$6:$F$89,"Development Operations",Headcount!$H$6:$H$89,"&gt;="&amp;'Dev Ops'!H$3)/12)),IF(YEAR(H$3)=YEAR(Headcount!$O$4),IF((H$5=2),((SUMIFS(Headcount!$O$6:$O$89,Headcount!$F$6:$F$89,"Development Operations",Headcount!$H$6:$H$89,"&gt;="&amp;'Dev Ops'!H$3)/12)),G12),IF(YEAR(H$3)=YEAR(Headcount!$P$4),IF((H$5=2),((SUMIFS(Headcount!$P$6:$P$89,Headcount!$F$6:$F$89,"Development Operations",Headcount!$H$6:$H$89,"&gt;="&amp;'Dev Ops'!H$3)/12)),G12),IF(YEAR(H$3)=YEAR(Headcount!$Q$4),IF((H$5=2),((SUMIFS(Headcount!$Q$6:$Q$89,Headcount!$F$6:$F$89,"Development Operations",Headcount!$H$6:$H$89,"&gt;="&amp;'Dev Ops'!H$3)/12)),G12),IF(YEAR(H$3)=YEAR(Headcount!$R$4),IF((H$5=2),((SUMIFS(Headcount!$R$6:$R$89,Headcount!$F$6:$F$89,"Development Operations",Headcount!$H$6:$H$89,"&gt;="&amp;'Dev Ops'!H$3)/12)),G12),"New Year"))))),'Dept. Cost Actuals'!L824-'Dept. Cost Actuals'!L814)</f>
        <v>30928.66</v>
      </c>
      <c r="I12" s="806">
        <f>IF(I$4="forecast",IF(YEAR(I$3)=YEAR(Headcount!$N$4),((SUMIFS(Headcount!$N$6:$N$89,Headcount!$F$6:$F$89,"Development Operations",Headcount!$H$6:$H$89,"&gt;="&amp;'Dev Ops'!I$3)/12)),IF(YEAR(I$3)=YEAR(Headcount!$O$4),IF((I$5=2),((SUMIFS(Headcount!$O$6:$O$89,Headcount!$F$6:$F$89,"Development Operations",Headcount!$H$6:$H$89,"&gt;="&amp;'Dev Ops'!I$3)/12)),H12),IF(YEAR(I$3)=YEAR(Headcount!$P$4),IF((I$5=2),((SUMIFS(Headcount!$P$6:$P$89,Headcount!$F$6:$F$89,"Development Operations",Headcount!$H$6:$H$89,"&gt;="&amp;'Dev Ops'!I$3)/12)),H12),IF(YEAR(I$3)=YEAR(Headcount!$Q$4),IF((I$5=2),((SUMIFS(Headcount!$Q$6:$Q$89,Headcount!$F$6:$F$89,"Development Operations",Headcount!$H$6:$H$89,"&gt;="&amp;'Dev Ops'!I$3)/12)),H12),IF(YEAR(I$3)=YEAR(Headcount!$R$4),IF((I$5=2),((SUMIFS(Headcount!$R$6:$R$89,Headcount!$F$6:$F$89,"Development Operations",Headcount!$H$6:$H$89,"&gt;="&amp;'Dev Ops'!I$3)/12)),H12),"New Year"))))),'Dept. Cost Actuals'!M824-'Dept. Cost Actuals'!M814)</f>
        <v>20619.11</v>
      </c>
      <c r="J12" s="806">
        <f>IF(J$4="forecast",IF(YEAR(J$3)=YEAR(Headcount!$N$4),((SUMIFS(Headcount!$N$6:$N$89,Headcount!$F$6:$F$89,"Development Operations",Headcount!$H$6:$H$89,"&gt;="&amp;'Dev Ops'!J$3)/12)),IF(YEAR(J$3)=YEAR(Headcount!$O$4),IF((J$5=2),((SUMIFS(Headcount!$O$6:$O$89,Headcount!$F$6:$F$89,"Development Operations",Headcount!$H$6:$H$89,"&gt;="&amp;'Dev Ops'!J$3)/12)),I12),IF(YEAR(J$3)=YEAR(Headcount!$P$4),IF((J$5=2),((SUMIFS(Headcount!$P$6:$P$89,Headcount!$F$6:$F$89,"Development Operations",Headcount!$H$6:$H$89,"&gt;="&amp;'Dev Ops'!J$3)/12)),I12),IF(YEAR(J$3)=YEAR(Headcount!$Q$4),IF((J$5=2),((SUMIFS(Headcount!$Q$6:$Q$89,Headcount!$F$6:$F$89,"Development Operations",Headcount!$H$6:$H$89,"&gt;="&amp;'Dev Ops'!J$3)/12)),I12),IF(YEAR(J$3)=YEAR(Headcount!$R$4),IF((J$5=2),((SUMIFS(Headcount!$R$6:$R$89,Headcount!$F$6:$F$89,"Development Operations",Headcount!$H$6:$H$89,"&gt;="&amp;'Dev Ops'!J$3)/12)),I12),"New Year"))))),'Dept. Cost Actuals'!N824-'Dept. Cost Actuals'!N814)</f>
        <v>24748.86</v>
      </c>
      <c r="K12" s="806">
        <f>IF(K$4="forecast",IF(YEAR(K$3)=YEAR(Headcount!$N$4),((SUMIFS(Headcount!$N$6:$N$89,Headcount!$F$6:$F$89,"Development Operations",Headcount!$H$6:$H$89,"&gt;="&amp;'Dev Ops'!K$3)/12)),IF(YEAR(K$3)=YEAR(Headcount!$O$4),IF((K$5=2),((SUMIFS(Headcount!$O$6:$O$89,Headcount!$F$6:$F$89,"Development Operations",Headcount!$H$6:$H$89,"&gt;="&amp;'Dev Ops'!K$3)/12)),J12),IF(YEAR(K$3)=YEAR(Headcount!$P$4),IF((K$5=2),((SUMIFS(Headcount!$P$6:$P$89,Headcount!$F$6:$F$89,"Development Operations",Headcount!$H$6:$H$89,"&gt;="&amp;'Dev Ops'!K$3)/12)),J12),IF(YEAR(K$3)=YEAR(Headcount!$Q$4),IF((K$5=2),((SUMIFS(Headcount!$Q$6:$Q$89,Headcount!$F$6:$F$89,"Development Operations",Headcount!$H$6:$H$89,"&gt;="&amp;'Dev Ops'!K$3)/12)),J12),IF(YEAR(K$3)=YEAR(Headcount!$R$4),IF((K$5=2),((SUMIFS(Headcount!$R$6:$R$89,Headcount!$F$6:$F$89,"Development Operations",Headcount!$H$6:$H$89,"&gt;="&amp;'Dev Ops'!K$3)/12)),J12),"New Year"))))),'Dept. Cost Actuals'!O824-'Dept. Cost Actuals'!O814)</f>
        <v>22151.039999999997</v>
      </c>
      <c r="L12" s="806">
        <f>IF(L$4="forecast",IF(YEAR(L$3)=YEAR(Headcount!$N$4),((SUMIFS(Headcount!$N$6:$N$89,Headcount!$F$6:$F$89,"Development Operations",Headcount!$H$6:$H$89,"&gt;="&amp;'Dev Ops'!L$3)/12)),IF(YEAR(L$3)=YEAR(Headcount!$O$4),IF((L$5=2),((SUMIFS(Headcount!$O$6:$O$89,Headcount!$F$6:$F$89,"Development Operations",Headcount!$H$6:$H$89,"&gt;="&amp;'Dev Ops'!L$3)/12)),K12),IF(YEAR(L$3)=YEAR(Headcount!$P$4),IF((L$5=2),((SUMIFS(Headcount!$P$6:$P$89,Headcount!$F$6:$F$89,"Development Operations",Headcount!$H$6:$H$89,"&gt;="&amp;'Dev Ops'!L$3)/12)),K12),IF(YEAR(L$3)=YEAR(Headcount!$Q$4),IF((L$5=2),((SUMIFS(Headcount!$Q$6:$Q$89,Headcount!$F$6:$F$89,"Development Operations",Headcount!$H$6:$H$89,"&gt;="&amp;'Dev Ops'!L$3)/12)),K12),IF(YEAR(L$3)=YEAR(Headcount!$R$4),IF((L$5=2),((SUMIFS(Headcount!$R$6:$R$89,Headcount!$F$6:$F$89,"Development Operations",Headcount!$H$6:$H$89,"&gt;="&amp;'Dev Ops'!L$3)/12)),K12),"New Year"))))),'Dept. Cost Actuals'!P824-'Dept. Cost Actuals'!P814)</f>
        <v>26570.52</v>
      </c>
      <c r="M12" s="806">
        <f>IF(M$4="forecast",IF(YEAR(M$3)=YEAR(Headcount!$N$4),((SUMIFS(Headcount!$N$6:$N$89,Headcount!$F$6:$F$89,"Development Operations",Headcount!$H$6:$H$89,"&gt;="&amp;'Dev Ops'!M$3)/12)),IF(YEAR(M$3)=YEAR(Headcount!$O$4),IF((M$5=2),((SUMIFS(Headcount!$O$6:$O$89,Headcount!$F$6:$F$89,"Development Operations",Headcount!$H$6:$H$89,"&gt;="&amp;'Dev Ops'!M$3)/12)),L12),IF(YEAR(M$3)=YEAR(Headcount!$P$4),IF((M$5=2),((SUMIFS(Headcount!$P$6:$P$89,Headcount!$F$6:$F$89,"Development Operations",Headcount!$H$6:$H$89,"&gt;="&amp;'Dev Ops'!M$3)/12)),L12),IF(YEAR(M$3)=YEAR(Headcount!$Q$4),IF((M$5=2),((SUMIFS(Headcount!$Q$6:$Q$89,Headcount!$F$6:$F$89,"Development Operations",Headcount!$H$6:$H$89,"&gt;="&amp;'Dev Ops'!M$3)/12)),L12),IF(YEAR(M$3)=YEAR(Headcount!$R$4),IF((M$5=2),((SUMIFS(Headcount!$R$6:$R$89,Headcount!$F$6:$F$89,"Development Operations",Headcount!$H$6:$H$89,"&gt;="&amp;'Dev Ops'!M$3)/12)),L12),"New Year"))))),'Dept. Cost Actuals'!Q824-'Dept. Cost Actuals'!Q814)</f>
        <v>53436.23</v>
      </c>
      <c r="N12" s="806">
        <f>IF(N$4="forecast",IF(YEAR(N$3)=YEAR(Headcount!$N$4),((SUMIFS(Headcount!$N$6:$N$89,Headcount!$F$6:$F$89,"Development Operations",Headcount!$H$6:$H$89,"&gt;="&amp;'Dev Ops'!N$3)/12)),IF(YEAR(N$3)=YEAR(Headcount!$O$4),IF((N$5=2),((SUMIFS(Headcount!$O$6:$O$89,Headcount!$F$6:$F$89,"Development Operations",Headcount!$H$6:$H$89,"&gt;="&amp;'Dev Ops'!N$3)/12)),M12),IF(YEAR(N$3)=YEAR(Headcount!$P$4),IF((N$5=2),((SUMIFS(Headcount!$P$6:$P$89,Headcount!$F$6:$F$89,"Development Operations",Headcount!$H$6:$H$89,"&gt;="&amp;'Dev Ops'!N$3)/12)),M12),IF(YEAR(N$3)=YEAR(Headcount!$Q$4),IF((N$5=2),((SUMIFS(Headcount!$Q$6:$Q$89,Headcount!$F$6:$F$89,"Development Operations",Headcount!$H$6:$H$89,"&gt;="&amp;'Dev Ops'!N$3)/12)),M12),IF(YEAR(N$3)=YEAR(Headcount!$R$4),IF((N$5=2),((SUMIFS(Headcount!$R$6:$R$89,Headcount!$F$6:$F$89,"Development Operations",Headcount!$H$6:$H$89,"&gt;="&amp;'Dev Ops'!N$3)/12)),M12),"New Year"))))),'Dept. Cost Actuals'!R824-'Dept. Cost Actuals'!R814)</f>
        <v>48197.46</v>
      </c>
      <c r="O12" s="806">
        <f>IF(O$4="forecast",IF(YEAR(O$3)=YEAR(Headcount!$N$4),((SUMIFS(Headcount!$N$6:$N$89,Headcount!$F$6:$F$89,"Development Operations",Headcount!$H$6:$H$89,"&gt;="&amp;'Dev Ops'!O$3)/12)),IF(YEAR(O$3)=YEAR(Headcount!$O$4),IF((O$5=2),((SUMIFS(Headcount!$O$6:$O$89,Headcount!$F$6:$F$89,"Development Operations",Headcount!$H$6:$H$89,"&gt;="&amp;'Dev Ops'!O$3)/12)),N12),IF(YEAR(O$3)=YEAR(Headcount!$P$4),IF((O$5=2),((SUMIFS(Headcount!$P$6:$P$89,Headcount!$F$6:$F$89,"Development Operations",Headcount!$H$6:$H$89,"&gt;="&amp;'Dev Ops'!O$3)/12)),N12),IF(YEAR(O$3)=YEAR(Headcount!$Q$4),IF((O$5=2),((SUMIFS(Headcount!$Q$6:$Q$89,Headcount!$F$6:$F$89,"Development Operations",Headcount!$H$6:$H$89,"&gt;="&amp;'Dev Ops'!O$3)/12)),N12),IF(YEAR(O$3)=YEAR(Headcount!$R$4),IF((O$5=2),((SUMIFS(Headcount!$R$6:$R$89,Headcount!$F$6:$F$89,"Development Operations",Headcount!$H$6:$H$89,"&gt;="&amp;'Dev Ops'!O$3)/12)),N12),"New Year"))))),'Dept. Cost Actuals'!S824-'Dept. Cost Actuals'!S814)</f>
        <v>35863.93</v>
      </c>
      <c r="P12" s="806">
        <f>IF(P$4="forecast",IF(YEAR(P$3)=YEAR(Headcount!$N$4),((SUMIFS(Headcount!$N$6:$N$89,Headcount!$F$6:$F$89,"Development Operations",Headcount!$H$6:$H$89,"&gt;="&amp;'Dev Ops'!P$3)/12)),IF(YEAR(P$3)=YEAR(Headcount!$O$4),IF((P$5=2),((SUMIFS(Headcount!$O$6:$O$89,Headcount!$F$6:$F$89,"Development Operations",Headcount!$H$6:$H$89,"&gt;="&amp;'Dev Ops'!P$3)/12)),O12),IF(YEAR(P$3)=YEAR(Headcount!$P$4),IF((P$5=2),((SUMIFS(Headcount!$P$6:$P$89,Headcount!$F$6:$F$89,"Development Operations",Headcount!$H$6:$H$89,"&gt;="&amp;'Dev Ops'!P$3)/12)),O12),IF(YEAR(P$3)=YEAR(Headcount!$Q$4),IF((P$5=2),((SUMIFS(Headcount!$Q$6:$Q$89,Headcount!$F$6:$F$89,"Development Operations",Headcount!$H$6:$H$89,"&gt;="&amp;'Dev Ops'!P$3)/12)),O12),IF(YEAR(P$3)=YEAR(Headcount!$R$4),IF((P$5=2),((SUMIFS(Headcount!$R$6:$R$89,Headcount!$F$6:$F$89,"Development Operations",Headcount!$H$6:$H$89,"&gt;="&amp;'Dev Ops'!P$3)/12)),O12),"New Year"))))),'Dept. Cost Actuals'!T824-'Dept. Cost Actuals'!T814)</f>
        <v>24892.16</v>
      </c>
      <c r="Q12" s="806">
        <f>IF(Q$4="forecast",IF(YEAR(Q$3)=YEAR(Headcount!$N$4),((SUMIFS(Headcount!$N$6:$N$89,Headcount!$F$6:$F$89,"Development Operations",Headcount!$H$6:$H$89,"&gt;="&amp;'Dev Ops'!Q$3)/12)),IF(YEAR(Q$3)=YEAR(Headcount!$O$4),IF((Q$5=2),((SUMIFS(Headcount!$O$6:$O$89,Headcount!$F$6:$F$89,"Development Operations",Headcount!$H$6:$H$89,"&gt;="&amp;'Dev Ops'!Q$3)/12)),P12),IF(YEAR(Q$3)=YEAR(Headcount!$P$4),IF((Q$5=2),((SUMIFS(Headcount!$P$6:$P$89,Headcount!$F$6:$F$89,"Development Operations",Headcount!$H$6:$H$89,"&gt;="&amp;'Dev Ops'!Q$3)/12)),P12),IF(YEAR(Q$3)=YEAR(Headcount!$Q$4),IF((Q$5=2),((SUMIFS(Headcount!$Q$6:$Q$89,Headcount!$F$6:$F$89,"Development Operations",Headcount!$H$6:$H$89,"&gt;="&amp;'Dev Ops'!Q$3)/12)),P12),IF(YEAR(Q$3)=YEAR(Headcount!$R$4),IF((Q$5=2),((SUMIFS(Headcount!$R$6:$R$89,Headcount!$F$6:$F$89,"Development Operations",Headcount!$H$6:$H$89,"&gt;="&amp;'Dev Ops'!Q$3)/12)),P12),"New Year"))))),'Dept. Cost Actuals'!U824-'Dept. Cost Actuals'!U814)</f>
        <v>45943.78</v>
      </c>
      <c r="R12" s="806">
        <f>IF(R$4="forecast",IF(YEAR(R$3)=YEAR(Headcount!$N$4),((SUMIFS(Headcount!$N$6:$N$89,Headcount!$F$6:$F$89,"Development Operations",Headcount!$H$6:$H$89,"&gt;="&amp;'Dev Ops'!R$3)/12)),IF(YEAR(R$3)=YEAR(Headcount!$O$4),IF((R$5=2),((SUMIFS(Headcount!$O$6:$O$89,Headcount!$F$6:$F$89,"Development Operations",Headcount!$H$6:$H$89,"&gt;="&amp;'Dev Ops'!R$3)/12)),Q12),IF(YEAR(R$3)=YEAR(Headcount!$P$4),IF((R$5=2),((SUMIFS(Headcount!$P$6:$P$89,Headcount!$F$6:$F$89,"Development Operations",Headcount!$H$6:$H$89,"&gt;="&amp;'Dev Ops'!R$3)/12)),Q12),IF(YEAR(R$3)=YEAR(Headcount!$Q$4),IF((R$5=2),((SUMIFS(Headcount!$Q$6:$Q$89,Headcount!$F$6:$F$89,"Development Operations",Headcount!$H$6:$H$89,"&gt;="&amp;'Dev Ops'!R$3)/12)),Q12),IF(YEAR(R$3)=YEAR(Headcount!$R$4),IF((R$5=2),((SUMIFS(Headcount!$R$6:$R$89,Headcount!$F$6:$F$89,"Development Operations",Headcount!$H$6:$H$89,"&gt;="&amp;'Dev Ops'!R$3)/12)),Q12),"New Year"))))),'Dept. Cost Actuals'!V824-'Dept. Cost Actuals'!V814)</f>
        <v>30656.809999999998</v>
      </c>
      <c r="S12" s="806">
        <f>IF(S$4="forecast",IF(YEAR(S$3)=YEAR(Headcount!$N$4),((SUMIFS(Headcount!$N$6:$N$89,Headcount!$F$6:$F$89,"Development Operations",Headcount!$H$6:$H$89,"&gt;="&amp;'Dev Ops'!S$3)/12)),IF(YEAR(S$3)=YEAR(Headcount!$O$4),IF((S$5=2),((SUMIFS(Headcount!$O$6:$O$89,Headcount!$F$6:$F$89,"Development Operations",Headcount!$H$6:$H$89,"&gt;="&amp;'Dev Ops'!S$3)/12)),R12),IF(YEAR(S$3)=YEAR(Headcount!$P$4),IF((S$5=2),((SUMIFS(Headcount!$P$6:$P$89,Headcount!$F$6:$F$89,"Development Operations",Headcount!$H$6:$H$89,"&gt;="&amp;'Dev Ops'!S$3)/12)),R12),IF(YEAR(S$3)=YEAR(Headcount!$Q$4),IF((S$5=2),((SUMIFS(Headcount!$Q$6:$Q$89,Headcount!$F$6:$F$89,"Development Operations",Headcount!$H$6:$H$89,"&gt;="&amp;'Dev Ops'!S$3)/12)),R12),IF(YEAR(S$3)=YEAR(Headcount!$R$4),IF((S$5=2),((SUMIFS(Headcount!$R$6:$R$89,Headcount!$F$6:$F$89,"Development Operations",Headcount!$H$6:$H$89,"&gt;="&amp;'Dev Ops'!S$3)/12)),R12),"New Year"))))),'Dept. Cost Actuals'!W824-'Dept. Cost Actuals'!W814)</f>
        <v>61901.440000000002</v>
      </c>
      <c r="T12" s="806">
        <f>IF(T$4="forecast",IF(YEAR(T$3)=YEAR(Headcount!$N$4),((SUMIFS(Headcount!$N$6:$N$89,Headcount!$F$6:$F$89,"Development Operations",Headcount!$H$6:$H$89,"&gt;="&amp;'Dev Ops'!T$3)/12)),IF(YEAR(T$3)=YEAR(Headcount!$O$4),IF((T$5=2),((SUMIFS(Headcount!$O$6:$O$89,Headcount!$F$6:$F$89,"Development Operations",Headcount!$H$6:$H$89,"&gt;="&amp;'Dev Ops'!T$3)/12)),S12),IF(YEAR(T$3)=YEAR(Headcount!$P$4),IF((T$5=2),((SUMIFS(Headcount!$P$6:$P$89,Headcount!$F$6:$F$89,"Development Operations",Headcount!$H$6:$H$89,"&gt;="&amp;'Dev Ops'!T$3)/12)),S12),IF(YEAR(T$3)=YEAR(Headcount!$Q$4),IF((T$5=2),((SUMIFS(Headcount!$Q$6:$Q$89,Headcount!$F$6:$F$89,"Development Operations",Headcount!$H$6:$H$89,"&gt;="&amp;'Dev Ops'!T$3)/12)),S12),IF(YEAR(T$3)=YEAR(Headcount!$R$4),IF((T$5=2),((SUMIFS(Headcount!$R$6:$R$89,Headcount!$F$6:$F$89,"Development Operations",Headcount!$H$6:$H$89,"&gt;="&amp;'Dev Ops'!T$3)/12)),S12),"New Year"))))),'Dept. Cost Actuals'!X824-'Dept. Cost Actuals'!X814)</f>
        <v>69057.39</v>
      </c>
      <c r="U12" s="806">
        <f>IF(U$4="forecast",IF(YEAR(U$3)=YEAR(Headcount!$N$4),((SUMIFS(Headcount!$N$6:$N$89,Headcount!$F$6:$F$89,"Development Operations",Headcount!$H$6:$H$89,"&gt;="&amp;'Dev Ops'!U$3)/12)),IF(YEAR(U$3)=YEAR(Headcount!$O$4),IF((U$5=2),((SUMIFS(Headcount!$O$6:$O$89,Headcount!$F$6:$F$89,"Development Operations",Headcount!$H$6:$H$89,"&gt;="&amp;'Dev Ops'!U$3)/12)),T12),IF(YEAR(U$3)=YEAR(Headcount!$P$4),IF((U$5=2),((SUMIFS(Headcount!$P$6:$P$89,Headcount!$F$6:$F$89,"Development Operations",Headcount!$H$6:$H$89,"&gt;="&amp;'Dev Ops'!U$3)/12)),T12),IF(YEAR(U$3)=YEAR(Headcount!$Q$4),IF((U$5=2),((SUMIFS(Headcount!$Q$6:$Q$89,Headcount!$F$6:$F$89,"Development Operations",Headcount!$H$6:$H$89,"&gt;="&amp;'Dev Ops'!U$3)/12)),T12),IF(YEAR(U$3)=YEAR(Headcount!$R$4),IF((U$5=2),((SUMIFS(Headcount!$R$6:$R$89,Headcount!$F$6:$F$89,"Development Operations",Headcount!$H$6:$H$89,"&gt;="&amp;'Dev Ops'!U$3)/12)),T12),"New Year"))))),'Dept. Cost Actuals'!Y824-'Dept. Cost Actuals'!Y814)</f>
        <v>49451.8</v>
      </c>
      <c r="V12" s="806">
        <f>IF(V$4="forecast",IF(YEAR(V$3)=YEAR(Headcount!$N$4),((SUMIFS(Headcount!$N$6:$N$89,Headcount!$F$6:$F$89,"Development Operations",Headcount!$H$6:$H$89,"&gt;="&amp;'Dev Ops'!V$3)/12)),IF(YEAR(V$3)=YEAR(Headcount!$O$4),IF((V$5=2),((SUMIFS(Headcount!$O$6:$O$89,Headcount!$F$6:$F$89,"Development Operations",Headcount!$H$6:$H$89,"&gt;="&amp;'Dev Ops'!V$3)/12)),U12),IF(YEAR(V$3)=YEAR(Headcount!$P$4),IF((V$5=2),((SUMIFS(Headcount!$P$6:$P$89,Headcount!$F$6:$F$89,"Development Operations",Headcount!$H$6:$H$89,"&gt;="&amp;'Dev Ops'!V$3)/12)),U12),IF(YEAR(V$3)=YEAR(Headcount!$Q$4),IF((V$5=2),((SUMIFS(Headcount!$Q$6:$Q$89,Headcount!$F$6:$F$89,"Development Operations",Headcount!$H$6:$H$89,"&gt;="&amp;'Dev Ops'!V$3)/12)),U12),IF(YEAR(V$3)=YEAR(Headcount!$R$4),IF((V$5=2),((SUMIFS(Headcount!$R$6:$R$89,Headcount!$F$6:$F$89,"Development Operations",Headcount!$H$6:$H$89,"&gt;="&amp;'Dev Ops'!V$3)/12)),U12),"New Year"))))),'Dept. Cost Actuals'!Z824-'Dept. Cost Actuals'!Z814)</f>
        <v>55336.91</v>
      </c>
      <c r="W12" s="806">
        <f>IF(W$4="forecast",IF(YEAR(W$3)=YEAR(Headcount!$N$4),((SUMIFS(Headcount!$N$6:$N$89,Headcount!$F$6:$F$89,"Development Operations",Headcount!$H$6:$H$89,"&gt;="&amp;'Dev Ops'!W$3)/12)),IF(YEAR(W$3)=YEAR(Headcount!$O$4),IF((W$5=2),((SUMIFS(Headcount!$O$6:$O$89,Headcount!$F$6:$F$89,"Development Operations",Headcount!$H$6:$H$89,"&gt;="&amp;'Dev Ops'!W$3)/12)),V12),IF(YEAR(W$3)=YEAR(Headcount!$P$4),IF((W$5=2),((SUMIFS(Headcount!$P$6:$P$89,Headcount!$F$6:$F$89,"Development Operations",Headcount!$H$6:$H$89,"&gt;="&amp;'Dev Ops'!W$3)/12)),V12),IF(YEAR(W$3)=YEAR(Headcount!$Q$4),IF((W$5=2),((SUMIFS(Headcount!$Q$6:$Q$89,Headcount!$F$6:$F$89,"Development Operations",Headcount!$H$6:$H$89,"&gt;="&amp;'Dev Ops'!W$3)/12)),V12),IF(YEAR(W$3)=YEAR(Headcount!$R$4),IF((W$5=2),((SUMIFS(Headcount!$R$6:$R$89,Headcount!$F$6:$F$89,"Development Operations",Headcount!$H$6:$H$89,"&gt;="&amp;'Dev Ops'!W$3)/12)),V12),"New Year"))))),'Dept. Cost Actuals'!AA824-'Dept. Cost Actuals'!AA814)</f>
        <v>52650.82</v>
      </c>
      <c r="X12" s="806">
        <f>IF(X$4="forecast",IF(YEAR(X$3)=YEAR(Headcount!$N$4),((SUMIFS(Headcount!$N$6:$N$89,Headcount!$F$6:$F$89,"Development Operations",Headcount!$H$6:$H$89,"&gt;="&amp;'Dev Ops'!X$3)/12)),IF(YEAR(X$3)=YEAR(Headcount!$O$4),IF((X$5=2),((SUMIFS(Headcount!$O$6:$O$89,Headcount!$F$6:$F$89,"Development Operations",Headcount!$H$6:$H$89,"&gt;="&amp;'Dev Ops'!X$3)/12)),W12),IF(YEAR(X$3)=YEAR(Headcount!$P$4),IF((X$5=2),((SUMIFS(Headcount!$P$6:$P$89,Headcount!$F$6:$F$89,"Development Operations",Headcount!$H$6:$H$89,"&gt;="&amp;'Dev Ops'!X$3)/12)),W12),IF(YEAR(X$3)=YEAR(Headcount!$Q$4),IF((X$5=2),((SUMIFS(Headcount!$Q$6:$Q$89,Headcount!$F$6:$F$89,"Development Operations",Headcount!$H$6:$H$89,"&gt;="&amp;'Dev Ops'!X$3)/12)),W12),IF(YEAR(X$3)=YEAR(Headcount!$R$4),IF((X$5=2),((SUMIFS(Headcount!$R$6:$R$89,Headcount!$F$6:$F$89,"Development Operations",Headcount!$H$6:$H$89,"&gt;="&amp;'Dev Ops'!X$3)/12)),W12),"New Year"))))),'Dept. Cost Actuals'!AB824-'Dept. Cost Actuals'!AB814)</f>
        <v>56450.319999999992</v>
      </c>
      <c r="Y12" s="806">
        <f>IF(Y$4="forecast",IF(YEAR(Y$3)=YEAR(Headcount!$N$4),((SUMIFS(Headcount!$N$6:$N$89,Headcount!$F$6:$F$89,"Development Operations",Headcount!$H$6:$H$89,"&gt;="&amp;'Dev Ops'!Y$3)/12)),IF(YEAR(Y$3)=YEAR(Headcount!$O$4),IF((Y$5=2),((SUMIFS(Headcount!$O$6:$O$89,Headcount!$F$6:$F$89,"Development Operations",Headcount!$H$6:$H$89,"&gt;="&amp;'Dev Ops'!Y$3)/12)),X12),IF(YEAR(Y$3)=YEAR(Headcount!$P$4),IF((Y$5=2),((SUMIFS(Headcount!$P$6:$P$89,Headcount!$F$6:$F$89,"Development Operations",Headcount!$H$6:$H$89,"&gt;="&amp;'Dev Ops'!Y$3)/12)),X12),IF(YEAR(Y$3)=YEAR(Headcount!$Q$4),IF((Y$5=2),((SUMIFS(Headcount!$Q$6:$Q$89,Headcount!$F$6:$F$89,"Development Operations",Headcount!$H$6:$H$89,"&gt;="&amp;'Dev Ops'!Y$3)/12)),X12),IF(YEAR(Y$3)=YEAR(Headcount!$R$4),IF((Y$5=2),((SUMIFS(Headcount!$R$6:$R$89,Headcount!$F$6:$F$89,"Development Operations",Headcount!$H$6:$H$89,"&gt;="&amp;'Dev Ops'!Y$3)/12)),X12),"New Year"))))),'Dept. Cost Actuals'!AC824-'Dept. Cost Actuals'!AC814)</f>
        <v>55818.600000000006</v>
      </c>
      <c r="Z12" s="806">
        <f>IF(Z$4="forecast",IF(YEAR(Z$3)=YEAR(Headcount!$N$4),((SUMIFS(Headcount!$N$6:$N$89,Headcount!$F$6:$F$89,"Development Operations",Headcount!$H$6:$H$89,"&gt;="&amp;'Dev Ops'!Z$3)/12)),IF(YEAR(Z$3)=YEAR(Headcount!$O$4),IF((Z$5=2),((SUMIFS(Headcount!$O$6:$O$89,Headcount!$F$6:$F$89,"Development Operations",Headcount!$H$6:$H$89,"&gt;="&amp;'Dev Ops'!Z$3)/12)),Y12),IF(YEAR(Z$3)=YEAR(Headcount!$P$4),IF((Z$5=2),((SUMIFS(Headcount!$P$6:$P$89,Headcount!$F$6:$F$89,"Development Operations",Headcount!$H$6:$H$89,"&gt;="&amp;'Dev Ops'!Z$3)/12)),Y12),IF(YEAR(Z$3)=YEAR(Headcount!$Q$4),IF((Z$5=2),((SUMIFS(Headcount!$Q$6:$Q$89,Headcount!$F$6:$F$89,"Development Operations",Headcount!$H$6:$H$89,"&gt;="&amp;'Dev Ops'!Z$3)/12)),Y12),IF(YEAR(Z$3)=YEAR(Headcount!$R$4),IF((Z$5=2),((SUMIFS(Headcount!$R$6:$R$89,Headcount!$F$6:$F$89,"Development Operations",Headcount!$H$6:$H$89,"&gt;="&amp;'Dev Ops'!Z$3)/12)),Y12),"New Year"))))),'Dept. Cost Actuals'!AD818+'Dept. Cost Actuals'!AC812+'Dept. Cost Actuals'!AC812+'Dept. Cost Actuals'!AC802)</f>
        <v>64812.06</v>
      </c>
      <c r="AA12" s="806">
        <f>IF(AA$4="forecast",IF(YEAR(AA$3)=YEAR(Headcount!$N$4),((SUMIFS(Headcount!$N$6:$N$89,Headcount!$F$6:$F$89,"Development Operations",Headcount!$H$6:$H$89,"&gt;="&amp;'Dev Ops'!AA$3)/12)),IF(YEAR(AA$3)=YEAR(Headcount!$O$4),IF((AA$5=2),((SUMIFS(Headcount!$O$6:$O$89,Headcount!$F$6:$F$89,"Development Operations",Headcount!$H$6:$H$89,"&gt;="&amp;'Dev Ops'!AA$3)/12)),Z12),IF(YEAR(AA$3)=YEAR(Headcount!$P$4),IF((AA$5=2),((SUMIFS(Headcount!$P$6:$P$89,Headcount!$F$6:$F$89,"Development Operations",Headcount!$H$6:$H$89,"&gt;="&amp;'Dev Ops'!AA$3)/12)),Z12),IF(YEAR(AA$3)=YEAR(Headcount!$Q$4),IF((AA$5=2),((SUMIFS(Headcount!$Q$6:$Q$89,Headcount!$F$6:$F$89,"Development Operations",Headcount!$H$6:$H$89,"&gt;="&amp;'Dev Ops'!AA$3)/12)),Z12),IF(YEAR(AA$3)=YEAR(Headcount!$R$4),IF((AA$5=2),((SUMIFS(Headcount!$R$6:$R$89,Headcount!$F$6:$F$89,"Development Operations",Headcount!$H$6:$H$89,"&gt;="&amp;'Dev Ops'!AA$3)/12)),Z12),"New Year"))))),'Dept. Cost Actuals'!AE822+'Dept. Cost Actuals'!AD812+'Dept. Cost Actuals'!AD812+'Dept. Cost Actuals'!AD802)</f>
        <v>64812.06</v>
      </c>
      <c r="AB12" s="806">
        <f>IF(AB$4="forecast",IF(YEAR(AB$3)=YEAR(Headcount!$N$4),((SUMIFS(Headcount!$N$6:$N$89,Headcount!$F$6:$F$89,"Development Operations",Headcount!$H$6:$H$89,"&gt;="&amp;'Dev Ops'!AB$3)/12)),IF(YEAR(AB$3)=YEAR(Headcount!$O$4),IF((AB$5=2),((SUMIFS(Headcount!$O$6:$O$89,Headcount!$F$6:$F$89,"Development Operations",Headcount!$H$6:$H$89,"&gt;="&amp;'Dev Ops'!AB$3)/12)),AA12),IF(YEAR(AB$3)=YEAR(Headcount!$P$4),IF((AB$5=2),((SUMIFS(Headcount!$P$6:$P$89,Headcount!$F$6:$F$89,"Development Operations",Headcount!$H$6:$H$89,"&gt;="&amp;'Dev Ops'!AB$3)/12)),AA12),IF(YEAR(AB$3)=YEAR(Headcount!$Q$4),IF((AB$5=2),((SUMIFS(Headcount!$Q$6:$Q$89,Headcount!$F$6:$F$89,"Development Operations",Headcount!$H$6:$H$89,"&gt;="&amp;'Dev Ops'!AB$3)/12)),AA12),IF(YEAR(AB$3)=YEAR(Headcount!$R$4),IF((AB$5=2),((SUMIFS(Headcount!$R$6:$R$89,Headcount!$F$6:$F$89,"Development Operations",Headcount!$H$6:$H$89,"&gt;="&amp;'Dev Ops'!AB$3)/12)),AA12),"New Year"))))),'Dept. Cost Actuals'!AF824-'Dept. Cost Actuals'!AF814)</f>
        <v>87994.166666666672</v>
      </c>
      <c r="AC12" s="806">
        <f>IF(AC$4="forecast",IF(YEAR(AC$3)=YEAR(Headcount!$N$4),((SUMIFS(Headcount!$N$6:$N$89,Headcount!$F$6:$F$89,"Development Operations",Headcount!$H$6:$H$89,"&gt;="&amp;'Dev Ops'!AC$3)/12)),IF(YEAR(AC$3)=YEAR(Headcount!$O$4),IF((AC$5=2),((SUMIFS(Headcount!$O$6:$O$89,Headcount!$F$6:$F$89,"Development Operations",Headcount!$H$6:$H$89,"&gt;="&amp;'Dev Ops'!AC$3)/12)),AB12),IF(YEAR(AC$3)=YEAR(Headcount!$P$4),IF((AC$5=2),((SUMIFS(Headcount!$P$6:$P$89,Headcount!$F$6:$F$89,"Development Operations",Headcount!$H$6:$H$89,"&gt;="&amp;'Dev Ops'!AC$3)/12)),AB12),IF(YEAR(AC$3)=YEAR(Headcount!$Q$4),IF((AC$5=2),((SUMIFS(Headcount!$Q$6:$Q$89,Headcount!$F$6:$F$89,"Development Operations",Headcount!$H$6:$H$89,"&gt;="&amp;'Dev Ops'!AC$3)/12)),AB12),IF(YEAR(AC$3)=YEAR(Headcount!$R$4),IF((AC$5=2),((SUMIFS(Headcount!$R$6:$R$89,Headcount!$F$6:$F$89,"Development Operations",Headcount!$H$6:$H$89,"&gt;="&amp;'Dev Ops'!AC$3)/12)),AB12),"New Year"))))),'Dept. Cost Actuals'!AG824-'Dept. Cost Actuals'!AG814)</f>
        <v>87994.166666666672</v>
      </c>
      <c r="AD12" s="806">
        <f>IF(AD$4="forecast",IF(YEAR(AD$3)=YEAR(Headcount!$N$4),((SUMIFS(Headcount!$N$6:$N$89,Headcount!$F$6:$F$89,"Development Operations",Headcount!$H$6:$H$89,"&gt;="&amp;'Dev Ops'!AD$3)/12)),IF(YEAR(AD$3)=YEAR(Headcount!$O$4),IF((AD$5=2),((SUMIFS(Headcount!$O$6:$O$89,Headcount!$F$6:$F$89,"Development Operations",Headcount!$H$6:$H$89,"&gt;="&amp;'Dev Ops'!AD$3)/12)),AC12),IF(YEAR(AD$3)=YEAR(Headcount!$P$4),IF((AD$5=2),((SUMIFS(Headcount!$P$6:$P$89,Headcount!$F$6:$F$89,"Development Operations",Headcount!$H$6:$H$89,"&gt;="&amp;'Dev Ops'!AD$3)/12)),AC12),IF(YEAR(AD$3)=YEAR(Headcount!$Q$4),IF((AD$5=2),((SUMIFS(Headcount!$Q$6:$Q$89,Headcount!$F$6:$F$89,"Development Operations",Headcount!$H$6:$H$89,"&gt;="&amp;'Dev Ops'!AD$3)/12)),AC12),IF(YEAR(AD$3)=YEAR(Headcount!$R$4),IF((AD$5=2),((SUMIFS(Headcount!$R$6:$R$89,Headcount!$F$6:$F$89,"Development Operations",Headcount!$H$6:$H$89,"&gt;="&amp;'Dev Ops'!AD$3)/12)),AC12),"New Year"))))),'Dept. Cost Actuals'!AH824-'Dept. Cost Actuals'!AH814)</f>
        <v>87994.166666666672</v>
      </c>
      <c r="AE12" s="806">
        <f>IF(AE$4="forecast",IF(YEAR(AE$3)=YEAR(Headcount!$N$4),((SUMIFS(Headcount!$N$6:$N$89,Headcount!$F$6:$F$89,"Development Operations",Headcount!$H$6:$H$89,"&gt;="&amp;'Dev Ops'!AE$3)/12)),IF(YEAR(AE$3)=YEAR(Headcount!$O$4),IF((AE$5=2),((SUMIFS(Headcount!$O$6:$O$89,Headcount!$F$6:$F$89,"Development Operations",Headcount!$H$6:$H$89,"&gt;="&amp;'Dev Ops'!AE$3)/12)),AD12),IF(YEAR(AE$3)=YEAR(Headcount!$P$4),IF((AE$5=2),((SUMIFS(Headcount!$P$6:$P$89,Headcount!$F$6:$F$89,"Development Operations",Headcount!$H$6:$H$89,"&gt;="&amp;'Dev Ops'!AE$3)/12)),AD12),IF(YEAR(AE$3)=YEAR(Headcount!$Q$4),IF((AE$5=2),((SUMIFS(Headcount!$Q$6:$Q$89,Headcount!$F$6:$F$89,"Development Operations",Headcount!$H$6:$H$89,"&gt;="&amp;'Dev Ops'!AE$3)/12)),AD12),IF(YEAR(AE$3)=YEAR(Headcount!$R$4),IF((AE$5=2),((SUMIFS(Headcount!$R$6:$R$89,Headcount!$F$6:$F$89,"Development Operations",Headcount!$H$6:$H$89,"&gt;="&amp;'Dev Ops'!AE$3)/12)),AD12),"New Year"))))),'Dept. Cost Actuals'!AI824-'Dept. Cost Actuals'!AI814)</f>
        <v>87994.166666666672</v>
      </c>
      <c r="AF12" s="806">
        <f>IF(AF$4="forecast",IF(YEAR(AF$3)=YEAR(Headcount!$N$4),((SUMIFS(Headcount!$N$6:$N$89,Headcount!$F$6:$F$89,"Development Operations",Headcount!$H$6:$H$89,"&gt;="&amp;'Dev Ops'!AF$3)/12)),IF(YEAR(AF$3)=YEAR(Headcount!$O$4),IF((AF$5=2),((SUMIFS(Headcount!$O$6:$O$89,Headcount!$F$6:$F$89,"Development Operations",Headcount!$H$6:$H$89,"&gt;="&amp;'Dev Ops'!AF$3)/12)),AE12),IF(YEAR(AF$3)=YEAR(Headcount!$P$4),IF((AF$5=2),((SUMIFS(Headcount!$P$6:$P$89,Headcount!$F$6:$F$89,"Development Operations",Headcount!$H$6:$H$89,"&gt;="&amp;'Dev Ops'!AF$3)/12)),AE12),IF(YEAR(AF$3)=YEAR(Headcount!$Q$4),IF((AF$5=2),((SUMIFS(Headcount!$Q$6:$Q$89,Headcount!$F$6:$F$89,"Development Operations",Headcount!$H$6:$H$89,"&gt;="&amp;'Dev Ops'!AF$3)/12)),AE12),IF(YEAR(AF$3)=YEAR(Headcount!$R$4),IF((AF$5=2),((SUMIFS(Headcount!$R$6:$R$89,Headcount!$F$6:$F$89,"Development Operations",Headcount!$H$6:$H$89,"&gt;="&amp;'Dev Ops'!AF$3)/12)),AE12),"New Year"))))),'Dept. Cost Actuals'!AJ824-'Dept. Cost Actuals'!AJ814)</f>
        <v>87994.166666666672</v>
      </c>
      <c r="AG12" s="806">
        <f>IF(AG$4="forecast",IF(YEAR(AG$3)=YEAR(Headcount!$N$4),((SUMIFS(Headcount!$N$6:$N$89,Headcount!$F$6:$F$89,"Development Operations",Headcount!$H$6:$H$89,"&gt;="&amp;'Dev Ops'!AG$3)/12)),IF(YEAR(AG$3)=YEAR(Headcount!$O$4),IF((AG$5=2),((SUMIFS(Headcount!$O$6:$O$89,Headcount!$F$6:$F$89,"Development Operations",Headcount!$H$6:$H$89,"&gt;="&amp;'Dev Ops'!AG$3)/12)),AF12),IF(YEAR(AG$3)=YEAR(Headcount!$P$4),IF((AG$5=2),((SUMIFS(Headcount!$P$6:$P$89,Headcount!$F$6:$F$89,"Development Operations",Headcount!$H$6:$H$89,"&gt;="&amp;'Dev Ops'!AG$3)/12)),AF12),IF(YEAR(AG$3)=YEAR(Headcount!$Q$4),IF((AG$5=2),((SUMIFS(Headcount!$Q$6:$Q$89,Headcount!$F$6:$F$89,"Development Operations",Headcount!$H$6:$H$89,"&gt;="&amp;'Dev Ops'!AG$3)/12)),AF12),IF(YEAR(AG$3)=YEAR(Headcount!$R$4),IF((AG$5=2),((SUMIFS(Headcount!$R$6:$R$89,Headcount!$F$6:$F$89,"Development Operations",Headcount!$H$6:$H$89,"&gt;="&amp;'Dev Ops'!AG$3)/12)),AF12),"New Year"))))),'Dept. Cost Actuals'!AK824-'Dept. Cost Actuals'!AK814)</f>
        <v>87994.166666666672</v>
      </c>
      <c r="AH12" s="806">
        <f>IF(AH$4="forecast",IF(YEAR(AH$3)=YEAR(Headcount!$N$4),((SUMIFS(Headcount!$N$6:$N$89,Headcount!$F$6:$F$89,"Development Operations",Headcount!$H$6:$H$89,"&gt;="&amp;'Dev Ops'!AH$3)/12)),IF(YEAR(AH$3)=YEAR(Headcount!$O$4),IF((AH$5=2),((SUMIFS(Headcount!$O$6:$O$89,Headcount!$F$6:$F$89,"Development Operations",Headcount!$H$6:$H$89,"&gt;="&amp;'Dev Ops'!AH$3)/12)),AG12),IF(YEAR(AH$3)=YEAR(Headcount!$P$4),IF((AH$5=2),((SUMIFS(Headcount!$P$6:$P$89,Headcount!$F$6:$F$89,"Development Operations",Headcount!$H$6:$H$89,"&gt;="&amp;'Dev Ops'!AH$3)/12)),AG12),IF(YEAR(AH$3)=YEAR(Headcount!$Q$4),IF((AH$5=2),((SUMIFS(Headcount!$Q$6:$Q$89,Headcount!$F$6:$F$89,"Development Operations",Headcount!$H$6:$H$89,"&gt;="&amp;'Dev Ops'!AH$3)/12)),AG12),IF(YEAR(AH$3)=YEAR(Headcount!$R$4),IF((AH$5=2),((SUMIFS(Headcount!$R$6:$R$89,Headcount!$F$6:$F$89,"Development Operations",Headcount!$H$6:$H$89,"&gt;="&amp;'Dev Ops'!AH$3)/12)),AG12),"New Year"))))),'Dept. Cost Actuals'!AL824-'Dept. Cost Actuals'!AL814)</f>
        <v>87994.166666666672</v>
      </c>
      <c r="AI12" s="806">
        <f>IF(AI$4="forecast",IF(YEAR(AI$3)=YEAR(Headcount!$N$4),((SUMIFS(Headcount!$N$6:$N$89,Headcount!$F$6:$F$89,"Development Operations",Headcount!$H$6:$H$89,"&gt;="&amp;'Dev Ops'!AI$3)/12)),IF(YEAR(AI$3)=YEAR(Headcount!$O$4),IF((AI$5=2),((SUMIFS(Headcount!$O$6:$O$89,Headcount!$F$6:$F$89,"Development Operations",Headcount!$H$6:$H$89,"&gt;="&amp;'Dev Ops'!AI$3)/12)),AH12),IF(YEAR(AI$3)=YEAR(Headcount!$P$4),IF((AI$5=2),((SUMIFS(Headcount!$P$6:$P$89,Headcount!$F$6:$F$89,"Development Operations",Headcount!$H$6:$H$89,"&gt;="&amp;'Dev Ops'!AI$3)/12)),AH12),IF(YEAR(AI$3)=YEAR(Headcount!$Q$4),IF((AI$5=2),((SUMIFS(Headcount!$Q$6:$Q$89,Headcount!$F$6:$F$89,"Development Operations",Headcount!$H$6:$H$89,"&gt;="&amp;'Dev Ops'!AI$3)/12)),AH12),IF(YEAR(AI$3)=YEAR(Headcount!$R$4),IF((AI$5=2),((SUMIFS(Headcount!$R$6:$R$89,Headcount!$F$6:$F$89,"Development Operations",Headcount!$H$6:$H$89,"&gt;="&amp;'Dev Ops'!AI$3)/12)),AH12),"New Year"))))),'Dept. Cost Actuals'!AM824-'Dept. Cost Actuals'!AM814)</f>
        <v>87994.166666666672</v>
      </c>
      <c r="AJ12" s="806">
        <f>IF(AJ$4="forecast",IF(YEAR(AJ$3)=YEAR(Headcount!$N$4),((SUMIFS(Headcount!$N$6:$N$89,Headcount!$F$6:$F$89,"Development Operations",Headcount!$H$6:$H$89,"&gt;="&amp;'Dev Ops'!AJ$3)/12)),IF(YEAR(AJ$3)=YEAR(Headcount!$O$4),IF((AJ$5=2),((SUMIFS(Headcount!$O$6:$O$89,Headcount!$F$6:$F$89,"Development Operations",Headcount!$H$6:$H$89,"&gt;="&amp;'Dev Ops'!AJ$3)/12)),AI12),IF(YEAR(AJ$3)=YEAR(Headcount!$P$4),IF((AJ$5=2),((SUMIFS(Headcount!$P$6:$P$89,Headcount!$F$6:$F$89,"Development Operations",Headcount!$H$6:$H$89,"&gt;="&amp;'Dev Ops'!AJ$3)/12)),AI12),IF(YEAR(AJ$3)=YEAR(Headcount!$Q$4),IF((AJ$5=2),((SUMIFS(Headcount!$Q$6:$Q$89,Headcount!$F$6:$F$89,"Development Operations",Headcount!$H$6:$H$89,"&gt;="&amp;'Dev Ops'!AJ$3)/12)),AI12),IF(YEAR(AJ$3)=YEAR(Headcount!$R$4),IF((AJ$5=2),((SUMIFS(Headcount!$R$6:$R$89,Headcount!$F$6:$F$89,"Development Operations",Headcount!$H$6:$H$89,"&gt;="&amp;'Dev Ops'!AJ$3)/12)),AI12),"New Year"))))),'Dept. Cost Actuals'!AN824-'Dept. Cost Actuals'!AN814)</f>
        <v>87994.166666666672</v>
      </c>
      <c r="AK12" s="806">
        <f>IF(AK$4="forecast",IF(YEAR(AK$3)=YEAR(Headcount!$N$4),((SUMIFS(Headcount!$N$6:$N$89,Headcount!$F$6:$F$89,"Development Operations",Headcount!$H$6:$H$89,"&gt;="&amp;'Dev Ops'!AK$3)/12)),IF(YEAR(AK$3)=YEAR(Headcount!$O$4),IF((AK$5=2),((SUMIFS(Headcount!$O$6:$O$89,Headcount!$F$6:$F$89,"Development Operations",Headcount!$H$6:$H$89,"&gt;="&amp;'Dev Ops'!AK$3)/12)),AJ12),IF(YEAR(AK$3)=YEAR(Headcount!$P$4),IF((AK$5=2),((SUMIFS(Headcount!$P$6:$P$89,Headcount!$F$6:$F$89,"Development Operations",Headcount!$H$6:$H$89,"&gt;="&amp;'Dev Ops'!AK$3)/12)),AJ12),IF(YEAR(AK$3)=YEAR(Headcount!$Q$4),IF((AK$5=2),((SUMIFS(Headcount!$Q$6:$Q$89,Headcount!$F$6:$F$89,"Development Operations",Headcount!$H$6:$H$89,"&gt;="&amp;'Dev Ops'!AK$3)/12)),AJ12),IF(YEAR(AK$3)=YEAR(Headcount!$R$4),IF((AK$5=2),((SUMIFS(Headcount!$R$6:$R$89,Headcount!$F$6:$F$89,"Development Operations",Headcount!$H$6:$H$89,"&gt;="&amp;'Dev Ops'!AK$3)/12)),AJ12),"New Year"))))),'Dept. Cost Actuals'!AO824-'Dept. Cost Actuals'!AO814)</f>
        <v>87994.166666666672</v>
      </c>
      <c r="AL12" s="806">
        <f>IF(AL$4="forecast",IF(YEAR(AL$3)=YEAR(Headcount!$N$4),((SUMIFS(Headcount!$N$6:$N$89,Headcount!$F$6:$F$89,"Development Operations",Headcount!$H$6:$H$89,"&gt;="&amp;'Dev Ops'!AL$3)/12)),IF(YEAR(AL$3)=YEAR(Headcount!$O$4),IF((AL$5=2),((SUMIFS(Headcount!$O$6:$O$89,Headcount!$F$6:$F$89,"Development Operations",Headcount!$H$6:$H$89,"&gt;="&amp;'Dev Ops'!AL$3)/12)),AK12),IF(YEAR(AL$3)=YEAR(Headcount!$P$4),IF((AL$5=2),((SUMIFS(Headcount!$P$6:$P$89,Headcount!$F$6:$F$89,"Development Operations",Headcount!$H$6:$H$89,"&gt;="&amp;'Dev Ops'!AL$3)/12)),AK12),IF(YEAR(AL$3)=YEAR(Headcount!$Q$4),IF((AL$5=2),((SUMIFS(Headcount!$Q$6:$Q$89,Headcount!$F$6:$F$89,"Development Operations",Headcount!$H$6:$H$89,"&gt;="&amp;'Dev Ops'!AL$3)/12)),AK12),IF(YEAR(AL$3)=YEAR(Headcount!$R$4),IF((AL$5=2),((SUMIFS(Headcount!$R$6:$R$89,Headcount!$F$6:$F$89,"Development Operations",Headcount!$H$6:$H$89,"&gt;="&amp;'Dev Ops'!AL$3)/12)),AK12),"New Year"))))),'Dept. Cost Actuals'!AP824-'Dept. Cost Actuals'!AP814)</f>
        <v>87994.166666666672</v>
      </c>
      <c r="AM12" s="806">
        <f>IF(AM$4="forecast",IF(YEAR(AM$3)=YEAR(Headcount!$N$4),((SUMIFS(Headcount!$N$6:$N$89,Headcount!$F$6:$F$89,"Development Operations",Headcount!$H$6:$H$89,"&gt;="&amp;'Dev Ops'!AM$3)/12)),IF(YEAR(AM$3)=YEAR(Headcount!$O$4),IF((AM$5=2),((SUMIFS(Headcount!$O$6:$O$89,Headcount!$F$6:$F$89,"Development Operations",Headcount!$H$6:$H$89,"&gt;="&amp;'Dev Ops'!AM$3)/12)),AL12),IF(YEAR(AM$3)=YEAR(Headcount!$P$4),IF((AM$5=2),((SUMIFS(Headcount!$P$6:$P$89,Headcount!$F$6:$F$89,"Development Operations",Headcount!$H$6:$H$89,"&gt;="&amp;'Dev Ops'!AM$3)/12)),AL12),IF(YEAR(AM$3)=YEAR(Headcount!$Q$4),IF((AM$5=2),((SUMIFS(Headcount!$Q$6:$Q$89,Headcount!$F$6:$F$89,"Development Operations",Headcount!$H$6:$H$89,"&gt;="&amp;'Dev Ops'!AM$3)/12)),AL12),IF(YEAR(AM$3)=YEAR(Headcount!$R$4),IF((AM$5=2),((SUMIFS(Headcount!$R$6:$R$89,Headcount!$F$6:$F$89,"Development Operations",Headcount!$H$6:$H$89,"&gt;="&amp;'Dev Ops'!AM$3)/12)),AL12),"New Year"))))),'Dept. Cost Actuals'!AQ824-'Dept. Cost Actuals'!AQ814)</f>
        <v>87994.166666666672</v>
      </c>
      <c r="AN12" s="806">
        <f>IF(AN$4="forecast",IF(YEAR(AN$3)=YEAR(Headcount!$N$4),((SUMIFS(Headcount!$N$6:$N$89,Headcount!$F$6:$F$89,"Development Operations",Headcount!$H$6:$H$89,"&gt;="&amp;'Dev Ops'!AN$3)/12)),IF(YEAR(AN$3)=YEAR(Headcount!$O$4),IF((AN$5=2),((SUMIFS(Headcount!$O$6:$O$89,Headcount!$F$6:$F$89,"Development Operations",Headcount!$H$6:$H$89,"&gt;="&amp;'Dev Ops'!AN$3)/12)),AM12),IF(YEAR(AN$3)=YEAR(Headcount!$P$4),IF((AN$5=2),((SUMIFS(Headcount!$P$6:$P$89,Headcount!$F$6:$F$89,"Development Operations",Headcount!$H$6:$H$89,"&gt;="&amp;'Dev Ops'!AN$3)/12)),AM12),IF(YEAR(AN$3)=YEAR(Headcount!$Q$4),IF((AN$5=2),((SUMIFS(Headcount!$Q$6:$Q$89,Headcount!$F$6:$F$89,"Development Operations",Headcount!$H$6:$H$89,"&gt;="&amp;'Dev Ops'!AN$3)/12)),AM12),IF(YEAR(AN$3)=YEAR(Headcount!$R$4),IF((AN$5=2),((SUMIFS(Headcount!$R$6:$R$89,Headcount!$F$6:$F$89,"Development Operations",Headcount!$H$6:$H$89,"&gt;="&amp;'Dev Ops'!AN$3)/12)),AM12),"New Year"))))),'Dept. Cost Actuals'!AR824-'Dept. Cost Actuals'!AR814)</f>
        <v>109100.84166666666</v>
      </c>
      <c r="AO12" s="806">
        <f>IF(AO$4="forecast",IF(YEAR(AO$3)=YEAR(Headcount!$N$4),((SUMIFS(Headcount!$N$6:$N$89,Headcount!$F$6:$F$89,"Development Operations",Headcount!$H$6:$H$89,"&gt;="&amp;'Dev Ops'!AO$3)/12)),IF(YEAR(AO$3)=YEAR(Headcount!$O$4),IF((AO$5=2),((SUMIFS(Headcount!$O$6:$O$89,Headcount!$F$6:$F$89,"Development Operations",Headcount!$H$6:$H$89,"&gt;="&amp;'Dev Ops'!AO$3)/12)),AN12),IF(YEAR(AO$3)=YEAR(Headcount!$P$4),IF((AO$5=2),((SUMIFS(Headcount!$P$6:$P$89,Headcount!$F$6:$F$89,"Development Operations",Headcount!$H$6:$H$89,"&gt;="&amp;'Dev Ops'!AO$3)/12)),AN12),IF(YEAR(AO$3)=YEAR(Headcount!$Q$4),IF((AO$5=2),((SUMIFS(Headcount!$Q$6:$Q$89,Headcount!$F$6:$F$89,"Development Operations",Headcount!$H$6:$H$89,"&gt;="&amp;'Dev Ops'!AO$3)/12)),AN12),IF(YEAR(AO$3)=YEAR(Headcount!$R$4),IF((AO$5=2),((SUMIFS(Headcount!$R$6:$R$89,Headcount!$F$6:$F$89,"Development Operations",Headcount!$H$6:$H$89,"&gt;="&amp;'Dev Ops'!AO$3)/12)),AN12),"New Year"))))),'Dept. Cost Actuals'!AS824-'Dept. Cost Actuals'!AS814)</f>
        <v>109100.84166666666</v>
      </c>
      <c r="AP12" s="806">
        <f>IF(AP$4="forecast",IF(YEAR(AP$3)=YEAR(Headcount!$N$4),((SUMIFS(Headcount!$N$6:$N$89,Headcount!$F$6:$F$89,"Development Operations",Headcount!$H$6:$H$89,"&gt;="&amp;'Dev Ops'!AP$3)/12)),IF(YEAR(AP$3)=YEAR(Headcount!$O$4),IF((AP$5=2),((SUMIFS(Headcount!$O$6:$O$89,Headcount!$F$6:$F$89,"Development Operations",Headcount!$H$6:$H$89,"&gt;="&amp;'Dev Ops'!AP$3)/12)),AO12),IF(YEAR(AP$3)=YEAR(Headcount!$P$4),IF((AP$5=2),((SUMIFS(Headcount!$P$6:$P$89,Headcount!$F$6:$F$89,"Development Operations",Headcount!$H$6:$H$89,"&gt;="&amp;'Dev Ops'!AP$3)/12)),AO12),IF(YEAR(AP$3)=YEAR(Headcount!$Q$4),IF((AP$5=2),((SUMIFS(Headcount!$Q$6:$Q$89,Headcount!$F$6:$F$89,"Development Operations",Headcount!$H$6:$H$89,"&gt;="&amp;'Dev Ops'!AP$3)/12)),AO12),IF(YEAR(AP$3)=YEAR(Headcount!$R$4),IF((AP$5=2),((SUMIFS(Headcount!$R$6:$R$89,Headcount!$F$6:$F$89,"Development Operations",Headcount!$H$6:$H$89,"&gt;="&amp;'Dev Ops'!AP$3)/12)),AO12),"New Year"))))),'Dept. Cost Actuals'!AT824-'Dept. Cost Actuals'!AT814)</f>
        <v>109100.84166666666</v>
      </c>
      <c r="AQ12" s="806">
        <f>IF(AQ$4="forecast",IF(YEAR(AQ$3)=YEAR(Headcount!$N$4),((SUMIFS(Headcount!$N$6:$N$89,Headcount!$F$6:$F$89,"Development Operations",Headcount!$H$6:$H$89,"&gt;="&amp;'Dev Ops'!AQ$3)/12)),IF(YEAR(AQ$3)=YEAR(Headcount!$O$4),IF((AQ$5=2),((SUMIFS(Headcount!$O$6:$O$89,Headcount!$F$6:$F$89,"Development Operations",Headcount!$H$6:$H$89,"&gt;="&amp;'Dev Ops'!AQ$3)/12)),AP12),IF(YEAR(AQ$3)=YEAR(Headcount!$P$4),IF((AQ$5=2),((SUMIFS(Headcount!$P$6:$P$89,Headcount!$F$6:$F$89,"Development Operations",Headcount!$H$6:$H$89,"&gt;="&amp;'Dev Ops'!AQ$3)/12)),AP12),IF(YEAR(AQ$3)=YEAR(Headcount!$Q$4),IF((AQ$5=2),((SUMIFS(Headcount!$Q$6:$Q$89,Headcount!$F$6:$F$89,"Development Operations",Headcount!$H$6:$H$89,"&gt;="&amp;'Dev Ops'!AQ$3)/12)),AP12),IF(YEAR(AQ$3)=YEAR(Headcount!$R$4),IF((AQ$5=2),((SUMIFS(Headcount!$R$6:$R$89,Headcount!$F$6:$F$89,"Development Operations",Headcount!$H$6:$H$89,"&gt;="&amp;'Dev Ops'!AQ$3)/12)),AP12),"New Year"))))),'Dept. Cost Actuals'!AU824-'Dept. Cost Actuals'!AU814)</f>
        <v>109100.84166666666</v>
      </c>
      <c r="AR12" s="806">
        <f>IF(AR$4="forecast",IF(YEAR(AR$3)=YEAR(Headcount!$N$4),((SUMIFS(Headcount!$N$6:$N$89,Headcount!$F$6:$F$89,"Development Operations",Headcount!$H$6:$H$89,"&gt;="&amp;'Dev Ops'!AR$3)/12)),IF(YEAR(AR$3)=YEAR(Headcount!$O$4),IF((AR$5=2),((SUMIFS(Headcount!$O$6:$O$89,Headcount!$F$6:$F$89,"Development Operations",Headcount!$H$6:$H$89,"&gt;="&amp;'Dev Ops'!AR$3)/12)),AQ12),IF(YEAR(AR$3)=YEAR(Headcount!$P$4),IF((AR$5=2),((SUMIFS(Headcount!$P$6:$P$89,Headcount!$F$6:$F$89,"Development Operations",Headcount!$H$6:$H$89,"&gt;="&amp;'Dev Ops'!AR$3)/12)),AQ12),IF(YEAR(AR$3)=YEAR(Headcount!$Q$4),IF((AR$5=2),((SUMIFS(Headcount!$Q$6:$Q$89,Headcount!$F$6:$F$89,"Development Operations",Headcount!$H$6:$H$89,"&gt;="&amp;'Dev Ops'!AR$3)/12)),AQ12),IF(YEAR(AR$3)=YEAR(Headcount!$R$4),IF((AR$5=2),((SUMIFS(Headcount!$R$6:$R$89,Headcount!$F$6:$F$89,"Development Operations",Headcount!$H$6:$H$89,"&gt;="&amp;'Dev Ops'!AR$3)/12)),AQ12),"New Year"))))),'Dept. Cost Actuals'!AV824-'Dept. Cost Actuals'!AV814)</f>
        <v>109100.84166666666</v>
      </c>
      <c r="AS12" s="806">
        <f>IF(AS$4="forecast",IF(YEAR(AS$3)=YEAR(Headcount!$N$4),((SUMIFS(Headcount!$N$6:$N$89,Headcount!$F$6:$F$89,"Development Operations",Headcount!$H$6:$H$89,"&gt;="&amp;'Dev Ops'!AS$3)/12)),IF(YEAR(AS$3)=YEAR(Headcount!$O$4),IF((AS$5=2),((SUMIFS(Headcount!$O$6:$O$89,Headcount!$F$6:$F$89,"Development Operations",Headcount!$H$6:$H$89,"&gt;="&amp;'Dev Ops'!AS$3)/12)),AR12),IF(YEAR(AS$3)=YEAR(Headcount!$P$4),IF((AS$5=2),((SUMIFS(Headcount!$P$6:$P$89,Headcount!$F$6:$F$89,"Development Operations",Headcount!$H$6:$H$89,"&gt;="&amp;'Dev Ops'!AS$3)/12)),AR12),IF(YEAR(AS$3)=YEAR(Headcount!$Q$4),IF((AS$5=2),((SUMIFS(Headcount!$Q$6:$Q$89,Headcount!$F$6:$F$89,"Development Operations",Headcount!$H$6:$H$89,"&gt;="&amp;'Dev Ops'!AS$3)/12)),AR12),IF(YEAR(AS$3)=YEAR(Headcount!$R$4),IF((AS$5=2),((SUMIFS(Headcount!$R$6:$R$89,Headcount!$F$6:$F$89,"Development Operations",Headcount!$H$6:$H$89,"&gt;="&amp;'Dev Ops'!AS$3)/12)),AR12),"New Year"))))),'Dept. Cost Actuals'!AW824-'Dept. Cost Actuals'!AW814)</f>
        <v>109100.84166666666</v>
      </c>
      <c r="AT12" s="806">
        <f>IF(AT$4="forecast",IF(YEAR(AT$3)=YEAR(Headcount!$N$4),((SUMIFS(Headcount!$N$6:$N$89,Headcount!$F$6:$F$89,"Development Operations",Headcount!$H$6:$H$89,"&gt;="&amp;'Dev Ops'!AT$3)/12)),IF(YEAR(AT$3)=YEAR(Headcount!$O$4),IF((AT$5=2),((SUMIFS(Headcount!$O$6:$O$89,Headcount!$F$6:$F$89,"Development Operations",Headcount!$H$6:$H$89,"&gt;="&amp;'Dev Ops'!AT$3)/12)),AS12),IF(YEAR(AT$3)=YEAR(Headcount!$P$4),IF((AT$5=2),((SUMIFS(Headcount!$P$6:$P$89,Headcount!$F$6:$F$89,"Development Operations",Headcount!$H$6:$H$89,"&gt;="&amp;'Dev Ops'!AT$3)/12)),AS12),IF(YEAR(AT$3)=YEAR(Headcount!$Q$4),IF((AT$5=2),((SUMIFS(Headcount!$Q$6:$Q$89,Headcount!$F$6:$F$89,"Development Operations",Headcount!$H$6:$H$89,"&gt;="&amp;'Dev Ops'!AT$3)/12)),AS12),IF(YEAR(AT$3)=YEAR(Headcount!$R$4),IF((AT$5=2),((SUMIFS(Headcount!$R$6:$R$89,Headcount!$F$6:$F$89,"Development Operations",Headcount!$H$6:$H$89,"&gt;="&amp;'Dev Ops'!AT$3)/12)),AS12),"New Year"))))),'Dept. Cost Actuals'!AX824-'Dept. Cost Actuals'!AX814)</f>
        <v>109100.84166666666</v>
      </c>
      <c r="AU12" s="806">
        <f>IF(AU$4="forecast",IF(YEAR(AU$3)=YEAR(Headcount!$N$4),((SUMIFS(Headcount!$N$6:$N$89,Headcount!$F$6:$F$89,"Development Operations",Headcount!$H$6:$H$89,"&gt;="&amp;'Dev Ops'!AU$3)/12)),IF(YEAR(AU$3)=YEAR(Headcount!$O$4),IF((AU$5=2),((SUMIFS(Headcount!$O$6:$O$89,Headcount!$F$6:$F$89,"Development Operations",Headcount!$H$6:$H$89,"&gt;="&amp;'Dev Ops'!AU$3)/12)),AT12),IF(YEAR(AU$3)=YEAR(Headcount!$P$4),IF((AU$5=2),((SUMIFS(Headcount!$P$6:$P$89,Headcount!$F$6:$F$89,"Development Operations",Headcount!$H$6:$H$89,"&gt;="&amp;'Dev Ops'!AU$3)/12)),AT12),IF(YEAR(AU$3)=YEAR(Headcount!$Q$4),IF((AU$5=2),((SUMIFS(Headcount!$Q$6:$Q$89,Headcount!$F$6:$F$89,"Development Operations",Headcount!$H$6:$H$89,"&gt;="&amp;'Dev Ops'!AU$3)/12)),AT12),IF(YEAR(AU$3)=YEAR(Headcount!$R$4),IF((AU$5=2),((SUMIFS(Headcount!$R$6:$R$89,Headcount!$F$6:$F$89,"Development Operations",Headcount!$H$6:$H$89,"&gt;="&amp;'Dev Ops'!AU$3)/12)),AT12),"New Year"))))),'Dept. Cost Actuals'!AY824-'Dept. Cost Actuals'!AY814)</f>
        <v>109100.84166666666</v>
      </c>
      <c r="AV12" s="806">
        <f>IF(AV$4="forecast",IF(YEAR(AV$3)=YEAR(Headcount!$N$4),((SUMIFS(Headcount!$N$6:$N$89,Headcount!$F$6:$F$89,"Development Operations",Headcount!$H$6:$H$89,"&gt;="&amp;'Dev Ops'!AV$3)/12)),IF(YEAR(AV$3)=YEAR(Headcount!$O$4),IF((AV$5=2),((SUMIFS(Headcount!$O$6:$O$89,Headcount!$F$6:$F$89,"Development Operations",Headcount!$H$6:$H$89,"&gt;="&amp;'Dev Ops'!AV$3)/12)),AU12),IF(YEAR(AV$3)=YEAR(Headcount!$P$4),IF((AV$5=2),((SUMIFS(Headcount!$P$6:$P$89,Headcount!$F$6:$F$89,"Development Operations",Headcount!$H$6:$H$89,"&gt;="&amp;'Dev Ops'!AV$3)/12)),AU12),IF(YEAR(AV$3)=YEAR(Headcount!$Q$4),IF((AV$5=2),((SUMIFS(Headcount!$Q$6:$Q$89,Headcount!$F$6:$F$89,"Development Operations",Headcount!$H$6:$H$89,"&gt;="&amp;'Dev Ops'!AV$3)/12)),AU12),IF(YEAR(AV$3)=YEAR(Headcount!$R$4),IF((AV$5=2),((SUMIFS(Headcount!$R$6:$R$89,Headcount!$F$6:$F$89,"Development Operations",Headcount!$H$6:$H$89,"&gt;="&amp;'Dev Ops'!AV$3)/12)),AU12),"New Year"))))),'Dept. Cost Actuals'!AZ824-'Dept. Cost Actuals'!AZ814)</f>
        <v>109100.84166666666</v>
      </c>
      <c r="AW12" s="806">
        <f>IF(AW$4="forecast",IF(YEAR(AW$3)=YEAR(Headcount!$N$4),((SUMIFS(Headcount!$N$6:$N$89,Headcount!$F$6:$F$89,"Development Operations",Headcount!$H$6:$H$89,"&gt;="&amp;'Dev Ops'!AW$3)/12)),IF(YEAR(AW$3)=YEAR(Headcount!$O$4),IF((AW$5=2),((SUMIFS(Headcount!$O$6:$O$89,Headcount!$F$6:$F$89,"Development Operations",Headcount!$H$6:$H$89,"&gt;="&amp;'Dev Ops'!AW$3)/12)),AV12),IF(YEAR(AW$3)=YEAR(Headcount!$P$4),IF((AW$5=2),((SUMIFS(Headcount!$P$6:$P$89,Headcount!$F$6:$F$89,"Development Operations",Headcount!$H$6:$H$89,"&gt;="&amp;'Dev Ops'!AW$3)/12)),AV12),IF(YEAR(AW$3)=YEAR(Headcount!$Q$4),IF((AW$5=2),((SUMIFS(Headcount!$Q$6:$Q$89,Headcount!$F$6:$F$89,"Development Operations",Headcount!$H$6:$H$89,"&gt;="&amp;'Dev Ops'!AW$3)/12)),AV12),IF(YEAR(AW$3)=YEAR(Headcount!$R$4),IF((AW$5=2),((SUMIFS(Headcount!$R$6:$R$89,Headcount!$F$6:$F$89,"Development Operations",Headcount!$H$6:$H$89,"&gt;="&amp;'Dev Ops'!AW$3)/12)),AV12),"New Year"))))),'Dept. Cost Actuals'!BA824-'Dept. Cost Actuals'!BA814)</f>
        <v>109100.84166666666</v>
      </c>
      <c r="AX12" s="806">
        <f>IF(AX$4="forecast",IF(YEAR(AX$3)=YEAR(Headcount!$N$4),((SUMIFS(Headcount!$N$6:$N$89,Headcount!$F$6:$F$89,"Development Operations",Headcount!$H$6:$H$89,"&gt;="&amp;'Dev Ops'!AX$3)/12)),IF(YEAR(AX$3)=YEAR(Headcount!$O$4),IF((AX$5=2),((SUMIFS(Headcount!$O$6:$O$89,Headcount!$F$6:$F$89,"Development Operations",Headcount!$H$6:$H$89,"&gt;="&amp;'Dev Ops'!AX$3)/12)),AW12),IF(YEAR(AX$3)=YEAR(Headcount!$P$4),IF((AX$5=2),((SUMIFS(Headcount!$P$6:$P$89,Headcount!$F$6:$F$89,"Development Operations",Headcount!$H$6:$H$89,"&gt;="&amp;'Dev Ops'!AX$3)/12)),AW12),IF(YEAR(AX$3)=YEAR(Headcount!$Q$4),IF((AX$5=2),((SUMIFS(Headcount!$Q$6:$Q$89,Headcount!$F$6:$F$89,"Development Operations",Headcount!$H$6:$H$89,"&gt;="&amp;'Dev Ops'!AX$3)/12)),AW12),IF(YEAR(AX$3)=YEAR(Headcount!$R$4),IF((AX$5=2),((SUMIFS(Headcount!$R$6:$R$89,Headcount!$F$6:$F$89,"Development Operations",Headcount!$H$6:$H$89,"&gt;="&amp;'Dev Ops'!AX$3)/12)),AW12),"New Year"))))),'Dept. Cost Actuals'!BB824-'Dept. Cost Actuals'!BB814)</f>
        <v>109100.84166666666</v>
      </c>
      <c r="AY12" s="806">
        <f>IF(AY$4="forecast",IF(YEAR(AY$3)=YEAR(Headcount!$N$4),((SUMIFS(Headcount!$N$6:$N$89,Headcount!$F$6:$F$89,"Development Operations",Headcount!$H$6:$H$89,"&gt;="&amp;'Dev Ops'!AY$3)/12)),IF(YEAR(AY$3)=YEAR(Headcount!$O$4),IF((AY$5=2),((SUMIFS(Headcount!$O$6:$O$89,Headcount!$F$6:$F$89,"Development Operations",Headcount!$H$6:$H$89,"&gt;="&amp;'Dev Ops'!AY$3)/12)),AX12),IF(YEAR(AY$3)=YEAR(Headcount!$P$4),IF((AY$5=2),((SUMIFS(Headcount!$P$6:$P$89,Headcount!$F$6:$F$89,"Development Operations",Headcount!$H$6:$H$89,"&gt;="&amp;'Dev Ops'!AY$3)/12)),AX12),IF(YEAR(AY$3)=YEAR(Headcount!$Q$4),IF((AY$5=2),((SUMIFS(Headcount!$Q$6:$Q$89,Headcount!$F$6:$F$89,"Development Operations",Headcount!$H$6:$H$89,"&gt;="&amp;'Dev Ops'!AY$3)/12)),AX12),IF(YEAR(AY$3)=YEAR(Headcount!$R$4),IF((AY$5=2),((SUMIFS(Headcount!$R$6:$R$89,Headcount!$F$6:$F$89,"Development Operations",Headcount!$H$6:$H$89,"&gt;="&amp;'Dev Ops'!AY$3)/12)),AX12),"New Year"))))),'Dept. Cost Actuals'!BC824-'Dept. Cost Actuals'!BC814)</f>
        <v>109100.84166666666</v>
      </c>
      <c r="AZ12" s="806">
        <f>IF(AZ$4="forecast",IF(YEAR(AZ$3)=YEAR(Headcount!$N$4),((SUMIFS(Headcount!$N$6:$N$89,Headcount!$F$6:$F$89,"Development Operations",Headcount!$H$6:$H$89,"&gt;="&amp;'Dev Ops'!AZ$3)/12)),IF(YEAR(AZ$3)=YEAR(Headcount!$O$4),IF((AZ$5=2),((SUMIFS(Headcount!$O$6:$O$89,Headcount!$F$6:$F$89,"Development Operations",Headcount!$H$6:$H$89,"&gt;="&amp;'Dev Ops'!AZ$3)/12)),AY12),IF(YEAR(AZ$3)=YEAR(Headcount!$P$4),IF((AZ$5=2),((SUMIFS(Headcount!$P$6:$P$89,Headcount!$F$6:$F$89,"Development Operations",Headcount!$H$6:$H$89,"&gt;="&amp;'Dev Ops'!AZ$3)/12)),AY12),IF(YEAR(AZ$3)=YEAR(Headcount!$Q$4),IF((AZ$5=2),((SUMIFS(Headcount!$Q$6:$Q$89,Headcount!$F$6:$F$89,"Development Operations",Headcount!$H$6:$H$89,"&gt;="&amp;'Dev Ops'!AZ$3)/12)),AY12),IF(YEAR(AZ$3)=YEAR(Headcount!$R$4),IF((AZ$5=2),((SUMIFS(Headcount!$R$6:$R$89,Headcount!$F$6:$F$89,"Development Operations",Headcount!$H$6:$H$89,"&gt;="&amp;'Dev Ops'!AZ$3)/12)),AY12),"New Year"))))),'Dept. Cost Actuals'!BD824-'Dept. Cost Actuals'!BD814)</f>
        <v>112726.78358333331</v>
      </c>
      <c r="BA12" s="806">
        <f>IF(BA$4="forecast",IF(YEAR(BA$3)=YEAR(Headcount!$N$4),((SUMIFS(Headcount!$N$6:$N$89,Headcount!$F$6:$F$89,"Development Operations",Headcount!$H$6:$H$89,"&gt;="&amp;'Dev Ops'!BA$3)/12)),IF(YEAR(BA$3)=YEAR(Headcount!$O$4),IF((BA$5=2),((SUMIFS(Headcount!$O$6:$O$89,Headcount!$F$6:$F$89,"Development Operations",Headcount!$H$6:$H$89,"&gt;="&amp;'Dev Ops'!BA$3)/12)),AZ12),IF(YEAR(BA$3)=YEAR(Headcount!$P$4),IF((BA$5=2),((SUMIFS(Headcount!$P$6:$P$89,Headcount!$F$6:$F$89,"Development Operations",Headcount!$H$6:$H$89,"&gt;="&amp;'Dev Ops'!BA$3)/12)),AZ12),IF(YEAR(BA$3)=YEAR(Headcount!$Q$4),IF((BA$5=2),((SUMIFS(Headcount!$Q$6:$Q$89,Headcount!$F$6:$F$89,"Development Operations",Headcount!$H$6:$H$89,"&gt;="&amp;'Dev Ops'!BA$3)/12)),AZ12),IF(YEAR(BA$3)=YEAR(Headcount!$R$4),IF((BA$5=2),((SUMIFS(Headcount!$R$6:$R$89,Headcount!$F$6:$F$89,"Development Operations",Headcount!$H$6:$H$89,"&gt;="&amp;'Dev Ops'!BA$3)/12)),AZ12),"New Year"))))),'Dept. Cost Actuals'!BE824-'Dept. Cost Actuals'!BE814)</f>
        <v>112726.78358333331</v>
      </c>
      <c r="BB12" s="806">
        <f>IF(BB$4="forecast",IF(YEAR(BB$3)=YEAR(Headcount!$N$4),((SUMIFS(Headcount!$N$6:$N$89,Headcount!$F$6:$F$89,"Development Operations",Headcount!$H$6:$H$89,"&gt;="&amp;'Dev Ops'!BB$3)/12)),IF(YEAR(BB$3)=YEAR(Headcount!$O$4),IF((BB$5=2),((SUMIFS(Headcount!$O$6:$O$89,Headcount!$F$6:$F$89,"Development Operations",Headcount!$H$6:$H$89,"&gt;="&amp;'Dev Ops'!BB$3)/12)),BA12),IF(YEAR(BB$3)=YEAR(Headcount!$P$4),IF((BB$5=2),((SUMIFS(Headcount!$P$6:$P$89,Headcount!$F$6:$F$89,"Development Operations",Headcount!$H$6:$H$89,"&gt;="&amp;'Dev Ops'!BB$3)/12)),BA12),IF(YEAR(BB$3)=YEAR(Headcount!$Q$4),IF((BB$5=2),((SUMIFS(Headcount!$Q$6:$Q$89,Headcount!$F$6:$F$89,"Development Operations",Headcount!$H$6:$H$89,"&gt;="&amp;'Dev Ops'!BB$3)/12)),BA12),IF(YEAR(BB$3)=YEAR(Headcount!$R$4),IF((BB$5=2),((SUMIFS(Headcount!$R$6:$R$89,Headcount!$F$6:$F$89,"Development Operations",Headcount!$H$6:$H$89,"&gt;="&amp;'Dev Ops'!BB$3)/12)),BA12),"New Year"))))),'Dept. Cost Actuals'!BF824-'Dept. Cost Actuals'!BF814)</f>
        <v>112726.78358333331</v>
      </c>
      <c r="BC12" s="806">
        <f>IF(BC$4="forecast",IF(YEAR(BC$3)=YEAR(Headcount!$N$4),((SUMIFS(Headcount!$N$6:$N$89,Headcount!$F$6:$F$89,"Development Operations",Headcount!$H$6:$H$89,"&gt;="&amp;'Dev Ops'!BC$3)/12)),IF(YEAR(BC$3)=YEAR(Headcount!$O$4),IF((BC$5=2),((SUMIFS(Headcount!$O$6:$O$89,Headcount!$F$6:$F$89,"Development Operations",Headcount!$H$6:$H$89,"&gt;="&amp;'Dev Ops'!BC$3)/12)),BB12),IF(YEAR(BC$3)=YEAR(Headcount!$P$4),IF((BC$5=2),((SUMIFS(Headcount!$P$6:$P$89,Headcount!$F$6:$F$89,"Development Operations",Headcount!$H$6:$H$89,"&gt;="&amp;'Dev Ops'!BC$3)/12)),BB12),IF(YEAR(BC$3)=YEAR(Headcount!$Q$4),IF((BC$5=2),((SUMIFS(Headcount!$Q$6:$Q$89,Headcount!$F$6:$F$89,"Development Operations",Headcount!$H$6:$H$89,"&gt;="&amp;'Dev Ops'!BC$3)/12)),BB12),IF(YEAR(BC$3)=YEAR(Headcount!$R$4),IF((BC$5=2),((SUMIFS(Headcount!$R$6:$R$89,Headcount!$F$6:$F$89,"Development Operations",Headcount!$H$6:$H$89,"&gt;="&amp;'Dev Ops'!BC$3)/12)),BB12),"New Year"))))),'Dept. Cost Actuals'!BG824-'Dept. Cost Actuals'!BG814)</f>
        <v>112726.78358333331</v>
      </c>
      <c r="BD12" s="806">
        <f>IF(BD$4="forecast",IF(YEAR(BD$3)=YEAR(Headcount!$N$4),((SUMIFS(Headcount!$N$6:$N$89,Headcount!$F$6:$F$89,"Development Operations",Headcount!$H$6:$H$89,"&gt;="&amp;'Dev Ops'!BD$3)/12)),IF(YEAR(BD$3)=YEAR(Headcount!$O$4),IF((BD$5=2),((SUMIFS(Headcount!$O$6:$O$89,Headcount!$F$6:$F$89,"Development Operations",Headcount!$H$6:$H$89,"&gt;="&amp;'Dev Ops'!BD$3)/12)),BC12),IF(YEAR(BD$3)=YEAR(Headcount!$P$4),IF((BD$5=2),((SUMIFS(Headcount!$P$6:$P$89,Headcount!$F$6:$F$89,"Development Operations",Headcount!$H$6:$H$89,"&gt;="&amp;'Dev Ops'!BD$3)/12)),BC12),IF(YEAR(BD$3)=YEAR(Headcount!$Q$4),IF((BD$5=2),((SUMIFS(Headcount!$Q$6:$Q$89,Headcount!$F$6:$F$89,"Development Operations",Headcount!$H$6:$H$89,"&gt;="&amp;'Dev Ops'!BD$3)/12)),BC12),IF(YEAR(BD$3)=YEAR(Headcount!$R$4),IF((BD$5=2),((SUMIFS(Headcount!$R$6:$R$89,Headcount!$F$6:$F$89,"Development Operations",Headcount!$H$6:$H$89,"&gt;="&amp;'Dev Ops'!BD$3)/12)),BC12),"New Year"))))),'Dept. Cost Actuals'!BH824-'Dept. Cost Actuals'!BH814)</f>
        <v>112726.78358333331</v>
      </c>
      <c r="BE12" s="806">
        <f>IF(BE$4="forecast",IF(YEAR(BE$3)=YEAR(Headcount!$N$4),((SUMIFS(Headcount!$N$6:$N$89,Headcount!$F$6:$F$89,"Development Operations",Headcount!$H$6:$H$89,"&gt;="&amp;'Dev Ops'!BE$3)/12)),IF(YEAR(BE$3)=YEAR(Headcount!$O$4),IF((BE$5=2),((SUMIFS(Headcount!$O$6:$O$89,Headcount!$F$6:$F$89,"Development Operations",Headcount!$H$6:$H$89,"&gt;="&amp;'Dev Ops'!BE$3)/12)),BD12),IF(YEAR(BE$3)=YEAR(Headcount!$P$4),IF((BE$5=2),((SUMIFS(Headcount!$P$6:$P$89,Headcount!$F$6:$F$89,"Development Operations",Headcount!$H$6:$H$89,"&gt;="&amp;'Dev Ops'!BE$3)/12)),BD12),IF(YEAR(BE$3)=YEAR(Headcount!$Q$4),IF((BE$5=2),((SUMIFS(Headcount!$Q$6:$Q$89,Headcount!$F$6:$F$89,"Development Operations",Headcount!$H$6:$H$89,"&gt;="&amp;'Dev Ops'!BE$3)/12)),BD12),IF(YEAR(BE$3)=YEAR(Headcount!$R$4),IF((BE$5=2),((SUMIFS(Headcount!$R$6:$R$89,Headcount!$F$6:$F$89,"Development Operations",Headcount!$H$6:$H$89,"&gt;="&amp;'Dev Ops'!BE$3)/12)),BD12),"New Year"))))),'Dept. Cost Actuals'!BI824-'Dept. Cost Actuals'!BI814)</f>
        <v>112726.78358333331</v>
      </c>
      <c r="BF12" s="806">
        <f>IF(BF$4="forecast",IF(YEAR(BF$3)=YEAR(Headcount!$N$4),((SUMIFS(Headcount!$N$6:$N$89,Headcount!$F$6:$F$89,"Development Operations",Headcount!$H$6:$H$89,"&gt;="&amp;'Dev Ops'!BF$3)/12)),IF(YEAR(BF$3)=YEAR(Headcount!$O$4),IF((BF$5=2),((SUMIFS(Headcount!$O$6:$O$89,Headcount!$F$6:$F$89,"Development Operations",Headcount!$H$6:$H$89,"&gt;="&amp;'Dev Ops'!BF$3)/12)),BE12),IF(YEAR(BF$3)=YEAR(Headcount!$P$4),IF((BF$5=2),((SUMIFS(Headcount!$P$6:$P$89,Headcount!$F$6:$F$89,"Development Operations",Headcount!$H$6:$H$89,"&gt;="&amp;'Dev Ops'!BF$3)/12)),BE12),IF(YEAR(BF$3)=YEAR(Headcount!$Q$4),IF((BF$5=2),((SUMIFS(Headcount!$Q$6:$Q$89,Headcount!$F$6:$F$89,"Development Operations",Headcount!$H$6:$H$89,"&gt;="&amp;'Dev Ops'!BF$3)/12)),BE12),IF(YEAR(BF$3)=YEAR(Headcount!$R$4),IF((BF$5=2),((SUMIFS(Headcount!$R$6:$R$89,Headcount!$F$6:$F$89,"Development Operations",Headcount!$H$6:$H$89,"&gt;="&amp;'Dev Ops'!BF$3)/12)),BE12),"New Year"))))),'Dept. Cost Actuals'!BJ824-'Dept. Cost Actuals'!BJ814)</f>
        <v>112726.78358333331</v>
      </c>
      <c r="BG12" s="806">
        <f>IF(BG$4="forecast",IF(YEAR(BG$3)=YEAR(Headcount!$N$4),((SUMIFS(Headcount!$N$6:$N$89,Headcount!$F$6:$F$89,"Development Operations",Headcount!$H$6:$H$89,"&gt;="&amp;'Dev Ops'!BG$3)/12)),IF(YEAR(BG$3)=YEAR(Headcount!$O$4),IF((BG$5=2),((SUMIFS(Headcount!$O$6:$O$89,Headcount!$F$6:$F$89,"Development Operations",Headcount!$H$6:$H$89,"&gt;="&amp;'Dev Ops'!BG$3)/12)),BF12),IF(YEAR(BG$3)=YEAR(Headcount!$P$4),IF((BG$5=2),((SUMIFS(Headcount!$P$6:$P$89,Headcount!$F$6:$F$89,"Development Operations",Headcount!$H$6:$H$89,"&gt;="&amp;'Dev Ops'!BG$3)/12)),BF12),IF(YEAR(BG$3)=YEAR(Headcount!$Q$4),IF((BG$5=2),((SUMIFS(Headcount!$Q$6:$Q$89,Headcount!$F$6:$F$89,"Development Operations",Headcount!$H$6:$H$89,"&gt;="&amp;'Dev Ops'!BG$3)/12)),BF12),IF(YEAR(BG$3)=YEAR(Headcount!$R$4),IF((BG$5=2),((SUMIFS(Headcount!$R$6:$R$89,Headcount!$F$6:$F$89,"Development Operations",Headcount!$H$6:$H$89,"&gt;="&amp;'Dev Ops'!BG$3)/12)),BF12),"New Year"))))),'Dept. Cost Actuals'!BK824-'Dept. Cost Actuals'!BK814)</f>
        <v>112726.78358333331</v>
      </c>
      <c r="BH12" s="806">
        <f>IF(BH$4="forecast",IF(YEAR(BH$3)=YEAR(Headcount!$N$4),((SUMIFS(Headcount!$N$6:$N$89,Headcount!$F$6:$F$89,"Development Operations",Headcount!$H$6:$H$89,"&gt;="&amp;'Dev Ops'!BH$3)/12)),IF(YEAR(BH$3)=YEAR(Headcount!$O$4),IF((BH$5=2),((SUMIFS(Headcount!$O$6:$O$89,Headcount!$F$6:$F$89,"Development Operations",Headcount!$H$6:$H$89,"&gt;="&amp;'Dev Ops'!BH$3)/12)),BG12),IF(YEAR(BH$3)=YEAR(Headcount!$P$4),IF((BH$5=2),((SUMIFS(Headcount!$P$6:$P$89,Headcount!$F$6:$F$89,"Development Operations",Headcount!$H$6:$H$89,"&gt;="&amp;'Dev Ops'!BH$3)/12)),BG12),IF(YEAR(BH$3)=YEAR(Headcount!$Q$4),IF((BH$5=2),((SUMIFS(Headcount!$Q$6:$Q$89,Headcount!$F$6:$F$89,"Development Operations",Headcount!$H$6:$H$89,"&gt;="&amp;'Dev Ops'!BH$3)/12)),BG12),IF(YEAR(BH$3)=YEAR(Headcount!$R$4),IF((BH$5=2),((SUMIFS(Headcount!$R$6:$R$89,Headcount!$F$6:$F$89,"Development Operations",Headcount!$H$6:$H$89,"&gt;="&amp;'Dev Ops'!BH$3)/12)),BG12),"New Year"))))),'Dept. Cost Actuals'!BL824-'Dept. Cost Actuals'!BL814)</f>
        <v>112726.78358333331</v>
      </c>
      <c r="BI12" s="806">
        <f>IF(BI$4="forecast",IF(YEAR(BI$3)=YEAR(Headcount!$N$4),((SUMIFS(Headcount!$N$6:$N$89,Headcount!$F$6:$F$89,"Development Operations",Headcount!$H$6:$H$89,"&gt;="&amp;'Dev Ops'!BI$3)/12)),IF(YEAR(BI$3)=YEAR(Headcount!$O$4),IF((BI$5=2),((SUMIFS(Headcount!$O$6:$O$89,Headcount!$F$6:$F$89,"Development Operations",Headcount!$H$6:$H$89,"&gt;="&amp;'Dev Ops'!BI$3)/12)),BH12),IF(YEAR(BI$3)=YEAR(Headcount!$P$4),IF((BI$5=2),((SUMIFS(Headcount!$P$6:$P$89,Headcount!$F$6:$F$89,"Development Operations",Headcount!$H$6:$H$89,"&gt;="&amp;'Dev Ops'!BI$3)/12)),BH12),IF(YEAR(BI$3)=YEAR(Headcount!$Q$4),IF((BI$5=2),((SUMIFS(Headcount!$Q$6:$Q$89,Headcount!$F$6:$F$89,"Development Operations",Headcount!$H$6:$H$89,"&gt;="&amp;'Dev Ops'!BI$3)/12)),BH12),IF(YEAR(BI$3)=YEAR(Headcount!$R$4),IF((BI$5=2),((SUMIFS(Headcount!$R$6:$R$89,Headcount!$F$6:$F$89,"Development Operations",Headcount!$H$6:$H$89,"&gt;="&amp;'Dev Ops'!BI$3)/12)),BH12),"New Year"))))),'Dept. Cost Actuals'!BM824-'Dept. Cost Actuals'!BM814)</f>
        <v>112726.78358333331</v>
      </c>
      <c r="BJ12" s="806">
        <f>IF(BJ$4="forecast",IF(YEAR(BJ$3)=YEAR(Headcount!$N$4),((SUMIFS(Headcount!$N$6:$N$89,Headcount!$F$6:$F$89,"Development Operations",Headcount!$H$6:$H$89,"&gt;="&amp;'Dev Ops'!BJ$3)/12)),IF(YEAR(BJ$3)=YEAR(Headcount!$O$4),IF((BJ$5=2),((SUMIFS(Headcount!$O$6:$O$89,Headcount!$F$6:$F$89,"Development Operations",Headcount!$H$6:$H$89,"&gt;="&amp;'Dev Ops'!BJ$3)/12)),BI12),IF(YEAR(BJ$3)=YEAR(Headcount!$P$4),IF((BJ$5=2),((SUMIFS(Headcount!$P$6:$P$89,Headcount!$F$6:$F$89,"Development Operations",Headcount!$H$6:$H$89,"&gt;="&amp;'Dev Ops'!BJ$3)/12)),BI12),IF(YEAR(BJ$3)=YEAR(Headcount!$Q$4),IF((BJ$5=2),((SUMIFS(Headcount!$Q$6:$Q$89,Headcount!$F$6:$F$89,"Development Operations",Headcount!$H$6:$H$89,"&gt;="&amp;'Dev Ops'!BJ$3)/12)),BI12),IF(YEAR(BJ$3)=YEAR(Headcount!$R$4),IF((BJ$5=2),((SUMIFS(Headcount!$R$6:$R$89,Headcount!$F$6:$F$89,"Development Operations",Headcount!$H$6:$H$89,"&gt;="&amp;'Dev Ops'!BJ$3)/12)),BI12),"New Year"))))),'Dept. Cost Actuals'!BN824-'Dept. Cost Actuals'!BN814)</f>
        <v>112726.78358333331</v>
      </c>
      <c r="BK12" s="806">
        <f>IF(BK$4="forecast",IF(YEAR(BK$3)=YEAR(Headcount!$N$4),((SUMIFS(Headcount!$N$6:$N$89,Headcount!$F$6:$F$89,"Development Operations",Headcount!$H$6:$H$89,"&gt;="&amp;'Dev Ops'!BK$3)/12)),IF(YEAR(BK$3)=YEAR(Headcount!$O$4),IF((BK$5=2),((SUMIFS(Headcount!$O$6:$O$89,Headcount!$F$6:$F$89,"Development Operations",Headcount!$H$6:$H$89,"&gt;="&amp;'Dev Ops'!BK$3)/12)),BJ12),IF(YEAR(BK$3)=YEAR(Headcount!$P$4),IF((BK$5=2),((SUMIFS(Headcount!$P$6:$P$89,Headcount!$F$6:$F$89,"Development Operations",Headcount!$H$6:$H$89,"&gt;="&amp;'Dev Ops'!BK$3)/12)),BJ12),IF(YEAR(BK$3)=YEAR(Headcount!$Q$4),IF((BK$5=2),((SUMIFS(Headcount!$Q$6:$Q$89,Headcount!$F$6:$F$89,"Development Operations",Headcount!$H$6:$H$89,"&gt;="&amp;'Dev Ops'!BK$3)/12)),BJ12),IF(YEAR(BK$3)=YEAR(Headcount!$R$4),IF((BK$5=2),((SUMIFS(Headcount!$R$6:$R$89,Headcount!$F$6:$F$89,"Development Operations",Headcount!$H$6:$H$89,"&gt;="&amp;'Dev Ops'!BK$3)/12)),BJ12),"New Year"))))),'Dept. Cost Actuals'!BO824-'Dept. Cost Actuals'!BO814)</f>
        <v>112726.78358333331</v>
      </c>
      <c r="BL12" s="806">
        <f>IF(BL$4="forecast",IF(YEAR(BL$3)=YEAR(Headcount!$N$4),((SUMIFS(Headcount!$N$6:$N$89,Headcount!$F$6:$F$89,"Development Operations",Headcount!$H$6:$H$89,"&gt;="&amp;'Dev Ops'!BL$3)/12)),IF(YEAR(BL$3)=YEAR(Headcount!$O$4),IF((BL$5=2),((SUMIFS(Headcount!$O$6:$O$89,Headcount!$F$6:$F$89,"Development Operations",Headcount!$H$6:$H$89,"&gt;="&amp;'Dev Ops'!BL$3)/12)),BK12),IF(YEAR(BL$3)=YEAR(Headcount!$P$4),IF((BL$5=2),((SUMIFS(Headcount!$P$6:$P$89,Headcount!$F$6:$F$89,"Development Operations",Headcount!$H$6:$H$89,"&gt;="&amp;'Dev Ops'!BL$3)/12)),BK12),IF(YEAR(BL$3)=YEAR(Headcount!$Q$4),IF((BL$5=2),((SUMIFS(Headcount!$Q$6:$Q$89,Headcount!$F$6:$F$89,"Development Operations",Headcount!$H$6:$H$89,"&gt;="&amp;'Dev Ops'!BL$3)/12)),BK12),IF(YEAR(BL$3)=YEAR(Headcount!$R$4),IF((BL$5=2),((SUMIFS(Headcount!$R$6:$R$89,Headcount!$F$6:$F$89,"Development Operations",Headcount!$H$6:$H$89,"&gt;="&amp;'Dev Ops'!BL$3)/12)),BK12),"New Year"))))),'Dept. Cost Actuals'!BP824-'Dept. Cost Actuals'!BP814)</f>
        <v>116496.79542416672</v>
      </c>
      <c r="BM12" s="806">
        <f>IF(BM$4="forecast",IF(YEAR(BM$3)=YEAR(Headcount!$N$4),((SUMIFS(Headcount!$N$6:$N$89,Headcount!$F$6:$F$89,"Development Operations",Headcount!$H$6:$H$89,"&gt;="&amp;'Dev Ops'!BM$3)/12)),IF(YEAR(BM$3)=YEAR(Headcount!$O$4),IF((BM$5=2),((SUMIFS(Headcount!$O$6:$O$89,Headcount!$F$6:$F$89,"Development Operations",Headcount!$H$6:$H$89,"&gt;="&amp;'Dev Ops'!BM$3)/12)),BL12),IF(YEAR(BM$3)=YEAR(Headcount!$P$4),IF((BM$5=2),((SUMIFS(Headcount!$P$6:$P$89,Headcount!$F$6:$F$89,"Development Operations",Headcount!$H$6:$H$89,"&gt;="&amp;'Dev Ops'!BM$3)/12)),BL12),IF(YEAR(BM$3)=YEAR(Headcount!$Q$4),IF((BM$5=2),((SUMIFS(Headcount!$Q$6:$Q$89,Headcount!$F$6:$F$89,"Development Operations",Headcount!$H$6:$H$89,"&gt;="&amp;'Dev Ops'!BM$3)/12)),BL12),IF(YEAR(BM$3)=YEAR(Headcount!$R$4),IF((BM$5=2),((SUMIFS(Headcount!$R$6:$R$89,Headcount!$F$6:$F$89,"Development Operations",Headcount!$H$6:$H$89,"&gt;="&amp;'Dev Ops'!BM$3)/12)),BL12),"New Year"))))),'Dept. Cost Actuals'!BQ824-'Dept. Cost Actuals'!BQ814)</f>
        <v>116496.79542416672</v>
      </c>
      <c r="BN12" s="806">
        <f>IF(BN$4="forecast",IF(YEAR(BN$3)=YEAR(Headcount!$N$4),((SUMIFS(Headcount!$N$6:$N$89,Headcount!$F$6:$F$89,"Development Operations",Headcount!$H$6:$H$89,"&gt;="&amp;'Dev Ops'!BN$3)/12)),IF(YEAR(BN$3)=YEAR(Headcount!$O$4),IF((BN$5=2),((SUMIFS(Headcount!$O$6:$O$89,Headcount!$F$6:$F$89,"Development Operations",Headcount!$H$6:$H$89,"&gt;="&amp;'Dev Ops'!BN$3)/12)),BM12),IF(YEAR(BN$3)=YEAR(Headcount!$P$4),IF((BN$5=2),((SUMIFS(Headcount!$P$6:$P$89,Headcount!$F$6:$F$89,"Development Operations",Headcount!$H$6:$H$89,"&gt;="&amp;'Dev Ops'!BN$3)/12)),BM12),IF(YEAR(BN$3)=YEAR(Headcount!$Q$4),IF((BN$5=2),((SUMIFS(Headcount!$Q$6:$Q$89,Headcount!$F$6:$F$89,"Development Operations",Headcount!$H$6:$H$89,"&gt;="&amp;'Dev Ops'!BN$3)/12)),BM12),IF(YEAR(BN$3)=YEAR(Headcount!$R$4),IF((BN$5=2),((SUMIFS(Headcount!$R$6:$R$89,Headcount!$F$6:$F$89,"Development Operations",Headcount!$H$6:$H$89,"&gt;="&amp;'Dev Ops'!BN$3)/12)),BM12),"New Year"))))),'Dept. Cost Actuals'!BR824-'Dept. Cost Actuals'!BR814)</f>
        <v>116496.79542416672</v>
      </c>
      <c r="BO12" s="806">
        <f>IF(BO$4="forecast",IF(YEAR(BO$3)=YEAR(Headcount!$N$4),((SUMIFS(Headcount!$N$6:$N$89,Headcount!$F$6:$F$89,"Development Operations",Headcount!$H$6:$H$89,"&gt;="&amp;'Dev Ops'!BO$3)/12)),IF(YEAR(BO$3)=YEAR(Headcount!$O$4),IF((BO$5=2),((SUMIFS(Headcount!$O$6:$O$89,Headcount!$F$6:$F$89,"Development Operations",Headcount!$H$6:$H$89,"&gt;="&amp;'Dev Ops'!BO$3)/12)),BN12),IF(YEAR(BO$3)=YEAR(Headcount!$P$4),IF((BO$5=2),((SUMIFS(Headcount!$P$6:$P$89,Headcount!$F$6:$F$89,"Development Operations",Headcount!$H$6:$H$89,"&gt;="&amp;'Dev Ops'!BO$3)/12)),BN12),IF(YEAR(BO$3)=YEAR(Headcount!$Q$4),IF((BO$5=2),((SUMIFS(Headcount!$Q$6:$Q$89,Headcount!$F$6:$F$89,"Development Operations",Headcount!$H$6:$H$89,"&gt;="&amp;'Dev Ops'!BO$3)/12)),BN12),IF(YEAR(BO$3)=YEAR(Headcount!$R$4),IF((BO$5=2),((SUMIFS(Headcount!$R$6:$R$89,Headcount!$F$6:$F$89,"Development Operations",Headcount!$H$6:$H$89,"&gt;="&amp;'Dev Ops'!BO$3)/12)),BN12),"New Year"))))),'Dept. Cost Actuals'!BS824-'Dept. Cost Actuals'!BS814)</f>
        <v>116496.79542416672</v>
      </c>
      <c r="BP12" s="806">
        <f>IF(BP$4="forecast",IF(YEAR(BP$3)=YEAR(Headcount!$N$4),((SUMIFS(Headcount!$N$6:$N$89,Headcount!$F$6:$F$89,"Development Operations",Headcount!$H$6:$H$89,"&gt;="&amp;'Dev Ops'!BP$3)/12)),IF(YEAR(BP$3)=YEAR(Headcount!$O$4),IF((BP$5=2),((SUMIFS(Headcount!$O$6:$O$89,Headcount!$F$6:$F$89,"Development Operations",Headcount!$H$6:$H$89,"&gt;="&amp;'Dev Ops'!BP$3)/12)),BO12),IF(YEAR(BP$3)=YEAR(Headcount!$P$4),IF((BP$5=2),((SUMIFS(Headcount!$P$6:$P$89,Headcount!$F$6:$F$89,"Development Operations",Headcount!$H$6:$H$89,"&gt;="&amp;'Dev Ops'!BP$3)/12)),BO12),IF(YEAR(BP$3)=YEAR(Headcount!$Q$4),IF((BP$5=2),((SUMIFS(Headcount!$Q$6:$Q$89,Headcount!$F$6:$F$89,"Development Operations",Headcount!$H$6:$H$89,"&gt;="&amp;'Dev Ops'!BP$3)/12)),BO12),IF(YEAR(BP$3)=YEAR(Headcount!$R$4),IF((BP$5=2),((SUMIFS(Headcount!$R$6:$R$89,Headcount!$F$6:$F$89,"Development Operations",Headcount!$H$6:$H$89,"&gt;="&amp;'Dev Ops'!BP$3)/12)),BO12),"New Year"))))),'Dept. Cost Actuals'!BT824-'Dept. Cost Actuals'!BT814)</f>
        <v>116496.79542416672</v>
      </c>
      <c r="BQ12" s="806">
        <f>IF(BQ$4="forecast",IF(YEAR(BQ$3)=YEAR(Headcount!$N$4),((SUMIFS(Headcount!$N$6:$N$89,Headcount!$F$6:$F$89,"Development Operations",Headcount!$H$6:$H$89,"&gt;="&amp;'Dev Ops'!BQ$3)/12)),IF(YEAR(BQ$3)=YEAR(Headcount!$O$4),IF((BQ$5=2),((SUMIFS(Headcount!$O$6:$O$89,Headcount!$F$6:$F$89,"Development Operations",Headcount!$H$6:$H$89,"&gt;="&amp;'Dev Ops'!BQ$3)/12)),BP12),IF(YEAR(BQ$3)=YEAR(Headcount!$P$4),IF((BQ$5=2),((SUMIFS(Headcount!$P$6:$P$89,Headcount!$F$6:$F$89,"Development Operations",Headcount!$H$6:$H$89,"&gt;="&amp;'Dev Ops'!BQ$3)/12)),BP12),IF(YEAR(BQ$3)=YEAR(Headcount!$Q$4),IF((BQ$5=2),((SUMIFS(Headcount!$Q$6:$Q$89,Headcount!$F$6:$F$89,"Development Operations",Headcount!$H$6:$H$89,"&gt;="&amp;'Dev Ops'!BQ$3)/12)),BP12),IF(YEAR(BQ$3)=YEAR(Headcount!$R$4),IF((BQ$5=2),((SUMIFS(Headcount!$R$6:$R$89,Headcount!$F$6:$F$89,"Development Operations",Headcount!$H$6:$H$89,"&gt;="&amp;'Dev Ops'!BQ$3)/12)),BP12),"New Year"))))),'Dept. Cost Actuals'!BU824-'Dept. Cost Actuals'!BU814)</f>
        <v>116496.79542416672</v>
      </c>
      <c r="BR12" s="806">
        <f>IF(BR$4="forecast",IF(YEAR(BR$3)=YEAR(Headcount!$N$4),((SUMIFS(Headcount!$N$6:$N$89,Headcount!$F$6:$F$89,"Development Operations",Headcount!$H$6:$H$89,"&gt;="&amp;'Dev Ops'!BR$3)/12)),IF(YEAR(BR$3)=YEAR(Headcount!$O$4),IF((BR$5=2),((SUMIFS(Headcount!$O$6:$O$89,Headcount!$F$6:$F$89,"Development Operations",Headcount!$H$6:$H$89,"&gt;="&amp;'Dev Ops'!BR$3)/12)),BQ12),IF(YEAR(BR$3)=YEAR(Headcount!$P$4),IF((BR$5=2),((SUMIFS(Headcount!$P$6:$P$89,Headcount!$F$6:$F$89,"Development Operations",Headcount!$H$6:$H$89,"&gt;="&amp;'Dev Ops'!BR$3)/12)),BQ12),IF(YEAR(BR$3)=YEAR(Headcount!$Q$4),IF((BR$5=2),((SUMIFS(Headcount!$Q$6:$Q$89,Headcount!$F$6:$F$89,"Development Operations",Headcount!$H$6:$H$89,"&gt;="&amp;'Dev Ops'!BR$3)/12)),BQ12),IF(YEAR(BR$3)=YEAR(Headcount!$R$4),IF((BR$5=2),((SUMIFS(Headcount!$R$6:$R$89,Headcount!$F$6:$F$89,"Development Operations",Headcount!$H$6:$H$89,"&gt;="&amp;'Dev Ops'!BR$3)/12)),BQ12),"New Year"))))),'Dept. Cost Actuals'!BV824-'Dept. Cost Actuals'!BV814)</f>
        <v>116496.79542416672</v>
      </c>
      <c r="BS12" s="806">
        <f>IF(BS$4="forecast",IF(YEAR(BS$3)=YEAR(Headcount!$N$4),((SUMIFS(Headcount!$N$6:$N$89,Headcount!$F$6:$F$89,"Development Operations",Headcount!$H$6:$H$89,"&gt;="&amp;'Dev Ops'!BS$3)/12)),IF(YEAR(BS$3)=YEAR(Headcount!$O$4),IF((BS$5=2),((SUMIFS(Headcount!$O$6:$O$89,Headcount!$F$6:$F$89,"Development Operations",Headcount!$H$6:$H$89,"&gt;="&amp;'Dev Ops'!BS$3)/12)),BR12),IF(YEAR(BS$3)=YEAR(Headcount!$P$4),IF((BS$5=2),((SUMIFS(Headcount!$P$6:$P$89,Headcount!$F$6:$F$89,"Development Operations",Headcount!$H$6:$H$89,"&gt;="&amp;'Dev Ops'!BS$3)/12)),BR12),IF(YEAR(BS$3)=YEAR(Headcount!$Q$4),IF((BS$5=2),((SUMIFS(Headcount!$Q$6:$Q$89,Headcount!$F$6:$F$89,"Development Operations",Headcount!$H$6:$H$89,"&gt;="&amp;'Dev Ops'!BS$3)/12)),BR12),IF(YEAR(BS$3)=YEAR(Headcount!$R$4),IF((BS$5=2),((SUMIFS(Headcount!$R$6:$R$89,Headcount!$F$6:$F$89,"Development Operations",Headcount!$H$6:$H$89,"&gt;="&amp;'Dev Ops'!BS$3)/12)),BR12),"New Year"))))),'Dept. Cost Actuals'!BW824-'Dept. Cost Actuals'!BW814)</f>
        <v>116496.79542416672</v>
      </c>
      <c r="BT12" s="806">
        <f>IF(BT$4="forecast",IF(YEAR(BT$3)=YEAR(Headcount!$N$4),((SUMIFS(Headcount!$N$6:$N$89,Headcount!$F$6:$F$89,"Development Operations",Headcount!$H$6:$H$89,"&gt;="&amp;'Dev Ops'!BT$3)/12)),IF(YEAR(BT$3)=YEAR(Headcount!$O$4),IF((BT$5=2),((SUMIFS(Headcount!$O$6:$O$89,Headcount!$F$6:$F$89,"Development Operations",Headcount!$H$6:$H$89,"&gt;="&amp;'Dev Ops'!BT$3)/12)),BS12),IF(YEAR(BT$3)=YEAR(Headcount!$P$4),IF((BT$5=2),((SUMIFS(Headcount!$P$6:$P$89,Headcount!$F$6:$F$89,"Development Operations",Headcount!$H$6:$H$89,"&gt;="&amp;'Dev Ops'!BT$3)/12)),BS12),IF(YEAR(BT$3)=YEAR(Headcount!$Q$4),IF((BT$5=2),((SUMIFS(Headcount!$Q$6:$Q$89,Headcount!$F$6:$F$89,"Development Operations",Headcount!$H$6:$H$89,"&gt;="&amp;'Dev Ops'!BT$3)/12)),BS12),IF(YEAR(BT$3)=YEAR(Headcount!$R$4),IF((BT$5=2),((SUMIFS(Headcount!$R$6:$R$89,Headcount!$F$6:$F$89,"Development Operations",Headcount!$H$6:$H$89,"&gt;="&amp;'Dev Ops'!BT$3)/12)),BS12),"New Year"))))),'Dept. Cost Actuals'!BX824-'Dept. Cost Actuals'!BX814)</f>
        <v>116496.79542416672</v>
      </c>
      <c r="BU12" s="806">
        <f>IF(BU$4="forecast",IF(YEAR(BU$3)=YEAR(Headcount!$N$4),((SUMIFS(Headcount!$N$6:$N$89,Headcount!$F$6:$F$89,"Development Operations",Headcount!$H$6:$H$89,"&gt;="&amp;'Dev Ops'!BU$3)/12)),IF(YEAR(BU$3)=YEAR(Headcount!$O$4),IF((BU$5=2),((SUMIFS(Headcount!$O$6:$O$89,Headcount!$F$6:$F$89,"Development Operations",Headcount!$H$6:$H$89,"&gt;="&amp;'Dev Ops'!BU$3)/12)),BT12),IF(YEAR(BU$3)=YEAR(Headcount!$P$4),IF((BU$5=2),((SUMIFS(Headcount!$P$6:$P$89,Headcount!$F$6:$F$89,"Development Operations",Headcount!$H$6:$H$89,"&gt;="&amp;'Dev Ops'!BU$3)/12)),BT12),IF(YEAR(BU$3)=YEAR(Headcount!$Q$4),IF((BU$5=2),((SUMIFS(Headcount!$Q$6:$Q$89,Headcount!$F$6:$F$89,"Development Operations",Headcount!$H$6:$H$89,"&gt;="&amp;'Dev Ops'!BU$3)/12)),BT12),IF(YEAR(BU$3)=YEAR(Headcount!$R$4),IF((BU$5=2),((SUMIFS(Headcount!$R$6:$R$89,Headcount!$F$6:$F$89,"Development Operations",Headcount!$H$6:$H$89,"&gt;="&amp;'Dev Ops'!BU$3)/12)),BT12),"New Year"))))),'Dept. Cost Actuals'!BY824-'Dept. Cost Actuals'!BY814)</f>
        <v>116496.79542416672</v>
      </c>
      <c r="BV12" s="807">
        <f>IF(BV$4="forecast",IF(YEAR(BV$3)=YEAR(Headcount!$N$4),((SUMIFS(Headcount!$N$6:$N$89,Headcount!$F$6:$F$89,"Development Operations",Headcount!$H$6:$H$89,"&gt;="&amp;'Dev Ops'!BV$3)/12)),IF(YEAR(BV$3)=YEAR(Headcount!$O$4),IF((BV$5=2),((SUMIFS(Headcount!$O$6:$O$89,Headcount!$F$6:$F$89,"Development Operations",Headcount!$H$6:$H$89,"&gt;="&amp;'Dev Ops'!BV$3)/12)),BU12),IF(YEAR(BV$3)=YEAR(Headcount!$P$4),IF((BV$5=2),((SUMIFS(Headcount!$P$6:$P$89,Headcount!$F$6:$F$89,"Development Operations",Headcount!$H$6:$H$89,"&gt;="&amp;'Dev Ops'!BV$3)/12)),BU12),IF(YEAR(BV$3)=YEAR(Headcount!$Q$4),IF((BV$5=2),((SUMIFS(Headcount!$Q$6:$Q$89,Headcount!$F$6:$F$89,"Development Operations",Headcount!$H$6:$H$89,"&gt;="&amp;'Dev Ops'!BV$3)/12)),BU12),IF(YEAR(BV$3)=YEAR(Headcount!$R$4),IF((BV$5=2),((SUMIFS(Headcount!$R$6:$R$89,Headcount!$F$6:$F$89,"Development Operations",Headcount!$H$6:$H$89,"&gt;="&amp;'Dev Ops'!BV$3)/12)),BU12),"New Year"))))),'Dept. Cost Actuals'!BZ824-'Dept. Cost Actuals'!BZ814)</f>
        <v>116496.79542416672</v>
      </c>
    </row>
    <row r="13" spans="2:74" x14ac:dyDescent="0.35">
      <c r="B13" s="797" t="s">
        <v>935</v>
      </c>
      <c r="C13" s="684">
        <f>IF(C$4="forecast",IF(YEAR(C$3)=YEAR('New Hires Forecast'!$N$3),((SUMIFS('New Hires Forecast'!$N$5:$N$81,'New Hires Forecast'!$F$5:$F$81,"Dev Ops",'New Hires Forecast'!$H$5:$H$81,"&gt;="&amp;'Dev Ops'!C3,'New Hires Forecast'!$G$5:$G$81,"&lt;="&amp;'Dev Ops'!C3)/12)),IF(YEAR(C$3)=YEAR('New Hires Forecast'!$O$3),((SUMIFS('New Hires Forecast'!$O$5:$O$81,'New Hires Forecast'!$F$5:$F$81,"Dev Ops",'New Hires Forecast'!$H$5:$H$81,"&gt;="&amp;'Dev Ops'!C3,'New Hires Forecast'!$G$5:$G$81,"&lt;="&amp;'Dev Ops'!C3)/12)),IF(YEAR(C$3)=YEAR('New Hires Forecast'!$P$3),((SUMIFS('New Hires Forecast'!$P$5:$P$81,'New Hires Forecast'!$F$5:$F$81,"Dev Ops",'New Hires Forecast'!$H$5:$H$81,"&gt;="&amp;'Dev Ops'!C3,'New Hires Forecast'!$G$5:$G$81,"&lt;="&amp;'Dev Ops'!C3)/12)),IF(YEAR(C$3)=YEAR('New Hires Forecast'!$Q$3),((SUMIFS('New Hires Forecast'!$Q$5:$Q$81,'New Hires Forecast'!$F$5:$F$81,"Dev Ops",'New Hires Forecast'!$H$5:$H$81,"&gt;="&amp;'Dev Ops'!C3,'New Hires Forecast'!$G$5:$G$81,"&lt;="&amp;'Dev Ops'!C3)/12)),IF(YEAR(C$3)=YEAR('New Hires Forecast'!$R$3),((SUMIFS('New Hires Forecast'!$R$5:$R$81,'New Hires Forecast'!$F$5:$F$81,"Dev Ops",'New Hires Forecast'!$H$5:$H$81,"&gt;="&amp;'Dev Ops'!C3,'New Hires Forecast'!$G$5:$G$81,"&lt;="&amp;'Dev Ops'!C3)/12))))))),0)</f>
        <v>0</v>
      </c>
      <c r="D13" s="684">
        <f>IF(D$4="forecast",IF(YEAR(D$3)=YEAR('New Hires Forecast'!$N$3),((SUMIFS('New Hires Forecast'!$N$5:$N$81,'New Hires Forecast'!$F$5:$F$81,"Dev Ops",'New Hires Forecast'!$H$5:$H$81,"&gt;="&amp;'Dev Ops'!D3,'New Hires Forecast'!$G$5:$G$81,"&lt;="&amp;'Dev Ops'!D3)/12)),IF(YEAR(D$3)=YEAR('New Hires Forecast'!$O$3),((SUMIFS('New Hires Forecast'!$O$5:$O$81,'New Hires Forecast'!$F$5:$F$81,"Dev Ops",'New Hires Forecast'!$H$5:$H$81,"&gt;="&amp;'Dev Ops'!D3,'New Hires Forecast'!$G$5:$G$81,"&lt;="&amp;'Dev Ops'!D3)/12)),IF(YEAR(D$3)=YEAR('New Hires Forecast'!$P$3),((SUMIFS('New Hires Forecast'!$P$5:$P$81,'New Hires Forecast'!$F$5:$F$81,"Dev Ops",'New Hires Forecast'!$H$5:$H$81,"&gt;="&amp;'Dev Ops'!D3,'New Hires Forecast'!$G$5:$G$81,"&lt;="&amp;'Dev Ops'!D3)/12)),IF(YEAR(D$3)=YEAR('New Hires Forecast'!$Q$3),((SUMIFS('New Hires Forecast'!$Q$5:$Q$81,'New Hires Forecast'!$F$5:$F$81,"Dev Ops",'New Hires Forecast'!$H$5:$H$81,"&gt;="&amp;'Dev Ops'!D3,'New Hires Forecast'!$G$5:$G$81,"&lt;="&amp;'Dev Ops'!D3)/12)),IF(YEAR(D$3)=YEAR('New Hires Forecast'!$R$3),((SUMIFS('New Hires Forecast'!$R$5:$R$81,'New Hires Forecast'!$F$5:$F$81,"Dev Ops",'New Hires Forecast'!$H$5:$H$81,"&gt;="&amp;'Dev Ops'!D3,'New Hires Forecast'!$G$5:$G$81,"&lt;="&amp;'Dev Ops'!D3)/12))))))),0)</f>
        <v>0</v>
      </c>
      <c r="E13" s="684">
        <f>IF(E$4="forecast",IF(YEAR(E$3)=YEAR('New Hires Forecast'!$N$3),((SUMIFS('New Hires Forecast'!$N$5:$N$81,'New Hires Forecast'!$F$5:$F$81,"Dev Ops",'New Hires Forecast'!$H$5:$H$81,"&gt;="&amp;'Dev Ops'!E3,'New Hires Forecast'!$G$5:$G$81,"&lt;="&amp;'Dev Ops'!E3)/12)),IF(YEAR(E$3)=YEAR('New Hires Forecast'!$O$3),((SUMIFS('New Hires Forecast'!$O$5:$O$81,'New Hires Forecast'!$F$5:$F$81,"Dev Ops",'New Hires Forecast'!$H$5:$H$81,"&gt;="&amp;'Dev Ops'!E3,'New Hires Forecast'!$G$5:$G$81,"&lt;="&amp;'Dev Ops'!E3)/12)),IF(YEAR(E$3)=YEAR('New Hires Forecast'!$P$3),((SUMIFS('New Hires Forecast'!$P$5:$P$81,'New Hires Forecast'!$F$5:$F$81,"Dev Ops",'New Hires Forecast'!$H$5:$H$81,"&gt;="&amp;'Dev Ops'!E3,'New Hires Forecast'!$G$5:$G$81,"&lt;="&amp;'Dev Ops'!E3)/12)),IF(YEAR(E$3)=YEAR('New Hires Forecast'!$Q$3),((SUMIFS('New Hires Forecast'!$Q$5:$Q$81,'New Hires Forecast'!$F$5:$F$81,"Dev Ops",'New Hires Forecast'!$H$5:$H$81,"&gt;="&amp;'Dev Ops'!E3,'New Hires Forecast'!$G$5:$G$81,"&lt;="&amp;'Dev Ops'!E3)/12)),IF(YEAR(E$3)=YEAR('New Hires Forecast'!$R$3),((SUMIFS('New Hires Forecast'!$R$5:$R$81,'New Hires Forecast'!$F$5:$F$81,"Dev Ops",'New Hires Forecast'!$H$5:$H$81,"&gt;="&amp;'Dev Ops'!E3,'New Hires Forecast'!$G$5:$G$81,"&lt;="&amp;'Dev Ops'!E3)/12))))))),0)</f>
        <v>0</v>
      </c>
      <c r="F13" s="684">
        <f>IF(F$4="forecast",IF(YEAR(F$3)=YEAR('New Hires Forecast'!$N$3),((SUMIFS('New Hires Forecast'!$N$5:$N$81,'New Hires Forecast'!$F$5:$F$81,"Dev Ops",'New Hires Forecast'!$H$5:$H$81,"&gt;="&amp;'Dev Ops'!F3,'New Hires Forecast'!$G$5:$G$81,"&lt;="&amp;'Dev Ops'!F3)/12)),IF(YEAR(F$3)=YEAR('New Hires Forecast'!$O$3),((SUMIFS('New Hires Forecast'!$O$5:$O$81,'New Hires Forecast'!$F$5:$F$81,"Dev Ops",'New Hires Forecast'!$H$5:$H$81,"&gt;="&amp;'Dev Ops'!F3,'New Hires Forecast'!$G$5:$G$81,"&lt;="&amp;'Dev Ops'!F3)/12)),IF(YEAR(F$3)=YEAR('New Hires Forecast'!$P$3),((SUMIFS('New Hires Forecast'!$P$5:$P$81,'New Hires Forecast'!$F$5:$F$81,"Dev Ops",'New Hires Forecast'!$H$5:$H$81,"&gt;="&amp;'Dev Ops'!F3,'New Hires Forecast'!$G$5:$G$81,"&lt;="&amp;'Dev Ops'!F3)/12)),IF(YEAR(F$3)=YEAR('New Hires Forecast'!$Q$3),((SUMIFS('New Hires Forecast'!$Q$5:$Q$81,'New Hires Forecast'!$F$5:$F$81,"Dev Ops",'New Hires Forecast'!$H$5:$H$81,"&gt;="&amp;'Dev Ops'!F3,'New Hires Forecast'!$G$5:$G$81,"&lt;="&amp;'Dev Ops'!F3)/12)),IF(YEAR(F$3)=YEAR('New Hires Forecast'!$R$3),((SUMIFS('New Hires Forecast'!$R$5:$R$81,'New Hires Forecast'!$F$5:$F$81,"Dev Ops",'New Hires Forecast'!$H$5:$H$81,"&gt;="&amp;'Dev Ops'!F3,'New Hires Forecast'!$G$5:$G$81,"&lt;="&amp;'Dev Ops'!F3)/12))))))),0)</f>
        <v>0</v>
      </c>
      <c r="G13" s="684">
        <f>IF(G$4="forecast",IF(YEAR(G$3)=YEAR('New Hires Forecast'!$N$3),((SUMIFS('New Hires Forecast'!$N$5:$N$81,'New Hires Forecast'!$F$5:$F$81,"Dev Ops",'New Hires Forecast'!$H$5:$H$81,"&gt;="&amp;'Dev Ops'!G3,'New Hires Forecast'!$G$5:$G$81,"&lt;="&amp;'Dev Ops'!G3)/12)),IF(YEAR(G$3)=YEAR('New Hires Forecast'!$O$3),((SUMIFS('New Hires Forecast'!$O$5:$O$81,'New Hires Forecast'!$F$5:$F$81,"Dev Ops",'New Hires Forecast'!$H$5:$H$81,"&gt;="&amp;'Dev Ops'!G3,'New Hires Forecast'!$G$5:$G$81,"&lt;="&amp;'Dev Ops'!G3)/12)),IF(YEAR(G$3)=YEAR('New Hires Forecast'!$P$3),((SUMIFS('New Hires Forecast'!$P$5:$P$81,'New Hires Forecast'!$F$5:$F$81,"Dev Ops",'New Hires Forecast'!$H$5:$H$81,"&gt;="&amp;'Dev Ops'!G3,'New Hires Forecast'!$G$5:$G$81,"&lt;="&amp;'Dev Ops'!G3)/12)),IF(YEAR(G$3)=YEAR('New Hires Forecast'!$Q$3),((SUMIFS('New Hires Forecast'!$Q$5:$Q$81,'New Hires Forecast'!$F$5:$F$81,"Dev Ops",'New Hires Forecast'!$H$5:$H$81,"&gt;="&amp;'Dev Ops'!G3,'New Hires Forecast'!$G$5:$G$81,"&lt;="&amp;'Dev Ops'!G3)/12)),IF(YEAR(G$3)=YEAR('New Hires Forecast'!$R$3),((SUMIFS('New Hires Forecast'!$R$5:$R$81,'New Hires Forecast'!$F$5:$F$81,"Dev Ops",'New Hires Forecast'!$H$5:$H$81,"&gt;="&amp;'Dev Ops'!G3,'New Hires Forecast'!$G$5:$G$81,"&lt;="&amp;'Dev Ops'!G3)/12))))))),0)</f>
        <v>0</v>
      </c>
      <c r="H13" s="684">
        <f>IF(H$4="forecast",IF(YEAR(H$3)=YEAR('New Hires Forecast'!$N$3),((SUMIFS('New Hires Forecast'!$N$5:$N$81,'New Hires Forecast'!$F$5:$F$81,"Dev Ops",'New Hires Forecast'!$H$5:$H$81,"&gt;="&amp;'Dev Ops'!H3,'New Hires Forecast'!$G$5:$G$81,"&lt;="&amp;'Dev Ops'!H3)/12)),IF(YEAR(H$3)=YEAR('New Hires Forecast'!$O$3),((SUMIFS('New Hires Forecast'!$O$5:$O$81,'New Hires Forecast'!$F$5:$F$81,"Dev Ops",'New Hires Forecast'!$H$5:$H$81,"&gt;="&amp;'Dev Ops'!H3,'New Hires Forecast'!$G$5:$G$81,"&lt;="&amp;'Dev Ops'!H3)/12)),IF(YEAR(H$3)=YEAR('New Hires Forecast'!$P$3),((SUMIFS('New Hires Forecast'!$P$5:$P$81,'New Hires Forecast'!$F$5:$F$81,"Dev Ops",'New Hires Forecast'!$H$5:$H$81,"&gt;="&amp;'Dev Ops'!H3,'New Hires Forecast'!$G$5:$G$81,"&lt;="&amp;'Dev Ops'!H3)/12)),IF(YEAR(H$3)=YEAR('New Hires Forecast'!$Q$3),((SUMIFS('New Hires Forecast'!$Q$5:$Q$81,'New Hires Forecast'!$F$5:$F$81,"Dev Ops",'New Hires Forecast'!$H$5:$H$81,"&gt;="&amp;'Dev Ops'!H3,'New Hires Forecast'!$G$5:$G$81,"&lt;="&amp;'Dev Ops'!H3)/12)),IF(YEAR(H$3)=YEAR('New Hires Forecast'!$R$3),((SUMIFS('New Hires Forecast'!$R$5:$R$81,'New Hires Forecast'!$F$5:$F$81,"Dev Ops",'New Hires Forecast'!$H$5:$H$81,"&gt;="&amp;'Dev Ops'!H3,'New Hires Forecast'!$G$5:$G$81,"&lt;="&amp;'Dev Ops'!H3)/12))))))),0)</f>
        <v>0</v>
      </c>
      <c r="I13" s="684">
        <f>IF(I$4="forecast",IF(YEAR(I$3)=YEAR('New Hires Forecast'!$N$3),((SUMIFS('New Hires Forecast'!$N$5:$N$81,'New Hires Forecast'!$F$5:$F$81,"Dev Ops",'New Hires Forecast'!$H$5:$H$81,"&gt;="&amp;'Dev Ops'!I3,'New Hires Forecast'!$G$5:$G$81,"&lt;="&amp;'Dev Ops'!I3)/12)),IF(YEAR(I$3)=YEAR('New Hires Forecast'!$O$3),((SUMIFS('New Hires Forecast'!$O$5:$O$81,'New Hires Forecast'!$F$5:$F$81,"Dev Ops",'New Hires Forecast'!$H$5:$H$81,"&gt;="&amp;'Dev Ops'!I3,'New Hires Forecast'!$G$5:$G$81,"&lt;="&amp;'Dev Ops'!I3)/12)),IF(YEAR(I$3)=YEAR('New Hires Forecast'!$P$3),((SUMIFS('New Hires Forecast'!$P$5:$P$81,'New Hires Forecast'!$F$5:$F$81,"Dev Ops",'New Hires Forecast'!$H$5:$H$81,"&gt;="&amp;'Dev Ops'!I3,'New Hires Forecast'!$G$5:$G$81,"&lt;="&amp;'Dev Ops'!I3)/12)),IF(YEAR(I$3)=YEAR('New Hires Forecast'!$Q$3),((SUMIFS('New Hires Forecast'!$Q$5:$Q$81,'New Hires Forecast'!$F$5:$F$81,"Dev Ops",'New Hires Forecast'!$H$5:$H$81,"&gt;="&amp;'Dev Ops'!I3,'New Hires Forecast'!$G$5:$G$81,"&lt;="&amp;'Dev Ops'!I3)/12)),IF(YEAR(I$3)=YEAR('New Hires Forecast'!$R$3),((SUMIFS('New Hires Forecast'!$R$5:$R$81,'New Hires Forecast'!$F$5:$F$81,"Dev Ops",'New Hires Forecast'!$H$5:$H$81,"&gt;="&amp;'Dev Ops'!I3,'New Hires Forecast'!$G$5:$G$81,"&lt;="&amp;'Dev Ops'!I3)/12))))))),0)</f>
        <v>0</v>
      </c>
      <c r="J13" s="684">
        <f>IF(J$4="forecast",IF(YEAR(J$3)=YEAR('New Hires Forecast'!$N$3),((SUMIFS('New Hires Forecast'!$N$5:$N$81,'New Hires Forecast'!$F$5:$F$81,"Dev Ops",'New Hires Forecast'!$H$5:$H$81,"&gt;="&amp;'Dev Ops'!J3,'New Hires Forecast'!$G$5:$G$81,"&lt;="&amp;'Dev Ops'!J3)/12)),IF(YEAR(J$3)=YEAR('New Hires Forecast'!$O$3),((SUMIFS('New Hires Forecast'!$O$5:$O$81,'New Hires Forecast'!$F$5:$F$81,"Dev Ops",'New Hires Forecast'!$H$5:$H$81,"&gt;="&amp;'Dev Ops'!J3,'New Hires Forecast'!$G$5:$G$81,"&lt;="&amp;'Dev Ops'!J3)/12)),IF(YEAR(J$3)=YEAR('New Hires Forecast'!$P$3),((SUMIFS('New Hires Forecast'!$P$5:$P$81,'New Hires Forecast'!$F$5:$F$81,"Dev Ops",'New Hires Forecast'!$H$5:$H$81,"&gt;="&amp;'Dev Ops'!J3,'New Hires Forecast'!$G$5:$G$81,"&lt;="&amp;'Dev Ops'!J3)/12)),IF(YEAR(J$3)=YEAR('New Hires Forecast'!$Q$3),((SUMIFS('New Hires Forecast'!$Q$5:$Q$81,'New Hires Forecast'!$F$5:$F$81,"Dev Ops",'New Hires Forecast'!$H$5:$H$81,"&gt;="&amp;'Dev Ops'!J3,'New Hires Forecast'!$G$5:$G$81,"&lt;="&amp;'Dev Ops'!J3)/12)),IF(YEAR(J$3)=YEAR('New Hires Forecast'!$R$3),((SUMIFS('New Hires Forecast'!$R$5:$R$81,'New Hires Forecast'!$F$5:$F$81,"Dev Ops",'New Hires Forecast'!$H$5:$H$81,"&gt;="&amp;'Dev Ops'!J3,'New Hires Forecast'!$G$5:$G$81,"&lt;="&amp;'Dev Ops'!J3)/12))))))),0)</f>
        <v>0</v>
      </c>
      <c r="K13" s="684">
        <f>IF(K$4="forecast",IF(YEAR(K$3)=YEAR('New Hires Forecast'!$N$3),((SUMIFS('New Hires Forecast'!$N$5:$N$81,'New Hires Forecast'!$F$5:$F$81,"Dev Ops",'New Hires Forecast'!$H$5:$H$81,"&gt;="&amp;'Dev Ops'!K3,'New Hires Forecast'!$G$5:$G$81,"&lt;="&amp;'Dev Ops'!K3)/12)),IF(YEAR(K$3)=YEAR('New Hires Forecast'!$O$3),((SUMIFS('New Hires Forecast'!$O$5:$O$81,'New Hires Forecast'!$F$5:$F$81,"Dev Ops",'New Hires Forecast'!$H$5:$H$81,"&gt;="&amp;'Dev Ops'!K3,'New Hires Forecast'!$G$5:$G$81,"&lt;="&amp;'Dev Ops'!K3)/12)),IF(YEAR(K$3)=YEAR('New Hires Forecast'!$P$3),((SUMIFS('New Hires Forecast'!$P$5:$P$81,'New Hires Forecast'!$F$5:$F$81,"Dev Ops",'New Hires Forecast'!$H$5:$H$81,"&gt;="&amp;'Dev Ops'!K3,'New Hires Forecast'!$G$5:$G$81,"&lt;="&amp;'Dev Ops'!K3)/12)),IF(YEAR(K$3)=YEAR('New Hires Forecast'!$Q$3),((SUMIFS('New Hires Forecast'!$Q$5:$Q$81,'New Hires Forecast'!$F$5:$F$81,"Dev Ops",'New Hires Forecast'!$H$5:$H$81,"&gt;="&amp;'Dev Ops'!K3,'New Hires Forecast'!$G$5:$G$81,"&lt;="&amp;'Dev Ops'!K3)/12)),IF(YEAR(K$3)=YEAR('New Hires Forecast'!$R$3),((SUMIFS('New Hires Forecast'!$R$5:$R$81,'New Hires Forecast'!$F$5:$F$81,"Dev Ops",'New Hires Forecast'!$H$5:$H$81,"&gt;="&amp;'Dev Ops'!K3,'New Hires Forecast'!$G$5:$G$81,"&lt;="&amp;'Dev Ops'!K3)/12))))))),0)</f>
        <v>0</v>
      </c>
      <c r="L13" s="684">
        <f>IF(L$4="forecast",IF(YEAR(L$3)=YEAR('New Hires Forecast'!$N$3),((SUMIFS('New Hires Forecast'!$N$5:$N$81,'New Hires Forecast'!$F$5:$F$81,"Dev Ops",'New Hires Forecast'!$H$5:$H$81,"&gt;="&amp;'Dev Ops'!L3,'New Hires Forecast'!$G$5:$G$81,"&lt;="&amp;'Dev Ops'!L3)/12)),IF(YEAR(L$3)=YEAR('New Hires Forecast'!$O$3),((SUMIFS('New Hires Forecast'!$O$5:$O$81,'New Hires Forecast'!$F$5:$F$81,"Dev Ops",'New Hires Forecast'!$H$5:$H$81,"&gt;="&amp;'Dev Ops'!L3,'New Hires Forecast'!$G$5:$G$81,"&lt;="&amp;'Dev Ops'!L3)/12)),IF(YEAR(L$3)=YEAR('New Hires Forecast'!$P$3),((SUMIFS('New Hires Forecast'!$P$5:$P$81,'New Hires Forecast'!$F$5:$F$81,"Dev Ops",'New Hires Forecast'!$H$5:$H$81,"&gt;="&amp;'Dev Ops'!L3,'New Hires Forecast'!$G$5:$G$81,"&lt;="&amp;'Dev Ops'!L3)/12)),IF(YEAR(L$3)=YEAR('New Hires Forecast'!$Q$3),((SUMIFS('New Hires Forecast'!$Q$5:$Q$81,'New Hires Forecast'!$F$5:$F$81,"Dev Ops",'New Hires Forecast'!$H$5:$H$81,"&gt;="&amp;'Dev Ops'!L3,'New Hires Forecast'!$G$5:$G$81,"&lt;="&amp;'Dev Ops'!L3)/12)),IF(YEAR(L$3)=YEAR('New Hires Forecast'!$R$3),((SUMIFS('New Hires Forecast'!$R$5:$R$81,'New Hires Forecast'!$F$5:$F$81,"Dev Ops",'New Hires Forecast'!$H$5:$H$81,"&gt;="&amp;'Dev Ops'!L3,'New Hires Forecast'!$G$5:$G$81,"&lt;="&amp;'Dev Ops'!L3)/12))))))),0)</f>
        <v>0</v>
      </c>
      <c r="M13" s="684">
        <f>IF(M$4="forecast",IF(YEAR(M$3)=YEAR('New Hires Forecast'!$N$3),((SUMIFS('New Hires Forecast'!$N$5:$N$81,'New Hires Forecast'!$F$5:$F$81,"Dev Ops",'New Hires Forecast'!$H$5:$H$81,"&gt;="&amp;'Dev Ops'!M3,'New Hires Forecast'!$G$5:$G$81,"&lt;="&amp;'Dev Ops'!M3)/12)),IF(YEAR(M$3)=YEAR('New Hires Forecast'!$O$3),((SUMIFS('New Hires Forecast'!$O$5:$O$81,'New Hires Forecast'!$F$5:$F$81,"Dev Ops",'New Hires Forecast'!$H$5:$H$81,"&gt;="&amp;'Dev Ops'!M3,'New Hires Forecast'!$G$5:$G$81,"&lt;="&amp;'Dev Ops'!M3)/12)),IF(YEAR(M$3)=YEAR('New Hires Forecast'!$P$3),((SUMIFS('New Hires Forecast'!$P$5:$P$81,'New Hires Forecast'!$F$5:$F$81,"Dev Ops",'New Hires Forecast'!$H$5:$H$81,"&gt;="&amp;'Dev Ops'!M3,'New Hires Forecast'!$G$5:$G$81,"&lt;="&amp;'Dev Ops'!M3)/12)),IF(YEAR(M$3)=YEAR('New Hires Forecast'!$Q$3),((SUMIFS('New Hires Forecast'!$Q$5:$Q$81,'New Hires Forecast'!$F$5:$F$81,"Dev Ops",'New Hires Forecast'!$H$5:$H$81,"&gt;="&amp;'Dev Ops'!M3,'New Hires Forecast'!$G$5:$G$81,"&lt;="&amp;'Dev Ops'!M3)/12)),IF(YEAR(M$3)=YEAR('New Hires Forecast'!$R$3),((SUMIFS('New Hires Forecast'!$R$5:$R$81,'New Hires Forecast'!$F$5:$F$81,"Dev Ops",'New Hires Forecast'!$H$5:$H$81,"&gt;="&amp;'Dev Ops'!M3,'New Hires Forecast'!$G$5:$G$81,"&lt;="&amp;'Dev Ops'!M3)/12))))))),0)</f>
        <v>0</v>
      </c>
      <c r="N13" s="684">
        <f>IF(N$4="forecast",IF(YEAR(N$3)=YEAR('New Hires Forecast'!$N$3),((SUMIFS('New Hires Forecast'!$N$5:$N$81,'New Hires Forecast'!$F$5:$F$81,"Dev Ops",'New Hires Forecast'!$H$5:$H$81,"&gt;="&amp;'Dev Ops'!N3,'New Hires Forecast'!$G$5:$G$81,"&lt;="&amp;'Dev Ops'!N3)/12)),IF(YEAR(N$3)=YEAR('New Hires Forecast'!$O$3),((SUMIFS('New Hires Forecast'!$O$5:$O$81,'New Hires Forecast'!$F$5:$F$81,"Dev Ops",'New Hires Forecast'!$H$5:$H$81,"&gt;="&amp;'Dev Ops'!N3,'New Hires Forecast'!$G$5:$G$81,"&lt;="&amp;'Dev Ops'!N3)/12)),IF(YEAR(N$3)=YEAR('New Hires Forecast'!$P$3),((SUMIFS('New Hires Forecast'!$P$5:$P$81,'New Hires Forecast'!$F$5:$F$81,"Dev Ops",'New Hires Forecast'!$H$5:$H$81,"&gt;="&amp;'Dev Ops'!N3,'New Hires Forecast'!$G$5:$G$81,"&lt;="&amp;'Dev Ops'!N3)/12)),IF(YEAR(N$3)=YEAR('New Hires Forecast'!$Q$3),((SUMIFS('New Hires Forecast'!$Q$5:$Q$81,'New Hires Forecast'!$F$5:$F$81,"Dev Ops",'New Hires Forecast'!$H$5:$H$81,"&gt;="&amp;'Dev Ops'!N3,'New Hires Forecast'!$G$5:$G$81,"&lt;="&amp;'Dev Ops'!N3)/12)),IF(YEAR(N$3)=YEAR('New Hires Forecast'!$R$3),((SUMIFS('New Hires Forecast'!$R$5:$R$81,'New Hires Forecast'!$F$5:$F$81,"Dev Ops",'New Hires Forecast'!$H$5:$H$81,"&gt;="&amp;'Dev Ops'!N3,'New Hires Forecast'!$G$5:$G$81,"&lt;="&amp;'Dev Ops'!N3)/12))))))),0)</f>
        <v>0</v>
      </c>
      <c r="O13" s="684">
        <f>IF(O$4="forecast",IF(YEAR(O$3)=YEAR('New Hires Forecast'!$N$3),((SUMIFS('New Hires Forecast'!$N$5:$N$81,'New Hires Forecast'!$F$5:$F$81,"Dev Ops",'New Hires Forecast'!$H$5:$H$81,"&gt;="&amp;'Dev Ops'!O3,'New Hires Forecast'!$G$5:$G$81,"&lt;="&amp;'Dev Ops'!O3)/12)),IF(YEAR(O$3)=YEAR('New Hires Forecast'!$O$3),((SUMIFS('New Hires Forecast'!$O$5:$O$81,'New Hires Forecast'!$F$5:$F$81,"Dev Ops",'New Hires Forecast'!$H$5:$H$81,"&gt;="&amp;'Dev Ops'!O3,'New Hires Forecast'!$G$5:$G$81,"&lt;="&amp;'Dev Ops'!O3)/12)),IF(YEAR(O$3)=YEAR('New Hires Forecast'!$P$3),((SUMIFS('New Hires Forecast'!$P$5:$P$81,'New Hires Forecast'!$F$5:$F$81,"Dev Ops",'New Hires Forecast'!$H$5:$H$81,"&gt;="&amp;'Dev Ops'!O3,'New Hires Forecast'!$G$5:$G$81,"&lt;="&amp;'Dev Ops'!O3)/12)),IF(YEAR(O$3)=YEAR('New Hires Forecast'!$Q$3),((SUMIFS('New Hires Forecast'!$Q$5:$Q$81,'New Hires Forecast'!$F$5:$F$81,"Dev Ops",'New Hires Forecast'!$H$5:$H$81,"&gt;="&amp;'Dev Ops'!O3,'New Hires Forecast'!$G$5:$G$81,"&lt;="&amp;'Dev Ops'!O3)/12)),IF(YEAR(O$3)=YEAR('New Hires Forecast'!$R$3),((SUMIFS('New Hires Forecast'!$R$5:$R$81,'New Hires Forecast'!$F$5:$F$81,"Dev Ops",'New Hires Forecast'!$H$5:$H$81,"&gt;="&amp;'Dev Ops'!O3,'New Hires Forecast'!$G$5:$G$81,"&lt;="&amp;'Dev Ops'!O3)/12))))))),0)</f>
        <v>0</v>
      </c>
      <c r="P13" s="684">
        <f>IF(P$4="forecast",IF(YEAR(P$3)=YEAR('New Hires Forecast'!$N$3),((SUMIFS('New Hires Forecast'!$N$5:$N$81,'New Hires Forecast'!$F$5:$F$81,"Dev Ops",'New Hires Forecast'!$H$5:$H$81,"&gt;="&amp;'Dev Ops'!P3,'New Hires Forecast'!$G$5:$G$81,"&lt;="&amp;'Dev Ops'!P3)/12)),IF(YEAR(P$3)=YEAR('New Hires Forecast'!$O$3),((SUMIFS('New Hires Forecast'!$O$5:$O$81,'New Hires Forecast'!$F$5:$F$81,"Dev Ops",'New Hires Forecast'!$H$5:$H$81,"&gt;="&amp;'Dev Ops'!P3,'New Hires Forecast'!$G$5:$G$81,"&lt;="&amp;'Dev Ops'!P3)/12)),IF(YEAR(P$3)=YEAR('New Hires Forecast'!$P$3),((SUMIFS('New Hires Forecast'!$P$5:$P$81,'New Hires Forecast'!$F$5:$F$81,"Dev Ops",'New Hires Forecast'!$H$5:$H$81,"&gt;="&amp;'Dev Ops'!P3,'New Hires Forecast'!$G$5:$G$81,"&lt;="&amp;'Dev Ops'!P3)/12)),IF(YEAR(P$3)=YEAR('New Hires Forecast'!$Q$3),((SUMIFS('New Hires Forecast'!$Q$5:$Q$81,'New Hires Forecast'!$F$5:$F$81,"Dev Ops",'New Hires Forecast'!$H$5:$H$81,"&gt;="&amp;'Dev Ops'!P3,'New Hires Forecast'!$G$5:$G$81,"&lt;="&amp;'Dev Ops'!P3)/12)),IF(YEAR(P$3)=YEAR('New Hires Forecast'!$R$3),((SUMIFS('New Hires Forecast'!$R$5:$R$81,'New Hires Forecast'!$F$5:$F$81,"Dev Ops",'New Hires Forecast'!$H$5:$H$81,"&gt;="&amp;'Dev Ops'!P3,'New Hires Forecast'!$G$5:$G$81,"&lt;="&amp;'Dev Ops'!P3)/12))))))),0)</f>
        <v>0</v>
      </c>
      <c r="Q13" s="684">
        <f>IF(Q$4="forecast",IF(YEAR(Q$3)=YEAR('New Hires Forecast'!$N$3),((SUMIFS('New Hires Forecast'!$N$5:$N$81,'New Hires Forecast'!$F$5:$F$81,"Dev Ops",'New Hires Forecast'!$H$5:$H$81,"&gt;="&amp;'Dev Ops'!Q3,'New Hires Forecast'!$G$5:$G$81,"&lt;="&amp;'Dev Ops'!Q3)/12)),IF(YEAR(Q$3)=YEAR('New Hires Forecast'!$O$3),((SUMIFS('New Hires Forecast'!$O$5:$O$81,'New Hires Forecast'!$F$5:$F$81,"Dev Ops",'New Hires Forecast'!$H$5:$H$81,"&gt;="&amp;'Dev Ops'!Q3,'New Hires Forecast'!$G$5:$G$81,"&lt;="&amp;'Dev Ops'!Q3)/12)),IF(YEAR(Q$3)=YEAR('New Hires Forecast'!$P$3),((SUMIFS('New Hires Forecast'!$P$5:$P$81,'New Hires Forecast'!$F$5:$F$81,"Dev Ops",'New Hires Forecast'!$H$5:$H$81,"&gt;="&amp;'Dev Ops'!Q3,'New Hires Forecast'!$G$5:$G$81,"&lt;="&amp;'Dev Ops'!Q3)/12)),IF(YEAR(Q$3)=YEAR('New Hires Forecast'!$Q$3),((SUMIFS('New Hires Forecast'!$Q$5:$Q$81,'New Hires Forecast'!$F$5:$F$81,"Dev Ops",'New Hires Forecast'!$H$5:$H$81,"&gt;="&amp;'Dev Ops'!Q3,'New Hires Forecast'!$G$5:$G$81,"&lt;="&amp;'Dev Ops'!Q3)/12)),IF(YEAR(Q$3)=YEAR('New Hires Forecast'!$R$3),((SUMIFS('New Hires Forecast'!$R$5:$R$81,'New Hires Forecast'!$F$5:$F$81,"Dev Ops",'New Hires Forecast'!$H$5:$H$81,"&gt;="&amp;'Dev Ops'!Q3,'New Hires Forecast'!$G$5:$G$81,"&lt;="&amp;'Dev Ops'!Q3)/12))))))),0)</f>
        <v>0</v>
      </c>
      <c r="R13" s="684">
        <f>IF(R$4="forecast",IF(YEAR(R$3)=YEAR('New Hires Forecast'!$N$3),((SUMIFS('New Hires Forecast'!$N$5:$N$81,'New Hires Forecast'!$F$5:$F$81,"Dev Ops",'New Hires Forecast'!$H$5:$H$81,"&gt;="&amp;'Dev Ops'!R3,'New Hires Forecast'!$G$5:$G$81,"&lt;="&amp;'Dev Ops'!R3)/12)),IF(YEAR(R$3)=YEAR('New Hires Forecast'!$O$3),((SUMIFS('New Hires Forecast'!$O$5:$O$81,'New Hires Forecast'!$F$5:$F$81,"Dev Ops",'New Hires Forecast'!$H$5:$H$81,"&gt;="&amp;'Dev Ops'!R3,'New Hires Forecast'!$G$5:$G$81,"&lt;="&amp;'Dev Ops'!R3)/12)),IF(YEAR(R$3)=YEAR('New Hires Forecast'!$P$3),((SUMIFS('New Hires Forecast'!$P$5:$P$81,'New Hires Forecast'!$F$5:$F$81,"Dev Ops",'New Hires Forecast'!$H$5:$H$81,"&gt;="&amp;'Dev Ops'!R3,'New Hires Forecast'!$G$5:$G$81,"&lt;="&amp;'Dev Ops'!R3)/12)),IF(YEAR(R$3)=YEAR('New Hires Forecast'!$Q$3),((SUMIFS('New Hires Forecast'!$Q$5:$Q$81,'New Hires Forecast'!$F$5:$F$81,"Dev Ops",'New Hires Forecast'!$H$5:$H$81,"&gt;="&amp;'Dev Ops'!R3,'New Hires Forecast'!$G$5:$G$81,"&lt;="&amp;'Dev Ops'!R3)/12)),IF(YEAR(R$3)=YEAR('New Hires Forecast'!$R$3),((SUMIFS('New Hires Forecast'!$R$5:$R$81,'New Hires Forecast'!$F$5:$F$81,"Dev Ops",'New Hires Forecast'!$H$5:$H$81,"&gt;="&amp;'Dev Ops'!R3,'New Hires Forecast'!$G$5:$G$81,"&lt;="&amp;'Dev Ops'!R3)/12))))))),0)</f>
        <v>0</v>
      </c>
      <c r="S13" s="684">
        <f>IF(S$4="forecast",IF(YEAR(S$3)=YEAR('New Hires Forecast'!$N$3),((SUMIFS('New Hires Forecast'!$N$5:$N$81,'New Hires Forecast'!$F$5:$F$81,"Dev Ops",'New Hires Forecast'!$H$5:$H$81,"&gt;="&amp;'Dev Ops'!S3,'New Hires Forecast'!$G$5:$G$81,"&lt;="&amp;'Dev Ops'!S3)/12)),IF(YEAR(S$3)=YEAR('New Hires Forecast'!$O$3),((SUMIFS('New Hires Forecast'!$O$5:$O$81,'New Hires Forecast'!$F$5:$F$81,"Dev Ops",'New Hires Forecast'!$H$5:$H$81,"&gt;="&amp;'Dev Ops'!S3,'New Hires Forecast'!$G$5:$G$81,"&lt;="&amp;'Dev Ops'!S3)/12)),IF(YEAR(S$3)=YEAR('New Hires Forecast'!$P$3),((SUMIFS('New Hires Forecast'!$P$5:$P$81,'New Hires Forecast'!$F$5:$F$81,"Dev Ops",'New Hires Forecast'!$H$5:$H$81,"&gt;="&amp;'Dev Ops'!S3,'New Hires Forecast'!$G$5:$G$81,"&lt;="&amp;'Dev Ops'!S3)/12)),IF(YEAR(S$3)=YEAR('New Hires Forecast'!$Q$3),((SUMIFS('New Hires Forecast'!$Q$5:$Q$81,'New Hires Forecast'!$F$5:$F$81,"Dev Ops",'New Hires Forecast'!$H$5:$H$81,"&gt;="&amp;'Dev Ops'!S3,'New Hires Forecast'!$G$5:$G$81,"&lt;="&amp;'Dev Ops'!S3)/12)),IF(YEAR(S$3)=YEAR('New Hires Forecast'!$R$3),((SUMIFS('New Hires Forecast'!$R$5:$R$81,'New Hires Forecast'!$F$5:$F$81,"Dev Ops",'New Hires Forecast'!$H$5:$H$81,"&gt;="&amp;'Dev Ops'!S3,'New Hires Forecast'!$G$5:$G$81,"&lt;="&amp;'Dev Ops'!S3)/12))))))),0)</f>
        <v>0</v>
      </c>
      <c r="T13" s="684">
        <f>IF(T$4="forecast",IF(YEAR(T$3)=YEAR('New Hires Forecast'!$N$3),((SUMIFS('New Hires Forecast'!$N$5:$N$81,'New Hires Forecast'!$F$5:$F$81,"Dev Ops",'New Hires Forecast'!$H$5:$H$81,"&gt;="&amp;'Dev Ops'!T3,'New Hires Forecast'!$G$5:$G$81,"&lt;="&amp;'Dev Ops'!T3)/12)),IF(YEAR(T$3)=YEAR('New Hires Forecast'!$O$3),((SUMIFS('New Hires Forecast'!$O$5:$O$81,'New Hires Forecast'!$F$5:$F$81,"Dev Ops",'New Hires Forecast'!$H$5:$H$81,"&gt;="&amp;'Dev Ops'!T3,'New Hires Forecast'!$G$5:$G$81,"&lt;="&amp;'Dev Ops'!T3)/12)),IF(YEAR(T$3)=YEAR('New Hires Forecast'!$P$3),((SUMIFS('New Hires Forecast'!$P$5:$P$81,'New Hires Forecast'!$F$5:$F$81,"Dev Ops",'New Hires Forecast'!$H$5:$H$81,"&gt;="&amp;'Dev Ops'!T3,'New Hires Forecast'!$G$5:$G$81,"&lt;="&amp;'Dev Ops'!T3)/12)),IF(YEAR(T$3)=YEAR('New Hires Forecast'!$Q$3),((SUMIFS('New Hires Forecast'!$Q$5:$Q$81,'New Hires Forecast'!$F$5:$F$81,"Dev Ops",'New Hires Forecast'!$H$5:$H$81,"&gt;="&amp;'Dev Ops'!T3,'New Hires Forecast'!$G$5:$G$81,"&lt;="&amp;'Dev Ops'!T3)/12)),IF(YEAR(T$3)=YEAR('New Hires Forecast'!$R$3),((SUMIFS('New Hires Forecast'!$R$5:$R$81,'New Hires Forecast'!$F$5:$F$81,"Dev Ops",'New Hires Forecast'!$H$5:$H$81,"&gt;="&amp;'Dev Ops'!T3,'New Hires Forecast'!$G$5:$G$81,"&lt;="&amp;'Dev Ops'!T3)/12))))))),0)</f>
        <v>0</v>
      </c>
      <c r="U13" s="684">
        <f>IF(U$4="forecast",IF(YEAR(U$3)=YEAR('New Hires Forecast'!$N$3),((SUMIFS('New Hires Forecast'!$N$5:$N$81,'New Hires Forecast'!$F$5:$F$81,"Dev Ops",'New Hires Forecast'!$H$5:$H$81,"&gt;="&amp;'Dev Ops'!U3,'New Hires Forecast'!$G$5:$G$81,"&lt;="&amp;'Dev Ops'!U3)/12)),IF(YEAR(U$3)=YEAR('New Hires Forecast'!$O$3),((SUMIFS('New Hires Forecast'!$O$5:$O$81,'New Hires Forecast'!$F$5:$F$81,"Dev Ops",'New Hires Forecast'!$H$5:$H$81,"&gt;="&amp;'Dev Ops'!U3,'New Hires Forecast'!$G$5:$G$81,"&lt;="&amp;'Dev Ops'!U3)/12)),IF(YEAR(U$3)=YEAR('New Hires Forecast'!$P$3),((SUMIFS('New Hires Forecast'!$P$5:$P$81,'New Hires Forecast'!$F$5:$F$81,"Dev Ops",'New Hires Forecast'!$H$5:$H$81,"&gt;="&amp;'Dev Ops'!U3,'New Hires Forecast'!$G$5:$G$81,"&lt;="&amp;'Dev Ops'!U3)/12)),IF(YEAR(U$3)=YEAR('New Hires Forecast'!$Q$3),((SUMIFS('New Hires Forecast'!$Q$5:$Q$81,'New Hires Forecast'!$F$5:$F$81,"Dev Ops",'New Hires Forecast'!$H$5:$H$81,"&gt;="&amp;'Dev Ops'!U3,'New Hires Forecast'!$G$5:$G$81,"&lt;="&amp;'Dev Ops'!U3)/12)),IF(YEAR(U$3)=YEAR('New Hires Forecast'!$R$3),((SUMIFS('New Hires Forecast'!$R$5:$R$81,'New Hires Forecast'!$F$5:$F$81,"Dev Ops",'New Hires Forecast'!$H$5:$H$81,"&gt;="&amp;'Dev Ops'!U3,'New Hires Forecast'!$G$5:$G$81,"&lt;="&amp;'Dev Ops'!U3)/12))))))),0)</f>
        <v>0</v>
      </c>
      <c r="V13" s="684">
        <f>IF(V$4="forecast",IF(YEAR(V$3)=YEAR('New Hires Forecast'!$N$3),((SUMIFS('New Hires Forecast'!$N$5:$N$81,'New Hires Forecast'!$F$5:$F$81,"Dev Ops",'New Hires Forecast'!$H$5:$H$81,"&gt;="&amp;'Dev Ops'!V3,'New Hires Forecast'!$G$5:$G$81,"&lt;="&amp;'Dev Ops'!V3)/12)),IF(YEAR(V$3)=YEAR('New Hires Forecast'!$O$3),((SUMIFS('New Hires Forecast'!$O$5:$O$81,'New Hires Forecast'!$F$5:$F$81,"Dev Ops",'New Hires Forecast'!$H$5:$H$81,"&gt;="&amp;'Dev Ops'!V3,'New Hires Forecast'!$G$5:$G$81,"&lt;="&amp;'Dev Ops'!V3)/12)),IF(YEAR(V$3)=YEAR('New Hires Forecast'!$P$3),((SUMIFS('New Hires Forecast'!$P$5:$P$81,'New Hires Forecast'!$F$5:$F$81,"Dev Ops",'New Hires Forecast'!$H$5:$H$81,"&gt;="&amp;'Dev Ops'!V3,'New Hires Forecast'!$G$5:$G$81,"&lt;="&amp;'Dev Ops'!V3)/12)),IF(YEAR(V$3)=YEAR('New Hires Forecast'!$Q$3),((SUMIFS('New Hires Forecast'!$Q$5:$Q$81,'New Hires Forecast'!$F$5:$F$81,"Dev Ops",'New Hires Forecast'!$H$5:$H$81,"&gt;="&amp;'Dev Ops'!V3,'New Hires Forecast'!$G$5:$G$81,"&lt;="&amp;'Dev Ops'!V3)/12)),IF(YEAR(V$3)=YEAR('New Hires Forecast'!$R$3),((SUMIFS('New Hires Forecast'!$R$5:$R$81,'New Hires Forecast'!$F$5:$F$81,"Dev Ops",'New Hires Forecast'!$H$5:$H$81,"&gt;="&amp;'Dev Ops'!V3,'New Hires Forecast'!$G$5:$G$81,"&lt;="&amp;'Dev Ops'!V3)/12))))))),0)</f>
        <v>0</v>
      </c>
      <c r="W13" s="684">
        <f>IF(W$4="forecast",IF(YEAR(W$3)=YEAR('New Hires Forecast'!$N$3),((SUMIFS('New Hires Forecast'!$N$5:$N$81,'New Hires Forecast'!$F$5:$F$81,"Dev Ops",'New Hires Forecast'!$H$5:$H$81,"&gt;="&amp;'Dev Ops'!W3,'New Hires Forecast'!$G$5:$G$81,"&lt;="&amp;'Dev Ops'!W3)/12)),IF(YEAR(W$3)=YEAR('New Hires Forecast'!$O$3),((SUMIFS('New Hires Forecast'!$O$5:$O$81,'New Hires Forecast'!$F$5:$F$81,"Dev Ops",'New Hires Forecast'!$H$5:$H$81,"&gt;="&amp;'Dev Ops'!W3,'New Hires Forecast'!$G$5:$G$81,"&lt;="&amp;'Dev Ops'!W3)/12)),IF(YEAR(W$3)=YEAR('New Hires Forecast'!$P$3),((SUMIFS('New Hires Forecast'!$P$5:$P$81,'New Hires Forecast'!$F$5:$F$81,"Dev Ops",'New Hires Forecast'!$H$5:$H$81,"&gt;="&amp;'Dev Ops'!W3,'New Hires Forecast'!$G$5:$G$81,"&lt;="&amp;'Dev Ops'!W3)/12)),IF(YEAR(W$3)=YEAR('New Hires Forecast'!$Q$3),((SUMIFS('New Hires Forecast'!$Q$5:$Q$81,'New Hires Forecast'!$F$5:$F$81,"Dev Ops",'New Hires Forecast'!$H$5:$H$81,"&gt;="&amp;'Dev Ops'!W3,'New Hires Forecast'!$G$5:$G$81,"&lt;="&amp;'Dev Ops'!W3)/12)),IF(YEAR(W$3)=YEAR('New Hires Forecast'!$R$3),((SUMIFS('New Hires Forecast'!$R$5:$R$81,'New Hires Forecast'!$F$5:$F$81,"Dev Ops",'New Hires Forecast'!$H$5:$H$81,"&gt;="&amp;'Dev Ops'!W3,'New Hires Forecast'!$G$5:$G$81,"&lt;="&amp;'Dev Ops'!W3)/12))))))),0)</f>
        <v>0</v>
      </c>
      <c r="X13" s="684">
        <f>IF(X$4="forecast",IF(YEAR(X$3)=YEAR('New Hires Forecast'!$N$3),((SUMIFS('New Hires Forecast'!$N$5:$N$81,'New Hires Forecast'!$F$5:$F$81,"Dev Ops",'New Hires Forecast'!$H$5:$H$81,"&gt;="&amp;'Dev Ops'!X3,'New Hires Forecast'!$G$5:$G$81,"&lt;="&amp;'Dev Ops'!X3)/12)),IF(YEAR(X$3)=YEAR('New Hires Forecast'!$O$3),((SUMIFS('New Hires Forecast'!$O$5:$O$81,'New Hires Forecast'!$F$5:$F$81,"Dev Ops",'New Hires Forecast'!$H$5:$H$81,"&gt;="&amp;'Dev Ops'!X3,'New Hires Forecast'!$G$5:$G$81,"&lt;="&amp;'Dev Ops'!X3)/12)),IF(YEAR(X$3)=YEAR('New Hires Forecast'!$P$3),((SUMIFS('New Hires Forecast'!$P$5:$P$81,'New Hires Forecast'!$F$5:$F$81,"Dev Ops",'New Hires Forecast'!$H$5:$H$81,"&gt;="&amp;'Dev Ops'!X3,'New Hires Forecast'!$G$5:$G$81,"&lt;="&amp;'Dev Ops'!X3)/12)),IF(YEAR(X$3)=YEAR('New Hires Forecast'!$Q$3),((SUMIFS('New Hires Forecast'!$Q$5:$Q$81,'New Hires Forecast'!$F$5:$F$81,"Dev Ops",'New Hires Forecast'!$H$5:$H$81,"&gt;="&amp;'Dev Ops'!X3,'New Hires Forecast'!$G$5:$G$81,"&lt;="&amp;'Dev Ops'!X3)/12)),IF(YEAR(X$3)=YEAR('New Hires Forecast'!$R$3),((SUMIFS('New Hires Forecast'!$R$5:$R$81,'New Hires Forecast'!$F$5:$F$81,"Dev Ops",'New Hires Forecast'!$H$5:$H$81,"&gt;="&amp;'Dev Ops'!X3,'New Hires Forecast'!$G$5:$G$81,"&lt;="&amp;'Dev Ops'!X3)/12))))))),0)</f>
        <v>0</v>
      </c>
      <c r="Y13" s="684">
        <f>IF(Y$4="forecast",IF(YEAR(Y$3)=YEAR('New Hires Forecast'!$N$3),((SUMIFS('New Hires Forecast'!$N$5:$N$81,'New Hires Forecast'!$F$5:$F$81,"Dev Ops",'New Hires Forecast'!$H$5:$H$81,"&gt;="&amp;'Dev Ops'!Y3,'New Hires Forecast'!$G$5:$G$81,"&lt;="&amp;'Dev Ops'!Y3)/12)),IF(YEAR(Y$3)=YEAR('New Hires Forecast'!$O$3),((SUMIFS('New Hires Forecast'!$O$5:$O$81,'New Hires Forecast'!$F$5:$F$81,"Dev Ops",'New Hires Forecast'!$H$5:$H$81,"&gt;="&amp;'Dev Ops'!Y3,'New Hires Forecast'!$G$5:$G$81,"&lt;="&amp;'Dev Ops'!Y3)/12)),IF(YEAR(Y$3)=YEAR('New Hires Forecast'!$P$3),((SUMIFS('New Hires Forecast'!$P$5:$P$81,'New Hires Forecast'!$F$5:$F$81,"Dev Ops",'New Hires Forecast'!$H$5:$H$81,"&gt;="&amp;'Dev Ops'!Y3,'New Hires Forecast'!$G$5:$G$81,"&lt;="&amp;'Dev Ops'!Y3)/12)),IF(YEAR(Y$3)=YEAR('New Hires Forecast'!$Q$3),((SUMIFS('New Hires Forecast'!$Q$5:$Q$81,'New Hires Forecast'!$F$5:$F$81,"Dev Ops",'New Hires Forecast'!$H$5:$H$81,"&gt;="&amp;'Dev Ops'!Y3,'New Hires Forecast'!$G$5:$G$81,"&lt;="&amp;'Dev Ops'!Y3)/12)),IF(YEAR(Y$3)=YEAR('New Hires Forecast'!$R$3),((SUMIFS('New Hires Forecast'!$R$5:$R$81,'New Hires Forecast'!$F$5:$F$81,"Dev Ops",'New Hires Forecast'!$H$5:$H$81,"&gt;="&amp;'Dev Ops'!Y3,'New Hires Forecast'!$G$5:$G$81,"&lt;="&amp;'Dev Ops'!Y3)/12))))))),0)</f>
        <v>0</v>
      </c>
      <c r="Z13" s="684">
        <f>IF(Z$4="forecast",IF(YEAR(Z$3)=YEAR('New Hires Forecast'!$N$3),((SUMIFS('New Hires Forecast'!$N$5:$N$81,'New Hires Forecast'!$F$5:$F$81,"Dev Ops",'New Hires Forecast'!$H$5:$H$81,"&gt;="&amp;'Dev Ops'!Z3,'New Hires Forecast'!$G$5:$G$81,"&lt;="&amp;'Dev Ops'!Z3)/12)),IF(YEAR(Z$3)=YEAR('New Hires Forecast'!$O$3),((SUMIFS('New Hires Forecast'!$O$5:$O$81,'New Hires Forecast'!$F$5:$F$81,"Dev Ops",'New Hires Forecast'!$H$5:$H$81,"&gt;="&amp;'Dev Ops'!Z3,'New Hires Forecast'!$G$5:$G$81,"&lt;="&amp;'Dev Ops'!Z3)/12)),IF(YEAR(Z$3)=YEAR('New Hires Forecast'!$P$3),((SUMIFS('New Hires Forecast'!$P$5:$P$81,'New Hires Forecast'!$F$5:$F$81,"Dev Ops",'New Hires Forecast'!$H$5:$H$81,"&gt;="&amp;'Dev Ops'!Z3,'New Hires Forecast'!$G$5:$G$81,"&lt;="&amp;'Dev Ops'!Z3)/12)),IF(YEAR(Z$3)=YEAR('New Hires Forecast'!$Q$3),((SUMIFS('New Hires Forecast'!$Q$5:$Q$81,'New Hires Forecast'!$F$5:$F$81,"Dev Ops",'New Hires Forecast'!$H$5:$H$81,"&gt;="&amp;'Dev Ops'!Z3,'New Hires Forecast'!$G$5:$G$81,"&lt;="&amp;'Dev Ops'!Z3)/12)),IF(YEAR(Z$3)=YEAR('New Hires Forecast'!$R$3),((SUMIFS('New Hires Forecast'!$R$5:$R$81,'New Hires Forecast'!$F$5:$F$81,"Dev Ops",'New Hires Forecast'!$H$5:$H$81,"&gt;="&amp;'Dev Ops'!Z3,'New Hires Forecast'!$G$5:$G$81,"&lt;="&amp;'Dev Ops'!Z3)/12))))))),0)</f>
        <v>0</v>
      </c>
      <c r="AA13" s="684">
        <f>IF(AA$4="forecast",IF(YEAR(AA$3)=YEAR('New Hires Forecast'!$N$3),((SUMIFS('New Hires Forecast'!$N$5:$N$81,'New Hires Forecast'!$F$5:$F$81,"Dev Ops",'New Hires Forecast'!$H$5:$H$81,"&gt;="&amp;'Dev Ops'!AA3,'New Hires Forecast'!$G$5:$G$81,"&lt;="&amp;'Dev Ops'!AA3)/12)),IF(YEAR(AA$3)=YEAR('New Hires Forecast'!$O$3),((SUMIFS('New Hires Forecast'!$O$5:$O$81,'New Hires Forecast'!$F$5:$F$81,"Dev Ops",'New Hires Forecast'!$H$5:$H$81,"&gt;="&amp;'Dev Ops'!AA3,'New Hires Forecast'!$G$5:$G$81,"&lt;="&amp;'Dev Ops'!AA3)/12)),IF(YEAR(AA$3)=YEAR('New Hires Forecast'!$P$3),((SUMIFS('New Hires Forecast'!$P$5:$P$81,'New Hires Forecast'!$F$5:$F$81,"Dev Ops",'New Hires Forecast'!$H$5:$H$81,"&gt;="&amp;'Dev Ops'!AA3,'New Hires Forecast'!$G$5:$G$81,"&lt;="&amp;'Dev Ops'!AA3)/12)),IF(YEAR(AA$3)=YEAR('New Hires Forecast'!$Q$3),((SUMIFS('New Hires Forecast'!$Q$5:$Q$81,'New Hires Forecast'!$F$5:$F$81,"Dev Ops",'New Hires Forecast'!$H$5:$H$81,"&gt;="&amp;'Dev Ops'!AA3,'New Hires Forecast'!$G$5:$G$81,"&lt;="&amp;'Dev Ops'!AA3)/12)),IF(YEAR(AA$3)=YEAR('New Hires Forecast'!$R$3),((SUMIFS('New Hires Forecast'!$R$5:$R$81,'New Hires Forecast'!$F$5:$F$81,"Dev Ops",'New Hires Forecast'!$H$5:$H$81,"&gt;="&amp;'Dev Ops'!AA3,'New Hires Forecast'!$G$5:$G$81,"&lt;="&amp;'Dev Ops'!AA3)/12))))))),0)</f>
        <v>0</v>
      </c>
      <c r="AB13" s="684">
        <f>IF(AB$4="forecast",IF(YEAR(AB$3)=YEAR('New Hires Forecast'!$N$3),((SUMIFS('New Hires Forecast'!$N$5:$N$81,'New Hires Forecast'!$F$5:$F$81,"Dev Ops",'New Hires Forecast'!$H$5:$H$81,"&gt;="&amp;'Dev Ops'!AB3,'New Hires Forecast'!$G$5:$G$81,"&lt;="&amp;'Dev Ops'!AB3)/12)),IF(YEAR(AB$3)=YEAR('New Hires Forecast'!$O$3),((SUMIFS('New Hires Forecast'!$O$5:$O$81,'New Hires Forecast'!$F$5:$F$81,"Dev Ops",'New Hires Forecast'!$H$5:$H$81,"&gt;="&amp;'Dev Ops'!AB3,'New Hires Forecast'!$G$5:$G$81,"&lt;="&amp;'Dev Ops'!AB3)/12)),IF(YEAR(AB$3)=YEAR('New Hires Forecast'!$P$3),((SUMIFS('New Hires Forecast'!$P$5:$P$81,'New Hires Forecast'!$F$5:$F$81,"Dev Ops",'New Hires Forecast'!$H$5:$H$81,"&gt;="&amp;'Dev Ops'!AB3,'New Hires Forecast'!$G$5:$G$81,"&lt;="&amp;'Dev Ops'!AB3)/12)),IF(YEAR(AB$3)=YEAR('New Hires Forecast'!$Q$3),((SUMIFS('New Hires Forecast'!$Q$5:$Q$81,'New Hires Forecast'!$F$5:$F$81,"Dev Ops",'New Hires Forecast'!$H$5:$H$81,"&gt;="&amp;'Dev Ops'!AB3,'New Hires Forecast'!$G$5:$G$81,"&lt;="&amp;'Dev Ops'!AB3)/12)),IF(YEAR(AB$3)=YEAR('New Hires Forecast'!$R$3),((SUMIFS('New Hires Forecast'!$R$5:$R$81,'New Hires Forecast'!$F$5:$F$81,"Dev Ops",'New Hires Forecast'!$H$5:$H$81,"&gt;="&amp;'Dev Ops'!AB3,'New Hires Forecast'!$G$5:$G$81,"&lt;="&amp;'Dev Ops'!AB3)/12))))))),0)</f>
        <v>0</v>
      </c>
      <c r="AC13" s="684">
        <f>IF(AC$4="forecast",IF(YEAR(AC$3)=YEAR('New Hires Forecast'!$N$3),((SUMIFS('New Hires Forecast'!$N$5:$N$81,'New Hires Forecast'!$F$5:$F$81,"Dev Ops",'New Hires Forecast'!$H$5:$H$81,"&gt;="&amp;'Dev Ops'!AC3,'New Hires Forecast'!$G$5:$G$81,"&lt;="&amp;'Dev Ops'!AC3)/12)),IF(YEAR(AC$3)=YEAR('New Hires Forecast'!$O$3),((SUMIFS('New Hires Forecast'!$O$5:$O$81,'New Hires Forecast'!$F$5:$F$81,"Dev Ops",'New Hires Forecast'!$H$5:$H$81,"&gt;="&amp;'Dev Ops'!AC3,'New Hires Forecast'!$G$5:$G$81,"&lt;="&amp;'Dev Ops'!AC3)/12)),IF(YEAR(AC$3)=YEAR('New Hires Forecast'!$P$3),((SUMIFS('New Hires Forecast'!$P$5:$P$81,'New Hires Forecast'!$F$5:$F$81,"Dev Ops",'New Hires Forecast'!$H$5:$H$81,"&gt;="&amp;'Dev Ops'!AC3,'New Hires Forecast'!$G$5:$G$81,"&lt;="&amp;'Dev Ops'!AC3)/12)),IF(YEAR(AC$3)=YEAR('New Hires Forecast'!$Q$3),((SUMIFS('New Hires Forecast'!$Q$5:$Q$81,'New Hires Forecast'!$F$5:$F$81,"Dev Ops",'New Hires Forecast'!$H$5:$H$81,"&gt;="&amp;'Dev Ops'!AC3,'New Hires Forecast'!$G$5:$G$81,"&lt;="&amp;'Dev Ops'!AC3)/12)),IF(YEAR(AC$3)=YEAR('New Hires Forecast'!$R$3),((SUMIFS('New Hires Forecast'!$R$5:$R$81,'New Hires Forecast'!$F$5:$F$81,"Dev Ops",'New Hires Forecast'!$H$5:$H$81,"&gt;="&amp;'Dev Ops'!AC3,'New Hires Forecast'!$G$5:$G$81,"&lt;="&amp;'Dev Ops'!AC3)/12))))))),0)</f>
        <v>0</v>
      </c>
      <c r="AD13" s="684">
        <f>IF(AD$4="forecast",IF(YEAR(AD$3)=YEAR('New Hires Forecast'!$N$3),((SUMIFS('New Hires Forecast'!$N$5:$N$81,'New Hires Forecast'!$F$5:$F$81,"Dev Ops",'New Hires Forecast'!$H$5:$H$81,"&gt;="&amp;'Dev Ops'!AD3,'New Hires Forecast'!$G$5:$G$81,"&lt;="&amp;'Dev Ops'!AD3)/12)),IF(YEAR(AD$3)=YEAR('New Hires Forecast'!$O$3),((SUMIFS('New Hires Forecast'!$O$5:$O$81,'New Hires Forecast'!$F$5:$F$81,"Dev Ops",'New Hires Forecast'!$H$5:$H$81,"&gt;="&amp;'Dev Ops'!AD3,'New Hires Forecast'!$G$5:$G$81,"&lt;="&amp;'Dev Ops'!AD3)/12)),IF(YEAR(AD$3)=YEAR('New Hires Forecast'!$P$3),((SUMIFS('New Hires Forecast'!$P$5:$P$81,'New Hires Forecast'!$F$5:$F$81,"Dev Ops",'New Hires Forecast'!$H$5:$H$81,"&gt;="&amp;'Dev Ops'!AD3,'New Hires Forecast'!$G$5:$G$81,"&lt;="&amp;'Dev Ops'!AD3)/12)),IF(YEAR(AD$3)=YEAR('New Hires Forecast'!$Q$3),((SUMIFS('New Hires Forecast'!$Q$5:$Q$81,'New Hires Forecast'!$F$5:$F$81,"Dev Ops",'New Hires Forecast'!$H$5:$H$81,"&gt;="&amp;'Dev Ops'!AD3,'New Hires Forecast'!$G$5:$G$81,"&lt;="&amp;'Dev Ops'!AD3)/12)),IF(YEAR(AD$3)=YEAR('New Hires Forecast'!$R$3),((SUMIFS('New Hires Forecast'!$R$5:$R$81,'New Hires Forecast'!$F$5:$F$81,"Dev Ops",'New Hires Forecast'!$H$5:$H$81,"&gt;="&amp;'Dev Ops'!AD3,'New Hires Forecast'!$G$5:$G$81,"&lt;="&amp;'Dev Ops'!AD3)/12))))))),0)</f>
        <v>0</v>
      </c>
      <c r="AE13" s="684">
        <f>IF(AE$4="forecast",IF(YEAR(AE$3)=YEAR('New Hires Forecast'!$N$3),((SUMIFS('New Hires Forecast'!$N$5:$N$81,'New Hires Forecast'!$F$5:$F$81,"Dev Ops",'New Hires Forecast'!$H$5:$H$81,"&gt;="&amp;'Dev Ops'!AE3,'New Hires Forecast'!$G$5:$G$81,"&lt;="&amp;'Dev Ops'!AE3)/12)),IF(YEAR(AE$3)=YEAR('New Hires Forecast'!$O$3),((SUMIFS('New Hires Forecast'!$O$5:$O$81,'New Hires Forecast'!$F$5:$F$81,"Dev Ops",'New Hires Forecast'!$H$5:$H$81,"&gt;="&amp;'Dev Ops'!AE3,'New Hires Forecast'!$G$5:$G$81,"&lt;="&amp;'Dev Ops'!AE3)/12)),IF(YEAR(AE$3)=YEAR('New Hires Forecast'!$P$3),((SUMIFS('New Hires Forecast'!$P$5:$P$81,'New Hires Forecast'!$F$5:$F$81,"Dev Ops",'New Hires Forecast'!$H$5:$H$81,"&gt;="&amp;'Dev Ops'!AE3,'New Hires Forecast'!$G$5:$G$81,"&lt;="&amp;'Dev Ops'!AE3)/12)),IF(YEAR(AE$3)=YEAR('New Hires Forecast'!$Q$3),((SUMIFS('New Hires Forecast'!$Q$5:$Q$81,'New Hires Forecast'!$F$5:$F$81,"Dev Ops",'New Hires Forecast'!$H$5:$H$81,"&gt;="&amp;'Dev Ops'!AE3,'New Hires Forecast'!$G$5:$G$81,"&lt;="&amp;'Dev Ops'!AE3)/12)),IF(YEAR(AE$3)=YEAR('New Hires Forecast'!$R$3),((SUMIFS('New Hires Forecast'!$R$5:$R$81,'New Hires Forecast'!$F$5:$F$81,"Dev Ops",'New Hires Forecast'!$H$5:$H$81,"&gt;="&amp;'Dev Ops'!AE3,'New Hires Forecast'!$G$5:$G$81,"&lt;="&amp;'Dev Ops'!AE3)/12))))))),0)</f>
        <v>0</v>
      </c>
      <c r="AF13" s="684">
        <f>IF(AF$4="forecast",IF(YEAR(AF$3)=YEAR('New Hires Forecast'!$N$3),((SUMIFS('New Hires Forecast'!$N$5:$N$81,'New Hires Forecast'!$F$5:$F$81,"Dev Ops",'New Hires Forecast'!$H$5:$H$81,"&gt;="&amp;'Dev Ops'!AF3,'New Hires Forecast'!$G$5:$G$81,"&lt;="&amp;'Dev Ops'!AF3)/12)),IF(YEAR(AF$3)=YEAR('New Hires Forecast'!$O$3),((SUMIFS('New Hires Forecast'!$O$5:$O$81,'New Hires Forecast'!$F$5:$F$81,"Dev Ops",'New Hires Forecast'!$H$5:$H$81,"&gt;="&amp;'Dev Ops'!AF3,'New Hires Forecast'!$G$5:$G$81,"&lt;="&amp;'Dev Ops'!AF3)/12)),IF(YEAR(AF$3)=YEAR('New Hires Forecast'!$P$3),((SUMIFS('New Hires Forecast'!$P$5:$P$81,'New Hires Forecast'!$F$5:$F$81,"Dev Ops",'New Hires Forecast'!$H$5:$H$81,"&gt;="&amp;'Dev Ops'!AF3,'New Hires Forecast'!$G$5:$G$81,"&lt;="&amp;'Dev Ops'!AF3)/12)),IF(YEAR(AF$3)=YEAR('New Hires Forecast'!$Q$3),((SUMIFS('New Hires Forecast'!$Q$5:$Q$81,'New Hires Forecast'!$F$5:$F$81,"Dev Ops",'New Hires Forecast'!$H$5:$H$81,"&gt;="&amp;'Dev Ops'!AF3,'New Hires Forecast'!$G$5:$G$81,"&lt;="&amp;'Dev Ops'!AF3)/12)),IF(YEAR(AF$3)=YEAR('New Hires Forecast'!$R$3),((SUMIFS('New Hires Forecast'!$R$5:$R$81,'New Hires Forecast'!$F$5:$F$81,"Dev Ops",'New Hires Forecast'!$H$5:$H$81,"&gt;="&amp;'Dev Ops'!AF3,'New Hires Forecast'!$G$5:$G$81,"&lt;="&amp;'Dev Ops'!AF3)/12))))))),0)</f>
        <v>0</v>
      </c>
      <c r="AG13" s="684">
        <f>IF(AG$4="forecast",IF(YEAR(AG$3)=YEAR('New Hires Forecast'!$N$3),((SUMIFS('New Hires Forecast'!$N$5:$N$81,'New Hires Forecast'!$F$5:$F$81,"Dev Ops",'New Hires Forecast'!$H$5:$H$81,"&gt;="&amp;'Dev Ops'!AG3,'New Hires Forecast'!$G$5:$G$81,"&lt;="&amp;'Dev Ops'!AG3)/12)),IF(YEAR(AG$3)=YEAR('New Hires Forecast'!$O$3),((SUMIFS('New Hires Forecast'!$O$5:$O$81,'New Hires Forecast'!$F$5:$F$81,"Dev Ops",'New Hires Forecast'!$H$5:$H$81,"&gt;="&amp;'Dev Ops'!AG3,'New Hires Forecast'!$G$5:$G$81,"&lt;="&amp;'Dev Ops'!AG3)/12)),IF(YEAR(AG$3)=YEAR('New Hires Forecast'!$P$3),((SUMIFS('New Hires Forecast'!$P$5:$P$81,'New Hires Forecast'!$F$5:$F$81,"Dev Ops",'New Hires Forecast'!$H$5:$H$81,"&gt;="&amp;'Dev Ops'!AG3,'New Hires Forecast'!$G$5:$G$81,"&lt;="&amp;'Dev Ops'!AG3)/12)),IF(YEAR(AG$3)=YEAR('New Hires Forecast'!$Q$3),((SUMIFS('New Hires Forecast'!$Q$5:$Q$81,'New Hires Forecast'!$F$5:$F$81,"Dev Ops",'New Hires Forecast'!$H$5:$H$81,"&gt;="&amp;'Dev Ops'!AG3,'New Hires Forecast'!$G$5:$G$81,"&lt;="&amp;'Dev Ops'!AG3)/12)),IF(YEAR(AG$3)=YEAR('New Hires Forecast'!$R$3),((SUMIFS('New Hires Forecast'!$R$5:$R$81,'New Hires Forecast'!$F$5:$F$81,"Dev Ops",'New Hires Forecast'!$H$5:$H$81,"&gt;="&amp;'Dev Ops'!AG3,'New Hires Forecast'!$G$5:$G$81,"&lt;="&amp;'Dev Ops'!AG3)/12))))))),0)</f>
        <v>0</v>
      </c>
      <c r="AH13" s="684">
        <f>IF(AH$4="forecast",IF(YEAR(AH$3)=YEAR('New Hires Forecast'!$N$3),((SUMIFS('New Hires Forecast'!$N$5:$N$81,'New Hires Forecast'!$F$5:$F$81,"Dev Ops",'New Hires Forecast'!$H$5:$H$81,"&gt;="&amp;'Dev Ops'!AH3,'New Hires Forecast'!$G$5:$G$81,"&lt;="&amp;'Dev Ops'!AH3)/12)),IF(YEAR(AH$3)=YEAR('New Hires Forecast'!$O$3),((SUMIFS('New Hires Forecast'!$O$5:$O$81,'New Hires Forecast'!$F$5:$F$81,"Dev Ops",'New Hires Forecast'!$H$5:$H$81,"&gt;="&amp;'Dev Ops'!AH3,'New Hires Forecast'!$G$5:$G$81,"&lt;="&amp;'Dev Ops'!AH3)/12)),IF(YEAR(AH$3)=YEAR('New Hires Forecast'!$P$3),((SUMIFS('New Hires Forecast'!$P$5:$P$81,'New Hires Forecast'!$F$5:$F$81,"Dev Ops",'New Hires Forecast'!$H$5:$H$81,"&gt;="&amp;'Dev Ops'!AH3,'New Hires Forecast'!$G$5:$G$81,"&lt;="&amp;'Dev Ops'!AH3)/12)),IF(YEAR(AH$3)=YEAR('New Hires Forecast'!$Q$3),((SUMIFS('New Hires Forecast'!$Q$5:$Q$81,'New Hires Forecast'!$F$5:$F$81,"Dev Ops",'New Hires Forecast'!$H$5:$H$81,"&gt;="&amp;'Dev Ops'!AH3,'New Hires Forecast'!$G$5:$G$81,"&lt;="&amp;'Dev Ops'!AH3)/12)),IF(YEAR(AH$3)=YEAR('New Hires Forecast'!$R$3),((SUMIFS('New Hires Forecast'!$R$5:$R$81,'New Hires Forecast'!$F$5:$F$81,"Dev Ops",'New Hires Forecast'!$H$5:$H$81,"&gt;="&amp;'Dev Ops'!AH3,'New Hires Forecast'!$G$5:$G$81,"&lt;="&amp;'Dev Ops'!AH3)/12))))))),0)</f>
        <v>0</v>
      </c>
      <c r="AI13" s="684">
        <f>IF(AI$4="forecast",IF(YEAR(AI$3)=YEAR('New Hires Forecast'!$N$3),((SUMIFS('New Hires Forecast'!$N$5:$N$81,'New Hires Forecast'!$F$5:$F$81,"Dev Ops",'New Hires Forecast'!$H$5:$H$81,"&gt;="&amp;'Dev Ops'!AI3,'New Hires Forecast'!$G$5:$G$81,"&lt;="&amp;'Dev Ops'!AI3)/12)),IF(YEAR(AI$3)=YEAR('New Hires Forecast'!$O$3),((SUMIFS('New Hires Forecast'!$O$5:$O$81,'New Hires Forecast'!$F$5:$F$81,"Dev Ops",'New Hires Forecast'!$H$5:$H$81,"&gt;="&amp;'Dev Ops'!AI3,'New Hires Forecast'!$G$5:$G$81,"&lt;="&amp;'Dev Ops'!AI3)/12)),IF(YEAR(AI$3)=YEAR('New Hires Forecast'!$P$3),((SUMIFS('New Hires Forecast'!$P$5:$P$81,'New Hires Forecast'!$F$5:$F$81,"Dev Ops",'New Hires Forecast'!$H$5:$H$81,"&gt;="&amp;'Dev Ops'!AI3,'New Hires Forecast'!$G$5:$G$81,"&lt;="&amp;'Dev Ops'!AI3)/12)),IF(YEAR(AI$3)=YEAR('New Hires Forecast'!$Q$3),((SUMIFS('New Hires Forecast'!$Q$5:$Q$81,'New Hires Forecast'!$F$5:$F$81,"Dev Ops",'New Hires Forecast'!$H$5:$H$81,"&gt;="&amp;'Dev Ops'!AI3,'New Hires Forecast'!$G$5:$G$81,"&lt;="&amp;'Dev Ops'!AI3)/12)),IF(YEAR(AI$3)=YEAR('New Hires Forecast'!$R$3),((SUMIFS('New Hires Forecast'!$R$5:$R$81,'New Hires Forecast'!$F$5:$F$81,"Dev Ops",'New Hires Forecast'!$H$5:$H$81,"&gt;="&amp;'Dev Ops'!AI3,'New Hires Forecast'!$G$5:$G$81,"&lt;="&amp;'Dev Ops'!AI3)/12))))))),0)</f>
        <v>0</v>
      </c>
      <c r="AJ13" s="684">
        <f>IF(AJ$4="forecast",IF(YEAR(AJ$3)=YEAR('New Hires Forecast'!$N$3),((SUMIFS('New Hires Forecast'!$N$5:$N$81,'New Hires Forecast'!$F$5:$F$81,"Dev Ops",'New Hires Forecast'!$H$5:$H$81,"&gt;="&amp;'Dev Ops'!AJ3,'New Hires Forecast'!$G$5:$G$81,"&lt;="&amp;'Dev Ops'!AJ3)/12)),IF(YEAR(AJ$3)=YEAR('New Hires Forecast'!$O$3),((SUMIFS('New Hires Forecast'!$O$5:$O$81,'New Hires Forecast'!$F$5:$F$81,"Dev Ops",'New Hires Forecast'!$H$5:$H$81,"&gt;="&amp;'Dev Ops'!AJ3,'New Hires Forecast'!$G$5:$G$81,"&lt;="&amp;'Dev Ops'!AJ3)/12)),IF(YEAR(AJ$3)=YEAR('New Hires Forecast'!$P$3),((SUMIFS('New Hires Forecast'!$P$5:$P$81,'New Hires Forecast'!$F$5:$F$81,"Dev Ops",'New Hires Forecast'!$H$5:$H$81,"&gt;="&amp;'Dev Ops'!AJ3,'New Hires Forecast'!$G$5:$G$81,"&lt;="&amp;'Dev Ops'!AJ3)/12)),IF(YEAR(AJ$3)=YEAR('New Hires Forecast'!$Q$3),((SUMIFS('New Hires Forecast'!$Q$5:$Q$81,'New Hires Forecast'!$F$5:$F$81,"Dev Ops",'New Hires Forecast'!$H$5:$H$81,"&gt;="&amp;'Dev Ops'!AJ3,'New Hires Forecast'!$G$5:$G$81,"&lt;="&amp;'Dev Ops'!AJ3)/12)),IF(YEAR(AJ$3)=YEAR('New Hires Forecast'!$R$3),((SUMIFS('New Hires Forecast'!$R$5:$R$81,'New Hires Forecast'!$F$5:$F$81,"Dev Ops",'New Hires Forecast'!$H$5:$H$81,"&gt;="&amp;'Dev Ops'!AJ3,'New Hires Forecast'!$G$5:$G$81,"&lt;="&amp;'Dev Ops'!AJ3)/12))))))),0)</f>
        <v>0</v>
      </c>
      <c r="AK13" s="684">
        <f>IF(AK$4="forecast",IF(YEAR(AK$3)=YEAR('New Hires Forecast'!$N$3),((SUMIFS('New Hires Forecast'!$N$5:$N$81,'New Hires Forecast'!$F$5:$F$81,"Dev Ops",'New Hires Forecast'!$H$5:$H$81,"&gt;="&amp;'Dev Ops'!AK3,'New Hires Forecast'!$G$5:$G$81,"&lt;="&amp;'Dev Ops'!AK3)/12)),IF(YEAR(AK$3)=YEAR('New Hires Forecast'!$O$3),((SUMIFS('New Hires Forecast'!$O$5:$O$81,'New Hires Forecast'!$F$5:$F$81,"Dev Ops",'New Hires Forecast'!$H$5:$H$81,"&gt;="&amp;'Dev Ops'!AK3,'New Hires Forecast'!$G$5:$G$81,"&lt;="&amp;'Dev Ops'!AK3)/12)),IF(YEAR(AK$3)=YEAR('New Hires Forecast'!$P$3),((SUMIFS('New Hires Forecast'!$P$5:$P$81,'New Hires Forecast'!$F$5:$F$81,"Dev Ops",'New Hires Forecast'!$H$5:$H$81,"&gt;="&amp;'Dev Ops'!AK3,'New Hires Forecast'!$G$5:$G$81,"&lt;="&amp;'Dev Ops'!AK3)/12)),IF(YEAR(AK$3)=YEAR('New Hires Forecast'!$Q$3),((SUMIFS('New Hires Forecast'!$Q$5:$Q$81,'New Hires Forecast'!$F$5:$F$81,"Dev Ops",'New Hires Forecast'!$H$5:$H$81,"&gt;="&amp;'Dev Ops'!AK3,'New Hires Forecast'!$G$5:$G$81,"&lt;="&amp;'Dev Ops'!AK3)/12)),IF(YEAR(AK$3)=YEAR('New Hires Forecast'!$R$3),((SUMIFS('New Hires Forecast'!$R$5:$R$81,'New Hires Forecast'!$F$5:$F$81,"Dev Ops",'New Hires Forecast'!$H$5:$H$81,"&gt;="&amp;'Dev Ops'!AK3,'New Hires Forecast'!$G$5:$G$81,"&lt;="&amp;'Dev Ops'!AK3)/12))))))),0)</f>
        <v>0</v>
      </c>
      <c r="AL13" s="684">
        <f>IF(AL$4="forecast",IF(YEAR(AL$3)=YEAR('New Hires Forecast'!$N$3),((SUMIFS('New Hires Forecast'!$N$5:$N$81,'New Hires Forecast'!$F$5:$F$81,"Dev Ops",'New Hires Forecast'!$H$5:$H$81,"&gt;="&amp;'Dev Ops'!AL3,'New Hires Forecast'!$G$5:$G$81,"&lt;="&amp;'Dev Ops'!AL3)/12)),IF(YEAR(AL$3)=YEAR('New Hires Forecast'!$O$3),((SUMIFS('New Hires Forecast'!$O$5:$O$81,'New Hires Forecast'!$F$5:$F$81,"Dev Ops",'New Hires Forecast'!$H$5:$H$81,"&gt;="&amp;'Dev Ops'!AL3,'New Hires Forecast'!$G$5:$G$81,"&lt;="&amp;'Dev Ops'!AL3)/12)),IF(YEAR(AL$3)=YEAR('New Hires Forecast'!$P$3),((SUMIFS('New Hires Forecast'!$P$5:$P$81,'New Hires Forecast'!$F$5:$F$81,"Dev Ops",'New Hires Forecast'!$H$5:$H$81,"&gt;="&amp;'Dev Ops'!AL3,'New Hires Forecast'!$G$5:$G$81,"&lt;="&amp;'Dev Ops'!AL3)/12)),IF(YEAR(AL$3)=YEAR('New Hires Forecast'!$Q$3),((SUMIFS('New Hires Forecast'!$Q$5:$Q$81,'New Hires Forecast'!$F$5:$F$81,"Dev Ops",'New Hires Forecast'!$H$5:$H$81,"&gt;="&amp;'Dev Ops'!AL3,'New Hires Forecast'!$G$5:$G$81,"&lt;="&amp;'Dev Ops'!AL3)/12)),IF(YEAR(AL$3)=YEAR('New Hires Forecast'!$R$3),((SUMIFS('New Hires Forecast'!$R$5:$R$81,'New Hires Forecast'!$F$5:$F$81,"Dev Ops",'New Hires Forecast'!$H$5:$H$81,"&gt;="&amp;'Dev Ops'!AL3,'New Hires Forecast'!$G$5:$G$81,"&lt;="&amp;'Dev Ops'!AL3)/12))))))),0)</f>
        <v>0</v>
      </c>
      <c r="AM13" s="684">
        <f>IF(AM$4="forecast",IF(YEAR(AM$3)=YEAR('New Hires Forecast'!$N$3),((SUMIFS('New Hires Forecast'!$N$5:$N$81,'New Hires Forecast'!$F$5:$F$81,"Dev Ops",'New Hires Forecast'!$H$5:$H$81,"&gt;="&amp;'Dev Ops'!AM3,'New Hires Forecast'!$G$5:$G$81,"&lt;="&amp;'Dev Ops'!AM3)/12)),IF(YEAR(AM$3)=YEAR('New Hires Forecast'!$O$3),((SUMIFS('New Hires Forecast'!$O$5:$O$81,'New Hires Forecast'!$F$5:$F$81,"Dev Ops",'New Hires Forecast'!$H$5:$H$81,"&gt;="&amp;'Dev Ops'!AM3,'New Hires Forecast'!$G$5:$G$81,"&lt;="&amp;'Dev Ops'!AM3)/12)),IF(YEAR(AM$3)=YEAR('New Hires Forecast'!$P$3),((SUMIFS('New Hires Forecast'!$P$5:$P$81,'New Hires Forecast'!$F$5:$F$81,"Dev Ops",'New Hires Forecast'!$H$5:$H$81,"&gt;="&amp;'Dev Ops'!AM3,'New Hires Forecast'!$G$5:$G$81,"&lt;="&amp;'Dev Ops'!AM3)/12)),IF(YEAR(AM$3)=YEAR('New Hires Forecast'!$Q$3),((SUMIFS('New Hires Forecast'!$Q$5:$Q$81,'New Hires Forecast'!$F$5:$F$81,"Dev Ops",'New Hires Forecast'!$H$5:$H$81,"&gt;="&amp;'Dev Ops'!AM3,'New Hires Forecast'!$G$5:$G$81,"&lt;="&amp;'Dev Ops'!AM3)/12)),IF(YEAR(AM$3)=YEAR('New Hires Forecast'!$R$3),((SUMIFS('New Hires Forecast'!$R$5:$R$81,'New Hires Forecast'!$F$5:$F$81,"Dev Ops",'New Hires Forecast'!$H$5:$H$81,"&gt;="&amp;'Dev Ops'!AM3,'New Hires Forecast'!$G$5:$G$81,"&lt;="&amp;'Dev Ops'!AM3)/12))))))),0)</f>
        <v>0</v>
      </c>
      <c r="AN13" s="684">
        <f>IF(AN$4="forecast",IF(YEAR(AN$3)=YEAR('New Hires Forecast'!$N$3),((SUMIFS('New Hires Forecast'!$N$5:$N$81,'New Hires Forecast'!$F$5:$F$81,"Dev Ops",'New Hires Forecast'!$H$5:$H$81,"&gt;="&amp;'Dev Ops'!AN3,'New Hires Forecast'!$G$5:$G$81,"&lt;="&amp;'Dev Ops'!AN3)/12)),IF(YEAR(AN$3)=YEAR('New Hires Forecast'!$O$3),((SUMIFS('New Hires Forecast'!$O$5:$O$81,'New Hires Forecast'!$F$5:$F$81,"Dev Ops",'New Hires Forecast'!$H$5:$H$81,"&gt;="&amp;'Dev Ops'!AN3,'New Hires Forecast'!$G$5:$G$81,"&lt;="&amp;'Dev Ops'!AN3)/12)),IF(YEAR(AN$3)=YEAR('New Hires Forecast'!$P$3),((SUMIFS('New Hires Forecast'!$P$5:$P$81,'New Hires Forecast'!$F$5:$F$81,"Dev Ops",'New Hires Forecast'!$H$5:$H$81,"&gt;="&amp;'Dev Ops'!AN3,'New Hires Forecast'!$G$5:$G$81,"&lt;="&amp;'Dev Ops'!AN3)/12)),IF(YEAR(AN$3)=YEAR('New Hires Forecast'!$Q$3),((SUMIFS('New Hires Forecast'!$Q$5:$Q$81,'New Hires Forecast'!$F$5:$F$81,"Dev Ops",'New Hires Forecast'!$H$5:$H$81,"&gt;="&amp;'Dev Ops'!AN3,'New Hires Forecast'!$G$5:$G$81,"&lt;="&amp;'Dev Ops'!AN3)/12)),IF(YEAR(AN$3)=YEAR('New Hires Forecast'!$R$3),((SUMIFS('New Hires Forecast'!$R$5:$R$81,'New Hires Forecast'!$F$5:$F$81,"Dev Ops",'New Hires Forecast'!$H$5:$H$81,"&gt;="&amp;'Dev Ops'!AN3,'New Hires Forecast'!$G$5:$G$81,"&lt;="&amp;'Dev Ops'!AN3)/12))))))),0)</f>
        <v>0</v>
      </c>
      <c r="AO13" s="684">
        <f>IF(AO$4="forecast",IF(YEAR(AO$3)=YEAR('New Hires Forecast'!$N$3),((SUMIFS('New Hires Forecast'!$N$5:$N$81,'New Hires Forecast'!$F$5:$F$81,"Dev Ops",'New Hires Forecast'!$H$5:$H$81,"&gt;="&amp;'Dev Ops'!AO3,'New Hires Forecast'!$G$5:$G$81,"&lt;="&amp;'Dev Ops'!AO3)/12)),IF(YEAR(AO$3)=YEAR('New Hires Forecast'!$O$3),((SUMIFS('New Hires Forecast'!$O$5:$O$81,'New Hires Forecast'!$F$5:$F$81,"Dev Ops",'New Hires Forecast'!$H$5:$H$81,"&gt;="&amp;'Dev Ops'!AO3,'New Hires Forecast'!$G$5:$G$81,"&lt;="&amp;'Dev Ops'!AO3)/12)),IF(YEAR(AO$3)=YEAR('New Hires Forecast'!$P$3),((SUMIFS('New Hires Forecast'!$P$5:$P$81,'New Hires Forecast'!$F$5:$F$81,"Dev Ops",'New Hires Forecast'!$H$5:$H$81,"&gt;="&amp;'Dev Ops'!AO3,'New Hires Forecast'!$G$5:$G$81,"&lt;="&amp;'Dev Ops'!AO3)/12)),IF(YEAR(AO$3)=YEAR('New Hires Forecast'!$Q$3),((SUMIFS('New Hires Forecast'!$Q$5:$Q$81,'New Hires Forecast'!$F$5:$F$81,"Dev Ops",'New Hires Forecast'!$H$5:$H$81,"&gt;="&amp;'Dev Ops'!AO3,'New Hires Forecast'!$G$5:$G$81,"&lt;="&amp;'Dev Ops'!AO3)/12)),IF(YEAR(AO$3)=YEAR('New Hires Forecast'!$R$3),((SUMIFS('New Hires Forecast'!$R$5:$R$81,'New Hires Forecast'!$F$5:$F$81,"Dev Ops",'New Hires Forecast'!$H$5:$H$81,"&gt;="&amp;'Dev Ops'!AO3,'New Hires Forecast'!$G$5:$G$81,"&lt;="&amp;'Dev Ops'!AO3)/12))))))),0)</f>
        <v>0</v>
      </c>
      <c r="AP13" s="684">
        <f>IF(AP$4="forecast",IF(YEAR(AP$3)=YEAR('New Hires Forecast'!$N$3),((SUMIFS('New Hires Forecast'!$N$5:$N$81,'New Hires Forecast'!$F$5:$F$81,"Dev Ops",'New Hires Forecast'!$H$5:$H$81,"&gt;="&amp;'Dev Ops'!AP3,'New Hires Forecast'!$G$5:$G$81,"&lt;="&amp;'Dev Ops'!AP3)/12)),IF(YEAR(AP$3)=YEAR('New Hires Forecast'!$O$3),((SUMIFS('New Hires Forecast'!$O$5:$O$81,'New Hires Forecast'!$F$5:$F$81,"Dev Ops",'New Hires Forecast'!$H$5:$H$81,"&gt;="&amp;'Dev Ops'!AP3,'New Hires Forecast'!$G$5:$G$81,"&lt;="&amp;'Dev Ops'!AP3)/12)),IF(YEAR(AP$3)=YEAR('New Hires Forecast'!$P$3),((SUMIFS('New Hires Forecast'!$P$5:$P$81,'New Hires Forecast'!$F$5:$F$81,"Dev Ops",'New Hires Forecast'!$H$5:$H$81,"&gt;="&amp;'Dev Ops'!AP3,'New Hires Forecast'!$G$5:$G$81,"&lt;="&amp;'Dev Ops'!AP3)/12)),IF(YEAR(AP$3)=YEAR('New Hires Forecast'!$Q$3),((SUMIFS('New Hires Forecast'!$Q$5:$Q$81,'New Hires Forecast'!$F$5:$F$81,"Dev Ops",'New Hires Forecast'!$H$5:$H$81,"&gt;="&amp;'Dev Ops'!AP3,'New Hires Forecast'!$G$5:$G$81,"&lt;="&amp;'Dev Ops'!AP3)/12)),IF(YEAR(AP$3)=YEAR('New Hires Forecast'!$R$3),((SUMIFS('New Hires Forecast'!$R$5:$R$81,'New Hires Forecast'!$F$5:$F$81,"Dev Ops",'New Hires Forecast'!$H$5:$H$81,"&gt;="&amp;'Dev Ops'!AP3,'New Hires Forecast'!$G$5:$G$81,"&lt;="&amp;'Dev Ops'!AP3)/12))))))),0)</f>
        <v>0</v>
      </c>
      <c r="AQ13" s="684">
        <f>IF(AQ$4="forecast",IF(YEAR(AQ$3)=YEAR('New Hires Forecast'!$N$3),((SUMIFS('New Hires Forecast'!$N$5:$N$81,'New Hires Forecast'!$F$5:$F$81,"Dev Ops",'New Hires Forecast'!$H$5:$H$81,"&gt;="&amp;'Dev Ops'!AQ3,'New Hires Forecast'!$G$5:$G$81,"&lt;="&amp;'Dev Ops'!AQ3)/12)),IF(YEAR(AQ$3)=YEAR('New Hires Forecast'!$O$3),((SUMIFS('New Hires Forecast'!$O$5:$O$81,'New Hires Forecast'!$F$5:$F$81,"Dev Ops",'New Hires Forecast'!$H$5:$H$81,"&gt;="&amp;'Dev Ops'!AQ3,'New Hires Forecast'!$G$5:$G$81,"&lt;="&amp;'Dev Ops'!AQ3)/12)),IF(YEAR(AQ$3)=YEAR('New Hires Forecast'!$P$3),((SUMIFS('New Hires Forecast'!$P$5:$P$81,'New Hires Forecast'!$F$5:$F$81,"Dev Ops",'New Hires Forecast'!$H$5:$H$81,"&gt;="&amp;'Dev Ops'!AQ3,'New Hires Forecast'!$G$5:$G$81,"&lt;="&amp;'Dev Ops'!AQ3)/12)),IF(YEAR(AQ$3)=YEAR('New Hires Forecast'!$Q$3),((SUMIFS('New Hires Forecast'!$Q$5:$Q$81,'New Hires Forecast'!$F$5:$F$81,"Dev Ops",'New Hires Forecast'!$H$5:$H$81,"&gt;="&amp;'Dev Ops'!AQ3,'New Hires Forecast'!$G$5:$G$81,"&lt;="&amp;'Dev Ops'!AQ3)/12)),IF(YEAR(AQ$3)=YEAR('New Hires Forecast'!$R$3),((SUMIFS('New Hires Forecast'!$R$5:$R$81,'New Hires Forecast'!$F$5:$F$81,"Dev Ops",'New Hires Forecast'!$H$5:$H$81,"&gt;="&amp;'Dev Ops'!AQ3,'New Hires Forecast'!$G$5:$G$81,"&lt;="&amp;'Dev Ops'!AQ3)/12))))))),0)</f>
        <v>0</v>
      </c>
      <c r="AR13" s="684">
        <f>IF(AR$4="forecast",IF(YEAR(AR$3)=YEAR('New Hires Forecast'!$N$3),((SUMIFS('New Hires Forecast'!$N$5:$N$81,'New Hires Forecast'!$F$5:$F$81,"Dev Ops",'New Hires Forecast'!$H$5:$H$81,"&gt;="&amp;'Dev Ops'!AR3,'New Hires Forecast'!$G$5:$G$81,"&lt;="&amp;'Dev Ops'!AR3)/12)),IF(YEAR(AR$3)=YEAR('New Hires Forecast'!$O$3),((SUMIFS('New Hires Forecast'!$O$5:$O$81,'New Hires Forecast'!$F$5:$F$81,"Dev Ops",'New Hires Forecast'!$H$5:$H$81,"&gt;="&amp;'Dev Ops'!AR3,'New Hires Forecast'!$G$5:$G$81,"&lt;="&amp;'Dev Ops'!AR3)/12)),IF(YEAR(AR$3)=YEAR('New Hires Forecast'!$P$3),((SUMIFS('New Hires Forecast'!$P$5:$P$81,'New Hires Forecast'!$F$5:$F$81,"Dev Ops",'New Hires Forecast'!$H$5:$H$81,"&gt;="&amp;'Dev Ops'!AR3,'New Hires Forecast'!$G$5:$G$81,"&lt;="&amp;'Dev Ops'!AR3)/12)),IF(YEAR(AR$3)=YEAR('New Hires Forecast'!$Q$3),((SUMIFS('New Hires Forecast'!$Q$5:$Q$81,'New Hires Forecast'!$F$5:$F$81,"Dev Ops",'New Hires Forecast'!$H$5:$H$81,"&gt;="&amp;'Dev Ops'!AR3,'New Hires Forecast'!$G$5:$G$81,"&lt;="&amp;'Dev Ops'!AR3)/12)),IF(YEAR(AR$3)=YEAR('New Hires Forecast'!$R$3),((SUMIFS('New Hires Forecast'!$R$5:$R$81,'New Hires Forecast'!$F$5:$F$81,"Dev Ops",'New Hires Forecast'!$H$5:$H$81,"&gt;="&amp;'Dev Ops'!AR3,'New Hires Forecast'!$G$5:$G$81,"&lt;="&amp;'Dev Ops'!AR3)/12))))))),0)</f>
        <v>0</v>
      </c>
      <c r="AS13" s="684">
        <f>IF(AS$4="forecast",IF(YEAR(AS$3)=YEAR('New Hires Forecast'!$N$3),((SUMIFS('New Hires Forecast'!$N$5:$N$81,'New Hires Forecast'!$F$5:$F$81,"Dev Ops",'New Hires Forecast'!$H$5:$H$81,"&gt;="&amp;'Dev Ops'!AS3,'New Hires Forecast'!$G$5:$G$81,"&lt;="&amp;'Dev Ops'!AS3)/12)),IF(YEAR(AS$3)=YEAR('New Hires Forecast'!$O$3),((SUMIFS('New Hires Forecast'!$O$5:$O$81,'New Hires Forecast'!$F$5:$F$81,"Dev Ops",'New Hires Forecast'!$H$5:$H$81,"&gt;="&amp;'Dev Ops'!AS3,'New Hires Forecast'!$G$5:$G$81,"&lt;="&amp;'Dev Ops'!AS3)/12)),IF(YEAR(AS$3)=YEAR('New Hires Forecast'!$P$3),((SUMIFS('New Hires Forecast'!$P$5:$P$81,'New Hires Forecast'!$F$5:$F$81,"Dev Ops",'New Hires Forecast'!$H$5:$H$81,"&gt;="&amp;'Dev Ops'!AS3,'New Hires Forecast'!$G$5:$G$81,"&lt;="&amp;'Dev Ops'!AS3)/12)),IF(YEAR(AS$3)=YEAR('New Hires Forecast'!$Q$3),((SUMIFS('New Hires Forecast'!$Q$5:$Q$81,'New Hires Forecast'!$F$5:$F$81,"Dev Ops",'New Hires Forecast'!$H$5:$H$81,"&gt;="&amp;'Dev Ops'!AS3,'New Hires Forecast'!$G$5:$G$81,"&lt;="&amp;'Dev Ops'!AS3)/12)),IF(YEAR(AS$3)=YEAR('New Hires Forecast'!$R$3),((SUMIFS('New Hires Forecast'!$R$5:$R$81,'New Hires Forecast'!$F$5:$F$81,"Dev Ops",'New Hires Forecast'!$H$5:$H$81,"&gt;="&amp;'Dev Ops'!AS3,'New Hires Forecast'!$G$5:$G$81,"&lt;="&amp;'Dev Ops'!AS3)/12))))))),0)</f>
        <v>0</v>
      </c>
      <c r="AT13" s="684">
        <f>IF(AT$4="forecast",IF(YEAR(AT$3)=YEAR('New Hires Forecast'!$N$3),((SUMIFS('New Hires Forecast'!$N$5:$N$81,'New Hires Forecast'!$F$5:$F$81,"Dev Ops",'New Hires Forecast'!$H$5:$H$81,"&gt;="&amp;'Dev Ops'!AT3,'New Hires Forecast'!$G$5:$G$81,"&lt;="&amp;'Dev Ops'!AT3)/12)),IF(YEAR(AT$3)=YEAR('New Hires Forecast'!$O$3),((SUMIFS('New Hires Forecast'!$O$5:$O$81,'New Hires Forecast'!$F$5:$F$81,"Dev Ops",'New Hires Forecast'!$H$5:$H$81,"&gt;="&amp;'Dev Ops'!AT3,'New Hires Forecast'!$G$5:$G$81,"&lt;="&amp;'Dev Ops'!AT3)/12)),IF(YEAR(AT$3)=YEAR('New Hires Forecast'!$P$3),((SUMIFS('New Hires Forecast'!$P$5:$P$81,'New Hires Forecast'!$F$5:$F$81,"Dev Ops",'New Hires Forecast'!$H$5:$H$81,"&gt;="&amp;'Dev Ops'!AT3,'New Hires Forecast'!$G$5:$G$81,"&lt;="&amp;'Dev Ops'!AT3)/12)),IF(YEAR(AT$3)=YEAR('New Hires Forecast'!$Q$3),((SUMIFS('New Hires Forecast'!$Q$5:$Q$81,'New Hires Forecast'!$F$5:$F$81,"Dev Ops",'New Hires Forecast'!$H$5:$H$81,"&gt;="&amp;'Dev Ops'!AT3,'New Hires Forecast'!$G$5:$G$81,"&lt;="&amp;'Dev Ops'!AT3)/12)),IF(YEAR(AT$3)=YEAR('New Hires Forecast'!$R$3),((SUMIFS('New Hires Forecast'!$R$5:$R$81,'New Hires Forecast'!$F$5:$F$81,"Dev Ops",'New Hires Forecast'!$H$5:$H$81,"&gt;="&amp;'Dev Ops'!AT3,'New Hires Forecast'!$G$5:$G$81,"&lt;="&amp;'Dev Ops'!AT3)/12))))))),0)</f>
        <v>0</v>
      </c>
      <c r="AU13" s="684">
        <f>IF(AU$4="forecast",IF(YEAR(AU$3)=YEAR('New Hires Forecast'!$N$3),((SUMIFS('New Hires Forecast'!$N$5:$N$81,'New Hires Forecast'!$F$5:$F$81,"Dev Ops",'New Hires Forecast'!$H$5:$H$81,"&gt;="&amp;'Dev Ops'!AU3,'New Hires Forecast'!$G$5:$G$81,"&lt;="&amp;'Dev Ops'!AU3)/12)),IF(YEAR(AU$3)=YEAR('New Hires Forecast'!$O$3),((SUMIFS('New Hires Forecast'!$O$5:$O$81,'New Hires Forecast'!$F$5:$F$81,"Dev Ops",'New Hires Forecast'!$H$5:$H$81,"&gt;="&amp;'Dev Ops'!AU3,'New Hires Forecast'!$G$5:$G$81,"&lt;="&amp;'Dev Ops'!AU3)/12)),IF(YEAR(AU$3)=YEAR('New Hires Forecast'!$P$3),((SUMIFS('New Hires Forecast'!$P$5:$P$81,'New Hires Forecast'!$F$5:$F$81,"Dev Ops",'New Hires Forecast'!$H$5:$H$81,"&gt;="&amp;'Dev Ops'!AU3,'New Hires Forecast'!$G$5:$G$81,"&lt;="&amp;'Dev Ops'!AU3)/12)),IF(YEAR(AU$3)=YEAR('New Hires Forecast'!$Q$3),((SUMIFS('New Hires Forecast'!$Q$5:$Q$81,'New Hires Forecast'!$F$5:$F$81,"Dev Ops",'New Hires Forecast'!$H$5:$H$81,"&gt;="&amp;'Dev Ops'!AU3,'New Hires Forecast'!$G$5:$G$81,"&lt;="&amp;'Dev Ops'!AU3)/12)),IF(YEAR(AU$3)=YEAR('New Hires Forecast'!$R$3),((SUMIFS('New Hires Forecast'!$R$5:$R$81,'New Hires Forecast'!$F$5:$F$81,"Dev Ops",'New Hires Forecast'!$H$5:$H$81,"&gt;="&amp;'Dev Ops'!AU3,'New Hires Forecast'!$G$5:$G$81,"&lt;="&amp;'Dev Ops'!AU3)/12))))))),0)</f>
        <v>0</v>
      </c>
      <c r="AV13" s="684">
        <f>IF(AV$4="forecast",IF(YEAR(AV$3)=YEAR('New Hires Forecast'!$N$3),((SUMIFS('New Hires Forecast'!$N$5:$N$81,'New Hires Forecast'!$F$5:$F$81,"Dev Ops",'New Hires Forecast'!$H$5:$H$81,"&gt;="&amp;'Dev Ops'!AV3,'New Hires Forecast'!$G$5:$G$81,"&lt;="&amp;'Dev Ops'!AV3)/12)),IF(YEAR(AV$3)=YEAR('New Hires Forecast'!$O$3),((SUMIFS('New Hires Forecast'!$O$5:$O$81,'New Hires Forecast'!$F$5:$F$81,"Dev Ops",'New Hires Forecast'!$H$5:$H$81,"&gt;="&amp;'Dev Ops'!AV3,'New Hires Forecast'!$G$5:$G$81,"&lt;="&amp;'Dev Ops'!AV3)/12)),IF(YEAR(AV$3)=YEAR('New Hires Forecast'!$P$3),((SUMIFS('New Hires Forecast'!$P$5:$P$81,'New Hires Forecast'!$F$5:$F$81,"Dev Ops",'New Hires Forecast'!$H$5:$H$81,"&gt;="&amp;'Dev Ops'!AV3,'New Hires Forecast'!$G$5:$G$81,"&lt;="&amp;'Dev Ops'!AV3)/12)),IF(YEAR(AV$3)=YEAR('New Hires Forecast'!$Q$3),((SUMIFS('New Hires Forecast'!$Q$5:$Q$81,'New Hires Forecast'!$F$5:$F$81,"Dev Ops",'New Hires Forecast'!$H$5:$H$81,"&gt;="&amp;'Dev Ops'!AV3,'New Hires Forecast'!$G$5:$G$81,"&lt;="&amp;'Dev Ops'!AV3)/12)),IF(YEAR(AV$3)=YEAR('New Hires Forecast'!$R$3),((SUMIFS('New Hires Forecast'!$R$5:$R$81,'New Hires Forecast'!$F$5:$F$81,"Dev Ops",'New Hires Forecast'!$H$5:$H$81,"&gt;="&amp;'Dev Ops'!AV3,'New Hires Forecast'!$G$5:$G$81,"&lt;="&amp;'Dev Ops'!AV3)/12))))))),0)</f>
        <v>0</v>
      </c>
      <c r="AW13" s="684">
        <f>IF(AW$4="forecast",IF(YEAR(AW$3)=YEAR('New Hires Forecast'!$N$3),((SUMIFS('New Hires Forecast'!$N$5:$N$81,'New Hires Forecast'!$F$5:$F$81,"Dev Ops",'New Hires Forecast'!$H$5:$H$81,"&gt;="&amp;'Dev Ops'!AW3,'New Hires Forecast'!$G$5:$G$81,"&lt;="&amp;'Dev Ops'!AW3)/12)),IF(YEAR(AW$3)=YEAR('New Hires Forecast'!$O$3),((SUMIFS('New Hires Forecast'!$O$5:$O$81,'New Hires Forecast'!$F$5:$F$81,"Dev Ops",'New Hires Forecast'!$H$5:$H$81,"&gt;="&amp;'Dev Ops'!AW3,'New Hires Forecast'!$G$5:$G$81,"&lt;="&amp;'Dev Ops'!AW3)/12)),IF(YEAR(AW$3)=YEAR('New Hires Forecast'!$P$3),((SUMIFS('New Hires Forecast'!$P$5:$P$81,'New Hires Forecast'!$F$5:$F$81,"Dev Ops",'New Hires Forecast'!$H$5:$H$81,"&gt;="&amp;'Dev Ops'!AW3,'New Hires Forecast'!$G$5:$G$81,"&lt;="&amp;'Dev Ops'!AW3)/12)),IF(YEAR(AW$3)=YEAR('New Hires Forecast'!$Q$3),((SUMIFS('New Hires Forecast'!$Q$5:$Q$81,'New Hires Forecast'!$F$5:$F$81,"Dev Ops",'New Hires Forecast'!$H$5:$H$81,"&gt;="&amp;'Dev Ops'!AW3,'New Hires Forecast'!$G$5:$G$81,"&lt;="&amp;'Dev Ops'!AW3)/12)),IF(YEAR(AW$3)=YEAR('New Hires Forecast'!$R$3),((SUMIFS('New Hires Forecast'!$R$5:$R$81,'New Hires Forecast'!$F$5:$F$81,"Dev Ops",'New Hires Forecast'!$H$5:$H$81,"&gt;="&amp;'Dev Ops'!AW3,'New Hires Forecast'!$G$5:$G$81,"&lt;="&amp;'Dev Ops'!AW3)/12))))))),0)</f>
        <v>0</v>
      </c>
      <c r="AX13" s="684">
        <f>IF(AX$4="forecast",IF(YEAR(AX$3)=YEAR('New Hires Forecast'!$N$3),((SUMIFS('New Hires Forecast'!$N$5:$N$81,'New Hires Forecast'!$F$5:$F$81,"Dev Ops",'New Hires Forecast'!$H$5:$H$81,"&gt;="&amp;'Dev Ops'!AX3,'New Hires Forecast'!$G$5:$G$81,"&lt;="&amp;'Dev Ops'!AX3)/12)),IF(YEAR(AX$3)=YEAR('New Hires Forecast'!$O$3),((SUMIFS('New Hires Forecast'!$O$5:$O$81,'New Hires Forecast'!$F$5:$F$81,"Dev Ops",'New Hires Forecast'!$H$5:$H$81,"&gt;="&amp;'Dev Ops'!AX3,'New Hires Forecast'!$G$5:$G$81,"&lt;="&amp;'Dev Ops'!AX3)/12)),IF(YEAR(AX$3)=YEAR('New Hires Forecast'!$P$3),((SUMIFS('New Hires Forecast'!$P$5:$P$81,'New Hires Forecast'!$F$5:$F$81,"Dev Ops",'New Hires Forecast'!$H$5:$H$81,"&gt;="&amp;'Dev Ops'!AX3,'New Hires Forecast'!$G$5:$G$81,"&lt;="&amp;'Dev Ops'!AX3)/12)),IF(YEAR(AX$3)=YEAR('New Hires Forecast'!$Q$3),((SUMIFS('New Hires Forecast'!$Q$5:$Q$81,'New Hires Forecast'!$F$5:$F$81,"Dev Ops",'New Hires Forecast'!$H$5:$H$81,"&gt;="&amp;'Dev Ops'!AX3,'New Hires Forecast'!$G$5:$G$81,"&lt;="&amp;'Dev Ops'!AX3)/12)),IF(YEAR(AX$3)=YEAR('New Hires Forecast'!$R$3),((SUMIFS('New Hires Forecast'!$R$5:$R$81,'New Hires Forecast'!$F$5:$F$81,"Dev Ops",'New Hires Forecast'!$H$5:$H$81,"&gt;="&amp;'Dev Ops'!AX3,'New Hires Forecast'!$G$5:$G$81,"&lt;="&amp;'Dev Ops'!AX3)/12))))))),0)</f>
        <v>0</v>
      </c>
      <c r="AY13" s="684">
        <f>IF(AY$4="forecast",IF(YEAR(AY$3)=YEAR('New Hires Forecast'!$N$3),((SUMIFS('New Hires Forecast'!$N$5:$N$81,'New Hires Forecast'!$F$5:$F$81,"Dev Ops",'New Hires Forecast'!$H$5:$H$81,"&gt;="&amp;'Dev Ops'!AY3,'New Hires Forecast'!$G$5:$G$81,"&lt;="&amp;'Dev Ops'!AY3)/12)),IF(YEAR(AY$3)=YEAR('New Hires Forecast'!$O$3),((SUMIFS('New Hires Forecast'!$O$5:$O$81,'New Hires Forecast'!$F$5:$F$81,"Dev Ops",'New Hires Forecast'!$H$5:$H$81,"&gt;="&amp;'Dev Ops'!AY3,'New Hires Forecast'!$G$5:$G$81,"&lt;="&amp;'Dev Ops'!AY3)/12)),IF(YEAR(AY$3)=YEAR('New Hires Forecast'!$P$3),((SUMIFS('New Hires Forecast'!$P$5:$P$81,'New Hires Forecast'!$F$5:$F$81,"Dev Ops",'New Hires Forecast'!$H$5:$H$81,"&gt;="&amp;'Dev Ops'!AY3,'New Hires Forecast'!$G$5:$G$81,"&lt;="&amp;'Dev Ops'!AY3)/12)),IF(YEAR(AY$3)=YEAR('New Hires Forecast'!$Q$3),((SUMIFS('New Hires Forecast'!$Q$5:$Q$81,'New Hires Forecast'!$F$5:$F$81,"Dev Ops",'New Hires Forecast'!$H$5:$H$81,"&gt;="&amp;'Dev Ops'!AY3,'New Hires Forecast'!$G$5:$G$81,"&lt;="&amp;'Dev Ops'!AY3)/12)),IF(YEAR(AY$3)=YEAR('New Hires Forecast'!$R$3),((SUMIFS('New Hires Forecast'!$R$5:$R$81,'New Hires Forecast'!$F$5:$F$81,"Dev Ops",'New Hires Forecast'!$H$5:$H$81,"&gt;="&amp;'Dev Ops'!AY3,'New Hires Forecast'!$G$5:$G$81,"&lt;="&amp;'Dev Ops'!AY3)/12))))))),0)</f>
        <v>0</v>
      </c>
      <c r="AZ13" s="684">
        <f>IF(AZ$4="forecast",IF(YEAR(AZ$3)=YEAR('New Hires Forecast'!$N$3),((SUMIFS('New Hires Forecast'!$N$5:$N$81,'New Hires Forecast'!$F$5:$F$81,"Dev Ops",'New Hires Forecast'!$H$5:$H$81,"&gt;="&amp;'Dev Ops'!AZ3,'New Hires Forecast'!$G$5:$G$81,"&lt;="&amp;'Dev Ops'!AZ3)/12)),IF(YEAR(AZ$3)=YEAR('New Hires Forecast'!$O$3),((SUMIFS('New Hires Forecast'!$O$5:$O$81,'New Hires Forecast'!$F$5:$F$81,"Dev Ops",'New Hires Forecast'!$H$5:$H$81,"&gt;="&amp;'Dev Ops'!AZ3,'New Hires Forecast'!$G$5:$G$81,"&lt;="&amp;'Dev Ops'!AZ3)/12)),IF(YEAR(AZ$3)=YEAR('New Hires Forecast'!$P$3),((SUMIFS('New Hires Forecast'!$P$5:$P$81,'New Hires Forecast'!$F$5:$F$81,"Dev Ops",'New Hires Forecast'!$H$5:$H$81,"&gt;="&amp;'Dev Ops'!AZ3,'New Hires Forecast'!$G$5:$G$81,"&lt;="&amp;'Dev Ops'!AZ3)/12)),IF(YEAR(AZ$3)=YEAR('New Hires Forecast'!$Q$3),((SUMIFS('New Hires Forecast'!$Q$5:$Q$81,'New Hires Forecast'!$F$5:$F$81,"Dev Ops",'New Hires Forecast'!$H$5:$H$81,"&gt;="&amp;'Dev Ops'!AZ3,'New Hires Forecast'!$G$5:$G$81,"&lt;="&amp;'Dev Ops'!AZ3)/12)),IF(YEAR(AZ$3)=YEAR('New Hires Forecast'!$R$3),((SUMIFS('New Hires Forecast'!$R$5:$R$81,'New Hires Forecast'!$F$5:$F$81,"Dev Ops",'New Hires Forecast'!$H$5:$H$81,"&gt;="&amp;'Dev Ops'!AZ3,'New Hires Forecast'!$G$5:$G$81,"&lt;="&amp;'Dev Ops'!AZ3)/12))))))),0)</f>
        <v>0</v>
      </c>
      <c r="BA13" s="684">
        <f>IF(BA$4="forecast",IF(YEAR(BA$3)=YEAR('New Hires Forecast'!$N$3),((SUMIFS('New Hires Forecast'!$N$5:$N$81,'New Hires Forecast'!$F$5:$F$81,"Dev Ops",'New Hires Forecast'!$H$5:$H$81,"&gt;="&amp;'Dev Ops'!BA3,'New Hires Forecast'!$G$5:$G$81,"&lt;="&amp;'Dev Ops'!BA3)/12)),IF(YEAR(BA$3)=YEAR('New Hires Forecast'!$O$3),((SUMIFS('New Hires Forecast'!$O$5:$O$81,'New Hires Forecast'!$F$5:$F$81,"Dev Ops",'New Hires Forecast'!$H$5:$H$81,"&gt;="&amp;'Dev Ops'!BA3,'New Hires Forecast'!$G$5:$G$81,"&lt;="&amp;'Dev Ops'!BA3)/12)),IF(YEAR(BA$3)=YEAR('New Hires Forecast'!$P$3),((SUMIFS('New Hires Forecast'!$P$5:$P$81,'New Hires Forecast'!$F$5:$F$81,"Dev Ops",'New Hires Forecast'!$H$5:$H$81,"&gt;="&amp;'Dev Ops'!BA3,'New Hires Forecast'!$G$5:$G$81,"&lt;="&amp;'Dev Ops'!BA3)/12)),IF(YEAR(BA$3)=YEAR('New Hires Forecast'!$Q$3),((SUMIFS('New Hires Forecast'!$Q$5:$Q$81,'New Hires Forecast'!$F$5:$F$81,"Dev Ops",'New Hires Forecast'!$H$5:$H$81,"&gt;="&amp;'Dev Ops'!BA3,'New Hires Forecast'!$G$5:$G$81,"&lt;="&amp;'Dev Ops'!BA3)/12)),IF(YEAR(BA$3)=YEAR('New Hires Forecast'!$R$3),((SUMIFS('New Hires Forecast'!$R$5:$R$81,'New Hires Forecast'!$F$5:$F$81,"Dev Ops",'New Hires Forecast'!$H$5:$H$81,"&gt;="&amp;'Dev Ops'!BA3,'New Hires Forecast'!$G$5:$G$81,"&lt;="&amp;'Dev Ops'!BA3)/12))))))),0)</f>
        <v>0</v>
      </c>
      <c r="BB13" s="684">
        <f>IF(BB$4="forecast",IF(YEAR(BB$3)=YEAR('New Hires Forecast'!$N$3),((SUMIFS('New Hires Forecast'!$N$5:$N$81,'New Hires Forecast'!$F$5:$F$81,"Dev Ops",'New Hires Forecast'!$H$5:$H$81,"&gt;="&amp;'Dev Ops'!BB3,'New Hires Forecast'!$G$5:$G$81,"&lt;="&amp;'Dev Ops'!BB3)/12)),IF(YEAR(BB$3)=YEAR('New Hires Forecast'!$O$3),((SUMIFS('New Hires Forecast'!$O$5:$O$81,'New Hires Forecast'!$F$5:$F$81,"Dev Ops",'New Hires Forecast'!$H$5:$H$81,"&gt;="&amp;'Dev Ops'!BB3,'New Hires Forecast'!$G$5:$G$81,"&lt;="&amp;'Dev Ops'!BB3)/12)),IF(YEAR(BB$3)=YEAR('New Hires Forecast'!$P$3),((SUMIFS('New Hires Forecast'!$P$5:$P$81,'New Hires Forecast'!$F$5:$F$81,"Dev Ops",'New Hires Forecast'!$H$5:$H$81,"&gt;="&amp;'Dev Ops'!BB3,'New Hires Forecast'!$G$5:$G$81,"&lt;="&amp;'Dev Ops'!BB3)/12)),IF(YEAR(BB$3)=YEAR('New Hires Forecast'!$Q$3),((SUMIFS('New Hires Forecast'!$Q$5:$Q$81,'New Hires Forecast'!$F$5:$F$81,"Dev Ops",'New Hires Forecast'!$H$5:$H$81,"&gt;="&amp;'Dev Ops'!BB3,'New Hires Forecast'!$G$5:$G$81,"&lt;="&amp;'Dev Ops'!BB3)/12)),IF(YEAR(BB$3)=YEAR('New Hires Forecast'!$R$3),((SUMIFS('New Hires Forecast'!$R$5:$R$81,'New Hires Forecast'!$F$5:$F$81,"Dev Ops",'New Hires Forecast'!$H$5:$H$81,"&gt;="&amp;'Dev Ops'!BB3,'New Hires Forecast'!$G$5:$G$81,"&lt;="&amp;'Dev Ops'!BB3)/12))))))),0)</f>
        <v>0</v>
      </c>
      <c r="BC13" s="684">
        <f>IF(BC$4="forecast",IF(YEAR(BC$3)=YEAR('New Hires Forecast'!$N$3),((SUMIFS('New Hires Forecast'!$N$5:$N$81,'New Hires Forecast'!$F$5:$F$81,"Dev Ops",'New Hires Forecast'!$H$5:$H$81,"&gt;="&amp;'Dev Ops'!BC3,'New Hires Forecast'!$G$5:$G$81,"&lt;="&amp;'Dev Ops'!BC3)/12)),IF(YEAR(BC$3)=YEAR('New Hires Forecast'!$O$3),((SUMIFS('New Hires Forecast'!$O$5:$O$81,'New Hires Forecast'!$F$5:$F$81,"Dev Ops",'New Hires Forecast'!$H$5:$H$81,"&gt;="&amp;'Dev Ops'!BC3,'New Hires Forecast'!$G$5:$G$81,"&lt;="&amp;'Dev Ops'!BC3)/12)),IF(YEAR(BC$3)=YEAR('New Hires Forecast'!$P$3),((SUMIFS('New Hires Forecast'!$P$5:$P$81,'New Hires Forecast'!$F$5:$F$81,"Dev Ops",'New Hires Forecast'!$H$5:$H$81,"&gt;="&amp;'Dev Ops'!BC3,'New Hires Forecast'!$G$5:$G$81,"&lt;="&amp;'Dev Ops'!BC3)/12)),IF(YEAR(BC$3)=YEAR('New Hires Forecast'!$Q$3),((SUMIFS('New Hires Forecast'!$Q$5:$Q$81,'New Hires Forecast'!$F$5:$F$81,"Dev Ops",'New Hires Forecast'!$H$5:$H$81,"&gt;="&amp;'Dev Ops'!BC3,'New Hires Forecast'!$G$5:$G$81,"&lt;="&amp;'Dev Ops'!BC3)/12)),IF(YEAR(BC$3)=YEAR('New Hires Forecast'!$R$3),((SUMIFS('New Hires Forecast'!$R$5:$R$81,'New Hires Forecast'!$F$5:$F$81,"Dev Ops",'New Hires Forecast'!$H$5:$H$81,"&gt;="&amp;'Dev Ops'!BC3,'New Hires Forecast'!$G$5:$G$81,"&lt;="&amp;'Dev Ops'!BC3)/12))))))),0)</f>
        <v>0</v>
      </c>
      <c r="BD13" s="684">
        <f>IF(BD$4="forecast",IF(YEAR(BD$3)=YEAR('New Hires Forecast'!$N$3),((SUMIFS('New Hires Forecast'!$N$5:$N$81,'New Hires Forecast'!$F$5:$F$81,"Dev Ops",'New Hires Forecast'!$H$5:$H$81,"&gt;="&amp;'Dev Ops'!BD3,'New Hires Forecast'!$G$5:$G$81,"&lt;="&amp;'Dev Ops'!BD3)/12)),IF(YEAR(BD$3)=YEAR('New Hires Forecast'!$O$3),((SUMIFS('New Hires Forecast'!$O$5:$O$81,'New Hires Forecast'!$F$5:$F$81,"Dev Ops",'New Hires Forecast'!$H$5:$H$81,"&gt;="&amp;'Dev Ops'!BD3,'New Hires Forecast'!$G$5:$G$81,"&lt;="&amp;'Dev Ops'!BD3)/12)),IF(YEAR(BD$3)=YEAR('New Hires Forecast'!$P$3),((SUMIFS('New Hires Forecast'!$P$5:$P$81,'New Hires Forecast'!$F$5:$F$81,"Dev Ops",'New Hires Forecast'!$H$5:$H$81,"&gt;="&amp;'Dev Ops'!BD3,'New Hires Forecast'!$G$5:$G$81,"&lt;="&amp;'Dev Ops'!BD3)/12)),IF(YEAR(BD$3)=YEAR('New Hires Forecast'!$Q$3),((SUMIFS('New Hires Forecast'!$Q$5:$Q$81,'New Hires Forecast'!$F$5:$F$81,"Dev Ops",'New Hires Forecast'!$H$5:$H$81,"&gt;="&amp;'Dev Ops'!BD3,'New Hires Forecast'!$G$5:$G$81,"&lt;="&amp;'Dev Ops'!BD3)/12)),IF(YEAR(BD$3)=YEAR('New Hires Forecast'!$R$3),((SUMIFS('New Hires Forecast'!$R$5:$R$81,'New Hires Forecast'!$F$5:$F$81,"Dev Ops",'New Hires Forecast'!$H$5:$H$81,"&gt;="&amp;'Dev Ops'!BD3,'New Hires Forecast'!$G$5:$G$81,"&lt;="&amp;'Dev Ops'!BD3)/12))))))),0)</f>
        <v>0</v>
      </c>
      <c r="BE13" s="684">
        <f>IF(BE$4="forecast",IF(YEAR(BE$3)=YEAR('New Hires Forecast'!$N$3),((SUMIFS('New Hires Forecast'!$N$5:$N$81,'New Hires Forecast'!$F$5:$F$81,"Dev Ops",'New Hires Forecast'!$H$5:$H$81,"&gt;="&amp;'Dev Ops'!BE3,'New Hires Forecast'!$G$5:$G$81,"&lt;="&amp;'Dev Ops'!BE3)/12)),IF(YEAR(BE$3)=YEAR('New Hires Forecast'!$O$3),((SUMIFS('New Hires Forecast'!$O$5:$O$81,'New Hires Forecast'!$F$5:$F$81,"Dev Ops",'New Hires Forecast'!$H$5:$H$81,"&gt;="&amp;'Dev Ops'!BE3,'New Hires Forecast'!$G$5:$G$81,"&lt;="&amp;'Dev Ops'!BE3)/12)),IF(YEAR(BE$3)=YEAR('New Hires Forecast'!$P$3),((SUMIFS('New Hires Forecast'!$P$5:$P$81,'New Hires Forecast'!$F$5:$F$81,"Dev Ops",'New Hires Forecast'!$H$5:$H$81,"&gt;="&amp;'Dev Ops'!BE3,'New Hires Forecast'!$G$5:$G$81,"&lt;="&amp;'Dev Ops'!BE3)/12)),IF(YEAR(BE$3)=YEAR('New Hires Forecast'!$Q$3),((SUMIFS('New Hires Forecast'!$Q$5:$Q$81,'New Hires Forecast'!$F$5:$F$81,"Dev Ops",'New Hires Forecast'!$H$5:$H$81,"&gt;="&amp;'Dev Ops'!BE3,'New Hires Forecast'!$G$5:$G$81,"&lt;="&amp;'Dev Ops'!BE3)/12)),IF(YEAR(BE$3)=YEAR('New Hires Forecast'!$R$3),((SUMIFS('New Hires Forecast'!$R$5:$R$81,'New Hires Forecast'!$F$5:$F$81,"Dev Ops",'New Hires Forecast'!$H$5:$H$81,"&gt;="&amp;'Dev Ops'!BE3,'New Hires Forecast'!$G$5:$G$81,"&lt;="&amp;'Dev Ops'!BE3)/12))))))),0)</f>
        <v>0</v>
      </c>
      <c r="BF13" s="684">
        <f>IF(BF$4="forecast",IF(YEAR(BF$3)=YEAR('New Hires Forecast'!$N$3),((SUMIFS('New Hires Forecast'!$N$5:$N$81,'New Hires Forecast'!$F$5:$F$81,"Dev Ops",'New Hires Forecast'!$H$5:$H$81,"&gt;="&amp;'Dev Ops'!BF3,'New Hires Forecast'!$G$5:$G$81,"&lt;="&amp;'Dev Ops'!BF3)/12)),IF(YEAR(BF$3)=YEAR('New Hires Forecast'!$O$3),((SUMIFS('New Hires Forecast'!$O$5:$O$81,'New Hires Forecast'!$F$5:$F$81,"Dev Ops",'New Hires Forecast'!$H$5:$H$81,"&gt;="&amp;'Dev Ops'!BF3,'New Hires Forecast'!$G$5:$G$81,"&lt;="&amp;'Dev Ops'!BF3)/12)),IF(YEAR(BF$3)=YEAR('New Hires Forecast'!$P$3),((SUMIFS('New Hires Forecast'!$P$5:$P$81,'New Hires Forecast'!$F$5:$F$81,"Dev Ops",'New Hires Forecast'!$H$5:$H$81,"&gt;="&amp;'Dev Ops'!BF3,'New Hires Forecast'!$G$5:$G$81,"&lt;="&amp;'Dev Ops'!BF3)/12)),IF(YEAR(BF$3)=YEAR('New Hires Forecast'!$Q$3),((SUMIFS('New Hires Forecast'!$Q$5:$Q$81,'New Hires Forecast'!$F$5:$F$81,"Dev Ops",'New Hires Forecast'!$H$5:$H$81,"&gt;="&amp;'Dev Ops'!BF3,'New Hires Forecast'!$G$5:$G$81,"&lt;="&amp;'Dev Ops'!BF3)/12)),IF(YEAR(BF$3)=YEAR('New Hires Forecast'!$R$3),((SUMIFS('New Hires Forecast'!$R$5:$R$81,'New Hires Forecast'!$F$5:$F$81,"Dev Ops",'New Hires Forecast'!$H$5:$H$81,"&gt;="&amp;'Dev Ops'!BF3,'New Hires Forecast'!$G$5:$G$81,"&lt;="&amp;'Dev Ops'!BF3)/12))))))),0)</f>
        <v>0</v>
      </c>
      <c r="BG13" s="684">
        <f>IF(BG$4="forecast",IF(YEAR(BG$3)=YEAR('New Hires Forecast'!$N$3),((SUMIFS('New Hires Forecast'!$N$5:$N$81,'New Hires Forecast'!$F$5:$F$81,"Dev Ops",'New Hires Forecast'!$H$5:$H$81,"&gt;="&amp;'Dev Ops'!BG3,'New Hires Forecast'!$G$5:$G$81,"&lt;="&amp;'Dev Ops'!BG3)/12)),IF(YEAR(BG$3)=YEAR('New Hires Forecast'!$O$3),((SUMIFS('New Hires Forecast'!$O$5:$O$81,'New Hires Forecast'!$F$5:$F$81,"Dev Ops",'New Hires Forecast'!$H$5:$H$81,"&gt;="&amp;'Dev Ops'!BG3,'New Hires Forecast'!$G$5:$G$81,"&lt;="&amp;'Dev Ops'!BG3)/12)),IF(YEAR(BG$3)=YEAR('New Hires Forecast'!$P$3),((SUMIFS('New Hires Forecast'!$P$5:$P$81,'New Hires Forecast'!$F$5:$F$81,"Dev Ops",'New Hires Forecast'!$H$5:$H$81,"&gt;="&amp;'Dev Ops'!BG3,'New Hires Forecast'!$G$5:$G$81,"&lt;="&amp;'Dev Ops'!BG3)/12)),IF(YEAR(BG$3)=YEAR('New Hires Forecast'!$Q$3),((SUMIFS('New Hires Forecast'!$Q$5:$Q$81,'New Hires Forecast'!$F$5:$F$81,"Dev Ops",'New Hires Forecast'!$H$5:$H$81,"&gt;="&amp;'Dev Ops'!BG3,'New Hires Forecast'!$G$5:$G$81,"&lt;="&amp;'Dev Ops'!BG3)/12)),IF(YEAR(BG$3)=YEAR('New Hires Forecast'!$R$3),((SUMIFS('New Hires Forecast'!$R$5:$R$81,'New Hires Forecast'!$F$5:$F$81,"Dev Ops",'New Hires Forecast'!$H$5:$H$81,"&gt;="&amp;'Dev Ops'!BG3,'New Hires Forecast'!$G$5:$G$81,"&lt;="&amp;'Dev Ops'!BG3)/12))))))),0)</f>
        <v>0</v>
      </c>
      <c r="BH13" s="684">
        <f>IF(BH$4="forecast",IF(YEAR(BH$3)=YEAR('New Hires Forecast'!$N$3),((SUMIFS('New Hires Forecast'!$N$5:$N$81,'New Hires Forecast'!$F$5:$F$81,"Dev Ops",'New Hires Forecast'!$H$5:$H$81,"&gt;="&amp;'Dev Ops'!BH3,'New Hires Forecast'!$G$5:$G$81,"&lt;="&amp;'Dev Ops'!BH3)/12)),IF(YEAR(BH$3)=YEAR('New Hires Forecast'!$O$3),((SUMIFS('New Hires Forecast'!$O$5:$O$81,'New Hires Forecast'!$F$5:$F$81,"Dev Ops",'New Hires Forecast'!$H$5:$H$81,"&gt;="&amp;'Dev Ops'!BH3,'New Hires Forecast'!$G$5:$G$81,"&lt;="&amp;'Dev Ops'!BH3)/12)),IF(YEAR(BH$3)=YEAR('New Hires Forecast'!$P$3),((SUMIFS('New Hires Forecast'!$P$5:$P$81,'New Hires Forecast'!$F$5:$F$81,"Dev Ops",'New Hires Forecast'!$H$5:$H$81,"&gt;="&amp;'Dev Ops'!BH3,'New Hires Forecast'!$G$5:$G$81,"&lt;="&amp;'Dev Ops'!BH3)/12)),IF(YEAR(BH$3)=YEAR('New Hires Forecast'!$Q$3),((SUMIFS('New Hires Forecast'!$Q$5:$Q$81,'New Hires Forecast'!$F$5:$F$81,"Dev Ops",'New Hires Forecast'!$H$5:$H$81,"&gt;="&amp;'Dev Ops'!BH3,'New Hires Forecast'!$G$5:$G$81,"&lt;="&amp;'Dev Ops'!BH3)/12)),IF(YEAR(BH$3)=YEAR('New Hires Forecast'!$R$3),((SUMIFS('New Hires Forecast'!$R$5:$R$81,'New Hires Forecast'!$F$5:$F$81,"Dev Ops",'New Hires Forecast'!$H$5:$H$81,"&gt;="&amp;'Dev Ops'!BH3,'New Hires Forecast'!$G$5:$G$81,"&lt;="&amp;'Dev Ops'!BH3)/12))))))),0)</f>
        <v>0</v>
      </c>
      <c r="BI13" s="684">
        <f>IF(BI$4="forecast",IF(YEAR(BI$3)=YEAR('New Hires Forecast'!$N$3),((SUMIFS('New Hires Forecast'!$N$5:$N$81,'New Hires Forecast'!$F$5:$F$81,"Dev Ops",'New Hires Forecast'!$H$5:$H$81,"&gt;="&amp;'Dev Ops'!BI3,'New Hires Forecast'!$G$5:$G$81,"&lt;="&amp;'Dev Ops'!BI3)/12)),IF(YEAR(BI$3)=YEAR('New Hires Forecast'!$O$3),((SUMIFS('New Hires Forecast'!$O$5:$O$81,'New Hires Forecast'!$F$5:$F$81,"Dev Ops",'New Hires Forecast'!$H$5:$H$81,"&gt;="&amp;'Dev Ops'!BI3,'New Hires Forecast'!$G$5:$G$81,"&lt;="&amp;'Dev Ops'!BI3)/12)),IF(YEAR(BI$3)=YEAR('New Hires Forecast'!$P$3),((SUMIFS('New Hires Forecast'!$P$5:$P$81,'New Hires Forecast'!$F$5:$F$81,"Dev Ops",'New Hires Forecast'!$H$5:$H$81,"&gt;="&amp;'Dev Ops'!BI3,'New Hires Forecast'!$G$5:$G$81,"&lt;="&amp;'Dev Ops'!BI3)/12)),IF(YEAR(BI$3)=YEAR('New Hires Forecast'!$Q$3),((SUMIFS('New Hires Forecast'!$Q$5:$Q$81,'New Hires Forecast'!$F$5:$F$81,"Dev Ops",'New Hires Forecast'!$H$5:$H$81,"&gt;="&amp;'Dev Ops'!BI3,'New Hires Forecast'!$G$5:$G$81,"&lt;="&amp;'Dev Ops'!BI3)/12)),IF(YEAR(BI$3)=YEAR('New Hires Forecast'!$R$3),((SUMIFS('New Hires Forecast'!$R$5:$R$81,'New Hires Forecast'!$F$5:$F$81,"Dev Ops",'New Hires Forecast'!$H$5:$H$81,"&gt;="&amp;'Dev Ops'!BI3,'New Hires Forecast'!$G$5:$G$81,"&lt;="&amp;'Dev Ops'!BI3)/12))))))),0)</f>
        <v>0</v>
      </c>
      <c r="BJ13" s="684">
        <f>IF(BJ$4="forecast",IF(YEAR(BJ$3)=YEAR('New Hires Forecast'!$N$3),((SUMIFS('New Hires Forecast'!$N$5:$N$81,'New Hires Forecast'!$F$5:$F$81,"Dev Ops",'New Hires Forecast'!$H$5:$H$81,"&gt;="&amp;'Dev Ops'!BJ3,'New Hires Forecast'!$G$5:$G$81,"&lt;="&amp;'Dev Ops'!BJ3)/12)),IF(YEAR(BJ$3)=YEAR('New Hires Forecast'!$O$3),((SUMIFS('New Hires Forecast'!$O$5:$O$81,'New Hires Forecast'!$F$5:$F$81,"Dev Ops",'New Hires Forecast'!$H$5:$H$81,"&gt;="&amp;'Dev Ops'!BJ3,'New Hires Forecast'!$G$5:$G$81,"&lt;="&amp;'Dev Ops'!BJ3)/12)),IF(YEAR(BJ$3)=YEAR('New Hires Forecast'!$P$3),((SUMIFS('New Hires Forecast'!$P$5:$P$81,'New Hires Forecast'!$F$5:$F$81,"Dev Ops",'New Hires Forecast'!$H$5:$H$81,"&gt;="&amp;'Dev Ops'!BJ3,'New Hires Forecast'!$G$5:$G$81,"&lt;="&amp;'Dev Ops'!BJ3)/12)),IF(YEAR(BJ$3)=YEAR('New Hires Forecast'!$Q$3),((SUMIFS('New Hires Forecast'!$Q$5:$Q$81,'New Hires Forecast'!$F$5:$F$81,"Dev Ops",'New Hires Forecast'!$H$5:$H$81,"&gt;="&amp;'Dev Ops'!BJ3,'New Hires Forecast'!$G$5:$G$81,"&lt;="&amp;'Dev Ops'!BJ3)/12)),IF(YEAR(BJ$3)=YEAR('New Hires Forecast'!$R$3),((SUMIFS('New Hires Forecast'!$R$5:$R$81,'New Hires Forecast'!$F$5:$F$81,"Dev Ops",'New Hires Forecast'!$H$5:$H$81,"&gt;="&amp;'Dev Ops'!BJ3,'New Hires Forecast'!$G$5:$G$81,"&lt;="&amp;'Dev Ops'!BJ3)/12))))))),0)</f>
        <v>0</v>
      </c>
      <c r="BK13" s="684">
        <f>IF(BK$4="forecast",IF(YEAR(BK$3)=YEAR('New Hires Forecast'!$N$3),((SUMIFS('New Hires Forecast'!$N$5:$N$81,'New Hires Forecast'!$F$5:$F$81,"Dev Ops",'New Hires Forecast'!$H$5:$H$81,"&gt;="&amp;'Dev Ops'!BK3,'New Hires Forecast'!$G$5:$G$81,"&lt;="&amp;'Dev Ops'!BK3)/12)),IF(YEAR(BK$3)=YEAR('New Hires Forecast'!$O$3),((SUMIFS('New Hires Forecast'!$O$5:$O$81,'New Hires Forecast'!$F$5:$F$81,"Dev Ops",'New Hires Forecast'!$H$5:$H$81,"&gt;="&amp;'Dev Ops'!BK3,'New Hires Forecast'!$G$5:$G$81,"&lt;="&amp;'Dev Ops'!BK3)/12)),IF(YEAR(BK$3)=YEAR('New Hires Forecast'!$P$3),((SUMIFS('New Hires Forecast'!$P$5:$P$81,'New Hires Forecast'!$F$5:$F$81,"Dev Ops",'New Hires Forecast'!$H$5:$H$81,"&gt;="&amp;'Dev Ops'!BK3,'New Hires Forecast'!$G$5:$G$81,"&lt;="&amp;'Dev Ops'!BK3)/12)),IF(YEAR(BK$3)=YEAR('New Hires Forecast'!$Q$3),((SUMIFS('New Hires Forecast'!$Q$5:$Q$81,'New Hires Forecast'!$F$5:$F$81,"Dev Ops",'New Hires Forecast'!$H$5:$H$81,"&gt;="&amp;'Dev Ops'!BK3,'New Hires Forecast'!$G$5:$G$81,"&lt;="&amp;'Dev Ops'!BK3)/12)),IF(YEAR(BK$3)=YEAR('New Hires Forecast'!$R$3),((SUMIFS('New Hires Forecast'!$R$5:$R$81,'New Hires Forecast'!$F$5:$F$81,"Dev Ops",'New Hires Forecast'!$H$5:$H$81,"&gt;="&amp;'Dev Ops'!BK3,'New Hires Forecast'!$G$5:$G$81,"&lt;="&amp;'Dev Ops'!BK3)/12))))))),0)</f>
        <v>0</v>
      </c>
      <c r="BL13" s="684">
        <f>IF(BL$4="forecast",IF(YEAR(BL$3)=YEAR('New Hires Forecast'!$N$3),((SUMIFS('New Hires Forecast'!$N$5:$N$81,'New Hires Forecast'!$F$5:$F$81,"Dev Ops",'New Hires Forecast'!$H$5:$H$81,"&gt;="&amp;'Dev Ops'!BL3,'New Hires Forecast'!$G$5:$G$81,"&lt;="&amp;'Dev Ops'!BL3)/12)),IF(YEAR(BL$3)=YEAR('New Hires Forecast'!$O$3),((SUMIFS('New Hires Forecast'!$O$5:$O$81,'New Hires Forecast'!$F$5:$F$81,"Dev Ops",'New Hires Forecast'!$H$5:$H$81,"&gt;="&amp;'Dev Ops'!BL3,'New Hires Forecast'!$G$5:$G$81,"&lt;="&amp;'Dev Ops'!BL3)/12)),IF(YEAR(BL$3)=YEAR('New Hires Forecast'!$P$3),((SUMIFS('New Hires Forecast'!$P$5:$P$81,'New Hires Forecast'!$F$5:$F$81,"Dev Ops",'New Hires Forecast'!$H$5:$H$81,"&gt;="&amp;'Dev Ops'!BL3,'New Hires Forecast'!$G$5:$G$81,"&lt;="&amp;'Dev Ops'!BL3)/12)),IF(YEAR(BL$3)=YEAR('New Hires Forecast'!$Q$3),((SUMIFS('New Hires Forecast'!$Q$5:$Q$81,'New Hires Forecast'!$F$5:$F$81,"Dev Ops",'New Hires Forecast'!$H$5:$H$81,"&gt;="&amp;'Dev Ops'!BL3,'New Hires Forecast'!$G$5:$G$81,"&lt;="&amp;'Dev Ops'!BL3)/12)),IF(YEAR(BL$3)=YEAR('New Hires Forecast'!$R$3),((SUMIFS('New Hires Forecast'!$R$5:$R$81,'New Hires Forecast'!$F$5:$F$81,"Dev Ops",'New Hires Forecast'!$H$5:$H$81,"&gt;="&amp;'Dev Ops'!BL3,'New Hires Forecast'!$G$5:$G$81,"&lt;="&amp;'Dev Ops'!BL3)/12))))))),0)</f>
        <v>0</v>
      </c>
      <c r="BM13" s="684">
        <f>IF(BM$4="forecast",IF(YEAR(BM$3)=YEAR('New Hires Forecast'!$N$3),((SUMIFS('New Hires Forecast'!$N$5:$N$81,'New Hires Forecast'!$F$5:$F$81,"Dev Ops",'New Hires Forecast'!$H$5:$H$81,"&gt;="&amp;'Dev Ops'!BM3,'New Hires Forecast'!$G$5:$G$81,"&lt;="&amp;'Dev Ops'!BM3)/12)),IF(YEAR(BM$3)=YEAR('New Hires Forecast'!$O$3),((SUMIFS('New Hires Forecast'!$O$5:$O$81,'New Hires Forecast'!$F$5:$F$81,"Dev Ops",'New Hires Forecast'!$H$5:$H$81,"&gt;="&amp;'Dev Ops'!BM3,'New Hires Forecast'!$G$5:$G$81,"&lt;="&amp;'Dev Ops'!BM3)/12)),IF(YEAR(BM$3)=YEAR('New Hires Forecast'!$P$3),((SUMIFS('New Hires Forecast'!$P$5:$P$81,'New Hires Forecast'!$F$5:$F$81,"Dev Ops",'New Hires Forecast'!$H$5:$H$81,"&gt;="&amp;'Dev Ops'!BM3,'New Hires Forecast'!$G$5:$G$81,"&lt;="&amp;'Dev Ops'!BM3)/12)),IF(YEAR(BM$3)=YEAR('New Hires Forecast'!$Q$3),((SUMIFS('New Hires Forecast'!$Q$5:$Q$81,'New Hires Forecast'!$F$5:$F$81,"Dev Ops",'New Hires Forecast'!$H$5:$H$81,"&gt;="&amp;'Dev Ops'!BM3,'New Hires Forecast'!$G$5:$G$81,"&lt;="&amp;'Dev Ops'!BM3)/12)),IF(YEAR(BM$3)=YEAR('New Hires Forecast'!$R$3),((SUMIFS('New Hires Forecast'!$R$5:$R$81,'New Hires Forecast'!$F$5:$F$81,"Dev Ops",'New Hires Forecast'!$H$5:$H$81,"&gt;="&amp;'Dev Ops'!BM3,'New Hires Forecast'!$G$5:$G$81,"&lt;="&amp;'Dev Ops'!BM3)/12))))))),0)</f>
        <v>0</v>
      </c>
      <c r="BN13" s="684">
        <f>IF(BN$4="forecast",IF(YEAR(BN$3)=YEAR('New Hires Forecast'!$N$3),((SUMIFS('New Hires Forecast'!$N$5:$N$81,'New Hires Forecast'!$F$5:$F$81,"Dev Ops",'New Hires Forecast'!$H$5:$H$81,"&gt;="&amp;'Dev Ops'!BN3,'New Hires Forecast'!$G$5:$G$81,"&lt;="&amp;'Dev Ops'!BN3)/12)),IF(YEAR(BN$3)=YEAR('New Hires Forecast'!$O$3),((SUMIFS('New Hires Forecast'!$O$5:$O$81,'New Hires Forecast'!$F$5:$F$81,"Dev Ops",'New Hires Forecast'!$H$5:$H$81,"&gt;="&amp;'Dev Ops'!BN3,'New Hires Forecast'!$G$5:$G$81,"&lt;="&amp;'Dev Ops'!BN3)/12)),IF(YEAR(BN$3)=YEAR('New Hires Forecast'!$P$3),((SUMIFS('New Hires Forecast'!$P$5:$P$81,'New Hires Forecast'!$F$5:$F$81,"Dev Ops",'New Hires Forecast'!$H$5:$H$81,"&gt;="&amp;'Dev Ops'!BN3,'New Hires Forecast'!$G$5:$G$81,"&lt;="&amp;'Dev Ops'!BN3)/12)),IF(YEAR(BN$3)=YEAR('New Hires Forecast'!$Q$3),((SUMIFS('New Hires Forecast'!$Q$5:$Q$81,'New Hires Forecast'!$F$5:$F$81,"Dev Ops",'New Hires Forecast'!$H$5:$H$81,"&gt;="&amp;'Dev Ops'!BN3,'New Hires Forecast'!$G$5:$G$81,"&lt;="&amp;'Dev Ops'!BN3)/12)),IF(YEAR(BN$3)=YEAR('New Hires Forecast'!$R$3),((SUMIFS('New Hires Forecast'!$R$5:$R$81,'New Hires Forecast'!$F$5:$F$81,"Dev Ops",'New Hires Forecast'!$H$5:$H$81,"&gt;="&amp;'Dev Ops'!BN3,'New Hires Forecast'!$G$5:$G$81,"&lt;="&amp;'Dev Ops'!BN3)/12))))))),0)</f>
        <v>0</v>
      </c>
      <c r="BO13" s="684">
        <f>IF(BO$4="forecast",IF(YEAR(BO$3)=YEAR('New Hires Forecast'!$N$3),((SUMIFS('New Hires Forecast'!$N$5:$N$81,'New Hires Forecast'!$F$5:$F$81,"Dev Ops",'New Hires Forecast'!$H$5:$H$81,"&gt;="&amp;'Dev Ops'!BO3,'New Hires Forecast'!$G$5:$G$81,"&lt;="&amp;'Dev Ops'!BO3)/12)),IF(YEAR(BO$3)=YEAR('New Hires Forecast'!$O$3),((SUMIFS('New Hires Forecast'!$O$5:$O$81,'New Hires Forecast'!$F$5:$F$81,"Dev Ops",'New Hires Forecast'!$H$5:$H$81,"&gt;="&amp;'Dev Ops'!BO3,'New Hires Forecast'!$G$5:$G$81,"&lt;="&amp;'Dev Ops'!BO3)/12)),IF(YEAR(BO$3)=YEAR('New Hires Forecast'!$P$3),((SUMIFS('New Hires Forecast'!$P$5:$P$81,'New Hires Forecast'!$F$5:$F$81,"Dev Ops",'New Hires Forecast'!$H$5:$H$81,"&gt;="&amp;'Dev Ops'!BO3,'New Hires Forecast'!$G$5:$G$81,"&lt;="&amp;'Dev Ops'!BO3)/12)),IF(YEAR(BO$3)=YEAR('New Hires Forecast'!$Q$3),((SUMIFS('New Hires Forecast'!$Q$5:$Q$81,'New Hires Forecast'!$F$5:$F$81,"Dev Ops",'New Hires Forecast'!$H$5:$H$81,"&gt;="&amp;'Dev Ops'!BO3,'New Hires Forecast'!$G$5:$G$81,"&lt;="&amp;'Dev Ops'!BO3)/12)),IF(YEAR(BO$3)=YEAR('New Hires Forecast'!$R$3),((SUMIFS('New Hires Forecast'!$R$5:$R$81,'New Hires Forecast'!$F$5:$F$81,"Dev Ops",'New Hires Forecast'!$H$5:$H$81,"&gt;="&amp;'Dev Ops'!BO3,'New Hires Forecast'!$G$5:$G$81,"&lt;="&amp;'Dev Ops'!BO3)/12))))))),0)</f>
        <v>0</v>
      </c>
      <c r="BP13" s="684">
        <f>IF(BP$4="forecast",IF(YEAR(BP$3)=YEAR('New Hires Forecast'!$N$3),((SUMIFS('New Hires Forecast'!$N$5:$N$81,'New Hires Forecast'!$F$5:$F$81,"Dev Ops",'New Hires Forecast'!$H$5:$H$81,"&gt;="&amp;'Dev Ops'!BP3,'New Hires Forecast'!$G$5:$G$81,"&lt;="&amp;'Dev Ops'!BP3)/12)),IF(YEAR(BP$3)=YEAR('New Hires Forecast'!$O$3),((SUMIFS('New Hires Forecast'!$O$5:$O$81,'New Hires Forecast'!$F$5:$F$81,"Dev Ops",'New Hires Forecast'!$H$5:$H$81,"&gt;="&amp;'Dev Ops'!BP3,'New Hires Forecast'!$G$5:$G$81,"&lt;="&amp;'Dev Ops'!BP3)/12)),IF(YEAR(BP$3)=YEAR('New Hires Forecast'!$P$3),((SUMIFS('New Hires Forecast'!$P$5:$P$81,'New Hires Forecast'!$F$5:$F$81,"Dev Ops",'New Hires Forecast'!$H$5:$H$81,"&gt;="&amp;'Dev Ops'!BP3,'New Hires Forecast'!$G$5:$G$81,"&lt;="&amp;'Dev Ops'!BP3)/12)),IF(YEAR(BP$3)=YEAR('New Hires Forecast'!$Q$3),((SUMIFS('New Hires Forecast'!$Q$5:$Q$81,'New Hires Forecast'!$F$5:$F$81,"Dev Ops",'New Hires Forecast'!$H$5:$H$81,"&gt;="&amp;'Dev Ops'!BP3,'New Hires Forecast'!$G$5:$G$81,"&lt;="&amp;'Dev Ops'!BP3)/12)),IF(YEAR(BP$3)=YEAR('New Hires Forecast'!$R$3),((SUMIFS('New Hires Forecast'!$R$5:$R$81,'New Hires Forecast'!$F$5:$F$81,"Dev Ops",'New Hires Forecast'!$H$5:$H$81,"&gt;="&amp;'Dev Ops'!BP3,'New Hires Forecast'!$G$5:$G$81,"&lt;="&amp;'Dev Ops'!BP3)/12))))))),0)</f>
        <v>0</v>
      </c>
      <c r="BQ13" s="684">
        <f>IF(BQ$4="forecast",IF(YEAR(BQ$3)=YEAR('New Hires Forecast'!$N$3),((SUMIFS('New Hires Forecast'!$N$5:$N$81,'New Hires Forecast'!$F$5:$F$81,"Dev Ops",'New Hires Forecast'!$H$5:$H$81,"&gt;="&amp;'Dev Ops'!BQ3,'New Hires Forecast'!$G$5:$G$81,"&lt;="&amp;'Dev Ops'!BQ3)/12)),IF(YEAR(BQ$3)=YEAR('New Hires Forecast'!$O$3),((SUMIFS('New Hires Forecast'!$O$5:$O$81,'New Hires Forecast'!$F$5:$F$81,"Dev Ops",'New Hires Forecast'!$H$5:$H$81,"&gt;="&amp;'Dev Ops'!BQ3,'New Hires Forecast'!$G$5:$G$81,"&lt;="&amp;'Dev Ops'!BQ3)/12)),IF(YEAR(BQ$3)=YEAR('New Hires Forecast'!$P$3),((SUMIFS('New Hires Forecast'!$P$5:$P$81,'New Hires Forecast'!$F$5:$F$81,"Dev Ops",'New Hires Forecast'!$H$5:$H$81,"&gt;="&amp;'Dev Ops'!BQ3,'New Hires Forecast'!$G$5:$G$81,"&lt;="&amp;'Dev Ops'!BQ3)/12)),IF(YEAR(BQ$3)=YEAR('New Hires Forecast'!$Q$3),((SUMIFS('New Hires Forecast'!$Q$5:$Q$81,'New Hires Forecast'!$F$5:$F$81,"Dev Ops",'New Hires Forecast'!$H$5:$H$81,"&gt;="&amp;'Dev Ops'!BQ3,'New Hires Forecast'!$G$5:$G$81,"&lt;="&amp;'Dev Ops'!BQ3)/12)),IF(YEAR(BQ$3)=YEAR('New Hires Forecast'!$R$3),((SUMIFS('New Hires Forecast'!$R$5:$R$81,'New Hires Forecast'!$F$5:$F$81,"Dev Ops",'New Hires Forecast'!$H$5:$H$81,"&gt;="&amp;'Dev Ops'!BQ3,'New Hires Forecast'!$G$5:$G$81,"&lt;="&amp;'Dev Ops'!BQ3)/12))))))),0)</f>
        <v>0</v>
      </c>
      <c r="BR13" s="684">
        <f>IF(BR$4="forecast",IF(YEAR(BR$3)=YEAR('New Hires Forecast'!$N$3),((SUMIFS('New Hires Forecast'!$N$5:$N$81,'New Hires Forecast'!$F$5:$F$81,"Dev Ops",'New Hires Forecast'!$H$5:$H$81,"&gt;="&amp;'Dev Ops'!BR3,'New Hires Forecast'!$G$5:$G$81,"&lt;="&amp;'Dev Ops'!BR3)/12)),IF(YEAR(BR$3)=YEAR('New Hires Forecast'!$O$3),((SUMIFS('New Hires Forecast'!$O$5:$O$81,'New Hires Forecast'!$F$5:$F$81,"Dev Ops",'New Hires Forecast'!$H$5:$H$81,"&gt;="&amp;'Dev Ops'!BR3,'New Hires Forecast'!$G$5:$G$81,"&lt;="&amp;'Dev Ops'!BR3)/12)),IF(YEAR(BR$3)=YEAR('New Hires Forecast'!$P$3),((SUMIFS('New Hires Forecast'!$P$5:$P$81,'New Hires Forecast'!$F$5:$F$81,"Dev Ops",'New Hires Forecast'!$H$5:$H$81,"&gt;="&amp;'Dev Ops'!BR3,'New Hires Forecast'!$G$5:$G$81,"&lt;="&amp;'Dev Ops'!BR3)/12)),IF(YEAR(BR$3)=YEAR('New Hires Forecast'!$Q$3),((SUMIFS('New Hires Forecast'!$Q$5:$Q$81,'New Hires Forecast'!$F$5:$F$81,"Dev Ops",'New Hires Forecast'!$H$5:$H$81,"&gt;="&amp;'Dev Ops'!BR3,'New Hires Forecast'!$G$5:$G$81,"&lt;="&amp;'Dev Ops'!BR3)/12)),IF(YEAR(BR$3)=YEAR('New Hires Forecast'!$R$3),((SUMIFS('New Hires Forecast'!$R$5:$R$81,'New Hires Forecast'!$F$5:$F$81,"Dev Ops",'New Hires Forecast'!$H$5:$H$81,"&gt;="&amp;'Dev Ops'!BR3,'New Hires Forecast'!$G$5:$G$81,"&lt;="&amp;'Dev Ops'!BR3)/12))))))),0)</f>
        <v>0</v>
      </c>
      <c r="BS13" s="684">
        <f>IF(BS$4="forecast",IF(YEAR(BS$3)=YEAR('New Hires Forecast'!$N$3),((SUMIFS('New Hires Forecast'!$N$5:$N$81,'New Hires Forecast'!$F$5:$F$81,"Dev Ops",'New Hires Forecast'!$H$5:$H$81,"&gt;="&amp;'Dev Ops'!BS3,'New Hires Forecast'!$G$5:$G$81,"&lt;="&amp;'Dev Ops'!BS3)/12)),IF(YEAR(BS$3)=YEAR('New Hires Forecast'!$O$3),((SUMIFS('New Hires Forecast'!$O$5:$O$81,'New Hires Forecast'!$F$5:$F$81,"Dev Ops",'New Hires Forecast'!$H$5:$H$81,"&gt;="&amp;'Dev Ops'!BS3,'New Hires Forecast'!$G$5:$G$81,"&lt;="&amp;'Dev Ops'!BS3)/12)),IF(YEAR(BS$3)=YEAR('New Hires Forecast'!$P$3),((SUMIFS('New Hires Forecast'!$P$5:$P$81,'New Hires Forecast'!$F$5:$F$81,"Dev Ops",'New Hires Forecast'!$H$5:$H$81,"&gt;="&amp;'Dev Ops'!BS3,'New Hires Forecast'!$G$5:$G$81,"&lt;="&amp;'Dev Ops'!BS3)/12)),IF(YEAR(BS$3)=YEAR('New Hires Forecast'!$Q$3),((SUMIFS('New Hires Forecast'!$Q$5:$Q$81,'New Hires Forecast'!$F$5:$F$81,"Dev Ops",'New Hires Forecast'!$H$5:$H$81,"&gt;="&amp;'Dev Ops'!BS3,'New Hires Forecast'!$G$5:$G$81,"&lt;="&amp;'Dev Ops'!BS3)/12)),IF(YEAR(BS$3)=YEAR('New Hires Forecast'!$R$3),((SUMIFS('New Hires Forecast'!$R$5:$R$81,'New Hires Forecast'!$F$5:$F$81,"Dev Ops",'New Hires Forecast'!$H$5:$H$81,"&gt;="&amp;'Dev Ops'!BS3,'New Hires Forecast'!$G$5:$G$81,"&lt;="&amp;'Dev Ops'!BS3)/12))))))),0)</f>
        <v>0</v>
      </c>
      <c r="BT13" s="684">
        <f>IF(BT$4="forecast",IF(YEAR(BT$3)=YEAR('New Hires Forecast'!$N$3),((SUMIFS('New Hires Forecast'!$N$5:$N$81,'New Hires Forecast'!$F$5:$F$81,"Dev Ops",'New Hires Forecast'!$H$5:$H$81,"&gt;="&amp;'Dev Ops'!BT3,'New Hires Forecast'!$G$5:$G$81,"&lt;="&amp;'Dev Ops'!BT3)/12)),IF(YEAR(BT$3)=YEAR('New Hires Forecast'!$O$3),((SUMIFS('New Hires Forecast'!$O$5:$O$81,'New Hires Forecast'!$F$5:$F$81,"Dev Ops",'New Hires Forecast'!$H$5:$H$81,"&gt;="&amp;'Dev Ops'!BT3,'New Hires Forecast'!$G$5:$G$81,"&lt;="&amp;'Dev Ops'!BT3)/12)),IF(YEAR(BT$3)=YEAR('New Hires Forecast'!$P$3),((SUMIFS('New Hires Forecast'!$P$5:$P$81,'New Hires Forecast'!$F$5:$F$81,"Dev Ops",'New Hires Forecast'!$H$5:$H$81,"&gt;="&amp;'Dev Ops'!BT3,'New Hires Forecast'!$G$5:$G$81,"&lt;="&amp;'Dev Ops'!BT3)/12)),IF(YEAR(BT$3)=YEAR('New Hires Forecast'!$Q$3),((SUMIFS('New Hires Forecast'!$Q$5:$Q$81,'New Hires Forecast'!$F$5:$F$81,"Dev Ops",'New Hires Forecast'!$H$5:$H$81,"&gt;="&amp;'Dev Ops'!BT3,'New Hires Forecast'!$G$5:$G$81,"&lt;="&amp;'Dev Ops'!BT3)/12)),IF(YEAR(BT$3)=YEAR('New Hires Forecast'!$R$3),((SUMIFS('New Hires Forecast'!$R$5:$R$81,'New Hires Forecast'!$F$5:$F$81,"Dev Ops",'New Hires Forecast'!$H$5:$H$81,"&gt;="&amp;'Dev Ops'!BT3,'New Hires Forecast'!$G$5:$G$81,"&lt;="&amp;'Dev Ops'!BT3)/12))))))),0)</f>
        <v>0</v>
      </c>
      <c r="BU13" s="684">
        <f>IF(BU$4="forecast",IF(YEAR(BU$3)=YEAR('New Hires Forecast'!$N$3),((SUMIFS('New Hires Forecast'!$N$5:$N$81,'New Hires Forecast'!$F$5:$F$81,"Dev Ops",'New Hires Forecast'!$H$5:$H$81,"&gt;="&amp;'Dev Ops'!BU3,'New Hires Forecast'!$G$5:$G$81,"&lt;="&amp;'Dev Ops'!BU3)/12)),IF(YEAR(BU$3)=YEAR('New Hires Forecast'!$O$3),((SUMIFS('New Hires Forecast'!$O$5:$O$81,'New Hires Forecast'!$F$5:$F$81,"Dev Ops",'New Hires Forecast'!$H$5:$H$81,"&gt;="&amp;'Dev Ops'!BU3,'New Hires Forecast'!$G$5:$G$81,"&lt;="&amp;'Dev Ops'!BU3)/12)),IF(YEAR(BU$3)=YEAR('New Hires Forecast'!$P$3),((SUMIFS('New Hires Forecast'!$P$5:$P$81,'New Hires Forecast'!$F$5:$F$81,"Dev Ops",'New Hires Forecast'!$H$5:$H$81,"&gt;="&amp;'Dev Ops'!BU3,'New Hires Forecast'!$G$5:$G$81,"&lt;="&amp;'Dev Ops'!BU3)/12)),IF(YEAR(BU$3)=YEAR('New Hires Forecast'!$Q$3),((SUMIFS('New Hires Forecast'!$Q$5:$Q$81,'New Hires Forecast'!$F$5:$F$81,"Dev Ops",'New Hires Forecast'!$H$5:$H$81,"&gt;="&amp;'Dev Ops'!BU3,'New Hires Forecast'!$G$5:$G$81,"&lt;="&amp;'Dev Ops'!BU3)/12)),IF(YEAR(BU$3)=YEAR('New Hires Forecast'!$R$3),((SUMIFS('New Hires Forecast'!$R$5:$R$81,'New Hires Forecast'!$F$5:$F$81,"Dev Ops",'New Hires Forecast'!$H$5:$H$81,"&gt;="&amp;'Dev Ops'!BU3,'New Hires Forecast'!$G$5:$G$81,"&lt;="&amp;'Dev Ops'!BU3)/12))))))),0)</f>
        <v>0</v>
      </c>
      <c r="BV13" s="808">
        <f>IF(BV$4="forecast",IF(YEAR(BV$3)=YEAR('New Hires Forecast'!$N$3),((SUMIFS('New Hires Forecast'!$N$5:$N$81,'New Hires Forecast'!$F$5:$F$81,"Dev Ops",'New Hires Forecast'!$H$5:$H$81,"&gt;="&amp;'Dev Ops'!BV3,'New Hires Forecast'!$G$5:$G$81,"&lt;="&amp;'Dev Ops'!BV3)/12)),IF(YEAR(BV$3)=YEAR('New Hires Forecast'!$O$3),((SUMIFS('New Hires Forecast'!$O$5:$O$81,'New Hires Forecast'!$F$5:$F$81,"Dev Ops",'New Hires Forecast'!$H$5:$H$81,"&gt;="&amp;'Dev Ops'!BV3,'New Hires Forecast'!$G$5:$G$81,"&lt;="&amp;'Dev Ops'!BV3)/12)),IF(YEAR(BV$3)=YEAR('New Hires Forecast'!$P$3),((SUMIFS('New Hires Forecast'!$P$5:$P$81,'New Hires Forecast'!$F$5:$F$81,"Dev Ops",'New Hires Forecast'!$H$5:$H$81,"&gt;="&amp;'Dev Ops'!BV3,'New Hires Forecast'!$G$5:$G$81,"&lt;="&amp;'Dev Ops'!BV3)/12)),IF(YEAR(BV$3)=YEAR('New Hires Forecast'!$Q$3),((SUMIFS('New Hires Forecast'!$Q$5:$Q$81,'New Hires Forecast'!$F$5:$F$81,"Dev Ops",'New Hires Forecast'!$H$5:$H$81,"&gt;="&amp;'Dev Ops'!BV3,'New Hires Forecast'!$G$5:$G$81,"&lt;="&amp;'Dev Ops'!BV3)/12)),IF(YEAR(BV$3)=YEAR('New Hires Forecast'!$R$3),((SUMIFS('New Hires Forecast'!$R$5:$R$81,'New Hires Forecast'!$F$5:$F$81,"Dev Ops",'New Hires Forecast'!$H$5:$H$81,"&gt;="&amp;'Dev Ops'!BV3,'New Hires Forecast'!$G$5:$G$81,"&lt;="&amp;'Dev Ops'!BV3)/12))))))),0)</f>
        <v>0</v>
      </c>
    </row>
    <row r="14" spans="2:74" x14ac:dyDescent="0.35">
      <c r="B14" s="809" t="s">
        <v>936</v>
      </c>
      <c r="C14" s="806">
        <f t="shared" ref="C14" si="2">SUM(C12:C13)</f>
        <v>20759.3</v>
      </c>
      <c r="D14" s="806">
        <f t="shared" ref="D14:BO14" si="3">SUM(D12:D13)</f>
        <v>19938.13</v>
      </c>
      <c r="E14" s="806">
        <f t="shared" si="3"/>
        <v>19708.23</v>
      </c>
      <c r="F14" s="806">
        <f t="shared" si="3"/>
        <v>22006.140000000003</v>
      </c>
      <c r="G14" s="806">
        <f t="shared" si="3"/>
        <v>22054.17</v>
      </c>
      <c r="H14" s="806">
        <f t="shared" si="3"/>
        <v>30928.66</v>
      </c>
      <c r="I14" s="806">
        <f t="shared" si="3"/>
        <v>20619.11</v>
      </c>
      <c r="J14" s="806">
        <f t="shared" si="3"/>
        <v>24748.86</v>
      </c>
      <c r="K14" s="806">
        <f t="shared" si="3"/>
        <v>22151.039999999997</v>
      </c>
      <c r="L14" s="806">
        <f t="shared" si="3"/>
        <v>26570.52</v>
      </c>
      <c r="M14" s="806">
        <f t="shared" si="3"/>
        <v>53436.23</v>
      </c>
      <c r="N14" s="806">
        <f t="shared" si="3"/>
        <v>48197.46</v>
      </c>
      <c r="O14" s="806">
        <f t="shared" si="3"/>
        <v>35863.93</v>
      </c>
      <c r="P14" s="806">
        <f t="shared" si="3"/>
        <v>24892.16</v>
      </c>
      <c r="Q14" s="806">
        <f t="shared" si="3"/>
        <v>45943.78</v>
      </c>
      <c r="R14" s="806">
        <f t="shared" si="3"/>
        <v>30656.809999999998</v>
      </c>
      <c r="S14" s="806">
        <f t="shared" si="3"/>
        <v>61901.440000000002</v>
      </c>
      <c r="T14" s="806">
        <f t="shared" si="3"/>
        <v>69057.39</v>
      </c>
      <c r="U14" s="806">
        <f t="shared" si="3"/>
        <v>49451.8</v>
      </c>
      <c r="V14" s="806">
        <f t="shared" si="3"/>
        <v>55336.91</v>
      </c>
      <c r="W14" s="806">
        <f t="shared" si="3"/>
        <v>52650.82</v>
      </c>
      <c r="X14" s="806">
        <f t="shared" si="3"/>
        <v>56450.319999999992</v>
      </c>
      <c r="Y14" s="806">
        <f t="shared" si="3"/>
        <v>55818.600000000006</v>
      </c>
      <c r="Z14" s="806">
        <f t="shared" si="3"/>
        <v>64812.06</v>
      </c>
      <c r="AA14" s="806">
        <f t="shared" si="3"/>
        <v>64812.06</v>
      </c>
      <c r="AB14" s="806">
        <f t="shared" si="3"/>
        <v>87994.166666666672</v>
      </c>
      <c r="AC14" s="806">
        <f t="shared" si="3"/>
        <v>87994.166666666672</v>
      </c>
      <c r="AD14" s="806">
        <f t="shared" si="3"/>
        <v>87994.166666666672</v>
      </c>
      <c r="AE14" s="806">
        <f t="shared" si="3"/>
        <v>87994.166666666672</v>
      </c>
      <c r="AF14" s="806">
        <f t="shared" si="3"/>
        <v>87994.166666666672</v>
      </c>
      <c r="AG14" s="806">
        <f t="shared" si="3"/>
        <v>87994.166666666672</v>
      </c>
      <c r="AH14" s="806">
        <f t="shared" si="3"/>
        <v>87994.166666666672</v>
      </c>
      <c r="AI14" s="806">
        <f t="shared" si="3"/>
        <v>87994.166666666672</v>
      </c>
      <c r="AJ14" s="806">
        <f t="shared" si="3"/>
        <v>87994.166666666672</v>
      </c>
      <c r="AK14" s="806">
        <f t="shared" si="3"/>
        <v>87994.166666666672</v>
      </c>
      <c r="AL14" s="806">
        <f t="shared" si="3"/>
        <v>87994.166666666672</v>
      </c>
      <c r="AM14" s="806">
        <f t="shared" si="3"/>
        <v>87994.166666666672</v>
      </c>
      <c r="AN14" s="806">
        <f t="shared" si="3"/>
        <v>109100.84166666666</v>
      </c>
      <c r="AO14" s="806">
        <f t="shared" si="3"/>
        <v>109100.84166666666</v>
      </c>
      <c r="AP14" s="806">
        <f t="shared" si="3"/>
        <v>109100.84166666666</v>
      </c>
      <c r="AQ14" s="806">
        <f t="shared" si="3"/>
        <v>109100.84166666666</v>
      </c>
      <c r="AR14" s="806">
        <f t="shared" si="3"/>
        <v>109100.84166666666</v>
      </c>
      <c r="AS14" s="806">
        <f t="shared" si="3"/>
        <v>109100.84166666666</v>
      </c>
      <c r="AT14" s="806">
        <f t="shared" si="3"/>
        <v>109100.84166666666</v>
      </c>
      <c r="AU14" s="806">
        <f t="shared" si="3"/>
        <v>109100.84166666666</v>
      </c>
      <c r="AV14" s="806">
        <f t="shared" si="3"/>
        <v>109100.84166666666</v>
      </c>
      <c r="AW14" s="806">
        <f t="shared" si="3"/>
        <v>109100.84166666666</v>
      </c>
      <c r="AX14" s="806">
        <f t="shared" si="3"/>
        <v>109100.84166666666</v>
      </c>
      <c r="AY14" s="806">
        <f t="shared" si="3"/>
        <v>109100.84166666666</v>
      </c>
      <c r="AZ14" s="806">
        <f t="shared" si="3"/>
        <v>112726.78358333331</v>
      </c>
      <c r="BA14" s="806">
        <f t="shared" si="3"/>
        <v>112726.78358333331</v>
      </c>
      <c r="BB14" s="806">
        <f t="shared" si="3"/>
        <v>112726.78358333331</v>
      </c>
      <c r="BC14" s="806">
        <f t="shared" si="3"/>
        <v>112726.78358333331</v>
      </c>
      <c r="BD14" s="806">
        <f t="shared" si="3"/>
        <v>112726.78358333331</v>
      </c>
      <c r="BE14" s="806">
        <f t="shared" si="3"/>
        <v>112726.78358333331</v>
      </c>
      <c r="BF14" s="806">
        <f t="shared" si="3"/>
        <v>112726.78358333331</v>
      </c>
      <c r="BG14" s="806">
        <f t="shared" si="3"/>
        <v>112726.78358333331</v>
      </c>
      <c r="BH14" s="806">
        <f t="shared" si="3"/>
        <v>112726.78358333331</v>
      </c>
      <c r="BI14" s="806">
        <f t="shared" si="3"/>
        <v>112726.78358333331</v>
      </c>
      <c r="BJ14" s="806">
        <f t="shared" si="3"/>
        <v>112726.78358333331</v>
      </c>
      <c r="BK14" s="806">
        <f t="shared" si="3"/>
        <v>112726.78358333331</v>
      </c>
      <c r="BL14" s="806">
        <f t="shared" si="3"/>
        <v>116496.79542416672</v>
      </c>
      <c r="BM14" s="806">
        <f t="shared" si="3"/>
        <v>116496.79542416672</v>
      </c>
      <c r="BN14" s="806">
        <f t="shared" si="3"/>
        <v>116496.79542416672</v>
      </c>
      <c r="BO14" s="806">
        <f t="shared" si="3"/>
        <v>116496.79542416672</v>
      </c>
      <c r="BP14" s="806">
        <f t="shared" ref="BP14:BV14" si="4">SUM(BP12:BP13)</f>
        <v>116496.79542416672</v>
      </c>
      <c r="BQ14" s="806">
        <f t="shared" si="4"/>
        <v>116496.79542416672</v>
      </c>
      <c r="BR14" s="806">
        <f t="shared" si="4"/>
        <v>116496.79542416672</v>
      </c>
      <c r="BS14" s="806">
        <f t="shared" si="4"/>
        <v>116496.79542416672</v>
      </c>
      <c r="BT14" s="806">
        <f t="shared" si="4"/>
        <v>116496.79542416672</v>
      </c>
      <c r="BU14" s="806">
        <f t="shared" si="4"/>
        <v>116496.79542416672</v>
      </c>
      <c r="BV14" s="807">
        <f t="shared" si="4"/>
        <v>116496.79542416672</v>
      </c>
    </row>
    <row r="15" spans="2:74" x14ac:dyDescent="0.35">
      <c r="B15" s="797" t="s">
        <v>938</v>
      </c>
      <c r="C15" s="684">
        <f>IF(C$4="forecast",IF(YEAR(C$3)=YEAR('New Hires Forecast'!$N$3),IF((C$5=12),(SUMPRODUCT(--('New Hires Forecast'!$F$5:$F$84="Development Operations"),--('New Hires Forecast'!$H$5:$H$84&gt;='Dev Ops'!C$3),'New Hires Forecast'!$N$5:$N$84,'New Hires Forecast'!$L$5:$L$84)),0),IF(YEAR(C$3)=YEAR('New Hires Forecast'!$O$3),IF((C$5=12),(SUMPRODUCT(--('New Hires Forecast'!$F$5:$F$84="Development Operations"),--('New Hires Forecast'!$H$5:$H$84&gt;='Dev Ops'!C$3),'New Hires Forecast'!$O$5:$O$84,'New Hires Forecast'!$L$5:$L$84)),0),IF(YEAR(C$3)=YEAR('New Hires Forecast'!$P$3),IF((C$5=12),(SUMPRODUCT(--('New Hires Forecast'!$F$5:$F$84="Development Operations"),--('New Hires Forecast'!$H$5:$H$84&gt;='Dev Ops'!C$3),'New Hires Forecast'!$P$5:$P$84,'New Hires Forecast'!$L$5:$L$84)),0),IF(YEAR(C$3)=YEAR('New Hires Forecast'!$Q$3),IF((C$5=12),(SUMPRODUCT(--('New Hires Forecast'!$F$5:$F$84="Development Operations"),--('New Hires Forecast'!$H$5:$H$84&gt;='Dev Ops'!C$3),'New Hires Forecast'!$Q$5:$Q$84,'New Hires Forecast'!$L$5:$L$84)),0),IF(YEAR(C$3)=YEAR('New Hires Forecast'!$R$3),IF((C$5=12),(SUMPRODUCT(--('New Hires Forecast'!$F$5:$F$84="Development Operations"),--('New Hires Forecast'!$H$5:$H$84&gt;='Dev Ops'!C$3),'New Hires Forecast'!$R$5:$R$84,'New Hires Forecast'!$L$5:$L$84)),0),"New Year"))))),0)</f>
        <v>0</v>
      </c>
      <c r="D15" s="684">
        <f>IF(D$4="forecast",IF(YEAR(D$3)=YEAR('New Hires Forecast'!$N$3),IF((D$5=12),(SUMPRODUCT(--('New Hires Forecast'!$F$5:$F$84="Development Operations"),--('New Hires Forecast'!$H$5:$H$84&gt;='Dev Ops'!D$3),'New Hires Forecast'!$N$5:$N$84,'New Hires Forecast'!$L$5:$L$84)),0),IF(YEAR(D$3)=YEAR('New Hires Forecast'!$O$3),IF((D$5=12),(SUMPRODUCT(--('New Hires Forecast'!$F$5:$F$84="Development Operations"),--('New Hires Forecast'!$H$5:$H$84&gt;='Dev Ops'!D$3),'New Hires Forecast'!$O$5:$O$84,'New Hires Forecast'!$L$5:$L$84)),0),IF(YEAR(D$3)=YEAR('New Hires Forecast'!$P$3),IF((D$5=12),(SUMPRODUCT(--('New Hires Forecast'!$F$5:$F$84="Development Operations"),--('New Hires Forecast'!$H$5:$H$84&gt;='Dev Ops'!D$3),'New Hires Forecast'!$P$5:$P$84,'New Hires Forecast'!$L$5:$L$84)),0),IF(YEAR(D$3)=YEAR('New Hires Forecast'!$Q$3),IF((D$5=12),(SUMPRODUCT(--('New Hires Forecast'!$F$5:$F$84="Development Operations"),--('New Hires Forecast'!$H$5:$H$84&gt;='Dev Ops'!D$3),'New Hires Forecast'!$Q$5:$Q$84,'New Hires Forecast'!$L$5:$L$84)),0),IF(YEAR(D$3)=YEAR('New Hires Forecast'!$R$3),IF((D$5=12),(SUMPRODUCT(--('New Hires Forecast'!$F$5:$F$84="Development Operations"),--('New Hires Forecast'!$H$5:$H$84&gt;='Dev Ops'!D$3),'New Hires Forecast'!$R$5:$R$84,'New Hires Forecast'!$L$5:$L$84)),0),"New Year"))))),0)</f>
        <v>0</v>
      </c>
      <c r="E15" s="684">
        <f>IF(E$4="forecast",IF(YEAR(E$3)=YEAR('New Hires Forecast'!$N$3),IF((E$5=12),(SUMPRODUCT(--('New Hires Forecast'!$F$5:$F$84="Development Operations"),--('New Hires Forecast'!$H$5:$H$84&gt;='Dev Ops'!E$3),'New Hires Forecast'!$N$5:$N$84,'New Hires Forecast'!$L$5:$L$84)),0),IF(YEAR(E$3)=YEAR('New Hires Forecast'!$O$3),IF((E$5=12),(SUMPRODUCT(--('New Hires Forecast'!$F$5:$F$84="Development Operations"),--('New Hires Forecast'!$H$5:$H$84&gt;='Dev Ops'!E$3),'New Hires Forecast'!$O$5:$O$84,'New Hires Forecast'!$L$5:$L$84)),0),IF(YEAR(E$3)=YEAR('New Hires Forecast'!$P$3),IF((E$5=12),(SUMPRODUCT(--('New Hires Forecast'!$F$5:$F$84="Development Operations"),--('New Hires Forecast'!$H$5:$H$84&gt;='Dev Ops'!E$3),'New Hires Forecast'!$P$5:$P$84,'New Hires Forecast'!$L$5:$L$84)),0),IF(YEAR(E$3)=YEAR('New Hires Forecast'!$Q$3),IF((E$5=12),(SUMPRODUCT(--('New Hires Forecast'!$F$5:$F$84="Development Operations"),--('New Hires Forecast'!$H$5:$H$84&gt;='Dev Ops'!E$3),'New Hires Forecast'!$Q$5:$Q$84,'New Hires Forecast'!$L$5:$L$84)),0),IF(YEAR(E$3)=YEAR('New Hires Forecast'!$R$3),IF((E$5=12),(SUMPRODUCT(--('New Hires Forecast'!$F$5:$F$84="Development Operations"),--('New Hires Forecast'!$H$5:$H$84&gt;='Dev Ops'!E$3),'New Hires Forecast'!$R$5:$R$84,'New Hires Forecast'!$L$5:$L$84)),0),"New Year"))))),0)</f>
        <v>0</v>
      </c>
      <c r="F15" s="684">
        <f>IF(F$4="forecast",IF(YEAR(F$3)=YEAR('New Hires Forecast'!$N$3),IF((F$5=12),(SUMPRODUCT(--('New Hires Forecast'!$F$5:$F$84="Development Operations"),--('New Hires Forecast'!$H$5:$H$84&gt;='Dev Ops'!F$3),'New Hires Forecast'!$N$5:$N$84,'New Hires Forecast'!$L$5:$L$84)),0),IF(YEAR(F$3)=YEAR('New Hires Forecast'!$O$3),IF((F$5=12),(SUMPRODUCT(--('New Hires Forecast'!$F$5:$F$84="Development Operations"),--('New Hires Forecast'!$H$5:$H$84&gt;='Dev Ops'!F$3),'New Hires Forecast'!$O$5:$O$84,'New Hires Forecast'!$L$5:$L$84)),0),IF(YEAR(F$3)=YEAR('New Hires Forecast'!$P$3),IF((F$5=12),(SUMPRODUCT(--('New Hires Forecast'!$F$5:$F$84="Development Operations"),--('New Hires Forecast'!$H$5:$H$84&gt;='Dev Ops'!F$3),'New Hires Forecast'!$P$5:$P$84,'New Hires Forecast'!$L$5:$L$84)),0),IF(YEAR(F$3)=YEAR('New Hires Forecast'!$Q$3),IF((F$5=12),(SUMPRODUCT(--('New Hires Forecast'!$F$5:$F$84="Development Operations"),--('New Hires Forecast'!$H$5:$H$84&gt;='Dev Ops'!F$3),'New Hires Forecast'!$Q$5:$Q$84,'New Hires Forecast'!$L$5:$L$84)),0),IF(YEAR(F$3)=YEAR('New Hires Forecast'!$R$3),IF((F$5=12),(SUMPRODUCT(--('New Hires Forecast'!$F$5:$F$84="Development Operations"),--('New Hires Forecast'!$H$5:$H$84&gt;='Dev Ops'!F$3),'New Hires Forecast'!$R$5:$R$84,'New Hires Forecast'!$L$5:$L$84)),0),"New Year"))))),0)</f>
        <v>0</v>
      </c>
      <c r="G15" s="684">
        <f>IF(G$4="forecast",IF(YEAR(G$3)=YEAR('New Hires Forecast'!$N$3),IF((G$5=12),(SUMPRODUCT(--('New Hires Forecast'!$F$5:$F$84="Development Operations"),--('New Hires Forecast'!$H$5:$H$84&gt;='Dev Ops'!G$3),'New Hires Forecast'!$N$5:$N$84,'New Hires Forecast'!$L$5:$L$84)),0),IF(YEAR(G$3)=YEAR('New Hires Forecast'!$O$3),IF((G$5=12),(SUMPRODUCT(--('New Hires Forecast'!$F$5:$F$84="Development Operations"),--('New Hires Forecast'!$H$5:$H$84&gt;='Dev Ops'!G$3),'New Hires Forecast'!$O$5:$O$84,'New Hires Forecast'!$L$5:$L$84)),0),IF(YEAR(G$3)=YEAR('New Hires Forecast'!$P$3),IF((G$5=12),(SUMPRODUCT(--('New Hires Forecast'!$F$5:$F$84="Development Operations"),--('New Hires Forecast'!$H$5:$H$84&gt;='Dev Ops'!G$3),'New Hires Forecast'!$P$5:$P$84,'New Hires Forecast'!$L$5:$L$84)),0),IF(YEAR(G$3)=YEAR('New Hires Forecast'!$Q$3),IF((G$5=12),(SUMPRODUCT(--('New Hires Forecast'!$F$5:$F$84="Development Operations"),--('New Hires Forecast'!$H$5:$H$84&gt;='Dev Ops'!G$3),'New Hires Forecast'!$Q$5:$Q$84,'New Hires Forecast'!$L$5:$L$84)),0),IF(YEAR(G$3)=YEAR('New Hires Forecast'!$R$3),IF((G$5=12),(SUMPRODUCT(--('New Hires Forecast'!$F$5:$F$84="Development Operations"),--('New Hires Forecast'!$H$5:$H$84&gt;='Dev Ops'!G$3),'New Hires Forecast'!$R$5:$R$84,'New Hires Forecast'!$L$5:$L$84)),0),"New Year"))))),0)</f>
        <v>0</v>
      </c>
      <c r="H15" s="684">
        <f>IF(H$4="forecast",IF(YEAR(H$3)=YEAR('New Hires Forecast'!$N$3),IF((H$5=12),(SUMPRODUCT(--('New Hires Forecast'!$F$5:$F$84="Development Operations"),--('New Hires Forecast'!$H$5:$H$84&gt;='Dev Ops'!H$3),'New Hires Forecast'!$N$5:$N$84,'New Hires Forecast'!$L$5:$L$84)),0),IF(YEAR(H$3)=YEAR('New Hires Forecast'!$O$3),IF((H$5=12),(SUMPRODUCT(--('New Hires Forecast'!$F$5:$F$84="Development Operations"),--('New Hires Forecast'!$H$5:$H$84&gt;='Dev Ops'!H$3),'New Hires Forecast'!$O$5:$O$84,'New Hires Forecast'!$L$5:$L$84)),0),IF(YEAR(H$3)=YEAR('New Hires Forecast'!$P$3),IF((H$5=12),(SUMPRODUCT(--('New Hires Forecast'!$F$5:$F$84="Development Operations"),--('New Hires Forecast'!$H$5:$H$84&gt;='Dev Ops'!H$3),'New Hires Forecast'!$P$5:$P$84,'New Hires Forecast'!$L$5:$L$84)),0),IF(YEAR(H$3)=YEAR('New Hires Forecast'!$Q$3),IF((H$5=12),(SUMPRODUCT(--('New Hires Forecast'!$F$5:$F$84="Development Operations"),--('New Hires Forecast'!$H$5:$H$84&gt;='Dev Ops'!H$3),'New Hires Forecast'!$Q$5:$Q$84,'New Hires Forecast'!$L$5:$L$84)),0),IF(YEAR(H$3)=YEAR('New Hires Forecast'!$R$3),IF((H$5=12),(SUMPRODUCT(--('New Hires Forecast'!$F$5:$F$84="Development Operations"),--('New Hires Forecast'!$H$5:$H$84&gt;='Dev Ops'!H$3),'New Hires Forecast'!$R$5:$R$84,'New Hires Forecast'!$L$5:$L$84)),0),"New Year"))))),0)</f>
        <v>0</v>
      </c>
      <c r="I15" s="684">
        <f>IF(I$4="forecast",IF(YEAR(I$3)=YEAR('New Hires Forecast'!$N$3),IF((I$5=12),(SUMPRODUCT(--('New Hires Forecast'!$F$5:$F$84="Development Operations"),--('New Hires Forecast'!$H$5:$H$84&gt;='Dev Ops'!I$3),'New Hires Forecast'!$N$5:$N$84,'New Hires Forecast'!$L$5:$L$84)),0),IF(YEAR(I$3)=YEAR('New Hires Forecast'!$O$3),IF((I$5=12),(SUMPRODUCT(--('New Hires Forecast'!$F$5:$F$84="Development Operations"),--('New Hires Forecast'!$H$5:$H$84&gt;='Dev Ops'!I$3),'New Hires Forecast'!$O$5:$O$84,'New Hires Forecast'!$L$5:$L$84)),0),IF(YEAR(I$3)=YEAR('New Hires Forecast'!$P$3),IF((I$5=12),(SUMPRODUCT(--('New Hires Forecast'!$F$5:$F$84="Development Operations"),--('New Hires Forecast'!$H$5:$H$84&gt;='Dev Ops'!I$3),'New Hires Forecast'!$P$5:$P$84,'New Hires Forecast'!$L$5:$L$84)),0),IF(YEAR(I$3)=YEAR('New Hires Forecast'!$Q$3),IF((I$5=12),(SUMPRODUCT(--('New Hires Forecast'!$F$5:$F$84="Development Operations"),--('New Hires Forecast'!$H$5:$H$84&gt;='Dev Ops'!I$3),'New Hires Forecast'!$Q$5:$Q$84,'New Hires Forecast'!$L$5:$L$84)),0),IF(YEAR(I$3)=YEAR('New Hires Forecast'!$R$3),IF((I$5=12),(SUMPRODUCT(--('New Hires Forecast'!$F$5:$F$84="Development Operations"),--('New Hires Forecast'!$H$5:$H$84&gt;='Dev Ops'!I$3),'New Hires Forecast'!$R$5:$R$84,'New Hires Forecast'!$L$5:$L$84)),0),"New Year"))))),0)</f>
        <v>0</v>
      </c>
      <c r="J15" s="684">
        <f>IF(J$4="forecast",IF(YEAR(J$3)=YEAR('New Hires Forecast'!$N$3),IF((J$5=12),(SUMPRODUCT(--('New Hires Forecast'!$F$5:$F$84="Development Operations"),--('New Hires Forecast'!$H$5:$H$84&gt;='Dev Ops'!J$3),'New Hires Forecast'!$N$5:$N$84,'New Hires Forecast'!$L$5:$L$84)),0),IF(YEAR(J$3)=YEAR('New Hires Forecast'!$O$3),IF((J$5=12),(SUMPRODUCT(--('New Hires Forecast'!$F$5:$F$84="Development Operations"),--('New Hires Forecast'!$H$5:$H$84&gt;='Dev Ops'!J$3),'New Hires Forecast'!$O$5:$O$84,'New Hires Forecast'!$L$5:$L$84)),0),IF(YEAR(J$3)=YEAR('New Hires Forecast'!$P$3),IF((J$5=12),(SUMPRODUCT(--('New Hires Forecast'!$F$5:$F$84="Development Operations"),--('New Hires Forecast'!$H$5:$H$84&gt;='Dev Ops'!J$3),'New Hires Forecast'!$P$5:$P$84,'New Hires Forecast'!$L$5:$L$84)),0),IF(YEAR(J$3)=YEAR('New Hires Forecast'!$Q$3),IF((J$5=12),(SUMPRODUCT(--('New Hires Forecast'!$F$5:$F$84="Development Operations"),--('New Hires Forecast'!$H$5:$H$84&gt;='Dev Ops'!J$3),'New Hires Forecast'!$Q$5:$Q$84,'New Hires Forecast'!$L$5:$L$84)),0),IF(YEAR(J$3)=YEAR('New Hires Forecast'!$R$3),IF((J$5=12),(SUMPRODUCT(--('New Hires Forecast'!$F$5:$F$84="Development Operations"),--('New Hires Forecast'!$H$5:$H$84&gt;='Dev Ops'!J$3),'New Hires Forecast'!$R$5:$R$84,'New Hires Forecast'!$L$5:$L$84)),0),"New Year"))))),0)</f>
        <v>0</v>
      </c>
      <c r="K15" s="684">
        <f>IF(K$4="forecast",IF(YEAR(K$3)=YEAR('New Hires Forecast'!$N$3),IF((K$5=12),(SUMPRODUCT(--('New Hires Forecast'!$F$5:$F$84="Development Operations"),--('New Hires Forecast'!$H$5:$H$84&gt;='Dev Ops'!K$3),'New Hires Forecast'!$N$5:$N$84,'New Hires Forecast'!$L$5:$L$84)),0),IF(YEAR(K$3)=YEAR('New Hires Forecast'!$O$3),IF((K$5=12),(SUMPRODUCT(--('New Hires Forecast'!$F$5:$F$84="Development Operations"),--('New Hires Forecast'!$H$5:$H$84&gt;='Dev Ops'!K$3),'New Hires Forecast'!$O$5:$O$84,'New Hires Forecast'!$L$5:$L$84)),0),IF(YEAR(K$3)=YEAR('New Hires Forecast'!$P$3),IF((K$5=12),(SUMPRODUCT(--('New Hires Forecast'!$F$5:$F$84="Development Operations"),--('New Hires Forecast'!$H$5:$H$84&gt;='Dev Ops'!K$3),'New Hires Forecast'!$P$5:$P$84,'New Hires Forecast'!$L$5:$L$84)),0),IF(YEAR(K$3)=YEAR('New Hires Forecast'!$Q$3),IF((K$5=12),(SUMPRODUCT(--('New Hires Forecast'!$F$5:$F$84="Development Operations"),--('New Hires Forecast'!$H$5:$H$84&gt;='Dev Ops'!K$3),'New Hires Forecast'!$Q$5:$Q$84,'New Hires Forecast'!$L$5:$L$84)),0),IF(YEAR(K$3)=YEAR('New Hires Forecast'!$R$3),IF((K$5=12),(SUMPRODUCT(--('New Hires Forecast'!$F$5:$F$84="Development Operations"),--('New Hires Forecast'!$H$5:$H$84&gt;='Dev Ops'!K$3),'New Hires Forecast'!$R$5:$R$84,'New Hires Forecast'!$L$5:$L$84)),0),"New Year"))))),0)</f>
        <v>0</v>
      </c>
      <c r="L15" s="684">
        <f>IF(L$4="forecast",IF(YEAR(L$3)=YEAR('New Hires Forecast'!$N$3),IF((L$5=12),(SUMPRODUCT(--('New Hires Forecast'!$F$5:$F$84="Development Operations"),--('New Hires Forecast'!$H$5:$H$84&gt;='Dev Ops'!L$3),'New Hires Forecast'!$N$5:$N$84,'New Hires Forecast'!$L$5:$L$84)),0),IF(YEAR(L$3)=YEAR('New Hires Forecast'!$O$3),IF((L$5=12),(SUMPRODUCT(--('New Hires Forecast'!$F$5:$F$84="Development Operations"),--('New Hires Forecast'!$H$5:$H$84&gt;='Dev Ops'!L$3),'New Hires Forecast'!$O$5:$O$84,'New Hires Forecast'!$L$5:$L$84)),0),IF(YEAR(L$3)=YEAR('New Hires Forecast'!$P$3),IF((L$5=12),(SUMPRODUCT(--('New Hires Forecast'!$F$5:$F$84="Development Operations"),--('New Hires Forecast'!$H$5:$H$84&gt;='Dev Ops'!L$3),'New Hires Forecast'!$P$5:$P$84,'New Hires Forecast'!$L$5:$L$84)),0),IF(YEAR(L$3)=YEAR('New Hires Forecast'!$Q$3),IF((L$5=12),(SUMPRODUCT(--('New Hires Forecast'!$F$5:$F$84="Development Operations"),--('New Hires Forecast'!$H$5:$H$84&gt;='Dev Ops'!L$3),'New Hires Forecast'!$Q$5:$Q$84,'New Hires Forecast'!$L$5:$L$84)),0),IF(YEAR(L$3)=YEAR('New Hires Forecast'!$R$3),IF((L$5=12),(SUMPRODUCT(--('New Hires Forecast'!$F$5:$F$84="Development Operations"),--('New Hires Forecast'!$H$5:$H$84&gt;='Dev Ops'!L$3),'New Hires Forecast'!$R$5:$R$84,'New Hires Forecast'!$L$5:$L$84)),0),"New Year"))))),0)</f>
        <v>0</v>
      </c>
      <c r="M15" s="684">
        <f>IF(M$4="forecast",IF(YEAR(M$3)=YEAR('New Hires Forecast'!$N$3),IF((M$5=12),(SUMPRODUCT(--('New Hires Forecast'!$F$5:$F$84="Development Operations"),--('New Hires Forecast'!$H$5:$H$84&gt;='Dev Ops'!M$3),'New Hires Forecast'!$N$5:$N$84,'New Hires Forecast'!$L$5:$L$84)),0),IF(YEAR(M$3)=YEAR('New Hires Forecast'!$O$3),IF((M$5=12),(SUMPRODUCT(--('New Hires Forecast'!$F$5:$F$84="Development Operations"),--('New Hires Forecast'!$H$5:$H$84&gt;='Dev Ops'!M$3),'New Hires Forecast'!$O$5:$O$84,'New Hires Forecast'!$L$5:$L$84)),0),IF(YEAR(M$3)=YEAR('New Hires Forecast'!$P$3),IF((M$5=12),(SUMPRODUCT(--('New Hires Forecast'!$F$5:$F$84="Development Operations"),--('New Hires Forecast'!$H$5:$H$84&gt;='Dev Ops'!M$3),'New Hires Forecast'!$P$5:$P$84,'New Hires Forecast'!$L$5:$L$84)),0),IF(YEAR(M$3)=YEAR('New Hires Forecast'!$Q$3),IF((M$5=12),(SUMPRODUCT(--('New Hires Forecast'!$F$5:$F$84="Development Operations"),--('New Hires Forecast'!$H$5:$H$84&gt;='Dev Ops'!M$3),'New Hires Forecast'!$Q$5:$Q$84,'New Hires Forecast'!$L$5:$L$84)),0),IF(YEAR(M$3)=YEAR('New Hires Forecast'!$R$3),IF((M$5=12),(SUMPRODUCT(--('New Hires Forecast'!$F$5:$F$84="Development Operations"),--('New Hires Forecast'!$H$5:$H$84&gt;='Dev Ops'!M$3),'New Hires Forecast'!$R$5:$R$84,'New Hires Forecast'!$L$5:$L$84)),0),"New Year"))))),0)</f>
        <v>0</v>
      </c>
      <c r="N15" s="684">
        <f>IF(N$4="forecast",IF(YEAR(N$3)=YEAR('New Hires Forecast'!$N$3),IF((N$5=12),(SUMPRODUCT(--('New Hires Forecast'!$F$5:$F$84="Development Operations"),--('New Hires Forecast'!$H$5:$H$84&gt;='Dev Ops'!N$3),'New Hires Forecast'!$N$5:$N$84,'New Hires Forecast'!$L$5:$L$84)),0),IF(YEAR(N$3)=YEAR('New Hires Forecast'!$O$3),IF((N$5=12),(SUMPRODUCT(--('New Hires Forecast'!$F$5:$F$84="Development Operations"),--('New Hires Forecast'!$H$5:$H$84&gt;='Dev Ops'!N$3),'New Hires Forecast'!$O$5:$O$84,'New Hires Forecast'!$L$5:$L$84)),0),IF(YEAR(N$3)=YEAR('New Hires Forecast'!$P$3),IF((N$5=12),(SUMPRODUCT(--('New Hires Forecast'!$F$5:$F$84="Development Operations"),--('New Hires Forecast'!$H$5:$H$84&gt;='Dev Ops'!N$3),'New Hires Forecast'!$P$5:$P$84,'New Hires Forecast'!$L$5:$L$84)),0),IF(YEAR(N$3)=YEAR('New Hires Forecast'!$Q$3),IF((N$5=12),(SUMPRODUCT(--('New Hires Forecast'!$F$5:$F$84="Development Operations"),--('New Hires Forecast'!$H$5:$H$84&gt;='Dev Ops'!N$3),'New Hires Forecast'!$Q$5:$Q$84,'New Hires Forecast'!$L$5:$L$84)),0),IF(YEAR(N$3)=YEAR('New Hires Forecast'!$R$3),IF((N$5=12),(SUMPRODUCT(--('New Hires Forecast'!$F$5:$F$84="Development Operations"),--('New Hires Forecast'!$H$5:$H$84&gt;='Dev Ops'!N$3),'New Hires Forecast'!$R$5:$R$84,'New Hires Forecast'!$L$5:$L$84)),0),"New Year"))))),0)</f>
        <v>0</v>
      </c>
      <c r="O15" s="684">
        <f>IF(O$4="forecast",IF(YEAR(O$3)=YEAR('New Hires Forecast'!$N$3),IF((O$5=12),(SUMPRODUCT(--('New Hires Forecast'!$F$5:$F$84="Development Operations"),--('New Hires Forecast'!$H$5:$H$84&gt;='Dev Ops'!O$3),'New Hires Forecast'!$N$5:$N$84,'New Hires Forecast'!$L$5:$L$84)),0),IF(YEAR(O$3)=YEAR('New Hires Forecast'!$O$3),IF((O$5=12),(SUMPRODUCT(--('New Hires Forecast'!$F$5:$F$84="Development Operations"),--('New Hires Forecast'!$H$5:$H$84&gt;='Dev Ops'!O$3),'New Hires Forecast'!$O$5:$O$84,'New Hires Forecast'!$L$5:$L$84)),0),IF(YEAR(O$3)=YEAR('New Hires Forecast'!$P$3),IF((O$5=12),(SUMPRODUCT(--('New Hires Forecast'!$F$5:$F$84="Development Operations"),--('New Hires Forecast'!$H$5:$H$84&gt;='Dev Ops'!O$3),'New Hires Forecast'!$P$5:$P$84,'New Hires Forecast'!$L$5:$L$84)),0),IF(YEAR(O$3)=YEAR('New Hires Forecast'!$Q$3),IF((O$5=12),(SUMPRODUCT(--('New Hires Forecast'!$F$5:$F$84="Development Operations"),--('New Hires Forecast'!$H$5:$H$84&gt;='Dev Ops'!O$3),'New Hires Forecast'!$Q$5:$Q$84,'New Hires Forecast'!$L$5:$L$84)),0),IF(YEAR(O$3)=YEAR('New Hires Forecast'!$R$3),IF((O$5=12),(SUMPRODUCT(--('New Hires Forecast'!$F$5:$F$84="Development Operations"),--('New Hires Forecast'!$H$5:$H$84&gt;='Dev Ops'!O$3),'New Hires Forecast'!$R$5:$R$84,'New Hires Forecast'!$L$5:$L$84)),0),"New Year"))))),0)</f>
        <v>0</v>
      </c>
      <c r="P15" s="684">
        <f>IF(P$4="forecast",IF(YEAR(P$3)=YEAR('New Hires Forecast'!$N$3),IF((P$5=12),(SUMPRODUCT(--('New Hires Forecast'!$F$5:$F$84="Development Operations"),--('New Hires Forecast'!$H$5:$H$84&gt;='Dev Ops'!P$3),'New Hires Forecast'!$N$5:$N$84,'New Hires Forecast'!$L$5:$L$84)),0),IF(YEAR(P$3)=YEAR('New Hires Forecast'!$O$3),IF((P$5=12),(SUMPRODUCT(--('New Hires Forecast'!$F$5:$F$84="Development Operations"),--('New Hires Forecast'!$H$5:$H$84&gt;='Dev Ops'!P$3),'New Hires Forecast'!$O$5:$O$84,'New Hires Forecast'!$L$5:$L$84)),0),IF(YEAR(P$3)=YEAR('New Hires Forecast'!$P$3),IF((P$5=12),(SUMPRODUCT(--('New Hires Forecast'!$F$5:$F$84="Development Operations"),--('New Hires Forecast'!$H$5:$H$84&gt;='Dev Ops'!P$3),'New Hires Forecast'!$P$5:$P$84,'New Hires Forecast'!$L$5:$L$84)),0),IF(YEAR(P$3)=YEAR('New Hires Forecast'!$Q$3),IF((P$5=12),(SUMPRODUCT(--('New Hires Forecast'!$F$5:$F$84="Development Operations"),--('New Hires Forecast'!$H$5:$H$84&gt;='Dev Ops'!P$3),'New Hires Forecast'!$Q$5:$Q$84,'New Hires Forecast'!$L$5:$L$84)),0),IF(YEAR(P$3)=YEAR('New Hires Forecast'!$R$3),IF((P$5=12),(SUMPRODUCT(--('New Hires Forecast'!$F$5:$F$84="Development Operations"),--('New Hires Forecast'!$H$5:$H$84&gt;='Dev Ops'!P$3),'New Hires Forecast'!$R$5:$R$84,'New Hires Forecast'!$L$5:$L$84)),0),"New Year"))))),0)</f>
        <v>0</v>
      </c>
      <c r="Q15" s="684">
        <f>IF(Q$4="forecast",IF(YEAR(Q$3)=YEAR('New Hires Forecast'!$N$3),IF((Q$5=12),(SUMPRODUCT(--('New Hires Forecast'!$F$5:$F$84="Development Operations"),--('New Hires Forecast'!$H$5:$H$84&gt;='Dev Ops'!Q$3),'New Hires Forecast'!$N$5:$N$84,'New Hires Forecast'!$L$5:$L$84)),0),IF(YEAR(Q$3)=YEAR('New Hires Forecast'!$O$3),IF((Q$5=12),(SUMPRODUCT(--('New Hires Forecast'!$F$5:$F$84="Development Operations"),--('New Hires Forecast'!$H$5:$H$84&gt;='Dev Ops'!Q$3),'New Hires Forecast'!$O$5:$O$84,'New Hires Forecast'!$L$5:$L$84)),0),IF(YEAR(Q$3)=YEAR('New Hires Forecast'!$P$3),IF((Q$5=12),(SUMPRODUCT(--('New Hires Forecast'!$F$5:$F$84="Development Operations"),--('New Hires Forecast'!$H$5:$H$84&gt;='Dev Ops'!Q$3),'New Hires Forecast'!$P$5:$P$84,'New Hires Forecast'!$L$5:$L$84)),0),IF(YEAR(Q$3)=YEAR('New Hires Forecast'!$Q$3),IF((Q$5=12),(SUMPRODUCT(--('New Hires Forecast'!$F$5:$F$84="Development Operations"),--('New Hires Forecast'!$H$5:$H$84&gt;='Dev Ops'!Q$3),'New Hires Forecast'!$Q$5:$Q$84,'New Hires Forecast'!$L$5:$L$84)),0),IF(YEAR(Q$3)=YEAR('New Hires Forecast'!$R$3),IF((Q$5=12),(SUMPRODUCT(--('New Hires Forecast'!$F$5:$F$84="Development Operations"),--('New Hires Forecast'!$H$5:$H$84&gt;='Dev Ops'!Q$3),'New Hires Forecast'!$R$5:$R$84,'New Hires Forecast'!$L$5:$L$84)),0),"New Year"))))),0)</f>
        <v>0</v>
      </c>
      <c r="R15" s="684">
        <f>IF(R$4="forecast",IF(YEAR(R$3)=YEAR('New Hires Forecast'!$N$3),IF((R$5=12),(SUMPRODUCT(--('New Hires Forecast'!$F$5:$F$84="Development Operations"),--('New Hires Forecast'!$H$5:$H$84&gt;='Dev Ops'!R$3),'New Hires Forecast'!$N$5:$N$84,'New Hires Forecast'!$L$5:$L$84)),0),IF(YEAR(R$3)=YEAR('New Hires Forecast'!$O$3),IF((R$5=12),(SUMPRODUCT(--('New Hires Forecast'!$F$5:$F$84="Development Operations"),--('New Hires Forecast'!$H$5:$H$84&gt;='Dev Ops'!R$3),'New Hires Forecast'!$O$5:$O$84,'New Hires Forecast'!$L$5:$L$84)),0),IF(YEAR(R$3)=YEAR('New Hires Forecast'!$P$3),IF((R$5=12),(SUMPRODUCT(--('New Hires Forecast'!$F$5:$F$84="Development Operations"),--('New Hires Forecast'!$H$5:$H$84&gt;='Dev Ops'!R$3),'New Hires Forecast'!$P$5:$P$84,'New Hires Forecast'!$L$5:$L$84)),0),IF(YEAR(R$3)=YEAR('New Hires Forecast'!$Q$3),IF((R$5=12),(SUMPRODUCT(--('New Hires Forecast'!$F$5:$F$84="Development Operations"),--('New Hires Forecast'!$H$5:$H$84&gt;='Dev Ops'!R$3),'New Hires Forecast'!$Q$5:$Q$84,'New Hires Forecast'!$L$5:$L$84)),0),IF(YEAR(R$3)=YEAR('New Hires Forecast'!$R$3),IF((R$5=12),(SUMPRODUCT(--('New Hires Forecast'!$F$5:$F$84="Development Operations"),--('New Hires Forecast'!$H$5:$H$84&gt;='Dev Ops'!R$3),'New Hires Forecast'!$R$5:$R$84,'New Hires Forecast'!$L$5:$L$84)),0),"New Year"))))),0)</f>
        <v>0</v>
      </c>
      <c r="S15" s="684">
        <f>IF(S$4="forecast",IF(YEAR(S$3)=YEAR('New Hires Forecast'!$N$3),IF((S$5=12),(SUMPRODUCT(--('New Hires Forecast'!$F$5:$F$84="Development Operations"),--('New Hires Forecast'!$H$5:$H$84&gt;='Dev Ops'!S$3),'New Hires Forecast'!$N$5:$N$84,'New Hires Forecast'!$L$5:$L$84)),0),IF(YEAR(S$3)=YEAR('New Hires Forecast'!$O$3),IF((S$5=12),(SUMPRODUCT(--('New Hires Forecast'!$F$5:$F$84="Development Operations"),--('New Hires Forecast'!$H$5:$H$84&gt;='Dev Ops'!S$3),'New Hires Forecast'!$O$5:$O$84,'New Hires Forecast'!$L$5:$L$84)),0),IF(YEAR(S$3)=YEAR('New Hires Forecast'!$P$3),IF((S$5=12),(SUMPRODUCT(--('New Hires Forecast'!$F$5:$F$84="Development Operations"),--('New Hires Forecast'!$H$5:$H$84&gt;='Dev Ops'!S$3),'New Hires Forecast'!$P$5:$P$84,'New Hires Forecast'!$L$5:$L$84)),0),IF(YEAR(S$3)=YEAR('New Hires Forecast'!$Q$3),IF((S$5=12),(SUMPRODUCT(--('New Hires Forecast'!$F$5:$F$84="Development Operations"),--('New Hires Forecast'!$H$5:$H$84&gt;='Dev Ops'!S$3),'New Hires Forecast'!$Q$5:$Q$84,'New Hires Forecast'!$L$5:$L$84)),0),IF(YEAR(S$3)=YEAR('New Hires Forecast'!$R$3),IF((S$5=12),(SUMPRODUCT(--('New Hires Forecast'!$F$5:$F$84="Development Operations"),--('New Hires Forecast'!$H$5:$H$84&gt;='Dev Ops'!S$3),'New Hires Forecast'!$R$5:$R$84,'New Hires Forecast'!$L$5:$L$84)),0),"New Year"))))),0)</f>
        <v>0</v>
      </c>
      <c r="T15" s="684">
        <f>IF(T$4="forecast",IF(YEAR(T$3)=YEAR('New Hires Forecast'!$N$3),IF((T$5=12),(SUMPRODUCT(--('New Hires Forecast'!$F$5:$F$84="Development Operations"),--('New Hires Forecast'!$H$5:$H$84&gt;='Dev Ops'!T$3),'New Hires Forecast'!$N$5:$N$84,'New Hires Forecast'!$L$5:$L$84)),0),IF(YEAR(T$3)=YEAR('New Hires Forecast'!$O$3),IF((T$5=12),(SUMPRODUCT(--('New Hires Forecast'!$F$5:$F$84="Development Operations"),--('New Hires Forecast'!$H$5:$H$84&gt;='Dev Ops'!T$3),'New Hires Forecast'!$O$5:$O$84,'New Hires Forecast'!$L$5:$L$84)),0),IF(YEAR(T$3)=YEAR('New Hires Forecast'!$P$3),IF((T$5=12),(SUMPRODUCT(--('New Hires Forecast'!$F$5:$F$84="Development Operations"),--('New Hires Forecast'!$H$5:$H$84&gt;='Dev Ops'!T$3),'New Hires Forecast'!$P$5:$P$84,'New Hires Forecast'!$L$5:$L$84)),0),IF(YEAR(T$3)=YEAR('New Hires Forecast'!$Q$3),IF((T$5=12),(SUMPRODUCT(--('New Hires Forecast'!$F$5:$F$84="Development Operations"),--('New Hires Forecast'!$H$5:$H$84&gt;='Dev Ops'!T$3),'New Hires Forecast'!$Q$5:$Q$84,'New Hires Forecast'!$L$5:$L$84)),0),IF(YEAR(T$3)=YEAR('New Hires Forecast'!$R$3),IF((T$5=12),(SUMPRODUCT(--('New Hires Forecast'!$F$5:$F$84="Development Operations"),--('New Hires Forecast'!$H$5:$H$84&gt;='Dev Ops'!T$3),'New Hires Forecast'!$R$5:$R$84,'New Hires Forecast'!$L$5:$L$84)),0),"New Year"))))),0)</f>
        <v>0</v>
      </c>
      <c r="U15" s="684">
        <f>IF(U$4="forecast",IF(YEAR(U$3)=YEAR('New Hires Forecast'!$N$3),IF((U$5=12),(SUMPRODUCT(--('New Hires Forecast'!$F$5:$F$84="Development Operations"),--('New Hires Forecast'!$H$5:$H$84&gt;='Dev Ops'!U$3),'New Hires Forecast'!$N$5:$N$84,'New Hires Forecast'!$L$5:$L$84)),0),IF(YEAR(U$3)=YEAR('New Hires Forecast'!$O$3),IF((U$5=12),(SUMPRODUCT(--('New Hires Forecast'!$F$5:$F$84="Development Operations"),--('New Hires Forecast'!$H$5:$H$84&gt;='Dev Ops'!U$3),'New Hires Forecast'!$O$5:$O$84,'New Hires Forecast'!$L$5:$L$84)),0),IF(YEAR(U$3)=YEAR('New Hires Forecast'!$P$3),IF((U$5=12),(SUMPRODUCT(--('New Hires Forecast'!$F$5:$F$84="Development Operations"),--('New Hires Forecast'!$H$5:$H$84&gt;='Dev Ops'!U$3),'New Hires Forecast'!$P$5:$P$84,'New Hires Forecast'!$L$5:$L$84)),0),IF(YEAR(U$3)=YEAR('New Hires Forecast'!$Q$3),IF((U$5=12),(SUMPRODUCT(--('New Hires Forecast'!$F$5:$F$84="Development Operations"),--('New Hires Forecast'!$H$5:$H$84&gt;='Dev Ops'!U$3),'New Hires Forecast'!$Q$5:$Q$84,'New Hires Forecast'!$L$5:$L$84)),0),IF(YEAR(U$3)=YEAR('New Hires Forecast'!$R$3),IF((U$5=12),(SUMPRODUCT(--('New Hires Forecast'!$F$5:$F$84="Development Operations"),--('New Hires Forecast'!$H$5:$H$84&gt;='Dev Ops'!U$3),'New Hires Forecast'!$R$5:$R$84,'New Hires Forecast'!$L$5:$L$84)),0),"New Year"))))),0)</f>
        <v>0</v>
      </c>
      <c r="V15" s="684">
        <f>IF(V$4="forecast",IF(YEAR(V$3)=YEAR('New Hires Forecast'!$N$3),IF((V$5=12),(SUMPRODUCT(--('New Hires Forecast'!$F$5:$F$84="Development Operations"),--('New Hires Forecast'!$H$5:$H$84&gt;='Dev Ops'!V$3),'New Hires Forecast'!$N$5:$N$84,'New Hires Forecast'!$L$5:$L$84)),0),IF(YEAR(V$3)=YEAR('New Hires Forecast'!$O$3),IF((V$5=12),(SUMPRODUCT(--('New Hires Forecast'!$F$5:$F$84="Development Operations"),--('New Hires Forecast'!$H$5:$H$84&gt;='Dev Ops'!V$3),'New Hires Forecast'!$O$5:$O$84,'New Hires Forecast'!$L$5:$L$84)),0),IF(YEAR(V$3)=YEAR('New Hires Forecast'!$P$3),IF((V$5=12),(SUMPRODUCT(--('New Hires Forecast'!$F$5:$F$84="Development Operations"),--('New Hires Forecast'!$H$5:$H$84&gt;='Dev Ops'!V$3),'New Hires Forecast'!$P$5:$P$84,'New Hires Forecast'!$L$5:$L$84)),0),IF(YEAR(V$3)=YEAR('New Hires Forecast'!$Q$3),IF((V$5=12),(SUMPRODUCT(--('New Hires Forecast'!$F$5:$F$84="Development Operations"),--('New Hires Forecast'!$H$5:$H$84&gt;='Dev Ops'!V$3),'New Hires Forecast'!$Q$5:$Q$84,'New Hires Forecast'!$L$5:$L$84)),0),IF(YEAR(V$3)=YEAR('New Hires Forecast'!$R$3),IF((V$5=12),(SUMPRODUCT(--('New Hires Forecast'!$F$5:$F$84="Development Operations"),--('New Hires Forecast'!$H$5:$H$84&gt;='Dev Ops'!V$3),'New Hires Forecast'!$R$5:$R$84,'New Hires Forecast'!$L$5:$L$84)),0),"New Year"))))),0)</f>
        <v>0</v>
      </c>
      <c r="W15" s="684">
        <f>IF(W$4="forecast",IF(YEAR(W$3)=YEAR('New Hires Forecast'!$N$3),IF((W$5=12),(SUMPRODUCT(--('New Hires Forecast'!$F$5:$F$84="Development Operations"),--('New Hires Forecast'!$H$5:$H$84&gt;='Dev Ops'!W$3),'New Hires Forecast'!$N$5:$N$84,'New Hires Forecast'!$L$5:$L$84)),0),IF(YEAR(W$3)=YEAR('New Hires Forecast'!$O$3),IF((W$5=12),(SUMPRODUCT(--('New Hires Forecast'!$F$5:$F$84="Development Operations"),--('New Hires Forecast'!$H$5:$H$84&gt;='Dev Ops'!W$3),'New Hires Forecast'!$O$5:$O$84,'New Hires Forecast'!$L$5:$L$84)),0),IF(YEAR(W$3)=YEAR('New Hires Forecast'!$P$3),IF((W$5=12),(SUMPRODUCT(--('New Hires Forecast'!$F$5:$F$84="Development Operations"),--('New Hires Forecast'!$H$5:$H$84&gt;='Dev Ops'!W$3),'New Hires Forecast'!$P$5:$P$84,'New Hires Forecast'!$L$5:$L$84)),0),IF(YEAR(W$3)=YEAR('New Hires Forecast'!$Q$3),IF((W$5=12),(SUMPRODUCT(--('New Hires Forecast'!$F$5:$F$84="Development Operations"),--('New Hires Forecast'!$H$5:$H$84&gt;='Dev Ops'!W$3),'New Hires Forecast'!$Q$5:$Q$84,'New Hires Forecast'!$L$5:$L$84)),0),IF(YEAR(W$3)=YEAR('New Hires Forecast'!$R$3),IF((W$5=12),(SUMPRODUCT(--('New Hires Forecast'!$F$5:$F$84="Development Operations"),--('New Hires Forecast'!$H$5:$H$84&gt;='Dev Ops'!W$3),'New Hires Forecast'!$R$5:$R$84,'New Hires Forecast'!$L$5:$L$84)),0),"New Year"))))),0)</f>
        <v>0</v>
      </c>
      <c r="X15" s="684">
        <f>IF(X$4="forecast",IF(YEAR(X$3)=YEAR('New Hires Forecast'!$N$3),IF((X$5=12),(SUMPRODUCT(--('New Hires Forecast'!$F$5:$F$84="Development Operations"),--('New Hires Forecast'!$H$5:$H$84&gt;='Dev Ops'!X$3),'New Hires Forecast'!$N$5:$N$84,'New Hires Forecast'!$L$5:$L$84)),0),IF(YEAR(X$3)=YEAR('New Hires Forecast'!$O$3),IF((X$5=12),(SUMPRODUCT(--('New Hires Forecast'!$F$5:$F$84="Development Operations"),--('New Hires Forecast'!$H$5:$H$84&gt;='Dev Ops'!X$3),'New Hires Forecast'!$O$5:$O$84,'New Hires Forecast'!$L$5:$L$84)),0),IF(YEAR(X$3)=YEAR('New Hires Forecast'!$P$3),IF((X$5=12),(SUMPRODUCT(--('New Hires Forecast'!$F$5:$F$84="Development Operations"),--('New Hires Forecast'!$H$5:$H$84&gt;='Dev Ops'!X$3),'New Hires Forecast'!$P$5:$P$84,'New Hires Forecast'!$L$5:$L$84)),0),IF(YEAR(X$3)=YEAR('New Hires Forecast'!$Q$3),IF((X$5=12),(SUMPRODUCT(--('New Hires Forecast'!$F$5:$F$84="Development Operations"),--('New Hires Forecast'!$H$5:$H$84&gt;='Dev Ops'!X$3),'New Hires Forecast'!$Q$5:$Q$84,'New Hires Forecast'!$L$5:$L$84)),0),IF(YEAR(X$3)=YEAR('New Hires Forecast'!$R$3),IF((X$5=12),(SUMPRODUCT(--('New Hires Forecast'!$F$5:$F$84="Development Operations"),--('New Hires Forecast'!$H$5:$H$84&gt;='Dev Ops'!X$3),'New Hires Forecast'!$R$5:$R$84,'New Hires Forecast'!$L$5:$L$84)),0),"New Year"))))),0)</f>
        <v>0</v>
      </c>
      <c r="Y15" s="684">
        <f>IF(Y$4="forecast",IF(YEAR(Y$3)=YEAR('New Hires Forecast'!$N$3),IF((Y$5=12),(SUMPRODUCT(--('New Hires Forecast'!$F$5:$F$84="Development Operations"),--('New Hires Forecast'!$H$5:$H$84&gt;='Dev Ops'!Y$3),'New Hires Forecast'!$N$5:$N$84,'New Hires Forecast'!$L$5:$L$84)),0),IF(YEAR(Y$3)=YEAR('New Hires Forecast'!$O$3),IF((Y$5=12),(SUMPRODUCT(--('New Hires Forecast'!$F$5:$F$84="Development Operations"),--('New Hires Forecast'!$H$5:$H$84&gt;='Dev Ops'!Y$3),'New Hires Forecast'!$O$5:$O$84,'New Hires Forecast'!$L$5:$L$84)),0),IF(YEAR(Y$3)=YEAR('New Hires Forecast'!$P$3),IF((Y$5=12),(SUMPRODUCT(--('New Hires Forecast'!$F$5:$F$84="Development Operations"),--('New Hires Forecast'!$H$5:$H$84&gt;='Dev Ops'!Y$3),'New Hires Forecast'!$P$5:$P$84,'New Hires Forecast'!$L$5:$L$84)),0),IF(YEAR(Y$3)=YEAR('New Hires Forecast'!$Q$3),IF((Y$5=12),(SUMPRODUCT(--('New Hires Forecast'!$F$5:$F$84="Development Operations"),--('New Hires Forecast'!$H$5:$H$84&gt;='Dev Ops'!Y$3),'New Hires Forecast'!$Q$5:$Q$84,'New Hires Forecast'!$L$5:$L$84)),0),IF(YEAR(Y$3)=YEAR('New Hires Forecast'!$R$3),IF((Y$5=12),(SUMPRODUCT(--('New Hires Forecast'!$F$5:$F$84="Development Operations"),--('New Hires Forecast'!$H$5:$H$84&gt;='Dev Ops'!Y$3),'New Hires Forecast'!$R$5:$R$84,'New Hires Forecast'!$L$5:$L$84)),0),"New Year"))))),0)</f>
        <v>0</v>
      </c>
      <c r="Z15" s="684">
        <f>IF(Z$4="forecast",IF(YEAR(Z$3)=YEAR('New Hires Forecast'!$N$3),IF((Z$5=12),(SUMPRODUCT(--('New Hires Forecast'!$F$5:$F$84="Development Operations"),--('New Hires Forecast'!$H$5:$H$84&gt;='Dev Ops'!Z$3),'New Hires Forecast'!$N$5:$N$84,'New Hires Forecast'!$L$5:$L$84)),0),IF(YEAR(Z$3)=YEAR('New Hires Forecast'!$O$3),IF((Z$5=12),(SUMPRODUCT(--('New Hires Forecast'!$F$5:$F$84="Development Operations"),--('New Hires Forecast'!$H$5:$H$84&gt;='Dev Ops'!Z$3),'New Hires Forecast'!$O$5:$O$84,'New Hires Forecast'!$L$5:$L$84)),0),IF(YEAR(Z$3)=YEAR('New Hires Forecast'!$P$3),IF((Z$5=12),(SUMPRODUCT(--('New Hires Forecast'!$F$5:$F$84="Development Operations"),--('New Hires Forecast'!$H$5:$H$84&gt;='Dev Ops'!Z$3),'New Hires Forecast'!$P$5:$P$84,'New Hires Forecast'!$L$5:$L$84)),0),IF(YEAR(Z$3)=YEAR('New Hires Forecast'!$Q$3),IF((Z$5=12),(SUMPRODUCT(--('New Hires Forecast'!$F$5:$F$84="Development Operations"),--('New Hires Forecast'!$H$5:$H$84&gt;='Dev Ops'!Z$3),'New Hires Forecast'!$Q$5:$Q$84,'New Hires Forecast'!$L$5:$L$84)),0),IF(YEAR(Z$3)=YEAR('New Hires Forecast'!$R$3),IF((Z$5=12),(SUMPRODUCT(--('New Hires Forecast'!$F$5:$F$84="Development Operations"),--('New Hires Forecast'!$H$5:$H$84&gt;='Dev Ops'!Z$3),'New Hires Forecast'!$R$5:$R$84,'New Hires Forecast'!$L$5:$L$84)),0),"New Year"))))),0)</f>
        <v>0</v>
      </c>
      <c r="AA15" s="684">
        <f>IF(AA$4="forecast",IF(YEAR(AA$3)=YEAR('New Hires Forecast'!$N$3),IF((AA$5=12),(SUMPRODUCT(--('New Hires Forecast'!$F$5:$F$84="Development Operations"),--('New Hires Forecast'!$H$5:$H$84&gt;='Dev Ops'!AA$3),'New Hires Forecast'!$N$5:$N$84,'New Hires Forecast'!$L$5:$L$84)),0),IF(YEAR(AA$3)=YEAR('New Hires Forecast'!$O$3),IF((AA$5=12),(SUMPRODUCT(--('New Hires Forecast'!$F$5:$F$84="Development Operations"),--('New Hires Forecast'!$H$5:$H$84&gt;='Dev Ops'!AA$3),'New Hires Forecast'!$O$5:$O$84,'New Hires Forecast'!$L$5:$L$84)),0),IF(YEAR(AA$3)=YEAR('New Hires Forecast'!$P$3),IF((AA$5=12),(SUMPRODUCT(--('New Hires Forecast'!$F$5:$F$84="Development Operations"),--('New Hires Forecast'!$H$5:$H$84&gt;='Dev Ops'!AA$3),'New Hires Forecast'!$P$5:$P$84,'New Hires Forecast'!$L$5:$L$84)),0),IF(YEAR(AA$3)=YEAR('New Hires Forecast'!$Q$3),IF((AA$5=12),(SUMPRODUCT(--('New Hires Forecast'!$F$5:$F$84="Development Operations"),--('New Hires Forecast'!$H$5:$H$84&gt;='Dev Ops'!AA$3),'New Hires Forecast'!$Q$5:$Q$84,'New Hires Forecast'!$L$5:$L$84)),0),IF(YEAR(AA$3)=YEAR('New Hires Forecast'!$R$3),IF((AA$5=12),(SUMPRODUCT(--('New Hires Forecast'!$F$5:$F$84="Development Operations"),--('New Hires Forecast'!$H$5:$H$84&gt;='Dev Ops'!AA$3),'New Hires Forecast'!$R$5:$R$84,'New Hires Forecast'!$L$5:$L$84)),0),"New Year"))))),0)</f>
        <v>0</v>
      </c>
      <c r="AB15" s="684">
        <f>IF(AB$4="forecast",IF(YEAR(AB$3)=YEAR('New Hires Forecast'!$N$3),IF((AB$5=12),(SUMPRODUCT(--('New Hires Forecast'!$F$5:$F$84="Development Operations"),--('New Hires Forecast'!$H$5:$H$84&gt;='Dev Ops'!AB$3),'New Hires Forecast'!$N$5:$N$84,'New Hires Forecast'!$L$5:$L$84)),0),IF(YEAR(AB$3)=YEAR('New Hires Forecast'!$O$3),IF((AB$5=12),(SUMPRODUCT(--('New Hires Forecast'!$F$5:$F$84="Development Operations"),--('New Hires Forecast'!$H$5:$H$84&gt;='Dev Ops'!AB$3),'New Hires Forecast'!$O$5:$O$84,'New Hires Forecast'!$L$5:$L$84)),0),IF(YEAR(AB$3)=YEAR('New Hires Forecast'!$P$3),IF((AB$5=12),(SUMPRODUCT(--('New Hires Forecast'!$F$5:$F$84="Development Operations"),--('New Hires Forecast'!$H$5:$H$84&gt;='Dev Ops'!AB$3),'New Hires Forecast'!$P$5:$P$84,'New Hires Forecast'!$L$5:$L$84)),0),IF(YEAR(AB$3)=YEAR('New Hires Forecast'!$Q$3),IF((AB$5=12),(SUMPRODUCT(--('New Hires Forecast'!$F$5:$F$84="Development Operations"),--('New Hires Forecast'!$H$5:$H$84&gt;='Dev Ops'!AB$3),'New Hires Forecast'!$Q$5:$Q$84,'New Hires Forecast'!$L$5:$L$84)),0),IF(YEAR(AB$3)=YEAR('New Hires Forecast'!$R$3),IF((AB$5=12),(SUMPRODUCT(--('New Hires Forecast'!$F$5:$F$84="Development Operations"),--('New Hires Forecast'!$H$5:$H$84&gt;='Dev Ops'!AB$3),'New Hires Forecast'!$R$5:$R$84,'New Hires Forecast'!$L$5:$L$84)),0),"New Year"))))),0)</f>
        <v>0</v>
      </c>
      <c r="AC15" s="684">
        <f>IF(AC$4="forecast",IF(YEAR(AC$3)=YEAR('New Hires Forecast'!$N$3),IF((AC$5=12),(SUMPRODUCT(--('New Hires Forecast'!$F$5:$F$84="Development Operations"),--('New Hires Forecast'!$H$5:$H$84&gt;='Dev Ops'!AC$3),'New Hires Forecast'!$N$5:$N$84,'New Hires Forecast'!$L$5:$L$84)),0),IF(YEAR(AC$3)=YEAR('New Hires Forecast'!$O$3),IF((AC$5=12),(SUMPRODUCT(--('New Hires Forecast'!$F$5:$F$84="Development Operations"),--('New Hires Forecast'!$H$5:$H$84&gt;='Dev Ops'!AC$3),'New Hires Forecast'!$O$5:$O$84,'New Hires Forecast'!$L$5:$L$84)),0),IF(YEAR(AC$3)=YEAR('New Hires Forecast'!$P$3),IF((AC$5=12),(SUMPRODUCT(--('New Hires Forecast'!$F$5:$F$84="Development Operations"),--('New Hires Forecast'!$H$5:$H$84&gt;='Dev Ops'!AC$3),'New Hires Forecast'!$P$5:$P$84,'New Hires Forecast'!$L$5:$L$84)),0),IF(YEAR(AC$3)=YEAR('New Hires Forecast'!$Q$3),IF((AC$5=12),(SUMPRODUCT(--('New Hires Forecast'!$F$5:$F$84="Development Operations"),--('New Hires Forecast'!$H$5:$H$84&gt;='Dev Ops'!AC$3),'New Hires Forecast'!$Q$5:$Q$84,'New Hires Forecast'!$L$5:$L$84)),0),IF(YEAR(AC$3)=YEAR('New Hires Forecast'!$R$3),IF((AC$5=12),(SUMPRODUCT(--('New Hires Forecast'!$F$5:$F$84="Development Operations"),--('New Hires Forecast'!$H$5:$H$84&gt;='Dev Ops'!AC$3),'New Hires Forecast'!$R$5:$R$84,'New Hires Forecast'!$L$5:$L$84)),0),"New Year"))))),0)</f>
        <v>0</v>
      </c>
      <c r="AD15" s="684">
        <f>IF(AD$4="forecast",IF(YEAR(AD$3)=YEAR('New Hires Forecast'!$N$3),IF((AD$5=12),(SUMPRODUCT(--('New Hires Forecast'!$F$5:$F$84="Development Operations"),--('New Hires Forecast'!$H$5:$H$84&gt;='Dev Ops'!AD$3),'New Hires Forecast'!$N$5:$N$84,'New Hires Forecast'!$L$5:$L$84)),0),IF(YEAR(AD$3)=YEAR('New Hires Forecast'!$O$3),IF((AD$5=12),(SUMPRODUCT(--('New Hires Forecast'!$F$5:$F$84="Development Operations"),--('New Hires Forecast'!$H$5:$H$84&gt;='Dev Ops'!AD$3),'New Hires Forecast'!$O$5:$O$84,'New Hires Forecast'!$L$5:$L$84)),0),IF(YEAR(AD$3)=YEAR('New Hires Forecast'!$P$3),IF((AD$5=12),(SUMPRODUCT(--('New Hires Forecast'!$F$5:$F$84="Development Operations"),--('New Hires Forecast'!$H$5:$H$84&gt;='Dev Ops'!AD$3),'New Hires Forecast'!$P$5:$P$84,'New Hires Forecast'!$L$5:$L$84)),0),IF(YEAR(AD$3)=YEAR('New Hires Forecast'!$Q$3),IF((AD$5=12),(SUMPRODUCT(--('New Hires Forecast'!$F$5:$F$84="Development Operations"),--('New Hires Forecast'!$H$5:$H$84&gt;='Dev Ops'!AD$3),'New Hires Forecast'!$Q$5:$Q$84,'New Hires Forecast'!$L$5:$L$84)),0),IF(YEAR(AD$3)=YEAR('New Hires Forecast'!$R$3),IF((AD$5=12),(SUMPRODUCT(--('New Hires Forecast'!$F$5:$F$84="Development Operations"),--('New Hires Forecast'!$H$5:$H$84&gt;='Dev Ops'!AD$3),'New Hires Forecast'!$R$5:$R$84,'New Hires Forecast'!$L$5:$L$84)),0),"New Year"))))),0)</f>
        <v>0</v>
      </c>
      <c r="AE15" s="684">
        <f>IF(AE$4="forecast",IF(YEAR(AE$3)=YEAR('New Hires Forecast'!$N$3),IF((AE$5=12),(SUMPRODUCT(--('New Hires Forecast'!$F$5:$F$84="Development Operations"),--('New Hires Forecast'!$H$5:$H$84&gt;='Dev Ops'!AE$3),'New Hires Forecast'!$N$5:$N$84,'New Hires Forecast'!$L$5:$L$84)),0),IF(YEAR(AE$3)=YEAR('New Hires Forecast'!$O$3),IF((AE$5=12),(SUMPRODUCT(--('New Hires Forecast'!$F$5:$F$84="Development Operations"),--('New Hires Forecast'!$H$5:$H$84&gt;='Dev Ops'!AE$3),'New Hires Forecast'!$O$5:$O$84,'New Hires Forecast'!$L$5:$L$84)),0),IF(YEAR(AE$3)=YEAR('New Hires Forecast'!$P$3),IF((AE$5=12),(SUMPRODUCT(--('New Hires Forecast'!$F$5:$F$84="Development Operations"),--('New Hires Forecast'!$H$5:$H$84&gt;='Dev Ops'!AE$3),'New Hires Forecast'!$P$5:$P$84,'New Hires Forecast'!$L$5:$L$84)),0),IF(YEAR(AE$3)=YEAR('New Hires Forecast'!$Q$3),IF((AE$5=12),(SUMPRODUCT(--('New Hires Forecast'!$F$5:$F$84="Development Operations"),--('New Hires Forecast'!$H$5:$H$84&gt;='Dev Ops'!AE$3),'New Hires Forecast'!$Q$5:$Q$84,'New Hires Forecast'!$L$5:$L$84)),0),IF(YEAR(AE$3)=YEAR('New Hires Forecast'!$R$3),IF((AE$5=12),(SUMPRODUCT(--('New Hires Forecast'!$F$5:$F$84="Development Operations"),--('New Hires Forecast'!$H$5:$H$84&gt;='Dev Ops'!AE$3),'New Hires Forecast'!$R$5:$R$84,'New Hires Forecast'!$L$5:$L$84)),0),"New Year"))))),0)</f>
        <v>0</v>
      </c>
      <c r="AF15" s="684">
        <f>IF(AF$4="forecast",IF(YEAR(AF$3)=YEAR('New Hires Forecast'!$N$3),IF((AF$5=12),(SUMPRODUCT(--('New Hires Forecast'!$F$5:$F$84="Development Operations"),--('New Hires Forecast'!$H$5:$H$84&gt;='Dev Ops'!AF$3),'New Hires Forecast'!$N$5:$N$84,'New Hires Forecast'!$L$5:$L$84)),0),IF(YEAR(AF$3)=YEAR('New Hires Forecast'!$O$3),IF((AF$5=12),(SUMPRODUCT(--('New Hires Forecast'!$F$5:$F$84="Development Operations"),--('New Hires Forecast'!$H$5:$H$84&gt;='Dev Ops'!AF$3),'New Hires Forecast'!$O$5:$O$84,'New Hires Forecast'!$L$5:$L$84)),0),IF(YEAR(AF$3)=YEAR('New Hires Forecast'!$P$3),IF((AF$5=12),(SUMPRODUCT(--('New Hires Forecast'!$F$5:$F$84="Development Operations"),--('New Hires Forecast'!$H$5:$H$84&gt;='Dev Ops'!AF$3),'New Hires Forecast'!$P$5:$P$84,'New Hires Forecast'!$L$5:$L$84)),0),IF(YEAR(AF$3)=YEAR('New Hires Forecast'!$Q$3),IF((AF$5=12),(SUMPRODUCT(--('New Hires Forecast'!$F$5:$F$84="Development Operations"),--('New Hires Forecast'!$H$5:$H$84&gt;='Dev Ops'!AF$3),'New Hires Forecast'!$Q$5:$Q$84,'New Hires Forecast'!$L$5:$L$84)),0),IF(YEAR(AF$3)=YEAR('New Hires Forecast'!$R$3),IF((AF$5=12),(SUMPRODUCT(--('New Hires Forecast'!$F$5:$F$84="Development Operations"),--('New Hires Forecast'!$H$5:$H$84&gt;='Dev Ops'!AF$3),'New Hires Forecast'!$R$5:$R$84,'New Hires Forecast'!$L$5:$L$84)),0),"New Year"))))),0)</f>
        <v>0</v>
      </c>
      <c r="AG15" s="684">
        <f>IF(AG$4="forecast",IF(YEAR(AG$3)=YEAR('New Hires Forecast'!$N$3),IF((AG$5=12),(SUMPRODUCT(--('New Hires Forecast'!$F$5:$F$84="Development Operations"),--('New Hires Forecast'!$H$5:$H$84&gt;='Dev Ops'!AG$3),'New Hires Forecast'!$N$5:$N$84,'New Hires Forecast'!$L$5:$L$84)),0),IF(YEAR(AG$3)=YEAR('New Hires Forecast'!$O$3),IF((AG$5=12),(SUMPRODUCT(--('New Hires Forecast'!$F$5:$F$84="Development Operations"),--('New Hires Forecast'!$H$5:$H$84&gt;='Dev Ops'!AG$3),'New Hires Forecast'!$O$5:$O$84,'New Hires Forecast'!$L$5:$L$84)),0),IF(YEAR(AG$3)=YEAR('New Hires Forecast'!$P$3),IF((AG$5=12),(SUMPRODUCT(--('New Hires Forecast'!$F$5:$F$84="Development Operations"),--('New Hires Forecast'!$H$5:$H$84&gt;='Dev Ops'!AG$3),'New Hires Forecast'!$P$5:$P$84,'New Hires Forecast'!$L$5:$L$84)),0),IF(YEAR(AG$3)=YEAR('New Hires Forecast'!$Q$3),IF((AG$5=12),(SUMPRODUCT(--('New Hires Forecast'!$F$5:$F$84="Development Operations"),--('New Hires Forecast'!$H$5:$H$84&gt;='Dev Ops'!AG$3),'New Hires Forecast'!$Q$5:$Q$84,'New Hires Forecast'!$L$5:$L$84)),0),IF(YEAR(AG$3)=YEAR('New Hires Forecast'!$R$3),IF((AG$5=12),(SUMPRODUCT(--('New Hires Forecast'!$F$5:$F$84="Development Operations"),--('New Hires Forecast'!$H$5:$H$84&gt;='Dev Ops'!AG$3),'New Hires Forecast'!$R$5:$R$84,'New Hires Forecast'!$L$5:$L$84)),0),"New Year"))))),0)</f>
        <v>0</v>
      </c>
      <c r="AH15" s="684">
        <f>IF(AH$4="forecast",IF(YEAR(AH$3)=YEAR('New Hires Forecast'!$N$3),IF((AH$5=12),(SUMPRODUCT(--('New Hires Forecast'!$F$5:$F$84="Development Operations"),--('New Hires Forecast'!$H$5:$H$84&gt;='Dev Ops'!AH$3),'New Hires Forecast'!$N$5:$N$84,'New Hires Forecast'!$L$5:$L$84)),0),IF(YEAR(AH$3)=YEAR('New Hires Forecast'!$O$3),IF((AH$5=12),(SUMPRODUCT(--('New Hires Forecast'!$F$5:$F$84="Development Operations"),--('New Hires Forecast'!$H$5:$H$84&gt;='Dev Ops'!AH$3),'New Hires Forecast'!$O$5:$O$84,'New Hires Forecast'!$L$5:$L$84)),0),IF(YEAR(AH$3)=YEAR('New Hires Forecast'!$P$3),IF((AH$5=12),(SUMPRODUCT(--('New Hires Forecast'!$F$5:$F$84="Development Operations"),--('New Hires Forecast'!$H$5:$H$84&gt;='Dev Ops'!AH$3),'New Hires Forecast'!$P$5:$P$84,'New Hires Forecast'!$L$5:$L$84)),0),IF(YEAR(AH$3)=YEAR('New Hires Forecast'!$Q$3),IF((AH$5=12),(SUMPRODUCT(--('New Hires Forecast'!$F$5:$F$84="Development Operations"),--('New Hires Forecast'!$H$5:$H$84&gt;='Dev Ops'!AH$3),'New Hires Forecast'!$Q$5:$Q$84,'New Hires Forecast'!$L$5:$L$84)),0),IF(YEAR(AH$3)=YEAR('New Hires Forecast'!$R$3),IF((AH$5=12),(SUMPRODUCT(--('New Hires Forecast'!$F$5:$F$84="Development Operations"),--('New Hires Forecast'!$H$5:$H$84&gt;='Dev Ops'!AH$3),'New Hires Forecast'!$R$5:$R$84,'New Hires Forecast'!$L$5:$L$84)),0),"New Year"))))),0)</f>
        <v>0</v>
      </c>
      <c r="AI15" s="684">
        <f>IF(AI$4="forecast",IF(YEAR(AI$3)=YEAR('New Hires Forecast'!$N$3),IF((AI$5=12),(SUMPRODUCT(--('New Hires Forecast'!$F$5:$F$84="Development Operations"),--('New Hires Forecast'!$H$5:$H$84&gt;='Dev Ops'!AI$3),'New Hires Forecast'!$N$5:$N$84,'New Hires Forecast'!$L$5:$L$84)),0),IF(YEAR(AI$3)=YEAR('New Hires Forecast'!$O$3),IF((AI$5=12),(SUMPRODUCT(--('New Hires Forecast'!$F$5:$F$84="Development Operations"),--('New Hires Forecast'!$H$5:$H$84&gt;='Dev Ops'!AI$3),'New Hires Forecast'!$O$5:$O$84,'New Hires Forecast'!$L$5:$L$84)),0),IF(YEAR(AI$3)=YEAR('New Hires Forecast'!$P$3),IF((AI$5=12),(SUMPRODUCT(--('New Hires Forecast'!$F$5:$F$84="Development Operations"),--('New Hires Forecast'!$H$5:$H$84&gt;='Dev Ops'!AI$3),'New Hires Forecast'!$P$5:$P$84,'New Hires Forecast'!$L$5:$L$84)),0),IF(YEAR(AI$3)=YEAR('New Hires Forecast'!$Q$3),IF((AI$5=12),(SUMPRODUCT(--('New Hires Forecast'!$F$5:$F$84="Development Operations"),--('New Hires Forecast'!$H$5:$H$84&gt;='Dev Ops'!AI$3),'New Hires Forecast'!$Q$5:$Q$84,'New Hires Forecast'!$L$5:$L$84)),0),IF(YEAR(AI$3)=YEAR('New Hires Forecast'!$R$3),IF((AI$5=12),(SUMPRODUCT(--('New Hires Forecast'!$F$5:$F$84="Development Operations"),--('New Hires Forecast'!$H$5:$H$84&gt;='Dev Ops'!AI$3),'New Hires Forecast'!$R$5:$R$84,'New Hires Forecast'!$L$5:$L$84)),0),"New Year"))))),0)</f>
        <v>0</v>
      </c>
      <c r="AJ15" s="684">
        <f>IF(AJ$4="forecast",IF(YEAR(AJ$3)=YEAR('New Hires Forecast'!$N$3),IF((AJ$5=12),(SUMPRODUCT(--('New Hires Forecast'!$F$5:$F$84="Development Operations"),--('New Hires Forecast'!$H$5:$H$84&gt;='Dev Ops'!AJ$3),'New Hires Forecast'!$N$5:$N$84,'New Hires Forecast'!$L$5:$L$84)),0),IF(YEAR(AJ$3)=YEAR('New Hires Forecast'!$O$3),IF((AJ$5=12),(SUMPRODUCT(--('New Hires Forecast'!$F$5:$F$84="Development Operations"),--('New Hires Forecast'!$H$5:$H$84&gt;='Dev Ops'!AJ$3),'New Hires Forecast'!$O$5:$O$84,'New Hires Forecast'!$L$5:$L$84)),0),IF(YEAR(AJ$3)=YEAR('New Hires Forecast'!$P$3),IF((AJ$5=12),(SUMPRODUCT(--('New Hires Forecast'!$F$5:$F$84="Development Operations"),--('New Hires Forecast'!$H$5:$H$84&gt;='Dev Ops'!AJ$3),'New Hires Forecast'!$P$5:$P$84,'New Hires Forecast'!$L$5:$L$84)),0),IF(YEAR(AJ$3)=YEAR('New Hires Forecast'!$Q$3),IF((AJ$5=12),(SUMPRODUCT(--('New Hires Forecast'!$F$5:$F$84="Development Operations"),--('New Hires Forecast'!$H$5:$H$84&gt;='Dev Ops'!AJ$3),'New Hires Forecast'!$Q$5:$Q$84,'New Hires Forecast'!$L$5:$L$84)),0),IF(YEAR(AJ$3)=YEAR('New Hires Forecast'!$R$3),IF((AJ$5=12),(SUMPRODUCT(--('New Hires Forecast'!$F$5:$F$84="Development Operations"),--('New Hires Forecast'!$H$5:$H$84&gt;='Dev Ops'!AJ$3),'New Hires Forecast'!$R$5:$R$84,'New Hires Forecast'!$L$5:$L$84)),0),"New Year"))))),0)</f>
        <v>0</v>
      </c>
      <c r="AK15" s="684">
        <f>IF(AK$4="forecast",IF(YEAR(AK$3)=YEAR('New Hires Forecast'!$N$3),IF((AK$5=12),(SUMPRODUCT(--('New Hires Forecast'!$F$5:$F$84="Development Operations"),--('New Hires Forecast'!$H$5:$H$84&gt;='Dev Ops'!AK$3),'New Hires Forecast'!$N$5:$N$84,'New Hires Forecast'!$L$5:$L$84)),0),IF(YEAR(AK$3)=YEAR('New Hires Forecast'!$O$3),IF((AK$5=12),(SUMPRODUCT(--('New Hires Forecast'!$F$5:$F$84="Development Operations"),--('New Hires Forecast'!$H$5:$H$84&gt;='Dev Ops'!AK$3),'New Hires Forecast'!$O$5:$O$84,'New Hires Forecast'!$L$5:$L$84)),0),IF(YEAR(AK$3)=YEAR('New Hires Forecast'!$P$3),IF((AK$5=12),(SUMPRODUCT(--('New Hires Forecast'!$F$5:$F$84="Development Operations"),--('New Hires Forecast'!$H$5:$H$84&gt;='Dev Ops'!AK$3),'New Hires Forecast'!$P$5:$P$84,'New Hires Forecast'!$L$5:$L$84)),0),IF(YEAR(AK$3)=YEAR('New Hires Forecast'!$Q$3),IF((AK$5=12),(SUMPRODUCT(--('New Hires Forecast'!$F$5:$F$84="Development Operations"),--('New Hires Forecast'!$H$5:$H$84&gt;='Dev Ops'!AK$3),'New Hires Forecast'!$Q$5:$Q$84,'New Hires Forecast'!$L$5:$L$84)),0),IF(YEAR(AK$3)=YEAR('New Hires Forecast'!$R$3),IF((AK$5=12),(SUMPRODUCT(--('New Hires Forecast'!$F$5:$F$84="Development Operations"),--('New Hires Forecast'!$H$5:$H$84&gt;='Dev Ops'!AK$3),'New Hires Forecast'!$R$5:$R$84,'New Hires Forecast'!$L$5:$L$84)),0),"New Year"))))),0)</f>
        <v>0</v>
      </c>
      <c r="AL15" s="684">
        <f>IF(AL$4="forecast",IF(YEAR(AL$3)=YEAR('New Hires Forecast'!$N$3),IF((AL$5=12),(SUMPRODUCT(--('New Hires Forecast'!$F$5:$F$84="Development Operations"),--('New Hires Forecast'!$H$5:$H$84&gt;='Dev Ops'!AL$3),'New Hires Forecast'!$N$5:$N$84,'New Hires Forecast'!$L$5:$L$84)),0),IF(YEAR(AL$3)=YEAR('New Hires Forecast'!$O$3),IF((AL$5=12),(SUMPRODUCT(--('New Hires Forecast'!$F$5:$F$84="Development Operations"),--('New Hires Forecast'!$H$5:$H$84&gt;='Dev Ops'!AL$3),'New Hires Forecast'!$O$5:$O$84,'New Hires Forecast'!$L$5:$L$84)),0),IF(YEAR(AL$3)=YEAR('New Hires Forecast'!$P$3),IF((AL$5=12),(SUMPRODUCT(--('New Hires Forecast'!$F$5:$F$84="Development Operations"),--('New Hires Forecast'!$H$5:$H$84&gt;='Dev Ops'!AL$3),'New Hires Forecast'!$P$5:$P$84,'New Hires Forecast'!$L$5:$L$84)),0),IF(YEAR(AL$3)=YEAR('New Hires Forecast'!$Q$3),IF((AL$5=12),(SUMPRODUCT(--('New Hires Forecast'!$F$5:$F$84="Development Operations"),--('New Hires Forecast'!$H$5:$H$84&gt;='Dev Ops'!AL$3),'New Hires Forecast'!$Q$5:$Q$84,'New Hires Forecast'!$L$5:$L$84)),0),IF(YEAR(AL$3)=YEAR('New Hires Forecast'!$R$3),IF((AL$5=12),(SUMPRODUCT(--('New Hires Forecast'!$F$5:$F$84="Development Operations"),--('New Hires Forecast'!$H$5:$H$84&gt;='Dev Ops'!AL$3),'New Hires Forecast'!$R$5:$R$84,'New Hires Forecast'!$L$5:$L$84)),0),"New Year"))))),0)</f>
        <v>12000</v>
      </c>
      <c r="AM15" s="684">
        <f>IF(AM$4="forecast",IF(YEAR(AM$3)=YEAR('New Hires Forecast'!$N$3),IF((AM$5=12),(SUMPRODUCT(--('New Hires Forecast'!$F$5:$F$84="Development Operations"),--('New Hires Forecast'!$H$5:$H$84&gt;='Dev Ops'!AM$3),'New Hires Forecast'!$N$5:$N$84,'New Hires Forecast'!$L$5:$L$84)),0),IF(YEAR(AM$3)=YEAR('New Hires Forecast'!$O$3),IF((AM$5=12),(SUMPRODUCT(--('New Hires Forecast'!$F$5:$F$84="Development Operations"),--('New Hires Forecast'!$H$5:$H$84&gt;='Dev Ops'!AM$3),'New Hires Forecast'!$O$5:$O$84,'New Hires Forecast'!$L$5:$L$84)),0),IF(YEAR(AM$3)=YEAR('New Hires Forecast'!$P$3),IF((AM$5=12),(SUMPRODUCT(--('New Hires Forecast'!$F$5:$F$84="Development Operations"),--('New Hires Forecast'!$H$5:$H$84&gt;='Dev Ops'!AM$3),'New Hires Forecast'!$P$5:$P$84,'New Hires Forecast'!$L$5:$L$84)),0),IF(YEAR(AM$3)=YEAR('New Hires Forecast'!$Q$3),IF((AM$5=12),(SUMPRODUCT(--('New Hires Forecast'!$F$5:$F$84="Development Operations"),--('New Hires Forecast'!$H$5:$H$84&gt;='Dev Ops'!AM$3),'New Hires Forecast'!$Q$5:$Q$84,'New Hires Forecast'!$L$5:$L$84)),0),IF(YEAR(AM$3)=YEAR('New Hires Forecast'!$R$3),IF((AM$5=12),(SUMPRODUCT(--('New Hires Forecast'!$F$5:$F$84="Development Operations"),--('New Hires Forecast'!$H$5:$H$84&gt;='Dev Ops'!AM$3),'New Hires Forecast'!$R$5:$R$84,'New Hires Forecast'!$L$5:$L$84)),0),"New Year"))))),0)</f>
        <v>0</v>
      </c>
      <c r="AN15" s="684">
        <f>IF(AN$4="forecast",IF(YEAR(AN$3)=YEAR('New Hires Forecast'!$N$3),IF((AN$5=12),(SUMPRODUCT(--('New Hires Forecast'!$F$5:$F$84="Development Operations"),--('New Hires Forecast'!$H$5:$H$84&gt;='Dev Ops'!AN$3),'New Hires Forecast'!$N$5:$N$84,'New Hires Forecast'!$L$5:$L$84)),0),IF(YEAR(AN$3)=YEAR('New Hires Forecast'!$O$3),IF((AN$5=12),(SUMPRODUCT(--('New Hires Forecast'!$F$5:$F$84="Development Operations"),--('New Hires Forecast'!$H$5:$H$84&gt;='Dev Ops'!AN$3),'New Hires Forecast'!$O$5:$O$84,'New Hires Forecast'!$L$5:$L$84)),0),IF(YEAR(AN$3)=YEAR('New Hires Forecast'!$P$3),IF((AN$5=12),(SUMPRODUCT(--('New Hires Forecast'!$F$5:$F$84="Development Operations"),--('New Hires Forecast'!$H$5:$H$84&gt;='Dev Ops'!AN$3),'New Hires Forecast'!$P$5:$P$84,'New Hires Forecast'!$L$5:$L$84)),0),IF(YEAR(AN$3)=YEAR('New Hires Forecast'!$Q$3),IF((AN$5=12),(SUMPRODUCT(--('New Hires Forecast'!$F$5:$F$84="Development Operations"),--('New Hires Forecast'!$H$5:$H$84&gt;='Dev Ops'!AN$3),'New Hires Forecast'!$Q$5:$Q$84,'New Hires Forecast'!$L$5:$L$84)),0),IF(YEAR(AN$3)=YEAR('New Hires Forecast'!$R$3),IF((AN$5=12),(SUMPRODUCT(--('New Hires Forecast'!$F$5:$F$84="Development Operations"),--('New Hires Forecast'!$H$5:$H$84&gt;='Dev Ops'!AN$3),'New Hires Forecast'!$R$5:$R$84,'New Hires Forecast'!$L$5:$L$84)),0),"New Year"))))),0)</f>
        <v>0</v>
      </c>
      <c r="AO15" s="684">
        <f>IF(AO$4="forecast",IF(YEAR(AO$3)=YEAR('New Hires Forecast'!$N$3),IF((AO$5=12),(SUMPRODUCT(--('New Hires Forecast'!$F$5:$F$84="Development Operations"),--('New Hires Forecast'!$H$5:$H$84&gt;='Dev Ops'!AO$3),'New Hires Forecast'!$N$5:$N$84,'New Hires Forecast'!$L$5:$L$84)),0),IF(YEAR(AO$3)=YEAR('New Hires Forecast'!$O$3),IF((AO$5=12),(SUMPRODUCT(--('New Hires Forecast'!$F$5:$F$84="Development Operations"),--('New Hires Forecast'!$H$5:$H$84&gt;='Dev Ops'!AO$3),'New Hires Forecast'!$O$5:$O$84,'New Hires Forecast'!$L$5:$L$84)),0),IF(YEAR(AO$3)=YEAR('New Hires Forecast'!$P$3),IF((AO$5=12),(SUMPRODUCT(--('New Hires Forecast'!$F$5:$F$84="Development Operations"),--('New Hires Forecast'!$H$5:$H$84&gt;='Dev Ops'!AO$3),'New Hires Forecast'!$P$5:$P$84,'New Hires Forecast'!$L$5:$L$84)),0),IF(YEAR(AO$3)=YEAR('New Hires Forecast'!$Q$3),IF((AO$5=12),(SUMPRODUCT(--('New Hires Forecast'!$F$5:$F$84="Development Operations"),--('New Hires Forecast'!$H$5:$H$84&gt;='Dev Ops'!AO$3),'New Hires Forecast'!$Q$5:$Q$84,'New Hires Forecast'!$L$5:$L$84)),0),IF(YEAR(AO$3)=YEAR('New Hires Forecast'!$R$3),IF((AO$5=12),(SUMPRODUCT(--('New Hires Forecast'!$F$5:$F$84="Development Operations"),--('New Hires Forecast'!$H$5:$H$84&gt;='Dev Ops'!AO$3),'New Hires Forecast'!$R$5:$R$84,'New Hires Forecast'!$L$5:$L$84)),0),"New Year"))))),0)</f>
        <v>0</v>
      </c>
      <c r="AP15" s="684">
        <f>IF(AP$4="forecast",IF(YEAR(AP$3)=YEAR('New Hires Forecast'!$N$3),IF((AP$5=12),(SUMPRODUCT(--('New Hires Forecast'!$F$5:$F$84="Development Operations"),--('New Hires Forecast'!$H$5:$H$84&gt;='Dev Ops'!AP$3),'New Hires Forecast'!$N$5:$N$84,'New Hires Forecast'!$L$5:$L$84)),0),IF(YEAR(AP$3)=YEAR('New Hires Forecast'!$O$3),IF((AP$5=12),(SUMPRODUCT(--('New Hires Forecast'!$F$5:$F$84="Development Operations"),--('New Hires Forecast'!$H$5:$H$84&gt;='Dev Ops'!AP$3),'New Hires Forecast'!$O$5:$O$84,'New Hires Forecast'!$L$5:$L$84)),0),IF(YEAR(AP$3)=YEAR('New Hires Forecast'!$P$3),IF((AP$5=12),(SUMPRODUCT(--('New Hires Forecast'!$F$5:$F$84="Development Operations"),--('New Hires Forecast'!$H$5:$H$84&gt;='Dev Ops'!AP$3),'New Hires Forecast'!$P$5:$P$84,'New Hires Forecast'!$L$5:$L$84)),0),IF(YEAR(AP$3)=YEAR('New Hires Forecast'!$Q$3),IF((AP$5=12),(SUMPRODUCT(--('New Hires Forecast'!$F$5:$F$84="Development Operations"),--('New Hires Forecast'!$H$5:$H$84&gt;='Dev Ops'!AP$3),'New Hires Forecast'!$Q$5:$Q$84,'New Hires Forecast'!$L$5:$L$84)),0),IF(YEAR(AP$3)=YEAR('New Hires Forecast'!$R$3),IF((AP$5=12),(SUMPRODUCT(--('New Hires Forecast'!$F$5:$F$84="Development Operations"),--('New Hires Forecast'!$H$5:$H$84&gt;='Dev Ops'!AP$3),'New Hires Forecast'!$R$5:$R$84,'New Hires Forecast'!$L$5:$L$84)),0),"New Year"))))),0)</f>
        <v>0</v>
      </c>
      <c r="AQ15" s="684">
        <f>IF(AQ$4="forecast",IF(YEAR(AQ$3)=YEAR('New Hires Forecast'!$N$3),IF((AQ$5=12),(SUMPRODUCT(--('New Hires Forecast'!$F$5:$F$84="Development Operations"),--('New Hires Forecast'!$H$5:$H$84&gt;='Dev Ops'!AQ$3),'New Hires Forecast'!$N$5:$N$84,'New Hires Forecast'!$L$5:$L$84)),0),IF(YEAR(AQ$3)=YEAR('New Hires Forecast'!$O$3),IF((AQ$5=12),(SUMPRODUCT(--('New Hires Forecast'!$F$5:$F$84="Development Operations"),--('New Hires Forecast'!$H$5:$H$84&gt;='Dev Ops'!AQ$3),'New Hires Forecast'!$O$5:$O$84,'New Hires Forecast'!$L$5:$L$84)),0),IF(YEAR(AQ$3)=YEAR('New Hires Forecast'!$P$3),IF((AQ$5=12),(SUMPRODUCT(--('New Hires Forecast'!$F$5:$F$84="Development Operations"),--('New Hires Forecast'!$H$5:$H$84&gt;='Dev Ops'!AQ$3),'New Hires Forecast'!$P$5:$P$84,'New Hires Forecast'!$L$5:$L$84)),0),IF(YEAR(AQ$3)=YEAR('New Hires Forecast'!$Q$3),IF((AQ$5=12),(SUMPRODUCT(--('New Hires Forecast'!$F$5:$F$84="Development Operations"),--('New Hires Forecast'!$H$5:$H$84&gt;='Dev Ops'!AQ$3),'New Hires Forecast'!$Q$5:$Q$84,'New Hires Forecast'!$L$5:$L$84)),0),IF(YEAR(AQ$3)=YEAR('New Hires Forecast'!$R$3),IF((AQ$5=12),(SUMPRODUCT(--('New Hires Forecast'!$F$5:$F$84="Development Operations"),--('New Hires Forecast'!$H$5:$H$84&gt;='Dev Ops'!AQ$3),'New Hires Forecast'!$R$5:$R$84,'New Hires Forecast'!$L$5:$L$84)),0),"New Year"))))),0)</f>
        <v>0</v>
      </c>
      <c r="AR15" s="684">
        <f>IF(AR$4="forecast",IF(YEAR(AR$3)=YEAR('New Hires Forecast'!$N$3),IF((AR$5=12),(SUMPRODUCT(--('New Hires Forecast'!$F$5:$F$84="Development Operations"),--('New Hires Forecast'!$H$5:$H$84&gt;='Dev Ops'!AR$3),'New Hires Forecast'!$N$5:$N$84,'New Hires Forecast'!$L$5:$L$84)),0),IF(YEAR(AR$3)=YEAR('New Hires Forecast'!$O$3),IF((AR$5=12),(SUMPRODUCT(--('New Hires Forecast'!$F$5:$F$84="Development Operations"),--('New Hires Forecast'!$H$5:$H$84&gt;='Dev Ops'!AR$3),'New Hires Forecast'!$O$5:$O$84,'New Hires Forecast'!$L$5:$L$84)),0),IF(YEAR(AR$3)=YEAR('New Hires Forecast'!$P$3),IF((AR$5=12),(SUMPRODUCT(--('New Hires Forecast'!$F$5:$F$84="Development Operations"),--('New Hires Forecast'!$H$5:$H$84&gt;='Dev Ops'!AR$3),'New Hires Forecast'!$P$5:$P$84,'New Hires Forecast'!$L$5:$L$84)),0),IF(YEAR(AR$3)=YEAR('New Hires Forecast'!$Q$3),IF((AR$5=12),(SUMPRODUCT(--('New Hires Forecast'!$F$5:$F$84="Development Operations"),--('New Hires Forecast'!$H$5:$H$84&gt;='Dev Ops'!AR$3),'New Hires Forecast'!$Q$5:$Q$84,'New Hires Forecast'!$L$5:$L$84)),0),IF(YEAR(AR$3)=YEAR('New Hires Forecast'!$R$3),IF((AR$5=12),(SUMPRODUCT(--('New Hires Forecast'!$F$5:$F$84="Development Operations"),--('New Hires Forecast'!$H$5:$H$84&gt;='Dev Ops'!AR$3),'New Hires Forecast'!$R$5:$R$84,'New Hires Forecast'!$L$5:$L$84)),0),"New Year"))))),0)</f>
        <v>0</v>
      </c>
      <c r="AS15" s="684">
        <f>IF(AS$4="forecast",IF(YEAR(AS$3)=YEAR('New Hires Forecast'!$N$3),IF((AS$5=12),(SUMPRODUCT(--('New Hires Forecast'!$F$5:$F$84="Development Operations"),--('New Hires Forecast'!$H$5:$H$84&gt;='Dev Ops'!AS$3),'New Hires Forecast'!$N$5:$N$84,'New Hires Forecast'!$L$5:$L$84)),0),IF(YEAR(AS$3)=YEAR('New Hires Forecast'!$O$3),IF((AS$5=12),(SUMPRODUCT(--('New Hires Forecast'!$F$5:$F$84="Development Operations"),--('New Hires Forecast'!$H$5:$H$84&gt;='Dev Ops'!AS$3),'New Hires Forecast'!$O$5:$O$84,'New Hires Forecast'!$L$5:$L$84)),0),IF(YEAR(AS$3)=YEAR('New Hires Forecast'!$P$3),IF((AS$5=12),(SUMPRODUCT(--('New Hires Forecast'!$F$5:$F$84="Development Operations"),--('New Hires Forecast'!$H$5:$H$84&gt;='Dev Ops'!AS$3),'New Hires Forecast'!$P$5:$P$84,'New Hires Forecast'!$L$5:$L$84)),0),IF(YEAR(AS$3)=YEAR('New Hires Forecast'!$Q$3),IF((AS$5=12),(SUMPRODUCT(--('New Hires Forecast'!$F$5:$F$84="Development Operations"),--('New Hires Forecast'!$H$5:$H$84&gt;='Dev Ops'!AS$3),'New Hires Forecast'!$Q$5:$Q$84,'New Hires Forecast'!$L$5:$L$84)),0),IF(YEAR(AS$3)=YEAR('New Hires Forecast'!$R$3),IF((AS$5=12),(SUMPRODUCT(--('New Hires Forecast'!$F$5:$F$84="Development Operations"),--('New Hires Forecast'!$H$5:$H$84&gt;='Dev Ops'!AS$3),'New Hires Forecast'!$R$5:$R$84,'New Hires Forecast'!$L$5:$L$84)),0),"New Year"))))),0)</f>
        <v>0</v>
      </c>
      <c r="AT15" s="684">
        <f>IF(AT$4="forecast",IF(YEAR(AT$3)=YEAR('New Hires Forecast'!$N$3),IF((AT$5=12),(SUMPRODUCT(--('New Hires Forecast'!$F$5:$F$84="Development Operations"),--('New Hires Forecast'!$H$5:$H$84&gt;='Dev Ops'!AT$3),'New Hires Forecast'!$N$5:$N$84,'New Hires Forecast'!$L$5:$L$84)),0),IF(YEAR(AT$3)=YEAR('New Hires Forecast'!$O$3),IF((AT$5=12),(SUMPRODUCT(--('New Hires Forecast'!$F$5:$F$84="Development Operations"),--('New Hires Forecast'!$H$5:$H$84&gt;='Dev Ops'!AT$3),'New Hires Forecast'!$O$5:$O$84,'New Hires Forecast'!$L$5:$L$84)),0),IF(YEAR(AT$3)=YEAR('New Hires Forecast'!$P$3),IF((AT$5=12),(SUMPRODUCT(--('New Hires Forecast'!$F$5:$F$84="Development Operations"),--('New Hires Forecast'!$H$5:$H$84&gt;='Dev Ops'!AT$3),'New Hires Forecast'!$P$5:$P$84,'New Hires Forecast'!$L$5:$L$84)),0),IF(YEAR(AT$3)=YEAR('New Hires Forecast'!$Q$3),IF((AT$5=12),(SUMPRODUCT(--('New Hires Forecast'!$F$5:$F$84="Development Operations"),--('New Hires Forecast'!$H$5:$H$84&gt;='Dev Ops'!AT$3),'New Hires Forecast'!$Q$5:$Q$84,'New Hires Forecast'!$L$5:$L$84)),0),IF(YEAR(AT$3)=YEAR('New Hires Forecast'!$R$3),IF((AT$5=12),(SUMPRODUCT(--('New Hires Forecast'!$F$5:$F$84="Development Operations"),--('New Hires Forecast'!$H$5:$H$84&gt;='Dev Ops'!AT$3),'New Hires Forecast'!$R$5:$R$84,'New Hires Forecast'!$L$5:$L$84)),0),"New Year"))))),0)</f>
        <v>0</v>
      </c>
      <c r="AU15" s="684">
        <f>IF(AU$4="forecast",IF(YEAR(AU$3)=YEAR('New Hires Forecast'!$N$3),IF((AU$5=12),(SUMPRODUCT(--('New Hires Forecast'!$F$5:$F$84="Development Operations"),--('New Hires Forecast'!$H$5:$H$84&gt;='Dev Ops'!AU$3),'New Hires Forecast'!$N$5:$N$84,'New Hires Forecast'!$L$5:$L$84)),0),IF(YEAR(AU$3)=YEAR('New Hires Forecast'!$O$3),IF((AU$5=12),(SUMPRODUCT(--('New Hires Forecast'!$F$5:$F$84="Development Operations"),--('New Hires Forecast'!$H$5:$H$84&gt;='Dev Ops'!AU$3),'New Hires Forecast'!$O$5:$O$84,'New Hires Forecast'!$L$5:$L$84)),0),IF(YEAR(AU$3)=YEAR('New Hires Forecast'!$P$3),IF((AU$5=12),(SUMPRODUCT(--('New Hires Forecast'!$F$5:$F$84="Development Operations"),--('New Hires Forecast'!$H$5:$H$84&gt;='Dev Ops'!AU$3),'New Hires Forecast'!$P$5:$P$84,'New Hires Forecast'!$L$5:$L$84)),0),IF(YEAR(AU$3)=YEAR('New Hires Forecast'!$Q$3),IF((AU$5=12),(SUMPRODUCT(--('New Hires Forecast'!$F$5:$F$84="Development Operations"),--('New Hires Forecast'!$H$5:$H$84&gt;='Dev Ops'!AU$3),'New Hires Forecast'!$Q$5:$Q$84,'New Hires Forecast'!$L$5:$L$84)),0),IF(YEAR(AU$3)=YEAR('New Hires Forecast'!$R$3),IF((AU$5=12),(SUMPRODUCT(--('New Hires Forecast'!$F$5:$F$84="Development Operations"),--('New Hires Forecast'!$H$5:$H$84&gt;='Dev Ops'!AU$3),'New Hires Forecast'!$R$5:$R$84,'New Hires Forecast'!$L$5:$L$84)),0),"New Year"))))),0)</f>
        <v>0</v>
      </c>
      <c r="AV15" s="684">
        <f>IF(AV$4="forecast",IF(YEAR(AV$3)=YEAR('New Hires Forecast'!$N$3),IF((AV$5=12),(SUMPRODUCT(--('New Hires Forecast'!$F$5:$F$84="Development Operations"),--('New Hires Forecast'!$H$5:$H$84&gt;='Dev Ops'!AV$3),'New Hires Forecast'!$N$5:$N$84,'New Hires Forecast'!$L$5:$L$84)),0),IF(YEAR(AV$3)=YEAR('New Hires Forecast'!$O$3),IF((AV$5=12),(SUMPRODUCT(--('New Hires Forecast'!$F$5:$F$84="Development Operations"),--('New Hires Forecast'!$H$5:$H$84&gt;='Dev Ops'!AV$3),'New Hires Forecast'!$O$5:$O$84,'New Hires Forecast'!$L$5:$L$84)),0),IF(YEAR(AV$3)=YEAR('New Hires Forecast'!$P$3),IF((AV$5=12),(SUMPRODUCT(--('New Hires Forecast'!$F$5:$F$84="Development Operations"),--('New Hires Forecast'!$H$5:$H$84&gt;='Dev Ops'!AV$3),'New Hires Forecast'!$P$5:$P$84,'New Hires Forecast'!$L$5:$L$84)),0),IF(YEAR(AV$3)=YEAR('New Hires Forecast'!$Q$3),IF((AV$5=12),(SUMPRODUCT(--('New Hires Forecast'!$F$5:$F$84="Development Operations"),--('New Hires Forecast'!$H$5:$H$84&gt;='Dev Ops'!AV$3),'New Hires Forecast'!$Q$5:$Q$84,'New Hires Forecast'!$L$5:$L$84)),0),IF(YEAR(AV$3)=YEAR('New Hires Forecast'!$R$3),IF((AV$5=12),(SUMPRODUCT(--('New Hires Forecast'!$F$5:$F$84="Development Operations"),--('New Hires Forecast'!$H$5:$H$84&gt;='Dev Ops'!AV$3),'New Hires Forecast'!$R$5:$R$84,'New Hires Forecast'!$L$5:$L$84)),0),"New Year"))))),0)</f>
        <v>0</v>
      </c>
      <c r="AW15" s="684">
        <f>IF(AW$4="forecast",IF(YEAR(AW$3)=YEAR('New Hires Forecast'!$N$3),IF((AW$5=12),(SUMPRODUCT(--('New Hires Forecast'!$F$5:$F$84="Development Operations"),--('New Hires Forecast'!$H$5:$H$84&gt;='Dev Ops'!AW$3),'New Hires Forecast'!$N$5:$N$84,'New Hires Forecast'!$L$5:$L$84)),0),IF(YEAR(AW$3)=YEAR('New Hires Forecast'!$O$3),IF((AW$5=12),(SUMPRODUCT(--('New Hires Forecast'!$F$5:$F$84="Development Operations"),--('New Hires Forecast'!$H$5:$H$84&gt;='Dev Ops'!AW$3),'New Hires Forecast'!$O$5:$O$84,'New Hires Forecast'!$L$5:$L$84)),0),IF(YEAR(AW$3)=YEAR('New Hires Forecast'!$P$3),IF((AW$5=12),(SUMPRODUCT(--('New Hires Forecast'!$F$5:$F$84="Development Operations"),--('New Hires Forecast'!$H$5:$H$84&gt;='Dev Ops'!AW$3),'New Hires Forecast'!$P$5:$P$84,'New Hires Forecast'!$L$5:$L$84)),0),IF(YEAR(AW$3)=YEAR('New Hires Forecast'!$Q$3),IF((AW$5=12),(SUMPRODUCT(--('New Hires Forecast'!$F$5:$F$84="Development Operations"),--('New Hires Forecast'!$H$5:$H$84&gt;='Dev Ops'!AW$3),'New Hires Forecast'!$Q$5:$Q$84,'New Hires Forecast'!$L$5:$L$84)),0),IF(YEAR(AW$3)=YEAR('New Hires Forecast'!$R$3),IF((AW$5=12),(SUMPRODUCT(--('New Hires Forecast'!$F$5:$F$84="Development Operations"),--('New Hires Forecast'!$H$5:$H$84&gt;='Dev Ops'!AW$3),'New Hires Forecast'!$R$5:$R$84,'New Hires Forecast'!$L$5:$L$84)),0),"New Year"))))),0)</f>
        <v>0</v>
      </c>
      <c r="AX15" s="684">
        <f>IF(AX$4="forecast",IF(YEAR(AX$3)=YEAR('New Hires Forecast'!$N$3),IF((AX$5=12),(SUMPRODUCT(--('New Hires Forecast'!$F$5:$F$84="Development Operations"),--('New Hires Forecast'!$H$5:$H$84&gt;='Dev Ops'!AX$3),'New Hires Forecast'!$N$5:$N$84,'New Hires Forecast'!$L$5:$L$84)),0),IF(YEAR(AX$3)=YEAR('New Hires Forecast'!$O$3),IF((AX$5=12),(SUMPRODUCT(--('New Hires Forecast'!$F$5:$F$84="Development Operations"),--('New Hires Forecast'!$H$5:$H$84&gt;='Dev Ops'!AX$3),'New Hires Forecast'!$O$5:$O$84,'New Hires Forecast'!$L$5:$L$84)),0),IF(YEAR(AX$3)=YEAR('New Hires Forecast'!$P$3),IF((AX$5=12),(SUMPRODUCT(--('New Hires Forecast'!$F$5:$F$84="Development Operations"),--('New Hires Forecast'!$H$5:$H$84&gt;='Dev Ops'!AX$3),'New Hires Forecast'!$P$5:$P$84,'New Hires Forecast'!$L$5:$L$84)),0),IF(YEAR(AX$3)=YEAR('New Hires Forecast'!$Q$3),IF((AX$5=12),(SUMPRODUCT(--('New Hires Forecast'!$F$5:$F$84="Development Operations"),--('New Hires Forecast'!$H$5:$H$84&gt;='Dev Ops'!AX$3),'New Hires Forecast'!$Q$5:$Q$84,'New Hires Forecast'!$L$5:$L$84)),0),IF(YEAR(AX$3)=YEAR('New Hires Forecast'!$R$3),IF((AX$5=12),(SUMPRODUCT(--('New Hires Forecast'!$F$5:$F$84="Development Operations"),--('New Hires Forecast'!$H$5:$H$84&gt;='Dev Ops'!AX$3),'New Hires Forecast'!$R$5:$R$84,'New Hires Forecast'!$L$5:$L$84)),0),"New Year"))))),0)</f>
        <v>12360</v>
      </c>
      <c r="AY15" s="684">
        <f>IF(AY$4="forecast",IF(YEAR(AY$3)=YEAR('New Hires Forecast'!$N$3),IF((AY$5=12),(SUMPRODUCT(--('New Hires Forecast'!$F$5:$F$84="Development Operations"),--('New Hires Forecast'!$H$5:$H$84&gt;='Dev Ops'!AY$3),'New Hires Forecast'!$N$5:$N$84,'New Hires Forecast'!$L$5:$L$84)),0),IF(YEAR(AY$3)=YEAR('New Hires Forecast'!$O$3),IF((AY$5=12),(SUMPRODUCT(--('New Hires Forecast'!$F$5:$F$84="Development Operations"),--('New Hires Forecast'!$H$5:$H$84&gt;='Dev Ops'!AY$3),'New Hires Forecast'!$O$5:$O$84,'New Hires Forecast'!$L$5:$L$84)),0),IF(YEAR(AY$3)=YEAR('New Hires Forecast'!$P$3),IF((AY$5=12),(SUMPRODUCT(--('New Hires Forecast'!$F$5:$F$84="Development Operations"),--('New Hires Forecast'!$H$5:$H$84&gt;='Dev Ops'!AY$3),'New Hires Forecast'!$P$5:$P$84,'New Hires Forecast'!$L$5:$L$84)),0),IF(YEAR(AY$3)=YEAR('New Hires Forecast'!$Q$3),IF((AY$5=12),(SUMPRODUCT(--('New Hires Forecast'!$F$5:$F$84="Development Operations"),--('New Hires Forecast'!$H$5:$H$84&gt;='Dev Ops'!AY$3),'New Hires Forecast'!$Q$5:$Q$84,'New Hires Forecast'!$L$5:$L$84)),0),IF(YEAR(AY$3)=YEAR('New Hires Forecast'!$R$3),IF((AY$5=12),(SUMPRODUCT(--('New Hires Forecast'!$F$5:$F$84="Development Operations"),--('New Hires Forecast'!$H$5:$H$84&gt;='Dev Ops'!AY$3),'New Hires Forecast'!$R$5:$R$84,'New Hires Forecast'!$L$5:$L$84)),0),"New Year"))))),0)</f>
        <v>0</v>
      </c>
      <c r="AZ15" s="684">
        <f>IF(AZ$4="forecast",IF(YEAR(AZ$3)=YEAR('New Hires Forecast'!$N$3),IF((AZ$5=12),(SUMPRODUCT(--('New Hires Forecast'!$F$5:$F$84="Development Operations"),--('New Hires Forecast'!$H$5:$H$84&gt;='Dev Ops'!AZ$3),'New Hires Forecast'!$N$5:$N$84,'New Hires Forecast'!$L$5:$L$84)),0),IF(YEAR(AZ$3)=YEAR('New Hires Forecast'!$O$3),IF((AZ$5=12),(SUMPRODUCT(--('New Hires Forecast'!$F$5:$F$84="Development Operations"),--('New Hires Forecast'!$H$5:$H$84&gt;='Dev Ops'!AZ$3),'New Hires Forecast'!$O$5:$O$84,'New Hires Forecast'!$L$5:$L$84)),0),IF(YEAR(AZ$3)=YEAR('New Hires Forecast'!$P$3),IF((AZ$5=12),(SUMPRODUCT(--('New Hires Forecast'!$F$5:$F$84="Development Operations"),--('New Hires Forecast'!$H$5:$H$84&gt;='Dev Ops'!AZ$3),'New Hires Forecast'!$P$5:$P$84,'New Hires Forecast'!$L$5:$L$84)),0),IF(YEAR(AZ$3)=YEAR('New Hires Forecast'!$Q$3),IF((AZ$5=12),(SUMPRODUCT(--('New Hires Forecast'!$F$5:$F$84="Development Operations"),--('New Hires Forecast'!$H$5:$H$84&gt;='Dev Ops'!AZ$3),'New Hires Forecast'!$Q$5:$Q$84,'New Hires Forecast'!$L$5:$L$84)),0),IF(YEAR(AZ$3)=YEAR('New Hires Forecast'!$R$3),IF((AZ$5=12),(SUMPRODUCT(--('New Hires Forecast'!$F$5:$F$84="Development Operations"),--('New Hires Forecast'!$H$5:$H$84&gt;='Dev Ops'!AZ$3),'New Hires Forecast'!$R$5:$R$84,'New Hires Forecast'!$L$5:$L$84)),0),"New Year"))))),0)</f>
        <v>0</v>
      </c>
      <c r="BA15" s="684">
        <f>IF(BA$4="forecast",IF(YEAR(BA$3)=YEAR('New Hires Forecast'!$N$3),IF((BA$5=12),(SUMPRODUCT(--('New Hires Forecast'!$F$5:$F$84="Development Operations"),--('New Hires Forecast'!$H$5:$H$84&gt;='Dev Ops'!BA$3),'New Hires Forecast'!$N$5:$N$84,'New Hires Forecast'!$L$5:$L$84)),0),IF(YEAR(BA$3)=YEAR('New Hires Forecast'!$O$3),IF((BA$5=12),(SUMPRODUCT(--('New Hires Forecast'!$F$5:$F$84="Development Operations"),--('New Hires Forecast'!$H$5:$H$84&gt;='Dev Ops'!BA$3),'New Hires Forecast'!$O$5:$O$84,'New Hires Forecast'!$L$5:$L$84)),0),IF(YEAR(BA$3)=YEAR('New Hires Forecast'!$P$3),IF((BA$5=12),(SUMPRODUCT(--('New Hires Forecast'!$F$5:$F$84="Development Operations"),--('New Hires Forecast'!$H$5:$H$84&gt;='Dev Ops'!BA$3),'New Hires Forecast'!$P$5:$P$84,'New Hires Forecast'!$L$5:$L$84)),0),IF(YEAR(BA$3)=YEAR('New Hires Forecast'!$Q$3),IF((BA$5=12),(SUMPRODUCT(--('New Hires Forecast'!$F$5:$F$84="Development Operations"),--('New Hires Forecast'!$H$5:$H$84&gt;='Dev Ops'!BA$3),'New Hires Forecast'!$Q$5:$Q$84,'New Hires Forecast'!$L$5:$L$84)),0),IF(YEAR(BA$3)=YEAR('New Hires Forecast'!$R$3),IF((BA$5=12),(SUMPRODUCT(--('New Hires Forecast'!$F$5:$F$84="Development Operations"),--('New Hires Forecast'!$H$5:$H$84&gt;='Dev Ops'!BA$3),'New Hires Forecast'!$R$5:$R$84,'New Hires Forecast'!$L$5:$L$84)),0),"New Year"))))),0)</f>
        <v>0</v>
      </c>
      <c r="BB15" s="684">
        <f>IF(BB$4="forecast",IF(YEAR(BB$3)=YEAR('New Hires Forecast'!$N$3),IF((BB$5=12),(SUMPRODUCT(--('New Hires Forecast'!$F$5:$F$84="Development Operations"),--('New Hires Forecast'!$H$5:$H$84&gt;='Dev Ops'!BB$3),'New Hires Forecast'!$N$5:$N$84,'New Hires Forecast'!$L$5:$L$84)),0),IF(YEAR(BB$3)=YEAR('New Hires Forecast'!$O$3),IF((BB$5=12),(SUMPRODUCT(--('New Hires Forecast'!$F$5:$F$84="Development Operations"),--('New Hires Forecast'!$H$5:$H$84&gt;='Dev Ops'!BB$3),'New Hires Forecast'!$O$5:$O$84,'New Hires Forecast'!$L$5:$L$84)),0),IF(YEAR(BB$3)=YEAR('New Hires Forecast'!$P$3),IF((BB$5=12),(SUMPRODUCT(--('New Hires Forecast'!$F$5:$F$84="Development Operations"),--('New Hires Forecast'!$H$5:$H$84&gt;='Dev Ops'!BB$3),'New Hires Forecast'!$P$5:$P$84,'New Hires Forecast'!$L$5:$L$84)),0),IF(YEAR(BB$3)=YEAR('New Hires Forecast'!$Q$3),IF((BB$5=12),(SUMPRODUCT(--('New Hires Forecast'!$F$5:$F$84="Development Operations"),--('New Hires Forecast'!$H$5:$H$84&gt;='Dev Ops'!BB$3),'New Hires Forecast'!$Q$5:$Q$84,'New Hires Forecast'!$L$5:$L$84)),0),IF(YEAR(BB$3)=YEAR('New Hires Forecast'!$R$3),IF((BB$5=12),(SUMPRODUCT(--('New Hires Forecast'!$F$5:$F$84="Development Operations"),--('New Hires Forecast'!$H$5:$H$84&gt;='Dev Ops'!BB$3),'New Hires Forecast'!$R$5:$R$84,'New Hires Forecast'!$L$5:$L$84)),0),"New Year"))))),0)</f>
        <v>0</v>
      </c>
      <c r="BC15" s="684">
        <f>IF(BC$4="forecast",IF(YEAR(BC$3)=YEAR('New Hires Forecast'!$N$3),IF((BC$5=12),(SUMPRODUCT(--('New Hires Forecast'!$F$5:$F$84="Development Operations"),--('New Hires Forecast'!$H$5:$H$84&gt;='Dev Ops'!BC$3),'New Hires Forecast'!$N$5:$N$84,'New Hires Forecast'!$L$5:$L$84)),0),IF(YEAR(BC$3)=YEAR('New Hires Forecast'!$O$3),IF((BC$5=12),(SUMPRODUCT(--('New Hires Forecast'!$F$5:$F$84="Development Operations"),--('New Hires Forecast'!$H$5:$H$84&gt;='Dev Ops'!BC$3),'New Hires Forecast'!$O$5:$O$84,'New Hires Forecast'!$L$5:$L$84)),0),IF(YEAR(BC$3)=YEAR('New Hires Forecast'!$P$3),IF((BC$5=12),(SUMPRODUCT(--('New Hires Forecast'!$F$5:$F$84="Development Operations"),--('New Hires Forecast'!$H$5:$H$84&gt;='Dev Ops'!BC$3),'New Hires Forecast'!$P$5:$P$84,'New Hires Forecast'!$L$5:$L$84)),0),IF(YEAR(BC$3)=YEAR('New Hires Forecast'!$Q$3),IF((BC$5=12),(SUMPRODUCT(--('New Hires Forecast'!$F$5:$F$84="Development Operations"),--('New Hires Forecast'!$H$5:$H$84&gt;='Dev Ops'!BC$3),'New Hires Forecast'!$Q$5:$Q$84,'New Hires Forecast'!$L$5:$L$84)),0),IF(YEAR(BC$3)=YEAR('New Hires Forecast'!$R$3),IF((BC$5=12),(SUMPRODUCT(--('New Hires Forecast'!$F$5:$F$84="Development Operations"),--('New Hires Forecast'!$H$5:$H$84&gt;='Dev Ops'!BC$3),'New Hires Forecast'!$R$5:$R$84,'New Hires Forecast'!$L$5:$L$84)),0),"New Year"))))),0)</f>
        <v>0</v>
      </c>
      <c r="BD15" s="684">
        <f>IF(BD$4="forecast",IF(YEAR(BD$3)=YEAR('New Hires Forecast'!$N$3),IF((BD$5=12),(SUMPRODUCT(--('New Hires Forecast'!$F$5:$F$84="Development Operations"),--('New Hires Forecast'!$H$5:$H$84&gt;='Dev Ops'!BD$3),'New Hires Forecast'!$N$5:$N$84,'New Hires Forecast'!$L$5:$L$84)),0),IF(YEAR(BD$3)=YEAR('New Hires Forecast'!$O$3),IF((BD$5=12),(SUMPRODUCT(--('New Hires Forecast'!$F$5:$F$84="Development Operations"),--('New Hires Forecast'!$H$5:$H$84&gt;='Dev Ops'!BD$3),'New Hires Forecast'!$O$5:$O$84,'New Hires Forecast'!$L$5:$L$84)),0),IF(YEAR(BD$3)=YEAR('New Hires Forecast'!$P$3),IF((BD$5=12),(SUMPRODUCT(--('New Hires Forecast'!$F$5:$F$84="Development Operations"),--('New Hires Forecast'!$H$5:$H$84&gt;='Dev Ops'!BD$3),'New Hires Forecast'!$P$5:$P$84,'New Hires Forecast'!$L$5:$L$84)),0),IF(YEAR(BD$3)=YEAR('New Hires Forecast'!$Q$3),IF((BD$5=12),(SUMPRODUCT(--('New Hires Forecast'!$F$5:$F$84="Development Operations"),--('New Hires Forecast'!$H$5:$H$84&gt;='Dev Ops'!BD$3),'New Hires Forecast'!$Q$5:$Q$84,'New Hires Forecast'!$L$5:$L$84)),0),IF(YEAR(BD$3)=YEAR('New Hires Forecast'!$R$3),IF((BD$5=12),(SUMPRODUCT(--('New Hires Forecast'!$F$5:$F$84="Development Operations"),--('New Hires Forecast'!$H$5:$H$84&gt;='Dev Ops'!BD$3),'New Hires Forecast'!$R$5:$R$84,'New Hires Forecast'!$L$5:$L$84)),0),"New Year"))))),0)</f>
        <v>0</v>
      </c>
      <c r="BE15" s="684">
        <f>IF(BE$4="forecast",IF(YEAR(BE$3)=YEAR('New Hires Forecast'!$N$3),IF((BE$5=12),(SUMPRODUCT(--('New Hires Forecast'!$F$5:$F$84="Development Operations"),--('New Hires Forecast'!$H$5:$H$84&gt;='Dev Ops'!BE$3),'New Hires Forecast'!$N$5:$N$84,'New Hires Forecast'!$L$5:$L$84)),0),IF(YEAR(BE$3)=YEAR('New Hires Forecast'!$O$3),IF((BE$5=12),(SUMPRODUCT(--('New Hires Forecast'!$F$5:$F$84="Development Operations"),--('New Hires Forecast'!$H$5:$H$84&gt;='Dev Ops'!BE$3),'New Hires Forecast'!$O$5:$O$84,'New Hires Forecast'!$L$5:$L$84)),0),IF(YEAR(BE$3)=YEAR('New Hires Forecast'!$P$3),IF((BE$5=12),(SUMPRODUCT(--('New Hires Forecast'!$F$5:$F$84="Development Operations"),--('New Hires Forecast'!$H$5:$H$84&gt;='Dev Ops'!BE$3),'New Hires Forecast'!$P$5:$P$84,'New Hires Forecast'!$L$5:$L$84)),0),IF(YEAR(BE$3)=YEAR('New Hires Forecast'!$Q$3),IF((BE$5=12),(SUMPRODUCT(--('New Hires Forecast'!$F$5:$F$84="Development Operations"),--('New Hires Forecast'!$H$5:$H$84&gt;='Dev Ops'!BE$3),'New Hires Forecast'!$Q$5:$Q$84,'New Hires Forecast'!$L$5:$L$84)),0),IF(YEAR(BE$3)=YEAR('New Hires Forecast'!$R$3),IF((BE$5=12),(SUMPRODUCT(--('New Hires Forecast'!$F$5:$F$84="Development Operations"),--('New Hires Forecast'!$H$5:$H$84&gt;='Dev Ops'!BE$3),'New Hires Forecast'!$R$5:$R$84,'New Hires Forecast'!$L$5:$L$84)),0),"New Year"))))),0)</f>
        <v>0</v>
      </c>
      <c r="BF15" s="684">
        <f>IF(BF$4="forecast",IF(YEAR(BF$3)=YEAR('New Hires Forecast'!$N$3),IF((BF$5=12),(SUMPRODUCT(--('New Hires Forecast'!$F$5:$F$84="Development Operations"),--('New Hires Forecast'!$H$5:$H$84&gt;='Dev Ops'!BF$3),'New Hires Forecast'!$N$5:$N$84,'New Hires Forecast'!$L$5:$L$84)),0),IF(YEAR(BF$3)=YEAR('New Hires Forecast'!$O$3),IF((BF$5=12),(SUMPRODUCT(--('New Hires Forecast'!$F$5:$F$84="Development Operations"),--('New Hires Forecast'!$H$5:$H$84&gt;='Dev Ops'!BF$3),'New Hires Forecast'!$O$5:$O$84,'New Hires Forecast'!$L$5:$L$84)),0),IF(YEAR(BF$3)=YEAR('New Hires Forecast'!$P$3),IF((BF$5=12),(SUMPRODUCT(--('New Hires Forecast'!$F$5:$F$84="Development Operations"),--('New Hires Forecast'!$H$5:$H$84&gt;='Dev Ops'!BF$3),'New Hires Forecast'!$P$5:$P$84,'New Hires Forecast'!$L$5:$L$84)),0),IF(YEAR(BF$3)=YEAR('New Hires Forecast'!$Q$3),IF((BF$5=12),(SUMPRODUCT(--('New Hires Forecast'!$F$5:$F$84="Development Operations"),--('New Hires Forecast'!$H$5:$H$84&gt;='Dev Ops'!BF$3),'New Hires Forecast'!$Q$5:$Q$84,'New Hires Forecast'!$L$5:$L$84)),0),IF(YEAR(BF$3)=YEAR('New Hires Forecast'!$R$3),IF((BF$5=12),(SUMPRODUCT(--('New Hires Forecast'!$F$5:$F$84="Development Operations"),--('New Hires Forecast'!$H$5:$H$84&gt;='Dev Ops'!BF$3),'New Hires Forecast'!$R$5:$R$84,'New Hires Forecast'!$L$5:$L$84)),0),"New Year"))))),0)</f>
        <v>0</v>
      </c>
      <c r="BG15" s="684">
        <f>IF(BG$4="forecast",IF(YEAR(BG$3)=YEAR('New Hires Forecast'!$N$3),IF((BG$5=12),(SUMPRODUCT(--('New Hires Forecast'!$F$5:$F$84="Development Operations"),--('New Hires Forecast'!$H$5:$H$84&gt;='Dev Ops'!BG$3),'New Hires Forecast'!$N$5:$N$84,'New Hires Forecast'!$L$5:$L$84)),0),IF(YEAR(BG$3)=YEAR('New Hires Forecast'!$O$3),IF((BG$5=12),(SUMPRODUCT(--('New Hires Forecast'!$F$5:$F$84="Development Operations"),--('New Hires Forecast'!$H$5:$H$84&gt;='Dev Ops'!BG$3),'New Hires Forecast'!$O$5:$O$84,'New Hires Forecast'!$L$5:$L$84)),0),IF(YEAR(BG$3)=YEAR('New Hires Forecast'!$P$3),IF((BG$5=12),(SUMPRODUCT(--('New Hires Forecast'!$F$5:$F$84="Development Operations"),--('New Hires Forecast'!$H$5:$H$84&gt;='Dev Ops'!BG$3),'New Hires Forecast'!$P$5:$P$84,'New Hires Forecast'!$L$5:$L$84)),0),IF(YEAR(BG$3)=YEAR('New Hires Forecast'!$Q$3),IF((BG$5=12),(SUMPRODUCT(--('New Hires Forecast'!$F$5:$F$84="Development Operations"),--('New Hires Forecast'!$H$5:$H$84&gt;='Dev Ops'!BG$3),'New Hires Forecast'!$Q$5:$Q$84,'New Hires Forecast'!$L$5:$L$84)),0),IF(YEAR(BG$3)=YEAR('New Hires Forecast'!$R$3),IF((BG$5=12),(SUMPRODUCT(--('New Hires Forecast'!$F$5:$F$84="Development Operations"),--('New Hires Forecast'!$H$5:$H$84&gt;='Dev Ops'!BG$3),'New Hires Forecast'!$R$5:$R$84,'New Hires Forecast'!$L$5:$L$84)),0),"New Year"))))),0)</f>
        <v>0</v>
      </c>
      <c r="BH15" s="684">
        <f>IF(BH$4="forecast",IF(YEAR(BH$3)=YEAR('New Hires Forecast'!$N$3),IF((BH$5=12),(SUMPRODUCT(--('New Hires Forecast'!$F$5:$F$84="Development Operations"),--('New Hires Forecast'!$H$5:$H$84&gt;='Dev Ops'!BH$3),'New Hires Forecast'!$N$5:$N$84,'New Hires Forecast'!$L$5:$L$84)),0),IF(YEAR(BH$3)=YEAR('New Hires Forecast'!$O$3),IF((BH$5=12),(SUMPRODUCT(--('New Hires Forecast'!$F$5:$F$84="Development Operations"),--('New Hires Forecast'!$H$5:$H$84&gt;='Dev Ops'!BH$3),'New Hires Forecast'!$O$5:$O$84,'New Hires Forecast'!$L$5:$L$84)),0),IF(YEAR(BH$3)=YEAR('New Hires Forecast'!$P$3),IF((BH$5=12),(SUMPRODUCT(--('New Hires Forecast'!$F$5:$F$84="Development Operations"),--('New Hires Forecast'!$H$5:$H$84&gt;='Dev Ops'!BH$3),'New Hires Forecast'!$P$5:$P$84,'New Hires Forecast'!$L$5:$L$84)),0),IF(YEAR(BH$3)=YEAR('New Hires Forecast'!$Q$3),IF((BH$5=12),(SUMPRODUCT(--('New Hires Forecast'!$F$5:$F$84="Development Operations"),--('New Hires Forecast'!$H$5:$H$84&gt;='Dev Ops'!BH$3),'New Hires Forecast'!$Q$5:$Q$84,'New Hires Forecast'!$L$5:$L$84)),0),IF(YEAR(BH$3)=YEAR('New Hires Forecast'!$R$3),IF((BH$5=12),(SUMPRODUCT(--('New Hires Forecast'!$F$5:$F$84="Development Operations"),--('New Hires Forecast'!$H$5:$H$84&gt;='Dev Ops'!BH$3),'New Hires Forecast'!$R$5:$R$84,'New Hires Forecast'!$L$5:$L$84)),0),"New Year"))))),0)</f>
        <v>0</v>
      </c>
      <c r="BI15" s="684">
        <f>IF(BI$4="forecast",IF(YEAR(BI$3)=YEAR('New Hires Forecast'!$N$3),IF((BI$5=12),(SUMPRODUCT(--('New Hires Forecast'!$F$5:$F$84="Development Operations"),--('New Hires Forecast'!$H$5:$H$84&gt;='Dev Ops'!BI$3),'New Hires Forecast'!$N$5:$N$84,'New Hires Forecast'!$L$5:$L$84)),0),IF(YEAR(BI$3)=YEAR('New Hires Forecast'!$O$3),IF((BI$5=12),(SUMPRODUCT(--('New Hires Forecast'!$F$5:$F$84="Development Operations"),--('New Hires Forecast'!$H$5:$H$84&gt;='Dev Ops'!BI$3),'New Hires Forecast'!$O$5:$O$84,'New Hires Forecast'!$L$5:$L$84)),0),IF(YEAR(BI$3)=YEAR('New Hires Forecast'!$P$3),IF((BI$5=12),(SUMPRODUCT(--('New Hires Forecast'!$F$5:$F$84="Development Operations"),--('New Hires Forecast'!$H$5:$H$84&gt;='Dev Ops'!BI$3),'New Hires Forecast'!$P$5:$P$84,'New Hires Forecast'!$L$5:$L$84)),0),IF(YEAR(BI$3)=YEAR('New Hires Forecast'!$Q$3),IF((BI$5=12),(SUMPRODUCT(--('New Hires Forecast'!$F$5:$F$84="Development Operations"),--('New Hires Forecast'!$H$5:$H$84&gt;='Dev Ops'!BI$3),'New Hires Forecast'!$Q$5:$Q$84,'New Hires Forecast'!$L$5:$L$84)),0),IF(YEAR(BI$3)=YEAR('New Hires Forecast'!$R$3),IF((BI$5=12),(SUMPRODUCT(--('New Hires Forecast'!$F$5:$F$84="Development Operations"),--('New Hires Forecast'!$H$5:$H$84&gt;='Dev Ops'!BI$3),'New Hires Forecast'!$R$5:$R$84,'New Hires Forecast'!$L$5:$L$84)),0),"New Year"))))),0)</f>
        <v>0</v>
      </c>
      <c r="BJ15" s="684">
        <f>IF(BJ$4="forecast",IF(YEAR(BJ$3)=YEAR('New Hires Forecast'!$N$3),IF((BJ$5=12),(SUMPRODUCT(--('New Hires Forecast'!$F$5:$F$84="Development Operations"),--('New Hires Forecast'!$H$5:$H$84&gt;='Dev Ops'!BJ$3),'New Hires Forecast'!$N$5:$N$84,'New Hires Forecast'!$L$5:$L$84)),0),IF(YEAR(BJ$3)=YEAR('New Hires Forecast'!$O$3),IF((BJ$5=12),(SUMPRODUCT(--('New Hires Forecast'!$F$5:$F$84="Development Operations"),--('New Hires Forecast'!$H$5:$H$84&gt;='Dev Ops'!BJ$3),'New Hires Forecast'!$O$5:$O$84,'New Hires Forecast'!$L$5:$L$84)),0),IF(YEAR(BJ$3)=YEAR('New Hires Forecast'!$P$3),IF((BJ$5=12),(SUMPRODUCT(--('New Hires Forecast'!$F$5:$F$84="Development Operations"),--('New Hires Forecast'!$H$5:$H$84&gt;='Dev Ops'!BJ$3),'New Hires Forecast'!$P$5:$P$84,'New Hires Forecast'!$L$5:$L$84)),0),IF(YEAR(BJ$3)=YEAR('New Hires Forecast'!$Q$3),IF((BJ$5=12),(SUMPRODUCT(--('New Hires Forecast'!$F$5:$F$84="Development Operations"),--('New Hires Forecast'!$H$5:$H$84&gt;='Dev Ops'!BJ$3),'New Hires Forecast'!$Q$5:$Q$84,'New Hires Forecast'!$L$5:$L$84)),0),IF(YEAR(BJ$3)=YEAR('New Hires Forecast'!$R$3),IF((BJ$5=12),(SUMPRODUCT(--('New Hires Forecast'!$F$5:$F$84="Development Operations"),--('New Hires Forecast'!$H$5:$H$84&gt;='Dev Ops'!BJ$3),'New Hires Forecast'!$R$5:$R$84,'New Hires Forecast'!$L$5:$L$84)),0),"New Year"))))),0)</f>
        <v>12730.800000000001</v>
      </c>
      <c r="BK15" s="684">
        <f>IF(BK$4="forecast",IF(YEAR(BK$3)=YEAR('New Hires Forecast'!$N$3),IF((BK$5=12),(SUMPRODUCT(--('New Hires Forecast'!$F$5:$F$84="Development Operations"),--('New Hires Forecast'!$H$5:$H$84&gt;='Dev Ops'!BK$3),'New Hires Forecast'!$N$5:$N$84,'New Hires Forecast'!$L$5:$L$84)),0),IF(YEAR(BK$3)=YEAR('New Hires Forecast'!$O$3),IF((BK$5=12),(SUMPRODUCT(--('New Hires Forecast'!$F$5:$F$84="Development Operations"),--('New Hires Forecast'!$H$5:$H$84&gt;='Dev Ops'!BK$3),'New Hires Forecast'!$O$5:$O$84,'New Hires Forecast'!$L$5:$L$84)),0),IF(YEAR(BK$3)=YEAR('New Hires Forecast'!$P$3),IF((BK$5=12),(SUMPRODUCT(--('New Hires Forecast'!$F$5:$F$84="Development Operations"),--('New Hires Forecast'!$H$5:$H$84&gt;='Dev Ops'!BK$3),'New Hires Forecast'!$P$5:$P$84,'New Hires Forecast'!$L$5:$L$84)),0),IF(YEAR(BK$3)=YEAR('New Hires Forecast'!$Q$3),IF((BK$5=12),(SUMPRODUCT(--('New Hires Forecast'!$F$5:$F$84="Development Operations"),--('New Hires Forecast'!$H$5:$H$84&gt;='Dev Ops'!BK$3),'New Hires Forecast'!$Q$5:$Q$84,'New Hires Forecast'!$L$5:$L$84)),0),IF(YEAR(BK$3)=YEAR('New Hires Forecast'!$R$3),IF((BK$5=12),(SUMPRODUCT(--('New Hires Forecast'!$F$5:$F$84="Development Operations"),--('New Hires Forecast'!$H$5:$H$84&gt;='Dev Ops'!BK$3),'New Hires Forecast'!$R$5:$R$84,'New Hires Forecast'!$L$5:$L$84)),0),"New Year"))))),0)</f>
        <v>0</v>
      </c>
      <c r="BL15" s="684">
        <f>IF(BL$4="forecast",IF(YEAR(BL$3)=YEAR('New Hires Forecast'!$N$3),IF((BL$5=12),(SUMPRODUCT(--('New Hires Forecast'!$F$5:$F$84="Development Operations"),--('New Hires Forecast'!$H$5:$H$84&gt;='Dev Ops'!BL$3),'New Hires Forecast'!$N$5:$N$84,'New Hires Forecast'!$L$5:$L$84)),0),IF(YEAR(BL$3)=YEAR('New Hires Forecast'!$O$3),IF((BL$5=12),(SUMPRODUCT(--('New Hires Forecast'!$F$5:$F$84="Development Operations"),--('New Hires Forecast'!$H$5:$H$84&gt;='Dev Ops'!BL$3),'New Hires Forecast'!$O$5:$O$84,'New Hires Forecast'!$L$5:$L$84)),0),IF(YEAR(BL$3)=YEAR('New Hires Forecast'!$P$3),IF((BL$5=12),(SUMPRODUCT(--('New Hires Forecast'!$F$5:$F$84="Development Operations"),--('New Hires Forecast'!$H$5:$H$84&gt;='Dev Ops'!BL$3),'New Hires Forecast'!$P$5:$P$84,'New Hires Forecast'!$L$5:$L$84)),0),IF(YEAR(BL$3)=YEAR('New Hires Forecast'!$Q$3),IF((BL$5=12),(SUMPRODUCT(--('New Hires Forecast'!$F$5:$F$84="Development Operations"),--('New Hires Forecast'!$H$5:$H$84&gt;='Dev Ops'!BL$3),'New Hires Forecast'!$Q$5:$Q$84,'New Hires Forecast'!$L$5:$L$84)),0),IF(YEAR(BL$3)=YEAR('New Hires Forecast'!$R$3),IF((BL$5=12),(SUMPRODUCT(--('New Hires Forecast'!$F$5:$F$84="Development Operations"),--('New Hires Forecast'!$H$5:$H$84&gt;='Dev Ops'!BL$3),'New Hires Forecast'!$R$5:$R$84,'New Hires Forecast'!$L$5:$L$84)),0),"New Year"))))),0)</f>
        <v>0</v>
      </c>
      <c r="BM15" s="684">
        <f>IF(BM$4="forecast",IF(YEAR(BM$3)=YEAR('New Hires Forecast'!$N$3),IF((BM$5=12),(SUMPRODUCT(--('New Hires Forecast'!$F$5:$F$84="Development Operations"),--('New Hires Forecast'!$H$5:$H$84&gt;='Dev Ops'!BM$3),'New Hires Forecast'!$N$5:$N$84,'New Hires Forecast'!$L$5:$L$84)),0),IF(YEAR(BM$3)=YEAR('New Hires Forecast'!$O$3),IF((BM$5=12),(SUMPRODUCT(--('New Hires Forecast'!$F$5:$F$84="Development Operations"),--('New Hires Forecast'!$H$5:$H$84&gt;='Dev Ops'!BM$3),'New Hires Forecast'!$O$5:$O$84,'New Hires Forecast'!$L$5:$L$84)),0),IF(YEAR(BM$3)=YEAR('New Hires Forecast'!$P$3),IF((BM$5=12),(SUMPRODUCT(--('New Hires Forecast'!$F$5:$F$84="Development Operations"),--('New Hires Forecast'!$H$5:$H$84&gt;='Dev Ops'!BM$3),'New Hires Forecast'!$P$5:$P$84,'New Hires Forecast'!$L$5:$L$84)),0),IF(YEAR(BM$3)=YEAR('New Hires Forecast'!$Q$3),IF((BM$5=12),(SUMPRODUCT(--('New Hires Forecast'!$F$5:$F$84="Development Operations"),--('New Hires Forecast'!$H$5:$H$84&gt;='Dev Ops'!BM$3),'New Hires Forecast'!$Q$5:$Q$84,'New Hires Forecast'!$L$5:$L$84)),0),IF(YEAR(BM$3)=YEAR('New Hires Forecast'!$R$3),IF((BM$5=12),(SUMPRODUCT(--('New Hires Forecast'!$F$5:$F$84="Development Operations"),--('New Hires Forecast'!$H$5:$H$84&gt;='Dev Ops'!BM$3),'New Hires Forecast'!$R$5:$R$84,'New Hires Forecast'!$L$5:$L$84)),0),"New Year"))))),0)</f>
        <v>0</v>
      </c>
      <c r="BN15" s="684">
        <f>IF(BN$4="forecast",IF(YEAR(BN$3)=YEAR('New Hires Forecast'!$N$3),IF((BN$5=12),(SUMPRODUCT(--('New Hires Forecast'!$F$5:$F$84="Development Operations"),--('New Hires Forecast'!$H$5:$H$84&gt;='Dev Ops'!BN$3),'New Hires Forecast'!$N$5:$N$84,'New Hires Forecast'!$L$5:$L$84)),0),IF(YEAR(BN$3)=YEAR('New Hires Forecast'!$O$3),IF((BN$5=12),(SUMPRODUCT(--('New Hires Forecast'!$F$5:$F$84="Development Operations"),--('New Hires Forecast'!$H$5:$H$84&gt;='Dev Ops'!BN$3),'New Hires Forecast'!$O$5:$O$84,'New Hires Forecast'!$L$5:$L$84)),0),IF(YEAR(BN$3)=YEAR('New Hires Forecast'!$P$3),IF((BN$5=12),(SUMPRODUCT(--('New Hires Forecast'!$F$5:$F$84="Development Operations"),--('New Hires Forecast'!$H$5:$H$84&gt;='Dev Ops'!BN$3),'New Hires Forecast'!$P$5:$P$84,'New Hires Forecast'!$L$5:$L$84)),0),IF(YEAR(BN$3)=YEAR('New Hires Forecast'!$Q$3),IF((BN$5=12),(SUMPRODUCT(--('New Hires Forecast'!$F$5:$F$84="Development Operations"),--('New Hires Forecast'!$H$5:$H$84&gt;='Dev Ops'!BN$3),'New Hires Forecast'!$Q$5:$Q$84,'New Hires Forecast'!$L$5:$L$84)),0),IF(YEAR(BN$3)=YEAR('New Hires Forecast'!$R$3),IF((BN$5=12),(SUMPRODUCT(--('New Hires Forecast'!$F$5:$F$84="Development Operations"),--('New Hires Forecast'!$H$5:$H$84&gt;='Dev Ops'!BN$3),'New Hires Forecast'!$R$5:$R$84,'New Hires Forecast'!$L$5:$L$84)),0),"New Year"))))),0)</f>
        <v>0</v>
      </c>
      <c r="BO15" s="684">
        <f>IF(BO$4="forecast",IF(YEAR(BO$3)=YEAR('New Hires Forecast'!$N$3),IF((BO$5=12),(SUMPRODUCT(--('New Hires Forecast'!$F$5:$F$84="Development Operations"),--('New Hires Forecast'!$H$5:$H$84&gt;='Dev Ops'!BO$3),'New Hires Forecast'!$N$5:$N$84,'New Hires Forecast'!$L$5:$L$84)),0),IF(YEAR(BO$3)=YEAR('New Hires Forecast'!$O$3),IF((BO$5=12),(SUMPRODUCT(--('New Hires Forecast'!$F$5:$F$84="Development Operations"),--('New Hires Forecast'!$H$5:$H$84&gt;='Dev Ops'!BO$3),'New Hires Forecast'!$O$5:$O$84,'New Hires Forecast'!$L$5:$L$84)),0),IF(YEAR(BO$3)=YEAR('New Hires Forecast'!$P$3),IF((BO$5=12),(SUMPRODUCT(--('New Hires Forecast'!$F$5:$F$84="Development Operations"),--('New Hires Forecast'!$H$5:$H$84&gt;='Dev Ops'!BO$3),'New Hires Forecast'!$P$5:$P$84,'New Hires Forecast'!$L$5:$L$84)),0),IF(YEAR(BO$3)=YEAR('New Hires Forecast'!$Q$3),IF((BO$5=12),(SUMPRODUCT(--('New Hires Forecast'!$F$5:$F$84="Development Operations"),--('New Hires Forecast'!$H$5:$H$84&gt;='Dev Ops'!BO$3),'New Hires Forecast'!$Q$5:$Q$84,'New Hires Forecast'!$L$5:$L$84)),0),IF(YEAR(BO$3)=YEAR('New Hires Forecast'!$R$3),IF((BO$5=12),(SUMPRODUCT(--('New Hires Forecast'!$F$5:$F$84="Development Operations"),--('New Hires Forecast'!$H$5:$H$84&gt;='Dev Ops'!BO$3),'New Hires Forecast'!$R$5:$R$84,'New Hires Forecast'!$L$5:$L$84)),0),"New Year"))))),0)</f>
        <v>0</v>
      </c>
      <c r="BP15" s="684">
        <f>IF(BP$4="forecast",IF(YEAR(BP$3)=YEAR('New Hires Forecast'!$N$3),IF((BP$5=12),(SUMPRODUCT(--('New Hires Forecast'!$F$5:$F$84="Development Operations"),--('New Hires Forecast'!$H$5:$H$84&gt;='Dev Ops'!BP$3),'New Hires Forecast'!$N$5:$N$84,'New Hires Forecast'!$L$5:$L$84)),0),IF(YEAR(BP$3)=YEAR('New Hires Forecast'!$O$3),IF((BP$5=12),(SUMPRODUCT(--('New Hires Forecast'!$F$5:$F$84="Development Operations"),--('New Hires Forecast'!$H$5:$H$84&gt;='Dev Ops'!BP$3),'New Hires Forecast'!$O$5:$O$84,'New Hires Forecast'!$L$5:$L$84)),0),IF(YEAR(BP$3)=YEAR('New Hires Forecast'!$P$3),IF((BP$5=12),(SUMPRODUCT(--('New Hires Forecast'!$F$5:$F$84="Development Operations"),--('New Hires Forecast'!$H$5:$H$84&gt;='Dev Ops'!BP$3),'New Hires Forecast'!$P$5:$P$84,'New Hires Forecast'!$L$5:$L$84)),0),IF(YEAR(BP$3)=YEAR('New Hires Forecast'!$Q$3),IF((BP$5=12),(SUMPRODUCT(--('New Hires Forecast'!$F$5:$F$84="Development Operations"),--('New Hires Forecast'!$H$5:$H$84&gt;='Dev Ops'!BP$3),'New Hires Forecast'!$Q$5:$Q$84,'New Hires Forecast'!$L$5:$L$84)),0),IF(YEAR(BP$3)=YEAR('New Hires Forecast'!$R$3),IF((BP$5=12),(SUMPRODUCT(--('New Hires Forecast'!$F$5:$F$84="Development Operations"),--('New Hires Forecast'!$H$5:$H$84&gt;='Dev Ops'!BP$3),'New Hires Forecast'!$R$5:$R$84,'New Hires Forecast'!$L$5:$L$84)),0),"New Year"))))),0)</f>
        <v>0</v>
      </c>
      <c r="BQ15" s="684">
        <f>IF(BQ$4="forecast",IF(YEAR(BQ$3)=YEAR('New Hires Forecast'!$N$3),IF((BQ$5=12),(SUMPRODUCT(--('New Hires Forecast'!$F$5:$F$84="Development Operations"),--('New Hires Forecast'!$H$5:$H$84&gt;='Dev Ops'!BQ$3),'New Hires Forecast'!$N$5:$N$84,'New Hires Forecast'!$L$5:$L$84)),0),IF(YEAR(BQ$3)=YEAR('New Hires Forecast'!$O$3),IF((BQ$5=12),(SUMPRODUCT(--('New Hires Forecast'!$F$5:$F$84="Development Operations"),--('New Hires Forecast'!$H$5:$H$84&gt;='Dev Ops'!BQ$3),'New Hires Forecast'!$O$5:$O$84,'New Hires Forecast'!$L$5:$L$84)),0),IF(YEAR(BQ$3)=YEAR('New Hires Forecast'!$P$3),IF((BQ$5=12),(SUMPRODUCT(--('New Hires Forecast'!$F$5:$F$84="Development Operations"),--('New Hires Forecast'!$H$5:$H$84&gt;='Dev Ops'!BQ$3),'New Hires Forecast'!$P$5:$P$84,'New Hires Forecast'!$L$5:$L$84)),0),IF(YEAR(BQ$3)=YEAR('New Hires Forecast'!$Q$3),IF((BQ$5=12),(SUMPRODUCT(--('New Hires Forecast'!$F$5:$F$84="Development Operations"),--('New Hires Forecast'!$H$5:$H$84&gt;='Dev Ops'!BQ$3),'New Hires Forecast'!$Q$5:$Q$84,'New Hires Forecast'!$L$5:$L$84)),0),IF(YEAR(BQ$3)=YEAR('New Hires Forecast'!$R$3),IF((BQ$5=12),(SUMPRODUCT(--('New Hires Forecast'!$F$5:$F$84="Development Operations"),--('New Hires Forecast'!$H$5:$H$84&gt;='Dev Ops'!BQ$3),'New Hires Forecast'!$R$5:$R$84,'New Hires Forecast'!$L$5:$L$84)),0),"New Year"))))),0)</f>
        <v>0</v>
      </c>
      <c r="BR15" s="684">
        <f>IF(BR$4="forecast",IF(YEAR(BR$3)=YEAR('New Hires Forecast'!$N$3),IF((BR$5=12),(SUMPRODUCT(--('New Hires Forecast'!$F$5:$F$84="Development Operations"),--('New Hires Forecast'!$H$5:$H$84&gt;='Dev Ops'!BR$3),'New Hires Forecast'!$N$5:$N$84,'New Hires Forecast'!$L$5:$L$84)),0),IF(YEAR(BR$3)=YEAR('New Hires Forecast'!$O$3),IF((BR$5=12),(SUMPRODUCT(--('New Hires Forecast'!$F$5:$F$84="Development Operations"),--('New Hires Forecast'!$H$5:$H$84&gt;='Dev Ops'!BR$3),'New Hires Forecast'!$O$5:$O$84,'New Hires Forecast'!$L$5:$L$84)),0),IF(YEAR(BR$3)=YEAR('New Hires Forecast'!$P$3),IF((BR$5=12),(SUMPRODUCT(--('New Hires Forecast'!$F$5:$F$84="Development Operations"),--('New Hires Forecast'!$H$5:$H$84&gt;='Dev Ops'!BR$3),'New Hires Forecast'!$P$5:$P$84,'New Hires Forecast'!$L$5:$L$84)),0),IF(YEAR(BR$3)=YEAR('New Hires Forecast'!$Q$3),IF((BR$5=12),(SUMPRODUCT(--('New Hires Forecast'!$F$5:$F$84="Development Operations"),--('New Hires Forecast'!$H$5:$H$84&gt;='Dev Ops'!BR$3),'New Hires Forecast'!$Q$5:$Q$84,'New Hires Forecast'!$L$5:$L$84)),0),IF(YEAR(BR$3)=YEAR('New Hires Forecast'!$R$3),IF((BR$5=12),(SUMPRODUCT(--('New Hires Forecast'!$F$5:$F$84="Development Operations"),--('New Hires Forecast'!$H$5:$H$84&gt;='Dev Ops'!BR$3),'New Hires Forecast'!$R$5:$R$84,'New Hires Forecast'!$L$5:$L$84)),0),"New Year"))))),0)</f>
        <v>0</v>
      </c>
      <c r="BS15" s="684">
        <f>IF(BS$4="forecast",IF(YEAR(BS$3)=YEAR('New Hires Forecast'!$N$3),IF((BS$5=12),(SUMPRODUCT(--('New Hires Forecast'!$F$5:$F$84="Development Operations"),--('New Hires Forecast'!$H$5:$H$84&gt;='Dev Ops'!BS$3),'New Hires Forecast'!$N$5:$N$84,'New Hires Forecast'!$L$5:$L$84)),0),IF(YEAR(BS$3)=YEAR('New Hires Forecast'!$O$3),IF((BS$5=12),(SUMPRODUCT(--('New Hires Forecast'!$F$5:$F$84="Development Operations"),--('New Hires Forecast'!$H$5:$H$84&gt;='Dev Ops'!BS$3),'New Hires Forecast'!$O$5:$O$84,'New Hires Forecast'!$L$5:$L$84)),0),IF(YEAR(BS$3)=YEAR('New Hires Forecast'!$P$3),IF((BS$5=12),(SUMPRODUCT(--('New Hires Forecast'!$F$5:$F$84="Development Operations"),--('New Hires Forecast'!$H$5:$H$84&gt;='Dev Ops'!BS$3),'New Hires Forecast'!$P$5:$P$84,'New Hires Forecast'!$L$5:$L$84)),0),IF(YEAR(BS$3)=YEAR('New Hires Forecast'!$Q$3),IF((BS$5=12),(SUMPRODUCT(--('New Hires Forecast'!$F$5:$F$84="Development Operations"),--('New Hires Forecast'!$H$5:$H$84&gt;='Dev Ops'!BS$3),'New Hires Forecast'!$Q$5:$Q$84,'New Hires Forecast'!$L$5:$L$84)),0),IF(YEAR(BS$3)=YEAR('New Hires Forecast'!$R$3),IF((BS$5=12),(SUMPRODUCT(--('New Hires Forecast'!$F$5:$F$84="Development Operations"),--('New Hires Forecast'!$H$5:$H$84&gt;='Dev Ops'!BS$3),'New Hires Forecast'!$R$5:$R$84,'New Hires Forecast'!$L$5:$L$84)),0),"New Year"))))),0)</f>
        <v>0</v>
      </c>
      <c r="BT15" s="684">
        <f>IF(BT$4="forecast",IF(YEAR(BT$3)=YEAR('New Hires Forecast'!$N$3),IF((BT$5=12),(SUMPRODUCT(--('New Hires Forecast'!$F$5:$F$84="Development Operations"),--('New Hires Forecast'!$H$5:$H$84&gt;='Dev Ops'!BT$3),'New Hires Forecast'!$N$5:$N$84,'New Hires Forecast'!$L$5:$L$84)),0),IF(YEAR(BT$3)=YEAR('New Hires Forecast'!$O$3),IF((BT$5=12),(SUMPRODUCT(--('New Hires Forecast'!$F$5:$F$84="Development Operations"),--('New Hires Forecast'!$H$5:$H$84&gt;='Dev Ops'!BT$3),'New Hires Forecast'!$O$5:$O$84,'New Hires Forecast'!$L$5:$L$84)),0),IF(YEAR(BT$3)=YEAR('New Hires Forecast'!$P$3),IF((BT$5=12),(SUMPRODUCT(--('New Hires Forecast'!$F$5:$F$84="Development Operations"),--('New Hires Forecast'!$H$5:$H$84&gt;='Dev Ops'!BT$3),'New Hires Forecast'!$P$5:$P$84,'New Hires Forecast'!$L$5:$L$84)),0),IF(YEAR(BT$3)=YEAR('New Hires Forecast'!$Q$3),IF((BT$5=12),(SUMPRODUCT(--('New Hires Forecast'!$F$5:$F$84="Development Operations"),--('New Hires Forecast'!$H$5:$H$84&gt;='Dev Ops'!BT$3),'New Hires Forecast'!$Q$5:$Q$84,'New Hires Forecast'!$L$5:$L$84)),0),IF(YEAR(BT$3)=YEAR('New Hires Forecast'!$R$3),IF((BT$5=12),(SUMPRODUCT(--('New Hires Forecast'!$F$5:$F$84="Development Operations"),--('New Hires Forecast'!$H$5:$H$84&gt;='Dev Ops'!BT$3),'New Hires Forecast'!$R$5:$R$84,'New Hires Forecast'!$L$5:$L$84)),0),"New Year"))))),0)</f>
        <v>0</v>
      </c>
      <c r="BU15" s="684">
        <f>IF(BU$4="forecast",IF(YEAR(BU$3)=YEAR('New Hires Forecast'!$N$3),IF((BU$5=12),(SUMPRODUCT(--('New Hires Forecast'!$F$5:$F$84="Development Operations"),--('New Hires Forecast'!$H$5:$H$84&gt;='Dev Ops'!BU$3),'New Hires Forecast'!$N$5:$N$84,'New Hires Forecast'!$L$5:$L$84)),0),IF(YEAR(BU$3)=YEAR('New Hires Forecast'!$O$3),IF((BU$5=12),(SUMPRODUCT(--('New Hires Forecast'!$F$5:$F$84="Development Operations"),--('New Hires Forecast'!$H$5:$H$84&gt;='Dev Ops'!BU$3),'New Hires Forecast'!$O$5:$O$84,'New Hires Forecast'!$L$5:$L$84)),0),IF(YEAR(BU$3)=YEAR('New Hires Forecast'!$P$3),IF((BU$5=12),(SUMPRODUCT(--('New Hires Forecast'!$F$5:$F$84="Development Operations"),--('New Hires Forecast'!$H$5:$H$84&gt;='Dev Ops'!BU$3),'New Hires Forecast'!$P$5:$P$84,'New Hires Forecast'!$L$5:$L$84)),0),IF(YEAR(BU$3)=YEAR('New Hires Forecast'!$Q$3),IF((BU$5=12),(SUMPRODUCT(--('New Hires Forecast'!$F$5:$F$84="Development Operations"),--('New Hires Forecast'!$H$5:$H$84&gt;='Dev Ops'!BU$3),'New Hires Forecast'!$Q$5:$Q$84,'New Hires Forecast'!$L$5:$L$84)),0),IF(YEAR(BU$3)=YEAR('New Hires Forecast'!$R$3),IF((BU$5=12),(SUMPRODUCT(--('New Hires Forecast'!$F$5:$F$84="Development Operations"),--('New Hires Forecast'!$H$5:$H$84&gt;='Dev Ops'!BU$3),'New Hires Forecast'!$R$5:$R$84,'New Hires Forecast'!$L$5:$L$84)),0),"New Year"))))),0)</f>
        <v>0</v>
      </c>
      <c r="BV15" s="808">
        <f>IF(BV$4="forecast",IF(YEAR(BV$3)=YEAR('New Hires Forecast'!$N$3),IF((BV$5=12),(SUMPRODUCT(--('New Hires Forecast'!$F$5:$F$84="Development Operations"),--('New Hires Forecast'!$H$5:$H$84&gt;='Dev Ops'!BV$3),'New Hires Forecast'!$N$5:$N$84,'New Hires Forecast'!$L$5:$L$84)),0),IF(YEAR(BV$3)=YEAR('New Hires Forecast'!$O$3),IF((BV$5=12),(SUMPRODUCT(--('New Hires Forecast'!$F$5:$F$84="Development Operations"),--('New Hires Forecast'!$H$5:$H$84&gt;='Dev Ops'!BV$3),'New Hires Forecast'!$O$5:$O$84,'New Hires Forecast'!$L$5:$L$84)),0),IF(YEAR(BV$3)=YEAR('New Hires Forecast'!$P$3),IF((BV$5=12),(SUMPRODUCT(--('New Hires Forecast'!$F$5:$F$84="Development Operations"),--('New Hires Forecast'!$H$5:$H$84&gt;='Dev Ops'!BV$3),'New Hires Forecast'!$P$5:$P$84,'New Hires Forecast'!$L$5:$L$84)),0),IF(YEAR(BV$3)=YEAR('New Hires Forecast'!$Q$3),IF((BV$5=12),(SUMPRODUCT(--('New Hires Forecast'!$F$5:$F$84="Development Operations"),--('New Hires Forecast'!$H$5:$H$84&gt;='Dev Ops'!BV$3),'New Hires Forecast'!$Q$5:$Q$84,'New Hires Forecast'!$L$5:$L$84)),0),IF(YEAR(BV$3)=YEAR('New Hires Forecast'!$R$3),IF((BV$5=12),(SUMPRODUCT(--('New Hires Forecast'!$F$5:$F$84="Development Operations"),--('New Hires Forecast'!$H$5:$H$84&gt;='Dev Ops'!BV$3),'New Hires Forecast'!$R$5:$R$84,'New Hires Forecast'!$L$5:$L$84)),0),"New Year"))))),0)</f>
        <v>13112.724</v>
      </c>
    </row>
    <row r="16" spans="2:74" x14ac:dyDescent="0.35">
      <c r="B16" s="797" t="s">
        <v>937</v>
      </c>
      <c r="C16" s="684">
        <f>IF(C$4="forecast",IF(YEAR(C$3)=YEAR(Headcount!$N$4),IF((C$5=12),(SUMPRODUCT(--(Headcount!$F$6:$F$92="Development Operations"),--(Headcount!$H$6:$H$92&gt;='Dev Ops'!C$3),Headcount!$N$6:$N$92,Headcount!$L$6:$L$92)),0),IF(YEAR(C$3)=YEAR(Headcount!$O$4),IF((C$5=12),(SUMPRODUCT(--(Headcount!$F$6:$F$92="Development Operations"),--(Headcount!$H$6:$H$92&gt;='Dev Ops'!C$3),Headcount!$O$6:$O$92,Headcount!$L$6:$L$92)),0),IF(YEAR(C$3)=YEAR(Headcount!$P$4),IF((C$5=12),(SUMPRODUCT(--(Headcount!$F$6:$F$92="Development Operations"),--(Headcount!$H$6:$H$92&gt;='Dev Ops'!C$3),Headcount!$P$6:$P$92,Headcount!$L$6:$L$92)),0),IF(YEAR(C$3)=YEAR(Headcount!$Q$4),IF((C$5=12),(SUMPRODUCT(--(Headcount!$F$6:$F$92="Development Operations"),--(Headcount!$H$6:$H$92&gt;='Dev Ops'!C$3),Headcount!$Q$6:$Q$92,Headcount!$L$6:$L$92)),0),IF(YEAR(C$3)=YEAR(Headcount!$R$4),IF((C$5=12),(SUMPRODUCT(--(Headcount!$F$6:$F$92="Development Operations"),--(Headcount!$H$6:$H$92&gt;='Dev Ops'!C$3),Headcount!$R$6:$R$92,Headcount!$L$6:$L$92)),0),"New Year"))))),'Dept. Cost Actuals'!G814)</f>
        <v>0</v>
      </c>
      <c r="D16" s="684">
        <f>IF(D$4="forecast",IF(YEAR(D$3)=YEAR(Headcount!$N$4),IF((D$5=12),(SUMPRODUCT(--(Headcount!$F$6:$F$92="Development Operations"),--(Headcount!$H$6:$H$92&gt;='Dev Ops'!D$3),Headcount!$N$6:$N$92,Headcount!$L$6:$L$92)),0),IF(YEAR(D$3)=YEAR(Headcount!$O$4),IF((D$5=12),(SUMPRODUCT(--(Headcount!$F$6:$F$92="Development Operations"),--(Headcount!$H$6:$H$92&gt;='Dev Ops'!D$3),Headcount!$O$6:$O$92,Headcount!$L$6:$L$92)),0),IF(YEAR(D$3)=YEAR(Headcount!$P$4),IF((D$5=12),(SUMPRODUCT(--(Headcount!$F$6:$F$92="Development Operations"),--(Headcount!$H$6:$H$92&gt;='Dev Ops'!D$3),Headcount!$P$6:$P$92,Headcount!$L$6:$L$92)),0),IF(YEAR(D$3)=YEAR(Headcount!$Q$4),IF((D$5=12),(SUMPRODUCT(--(Headcount!$F$6:$F$92="Development Operations"),--(Headcount!$H$6:$H$92&gt;='Dev Ops'!D$3),Headcount!$Q$6:$Q$92,Headcount!$L$6:$L$92)),0),IF(YEAR(D$3)=YEAR(Headcount!$R$4),IF((D$5=12),(SUMPRODUCT(--(Headcount!$F$6:$F$92="Development Operations"),--(Headcount!$H$6:$H$92&gt;='Dev Ops'!D$3),Headcount!$R$6:$R$92,Headcount!$L$6:$L$92)),0),"New Year"))))),'Dept. Cost Actuals'!H814)</f>
        <v>0</v>
      </c>
      <c r="E16" s="684">
        <f>IF(E$4="forecast",IF(YEAR(E$3)=YEAR(Headcount!$N$4),IF((E$5=12),(SUMPRODUCT(--(Headcount!$F$6:$F$92="Development Operations"),--(Headcount!$H$6:$H$92&gt;='Dev Ops'!E$3),Headcount!$N$6:$N$92,Headcount!$L$6:$L$92)),0),IF(YEAR(E$3)=YEAR(Headcount!$O$4),IF((E$5=12),(SUMPRODUCT(--(Headcount!$F$6:$F$92="Development Operations"),--(Headcount!$H$6:$H$92&gt;='Dev Ops'!E$3),Headcount!$O$6:$O$92,Headcount!$L$6:$L$92)),0),IF(YEAR(E$3)=YEAR(Headcount!$P$4),IF((E$5=12),(SUMPRODUCT(--(Headcount!$F$6:$F$92="Development Operations"),--(Headcount!$H$6:$H$92&gt;='Dev Ops'!E$3),Headcount!$P$6:$P$92,Headcount!$L$6:$L$92)),0),IF(YEAR(E$3)=YEAR(Headcount!$Q$4),IF((E$5=12),(SUMPRODUCT(--(Headcount!$F$6:$F$92="Development Operations"),--(Headcount!$H$6:$H$92&gt;='Dev Ops'!E$3),Headcount!$Q$6:$Q$92,Headcount!$L$6:$L$92)),0),IF(YEAR(E$3)=YEAR(Headcount!$R$4),IF((E$5=12),(SUMPRODUCT(--(Headcount!$F$6:$F$92="Development Operations"),--(Headcount!$H$6:$H$92&gt;='Dev Ops'!E$3),Headcount!$R$6:$R$92,Headcount!$L$6:$L$92)),0),"New Year"))))),'Dept. Cost Actuals'!I814)</f>
        <v>0</v>
      </c>
      <c r="F16" s="684">
        <f>IF(F$4="forecast",IF(YEAR(F$3)=YEAR(Headcount!$N$4),IF((F$5=12),(SUMPRODUCT(--(Headcount!$F$6:$F$92="Development Operations"),--(Headcount!$H$6:$H$92&gt;='Dev Ops'!F$3),Headcount!$N$6:$N$92,Headcount!$L$6:$L$92)),0),IF(YEAR(F$3)=YEAR(Headcount!$O$4),IF((F$5=12),(SUMPRODUCT(--(Headcount!$F$6:$F$92="Development Operations"),--(Headcount!$H$6:$H$92&gt;='Dev Ops'!F$3),Headcount!$O$6:$O$92,Headcount!$L$6:$L$92)),0),IF(YEAR(F$3)=YEAR(Headcount!$P$4),IF((F$5=12),(SUMPRODUCT(--(Headcount!$F$6:$F$92="Development Operations"),--(Headcount!$H$6:$H$92&gt;='Dev Ops'!F$3),Headcount!$P$6:$P$92,Headcount!$L$6:$L$92)),0),IF(YEAR(F$3)=YEAR(Headcount!$Q$4),IF((F$5=12),(SUMPRODUCT(--(Headcount!$F$6:$F$92="Development Operations"),--(Headcount!$H$6:$H$92&gt;='Dev Ops'!F$3),Headcount!$Q$6:$Q$92,Headcount!$L$6:$L$92)),0),IF(YEAR(F$3)=YEAR(Headcount!$R$4),IF((F$5=12),(SUMPRODUCT(--(Headcount!$F$6:$F$92="Development Operations"),--(Headcount!$H$6:$H$92&gt;='Dev Ops'!F$3),Headcount!$R$6:$R$92,Headcount!$L$6:$L$92)),0),"New Year"))))),'Dept. Cost Actuals'!J814)</f>
        <v>0</v>
      </c>
      <c r="G16" s="684">
        <f>IF(G$4="forecast",IF(YEAR(G$3)=YEAR(Headcount!$N$4),IF((G$5=12),(SUMPRODUCT(--(Headcount!$F$6:$F$92="Development Operations"),--(Headcount!$H$6:$H$92&gt;='Dev Ops'!G$3),Headcount!$N$6:$N$92,Headcount!$L$6:$L$92)),0),IF(YEAR(G$3)=YEAR(Headcount!$O$4),IF((G$5=12),(SUMPRODUCT(--(Headcount!$F$6:$F$92="Development Operations"),--(Headcount!$H$6:$H$92&gt;='Dev Ops'!G$3),Headcount!$O$6:$O$92,Headcount!$L$6:$L$92)),0),IF(YEAR(G$3)=YEAR(Headcount!$P$4),IF((G$5=12),(SUMPRODUCT(--(Headcount!$F$6:$F$92="Development Operations"),--(Headcount!$H$6:$H$92&gt;='Dev Ops'!G$3),Headcount!$P$6:$P$92,Headcount!$L$6:$L$92)),0),IF(YEAR(G$3)=YEAR(Headcount!$Q$4),IF((G$5=12),(SUMPRODUCT(--(Headcount!$F$6:$F$92="Development Operations"),--(Headcount!$H$6:$H$92&gt;='Dev Ops'!G$3),Headcount!$Q$6:$Q$92,Headcount!$L$6:$L$92)),0),IF(YEAR(G$3)=YEAR(Headcount!$R$4),IF((G$5=12),(SUMPRODUCT(--(Headcount!$F$6:$F$92="Development Operations"),--(Headcount!$H$6:$H$92&gt;='Dev Ops'!G$3),Headcount!$R$6:$R$92,Headcount!$L$6:$L$92)),0),"New Year"))))),'Dept. Cost Actuals'!K814)</f>
        <v>0</v>
      </c>
      <c r="H16" s="684">
        <f>IF(H$4="forecast",IF(YEAR(H$3)=YEAR(Headcount!$N$4),IF((H$5=12),(SUMPRODUCT(--(Headcount!$F$6:$F$92="Development Operations"),--(Headcount!$H$6:$H$92&gt;='Dev Ops'!H$3),Headcount!$N$6:$N$92,Headcount!$L$6:$L$92)),0),IF(YEAR(H$3)=YEAR(Headcount!$O$4),IF((H$5=12),(SUMPRODUCT(--(Headcount!$F$6:$F$92="Development Operations"),--(Headcount!$H$6:$H$92&gt;='Dev Ops'!H$3),Headcount!$O$6:$O$92,Headcount!$L$6:$L$92)),0),IF(YEAR(H$3)=YEAR(Headcount!$P$4),IF((H$5=12),(SUMPRODUCT(--(Headcount!$F$6:$F$92="Development Operations"),--(Headcount!$H$6:$H$92&gt;='Dev Ops'!H$3),Headcount!$P$6:$P$92,Headcount!$L$6:$L$92)),0),IF(YEAR(H$3)=YEAR(Headcount!$Q$4),IF((H$5=12),(SUMPRODUCT(--(Headcount!$F$6:$F$92="Development Operations"),--(Headcount!$H$6:$H$92&gt;='Dev Ops'!H$3),Headcount!$Q$6:$Q$92,Headcount!$L$6:$L$92)),0),IF(YEAR(H$3)=YEAR(Headcount!$R$4),IF((H$5=12),(SUMPRODUCT(--(Headcount!$F$6:$F$92="Development Operations"),--(Headcount!$H$6:$H$92&gt;='Dev Ops'!H$3),Headcount!$R$6:$R$92,Headcount!$L$6:$L$92)),0),"New Year"))))),'Dept. Cost Actuals'!L814)</f>
        <v>0</v>
      </c>
      <c r="I16" s="684">
        <f>IF(I$4="forecast",IF(YEAR(I$3)=YEAR(Headcount!$N$4),IF((I$5=12),(SUMPRODUCT(--(Headcount!$F$6:$F$92="Development Operations"),--(Headcount!$H$6:$H$92&gt;='Dev Ops'!I$3),Headcount!$N$6:$N$92,Headcount!$L$6:$L$92)),0),IF(YEAR(I$3)=YEAR(Headcount!$O$4),IF((I$5=12),(SUMPRODUCT(--(Headcount!$F$6:$F$92="Development Operations"),--(Headcount!$H$6:$H$92&gt;='Dev Ops'!I$3),Headcount!$O$6:$O$92,Headcount!$L$6:$L$92)),0),IF(YEAR(I$3)=YEAR(Headcount!$P$4),IF((I$5=12),(SUMPRODUCT(--(Headcount!$F$6:$F$92="Development Operations"),--(Headcount!$H$6:$H$92&gt;='Dev Ops'!I$3),Headcount!$P$6:$P$92,Headcount!$L$6:$L$92)),0),IF(YEAR(I$3)=YEAR(Headcount!$Q$4),IF((I$5=12),(SUMPRODUCT(--(Headcount!$F$6:$F$92="Development Operations"),--(Headcount!$H$6:$H$92&gt;='Dev Ops'!I$3),Headcount!$Q$6:$Q$92,Headcount!$L$6:$L$92)),0),IF(YEAR(I$3)=YEAR(Headcount!$R$4),IF((I$5=12),(SUMPRODUCT(--(Headcount!$F$6:$F$92="Development Operations"),--(Headcount!$H$6:$H$92&gt;='Dev Ops'!I$3),Headcount!$R$6:$R$92,Headcount!$L$6:$L$92)),0),"New Year"))))),'Dept. Cost Actuals'!M814)</f>
        <v>0</v>
      </c>
      <c r="J16" s="684">
        <f>IF(J$4="forecast",IF(YEAR(J$3)=YEAR(Headcount!$N$4),IF((J$5=12),(SUMPRODUCT(--(Headcount!$F$6:$F$92="Development Operations"),--(Headcount!$H$6:$H$92&gt;='Dev Ops'!J$3),Headcount!$N$6:$N$92,Headcount!$L$6:$L$92)),0),IF(YEAR(J$3)=YEAR(Headcount!$O$4),IF((J$5=12),(SUMPRODUCT(--(Headcount!$F$6:$F$92="Development Operations"),--(Headcount!$H$6:$H$92&gt;='Dev Ops'!J$3),Headcount!$O$6:$O$92,Headcount!$L$6:$L$92)),0),IF(YEAR(J$3)=YEAR(Headcount!$P$4),IF((J$5=12),(SUMPRODUCT(--(Headcount!$F$6:$F$92="Development Operations"),--(Headcount!$H$6:$H$92&gt;='Dev Ops'!J$3),Headcount!$P$6:$P$92,Headcount!$L$6:$L$92)),0),IF(YEAR(J$3)=YEAR(Headcount!$Q$4),IF((J$5=12),(SUMPRODUCT(--(Headcount!$F$6:$F$92="Development Operations"),--(Headcount!$H$6:$H$92&gt;='Dev Ops'!J$3),Headcount!$Q$6:$Q$92,Headcount!$L$6:$L$92)),0),IF(YEAR(J$3)=YEAR(Headcount!$R$4),IF((J$5=12),(SUMPRODUCT(--(Headcount!$F$6:$F$92="Development Operations"),--(Headcount!$H$6:$H$92&gt;='Dev Ops'!J$3),Headcount!$R$6:$R$92,Headcount!$L$6:$L$92)),0),"New Year"))))),'Dept. Cost Actuals'!N814)</f>
        <v>0</v>
      </c>
      <c r="K16" s="684">
        <f>IF(K$4="forecast",IF(YEAR(K$3)=YEAR(Headcount!$N$4),IF((K$5=12),(SUMPRODUCT(--(Headcount!$F$6:$F$92="Development Operations"),--(Headcount!$H$6:$H$92&gt;='Dev Ops'!K$3),Headcount!$N$6:$N$92,Headcount!$L$6:$L$92)),0),IF(YEAR(K$3)=YEAR(Headcount!$O$4),IF((K$5=12),(SUMPRODUCT(--(Headcount!$F$6:$F$92="Development Operations"),--(Headcount!$H$6:$H$92&gt;='Dev Ops'!K$3),Headcount!$O$6:$O$92,Headcount!$L$6:$L$92)),0),IF(YEAR(K$3)=YEAR(Headcount!$P$4),IF((K$5=12),(SUMPRODUCT(--(Headcount!$F$6:$F$92="Development Operations"),--(Headcount!$H$6:$H$92&gt;='Dev Ops'!K$3),Headcount!$P$6:$P$92,Headcount!$L$6:$L$92)),0),IF(YEAR(K$3)=YEAR(Headcount!$Q$4),IF((K$5=12),(SUMPRODUCT(--(Headcount!$F$6:$F$92="Development Operations"),--(Headcount!$H$6:$H$92&gt;='Dev Ops'!K$3),Headcount!$Q$6:$Q$92,Headcount!$L$6:$L$92)),0),IF(YEAR(K$3)=YEAR(Headcount!$R$4),IF((K$5=12),(SUMPRODUCT(--(Headcount!$F$6:$F$92="Development Operations"),--(Headcount!$H$6:$H$92&gt;='Dev Ops'!K$3),Headcount!$R$6:$R$92,Headcount!$L$6:$L$92)),0),"New Year"))))),'Dept. Cost Actuals'!O814)</f>
        <v>0</v>
      </c>
      <c r="L16" s="684">
        <f>IF(L$4="forecast",IF(YEAR(L$3)=YEAR(Headcount!$N$4),IF((L$5=12),(SUMPRODUCT(--(Headcount!$F$6:$F$92="Development Operations"),--(Headcount!$H$6:$H$92&gt;='Dev Ops'!L$3),Headcount!$N$6:$N$92,Headcount!$L$6:$L$92)),0),IF(YEAR(L$3)=YEAR(Headcount!$O$4),IF((L$5=12),(SUMPRODUCT(--(Headcount!$F$6:$F$92="Development Operations"),--(Headcount!$H$6:$H$92&gt;='Dev Ops'!L$3),Headcount!$O$6:$O$92,Headcount!$L$6:$L$92)),0),IF(YEAR(L$3)=YEAR(Headcount!$P$4),IF((L$5=12),(SUMPRODUCT(--(Headcount!$F$6:$F$92="Development Operations"),--(Headcount!$H$6:$H$92&gt;='Dev Ops'!L$3),Headcount!$P$6:$P$92,Headcount!$L$6:$L$92)),0),IF(YEAR(L$3)=YEAR(Headcount!$Q$4),IF((L$5=12),(SUMPRODUCT(--(Headcount!$F$6:$F$92="Development Operations"),--(Headcount!$H$6:$H$92&gt;='Dev Ops'!L$3),Headcount!$Q$6:$Q$92,Headcount!$L$6:$L$92)),0),IF(YEAR(L$3)=YEAR(Headcount!$R$4),IF((L$5=12),(SUMPRODUCT(--(Headcount!$F$6:$F$92="Development Operations"),--(Headcount!$H$6:$H$92&gt;='Dev Ops'!L$3),Headcount!$R$6:$R$92,Headcount!$L$6:$L$92)),0),"New Year"))))),'Dept. Cost Actuals'!P814)</f>
        <v>0</v>
      </c>
      <c r="M16" s="684">
        <f>IF(M$4="forecast",IF(YEAR(M$3)=YEAR(Headcount!$N$4),IF((M$5=12),(SUMPRODUCT(--(Headcount!$F$6:$F$92="Development Operations"),--(Headcount!$H$6:$H$92&gt;='Dev Ops'!M$3),Headcount!$N$6:$N$92,Headcount!$L$6:$L$92)),0),IF(YEAR(M$3)=YEAR(Headcount!$O$4),IF((M$5=12),(SUMPRODUCT(--(Headcount!$F$6:$F$92="Development Operations"),--(Headcount!$H$6:$H$92&gt;='Dev Ops'!M$3),Headcount!$O$6:$O$92,Headcount!$L$6:$L$92)),0),IF(YEAR(M$3)=YEAR(Headcount!$P$4),IF((M$5=12),(SUMPRODUCT(--(Headcount!$F$6:$F$92="Development Operations"),--(Headcount!$H$6:$H$92&gt;='Dev Ops'!M$3),Headcount!$P$6:$P$92,Headcount!$L$6:$L$92)),0),IF(YEAR(M$3)=YEAR(Headcount!$Q$4),IF((M$5=12),(SUMPRODUCT(--(Headcount!$F$6:$F$92="Development Operations"),--(Headcount!$H$6:$H$92&gt;='Dev Ops'!M$3),Headcount!$Q$6:$Q$92,Headcount!$L$6:$L$92)),0),IF(YEAR(M$3)=YEAR(Headcount!$R$4),IF((M$5=12),(SUMPRODUCT(--(Headcount!$F$6:$F$92="Development Operations"),--(Headcount!$H$6:$H$92&gt;='Dev Ops'!M$3),Headcount!$R$6:$R$92,Headcount!$L$6:$L$92)),0),"New Year"))))),'Dept. Cost Actuals'!Q814)</f>
        <v>0</v>
      </c>
      <c r="N16" s="684">
        <f>IF(N$4="forecast",IF(YEAR(N$3)=YEAR(Headcount!$N$4),IF((N$5=12),(SUMPRODUCT(--(Headcount!$F$6:$F$92="Development Operations"),--(Headcount!$H$6:$H$92&gt;='Dev Ops'!N$3),Headcount!$N$6:$N$92,Headcount!$L$6:$L$92)),0),IF(YEAR(N$3)=YEAR(Headcount!$O$4),IF((N$5=12),(SUMPRODUCT(--(Headcount!$F$6:$F$92="Development Operations"),--(Headcount!$H$6:$H$92&gt;='Dev Ops'!N$3),Headcount!$O$6:$O$92,Headcount!$L$6:$L$92)),0),IF(YEAR(N$3)=YEAR(Headcount!$P$4),IF((N$5=12),(SUMPRODUCT(--(Headcount!$F$6:$F$92="Development Operations"),--(Headcount!$H$6:$H$92&gt;='Dev Ops'!N$3),Headcount!$P$6:$P$92,Headcount!$L$6:$L$92)),0),IF(YEAR(N$3)=YEAR(Headcount!$Q$4),IF((N$5=12),(SUMPRODUCT(--(Headcount!$F$6:$F$92="Development Operations"),--(Headcount!$H$6:$H$92&gt;='Dev Ops'!N$3),Headcount!$Q$6:$Q$92,Headcount!$L$6:$L$92)),0),IF(YEAR(N$3)=YEAR(Headcount!$R$4),IF((N$5=12),(SUMPRODUCT(--(Headcount!$F$6:$F$92="Development Operations"),--(Headcount!$H$6:$H$92&gt;='Dev Ops'!N$3),Headcount!$R$6:$R$92,Headcount!$L$6:$L$92)),0),"New Year"))))),'Dept. Cost Actuals'!R814)</f>
        <v>0</v>
      </c>
      <c r="O16" s="684">
        <f>IF(O$4="forecast",IF(YEAR(O$3)=YEAR(Headcount!$N$4),IF((O$5=12),(SUMPRODUCT(--(Headcount!$F$6:$F$92="Development Operations"),--(Headcount!$H$6:$H$92&gt;='Dev Ops'!O$3),Headcount!$N$6:$N$92,Headcount!$L$6:$L$92)),0),IF(YEAR(O$3)=YEAR(Headcount!$O$4),IF((O$5=12),(SUMPRODUCT(--(Headcount!$F$6:$F$92="Development Operations"),--(Headcount!$H$6:$H$92&gt;='Dev Ops'!O$3),Headcount!$O$6:$O$92,Headcount!$L$6:$L$92)),0),IF(YEAR(O$3)=YEAR(Headcount!$P$4),IF((O$5=12),(SUMPRODUCT(--(Headcount!$F$6:$F$92="Development Operations"),--(Headcount!$H$6:$H$92&gt;='Dev Ops'!O$3),Headcount!$P$6:$P$92,Headcount!$L$6:$L$92)),0),IF(YEAR(O$3)=YEAR(Headcount!$Q$4),IF((O$5=12),(SUMPRODUCT(--(Headcount!$F$6:$F$92="Development Operations"),--(Headcount!$H$6:$H$92&gt;='Dev Ops'!O$3),Headcount!$Q$6:$Q$92,Headcount!$L$6:$L$92)),0),IF(YEAR(O$3)=YEAR(Headcount!$R$4),IF((O$5=12),(SUMPRODUCT(--(Headcount!$F$6:$F$92="Development Operations"),--(Headcount!$H$6:$H$92&gt;='Dev Ops'!O$3),Headcount!$R$6:$R$92,Headcount!$L$6:$L$92)),0),"New Year"))))),'Dept. Cost Actuals'!S814)</f>
        <v>7052.71</v>
      </c>
      <c r="P16" s="684">
        <f>IF(P$4="forecast",IF(YEAR(P$3)=YEAR(Headcount!$N$4),IF((P$5=12),(SUMPRODUCT(--(Headcount!$F$6:$F$92="Development Operations"),--(Headcount!$H$6:$H$92&gt;='Dev Ops'!P$3),Headcount!$N$6:$N$92,Headcount!$L$6:$L$92)),0),IF(YEAR(P$3)=YEAR(Headcount!$O$4),IF((P$5=12),(SUMPRODUCT(--(Headcount!$F$6:$F$92="Development Operations"),--(Headcount!$H$6:$H$92&gt;='Dev Ops'!P$3),Headcount!$O$6:$O$92,Headcount!$L$6:$L$92)),0),IF(YEAR(P$3)=YEAR(Headcount!$P$4),IF((P$5=12),(SUMPRODUCT(--(Headcount!$F$6:$F$92="Development Operations"),--(Headcount!$H$6:$H$92&gt;='Dev Ops'!P$3),Headcount!$P$6:$P$92,Headcount!$L$6:$L$92)),0),IF(YEAR(P$3)=YEAR(Headcount!$Q$4),IF((P$5=12),(SUMPRODUCT(--(Headcount!$F$6:$F$92="Development Operations"),--(Headcount!$H$6:$H$92&gt;='Dev Ops'!P$3),Headcount!$Q$6:$Q$92,Headcount!$L$6:$L$92)),0),IF(YEAR(P$3)=YEAR(Headcount!$R$4),IF((P$5=12),(SUMPRODUCT(--(Headcount!$F$6:$F$92="Development Operations"),--(Headcount!$H$6:$H$92&gt;='Dev Ops'!P$3),Headcount!$R$6:$R$92,Headcount!$L$6:$L$92)),0),"New Year"))))),'Dept. Cost Actuals'!T814)</f>
        <v>5779.75</v>
      </c>
      <c r="Q16" s="684">
        <f>IF(Q$4="forecast",IF(YEAR(Q$3)=YEAR(Headcount!$N$4),IF((Q$5=12),(SUMPRODUCT(--(Headcount!$F$6:$F$92="Development Operations"),--(Headcount!$H$6:$H$92&gt;='Dev Ops'!Q$3),Headcount!$N$6:$N$92,Headcount!$L$6:$L$92)),0),IF(YEAR(Q$3)=YEAR(Headcount!$O$4),IF((Q$5=12),(SUMPRODUCT(--(Headcount!$F$6:$F$92="Development Operations"),--(Headcount!$H$6:$H$92&gt;='Dev Ops'!Q$3),Headcount!$O$6:$O$92,Headcount!$L$6:$L$92)),0),IF(YEAR(Q$3)=YEAR(Headcount!$P$4),IF((Q$5=12),(SUMPRODUCT(--(Headcount!$F$6:$F$92="Development Operations"),--(Headcount!$H$6:$H$92&gt;='Dev Ops'!Q$3),Headcount!$P$6:$P$92,Headcount!$L$6:$L$92)),0),IF(YEAR(Q$3)=YEAR(Headcount!$Q$4),IF((Q$5=12),(SUMPRODUCT(--(Headcount!$F$6:$F$92="Development Operations"),--(Headcount!$H$6:$H$92&gt;='Dev Ops'!Q$3),Headcount!$Q$6:$Q$92,Headcount!$L$6:$L$92)),0),IF(YEAR(Q$3)=YEAR(Headcount!$R$4),IF((Q$5=12),(SUMPRODUCT(--(Headcount!$F$6:$F$92="Development Operations"),--(Headcount!$H$6:$H$92&gt;='Dev Ops'!Q$3),Headcount!$R$6:$R$92,Headcount!$L$6:$L$92)),0),"New Year"))))),'Dept. Cost Actuals'!U814)</f>
        <v>6034.89</v>
      </c>
      <c r="R16" s="684">
        <f>IF(R$4="forecast",IF(YEAR(R$3)=YEAR(Headcount!$N$4),IF((R$5=12),(SUMPRODUCT(--(Headcount!$F$6:$F$92="Development Operations"),--(Headcount!$H$6:$H$92&gt;='Dev Ops'!R$3),Headcount!$N$6:$N$92,Headcount!$L$6:$L$92)),0),IF(YEAR(R$3)=YEAR(Headcount!$O$4),IF((R$5=12),(SUMPRODUCT(--(Headcount!$F$6:$F$92="Development Operations"),--(Headcount!$H$6:$H$92&gt;='Dev Ops'!R$3),Headcount!$O$6:$O$92,Headcount!$L$6:$L$92)),0),IF(YEAR(R$3)=YEAR(Headcount!$P$4),IF((R$5=12),(SUMPRODUCT(--(Headcount!$F$6:$F$92="Development Operations"),--(Headcount!$H$6:$H$92&gt;='Dev Ops'!R$3),Headcount!$P$6:$P$92,Headcount!$L$6:$L$92)),0),IF(YEAR(R$3)=YEAR(Headcount!$Q$4),IF((R$5=12),(SUMPRODUCT(--(Headcount!$F$6:$F$92="Development Operations"),--(Headcount!$H$6:$H$92&gt;='Dev Ops'!R$3),Headcount!$Q$6:$Q$92,Headcount!$L$6:$L$92)),0),IF(YEAR(R$3)=YEAR(Headcount!$R$4),IF((R$5=12),(SUMPRODUCT(--(Headcount!$F$6:$F$92="Development Operations"),--(Headcount!$H$6:$H$92&gt;='Dev Ops'!R$3),Headcount!$R$6:$R$92,Headcount!$L$6:$L$92)),0),"New Year"))))),'Dept. Cost Actuals'!V814)</f>
        <v>7141.57</v>
      </c>
      <c r="S16" s="684">
        <f>IF(S$4="forecast",IF(YEAR(S$3)=YEAR(Headcount!$N$4),IF((S$5=12),(SUMPRODUCT(--(Headcount!$F$6:$F$92="Development Operations"),--(Headcount!$H$6:$H$92&gt;='Dev Ops'!S$3),Headcount!$N$6:$N$92,Headcount!$L$6:$L$92)),0),IF(YEAR(S$3)=YEAR(Headcount!$O$4),IF((S$5=12),(SUMPRODUCT(--(Headcount!$F$6:$F$92="Development Operations"),--(Headcount!$H$6:$H$92&gt;='Dev Ops'!S$3),Headcount!$O$6:$O$92,Headcount!$L$6:$L$92)),0),IF(YEAR(S$3)=YEAR(Headcount!$P$4),IF((S$5=12),(SUMPRODUCT(--(Headcount!$F$6:$F$92="Development Operations"),--(Headcount!$H$6:$H$92&gt;='Dev Ops'!S$3),Headcount!$P$6:$P$92,Headcount!$L$6:$L$92)),0),IF(YEAR(S$3)=YEAR(Headcount!$Q$4),IF((S$5=12),(SUMPRODUCT(--(Headcount!$F$6:$F$92="Development Operations"),--(Headcount!$H$6:$H$92&gt;='Dev Ops'!S$3),Headcount!$Q$6:$Q$92,Headcount!$L$6:$L$92)),0),IF(YEAR(S$3)=YEAR(Headcount!$R$4),IF((S$5=12),(SUMPRODUCT(--(Headcount!$F$6:$F$92="Development Operations"),--(Headcount!$H$6:$H$92&gt;='Dev Ops'!S$3),Headcount!$R$6:$R$92,Headcount!$L$6:$L$92)),0),"New Year"))))),'Dept. Cost Actuals'!W814)</f>
        <v>5779.75</v>
      </c>
      <c r="T16" s="684">
        <f>IF(T$4="forecast",IF(YEAR(T$3)=YEAR(Headcount!$N$4),IF((T$5=12),(SUMPRODUCT(--(Headcount!$F$6:$F$92="Development Operations"),--(Headcount!$H$6:$H$92&gt;='Dev Ops'!T$3),Headcount!$N$6:$N$92,Headcount!$L$6:$L$92)),0),IF(YEAR(T$3)=YEAR(Headcount!$O$4),IF((T$5=12),(SUMPRODUCT(--(Headcount!$F$6:$F$92="Development Operations"),--(Headcount!$H$6:$H$92&gt;='Dev Ops'!T$3),Headcount!$O$6:$O$92,Headcount!$L$6:$L$92)),0),IF(YEAR(T$3)=YEAR(Headcount!$P$4),IF((T$5=12),(SUMPRODUCT(--(Headcount!$F$6:$F$92="Development Operations"),--(Headcount!$H$6:$H$92&gt;='Dev Ops'!T$3),Headcount!$P$6:$P$92,Headcount!$L$6:$L$92)),0),IF(YEAR(T$3)=YEAR(Headcount!$Q$4),IF((T$5=12),(SUMPRODUCT(--(Headcount!$F$6:$F$92="Development Operations"),--(Headcount!$H$6:$H$92&gt;='Dev Ops'!T$3),Headcount!$Q$6:$Q$92,Headcount!$L$6:$L$92)),0),IF(YEAR(T$3)=YEAR(Headcount!$R$4),IF((T$5=12),(SUMPRODUCT(--(Headcount!$F$6:$F$92="Development Operations"),--(Headcount!$H$6:$H$92&gt;='Dev Ops'!T$3),Headcount!$R$6:$R$92,Headcount!$L$6:$L$92)),0),"New Year"))))),'Dept. Cost Actuals'!X814)</f>
        <v>5779.75</v>
      </c>
      <c r="U16" s="684">
        <f>IF(U$4="forecast",IF(YEAR(U$3)=YEAR(Headcount!$N$4),IF((U$5=12),(SUMPRODUCT(--(Headcount!$F$6:$F$92="Development Operations"),--(Headcount!$H$6:$H$92&gt;='Dev Ops'!U$3),Headcount!$N$6:$N$92,Headcount!$L$6:$L$92)),0),IF(YEAR(U$3)=YEAR(Headcount!$O$4),IF((U$5=12),(SUMPRODUCT(--(Headcount!$F$6:$F$92="Development Operations"),--(Headcount!$H$6:$H$92&gt;='Dev Ops'!U$3),Headcount!$O$6:$O$92,Headcount!$L$6:$L$92)),0),IF(YEAR(U$3)=YEAR(Headcount!$P$4),IF((U$5=12),(SUMPRODUCT(--(Headcount!$F$6:$F$92="Development Operations"),--(Headcount!$H$6:$H$92&gt;='Dev Ops'!U$3),Headcount!$P$6:$P$92,Headcount!$L$6:$L$92)),0),IF(YEAR(U$3)=YEAR(Headcount!$Q$4),IF((U$5=12),(SUMPRODUCT(--(Headcount!$F$6:$F$92="Development Operations"),--(Headcount!$H$6:$H$92&gt;='Dev Ops'!U$3),Headcount!$Q$6:$Q$92,Headcount!$L$6:$L$92)),0),IF(YEAR(U$3)=YEAR(Headcount!$R$4),IF((U$5=12),(SUMPRODUCT(--(Headcount!$F$6:$F$92="Development Operations"),--(Headcount!$H$6:$H$92&gt;='Dev Ops'!U$3),Headcount!$R$6:$R$92,Headcount!$L$6:$L$92)),0),"New Year"))))),'Dept. Cost Actuals'!Y814)</f>
        <v>7764.93</v>
      </c>
      <c r="V16" s="684">
        <f>IF(V$4="forecast",IF(YEAR(V$3)=YEAR(Headcount!$N$4),IF((V$5=12),(SUMPRODUCT(--(Headcount!$F$6:$F$92="Development Operations"),--(Headcount!$H$6:$H$92&gt;='Dev Ops'!V$3),Headcount!$N$6:$N$92,Headcount!$L$6:$L$92)),0),IF(YEAR(V$3)=YEAR(Headcount!$O$4),IF((V$5=12),(SUMPRODUCT(--(Headcount!$F$6:$F$92="Development Operations"),--(Headcount!$H$6:$H$92&gt;='Dev Ops'!V$3),Headcount!$O$6:$O$92,Headcount!$L$6:$L$92)),0),IF(YEAR(V$3)=YEAR(Headcount!$P$4),IF((V$5=12),(SUMPRODUCT(--(Headcount!$F$6:$F$92="Development Operations"),--(Headcount!$H$6:$H$92&gt;='Dev Ops'!V$3),Headcount!$P$6:$P$92,Headcount!$L$6:$L$92)),0),IF(YEAR(V$3)=YEAR(Headcount!$Q$4),IF((V$5=12),(SUMPRODUCT(--(Headcount!$F$6:$F$92="Development Operations"),--(Headcount!$H$6:$H$92&gt;='Dev Ops'!V$3),Headcount!$Q$6:$Q$92,Headcount!$L$6:$L$92)),0),IF(YEAR(V$3)=YEAR(Headcount!$R$4),IF((V$5=12),(SUMPRODUCT(--(Headcount!$F$6:$F$92="Development Operations"),--(Headcount!$H$6:$H$92&gt;='Dev Ops'!V$3),Headcount!$R$6:$R$92,Headcount!$L$6:$L$92)),0),"New Year"))))),'Dept. Cost Actuals'!Z814)</f>
        <v>11772.34</v>
      </c>
      <c r="W16" s="684">
        <f>IF(W$4="forecast",IF(YEAR(W$3)=YEAR(Headcount!$N$4),IF((W$5=12),(SUMPRODUCT(--(Headcount!$F$6:$F$92="Development Operations"),--(Headcount!$H$6:$H$92&gt;='Dev Ops'!W$3),Headcount!$N$6:$N$92,Headcount!$L$6:$L$92)),0),IF(YEAR(W$3)=YEAR(Headcount!$O$4),IF((W$5=12),(SUMPRODUCT(--(Headcount!$F$6:$F$92="Development Operations"),--(Headcount!$H$6:$H$92&gt;='Dev Ops'!W$3),Headcount!$O$6:$O$92,Headcount!$L$6:$L$92)),0),IF(YEAR(W$3)=YEAR(Headcount!$P$4),IF((W$5=12),(SUMPRODUCT(--(Headcount!$F$6:$F$92="Development Operations"),--(Headcount!$H$6:$H$92&gt;='Dev Ops'!W$3),Headcount!$P$6:$P$92,Headcount!$L$6:$L$92)),0),IF(YEAR(W$3)=YEAR(Headcount!$Q$4),IF((W$5=12),(SUMPRODUCT(--(Headcount!$F$6:$F$92="Development Operations"),--(Headcount!$H$6:$H$92&gt;='Dev Ops'!W$3),Headcount!$Q$6:$Q$92,Headcount!$L$6:$L$92)),0),IF(YEAR(W$3)=YEAR(Headcount!$R$4),IF((W$5=12),(SUMPRODUCT(--(Headcount!$F$6:$F$92="Development Operations"),--(Headcount!$H$6:$H$92&gt;='Dev Ops'!W$3),Headcount!$R$6:$R$92,Headcount!$L$6:$L$92)),0),"New Year"))))),'Dept. Cost Actuals'!AA814)</f>
        <v>5779.75</v>
      </c>
      <c r="X16" s="684">
        <f>IF(X$4="forecast",IF(YEAR(X$3)=YEAR(Headcount!$N$4),IF((X$5=12),(SUMPRODUCT(--(Headcount!$F$6:$F$92="Development Operations"),--(Headcount!$H$6:$H$92&gt;='Dev Ops'!X$3),Headcount!$N$6:$N$92,Headcount!$L$6:$L$92)),0),IF(YEAR(X$3)=YEAR(Headcount!$O$4),IF((X$5=12),(SUMPRODUCT(--(Headcount!$F$6:$F$92="Development Operations"),--(Headcount!$H$6:$H$92&gt;='Dev Ops'!X$3),Headcount!$O$6:$O$92,Headcount!$L$6:$L$92)),0),IF(YEAR(X$3)=YEAR(Headcount!$P$4),IF((X$5=12),(SUMPRODUCT(--(Headcount!$F$6:$F$92="Development Operations"),--(Headcount!$H$6:$H$92&gt;='Dev Ops'!X$3),Headcount!$P$6:$P$92,Headcount!$L$6:$L$92)),0),IF(YEAR(X$3)=YEAR(Headcount!$Q$4),IF((X$5=12),(SUMPRODUCT(--(Headcount!$F$6:$F$92="Development Operations"),--(Headcount!$H$6:$H$92&gt;='Dev Ops'!X$3),Headcount!$Q$6:$Q$92,Headcount!$L$6:$L$92)),0),IF(YEAR(X$3)=YEAR(Headcount!$R$4),IF((X$5=12),(SUMPRODUCT(--(Headcount!$F$6:$F$92="Development Operations"),--(Headcount!$H$6:$H$92&gt;='Dev Ops'!X$3),Headcount!$R$6:$R$92,Headcount!$L$6:$L$92)),0),"New Year"))))),'Dept. Cost Actuals'!AB814)</f>
        <v>8757.52</v>
      </c>
      <c r="Y16" s="684">
        <f>IF(Y$4="forecast",IF(YEAR(Y$3)=YEAR(Headcount!$N$4),IF((Y$5=12),(SUMPRODUCT(--(Headcount!$F$6:$F$92="Development Operations"),--(Headcount!$H$6:$H$92&gt;='Dev Ops'!Y$3),Headcount!$N$6:$N$92,Headcount!$L$6:$L$92)),0),IF(YEAR(Y$3)=YEAR(Headcount!$O$4),IF((Y$5=12),(SUMPRODUCT(--(Headcount!$F$6:$F$92="Development Operations"),--(Headcount!$H$6:$H$92&gt;='Dev Ops'!Y$3),Headcount!$O$6:$O$92,Headcount!$L$6:$L$92)),0),IF(YEAR(Y$3)=YEAR(Headcount!$P$4),IF((Y$5=12),(SUMPRODUCT(--(Headcount!$F$6:$F$92="Development Operations"),--(Headcount!$H$6:$H$92&gt;='Dev Ops'!Y$3),Headcount!$P$6:$P$92,Headcount!$L$6:$L$92)),0),IF(YEAR(Y$3)=YEAR(Headcount!$Q$4),IF((Y$5=12),(SUMPRODUCT(--(Headcount!$F$6:$F$92="Development Operations"),--(Headcount!$H$6:$H$92&gt;='Dev Ops'!Y$3),Headcount!$Q$6:$Q$92,Headcount!$L$6:$L$92)),0),IF(YEAR(Y$3)=YEAR(Headcount!$R$4),IF((Y$5=12),(SUMPRODUCT(--(Headcount!$F$6:$F$92="Development Operations"),--(Headcount!$H$6:$H$92&gt;='Dev Ops'!Y$3),Headcount!$R$6:$R$92,Headcount!$L$6:$L$92)),0),"New Year"))))),'Dept. Cost Actuals'!AC814)</f>
        <v>5899.41</v>
      </c>
      <c r="Z16" s="684">
        <f>IF(Z$4="forecast",IF(YEAR(Z$3)=YEAR(Headcount!$N$4),IF((Z$5=12),(SUMPRODUCT(--(Headcount!$F$6:$F$92="Development Operations"),--(Headcount!$H$6:$H$92&gt;='Dev Ops'!Z$3),Headcount!$N$6:$N$92,Headcount!$L$6:$L$92)),0),IF(YEAR(Z$3)=YEAR(Headcount!$O$4),IF((Z$5=12),(SUMPRODUCT(--(Headcount!$F$6:$F$92="Development Operations"),--(Headcount!$H$6:$H$92&gt;='Dev Ops'!Z$3),Headcount!$O$6:$O$92,Headcount!$L$6:$L$92)),0),IF(YEAR(Z$3)=YEAR(Headcount!$P$4),IF((Z$5=12),(SUMPRODUCT(--(Headcount!$F$6:$F$92="Development Operations"),--(Headcount!$H$6:$H$92&gt;='Dev Ops'!Z$3),Headcount!$P$6:$P$92,Headcount!$L$6:$L$92)),0),IF(YEAR(Z$3)=YEAR(Headcount!$Q$4),IF((Z$5=12),(SUMPRODUCT(--(Headcount!$F$6:$F$92="Development Operations"),--(Headcount!$H$6:$H$92&gt;='Dev Ops'!Z$3),Headcount!$Q$6:$Q$92,Headcount!$L$6:$L$92)),0),IF(YEAR(Z$3)=YEAR(Headcount!$R$4),IF((Z$5=12),(SUMPRODUCT(--(Headcount!$F$6:$F$92="Development Operations"),--(Headcount!$H$6:$H$92&gt;='Dev Ops'!Z$3),Headcount!$R$6:$R$92,Headcount!$L$6:$L$92)),0),"New Year"))))),'Dept. Cost Actuals'!AD814)</f>
        <v>53436.99</v>
      </c>
      <c r="AA16" s="684">
        <f>IF(AA$4="forecast",IF(YEAR(AA$3)=YEAR(Headcount!$N$4),IF((AA$5=12),(SUMPRODUCT(--(Headcount!$F$6:$F$92="Development Operations"),--(Headcount!$H$6:$H$92&gt;='Dev Ops'!AA$3),Headcount!$N$6:$N$92,Headcount!$L$6:$L$92)),0),IF(YEAR(AA$3)=YEAR(Headcount!$O$4),IF((AA$5=12),(SUMPRODUCT(--(Headcount!$F$6:$F$92="Development Operations"),--(Headcount!$H$6:$H$92&gt;='Dev Ops'!AA$3),Headcount!$O$6:$O$92,Headcount!$L$6:$L$92)),0),IF(YEAR(AA$3)=YEAR(Headcount!$P$4),IF((AA$5=12),(SUMPRODUCT(--(Headcount!$F$6:$F$92="Development Operations"),--(Headcount!$H$6:$H$92&gt;='Dev Ops'!AA$3),Headcount!$P$6:$P$92,Headcount!$L$6:$L$92)),0),IF(YEAR(AA$3)=YEAR(Headcount!$Q$4),IF((AA$5=12),(SUMPRODUCT(--(Headcount!$F$6:$F$92="Development Operations"),--(Headcount!$H$6:$H$92&gt;='Dev Ops'!AA$3),Headcount!$Q$6:$Q$92,Headcount!$L$6:$L$92)),0),IF(YEAR(AA$3)=YEAR(Headcount!$R$4),IF((AA$5=12),(SUMPRODUCT(--(Headcount!$F$6:$F$92="Development Operations"),--(Headcount!$H$6:$H$92&gt;='Dev Ops'!AA$3),Headcount!$R$6:$R$92,Headcount!$L$6:$L$92)),0),"New Year"))))),'Dept. Cost Actuals'!AE814)</f>
        <v>0</v>
      </c>
      <c r="AB16" s="684">
        <f>IF(AB$4="forecast",IF(YEAR(AB$3)=YEAR(Headcount!$N$4),IF((AB$5=12),(SUMPRODUCT(--(Headcount!$F$6:$F$92="Development Operations"),--(Headcount!$H$6:$H$92&gt;='Dev Ops'!AB$3),Headcount!$N$6:$N$92,Headcount!$L$6:$L$92)),0),IF(YEAR(AB$3)=YEAR(Headcount!$O$4),IF((AB$5=12),(SUMPRODUCT(--(Headcount!$F$6:$F$92="Development Operations"),--(Headcount!$H$6:$H$92&gt;='Dev Ops'!AB$3),Headcount!$O$6:$O$92,Headcount!$L$6:$L$92)),0),IF(YEAR(AB$3)=YEAR(Headcount!$P$4),IF((AB$5=12),(SUMPRODUCT(--(Headcount!$F$6:$F$92="Development Operations"),--(Headcount!$H$6:$H$92&gt;='Dev Ops'!AB$3),Headcount!$P$6:$P$92,Headcount!$L$6:$L$92)),0),IF(YEAR(AB$3)=YEAR(Headcount!$Q$4),IF((AB$5=12),(SUMPRODUCT(--(Headcount!$F$6:$F$92="Development Operations"),--(Headcount!$H$6:$H$92&gt;='Dev Ops'!AB$3),Headcount!$Q$6:$Q$92,Headcount!$L$6:$L$92)),0),IF(YEAR(AB$3)=YEAR(Headcount!$R$4),IF((AB$5=12),(SUMPRODUCT(--(Headcount!$F$6:$F$92="Development Operations"),--(Headcount!$H$6:$H$92&gt;='Dev Ops'!AB$3),Headcount!$R$6:$R$92,Headcount!$L$6:$L$92)),0),"New Year"))))),'Dept. Cost Actuals'!AF814)</f>
        <v>0</v>
      </c>
      <c r="AC16" s="684">
        <f>IF(AC$4="forecast",IF(YEAR(AC$3)=YEAR(Headcount!$N$4),IF((AC$5=12),(SUMPRODUCT(--(Headcount!$F$6:$F$92="Development Operations"),--(Headcount!$H$6:$H$92&gt;='Dev Ops'!AC$3),Headcount!$N$6:$N$92,Headcount!$L$6:$L$92)),0),IF(YEAR(AC$3)=YEAR(Headcount!$O$4),IF((AC$5=12),(SUMPRODUCT(--(Headcount!$F$6:$F$92="Development Operations"),--(Headcount!$H$6:$H$92&gt;='Dev Ops'!AC$3),Headcount!$O$6:$O$92,Headcount!$L$6:$L$92)),0),IF(YEAR(AC$3)=YEAR(Headcount!$P$4),IF((AC$5=12),(SUMPRODUCT(--(Headcount!$F$6:$F$92="Development Operations"),--(Headcount!$H$6:$H$92&gt;='Dev Ops'!AC$3),Headcount!$P$6:$P$92,Headcount!$L$6:$L$92)),0),IF(YEAR(AC$3)=YEAR(Headcount!$Q$4),IF((AC$5=12),(SUMPRODUCT(--(Headcount!$F$6:$F$92="Development Operations"),--(Headcount!$H$6:$H$92&gt;='Dev Ops'!AC$3),Headcount!$Q$6:$Q$92,Headcount!$L$6:$L$92)),0),IF(YEAR(AC$3)=YEAR(Headcount!$R$4),IF((AC$5=12),(SUMPRODUCT(--(Headcount!$F$6:$F$92="Development Operations"),--(Headcount!$H$6:$H$92&gt;='Dev Ops'!AC$3),Headcount!$R$6:$R$92,Headcount!$L$6:$L$92)),0),"New Year"))))),'Dept. Cost Actuals'!AG814)</f>
        <v>0</v>
      </c>
      <c r="AD16" s="684">
        <f>IF(AD$4="forecast",IF(YEAR(AD$3)=YEAR(Headcount!$N$4),IF((AD$5=12),(SUMPRODUCT(--(Headcount!$F$6:$F$92="Development Operations"),--(Headcount!$H$6:$H$92&gt;='Dev Ops'!AD$3),Headcount!$N$6:$N$92,Headcount!$L$6:$L$92)),0),IF(YEAR(AD$3)=YEAR(Headcount!$O$4),IF((AD$5=12),(SUMPRODUCT(--(Headcount!$F$6:$F$92="Development Operations"),--(Headcount!$H$6:$H$92&gt;='Dev Ops'!AD$3),Headcount!$O$6:$O$92,Headcount!$L$6:$L$92)),0),IF(YEAR(AD$3)=YEAR(Headcount!$P$4),IF((AD$5=12),(SUMPRODUCT(--(Headcount!$F$6:$F$92="Development Operations"),--(Headcount!$H$6:$H$92&gt;='Dev Ops'!AD$3),Headcount!$P$6:$P$92,Headcount!$L$6:$L$92)),0),IF(YEAR(AD$3)=YEAR(Headcount!$Q$4),IF((AD$5=12),(SUMPRODUCT(--(Headcount!$F$6:$F$92="Development Operations"),--(Headcount!$H$6:$H$92&gt;='Dev Ops'!AD$3),Headcount!$Q$6:$Q$92,Headcount!$L$6:$L$92)),0),IF(YEAR(AD$3)=YEAR(Headcount!$R$4),IF((AD$5=12),(SUMPRODUCT(--(Headcount!$F$6:$F$92="Development Operations"),--(Headcount!$H$6:$H$92&gt;='Dev Ops'!AD$3),Headcount!$R$6:$R$92,Headcount!$L$6:$L$92)),0),"New Year"))))),'Dept. Cost Actuals'!AH814)</f>
        <v>0</v>
      </c>
      <c r="AE16" s="684">
        <f>IF(AE$4="forecast",IF(YEAR(AE$3)=YEAR(Headcount!$N$4),IF((AE$5=12),(SUMPRODUCT(--(Headcount!$F$6:$F$92="Development Operations"),--(Headcount!$H$6:$H$92&gt;='Dev Ops'!AE$3),Headcount!$N$6:$N$92,Headcount!$L$6:$L$92)),0),IF(YEAR(AE$3)=YEAR(Headcount!$O$4),IF((AE$5=12),(SUMPRODUCT(--(Headcount!$F$6:$F$92="Development Operations"),--(Headcount!$H$6:$H$92&gt;='Dev Ops'!AE$3),Headcount!$O$6:$O$92,Headcount!$L$6:$L$92)),0),IF(YEAR(AE$3)=YEAR(Headcount!$P$4),IF((AE$5=12),(SUMPRODUCT(--(Headcount!$F$6:$F$92="Development Operations"),--(Headcount!$H$6:$H$92&gt;='Dev Ops'!AE$3),Headcount!$P$6:$P$92,Headcount!$L$6:$L$92)),0),IF(YEAR(AE$3)=YEAR(Headcount!$Q$4),IF((AE$5=12),(SUMPRODUCT(--(Headcount!$F$6:$F$92="Development Operations"),--(Headcount!$H$6:$H$92&gt;='Dev Ops'!AE$3),Headcount!$Q$6:$Q$92,Headcount!$L$6:$L$92)),0),IF(YEAR(AE$3)=YEAR(Headcount!$R$4),IF((AE$5=12),(SUMPRODUCT(--(Headcount!$F$6:$F$92="Development Operations"),--(Headcount!$H$6:$H$92&gt;='Dev Ops'!AE$3),Headcount!$R$6:$R$92,Headcount!$L$6:$L$92)),0),"New Year"))))),'Dept. Cost Actuals'!AI814)</f>
        <v>0</v>
      </c>
      <c r="AF16" s="684">
        <f>IF(AF$4="forecast",IF(YEAR(AF$3)=YEAR(Headcount!$N$4),IF((AF$5=12),(SUMPRODUCT(--(Headcount!$F$6:$F$92="Development Operations"),--(Headcount!$H$6:$H$92&gt;='Dev Ops'!AF$3),Headcount!$N$6:$N$92,Headcount!$L$6:$L$92)),0),IF(YEAR(AF$3)=YEAR(Headcount!$O$4),IF((AF$5=12),(SUMPRODUCT(--(Headcount!$F$6:$F$92="Development Operations"),--(Headcount!$H$6:$H$92&gt;='Dev Ops'!AF$3),Headcount!$O$6:$O$92,Headcount!$L$6:$L$92)),0),IF(YEAR(AF$3)=YEAR(Headcount!$P$4),IF((AF$5=12),(SUMPRODUCT(--(Headcount!$F$6:$F$92="Development Operations"),--(Headcount!$H$6:$H$92&gt;='Dev Ops'!AF$3),Headcount!$P$6:$P$92,Headcount!$L$6:$L$92)),0),IF(YEAR(AF$3)=YEAR(Headcount!$Q$4),IF((AF$5=12),(SUMPRODUCT(--(Headcount!$F$6:$F$92="Development Operations"),--(Headcount!$H$6:$H$92&gt;='Dev Ops'!AF$3),Headcount!$Q$6:$Q$92,Headcount!$L$6:$L$92)),0),IF(YEAR(AF$3)=YEAR(Headcount!$R$4),IF((AF$5=12),(SUMPRODUCT(--(Headcount!$F$6:$F$92="Development Operations"),--(Headcount!$H$6:$H$92&gt;='Dev Ops'!AF$3),Headcount!$R$6:$R$92,Headcount!$L$6:$L$92)),0),"New Year"))))),'Dept. Cost Actuals'!AJ814)</f>
        <v>0</v>
      </c>
      <c r="AG16" s="684">
        <f>IF(AG$4="forecast",IF(YEAR(AG$3)=YEAR(Headcount!$N$4),IF((AG$5=12),(SUMPRODUCT(--(Headcount!$F$6:$F$92="Development Operations"),--(Headcount!$H$6:$H$92&gt;='Dev Ops'!AG$3),Headcount!$N$6:$N$92,Headcount!$L$6:$L$92)),0),IF(YEAR(AG$3)=YEAR(Headcount!$O$4),IF((AG$5=12),(SUMPRODUCT(--(Headcount!$F$6:$F$92="Development Operations"),--(Headcount!$H$6:$H$92&gt;='Dev Ops'!AG$3),Headcount!$O$6:$O$92,Headcount!$L$6:$L$92)),0),IF(YEAR(AG$3)=YEAR(Headcount!$P$4),IF((AG$5=12),(SUMPRODUCT(--(Headcount!$F$6:$F$92="Development Operations"),--(Headcount!$H$6:$H$92&gt;='Dev Ops'!AG$3),Headcount!$P$6:$P$92,Headcount!$L$6:$L$92)),0),IF(YEAR(AG$3)=YEAR(Headcount!$Q$4),IF((AG$5=12),(SUMPRODUCT(--(Headcount!$F$6:$F$92="Development Operations"),--(Headcount!$H$6:$H$92&gt;='Dev Ops'!AG$3),Headcount!$Q$6:$Q$92,Headcount!$L$6:$L$92)),0),IF(YEAR(AG$3)=YEAR(Headcount!$R$4),IF((AG$5=12),(SUMPRODUCT(--(Headcount!$F$6:$F$92="Development Operations"),--(Headcount!$H$6:$H$92&gt;='Dev Ops'!AG$3),Headcount!$R$6:$R$92,Headcount!$L$6:$L$92)),0),"New Year"))))),'Dept. Cost Actuals'!AK814)</f>
        <v>0</v>
      </c>
      <c r="AH16" s="684">
        <f>IF(AH$4="forecast",IF(YEAR(AH$3)=YEAR(Headcount!$N$4),IF((AH$5=12),(SUMPRODUCT(--(Headcount!$F$6:$F$92="Development Operations"),--(Headcount!$H$6:$H$92&gt;='Dev Ops'!AH$3),Headcount!$N$6:$N$92,Headcount!$L$6:$L$92)),0),IF(YEAR(AH$3)=YEAR(Headcount!$O$4),IF((AH$5=12),(SUMPRODUCT(--(Headcount!$F$6:$F$92="Development Operations"),--(Headcount!$H$6:$H$92&gt;='Dev Ops'!AH$3),Headcount!$O$6:$O$92,Headcount!$L$6:$L$92)),0),IF(YEAR(AH$3)=YEAR(Headcount!$P$4),IF((AH$5=12),(SUMPRODUCT(--(Headcount!$F$6:$F$92="Development Operations"),--(Headcount!$H$6:$H$92&gt;='Dev Ops'!AH$3),Headcount!$P$6:$P$92,Headcount!$L$6:$L$92)),0),IF(YEAR(AH$3)=YEAR(Headcount!$Q$4),IF((AH$5=12),(SUMPRODUCT(--(Headcount!$F$6:$F$92="Development Operations"),--(Headcount!$H$6:$H$92&gt;='Dev Ops'!AH$3),Headcount!$Q$6:$Q$92,Headcount!$L$6:$L$92)),0),IF(YEAR(AH$3)=YEAR(Headcount!$R$4),IF((AH$5=12),(SUMPRODUCT(--(Headcount!$F$6:$F$92="Development Operations"),--(Headcount!$H$6:$H$92&gt;='Dev Ops'!AH$3),Headcount!$R$6:$R$92,Headcount!$L$6:$L$92)),0),"New Year"))))),'Dept. Cost Actuals'!AL814)</f>
        <v>0</v>
      </c>
      <c r="AI16" s="684">
        <f>IF(AI$4="forecast",IF(YEAR(AI$3)=YEAR(Headcount!$N$4),IF((AI$5=12),(SUMPRODUCT(--(Headcount!$F$6:$F$92="Development Operations"),--(Headcount!$H$6:$H$92&gt;='Dev Ops'!AI$3),Headcount!$N$6:$N$92,Headcount!$L$6:$L$92)),0),IF(YEAR(AI$3)=YEAR(Headcount!$O$4),IF((AI$5=12),(SUMPRODUCT(--(Headcount!$F$6:$F$92="Development Operations"),--(Headcount!$H$6:$H$92&gt;='Dev Ops'!AI$3),Headcount!$O$6:$O$92,Headcount!$L$6:$L$92)),0),IF(YEAR(AI$3)=YEAR(Headcount!$P$4),IF((AI$5=12),(SUMPRODUCT(--(Headcount!$F$6:$F$92="Development Operations"),--(Headcount!$H$6:$H$92&gt;='Dev Ops'!AI$3),Headcount!$P$6:$P$92,Headcount!$L$6:$L$92)),0),IF(YEAR(AI$3)=YEAR(Headcount!$Q$4),IF((AI$5=12),(SUMPRODUCT(--(Headcount!$F$6:$F$92="Development Operations"),--(Headcount!$H$6:$H$92&gt;='Dev Ops'!AI$3),Headcount!$Q$6:$Q$92,Headcount!$L$6:$L$92)),0),IF(YEAR(AI$3)=YEAR(Headcount!$R$4),IF((AI$5=12),(SUMPRODUCT(--(Headcount!$F$6:$F$92="Development Operations"),--(Headcount!$H$6:$H$92&gt;='Dev Ops'!AI$3),Headcount!$R$6:$R$92,Headcount!$L$6:$L$92)),0),"New Year"))))),'Dept. Cost Actuals'!AM814)</f>
        <v>0</v>
      </c>
      <c r="AJ16" s="684">
        <f>IF(AJ$4="forecast",IF(YEAR(AJ$3)=YEAR(Headcount!$N$4),IF((AJ$5=12),(SUMPRODUCT(--(Headcount!$F$6:$F$92="Development Operations"),--(Headcount!$H$6:$H$92&gt;='Dev Ops'!AJ$3),Headcount!$N$6:$N$92,Headcount!$L$6:$L$92)),0),IF(YEAR(AJ$3)=YEAR(Headcount!$O$4),IF((AJ$5=12),(SUMPRODUCT(--(Headcount!$F$6:$F$92="Development Operations"),--(Headcount!$H$6:$H$92&gt;='Dev Ops'!AJ$3),Headcount!$O$6:$O$92,Headcount!$L$6:$L$92)),0),IF(YEAR(AJ$3)=YEAR(Headcount!$P$4),IF((AJ$5=12),(SUMPRODUCT(--(Headcount!$F$6:$F$92="Development Operations"),--(Headcount!$H$6:$H$92&gt;='Dev Ops'!AJ$3),Headcount!$P$6:$P$92,Headcount!$L$6:$L$92)),0),IF(YEAR(AJ$3)=YEAR(Headcount!$Q$4),IF((AJ$5=12),(SUMPRODUCT(--(Headcount!$F$6:$F$92="Development Operations"),--(Headcount!$H$6:$H$92&gt;='Dev Ops'!AJ$3),Headcount!$Q$6:$Q$92,Headcount!$L$6:$L$92)),0),IF(YEAR(AJ$3)=YEAR(Headcount!$R$4),IF((AJ$5=12),(SUMPRODUCT(--(Headcount!$F$6:$F$92="Development Operations"),--(Headcount!$H$6:$H$92&gt;='Dev Ops'!AJ$3),Headcount!$R$6:$R$92,Headcount!$L$6:$L$92)),0),"New Year"))))),'Dept. Cost Actuals'!AN814)</f>
        <v>0</v>
      </c>
      <c r="AK16" s="684">
        <f>IF(AK$4="forecast",IF(YEAR(AK$3)=YEAR(Headcount!$N$4),IF((AK$5=12),(SUMPRODUCT(--(Headcount!$F$6:$F$92="Development Operations"),--(Headcount!$H$6:$H$92&gt;='Dev Ops'!AK$3),Headcount!$N$6:$N$92,Headcount!$L$6:$L$92)),0),IF(YEAR(AK$3)=YEAR(Headcount!$O$4),IF((AK$5=12),(SUMPRODUCT(--(Headcount!$F$6:$F$92="Development Operations"),--(Headcount!$H$6:$H$92&gt;='Dev Ops'!AK$3),Headcount!$O$6:$O$92,Headcount!$L$6:$L$92)),0),IF(YEAR(AK$3)=YEAR(Headcount!$P$4),IF((AK$5=12),(SUMPRODUCT(--(Headcount!$F$6:$F$92="Development Operations"),--(Headcount!$H$6:$H$92&gt;='Dev Ops'!AK$3),Headcount!$P$6:$P$92,Headcount!$L$6:$L$92)),0),IF(YEAR(AK$3)=YEAR(Headcount!$Q$4),IF((AK$5=12),(SUMPRODUCT(--(Headcount!$F$6:$F$92="Development Operations"),--(Headcount!$H$6:$H$92&gt;='Dev Ops'!AK$3),Headcount!$Q$6:$Q$92,Headcount!$L$6:$L$92)),0),IF(YEAR(AK$3)=YEAR(Headcount!$R$4),IF((AK$5=12),(SUMPRODUCT(--(Headcount!$F$6:$F$92="Development Operations"),--(Headcount!$H$6:$H$92&gt;='Dev Ops'!AK$3),Headcount!$R$6:$R$92,Headcount!$L$6:$L$92)),0),"New Year"))))),'Dept. Cost Actuals'!AO814)</f>
        <v>0</v>
      </c>
      <c r="AL16" s="684">
        <f>IF(AL$4="forecast",IF(YEAR(AL$3)=YEAR(Headcount!$N$4),IF((AL$5=12),(SUMPRODUCT(--(Headcount!$F$6:$F$92="Development Operations"),--(Headcount!$H$6:$H$92&gt;='Dev Ops'!AL$3),Headcount!$N$6:$N$92,Headcount!$L$6:$L$92)),0),IF(YEAR(AL$3)=YEAR(Headcount!$O$4),IF((AL$5=12),(SUMPRODUCT(--(Headcount!$F$6:$F$92="Development Operations"),--(Headcount!$H$6:$H$92&gt;='Dev Ops'!AL$3),Headcount!$O$6:$O$92,Headcount!$L$6:$L$92)),0),IF(YEAR(AL$3)=YEAR(Headcount!$P$4),IF((AL$5=12),(SUMPRODUCT(--(Headcount!$F$6:$F$92="Development Operations"),--(Headcount!$H$6:$H$92&gt;='Dev Ops'!AL$3),Headcount!$P$6:$P$92,Headcount!$L$6:$L$92)),0),IF(YEAR(AL$3)=YEAR(Headcount!$Q$4),IF((AL$5=12),(SUMPRODUCT(--(Headcount!$F$6:$F$92="Development Operations"),--(Headcount!$H$6:$H$92&gt;='Dev Ops'!AL$3),Headcount!$Q$6:$Q$92,Headcount!$L$6:$L$92)),0),IF(YEAR(AL$3)=YEAR(Headcount!$R$4),IF((AL$5=12),(SUMPRODUCT(--(Headcount!$F$6:$F$92="Development Operations"),--(Headcount!$H$6:$H$92&gt;='Dev Ops'!AL$3),Headcount!$R$6:$R$92,Headcount!$L$6:$L$92)),0),"New Year"))))),'Dept. Cost Actuals'!AP814)</f>
        <v>193256.5</v>
      </c>
      <c r="AM16" s="684">
        <f>IF(AM$4="forecast",IF(YEAR(AM$3)=YEAR(Headcount!$N$4),IF((AM$5=12),(SUMPRODUCT(--(Headcount!$F$6:$F$92="Development Operations"),--(Headcount!$H$6:$H$92&gt;='Dev Ops'!AM$3),Headcount!$N$6:$N$92,Headcount!$L$6:$L$92)),0),IF(YEAR(AM$3)=YEAR(Headcount!$O$4),IF((AM$5=12),(SUMPRODUCT(--(Headcount!$F$6:$F$92="Development Operations"),--(Headcount!$H$6:$H$92&gt;='Dev Ops'!AM$3),Headcount!$O$6:$O$92,Headcount!$L$6:$L$92)),0),IF(YEAR(AM$3)=YEAR(Headcount!$P$4),IF((AM$5=12),(SUMPRODUCT(--(Headcount!$F$6:$F$92="Development Operations"),--(Headcount!$H$6:$H$92&gt;='Dev Ops'!AM$3),Headcount!$P$6:$P$92,Headcount!$L$6:$L$92)),0),IF(YEAR(AM$3)=YEAR(Headcount!$Q$4),IF((AM$5=12),(SUMPRODUCT(--(Headcount!$F$6:$F$92="Development Operations"),--(Headcount!$H$6:$H$92&gt;='Dev Ops'!AM$3),Headcount!$Q$6:$Q$92,Headcount!$L$6:$L$92)),0),IF(YEAR(AM$3)=YEAR(Headcount!$R$4),IF((AM$5=12),(SUMPRODUCT(--(Headcount!$F$6:$F$92="Development Operations"),--(Headcount!$H$6:$H$92&gt;='Dev Ops'!AM$3),Headcount!$R$6:$R$92,Headcount!$L$6:$L$92)),0),"New Year"))))),'Dept. Cost Actuals'!AQ814)</f>
        <v>0</v>
      </c>
      <c r="AN16" s="684">
        <f>IF(AN$4="forecast",IF(YEAR(AN$3)=YEAR(Headcount!$N$4),IF((AN$5=12),(SUMPRODUCT(--(Headcount!$F$6:$F$92="Development Operations"),--(Headcount!$H$6:$H$92&gt;='Dev Ops'!AN$3),Headcount!$N$6:$N$92,Headcount!$L$6:$L$92)),0),IF(YEAR(AN$3)=YEAR(Headcount!$O$4),IF((AN$5=12),(SUMPRODUCT(--(Headcount!$F$6:$F$92="Development Operations"),--(Headcount!$H$6:$H$92&gt;='Dev Ops'!AN$3),Headcount!$O$6:$O$92,Headcount!$L$6:$L$92)),0),IF(YEAR(AN$3)=YEAR(Headcount!$P$4),IF((AN$5=12),(SUMPRODUCT(--(Headcount!$F$6:$F$92="Development Operations"),--(Headcount!$H$6:$H$92&gt;='Dev Ops'!AN$3),Headcount!$P$6:$P$92,Headcount!$L$6:$L$92)),0),IF(YEAR(AN$3)=YEAR(Headcount!$Q$4),IF((AN$5=12),(SUMPRODUCT(--(Headcount!$F$6:$F$92="Development Operations"),--(Headcount!$H$6:$H$92&gt;='Dev Ops'!AN$3),Headcount!$Q$6:$Q$92,Headcount!$L$6:$L$92)),0),IF(YEAR(AN$3)=YEAR(Headcount!$R$4),IF((AN$5=12),(SUMPRODUCT(--(Headcount!$F$6:$F$92="Development Operations"),--(Headcount!$H$6:$H$92&gt;='Dev Ops'!AN$3),Headcount!$R$6:$R$92,Headcount!$L$6:$L$92)),0),"New Year"))))),'Dept. Cost Actuals'!AR814)</f>
        <v>0</v>
      </c>
      <c r="AO16" s="684">
        <f>IF(AO$4="forecast",IF(YEAR(AO$3)=YEAR(Headcount!$N$4),IF((AO$5=12),(SUMPRODUCT(--(Headcount!$F$6:$F$92="Development Operations"),--(Headcount!$H$6:$H$92&gt;='Dev Ops'!AO$3),Headcount!$N$6:$N$92,Headcount!$L$6:$L$92)),0),IF(YEAR(AO$3)=YEAR(Headcount!$O$4),IF((AO$5=12),(SUMPRODUCT(--(Headcount!$F$6:$F$92="Development Operations"),--(Headcount!$H$6:$H$92&gt;='Dev Ops'!AO$3),Headcount!$O$6:$O$92,Headcount!$L$6:$L$92)),0),IF(YEAR(AO$3)=YEAR(Headcount!$P$4),IF((AO$5=12),(SUMPRODUCT(--(Headcount!$F$6:$F$92="Development Operations"),--(Headcount!$H$6:$H$92&gt;='Dev Ops'!AO$3),Headcount!$P$6:$P$92,Headcount!$L$6:$L$92)),0),IF(YEAR(AO$3)=YEAR(Headcount!$Q$4),IF((AO$5=12),(SUMPRODUCT(--(Headcount!$F$6:$F$92="Development Operations"),--(Headcount!$H$6:$H$92&gt;='Dev Ops'!AO$3),Headcount!$Q$6:$Q$92,Headcount!$L$6:$L$92)),0),IF(YEAR(AO$3)=YEAR(Headcount!$R$4),IF((AO$5=12),(SUMPRODUCT(--(Headcount!$F$6:$F$92="Development Operations"),--(Headcount!$H$6:$H$92&gt;='Dev Ops'!AO$3),Headcount!$R$6:$R$92,Headcount!$L$6:$L$92)),0),"New Year"))))),'Dept. Cost Actuals'!AS814)</f>
        <v>0</v>
      </c>
      <c r="AP16" s="684">
        <f>IF(AP$4="forecast",IF(YEAR(AP$3)=YEAR(Headcount!$N$4),IF((AP$5=12),(SUMPRODUCT(--(Headcount!$F$6:$F$92="Development Operations"),--(Headcount!$H$6:$H$92&gt;='Dev Ops'!AP$3),Headcount!$N$6:$N$92,Headcount!$L$6:$L$92)),0),IF(YEAR(AP$3)=YEAR(Headcount!$O$4),IF((AP$5=12),(SUMPRODUCT(--(Headcount!$F$6:$F$92="Development Operations"),--(Headcount!$H$6:$H$92&gt;='Dev Ops'!AP$3),Headcount!$O$6:$O$92,Headcount!$L$6:$L$92)),0),IF(YEAR(AP$3)=YEAR(Headcount!$P$4),IF((AP$5=12),(SUMPRODUCT(--(Headcount!$F$6:$F$92="Development Operations"),--(Headcount!$H$6:$H$92&gt;='Dev Ops'!AP$3),Headcount!$P$6:$P$92,Headcount!$L$6:$L$92)),0),IF(YEAR(AP$3)=YEAR(Headcount!$Q$4),IF((AP$5=12),(SUMPRODUCT(--(Headcount!$F$6:$F$92="Development Operations"),--(Headcount!$H$6:$H$92&gt;='Dev Ops'!AP$3),Headcount!$Q$6:$Q$92,Headcount!$L$6:$L$92)),0),IF(YEAR(AP$3)=YEAR(Headcount!$R$4),IF((AP$5=12),(SUMPRODUCT(--(Headcount!$F$6:$F$92="Development Operations"),--(Headcount!$H$6:$H$92&gt;='Dev Ops'!AP$3),Headcount!$R$6:$R$92,Headcount!$L$6:$L$92)),0),"New Year"))))),'Dept. Cost Actuals'!AT814)</f>
        <v>0</v>
      </c>
      <c r="AQ16" s="684">
        <f>IF(AQ$4="forecast",IF(YEAR(AQ$3)=YEAR(Headcount!$N$4),IF((AQ$5=12),(SUMPRODUCT(--(Headcount!$F$6:$F$92="Development Operations"),--(Headcount!$H$6:$H$92&gt;='Dev Ops'!AQ$3),Headcount!$N$6:$N$92,Headcount!$L$6:$L$92)),0),IF(YEAR(AQ$3)=YEAR(Headcount!$O$4),IF((AQ$5=12),(SUMPRODUCT(--(Headcount!$F$6:$F$92="Development Operations"),--(Headcount!$H$6:$H$92&gt;='Dev Ops'!AQ$3),Headcount!$O$6:$O$92,Headcount!$L$6:$L$92)),0),IF(YEAR(AQ$3)=YEAR(Headcount!$P$4),IF((AQ$5=12),(SUMPRODUCT(--(Headcount!$F$6:$F$92="Development Operations"),--(Headcount!$H$6:$H$92&gt;='Dev Ops'!AQ$3),Headcount!$P$6:$P$92,Headcount!$L$6:$L$92)),0),IF(YEAR(AQ$3)=YEAR(Headcount!$Q$4),IF((AQ$5=12),(SUMPRODUCT(--(Headcount!$F$6:$F$92="Development Operations"),--(Headcount!$H$6:$H$92&gt;='Dev Ops'!AQ$3),Headcount!$Q$6:$Q$92,Headcount!$L$6:$L$92)),0),IF(YEAR(AQ$3)=YEAR(Headcount!$R$4),IF((AQ$5=12),(SUMPRODUCT(--(Headcount!$F$6:$F$92="Development Operations"),--(Headcount!$H$6:$H$92&gt;='Dev Ops'!AQ$3),Headcount!$R$6:$R$92,Headcount!$L$6:$L$92)),0),"New Year"))))),'Dept. Cost Actuals'!AU814)</f>
        <v>0</v>
      </c>
      <c r="AR16" s="684">
        <f>IF(AR$4="forecast",IF(YEAR(AR$3)=YEAR(Headcount!$N$4),IF((AR$5=12),(SUMPRODUCT(--(Headcount!$F$6:$F$92="Development Operations"),--(Headcount!$H$6:$H$92&gt;='Dev Ops'!AR$3),Headcount!$N$6:$N$92,Headcount!$L$6:$L$92)),0),IF(YEAR(AR$3)=YEAR(Headcount!$O$4),IF((AR$5=12),(SUMPRODUCT(--(Headcount!$F$6:$F$92="Development Operations"),--(Headcount!$H$6:$H$92&gt;='Dev Ops'!AR$3),Headcount!$O$6:$O$92,Headcount!$L$6:$L$92)),0),IF(YEAR(AR$3)=YEAR(Headcount!$P$4),IF((AR$5=12),(SUMPRODUCT(--(Headcount!$F$6:$F$92="Development Operations"),--(Headcount!$H$6:$H$92&gt;='Dev Ops'!AR$3),Headcount!$P$6:$P$92,Headcount!$L$6:$L$92)),0),IF(YEAR(AR$3)=YEAR(Headcount!$Q$4),IF((AR$5=12),(SUMPRODUCT(--(Headcount!$F$6:$F$92="Development Operations"),--(Headcount!$H$6:$H$92&gt;='Dev Ops'!AR$3),Headcount!$Q$6:$Q$92,Headcount!$L$6:$L$92)),0),IF(YEAR(AR$3)=YEAR(Headcount!$R$4),IF((AR$5=12),(SUMPRODUCT(--(Headcount!$F$6:$F$92="Development Operations"),--(Headcount!$H$6:$H$92&gt;='Dev Ops'!AR$3),Headcount!$R$6:$R$92,Headcount!$L$6:$L$92)),0),"New Year"))))),'Dept. Cost Actuals'!AV814)</f>
        <v>0</v>
      </c>
      <c r="AS16" s="684">
        <f>IF(AS$4="forecast",IF(YEAR(AS$3)=YEAR(Headcount!$N$4),IF((AS$5=12),(SUMPRODUCT(--(Headcount!$F$6:$F$92="Development Operations"),--(Headcount!$H$6:$H$92&gt;='Dev Ops'!AS$3),Headcount!$N$6:$N$92,Headcount!$L$6:$L$92)),0),IF(YEAR(AS$3)=YEAR(Headcount!$O$4),IF((AS$5=12),(SUMPRODUCT(--(Headcount!$F$6:$F$92="Development Operations"),--(Headcount!$H$6:$H$92&gt;='Dev Ops'!AS$3),Headcount!$O$6:$O$92,Headcount!$L$6:$L$92)),0),IF(YEAR(AS$3)=YEAR(Headcount!$P$4),IF((AS$5=12),(SUMPRODUCT(--(Headcount!$F$6:$F$92="Development Operations"),--(Headcount!$H$6:$H$92&gt;='Dev Ops'!AS$3),Headcount!$P$6:$P$92,Headcount!$L$6:$L$92)),0),IF(YEAR(AS$3)=YEAR(Headcount!$Q$4),IF((AS$5=12),(SUMPRODUCT(--(Headcount!$F$6:$F$92="Development Operations"),--(Headcount!$H$6:$H$92&gt;='Dev Ops'!AS$3),Headcount!$Q$6:$Q$92,Headcount!$L$6:$L$92)),0),IF(YEAR(AS$3)=YEAR(Headcount!$R$4),IF((AS$5=12),(SUMPRODUCT(--(Headcount!$F$6:$F$92="Development Operations"),--(Headcount!$H$6:$H$92&gt;='Dev Ops'!AS$3),Headcount!$R$6:$R$92,Headcount!$L$6:$L$92)),0),"New Year"))))),'Dept. Cost Actuals'!AW814)</f>
        <v>0</v>
      </c>
      <c r="AT16" s="684">
        <f>IF(AT$4="forecast",IF(YEAR(AT$3)=YEAR(Headcount!$N$4),IF((AT$5=12),(SUMPRODUCT(--(Headcount!$F$6:$F$92="Development Operations"),--(Headcount!$H$6:$H$92&gt;='Dev Ops'!AT$3),Headcount!$N$6:$N$92,Headcount!$L$6:$L$92)),0),IF(YEAR(AT$3)=YEAR(Headcount!$O$4),IF((AT$5=12),(SUMPRODUCT(--(Headcount!$F$6:$F$92="Development Operations"),--(Headcount!$H$6:$H$92&gt;='Dev Ops'!AT$3),Headcount!$O$6:$O$92,Headcount!$L$6:$L$92)),0),IF(YEAR(AT$3)=YEAR(Headcount!$P$4),IF((AT$5=12),(SUMPRODUCT(--(Headcount!$F$6:$F$92="Development Operations"),--(Headcount!$H$6:$H$92&gt;='Dev Ops'!AT$3),Headcount!$P$6:$P$92,Headcount!$L$6:$L$92)),0),IF(YEAR(AT$3)=YEAR(Headcount!$Q$4),IF((AT$5=12),(SUMPRODUCT(--(Headcount!$F$6:$F$92="Development Operations"),--(Headcount!$H$6:$H$92&gt;='Dev Ops'!AT$3),Headcount!$Q$6:$Q$92,Headcount!$L$6:$L$92)),0),IF(YEAR(AT$3)=YEAR(Headcount!$R$4),IF((AT$5=12),(SUMPRODUCT(--(Headcount!$F$6:$F$92="Development Operations"),--(Headcount!$H$6:$H$92&gt;='Dev Ops'!AT$3),Headcount!$R$6:$R$92,Headcount!$L$6:$L$92)),0),"New Year"))))),'Dept. Cost Actuals'!AX814)</f>
        <v>0</v>
      </c>
      <c r="AU16" s="684">
        <f>IF(AU$4="forecast",IF(YEAR(AU$3)=YEAR(Headcount!$N$4),IF((AU$5=12),(SUMPRODUCT(--(Headcount!$F$6:$F$92="Development Operations"),--(Headcount!$H$6:$H$92&gt;='Dev Ops'!AU$3),Headcount!$N$6:$N$92,Headcount!$L$6:$L$92)),0),IF(YEAR(AU$3)=YEAR(Headcount!$O$4),IF((AU$5=12),(SUMPRODUCT(--(Headcount!$F$6:$F$92="Development Operations"),--(Headcount!$H$6:$H$92&gt;='Dev Ops'!AU$3),Headcount!$O$6:$O$92,Headcount!$L$6:$L$92)),0),IF(YEAR(AU$3)=YEAR(Headcount!$P$4),IF((AU$5=12),(SUMPRODUCT(--(Headcount!$F$6:$F$92="Development Operations"),--(Headcount!$H$6:$H$92&gt;='Dev Ops'!AU$3),Headcount!$P$6:$P$92,Headcount!$L$6:$L$92)),0),IF(YEAR(AU$3)=YEAR(Headcount!$Q$4),IF((AU$5=12),(SUMPRODUCT(--(Headcount!$F$6:$F$92="Development Operations"),--(Headcount!$H$6:$H$92&gt;='Dev Ops'!AU$3),Headcount!$Q$6:$Q$92,Headcount!$L$6:$L$92)),0),IF(YEAR(AU$3)=YEAR(Headcount!$R$4),IF((AU$5=12),(SUMPRODUCT(--(Headcount!$F$6:$F$92="Development Operations"),--(Headcount!$H$6:$H$92&gt;='Dev Ops'!AU$3),Headcount!$R$6:$R$92,Headcount!$L$6:$L$92)),0),"New Year"))))),'Dept. Cost Actuals'!AY814)</f>
        <v>0</v>
      </c>
      <c r="AV16" s="684">
        <f>IF(AV$4="forecast",IF(YEAR(AV$3)=YEAR(Headcount!$N$4),IF((AV$5=12),(SUMPRODUCT(--(Headcount!$F$6:$F$92="Development Operations"),--(Headcount!$H$6:$H$92&gt;='Dev Ops'!AV$3),Headcount!$N$6:$N$92,Headcount!$L$6:$L$92)),0),IF(YEAR(AV$3)=YEAR(Headcount!$O$4),IF((AV$5=12),(SUMPRODUCT(--(Headcount!$F$6:$F$92="Development Operations"),--(Headcount!$H$6:$H$92&gt;='Dev Ops'!AV$3),Headcount!$O$6:$O$92,Headcount!$L$6:$L$92)),0),IF(YEAR(AV$3)=YEAR(Headcount!$P$4),IF((AV$5=12),(SUMPRODUCT(--(Headcount!$F$6:$F$92="Development Operations"),--(Headcount!$H$6:$H$92&gt;='Dev Ops'!AV$3),Headcount!$P$6:$P$92,Headcount!$L$6:$L$92)),0),IF(YEAR(AV$3)=YEAR(Headcount!$Q$4),IF((AV$5=12),(SUMPRODUCT(--(Headcount!$F$6:$F$92="Development Operations"),--(Headcount!$H$6:$H$92&gt;='Dev Ops'!AV$3),Headcount!$Q$6:$Q$92,Headcount!$L$6:$L$92)),0),IF(YEAR(AV$3)=YEAR(Headcount!$R$4),IF((AV$5=12),(SUMPRODUCT(--(Headcount!$F$6:$F$92="Development Operations"),--(Headcount!$H$6:$H$92&gt;='Dev Ops'!AV$3),Headcount!$R$6:$R$92,Headcount!$L$6:$L$92)),0),"New Year"))))),'Dept. Cost Actuals'!AZ814)</f>
        <v>0</v>
      </c>
      <c r="AW16" s="684">
        <f>IF(AW$4="forecast",IF(YEAR(AW$3)=YEAR(Headcount!$N$4),IF((AW$5=12),(SUMPRODUCT(--(Headcount!$F$6:$F$92="Development Operations"),--(Headcount!$H$6:$H$92&gt;='Dev Ops'!AW$3),Headcount!$N$6:$N$92,Headcount!$L$6:$L$92)),0),IF(YEAR(AW$3)=YEAR(Headcount!$O$4),IF((AW$5=12),(SUMPRODUCT(--(Headcount!$F$6:$F$92="Development Operations"),--(Headcount!$H$6:$H$92&gt;='Dev Ops'!AW$3),Headcount!$O$6:$O$92,Headcount!$L$6:$L$92)),0),IF(YEAR(AW$3)=YEAR(Headcount!$P$4),IF((AW$5=12),(SUMPRODUCT(--(Headcount!$F$6:$F$92="Development Operations"),--(Headcount!$H$6:$H$92&gt;='Dev Ops'!AW$3),Headcount!$P$6:$P$92,Headcount!$L$6:$L$92)),0),IF(YEAR(AW$3)=YEAR(Headcount!$Q$4),IF((AW$5=12),(SUMPRODUCT(--(Headcount!$F$6:$F$92="Development Operations"),--(Headcount!$H$6:$H$92&gt;='Dev Ops'!AW$3),Headcount!$Q$6:$Q$92,Headcount!$L$6:$L$92)),0),IF(YEAR(AW$3)=YEAR(Headcount!$R$4),IF((AW$5=12),(SUMPRODUCT(--(Headcount!$F$6:$F$92="Development Operations"),--(Headcount!$H$6:$H$92&gt;='Dev Ops'!AW$3),Headcount!$R$6:$R$92,Headcount!$L$6:$L$92)),0),"New Year"))))),'Dept. Cost Actuals'!BA814)</f>
        <v>0</v>
      </c>
      <c r="AX16" s="684">
        <f>IF(AX$4="forecast",IF(YEAR(AX$3)=YEAR(Headcount!$N$4),IF((AX$5=12),(SUMPRODUCT(--(Headcount!$F$6:$F$92="Development Operations"),--(Headcount!$H$6:$H$92&gt;='Dev Ops'!AX$3),Headcount!$N$6:$N$92,Headcount!$L$6:$L$92)),0),IF(YEAR(AX$3)=YEAR(Headcount!$O$4),IF((AX$5=12),(SUMPRODUCT(--(Headcount!$F$6:$F$92="Development Operations"),--(Headcount!$H$6:$H$92&gt;='Dev Ops'!AX$3),Headcount!$O$6:$O$92,Headcount!$L$6:$L$92)),0),IF(YEAR(AX$3)=YEAR(Headcount!$P$4),IF((AX$5=12),(SUMPRODUCT(--(Headcount!$F$6:$F$92="Development Operations"),--(Headcount!$H$6:$H$92&gt;='Dev Ops'!AX$3),Headcount!$P$6:$P$92,Headcount!$L$6:$L$92)),0),IF(YEAR(AX$3)=YEAR(Headcount!$Q$4),IF((AX$5=12),(SUMPRODUCT(--(Headcount!$F$6:$F$92="Development Operations"),--(Headcount!$H$6:$H$92&gt;='Dev Ops'!AX$3),Headcount!$Q$6:$Q$92,Headcount!$L$6:$L$92)),0),IF(YEAR(AX$3)=YEAR(Headcount!$R$4),IF((AX$5=12),(SUMPRODUCT(--(Headcount!$F$6:$F$92="Development Operations"),--(Headcount!$H$6:$H$92&gt;='Dev Ops'!AX$3),Headcount!$R$6:$R$92,Headcount!$L$6:$L$92)),0),"New Year"))))),'Dept. Cost Actuals'!BB814)</f>
        <v>226982.63500000004</v>
      </c>
      <c r="AY16" s="684">
        <f>IF(AY$4="forecast",IF(YEAR(AY$3)=YEAR(Headcount!$N$4),IF((AY$5=12),(SUMPRODUCT(--(Headcount!$F$6:$F$92="Development Operations"),--(Headcount!$H$6:$H$92&gt;='Dev Ops'!AY$3),Headcount!$N$6:$N$92,Headcount!$L$6:$L$92)),0),IF(YEAR(AY$3)=YEAR(Headcount!$O$4),IF((AY$5=12),(SUMPRODUCT(--(Headcount!$F$6:$F$92="Development Operations"),--(Headcount!$H$6:$H$92&gt;='Dev Ops'!AY$3),Headcount!$O$6:$O$92,Headcount!$L$6:$L$92)),0),IF(YEAR(AY$3)=YEAR(Headcount!$P$4),IF((AY$5=12),(SUMPRODUCT(--(Headcount!$F$6:$F$92="Development Operations"),--(Headcount!$H$6:$H$92&gt;='Dev Ops'!AY$3),Headcount!$P$6:$P$92,Headcount!$L$6:$L$92)),0),IF(YEAR(AY$3)=YEAR(Headcount!$Q$4),IF((AY$5=12),(SUMPRODUCT(--(Headcount!$F$6:$F$92="Development Operations"),--(Headcount!$H$6:$H$92&gt;='Dev Ops'!AY$3),Headcount!$Q$6:$Q$92,Headcount!$L$6:$L$92)),0),IF(YEAR(AY$3)=YEAR(Headcount!$R$4),IF((AY$5=12),(SUMPRODUCT(--(Headcount!$F$6:$F$92="Development Operations"),--(Headcount!$H$6:$H$92&gt;='Dev Ops'!AY$3),Headcount!$R$6:$R$92,Headcount!$L$6:$L$92)),0),"New Year"))))),'Dept. Cost Actuals'!BC814)</f>
        <v>0</v>
      </c>
      <c r="AZ16" s="684">
        <f>IF(AZ$4="forecast",IF(YEAR(AZ$3)=YEAR(Headcount!$N$4),IF((AZ$5=12),(SUMPRODUCT(--(Headcount!$F$6:$F$92="Development Operations"),--(Headcount!$H$6:$H$92&gt;='Dev Ops'!AZ$3),Headcount!$N$6:$N$92,Headcount!$L$6:$L$92)),0),IF(YEAR(AZ$3)=YEAR(Headcount!$O$4),IF((AZ$5=12),(SUMPRODUCT(--(Headcount!$F$6:$F$92="Development Operations"),--(Headcount!$H$6:$H$92&gt;='Dev Ops'!AZ$3),Headcount!$O$6:$O$92,Headcount!$L$6:$L$92)),0),IF(YEAR(AZ$3)=YEAR(Headcount!$P$4),IF((AZ$5=12),(SUMPRODUCT(--(Headcount!$F$6:$F$92="Development Operations"),--(Headcount!$H$6:$H$92&gt;='Dev Ops'!AZ$3),Headcount!$P$6:$P$92,Headcount!$L$6:$L$92)),0),IF(YEAR(AZ$3)=YEAR(Headcount!$Q$4),IF((AZ$5=12),(SUMPRODUCT(--(Headcount!$F$6:$F$92="Development Operations"),--(Headcount!$H$6:$H$92&gt;='Dev Ops'!AZ$3),Headcount!$Q$6:$Q$92,Headcount!$L$6:$L$92)),0),IF(YEAR(AZ$3)=YEAR(Headcount!$R$4),IF((AZ$5=12),(SUMPRODUCT(--(Headcount!$F$6:$F$92="Development Operations"),--(Headcount!$H$6:$H$92&gt;='Dev Ops'!AZ$3),Headcount!$R$6:$R$92,Headcount!$L$6:$L$92)),0),"New Year"))))),'Dept. Cost Actuals'!BD814)</f>
        <v>0</v>
      </c>
      <c r="BA16" s="684">
        <f>IF(BA$4="forecast",IF(YEAR(BA$3)=YEAR(Headcount!$N$4),IF((BA$5=12),(SUMPRODUCT(--(Headcount!$F$6:$F$92="Development Operations"),--(Headcount!$H$6:$H$92&gt;='Dev Ops'!BA$3),Headcount!$N$6:$N$92,Headcount!$L$6:$L$92)),0),IF(YEAR(BA$3)=YEAR(Headcount!$O$4),IF((BA$5=12),(SUMPRODUCT(--(Headcount!$F$6:$F$92="Development Operations"),--(Headcount!$H$6:$H$92&gt;='Dev Ops'!BA$3),Headcount!$O$6:$O$92,Headcount!$L$6:$L$92)),0),IF(YEAR(BA$3)=YEAR(Headcount!$P$4),IF((BA$5=12),(SUMPRODUCT(--(Headcount!$F$6:$F$92="Development Operations"),--(Headcount!$H$6:$H$92&gt;='Dev Ops'!BA$3),Headcount!$P$6:$P$92,Headcount!$L$6:$L$92)),0),IF(YEAR(BA$3)=YEAR(Headcount!$Q$4),IF((BA$5=12),(SUMPRODUCT(--(Headcount!$F$6:$F$92="Development Operations"),--(Headcount!$H$6:$H$92&gt;='Dev Ops'!BA$3),Headcount!$Q$6:$Q$92,Headcount!$L$6:$L$92)),0),IF(YEAR(BA$3)=YEAR(Headcount!$R$4),IF((BA$5=12),(SUMPRODUCT(--(Headcount!$F$6:$F$92="Development Operations"),--(Headcount!$H$6:$H$92&gt;='Dev Ops'!BA$3),Headcount!$R$6:$R$92,Headcount!$L$6:$L$92)),0),"New Year"))))),'Dept. Cost Actuals'!BE814)</f>
        <v>0</v>
      </c>
      <c r="BB16" s="684">
        <f>IF(BB$4="forecast",IF(YEAR(BB$3)=YEAR(Headcount!$N$4),IF((BB$5=12),(SUMPRODUCT(--(Headcount!$F$6:$F$92="Development Operations"),--(Headcount!$H$6:$H$92&gt;='Dev Ops'!BB$3),Headcount!$N$6:$N$92,Headcount!$L$6:$L$92)),0),IF(YEAR(BB$3)=YEAR(Headcount!$O$4),IF((BB$5=12),(SUMPRODUCT(--(Headcount!$F$6:$F$92="Development Operations"),--(Headcount!$H$6:$H$92&gt;='Dev Ops'!BB$3),Headcount!$O$6:$O$92,Headcount!$L$6:$L$92)),0),IF(YEAR(BB$3)=YEAR(Headcount!$P$4),IF((BB$5=12),(SUMPRODUCT(--(Headcount!$F$6:$F$92="Development Operations"),--(Headcount!$H$6:$H$92&gt;='Dev Ops'!BB$3),Headcount!$P$6:$P$92,Headcount!$L$6:$L$92)),0),IF(YEAR(BB$3)=YEAR(Headcount!$Q$4),IF((BB$5=12),(SUMPRODUCT(--(Headcount!$F$6:$F$92="Development Operations"),--(Headcount!$H$6:$H$92&gt;='Dev Ops'!BB$3),Headcount!$Q$6:$Q$92,Headcount!$L$6:$L$92)),0),IF(YEAR(BB$3)=YEAR(Headcount!$R$4),IF((BB$5=12),(SUMPRODUCT(--(Headcount!$F$6:$F$92="Development Operations"),--(Headcount!$H$6:$H$92&gt;='Dev Ops'!BB$3),Headcount!$R$6:$R$92,Headcount!$L$6:$L$92)),0),"New Year"))))),'Dept. Cost Actuals'!BF814)</f>
        <v>0</v>
      </c>
      <c r="BC16" s="684">
        <f>IF(BC$4="forecast",IF(YEAR(BC$3)=YEAR(Headcount!$N$4),IF((BC$5=12),(SUMPRODUCT(--(Headcount!$F$6:$F$92="Development Operations"),--(Headcount!$H$6:$H$92&gt;='Dev Ops'!BC$3),Headcount!$N$6:$N$92,Headcount!$L$6:$L$92)),0),IF(YEAR(BC$3)=YEAR(Headcount!$O$4),IF((BC$5=12),(SUMPRODUCT(--(Headcount!$F$6:$F$92="Development Operations"),--(Headcount!$H$6:$H$92&gt;='Dev Ops'!BC$3),Headcount!$O$6:$O$92,Headcount!$L$6:$L$92)),0),IF(YEAR(BC$3)=YEAR(Headcount!$P$4),IF((BC$5=12),(SUMPRODUCT(--(Headcount!$F$6:$F$92="Development Operations"),--(Headcount!$H$6:$H$92&gt;='Dev Ops'!BC$3),Headcount!$P$6:$P$92,Headcount!$L$6:$L$92)),0),IF(YEAR(BC$3)=YEAR(Headcount!$Q$4),IF((BC$5=12),(SUMPRODUCT(--(Headcount!$F$6:$F$92="Development Operations"),--(Headcount!$H$6:$H$92&gt;='Dev Ops'!BC$3),Headcount!$Q$6:$Q$92,Headcount!$L$6:$L$92)),0),IF(YEAR(BC$3)=YEAR(Headcount!$R$4),IF((BC$5=12),(SUMPRODUCT(--(Headcount!$F$6:$F$92="Development Operations"),--(Headcount!$H$6:$H$92&gt;='Dev Ops'!BC$3),Headcount!$R$6:$R$92,Headcount!$L$6:$L$92)),0),"New Year"))))),'Dept. Cost Actuals'!BG814)</f>
        <v>0</v>
      </c>
      <c r="BD16" s="684">
        <f>IF(BD$4="forecast",IF(YEAR(BD$3)=YEAR(Headcount!$N$4),IF((BD$5=12),(SUMPRODUCT(--(Headcount!$F$6:$F$92="Development Operations"),--(Headcount!$H$6:$H$92&gt;='Dev Ops'!BD$3),Headcount!$N$6:$N$92,Headcount!$L$6:$L$92)),0),IF(YEAR(BD$3)=YEAR(Headcount!$O$4),IF((BD$5=12),(SUMPRODUCT(--(Headcount!$F$6:$F$92="Development Operations"),--(Headcount!$H$6:$H$92&gt;='Dev Ops'!BD$3),Headcount!$O$6:$O$92,Headcount!$L$6:$L$92)),0),IF(YEAR(BD$3)=YEAR(Headcount!$P$4),IF((BD$5=12),(SUMPRODUCT(--(Headcount!$F$6:$F$92="Development Operations"),--(Headcount!$H$6:$H$92&gt;='Dev Ops'!BD$3),Headcount!$P$6:$P$92,Headcount!$L$6:$L$92)),0),IF(YEAR(BD$3)=YEAR(Headcount!$Q$4),IF((BD$5=12),(SUMPRODUCT(--(Headcount!$F$6:$F$92="Development Operations"),--(Headcount!$H$6:$H$92&gt;='Dev Ops'!BD$3),Headcount!$Q$6:$Q$92,Headcount!$L$6:$L$92)),0),IF(YEAR(BD$3)=YEAR(Headcount!$R$4),IF((BD$5=12),(SUMPRODUCT(--(Headcount!$F$6:$F$92="Development Operations"),--(Headcount!$H$6:$H$92&gt;='Dev Ops'!BD$3),Headcount!$R$6:$R$92,Headcount!$L$6:$L$92)),0),"New Year"))))),'Dept. Cost Actuals'!BH814)</f>
        <v>0</v>
      </c>
      <c r="BE16" s="684">
        <f>IF(BE$4="forecast",IF(YEAR(BE$3)=YEAR(Headcount!$N$4),IF((BE$5=12),(SUMPRODUCT(--(Headcount!$F$6:$F$92="Development Operations"),--(Headcount!$H$6:$H$92&gt;='Dev Ops'!BE$3),Headcount!$N$6:$N$92,Headcount!$L$6:$L$92)),0),IF(YEAR(BE$3)=YEAR(Headcount!$O$4),IF((BE$5=12),(SUMPRODUCT(--(Headcount!$F$6:$F$92="Development Operations"),--(Headcount!$H$6:$H$92&gt;='Dev Ops'!BE$3),Headcount!$O$6:$O$92,Headcount!$L$6:$L$92)),0),IF(YEAR(BE$3)=YEAR(Headcount!$P$4),IF((BE$5=12),(SUMPRODUCT(--(Headcount!$F$6:$F$92="Development Operations"),--(Headcount!$H$6:$H$92&gt;='Dev Ops'!BE$3),Headcount!$P$6:$P$92,Headcount!$L$6:$L$92)),0),IF(YEAR(BE$3)=YEAR(Headcount!$Q$4),IF((BE$5=12),(SUMPRODUCT(--(Headcount!$F$6:$F$92="Development Operations"),--(Headcount!$H$6:$H$92&gt;='Dev Ops'!BE$3),Headcount!$Q$6:$Q$92,Headcount!$L$6:$L$92)),0),IF(YEAR(BE$3)=YEAR(Headcount!$R$4),IF((BE$5=12),(SUMPRODUCT(--(Headcount!$F$6:$F$92="Development Operations"),--(Headcount!$H$6:$H$92&gt;='Dev Ops'!BE$3),Headcount!$R$6:$R$92,Headcount!$L$6:$L$92)),0),"New Year"))))),'Dept. Cost Actuals'!BI814)</f>
        <v>0</v>
      </c>
      <c r="BF16" s="684">
        <f>IF(BF$4="forecast",IF(YEAR(BF$3)=YEAR(Headcount!$N$4),IF((BF$5=12),(SUMPRODUCT(--(Headcount!$F$6:$F$92="Development Operations"),--(Headcount!$H$6:$H$92&gt;='Dev Ops'!BF$3),Headcount!$N$6:$N$92,Headcount!$L$6:$L$92)),0),IF(YEAR(BF$3)=YEAR(Headcount!$O$4),IF((BF$5=12),(SUMPRODUCT(--(Headcount!$F$6:$F$92="Development Operations"),--(Headcount!$H$6:$H$92&gt;='Dev Ops'!BF$3),Headcount!$O$6:$O$92,Headcount!$L$6:$L$92)),0),IF(YEAR(BF$3)=YEAR(Headcount!$P$4),IF((BF$5=12),(SUMPRODUCT(--(Headcount!$F$6:$F$92="Development Operations"),--(Headcount!$H$6:$H$92&gt;='Dev Ops'!BF$3),Headcount!$P$6:$P$92,Headcount!$L$6:$L$92)),0),IF(YEAR(BF$3)=YEAR(Headcount!$Q$4),IF((BF$5=12),(SUMPRODUCT(--(Headcount!$F$6:$F$92="Development Operations"),--(Headcount!$H$6:$H$92&gt;='Dev Ops'!BF$3),Headcount!$Q$6:$Q$92,Headcount!$L$6:$L$92)),0),IF(YEAR(BF$3)=YEAR(Headcount!$R$4),IF((BF$5=12),(SUMPRODUCT(--(Headcount!$F$6:$F$92="Development Operations"),--(Headcount!$H$6:$H$92&gt;='Dev Ops'!BF$3),Headcount!$R$6:$R$92,Headcount!$L$6:$L$92)),0),"New Year"))))),'Dept. Cost Actuals'!BJ814)</f>
        <v>0</v>
      </c>
      <c r="BG16" s="684">
        <f>IF(BG$4="forecast",IF(YEAR(BG$3)=YEAR(Headcount!$N$4),IF((BG$5=12),(SUMPRODUCT(--(Headcount!$F$6:$F$92="Development Operations"),--(Headcount!$H$6:$H$92&gt;='Dev Ops'!BG$3),Headcount!$N$6:$N$92,Headcount!$L$6:$L$92)),0),IF(YEAR(BG$3)=YEAR(Headcount!$O$4),IF((BG$5=12),(SUMPRODUCT(--(Headcount!$F$6:$F$92="Development Operations"),--(Headcount!$H$6:$H$92&gt;='Dev Ops'!BG$3),Headcount!$O$6:$O$92,Headcount!$L$6:$L$92)),0),IF(YEAR(BG$3)=YEAR(Headcount!$P$4),IF((BG$5=12),(SUMPRODUCT(--(Headcount!$F$6:$F$92="Development Operations"),--(Headcount!$H$6:$H$92&gt;='Dev Ops'!BG$3),Headcount!$P$6:$P$92,Headcount!$L$6:$L$92)),0),IF(YEAR(BG$3)=YEAR(Headcount!$Q$4),IF((BG$5=12),(SUMPRODUCT(--(Headcount!$F$6:$F$92="Development Operations"),--(Headcount!$H$6:$H$92&gt;='Dev Ops'!BG$3),Headcount!$Q$6:$Q$92,Headcount!$L$6:$L$92)),0),IF(YEAR(BG$3)=YEAR(Headcount!$R$4),IF((BG$5=12),(SUMPRODUCT(--(Headcount!$F$6:$F$92="Development Operations"),--(Headcount!$H$6:$H$92&gt;='Dev Ops'!BG$3),Headcount!$R$6:$R$92,Headcount!$L$6:$L$92)),0),"New Year"))))),'Dept. Cost Actuals'!BK814)</f>
        <v>0</v>
      </c>
      <c r="BH16" s="684">
        <f>IF(BH$4="forecast",IF(YEAR(BH$3)=YEAR(Headcount!$N$4),IF((BH$5=12),(SUMPRODUCT(--(Headcount!$F$6:$F$92="Development Operations"),--(Headcount!$H$6:$H$92&gt;='Dev Ops'!BH$3),Headcount!$N$6:$N$92,Headcount!$L$6:$L$92)),0),IF(YEAR(BH$3)=YEAR(Headcount!$O$4),IF((BH$5=12),(SUMPRODUCT(--(Headcount!$F$6:$F$92="Development Operations"),--(Headcount!$H$6:$H$92&gt;='Dev Ops'!BH$3),Headcount!$O$6:$O$92,Headcount!$L$6:$L$92)),0),IF(YEAR(BH$3)=YEAR(Headcount!$P$4),IF((BH$5=12),(SUMPRODUCT(--(Headcount!$F$6:$F$92="Development Operations"),--(Headcount!$H$6:$H$92&gt;='Dev Ops'!BH$3),Headcount!$P$6:$P$92,Headcount!$L$6:$L$92)),0),IF(YEAR(BH$3)=YEAR(Headcount!$Q$4),IF((BH$5=12),(SUMPRODUCT(--(Headcount!$F$6:$F$92="Development Operations"),--(Headcount!$H$6:$H$92&gt;='Dev Ops'!BH$3),Headcount!$Q$6:$Q$92,Headcount!$L$6:$L$92)),0),IF(YEAR(BH$3)=YEAR(Headcount!$R$4),IF((BH$5=12),(SUMPRODUCT(--(Headcount!$F$6:$F$92="Development Operations"),--(Headcount!$H$6:$H$92&gt;='Dev Ops'!BH$3),Headcount!$R$6:$R$92,Headcount!$L$6:$L$92)),0),"New Year"))))),'Dept. Cost Actuals'!BL814)</f>
        <v>0</v>
      </c>
      <c r="BI16" s="684">
        <f>IF(BI$4="forecast",IF(YEAR(BI$3)=YEAR(Headcount!$N$4),IF((BI$5=12),(SUMPRODUCT(--(Headcount!$F$6:$F$92="Development Operations"),--(Headcount!$H$6:$H$92&gt;='Dev Ops'!BI$3),Headcount!$N$6:$N$92,Headcount!$L$6:$L$92)),0),IF(YEAR(BI$3)=YEAR(Headcount!$O$4),IF((BI$5=12),(SUMPRODUCT(--(Headcount!$F$6:$F$92="Development Operations"),--(Headcount!$H$6:$H$92&gt;='Dev Ops'!BI$3),Headcount!$O$6:$O$92,Headcount!$L$6:$L$92)),0),IF(YEAR(BI$3)=YEAR(Headcount!$P$4),IF((BI$5=12),(SUMPRODUCT(--(Headcount!$F$6:$F$92="Development Operations"),--(Headcount!$H$6:$H$92&gt;='Dev Ops'!BI$3),Headcount!$P$6:$P$92,Headcount!$L$6:$L$92)),0),IF(YEAR(BI$3)=YEAR(Headcount!$Q$4),IF((BI$5=12),(SUMPRODUCT(--(Headcount!$F$6:$F$92="Development Operations"),--(Headcount!$H$6:$H$92&gt;='Dev Ops'!BI$3),Headcount!$Q$6:$Q$92,Headcount!$L$6:$L$92)),0),IF(YEAR(BI$3)=YEAR(Headcount!$R$4),IF((BI$5=12),(SUMPRODUCT(--(Headcount!$F$6:$F$92="Development Operations"),--(Headcount!$H$6:$H$92&gt;='Dev Ops'!BI$3),Headcount!$R$6:$R$92,Headcount!$L$6:$L$92)),0),"New Year"))))),'Dept. Cost Actuals'!BM814)</f>
        <v>0</v>
      </c>
      <c r="BJ16" s="684">
        <f>IF(BJ$4="forecast",IF(YEAR(BJ$3)=YEAR(Headcount!$N$4),IF((BJ$5=12),(SUMPRODUCT(--(Headcount!$F$6:$F$92="Development Operations"),--(Headcount!$H$6:$H$92&gt;='Dev Ops'!BJ$3),Headcount!$N$6:$N$92,Headcount!$L$6:$L$92)),0),IF(YEAR(BJ$3)=YEAR(Headcount!$O$4),IF((BJ$5=12),(SUMPRODUCT(--(Headcount!$F$6:$F$92="Development Operations"),--(Headcount!$H$6:$H$92&gt;='Dev Ops'!BJ$3),Headcount!$O$6:$O$92,Headcount!$L$6:$L$92)),0),IF(YEAR(BJ$3)=YEAR(Headcount!$P$4),IF((BJ$5=12),(SUMPRODUCT(--(Headcount!$F$6:$F$92="Development Operations"),--(Headcount!$H$6:$H$92&gt;='Dev Ops'!BJ$3),Headcount!$P$6:$P$92,Headcount!$L$6:$L$92)),0),IF(YEAR(BJ$3)=YEAR(Headcount!$Q$4),IF((BJ$5=12),(SUMPRODUCT(--(Headcount!$F$6:$F$92="Development Operations"),--(Headcount!$H$6:$H$92&gt;='Dev Ops'!BJ$3),Headcount!$Q$6:$Q$92,Headcount!$L$6:$L$92)),0),IF(YEAR(BJ$3)=YEAR(Headcount!$R$4),IF((BJ$5=12),(SUMPRODUCT(--(Headcount!$F$6:$F$92="Development Operations"),--(Headcount!$H$6:$H$92&gt;='Dev Ops'!BJ$3),Headcount!$R$6:$R$92,Headcount!$L$6:$L$92)),0),"New Year"))))),'Dept. Cost Actuals'!BN814)</f>
        <v>233792.11404999995</v>
      </c>
      <c r="BK16" s="684">
        <f>IF(BK$4="forecast",IF(YEAR(BK$3)=YEAR(Headcount!$N$4),IF((BK$5=12),(SUMPRODUCT(--(Headcount!$F$6:$F$92="Development Operations"),--(Headcount!$H$6:$H$92&gt;='Dev Ops'!BK$3),Headcount!$N$6:$N$92,Headcount!$L$6:$L$92)),0),IF(YEAR(BK$3)=YEAR(Headcount!$O$4),IF((BK$5=12),(SUMPRODUCT(--(Headcount!$F$6:$F$92="Development Operations"),--(Headcount!$H$6:$H$92&gt;='Dev Ops'!BK$3),Headcount!$O$6:$O$92,Headcount!$L$6:$L$92)),0),IF(YEAR(BK$3)=YEAR(Headcount!$P$4),IF((BK$5=12),(SUMPRODUCT(--(Headcount!$F$6:$F$92="Development Operations"),--(Headcount!$H$6:$H$92&gt;='Dev Ops'!BK$3),Headcount!$P$6:$P$92,Headcount!$L$6:$L$92)),0),IF(YEAR(BK$3)=YEAR(Headcount!$Q$4),IF((BK$5=12),(SUMPRODUCT(--(Headcount!$F$6:$F$92="Development Operations"),--(Headcount!$H$6:$H$92&gt;='Dev Ops'!BK$3),Headcount!$Q$6:$Q$92,Headcount!$L$6:$L$92)),0),IF(YEAR(BK$3)=YEAR(Headcount!$R$4),IF((BK$5=12),(SUMPRODUCT(--(Headcount!$F$6:$F$92="Development Operations"),--(Headcount!$H$6:$H$92&gt;='Dev Ops'!BK$3),Headcount!$R$6:$R$92,Headcount!$L$6:$L$92)),0),"New Year"))))),'Dept. Cost Actuals'!BO814)</f>
        <v>0</v>
      </c>
      <c r="BL16" s="684">
        <f>IF(BL$4="forecast",IF(YEAR(BL$3)=YEAR(Headcount!$N$4),IF((BL$5=12),(SUMPRODUCT(--(Headcount!$F$6:$F$92="Development Operations"),--(Headcount!$H$6:$H$92&gt;='Dev Ops'!BL$3),Headcount!$N$6:$N$92,Headcount!$L$6:$L$92)),0),IF(YEAR(BL$3)=YEAR(Headcount!$O$4),IF((BL$5=12),(SUMPRODUCT(--(Headcount!$F$6:$F$92="Development Operations"),--(Headcount!$H$6:$H$92&gt;='Dev Ops'!BL$3),Headcount!$O$6:$O$92,Headcount!$L$6:$L$92)),0),IF(YEAR(BL$3)=YEAR(Headcount!$P$4),IF((BL$5=12),(SUMPRODUCT(--(Headcount!$F$6:$F$92="Development Operations"),--(Headcount!$H$6:$H$92&gt;='Dev Ops'!BL$3),Headcount!$P$6:$P$92,Headcount!$L$6:$L$92)),0),IF(YEAR(BL$3)=YEAR(Headcount!$Q$4),IF((BL$5=12),(SUMPRODUCT(--(Headcount!$F$6:$F$92="Development Operations"),--(Headcount!$H$6:$H$92&gt;='Dev Ops'!BL$3),Headcount!$Q$6:$Q$92,Headcount!$L$6:$L$92)),0),IF(YEAR(BL$3)=YEAR(Headcount!$R$4),IF((BL$5=12),(SUMPRODUCT(--(Headcount!$F$6:$F$92="Development Operations"),--(Headcount!$H$6:$H$92&gt;='Dev Ops'!BL$3),Headcount!$R$6:$R$92,Headcount!$L$6:$L$92)),0),"New Year"))))),'Dept. Cost Actuals'!BP814)</f>
        <v>0</v>
      </c>
      <c r="BM16" s="684">
        <f>IF(BM$4="forecast",IF(YEAR(BM$3)=YEAR(Headcount!$N$4),IF((BM$5=12),(SUMPRODUCT(--(Headcount!$F$6:$F$92="Development Operations"),--(Headcount!$H$6:$H$92&gt;='Dev Ops'!BM$3),Headcount!$N$6:$N$92,Headcount!$L$6:$L$92)),0),IF(YEAR(BM$3)=YEAR(Headcount!$O$4),IF((BM$5=12),(SUMPRODUCT(--(Headcount!$F$6:$F$92="Development Operations"),--(Headcount!$H$6:$H$92&gt;='Dev Ops'!BM$3),Headcount!$O$6:$O$92,Headcount!$L$6:$L$92)),0),IF(YEAR(BM$3)=YEAR(Headcount!$P$4),IF((BM$5=12),(SUMPRODUCT(--(Headcount!$F$6:$F$92="Development Operations"),--(Headcount!$H$6:$H$92&gt;='Dev Ops'!BM$3),Headcount!$P$6:$P$92,Headcount!$L$6:$L$92)),0),IF(YEAR(BM$3)=YEAR(Headcount!$Q$4),IF((BM$5=12),(SUMPRODUCT(--(Headcount!$F$6:$F$92="Development Operations"),--(Headcount!$H$6:$H$92&gt;='Dev Ops'!BM$3),Headcount!$Q$6:$Q$92,Headcount!$L$6:$L$92)),0),IF(YEAR(BM$3)=YEAR(Headcount!$R$4),IF((BM$5=12),(SUMPRODUCT(--(Headcount!$F$6:$F$92="Development Operations"),--(Headcount!$H$6:$H$92&gt;='Dev Ops'!BM$3),Headcount!$R$6:$R$92,Headcount!$L$6:$L$92)),0),"New Year"))))),'Dept. Cost Actuals'!BQ814)</f>
        <v>0</v>
      </c>
      <c r="BN16" s="684">
        <f>IF(BN$4="forecast",IF(YEAR(BN$3)=YEAR(Headcount!$N$4),IF((BN$5=12),(SUMPRODUCT(--(Headcount!$F$6:$F$92="Development Operations"),--(Headcount!$H$6:$H$92&gt;='Dev Ops'!BN$3),Headcount!$N$6:$N$92,Headcount!$L$6:$L$92)),0),IF(YEAR(BN$3)=YEAR(Headcount!$O$4),IF((BN$5=12),(SUMPRODUCT(--(Headcount!$F$6:$F$92="Development Operations"),--(Headcount!$H$6:$H$92&gt;='Dev Ops'!BN$3),Headcount!$O$6:$O$92,Headcount!$L$6:$L$92)),0),IF(YEAR(BN$3)=YEAR(Headcount!$P$4),IF((BN$5=12),(SUMPRODUCT(--(Headcount!$F$6:$F$92="Development Operations"),--(Headcount!$H$6:$H$92&gt;='Dev Ops'!BN$3),Headcount!$P$6:$P$92,Headcount!$L$6:$L$92)),0),IF(YEAR(BN$3)=YEAR(Headcount!$Q$4),IF((BN$5=12),(SUMPRODUCT(--(Headcount!$F$6:$F$92="Development Operations"),--(Headcount!$H$6:$H$92&gt;='Dev Ops'!BN$3),Headcount!$Q$6:$Q$92,Headcount!$L$6:$L$92)),0),IF(YEAR(BN$3)=YEAR(Headcount!$R$4),IF((BN$5=12),(SUMPRODUCT(--(Headcount!$F$6:$F$92="Development Operations"),--(Headcount!$H$6:$H$92&gt;='Dev Ops'!BN$3),Headcount!$R$6:$R$92,Headcount!$L$6:$L$92)),0),"New Year"))))),'Dept. Cost Actuals'!BR814)</f>
        <v>0</v>
      </c>
      <c r="BO16" s="684">
        <f>IF(BO$4="forecast",IF(YEAR(BO$3)=YEAR(Headcount!$N$4),IF((BO$5=12),(SUMPRODUCT(--(Headcount!$F$6:$F$92="Development Operations"),--(Headcount!$H$6:$H$92&gt;='Dev Ops'!BO$3),Headcount!$N$6:$N$92,Headcount!$L$6:$L$92)),0),IF(YEAR(BO$3)=YEAR(Headcount!$O$4),IF((BO$5=12),(SUMPRODUCT(--(Headcount!$F$6:$F$92="Development Operations"),--(Headcount!$H$6:$H$92&gt;='Dev Ops'!BO$3),Headcount!$O$6:$O$92,Headcount!$L$6:$L$92)),0),IF(YEAR(BO$3)=YEAR(Headcount!$P$4),IF((BO$5=12),(SUMPRODUCT(--(Headcount!$F$6:$F$92="Development Operations"),--(Headcount!$H$6:$H$92&gt;='Dev Ops'!BO$3),Headcount!$P$6:$P$92,Headcount!$L$6:$L$92)),0),IF(YEAR(BO$3)=YEAR(Headcount!$Q$4),IF((BO$5=12),(SUMPRODUCT(--(Headcount!$F$6:$F$92="Development Operations"),--(Headcount!$H$6:$H$92&gt;='Dev Ops'!BO$3),Headcount!$Q$6:$Q$92,Headcount!$L$6:$L$92)),0),IF(YEAR(BO$3)=YEAR(Headcount!$R$4),IF((BO$5=12),(SUMPRODUCT(--(Headcount!$F$6:$F$92="Development Operations"),--(Headcount!$H$6:$H$92&gt;='Dev Ops'!BO$3),Headcount!$R$6:$R$92,Headcount!$L$6:$L$92)),0),"New Year"))))),'Dept. Cost Actuals'!BS814)</f>
        <v>0</v>
      </c>
      <c r="BP16" s="684">
        <f>IF(BP$4="forecast",IF(YEAR(BP$3)=YEAR(Headcount!$N$4),IF((BP$5=12),(SUMPRODUCT(--(Headcount!$F$6:$F$92="Development Operations"),--(Headcount!$H$6:$H$92&gt;='Dev Ops'!BP$3),Headcount!$N$6:$N$92,Headcount!$L$6:$L$92)),0),IF(YEAR(BP$3)=YEAR(Headcount!$O$4),IF((BP$5=12),(SUMPRODUCT(--(Headcount!$F$6:$F$92="Development Operations"),--(Headcount!$H$6:$H$92&gt;='Dev Ops'!BP$3),Headcount!$O$6:$O$92,Headcount!$L$6:$L$92)),0),IF(YEAR(BP$3)=YEAR(Headcount!$P$4),IF((BP$5=12),(SUMPRODUCT(--(Headcount!$F$6:$F$92="Development Operations"),--(Headcount!$H$6:$H$92&gt;='Dev Ops'!BP$3),Headcount!$P$6:$P$92,Headcount!$L$6:$L$92)),0),IF(YEAR(BP$3)=YEAR(Headcount!$Q$4),IF((BP$5=12),(SUMPRODUCT(--(Headcount!$F$6:$F$92="Development Operations"),--(Headcount!$H$6:$H$92&gt;='Dev Ops'!BP$3),Headcount!$Q$6:$Q$92,Headcount!$L$6:$L$92)),0),IF(YEAR(BP$3)=YEAR(Headcount!$R$4),IF((BP$5=12),(SUMPRODUCT(--(Headcount!$F$6:$F$92="Development Operations"),--(Headcount!$H$6:$H$92&gt;='Dev Ops'!BP$3),Headcount!$R$6:$R$92,Headcount!$L$6:$L$92)),0),"New Year"))))),'Dept. Cost Actuals'!BT814)</f>
        <v>0</v>
      </c>
      <c r="BQ16" s="684">
        <f>IF(BQ$4="forecast",IF(YEAR(BQ$3)=YEAR(Headcount!$N$4),IF((BQ$5=12),(SUMPRODUCT(--(Headcount!$F$6:$F$92="Development Operations"),--(Headcount!$H$6:$H$92&gt;='Dev Ops'!BQ$3),Headcount!$N$6:$N$92,Headcount!$L$6:$L$92)),0),IF(YEAR(BQ$3)=YEAR(Headcount!$O$4),IF((BQ$5=12),(SUMPRODUCT(--(Headcount!$F$6:$F$92="Development Operations"),--(Headcount!$H$6:$H$92&gt;='Dev Ops'!BQ$3),Headcount!$O$6:$O$92,Headcount!$L$6:$L$92)),0),IF(YEAR(BQ$3)=YEAR(Headcount!$P$4),IF((BQ$5=12),(SUMPRODUCT(--(Headcount!$F$6:$F$92="Development Operations"),--(Headcount!$H$6:$H$92&gt;='Dev Ops'!BQ$3),Headcount!$P$6:$P$92,Headcount!$L$6:$L$92)),0),IF(YEAR(BQ$3)=YEAR(Headcount!$Q$4),IF((BQ$5=12),(SUMPRODUCT(--(Headcount!$F$6:$F$92="Development Operations"),--(Headcount!$H$6:$H$92&gt;='Dev Ops'!BQ$3),Headcount!$Q$6:$Q$92,Headcount!$L$6:$L$92)),0),IF(YEAR(BQ$3)=YEAR(Headcount!$R$4),IF((BQ$5=12),(SUMPRODUCT(--(Headcount!$F$6:$F$92="Development Operations"),--(Headcount!$H$6:$H$92&gt;='Dev Ops'!BQ$3),Headcount!$R$6:$R$92,Headcount!$L$6:$L$92)),0),"New Year"))))),'Dept. Cost Actuals'!BU814)</f>
        <v>0</v>
      </c>
      <c r="BR16" s="684">
        <f>IF(BR$4="forecast",IF(YEAR(BR$3)=YEAR(Headcount!$N$4),IF((BR$5=12),(SUMPRODUCT(--(Headcount!$F$6:$F$92="Development Operations"),--(Headcount!$H$6:$H$92&gt;='Dev Ops'!BR$3),Headcount!$N$6:$N$92,Headcount!$L$6:$L$92)),0),IF(YEAR(BR$3)=YEAR(Headcount!$O$4),IF((BR$5=12),(SUMPRODUCT(--(Headcount!$F$6:$F$92="Development Operations"),--(Headcount!$H$6:$H$92&gt;='Dev Ops'!BR$3),Headcount!$O$6:$O$92,Headcount!$L$6:$L$92)),0),IF(YEAR(BR$3)=YEAR(Headcount!$P$4),IF((BR$5=12),(SUMPRODUCT(--(Headcount!$F$6:$F$92="Development Operations"),--(Headcount!$H$6:$H$92&gt;='Dev Ops'!BR$3),Headcount!$P$6:$P$92,Headcount!$L$6:$L$92)),0),IF(YEAR(BR$3)=YEAR(Headcount!$Q$4),IF((BR$5=12),(SUMPRODUCT(--(Headcount!$F$6:$F$92="Development Operations"),--(Headcount!$H$6:$H$92&gt;='Dev Ops'!BR$3),Headcount!$Q$6:$Q$92,Headcount!$L$6:$L$92)),0),IF(YEAR(BR$3)=YEAR(Headcount!$R$4),IF((BR$5=12),(SUMPRODUCT(--(Headcount!$F$6:$F$92="Development Operations"),--(Headcount!$H$6:$H$92&gt;='Dev Ops'!BR$3),Headcount!$R$6:$R$92,Headcount!$L$6:$L$92)),0),"New Year"))))),'Dept. Cost Actuals'!BV814)</f>
        <v>0</v>
      </c>
      <c r="BS16" s="684">
        <f>IF(BS$4="forecast",IF(YEAR(BS$3)=YEAR(Headcount!$N$4),IF((BS$5=12),(SUMPRODUCT(--(Headcount!$F$6:$F$92="Development Operations"),--(Headcount!$H$6:$H$92&gt;='Dev Ops'!BS$3),Headcount!$N$6:$N$92,Headcount!$L$6:$L$92)),0),IF(YEAR(BS$3)=YEAR(Headcount!$O$4),IF((BS$5=12),(SUMPRODUCT(--(Headcount!$F$6:$F$92="Development Operations"),--(Headcount!$H$6:$H$92&gt;='Dev Ops'!BS$3),Headcount!$O$6:$O$92,Headcount!$L$6:$L$92)),0),IF(YEAR(BS$3)=YEAR(Headcount!$P$4),IF((BS$5=12),(SUMPRODUCT(--(Headcount!$F$6:$F$92="Development Operations"),--(Headcount!$H$6:$H$92&gt;='Dev Ops'!BS$3),Headcount!$P$6:$P$92,Headcount!$L$6:$L$92)),0),IF(YEAR(BS$3)=YEAR(Headcount!$Q$4),IF((BS$5=12),(SUMPRODUCT(--(Headcount!$F$6:$F$92="Development Operations"),--(Headcount!$H$6:$H$92&gt;='Dev Ops'!BS$3),Headcount!$Q$6:$Q$92,Headcount!$L$6:$L$92)),0),IF(YEAR(BS$3)=YEAR(Headcount!$R$4),IF((BS$5=12),(SUMPRODUCT(--(Headcount!$F$6:$F$92="Development Operations"),--(Headcount!$H$6:$H$92&gt;='Dev Ops'!BS$3),Headcount!$R$6:$R$92,Headcount!$L$6:$L$92)),0),"New Year"))))),'Dept. Cost Actuals'!BW814)</f>
        <v>0</v>
      </c>
      <c r="BT16" s="684">
        <f>IF(BT$4="forecast",IF(YEAR(BT$3)=YEAR(Headcount!$N$4),IF((BT$5=12),(SUMPRODUCT(--(Headcount!$F$6:$F$92="Development Operations"),--(Headcount!$H$6:$H$92&gt;='Dev Ops'!BT$3),Headcount!$N$6:$N$92,Headcount!$L$6:$L$92)),0),IF(YEAR(BT$3)=YEAR(Headcount!$O$4),IF((BT$5=12),(SUMPRODUCT(--(Headcount!$F$6:$F$92="Development Operations"),--(Headcount!$H$6:$H$92&gt;='Dev Ops'!BT$3),Headcount!$O$6:$O$92,Headcount!$L$6:$L$92)),0),IF(YEAR(BT$3)=YEAR(Headcount!$P$4),IF((BT$5=12),(SUMPRODUCT(--(Headcount!$F$6:$F$92="Development Operations"),--(Headcount!$H$6:$H$92&gt;='Dev Ops'!BT$3),Headcount!$P$6:$P$92,Headcount!$L$6:$L$92)),0),IF(YEAR(BT$3)=YEAR(Headcount!$Q$4),IF((BT$5=12),(SUMPRODUCT(--(Headcount!$F$6:$F$92="Development Operations"),--(Headcount!$H$6:$H$92&gt;='Dev Ops'!BT$3),Headcount!$Q$6:$Q$92,Headcount!$L$6:$L$92)),0),IF(YEAR(BT$3)=YEAR(Headcount!$R$4),IF((BT$5=12),(SUMPRODUCT(--(Headcount!$F$6:$F$92="Development Operations"),--(Headcount!$H$6:$H$92&gt;='Dev Ops'!BT$3),Headcount!$R$6:$R$92,Headcount!$L$6:$L$92)),0),"New Year"))))),'Dept. Cost Actuals'!BX814)</f>
        <v>0</v>
      </c>
      <c r="BU16" s="684">
        <f>IF(BU$4="forecast",IF(YEAR(BU$3)=YEAR(Headcount!$N$4),IF((BU$5=12),(SUMPRODUCT(--(Headcount!$F$6:$F$92="Development Operations"),--(Headcount!$H$6:$H$92&gt;='Dev Ops'!BU$3),Headcount!$N$6:$N$92,Headcount!$L$6:$L$92)),0),IF(YEAR(BU$3)=YEAR(Headcount!$O$4),IF((BU$5=12),(SUMPRODUCT(--(Headcount!$F$6:$F$92="Development Operations"),--(Headcount!$H$6:$H$92&gt;='Dev Ops'!BU$3),Headcount!$O$6:$O$92,Headcount!$L$6:$L$92)),0),IF(YEAR(BU$3)=YEAR(Headcount!$P$4),IF((BU$5=12),(SUMPRODUCT(--(Headcount!$F$6:$F$92="Development Operations"),--(Headcount!$H$6:$H$92&gt;='Dev Ops'!BU$3),Headcount!$P$6:$P$92,Headcount!$L$6:$L$92)),0),IF(YEAR(BU$3)=YEAR(Headcount!$Q$4),IF((BU$5=12),(SUMPRODUCT(--(Headcount!$F$6:$F$92="Development Operations"),--(Headcount!$H$6:$H$92&gt;='Dev Ops'!BU$3),Headcount!$Q$6:$Q$92,Headcount!$L$6:$L$92)),0),IF(YEAR(BU$3)=YEAR(Headcount!$R$4),IF((BU$5=12),(SUMPRODUCT(--(Headcount!$F$6:$F$92="Development Operations"),--(Headcount!$H$6:$H$92&gt;='Dev Ops'!BU$3),Headcount!$R$6:$R$92,Headcount!$L$6:$L$92)),0),"New Year"))))),'Dept. Cost Actuals'!BY814)</f>
        <v>0</v>
      </c>
      <c r="BV16" s="808">
        <f>IF(BV$4="forecast",IF(YEAR(BV$3)=YEAR(Headcount!$N$4),IF((BV$5=12),(SUMPRODUCT(--(Headcount!$F$6:$F$92="Development Operations"),--(Headcount!$H$6:$H$92&gt;='Dev Ops'!BV$3),Headcount!$N$6:$N$92,Headcount!$L$6:$L$92)),0),IF(YEAR(BV$3)=YEAR(Headcount!$O$4),IF((BV$5=12),(SUMPRODUCT(--(Headcount!$F$6:$F$92="Development Operations"),--(Headcount!$H$6:$H$92&gt;='Dev Ops'!BV$3),Headcount!$O$6:$O$92,Headcount!$L$6:$L$92)),0),IF(YEAR(BV$3)=YEAR(Headcount!$P$4),IF((BV$5=12),(SUMPRODUCT(--(Headcount!$F$6:$F$92="Development Operations"),--(Headcount!$H$6:$H$92&gt;='Dev Ops'!BV$3),Headcount!$P$6:$P$92,Headcount!$L$6:$L$92)),0),IF(YEAR(BV$3)=YEAR(Headcount!$Q$4),IF((BV$5=12),(SUMPRODUCT(--(Headcount!$F$6:$F$92="Development Operations"),--(Headcount!$H$6:$H$92&gt;='Dev Ops'!BV$3),Headcount!$Q$6:$Q$92,Headcount!$L$6:$L$92)),0),IF(YEAR(BV$3)=YEAR(Headcount!$R$4),IF((BV$5=12),(SUMPRODUCT(--(Headcount!$F$6:$F$92="Development Operations"),--(Headcount!$H$6:$H$92&gt;='Dev Ops'!BV$3),Headcount!$R$6:$R$92,Headcount!$L$6:$L$92)),0),"New Year"))))),'Dept. Cost Actuals'!BZ814)</f>
        <v>240805.87747149999</v>
      </c>
    </row>
    <row r="17" spans="2:74" s="641" customFormat="1" ht="13" x14ac:dyDescent="0.3">
      <c r="B17" s="809" t="s">
        <v>939</v>
      </c>
      <c r="C17" s="995">
        <f t="shared" ref="C17:N17" si="5">SUM(C15:C16)</f>
        <v>0</v>
      </c>
      <c r="D17" s="995">
        <f t="shared" si="5"/>
        <v>0</v>
      </c>
      <c r="E17" s="995">
        <f t="shared" si="5"/>
        <v>0</v>
      </c>
      <c r="F17" s="995">
        <f t="shared" si="5"/>
        <v>0</v>
      </c>
      <c r="G17" s="995">
        <f t="shared" si="5"/>
        <v>0</v>
      </c>
      <c r="H17" s="995">
        <f t="shared" si="5"/>
        <v>0</v>
      </c>
      <c r="I17" s="995">
        <f t="shared" si="5"/>
        <v>0</v>
      </c>
      <c r="J17" s="995">
        <f t="shared" si="5"/>
        <v>0</v>
      </c>
      <c r="K17" s="995">
        <f t="shared" si="5"/>
        <v>0</v>
      </c>
      <c r="L17" s="995">
        <f t="shared" si="5"/>
        <v>0</v>
      </c>
      <c r="M17" s="995">
        <f t="shared" si="5"/>
        <v>0</v>
      </c>
      <c r="N17" s="995">
        <f t="shared" si="5"/>
        <v>0</v>
      </c>
      <c r="O17" s="995">
        <f t="shared" ref="O17:BV17" si="6">SUM(O15:O16)</f>
        <v>7052.71</v>
      </c>
      <c r="P17" s="995">
        <f t="shared" si="6"/>
        <v>5779.75</v>
      </c>
      <c r="Q17" s="995">
        <f t="shared" si="6"/>
        <v>6034.89</v>
      </c>
      <c r="R17" s="995">
        <f t="shared" si="6"/>
        <v>7141.57</v>
      </c>
      <c r="S17" s="995">
        <f t="shared" si="6"/>
        <v>5779.75</v>
      </c>
      <c r="T17" s="995">
        <f t="shared" si="6"/>
        <v>5779.75</v>
      </c>
      <c r="U17" s="995">
        <f t="shared" si="6"/>
        <v>7764.93</v>
      </c>
      <c r="V17" s="995">
        <f t="shared" si="6"/>
        <v>11772.34</v>
      </c>
      <c r="W17" s="995">
        <f t="shared" si="6"/>
        <v>5779.75</v>
      </c>
      <c r="X17" s="995">
        <f t="shared" si="6"/>
        <v>8757.52</v>
      </c>
      <c r="Y17" s="995">
        <f t="shared" si="6"/>
        <v>5899.41</v>
      </c>
      <c r="Z17" s="995">
        <f t="shared" si="6"/>
        <v>53436.99</v>
      </c>
      <c r="AA17" s="995">
        <f t="shared" si="6"/>
        <v>0</v>
      </c>
      <c r="AB17" s="995">
        <f t="shared" si="6"/>
        <v>0</v>
      </c>
      <c r="AC17" s="995">
        <f t="shared" si="6"/>
        <v>0</v>
      </c>
      <c r="AD17" s="995">
        <f t="shared" si="6"/>
        <v>0</v>
      </c>
      <c r="AE17" s="995">
        <f t="shared" si="6"/>
        <v>0</v>
      </c>
      <c r="AF17" s="995">
        <f t="shared" si="6"/>
        <v>0</v>
      </c>
      <c r="AG17" s="995">
        <f t="shared" si="6"/>
        <v>0</v>
      </c>
      <c r="AH17" s="995">
        <f t="shared" si="6"/>
        <v>0</v>
      </c>
      <c r="AI17" s="995">
        <f t="shared" si="6"/>
        <v>0</v>
      </c>
      <c r="AJ17" s="995">
        <f t="shared" si="6"/>
        <v>0</v>
      </c>
      <c r="AK17" s="995">
        <f t="shared" si="6"/>
        <v>0</v>
      </c>
      <c r="AL17" s="995">
        <f t="shared" si="6"/>
        <v>205256.5</v>
      </c>
      <c r="AM17" s="995">
        <f t="shared" si="6"/>
        <v>0</v>
      </c>
      <c r="AN17" s="995">
        <f t="shared" si="6"/>
        <v>0</v>
      </c>
      <c r="AO17" s="995">
        <f t="shared" si="6"/>
        <v>0</v>
      </c>
      <c r="AP17" s="995">
        <f t="shared" si="6"/>
        <v>0</v>
      </c>
      <c r="AQ17" s="995">
        <f t="shared" si="6"/>
        <v>0</v>
      </c>
      <c r="AR17" s="995">
        <f t="shared" si="6"/>
        <v>0</v>
      </c>
      <c r="AS17" s="995">
        <f t="shared" si="6"/>
        <v>0</v>
      </c>
      <c r="AT17" s="995">
        <f t="shared" si="6"/>
        <v>0</v>
      </c>
      <c r="AU17" s="995">
        <f t="shared" si="6"/>
        <v>0</v>
      </c>
      <c r="AV17" s="995">
        <f t="shared" si="6"/>
        <v>0</v>
      </c>
      <c r="AW17" s="995">
        <f t="shared" si="6"/>
        <v>0</v>
      </c>
      <c r="AX17" s="995">
        <f t="shared" si="6"/>
        <v>239342.63500000004</v>
      </c>
      <c r="AY17" s="995">
        <f t="shared" si="6"/>
        <v>0</v>
      </c>
      <c r="AZ17" s="995">
        <f t="shared" si="6"/>
        <v>0</v>
      </c>
      <c r="BA17" s="995">
        <f t="shared" si="6"/>
        <v>0</v>
      </c>
      <c r="BB17" s="995">
        <f t="shared" si="6"/>
        <v>0</v>
      </c>
      <c r="BC17" s="995">
        <f t="shared" si="6"/>
        <v>0</v>
      </c>
      <c r="BD17" s="995">
        <f t="shared" si="6"/>
        <v>0</v>
      </c>
      <c r="BE17" s="995">
        <f t="shared" si="6"/>
        <v>0</v>
      </c>
      <c r="BF17" s="995">
        <f t="shared" si="6"/>
        <v>0</v>
      </c>
      <c r="BG17" s="995">
        <f t="shared" si="6"/>
        <v>0</v>
      </c>
      <c r="BH17" s="995">
        <f t="shared" si="6"/>
        <v>0</v>
      </c>
      <c r="BI17" s="995">
        <f t="shared" si="6"/>
        <v>0</v>
      </c>
      <c r="BJ17" s="995">
        <f t="shared" si="6"/>
        <v>246522.91404999993</v>
      </c>
      <c r="BK17" s="995">
        <f t="shared" si="6"/>
        <v>0</v>
      </c>
      <c r="BL17" s="995">
        <f t="shared" si="6"/>
        <v>0</v>
      </c>
      <c r="BM17" s="995">
        <f t="shared" si="6"/>
        <v>0</v>
      </c>
      <c r="BN17" s="995">
        <f t="shared" si="6"/>
        <v>0</v>
      </c>
      <c r="BO17" s="995">
        <f t="shared" si="6"/>
        <v>0</v>
      </c>
      <c r="BP17" s="995">
        <f t="shared" si="6"/>
        <v>0</v>
      </c>
      <c r="BQ17" s="995">
        <f t="shared" si="6"/>
        <v>0</v>
      </c>
      <c r="BR17" s="995">
        <f t="shared" si="6"/>
        <v>0</v>
      </c>
      <c r="BS17" s="995">
        <f t="shared" si="6"/>
        <v>0</v>
      </c>
      <c r="BT17" s="995">
        <f t="shared" si="6"/>
        <v>0</v>
      </c>
      <c r="BU17" s="995">
        <f t="shared" si="6"/>
        <v>0</v>
      </c>
      <c r="BV17" s="996">
        <f t="shared" si="6"/>
        <v>253918.60147149998</v>
      </c>
    </row>
    <row r="18" spans="2:74" s="641" customFormat="1" ht="13" x14ac:dyDescent="0.3">
      <c r="B18" s="811" t="s">
        <v>940</v>
      </c>
      <c r="C18" s="684">
        <f>IF(C$4="forecast",C$7*'Direct People Department Costs'!$H$7,'Dept. Cost Actuals'!G830)</f>
        <v>567.71409769424986</v>
      </c>
      <c r="D18" s="684">
        <f>IF(D$4="forecast",D$7*'Direct People Department Costs'!$H$7,'Dept. Cost Actuals'!H830)</f>
        <v>325.71601666768237</v>
      </c>
      <c r="E18" s="684">
        <f>IF(E$4="forecast",E$7*'Direct People Department Costs'!$H$7,'Dept. Cost Actuals'!I830)</f>
        <v>442.34431604494245</v>
      </c>
      <c r="F18" s="684">
        <f>IF(F$4="forecast",F$7*'Direct People Department Costs'!$H$7,'Dept. Cost Actuals'!J830)</f>
        <v>927.69870393541692</v>
      </c>
      <c r="G18" s="684">
        <f>IF(G$4="forecast",G$7*'Direct People Department Costs'!$H$7,'Dept. Cost Actuals'!K830)</f>
        <v>542.23067519166477</v>
      </c>
      <c r="H18" s="684">
        <f>IF(H$4="forecast",H$7*'Direct People Department Costs'!$H$7,'Dept. Cost Actuals'!L830)</f>
        <v>575.37955142884823</v>
      </c>
      <c r="I18" s="684">
        <f>IF(I$4="forecast",I$7*'Direct People Department Costs'!$H$7,'Dept. Cost Actuals'!M830)</f>
        <v>466.97401878430333</v>
      </c>
      <c r="J18" s="684">
        <f>IF(J$4="forecast",J$7*'Direct People Department Costs'!$H$7,'Dept. Cost Actuals'!N830)</f>
        <v>565.15307443965139</v>
      </c>
      <c r="K18" s="684">
        <f>IF(K$4="forecast",K$7*'Direct People Department Costs'!$H$7,'Dept. Cost Actuals'!O830)</f>
        <v>859.50143992938024</v>
      </c>
      <c r="L18" s="684">
        <f>IF(L$4="forecast",L$7*'Direct People Department Costs'!$H$7,'Dept. Cost Actuals'!P830)</f>
        <v>549.98459765069379</v>
      </c>
      <c r="M18" s="684">
        <f>IF(M$4="forecast",M$7*'Direct People Department Costs'!$H$7,'Dept. Cost Actuals'!Q830)</f>
        <v>897.86724825974136</v>
      </c>
      <c r="N18" s="684">
        <f>IF(N$4="forecast",N$7*'Direct People Department Costs'!$H$7,'Dept. Cost Actuals'!R830)</f>
        <v>4057.3944743069546</v>
      </c>
      <c r="O18" s="684">
        <f>IF(O$4="forecast",O$7*'Direct People Department Costs'!$H$7,'Dept. Cost Actuals'!S830)</f>
        <v>2124.6</v>
      </c>
      <c r="P18" s="684">
        <f>IF(P$4="forecast",P$7*'Direct People Department Costs'!$H$7,'Dept. Cost Actuals'!T830)</f>
        <v>2888.78</v>
      </c>
      <c r="Q18" s="684">
        <f>IF(Q$4="forecast",Q$7*'Direct People Department Costs'!$H$7,'Dept. Cost Actuals'!U830)</f>
        <v>1552.44</v>
      </c>
      <c r="R18" s="684">
        <f>IF(R$4="forecast",R$7*'Direct People Department Costs'!$H$7,'Dept. Cost Actuals'!V830)</f>
        <v>1726.05</v>
      </c>
      <c r="S18" s="684">
        <f>IF(S$4="forecast",S$7*'Direct People Department Costs'!$H$7,'Dept. Cost Actuals'!W830)</f>
        <v>1369.06</v>
      </c>
      <c r="T18" s="684">
        <f>IF(T$4="forecast",T$7*'Direct People Department Costs'!$H$7,'Dept. Cost Actuals'!X830)</f>
        <v>1492.7</v>
      </c>
      <c r="U18" s="684">
        <f>IF(U$4="forecast",U$7*'Direct People Department Costs'!$H$7,'Dept. Cost Actuals'!Y830)</f>
        <v>3973.13</v>
      </c>
      <c r="V18" s="684">
        <f>IF(V$4="forecast",V$7*'Direct People Department Costs'!$H$7,'Dept. Cost Actuals'!Z830)</f>
        <v>2513.44</v>
      </c>
      <c r="W18" s="684">
        <f>IF(W$4="forecast",W$7*'Direct People Department Costs'!$H$7,'Dept. Cost Actuals'!AA830)</f>
        <v>2547.9499999999998</v>
      </c>
      <c r="X18" s="684">
        <f>IF(X$4="forecast",X$7*'Direct People Department Costs'!$H$7,'Dept. Cost Actuals'!AB830)</f>
        <v>2144.66</v>
      </c>
      <c r="Y18" s="684">
        <f>IF(Y$4="forecast",Y$7*'Direct People Department Costs'!$H$7,'Dept. Cost Actuals'!AC830)</f>
        <v>20</v>
      </c>
      <c r="Z18" s="684">
        <f>IF(Z$4="forecast",Z$7*'Direct People Department Costs'!$H$7,'Dept. Cost Actuals'!AD830)</f>
        <v>0</v>
      </c>
      <c r="AA18" s="684">
        <f>IF(AA$4="forecast",(((SUM($O$18:$Z$18)/12)*1.03)+((400/12)*AA$7)),'Dept. Cost Actuals'!AE158)</f>
        <v>2485.282858333333</v>
      </c>
      <c r="AB18" s="684">
        <f>IF(AB$4="forecast",(((SUM($O$18:$Z$18)/12)*1.03)+((400/12)*AB$7)),'Dept. Cost Actuals'!AF158)</f>
        <v>2485.282858333333</v>
      </c>
      <c r="AC18" s="684">
        <f>IF(AC$4="forecast",(((SUM($O$18:$Z$18)/12)*1.03)+((400/12)*AC$7)),'Dept. Cost Actuals'!AG158)</f>
        <v>2485.282858333333</v>
      </c>
      <c r="AD18" s="684">
        <f>IF(AD$4="forecast",(((SUM($O$18:$Z$18)/12)*1.03)+((400/12)*AD$7)),'Dept. Cost Actuals'!AH158)</f>
        <v>2485.282858333333</v>
      </c>
      <c r="AE18" s="684">
        <f>IF(AE$4="forecast",(((SUM($O$18:$Z$18)/12)*1.03)+((400/12)*AE$7)),'Dept. Cost Actuals'!AI158)</f>
        <v>2485.282858333333</v>
      </c>
      <c r="AF18" s="684">
        <f>IF(AF$4="forecast",(((SUM($O$18:$Z$18)/12)*1.03)+((400/12)*AF$7)),'Dept. Cost Actuals'!AJ158)</f>
        <v>2485.282858333333</v>
      </c>
      <c r="AG18" s="684">
        <f>IF(AG$4="forecast",(((SUM($O$18:$Z$18)/12)*1.03)+((400/12)*AG$7)),'Dept. Cost Actuals'!AK158)</f>
        <v>2485.282858333333</v>
      </c>
      <c r="AH18" s="684">
        <f>IF(AH$4="forecast",(((SUM($O$18:$Z$18)/12)*1.03)+((400/12)*AH$7)),'Dept. Cost Actuals'!AL158)</f>
        <v>2485.282858333333</v>
      </c>
      <c r="AI18" s="684">
        <f>IF(AI$4="forecast",(((SUM($O$18:$Z$18)/12)*1.03)+((400/12)*AI$7)),'Dept. Cost Actuals'!AM158)</f>
        <v>2485.282858333333</v>
      </c>
      <c r="AJ18" s="684">
        <f>IF(AJ$4="forecast",(((SUM($O$18:$Z$18)/12)*1.03)+((400/12)*AJ$7)),'Dept. Cost Actuals'!AN158)</f>
        <v>2485.282858333333</v>
      </c>
      <c r="AK18" s="684">
        <f>IF(AK$4="forecast",(((SUM($O$18:$Z$18)/12)*1.03)+((400/12)*AK$7)),'Dept. Cost Actuals'!AO158)</f>
        <v>2485.282858333333</v>
      </c>
      <c r="AL18" s="684">
        <f>IF(AL$4="forecast",(((SUM($O$18:$Z$18)/12)*1.03)+((400/12)*AL$7)),'Dept. Cost Actuals'!AP158)</f>
        <v>2485.282858333333</v>
      </c>
      <c r="AM18" s="684">
        <f>IF(AM$4="forecast",(((SUM($AA$18:$AL$18)/12)*1.03)+((400/12)*AM$7)),'Dept. Cost Actuals'!AQ158)</f>
        <v>3126.5080107499989</v>
      </c>
      <c r="AN18" s="684">
        <f>IF(AN$4="forecast",(((SUM($AA$18:$AL$18)/12)*1.03)+((400/12)*AN$7)),'Dept. Cost Actuals'!AR158)</f>
        <v>3126.5080107499989</v>
      </c>
      <c r="AO18" s="684">
        <f>IF(AO$4="forecast",(((SUM($AA$18:$AL$18)/12)*1.03)+((400/12)*AO$7)),'Dept. Cost Actuals'!AS158)</f>
        <v>3126.5080107499989</v>
      </c>
      <c r="AP18" s="684">
        <f>IF(AP$4="forecast",(((SUM($AA$18:$AL$18)/12)*1.03)+((400/12)*AP$7)),'Dept. Cost Actuals'!AT158)</f>
        <v>3126.5080107499989</v>
      </c>
      <c r="AQ18" s="684">
        <f>IF(AQ$4="forecast",(((SUM($AA$18:$AL$18)/12)*1.03)+((400/12)*AQ$7)),'Dept. Cost Actuals'!AU158)</f>
        <v>3126.5080107499989</v>
      </c>
      <c r="AR18" s="684">
        <f>IF(AR$4="forecast",(((SUM($AA$18:$AL$18)/12)*1.03)+((400/12)*AR$7)),'Dept. Cost Actuals'!AV158)</f>
        <v>3126.5080107499989</v>
      </c>
      <c r="AS18" s="684">
        <f>IF(AS$4="forecast",(((SUM($AA$18:$AL$18)/12)*1.03)+((400/12)*AS$7)),'Dept. Cost Actuals'!AW158)</f>
        <v>3126.5080107499989</v>
      </c>
      <c r="AT18" s="684">
        <f>IF(AT$4="forecast",(((SUM($AA$18:$AL$18)/12)*1.03)+((400/12)*AT$7)),'Dept. Cost Actuals'!AX158)</f>
        <v>3126.5080107499989</v>
      </c>
      <c r="AU18" s="684">
        <f>IF(AU$4="forecast",(((SUM($AA$18:$AL$18)/12)*1.03)+((400/12)*AU$7)),'Dept. Cost Actuals'!AY158)</f>
        <v>3126.5080107499989</v>
      </c>
      <c r="AV18" s="684">
        <f>IF(AV$4="forecast",(((SUM($AA$18:$AL$18)/12)*1.03)+((400/12)*AV$7)),'Dept. Cost Actuals'!AZ158)</f>
        <v>3126.5080107499989</v>
      </c>
      <c r="AW18" s="684">
        <f>IF(AW$4="forecast",(((SUM($AA$18:$AL$18)/12)*1.03)+((400/12)*AW$7)),'Dept. Cost Actuals'!BA158)</f>
        <v>3126.5080107499989</v>
      </c>
      <c r="AX18" s="684">
        <f>IF(AX$4="forecast",(((SUM($AA$18:$AL$18)/12)*1.03)+((400/12)*AX$7)),'Dept. Cost Actuals'!BB158)</f>
        <v>3126.5080107499989</v>
      </c>
      <c r="AY18" s="684">
        <f>IF(AY$4="forecast",AY$7*'Direct People Department Costs'!$H$7,'Dept. Cost Actuals'!BC830)</f>
        <v>9775</v>
      </c>
      <c r="AZ18" s="684">
        <f>IF(AZ$4="forecast",AZ$7*'Direct People Department Costs'!$H$7,'Dept. Cost Actuals'!BD830)</f>
        <v>9775</v>
      </c>
      <c r="BA18" s="684">
        <f>IF(BA$4="forecast",BA$7*'Direct People Department Costs'!$H$7,'Dept. Cost Actuals'!BE830)</f>
        <v>9775</v>
      </c>
      <c r="BB18" s="684">
        <f>IF(BB$4="forecast",BB$7*'Direct People Department Costs'!$H$7,'Dept. Cost Actuals'!BF830)</f>
        <v>9775</v>
      </c>
      <c r="BC18" s="684">
        <f>IF(BC$4="forecast",BC$7*'Direct People Department Costs'!$H$7,'Dept. Cost Actuals'!BG830)</f>
        <v>9775</v>
      </c>
      <c r="BD18" s="684">
        <f>IF(BD$4="forecast",BD$7*'Direct People Department Costs'!$H$7,'Dept. Cost Actuals'!BH830)</f>
        <v>9775</v>
      </c>
      <c r="BE18" s="684">
        <f>IF(BE$4="forecast",BE$7*'Direct People Department Costs'!$H$7,'Dept. Cost Actuals'!BI830)</f>
        <v>9775</v>
      </c>
      <c r="BF18" s="684">
        <f>IF(BF$4="forecast",BF$7*'Direct People Department Costs'!$H$7,'Dept. Cost Actuals'!BJ830)</f>
        <v>9775</v>
      </c>
      <c r="BG18" s="684">
        <f>IF(BG$4="forecast",BG$7*'Direct People Department Costs'!$H$7,'Dept. Cost Actuals'!BK830)</f>
        <v>9775</v>
      </c>
      <c r="BH18" s="684">
        <f>IF(BH$4="forecast",BH$7*'Direct People Department Costs'!$H$7,'Dept. Cost Actuals'!BL830)</f>
        <v>9775</v>
      </c>
      <c r="BI18" s="684">
        <f>IF(BI$4="forecast",BI$7*'Direct People Department Costs'!$H$7,'Dept. Cost Actuals'!BM830)</f>
        <v>9775</v>
      </c>
      <c r="BJ18" s="684">
        <f>IF(BJ$4="forecast",BJ$7*'Direct People Department Costs'!$H$7,'Dept. Cost Actuals'!BN830)</f>
        <v>9775</v>
      </c>
      <c r="BK18" s="684">
        <f>IF(BK$4="forecast",BK$7*'Direct People Department Costs'!$H$7,'Dept. Cost Actuals'!BO830)</f>
        <v>9775</v>
      </c>
      <c r="BL18" s="684">
        <f>IF(BL$4="forecast",BL$7*'Direct People Department Costs'!$H$7,'Dept. Cost Actuals'!BP830)</f>
        <v>9775</v>
      </c>
      <c r="BM18" s="684">
        <f>IF(BM$4="forecast",BM$7*'Direct People Department Costs'!$H$7,'Dept. Cost Actuals'!BQ830)</f>
        <v>9775</v>
      </c>
      <c r="BN18" s="684">
        <f>IF(BN$4="forecast",BN$7*'Direct People Department Costs'!$H$7,'Dept. Cost Actuals'!BR830)</f>
        <v>9775</v>
      </c>
      <c r="BO18" s="684">
        <f>IF(BO$4="forecast",BO$7*'Direct People Department Costs'!$H$7,'Dept. Cost Actuals'!BS830)</f>
        <v>9775</v>
      </c>
      <c r="BP18" s="684">
        <f>IF(BP$4="forecast",BP$7*'Direct People Department Costs'!$H$7,'Dept. Cost Actuals'!BT830)</f>
        <v>9775</v>
      </c>
      <c r="BQ18" s="684">
        <f>IF(BQ$4="forecast",BQ$7*'Direct People Department Costs'!$H$7,'Dept. Cost Actuals'!BU830)</f>
        <v>9775</v>
      </c>
      <c r="BR18" s="684">
        <f>IF(BR$4="forecast",BR$7*'Direct People Department Costs'!$H$7,'Dept. Cost Actuals'!BV830)</f>
        <v>9775</v>
      </c>
      <c r="BS18" s="684">
        <f>IF(BS$4="forecast",BS$7*'Direct People Department Costs'!$H$7,'Dept. Cost Actuals'!BW830)</f>
        <v>9775</v>
      </c>
      <c r="BT18" s="684">
        <f>IF(BT$4="forecast",BT$7*'Direct People Department Costs'!$H$7,'Dept. Cost Actuals'!BX830)</f>
        <v>9775</v>
      </c>
      <c r="BU18" s="684">
        <f>IF(BU$4="forecast",BU$7*'Direct People Department Costs'!$H$7,'Dept. Cost Actuals'!BY830)</f>
        <v>9775</v>
      </c>
      <c r="BV18" s="808">
        <f>IF(BV$4="forecast",BV$7*'Direct People Department Costs'!$H$7,'Dept. Cost Actuals'!BZ830)</f>
        <v>9775</v>
      </c>
    </row>
    <row r="19" spans="2:74" x14ac:dyDescent="0.35">
      <c r="B19" s="812" t="s">
        <v>941</v>
      </c>
      <c r="C19" s="684">
        <f>IF(C$4="forecast",C$8*'Direct People Department Costs'!$H$8,'Dept. Cost Actuals'!G714)</f>
        <v>0</v>
      </c>
      <c r="D19" s="684">
        <f>IF(D$4="forecast",D$8*'Direct People Department Costs'!$H$8,'Dept. Cost Actuals'!H714)</f>
        <v>0</v>
      </c>
      <c r="E19" s="684">
        <f>IF(E$4="forecast",E$8*'Direct People Department Costs'!$H$8,'Dept. Cost Actuals'!I714)</f>
        <v>0</v>
      </c>
      <c r="F19" s="684">
        <f>IF(F$4="forecast",F$8*'Direct People Department Costs'!$H$8,'Dept. Cost Actuals'!J714)</f>
        <v>0</v>
      </c>
      <c r="G19" s="684">
        <f>IF(G$4="forecast",G$8*'Direct People Department Costs'!$H$8,'Dept. Cost Actuals'!K714)</f>
        <v>0</v>
      </c>
      <c r="H19" s="684">
        <f>IF(H$4="forecast",H$8*'Direct People Department Costs'!$H$8,'Dept. Cost Actuals'!L714)</f>
        <v>0</v>
      </c>
      <c r="I19" s="684">
        <f>IF(I$4="forecast",I$8*'Direct People Department Costs'!$H$8,'Dept. Cost Actuals'!M714)</f>
        <v>0</v>
      </c>
      <c r="J19" s="684">
        <f>IF(J$4="forecast",J$8*'Direct People Department Costs'!$H$8,'Dept. Cost Actuals'!N714)</f>
        <v>0</v>
      </c>
      <c r="K19" s="684">
        <f>IF(K$4="forecast",K$8*'Direct People Department Costs'!$H$8,'Dept. Cost Actuals'!O714)</f>
        <v>0</v>
      </c>
      <c r="L19" s="684">
        <f>IF(L$4="forecast",L$8*'Direct People Department Costs'!$H$8,'Dept. Cost Actuals'!P714)</f>
        <v>0</v>
      </c>
      <c r="M19" s="684">
        <f>IF(M$4="forecast",M$8*'Direct People Department Costs'!$H$8,'Dept. Cost Actuals'!Q714)</f>
        <v>0</v>
      </c>
      <c r="N19" s="684">
        <f>IF(N$4="forecast",N$8*'Direct People Department Costs'!$H$8,'Dept. Cost Actuals'!R714)</f>
        <v>0</v>
      </c>
      <c r="O19" s="684">
        <f>IF(O$4="forecast",O$8*'Direct People Department Costs'!$H$8,'Dept. Cost Actuals'!S714)</f>
        <v>657.92</v>
      </c>
      <c r="P19" s="684">
        <f>IF(P$4="forecast",P$8*'Direct People Department Costs'!$H$8,'Dept. Cost Actuals'!T714)</f>
        <v>107.98</v>
      </c>
      <c r="Q19" s="684">
        <f>IF(Q$4="forecast",Q$8*'Direct People Department Costs'!$H$8,'Dept. Cost Actuals'!U714)</f>
        <v>526.71</v>
      </c>
      <c r="R19" s="684">
        <f>IF(R$4="forecast",R$8*'Direct People Department Costs'!$H$8,'Dept. Cost Actuals'!V714)</f>
        <v>163.81</v>
      </c>
      <c r="S19" s="684">
        <f>IF(S$4="forecast",S$8*'Direct People Department Costs'!$H$8,'Dept. Cost Actuals'!W714)</f>
        <v>13.68</v>
      </c>
      <c r="T19" s="684">
        <f>IF(T$4="forecast",T$8*'Direct People Department Costs'!$H$8,'Dept. Cost Actuals'!X714)</f>
        <v>987.99</v>
      </c>
      <c r="U19" s="684">
        <f>IF(U$4="forecast",U$8*'Direct People Department Costs'!$H$8,'Dept. Cost Actuals'!Y714)</f>
        <v>861.5</v>
      </c>
      <c r="V19" s="684">
        <f>IF(V$4="forecast",V$8*'Direct People Department Costs'!$H$8,'Dept. Cost Actuals'!Z714)</f>
        <v>473.24</v>
      </c>
      <c r="W19" s="684">
        <f>IF(W$4="forecast",W$8*'Direct People Department Costs'!$H$8,'Dept. Cost Actuals'!AA714)</f>
        <v>643.41999999999996</v>
      </c>
      <c r="X19" s="684">
        <f>IF(X$4="forecast",X$8*'Direct People Department Costs'!$H$8,'Dept. Cost Actuals'!AB714)</f>
        <v>1550.29</v>
      </c>
      <c r="Y19" s="684">
        <f>IF(Y$4="forecast",Y$8*'Direct People Department Costs'!$H$8,'Dept. Cost Actuals'!AC714)</f>
        <v>-9.2799999999999994</v>
      </c>
      <c r="Z19" s="684">
        <f>IF(Z$4="forecast",Z$8*'Direct People Department Costs'!$H$8,'Dept. Cost Actuals'!AD714)</f>
        <v>6851.15</v>
      </c>
      <c r="AA19" s="684">
        <f>IF(AA$4="forecast",AA$8*'Direct People Department Costs'!$H$8,'Dept. Cost Actuals'!AE714)</f>
        <v>0</v>
      </c>
      <c r="AB19" s="684">
        <f>IF(AB$4="forecast",AB$8*'Direct People Department Costs'!$H$8,'Dept. Cost Actuals'!AF714)</f>
        <v>0</v>
      </c>
      <c r="AC19" s="684">
        <f>IF(AC$4="forecast",AC$8*'Direct People Department Costs'!$H$8,'Dept. Cost Actuals'!AG714)</f>
        <v>0</v>
      </c>
      <c r="AD19" s="684">
        <f>IF(AD$4="forecast",AD$8*'Direct People Department Costs'!$H$8,'Dept. Cost Actuals'!AH714)</f>
        <v>0</v>
      </c>
      <c r="AE19" s="684">
        <f>IF(AE$4="forecast",AE$8*'Direct People Department Costs'!$H$8,'Dept. Cost Actuals'!AI714)</f>
        <v>0</v>
      </c>
      <c r="AF19" s="684">
        <f>IF(AF$4="forecast",AF$8*'Direct People Department Costs'!$H$8,'Dept. Cost Actuals'!AJ714)</f>
        <v>0</v>
      </c>
      <c r="AG19" s="684">
        <f>IF(AG$4="forecast",AG$8*'Direct People Department Costs'!$H$8,'Dept. Cost Actuals'!AK714)</f>
        <v>0</v>
      </c>
      <c r="AH19" s="684">
        <f>IF(AH$4="forecast",AH$8*'Direct People Department Costs'!$H$8,'Dept. Cost Actuals'!AL714)</f>
        <v>0</v>
      </c>
      <c r="AI19" s="684">
        <f>IF(AI$4="forecast",AI$8*'Direct People Department Costs'!$H$8,'Dept. Cost Actuals'!AM714)</f>
        <v>0</v>
      </c>
      <c r="AJ19" s="684">
        <f>IF(AJ$4="forecast",AJ$8*'Direct People Department Costs'!$H$8,'Dept. Cost Actuals'!AN714)</f>
        <v>0</v>
      </c>
      <c r="AK19" s="684">
        <f>IF(AK$4="forecast",AK$8*'Direct People Department Costs'!$H$8,'Dept. Cost Actuals'!AO714)</f>
        <v>0</v>
      </c>
      <c r="AL19" s="684">
        <f>IF(AL$4="forecast",AL$8*'Direct People Department Costs'!$H$8,'Dept. Cost Actuals'!AP714)</f>
        <v>0</v>
      </c>
      <c r="AM19" s="684">
        <f>IF(AM$4="forecast",AM$8*'Direct People Department Costs'!$H$8,'Dept. Cost Actuals'!AQ714)</f>
        <v>0</v>
      </c>
      <c r="AN19" s="684">
        <f>IF(AN$4="forecast",AN$8*'Direct People Department Costs'!$H$8,'Dept. Cost Actuals'!AR714)</f>
        <v>0</v>
      </c>
      <c r="AO19" s="684">
        <f>IF(AO$4="forecast",AO$8*'Direct People Department Costs'!$H$8,'Dept. Cost Actuals'!AS714)</f>
        <v>0</v>
      </c>
      <c r="AP19" s="684">
        <f>IF(AP$4="forecast",AP$8*'Direct People Department Costs'!$H$8,'Dept. Cost Actuals'!AT714)</f>
        <v>0</v>
      </c>
      <c r="AQ19" s="684">
        <f>IF(AQ$4="forecast",AQ$8*'Direct People Department Costs'!$H$8,'Dept. Cost Actuals'!AU714)</f>
        <v>0</v>
      </c>
      <c r="AR19" s="684">
        <f>IF(AR$4="forecast",AR$8*'Direct People Department Costs'!$H$8,'Dept. Cost Actuals'!AV714)</f>
        <v>0</v>
      </c>
      <c r="AS19" s="684">
        <f>IF(AS$4="forecast",AS$8*'Direct People Department Costs'!$H$8,'Dept. Cost Actuals'!AW714)</f>
        <v>0</v>
      </c>
      <c r="AT19" s="684">
        <f>IF(AT$4="forecast",AT$8*'Direct People Department Costs'!$H$8,'Dept. Cost Actuals'!AX714)</f>
        <v>0</v>
      </c>
      <c r="AU19" s="684">
        <f>IF(AU$4="forecast",AU$8*'Direct People Department Costs'!$H$8,'Dept. Cost Actuals'!AY714)</f>
        <v>0</v>
      </c>
      <c r="AV19" s="684">
        <f>IF(AV$4="forecast",AV$8*'Direct People Department Costs'!$H$8,'Dept. Cost Actuals'!AZ714)</f>
        <v>0</v>
      </c>
      <c r="AW19" s="684">
        <f>IF(AW$4="forecast",AW$8*'Direct People Department Costs'!$H$8,'Dept. Cost Actuals'!BA714)</f>
        <v>0</v>
      </c>
      <c r="AX19" s="684">
        <f>IF(AX$4="forecast",AX$8*'Direct People Department Costs'!$H$8,'Dept. Cost Actuals'!BB714)</f>
        <v>0</v>
      </c>
      <c r="AY19" s="684">
        <f>IF(AY$4="forecast",AY$8*'Direct People Department Costs'!$H$8,'Dept. Cost Actuals'!BC714)</f>
        <v>0</v>
      </c>
      <c r="AZ19" s="684">
        <f>IF(AZ$4="forecast",AZ$8*'Direct People Department Costs'!$H$8,'Dept. Cost Actuals'!BD714)</f>
        <v>0</v>
      </c>
      <c r="BA19" s="684">
        <f>IF(BA$4="forecast",BA$8*'Direct People Department Costs'!$H$8,'Dept. Cost Actuals'!BE714)</f>
        <v>0</v>
      </c>
      <c r="BB19" s="684">
        <f>IF(BB$4="forecast",BB$8*'Direct People Department Costs'!$H$8,'Dept. Cost Actuals'!BF714)</f>
        <v>0</v>
      </c>
      <c r="BC19" s="684">
        <f>IF(BC$4="forecast",BC$8*'Direct People Department Costs'!$H$8,'Dept. Cost Actuals'!BG714)</f>
        <v>0</v>
      </c>
      <c r="BD19" s="684">
        <f>IF(BD$4="forecast",BD$8*'Direct People Department Costs'!$H$8,'Dept. Cost Actuals'!BH714)</f>
        <v>0</v>
      </c>
      <c r="BE19" s="684">
        <f>IF(BE$4="forecast",BE$8*'Direct People Department Costs'!$H$8,'Dept. Cost Actuals'!BI714)</f>
        <v>0</v>
      </c>
      <c r="BF19" s="684">
        <f>IF(BF$4="forecast",BF$8*'Direct People Department Costs'!$H$8,'Dept. Cost Actuals'!BJ714)</f>
        <v>0</v>
      </c>
      <c r="BG19" s="684">
        <f>IF(BG$4="forecast",BG$8*'Direct People Department Costs'!$H$8,'Dept. Cost Actuals'!BK714)</f>
        <v>0</v>
      </c>
      <c r="BH19" s="684">
        <f>IF(BH$4="forecast",BH$8*'Direct People Department Costs'!$H$8,'Dept. Cost Actuals'!BL714)</f>
        <v>0</v>
      </c>
      <c r="BI19" s="684">
        <f>IF(BI$4="forecast",BI$8*'Direct People Department Costs'!$H$8,'Dept. Cost Actuals'!BM714)</f>
        <v>0</v>
      </c>
      <c r="BJ19" s="684">
        <f>IF(BJ$4="forecast",BJ$8*'Direct People Department Costs'!$H$8,'Dept. Cost Actuals'!BN714)</f>
        <v>0</v>
      </c>
      <c r="BK19" s="684">
        <f>IF(BK$4="forecast",BK$8*'Direct People Department Costs'!$H$8,'Dept. Cost Actuals'!BO714)</f>
        <v>0</v>
      </c>
      <c r="BL19" s="684">
        <f>IF(BL$4="forecast",BL$8*'Direct People Department Costs'!$H$8,'Dept. Cost Actuals'!BP714)</f>
        <v>0</v>
      </c>
      <c r="BM19" s="684">
        <f>IF(BM$4="forecast",BM$8*'Direct People Department Costs'!$H$8,'Dept. Cost Actuals'!BQ714)</f>
        <v>0</v>
      </c>
      <c r="BN19" s="684">
        <f>IF(BN$4="forecast",BN$8*'Direct People Department Costs'!$H$8,'Dept. Cost Actuals'!BR714)</f>
        <v>0</v>
      </c>
      <c r="BO19" s="684">
        <f>IF(BO$4="forecast",BO$8*'Direct People Department Costs'!$H$8,'Dept. Cost Actuals'!BS714)</f>
        <v>0</v>
      </c>
      <c r="BP19" s="684">
        <f>IF(BP$4="forecast",BP$8*'Direct People Department Costs'!$H$8,'Dept. Cost Actuals'!BT714)</f>
        <v>0</v>
      </c>
      <c r="BQ19" s="684">
        <f>IF(BQ$4="forecast",BQ$8*'Direct People Department Costs'!$H$8,'Dept. Cost Actuals'!BU714)</f>
        <v>0</v>
      </c>
      <c r="BR19" s="684">
        <f>IF(BR$4="forecast",BR$8*'Direct People Department Costs'!$H$8,'Dept. Cost Actuals'!BV714)</f>
        <v>0</v>
      </c>
      <c r="BS19" s="684">
        <f>IF(BS$4="forecast",BS$8*'Direct People Department Costs'!$H$8,'Dept. Cost Actuals'!BW714)</f>
        <v>0</v>
      </c>
      <c r="BT19" s="684">
        <f>IF(BT$4="forecast",BT$8*'Direct People Department Costs'!$H$8,'Dept. Cost Actuals'!BX714)</f>
        <v>0</v>
      </c>
      <c r="BU19" s="684">
        <f>IF(BU$4="forecast",BU$8*'Direct People Department Costs'!$H$8,'Dept. Cost Actuals'!BY714)</f>
        <v>0</v>
      </c>
      <c r="BV19" s="808">
        <f>IF(BV$4="forecast",BV$8*'Direct People Department Costs'!$H$8,'Dept. Cost Actuals'!BZ714)</f>
        <v>0</v>
      </c>
    </row>
    <row r="20" spans="2:74" x14ac:dyDescent="0.35">
      <c r="B20" s="812" t="s">
        <v>925</v>
      </c>
      <c r="C20" s="684">
        <f>IF(C$4="forecast",C$8*'Direct People Department Costs'!$H$9,'Dept. Cost Actuals'!G832)</f>
        <v>189.68136626787017</v>
      </c>
      <c r="D20" s="684">
        <f>IF(D$4="forecast",D$8*'Direct People Department Costs'!$H$9,'Dept. Cost Actuals'!H832)</f>
        <v>30.40736543394544</v>
      </c>
      <c r="E20" s="684">
        <f>IF(E$4="forecast",E$8*'Direct People Department Costs'!$H$9,'Dept. Cost Actuals'!I832)</f>
        <v>18.87418962663353</v>
      </c>
      <c r="F20" s="684">
        <f>IF(F$4="forecast",F$8*'Direct People Department Costs'!$H$9,'Dept. Cost Actuals'!J832)</f>
        <v>2114.6729850632873</v>
      </c>
      <c r="G20" s="684">
        <f>IF(G$4="forecast",G$8*'Direct People Department Costs'!$H$9,'Dept. Cost Actuals'!K832)</f>
        <v>98.806770246524138</v>
      </c>
      <c r="H20" s="684">
        <f>IF(H$4="forecast",H$8*'Direct People Department Costs'!$H$9,'Dept. Cost Actuals'!L832)</f>
        <v>1475.4342405611192</v>
      </c>
      <c r="I20" s="684">
        <f>IF(I$4="forecast",I$8*'Direct People Department Costs'!$H$9,'Dept. Cost Actuals'!M832)</f>
        <v>1249.383214302035</v>
      </c>
      <c r="J20" s="684">
        <f>IF(J$4="forecast",J$8*'Direct People Department Costs'!$H$9,'Dept. Cost Actuals'!N832)</f>
        <v>1569.7922023306055</v>
      </c>
      <c r="K20" s="684">
        <f>IF(K$4="forecast",K$8*'Direct People Department Costs'!$H$9,'Dept. Cost Actuals'!O832)</f>
        <v>9.5096398287221486</v>
      </c>
      <c r="L20" s="684">
        <f>IF(L$4="forecast",L$8*'Direct People Department Costs'!$H$9,'Dept. Cost Actuals'!P832)</f>
        <v>1004.538503482869</v>
      </c>
      <c r="M20" s="684">
        <f>IF(M$4="forecast",M$8*'Direct People Department Costs'!$H$9,'Dept. Cost Actuals'!Q832)</f>
        <v>0</v>
      </c>
      <c r="N20" s="684">
        <f>IF(N$4="forecast",N$8*'Direct People Department Costs'!$H$9,'Dept. Cost Actuals'!R832)</f>
        <v>0</v>
      </c>
      <c r="O20" s="684">
        <f>IF(O$4="forecast",O$8*'Direct People Department Costs'!$H$9,'Dept. Cost Actuals'!S832)</f>
        <v>0</v>
      </c>
      <c r="P20" s="684">
        <f>IF(P$4="forecast",P$8*'Direct People Department Costs'!$H$9,'Dept. Cost Actuals'!T832)</f>
        <v>0</v>
      </c>
      <c r="Q20" s="684">
        <f>IF(Q$4="forecast",Q$8*'Direct People Department Costs'!$H$9,'Dept. Cost Actuals'!U832)</f>
        <v>0</v>
      </c>
      <c r="R20" s="684">
        <f>IF(R$4="forecast",R$8*'Direct People Department Costs'!$H$9,'Dept. Cost Actuals'!V832)</f>
        <v>0</v>
      </c>
      <c r="S20" s="684">
        <f>IF(S$4="forecast",S$8*'Direct People Department Costs'!$H$9,'Dept. Cost Actuals'!W832)</f>
        <v>0</v>
      </c>
      <c r="T20" s="684">
        <f>IF(T$4="forecast",T$8*'Direct People Department Costs'!$H$9,'Dept. Cost Actuals'!X832)</f>
        <v>0</v>
      </c>
      <c r="U20" s="684">
        <f>IF(U$4="forecast",U$8*'Direct People Department Costs'!$H$9,'Dept. Cost Actuals'!Y832)</f>
        <v>0</v>
      </c>
      <c r="V20" s="684">
        <f>IF(V$4="forecast",V$8*'Direct People Department Costs'!$H$9,'Dept. Cost Actuals'!Z832)</f>
        <v>0</v>
      </c>
      <c r="W20" s="684">
        <f>IF(W$4="forecast",W$8*'Direct People Department Costs'!$H$9,'Dept. Cost Actuals'!AA832)</f>
        <v>0</v>
      </c>
      <c r="X20" s="684">
        <f>IF(X$4="forecast",X$8*'Direct People Department Costs'!$H$9,'Dept. Cost Actuals'!AB832)</f>
        <v>0</v>
      </c>
      <c r="Y20" s="684">
        <f>IF(Y$4="forecast",Y$8*'Direct People Department Costs'!$H$9,'Dept. Cost Actuals'!AC832)</f>
        <v>0</v>
      </c>
      <c r="Z20" s="684">
        <f>IF(Z$4="forecast",Z$8*'Direct People Department Costs'!$H$9,'Dept. Cost Actuals'!AD832)</f>
        <v>0</v>
      </c>
      <c r="AA20" s="684">
        <f>IF(AA$4="forecast",AA$8*'Direct People Department Costs'!$H$9,'Dept. Cost Actuals'!AE832)</f>
        <v>0</v>
      </c>
      <c r="AB20" s="684">
        <f>IF(AB$4="forecast",AB$8*'Direct People Department Costs'!$H$9,'Dept. Cost Actuals'!AF832)</f>
        <v>0</v>
      </c>
      <c r="AC20" s="684">
        <f>IF(AC$4="forecast",AC$8*'Direct People Department Costs'!$H$9,'Dept. Cost Actuals'!AG832)</f>
        <v>0</v>
      </c>
      <c r="AD20" s="684">
        <f>IF(AD$4="forecast",AD$8*'Direct People Department Costs'!$H$9,'Dept. Cost Actuals'!AH832)</f>
        <v>0</v>
      </c>
      <c r="AE20" s="684">
        <f>IF(AE$4="forecast",AE$8*'Direct People Department Costs'!$H$9,'Dept. Cost Actuals'!AI832)</f>
        <v>0</v>
      </c>
      <c r="AF20" s="684">
        <f>IF(AF$4="forecast",AF$8*'Direct People Department Costs'!$H$9,'Dept. Cost Actuals'!AJ832)</f>
        <v>0</v>
      </c>
      <c r="AG20" s="684">
        <f>IF(AG$4="forecast",AG$8*'Direct People Department Costs'!$H$9,'Dept. Cost Actuals'!AK832)</f>
        <v>0</v>
      </c>
      <c r="AH20" s="684">
        <f>IF(AH$4="forecast",AH$8*'Direct People Department Costs'!$H$9,'Dept. Cost Actuals'!AL832)</f>
        <v>0</v>
      </c>
      <c r="AI20" s="684">
        <f>IF(AI$4="forecast",AI$8*'Direct People Department Costs'!$H$9,'Dept. Cost Actuals'!AM832)</f>
        <v>0</v>
      </c>
      <c r="AJ20" s="684">
        <f>IF(AJ$4="forecast",AJ$8*'Direct People Department Costs'!$H$9,'Dept. Cost Actuals'!AN832)</f>
        <v>0</v>
      </c>
      <c r="AK20" s="684">
        <f>IF(AK$4="forecast",AK$8*'Direct People Department Costs'!$H$9,'Dept. Cost Actuals'!AO832)</f>
        <v>0</v>
      </c>
      <c r="AL20" s="684">
        <f>IF(AL$4="forecast",AL$8*'Direct People Department Costs'!$H$9,'Dept. Cost Actuals'!AP832)</f>
        <v>0</v>
      </c>
      <c r="AM20" s="684">
        <f>IF(AM$4="forecast",AM$8*'Direct People Department Costs'!$H$9,'Dept. Cost Actuals'!AQ832)</f>
        <v>0</v>
      </c>
      <c r="AN20" s="684">
        <f>IF(AN$4="forecast",AN$8*'Direct People Department Costs'!$H$9,'Dept. Cost Actuals'!AR832)</f>
        <v>0</v>
      </c>
      <c r="AO20" s="684">
        <f>IF(AO$4="forecast",AO$8*'Direct People Department Costs'!$H$9,'Dept. Cost Actuals'!AS832)</f>
        <v>0</v>
      </c>
      <c r="AP20" s="684">
        <f>IF(AP$4="forecast",AP$8*'Direct People Department Costs'!$H$9,'Dept. Cost Actuals'!AT832)</f>
        <v>0</v>
      </c>
      <c r="AQ20" s="684">
        <f>IF(AQ$4="forecast",AQ$8*'Direct People Department Costs'!$H$9,'Dept. Cost Actuals'!AU832)</f>
        <v>0</v>
      </c>
      <c r="AR20" s="684">
        <f>IF(AR$4="forecast",AR$8*'Direct People Department Costs'!$H$9,'Dept. Cost Actuals'!AV832)</f>
        <v>0</v>
      </c>
      <c r="AS20" s="684">
        <f>IF(AS$4="forecast",AS$8*'Direct People Department Costs'!$H$9,'Dept. Cost Actuals'!AW832)</f>
        <v>0</v>
      </c>
      <c r="AT20" s="684">
        <f>IF(AT$4="forecast",AT$8*'Direct People Department Costs'!$H$9,'Dept. Cost Actuals'!AX832)</f>
        <v>0</v>
      </c>
      <c r="AU20" s="684">
        <f>IF(AU$4="forecast",AU$8*'Direct People Department Costs'!$H$9,'Dept. Cost Actuals'!AY832)</f>
        <v>0</v>
      </c>
      <c r="AV20" s="684">
        <f>IF(AV$4="forecast",AV$8*'Direct People Department Costs'!$H$9,'Dept. Cost Actuals'!AZ832)</f>
        <v>0</v>
      </c>
      <c r="AW20" s="684">
        <f>IF(AW$4="forecast",AW$8*'Direct People Department Costs'!$H$9,'Dept. Cost Actuals'!BA832)</f>
        <v>0</v>
      </c>
      <c r="AX20" s="684">
        <f>IF(AX$4="forecast",AX$8*'Direct People Department Costs'!$H$9,'Dept. Cost Actuals'!BB832)</f>
        <v>0</v>
      </c>
      <c r="AY20" s="684">
        <f>IF(AY$4="forecast",AY$8*'Direct People Department Costs'!$H$9,'Dept. Cost Actuals'!BC832)</f>
        <v>0</v>
      </c>
      <c r="AZ20" s="684">
        <f>IF(AZ$4="forecast",AZ$8*'Direct People Department Costs'!$H$9,'Dept. Cost Actuals'!BD832)</f>
        <v>0</v>
      </c>
      <c r="BA20" s="684">
        <f>IF(BA$4="forecast",BA$8*'Direct People Department Costs'!$H$9,'Dept. Cost Actuals'!BE832)</f>
        <v>0</v>
      </c>
      <c r="BB20" s="684">
        <f>IF(BB$4="forecast",BB$8*'Direct People Department Costs'!$H$9,'Dept. Cost Actuals'!BF832)</f>
        <v>0</v>
      </c>
      <c r="BC20" s="684">
        <f>IF(BC$4="forecast",BC$8*'Direct People Department Costs'!$H$9,'Dept. Cost Actuals'!BG832)</f>
        <v>0</v>
      </c>
      <c r="BD20" s="684">
        <f>IF(BD$4="forecast",BD$8*'Direct People Department Costs'!$H$9,'Dept. Cost Actuals'!BH832)</f>
        <v>0</v>
      </c>
      <c r="BE20" s="684">
        <f>IF(BE$4="forecast",BE$8*'Direct People Department Costs'!$H$9,'Dept. Cost Actuals'!BI832)</f>
        <v>0</v>
      </c>
      <c r="BF20" s="684">
        <f>IF(BF$4="forecast",BF$8*'Direct People Department Costs'!$H$9,'Dept. Cost Actuals'!BJ832)</f>
        <v>0</v>
      </c>
      <c r="BG20" s="684">
        <f>IF(BG$4="forecast",BG$8*'Direct People Department Costs'!$H$9,'Dept. Cost Actuals'!BK832)</f>
        <v>0</v>
      </c>
      <c r="BH20" s="684">
        <f>IF(BH$4="forecast",BH$8*'Direct People Department Costs'!$H$9,'Dept. Cost Actuals'!BL832)</f>
        <v>0</v>
      </c>
      <c r="BI20" s="684">
        <f>IF(BI$4="forecast",BI$8*'Direct People Department Costs'!$H$9,'Dept. Cost Actuals'!BM832)</f>
        <v>0</v>
      </c>
      <c r="BJ20" s="684">
        <f>IF(BJ$4="forecast",BJ$8*'Direct People Department Costs'!$H$9,'Dept. Cost Actuals'!BN832)</f>
        <v>0</v>
      </c>
      <c r="BK20" s="684">
        <f>IF(BK$4="forecast",BK$8*'Direct People Department Costs'!$H$9,'Dept. Cost Actuals'!BO832)</f>
        <v>0</v>
      </c>
      <c r="BL20" s="684">
        <f>IF(BL$4="forecast",BL$8*'Direct People Department Costs'!$H$9,'Dept. Cost Actuals'!BP832)</f>
        <v>0</v>
      </c>
      <c r="BM20" s="684">
        <f>IF(BM$4="forecast",BM$8*'Direct People Department Costs'!$H$9,'Dept. Cost Actuals'!BQ832)</f>
        <v>0</v>
      </c>
      <c r="BN20" s="684">
        <f>IF(BN$4="forecast",BN$8*'Direct People Department Costs'!$H$9,'Dept. Cost Actuals'!BR832)</f>
        <v>0</v>
      </c>
      <c r="BO20" s="684">
        <f>IF(BO$4="forecast",BO$8*'Direct People Department Costs'!$H$9,'Dept. Cost Actuals'!BS832)</f>
        <v>0</v>
      </c>
      <c r="BP20" s="684">
        <f>IF(BP$4="forecast",BP$8*'Direct People Department Costs'!$H$9,'Dept. Cost Actuals'!BT832)</f>
        <v>0</v>
      </c>
      <c r="BQ20" s="684">
        <f>IF(BQ$4="forecast",BQ$8*'Direct People Department Costs'!$H$9,'Dept. Cost Actuals'!BU832)</f>
        <v>0</v>
      </c>
      <c r="BR20" s="684">
        <f>IF(BR$4="forecast",BR$8*'Direct People Department Costs'!$H$9,'Dept. Cost Actuals'!BV832)</f>
        <v>0</v>
      </c>
      <c r="BS20" s="684">
        <f>IF(BS$4="forecast",BS$8*'Direct People Department Costs'!$H$9,'Dept. Cost Actuals'!BW832)</f>
        <v>0</v>
      </c>
      <c r="BT20" s="684">
        <f>IF(BT$4="forecast",BT$8*'Direct People Department Costs'!$H$9,'Dept. Cost Actuals'!BX832)</f>
        <v>0</v>
      </c>
      <c r="BU20" s="684">
        <f>IF(BU$4="forecast",BU$8*'Direct People Department Costs'!$H$9,'Dept. Cost Actuals'!BY832)</f>
        <v>0</v>
      </c>
      <c r="BV20" s="808">
        <f>IF(BV$4="forecast",BV$8*'Direct People Department Costs'!$H$9,'Dept. Cost Actuals'!BZ832)</f>
        <v>0</v>
      </c>
    </row>
    <row r="21" spans="2:74" x14ac:dyDescent="0.35">
      <c r="B21" s="812" t="s">
        <v>433</v>
      </c>
      <c r="C21" s="684">
        <f>IF(C$4="forecast",(AVERAGE(#REF!)),'Dept. Cost Actuals'!G787)</f>
        <v>74.097352073429349</v>
      </c>
      <c r="D21" s="684">
        <f>IF(D$4="forecast",(AVERAGE(#REF!)),'Dept. Cost Actuals'!H787)</f>
        <v>206.9710936402239</v>
      </c>
      <c r="E21" s="684">
        <f>IF(E$4="forecast",(AVERAGE(#REF!)),'Dept. Cost Actuals'!I787)</f>
        <v>144.46430568156146</v>
      </c>
      <c r="F21" s="684">
        <f>IF(F$4="forecast",(AVERAGE(#REF!)),'Dept. Cost Actuals'!J787)</f>
        <v>320.33566479774646</v>
      </c>
      <c r="G21" s="684">
        <f>IF(G$4="forecast",(AVERAGE(#REF!)),'Dept. Cost Actuals'!K787)</f>
        <v>292.25774929416787</v>
      </c>
      <c r="H21" s="684">
        <f>IF(H$4="forecast",(AVERAGE(#REF!)),'Dept. Cost Actuals'!L787)</f>
        <v>285.00626242712076</v>
      </c>
      <c r="I21" s="684">
        <f>IF(I$4="forecast",(AVERAGE(#REF!)),'Dept. Cost Actuals'!M787)</f>
        <v>93.015406139960859</v>
      </c>
      <c r="J21" s="684">
        <f>IF(J$4="forecast",(AVERAGE(#REF!)),'Dept. Cost Actuals'!N787)</f>
        <v>328.30584745874495</v>
      </c>
      <c r="K21" s="684">
        <f>IF(K$4="forecast",(AVERAGE(#REF!)),'Dept. Cost Actuals'!O787)</f>
        <v>582.30397606951681</v>
      </c>
      <c r="L21" s="684">
        <f>IF(L$4="forecast",(AVERAGE(#REF!)),'Dept. Cost Actuals'!P787)</f>
        <v>514.16438756924765</v>
      </c>
      <c r="M21" s="684">
        <f>IF(M$4="forecast",(AVERAGE(A21:L21)),'Dept. Cost Actuals'!Q787)</f>
        <v>150.8512055419566</v>
      </c>
      <c r="N21" s="684">
        <f>IF(N$4="forecast",(AVERAGE(B21:M21)),'Dept. Cost Actuals'!R787)</f>
        <v>79.734106467475044</v>
      </c>
      <c r="O21" s="684">
        <f>IF(O$4="forecast",(AVERAGE(C21:N21)),'Dept. Cost Actuals'!S787)</f>
        <v>864.12</v>
      </c>
      <c r="P21" s="684">
        <f>IF(P$4="forecast",(AVERAGE(D21:O21)),'Dept. Cost Actuals'!T787)</f>
        <v>0</v>
      </c>
      <c r="Q21" s="684">
        <f>IF(Q$4="forecast",(AVERAGE(E21:P21)),'Dept. Cost Actuals'!U787)</f>
        <v>1785.46</v>
      </c>
      <c r="R21" s="684">
        <f>IF(R$4="forecast",(AVERAGE(F21:Q21)),'Dept. Cost Actuals'!V787)</f>
        <v>183.88</v>
      </c>
      <c r="S21" s="684">
        <f>IF(S$4="forecast",(AVERAGE(G21:R21)),'Dept. Cost Actuals'!W787)</f>
        <v>1777.08</v>
      </c>
      <c r="T21" s="684">
        <f>IF(T$4="forecast",(AVERAGE(H21:S21)),'Dept. Cost Actuals'!X787)</f>
        <v>-889.72</v>
      </c>
      <c r="U21" s="684">
        <f>IF(U$4="forecast",(AVERAGE(I21:T21)),'Dept. Cost Actuals'!Y787)</f>
        <v>13</v>
      </c>
      <c r="V21" s="684">
        <f>IF(V$4="forecast",(AVERAGE(J21:U21)),'Dept. Cost Actuals'!Z787)</f>
        <v>1819.42</v>
      </c>
      <c r="W21" s="684">
        <f>IF(W$4="forecast",(AVERAGE(K21:V21)),'Dept. Cost Actuals'!AA787)</f>
        <v>255.3</v>
      </c>
      <c r="X21" s="684">
        <f>IF(X$4="forecast",(AVERAGE(L21:W21)),'Dept. Cost Actuals'!AB787)</f>
        <v>6401.27</v>
      </c>
      <c r="Y21" s="684">
        <f>IF(Y$4="forecast",(AVERAGE(M21:X21)),'Dept. Cost Actuals'!AC787)</f>
        <v>4130.91</v>
      </c>
      <c r="Z21" s="684">
        <f>IF(Z$4="forecast",(AVERAGE(N21:Y21)),'Dept. Cost Actuals'!AD787)</f>
        <v>1102.92</v>
      </c>
      <c r="AA21" s="684">
        <f>IF(AA$4="forecast",(AVERAGE(O21:Z21)+15000/12),'Dept. Cost Actuals'!AE787)</f>
        <v>2703.6366666666663</v>
      </c>
      <c r="AB21" s="684">
        <f>IF(AB$4="forecast",(AVERAGE(P21:AA21)+15000/12),'Dept. Cost Actuals'!AF787)</f>
        <v>2856.9297222222222</v>
      </c>
      <c r="AC21" s="684">
        <f>IF(AC$4="forecast",(AVERAGE(Q21:AB21)+15000/12),'Dept. Cost Actuals'!AG787)</f>
        <v>3095.0071990740744</v>
      </c>
      <c r="AD21" s="684">
        <f>IF(AD$4="forecast",(AVERAGE(R21:AC21)+15000/12),'Dept. Cost Actuals'!AH787)</f>
        <v>3204.1361323302472</v>
      </c>
      <c r="AE21" s="684">
        <f>IF(AE$4="forecast",(AVERAGE(S21:AD21)+15000/12),'Dept. Cost Actuals'!AI787)</f>
        <v>3455.8241433577678</v>
      </c>
      <c r="AF21" s="684">
        <f>IF(AF$4="forecast",(AVERAGE(T21:AE21)+15000/12),'Dept. Cost Actuals'!AJ787)</f>
        <v>3595.7194886375814</v>
      </c>
      <c r="AG21" s="684">
        <f>IF(AG$4="forecast",(AVERAGE(U21:AF21)+15000/12),'Dept. Cost Actuals'!AK787)</f>
        <v>3969.5061126907135</v>
      </c>
      <c r="AH21" s="684">
        <f>IF(AH$4="forecast",(AVERAGE(V21:AG21)+15000/12),'Dept. Cost Actuals'!AL787)</f>
        <v>4299.2149554149401</v>
      </c>
      <c r="AI21" s="684">
        <f>IF(AI$4="forecast",(AVERAGE(W21:AH21)+15000/12),'Dept. Cost Actuals'!AM787)</f>
        <v>4505.8645350328516</v>
      </c>
      <c r="AJ21" s="684">
        <f>IF(AJ$4="forecast",(AVERAGE(X21:AI21)+15000/12),'Dept. Cost Actuals'!AN787)</f>
        <v>4860.0782462855896</v>
      </c>
      <c r="AK21" s="684">
        <f>IF(AK$4="forecast",(AVERAGE(Y21:AJ21)+15000/12),'Dept. Cost Actuals'!AO787)</f>
        <v>4731.6456001427214</v>
      </c>
      <c r="AL21" s="684">
        <f>IF(AL$4="forecast",(AVERAGE(Z21:AK21)+15000/12),'Dept. Cost Actuals'!AP787)</f>
        <v>4781.7069001546151</v>
      </c>
      <c r="AM21" s="684">
        <f>IF(AM$4="forecast",(AVERAGE(AA21:AL21)),'Dept. Cost Actuals'!AQ787)</f>
        <v>3838.2724751674991</v>
      </c>
      <c r="AN21" s="684">
        <f>IF(AN$4="forecast",(AVERAGE(AB21:AM21)),'Dept. Cost Actuals'!AR787)</f>
        <v>3932.8254592092358</v>
      </c>
      <c r="AO21" s="684">
        <f>IF(AO$4="forecast",(AVERAGE(AC21:AN21)),'Dept. Cost Actuals'!AS787)</f>
        <v>4022.4834372914866</v>
      </c>
      <c r="AP21" s="684">
        <f>IF(AP$4="forecast",(AVERAGE(AD21:AO21)),'Dept. Cost Actuals'!AT787)</f>
        <v>4099.773123809603</v>
      </c>
      <c r="AQ21" s="684">
        <f>IF(AQ$4="forecast",(AVERAGE(AE21:AP21)),'Dept. Cost Actuals'!AU787)</f>
        <v>4174.4095397662168</v>
      </c>
      <c r="AR21" s="684">
        <f>IF(AR$4="forecast",(AVERAGE(AF21:AQ21)),'Dept. Cost Actuals'!AV787)</f>
        <v>4234.2916561335878</v>
      </c>
      <c r="AS21" s="684">
        <f>IF(AS$4="forecast",(AVERAGE(AG21:AR21)),'Dept. Cost Actuals'!AW787)</f>
        <v>4287.5060034249209</v>
      </c>
      <c r="AT21" s="684">
        <f>IF(AT$4="forecast",(AVERAGE(AH21:AS21)),'Dept. Cost Actuals'!AX787)</f>
        <v>4314.0059943194383</v>
      </c>
      <c r="AU21" s="684">
        <f>IF(AU$4="forecast",(AVERAGE(AI21:AT21)),'Dept. Cost Actuals'!AY787)</f>
        <v>4315.2385808948129</v>
      </c>
      <c r="AV21" s="684">
        <f>IF(AV$4="forecast",(AVERAGE(AJ21:AU21)),'Dept. Cost Actuals'!AZ787)</f>
        <v>4299.353084716643</v>
      </c>
      <c r="AW21" s="684">
        <f>IF(AW$4="forecast",(AVERAGE(AK21:AV21)),'Dept. Cost Actuals'!BA787)</f>
        <v>4252.6259879192303</v>
      </c>
      <c r="AX21" s="684">
        <f>IF(AX$4="forecast",(AVERAGE(AL21:AW21)),'Dept. Cost Actuals'!BB787)</f>
        <v>4212.7076869006069</v>
      </c>
      <c r="AY21" s="684">
        <f>IF(AY$4="forecast",(AVERAGE(AM21:AX21)),'Dept. Cost Actuals'!BC787)</f>
        <v>4165.291085796106</v>
      </c>
      <c r="AZ21" s="684">
        <f>IF(AZ$4="forecast",(AVERAGE(AN21:AY21)),'Dept. Cost Actuals'!BD787)</f>
        <v>4192.5426366818238</v>
      </c>
      <c r="BA21" s="684">
        <f>IF(BA$4="forecast",(AVERAGE(AO21:AZ21)),'Dept. Cost Actuals'!BE787)</f>
        <v>4214.1857348045387</v>
      </c>
      <c r="BB21" s="684">
        <f>IF(BB$4="forecast",(AVERAGE(AP21:BA21)),'Dept. Cost Actuals'!BF787)</f>
        <v>4230.1609262639604</v>
      </c>
      <c r="BC21" s="684">
        <f>IF(BC$4="forecast",(AVERAGE(AQ21:BB21)),'Dept. Cost Actuals'!BG787)</f>
        <v>4241.02657646849</v>
      </c>
      <c r="BD21" s="684">
        <f>IF(BD$4="forecast",(AVERAGE(AR21:BC21)),'Dept. Cost Actuals'!BH787)</f>
        <v>4246.5779961936796</v>
      </c>
      <c r="BE21" s="684">
        <f>IF(BE$4="forecast",(AVERAGE(AS21:BD21)),'Dept. Cost Actuals'!BI787)</f>
        <v>4247.6018578653538</v>
      </c>
      <c r="BF21" s="684">
        <f>IF(BF$4="forecast",(AVERAGE(AT21:BE21)),'Dept. Cost Actuals'!BJ787)</f>
        <v>4244.2765124020571</v>
      </c>
      <c r="BG21" s="684">
        <f>IF(BG$4="forecast",(AVERAGE(AU21:BF21)),'Dept. Cost Actuals'!BK787)</f>
        <v>4238.4657222422748</v>
      </c>
      <c r="BH21" s="684">
        <f>IF(BH$4="forecast",(AVERAGE(AV21:BG21)),'Dept. Cost Actuals'!BL787)</f>
        <v>4232.0679840212306</v>
      </c>
      <c r="BI21" s="684">
        <f>IF(BI$4="forecast",(AVERAGE(AW21:BH21)),'Dept. Cost Actuals'!BM787)</f>
        <v>4226.4608922966136</v>
      </c>
      <c r="BJ21" s="684">
        <f>IF(BJ$4="forecast",(AVERAGE(AX21:BI21)),'Dept. Cost Actuals'!BN787)</f>
        <v>4224.2804676613951</v>
      </c>
      <c r="BK21" s="684">
        <f>IF(BK$4="forecast",(AVERAGE(AY21:BJ21)),'Dept. Cost Actuals'!BO787)</f>
        <v>4225.2448660581276</v>
      </c>
      <c r="BL21" s="684">
        <f>IF(BL$4="forecast",(AVERAGE(AZ21:BK21)),'Dept. Cost Actuals'!BP787)</f>
        <v>4230.2410144132964</v>
      </c>
      <c r="BM21" s="684">
        <f>IF(BM$4="forecast",(AVERAGE(BA21:BL21)),'Dept. Cost Actuals'!BQ787)</f>
        <v>4233.3825458909187</v>
      </c>
      <c r="BN21" s="684">
        <f>IF(BN$4="forecast",(AVERAGE(BB21:BM21)),'Dept. Cost Actuals'!BR787)</f>
        <v>4234.9822801481168</v>
      </c>
      <c r="BO21" s="684">
        <f>IF(BO$4="forecast",(AVERAGE(BC21:BN21)),'Dept. Cost Actuals'!BS787)</f>
        <v>4235.3840596384625</v>
      </c>
      <c r="BP21" s="684">
        <f>IF(BP$4="forecast",(AVERAGE(BD21:BO21)),'Dept. Cost Actuals'!BT787)</f>
        <v>4234.9138499026276</v>
      </c>
      <c r="BQ21" s="684">
        <f>IF(BQ$4="forecast",(AVERAGE(BE21:BP21)),'Dept. Cost Actuals'!BU787)</f>
        <v>4233.9418377117063</v>
      </c>
      <c r="BR21" s="684">
        <f>IF(BR$4="forecast",(AVERAGE(BF21:BQ21)),'Dept. Cost Actuals'!BV787)</f>
        <v>4232.8035026989019</v>
      </c>
      <c r="BS21" s="684">
        <f>IF(BS$4="forecast",(AVERAGE(BG21:BR21)),'Dept. Cost Actuals'!BW787)</f>
        <v>4231.847418556973</v>
      </c>
      <c r="BT21" s="684">
        <f>IF(BT$4="forecast",(AVERAGE(BH21:BS21)),'Dept. Cost Actuals'!BX787)</f>
        <v>4231.2958932498641</v>
      </c>
      <c r="BU21" s="684">
        <f>IF(BU$4="forecast",(AVERAGE(BI21:BT21)),'Dept. Cost Actuals'!BY787)</f>
        <v>4231.2315523522502</v>
      </c>
      <c r="BV21" s="808">
        <f>IF(BV$4="forecast",(AVERAGE(BJ21:BU21)),'Dept. Cost Actuals'!BZ787)</f>
        <v>4231.6291073568864</v>
      </c>
    </row>
    <row r="22" spans="2:74" x14ac:dyDescent="0.35">
      <c r="B22" s="812" t="s">
        <v>942</v>
      </c>
      <c r="C22" s="684">
        <f>IF(C$4="forecast",(AVERAGE(#REF!)),'Dept. Cost Actuals'!G756)</f>
        <v>302.77830672229516</v>
      </c>
      <c r="D22" s="684">
        <f>IF(D$4="forecast",(AVERAGE(#REF!)),'Dept. Cost Actuals'!H756)</f>
        <v>107.12866927662951</v>
      </c>
      <c r="E22" s="684">
        <f>IF(E$4="forecast",(AVERAGE(#REF!)),'Dept. Cost Actuals'!I756)</f>
        <v>115.242027022299</v>
      </c>
      <c r="F22" s="684">
        <f>IF(F$4="forecast",(AVERAGE(#REF!)),'Dept. Cost Actuals'!J756)</f>
        <v>188.05275791701524</v>
      </c>
      <c r="G22" s="684">
        <f>IF(G$4="forecast",(AVERAGE(#REF!)),'Dept. Cost Actuals'!K756)</f>
        <v>258.32489440135402</v>
      </c>
      <c r="H22" s="684">
        <f>IF(H$4="forecast",(AVERAGE(#REF!)),'Dept. Cost Actuals'!L756)</f>
        <v>341.19035999850996</v>
      </c>
      <c r="I22" s="684">
        <f>IF(I$4="forecast",(AVERAGE(#REF!)),'Dept. Cost Actuals'!M756)</f>
        <v>236.31244924632784</v>
      </c>
      <c r="J22" s="684">
        <f>IF(J$4="forecast",(AVERAGE(#REF!)),'Dept. Cost Actuals'!N756)</f>
        <v>180.88595017619494</v>
      </c>
      <c r="K22" s="684">
        <f>IF(K$4="forecast",(AVERAGE(#REF!)),'Dept. Cost Actuals'!O756)</f>
        <v>268.66217237424803</v>
      </c>
      <c r="L22" s="684">
        <f>IF(L$4="forecast",(AVERAGE(#REF!)),'Dept. Cost Actuals'!P756)</f>
        <v>290.95128970301607</v>
      </c>
      <c r="M22" s="684">
        <f>IF(M$4="forecast",(AVERAGE(A22:L22)),'Dept. Cost Actuals'!Q756)</f>
        <v>117.16349856523964</v>
      </c>
      <c r="N22" s="684">
        <f>IF(N$4="forecast",(AVERAGE(B22:M22)),'Dept. Cost Actuals'!R756)</f>
        <v>26.426062591615533</v>
      </c>
      <c r="O22" s="684">
        <f>IF(O$4="forecast",(AVERAGE(C22:N22)),'Dept. Cost Actuals'!S756)</f>
        <v>0</v>
      </c>
      <c r="P22" s="684">
        <f>IF(P$4="forecast",(AVERAGE(D22:O22)),'Dept. Cost Actuals'!T756)</f>
        <v>0</v>
      </c>
      <c r="Q22" s="684">
        <f>IF(Q$4="forecast",(AVERAGE(E22:P22)),'Dept. Cost Actuals'!U756)</f>
        <v>419.38</v>
      </c>
      <c r="R22" s="684">
        <f>IF(R$4="forecast",(AVERAGE(F22:Q22)),'Dept. Cost Actuals'!V756)</f>
        <v>746.4</v>
      </c>
      <c r="S22" s="684">
        <f>IF(S$4="forecast",(AVERAGE(G22:R22)),'Dept. Cost Actuals'!W756)</f>
        <v>226.48</v>
      </c>
      <c r="T22" s="684">
        <f>IF(T$4="forecast",(AVERAGE(H22:S22)),'Dept. Cost Actuals'!X756)</f>
        <v>0</v>
      </c>
      <c r="U22" s="684">
        <f>IF(U$4="forecast",(AVERAGE(I22:T22)),'Dept. Cost Actuals'!Y756)</f>
        <v>0</v>
      </c>
      <c r="V22" s="684">
        <f>IF(V$4="forecast",(AVERAGE(J22:U22)),'Dept. Cost Actuals'!Z756)</f>
        <v>72.69</v>
      </c>
      <c r="W22" s="684">
        <f>IF(W$4="forecast",(AVERAGE(K22:V22)),'Dept. Cost Actuals'!AA756)</f>
        <v>0</v>
      </c>
      <c r="X22" s="684">
        <f>IF(X$4="forecast",(AVERAGE(L22:W22)),'Dept. Cost Actuals'!AB756)</f>
        <v>76.680000000000007</v>
      </c>
      <c r="Y22" s="684">
        <f>IF(Y$4="forecast",(AVERAGE(M22:X22)),'Dept. Cost Actuals'!AC756)</f>
        <v>1447.77</v>
      </c>
      <c r="Z22" s="684">
        <f>IF(Z$4="forecast",(AVERAGE(N22:Y22)),'Dept. Cost Actuals'!AD756)</f>
        <v>0</v>
      </c>
      <c r="AA22" s="684">
        <f>IF(AA$4="forecast",(AVERAGE(O22:Z22)),'Dept. Cost Actuals'!AE756)</f>
        <v>249.11666666666667</v>
      </c>
      <c r="AB22" s="684">
        <f>IF(AB$4="forecast",(AVERAGE(P22:AA22)),'Dept. Cost Actuals'!AF756)</f>
        <v>269.87638888888893</v>
      </c>
      <c r="AC22" s="684">
        <f>IF(AC$4="forecast",(AVERAGE(Q22:AB22)),'Dept. Cost Actuals'!AG756)</f>
        <v>292.36608796296298</v>
      </c>
      <c r="AD22" s="684">
        <f>IF(AD$4="forecast",(AVERAGE(R22:AC22)),'Dept. Cost Actuals'!AH756)</f>
        <v>281.78159529320988</v>
      </c>
      <c r="AE22" s="684">
        <f>IF(AE$4="forecast",(AVERAGE(S22:AD22)),'Dept. Cost Actuals'!AI756)</f>
        <v>243.06339490097739</v>
      </c>
      <c r="AF22" s="684">
        <f>IF(AF$4="forecast",(AVERAGE(T22:AE22)),'Dept. Cost Actuals'!AJ756)</f>
        <v>244.44534447605881</v>
      </c>
      <c r="AG22" s="684">
        <f>IF(AG$4="forecast",(AVERAGE(U22:AF22)),'Dept. Cost Actuals'!AK756)</f>
        <v>264.81578984906372</v>
      </c>
      <c r="AH22" s="684">
        <f>IF(AH$4="forecast",(AVERAGE(V22:AG22)),'Dept. Cost Actuals'!AL756)</f>
        <v>286.88377233648566</v>
      </c>
      <c r="AI22" s="684">
        <f>IF(AI$4="forecast",(AVERAGE(W22:AH22)),'Dept. Cost Actuals'!AM756)</f>
        <v>304.73325336452621</v>
      </c>
      <c r="AJ22" s="684">
        <f>IF(AJ$4="forecast",(AVERAGE(X22:AI22)),'Dept. Cost Actuals'!AN756)</f>
        <v>330.12769114490339</v>
      </c>
      <c r="AK22" s="684">
        <f>IF(AK$4="forecast",(AVERAGE(Y22:AJ22)),'Dept. Cost Actuals'!AO756)</f>
        <v>351.24833207364532</v>
      </c>
      <c r="AL22" s="684">
        <f>IF(AL$4="forecast",(AVERAGE(Z22:AK22)),'Dept. Cost Actuals'!AP756)</f>
        <v>259.87152641311582</v>
      </c>
      <c r="AM22" s="684">
        <f>IF(AM$4="forecast",(AVERAGE(AA22:AL22)),'Dept. Cost Actuals'!AQ756)</f>
        <v>281.52748694754217</v>
      </c>
      <c r="AN22" s="684">
        <f>IF(AN$4="forecast",(AVERAGE(AB22:AM22)),'Dept. Cost Actuals'!AR756)</f>
        <v>284.22838863761501</v>
      </c>
      <c r="AO22" s="684">
        <f>IF(AO$4="forecast",(AVERAGE(AC22:AN22)),'Dept. Cost Actuals'!AS756)</f>
        <v>285.42438861667551</v>
      </c>
      <c r="AP22" s="684">
        <f>IF(AP$4="forecast",(AVERAGE(AD22:AO22)),'Dept. Cost Actuals'!AT756)</f>
        <v>284.84591367115155</v>
      </c>
      <c r="AQ22" s="684">
        <f>IF(AQ$4="forecast",(AVERAGE(AE22:AP22)),'Dept. Cost Actuals'!AU756)</f>
        <v>285.10127353598006</v>
      </c>
      <c r="AR22" s="684">
        <f>IF(AR$4="forecast",(AVERAGE(AF22:AQ22)),'Dept. Cost Actuals'!AV756)</f>
        <v>288.60443008889689</v>
      </c>
      <c r="AS22" s="684">
        <f>IF(AS$4="forecast",(AVERAGE(AG22:AR22)),'Dept. Cost Actuals'!AW756)</f>
        <v>292.28435388996678</v>
      </c>
      <c r="AT22" s="684">
        <f>IF(AT$4="forecast",(AVERAGE(AH22:AS22)),'Dept. Cost Actuals'!AX756)</f>
        <v>294.57340089337544</v>
      </c>
      <c r="AU22" s="684">
        <f>IF(AU$4="forecast",(AVERAGE(AI22:AT22)),'Dept. Cost Actuals'!AY756)</f>
        <v>295.2142032731162</v>
      </c>
      <c r="AV22" s="684">
        <f>IF(AV$4="forecast",(AVERAGE(AJ22:AU22)),'Dept. Cost Actuals'!AZ756)</f>
        <v>294.42094909883207</v>
      </c>
      <c r="AW22" s="684">
        <f>IF(AW$4="forecast",(AVERAGE(AK22:AV22)),'Dept. Cost Actuals'!BA756)</f>
        <v>291.44538726165939</v>
      </c>
      <c r="AX22" s="684">
        <f>IF(AX$4="forecast",(AVERAGE(AL22:AW22)),'Dept. Cost Actuals'!BB756)</f>
        <v>286.46180852732726</v>
      </c>
      <c r="AY22" s="684">
        <f>IF(AY$4="forecast",(AVERAGE(AM22:AX22)),'Dept. Cost Actuals'!BC756)</f>
        <v>288.6776653701782</v>
      </c>
      <c r="AZ22" s="684">
        <f>IF(AZ$4="forecast",(AVERAGE(AN22:AY22)),'Dept. Cost Actuals'!BD756)</f>
        <v>289.27351357206453</v>
      </c>
      <c r="BA22" s="684">
        <f>IF(BA$4="forecast",(AVERAGE(AO22:AZ22)),'Dept. Cost Actuals'!BE756)</f>
        <v>289.69394064993531</v>
      </c>
      <c r="BB22" s="684">
        <f>IF(BB$4="forecast",(AVERAGE(AP22:BA22)),'Dept. Cost Actuals'!BF756)</f>
        <v>290.049736652707</v>
      </c>
      <c r="BC22" s="684">
        <f>IF(BC$4="forecast",(AVERAGE(AQ22:BB22)),'Dept. Cost Actuals'!BG756)</f>
        <v>290.48338856783658</v>
      </c>
      <c r="BD22" s="684">
        <f>IF(BD$4="forecast",(AVERAGE(AR22:BC22)),'Dept. Cost Actuals'!BH756)</f>
        <v>290.93189815382465</v>
      </c>
      <c r="BE22" s="684">
        <f>IF(BE$4="forecast",(AVERAGE(AS22:BD22)),'Dept. Cost Actuals'!BI756)</f>
        <v>291.12585382590197</v>
      </c>
      <c r="BF22" s="684">
        <f>IF(BF$4="forecast",(AVERAGE(AT22:BE22)),'Dept. Cost Actuals'!BJ756)</f>
        <v>291.02931215389657</v>
      </c>
      <c r="BG22" s="684">
        <f>IF(BG$4="forecast",(AVERAGE(AU22:BF22)),'Dept. Cost Actuals'!BK756)</f>
        <v>290.73397142560668</v>
      </c>
      <c r="BH22" s="684">
        <f>IF(BH$4="forecast",(AVERAGE(AV22:BG22)),'Dept. Cost Actuals'!BL756)</f>
        <v>290.36061877164752</v>
      </c>
      <c r="BI22" s="684">
        <f>IF(BI$4="forecast",(AVERAGE(AW22:BH22)),'Dept. Cost Actuals'!BM756)</f>
        <v>290.02225791104883</v>
      </c>
      <c r="BJ22" s="684">
        <f>IF(BJ$4="forecast",(AVERAGE(AX22:BI22)),'Dept. Cost Actuals'!BN756)</f>
        <v>289.90366379849792</v>
      </c>
      <c r="BK22" s="684">
        <f>IF(BK$4="forecast",(AVERAGE(AY22:BJ22)),'Dept. Cost Actuals'!BO756)</f>
        <v>290.19048507109545</v>
      </c>
      <c r="BL22" s="684">
        <f>IF(BL$4="forecast",(AVERAGE(AZ22:BK22)),'Dept. Cost Actuals'!BP756)</f>
        <v>290.31655337950525</v>
      </c>
      <c r="BM22" s="684">
        <f>IF(BM$4="forecast",(AVERAGE(BA22:BL22)),'Dept. Cost Actuals'!BQ756)</f>
        <v>290.4034733634586</v>
      </c>
      <c r="BN22" s="684">
        <f>IF(BN$4="forecast",(AVERAGE(BB22:BM22)),'Dept. Cost Actuals'!BR756)</f>
        <v>290.46260108958558</v>
      </c>
      <c r="BO22" s="684">
        <f>IF(BO$4="forecast",(AVERAGE(BC22:BN22)),'Dept. Cost Actuals'!BS756)</f>
        <v>290.49700645932541</v>
      </c>
      <c r="BP22" s="684">
        <f>IF(BP$4="forecast",(AVERAGE(BD22:BO22)),'Dept. Cost Actuals'!BT756)</f>
        <v>290.49814128361623</v>
      </c>
      <c r="BQ22" s="684">
        <f>IF(BQ$4="forecast",(AVERAGE(BE22:BP22)),'Dept. Cost Actuals'!BU756)</f>
        <v>290.46199487776551</v>
      </c>
      <c r="BR22" s="684">
        <f>IF(BR$4="forecast",(AVERAGE(BF22:BQ22)),'Dept. Cost Actuals'!BV756)</f>
        <v>290.40667329875413</v>
      </c>
      <c r="BS22" s="684">
        <f>IF(BS$4="forecast",(AVERAGE(BG22:BR22)),'Dept. Cost Actuals'!BW756)</f>
        <v>290.35478672749224</v>
      </c>
      <c r="BT22" s="684">
        <f>IF(BT$4="forecast",(AVERAGE(BH22:BS22)),'Dept. Cost Actuals'!BX756)</f>
        <v>290.32318800264943</v>
      </c>
      <c r="BU22" s="684">
        <f>IF(BU$4="forecast",(AVERAGE(BI22:BT22)),'Dept. Cost Actuals'!BY756)</f>
        <v>290.32006877189951</v>
      </c>
      <c r="BV22" s="808">
        <f>IF(BV$4="forecast",(AVERAGE(BJ22:BU22)),'Dept. Cost Actuals'!BZ756)</f>
        <v>290.34488634363709</v>
      </c>
    </row>
    <row r="23" spans="2:74" x14ac:dyDescent="0.35">
      <c r="B23" s="812" t="s">
        <v>1083</v>
      </c>
      <c r="C23" s="684">
        <f>IF(C$4="forecast",(AVERAGE(#REF!)),'Dept. Cost Actuals'!G786)</f>
        <v>115.93994569937874</v>
      </c>
      <c r="D23" s="684">
        <f>IF(D$4="forecast",(AVERAGE(#REF!)),'Dept. Cost Actuals'!H786)</f>
        <v>63.627572209296282</v>
      </c>
      <c r="E23" s="684">
        <f>IF(E$4="forecast",(AVERAGE(#REF!)),'Dept. Cost Actuals'!I786)</f>
        <v>34.369270170445432</v>
      </c>
      <c r="F23" s="684">
        <f>IF(F$4="forecast",(AVERAGE(#REF!)),'Dept. Cost Actuals'!J786)</f>
        <v>14.50807036026627</v>
      </c>
      <c r="G23" s="684">
        <f>IF(G$4="forecast",(AVERAGE(#REF!)),'Dept. Cost Actuals'!K786)</f>
        <v>16.506323467221218</v>
      </c>
      <c r="H23" s="684">
        <f>IF(H$4="forecast",(AVERAGE(#REF!)),'Dept. Cost Actuals'!L786)</f>
        <v>16.239058595169549</v>
      </c>
      <c r="I23" s="684">
        <f>IF(I$4="forecast",(AVERAGE(#REF!)),'Dept. Cost Actuals'!M786)</f>
        <v>64.56527007905207</v>
      </c>
      <c r="J23" s="684">
        <f>IF(J$4="forecast",(AVERAGE(#REF!)),'Dept. Cost Actuals'!N786)</f>
        <v>11.947265871428639</v>
      </c>
      <c r="K23" s="684">
        <f>IF(K$4="forecast",(AVERAGE(#REF!)),'Dept. Cost Actuals'!O786)</f>
        <v>12.251425134531189</v>
      </c>
      <c r="L23" s="684">
        <f>IF(L$4="forecast",(AVERAGE(#REF!)),'Dept. Cost Actuals'!P786)</f>
        <v>8.9378896263488805</v>
      </c>
      <c r="M23" s="684">
        <f>IF(M$4="forecast",(AVERAGE(A23:L23)),'Dept. Cost Actuals'!Q786)</f>
        <v>19.351111960179498</v>
      </c>
      <c r="N23" s="684">
        <f>IF(N$4="forecast",(AVERAGE(B23:M23)),'Dept. Cost Actuals'!R786)</f>
        <v>16.308837050623847</v>
      </c>
      <c r="O23" s="684">
        <f>IF(O$4="forecast",(AVERAGE(C23:N23)),'Dept. Cost Actuals'!S786)</f>
        <v>97.45</v>
      </c>
      <c r="P23" s="684">
        <f>IF(P$4="forecast",(AVERAGE(D23:O23)),'Dept. Cost Actuals'!T786)</f>
        <v>97.55</v>
      </c>
      <c r="Q23" s="684">
        <f>IF(Q$4="forecast",(AVERAGE(E23:P23)),'Dept. Cost Actuals'!U786)</f>
        <v>100.54</v>
      </c>
      <c r="R23" s="684">
        <f>IF(R$4="forecast",(AVERAGE(F23:Q23)),'Dept. Cost Actuals'!V786)</f>
        <v>137.35</v>
      </c>
      <c r="S23" s="684">
        <f>IF(S$4="forecast",(AVERAGE(G23:R23)),'Dept. Cost Actuals'!W786)</f>
        <v>112.87</v>
      </c>
      <c r="T23" s="684">
        <f>IF(T$4="forecast",(AVERAGE(H23:S23)),'Dept. Cost Actuals'!X786)</f>
        <v>0</v>
      </c>
      <c r="U23" s="684">
        <f>IF(U$4="forecast",(AVERAGE(I23:T23)),'Dept. Cost Actuals'!Y786)</f>
        <v>362.79</v>
      </c>
      <c r="V23" s="684">
        <f>IF(V$4="forecast",(AVERAGE(J23:U23)),'Dept. Cost Actuals'!Z786)</f>
        <v>116.12</v>
      </c>
      <c r="W23" s="684">
        <f>IF(W$4="forecast",(AVERAGE(K23:V23)),'Dept. Cost Actuals'!AA786)</f>
        <v>116.12</v>
      </c>
      <c r="X23" s="684">
        <f>IF(X$4="forecast",(AVERAGE(L23:W23)),'Dept. Cost Actuals'!AB786)</f>
        <v>116.07</v>
      </c>
      <c r="Y23" s="684">
        <f>IF(Y$4="forecast",(AVERAGE(M23:X23)),'Dept. Cost Actuals'!AC786)</f>
        <v>281.8</v>
      </c>
      <c r="Z23" s="684">
        <f>IF(Z$4="forecast",(AVERAGE(N23:Y23)),'Dept. Cost Actuals'!AD786)</f>
        <v>114.08</v>
      </c>
      <c r="AA23" s="684">
        <f>IF(AA$4="forecast",(AVERAGE(O23:Z23)),'Dept. Cost Actuals'!AE786)</f>
        <v>137.72833333333332</v>
      </c>
      <c r="AB23" s="684">
        <f>IF(AB$4="forecast",(AVERAGE(P23:AA23)),'Dept. Cost Actuals'!AF786)</f>
        <v>141.08486111111111</v>
      </c>
      <c r="AC23" s="684">
        <f>IF(AC$4="forecast",(AVERAGE(Q23:AB23)),'Dept. Cost Actuals'!AG786)</f>
        <v>144.71276620370369</v>
      </c>
      <c r="AD23" s="684">
        <f>IF(AD$4="forecast",(AVERAGE(R23:AC23)),'Dept. Cost Actuals'!AH786)</f>
        <v>148.39383005401234</v>
      </c>
      <c r="AE23" s="684">
        <f>IF(AE$4="forecast",(AVERAGE(S23:AD23)),'Dept. Cost Actuals'!AI786)</f>
        <v>149.31414922518005</v>
      </c>
      <c r="AF23" s="684">
        <f>IF(AF$4="forecast",(AVERAGE(T23:AE23)),'Dept. Cost Actuals'!AJ786)</f>
        <v>152.35116166061169</v>
      </c>
      <c r="AG23" s="684">
        <f>IF(AG$4="forecast",(AVERAGE(U23:AF23)),'Dept. Cost Actuals'!AK786)</f>
        <v>165.04709179899601</v>
      </c>
      <c r="AH23" s="684">
        <f>IF(AH$4="forecast",(AVERAGE(V23:AG23)),'Dept. Cost Actuals'!AL786)</f>
        <v>148.56851611557903</v>
      </c>
      <c r="AI23" s="684">
        <f>IF(AI$4="forecast",(AVERAGE(W23:AH23)),'Dept. Cost Actuals'!AM786)</f>
        <v>151.27255912521062</v>
      </c>
      <c r="AJ23" s="684">
        <f>IF(AJ$4="forecast",(AVERAGE(X23:AI23)),'Dept. Cost Actuals'!AN786)</f>
        <v>154.20193905231147</v>
      </c>
      <c r="AK23" s="684">
        <f>IF(AK$4="forecast",(AVERAGE(Y23:AJ23)),'Dept. Cost Actuals'!AO786)</f>
        <v>157.37960064000413</v>
      </c>
      <c r="AL23" s="684">
        <f>IF(AL$4="forecast",(AVERAGE(Z23:AK23)),'Dept. Cost Actuals'!AP786)</f>
        <v>147.01123402667113</v>
      </c>
      <c r="AM23" s="684">
        <f>IF(AM$4="forecast",(AVERAGE(AA23:AL23)),'Dept. Cost Actuals'!AQ786)</f>
        <v>149.75550352889374</v>
      </c>
      <c r="AN23" s="684">
        <f>IF(AN$4="forecast",(AVERAGE(AB23:AM23)),'Dept. Cost Actuals'!AR786)</f>
        <v>150.7577677118571</v>
      </c>
      <c r="AO23" s="684">
        <f>IF(AO$4="forecast",(AVERAGE(AC23:AN23)),'Dept. Cost Actuals'!AS786)</f>
        <v>151.56384326191926</v>
      </c>
      <c r="AP23" s="684">
        <f>IF(AP$4="forecast",(AVERAGE(AD23:AO23)),'Dept. Cost Actuals'!AT786)</f>
        <v>152.13476635010389</v>
      </c>
      <c r="AQ23" s="684">
        <f>IF(AQ$4="forecast",(AVERAGE(AE23:AP23)),'Dept. Cost Actuals'!AU786)</f>
        <v>152.44651104144484</v>
      </c>
      <c r="AR23" s="684">
        <f>IF(AR$4="forecast",(AVERAGE(AF23:AQ23)),'Dept. Cost Actuals'!AV786)</f>
        <v>152.70754119280022</v>
      </c>
      <c r="AS23" s="684">
        <f>IF(AS$4="forecast",(AVERAGE(AG23:AR23)),'Dept. Cost Actuals'!AW786)</f>
        <v>152.73723948714928</v>
      </c>
      <c r="AT23" s="684">
        <f>IF(AT$4="forecast",(AVERAGE(AH23:AS23)),'Dept. Cost Actuals'!AX786)</f>
        <v>151.71141846116205</v>
      </c>
      <c r="AU23" s="684">
        <f>IF(AU$4="forecast",(AVERAGE(AI23:AT23)),'Dept. Cost Actuals'!AY786)</f>
        <v>151.97332698996067</v>
      </c>
      <c r="AV23" s="684">
        <f>IF(AV$4="forecast",(AVERAGE(AJ23:AU23)),'Dept. Cost Actuals'!AZ786)</f>
        <v>152.03172431202316</v>
      </c>
      <c r="AW23" s="684">
        <f>IF(AW$4="forecast",(AVERAGE(AK23:AV23)),'Dept. Cost Actuals'!BA786)</f>
        <v>151.85087308366579</v>
      </c>
      <c r="AX23" s="684">
        <f>IF(AX$4="forecast",(AVERAGE(AL23:AW23)),'Dept. Cost Actuals'!BB786)</f>
        <v>151.39014578730428</v>
      </c>
      <c r="AY23" s="684">
        <f>IF(AY$4="forecast",(AVERAGE(AM23:AX23)),'Dept. Cost Actuals'!BC786)</f>
        <v>151.75505510069038</v>
      </c>
      <c r="AZ23" s="684">
        <f>IF(AZ$4="forecast",(AVERAGE(AN23:AY23)),'Dept. Cost Actuals'!BD786)</f>
        <v>151.92168439834012</v>
      </c>
      <c r="BA23" s="684">
        <f>IF(BA$4="forecast",(AVERAGE(AO23:AZ23)),'Dept. Cost Actuals'!BE786)</f>
        <v>152.01867745554702</v>
      </c>
      <c r="BB23" s="684">
        <f>IF(BB$4="forecast",(AVERAGE(AP23:BA23)),'Dept. Cost Actuals'!BF786)</f>
        <v>152.05658030501601</v>
      </c>
      <c r="BC23" s="684">
        <f>IF(BC$4="forecast",(AVERAGE(AQ23:BB23)),'Dept. Cost Actuals'!BG786)</f>
        <v>152.05006480125869</v>
      </c>
      <c r="BD23" s="684">
        <f>IF(BD$4="forecast",(AVERAGE(AR23:BC23)),'Dept. Cost Actuals'!BH786)</f>
        <v>152.01702761457651</v>
      </c>
      <c r="BE23" s="684">
        <f>IF(BE$4="forecast",(AVERAGE(AS23:BD23)),'Dept. Cost Actuals'!BI786)</f>
        <v>151.95948481639118</v>
      </c>
      <c r="BF23" s="684">
        <f>IF(BF$4="forecast",(AVERAGE(AT23:BE23)),'Dept. Cost Actuals'!BJ786)</f>
        <v>151.89467192716131</v>
      </c>
      <c r="BG23" s="684">
        <f>IF(BG$4="forecast",(AVERAGE(AU23:BF23)),'Dept. Cost Actuals'!BK786)</f>
        <v>151.90994304932792</v>
      </c>
      <c r="BH23" s="684">
        <f>IF(BH$4="forecast",(AVERAGE(AV23:BG23)),'Dept. Cost Actuals'!BL786)</f>
        <v>151.90466105427518</v>
      </c>
      <c r="BI23" s="684">
        <f>IF(BI$4="forecast",(AVERAGE(AW23:BH23)),'Dept. Cost Actuals'!BM786)</f>
        <v>151.89407244946287</v>
      </c>
      <c r="BJ23" s="684">
        <f>IF(BJ$4="forecast",(AVERAGE(AX23:BI23)),'Dept. Cost Actuals'!BN786)</f>
        <v>151.89767239661259</v>
      </c>
      <c r="BK23" s="684">
        <f>IF(BK$4="forecast",(AVERAGE(AY23:BJ23)),'Dept. Cost Actuals'!BO786)</f>
        <v>151.93996628072165</v>
      </c>
      <c r="BL23" s="684">
        <f>IF(BL$4="forecast",(AVERAGE(AZ23:BK23)),'Dept. Cost Actuals'!BP786)</f>
        <v>151.95537554572425</v>
      </c>
      <c r="BM23" s="684">
        <f>IF(BM$4="forecast",(AVERAGE(BA23:BL23)),'Dept. Cost Actuals'!BQ786)</f>
        <v>151.95818314133959</v>
      </c>
      <c r="BN23" s="684">
        <f>IF(BN$4="forecast",(AVERAGE(BB23:BM23)),'Dept. Cost Actuals'!BR786)</f>
        <v>151.95314194848896</v>
      </c>
      <c r="BO23" s="684">
        <f>IF(BO$4="forecast",(AVERAGE(BC23:BN23)),'Dept. Cost Actuals'!BS786)</f>
        <v>151.94452208544504</v>
      </c>
      <c r="BP23" s="684">
        <f>IF(BP$4="forecast",(AVERAGE(BD23:BO23)),'Dept. Cost Actuals'!BT786)</f>
        <v>151.93572685912724</v>
      </c>
      <c r="BQ23" s="684">
        <f>IF(BQ$4="forecast",(AVERAGE(BE23:BP23)),'Dept. Cost Actuals'!BU786)</f>
        <v>151.92895179617315</v>
      </c>
      <c r="BR23" s="684">
        <f>IF(BR$4="forecast",(AVERAGE(BF23:BQ23)),'Dept. Cost Actuals'!BV786)</f>
        <v>151.92640737782165</v>
      </c>
      <c r="BS23" s="684">
        <f>IF(BS$4="forecast",(AVERAGE(BG23:BR23)),'Dept. Cost Actuals'!BW786)</f>
        <v>151.92905199871004</v>
      </c>
      <c r="BT23" s="684">
        <f>IF(BT$4="forecast",(AVERAGE(BH23:BS23)),'Dept. Cost Actuals'!BX786)</f>
        <v>151.93064441115854</v>
      </c>
      <c r="BU23" s="684">
        <f>IF(BU$4="forecast",(AVERAGE(BI23:BT23)),'Dept. Cost Actuals'!BY786)</f>
        <v>151.93280969089878</v>
      </c>
      <c r="BV23" s="808">
        <f>IF(BV$4="forecast",(AVERAGE(BJ23:BU23)),'Dept. Cost Actuals'!BZ786)</f>
        <v>151.93603779435179</v>
      </c>
    </row>
    <row r="24" spans="2:74" x14ac:dyDescent="0.35">
      <c r="B24" s="812" t="s">
        <v>943</v>
      </c>
      <c r="C24" s="684">
        <f>IF(C$4="forecast",C$7*'Direct People Department Costs'!$H$13,'Dept. Cost Actuals'!G883)</f>
        <v>0</v>
      </c>
      <c r="D24" s="684">
        <f>IF(D$4="forecast",D$7*'Direct People Department Costs'!$H$13,'Dept. Cost Actuals'!H883)</f>
        <v>0</v>
      </c>
      <c r="E24" s="684">
        <f>IF(E$4="forecast",E$7*'Direct People Department Costs'!$H$13,'Dept. Cost Actuals'!I883)</f>
        <v>0</v>
      </c>
      <c r="F24" s="684">
        <f>IF(F$4="forecast",F$7*'Direct People Department Costs'!$H$13,'Dept. Cost Actuals'!J883)</f>
        <v>0</v>
      </c>
      <c r="G24" s="684">
        <f>IF(G$4="forecast",G$7*'Direct People Department Costs'!$H$13,'Dept. Cost Actuals'!K883)</f>
        <v>0</v>
      </c>
      <c r="H24" s="684">
        <f>IF(H$4="forecast",H$7*'Direct People Department Costs'!$H$13,'Dept. Cost Actuals'!L883)</f>
        <v>0</v>
      </c>
      <c r="I24" s="684">
        <f>IF(I$4="forecast",I$7*'Direct People Department Costs'!$H$13,'Dept. Cost Actuals'!M883)</f>
        <v>0</v>
      </c>
      <c r="J24" s="684">
        <f>IF(J$4="forecast",J$7*'Direct People Department Costs'!$H$13,'Dept. Cost Actuals'!N883)</f>
        <v>0</v>
      </c>
      <c r="K24" s="684">
        <f>IF(K$4="forecast",K$7*'Direct People Department Costs'!$H$13,'Dept. Cost Actuals'!O883)</f>
        <v>0</v>
      </c>
      <c r="L24" s="684">
        <f>IF(L$4="forecast",L$7*'Direct People Department Costs'!$H$13,'Dept. Cost Actuals'!P883)</f>
        <v>0</v>
      </c>
      <c r="M24" s="684">
        <f>IF(M$4="forecast",M$7*'Direct People Department Costs'!$H$13,'Dept. Cost Actuals'!Q883)</f>
        <v>0</v>
      </c>
      <c r="N24" s="684">
        <f>IF(N$4="forecast",N$7*'Direct People Department Costs'!$H$13,'Dept. Cost Actuals'!R883)</f>
        <v>0</v>
      </c>
      <c r="O24" s="684">
        <f>IF(O$4="forecast",O$7*'Direct People Department Costs'!$H$13,'Dept. Cost Actuals'!S883)</f>
        <v>0</v>
      </c>
      <c r="P24" s="684">
        <f>IF(P$4="forecast",P$7*'Direct People Department Costs'!$H$13,'Dept. Cost Actuals'!T883)</f>
        <v>69.91</v>
      </c>
      <c r="Q24" s="684">
        <f>IF(Q$4="forecast",Q$7*'Direct People Department Costs'!$H$13,'Dept. Cost Actuals'!U883)</f>
        <v>209.87</v>
      </c>
      <c r="R24" s="684">
        <f>IF(R$4="forecast",R$7*'Direct People Department Costs'!$H$13,'Dept. Cost Actuals'!V883)</f>
        <v>118.77</v>
      </c>
      <c r="S24" s="684">
        <f>IF(S$4="forecast",S$7*'Direct People Department Costs'!$H$13,'Dept. Cost Actuals'!W883)</f>
        <v>68.989999999999995</v>
      </c>
      <c r="T24" s="684">
        <f>IF(T$4="forecast",T$7*'Direct People Department Costs'!$H$13,'Dept. Cost Actuals'!X883)</f>
        <v>82.48</v>
      </c>
      <c r="U24" s="684">
        <f>IF(U$4="forecast",U$7*'Direct People Department Costs'!$H$13,'Dept. Cost Actuals'!Y883)</f>
        <v>49</v>
      </c>
      <c r="V24" s="684">
        <f>IF(V$4="forecast",V$7*'Direct People Department Costs'!$H$13,'Dept. Cost Actuals'!Z883)</f>
        <v>51.49</v>
      </c>
      <c r="W24" s="684">
        <f>IF(W$4="forecast",W$7*'Direct People Department Costs'!$H$13,'Dept. Cost Actuals'!AA883)</f>
        <v>181.47</v>
      </c>
      <c r="X24" s="684">
        <f>IF(X$4="forecast",X$7*'Direct People Department Costs'!$H$13,'Dept. Cost Actuals'!AB883)</f>
        <v>0</v>
      </c>
      <c r="Y24" s="684">
        <f>IF(Y$4="forecast",Y$7*'Direct People Department Costs'!$H$13,'Dept. Cost Actuals'!AC883)</f>
        <v>418.38</v>
      </c>
      <c r="Z24" s="684">
        <f>IF(Z$4="forecast",Z$7*'Direct People Department Costs'!$H$13,'Dept. Cost Actuals'!AD883)</f>
        <v>1064.27</v>
      </c>
      <c r="AA24" s="684">
        <f>IF(AA$4="forecast",((SUM($O$24:$Z$24)*1.1)/12),'Dept. Cost Actuals'!AE43)</f>
        <v>212.1744166666667</v>
      </c>
      <c r="AB24" s="684">
        <f>IF(AB$4="forecast",((SUM($O$24:$Z$24)*1.1)/12),'Dept. Cost Actuals'!AF43)</f>
        <v>212.1744166666667</v>
      </c>
      <c r="AC24" s="684">
        <f>IF(AC$4="forecast",((SUM($O$24:$Z$24)*1.1)/12),'Dept. Cost Actuals'!AG43)</f>
        <v>212.1744166666667</v>
      </c>
      <c r="AD24" s="684">
        <f>IF(AD$4="forecast",((SUM($O$24:$Z$24)*1.1)/12),'Dept. Cost Actuals'!AH43)</f>
        <v>212.1744166666667</v>
      </c>
      <c r="AE24" s="684">
        <f>IF(AE$4="forecast",((SUM($O$24:$Z$24)*1.1)/12),'Dept. Cost Actuals'!AI43)</f>
        <v>212.1744166666667</v>
      </c>
      <c r="AF24" s="684">
        <f>IF(AF$4="forecast",((SUM($O$24:$Z$24)*1.1)/12),'Dept. Cost Actuals'!AJ43)</f>
        <v>212.1744166666667</v>
      </c>
      <c r="AG24" s="684">
        <f>IF(AG$4="forecast",((SUM($O$24:$Z$24)*1.1)/12),'Dept. Cost Actuals'!AK43)</f>
        <v>212.1744166666667</v>
      </c>
      <c r="AH24" s="684">
        <f>IF(AH$4="forecast",((SUM($O$24:$Z$24)*1.1)/12),'Dept. Cost Actuals'!AL43)</f>
        <v>212.1744166666667</v>
      </c>
      <c r="AI24" s="684">
        <f>IF(AI$4="forecast",((SUM($O$24:$Z$24)*1.1)/12),'Dept. Cost Actuals'!AM43)</f>
        <v>212.1744166666667</v>
      </c>
      <c r="AJ24" s="684">
        <f>IF(AJ$4="forecast",((SUM($O$24:$Z$24)*1.1)/12),'Dept. Cost Actuals'!AN43)</f>
        <v>212.1744166666667</v>
      </c>
      <c r="AK24" s="684">
        <f>IF(AK$4="forecast",((SUM($O$24:$Z$24)*1.1)/12),'Dept. Cost Actuals'!AO43)</f>
        <v>212.1744166666667</v>
      </c>
      <c r="AL24" s="684">
        <f>IF(AL$4="forecast",((SUM($O$24:$Z$24)*1.1)/12),'Dept. Cost Actuals'!AP43)</f>
        <v>212.1744166666667</v>
      </c>
      <c r="AM24" s="684">
        <f>IF(AM$4="forecast",((SUM(AA24:AL24)*1.1)/12),'Dept. Cost Actuals'!AQ43)</f>
        <v>233.39185833333337</v>
      </c>
      <c r="AN24" s="684">
        <f>IF(AN$4="forecast",((SUM(AB24:AM24)*1.1)/12),'Dept. Cost Actuals'!AR43)</f>
        <v>235.33679048611114</v>
      </c>
      <c r="AO24" s="684">
        <f>IF(AO$4="forecast",((SUM(AC24:AN24)*1.1)/12),'Dept. Cost Actuals'!AS43)</f>
        <v>237.46000808622691</v>
      </c>
      <c r="AP24" s="684">
        <f>IF(AP$4="forecast",((SUM(AD24:AO24)*1.1)/12),'Dept. Cost Actuals'!AT43)</f>
        <v>239.77785396635326</v>
      </c>
      <c r="AQ24" s="684">
        <f>IF(AQ$4="forecast",((SUM(AE24:AP24)*1.1)/12),'Dept. Cost Actuals'!AU43)</f>
        <v>242.30816905215787</v>
      </c>
      <c r="AR24" s="684">
        <f>IF(AR$4="forecast",((SUM(AF24:AQ24)*1.1)/12),'Dept. Cost Actuals'!AV43)</f>
        <v>245.07042968749454</v>
      </c>
      <c r="AS24" s="684">
        <f>IF(AS$4="forecast",((SUM(AG24:AR24)*1.1)/12),'Dept. Cost Actuals'!AW43)</f>
        <v>248.08589754773712</v>
      </c>
      <c r="AT24" s="684">
        <f>IF(AT$4="forecast",((SUM(AH24:AS24)*1.1)/12),'Dept. Cost Actuals'!AX43)</f>
        <v>251.37778329516857</v>
      </c>
      <c r="AU24" s="684">
        <f>IF(AU$4="forecast",((SUM(AI24:AT24)*1.1)/12),'Dept. Cost Actuals'!AY43)</f>
        <v>254.97142523611458</v>
      </c>
      <c r="AV24" s="684">
        <f>IF(AV$4="forecast",((SUM(AJ24:AU24)*1.1)/12),'Dept. Cost Actuals'!AZ43)</f>
        <v>258.89448435498065</v>
      </c>
      <c r="AW24" s="684">
        <f>IF(AW$4="forecast",((SUM(AK24:AV24)*1.1)/12),'Dept. Cost Actuals'!BA43)</f>
        <v>263.17715722640941</v>
      </c>
      <c r="AX24" s="684">
        <f>IF(AX$4="forecast",((SUM(AL24:AW24)*1.1)/12),'Dept. Cost Actuals'!BB43)</f>
        <v>267.85240844438579</v>
      </c>
      <c r="AY24" s="684">
        <f>IF(AY$4="forecast",((SUM(AM24:AX24)*1.1)/12),'Dept. Cost Actuals'!BC43)</f>
        <v>272.95622435734339</v>
      </c>
      <c r="AZ24" s="684">
        <f>IF(AZ$4="forecast",((SUM(AN24:AY24)*1.1)/12),'Dept. Cost Actuals'!BD43)</f>
        <v>276.58295790954429</v>
      </c>
      <c r="BA24" s="684">
        <f>IF(BA$4="forecast",((SUM(AO24:AZ24)*1.1)/12),'Dept. Cost Actuals'!BE43)</f>
        <v>280.36385659002565</v>
      </c>
      <c r="BB24" s="684">
        <f>IF(BB$4="forecast",((SUM(AP24:BA24)*1.1)/12),'Dept. Cost Actuals'!BF43)</f>
        <v>284.29670936954057</v>
      </c>
      <c r="BC24" s="684">
        <f>IF(BC$4="forecast",((SUM(AQ24:BB24)*1.1)/12),'Dept. Cost Actuals'!BG43)</f>
        <v>288.3776044481661</v>
      </c>
      <c r="BD24" s="684">
        <f>IF(BD$4="forecast",((SUM(AR24:BC24)*1.1)/12),'Dept. Cost Actuals'!BH43)</f>
        <v>292.60063602613349</v>
      </c>
      <c r="BE24" s="684">
        <f>IF(BE$4="forecast",((SUM(AS24:BD24)*1.1)/12),'Dept. Cost Actuals'!BI43)</f>
        <v>296.9575716071754</v>
      </c>
      <c r="BF24" s="684">
        <f>IF(BF$4="forecast",((SUM(AT24:BE24)*1.1)/12),'Dept. Cost Actuals'!BJ43)</f>
        <v>301.43747506262395</v>
      </c>
      <c r="BG24" s="684">
        <f>IF(BG$4="forecast",((SUM(AU24:BF24)*1.1)/12),'Dept. Cost Actuals'!BK43)</f>
        <v>306.02628014130738</v>
      </c>
      <c r="BH24" s="684">
        <f>IF(BH$4="forecast",((SUM(AV24:BG24)*1.1)/12),'Dept. Cost Actuals'!BL43)</f>
        <v>310.70630850761665</v>
      </c>
      <c r="BI24" s="684">
        <f>IF(BI$4="forecast",((SUM(AW24:BH24)*1.1)/12),'Dept. Cost Actuals'!BM43)</f>
        <v>315.4557257216083</v>
      </c>
      <c r="BJ24" s="684">
        <f>IF(BJ$4="forecast",((SUM(AX24:BI24)*1.1)/12),'Dept. Cost Actuals'!BN43)</f>
        <v>320.2479278336682</v>
      </c>
      <c r="BK24" s="684">
        <f>IF(BK$4="forecast",((SUM(AY24:BJ24)*1.1)/12),'Dept. Cost Actuals'!BO43)</f>
        <v>325.05085044435242</v>
      </c>
      <c r="BL24" s="684">
        <f>IF(BL$4="forecast",((SUM(AZ24:BK24)*1.1)/12),'Dept. Cost Actuals'!BP43)</f>
        <v>329.82619116899491</v>
      </c>
      <c r="BM24" s="684">
        <f>IF(BM$4="forecast",((SUM(BA24:BL24)*1.1)/12),'Dept. Cost Actuals'!BQ43)</f>
        <v>334.70682088444454</v>
      </c>
      <c r="BN24" s="684">
        <f>IF(BN$4="forecast",((SUM(BB24:BM24)*1.1)/12),'Dept. Cost Actuals'!BR43)</f>
        <v>339.68825927809962</v>
      </c>
      <c r="BO24" s="684">
        <f>IF(BO$4="forecast",((SUM(BC24:BN24)*1.1)/12),'Dept. Cost Actuals'!BS43)</f>
        <v>344.76581801971753</v>
      </c>
      <c r="BP24" s="684">
        <f>IF(BP$4="forecast",((SUM(BD24:BO24)*1.1)/12),'Dept. Cost Actuals'!BT43)</f>
        <v>349.93473759710974</v>
      </c>
      <c r="BQ24" s="684">
        <f>IF(BQ$4="forecast",((SUM(BE24:BP24)*1.1)/12),'Dept. Cost Actuals'!BU43)</f>
        <v>355.19036357444924</v>
      </c>
      <c r="BR24" s="684">
        <f>IF(BR$4="forecast",((SUM(BF24:BQ24)*1.1)/12),'Dept. Cost Actuals'!BV43)</f>
        <v>360.52836950478269</v>
      </c>
      <c r="BS24" s="684">
        <f>IF(BS$4="forecast",((SUM(BG24:BR24)*1.1)/12),'Dept. Cost Actuals'!BW43)</f>
        <v>365.94503482864729</v>
      </c>
      <c r="BT24" s="684">
        <f>IF(BT$4="forecast",((SUM(BH24:BS24)*1.1)/12),'Dept. Cost Actuals'!BX43)</f>
        <v>371.4375873416534</v>
      </c>
      <c r="BU24" s="684">
        <f>IF(BU$4="forecast",((SUM(BI24:BT24)*1.1)/12),'Dept. Cost Actuals'!BY43)</f>
        <v>377.00462123477342</v>
      </c>
      <c r="BV24" s="808">
        <f>IF(BV$4="forecast",((SUM(BJ24:BU24)*1.1)/12),'Dept. Cost Actuals'!BZ43)</f>
        <v>382.64660332348018</v>
      </c>
    </row>
    <row r="25" spans="2:74" x14ac:dyDescent="0.35">
      <c r="B25" s="812" t="s">
        <v>1082</v>
      </c>
      <c r="C25" s="684">
        <f>IF(C$4="forecast",(AVERAGE(#REF!)),'Dept. Cost Actuals'!G776)</f>
        <v>0</v>
      </c>
      <c r="D25" s="684">
        <f>IF(D$4="forecast",(AVERAGE(#REF!)),'Dept. Cost Actuals'!H776)</f>
        <v>0</v>
      </c>
      <c r="E25" s="684">
        <f>IF(E$4="forecast",(AVERAGE(#REF!)),'Dept. Cost Actuals'!I776)</f>
        <v>43</v>
      </c>
      <c r="F25" s="684">
        <f>IF(F$4="forecast",(AVERAGE(#REF!)),'Dept. Cost Actuals'!J776)</f>
        <v>0</v>
      </c>
      <c r="G25" s="684">
        <f>IF(G$4="forecast",(AVERAGE(#REF!)),'Dept. Cost Actuals'!K776)</f>
        <v>0</v>
      </c>
      <c r="H25" s="684">
        <f>IF(H$4="forecast",(AVERAGE(#REF!)),'Dept. Cost Actuals'!L776)</f>
        <v>0</v>
      </c>
      <c r="I25" s="684">
        <f>IF(I$4="forecast",(AVERAGE(#REF!)),'Dept. Cost Actuals'!M776)</f>
        <v>0</v>
      </c>
      <c r="J25" s="684">
        <f>IF(J$4="forecast",(AVERAGE(#REF!)),'Dept. Cost Actuals'!N776)</f>
        <v>0</v>
      </c>
      <c r="K25" s="684">
        <f>IF(K$4="forecast",(AVERAGE(#REF!)),'Dept. Cost Actuals'!O776)</f>
        <v>0</v>
      </c>
      <c r="L25" s="684">
        <f>IF(L$4="forecast",(AVERAGE(#REF!)),'Dept. Cost Actuals'!P776)</f>
        <v>0</v>
      </c>
      <c r="M25" s="684">
        <f>IF(M$4="forecast",(AVERAGE(A25:L25)),'Dept. Cost Actuals'!Q776)</f>
        <v>0</v>
      </c>
      <c r="N25" s="684">
        <f>IF(N$4="forecast",(AVERAGE(B25:M25)),'Dept. Cost Actuals'!R776)</f>
        <v>0</v>
      </c>
      <c r="O25" s="684">
        <f>IF(O$4="forecast",(AVERAGE(C25:N25)),'Dept. Cost Actuals'!S776)</f>
        <v>0</v>
      </c>
      <c r="P25" s="684">
        <f>IF(P$4="forecast",(AVERAGE(D25:O25)),'Dept. Cost Actuals'!T776)</f>
        <v>0</v>
      </c>
      <c r="Q25" s="684">
        <f>IF(Q$4="forecast",(AVERAGE(E25:P25)),'Dept. Cost Actuals'!U776)</f>
        <v>0</v>
      </c>
      <c r="R25" s="684">
        <f>IF(R$4="forecast",(AVERAGE(F25:Q25)),'Dept. Cost Actuals'!V776)</f>
        <v>0</v>
      </c>
      <c r="S25" s="684">
        <f>IF(S$4="forecast",(AVERAGE(G25:R25)),'Dept. Cost Actuals'!W776)</f>
        <v>0</v>
      </c>
      <c r="T25" s="684">
        <f>IF(T$4="forecast",(AVERAGE(H25:S25)),'Dept. Cost Actuals'!X776)</f>
        <v>0</v>
      </c>
      <c r="U25" s="684">
        <f>IF(U$4="forecast",(AVERAGE(I25:T25)),'Dept. Cost Actuals'!Y776)</f>
        <v>0</v>
      </c>
      <c r="V25" s="684">
        <f>IF(V$4="forecast",(AVERAGE(J25:U25)),'Dept. Cost Actuals'!Z776)</f>
        <v>0</v>
      </c>
      <c r="W25" s="684">
        <f>IF(W$4="forecast",(AVERAGE(K25:V25)),'Dept. Cost Actuals'!AA776)</f>
        <v>0</v>
      </c>
      <c r="X25" s="684">
        <f>IF(X$4="forecast",(AVERAGE(L25:W25)),'Dept. Cost Actuals'!AB776)</f>
        <v>0</v>
      </c>
      <c r="Y25" s="684">
        <f>IF(Y$4="forecast",(AVERAGE(M25:X25)),'Dept. Cost Actuals'!AC776)</f>
        <v>0</v>
      </c>
      <c r="Z25" s="684">
        <f>IF(Z$4="forecast",(AVERAGE(N25:Y25)),'Dept. Cost Actuals'!AD776)</f>
        <v>0</v>
      </c>
      <c r="AA25" s="684">
        <f>IF(AA$4="forecast",(AVERAGE(O25:Z25)),'Dept. Cost Actuals'!AE776)</f>
        <v>0</v>
      </c>
      <c r="AB25" s="684">
        <f>IF(AB$4="forecast",(AVERAGE(P25:AA25)),'Dept. Cost Actuals'!AF776)</f>
        <v>0</v>
      </c>
      <c r="AC25" s="684">
        <f>IF(AC$4="forecast",(AVERAGE(Q25:AB25)),'Dept. Cost Actuals'!AG776)</f>
        <v>0</v>
      </c>
      <c r="AD25" s="684">
        <f>IF(AD$4="forecast",(AVERAGE(R25:AC25)),'Dept. Cost Actuals'!AH776)</f>
        <v>0</v>
      </c>
      <c r="AE25" s="684">
        <f>IF(AE$4="forecast",(AVERAGE(S25:AD25)),'Dept. Cost Actuals'!AI776)</f>
        <v>0</v>
      </c>
      <c r="AF25" s="684">
        <f>IF(AF$4="forecast",(AVERAGE(T25:AE25)),'Dept. Cost Actuals'!AJ776)</f>
        <v>0</v>
      </c>
      <c r="AG25" s="684">
        <f>IF(AG$4="forecast",(AVERAGE(U25:AF25)),'Dept. Cost Actuals'!AK776)</f>
        <v>0</v>
      </c>
      <c r="AH25" s="684">
        <f>IF(AH$4="forecast",(AVERAGE(V25:AG25)),'Dept. Cost Actuals'!AL776)</f>
        <v>0</v>
      </c>
      <c r="AI25" s="684">
        <f>IF(AI$4="forecast",(AVERAGE(W25:AH25)),'Dept. Cost Actuals'!AM776)</f>
        <v>0</v>
      </c>
      <c r="AJ25" s="684">
        <f>IF(AJ$4="forecast",(AVERAGE(X25:AI25)),'Dept. Cost Actuals'!AN776)</f>
        <v>0</v>
      </c>
      <c r="AK25" s="684">
        <f>IF(AK$4="forecast",(AVERAGE(Y25:AJ25)),'Dept. Cost Actuals'!AO776)</f>
        <v>0</v>
      </c>
      <c r="AL25" s="684">
        <f>IF(AL$4="forecast",(AVERAGE(Z25:AK25)),'Dept. Cost Actuals'!AP776)</f>
        <v>0</v>
      </c>
      <c r="AM25" s="684">
        <f>IF(AM$4="forecast",(AVERAGE(AA25:AL25)),'Dept. Cost Actuals'!AQ776)</f>
        <v>0</v>
      </c>
      <c r="AN25" s="684">
        <f>IF(AN$4="forecast",(AVERAGE(AB25:AM25)),'Dept. Cost Actuals'!AR776)</f>
        <v>0</v>
      </c>
      <c r="AO25" s="684">
        <f>IF(AO$4="forecast",(AVERAGE(AC25:AN25)),'Dept. Cost Actuals'!AS776)</f>
        <v>0</v>
      </c>
      <c r="AP25" s="684">
        <f>IF(AP$4="forecast",(AVERAGE(AD25:AO25)),'Dept. Cost Actuals'!AT776)</f>
        <v>0</v>
      </c>
      <c r="AQ25" s="684">
        <f>IF(AQ$4="forecast",(AVERAGE(AE25:AP25)),'Dept. Cost Actuals'!AU776)</f>
        <v>0</v>
      </c>
      <c r="AR25" s="684">
        <f>IF(AR$4="forecast",(AVERAGE(AF25:AQ25)),'Dept. Cost Actuals'!AV776)</f>
        <v>0</v>
      </c>
      <c r="AS25" s="684">
        <f>IF(AS$4="forecast",(AVERAGE(AG25:AR25)),'Dept. Cost Actuals'!AW776)</f>
        <v>0</v>
      </c>
      <c r="AT25" s="684">
        <f>IF(AT$4="forecast",(AVERAGE(AH25:AS25)),'Dept. Cost Actuals'!AX776)</f>
        <v>0</v>
      </c>
      <c r="AU25" s="684">
        <f>IF(AU$4="forecast",(AVERAGE(AI25:AT25)),'Dept. Cost Actuals'!AY776)</f>
        <v>0</v>
      </c>
      <c r="AV25" s="684">
        <f>IF(AV$4="forecast",(AVERAGE(AJ25:AU25)),'Dept. Cost Actuals'!AZ776)</f>
        <v>0</v>
      </c>
      <c r="AW25" s="684">
        <f>IF(AW$4="forecast",(AVERAGE(AK25:AV25)),'Dept. Cost Actuals'!BA776)</f>
        <v>0</v>
      </c>
      <c r="AX25" s="684">
        <f>IF(AX$4="forecast",(AVERAGE(AL25:AW25)),'Dept. Cost Actuals'!BB776)</f>
        <v>0</v>
      </c>
      <c r="AY25" s="684">
        <f>IF(AY$4="forecast",(AVERAGE(AM25:AX25)),'Dept. Cost Actuals'!BC776)</f>
        <v>0</v>
      </c>
      <c r="AZ25" s="684">
        <f>IF(AZ$4="forecast",(AVERAGE(AN25:AY25)),'Dept. Cost Actuals'!BD776)</f>
        <v>0</v>
      </c>
      <c r="BA25" s="684">
        <f>IF(BA$4="forecast",(AVERAGE(AO25:AZ25)),'Dept. Cost Actuals'!BE776)</f>
        <v>0</v>
      </c>
      <c r="BB25" s="684">
        <f>IF(BB$4="forecast",(AVERAGE(AP25:BA25)),'Dept. Cost Actuals'!BF776)</f>
        <v>0</v>
      </c>
      <c r="BC25" s="684">
        <f>IF(BC$4="forecast",(AVERAGE(AQ25:BB25)),'Dept. Cost Actuals'!BG776)</f>
        <v>0</v>
      </c>
      <c r="BD25" s="684">
        <f>IF(BD$4="forecast",(AVERAGE(AR25:BC25)),'Dept. Cost Actuals'!BH776)</f>
        <v>0</v>
      </c>
      <c r="BE25" s="684">
        <f>IF(BE$4="forecast",(AVERAGE(AS25:BD25)),'Dept. Cost Actuals'!BI776)</f>
        <v>0</v>
      </c>
      <c r="BF25" s="684">
        <f>IF(BF$4="forecast",(AVERAGE(AT25:BE25)),'Dept. Cost Actuals'!BJ776)</f>
        <v>0</v>
      </c>
      <c r="BG25" s="684">
        <f>IF(BG$4="forecast",(AVERAGE(AU25:BF25)),'Dept. Cost Actuals'!BK776)</f>
        <v>0</v>
      </c>
      <c r="BH25" s="684">
        <f>IF(BH$4="forecast",(AVERAGE(AV25:BG25)),'Dept. Cost Actuals'!BL776)</f>
        <v>0</v>
      </c>
      <c r="BI25" s="684">
        <f>IF(BI$4="forecast",(AVERAGE(AW25:BH25)),'Dept. Cost Actuals'!BM776)</f>
        <v>0</v>
      </c>
      <c r="BJ25" s="684">
        <f>IF(BJ$4="forecast",(AVERAGE(AX25:BI25)),'Dept. Cost Actuals'!BN776)</f>
        <v>0</v>
      </c>
      <c r="BK25" s="684">
        <f>IF(BK$4="forecast",(AVERAGE(AY25:BJ25)),'Dept. Cost Actuals'!BO776)</f>
        <v>0</v>
      </c>
      <c r="BL25" s="684">
        <f>IF(BL$4="forecast",(AVERAGE(AZ25:BK25)),'Dept. Cost Actuals'!BP776)</f>
        <v>0</v>
      </c>
      <c r="BM25" s="684">
        <f>IF(BM$4="forecast",(AVERAGE(BA25:BL25)),'Dept. Cost Actuals'!BQ776)</f>
        <v>0</v>
      </c>
      <c r="BN25" s="684">
        <f>IF(BN$4="forecast",(AVERAGE(BB25:BM25)),'Dept. Cost Actuals'!BR776)</f>
        <v>0</v>
      </c>
      <c r="BO25" s="684">
        <f>IF(BO$4="forecast",(AVERAGE(BC25:BN25)),'Dept. Cost Actuals'!BS776)</f>
        <v>0</v>
      </c>
      <c r="BP25" s="684">
        <f>IF(BP$4="forecast",(AVERAGE(BD25:BO25)),'Dept. Cost Actuals'!BT776)</f>
        <v>0</v>
      </c>
      <c r="BQ25" s="684">
        <f>IF(BQ$4="forecast",(AVERAGE(BE25:BP25)),'Dept. Cost Actuals'!BU776)</f>
        <v>0</v>
      </c>
      <c r="BR25" s="684">
        <f>IF(BR$4="forecast",(AVERAGE(BF25:BQ25)),'Dept. Cost Actuals'!BV776)</f>
        <v>0</v>
      </c>
      <c r="BS25" s="684">
        <f>IF(BS$4="forecast",(AVERAGE(BG25:BR25)),'Dept. Cost Actuals'!BW776)</f>
        <v>0</v>
      </c>
      <c r="BT25" s="684">
        <f>IF(BT$4="forecast",(AVERAGE(BH25:BS25)),'Dept. Cost Actuals'!BX776)</f>
        <v>0</v>
      </c>
      <c r="BU25" s="684">
        <f>IF(BU$4="forecast",(AVERAGE(BI25:BT25)),'Dept. Cost Actuals'!BY776)</f>
        <v>0</v>
      </c>
      <c r="BV25" s="808">
        <f>IF(BV$4="forecast",(AVERAGE(BJ25:BU25)),'Dept. Cost Actuals'!BZ776)</f>
        <v>0</v>
      </c>
    </row>
    <row r="26" spans="2:74" x14ac:dyDescent="0.35">
      <c r="B26" s="813" t="s">
        <v>944</v>
      </c>
      <c r="C26" s="814">
        <f>SUM(C17:C25,C14)</f>
        <v>22009.511068457221</v>
      </c>
      <c r="D26" s="814">
        <f t="shared" ref="D26:BO26" si="7">SUM(D17:D25,D14)</f>
        <v>20671.98071722778</v>
      </c>
      <c r="E26" s="814">
        <f t="shared" si="7"/>
        <v>20506.52410854588</v>
      </c>
      <c r="F26" s="814">
        <f t="shared" si="7"/>
        <v>25571.408182073734</v>
      </c>
      <c r="G26" s="814">
        <f t="shared" si="7"/>
        <v>23262.296412600932</v>
      </c>
      <c r="H26" s="814">
        <f t="shared" si="7"/>
        <v>33621.909473010768</v>
      </c>
      <c r="I26" s="814">
        <f t="shared" si="7"/>
        <v>22729.360358551679</v>
      </c>
      <c r="J26" s="814">
        <f t="shared" si="7"/>
        <v>27404.944340276626</v>
      </c>
      <c r="K26" s="814">
        <f t="shared" si="7"/>
        <v>23883.268653336396</v>
      </c>
      <c r="L26" s="814">
        <f t="shared" si="7"/>
        <v>28939.096668032176</v>
      </c>
      <c r="M26" s="814">
        <f t="shared" si="7"/>
        <v>54621.463064327123</v>
      </c>
      <c r="N26" s="814">
        <f t="shared" si="7"/>
        <v>52377.323480416671</v>
      </c>
      <c r="O26" s="814">
        <f t="shared" si="7"/>
        <v>46660.73</v>
      </c>
      <c r="P26" s="814">
        <f t="shared" si="7"/>
        <v>33836.129999999997</v>
      </c>
      <c r="Q26" s="814">
        <f t="shared" si="7"/>
        <v>56573.07</v>
      </c>
      <c r="R26" s="814">
        <f t="shared" si="7"/>
        <v>40874.639999999999</v>
      </c>
      <c r="S26" s="814">
        <f t="shared" si="7"/>
        <v>71249.350000000006</v>
      </c>
      <c r="T26" s="814">
        <f t="shared" si="7"/>
        <v>76510.59</v>
      </c>
      <c r="U26" s="814">
        <f t="shared" si="7"/>
        <v>62476.150000000009</v>
      </c>
      <c r="V26" s="814">
        <f t="shared" si="7"/>
        <v>72155.650000000009</v>
      </c>
      <c r="W26" s="814">
        <f t="shared" si="7"/>
        <v>62174.83</v>
      </c>
      <c r="X26" s="814">
        <f t="shared" si="7"/>
        <v>75496.81</v>
      </c>
      <c r="Y26" s="814">
        <f t="shared" si="7"/>
        <v>68007.590000000011</v>
      </c>
      <c r="Z26" s="814">
        <f t="shared" si="7"/>
        <v>127381.47</v>
      </c>
      <c r="AA26" s="814">
        <f t="shared" si="7"/>
        <v>70599.998941666665</v>
      </c>
      <c r="AB26" s="814">
        <f t="shared" si="7"/>
        <v>93959.514913888896</v>
      </c>
      <c r="AC26" s="814">
        <f t="shared" si="7"/>
        <v>94223.709994907418</v>
      </c>
      <c r="AD26" s="814">
        <f t="shared" si="7"/>
        <v>94325.935499344137</v>
      </c>
      <c r="AE26" s="814">
        <f t="shared" si="7"/>
        <v>94539.825629150597</v>
      </c>
      <c r="AF26" s="814">
        <f t="shared" si="7"/>
        <v>94684.139936440915</v>
      </c>
      <c r="AG26" s="814">
        <f t="shared" si="7"/>
        <v>95090.992936005438</v>
      </c>
      <c r="AH26" s="814">
        <f t="shared" si="7"/>
        <v>95426.291185533672</v>
      </c>
      <c r="AI26" s="814">
        <f t="shared" si="7"/>
        <v>95653.494289189257</v>
      </c>
      <c r="AJ26" s="814">
        <f t="shared" si="7"/>
        <v>96036.03181814948</v>
      </c>
      <c r="AK26" s="814">
        <f t="shared" si="7"/>
        <v>95931.897474523037</v>
      </c>
      <c r="AL26" s="814">
        <f t="shared" si="7"/>
        <v>301136.71360226109</v>
      </c>
      <c r="AM26" s="814">
        <f t="shared" si="7"/>
        <v>95623.622001393931</v>
      </c>
      <c r="AN26" s="814">
        <f t="shared" si="7"/>
        <v>116830.49808346148</v>
      </c>
      <c r="AO26" s="814">
        <f t="shared" si="7"/>
        <v>116924.28135467297</v>
      </c>
      <c r="AP26" s="814">
        <f t="shared" si="7"/>
        <v>117003.88133521387</v>
      </c>
      <c r="AQ26" s="814">
        <f t="shared" si="7"/>
        <v>117081.61517081245</v>
      </c>
      <c r="AR26" s="814">
        <f t="shared" si="7"/>
        <v>117148.02373451943</v>
      </c>
      <c r="AS26" s="814">
        <f t="shared" si="7"/>
        <v>117207.96317176643</v>
      </c>
      <c r="AT26" s="814">
        <f t="shared" si="7"/>
        <v>117239.0182743858</v>
      </c>
      <c r="AU26" s="814">
        <f t="shared" si="7"/>
        <v>117244.74721381067</v>
      </c>
      <c r="AV26" s="814">
        <f t="shared" si="7"/>
        <v>117232.04991989915</v>
      </c>
      <c r="AW26" s="814">
        <f t="shared" si="7"/>
        <v>117186.44908290762</v>
      </c>
      <c r="AX26" s="814">
        <f t="shared" si="7"/>
        <v>356488.39672707632</v>
      </c>
      <c r="AY26" s="814">
        <f t="shared" si="7"/>
        <v>123754.52169729098</v>
      </c>
      <c r="AZ26" s="814">
        <f t="shared" si="7"/>
        <v>127412.10437589508</v>
      </c>
      <c r="BA26" s="814">
        <f t="shared" si="7"/>
        <v>127438.04579283335</v>
      </c>
      <c r="BB26" s="814">
        <f t="shared" si="7"/>
        <v>127458.34753592453</v>
      </c>
      <c r="BC26" s="814">
        <f t="shared" si="7"/>
        <v>127473.72121761905</v>
      </c>
      <c r="BD26" s="814">
        <f t="shared" si="7"/>
        <v>127483.91114132153</v>
      </c>
      <c r="BE26" s="814">
        <f t="shared" si="7"/>
        <v>127489.42835144814</v>
      </c>
      <c r="BF26" s="814">
        <f t="shared" si="7"/>
        <v>127490.42155487905</v>
      </c>
      <c r="BG26" s="814">
        <f t="shared" si="7"/>
        <v>127488.91950019183</v>
      </c>
      <c r="BH26" s="814">
        <f t="shared" si="7"/>
        <v>127486.82315568808</v>
      </c>
      <c r="BI26" s="814">
        <f t="shared" si="7"/>
        <v>127485.61653171205</v>
      </c>
      <c r="BJ26" s="814">
        <f t="shared" si="7"/>
        <v>374011.02736502339</v>
      </c>
      <c r="BK26" s="814">
        <f t="shared" si="7"/>
        <v>127494.20975118761</v>
      </c>
      <c r="BL26" s="814">
        <f t="shared" si="7"/>
        <v>131274.13455867424</v>
      </c>
      <c r="BM26" s="814">
        <f t="shared" si="7"/>
        <v>131282.24644744687</v>
      </c>
      <c r="BN26" s="814">
        <f t="shared" si="7"/>
        <v>131288.88170663101</v>
      </c>
      <c r="BO26" s="814">
        <f t="shared" si="7"/>
        <v>131294.38683036968</v>
      </c>
      <c r="BP26" s="814">
        <f t="shared" ref="BP26:BV26" si="8">SUM(BP17:BP25,BP14)</f>
        <v>131299.07787980919</v>
      </c>
      <c r="BQ26" s="814">
        <f t="shared" si="8"/>
        <v>131303.31857212682</v>
      </c>
      <c r="BR26" s="814">
        <f t="shared" si="8"/>
        <v>131307.46037704698</v>
      </c>
      <c r="BS26" s="814">
        <f t="shared" si="8"/>
        <v>131311.87171627855</v>
      </c>
      <c r="BT26" s="814">
        <f t="shared" si="8"/>
        <v>131316.78273717203</v>
      </c>
      <c r="BU26" s="814">
        <f t="shared" si="8"/>
        <v>131322.28447621653</v>
      </c>
      <c r="BV26" s="815">
        <f t="shared" si="8"/>
        <v>385246.95353048504</v>
      </c>
    </row>
    <row r="27" spans="2:74" x14ac:dyDescent="0.35">
      <c r="B27" s="800"/>
      <c r="C27" s="157"/>
      <c r="D27" s="157"/>
      <c r="E27" s="157"/>
      <c r="F27" s="157"/>
      <c r="G27" s="157"/>
      <c r="H27" s="157"/>
      <c r="I27" s="157"/>
      <c r="J27" s="157"/>
      <c r="K27" s="157"/>
      <c r="L27" s="157"/>
      <c r="M27" s="157"/>
      <c r="N27" s="157"/>
      <c r="O27" s="157"/>
      <c r="P27" s="157"/>
      <c r="Q27" s="157"/>
      <c r="R27" s="157"/>
      <c r="S27" s="157"/>
      <c r="T27" s="157"/>
      <c r="U27" s="157"/>
      <c r="V27" s="157"/>
      <c r="W27" s="157"/>
      <c r="X27" s="157"/>
      <c r="Y27" s="157"/>
      <c r="Z27" s="157"/>
      <c r="AA27" s="157"/>
      <c r="AB27" s="157"/>
      <c r="AC27" s="157"/>
      <c r="AD27" s="157"/>
      <c r="AE27" s="157"/>
      <c r="AF27" s="157"/>
      <c r="AG27" s="157"/>
      <c r="AH27" s="157"/>
      <c r="AI27" s="157"/>
      <c r="AJ27" s="157"/>
      <c r="AK27" s="157"/>
      <c r="AL27" s="157"/>
      <c r="AM27" s="157"/>
      <c r="AN27" s="157"/>
      <c r="AO27" s="157"/>
      <c r="AP27" s="157"/>
      <c r="AQ27" s="157"/>
      <c r="AR27" s="157"/>
      <c r="AS27" s="157"/>
      <c r="AT27" s="157"/>
      <c r="AU27" s="157"/>
      <c r="AV27" s="157"/>
      <c r="AW27" s="157"/>
      <c r="AX27" s="157"/>
      <c r="AY27" s="157"/>
      <c r="AZ27" s="157"/>
      <c r="BA27" s="157"/>
      <c r="BB27" s="157"/>
      <c r="BC27" s="157"/>
      <c r="BD27" s="157"/>
      <c r="BE27" s="157"/>
      <c r="BF27" s="157"/>
      <c r="BG27" s="157"/>
      <c r="BH27" s="157"/>
      <c r="BI27" s="157"/>
      <c r="BJ27" s="157"/>
      <c r="BK27" s="157"/>
      <c r="BL27" s="157"/>
      <c r="BM27" s="157"/>
      <c r="BN27" s="157"/>
      <c r="BO27" s="157"/>
      <c r="BP27" s="157"/>
      <c r="BQ27" s="157"/>
      <c r="BR27" s="157"/>
      <c r="BS27" s="157"/>
      <c r="BT27" s="157"/>
      <c r="BU27" s="157"/>
      <c r="BV27" s="801"/>
    </row>
    <row r="28" spans="2:74" x14ac:dyDescent="0.35">
      <c r="B28" s="802" t="s">
        <v>945</v>
      </c>
      <c r="C28" s="803"/>
      <c r="D28" s="803"/>
      <c r="E28" s="803"/>
      <c r="F28" s="803"/>
      <c r="G28" s="803"/>
      <c r="H28" s="803"/>
      <c r="I28" s="803"/>
      <c r="J28" s="803"/>
      <c r="K28" s="803"/>
      <c r="L28" s="803"/>
      <c r="M28" s="803"/>
      <c r="N28" s="803"/>
      <c r="O28" s="804"/>
      <c r="P28" s="804"/>
      <c r="Q28" s="804"/>
      <c r="R28" s="804"/>
      <c r="S28" s="804"/>
      <c r="T28" s="804"/>
      <c r="U28" s="804"/>
      <c r="V28" s="804"/>
      <c r="W28" s="804"/>
      <c r="X28" s="804"/>
      <c r="Y28" s="804"/>
      <c r="Z28" s="804"/>
      <c r="AA28" s="804"/>
      <c r="AB28" s="804"/>
      <c r="AC28" s="804"/>
      <c r="AD28" s="804"/>
      <c r="AE28" s="804"/>
      <c r="AF28" s="804"/>
      <c r="AG28" s="804"/>
      <c r="AH28" s="804"/>
      <c r="AI28" s="804"/>
      <c r="AJ28" s="804"/>
      <c r="AK28" s="804"/>
      <c r="AL28" s="804"/>
      <c r="AM28" s="804"/>
      <c r="AN28" s="804"/>
      <c r="AO28" s="804"/>
      <c r="AP28" s="804"/>
      <c r="AQ28" s="804"/>
      <c r="AR28" s="804"/>
      <c r="AS28" s="804"/>
      <c r="AT28" s="804"/>
      <c r="AU28" s="804"/>
      <c r="AV28" s="804"/>
      <c r="AW28" s="804"/>
      <c r="AX28" s="804"/>
      <c r="AY28" s="804"/>
      <c r="AZ28" s="804"/>
      <c r="BA28" s="804"/>
      <c r="BB28" s="804"/>
      <c r="BC28" s="804"/>
      <c r="BD28" s="804"/>
      <c r="BE28" s="804"/>
      <c r="BF28" s="804"/>
      <c r="BG28" s="804"/>
      <c r="BH28" s="804"/>
      <c r="BI28" s="804"/>
      <c r="BJ28" s="804"/>
      <c r="BK28" s="804"/>
      <c r="BL28" s="804"/>
      <c r="BM28" s="804"/>
      <c r="BN28" s="804"/>
      <c r="BO28" s="804"/>
      <c r="BP28" s="804"/>
      <c r="BQ28" s="804"/>
      <c r="BR28" s="804"/>
      <c r="BS28" s="804"/>
      <c r="BT28" s="804"/>
      <c r="BU28" s="804"/>
      <c r="BV28" s="805"/>
    </row>
    <row r="29" spans="2:74" x14ac:dyDescent="0.35">
      <c r="B29" s="811" t="s">
        <v>946</v>
      </c>
      <c r="C29" s="684">
        <f>IF(C$4="forecast",(AVERAGE(#REF!)),'Dept. Cost Actuals'!G771-'Dept. Cost Actuals'!G769)</f>
        <v>1340</v>
      </c>
      <c r="D29" s="684">
        <f>IF(D$4="forecast",(AVERAGE(#REF!)),'Dept. Cost Actuals'!H771-'Dept. Cost Actuals'!H769)</f>
        <v>3012.0155061767273</v>
      </c>
      <c r="E29" s="684">
        <f>IF(E$4="forecast",(AVERAGE(#REF!)),'Dept. Cost Actuals'!I771-'Dept. Cost Actuals'!I769)</f>
        <v>2304</v>
      </c>
      <c r="F29" s="684">
        <f>IF(F$4="forecast",(AVERAGE(#REF!)),'Dept. Cost Actuals'!J771-'Dept. Cost Actuals'!J769)</f>
        <v>3097.5120585789114</v>
      </c>
      <c r="G29" s="684">
        <f>IF(G$4="forecast",(AVERAGE(#REF!)),'Dept. Cost Actuals'!K771-'Dept. Cost Actuals'!K769)</f>
        <v>3096.7068686719704</v>
      </c>
      <c r="H29" s="684">
        <f>IF(H$4="forecast",(AVERAGE(#REF!)),'Dept. Cost Actuals'!L771-'Dept. Cost Actuals'!L769)</f>
        <v>3372.6806247749187</v>
      </c>
      <c r="I29" s="684">
        <f>IF(I$4="forecast",(AVERAGE(#REF!)),'Dept. Cost Actuals'!M771-'Dept. Cost Actuals'!M769)</f>
        <v>3929.6499192621604</v>
      </c>
      <c r="J29" s="684">
        <f>IF(J$4="forecast",(AVERAGE(#REF!)),'Dept. Cost Actuals'!N771-'Dept. Cost Actuals'!N769)</f>
        <v>4690.4005373135196</v>
      </c>
      <c r="K29" s="684">
        <f>IF(K$4="forecast",(AVERAGE(#REF!)),'Dept. Cost Actuals'!O771-'Dept. Cost Actuals'!O769)</f>
        <v>4166.7970472637262</v>
      </c>
      <c r="L29" s="684">
        <f>IF(L$4="forecast",(AVERAGE(#REF!)),'Dept. Cost Actuals'!P771-'Dept. Cost Actuals'!P769)</f>
        <v>4627.4380331497159</v>
      </c>
      <c r="M29" s="684">
        <f>IF(M$4="forecast",(AVERAGE(A29:L29)),'Dept. Cost Actuals'!Q771-'Dept. Cost Actuals'!Q769)</f>
        <v>5233.3314304922224</v>
      </c>
      <c r="N29" s="684">
        <f>IF(N$4="forecast",(AVERAGE(B29:M29)),'Dept. Cost Actuals'!R771-'Dept. Cost Actuals'!R769)</f>
        <v>5023.6787895708676</v>
      </c>
      <c r="O29" s="684">
        <f>IF(O$4="forecast",(AVERAGE(C29:N29)),'Dept. Cost Actuals'!S771-'Dept. Cost Actuals'!S769)</f>
        <v>17399.939999999999</v>
      </c>
      <c r="P29" s="684">
        <f>IF(P$4="forecast",(AVERAGE(D29:O29)),'Dept. Cost Actuals'!T771-'Dept. Cost Actuals'!T769)</f>
        <v>2395</v>
      </c>
      <c r="Q29" s="684">
        <f>IF(Q$4="forecast",(AVERAGE(E29:P29)),'Dept. Cost Actuals'!U771-'Dept. Cost Actuals'!U769)</f>
        <v>17262.650000000001</v>
      </c>
      <c r="R29" s="684">
        <f>IF(R$4="forecast",(AVERAGE(F29:Q29)),'Dept. Cost Actuals'!V771-'Dept. Cost Actuals'!V769)</f>
        <v>21845.95</v>
      </c>
      <c r="S29" s="684">
        <f>IF(S$4="forecast",(AVERAGE(G29:R29)),'Dept. Cost Actuals'!W771-'Dept. Cost Actuals'!W769)</f>
        <v>26398.36</v>
      </c>
      <c r="T29" s="684">
        <f>IF(T$4="forecast",(AVERAGE(H29:S29)),'Dept. Cost Actuals'!X771-'Dept. Cost Actuals'!X769)</f>
        <v>6000</v>
      </c>
      <c r="U29" s="684">
        <f>IF(U$4="forecast",(AVERAGE(I29:T29)),'Dept. Cost Actuals'!Y771-'Dept. Cost Actuals'!Y769)</f>
        <v>46279.96</v>
      </c>
      <c r="V29" s="684">
        <f>IF(V$4="forecast",(AVERAGE(J29:U29)),'Dept. Cost Actuals'!Z771-'Dept. Cost Actuals'!Z769)</f>
        <v>35001.94</v>
      </c>
      <c r="W29" s="684">
        <f>IF(W$4="forecast",(AVERAGE(K29:V29)),'Dept. Cost Actuals'!AA771-'Dept. Cost Actuals'!AA769)</f>
        <v>32803.440000000002</v>
      </c>
      <c r="X29" s="684">
        <f>IF(X$4="forecast",(AVERAGE(L29:W29)),'Dept. Cost Actuals'!AB771-'Dept. Cost Actuals'!AB769)</f>
        <v>33178.54</v>
      </c>
      <c r="Y29" s="684">
        <f>IF(Y$4="forecast",(AVERAGE(M29:X29)),'Dept. Cost Actuals'!AC771-'Dept. Cost Actuals'!AC769)</f>
        <v>32840.21</v>
      </c>
      <c r="Z29" s="684">
        <f>IF(Z$4="forecast",(AVERAGE(N29:Y29)),'Dept. Cost Actuals'!AD771-'Dept. Cost Actuals'!AD769)</f>
        <v>40796.839999999997</v>
      </c>
      <c r="AA29" s="1179">
        <f>IF(AA$4="forecast",0,'Dept. Cost Actuals'!AE771-'Dept. Cost Actuals'!AE769)</f>
        <v>0</v>
      </c>
      <c r="AB29" s="1179">
        <f>IF(AB$4="forecast",0,'Dept. Cost Actuals'!AF771-'Dept. Cost Actuals'!AF769)</f>
        <v>0</v>
      </c>
      <c r="AC29" s="1179">
        <f>IF(AC$4="forecast",0,'Dept. Cost Actuals'!AG771-'Dept. Cost Actuals'!AG769)</f>
        <v>0</v>
      </c>
      <c r="AD29" s="1179">
        <f>IF(AD$4="forecast",0,'Dept. Cost Actuals'!AH771-'Dept. Cost Actuals'!AH769)</f>
        <v>0</v>
      </c>
      <c r="AE29" s="1179">
        <f>IF(AE$4="forecast",0,'Dept. Cost Actuals'!AI771-'Dept. Cost Actuals'!AI769)</f>
        <v>0</v>
      </c>
      <c r="AF29" s="1179">
        <f>IF(AF$4="forecast",0,'Dept. Cost Actuals'!AJ771-'Dept. Cost Actuals'!AJ769)</f>
        <v>0</v>
      </c>
      <c r="AG29" s="1179">
        <f>IF(AG$4="forecast",0,'Dept. Cost Actuals'!AK771-'Dept. Cost Actuals'!AK769)</f>
        <v>0</v>
      </c>
      <c r="AH29" s="1179">
        <f>IF(AH$4="forecast",0,'Dept. Cost Actuals'!AL771-'Dept. Cost Actuals'!AL769)</f>
        <v>0</v>
      </c>
      <c r="AI29" s="1179">
        <f>IF(AI$4="forecast",0,'Dept. Cost Actuals'!AM771-'Dept. Cost Actuals'!AM769)</f>
        <v>0</v>
      </c>
      <c r="AJ29" s="1179">
        <f>IF(AJ$4="forecast",0,'Dept. Cost Actuals'!AN771-'Dept. Cost Actuals'!AN769)</f>
        <v>0</v>
      </c>
      <c r="AK29" s="1179">
        <f>IF(AK$4="forecast",0,'Dept. Cost Actuals'!AO771-'Dept. Cost Actuals'!AO769)</f>
        <v>0</v>
      </c>
      <c r="AL29" s="1179">
        <f>IF(AL$4="forecast",0,'Dept. Cost Actuals'!AP771-'Dept. Cost Actuals'!AP769)</f>
        <v>0</v>
      </c>
      <c r="AM29" s="1179">
        <f>IF(AM$4="forecast",0,'Dept. Cost Actuals'!AQ771-'Dept. Cost Actuals'!AQ769)</f>
        <v>0</v>
      </c>
      <c r="AN29" s="1179">
        <f>IF(AN$4="forecast",0,'Dept. Cost Actuals'!AR771-'Dept. Cost Actuals'!AR769)</f>
        <v>0</v>
      </c>
      <c r="AO29" s="1179">
        <f>IF(AO$4="forecast",0,'Dept. Cost Actuals'!AS771-'Dept. Cost Actuals'!AS769)</f>
        <v>0</v>
      </c>
      <c r="AP29" s="1179">
        <f>IF(AP$4="forecast",0,'Dept. Cost Actuals'!AT771-'Dept. Cost Actuals'!AT769)</f>
        <v>0</v>
      </c>
      <c r="AQ29" s="1179">
        <f>IF(AQ$4="forecast",0,'Dept. Cost Actuals'!AU771-'Dept. Cost Actuals'!AU769)</f>
        <v>0</v>
      </c>
      <c r="AR29" s="1179">
        <f>IF(AR$4="forecast",0,'Dept. Cost Actuals'!AV771-'Dept. Cost Actuals'!AV769)</f>
        <v>0</v>
      </c>
      <c r="AS29" s="1179">
        <f>IF(AS$4="forecast",0,'Dept. Cost Actuals'!AW771-'Dept. Cost Actuals'!AW769)</f>
        <v>0</v>
      </c>
      <c r="AT29" s="1179">
        <f>IF(AT$4="forecast",0,'Dept. Cost Actuals'!AX771-'Dept. Cost Actuals'!AX769)</f>
        <v>0</v>
      </c>
      <c r="AU29" s="1179">
        <f>IF(AU$4="forecast",0,'Dept. Cost Actuals'!AY771-'Dept. Cost Actuals'!AY769)</f>
        <v>0</v>
      </c>
      <c r="AV29" s="1179">
        <f>IF(AV$4="forecast",0,'Dept. Cost Actuals'!AZ771-'Dept. Cost Actuals'!AZ769)</f>
        <v>0</v>
      </c>
      <c r="AW29" s="1179">
        <f>IF(AW$4="forecast",0,'Dept. Cost Actuals'!BA771-'Dept. Cost Actuals'!BA769)</f>
        <v>0</v>
      </c>
      <c r="AX29" s="1179">
        <f>IF(AX$4="forecast",0,'Dept. Cost Actuals'!BB771-'Dept. Cost Actuals'!BB769)</f>
        <v>0</v>
      </c>
      <c r="AY29" s="1179">
        <f>IF(AY$4="forecast",0,'Dept. Cost Actuals'!BC771-'Dept. Cost Actuals'!BC769)</f>
        <v>0</v>
      </c>
      <c r="AZ29" s="1179">
        <f>IF(AZ$4="forecast",0,'Dept. Cost Actuals'!BD771-'Dept. Cost Actuals'!BD769)</f>
        <v>0</v>
      </c>
      <c r="BA29" s="1179">
        <f>IF(BA$4="forecast",0,'Dept. Cost Actuals'!BE771-'Dept. Cost Actuals'!BE769)</f>
        <v>0</v>
      </c>
      <c r="BB29" s="1179">
        <f>IF(BB$4="forecast",0,'Dept. Cost Actuals'!BF771-'Dept. Cost Actuals'!BF769)</f>
        <v>0</v>
      </c>
      <c r="BC29" s="1179">
        <f>IF(BC$4="forecast",0,'Dept. Cost Actuals'!BG771-'Dept. Cost Actuals'!BG769)</f>
        <v>0</v>
      </c>
      <c r="BD29" s="1179">
        <f>IF(BD$4="forecast",0,'Dept. Cost Actuals'!BH771-'Dept. Cost Actuals'!BH769)</f>
        <v>0</v>
      </c>
      <c r="BE29" s="1179">
        <f>IF(BE$4="forecast",0,'Dept. Cost Actuals'!BI771-'Dept. Cost Actuals'!BI769)</f>
        <v>0</v>
      </c>
      <c r="BF29" s="1179">
        <f>IF(BF$4="forecast",0,'Dept. Cost Actuals'!BJ771-'Dept. Cost Actuals'!BJ769)</f>
        <v>0</v>
      </c>
      <c r="BG29" s="1179">
        <f>IF(BG$4="forecast",0,'Dept. Cost Actuals'!BK771-'Dept. Cost Actuals'!BK769)</f>
        <v>0</v>
      </c>
      <c r="BH29" s="1179">
        <f>IF(BH$4="forecast",0,'Dept. Cost Actuals'!BL771-'Dept. Cost Actuals'!BL769)</f>
        <v>0</v>
      </c>
      <c r="BI29" s="1179">
        <f>IF(BI$4="forecast",0,'Dept. Cost Actuals'!BM771-'Dept. Cost Actuals'!BM769)</f>
        <v>0</v>
      </c>
      <c r="BJ29" s="1179">
        <f>IF(BJ$4="forecast",0,'Dept. Cost Actuals'!BN771-'Dept. Cost Actuals'!BN769)</f>
        <v>0</v>
      </c>
      <c r="BK29" s="1179">
        <f>IF(BK$4="forecast",0,'Dept. Cost Actuals'!BO771-'Dept. Cost Actuals'!BO769)</f>
        <v>0</v>
      </c>
      <c r="BL29" s="1179">
        <f>IF(BL$4="forecast",0,'Dept. Cost Actuals'!BP771-'Dept. Cost Actuals'!BP769)</f>
        <v>0</v>
      </c>
      <c r="BM29" s="1179">
        <f>IF(BM$4="forecast",0,'Dept. Cost Actuals'!BQ771-'Dept. Cost Actuals'!BQ769)</f>
        <v>0</v>
      </c>
      <c r="BN29" s="1179">
        <f>IF(BN$4="forecast",0,'Dept. Cost Actuals'!BR771-'Dept. Cost Actuals'!BR769)</f>
        <v>0</v>
      </c>
      <c r="BO29" s="1179">
        <f>IF(BO$4="forecast",0,'Dept. Cost Actuals'!BS771-'Dept. Cost Actuals'!BS769)</f>
        <v>0</v>
      </c>
      <c r="BP29" s="1179">
        <f>IF(BP$4="forecast",0,'Dept. Cost Actuals'!BT771-'Dept. Cost Actuals'!BT769)</f>
        <v>0</v>
      </c>
      <c r="BQ29" s="1179">
        <f>IF(BQ$4="forecast",0,'Dept. Cost Actuals'!BU771-'Dept. Cost Actuals'!BU769)</f>
        <v>0</v>
      </c>
      <c r="BR29" s="1179">
        <f>IF(BR$4="forecast",0,'Dept. Cost Actuals'!BV771-'Dept. Cost Actuals'!BV769)</f>
        <v>0</v>
      </c>
      <c r="BS29" s="1179">
        <f>IF(BS$4="forecast",0,'Dept. Cost Actuals'!BW771-'Dept. Cost Actuals'!BW769)</f>
        <v>0</v>
      </c>
      <c r="BT29" s="1179">
        <f>IF(BT$4="forecast",0,'Dept. Cost Actuals'!BX771-'Dept. Cost Actuals'!BX769)</f>
        <v>0</v>
      </c>
      <c r="BU29" s="1179">
        <f>IF(BU$4="forecast",0,'Dept. Cost Actuals'!BY771-'Dept. Cost Actuals'!BY769)</f>
        <v>0</v>
      </c>
      <c r="BV29" s="807">
        <f>IF(BV$4="forecast",0,'Dept. Cost Actuals'!BZ771-'Dept. Cost Actuals'!BZ769)</f>
        <v>0</v>
      </c>
    </row>
    <row r="30" spans="2:74" x14ac:dyDescent="0.35">
      <c r="B30" s="812" t="s">
        <v>926</v>
      </c>
      <c r="C30" s="684">
        <f>IF(C$4="forecast",AVERAGE(#REF!),'Dept. Cost Actuals'!G720+'Dept. Cost Actuals'!G680)</f>
        <v>0</v>
      </c>
      <c r="D30" s="684">
        <f>IF(D$4="forecast",AVERAGE(#REF!),'Dept. Cost Actuals'!H720+'Dept. Cost Actuals'!H680)</f>
        <v>0</v>
      </c>
      <c r="E30" s="684">
        <f>IF(E$4="forecast",AVERAGE(#REF!),'Dept. Cost Actuals'!I720+'Dept. Cost Actuals'!I680)</f>
        <v>0</v>
      </c>
      <c r="F30" s="684">
        <f>IF(F$4="forecast",AVERAGE(#REF!),'Dept. Cost Actuals'!J720+'Dept. Cost Actuals'!J680)</f>
        <v>0</v>
      </c>
      <c r="G30" s="684">
        <f>IF(G$4="forecast",AVERAGE(#REF!),'Dept. Cost Actuals'!K720+'Dept. Cost Actuals'!K680)</f>
        <v>0</v>
      </c>
      <c r="H30" s="684">
        <f>IF(H$4="forecast",AVERAGE(#REF!),'Dept. Cost Actuals'!L720+'Dept. Cost Actuals'!L680)</f>
        <v>0</v>
      </c>
      <c r="I30" s="684">
        <f>IF(I$4="forecast",AVERAGE(#REF!),'Dept. Cost Actuals'!M720+'Dept. Cost Actuals'!M680)</f>
        <v>71.939264650107916</v>
      </c>
      <c r="J30" s="684">
        <f>IF(J$4="forecast",AVERAGE(#REF!),'Dept. Cost Actuals'!N720+'Dept. Cost Actuals'!N680)</f>
        <v>0</v>
      </c>
      <c r="K30" s="684">
        <f>IF(K$4="forecast",AVERAGE(#REF!),'Dept. Cost Actuals'!O720+'Dept. Cost Actuals'!O680)</f>
        <v>49.490709491137906</v>
      </c>
      <c r="L30" s="684">
        <f>IF(L$4="forecast",AVERAGE(#REF!),'Dept. Cost Actuals'!P720+'Dept. Cost Actuals'!P680)</f>
        <v>52.28431288621605</v>
      </c>
      <c r="M30" s="684">
        <f>IF(M$4="forecast",AVERAGE(A30:L30),'Dept. Cost Actuals'!Q720+'Dept. Cost Actuals'!Q680)</f>
        <v>0</v>
      </c>
      <c r="N30" s="684">
        <f>IF(N$4="forecast",AVERAGE(B30:M30),'Dept. Cost Actuals'!R720+'Dept. Cost Actuals'!R680)</f>
        <v>0</v>
      </c>
      <c r="O30" s="684">
        <f>IF(O$4="forecast",AVERAGE(C30:N30),'Dept. Cost Actuals'!S720+'Dept. Cost Actuals'!S680)</f>
        <v>0</v>
      </c>
      <c r="P30" s="684">
        <f>IF(P$4="forecast",AVERAGE(D30:O30),'Dept. Cost Actuals'!T720+'Dept. Cost Actuals'!T680)</f>
        <v>0</v>
      </c>
      <c r="Q30" s="684">
        <f>IF(Q$4="forecast",AVERAGE(E30:P30),'Dept. Cost Actuals'!U720+'Dept. Cost Actuals'!U680)</f>
        <v>0</v>
      </c>
      <c r="R30" s="684">
        <f>IF(R$4="forecast",AVERAGE(F30:Q30),'Dept. Cost Actuals'!V720+'Dept. Cost Actuals'!V680)</f>
        <v>0</v>
      </c>
      <c r="S30" s="684">
        <f>IF(S$4="forecast",AVERAGE(G30:R30),'Dept. Cost Actuals'!W720+'Dept. Cost Actuals'!W680)</f>
        <v>80.12</v>
      </c>
      <c r="T30" s="684">
        <f>IF(T$4="forecast",AVERAGE(H30:S30),'Dept. Cost Actuals'!X720+'Dept. Cost Actuals'!X680)</f>
        <v>0</v>
      </c>
      <c r="U30" s="684">
        <f>IF(U$4="forecast",AVERAGE(I30:T30),'Dept. Cost Actuals'!Y720+'Dept. Cost Actuals'!Y680)</f>
        <v>0</v>
      </c>
      <c r="V30" s="684">
        <f>IF(V$4="forecast",AVERAGE(J30:U30),'Dept. Cost Actuals'!Z720+'Dept. Cost Actuals'!Z680)</f>
        <v>0</v>
      </c>
      <c r="W30" s="684">
        <f>IF(W$4="forecast",AVERAGE(K30:V30),'Dept. Cost Actuals'!AA720+'Dept. Cost Actuals'!AA680)</f>
        <v>0</v>
      </c>
      <c r="X30" s="684">
        <f>IF(X$4="forecast",AVERAGE(L30:W30),'Dept. Cost Actuals'!AB720+'Dept. Cost Actuals'!AB680)</f>
        <v>0</v>
      </c>
      <c r="Y30" s="684">
        <f>IF(Y$4="forecast",AVERAGE(M30:X30),'Dept. Cost Actuals'!AC720+'Dept. Cost Actuals'!AC680)</f>
        <v>0</v>
      </c>
      <c r="Z30" s="684">
        <f>IF(Z$4="forecast",AVERAGE(N30:Y30),'Dept. Cost Actuals'!AD720+'Dept. Cost Actuals'!AD680)</f>
        <v>0</v>
      </c>
      <c r="AA30" s="684">
        <f>IF(AA$4="forecast",AVERAGE(O30:Z30),'Dept. Cost Actuals'!AE720+'Dept. Cost Actuals'!AE680)</f>
        <v>6.6766666666666667</v>
      </c>
      <c r="AB30" s="684">
        <f>IF(AB$4="forecast",AVERAGE(P30:AA30),'Dept. Cost Actuals'!AF720+'Dept. Cost Actuals'!AF680)</f>
        <v>7.2330555555555556</v>
      </c>
      <c r="AC30" s="684">
        <f>IF(AC$4="forecast",AVERAGE(Q30:AB30),'Dept. Cost Actuals'!AG720+'Dept. Cost Actuals'!AG680)</f>
        <v>7.8358101851851849</v>
      </c>
      <c r="AD30" s="684">
        <f>IF(AD$4="forecast",AVERAGE(R30:AC30),'Dept. Cost Actuals'!AH720+'Dept. Cost Actuals'!AH680)</f>
        <v>8.4887943672839494</v>
      </c>
      <c r="AE30" s="684">
        <f>IF(AE$4="forecast",AVERAGE(S30:AD30),'Dept. Cost Actuals'!AI720+'Dept. Cost Actuals'!AI680)</f>
        <v>9.1961938978909448</v>
      </c>
      <c r="AF30" s="684">
        <f>IF(AF$4="forecast",AVERAGE(T30:AE30),'Dept. Cost Actuals'!AJ720+'Dept. Cost Actuals'!AJ680)</f>
        <v>3.2858767227151913</v>
      </c>
      <c r="AG30" s="684">
        <f>IF(AG$4="forecast",AVERAGE(U30:AF30),'Dept. Cost Actuals'!AK720+'Dept. Cost Actuals'!AK680)</f>
        <v>3.5596997829414576</v>
      </c>
      <c r="AH30" s="684">
        <f>IF(AH$4="forecast",AVERAGE(V30:AG30),'Dept. Cost Actuals'!AL720+'Dept. Cost Actuals'!AL680)</f>
        <v>3.8563414315199123</v>
      </c>
      <c r="AI30" s="684">
        <f>IF(AI$4="forecast",AVERAGE(W30:AH30),'Dept. Cost Actuals'!AM720+'Dept. Cost Actuals'!AM680)</f>
        <v>4.1777032174799054</v>
      </c>
      <c r="AJ30" s="684">
        <f>IF(AJ$4="forecast",AVERAGE(X30:AI30),'Dept. Cost Actuals'!AN720+'Dept. Cost Actuals'!AN680)</f>
        <v>4.5258451522698975</v>
      </c>
      <c r="AK30" s="684">
        <f>IF(AK$4="forecast",AVERAGE(Y30:AJ30),'Dept. Cost Actuals'!AO720+'Dept. Cost Actuals'!AO680)</f>
        <v>4.9029989149590554</v>
      </c>
      <c r="AL30" s="684">
        <f>IF(AL$4="forecast",AVERAGE(Z30:AK30),'Dept. Cost Actuals'!AP720+'Dept. Cost Actuals'!AP680)</f>
        <v>5.3115821578723095</v>
      </c>
      <c r="AM30" s="684">
        <f>IF(AM$4="forecast",AVERAGE(AA30:AL30),'Dept. Cost Actuals'!AQ720+'Dept. Cost Actuals'!AQ680)</f>
        <v>5.7542140043616685</v>
      </c>
      <c r="AN30" s="684">
        <f>IF(AN$4="forecast",AVERAGE(AB30:AM30),'Dept. Cost Actuals'!AR720+'Dept. Cost Actuals'!AR680)</f>
        <v>5.6773429491695859</v>
      </c>
      <c r="AO30" s="684">
        <f>IF(AO$4="forecast",AVERAGE(AC30:AN30),'Dept. Cost Actuals'!AS720+'Dept. Cost Actuals'!AS680)</f>
        <v>5.5477002319707553</v>
      </c>
      <c r="AP30" s="684">
        <f>IF(AP$4="forecast",AVERAGE(AD30:AO30),'Dept. Cost Actuals'!AT720+'Dept. Cost Actuals'!AT680)</f>
        <v>5.3570244025362186</v>
      </c>
      <c r="AQ30" s="684">
        <f>IF(AQ$4="forecast",AVERAGE(AE30:AP30),'Dept. Cost Actuals'!AU720+'Dept. Cost Actuals'!AU680)</f>
        <v>5.0960435721405757</v>
      </c>
      <c r="AR30" s="684">
        <f>IF(AR$4="forecast",AVERAGE(AF30:AQ30),'Dept. Cost Actuals'!AV720+'Dept. Cost Actuals'!AV680)</f>
        <v>4.7543643783280443</v>
      </c>
      <c r="AS30" s="684">
        <f>IF(AS$4="forecast",AVERAGE(AG30:AR30),'Dept. Cost Actuals'!AW720+'Dept. Cost Actuals'!AW680)</f>
        <v>4.8767383496291155</v>
      </c>
      <c r="AT30" s="684">
        <f>IF(AT$4="forecast",AVERAGE(AH30:AS30),'Dept. Cost Actuals'!AX720+'Dept. Cost Actuals'!AX680)</f>
        <v>4.9864915635197535</v>
      </c>
      <c r="AU30" s="684">
        <f>IF(AU$4="forecast",AVERAGE(AI30:AT30),'Dept. Cost Actuals'!AY720+'Dept. Cost Actuals'!AY680)</f>
        <v>5.0806707411864069</v>
      </c>
      <c r="AV30" s="684">
        <f>IF(AV$4="forecast",AVERAGE(AJ30:AU30),'Dept. Cost Actuals'!AZ720+'Dept. Cost Actuals'!AZ680)</f>
        <v>5.1559180348286153</v>
      </c>
      <c r="AW30" s="684">
        <f>IF(AW$4="forecast",AVERAGE(AK30:AV30),'Dept. Cost Actuals'!BA720+'Dept. Cost Actuals'!BA680)</f>
        <v>5.2084241083751754</v>
      </c>
      <c r="AX30" s="684">
        <f>IF(AX$4="forecast",AVERAGE(AL30:AW30),'Dept. Cost Actuals'!BB720+'Dept. Cost Actuals'!BB680)</f>
        <v>5.2338762078265191</v>
      </c>
      <c r="AY30" s="684">
        <f>IF(AY$4="forecast",AVERAGE(AM30:AX30),'Dept. Cost Actuals'!BC720+'Dept. Cost Actuals'!BC680)</f>
        <v>5.22740071198937</v>
      </c>
      <c r="AZ30" s="684">
        <f>IF(AZ$4="forecast",AVERAGE(AN30:AY30),'Dept. Cost Actuals'!BD720+'Dept. Cost Actuals'!BD680)</f>
        <v>5.1834996042916783</v>
      </c>
      <c r="BA30" s="684">
        <f>IF(BA$4="forecast",AVERAGE(AO30:AZ30),'Dept. Cost Actuals'!BE720+'Dept. Cost Actuals'!BE680)</f>
        <v>5.1423459922185186</v>
      </c>
      <c r="BB30" s="684">
        <f>IF(BB$4="forecast",AVERAGE(AP30:BA30),'Dept. Cost Actuals'!BF720+'Dept. Cost Actuals'!BF680)</f>
        <v>5.1085664722391657</v>
      </c>
      <c r="BC30" s="684">
        <f>IF(BC$4="forecast",AVERAGE(AQ30:BB30),'Dept. Cost Actuals'!BG720+'Dept. Cost Actuals'!BG680)</f>
        <v>5.0878616447144109</v>
      </c>
      <c r="BD30" s="684">
        <f>IF(BD$4="forecast",AVERAGE(AR30:BC30),'Dept. Cost Actuals'!BH720+'Dept. Cost Actuals'!BH680)</f>
        <v>5.0871798174288969</v>
      </c>
      <c r="BE30" s="684">
        <f>IF(BE$4="forecast",AVERAGE(AS30:BD30),'Dept. Cost Actuals'!BI720+'Dept. Cost Actuals'!BI680)</f>
        <v>5.1149144373539688</v>
      </c>
      <c r="BF30" s="684">
        <f>IF(BF$4="forecast",AVERAGE(AT30:BE30),'Dept. Cost Actuals'!BJ720+'Dept. Cost Actuals'!BJ680)</f>
        <v>5.1347624446643723</v>
      </c>
      <c r="BG30" s="684">
        <f>IF(BG$4="forecast",AVERAGE(AU30:BF30),'Dept. Cost Actuals'!BK720+'Dept. Cost Actuals'!BK680)</f>
        <v>5.1471183514264256</v>
      </c>
      <c r="BH30" s="684">
        <f>IF(BH$4="forecast",AVERAGE(AV30:BG30),'Dept. Cost Actuals'!BL720+'Dept. Cost Actuals'!BL680)</f>
        <v>5.1526556522797602</v>
      </c>
      <c r="BI30" s="684">
        <f>IF(BI$4="forecast",AVERAGE(AW30:BH30),'Dept. Cost Actuals'!BM720+'Dept. Cost Actuals'!BM680)</f>
        <v>5.1523837870673557</v>
      </c>
      <c r="BJ30" s="684">
        <f>IF(BJ$4="forecast",AVERAGE(AX30:BI30),'Dept. Cost Actuals'!BN720+'Dept. Cost Actuals'!BN680)</f>
        <v>5.1477137602917038</v>
      </c>
      <c r="BK30" s="684">
        <f>IF(BK$4="forecast",AVERAGE(AY30:BJ30),'Dept. Cost Actuals'!BO720+'Dept. Cost Actuals'!BO680)</f>
        <v>5.1405335563304693</v>
      </c>
      <c r="BL30" s="684">
        <f>IF(BL$4="forecast",AVERAGE(AZ30:BK30),'Dept. Cost Actuals'!BP720+'Dept. Cost Actuals'!BP680)</f>
        <v>5.1332946266922272</v>
      </c>
      <c r="BM30" s="684">
        <f>IF(BM$4="forecast",AVERAGE(BA30:BL30),'Dept. Cost Actuals'!BQ720+'Dept. Cost Actuals'!BQ680)</f>
        <v>5.1291108785589392</v>
      </c>
      <c r="BN30" s="684">
        <f>IF(BN$4="forecast",AVERAGE(BB30:BM30),'Dept. Cost Actuals'!BR720+'Dept. Cost Actuals'!BR680)</f>
        <v>5.1280079524206412</v>
      </c>
      <c r="BO30" s="684">
        <f>IF(BO$4="forecast",AVERAGE(BC30:BN30),'Dept. Cost Actuals'!BS720+'Dept. Cost Actuals'!BS680)</f>
        <v>5.1296280757690971</v>
      </c>
      <c r="BP30" s="684">
        <f>IF(BP$4="forecast",AVERAGE(BD30:BO30),'Dept. Cost Actuals'!BT720+'Dept. Cost Actuals'!BT680)</f>
        <v>5.1331086116903206</v>
      </c>
      <c r="BQ30" s="684">
        <f>IF(BQ$4="forecast",AVERAGE(BE30:BP30),'Dept. Cost Actuals'!BU720+'Dept. Cost Actuals'!BU680)</f>
        <v>5.1369360112121063</v>
      </c>
      <c r="BR30" s="684">
        <f>IF(BR$4="forecast",AVERAGE(BF30:BQ30),'Dept. Cost Actuals'!BV720+'Dept. Cost Actuals'!BV680)</f>
        <v>5.1387711423669513</v>
      </c>
      <c r="BS30" s="684">
        <f>IF(BS$4="forecast",AVERAGE(BG30:BR30),'Dept. Cost Actuals'!BW720+'Dept. Cost Actuals'!BW680)</f>
        <v>5.1391052005088325</v>
      </c>
      <c r="BT30" s="684">
        <f>IF(BT$4="forecast",AVERAGE(BH30:BS30),'Dept. Cost Actuals'!BX720+'Dept. Cost Actuals'!BX680)</f>
        <v>5.1384374379323665</v>
      </c>
      <c r="BU30" s="684">
        <f>IF(BU$4="forecast",AVERAGE(BI30:BT30),'Dept. Cost Actuals'!BY720+'Dept. Cost Actuals'!BY680)</f>
        <v>5.1372525867367509</v>
      </c>
      <c r="BV30" s="808">
        <f>IF(BV$4="forecast",AVERAGE(BJ30:BU30),'Dept. Cost Actuals'!BZ720+'Dept. Cost Actuals'!BZ680)</f>
        <v>5.1359916533758669</v>
      </c>
    </row>
    <row r="31" spans="2:74" x14ac:dyDescent="0.35">
      <c r="B31" s="812" t="s">
        <v>947</v>
      </c>
      <c r="C31" s="684">
        <f>IF(C$4="forecast",AVERAGE(#REF!),'Dept. Cost Actuals'!G708)</f>
        <v>0</v>
      </c>
      <c r="D31" s="684">
        <f>IF(D$4="forecast",AVERAGE(#REF!),'Dept. Cost Actuals'!H708)</f>
        <v>8.8334996973265927</v>
      </c>
      <c r="E31" s="684">
        <f>IF(E$4="forecast",AVERAGE(#REF!),'Dept. Cost Actuals'!I708)</f>
        <v>1.6231803078904836</v>
      </c>
      <c r="F31" s="684">
        <f>IF(F$4="forecast",AVERAGE(#REF!),'Dept. Cost Actuals'!J708)</f>
        <v>17.302481279370031</v>
      </c>
      <c r="G31" s="684">
        <f>IF(G$4="forecast",AVERAGE(#REF!),'Dept. Cost Actuals'!K708)</f>
        <v>3.2975361360764506</v>
      </c>
      <c r="H31" s="684">
        <f>IF(H$4="forecast",AVERAGE(#REF!),'Dept. Cost Actuals'!L708)</f>
        <v>27.303806491878245</v>
      </c>
      <c r="I31" s="684">
        <f>IF(I$4="forecast",AVERAGE(#REF!),'Dept. Cost Actuals'!M708)</f>
        <v>0.77826487001260092</v>
      </c>
      <c r="J31" s="684">
        <f>IF(J$4="forecast",AVERAGE(#REF!),'Dept. Cost Actuals'!N708)</f>
        <v>6.5434631486602299</v>
      </c>
      <c r="K31" s="684">
        <f>IF(K$4="forecast",AVERAGE(#REF!),'Dept. Cost Actuals'!O708)</f>
        <v>7.1749156084777184</v>
      </c>
      <c r="L31" s="684">
        <f>IF(L$4="forecast",AVERAGE(#REF!),'Dept. Cost Actuals'!P708)</f>
        <v>41.622404873219068</v>
      </c>
      <c r="M31" s="684">
        <f>IF(M$4="forecast",AVERAGE(A31:L31),'Dept. Cost Actuals'!Q708)</f>
        <v>0</v>
      </c>
      <c r="N31" s="684">
        <f>IF(N$4="forecast",AVERAGE(B31:M31),'Dept. Cost Actuals'!R708)</f>
        <v>0</v>
      </c>
      <c r="O31" s="684">
        <f>IF(O$4="forecast",AVERAGE(C31:N31),'Dept. Cost Actuals'!S708)</f>
        <v>0</v>
      </c>
      <c r="P31" s="684">
        <f>IF(P$4="forecast",AVERAGE(D31:O31),'Dept. Cost Actuals'!T708)</f>
        <v>0</v>
      </c>
      <c r="Q31" s="684">
        <f>IF(Q$4="forecast",AVERAGE(E31:P31),'Dept. Cost Actuals'!U708)</f>
        <v>0</v>
      </c>
      <c r="R31" s="684">
        <f>IF(R$4="forecast",AVERAGE(F31:Q31),'Dept. Cost Actuals'!V708)</f>
        <v>0</v>
      </c>
      <c r="S31" s="684">
        <f>IF(S$4="forecast",AVERAGE(G31:R31),'Dept. Cost Actuals'!W708)</f>
        <v>0</v>
      </c>
      <c r="T31" s="684">
        <f>IF(T$4="forecast",AVERAGE(H31:S31),'Dept. Cost Actuals'!X708)</f>
        <v>25.51</v>
      </c>
      <c r="U31" s="684">
        <f>IF(U$4="forecast",AVERAGE(I31:T31),'Dept. Cost Actuals'!Y708)</f>
        <v>26.99</v>
      </c>
      <c r="V31" s="684">
        <f>IF(V$4="forecast",AVERAGE(J31:U31),'Dept. Cost Actuals'!Z708)</f>
        <v>0</v>
      </c>
      <c r="W31" s="684">
        <f>IF(W$4="forecast",AVERAGE(K31:V31),'Dept. Cost Actuals'!AA708)</f>
        <v>0</v>
      </c>
      <c r="X31" s="684">
        <f>IF(X$4="forecast",AVERAGE(L31:W31),'Dept. Cost Actuals'!AB708)</f>
        <v>0</v>
      </c>
      <c r="Y31" s="684">
        <f>IF(Y$4="forecast",AVERAGE(M31:X31),'Dept. Cost Actuals'!AC708)</f>
        <v>0</v>
      </c>
      <c r="Z31" s="684">
        <f>IF(Z$4="forecast",AVERAGE(N31:Y31),'Dept. Cost Actuals'!AD708)</f>
        <v>0</v>
      </c>
      <c r="AA31" s="684">
        <f>IF(AA$4="forecast",AVERAGE(O31:Z31),'Dept. Cost Actuals'!AE708)</f>
        <v>4.375</v>
      </c>
      <c r="AB31" s="684">
        <f>IF(AB$4="forecast",AVERAGE(P31:AA31),'Dept. Cost Actuals'!AF708)</f>
        <v>4.739583333333333</v>
      </c>
      <c r="AC31" s="684">
        <f>IF(AC$4="forecast",AVERAGE(Q31:AB31),'Dept. Cost Actuals'!AG708)</f>
        <v>5.1345486111111116</v>
      </c>
      <c r="AD31" s="684">
        <f>IF(AD$4="forecast",AVERAGE(R31:AC31),'Dept. Cost Actuals'!AH708)</f>
        <v>5.5624276620370372</v>
      </c>
      <c r="AE31" s="684">
        <f>IF(AE$4="forecast",AVERAGE(S31:AD31),'Dept. Cost Actuals'!AI708)</f>
        <v>6.0259633005401234</v>
      </c>
      <c r="AF31" s="684">
        <f>IF(AF$4="forecast",AVERAGE(T31:AE31),'Dept. Cost Actuals'!AJ708)</f>
        <v>6.528126908918467</v>
      </c>
      <c r="AG31" s="684">
        <f>IF(AG$4="forecast",AVERAGE(U31:AF31),'Dept. Cost Actuals'!AK708)</f>
        <v>4.9463041513283388</v>
      </c>
      <c r="AH31" s="684">
        <f>IF(AH$4="forecast",AVERAGE(V31:AG31),'Dept. Cost Actuals'!AL708)</f>
        <v>3.109329497272368</v>
      </c>
      <c r="AI31" s="684">
        <f>IF(AI$4="forecast",AVERAGE(W31:AH31),'Dept. Cost Actuals'!AM708)</f>
        <v>3.368440288711732</v>
      </c>
      <c r="AJ31" s="684">
        <f>IF(AJ$4="forecast",AVERAGE(X31:AI31),'Dept. Cost Actuals'!AN708)</f>
        <v>3.6491436461043762</v>
      </c>
      <c r="AK31" s="684">
        <f>IF(AK$4="forecast",AVERAGE(Y31:AJ31),'Dept. Cost Actuals'!AO708)</f>
        <v>3.953238949946408</v>
      </c>
      <c r="AL31" s="684">
        <f>IF(AL$4="forecast",AVERAGE(Z31:AK31),'Dept. Cost Actuals'!AP708)</f>
        <v>4.2826755291086087</v>
      </c>
      <c r="AM31" s="684">
        <f>IF(AM$4="forecast",AVERAGE(AA31:AL31),'Dept. Cost Actuals'!AQ708)</f>
        <v>4.6395651565343261</v>
      </c>
      <c r="AN31" s="684">
        <f>IF(AN$4="forecast",AVERAGE(AB31:AM31),'Dept. Cost Actuals'!AR708)</f>
        <v>4.6616122529121862</v>
      </c>
      <c r="AO31" s="684">
        <f>IF(AO$4="forecast",AVERAGE(AC31:AN31),'Dept. Cost Actuals'!AS708)</f>
        <v>4.6551146628770903</v>
      </c>
      <c r="AP31" s="684">
        <f>IF(AP$4="forecast",AVERAGE(AD31:AO31),'Dept. Cost Actuals'!AT708)</f>
        <v>4.6151618338575888</v>
      </c>
      <c r="AQ31" s="684">
        <f>IF(AQ$4="forecast",AVERAGE(AE31:AP31),'Dept. Cost Actuals'!AU708)</f>
        <v>4.5362230148426343</v>
      </c>
      <c r="AR31" s="684">
        <f>IF(AR$4="forecast",AVERAGE(AF31:AQ31),'Dept. Cost Actuals'!AV708)</f>
        <v>4.4120779910345105</v>
      </c>
      <c r="AS31" s="684">
        <f>IF(AS$4="forecast",AVERAGE(AG31:AR31),'Dept. Cost Actuals'!AW708)</f>
        <v>4.2357405812108473</v>
      </c>
      <c r="AT31" s="684">
        <f>IF(AT$4="forecast",AVERAGE(AH31:AS31),'Dept. Cost Actuals'!AX708)</f>
        <v>4.1765269503677223</v>
      </c>
      <c r="AU31" s="684">
        <f>IF(AU$4="forecast",AVERAGE(AI31:AT31),'Dept. Cost Actuals'!AY708)</f>
        <v>4.2654600714590023</v>
      </c>
      <c r="AV31" s="684">
        <f>IF(AV$4="forecast",AVERAGE(AJ31:AU31),'Dept. Cost Actuals'!AZ708)</f>
        <v>4.3402117200212755</v>
      </c>
      <c r="AW31" s="684">
        <f>IF(AW$4="forecast",AVERAGE(AK31:AV31),'Dept. Cost Actuals'!BA708)</f>
        <v>4.3978007261810168</v>
      </c>
      <c r="AX31" s="684">
        <f>IF(AX$4="forecast",AVERAGE(AL31:AW31),'Dept. Cost Actuals'!BB708)</f>
        <v>4.4348475408672341</v>
      </c>
      <c r="AY31" s="684">
        <f>IF(AY$4="forecast",AVERAGE(AM31:AX31),'Dept. Cost Actuals'!BC708)</f>
        <v>4.4475285418471193</v>
      </c>
      <c r="AZ31" s="684">
        <f>IF(AZ$4="forecast",AVERAGE(AN31:AY31),'Dept. Cost Actuals'!BD708)</f>
        <v>4.4315254906231853</v>
      </c>
      <c r="BA31" s="684">
        <f>IF(BA$4="forecast",AVERAGE(AO31:AZ31),'Dept. Cost Actuals'!BE708)</f>
        <v>4.4123515937657691</v>
      </c>
      <c r="BB31" s="684">
        <f>IF(BB$4="forecast",AVERAGE(AP31:BA31),'Dept. Cost Actuals'!BF708)</f>
        <v>4.3921213380064925</v>
      </c>
      <c r="BC31" s="684">
        <f>IF(BC$4="forecast",AVERAGE(AQ31:BB31),'Dept. Cost Actuals'!BG708)</f>
        <v>4.3735346300189013</v>
      </c>
      <c r="BD31" s="684">
        <f>IF(BD$4="forecast",AVERAGE(AR31:BC31),'Dept. Cost Actuals'!BH708)</f>
        <v>4.3599772646169237</v>
      </c>
      <c r="BE31" s="684">
        <f>IF(BE$4="forecast",AVERAGE(AS31:BD31),'Dept. Cost Actuals'!BI708)</f>
        <v>4.3556355374154574</v>
      </c>
      <c r="BF31" s="684">
        <f>IF(BF$4="forecast",AVERAGE(AT31:BE31),'Dept. Cost Actuals'!BJ708)</f>
        <v>4.3656267837658413</v>
      </c>
      <c r="BG31" s="684">
        <f>IF(BG$4="forecast",AVERAGE(AU31:BF31),'Dept. Cost Actuals'!BK708)</f>
        <v>4.3813851032156848</v>
      </c>
      <c r="BH31" s="684">
        <f>IF(BH$4="forecast",AVERAGE(AV31:BG31),'Dept. Cost Actuals'!BL708)</f>
        <v>4.3910455225287413</v>
      </c>
      <c r="BI31" s="684">
        <f>IF(BI$4="forecast",AVERAGE(AW31:BH31),'Dept. Cost Actuals'!BM708)</f>
        <v>4.3952816727376982</v>
      </c>
      <c r="BJ31" s="684">
        <f>IF(BJ$4="forecast",AVERAGE(AX31:BI31),'Dept. Cost Actuals'!BN708)</f>
        <v>4.3950717516174205</v>
      </c>
      <c r="BK31" s="684">
        <f>IF(BK$4="forecast",AVERAGE(AY31:BJ31),'Dept. Cost Actuals'!BO708)</f>
        <v>4.39175710251327</v>
      </c>
      <c r="BL31" s="684">
        <f>IF(BL$4="forecast",AVERAGE(AZ31:BK31),'Dept. Cost Actuals'!BP708)</f>
        <v>4.387109482568782</v>
      </c>
      <c r="BM31" s="684">
        <f>IF(BM$4="forecast",AVERAGE(BA31:BL31),'Dept. Cost Actuals'!BQ708)</f>
        <v>4.3834081485642482</v>
      </c>
      <c r="BN31" s="684">
        <f>IF(BN$4="forecast",AVERAGE(BB31:BM31),'Dept. Cost Actuals'!BR708)</f>
        <v>4.3809961947974552</v>
      </c>
      <c r="BO31" s="684">
        <f>IF(BO$4="forecast",AVERAGE(BC31:BN31),'Dept. Cost Actuals'!BS708)</f>
        <v>4.3800690995300355</v>
      </c>
      <c r="BP31" s="684">
        <f>IF(BP$4="forecast",AVERAGE(BD31:BO31),'Dept. Cost Actuals'!BT708)</f>
        <v>4.3806136386559631</v>
      </c>
      <c r="BQ31" s="684">
        <f>IF(BQ$4="forecast",AVERAGE(BE31:BP31),'Dept. Cost Actuals'!BU708)</f>
        <v>4.3823333364925494</v>
      </c>
      <c r="BR31" s="684">
        <f>IF(BR$4="forecast",AVERAGE(BF31:BQ31),'Dept. Cost Actuals'!BV708)</f>
        <v>4.384558153082307</v>
      </c>
      <c r="BS31" s="684">
        <f>IF(BS$4="forecast",AVERAGE(BG31:BR31),'Dept. Cost Actuals'!BW708)</f>
        <v>4.3861357671920134</v>
      </c>
      <c r="BT31" s="684">
        <f>IF(BT$4="forecast",AVERAGE(BH31:BS31),'Dept. Cost Actuals'!BX708)</f>
        <v>4.3865316558567073</v>
      </c>
      <c r="BU31" s="684">
        <f>IF(BU$4="forecast",AVERAGE(BI31:BT31),'Dept. Cost Actuals'!BY708)</f>
        <v>4.3861555003007044</v>
      </c>
      <c r="BV31" s="808">
        <f>IF(BV$4="forecast",AVERAGE(BJ31:BU31),'Dept. Cost Actuals'!BZ708)</f>
        <v>4.3853949859309553</v>
      </c>
    </row>
    <row r="32" spans="2:74" x14ac:dyDescent="0.35">
      <c r="B32" s="812" t="s">
        <v>948</v>
      </c>
      <c r="C32" s="684">
        <f>IF(C$4="forecast",AVERAGE(#REF!),'Dept. Cost Actuals'!G759)</f>
        <v>5.6781674878658306</v>
      </c>
      <c r="D32" s="684">
        <f>IF(D$4="forecast",AVERAGE(#REF!),'Dept. Cost Actuals'!H759)</f>
        <v>3.0336948377151041</v>
      </c>
      <c r="E32" s="684">
        <f>IF(E$4="forecast",AVERAGE(#REF!),'Dept. Cost Actuals'!I759)</f>
        <v>0</v>
      </c>
      <c r="F32" s="684">
        <f>IF(F$4="forecast",AVERAGE(#REF!),'Dept. Cost Actuals'!J759)</f>
        <v>4.3836270446975503</v>
      </c>
      <c r="G32" s="684">
        <f>IF(G$4="forecast",AVERAGE(#REF!),'Dept. Cost Actuals'!K759)</f>
        <v>41.958947482725833</v>
      </c>
      <c r="H32" s="684">
        <f>IF(H$4="forecast",AVERAGE(#REF!),'Dept. Cost Actuals'!L759)</f>
        <v>1.4314616995741991</v>
      </c>
      <c r="I32" s="684">
        <f>IF(I$4="forecast",AVERAGE(#REF!),'Dept. Cost Actuals'!M759)</f>
        <v>0</v>
      </c>
      <c r="J32" s="684">
        <f>IF(J$4="forecast",AVERAGE(#REF!),'Dept. Cost Actuals'!N759)</f>
        <v>2.0161882458055622</v>
      </c>
      <c r="K32" s="684">
        <f>IF(K$4="forecast",AVERAGE(#REF!),'Dept. Cost Actuals'!O759)</f>
        <v>0.53140649316109323</v>
      </c>
      <c r="L32" s="684">
        <f>IF(L$4="forecast",AVERAGE(#REF!),'Dept. Cost Actuals'!P759)</f>
        <v>10.018128995198005</v>
      </c>
      <c r="M32" s="684">
        <f>IF(M$4="forecast",AVERAGE(A32:L32),'Dept. Cost Actuals'!Q759)</f>
        <v>53.700688283530731</v>
      </c>
      <c r="N32" s="684">
        <f>IF(N$4="forecast",AVERAGE(B32:M32),'Dept. Cost Actuals'!R759)</f>
        <v>21.641182316495023</v>
      </c>
      <c r="O32" s="684">
        <f>IF(O$4="forecast",AVERAGE(C32:N32),'Dept. Cost Actuals'!S759)</f>
        <v>0</v>
      </c>
      <c r="P32" s="684">
        <f>IF(P$4="forecast",AVERAGE(D32:O32),'Dept. Cost Actuals'!T759)</f>
        <v>0</v>
      </c>
      <c r="Q32" s="684">
        <f>IF(Q$4="forecast",AVERAGE(E32:P32),'Dept. Cost Actuals'!U759)</f>
        <v>0</v>
      </c>
      <c r="R32" s="684">
        <f>IF(R$4="forecast",AVERAGE(F32:Q32),'Dept. Cost Actuals'!V759)</f>
        <v>0</v>
      </c>
      <c r="S32" s="684">
        <f>IF(S$4="forecast",AVERAGE(G32:R32),'Dept. Cost Actuals'!W759)</f>
        <v>0</v>
      </c>
      <c r="T32" s="684">
        <f>IF(T$4="forecast",AVERAGE(H32:S32),'Dept. Cost Actuals'!X759)</f>
        <v>0</v>
      </c>
      <c r="U32" s="684">
        <f>IF(U$4="forecast",AVERAGE(I32:T32),'Dept. Cost Actuals'!Y759)</f>
        <v>0</v>
      </c>
      <c r="V32" s="684">
        <f>IF(V$4="forecast",AVERAGE(J32:U32),'Dept. Cost Actuals'!Z759)</f>
        <v>0</v>
      </c>
      <c r="W32" s="684">
        <f>IF(W$4="forecast",AVERAGE(K32:V32),'Dept. Cost Actuals'!AA759)</f>
        <v>881.17</v>
      </c>
      <c r="X32" s="684">
        <f>IF(X$4="forecast",AVERAGE(L32:W32),'Dept. Cost Actuals'!AB759)</f>
        <v>0</v>
      </c>
      <c r="Y32" s="684">
        <f>IF(Y$4="forecast",AVERAGE(M32:X32),'Dept. Cost Actuals'!AC759)</f>
        <v>47.62</v>
      </c>
      <c r="Z32" s="684">
        <f>IF(Z$4="forecast",AVERAGE(N32:Y32),'Dept. Cost Actuals'!AD759)</f>
        <v>0</v>
      </c>
      <c r="AA32" s="684">
        <f>IF(AA$4="forecast",AVERAGE(O32:Z32),'Dept. Cost Actuals'!AE759)</f>
        <v>77.399166666666659</v>
      </c>
      <c r="AB32" s="684">
        <f>IF(AB$4="forecast",AVERAGE(P32:AA32),'Dept. Cost Actuals'!AF759)</f>
        <v>83.849097222222227</v>
      </c>
      <c r="AC32" s="684">
        <f>IF(AC$4="forecast",AVERAGE(Q32:AB32),'Dept. Cost Actuals'!AG759)</f>
        <v>90.836521990740735</v>
      </c>
      <c r="AD32" s="684">
        <f>IF(AD$4="forecast",AVERAGE(R32:AC32),'Dept. Cost Actuals'!AH759)</f>
        <v>98.406232156635795</v>
      </c>
      <c r="AE32" s="684">
        <f>IF(AE$4="forecast",AVERAGE(S32:AD32),'Dept. Cost Actuals'!AI759)</f>
        <v>106.60675150302211</v>
      </c>
      <c r="AF32" s="684">
        <f>IF(AF$4="forecast",AVERAGE(T32:AE32),'Dept. Cost Actuals'!AJ759)</f>
        <v>115.4906474616073</v>
      </c>
      <c r="AG32" s="684">
        <f>IF(AG$4="forecast",AVERAGE(U32:AF32),'Dept. Cost Actuals'!AK759)</f>
        <v>125.1148680834079</v>
      </c>
      <c r="AH32" s="684">
        <f>IF(AH$4="forecast",AVERAGE(V32:AG32),'Dept. Cost Actuals'!AL759)</f>
        <v>135.54110709035857</v>
      </c>
      <c r="AI32" s="684">
        <f>IF(AI$4="forecast",AVERAGE(W32:AH32),'Dept. Cost Actuals'!AM759)</f>
        <v>146.83619934788842</v>
      </c>
      <c r="AJ32" s="684">
        <f>IF(AJ$4="forecast",AVERAGE(X32:AI32),'Dept. Cost Actuals'!AN759)</f>
        <v>85.64171596021248</v>
      </c>
      <c r="AK32" s="684">
        <f>IF(AK$4="forecast",AVERAGE(Y32:AJ32),'Dept. Cost Actuals'!AO759)</f>
        <v>92.77852562356351</v>
      </c>
      <c r="AL32" s="684">
        <f>IF(AL$4="forecast",AVERAGE(Z32:AK32),'Dept. Cost Actuals'!AP759)</f>
        <v>96.54173609219383</v>
      </c>
      <c r="AM32" s="684">
        <f>IF(AM$4="forecast",AVERAGE(AA32:AL32),'Dept. Cost Actuals'!AQ759)</f>
        <v>104.5868807665433</v>
      </c>
      <c r="AN32" s="684">
        <f>IF(AN$4="forecast",AVERAGE(AB32:AM32),'Dept. Cost Actuals'!AR759)</f>
        <v>106.85252360819969</v>
      </c>
      <c r="AO32" s="684">
        <f>IF(AO$4="forecast",AVERAGE(AC32:AN32),'Dept. Cost Actuals'!AS759)</f>
        <v>108.76947580703114</v>
      </c>
      <c r="AP32" s="684">
        <f>IF(AP$4="forecast",AVERAGE(AD32:AO32),'Dept. Cost Actuals'!AT759)</f>
        <v>110.2638886250553</v>
      </c>
      <c r="AQ32" s="684">
        <f>IF(AQ$4="forecast",AVERAGE(AE32:AP32),'Dept. Cost Actuals'!AU759)</f>
        <v>111.25202666409029</v>
      </c>
      <c r="AR32" s="684">
        <f>IF(AR$4="forecast",AVERAGE(AF32:AQ32),'Dept. Cost Actuals'!AV759)</f>
        <v>111.63913292751265</v>
      </c>
      <c r="AS32" s="684">
        <f>IF(AS$4="forecast",AVERAGE(AG32:AR32),'Dept. Cost Actuals'!AW759)</f>
        <v>111.31817338300476</v>
      </c>
      <c r="AT32" s="684">
        <f>IF(AT$4="forecast",AVERAGE(AH32:AS32),'Dept. Cost Actuals'!AX759)</f>
        <v>110.16844882463784</v>
      </c>
      <c r="AU32" s="684">
        <f>IF(AU$4="forecast",AVERAGE(AI32:AT32),'Dept. Cost Actuals'!AY759)</f>
        <v>108.05406063582778</v>
      </c>
      <c r="AV32" s="684">
        <f>IF(AV$4="forecast",AVERAGE(AJ32:AU32),'Dept. Cost Actuals'!AZ759)</f>
        <v>104.82221574315604</v>
      </c>
      <c r="AW32" s="684">
        <f>IF(AW$4="forecast",AVERAGE(AK32:AV32),'Dept. Cost Actuals'!BA759)</f>
        <v>106.420590725068</v>
      </c>
      <c r="AX32" s="684">
        <f>IF(AX$4="forecast",AVERAGE(AL32:AW32),'Dept. Cost Actuals'!BB759)</f>
        <v>107.55742948352669</v>
      </c>
      <c r="AY32" s="684">
        <f>IF(AY$4="forecast",AVERAGE(AM32:AX32),'Dept. Cost Actuals'!BC759)</f>
        <v>108.47540393280445</v>
      </c>
      <c r="AZ32" s="684">
        <f>IF(AZ$4="forecast",AVERAGE(AN32:AY32),'Dept. Cost Actuals'!BD759)</f>
        <v>108.79944752999289</v>
      </c>
      <c r="BA32" s="684">
        <f>IF(BA$4="forecast",AVERAGE(AO32:AZ32),'Dept. Cost Actuals'!BE759)</f>
        <v>108.96169119014233</v>
      </c>
      <c r="BB32" s="684">
        <f>IF(BB$4="forecast",AVERAGE(AP32:BA32),'Dept. Cost Actuals'!BF759)</f>
        <v>108.97770913873491</v>
      </c>
      <c r="BC32" s="684">
        <f>IF(BC$4="forecast",AVERAGE(AQ32:BB32),'Dept. Cost Actuals'!BG759)</f>
        <v>108.87052751487489</v>
      </c>
      <c r="BD32" s="684">
        <f>IF(BD$4="forecast",AVERAGE(AR32:BC32),'Dept. Cost Actuals'!BH759)</f>
        <v>108.67206925244028</v>
      </c>
      <c r="BE32" s="684">
        <f>IF(BE$4="forecast",AVERAGE(AS32:BD32),'Dept. Cost Actuals'!BI759)</f>
        <v>108.42481394618426</v>
      </c>
      <c r="BF32" s="684">
        <f>IF(BF$4="forecast",AVERAGE(AT32:BE32),'Dept. Cost Actuals'!BJ759)</f>
        <v>108.18370065978253</v>
      </c>
      <c r="BG32" s="684">
        <f>IF(BG$4="forecast",AVERAGE(AU32:BF32),'Dept. Cost Actuals'!BK759)</f>
        <v>108.0183049793779</v>
      </c>
      <c r="BH32" s="684">
        <f>IF(BH$4="forecast",AVERAGE(AV32:BG32),'Dept. Cost Actuals'!BL759)</f>
        <v>108.01532534134043</v>
      </c>
      <c r="BI32" s="684">
        <f>IF(BI$4="forecast",AVERAGE(AW32:BH32),'Dept. Cost Actuals'!BM759)</f>
        <v>108.2814178078558</v>
      </c>
      <c r="BJ32" s="684">
        <f>IF(BJ$4="forecast",AVERAGE(AX32:BI32),'Dept. Cost Actuals'!BN759)</f>
        <v>108.43648673142145</v>
      </c>
      <c r="BK32" s="684">
        <f>IF(BK$4="forecast",AVERAGE(AY32:BJ32),'Dept. Cost Actuals'!BO759)</f>
        <v>108.50974150207935</v>
      </c>
      <c r="BL32" s="684">
        <f>IF(BL$4="forecast",AVERAGE(AZ32:BK32),'Dept. Cost Actuals'!BP759)</f>
        <v>108.51260296618558</v>
      </c>
      <c r="BM32" s="684">
        <f>IF(BM$4="forecast",AVERAGE(BA32:BL32),'Dept. Cost Actuals'!BQ759)</f>
        <v>108.48869925253497</v>
      </c>
      <c r="BN32" s="684">
        <f>IF(BN$4="forecast",AVERAGE(BB32:BM32),'Dept. Cost Actuals'!BR759)</f>
        <v>108.44928325773436</v>
      </c>
      <c r="BO32" s="684">
        <f>IF(BO$4="forecast",AVERAGE(BC32:BN32),'Dept. Cost Actuals'!BS759)</f>
        <v>108.40524776765101</v>
      </c>
      <c r="BP32" s="684">
        <f>IF(BP$4="forecast",AVERAGE(BD32:BO32),'Dept. Cost Actuals'!BT759)</f>
        <v>108.36647445538233</v>
      </c>
      <c r="BQ32" s="684">
        <f>IF(BQ$4="forecast",AVERAGE(BE32:BP32),'Dept. Cost Actuals'!BU759)</f>
        <v>108.34100822229415</v>
      </c>
      <c r="BR32" s="684">
        <f>IF(BR$4="forecast",AVERAGE(BF32:BQ32),'Dept. Cost Actuals'!BV759)</f>
        <v>108.33402441196999</v>
      </c>
      <c r="BS32" s="684">
        <f>IF(BS$4="forecast",AVERAGE(BG32:BR32),'Dept. Cost Actuals'!BW759)</f>
        <v>108.34655139131894</v>
      </c>
      <c r="BT32" s="684">
        <f>IF(BT$4="forecast",AVERAGE(BH32:BS32),'Dept. Cost Actuals'!BX759)</f>
        <v>108.3739052589807</v>
      </c>
      <c r="BU32" s="684">
        <f>IF(BU$4="forecast",AVERAGE(BI32:BT32),'Dept. Cost Actuals'!BY759)</f>
        <v>108.40378691878406</v>
      </c>
      <c r="BV32" s="808">
        <f>IF(BV$4="forecast",AVERAGE(BJ32:BU32),'Dept. Cost Actuals'!BZ759)</f>
        <v>108.41398434469473</v>
      </c>
    </row>
    <row r="33" spans="2:74" x14ac:dyDescent="0.35">
      <c r="B33" s="812" t="s">
        <v>949</v>
      </c>
      <c r="C33" s="684">
        <f>IF(C$4="forecast",AVERAGE(#REF!),'Dept. Cost Actuals'!G717+'Dept. Cost Actuals'!G716)</f>
        <v>5427.6807265344432</v>
      </c>
      <c r="D33" s="684">
        <f>IF(D$4="forecast",AVERAGE(#REF!),'Dept. Cost Actuals'!H717+'Dept. Cost Actuals'!H716)</f>
        <v>5218.9756091181134</v>
      </c>
      <c r="E33" s="684">
        <f>IF(E$4="forecast",AVERAGE(#REF!),'Dept. Cost Actuals'!I717+'Dept. Cost Actuals'!I716)</f>
        <v>1767.4228703676508</v>
      </c>
      <c r="F33" s="684">
        <f>IF(F$4="forecast",AVERAGE(#REF!),'Dept. Cost Actuals'!J717+'Dept. Cost Actuals'!J716)</f>
        <v>3826.2188153946104</v>
      </c>
      <c r="G33" s="684">
        <f>IF(G$4="forecast",AVERAGE(#REF!),'Dept. Cost Actuals'!K717+'Dept. Cost Actuals'!K716)</f>
        <v>3998.5476039058967</v>
      </c>
      <c r="H33" s="684">
        <f>IF(H$4="forecast",AVERAGE(#REF!),'Dept. Cost Actuals'!L717+'Dept. Cost Actuals'!L716)</f>
        <v>4819.2724324341762</v>
      </c>
      <c r="I33" s="684">
        <f>IF(I$4="forecast",AVERAGE(#REF!),'Dept. Cost Actuals'!M717+'Dept. Cost Actuals'!M716)</f>
        <v>4735.2149633160625</v>
      </c>
      <c r="J33" s="684">
        <f>IF(J$4="forecast",AVERAGE(#REF!),'Dept. Cost Actuals'!N717+'Dept. Cost Actuals'!N716)</f>
        <v>4548.2761178546652</v>
      </c>
      <c r="K33" s="684">
        <f>IF(K$4="forecast",AVERAGE(#REF!),'Dept. Cost Actuals'!O717+'Dept. Cost Actuals'!O716)</f>
        <v>4683.4704629434627</v>
      </c>
      <c r="L33" s="684">
        <f>IF(L$4="forecast",AVERAGE(#REF!),'Dept. Cost Actuals'!P717+'Dept. Cost Actuals'!P716)</f>
        <v>5081.3954042265459</v>
      </c>
      <c r="M33" s="684">
        <f>IF(M$4="forecast",AVERAGE(A33:L33),'Dept. Cost Actuals'!Q717+'Dept. Cost Actuals'!Q716)</f>
        <v>7474.3501257457829</v>
      </c>
      <c r="N33" s="684">
        <f>IF(N$4="forecast",AVERAGE(B33:M33),'Dept. Cost Actuals'!R717+'Dept. Cost Actuals'!R716)</f>
        <v>2644.8572067467021</v>
      </c>
      <c r="O33" s="684">
        <f>IF(O$4="forecast",AVERAGE(C33:N33),'Dept. Cost Actuals'!S717+'Dept. Cost Actuals'!S716)</f>
        <v>0</v>
      </c>
      <c r="P33" s="684">
        <f>IF(P$4="forecast",AVERAGE(D33:O33),'Dept. Cost Actuals'!T717+'Dept. Cost Actuals'!T716)</f>
        <v>0</v>
      </c>
      <c r="Q33" s="684">
        <f>IF(Q$4="forecast",AVERAGE(E33:P33),'Dept. Cost Actuals'!U717+'Dept. Cost Actuals'!U716)</f>
        <v>40.32</v>
      </c>
      <c r="R33" s="684">
        <f>IF(R$4="forecast",AVERAGE(F33:Q33),'Dept. Cost Actuals'!V717+'Dept. Cost Actuals'!V716)</f>
        <v>0</v>
      </c>
      <c r="S33" s="684">
        <f>IF(S$4="forecast",AVERAGE(G33:R33),'Dept. Cost Actuals'!W717+'Dept. Cost Actuals'!W716)</f>
        <v>39.99</v>
      </c>
      <c r="T33" s="684">
        <f>IF(T$4="forecast",AVERAGE(H33:S33),'Dept. Cost Actuals'!X717+'Dept. Cost Actuals'!X716)</f>
        <v>0</v>
      </c>
      <c r="U33" s="684">
        <f>IF(U$4="forecast",AVERAGE(I33:T33),'Dept. Cost Actuals'!Y717+'Dept. Cost Actuals'!Y716)</f>
        <v>0</v>
      </c>
      <c r="V33" s="684">
        <f>IF(V$4="forecast",AVERAGE(J33:U33),'Dept. Cost Actuals'!Z717+'Dept. Cost Actuals'!Z716)</f>
        <v>14.95</v>
      </c>
      <c r="W33" s="684">
        <f>IF(W$4="forecast",AVERAGE(K33:V33),'Dept. Cost Actuals'!AA717+'Dept. Cost Actuals'!AA716)</f>
        <v>0</v>
      </c>
      <c r="X33" s="684">
        <f>IF(X$4="forecast",AVERAGE(L33:W33),'Dept. Cost Actuals'!AB717+'Dept. Cost Actuals'!AB716)</f>
        <v>30</v>
      </c>
      <c r="Y33" s="684">
        <f>IF(Y$4="forecast",AVERAGE(M33:X33),'Dept. Cost Actuals'!AC717+'Dept. Cost Actuals'!AC716)</f>
        <v>58.85</v>
      </c>
      <c r="Z33" s="684">
        <f>IF(Z$4="forecast",AVERAGE(N33:Y33),'Dept. Cost Actuals'!AD717+'Dept. Cost Actuals'!AD716)</f>
        <v>0</v>
      </c>
      <c r="AA33" s="684">
        <f>IF(AA$4="forecast",AVERAGE(O33:Z33),'Dept. Cost Actuals'!AE717+'Dept. Cost Actuals'!AE716)</f>
        <v>15.342500000000001</v>
      </c>
      <c r="AB33" s="684">
        <f>IF(AB$4="forecast",AVERAGE(P33:AA33),'Dept. Cost Actuals'!AF717+'Dept. Cost Actuals'!AF716)</f>
        <v>16.621041666666667</v>
      </c>
      <c r="AC33" s="684">
        <f>IF(AC$4="forecast",AVERAGE(Q33:AB33),'Dept. Cost Actuals'!AG717+'Dept. Cost Actuals'!AG716)</f>
        <v>18.006128472222223</v>
      </c>
      <c r="AD33" s="684">
        <f>IF(AD$4="forecast",AVERAGE(R33:AC33),'Dept. Cost Actuals'!AH717+'Dept. Cost Actuals'!AH716)</f>
        <v>16.14663917824074</v>
      </c>
      <c r="AE33" s="684">
        <f>IF(AE$4="forecast",AVERAGE(S33:AD33),'Dept. Cost Actuals'!AI717+'Dept. Cost Actuals'!AI716)</f>
        <v>17.492192443094137</v>
      </c>
      <c r="AF33" s="684">
        <f>IF(AF$4="forecast",AVERAGE(T33:AE33),'Dept. Cost Actuals'!AJ717+'Dept. Cost Actuals'!AJ716)</f>
        <v>15.617375146685314</v>
      </c>
      <c r="AG33" s="684">
        <f>IF(AG$4="forecast",AVERAGE(U33:AF33),'Dept. Cost Actuals'!AK717+'Dept. Cost Actuals'!AK716)</f>
        <v>16.918823075575755</v>
      </c>
      <c r="AH33" s="684">
        <f>IF(AH$4="forecast",AVERAGE(V33:AG33),'Dept. Cost Actuals'!AL717+'Dept. Cost Actuals'!AL716)</f>
        <v>18.328724998540402</v>
      </c>
      <c r="AI33" s="684">
        <f>IF(AI$4="forecast",AVERAGE(W33:AH33),'Dept. Cost Actuals'!AM717+'Dept. Cost Actuals'!AM716)</f>
        <v>18.610285415085432</v>
      </c>
      <c r="AJ33" s="684">
        <f>IF(AJ$4="forecast",AVERAGE(X33:AI33),'Dept. Cost Actuals'!AN717+'Dept. Cost Actuals'!AN716)</f>
        <v>20.161142533009219</v>
      </c>
      <c r="AK33" s="684">
        <f>IF(AK$4="forecast",AVERAGE(Y33:AJ33),'Dept. Cost Actuals'!AO717+'Dept. Cost Actuals'!AO716)</f>
        <v>19.34123774409332</v>
      </c>
      <c r="AL33" s="684">
        <f>IF(AL$4="forecast",AVERAGE(Z33:AK33),'Dept. Cost Actuals'!AP717+'Dept. Cost Actuals'!AP716)</f>
        <v>16.048840889434434</v>
      </c>
      <c r="AM33" s="684">
        <f>IF(AM$4="forecast",AVERAGE(AA33:AL33),'Dept. Cost Actuals'!AQ717+'Dept. Cost Actuals'!AQ716)</f>
        <v>17.386244296887305</v>
      </c>
      <c r="AN33" s="684">
        <f>IF(AN$4="forecast",AVERAGE(AB33:AM33),'Dept. Cost Actuals'!AR717+'Dept. Cost Actuals'!AR716)</f>
        <v>17.556556321627912</v>
      </c>
      <c r="AO33" s="684">
        <f>IF(AO$4="forecast",AVERAGE(AC33:AN33),'Dept. Cost Actuals'!AS717+'Dept. Cost Actuals'!AS716)</f>
        <v>17.634515876208017</v>
      </c>
      <c r="AP33" s="684">
        <f>IF(AP$4="forecast",AVERAGE(AD33:AO33),'Dept. Cost Actuals'!AT717+'Dept. Cost Actuals'!AT716)</f>
        <v>17.603548159873498</v>
      </c>
      <c r="AQ33" s="684">
        <f>IF(AQ$4="forecast",AVERAGE(AE33:AP33),'Dept. Cost Actuals'!AU717+'Dept. Cost Actuals'!AU716)</f>
        <v>17.724957241676226</v>
      </c>
      <c r="AR33" s="684">
        <f>IF(AR$4="forecast",AVERAGE(AF33:AQ33),'Dept. Cost Actuals'!AV717+'Dept. Cost Actuals'!AV716)</f>
        <v>17.744354308224736</v>
      </c>
      <c r="AS33" s="684">
        <f>IF(AS$4="forecast",AVERAGE(AG33:AR33),'Dept. Cost Actuals'!AW717+'Dept. Cost Actuals'!AW716)</f>
        <v>17.921602571686353</v>
      </c>
      <c r="AT33" s="684">
        <f>IF(AT$4="forecast",AVERAGE(AH33:AS33),'Dept. Cost Actuals'!AX717+'Dept. Cost Actuals'!AX716)</f>
        <v>18.005167529695573</v>
      </c>
      <c r="AU33" s="684">
        <f>IF(AU$4="forecast",AVERAGE(AI33:AT33),'Dept. Cost Actuals'!AY717+'Dept. Cost Actuals'!AY716)</f>
        <v>17.978204407291834</v>
      </c>
      <c r="AV33" s="684">
        <f>IF(AV$4="forecast",AVERAGE(AJ33:AU33),'Dept. Cost Actuals'!AZ717+'Dept. Cost Actuals'!AZ716)</f>
        <v>17.925530989975702</v>
      </c>
      <c r="AW33" s="684">
        <f>IF(AW$4="forecast",AVERAGE(AK33:AV33),'Dept. Cost Actuals'!BA717+'Dept. Cost Actuals'!BA716)</f>
        <v>17.739230028056241</v>
      </c>
      <c r="AX33" s="684">
        <f>IF(AX$4="forecast",AVERAGE(AL33:AW33),'Dept. Cost Actuals'!BB717+'Dept. Cost Actuals'!BB716)</f>
        <v>17.605729385053152</v>
      </c>
      <c r="AY33" s="684">
        <f>IF(AY$4="forecast",AVERAGE(AM33:AX33),'Dept. Cost Actuals'!BC717+'Dept. Cost Actuals'!BC716)</f>
        <v>17.735470093021377</v>
      </c>
      <c r="AZ33" s="684">
        <f>IF(AZ$4="forecast",AVERAGE(AN33:AY33),'Dept. Cost Actuals'!BD717+'Dept. Cost Actuals'!BD716)</f>
        <v>17.764572242699217</v>
      </c>
      <c r="BA33" s="684">
        <f>IF(BA$4="forecast",AVERAGE(AO33:AZ33),'Dept. Cost Actuals'!BE717+'Dept. Cost Actuals'!BE716)</f>
        <v>17.781906902788492</v>
      </c>
      <c r="BB33" s="684">
        <f>IF(BB$4="forecast",AVERAGE(AP33:BA33),'Dept. Cost Actuals'!BF717+'Dept. Cost Actuals'!BF716)</f>
        <v>17.794189488336865</v>
      </c>
      <c r="BC33" s="684">
        <f>IF(BC$4="forecast",AVERAGE(AQ33:BB33),'Dept. Cost Actuals'!BG717+'Dept. Cost Actuals'!BG716)</f>
        <v>17.810076265708812</v>
      </c>
      <c r="BD33" s="684">
        <f>IF(BD$4="forecast",AVERAGE(AR33:BC33),'Dept. Cost Actuals'!BH717+'Dept. Cost Actuals'!BH716)</f>
        <v>17.817169517711527</v>
      </c>
      <c r="BE33" s="684">
        <f>IF(BE$4="forecast",AVERAGE(AS33:BD33),'Dept. Cost Actuals'!BI717+'Dept. Cost Actuals'!BI716)</f>
        <v>17.823237451835428</v>
      </c>
      <c r="BF33" s="684">
        <f>IF(BF$4="forecast",AVERAGE(AT33:BE33),'Dept. Cost Actuals'!BJ717+'Dept. Cost Actuals'!BJ716)</f>
        <v>17.815040358514519</v>
      </c>
      <c r="BG33" s="684">
        <f>IF(BG$4="forecast",AVERAGE(AU33:BF33),'Dept. Cost Actuals'!BK717+'Dept. Cost Actuals'!BK716)</f>
        <v>17.799196427582764</v>
      </c>
      <c r="BH33" s="684">
        <f>IF(BH$4="forecast",AVERAGE(AV33:BG33),'Dept. Cost Actuals'!BL717+'Dept. Cost Actuals'!BL716)</f>
        <v>17.784279095940342</v>
      </c>
      <c r="BI33" s="684">
        <f>IF(BI$4="forecast",AVERAGE(AW33:BH33),'Dept. Cost Actuals'!BM717+'Dept. Cost Actuals'!BM716)</f>
        <v>17.772508104770729</v>
      </c>
      <c r="BJ33" s="684">
        <f>IF(BJ$4="forecast",AVERAGE(AX33:BI33),'Dept. Cost Actuals'!BN717+'Dept. Cost Actuals'!BN716)</f>
        <v>17.77528127783027</v>
      </c>
      <c r="BK33" s="684">
        <f>IF(BK$4="forecast",AVERAGE(AY33:BJ33),'Dept. Cost Actuals'!BO717+'Dept. Cost Actuals'!BO716)</f>
        <v>17.789410602228362</v>
      </c>
      <c r="BL33" s="684">
        <f>IF(BL$4="forecast",AVERAGE(AZ33:BK33),'Dept. Cost Actuals'!BP717+'Dept. Cost Actuals'!BP716)</f>
        <v>17.793905644662278</v>
      </c>
      <c r="BM33" s="684">
        <f>IF(BM$4="forecast",AVERAGE(BA33:BL33),'Dept. Cost Actuals'!BQ717+'Dept. Cost Actuals'!BQ716)</f>
        <v>17.796350094825868</v>
      </c>
      <c r="BN33" s="684">
        <f>IF(BN$4="forecast",AVERAGE(BB33:BM33),'Dept. Cost Actuals'!BR717+'Dept. Cost Actuals'!BR716)</f>
        <v>17.797553694162314</v>
      </c>
      <c r="BO33" s="684">
        <f>IF(BO$4="forecast",AVERAGE(BC33:BN33),'Dept. Cost Actuals'!BS717+'Dept. Cost Actuals'!BS716)</f>
        <v>17.797834044647768</v>
      </c>
      <c r="BP33" s="684">
        <f>IF(BP$4="forecast",AVERAGE(BD33:BO33),'Dept. Cost Actuals'!BT717+'Dept. Cost Actuals'!BT716)</f>
        <v>17.79681385955935</v>
      </c>
      <c r="BQ33" s="684">
        <f>IF(BQ$4="forecast",AVERAGE(BE33:BP33),'Dept. Cost Actuals'!BU717+'Dept. Cost Actuals'!BU716)</f>
        <v>17.795117554713332</v>
      </c>
      <c r="BR33" s="684">
        <f>IF(BR$4="forecast",AVERAGE(BF33:BQ33),'Dept. Cost Actuals'!BV717+'Dept. Cost Actuals'!BV716)</f>
        <v>17.792774229953157</v>
      </c>
      <c r="BS33" s="684">
        <f>IF(BS$4="forecast",AVERAGE(BG33:BR33),'Dept. Cost Actuals'!BW717+'Dept. Cost Actuals'!BW716)</f>
        <v>17.790918719239709</v>
      </c>
      <c r="BT33" s="684">
        <f>IF(BT$4="forecast",AVERAGE(BH33:BS33),'Dept. Cost Actuals'!BX717+'Dept. Cost Actuals'!BX716)</f>
        <v>17.79022891021112</v>
      </c>
      <c r="BU33" s="684">
        <f>IF(BU$4="forecast",AVERAGE(BI33:BT33),'Dept. Cost Actuals'!BY717+'Dept. Cost Actuals'!BY716)</f>
        <v>17.790724728067019</v>
      </c>
      <c r="BV33" s="808">
        <f>IF(BV$4="forecast",AVERAGE(BJ33:BU33),'Dept. Cost Actuals'!BZ717+'Dept. Cost Actuals'!BZ716)</f>
        <v>17.79224278000838</v>
      </c>
    </row>
    <row r="34" spans="2:74" x14ac:dyDescent="0.35">
      <c r="B34" s="812" t="s">
        <v>950</v>
      </c>
      <c r="C34" s="684">
        <f>IF(C$4="forecast",AVERAGE(#REF!),'Dept. Cost Actuals'!G760)</f>
        <v>0</v>
      </c>
      <c r="D34" s="684">
        <f>IF(D$4="forecast",AVERAGE(#REF!),'Dept. Cost Actuals'!H760)</f>
        <v>0</v>
      </c>
      <c r="E34" s="684">
        <f>IF(E$4="forecast",AVERAGE(#REF!),'Dept. Cost Actuals'!I760)</f>
        <v>0</v>
      </c>
      <c r="F34" s="684">
        <f>IF(F$4="forecast",AVERAGE(#REF!),'Dept. Cost Actuals'!J760)</f>
        <v>104.64480418023321</v>
      </c>
      <c r="G34" s="684">
        <f>IF(G$4="forecast",AVERAGE(#REF!),'Dept. Cost Actuals'!K760)</f>
        <v>8.9485376827040728</v>
      </c>
      <c r="H34" s="684">
        <f>IF(H$4="forecast",AVERAGE(#REF!),'Dept. Cost Actuals'!L760)</f>
        <v>0</v>
      </c>
      <c r="I34" s="684">
        <f>IF(I$4="forecast",AVERAGE(#REF!),'Dept. Cost Actuals'!M760)</f>
        <v>0</v>
      </c>
      <c r="J34" s="684">
        <f>IF(J$4="forecast",AVERAGE(#REF!),'Dept. Cost Actuals'!N760)</f>
        <v>0</v>
      </c>
      <c r="K34" s="684">
        <f>IF(K$4="forecast",AVERAGE(#REF!),'Dept. Cost Actuals'!O760)</f>
        <v>7.9339793652980459</v>
      </c>
      <c r="L34" s="684">
        <f>IF(L$4="forecast",AVERAGE(#REF!),'Dept. Cost Actuals'!P760)</f>
        <v>0.18685958779334608</v>
      </c>
      <c r="M34" s="684">
        <f>IF(M$4="forecast",AVERAGE(A34:L34),'Dept. Cost Actuals'!Q760)</f>
        <v>19.134696914958475</v>
      </c>
      <c r="N34" s="684">
        <f>IF(N$4="forecast",AVERAGE(B34:M34),'Dept. Cost Actuals'!R760)</f>
        <v>0</v>
      </c>
      <c r="O34" s="684">
        <f>IF(O$4="forecast",AVERAGE(C34:N34),'Dept. Cost Actuals'!S760)</f>
        <v>0</v>
      </c>
      <c r="P34" s="684">
        <f>IF(P$4="forecast",AVERAGE(D34:O34),'Dept. Cost Actuals'!T760)</f>
        <v>0</v>
      </c>
      <c r="Q34" s="684">
        <f>IF(Q$4="forecast",AVERAGE(E34:P34),'Dept. Cost Actuals'!U760)</f>
        <v>33.67</v>
      </c>
      <c r="R34" s="684">
        <f>IF(R$4="forecast",AVERAGE(F34:Q34),'Dept. Cost Actuals'!V760)</f>
        <v>0</v>
      </c>
      <c r="S34" s="684">
        <f>IF(S$4="forecast",AVERAGE(G34:R34),'Dept. Cost Actuals'!W760)</f>
        <v>454.53</v>
      </c>
      <c r="T34" s="684">
        <f>IF(T$4="forecast",AVERAGE(H34:S34),'Dept. Cost Actuals'!X760)</f>
        <v>0</v>
      </c>
      <c r="U34" s="684">
        <f>IF(U$4="forecast",AVERAGE(I34:T34),'Dept. Cost Actuals'!Y760)</f>
        <v>0</v>
      </c>
      <c r="V34" s="684">
        <f>IF(V$4="forecast",AVERAGE(J34:U34),'Dept. Cost Actuals'!Z760)</f>
        <v>0</v>
      </c>
      <c r="W34" s="684">
        <f>IF(W$4="forecast",AVERAGE(K34:V34),'Dept. Cost Actuals'!AA760)</f>
        <v>0</v>
      </c>
      <c r="X34" s="684">
        <f>IF(X$4="forecast",AVERAGE(L34:W34),'Dept. Cost Actuals'!AB760)</f>
        <v>0</v>
      </c>
      <c r="Y34" s="684">
        <f>IF(Y$4="forecast",AVERAGE(M34:X34),'Dept. Cost Actuals'!AC760)</f>
        <v>0</v>
      </c>
      <c r="Z34" s="684">
        <f>IF(Z$4="forecast",AVERAGE(N34:Y34),'Dept. Cost Actuals'!AD760)</f>
        <v>0</v>
      </c>
      <c r="AA34" s="684">
        <f>IF(AA$4="forecast",AVERAGE(O34:Z34),'Dept. Cost Actuals'!AE760)</f>
        <v>40.68333333333333</v>
      </c>
      <c r="AB34" s="684">
        <f>IF(AB$4="forecast",AVERAGE(P34:AA34),'Dept. Cost Actuals'!AF760)</f>
        <v>44.073611111111113</v>
      </c>
      <c r="AC34" s="684">
        <f>IF(AC$4="forecast",AVERAGE(Q34:AB34),'Dept. Cost Actuals'!AG760)</f>
        <v>47.746412037037032</v>
      </c>
      <c r="AD34" s="684">
        <f>IF(AD$4="forecast",AVERAGE(R34:AC34),'Dept. Cost Actuals'!AH760)</f>
        <v>48.919446373456786</v>
      </c>
      <c r="AE34" s="684">
        <f>IF(AE$4="forecast",AVERAGE(S34:AD34),'Dept. Cost Actuals'!AI760)</f>
        <v>52.996066904578186</v>
      </c>
      <c r="AF34" s="684">
        <f>IF(AF$4="forecast",AVERAGE(T34:AE34),'Dept. Cost Actuals'!AJ760)</f>
        <v>19.53490581329304</v>
      </c>
      <c r="AG34" s="684">
        <f>IF(AG$4="forecast",AVERAGE(U34:AF34),'Dept. Cost Actuals'!AK760)</f>
        <v>21.162814631067459</v>
      </c>
      <c r="AH34" s="684">
        <f>IF(AH$4="forecast",AVERAGE(V34:AG34),'Dept. Cost Actuals'!AL760)</f>
        <v>22.926382516989747</v>
      </c>
      <c r="AI34" s="684">
        <f>IF(AI$4="forecast",AVERAGE(W34:AH34),'Dept. Cost Actuals'!AM760)</f>
        <v>24.836914393405561</v>
      </c>
      <c r="AJ34" s="684">
        <f>IF(AJ$4="forecast",AVERAGE(X34:AI34),'Dept. Cost Actuals'!AN760)</f>
        <v>26.906657259522689</v>
      </c>
      <c r="AK34" s="684">
        <f>IF(AK$4="forecast",AVERAGE(Y34:AJ34),'Dept. Cost Actuals'!AO760)</f>
        <v>29.148878697816247</v>
      </c>
      <c r="AL34" s="684">
        <f>IF(AL$4="forecast",AVERAGE(Z34:AK34),'Dept. Cost Actuals'!AP760)</f>
        <v>31.57795192263427</v>
      </c>
      <c r="AM34" s="684">
        <f>IF(AM$4="forecast",AVERAGE(AA34:AL34),'Dept. Cost Actuals'!AQ760)</f>
        <v>34.209447916187123</v>
      </c>
      <c r="AN34" s="684">
        <f>IF(AN$4="forecast",AVERAGE(AB34:AM34),'Dept. Cost Actuals'!AR760)</f>
        <v>33.669957464758269</v>
      </c>
      <c r="AO34" s="684">
        <f>IF(AO$4="forecast",AVERAGE(AC34:AN34),'Dept. Cost Actuals'!AS760)</f>
        <v>32.802986327562202</v>
      </c>
      <c r="AP34" s="684">
        <f>IF(AP$4="forecast",AVERAGE(AD34:AO34),'Dept. Cost Actuals'!AT760)</f>
        <v>31.557700851772633</v>
      </c>
      <c r="AQ34" s="684">
        <f>IF(AQ$4="forecast",AVERAGE(AE34:AP34),'Dept. Cost Actuals'!AU760)</f>
        <v>30.110888724965619</v>
      </c>
      <c r="AR34" s="684">
        <f>IF(AR$4="forecast",AVERAGE(AF34:AQ34),'Dept. Cost Actuals'!AV760)</f>
        <v>28.203790543331237</v>
      </c>
      <c r="AS34" s="684">
        <f>IF(AS$4="forecast",AVERAGE(AG34:AR34),'Dept. Cost Actuals'!AW760)</f>
        <v>28.926197604167754</v>
      </c>
      <c r="AT34" s="684">
        <f>IF(AT$4="forecast",AVERAGE(AH34:AS34),'Dept. Cost Actuals'!AX760)</f>
        <v>29.573146185259446</v>
      </c>
      <c r="AU34" s="684">
        <f>IF(AU$4="forecast",AVERAGE(AI34:AT34),'Dept. Cost Actuals'!AY760)</f>
        <v>30.127043157615258</v>
      </c>
      <c r="AV34" s="684">
        <f>IF(AV$4="forecast",AVERAGE(AJ34:AU34),'Dept. Cost Actuals'!AZ760)</f>
        <v>30.567887221299401</v>
      </c>
      <c r="AW34" s="684">
        <f>IF(AW$4="forecast",AVERAGE(AK34:AV34),'Dept. Cost Actuals'!BA760)</f>
        <v>30.872989718114127</v>
      </c>
      <c r="AX34" s="684">
        <f>IF(AX$4="forecast",AVERAGE(AL34:AW34),'Dept. Cost Actuals'!BB760)</f>
        <v>31.016665636472283</v>
      </c>
      <c r="AY34" s="684">
        <f>IF(AY$4="forecast",AVERAGE(AM34:AX34),'Dept. Cost Actuals'!BC760)</f>
        <v>30.969891779292116</v>
      </c>
      <c r="AZ34" s="684">
        <f>IF(AZ$4="forecast",AVERAGE(AN34:AY34),'Dept. Cost Actuals'!BD760)</f>
        <v>30.699928767884199</v>
      </c>
      <c r="BA34" s="684">
        <f>IF(BA$4="forecast",AVERAGE(AO34:AZ34),'Dept. Cost Actuals'!BE760)</f>
        <v>30.452426376478027</v>
      </c>
      <c r="BB34" s="684">
        <f>IF(BB$4="forecast",AVERAGE(AP34:BA34),'Dept. Cost Actuals'!BF760)</f>
        <v>30.256546380554344</v>
      </c>
      <c r="BC34" s="684">
        <f>IF(BC$4="forecast",AVERAGE(AQ34:BB34),'Dept. Cost Actuals'!BG760)</f>
        <v>30.148116841286154</v>
      </c>
      <c r="BD34" s="684">
        <f>IF(BD$4="forecast",AVERAGE(AR34:BC34),'Dept. Cost Actuals'!BH760)</f>
        <v>30.151219184312861</v>
      </c>
      <c r="BE34" s="684">
        <f>IF(BE$4="forecast",AVERAGE(AS34:BD34),'Dept. Cost Actuals'!BI760)</f>
        <v>30.313504904394662</v>
      </c>
      <c r="BF34" s="684">
        <f>IF(BF$4="forecast",AVERAGE(AT34:BE34),'Dept. Cost Actuals'!BJ760)</f>
        <v>30.429113846080242</v>
      </c>
      <c r="BG34" s="684">
        <f>IF(BG$4="forecast",AVERAGE(AU34:BF34),'Dept. Cost Actuals'!BK760)</f>
        <v>30.500444484481978</v>
      </c>
      <c r="BH34" s="684">
        <f>IF(BH$4="forecast",AVERAGE(AV34:BG34),'Dept. Cost Actuals'!BL760)</f>
        <v>30.531561261720871</v>
      </c>
      <c r="BI34" s="684">
        <f>IF(BI$4="forecast",AVERAGE(AW34:BH34),'Dept. Cost Actuals'!BM760)</f>
        <v>30.52853409842265</v>
      </c>
      <c r="BJ34" s="684">
        <f>IF(BJ$4="forecast",AVERAGE(AX34:BI34),'Dept. Cost Actuals'!BN760)</f>
        <v>30.499829463448368</v>
      </c>
      <c r="BK34" s="684">
        <f>IF(BK$4="forecast",AVERAGE(AY34:BJ34),'Dept. Cost Actuals'!BO760)</f>
        <v>30.456759782363036</v>
      </c>
      <c r="BL34" s="684">
        <f>IF(BL$4="forecast",AVERAGE(AZ34:BK34),'Dept. Cost Actuals'!BP760)</f>
        <v>30.41399878261895</v>
      </c>
      <c r="BM34" s="684">
        <f>IF(BM$4="forecast",AVERAGE(BA34:BL34),'Dept. Cost Actuals'!BQ760)</f>
        <v>30.390171283846843</v>
      </c>
      <c r="BN34" s="684">
        <f>IF(BN$4="forecast",AVERAGE(BB34:BM34),'Dept. Cost Actuals'!BR760)</f>
        <v>30.384983359460914</v>
      </c>
      <c r="BO34" s="684">
        <f>IF(BO$4="forecast",AVERAGE(BC34:BN34),'Dept. Cost Actuals'!BS760)</f>
        <v>30.39568644103646</v>
      </c>
      <c r="BP34" s="684">
        <f>IF(BP$4="forecast",AVERAGE(BD34:BO34),'Dept. Cost Actuals'!BT760)</f>
        <v>30.416317241015651</v>
      </c>
      <c r="BQ34" s="684">
        <f>IF(BQ$4="forecast",AVERAGE(BE34:BP34),'Dept. Cost Actuals'!BU760)</f>
        <v>30.438408745740887</v>
      </c>
      <c r="BR34" s="684">
        <f>IF(BR$4="forecast",AVERAGE(BF34:BQ34),'Dept. Cost Actuals'!BV760)</f>
        <v>30.448817399186407</v>
      </c>
      <c r="BS34" s="684">
        <f>IF(BS$4="forecast",AVERAGE(BG34:BR34),'Dept. Cost Actuals'!BW760)</f>
        <v>30.450459361945249</v>
      </c>
      <c r="BT34" s="684">
        <f>IF(BT$4="forecast",AVERAGE(BH34:BS34),'Dept. Cost Actuals'!BX760)</f>
        <v>30.446293935067189</v>
      </c>
      <c r="BU34" s="684">
        <f>IF(BU$4="forecast",AVERAGE(BI34:BT34),'Dept. Cost Actuals'!BY760)</f>
        <v>30.439188324512713</v>
      </c>
      <c r="BV34" s="808">
        <f>IF(BV$4="forecast",AVERAGE(BJ34:BU34),'Dept. Cost Actuals'!BZ760)</f>
        <v>30.431742843353558</v>
      </c>
    </row>
    <row r="35" spans="2:74" x14ac:dyDescent="0.35">
      <c r="B35" s="812" t="s">
        <v>927</v>
      </c>
      <c r="C35" s="684">
        <f>IF(C$4="forecast",AVERAGE(#REF!),'Dept. Cost Actuals'!G769)</f>
        <v>0</v>
      </c>
      <c r="D35" s="684">
        <f>IF(D$4="forecast",AVERAGE(#REF!),'Dept. Cost Actuals'!H769)</f>
        <v>0</v>
      </c>
      <c r="E35" s="684">
        <f>IF(E$4="forecast",AVERAGE(#REF!),'Dept. Cost Actuals'!I769)</f>
        <v>0</v>
      </c>
      <c r="F35" s="684">
        <f>IF(F$4="forecast",AVERAGE(#REF!),'Dept. Cost Actuals'!J769)</f>
        <v>0</v>
      </c>
      <c r="G35" s="684">
        <f>IF(G$4="forecast",AVERAGE(#REF!),'Dept. Cost Actuals'!K769)</f>
        <v>0</v>
      </c>
      <c r="H35" s="684">
        <f>IF(H$4="forecast",AVERAGE(#REF!),'Dept. Cost Actuals'!L769)</f>
        <v>0</v>
      </c>
      <c r="I35" s="684">
        <f>IF(I$4="forecast",AVERAGE(#REF!),'Dept. Cost Actuals'!M769)</f>
        <v>0</v>
      </c>
      <c r="J35" s="684">
        <f>IF(J$4="forecast",AVERAGE(#REF!),'Dept. Cost Actuals'!N769)</f>
        <v>0</v>
      </c>
      <c r="K35" s="684">
        <f>IF(K$4="forecast",AVERAGE(#REF!),'Dept. Cost Actuals'!O769)</f>
        <v>0</v>
      </c>
      <c r="L35" s="684">
        <f>IF(L$4="forecast",AVERAGE(#REF!),'Dept. Cost Actuals'!P769)</f>
        <v>0</v>
      </c>
      <c r="M35" s="684">
        <f>IF(M$4="forecast",AVERAGE(A35:L35),'Dept. Cost Actuals'!Q769)</f>
        <v>0</v>
      </c>
      <c r="N35" s="684">
        <f>IF(N$4="forecast",AVERAGE(B35:M35),'Dept. Cost Actuals'!R769)</f>
        <v>0</v>
      </c>
      <c r="O35" s="684">
        <f>IF(O$4="forecast",AVERAGE(C35:N35),'Dept. Cost Actuals'!S769)</f>
        <v>0</v>
      </c>
      <c r="P35" s="684">
        <f>IF(P$4="forecast",AVERAGE(D35:O35),'Dept. Cost Actuals'!T769)</f>
        <v>0</v>
      </c>
      <c r="Q35" s="684">
        <f>IF(Q$4="forecast",AVERAGE(E35:P35),'Dept. Cost Actuals'!U769)</f>
        <v>0</v>
      </c>
      <c r="R35" s="684">
        <f>IF(R$4="forecast",AVERAGE(F35:Q35),'Dept. Cost Actuals'!V769)</f>
        <v>0</v>
      </c>
      <c r="S35" s="684">
        <f>IF(S$4="forecast",AVERAGE(G35:R35),'Dept. Cost Actuals'!W769)</f>
        <v>0</v>
      </c>
      <c r="T35" s="684">
        <f>IF(T$4="forecast",AVERAGE(H35:S35),'Dept. Cost Actuals'!X769)</f>
        <v>0</v>
      </c>
      <c r="U35" s="684">
        <f>IF(U$4="forecast",AVERAGE(I35:T35),'Dept. Cost Actuals'!Y769)</f>
        <v>0</v>
      </c>
      <c r="V35" s="684">
        <f>IF(V$4="forecast",AVERAGE(J35:U35),'Dept. Cost Actuals'!Z769)</f>
        <v>0</v>
      </c>
      <c r="W35" s="684">
        <f>IF(W$4="forecast",AVERAGE(K35:V35),'Dept. Cost Actuals'!AA769)</f>
        <v>0</v>
      </c>
      <c r="X35" s="684">
        <f>IF(X$4="forecast",AVERAGE(L35:W35),'Dept. Cost Actuals'!AB769)</f>
        <v>0</v>
      </c>
      <c r="Y35" s="684">
        <f>IF(Y$4="forecast",AVERAGE(M35:X35),'Dept. Cost Actuals'!AC769)</f>
        <v>0</v>
      </c>
      <c r="Z35" s="684">
        <f>IF(Z$4="forecast",AVERAGE(N35:Y35),'Dept. Cost Actuals'!AD769)</f>
        <v>0</v>
      </c>
      <c r="AA35" s="684">
        <f>IF(AA$4="forecast",AVERAGE(O35:Z35),'Dept. Cost Actuals'!AE769)</f>
        <v>0</v>
      </c>
      <c r="AB35" s="684">
        <f>IF(AB$4="forecast",AVERAGE(P35:AA35),'Dept. Cost Actuals'!AF769)</f>
        <v>0</v>
      </c>
      <c r="AC35" s="684">
        <f>IF(AC$4="forecast",AVERAGE(Q35:AB35),'Dept. Cost Actuals'!AG769)</f>
        <v>0</v>
      </c>
      <c r="AD35" s="684">
        <f>IF(AD$4="forecast",AVERAGE(R35:AC35),'Dept. Cost Actuals'!AH769)</f>
        <v>0</v>
      </c>
      <c r="AE35" s="684">
        <f>IF(AE$4="forecast",AVERAGE(S35:AD35),'Dept. Cost Actuals'!AI769)</f>
        <v>0</v>
      </c>
      <c r="AF35" s="684">
        <f>IF(AF$4="forecast",AVERAGE(T35:AE35),'Dept. Cost Actuals'!AJ769)</f>
        <v>0</v>
      </c>
      <c r="AG35" s="684">
        <f>IF(AG$4="forecast",AVERAGE(U35:AF35),'Dept. Cost Actuals'!AK769)</f>
        <v>0</v>
      </c>
      <c r="AH35" s="684">
        <f>IF(AH$4="forecast",AVERAGE(V35:AG35),'Dept. Cost Actuals'!AL769)</f>
        <v>0</v>
      </c>
      <c r="AI35" s="684">
        <f>IF(AI$4="forecast",AVERAGE(W35:AH35),'Dept. Cost Actuals'!AM769)</f>
        <v>0</v>
      </c>
      <c r="AJ35" s="684">
        <f>IF(AJ$4="forecast",AVERAGE(X35:AI35),'Dept. Cost Actuals'!AN769)</f>
        <v>0</v>
      </c>
      <c r="AK35" s="684">
        <f>IF(AK$4="forecast",AVERAGE(Y35:AJ35),'Dept. Cost Actuals'!AO769)</f>
        <v>0</v>
      </c>
      <c r="AL35" s="684">
        <f>IF(AL$4="forecast",AVERAGE(Z35:AK35),'Dept. Cost Actuals'!AP769)</f>
        <v>0</v>
      </c>
      <c r="AM35" s="684">
        <f>IF(AM$4="forecast",AVERAGE(AA35:AL35),'Dept. Cost Actuals'!AQ769)</f>
        <v>0</v>
      </c>
      <c r="AN35" s="684">
        <f>IF(AN$4="forecast",AVERAGE(AB35:AM35),'Dept. Cost Actuals'!AR769)</f>
        <v>0</v>
      </c>
      <c r="AO35" s="684">
        <f>IF(AO$4="forecast",AVERAGE(AC35:AN35),'Dept. Cost Actuals'!AS769)</f>
        <v>0</v>
      </c>
      <c r="AP35" s="684">
        <f>IF(AP$4="forecast",AVERAGE(AD35:AO35),'Dept. Cost Actuals'!AT769)</f>
        <v>0</v>
      </c>
      <c r="AQ35" s="684">
        <f>IF(AQ$4="forecast",AVERAGE(AE35:AP35),'Dept. Cost Actuals'!AU769)</f>
        <v>0</v>
      </c>
      <c r="AR35" s="684">
        <f>IF(AR$4="forecast",AVERAGE(AF35:AQ35),'Dept. Cost Actuals'!AV769)</f>
        <v>0</v>
      </c>
      <c r="AS35" s="684">
        <f>IF(AS$4="forecast",AVERAGE(AG35:AR35),'Dept. Cost Actuals'!AW769)</f>
        <v>0</v>
      </c>
      <c r="AT35" s="684">
        <f>IF(AT$4="forecast",AVERAGE(AH35:AS35),'Dept. Cost Actuals'!AX769)</f>
        <v>0</v>
      </c>
      <c r="AU35" s="684">
        <f>IF(AU$4="forecast",AVERAGE(AI35:AT35),'Dept. Cost Actuals'!AY769)</f>
        <v>0</v>
      </c>
      <c r="AV35" s="684">
        <f>IF(AV$4="forecast",AVERAGE(AJ35:AU35),'Dept. Cost Actuals'!AZ769)</f>
        <v>0</v>
      </c>
      <c r="AW35" s="684">
        <f>IF(AW$4="forecast",AVERAGE(AK35:AV35),'Dept. Cost Actuals'!BA769)</f>
        <v>0</v>
      </c>
      <c r="AX35" s="684">
        <f>IF(AX$4="forecast",AVERAGE(AL35:AW35),'Dept. Cost Actuals'!BB769)</f>
        <v>0</v>
      </c>
      <c r="AY35" s="684">
        <f>IF(AY$4="forecast",AVERAGE(AM35:AX35),'Dept. Cost Actuals'!BC769)</f>
        <v>0</v>
      </c>
      <c r="AZ35" s="684">
        <f>IF(AZ$4="forecast",AVERAGE(AN35:AY35),'Dept. Cost Actuals'!BD769)</f>
        <v>0</v>
      </c>
      <c r="BA35" s="684">
        <f>IF(BA$4="forecast",AVERAGE(AO35:AZ35),'Dept. Cost Actuals'!BE769)</f>
        <v>0</v>
      </c>
      <c r="BB35" s="684">
        <f>IF(BB$4="forecast",AVERAGE(AP35:BA35),'Dept. Cost Actuals'!BF769)</f>
        <v>0</v>
      </c>
      <c r="BC35" s="684">
        <f>IF(BC$4="forecast",AVERAGE(AQ35:BB35),'Dept. Cost Actuals'!BG769)</f>
        <v>0</v>
      </c>
      <c r="BD35" s="684">
        <f>IF(BD$4="forecast",AVERAGE(AR35:BC35),'Dept. Cost Actuals'!BH769)</f>
        <v>0</v>
      </c>
      <c r="BE35" s="684">
        <f>IF(BE$4="forecast",AVERAGE(AS35:BD35),'Dept. Cost Actuals'!BI769)</f>
        <v>0</v>
      </c>
      <c r="BF35" s="684">
        <f>IF(BF$4="forecast",AVERAGE(AT35:BE35),'Dept. Cost Actuals'!BJ769)</f>
        <v>0</v>
      </c>
      <c r="BG35" s="684">
        <f>IF(BG$4="forecast",AVERAGE(AU35:BF35),'Dept. Cost Actuals'!BK769)</f>
        <v>0</v>
      </c>
      <c r="BH35" s="684">
        <f>IF(BH$4="forecast",AVERAGE(AV35:BG35),'Dept. Cost Actuals'!BL769)</f>
        <v>0</v>
      </c>
      <c r="BI35" s="684">
        <f>IF(BI$4="forecast",AVERAGE(AW35:BH35),'Dept. Cost Actuals'!BM769)</f>
        <v>0</v>
      </c>
      <c r="BJ35" s="684">
        <f>IF(BJ$4="forecast",AVERAGE(AX35:BI35),'Dept. Cost Actuals'!BN769)</f>
        <v>0</v>
      </c>
      <c r="BK35" s="684">
        <f>IF(BK$4="forecast",AVERAGE(AY35:BJ35),'Dept. Cost Actuals'!BO769)</f>
        <v>0</v>
      </c>
      <c r="BL35" s="684">
        <f>IF(BL$4="forecast",AVERAGE(AZ35:BK35),'Dept. Cost Actuals'!BP769)</f>
        <v>0</v>
      </c>
      <c r="BM35" s="684">
        <f>IF(BM$4="forecast",AVERAGE(BA35:BL35),'Dept. Cost Actuals'!BQ769)</f>
        <v>0</v>
      </c>
      <c r="BN35" s="684">
        <f>IF(BN$4="forecast",AVERAGE(BB35:BM35),'Dept. Cost Actuals'!BR769)</f>
        <v>0</v>
      </c>
      <c r="BO35" s="684">
        <f>IF(BO$4="forecast",AVERAGE(BC35:BN35),'Dept. Cost Actuals'!BS769)</f>
        <v>0</v>
      </c>
      <c r="BP35" s="684">
        <f>IF(BP$4="forecast",AVERAGE(BD35:BO35),'Dept. Cost Actuals'!BT769)</f>
        <v>0</v>
      </c>
      <c r="BQ35" s="684">
        <f>IF(BQ$4="forecast",AVERAGE(BE35:BP35),'Dept. Cost Actuals'!BU769)</f>
        <v>0</v>
      </c>
      <c r="BR35" s="684">
        <f>IF(BR$4="forecast",AVERAGE(BF35:BQ35),'Dept. Cost Actuals'!BV769)</f>
        <v>0</v>
      </c>
      <c r="BS35" s="684">
        <f>IF(BS$4="forecast",AVERAGE(BG35:BR35),'Dept. Cost Actuals'!BW769)</f>
        <v>0</v>
      </c>
      <c r="BT35" s="684">
        <f>IF(BT$4="forecast",AVERAGE(BH35:BS35),'Dept. Cost Actuals'!BX769)</f>
        <v>0</v>
      </c>
      <c r="BU35" s="684">
        <f>IF(BU$4="forecast",AVERAGE(BI35:BT35),'Dept. Cost Actuals'!BY769)</f>
        <v>0</v>
      </c>
      <c r="BV35" s="808">
        <f>IF(BV$4="forecast",AVERAGE(BJ35:BU35),'Dept. Cost Actuals'!BZ769)</f>
        <v>0</v>
      </c>
    </row>
    <row r="36" spans="2:74" x14ac:dyDescent="0.35">
      <c r="B36" s="812" t="s">
        <v>928</v>
      </c>
      <c r="C36" s="684">
        <f>IF(C$4="forecast",AVERAGE(#REF!),'Dept. Cost Actuals'!G794)</f>
        <v>138.59794278644722</v>
      </c>
      <c r="D36" s="684">
        <f>IF(D$4="forecast",AVERAGE(#REF!),'Dept. Cost Actuals'!H794)</f>
        <v>100.86795277254559</v>
      </c>
      <c r="E36" s="684">
        <f>IF(E$4="forecast",AVERAGE(#REF!),'Dept. Cost Actuals'!I794)</f>
        <v>202.9264532978753</v>
      </c>
      <c r="F36" s="684">
        <f>IF(F$4="forecast",AVERAGE(#REF!),'Dept. Cost Actuals'!J794)</f>
        <v>189.66954825384448</v>
      </c>
      <c r="G36" s="684">
        <f>IF(G$4="forecast",AVERAGE(#REF!),'Dept. Cost Actuals'!K794)</f>
        <v>81.9290824654707</v>
      </c>
      <c r="H36" s="684">
        <f>IF(H$4="forecast",AVERAGE(#REF!),'Dept. Cost Actuals'!L794)</f>
        <v>277.61710302931868</v>
      </c>
      <c r="I36" s="684">
        <f>IF(I$4="forecast",AVERAGE(#REF!),'Dept. Cost Actuals'!M794)</f>
        <v>265.55126174741662</v>
      </c>
      <c r="J36" s="684">
        <f>IF(J$4="forecast",AVERAGE(#REF!),'Dept. Cost Actuals'!N794)</f>
        <v>137.45454852281497</v>
      </c>
      <c r="K36" s="684">
        <f>IF(K$4="forecast",AVERAGE(#REF!),'Dept. Cost Actuals'!O794)</f>
        <v>111.9789165623859</v>
      </c>
      <c r="L36" s="684">
        <f>IF(L$4="forecast",AVERAGE(#REF!),'Dept. Cost Actuals'!P794)</f>
        <v>170.53096955588128</v>
      </c>
      <c r="M36" s="684">
        <f>IF(M$4="forecast",AVERAGE(A36:L36),'Dept. Cost Actuals'!Q794)</f>
        <v>172.11308200556667</v>
      </c>
      <c r="N36" s="684">
        <f>IF(N$4="forecast",AVERAGE(B36:M36),'Dept. Cost Actuals'!R794)</f>
        <v>75.290938612078051</v>
      </c>
      <c r="O36" s="684">
        <f>IF(O$4="forecast",AVERAGE(C36:N36),'Dept. Cost Actuals'!S794)</f>
        <v>210.45</v>
      </c>
      <c r="P36" s="684">
        <f>IF(P$4="forecast",AVERAGE(D36:O36),'Dept. Cost Actuals'!T794)</f>
        <v>0</v>
      </c>
      <c r="Q36" s="684">
        <f>IF(Q$4="forecast",AVERAGE(E36:P36),'Dept. Cost Actuals'!U794)</f>
        <v>0</v>
      </c>
      <c r="R36" s="684">
        <f>IF(R$4="forecast",AVERAGE(F36:Q36),'Dept. Cost Actuals'!V794)</f>
        <v>0</v>
      </c>
      <c r="S36" s="684">
        <f>IF(S$4="forecast",AVERAGE(G36:R36),'Dept. Cost Actuals'!W794)</f>
        <v>163.38</v>
      </c>
      <c r="T36" s="684">
        <f>IF(T$4="forecast",AVERAGE(H36:S36),'Dept. Cost Actuals'!X794)</f>
        <v>0</v>
      </c>
      <c r="U36" s="684">
        <f>IF(U$4="forecast",AVERAGE(I36:T36),'Dept. Cost Actuals'!Y794)</f>
        <v>224.76</v>
      </c>
      <c r="V36" s="684">
        <f>IF(V$4="forecast",AVERAGE(J36:U36),'Dept. Cost Actuals'!Z794)</f>
        <v>33.61</v>
      </c>
      <c r="W36" s="684">
        <f>IF(W$4="forecast",AVERAGE(K36:V36),'Dept. Cost Actuals'!AA794)</f>
        <v>0</v>
      </c>
      <c r="X36" s="684">
        <f>IF(X$4="forecast",AVERAGE(L36:W36),'Dept. Cost Actuals'!AB794)</f>
        <v>0</v>
      </c>
      <c r="Y36" s="684">
        <f>IF(Y$4="forecast",AVERAGE(M36:X36),'Dept. Cost Actuals'!AC794)</f>
        <v>0</v>
      </c>
      <c r="Z36" s="684">
        <f>IF(Z$4="forecast",AVERAGE(N36:Y36),'Dept. Cost Actuals'!AD794)</f>
        <v>57.51</v>
      </c>
      <c r="AA36" s="684">
        <f>IF(AA$4="forecast",AVERAGE(O36:Z36),'Dept. Cost Actuals'!AE794)</f>
        <v>57.475833333333327</v>
      </c>
      <c r="AB36" s="684">
        <f>IF(AB$4="forecast",AVERAGE(P36:AA36),'Dept. Cost Actuals'!AF794)</f>
        <v>44.727986111111107</v>
      </c>
      <c r="AC36" s="684">
        <f>IF(AC$4="forecast",AVERAGE(Q36:AB36),'Dept. Cost Actuals'!AG794)</f>
        <v>48.455318287037038</v>
      </c>
      <c r="AD36" s="684">
        <f>IF(AD$4="forecast",AVERAGE(R36:AC36),'Dept. Cost Actuals'!AH794)</f>
        <v>52.493261477623456</v>
      </c>
      <c r="AE36" s="684">
        <f>IF(AE$4="forecast",AVERAGE(S36:AD36),'Dept. Cost Actuals'!AI794)</f>
        <v>56.86769993409208</v>
      </c>
      <c r="AF36" s="684">
        <f>IF(AF$4="forecast",AVERAGE(T36:AE36),'Dept. Cost Actuals'!AJ794)</f>
        <v>47.991674928599757</v>
      </c>
      <c r="AG36" s="684">
        <f>IF(AG$4="forecast",AVERAGE(U36:AF36),'Dept. Cost Actuals'!AK794)</f>
        <v>51.990981172649732</v>
      </c>
      <c r="AH36" s="684">
        <f>IF(AH$4="forecast",AVERAGE(V36:AG36),'Dept. Cost Actuals'!AL794)</f>
        <v>37.593562937037213</v>
      </c>
      <c r="AI36" s="684">
        <f>IF(AI$4="forecast",AVERAGE(W36:AH36),'Dept. Cost Actuals'!AM794)</f>
        <v>37.925526515123643</v>
      </c>
      <c r="AJ36" s="684">
        <f>IF(AJ$4="forecast",AVERAGE(X36:AI36),'Dept. Cost Actuals'!AN794)</f>
        <v>41.085987058050613</v>
      </c>
      <c r="AK36" s="684">
        <f>IF(AK$4="forecast",AVERAGE(Y36:AJ36),'Dept. Cost Actuals'!AO794)</f>
        <v>44.509819312888169</v>
      </c>
      <c r="AL36" s="684">
        <f>IF(AL$4="forecast",AVERAGE(Z36:AK36),'Dept. Cost Actuals'!AP794)</f>
        <v>48.218970922295512</v>
      </c>
      <c r="AM36" s="684">
        <f>IF(AM$4="forecast",AVERAGE(AA36:AL36),'Dept. Cost Actuals'!AQ794)</f>
        <v>47.444718499153474</v>
      </c>
      <c r="AN36" s="684">
        <f>IF(AN$4="forecast",AVERAGE(AB36:AM36),'Dept. Cost Actuals'!AR794)</f>
        <v>46.608792262971825</v>
      </c>
      <c r="AO36" s="684">
        <f>IF(AO$4="forecast",AVERAGE(AC36:AN36),'Dept. Cost Actuals'!AS794)</f>
        <v>46.765526108960216</v>
      </c>
      <c r="AP36" s="684">
        <f>IF(AP$4="forecast",AVERAGE(AD36:AO36),'Dept. Cost Actuals'!AT794)</f>
        <v>46.624710094120474</v>
      </c>
      <c r="AQ36" s="684">
        <f>IF(AQ$4="forecast",AVERAGE(AE36:AP36),'Dept. Cost Actuals'!AU794)</f>
        <v>46.13566414549522</v>
      </c>
      <c r="AR36" s="684">
        <f>IF(AR$4="forecast",AVERAGE(AF36:AQ36),'Dept. Cost Actuals'!AV794)</f>
        <v>45.241327829778811</v>
      </c>
      <c r="AS36" s="684">
        <f>IF(AS$4="forecast",AVERAGE(AG36:AR36),'Dept. Cost Actuals'!AW794)</f>
        <v>45.012132238210405</v>
      </c>
      <c r="AT36" s="684">
        <f>IF(AT$4="forecast",AVERAGE(AH36:AS36),'Dept. Cost Actuals'!AX794)</f>
        <v>44.430561493673792</v>
      </c>
      <c r="AU36" s="684">
        <f>IF(AU$4="forecast",AVERAGE(AI36:AT36),'Dept. Cost Actuals'!AY794)</f>
        <v>45.000311373393515</v>
      </c>
      <c r="AV36" s="684">
        <f>IF(AV$4="forecast",AVERAGE(AJ36:AU36),'Dept. Cost Actuals'!AZ794)</f>
        <v>45.589876778249334</v>
      </c>
      <c r="AW36" s="684">
        <f>IF(AW$4="forecast",AVERAGE(AK36:AV36),'Dept. Cost Actuals'!BA794)</f>
        <v>45.965200921599234</v>
      </c>
      <c r="AX36" s="684">
        <f>IF(AX$4="forecast",AVERAGE(AL36:AW36),'Dept. Cost Actuals'!BB794)</f>
        <v>46.086482722325151</v>
      </c>
      <c r="AY36" s="684">
        <f>IF(AY$4="forecast",AVERAGE(AM36:AX36),'Dept. Cost Actuals'!BC794)</f>
        <v>45.908775372327625</v>
      </c>
      <c r="AZ36" s="684">
        <f>IF(AZ$4="forecast",AVERAGE(AN36:AY36),'Dept. Cost Actuals'!BD794)</f>
        <v>45.780780111758794</v>
      </c>
      <c r="BA36" s="684">
        <f>IF(BA$4="forecast",AVERAGE(AO36:AZ36),'Dept. Cost Actuals'!BE794)</f>
        <v>45.711779099157717</v>
      </c>
      <c r="BB36" s="684">
        <f>IF(BB$4="forecast",AVERAGE(AP36:BA36),'Dept. Cost Actuals'!BF794)</f>
        <v>45.623966848340842</v>
      </c>
      <c r="BC36" s="684">
        <f>IF(BC$4="forecast",AVERAGE(AQ36:BB36),'Dept. Cost Actuals'!BG794)</f>
        <v>45.540571577859204</v>
      </c>
      <c r="BD36" s="684">
        <f>IF(BD$4="forecast",AVERAGE(AR36:BC36),'Dept. Cost Actuals'!BH794)</f>
        <v>45.490980530556207</v>
      </c>
      <c r="BE36" s="684">
        <f>IF(BE$4="forecast",AVERAGE(AS36:BD36),'Dept. Cost Actuals'!BI794)</f>
        <v>45.511784922287653</v>
      </c>
      <c r="BF36" s="684">
        <f>IF(BF$4="forecast",AVERAGE(AT36:BE36),'Dept. Cost Actuals'!BJ794)</f>
        <v>45.553422645960758</v>
      </c>
      <c r="BG36" s="684">
        <f>IF(BG$4="forecast",AVERAGE(AU36:BF36),'Dept. Cost Actuals'!BK794)</f>
        <v>45.646994408651331</v>
      </c>
      <c r="BH36" s="684">
        <f>IF(BH$4="forecast",AVERAGE(AV36:BG36),'Dept. Cost Actuals'!BL794)</f>
        <v>45.700884661589491</v>
      </c>
      <c r="BI36" s="684">
        <f>IF(BI$4="forecast",AVERAGE(AW36:BH36),'Dept. Cost Actuals'!BM794)</f>
        <v>45.710135318534498</v>
      </c>
      <c r="BJ36" s="684">
        <f>IF(BJ$4="forecast",AVERAGE(AX36:BI36),'Dept. Cost Actuals'!BN794)</f>
        <v>45.688879851612434</v>
      </c>
      <c r="BK36" s="684">
        <f>IF(BK$4="forecast",AVERAGE(AY36:BJ36),'Dept. Cost Actuals'!BO794)</f>
        <v>45.655746279053041</v>
      </c>
      <c r="BL36" s="684">
        <f>IF(BL$4="forecast",AVERAGE(AZ36:BK36),'Dept. Cost Actuals'!BP794)</f>
        <v>45.634660521280161</v>
      </c>
      <c r="BM36" s="684">
        <f>IF(BM$4="forecast",AVERAGE(BA36:BL36),'Dept. Cost Actuals'!BQ794)</f>
        <v>45.622483888740284</v>
      </c>
      <c r="BN36" s="684">
        <f>IF(BN$4="forecast",AVERAGE(BB36:BM36),'Dept. Cost Actuals'!BR794)</f>
        <v>45.615042621205497</v>
      </c>
      <c r="BO36" s="684">
        <f>IF(BO$4="forecast",AVERAGE(BC36:BN36),'Dept. Cost Actuals'!BS794)</f>
        <v>45.61429893561089</v>
      </c>
      <c r="BP36" s="684">
        <f>IF(BP$4="forecast",AVERAGE(BD36:BO36),'Dept. Cost Actuals'!BT794)</f>
        <v>45.620442882090195</v>
      </c>
      <c r="BQ36" s="684">
        <f>IF(BQ$4="forecast",AVERAGE(BE36:BP36),'Dept. Cost Actuals'!BU794)</f>
        <v>45.631231411384682</v>
      </c>
      <c r="BR36" s="684">
        <f>IF(BR$4="forecast",AVERAGE(BF36:BQ36),'Dept. Cost Actuals'!BV794)</f>
        <v>45.641185285476098</v>
      </c>
      <c r="BS36" s="684">
        <f>IF(BS$4="forecast",AVERAGE(BG36:BR36),'Dept. Cost Actuals'!BW794)</f>
        <v>45.648498838769051</v>
      </c>
      <c r="BT36" s="684">
        <f>IF(BT$4="forecast",AVERAGE(BH36:BS36),'Dept. Cost Actuals'!BX794)</f>
        <v>45.648624207945517</v>
      </c>
      <c r="BU36" s="684">
        <f>IF(BU$4="forecast",AVERAGE(BI36:BT36),'Dept. Cost Actuals'!BY794)</f>
        <v>45.644269170141854</v>
      </c>
      <c r="BV36" s="808">
        <f>IF(BV$4="forecast",AVERAGE(BJ36:BU36),'Dept. Cost Actuals'!BZ794)</f>
        <v>45.638780324442472</v>
      </c>
    </row>
    <row r="37" spans="2:74" x14ac:dyDescent="0.35">
      <c r="B37" s="812" t="s">
        <v>929</v>
      </c>
      <c r="C37" s="684">
        <f>IF(C$4="forecast",AVERAGE(#REF!),'Dept. Cost Actuals'!G831)</f>
        <v>0</v>
      </c>
      <c r="D37" s="684">
        <f>IF(D$4="forecast",AVERAGE(#REF!),'Dept. Cost Actuals'!H831)</f>
        <v>30.272292715912545</v>
      </c>
      <c r="E37" s="684">
        <f>IF(E$4="forecast",AVERAGE(#REF!),'Dept. Cost Actuals'!I831)</f>
        <v>30.827843056834766</v>
      </c>
      <c r="F37" s="684">
        <f>IF(F$4="forecast",AVERAGE(#REF!),'Dept. Cost Actuals'!J831)</f>
        <v>26.90166949799049</v>
      </c>
      <c r="G37" s="684">
        <f>IF(G$4="forecast",AVERAGE(#REF!),'Dept. Cost Actuals'!K831)</f>
        <v>48.471245781313726</v>
      </c>
      <c r="H37" s="684">
        <f>IF(H$4="forecast",AVERAGE(#REF!),'Dept. Cost Actuals'!L831)</f>
        <v>0</v>
      </c>
      <c r="I37" s="684">
        <f>IF(I$4="forecast",AVERAGE(#REF!),'Dept. Cost Actuals'!M831)</f>
        <v>5.2057850836963269</v>
      </c>
      <c r="J37" s="684">
        <f>IF(J$4="forecast",AVERAGE(#REF!),'Dept. Cost Actuals'!N831)</f>
        <v>400</v>
      </c>
      <c r="K37" s="684">
        <f>IF(K$4="forecast",AVERAGE(#REF!),'Dept. Cost Actuals'!O831)</f>
        <v>0</v>
      </c>
      <c r="L37" s="684">
        <f>IF(L$4="forecast",AVERAGE(#REF!),'Dept. Cost Actuals'!P831)</f>
        <v>1.6362716702390572</v>
      </c>
      <c r="M37" s="684">
        <f>IF(M$4="forecast",AVERAGE(A37:L37),'Dept. Cost Actuals'!Q831)</f>
        <v>0</v>
      </c>
      <c r="N37" s="684">
        <f>IF(N$4="forecast",AVERAGE(B37:M37),'Dept. Cost Actuals'!R831)</f>
        <v>0</v>
      </c>
      <c r="O37" s="684">
        <f>IF(O$4="forecast",AVERAGE(C37:N37),'Dept. Cost Actuals'!S831)</f>
        <v>0</v>
      </c>
      <c r="P37" s="684">
        <f>IF(P$4="forecast",AVERAGE(D37:O37),'Dept. Cost Actuals'!T831)</f>
        <v>0</v>
      </c>
      <c r="Q37" s="684">
        <f>IF(Q$4="forecast",AVERAGE(E37:P37),'Dept. Cost Actuals'!U831)</f>
        <v>104.43</v>
      </c>
      <c r="R37" s="684">
        <f>IF(R$4="forecast",AVERAGE(F37:Q37),'Dept. Cost Actuals'!V831)</f>
        <v>0</v>
      </c>
      <c r="S37" s="684">
        <f>IF(S$4="forecast",AVERAGE(G37:R37),'Dept. Cost Actuals'!W831)</f>
        <v>0</v>
      </c>
      <c r="T37" s="684">
        <f>IF(T$4="forecast",AVERAGE(H37:S37),'Dept. Cost Actuals'!X831)</f>
        <v>0</v>
      </c>
      <c r="U37" s="684">
        <f>IF(U$4="forecast",AVERAGE(I37:T37),'Dept. Cost Actuals'!Y831)</f>
        <v>0</v>
      </c>
      <c r="V37" s="684">
        <f>IF(V$4="forecast",AVERAGE(J37:U37),'Dept. Cost Actuals'!Z831)</f>
        <v>978.35</v>
      </c>
      <c r="W37" s="684">
        <f>IF(W$4="forecast",AVERAGE(K37:V37),'Dept. Cost Actuals'!AA831)</f>
        <v>0</v>
      </c>
      <c r="X37" s="684">
        <f>IF(X$4="forecast",AVERAGE(L37:W37),'Dept. Cost Actuals'!AB831)</f>
        <v>0</v>
      </c>
      <c r="Y37" s="684">
        <f>IF(Y$4="forecast",AVERAGE(M37:X37),'Dept. Cost Actuals'!AC831)</f>
        <v>0</v>
      </c>
      <c r="Z37" s="684">
        <f>IF(Z$4="forecast",AVERAGE(N37:Y37),'Dept. Cost Actuals'!AD831)</f>
        <v>0</v>
      </c>
      <c r="AA37" s="684">
        <f>IF(AA$4="forecast",AVERAGE(O37:Z37),'Dept. Cost Actuals'!AE831)</f>
        <v>90.231666666666669</v>
      </c>
      <c r="AB37" s="684">
        <f>IF(AB$4="forecast",AVERAGE(P37:AA37),'Dept. Cost Actuals'!AF831)</f>
        <v>97.750972222222217</v>
      </c>
      <c r="AC37" s="684">
        <f>IF(AC$4="forecast",AVERAGE(Q37:AB37),'Dept. Cost Actuals'!AG831)</f>
        <v>105.89688657407406</v>
      </c>
      <c r="AD37" s="684">
        <f>IF(AD$4="forecast",AVERAGE(R37:AC37),'Dept. Cost Actuals'!AH831)</f>
        <v>106.01912712191357</v>
      </c>
      <c r="AE37" s="684">
        <f>IF(AE$4="forecast",AVERAGE(S37:AD37),'Dept. Cost Actuals'!AI831)</f>
        <v>114.85405438207302</v>
      </c>
      <c r="AF37" s="684">
        <f>IF(AF$4="forecast",AVERAGE(T37:AE37),'Dept. Cost Actuals'!AJ831)</f>
        <v>124.4252255805791</v>
      </c>
      <c r="AG37" s="684">
        <f>IF(AG$4="forecast",AVERAGE(U37:AF37),'Dept. Cost Actuals'!AK831)</f>
        <v>134.79399437896069</v>
      </c>
      <c r="AH37" s="684">
        <f>IF(AH$4="forecast",AVERAGE(V37:AG37),'Dept. Cost Actuals'!AL831)</f>
        <v>146.02682724387407</v>
      </c>
      <c r="AI37" s="684">
        <f>IF(AI$4="forecast",AVERAGE(W37:AH37),'Dept. Cost Actuals'!AM831)</f>
        <v>76.666562847530273</v>
      </c>
      <c r="AJ37" s="684">
        <f>IF(AJ$4="forecast",AVERAGE(X37:AI37),'Dept. Cost Actuals'!AN831)</f>
        <v>83.055443084824461</v>
      </c>
      <c r="AK37" s="684">
        <f>IF(AK$4="forecast",AVERAGE(Y37:AJ37),'Dept. Cost Actuals'!AO831)</f>
        <v>89.976730008559841</v>
      </c>
      <c r="AL37" s="684">
        <f>IF(AL$4="forecast",AVERAGE(Z37:AK37),'Dept. Cost Actuals'!AP831)</f>
        <v>97.474790842606481</v>
      </c>
      <c r="AM37" s="684">
        <f>IF(AM$4="forecast",AVERAGE(AA37:AL37),'Dept. Cost Actuals'!AQ831)</f>
        <v>105.59769007949036</v>
      </c>
      <c r="AN37" s="684">
        <f>IF(AN$4="forecast",AVERAGE(AB37:AM37),'Dept. Cost Actuals'!AR831)</f>
        <v>106.87819203055902</v>
      </c>
      <c r="AO37" s="684">
        <f>IF(AO$4="forecast",AVERAGE(AC37:AN37),'Dept. Cost Actuals'!AS831)</f>
        <v>107.63879368125373</v>
      </c>
      <c r="AP37" s="684">
        <f>IF(AP$4="forecast",AVERAGE(AD37:AO37),'Dept. Cost Actuals'!AT831)</f>
        <v>107.78395260685204</v>
      </c>
      <c r="AQ37" s="684">
        <f>IF(AQ$4="forecast",AVERAGE(AE37:AP37),'Dept. Cost Actuals'!AU831)</f>
        <v>107.93102139726356</v>
      </c>
      <c r="AR37" s="684">
        <f>IF(AR$4="forecast",AVERAGE(AF37:AQ37),'Dept. Cost Actuals'!AV831)</f>
        <v>107.3541019818628</v>
      </c>
      <c r="AS37" s="684">
        <f>IF(AS$4="forecast",AVERAGE(AG37:AR37),'Dept. Cost Actuals'!AW831)</f>
        <v>105.93150834863644</v>
      </c>
      <c r="AT37" s="684">
        <f>IF(AT$4="forecast",AVERAGE(AH37:AS37),'Dept. Cost Actuals'!AX831)</f>
        <v>103.52630117944278</v>
      </c>
      <c r="AU37" s="684">
        <f>IF(AU$4="forecast",AVERAGE(AI37:AT37),'Dept. Cost Actuals'!AY831)</f>
        <v>99.984590674073459</v>
      </c>
      <c r="AV37" s="684">
        <f>IF(AV$4="forecast",AVERAGE(AJ37:AU37),'Dept. Cost Actuals'!AZ831)</f>
        <v>101.92775965961873</v>
      </c>
      <c r="AW37" s="684">
        <f>IF(AW$4="forecast",AVERAGE(AK37:AV37),'Dept. Cost Actuals'!BA831)</f>
        <v>103.50045270751825</v>
      </c>
      <c r="AX37" s="684">
        <f>IF(AX$4="forecast",AVERAGE(AL37:AW37),'Dept. Cost Actuals'!BB831)</f>
        <v>104.62742959909811</v>
      </c>
      <c r="AY37" s="684">
        <f>IF(AY$4="forecast",AVERAGE(AM37:AX37),'Dept. Cost Actuals'!BC831)</f>
        <v>105.22348282880579</v>
      </c>
      <c r="AZ37" s="684">
        <f>IF(AZ$4="forecast",AVERAGE(AN37:AY37),'Dept. Cost Actuals'!BD831)</f>
        <v>105.19229889124874</v>
      </c>
      <c r="BA37" s="684">
        <f>IF(BA$4="forecast",AVERAGE(AO37:AZ37),'Dept. Cost Actuals'!BE831)</f>
        <v>105.05180779630621</v>
      </c>
      <c r="BB37" s="684">
        <f>IF(BB$4="forecast",AVERAGE(AP37:BA37),'Dept. Cost Actuals'!BF831)</f>
        <v>104.83622563922727</v>
      </c>
      <c r="BC37" s="684">
        <f>IF(BC$4="forecast",AVERAGE(AQ37:BB37),'Dept. Cost Actuals'!BG831)</f>
        <v>104.5905817252585</v>
      </c>
      <c r="BD37" s="684">
        <f>IF(BD$4="forecast",AVERAGE(AR37:BC37),'Dept. Cost Actuals'!BH831)</f>
        <v>104.31221175259141</v>
      </c>
      <c r="BE37" s="684">
        <f>IF(BE$4="forecast",AVERAGE(AS37:BD37),'Dept. Cost Actuals'!BI831)</f>
        <v>104.05872090015214</v>
      </c>
      <c r="BF37" s="684">
        <f>IF(BF$4="forecast",AVERAGE(AT37:BE37),'Dept. Cost Actuals'!BJ831)</f>
        <v>103.90265527944511</v>
      </c>
      <c r="BG37" s="684">
        <f>IF(BG$4="forecast",AVERAGE(AU37:BF37),'Dept. Cost Actuals'!BK831)</f>
        <v>103.93401812111198</v>
      </c>
      <c r="BH37" s="684">
        <f>IF(BH$4="forecast",AVERAGE(AV37:BG37),'Dept. Cost Actuals'!BL831)</f>
        <v>104.26313707503185</v>
      </c>
      <c r="BI37" s="684">
        <f>IF(BI$4="forecast",AVERAGE(AW37:BH37),'Dept. Cost Actuals'!BM831)</f>
        <v>104.4577518596496</v>
      </c>
      <c r="BJ37" s="684">
        <f>IF(BJ$4="forecast",AVERAGE(AX37:BI37),'Dept. Cost Actuals'!BN831)</f>
        <v>104.53752678899389</v>
      </c>
      <c r="BK37" s="684">
        <f>IF(BK$4="forecast",AVERAGE(AY37:BJ37),'Dept. Cost Actuals'!BO831)</f>
        <v>104.53003488815186</v>
      </c>
      <c r="BL37" s="684">
        <f>IF(BL$4="forecast",AVERAGE(AZ37:BK37),'Dept. Cost Actuals'!BP831)</f>
        <v>104.47224755976406</v>
      </c>
      <c r="BM37" s="684">
        <f>IF(BM$4="forecast",AVERAGE(BA37:BL37),'Dept. Cost Actuals'!BQ831)</f>
        <v>104.41224328214032</v>
      </c>
      <c r="BN37" s="684">
        <f>IF(BN$4="forecast",AVERAGE(BB37:BM37),'Dept. Cost Actuals'!BR831)</f>
        <v>104.35894623929318</v>
      </c>
      <c r="BO37" s="684">
        <f>IF(BO$4="forecast",AVERAGE(BC37:BN37),'Dept. Cost Actuals'!BS831)</f>
        <v>104.31917295596531</v>
      </c>
      <c r="BP37" s="684">
        <f>IF(BP$4="forecast",AVERAGE(BD37:BO37),'Dept. Cost Actuals'!BT831)</f>
        <v>104.29655555852422</v>
      </c>
      <c r="BQ37" s="684">
        <f>IF(BQ$4="forecast",AVERAGE(BE37:BP37),'Dept. Cost Actuals'!BU831)</f>
        <v>104.29525087568528</v>
      </c>
      <c r="BR37" s="684">
        <f>IF(BR$4="forecast",AVERAGE(BF37:BQ37),'Dept. Cost Actuals'!BV831)</f>
        <v>104.31496170697972</v>
      </c>
      <c r="BS37" s="684">
        <f>IF(BS$4="forecast",AVERAGE(BG37:BR37),'Dept. Cost Actuals'!BW831)</f>
        <v>104.34932057594092</v>
      </c>
      <c r="BT37" s="684">
        <f>IF(BT$4="forecast",AVERAGE(BH37:BS37),'Dept. Cost Actuals'!BX831)</f>
        <v>104.38392911384335</v>
      </c>
      <c r="BU37" s="684">
        <f>IF(BU$4="forecast",AVERAGE(BI37:BT37),'Dept. Cost Actuals'!BY831)</f>
        <v>104.39399511707764</v>
      </c>
      <c r="BV37" s="808">
        <f>IF(BV$4="forecast",AVERAGE(BJ37:BU37),'Dept. Cost Actuals'!BZ831)</f>
        <v>104.38868205519664</v>
      </c>
    </row>
    <row r="38" spans="2:74" x14ac:dyDescent="0.35">
      <c r="B38" s="812" t="s">
        <v>951</v>
      </c>
      <c r="C38" s="684">
        <f>IF(C$4="forecast",AVERAGE(#REF!),'Dept. Cost Actuals'!G385)</f>
        <v>22.11061103839592</v>
      </c>
      <c r="D38" s="684">
        <f>IF(D$4="forecast",AVERAGE(#REF!),'Dept. Cost Actuals'!H385)</f>
        <v>33.584457760604629</v>
      </c>
      <c r="E38" s="684">
        <f>IF(E$4="forecast",AVERAGE(#REF!),'Dept. Cost Actuals'!I385)</f>
        <v>5.8153308320418473</v>
      </c>
      <c r="F38" s="684">
        <f>IF(F$4="forecast",AVERAGE(#REF!),'Dept. Cost Actuals'!J385)</f>
        <v>6.0361695938620672</v>
      </c>
      <c r="G38" s="684">
        <f>IF(G$4="forecast",AVERAGE(#REF!),'Dept. Cost Actuals'!K385)</f>
        <v>235.13861270941018</v>
      </c>
      <c r="H38" s="684">
        <f>IF(H$4="forecast",AVERAGE(#REF!),'Dept. Cost Actuals'!L385)</f>
        <v>0</v>
      </c>
      <c r="I38" s="684">
        <f>IF(I$4="forecast",AVERAGE(#REF!),'Dept. Cost Actuals'!M385)</f>
        <v>0</v>
      </c>
      <c r="J38" s="684">
        <f>IF(J$4="forecast",AVERAGE(#REF!),'Dept. Cost Actuals'!N385)</f>
        <v>17.943458128332715</v>
      </c>
      <c r="K38" s="684">
        <f>IF(K$4="forecast",AVERAGE(#REF!),'Dept. Cost Actuals'!O385)</f>
        <v>0</v>
      </c>
      <c r="L38" s="684">
        <f>IF(L$4="forecast",AVERAGE(#REF!),'Dept. Cost Actuals'!P385)</f>
        <v>253.41937397005296</v>
      </c>
      <c r="M38" s="684">
        <f>IF(M$4="forecast",AVERAGE(A38:L38),'Dept. Cost Actuals'!Q385)</f>
        <v>0</v>
      </c>
      <c r="N38" s="684">
        <f>IF(N$4="forecast",AVERAGE(B38:M38),'Dept. Cost Actuals'!R385)</f>
        <v>0</v>
      </c>
      <c r="O38" s="684">
        <f>IF(O$4="forecast",AVERAGE(C38:N38),'Dept. Cost Actuals'!S721)</f>
        <v>0</v>
      </c>
      <c r="P38" s="684">
        <f>IF(P$4="forecast",AVERAGE(D38:O38),'Dept. Cost Actuals'!T721)</f>
        <v>45</v>
      </c>
      <c r="Q38" s="684">
        <f>IF(Q$4="forecast",AVERAGE(E38:P38),'Dept. Cost Actuals'!U721)</f>
        <v>349</v>
      </c>
      <c r="R38" s="684">
        <f>IF(R$4="forecast",AVERAGE(F38:Q38),'Dept. Cost Actuals'!V721)</f>
        <v>210</v>
      </c>
      <c r="S38" s="684">
        <f>IF(S$4="forecast",AVERAGE(G38:R38),'Dept. Cost Actuals'!W721)</f>
        <v>-210</v>
      </c>
      <c r="T38" s="684">
        <f>IF(T$4="forecast",AVERAGE(H38:S38),'Dept. Cost Actuals'!X721)</f>
        <v>0</v>
      </c>
      <c r="U38" s="684">
        <f>IF(U$4="forecast",AVERAGE(I38:T38),'Dept. Cost Actuals'!Y721)</f>
        <v>136.5</v>
      </c>
      <c r="V38" s="684">
        <f>IF(V$4="forecast",AVERAGE(J38:U38),'Dept. Cost Actuals'!Z721)</f>
        <v>0</v>
      </c>
      <c r="W38" s="684">
        <f>IF(W$4="forecast",AVERAGE(K38:V38),'Dept. Cost Actuals'!AA721)</f>
        <v>0</v>
      </c>
      <c r="X38" s="684">
        <f>IF(X$4="forecast",AVERAGE(L38:W38),'Dept. Cost Actuals'!AB721)</f>
        <v>0</v>
      </c>
      <c r="Y38" s="684">
        <f>IF(Y$4="forecast",AVERAGE(M38:X38),'Dept. Cost Actuals'!AC721)</f>
        <v>0</v>
      </c>
      <c r="Z38" s="684">
        <f>IF(Z$4="forecast",AVERAGE(N38:Y38),'Dept. Cost Actuals'!AD721)</f>
        <v>0</v>
      </c>
      <c r="AA38" s="684">
        <f>IF(AA$4="forecast",AVERAGE(O38:Z38),'Dept. Cost Actuals'!AE721)</f>
        <v>44.208333333333336</v>
      </c>
      <c r="AB38" s="684">
        <f>IF(AB$4="forecast",AVERAGE(P38:AA38),'Dept. Cost Actuals'!AF721)</f>
        <v>47.892361111111114</v>
      </c>
      <c r="AC38" s="684">
        <f>IF(AC$4="forecast",AVERAGE(Q38:AB38),'Dept. Cost Actuals'!AG721)</f>
        <v>48.133391203703702</v>
      </c>
      <c r="AD38" s="684">
        <f>IF(AD$4="forecast",AVERAGE(R38:AC38),'Dept. Cost Actuals'!AH721)</f>
        <v>23.061173804012345</v>
      </c>
      <c r="AE38" s="684">
        <f>IF(AE$4="forecast",AVERAGE(S38:AD38),'Dept. Cost Actuals'!AI721)</f>
        <v>7.4829382876800414</v>
      </c>
      <c r="AF38" s="684">
        <f>IF(AF$4="forecast",AVERAGE(T38:AE38),'Dept. Cost Actuals'!AJ721)</f>
        <v>25.606516478320046</v>
      </c>
      <c r="AG38" s="684">
        <f>IF(AG$4="forecast",AVERAGE(U38:AF38),'Dept. Cost Actuals'!AK721)</f>
        <v>27.740392851513381</v>
      </c>
      <c r="AH38" s="684">
        <f>IF(AH$4="forecast",AVERAGE(V38:AG38),'Dept. Cost Actuals'!AL721)</f>
        <v>18.677092255806162</v>
      </c>
      <c r="AI38" s="684">
        <f>IF(AI$4="forecast",AVERAGE(W38:AH38),'Dept. Cost Actuals'!AM721)</f>
        <v>20.233516610456679</v>
      </c>
      <c r="AJ38" s="684">
        <f>IF(AJ$4="forecast",AVERAGE(X38:AI38),'Dept. Cost Actuals'!AN721)</f>
        <v>21.919642994661402</v>
      </c>
      <c r="AK38" s="684">
        <f>IF(AK$4="forecast",AVERAGE(Y38:AJ38),'Dept. Cost Actuals'!AO721)</f>
        <v>23.746279910883185</v>
      </c>
      <c r="AL38" s="684">
        <f>IF(AL$4="forecast",AVERAGE(Z38:AK38),'Dept. Cost Actuals'!AP721)</f>
        <v>25.72513657012345</v>
      </c>
      <c r="AM38" s="684">
        <f>IF(AM$4="forecast",AVERAGE(AA38:AL38),'Dept. Cost Actuals'!AQ721)</f>
        <v>27.868897950967067</v>
      </c>
      <c r="AN38" s="684">
        <f>IF(AN$4="forecast",AVERAGE(AB38:AM38),'Dept. Cost Actuals'!AR721)</f>
        <v>26.507278335769882</v>
      </c>
      <c r="AO38" s="684">
        <f>IF(AO$4="forecast",AVERAGE(AC38:AN38),'Dept. Cost Actuals'!AS721)</f>
        <v>24.725188104491451</v>
      </c>
      <c r="AP38" s="684">
        <f>IF(AP$4="forecast",AVERAGE(AD38:AO38),'Dept. Cost Actuals'!AT721)</f>
        <v>22.774504512890427</v>
      </c>
      <c r="AQ38" s="684">
        <f>IF(AQ$4="forecast",AVERAGE(AE38:AP38),'Dept. Cost Actuals'!AU721)</f>
        <v>22.75061540529693</v>
      </c>
      <c r="AR38" s="684">
        <f>IF(AR$4="forecast",AVERAGE(AF38:AQ38),'Dept. Cost Actuals'!AV721)</f>
        <v>24.022921831765004</v>
      </c>
      <c r="AS38" s="684">
        <f>IF(AS$4="forecast",AVERAGE(AG38:AR38),'Dept. Cost Actuals'!AW721)</f>
        <v>23.890955611218754</v>
      </c>
      <c r="AT38" s="684">
        <f>IF(AT$4="forecast",AVERAGE(AH38:AS38),'Dept. Cost Actuals'!AX721)</f>
        <v>23.570169174527535</v>
      </c>
      <c r="AU38" s="684">
        <f>IF(AU$4="forecast",AVERAGE(AI38:AT38),'Dept. Cost Actuals'!AY721)</f>
        <v>23.977925584420984</v>
      </c>
      <c r="AV38" s="684">
        <f>IF(AV$4="forecast",AVERAGE(AJ38:AU38),'Dept. Cost Actuals'!AZ721)</f>
        <v>24.289959665584671</v>
      </c>
      <c r="AW38" s="684">
        <f>IF(AW$4="forecast",AVERAGE(AK38:AV38),'Dept. Cost Actuals'!BA721)</f>
        <v>24.487486054828278</v>
      </c>
      <c r="AX38" s="684">
        <f>IF(AX$4="forecast",AVERAGE(AL38:AW38),'Dept. Cost Actuals'!BB721)</f>
        <v>24.549253233490365</v>
      </c>
      <c r="AY38" s="684">
        <f>IF(AY$4="forecast",AVERAGE(AM38:AX38),'Dept. Cost Actuals'!BC721)</f>
        <v>24.45126295543761</v>
      </c>
      <c r="AZ38" s="684">
        <f>IF(AZ$4="forecast",AVERAGE(AN38:AY38),'Dept. Cost Actuals'!BD721)</f>
        <v>24.166460039143487</v>
      </c>
      <c r="BA38" s="684">
        <f>IF(BA$4="forecast",AVERAGE(AO38:AZ38),'Dept. Cost Actuals'!BE721)</f>
        <v>23.971391847757957</v>
      </c>
      <c r="BB38" s="684">
        <f>IF(BB$4="forecast",AVERAGE(AP38:BA38),'Dept. Cost Actuals'!BF721)</f>
        <v>23.908575493030167</v>
      </c>
      <c r="BC38" s="684">
        <f>IF(BC$4="forecast",AVERAGE(AQ38:BB38),'Dept. Cost Actuals'!BG721)</f>
        <v>24.003081408041812</v>
      </c>
      <c r="BD38" s="684">
        <f>IF(BD$4="forecast",AVERAGE(AR38:BC38),'Dept. Cost Actuals'!BH721)</f>
        <v>24.107453574937221</v>
      </c>
      <c r="BE38" s="684">
        <f>IF(BE$4="forecast",AVERAGE(AS38:BD38),'Dept. Cost Actuals'!BI721)</f>
        <v>24.114497886868236</v>
      </c>
      <c r="BF38" s="684">
        <f>IF(BF$4="forecast",AVERAGE(AT38:BE38),'Dept. Cost Actuals'!BJ721)</f>
        <v>24.133126409839026</v>
      </c>
      <c r="BG38" s="684">
        <f>IF(BG$4="forecast",AVERAGE(AU38:BF38),'Dept. Cost Actuals'!BK721)</f>
        <v>24.180039512781647</v>
      </c>
      <c r="BH38" s="684">
        <f>IF(BH$4="forecast",AVERAGE(AV38:BG38),'Dept. Cost Actuals'!BL721)</f>
        <v>24.196882340145041</v>
      </c>
      <c r="BI38" s="684">
        <f>IF(BI$4="forecast",AVERAGE(AW38:BH38),'Dept. Cost Actuals'!BM721)</f>
        <v>24.189125896358405</v>
      </c>
      <c r="BJ38" s="684">
        <f>IF(BJ$4="forecast",AVERAGE(AX38:BI38),'Dept. Cost Actuals'!BN721)</f>
        <v>24.164262549819252</v>
      </c>
      <c r="BK38" s="684">
        <f>IF(BK$4="forecast",AVERAGE(AY38:BJ38),'Dept. Cost Actuals'!BO721)</f>
        <v>24.132179992846648</v>
      </c>
      <c r="BL38" s="684">
        <f>IF(BL$4="forecast",AVERAGE(AZ38:BK38),'Dept. Cost Actuals'!BP721)</f>
        <v>24.105589745964078</v>
      </c>
      <c r="BM38" s="684">
        <f>IF(BM$4="forecast",AVERAGE(BA38:BL38),'Dept. Cost Actuals'!BQ721)</f>
        <v>24.10051722153246</v>
      </c>
      <c r="BN38" s="684">
        <f>IF(BN$4="forecast",AVERAGE(BB38:BM38),'Dept. Cost Actuals'!BR721)</f>
        <v>24.111277669347004</v>
      </c>
      <c r="BO38" s="684">
        <f>IF(BO$4="forecast",AVERAGE(BC38:BN38),'Dept. Cost Actuals'!BS721)</f>
        <v>24.128169517373397</v>
      </c>
      <c r="BP38" s="684">
        <f>IF(BP$4="forecast",AVERAGE(BD38:BO38),'Dept. Cost Actuals'!BT721)</f>
        <v>24.138593526484367</v>
      </c>
      <c r="BQ38" s="684">
        <f>IF(BQ$4="forecast",AVERAGE(BE38:BP38),'Dept. Cost Actuals'!BU721)</f>
        <v>24.14118852244663</v>
      </c>
      <c r="BR38" s="684">
        <f>IF(BR$4="forecast",AVERAGE(BF38:BQ38),'Dept. Cost Actuals'!BV721)</f>
        <v>24.143412742078166</v>
      </c>
      <c r="BS38" s="684">
        <f>IF(BS$4="forecast",AVERAGE(BG38:BR38),'Dept. Cost Actuals'!BW721)</f>
        <v>24.144269936431424</v>
      </c>
      <c r="BT38" s="684">
        <f>IF(BT$4="forecast",AVERAGE(BH38:BS38),'Dept. Cost Actuals'!BX721)</f>
        <v>24.141289138402243</v>
      </c>
      <c r="BU38" s="684">
        <f>IF(BU$4="forecast",AVERAGE(BI38:BT38),'Dept. Cost Actuals'!BY721)</f>
        <v>24.136656371590345</v>
      </c>
      <c r="BV38" s="808">
        <f>IF(BV$4="forecast",AVERAGE(BJ38:BU38),'Dept. Cost Actuals'!BZ721)</f>
        <v>24.132283911192999</v>
      </c>
    </row>
    <row r="39" spans="2:74" x14ac:dyDescent="0.35">
      <c r="B39" s="816" t="s">
        <v>952</v>
      </c>
      <c r="C39" s="810">
        <f>IF(C$4="forecast",AVERAGE(#REF!),'Dept. Cost Actuals'!G758)</f>
        <v>0</v>
      </c>
      <c r="D39" s="810">
        <f>IF(D$4="forecast",AVERAGE(#REF!),'Dept. Cost Actuals'!H758)</f>
        <v>0</v>
      </c>
      <c r="E39" s="810">
        <f>IF(E$4="forecast",AVERAGE(#REF!),'Dept. Cost Actuals'!I758)</f>
        <v>0</v>
      </c>
      <c r="F39" s="810">
        <f>IF(F$4="forecast",AVERAGE(#REF!),'Dept. Cost Actuals'!J758)</f>
        <v>0</v>
      </c>
      <c r="G39" s="810">
        <f>IF(G$4="forecast",AVERAGE(#REF!),'Dept. Cost Actuals'!K758)</f>
        <v>8.9619604892281295</v>
      </c>
      <c r="H39" s="810">
        <f>IF(H$4="forecast",AVERAGE(#REF!),'Dept. Cost Actuals'!L758)</f>
        <v>53.4420280841032</v>
      </c>
      <c r="I39" s="810">
        <f>IF(I$4="forecast",AVERAGE(#REF!),'Dept. Cost Actuals'!M758)</f>
        <v>38.017327887725905</v>
      </c>
      <c r="J39" s="810">
        <f>IF(J$4="forecast",AVERAGE(#REF!),'Dept. Cost Actuals'!N758)</f>
        <v>0.44378214341557171</v>
      </c>
      <c r="K39" s="810">
        <f>IF(K$4="forecast",AVERAGE(#REF!),'Dept. Cost Actuals'!O758)</f>
        <v>0</v>
      </c>
      <c r="L39" s="810">
        <f>IF(L$4="forecast",AVERAGE(#REF!),'Dept. Cost Actuals'!P758)</f>
        <v>291.12041808904797</v>
      </c>
      <c r="M39" s="810">
        <f>IF(M$4="forecast",AVERAGE(A39:L39),'Dept. Cost Actuals'!Q758)</f>
        <v>39.300972212137147</v>
      </c>
      <c r="N39" s="810">
        <f>IF(N$4="forecast",AVERAGE(B39:M39),'Dept. Cost Actuals'!R758)</f>
        <v>204.85342322777717</v>
      </c>
      <c r="O39" s="810">
        <f>IF(O$4="forecast",AVERAGE(C39:N39),'Dept. Cost Actuals'!S758)</f>
        <v>0</v>
      </c>
      <c r="P39" s="810">
        <f>IF(P$4="forecast",AVERAGE(D39:O39),'Dept. Cost Actuals'!T758)</f>
        <v>21.89</v>
      </c>
      <c r="Q39" s="810">
        <f>IF(Q$4="forecast",AVERAGE(E39:P39),'Dept. Cost Actuals'!U758)</f>
        <v>0</v>
      </c>
      <c r="R39" s="810">
        <f>IF(R$4="forecast",AVERAGE(F39:Q39),'Dept. Cost Actuals'!V758)</f>
        <v>0</v>
      </c>
      <c r="S39" s="810">
        <f>IF(S$4="forecast",AVERAGE(G39:R39),'Dept. Cost Actuals'!W758)</f>
        <v>53.65</v>
      </c>
      <c r="T39" s="810">
        <f>IF(T$4="forecast",AVERAGE(H39:S39),'Dept. Cost Actuals'!X758)</f>
        <v>0</v>
      </c>
      <c r="U39" s="810">
        <f>IF(U$4="forecast",AVERAGE(I39:T39),'Dept. Cost Actuals'!Y758)</f>
        <v>0</v>
      </c>
      <c r="V39" s="810">
        <f>IF(V$4="forecast",AVERAGE(J39:U39),'Dept. Cost Actuals'!Z758)</f>
        <v>84.64</v>
      </c>
      <c r="W39" s="810">
        <f>IF(W$4="forecast",AVERAGE(K39:V39),'Dept. Cost Actuals'!AA758)</f>
        <v>0</v>
      </c>
      <c r="X39" s="810">
        <f>IF(X$4="forecast",AVERAGE(L39:W39),'Dept. Cost Actuals'!AB758)</f>
        <v>140.4</v>
      </c>
      <c r="Y39" s="810">
        <f>IF(Y$4="forecast",AVERAGE(M39:X39),'Dept. Cost Actuals'!AC758)</f>
        <v>0</v>
      </c>
      <c r="Z39" s="810">
        <f>IF(Z$4="forecast",AVERAGE(N39:Y39),'Dept. Cost Actuals'!AD758)</f>
        <v>0</v>
      </c>
      <c r="AA39" s="810">
        <f>IF(AA$4="forecast",SUM($O$39:$Z$39)/12+13200,'Dept. Cost Actuals'!AE590)</f>
        <v>13225.048333333334</v>
      </c>
      <c r="AB39" s="810">
        <f>IF(AB$4="forecast",SUM($O$39:$Z$39)/12+13200,'Dept. Cost Actuals'!AF590)</f>
        <v>13225.048333333334</v>
      </c>
      <c r="AC39" s="810">
        <f>IF(AC$4="forecast",SUM($O$39:$Z$39)/12+13200,'Dept. Cost Actuals'!AG590)</f>
        <v>13225.048333333334</v>
      </c>
      <c r="AD39" s="810">
        <f>IF(AD$4="forecast",SUM($O$39:$Z$39)/12+13200,'Dept. Cost Actuals'!AH590)</f>
        <v>13225.048333333334</v>
      </c>
      <c r="AE39" s="810">
        <f>IF(AE$4="forecast",SUM($O$39:$Z$39)/12+13200,'Dept. Cost Actuals'!AI590)</f>
        <v>13225.048333333334</v>
      </c>
      <c r="AF39" s="810">
        <f>IF(AF$4="forecast",SUM($O$39:$Z$39)/12+13200,'Dept. Cost Actuals'!AJ590)</f>
        <v>13225.048333333334</v>
      </c>
      <c r="AG39" s="810">
        <f>IF(AG$4="forecast",SUM($O$39:$Z$39)/12+13200,'Dept. Cost Actuals'!AK590)</f>
        <v>13225.048333333334</v>
      </c>
      <c r="AH39" s="810">
        <f>IF(AH$4="forecast",SUM($O$39:$Z$39)/12+13200,'Dept. Cost Actuals'!AL590)</f>
        <v>13225.048333333334</v>
      </c>
      <c r="AI39" s="810">
        <f>IF(AI$4="forecast",SUM($O$39:$Z$39)/12+13200,'Dept. Cost Actuals'!AM590)</f>
        <v>13225.048333333334</v>
      </c>
      <c r="AJ39" s="810">
        <f>IF(AJ$4="forecast",SUM($O$39:$Z$39)/12+13200,'Dept. Cost Actuals'!AN590)</f>
        <v>13225.048333333334</v>
      </c>
      <c r="AK39" s="810">
        <f>IF(AK$4="forecast",SUM($O$39:$Z$39)/12+13200,'Dept. Cost Actuals'!AO590)</f>
        <v>13225.048333333334</v>
      </c>
      <c r="AL39" s="810">
        <f>IF(AL$4="forecast",SUM($O$39:$Z$39)/12+13200,'Dept. Cost Actuals'!AP590)</f>
        <v>13225.048333333334</v>
      </c>
      <c r="AM39" s="810">
        <f>IF(AM$4="forecast",AVERAGE(AA39:AL39),'Dept. Cost Actuals'!AQ758)</f>
        <v>13225.048333333338</v>
      </c>
      <c r="AN39" s="810">
        <f>IF(AN$4="forecast",AVERAGE(AB39:AM39),'Dept. Cost Actuals'!AR758)</f>
        <v>13225.048333333338</v>
      </c>
      <c r="AO39" s="810">
        <f>IF(AO$4="forecast",AVERAGE(AC39:AN39),'Dept. Cost Actuals'!AS758)</f>
        <v>13225.048333333338</v>
      </c>
      <c r="AP39" s="810">
        <f>IF(AP$4="forecast",AVERAGE(AD39:AO39),'Dept. Cost Actuals'!AT758)</f>
        <v>13225.048333333338</v>
      </c>
      <c r="AQ39" s="810">
        <f>IF(AQ$4="forecast",AVERAGE(AE39:AP39),'Dept. Cost Actuals'!AU758)</f>
        <v>13225.048333333338</v>
      </c>
      <c r="AR39" s="810">
        <f>IF(AR$4="forecast",AVERAGE(AF39:AQ39),'Dept. Cost Actuals'!AV758)</f>
        <v>13225.048333333338</v>
      </c>
      <c r="AS39" s="810">
        <f>IF(AS$4="forecast",AVERAGE(AG39:AR39),'Dept. Cost Actuals'!AW758)</f>
        <v>13225.048333333338</v>
      </c>
      <c r="AT39" s="810">
        <f>IF(AT$4="forecast",AVERAGE(AH39:AS39),'Dept. Cost Actuals'!AX758)</f>
        <v>13225.048333333338</v>
      </c>
      <c r="AU39" s="810">
        <f>IF(AU$4="forecast",AVERAGE(AI39:AT39),'Dept. Cost Actuals'!AY758)</f>
        <v>13225.048333333338</v>
      </c>
      <c r="AV39" s="810">
        <f>IF(AV$4="forecast",AVERAGE(AJ39:AU39),'Dept. Cost Actuals'!AZ758)</f>
        <v>13225.048333333338</v>
      </c>
      <c r="AW39" s="810">
        <f>IF(AW$4="forecast",AVERAGE(AK39:AV39),'Dept. Cost Actuals'!BA758)</f>
        <v>13225.048333333338</v>
      </c>
      <c r="AX39" s="810">
        <f>IF(AX$4="forecast",AVERAGE(AL39:AW39),'Dept. Cost Actuals'!BB758)</f>
        <v>13225.048333333338</v>
      </c>
      <c r="AY39" s="810">
        <f>IF(AY$4="forecast",AVERAGE(AM39:AX39),'Dept. Cost Actuals'!BC758)</f>
        <v>13225.048333333338</v>
      </c>
      <c r="AZ39" s="810">
        <f>IF(AZ$4="forecast",AVERAGE(AN39:AY39),'Dept. Cost Actuals'!BD758)</f>
        <v>13225.048333333338</v>
      </c>
      <c r="BA39" s="810">
        <f>IF(BA$4="forecast",AVERAGE(AO39:AZ39),'Dept. Cost Actuals'!BE758)</f>
        <v>13225.048333333338</v>
      </c>
      <c r="BB39" s="810">
        <f>IF(BB$4="forecast",AVERAGE(AP39:BA39),'Dept. Cost Actuals'!BF758)</f>
        <v>13225.048333333338</v>
      </c>
      <c r="BC39" s="810">
        <f>IF(BC$4="forecast",AVERAGE(AQ39:BB39),'Dept. Cost Actuals'!BG758)</f>
        <v>13225.048333333338</v>
      </c>
      <c r="BD39" s="810">
        <f>IF(BD$4="forecast",AVERAGE(AR39:BC39),'Dept. Cost Actuals'!BH758)</f>
        <v>13225.048333333338</v>
      </c>
      <c r="BE39" s="810">
        <f>IF(BE$4="forecast",AVERAGE(AS39:BD39),'Dept. Cost Actuals'!BI758)</f>
        <v>13225.048333333338</v>
      </c>
      <c r="BF39" s="810">
        <f>IF(BF$4="forecast",AVERAGE(AT39:BE39),'Dept. Cost Actuals'!BJ758)</f>
        <v>13225.048333333338</v>
      </c>
      <c r="BG39" s="810">
        <f>IF(BG$4="forecast",AVERAGE(AU39:BF39),'Dept. Cost Actuals'!BK758)</f>
        <v>13225.048333333338</v>
      </c>
      <c r="BH39" s="810">
        <f>IF(BH$4="forecast",AVERAGE(AV39:BG39),'Dept. Cost Actuals'!BL758)</f>
        <v>13225.048333333338</v>
      </c>
      <c r="BI39" s="810">
        <f>IF(BI$4="forecast",AVERAGE(AW39:BH39),'Dept. Cost Actuals'!BM758)</f>
        <v>13225.048333333338</v>
      </c>
      <c r="BJ39" s="810">
        <f>IF(BJ$4="forecast",AVERAGE(AX39:BI39),'Dept. Cost Actuals'!BN758)</f>
        <v>13225.048333333338</v>
      </c>
      <c r="BK39" s="810">
        <f>IF(BK$4="forecast",AVERAGE(AY39:BJ39),'Dept. Cost Actuals'!BO758)</f>
        <v>13225.048333333338</v>
      </c>
      <c r="BL39" s="810">
        <f>IF(BL$4="forecast",AVERAGE(AZ39:BK39),'Dept. Cost Actuals'!BP758)</f>
        <v>13225.048333333338</v>
      </c>
      <c r="BM39" s="810">
        <f>IF(BM$4="forecast",AVERAGE(BA39:BL39),'Dept. Cost Actuals'!BQ758)</f>
        <v>13225.048333333338</v>
      </c>
      <c r="BN39" s="810">
        <f>IF(BN$4="forecast",AVERAGE(BB39:BM39),'Dept. Cost Actuals'!BR758)</f>
        <v>13225.048333333338</v>
      </c>
      <c r="BO39" s="810">
        <f>IF(BO$4="forecast",AVERAGE(BC39:BN39),'Dept. Cost Actuals'!BS758)</f>
        <v>13225.048333333338</v>
      </c>
      <c r="BP39" s="810">
        <f>IF(BP$4="forecast",AVERAGE(BD39:BO39),'Dept. Cost Actuals'!BT758)</f>
        <v>13225.048333333338</v>
      </c>
      <c r="BQ39" s="810">
        <f>IF(BQ$4="forecast",AVERAGE(BE39:BP39),'Dept. Cost Actuals'!BU758)</f>
        <v>13225.048333333338</v>
      </c>
      <c r="BR39" s="810">
        <f>IF(BR$4="forecast",AVERAGE(BF39:BQ39),'Dept. Cost Actuals'!BV758)</f>
        <v>13225.048333333338</v>
      </c>
      <c r="BS39" s="810">
        <f>IF(BS$4="forecast",AVERAGE(BG39:BR39),'Dept. Cost Actuals'!BW758)</f>
        <v>13225.048333333338</v>
      </c>
      <c r="BT39" s="810">
        <f>IF(BT$4="forecast",AVERAGE(BH39:BS39),'Dept. Cost Actuals'!BX758)</f>
        <v>13225.048333333338</v>
      </c>
      <c r="BU39" s="810">
        <f>IF(BU$4="forecast",AVERAGE(BI39:BT39),'Dept. Cost Actuals'!BY758)</f>
        <v>13225.048333333338</v>
      </c>
      <c r="BV39" s="817">
        <f>IF(BV$4="forecast",AVERAGE(BJ39:BU39),'Dept. Cost Actuals'!BZ758)</f>
        <v>13225.048333333338</v>
      </c>
    </row>
    <row r="40" spans="2:74" x14ac:dyDescent="0.35">
      <c r="B40" s="818" t="s">
        <v>953</v>
      </c>
      <c r="C40" s="819">
        <f>SUM(C29:C39,)</f>
        <v>6934.0674478471528</v>
      </c>
      <c r="D40" s="819">
        <f t="shared" ref="D40:BO40" si="9">SUM(D29:D39,)</f>
        <v>8407.5830130789436</v>
      </c>
      <c r="E40" s="819">
        <f t="shared" si="9"/>
        <v>4312.6156778622926</v>
      </c>
      <c r="F40" s="819">
        <f t="shared" si="9"/>
        <v>7272.6691738235186</v>
      </c>
      <c r="G40" s="819">
        <f t="shared" si="9"/>
        <v>7523.9603953247961</v>
      </c>
      <c r="H40" s="819">
        <f t="shared" si="9"/>
        <v>8551.747456513971</v>
      </c>
      <c r="I40" s="819">
        <f t="shared" si="9"/>
        <v>9046.3567868171813</v>
      </c>
      <c r="J40" s="819">
        <f t="shared" si="9"/>
        <v>9803.0780953572157</v>
      </c>
      <c r="K40" s="819">
        <f t="shared" si="9"/>
        <v>9027.3774377276495</v>
      </c>
      <c r="L40" s="819">
        <f t="shared" si="9"/>
        <v>10529.652177003907</v>
      </c>
      <c r="M40" s="819">
        <f t="shared" si="9"/>
        <v>12991.930995654197</v>
      </c>
      <c r="N40" s="819">
        <f t="shared" si="9"/>
        <v>7970.3215404739203</v>
      </c>
      <c r="O40" s="819">
        <f t="shared" si="9"/>
        <v>17610.39</v>
      </c>
      <c r="P40" s="819">
        <f t="shared" si="9"/>
        <v>2461.89</v>
      </c>
      <c r="Q40" s="819">
        <f t="shared" si="9"/>
        <v>17790.07</v>
      </c>
      <c r="R40" s="819">
        <f t="shared" si="9"/>
        <v>22055.95</v>
      </c>
      <c r="S40" s="819">
        <f t="shared" si="9"/>
        <v>26980.030000000002</v>
      </c>
      <c r="T40" s="819">
        <f t="shared" si="9"/>
        <v>6025.51</v>
      </c>
      <c r="U40" s="819">
        <f t="shared" si="9"/>
        <v>46668.21</v>
      </c>
      <c r="V40" s="819">
        <f t="shared" si="9"/>
        <v>36113.49</v>
      </c>
      <c r="W40" s="819">
        <f t="shared" si="9"/>
        <v>33684.61</v>
      </c>
      <c r="X40" s="819">
        <f t="shared" si="9"/>
        <v>33348.94</v>
      </c>
      <c r="Y40" s="819">
        <f t="shared" si="9"/>
        <v>32946.68</v>
      </c>
      <c r="Z40" s="819">
        <f t="shared" si="9"/>
        <v>40854.35</v>
      </c>
      <c r="AA40" s="819">
        <f t="shared" si="9"/>
        <v>13561.440833333334</v>
      </c>
      <c r="AB40" s="819">
        <f t="shared" si="9"/>
        <v>13571.936041666668</v>
      </c>
      <c r="AC40" s="819">
        <f t="shared" si="9"/>
        <v>13597.093350694446</v>
      </c>
      <c r="AD40" s="819">
        <f t="shared" si="9"/>
        <v>13584.145435474538</v>
      </c>
      <c r="AE40" s="819">
        <f t="shared" si="9"/>
        <v>13596.570193986305</v>
      </c>
      <c r="AF40" s="819">
        <f t="shared" si="9"/>
        <v>13583.528682374052</v>
      </c>
      <c r="AG40" s="819">
        <f t="shared" si="9"/>
        <v>13611.276211460779</v>
      </c>
      <c r="AH40" s="819">
        <f t="shared" si="9"/>
        <v>13611.107701304732</v>
      </c>
      <c r="AI40" s="819">
        <f t="shared" si="9"/>
        <v>13557.703481969016</v>
      </c>
      <c r="AJ40" s="819">
        <f t="shared" si="9"/>
        <v>13511.993911021989</v>
      </c>
      <c r="AK40" s="819">
        <f t="shared" si="9"/>
        <v>13533.406042496044</v>
      </c>
      <c r="AL40" s="819">
        <f t="shared" si="9"/>
        <v>13550.230018259603</v>
      </c>
      <c r="AM40" s="819">
        <f t="shared" si="9"/>
        <v>13572.535992003463</v>
      </c>
      <c r="AN40" s="819">
        <f t="shared" si="9"/>
        <v>13573.460588559306</v>
      </c>
      <c r="AO40" s="819">
        <f t="shared" si="9"/>
        <v>13573.587634133692</v>
      </c>
      <c r="AP40" s="819">
        <f t="shared" si="9"/>
        <v>13571.628824420295</v>
      </c>
      <c r="AQ40" s="819">
        <f t="shared" si="9"/>
        <v>13570.58577349911</v>
      </c>
      <c r="AR40" s="819">
        <f t="shared" si="9"/>
        <v>13568.420405125176</v>
      </c>
      <c r="AS40" s="819">
        <f t="shared" si="9"/>
        <v>13567.161382021102</v>
      </c>
      <c r="AT40" s="819">
        <f t="shared" si="9"/>
        <v>13563.485146234461</v>
      </c>
      <c r="AU40" s="819">
        <f t="shared" si="9"/>
        <v>13559.516599978606</v>
      </c>
      <c r="AV40" s="819">
        <f t="shared" si="9"/>
        <v>13559.667693146072</v>
      </c>
      <c r="AW40" s="819">
        <f t="shared" si="9"/>
        <v>13563.640508323078</v>
      </c>
      <c r="AX40" s="819">
        <f t="shared" si="9"/>
        <v>13566.160047141997</v>
      </c>
      <c r="AY40" s="819">
        <f t="shared" si="9"/>
        <v>13567.487549548863</v>
      </c>
      <c r="AZ40" s="819">
        <f t="shared" si="9"/>
        <v>13567.066846010979</v>
      </c>
      <c r="BA40" s="819">
        <f t="shared" si="9"/>
        <v>13566.534034131953</v>
      </c>
      <c r="BB40" s="819">
        <f t="shared" si="9"/>
        <v>13565.946234131809</v>
      </c>
      <c r="BC40" s="819">
        <f t="shared" si="9"/>
        <v>13565.4726849411</v>
      </c>
      <c r="BD40" s="819">
        <f t="shared" si="9"/>
        <v>13565.046594227933</v>
      </c>
      <c r="BE40" s="819">
        <f t="shared" si="9"/>
        <v>13564.76544331983</v>
      </c>
      <c r="BF40" s="819">
        <f t="shared" si="9"/>
        <v>13564.56578176139</v>
      </c>
      <c r="BG40" s="819">
        <f t="shared" si="9"/>
        <v>13564.655834721967</v>
      </c>
      <c r="BH40" s="819">
        <f t="shared" si="9"/>
        <v>13565.084104283915</v>
      </c>
      <c r="BI40" s="819">
        <f t="shared" si="9"/>
        <v>13565.535471878735</v>
      </c>
      <c r="BJ40" s="819">
        <f t="shared" si="9"/>
        <v>13565.693385508372</v>
      </c>
      <c r="BK40" s="819">
        <f t="shared" si="9"/>
        <v>13565.654497038904</v>
      </c>
      <c r="BL40" s="819">
        <f t="shared" si="9"/>
        <v>13565.501742663073</v>
      </c>
      <c r="BM40" s="819">
        <f t="shared" si="9"/>
        <v>13565.371317384082</v>
      </c>
      <c r="BN40" s="819">
        <f t="shared" si="9"/>
        <v>13565.274424321758</v>
      </c>
      <c r="BO40" s="819">
        <f t="shared" si="9"/>
        <v>13565.218440170922</v>
      </c>
      <c r="BP40" s="819">
        <f t="shared" ref="BP40:BV40" si="10">SUM(BP29:BP39,)</f>
        <v>13565.19725310674</v>
      </c>
      <c r="BQ40" s="819">
        <f t="shared" si="10"/>
        <v>13565.209808013307</v>
      </c>
      <c r="BR40" s="819">
        <f t="shared" si="10"/>
        <v>13565.246838404431</v>
      </c>
      <c r="BS40" s="819">
        <f t="shared" si="10"/>
        <v>13565.303593124683</v>
      </c>
      <c r="BT40" s="819">
        <f t="shared" si="10"/>
        <v>13565.357572991577</v>
      </c>
      <c r="BU40" s="819">
        <f t="shared" si="10"/>
        <v>13565.38036205055</v>
      </c>
      <c r="BV40" s="820">
        <f t="shared" si="10"/>
        <v>13565.367436231534</v>
      </c>
    </row>
    <row r="41" spans="2:74" x14ac:dyDescent="0.35">
      <c r="B41" s="800"/>
      <c r="C41" s="157"/>
      <c r="D41" s="157"/>
      <c r="E41" s="157"/>
      <c r="F41" s="157"/>
      <c r="G41" s="157"/>
      <c r="H41" s="157"/>
      <c r="I41" s="157"/>
      <c r="J41" s="157"/>
      <c r="K41" s="157"/>
      <c r="L41" s="157"/>
      <c r="M41" s="157"/>
      <c r="N41" s="157"/>
      <c r="O41" s="157"/>
      <c r="P41" s="157"/>
      <c r="Q41" s="157"/>
      <c r="R41" s="157"/>
      <c r="S41" s="157"/>
      <c r="T41" s="157"/>
      <c r="U41" s="157"/>
      <c r="V41" s="157"/>
      <c r="W41" s="157"/>
      <c r="X41" s="157"/>
      <c r="Y41" s="157"/>
      <c r="Z41" s="157"/>
      <c r="AA41" s="157"/>
      <c r="AB41" s="157"/>
      <c r="AC41" s="157"/>
      <c r="AD41" s="157"/>
      <c r="AE41" s="157"/>
      <c r="AF41" s="157"/>
      <c r="AG41" s="157"/>
      <c r="AH41" s="157"/>
      <c r="AI41" s="157"/>
      <c r="AJ41" s="157"/>
      <c r="AK41" s="157"/>
      <c r="AL41" s="157"/>
      <c r="AM41" s="157"/>
      <c r="AN41" s="157"/>
      <c r="AO41" s="157"/>
      <c r="AP41" s="157"/>
      <c r="AQ41" s="157"/>
      <c r="AR41" s="157"/>
      <c r="AS41" s="157"/>
      <c r="AT41" s="157"/>
      <c r="AU41" s="157"/>
      <c r="AV41" s="157"/>
      <c r="AW41" s="157"/>
      <c r="AX41" s="157"/>
      <c r="AY41" s="157"/>
      <c r="AZ41" s="157"/>
      <c r="BA41" s="157"/>
      <c r="BB41" s="157"/>
      <c r="BC41" s="157"/>
      <c r="BD41" s="157"/>
      <c r="BE41" s="157"/>
      <c r="BF41" s="157"/>
      <c r="BG41" s="157"/>
      <c r="BH41" s="157"/>
      <c r="BI41" s="157"/>
      <c r="BJ41" s="157"/>
      <c r="BK41" s="157"/>
      <c r="BL41" s="157"/>
      <c r="BM41" s="157"/>
      <c r="BN41" s="157"/>
      <c r="BO41" s="157"/>
      <c r="BP41" s="157"/>
      <c r="BQ41" s="157"/>
      <c r="BR41" s="157"/>
      <c r="BS41" s="157"/>
      <c r="BT41" s="157"/>
      <c r="BU41" s="157"/>
      <c r="BV41" s="801"/>
    </row>
    <row r="42" spans="2:74" x14ac:dyDescent="0.35">
      <c r="B42" s="874" t="s">
        <v>492</v>
      </c>
      <c r="C42" s="875">
        <f>C40+C26</f>
        <v>28943.578516304373</v>
      </c>
      <c r="D42" s="875">
        <f t="shared" ref="D42:BO42" si="11">D40+D26</f>
        <v>29079.563730306723</v>
      </c>
      <c r="E42" s="875">
        <f t="shared" si="11"/>
        <v>24819.139786408174</v>
      </c>
      <c r="F42" s="875">
        <f t="shared" si="11"/>
        <v>32844.077355897251</v>
      </c>
      <c r="G42" s="875">
        <f t="shared" si="11"/>
        <v>30786.256807925729</v>
      </c>
      <c r="H42" s="875">
        <f t="shared" si="11"/>
        <v>42173.656929524739</v>
      </c>
      <c r="I42" s="875">
        <f t="shared" si="11"/>
        <v>31775.717145368861</v>
      </c>
      <c r="J42" s="875">
        <f t="shared" si="11"/>
        <v>37208.022435633844</v>
      </c>
      <c r="K42" s="875">
        <f t="shared" si="11"/>
        <v>32910.646091064045</v>
      </c>
      <c r="L42" s="875">
        <f t="shared" si="11"/>
        <v>39468.748845036083</v>
      </c>
      <c r="M42" s="875">
        <f t="shared" si="11"/>
        <v>67613.394059981321</v>
      </c>
      <c r="N42" s="875">
        <f t="shared" si="11"/>
        <v>60347.645020890588</v>
      </c>
      <c r="O42" s="875">
        <f t="shared" si="11"/>
        <v>64271.12</v>
      </c>
      <c r="P42" s="875">
        <f t="shared" si="11"/>
        <v>36298.019999999997</v>
      </c>
      <c r="Q42" s="875">
        <f t="shared" si="11"/>
        <v>74363.14</v>
      </c>
      <c r="R42" s="875">
        <f t="shared" si="11"/>
        <v>62930.59</v>
      </c>
      <c r="S42" s="875">
        <f t="shared" si="11"/>
        <v>98229.38</v>
      </c>
      <c r="T42" s="875">
        <f t="shared" si="11"/>
        <v>82536.099999999991</v>
      </c>
      <c r="U42" s="875">
        <f t="shared" si="11"/>
        <v>109144.36000000002</v>
      </c>
      <c r="V42" s="875">
        <f t="shared" si="11"/>
        <v>108269.14000000001</v>
      </c>
      <c r="W42" s="875">
        <f t="shared" si="11"/>
        <v>95859.44</v>
      </c>
      <c r="X42" s="875">
        <f t="shared" si="11"/>
        <v>108845.75</v>
      </c>
      <c r="Y42" s="875">
        <f t="shared" si="11"/>
        <v>100954.27000000002</v>
      </c>
      <c r="Z42" s="875">
        <f t="shared" si="11"/>
        <v>168235.82</v>
      </c>
      <c r="AA42" s="875">
        <f t="shared" si="11"/>
        <v>84161.439775000006</v>
      </c>
      <c r="AB42" s="875">
        <f t="shared" si="11"/>
        <v>107531.45095555557</v>
      </c>
      <c r="AC42" s="875">
        <f t="shared" si="11"/>
        <v>107820.80334560186</v>
      </c>
      <c r="AD42" s="875">
        <f t="shared" si="11"/>
        <v>107910.08093481867</v>
      </c>
      <c r="AE42" s="875">
        <f t="shared" si="11"/>
        <v>108136.3958231369</v>
      </c>
      <c r="AF42" s="875">
        <f t="shared" si="11"/>
        <v>108267.66861881496</v>
      </c>
      <c r="AG42" s="875">
        <f t="shared" si="11"/>
        <v>108702.26914746621</v>
      </c>
      <c r="AH42" s="875">
        <f t="shared" si="11"/>
        <v>109037.3988868384</v>
      </c>
      <c r="AI42" s="875">
        <f t="shared" si="11"/>
        <v>109211.19777115827</v>
      </c>
      <c r="AJ42" s="875">
        <f t="shared" si="11"/>
        <v>109548.02572917147</v>
      </c>
      <c r="AK42" s="875">
        <f t="shared" si="11"/>
        <v>109465.30351701909</v>
      </c>
      <c r="AL42" s="875">
        <f t="shared" si="11"/>
        <v>314686.9436205207</v>
      </c>
      <c r="AM42" s="875">
        <f t="shared" si="11"/>
        <v>109196.1579933974</v>
      </c>
      <c r="AN42" s="875">
        <f t="shared" si="11"/>
        <v>130403.95867202079</v>
      </c>
      <c r="AO42" s="875">
        <f t="shared" si="11"/>
        <v>130497.86898880667</v>
      </c>
      <c r="AP42" s="875">
        <f t="shared" si="11"/>
        <v>130575.51015963417</v>
      </c>
      <c r="AQ42" s="875">
        <f t="shared" si="11"/>
        <v>130652.20094431157</v>
      </c>
      <c r="AR42" s="875">
        <f t="shared" si="11"/>
        <v>130716.44413964461</v>
      </c>
      <c r="AS42" s="875">
        <f t="shared" si="11"/>
        <v>130775.12455378754</v>
      </c>
      <c r="AT42" s="875">
        <f t="shared" si="11"/>
        <v>130802.50342062027</v>
      </c>
      <c r="AU42" s="875">
        <f t="shared" si="11"/>
        <v>130804.26381378928</v>
      </c>
      <c r="AV42" s="875">
        <f t="shared" si="11"/>
        <v>130791.71761304521</v>
      </c>
      <c r="AW42" s="875">
        <f t="shared" si="11"/>
        <v>130750.0895912307</v>
      </c>
      <c r="AX42" s="875">
        <f t="shared" si="11"/>
        <v>370054.55677421833</v>
      </c>
      <c r="AY42" s="875">
        <f t="shared" si="11"/>
        <v>137322.00924683985</v>
      </c>
      <c r="AZ42" s="875">
        <f t="shared" si="11"/>
        <v>140979.17122190606</v>
      </c>
      <c r="BA42" s="875">
        <f t="shared" si="11"/>
        <v>141004.57982696529</v>
      </c>
      <c r="BB42" s="875">
        <f t="shared" si="11"/>
        <v>141024.29377005633</v>
      </c>
      <c r="BC42" s="875">
        <f t="shared" si="11"/>
        <v>141039.19390256016</v>
      </c>
      <c r="BD42" s="875">
        <f t="shared" si="11"/>
        <v>141048.95773554945</v>
      </c>
      <c r="BE42" s="875">
        <f t="shared" si="11"/>
        <v>141054.19379476795</v>
      </c>
      <c r="BF42" s="875">
        <f t="shared" si="11"/>
        <v>141054.98733664045</v>
      </c>
      <c r="BG42" s="875">
        <f t="shared" si="11"/>
        <v>141053.5753349138</v>
      </c>
      <c r="BH42" s="875">
        <f t="shared" si="11"/>
        <v>141051.90725997198</v>
      </c>
      <c r="BI42" s="875">
        <f t="shared" si="11"/>
        <v>141051.15200359077</v>
      </c>
      <c r="BJ42" s="875">
        <f t="shared" si="11"/>
        <v>387576.72075053176</v>
      </c>
      <c r="BK42" s="875">
        <f t="shared" si="11"/>
        <v>141059.86424822651</v>
      </c>
      <c r="BL42" s="875">
        <f t="shared" si="11"/>
        <v>144839.6363013373</v>
      </c>
      <c r="BM42" s="875">
        <f t="shared" si="11"/>
        <v>144847.61776483097</v>
      </c>
      <c r="BN42" s="875">
        <f t="shared" si="11"/>
        <v>144854.15613095276</v>
      </c>
      <c r="BO42" s="875">
        <f t="shared" si="11"/>
        <v>144859.6052705406</v>
      </c>
      <c r="BP42" s="875">
        <f t="shared" ref="BP42:BV42" si="12">BP40+BP26</f>
        <v>144864.27513291594</v>
      </c>
      <c r="BQ42" s="875">
        <f t="shared" si="12"/>
        <v>144868.52838014014</v>
      </c>
      <c r="BR42" s="875">
        <f t="shared" si="12"/>
        <v>144872.7072154514</v>
      </c>
      <c r="BS42" s="875">
        <f t="shared" si="12"/>
        <v>144877.17530940322</v>
      </c>
      <c r="BT42" s="875">
        <f t="shared" si="12"/>
        <v>144882.14031016361</v>
      </c>
      <c r="BU42" s="875">
        <f t="shared" si="12"/>
        <v>144887.66483826708</v>
      </c>
      <c r="BV42" s="876">
        <f t="shared" si="12"/>
        <v>398812.32096671656</v>
      </c>
    </row>
    <row r="43" spans="2:74" x14ac:dyDescent="0.35">
      <c r="O43" s="625"/>
      <c r="P43" s="625"/>
      <c r="Q43" s="625"/>
      <c r="R43" s="625"/>
      <c r="S43" s="625"/>
      <c r="T43" s="625"/>
      <c r="U43" s="625"/>
      <c r="V43" s="625"/>
      <c r="W43" s="625"/>
      <c r="X43" s="625"/>
      <c r="Y43" s="625"/>
      <c r="Z43" s="625"/>
      <c r="AA43" s="625"/>
      <c r="AB43" s="625"/>
      <c r="AC43" s="625"/>
      <c r="AD43" s="625"/>
      <c r="AE43" s="625"/>
      <c r="AF43" s="625"/>
      <c r="AG43" s="625"/>
      <c r="AH43" s="625"/>
      <c r="AI43" s="625"/>
      <c r="AJ43" s="625"/>
      <c r="AK43" s="625"/>
      <c r="AL43" s="625"/>
      <c r="AM43" s="625"/>
      <c r="AN43" s="625"/>
      <c r="AO43" s="625"/>
      <c r="AP43" s="625"/>
      <c r="AQ43" s="625"/>
      <c r="AR43" s="625"/>
      <c r="AS43" s="625"/>
      <c r="AT43" s="625"/>
      <c r="AU43" s="625"/>
      <c r="AV43" s="625"/>
      <c r="AW43" s="625"/>
      <c r="AX43" s="625"/>
      <c r="AY43" s="625"/>
      <c r="AZ43" s="625"/>
      <c r="BA43" s="625"/>
    </row>
    <row r="44" spans="2:74" x14ac:dyDescent="0.35">
      <c r="O44" s="575"/>
      <c r="P44" s="575"/>
      <c r="Q44" s="575"/>
      <c r="R44" s="575"/>
      <c r="S44" s="575"/>
      <c r="T44" s="575"/>
      <c r="U44" s="575"/>
      <c r="V44" s="575"/>
      <c r="W44" s="575"/>
      <c r="X44" s="575"/>
      <c r="Y44" s="575"/>
      <c r="Z44" s="575"/>
      <c r="AA44" s="575"/>
      <c r="AB44" s="575"/>
      <c r="AC44" s="575"/>
      <c r="AD44" s="575"/>
      <c r="AE44" s="575"/>
      <c r="AF44" s="575"/>
      <c r="AG44" s="575"/>
      <c r="AH44" s="575"/>
      <c r="AI44" s="575"/>
      <c r="AJ44" s="575"/>
      <c r="AK44" s="575"/>
      <c r="AL44" s="575"/>
      <c r="AM44" s="575"/>
      <c r="AN44" s="575"/>
      <c r="AO44" s="575"/>
      <c r="AP44" s="575"/>
      <c r="AQ44" s="575"/>
      <c r="AR44" s="575"/>
      <c r="AS44" s="575"/>
      <c r="AT44" s="575"/>
      <c r="AU44" s="575"/>
      <c r="AV44" s="575"/>
      <c r="AW44" s="575"/>
      <c r="AX44" s="575"/>
      <c r="AY44" s="575"/>
      <c r="AZ44" s="575"/>
      <c r="BA44" s="575"/>
      <c r="BB44" s="575"/>
      <c r="BC44" s="575"/>
      <c r="BD44" s="575"/>
      <c r="BE44" s="575"/>
      <c r="BF44" s="575"/>
      <c r="BG44" s="575"/>
      <c r="BH44" s="575"/>
      <c r="BI44" s="575"/>
      <c r="BJ44" s="575"/>
    </row>
    <row r="45" spans="2:74" x14ac:dyDescent="0.35">
      <c r="M45" s="152"/>
      <c r="N45" s="152"/>
      <c r="O45" s="152"/>
      <c r="P45" s="152"/>
      <c r="Q45" s="152"/>
      <c r="R45" s="152"/>
      <c r="S45" s="152"/>
      <c r="T45" s="152"/>
      <c r="U45" s="152"/>
      <c r="V45" s="152"/>
      <c r="W45" s="152"/>
      <c r="X45" s="152"/>
      <c r="Y45" s="152"/>
      <c r="Z45" s="152"/>
      <c r="AA45" s="152"/>
      <c r="AB45" s="152"/>
      <c r="AC45" s="152"/>
      <c r="AD45" s="152"/>
      <c r="AE45" s="152"/>
      <c r="AF45" s="152"/>
      <c r="AG45" s="152"/>
      <c r="AH45" s="152"/>
      <c r="AI45" s="152"/>
      <c r="AJ45" s="152"/>
      <c r="AK45" s="152"/>
      <c r="AL45" s="152"/>
      <c r="AM45" s="152"/>
      <c r="AN45" s="152"/>
      <c r="AO45" s="152"/>
      <c r="AP45" s="152"/>
    </row>
    <row r="46" spans="2:74" x14ac:dyDescent="0.35">
      <c r="AN46" s="152"/>
    </row>
  </sheetData>
  <conditionalFormatting sqref="AA4:BV4">
    <cfRule type="containsText" dxfId="241" priority="5" operator="containsText" text="actual">
      <formula>NOT(ISERROR(SEARCH("actual",AA4)))</formula>
    </cfRule>
    <cfRule type="containsText" dxfId="240" priority="6" operator="containsText" text="forecast">
      <formula>NOT(ISERROR(SEARCH("forecast",AA4)))</formula>
    </cfRule>
  </conditionalFormatting>
  <conditionalFormatting sqref="C4:Z4">
    <cfRule type="containsText" dxfId="239" priority="3" operator="containsText" text="actual">
      <formula>NOT(ISERROR(SEARCH("actual",C4)))</formula>
    </cfRule>
    <cfRule type="containsText" dxfId="238" priority="4" operator="containsText" text="forecast">
      <formula>NOT(ISERROR(SEARCH("forecast",C4)))</formula>
    </cfRule>
  </conditionalFormatting>
  <conditionalFormatting sqref="B4">
    <cfRule type="containsText" dxfId="237" priority="1" operator="containsText" text="actual">
      <formula>NOT(ISERROR(SEARCH("actual",B4)))</formula>
    </cfRule>
    <cfRule type="containsText" dxfId="236" priority="2" operator="containsText" text="forecast">
      <formula>NOT(ISERROR(SEARCH("forecast",B4)))</formula>
    </cfRule>
  </conditionalFormatting>
  <pageMargins left="0.7" right="0.7" top="0.75" bottom="0.75" header="0.3" footer="0.3"/>
  <pageSetup orientation="portrait" horizontalDpi="0" verticalDpi="0" r:id="rId1"/>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V46"/>
  <sheetViews>
    <sheetView zoomScale="90" zoomScaleNormal="90" workbookViewId="0">
      <pane xSplit="2" ySplit="4" topLeftCell="C14" activePane="bottomRight" state="frozen"/>
      <selection activeCell="AM18" sqref="AM18:AX18"/>
      <selection pane="topRight" activeCell="AM18" sqref="AM18:AX18"/>
      <selection pane="bottomLeft" activeCell="AM18" sqref="AM18:AX18"/>
      <selection pane="bottomRight" activeCell="AM18" sqref="AM18:AX18"/>
    </sheetView>
  </sheetViews>
  <sheetFormatPr defaultColWidth="9.1796875" defaultRowHeight="14.5" outlineLevelCol="1" x14ac:dyDescent="0.35"/>
  <cols>
    <col min="1" max="1" width="2" style="574" customWidth="1"/>
    <col min="2" max="2" width="27.453125" style="574" bestFit="1" customWidth="1"/>
    <col min="3" max="3" width="12.7265625" style="574" customWidth="1"/>
    <col min="4" max="7" width="12.7265625" style="574" hidden="1" customWidth="1" outlineLevel="1"/>
    <col min="8" max="12" width="16.453125" style="574" hidden="1" customWidth="1" outlineLevel="1"/>
    <col min="13" max="13" width="19.26953125" style="574" hidden="1" customWidth="1" outlineLevel="1"/>
    <col min="14" max="14" width="16.453125" style="574" customWidth="1" collapsed="1"/>
    <col min="15" max="15" width="12.7265625" style="574" bestFit="1" customWidth="1"/>
    <col min="16" max="18" width="12.7265625" style="574" customWidth="1" outlineLevel="1"/>
    <col min="19" max="19" width="12.1796875" style="574" customWidth="1" outlineLevel="1"/>
    <col min="20" max="25" width="12.26953125" style="574" customWidth="1" outlineLevel="1"/>
    <col min="26" max="26" width="12.26953125" style="574" bestFit="1" customWidth="1"/>
    <col min="27" max="27" width="12.26953125" style="574" customWidth="1"/>
    <col min="28" max="29" width="13.26953125" style="574" customWidth="1" outlineLevel="1"/>
    <col min="30" max="35" width="10.7265625" style="574" customWidth="1" outlineLevel="1"/>
    <col min="36" max="37" width="11.81640625" style="574" customWidth="1" outlineLevel="1"/>
    <col min="38" max="39" width="13.26953125" style="574" customWidth="1"/>
    <col min="40" max="47" width="10.7265625" style="574" hidden="1" customWidth="1" outlineLevel="1"/>
    <col min="48" max="49" width="11.81640625" style="574" hidden="1" customWidth="1" outlineLevel="1"/>
    <col min="50" max="50" width="11.81640625" style="574" customWidth="1" collapsed="1"/>
    <col min="51" max="51" width="10.7265625" style="574" bestFit="1" customWidth="1"/>
    <col min="52" max="57" width="10.7265625" style="574" hidden="1" customWidth="1" outlineLevel="1"/>
    <col min="58" max="61" width="13.26953125" style="574" hidden="1" customWidth="1" outlineLevel="1"/>
    <col min="62" max="62" width="13.26953125" style="574" bestFit="1" customWidth="1" collapsed="1"/>
    <col min="63" max="63" width="13" style="574" bestFit="1" customWidth="1"/>
    <col min="64" max="73" width="13" style="574" hidden="1" customWidth="1" outlineLevel="1"/>
    <col min="74" max="74" width="13" style="574" bestFit="1" customWidth="1" collapsed="1"/>
    <col min="75" max="16384" width="9.1796875" style="574"/>
  </cols>
  <sheetData>
    <row r="2" spans="2:74" x14ac:dyDescent="0.35">
      <c r="B2" s="652" t="s">
        <v>1080</v>
      </c>
      <c r="C2" s="652"/>
      <c r="D2" s="652"/>
      <c r="E2" s="652"/>
      <c r="F2" s="652"/>
      <c r="G2" s="652"/>
      <c r="H2" s="652"/>
      <c r="I2" s="652"/>
      <c r="J2" s="652"/>
      <c r="K2" s="652"/>
      <c r="L2" s="652"/>
      <c r="M2" s="652"/>
      <c r="N2" s="652"/>
    </row>
    <row r="3" spans="2:74" x14ac:dyDescent="0.35">
      <c r="B3" s="788" t="s">
        <v>931</v>
      </c>
      <c r="C3" s="789">
        <v>40939</v>
      </c>
      <c r="D3" s="789">
        <v>40968</v>
      </c>
      <c r="E3" s="789">
        <v>40999</v>
      </c>
      <c r="F3" s="789">
        <v>41029</v>
      </c>
      <c r="G3" s="789">
        <v>41060</v>
      </c>
      <c r="H3" s="789">
        <v>41090</v>
      </c>
      <c r="I3" s="789">
        <v>41121</v>
      </c>
      <c r="J3" s="789">
        <v>41152</v>
      </c>
      <c r="K3" s="789">
        <v>41182</v>
      </c>
      <c r="L3" s="789">
        <v>41213</v>
      </c>
      <c r="M3" s="789">
        <v>41243</v>
      </c>
      <c r="N3" s="789">
        <v>41274</v>
      </c>
      <c r="O3" s="789">
        <v>41305</v>
      </c>
      <c r="P3" s="789">
        <v>41333</v>
      </c>
      <c r="Q3" s="789">
        <v>41364</v>
      </c>
      <c r="R3" s="789">
        <v>41394</v>
      </c>
      <c r="S3" s="789">
        <v>41425</v>
      </c>
      <c r="T3" s="789">
        <v>41455</v>
      </c>
      <c r="U3" s="789">
        <v>41486</v>
      </c>
      <c r="V3" s="789">
        <v>41517</v>
      </c>
      <c r="W3" s="789">
        <v>41547</v>
      </c>
      <c r="X3" s="789">
        <v>41578</v>
      </c>
      <c r="Y3" s="789">
        <v>41608</v>
      </c>
      <c r="Z3" s="789">
        <v>41639</v>
      </c>
      <c r="AA3" s="789">
        <v>41670</v>
      </c>
      <c r="AB3" s="789">
        <v>41698</v>
      </c>
      <c r="AC3" s="789">
        <v>41729</v>
      </c>
      <c r="AD3" s="789">
        <v>41759</v>
      </c>
      <c r="AE3" s="789">
        <v>41790</v>
      </c>
      <c r="AF3" s="789">
        <v>41820</v>
      </c>
      <c r="AG3" s="789">
        <v>41851</v>
      </c>
      <c r="AH3" s="789">
        <v>41882</v>
      </c>
      <c r="AI3" s="789">
        <v>41912</v>
      </c>
      <c r="AJ3" s="789">
        <v>41943</v>
      </c>
      <c r="AK3" s="789">
        <v>41973</v>
      </c>
      <c r="AL3" s="789">
        <v>42004</v>
      </c>
      <c r="AM3" s="789">
        <v>42035</v>
      </c>
      <c r="AN3" s="789">
        <v>42063</v>
      </c>
      <c r="AO3" s="789">
        <v>42094</v>
      </c>
      <c r="AP3" s="789">
        <v>42124</v>
      </c>
      <c r="AQ3" s="789">
        <v>42155</v>
      </c>
      <c r="AR3" s="789">
        <v>42185</v>
      </c>
      <c r="AS3" s="789">
        <v>42216</v>
      </c>
      <c r="AT3" s="789">
        <v>42247</v>
      </c>
      <c r="AU3" s="789">
        <v>42277</v>
      </c>
      <c r="AV3" s="789">
        <v>42308</v>
      </c>
      <c r="AW3" s="789">
        <v>42338</v>
      </c>
      <c r="AX3" s="789">
        <v>42369</v>
      </c>
      <c r="AY3" s="789">
        <v>42400</v>
      </c>
      <c r="AZ3" s="789">
        <v>42429</v>
      </c>
      <c r="BA3" s="789">
        <v>42460</v>
      </c>
      <c r="BB3" s="789">
        <v>42490</v>
      </c>
      <c r="BC3" s="789">
        <v>42521</v>
      </c>
      <c r="BD3" s="789">
        <v>42551</v>
      </c>
      <c r="BE3" s="789">
        <v>42582</v>
      </c>
      <c r="BF3" s="789">
        <v>42613</v>
      </c>
      <c r="BG3" s="789">
        <v>42643</v>
      </c>
      <c r="BH3" s="789">
        <v>42674</v>
      </c>
      <c r="BI3" s="789">
        <v>42704</v>
      </c>
      <c r="BJ3" s="789">
        <v>42735</v>
      </c>
      <c r="BK3" s="789">
        <v>42766</v>
      </c>
      <c r="BL3" s="789">
        <v>42794</v>
      </c>
      <c r="BM3" s="789">
        <v>42825</v>
      </c>
      <c r="BN3" s="789">
        <v>42855</v>
      </c>
      <c r="BO3" s="789">
        <v>42886</v>
      </c>
      <c r="BP3" s="789">
        <v>42916</v>
      </c>
      <c r="BQ3" s="789">
        <v>42947</v>
      </c>
      <c r="BR3" s="789">
        <v>42978</v>
      </c>
      <c r="BS3" s="789">
        <v>43008</v>
      </c>
      <c r="BT3" s="789">
        <v>43039</v>
      </c>
      <c r="BU3" s="789">
        <v>43069</v>
      </c>
      <c r="BV3" s="790">
        <v>43100</v>
      </c>
    </row>
    <row r="4" spans="2:74" x14ac:dyDescent="0.35">
      <c r="B4" s="791" t="s">
        <v>932</v>
      </c>
      <c r="C4" s="4" t="str">
        <f>IF(C3&lt;=Headcount!$U$3,"Actual","Forecast")</f>
        <v>Actual</v>
      </c>
      <c r="D4" s="4" t="str">
        <f>IF(D3&lt;=Headcount!$U$3,"Actual","Forecast")</f>
        <v>Actual</v>
      </c>
      <c r="E4" s="4" t="str">
        <f>IF(E3&lt;=Headcount!$U$3,"Actual","Forecast")</f>
        <v>Actual</v>
      </c>
      <c r="F4" s="4" t="str">
        <f>IF(F3&lt;=Headcount!$U$3,"Actual","Forecast")</f>
        <v>Actual</v>
      </c>
      <c r="G4" s="4" t="str">
        <f>IF(G3&lt;=Headcount!$U$3,"Actual","Forecast")</f>
        <v>Actual</v>
      </c>
      <c r="H4" s="4" t="str">
        <f>IF(H3&lt;=Headcount!$U$3,"Actual","Forecast")</f>
        <v>Actual</v>
      </c>
      <c r="I4" s="4" t="str">
        <f>IF(I3&lt;=Headcount!$U$3,"Actual","Forecast")</f>
        <v>Actual</v>
      </c>
      <c r="J4" s="4" t="str">
        <f>IF(J3&lt;=Headcount!$U$3,"Actual","Forecast")</f>
        <v>Actual</v>
      </c>
      <c r="K4" s="4" t="str">
        <f>IF(K3&lt;=Headcount!$U$3,"Actual","Forecast")</f>
        <v>Actual</v>
      </c>
      <c r="L4" s="4" t="str">
        <f>IF(L3&lt;=Headcount!$U$3,"Actual","Forecast")</f>
        <v>Actual</v>
      </c>
      <c r="M4" s="4" t="str">
        <f>IF(M3&lt;=Headcount!$U$3,"Actual","Forecast")</f>
        <v>Actual</v>
      </c>
      <c r="N4" s="4" t="str">
        <f>IF(N3&lt;=Headcount!$U$3,"Actual","Forecast")</f>
        <v>Actual</v>
      </c>
      <c r="O4" s="4" t="str">
        <f>IF(O3&lt;=Headcount!$U$3,"Actual","Forecast")</f>
        <v>Actual</v>
      </c>
      <c r="P4" s="4" t="str">
        <f>IF(P3&lt;=Headcount!$U$3,"Actual","Forecast")</f>
        <v>Actual</v>
      </c>
      <c r="Q4" s="4" t="str">
        <f>IF(Q3&lt;=Headcount!$U$3,"Actual","Forecast")</f>
        <v>Actual</v>
      </c>
      <c r="R4" s="4" t="str">
        <f>IF(R3&lt;=Headcount!$U$3,"Actual","Forecast")</f>
        <v>Actual</v>
      </c>
      <c r="S4" s="4" t="str">
        <f>IF(S3&lt;=Headcount!$U$3,"Actual","Forecast")</f>
        <v>Actual</v>
      </c>
      <c r="T4" s="4" t="str">
        <f>IF(T3&lt;=Headcount!$U$3,"Actual","Forecast")</f>
        <v>Actual</v>
      </c>
      <c r="U4" s="4" t="str">
        <f>IF(U3&lt;=Headcount!$U$3,"Actual","Forecast")</f>
        <v>Actual</v>
      </c>
      <c r="V4" s="4" t="str">
        <f>IF(V3&lt;=Headcount!$U$3,"Actual","Forecast")</f>
        <v>Actual</v>
      </c>
      <c r="W4" s="4" t="str">
        <f>IF(W3&lt;=Headcount!$U$3,"Actual","Forecast")</f>
        <v>Actual</v>
      </c>
      <c r="X4" s="4" t="str">
        <f>IF(X3&lt;=Headcount!$U$3,"Actual","Forecast")</f>
        <v>Actual</v>
      </c>
      <c r="Y4" s="4" t="str">
        <f>IF(Y3&lt;=Headcount!$U$3,"Actual","Forecast")</f>
        <v>Actual</v>
      </c>
      <c r="Z4" s="4" t="str">
        <f>IF(Z3&lt;=Headcount!$U$3,"Actual","Forecast")</f>
        <v>Actual</v>
      </c>
      <c r="AA4" s="792" t="s">
        <v>7</v>
      </c>
      <c r="AB4" s="792" t="s">
        <v>7</v>
      </c>
      <c r="AC4" s="792" t="s">
        <v>7</v>
      </c>
      <c r="AD4" s="792" t="s">
        <v>7</v>
      </c>
      <c r="AE4" s="792" t="s">
        <v>7</v>
      </c>
      <c r="AF4" s="792" t="s">
        <v>7</v>
      </c>
      <c r="AG4" s="792" t="s">
        <v>7</v>
      </c>
      <c r="AH4" s="792" t="s">
        <v>7</v>
      </c>
      <c r="AI4" s="792" t="s">
        <v>7</v>
      </c>
      <c r="AJ4" s="792" t="s">
        <v>7</v>
      </c>
      <c r="AK4" s="792" t="s">
        <v>7</v>
      </c>
      <c r="AL4" s="792" t="s">
        <v>7</v>
      </c>
      <c r="AM4" s="792" t="s">
        <v>7</v>
      </c>
      <c r="AN4" s="792" t="s">
        <v>7</v>
      </c>
      <c r="AO4" s="792" t="s">
        <v>7</v>
      </c>
      <c r="AP4" s="792" t="s">
        <v>7</v>
      </c>
      <c r="AQ4" s="792" t="s">
        <v>7</v>
      </c>
      <c r="AR4" s="792" t="s">
        <v>7</v>
      </c>
      <c r="AS4" s="792" t="s">
        <v>7</v>
      </c>
      <c r="AT4" s="792" t="s">
        <v>7</v>
      </c>
      <c r="AU4" s="792" t="s">
        <v>7</v>
      </c>
      <c r="AV4" s="792" t="s">
        <v>7</v>
      </c>
      <c r="AW4" s="792" t="s">
        <v>7</v>
      </c>
      <c r="AX4" s="792" t="s">
        <v>7</v>
      </c>
      <c r="AY4" s="792" t="s">
        <v>7</v>
      </c>
      <c r="AZ4" s="792" t="s">
        <v>7</v>
      </c>
      <c r="BA4" s="792" t="s">
        <v>7</v>
      </c>
      <c r="BB4" s="792" t="s">
        <v>7</v>
      </c>
      <c r="BC4" s="792" t="s">
        <v>7</v>
      </c>
      <c r="BD4" s="792" t="s">
        <v>7</v>
      </c>
      <c r="BE4" s="792" t="s">
        <v>7</v>
      </c>
      <c r="BF4" s="792" t="s">
        <v>7</v>
      </c>
      <c r="BG4" s="792" t="s">
        <v>7</v>
      </c>
      <c r="BH4" s="792" t="s">
        <v>7</v>
      </c>
      <c r="BI4" s="792" t="s">
        <v>7</v>
      </c>
      <c r="BJ4" s="792" t="s">
        <v>7</v>
      </c>
      <c r="BK4" s="792" t="s">
        <v>7</v>
      </c>
      <c r="BL4" s="792" t="s">
        <v>7</v>
      </c>
      <c r="BM4" s="792" t="s">
        <v>7</v>
      </c>
      <c r="BN4" s="792" t="s">
        <v>7</v>
      </c>
      <c r="BO4" s="792" t="s">
        <v>7</v>
      </c>
      <c r="BP4" s="792" t="s">
        <v>7</v>
      </c>
      <c r="BQ4" s="792" t="s">
        <v>7</v>
      </c>
      <c r="BR4" s="792" t="s">
        <v>7</v>
      </c>
      <c r="BS4" s="792" t="s">
        <v>7</v>
      </c>
      <c r="BT4" s="792" t="s">
        <v>7</v>
      </c>
      <c r="BU4" s="792" t="s">
        <v>7</v>
      </c>
      <c r="BV4" s="793" t="s">
        <v>7</v>
      </c>
    </row>
    <row r="5" spans="2:74" x14ac:dyDescent="0.35">
      <c r="B5" s="794" t="s">
        <v>68</v>
      </c>
      <c r="C5" s="795">
        <f t="shared" ref="C5:N5" si="0">MONTH(C3)</f>
        <v>1</v>
      </c>
      <c r="D5" s="795">
        <f t="shared" si="0"/>
        <v>2</v>
      </c>
      <c r="E5" s="795">
        <f t="shared" si="0"/>
        <v>3</v>
      </c>
      <c r="F5" s="795">
        <f t="shared" si="0"/>
        <v>4</v>
      </c>
      <c r="G5" s="795">
        <f t="shared" si="0"/>
        <v>5</v>
      </c>
      <c r="H5" s="795">
        <f t="shared" si="0"/>
        <v>6</v>
      </c>
      <c r="I5" s="795">
        <f t="shared" si="0"/>
        <v>7</v>
      </c>
      <c r="J5" s="795">
        <f t="shared" si="0"/>
        <v>8</v>
      </c>
      <c r="K5" s="795">
        <f t="shared" si="0"/>
        <v>9</v>
      </c>
      <c r="L5" s="795">
        <f t="shared" si="0"/>
        <v>10</v>
      </c>
      <c r="M5" s="795">
        <f t="shared" si="0"/>
        <v>11</v>
      </c>
      <c r="N5" s="795">
        <f t="shared" si="0"/>
        <v>12</v>
      </c>
      <c r="O5" s="795">
        <f>MONTH(O3)</f>
        <v>1</v>
      </c>
      <c r="P5" s="795">
        <f t="shared" ref="P5:BV5" si="1">MONTH(P3)</f>
        <v>2</v>
      </c>
      <c r="Q5" s="795">
        <f t="shared" si="1"/>
        <v>3</v>
      </c>
      <c r="R5" s="795">
        <f t="shared" si="1"/>
        <v>4</v>
      </c>
      <c r="S5" s="795">
        <f t="shared" si="1"/>
        <v>5</v>
      </c>
      <c r="T5" s="795">
        <f t="shared" si="1"/>
        <v>6</v>
      </c>
      <c r="U5" s="795">
        <f t="shared" si="1"/>
        <v>7</v>
      </c>
      <c r="V5" s="795">
        <f t="shared" si="1"/>
        <v>8</v>
      </c>
      <c r="W5" s="795">
        <f t="shared" si="1"/>
        <v>9</v>
      </c>
      <c r="X5" s="795">
        <f t="shared" si="1"/>
        <v>10</v>
      </c>
      <c r="Y5" s="795">
        <f t="shared" si="1"/>
        <v>11</v>
      </c>
      <c r="Z5" s="795">
        <f t="shared" si="1"/>
        <v>12</v>
      </c>
      <c r="AA5" s="795">
        <f t="shared" si="1"/>
        <v>1</v>
      </c>
      <c r="AB5" s="795">
        <f t="shared" si="1"/>
        <v>2</v>
      </c>
      <c r="AC5" s="795">
        <f t="shared" si="1"/>
        <v>3</v>
      </c>
      <c r="AD5" s="795">
        <f t="shared" si="1"/>
        <v>4</v>
      </c>
      <c r="AE5" s="795">
        <f t="shared" si="1"/>
        <v>5</v>
      </c>
      <c r="AF5" s="795">
        <f t="shared" si="1"/>
        <v>6</v>
      </c>
      <c r="AG5" s="795">
        <f t="shared" si="1"/>
        <v>7</v>
      </c>
      <c r="AH5" s="795">
        <f t="shared" si="1"/>
        <v>8</v>
      </c>
      <c r="AI5" s="795">
        <f t="shared" si="1"/>
        <v>9</v>
      </c>
      <c r="AJ5" s="795">
        <f t="shared" si="1"/>
        <v>10</v>
      </c>
      <c r="AK5" s="795">
        <f t="shared" si="1"/>
        <v>11</v>
      </c>
      <c r="AL5" s="795">
        <f t="shared" si="1"/>
        <v>12</v>
      </c>
      <c r="AM5" s="795">
        <f t="shared" si="1"/>
        <v>1</v>
      </c>
      <c r="AN5" s="795">
        <f t="shared" si="1"/>
        <v>2</v>
      </c>
      <c r="AO5" s="795">
        <f t="shared" si="1"/>
        <v>3</v>
      </c>
      <c r="AP5" s="795">
        <f t="shared" si="1"/>
        <v>4</v>
      </c>
      <c r="AQ5" s="795">
        <f t="shared" si="1"/>
        <v>5</v>
      </c>
      <c r="AR5" s="795">
        <f t="shared" si="1"/>
        <v>6</v>
      </c>
      <c r="AS5" s="795">
        <f t="shared" si="1"/>
        <v>7</v>
      </c>
      <c r="AT5" s="795">
        <f t="shared" si="1"/>
        <v>8</v>
      </c>
      <c r="AU5" s="795">
        <f t="shared" si="1"/>
        <v>9</v>
      </c>
      <c r="AV5" s="795">
        <f t="shared" si="1"/>
        <v>10</v>
      </c>
      <c r="AW5" s="795">
        <f t="shared" si="1"/>
        <v>11</v>
      </c>
      <c r="AX5" s="795">
        <f t="shared" si="1"/>
        <v>12</v>
      </c>
      <c r="AY5" s="795">
        <f t="shared" si="1"/>
        <v>1</v>
      </c>
      <c r="AZ5" s="795">
        <f t="shared" si="1"/>
        <v>2</v>
      </c>
      <c r="BA5" s="795">
        <f t="shared" si="1"/>
        <v>3</v>
      </c>
      <c r="BB5" s="795">
        <f t="shared" si="1"/>
        <v>4</v>
      </c>
      <c r="BC5" s="795">
        <f t="shared" si="1"/>
        <v>5</v>
      </c>
      <c r="BD5" s="795">
        <f t="shared" si="1"/>
        <v>6</v>
      </c>
      <c r="BE5" s="795">
        <f t="shared" si="1"/>
        <v>7</v>
      </c>
      <c r="BF5" s="795">
        <f t="shared" si="1"/>
        <v>8</v>
      </c>
      <c r="BG5" s="795">
        <f t="shared" si="1"/>
        <v>9</v>
      </c>
      <c r="BH5" s="795">
        <f t="shared" si="1"/>
        <v>10</v>
      </c>
      <c r="BI5" s="795">
        <f t="shared" si="1"/>
        <v>11</v>
      </c>
      <c r="BJ5" s="795">
        <f t="shared" si="1"/>
        <v>12</v>
      </c>
      <c r="BK5" s="795">
        <f t="shared" si="1"/>
        <v>1</v>
      </c>
      <c r="BL5" s="795">
        <f t="shared" si="1"/>
        <v>2</v>
      </c>
      <c r="BM5" s="795">
        <f t="shared" si="1"/>
        <v>3</v>
      </c>
      <c r="BN5" s="795">
        <f t="shared" si="1"/>
        <v>4</v>
      </c>
      <c r="BO5" s="795">
        <f t="shared" si="1"/>
        <v>5</v>
      </c>
      <c r="BP5" s="795">
        <f t="shared" si="1"/>
        <v>6</v>
      </c>
      <c r="BQ5" s="795">
        <f t="shared" si="1"/>
        <v>7</v>
      </c>
      <c r="BR5" s="795">
        <f t="shared" si="1"/>
        <v>8</v>
      </c>
      <c r="BS5" s="795">
        <f t="shared" si="1"/>
        <v>9</v>
      </c>
      <c r="BT5" s="795">
        <f t="shared" si="1"/>
        <v>10</v>
      </c>
      <c r="BU5" s="795">
        <f t="shared" si="1"/>
        <v>11</v>
      </c>
      <c r="BV5" s="796">
        <f t="shared" si="1"/>
        <v>12</v>
      </c>
    </row>
    <row r="6" spans="2:74" x14ac:dyDescent="0.35">
      <c r="B6" s="797"/>
      <c r="C6" s="798"/>
      <c r="D6" s="798"/>
      <c r="E6" s="798"/>
      <c r="F6" s="798"/>
      <c r="G6" s="798"/>
      <c r="H6" s="798"/>
      <c r="I6" s="798"/>
      <c r="J6" s="798"/>
      <c r="K6" s="798"/>
      <c r="L6" s="798"/>
      <c r="M6" s="798"/>
      <c r="N6" s="798"/>
      <c r="O6" s="798"/>
      <c r="P6" s="798"/>
      <c r="Q6" s="798"/>
      <c r="R6" s="798"/>
      <c r="S6" s="798"/>
      <c r="T6" s="798"/>
      <c r="U6" s="798"/>
      <c r="V6" s="798"/>
      <c r="W6" s="798"/>
      <c r="X6" s="798"/>
      <c r="Y6" s="798"/>
      <c r="Z6" s="798"/>
      <c r="AA6" s="798"/>
      <c r="AB6" s="798"/>
      <c r="AC6" s="798"/>
      <c r="AD6" s="798"/>
      <c r="AE6" s="798"/>
      <c r="AF6" s="798"/>
      <c r="AG6" s="798"/>
      <c r="AH6" s="798"/>
      <c r="AI6" s="798"/>
      <c r="AJ6" s="798"/>
      <c r="AK6" s="798"/>
      <c r="AL6" s="798"/>
      <c r="AM6" s="798"/>
      <c r="AN6" s="798"/>
      <c r="AO6" s="798"/>
      <c r="AP6" s="798"/>
      <c r="AQ6" s="798"/>
      <c r="AR6" s="798"/>
      <c r="AS6" s="798"/>
      <c r="AT6" s="798"/>
      <c r="AU6" s="798"/>
      <c r="AV6" s="798"/>
      <c r="AW6" s="798"/>
      <c r="AX6" s="798"/>
      <c r="AY6" s="798"/>
      <c r="AZ6" s="798"/>
      <c r="BA6" s="798"/>
      <c r="BB6" s="798"/>
      <c r="BC6" s="798"/>
      <c r="BD6" s="798"/>
      <c r="BE6" s="798"/>
      <c r="BF6" s="798"/>
      <c r="BG6" s="798"/>
      <c r="BH6" s="798"/>
      <c r="BI6" s="798"/>
      <c r="BJ6" s="798"/>
      <c r="BK6" s="798"/>
      <c r="BL6" s="798"/>
      <c r="BM6" s="798"/>
      <c r="BN6" s="798"/>
      <c r="BO6" s="798"/>
      <c r="BP6" s="798"/>
      <c r="BQ6" s="798"/>
      <c r="BR6" s="798"/>
      <c r="BS6" s="798"/>
      <c r="BT6" s="798"/>
      <c r="BU6" s="798"/>
      <c r="BV6" s="799"/>
    </row>
    <row r="7" spans="2:74" x14ac:dyDescent="0.35">
      <c r="B7" s="794" t="s">
        <v>14</v>
      </c>
      <c r="C7" s="798">
        <f>SUMIFS(Headcount!$B$6:$B$89,Headcount!$F$6:$F$89,"Dev Ops",Headcount!$H$6:$H$89,"&gt;"&amp;C3,Headcount!$G$6:$G$89,"&lt;"&amp;C3)</f>
        <v>0</v>
      </c>
      <c r="D7" s="799">
        <f>IF(D4="forecast",IF(C4="actual",(SUMIFS(Headcount!$B$6:$B$89,Headcount!$F$6:$F$89,"Development Operations",Headcount!$H$6:$H$89,"&gt;"&amp;D3,Headcount!$G$6:$G$89,"&lt;"&amp;D3)+D8-D9),(C7+D8-D9)),SUMIFS(Headcount!$B$6:$B$89,Headcount!$F$6:$F$89,"Development Operations",Headcount!$H$6:$H$89,"&gt;"&amp;D3,Headcount!$G$6:$G$89,"&lt;"&amp;C3))</f>
        <v>5</v>
      </c>
      <c r="E7" s="798">
        <f>IF(E4="forecast",IF(D4="actual",(SUMIFS(Headcount!$B$6:$B$89,Headcount!$F$6:$F$89,"Development Operations",Headcount!$H$6:$H$89,"&gt;"&amp;E3,Headcount!$G$6:$G$89,"&lt;"&amp;E3)+E8-E9),(D7+E8-E9)),SUMIFS(Headcount!$B$6:$B$89,Headcount!$F$6:$F$89,"Development Operations",Headcount!$H$6:$H$89,"&gt;"&amp;E3,Headcount!$G$6:$G$89,"&lt;"&amp;D3))</f>
        <v>5</v>
      </c>
      <c r="F7" s="798">
        <f>IF(F4="forecast",IF(E4="actual",(SUMIFS(Headcount!$B$6:$B$89,Headcount!$F$6:$F$89,"Development Operations",Headcount!$H$6:$H$89,"&gt;"&amp;F3,Headcount!$G$6:$G$89,"&lt;"&amp;F3)+F8-F9),(E7+F8-F9)),SUMIFS(Headcount!$B$6:$B$89,Headcount!$F$6:$F$89,"Development Operations",Headcount!$H$6:$H$89,"&gt;"&amp;F3,Headcount!$G$6:$G$89,"&lt;"&amp;E3))</f>
        <v>5</v>
      </c>
      <c r="G7" s="798">
        <f>IF(G4="forecast",IF(F4="actual",(SUMIFS(Headcount!$B$6:$B$89,Headcount!$F$6:$F$89,"Development Operations",Headcount!$H$6:$H$89,"&gt;"&amp;G3,Headcount!$G$6:$G$89,"&lt;"&amp;G3)+G8-G9),(F7+G8-G9)),SUMIFS(Headcount!$B$6:$B$89,Headcount!$F$6:$F$89,"Development Operations",Headcount!$H$6:$H$89,"&gt;"&amp;G3,Headcount!$G$6:$G$89,"&lt;"&amp;F3))</f>
        <v>5</v>
      </c>
      <c r="H7" s="798">
        <f>IF(H4="forecast",IF(G4="actual",(SUMIFS(Headcount!$B$6:$B$89,Headcount!$F$6:$F$89,"Development Operations",Headcount!$H$6:$H$89,"&gt;"&amp;H3,Headcount!$G$6:$G$89,"&lt;"&amp;H3)+H8-H9),(G7+H8-H9)),SUMIFS(Headcount!$B$6:$B$89,Headcount!$F$6:$F$89,"Development Operations",Headcount!$H$6:$H$89,"&gt;"&amp;H3,Headcount!$G$6:$G$89,"&lt;"&amp;G3))</f>
        <v>6</v>
      </c>
      <c r="I7" s="798">
        <f>IF(I4="forecast",IF(H4="actual",(SUMIFS(Headcount!$B$6:$B$89,Headcount!$F$6:$F$89,"Development Operations",Headcount!$H$6:$H$89,"&gt;"&amp;I3,Headcount!$G$6:$G$89,"&lt;"&amp;I3)+I8-I9),(H7+I8-I9)),SUMIFS(Headcount!$B$6:$B$89,Headcount!$F$6:$F$89,"Development Operations",Headcount!$H$6:$H$89,"&gt;"&amp;I3,Headcount!$G$6:$G$89,"&lt;"&amp;H3))</f>
        <v>6</v>
      </c>
      <c r="J7" s="798">
        <f>IF(J4="forecast",IF(I4="actual",(SUMIFS(Headcount!$B$6:$B$89,Headcount!$F$6:$F$89,"Development Operations",Headcount!$H$6:$H$89,"&gt;"&amp;J3,Headcount!$G$6:$G$89,"&lt;"&amp;J3)+J8-J9),(I7+J8-J9)),SUMIFS(Headcount!$B$6:$B$89,Headcount!$F$6:$F$89,"Development Operations",Headcount!$H$6:$H$89,"&gt;"&amp;J3,Headcount!$G$6:$G$89,"&lt;"&amp;I3))</f>
        <v>7</v>
      </c>
      <c r="K7" s="798">
        <f>IF(K4="forecast",IF(J4="actual",(SUMIFS(Headcount!$B$6:$B$89,Headcount!$F$6:$F$89,"Development Operations",Headcount!$H$6:$H$89,"&gt;"&amp;K3,Headcount!$G$6:$G$89,"&lt;"&amp;K3)+K8-K9),(J7+K8-K9)),SUMIFS(Headcount!$B$6:$B$89,Headcount!$F$6:$F$89,"Development Operations",Headcount!$H$6:$H$89,"&gt;"&amp;K3,Headcount!$G$6:$G$89,"&lt;"&amp;J3))</f>
        <v>7</v>
      </c>
      <c r="L7" s="798">
        <f>IF(L4="forecast",IF(K4="actual",(SUMIFS(Headcount!$B$6:$B$89,Headcount!$F$6:$F$89,"Development Operations",Headcount!$H$6:$H$89,"&gt;"&amp;L3,Headcount!$G$6:$G$89,"&lt;"&amp;L3)+L8-L9),(K7+L8-L9)),SUMIFS(Headcount!$B$6:$B$89,Headcount!$F$6:$F$89,"Development Operations",Headcount!$H$6:$H$89,"&gt;"&amp;L3,Headcount!$G$6:$G$89,"&lt;"&amp;K3))</f>
        <v>7</v>
      </c>
      <c r="M7" s="798">
        <f>IF(M4="forecast",IF(L4="actual",(SUMIFS(Headcount!$B$6:$B$89,Headcount!$F$6:$F$89,"Development Operations",Headcount!$H$6:$H$89,"&gt;"&amp;M3,Headcount!$G$6:$G$89,"&lt;"&amp;M3)+M8-M9),(L7+M8-M9)),SUMIFS(Headcount!$B$6:$B$89,Headcount!$F$6:$F$89,"Development Operations",Headcount!$H$6:$H$89,"&gt;"&amp;M3,Headcount!$G$6:$G$89,"&lt;"&amp;L3))</f>
        <v>7</v>
      </c>
      <c r="N7" s="798">
        <f>IF(N4="forecast",IF(M4="actual",(SUMIFS(Headcount!$B$6:$B$89,Headcount!$F$6:$F$89,"Development Operations",Headcount!$H$6:$H$89,"&gt;"&amp;N3,Headcount!$G$6:$G$89,"&lt;"&amp;N3)+N8-N9),(M7+N8-N9)),SUMIFS(Headcount!$B$6:$B$89,Headcount!$F$6:$F$89,"Development Operations",Headcount!$H$6:$H$89,"&gt;"&amp;N3,Headcount!$G$6:$G$89,"&lt;"&amp;M3))</f>
        <v>14</v>
      </c>
      <c r="O7" s="798">
        <f>IF(O4="forecast",IF(N4="actual",(SUMIFS(Headcount!$B$6:$B$89,Headcount!$F$6:$F$89,"Development Operations",Headcount!$H$6:$H$89,"&gt;"&amp;O3,Headcount!$G$6:$G$89,"&lt;"&amp;O3)+O8-O9),(N7+O8-O9)),SUMIFS(Headcount!$B$6:$B$89,Headcount!$F$6:$F$89,"Development Operations",Headcount!$H$6:$H$89,"&gt;"&amp;O3,Headcount!$G$6:$G$89,"&lt;"&amp;N3))</f>
        <v>14</v>
      </c>
      <c r="P7" s="798">
        <f>IF(P4="forecast",IF(O4="actual",(SUMIFS(Headcount!$B$6:$B$89,Headcount!$F$6:$F$89,"Development Operations",Headcount!$H$6:$H$89,"&gt;"&amp;P3,Headcount!$G$6:$G$89,"&lt;"&amp;P3)+P8-P9),(O7+P8-P9)),SUMIFS(Headcount!$B$6:$B$89,Headcount!$F$6:$F$89,"Development Operations",Headcount!$H$6:$H$89,"&gt;"&amp;P3,Headcount!$G$6:$G$89,"&lt;"&amp;O3))</f>
        <v>14</v>
      </c>
      <c r="Q7" s="798">
        <f>IF(Q4="forecast",IF(P4="actual",(SUMIFS(Headcount!$B$6:$B$89,Headcount!$F$6:$F$89,"Development Operations",Headcount!$H$6:$H$89,"&gt;"&amp;Q3,Headcount!$G$6:$G$89,"&lt;"&amp;Q3)+Q8-Q9),(P7+Q8-Q9)),SUMIFS(Headcount!$B$6:$B$89,Headcount!$F$6:$F$89,"Development Operations",Headcount!$H$6:$H$89,"&gt;"&amp;Q3,Headcount!$G$6:$G$89,"&lt;"&amp;P3))</f>
        <v>14</v>
      </c>
      <c r="R7" s="798">
        <f>IF(R4="forecast",IF(Q4="actual",(SUMIFS(Headcount!$B$6:$B$89,Headcount!$F$6:$F$89,"Development Operations",Headcount!$H$6:$H$89,"&gt;"&amp;R3,Headcount!$G$6:$G$89,"&lt;"&amp;R3)+R8-R9),(Q7+R8-R9)),SUMIFS(Headcount!$B$6:$B$89,Headcount!$F$6:$F$89,"Development Operations",Headcount!$H$6:$H$89,"&gt;"&amp;R3,Headcount!$G$6:$G$89,"&lt;"&amp;Q3))</f>
        <v>15</v>
      </c>
      <c r="S7" s="798">
        <f>IF(S4="forecast",IF(R4="actual",(SUMIFS(Headcount!$B$6:$B$89,Headcount!$F$6:$F$89,"Development Operations",Headcount!$H$6:$H$89,"&gt;"&amp;S3,Headcount!$G$6:$G$89,"&lt;"&amp;S3)+S8-S9),(R7+S8-S9)),SUMIFS(Headcount!$B$6:$B$89,Headcount!$F$6:$F$89,"Development Operations",Headcount!$H$6:$H$89,"&gt;"&amp;S3,Headcount!$G$6:$G$89,"&lt;"&amp;R3))</f>
        <v>15</v>
      </c>
      <c r="T7" s="798">
        <f>IF(T4="forecast",IF(S4="actual",(SUMIFS(Headcount!$B$6:$B$89,Headcount!$F$6:$F$89,"Development Operations",Headcount!$H$6:$H$89,"&gt;"&amp;T3,Headcount!$G$6:$G$89,"&lt;"&amp;T3)+T8-T9),(S7+T8-T9)),SUMIFS(Headcount!$B$6:$B$89,Headcount!$F$6:$F$89,"Development Operations",Headcount!$H$6:$H$89,"&gt;"&amp;T3,Headcount!$G$6:$G$89,"&lt;"&amp;S3))</f>
        <v>15</v>
      </c>
      <c r="U7" s="798">
        <f>IF(U4="forecast",IF(T4="actual",(SUMIFS(Headcount!$B$6:$B$89,Headcount!$F$6:$F$89,"Development Operations",Headcount!$H$6:$H$89,"&gt;"&amp;U3,Headcount!$G$6:$G$89,"&lt;"&amp;U3)+U8-U9),(T7+U8-U9)),SUMIFS(Headcount!$B$6:$B$89,Headcount!$F$6:$F$89,"Development Operations",Headcount!$H$6:$H$89,"&gt;"&amp;U3,Headcount!$G$6:$G$89,"&lt;"&amp;T3))</f>
        <v>15</v>
      </c>
      <c r="V7" s="798">
        <f>IF(V4="forecast",IF(U4="actual",(SUMIFS(Headcount!$B$6:$B$89,Headcount!$F$6:$F$89,"Development Operations",Headcount!$H$6:$H$89,"&gt;"&amp;V3,Headcount!$G$6:$G$89,"&lt;"&amp;V3)+V8-V9),(U7+V8-V9)),SUMIFS(Headcount!$B$6:$B$89,Headcount!$F$6:$F$89,"Development Operations",Headcount!$H$6:$H$89,"&gt;"&amp;V3,Headcount!$G$6:$G$89,"&lt;"&amp;U3))</f>
        <v>15</v>
      </c>
      <c r="W7" s="798">
        <f>IF(W4="forecast",IF(V4="actual",(SUMIFS(Headcount!$B$6:$B$89,Headcount!$F$6:$F$89,"Development Operations",Headcount!$H$6:$H$89,"&gt;"&amp;W3,Headcount!$G$6:$G$89,"&lt;"&amp;W3)+W8-W9),(V7+W8-W9)),SUMIFS(Headcount!$B$6:$B$89,Headcount!$F$6:$F$89,"Development Operations",Headcount!$H$6:$H$89,"&gt;"&amp;W3,Headcount!$G$6:$G$89,"&lt;"&amp;V3))</f>
        <v>15</v>
      </c>
      <c r="X7" s="798">
        <f>IF(X4="forecast",IF(W4="actual",(SUMIFS(Headcount!$B$6:$B$89,Headcount!$F$6:$F$89,"Development Operations",Headcount!$H$6:$H$89,"&gt;"&amp;X3,Headcount!$G$6:$G$89,"&lt;"&amp;X3)+X8-X9),(W7+X8-X9)),SUMIFS(Headcount!$B$6:$B$89,Headcount!$F$6:$F$89,"Development Operations",Headcount!$H$6:$H$89,"&gt;"&amp;X3,Headcount!$G$6:$G$89,"&lt;"&amp;W3))</f>
        <v>15</v>
      </c>
      <c r="Y7" s="798">
        <f>IF(Y4="forecast",IF(X4="actual",(SUMIFS(Headcount!$B$6:$B$89,Headcount!$F$6:$F$89,"Development Operations",Headcount!$H$6:$H$89,"&gt;"&amp;Y3,Headcount!$G$6:$G$89,"&lt;"&amp;Y3)+Y8-Y9),(X7+Y8-Y9)),SUMIFS(Headcount!$B$6:$B$89,Headcount!$F$6:$F$89,"Development Operations",Headcount!$H$6:$H$89,"&gt;"&amp;Y3,Headcount!$G$6:$G$89,"&lt;"&amp;X3))</f>
        <v>15</v>
      </c>
      <c r="Z7" s="798">
        <f>IF(Z4="forecast",IF(Y4="actual",(SUMIFS(Headcount!$B$6:$B$89,Headcount!$F$6:$F$89,"Development Operations",Headcount!$H$6:$H$89,"&gt;"&amp;Z3,Headcount!$G$6:$G$89,"&lt;"&amp;Z3)+Z8-Z9),(Y7+Z8-Z9)),SUMIFS(Headcount!$B$6:$B$89,Headcount!$F$6:$F$89,"Development Operations",Headcount!$H$6:$H$89,"&gt;"&amp;Z3,Headcount!$G$6:$G$89,"&lt;"&amp;Y3))</f>
        <v>15</v>
      </c>
      <c r="AA7" s="798">
        <f>IF(AA4="forecast",IF(Z4="actual",(SUMIFS(Headcount!$B$6:$B$89,Headcount!$F$6:$F$89,"Development Operations",Headcount!$H$6:$H$89,"&gt;"&amp;AA3,Headcount!$G$6:$G$89,"&lt;"&amp;AA3)+AA8-AA9),(Z7+AA8-AA9)),SUMIFS(Headcount!$B$6:$B$89,Headcount!$F$6:$F$89,"Development Operations",Headcount!$H$6:$H$89,"&gt;"&amp;AA3,Headcount!$G$6:$G$89,"&lt;"&amp;Z3))</f>
        <v>17</v>
      </c>
      <c r="AB7" s="798">
        <f>IF(AB4="forecast",IF(AA4="actual",(SUMIFS(Headcount!$B$6:$B$89,Headcount!$F$6:$F$89,"Development Operations",Headcount!$H$6:$H$89,"&gt;"&amp;AB3,Headcount!$G$6:$G$89,"&lt;"&amp;AB3)+AB8-AB9),(AA7+AB8-AB9)),SUMIFS(Headcount!$B$6:$B$89,Headcount!$F$6:$F$89,"Development Operations",Headcount!$H$6:$H$89,"&gt;"&amp;AB3,Headcount!$G$6:$G$89,"&lt;"&amp;AA3))</f>
        <v>17</v>
      </c>
      <c r="AC7" s="798">
        <f>IF(AC4="forecast",IF(AB4="actual",(SUMIFS(Headcount!$B$6:$B$89,Headcount!$F$6:$F$89,"Development Operations",Headcount!$H$6:$H$89,"&gt;"&amp;AC3,Headcount!$G$6:$G$89,"&lt;"&amp;AC3)+AC8-AC9),(AB7+AC8-AC9)),SUMIFS(Headcount!$B$6:$B$89,Headcount!$F$6:$F$89,"Development Operations",Headcount!$H$6:$H$89,"&gt;"&amp;AC3,Headcount!$G$6:$G$89,"&lt;"&amp;AB3))</f>
        <v>17</v>
      </c>
      <c r="AD7" s="798">
        <f>IF(AD4="forecast",IF(AC4="actual",(SUMIFS(Headcount!$B$6:$B$89,Headcount!$F$6:$F$89,"Development Operations",Headcount!$H$6:$H$89,"&gt;"&amp;AD3,Headcount!$G$6:$G$89,"&lt;"&amp;AD3)+AD8-AD9),(AC7+AD8-AD9)),SUMIFS(Headcount!$B$6:$B$89,Headcount!$F$6:$F$89,"Development Operations",Headcount!$H$6:$H$89,"&gt;"&amp;AD3,Headcount!$G$6:$G$89,"&lt;"&amp;AC3))</f>
        <v>17</v>
      </c>
      <c r="AE7" s="798">
        <f>IF(AE4="forecast",IF(AD4="actual",(SUMIFS(Headcount!$B$6:$B$89,Headcount!$F$6:$F$89,"Development Operations",Headcount!$H$6:$H$89,"&gt;"&amp;AE3,Headcount!$G$6:$G$89,"&lt;"&amp;AE3)+AE8-AE9),(AD7+AE8-AE9)),SUMIFS(Headcount!$B$6:$B$89,Headcount!$F$6:$F$89,"Development Operations",Headcount!$H$6:$H$89,"&gt;"&amp;AE3,Headcount!$G$6:$G$89,"&lt;"&amp;AD3))</f>
        <v>17</v>
      </c>
      <c r="AF7" s="798">
        <f>IF(AF4="forecast",IF(AE4="actual",(SUMIFS(Headcount!$B$6:$B$89,Headcount!$F$6:$F$89,"Development Operations",Headcount!$H$6:$H$89,"&gt;"&amp;AF3,Headcount!$G$6:$G$89,"&lt;"&amp;AF3)+AF8-AF9),(AE7+AF8-AF9)),SUMIFS(Headcount!$B$6:$B$89,Headcount!$F$6:$F$89,"Development Operations",Headcount!$H$6:$H$89,"&gt;"&amp;AF3,Headcount!$G$6:$G$89,"&lt;"&amp;AE3))</f>
        <v>17</v>
      </c>
      <c r="AG7" s="798">
        <f>IF(AG4="forecast",IF(AF4="actual",(SUMIFS(Headcount!$B$6:$B$89,Headcount!$F$6:$F$89,"Development Operations",Headcount!$H$6:$H$89,"&gt;"&amp;AG3,Headcount!$G$6:$G$89,"&lt;"&amp;AG3)+AG8-AG9),(AF7+AG8-AG9)),SUMIFS(Headcount!$B$6:$B$89,Headcount!$F$6:$F$89,"Development Operations",Headcount!$H$6:$H$89,"&gt;"&amp;AG3,Headcount!$G$6:$G$89,"&lt;"&amp;AF3))</f>
        <v>17</v>
      </c>
      <c r="AH7" s="798">
        <f>IF(AH4="forecast",IF(AG4="actual",(SUMIFS(Headcount!$B$6:$B$89,Headcount!$F$6:$F$89,"Development Operations",Headcount!$H$6:$H$89,"&gt;"&amp;AH3,Headcount!$G$6:$G$89,"&lt;"&amp;AH3)+AH8-AH9),(AG7+AH8-AH9)),SUMIFS(Headcount!$B$6:$B$89,Headcount!$F$6:$F$89,"Development Operations",Headcount!$H$6:$H$89,"&gt;"&amp;AH3,Headcount!$G$6:$G$89,"&lt;"&amp;AG3))</f>
        <v>17</v>
      </c>
      <c r="AI7" s="798">
        <f>IF(AI4="forecast",IF(AH4="actual",(SUMIFS(Headcount!$B$6:$B$89,Headcount!$F$6:$F$89,"Development Operations",Headcount!$H$6:$H$89,"&gt;"&amp;AI3,Headcount!$G$6:$G$89,"&lt;"&amp;AI3)+AI8-AI9),(AH7+AI8-AI9)),SUMIFS(Headcount!$B$6:$B$89,Headcount!$F$6:$F$89,"Development Operations",Headcount!$H$6:$H$89,"&gt;"&amp;AI3,Headcount!$G$6:$G$89,"&lt;"&amp;AH3))</f>
        <v>17</v>
      </c>
      <c r="AJ7" s="798">
        <f>IF(AJ4="forecast",IF(AI4="actual",(SUMIFS(Headcount!$B$6:$B$89,Headcount!$F$6:$F$89,"Development Operations",Headcount!$H$6:$H$89,"&gt;"&amp;AJ3,Headcount!$G$6:$G$89,"&lt;"&amp;AJ3)+AJ8-AJ9),(AI7+AJ8-AJ9)),SUMIFS(Headcount!$B$6:$B$89,Headcount!$F$6:$F$89,"Development Operations",Headcount!$H$6:$H$89,"&gt;"&amp;AJ3,Headcount!$G$6:$G$89,"&lt;"&amp;AI3))</f>
        <v>17</v>
      </c>
      <c r="AK7" s="798">
        <f>IF(AK4="forecast",IF(AJ4="actual",(SUMIFS(Headcount!$B$6:$B$89,Headcount!$F$6:$F$89,"Development Operations",Headcount!$H$6:$H$89,"&gt;"&amp;AK3,Headcount!$G$6:$G$89,"&lt;"&amp;AK3)+AK8-AK9),(AJ7+AK8-AK9)),SUMIFS(Headcount!$B$6:$B$89,Headcount!$F$6:$F$89,"Development Operations",Headcount!$H$6:$H$89,"&gt;"&amp;AK3,Headcount!$G$6:$G$89,"&lt;"&amp;AJ3))</f>
        <v>17</v>
      </c>
      <c r="AL7" s="798">
        <f>IF(AL4="forecast",IF(AK4="actual",(SUMIFS(Headcount!$B$6:$B$89,Headcount!$F$6:$F$89,"Development Operations",Headcount!$H$6:$H$89,"&gt;"&amp;AL3,Headcount!$G$6:$G$89,"&lt;"&amp;AL3)+AL8-AL9),(AK7+AL8-AL9)),SUMIFS(Headcount!$B$6:$B$89,Headcount!$F$6:$F$89,"Development Operations",Headcount!$H$6:$H$89,"&gt;"&amp;AL3,Headcount!$G$6:$G$89,"&lt;"&amp;AK3))</f>
        <v>17</v>
      </c>
      <c r="AM7" s="798">
        <f>IF(AM4="forecast",IF(AL4="actual",(SUMIFS(Headcount!$B$6:$B$89,Headcount!$F$6:$F$89,"Development Operations",Headcount!$H$6:$H$89,"&gt;"&amp;AM3,Headcount!$G$6:$G$89,"&lt;"&amp;AM3)+AM8-AM9),(AL7+AM8-AM9)),SUMIFS(Headcount!$B$6:$B$89,Headcount!$F$6:$F$89,"Development Operations",Headcount!$H$6:$H$89,"&gt;"&amp;AM3,Headcount!$G$6:$G$89,"&lt;"&amp;AL3))</f>
        <v>17</v>
      </c>
      <c r="AN7" s="798">
        <f>IF(AN4="forecast",IF(AM4="actual",(SUMIFS(Headcount!$B$6:$B$89,Headcount!$F$6:$F$89,"Development Operations",Headcount!$H$6:$H$89,"&gt;"&amp;AN3,Headcount!$G$6:$G$89,"&lt;"&amp;AN3)+AN8-AN9),(AM7+AN8-AN9)),SUMIFS(Headcount!$B$6:$B$89,Headcount!$F$6:$F$89,"Development Operations",Headcount!$H$6:$H$89,"&gt;"&amp;AN3,Headcount!$G$6:$G$89,"&lt;"&amp;AM3))</f>
        <v>17</v>
      </c>
      <c r="AO7" s="798">
        <f>IF(AO4="forecast",IF(AN4="actual",(SUMIFS(Headcount!$B$6:$B$89,Headcount!$F$6:$F$89,"Development Operations",Headcount!$H$6:$H$89,"&gt;"&amp;AO3,Headcount!$G$6:$G$89,"&lt;"&amp;AO3)+AO8-AO9),(AN7+AO8-AO9)),SUMIFS(Headcount!$B$6:$B$89,Headcount!$F$6:$F$89,"Development Operations",Headcount!$H$6:$H$89,"&gt;"&amp;AO3,Headcount!$G$6:$G$89,"&lt;"&amp;AN3))</f>
        <v>17</v>
      </c>
      <c r="AP7" s="798">
        <f>IF(AP4="forecast",IF(AO4="actual",(SUMIFS(Headcount!$B$6:$B$89,Headcount!$F$6:$F$89,"Development Operations",Headcount!$H$6:$H$89,"&gt;"&amp;AP3,Headcount!$G$6:$G$89,"&lt;"&amp;AP3)+AP8-AP9),(AO7+AP8-AP9)),SUMIFS(Headcount!$B$6:$B$89,Headcount!$F$6:$F$89,"Development Operations",Headcount!$H$6:$H$89,"&gt;"&amp;AP3,Headcount!$G$6:$G$89,"&lt;"&amp;AO3))</f>
        <v>17</v>
      </c>
      <c r="AQ7" s="798">
        <f>IF(AQ4="forecast",IF(AP4="actual",(SUMIFS(Headcount!$B$6:$B$89,Headcount!$F$6:$F$89,"Development Operations",Headcount!$H$6:$H$89,"&gt;"&amp;AQ3,Headcount!$G$6:$G$89,"&lt;"&amp;AQ3)+AQ8-AQ9),(AP7+AQ8-AQ9)),SUMIFS(Headcount!$B$6:$B$89,Headcount!$F$6:$F$89,"Development Operations",Headcount!$H$6:$H$89,"&gt;"&amp;AQ3,Headcount!$G$6:$G$89,"&lt;"&amp;AP3))</f>
        <v>17</v>
      </c>
      <c r="AR7" s="798">
        <f>IF(AR4="forecast",IF(AQ4="actual",(SUMIFS(Headcount!$B$6:$B$89,Headcount!$F$6:$F$89,"Development Operations",Headcount!$H$6:$H$89,"&gt;"&amp;AR3,Headcount!$G$6:$G$89,"&lt;"&amp;AR3)+AR8-AR9),(AQ7+AR8-AR9)),SUMIFS(Headcount!$B$6:$B$89,Headcount!$F$6:$F$89,"Development Operations",Headcount!$H$6:$H$89,"&gt;"&amp;AR3,Headcount!$G$6:$G$89,"&lt;"&amp;AQ3))</f>
        <v>17</v>
      </c>
      <c r="AS7" s="798">
        <f>IF(AS4="forecast",IF(AR4="actual",(SUMIFS(Headcount!$B$6:$B$89,Headcount!$F$6:$F$89,"Development Operations",Headcount!$H$6:$H$89,"&gt;"&amp;AS3,Headcount!$G$6:$G$89,"&lt;"&amp;AS3)+AS8-AS9),(AR7+AS8-AS9)),SUMIFS(Headcount!$B$6:$B$89,Headcount!$F$6:$F$89,"Development Operations",Headcount!$H$6:$H$89,"&gt;"&amp;AS3,Headcount!$G$6:$G$89,"&lt;"&amp;AR3))</f>
        <v>17</v>
      </c>
      <c r="AT7" s="798">
        <f>IF(AT4="forecast",IF(AS4="actual",(SUMIFS(Headcount!$B$6:$B$89,Headcount!$F$6:$F$89,"Development Operations",Headcount!$H$6:$H$89,"&gt;"&amp;AT3,Headcount!$G$6:$G$89,"&lt;"&amp;AT3)+AT8-AT9),(AS7+AT8-AT9)),SUMIFS(Headcount!$B$6:$B$89,Headcount!$F$6:$F$89,"Development Operations",Headcount!$H$6:$H$89,"&gt;"&amp;AT3,Headcount!$G$6:$G$89,"&lt;"&amp;AS3))</f>
        <v>17</v>
      </c>
      <c r="AU7" s="798">
        <f>IF(AU4="forecast",IF(AT4="actual",(SUMIFS(Headcount!$B$6:$B$89,Headcount!$F$6:$F$89,"Development Operations",Headcount!$H$6:$H$89,"&gt;"&amp;AU3,Headcount!$G$6:$G$89,"&lt;"&amp;AU3)+AU8-AU9),(AT7+AU8-AU9)),SUMIFS(Headcount!$B$6:$B$89,Headcount!$F$6:$F$89,"Development Operations",Headcount!$H$6:$H$89,"&gt;"&amp;AU3,Headcount!$G$6:$G$89,"&lt;"&amp;AT3))</f>
        <v>17</v>
      </c>
      <c r="AV7" s="798">
        <f>IF(AV4="forecast",IF(AU4="actual",(SUMIFS(Headcount!$B$6:$B$89,Headcount!$F$6:$F$89,"Development Operations",Headcount!$H$6:$H$89,"&gt;"&amp;AV3,Headcount!$G$6:$G$89,"&lt;"&amp;AV3)+AV8-AV9),(AU7+AV8-AV9)),SUMIFS(Headcount!$B$6:$B$89,Headcount!$F$6:$F$89,"Development Operations",Headcount!$H$6:$H$89,"&gt;"&amp;AV3,Headcount!$G$6:$G$89,"&lt;"&amp;AU3))</f>
        <v>17</v>
      </c>
      <c r="AW7" s="798">
        <f>IF(AW4="forecast",IF(AV4="actual",(SUMIFS(Headcount!$B$6:$B$89,Headcount!$F$6:$F$89,"Development Operations",Headcount!$H$6:$H$89,"&gt;"&amp;AW3,Headcount!$G$6:$G$89,"&lt;"&amp;AW3)+AW8-AW9),(AV7+AW8-AW9)),SUMIFS(Headcount!$B$6:$B$89,Headcount!$F$6:$F$89,"Development Operations",Headcount!$H$6:$H$89,"&gt;"&amp;AW3,Headcount!$G$6:$G$89,"&lt;"&amp;AV3))</f>
        <v>17</v>
      </c>
      <c r="AX7" s="798">
        <f>IF(AX4="forecast",IF(AW4="actual",(SUMIFS(Headcount!$B$6:$B$89,Headcount!$F$6:$F$89,"Development Operations",Headcount!$H$6:$H$89,"&gt;"&amp;AX3,Headcount!$G$6:$G$89,"&lt;"&amp;AX3)+AX8-AX9),(AW7+AX8-AX9)),SUMIFS(Headcount!$B$6:$B$89,Headcount!$F$6:$F$89,"Development Operations",Headcount!$H$6:$H$89,"&gt;"&amp;AX3,Headcount!$G$6:$G$89,"&lt;"&amp;AW3))</f>
        <v>17</v>
      </c>
      <c r="AY7" s="798">
        <f>IF(AY4="forecast",IF(AX4="actual",(SUMIFS(Headcount!$B$6:$B$89,Headcount!$F$6:$F$89,"Development Operations",Headcount!$H$6:$H$89,"&gt;"&amp;AY3,Headcount!$G$6:$G$89,"&lt;"&amp;AY3)+AY8-AY9),(AX7+AY8-AY9)),SUMIFS(Headcount!$B$6:$B$89,Headcount!$F$6:$F$89,"Development Operations",Headcount!$H$6:$H$89,"&gt;"&amp;AY3,Headcount!$G$6:$G$89,"&lt;"&amp;AX3))</f>
        <v>17</v>
      </c>
      <c r="AZ7" s="798">
        <f>IF(AZ4="forecast",IF(AY4="actual",(SUMIFS(Headcount!$B$6:$B$89,Headcount!$F$6:$F$89,"Development Operations",Headcount!$H$6:$H$89,"&gt;"&amp;AZ3,Headcount!$G$6:$G$89,"&lt;"&amp;AZ3)+AZ8-AZ9),(AY7+AZ8-AZ9)),SUMIFS(Headcount!$B$6:$B$89,Headcount!$F$6:$F$89,"Development Operations",Headcount!$H$6:$H$89,"&gt;"&amp;AZ3,Headcount!$G$6:$G$89,"&lt;"&amp;AY3))</f>
        <v>17</v>
      </c>
      <c r="BA7" s="798">
        <f>IF(BA4="forecast",IF(AZ4="actual",(SUMIFS(Headcount!$B$6:$B$89,Headcount!$F$6:$F$89,"Development Operations",Headcount!$H$6:$H$89,"&gt;"&amp;BA3,Headcount!$G$6:$G$89,"&lt;"&amp;BA3)+BA8-BA9),(AZ7+BA8-BA9)),SUMIFS(Headcount!$B$6:$B$89,Headcount!$F$6:$F$89,"Development Operations",Headcount!$H$6:$H$89,"&gt;"&amp;BA3,Headcount!$G$6:$G$89,"&lt;"&amp;AZ3))</f>
        <v>17</v>
      </c>
      <c r="BB7" s="798">
        <f>IF(BB4="forecast",IF(BA4="actual",(SUMIFS(Headcount!$B$6:$B$89,Headcount!$F$6:$F$89,"Development Operations",Headcount!$H$6:$H$89,"&gt;"&amp;BB3,Headcount!$G$6:$G$89,"&lt;"&amp;BB3)+BB8-BB9),(BA7+BB8-BB9)),SUMIFS(Headcount!$B$6:$B$89,Headcount!$F$6:$F$89,"Development Operations",Headcount!$H$6:$H$89,"&gt;"&amp;BB3,Headcount!$G$6:$G$89,"&lt;"&amp;BA3))</f>
        <v>17</v>
      </c>
      <c r="BC7" s="798">
        <f>IF(BC4="forecast",IF(BB4="actual",(SUMIFS(Headcount!$B$6:$B$89,Headcount!$F$6:$F$89,"Development Operations",Headcount!$H$6:$H$89,"&gt;"&amp;BC3,Headcount!$G$6:$G$89,"&lt;"&amp;BC3)+BC8-BC9),(BB7+BC8-BC9)),SUMIFS(Headcount!$B$6:$B$89,Headcount!$F$6:$F$89,"Development Operations",Headcount!$H$6:$H$89,"&gt;"&amp;BC3,Headcount!$G$6:$G$89,"&lt;"&amp;BB3))</f>
        <v>17</v>
      </c>
      <c r="BD7" s="798">
        <f>IF(BD4="forecast",IF(BC4="actual",(SUMIFS(Headcount!$B$6:$B$89,Headcount!$F$6:$F$89,"Development Operations",Headcount!$H$6:$H$89,"&gt;"&amp;BD3,Headcount!$G$6:$G$89,"&lt;"&amp;BD3)+BD8-BD9),(BC7+BD8-BD9)),SUMIFS(Headcount!$B$6:$B$89,Headcount!$F$6:$F$89,"Development Operations",Headcount!$H$6:$H$89,"&gt;"&amp;BD3,Headcount!$G$6:$G$89,"&lt;"&amp;BC3))</f>
        <v>17</v>
      </c>
      <c r="BE7" s="798">
        <f>IF(BE4="forecast",IF(BD4="actual",(SUMIFS(Headcount!$B$6:$B$89,Headcount!$F$6:$F$89,"Development Operations",Headcount!$H$6:$H$89,"&gt;"&amp;BE3,Headcount!$G$6:$G$89,"&lt;"&amp;BE3)+BE8-BE9),(BD7+BE8-BE9)),SUMIFS(Headcount!$B$6:$B$89,Headcount!$F$6:$F$89,"Development Operations",Headcount!$H$6:$H$89,"&gt;"&amp;BE3,Headcount!$G$6:$G$89,"&lt;"&amp;BD3))</f>
        <v>17</v>
      </c>
      <c r="BF7" s="798">
        <f>IF(BF4="forecast",IF(BE4="actual",(SUMIFS(Headcount!$B$6:$B$89,Headcount!$F$6:$F$89,"Development Operations",Headcount!$H$6:$H$89,"&gt;"&amp;BF3,Headcount!$G$6:$G$89,"&lt;"&amp;BF3)+BF8-BF9),(BE7+BF8-BF9)),SUMIFS(Headcount!$B$6:$B$89,Headcount!$F$6:$F$89,"Development Operations",Headcount!$H$6:$H$89,"&gt;"&amp;BF3,Headcount!$G$6:$G$89,"&lt;"&amp;BE3))</f>
        <v>17</v>
      </c>
      <c r="BG7" s="798">
        <f>IF(BG4="forecast",IF(BF4="actual",(SUMIFS(Headcount!$B$6:$B$89,Headcount!$F$6:$F$89,"Development Operations",Headcount!$H$6:$H$89,"&gt;"&amp;BG3,Headcount!$G$6:$G$89,"&lt;"&amp;BG3)+BG8-BG9),(BF7+BG8-BG9)),SUMIFS(Headcount!$B$6:$B$89,Headcount!$F$6:$F$89,"Development Operations",Headcount!$H$6:$H$89,"&gt;"&amp;BG3,Headcount!$G$6:$G$89,"&lt;"&amp;BF3))</f>
        <v>17</v>
      </c>
      <c r="BH7" s="798">
        <f>IF(BH4="forecast",IF(BG4="actual",(SUMIFS(Headcount!$B$6:$B$89,Headcount!$F$6:$F$89,"Development Operations",Headcount!$H$6:$H$89,"&gt;"&amp;BH3,Headcount!$G$6:$G$89,"&lt;"&amp;BH3)+BH8-BH9),(BG7+BH8-BH9)),SUMIFS(Headcount!$B$6:$B$89,Headcount!$F$6:$F$89,"Development Operations",Headcount!$H$6:$H$89,"&gt;"&amp;BH3,Headcount!$G$6:$G$89,"&lt;"&amp;BG3))</f>
        <v>17</v>
      </c>
      <c r="BI7" s="798">
        <f>IF(BI4="forecast",IF(BH4="actual",(SUMIFS(Headcount!$B$6:$B$89,Headcount!$F$6:$F$89,"Development Operations",Headcount!$H$6:$H$89,"&gt;"&amp;BI3,Headcount!$G$6:$G$89,"&lt;"&amp;BI3)+BI8-BI9),(BH7+BI8-BI9)),SUMIFS(Headcount!$B$6:$B$89,Headcount!$F$6:$F$89,"Development Operations",Headcount!$H$6:$H$89,"&gt;"&amp;BI3,Headcount!$G$6:$G$89,"&lt;"&amp;BH3))</f>
        <v>17</v>
      </c>
      <c r="BJ7" s="798">
        <f>IF(BJ4="forecast",IF(BI4="actual",(SUMIFS(Headcount!$B$6:$B$89,Headcount!$F$6:$F$89,"Development Operations",Headcount!$H$6:$H$89,"&gt;"&amp;BJ3,Headcount!$G$6:$G$89,"&lt;"&amp;BJ3)+BJ8-BJ9),(BI7+BJ8-BJ9)),SUMIFS(Headcount!$B$6:$B$89,Headcount!$F$6:$F$89,"Development Operations",Headcount!$H$6:$H$89,"&gt;"&amp;BJ3,Headcount!$G$6:$G$89,"&lt;"&amp;BI3))</f>
        <v>17</v>
      </c>
      <c r="BK7" s="798">
        <f>IF(BK4="forecast",IF(BJ4="actual",(SUMIFS(Headcount!$B$6:$B$89,Headcount!$F$6:$F$89,"Development Operations",Headcount!$H$6:$H$89,"&gt;"&amp;BK3,Headcount!$G$6:$G$89,"&lt;"&amp;BK3)+BK8-BK9),(BJ7+BK8-BK9)),SUMIFS(Headcount!$B$6:$B$89,Headcount!$F$6:$F$89,"Development Operations",Headcount!$H$6:$H$89,"&gt;"&amp;BK3,Headcount!$G$6:$G$89,"&lt;"&amp;BJ3))</f>
        <v>17</v>
      </c>
      <c r="BL7" s="798">
        <f>IF(BL4="forecast",IF(BK4="actual",(SUMIFS(Headcount!$B$6:$B$89,Headcount!$F$6:$F$89,"Development Operations",Headcount!$H$6:$H$89,"&gt;"&amp;BL3,Headcount!$G$6:$G$89,"&lt;"&amp;BL3)+BL8-BL9),(BK7+BL8-BL9)),SUMIFS(Headcount!$B$6:$B$89,Headcount!$F$6:$F$89,"Development Operations",Headcount!$H$6:$H$89,"&gt;"&amp;BL3,Headcount!$G$6:$G$89,"&lt;"&amp;BK3))</f>
        <v>17</v>
      </c>
      <c r="BM7" s="798">
        <f>IF(BM4="forecast",IF(BL4="actual",(SUMIFS(Headcount!$B$6:$B$89,Headcount!$F$6:$F$89,"Development Operations",Headcount!$H$6:$H$89,"&gt;"&amp;BM3,Headcount!$G$6:$G$89,"&lt;"&amp;BM3)+BM8-BM9),(BL7+BM8-BM9)),SUMIFS(Headcount!$B$6:$B$89,Headcount!$F$6:$F$89,"Development Operations",Headcount!$H$6:$H$89,"&gt;"&amp;BM3,Headcount!$G$6:$G$89,"&lt;"&amp;BL3))</f>
        <v>17</v>
      </c>
      <c r="BN7" s="798">
        <f>IF(BN4="forecast",IF(BM4="actual",(SUMIFS(Headcount!$B$6:$B$89,Headcount!$F$6:$F$89,"Development Operations",Headcount!$H$6:$H$89,"&gt;"&amp;BN3,Headcount!$G$6:$G$89,"&lt;"&amp;BN3)+BN8-BN9),(BM7+BN8-BN9)),SUMIFS(Headcount!$B$6:$B$89,Headcount!$F$6:$F$89,"Development Operations",Headcount!$H$6:$H$89,"&gt;"&amp;BN3,Headcount!$G$6:$G$89,"&lt;"&amp;BM3))</f>
        <v>17</v>
      </c>
      <c r="BO7" s="798">
        <f>IF(BO4="forecast",IF(BN4="actual",(SUMIFS(Headcount!$B$6:$B$89,Headcount!$F$6:$F$89,"Development Operations",Headcount!$H$6:$H$89,"&gt;"&amp;BO3,Headcount!$G$6:$G$89,"&lt;"&amp;BO3)+BO8-BO9),(BN7+BO8-BO9)),SUMIFS(Headcount!$B$6:$B$89,Headcount!$F$6:$F$89,"Development Operations",Headcount!$H$6:$H$89,"&gt;"&amp;BO3,Headcount!$G$6:$G$89,"&lt;"&amp;BN3))</f>
        <v>17</v>
      </c>
      <c r="BP7" s="798">
        <f>IF(BP4="forecast",IF(BO4="actual",(SUMIFS(Headcount!$B$6:$B$89,Headcount!$F$6:$F$89,"Development Operations",Headcount!$H$6:$H$89,"&gt;"&amp;BP3,Headcount!$G$6:$G$89,"&lt;"&amp;BP3)+BP8-BP9),(BO7+BP8-BP9)),SUMIFS(Headcount!$B$6:$B$89,Headcount!$F$6:$F$89,"Development Operations",Headcount!$H$6:$H$89,"&gt;"&amp;BP3,Headcount!$G$6:$G$89,"&lt;"&amp;BO3))</f>
        <v>17</v>
      </c>
      <c r="BQ7" s="798">
        <f>IF(BQ4="forecast",IF(BP4="actual",(SUMIFS(Headcount!$B$6:$B$89,Headcount!$F$6:$F$89,"Development Operations",Headcount!$H$6:$H$89,"&gt;"&amp;BQ3,Headcount!$G$6:$G$89,"&lt;"&amp;BQ3)+BQ8-BQ9),(BP7+BQ8-BQ9)),SUMIFS(Headcount!$B$6:$B$89,Headcount!$F$6:$F$89,"Development Operations",Headcount!$H$6:$H$89,"&gt;"&amp;BQ3,Headcount!$G$6:$G$89,"&lt;"&amp;BP3))</f>
        <v>17</v>
      </c>
      <c r="BR7" s="798">
        <f>IF(BR4="forecast",IF(BQ4="actual",(SUMIFS(Headcount!$B$6:$B$89,Headcount!$F$6:$F$89,"Development Operations",Headcount!$H$6:$H$89,"&gt;"&amp;BR3,Headcount!$G$6:$G$89,"&lt;"&amp;BR3)+BR8-BR9),(BQ7+BR8-BR9)),SUMIFS(Headcount!$B$6:$B$89,Headcount!$F$6:$F$89,"Development Operations",Headcount!$H$6:$H$89,"&gt;"&amp;BR3,Headcount!$G$6:$G$89,"&lt;"&amp;BQ3))</f>
        <v>17</v>
      </c>
      <c r="BS7" s="798">
        <f>IF(BS4="forecast",IF(BR4="actual",(SUMIFS(Headcount!$B$6:$B$89,Headcount!$F$6:$F$89,"Development Operations",Headcount!$H$6:$H$89,"&gt;"&amp;BS3,Headcount!$G$6:$G$89,"&lt;"&amp;BS3)+BS8-BS9),(BR7+BS8-BS9)),SUMIFS(Headcount!$B$6:$B$89,Headcount!$F$6:$F$89,"Development Operations",Headcount!$H$6:$H$89,"&gt;"&amp;BS3,Headcount!$G$6:$G$89,"&lt;"&amp;BR3))</f>
        <v>17</v>
      </c>
      <c r="BT7" s="798">
        <f>IF(BT4="forecast",IF(BS4="actual",(SUMIFS(Headcount!$B$6:$B$89,Headcount!$F$6:$F$89,"Development Operations",Headcount!$H$6:$H$89,"&gt;"&amp;BT3,Headcount!$G$6:$G$89,"&lt;"&amp;BT3)+BT8-BT9),(BS7+BT8-BT9)),SUMIFS(Headcount!$B$6:$B$89,Headcount!$F$6:$F$89,"Development Operations",Headcount!$H$6:$H$89,"&gt;"&amp;BT3,Headcount!$G$6:$G$89,"&lt;"&amp;BS3))</f>
        <v>17</v>
      </c>
      <c r="BU7" s="798">
        <f>IF(BU4="forecast",IF(BT4="actual",(SUMIFS(Headcount!$B$6:$B$89,Headcount!$F$6:$F$89,"Development Operations",Headcount!$H$6:$H$89,"&gt;"&amp;BU3,Headcount!$G$6:$G$89,"&lt;"&amp;BU3)+BU8-BU9),(BT7+BU8-BU9)),SUMIFS(Headcount!$B$6:$B$89,Headcount!$F$6:$F$89,"Development Operations",Headcount!$H$6:$H$89,"&gt;"&amp;BU3,Headcount!$G$6:$G$89,"&lt;"&amp;BT3))</f>
        <v>17</v>
      </c>
      <c r="BV7" s="799">
        <f>IF(BV4="forecast",IF(BU4="actual",(SUMIFS(Headcount!$B$6:$B$89,Headcount!$F$6:$F$89,"Development Operations",Headcount!$H$6:$H$89,"&gt;"&amp;BV3,Headcount!$G$6:$G$89,"&lt;"&amp;BV3)+BV8-BV9),(BU7+BV8-BV9)),SUMIFS(Headcount!$B$6:$B$89,Headcount!$F$6:$F$89,"Development Operations",Headcount!$H$6:$H$89,"&gt;"&amp;BV3,Headcount!$G$6:$G$89,"&lt;"&amp;BU3))</f>
        <v>17</v>
      </c>
    </row>
    <row r="8" spans="2:74" x14ac:dyDescent="0.35">
      <c r="B8" s="794" t="s">
        <v>15</v>
      </c>
      <c r="C8" s="798">
        <f>SUMIFS('New Hires Forecast'!$B$5:$B$83,'New Hires Forecast'!$G$5:$G$83,"&gt;"&amp;BI!B3,'New Hires Forecast'!$G$5:$G$83,"&lt;="&amp;BI!C3,'New Hires Forecast'!$G$5:$G$83,"Dev Ops")</f>
        <v>0</v>
      </c>
      <c r="D8" s="798">
        <f>SUMIFS('New Hires Forecast'!$B$5:$B$83,'New Hires Forecast'!$G$5:$G$83,"&gt;"&amp;BI!C3,'New Hires Forecast'!$G$5:$G$83,"&lt;="&amp;BI!D3,'New Hires Forecast'!$G$5:$G$83,"Dev Ops")</f>
        <v>0</v>
      </c>
      <c r="E8" s="798">
        <f>SUMIFS('New Hires Forecast'!$B$5:$B$83,'New Hires Forecast'!$G$5:$G$83,"&gt;"&amp;BI!D3,'New Hires Forecast'!$G$5:$G$83,"&lt;="&amp;BI!E3,'New Hires Forecast'!$G$5:$G$83,"Dev Ops")</f>
        <v>0</v>
      </c>
      <c r="F8" s="798">
        <f>SUMIFS('New Hires Forecast'!$B$5:$B$83,'New Hires Forecast'!$G$5:$G$83,"&gt;"&amp;BI!E3,'New Hires Forecast'!$G$5:$G$83,"&lt;="&amp;BI!F3,'New Hires Forecast'!$G$5:$G$83,"Dev Ops")</f>
        <v>0</v>
      </c>
      <c r="G8" s="798">
        <f>SUMIFS('New Hires Forecast'!$B$5:$B$83,'New Hires Forecast'!$G$5:$G$83,"&gt;"&amp;BI!F3,'New Hires Forecast'!$G$5:$G$83,"&lt;="&amp;BI!G3,'New Hires Forecast'!$G$5:$G$83,"Dev Ops")</f>
        <v>0</v>
      </c>
      <c r="H8" s="798">
        <f>SUMIFS('New Hires Forecast'!$B$5:$B$83,'New Hires Forecast'!$G$5:$G$83,"&gt;"&amp;BI!G3,'New Hires Forecast'!$G$5:$G$83,"&lt;="&amp;BI!H3,'New Hires Forecast'!$G$5:$G$83,"Dev Ops")</f>
        <v>0</v>
      </c>
      <c r="I8" s="798">
        <f>SUMIFS('New Hires Forecast'!$B$5:$B$83,'New Hires Forecast'!$G$5:$G$83,"&gt;"&amp;BI!H3,'New Hires Forecast'!$G$5:$G$83,"&lt;="&amp;BI!I3,'New Hires Forecast'!$G$5:$G$83,"Dev Ops")</f>
        <v>0</v>
      </c>
      <c r="J8" s="798">
        <f>SUMIFS('New Hires Forecast'!$B$5:$B$83,'New Hires Forecast'!$G$5:$G$83,"&gt;"&amp;BI!I3,'New Hires Forecast'!$G$5:$G$83,"&lt;="&amp;BI!J3,'New Hires Forecast'!$G$5:$G$83,"Dev Ops")</f>
        <v>0</v>
      </c>
      <c r="K8" s="798">
        <f>SUMIFS('New Hires Forecast'!$B$5:$B$83,'New Hires Forecast'!$G$5:$G$83,"&gt;"&amp;BI!J3,'New Hires Forecast'!$G$5:$G$83,"&lt;="&amp;BI!K3,'New Hires Forecast'!$G$5:$G$83,"Dev Ops")</f>
        <v>0</v>
      </c>
      <c r="L8" s="798">
        <f>SUMIFS('New Hires Forecast'!$B$5:$B$83,'New Hires Forecast'!$G$5:$G$83,"&gt;"&amp;BI!K3,'New Hires Forecast'!$G$5:$G$83,"&lt;="&amp;BI!L3,'New Hires Forecast'!$G$5:$G$83,"Dev Ops")</f>
        <v>0</v>
      </c>
      <c r="M8" s="798">
        <f>SUMIFS('New Hires Forecast'!$B$5:$B$83,'New Hires Forecast'!$G$5:$G$83,"&gt;"&amp;BI!L3,'New Hires Forecast'!$G$5:$G$83,"&lt;="&amp;BI!M3,'New Hires Forecast'!$G$5:$G$83,"Dev Ops")</f>
        <v>0</v>
      </c>
      <c r="N8" s="798">
        <f>SUMIFS('New Hires Forecast'!$B$5:$B$83,'New Hires Forecast'!$G$5:$G$83,"&gt;"&amp;BI!M3,'New Hires Forecast'!$G$5:$G$83,"&lt;="&amp;BI!N3,'New Hires Forecast'!$G$5:$G$83,"Dev Ops")</f>
        <v>0</v>
      </c>
      <c r="O8" s="798">
        <f>SUMIFS('New Hires Forecast'!$B$5:$B$83,'New Hires Forecast'!$G$5:$G$83,"&gt;"&amp;BI!N3,'New Hires Forecast'!$G$5:$G$83,"&lt;="&amp;BI!O3,'New Hires Forecast'!$G$5:$G$83,"Dev Ops")</f>
        <v>0</v>
      </c>
      <c r="P8" s="798">
        <f>SUMIFS('New Hires Forecast'!$B$5:$B$83,'New Hires Forecast'!$G$5:$G$83,"&gt;"&amp;BI!O3,'New Hires Forecast'!$G$5:$G$83,"&lt;="&amp;BI!P3,'New Hires Forecast'!$G$5:$G$83,"Dev Ops")</f>
        <v>0</v>
      </c>
      <c r="Q8" s="798">
        <f>SUMIFS('New Hires Forecast'!$B$5:$B$83,'New Hires Forecast'!$G$5:$G$83,"&gt;"&amp;BI!P3,'New Hires Forecast'!$G$5:$G$83,"&lt;="&amp;BI!Q3,'New Hires Forecast'!$G$5:$G$83,"Dev Ops")</f>
        <v>0</v>
      </c>
      <c r="R8" s="798">
        <f>SUMIFS('New Hires Forecast'!$B$5:$B$83,'New Hires Forecast'!$G$5:$G$83,"&gt;"&amp;BI!Q3,'New Hires Forecast'!$G$5:$G$83,"&lt;="&amp;BI!R3,'New Hires Forecast'!$G$5:$G$83,"Dev Ops")</f>
        <v>0</v>
      </c>
      <c r="S8" s="798">
        <f>SUMIFS('New Hires Forecast'!$B$5:$B$83,'New Hires Forecast'!$G$5:$G$83,"&gt;"&amp;BI!R3,'New Hires Forecast'!$G$5:$G$83,"&lt;="&amp;BI!S3,'New Hires Forecast'!$G$5:$G$83,"Dev Ops")</f>
        <v>0</v>
      </c>
      <c r="T8" s="798">
        <f>SUMIFS('New Hires Forecast'!$B$5:$B$83,'New Hires Forecast'!$G$5:$G$83,"&gt;"&amp;BI!S3,'New Hires Forecast'!$G$5:$G$83,"&lt;="&amp;BI!T3,'New Hires Forecast'!$G$5:$G$83,"Dev Ops")</f>
        <v>0</v>
      </c>
      <c r="U8" s="798">
        <f>SUMIFS('New Hires Forecast'!$B$5:$B$83,'New Hires Forecast'!$G$5:$G$83,"&gt;"&amp;BI!T3,'New Hires Forecast'!$G$5:$G$83,"&lt;="&amp;BI!U3,'New Hires Forecast'!$G$5:$G$83,"Dev Ops")</f>
        <v>0</v>
      </c>
      <c r="V8" s="798">
        <f>SUMIFS('New Hires Forecast'!$B$5:$B$83,'New Hires Forecast'!$G$5:$G$83,"&gt;"&amp;BI!U3,'New Hires Forecast'!$G$5:$G$83,"&lt;="&amp;BI!V3,'New Hires Forecast'!$G$5:$G$83,"Dev Ops")</f>
        <v>0</v>
      </c>
      <c r="W8" s="798">
        <f>SUMIFS('New Hires Forecast'!$B$5:$B$83,'New Hires Forecast'!$G$5:$G$83,"&gt;"&amp;BI!V3,'New Hires Forecast'!$G$5:$G$83,"&lt;="&amp;BI!W3,'New Hires Forecast'!$G$5:$G$83,"Dev Ops")</f>
        <v>0</v>
      </c>
      <c r="X8" s="798">
        <f>SUMIFS('New Hires Forecast'!$B$5:$B$83,'New Hires Forecast'!$G$5:$G$83,"&gt;"&amp;BI!W3,'New Hires Forecast'!$G$5:$G$83,"&lt;="&amp;BI!X3,'New Hires Forecast'!$G$5:$G$83,"Dev Ops")</f>
        <v>0</v>
      </c>
      <c r="Y8" s="798">
        <f>SUMIFS('New Hires Forecast'!$B$5:$B$83,'New Hires Forecast'!$G$5:$G$83,"&gt;"&amp;BI!X3,'New Hires Forecast'!$G$5:$G$83,"&lt;="&amp;BI!Y3,'New Hires Forecast'!$G$5:$G$83,"Dev Ops")</f>
        <v>0</v>
      </c>
      <c r="Z8" s="798">
        <f>SUMIFS('New Hires Forecast'!$B$5:$B$83,'New Hires Forecast'!$G$5:$G$83,"&gt;"&amp;BI!Y3,'New Hires Forecast'!$G$5:$G$83,"&lt;="&amp;BI!Z3,'New Hires Forecast'!$G$5:$G$83,"Dev Ops")</f>
        <v>0</v>
      </c>
      <c r="AA8" s="798">
        <f>SUMIFS('New Hires Forecast'!$B$5:$B$83,'New Hires Forecast'!$G$5:$G$83,"&gt;"&amp;BI!Z3,'New Hires Forecast'!$G$5:$G$83,"&lt;="&amp;BI!AA3,'New Hires Forecast'!$G$5:$G$83,"Dev Ops")</f>
        <v>0</v>
      </c>
      <c r="AB8" s="798">
        <f>SUMIFS('New Hires Forecast'!$B$5:$B$83,'New Hires Forecast'!$G$5:$G$83,"&gt;"&amp;BI!AA3,'New Hires Forecast'!$G$5:$G$83,"&lt;="&amp;BI!AB3,'New Hires Forecast'!$G$5:$G$83,"Dev Ops")</f>
        <v>0</v>
      </c>
      <c r="AC8" s="798">
        <f>SUMIFS('New Hires Forecast'!$B$5:$B$83,'New Hires Forecast'!$G$5:$G$83,"&gt;"&amp;BI!AB3,'New Hires Forecast'!$G$5:$G$83,"&lt;="&amp;BI!AC3,'New Hires Forecast'!$G$5:$G$83,"Dev Ops")</f>
        <v>0</v>
      </c>
      <c r="AD8" s="798">
        <f>SUMIFS('New Hires Forecast'!$B$5:$B$83,'New Hires Forecast'!$G$5:$G$83,"&gt;"&amp;BI!AC3,'New Hires Forecast'!$G$5:$G$83,"&lt;="&amp;BI!AD3,'New Hires Forecast'!$G$5:$G$83,"Dev Ops")</f>
        <v>0</v>
      </c>
      <c r="AE8" s="798">
        <f>SUMIFS('New Hires Forecast'!$B$5:$B$83,'New Hires Forecast'!$G$5:$G$83,"&gt;"&amp;BI!AD3,'New Hires Forecast'!$G$5:$G$83,"&lt;="&amp;BI!AE3,'New Hires Forecast'!$G$5:$G$83,"Dev Ops")</f>
        <v>0</v>
      </c>
      <c r="AF8" s="798">
        <f>SUMIFS('New Hires Forecast'!$B$5:$B$83,'New Hires Forecast'!$G$5:$G$83,"&gt;"&amp;BI!AE3,'New Hires Forecast'!$G$5:$G$83,"&lt;="&amp;BI!AF3,'New Hires Forecast'!$G$5:$G$83,"Dev Ops")</f>
        <v>0</v>
      </c>
      <c r="AG8" s="798">
        <f>SUMIFS('New Hires Forecast'!$B$5:$B$83,'New Hires Forecast'!$G$5:$G$83,"&gt;"&amp;BI!AF3,'New Hires Forecast'!$G$5:$G$83,"&lt;="&amp;BI!AG3,'New Hires Forecast'!$G$5:$G$83,"Dev Ops")</f>
        <v>0</v>
      </c>
      <c r="AH8" s="798">
        <f>SUMIFS('New Hires Forecast'!$B$5:$B$83,'New Hires Forecast'!$G$5:$G$83,"&gt;"&amp;BI!AG3,'New Hires Forecast'!$G$5:$G$83,"&lt;="&amp;BI!AH3,'New Hires Forecast'!$G$5:$G$83,"Dev Ops")</f>
        <v>0</v>
      </c>
      <c r="AI8" s="798">
        <f>SUMIFS('New Hires Forecast'!$B$5:$B$83,'New Hires Forecast'!$G$5:$G$83,"&gt;"&amp;BI!AH3,'New Hires Forecast'!$G$5:$G$83,"&lt;="&amp;BI!AI3,'New Hires Forecast'!$G$5:$G$83,"Dev Ops")</f>
        <v>0</v>
      </c>
      <c r="AJ8" s="798">
        <f>SUMIFS('New Hires Forecast'!$B$5:$B$83,'New Hires Forecast'!$G$5:$G$83,"&gt;"&amp;BI!AI3,'New Hires Forecast'!$G$5:$G$83,"&lt;="&amp;BI!AJ3,'New Hires Forecast'!$G$5:$G$83,"Dev Ops")</f>
        <v>0</v>
      </c>
      <c r="AK8" s="798">
        <f>SUMIFS('New Hires Forecast'!$B$5:$B$83,'New Hires Forecast'!$G$5:$G$83,"&gt;"&amp;BI!AJ3,'New Hires Forecast'!$G$5:$G$83,"&lt;="&amp;BI!AK3,'New Hires Forecast'!$G$5:$G$83,"Dev Ops")</f>
        <v>0</v>
      </c>
      <c r="AL8" s="798">
        <f>SUMIFS('New Hires Forecast'!$B$5:$B$83,'New Hires Forecast'!$G$5:$G$83,"&gt;"&amp;BI!AK3,'New Hires Forecast'!$G$5:$G$83,"&lt;="&amp;BI!AL3,'New Hires Forecast'!$G$5:$G$83,"Dev Ops")</f>
        <v>0</v>
      </c>
      <c r="AM8" s="798">
        <f>SUMIFS('New Hires Forecast'!$B$5:$B$83,'New Hires Forecast'!$G$5:$G$83,"&gt;"&amp;BI!AL3,'New Hires Forecast'!$G$5:$G$83,"&lt;="&amp;BI!AM3,'New Hires Forecast'!$G$5:$G$83,"Dev Ops")</f>
        <v>0</v>
      </c>
      <c r="AN8" s="798">
        <f>SUMIFS('New Hires Forecast'!$B$5:$B$83,'New Hires Forecast'!$G$5:$G$83,"&gt;"&amp;BI!AM3,'New Hires Forecast'!$G$5:$G$83,"&lt;="&amp;BI!AN3,'New Hires Forecast'!$G$5:$G$83,"Dev Ops")</f>
        <v>0</v>
      </c>
      <c r="AO8" s="798">
        <f>SUMIFS('New Hires Forecast'!$B$5:$B$83,'New Hires Forecast'!$G$5:$G$83,"&gt;"&amp;BI!AN3,'New Hires Forecast'!$G$5:$G$83,"&lt;="&amp;BI!AO3,'New Hires Forecast'!$G$5:$G$83,"Dev Ops")</f>
        <v>0</v>
      </c>
      <c r="AP8" s="798">
        <f>SUMIFS('New Hires Forecast'!$B$5:$B$83,'New Hires Forecast'!$G$5:$G$83,"&gt;"&amp;BI!AO3,'New Hires Forecast'!$G$5:$G$83,"&lt;="&amp;BI!AP3,'New Hires Forecast'!$G$5:$G$83,"Dev Ops")</f>
        <v>0</v>
      </c>
      <c r="AQ8" s="798">
        <f>SUMIFS('New Hires Forecast'!$B$5:$B$83,'New Hires Forecast'!$G$5:$G$83,"&gt;"&amp;BI!AP3,'New Hires Forecast'!$G$5:$G$83,"&lt;="&amp;BI!AQ3,'New Hires Forecast'!$G$5:$G$83,"Dev Ops")</f>
        <v>0</v>
      </c>
      <c r="AR8" s="798">
        <f>SUMIFS('New Hires Forecast'!$B$5:$B$83,'New Hires Forecast'!$G$5:$G$83,"&gt;"&amp;BI!AQ3,'New Hires Forecast'!$G$5:$G$83,"&lt;="&amp;BI!AR3,'New Hires Forecast'!$G$5:$G$83,"Dev Ops")</f>
        <v>0</v>
      </c>
      <c r="AS8" s="798">
        <f>SUMIFS('New Hires Forecast'!$B$5:$B$83,'New Hires Forecast'!$G$5:$G$83,"&gt;"&amp;BI!AR3,'New Hires Forecast'!$G$5:$G$83,"&lt;="&amp;BI!AS3,'New Hires Forecast'!$G$5:$G$83,"Dev Ops")</f>
        <v>0</v>
      </c>
      <c r="AT8" s="798">
        <f>SUMIFS('New Hires Forecast'!$B$5:$B$83,'New Hires Forecast'!$G$5:$G$83,"&gt;"&amp;BI!AS3,'New Hires Forecast'!$G$5:$G$83,"&lt;="&amp;BI!AT3,'New Hires Forecast'!$G$5:$G$83,"Dev Ops")</f>
        <v>0</v>
      </c>
      <c r="AU8" s="798">
        <f>SUMIFS('New Hires Forecast'!$B$5:$B$83,'New Hires Forecast'!$G$5:$G$83,"&gt;"&amp;BI!AT3,'New Hires Forecast'!$G$5:$G$83,"&lt;="&amp;BI!AU3,'New Hires Forecast'!$G$5:$G$83,"Dev Ops")</f>
        <v>0</v>
      </c>
      <c r="AV8" s="798">
        <f>SUMIFS('New Hires Forecast'!$B$5:$B$83,'New Hires Forecast'!$G$5:$G$83,"&gt;"&amp;BI!AU3,'New Hires Forecast'!$G$5:$G$83,"&lt;="&amp;BI!AV3,'New Hires Forecast'!$G$5:$G$83,"Dev Ops")</f>
        <v>0</v>
      </c>
      <c r="AW8" s="798">
        <f>SUMIFS('New Hires Forecast'!$B$5:$B$83,'New Hires Forecast'!$G$5:$G$83,"&gt;"&amp;BI!AV3,'New Hires Forecast'!$G$5:$G$83,"&lt;="&amp;BI!AW3,'New Hires Forecast'!$G$5:$G$83,"Dev Ops")</f>
        <v>0</v>
      </c>
      <c r="AX8" s="798">
        <f>SUMIFS('New Hires Forecast'!$B$5:$B$83,'New Hires Forecast'!$G$5:$G$83,"&gt;"&amp;BI!AW3,'New Hires Forecast'!$G$5:$G$83,"&lt;="&amp;BI!AX3,'New Hires Forecast'!$G$5:$G$83,"Dev Ops")</f>
        <v>0</v>
      </c>
      <c r="AY8" s="798">
        <f>SUMIFS('New Hires Forecast'!$B$5:$B$83,'New Hires Forecast'!$G$5:$G$83,"&gt;"&amp;BI!AX3,'New Hires Forecast'!$G$5:$G$83,"&lt;="&amp;BI!AY3,'New Hires Forecast'!$G$5:$G$83,"Dev Ops")</f>
        <v>0</v>
      </c>
      <c r="AZ8" s="798">
        <f>SUMIFS('New Hires Forecast'!$B$5:$B$83,'New Hires Forecast'!$G$5:$G$83,"&gt;"&amp;BI!AY3,'New Hires Forecast'!$G$5:$G$83,"&lt;="&amp;BI!AZ3,'New Hires Forecast'!$G$5:$G$83,"Dev Ops")</f>
        <v>0</v>
      </c>
      <c r="BA8" s="798">
        <f>SUMIFS('New Hires Forecast'!$B$5:$B$83,'New Hires Forecast'!$G$5:$G$83,"&gt;"&amp;BI!AZ3,'New Hires Forecast'!$G$5:$G$83,"&lt;="&amp;BI!BA3,'New Hires Forecast'!$G$5:$G$83,"Dev Ops")</f>
        <v>0</v>
      </c>
      <c r="BB8" s="798">
        <f>SUMIFS('New Hires Forecast'!$B$5:$B$83,'New Hires Forecast'!$G$5:$G$83,"&gt;"&amp;BI!BA3,'New Hires Forecast'!$G$5:$G$83,"&lt;="&amp;BI!BB3,'New Hires Forecast'!$G$5:$G$83,"Dev Ops")</f>
        <v>0</v>
      </c>
      <c r="BC8" s="798">
        <f>SUMIFS('New Hires Forecast'!$B$5:$B$83,'New Hires Forecast'!$G$5:$G$83,"&gt;"&amp;BI!BB3,'New Hires Forecast'!$G$5:$G$83,"&lt;="&amp;BI!BC3,'New Hires Forecast'!$G$5:$G$83,"Dev Ops")</f>
        <v>0</v>
      </c>
      <c r="BD8" s="798">
        <f>SUMIFS('New Hires Forecast'!$B$5:$B$83,'New Hires Forecast'!$G$5:$G$83,"&gt;"&amp;BI!BC3,'New Hires Forecast'!$G$5:$G$83,"&lt;="&amp;BI!BD3,'New Hires Forecast'!$G$5:$G$83,"Dev Ops")</f>
        <v>0</v>
      </c>
      <c r="BE8" s="798">
        <f>SUMIFS('New Hires Forecast'!$B$5:$B$83,'New Hires Forecast'!$G$5:$G$83,"&gt;"&amp;BI!BD3,'New Hires Forecast'!$G$5:$G$83,"&lt;="&amp;BI!BE3,'New Hires Forecast'!$G$5:$G$83,"Dev Ops")</f>
        <v>0</v>
      </c>
      <c r="BF8" s="798">
        <f>SUMIFS('New Hires Forecast'!$B$5:$B$83,'New Hires Forecast'!$G$5:$G$83,"&gt;"&amp;BI!BE3,'New Hires Forecast'!$G$5:$G$83,"&lt;="&amp;BI!BF3,'New Hires Forecast'!$G$5:$G$83,"Dev Ops")</f>
        <v>0</v>
      </c>
      <c r="BG8" s="798">
        <f>SUMIFS('New Hires Forecast'!$B$5:$B$83,'New Hires Forecast'!$G$5:$G$83,"&gt;"&amp;BI!BF3,'New Hires Forecast'!$G$5:$G$83,"&lt;="&amp;BI!BG3,'New Hires Forecast'!$G$5:$G$83,"Dev Ops")</f>
        <v>0</v>
      </c>
      <c r="BH8" s="798">
        <f>SUMIFS('New Hires Forecast'!$B$5:$B$83,'New Hires Forecast'!$G$5:$G$83,"&gt;"&amp;BI!BG3,'New Hires Forecast'!$G$5:$G$83,"&lt;="&amp;BI!BH3,'New Hires Forecast'!$G$5:$G$83,"Dev Ops")</f>
        <v>0</v>
      </c>
      <c r="BI8" s="798">
        <f>SUMIFS('New Hires Forecast'!$B$5:$B$83,'New Hires Forecast'!$G$5:$G$83,"&gt;"&amp;BI!BH3,'New Hires Forecast'!$G$5:$G$83,"&lt;="&amp;BI!BI3,'New Hires Forecast'!$G$5:$G$83,"Dev Ops")</f>
        <v>0</v>
      </c>
      <c r="BJ8" s="798">
        <f>SUMIFS('New Hires Forecast'!$B$5:$B$83,'New Hires Forecast'!$G$5:$G$83,"&gt;"&amp;BI!BI3,'New Hires Forecast'!$G$5:$G$83,"&lt;="&amp;BI!BJ3,'New Hires Forecast'!$G$5:$G$83,"Dev Ops")</f>
        <v>0</v>
      </c>
      <c r="BK8" s="798">
        <f>SUMIFS('New Hires Forecast'!$B$5:$B$83,'New Hires Forecast'!$G$5:$G$83,"&gt;"&amp;BI!BJ3,'New Hires Forecast'!$G$5:$G$83,"&lt;="&amp;BI!BK3,'New Hires Forecast'!$G$5:$G$83,"Dev Ops")</f>
        <v>0</v>
      </c>
      <c r="BL8" s="798">
        <f>SUMIFS('New Hires Forecast'!$B$5:$B$83,'New Hires Forecast'!$G$5:$G$83,"&gt;"&amp;BI!BK3,'New Hires Forecast'!$G$5:$G$83,"&lt;="&amp;BI!BL3,'New Hires Forecast'!$G$5:$G$83,"Dev Ops")</f>
        <v>0</v>
      </c>
      <c r="BM8" s="798">
        <f>SUMIFS('New Hires Forecast'!$B$5:$B$83,'New Hires Forecast'!$G$5:$G$83,"&gt;"&amp;BI!BL3,'New Hires Forecast'!$G$5:$G$83,"&lt;="&amp;BI!BM3,'New Hires Forecast'!$G$5:$G$83,"Dev Ops")</f>
        <v>0</v>
      </c>
      <c r="BN8" s="798">
        <f>SUMIFS('New Hires Forecast'!$B$5:$B$83,'New Hires Forecast'!$G$5:$G$83,"&gt;"&amp;BI!BM3,'New Hires Forecast'!$G$5:$G$83,"&lt;="&amp;BI!BN3,'New Hires Forecast'!$G$5:$G$83,"Dev Ops")</f>
        <v>0</v>
      </c>
      <c r="BO8" s="798">
        <f>SUMIFS('New Hires Forecast'!$B$5:$B$83,'New Hires Forecast'!$G$5:$G$83,"&gt;"&amp;BI!BN3,'New Hires Forecast'!$G$5:$G$83,"&lt;="&amp;BI!BO3,'New Hires Forecast'!$G$5:$G$83,"Dev Ops")</f>
        <v>0</v>
      </c>
      <c r="BP8" s="798">
        <f>SUMIFS('New Hires Forecast'!$B$5:$B$83,'New Hires Forecast'!$G$5:$G$83,"&gt;"&amp;BI!BO3,'New Hires Forecast'!$G$5:$G$83,"&lt;="&amp;BI!BP3,'New Hires Forecast'!$G$5:$G$83,"Dev Ops")</f>
        <v>0</v>
      </c>
      <c r="BQ8" s="798">
        <f>SUMIFS('New Hires Forecast'!$B$5:$B$83,'New Hires Forecast'!$G$5:$G$83,"&gt;"&amp;BI!BP3,'New Hires Forecast'!$G$5:$G$83,"&lt;="&amp;BI!BQ3,'New Hires Forecast'!$G$5:$G$83,"Dev Ops")</f>
        <v>0</v>
      </c>
      <c r="BR8" s="798">
        <f>SUMIFS('New Hires Forecast'!$B$5:$B$83,'New Hires Forecast'!$G$5:$G$83,"&gt;"&amp;BI!BQ3,'New Hires Forecast'!$G$5:$G$83,"&lt;="&amp;BI!BR3,'New Hires Forecast'!$G$5:$G$83,"Dev Ops")</f>
        <v>0</v>
      </c>
      <c r="BS8" s="798">
        <f>SUMIFS('New Hires Forecast'!$B$5:$B$83,'New Hires Forecast'!$G$5:$G$83,"&gt;"&amp;BI!BR3,'New Hires Forecast'!$G$5:$G$83,"&lt;="&amp;BI!BS3,'New Hires Forecast'!$G$5:$G$83,"Dev Ops")</f>
        <v>0</v>
      </c>
      <c r="BT8" s="798">
        <f>SUMIFS('New Hires Forecast'!$B$5:$B$83,'New Hires Forecast'!$G$5:$G$83,"&gt;"&amp;BI!BS3,'New Hires Forecast'!$G$5:$G$83,"&lt;="&amp;BI!BT3,'New Hires Forecast'!$G$5:$G$83,"Dev Ops")</f>
        <v>0</v>
      </c>
      <c r="BU8" s="798">
        <f>SUMIFS('New Hires Forecast'!$B$5:$B$83,'New Hires Forecast'!$G$5:$G$83,"&gt;"&amp;BI!BT3,'New Hires Forecast'!$G$5:$G$83,"&lt;="&amp;BI!BU3,'New Hires Forecast'!$G$5:$G$83,"Dev Ops")</f>
        <v>0</v>
      </c>
      <c r="BV8" s="799">
        <f>SUMIFS('New Hires Forecast'!$B$5:$B$83,'New Hires Forecast'!$G$5:$G$83,"&gt;"&amp;BI!BU3,'New Hires Forecast'!$G$5:$G$83,"&lt;="&amp;BI!BV3,'New Hires Forecast'!$G$5:$G$83,"Dev Ops")</f>
        <v>0</v>
      </c>
    </row>
    <row r="9" spans="2:74" x14ac:dyDescent="0.35">
      <c r="B9" s="794" t="s">
        <v>150</v>
      </c>
      <c r="C9" s="798">
        <f>SUMIFS(Headcount!$B$6:$B$88,Headcount!$H$6:$H$88,"&gt;"&amp;B3,Headcount!$H$6:$H$88,"&lt;="&amp;C3,Headcount!$H$6:$H$88,"Dev Ops")</f>
        <v>0</v>
      </c>
      <c r="D9" s="798">
        <f>SUMIFS(Headcount!$B$6:$B$88,Headcount!$H$6:$H$88,"&gt;"&amp;C3,Headcount!$H$6:$H$88,"&lt;="&amp;D3,Headcount!$H$6:$H$88,"Dev Ops")</f>
        <v>0</v>
      </c>
      <c r="E9" s="798">
        <f>SUMIFS(Headcount!$B$6:$B$88,Headcount!$H$6:$H$88,"&gt;"&amp;D3,Headcount!$H$6:$H$88,"&lt;="&amp;E3,Headcount!$H$6:$H$88,"Dev Ops")</f>
        <v>0</v>
      </c>
      <c r="F9" s="798">
        <f>SUMIFS(Headcount!$B$6:$B$88,Headcount!$H$6:$H$88,"&gt;"&amp;E3,Headcount!$H$6:$H$88,"&lt;="&amp;F3,Headcount!$H$6:$H$88,"Dev Ops")</f>
        <v>0</v>
      </c>
      <c r="G9" s="798">
        <f>SUMIFS(Headcount!$B$6:$B$88,Headcount!$H$6:$H$88,"&gt;"&amp;F3,Headcount!$H$6:$H$88,"&lt;="&amp;G3,Headcount!$H$6:$H$88,"Dev Ops")</f>
        <v>0</v>
      </c>
      <c r="H9" s="798">
        <f>SUMIFS(Headcount!$B$6:$B$88,Headcount!$H$6:$H$88,"&gt;"&amp;G3,Headcount!$H$6:$H$88,"&lt;="&amp;H3,Headcount!$H$6:$H$88,"Dev Ops")</f>
        <v>0</v>
      </c>
      <c r="I9" s="798">
        <f>SUMIFS(Headcount!$B$6:$B$88,Headcount!$H$6:$H$88,"&gt;"&amp;H3,Headcount!$H$6:$H$88,"&lt;="&amp;I3,Headcount!$H$6:$H$88,"Dev Ops")</f>
        <v>0</v>
      </c>
      <c r="J9" s="798">
        <f>SUMIFS(Headcount!$B$6:$B$88,Headcount!$H$6:$H$88,"&gt;"&amp;I3,Headcount!$H$6:$H$88,"&lt;="&amp;J3,Headcount!$H$6:$H$88,"Dev Ops")</f>
        <v>0</v>
      </c>
      <c r="K9" s="798">
        <f>SUMIFS(Headcount!$B$6:$B$88,Headcount!$H$6:$H$88,"&gt;"&amp;J3,Headcount!$H$6:$H$88,"&lt;="&amp;K3,Headcount!$H$6:$H$88,"Dev Ops")</f>
        <v>0</v>
      </c>
      <c r="L9" s="798">
        <f>SUMIFS(Headcount!$B$6:$B$88,Headcount!$H$6:$H$88,"&gt;"&amp;K3,Headcount!$H$6:$H$88,"&lt;="&amp;L3,Headcount!$H$6:$H$88,"Dev Ops")</f>
        <v>0</v>
      </c>
      <c r="M9" s="798">
        <f>SUMIFS(Headcount!$B$6:$B$88,Headcount!$H$6:$H$88,"&gt;"&amp;L3,Headcount!$H$6:$H$88,"&lt;="&amp;M3,Headcount!$H$6:$H$88,"Dev Ops")</f>
        <v>0</v>
      </c>
      <c r="N9" s="798">
        <f>SUMIFS(Headcount!$B$6:$B$88,Headcount!$H$6:$H$88,"&gt;"&amp;M3,Headcount!$H$6:$H$88,"&lt;="&amp;N3,Headcount!$H$6:$H$88,"Dev Ops")</f>
        <v>0</v>
      </c>
      <c r="O9" s="798">
        <f>SUMIFS(Headcount!$B$6:$B$88,Headcount!$H$6:$H$88,"&gt;"&amp;N3,Headcount!$H$6:$H$88,"&lt;="&amp;O3,Headcount!$H$6:$H$88,"Dev Ops")</f>
        <v>0</v>
      </c>
      <c r="P9" s="798">
        <f>SUMIFS(Headcount!$B$6:$B$88,Headcount!$H$6:$H$88,"&gt;"&amp;O3,Headcount!$H$6:$H$88,"&lt;="&amp;P3,Headcount!$H$6:$H$88,"Dev Ops")</f>
        <v>0</v>
      </c>
      <c r="Q9" s="798">
        <f>SUMIFS(Headcount!$B$6:$B$88,Headcount!$H$6:$H$88,"&gt;"&amp;P3,Headcount!$H$6:$H$88,"&lt;="&amp;Q3,Headcount!$H$6:$H$88,"Dev Ops")</f>
        <v>0</v>
      </c>
      <c r="R9" s="798">
        <f>SUMIFS(Headcount!$B$6:$B$88,Headcount!$H$6:$H$88,"&gt;"&amp;Q3,Headcount!$H$6:$H$88,"&lt;="&amp;R3,Headcount!$H$6:$H$88,"Dev Ops")</f>
        <v>0</v>
      </c>
      <c r="S9" s="798">
        <f>SUMIFS(Headcount!$B$6:$B$88,Headcount!$H$6:$H$88,"&gt;"&amp;R3,Headcount!$H$6:$H$88,"&lt;="&amp;S3,Headcount!$H$6:$H$88,"Dev Ops")</f>
        <v>0</v>
      </c>
      <c r="T9" s="798">
        <f>SUMIFS(Headcount!$B$6:$B$88,Headcount!$H$6:$H$88,"&gt;"&amp;S3,Headcount!$H$6:$H$88,"&lt;="&amp;T3,Headcount!$H$6:$H$88,"Dev Ops")</f>
        <v>0</v>
      </c>
      <c r="U9" s="798">
        <f>SUMIFS(Headcount!$B$6:$B$88,Headcount!$H$6:$H$88,"&gt;"&amp;T3,Headcount!$H$6:$H$88,"&lt;="&amp;U3,Headcount!$H$6:$H$88,"Dev Ops")</f>
        <v>0</v>
      </c>
      <c r="V9" s="798">
        <f>SUMIFS(Headcount!$B$6:$B$88,Headcount!$H$6:$H$88,"&gt;"&amp;U3,Headcount!$H$6:$H$88,"&lt;="&amp;V3,Headcount!$H$6:$H$88,"Dev Ops")</f>
        <v>0</v>
      </c>
      <c r="W9" s="798">
        <f>SUMIFS(Headcount!$B$6:$B$88,Headcount!$H$6:$H$88,"&gt;"&amp;V3,Headcount!$H$6:$H$88,"&lt;="&amp;W3,Headcount!$H$6:$H$88,"Dev Ops")</f>
        <v>0</v>
      </c>
      <c r="X9" s="798">
        <f>SUMIFS(Headcount!$B$6:$B$88,Headcount!$H$6:$H$88,"&gt;"&amp;W3,Headcount!$H$6:$H$88,"&lt;="&amp;X3,Headcount!$H$6:$H$88,"Dev Ops")</f>
        <v>0</v>
      </c>
      <c r="Y9" s="798">
        <f>SUMIFS(Headcount!$B$6:$B$88,Headcount!$H$6:$H$88,"&gt;"&amp;X3,Headcount!$H$6:$H$88,"&lt;="&amp;Y3,Headcount!$H$6:$H$88,"Dev Ops")</f>
        <v>0</v>
      </c>
      <c r="Z9" s="798">
        <f>SUMIFS(Headcount!$B$6:$B$88,Headcount!$H$6:$H$88,"&gt;"&amp;Y3,Headcount!$H$6:$H$88,"&lt;="&amp;Z3,Headcount!$H$6:$H$88,"Dev Ops")</f>
        <v>0</v>
      </c>
      <c r="AA9" s="798">
        <f>SUMIFS(Headcount!$B$6:$B$88,Headcount!$H$6:$H$88,"&gt;"&amp;Z3,Headcount!$H$6:$H$88,"&lt;="&amp;AA3,Headcount!$H$6:$H$88,"Dev Ops")</f>
        <v>0</v>
      </c>
      <c r="AB9" s="798">
        <f>SUMIFS(Headcount!$B$6:$B$88,Headcount!$H$6:$H$88,"&gt;"&amp;AA3,Headcount!$H$6:$H$88,"&lt;="&amp;AB3,Headcount!$H$6:$H$88,"Dev Ops")</f>
        <v>0</v>
      </c>
      <c r="AC9" s="798">
        <f>SUMIFS(Headcount!$B$6:$B$88,Headcount!$H$6:$H$88,"&gt;"&amp;AB3,Headcount!$H$6:$H$88,"&lt;="&amp;AC3,Headcount!$H$6:$H$88,"Dev Ops")</f>
        <v>0</v>
      </c>
      <c r="AD9" s="798">
        <f>SUMIFS(Headcount!$B$6:$B$88,Headcount!$H$6:$H$88,"&gt;"&amp;AC3,Headcount!$H$6:$H$88,"&lt;="&amp;AD3,Headcount!$H$6:$H$88,"Dev Ops")</f>
        <v>0</v>
      </c>
      <c r="AE9" s="798">
        <f>SUMIFS(Headcount!$B$6:$B$88,Headcount!$H$6:$H$88,"&gt;"&amp;AD3,Headcount!$H$6:$H$88,"&lt;="&amp;AE3,Headcount!$H$6:$H$88,"Dev Ops")</f>
        <v>0</v>
      </c>
      <c r="AF9" s="798">
        <f>SUMIFS(Headcount!$B$6:$B$88,Headcount!$H$6:$H$88,"&gt;"&amp;AE3,Headcount!$H$6:$H$88,"&lt;="&amp;AF3,Headcount!$H$6:$H$88,"Dev Ops")</f>
        <v>0</v>
      </c>
      <c r="AG9" s="798">
        <f>SUMIFS(Headcount!$B$6:$B$88,Headcount!$H$6:$H$88,"&gt;"&amp;AF3,Headcount!$H$6:$H$88,"&lt;="&amp;AG3,Headcount!$H$6:$H$88,"Dev Ops")</f>
        <v>0</v>
      </c>
      <c r="AH9" s="798">
        <f>SUMIFS(Headcount!$B$6:$B$88,Headcount!$H$6:$H$88,"&gt;"&amp;AG3,Headcount!$H$6:$H$88,"&lt;="&amp;AH3,Headcount!$H$6:$H$88,"Dev Ops")</f>
        <v>0</v>
      </c>
      <c r="AI9" s="798">
        <f>SUMIFS(Headcount!$B$6:$B$88,Headcount!$H$6:$H$88,"&gt;"&amp;AH3,Headcount!$H$6:$H$88,"&lt;="&amp;AI3,Headcount!$H$6:$H$88,"Dev Ops")</f>
        <v>0</v>
      </c>
      <c r="AJ9" s="798">
        <f>SUMIFS(Headcount!$B$6:$B$88,Headcount!$H$6:$H$88,"&gt;"&amp;AI3,Headcount!$H$6:$H$88,"&lt;="&amp;AJ3,Headcount!$H$6:$H$88,"Dev Ops")</f>
        <v>0</v>
      </c>
      <c r="AK9" s="798">
        <f>SUMIFS(Headcount!$B$6:$B$88,Headcount!$H$6:$H$88,"&gt;"&amp;AJ3,Headcount!$H$6:$H$88,"&lt;="&amp;AK3,Headcount!$H$6:$H$88,"Dev Ops")</f>
        <v>0</v>
      </c>
      <c r="AL9" s="798">
        <f>SUMIFS(Headcount!$B$6:$B$88,Headcount!$H$6:$H$88,"&gt;"&amp;AK3,Headcount!$H$6:$H$88,"&lt;="&amp;AL3,Headcount!$H$6:$H$88,"Dev Ops")</f>
        <v>0</v>
      </c>
      <c r="AM9" s="798">
        <f>SUMIFS(Headcount!$B$6:$B$88,Headcount!$H$6:$H$88,"&gt;"&amp;AL3,Headcount!$H$6:$H$88,"&lt;="&amp;AM3,Headcount!$H$6:$H$88,"Dev Ops")</f>
        <v>0</v>
      </c>
      <c r="AN9" s="798">
        <f>SUMIFS(Headcount!$B$6:$B$88,Headcount!$H$6:$H$88,"&gt;"&amp;AM3,Headcount!$H$6:$H$88,"&lt;="&amp;AN3,Headcount!$H$6:$H$88,"Dev Ops")</f>
        <v>0</v>
      </c>
      <c r="AO9" s="798">
        <f>SUMIFS(Headcount!$B$6:$B$88,Headcount!$H$6:$H$88,"&gt;"&amp;AN3,Headcount!$H$6:$H$88,"&lt;="&amp;AO3,Headcount!$H$6:$H$88,"Dev Ops")</f>
        <v>0</v>
      </c>
      <c r="AP9" s="798">
        <f>SUMIFS(Headcount!$B$6:$B$88,Headcount!$H$6:$H$88,"&gt;"&amp;AO3,Headcount!$H$6:$H$88,"&lt;="&amp;AP3,Headcount!$H$6:$H$88,"Dev Ops")</f>
        <v>0</v>
      </c>
      <c r="AQ9" s="798">
        <f>SUMIFS(Headcount!$B$6:$B$88,Headcount!$H$6:$H$88,"&gt;"&amp;AP3,Headcount!$H$6:$H$88,"&lt;="&amp;AQ3,Headcount!$H$6:$H$88,"Dev Ops")</f>
        <v>0</v>
      </c>
      <c r="AR9" s="798">
        <f>SUMIFS(Headcount!$B$6:$B$88,Headcount!$H$6:$H$88,"&gt;"&amp;AQ3,Headcount!$H$6:$H$88,"&lt;="&amp;AR3,Headcount!$H$6:$H$88,"Dev Ops")</f>
        <v>0</v>
      </c>
      <c r="AS9" s="798">
        <f>SUMIFS(Headcount!$B$6:$B$88,Headcount!$H$6:$H$88,"&gt;"&amp;AR3,Headcount!$H$6:$H$88,"&lt;="&amp;AS3,Headcount!$H$6:$H$88,"Dev Ops")</f>
        <v>0</v>
      </c>
      <c r="AT9" s="798">
        <f>SUMIFS(Headcount!$B$6:$B$88,Headcount!$H$6:$H$88,"&gt;"&amp;AS3,Headcount!$H$6:$H$88,"&lt;="&amp;AT3,Headcount!$H$6:$H$88,"Dev Ops")</f>
        <v>0</v>
      </c>
      <c r="AU9" s="798">
        <f>SUMIFS(Headcount!$B$6:$B$88,Headcount!$H$6:$H$88,"&gt;"&amp;AT3,Headcount!$H$6:$H$88,"&lt;="&amp;AU3,Headcount!$H$6:$H$88,"Dev Ops")</f>
        <v>0</v>
      </c>
      <c r="AV9" s="798">
        <f>SUMIFS(Headcount!$B$6:$B$88,Headcount!$H$6:$H$88,"&gt;"&amp;AU3,Headcount!$H$6:$H$88,"&lt;="&amp;AV3,Headcount!$H$6:$H$88,"Dev Ops")</f>
        <v>0</v>
      </c>
      <c r="AW9" s="798">
        <f>SUMIFS(Headcount!$B$6:$B$88,Headcount!$H$6:$H$88,"&gt;"&amp;AV3,Headcount!$H$6:$H$88,"&lt;="&amp;AW3,Headcount!$H$6:$H$88,"Dev Ops")</f>
        <v>0</v>
      </c>
      <c r="AX9" s="798">
        <f>SUMIFS(Headcount!$B$6:$B$88,Headcount!$H$6:$H$88,"&gt;"&amp;AW3,Headcount!$H$6:$H$88,"&lt;="&amp;AX3,Headcount!$H$6:$H$88,"Dev Ops")</f>
        <v>0</v>
      </c>
      <c r="AY9" s="798">
        <f>SUMIFS(Headcount!$B$6:$B$88,Headcount!$H$6:$H$88,"&gt;"&amp;AX3,Headcount!$H$6:$H$88,"&lt;="&amp;AY3,Headcount!$H$6:$H$88,"Dev Ops")</f>
        <v>0</v>
      </c>
      <c r="AZ9" s="798">
        <f>SUMIFS(Headcount!$B$6:$B$88,Headcount!$H$6:$H$88,"&gt;"&amp;AY3,Headcount!$H$6:$H$88,"&lt;="&amp;AZ3,Headcount!$H$6:$H$88,"Dev Ops")</f>
        <v>0</v>
      </c>
      <c r="BA9" s="798">
        <f>SUMIFS(Headcount!$B$6:$B$88,Headcount!$H$6:$H$88,"&gt;"&amp;AZ3,Headcount!$H$6:$H$88,"&lt;="&amp;BA3,Headcount!$H$6:$H$88,"Dev Ops")</f>
        <v>0</v>
      </c>
      <c r="BB9" s="798">
        <f>SUMIFS(Headcount!$B$6:$B$88,Headcount!$H$6:$H$88,"&gt;"&amp;BA3,Headcount!$H$6:$H$88,"&lt;="&amp;BB3,Headcount!$H$6:$H$88,"Dev Ops")</f>
        <v>0</v>
      </c>
      <c r="BC9" s="798">
        <f>SUMIFS(Headcount!$B$6:$B$88,Headcount!$H$6:$H$88,"&gt;"&amp;BB3,Headcount!$H$6:$H$88,"&lt;="&amp;BC3,Headcount!$H$6:$H$88,"Dev Ops")</f>
        <v>0</v>
      </c>
      <c r="BD9" s="798">
        <f>SUMIFS(Headcount!$B$6:$B$88,Headcount!$H$6:$H$88,"&gt;"&amp;BC3,Headcount!$H$6:$H$88,"&lt;="&amp;BD3,Headcount!$H$6:$H$88,"Dev Ops")</f>
        <v>0</v>
      </c>
      <c r="BE9" s="798">
        <f>SUMIFS(Headcount!$B$6:$B$88,Headcount!$H$6:$H$88,"&gt;"&amp;BD3,Headcount!$H$6:$H$88,"&lt;="&amp;BE3,Headcount!$H$6:$H$88,"Dev Ops")</f>
        <v>0</v>
      </c>
      <c r="BF9" s="798">
        <f>SUMIFS(Headcount!$B$6:$B$88,Headcount!$H$6:$H$88,"&gt;"&amp;BE3,Headcount!$H$6:$H$88,"&lt;="&amp;BF3,Headcount!$H$6:$H$88,"Dev Ops")</f>
        <v>0</v>
      </c>
      <c r="BG9" s="798">
        <f>SUMIFS(Headcount!$B$6:$B$88,Headcount!$H$6:$H$88,"&gt;"&amp;BF3,Headcount!$H$6:$H$88,"&lt;="&amp;BG3,Headcount!$H$6:$H$88,"Dev Ops")</f>
        <v>0</v>
      </c>
      <c r="BH9" s="798">
        <f>SUMIFS(Headcount!$B$6:$B$88,Headcount!$H$6:$H$88,"&gt;"&amp;BG3,Headcount!$H$6:$H$88,"&lt;="&amp;BH3,Headcount!$H$6:$H$88,"Dev Ops")</f>
        <v>0</v>
      </c>
      <c r="BI9" s="798">
        <f>SUMIFS(Headcount!$B$6:$B$88,Headcount!$H$6:$H$88,"&gt;"&amp;BH3,Headcount!$H$6:$H$88,"&lt;="&amp;BI3,Headcount!$H$6:$H$88,"Dev Ops")</f>
        <v>0</v>
      </c>
      <c r="BJ9" s="798">
        <f>SUMIFS(Headcount!$B$6:$B$88,Headcount!$H$6:$H$88,"&gt;"&amp;BI3,Headcount!$H$6:$H$88,"&lt;="&amp;BJ3,Headcount!$H$6:$H$88,"Dev Ops")</f>
        <v>0</v>
      </c>
      <c r="BK9" s="798">
        <f>SUMIFS(Headcount!$B$6:$B$88,Headcount!$H$6:$H$88,"&gt;"&amp;BJ3,Headcount!$H$6:$H$88,"&lt;="&amp;BK3,Headcount!$H$6:$H$88,"Dev Ops")</f>
        <v>0</v>
      </c>
      <c r="BL9" s="798">
        <f>SUMIFS(Headcount!$B$6:$B$88,Headcount!$H$6:$H$88,"&gt;"&amp;BK3,Headcount!$H$6:$H$88,"&lt;="&amp;BL3,Headcount!$H$6:$H$88,"Dev Ops")</f>
        <v>0</v>
      </c>
      <c r="BM9" s="798">
        <f>SUMIFS(Headcount!$B$6:$B$88,Headcount!$H$6:$H$88,"&gt;"&amp;BL3,Headcount!$H$6:$H$88,"&lt;="&amp;BM3,Headcount!$H$6:$H$88,"Dev Ops")</f>
        <v>0</v>
      </c>
      <c r="BN9" s="798">
        <f>SUMIFS(Headcount!$B$6:$B$88,Headcount!$H$6:$H$88,"&gt;"&amp;BM3,Headcount!$H$6:$H$88,"&lt;="&amp;BN3,Headcount!$H$6:$H$88,"Dev Ops")</f>
        <v>0</v>
      </c>
      <c r="BO9" s="798">
        <f>SUMIFS(Headcount!$B$6:$B$88,Headcount!$H$6:$H$88,"&gt;"&amp;BN3,Headcount!$H$6:$H$88,"&lt;="&amp;BO3,Headcount!$H$6:$H$88,"Dev Ops")</f>
        <v>0</v>
      </c>
      <c r="BP9" s="798">
        <f>SUMIFS(Headcount!$B$6:$B$88,Headcount!$H$6:$H$88,"&gt;"&amp;BO3,Headcount!$H$6:$H$88,"&lt;="&amp;BP3,Headcount!$H$6:$H$88,"Dev Ops")</f>
        <v>0</v>
      </c>
      <c r="BQ9" s="798">
        <f>SUMIFS(Headcount!$B$6:$B$88,Headcount!$H$6:$H$88,"&gt;"&amp;BP3,Headcount!$H$6:$H$88,"&lt;="&amp;BQ3,Headcount!$H$6:$H$88,"Dev Ops")</f>
        <v>0</v>
      </c>
      <c r="BR9" s="798">
        <f>SUMIFS(Headcount!$B$6:$B$88,Headcount!$H$6:$H$88,"&gt;"&amp;BQ3,Headcount!$H$6:$H$88,"&lt;="&amp;BR3,Headcount!$H$6:$H$88,"Dev Ops")</f>
        <v>0</v>
      </c>
      <c r="BS9" s="798">
        <f>SUMIFS(Headcount!$B$6:$B$88,Headcount!$H$6:$H$88,"&gt;"&amp;BR3,Headcount!$H$6:$H$88,"&lt;="&amp;BS3,Headcount!$H$6:$H$88,"Dev Ops")</f>
        <v>0</v>
      </c>
      <c r="BT9" s="798">
        <f>SUMIFS(Headcount!$B$6:$B$88,Headcount!$H$6:$H$88,"&gt;"&amp;BS3,Headcount!$H$6:$H$88,"&lt;="&amp;BT3,Headcount!$H$6:$H$88,"Dev Ops")</f>
        <v>0</v>
      </c>
      <c r="BU9" s="798">
        <f>SUMIFS(Headcount!$B$6:$B$88,Headcount!$H$6:$H$88,"&gt;"&amp;BT3,Headcount!$H$6:$H$88,"&lt;="&amp;BU3,Headcount!$H$6:$H$88,"Dev Ops")</f>
        <v>0</v>
      </c>
      <c r="BV9" s="799">
        <f>SUMIFS(Headcount!$B$6:$B$88,Headcount!$H$6:$H$88,"&gt;"&amp;BU3,Headcount!$H$6:$H$88,"&lt;="&amp;BV3,Headcount!$H$6:$H$88,"Dev Ops")</f>
        <v>0</v>
      </c>
    </row>
    <row r="10" spans="2:74" x14ac:dyDescent="0.35">
      <c r="B10" s="800"/>
      <c r="C10" s="157"/>
      <c r="D10" s="157"/>
      <c r="E10" s="157"/>
      <c r="F10" s="157"/>
      <c r="G10" s="157"/>
      <c r="H10" s="157"/>
      <c r="I10" s="157"/>
      <c r="J10" s="157"/>
      <c r="K10" s="157"/>
      <c r="L10" s="157"/>
      <c r="M10" s="157"/>
      <c r="N10" s="157"/>
      <c r="O10" s="157"/>
      <c r="P10" s="157"/>
      <c r="Q10" s="157"/>
      <c r="R10" s="157"/>
      <c r="S10" s="157"/>
      <c r="T10" s="157"/>
      <c r="U10" s="157"/>
      <c r="V10" s="157"/>
      <c r="W10" s="157"/>
      <c r="X10" s="157"/>
      <c r="Y10" s="157"/>
      <c r="Z10" s="157"/>
      <c r="AA10" s="157"/>
      <c r="AB10" s="157"/>
      <c r="AC10" s="157"/>
      <c r="AD10" s="157"/>
      <c r="AE10" s="157"/>
      <c r="AF10" s="157"/>
      <c r="AG10" s="157"/>
      <c r="AH10" s="157"/>
      <c r="AI10" s="157"/>
      <c r="AJ10" s="157"/>
      <c r="AK10" s="157"/>
      <c r="AL10" s="157"/>
      <c r="AM10" s="157"/>
      <c r="AN10" s="157"/>
      <c r="AO10" s="157"/>
      <c r="AP10" s="157"/>
      <c r="AQ10" s="157"/>
      <c r="AR10" s="157"/>
      <c r="AS10" s="157"/>
      <c r="AT10" s="157"/>
      <c r="AU10" s="157"/>
      <c r="AV10" s="157"/>
      <c r="AW10" s="157"/>
      <c r="AX10" s="157"/>
      <c r="AY10" s="157"/>
      <c r="AZ10" s="157"/>
      <c r="BA10" s="157"/>
      <c r="BB10" s="157"/>
      <c r="BC10" s="157"/>
      <c r="BD10" s="157"/>
      <c r="BE10" s="157"/>
      <c r="BF10" s="157"/>
      <c r="BG10" s="157"/>
      <c r="BH10" s="157"/>
      <c r="BI10" s="157"/>
      <c r="BJ10" s="157"/>
      <c r="BK10" s="157"/>
      <c r="BL10" s="157"/>
      <c r="BM10" s="157"/>
      <c r="BN10" s="157"/>
      <c r="BO10" s="157"/>
      <c r="BP10" s="157"/>
      <c r="BQ10" s="157"/>
      <c r="BR10" s="157"/>
      <c r="BS10" s="157"/>
      <c r="BT10" s="157"/>
      <c r="BU10" s="157"/>
      <c r="BV10" s="801"/>
    </row>
    <row r="11" spans="2:74" x14ac:dyDescent="0.35">
      <c r="B11" s="802" t="s">
        <v>933</v>
      </c>
      <c r="C11" s="803"/>
      <c r="D11" s="803"/>
      <c r="E11" s="803"/>
      <c r="F11" s="803"/>
      <c r="G11" s="803"/>
      <c r="H11" s="803"/>
      <c r="I11" s="803"/>
      <c r="J11" s="803"/>
      <c r="K11" s="803"/>
      <c r="L11" s="803"/>
      <c r="M11" s="803"/>
      <c r="N11" s="803"/>
      <c r="O11" s="804"/>
      <c r="P11" s="804"/>
      <c r="Q11" s="804"/>
      <c r="R11" s="804"/>
      <c r="S11" s="804"/>
      <c r="T11" s="804"/>
      <c r="U11" s="804"/>
      <c r="V11" s="804"/>
      <c r="W11" s="804"/>
      <c r="X11" s="804"/>
      <c r="Y11" s="804"/>
      <c r="Z11" s="804"/>
      <c r="AA11" s="804"/>
      <c r="AB11" s="804"/>
      <c r="AC11" s="804"/>
      <c r="AD11" s="804"/>
      <c r="AE11" s="804"/>
      <c r="AF11" s="804"/>
      <c r="AG11" s="804"/>
      <c r="AH11" s="804"/>
      <c r="AI11" s="804"/>
      <c r="AJ11" s="804"/>
      <c r="AK11" s="804"/>
      <c r="AL11" s="804"/>
      <c r="AM11" s="804"/>
      <c r="AN11" s="804"/>
      <c r="AO11" s="804"/>
      <c r="AP11" s="804"/>
      <c r="AQ11" s="804"/>
      <c r="AR11" s="804"/>
      <c r="AS11" s="804"/>
      <c r="AT11" s="804"/>
      <c r="AU11" s="804"/>
      <c r="AV11" s="804"/>
      <c r="AW11" s="804"/>
      <c r="AX11" s="804"/>
      <c r="AY11" s="804"/>
      <c r="AZ11" s="804"/>
      <c r="BA11" s="804"/>
      <c r="BB11" s="804"/>
      <c r="BC11" s="804"/>
      <c r="BD11" s="804"/>
      <c r="BE11" s="804"/>
      <c r="BF11" s="804"/>
      <c r="BG11" s="804"/>
      <c r="BH11" s="804"/>
      <c r="BI11" s="804"/>
      <c r="BJ11" s="804"/>
      <c r="BK11" s="804"/>
      <c r="BL11" s="804"/>
      <c r="BM11" s="804"/>
      <c r="BN11" s="804"/>
      <c r="BO11" s="804"/>
      <c r="BP11" s="804"/>
      <c r="BQ11" s="804"/>
      <c r="BR11" s="804"/>
      <c r="BS11" s="804"/>
      <c r="BT11" s="804"/>
      <c r="BU11" s="804"/>
      <c r="BV11" s="805"/>
    </row>
    <row r="12" spans="2:74" x14ac:dyDescent="0.35">
      <c r="B12" s="797" t="s">
        <v>934</v>
      </c>
      <c r="C12" s="806">
        <f>IF(C$4="forecast",IF(YEAR(C$3)=YEAR(Headcount!$N$4),((SUMIFS(Headcount!$N$6:$N$89,Headcount!$F$6:$F$89,"Development Operations",Headcount!$H$6:$H$89,"&gt;="&amp;BI!C$3)/12)),IF(YEAR(C$3)=YEAR(Headcount!$O$4),IF((C$5=2),((SUMIFS(Headcount!$O$6:$O$89,Headcount!$F$6:$F$89,"Development Operations",Headcount!$H$6:$H$89,"&gt;="&amp;BI!C$3)/12)),B12),IF(YEAR(C$3)=YEAR(Headcount!$P$4),IF((C$5=2),((SUMIFS(Headcount!$P$6:$P$89,Headcount!$F$6:$F$89,"Development Operations",Headcount!$H$6:$H$89,"&gt;="&amp;BI!C$3)/12)),B12),IF(YEAR(C$3)=YEAR(Headcount!$Q$4),IF((C$5=2),((SUMIFS(Headcount!$Q$6:$Q$89,Headcount!$F$6:$F$89,"Development Operations",Headcount!$H$6:$H$89,"&gt;="&amp;BI!C$3)/12)),B12),IF(YEAR(C$3)=YEAR(Headcount!$R$4),IF((C$5=2),((SUMIFS(Headcount!$R$6:$R$89,Headcount!$F$6:$F$89,"Development Operations",Headcount!$H$6:$H$89,"&gt;="&amp;BI!C$3)/12)),B12),"New Year"))))),'Dept. Cost Actuals'!G824-'Dept. Cost Actuals'!G814)</f>
        <v>20759.3</v>
      </c>
      <c r="D12" s="806">
        <f>IF(D$4="forecast",IF(YEAR(D$3)=YEAR(Headcount!$N$4),((SUMIFS(Headcount!$N$6:$N$89,Headcount!$F$6:$F$89,"Development Operations",Headcount!$H$6:$H$89,"&gt;="&amp;BI!D$3)/12)),IF(YEAR(D$3)=YEAR(Headcount!$O$4),IF((D$5=2),((SUMIFS(Headcount!$O$6:$O$89,Headcount!$F$6:$F$89,"Development Operations",Headcount!$H$6:$H$89,"&gt;="&amp;BI!D$3)/12)),C12),IF(YEAR(D$3)=YEAR(Headcount!$P$4),IF((D$5=2),((SUMIFS(Headcount!$P$6:$P$89,Headcount!$F$6:$F$89,"Development Operations",Headcount!$H$6:$H$89,"&gt;="&amp;BI!D$3)/12)),C12),IF(YEAR(D$3)=YEAR(Headcount!$Q$4),IF((D$5=2),((SUMIFS(Headcount!$Q$6:$Q$89,Headcount!$F$6:$F$89,"Development Operations",Headcount!$H$6:$H$89,"&gt;="&amp;BI!D$3)/12)),C12),IF(YEAR(D$3)=YEAR(Headcount!$R$4),IF((D$5=2),((SUMIFS(Headcount!$R$6:$R$89,Headcount!$F$6:$F$89,"Development Operations",Headcount!$H$6:$H$89,"&gt;="&amp;BI!D$3)/12)),C12),"New Year"))))),'Dept. Cost Actuals'!H824-'Dept. Cost Actuals'!H814)</f>
        <v>19938.13</v>
      </c>
      <c r="E12" s="806">
        <f>IF(E$4="forecast",IF(YEAR(E$3)=YEAR(Headcount!$N$4),((SUMIFS(Headcount!$N$6:$N$89,Headcount!$F$6:$F$89,"Development Operations",Headcount!$H$6:$H$89,"&gt;="&amp;BI!E$3)/12)),IF(YEAR(E$3)=YEAR(Headcount!$O$4),IF((E$5=2),((SUMIFS(Headcount!$O$6:$O$89,Headcount!$F$6:$F$89,"Development Operations",Headcount!$H$6:$H$89,"&gt;="&amp;BI!E$3)/12)),D12),IF(YEAR(E$3)=YEAR(Headcount!$P$4),IF((E$5=2),((SUMIFS(Headcount!$P$6:$P$89,Headcount!$F$6:$F$89,"Development Operations",Headcount!$H$6:$H$89,"&gt;="&amp;BI!E$3)/12)),D12),IF(YEAR(E$3)=YEAR(Headcount!$Q$4),IF((E$5=2),((SUMIFS(Headcount!$Q$6:$Q$89,Headcount!$F$6:$F$89,"Development Operations",Headcount!$H$6:$H$89,"&gt;="&amp;BI!E$3)/12)),D12),IF(YEAR(E$3)=YEAR(Headcount!$R$4),IF((E$5=2),((SUMIFS(Headcount!$R$6:$R$89,Headcount!$F$6:$F$89,"Development Operations",Headcount!$H$6:$H$89,"&gt;="&amp;BI!E$3)/12)),D12),"New Year"))))),'Dept. Cost Actuals'!I824-'Dept. Cost Actuals'!I814)</f>
        <v>19708.23</v>
      </c>
      <c r="F12" s="806">
        <f>IF(F$4="forecast",IF(YEAR(F$3)=YEAR(Headcount!$N$4),((SUMIFS(Headcount!$N$6:$N$89,Headcount!$F$6:$F$89,"Development Operations",Headcount!$H$6:$H$89,"&gt;="&amp;BI!F$3)/12)),IF(YEAR(F$3)=YEAR(Headcount!$O$4),IF((F$5=2),((SUMIFS(Headcount!$O$6:$O$89,Headcount!$F$6:$F$89,"Development Operations",Headcount!$H$6:$H$89,"&gt;="&amp;BI!F$3)/12)),E12),IF(YEAR(F$3)=YEAR(Headcount!$P$4),IF((F$5=2),((SUMIFS(Headcount!$P$6:$P$89,Headcount!$F$6:$F$89,"Development Operations",Headcount!$H$6:$H$89,"&gt;="&amp;BI!F$3)/12)),E12),IF(YEAR(F$3)=YEAR(Headcount!$Q$4),IF((F$5=2),((SUMIFS(Headcount!$Q$6:$Q$89,Headcount!$F$6:$F$89,"Development Operations",Headcount!$H$6:$H$89,"&gt;="&amp;BI!F$3)/12)),E12),IF(YEAR(F$3)=YEAR(Headcount!$R$4),IF((F$5=2),((SUMIFS(Headcount!$R$6:$R$89,Headcount!$F$6:$F$89,"Development Operations",Headcount!$H$6:$H$89,"&gt;="&amp;BI!F$3)/12)),E12),"New Year"))))),'Dept. Cost Actuals'!J824-'Dept. Cost Actuals'!J814)</f>
        <v>22006.140000000003</v>
      </c>
      <c r="G12" s="806">
        <f>IF(G$4="forecast",IF(YEAR(G$3)=YEAR(Headcount!$N$4),((SUMIFS(Headcount!$N$6:$N$89,Headcount!$F$6:$F$89,"Development Operations",Headcount!$H$6:$H$89,"&gt;="&amp;BI!G$3)/12)),IF(YEAR(G$3)=YEAR(Headcount!$O$4),IF((G$5=2),((SUMIFS(Headcount!$O$6:$O$89,Headcount!$F$6:$F$89,"Development Operations",Headcount!$H$6:$H$89,"&gt;="&amp;BI!G$3)/12)),F12),IF(YEAR(G$3)=YEAR(Headcount!$P$4),IF((G$5=2),((SUMIFS(Headcount!$P$6:$P$89,Headcount!$F$6:$F$89,"Development Operations",Headcount!$H$6:$H$89,"&gt;="&amp;BI!G$3)/12)),F12),IF(YEAR(G$3)=YEAR(Headcount!$Q$4),IF((G$5=2),((SUMIFS(Headcount!$Q$6:$Q$89,Headcount!$F$6:$F$89,"Development Operations",Headcount!$H$6:$H$89,"&gt;="&amp;BI!G$3)/12)),F12),IF(YEAR(G$3)=YEAR(Headcount!$R$4),IF((G$5=2),((SUMIFS(Headcount!$R$6:$R$89,Headcount!$F$6:$F$89,"Development Operations",Headcount!$H$6:$H$89,"&gt;="&amp;BI!G$3)/12)),F12),"New Year"))))),'Dept. Cost Actuals'!K824-'Dept. Cost Actuals'!K814)</f>
        <v>22054.17</v>
      </c>
      <c r="H12" s="806">
        <f>IF(H$4="forecast",IF(YEAR(H$3)=YEAR(Headcount!$N$4),((SUMIFS(Headcount!$N$6:$N$89,Headcount!$F$6:$F$89,"Development Operations",Headcount!$H$6:$H$89,"&gt;="&amp;BI!H$3)/12)),IF(YEAR(H$3)=YEAR(Headcount!$O$4),IF((H$5=2),((SUMIFS(Headcount!$O$6:$O$89,Headcount!$F$6:$F$89,"Development Operations",Headcount!$H$6:$H$89,"&gt;="&amp;BI!H$3)/12)),G12),IF(YEAR(H$3)=YEAR(Headcount!$P$4),IF((H$5=2),((SUMIFS(Headcount!$P$6:$P$89,Headcount!$F$6:$F$89,"Development Operations",Headcount!$H$6:$H$89,"&gt;="&amp;BI!H$3)/12)),G12),IF(YEAR(H$3)=YEAR(Headcount!$Q$4),IF((H$5=2),((SUMIFS(Headcount!$Q$6:$Q$89,Headcount!$F$6:$F$89,"Development Operations",Headcount!$H$6:$H$89,"&gt;="&amp;BI!H$3)/12)),G12),IF(YEAR(H$3)=YEAR(Headcount!$R$4),IF((H$5=2),((SUMIFS(Headcount!$R$6:$R$89,Headcount!$F$6:$F$89,"Development Operations",Headcount!$H$6:$H$89,"&gt;="&amp;BI!H$3)/12)),G12),"New Year"))))),'Dept. Cost Actuals'!L824-'Dept. Cost Actuals'!L814)</f>
        <v>30928.66</v>
      </c>
      <c r="I12" s="806">
        <f>IF(I$4="forecast",IF(YEAR(I$3)=YEAR(Headcount!$N$4),((SUMIFS(Headcount!$N$6:$N$89,Headcount!$F$6:$F$89,"Development Operations",Headcount!$H$6:$H$89,"&gt;="&amp;BI!I$3)/12)),IF(YEAR(I$3)=YEAR(Headcount!$O$4),IF((I$5=2),((SUMIFS(Headcount!$O$6:$O$89,Headcount!$F$6:$F$89,"Development Operations",Headcount!$H$6:$H$89,"&gt;="&amp;BI!I$3)/12)),H12),IF(YEAR(I$3)=YEAR(Headcount!$P$4),IF((I$5=2),((SUMIFS(Headcount!$P$6:$P$89,Headcount!$F$6:$F$89,"Development Operations",Headcount!$H$6:$H$89,"&gt;="&amp;BI!I$3)/12)),H12),IF(YEAR(I$3)=YEAR(Headcount!$Q$4),IF((I$5=2),((SUMIFS(Headcount!$Q$6:$Q$89,Headcount!$F$6:$F$89,"Development Operations",Headcount!$H$6:$H$89,"&gt;="&amp;BI!I$3)/12)),H12),IF(YEAR(I$3)=YEAR(Headcount!$R$4),IF((I$5=2),((SUMIFS(Headcount!$R$6:$R$89,Headcount!$F$6:$F$89,"Development Operations",Headcount!$H$6:$H$89,"&gt;="&amp;BI!I$3)/12)),H12),"New Year"))))),'Dept. Cost Actuals'!M824-'Dept. Cost Actuals'!M814)</f>
        <v>20619.11</v>
      </c>
      <c r="J12" s="806">
        <f>IF(J$4="forecast",IF(YEAR(J$3)=YEAR(Headcount!$N$4),((SUMIFS(Headcount!$N$6:$N$89,Headcount!$F$6:$F$89,"Development Operations",Headcount!$H$6:$H$89,"&gt;="&amp;BI!J$3)/12)),IF(YEAR(J$3)=YEAR(Headcount!$O$4),IF((J$5=2),((SUMIFS(Headcount!$O$6:$O$89,Headcount!$F$6:$F$89,"Development Operations",Headcount!$H$6:$H$89,"&gt;="&amp;BI!J$3)/12)),I12),IF(YEAR(J$3)=YEAR(Headcount!$P$4),IF((J$5=2),((SUMIFS(Headcount!$P$6:$P$89,Headcount!$F$6:$F$89,"Development Operations",Headcount!$H$6:$H$89,"&gt;="&amp;BI!J$3)/12)),I12),IF(YEAR(J$3)=YEAR(Headcount!$Q$4),IF((J$5=2),((SUMIFS(Headcount!$Q$6:$Q$89,Headcount!$F$6:$F$89,"Development Operations",Headcount!$H$6:$H$89,"&gt;="&amp;BI!J$3)/12)),I12),IF(YEAR(J$3)=YEAR(Headcount!$R$4),IF((J$5=2),((SUMIFS(Headcount!$R$6:$R$89,Headcount!$F$6:$F$89,"Development Operations",Headcount!$H$6:$H$89,"&gt;="&amp;BI!J$3)/12)),I12),"New Year"))))),'Dept. Cost Actuals'!N824-'Dept. Cost Actuals'!N814)</f>
        <v>24748.86</v>
      </c>
      <c r="K12" s="806">
        <f>IF(K$4="forecast",IF(YEAR(K$3)=YEAR(Headcount!$N$4),((SUMIFS(Headcount!$N$6:$N$89,Headcount!$F$6:$F$89,"Development Operations",Headcount!$H$6:$H$89,"&gt;="&amp;BI!K$3)/12)),IF(YEAR(K$3)=YEAR(Headcount!$O$4),IF((K$5=2),((SUMIFS(Headcount!$O$6:$O$89,Headcount!$F$6:$F$89,"Development Operations",Headcount!$H$6:$H$89,"&gt;="&amp;BI!K$3)/12)),J12),IF(YEAR(K$3)=YEAR(Headcount!$P$4),IF((K$5=2),((SUMIFS(Headcount!$P$6:$P$89,Headcount!$F$6:$F$89,"Development Operations",Headcount!$H$6:$H$89,"&gt;="&amp;BI!K$3)/12)),J12),IF(YEAR(K$3)=YEAR(Headcount!$Q$4),IF((K$5=2),((SUMIFS(Headcount!$Q$6:$Q$89,Headcount!$F$6:$F$89,"Development Operations",Headcount!$H$6:$H$89,"&gt;="&amp;BI!K$3)/12)),J12),IF(YEAR(K$3)=YEAR(Headcount!$R$4),IF((K$5=2),((SUMIFS(Headcount!$R$6:$R$89,Headcount!$F$6:$F$89,"Development Operations",Headcount!$H$6:$H$89,"&gt;="&amp;BI!K$3)/12)),J12),"New Year"))))),'Dept. Cost Actuals'!O824-'Dept. Cost Actuals'!O814)</f>
        <v>22151.039999999997</v>
      </c>
      <c r="L12" s="806">
        <f>IF(L$4="forecast",IF(YEAR(L$3)=YEAR(Headcount!$N$4),((SUMIFS(Headcount!$N$6:$N$89,Headcount!$F$6:$F$89,"Development Operations",Headcount!$H$6:$H$89,"&gt;="&amp;BI!L$3)/12)),IF(YEAR(L$3)=YEAR(Headcount!$O$4),IF((L$5=2),((SUMIFS(Headcount!$O$6:$O$89,Headcount!$F$6:$F$89,"Development Operations",Headcount!$H$6:$H$89,"&gt;="&amp;BI!L$3)/12)),K12),IF(YEAR(L$3)=YEAR(Headcount!$P$4),IF((L$5=2),((SUMIFS(Headcount!$P$6:$P$89,Headcount!$F$6:$F$89,"Development Operations",Headcount!$H$6:$H$89,"&gt;="&amp;BI!L$3)/12)),K12),IF(YEAR(L$3)=YEAR(Headcount!$Q$4),IF((L$5=2),((SUMIFS(Headcount!$Q$6:$Q$89,Headcount!$F$6:$F$89,"Development Operations",Headcount!$H$6:$H$89,"&gt;="&amp;BI!L$3)/12)),K12),IF(YEAR(L$3)=YEAR(Headcount!$R$4),IF((L$5=2),((SUMIFS(Headcount!$R$6:$R$89,Headcount!$F$6:$F$89,"Development Operations",Headcount!$H$6:$H$89,"&gt;="&amp;BI!L$3)/12)),K12),"New Year"))))),'Dept. Cost Actuals'!P824-'Dept. Cost Actuals'!P814)</f>
        <v>26570.52</v>
      </c>
      <c r="M12" s="806">
        <f>IF(M$4="forecast",IF(YEAR(M$3)=YEAR(Headcount!$N$4),((SUMIFS(Headcount!$N$6:$N$89,Headcount!$F$6:$F$89,"Development Operations",Headcount!$H$6:$H$89,"&gt;="&amp;BI!M$3)/12)),IF(YEAR(M$3)=YEAR(Headcount!$O$4),IF((M$5=2),((SUMIFS(Headcount!$O$6:$O$89,Headcount!$F$6:$F$89,"Development Operations",Headcount!$H$6:$H$89,"&gt;="&amp;BI!M$3)/12)),L12),IF(YEAR(M$3)=YEAR(Headcount!$P$4),IF((M$5=2),((SUMIFS(Headcount!$P$6:$P$89,Headcount!$F$6:$F$89,"Development Operations",Headcount!$H$6:$H$89,"&gt;="&amp;BI!M$3)/12)),L12),IF(YEAR(M$3)=YEAR(Headcount!$Q$4),IF((M$5=2),((SUMIFS(Headcount!$Q$6:$Q$89,Headcount!$F$6:$F$89,"Development Operations",Headcount!$H$6:$H$89,"&gt;="&amp;BI!M$3)/12)),L12),IF(YEAR(M$3)=YEAR(Headcount!$R$4),IF((M$5=2),((SUMIFS(Headcount!$R$6:$R$89,Headcount!$F$6:$F$89,"Development Operations",Headcount!$H$6:$H$89,"&gt;="&amp;BI!M$3)/12)),L12),"New Year"))))),'Dept. Cost Actuals'!Q824-'Dept. Cost Actuals'!Q814)</f>
        <v>53436.23</v>
      </c>
      <c r="N12" s="806">
        <f>IF(N$4="forecast",IF(YEAR(N$3)=YEAR(Headcount!$N$4),((SUMIFS(Headcount!$N$6:$N$89,Headcount!$F$6:$F$89,"Development Operations",Headcount!$H$6:$H$89,"&gt;="&amp;BI!N$3)/12)),IF(YEAR(N$3)=YEAR(Headcount!$O$4),IF((N$5=2),((SUMIFS(Headcount!$O$6:$O$89,Headcount!$F$6:$F$89,"Development Operations",Headcount!$H$6:$H$89,"&gt;="&amp;BI!N$3)/12)),M12),IF(YEAR(N$3)=YEAR(Headcount!$P$4),IF((N$5=2),((SUMIFS(Headcount!$P$6:$P$89,Headcount!$F$6:$F$89,"Development Operations",Headcount!$H$6:$H$89,"&gt;="&amp;BI!N$3)/12)),M12),IF(YEAR(N$3)=YEAR(Headcount!$Q$4),IF((N$5=2),((SUMIFS(Headcount!$Q$6:$Q$89,Headcount!$F$6:$F$89,"Development Operations",Headcount!$H$6:$H$89,"&gt;="&amp;BI!N$3)/12)),M12),IF(YEAR(N$3)=YEAR(Headcount!$R$4),IF((N$5=2),((SUMIFS(Headcount!$R$6:$R$89,Headcount!$F$6:$F$89,"Development Operations",Headcount!$H$6:$H$89,"&gt;="&amp;BI!N$3)/12)),M12),"New Year"))))),'Dept. Cost Actuals'!R824-'Dept. Cost Actuals'!R814)</f>
        <v>48197.46</v>
      </c>
      <c r="O12" s="806">
        <f>IF(O$4="forecast",IF(YEAR(O$3)=YEAR(Headcount!$N$4),((SUMIFS(Headcount!$N$6:$N$89,Headcount!$F$6:$F$89,"Development Operations",Headcount!$H$6:$H$89,"&gt;="&amp;BI!O$3)/12)),IF(YEAR(O$3)=YEAR(Headcount!$O$4),IF((O$5=2),((SUMIFS(Headcount!$O$6:$O$89,Headcount!$F$6:$F$89,"Development Operations",Headcount!$H$6:$H$89,"&gt;="&amp;BI!O$3)/12)),N12),IF(YEAR(O$3)=YEAR(Headcount!$P$4),IF((O$5=2),((SUMIFS(Headcount!$P$6:$P$89,Headcount!$F$6:$F$89,"Development Operations",Headcount!$H$6:$H$89,"&gt;="&amp;BI!O$3)/12)),N12),IF(YEAR(O$3)=YEAR(Headcount!$Q$4),IF((O$5=2),((SUMIFS(Headcount!$Q$6:$Q$89,Headcount!$F$6:$F$89,"Development Operations",Headcount!$H$6:$H$89,"&gt;="&amp;BI!O$3)/12)),N12),IF(YEAR(O$3)=YEAR(Headcount!$R$4),IF((O$5=2),((SUMIFS(Headcount!$R$6:$R$89,Headcount!$F$6:$F$89,"Development Operations",Headcount!$H$6:$H$89,"&gt;="&amp;BI!O$3)/12)),N12),"New Year"))))),'Dept. Cost Actuals'!S824-'Dept. Cost Actuals'!S814)</f>
        <v>35863.93</v>
      </c>
      <c r="P12" s="806">
        <f>IF(P$4="forecast",IF(YEAR(P$3)=YEAR(Headcount!$N$4),((SUMIFS(Headcount!$N$6:$N$89,Headcount!$F$6:$F$89,"Development Operations",Headcount!$H$6:$H$89,"&gt;="&amp;BI!P$3)/12)),IF(YEAR(P$3)=YEAR(Headcount!$O$4),IF((P$5=2),((SUMIFS(Headcount!$O$6:$O$89,Headcount!$F$6:$F$89,"Development Operations",Headcount!$H$6:$H$89,"&gt;="&amp;BI!P$3)/12)),O12),IF(YEAR(P$3)=YEAR(Headcount!$P$4),IF((P$5=2),((SUMIFS(Headcount!$P$6:$P$89,Headcount!$F$6:$F$89,"Development Operations",Headcount!$H$6:$H$89,"&gt;="&amp;BI!P$3)/12)),O12),IF(YEAR(P$3)=YEAR(Headcount!$Q$4),IF((P$5=2),((SUMIFS(Headcount!$Q$6:$Q$89,Headcount!$F$6:$F$89,"Development Operations",Headcount!$H$6:$H$89,"&gt;="&amp;BI!P$3)/12)),O12),IF(YEAR(P$3)=YEAR(Headcount!$R$4),IF((P$5=2),((SUMIFS(Headcount!$R$6:$R$89,Headcount!$F$6:$F$89,"Development Operations",Headcount!$H$6:$H$89,"&gt;="&amp;BI!P$3)/12)),O12),"New Year"))))),'Dept. Cost Actuals'!T824-'Dept. Cost Actuals'!T814)</f>
        <v>24892.16</v>
      </c>
      <c r="Q12" s="806">
        <f>IF(Q$4="forecast",IF(YEAR(Q$3)=YEAR(Headcount!$N$4),((SUMIFS(Headcount!$N$6:$N$89,Headcount!$F$6:$F$89,"Development Operations",Headcount!$H$6:$H$89,"&gt;="&amp;BI!Q$3)/12)),IF(YEAR(Q$3)=YEAR(Headcount!$O$4),IF((Q$5=2),((SUMIFS(Headcount!$O$6:$O$89,Headcount!$F$6:$F$89,"Development Operations",Headcount!$H$6:$H$89,"&gt;="&amp;BI!Q$3)/12)),P12),IF(YEAR(Q$3)=YEAR(Headcount!$P$4),IF((Q$5=2),((SUMIFS(Headcount!$P$6:$P$89,Headcount!$F$6:$F$89,"Development Operations",Headcount!$H$6:$H$89,"&gt;="&amp;BI!Q$3)/12)),P12),IF(YEAR(Q$3)=YEAR(Headcount!$Q$4),IF((Q$5=2),((SUMIFS(Headcount!$Q$6:$Q$89,Headcount!$F$6:$F$89,"Development Operations",Headcount!$H$6:$H$89,"&gt;="&amp;BI!Q$3)/12)),P12),IF(YEAR(Q$3)=YEAR(Headcount!$R$4),IF((Q$5=2),((SUMIFS(Headcount!$R$6:$R$89,Headcount!$F$6:$F$89,"Development Operations",Headcount!$H$6:$H$89,"&gt;="&amp;BI!Q$3)/12)),P12),"New Year"))))),'Dept. Cost Actuals'!U824-'Dept. Cost Actuals'!U814)</f>
        <v>45943.78</v>
      </c>
      <c r="R12" s="806">
        <f>IF(R$4="forecast",IF(YEAR(R$3)=YEAR(Headcount!$N$4),((SUMIFS(Headcount!$N$6:$N$89,Headcount!$F$6:$F$89,"Development Operations",Headcount!$H$6:$H$89,"&gt;="&amp;BI!R$3)/12)),IF(YEAR(R$3)=YEAR(Headcount!$O$4),IF((R$5=2),((SUMIFS(Headcount!$O$6:$O$89,Headcount!$F$6:$F$89,"Development Operations",Headcount!$H$6:$H$89,"&gt;="&amp;BI!R$3)/12)),Q12),IF(YEAR(R$3)=YEAR(Headcount!$P$4),IF((R$5=2),((SUMIFS(Headcount!$P$6:$P$89,Headcount!$F$6:$F$89,"Development Operations",Headcount!$H$6:$H$89,"&gt;="&amp;BI!R$3)/12)),Q12),IF(YEAR(R$3)=YEAR(Headcount!$Q$4),IF((R$5=2),((SUMIFS(Headcount!$Q$6:$Q$89,Headcount!$F$6:$F$89,"Development Operations",Headcount!$H$6:$H$89,"&gt;="&amp;BI!R$3)/12)),Q12),IF(YEAR(R$3)=YEAR(Headcount!$R$4),IF((R$5=2),((SUMIFS(Headcount!$R$6:$R$89,Headcount!$F$6:$F$89,"Development Operations",Headcount!$H$6:$H$89,"&gt;="&amp;BI!R$3)/12)),Q12),"New Year"))))),'Dept. Cost Actuals'!V824-'Dept. Cost Actuals'!V814)</f>
        <v>30656.809999999998</v>
      </c>
      <c r="S12" s="806">
        <f>IF(S$4="forecast",IF(YEAR(S$3)=YEAR(Headcount!$N$4),((SUMIFS(Headcount!$N$6:$N$89,Headcount!$F$6:$F$89,"Development Operations",Headcount!$H$6:$H$89,"&gt;="&amp;BI!S$3)/12)),IF(YEAR(S$3)=YEAR(Headcount!$O$4),IF((S$5=2),((SUMIFS(Headcount!$O$6:$O$89,Headcount!$F$6:$F$89,"Development Operations",Headcount!$H$6:$H$89,"&gt;="&amp;BI!S$3)/12)),R12),IF(YEAR(S$3)=YEAR(Headcount!$P$4),IF((S$5=2),((SUMIFS(Headcount!$P$6:$P$89,Headcount!$F$6:$F$89,"Development Operations",Headcount!$H$6:$H$89,"&gt;="&amp;BI!S$3)/12)),R12),IF(YEAR(S$3)=YEAR(Headcount!$Q$4),IF((S$5=2),((SUMIFS(Headcount!$Q$6:$Q$89,Headcount!$F$6:$F$89,"Development Operations",Headcount!$H$6:$H$89,"&gt;="&amp;BI!S$3)/12)),R12),IF(YEAR(S$3)=YEAR(Headcount!$R$4),IF((S$5=2),((SUMIFS(Headcount!$R$6:$R$89,Headcount!$F$6:$F$89,"Development Operations",Headcount!$H$6:$H$89,"&gt;="&amp;BI!S$3)/12)),R12),"New Year"))))),'Dept. Cost Actuals'!W824-'Dept. Cost Actuals'!W814)</f>
        <v>61901.440000000002</v>
      </c>
      <c r="T12" s="806">
        <f>IF(T$4="forecast",IF(YEAR(T$3)=YEAR(Headcount!$N$4),((SUMIFS(Headcount!$N$6:$N$89,Headcount!$F$6:$F$89,"Development Operations",Headcount!$H$6:$H$89,"&gt;="&amp;BI!T$3)/12)),IF(YEAR(T$3)=YEAR(Headcount!$O$4),IF((T$5=2),((SUMIFS(Headcount!$O$6:$O$89,Headcount!$F$6:$F$89,"Development Operations",Headcount!$H$6:$H$89,"&gt;="&amp;BI!T$3)/12)),S12),IF(YEAR(T$3)=YEAR(Headcount!$P$4),IF((T$5=2),((SUMIFS(Headcount!$P$6:$P$89,Headcount!$F$6:$F$89,"Development Operations",Headcount!$H$6:$H$89,"&gt;="&amp;BI!T$3)/12)),S12),IF(YEAR(T$3)=YEAR(Headcount!$Q$4),IF((T$5=2),((SUMIFS(Headcount!$Q$6:$Q$89,Headcount!$F$6:$F$89,"Development Operations",Headcount!$H$6:$H$89,"&gt;="&amp;BI!T$3)/12)),S12),IF(YEAR(T$3)=YEAR(Headcount!$R$4),IF((T$5=2),((SUMIFS(Headcount!$R$6:$R$89,Headcount!$F$6:$F$89,"Development Operations",Headcount!$H$6:$H$89,"&gt;="&amp;BI!T$3)/12)),S12),"New Year"))))),'Dept. Cost Actuals'!X824-'Dept. Cost Actuals'!X814)</f>
        <v>69057.39</v>
      </c>
      <c r="U12" s="806">
        <f>IF(U$4="forecast",IF(YEAR(U$3)=YEAR(Headcount!$N$4),((SUMIFS(Headcount!$N$6:$N$89,Headcount!$F$6:$F$89,"Development Operations",Headcount!$H$6:$H$89,"&gt;="&amp;BI!U$3)/12)),IF(YEAR(U$3)=YEAR(Headcount!$O$4),IF((U$5=2),((SUMIFS(Headcount!$O$6:$O$89,Headcount!$F$6:$F$89,"Development Operations",Headcount!$H$6:$H$89,"&gt;="&amp;BI!U$3)/12)),T12),IF(YEAR(U$3)=YEAR(Headcount!$P$4),IF((U$5=2),((SUMIFS(Headcount!$P$6:$P$89,Headcount!$F$6:$F$89,"Development Operations",Headcount!$H$6:$H$89,"&gt;="&amp;BI!U$3)/12)),T12),IF(YEAR(U$3)=YEAR(Headcount!$Q$4),IF((U$5=2),((SUMIFS(Headcount!$Q$6:$Q$89,Headcount!$F$6:$F$89,"Development Operations",Headcount!$H$6:$H$89,"&gt;="&amp;BI!U$3)/12)),T12),IF(YEAR(U$3)=YEAR(Headcount!$R$4),IF((U$5=2),((SUMIFS(Headcount!$R$6:$R$89,Headcount!$F$6:$F$89,"Development Operations",Headcount!$H$6:$H$89,"&gt;="&amp;BI!U$3)/12)),T12),"New Year"))))),'Dept. Cost Actuals'!Y824-'Dept. Cost Actuals'!Y814)</f>
        <v>49451.8</v>
      </c>
      <c r="V12" s="806">
        <f>IF(V$4="forecast",IF(YEAR(V$3)=YEAR(Headcount!$N$4),((SUMIFS(Headcount!$N$6:$N$89,Headcount!$F$6:$F$89,"Development Operations",Headcount!$H$6:$H$89,"&gt;="&amp;BI!V$3)/12)),IF(YEAR(V$3)=YEAR(Headcount!$O$4),IF((V$5=2),((SUMIFS(Headcount!$O$6:$O$89,Headcount!$F$6:$F$89,"Development Operations",Headcount!$H$6:$H$89,"&gt;="&amp;BI!V$3)/12)),U12),IF(YEAR(V$3)=YEAR(Headcount!$P$4),IF((V$5=2),((SUMIFS(Headcount!$P$6:$P$89,Headcount!$F$6:$F$89,"Development Operations",Headcount!$H$6:$H$89,"&gt;="&amp;BI!V$3)/12)),U12),IF(YEAR(V$3)=YEAR(Headcount!$Q$4),IF((V$5=2),((SUMIFS(Headcount!$Q$6:$Q$89,Headcount!$F$6:$F$89,"Development Operations",Headcount!$H$6:$H$89,"&gt;="&amp;BI!V$3)/12)),U12),IF(YEAR(V$3)=YEAR(Headcount!$R$4),IF((V$5=2),((SUMIFS(Headcount!$R$6:$R$89,Headcount!$F$6:$F$89,"Development Operations",Headcount!$H$6:$H$89,"&gt;="&amp;BI!V$3)/12)),U12),"New Year"))))),'Dept. Cost Actuals'!Z824-'Dept. Cost Actuals'!Z814)</f>
        <v>55336.91</v>
      </c>
      <c r="W12" s="806">
        <f>IF(W$4="forecast",IF(YEAR(W$3)=YEAR(Headcount!$N$4),((SUMIFS(Headcount!$N$6:$N$89,Headcount!$F$6:$F$89,"Development Operations",Headcount!$H$6:$H$89,"&gt;="&amp;BI!W$3)/12)),IF(YEAR(W$3)=YEAR(Headcount!$O$4),IF((W$5=2),((SUMIFS(Headcount!$O$6:$O$89,Headcount!$F$6:$F$89,"Development Operations",Headcount!$H$6:$H$89,"&gt;="&amp;BI!W$3)/12)),V12),IF(YEAR(W$3)=YEAR(Headcount!$P$4),IF((W$5=2),((SUMIFS(Headcount!$P$6:$P$89,Headcount!$F$6:$F$89,"Development Operations",Headcount!$H$6:$H$89,"&gt;="&amp;BI!W$3)/12)),V12),IF(YEAR(W$3)=YEAR(Headcount!$Q$4),IF((W$5=2),((SUMIFS(Headcount!$Q$6:$Q$89,Headcount!$F$6:$F$89,"Development Operations",Headcount!$H$6:$H$89,"&gt;="&amp;BI!W$3)/12)),V12),IF(YEAR(W$3)=YEAR(Headcount!$R$4),IF((W$5=2),((SUMIFS(Headcount!$R$6:$R$89,Headcount!$F$6:$F$89,"Development Operations",Headcount!$H$6:$H$89,"&gt;="&amp;BI!W$3)/12)),V12),"New Year"))))),'Dept. Cost Actuals'!AA824-'Dept. Cost Actuals'!AA814)</f>
        <v>52650.82</v>
      </c>
      <c r="X12" s="806">
        <f>IF(X$4="forecast",IF(YEAR(X$3)=YEAR(Headcount!$N$4),((SUMIFS(Headcount!$N$6:$N$89,Headcount!$F$6:$F$89,"Development Operations",Headcount!$H$6:$H$89,"&gt;="&amp;BI!X$3)/12)),IF(YEAR(X$3)=YEAR(Headcount!$O$4),IF((X$5=2),((SUMIFS(Headcount!$O$6:$O$89,Headcount!$F$6:$F$89,"Development Operations",Headcount!$H$6:$H$89,"&gt;="&amp;BI!X$3)/12)),W12),IF(YEAR(X$3)=YEAR(Headcount!$P$4),IF((X$5=2),((SUMIFS(Headcount!$P$6:$P$89,Headcount!$F$6:$F$89,"Development Operations",Headcount!$H$6:$H$89,"&gt;="&amp;BI!X$3)/12)),W12),IF(YEAR(X$3)=YEAR(Headcount!$Q$4),IF((X$5=2),((SUMIFS(Headcount!$Q$6:$Q$89,Headcount!$F$6:$F$89,"Development Operations",Headcount!$H$6:$H$89,"&gt;="&amp;BI!X$3)/12)),W12),IF(YEAR(X$3)=YEAR(Headcount!$R$4),IF((X$5=2),((SUMIFS(Headcount!$R$6:$R$89,Headcount!$F$6:$F$89,"Development Operations",Headcount!$H$6:$H$89,"&gt;="&amp;BI!X$3)/12)),W12),"New Year"))))),'Dept. Cost Actuals'!AB824-'Dept. Cost Actuals'!AB814)</f>
        <v>56450.319999999992</v>
      </c>
      <c r="Y12" s="806">
        <f>IF(Y$4="forecast",IF(YEAR(Y$3)=YEAR(Headcount!$N$4),((SUMIFS(Headcount!$N$6:$N$89,Headcount!$F$6:$F$89,"Development Operations",Headcount!$H$6:$H$89,"&gt;="&amp;BI!Y$3)/12)),IF(YEAR(Y$3)=YEAR(Headcount!$O$4),IF((Y$5=2),((SUMIFS(Headcount!$O$6:$O$89,Headcount!$F$6:$F$89,"Development Operations",Headcount!$H$6:$H$89,"&gt;="&amp;BI!Y$3)/12)),X12),IF(YEAR(Y$3)=YEAR(Headcount!$P$4),IF((Y$5=2),((SUMIFS(Headcount!$P$6:$P$89,Headcount!$F$6:$F$89,"Development Operations",Headcount!$H$6:$H$89,"&gt;="&amp;BI!Y$3)/12)),X12),IF(YEAR(Y$3)=YEAR(Headcount!$Q$4),IF((Y$5=2),((SUMIFS(Headcount!$Q$6:$Q$89,Headcount!$F$6:$F$89,"Development Operations",Headcount!$H$6:$H$89,"&gt;="&amp;BI!Y$3)/12)),X12),IF(YEAR(Y$3)=YEAR(Headcount!$R$4),IF((Y$5=2),((SUMIFS(Headcount!$R$6:$R$89,Headcount!$F$6:$F$89,"Development Operations",Headcount!$H$6:$H$89,"&gt;="&amp;BI!Y$3)/12)),X12),"New Year"))))),'Dept. Cost Actuals'!AC824-'Dept. Cost Actuals'!AC814)</f>
        <v>55818.600000000006</v>
      </c>
      <c r="Z12" s="806">
        <f>IF(Z$4="forecast",IF(YEAR(Z$3)=YEAR(Headcount!$N$4),((SUMIFS(Headcount!$N$6:$N$89,Headcount!$F$6:$F$89,"Development Operations",Headcount!$H$6:$H$89,"&gt;="&amp;BI!Z$3)/12)),IF(YEAR(Z$3)=YEAR(Headcount!$O$4),IF((Z$5=2),((SUMIFS(Headcount!$O$6:$O$89,Headcount!$F$6:$F$89,"Development Operations",Headcount!$H$6:$H$89,"&gt;="&amp;BI!Z$3)/12)),Y12),IF(YEAR(Z$3)=YEAR(Headcount!$P$4),IF((Z$5=2),((SUMIFS(Headcount!$P$6:$P$89,Headcount!$F$6:$F$89,"Development Operations",Headcount!$H$6:$H$89,"&gt;="&amp;BI!Z$3)/12)),Y12),IF(YEAR(Z$3)=YEAR(Headcount!$Q$4),IF((Z$5=2),((SUMIFS(Headcount!$Q$6:$Q$89,Headcount!$F$6:$F$89,"Development Operations",Headcount!$H$6:$H$89,"&gt;="&amp;BI!Z$3)/12)),Y12),IF(YEAR(Z$3)=YEAR(Headcount!$R$4),IF((Z$5=2),((SUMIFS(Headcount!$R$6:$R$89,Headcount!$F$6:$F$89,"Development Operations",Headcount!$H$6:$H$89,"&gt;="&amp;BI!Z$3)/12)),Y12),"New Year"))))),'Dept. Cost Actuals'!AD818+'Dept. Cost Actuals'!AC812+'Dept. Cost Actuals'!AC812+'Dept. Cost Actuals'!AC802)</f>
        <v>64812.06</v>
      </c>
      <c r="AA12" s="806">
        <f>IF(AA$4="forecast",IF(YEAR(AA$3)=YEAR(Headcount!$N$4),((SUMIFS(Headcount!$N$6:$N$89,Headcount!$F$6:$F$89,"Development Operations",Headcount!$H$6:$H$89,"&gt;="&amp;BI!AA$3)/12)),IF(YEAR(AA$3)=YEAR(Headcount!$O$4),IF((AA$5=2),((SUMIFS(Headcount!$O$6:$O$89,Headcount!$F$6:$F$89,"Development Operations",Headcount!$H$6:$H$89,"&gt;="&amp;BI!AA$3)/12)),Z12),IF(YEAR(AA$3)=YEAR(Headcount!$P$4),IF((AA$5=2),((SUMIFS(Headcount!$P$6:$P$89,Headcount!$F$6:$F$89,"Development Operations",Headcount!$H$6:$H$89,"&gt;="&amp;BI!AA$3)/12)),Z12),IF(YEAR(AA$3)=YEAR(Headcount!$Q$4),IF((AA$5=2),((SUMIFS(Headcount!$Q$6:$Q$89,Headcount!$F$6:$F$89,"Development Operations",Headcount!$H$6:$H$89,"&gt;="&amp;BI!AA$3)/12)),Z12),IF(YEAR(AA$3)=YEAR(Headcount!$R$4),IF((AA$5=2),((SUMIFS(Headcount!$R$6:$R$89,Headcount!$F$6:$F$89,"Development Operations",Headcount!$H$6:$H$89,"&gt;="&amp;BI!AA$3)/12)),Z12),"New Year"))))),'Dept. Cost Actuals'!AE822+'Dept. Cost Actuals'!AD812+'Dept. Cost Actuals'!AD812+'Dept. Cost Actuals'!AD802)</f>
        <v>64812.06</v>
      </c>
      <c r="AB12" s="806">
        <f>IF(AB$4="forecast",IF(YEAR(AB$3)=YEAR(Headcount!$N$4),((SUMIFS(Headcount!$N$6:$N$89,Headcount!$F$6:$F$89,"Development Operations",Headcount!$H$6:$H$89,"&gt;="&amp;BI!AB$3)/12)),IF(YEAR(AB$3)=YEAR(Headcount!$O$4),IF((AB$5=2),((SUMIFS(Headcount!$O$6:$O$89,Headcount!$F$6:$F$89,"Development Operations",Headcount!$H$6:$H$89,"&gt;="&amp;BI!AB$3)/12)),AA12),IF(YEAR(AB$3)=YEAR(Headcount!$P$4),IF((AB$5=2),((SUMIFS(Headcount!$P$6:$P$89,Headcount!$F$6:$F$89,"Development Operations",Headcount!$H$6:$H$89,"&gt;="&amp;BI!AB$3)/12)),AA12),IF(YEAR(AB$3)=YEAR(Headcount!$Q$4),IF((AB$5=2),((SUMIFS(Headcount!$Q$6:$Q$89,Headcount!$F$6:$F$89,"Development Operations",Headcount!$H$6:$H$89,"&gt;="&amp;BI!AB$3)/12)),AA12),IF(YEAR(AB$3)=YEAR(Headcount!$R$4),IF((AB$5=2),((SUMIFS(Headcount!$R$6:$R$89,Headcount!$F$6:$F$89,"Development Operations",Headcount!$H$6:$H$89,"&gt;="&amp;BI!AB$3)/12)),AA12),"New Year"))))),'Dept. Cost Actuals'!AF824-'Dept. Cost Actuals'!AF814)</f>
        <v>87994.166666666672</v>
      </c>
      <c r="AC12" s="806">
        <f>IF(AC$4="forecast",IF(YEAR(AC$3)=YEAR(Headcount!$N$4),((SUMIFS(Headcount!$N$6:$N$89,Headcount!$F$6:$F$89,"Development Operations",Headcount!$H$6:$H$89,"&gt;="&amp;BI!AC$3)/12)),IF(YEAR(AC$3)=YEAR(Headcount!$O$4),IF((AC$5=2),((SUMIFS(Headcount!$O$6:$O$89,Headcount!$F$6:$F$89,"Development Operations",Headcount!$H$6:$H$89,"&gt;="&amp;BI!AC$3)/12)),AB12),IF(YEAR(AC$3)=YEAR(Headcount!$P$4),IF((AC$5=2),((SUMIFS(Headcount!$P$6:$P$89,Headcount!$F$6:$F$89,"Development Operations",Headcount!$H$6:$H$89,"&gt;="&amp;BI!AC$3)/12)),AB12),IF(YEAR(AC$3)=YEAR(Headcount!$Q$4),IF((AC$5=2),((SUMIFS(Headcount!$Q$6:$Q$89,Headcount!$F$6:$F$89,"Development Operations",Headcount!$H$6:$H$89,"&gt;="&amp;BI!AC$3)/12)),AB12),IF(YEAR(AC$3)=YEAR(Headcount!$R$4),IF((AC$5=2),((SUMIFS(Headcount!$R$6:$R$89,Headcount!$F$6:$F$89,"Development Operations",Headcount!$H$6:$H$89,"&gt;="&amp;BI!AC$3)/12)),AB12),"New Year"))))),'Dept. Cost Actuals'!AG824-'Dept. Cost Actuals'!AG814)</f>
        <v>87994.166666666672</v>
      </c>
      <c r="AD12" s="806">
        <f>IF(AD$4="forecast",IF(YEAR(AD$3)=YEAR(Headcount!$N$4),((SUMIFS(Headcount!$N$6:$N$89,Headcount!$F$6:$F$89,"Development Operations",Headcount!$H$6:$H$89,"&gt;="&amp;BI!AD$3)/12)),IF(YEAR(AD$3)=YEAR(Headcount!$O$4),IF((AD$5=2),((SUMIFS(Headcount!$O$6:$O$89,Headcount!$F$6:$F$89,"Development Operations",Headcount!$H$6:$H$89,"&gt;="&amp;BI!AD$3)/12)),AC12),IF(YEAR(AD$3)=YEAR(Headcount!$P$4),IF((AD$5=2),((SUMIFS(Headcount!$P$6:$P$89,Headcount!$F$6:$F$89,"Development Operations",Headcount!$H$6:$H$89,"&gt;="&amp;BI!AD$3)/12)),AC12),IF(YEAR(AD$3)=YEAR(Headcount!$Q$4),IF((AD$5=2),((SUMIFS(Headcount!$Q$6:$Q$89,Headcount!$F$6:$F$89,"Development Operations",Headcount!$H$6:$H$89,"&gt;="&amp;BI!AD$3)/12)),AC12),IF(YEAR(AD$3)=YEAR(Headcount!$R$4),IF((AD$5=2),((SUMIFS(Headcount!$R$6:$R$89,Headcount!$F$6:$F$89,"Development Operations",Headcount!$H$6:$H$89,"&gt;="&amp;BI!AD$3)/12)),AC12),"New Year"))))),'Dept. Cost Actuals'!AH824-'Dept. Cost Actuals'!AH814)</f>
        <v>87994.166666666672</v>
      </c>
      <c r="AE12" s="806">
        <f>IF(AE$4="forecast",IF(YEAR(AE$3)=YEAR(Headcount!$N$4),((SUMIFS(Headcount!$N$6:$N$89,Headcount!$F$6:$F$89,"Development Operations",Headcount!$H$6:$H$89,"&gt;="&amp;BI!AE$3)/12)),IF(YEAR(AE$3)=YEAR(Headcount!$O$4),IF((AE$5=2),((SUMIFS(Headcount!$O$6:$O$89,Headcount!$F$6:$F$89,"Development Operations",Headcount!$H$6:$H$89,"&gt;="&amp;BI!AE$3)/12)),AD12),IF(YEAR(AE$3)=YEAR(Headcount!$P$4),IF((AE$5=2),((SUMIFS(Headcount!$P$6:$P$89,Headcount!$F$6:$F$89,"Development Operations",Headcount!$H$6:$H$89,"&gt;="&amp;BI!AE$3)/12)),AD12),IF(YEAR(AE$3)=YEAR(Headcount!$Q$4),IF((AE$5=2),((SUMIFS(Headcount!$Q$6:$Q$89,Headcount!$F$6:$F$89,"Development Operations",Headcount!$H$6:$H$89,"&gt;="&amp;BI!AE$3)/12)),AD12),IF(YEAR(AE$3)=YEAR(Headcount!$R$4),IF((AE$5=2),((SUMIFS(Headcount!$R$6:$R$89,Headcount!$F$6:$F$89,"Development Operations",Headcount!$H$6:$H$89,"&gt;="&amp;BI!AE$3)/12)),AD12),"New Year"))))),'Dept. Cost Actuals'!AI824-'Dept. Cost Actuals'!AI814)</f>
        <v>87994.166666666672</v>
      </c>
      <c r="AF12" s="806">
        <f>IF(AF$4="forecast",IF(YEAR(AF$3)=YEAR(Headcount!$N$4),((SUMIFS(Headcount!$N$6:$N$89,Headcount!$F$6:$F$89,"Development Operations",Headcount!$H$6:$H$89,"&gt;="&amp;BI!AF$3)/12)),IF(YEAR(AF$3)=YEAR(Headcount!$O$4),IF((AF$5=2),((SUMIFS(Headcount!$O$6:$O$89,Headcount!$F$6:$F$89,"Development Operations",Headcount!$H$6:$H$89,"&gt;="&amp;BI!AF$3)/12)),AE12),IF(YEAR(AF$3)=YEAR(Headcount!$P$4),IF((AF$5=2),((SUMIFS(Headcount!$P$6:$P$89,Headcount!$F$6:$F$89,"Development Operations",Headcount!$H$6:$H$89,"&gt;="&amp;BI!AF$3)/12)),AE12),IF(YEAR(AF$3)=YEAR(Headcount!$Q$4),IF((AF$5=2),((SUMIFS(Headcount!$Q$6:$Q$89,Headcount!$F$6:$F$89,"Development Operations",Headcount!$H$6:$H$89,"&gt;="&amp;BI!AF$3)/12)),AE12),IF(YEAR(AF$3)=YEAR(Headcount!$R$4),IF((AF$5=2),((SUMIFS(Headcount!$R$6:$R$89,Headcount!$F$6:$F$89,"Development Operations",Headcount!$H$6:$H$89,"&gt;="&amp;BI!AF$3)/12)),AE12),"New Year"))))),'Dept. Cost Actuals'!AJ824-'Dept. Cost Actuals'!AJ814)</f>
        <v>87994.166666666672</v>
      </c>
      <c r="AG12" s="806">
        <f>IF(AG$4="forecast",IF(YEAR(AG$3)=YEAR(Headcount!$N$4),((SUMIFS(Headcount!$N$6:$N$89,Headcount!$F$6:$F$89,"Development Operations",Headcount!$H$6:$H$89,"&gt;="&amp;BI!AG$3)/12)),IF(YEAR(AG$3)=YEAR(Headcount!$O$4),IF((AG$5=2),((SUMIFS(Headcount!$O$6:$O$89,Headcount!$F$6:$F$89,"Development Operations",Headcount!$H$6:$H$89,"&gt;="&amp;BI!AG$3)/12)),AF12),IF(YEAR(AG$3)=YEAR(Headcount!$P$4),IF((AG$5=2),((SUMIFS(Headcount!$P$6:$P$89,Headcount!$F$6:$F$89,"Development Operations",Headcount!$H$6:$H$89,"&gt;="&amp;BI!AG$3)/12)),AF12),IF(YEAR(AG$3)=YEAR(Headcount!$Q$4),IF((AG$5=2),((SUMIFS(Headcount!$Q$6:$Q$89,Headcount!$F$6:$F$89,"Development Operations",Headcount!$H$6:$H$89,"&gt;="&amp;BI!AG$3)/12)),AF12),IF(YEAR(AG$3)=YEAR(Headcount!$R$4),IF((AG$5=2),((SUMIFS(Headcount!$R$6:$R$89,Headcount!$F$6:$F$89,"Development Operations",Headcount!$H$6:$H$89,"&gt;="&amp;BI!AG$3)/12)),AF12),"New Year"))))),'Dept. Cost Actuals'!AK824-'Dept. Cost Actuals'!AK814)</f>
        <v>87994.166666666672</v>
      </c>
      <c r="AH12" s="806">
        <f>IF(AH$4="forecast",IF(YEAR(AH$3)=YEAR(Headcount!$N$4),((SUMIFS(Headcount!$N$6:$N$89,Headcount!$F$6:$F$89,"Development Operations",Headcount!$H$6:$H$89,"&gt;="&amp;BI!AH$3)/12)),IF(YEAR(AH$3)=YEAR(Headcount!$O$4),IF((AH$5=2),((SUMIFS(Headcount!$O$6:$O$89,Headcount!$F$6:$F$89,"Development Operations",Headcount!$H$6:$H$89,"&gt;="&amp;BI!AH$3)/12)),AG12),IF(YEAR(AH$3)=YEAR(Headcount!$P$4),IF((AH$5=2),((SUMIFS(Headcount!$P$6:$P$89,Headcount!$F$6:$F$89,"Development Operations",Headcount!$H$6:$H$89,"&gt;="&amp;BI!AH$3)/12)),AG12),IF(YEAR(AH$3)=YEAR(Headcount!$Q$4),IF((AH$5=2),((SUMIFS(Headcount!$Q$6:$Q$89,Headcount!$F$6:$F$89,"Development Operations",Headcount!$H$6:$H$89,"&gt;="&amp;BI!AH$3)/12)),AG12),IF(YEAR(AH$3)=YEAR(Headcount!$R$4),IF((AH$5=2),((SUMIFS(Headcount!$R$6:$R$89,Headcount!$F$6:$F$89,"Development Operations",Headcount!$H$6:$H$89,"&gt;="&amp;BI!AH$3)/12)),AG12),"New Year"))))),'Dept. Cost Actuals'!AL824-'Dept. Cost Actuals'!AL814)</f>
        <v>87994.166666666672</v>
      </c>
      <c r="AI12" s="806">
        <f>IF(AI$4="forecast",IF(YEAR(AI$3)=YEAR(Headcount!$N$4),((SUMIFS(Headcount!$N$6:$N$89,Headcount!$F$6:$F$89,"Development Operations",Headcount!$H$6:$H$89,"&gt;="&amp;BI!AI$3)/12)),IF(YEAR(AI$3)=YEAR(Headcount!$O$4),IF((AI$5=2),((SUMIFS(Headcount!$O$6:$O$89,Headcount!$F$6:$F$89,"Development Operations",Headcount!$H$6:$H$89,"&gt;="&amp;BI!AI$3)/12)),AH12),IF(YEAR(AI$3)=YEAR(Headcount!$P$4),IF((AI$5=2),((SUMIFS(Headcount!$P$6:$P$89,Headcount!$F$6:$F$89,"Development Operations",Headcount!$H$6:$H$89,"&gt;="&amp;BI!AI$3)/12)),AH12),IF(YEAR(AI$3)=YEAR(Headcount!$Q$4),IF((AI$5=2),((SUMIFS(Headcount!$Q$6:$Q$89,Headcount!$F$6:$F$89,"Development Operations",Headcount!$H$6:$H$89,"&gt;="&amp;BI!AI$3)/12)),AH12),IF(YEAR(AI$3)=YEAR(Headcount!$R$4),IF((AI$5=2),((SUMIFS(Headcount!$R$6:$R$89,Headcount!$F$6:$F$89,"Development Operations",Headcount!$H$6:$H$89,"&gt;="&amp;BI!AI$3)/12)),AH12),"New Year"))))),'Dept. Cost Actuals'!AM824-'Dept. Cost Actuals'!AM814)</f>
        <v>87994.166666666672</v>
      </c>
      <c r="AJ12" s="806">
        <f>IF(AJ$4="forecast",IF(YEAR(AJ$3)=YEAR(Headcount!$N$4),((SUMIFS(Headcount!$N$6:$N$89,Headcount!$F$6:$F$89,"Development Operations",Headcount!$H$6:$H$89,"&gt;="&amp;BI!AJ$3)/12)),IF(YEAR(AJ$3)=YEAR(Headcount!$O$4),IF((AJ$5=2),((SUMIFS(Headcount!$O$6:$O$89,Headcount!$F$6:$F$89,"Development Operations",Headcount!$H$6:$H$89,"&gt;="&amp;BI!AJ$3)/12)),AI12),IF(YEAR(AJ$3)=YEAR(Headcount!$P$4),IF((AJ$5=2),((SUMIFS(Headcount!$P$6:$P$89,Headcount!$F$6:$F$89,"Development Operations",Headcount!$H$6:$H$89,"&gt;="&amp;BI!AJ$3)/12)),AI12),IF(YEAR(AJ$3)=YEAR(Headcount!$Q$4),IF((AJ$5=2),((SUMIFS(Headcount!$Q$6:$Q$89,Headcount!$F$6:$F$89,"Development Operations",Headcount!$H$6:$H$89,"&gt;="&amp;BI!AJ$3)/12)),AI12),IF(YEAR(AJ$3)=YEAR(Headcount!$R$4),IF((AJ$5=2),((SUMIFS(Headcount!$R$6:$R$89,Headcount!$F$6:$F$89,"Development Operations",Headcount!$H$6:$H$89,"&gt;="&amp;BI!AJ$3)/12)),AI12),"New Year"))))),'Dept. Cost Actuals'!AN824-'Dept. Cost Actuals'!AN814)</f>
        <v>87994.166666666672</v>
      </c>
      <c r="AK12" s="806">
        <f>IF(AK$4="forecast",IF(YEAR(AK$3)=YEAR(Headcount!$N$4),((SUMIFS(Headcount!$N$6:$N$89,Headcount!$F$6:$F$89,"Development Operations",Headcount!$H$6:$H$89,"&gt;="&amp;BI!AK$3)/12)),IF(YEAR(AK$3)=YEAR(Headcount!$O$4),IF((AK$5=2),((SUMIFS(Headcount!$O$6:$O$89,Headcount!$F$6:$F$89,"Development Operations",Headcount!$H$6:$H$89,"&gt;="&amp;BI!AK$3)/12)),AJ12),IF(YEAR(AK$3)=YEAR(Headcount!$P$4),IF((AK$5=2),((SUMIFS(Headcount!$P$6:$P$89,Headcount!$F$6:$F$89,"Development Operations",Headcount!$H$6:$H$89,"&gt;="&amp;BI!AK$3)/12)),AJ12),IF(YEAR(AK$3)=YEAR(Headcount!$Q$4),IF((AK$5=2),((SUMIFS(Headcount!$Q$6:$Q$89,Headcount!$F$6:$F$89,"Development Operations",Headcount!$H$6:$H$89,"&gt;="&amp;BI!AK$3)/12)),AJ12),IF(YEAR(AK$3)=YEAR(Headcount!$R$4),IF((AK$5=2),((SUMIFS(Headcount!$R$6:$R$89,Headcount!$F$6:$F$89,"Development Operations",Headcount!$H$6:$H$89,"&gt;="&amp;BI!AK$3)/12)),AJ12),"New Year"))))),'Dept. Cost Actuals'!AO824-'Dept. Cost Actuals'!AO814)</f>
        <v>87994.166666666672</v>
      </c>
      <c r="AL12" s="806">
        <f>IF(AL$4="forecast",IF(YEAR(AL$3)=YEAR(Headcount!$N$4),((SUMIFS(Headcount!$N$6:$N$89,Headcount!$F$6:$F$89,"Development Operations",Headcount!$H$6:$H$89,"&gt;="&amp;BI!AL$3)/12)),IF(YEAR(AL$3)=YEAR(Headcount!$O$4),IF((AL$5=2),((SUMIFS(Headcount!$O$6:$O$89,Headcount!$F$6:$F$89,"Development Operations",Headcount!$H$6:$H$89,"&gt;="&amp;BI!AL$3)/12)),AK12),IF(YEAR(AL$3)=YEAR(Headcount!$P$4),IF((AL$5=2),((SUMIFS(Headcount!$P$6:$P$89,Headcount!$F$6:$F$89,"Development Operations",Headcount!$H$6:$H$89,"&gt;="&amp;BI!AL$3)/12)),AK12),IF(YEAR(AL$3)=YEAR(Headcount!$Q$4),IF((AL$5=2),((SUMIFS(Headcount!$Q$6:$Q$89,Headcount!$F$6:$F$89,"Development Operations",Headcount!$H$6:$H$89,"&gt;="&amp;BI!AL$3)/12)),AK12),IF(YEAR(AL$3)=YEAR(Headcount!$R$4),IF((AL$5=2),((SUMIFS(Headcount!$R$6:$R$89,Headcount!$F$6:$F$89,"Development Operations",Headcount!$H$6:$H$89,"&gt;="&amp;BI!AL$3)/12)),AK12),"New Year"))))),'Dept. Cost Actuals'!AP824-'Dept. Cost Actuals'!AP814)</f>
        <v>87994.166666666672</v>
      </c>
      <c r="AM12" s="806">
        <f>IF(AM$4="forecast",IF(YEAR(AM$3)=YEAR(Headcount!$N$4),((SUMIFS(Headcount!$N$6:$N$89,Headcount!$F$6:$F$89,"Development Operations",Headcount!$H$6:$H$89,"&gt;="&amp;BI!AM$3)/12)),IF(YEAR(AM$3)=YEAR(Headcount!$O$4),IF((AM$5=2),((SUMIFS(Headcount!$O$6:$O$89,Headcount!$F$6:$F$89,"Development Operations",Headcount!$H$6:$H$89,"&gt;="&amp;BI!AM$3)/12)),AL12),IF(YEAR(AM$3)=YEAR(Headcount!$P$4),IF((AM$5=2),((SUMIFS(Headcount!$P$6:$P$89,Headcount!$F$6:$F$89,"Development Operations",Headcount!$H$6:$H$89,"&gt;="&amp;BI!AM$3)/12)),AL12),IF(YEAR(AM$3)=YEAR(Headcount!$Q$4),IF((AM$5=2),((SUMIFS(Headcount!$Q$6:$Q$89,Headcount!$F$6:$F$89,"Development Operations",Headcount!$H$6:$H$89,"&gt;="&amp;BI!AM$3)/12)),AL12),IF(YEAR(AM$3)=YEAR(Headcount!$R$4),IF((AM$5=2),((SUMIFS(Headcount!$R$6:$R$89,Headcount!$F$6:$F$89,"Development Operations",Headcount!$H$6:$H$89,"&gt;="&amp;BI!AM$3)/12)),AL12),"New Year"))))),'Dept. Cost Actuals'!AQ824-'Dept. Cost Actuals'!AQ814)</f>
        <v>87994.166666666672</v>
      </c>
      <c r="AN12" s="806">
        <f>IF(AN$4="forecast",IF(YEAR(AN$3)=YEAR(Headcount!$N$4),((SUMIFS(Headcount!$N$6:$N$89,Headcount!$F$6:$F$89,"Development Operations",Headcount!$H$6:$H$89,"&gt;="&amp;BI!AN$3)/12)),IF(YEAR(AN$3)=YEAR(Headcount!$O$4),IF((AN$5=2),((SUMIFS(Headcount!$O$6:$O$89,Headcount!$F$6:$F$89,"Development Operations",Headcount!$H$6:$H$89,"&gt;="&amp;BI!AN$3)/12)),AM12),IF(YEAR(AN$3)=YEAR(Headcount!$P$4),IF((AN$5=2),((SUMIFS(Headcount!$P$6:$P$89,Headcount!$F$6:$F$89,"Development Operations",Headcount!$H$6:$H$89,"&gt;="&amp;BI!AN$3)/12)),AM12),IF(YEAR(AN$3)=YEAR(Headcount!$Q$4),IF((AN$5=2),((SUMIFS(Headcount!$Q$6:$Q$89,Headcount!$F$6:$F$89,"Development Operations",Headcount!$H$6:$H$89,"&gt;="&amp;BI!AN$3)/12)),AM12),IF(YEAR(AN$3)=YEAR(Headcount!$R$4),IF((AN$5=2),((SUMIFS(Headcount!$R$6:$R$89,Headcount!$F$6:$F$89,"Development Operations",Headcount!$H$6:$H$89,"&gt;="&amp;BI!AN$3)/12)),AM12),"New Year"))))),'Dept. Cost Actuals'!AR824-'Dept. Cost Actuals'!AR814)</f>
        <v>109100.84166666666</v>
      </c>
      <c r="AO12" s="806">
        <f>IF(AO$4="forecast",IF(YEAR(AO$3)=YEAR(Headcount!$N$4),((SUMIFS(Headcount!$N$6:$N$89,Headcount!$F$6:$F$89,"Development Operations",Headcount!$H$6:$H$89,"&gt;="&amp;BI!AO$3)/12)),IF(YEAR(AO$3)=YEAR(Headcount!$O$4),IF((AO$5=2),((SUMIFS(Headcount!$O$6:$O$89,Headcount!$F$6:$F$89,"Development Operations",Headcount!$H$6:$H$89,"&gt;="&amp;BI!AO$3)/12)),AN12),IF(YEAR(AO$3)=YEAR(Headcount!$P$4),IF((AO$5=2),((SUMIFS(Headcount!$P$6:$P$89,Headcount!$F$6:$F$89,"Development Operations",Headcount!$H$6:$H$89,"&gt;="&amp;BI!AO$3)/12)),AN12),IF(YEAR(AO$3)=YEAR(Headcount!$Q$4),IF((AO$5=2),((SUMIFS(Headcount!$Q$6:$Q$89,Headcount!$F$6:$F$89,"Development Operations",Headcount!$H$6:$H$89,"&gt;="&amp;BI!AO$3)/12)),AN12),IF(YEAR(AO$3)=YEAR(Headcount!$R$4),IF((AO$5=2),((SUMIFS(Headcount!$R$6:$R$89,Headcount!$F$6:$F$89,"Development Operations",Headcount!$H$6:$H$89,"&gt;="&amp;BI!AO$3)/12)),AN12),"New Year"))))),'Dept. Cost Actuals'!AS824-'Dept. Cost Actuals'!AS814)</f>
        <v>109100.84166666666</v>
      </c>
      <c r="AP12" s="806">
        <f>IF(AP$4="forecast",IF(YEAR(AP$3)=YEAR(Headcount!$N$4),((SUMIFS(Headcount!$N$6:$N$89,Headcount!$F$6:$F$89,"Development Operations",Headcount!$H$6:$H$89,"&gt;="&amp;BI!AP$3)/12)),IF(YEAR(AP$3)=YEAR(Headcount!$O$4),IF((AP$5=2),((SUMIFS(Headcount!$O$6:$O$89,Headcount!$F$6:$F$89,"Development Operations",Headcount!$H$6:$H$89,"&gt;="&amp;BI!AP$3)/12)),AO12),IF(YEAR(AP$3)=YEAR(Headcount!$P$4),IF((AP$5=2),((SUMIFS(Headcount!$P$6:$P$89,Headcount!$F$6:$F$89,"Development Operations",Headcount!$H$6:$H$89,"&gt;="&amp;BI!AP$3)/12)),AO12),IF(YEAR(AP$3)=YEAR(Headcount!$Q$4),IF((AP$5=2),((SUMIFS(Headcount!$Q$6:$Q$89,Headcount!$F$6:$F$89,"Development Operations",Headcount!$H$6:$H$89,"&gt;="&amp;BI!AP$3)/12)),AO12),IF(YEAR(AP$3)=YEAR(Headcount!$R$4),IF((AP$5=2),((SUMIFS(Headcount!$R$6:$R$89,Headcount!$F$6:$F$89,"Development Operations",Headcount!$H$6:$H$89,"&gt;="&amp;BI!AP$3)/12)),AO12),"New Year"))))),'Dept. Cost Actuals'!AT824-'Dept. Cost Actuals'!AT814)</f>
        <v>109100.84166666666</v>
      </c>
      <c r="AQ12" s="806">
        <f>IF(AQ$4="forecast",IF(YEAR(AQ$3)=YEAR(Headcount!$N$4),((SUMIFS(Headcount!$N$6:$N$89,Headcount!$F$6:$F$89,"Development Operations",Headcount!$H$6:$H$89,"&gt;="&amp;BI!AQ$3)/12)),IF(YEAR(AQ$3)=YEAR(Headcount!$O$4),IF((AQ$5=2),((SUMIFS(Headcount!$O$6:$O$89,Headcount!$F$6:$F$89,"Development Operations",Headcount!$H$6:$H$89,"&gt;="&amp;BI!AQ$3)/12)),AP12),IF(YEAR(AQ$3)=YEAR(Headcount!$P$4),IF((AQ$5=2),((SUMIFS(Headcount!$P$6:$P$89,Headcount!$F$6:$F$89,"Development Operations",Headcount!$H$6:$H$89,"&gt;="&amp;BI!AQ$3)/12)),AP12),IF(YEAR(AQ$3)=YEAR(Headcount!$Q$4),IF((AQ$5=2),((SUMIFS(Headcount!$Q$6:$Q$89,Headcount!$F$6:$F$89,"Development Operations",Headcount!$H$6:$H$89,"&gt;="&amp;BI!AQ$3)/12)),AP12),IF(YEAR(AQ$3)=YEAR(Headcount!$R$4),IF((AQ$5=2),((SUMIFS(Headcount!$R$6:$R$89,Headcount!$F$6:$F$89,"Development Operations",Headcount!$H$6:$H$89,"&gt;="&amp;BI!AQ$3)/12)),AP12),"New Year"))))),'Dept. Cost Actuals'!AU824-'Dept. Cost Actuals'!AU814)</f>
        <v>109100.84166666666</v>
      </c>
      <c r="AR12" s="806">
        <f>IF(AR$4="forecast",IF(YEAR(AR$3)=YEAR(Headcount!$N$4),((SUMIFS(Headcount!$N$6:$N$89,Headcount!$F$6:$F$89,"Development Operations",Headcount!$H$6:$H$89,"&gt;="&amp;BI!AR$3)/12)),IF(YEAR(AR$3)=YEAR(Headcount!$O$4),IF((AR$5=2),((SUMIFS(Headcount!$O$6:$O$89,Headcount!$F$6:$F$89,"Development Operations",Headcount!$H$6:$H$89,"&gt;="&amp;BI!AR$3)/12)),AQ12),IF(YEAR(AR$3)=YEAR(Headcount!$P$4),IF((AR$5=2),((SUMIFS(Headcount!$P$6:$P$89,Headcount!$F$6:$F$89,"Development Operations",Headcount!$H$6:$H$89,"&gt;="&amp;BI!AR$3)/12)),AQ12),IF(YEAR(AR$3)=YEAR(Headcount!$Q$4),IF((AR$5=2),((SUMIFS(Headcount!$Q$6:$Q$89,Headcount!$F$6:$F$89,"Development Operations",Headcount!$H$6:$H$89,"&gt;="&amp;BI!AR$3)/12)),AQ12),IF(YEAR(AR$3)=YEAR(Headcount!$R$4),IF((AR$5=2),((SUMIFS(Headcount!$R$6:$R$89,Headcount!$F$6:$F$89,"Development Operations",Headcount!$H$6:$H$89,"&gt;="&amp;BI!AR$3)/12)),AQ12),"New Year"))))),'Dept. Cost Actuals'!AV824-'Dept. Cost Actuals'!AV814)</f>
        <v>109100.84166666666</v>
      </c>
      <c r="AS12" s="806">
        <f>IF(AS$4="forecast",IF(YEAR(AS$3)=YEAR(Headcount!$N$4),((SUMIFS(Headcount!$N$6:$N$89,Headcount!$F$6:$F$89,"Development Operations",Headcount!$H$6:$H$89,"&gt;="&amp;BI!AS$3)/12)),IF(YEAR(AS$3)=YEAR(Headcount!$O$4),IF((AS$5=2),((SUMIFS(Headcount!$O$6:$O$89,Headcount!$F$6:$F$89,"Development Operations",Headcount!$H$6:$H$89,"&gt;="&amp;BI!AS$3)/12)),AR12),IF(YEAR(AS$3)=YEAR(Headcount!$P$4),IF((AS$5=2),((SUMIFS(Headcount!$P$6:$P$89,Headcount!$F$6:$F$89,"Development Operations",Headcount!$H$6:$H$89,"&gt;="&amp;BI!AS$3)/12)),AR12),IF(YEAR(AS$3)=YEAR(Headcount!$Q$4),IF((AS$5=2),((SUMIFS(Headcount!$Q$6:$Q$89,Headcount!$F$6:$F$89,"Development Operations",Headcount!$H$6:$H$89,"&gt;="&amp;BI!AS$3)/12)),AR12),IF(YEAR(AS$3)=YEAR(Headcount!$R$4),IF((AS$5=2),((SUMIFS(Headcount!$R$6:$R$89,Headcount!$F$6:$F$89,"Development Operations",Headcount!$H$6:$H$89,"&gt;="&amp;BI!AS$3)/12)),AR12),"New Year"))))),'Dept. Cost Actuals'!AW824-'Dept. Cost Actuals'!AW814)</f>
        <v>109100.84166666666</v>
      </c>
      <c r="AT12" s="806">
        <f>IF(AT$4="forecast",IF(YEAR(AT$3)=YEAR(Headcount!$N$4),((SUMIFS(Headcount!$N$6:$N$89,Headcount!$F$6:$F$89,"Development Operations",Headcount!$H$6:$H$89,"&gt;="&amp;BI!AT$3)/12)),IF(YEAR(AT$3)=YEAR(Headcount!$O$4),IF((AT$5=2),((SUMIFS(Headcount!$O$6:$O$89,Headcount!$F$6:$F$89,"Development Operations",Headcount!$H$6:$H$89,"&gt;="&amp;BI!AT$3)/12)),AS12),IF(YEAR(AT$3)=YEAR(Headcount!$P$4),IF((AT$5=2),((SUMIFS(Headcount!$P$6:$P$89,Headcount!$F$6:$F$89,"Development Operations",Headcount!$H$6:$H$89,"&gt;="&amp;BI!AT$3)/12)),AS12),IF(YEAR(AT$3)=YEAR(Headcount!$Q$4),IF((AT$5=2),((SUMIFS(Headcount!$Q$6:$Q$89,Headcount!$F$6:$F$89,"Development Operations",Headcount!$H$6:$H$89,"&gt;="&amp;BI!AT$3)/12)),AS12),IF(YEAR(AT$3)=YEAR(Headcount!$R$4),IF((AT$5=2),((SUMIFS(Headcount!$R$6:$R$89,Headcount!$F$6:$F$89,"Development Operations",Headcount!$H$6:$H$89,"&gt;="&amp;BI!AT$3)/12)),AS12),"New Year"))))),'Dept. Cost Actuals'!AX824-'Dept. Cost Actuals'!AX814)</f>
        <v>109100.84166666666</v>
      </c>
      <c r="AU12" s="806">
        <f>IF(AU$4="forecast",IF(YEAR(AU$3)=YEAR(Headcount!$N$4),((SUMIFS(Headcount!$N$6:$N$89,Headcount!$F$6:$F$89,"Development Operations",Headcount!$H$6:$H$89,"&gt;="&amp;BI!AU$3)/12)),IF(YEAR(AU$3)=YEAR(Headcount!$O$4),IF((AU$5=2),((SUMIFS(Headcount!$O$6:$O$89,Headcount!$F$6:$F$89,"Development Operations",Headcount!$H$6:$H$89,"&gt;="&amp;BI!AU$3)/12)),AT12),IF(YEAR(AU$3)=YEAR(Headcount!$P$4),IF((AU$5=2),((SUMIFS(Headcount!$P$6:$P$89,Headcount!$F$6:$F$89,"Development Operations",Headcount!$H$6:$H$89,"&gt;="&amp;BI!AU$3)/12)),AT12),IF(YEAR(AU$3)=YEAR(Headcount!$Q$4),IF((AU$5=2),((SUMIFS(Headcount!$Q$6:$Q$89,Headcount!$F$6:$F$89,"Development Operations",Headcount!$H$6:$H$89,"&gt;="&amp;BI!AU$3)/12)),AT12),IF(YEAR(AU$3)=YEAR(Headcount!$R$4),IF((AU$5=2),((SUMIFS(Headcount!$R$6:$R$89,Headcount!$F$6:$F$89,"Development Operations",Headcount!$H$6:$H$89,"&gt;="&amp;BI!AU$3)/12)),AT12),"New Year"))))),'Dept. Cost Actuals'!AY824-'Dept. Cost Actuals'!AY814)</f>
        <v>109100.84166666666</v>
      </c>
      <c r="AV12" s="806">
        <f>IF(AV$4="forecast",IF(YEAR(AV$3)=YEAR(Headcount!$N$4),((SUMIFS(Headcount!$N$6:$N$89,Headcount!$F$6:$F$89,"Development Operations",Headcount!$H$6:$H$89,"&gt;="&amp;BI!AV$3)/12)),IF(YEAR(AV$3)=YEAR(Headcount!$O$4),IF((AV$5=2),((SUMIFS(Headcount!$O$6:$O$89,Headcount!$F$6:$F$89,"Development Operations",Headcount!$H$6:$H$89,"&gt;="&amp;BI!AV$3)/12)),AU12),IF(YEAR(AV$3)=YEAR(Headcount!$P$4),IF((AV$5=2),((SUMIFS(Headcount!$P$6:$P$89,Headcount!$F$6:$F$89,"Development Operations",Headcount!$H$6:$H$89,"&gt;="&amp;BI!AV$3)/12)),AU12),IF(YEAR(AV$3)=YEAR(Headcount!$Q$4),IF((AV$5=2),((SUMIFS(Headcount!$Q$6:$Q$89,Headcount!$F$6:$F$89,"Development Operations",Headcount!$H$6:$H$89,"&gt;="&amp;BI!AV$3)/12)),AU12),IF(YEAR(AV$3)=YEAR(Headcount!$R$4),IF((AV$5=2),((SUMIFS(Headcount!$R$6:$R$89,Headcount!$F$6:$F$89,"Development Operations",Headcount!$H$6:$H$89,"&gt;="&amp;BI!AV$3)/12)),AU12),"New Year"))))),'Dept. Cost Actuals'!AZ824-'Dept. Cost Actuals'!AZ814)</f>
        <v>109100.84166666666</v>
      </c>
      <c r="AW12" s="806">
        <f>IF(AW$4="forecast",IF(YEAR(AW$3)=YEAR(Headcount!$N$4),((SUMIFS(Headcount!$N$6:$N$89,Headcount!$F$6:$F$89,"Development Operations",Headcount!$H$6:$H$89,"&gt;="&amp;BI!AW$3)/12)),IF(YEAR(AW$3)=YEAR(Headcount!$O$4),IF((AW$5=2),((SUMIFS(Headcount!$O$6:$O$89,Headcount!$F$6:$F$89,"Development Operations",Headcount!$H$6:$H$89,"&gt;="&amp;BI!AW$3)/12)),AV12),IF(YEAR(AW$3)=YEAR(Headcount!$P$4),IF((AW$5=2),((SUMIFS(Headcount!$P$6:$P$89,Headcount!$F$6:$F$89,"Development Operations",Headcount!$H$6:$H$89,"&gt;="&amp;BI!AW$3)/12)),AV12),IF(YEAR(AW$3)=YEAR(Headcount!$Q$4),IF((AW$5=2),((SUMIFS(Headcount!$Q$6:$Q$89,Headcount!$F$6:$F$89,"Development Operations",Headcount!$H$6:$H$89,"&gt;="&amp;BI!AW$3)/12)),AV12),IF(YEAR(AW$3)=YEAR(Headcount!$R$4),IF((AW$5=2),((SUMIFS(Headcount!$R$6:$R$89,Headcount!$F$6:$F$89,"Development Operations",Headcount!$H$6:$H$89,"&gt;="&amp;BI!AW$3)/12)),AV12),"New Year"))))),'Dept. Cost Actuals'!BA824-'Dept. Cost Actuals'!BA814)</f>
        <v>109100.84166666666</v>
      </c>
      <c r="AX12" s="806">
        <f>IF(AX$4="forecast",IF(YEAR(AX$3)=YEAR(Headcount!$N$4),((SUMIFS(Headcount!$N$6:$N$89,Headcount!$F$6:$F$89,"Development Operations",Headcount!$H$6:$H$89,"&gt;="&amp;BI!AX$3)/12)),IF(YEAR(AX$3)=YEAR(Headcount!$O$4),IF((AX$5=2),((SUMIFS(Headcount!$O$6:$O$89,Headcount!$F$6:$F$89,"Development Operations",Headcount!$H$6:$H$89,"&gt;="&amp;BI!AX$3)/12)),AW12),IF(YEAR(AX$3)=YEAR(Headcount!$P$4),IF((AX$5=2),((SUMIFS(Headcount!$P$6:$P$89,Headcount!$F$6:$F$89,"Development Operations",Headcount!$H$6:$H$89,"&gt;="&amp;BI!AX$3)/12)),AW12),IF(YEAR(AX$3)=YEAR(Headcount!$Q$4),IF((AX$5=2),((SUMIFS(Headcount!$Q$6:$Q$89,Headcount!$F$6:$F$89,"Development Operations",Headcount!$H$6:$H$89,"&gt;="&amp;BI!AX$3)/12)),AW12),IF(YEAR(AX$3)=YEAR(Headcount!$R$4),IF((AX$5=2),((SUMIFS(Headcount!$R$6:$R$89,Headcount!$F$6:$F$89,"Development Operations",Headcount!$H$6:$H$89,"&gt;="&amp;BI!AX$3)/12)),AW12),"New Year"))))),'Dept. Cost Actuals'!BB824-'Dept. Cost Actuals'!BB814)</f>
        <v>109100.84166666666</v>
      </c>
      <c r="AY12" s="806">
        <f>IF(AY$4="forecast",IF(YEAR(AY$3)=YEAR(Headcount!$N$4),((SUMIFS(Headcount!$N$6:$N$89,Headcount!$F$6:$F$89,"Development Operations",Headcount!$H$6:$H$89,"&gt;="&amp;BI!AY$3)/12)),IF(YEAR(AY$3)=YEAR(Headcount!$O$4),IF((AY$5=2),((SUMIFS(Headcount!$O$6:$O$89,Headcount!$F$6:$F$89,"Development Operations",Headcount!$H$6:$H$89,"&gt;="&amp;BI!AY$3)/12)),AX12),IF(YEAR(AY$3)=YEAR(Headcount!$P$4),IF((AY$5=2),((SUMIFS(Headcount!$P$6:$P$89,Headcount!$F$6:$F$89,"Development Operations",Headcount!$H$6:$H$89,"&gt;="&amp;BI!AY$3)/12)),AX12),IF(YEAR(AY$3)=YEAR(Headcount!$Q$4),IF((AY$5=2),((SUMIFS(Headcount!$Q$6:$Q$89,Headcount!$F$6:$F$89,"Development Operations",Headcount!$H$6:$H$89,"&gt;="&amp;BI!AY$3)/12)),AX12),IF(YEAR(AY$3)=YEAR(Headcount!$R$4),IF((AY$5=2),((SUMIFS(Headcount!$R$6:$R$89,Headcount!$F$6:$F$89,"Development Operations",Headcount!$H$6:$H$89,"&gt;="&amp;BI!AY$3)/12)),AX12),"New Year"))))),'Dept. Cost Actuals'!BC824-'Dept. Cost Actuals'!BC814)</f>
        <v>109100.84166666666</v>
      </c>
      <c r="AZ12" s="806">
        <f>IF(AZ$4="forecast",IF(YEAR(AZ$3)=YEAR(Headcount!$N$4),((SUMIFS(Headcount!$N$6:$N$89,Headcount!$F$6:$F$89,"Development Operations",Headcount!$H$6:$H$89,"&gt;="&amp;BI!AZ$3)/12)),IF(YEAR(AZ$3)=YEAR(Headcount!$O$4),IF((AZ$5=2),((SUMIFS(Headcount!$O$6:$O$89,Headcount!$F$6:$F$89,"Development Operations",Headcount!$H$6:$H$89,"&gt;="&amp;BI!AZ$3)/12)),AY12),IF(YEAR(AZ$3)=YEAR(Headcount!$P$4),IF((AZ$5=2),((SUMIFS(Headcount!$P$6:$P$89,Headcount!$F$6:$F$89,"Development Operations",Headcount!$H$6:$H$89,"&gt;="&amp;BI!AZ$3)/12)),AY12),IF(YEAR(AZ$3)=YEAR(Headcount!$Q$4),IF((AZ$5=2),((SUMIFS(Headcount!$Q$6:$Q$89,Headcount!$F$6:$F$89,"Development Operations",Headcount!$H$6:$H$89,"&gt;="&amp;BI!AZ$3)/12)),AY12),IF(YEAR(AZ$3)=YEAR(Headcount!$R$4),IF((AZ$5=2),((SUMIFS(Headcount!$R$6:$R$89,Headcount!$F$6:$F$89,"Development Operations",Headcount!$H$6:$H$89,"&gt;="&amp;BI!AZ$3)/12)),AY12),"New Year"))))),'Dept. Cost Actuals'!BD824-'Dept. Cost Actuals'!BD814)</f>
        <v>112726.78358333331</v>
      </c>
      <c r="BA12" s="806">
        <f>IF(BA$4="forecast",IF(YEAR(BA$3)=YEAR(Headcount!$N$4),((SUMIFS(Headcount!$N$6:$N$89,Headcount!$F$6:$F$89,"Development Operations",Headcount!$H$6:$H$89,"&gt;="&amp;BI!BA$3)/12)),IF(YEAR(BA$3)=YEAR(Headcount!$O$4),IF((BA$5=2),((SUMIFS(Headcount!$O$6:$O$89,Headcount!$F$6:$F$89,"Development Operations",Headcount!$H$6:$H$89,"&gt;="&amp;BI!BA$3)/12)),AZ12),IF(YEAR(BA$3)=YEAR(Headcount!$P$4),IF((BA$5=2),((SUMIFS(Headcount!$P$6:$P$89,Headcount!$F$6:$F$89,"Development Operations",Headcount!$H$6:$H$89,"&gt;="&amp;BI!BA$3)/12)),AZ12),IF(YEAR(BA$3)=YEAR(Headcount!$Q$4),IF((BA$5=2),((SUMIFS(Headcount!$Q$6:$Q$89,Headcount!$F$6:$F$89,"Development Operations",Headcount!$H$6:$H$89,"&gt;="&amp;BI!BA$3)/12)),AZ12),IF(YEAR(BA$3)=YEAR(Headcount!$R$4),IF((BA$5=2),((SUMIFS(Headcount!$R$6:$R$89,Headcount!$F$6:$F$89,"Development Operations",Headcount!$H$6:$H$89,"&gt;="&amp;BI!BA$3)/12)),AZ12),"New Year"))))),'Dept. Cost Actuals'!BE824-'Dept. Cost Actuals'!BE814)</f>
        <v>112726.78358333331</v>
      </c>
      <c r="BB12" s="806">
        <f>IF(BB$4="forecast",IF(YEAR(BB$3)=YEAR(Headcount!$N$4),((SUMIFS(Headcount!$N$6:$N$89,Headcount!$F$6:$F$89,"Development Operations",Headcount!$H$6:$H$89,"&gt;="&amp;BI!BB$3)/12)),IF(YEAR(BB$3)=YEAR(Headcount!$O$4),IF((BB$5=2),((SUMIFS(Headcount!$O$6:$O$89,Headcount!$F$6:$F$89,"Development Operations",Headcount!$H$6:$H$89,"&gt;="&amp;BI!BB$3)/12)),BA12),IF(YEAR(BB$3)=YEAR(Headcount!$P$4),IF((BB$5=2),((SUMIFS(Headcount!$P$6:$P$89,Headcount!$F$6:$F$89,"Development Operations",Headcount!$H$6:$H$89,"&gt;="&amp;BI!BB$3)/12)),BA12),IF(YEAR(BB$3)=YEAR(Headcount!$Q$4),IF((BB$5=2),((SUMIFS(Headcount!$Q$6:$Q$89,Headcount!$F$6:$F$89,"Development Operations",Headcount!$H$6:$H$89,"&gt;="&amp;BI!BB$3)/12)),BA12),IF(YEAR(BB$3)=YEAR(Headcount!$R$4),IF((BB$5=2),((SUMIFS(Headcount!$R$6:$R$89,Headcount!$F$6:$F$89,"Development Operations",Headcount!$H$6:$H$89,"&gt;="&amp;BI!BB$3)/12)),BA12),"New Year"))))),'Dept. Cost Actuals'!BF824-'Dept. Cost Actuals'!BF814)</f>
        <v>112726.78358333331</v>
      </c>
      <c r="BC12" s="806">
        <f>IF(BC$4="forecast",IF(YEAR(BC$3)=YEAR(Headcount!$N$4),((SUMIFS(Headcount!$N$6:$N$89,Headcount!$F$6:$F$89,"Development Operations",Headcount!$H$6:$H$89,"&gt;="&amp;BI!BC$3)/12)),IF(YEAR(BC$3)=YEAR(Headcount!$O$4),IF((BC$5=2),((SUMIFS(Headcount!$O$6:$O$89,Headcount!$F$6:$F$89,"Development Operations",Headcount!$H$6:$H$89,"&gt;="&amp;BI!BC$3)/12)),BB12),IF(YEAR(BC$3)=YEAR(Headcount!$P$4),IF((BC$5=2),((SUMIFS(Headcount!$P$6:$P$89,Headcount!$F$6:$F$89,"Development Operations",Headcount!$H$6:$H$89,"&gt;="&amp;BI!BC$3)/12)),BB12),IF(YEAR(BC$3)=YEAR(Headcount!$Q$4),IF((BC$5=2),((SUMIFS(Headcount!$Q$6:$Q$89,Headcount!$F$6:$F$89,"Development Operations",Headcount!$H$6:$H$89,"&gt;="&amp;BI!BC$3)/12)),BB12),IF(YEAR(BC$3)=YEAR(Headcount!$R$4),IF((BC$5=2),((SUMIFS(Headcount!$R$6:$R$89,Headcount!$F$6:$F$89,"Development Operations",Headcount!$H$6:$H$89,"&gt;="&amp;BI!BC$3)/12)),BB12),"New Year"))))),'Dept. Cost Actuals'!BG824-'Dept. Cost Actuals'!BG814)</f>
        <v>112726.78358333331</v>
      </c>
      <c r="BD12" s="806">
        <f>IF(BD$4="forecast",IF(YEAR(BD$3)=YEAR(Headcount!$N$4),((SUMIFS(Headcount!$N$6:$N$89,Headcount!$F$6:$F$89,"Development Operations",Headcount!$H$6:$H$89,"&gt;="&amp;BI!BD$3)/12)),IF(YEAR(BD$3)=YEAR(Headcount!$O$4),IF((BD$5=2),((SUMIFS(Headcount!$O$6:$O$89,Headcount!$F$6:$F$89,"Development Operations",Headcount!$H$6:$H$89,"&gt;="&amp;BI!BD$3)/12)),BC12),IF(YEAR(BD$3)=YEAR(Headcount!$P$4),IF((BD$5=2),((SUMIFS(Headcount!$P$6:$P$89,Headcount!$F$6:$F$89,"Development Operations",Headcount!$H$6:$H$89,"&gt;="&amp;BI!BD$3)/12)),BC12),IF(YEAR(BD$3)=YEAR(Headcount!$Q$4),IF((BD$5=2),((SUMIFS(Headcount!$Q$6:$Q$89,Headcount!$F$6:$F$89,"Development Operations",Headcount!$H$6:$H$89,"&gt;="&amp;BI!BD$3)/12)),BC12),IF(YEAR(BD$3)=YEAR(Headcount!$R$4),IF((BD$5=2),((SUMIFS(Headcount!$R$6:$R$89,Headcount!$F$6:$F$89,"Development Operations",Headcount!$H$6:$H$89,"&gt;="&amp;BI!BD$3)/12)),BC12),"New Year"))))),'Dept. Cost Actuals'!BH824-'Dept. Cost Actuals'!BH814)</f>
        <v>112726.78358333331</v>
      </c>
      <c r="BE12" s="806">
        <f>IF(BE$4="forecast",IF(YEAR(BE$3)=YEAR(Headcount!$N$4),((SUMIFS(Headcount!$N$6:$N$89,Headcount!$F$6:$F$89,"Development Operations",Headcount!$H$6:$H$89,"&gt;="&amp;BI!BE$3)/12)),IF(YEAR(BE$3)=YEAR(Headcount!$O$4),IF((BE$5=2),((SUMIFS(Headcount!$O$6:$O$89,Headcount!$F$6:$F$89,"Development Operations",Headcount!$H$6:$H$89,"&gt;="&amp;BI!BE$3)/12)),BD12),IF(YEAR(BE$3)=YEAR(Headcount!$P$4),IF((BE$5=2),((SUMIFS(Headcount!$P$6:$P$89,Headcount!$F$6:$F$89,"Development Operations",Headcount!$H$6:$H$89,"&gt;="&amp;BI!BE$3)/12)),BD12),IF(YEAR(BE$3)=YEAR(Headcount!$Q$4),IF((BE$5=2),((SUMIFS(Headcount!$Q$6:$Q$89,Headcount!$F$6:$F$89,"Development Operations",Headcount!$H$6:$H$89,"&gt;="&amp;BI!BE$3)/12)),BD12),IF(YEAR(BE$3)=YEAR(Headcount!$R$4),IF((BE$5=2),((SUMIFS(Headcount!$R$6:$R$89,Headcount!$F$6:$F$89,"Development Operations",Headcount!$H$6:$H$89,"&gt;="&amp;BI!BE$3)/12)),BD12),"New Year"))))),'Dept. Cost Actuals'!BI824-'Dept. Cost Actuals'!BI814)</f>
        <v>112726.78358333331</v>
      </c>
      <c r="BF12" s="806">
        <f>IF(BF$4="forecast",IF(YEAR(BF$3)=YEAR(Headcount!$N$4),((SUMIFS(Headcount!$N$6:$N$89,Headcount!$F$6:$F$89,"Development Operations",Headcount!$H$6:$H$89,"&gt;="&amp;BI!BF$3)/12)),IF(YEAR(BF$3)=YEAR(Headcount!$O$4),IF((BF$5=2),((SUMIFS(Headcount!$O$6:$O$89,Headcount!$F$6:$F$89,"Development Operations",Headcount!$H$6:$H$89,"&gt;="&amp;BI!BF$3)/12)),BE12),IF(YEAR(BF$3)=YEAR(Headcount!$P$4),IF((BF$5=2),((SUMIFS(Headcount!$P$6:$P$89,Headcount!$F$6:$F$89,"Development Operations",Headcount!$H$6:$H$89,"&gt;="&amp;BI!BF$3)/12)),BE12),IF(YEAR(BF$3)=YEAR(Headcount!$Q$4),IF((BF$5=2),((SUMIFS(Headcount!$Q$6:$Q$89,Headcount!$F$6:$F$89,"Development Operations",Headcount!$H$6:$H$89,"&gt;="&amp;BI!BF$3)/12)),BE12),IF(YEAR(BF$3)=YEAR(Headcount!$R$4),IF((BF$5=2),((SUMIFS(Headcount!$R$6:$R$89,Headcount!$F$6:$F$89,"Development Operations",Headcount!$H$6:$H$89,"&gt;="&amp;BI!BF$3)/12)),BE12),"New Year"))))),'Dept. Cost Actuals'!BJ824-'Dept. Cost Actuals'!BJ814)</f>
        <v>112726.78358333331</v>
      </c>
      <c r="BG12" s="806">
        <f>IF(BG$4="forecast",IF(YEAR(BG$3)=YEAR(Headcount!$N$4),((SUMIFS(Headcount!$N$6:$N$89,Headcount!$F$6:$F$89,"Development Operations",Headcount!$H$6:$H$89,"&gt;="&amp;BI!BG$3)/12)),IF(YEAR(BG$3)=YEAR(Headcount!$O$4),IF((BG$5=2),((SUMIFS(Headcount!$O$6:$O$89,Headcount!$F$6:$F$89,"Development Operations",Headcount!$H$6:$H$89,"&gt;="&amp;BI!BG$3)/12)),BF12),IF(YEAR(BG$3)=YEAR(Headcount!$P$4),IF((BG$5=2),((SUMIFS(Headcount!$P$6:$P$89,Headcount!$F$6:$F$89,"Development Operations",Headcount!$H$6:$H$89,"&gt;="&amp;BI!BG$3)/12)),BF12),IF(YEAR(BG$3)=YEAR(Headcount!$Q$4),IF((BG$5=2),((SUMIFS(Headcount!$Q$6:$Q$89,Headcount!$F$6:$F$89,"Development Operations",Headcount!$H$6:$H$89,"&gt;="&amp;BI!BG$3)/12)),BF12),IF(YEAR(BG$3)=YEAR(Headcount!$R$4),IF((BG$5=2),((SUMIFS(Headcount!$R$6:$R$89,Headcount!$F$6:$F$89,"Development Operations",Headcount!$H$6:$H$89,"&gt;="&amp;BI!BG$3)/12)),BF12),"New Year"))))),'Dept. Cost Actuals'!BK824-'Dept. Cost Actuals'!BK814)</f>
        <v>112726.78358333331</v>
      </c>
      <c r="BH12" s="806">
        <f>IF(BH$4="forecast",IF(YEAR(BH$3)=YEAR(Headcount!$N$4),((SUMIFS(Headcount!$N$6:$N$89,Headcount!$F$6:$F$89,"Development Operations",Headcount!$H$6:$H$89,"&gt;="&amp;BI!BH$3)/12)),IF(YEAR(BH$3)=YEAR(Headcount!$O$4),IF((BH$5=2),((SUMIFS(Headcount!$O$6:$O$89,Headcount!$F$6:$F$89,"Development Operations",Headcount!$H$6:$H$89,"&gt;="&amp;BI!BH$3)/12)),BG12),IF(YEAR(BH$3)=YEAR(Headcount!$P$4),IF((BH$5=2),((SUMIFS(Headcount!$P$6:$P$89,Headcount!$F$6:$F$89,"Development Operations",Headcount!$H$6:$H$89,"&gt;="&amp;BI!BH$3)/12)),BG12),IF(YEAR(BH$3)=YEAR(Headcount!$Q$4),IF((BH$5=2),((SUMIFS(Headcount!$Q$6:$Q$89,Headcount!$F$6:$F$89,"Development Operations",Headcount!$H$6:$H$89,"&gt;="&amp;BI!BH$3)/12)),BG12),IF(YEAR(BH$3)=YEAR(Headcount!$R$4),IF((BH$5=2),((SUMIFS(Headcount!$R$6:$R$89,Headcount!$F$6:$F$89,"Development Operations",Headcount!$H$6:$H$89,"&gt;="&amp;BI!BH$3)/12)),BG12),"New Year"))))),'Dept. Cost Actuals'!BL824-'Dept. Cost Actuals'!BL814)</f>
        <v>112726.78358333331</v>
      </c>
      <c r="BI12" s="806">
        <f>IF(BI$4="forecast",IF(YEAR(BI$3)=YEAR(Headcount!$N$4),((SUMIFS(Headcount!$N$6:$N$89,Headcount!$F$6:$F$89,"Development Operations",Headcount!$H$6:$H$89,"&gt;="&amp;BI!BI$3)/12)),IF(YEAR(BI$3)=YEAR(Headcount!$O$4),IF((BI$5=2),((SUMIFS(Headcount!$O$6:$O$89,Headcount!$F$6:$F$89,"Development Operations",Headcount!$H$6:$H$89,"&gt;="&amp;BI!BI$3)/12)),BH12),IF(YEAR(BI$3)=YEAR(Headcount!$P$4),IF((BI$5=2),((SUMIFS(Headcount!$P$6:$P$89,Headcount!$F$6:$F$89,"Development Operations",Headcount!$H$6:$H$89,"&gt;="&amp;BI!BI$3)/12)),BH12),IF(YEAR(BI$3)=YEAR(Headcount!$Q$4),IF((BI$5=2),((SUMIFS(Headcount!$Q$6:$Q$89,Headcount!$F$6:$F$89,"Development Operations",Headcount!$H$6:$H$89,"&gt;="&amp;BI!BI$3)/12)),BH12),IF(YEAR(BI$3)=YEAR(Headcount!$R$4),IF((BI$5=2),((SUMIFS(Headcount!$R$6:$R$89,Headcount!$F$6:$F$89,"Development Operations",Headcount!$H$6:$H$89,"&gt;="&amp;BI!BI$3)/12)),BH12),"New Year"))))),'Dept. Cost Actuals'!BM824-'Dept. Cost Actuals'!BM814)</f>
        <v>112726.78358333331</v>
      </c>
      <c r="BJ12" s="806">
        <f>IF(BJ$4="forecast",IF(YEAR(BJ$3)=YEAR(Headcount!$N$4),((SUMIFS(Headcount!$N$6:$N$89,Headcount!$F$6:$F$89,"Development Operations",Headcount!$H$6:$H$89,"&gt;="&amp;BI!BJ$3)/12)),IF(YEAR(BJ$3)=YEAR(Headcount!$O$4),IF((BJ$5=2),((SUMIFS(Headcount!$O$6:$O$89,Headcount!$F$6:$F$89,"Development Operations",Headcount!$H$6:$H$89,"&gt;="&amp;BI!BJ$3)/12)),BI12),IF(YEAR(BJ$3)=YEAR(Headcount!$P$4),IF((BJ$5=2),((SUMIFS(Headcount!$P$6:$P$89,Headcount!$F$6:$F$89,"Development Operations",Headcount!$H$6:$H$89,"&gt;="&amp;BI!BJ$3)/12)),BI12),IF(YEAR(BJ$3)=YEAR(Headcount!$Q$4),IF((BJ$5=2),((SUMIFS(Headcount!$Q$6:$Q$89,Headcount!$F$6:$F$89,"Development Operations",Headcount!$H$6:$H$89,"&gt;="&amp;BI!BJ$3)/12)),BI12),IF(YEAR(BJ$3)=YEAR(Headcount!$R$4),IF((BJ$5=2),((SUMIFS(Headcount!$R$6:$R$89,Headcount!$F$6:$F$89,"Development Operations",Headcount!$H$6:$H$89,"&gt;="&amp;BI!BJ$3)/12)),BI12),"New Year"))))),'Dept. Cost Actuals'!BN824-'Dept. Cost Actuals'!BN814)</f>
        <v>112726.78358333331</v>
      </c>
      <c r="BK12" s="806">
        <f>IF(BK$4="forecast",IF(YEAR(BK$3)=YEAR(Headcount!$N$4),((SUMIFS(Headcount!$N$6:$N$89,Headcount!$F$6:$F$89,"Development Operations",Headcount!$H$6:$H$89,"&gt;="&amp;BI!BK$3)/12)),IF(YEAR(BK$3)=YEAR(Headcount!$O$4),IF((BK$5=2),((SUMIFS(Headcount!$O$6:$O$89,Headcount!$F$6:$F$89,"Development Operations",Headcount!$H$6:$H$89,"&gt;="&amp;BI!BK$3)/12)),BJ12),IF(YEAR(BK$3)=YEAR(Headcount!$P$4),IF((BK$5=2),((SUMIFS(Headcount!$P$6:$P$89,Headcount!$F$6:$F$89,"Development Operations",Headcount!$H$6:$H$89,"&gt;="&amp;BI!BK$3)/12)),BJ12),IF(YEAR(BK$3)=YEAR(Headcount!$Q$4),IF((BK$5=2),((SUMIFS(Headcount!$Q$6:$Q$89,Headcount!$F$6:$F$89,"Development Operations",Headcount!$H$6:$H$89,"&gt;="&amp;BI!BK$3)/12)),BJ12),IF(YEAR(BK$3)=YEAR(Headcount!$R$4),IF((BK$5=2),((SUMIFS(Headcount!$R$6:$R$89,Headcount!$F$6:$F$89,"Development Operations",Headcount!$H$6:$H$89,"&gt;="&amp;BI!BK$3)/12)),BJ12),"New Year"))))),'Dept. Cost Actuals'!BO824-'Dept. Cost Actuals'!BO814)</f>
        <v>112726.78358333331</v>
      </c>
      <c r="BL12" s="806">
        <f>IF(BL$4="forecast",IF(YEAR(BL$3)=YEAR(Headcount!$N$4),((SUMIFS(Headcount!$N$6:$N$89,Headcount!$F$6:$F$89,"Development Operations",Headcount!$H$6:$H$89,"&gt;="&amp;BI!BL$3)/12)),IF(YEAR(BL$3)=YEAR(Headcount!$O$4),IF((BL$5=2),((SUMIFS(Headcount!$O$6:$O$89,Headcount!$F$6:$F$89,"Development Operations",Headcount!$H$6:$H$89,"&gt;="&amp;BI!BL$3)/12)),BK12),IF(YEAR(BL$3)=YEAR(Headcount!$P$4),IF((BL$5=2),((SUMIFS(Headcount!$P$6:$P$89,Headcount!$F$6:$F$89,"Development Operations",Headcount!$H$6:$H$89,"&gt;="&amp;BI!BL$3)/12)),BK12),IF(YEAR(BL$3)=YEAR(Headcount!$Q$4),IF((BL$5=2),((SUMIFS(Headcount!$Q$6:$Q$89,Headcount!$F$6:$F$89,"Development Operations",Headcount!$H$6:$H$89,"&gt;="&amp;BI!BL$3)/12)),BK12),IF(YEAR(BL$3)=YEAR(Headcount!$R$4),IF((BL$5=2),((SUMIFS(Headcount!$R$6:$R$89,Headcount!$F$6:$F$89,"Development Operations",Headcount!$H$6:$H$89,"&gt;="&amp;BI!BL$3)/12)),BK12),"New Year"))))),'Dept. Cost Actuals'!BP824-'Dept. Cost Actuals'!BP814)</f>
        <v>116496.79542416672</v>
      </c>
      <c r="BM12" s="806">
        <f>IF(BM$4="forecast",IF(YEAR(BM$3)=YEAR(Headcount!$N$4),((SUMIFS(Headcount!$N$6:$N$89,Headcount!$F$6:$F$89,"Development Operations",Headcount!$H$6:$H$89,"&gt;="&amp;BI!BM$3)/12)),IF(YEAR(BM$3)=YEAR(Headcount!$O$4),IF((BM$5=2),((SUMIFS(Headcount!$O$6:$O$89,Headcount!$F$6:$F$89,"Development Operations",Headcount!$H$6:$H$89,"&gt;="&amp;BI!BM$3)/12)),BL12),IF(YEAR(BM$3)=YEAR(Headcount!$P$4),IF((BM$5=2),((SUMIFS(Headcount!$P$6:$P$89,Headcount!$F$6:$F$89,"Development Operations",Headcount!$H$6:$H$89,"&gt;="&amp;BI!BM$3)/12)),BL12),IF(YEAR(BM$3)=YEAR(Headcount!$Q$4),IF((BM$5=2),((SUMIFS(Headcount!$Q$6:$Q$89,Headcount!$F$6:$F$89,"Development Operations",Headcount!$H$6:$H$89,"&gt;="&amp;BI!BM$3)/12)),BL12),IF(YEAR(BM$3)=YEAR(Headcount!$R$4),IF((BM$5=2),((SUMIFS(Headcount!$R$6:$R$89,Headcount!$F$6:$F$89,"Development Operations",Headcount!$H$6:$H$89,"&gt;="&amp;BI!BM$3)/12)),BL12),"New Year"))))),'Dept. Cost Actuals'!BQ824-'Dept. Cost Actuals'!BQ814)</f>
        <v>116496.79542416672</v>
      </c>
      <c r="BN12" s="806">
        <f>IF(BN$4="forecast",IF(YEAR(BN$3)=YEAR(Headcount!$N$4),((SUMIFS(Headcount!$N$6:$N$89,Headcount!$F$6:$F$89,"Development Operations",Headcount!$H$6:$H$89,"&gt;="&amp;BI!BN$3)/12)),IF(YEAR(BN$3)=YEAR(Headcount!$O$4),IF((BN$5=2),((SUMIFS(Headcount!$O$6:$O$89,Headcount!$F$6:$F$89,"Development Operations",Headcount!$H$6:$H$89,"&gt;="&amp;BI!BN$3)/12)),BM12),IF(YEAR(BN$3)=YEAR(Headcount!$P$4),IF((BN$5=2),((SUMIFS(Headcount!$P$6:$P$89,Headcount!$F$6:$F$89,"Development Operations",Headcount!$H$6:$H$89,"&gt;="&amp;BI!BN$3)/12)),BM12),IF(YEAR(BN$3)=YEAR(Headcount!$Q$4),IF((BN$5=2),((SUMIFS(Headcount!$Q$6:$Q$89,Headcount!$F$6:$F$89,"Development Operations",Headcount!$H$6:$H$89,"&gt;="&amp;BI!BN$3)/12)),BM12),IF(YEAR(BN$3)=YEAR(Headcount!$R$4),IF((BN$5=2),((SUMIFS(Headcount!$R$6:$R$89,Headcount!$F$6:$F$89,"Development Operations",Headcount!$H$6:$H$89,"&gt;="&amp;BI!BN$3)/12)),BM12),"New Year"))))),'Dept. Cost Actuals'!BR824-'Dept. Cost Actuals'!BR814)</f>
        <v>116496.79542416672</v>
      </c>
      <c r="BO12" s="806">
        <f>IF(BO$4="forecast",IF(YEAR(BO$3)=YEAR(Headcount!$N$4),((SUMIFS(Headcount!$N$6:$N$89,Headcount!$F$6:$F$89,"Development Operations",Headcount!$H$6:$H$89,"&gt;="&amp;BI!BO$3)/12)),IF(YEAR(BO$3)=YEAR(Headcount!$O$4),IF((BO$5=2),((SUMIFS(Headcount!$O$6:$O$89,Headcount!$F$6:$F$89,"Development Operations",Headcount!$H$6:$H$89,"&gt;="&amp;BI!BO$3)/12)),BN12),IF(YEAR(BO$3)=YEAR(Headcount!$P$4),IF((BO$5=2),((SUMIFS(Headcount!$P$6:$P$89,Headcount!$F$6:$F$89,"Development Operations",Headcount!$H$6:$H$89,"&gt;="&amp;BI!BO$3)/12)),BN12),IF(YEAR(BO$3)=YEAR(Headcount!$Q$4),IF((BO$5=2),((SUMIFS(Headcount!$Q$6:$Q$89,Headcount!$F$6:$F$89,"Development Operations",Headcount!$H$6:$H$89,"&gt;="&amp;BI!BO$3)/12)),BN12),IF(YEAR(BO$3)=YEAR(Headcount!$R$4),IF((BO$5=2),((SUMIFS(Headcount!$R$6:$R$89,Headcount!$F$6:$F$89,"Development Operations",Headcount!$H$6:$H$89,"&gt;="&amp;BI!BO$3)/12)),BN12),"New Year"))))),'Dept. Cost Actuals'!BS824-'Dept. Cost Actuals'!BS814)</f>
        <v>116496.79542416672</v>
      </c>
      <c r="BP12" s="806">
        <f>IF(BP$4="forecast",IF(YEAR(BP$3)=YEAR(Headcount!$N$4),((SUMIFS(Headcount!$N$6:$N$89,Headcount!$F$6:$F$89,"Development Operations",Headcount!$H$6:$H$89,"&gt;="&amp;BI!BP$3)/12)),IF(YEAR(BP$3)=YEAR(Headcount!$O$4),IF((BP$5=2),((SUMIFS(Headcount!$O$6:$O$89,Headcount!$F$6:$F$89,"Development Operations",Headcount!$H$6:$H$89,"&gt;="&amp;BI!BP$3)/12)),BO12),IF(YEAR(BP$3)=YEAR(Headcount!$P$4),IF((BP$5=2),((SUMIFS(Headcount!$P$6:$P$89,Headcount!$F$6:$F$89,"Development Operations",Headcount!$H$6:$H$89,"&gt;="&amp;BI!BP$3)/12)),BO12),IF(YEAR(BP$3)=YEAR(Headcount!$Q$4),IF((BP$5=2),((SUMIFS(Headcount!$Q$6:$Q$89,Headcount!$F$6:$F$89,"Development Operations",Headcount!$H$6:$H$89,"&gt;="&amp;BI!BP$3)/12)),BO12),IF(YEAR(BP$3)=YEAR(Headcount!$R$4),IF((BP$5=2),((SUMIFS(Headcount!$R$6:$R$89,Headcount!$F$6:$F$89,"Development Operations",Headcount!$H$6:$H$89,"&gt;="&amp;BI!BP$3)/12)),BO12),"New Year"))))),'Dept. Cost Actuals'!BT824-'Dept. Cost Actuals'!BT814)</f>
        <v>116496.79542416672</v>
      </c>
      <c r="BQ12" s="806">
        <f>IF(BQ$4="forecast",IF(YEAR(BQ$3)=YEAR(Headcount!$N$4),((SUMIFS(Headcount!$N$6:$N$89,Headcount!$F$6:$F$89,"Development Operations",Headcount!$H$6:$H$89,"&gt;="&amp;BI!BQ$3)/12)),IF(YEAR(BQ$3)=YEAR(Headcount!$O$4),IF((BQ$5=2),((SUMIFS(Headcount!$O$6:$O$89,Headcount!$F$6:$F$89,"Development Operations",Headcount!$H$6:$H$89,"&gt;="&amp;BI!BQ$3)/12)),BP12),IF(YEAR(BQ$3)=YEAR(Headcount!$P$4),IF((BQ$5=2),((SUMIFS(Headcount!$P$6:$P$89,Headcount!$F$6:$F$89,"Development Operations",Headcount!$H$6:$H$89,"&gt;="&amp;BI!BQ$3)/12)),BP12),IF(YEAR(BQ$3)=YEAR(Headcount!$Q$4),IF((BQ$5=2),((SUMIFS(Headcount!$Q$6:$Q$89,Headcount!$F$6:$F$89,"Development Operations",Headcount!$H$6:$H$89,"&gt;="&amp;BI!BQ$3)/12)),BP12),IF(YEAR(BQ$3)=YEAR(Headcount!$R$4),IF((BQ$5=2),((SUMIFS(Headcount!$R$6:$R$89,Headcount!$F$6:$F$89,"Development Operations",Headcount!$H$6:$H$89,"&gt;="&amp;BI!BQ$3)/12)),BP12),"New Year"))))),'Dept. Cost Actuals'!BU824-'Dept. Cost Actuals'!BU814)</f>
        <v>116496.79542416672</v>
      </c>
      <c r="BR12" s="806">
        <f>IF(BR$4="forecast",IF(YEAR(BR$3)=YEAR(Headcount!$N$4),((SUMIFS(Headcount!$N$6:$N$89,Headcount!$F$6:$F$89,"Development Operations",Headcount!$H$6:$H$89,"&gt;="&amp;BI!BR$3)/12)),IF(YEAR(BR$3)=YEAR(Headcount!$O$4),IF((BR$5=2),((SUMIFS(Headcount!$O$6:$O$89,Headcount!$F$6:$F$89,"Development Operations",Headcount!$H$6:$H$89,"&gt;="&amp;BI!BR$3)/12)),BQ12),IF(YEAR(BR$3)=YEAR(Headcount!$P$4),IF((BR$5=2),((SUMIFS(Headcount!$P$6:$P$89,Headcount!$F$6:$F$89,"Development Operations",Headcount!$H$6:$H$89,"&gt;="&amp;BI!BR$3)/12)),BQ12),IF(YEAR(BR$3)=YEAR(Headcount!$Q$4),IF((BR$5=2),((SUMIFS(Headcount!$Q$6:$Q$89,Headcount!$F$6:$F$89,"Development Operations",Headcount!$H$6:$H$89,"&gt;="&amp;BI!BR$3)/12)),BQ12),IF(YEAR(BR$3)=YEAR(Headcount!$R$4),IF((BR$5=2),((SUMIFS(Headcount!$R$6:$R$89,Headcount!$F$6:$F$89,"Development Operations",Headcount!$H$6:$H$89,"&gt;="&amp;BI!BR$3)/12)),BQ12),"New Year"))))),'Dept. Cost Actuals'!BV824-'Dept. Cost Actuals'!BV814)</f>
        <v>116496.79542416672</v>
      </c>
      <c r="BS12" s="806">
        <f>IF(BS$4="forecast",IF(YEAR(BS$3)=YEAR(Headcount!$N$4),((SUMIFS(Headcount!$N$6:$N$89,Headcount!$F$6:$F$89,"Development Operations",Headcount!$H$6:$H$89,"&gt;="&amp;BI!BS$3)/12)),IF(YEAR(BS$3)=YEAR(Headcount!$O$4),IF((BS$5=2),((SUMIFS(Headcount!$O$6:$O$89,Headcount!$F$6:$F$89,"Development Operations",Headcount!$H$6:$H$89,"&gt;="&amp;BI!BS$3)/12)),BR12),IF(YEAR(BS$3)=YEAR(Headcount!$P$4),IF((BS$5=2),((SUMIFS(Headcount!$P$6:$P$89,Headcount!$F$6:$F$89,"Development Operations",Headcount!$H$6:$H$89,"&gt;="&amp;BI!BS$3)/12)),BR12),IF(YEAR(BS$3)=YEAR(Headcount!$Q$4),IF((BS$5=2),((SUMIFS(Headcount!$Q$6:$Q$89,Headcount!$F$6:$F$89,"Development Operations",Headcount!$H$6:$H$89,"&gt;="&amp;BI!BS$3)/12)),BR12),IF(YEAR(BS$3)=YEAR(Headcount!$R$4),IF((BS$5=2),((SUMIFS(Headcount!$R$6:$R$89,Headcount!$F$6:$F$89,"Development Operations",Headcount!$H$6:$H$89,"&gt;="&amp;BI!BS$3)/12)),BR12),"New Year"))))),'Dept. Cost Actuals'!BW824-'Dept. Cost Actuals'!BW814)</f>
        <v>116496.79542416672</v>
      </c>
      <c r="BT12" s="806">
        <f>IF(BT$4="forecast",IF(YEAR(BT$3)=YEAR(Headcount!$N$4),((SUMIFS(Headcount!$N$6:$N$89,Headcount!$F$6:$F$89,"Development Operations",Headcount!$H$6:$H$89,"&gt;="&amp;BI!BT$3)/12)),IF(YEAR(BT$3)=YEAR(Headcount!$O$4),IF((BT$5=2),((SUMIFS(Headcount!$O$6:$O$89,Headcount!$F$6:$F$89,"Development Operations",Headcount!$H$6:$H$89,"&gt;="&amp;BI!BT$3)/12)),BS12),IF(YEAR(BT$3)=YEAR(Headcount!$P$4),IF((BT$5=2),((SUMIFS(Headcount!$P$6:$P$89,Headcount!$F$6:$F$89,"Development Operations",Headcount!$H$6:$H$89,"&gt;="&amp;BI!BT$3)/12)),BS12),IF(YEAR(BT$3)=YEAR(Headcount!$Q$4),IF((BT$5=2),((SUMIFS(Headcount!$Q$6:$Q$89,Headcount!$F$6:$F$89,"Development Operations",Headcount!$H$6:$H$89,"&gt;="&amp;BI!BT$3)/12)),BS12),IF(YEAR(BT$3)=YEAR(Headcount!$R$4),IF((BT$5=2),((SUMIFS(Headcount!$R$6:$R$89,Headcount!$F$6:$F$89,"Development Operations",Headcount!$H$6:$H$89,"&gt;="&amp;BI!BT$3)/12)),BS12),"New Year"))))),'Dept. Cost Actuals'!BX824-'Dept. Cost Actuals'!BX814)</f>
        <v>116496.79542416672</v>
      </c>
      <c r="BU12" s="806">
        <f>IF(BU$4="forecast",IF(YEAR(BU$3)=YEAR(Headcount!$N$4),((SUMIFS(Headcount!$N$6:$N$89,Headcount!$F$6:$F$89,"Development Operations",Headcount!$H$6:$H$89,"&gt;="&amp;BI!BU$3)/12)),IF(YEAR(BU$3)=YEAR(Headcount!$O$4),IF((BU$5=2),((SUMIFS(Headcount!$O$6:$O$89,Headcount!$F$6:$F$89,"Development Operations",Headcount!$H$6:$H$89,"&gt;="&amp;BI!BU$3)/12)),BT12),IF(YEAR(BU$3)=YEAR(Headcount!$P$4),IF((BU$5=2),((SUMIFS(Headcount!$P$6:$P$89,Headcount!$F$6:$F$89,"Development Operations",Headcount!$H$6:$H$89,"&gt;="&amp;BI!BU$3)/12)),BT12),IF(YEAR(BU$3)=YEAR(Headcount!$Q$4),IF((BU$5=2),((SUMIFS(Headcount!$Q$6:$Q$89,Headcount!$F$6:$F$89,"Development Operations",Headcount!$H$6:$H$89,"&gt;="&amp;BI!BU$3)/12)),BT12),IF(YEAR(BU$3)=YEAR(Headcount!$R$4),IF((BU$5=2),((SUMIFS(Headcount!$R$6:$R$89,Headcount!$F$6:$F$89,"Development Operations",Headcount!$H$6:$H$89,"&gt;="&amp;BI!BU$3)/12)),BT12),"New Year"))))),'Dept. Cost Actuals'!BY824-'Dept. Cost Actuals'!BY814)</f>
        <v>116496.79542416672</v>
      </c>
      <c r="BV12" s="807">
        <f>IF(BV$4="forecast",IF(YEAR(BV$3)=YEAR(Headcount!$N$4),((SUMIFS(Headcount!$N$6:$N$89,Headcount!$F$6:$F$89,"Development Operations",Headcount!$H$6:$H$89,"&gt;="&amp;BI!BV$3)/12)),IF(YEAR(BV$3)=YEAR(Headcount!$O$4),IF((BV$5=2),((SUMIFS(Headcount!$O$6:$O$89,Headcount!$F$6:$F$89,"Development Operations",Headcount!$H$6:$H$89,"&gt;="&amp;BI!BV$3)/12)),BU12),IF(YEAR(BV$3)=YEAR(Headcount!$P$4),IF((BV$5=2),((SUMIFS(Headcount!$P$6:$P$89,Headcount!$F$6:$F$89,"Development Operations",Headcount!$H$6:$H$89,"&gt;="&amp;BI!BV$3)/12)),BU12),IF(YEAR(BV$3)=YEAR(Headcount!$Q$4),IF((BV$5=2),((SUMIFS(Headcount!$Q$6:$Q$89,Headcount!$F$6:$F$89,"Development Operations",Headcount!$H$6:$H$89,"&gt;="&amp;BI!BV$3)/12)),BU12),IF(YEAR(BV$3)=YEAR(Headcount!$R$4),IF((BV$5=2),((SUMIFS(Headcount!$R$6:$R$89,Headcount!$F$6:$F$89,"Development Operations",Headcount!$H$6:$H$89,"&gt;="&amp;BI!BV$3)/12)),BU12),"New Year"))))),'Dept. Cost Actuals'!BZ824-'Dept. Cost Actuals'!BZ814)</f>
        <v>116496.79542416672</v>
      </c>
    </row>
    <row r="13" spans="2:74" x14ac:dyDescent="0.35">
      <c r="B13" s="797" t="s">
        <v>935</v>
      </c>
      <c r="C13" s="684">
        <f>IF(C$4="forecast",IF(YEAR(C$3)=YEAR('New Hires Forecast'!$N$3),((SUMIFS('New Hires Forecast'!$N$5:$N$81,'New Hires Forecast'!$F$5:$F$81,"Dev Ops",'New Hires Forecast'!$H$5:$H$81,"&gt;="&amp;BI!C3,'New Hires Forecast'!$G$5:$G$81,"&lt;="&amp;BI!C3)/12)),IF(YEAR(C$3)=YEAR('New Hires Forecast'!$O$3),((SUMIFS('New Hires Forecast'!$O$5:$O$81,'New Hires Forecast'!$F$5:$F$81,"Dev Ops",'New Hires Forecast'!$H$5:$H$81,"&gt;="&amp;BI!C3,'New Hires Forecast'!$G$5:$G$81,"&lt;="&amp;BI!C3)/12)),IF(YEAR(C$3)=YEAR('New Hires Forecast'!$P$3),((SUMIFS('New Hires Forecast'!$P$5:$P$81,'New Hires Forecast'!$F$5:$F$81,"Dev Ops",'New Hires Forecast'!$H$5:$H$81,"&gt;="&amp;BI!C3,'New Hires Forecast'!$G$5:$G$81,"&lt;="&amp;BI!C3)/12)),IF(YEAR(C$3)=YEAR('New Hires Forecast'!$Q$3),((SUMIFS('New Hires Forecast'!$Q$5:$Q$81,'New Hires Forecast'!$F$5:$F$81,"Dev Ops",'New Hires Forecast'!$H$5:$H$81,"&gt;="&amp;BI!C3,'New Hires Forecast'!$G$5:$G$81,"&lt;="&amp;BI!C3)/12)),IF(YEAR(C$3)=YEAR('New Hires Forecast'!$R$3),((SUMIFS('New Hires Forecast'!$R$5:$R$81,'New Hires Forecast'!$F$5:$F$81,"Dev Ops",'New Hires Forecast'!$H$5:$H$81,"&gt;="&amp;BI!C3,'New Hires Forecast'!$G$5:$G$81,"&lt;="&amp;BI!C3)/12))))))),0)</f>
        <v>0</v>
      </c>
      <c r="D13" s="684">
        <f>IF(D$4="forecast",IF(YEAR(D$3)=YEAR('New Hires Forecast'!$N$3),((SUMIFS('New Hires Forecast'!$N$5:$N$81,'New Hires Forecast'!$F$5:$F$81,"Dev Ops",'New Hires Forecast'!$H$5:$H$81,"&gt;="&amp;BI!D3,'New Hires Forecast'!$G$5:$G$81,"&lt;="&amp;BI!D3)/12)),IF(YEAR(D$3)=YEAR('New Hires Forecast'!$O$3),((SUMIFS('New Hires Forecast'!$O$5:$O$81,'New Hires Forecast'!$F$5:$F$81,"Dev Ops",'New Hires Forecast'!$H$5:$H$81,"&gt;="&amp;BI!D3,'New Hires Forecast'!$G$5:$G$81,"&lt;="&amp;BI!D3)/12)),IF(YEAR(D$3)=YEAR('New Hires Forecast'!$P$3),((SUMIFS('New Hires Forecast'!$P$5:$P$81,'New Hires Forecast'!$F$5:$F$81,"Dev Ops",'New Hires Forecast'!$H$5:$H$81,"&gt;="&amp;BI!D3,'New Hires Forecast'!$G$5:$G$81,"&lt;="&amp;BI!D3)/12)),IF(YEAR(D$3)=YEAR('New Hires Forecast'!$Q$3),((SUMIFS('New Hires Forecast'!$Q$5:$Q$81,'New Hires Forecast'!$F$5:$F$81,"Dev Ops",'New Hires Forecast'!$H$5:$H$81,"&gt;="&amp;BI!D3,'New Hires Forecast'!$G$5:$G$81,"&lt;="&amp;BI!D3)/12)),IF(YEAR(D$3)=YEAR('New Hires Forecast'!$R$3),((SUMIFS('New Hires Forecast'!$R$5:$R$81,'New Hires Forecast'!$F$5:$F$81,"Dev Ops",'New Hires Forecast'!$H$5:$H$81,"&gt;="&amp;BI!D3,'New Hires Forecast'!$G$5:$G$81,"&lt;="&amp;BI!D3)/12))))))),0)</f>
        <v>0</v>
      </c>
      <c r="E13" s="684">
        <f>IF(E$4="forecast",IF(YEAR(E$3)=YEAR('New Hires Forecast'!$N$3),((SUMIFS('New Hires Forecast'!$N$5:$N$81,'New Hires Forecast'!$F$5:$F$81,"Dev Ops",'New Hires Forecast'!$H$5:$H$81,"&gt;="&amp;BI!E3,'New Hires Forecast'!$G$5:$G$81,"&lt;="&amp;BI!E3)/12)),IF(YEAR(E$3)=YEAR('New Hires Forecast'!$O$3),((SUMIFS('New Hires Forecast'!$O$5:$O$81,'New Hires Forecast'!$F$5:$F$81,"Dev Ops",'New Hires Forecast'!$H$5:$H$81,"&gt;="&amp;BI!E3,'New Hires Forecast'!$G$5:$G$81,"&lt;="&amp;BI!E3)/12)),IF(YEAR(E$3)=YEAR('New Hires Forecast'!$P$3),((SUMIFS('New Hires Forecast'!$P$5:$P$81,'New Hires Forecast'!$F$5:$F$81,"Dev Ops",'New Hires Forecast'!$H$5:$H$81,"&gt;="&amp;BI!E3,'New Hires Forecast'!$G$5:$G$81,"&lt;="&amp;BI!E3)/12)),IF(YEAR(E$3)=YEAR('New Hires Forecast'!$Q$3),((SUMIFS('New Hires Forecast'!$Q$5:$Q$81,'New Hires Forecast'!$F$5:$F$81,"Dev Ops",'New Hires Forecast'!$H$5:$H$81,"&gt;="&amp;BI!E3,'New Hires Forecast'!$G$5:$G$81,"&lt;="&amp;BI!E3)/12)),IF(YEAR(E$3)=YEAR('New Hires Forecast'!$R$3),((SUMIFS('New Hires Forecast'!$R$5:$R$81,'New Hires Forecast'!$F$5:$F$81,"Dev Ops",'New Hires Forecast'!$H$5:$H$81,"&gt;="&amp;BI!E3,'New Hires Forecast'!$G$5:$G$81,"&lt;="&amp;BI!E3)/12))))))),0)</f>
        <v>0</v>
      </c>
      <c r="F13" s="684">
        <f>IF(F$4="forecast",IF(YEAR(F$3)=YEAR('New Hires Forecast'!$N$3),((SUMIFS('New Hires Forecast'!$N$5:$N$81,'New Hires Forecast'!$F$5:$F$81,"Dev Ops",'New Hires Forecast'!$H$5:$H$81,"&gt;="&amp;BI!F3,'New Hires Forecast'!$G$5:$G$81,"&lt;="&amp;BI!F3)/12)),IF(YEAR(F$3)=YEAR('New Hires Forecast'!$O$3),((SUMIFS('New Hires Forecast'!$O$5:$O$81,'New Hires Forecast'!$F$5:$F$81,"Dev Ops",'New Hires Forecast'!$H$5:$H$81,"&gt;="&amp;BI!F3,'New Hires Forecast'!$G$5:$G$81,"&lt;="&amp;BI!F3)/12)),IF(YEAR(F$3)=YEAR('New Hires Forecast'!$P$3),((SUMIFS('New Hires Forecast'!$P$5:$P$81,'New Hires Forecast'!$F$5:$F$81,"Dev Ops",'New Hires Forecast'!$H$5:$H$81,"&gt;="&amp;BI!F3,'New Hires Forecast'!$G$5:$G$81,"&lt;="&amp;BI!F3)/12)),IF(YEAR(F$3)=YEAR('New Hires Forecast'!$Q$3),((SUMIFS('New Hires Forecast'!$Q$5:$Q$81,'New Hires Forecast'!$F$5:$F$81,"Dev Ops",'New Hires Forecast'!$H$5:$H$81,"&gt;="&amp;BI!F3,'New Hires Forecast'!$G$5:$G$81,"&lt;="&amp;BI!F3)/12)),IF(YEAR(F$3)=YEAR('New Hires Forecast'!$R$3),((SUMIFS('New Hires Forecast'!$R$5:$R$81,'New Hires Forecast'!$F$5:$F$81,"Dev Ops",'New Hires Forecast'!$H$5:$H$81,"&gt;="&amp;BI!F3,'New Hires Forecast'!$G$5:$G$81,"&lt;="&amp;BI!F3)/12))))))),0)</f>
        <v>0</v>
      </c>
      <c r="G13" s="684">
        <f>IF(G$4="forecast",IF(YEAR(G$3)=YEAR('New Hires Forecast'!$N$3),((SUMIFS('New Hires Forecast'!$N$5:$N$81,'New Hires Forecast'!$F$5:$F$81,"Dev Ops",'New Hires Forecast'!$H$5:$H$81,"&gt;="&amp;BI!G3,'New Hires Forecast'!$G$5:$G$81,"&lt;="&amp;BI!G3)/12)),IF(YEAR(G$3)=YEAR('New Hires Forecast'!$O$3),((SUMIFS('New Hires Forecast'!$O$5:$O$81,'New Hires Forecast'!$F$5:$F$81,"Dev Ops",'New Hires Forecast'!$H$5:$H$81,"&gt;="&amp;BI!G3,'New Hires Forecast'!$G$5:$G$81,"&lt;="&amp;BI!G3)/12)),IF(YEAR(G$3)=YEAR('New Hires Forecast'!$P$3),((SUMIFS('New Hires Forecast'!$P$5:$P$81,'New Hires Forecast'!$F$5:$F$81,"Dev Ops",'New Hires Forecast'!$H$5:$H$81,"&gt;="&amp;BI!G3,'New Hires Forecast'!$G$5:$G$81,"&lt;="&amp;BI!G3)/12)),IF(YEAR(G$3)=YEAR('New Hires Forecast'!$Q$3),((SUMIFS('New Hires Forecast'!$Q$5:$Q$81,'New Hires Forecast'!$F$5:$F$81,"Dev Ops",'New Hires Forecast'!$H$5:$H$81,"&gt;="&amp;BI!G3,'New Hires Forecast'!$G$5:$G$81,"&lt;="&amp;BI!G3)/12)),IF(YEAR(G$3)=YEAR('New Hires Forecast'!$R$3),((SUMIFS('New Hires Forecast'!$R$5:$R$81,'New Hires Forecast'!$F$5:$F$81,"Dev Ops",'New Hires Forecast'!$H$5:$H$81,"&gt;="&amp;BI!G3,'New Hires Forecast'!$G$5:$G$81,"&lt;="&amp;BI!G3)/12))))))),0)</f>
        <v>0</v>
      </c>
      <c r="H13" s="684">
        <f>IF(H$4="forecast",IF(YEAR(H$3)=YEAR('New Hires Forecast'!$N$3),((SUMIFS('New Hires Forecast'!$N$5:$N$81,'New Hires Forecast'!$F$5:$F$81,"Dev Ops",'New Hires Forecast'!$H$5:$H$81,"&gt;="&amp;BI!H3,'New Hires Forecast'!$G$5:$G$81,"&lt;="&amp;BI!H3)/12)),IF(YEAR(H$3)=YEAR('New Hires Forecast'!$O$3),((SUMIFS('New Hires Forecast'!$O$5:$O$81,'New Hires Forecast'!$F$5:$F$81,"Dev Ops",'New Hires Forecast'!$H$5:$H$81,"&gt;="&amp;BI!H3,'New Hires Forecast'!$G$5:$G$81,"&lt;="&amp;BI!H3)/12)),IF(YEAR(H$3)=YEAR('New Hires Forecast'!$P$3),((SUMIFS('New Hires Forecast'!$P$5:$P$81,'New Hires Forecast'!$F$5:$F$81,"Dev Ops",'New Hires Forecast'!$H$5:$H$81,"&gt;="&amp;BI!H3,'New Hires Forecast'!$G$5:$G$81,"&lt;="&amp;BI!H3)/12)),IF(YEAR(H$3)=YEAR('New Hires Forecast'!$Q$3),((SUMIFS('New Hires Forecast'!$Q$5:$Q$81,'New Hires Forecast'!$F$5:$F$81,"Dev Ops",'New Hires Forecast'!$H$5:$H$81,"&gt;="&amp;BI!H3,'New Hires Forecast'!$G$5:$G$81,"&lt;="&amp;BI!H3)/12)),IF(YEAR(H$3)=YEAR('New Hires Forecast'!$R$3),((SUMIFS('New Hires Forecast'!$R$5:$R$81,'New Hires Forecast'!$F$5:$F$81,"Dev Ops",'New Hires Forecast'!$H$5:$H$81,"&gt;="&amp;BI!H3,'New Hires Forecast'!$G$5:$G$81,"&lt;="&amp;BI!H3)/12))))))),0)</f>
        <v>0</v>
      </c>
      <c r="I13" s="684">
        <f>IF(I$4="forecast",IF(YEAR(I$3)=YEAR('New Hires Forecast'!$N$3),((SUMIFS('New Hires Forecast'!$N$5:$N$81,'New Hires Forecast'!$F$5:$F$81,"Dev Ops",'New Hires Forecast'!$H$5:$H$81,"&gt;="&amp;BI!I3,'New Hires Forecast'!$G$5:$G$81,"&lt;="&amp;BI!I3)/12)),IF(YEAR(I$3)=YEAR('New Hires Forecast'!$O$3),((SUMIFS('New Hires Forecast'!$O$5:$O$81,'New Hires Forecast'!$F$5:$F$81,"Dev Ops",'New Hires Forecast'!$H$5:$H$81,"&gt;="&amp;BI!I3,'New Hires Forecast'!$G$5:$G$81,"&lt;="&amp;BI!I3)/12)),IF(YEAR(I$3)=YEAR('New Hires Forecast'!$P$3),((SUMIFS('New Hires Forecast'!$P$5:$P$81,'New Hires Forecast'!$F$5:$F$81,"Dev Ops",'New Hires Forecast'!$H$5:$H$81,"&gt;="&amp;BI!I3,'New Hires Forecast'!$G$5:$G$81,"&lt;="&amp;BI!I3)/12)),IF(YEAR(I$3)=YEAR('New Hires Forecast'!$Q$3),((SUMIFS('New Hires Forecast'!$Q$5:$Q$81,'New Hires Forecast'!$F$5:$F$81,"Dev Ops",'New Hires Forecast'!$H$5:$H$81,"&gt;="&amp;BI!I3,'New Hires Forecast'!$G$5:$G$81,"&lt;="&amp;BI!I3)/12)),IF(YEAR(I$3)=YEAR('New Hires Forecast'!$R$3),((SUMIFS('New Hires Forecast'!$R$5:$R$81,'New Hires Forecast'!$F$5:$F$81,"Dev Ops",'New Hires Forecast'!$H$5:$H$81,"&gt;="&amp;BI!I3,'New Hires Forecast'!$G$5:$G$81,"&lt;="&amp;BI!I3)/12))))))),0)</f>
        <v>0</v>
      </c>
      <c r="J13" s="684">
        <f>IF(J$4="forecast",IF(YEAR(J$3)=YEAR('New Hires Forecast'!$N$3),((SUMIFS('New Hires Forecast'!$N$5:$N$81,'New Hires Forecast'!$F$5:$F$81,"Dev Ops",'New Hires Forecast'!$H$5:$H$81,"&gt;="&amp;BI!J3,'New Hires Forecast'!$G$5:$G$81,"&lt;="&amp;BI!J3)/12)),IF(YEAR(J$3)=YEAR('New Hires Forecast'!$O$3),((SUMIFS('New Hires Forecast'!$O$5:$O$81,'New Hires Forecast'!$F$5:$F$81,"Dev Ops",'New Hires Forecast'!$H$5:$H$81,"&gt;="&amp;BI!J3,'New Hires Forecast'!$G$5:$G$81,"&lt;="&amp;BI!J3)/12)),IF(YEAR(J$3)=YEAR('New Hires Forecast'!$P$3),((SUMIFS('New Hires Forecast'!$P$5:$P$81,'New Hires Forecast'!$F$5:$F$81,"Dev Ops",'New Hires Forecast'!$H$5:$H$81,"&gt;="&amp;BI!J3,'New Hires Forecast'!$G$5:$G$81,"&lt;="&amp;BI!J3)/12)),IF(YEAR(J$3)=YEAR('New Hires Forecast'!$Q$3),((SUMIFS('New Hires Forecast'!$Q$5:$Q$81,'New Hires Forecast'!$F$5:$F$81,"Dev Ops",'New Hires Forecast'!$H$5:$H$81,"&gt;="&amp;BI!J3,'New Hires Forecast'!$G$5:$G$81,"&lt;="&amp;BI!J3)/12)),IF(YEAR(J$3)=YEAR('New Hires Forecast'!$R$3),((SUMIFS('New Hires Forecast'!$R$5:$R$81,'New Hires Forecast'!$F$5:$F$81,"Dev Ops",'New Hires Forecast'!$H$5:$H$81,"&gt;="&amp;BI!J3,'New Hires Forecast'!$G$5:$G$81,"&lt;="&amp;BI!J3)/12))))))),0)</f>
        <v>0</v>
      </c>
      <c r="K13" s="684">
        <f>IF(K$4="forecast",IF(YEAR(K$3)=YEAR('New Hires Forecast'!$N$3),((SUMIFS('New Hires Forecast'!$N$5:$N$81,'New Hires Forecast'!$F$5:$F$81,"Dev Ops",'New Hires Forecast'!$H$5:$H$81,"&gt;="&amp;BI!K3,'New Hires Forecast'!$G$5:$G$81,"&lt;="&amp;BI!K3)/12)),IF(YEAR(K$3)=YEAR('New Hires Forecast'!$O$3),((SUMIFS('New Hires Forecast'!$O$5:$O$81,'New Hires Forecast'!$F$5:$F$81,"Dev Ops",'New Hires Forecast'!$H$5:$H$81,"&gt;="&amp;BI!K3,'New Hires Forecast'!$G$5:$G$81,"&lt;="&amp;BI!K3)/12)),IF(YEAR(K$3)=YEAR('New Hires Forecast'!$P$3),((SUMIFS('New Hires Forecast'!$P$5:$P$81,'New Hires Forecast'!$F$5:$F$81,"Dev Ops",'New Hires Forecast'!$H$5:$H$81,"&gt;="&amp;BI!K3,'New Hires Forecast'!$G$5:$G$81,"&lt;="&amp;BI!K3)/12)),IF(YEAR(K$3)=YEAR('New Hires Forecast'!$Q$3),((SUMIFS('New Hires Forecast'!$Q$5:$Q$81,'New Hires Forecast'!$F$5:$F$81,"Dev Ops",'New Hires Forecast'!$H$5:$H$81,"&gt;="&amp;BI!K3,'New Hires Forecast'!$G$5:$G$81,"&lt;="&amp;BI!K3)/12)),IF(YEAR(K$3)=YEAR('New Hires Forecast'!$R$3),((SUMIFS('New Hires Forecast'!$R$5:$R$81,'New Hires Forecast'!$F$5:$F$81,"Dev Ops",'New Hires Forecast'!$H$5:$H$81,"&gt;="&amp;BI!K3,'New Hires Forecast'!$G$5:$G$81,"&lt;="&amp;BI!K3)/12))))))),0)</f>
        <v>0</v>
      </c>
      <c r="L13" s="684">
        <f>IF(L$4="forecast",IF(YEAR(L$3)=YEAR('New Hires Forecast'!$N$3),((SUMIFS('New Hires Forecast'!$N$5:$N$81,'New Hires Forecast'!$F$5:$F$81,"Dev Ops",'New Hires Forecast'!$H$5:$H$81,"&gt;="&amp;BI!L3,'New Hires Forecast'!$G$5:$G$81,"&lt;="&amp;BI!L3)/12)),IF(YEAR(L$3)=YEAR('New Hires Forecast'!$O$3),((SUMIFS('New Hires Forecast'!$O$5:$O$81,'New Hires Forecast'!$F$5:$F$81,"Dev Ops",'New Hires Forecast'!$H$5:$H$81,"&gt;="&amp;BI!L3,'New Hires Forecast'!$G$5:$G$81,"&lt;="&amp;BI!L3)/12)),IF(YEAR(L$3)=YEAR('New Hires Forecast'!$P$3),((SUMIFS('New Hires Forecast'!$P$5:$P$81,'New Hires Forecast'!$F$5:$F$81,"Dev Ops",'New Hires Forecast'!$H$5:$H$81,"&gt;="&amp;BI!L3,'New Hires Forecast'!$G$5:$G$81,"&lt;="&amp;BI!L3)/12)),IF(YEAR(L$3)=YEAR('New Hires Forecast'!$Q$3),((SUMIFS('New Hires Forecast'!$Q$5:$Q$81,'New Hires Forecast'!$F$5:$F$81,"Dev Ops",'New Hires Forecast'!$H$5:$H$81,"&gt;="&amp;BI!L3,'New Hires Forecast'!$G$5:$G$81,"&lt;="&amp;BI!L3)/12)),IF(YEAR(L$3)=YEAR('New Hires Forecast'!$R$3),((SUMIFS('New Hires Forecast'!$R$5:$R$81,'New Hires Forecast'!$F$5:$F$81,"Dev Ops",'New Hires Forecast'!$H$5:$H$81,"&gt;="&amp;BI!L3,'New Hires Forecast'!$G$5:$G$81,"&lt;="&amp;BI!L3)/12))))))),0)</f>
        <v>0</v>
      </c>
      <c r="M13" s="684">
        <f>IF(M$4="forecast",IF(YEAR(M$3)=YEAR('New Hires Forecast'!$N$3),((SUMIFS('New Hires Forecast'!$N$5:$N$81,'New Hires Forecast'!$F$5:$F$81,"Dev Ops",'New Hires Forecast'!$H$5:$H$81,"&gt;="&amp;BI!M3,'New Hires Forecast'!$G$5:$G$81,"&lt;="&amp;BI!M3)/12)),IF(YEAR(M$3)=YEAR('New Hires Forecast'!$O$3),((SUMIFS('New Hires Forecast'!$O$5:$O$81,'New Hires Forecast'!$F$5:$F$81,"Dev Ops",'New Hires Forecast'!$H$5:$H$81,"&gt;="&amp;BI!M3,'New Hires Forecast'!$G$5:$G$81,"&lt;="&amp;BI!M3)/12)),IF(YEAR(M$3)=YEAR('New Hires Forecast'!$P$3),((SUMIFS('New Hires Forecast'!$P$5:$P$81,'New Hires Forecast'!$F$5:$F$81,"Dev Ops",'New Hires Forecast'!$H$5:$H$81,"&gt;="&amp;BI!M3,'New Hires Forecast'!$G$5:$G$81,"&lt;="&amp;BI!M3)/12)),IF(YEAR(M$3)=YEAR('New Hires Forecast'!$Q$3),((SUMIFS('New Hires Forecast'!$Q$5:$Q$81,'New Hires Forecast'!$F$5:$F$81,"Dev Ops",'New Hires Forecast'!$H$5:$H$81,"&gt;="&amp;BI!M3,'New Hires Forecast'!$G$5:$G$81,"&lt;="&amp;BI!M3)/12)),IF(YEAR(M$3)=YEAR('New Hires Forecast'!$R$3),((SUMIFS('New Hires Forecast'!$R$5:$R$81,'New Hires Forecast'!$F$5:$F$81,"Dev Ops",'New Hires Forecast'!$H$5:$H$81,"&gt;="&amp;BI!M3,'New Hires Forecast'!$G$5:$G$81,"&lt;="&amp;BI!M3)/12))))))),0)</f>
        <v>0</v>
      </c>
      <c r="N13" s="684">
        <f>IF(N$4="forecast",IF(YEAR(N$3)=YEAR('New Hires Forecast'!$N$3),((SUMIFS('New Hires Forecast'!$N$5:$N$81,'New Hires Forecast'!$F$5:$F$81,"Dev Ops",'New Hires Forecast'!$H$5:$H$81,"&gt;="&amp;BI!N3,'New Hires Forecast'!$G$5:$G$81,"&lt;="&amp;BI!N3)/12)),IF(YEAR(N$3)=YEAR('New Hires Forecast'!$O$3),((SUMIFS('New Hires Forecast'!$O$5:$O$81,'New Hires Forecast'!$F$5:$F$81,"Dev Ops",'New Hires Forecast'!$H$5:$H$81,"&gt;="&amp;BI!N3,'New Hires Forecast'!$G$5:$G$81,"&lt;="&amp;BI!N3)/12)),IF(YEAR(N$3)=YEAR('New Hires Forecast'!$P$3),((SUMIFS('New Hires Forecast'!$P$5:$P$81,'New Hires Forecast'!$F$5:$F$81,"Dev Ops",'New Hires Forecast'!$H$5:$H$81,"&gt;="&amp;BI!N3,'New Hires Forecast'!$G$5:$G$81,"&lt;="&amp;BI!N3)/12)),IF(YEAR(N$3)=YEAR('New Hires Forecast'!$Q$3),((SUMIFS('New Hires Forecast'!$Q$5:$Q$81,'New Hires Forecast'!$F$5:$F$81,"Dev Ops",'New Hires Forecast'!$H$5:$H$81,"&gt;="&amp;BI!N3,'New Hires Forecast'!$G$5:$G$81,"&lt;="&amp;BI!N3)/12)),IF(YEAR(N$3)=YEAR('New Hires Forecast'!$R$3),((SUMIFS('New Hires Forecast'!$R$5:$R$81,'New Hires Forecast'!$F$5:$F$81,"Dev Ops",'New Hires Forecast'!$H$5:$H$81,"&gt;="&amp;BI!N3,'New Hires Forecast'!$G$5:$G$81,"&lt;="&amp;BI!N3)/12))))))),0)</f>
        <v>0</v>
      </c>
      <c r="O13" s="684">
        <f>IF(O$4="forecast",IF(YEAR(O$3)=YEAR('New Hires Forecast'!$N$3),((SUMIFS('New Hires Forecast'!$N$5:$N$81,'New Hires Forecast'!$F$5:$F$81,"Dev Ops",'New Hires Forecast'!$H$5:$H$81,"&gt;="&amp;BI!O3,'New Hires Forecast'!$G$5:$G$81,"&lt;="&amp;BI!O3)/12)),IF(YEAR(O$3)=YEAR('New Hires Forecast'!$O$3),((SUMIFS('New Hires Forecast'!$O$5:$O$81,'New Hires Forecast'!$F$5:$F$81,"Dev Ops",'New Hires Forecast'!$H$5:$H$81,"&gt;="&amp;BI!O3,'New Hires Forecast'!$G$5:$G$81,"&lt;="&amp;BI!O3)/12)),IF(YEAR(O$3)=YEAR('New Hires Forecast'!$P$3),((SUMIFS('New Hires Forecast'!$P$5:$P$81,'New Hires Forecast'!$F$5:$F$81,"Dev Ops",'New Hires Forecast'!$H$5:$H$81,"&gt;="&amp;BI!O3,'New Hires Forecast'!$G$5:$G$81,"&lt;="&amp;BI!O3)/12)),IF(YEAR(O$3)=YEAR('New Hires Forecast'!$Q$3),((SUMIFS('New Hires Forecast'!$Q$5:$Q$81,'New Hires Forecast'!$F$5:$F$81,"Dev Ops",'New Hires Forecast'!$H$5:$H$81,"&gt;="&amp;BI!O3,'New Hires Forecast'!$G$5:$G$81,"&lt;="&amp;BI!O3)/12)),IF(YEAR(O$3)=YEAR('New Hires Forecast'!$R$3),((SUMIFS('New Hires Forecast'!$R$5:$R$81,'New Hires Forecast'!$F$5:$F$81,"Dev Ops",'New Hires Forecast'!$H$5:$H$81,"&gt;="&amp;BI!O3,'New Hires Forecast'!$G$5:$G$81,"&lt;="&amp;BI!O3)/12))))))),0)</f>
        <v>0</v>
      </c>
      <c r="P13" s="684">
        <f>IF(P$4="forecast",IF(YEAR(P$3)=YEAR('New Hires Forecast'!$N$3),((SUMIFS('New Hires Forecast'!$N$5:$N$81,'New Hires Forecast'!$F$5:$F$81,"Dev Ops",'New Hires Forecast'!$H$5:$H$81,"&gt;="&amp;BI!P3,'New Hires Forecast'!$G$5:$G$81,"&lt;="&amp;BI!P3)/12)),IF(YEAR(P$3)=YEAR('New Hires Forecast'!$O$3),((SUMIFS('New Hires Forecast'!$O$5:$O$81,'New Hires Forecast'!$F$5:$F$81,"Dev Ops",'New Hires Forecast'!$H$5:$H$81,"&gt;="&amp;BI!P3,'New Hires Forecast'!$G$5:$G$81,"&lt;="&amp;BI!P3)/12)),IF(YEAR(P$3)=YEAR('New Hires Forecast'!$P$3),((SUMIFS('New Hires Forecast'!$P$5:$P$81,'New Hires Forecast'!$F$5:$F$81,"Dev Ops",'New Hires Forecast'!$H$5:$H$81,"&gt;="&amp;BI!P3,'New Hires Forecast'!$G$5:$G$81,"&lt;="&amp;BI!P3)/12)),IF(YEAR(P$3)=YEAR('New Hires Forecast'!$Q$3),((SUMIFS('New Hires Forecast'!$Q$5:$Q$81,'New Hires Forecast'!$F$5:$F$81,"Dev Ops",'New Hires Forecast'!$H$5:$H$81,"&gt;="&amp;BI!P3,'New Hires Forecast'!$G$5:$G$81,"&lt;="&amp;BI!P3)/12)),IF(YEAR(P$3)=YEAR('New Hires Forecast'!$R$3),((SUMIFS('New Hires Forecast'!$R$5:$R$81,'New Hires Forecast'!$F$5:$F$81,"Dev Ops",'New Hires Forecast'!$H$5:$H$81,"&gt;="&amp;BI!P3,'New Hires Forecast'!$G$5:$G$81,"&lt;="&amp;BI!P3)/12))))))),0)</f>
        <v>0</v>
      </c>
      <c r="Q13" s="684">
        <f>IF(Q$4="forecast",IF(YEAR(Q$3)=YEAR('New Hires Forecast'!$N$3),((SUMIFS('New Hires Forecast'!$N$5:$N$81,'New Hires Forecast'!$F$5:$F$81,"Dev Ops",'New Hires Forecast'!$H$5:$H$81,"&gt;="&amp;BI!Q3,'New Hires Forecast'!$G$5:$G$81,"&lt;="&amp;BI!Q3)/12)),IF(YEAR(Q$3)=YEAR('New Hires Forecast'!$O$3),((SUMIFS('New Hires Forecast'!$O$5:$O$81,'New Hires Forecast'!$F$5:$F$81,"Dev Ops",'New Hires Forecast'!$H$5:$H$81,"&gt;="&amp;BI!Q3,'New Hires Forecast'!$G$5:$G$81,"&lt;="&amp;BI!Q3)/12)),IF(YEAR(Q$3)=YEAR('New Hires Forecast'!$P$3),((SUMIFS('New Hires Forecast'!$P$5:$P$81,'New Hires Forecast'!$F$5:$F$81,"Dev Ops",'New Hires Forecast'!$H$5:$H$81,"&gt;="&amp;BI!Q3,'New Hires Forecast'!$G$5:$G$81,"&lt;="&amp;BI!Q3)/12)),IF(YEAR(Q$3)=YEAR('New Hires Forecast'!$Q$3),((SUMIFS('New Hires Forecast'!$Q$5:$Q$81,'New Hires Forecast'!$F$5:$F$81,"Dev Ops",'New Hires Forecast'!$H$5:$H$81,"&gt;="&amp;BI!Q3,'New Hires Forecast'!$G$5:$G$81,"&lt;="&amp;BI!Q3)/12)),IF(YEAR(Q$3)=YEAR('New Hires Forecast'!$R$3),((SUMIFS('New Hires Forecast'!$R$5:$R$81,'New Hires Forecast'!$F$5:$F$81,"Dev Ops",'New Hires Forecast'!$H$5:$H$81,"&gt;="&amp;BI!Q3,'New Hires Forecast'!$G$5:$G$81,"&lt;="&amp;BI!Q3)/12))))))),0)</f>
        <v>0</v>
      </c>
      <c r="R13" s="684">
        <f>IF(R$4="forecast",IF(YEAR(R$3)=YEAR('New Hires Forecast'!$N$3),((SUMIFS('New Hires Forecast'!$N$5:$N$81,'New Hires Forecast'!$F$5:$F$81,"Dev Ops",'New Hires Forecast'!$H$5:$H$81,"&gt;="&amp;BI!R3,'New Hires Forecast'!$G$5:$G$81,"&lt;="&amp;BI!R3)/12)),IF(YEAR(R$3)=YEAR('New Hires Forecast'!$O$3),((SUMIFS('New Hires Forecast'!$O$5:$O$81,'New Hires Forecast'!$F$5:$F$81,"Dev Ops",'New Hires Forecast'!$H$5:$H$81,"&gt;="&amp;BI!R3,'New Hires Forecast'!$G$5:$G$81,"&lt;="&amp;BI!R3)/12)),IF(YEAR(R$3)=YEAR('New Hires Forecast'!$P$3),((SUMIFS('New Hires Forecast'!$P$5:$P$81,'New Hires Forecast'!$F$5:$F$81,"Dev Ops",'New Hires Forecast'!$H$5:$H$81,"&gt;="&amp;BI!R3,'New Hires Forecast'!$G$5:$G$81,"&lt;="&amp;BI!R3)/12)),IF(YEAR(R$3)=YEAR('New Hires Forecast'!$Q$3),((SUMIFS('New Hires Forecast'!$Q$5:$Q$81,'New Hires Forecast'!$F$5:$F$81,"Dev Ops",'New Hires Forecast'!$H$5:$H$81,"&gt;="&amp;BI!R3,'New Hires Forecast'!$G$5:$G$81,"&lt;="&amp;BI!R3)/12)),IF(YEAR(R$3)=YEAR('New Hires Forecast'!$R$3),((SUMIFS('New Hires Forecast'!$R$5:$R$81,'New Hires Forecast'!$F$5:$F$81,"Dev Ops",'New Hires Forecast'!$H$5:$H$81,"&gt;="&amp;BI!R3,'New Hires Forecast'!$G$5:$G$81,"&lt;="&amp;BI!R3)/12))))))),0)</f>
        <v>0</v>
      </c>
      <c r="S13" s="684">
        <f>IF(S$4="forecast",IF(YEAR(S$3)=YEAR('New Hires Forecast'!$N$3),((SUMIFS('New Hires Forecast'!$N$5:$N$81,'New Hires Forecast'!$F$5:$F$81,"Dev Ops",'New Hires Forecast'!$H$5:$H$81,"&gt;="&amp;BI!S3,'New Hires Forecast'!$G$5:$G$81,"&lt;="&amp;BI!S3)/12)),IF(YEAR(S$3)=YEAR('New Hires Forecast'!$O$3),((SUMIFS('New Hires Forecast'!$O$5:$O$81,'New Hires Forecast'!$F$5:$F$81,"Dev Ops",'New Hires Forecast'!$H$5:$H$81,"&gt;="&amp;BI!S3,'New Hires Forecast'!$G$5:$G$81,"&lt;="&amp;BI!S3)/12)),IF(YEAR(S$3)=YEAR('New Hires Forecast'!$P$3),((SUMIFS('New Hires Forecast'!$P$5:$P$81,'New Hires Forecast'!$F$5:$F$81,"Dev Ops",'New Hires Forecast'!$H$5:$H$81,"&gt;="&amp;BI!S3,'New Hires Forecast'!$G$5:$G$81,"&lt;="&amp;BI!S3)/12)),IF(YEAR(S$3)=YEAR('New Hires Forecast'!$Q$3),((SUMIFS('New Hires Forecast'!$Q$5:$Q$81,'New Hires Forecast'!$F$5:$F$81,"Dev Ops",'New Hires Forecast'!$H$5:$H$81,"&gt;="&amp;BI!S3,'New Hires Forecast'!$G$5:$G$81,"&lt;="&amp;BI!S3)/12)),IF(YEAR(S$3)=YEAR('New Hires Forecast'!$R$3),((SUMIFS('New Hires Forecast'!$R$5:$R$81,'New Hires Forecast'!$F$5:$F$81,"Dev Ops",'New Hires Forecast'!$H$5:$H$81,"&gt;="&amp;BI!S3,'New Hires Forecast'!$G$5:$G$81,"&lt;="&amp;BI!S3)/12))))))),0)</f>
        <v>0</v>
      </c>
      <c r="T13" s="684">
        <f>IF(T$4="forecast",IF(YEAR(T$3)=YEAR('New Hires Forecast'!$N$3),((SUMIFS('New Hires Forecast'!$N$5:$N$81,'New Hires Forecast'!$F$5:$F$81,"Dev Ops",'New Hires Forecast'!$H$5:$H$81,"&gt;="&amp;BI!T3,'New Hires Forecast'!$G$5:$G$81,"&lt;="&amp;BI!T3)/12)),IF(YEAR(T$3)=YEAR('New Hires Forecast'!$O$3),((SUMIFS('New Hires Forecast'!$O$5:$O$81,'New Hires Forecast'!$F$5:$F$81,"Dev Ops",'New Hires Forecast'!$H$5:$H$81,"&gt;="&amp;BI!T3,'New Hires Forecast'!$G$5:$G$81,"&lt;="&amp;BI!T3)/12)),IF(YEAR(T$3)=YEAR('New Hires Forecast'!$P$3),((SUMIFS('New Hires Forecast'!$P$5:$P$81,'New Hires Forecast'!$F$5:$F$81,"Dev Ops",'New Hires Forecast'!$H$5:$H$81,"&gt;="&amp;BI!T3,'New Hires Forecast'!$G$5:$G$81,"&lt;="&amp;BI!T3)/12)),IF(YEAR(T$3)=YEAR('New Hires Forecast'!$Q$3),((SUMIFS('New Hires Forecast'!$Q$5:$Q$81,'New Hires Forecast'!$F$5:$F$81,"Dev Ops",'New Hires Forecast'!$H$5:$H$81,"&gt;="&amp;BI!T3,'New Hires Forecast'!$G$5:$G$81,"&lt;="&amp;BI!T3)/12)),IF(YEAR(T$3)=YEAR('New Hires Forecast'!$R$3),((SUMIFS('New Hires Forecast'!$R$5:$R$81,'New Hires Forecast'!$F$5:$F$81,"Dev Ops",'New Hires Forecast'!$H$5:$H$81,"&gt;="&amp;BI!T3,'New Hires Forecast'!$G$5:$G$81,"&lt;="&amp;BI!T3)/12))))))),0)</f>
        <v>0</v>
      </c>
      <c r="U13" s="684">
        <f>IF(U$4="forecast",IF(YEAR(U$3)=YEAR('New Hires Forecast'!$N$3),((SUMIFS('New Hires Forecast'!$N$5:$N$81,'New Hires Forecast'!$F$5:$F$81,"Dev Ops",'New Hires Forecast'!$H$5:$H$81,"&gt;="&amp;BI!U3,'New Hires Forecast'!$G$5:$G$81,"&lt;="&amp;BI!U3)/12)),IF(YEAR(U$3)=YEAR('New Hires Forecast'!$O$3),((SUMIFS('New Hires Forecast'!$O$5:$O$81,'New Hires Forecast'!$F$5:$F$81,"Dev Ops",'New Hires Forecast'!$H$5:$H$81,"&gt;="&amp;BI!U3,'New Hires Forecast'!$G$5:$G$81,"&lt;="&amp;BI!U3)/12)),IF(YEAR(U$3)=YEAR('New Hires Forecast'!$P$3),((SUMIFS('New Hires Forecast'!$P$5:$P$81,'New Hires Forecast'!$F$5:$F$81,"Dev Ops",'New Hires Forecast'!$H$5:$H$81,"&gt;="&amp;BI!U3,'New Hires Forecast'!$G$5:$G$81,"&lt;="&amp;BI!U3)/12)),IF(YEAR(U$3)=YEAR('New Hires Forecast'!$Q$3),((SUMIFS('New Hires Forecast'!$Q$5:$Q$81,'New Hires Forecast'!$F$5:$F$81,"Dev Ops",'New Hires Forecast'!$H$5:$H$81,"&gt;="&amp;BI!U3,'New Hires Forecast'!$G$5:$G$81,"&lt;="&amp;BI!U3)/12)),IF(YEAR(U$3)=YEAR('New Hires Forecast'!$R$3),((SUMIFS('New Hires Forecast'!$R$5:$R$81,'New Hires Forecast'!$F$5:$F$81,"Dev Ops",'New Hires Forecast'!$H$5:$H$81,"&gt;="&amp;BI!U3,'New Hires Forecast'!$G$5:$G$81,"&lt;="&amp;BI!U3)/12))))))),0)</f>
        <v>0</v>
      </c>
      <c r="V13" s="684">
        <f>IF(V$4="forecast",IF(YEAR(V$3)=YEAR('New Hires Forecast'!$N$3),((SUMIFS('New Hires Forecast'!$N$5:$N$81,'New Hires Forecast'!$F$5:$F$81,"Dev Ops",'New Hires Forecast'!$H$5:$H$81,"&gt;="&amp;BI!V3,'New Hires Forecast'!$G$5:$G$81,"&lt;="&amp;BI!V3)/12)),IF(YEAR(V$3)=YEAR('New Hires Forecast'!$O$3),((SUMIFS('New Hires Forecast'!$O$5:$O$81,'New Hires Forecast'!$F$5:$F$81,"Dev Ops",'New Hires Forecast'!$H$5:$H$81,"&gt;="&amp;BI!V3,'New Hires Forecast'!$G$5:$G$81,"&lt;="&amp;BI!V3)/12)),IF(YEAR(V$3)=YEAR('New Hires Forecast'!$P$3),((SUMIFS('New Hires Forecast'!$P$5:$P$81,'New Hires Forecast'!$F$5:$F$81,"Dev Ops",'New Hires Forecast'!$H$5:$H$81,"&gt;="&amp;BI!V3,'New Hires Forecast'!$G$5:$G$81,"&lt;="&amp;BI!V3)/12)),IF(YEAR(V$3)=YEAR('New Hires Forecast'!$Q$3),((SUMIFS('New Hires Forecast'!$Q$5:$Q$81,'New Hires Forecast'!$F$5:$F$81,"Dev Ops",'New Hires Forecast'!$H$5:$H$81,"&gt;="&amp;BI!V3,'New Hires Forecast'!$G$5:$G$81,"&lt;="&amp;BI!V3)/12)),IF(YEAR(V$3)=YEAR('New Hires Forecast'!$R$3),((SUMIFS('New Hires Forecast'!$R$5:$R$81,'New Hires Forecast'!$F$5:$F$81,"Dev Ops",'New Hires Forecast'!$H$5:$H$81,"&gt;="&amp;BI!V3,'New Hires Forecast'!$G$5:$G$81,"&lt;="&amp;BI!V3)/12))))))),0)</f>
        <v>0</v>
      </c>
      <c r="W13" s="684">
        <f>IF(W$4="forecast",IF(YEAR(W$3)=YEAR('New Hires Forecast'!$N$3),((SUMIFS('New Hires Forecast'!$N$5:$N$81,'New Hires Forecast'!$F$5:$F$81,"Dev Ops",'New Hires Forecast'!$H$5:$H$81,"&gt;="&amp;BI!W3,'New Hires Forecast'!$G$5:$G$81,"&lt;="&amp;BI!W3)/12)),IF(YEAR(W$3)=YEAR('New Hires Forecast'!$O$3),((SUMIFS('New Hires Forecast'!$O$5:$O$81,'New Hires Forecast'!$F$5:$F$81,"Dev Ops",'New Hires Forecast'!$H$5:$H$81,"&gt;="&amp;BI!W3,'New Hires Forecast'!$G$5:$G$81,"&lt;="&amp;BI!W3)/12)),IF(YEAR(W$3)=YEAR('New Hires Forecast'!$P$3),((SUMIFS('New Hires Forecast'!$P$5:$P$81,'New Hires Forecast'!$F$5:$F$81,"Dev Ops",'New Hires Forecast'!$H$5:$H$81,"&gt;="&amp;BI!W3,'New Hires Forecast'!$G$5:$G$81,"&lt;="&amp;BI!W3)/12)),IF(YEAR(W$3)=YEAR('New Hires Forecast'!$Q$3),((SUMIFS('New Hires Forecast'!$Q$5:$Q$81,'New Hires Forecast'!$F$5:$F$81,"Dev Ops",'New Hires Forecast'!$H$5:$H$81,"&gt;="&amp;BI!W3,'New Hires Forecast'!$G$5:$G$81,"&lt;="&amp;BI!W3)/12)),IF(YEAR(W$3)=YEAR('New Hires Forecast'!$R$3),((SUMIFS('New Hires Forecast'!$R$5:$R$81,'New Hires Forecast'!$F$5:$F$81,"Dev Ops",'New Hires Forecast'!$H$5:$H$81,"&gt;="&amp;BI!W3,'New Hires Forecast'!$G$5:$G$81,"&lt;="&amp;BI!W3)/12))))))),0)</f>
        <v>0</v>
      </c>
      <c r="X13" s="684">
        <f>IF(X$4="forecast",IF(YEAR(X$3)=YEAR('New Hires Forecast'!$N$3),((SUMIFS('New Hires Forecast'!$N$5:$N$81,'New Hires Forecast'!$F$5:$F$81,"Dev Ops",'New Hires Forecast'!$H$5:$H$81,"&gt;="&amp;BI!X3,'New Hires Forecast'!$G$5:$G$81,"&lt;="&amp;BI!X3)/12)),IF(YEAR(X$3)=YEAR('New Hires Forecast'!$O$3),((SUMIFS('New Hires Forecast'!$O$5:$O$81,'New Hires Forecast'!$F$5:$F$81,"Dev Ops",'New Hires Forecast'!$H$5:$H$81,"&gt;="&amp;BI!X3,'New Hires Forecast'!$G$5:$G$81,"&lt;="&amp;BI!X3)/12)),IF(YEAR(X$3)=YEAR('New Hires Forecast'!$P$3),((SUMIFS('New Hires Forecast'!$P$5:$P$81,'New Hires Forecast'!$F$5:$F$81,"Dev Ops",'New Hires Forecast'!$H$5:$H$81,"&gt;="&amp;BI!X3,'New Hires Forecast'!$G$5:$G$81,"&lt;="&amp;BI!X3)/12)),IF(YEAR(X$3)=YEAR('New Hires Forecast'!$Q$3),((SUMIFS('New Hires Forecast'!$Q$5:$Q$81,'New Hires Forecast'!$F$5:$F$81,"Dev Ops",'New Hires Forecast'!$H$5:$H$81,"&gt;="&amp;BI!X3,'New Hires Forecast'!$G$5:$G$81,"&lt;="&amp;BI!X3)/12)),IF(YEAR(X$3)=YEAR('New Hires Forecast'!$R$3),((SUMIFS('New Hires Forecast'!$R$5:$R$81,'New Hires Forecast'!$F$5:$F$81,"Dev Ops",'New Hires Forecast'!$H$5:$H$81,"&gt;="&amp;BI!X3,'New Hires Forecast'!$G$5:$G$81,"&lt;="&amp;BI!X3)/12))))))),0)</f>
        <v>0</v>
      </c>
      <c r="Y13" s="684">
        <f>IF(Y$4="forecast",IF(YEAR(Y$3)=YEAR('New Hires Forecast'!$N$3),((SUMIFS('New Hires Forecast'!$N$5:$N$81,'New Hires Forecast'!$F$5:$F$81,"Dev Ops",'New Hires Forecast'!$H$5:$H$81,"&gt;="&amp;BI!Y3,'New Hires Forecast'!$G$5:$G$81,"&lt;="&amp;BI!Y3)/12)),IF(YEAR(Y$3)=YEAR('New Hires Forecast'!$O$3),((SUMIFS('New Hires Forecast'!$O$5:$O$81,'New Hires Forecast'!$F$5:$F$81,"Dev Ops",'New Hires Forecast'!$H$5:$H$81,"&gt;="&amp;BI!Y3,'New Hires Forecast'!$G$5:$G$81,"&lt;="&amp;BI!Y3)/12)),IF(YEAR(Y$3)=YEAR('New Hires Forecast'!$P$3),((SUMIFS('New Hires Forecast'!$P$5:$P$81,'New Hires Forecast'!$F$5:$F$81,"Dev Ops",'New Hires Forecast'!$H$5:$H$81,"&gt;="&amp;BI!Y3,'New Hires Forecast'!$G$5:$G$81,"&lt;="&amp;BI!Y3)/12)),IF(YEAR(Y$3)=YEAR('New Hires Forecast'!$Q$3),((SUMIFS('New Hires Forecast'!$Q$5:$Q$81,'New Hires Forecast'!$F$5:$F$81,"Dev Ops",'New Hires Forecast'!$H$5:$H$81,"&gt;="&amp;BI!Y3,'New Hires Forecast'!$G$5:$G$81,"&lt;="&amp;BI!Y3)/12)),IF(YEAR(Y$3)=YEAR('New Hires Forecast'!$R$3),((SUMIFS('New Hires Forecast'!$R$5:$R$81,'New Hires Forecast'!$F$5:$F$81,"Dev Ops",'New Hires Forecast'!$H$5:$H$81,"&gt;="&amp;BI!Y3,'New Hires Forecast'!$G$5:$G$81,"&lt;="&amp;BI!Y3)/12))))))),0)</f>
        <v>0</v>
      </c>
      <c r="Z13" s="684">
        <f>IF(Z$4="forecast",IF(YEAR(Z$3)=YEAR('New Hires Forecast'!$N$3),((SUMIFS('New Hires Forecast'!$N$5:$N$81,'New Hires Forecast'!$F$5:$F$81,"Dev Ops",'New Hires Forecast'!$H$5:$H$81,"&gt;="&amp;BI!Z3,'New Hires Forecast'!$G$5:$G$81,"&lt;="&amp;BI!Z3)/12)),IF(YEAR(Z$3)=YEAR('New Hires Forecast'!$O$3),((SUMIFS('New Hires Forecast'!$O$5:$O$81,'New Hires Forecast'!$F$5:$F$81,"Dev Ops",'New Hires Forecast'!$H$5:$H$81,"&gt;="&amp;BI!Z3,'New Hires Forecast'!$G$5:$G$81,"&lt;="&amp;BI!Z3)/12)),IF(YEAR(Z$3)=YEAR('New Hires Forecast'!$P$3),((SUMIFS('New Hires Forecast'!$P$5:$P$81,'New Hires Forecast'!$F$5:$F$81,"Dev Ops",'New Hires Forecast'!$H$5:$H$81,"&gt;="&amp;BI!Z3,'New Hires Forecast'!$G$5:$G$81,"&lt;="&amp;BI!Z3)/12)),IF(YEAR(Z$3)=YEAR('New Hires Forecast'!$Q$3),((SUMIFS('New Hires Forecast'!$Q$5:$Q$81,'New Hires Forecast'!$F$5:$F$81,"Dev Ops",'New Hires Forecast'!$H$5:$H$81,"&gt;="&amp;BI!Z3,'New Hires Forecast'!$G$5:$G$81,"&lt;="&amp;BI!Z3)/12)),IF(YEAR(Z$3)=YEAR('New Hires Forecast'!$R$3),((SUMIFS('New Hires Forecast'!$R$5:$R$81,'New Hires Forecast'!$F$5:$F$81,"Dev Ops",'New Hires Forecast'!$H$5:$H$81,"&gt;="&amp;BI!Z3,'New Hires Forecast'!$G$5:$G$81,"&lt;="&amp;BI!Z3)/12))))))),0)</f>
        <v>0</v>
      </c>
      <c r="AA13" s="684">
        <f>IF(AA$4="forecast",IF(YEAR(AA$3)=YEAR('New Hires Forecast'!$N$3),((SUMIFS('New Hires Forecast'!$N$5:$N$81,'New Hires Forecast'!$F$5:$F$81,"Dev Ops",'New Hires Forecast'!$H$5:$H$81,"&gt;="&amp;BI!AA3,'New Hires Forecast'!$G$5:$G$81,"&lt;="&amp;BI!AA3)/12)),IF(YEAR(AA$3)=YEAR('New Hires Forecast'!$O$3),((SUMIFS('New Hires Forecast'!$O$5:$O$81,'New Hires Forecast'!$F$5:$F$81,"Dev Ops",'New Hires Forecast'!$H$5:$H$81,"&gt;="&amp;BI!AA3,'New Hires Forecast'!$G$5:$G$81,"&lt;="&amp;BI!AA3)/12)),IF(YEAR(AA$3)=YEAR('New Hires Forecast'!$P$3),((SUMIFS('New Hires Forecast'!$P$5:$P$81,'New Hires Forecast'!$F$5:$F$81,"Dev Ops",'New Hires Forecast'!$H$5:$H$81,"&gt;="&amp;BI!AA3,'New Hires Forecast'!$G$5:$G$81,"&lt;="&amp;BI!AA3)/12)),IF(YEAR(AA$3)=YEAR('New Hires Forecast'!$Q$3),((SUMIFS('New Hires Forecast'!$Q$5:$Q$81,'New Hires Forecast'!$F$5:$F$81,"Dev Ops",'New Hires Forecast'!$H$5:$H$81,"&gt;="&amp;BI!AA3,'New Hires Forecast'!$G$5:$G$81,"&lt;="&amp;BI!AA3)/12)),IF(YEAR(AA$3)=YEAR('New Hires Forecast'!$R$3),((SUMIFS('New Hires Forecast'!$R$5:$R$81,'New Hires Forecast'!$F$5:$F$81,"Dev Ops",'New Hires Forecast'!$H$5:$H$81,"&gt;="&amp;BI!AA3,'New Hires Forecast'!$G$5:$G$81,"&lt;="&amp;BI!AA3)/12))))))),0)</f>
        <v>0</v>
      </c>
      <c r="AB13" s="684">
        <f>IF(AB$4="forecast",IF(YEAR(AB$3)=YEAR('New Hires Forecast'!$N$3),((SUMIFS('New Hires Forecast'!$N$5:$N$81,'New Hires Forecast'!$F$5:$F$81,"Dev Ops",'New Hires Forecast'!$H$5:$H$81,"&gt;="&amp;BI!AB3,'New Hires Forecast'!$G$5:$G$81,"&lt;="&amp;BI!AB3)/12)),IF(YEAR(AB$3)=YEAR('New Hires Forecast'!$O$3),((SUMIFS('New Hires Forecast'!$O$5:$O$81,'New Hires Forecast'!$F$5:$F$81,"Dev Ops",'New Hires Forecast'!$H$5:$H$81,"&gt;="&amp;BI!AB3,'New Hires Forecast'!$G$5:$G$81,"&lt;="&amp;BI!AB3)/12)),IF(YEAR(AB$3)=YEAR('New Hires Forecast'!$P$3),((SUMIFS('New Hires Forecast'!$P$5:$P$81,'New Hires Forecast'!$F$5:$F$81,"Dev Ops",'New Hires Forecast'!$H$5:$H$81,"&gt;="&amp;BI!AB3,'New Hires Forecast'!$G$5:$G$81,"&lt;="&amp;BI!AB3)/12)),IF(YEAR(AB$3)=YEAR('New Hires Forecast'!$Q$3),((SUMIFS('New Hires Forecast'!$Q$5:$Q$81,'New Hires Forecast'!$F$5:$F$81,"Dev Ops",'New Hires Forecast'!$H$5:$H$81,"&gt;="&amp;BI!AB3,'New Hires Forecast'!$G$5:$G$81,"&lt;="&amp;BI!AB3)/12)),IF(YEAR(AB$3)=YEAR('New Hires Forecast'!$R$3),((SUMIFS('New Hires Forecast'!$R$5:$R$81,'New Hires Forecast'!$F$5:$F$81,"Dev Ops",'New Hires Forecast'!$H$5:$H$81,"&gt;="&amp;BI!AB3,'New Hires Forecast'!$G$5:$G$81,"&lt;="&amp;BI!AB3)/12))))))),0)</f>
        <v>0</v>
      </c>
      <c r="AC13" s="684">
        <f>IF(AC$4="forecast",IF(YEAR(AC$3)=YEAR('New Hires Forecast'!$N$3),((SUMIFS('New Hires Forecast'!$N$5:$N$81,'New Hires Forecast'!$F$5:$F$81,"Dev Ops",'New Hires Forecast'!$H$5:$H$81,"&gt;="&amp;BI!AC3,'New Hires Forecast'!$G$5:$G$81,"&lt;="&amp;BI!AC3)/12)),IF(YEAR(AC$3)=YEAR('New Hires Forecast'!$O$3),((SUMIFS('New Hires Forecast'!$O$5:$O$81,'New Hires Forecast'!$F$5:$F$81,"Dev Ops",'New Hires Forecast'!$H$5:$H$81,"&gt;="&amp;BI!AC3,'New Hires Forecast'!$G$5:$G$81,"&lt;="&amp;BI!AC3)/12)),IF(YEAR(AC$3)=YEAR('New Hires Forecast'!$P$3),((SUMIFS('New Hires Forecast'!$P$5:$P$81,'New Hires Forecast'!$F$5:$F$81,"Dev Ops",'New Hires Forecast'!$H$5:$H$81,"&gt;="&amp;BI!AC3,'New Hires Forecast'!$G$5:$G$81,"&lt;="&amp;BI!AC3)/12)),IF(YEAR(AC$3)=YEAR('New Hires Forecast'!$Q$3),((SUMIFS('New Hires Forecast'!$Q$5:$Q$81,'New Hires Forecast'!$F$5:$F$81,"Dev Ops",'New Hires Forecast'!$H$5:$H$81,"&gt;="&amp;BI!AC3,'New Hires Forecast'!$G$5:$G$81,"&lt;="&amp;BI!AC3)/12)),IF(YEAR(AC$3)=YEAR('New Hires Forecast'!$R$3),((SUMIFS('New Hires Forecast'!$R$5:$R$81,'New Hires Forecast'!$F$5:$F$81,"Dev Ops",'New Hires Forecast'!$H$5:$H$81,"&gt;="&amp;BI!AC3,'New Hires Forecast'!$G$5:$G$81,"&lt;="&amp;BI!AC3)/12))))))),0)</f>
        <v>0</v>
      </c>
      <c r="AD13" s="684">
        <f>IF(AD$4="forecast",IF(YEAR(AD$3)=YEAR('New Hires Forecast'!$N$3),((SUMIFS('New Hires Forecast'!$N$5:$N$81,'New Hires Forecast'!$F$5:$F$81,"Dev Ops",'New Hires Forecast'!$H$5:$H$81,"&gt;="&amp;BI!AD3,'New Hires Forecast'!$G$5:$G$81,"&lt;="&amp;BI!AD3)/12)),IF(YEAR(AD$3)=YEAR('New Hires Forecast'!$O$3),((SUMIFS('New Hires Forecast'!$O$5:$O$81,'New Hires Forecast'!$F$5:$F$81,"Dev Ops",'New Hires Forecast'!$H$5:$H$81,"&gt;="&amp;BI!AD3,'New Hires Forecast'!$G$5:$G$81,"&lt;="&amp;BI!AD3)/12)),IF(YEAR(AD$3)=YEAR('New Hires Forecast'!$P$3),((SUMIFS('New Hires Forecast'!$P$5:$P$81,'New Hires Forecast'!$F$5:$F$81,"Dev Ops",'New Hires Forecast'!$H$5:$H$81,"&gt;="&amp;BI!AD3,'New Hires Forecast'!$G$5:$G$81,"&lt;="&amp;BI!AD3)/12)),IF(YEAR(AD$3)=YEAR('New Hires Forecast'!$Q$3),((SUMIFS('New Hires Forecast'!$Q$5:$Q$81,'New Hires Forecast'!$F$5:$F$81,"Dev Ops",'New Hires Forecast'!$H$5:$H$81,"&gt;="&amp;BI!AD3,'New Hires Forecast'!$G$5:$G$81,"&lt;="&amp;BI!AD3)/12)),IF(YEAR(AD$3)=YEAR('New Hires Forecast'!$R$3),((SUMIFS('New Hires Forecast'!$R$5:$R$81,'New Hires Forecast'!$F$5:$F$81,"Dev Ops",'New Hires Forecast'!$H$5:$H$81,"&gt;="&amp;BI!AD3,'New Hires Forecast'!$G$5:$G$81,"&lt;="&amp;BI!AD3)/12))))))),0)</f>
        <v>0</v>
      </c>
      <c r="AE13" s="684">
        <f>IF(AE$4="forecast",IF(YEAR(AE$3)=YEAR('New Hires Forecast'!$N$3),((SUMIFS('New Hires Forecast'!$N$5:$N$81,'New Hires Forecast'!$F$5:$F$81,"Dev Ops",'New Hires Forecast'!$H$5:$H$81,"&gt;="&amp;BI!AE3,'New Hires Forecast'!$G$5:$G$81,"&lt;="&amp;BI!AE3)/12)),IF(YEAR(AE$3)=YEAR('New Hires Forecast'!$O$3),((SUMIFS('New Hires Forecast'!$O$5:$O$81,'New Hires Forecast'!$F$5:$F$81,"Dev Ops",'New Hires Forecast'!$H$5:$H$81,"&gt;="&amp;BI!AE3,'New Hires Forecast'!$G$5:$G$81,"&lt;="&amp;BI!AE3)/12)),IF(YEAR(AE$3)=YEAR('New Hires Forecast'!$P$3),((SUMIFS('New Hires Forecast'!$P$5:$P$81,'New Hires Forecast'!$F$5:$F$81,"Dev Ops",'New Hires Forecast'!$H$5:$H$81,"&gt;="&amp;BI!AE3,'New Hires Forecast'!$G$5:$G$81,"&lt;="&amp;BI!AE3)/12)),IF(YEAR(AE$3)=YEAR('New Hires Forecast'!$Q$3),((SUMIFS('New Hires Forecast'!$Q$5:$Q$81,'New Hires Forecast'!$F$5:$F$81,"Dev Ops",'New Hires Forecast'!$H$5:$H$81,"&gt;="&amp;BI!AE3,'New Hires Forecast'!$G$5:$G$81,"&lt;="&amp;BI!AE3)/12)),IF(YEAR(AE$3)=YEAR('New Hires Forecast'!$R$3),((SUMIFS('New Hires Forecast'!$R$5:$R$81,'New Hires Forecast'!$F$5:$F$81,"Dev Ops",'New Hires Forecast'!$H$5:$H$81,"&gt;="&amp;BI!AE3,'New Hires Forecast'!$G$5:$G$81,"&lt;="&amp;BI!AE3)/12))))))),0)</f>
        <v>0</v>
      </c>
      <c r="AF13" s="684">
        <f>IF(AF$4="forecast",IF(YEAR(AF$3)=YEAR('New Hires Forecast'!$N$3),((SUMIFS('New Hires Forecast'!$N$5:$N$81,'New Hires Forecast'!$F$5:$F$81,"Dev Ops",'New Hires Forecast'!$H$5:$H$81,"&gt;="&amp;BI!AF3,'New Hires Forecast'!$G$5:$G$81,"&lt;="&amp;BI!AF3)/12)),IF(YEAR(AF$3)=YEAR('New Hires Forecast'!$O$3),((SUMIFS('New Hires Forecast'!$O$5:$O$81,'New Hires Forecast'!$F$5:$F$81,"Dev Ops",'New Hires Forecast'!$H$5:$H$81,"&gt;="&amp;BI!AF3,'New Hires Forecast'!$G$5:$G$81,"&lt;="&amp;BI!AF3)/12)),IF(YEAR(AF$3)=YEAR('New Hires Forecast'!$P$3),((SUMIFS('New Hires Forecast'!$P$5:$P$81,'New Hires Forecast'!$F$5:$F$81,"Dev Ops",'New Hires Forecast'!$H$5:$H$81,"&gt;="&amp;BI!AF3,'New Hires Forecast'!$G$5:$G$81,"&lt;="&amp;BI!AF3)/12)),IF(YEAR(AF$3)=YEAR('New Hires Forecast'!$Q$3),((SUMIFS('New Hires Forecast'!$Q$5:$Q$81,'New Hires Forecast'!$F$5:$F$81,"Dev Ops",'New Hires Forecast'!$H$5:$H$81,"&gt;="&amp;BI!AF3,'New Hires Forecast'!$G$5:$G$81,"&lt;="&amp;BI!AF3)/12)),IF(YEAR(AF$3)=YEAR('New Hires Forecast'!$R$3),((SUMIFS('New Hires Forecast'!$R$5:$R$81,'New Hires Forecast'!$F$5:$F$81,"Dev Ops",'New Hires Forecast'!$H$5:$H$81,"&gt;="&amp;BI!AF3,'New Hires Forecast'!$G$5:$G$81,"&lt;="&amp;BI!AF3)/12))))))),0)</f>
        <v>0</v>
      </c>
      <c r="AG13" s="684">
        <f>IF(AG$4="forecast",IF(YEAR(AG$3)=YEAR('New Hires Forecast'!$N$3),((SUMIFS('New Hires Forecast'!$N$5:$N$81,'New Hires Forecast'!$F$5:$F$81,"Dev Ops",'New Hires Forecast'!$H$5:$H$81,"&gt;="&amp;BI!AG3,'New Hires Forecast'!$G$5:$G$81,"&lt;="&amp;BI!AG3)/12)),IF(YEAR(AG$3)=YEAR('New Hires Forecast'!$O$3),((SUMIFS('New Hires Forecast'!$O$5:$O$81,'New Hires Forecast'!$F$5:$F$81,"Dev Ops",'New Hires Forecast'!$H$5:$H$81,"&gt;="&amp;BI!AG3,'New Hires Forecast'!$G$5:$G$81,"&lt;="&amp;BI!AG3)/12)),IF(YEAR(AG$3)=YEAR('New Hires Forecast'!$P$3),((SUMIFS('New Hires Forecast'!$P$5:$P$81,'New Hires Forecast'!$F$5:$F$81,"Dev Ops",'New Hires Forecast'!$H$5:$H$81,"&gt;="&amp;BI!AG3,'New Hires Forecast'!$G$5:$G$81,"&lt;="&amp;BI!AG3)/12)),IF(YEAR(AG$3)=YEAR('New Hires Forecast'!$Q$3),((SUMIFS('New Hires Forecast'!$Q$5:$Q$81,'New Hires Forecast'!$F$5:$F$81,"Dev Ops",'New Hires Forecast'!$H$5:$H$81,"&gt;="&amp;BI!AG3,'New Hires Forecast'!$G$5:$G$81,"&lt;="&amp;BI!AG3)/12)),IF(YEAR(AG$3)=YEAR('New Hires Forecast'!$R$3),((SUMIFS('New Hires Forecast'!$R$5:$R$81,'New Hires Forecast'!$F$5:$F$81,"Dev Ops",'New Hires Forecast'!$H$5:$H$81,"&gt;="&amp;BI!AG3,'New Hires Forecast'!$G$5:$G$81,"&lt;="&amp;BI!AG3)/12))))))),0)</f>
        <v>0</v>
      </c>
      <c r="AH13" s="684">
        <f>IF(AH$4="forecast",IF(YEAR(AH$3)=YEAR('New Hires Forecast'!$N$3),((SUMIFS('New Hires Forecast'!$N$5:$N$81,'New Hires Forecast'!$F$5:$F$81,"Dev Ops",'New Hires Forecast'!$H$5:$H$81,"&gt;="&amp;BI!AH3,'New Hires Forecast'!$G$5:$G$81,"&lt;="&amp;BI!AH3)/12)),IF(YEAR(AH$3)=YEAR('New Hires Forecast'!$O$3),((SUMIFS('New Hires Forecast'!$O$5:$O$81,'New Hires Forecast'!$F$5:$F$81,"Dev Ops",'New Hires Forecast'!$H$5:$H$81,"&gt;="&amp;BI!AH3,'New Hires Forecast'!$G$5:$G$81,"&lt;="&amp;BI!AH3)/12)),IF(YEAR(AH$3)=YEAR('New Hires Forecast'!$P$3),((SUMIFS('New Hires Forecast'!$P$5:$P$81,'New Hires Forecast'!$F$5:$F$81,"Dev Ops",'New Hires Forecast'!$H$5:$H$81,"&gt;="&amp;BI!AH3,'New Hires Forecast'!$G$5:$G$81,"&lt;="&amp;BI!AH3)/12)),IF(YEAR(AH$3)=YEAR('New Hires Forecast'!$Q$3),((SUMIFS('New Hires Forecast'!$Q$5:$Q$81,'New Hires Forecast'!$F$5:$F$81,"Dev Ops",'New Hires Forecast'!$H$5:$H$81,"&gt;="&amp;BI!AH3,'New Hires Forecast'!$G$5:$G$81,"&lt;="&amp;BI!AH3)/12)),IF(YEAR(AH$3)=YEAR('New Hires Forecast'!$R$3),((SUMIFS('New Hires Forecast'!$R$5:$R$81,'New Hires Forecast'!$F$5:$F$81,"Dev Ops",'New Hires Forecast'!$H$5:$H$81,"&gt;="&amp;BI!AH3,'New Hires Forecast'!$G$5:$G$81,"&lt;="&amp;BI!AH3)/12))))))),0)</f>
        <v>0</v>
      </c>
      <c r="AI13" s="684">
        <f>IF(AI$4="forecast",IF(YEAR(AI$3)=YEAR('New Hires Forecast'!$N$3),((SUMIFS('New Hires Forecast'!$N$5:$N$81,'New Hires Forecast'!$F$5:$F$81,"Dev Ops",'New Hires Forecast'!$H$5:$H$81,"&gt;="&amp;BI!AI3,'New Hires Forecast'!$G$5:$G$81,"&lt;="&amp;BI!AI3)/12)),IF(YEAR(AI$3)=YEAR('New Hires Forecast'!$O$3),((SUMIFS('New Hires Forecast'!$O$5:$O$81,'New Hires Forecast'!$F$5:$F$81,"Dev Ops",'New Hires Forecast'!$H$5:$H$81,"&gt;="&amp;BI!AI3,'New Hires Forecast'!$G$5:$G$81,"&lt;="&amp;BI!AI3)/12)),IF(YEAR(AI$3)=YEAR('New Hires Forecast'!$P$3),((SUMIFS('New Hires Forecast'!$P$5:$P$81,'New Hires Forecast'!$F$5:$F$81,"Dev Ops",'New Hires Forecast'!$H$5:$H$81,"&gt;="&amp;BI!AI3,'New Hires Forecast'!$G$5:$G$81,"&lt;="&amp;BI!AI3)/12)),IF(YEAR(AI$3)=YEAR('New Hires Forecast'!$Q$3),((SUMIFS('New Hires Forecast'!$Q$5:$Q$81,'New Hires Forecast'!$F$5:$F$81,"Dev Ops",'New Hires Forecast'!$H$5:$H$81,"&gt;="&amp;BI!AI3,'New Hires Forecast'!$G$5:$G$81,"&lt;="&amp;BI!AI3)/12)),IF(YEAR(AI$3)=YEAR('New Hires Forecast'!$R$3),((SUMIFS('New Hires Forecast'!$R$5:$R$81,'New Hires Forecast'!$F$5:$F$81,"Dev Ops",'New Hires Forecast'!$H$5:$H$81,"&gt;="&amp;BI!AI3,'New Hires Forecast'!$G$5:$G$81,"&lt;="&amp;BI!AI3)/12))))))),0)</f>
        <v>0</v>
      </c>
      <c r="AJ13" s="684">
        <f>IF(AJ$4="forecast",IF(YEAR(AJ$3)=YEAR('New Hires Forecast'!$N$3),((SUMIFS('New Hires Forecast'!$N$5:$N$81,'New Hires Forecast'!$F$5:$F$81,"Dev Ops",'New Hires Forecast'!$H$5:$H$81,"&gt;="&amp;BI!AJ3,'New Hires Forecast'!$G$5:$G$81,"&lt;="&amp;BI!AJ3)/12)),IF(YEAR(AJ$3)=YEAR('New Hires Forecast'!$O$3),((SUMIFS('New Hires Forecast'!$O$5:$O$81,'New Hires Forecast'!$F$5:$F$81,"Dev Ops",'New Hires Forecast'!$H$5:$H$81,"&gt;="&amp;BI!AJ3,'New Hires Forecast'!$G$5:$G$81,"&lt;="&amp;BI!AJ3)/12)),IF(YEAR(AJ$3)=YEAR('New Hires Forecast'!$P$3),((SUMIFS('New Hires Forecast'!$P$5:$P$81,'New Hires Forecast'!$F$5:$F$81,"Dev Ops",'New Hires Forecast'!$H$5:$H$81,"&gt;="&amp;BI!AJ3,'New Hires Forecast'!$G$5:$G$81,"&lt;="&amp;BI!AJ3)/12)),IF(YEAR(AJ$3)=YEAR('New Hires Forecast'!$Q$3),((SUMIFS('New Hires Forecast'!$Q$5:$Q$81,'New Hires Forecast'!$F$5:$F$81,"Dev Ops",'New Hires Forecast'!$H$5:$H$81,"&gt;="&amp;BI!AJ3,'New Hires Forecast'!$G$5:$G$81,"&lt;="&amp;BI!AJ3)/12)),IF(YEAR(AJ$3)=YEAR('New Hires Forecast'!$R$3),((SUMIFS('New Hires Forecast'!$R$5:$R$81,'New Hires Forecast'!$F$5:$F$81,"Dev Ops",'New Hires Forecast'!$H$5:$H$81,"&gt;="&amp;BI!AJ3,'New Hires Forecast'!$G$5:$G$81,"&lt;="&amp;BI!AJ3)/12))))))),0)</f>
        <v>0</v>
      </c>
      <c r="AK13" s="684">
        <f>IF(AK$4="forecast",IF(YEAR(AK$3)=YEAR('New Hires Forecast'!$N$3),((SUMIFS('New Hires Forecast'!$N$5:$N$81,'New Hires Forecast'!$F$5:$F$81,"Dev Ops",'New Hires Forecast'!$H$5:$H$81,"&gt;="&amp;BI!AK3,'New Hires Forecast'!$G$5:$G$81,"&lt;="&amp;BI!AK3)/12)),IF(YEAR(AK$3)=YEAR('New Hires Forecast'!$O$3),((SUMIFS('New Hires Forecast'!$O$5:$O$81,'New Hires Forecast'!$F$5:$F$81,"Dev Ops",'New Hires Forecast'!$H$5:$H$81,"&gt;="&amp;BI!AK3,'New Hires Forecast'!$G$5:$G$81,"&lt;="&amp;BI!AK3)/12)),IF(YEAR(AK$3)=YEAR('New Hires Forecast'!$P$3),((SUMIFS('New Hires Forecast'!$P$5:$P$81,'New Hires Forecast'!$F$5:$F$81,"Dev Ops",'New Hires Forecast'!$H$5:$H$81,"&gt;="&amp;BI!AK3,'New Hires Forecast'!$G$5:$G$81,"&lt;="&amp;BI!AK3)/12)),IF(YEAR(AK$3)=YEAR('New Hires Forecast'!$Q$3),((SUMIFS('New Hires Forecast'!$Q$5:$Q$81,'New Hires Forecast'!$F$5:$F$81,"Dev Ops",'New Hires Forecast'!$H$5:$H$81,"&gt;="&amp;BI!AK3,'New Hires Forecast'!$G$5:$G$81,"&lt;="&amp;BI!AK3)/12)),IF(YEAR(AK$3)=YEAR('New Hires Forecast'!$R$3),((SUMIFS('New Hires Forecast'!$R$5:$R$81,'New Hires Forecast'!$F$5:$F$81,"Dev Ops",'New Hires Forecast'!$H$5:$H$81,"&gt;="&amp;BI!AK3,'New Hires Forecast'!$G$5:$G$81,"&lt;="&amp;BI!AK3)/12))))))),0)</f>
        <v>0</v>
      </c>
      <c r="AL13" s="684">
        <f>IF(AL$4="forecast",IF(YEAR(AL$3)=YEAR('New Hires Forecast'!$N$3),((SUMIFS('New Hires Forecast'!$N$5:$N$81,'New Hires Forecast'!$F$5:$F$81,"Dev Ops",'New Hires Forecast'!$H$5:$H$81,"&gt;="&amp;BI!AL3,'New Hires Forecast'!$G$5:$G$81,"&lt;="&amp;BI!AL3)/12)),IF(YEAR(AL$3)=YEAR('New Hires Forecast'!$O$3),((SUMIFS('New Hires Forecast'!$O$5:$O$81,'New Hires Forecast'!$F$5:$F$81,"Dev Ops",'New Hires Forecast'!$H$5:$H$81,"&gt;="&amp;BI!AL3,'New Hires Forecast'!$G$5:$G$81,"&lt;="&amp;BI!AL3)/12)),IF(YEAR(AL$3)=YEAR('New Hires Forecast'!$P$3),((SUMIFS('New Hires Forecast'!$P$5:$P$81,'New Hires Forecast'!$F$5:$F$81,"Dev Ops",'New Hires Forecast'!$H$5:$H$81,"&gt;="&amp;BI!AL3,'New Hires Forecast'!$G$5:$G$81,"&lt;="&amp;BI!AL3)/12)),IF(YEAR(AL$3)=YEAR('New Hires Forecast'!$Q$3),((SUMIFS('New Hires Forecast'!$Q$5:$Q$81,'New Hires Forecast'!$F$5:$F$81,"Dev Ops",'New Hires Forecast'!$H$5:$H$81,"&gt;="&amp;BI!AL3,'New Hires Forecast'!$G$5:$G$81,"&lt;="&amp;BI!AL3)/12)),IF(YEAR(AL$3)=YEAR('New Hires Forecast'!$R$3),((SUMIFS('New Hires Forecast'!$R$5:$R$81,'New Hires Forecast'!$F$5:$F$81,"Dev Ops",'New Hires Forecast'!$H$5:$H$81,"&gt;="&amp;BI!AL3,'New Hires Forecast'!$G$5:$G$81,"&lt;="&amp;BI!AL3)/12))))))),0)</f>
        <v>0</v>
      </c>
      <c r="AM13" s="684">
        <f>IF(AM$4="forecast",IF(YEAR(AM$3)=YEAR('New Hires Forecast'!$N$3),((SUMIFS('New Hires Forecast'!$N$5:$N$81,'New Hires Forecast'!$F$5:$F$81,"Dev Ops",'New Hires Forecast'!$H$5:$H$81,"&gt;="&amp;BI!AM3,'New Hires Forecast'!$G$5:$G$81,"&lt;="&amp;BI!AM3)/12)),IF(YEAR(AM$3)=YEAR('New Hires Forecast'!$O$3),((SUMIFS('New Hires Forecast'!$O$5:$O$81,'New Hires Forecast'!$F$5:$F$81,"Dev Ops",'New Hires Forecast'!$H$5:$H$81,"&gt;="&amp;BI!AM3,'New Hires Forecast'!$G$5:$G$81,"&lt;="&amp;BI!AM3)/12)),IF(YEAR(AM$3)=YEAR('New Hires Forecast'!$P$3),((SUMIFS('New Hires Forecast'!$P$5:$P$81,'New Hires Forecast'!$F$5:$F$81,"Dev Ops",'New Hires Forecast'!$H$5:$H$81,"&gt;="&amp;BI!AM3,'New Hires Forecast'!$G$5:$G$81,"&lt;="&amp;BI!AM3)/12)),IF(YEAR(AM$3)=YEAR('New Hires Forecast'!$Q$3),((SUMIFS('New Hires Forecast'!$Q$5:$Q$81,'New Hires Forecast'!$F$5:$F$81,"Dev Ops",'New Hires Forecast'!$H$5:$H$81,"&gt;="&amp;BI!AM3,'New Hires Forecast'!$G$5:$G$81,"&lt;="&amp;BI!AM3)/12)),IF(YEAR(AM$3)=YEAR('New Hires Forecast'!$R$3),((SUMIFS('New Hires Forecast'!$R$5:$R$81,'New Hires Forecast'!$F$5:$F$81,"Dev Ops",'New Hires Forecast'!$H$5:$H$81,"&gt;="&amp;BI!AM3,'New Hires Forecast'!$G$5:$G$81,"&lt;="&amp;BI!AM3)/12))))))),0)</f>
        <v>0</v>
      </c>
      <c r="AN13" s="684">
        <f>IF(AN$4="forecast",IF(YEAR(AN$3)=YEAR('New Hires Forecast'!$N$3),((SUMIFS('New Hires Forecast'!$N$5:$N$81,'New Hires Forecast'!$F$5:$F$81,"Dev Ops",'New Hires Forecast'!$H$5:$H$81,"&gt;="&amp;BI!AN3,'New Hires Forecast'!$G$5:$G$81,"&lt;="&amp;BI!AN3)/12)),IF(YEAR(AN$3)=YEAR('New Hires Forecast'!$O$3),((SUMIFS('New Hires Forecast'!$O$5:$O$81,'New Hires Forecast'!$F$5:$F$81,"Dev Ops",'New Hires Forecast'!$H$5:$H$81,"&gt;="&amp;BI!AN3,'New Hires Forecast'!$G$5:$G$81,"&lt;="&amp;BI!AN3)/12)),IF(YEAR(AN$3)=YEAR('New Hires Forecast'!$P$3),((SUMIFS('New Hires Forecast'!$P$5:$P$81,'New Hires Forecast'!$F$5:$F$81,"Dev Ops",'New Hires Forecast'!$H$5:$H$81,"&gt;="&amp;BI!AN3,'New Hires Forecast'!$G$5:$G$81,"&lt;="&amp;BI!AN3)/12)),IF(YEAR(AN$3)=YEAR('New Hires Forecast'!$Q$3),((SUMIFS('New Hires Forecast'!$Q$5:$Q$81,'New Hires Forecast'!$F$5:$F$81,"Dev Ops",'New Hires Forecast'!$H$5:$H$81,"&gt;="&amp;BI!AN3,'New Hires Forecast'!$G$5:$G$81,"&lt;="&amp;BI!AN3)/12)),IF(YEAR(AN$3)=YEAR('New Hires Forecast'!$R$3),((SUMIFS('New Hires Forecast'!$R$5:$R$81,'New Hires Forecast'!$F$5:$F$81,"Dev Ops",'New Hires Forecast'!$H$5:$H$81,"&gt;="&amp;BI!AN3,'New Hires Forecast'!$G$5:$G$81,"&lt;="&amp;BI!AN3)/12))))))),0)</f>
        <v>0</v>
      </c>
      <c r="AO13" s="684">
        <f>IF(AO$4="forecast",IF(YEAR(AO$3)=YEAR('New Hires Forecast'!$N$3),((SUMIFS('New Hires Forecast'!$N$5:$N$81,'New Hires Forecast'!$F$5:$F$81,"Dev Ops",'New Hires Forecast'!$H$5:$H$81,"&gt;="&amp;BI!AO3,'New Hires Forecast'!$G$5:$G$81,"&lt;="&amp;BI!AO3)/12)),IF(YEAR(AO$3)=YEAR('New Hires Forecast'!$O$3),((SUMIFS('New Hires Forecast'!$O$5:$O$81,'New Hires Forecast'!$F$5:$F$81,"Dev Ops",'New Hires Forecast'!$H$5:$H$81,"&gt;="&amp;BI!AO3,'New Hires Forecast'!$G$5:$G$81,"&lt;="&amp;BI!AO3)/12)),IF(YEAR(AO$3)=YEAR('New Hires Forecast'!$P$3),((SUMIFS('New Hires Forecast'!$P$5:$P$81,'New Hires Forecast'!$F$5:$F$81,"Dev Ops",'New Hires Forecast'!$H$5:$H$81,"&gt;="&amp;BI!AO3,'New Hires Forecast'!$G$5:$G$81,"&lt;="&amp;BI!AO3)/12)),IF(YEAR(AO$3)=YEAR('New Hires Forecast'!$Q$3),((SUMIFS('New Hires Forecast'!$Q$5:$Q$81,'New Hires Forecast'!$F$5:$F$81,"Dev Ops",'New Hires Forecast'!$H$5:$H$81,"&gt;="&amp;BI!AO3,'New Hires Forecast'!$G$5:$G$81,"&lt;="&amp;BI!AO3)/12)),IF(YEAR(AO$3)=YEAR('New Hires Forecast'!$R$3),((SUMIFS('New Hires Forecast'!$R$5:$R$81,'New Hires Forecast'!$F$5:$F$81,"Dev Ops",'New Hires Forecast'!$H$5:$H$81,"&gt;="&amp;BI!AO3,'New Hires Forecast'!$G$5:$G$81,"&lt;="&amp;BI!AO3)/12))))))),0)</f>
        <v>0</v>
      </c>
      <c r="AP13" s="684">
        <f>IF(AP$4="forecast",IF(YEAR(AP$3)=YEAR('New Hires Forecast'!$N$3),((SUMIFS('New Hires Forecast'!$N$5:$N$81,'New Hires Forecast'!$F$5:$F$81,"Dev Ops",'New Hires Forecast'!$H$5:$H$81,"&gt;="&amp;BI!AP3,'New Hires Forecast'!$G$5:$G$81,"&lt;="&amp;BI!AP3)/12)),IF(YEAR(AP$3)=YEAR('New Hires Forecast'!$O$3),((SUMIFS('New Hires Forecast'!$O$5:$O$81,'New Hires Forecast'!$F$5:$F$81,"Dev Ops",'New Hires Forecast'!$H$5:$H$81,"&gt;="&amp;BI!AP3,'New Hires Forecast'!$G$5:$G$81,"&lt;="&amp;BI!AP3)/12)),IF(YEAR(AP$3)=YEAR('New Hires Forecast'!$P$3),((SUMIFS('New Hires Forecast'!$P$5:$P$81,'New Hires Forecast'!$F$5:$F$81,"Dev Ops",'New Hires Forecast'!$H$5:$H$81,"&gt;="&amp;BI!AP3,'New Hires Forecast'!$G$5:$G$81,"&lt;="&amp;BI!AP3)/12)),IF(YEAR(AP$3)=YEAR('New Hires Forecast'!$Q$3),((SUMIFS('New Hires Forecast'!$Q$5:$Q$81,'New Hires Forecast'!$F$5:$F$81,"Dev Ops",'New Hires Forecast'!$H$5:$H$81,"&gt;="&amp;BI!AP3,'New Hires Forecast'!$G$5:$G$81,"&lt;="&amp;BI!AP3)/12)),IF(YEAR(AP$3)=YEAR('New Hires Forecast'!$R$3),((SUMIFS('New Hires Forecast'!$R$5:$R$81,'New Hires Forecast'!$F$5:$F$81,"Dev Ops",'New Hires Forecast'!$H$5:$H$81,"&gt;="&amp;BI!AP3,'New Hires Forecast'!$G$5:$G$81,"&lt;="&amp;BI!AP3)/12))))))),0)</f>
        <v>0</v>
      </c>
      <c r="AQ13" s="684">
        <f>IF(AQ$4="forecast",IF(YEAR(AQ$3)=YEAR('New Hires Forecast'!$N$3),((SUMIFS('New Hires Forecast'!$N$5:$N$81,'New Hires Forecast'!$F$5:$F$81,"Dev Ops",'New Hires Forecast'!$H$5:$H$81,"&gt;="&amp;BI!AQ3,'New Hires Forecast'!$G$5:$G$81,"&lt;="&amp;BI!AQ3)/12)),IF(YEAR(AQ$3)=YEAR('New Hires Forecast'!$O$3),((SUMIFS('New Hires Forecast'!$O$5:$O$81,'New Hires Forecast'!$F$5:$F$81,"Dev Ops",'New Hires Forecast'!$H$5:$H$81,"&gt;="&amp;BI!AQ3,'New Hires Forecast'!$G$5:$G$81,"&lt;="&amp;BI!AQ3)/12)),IF(YEAR(AQ$3)=YEAR('New Hires Forecast'!$P$3),((SUMIFS('New Hires Forecast'!$P$5:$P$81,'New Hires Forecast'!$F$5:$F$81,"Dev Ops",'New Hires Forecast'!$H$5:$H$81,"&gt;="&amp;BI!AQ3,'New Hires Forecast'!$G$5:$G$81,"&lt;="&amp;BI!AQ3)/12)),IF(YEAR(AQ$3)=YEAR('New Hires Forecast'!$Q$3),((SUMIFS('New Hires Forecast'!$Q$5:$Q$81,'New Hires Forecast'!$F$5:$F$81,"Dev Ops",'New Hires Forecast'!$H$5:$H$81,"&gt;="&amp;BI!AQ3,'New Hires Forecast'!$G$5:$G$81,"&lt;="&amp;BI!AQ3)/12)),IF(YEAR(AQ$3)=YEAR('New Hires Forecast'!$R$3),((SUMIFS('New Hires Forecast'!$R$5:$R$81,'New Hires Forecast'!$F$5:$F$81,"Dev Ops",'New Hires Forecast'!$H$5:$H$81,"&gt;="&amp;BI!AQ3,'New Hires Forecast'!$G$5:$G$81,"&lt;="&amp;BI!AQ3)/12))))))),0)</f>
        <v>0</v>
      </c>
      <c r="AR13" s="684">
        <f>IF(AR$4="forecast",IF(YEAR(AR$3)=YEAR('New Hires Forecast'!$N$3),((SUMIFS('New Hires Forecast'!$N$5:$N$81,'New Hires Forecast'!$F$5:$F$81,"Dev Ops",'New Hires Forecast'!$H$5:$H$81,"&gt;="&amp;BI!AR3,'New Hires Forecast'!$G$5:$G$81,"&lt;="&amp;BI!AR3)/12)),IF(YEAR(AR$3)=YEAR('New Hires Forecast'!$O$3),((SUMIFS('New Hires Forecast'!$O$5:$O$81,'New Hires Forecast'!$F$5:$F$81,"Dev Ops",'New Hires Forecast'!$H$5:$H$81,"&gt;="&amp;BI!AR3,'New Hires Forecast'!$G$5:$G$81,"&lt;="&amp;BI!AR3)/12)),IF(YEAR(AR$3)=YEAR('New Hires Forecast'!$P$3),((SUMIFS('New Hires Forecast'!$P$5:$P$81,'New Hires Forecast'!$F$5:$F$81,"Dev Ops",'New Hires Forecast'!$H$5:$H$81,"&gt;="&amp;BI!AR3,'New Hires Forecast'!$G$5:$G$81,"&lt;="&amp;BI!AR3)/12)),IF(YEAR(AR$3)=YEAR('New Hires Forecast'!$Q$3),((SUMIFS('New Hires Forecast'!$Q$5:$Q$81,'New Hires Forecast'!$F$5:$F$81,"Dev Ops",'New Hires Forecast'!$H$5:$H$81,"&gt;="&amp;BI!AR3,'New Hires Forecast'!$G$5:$G$81,"&lt;="&amp;BI!AR3)/12)),IF(YEAR(AR$3)=YEAR('New Hires Forecast'!$R$3),((SUMIFS('New Hires Forecast'!$R$5:$R$81,'New Hires Forecast'!$F$5:$F$81,"Dev Ops",'New Hires Forecast'!$H$5:$H$81,"&gt;="&amp;BI!AR3,'New Hires Forecast'!$G$5:$G$81,"&lt;="&amp;BI!AR3)/12))))))),0)</f>
        <v>0</v>
      </c>
      <c r="AS13" s="684">
        <f>IF(AS$4="forecast",IF(YEAR(AS$3)=YEAR('New Hires Forecast'!$N$3),((SUMIFS('New Hires Forecast'!$N$5:$N$81,'New Hires Forecast'!$F$5:$F$81,"Dev Ops",'New Hires Forecast'!$H$5:$H$81,"&gt;="&amp;BI!AS3,'New Hires Forecast'!$G$5:$G$81,"&lt;="&amp;BI!AS3)/12)),IF(YEAR(AS$3)=YEAR('New Hires Forecast'!$O$3),((SUMIFS('New Hires Forecast'!$O$5:$O$81,'New Hires Forecast'!$F$5:$F$81,"Dev Ops",'New Hires Forecast'!$H$5:$H$81,"&gt;="&amp;BI!AS3,'New Hires Forecast'!$G$5:$G$81,"&lt;="&amp;BI!AS3)/12)),IF(YEAR(AS$3)=YEAR('New Hires Forecast'!$P$3),((SUMIFS('New Hires Forecast'!$P$5:$P$81,'New Hires Forecast'!$F$5:$F$81,"Dev Ops",'New Hires Forecast'!$H$5:$H$81,"&gt;="&amp;BI!AS3,'New Hires Forecast'!$G$5:$G$81,"&lt;="&amp;BI!AS3)/12)),IF(YEAR(AS$3)=YEAR('New Hires Forecast'!$Q$3),((SUMIFS('New Hires Forecast'!$Q$5:$Q$81,'New Hires Forecast'!$F$5:$F$81,"Dev Ops",'New Hires Forecast'!$H$5:$H$81,"&gt;="&amp;BI!AS3,'New Hires Forecast'!$G$5:$G$81,"&lt;="&amp;BI!AS3)/12)),IF(YEAR(AS$3)=YEAR('New Hires Forecast'!$R$3),((SUMIFS('New Hires Forecast'!$R$5:$R$81,'New Hires Forecast'!$F$5:$F$81,"Dev Ops",'New Hires Forecast'!$H$5:$H$81,"&gt;="&amp;BI!AS3,'New Hires Forecast'!$G$5:$G$81,"&lt;="&amp;BI!AS3)/12))))))),0)</f>
        <v>0</v>
      </c>
      <c r="AT13" s="684">
        <f>IF(AT$4="forecast",IF(YEAR(AT$3)=YEAR('New Hires Forecast'!$N$3),((SUMIFS('New Hires Forecast'!$N$5:$N$81,'New Hires Forecast'!$F$5:$F$81,"Dev Ops",'New Hires Forecast'!$H$5:$H$81,"&gt;="&amp;BI!AT3,'New Hires Forecast'!$G$5:$G$81,"&lt;="&amp;BI!AT3)/12)),IF(YEAR(AT$3)=YEAR('New Hires Forecast'!$O$3),((SUMIFS('New Hires Forecast'!$O$5:$O$81,'New Hires Forecast'!$F$5:$F$81,"Dev Ops",'New Hires Forecast'!$H$5:$H$81,"&gt;="&amp;BI!AT3,'New Hires Forecast'!$G$5:$G$81,"&lt;="&amp;BI!AT3)/12)),IF(YEAR(AT$3)=YEAR('New Hires Forecast'!$P$3),((SUMIFS('New Hires Forecast'!$P$5:$P$81,'New Hires Forecast'!$F$5:$F$81,"Dev Ops",'New Hires Forecast'!$H$5:$H$81,"&gt;="&amp;BI!AT3,'New Hires Forecast'!$G$5:$G$81,"&lt;="&amp;BI!AT3)/12)),IF(YEAR(AT$3)=YEAR('New Hires Forecast'!$Q$3),((SUMIFS('New Hires Forecast'!$Q$5:$Q$81,'New Hires Forecast'!$F$5:$F$81,"Dev Ops",'New Hires Forecast'!$H$5:$H$81,"&gt;="&amp;BI!AT3,'New Hires Forecast'!$G$5:$G$81,"&lt;="&amp;BI!AT3)/12)),IF(YEAR(AT$3)=YEAR('New Hires Forecast'!$R$3),((SUMIFS('New Hires Forecast'!$R$5:$R$81,'New Hires Forecast'!$F$5:$F$81,"Dev Ops",'New Hires Forecast'!$H$5:$H$81,"&gt;="&amp;BI!AT3,'New Hires Forecast'!$G$5:$G$81,"&lt;="&amp;BI!AT3)/12))))))),0)</f>
        <v>0</v>
      </c>
      <c r="AU13" s="684">
        <f>IF(AU$4="forecast",IF(YEAR(AU$3)=YEAR('New Hires Forecast'!$N$3),((SUMIFS('New Hires Forecast'!$N$5:$N$81,'New Hires Forecast'!$F$5:$F$81,"Dev Ops",'New Hires Forecast'!$H$5:$H$81,"&gt;="&amp;BI!AU3,'New Hires Forecast'!$G$5:$G$81,"&lt;="&amp;BI!AU3)/12)),IF(YEAR(AU$3)=YEAR('New Hires Forecast'!$O$3),((SUMIFS('New Hires Forecast'!$O$5:$O$81,'New Hires Forecast'!$F$5:$F$81,"Dev Ops",'New Hires Forecast'!$H$5:$H$81,"&gt;="&amp;BI!AU3,'New Hires Forecast'!$G$5:$G$81,"&lt;="&amp;BI!AU3)/12)),IF(YEAR(AU$3)=YEAR('New Hires Forecast'!$P$3),((SUMIFS('New Hires Forecast'!$P$5:$P$81,'New Hires Forecast'!$F$5:$F$81,"Dev Ops",'New Hires Forecast'!$H$5:$H$81,"&gt;="&amp;BI!AU3,'New Hires Forecast'!$G$5:$G$81,"&lt;="&amp;BI!AU3)/12)),IF(YEAR(AU$3)=YEAR('New Hires Forecast'!$Q$3),((SUMIFS('New Hires Forecast'!$Q$5:$Q$81,'New Hires Forecast'!$F$5:$F$81,"Dev Ops",'New Hires Forecast'!$H$5:$H$81,"&gt;="&amp;BI!AU3,'New Hires Forecast'!$G$5:$G$81,"&lt;="&amp;BI!AU3)/12)),IF(YEAR(AU$3)=YEAR('New Hires Forecast'!$R$3),((SUMIFS('New Hires Forecast'!$R$5:$R$81,'New Hires Forecast'!$F$5:$F$81,"Dev Ops",'New Hires Forecast'!$H$5:$H$81,"&gt;="&amp;BI!AU3,'New Hires Forecast'!$G$5:$G$81,"&lt;="&amp;BI!AU3)/12))))))),0)</f>
        <v>0</v>
      </c>
      <c r="AV13" s="684">
        <f>IF(AV$4="forecast",IF(YEAR(AV$3)=YEAR('New Hires Forecast'!$N$3),((SUMIFS('New Hires Forecast'!$N$5:$N$81,'New Hires Forecast'!$F$5:$F$81,"Dev Ops",'New Hires Forecast'!$H$5:$H$81,"&gt;="&amp;BI!AV3,'New Hires Forecast'!$G$5:$G$81,"&lt;="&amp;BI!AV3)/12)),IF(YEAR(AV$3)=YEAR('New Hires Forecast'!$O$3),((SUMIFS('New Hires Forecast'!$O$5:$O$81,'New Hires Forecast'!$F$5:$F$81,"Dev Ops",'New Hires Forecast'!$H$5:$H$81,"&gt;="&amp;BI!AV3,'New Hires Forecast'!$G$5:$G$81,"&lt;="&amp;BI!AV3)/12)),IF(YEAR(AV$3)=YEAR('New Hires Forecast'!$P$3),((SUMIFS('New Hires Forecast'!$P$5:$P$81,'New Hires Forecast'!$F$5:$F$81,"Dev Ops",'New Hires Forecast'!$H$5:$H$81,"&gt;="&amp;BI!AV3,'New Hires Forecast'!$G$5:$G$81,"&lt;="&amp;BI!AV3)/12)),IF(YEAR(AV$3)=YEAR('New Hires Forecast'!$Q$3),((SUMIFS('New Hires Forecast'!$Q$5:$Q$81,'New Hires Forecast'!$F$5:$F$81,"Dev Ops",'New Hires Forecast'!$H$5:$H$81,"&gt;="&amp;BI!AV3,'New Hires Forecast'!$G$5:$G$81,"&lt;="&amp;BI!AV3)/12)),IF(YEAR(AV$3)=YEAR('New Hires Forecast'!$R$3),((SUMIFS('New Hires Forecast'!$R$5:$R$81,'New Hires Forecast'!$F$5:$F$81,"Dev Ops",'New Hires Forecast'!$H$5:$H$81,"&gt;="&amp;BI!AV3,'New Hires Forecast'!$G$5:$G$81,"&lt;="&amp;BI!AV3)/12))))))),0)</f>
        <v>0</v>
      </c>
      <c r="AW13" s="684">
        <f>IF(AW$4="forecast",IF(YEAR(AW$3)=YEAR('New Hires Forecast'!$N$3),((SUMIFS('New Hires Forecast'!$N$5:$N$81,'New Hires Forecast'!$F$5:$F$81,"Dev Ops",'New Hires Forecast'!$H$5:$H$81,"&gt;="&amp;BI!AW3,'New Hires Forecast'!$G$5:$G$81,"&lt;="&amp;BI!AW3)/12)),IF(YEAR(AW$3)=YEAR('New Hires Forecast'!$O$3),((SUMIFS('New Hires Forecast'!$O$5:$O$81,'New Hires Forecast'!$F$5:$F$81,"Dev Ops",'New Hires Forecast'!$H$5:$H$81,"&gt;="&amp;BI!AW3,'New Hires Forecast'!$G$5:$G$81,"&lt;="&amp;BI!AW3)/12)),IF(YEAR(AW$3)=YEAR('New Hires Forecast'!$P$3),((SUMIFS('New Hires Forecast'!$P$5:$P$81,'New Hires Forecast'!$F$5:$F$81,"Dev Ops",'New Hires Forecast'!$H$5:$H$81,"&gt;="&amp;BI!AW3,'New Hires Forecast'!$G$5:$G$81,"&lt;="&amp;BI!AW3)/12)),IF(YEAR(AW$3)=YEAR('New Hires Forecast'!$Q$3),((SUMIFS('New Hires Forecast'!$Q$5:$Q$81,'New Hires Forecast'!$F$5:$F$81,"Dev Ops",'New Hires Forecast'!$H$5:$H$81,"&gt;="&amp;BI!AW3,'New Hires Forecast'!$G$5:$G$81,"&lt;="&amp;BI!AW3)/12)),IF(YEAR(AW$3)=YEAR('New Hires Forecast'!$R$3),((SUMIFS('New Hires Forecast'!$R$5:$R$81,'New Hires Forecast'!$F$5:$F$81,"Dev Ops",'New Hires Forecast'!$H$5:$H$81,"&gt;="&amp;BI!AW3,'New Hires Forecast'!$G$5:$G$81,"&lt;="&amp;BI!AW3)/12))))))),0)</f>
        <v>0</v>
      </c>
      <c r="AX13" s="684">
        <f>IF(AX$4="forecast",IF(YEAR(AX$3)=YEAR('New Hires Forecast'!$N$3),((SUMIFS('New Hires Forecast'!$N$5:$N$81,'New Hires Forecast'!$F$5:$F$81,"Dev Ops",'New Hires Forecast'!$H$5:$H$81,"&gt;="&amp;BI!AX3,'New Hires Forecast'!$G$5:$G$81,"&lt;="&amp;BI!AX3)/12)),IF(YEAR(AX$3)=YEAR('New Hires Forecast'!$O$3),((SUMIFS('New Hires Forecast'!$O$5:$O$81,'New Hires Forecast'!$F$5:$F$81,"Dev Ops",'New Hires Forecast'!$H$5:$H$81,"&gt;="&amp;BI!AX3,'New Hires Forecast'!$G$5:$G$81,"&lt;="&amp;BI!AX3)/12)),IF(YEAR(AX$3)=YEAR('New Hires Forecast'!$P$3),((SUMIFS('New Hires Forecast'!$P$5:$P$81,'New Hires Forecast'!$F$5:$F$81,"Dev Ops",'New Hires Forecast'!$H$5:$H$81,"&gt;="&amp;BI!AX3,'New Hires Forecast'!$G$5:$G$81,"&lt;="&amp;BI!AX3)/12)),IF(YEAR(AX$3)=YEAR('New Hires Forecast'!$Q$3),((SUMIFS('New Hires Forecast'!$Q$5:$Q$81,'New Hires Forecast'!$F$5:$F$81,"Dev Ops",'New Hires Forecast'!$H$5:$H$81,"&gt;="&amp;BI!AX3,'New Hires Forecast'!$G$5:$G$81,"&lt;="&amp;BI!AX3)/12)),IF(YEAR(AX$3)=YEAR('New Hires Forecast'!$R$3),((SUMIFS('New Hires Forecast'!$R$5:$R$81,'New Hires Forecast'!$F$5:$F$81,"Dev Ops",'New Hires Forecast'!$H$5:$H$81,"&gt;="&amp;BI!AX3,'New Hires Forecast'!$G$5:$G$81,"&lt;="&amp;BI!AX3)/12))))))),0)</f>
        <v>0</v>
      </c>
      <c r="AY13" s="684">
        <f>IF(AY$4="forecast",IF(YEAR(AY$3)=YEAR('New Hires Forecast'!$N$3),((SUMIFS('New Hires Forecast'!$N$5:$N$81,'New Hires Forecast'!$F$5:$F$81,"Dev Ops",'New Hires Forecast'!$H$5:$H$81,"&gt;="&amp;BI!AY3,'New Hires Forecast'!$G$5:$G$81,"&lt;="&amp;BI!AY3)/12)),IF(YEAR(AY$3)=YEAR('New Hires Forecast'!$O$3),((SUMIFS('New Hires Forecast'!$O$5:$O$81,'New Hires Forecast'!$F$5:$F$81,"Dev Ops",'New Hires Forecast'!$H$5:$H$81,"&gt;="&amp;BI!AY3,'New Hires Forecast'!$G$5:$G$81,"&lt;="&amp;BI!AY3)/12)),IF(YEAR(AY$3)=YEAR('New Hires Forecast'!$P$3),((SUMIFS('New Hires Forecast'!$P$5:$P$81,'New Hires Forecast'!$F$5:$F$81,"Dev Ops",'New Hires Forecast'!$H$5:$H$81,"&gt;="&amp;BI!AY3,'New Hires Forecast'!$G$5:$G$81,"&lt;="&amp;BI!AY3)/12)),IF(YEAR(AY$3)=YEAR('New Hires Forecast'!$Q$3),((SUMIFS('New Hires Forecast'!$Q$5:$Q$81,'New Hires Forecast'!$F$5:$F$81,"Dev Ops",'New Hires Forecast'!$H$5:$H$81,"&gt;="&amp;BI!AY3,'New Hires Forecast'!$G$5:$G$81,"&lt;="&amp;BI!AY3)/12)),IF(YEAR(AY$3)=YEAR('New Hires Forecast'!$R$3),((SUMIFS('New Hires Forecast'!$R$5:$R$81,'New Hires Forecast'!$F$5:$F$81,"Dev Ops",'New Hires Forecast'!$H$5:$H$81,"&gt;="&amp;BI!AY3,'New Hires Forecast'!$G$5:$G$81,"&lt;="&amp;BI!AY3)/12))))))),0)</f>
        <v>0</v>
      </c>
      <c r="AZ13" s="684">
        <f>IF(AZ$4="forecast",IF(YEAR(AZ$3)=YEAR('New Hires Forecast'!$N$3),((SUMIFS('New Hires Forecast'!$N$5:$N$81,'New Hires Forecast'!$F$5:$F$81,"Dev Ops",'New Hires Forecast'!$H$5:$H$81,"&gt;="&amp;BI!AZ3,'New Hires Forecast'!$G$5:$G$81,"&lt;="&amp;BI!AZ3)/12)),IF(YEAR(AZ$3)=YEAR('New Hires Forecast'!$O$3),((SUMIFS('New Hires Forecast'!$O$5:$O$81,'New Hires Forecast'!$F$5:$F$81,"Dev Ops",'New Hires Forecast'!$H$5:$H$81,"&gt;="&amp;BI!AZ3,'New Hires Forecast'!$G$5:$G$81,"&lt;="&amp;BI!AZ3)/12)),IF(YEAR(AZ$3)=YEAR('New Hires Forecast'!$P$3),((SUMIFS('New Hires Forecast'!$P$5:$P$81,'New Hires Forecast'!$F$5:$F$81,"Dev Ops",'New Hires Forecast'!$H$5:$H$81,"&gt;="&amp;BI!AZ3,'New Hires Forecast'!$G$5:$G$81,"&lt;="&amp;BI!AZ3)/12)),IF(YEAR(AZ$3)=YEAR('New Hires Forecast'!$Q$3),((SUMIFS('New Hires Forecast'!$Q$5:$Q$81,'New Hires Forecast'!$F$5:$F$81,"Dev Ops",'New Hires Forecast'!$H$5:$H$81,"&gt;="&amp;BI!AZ3,'New Hires Forecast'!$G$5:$G$81,"&lt;="&amp;BI!AZ3)/12)),IF(YEAR(AZ$3)=YEAR('New Hires Forecast'!$R$3),((SUMIFS('New Hires Forecast'!$R$5:$R$81,'New Hires Forecast'!$F$5:$F$81,"Dev Ops",'New Hires Forecast'!$H$5:$H$81,"&gt;="&amp;BI!AZ3,'New Hires Forecast'!$G$5:$G$81,"&lt;="&amp;BI!AZ3)/12))))))),0)</f>
        <v>0</v>
      </c>
      <c r="BA13" s="684">
        <f>IF(BA$4="forecast",IF(YEAR(BA$3)=YEAR('New Hires Forecast'!$N$3),((SUMIFS('New Hires Forecast'!$N$5:$N$81,'New Hires Forecast'!$F$5:$F$81,"Dev Ops",'New Hires Forecast'!$H$5:$H$81,"&gt;="&amp;BI!BA3,'New Hires Forecast'!$G$5:$G$81,"&lt;="&amp;BI!BA3)/12)),IF(YEAR(BA$3)=YEAR('New Hires Forecast'!$O$3),((SUMIFS('New Hires Forecast'!$O$5:$O$81,'New Hires Forecast'!$F$5:$F$81,"Dev Ops",'New Hires Forecast'!$H$5:$H$81,"&gt;="&amp;BI!BA3,'New Hires Forecast'!$G$5:$G$81,"&lt;="&amp;BI!BA3)/12)),IF(YEAR(BA$3)=YEAR('New Hires Forecast'!$P$3),((SUMIFS('New Hires Forecast'!$P$5:$P$81,'New Hires Forecast'!$F$5:$F$81,"Dev Ops",'New Hires Forecast'!$H$5:$H$81,"&gt;="&amp;BI!BA3,'New Hires Forecast'!$G$5:$G$81,"&lt;="&amp;BI!BA3)/12)),IF(YEAR(BA$3)=YEAR('New Hires Forecast'!$Q$3),((SUMIFS('New Hires Forecast'!$Q$5:$Q$81,'New Hires Forecast'!$F$5:$F$81,"Dev Ops",'New Hires Forecast'!$H$5:$H$81,"&gt;="&amp;BI!BA3,'New Hires Forecast'!$G$5:$G$81,"&lt;="&amp;BI!BA3)/12)),IF(YEAR(BA$3)=YEAR('New Hires Forecast'!$R$3),((SUMIFS('New Hires Forecast'!$R$5:$R$81,'New Hires Forecast'!$F$5:$F$81,"Dev Ops",'New Hires Forecast'!$H$5:$H$81,"&gt;="&amp;BI!BA3,'New Hires Forecast'!$G$5:$G$81,"&lt;="&amp;BI!BA3)/12))))))),0)</f>
        <v>0</v>
      </c>
      <c r="BB13" s="684">
        <f>IF(BB$4="forecast",IF(YEAR(BB$3)=YEAR('New Hires Forecast'!$N$3),((SUMIFS('New Hires Forecast'!$N$5:$N$81,'New Hires Forecast'!$F$5:$F$81,"Dev Ops",'New Hires Forecast'!$H$5:$H$81,"&gt;="&amp;BI!BB3,'New Hires Forecast'!$G$5:$G$81,"&lt;="&amp;BI!BB3)/12)),IF(YEAR(BB$3)=YEAR('New Hires Forecast'!$O$3),((SUMIFS('New Hires Forecast'!$O$5:$O$81,'New Hires Forecast'!$F$5:$F$81,"Dev Ops",'New Hires Forecast'!$H$5:$H$81,"&gt;="&amp;BI!BB3,'New Hires Forecast'!$G$5:$G$81,"&lt;="&amp;BI!BB3)/12)),IF(YEAR(BB$3)=YEAR('New Hires Forecast'!$P$3),((SUMIFS('New Hires Forecast'!$P$5:$P$81,'New Hires Forecast'!$F$5:$F$81,"Dev Ops",'New Hires Forecast'!$H$5:$H$81,"&gt;="&amp;BI!BB3,'New Hires Forecast'!$G$5:$G$81,"&lt;="&amp;BI!BB3)/12)),IF(YEAR(BB$3)=YEAR('New Hires Forecast'!$Q$3),((SUMIFS('New Hires Forecast'!$Q$5:$Q$81,'New Hires Forecast'!$F$5:$F$81,"Dev Ops",'New Hires Forecast'!$H$5:$H$81,"&gt;="&amp;BI!BB3,'New Hires Forecast'!$G$5:$G$81,"&lt;="&amp;BI!BB3)/12)),IF(YEAR(BB$3)=YEAR('New Hires Forecast'!$R$3),((SUMIFS('New Hires Forecast'!$R$5:$R$81,'New Hires Forecast'!$F$5:$F$81,"Dev Ops",'New Hires Forecast'!$H$5:$H$81,"&gt;="&amp;BI!BB3,'New Hires Forecast'!$G$5:$G$81,"&lt;="&amp;BI!BB3)/12))))))),0)</f>
        <v>0</v>
      </c>
      <c r="BC13" s="684">
        <f>IF(BC$4="forecast",IF(YEAR(BC$3)=YEAR('New Hires Forecast'!$N$3),((SUMIFS('New Hires Forecast'!$N$5:$N$81,'New Hires Forecast'!$F$5:$F$81,"Dev Ops",'New Hires Forecast'!$H$5:$H$81,"&gt;="&amp;BI!BC3,'New Hires Forecast'!$G$5:$G$81,"&lt;="&amp;BI!BC3)/12)),IF(YEAR(BC$3)=YEAR('New Hires Forecast'!$O$3),((SUMIFS('New Hires Forecast'!$O$5:$O$81,'New Hires Forecast'!$F$5:$F$81,"Dev Ops",'New Hires Forecast'!$H$5:$H$81,"&gt;="&amp;BI!BC3,'New Hires Forecast'!$G$5:$G$81,"&lt;="&amp;BI!BC3)/12)),IF(YEAR(BC$3)=YEAR('New Hires Forecast'!$P$3),((SUMIFS('New Hires Forecast'!$P$5:$P$81,'New Hires Forecast'!$F$5:$F$81,"Dev Ops",'New Hires Forecast'!$H$5:$H$81,"&gt;="&amp;BI!BC3,'New Hires Forecast'!$G$5:$G$81,"&lt;="&amp;BI!BC3)/12)),IF(YEAR(BC$3)=YEAR('New Hires Forecast'!$Q$3),((SUMIFS('New Hires Forecast'!$Q$5:$Q$81,'New Hires Forecast'!$F$5:$F$81,"Dev Ops",'New Hires Forecast'!$H$5:$H$81,"&gt;="&amp;BI!BC3,'New Hires Forecast'!$G$5:$G$81,"&lt;="&amp;BI!BC3)/12)),IF(YEAR(BC$3)=YEAR('New Hires Forecast'!$R$3),((SUMIFS('New Hires Forecast'!$R$5:$R$81,'New Hires Forecast'!$F$5:$F$81,"Dev Ops",'New Hires Forecast'!$H$5:$H$81,"&gt;="&amp;BI!BC3,'New Hires Forecast'!$G$5:$G$81,"&lt;="&amp;BI!BC3)/12))))))),0)</f>
        <v>0</v>
      </c>
      <c r="BD13" s="684">
        <f>IF(BD$4="forecast",IF(YEAR(BD$3)=YEAR('New Hires Forecast'!$N$3),((SUMIFS('New Hires Forecast'!$N$5:$N$81,'New Hires Forecast'!$F$5:$F$81,"Dev Ops",'New Hires Forecast'!$H$5:$H$81,"&gt;="&amp;BI!BD3,'New Hires Forecast'!$G$5:$G$81,"&lt;="&amp;BI!BD3)/12)),IF(YEAR(BD$3)=YEAR('New Hires Forecast'!$O$3),((SUMIFS('New Hires Forecast'!$O$5:$O$81,'New Hires Forecast'!$F$5:$F$81,"Dev Ops",'New Hires Forecast'!$H$5:$H$81,"&gt;="&amp;BI!BD3,'New Hires Forecast'!$G$5:$G$81,"&lt;="&amp;BI!BD3)/12)),IF(YEAR(BD$3)=YEAR('New Hires Forecast'!$P$3),((SUMIFS('New Hires Forecast'!$P$5:$P$81,'New Hires Forecast'!$F$5:$F$81,"Dev Ops",'New Hires Forecast'!$H$5:$H$81,"&gt;="&amp;BI!BD3,'New Hires Forecast'!$G$5:$G$81,"&lt;="&amp;BI!BD3)/12)),IF(YEAR(BD$3)=YEAR('New Hires Forecast'!$Q$3),((SUMIFS('New Hires Forecast'!$Q$5:$Q$81,'New Hires Forecast'!$F$5:$F$81,"Dev Ops",'New Hires Forecast'!$H$5:$H$81,"&gt;="&amp;BI!BD3,'New Hires Forecast'!$G$5:$G$81,"&lt;="&amp;BI!BD3)/12)),IF(YEAR(BD$3)=YEAR('New Hires Forecast'!$R$3),((SUMIFS('New Hires Forecast'!$R$5:$R$81,'New Hires Forecast'!$F$5:$F$81,"Dev Ops",'New Hires Forecast'!$H$5:$H$81,"&gt;="&amp;BI!BD3,'New Hires Forecast'!$G$5:$G$81,"&lt;="&amp;BI!BD3)/12))))))),0)</f>
        <v>0</v>
      </c>
      <c r="BE13" s="684">
        <f>IF(BE$4="forecast",IF(YEAR(BE$3)=YEAR('New Hires Forecast'!$N$3),((SUMIFS('New Hires Forecast'!$N$5:$N$81,'New Hires Forecast'!$F$5:$F$81,"Dev Ops",'New Hires Forecast'!$H$5:$H$81,"&gt;="&amp;BI!BE3,'New Hires Forecast'!$G$5:$G$81,"&lt;="&amp;BI!BE3)/12)),IF(YEAR(BE$3)=YEAR('New Hires Forecast'!$O$3),((SUMIFS('New Hires Forecast'!$O$5:$O$81,'New Hires Forecast'!$F$5:$F$81,"Dev Ops",'New Hires Forecast'!$H$5:$H$81,"&gt;="&amp;BI!BE3,'New Hires Forecast'!$G$5:$G$81,"&lt;="&amp;BI!BE3)/12)),IF(YEAR(BE$3)=YEAR('New Hires Forecast'!$P$3),((SUMIFS('New Hires Forecast'!$P$5:$P$81,'New Hires Forecast'!$F$5:$F$81,"Dev Ops",'New Hires Forecast'!$H$5:$H$81,"&gt;="&amp;BI!BE3,'New Hires Forecast'!$G$5:$G$81,"&lt;="&amp;BI!BE3)/12)),IF(YEAR(BE$3)=YEAR('New Hires Forecast'!$Q$3),((SUMIFS('New Hires Forecast'!$Q$5:$Q$81,'New Hires Forecast'!$F$5:$F$81,"Dev Ops",'New Hires Forecast'!$H$5:$H$81,"&gt;="&amp;BI!BE3,'New Hires Forecast'!$G$5:$G$81,"&lt;="&amp;BI!BE3)/12)),IF(YEAR(BE$3)=YEAR('New Hires Forecast'!$R$3),((SUMIFS('New Hires Forecast'!$R$5:$R$81,'New Hires Forecast'!$F$5:$F$81,"Dev Ops",'New Hires Forecast'!$H$5:$H$81,"&gt;="&amp;BI!BE3,'New Hires Forecast'!$G$5:$G$81,"&lt;="&amp;BI!BE3)/12))))))),0)</f>
        <v>0</v>
      </c>
      <c r="BF13" s="684">
        <f>IF(BF$4="forecast",IF(YEAR(BF$3)=YEAR('New Hires Forecast'!$N$3),((SUMIFS('New Hires Forecast'!$N$5:$N$81,'New Hires Forecast'!$F$5:$F$81,"Dev Ops",'New Hires Forecast'!$H$5:$H$81,"&gt;="&amp;BI!BF3,'New Hires Forecast'!$G$5:$G$81,"&lt;="&amp;BI!BF3)/12)),IF(YEAR(BF$3)=YEAR('New Hires Forecast'!$O$3),((SUMIFS('New Hires Forecast'!$O$5:$O$81,'New Hires Forecast'!$F$5:$F$81,"Dev Ops",'New Hires Forecast'!$H$5:$H$81,"&gt;="&amp;BI!BF3,'New Hires Forecast'!$G$5:$G$81,"&lt;="&amp;BI!BF3)/12)),IF(YEAR(BF$3)=YEAR('New Hires Forecast'!$P$3),((SUMIFS('New Hires Forecast'!$P$5:$P$81,'New Hires Forecast'!$F$5:$F$81,"Dev Ops",'New Hires Forecast'!$H$5:$H$81,"&gt;="&amp;BI!BF3,'New Hires Forecast'!$G$5:$G$81,"&lt;="&amp;BI!BF3)/12)),IF(YEAR(BF$3)=YEAR('New Hires Forecast'!$Q$3),((SUMIFS('New Hires Forecast'!$Q$5:$Q$81,'New Hires Forecast'!$F$5:$F$81,"Dev Ops",'New Hires Forecast'!$H$5:$H$81,"&gt;="&amp;BI!BF3,'New Hires Forecast'!$G$5:$G$81,"&lt;="&amp;BI!BF3)/12)),IF(YEAR(BF$3)=YEAR('New Hires Forecast'!$R$3),((SUMIFS('New Hires Forecast'!$R$5:$R$81,'New Hires Forecast'!$F$5:$F$81,"Dev Ops",'New Hires Forecast'!$H$5:$H$81,"&gt;="&amp;BI!BF3,'New Hires Forecast'!$G$5:$G$81,"&lt;="&amp;BI!BF3)/12))))))),0)</f>
        <v>0</v>
      </c>
      <c r="BG13" s="684">
        <f>IF(BG$4="forecast",IF(YEAR(BG$3)=YEAR('New Hires Forecast'!$N$3),((SUMIFS('New Hires Forecast'!$N$5:$N$81,'New Hires Forecast'!$F$5:$F$81,"Dev Ops",'New Hires Forecast'!$H$5:$H$81,"&gt;="&amp;BI!BG3,'New Hires Forecast'!$G$5:$G$81,"&lt;="&amp;BI!BG3)/12)),IF(YEAR(BG$3)=YEAR('New Hires Forecast'!$O$3),((SUMIFS('New Hires Forecast'!$O$5:$O$81,'New Hires Forecast'!$F$5:$F$81,"Dev Ops",'New Hires Forecast'!$H$5:$H$81,"&gt;="&amp;BI!BG3,'New Hires Forecast'!$G$5:$G$81,"&lt;="&amp;BI!BG3)/12)),IF(YEAR(BG$3)=YEAR('New Hires Forecast'!$P$3),((SUMIFS('New Hires Forecast'!$P$5:$P$81,'New Hires Forecast'!$F$5:$F$81,"Dev Ops",'New Hires Forecast'!$H$5:$H$81,"&gt;="&amp;BI!BG3,'New Hires Forecast'!$G$5:$G$81,"&lt;="&amp;BI!BG3)/12)),IF(YEAR(BG$3)=YEAR('New Hires Forecast'!$Q$3),((SUMIFS('New Hires Forecast'!$Q$5:$Q$81,'New Hires Forecast'!$F$5:$F$81,"Dev Ops",'New Hires Forecast'!$H$5:$H$81,"&gt;="&amp;BI!BG3,'New Hires Forecast'!$G$5:$G$81,"&lt;="&amp;BI!BG3)/12)),IF(YEAR(BG$3)=YEAR('New Hires Forecast'!$R$3),((SUMIFS('New Hires Forecast'!$R$5:$R$81,'New Hires Forecast'!$F$5:$F$81,"Dev Ops",'New Hires Forecast'!$H$5:$H$81,"&gt;="&amp;BI!BG3,'New Hires Forecast'!$G$5:$G$81,"&lt;="&amp;BI!BG3)/12))))))),0)</f>
        <v>0</v>
      </c>
      <c r="BH13" s="684">
        <f>IF(BH$4="forecast",IF(YEAR(BH$3)=YEAR('New Hires Forecast'!$N$3),((SUMIFS('New Hires Forecast'!$N$5:$N$81,'New Hires Forecast'!$F$5:$F$81,"Dev Ops",'New Hires Forecast'!$H$5:$H$81,"&gt;="&amp;BI!BH3,'New Hires Forecast'!$G$5:$G$81,"&lt;="&amp;BI!BH3)/12)),IF(YEAR(BH$3)=YEAR('New Hires Forecast'!$O$3),((SUMIFS('New Hires Forecast'!$O$5:$O$81,'New Hires Forecast'!$F$5:$F$81,"Dev Ops",'New Hires Forecast'!$H$5:$H$81,"&gt;="&amp;BI!BH3,'New Hires Forecast'!$G$5:$G$81,"&lt;="&amp;BI!BH3)/12)),IF(YEAR(BH$3)=YEAR('New Hires Forecast'!$P$3),((SUMIFS('New Hires Forecast'!$P$5:$P$81,'New Hires Forecast'!$F$5:$F$81,"Dev Ops",'New Hires Forecast'!$H$5:$H$81,"&gt;="&amp;BI!BH3,'New Hires Forecast'!$G$5:$G$81,"&lt;="&amp;BI!BH3)/12)),IF(YEAR(BH$3)=YEAR('New Hires Forecast'!$Q$3),((SUMIFS('New Hires Forecast'!$Q$5:$Q$81,'New Hires Forecast'!$F$5:$F$81,"Dev Ops",'New Hires Forecast'!$H$5:$H$81,"&gt;="&amp;BI!BH3,'New Hires Forecast'!$G$5:$G$81,"&lt;="&amp;BI!BH3)/12)),IF(YEAR(BH$3)=YEAR('New Hires Forecast'!$R$3),((SUMIFS('New Hires Forecast'!$R$5:$R$81,'New Hires Forecast'!$F$5:$F$81,"Dev Ops",'New Hires Forecast'!$H$5:$H$81,"&gt;="&amp;BI!BH3,'New Hires Forecast'!$G$5:$G$81,"&lt;="&amp;BI!BH3)/12))))))),0)</f>
        <v>0</v>
      </c>
      <c r="BI13" s="684">
        <f>IF(BI$4="forecast",IF(YEAR(BI$3)=YEAR('New Hires Forecast'!$N$3),((SUMIFS('New Hires Forecast'!$N$5:$N$81,'New Hires Forecast'!$F$5:$F$81,"Dev Ops",'New Hires Forecast'!$H$5:$H$81,"&gt;="&amp;BI!BI3,'New Hires Forecast'!$G$5:$G$81,"&lt;="&amp;BI!BI3)/12)),IF(YEAR(BI$3)=YEAR('New Hires Forecast'!$O$3),((SUMIFS('New Hires Forecast'!$O$5:$O$81,'New Hires Forecast'!$F$5:$F$81,"Dev Ops",'New Hires Forecast'!$H$5:$H$81,"&gt;="&amp;BI!BI3,'New Hires Forecast'!$G$5:$G$81,"&lt;="&amp;BI!BI3)/12)),IF(YEAR(BI$3)=YEAR('New Hires Forecast'!$P$3),((SUMIFS('New Hires Forecast'!$P$5:$P$81,'New Hires Forecast'!$F$5:$F$81,"Dev Ops",'New Hires Forecast'!$H$5:$H$81,"&gt;="&amp;BI!BI3,'New Hires Forecast'!$G$5:$G$81,"&lt;="&amp;BI!BI3)/12)),IF(YEAR(BI$3)=YEAR('New Hires Forecast'!$Q$3),((SUMIFS('New Hires Forecast'!$Q$5:$Q$81,'New Hires Forecast'!$F$5:$F$81,"Dev Ops",'New Hires Forecast'!$H$5:$H$81,"&gt;="&amp;BI!BI3,'New Hires Forecast'!$G$5:$G$81,"&lt;="&amp;BI!BI3)/12)),IF(YEAR(BI$3)=YEAR('New Hires Forecast'!$R$3),((SUMIFS('New Hires Forecast'!$R$5:$R$81,'New Hires Forecast'!$F$5:$F$81,"Dev Ops",'New Hires Forecast'!$H$5:$H$81,"&gt;="&amp;BI!BI3,'New Hires Forecast'!$G$5:$G$81,"&lt;="&amp;BI!BI3)/12))))))),0)</f>
        <v>0</v>
      </c>
      <c r="BJ13" s="684">
        <f>IF(BJ$4="forecast",IF(YEAR(BJ$3)=YEAR('New Hires Forecast'!$N$3),((SUMIFS('New Hires Forecast'!$N$5:$N$81,'New Hires Forecast'!$F$5:$F$81,"Dev Ops",'New Hires Forecast'!$H$5:$H$81,"&gt;="&amp;BI!BJ3,'New Hires Forecast'!$G$5:$G$81,"&lt;="&amp;BI!BJ3)/12)),IF(YEAR(BJ$3)=YEAR('New Hires Forecast'!$O$3),((SUMIFS('New Hires Forecast'!$O$5:$O$81,'New Hires Forecast'!$F$5:$F$81,"Dev Ops",'New Hires Forecast'!$H$5:$H$81,"&gt;="&amp;BI!BJ3,'New Hires Forecast'!$G$5:$G$81,"&lt;="&amp;BI!BJ3)/12)),IF(YEAR(BJ$3)=YEAR('New Hires Forecast'!$P$3),((SUMIFS('New Hires Forecast'!$P$5:$P$81,'New Hires Forecast'!$F$5:$F$81,"Dev Ops",'New Hires Forecast'!$H$5:$H$81,"&gt;="&amp;BI!BJ3,'New Hires Forecast'!$G$5:$G$81,"&lt;="&amp;BI!BJ3)/12)),IF(YEAR(BJ$3)=YEAR('New Hires Forecast'!$Q$3),((SUMIFS('New Hires Forecast'!$Q$5:$Q$81,'New Hires Forecast'!$F$5:$F$81,"Dev Ops",'New Hires Forecast'!$H$5:$H$81,"&gt;="&amp;BI!BJ3,'New Hires Forecast'!$G$5:$G$81,"&lt;="&amp;BI!BJ3)/12)),IF(YEAR(BJ$3)=YEAR('New Hires Forecast'!$R$3),((SUMIFS('New Hires Forecast'!$R$5:$R$81,'New Hires Forecast'!$F$5:$F$81,"Dev Ops",'New Hires Forecast'!$H$5:$H$81,"&gt;="&amp;BI!BJ3,'New Hires Forecast'!$G$5:$G$81,"&lt;="&amp;BI!BJ3)/12))))))),0)</f>
        <v>0</v>
      </c>
      <c r="BK13" s="684">
        <f>IF(BK$4="forecast",IF(YEAR(BK$3)=YEAR('New Hires Forecast'!$N$3),((SUMIFS('New Hires Forecast'!$N$5:$N$81,'New Hires Forecast'!$F$5:$F$81,"Dev Ops",'New Hires Forecast'!$H$5:$H$81,"&gt;="&amp;BI!BK3,'New Hires Forecast'!$G$5:$G$81,"&lt;="&amp;BI!BK3)/12)),IF(YEAR(BK$3)=YEAR('New Hires Forecast'!$O$3),((SUMIFS('New Hires Forecast'!$O$5:$O$81,'New Hires Forecast'!$F$5:$F$81,"Dev Ops",'New Hires Forecast'!$H$5:$H$81,"&gt;="&amp;BI!BK3,'New Hires Forecast'!$G$5:$G$81,"&lt;="&amp;BI!BK3)/12)),IF(YEAR(BK$3)=YEAR('New Hires Forecast'!$P$3),((SUMIFS('New Hires Forecast'!$P$5:$P$81,'New Hires Forecast'!$F$5:$F$81,"Dev Ops",'New Hires Forecast'!$H$5:$H$81,"&gt;="&amp;BI!BK3,'New Hires Forecast'!$G$5:$G$81,"&lt;="&amp;BI!BK3)/12)),IF(YEAR(BK$3)=YEAR('New Hires Forecast'!$Q$3),((SUMIFS('New Hires Forecast'!$Q$5:$Q$81,'New Hires Forecast'!$F$5:$F$81,"Dev Ops",'New Hires Forecast'!$H$5:$H$81,"&gt;="&amp;BI!BK3,'New Hires Forecast'!$G$5:$G$81,"&lt;="&amp;BI!BK3)/12)),IF(YEAR(BK$3)=YEAR('New Hires Forecast'!$R$3),((SUMIFS('New Hires Forecast'!$R$5:$R$81,'New Hires Forecast'!$F$5:$F$81,"Dev Ops",'New Hires Forecast'!$H$5:$H$81,"&gt;="&amp;BI!BK3,'New Hires Forecast'!$G$5:$G$81,"&lt;="&amp;BI!BK3)/12))))))),0)</f>
        <v>0</v>
      </c>
      <c r="BL13" s="684">
        <f>IF(BL$4="forecast",IF(YEAR(BL$3)=YEAR('New Hires Forecast'!$N$3),((SUMIFS('New Hires Forecast'!$N$5:$N$81,'New Hires Forecast'!$F$5:$F$81,"Dev Ops",'New Hires Forecast'!$H$5:$H$81,"&gt;="&amp;BI!BL3,'New Hires Forecast'!$G$5:$G$81,"&lt;="&amp;BI!BL3)/12)),IF(YEAR(BL$3)=YEAR('New Hires Forecast'!$O$3),((SUMIFS('New Hires Forecast'!$O$5:$O$81,'New Hires Forecast'!$F$5:$F$81,"Dev Ops",'New Hires Forecast'!$H$5:$H$81,"&gt;="&amp;BI!BL3,'New Hires Forecast'!$G$5:$G$81,"&lt;="&amp;BI!BL3)/12)),IF(YEAR(BL$3)=YEAR('New Hires Forecast'!$P$3),((SUMIFS('New Hires Forecast'!$P$5:$P$81,'New Hires Forecast'!$F$5:$F$81,"Dev Ops",'New Hires Forecast'!$H$5:$H$81,"&gt;="&amp;BI!BL3,'New Hires Forecast'!$G$5:$G$81,"&lt;="&amp;BI!BL3)/12)),IF(YEAR(BL$3)=YEAR('New Hires Forecast'!$Q$3),((SUMIFS('New Hires Forecast'!$Q$5:$Q$81,'New Hires Forecast'!$F$5:$F$81,"Dev Ops",'New Hires Forecast'!$H$5:$H$81,"&gt;="&amp;BI!BL3,'New Hires Forecast'!$G$5:$G$81,"&lt;="&amp;BI!BL3)/12)),IF(YEAR(BL$3)=YEAR('New Hires Forecast'!$R$3),((SUMIFS('New Hires Forecast'!$R$5:$R$81,'New Hires Forecast'!$F$5:$F$81,"Dev Ops",'New Hires Forecast'!$H$5:$H$81,"&gt;="&amp;BI!BL3,'New Hires Forecast'!$G$5:$G$81,"&lt;="&amp;BI!BL3)/12))))))),0)</f>
        <v>0</v>
      </c>
      <c r="BM13" s="684">
        <f>IF(BM$4="forecast",IF(YEAR(BM$3)=YEAR('New Hires Forecast'!$N$3),((SUMIFS('New Hires Forecast'!$N$5:$N$81,'New Hires Forecast'!$F$5:$F$81,"Dev Ops",'New Hires Forecast'!$H$5:$H$81,"&gt;="&amp;BI!BM3,'New Hires Forecast'!$G$5:$G$81,"&lt;="&amp;BI!BM3)/12)),IF(YEAR(BM$3)=YEAR('New Hires Forecast'!$O$3),((SUMIFS('New Hires Forecast'!$O$5:$O$81,'New Hires Forecast'!$F$5:$F$81,"Dev Ops",'New Hires Forecast'!$H$5:$H$81,"&gt;="&amp;BI!BM3,'New Hires Forecast'!$G$5:$G$81,"&lt;="&amp;BI!BM3)/12)),IF(YEAR(BM$3)=YEAR('New Hires Forecast'!$P$3),((SUMIFS('New Hires Forecast'!$P$5:$P$81,'New Hires Forecast'!$F$5:$F$81,"Dev Ops",'New Hires Forecast'!$H$5:$H$81,"&gt;="&amp;BI!BM3,'New Hires Forecast'!$G$5:$G$81,"&lt;="&amp;BI!BM3)/12)),IF(YEAR(BM$3)=YEAR('New Hires Forecast'!$Q$3),((SUMIFS('New Hires Forecast'!$Q$5:$Q$81,'New Hires Forecast'!$F$5:$F$81,"Dev Ops",'New Hires Forecast'!$H$5:$H$81,"&gt;="&amp;BI!BM3,'New Hires Forecast'!$G$5:$G$81,"&lt;="&amp;BI!BM3)/12)),IF(YEAR(BM$3)=YEAR('New Hires Forecast'!$R$3),((SUMIFS('New Hires Forecast'!$R$5:$R$81,'New Hires Forecast'!$F$5:$F$81,"Dev Ops",'New Hires Forecast'!$H$5:$H$81,"&gt;="&amp;BI!BM3,'New Hires Forecast'!$G$5:$G$81,"&lt;="&amp;BI!BM3)/12))))))),0)</f>
        <v>0</v>
      </c>
      <c r="BN13" s="684">
        <f>IF(BN$4="forecast",IF(YEAR(BN$3)=YEAR('New Hires Forecast'!$N$3),((SUMIFS('New Hires Forecast'!$N$5:$N$81,'New Hires Forecast'!$F$5:$F$81,"Dev Ops",'New Hires Forecast'!$H$5:$H$81,"&gt;="&amp;BI!BN3,'New Hires Forecast'!$G$5:$G$81,"&lt;="&amp;BI!BN3)/12)),IF(YEAR(BN$3)=YEAR('New Hires Forecast'!$O$3),((SUMIFS('New Hires Forecast'!$O$5:$O$81,'New Hires Forecast'!$F$5:$F$81,"Dev Ops",'New Hires Forecast'!$H$5:$H$81,"&gt;="&amp;BI!BN3,'New Hires Forecast'!$G$5:$G$81,"&lt;="&amp;BI!BN3)/12)),IF(YEAR(BN$3)=YEAR('New Hires Forecast'!$P$3),((SUMIFS('New Hires Forecast'!$P$5:$P$81,'New Hires Forecast'!$F$5:$F$81,"Dev Ops",'New Hires Forecast'!$H$5:$H$81,"&gt;="&amp;BI!BN3,'New Hires Forecast'!$G$5:$G$81,"&lt;="&amp;BI!BN3)/12)),IF(YEAR(BN$3)=YEAR('New Hires Forecast'!$Q$3),((SUMIFS('New Hires Forecast'!$Q$5:$Q$81,'New Hires Forecast'!$F$5:$F$81,"Dev Ops",'New Hires Forecast'!$H$5:$H$81,"&gt;="&amp;BI!BN3,'New Hires Forecast'!$G$5:$G$81,"&lt;="&amp;BI!BN3)/12)),IF(YEAR(BN$3)=YEAR('New Hires Forecast'!$R$3),((SUMIFS('New Hires Forecast'!$R$5:$R$81,'New Hires Forecast'!$F$5:$F$81,"Dev Ops",'New Hires Forecast'!$H$5:$H$81,"&gt;="&amp;BI!BN3,'New Hires Forecast'!$G$5:$G$81,"&lt;="&amp;BI!BN3)/12))))))),0)</f>
        <v>0</v>
      </c>
      <c r="BO13" s="684">
        <f>IF(BO$4="forecast",IF(YEAR(BO$3)=YEAR('New Hires Forecast'!$N$3),((SUMIFS('New Hires Forecast'!$N$5:$N$81,'New Hires Forecast'!$F$5:$F$81,"Dev Ops",'New Hires Forecast'!$H$5:$H$81,"&gt;="&amp;BI!BO3,'New Hires Forecast'!$G$5:$G$81,"&lt;="&amp;BI!BO3)/12)),IF(YEAR(BO$3)=YEAR('New Hires Forecast'!$O$3),((SUMIFS('New Hires Forecast'!$O$5:$O$81,'New Hires Forecast'!$F$5:$F$81,"Dev Ops",'New Hires Forecast'!$H$5:$H$81,"&gt;="&amp;BI!BO3,'New Hires Forecast'!$G$5:$G$81,"&lt;="&amp;BI!BO3)/12)),IF(YEAR(BO$3)=YEAR('New Hires Forecast'!$P$3),((SUMIFS('New Hires Forecast'!$P$5:$P$81,'New Hires Forecast'!$F$5:$F$81,"Dev Ops",'New Hires Forecast'!$H$5:$H$81,"&gt;="&amp;BI!BO3,'New Hires Forecast'!$G$5:$G$81,"&lt;="&amp;BI!BO3)/12)),IF(YEAR(BO$3)=YEAR('New Hires Forecast'!$Q$3),((SUMIFS('New Hires Forecast'!$Q$5:$Q$81,'New Hires Forecast'!$F$5:$F$81,"Dev Ops",'New Hires Forecast'!$H$5:$H$81,"&gt;="&amp;BI!BO3,'New Hires Forecast'!$G$5:$G$81,"&lt;="&amp;BI!BO3)/12)),IF(YEAR(BO$3)=YEAR('New Hires Forecast'!$R$3),((SUMIFS('New Hires Forecast'!$R$5:$R$81,'New Hires Forecast'!$F$5:$F$81,"Dev Ops",'New Hires Forecast'!$H$5:$H$81,"&gt;="&amp;BI!BO3,'New Hires Forecast'!$G$5:$G$81,"&lt;="&amp;BI!BO3)/12))))))),0)</f>
        <v>0</v>
      </c>
      <c r="BP13" s="684">
        <f>IF(BP$4="forecast",IF(YEAR(BP$3)=YEAR('New Hires Forecast'!$N$3),((SUMIFS('New Hires Forecast'!$N$5:$N$81,'New Hires Forecast'!$F$5:$F$81,"Dev Ops",'New Hires Forecast'!$H$5:$H$81,"&gt;="&amp;BI!BP3,'New Hires Forecast'!$G$5:$G$81,"&lt;="&amp;BI!BP3)/12)),IF(YEAR(BP$3)=YEAR('New Hires Forecast'!$O$3),((SUMIFS('New Hires Forecast'!$O$5:$O$81,'New Hires Forecast'!$F$5:$F$81,"Dev Ops",'New Hires Forecast'!$H$5:$H$81,"&gt;="&amp;BI!BP3,'New Hires Forecast'!$G$5:$G$81,"&lt;="&amp;BI!BP3)/12)),IF(YEAR(BP$3)=YEAR('New Hires Forecast'!$P$3),((SUMIFS('New Hires Forecast'!$P$5:$P$81,'New Hires Forecast'!$F$5:$F$81,"Dev Ops",'New Hires Forecast'!$H$5:$H$81,"&gt;="&amp;BI!BP3,'New Hires Forecast'!$G$5:$G$81,"&lt;="&amp;BI!BP3)/12)),IF(YEAR(BP$3)=YEAR('New Hires Forecast'!$Q$3),((SUMIFS('New Hires Forecast'!$Q$5:$Q$81,'New Hires Forecast'!$F$5:$F$81,"Dev Ops",'New Hires Forecast'!$H$5:$H$81,"&gt;="&amp;BI!BP3,'New Hires Forecast'!$G$5:$G$81,"&lt;="&amp;BI!BP3)/12)),IF(YEAR(BP$3)=YEAR('New Hires Forecast'!$R$3),((SUMIFS('New Hires Forecast'!$R$5:$R$81,'New Hires Forecast'!$F$5:$F$81,"Dev Ops",'New Hires Forecast'!$H$5:$H$81,"&gt;="&amp;BI!BP3,'New Hires Forecast'!$G$5:$G$81,"&lt;="&amp;BI!BP3)/12))))))),0)</f>
        <v>0</v>
      </c>
      <c r="BQ13" s="684">
        <f>IF(BQ$4="forecast",IF(YEAR(BQ$3)=YEAR('New Hires Forecast'!$N$3),((SUMIFS('New Hires Forecast'!$N$5:$N$81,'New Hires Forecast'!$F$5:$F$81,"Dev Ops",'New Hires Forecast'!$H$5:$H$81,"&gt;="&amp;BI!BQ3,'New Hires Forecast'!$G$5:$G$81,"&lt;="&amp;BI!BQ3)/12)),IF(YEAR(BQ$3)=YEAR('New Hires Forecast'!$O$3),((SUMIFS('New Hires Forecast'!$O$5:$O$81,'New Hires Forecast'!$F$5:$F$81,"Dev Ops",'New Hires Forecast'!$H$5:$H$81,"&gt;="&amp;BI!BQ3,'New Hires Forecast'!$G$5:$G$81,"&lt;="&amp;BI!BQ3)/12)),IF(YEAR(BQ$3)=YEAR('New Hires Forecast'!$P$3),((SUMIFS('New Hires Forecast'!$P$5:$P$81,'New Hires Forecast'!$F$5:$F$81,"Dev Ops",'New Hires Forecast'!$H$5:$H$81,"&gt;="&amp;BI!BQ3,'New Hires Forecast'!$G$5:$G$81,"&lt;="&amp;BI!BQ3)/12)),IF(YEAR(BQ$3)=YEAR('New Hires Forecast'!$Q$3),((SUMIFS('New Hires Forecast'!$Q$5:$Q$81,'New Hires Forecast'!$F$5:$F$81,"Dev Ops",'New Hires Forecast'!$H$5:$H$81,"&gt;="&amp;BI!BQ3,'New Hires Forecast'!$G$5:$G$81,"&lt;="&amp;BI!BQ3)/12)),IF(YEAR(BQ$3)=YEAR('New Hires Forecast'!$R$3),((SUMIFS('New Hires Forecast'!$R$5:$R$81,'New Hires Forecast'!$F$5:$F$81,"Dev Ops",'New Hires Forecast'!$H$5:$H$81,"&gt;="&amp;BI!BQ3,'New Hires Forecast'!$G$5:$G$81,"&lt;="&amp;BI!BQ3)/12))))))),0)</f>
        <v>0</v>
      </c>
      <c r="BR13" s="684">
        <f>IF(BR$4="forecast",IF(YEAR(BR$3)=YEAR('New Hires Forecast'!$N$3),((SUMIFS('New Hires Forecast'!$N$5:$N$81,'New Hires Forecast'!$F$5:$F$81,"Dev Ops",'New Hires Forecast'!$H$5:$H$81,"&gt;="&amp;BI!BR3,'New Hires Forecast'!$G$5:$G$81,"&lt;="&amp;BI!BR3)/12)),IF(YEAR(BR$3)=YEAR('New Hires Forecast'!$O$3),((SUMIFS('New Hires Forecast'!$O$5:$O$81,'New Hires Forecast'!$F$5:$F$81,"Dev Ops",'New Hires Forecast'!$H$5:$H$81,"&gt;="&amp;BI!BR3,'New Hires Forecast'!$G$5:$G$81,"&lt;="&amp;BI!BR3)/12)),IF(YEAR(BR$3)=YEAR('New Hires Forecast'!$P$3),((SUMIFS('New Hires Forecast'!$P$5:$P$81,'New Hires Forecast'!$F$5:$F$81,"Dev Ops",'New Hires Forecast'!$H$5:$H$81,"&gt;="&amp;BI!BR3,'New Hires Forecast'!$G$5:$G$81,"&lt;="&amp;BI!BR3)/12)),IF(YEAR(BR$3)=YEAR('New Hires Forecast'!$Q$3),((SUMIFS('New Hires Forecast'!$Q$5:$Q$81,'New Hires Forecast'!$F$5:$F$81,"Dev Ops",'New Hires Forecast'!$H$5:$H$81,"&gt;="&amp;BI!BR3,'New Hires Forecast'!$G$5:$G$81,"&lt;="&amp;BI!BR3)/12)),IF(YEAR(BR$3)=YEAR('New Hires Forecast'!$R$3),((SUMIFS('New Hires Forecast'!$R$5:$R$81,'New Hires Forecast'!$F$5:$F$81,"Dev Ops",'New Hires Forecast'!$H$5:$H$81,"&gt;="&amp;BI!BR3,'New Hires Forecast'!$G$5:$G$81,"&lt;="&amp;BI!BR3)/12))))))),0)</f>
        <v>0</v>
      </c>
      <c r="BS13" s="684">
        <f>IF(BS$4="forecast",IF(YEAR(BS$3)=YEAR('New Hires Forecast'!$N$3),((SUMIFS('New Hires Forecast'!$N$5:$N$81,'New Hires Forecast'!$F$5:$F$81,"Dev Ops",'New Hires Forecast'!$H$5:$H$81,"&gt;="&amp;BI!BS3,'New Hires Forecast'!$G$5:$G$81,"&lt;="&amp;BI!BS3)/12)),IF(YEAR(BS$3)=YEAR('New Hires Forecast'!$O$3),((SUMIFS('New Hires Forecast'!$O$5:$O$81,'New Hires Forecast'!$F$5:$F$81,"Dev Ops",'New Hires Forecast'!$H$5:$H$81,"&gt;="&amp;BI!BS3,'New Hires Forecast'!$G$5:$G$81,"&lt;="&amp;BI!BS3)/12)),IF(YEAR(BS$3)=YEAR('New Hires Forecast'!$P$3),((SUMIFS('New Hires Forecast'!$P$5:$P$81,'New Hires Forecast'!$F$5:$F$81,"Dev Ops",'New Hires Forecast'!$H$5:$H$81,"&gt;="&amp;BI!BS3,'New Hires Forecast'!$G$5:$G$81,"&lt;="&amp;BI!BS3)/12)),IF(YEAR(BS$3)=YEAR('New Hires Forecast'!$Q$3),((SUMIFS('New Hires Forecast'!$Q$5:$Q$81,'New Hires Forecast'!$F$5:$F$81,"Dev Ops",'New Hires Forecast'!$H$5:$H$81,"&gt;="&amp;BI!BS3,'New Hires Forecast'!$G$5:$G$81,"&lt;="&amp;BI!BS3)/12)),IF(YEAR(BS$3)=YEAR('New Hires Forecast'!$R$3),((SUMIFS('New Hires Forecast'!$R$5:$R$81,'New Hires Forecast'!$F$5:$F$81,"Dev Ops",'New Hires Forecast'!$H$5:$H$81,"&gt;="&amp;BI!BS3,'New Hires Forecast'!$G$5:$G$81,"&lt;="&amp;BI!BS3)/12))))))),0)</f>
        <v>0</v>
      </c>
      <c r="BT13" s="684">
        <f>IF(BT$4="forecast",IF(YEAR(BT$3)=YEAR('New Hires Forecast'!$N$3),((SUMIFS('New Hires Forecast'!$N$5:$N$81,'New Hires Forecast'!$F$5:$F$81,"Dev Ops",'New Hires Forecast'!$H$5:$H$81,"&gt;="&amp;BI!BT3,'New Hires Forecast'!$G$5:$G$81,"&lt;="&amp;BI!BT3)/12)),IF(YEAR(BT$3)=YEAR('New Hires Forecast'!$O$3),((SUMIFS('New Hires Forecast'!$O$5:$O$81,'New Hires Forecast'!$F$5:$F$81,"Dev Ops",'New Hires Forecast'!$H$5:$H$81,"&gt;="&amp;BI!BT3,'New Hires Forecast'!$G$5:$G$81,"&lt;="&amp;BI!BT3)/12)),IF(YEAR(BT$3)=YEAR('New Hires Forecast'!$P$3),((SUMIFS('New Hires Forecast'!$P$5:$P$81,'New Hires Forecast'!$F$5:$F$81,"Dev Ops",'New Hires Forecast'!$H$5:$H$81,"&gt;="&amp;BI!BT3,'New Hires Forecast'!$G$5:$G$81,"&lt;="&amp;BI!BT3)/12)),IF(YEAR(BT$3)=YEAR('New Hires Forecast'!$Q$3),((SUMIFS('New Hires Forecast'!$Q$5:$Q$81,'New Hires Forecast'!$F$5:$F$81,"Dev Ops",'New Hires Forecast'!$H$5:$H$81,"&gt;="&amp;BI!BT3,'New Hires Forecast'!$G$5:$G$81,"&lt;="&amp;BI!BT3)/12)),IF(YEAR(BT$3)=YEAR('New Hires Forecast'!$R$3),((SUMIFS('New Hires Forecast'!$R$5:$R$81,'New Hires Forecast'!$F$5:$F$81,"Dev Ops",'New Hires Forecast'!$H$5:$H$81,"&gt;="&amp;BI!BT3,'New Hires Forecast'!$G$5:$G$81,"&lt;="&amp;BI!BT3)/12))))))),0)</f>
        <v>0</v>
      </c>
      <c r="BU13" s="684">
        <f>IF(BU$4="forecast",IF(YEAR(BU$3)=YEAR('New Hires Forecast'!$N$3),((SUMIFS('New Hires Forecast'!$N$5:$N$81,'New Hires Forecast'!$F$5:$F$81,"Dev Ops",'New Hires Forecast'!$H$5:$H$81,"&gt;="&amp;BI!BU3,'New Hires Forecast'!$G$5:$G$81,"&lt;="&amp;BI!BU3)/12)),IF(YEAR(BU$3)=YEAR('New Hires Forecast'!$O$3),((SUMIFS('New Hires Forecast'!$O$5:$O$81,'New Hires Forecast'!$F$5:$F$81,"Dev Ops",'New Hires Forecast'!$H$5:$H$81,"&gt;="&amp;BI!BU3,'New Hires Forecast'!$G$5:$G$81,"&lt;="&amp;BI!BU3)/12)),IF(YEAR(BU$3)=YEAR('New Hires Forecast'!$P$3),((SUMIFS('New Hires Forecast'!$P$5:$P$81,'New Hires Forecast'!$F$5:$F$81,"Dev Ops",'New Hires Forecast'!$H$5:$H$81,"&gt;="&amp;BI!BU3,'New Hires Forecast'!$G$5:$G$81,"&lt;="&amp;BI!BU3)/12)),IF(YEAR(BU$3)=YEAR('New Hires Forecast'!$Q$3),((SUMIFS('New Hires Forecast'!$Q$5:$Q$81,'New Hires Forecast'!$F$5:$F$81,"Dev Ops",'New Hires Forecast'!$H$5:$H$81,"&gt;="&amp;BI!BU3,'New Hires Forecast'!$G$5:$G$81,"&lt;="&amp;BI!BU3)/12)),IF(YEAR(BU$3)=YEAR('New Hires Forecast'!$R$3),((SUMIFS('New Hires Forecast'!$R$5:$R$81,'New Hires Forecast'!$F$5:$F$81,"Dev Ops",'New Hires Forecast'!$H$5:$H$81,"&gt;="&amp;BI!BU3,'New Hires Forecast'!$G$5:$G$81,"&lt;="&amp;BI!BU3)/12))))))),0)</f>
        <v>0</v>
      </c>
      <c r="BV13" s="808">
        <f>IF(BV$4="forecast",IF(YEAR(BV$3)=YEAR('New Hires Forecast'!$N$3),((SUMIFS('New Hires Forecast'!$N$5:$N$81,'New Hires Forecast'!$F$5:$F$81,"Dev Ops",'New Hires Forecast'!$H$5:$H$81,"&gt;="&amp;BI!BV3,'New Hires Forecast'!$G$5:$G$81,"&lt;="&amp;BI!BV3)/12)),IF(YEAR(BV$3)=YEAR('New Hires Forecast'!$O$3),((SUMIFS('New Hires Forecast'!$O$5:$O$81,'New Hires Forecast'!$F$5:$F$81,"Dev Ops",'New Hires Forecast'!$H$5:$H$81,"&gt;="&amp;BI!BV3,'New Hires Forecast'!$G$5:$G$81,"&lt;="&amp;BI!BV3)/12)),IF(YEAR(BV$3)=YEAR('New Hires Forecast'!$P$3),((SUMIFS('New Hires Forecast'!$P$5:$P$81,'New Hires Forecast'!$F$5:$F$81,"Dev Ops",'New Hires Forecast'!$H$5:$H$81,"&gt;="&amp;BI!BV3,'New Hires Forecast'!$G$5:$G$81,"&lt;="&amp;BI!BV3)/12)),IF(YEAR(BV$3)=YEAR('New Hires Forecast'!$Q$3),((SUMIFS('New Hires Forecast'!$Q$5:$Q$81,'New Hires Forecast'!$F$5:$F$81,"Dev Ops",'New Hires Forecast'!$H$5:$H$81,"&gt;="&amp;BI!BV3,'New Hires Forecast'!$G$5:$G$81,"&lt;="&amp;BI!BV3)/12)),IF(YEAR(BV$3)=YEAR('New Hires Forecast'!$R$3),((SUMIFS('New Hires Forecast'!$R$5:$R$81,'New Hires Forecast'!$F$5:$F$81,"Dev Ops",'New Hires Forecast'!$H$5:$H$81,"&gt;="&amp;BI!BV3,'New Hires Forecast'!$G$5:$G$81,"&lt;="&amp;BI!BV3)/12))))))),0)</f>
        <v>0</v>
      </c>
    </row>
    <row r="14" spans="2:74" x14ac:dyDescent="0.35">
      <c r="B14" s="809" t="s">
        <v>936</v>
      </c>
      <c r="C14" s="806">
        <f t="shared" ref="C14" si="2">SUM(C12:C13)</f>
        <v>20759.3</v>
      </c>
      <c r="D14" s="806">
        <f t="shared" ref="D14:BO14" si="3">SUM(D12:D13)</f>
        <v>19938.13</v>
      </c>
      <c r="E14" s="806">
        <f t="shared" si="3"/>
        <v>19708.23</v>
      </c>
      <c r="F14" s="806">
        <f t="shared" si="3"/>
        <v>22006.140000000003</v>
      </c>
      <c r="G14" s="806">
        <f t="shared" si="3"/>
        <v>22054.17</v>
      </c>
      <c r="H14" s="806">
        <f t="shared" si="3"/>
        <v>30928.66</v>
      </c>
      <c r="I14" s="806">
        <f t="shared" si="3"/>
        <v>20619.11</v>
      </c>
      <c r="J14" s="806">
        <f t="shared" si="3"/>
        <v>24748.86</v>
      </c>
      <c r="K14" s="806">
        <f t="shared" si="3"/>
        <v>22151.039999999997</v>
      </c>
      <c r="L14" s="806">
        <f t="shared" si="3"/>
        <v>26570.52</v>
      </c>
      <c r="M14" s="806">
        <f t="shared" si="3"/>
        <v>53436.23</v>
      </c>
      <c r="N14" s="806">
        <f t="shared" si="3"/>
        <v>48197.46</v>
      </c>
      <c r="O14" s="806">
        <f t="shared" si="3"/>
        <v>35863.93</v>
      </c>
      <c r="P14" s="806">
        <f t="shared" si="3"/>
        <v>24892.16</v>
      </c>
      <c r="Q14" s="806">
        <f t="shared" si="3"/>
        <v>45943.78</v>
      </c>
      <c r="R14" s="806">
        <f t="shared" si="3"/>
        <v>30656.809999999998</v>
      </c>
      <c r="S14" s="806">
        <f t="shared" si="3"/>
        <v>61901.440000000002</v>
      </c>
      <c r="T14" s="806">
        <f t="shared" si="3"/>
        <v>69057.39</v>
      </c>
      <c r="U14" s="806">
        <f t="shared" si="3"/>
        <v>49451.8</v>
      </c>
      <c r="V14" s="806">
        <f t="shared" si="3"/>
        <v>55336.91</v>
      </c>
      <c r="W14" s="806">
        <f t="shared" si="3"/>
        <v>52650.82</v>
      </c>
      <c r="X14" s="806">
        <f t="shared" si="3"/>
        <v>56450.319999999992</v>
      </c>
      <c r="Y14" s="806">
        <f t="shared" si="3"/>
        <v>55818.600000000006</v>
      </c>
      <c r="Z14" s="806">
        <f t="shared" si="3"/>
        <v>64812.06</v>
      </c>
      <c r="AA14" s="806">
        <f t="shared" si="3"/>
        <v>64812.06</v>
      </c>
      <c r="AB14" s="806">
        <f t="shared" si="3"/>
        <v>87994.166666666672</v>
      </c>
      <c r="AC14" s="806">
        <f t="shared" si="3"/>
        <v>87994.166666666672</v>
      </c>
      <c r="AD14" s="806">
        <f t="shared" si="3"/>
        <v>87994.166666666672</v>
      </c>
      <c r="AE14" s="806">
        <f t="shared" si="3"/>
        <v>87994.166666666672</v>
      </c>
      <c r="AF14" s="806">
        <f t="shared" si="3"/>
        <v>87994.166666666672</v>
      </c>
      <c r="AG14" s="806">
        <f t="shared" si="3"/>
        <v>87994.166666666672</v>
      </c>
      <c r="AH14" s="806">
        <f t="shared" si="3"/>
        <v>87994.166666666672</v>
      </c>
      <c r="AI14" s="806">
        <f t="shared" si="3"/>
        <v>87994.166666666672</v>
      </c>
      <c r="AJ14" s="806">
        <f t="shared" si="3"/>
        <v>87994.166666666672</v>
      </c>
      <c r="AK14" s="806">
        <f t="shared" si="3"/>
        <v>87994.166666666672</v>
      </c>
      <c r="AL14" s="806">
        <f t="shared" si="3"/>
        <v>87994.166666666672</v>
      </c>
      <c r="AM14" s="806">
        <f t="shared" si="3"/>
        <v>87994.166666666672</v>
      </c>
      <c r="AN14" s="806">
        <f t="shared" si="3"/>
        <v>109100.84166666666</v>
      </c>
      <c r="AO14" s="806">
        <f t="shared" si="3"/>
        <v>109100.84166666666</v>
      </c>
      <c r="AP14" s="806">
        <f t="shared" si="3"/>
        <v>109100.84166666666</v>
      </c>
      <c r="AQ14" s="806">
        <f t="shared" si="3"/>
        <v>109100.84166666666</v>
      </c>
      <c r="AR14" s="806">
        <f t="shared" si="3"/>
        <v>109100.84166666666</v>
      </c>
      <c r="AS14" s="806">
        <f t="shared" si="3"/>
        <v>109100.84166666666</v>
      </c>
      <c r="AT14" s="806">
        <f t="shared" si="3"/>
        <v>109100.84166666666</v>
      </c>
      <c r="AU14" s="806">
        <f t="shared" si="3"/>
        <v>109100.84166666666</v>
      </c>
      <c r="AV14" s="806">
        <f t="shared" si="3"/>
        <v>109100.84166666666</v>
      </c>
      <c r="AW14" s="806">
        <f t="shared" si="3"/>
        <v>109100.84166666666</v>
      </c>
      <c r="AX14" s="806">
        <f t="shared" si="3"/>
        <v>109100.84166666666</v>
      </c>
      <c r="AY14" s="806">
        <f t="shared" si="3"/>
        <v>109100.84166666666</v>
      </c>
      <c r="AZ14" s="806">
        <f t="shared" si="3"/>
        <v>112726.78358333331</v>
      </c>
      <c r="BA14" s="806">
        <f t="shared" si="3"/>
        <v>112726.78358333331</v>
      </c>
      <c r="BB14" s="806">
        <f t="shared" si="3"/>
        <v>112726.78358333331</v>
      </c>
      <c r="BC14" s="806">
        <f t="shared" si="3"/>
        <v>112726.78358333331</v>
      </c>
      <c r="BD14" s="806">
        <f t="shared" si="3"/>
        <v>112726.78358333331</v>
      </c>
      <c r="BE14" s="806">
        <f t="shared" si="3"/>
        <v>112726.78358333331</v>
      </c>
      <c r="BF14" s="806">
        <f t="shared" si="3"/>
        <v>112726.78358333331</v>
      </c>
      <c r="BG14" s="806">
        <f t="shared" si="3"/>
        <v>112726.78358333331</v>
      </c>
      <c r="BH14" s="806">
        <f t="shared" si="3"/>
        <v>112726.78358333331</v>
      </c>
      <c r="BI14" s="806">
        <f t="shared" si="3"/>
        <v>112726.78358333331</v>
      </c>
      <c r="BJ14" s="806">
        <f t="shared" si="3"/>
        <v>112726.78358333331</v>
      </c>
      <c r="BK14" s="806">
        <f t="shared" si="3"/>
        <v>112726.78358333331</v>
      </c>
      <c r="BL14" s="806">
        <f t="shared" si="3"/>
        <v>116496.79542416672</v>
      </c>
      <c r="BM14" s="806">
        <f t="shared" si="3"/>
        <v>116496.79542416672</v>
      </c>
      <c r="BN14" s="806">
        <f t="shared" si="3"/>
        <v>116496.79542416672</v>
      </c>
      <c r="BO14" s="806">
        <f t="shared" si="3"/>
        <v>116496.79542416672</v>
      </c>
      <c r="BP14" s="806">
        <f t="shared" ref="BP14:BV14" si="4">SUM(BP12:BP13)</f>
        <v>116496.79542416672</v>
      </c>
      <c r="BQ14" s="806">
        <f t="shared" si="4"/>
        <v>116496.79542416672</v>
      </c>
      <c r="BR14" s="806">
        <f t="shared" si="4"/>
        <v>116496.79542416672</v>
      </c>
      <c r="BS14" s="806">
        <f t="shared" si="4"/>
        <v>116496.79542416672</v>
      </c>
      <c r="BT14" s="806">
        <f t="shared" si="4"/>
        <v>116496.79542416672</v>
      </c>
      <c r="BU14" s="806">
        <f t="shared" si="4"/>
        <v>116496.79542416672</v>
      </c>
      <c r="BV14" s="807">
        <f t="shared" si="4"/>
        <v>116496.79542416672</v>
      </c>
    </row>
    <row r="15" spans="2:74" x14ac:dyDescent="0.35">
      <c r="B15" s="797" t="s">
        <v>938</v>
      </c>
      <c r="C15" s="684">
        <f>IF(C$4="forecast",IF(YEAR(C$3)=YEAR('New Hires Forecast'!$N$3),IF((C$5=12),(SUMPRODUCT(--('New Hires Forecast'!$F$5:$F$84="Development Operations"),--('New Hires Forecast'!$H$5:$H$84&gt;=BI!C$3),'New Hires Forecast'!$N$5:$N$84,'New Hires Forecast'!$L$5:$L$84)),0),IF(YEAR(C$3)=YEAR('New Hires Forecast'!$O$3),IF((C$5=12),(SUMPRODUCT(--('New Hires Forecast'!$F$5:$F$84="Development Operations"),--('New Hires Forecast'!$H$5:$H$84&gt;=BI!C$3),'New Hires Forecast'!$O$5:$O$84,'New Hires Forecast'!$L$5:$L$84)),0),IF(YEAR(C$3)=YEAR('New Hires Forecast'!$P$3),IF((C$5=12),(SUMPRODUCT(--('New Hires Forecast'!$F$5:$F$84="Development Operations"),--('New Hires Forecast'!$H$5:$H$84&gt;=BI!C$3),'New Hires Forecast'!$P$5:$P$84,'New Hires Forecast'!$L$5:$L$84)),0),IF(YEAR(C$3)=YEAR('New Hires Forecast'!$Q$3),IF((C$5=12),(SUMPRODUCT(--('New Hires Forecast'!$F$5:$F$84="Development Operations"),--('New Hires Forecast'!$H$5:$H$84&gt;=BI!C$3),'New Hires Forecast'!$Q$5:$Q$84,'New Hires Forecast'!$L$5:$L$84)),0),IF(YEAR(C$3)=YEAR('New Hires Forecast'!$R$3),IF((C$5=12),(SUMPRODUCT(--('New Hires Forecast'!$F$5:$F$84="Development Operations"),--('New Hires Forecast'!$H$5:$H$84&gt;=BI!C$3),'New Hires Forecast'!$R$5:$R$84,'New Hires Forecast'!$L$5:$L$84)),0),"New Year"))))),0)</f>
        <v>0</v>
      </c>
      <c r="D15" s="684">
        <f>IF(D$4="forecast",IF(YEAR(D$3)=YEAR('New Hires Forecast'!$N$3),IF((D$5=12),(SUMPRODUCT(--('New Hires Forecast'!$F$5:$F$84="Development Operations"),--('New Hires Forecast'!$H$5:$H$84&gt;=BI!D$3),'New Hires Forecast'!$N$5:$N$84,'New Hires Forecast'!$L$5:$L$84)),0),IF(YEAR(D$3)=YEAR('New Hires Forecast'!$O$3),IF((D$5=12),(SUMPRODUCT(--('New Hires Forecast'!$F$5:$F$84="Development Operations"),--('New Hires Forecast'!$H$5:$H$84&gt;=BI!D$3),'New Hires Forecast'!$O$5:$O$84,'New Hires Forecast'!$L$5:$L$84)),0),IF(YEAR(D$3)=YEAR('New Hires Forecast'!$P$3),IF((D$5=12),(SUMPRODUCT(--('New Hires Forecast'!$F$5:$F$84="Development Operations"),--('New Hires Forecast'!$H$5:$H$84&gt;=BI!D$3),'New Hires Forecast'!$P$5:$P$84,'New Hires Forecast'!$L$5:$L$84)),0),IF(YEAR(D$3)=YEAR('New Hires Forecast'!$Q$3),IF((D$5=12),(SUMPRODUCT(--('New Hires Forecast'!$F$5:$F$84="Development Operations"),--('New Hires Forecast'!$H$5:$H$84&gt;=BI!D$3),'New Hires Forecast'!$Q$5:$Q$84,'New Hires Forecast'!$L$5:$L$84)),0),IF(YEAR(D$3)=YEAR('New Hires Forecast'!$R$3),IF((D$5=12),(SUMPRODUCT(--('New Hires Forecast'!$F$5:$F$84="Development Operations"),--('New Hires Forecast'!$H$5:$H$84&gt;=BI!D$3),'New Hires Forecast'!$R$5:$R$84,'New Hires Forecast'!$L$5:$L$84)),0),"New Year"))))),0)</f>
        <v>0</v>
      </c>
      <c r="E15" s="684">
        <f>IF(E$4="forecast",IF(YEAR(E$3)=YEAR('New Hires Forecast'!$N$3),IF((E$5=12),(SUMPRODUCT(--('New Hires Forecast'!$F$5:$F$84="Development Operations"),--('New Hires Forecast'!$H$5:$H$84&gt;=BI!E$3),'New Hires Forecast'!$N$5:$N$84,'New Hires Forecast'!$L$5:$L$84)),0),IF(YEAR(E$3)=YEAR('New Hires Forecast'!$O$3),IF((E$5=12),(SUMPRODUCT(--('New Hires Forecast'!$F$5:$F$84="Development Operations"),--('New Hires Forecast'!$H$5:$H$84&gt;=BI!E$3),'New Hires Forecast'!$O$5:$O$84,'New Hires Forecast'!$L$5:$L$84)),0),IF(YEAR(E$3)=YEAR('New Hires Forecast'!$P$3),IF((E$5=12),(SUMPRODUCT(--('New Hires Forecast'!$F$5:$F$84="Development Operations"),--('New Hires Forecast'!$H$5:$H$84&gt;=BI!E$3),'New Hires Forecast'!$P$5:$P$84,'New Hires Forecast'!$L$5:$L$84)),0),IF(YEAR(E$3)=YEAR('New Hires Forecast'!$Q$3),IF((E$5=12),(SUMPRODUCT(--('New Hires Forecast'!$F$5:$F$84="Development Operations"),--('New Hires Forecast'!$H$5:$H$84&gt;=BI!E$3),'New Hires Forecast'!$Q$5:$Q$84,'New Hires Forecast'!$L$5:$L$84)),0),IF(YEAR(E$3)=YEAR('New Hires Forecast'!$R$3),IF((E$5=12),(SUMPRODUCT(--('New Hires Forecast'!$F$5:$F$84="Development Operations"),--('New Hires Forecast'!$H$5:$H$84&gt;=BI!E$3),'New Hires Forecast'!$R$5:$R$84,'New Hires Forecast'!$L$5:$L$84)),0),"New Year"))))),0)</f>
        <v>0</v>
      </c>
      <c r="F15" s="684">
        <f>IF(F$4="forecast",IF(YEAR(F$3)=YEAR('New Hires Forecast'!$N$3),IF((F$5=12),(SUMPRODUCT(--('New Hires Forecast'!$F$5:$F$84="Development Operations"),--('New Hires Forecast'!$H$5:$H$84&gt;=BI!F$3),'New Hires Forecast'!$N$5:$N$84,'New Hires Forecast'!$L$5:$L$84)),0),IF(YEAR(F$3)=YEAR('New Hires Forecast'!$O$3),IF((F$5=12),(SUMPRODUCT(--('New Hires Forecast'!$F$5:$F$84="Development Operations"),--('New Hires Forecast'!$H$5:$H$84&gt;=BI!F$3),'New Hires Forecast'!$O$5:$O$84,'New Hires Forecast'!$L$5:$L$84)),0),IF(YEAR(F$3)=YEAR('New Hires Forecast'!$P$3),IF((F$5=12),(SUMPRODUCT(--('New Hires Forecast'!$F$5:$F$84="Development Operations"),--('New Hires Forecast'!$H$5:$H$84&gt;=BI!F$3),'New Hires Forecast'!$P$5:$P$84,'New Hires Forecast'!$L$5:$L$84)),0),IF(YEAR(F$3)=YEAR('New Hires Forecast'!$Q$3),IF((F$5=12),(SUMPRODUCT(--('New Hires Forecast'!$F$5:$F$84="Development Operations"),--('New Hires Forecast'!$H$5:$H$84&gt;=BI!F$3),'New Hires Forecast'!$Q$5:$Q$84,'New Hires Forecast'!$L$5:$L$84)),0),IF(YEAR(F$3)=YEAR('New Hires Forecast'!$R$3),IF((F$5=12),(SUMPRODUCT(--('New Hires Forecast'!$F$5:$F$84="Development Operations"),--('New Hires Forecast'!$H$5:$H$84&gt;=BI!F$3),'New Hires Forecast'!$R$5:$R$84,'New Hires Forecast'!$L$5:$L$84)),0),"New Year"))))),0)</f>
        <v>0</v>
      </c>
      <c r="G15" s="684">
        <f>IF(G$4="forecast",IF(YEAR(G$3)=YEAR('New Hires Forecast'!$N$3),IF((G$5=12),(SUMPRODUCT(--('New Hires Forecast'!$F$5:$F$84="Development Operations"),--('New Hires Forecast'!$H$5:$H$84&gt;=BI!G$3),'New Hires Forecast'!$N$5:$N$84,'New Hires Forecast'!$L$5:$L$84)),0),IF(YEAR(G$3)=YEAR('New Hires Forecast'!$O$3),IF((G$5=12),(SUMPRODUCT(--('New Hires Forecast'!$F$5:$F$84="Development Operations"),--('New Hires Forecast'!$H$5:$H$84&gt;=BI!G$3),'New Hires Forecast'!$O$5:$O$84,'New Hires Forecast'!$L$5:$L$84)),0),IF(YEAR(G$3)=YEAR('New Hires Forecast'!$P$3),IF((G$5=12),(SUMPRODUCT(--('New Hires Forecast'!$F$5:$F$84="Development Operations"),--('New Hires Forecast'!$H$5:$H$84&gt;=BI!G$3),'New Hires Forecast'!$P$5:$P$84,'New Hires Forecast'!$L$5:$L$84)),0),IF(YEAR(G$3)=YEAR('New Hires Forecast'!$Q$3),IF((G$5=12),(SUMPRODUCT(--('New Hires Forecast'!$F$5:$F$84="Development Operations"),--('New Hires Forecast'!$H$5:$H$84&gt;=BI!G$3),'New Hires Forecast'!$Q$5:$Q$84,'New Hires Forecast'!$L$5:$L$84)),0),IF(YEAR(G$3)=YEAR('New Hires Forecast'!$R$3),IF((G$5=12),(SUMPRODUCT(--('New Hires Forecast'!$F$5:$F$84="Development Operations"),--('New Hires Forecast'!$H$5:$H$84&gt;=BI!G$3),'New Hires Forecast'!$R$5:$R$84,'New Hires Forecast'!$L$5:$L$84)),0),"New Year"))))),0)</f>
        <v>0</v>
      </c>
      <c r="H15" s="684">
        <f>IF(H$4="forecast",IF(YEAR(H$3)=YEAR('New Hires Forecast'!$N$3),IF((H$5=12),(SUMPRODUCT(--('New Hires Forecast'!$F$5:$F$84="Development Operations"),--('New Hires Forecast'!$H$5:$H$84&gt;=BI!H$3),'New Hires Forecast'!$N$5:$N$84,'New Hires Forecast'!$L$5:$L$84)),0),IF(YEAR(H$3)=YEAR('New Hires Forecast'!$O$3),IF((H$5=12),(SUMPRODUCT(--('New Hires Forecast'!$F$5:$F$84="Development Operations"),--('New Hires Forecast'!$H$5:$H$84&gt;=BI!H$3),'New Hires Forecast'!$O$5:$O$84,'New Hires Forecast'!$L$5:$L$84)),0),IF(YEAR(H$3)=YEAR('New Hires Forecast'!$P$3),IF((H$5=12),(SUMPRODUCT(--('New Hires Forecast'!$F$5:$F$84="Development Operations"),--('New Hires Forecast'!$H$5:$H$84&gt;=BI!H$3),'New Hires Forecast'!$P$5:$P$84,'New Hires Forecast'!$L$5:$L$84)),0),IF(YEAR(H$3)=YEAR('New Hires Forecast'!$Q$3),IF((H$5=12),(SUMPRODUCT(--('New Hires Forecast'!$F$5:$F$84="Development Operations"),--('New Hires Forecast'!$H$5:$H$84&gt;=BI!H$3),'New Hires Forecast'!$Q$5:$Q$84,'New Hires Forecast'!$L$5:$L$84)),0),IF(YEAR(H$3)=YEAR('New Hires Forecast'!$R$3),IF((H$5=12),(SUMPRODUCT(--('New Hires Forecast'!$F$5:$F$84="Development Operations"),--('New Hires Forecast'!$H$5:$H$84&gt;=BI!H$3),'New Hires Forecast'!$R$5:$R$84,'New Hires Forecast'!$L$5:$L$84)),0),"New Year"))))),0)</f>
        <v>0</v>
      </c>
      <c r="I15" s="684">
        <f>IF(I$4="forecast",IF(YEAR(I$3)=YEAR('New Hires Forecast'!$N$3),IF((I$5=12),(SUMPRODUCT(--('New Hires Forecast'!$F$5:$F$84="Development Operations"),--('New Hires Forecast'!$H$5:$H$84&gt;=BI!I$3),'New Hires Forecast'!$N$5:$N$84,'New Hires Forecast'!$L$5:$L$84)),0),IF(YEAR(I$3)=YEAR('New Hires Forecast'!$O$3),IF((I$5=12),(SUMPRODUCT(--('New Hires Forecast'!$F$5:$F$84="Development Operations"),--('New Hires Forecast'!$H$5:$H$84&gt;=BI!I$3),'New Hires Forecast'!$O$5:$O$84,'New Hires Forecast'!$L$5:$L$84)),0),IF(YEAR(I$3)=YEAR('New Hires Forecast'!$P$3),IF((I$5=12),(SUMPRODUCT(--('New Hires Forecast'!$F$5:$F$84="Development Operations"),--('New Hires Forecast'!$H$5:$H$84&gt;=BI!I$3),'New Hires Forecast'!$P$5:$P$84,'New Hires Forecast'!$L$5:$L$84)),0),IF(YEAR(I$3)=YEAR('New Hires Forecast'!$Q$3),IF((I$5=12),(SUMPRODUCT(--('New Hires Forecast'!$F$5:$F$84="Development Operations"),--('New Hires Forecast'!$H$5:$H$84&gt;=BI!I$3),'New Hires Forecast'!$Q$5:$Q$84,'New Hires Forecast'!$L$5:$L$84)),0),IF(YEAR(I$3)=YEAR('New Hires Forecast'!$R$3),IF((I$5=12),(SUMPRODUCT(--('New Hires Forecast'!$F$5:$F$84="Development Operations"),--('New Hires Forecast'!$H$5:$H$84&gt;=BI!I$3),'New Hires Forecast'!$R$5:$R$84,'New Hires Forecast'!$L$5:$L$84)),0),"New Year"))))),0)</f>
        <v>0</v>
      </c>
      <c r="J15" s="684">
        <f>IF(J$4="forecast",IF(YEAR(J$3)=YEAR('New Hires Forecast'!$N$3),IF((J$5=12),(SUMPRODUCT(--('New Hires Forecast'!$F$5:$F$84="Development Operations"),--('New Hires Forecast'!$H$5:$H$84&gt;=BI!J$3),'New Hires Forecast'!$N$5:$N$84,'New Hires Forecast'!$L$5:$L$84)),0),IF(YEAR(J$3)=YEAR('New Hires Forecast'!$O$3),IF((J$5=12),(SUMPRODUCT(--('New Hires Forecast'!$F$5:$F$84="Development Operations"),--('New Hires Forecast'!$H$5:$H$84&gt;=BI!J$3),'New Hires Forecast'!$O$5:$O$84,'New Hires Forecast'!$L$5:$L$84)),0),IF(YEAR(J$3)=YEAR('New Hires Forecast'!$P$3),IF((J$5=12),(SUMPRODUCT(--('New Hires Forecast'!$F$5:$F$84="Development Operations"),--('New Hires Forecast'!$H$5:$H$84&gt;=BI!J$3),'New Hires Forecast'!$P$5:$P$84,'New Hires Forecast'!$L$5:$L$84)),0),IF(YEAR(J$3)=YEAR('New Hires Forecast'!$Q$3),IF((J$5=12),(SUMPRODUCT(--('New Hires Forecast'!$F$5:$F$84="Development Operations"),--('New Hires Forecast'!$H$5:$H$84&gt;=BI!J$3),'New Hires Forecast'!$Q$5:$Q$84,'New Hires Forecast'!$L$5:$L$84)),0),IF(YEAR(J$3)=YEAR('New Hires Forecast'!$R$3),IF((J$5=12),(SUMPRODUCT(--('New Hires Forecast'!$F$5:$F$84="Development Operations"),--('New Hires Forecast'!$H$5:$H$84&gt;=BI!J$3),'New Hires Forecast'!$R$5:$R$84,'New Hires Forecast'!$L$5:$L$84)),0),"New Year"))))),0)</f>
        <v>0</v>
      </c>
      <c r="K15" s="684">
        <f>IF(K$4="forecast",IF(YEAR(K$3)=YEAR('New Hires Forecast'!$N$3),IF((K$5=12),(SUMPRODUCT(--('New Hires Forecast'!$F$5:$F$84="Development Operations"),--('New Hires Forecast'!$H$5:$H$84&gt;=BI!K$3),'New Hires Forecast'!$N$5:$N$84,'New Hires Forecast'!$L$5:$L$84)),0),IF(YEAR(K$3)=YEAR('New Hires Forecast'!$O$3),IF((K$5=12),(SUMPRODUCT(--('New Hires Forecast'!$F$5:$F$84="Development Operations"),--('New Hires Forecast'!$H$5:$H$84&gt;=BI!K$3),'New Hires Forecast'!$O$5:$O$84,'New Hires Forecast'!$L$5:$L$84)),0),IF(YEAR(K$3)=YEAR('New Hires Forecast'!$P$3),IF((K$5=12),(SUMPRODUCT(--('New Hires Forecast'!$F$5:$F$84="Development Operations"),--('New Hires Forecast'!$H$5:$H$84&gt;=BI!K$3),'New Hires Forecast'!$P$5:$P$84,'New Hires Forecast'!$L$5:$L$84)),0),IF(YEAR(K$3)=YEAR('New Hires Forecast'!$Q$3),IF((K$5=12),(SUMPRODUCT(--('New Hires Forecast'!$F$5:$F$84="Development Operations"),--('New Hires Forecast'!$H$5:$H$84&gt;=BI!K$3),'New Hires Forecast'!$Q$5:$Q$84,'New Hires Forecast'!$L$5:$L$84)),0),IF(YEAR(K$3)=YEAR('New Hires Forecast'!$R$3),IF((K$5=12),(SUMPRODUCT(--('New Hires Forecast'!$F$5:$F$84="Development Operations"),--('New Hires Forecast'!$H$5:$H$84&gt;=BI!K$3),'New Hires Forecast'!$R$5:$R$84,'New Hires Forecast'!$L$5:$L$84)),0),"New Year"))))),0)</f>
        <v>0</v>
      </c>
      <c r="L15" s="684">
        <f>IF(L$4="forecast",IF(YEAR(L$3)=YEAR('New Hires Forecast'!$N$3),IF((L$5=12),(SUMPRODUCT(--('New Hires Forecast'!$F$5:$F$84="Development Operations"),--('New Hires Forecast'!$H$5:$H$84&gt;=BI!L$3),'New Hires Forecast'!$N$5:$N$84,'New Hires Forecast'!$L$5:$L$84)),0),IF(YEAR(L$3)=YEAR('New Hires Forecast'!$O$3),IF((L$5=12),(SUMPRODUCT(--('New Hires Forecast'!$F$5:$F$84="Development Operations"),--('New Hires Forecast'!$H$5:$H$84&gt;=BI!L$3),'New Hires Forecast'!$O$5:$O$84,'New Hires Forecast'!$L$5:$L$84)),0),IF(YEAR(L$3)=YEAR('New Hires Forecast'!$P$3),IF((L$5=12),(SUMPRODUCT(--('New Hires Forecast'!$F$5:$F$84="Development Operations"),--('New Hires Forecast'!$H$5:$H$84&gt;=BI!L$3),'New Hires Forecast'!$P$5:$P$84,'New Hires Forecast'!$L$5:$L$84)),0),IF(YEAR(L$3)=YEAR('New Hires Forecast'!$Q$3),IF((L$5=12),(SUMPRODUCT(--('New Hires Forecast'!$F$5:$F$84="Development Operations"),--('New Hires Forecast'!$H$5:$H$84&gt;=BI!L$3),'New Hires Forecast'!$Q$5:$Q$84,'New Hires Forecast'!$L$5:$L$84)),0),IF(YEAR(L$3)=YEAR('New Hires Forecast'!$R$3),IF((L$5=12),(SUMPRODUCT(--('New Hires Forecast'!$F$5:$F$84="Development Operations"),--('New Hires Forecast'!$H$5:$H$84&gt;=BI!L$3),'New Hires Forecast'!$R$5:$R$84,'New Hires Forecast'!$L$5:$L$84)),0),"New Year"))))),0)</f>
        <v>0</v>
      </c>
      <c r="M15" s="684">
        <f>IF(M$4="forecast",IF(YEAR(M$3)=YEAR('New Hires Forecast'!$N$3),IF((M$5=12),(SUMPRODUCT(--('New Hires Forecast'!$F$5:$F$84="Development Operations"),--('New Hires Forecast'!$H$5:$H$84&gt;=BI!M$3),'New Hires Forecast'!$N$5:$N$84,'New Hires Forecast'!$L$5:$L$84)),0),IF(YEAR(M$3)=YEAR('New Hires Forecast'!$O$3),IF((M$5=12),(SUMPRODUCT(--('New Hires Forecast'!$F$5:$F$84="Development Operations"),--('New Hires Forecast'!$H$5:$H$84&gt;=BI!M$3),'New Hires Forecast'!$O$5:$O$84,'New Hires Forecast'!$L$5:$L$84)),0),IF(YEAR(M$3)=YEAR('New Hires Forecast'!$P$3),IF((M$5=12),(SUMPRODUCT(--('New Hires Forecast'!$F$5:$F$84="Development Operations"),--('New Hires Forecast'!$H$5:$H$84&gt;=BI!M$3),'New Hires Forecast'!$P$5:$P$84,'New Hires Forecast'!$L$5:$L$84)),0),IF(YEAR(M$3)=YEAR('New Hires Forecast'!$Q$3),IF((M$5=12),(SUMPRODUCT(--('New Hires Forecast'!$F$5:$F$84="Development Operations"),--('New Hires Forecast'!$H$5:$H$84&gt;=BI!M$3),'New Hires Forecast'!$Q$5:$Q$84,'New Hires Forecast'!$L$5:$L$84)),0),IF(YEAR(M$3)=YEAR('New Hires Forecast'!$R$3),IF((M$5=12),(SUMPRODUCT(--('New Hires Forecast'!$F$5:$F$84="Development Operations"),--('New Hires Forecast'!$H$5:$H$84&gt;=BI!M$3),'New Hires Forecast'!$R$5:$R$84,'New Hires Forecast'!$L$5:$L$84)),0),"New Year"))))),0)</f>
        <v>0</v>
      </c>
      <c r="N15" s="684">
        <f>IF(N$4="forecast",IF(YEAR(N$3)=YEAR('New Hires Forecast'!$N$3),IF((N$5=12),(SUMPRODUCT(--('New Hires Forecast'!$F$5:$F$84="Development Operations"),--('New Hires Forecast'!$H$5:$H$84&gt;=BI!N$3),'New Hires Forecast'!$N$5:$N$84,'New Hires Forecast'!$L$5:$L$84)),0),IF(YEAR(N$3)=YEAR('New Hires Forecast'!$O$3),IF((N$5=12),(SUMPRODUCT(--('New Hires Forecast'!$F$5:$F$84="Development Operations"),--('New Hires Forecast'!$H$5:$H$84&gt;=BI!N$3),'New Hires Forecast'!$O$5:$O$84,'New Hires Forecast'!$L$5:$L$84)),0),IF(YEAR(N$3)=YEAR('New Hires Forecast'!$P$3),IF((N$5=12),(SUMPRODUCT(--('New Hires Forecast'!$F$5:$F$84="Development Operations"),--('New Hires Forecast'!$H$5:$H$84&gt;=BI!N$3),'New Hires Forecast'!$P$5:$P$84,'New Hires Forecast'!$L$5:$L$84)),0),IF(YEAR(N$3)=YEAR('New Hires Forecast'!$Q$3),IF((N$5=12),(SUMPRODUCT(--('New Hires Forecast'!$F$5:$F$84="Development Operations"),--('New Hires Forecast'!$H$5:$H$84&gt;=BI!N$3),'New Hires Forecast'!$Q$5:$Q$84,'New Hires Forecast'!$L$5:$L$84)),0),IF(YEAR(N$3)=YEAR('New Hires Forecast'!$R$3),IF((N$5=12),(SUMPRODUCT(--('New Hires Forecast'!$F$5:$F$84="Development Operations"),--('New Hires Forecast'!$H$5:$H$84&gt;=BI!N$3),'New Hires Forecast'!$R$5:$R$84,'New Hires Forecast'!$L$5:$L$84)),0),"New Year"))))),0)</f>
        <v>0</v>
      </c>
      <c r="O15" s="684">
        <f>IF(O$4="forecast",IF(YEAR(O$3)=YEAR('New Hires Forecast'!$N$3),IF((O$5=12),(SUMPRODUCT(--('New Hires Forecast'!$F$5:$F$84="Development Operations"),--('New Hires Forecast'!$H$5:$H$84&gt;=BI!O$3),'New Hires Forecast'!$N$5:$N$84,'New Hires Forecast'!$L$5:$L$84)),0),IF(YEAR(O$3)=YEAR('New Hires Forecast'!$O$3),IF((O$5=12),(SUMPRODUCT(--('New Hires Forecast'!$F$5:$F$84="Development Operations"),--('New Hires Forecast'!$H$5:$H$84&gt;=BI!O$3),'New Hires Forecast'!$O$5:$O$84,'New Hires Forecast'!$L$5:$L$84)),0),IF(YEAR(O$3)=YEAR('New Hires Forecast'!$P$3),IF((O$5=12),(SUMPRODUCT(--('New Hires Forecast'!$F$5:$F$84="Development Operations"),--('New Hires Forecast'!$H$5:$H$84&gt;=BI!O$3),'New Hires Forecast'!$P$5:$P$84,'New Hires Forecast'!$L$5:$L$84)),0),IF(YEAR(O$3)=YEAR('New Hires Forecast'!$Q$3),IF((O$5=12),(SUMPRODUCT(--('New Hires Forecast'!$F$5:$F$84="Development Operations"),--('New Hires Forecast'!$H$5:$H$84&gt;=BI!O$3),'New Hires Forecast'!$Q$5:$Q$84,'New Hires Forecast'!$L$5:$L$84)),0),IF(YEAR(O$3)=YEAR('New Hires Forecast'!$R$3),IF((O$5=12),(SUMPRODUCT(--('New Hires Forecast'!$F$5:$F$84="Development Operations"),--('New Hires Forecast'!$H$5:$H$84&gt;=BI!O$3),'New Hires Forecast'!$R$5:$R$84,'New Hires Forecast'!$L$5:$L$84)),0),"New Year"))))),0)</f>
        <v>0</v>
      </c>
      <c r="P15" s="684">
        <f>IF(P$4="forecast",IF(YEAR(P$3)=YEAR('New Hires Forecast'!$N$3),IF((P$5=12),(SUMPRODUCT(--('New Hires Forecast'!$F$5:$F$84="Development Operations"),--('New Hires Forecast'!$H$5:$H$84&gt;=BI!P$3),'New Hires Forecast'!$N$5:$N$84,'New Hires Forecast'!$L$5:$L$84)),0),IF(YEAR(P$3)=YEAR('New Hires Forecast'!$O$3),IF((P$5=12),(SUMPRODUCT(--('New Hires Forecast'!$F$5:$F$84="Development Operations"),--('New Hires Forecast'!$H$5:$H$84&gt;=BI!P$3),'New Hires Forecast'!$O$5:$O$84,'New Hires Forecast'!$L$5:$L$84)),0),IF(YEAR(P$3)=YEAR('New Hires Forecast'!$P$3),IF((P$5=12),(SUMPRODUCT(--('New Hires Forecast'!$F$5:$F$84="Development Operations"),--('New Hires Forecast'!$H$5:$H$84&gt;=BI!P$3),'New Hires Forecast'!$P$5:$P$84,'New Hires Forecast'!$L$5:$L$84)),0),IF(YEAR(P$3)=YEAR('New Hires Forecast'!$Q$3),IF((P$5=12),(SUMPRODUCT(--('New Hires Forecast'!$F$5:$F$84="Development Operations"),--('New Hires Forecast'!$H$5:$H$84&gt;=BI!P$3),'New Hires Forecast'!$Q$5:$Q$84,'New Hires Forecast'!$L$5:$L$84)),0),IF(YEAR(P$3)=YEAR('New Hires Forecast'!$R$3),IF((P$5=12),(SUMPRODUCT(--('New Hires Forecast'!$F$5:$F$84="Development Operations"),--('New Hires Forecast'!$H$5:$H$84&gt;=BI!P$3),'New Hires Forecast'!$R$5:$R$84,'New Hires Forecast'!$L$5:$L$84)),0),"New Year"))))),0)</f>
        <v>0</v>
      </c>
      <c r="Q15" s="684">
        <f>IF(Q$4="forecast",IF(YEAR(Q$3)=YEAR('New Hires Forecast'!$N$3),IF((Q$5=12),(SUMPRODUCT(--('New Hires Forecast'!$F$5:$F$84="Development Operations"),--('New Hires Forecast'!$H$5:$H$84&gt;=BI!Q$3),'New Hires Forecast'!$N$5:$N$84,'New Hires Forecast'!$L$5:$L$84)),0),IF(YEAR(Q$3)=YEAR('New Hires Forecast'!$O$3),IF((Q$5=12),(SUMPRODUCT(--('New Hires Forecast'!$F$5:$F$84="Development Operations"),--('New Hires Forecast'!$H$5:$H$84&gt;=BI!Q$3),'New Hires Forecast'!$O$5:$O$84,'New Hires Forecast'!$L$5:$L$84)),0),IF(YEAR(Q$3)=YEAR('New Hires Forecast'!$P$3),IF((Q$5=12),(SUMPRODUCT(--('New Hires Forecast'!$F$5:$F$84="Development Operations"),--('New Hires Forecast'!$H$5:$H$84&gt;=BI!Q$3),'New Hires Forecast'!$P$5:$P$84,'New Hires Forecast'!$L$5:$L$84)),0),IF(YEAR(Q$3)=YEAR('New Hires Forecast'!$Q$3),IF((Q$5=12),(SUMPRODUCT(--('New Hires Forecast'!$F$5:$F$84="Development Operations"),--('New Hires Forecast'!$H$5:$H$84&gt;=BI!Q$3),'New Hires Forecast'!$Q$5:$Q$84,'New Hires Forecast'!$L$5:$L$84)),0),IF(YEAR(Q$3)=YEAR('New Hires Forecast'!$R$3),IF((Q$5=12),(SUMPRODUCT(--('New Hires Forecast'!$F$5:$F$84="Development Operations"),--('New Hires Forecast'!$H$5:$H$84&gt;=BI!Q$3),'New Hires Forecast'!$R$5:$R$84,'New Hires Forecast'!$L$5:$L$84)),0),"New Year"))))),0)</f>
        <v>0</v>
      </c>
      <c r="R15" s="684">
        <f>IF(R$4="forecast",IF(YEAR(R$3)=YEAR('New Hires Forecast'!$N$3),IF((R$5=12),(SUMPRODUCT(--('New Hires Forecast'!$F$5:$F$84="Development Operations"),--('New Hires Forecast'!$H$5:$H$84&gt;=BI!R$3),'New Hires Forecast'!$N$5:$N$84,'New Hires Forecast'!$L$5:$L$84)),0),IF(YEAR(R$3)=YEAR('New Hires Forecast'!$O$3),IF((R$5=12),(SUMPRODUCT(--('New Hires Forecast'!$F$5:$F$84="Development Operations"),--('New Hires Forecast'!$H$5:$H$84&gt;=BI!R$3),'New Hires Forecast'!$O$5:$O$84,'New Hires Forecast'!$L$5:$L$84)),0),IF(YEAR(R$3)=YEAR('New Hires Forecast'!$P$3),IF((R$5=12),(SUMPRODUCT(--('New Hires Forecast'!$F$5:$F$84="Development Operations"),--('New Hires Forecast'!$H$5:$H$84&gt;=BI!R$3),'New Hires Forecast'!$P$5:$P$84,'New Hires Forecast'!$L$5:$L$84)),0),IF(YEAR(R$3)=YEAR('New Hires Forecast'!$Q$3),IF((R$5=12),(SUMPRODUCT(--('New Hires Forecast'!$F$5:$F$84="Development Operations"),--('New Hires Forecast'!$H$5:$H$84&gt;=BI!R$3),'New Hires Forecast'!$Q$5:$Q$84,'New Hires Forecast'!$L$5:$L$84)),0),IF(YEAR(R$3)=YEAR('New Hires Forecast'!$R$3),IF((R$5=12),(SUMPRODUCT(--('New Hires Forecast'!$F$5:$F$84="Development Operations"),--('New Hires Forecast'!$H$5:$H$84&gt;=BI!R$3),'New Hires Forecast'!$R$5:$R$84,'New Hires Forecast'!$L$5:$L$84)),0),"New Year"))))),0)</f>
        <v>0</v>
      </c>
      <c r="S15" s="684">
        <f>IF(S$4="forecast",IF(YEAR(S$3)=YEAR('New Hires Forecast'!$N$3),IF((S$5=12),(SUMPRODUCT(--('New Hires Forecast'!$F$5:$F$84="Development Operations"),--('New Hires Forecast'!$H$5:$H$84&gt;=BI!S$3),'New Hires Forecast'!$N$5:$N$84,'New Hires Forecast'!$L$5:$L$84)),0),IF(YEAR(S$3)=YEAR('New Hires Forecast'!$O$3),IF((S$5=12),(SUMPRODUCT(--('New Hires Forecast'!$F$5:$F$84="Development Operations"),--('New Hires Forecast'!$H$5:$H$84&gt;=BI!S$3),'New Hires Forecast'!$O$5:$O$84,'New Hires Forecast'!$L$5:$L$84)),0),IF(YEAR(S$3)=YEAR('New Hires Forecast'!$P$3),IF((S$5=12),(SUMPRODUCT(--('New Hires Forecast'!$F$5:$F$84="Development Operations"),--('New Hires Forecast'!$H$5:$H$84&gt;=BI!S$3),'New Hires Forecast'!$P$5:$P$84,'New Hires Forecast'!$L$5:$L$84)),0),IF(YEAR(S$3)=YEAR('New Hires Forecast'!$Q$3),IF((S$5=12),(SUMPRODUCT(--('New Hires Forecast'!$F$5:$F$84="Development Operations"),--('New Hires Forecast'!$H$5:$H$84&gt;=BI!S$3),'New Hires Forecast'!$Q$5:$Q$84,'New Hires Forecast'!$L$5:$L$84)),0),IF(YEAR(S$3)=YEAR('New Hires Forecast'!$R$3),IF((S$5=12),(SUMPRODUCT(--('New Hires Forecast'!$F$5:$F$84="Development Operations"),--('New Hires Forecast'!$H$5:$H$84&gt;=BI!S$3),'New Hires Forecast'!$R$5:$R$84,'New Hires Forecast'!$L$5:$L$84)),0),"New Year"))))),0)</f>
        <v>0</v>
      </c>
      <c r="T15" s="684">
        <f>IF(T$4="forecast",IF(YEAR(T$3)=YEAR('New Hires Forecast'!$N$3),IF((T$5=12),(SUMPRODUCT(--('New Hires Forecast'!$F$5:$F$84="Development Operations"),--('New Hires Forecast'!$H$5:$H$84&gt;=BI!T$3),'New Hires Forecast'!$N$5:$N$84,'New Hires Forecast'!$L$5:$L$84)),0),IF(YEAR(T$3)=YEAR('New Hires Forecast'!$O$3),IF((T$5=12),(SUMPRODUCT(--('New Hires Forecast'!$F$5:$F$84="Development Operations"),--('New Hires Forecast'!$H$5:$H$84&gt;=BI!T$3),'New Hires Forecast'!$O$5:$O$84,'New Hires Forecast'!$L$5:$L$84)),0),IF(YEAR(T$3)=YEAR('New Hires Forecast'!$P$3),IF((T$5=12),(SUMPRODUCT(--('New Hires Forecast'!$F$5:$F$84="Development Operations"),--('New Hires Forecast'!$H$5:$H$84&gt;=BI!T$3),'New Hires Forecast'!$P$5:$P$84,'New Hires Forecast'!$L$5:$L$84)),0),IF(YEAR(T$3)=YEAR('New Hires Forecast'!$Q$3),IF((T$5=12),(SUMPRODUCT(--('New Hires Forecast'!$F$5:$F$84="Development Operations"),--('New Hires Forecast'!$H$5:$H$84&gt;=BI!T$3),'New Hires Forecast'!$Q$5:$Q$84,'New Hires Forecast'!$L$5:$L$84)),0),IF(YEAR(T$3)=YEAR('New Hires Forecast'!$R$3),IF((T$5=12),(SUMPRODUCT(--('New Hires Forecast'!$F$5:$F$84="Development Operations"),--('New Hires Forecast'!$H$5:$H$84&gt;=BI!T$3),'New Hires Forecast'!$R$5:$R$84,'New Hires Forecast'!$L$5:$L$84)),0),"New Year"))))),0)</f>
        <v>0</v>
      </c>
      <c r="U15" s="684">
        <f>IF(U$4="forecast",IF(YEAR(U$3)=YEAR('New Hires Forecast'!$N$3),IF((U$5=12),(SUMPRODUCT(--('New Hires Forecast'!$F$5:$F$84="Development Operations"),--('New Hires Forecast'!$H$5:$H$84&gt;=BI!U$3),'New Hires Forecast'!$N$5:$N$84,'New Hires Forecast'!$L$5:$L$84)),0),IF(YEAR(U$3)=YEAR('New Hires Forecast'!$O$3),IF((U$5=12),(SUMPRODUCT(--('New Hires Forecast'!$F$5:$F$84="Development Operations"),--('New Hires Forecast'!$H$5:$H$84&gt;=BI!U$3),'New Hires Forecast'!$O$5:$O$84,'New Hires Forecast'!$L$5:$L$84)),0),IF(YEAR(U$3)=YEAR('New Hires Forecast'!$P$3),IF((U$5=12),(SUMPRODUCT(--('New Hires Forecast'!$F$5:$F$84="Development Operations"),--('New Hires Forecast'!$H$5:$H$84&gt;=BI!U$3),'New Hires Forecast'!$P$5:$P$84,'New Hires Forecast'!$L$5:$L$84)),0),IF(YEAR(U$3)=YEAR('New Hires Forecast'!$Q$3),IF((U$5=12),(SUMPRODUCT(--('New Hires Forecast'!$F$5:$F$84="Development Operations"),--('New Hires Forecast'!$H$5:$H$84&gt;=BI!U$3),'New Hires Forecast'!$Q$5:$Q$84,'New Hires Forecast'!$L$5:$L$84)),0),IF(YEAR(U$3)=YEAR('New Hires Forecast'!$R$3),IF((U$5=12),(SUMPRODUCT(--('New Hires Forecast'!$F$5:$F$84="Development Operations"),--('New Hires Forecast'!$H$5:$H$84&gt;=BI!U$3),'New Hires Forecast'!$R$5:$R$84,'New Hires Forecast'!$L$5:$L$84)),0),"New Year"))))),0)</f>
        <v>0</v>
      </c>
      <c r="V15" s="684">
        <f>IF(V$4="forecast",IF(YEAR(V$3)=YEAR('New Hires Forecast'!$N$3),IF((V$5=12),(SUMPRODUCT(--('New Hires Forecast'!$F$5:$F$84="Development Operations"),--('New Hires Forecast'!$H$5:$H$84&gt;=BI!V$3),'New Hires Forecast'!$N$5:$N$84,'New Hires Forecast'!$L$5:$L$84)),0),IF(YEAR(V$3)=YEAR('New Hires Forecast'!$O$3),IF((V$5=12),(SUMPRODUCT(--('New Hires Forecast'!$F$5:$F$84="Development Operations"),--('New Hires Forecast'!$H$5:$H$84&gt;=BI!V$3),'New Hires Forecast'!$O$5:$O$84,'New Hires Forecast'!$L$5:$L$84)),0),IF(YEAR(V$3)=YEAR('New Hires Forecast'!$P$3),IF((V$5=12),(SUMPRODUCT(--('New Hires Forecast'!$F$5:$F$84="Development Operations"),--('New Hires Forecast'!$H$5:$H$84&gt;=BI!V$3),'New Hires Forecast'!$P$5:$P$84,'New Hires Forecast'!$L$5:$L$84)),0),IF(YEAR(V$3)=YEAR('New Hires Forecast'!$Q$3),IF((V$5=12),(SUMPRODUCT(--('New Hires Forecast'!$F$5:$F$84="Development Operations"),--('New Hires Forecast'!$H$5:$H$84&gt;=BI!V$3),'New Hires Forecast'!$Q$5:$Q$84,'New Hires Forecast'!$L$5:$L$84)),0),IF(YEAR(V$3)=YEAR('New Hires Forecast'!$R$3),IF((V$5=12),(SUMPRODUCT(--('New Hires Forecast'!$F$5:$F$84="Development Operations"),--('New Hires Forecast'!$H$5:$H$84&gt;=BI!V$3),'New Hires Forecast'!$R$5:$R$84,'New Hires Forecast'!$L$5:$L$84)),0),"New Year"))))),0)</f>
        <v>0</v>
      </c>
      <c r="W15" s="684">
        <f>IF(W$4="forecast",IF(YEAR(W$3)=YEAR('New Hires Forecast'!$N$3),IF((W$5=12),(SUMPRODUCT(--('New Hires Forecast'!$F$5:$F$84="Development Operations"),--('New Hires Forecast'!$H$5:$H$84&gt;=BI!W$3),'New Hires Forecast'!$N$5:$N$84,'New Hires Forecast'!$L$5:$L$84)),0),IF(YEAR(W$3)=YEAR('New Hires Forecast'!$O$3),IF((W$5=12),(SUMPRODUCT(--('New Hires Forecast'!$F$5:$F$84="Development Operations"),--('New Hires Forecast'!$H$5:$H$84&gt;=BI!W$3),'New Hires Forecast'!$O$5:$O$84,'New Hires Forecast'!$L$5:$L$84)),0),IF(YEAR(W$3)=YEAR('New Hires Forecast'!$P$3),IF((W$5=12),(SUMPRODUCT(--('New Hires Forecast'!$F$5:$F$84="Development Operations"),--('New Hires Forecast'!$H$5:$H$84&gt;=BI!W$3),'New Hires Forecast'!$P$5:$P$84,'New Hires Forecast'!$L$5:$L$84)),0),IF(YEAR(W$3)=YEAR('New Hires Forecast'!$Q$3),IF((W$5=12),(SUMPRODUCT(--('New Hires Forecast'!$F$5:$F$84="Development Operations"),--('New Hires Forecast'!$H$5:$H$84&gt;=BI!W$3),'New Hires Forecast'!$Q$5:$Q$84,'New Hires Forecast'!$L$5:$L$84)),0),IF(YEAR(W$3)=YEAR('New Hires Forecast'!$R$3),IF((W$5=12),(SUMPRODUCT(--('New Hires Forecast'!$F$5:$F$84="Development Operations"),--('New Hires Forecast'!$H$5:$H$84&gt;=BI!W$3),'New Hires Forecast'!$R$5:$R$84,'New Hires Forecast'!$L$5:$L$84)),0),"New Year"))))),0)</f>
        <v>0</v>
      </c>
      <c r="X15" s="684">
        <f>IF(X$4="forecast",IF(YEAR(X$3)=YEAR('New Hires Forecast'!$N$3),IF((X$5=12),(SUMPRODUCT(--('New Hires Forecast'!$F$5:$F$84="Development Operations"),--('New Hires Forecast'!$H$5:$H$84&gt;=BI!X$3),'New Hires Forecast'!$N$5:$N$84,'New Hires Forecast'!$L$5:$L$84)),0),IF(YEAR(X$3)=YEAR('New Hires Forecast'!$O$3),IF((X$5=12),(SUMPRODUCT(--('New Hires Forecast'!$F$5:$F$84="Development Operations"),--('New Hires Forecast'!$H$5:$H$84&gt;=BI!X$3),'New Hires Forecast'!$O$5:$O$84,'New Hires Forecast'!$L$5:$L$84)),0),IF(YEAR(X$3)=YEAR('New Hires Forecast'!$P$3),IF((X$5=12),(SUMPRODUCT(--('New Hires Forecast'!$F$5:$F$84="Development Operations"),--('New Hires Forecast'!$H$5:$H$84&gt;=BI!X$3),'New Hires Forecast'!$P$5:$P$84,'New Hires Forecast'!$L$5:$L$84)),0),IF(YEAR(X$3)=YEAR('New Hires Forecast'!$Q$3),IF((X$5=12),(SUMPRODUCT(--('New Hires Forecast'!$F$5:$F$84="Development Operations"),--('New Hires Forecast'!$H$5:$H$84&gt;=BI!X$3),'New Hires Forecast'!$Q$5:$Q$84,'New Hires Forecast'!$L$5:$L$84)),0),IF(YEAR(X$3)=YEAR('New Hires Forecast'!$R$3),IF((X$5=12),(SUMPRODUCT(--('New Hires Forecast'!$F$5:$F$84="Development Operations"),--('New Hires Forecast'!$H$5:$H$84&gt;=BI!X$3),'New Hires Forecast'!$R$5:$R$84,'New Hires Forecast'!$L$5:$L$84)),0),"New Year"))))),0)</f>
        <v>0</v>
      </c>
      <c r="Y15" s="684">
        <f>IF(Y$4="forecast",IF(YEAR(Y$3)=YEAR('New Hires Forecast'!$N$3),IF((Y$5=12),(SUMPRODUCT(--('New Hires Forecast'!$F$5:$F$84="Development Operations"),--('New Hires Forecast'!$H$5:$H$84&gt;=BI!Y$3),'New Hires Forecast'!$N$5:$N$84,'New Hires Forecast'!$L$5:$L$84)),0),IF(YEAR(Y$3)=YEAR('New Hires Forecast'!$O$3),IF((Y$5=12),(SUMPRODUCT(--('New Hires Forecast'!$F$5:$F$84="Development Operations"),--('New Hires Forecast'!$H$5:$H$84&gt;=BI!Y$3),'New Hires Forecast'!$O$5:$O$84,'New Hires Forecast'!$L$5:$L$84)),0),IF(YEAR(Y$3)=YEAR('New Hires Forecast'!$P$3),IF((Y$5=12),(SUMPRODUCT(--('New Hires Forecast'!$F$5:$F$84="Development Operations"),--('New Hires Forecast'!$H$5:$H$84&gt;=BI!Y$3),'New Hires Forecast'!$P$5:$P$84,'New Hires Forecast'!$L$5:$L$84)),0),IF(YEAR(Y$3)=YEAR('New Hires Forecast'!$Q$3),IF((Y$5=12),(SUMPRODUCT(--('New Hires Forecast'!$F$5:$F$84="Development Operations"),--('New Hires Forecast'!$H$5:$H$84&gt;=BI!Y$3),'New Hires Forecast'!$Q$5:$Q$84,'New Hires Forecast'!$L$5:$L$84)),0),IF(YEAR(Y$3)=YEAR('New Hires Forecast'!$R$3),IF((Y$5=12),(SUMPRODUCT(--('New Hires Forecast'!$F$5:$F$84="Development Operations"),--('New Hires Forecast'!$H$5:$H$84&gt;=BI!Y$3),'New Hires Forecast'!$R$5:$R$84,'New Hires Forecast'!$L$5:$L$84)),0),"New Year"))))),0)</f>
        <v>0</v>
      </c>
      <c r="Z15" s="684">
        <f>IF(Z$4="forecast",IF(YEAR(Z$3)=YEAR('New Hires Forecast'!$N$3),IF((Z$5=12),(SUMPRODUCT(--('New Hires Forecast'!$F$5:$F$84="Development Operations"),--('New Hires Forecast'!$H$5:$H$84&gt;=BI!Z$3),'New Hires Forecast'!$N$5:$N$84,'New Hires Forecast'!$L$5:$L$84)),0),IF(YEAR(Z$3)=YEAR('New Hires Forecast'!$O$3),IF((Z$5=12),(SUMPRODUCT(--('New Hires Forecast'!$F$5:$F$84="Development Operations"),--('New Hires Forecast'!$H$5:$H$84&gt;=BI!Z$3),'New Hires Forecast'!$O$5:$O$84,'New Hires Forecast'!$L$5:$L$84)),0),IF(YEAR(Z$3)=YEAR('New Hires Forecast'!$P$3),IF((Z$5=12),(SUMPRODUCT(--('New Hires Forecast'!$F$5:$F$84="Development Operations"),--('New Hires Forecast'!$H$5:$H$84&gt;=BI!Z$3),'New Hires Forecast'!$P$5:$P$84,'New Hires Forecast'!$L$5:$L$84)),0),IF(YEAR(Z$3)=YEAR('New Hires Forecast'!$Q$3),IF((Z$5=12),(SUMPRODUCT(--('New Hires Forecast'!$F$5:$F$84="Development Operations"),--('New Hires Forecast'!$H$5:$H$84&gt;=BI!Z$3),'New Hires Forecast'!$Q$5:$Q$84,'New Hires Forecast'!$L$5:$L$84)),0),IF(YEAR(Z$3)=YEAR('New Hires Forecast'!$R$3),IF((Z$5=12),(SUMPRODUCT(--('New Hires Forecast'!$F$5:$F$84="Development Operations"),--('New Hires Forecast'!$H$5:$H$84&gt;=BI!Z$3),'New Hires Forecast'!$R$5:$R$84,'New Hires Forecast'!$L$5:$L$84)),0),"New Year"))))),0)</f>
        <v>0</v>
      </c>
      <c r="AA15" s="684">
        <f>IF(AA$4="forecast",IF(YEAR(AA$3)=YEAR('New Hires Forecast'!$N$3),IF((AA$5=12),(SUMPRODUCT(--('New Hires Forecast'!$F$5:$F$84="Development Operations"),--('New Hires Forecast'!$H$5:$H$84&gt;=BI!AA$3),'New Hires Forecast'!$N$5:$N$84,'New Hires Forecast'!$L$5:$L$84)),0),IF(YEAR(AA$3)=YEAR('New Hires Forecast'!$O$3),IF((AA$5=12),(SUMPRODUCT(--('New Hires Forecast'!$F$5:$F$84="Development Operations"),--('New Hires Forecast'!$H$5:$H$84&gt;=BI!AA$3),'New Hires Forecast'!$O$5:$O$84,'New Hires Forecast'!$L$5:$L$84)),0),IF(YEAR(AA$3)=YEAR('New Hires Forecast'!$P$3),IF((AA$5=12),(SUMPRODUCT(--('New Hires Forecast'!$F$5:$F$84="Development Operations"),--('New Hires Forecast'!$H$5:$H$84&gt;=BI!AA$3),'New Hires Forecast'!$P$5:$P$84,'New Hires Forecast'!$L$5:$L$84)),0),IF(YEAR(AA$3)=YEAR('New Hires Forecast'!$Q$3),IF((AA$5=12),(SUMPRODUCT(--('New Hires Forecast'!$F$5:$F$84="Development Operations"),--('New Hires Forecast'!$H$5:$H$84&gt;=BI!AA$3),'New Hires Forecast'!$Q$5:$Q$84,'New Hires Forecast'!$L$5:$L$84)),0),IF(YEAR(AA$3)=YEAR('New Hires Forecast'!$R$3),IF((AA$5=12),(SUMPRODUCT(--('New Hires Forecast'!$F$5:$F$84="Development Operations"),--('New Hires Forecast'!$H$5:$H$84&gt;=BI!AA$3),'New Hires Forecast'!$R$5:$R$84,'New Hires Forecast'!$L$5:$L$84)),0),"New Year"))))),0)</f>
        <v>0</v>
      </c>
      <c r="AB15" s="684">
        <f>IF(AB$4="forecast",IF(YEAR(AB$3)=YEAR('New Hires Forecast'!$N$3),IF((AB$5=12),(SUMPRODUCT(--('New Hires Forecast'!$F$5:$F$84="Development Operations"),--('New Hires Forecast'!$H$5:$H$84&gt;=BI!AB$3),'New Hires Forecast'!$N$5:$N$84,'New Hires Forecast'!$L$5:$L$84)),0),IF(YEAR(AB$3)=YEAR('New Hires Forecast'!$O$3),IF((AB$5=12),(SUMPRODUCT(--('New Hires Forecast'!$F$5:$F$84="Development Operations"),--('New Hires Forecast'!$H$5:$H$84&gt;=BI!AB$3),'New Hires Forecast'!$O$5:$O$84,'New Hires Forecast'!$L$5:$L$84)),0),IF(YEAR(AB$3)=YEAR('New Hires Forecast'!$P$3),IF((AB$5=12),(SUMPRODUCT(--('New Hires Forecast'!$F$5:$F$84="Development Operations"),--('New Hires Forecast'!$H$5:$H$84&gt;=BI!AB$3),'New Hires Forecast'!$P$5:$P$84,'New Hires Forecast'!$L$5:$L$84)),0),IF(YEAR(AB$3)=YEAR('New Hires Forecast'!$Q$3),IF((AB$5=12),(SUMPRODUCT(--('New Hires Forecast'!$F$5:$F$84="Development Operations"),--('New Hires Forecast'!$H$5:$H$84&gt;=BI!AB$3),'New Hires Forecast'!$Q$5:$Q$84,'New Hires Forecast'!$L$5:$L$84)),0),IF(YEAR(AB$3)=YEAR('New Hires Forecast'!$R$3),IF((AB$5=12),(SUMPRODUCT(--('New Hires Forecast'!$F$5:$F$84="Development Operations"),--('New Hires Forecast'!$H$5:$H$84&gt;=BI!AB$3),'New Hires Forecast'!$R$5:$R$84,'New Hires Forecast'!$L$5:$L$84)),0),"New Year"))))),0)</f>
        <v>0</v>
      </c>
      <c r="AC15" s="684">
        <f>IF(AC$4="forecast",IF(YEAR(AC$3)=YEAR('New Hires Forecast'!$N$3),IF((AC$5=12),(SUMPRODUCT(--('New Hires Forecast'!$F$5:$F$84="Development Operations"),--('New Hires Forecast'!$H$5:$H$84&gt;=BI!AC$3),'New Hires Forecast'!$N$5:$N$84,'New Hires Forecast'!$L$5:$L$84)),0),IF(YEAR(AC$3)=YEAR('New Hires Forecast'!$O$3),IF((AC$5=12),(SUMPRODUCT(--('New Hires Forecast'!$F$5:$F$84="Development Operations"),--('New Hires Forecast'!$H$5:$H$84&gt;=BI!AC$3),'New Hires Forecast'!$O$5:$O$84,'New Hires Forecast'!$L$5:$L$84)),0),IF(YEAR(AC$3)=YEAR('New Hires Forecast'!$P$3),IF((AC$5=12),(SUMPRODUCT(--('New Hires Forecast'!$F$5:$F$84="Development Operations"),--('New Hires Forecast'!$H$5:$H$84&gt;=BI!AC$3),'New Hires Forecast'!$P$5:$P$84,'New Hires Forecast'!$L$5:$L$84)),0),IF(YEAR(AC$3)=YEAR('New Hires Forecast'!$Q$3),IF((AC$5=12),(SUMPRODUCT(--('New Hires Forecast'!$F$5:$F$84="Development Operations"),--('New Hires Forecast'!$H$5:$H$84&gt;=BI!AC$3),'New Hires Forecast'!$Q$5:$Q$84,'New Hires Forecast'!$L$5:$L$84)),0),IF(YEAR(AC$3)=YEAR('New Hires Forecast'!$R$3),IF((AC$5=12),(SUMPRODUCT(--('New Hires Forecast'!$F$5:$F$84="Development Operations"),--('New Hires Forecast'!$H$5:$H$84&gt;=BI!AC$3),'New Hires Forecast'!$R$5:$R$84,'New Hires Forecast'!$L$5:$L$84)),0),"New Year"))))),0)</f>
        <v>0</v>
      </c>
      <c r="AD15" s="684">
        <f>IF(AD$4="forecast",IF(YEAR(AD$3)=YEAR('New Hires Forecast'!$N$3),IF((AD$5=12),(SUMPRODUCT(--('New Hires Forecast'!$F$5:$F$84="Development Operations"),--('New Hires Forecast'!$H$5:$H$84&gt;=BI!AD$3),'New Hires Forecast'!$N$5:$N$84,'New Hires Forecast'!$L$5:$L$84)),0),IF(YEAR(AD$3)=YEAR('New Hires Forecast'!$O$3),IF((AD$5=12),(SUMPRODUCT(--('New Hires Forecast'!$F$5:$F$84="Development Operations"),--('New Hires Forecast'!$H$5:$H$84&gt;=BI!AD$3),'New Hires Forecast'!$O$5:$O$84,'New Hires Forecast'!$L$5:$L$84)),0),IF(YEAR(AD$3)=YEAR('New Hires Forecast'!$P$3),IF((AD$5=12),(SUMPRODUCT(--('New Hires Forecast'!$F$5:$F$84="Development Operations"),--('New Hires Forecast'!$H$5:$H$84&gt;=BI!AD$3),'New Hires Forecast'!$P$5:$P$84,'New Hires Forecast'!$L$5:$L$84)),0),IF(YEAR(AD$3)=YEAR('New Hires Forecast'!$Q$3),IF((AD$5=12),(SUMPRODUCT(--('New Hires Forecast'!$F$5:$F$84="Development Operations"),--('New Hires Forecast'!$H$5:$H$84&gt;=BI!AD$3),'New Hires Forecast'!$Q$5:$Q$84,'New Hires Forecast'!$L$5:$L$84)),0),IF(YEAR(AD$3)=YEAR('New Hires Forecast'!$R$3),IF((AD$5=12),(SUMPRODUCT(--('New Hires Forecast'!$F$5:$F$84="Development Operations"),--('New Hires Forecast'!$H$5:$H$84&gt;=BI!AD$3),'New Hires Forecast'!$R$5:$R$84,'New Hires Forecast'!$L$5:$L$84)),0),"New Year"))))),0)</f>
        <v>0</v>
      </c>
      <c r="AE15" s="684">
        <f>IF(AE$4="forecast",IF(YEAR(AE$3)=YEAR('New Hires Forecast'!$N$3),IF((AE$5=12),(SUMPRODUCT(--('New Hires Forecast'!$F$5:$F$84="Development Operations"),--('New Hires Forecast'!$H$5:$H$84&gt;=BI!AE$3),'New Hires Forecast'!$N$5:$N$84,'New Hires Forecast'!$L$5:$L$84)),0),IF(YEAR(AE$3)=YEAR('New Hires Forecast'!$O$3),IF((AE$5=12),(SUMPRODUCT(--('New Hires Forecast'!$F$5:$F$84="Development Operations"),--('New Hires Forecast'!$H$5:$H$84&gt;=BI!AE$3),'New Hires Forecast'!$O$5:$O$84,'New Hires Forecast'!$L$5:$L$84)),0),IF(YEAR(AE$3)=YEAR('New Hires Forecast'!$P$3),IF((AE$5=12),(SUMPRODUCT(--('New Hires Forecast'!$F$5:$F$84="Development Operations"),--('New Hires Forecast'!$H$5:$H$84&gt;=BI!AE$3),'New Hires Forecast'!$P$5:$P$84,'New Hires Forecast'!$L$5:$L$84)),0),IF(YEAR(AE$3)=YEAR('New Hires Forecast'!$Q$3),IF((AE$5=12),(SUMPRODUCT(--('New Hires Forecast'!$F$5:$F$84="Development Operations"),--('New Hires Forecast'!$H$5:$H$84&gt;=BI!AE$3),'New Hires Forecast'!$Q$5:$Q$84,'New Hires Forecast'!$L$5:$L$84)),0),IF(YEAR(AE$3)=YEAR('New Hires Forecast'!$R$3),IF((AE$5=12),(SUMPRODUCT(--('New Hires Forecast'!$F$5:$F$84="Development Operations"),--('New Hires Forecast'!$H$5:$H$84&gt;=BI!AE$3),'New Hires Forecast'!$R$5:$R$84,'New Hires Forecast'!$L$5:$L$84)),0),"New Year"))))),0)</f>
        <v>0</v>
      </c>
      <c r="AF15" s="684">
        <f>IF(AF$4="forecast",IF(YEAR(AF$3)=YEAR('New Hires Forecast'!$N$3),IF((AF$5=12),(SUMPRODUCT(--('New Hires Forecast'!$F$5:$F$84="Development Operations"),--('New Hires Forecast'!$H$5:$H$84&gt;=BI!AF$3),'New Hires Forecast'!$N$5:$N$84,'New Hires Forecast'!$L$5:$L$84)),0),IF(YEAR(AF$3)=YEAR('New Hires Forecast'!$O$3),IF((AF$5=12),(SUMPRODUCT(--('New Hires Forecast'!$F$5:$F$84="Development Operations"),--('New Hires Forecast'!$H$5:$H$84&gt;=BI!AF$3),'New Hires Forecast'!$O$5:$O$84,'New Hires Forecast'!$L$5:$L$84)),0),IF(YEAR(AF$3)=YEAR('New Hires Forecast'!$P$3),IF((AF$5=12),(SUMPRODUCT(--('New Hires Forecast'!$F$5:$F$84="Development Operations"),--('New Hires Forecast'!$H$5:$H$84&gt;=BI!AF$3),'New Hires Forecast'!$P$5:$P$84,'New Hires Forecast'!$L$5:$L$84)),0),IF(YEAR(AF$3)=YEAR('New Hires Forecast'!$Q$3),IF((AF$5=12),(SUMPRODUCT(--('New Hires Forecast'!$F$5:$F$84="Development Operations"),--('New Hires Forecast'!$H$5:$H$84&gt;=BI!AF$3),'New Hires Forecast'!$Q$5:$Q$84,'New Hires Forecast'!$L$5:$L$84)),0),IF(YEAR(AF$3)=YEAR('New Hires Forecast'!$R$3),IF((AF$5=12),(SUMPRODUCT(--('New Hires Forecast'!$F$5:$F$84="Development Operations"),--('New Hires Forecast'!$H$5:$H$84&gt;=BI!AF$3),'New Hires Forecast'!$R$5:$R$84,'New Hires Forecast'!$L$5:$L$84)),0),"New Year"))))),0)</f>
        <v>0</v>
      </c>
      <c r="AG15" s="684">
        <f>IF(AG$4="forecast",IF(YEAR(AG$3)=YEAR('New Hires Forecast'!$N$3),IF((AG$5=12),(SUMPRODUCT(--('New Hires Forecast'!$F$5:$F$84="Development Operations"),--('New Hires Forecast'!$H$5:$H$84&gt;=BI!AG$3),'New Hires Forecast'!$N$5:$N$84,'New Hires Forecast'!$L$5:$L$84)),0),IF(YEAR(AG$3)=YEAR('New Hires Forecast'!$O$3),IF((AG$5=12),(SUMPRODUCT(--('New Hires Forecast'!$F$5:$F$84="Development Operations"),--('New Hires Forecast'!$H$5:$H$84&gt;=BI!AG$3),'New Hires Forecast'!$O$5:$O$84,'New Hires Forecast'!$L$5:$L$84)),0),IF(YEAR(AG$3)=YEAR('New Hires Forecast'!$P$3),IF((AG$5=12),(SUMPRODUCT(--('New Hires Forecast'!$F$5:$F$84="Development Operations"),--('New Hires Forecast'!$H$5:$H$84&gt;=BI!AG$3),'New Hires Forecast'!$P$5:$P$84,'New Hires Forecast'!$L$5:$L$84)),0),IF(YEAR(AG$3)=YEAR('New Hires Forecast'!$Q$3),IF((AG$5=12),(SUMPRODUCT(--('New Hires Forecast'!$F$5:$F$84="Development Operations"),--('New Hires Forecast'!$H$5:$H$84&gt;=BI!AG$3),'New Hires Forecast'!$Q$5:$Q$84,'New Hires Forecast'!$L$5:$L$84)),0),IF(YEAR(AG$3)=YEAR('New Hires Forecast'!$R$3),IF((AG$5=12),(SUMPRODUCT(--('New Hires Forecast'!$F$5:$F$84="Development Operations"),--('New Hires Forecast'!$H$5:$H$84&gt;=BI!AG$3),'New Hires Forecast'!$R$5:$R$84,'New Hires Forecast'!$L$5:$L$84)),0),"New Year"))))),0)</f>
        <v>0</v>
      </c>
      <c r="AH15" s="684">
        <f>IF(AH$4="forecast",IF(YEAR(AH$3)=YEAR('New Hires Forecast'!$N$3),IF((AH$5=12),(SUMPRODUCT(--('New Hires Forecast'!$F$5:$F$84="Development Operations"),--('New Hires Forecast'!$H$5:$H$84&gt;=BI!AH$3),'New Hires Forecast'!$N$5:$N$84,'New Hires Forecast'!$L$5:$L$84)),0),IF(YEAR(AH$3)=YEAR('New Hires Forecast'!$O$3),IF((AH$5=12),(SUMPRODUCT(--('New Hires Forecast'!$F$5:$F$84="Development Operations"),--('New Hires Forecast'!$H$5:$H$84&gt;=BI!AH$3),'New Hires Forecast'!$O$5:$O$84,'New Hires Forecast'!$L$5:$L$84)),0),IF(YEAR(AH$3)=YEAR('New Hires Forecast'!$P$3),IF((AH$5=12),(SUMPRODUCT(--('New Hires Forecast'!$F$5:$F$84="Development Operations"),--('New Hires Forecast'!$H$5:$H$84&gt;=BI!AH$3),'New Hires Forecast'!$P$5:$P$84,'New Hires Forecast'!$L$5:$L$84)),0),IF(YEAR(AH$3)=YEAR('New Hires Forecast'!$Q$3),IF((AH$5=12),(SUMPRODUCT(--('New Hires Forecast'!$F$5:$F$84="Development Operations"),--('New Hires Forecast'!$H$5:$H$84&gt;=BI!AH$3),'New Hires Forecast'!$Q$5:$Q$84,'New Hires Forecast'!$L$5:$L$84)),0),IF(YEAR(AH$3)=YEAR('New Hires Forecast'!$R$3),IF((AH$5=12),(SUMPRODUCT(--('New Hires Forecast'!$F$5:$F$84="Development Operations"),--('New Hires Forecast'!$H$5:$H$84&gt;=BI!AH$3),'New Hires Forecast'!$R$5:$R$84,'New Hires Forecast'!$L$5:$L$84)),0),"New Year"))))),0)</f>
        <v>0</v>
      </c>
      <c r="AI15" s="684">
        <f>IF(AI$4="forecast",IF(YEAR(AI$3)=YEAR('New Hires Forecast'!$N$3),IF((AI$5=12),(SUMPRODUCT(--('New Hires Forecast'!$F$5:$F$84="Development Operations"),--('New Hires Forecast'!$H$5:$H$84&gt;=BI!AI$3),'New Hires Forecast'!$N$5:$N$84,'New Hires Forecast'!$L$5:$L$84)),0),IF(YEAR(AI$3)=YEAR('New Hires Forecast'!$O$3),IF((AI$5=12),(SUMPRODUCT(--('New Hires Forecast'!$F$5:$F$84="Development Operations"),--('New Hires Forecast'!$H$5:$H$84&gt;=BI!AI$3),'New Hires Forecast'!$O$5:$O$84,'New Hires Forecast'!$L$5:$L$84)),0),IF(YEAR(AI$3)=YEAR('New Hires Forecast'!$P$3),IF((AI$5=12),(SUMPRODUCT(--('New Hires Forecast'!$F$5:$F$84="Development Operations"),--('New Hires Forecast'!$H$5:$H$84&gt;=BI!AI$3),'New Hires Forecast'!$P$5:$P$84,'New Hires Forecast'!$L$5:$L$84)),0),IF(YEAR(AI$3)=YEAR('New Hires Forecast'!$Q$3),IF((AI$5=12),(SUMPRODUCT(--('New Hires Forecast'!$F$5:$F$84="Development Operations"),--('New Hires Forecast'!$H$5:$H$84&gt;=BI!AI$3),'New Hires Forecast'!$Q$5:$Q$84,'New Hires Forecast'!$L$5:$L$84)),0),IF(YEAR(AI$3)=YEAR('New Hires Forecast'!$R$3),IF((AI$5=12),(SUMPRODUCT(--('New Hires Forecast'!$F$5:$F$84="Development Operations"),--('New Hires Forecast'!$H$5:$H$84&gt;=BI!AI$3),'New Hires Forecast'!$R$5:$R$84,'New Hires Forecast'!$L$5:$L$84)),0),"New Year"))))),0)</f>
        <v>0</v>
      </c>
      <c r="AJ15" s="684">
        <f>IF(AJ$4="forecast",IF(YEAR(AJ$3)=YEAR('New Hires Forecast'!$N$3),IF((AJ$5=12),(SUMPRODUCT(--('New Hires Forecast'!$F$5:$F$84="Development Operations"),--('New Hires Forecast'!$H$5:$H$84&gt;=BI!AJ$3),'New Hires Forecast'!$N$5:$N$84,'New Hires Forecast'!$L$5:$L$84)),0),IF(YEAR(AJ$3)=YEAR('New Hires Forecast'!$O$3),IF((AJ$5=12),(SUMPRODUCT(--('New Hires Forecast'!$F$5:$F$84="Development Operations"),--('New Hires Forecast'!$H$5:$H$84&gt;=BI!AJ$3),'New Hires Forecast'!$O$5:$O$84,'New Hires Forecast'!$L$5:$L$84)),0),IF(YEAR(AJ$3)=YEAR('New Hires Forecast'!$P$3),IF((AJ$5=12),(SUMPRODUCT(--('New Hires Forecast'!$F$5:$F$84="Development Operations"),--('New Hires Forecast'!$H$5:$H$84&gt;=BI!AJ$3),'New Hires Forecast'!$P$5:$P$84,'New Hires Forecast'!$L$5:$L$84)),0),IF(YEAR(AJ$3)=YEAR('New Hires Forecast'!$Q$3),IF((AJ$5=12),(SUMPRODUCT(--('New Hires Forecast'!$F$5:$F$84="Development Operations"),--('New Hires Forecast'!$H$5:$H$84&gt;=BI!AJ$3),'New Hires Forecast'!$Q$5:$Q$84,'New Hires Forecast'!$L$5:$L$84)),0),IF(YEAR(AJ$3)=YEAR('New Hires Forecast'!$R$3),IF((AJ$5=12),(SUMPRODUCT(--('New Hires Forecast'!$F$5:$F$84="Development Operations"),--('New Hires Forecast'!$H$5:$H$84&gt;=BI!AJ$3),'New Hires Forecast'!$R$5:$R$84,'New Hires Forecast'!$L$5:$L$84)),0),"New Year"))))),0)</f>
        <v>0</v>
      </c>
      <c r="AK15" s="684">
        <f>IF(AK$4="forecast",IF(YEAR(AK$3)=YEAR('New Hires Forecast'!$N$3),IF((AK$5=12),(SUMPRODUCT(--('New Hires Forecast'!$F$5:$F$84="Development Operations"),--('New Hires Forecast'!$H$5:$H$84&gt;=BI!AK$3),'New Hires Forecast'!$N$5:$N$84,'New Hires Forecast'!$L$5:$L$84)),0),IF(YEAR(AK$3)=YEAR('New Hires Forecast'!$O$3),IF((AK$5=12),(SUMPRODUCT(--('New Hires Forecast'!$F$5:$F$84="Development Operations"),--('New Hires Forecast'!$H$5:$H$84&gt;=BI!AK$3),'New Hires Forecast'!$O$5:$O$84,'New Hires Forecast'!$L$5:$L$84)),0),IF(YEAR(AK$3)=YEAR('New Hires Forecast'!$P$3),IF((AK$5=12),(SUMPRODUCT(--('New Hires Forecast'!$F$5:$F$84="Development Operations"),--('New Hires Forecast'!$H$5:$H$84&gt;=BI!AK$3),'New Hires Forecast'!$P$5:$P$84,'New Hires Forecast'!$L$5:$L$84)),0),IF(YEAR(AK$3)=YEAR('New Hires Forecast'!$Q$3),IF((AK$5=12),(SUMPRODUCT(--('New Hires Forecast'!$F$5:$F$84="Development Operations"),--('New Hires Forecast'!$H$5:$H$84&gt;=BI!AK$3),'New Hires Forecast'!$Q$5:$Q$84,'New Hires Forecast'!$L$5:$L$84)),0),IF(YEAR(AK$3)=YEAR('New Hires Forecast'!$R$3),IF((AK$5=12),(SUMPRODUCT(--('New Hires Forecast'!$F$5:$F$84="Development Operations"),--('New Hires Forecast'!$H$5:$H$84&gt;=BI!AK$3),'New Hires Forecast'!$R$5:$R$84,'New Hires Forecast'!$L$5:$L$84)),0),"New Year"))))),0)</f>
        <v>0</v>
      </c>
      <c r="AL15" s="684">
        <f>IF(AL$4="forecast",IF(YEAR(AL$3)=YEAR('New Hires Forecast'!$N$3),IF((AL$5=12),(SUMPRODUCT(--('New Hires Forecast'!$F$5:$F$84="Development Operations"),--('New Hires Forecast'!$H$5:$H$84&gt;=BI!AL$3),'New Hires Forecast'!$N$5:$N$84,'New Hires Forecast'!$L$5:$L$84)),0),IF(YEAR(AL$3)=YEAR('New Hires Forecast'!$O$3),IF((AL$5=12),(SUMPRODUCT(--('New Hires Forecast'!$F$5:$F$84="Development Operations"),--('New Hires Forecast'!$H$5:$H$84&gt;=BI!AL$3),'New Hires Forecast'!$O$5:$O$84,'New Hires Forecast'!$L$5:$L$84)),0),IF(YEAR(AL$3)=YEAR('New Hires Forecast'!$P$3),IF((AL$5=12),(SUMPRODUCT(--('New Hires Forecast'!$F$5:$F$84="Development Operations"),--('New Hires Forecast'!$H$5:$H$84&gt;=BI!AL$3),'New Hires Forecast'!$P$5:$P$84,'New Hires Forecast'!$L$5:$L$84)),0),IF(YEAR(AL$3)=YEAR('New Hires Forecast'!$Q$3),IF((AL$5=12),(SUMPRODUCT(--('New Hires Forecast'!$F$5:$F$84="Development Operations"),--('New Hires Forecast'!$H$5:$H$84&gt;=BI!AL$3),'New Hires Forecast'!$Q$5:$Q$84,'New Hires Forecast'!$L$5:$L$84)),0),IF(YEAR(AL$3)=YEAR('New Hires Forecast'!$R$3),IF((AL$5=12),(SUMPRODUCT(--('New Hires Forecast'!$F$5:$F$84="Development Operations"),--('New Hires Forecast'!$H$5:$H$84&gt;=BI!AL$3),'New Hires Forecast'!$R$5:$R$84,'New Hires Forecast'!$L$5:$L$84)),0),"New Year"))))),0)</f>
        <v>12000</v>
      </c>
      <c r="AM15" s="684">
        <f>IF(AM$4="forecast",IF(YEAR(AM$3)=YEAR('New Hires Forecast'!$N$3),IF((AM$5=12),(SUMPRODUCT(--('New Hires Forecast'!$F$5:$F$84="Development Operations"),--('New Hires Forecast'!$H$5:$H$84&gt;=BI!AM$3),'New Hires Forecast'!$N$5:$N$84,'New Hires Forecast'!$L$5:$L$84)),0),IF(YEAR(AM$3)=YEAR('New Hires Forecast'!$O$3),IF((AM$5=12),(SUMPRODUCT(--('New Hires Forecast'!$F$5:$F$84="Development Operations"),--('New Hires Forecast'!$H$5:$H$84&gt;=BI!AM$3),'New Hires Forecast'!$O$5:$O$84,'New Hires Forecast'!$L$5:$L$84)),0),IF(YEAR(AM$3)=YEAR('New Hires Forecast'!$P$3),IF((AM$5=12),(SUMPRODUCT(--('New Hires Forecast'!$F$5:$F$84="Development Operations"),--('New Hires Forecast'!$H$5:$H$84&gt;=BI!AM$3),'New Hires Forecast'!$P$5:$P$84,'New Hires Forecast'!$L$5:$L$84)),0),IF(YEAR(AM$3)=YEAR('New Hires Forecast'!$Q$3),IF((AM$5=12),(SUMPRODUCT(--('New Hires Forecast'!$F$5:$F$84="Development Operations"),--('New Hires Forecast'!$H$5:$H$84&gt;=BI!AM$3),'New Hires Forecast'!$Q$5:$Q$84,'New Hires Forecast'!$L$5:$L$84)),0),IF(YEAR(AM$3)=YEAR('New Hires Forecast'!$R$3),IF((AM$5=12),(SUMPRODUCT(--('New Hires Forecast'!$F$5:$F$84="Development Operations"),--('New Hires Forecast'!$H$5:$H$84&gt;=BI!AM$3),'New Hires Forecast'!$R$5:$R$84,'New Hires Forecast'!$L$5:$L$84)),0),"New Year"))))),0)</f>
        <v>0</v>
      </c>
      <c r="AN15" s="684">
        <f>IF(AN$4="forecast",IF(YEAR(AN$3)=YEAR('New Hires Forecast'!$N$3),IF((AN$5=12),(SUMPRODUCT(--('New Hires Forecast'!$F$5:$F$84="Development Operations"),--('New Hires Forecast'!$H$5:$H$84&gt;=BI!AN$3),'New Hires Forecast'!$N$5:$N$84,'New Hires Forecast'!$L$5:$L$84)),0),IF(YEAR(AN$3)=YEAR('New Hires Forecast'!$O$3),IF((AN$5=12),(SUMPRODUCT(--('New Hires Forecast'!$F$5:$F$84="Development Operations"),--('New Hires Forecast'!$H$5:$H$84&gt;=BI!AN$3),'New Hires Forecast'!$O$5:$O$84,'New Hires Forecast'!$L$5:$L$84)),0),IF(YEAR(AN$3)=YEAR('New Hires Forecast'!$P$3),IF((AN$5=12),(SUMPRODUCT(--('New Hires Forecast'!$F$5:$F$84="Development Operations"),--('New Hires Forecast'!$H$5:$H$84&gt;=BI!AN$3),'New Hires Forecast'!$P$5:$P$84,'New Hires Forecast'!$L$5:$L$84)),0),IF(YEAR(AN$3)=YEAR('New Hires Forecast'!$Q$3),IF((AN$5=12),(SUMPRODUCT(--('New Hires Forecast'!$F$5:$F$84="Development Operations"),--('New Hires Forecast'!$H$5:$H$84&gt;=BI!AN$3),'New Hires Forecast'!$Q$5:$Q$84,'New Hires Forecast'!$L$5:$L$84)),0),IF(YEAR(AN$3)=YEAR('New Hires Forecast'!$R$3),IF((AN$5=12),(SUMPRODUCT(--('New Hires Forecast'!$F$5:$F$84="Development Operations"),--('New Hires Forecast'!$H$5:$H$84&gt;=BI!AN$3),'New Hires Forecast'!$R$5:$R$84,'New Hires Forecast'!$L$5:$L$84)),0),"New Year"))))),0)</f>
        <v>0</v>
      </c>
      <c r="AO15" s="684">
        <f>IF(AO$4="forecast",IF(YEAR(AO$3)=YEAR('New Hires Forecast'!$N$3),IF((AO$5=12),(SUMPRODUCT(--('New Hires Forecast'!$F$5:$F$84="Development Operations"),--('New Hires Forecast'!$H$5:$H$84&gt;=BI!AO$3),'New Hires Forecast'!$N$5:$N$84,'New Hires Forecast'!$L$5:$L$84)),0),IF(YEAR(AO$3)=YEAR('New Hires Forecast'!$O$3),IF((AO$5=12),(SUMPRODUCT(--('New Hires Forecast'!$F$5:$F$84="Development Operations"),--('New Hires Forecast'!$H$5:$H$84&gt;=BI!AO$3),'New Hires Forecast'!$O$5:$O$84,'New Hires Forecast'!$L$5:$L$84)),0),IF(YEAR(AO$3)=YEAR('New Hires Forecast'!$P$3),IF((AO$5=12),(SUMPRODUCT(--('New Hires Forecast'!$F$5:$F$84="Development Operations"),--('New Hires Forecast'!$H$5:$H$84&gt;=BI!AO$3),'New Hires Forecast'!$P$5:$P$84,'New Hires Forecast'!$L$5:$L$84)),0),IF(YEAR(AO$3)=YEAR('New Hires Forecast'!$Q$3),IF((AO$5=12),(SUMPRODUCT(--('New Hires Forecast'!$F$5:$F$84="Development Operations"),--('New Hires Forecast'!$H$5:$H$84&gt;=BI!AO$3),'New Hires Forecast'!$Q$5:$Q$84,'New Hires Forecast'!$L$5:$L$84)),0),IF(YEAR(AO$3)=YEAR('New Hires Forecast'!$R$3),IF((AO$5=12),(SUMPRODUCT(--('New Hires Forecast'!$F$5:$F$84="Development Operations"),--('New Hires Forecast'!$H$5:$H$84&gt;=BI!AO$3),'New Hires Forecast'!$R$5:$R$84,'New Hires Forecast'!$L$5:$L$84)),0),"New Year"))))),0)</f>
        <v>0</v>
      </c>
      <c r="AP15" s="684">
        <f>IF(AP$4="forecast",IF(YEAR(AP$3)=YEAR('New Hires Forecast'!$N$3),IF((AP$5=12),(SUMPRODUCT(--('New Hires Forecast'!$F$5:$F$84="Development Operations"),--('New Hires Forecast'!$H$5:$H$84&gt;=BI!AP$3),'New Hires Forecast'!$N$5:$N$84,'New Hires Forecast'!$L$5:$L$84)),0),IF(YEAR(AP$3)=YEAR('New Hires Forecast'!$O$3),IF((AP$5=12),(SUMPRODUCT(--('New Hires Forecast'!$F$5:$F$84="Development Operations"),--('New Hires Forecast'!$H$5:$H$84&gt;=BI!AP$3),'New Hires Forecast'!$O$5:$O$84,'New Hires Forecast'!$L$5:$L$84)),0),IF(YEAR(AP$3)=YEAR('New Hires Forecast'!$P$3),IF((AP$5=12),(SUMPRODUCT(--('New Hires Forecast'!$F$5:$F$84="Development Operations"),--('New Hires Forecast'!$H$5:$H$84&gt;=BI!AP$3),'New Hires Forecast'!$P$5:$P$84,'New Hires Forecast'!$L$5:$L$84)),0),IF(YEAR(AP$3)=YEAR('New Hires Forecast'!$Q$3),IF((AP$5=12),(SUMPRODUCT(--('New Hires Forecast'!$F$5:$F$84="Development Operations"),--('New Hires Forecast'!$H$5:$H$84&gt;=BI!AP$3),'New Hires Forecast'!$Q$5:$Q$84,'New Hires Forecast'!$L$5:$L$84)),0),IF(YEAR(AP$3)=YEAR('New Hires Forecast'!$R$3),IF((AP$5=12),(SUMPRODUCT(--('New Hires Forecast'!$F$5:$F$84="Development Operations"),--('New Hires Forecast'!$H$5:$H$84&gt;=BI!AP$3),'New Hires Forecast'!$R$5:$R$84,'New Hires Forecast'!$L$5:$L$84)),0),"New Year"))))),0)</f>
        <v>0</v>
      </c>
      <c r="AQ15" s="684">
        <f>IF(AQ$4="forecast",IF(YEAR(AQ$3)=YEAR('New Hires Forecast'!$N$3),IF((AQ$5=12),(SUMPRODUCT(--('New Hires Forecast'!$F$5:$F$84="Development Operations"),--('New Hires Forecast'!$H$5:$H$84&gt;=BI!AQ$3),'New Hires Forecast'!$N$5:$N$84,'New Hires Forecast'!$L$5:$L$84)),0),IF(YEAR(AQ$3)=YEAR('New Hires Forecast'!$O$3),IF((AQ$5=12),(SUMPRODUCT(--('New Hires Forecast'!$F$5:$F$84="Development Operations"),--('New Hires Forecast'!$H$5:$H$84&gt;=BI!AQ$3),'New Hires Forecast'!$O$5:$O$84,'New Hires Forecast'!$L$5:$L$84)),0),IF(YEAR(AQ$3)=YEAR('New Hires Forecast'!$P$3),IF((AQ$5=12),(SUMPRODUCT(--('New Hires Forecast'!$F$5:$F$84="Development Operations"),--('New Hires Forecast'!$H$5:$H$84&gt;=BI!AQ$3),'New Hires Forecast'!$P$5:$P$84,'New Hires Forecast'!$L$5:$L$84)),0),IF(YEAR(AQ$3)=YEAR('New Hires Forecast'!$Q$3),IF((AQ$5=12),(SUMPRODUCT(--('New Hires Forecast'!$F$5:$F$84="Development Operations"),--('New Hires Forecast'!$H$5:$H$84&gt;=BI!AQ$3),'New Hires Forecast'!$Q$5:$Q$84,'New Hires Forecast'!$L$5:$L$84)),0),IF(YEAR(AQ$3)=YEAR('New Hires Forecast'!$R$3),IF((AQ$5=12),(SUMPRODUCT(--('New Hires Forecast'!$F$5:$F$84="Development Operations"),--('New Hires Forecast'!$H$5:$H$84&gt;=BI!AQ$3),'New Hires Forecast'!$R$5:$R$84,'New Hires Forecast'!$L$5:$L$84)),0),"New Year"))))),0)</f>
        <v>0</v>
      </c>
      <c r="AR15" s="684">
        <f>IF(AR$4="forecast",IF(YEAR(AR$3)=YEAR('New Hires Forecast'!$N$3),IF((AR$5=12),(SUMPRODUCT(--('New Hires Forecast'!$F$5:$F$84="Development Operations"),--('New Hires Forecast'!$H$5:$H$84&gt;=BI!AR$3),'New Hires Forecast'!$N$5:$N$84,'New Hires Forecast'!$L$5:$L$84)),0),IF(YEAR(AR$3)=YEAR('New Hires Forecast'!$O$3),IF((AR$5=12),(SUMPRODUCT(--('New Hires Forecast'!$F$5:$F$84="Development Operations"),--('New Hires Forecast'!$H$5:$H$84&gt;=BI!AR$3),'New Hires Forecast'!$O$5:$O$84,'New Hires Forecast'!$L$5:$L$84)),0),IF(YEAR(AR$3)=YEAR('New Hires Forecast'!$P$3),IF((AR$5=12),(SUMPRODUCT(--('New Hires Forecast'!$F$5:$F$84="Development Operations"),--('New Hires Forecast'!$H$5:$H$84&gt;=BI!AR$3),'New Hires Forecast'!$P$5:$P$84,'New Hires Forecast'!$L$5:$L$84)),0),IF(YEAR(AR$3)=YEAR('New Hires Forecast'!$Q$3),IF((AR$5=12),(SUMPRODUCT(--('New Hires Forecast'!$F$5:$F$84="Development Operations"),--('New Hires Forecast'!$H$5:$H$84&gt;=BI!AR$3),'New Hires Forecast'!$Q$5:$Q$84,'New Hires Forecast'!$L$5:$L$84)),0),IF(YEAR(AR$3)=YEAR('New Hires Forecast'!$R$3),IF((AR$5=12),(SUMPRODUCT(--('New Hires Forecast'!$F$5:$F$84="Development Operations"),--('New Hires Forecast'!$H$5:$H$84&gt;=BI!AR$3),'New Hires Forecast'!$R$5:$R$84,'New Hires Forecast'!$L$5:$L$84)),0),"New Year"))))),0)</f>
        <v>0</v>
      </c>
      <c r="AS15" s="684">
        <f>IF(AS$4="forecast",IF(YEAR(AS$3)=YEAR('New Hires Forecast'!$N$3),IF((AS$5=12),(SUMPRODUCT(--('New Hires Forecast'!$F$5:$F$84="Development Operations"),--('New Hires Forecast'!$H$5:$H$84&gt;=BI!AS$3),'New Hires Forecast'!$N$5:$N$84,'New Hires Forecast'!$L$5:$L$84)),0),IF(YEAR(AS$3)=YEAR('New Hires Forecast'!$O$3),IF((AS$5=12),(SUMPRODUCT(--('New Hires Forecast'!$F$5:$F$84="Development Operations"),--('New Hires Forecast'!$H$5:$H$84&gt;=BI!AS$3),'New Hires Forecast'!$O$5:$O$84,'New Hires Forecast'!$L$5:$L$84)),0),IF(YEAR(AS$3)=YEAR('New Hires Forecast'!$P$3),IF((AS$5=12),(SUMPRODUCT(--('New Hires Forecast'!$F$5:$F$84="Development Operations"),--('New Hires Forecast'!$H$5:$H$84&gt;=BI!AS$3),'New Hires Forecast'!$P$5:$P$84,'New Hires Forecast'!$L$5:$L$84)),0),IF(YEAR(AS$3)=YEAR('New Hires Forecast'!$Q$3),IF((AS$5=12),(SUMPRODUCT(--('New Hires Forecast'!$F$5:$F$84="Development Operations"),--('New Hires Forecast'!$H$5:$H$84&gt;=BI!AS$3),'New Hires Forecast'!$Q$5:$Q$84,'New Hires Forecast'!$L$5:$L$84)),0),IF(YEAR(AS$3)=YEAR('New Hires Forecast'!$R$3),IF((AS$5=12),(SUMPRODUCT(--('New Hires Forecast'!$F$5:$F$84="Development Operations"),--('New Hires Forecast'!$H$5:$H$84&gt;=BI!AS$3),'New Hires Forecast'!$R$5:$R$84,'New Hires Forecast'!$L$5:$L$84)),0),"New Year"))))),0)</f>
        <v>0</v>
      </c>
      <c r="AT15" s="684">
        <f>IF(AT$4="forecast",IF(YEAR(AT$3)=YEAR('New Hires Forecast'!$N$3),IF((AT$5=12),(SUMPRODUCT(--('New Hires Forecast'!$F$5:$F$84="Development Operations"),--('New Hires Forecast'!$H$5:$H$84&gt;=BI!AT$3),'New Hires Forecast'!$N$5:$N$84,'New Hires Forecast'!$L$5:$L$84)),0),IF(YEAR(AT$3)=YEAR('New Hires Forecast'!$O$3),IF((AT$5=12),(SUMPRODUCT(--('New Hires Forecast'!$F$5:$F$84="Development Operations"),--('New Hires Forecast'!$H$5:$H$84&gt;=BI!AT$3),'New Hires Forecast'!$O$5:$O$84,'New Hires Forecast'!$L$5:$L$84)),0),IF(YEAR(AT$3)=YEAR('New Hires Forecast'!$P$3),IF((AT$5=12),(SUMPRODUCT(--('New Hires Forecast'!$F$5:$F$84="Development Operations"),--('New Hires Forecast'!$H$5:$H$84&gt;=BI!AT$3),'New Hires Forecast'!$P$5:$P$84,'New Hires Forecast'!$L$5:$L$84)),0),IF(YEAR(AT$3)=YEAR('New Hires Forecast'!$Q$3),IF((AT$5=12),(SUMPRODUCT(--('New Hires Forecast'!$F$5:$F$84="Development Operations"),--('New Hires Forecast'!$H$5:$H$84&gt;=BI!AT$3),'New Hires Forecast'!$Q$5:$Q$84,'New Hires Forecast'!$L$5:$L$84)),0),IF(YEAR(AT$3)=YEAR('New Hires Forecast'!$R$3),IF((AT$5=12),(SUMPRODUCT(--('New Hires Forecast'!$F$5:$F$84="Development Operations"),--('New Hires Forecast'!$H$5:$H$84&gt;=BI!AT$3),'New Hires Forecast'!$R$5:$R$84,'New Hires Forecast'!$L$5:$L$84)),0),"New Year"))))),0)</f>
        <v>0</v>
      </c>
      <c r="AU15" s="684">
        <f>IF(AU$4="forecast",IF(YEAR(AU$3)=YEAR('New Hires Forecast'!$N$3),IF((AU$5=12),(SUMPRODUCT(--('New Hires Forecast'!$F$5:$F$84="Development Operations"),--('New Hires Forecast'!$H$5:$H$84&gt;=BI!AU$3),'New Hires Forecast'!$N$5:$N$84,'New Hires Forecast'!$L$5:$L$84)),0),IF(YEAR(AU$3)=YEAR('New Hires Forecast'!$O$3),IF((AU$5=12),(SUMPRODUCT(--('New Hires Forecast'!$F$5:$F$84="Development Operations"),--('New Hires Forecast'!$H$5:$H$84&gt;=BI!AU$3),'New Hires Forecast'!$O$5:$O$84,'New Hires Forecast'!$L$5:$L$84)),0),IF(YEAR(AU$3)=YEAR('New Hires Forecast'!$P$3),IF((AU$5=12),(SUMPRODUCT(--('New Hires Forecast'!$F$5:$F$84="Development Operations"),--('New Hires Forecast'!$H$5:$H$84&gt;=BI!AU$3),'New Hires Forecast'!$P$5:$P$84,'New Hires Forecast'!$L$5:$L$84)),0),IF(YEAR(AU$3)=YEAR('New Hires Forecast'!$Q$3),IF((AU$5=12),(SUMPRODUCT(--('New Hires Forecast'!$F$5:$F$84="Development Operations"),--('New Hires Forecast'!$H$5:$H$84&gt;=BI!AU$3),'New Hires Forecast'!$Q$5:$Q$84,'New Hires Forecast'!$L$5:$L$84)),0),IF(YEAR(AU$3)=YEAR('New Hires Forecast'!$R$3),IF((AU$5=12),(SUMPRODUCT(--('New Hires Forecast'!$F$5:$F$84="Development Operations"),--('New Hires Forecast'!$H$5:$H$84&gt;=BI!AU$3),'New Hires Forecast'!$R$5:$R$84,'New Hires Forecast'!$L$5:$L$84)),0),"New Year"))))),0)</f>
        <v>0</v>
      </c>
      <c r="AV15" s="684">
        <f>IF(AV$4="forecast",IF(YEAR(AV$3)=YEAR('New Hires Forecast'!$N$3),IF((AV$5=12),(SUMPRODUCT(--('New Hires Forecast'!$F$5:$F$84="Development Operations"),--('New Hires Forecast'!$H$5:$H$84&gt;=BI!AV$3),'New Hires Forecast'!$N$5:$N$84,'New Hires Forecast'!$L$5:$L$84)),0),IF(YEAR(AV$3)=YEAR('New Hires Forecast'!$O$3),IF((AV$5=12),(SUMPRODUCT(--('New Hires Forecast'!$F$5:$F$84="Development Operations"),--('New Hires Forecast'!$H$5:$H$84&gt;=BI!AV$3),'New Hires Forecast'!$O$5:$O$84,'New Hires Forecast'!$L$5:$L$84)),0),IF(YEAR(AV$3)=YEAR('New Hires Forecast'!$P$3),IF((AV$5=12),(SUMPRODUCT(--('New Hires Forecast'!$F$5:$F$84="Development Operations"),--('New Hires Forecast'!$H$5:$H$84&gt;=BI!AV$3),'New Hires Forecast'!$P$5:$P$84,'New Hires Forecast'!$L$5:$L$84)),0),IF(YEAR(AV$3)=YEAR('New Hires Forecast'!$Q$3),IF((AV$5=12),(SUMPRODUCT(--('New Hires Forecast'!$F$5:$F$84="Development Operations"),--('New Hires Forecast'!$H$5:$H$84&gt;=BI!AV$3),'New Hires Forecast'!$Q$5:$Q$84,'New Hires Forecast'!$L$5:$L$84)),0),IF(YEAR(AV$3)=YEAR('New Hires Forecast'!$R$3),IF((AV$5=12),(SUMPRODUCT(--('New Hires Forecast'!$F$5:$F$84="Development Operations"),--('New Hires Forecast'!$H$5:$H$84&gt;=BI!AV$3),'New Hires Forecast'!$R$5:$R$84,'New Hires Forecast'!$L$5:$L$84)),0),"New Year"))))),0)</f>
        <v>0</v>
      </c>
      <c r="AW15" s="684">
        <f>IF(AW$4="forecast",IF(YEAR(AW$3)=YEAR('New Hires Forecast'!$N$3),IF((AW$5=12),(SUMPRODUCT(--('New Hires Forecast'!$F$5:$F$84="Development Operations"),--('New Hires Forecast'!$H$5:$H$84&gt;=BI!AW$3),'New Hires Forecast'!$N$5:$N$84,'New Hires Forecast'!$L$5:$L$84)),0),IF(YEAR(AW$3)=YEAR('New Hires Forecast'!$O$3),IF((AW$5=12),(SUMPRODUCT(--('New Hires Forecast'!$F$5:$F$84="Development Operations"),--('New Hires Forecast'!$H$5:$H$84&gt;=BI!AW$3),'New Hires Forecast'!$O$5:$O$84,'New Hires Forecast'!$L$5:$L$84)),0),IF(YEAR(AW$3)=YEAR('New Hires Forecast'!$P$3),IF((AW$5=12),(SUMPRODUCT(--('New Hires Forecast'!$F$5:$F$84="Development Operations"),--('New Hires Forecast'!$H$5:$H$84&gt;=BI!AW$3),'New Hires Forecast'!$P$5:$P$84,'New Hires Forecast'!$L$5:$L$84)),0),IF(YEAR(AW$3)=YEAR('New Hires Forecast'!$Q$3),IF((AW$5=12),(SUMPRODUCT(--('New Hires Forecast'!$F$5:$F$84="Development Operations"),--('New Hires Forecast'!$H$5:$H$84&gt;=BI!AW$3),'New Hires Forecast'!$Q$5:$Q$84,'New Hires Forecast'!$L$5:$L$84)),0),IF(YEAR(AW$3)=YEAR('New Hires Forecast'!$R$3),IF((AW$5=12),(SUMPRODUCT(--('New Hires Forecast'!$F$5:$F$84="Development Operations"),--('New Hires Forecast'!$H$5:$H$84&gt;=BI!AW$3),'New Hires Forecast'!$R$5:$R$84,'New Hires Forecast'!$L$5:$L$84)),0),"New Year"))))),0)</f>
        <v>0</v>
      </c>
      <c r="AX15" s="684">
        <f>IF(AX$4="forecast",IF(YEAR(AX$3)=YEAR('New Hires Forecast'!$N$3),IF((AX$5=12),(SUMPRODUCT(--('New Hires Forecast'!$F$5:$F$84="Development Operations"),--('New Hires Forecast'!$H$5:$H$84&gt;=BI!AX$3),'New Hires Forecast'!$N$5:$N$84,'New Hires Forecast'!$L$5:$L$84)),0),IF(YEAR(AX$3)=YEAR('New Hires Forecast'!$O$3),IF((AX$5=12),(SUMPRODUCT(--('New Hires Forecast'!$F$5:$F$84="Development Operations"),--('New Hires Forecast'!$H$5:$H$84&gt;=BI!AX$3),'New Hires Forecast'!$O$5:$O$84,'New Hires Forecast'!$L$5:$L$84)),0),IF(YEAR(AX$3)=YEAR('New Hires Forecast'!$P$3),IF((AX$5=12),(SUMPRODUCT(--('New Hires Forecast'!$F$5:$F$84="Development Operations"),--('New Hires Forecast'!$H$5:$H$84&gt;=BI!AX$3),'New Hires Forecast'!$P$5:$P$84,'New Hires Forecast'!$L$5:$L$84)),0),IF(YEAR(AX$3)=YEAR('New Hires Forecast'!$Q$3),IF((AX$5=12),(SUMPRODUCT(--('New Hires Forecast'!$F$5:$F$84="Development Operations"),--('New Hires Forecast'!$H$5:$H$84&gt;=BI!AX$3),'New Hires Forecast'!$Q$5:$Q$84,'New Hires Forecast'!$L$5:$L$84)),0),IF(YEAR(AX$3)=YEAR('New Hires Forecast'!$R$3),IF((AX$5=12),(SUMPRODUCT(--('New Hires Forecast'!$F$5:$F$84="Development Operations"),--('New Hires Forecast'!$H$5:$H$84&gt;=BI!AX$3),'New Hires Forecast'!$R$5:$R$84,'New Hires Forecast'!$L$5:$L$84)),0),"New Year"))))),0)</f>
        <v>12360</v>
      </c>
      <c r="AY15" s="684">
        <f>IF(AY$4="forecast",IF(YEAR(AY$3)=YEAR('New Hires Forecast'!$N$3),IF((AY$5=12),(SUMPRODUCT(--('New Hires Forecast'!$F$5:$F$84="Development Operations"),--('New Hires Forecast'!$H$5:$H$84&gt;=BI!AY$3),'New Hires Forecast'!$N$5:$N$84,'New Hires Forecast'!$L$5:$L$84)),0),IF(YEAR(AY$3)=YEAR('New Hires Forecast'!$O$3),IF((AY$5=12),(SUMPRODUCT(--('New Hires Forecast'!$F$5:$F$84="Development Operations"),--('New Hires Forecast'!$H$5:$H$84&gt;=BI!AY$3),'New Hires Forecast'!$O$5:$O$84,'New Hires Forecast'!$L$5:$L$84)),0),IF(YEAR(AY$3)=YEAR('New Hires Forecast'!$P$3),IF((AY$5=12),(SUMPRODUCT(--('New Hires Forecast'!$F$5:$F$84="Development Operations"),--('New Hires Forecast'!$H$5:$H$84&gt;=BI!AY$3),'New Hires Forecast'!$P$5:$P$84,'New Hires Forecast'!$L$5:$L$84)),0),IF(YEAR(AY$3)=YEAR('New Hires Forecast'!$Q$3),IF((AY$5=12),(SUMPRODUCT(--('New Hires Forecast'!$F$5:$F$84="Development Operations"),--('New Hires Forecast'!$H$5:$H$84&gt;=BI!AY$3),'New Hires Forecast'!$Q$5:$Q$84,'New Hires Forecast'!$L$5:$L$84)),0),IF(YEAR(AY$3)=YEAR('New Hires Forecast'!$R$3),IF((AY$5=12),(SUMPRODUCT(--('New Hires Forecast'!$F$5:$F$84="Development Operations"),--('New Hires Forecast'!$H$5:$H$84&gt;=BI!AY$3),'New Hires Forecast'!$R$5:$R$84,'New Hires Forecast'!$L$5:$L$84)),0),"New Year"))))),0)</f>
        <v>0</v>
      </c>
      <c r="AZ15" s="684">
        <f>IF(AZ$4="forecast",IF(YEAR(AZ$3)=YEAR('New Hires Forecast'!$N$3),IF((AZ$5=12),(SUMPRODUCT(--('New Hires Forecast'!$F$5:$F$84="Development Operations"),--('New Hires Forecast'!$H$5:$H$84&gt;=BI!AZ$3),'New Hires Forecast'!$N$5:$N$84,'New Hires Forecast'!$L$5:$L$84)),0),IF(YEAR(AZ$3)=YEAR('New Hires Forecast'!$O$3),IF((AZ$5=12),(SUMPRODUCT(--('New Hires Forecast'!$F$5:$F$84="Development Operations"),--('New Hires Forecast'!$H$5:$H$84&gt;=BI!AZ$3),'New Hires Forecast'!$O$5:$O$84,'New Hires Forecast'!$L$5:$L$84)),0),IF(YEAR(AZ$3)=YEAR('New Hires Forecast'!$P$3),IF((AZ$5=12),(SUMPRODUCT(--('New Hires Forecast'!$F$5:$F$84="Development Operations"),--('New Hires Forecast'!$H$5:$H$84&gt;=BI!AZ$3),'New Hires Forecast'!$P$5:$P$84,'New Hires Forecast'!$L$5:$L$84)),0),IF(YEAR(AZ$3)=YEAR('New Hires Forecast'!$Q$3),IF((AZ$5=12),(SUMPRODUCT(--('New Hires Forecast'!$F$5:$F$84="Development Operations"),--('New Hires Forecast'!$H$5:$H$84&gt;=BI!AZ$3),'New Hires Forecast'!$Q$5:$Q$84,'New Hires Forecast'!$L$5:$L$84)),0),IF(YEAR(AZ$3)=YEAR('New Hires Forecast'!$R$3),IF((AZ$5=12),(SUMPRODUCT(--('New Hires Forecast'!$F$5:$F$84="Development Operations"),--('New Hires Forecast'!$H$5:$H$84&gt;=BI!AZ$3),'New Hires Forecast'!$R$5:$R$84,'New Hires Forecast'!$L$5:$L$84)),0),"New Year"))))),0)</f>
        <v>0</v>
      </c>
      <c r="BA15" s="684">
        <f>IF(BA$4="forecast",IF(YEAR(BA$3)=YEAR('New Hires Forecast'!$N$3),IF((BA$5=12),(SUMPRODUCT(--('New Hires Forecast'!$F$5:$F$84="Development Operations"),--('New Hires Forecast'!$H$5:$H$84&gt;=BI!BA$3),'New Hires Forecast'!$N$5:$N$84,'New Hires Forecast'!$L$5:$L$84)),0),IF(YEAR(BA$3)=YEAR('New Hires Forecast'!$O$3),IF((BA$5=12),(SUMPRODUCT(--('New Hires Forecast'!$F$5:$F$84="Development Operations"),--('New Hires Forecast'!$H$5:$H$84&gt;=BI!BA$3),'New Hires Forecast'!$O$5:$O$84,'New Hires Forecast'!$L$5:$L$84)),0),IF(YEAR(BA$3)=YEAR('New Hires Forecast'!$P$3),IF((BA$5=12),(SUMPRODUCT(--('New Hires Forecast'!$F$5:$F$84="Development Operations"),--('New Hires Forecast'!$H$5:$H$84&gt;=BI!BA$3),'New Hires Forecast'!$P$5:$P$84,'New Hires Forecast'!$L$5:$L$84)),0),IF(YEAR(BA$3)=YEAR('New Hires Forecast'!$Q$3),IF((BA$5=12),(SUMPRODUCT(--('New Hires Forecast'!$F$5:$F$84="Development Operations"),--('New Hires Forecast'!$H$5:$H$84&gt;=BI!BA$3),'New Hires Forecast'!$Q$5:$Q$84,'New Hires Forecast'!$L$5:$L$84)),0),IF(YEAR(BA$3)=YEAR('New Hires Forecast'!$R$3),IF((BA$5=12),(SUMPRODUCT(--('New Hires Forecast'!$F$5:$F$84="Development Operations"),--('New Hires Forecast'!$H$5:$H$84&gt;=BI!BA$3),'New Hires Forecast'!$R$5:$R$84,'New Hires Forecast'!$L$5:$L$84)),0),"New Year"))))),0)</f>
        <v>0</v>
      </c>
      <c r="BB15" s="684">
        <f>IF(BB$4="forecast",IF(YEAR(BB$3)=YEAR('New Hires Forecast'!$N$3),IF((BB$5=12),(SUMPRODUCT(--('New Hires Forecast'!$F$5:$F$84="Development Operations"),--('New Hires Forecast'!$H$5:$H$84&gt;=BI!BB$3),'New Hires Forecast'!$N$5:$N$84,'New Hires Forecast'!$L$5:$L$84)),0),IF(YEAR(BB$3)=YEAR('New Hires Forecast'!$O$3),IF((BB$5=12),(SUMPRODUCT(--('New Hires Forecast'!$F$5:$F$84="Development Operations"),--('New Hires Forecast'!$H$5:$H$84&gt;=BI!BB$3),'New Hires Forecast'!$O$5:$O$84,'New Hires Forecast'!$L$5:$L$84)),0),IF(YEAR(BB$3)=YEAR('New Hires Forecast'!$P$3),IF((BB$5=12),(SUMPRODUCT(--('New Hires Forecast'!$F$5:$F$84="Development Operations"),--('New Hires Forecast'!$H$5:$H$84&gt;=BI!BB$3),'New Hires Forecast'!$P$5:$P$84,'New Hires Forecast'!$L$5:$L$84)),0),IF(YEAR(BB$3)=YEAR('New Hires Forecast'!$Q$3),IF((BB$5=12),(SUMPRODUCT(--('New Hires Forecast'!$F$5:$F$84="Development Operations"),--('New Hires Forecast'!$H$5:$H$84&gt;=BI!BB$3),'New Hires Forecast'!$Q$5:$Q$84,'New Hires Forecast'!$L$5:$L$84)),0),IF(YEAR(BB$3)=YEAR('New Hires Forecast'!$R$3),IF((BB$5=12),(SUMPRODUCT(--('New Hires Forecast'!$F$5:$F$84="Development Operations"),--('New Hires Forecast'!$H$5:$H$84&gt;=BI!BB$3),'New Hires Forecast'!$R$5:$R$84,'New Hires Forecast'!$L$5:$L$84)),0),"New Year"))))),0)</f>
        <v>0</v>
      </c>
      <c r="BC15" s="684">
        <f>IF(BC$4="forecast",IF(YEAR(BC$3)=YEAR('New Hires Forecast'!$N$3),IF((BC$5=12),(SUMPRODUCT(--('New Hires Forecast'!$F$5:$F$84="Development Operations"),--('New Hires Forecast'!$H$5:$H$84&gt;=BI!BC$3),'New Hires Forecast'!$N$5:$N$84,'New Hires Forecast'!$L$5:$L$84)),0),IF(YEAR(BC$3)=YEAR('New Hires Forecast'!$O$3),IF((BC$5=12),(SUMPRODUCT(--('New Hires Forecast'!$F$5:$F$84="Development Operations"),--('New Hires Forecast'!$H$5:$H$84&gt;=BI!BC$3),'New Hires Forecast'!$O$5:$O$84,'New Hires Forecast'!$L$5:$L$84)),0),IF(YEAR(BC$3)=YEAR('New Hires Forecast'!$P$3),IF((BC$5=12),(SUMPRODUCT(--('New Hires Forecast'!$F$5:$F$84="Development Operations"),--('New Hires Forecast'!$H$5:$H$84&gt;=BI!BC$3),'New Hires Forecast'!$P$5:$P$84,'New Hires Forecast'!$L$5:$L$84)),0),IF(YEAR(BC$3)=YEAR('New Hires Forecast'!$Q$3),IF((BC$5=12),(SUMPRODUCT(--('New Hires Forecast'!$F$5:$F$84="Development Operations"),--('New Hires Forecast'!$H$5:$H$84&gt;=BI!BC$3),'New Hires Forecast'!$Q$5:$Q$84,'New Hires Forecast'!$L$5:$L$84)),0),IF(YEAR(BC$3)=YEAR('New Hires Forecast'!$R$3),IF((BC$5=12),(SUMPRODUCT(--('New Hires Forecast'!$F$5:$F$84="Development Operations"),--('New Hires Forecast'!$H$5:$H$84&gt;=BI!BC$3),'New Hires Forecast'!$R$5:$R$84,'New Hires Forecast'!$L$5:$L$84)),0),"New Year"))))),0)</f>
        <v>0</v>
      </c>
      <c r="BD15" s="684">
        <f>IF(BD$4="forecast",IF(YEAR(BD$3)=YEAR('New Hires Forecast'!$N$3),IF((BD$5=12),(SUMPRODUCT(--('New Hires Forecast'!$F$5:$F$84="Development Operations"),--('New Hires Forecast'!$H$5:$H$84&gt;=BI!BD$3),'New Hires Forecast'!$N$5:$N$84,'New Hires Forecast'!$L$5:$L$84)),0),IF(YEAR(BD$3)=YEAR('New Hires Forecast'!$O$3),IF((BD$5=12),(SUMPRODUCT(--('New Hires Forecast'!$F$5:$F$84="Development Operations"),--('New Hires Forecast'!$H$5:$H$84&gt;=BI!BD$3),'New Hires Forecast'!$O$5:$O$84,'New Hires Forecast'!$L$5:$L$84)),0),IF(YEAR(BD$3)=YEAR('New Hires Forecast'!$P$3),IF((BD$5=12),(SUMPRODUCT(--('New Hires Forecast'!$F$5:$F$84="Development Operations"),--('New Hires Forecast'!$H$5:$H$84&gt;=BI!BD$3),'New Hires Forecast'!$P$5:$P$84,'New Hires Forecast'!$L$5:$L$84)),0),IF(YEAR(BD$3)=YEAR('New Hires Forecast'!$Q$3),IF((BD$5=12),(SUMPRODUCT(--('New Hires Forecast'!$F$5:$F$84="Development Operations"),--('New Hires Forecast'!$H$5:$H$84&gt;=BI!BD$3),'New Hires Forecast'!$Q$5:$Q$84,'New Hires Forecast'!$L$5:$L$84)),0),IF(YEAR(BD$3)=YEAR('New Hires Forecast'!$R$3),IF((BD$5=12),(SUMPRODUCT(--('New Hires Forecast'!$F$5:$F$84="Development Operations"),--('New Hires Forecast'!$H$5:$H$84&gt;=BI!BD$3),'New Hires Forecast'!$R$5:$R$84,'New Hires Forecast'!$L$5:$L$84)),0),"New Year"))))),0)</f>
        <v>0</v>
      </c>
      <c r="BE15" s="684">
        <f>IF(BE$4="forecast",IF(YEAR(BE$3)=YEAR('New Hires Forecast'!$N$3),IF((BE$5=12),(SUMPRODUCT(--('New Hires Forecast'!$F$5:$F$84="Development Operations"),--('New Hires Forecast'!$H$5:$H$84&gt;=BI!BE$3),'New Hires Forecast'!$N$5:$N$84,'New Hires Forecast'!$L$5:$L$84)),0),IF(YEAR(BE$3)=YEAR('New Hires Forecast'!$O$3),IF((BE$5=12),(SUMPRODUCT(--('New Hires Forecast'!$F$5:$F$84="Development Operations"),--('New Hires Forecast'!$H$5:$H$84&gt;=BI!BE$3),'New Hires Forecast'!$O$5:$O$84,'New Hires Forecast'!$L$5:$L$84)),0),IF(YEAR(BE$3)=YEAR('New Hires Forecast'!$P$3),IF((BE$5=12),(SUMPRODUCT(--('New Hires Forecast'!$F$5:$F$84="Development Operations"),--('New Hires Forecast'!$H$5:$H$84&gt;=BI!BE$3),'New Hires Forecast'!$P$5:$P$84,'New Hires Forecast'!$L$5:$L$84)),0),IF(YEAR(BE$3)=YEAR('New Hires Forecast'!$Q$3),IF((BE$5=12),(SUMPRODUCT(--('New Hires Forecast'!$F$5:$F$84="Development Operations"),--('New Hires Forecast'!$H$5:$H$84&gt;=BI!BE$3),'New Hires Forecast'!$Q$5:$Q$84,'New Hires Forecast'!$L$5:$L$84)),0),IF(YEAR(BE$3)=YEAR('New Hires Forecast'!$R$3),IF((BE$5=12),(SUMPRODUCT(--('New Hires Forecast'!$F$5:$F$84="Development Operations"),--('New Hires Forecast'!$H$5:$H$84&gt;=BI!BE$3),'New Hires Forecast'!$R$5:$R$84,'New Hires Forecast'!$L$5:$L$84)),0),"New Year"))))),0)</f>
        <v>0</v>
      </c>
      <c r="BF15" s="684">
        <f>IF(BF$4="forecast",IF(YEAR(BF$3)=YEAR('New Hires Forecast'!$N$3),IF((BF$5=12),(SUMPRODUCT(--('New Hires Forecast'!$F$5:$F$84="Development Operations"),--('New Hires Forecast'!$H$5:$H$84&gt;=BI!BF$3),'New Hires Forecast'!$N$5:$N$84,'New Hires Forecast'!$L$5:$L$84)),0),IF(YEAR(BF$3)=YEAR('New Hires Forecast'!$O$3),IF((BF$5=12),(SUMPRODUCT(--('New Hires Forecast'!$F$5:$F$84="Development Operations"),--('New Hires Forecast'!$H$5:$H$84&gt;=BI!BF$3),'New Hires Forecast'!$O$5:$O$84,'New Hires Forecast'!$L$5:$L$84)),0),IF(YEAR(BF$3)=YEAR('New Hires Forecast'!$P$3),IF((BF$5=12),(SUMPRODUCT(--('New Hires Forecast'!$F$5:$F$84="Development Operations"),--('New Hires Forecast'!$H$5:$H$84&gt;=BI!BF$3),'New Hires Forecast'!$P$5:$P$84,'New Hires Forecast'!$L$5:$L$84)),0),IF(YEAR(BF$3)=YEAR('New Hires Forecast'!$Q$3),IF((BF$5=12),(SUMPRODUCT(--('New Hires Forecast'!$F$5:$F$84="Development Operations"),--('New Hires Forecast'!$H$5:$H$84&gt;=BI!BF$3),'New Hires Forecast'!$Q$5:$Q$84,'New Hires Forecast'!$L$5:$L$84)),0),IF(YEAR(BF$3)=YEAR('New Hires Forecast'!$R$3),IF((BF$5=12),(SUMPRODUCT(--('New Hires Forecast'!$F$5:$F$84="Development Operations"),--('New Hires Forecast'!$H$5:$H$84&gt;=BI!BF$3),'New Hires Forecast'!$R$5:$R$84,'New Hires Forecast'!$L$5:$L$84)),0),"New Year"))))),0)</f>
        <v>0</v>
      </c>
      <c r="BG15" s="684">
        <f>IF(BG$4="forecast",IF(YEAR(BG$3)=YEAR('New Hires Forecast'!$N$3),IF((BG$5=12),(SUMPRODUCT(--('New Hires Forecast'!$F$5:$F$84="Development Operations"),--('New Hires Forecast'!$H$5:$H$84&gt;=BI!BG$3),'New Hires Forecast'!$N$5:$N$84,'New Hires Forecast'!$L$5:$L$84)),0),IF(YEAR(BG$3)=YEAR('New Hires Forecast'!$O$3),IF((BG$5=12),(SUMPRODUCT(--('New Hires Forecast'!$F$5:$F$84="Development Operations"),--('New Hires Forecast'!$H$5:$H$84&gt;=BI!BG$3),'New Hires Forecast'!$O$5:$O$84,'New Hires Forecast'!$L$5:$L$84)),0),IF(YEAR(BG$3)=YEAR('New Hires Forecast'!$P$3),IF((BG$5=12),(SUMPRODUCT(--('New Hires Forecast'!$F$5:$F$84="Development Operations"),--('New Hires Forecast'!$H$5:$H$84&gt;=BI!BG$3),'New Hires Forecast'!$P$5:$P$84,'New Hires Forecast'!$L$5:$L$84)),0),IF(YEAR(BG$3)=YEAR('New Hires Forecast'!$Q$3),IF((BG$5=12),(SUMPRODUCT(--('New Hires Forecast'!$F$5:$F$84="Development Operations"),--('New Hires Forecast'!$H$5:$H$84&gt;=BI!BG$3),'New Hires Forecast'!$Q$5:$Q$84,'New Hires Forecast'!$L$5:$L$84)),0),IF(YEAR(BG$3)=YEAR('New Hires Forecast'!$R$3),IF((BG$5=12),(SUMPRODUCT(--('New Hires Forecast'!$F$5:$F$84="Development Operations"),--('New Hires Forecast'!$H$5:$H$84&gt;=BI!BG$3),'New Hires Forecast'!$R$5:$R$84,'New Hires Forecast'!$L$5:$L$84)),0),"New Year"))))),0)</f>
        <v>0</v>
      </c>
      <c r="BH15" s="684">
        <f>IF(BH$4="forecast",IF(YEAR(BH$3)=YEAR('New Hires Forecast'!$N$3),IF((BH$5=12),(SUMPRODUCT(--('New Hires Forecast'!$F$5:$F$84="Development Operations"),--('New Hires Forecast'!$H$5:$H$84&gt;=BI!BH$3),'New Hires Forecast'!$N$5:$N$84,'New Hires Forecast'!$L$5:$L$84)),0),IF(YEAR(BH$3)=YEAR('New Hires Forecast'!$O$3),IF((BH$5=12),(SUMPRODUCT(--('New Hires Forecast'!$F$5:$F$84="Development Operations"),--('New Hires Forecast'!$H$5:$H$84&gt;=BI!BH$3),'New Hires Forecast'!$O$5:$O$84,'New Hires Forecast'!$L$5:$L$84)),0),IF(YEAR(BH$3)=YEAR('New Hires Forecast'!$P$3),IF((BH$5=12),(SUMPRODUCT(--('New Hires Forecast'!$F$5:$F$84="Development Operations"),--('New Hires Forecast'!$H$5:$H$84&gt;=BI!BH$3),'New Hires Forecast'!$P$5:$P$84,'New Hires Forecast'!$L$5:$L$84)),0),IF(YEAR(BH$3)=YEAR('New Hires Forecast'!$Q$3),IF((BH$5=12),(SUMPRODUCT(--('New Hires Forecast'!$F$5:$F$84="Development Operations"),--('New Hires Forecast'!$H$5:$H$84&gt;=BI!BH$3),'New Hires Forecast'!$Q$5:$Q$84,'New Hires Forecast'!$L$5:$L$84)),0),IF(YEAR(BH$3)=YEAR('New Hires Forecast'!$R$3),IF((BH$5=12),(SUMPRODUCT(--('New Hires Forecast'!$F$5:$F$84="Development Operations"),--('New Hires Forecast'!$H$5:$H$84&gt;=BI!BH$3),'New Hires Forecast'!$R$5:$R$84,'New Hires Forecast'!$L$5:$L$84)),0),"New Year"))))),0)</f>
        <v>0</v>
      </c>
      <c r="BI15" s="684">
        <f>IF(BI$4="forecast",IF(YEAR(BI$3)=YEAR('New Hires Forecast'!$N$3),IF((BI$5=12),(SUMPRODUCT(--('New Hires Forecast'!$F$5:$F$84="Development Operations"),--('New Hires Forecast'!$H$5:$H$84&gt;=BI!BI$3),'New Hires Forecast'!$N$5:$N$84,'New Hires Forecast'!$L$5:$L$84)),0),IF(YEAR(BI$3)=YEAR('New Hires Forecast'!$O$3),IF((BI$5=12),(SUMPRODUCT(--('New Hires Forecast'!$F$5:$F$84="Development Operations"),--('New Hires Forecast'!$H$5:$H$84&gt;=BI!BI$3),'New Hires Forecast'!$O$5:$O$84,'New Hires Forecast'!$L$5:$L$84)),0),IF(YEAR(BI$3)=YEAR('New Hires Forecast'!$P$3),IF((BI$5=12),(SUMPRODUCT(--('New Hires Forecast'!$F$5:$F$84="Development Operations"),--('New Hires Forecast'!$H$5:$H$84&gt;=BI!BI$3),'New Hires Forecast'!$P$5:$P$84,'New Hires Forecast'!$L$5:$L$84)),0),IF(YEAR(BI$3)=YEAR('New Hires Forecast'!$Q$3),IF((BI$5=12),(SUMPRODUCT(--('New Hires Forecast'!$F$5:$F$84="Development Operations"),--('New Hires Forecast'!$H$5:$H$84&gt;=BI!BI$3),'New Hires Forecast'!$Q$5:$Q$84,'New Hires Forecast'!$L$5:$L$84)),0),IF(YEAR(BI$3)=YEAR('New Hires Forecast'!$R$3),IF((BI$5=12),(SUMPRODUCT(--('New Hires Forecast'!$F$5:$F$84="Development Operations"),--('New Hires Forecast'!$H$5:$H$84&gt;=BI!BI$3),'New Hires Forecast'!$R$5:$R$84,'New Hires Forecast'!$L$5:$L$84)),0),"New Year"))))),0)</f>
        <v>0</v>
      </c>
      <c r="BJ15" s="684">
        <f>IF(BJ$4="forecast",IF(YEAR(BJ$3)=YEAR('New Hires Forecast'!$N$3),IF((BJ$5=12),(SUMPRODUCT(--('New Hires Forecast'!$F$5:$F$84="Development Operations"),--('New Hires Forecast'!$H$5:$H$84&gt;=BI!BJ$3),'New Hires Forecast'!$N$5:$N$84,'New Hires Forecast'!$L$5:$L$84)),0),IF(YEAR(BJ$3)=YEAR('New Hires Forecast'!$O$3),IF((BJ$5=12),(SUMPRODUCT(--('New Hires Forecast'!$F$5:$F$84="Development Operations"),--('New Hires Forecast'!$H$5:$H$84&gt;=BI!BJ$3),'New Hires Forecast'!$O$5:$O$84,'New Hires Forecast'!$L$5:$L$84)),0),IF(YEAR(BJ$3)=YEAR('New Hires Forecast'!$P$3),IF((BJ$5=12),(SUMPRODUCT(--('New Hires Forecast'!$F$5:$F$84="Development Operations"),--('New Hires Forecast'!$H$5:$H$84&gt;=BI!BJ$3),'New Hires Forecast'!$P$5:$P$84,'New Hires Forecast'!$L$5:$L$84)),0),IF(YEAR(BJ$3)=YEAR('New Hires Forecast'!$Q$3),IF((BJ$5=12),(SUMPRODUCT(--('New Hires Forecast'!$F$5:$F$84="Development Operations"),--('New Hires Forecast'!$H$5:$H$84&gt;=BI!BJ$3),'New Hires Forecast'!$Q$5:$Q$84,'New Hires Forecast'!$L$5:$L$84)),0),IF(YEAR(BJ$3)=YEAR('New Hires Forecast'!$R$3),IF((BJ$5=12),(SUMPRODUCT(--('New Hires Forecast'!$F$5:$F$84="Development Operations"),--('New Hires Forecast'!$H$5:$H$84&gt;=BI!BJ$3),'New Hires Forecast'!$R$5:$R$84,'New Hires Forecast'!$L$5:$L$84)),0),"New Year"))))),0)</f>
        <v>12730.800000000001</v>
      </c>
      <c r="BK15" s="684">
        <f>IF(BK$4="forecast",IF(YEAR(BK$3)=YEAR('New Hires Forecast'!$N$3),IF((BK$5=12),(SUMPRODUCT(--('New Hires Forecast'!$F$5:$F$84="Development Operations"),--('New Hires Forecast'!$H$5:$H$84&gt;=BI!BK$3),'New Hires Forecast'!$N$5:$N$84,'New Hires Forecast'!$L$5:$L$84)),0),IF(YEAR(BK$3)=YEAR('New Hires Forecast'!$O$3),IF((BK$5=12),(SUMPRODUCT(--('New Hires Forecast'!$F$5:$F$84="Development Operations"),--('New Hires Forecast'!$H$5:$H$84&gt;=BI!BK$3),'New Hires Forecast'!$O$5:$O$84,'New Hires Forecast'!$L$5:$L$84)),0),IF(YEAR(BK$3)=YEAR('New Hires Forecast'!$P$3),IF((BK$5=12),(SUMPRODUCT(--('New Hires Forecast'!$F$5:$F$84="Development Operations"),--('New Hires Forecast'!$H$5:$H$84&gt;=BI!BK$3),'New Hires Forecast'!$P$5:$P$84,'New Hires Forecast'!$L$5:$L$84)),0),IF(YEAR(BK$3)=YEAR('New Hires Forecast'!$Q$3),IF((BK$5=12),(SUMPRODUCT(--('New Hires Forecast'!$F$5:$F$84="Development Operations"),--('New Hires Forecast'!$H$5:$H$84&gt;=BI!BK$3),'New Hires Forecast'!$Q$5:$Q$84,'New Hires Forecast'!$L$5:$L$84)),0),IF(YEAR(BK$3)=YEAR('New Hires Forecast'!$R$3),IF((BK$5=12),(SUMPRODUCT(--('New Hires Forecast'!$F$5:$F$84="Development Operations"),--('New Hires Forecast'!$H$5:$H$84&gt;=BI!BK$3),'New Hires Forecast'!$R$5:$R$84,'New Hires Forecast'!$L$5:$L$84)),0),"New Year"))))),0)</f>
        <v>0</v>
      </c>
      <c r="BL15" s="684">
        <f>IF(BL$4="forecast",IF(YEAR(BL$3)=YEAR('New Hires Forecast'!$N$3),IF((BL$5=12),(SUMPRODUCT(--('New Hires Forecast'!$F$5:$F$84="Development Operations"),--('New Hires Forecast'!$H$5:$H$84&gt;=BI!BL$3),'New Hires Forecast'!$N$5:$N$84,'New Hires Forecast'!$L$5:$L$84)),0),IF(YEAR(BL$3)=YEAR('New Hires Forecast'!$O$3),IF((BL$5=12),(SUMPRODUCT(--('New Hires Forecast'!$F$5:$F$84="Development Operations"),--('New Hires Forecast'!$H$5:$H$84&gt;=BI!BL$3),'New Hires Forecast'!$O$5:$O$84,'New Hires Forecast'!$L$5:$L$84)),0),IF(YEAR(BL$3)=YEAR('New Hires Forecast'!$P$3),IF((BL$5=12),(SUMPRODUCT(--('New Hires Forecast'!$F$5:$F$84="Development Operations"),--('New Hires Forecast'!$H$5:$H$84&gt;=BI!BL$3),'New Hires Forecast'!$P$5:$P$84,'New Hires Forecast'!$L$5:$L$84)),0),IF(YEAR(BL$3)=YEAR('New Hires Forecast'!$Q$3),IF((BL$5=12),(SUMPRODUCT(--('New Hires Forecast'!$F$5:$F$84="Development Operations"),--('New Hires Forecast'!$H$5:$H$84&gt;=BI!BL$3),'New Hires Forecast'!$Q$5:$Q$84,'New Hires Forecast'!$L$5:$L$84)),0),IF(YEAR(BL$3)=YEAR('New Hires Forecast'!$R$3),IF((BL$5=12),(SUMPRODUCT(--('New Hires Forecast'!$F$5:$F$84="Development Operations"),--('New Hires Forecast'!$H$5:$H$84&gt;=BI!BL$3),'New Hires Forecast'!$R$5:$R$84,'New Hires Forecast'!$L$5:$L$84)),0),"New Year"))))),0)</f>
        <v>0</v>
      </c>
      <c r="BM15" s="684">
        <f>IF(BM$4="forecast",IF(YEAR(BM$3)=YEAR('New Hires Forecast'!$N$3),IF((BM$5=12),(SUMPRODUCT(--('New Hires Forecast'!$F$5:$F$84="Development Operations"),--('New Hires Forecast'!$H$5:$H$84&gt;=BI!BM$3),'New Hires Forecast'!$N$5:$N$84,'New Hires Forecast'!$L$5:$L$84)),0),IF(YEAR(BM$3)=YEAR('New Hires Forecast'!$O$3),IF((BM$5=12),(SUMPRODUCT(--('New Hires Forecast'!$F$5:$F$84="Development Operations"),--('New Hires Forecast'!$H$5:$H$84&gt;=BI!BM$3),'New Hires Forecast'!$O$5:$O$84,'New Hires Forecast'!$L$5:$L$84)),0),IF(YEAR(BM$3)=YEAR('New Hires Forecast'!$P$3),IF((BM$5=12),(SUMPRODUCT(--('New Hires Forecast'!$F$5:$F$84="Development Operations"),--('New Hires Forecast'!$H$5:$H$84&gt;=BI!BM$3),'New Hires Forecast'!$P$5:$P$84,'New Hires Forecast'!$L$5:$L$84)),0),IF(YEAR(BM$3)=YEAR('New Hires Forecast'!$Q$3),IF((BM$5=12),(SUMPRODUCT(--('New Hires Forecast'!$F$5:$F$84="Development Operations"),--('New Hires Forecast'!$H$5:$H$84&gt;=BI!BM$3),'New Hires Forecast'!$Q$5:$Q$84,'New Hires Forecast'!$L$5:$L$84)),0),IF(YEAR(BM$3)=YEAR('New Hires Forecast'!$R$3),IF((BM$5=12),(SUMPRODUCT(--('New Hires Forecast'!$F$5:$F$84="Development Operations"),--('New Hires Forecast'!$H$5:$H$84&gt;=BI!BM$3),'New Hires Forecast'!$R$5:$R$84,'New Hires Forecast'!$L$5:$L$84)),0),"New Year"))))),0)</f>
        <v>0</v>
      </c>
      <c r="BN15" s="684">
        <f>IF(BN$4="forecast",IF(YEAR(BN$3)=YEAR('New Hires Forecast'!$N$3),IF((BN$5=12),(SUMPRODUCT(--('New Hires Forecast'!$F$5:$F$84="Development Operations"),--('New Hires Forecast'!$H$5:$H$84&gt;=BI!BN$3),'New Hires Forecast'!$N$5:$N$84,'New Hires Forecast'!$L$5:$L$84)),0),IF(YEAR(BN$3)=YEAR('New Hires Forecast'!$O$3),IF((BN$5=12),(SUMPRODUCT(--('New Hires Forecast'!$F$5:$F$84="Development Operations"),--('New Hires Forecast'!$H$5:$H$84&gt;=BI!BN$3),'New Hires Forecast'!$O$5:$O$84,'New Hires Forecast'!$L$5:$L$84)),0),IF(YEAR(BN$3)=YEAR('New Hires Forecast'!$P$3),IF((BN$5=12),(SUMPRODUCT(--('New Hires Forecast'!$F$5:$F$84="Development Operations"),--('New Hires Forecast'!$H$5:$H$84&gt;=BI!BN$3),'New Hires Forecast'!$P$5:$P$84,'New Hires Forecast'!$L$5:$L$84)),0),IF(YEAR(BN$3)=YEAR('New Hires Forecast'!$Q$3),IF((BN$5=12),(SUMPRODUCT(--('New Hires Forecast'!$F$5:$F$84="Development Operations"),--('New Hires Forecast'!$H$5:$H$84&gt;=BI!BN$3),'New Hires Forecast'!$Q$5:$Q$84,'New Hires Forecast'!$L$5:$L$84)),0),IF(YEAR(BN$3)=YEAR('New Hires Forecast'!$R$3),IF((BN$5=12),(SUMPRODUCT(--('New Hires Forecast'!$F$5:$F$84="Development Operations"),--('New Hires Forecast'!$H$5:$H$84&gt;=BI!BN$3),'New Hires Forecast'!$R$5:$R$84,'New Hires Forecast'!$L$5:$L$84)),0),"New Year"))))),0)</f>
        <v>0</v>
      </c>
      <c r="BO15" s="684">
        <f>IF(BO$4="forecast",IF(YEAR(BO$3)=YEAR('New Hires Forecast'!$N$3),IF((BO$5=12),(SUMPRODUCT(--('New Hires Forecast'!$F$5:$F$84="Development Operations"),--('New Hires Forecast'!$H$5:$H$84&gt;=BI!BO$3),'New Hires Forecast'!$N$5:$N$84,'New Hires Forecast'!$L$5:$L$84)),0),IF(YEAR(BO$3)=YEAR('New Hires Forecast'!$O$3),IF((BO$5=12),(SUMPRODUCT(--('New Hires Forecast'!$F$5:$F$84="Development Operations"),--('New Hires Forecast'!$H$5:$H$84&gt;=BI!BO$3),'New Hires Forecast'!$O$5:$O$84,'New Hires Forecast'!$L$5:$L$84)),0),IF(YEAR(BO$3)=YEAR('New Hires Forecast'!$P$3),IF((BO$5=12),(SUMPRODUCT(--('New Hires Forecast'!$F$5:$F$84="Development Operations"),--('New Hires Forecast'!$H$5:$H$84&gt;=BI!BO$3),'New Hires Forecast'!$P$5:$P$84,'New Hires Forecast'!$L$5:$L$84)),0),IF(YEAR(BO$3)=YEAR('New Hires Forecast'!$Q$3),IF((BO$5=12),(SUMPRODUCT(--('New Hires Forecast'!$F$5:$F$84="Development Operations"),--('New Hires Forecast'!$H$5:$H$84&gt;=BI!BO$3),'New Hires Forecast'!$Q$5:$Q$84,'New Hires Forecast'!$L$5:$L$84)),0),IF(YEAR(BO$3)=YEAR('New Hires Forecast'!$R$3),IF((BO$5=12),(SUMPRODUCT(--('New Hires Forecast'!$F$5:$F$84="Development Operations"),--('New Hires Forecast'!$H$5:$H$84&gt;=BI!BO$3),'New Hires Forecast'!$R$5:$R$84,'New Hires Forecast'!$L$5:$L$84)),0),"New Year"))))),0)</f>
        <v>0</v>
      </c>
      <c r="BP15" s="684">
        <f>IF(BP$4="forecast",IF(YEAR(BP$3)=YEAR('New Hires Forecast'!$N$3),IF((BP$5=12),(SUMPRODUCT(--('New Hires Forecast'!$F$5:$F$84="Development Operations"),--('New Hires Forecast'!$H$5:$H$84&gt;=BI!BP$3),'New Hires Forecast'!$N$5:$N$84,'New Hires Forecast'!$L$5:$L$84)),0),IF(YEAR(BP$3)=YEAR('New Hires Forecast'!$O$3),IF((BP$5=12),(SUMPRODUCT(--('New Hires Forecast'!$F$5:$F$84="Development Operations"),--('New Hires Forecast'!$H$5:$H$84&gt;=BI!BP$3),'New Hires Forecast'!$O$5:$O$84,'New Hires Forecast'!$L$5:$L$84)),0),IF(YEAR(BP$3)=YEAR('New Hires Forecast'!$P$3),IF((BP$5=12),(SUMPRODUCT(--('New Hires Forecast'!$F$5:$F$84="Development Operations"),--('New Hires Forecast'!$H$5:$H$84&gt;=BI!BP$3),'New Hires Forecast'!$P$5:$P$84,'New Hires Forecast'!$L$5:$L$84)),0),IF(YEAR(BP$3)=YEAR('New Hires Forecast'!$Q$3),IF((BP$5=12),(SUMPRODUCT(--('New Hires Forecast'!$F$5:$F$84="Development Operations"),--('New Hires Forecast'!$H$5:$H$84&gt;=BI!BP$3),'New Hires Forecast'!$Q$5:$Q$84,'New Hires Forecast'!$L$5:$L$84)),0),IF(YEAR(BP$3)=YEAR('New Hires Forecast'!$R$3),IF((BP$5=12),(SUMPRODUCT(--('New Hires Forecast'!$F$5:$F$84="Development Operations"),--('New Hires Forecast'!$H$5:$H$84&gt;=BI!BP$3),'New Hires Forecast'!$R$5:$R$84,'New Hires Forecast'!$L$5:$L$84)),0),"New Year"))))),0)</f>
        <v>0</v>
      </c>
      <c r="BQ15" s="684">
        <f>IF(BQ$4="forecast",IF(YEAR(BQ$3)=YEAR('New Hires Forecast'!$N$3),IF((BQ$5=12),(SUMPRODUCT(--('New Hires Forecast'!$F$5:$F$84="Development Operations"),--('New Hires Forecast'!$H$5:$H$84&gt;=BI!BQ$3),'New Hires Forecast'!$N$5:$N$84,'New Hires Forecast'!$L$5:$L$84)),0),IF(YEAR(BQ$3)=YEAR('New Hires Forecast'!$O$3),IF((BQ$5=12),(SUMPRODUCT(--('New Hires Forecast'!$F$5:$F$84="Development Operations"),--('New Hires Forecast'!$H$5:$H$84&gt;=BI!BQ$3),'New Hires Forecast'!$O$5:$O$84,'New Hires Forecast'!$L$5:$L$84)),0),IF(YEAR(BQ$3)=YEAR('New Hires Forecast'!$P$3),IF((BQ$5=12),(SUMPRODUCT(--('New Hires Forecast'!$F$5:$F$84="Development Operations"),--('New Hires Forecast'!$H$5:$H$84&gt;=BI!BQ$3),'New Hires Forecast'!$P$5:$P$84,'New Hires Forecast'!$L$5:$L$84)),0),IF(YEAR(BQ$3)=YEAR('New Hires Forecast'!$Q$3),IF((BQ$5=12),(SUMPRODUCT(--('New Hires Forecast'!$F$5:$F$84="Development Operations"),--('New Hires Forecast'!$H$5:$H$84&gt;=BI!BQ$3),'New Hires Forecast'!$Q$5:$Q$84,'New Hires Forecast'!$L$5:$L$84)),0),IF(YEAR(BQ$3)=YEAR('New Hires Forecast'!$R$3),IF((BQ$5=12),(SUMPRODUCT(--('New Hires Forecast'!$F$5:$F$84="Development Operations"),--('New Hires Forecast'!$H$5:$H$84&gt;=BI!BQ$3),'New Hires Forecast'!$R$5:$R$84,'New Hires Forecast'!$L$5:$L$84)),0),"New Year"))))),0)</f>
        <v>0</v>
      </c>
      <c r="BR15" s="684">
        <f>IF(BR$4="forecast",IF(YEAR(BR$3)=YEAR('New Hires Forecast'!$N$3),IF((BR$5=12),(SUMPRODUCT(--('New Hires Forecast'!$F$5:$F$84="Development Operations"),--('New Hires Forecast'!$H$5:$H$84&gt;=BI!BR$3),'New Hires Forecast'!$N$5:$N$84,'New Hires Forecast'!$L$5:$L$84)),0),IF(YEAR(BR$3)=YEAR('New Hires Forecast'!$O$3),IF((BR$5=12),(SUMPRODUCT(--('New Hires Forecast'!$F$5:$F$84="Development Operations"),--('New Hires Forecast'!$H$5:$H$84&gt;=BI!BR$3),'New Hires Forecast'!$O$5:$O$84,'New Hires Forecast'!$L$5:$L$84)),0),IF(YEAR(BR$3)=YEAR('New Hires Forecast'!$P$3),IF((BR$5=12),(SUMPRODUCT(--('New Hires Forecast'!$F$5:$F$84="Development Operations"),--('New Hires Forecast'!$H$5:$H$84&gt;=BI!BR$3),'New Hires Forecast'!$P$5:$P$84,'New Hires Forecast'!$L$5:$L$84)),0),IF(YEAR(BR$3)=YEAR('New Hires Forecast'!$Q$3),IF((BR$5=12),(SUMPRODUCT(--('New Hires Forecast'!$F$5:$F$84="Development Operations"),--('New Hires Forecast'!$H$5:$H$84&gt;=BI!BR$3),'New Hires Forecast'!$Q$5:$Q$84,'New Hires Forecast'!$L$5:$L$84)),0),IF(YEAR(BR$3)=YEAR('New Hires Forecast'!$R$3),IF((BR$5=12),(SUMPRODUCT(--('New Hires Forecast'!$F$5:$F$84="Development Operations"),--('New Hires Forecast'!$H$5:$H$84&gt;=BI!BR$3),'New Hires Forecast'!$R$5:$R$84,'New Hires Forecast'!$L$5:$L$84)),0),"New Year"))))),0)</f>
        <v>0</v>
      </c>
      <c r="BS15" s="684">
        <f>IF(BS$4="forecast",IF(YEAR(BS$3)=YEAR('New Hires Forecast'!$N$3),IF((BS$5=12),(SUMPRODUCT(--('New Hires Forecast'!$F$5:$F$84="Development Operations"),--('New Hires Forecast'!$H$5:$H$84&gt;=BI!BS$3),'New Hires Forecast'!$N$5:$N$84,'New Hires Forecast'!$L$5:$L$84)),0),IF(YEAR(BS$3)=YEAR('New Hires Forecast'!$O$3),IF((BS$5=12),(SUMPRODUCT(--('New Hires Forecast'!$F$5:$F$84="Development Operations"),--('New Hires Forecast'!$H$5:$H$84&gt;=BI!BS$3),'New Hires Forecast'!$O$5:$O$84,'New Hires Forecast'!$L$5:$L$84)),0),IF(YEAR(BS$3)=YEAR('New Hires Forecast'!$P$3),IF((BS$5=12),(SUMPRODUCT(--('New Hires Forecast'!$F$5:$F$84="Development Operations"),--('New Hires Forecast'!$H$5:$H$84&gt;=BI!BS$3),'New Hires Forecast'!$P$5:$P$84,'New Hires Forecast'!$L$5:$L$84)),0),IF(YEAR(BS$3)=YEAR('New Hires Forecast'!$Q$3),IF((BS$5=12),(SUMPRODUCT(--('New Hires Forecast'!$F$5:$F$84="Development Operations"),--('New Hires Forecast'!$H$5:$H$84&gt;=BI!BS$3),'New Hires Forecast'!$Q$5:$Q$84,'New Hires Forecast'!$L$5:$L$84)),0),IF(YEAR(BS$3)=YEAR('New Hires Forecast'!$R$3),IF((BS$5=12),(SUMPRODUCT(--('New Hires Forecast'!$F$5:$F$84="Development Operations"),--('New Hires Forecast'!$H$5:$H$84&gt;=BI!BS$3),'New Hires Forecast'!$R$5:$R$84,'New Hires Forecast'!$L$5:$L$84)),0),"New Year"))))),0)</f>
        <v>0</v>
      </c>
      <c r="BT15" s="684">
        <f>IF(BT$4="forecast",IF(YEAR(BT$3)=YEAR('New Hires Forecast'!$N$3),IF((BT$5=12),(SUMPRODUCT(--('New Hires Forecast'!$F$5:$F$84="Development Operations"),--('New Hires Forecast'!$H$5:$H$84&gt;=BI!BT$3),'New Hires Forecast'!$N$5:$N$84,'New Hires Forecast'!$L$5:$L$84)),0),IF(YEAR(BT$3)=YEAR('New Hires Forecast'!$O$3),IF((BT$5=12),(SUMPRODUCT(--('New Hires Forecast'!$F$5:$F$84="Development Operations"),--('New Hires Forecast'!$H$5:$H$84&gt;=BI!BT$3),'New Hires Forecast'!$O$5:$O$84,'New Hires Forecast'!$L$5:$L$84)),0),IF(YEAR(BT$3)=YEAR('New Hires Forecast'!$P$3),IF((BT$5=12),(SUMPRODUCT(--('New Hires Forecast'!$F$5:$F$84="Development Operations"),--('New Hires Forecast'!$H$5:$H$84&gt;=BI!BT$3),'New Hires Forecast'!$P$5:$P$84,'New Hires Forecast'!$L$5:$L$84)),0),IF(YEAR(BT$3)=YEAR('New Hires Forecast'!$Q$3),IF((BT$5=12),(SUMPRODUCT(--('New Hires Forecast'!$F$5:$F$84="Development Operations"),--('New Hires Forecast'!$H$5:$H$84&gt;=BI!BT$3),'New Hires Forecast'!$Q$5:$Q$84,'New Hires Forecast'!$L$5:$L$84)),0),IF(YEAR(BT$3)=YEAR('New Hires Forecast'!$R$3),IF((BT$5=12),(SUMPRODUCT(--('New Hires Forecast'!$F$5:$F$84="Development Operations"),--('New Hires Forecast'!$H$5:$H$84&gt;=BI!BT$3),'New Hires Forecast'!$R$5:$R$84,'New Hires Forecast'!$L$5:$L$84)),0),"New Year"))))),0)</f>
        <v>0</v>
      </c>
      <c r="BU15" s="684">
        <f>IF(BU$4="forecast",IF(YEAR(BU$3)=YEAR('New Hires Forecast'!$N$3),IF((BU$5=12),(SUMPRODUCT(--('New Hires Forecast'!$F$5:$F$84="Development Operations"),--('New Hires Forecast'!$H$5:$H$84&gt;=BI!BU$3),'New Hires Forecast'!$N$5:$N$84,'New Hires Forecast'!$L$5:$L$84)),0),IF(YEAR(BU$3)=YEAR('New Hires Forecast'!$O$3),IF((BU$5=12),(SUMPRODUCT(--('New Hires Forecast'!$F$5:$F$84="Development Operations"),--('New Hires Forecast'!$H$5:$H$84&gt;=BI!BU$3),'New Hires Forecast'!$O$5:$O$84,'New Hires Forecast'!$L$5:$L$84)),0),IF(YEAR(BU$3)=YEAR('New Hires Forecast'!$P$3),IF((BU$5=12),(SUMPRODUCT(--('New Hires Forecast'!$F$5:$F$84="Development Operations"),--('New Hires Forecast'!$H$5:$H$84&gt;=BI!BU$3),'New Hires Forecast'!$P$5:$P$84,'New Hires Forecast'!$L$5:$L$84)),0),IF(YEAR(BU$3)=YEAR('New Hires Forecast'!$Q$3),IF((BU$5=12),(SUMPRODUCT(--('New Hires Forecast'!$F$5:$F$84="Development Operations"),--('New Hires Forecast'!$H$5:$H$84&gt;=BI!BU$3),'New Hires Forecast'!$Q$5:$Q$84,'New Hires Forecast'!$L$5:$L$84)),0),IF(YEAR(BU$3)=YEAR('New Hires Forecast'!$R$3),IF((BU$5=12),(SUMPRODUCT(--('New Hires Forecast'!$F$5:$F$84="Development Operations"),--('New Hires Forecast'!$H$5:$H$84&gt;=BI!BU$3),'New Hires Forecast'!$R$5:$R$84,'New Hires Forecast'!$L$5:$L$84)),0),"New Year"))))),0)</f>
        <v>0</v>
      </c>
      <c r="BV15" s="808">
        <f>IF(BV$4="forecast",IF(YEAR(BV$3)=YEAR('New Hires Forecast'!$N$3),IF((BV$5=12),(SUMPRODUCT(--('New Hires Forecast'!$F$5:$F$84="Development Operations"),--('New Hires Forecast'!$H$5:$H$84&gt;=BI!BV$3),'New Hires Forecast'!$N$5:$N$84,'New Hires Forecast'!$L$5:$L$84)),0),IF(YEAR(BV$3)=YEAR('New Hires Forecast'!$O$3),IF((BV$5=12),(SUMPRODUCT(--('New Hires Forecast'!$F$5:$F$84="Development Operations"),--('New Hires Forecast'!$H$5:$H$84&gt;=BI!BV$3),'New Hires Forecast'!$O$5:$O$84,'New Hires Forecast'!$L$5:$L$84)),0),IF(YEAR(BV$3)=YEAR('New Hires Forecast'!$P$3),IF((BV$5=12),(SUMPRODUCT(--('New Hires Forecast'!$F$5:$F$84="Development Operations"),--('New Hires Forecast'!$H$5:$H$84&gt;=BI!BV$3),'New Hires Forecast'!$P$5:$P$84,'New Hires Forecast'!$L$5:$L$84)),0),IF(YEAR(BV$3)=YEAR('New Hires Forecast'!$Q$3),IF((BV$5=12),(SUMPRODUCT(--('New Hires Forecast'!$F$5:$F$84="Development Operations"),--('New Hires Forecast'!$H$5:$H$84&gt;=BI!BV$3),'New Hires Forecast'!$Q$5:$Q$84,'New Hires Forecast'!$L$5:$L$84)),0),IF(YEAR(BV$3)=YEAR('New Hires Forecast'!$R$3),IF((BV$5=12),(SUMPRODUCT(--('New Hires Forecast'!$F$5:$F$84="Development Operations"),--('New Hires Forecast'!$H$5:$H$84&gt;=BI!BV$3),'New Hires Forecast'!$R$5:$R$84,'New Hires Forecast'!$L$5:$L$84)),0),"New Year"))))),0)</f>
        <v>13112.724</v>
      </c>
    </row>
    <row r="16" spans="2:74" x14ac:dyDescent="0.35">
      <c r="B16" s="797" t="s">
        <v>937</v>
      </c>
      <c r="C16" s="684">
        <f>IF(C$4="forecast",IF(YEAR(C$3)=YEAR(Headcount!$N$4),IF((C$5=12),(SUMPRODUCT(--(Headcount!$F$6:$F$92="Development Operations"),--(Headcount!$H$6:$H$92&gt;=BI!C$3),Headcount!$N$6:$N$92,Headcount!$L$6:$L$92)),0),IF(YEAR(C$3)=YEAR(Headcount!$O$4),IF((C$5=12),(SUMPRODUCT(--(Headcount!$F$6:$F$92="Development Operations"),--(Headcount!$H$6:$H$92&gt;=BI!C$3),Headcount!$O$6:$O$92,Headcount!$L$6:$L$92)),0),IF(YEAR(C$3)=YEAR(Headcount!$P$4),IF((C$5=12),(SUMPRODUCT(--(Headcount!$F$6:$F$92="Development Operations"),--(Headcount!$H$6:$H$92&gt;=BI!C$3),Headcount!$P$6:$P$92,Headcount!$L$6:$L$92)),0),IF(YEAR(C$3)=YEAR(Headcount!$Q$4),IF((C$5=12),(SUMPRODUCT(--(Headcount!$F$6:$F$92="Development Operations"),--(Headcount!$H$6:$H$92&gt;=BI!C$3),Headcount!$Q$6:$Q$92,Headcount!$L$6:$L$92)),0),IF(YEAR(C$3)=YEAR(Headcount!$R$4),IF((C$5=12),(SUMPRODUCT(--(Headcount!$F$6:$F$92="Development Operations"),--(Headcount!$H$6:$H$92&gt;=BI!C$3),Headcount!$R$6:$R$92,Headcount!$L$6:$L$92)),0),"New Year"))))),'Dept. Cost Actuals'!G814)</f>
        <v>0</v>
      </c>
      <c r="D16" s="684">
        <f>IF(D$4="forecast",IF(YEAR(D$3)=YEAR(Headcount!$N$4),IF((D$5=12),(SUMPRODUCT(--(Headcount!$F$6:$F$92="Development Operations"),--(Headcount!$H$6:$H$92&gt;=BI!D$3),Headcount!$N$6:$N$92,Headcount!$L$6:$L$92)),0),IF(YEAR(D$3)=YEAR(Headcount!$O$4),IF((D$5=12),(SUMPRODUCT(--(Headcount!$F$6:$F$92="Development Operations"),--(Headcount!$H$6:$H$92&gt;=BI!D$3),Headcount!$O$6:$O$92,Headcount!$L$6:$L$92)),0),IF(YEAR(D$3)=YEAR(Headcount!$P$4),IF((D$5=12),(SUMPRODUCT(--(Headcount!$F$6:$F$92="Development Operations"),--(Headcount!$H$6:$H$92&gt;=BI!D$3),Headcount!$P$6:$P$92,Headcount!$L$6:$L$92)),0),IF(YEAR(D$3)=YEAR(Headcount!$Q$4),IF((D$5=12),(SUMPRODUCT(--(Headcount!$F$6:$F$92="Development Operations"),--(Headcount!$H$6:$H$92&gt;=BI!D$3),Headcount!$Q$6:$Q$92,Headcount!$L$6:$L$92)),0),IF(YEAR(D$3)=YEAR(Headcount!$R$4),IF((D$5=12),(SUMPRODUCT(--(Headcount!$F$6:$F$92="Development Operations"),--(Headcount!$H$6:$H$92&gt;=BI!D$3),Headcount!$R$6:$R$92,Headcount!$L$6:$L$92)),0),"New Year"))))),'Dept. Cost Actuals'!H814)</f>
        <v>0</v>
      </c>
      <c r="E16" s="684">
        <f>IF(E$4="forecast",IF(YEAR(E$3)=YEAR(Headcount!$N$4),IF((E$5=12),(SUMPRODUCT(--(Headcount!$F$6:$F$92="Development Operations"),--(Headcount!$H$6:$H$92&gt;=BI!E$3),Headcount!$N$6:$N$92,Headcount!$L$6:$L$92)),0),IF(YEAR(E$3)=YEAR(Headcount!$O$4),IF((E$5=12),(SUMPRODUCT(--(Headcount!$F$6:$F$92="Development Operations"),--(Headcount!$H$6:$H$92&gt;=BI!E$3),Headcount!$O$6:$O$92,Headcount!$L$6:$L$92)),0),IF(YEAR(E$3)=YEAR(Headcount!$P$4),IF((E$5=12),(SUMPRODUCT(--(Headcount!$F$6:$F$92="Development Operations"),--(Headcount!$H$6:$H$92&gt;=BI!E$3),Headcount!$P$6:$P$92,Headcount!$L$6:$L$92)),0),IF(YEAR(E$3)=YEAR(Headcount!$Q$4),IF((E$5=12),(SUMPRODUCT(--(Headcount!$F$6:$F$92="Development Operations"),--(Headcount!$H$6:$H$92&gt;=BI!E$3),Headcount!$Q$6:$Q$92,Headcount!$L$6:$L$92)),0),IF(YEAR(E$3)=YEAR(Headcount!$R$4),IF((E$5=12),(SUMPRODUCT(--(Headcount!$F$6:$F$92="Development Operations"),--(Headcount!$H$6:$H$92&gt;=BI!E$3),Headcount!$R$6:$R$92,Headcount!$L$6:$L$92)),0),"New Year"))))),'Dept. Cost Actuals'!I814)</f>
        <v>0</v>
      </c>
      <c r="F16" s="684">
        <f>IF(F$4="forecast",IF(YEAR(F$3)=YEAR(Headcount!$N$4),IF((F$5=12),(SUMPRODUCT(--(Headcount!$F$6:$F$92="Development Operations"),--(Headcount!$H$6:$H$92&gt;=BI!F$3),Headcount!$N$6:$N$92,Headcount!$L$6:$L$92)),0),IF(YEAR(F$3)=YEAR(Headcount!$O$4),IF((F$5=12),(SUMPRODUCT(--(Headcount!$F$6:$F$92="Development Operations"),--(Headcount!$H$6:$H$92&gt;=BI!F$3),Headcount!$O$6:$O$92,Headcount!$L$6:$L$92)),0),IF(YEAR(F$3)=YEAR(Headcount!$P$4),IF((F$5=12),(SUMPRODUCT(--(Headcount!$F$6:$F$92="Development Operations"),--(Headcount!$H$6:$H$92&gt;=BI!F$3),Headcount!$P$6:$P$92,Headcount!$L$6:$L$92)),0),IF(YEAR(F$3)=YEAR(Headcount!$Q$4),IF((F$5=12),(SUMPRODUCT(--(Headcount!$F$6:$F$92="Development Operations"),--(Headcount!$H$6:$H$92&gt;=BI!F$3),Headcount!$Q$6:$Q$92,Headcount!$L$6:$L$92)),0),IF(YEAR(F$3)=YEAR(Headcount!$R$4),IF((F$5=12),(SUMPRODUCT(--(Headcount!$F$6:$F$92="Development Operations"),--(Headcount!$H$6:$H$92&gt;=BI!F$3),Headcount!$R$6:$R$92,Headcount!$L$6:$L$92)),0),"New Year"))))),'Dept. Cost Actuals'!J814)</f>
        <v>0</v>
      </c>
      <c r="G16" s="684">
        <f>IF(G$4="forecast",IF(YEAR(G$3)=YEAR(Headcount!$N$4),IF((G$5=12),(SUMPRODUCT(--(Headcount!$F$6:$F$92="Development Operations"),--(Headcount!$H$6:$H$92&gt;=BI!G$3),Headcount!$N$6:$N$92,Headcount!$L$6:$L$92)),0),IF(YEAR(G$3)=YEAR(Headcount!$O$4),IF((G$5=12),(SUMPRODUCT(--(Headcount!$F$6:$F$92="Development Operations"),--(Headcount!$H$6:$H$92&gt;=BI!G$3),Headcount!$O$6:$O$92,Headcount!$L$6:$L$92)),0),IF(YEAR(G$3)=YEAR(Headcount!$P$4),IF((G$5=12),(SUMPRODUCT(--(Headcount!$F$6:$F$92="Development Operations"),--(Headcount!$H$6:$H$92&gt;=BI!G$3),Headcount!$P$6:$P$92,Headcount!$L$6:$L$92)),0),IF(YEAR(G$3)=YEAR(Headcount!$Q$4),IF((G$5=12),(SUMPRODUCT(--(Headcount!$F$6:$F$92="Development Operations"),--(Headcount!$H$6:$H$92&gt;=BI!G$3),Headcount!$Q$6:$Q$92,Headcount!$L$6:$L$92)),0),IF(YEAR(G$3)=YEAR(Headcount!$R$4),IF((G$5=12),(SUMPRODUCT(--(Headcount!$F$6:$F$92="Development Operations"),--(Headcount!$H$6:$H$92&gt;=BI!G$3),Headcount!$R$6:$R$92,Headcount!$L$6:$L$92)),0),"New Year"))))),'Dept. Cost Actuals'!K814)</f>
        <v>0</v>
      </c>
      <c r="H16" s="684">
        <f>IF(H$4="forecast",IF(YEAR(H$3)=YEAR(Headcount!$N$4),IF((H$5=12),(SUMPRODUCT(--(Headcount!$F$6:$F$92="Development Operations"),--(Headcount!$H$6:$H$92&gt;=BI!H$3),Headcount!$N$6:$N$92,Headcount!$L$6:$L$92)),0),IF(YEAR(H$3)=YEAR(Headcount!$O$4),IF((H$5=12),(SUMPRODUCT(--(Headcount!$F$6:$F$92="Development Operations"),--(Headcount!$H$6:$H$92&gt;=BI!H$3),Headcount!$O$6:$O$92,Headcount!$L$6:$L$92)),0),IF(YEAR(H$3)=YEAR(Headcount!$P$4),IF((H$5=12),(SUMPRODUCT(--(Headcount!$F$6:$F$92="Development Operations"),--(Headcount!$H$6:$H$92&gt;=BI!H$3),Headcount!$P$6:$P$92,Headcount!$L$6:$L$92)),0),IF(YEAR(H$3)=YEAR(Headcount!$Q$4),IF((H$5=12),(SUMPRODUCT(--(Headcount!$F$6:$F$92="Development Operations"),--(Headcount!$H$6:$H$92&gt;=BI!H$3),Headcount!$Q$6:$Q$92,Headcount!$L$6:$L$92)),0),IF(YEAR(H$3)=YEAR(Headcount!$R$4),IF((H$5=12),(SUMPRODUCT(--(Headcount!$F$6:$F$92="Development Operations"),--(Headcount!$H$6:$H$92&gt;=BI!H$3),Headcount!$R$6:$R$92,Headcount!$L$6:$L$92)),0),"New Year"))))),'Dept. Cost Actuals'!L814)</f>
        <v>0</v>
      </c>
      <c r="I16" s="684">
        <f>IF(I$4="forecast",IF(YEAR(I$3)=YEAR(Headcount!$N$4),IF((I$5=12),(SUMPRODUCT(--(Headcount!$F$6:$F$92="Development Operations"),--(Headcount!$H$6:$H$92&gt;=BI!I$3),Headcount!$N$6:$N$92,Headcount!$L$6:$L$92)),0),IF(YEAR(I$3)=YEAR(Headcount!$O$4),IF((I$5=12),(SUMPRODUCT(--(Headcount!$F$6:$F$92="Development Operations"),--(Headcount!$H$6:$H$92&gt;=BI!I$3),Headcount!$O$6:$O$92,Headcount!$L$6:$L$92)),0),IF(YEAR(I$3)=YEAR(Headcount!$P$4),IF((I$5=12),(SUMPRODUCT(--(Headcount!$F$6:$F$92="Development Operations"),--(Headcount!$H$6:$H$92&gt;=BI!I$3),Headcount!$P$6:$P$92,Headcount!$L$6:$L$92)),0),IF(YEAR(I$3)=YEAR(Headcount!$Q$4),IF((I$5=12),(SUMPRODUCT(--(Headcount!$F$6:$F$92="Development Operations"),--(Headcount!$H$6:$H$92&gt;=BI!I$3),Headcount!$Q$6:$Q$92,Headcount!$L$6:$L$92)),0),IF(YEAR(I$3)=YEAR(Headcount!$R$4),IF((I$5=12),(SUMPRODUCT(--(Headcount!$F$6:$F$92="Development Operations"),--(Headcount!$H$6:$H$92&gt;=BI!I$3),Headcount!$R$6:$R$92,Headcount!$L$6:$L$92)),0),"New Year"))))),'Dept. Cost Actuals'!M814)</f>
        <v>0</v>
      </c>
      <c r="J16" s="684">
        <f>IF(J$4="forecast",IF(YEAR(J$3)=YEAR(Headcount!$N$4),IF((J$5=12),(SUMPRODUCT(--(Headcount!$F$6:$F$92="Development Operations"),--(Headcount!$H$6:$H$92&gt;=BI!J$3),Headcount!$N$6:$N$92,Headcount!$L$6:$L$92)),0),IF(YEAR(J$3)=YEAR(Headcount!$O$4),IF((J$5=12),(SUMPRODUCT(--(Headcount!$F$6:$F$92="Development Operations"),--(Headcount!$H$6:$H$92&gt;=BI!J$3),Headcount!$O$6:$O$92,Headcount!$L$6:$L$92)),0),IF(YEAR(J$3)=YEAR(Headcount!$P$4),IF((J$5=12),(SUMPRODUCT(--(Headcount!$F$6:$F$92="Development Operations"),--(Headcount!$H$6:$H$92&gt;=BI!J$3),Headcount!$P$6:$P$92,Headcount!$L$6:$L$92)),0),IF(YEAR(J$3)=YEAR(Headcount!$Q$4),IF((J$5=12),(SUMPRODUCT(--(Headcount!$F$6:$F$92="Development Operations"),--(Headcount!$H$6:$H$92&gt;=BI!J$3),Headcount!$Q$6:$Q$92,Headcount!$L$6:$L$92)),0),IF(YEAR(J$3)=YEAR(Headcount!$R$4),IF((J$5=12),(SUMPRODUCT(--(Headcount!$F$6:$F$92="Development Operations"),--(Headcount!$H$6:$H$92&gt;=BI!J$3),Headcount!$R$6:$R$92,Headcount!$L$6:$L$92)),0),"New Year"))))),'Dept. Cost Actuals'!N814)</f>
        <v>0</v>
      </c>
      <c r="K16" s="684">
        <f>IF(K$4="forecast",IF(YEAR(K$3)=YEAR(Headcount!$N$4),IF((K$5=12),(SUMPRODUCT(--(Headcount!$F$6:$F$92="Development Operations"),--(Headcount!$H$6:$H$92&gt;=BI!K$3),Headcount!$N$6:$N$92,Headcount!$L$6:$L$92)),0),IF(YEAR(K$3)=YEAR(Headcount!$O$4),IF((K$5=12),(SUMPRODUCT(--(Headcount!$F$6:$F$92="Development Operations"),--(Headcount!$H$6:$H$92&gt;=BI!K$3),Headcount!$O$6:$O$92,Headcount!$L$6:$L$92)),0),IF(YEAR(K$3)=YEAR(Headcount!$P$4),IF((K$5=12),(SUMPRODUCT(--(Headcount!$F$6:$F$92="Development Operations"),--(Headcount!$H$6:$H$92&gt;=BI!K$3),Headcount!$P$6:$P$92,Headcount!$L$6:$L$92)),0),IF(YEAR(K$3)=YEAR(Headcount!$Q$4),IF((K$5=12),(SUMPRODUCT(--(Headcount!$F$6:$F$92="Development Operations"),--(Headcount!$H$6:$H$92&gt;=BI!K$3),Headcount!$Q$6:$Q$92,Headcount!$L$6:$L$92)),0),IF(YEAR(K$3)=YEAR(Headcount!$R$4),IF((K$5=12),(SUMPRODUCT(--(Headcount!$F$6:$F$92="Development Operations"),--(Headcount!$H$6:$H$92&gt;=BI!K$3),Headcount!$R$6:$R$92,Headcount!$L$6:$L$92)),0),"New Year"))))),'Dept. Cost Actuals'!O814)</f>
        <v>0</v>
      </c>
      <c r="L16" s="684">
        <f>IF(L$4="forecast",IF(YEAR(L$3)=YEAR(Headcount!$N$4),IF((L$5=12),(SUMPRODUCT(--(Headcount!$F$6:$F$92="Development Operations"),--(Headcount!$H$6:$H$92&gt;=BI!L$3),Headcount!$N$6:$N$92,Headcount!$L$6:$L$92)),0),IF(YEAR(L$3)=YEAR(Headcount!$O$4),IF((L$5=12),(SUMPRODUCT(--(Headcount!$F$6:$F$92="Development Operations"),--(Headcount!$H$6:$H$92&gt;=BI!L$3),Headcount!$O$6:$O$92,Headcount!$L$6:$L$92)),0),IF(YEAR(L$3)=YEAR(Headcount!$P$4),IF((L$5=12),(SUMPRODUCT(--(Headcount!$F$6:$F$92="Development Operations"),--(Headcount!$H$6:$H$92&gt;=BI!L$3),Headcount!$P$6:$P$92,Headcount!$L$6:$L$92)),0),IF(YEAR(L$3)=YEAR(Headcount!$Q$4),IF((L$5=12),(SUMPRODUCT(--(Headcount!$F$6:$F$92="Development Operations"),--(Headcount!$H$6:$H$92&gt;=BI!L$3),Headcount!$Q$6:$Q$92,Headcount!$L$6:$L$92)),0),IF(YEAR(L$3)=YEAR(Headcount!$R$4),IF((L$5=12),(SUMPRODUCT(--(Headcount!$F$6:$F$92="Development Operations"),--(Headcount!$H$6:$H$92&gt;=BI!L$3),Headcount!$R$6:$R$92,Headcount!$L$6:$L$92)),0),"New Year"))))),'Dept. Cost Actuals'!P814)</f>
        <v>0</v>
      </c>
      <c r="M16" s="684">
        <f>IF(M$4="forecast",IF(YEAR(M$3)=YEAR(Headcount!$N$4),IF((M$5=12),(SUMPRODUCT(--(Headcount!$F$6:$F$92="Development Operations"),--(Headcount!$H$6:$H$92&gt;=BI!M$3),Headcount!$N$6:$N$92,Headcount!$L$6:$L$92)),0),IF(YEAR(M$3)=YEAR(Headcount!$O$4),IF((M$5=12),(SUMPRODUCT(--(Headcount!$F$6:$F$92="Development Operations"),--(Headcount!$H$6:$H$92&gt;=BI!M$3),Headcount!$O$6:$O$92,Headcount!$L$6:$L$92)),0),IF(YEAR(M$3)=YEAR(Headcount!$P$4),IF((M$5=12),(SUMPRODUCT(--(Headcount!$F$6:$F$92="Development Operations"),--(Headcount!$H$6:$H$92&gt;=BI!M$3),Headcount!$P$6:$P$92,Headcount!$L$6:$L$92)),0),IF(YEAR(M$3)=YEAR(Headcount!$Q$4),IF((M$5=12),(SUMPRODUCT(--(Headcount!$F$6:$F$92="Development Operations"),--(Headcount!$H$6:$H$92&gt;=BI!M$3),Headcount!$Q$6:$Q$92,Headcount!$L$6:$L$92)),0),IF(YEAR(M$3)=YEAR(Headcount!$R$4),IF((M$5=12),(SUMPRODUCT(--(Headcount!$F$6:$F$92="Development Operations"),--(Headcount!$H$6:$H$92&gt;=BI!M$3),Headcount!$R$6:$R$92,Headcount!$L$6:$L$92)),0),"New Year"))))),'Dept. Cost Actuals'!Q814)</f>
        <v>0</v>
      </c>
      <c r="N16" s="684">
        <f>IF(N$4="forecast",IF(YEAR(N$3)=YEAR(Headcount!$N$4),IF((N$5=12),(SUMPRODUCT(--(Headcount!$F$6:$F$92="Development Operations"),--(Headcount!$H$6:$H$92&gt;=BI!N$3),Headcount!$N$6:$N$92,Headcount!$L$6:$L$92)),0),IF(YEAR(N$3)=YEAR(Headcount!$O$4),IF((N$5=12),(SUMPRODUCT(--(Headcount!$F$6:$F$92="Development Operations"),--(Headcount!$H$6:$H$92&gt;=BI!N$3),Headcount!$O$6:$O$92,Headcount!$L$6:$L$92)),0),IF(YEAR(N$3)=YEAR(Headcount!$P$4),IF((N$5=12),(SUMPRODUCT(--(Headcount!$F$6:$F$92="Development Operations"),--(Headcount!$H$6:$H$92&gt;=BI!N$3),Headcount!$P$6:$P$92,Headcount!$L$6:$L$92)),0),IF(YEAR(N$3)=YEAR(Headcount!$Q$4),IF((N$5=12),(SUMPRODUCT(--(Headcount!$F$6:$F$92="Development Operations"),--(Headcount!$H$6:$H$92&gt;=BI!N$3),Headcount!$Q$6:$Q$92,Headcount!$L$6:$L$92)),0),IF(YEAR(N$3)=YEAR(Headcount!$R$4),IF((N$5=12),(SUMPRODUCT(--(Headcount!$F$6:$F$92="Development Operations"),--(Headcount!$H$6:$H$92&gt;=BI!N$3),Headcount!$R$6:$R$92,Headcount!$L$6:$L$92)),0),"New Year"))))),'Dept. Cost Actuals'!R814)</f>
        <v>0</v>
      </c>
      <c r="O16" s="684">
        <f>IF(O$4="forecast",IF(YEAR(O$3)=YEAR(Headcount!$N$4),IF((O$5=12),(SUMPRODUCT(--(Headcount!$F$6:$F$92="Development Operations"),--(Headcount!$H$6:$H$92&gt;=BI!O$3),Headcount!$N$6:$N$92,Headcount!$L$6:$L$92)),0),IF(YEAR(O$3)=YEAR(Headcount!$O$4),IF((O$5=12),(SUMPRODUCT(--(Headcount!$F$6:$F$92="Development Operations"),--(Headcount!$H$6:$H$92&gt;=BI!O$3),Headcount!$O$6:$O$92,Headcount!$L$6:$L$92)),0),IF(YEAR(O$3)=YEAR(Headcount!$P$4),IF((O$5=12),(SUMPRODUCT(--(Headcount!$F$6:$F$92="Development Operations"),--(Headcount!$H$6:$H$92&gt;=BI!O$3),Headcount!$P$6:$P$92,Headcount!$L$6:$L$92)),0),IF(YEAR(O$3)=YEAR(Headcount!$Q$4),IF((O$5=12),(SUMPRODUCT(--(Headcount!$F$6:$F$92="Development Operations"),--(Headcount!$H$6:$H$92&gt;=BI!O$3),Headcount!$Q$6:$Q$92,Headcount!$L$6:$L$92)),0),IF(YEAR(O$3)=YEAR(Headcount!$R$4),IF((O$5=12),(SUMPRODUCT(--(Headcount!$F$6:$F$92="Development Operations"),--(Headcount!$H$6:$H$92&gt;=BI!O$3),Headcount!$R$6:$R$92,Headcount!$L$6:$L$92)),0),"New Year"))))),'Dept. Cost Actuals'!S814)</f>
        <v>7052.71</v>
      </c>
      <c r="P16" s="684">
        <f>IF(P$4="forecast",IF(YEAR(P$3)=YEAR(Headcount!$N$4),IF((P$5=12),(SUMPRODUCT(--(Headcount!$F$6:$F$92="Development Operations"),--(Headcount!$H$6:$H$92&gt;=BI!P$3),Headcount!$N$6:$N$92,Headcount!$L$6:$L$92)),0),IF(YEAR(P$3)=YEAR(Headcount!$O$4),IF((P$5=12),(SUMPRODUCT(--(Headcount!$F$6:$F$92="Development Operations"),--(Headcount!$H$6:$H$92&gt;=BI!P$3),Headcount!$O$6:$O$92,Headcount!$L$6:$L$92)),0),IF(YEAR(P$3)=YEAR(Headcount!$P$4),IF((P$5=12),(SUMPRODUCT(--(Headcount!$F$6:$F$92="Development Operations"),--(Headcount!$H$6:$H$92&gt;=BI!P$3),Headcount!$P$6:$P$92,Headcount!$L$6:$L$92)),0),IF(YEAR(P$3)=YEAR(Headcount!$Q$4),IF((P$5=12),(SUMPRODUCT(--(Headcount!$F$6:$F$92="Development Operations"),--(Headcount!$H$6:$H$92&gt;=BI!P$3),Headcount!$Q$6:$Q$92,Headcount!$L$6:$L$92)),0),IF(YEAR(P$3)=YEAR(Headcount!$R$4),IF((P$5=12),(SUMPRODUCT(--(Headcount!$F$6:$F$92="Development Operations"),--(Headcount!$H$6:$H$92&gt;=BI!P$3),Headcount!$R$6:$R$92,Headcount!$L$6:$L$92)),0),"New Year"))))),'Dept. Cost Actuals'!T814)</f>
        <v>5779.75</v>
      </c>
      <c r="Q16" s="684">
        <f>IF(Q$4="forecast",IF(YEAR(Q$3)=YEAR(Headcount!$N$4),IF((Q$5=12),(SUMPRODUCT(--(Headcount!$F$6:$F$92="Development Operations"),--(Headcount!$H$6:$H$92&gt;=BI!Q$3),Headcount!$N$6:$N$92,Headcount!$L$6:$L$92)),0),IF(YEAR(Q$3)=YEAR(Headcount!$O$4),IF((Q$5=12),(SUMPRODUCT(--(Headcount!$F$6:$F$92="Development Operations"),--(Headcount!$H$6:$H$92&gt;=BI!Q$3),Headcount!$O$6:$O$92,Headcount!$L$6:$L$92)),0),IF(YEAR(Q$3)=YEAR(Headcount!$P$4),IF((Q$5=12),(SUMPRODUCT(--(Headcount!$F$6:$F$92="Development Operations"),--(Headcount!$H$6:$H$92&gt;=BI!Q$3),Headcount!$P$6:$P$92,Headcount!$L$6:$L$92)),0),IF(YEAR(Q$3)=YEAR(Headcount!$Q$4),IF((Q$5=12),(SUMPRODUCT(--(Headcount!$F$6:$F$92="Development Operations"),--(Headcount!$H$6:$H$92&gt;=BI!Q$3),Headcount!$Q$6:$Q$92,Headcount!$L$6:$L$92)),0),IF(YEAR(Q$3)=YEAR(Headcount!$R$4),IF((Q$5=12),(SUMPRODUCT(--(Headcount!$F$6:$F$92="Development Operations"),--(Headcount!$H$6:$H$92&gt;=BI!Q$3),Headcount!$R$6:$R$92,Headcount!$L$6:$L$92)),0),"New Year"))))),'Dept. Cost Actuals'!U814)</f>
        <v>6034.89</v>
      </c>
      <c r="R16" s="684">
        <f>IF(R$4="forecast",IF(YEAR(R$3)=YEAR(Headcount!$N$4),IF((R$5=12),(SUMPRODUCT(--(Headcount!$F$6:$F$92="Development Operations"),--(Headcount!$H$6:$H$92&gt;=BI!R$3),Headcount!$N$6:$N$92,Headcount!$L$6:$L$92)),0),IF(YEAR(R$3)=YEAR(Headcount!$O$4),IF((R$5=12),(SUMPRODUCT(--(Headcount!$F$6:$F$92="Development Operations"),--(Headcount!$H$6:$H$92&gt;=BI!R$3),Headcount!$O$6:$O$92,Headcount!$L$6:$L$92)),0),IF(YEAR(R$3)=YEAR(Headcount!$P$4),IF((R$5=12),(SUMPRODUCT(--(Headcount!$F$6:$F$92="Development Operations"),--(Headcount!$H$6:$H$92&gt;=BI!R$3),Headcount!$P$6:$P$92,Headcount!$L$6:$L$92)),0),IF(YEAR(R$3)=YEAR(Headcount!$Q$4),IF((R$5=12),(SUMPRODUCT(--(Headcount!$F$6:$F$92="Development Operations"),--(Headcount!$H$6:$H$92&gt;=BI!R$3),Headcount!$Q$6:$Q$92,Headcount!$L$6:$L$92)),0),IF(YEAR(R$3)=YEAR(Headcount!$R$4),IF((R$5=12),(SUMPRODUCT(--(Headcount!$F$6:$F$92="Development Operations"),--(Headcount!$H$6:$H$92&gt;=BI!R$3),Headcount!$R$6:$R$92,Headcount!$L$6:$L$92)),0),"New Year"))))),'Dept. Cost Actuals'!V814)</f>
        <v>7141.57</v>
      </c>
      <c r="S16" s="684">
        <f>IF(S$4="forecast",IF(YEAR(S$3)=YEAR(Headcount!$N$4),IF((S$5=12),(SUMPRODUCT(--(Headcount!$F$6:$F$92="Development Operations"),--(Headcount!$H$6:$H$92&gt;=BI!S$3),Headcount!$N$6:$N$92,Headcount!$L$6:$L$92)),0),IF(YEAR(S$3)=YEAR(Headcount!$O$4),IF((S$5=12),(SUMPRODUCT(--(Headcount!$F$6:$F$92="Development Operations"),--(Headcount!$H$6:$H$92&gt;=BI!S$3),Headcount!$O$6:$O$92,Headcount!$L$6:$L$92)),0),IF(YEAR(S$3)=YEAR(Headcount!$P$4),IF((S$5=12),(SUMPRODUCT(--(Headcount!$F$6:$F$92="Development Operations"),--(Headcount!$H$6:$H$92&gt;=BI!S$3),Headcount!$P$6:$P$92,Headcount!$L$6:$L$92)),0),IF(YEAR(S$3)=YEAR(Headcount!$Q$4),IF((S$5=12),(SUMPRODUCT(--(Headcount!$F$6:$F$92="Development Operations"),--(Headcount!$H$6:$H$92&gt;=BI!S$3),Headcount!$Q$6:$Q$92,Headcount!$L$6:$L$92)),0),IF(YEAR(S$3)=YEAR(Headcount!$R$4),IF((S$5=12),(SUMPRODUCT(--(Headcount!$F$6:$F$92="Development Operations"),--(Headcount!$H$6:$H$92&gt;=BI!S$3),Headcount!$R$6:$R$92,Headcount!$L$6:$L$92)),0),"New Year"))))),'Dept. Cost Actuals'!W814)</f>
        <v>5779.75</v>
      </c>
      <c r="T16" s="684">
        <f>IF(T$4="forecast",IF(YEAR(T$3)=YEAR(Headcount!$N$4),IF((T$5=12),(SUMPRODUCT(--(Headcount!$F$6:$F$92="Development Operations"),--(Headcount!$H$6:$H$92&gt;=BI!T$3),Headcount!$N$6:$N$92,Headcount!$L$6:$L$92)),0),IF(YEAR(T$3)=YEAR(Headcount!$O$4),IF((T$5=12),(SUMPRODUCT(--(Headcount!$F$6:$F$92="Development Operations"),--(Headcount!$H$6:$H$92&gt;=BI!T$3),Headcount!$O$6:$O$92,Headcount!$L$6:$L$92)),0),IF(YEAR(T$3)=YEAR(Headcount!$P$4),IF((T$5=12),(SUMPRODUCT(--(Headcount!$F$6:$F$92="Development Operations"),--(Headcount!$H$6:$H$92&gt;=BI!T$3),Headcount!$P$6:$P$92,Headcount!$L$6:$L$92)),0),IF(YEAR(T$3)=YEAR(Headcount!$Q$4),IF((T$5=12),(SUMPRODUCT(--(Headcount!$F$6:$F$92="Development Operations"),--(Headcount!$H$6:$H$92&gt;=BI!T$3),Headcount!$Q$6:$Q$92,Headcount!$L$6:$L$92)),0),IF(YEAR(T$3)=YEAR(Headcount!$R$4),IF((T$5=12),(SUMPRODUCT(--(Headcount!$F$6:$F$92="Development Operations"),--(Headcount!$H$6:$H$92&gt;=BI!T$3),Headcount!$R$6:$R$92,Headcount!$L$6:$L$92)),0),"New Year"))))),'Dept. Cost Actuals'!X814)</f>
        <v>5779.75</v>
      </c>
      <c r="U16" s="684">
        <f>IF(U$4="forecast",IF(YEAR(U$3)=YEAR(Headcount!$N$4),IF((U$5=12),(SUMPRODUCT(--(Headcount!$F$6:$F$92="Development Operations"),--(Headcount!$H$6:$H$92&gt;=BI!U$3),Headcount!$N$6:$N$92,Headcount!$L$6:$L$92)),0),IF(YEAR(U$3)=YEAR(Headcount!$O$4),IF((U$5=12),(SUMPRODUCT(--(Headcount!$F$6:$F$92="Development Operations"),--(Headcount!$H$6:$H$92&gt;=BI!U$3),Headcount!$O$6:$O$92,Headcount!$L$6:$L$92)),0),IF(YEAR(U$3)=YEAR(Headcount!$P$4),IF((U$5=12),(SUMPRODUCT(--(Headcount!$F$6:$F$92="Development Operations"),--(Headcount!$H$6:$H$92&gt;=BI!U$3),Headcount!$P$6:$P$92,Headcount!$L$6:$L$92)),0),IF(YEAR(U$3)=YEAR(Headcount!$Q$4),IF((U$5=12),(SUMPRODUCT(--(Headcount!$F$6:$F$92="Development Operations"),--(Headcount!$H$6:$H$92&gt;=BI!U$3),Headcount!$Q$6:$Q$92,Headcount!$L$6:$L$92)),0),IF(YEAR(U$3)=YEAR(Headcount!$R$4),IF((U$5=12),(SUMPRODUCT(--(Headcount!$F$6:$F$92="Development Operations"),--(Headcount!$H$6:$H$92&gt;=BI!U$3),Headcount!$R$6:$R$92,Headcount!$L$6:$L$92)),0),"New Year"))))),'Dept. Cost Actuals'!Y814)</f>
        <v>7764.93</v>
      </c>
      <c r="V16" s="684">
        <f>IF(V$4="forecast",IF(YEAR(V$3)=YEAR(Headcount!$N$4),IF((V$5=12),(SUMPRODUCT(--(Headcount!$F$6:$F$92="Development Operations"),--(Headcount!$H$6:$H$92&gt;=BI!V$3),Headcount!$N$6:$N$92,Headcount!$L$6:$L$92)),0),IF(YEAR(V$3)=YEAR(Headcount!$O$4),IF((V$5=12),(SUMPRODUCT(--(Headcount!$F$6:$F$92="Development Operations"),--(Headcount!$H$6:$H$92&gt;=BI!V$3),Headcount!$O$6:$O$92,Headcount!$L$6:$L$92)),0),IF(YEAR(V$3)=YEAR(Headcount!$P$4),IF((V$5=12),(SUMPRODUCT(--(Headcount!$F$6:$F$92="Development Operations"),--(Headcount!$H$6:$H$92&gt;=BI!V$3),Headcount!$P$6:$P$92,Headcount!$L$6:$L$92)),0),IF(YEAR(V$3)=YEAR(Headcount!$Q$4),IF((V$5=12),(SUMPRODUCT(--(Headcount!$F$6:$F$92="Development Operations"),--(Headcount!$H$6:$H$92&gt;=BI!V$3),Headcount!$Q$6:$Q$92,Headcount!$L$6:$L$92)),0),IF(YEAR(V$3)=YEAR(Headcount!$R$4),IF((V$5=12),(SUMPRODUCT(--(Headcount!$F$6:$F$92="Development Operations"),--(Headcount!$H$6:$H$92&gt;=BI!V$3),Headcount!$R$6:$R$92,Headcount!$L$6:$L$92)),0),"New Year"))))),'Dept. Cost Actuals'!Z814)</f>
        <v>11772.34</v>
      </c>
      <c r="W16" s="684">
        <f>IF(W$4="forecast",IF(YEAR(W$3)=YEAR(Headcount!$N$4),IF((W$5=12),(SUMPRODUCT(--(Headcount!$F$6:$F$92="Development Operations"),--(Headcount!$H$6:$H$92&gt;=BI!W$3),Headcount!$N$6:$N$92,Headcount!$L$6:$L$92)),0),IF(YEAR(W$3)=YEAR(Headcount!$O$4),IF((W$5=12),(SUMPRODUCT(--(Headcount!$F$6:$F$92="Development Operations"),--(Headcount!$H$6:$H$92&gt;=BI!W$3),Headcount!$O$6:$O$92,Headcount!$L$6:$L$92)),0),IF(YEAR(W$3)=YEAR(Headcount!$P$4),IF((W$5=12),(SUMPRODUCT(--(Headcount!$F$6:$F$92="Development Operations"),--(Headcount!$H$6:$H$92&gt;=BI!W$3),Headcount!$P$6:$P$92,Headcount!$L$6:$L$92)),0),IF(YEAR(W$3)=YEAR(Headcount!$Q$4),IF((W$5=12),(SUMPRODUCT(--(Headcount!$F$6:$F$92="Development Operations"),--(Headcount!$H$6:$H$92&gt;=BI!W$3),Headcount!$Q$6:$Q$92,Headcount!$L$6:$L$92)),0),IF(YEAR(W$3)=YEAR(Headcount!$R$4),IF((W$5=12),(SUMPRODUCT(--(Headcount!$F$6:$F$92="Development Operations"),--(Headcount!$H$6:$H$92&gt;=BI!W$3),Headcount!$R$6:$R$92,Headcount!$L$6:$L$92)),0),"New Year"))))),'Dept. Cost Actuals'!AA814)</f>
        <v>5779.75</v>
      </c>
      <c r="X16" s="684">
        <f>IF(X$4="forecast",IF(YEAR(X$3)=YEAR(Headcount!$N$4),IF((X$5=12),(SUMPRODUCT(--(Headcount!$F$6:$F$92="Development Operations"),--(Headcount!$H$6:$H$92&gt;=BI!X$3),Headcount!$N$6:$N$92,Headcount!$L$6:$L$92)),0),IF(YEAR(X$3)=YEAR(Headcount!$O$4),IF((X$5=12),(SUMPRODUCT(--(Headcount!$F$6:$F$92="Development Operations"),--(Headcount!$H$6:$H$92&gt;=BI!X$3),Headcount!$O$6:$O$92,Headcount!$L$6:$L$92)),0),IF(YEAR(X$3)=YEAR(Headcount!$P$4),IF((X$5=12),(SUMPRODUCT(--(Headcount!$F$6:$F$92="Development Operations"),--(Headcount!$H$6:$H$92&gt;=BI!X$3),Headcount!$P$6:$P$92,Headcount!$L$6:$L$92)),0),IF(YEAR(X$3)=YEAR(Headcount!$Q$4),IF((X$5=12),(SUMPRODUCT(--(Headcount!$F$6:$F$92="Development Operations"),--(Headcount!$H$6:$H$92&gt;=BI!X$3),Headcount!$Q$6:$Q$92,Headcount!$L$6:$L$92)),0),IF(YEAR(X$3)=YEAR(Headcount!$R$4),IF((X$5=12),(SUMPRODUCT(--(Headcount!$F$6:$F$92="Development Operations"),--(Headcount!$H$6:$H$92&gt;=BI!X$3),Headcount!$R$6:$R$92,Headcount!$L$6:$L$92)),0),"New Year"))))),'Dept. Cost Actuals'!AB814)</f>
        <v>8757.52</v>
      </c>
      <c r="Y16" s="684">
        <f>IF(Y$4="forecast",IF(YEAR(Y$3)=YEAR(Headcount!$N$4),IF((Y$5=12),(SUMPRODUCT(--(Headcount!$F$6:$F$92="Development Operations"),--(Headcount!$H$6:$H$92&gt;=BI!Y$3),Headcount!$N$6:$N$92,Headcount!$L$6:$L$92)),0),IF(YEAR(Y$3)=YEAR(Headcount!$O$4),IF((Y$5=12),(SUMPRODUCT(--(Headcount!$F$6:$F$92="Development Operations"),--(Headcount!$H$6:$H$92&gt;=BI!Y$3),Headcount!$O$6:$O$92,Headcount!$L$6:$L$92)),0),IF(YEAR(Y$3)=YEAR(Headcount!$P$4),IF((Y$5=12),(SUMPRODUCT(--(Headcount!$F$6:$F$92="Development Operations"),--(Headcount!$H$6:$H$92&gt;=BI!Y$3),Headcount!$P$6:$P$92,Headcount!$L$6:$L$92)),0),IF(YEAR(Y$3)=YEAR(Headcount!$Q$4),IF((Y$5=12),(SUMPRODUCT(--(Headcount!$F$6:$F$92="Development Operations"),--(Headcount!$H$6:$H$92&gt;=BI!Y$3),Headcount!$Q$6:$Q$92,Headcount!$L$6:$L$92)),0),IF(YEAR(Y$3)=YEAR(Headcount!$R$4),IF((Y$5=12),(SUMPRODUCT(--(Headcount!$F$6:$F$92="Development Operations"),--(Headcount!$H$6:$H$92&gt;=BI!Y$3),Headcount!$R$6:$R$92,Headcount!$L$6:$L$92)),0),"New Year"))))),'Dept. Cost Actuals'!AC814)</f>
        <v>5899.41</v>
      </c>
      <c r="Z16" s="684">
        <f>IF(Z$4="forecast",IF(YEAR(Z$3)=YEAR(Headcount!$N$4),IF((Z$5=12),(SUMPRODUCT(--(Headcount!$F$6:$F$92="Development Operations"),--(Headcount!$H$6:$H$92&gt;=BI!Z$3),Headcount!$N$6:$N$92,Headcount!$L$6:$L$92)),0),IF(YEAR(Z$3)=YEAR(Headcount!$O$4),IF((Z$5=12),(SUMPRODUCT(--(Headcount!$F$6:$F$92="Development Operations"),--(Headcount!$H$6:$H$92&gt;=BI!Z$3),Headcount!$O$6:$O$92,Headcount!$L$6:$L$92)),0),IF(YEAR(Z$3)=YEAR(Headcount!$P$4),IF((Z$5=12),(SUMPRODUCT(--(Headcount!$F$6:$F$92="Development Operations"),--(Headcount!$H$6:$H$92&gt;=BI!Z$3),Headcount!$P$6:$P$92,Headcount!$L$6:$L$92)),0),IF(YEAR(Z$3)=YEAR(Headcount!$Q$4),IF((Z$5=12),(SUMPRODUCT(--(Headcount!$F$6:$F$92="Development Operations"),--(Headcount!$H$6:$H$92&gt;=BI!Z$3),Headcount!$Q$6:$Q$92,Headcount!$L$6:$L$92)),0),IF(YEAR(Z$3)=YEAR(Headcount!$R$4),IF((Z$5=12),(SUMPRODUCT(--(Headcount!$F$6:$F$92="Development Operations"),--(Headcount!$H$6:$H$92&gt;=BI!Z$3),Headcount!$R$6:$R$92,Headcount!$L$6:$L$92)),0),"New Year"))))),'Dept. Cost Actuals'!AD814)</f>
        <v>53436.99</v>
      </c>
      <c r="AA16" s="684">
        <f>IF(AA$4="forecast",IF(YEAR(AA$3)=YEAR(Headcount!$N$4),IF((AA$5=12),(SUMPRODUCT(--(Headcount!$F$6:$F$92="Development Operations"),--(Headcount!$H$6:$H$92&gt;=BI!AA$3),Headcount!$N$6:$N$92,Headcount!$L$6:$L$92)),0),IF(YEAR(AA$3)=YEAR(Headcount!$O$4),IF((AA$5=12),(SUMPRODUCT(--(Headcount!$F$6:$F$92="Development Operations"),--(Headcount!$H$6:$H$92&gt;=BI!AA$3),Headcount!$O$6:$O$92,Headcount!$L$6:$L$92)),0),IF(YEAR(AA$3)=YEAR(Headcount!$P$4),IF((AA$5=12),(SUMPRODUCT(--(Headcount!$F$6:$F$92="Development Operations"),--(Headcount!$H$6:$H$92&gt;=BI!AA$3),Headcount!$P$6:$P$92,Headcount!$L$6:$L$92)),0),IF(YEAR(AA$3)=YEAR(Headcount!$Q$4),IF((AA$5=12),(SUMPRODUCT(--(Headcount!$F$6:$F$92="Development Operations"),--(Headcount!$H$6:$H$92&gt;=BI!AA$3),Headcount!$Q$6:$Q$92,Headcount!$L$6:$L$92)),0),IF(YEAR(AA$3)=YEAR(Headcount!$R$4),IF((AA$5=12),(SUMPRODUCT(--(Headcount!$F$6:$F$92="Development Operations"),--(Headcount!$H$6:$H$92&gt;=BI!AA$3),Headcount!$R$6:$R$92,Headcount!$L$6:$L$92)),0),"New Year"))))),'Dept. Cost Actuals'!AE814)</f>
        <v>0</v>
      </c>
      <c r="AB16" s="684">
        <f>IF(AB$4="forecast",IF(YEAR(AB$3)=YEAR(Headcount!$N$4),IF((AB$5=12),(SUMPRODUCT(--(Headcount!$F$6:$F$92="Development Operations"),--(Headcount!$H$6:$H$92&gt;=BI!AB$3),Headcount!$N$6:$N$92,Headcount!$L$6:$L$92)),0),IF(YEAR(AB$3)=YEAR(Headcount!$O$4),IF((AB$5=12),(SUMPRODUCT(--(Headcount!$F$6:$F$92="Development Operations"),--(Headcount!$H$6:$H$92&gt;=BI!AB$3),Headcount!$O$6:$O$92,Headcount!$L$6:$L$92)),0),IF(YEAR(AB$3)=YEAR(Headcount!$P$4),IF((AB$5=12),(SUMPRODUCT(--(Headcount!$F$6:$F$92="Development Operations"),--(Headcount!$H$6:$H$92&gt;=BI!AB$3),Headcount!$P$6:$P$92,Headcount!$L$6:$L$92)),0),IF(YEAR(AB$3)=YEAR(Headcount!$Q$4),IF((AB$5=12),(SUMPRODUCT(--(Headcount!$F$6:$F$92="Development Operations"),--(Headcount!$H$6:$H$92&gt;=BI!AB$3),Headcount!$Q$6:$Q$92,Headcount!$L$6:$L$92)),0),IF(YEAR(AB$3)=YEAR(Headcount!$R$4),IF((AB$5=12),(SUMPRODUCT(--(Headcount!$F$6:$F$92="Development Operations"),--(Headcount!$H$6:$H$92&gt;=BI!AB$3),Headcount!$R$6:$R$92,Headcount!$L$6:$L$92)),0),"New Year"))))),'Dept. Cost Actuals'!AF814)</f>
        <v>0</v>
      </c>
      <c r="AC16" s="684">
        <f>IF(AC$4="forecast",IF(YEAR(AC$3)=YEAR(Headcount!$N$4),IF((AC$5=12),(SUMPRODUCT(--(Headcount!$F$6:$F$92="Development Operations"),--(Headcount!$H$6:$H$92&gt;=BI!AC$3),Headcount!$N$6:$N$92,Headcount!$L$6:$L$92)),0),IF(YEAR(AC$3)=YEAR(Headcount!$O$4),IF((AC$5=12),(SUMPRODUCT(--(Headcount!$F$6:$F$92="Development Operations"),--(Headcount!$H$6:$H$92&gt;=BI!AC$3),Headcount!$O$6:$O$92,Headcount!$L$6:$L$92)),0),IF(YEAR(AC$3)=YEAR(Headcount!$P$4),IF((AC$5=12),(SUMPRODUCT(--(Headcount!$F$6:$F$92="Development Operations"),--(Headcount!$H$6:$H$92&gt;=BI!AC$3),Headcount!$P$6:$P$92,Headcount!$L$6:$L$92)),0),IF(YEAR(AC$3)=YEAR(Headcount!$Q$4),IF((AC$5=12),(SUMPRODUCT(--(Headcount!$F$6:$F$92="Development Operations"),--(Headcount!$H$6:$H$92&gt;=BI!AC$3),Headcount!$Q$6:$Q$92,Headcount!$L$6:$L$92)),0),IF(YEAR(AC$3)=YEAR(Headcount!$R$4),IF((AC$5=12),(SUMPRODUCT(--(Headcount!$F$6:$F$92="Development Operations"),--(Headcount!$H$6:$H$92&gt;=BI!AC$3),Headcount!$R$6:$R$92,Headcount!$L$6:$L$92)),0),"New Year"))))),'Dept. Cost Actuals'!AG814)</f>
        <v>0</v>
      </c>
      <c r="AD16" s="684">
        <f>IF(AD$4="forecast",IF(YEAR(AD$3)=YEAR(Headcount!$N$4),IF((AD$5=12),(SUMPRODUCT(--(Headcount!$F$6:$F$92="Development Operations"),--(Headcount!$H$6:$H$92&gt;=BI!AD$3),Headcount!$N$6:$N$92,Headcount!$L$6:$L$92)),0),IF(YEAR(AD$3)=YEAR(Headcount!$O$4),IF((AD$5=12),(SUMPRODUCT(--(Headcount!$F$6:$F$92="Development Operations"),--(Headcount!$H$6:$H$92&gt;=BI!AD$3),Headcount!$O$6:$O$92,Headcount!$L$6:$L$92)),0),IF(YEAR(AD$3)=YEAR(Headcount!$P$4),IF((AD$5=12),(SUMPRODUCT(--(Headcount!$F$6:$F$92="Development Operations"),--(Headcount!$H$6:$H$92&gt;=BI!AD$3),Headcount!$P$6:$P$92,Headcount!$L$6:$L$92)),0),IF(YEAR(AD$3)=YEAR(Headcount!$Q$4),IF((AD$5=12),(SUMPRODUCT(--(Headcount!$F$6:$F$92="Development Operations"),--(Headcount!$H$6:$H$92&gt;=BI!AD$3),Headcount!$Q$6:$Q$92,Headcount!$L$6:$L$92)),0),IF(YEAR(AD$3)=YEAR(Headcount!$R$4),IF((AD$5=12),(SUMPRODUCT(--(Headcount!$F$6:$F$92="Development Operations"),--(Headcount!$H$6:$H$92&gt;=BI!AD$3),Headcount!$R$6:$R$92,Headcount!$L$6:$L$92)),0),"New Year"))))),'Dept. Cost Actuals'!AH814)</f>
        <v>0</v>
      </c>
      <c r="AE16" s="684">
        <f>IF(AE$4="forecast",IF(YEAR(AE$3)=YEAR(Headcount!$N$4),IF((AE$5=12),(SUMPRODUCT(--(Headcount!$F$6:$F$92="Development Operations"),--(Headcount!$H$6:$H$92&gt;=BI!AE$3),Headcount!$N$6:$N$92,Headcount!$L$6:$L$92)),0),IF(YEAR(AE$3)=YEAR(Headcount!$O$4),IF((AE$5=12),(SUMPRODUCT(--(Headcount!$F$6:$F$92="Development Operations"),--(Headcount!$H$6:$H$92&gt;=BI!AE$3),Headcount!$O$6:$O$92,Headcount!$L$6:$L$92)),0),IF(YEAR(AE$3)=YEAR(Headcount!$P$4),IF((AE$5=12),(SUMPRODUCT(--(Headcount!$F$6:$F$92="Development Operations"),--(Headcount!$H$6:$H$92&gt;=BI!AE$3),Headcount!$P$6:$P$92,Headcount!$L$6:$L$92)),0),IF(YEAR(AE$3)=YEAR(Headcount!$Q$4),IF((AE$5=12),(SUMPRODUCT(--(Headcount!$F$6:$F$92="Development Operations"),--(Headcount!$H$6:$H$92&gt;=BI!AE$3),Headcount!$Q$6:$Q$92,Headcount!$L$6:$L$92)),0),IF(YEAR(AE$3)=YEAR(Headcount!$R$4),IF((AE$5=12),(SUMPRODUCT(--(Headcount!$F$6:$F$92="Development Operations"),--(Headcount!$H$6:$H$92&gt;=BI!AE$3),Headcount!$R$6:$R$92,Headcount!$L$6:$L$92)),0),"New Year"))))),'Dept. Cost Actuals'!AI814)</f>
        <v>0</v>
      </c>
      <c r="AF16" s="684">
        <f>IF(AF$4="forecast",IF(YEAR(AF$3)=YEAR(Headcount!$N$4),IF((AF$5=12),(SUMPRODUCT(--(Headcount!$F$6:$F$92="Development Operations"),--(Headcount!$H$6:$H$92&gt;=BI!AF$3),Headcount!$N$6:$N$92,Headcount!$L$6:$L$92)),0),IF(YEAR(AF$3)=YEAR(Headcount!$O$4),IF((AF$5=12),(SUMPRODUCT(--(Headcount!$F$6:$F$92="Development Operations"),--(Headcount!$H$6:$H$92&gt;=BI!AF$3),Headcount!$O$6:$O$92,Headcount!$L$6:$L$92)),0),IF(YEAR(AF$3)=YEAR(Headcount!$P$4),IF((AF$5=12),(SUMPRODUCT(--(Headcount!$F$6:$F$92="Development Operations"),--(Headcount!$H$6:$H$92&gt;=BI!AF$3),Headcount!$P$6:$P$92,Headcount!$L$6:$L$92)),0),IF(YEAR(AF$3)=YEAR(Headcount!$Q$4),IF((AF$5=12),(SUMPRODUCT(--(Headcount!$F$6:$F$92="Development Operations"),--(Headcount!$H$6:$H$92&gt;=BI!AF$3),Headcount!$Q$6:$Q$92,Headcount!$L$6:$L$92)),0),IF(YEAR(AF$3)=YEAR(Headcount!$R$4),IF((AF$5=12),(SUMPRODUCT(--(Headcount!$F$6:$F$92="Development Operations"),--(Headcount!$H$6:$H$92&gt;=BI!AF$3),Headcount!$R$6:$R$92,Headcount!$L$6:$L$92)),0),"New Year"))))),'Dept. Cost Actuals'!AJ814)</f>
        <v>0</v>
      </c>
      <c r="AG16" s="684">
        <f>IF(AG$4="forecast",IF(YEAR(AG$3)=YEAR(Headcount!$N$4),IF((AG$5=12),(SUMPRODUCT(--(Headcount!$F$6:$F$92="Development Operations"),--(Headcount!$H$6:$H$92&gt;=BI!AG$3),Headcount!$N$6:$N$92,Headcount!$L$6:$L$92)),0),IF(YEAR(AG$3)=YEAR(Headcount!$O$4),IF((AG$5=12),(SUMPRODUCT(--(Headcount!$F$6:$F$92="Development Operations"),--(Headcount!$H$6:$H$92&gt;=BI!AG$3),Headcount!$O$6:$O$92,Headcount!$L$6:$L$92)),0),IF(YEAR(AG$3)=YEAR(Headcount!$P$4),IF((AG$5=12),(SUMPRODUCT(--(Headcount!$F$6:$F$92="Development Operations"),--(Headcount!$H$6:$H$92&gt;=BI!AG$3),Headcount!$P$6:$P$92,Headcount!$L$6:$L$92)),0),IF(YEAR(AG$3)=YEAR(Headcount!$Q$4),IF((AG$5=12),(SUMPRODUCT(--(Headcount!$F$6:$F$92="Development Operations"),--(Headcount!$H$6:$H$92&gt;=BI!AG$3),Headcount!$Q$6:$Q$92,Headcount!$L$6:$L$92)),0),IF(YEAR(AG$3)=YEAR(Headcount!$R$4),IF((AG$5=12),(SUMPRODUCT(--(Headcount!$F$6:$F$92="Development Operations"),--(Headcount!$H$6:$H$92&gt;=BI!AG$3),Headcount!$R$6:$R$92,Headcount!$L$6:$L$92)),0),"New Year"))))),'Dept. Cost Actuals'!AK814)</f>
        <v>0</v>
      </c>
      <c r="AH16" s="684">
        <f>IF(AH$4="forecast",IF(YEAR(AH$3)=YEAR(Headcount!$N$4),IF((AH$5=12),(SUMPRODUCT(--(Headcount!$F$6:$F$92="Development Operations"),--(Headcount!$H$6:$H$92&gt;=BI!AH$3),Headcount!$N$6:$N$92,Headcount!$L$6:$L$92)),0),IF(YEAR(AH$3)=YEAR(Headcount!$O$4),IF((AH$5=12),(SUMPRODUCT(--(Headcount!$F$6:$F$92="Development Operations"),--(Headcount!$H$6:$H$92&gt;=BI!AH$3),Headcount!$O$6:$O$92,Headcount!$L$6:$L$92)),0),IF(YEAR(AH$3)=YEAR(Headcount!$P$4),IF((AH$5=12),(SUMPRODUCT(--(Headcount!$F$6:$F$92="Development Operations"),--(Headcount!$H$6:$H$92&gt;=BI!AH$3),Headcount!$P$6:$P$92,Headcount!$L$6:$L$92)),0),IF(YEAR(AH$3)=YEAR(Headcount!$Q$4),IF((AH$5=12),(SUMPRODUCT(--(Headcount!$F$6:$F$92="Development Operations"),--(Headcount!$H$6:$H$92&gt;=BI!AH$3),Headcount!$Q$6:$Q$92,Headcount!$L$6:$L$92)),0),IF(YEAR(AH$3)=YEAR(Headcount!$R$4),IF((AH$5=12),(SUMPRODUCT(--(Headcount!$F$6:$F$92="Development Operations"),--(Headcount!$H$6:$H$92&gt;=BI!AH$3),Headcount!$R$6:$R$92,Headcount!$L$6:$L$92)),0),"New Year"))))),'Dept. Cost Actuals'!AL814)</f>
        <v>0</v>
      </c>
      <c r="AI16" s="684">
        <f>IF(AI$4="forecast",IF(YEAR(AI$3)=YEAR(Headcount!$N$4),IF((AI$5=12),(SUMPRODUCT(--(Headcount!$F$6:$F$92="Development Operations"),--(Headcount!$H$6:$H$92&gt;=BI!AI$3),Headcount!$N$6:$N$92,Headcount!$L$6:$L$92)),0),IF(YEAR(AI$3)=YEAR(Headcount!$O$4),IF((AI$5=12),(SUMPRODUCT(--(Headcount!$F$6:$F$92="Development Operations"),--(Headcount!$H$6:$H$92&gt;=BI!AI$3),Headcount!$O$6:$O$92,Headcount!$L$6:$L$92)),0),IF(YEAR(AI$3)=YEAR(Headcount!$P$4),IF((AI$5=12),(SUMPRODUCT(--(Headcount!$F$6:$F$92="Development Operations"),--(Headcount!$H$6:$H$92&gt;=BI!AI$3),Headcount!$P$6:$P$92,Headcount!$L$6:$L$92)),0),IF(YEAR(AI$3)=YEAR(Headcount!$Q$4),IF((AI$5=12),(SUMPRODUCT(--(Headcount!$F$6:$F$92="Development Operations"),--(Headcount!$H$6:$H$92&gt;=BI!AI$3),Headcount!$Q$6:$Q$92,Headcount!$L$6:$L$92)),0),IF(YEAR(AI$3)=YEAR(Headcount!$R$4),IF((AI$5=12),(SUMPRODUCT(--(Headcount!$F$6:$F$92="Development Operations"),--(Headcount!$H$6:$H$92&gt;=BI!AI$3),Headcount!$R$6:$R$92,Headcount!$L$6:$L$92)),0),"New Year"))))),'Dept. Cost Actuals'!AM814)</f>
        <v>0</v>
      </c>
      <c r="AJ16" s="684">
        <f>IF(AJ$4="forecast",IF(YEAR(AJ$3)=YEAR(Headcount!$N$4),IF((AJ$5=12),(SUMPRODUCT(--(Headcount!$F$6:$F$92="Development Operations"),--(Headcount!$H$6:$H$92&gt;=BI!AJ$3),Headcount!$N$6:$N$92,Headcount!$L$6:$L$92)),0),IF(YEAR(AJ$3)=YEAR(Headcount!$O$4),IF((AJ$5=12),(SUMPRODUCT(--(Headcount!$F$6:$F$92="Development Operations"),--(Headcount!$H$6:$H$92&gt;=BI!AJ$3),Headcount!$O$6:$O$92,Headcount!$L$6:$L$92)),0),IF(YEAR(AJ$3)=YEAR(Headcount!$P$4),IF((AJ$5=12),(SUMPRODUCT(--(Headcount!$F$6:$F$92="Development Operations"),--(Headcount!$H$6:$H$92&gt;=BI!AJ$3),Headcount!$P$6:$P$92,Headcount!$L$6:$L$92)),0),IF(YEAR(AJ$3)=YEAR(Headcount!$Q$4),IF((AJ$5=12),(SUMPRODUCT(--(Headcount!$F$6:$F$92="Development Operations"),--(Headcount!$H$6:$H$92&gt;=BI!AJ$3),Headcount!$Q$6:$Q$92,Headcount!$L$6:$L$92)),0),IF(YEAR(AJ$3)=YEAR(Headcount!$R$4),IF((AJ$5=12),(SUMPRODUCT(--(Headcount!$F$6:$F$92="Development Operations"),--(Headcount!$H$6:$H$92&gt;=BI!AJ$3),Headcount!$R$6:$R$92,Headcount!$L$6:$L$92)),0),"New Year"))))),'Dept. Cost Actuals'!AN814)</f>
        <v>0</v>
      </c>
      <c r="AK16" s="684">
        <f>IF(AK$4="forecast",IF(YEAR(AK$3)=YEAR(Headcount!$N$4),IF((AK$5=12),(SUMPRODUCT(--(Headcount!$F$6:$F$92="Development Operations"),--(Headcount!$H$6:$H$92&gt;=BI!AK$3),Headcount!$N$6:$N$92,Headcount!$L$6:$L$92)),0),IF(YEAR(AK$3)=YEAR(Headcount!$O$4),IF((AK$5=12),(SUMPRODUCT(--(Headcount!$F$6:$F$92="Development Operations"),--(Headcount!$H$6:$H$92&gt;=BI!AK$3),Headcount!$O$6:$O$92,Headcount!$L$6:$L$92)),0),IF(YEAR(AK$3)=YEAR(Headcount!$P$4),IF((AK$5=12),(SUMPRODUCT(--(Headcount!$F$6:$F$92="Development Operations"),--(Headcount!$H$6:$H$92&gt;=BI!AK$3),Headcount!$P$6:$P$92,Headcount!$L$6:$L$92)),0),IF(YEAR(AK$3)=YEAR(Headcount!$Q$4),IF((AK$5=12),(SUMPRODUCT(--(Headcount!$F$6:$F$92="Development Operations"),--(Headcount!$H$6:$H$92&gt;=BI!AK$3),Headcount!$Q$6:$Q$92,Headcount!$L$6:$L$92)),0),IF(YEAR(AK$3)=YEAR(Headcount!$R$4),IF((AK$5=12),(SUMPRODUCT(--(Headcount!$F$6:$F$92="Development Operations"),--(Headcount!$H$6:$H$92&gt;=BI!AK$3),Headcount!$R$6:$R$92,Headcount!$L$6:$L$92)),0),"New Year"))))),'Dept. Cost Actuals'!AO814)</f>
        <v>0</v>
      </c>
      <c r="AL16" s="684">
        <f>IF(AL$4="forecast",IF(YEAR(AL$3)=YEAR(Headcount!$N$4),IF((AL$5=12),(SUMPRODUCT(--(Headcount!$F$6:$F$92="Development Operations"),--(Headcount!$H$6:$H$92&gt;=BI!AL$3),Headcount!$N$6:$N$92,Headcount!$L$6:$L$92)),0),IF(YEAR(AL$3)=YEAR(Headcount!$O$4),IF((AL$5=12),(SUMPRODUCT(--(Headcount!$F$6:$F$92="Development Operations"),--(Headcount!$H$6:$H$92&gt;=BI!AL$3),Headcount!$O$6:$O$92,Headcount!$L$6:$L$92)),0),IF(YEAR(AL$3)=YEAR(Headcount!$P$4),IF((AL$5=12),(SUMPRODUCT(--(Headcount!$F$6:$F$92="Development Operations"),--(Headcount!$H$6:$H$92&gt;=BI!AL$3),Headcount!$P$6:$P$92,Headcount!$L$6:$L$92)),0),IF(YEAR(AL$3)=YEAR(Headcount!$Q$4),IF((AL$5=12),(SUMPRODUCT(--(Headcount!$F$6:$F$92="Development Operations"),--(Headcount!$H$6:$H$92&gt;=BI!AL$3),Headcount!$Q$6:$Q$92,Headcount!$L$6:$L$92)),0),IF(YEAR(AL$3)=YEAR(Headcount!$R$4),IF((AL$5=12),(SUMPRODUCT(--(Headcount!$F$6:$F$92="Development Operations"),--(Headcount!$H$6:$H$92&gt;=BI!AL$3),Headcount!$R$6:$R$92,Headcount!$L$6:$L$92)),0),"New Year"))))),'Dept. Cost Actuals'!AP814)</f>
        <v>193256.5</v>
      </c>
      <c r="AM16" s="684">
        <f>IF(AM$4="forecast",IF(YEAR(AM$3)=YEAR(Headcount!$N$4),IF((AM$5=12),(SUMPRODUCT(--(Headcount!$F$6:$F$92="Development Operations"),--(Headcount!$H$6:$H$92&gt;=BI!AM$3),Headcount!$N$6:$N$92,Headcount!$L$6:$L$92)),0),IF(YEAR(AM$3)=YEAR(Headcount!$O$4),IF((AM$5=12),(SUMPRODUCT(--(Headcount!$F$6:$F$92="Development Operations"),--(Headcount!$H$6:$H$92&gt;=BI!AM$3),Headcount!$O$6:$O$92,Headcount!$L$6:$L$92)),0),IF(YEAR(AM$3)=YEAR(Headcount!$P$4),IF((AM$5=12),(SUMPRODUCT(--(Headcount!$F$6:$F$92="Development Operations"),--(Headcount!$H$6:$H$92&gt;=BI!AM$3),Headcount!$P$6:$P$92,Headcount!$L$6:$L$92)),0),IF(YEAR(AM$3)=YEAR(Headcount!$Q$4),IF((AM$5=12),(SUMPRODUCT(--(Headcount!$F$6:$F$92="Development Operations"),--(Headcount!$H$6:$H$92&gt;=BI!AM$3),Headcount!$Q$6:$Q$92,Headcount!$L$6:$L$92)),0),IF(YEAR(AM$3)=YEAR(Headcount!$R$4),IF((AM$5=12),(SUMPRODUCT(--(Headcount!$F$6:$F$92="Development Operations"),--(Headcount!$H$6:$H$92&gt;=BI!AM$3),Headcount!$R$6:$R$92,Headcount!$L$6:$L$92)),0),"New Year"))))),'Dept. Cost Actuals'!AQ814)</f>
        <v>0</v>
      </c>
      <c r="AN16" s="684">
        <f>IF(AN$4="forecast",IF(YEAR(AN$3)=YEAR(Headcount!$N$4),IF((AN$5=12),(SUMPRODUCT(--(Headcount!$F$6:$F$92="Development Operations"),--(Headcount!$H$6:$H$92&gt;=BI!AN$3),Headcount!$N$6:$N$92,Headcount!$L$6:$L$92)),0),IF(YEAR(AN$3)=YEAR(Headcount!$O$4),IF((AN$5=12),(SUMPRODUCT(--(Headcount!$F$6:$F$92="Development Operations"),--(Headcount!$H$6:$H$92&gt;=BI!AN$3),Headcount!$O$6:$O$92,Headcount!$L$6:$L$92)),0),IF(YEAR(AN$3)=YEAR(Headcount!$P$4),IF((AN$5=12),(SUMPRODUCT(--(Headcount!$F$6:$F$92="Development Operations"),--(Headcount!$H$6:$H$92&gt;=BI!AN$3),Headcount!$P$6:$P$92,Headcount!$L$6:$L$92)),0),IF(YEAR(AN$3)=YEAR(Headcount!$Q$4),IF((AN$5=12),(SUMPRODUCT(--(Headcount!$F$6:$F$92="Development Operations"),--(Headcount!$H$6:$H$92&gt;=BI!AN$3),Headcount!$Q$6:$Q$92,Headcount!$L$6:$L$92)),0),IF(YEAR(AN$3)=YEAR(Headcount!$R$4),IF((AN$5=12),(SUMPRODUCT(--(Headcount!$F$6:$F$92="Development Operations"),--(Headcount!$H$6:$H$92&gt;=BI!AN$3),Headcount!$R$6:$R$92,Headcount!$L$6:$L$92)),0),"New Year"))))),'Dept. Cost Actuals'!AR814)</f>
        <v>0</v>
      </c>
      <c r="AO16" s="684">
        <f>IF(AO$4="forecast",IF(YEAR(AO$3)=YEAR(Headcount!$N$4),IF((AO$5=12),(SUMPRODUCT(--(Headcount!$F$6:$F$92="Development Operations"),--(Headcount!$H$6:$H$92&gt;=BI!AO$3),Headcount!$N$6:$N$92,Headcount!$L$6:$L$92)),0),IF(YEAR(AO$3)=YEAR(Headcount!$O$4),IF((AO$5=12),(SUMPRODUCT(--(Headcount!$F$6:$F$92="Development Operations"),--(Headcount!$H$6:$H$92&gt;=BI!AO$3),Headcount!$O$6:$O$92,Headcount!$L$6:$L$92)),0),IF(YEAR(AO$3)=YEAR(Headcount!$P$4),IF((AO$5=12),(SUMPRODUCT(--(Headcount!$F$6:$F$92="Development Operations"),--(Headcount!$H$6:$H$92&gt;=BI!AO$3),Headcount!$P$6:$P$92,Headcount!$L$6:$L$92)),0),IF(YEAR(AO$3)=YEAR(Headcount!$Q$4),IF((AO$5=12),(SUMPRODUCT(--(Headcount!$F$6:$F$92="Development Operations"),--(Headcount!$H$6:$H$92&gt;=BI!AO$3),Headcount!$Q$6:$Q$92,Headcount!$L$6:$L$92)),0),IF(YEAR(AO$3)=YEAR(Headcount!$R$4),IF((AO$5=12),(SUMPRODUCT(--(Headcount!$F$6:$F$92="Development Operations"),--(Headcount!$H$6:$H$92&gt;=BI!AO$3),Headcount!$R$6:$R$92,Headcount!$L$6:$L$92)),0),"New Year"))))),'Dept. Cost Actuals'!AS814)</f>
        <v>0</v>
      </c>
      <c r="AP16" s="684">
        <f>IF(AP$4="forecast",IF(YEAR(AP$3)=YEAR(Headcount!$N$4),IF((AP$5=12),(SUMPRODUCT(--(Headcount!$F$6:$F$92="Development Operations"),--(Headcount!$H$6:$H$92&gt;=BI!AP$3),Headcount!$N$6:$N$92,Headcount!$L$6:$L$92)),0),IF(YEAR(AP$3)=YEAR(Headcount!$O$4),IF((AP$5=12),(SUMPRODUCT(--(Headcount!$F$6:$F$92="Development Operations"),--(Headcount!$H$6:$H$92&gt;=BI!AP$3),Headcount!$O$6:$O$92,Headcount!$L$6:$L$92)),0),IF(YEAR(AP$3)=YEAR(Headcount!$P$4),IF((AP$5=12),(SUMPRODUCT(--(Headcount!$F$6:$F$92="Development Operations"),--(Headcount!$H$6:$H$92&gt;=BI!AP$3),Headcount!$P$6:$P$92,Headcount!$L$6:$L$92)),0),IF(YEAR(AP$3)=YEAR(Headcount!$Q$4),IF((AP$5=12),(SUMPRODUCT(--(Headcount!$F$6:$F$92="Development Operations"),--(Headcount!$H$6:$H$92&gt;=BI!AP$3),Headcount!$Q$6:$Q$92,Headcount!$L$6:$L$92)),0),IF(YEAR(AP$3)=YEAR(Headcount!$R$4),IF((AP$5=12),(SUMPRODUCT(--(Headcount!$F$6:$F$92="Development Operations"),--(Headcount!$H$6:$H$92&gt;=BI!AP$3),Headcount!$R$6:$R$92,Headcount!$L$6:$L$92)),0),"New Year"))))),'Dept. Cost Actuals'!AT814)</f>
        <v>0</v>
      </c>
      <c r="AQ16" s="684">
        <f>IF(AQ$4="forecast",IF(YEAR(AQ$3)=YEAR(Headcount!$N$4),IF((AQ$5=12),(SUMPRODUCT(--(Headcount!$F$6:$F$92="Development Operations"),--(Headcount!$H$6:$H$92&gt;=BI!AQ$3),Headcount!$N$6:$N$92,Headcount!$L$6:$L$92)),0),IF(YEAR(AQ$3)=YEAR(Headcount!$O$4),IF((AQ$5=12),(SUMPRODUCT(--(Headcount!$F$6:$F$92="Development Operations"),--(Headcount!$H$6:$H$92&gt;=BI!AQ$3),Headcount!$O$6:$O$92,Headcount!$L$6:$L$92)),0),IF(YEAR(AQ$3)=YEAR(Headcount!$P$4),IF((AQ$5=12),(SUMPRODUCT(--(Headcount!$F$6:$F$92="Development Operations"),--(Headcount!$H$6:$H$92&gt;=BI!AQ$3),Headcount!$P$6:$P$92,Headcount!$L$6:$L$92)),0),IF(YEAR(AQ$3)=YEAR(Headcount!$Q$4),IF((AQ$5=12),(SUMPRODUCT(--(Headcount!$F$6:$F$92="Development Operations"),--(Headcount!$H$6:$H$92&gt;=BI!AQ$3),Headcount!$Q$6:$Q$92,Headcount!$L$6:$L$92)),0),IF(YEAR(AQ$3)=YEAR(Headcount!$R$4),IF((AQ$5=12),(SUMPRODUCT(--(Headcount!$F$6:$F$92="Development Operations"),--(Headcount!$H$6:$H$92&gt;=BI!AQ$3),Headcount!$R$6:$R$92,Headcount!$L$6:$L$92)),0),"New Year"))))),'Dept. Cost Actuals'!AU814)</f>
        <v>0</v>
      </c>
      <c r="AR16" s="684">
        <f>IF(AR$4="forecast",IF(YEAR(AR$3)=YEAR(Headcount!$N$4),IF((AR$5=12),(SUMPRODUCT(--(Headcount!$F$6:$F$92="Development Operations"),--(Headcount!$H$6:$H$92&gt;=BI!AR$3),Headcount!$N$6:$N$92,Headcount!$L$6:$L$92)),0),IF(YEAR(AR$3)=YEAR(Headcount!$O$4),IF((AR$5=12),(SUMPRODUCT(--(Headcount!$F$6:$F$92="Development Operations"),--(Headcount!$H$6:$H$92&gt;=BI!AR$3),Headcount!$O$6:$O$92,Headcount!$L$6:$L$92)),0),IF(YEAR(AR$3)=YEAR(Headcount!$P$4),IF((AR$5=12),(SUMPRODUCT(--(Headcount!$F$6:$F$92="Development Operations"),--(Headcount!$H$6:$H$92&gt;=BI!AR$3),Headcount!$P$6:$P$92,Headcount!$L$6:$L$92)),0),IF(YEAR(AR$3)=YEAR(Headcount!$Q$4),IF((AR$5=12),(SUMPRODUCT(--(Headcount!$F$6:$F$92="Development Operations"),--(Headcount!$H$6:$H$92&gt;=BI!AR$3),Headcount!$Q$6:$Q$92,Headcount!$L$6:$L$92)),0),IF(YEAR(AR$3)=YEAR(Headcount!$R$4),IF((AR$5=12),(SUMPRODUCT(--(Headcount!$F$6:$F$92="Development Operations"),--(Headcount!$H$6:$H$92&gt;=BI!AR$3),Headcount!$R$6:$R$92,Headcount!$L$6:$L$92)),0),"New Year"))))),'Dept. Cost Actuals'!AV814)</f>
        <v>0</v>
      </c>
      <c r="AS16" s="684">
        <f>IF(AS$4="forecast",IF(YEAR(AS$3)=YEAR(Headcount!$N$4),IF((AS$5=12),(SUMPRODUCT(--(Headcount!$F$6:$F$92="Development Operations"),--(Headcount!$H$6:$H$92&gt;=BI!AS$3),Headcount!$N$6:$N$92,Headcount!$L$6:$L$92)),0),IF(YEAR(AS$3)=YEAR(Headcount!$O$4),IF((AS$5=12),(SUMPRODUCT(--(Headcount!$F$6:$F$92="Development Operations"),--(Headcount!$H$6:$H$92&gt;=BI!AS$3),Headcount!$O$6:$O$92,Headcount!$L$6:$L$92)),0),IF(YEAR(AS$3)=YEAR(Headcount!$P$4),IF((AS$5=12),(SUMPRODUCT(--(Headcount!$F$6:$F$92="Development Operations"),--(Headcount!$H$6:$H$92&gt;=BI!AS$3),Headcount!$P$6:$P$92,Headcount!$L$6:$L$92)),0),IF(YEAR(AS$3)=YEAR(Headcount!$Q$4),IF((AS$5=12),(SUMPRODUCT(--(Headcount!$F$6:$F$92="Development Operations"),--(Headcount!$H$6:$H$92&gt;=BI!AS$3),Headcount!$Q$6:$Q$92,Headcount!$L$6:$L$92)),0),IF(YEAR(AS$3)=YEAR(Headcount!$R$4),IF((AS$5=12),(SUMPRODUCT(--(Headcount!$F$6:$F$92="Development Operations"),--(Headcount!$H$6:$H$92&gt;=BI!AS$3),Headcount!$R$6:$R$92,Headcount!$L$6:$L$92)),0),"New Year"))))),'Dept. Cost Actuals'!AW814)</f>
        <v>0</v>
      </c>
      <c r="AT16" s="684">
        <f>IF(AT$4="forecast",IF(YEAR(AT$3)=YEAR(Headcount!$N$4),IF((AT$5=12),(SUMPRODUCT(--(Headcount!$F$6:$F$92="Development Operations"),--(Headcount!$H$6:$H$92&gt;=BI!AT$3),Headcount!$N$6:$N$92,Headcount!$L$6:$L$92)),0),IF(YEAR(AT$3)=YEAR(Headcount!$O$4),IF((AT$5=12),(SUMPRODUCT(--(Headcount!$F$6:$F$92="Development Operations"),--(Headcount!$H$6:$H$92&gt;=BI!AT$3),Headcount!$O$6:$O$92,Headcount!$L$6:$L$92)),0),IF(YEAR(AT$3)=YEAR(Headcount!$P$4),IF((AT$5=12),(SUMPRODUCT(--(Headcount!$F$6:$F$92="Development Operations"),--(Headcount!$H$6:$H$92&gt;=BI!AT$3),Headcount!$P$6:$P$92,Headcount!$L$6:$L$92)),0),IF(YEAR(AT$3)=YEAR(Headcount!$Q$4),IF((AT$5=12),(SUMPRODUCT(--(Headcount!$F$6:$F$92="Development Operations"),--(Headcount!$H$6:$H$92&gt;=BI!AT$3),Headcount!$Q$6:$Q$92,Headcount!$L$6:$L$92)),0),IF(YEAR(AT$3)=YEAR(Headcount!$R$4),IF((AT$5=12),(SUMPRODUCT(--(Headcount!$F$6:$F$92="Development Operations"),--(Headcount!$H$6:$H$92&gt;=BI!AT$3),Headcount!$R$6:$R$92,Headcount!$L$6:$L$92)),0),"New Year"))))),'Dept. Cost Actuals'!AX814)</f>
        <v>0</v>
      </c>
      <c r="AU16" s="684">
        <f>IF(AU$4="forecast",IF(YEAR(AU$3)=YEAR(Headcount!$N$4),IF((AU$5=12),(SUMPRODUCT(--(Headcount!$F$6:$F$92="Development Operations"),--(Headcount!$H$6:$H$92&gt;=BI!AU$3),Headcount!$N$6:$N$92,Headcount!$L$6:$L$92)),0),IF(YEAR(AU$3)=YEAR(Headcount!$O$4),IF((AU$5=12),(SUMPRODUCT(--(Headcount!$F$6:$F$92="Development Operations"),--(Headcount!$H$6:$H$92&gt;=BI!AU$3),Headcount!$O$6:$O$92,Headcount!$L$6:$L$92)),0),IF(YEAR(AU$3)=YEAR(Headcount!$P$4),IF((AU$5=12),(SUMPRODUCT(--(Headcount!$F$6:$F$92="Development Operations"),--(Headcount!$H$6:$H$92&gt;=BI!AU$3),Headcount!$P$6:$P$92,Headcount!$L$6:$L$92)),0),IF(YEAR(AU$3)=YEAR(Headcount!$Q$4),IF((AU$5=12),(SUMPRODUCT(--(Headcount!$F$6:$F$92="Development Operations"),--(Headcount!$H$6:$H$92&gt;=BI!AU$3),Headcount!$Q$6:$Q$92,Headcount!$L$6:$L$92)),0),IF(YEAR(AU$3)=YEAR(Headcount!$R$4),IF((AU$5=12),(SUMPRODUCT(--(Headcount!$F$6:$F$92="Development Operations"),--(Headcount!$H$6:$H$92&gt;=BI!AU$3),Headcount!$R$6:$R$92,Headcount!$L$6:$L$92)),0),"New Year"))))),'Dept. Cost Actuals'!AY814)</f>
        <v>0</v>
      </c>
      <c r="AV16" s="684">
        <f>IF(AV$4="forecast",IF(YEAR(AV$3)=YEAR(Headcount!$N$4),IF((AV$5=12),(SUMPRODUCT(--(Headcount!$F$6:$F$92="Development Operations"),--(Headcount!$H$6:$H$92&gt;=BI!AV$3),Headcount!$N$6:$N$92,Headcount!$L$6:$L$92)),0),IF(YEAR(AV$3)=YEAR(Headcount!$O$4),IF((AV$5=12),(SUMPRODUCT(--(Headcount!$F$6:$F$92="Development Operations"),--(Headcount!$H$6:$H$92&gt;=BI!AV$3),Headcount!$O$6:$O$92,Headcount!$L$6:$L$92)),0),IF(YEAR(AV$3)=YEAR(Headcount!$P$4),IF((AV$5=12),(SUMPRODUCT(--(Headcount!$F$6:$F$92="Development Operations"),--(Headcount!$H$6:$H$92&gt;=BI!AV$3),Headcount!$P$6:$P$92,Headcount!$L$6:$L$92)),0),IF(YEAR(AV$3)=YEAR(Headcount!$Q$4),IF((AV$5=12),(SUMPRODUCT(--(Headcount!$F$6:$F$92="Development Operations"),--(Headcount!$H$6:$H$92&gt;=BI!AV$3),Headcount!$Q$6:$Q$92,Headcount!$L$6:$L$92)),0),IF(YEAR(AV$3)=YEAR(Headcount!$R$4),IF((AV$5=12),(SUMPRODUCT(--(Headcount!$F$6:$F$92="Development Operations"),--(Headcount!$H$6:$H$92&gt;=BI!AV$3),Headcount!$R$6:$R$92,Headcount!$L$6:$L$92)),0),"New Year"))))),'Dept. Cost Actuals'!AZ814)</f>
        <v>0</v>
      </c>
      <c r="AW16" s="684">
        <f>IF(AW$4="forecast",IF(YEAR(AW$3)=YEAR(Headcount!$N$4),IF((AW$5=12),(SUMPRODUCT(--(Headcount!$F$6:$F$92="Development Operations"),--(Headcount!$H$6:$H$92&gt;=BI!AW$3),Headcount!$N$6:$N$92,Headcount!$L$6:$L$92)),0),IF(YEAR(AW$3)=YEAR(Headcount!$O$4),IF((AW$5=12),(SUMPRODUCT(--(Headcount!$F$6:$F$92="Development Operations"),--(Headcount!$H$6:$H$92&gt;=BI!AW$3),Headcount!$O$6:$O$92,Headcount!$L$6:$L$92)),0),IF(YEAR(AW$3)=YEAR(Headcount!$P$4),IF((AW$5=12),(SUMPRODUCT(--(Headcount!$F$6:$F$92="Development Operations"),--(Headcount!$H$6:$H$92&gt;=BI!AW$3),Headcount!$P$6:$P$92,Headcount!$L$6:$L$92)),0),IF(YEAR(AW$3)=YEAR(Headcount!$Q$4),IF((AW$5=12),(SUMPRODUCT(--(Headcount!$F$6:$F$92="Development Operations"),--(Headcount!$H$6:$H$92&gt;=BI!AW$3),Headcount!$Q$6:$Q$92,Headcount!$L$6:$L$92)),0),IF(YEAR(AW$3)=YEAR(Headcount!$R$4),IF((AW$5=12),(SUMPRODUCT(--(Headcount!$F$6:$F$92="Development Operations"),--(Headcount!$H$6:$H$92&gt;=BI!AW$3),Headcount!$R$6:$R$92,Headcount!$L$6:$L$92)),0),"New Year"))))),'Dept. Cost Actuals'!BA814)</f>
        <v>0</v>
      </c>
      <c r="AX16" s="684">
        <f>IF(AX$4="forecast",IF(YEAR(AX$3)=YEAR(Headcount!$N$4),IF((AX$5=12),(SUMPRODUCT(--(Headcount!$F$6:$F$92="Development Operations"),--(Headcount!$H$6:$H$92&gt;=BI!AX$3),Headcount!$N$6:$N$92,Headcount!$L$6:$L$92)),0),IF(YEAR(AX$3)=YEAR(Headcount!$O$4),IF((AX$5=12),(SUMPRODUCT(--(Headcount!$F$6:$F$92="Development Operations"),--(Headcount!$H$6:$H$92&gt;=BI!AX$3),Headcount!$O$6:$O$92,Headcount!$L$6:$L$92)),0),IF(YEAR(AX$3)=YEAR(Headcount!$P$4),IF((AX$5=12),(SUMPRODUCT(--(Headcount!$F$6:$F$92="Development Operations"),--(Headcount!$H$6:$H$92&gt;=BI!AX$3),Headcount!$P$6:$P$92,Headcount!$L$6:$L$92)),0),IF(YEAR(AX$3)=YEAR(Headcount!$Q$4),IF((AX$5=12),(SUMPRODUCT(--(Headcount!$F$6:$F$92="Development Operations"),--(Headcount!$H$6:$H$92&gt;=BI!AX$3),Headcount!$Q$6:$Q$92,Headcount!$L$6:$L$92)),0),IF(YEAR(AX$3)=YEAR(Headcount!$R$4),IF((AX$5=12),(SUMPRODUCT(--(Headcount!$F$6:$F$92="Development Operations"),--(Headcount!$H$6:$H$92&gt;=BI!AX$3),Headcount!$R$6:$R$92,Headcount!$L$6:$L$92)),0),"New Year"))))),'Dept. Cost Actuals'!BB814)</f>
        <v>226982.63500000004</v>
      </c>
      <c r="AY16" s="684">
        <f>IF(AY$4="forecast",IF(YEAR(AY$3)=YEAR(Headcount!$N$4),IF((AY$5=12),(SUMPRODUCT(--(Headcount!$F$6:$F$92="Development Operations"),--(Headcount!$H$6:$H$92&gt;=BI!AY$3),Headcount!$N$6:$N$92,Headcount!$L$6:$L$92)),0),IF(YEAR(AY$3)=YEAR(Headcount!$O$4),IF((AY$5=12),(SUMPRODUCT(--(Headcount!$F$6:$F$92="Development Operations"),--(Headcount!$H$6:$H$92&gt;=BI!AY$3),Headcount!$O$6:$O$92,Headcount!$L$6:$L$92)),0),IF(YEAR(AY$3)=YEAR(Headcount!$P$4),IF((AY$5=12),(SUMPRODUCT(--(Headcount!$F$6:$F$92="Development Operations"),--(Headcount!$H$6:$H$92&gt;=BI!AY$3),Headcount!$P$6:$P$92,Headcount!$L$6:$L$92)),0),IF(YEAR(AY$3)=YEAR(Headcount!$Q$4),IF((AY$5=12),(SUMPRODUCT(--(Headcount!$F$6:$F$92="Development Operations"),--(Headcount!$H$6:$H$92&gt;=BI!AY$3),Headcount!$Q$6:$Q$92,Headcount!$L$6:$L$92)),0),IF(YEAR(AY$3)=YEAR(Headcount!$R$4),IF((AY$5=12),(SUMPRODUCT(--(Headcount!$F$6:$F$92="Development Operations"),--(Headcount!$H$6:$H$92&gt;=BI!AY$3),Headcount!$R$6:$R$92,Headcount!$L$6:$L$92)),0),"New Year"))))),'Dept. Cost Actuals'!BC814)</f>
        <v>0</v>
      </c>
      <c r="AZ16" s="684">
        <f>IF(AZ$4="forecast",IF(YEAR(AZ$3)=YEAR(Headcount!$N$4),IF((AZ$5=12),(SUMPRODUCT(--(Headcount!$F$6:$F$92="Development Operations"),--(Headcount!$H$6:$H$92&gt;=BI!AZ$3),Headcount!$N$6:$N$92,Headcount!$L$6:$L$92)),0),IF(YEAR(AZ$3)=YEAR(Headcount!$O$4),IF((AZ$5=12),(SUMPRODUCT(--(Headcount!$F$6:$F$92="Development Operations"),--(Headcount!$H$6:$H$92&gt;=BI!AZ$3),Headcount!$O$6:$O$92,Headcount!$L$6:$L$92)),0),IF(YEAR(AZ$3)=YEAR(Headcount!$P$4),IF((AZ$5=12),(SUMPRODUCT(--(Headcount!$F$6:$F$92="Development Operations"),--(Headcount!$H$6:$H$92&gt;=BI!AZ$3),Headcount!$P$6:$P$92,Headcount!$L$6:$L$92)),0),IF(YEAR(AZ$3)=YEAR(Headcount!$Q$4),IF((AZ$5=12),(SUMPRODUCT(--(Headcount!$F$6:$F$92="Development Operations"),--(Headcount!$H$6:$H$92&gt;=BI!AZ$3),Headcount!$Q$6:$Q$92,Headcount!$L$6:$L$92)),0),IF(YEAR(AZ$3)=YEAR(Headcount!$R$4),IF((AZ$5=12),(SUMPRODUCT(--(Headcount!$F$6:$F$92="Development Operations"),--(Headcount!$H$6:$H$92&gt;=BI!AZ$3),Headcount!$R$6:$R$92,Headcount!$L$6:$L$92)),0),"New Year"))))),'Dept. Cost Actuals'!BD814)</f>
        <v>0</v>
      </c>
      <c r="BA16" s="684">
        <f>IF(BA$4="forecast",IF(YEAR(BA$3)=YEAR(Headcount!$N$4),IF((BA$5=12),(SUMPRODUCT(--(Headcount!$F$6:$F$92="Development Operations"),--(Headcount!$H$6:$H$92&gt;=BI!BA$3),Headcount!$N$6:$N$92,Headcount!$L$6:$L$92)),0),IF(YEAR(BA$3)=YEAR(Headcount!$O$4),IF((BA$5=12),(SUMPRODUCT(--(Headcount!$F$6:$F$92="Development Operations"),--(Headcount!$H$6:$H$92&gt;=BI!BA$3),Headcount!$O$6:$O$92,Headcount!$L$6:$L$92)),0),IF(YEAR(BA$3)=YEAR(Headcount!$P$4),IF((BA$5=12),(SUMPRODUCT(--(Headcount!$F$6:$F$92="Development Operations"),--(Headcount!$H$6:$H$92&gt;=BI!BA$3),Headcount!$P$6:$P$92,Headcount!$L$6:$L$92)),0),IF(YEAR(BA$3)=YEAR(Headcount!$Q$4),IF((BA$5=12),(SUMPRODUCT(--(Headcount!$F$6:$F$92="Development Operations"),--(Headcount!$H$6:$H$92&gt;=BI!BA$3),Headcount!$Q$6:$Q$92,Headcount!$L$6:$L$92)),0),IF(YEAR(BA$3)=YEAR(Headcount!$R$4),IF((BA$5=12),(SUMPRODUCT(--(Headcount!$F$6:$F$92="Development Operations"),--(Headcount!$H$6:$H$92&gt;=BI!BA$3),Headcount!$R$6:$R$92,Headcount!$L$6:$L$92)),0),"New Year"))))),'Dept. Cost Actuals'!BE814)</f>
        <v>0</v>
      </c>
      <c r="BB16" s="684">
        <f>IF(BB$4="forecast",IF(YEAR(BB$3)=YEAR(Headcount!$N$4),IF((BB$5=12),(SUMPRODUCT(--(Headcount!$F$6:$F$92="Development Operations"),--(Headcount!$H$6:$H$92&gt;=BI!BB$3),Headcount!$N$6:$N$92,Headcount!$L$6:$L$92)),0),IF(YEAR(BB$3)=YEAR(Headcount!$O$4),IF((BB$5=12),(SUMPRODUCT(--(Headcount!$F$6:$F$92="Development Operations"),--(Headcount!$H$6:$H$92&gt;=BI!BB$3),Headcount!$O$6:$O$92,Headcount!$L$6:$L$92)),0),IF(YEAR(BB$3)=YEAR(Headcount!$P$4),IF((BB$5=12),(SUMPRODUCT(--(Headcount!$F$6:$F$92="Development Operations"),--(Headcount!$H$6:$H$92&gt;=BI!BB$3),Headcount!$P$6:$P$92,Headcount!$L$6:$L$92)),0),IF(YEAR(BB$3)=YEAR(Headcount!$Q$4),IF((BB$5=12),(SUMPRODUCT(--(Headcount!$F$6:$F$92="Development Operations"),--(Headcount!$H$6:$H$92&gt;=BI!BB$3),Headcount!$Q$6:$Q$92,Headcount!$L$6:$L$92)),0),IF(YEAR(BB$3)=YEAR(Headcount!$R$4),IF((BB$5=12),(SUMPRODUCT(--(Headcount!$F$6:$F$92="Development Operations"),--(Headcount!$H$6:$H$92&gt;=BI!BB$3),Headcount!$R$6:$R$92,Headcount!$L$6:$L$92)),0),"New Year"))))),'Dept. Cost Actuals'!BF814)</f>
        <v>0</v>
      </c>
      <c r="BC16" s="684">
        <f>IF(BC$4="forecast",IF(YEAR(BC$3)=YEAR(Headcount!$N$4),IF((BC$5=12),(SUMPRODUCT(--(Headcount!$F$6:$F$92="Development Operations"),--(Headcount!$H$6:$H$92&gt;=BI!BC$3),Headcount!$N$6:$N$92,Headcount!$L$6:$L$92)),0),IF(YEAR(BC$3)=YEAR(Headcount!$O$4),IF((BC$5=12),(SUMPRODUCT(--(Headcount!$F$6:$F$92="Development Operations"),--(Headcount!$H$6:$H$92&gt;=BI!BC$3),Headcount!$O$6:$O$92,Headcount!$L$6:$L$92)),0),IF(YEAR(BC$3)=YEAR(Headcount!$P$4),IF((BC$5=12),(SUMPRODUCT(--(Headcount!$F$6:$F$92="Development Operations"),--(Headcount!$H$6:$H$92&gt;=BI!BC$3),Headcount!$P$6:$P$92,Headcount!$L$6:$L$92)),0),IF(YEAR(BC$3)=YEAR(Headcount!$Q$4),IF((BC$5=12),(SUMPRODUCT(--(Headcount!$F$6:$F$92="Development Operations"),--(Headcount!$H$6:$H$92&gt;=BI!BC$3),Headcount!$Q$6:$Q$92,Headcount!$L$6:$L$92)),0),IF(YEAR(BC$3)=YEAR(Headcount!$R$4),IF((BC$5=12),(SUMPRODUCT(--(Headcount!$F$6:$F$92="Development Operations"),--(Headcount!$H$6:$H$92&gt;=BI!BC$3),Headcount!$R$6:$R$92,Headcount!$L$6:$L$92)),0),"New Year"))))),'Dept. Cost Actuals'!BG814)</f>
        <v>0</v>
      </c>
      <c r="BD16" s="684">
        <f>IF(BD$4="forecast",IF(YEAR(BD$3)=YEAR(Headcount!$N$4),IF((BD$5=12),(SUMPRODUCT(--(Headcount!$F$6:$F$92="Development Operations"),--(Headcount!$H$6:$H$92&gt;=BI!BD$3),Headcount!$N$6:$N$92,Headcount!$L$6:$L$92)),0),IF(YEAR(BD$3)=YEAR(Headcount!$O$4),IF((BD$5=12),(SUMPRODUCT(--(Headcount!$F$6:$F$92="Development Operations"),--(Headcount!$H$6:$H$92&gt;=BI!BD$3),Headcount!$O$6:$O$92,Headcount!$L$6:$L$92)),0),IF(YEAR(BD$3)=YEAR(Headcount!$P$4),IF((BD$5=12),(SUMPRODUCT(--(Headcount!$F$6:$F$92="Development Operations"),--(Headcount!$H$6:$H$92&gt;=BI!BD$3),Headcount!$P$6:$P$92,Headcount!$L$6:$L$92)),0),IF(YEAR(BD$3)=YEAR(Headcount!$Q$4),IF((BD$5=12),(SUMPRODUCT(--(Headcount!$F$6:$F$92="Development Operations"),--(Headcount!$H$6:$H$92&gt;=BI!BD$3),Headcount!$Q$6:$Q$92,Headcount!$L$6:$L$92)),0),IF(YEAR(BD$3)=YEAR(Headcount!$R$4),IF((BD$5=12),(SUMPRODUCT(--(Headcount!$F$6:$F$92="Development Operations"),--(Headcount!$H$6:$H$92&gt;=BI!BD$3),Headcount!$R$6:$R$92,Headcount!$L$6:$L$92)),0),"New Year"))))),'Dept. Cost Actuals'!BH814)</f>
        <v>0</v>
      </c>
      <c r="BE16" s="684">
        <f>IF(BE$4="forecast",IF(YEAR(BE$3)=YEAR(Headcount!$N$4),IF((BE$5=12),(SUMPRODUCT(--(Headcount!$F$6:$F$92="Development Operations"),--(Headcount!$H$6:$H$92&gt;=BI!BE$3),Headcount!$N$6:$N$92,Headcount!$L$6:$L$92)),0),IF(YEAR(BE$3)=YEAR(Headcount!$O$4),IF((BE$5=12),(SUMPRODUCT(--(Headcount!$F$6:$F$92="Development Operations"),--(Headcount!$H$6:$H$92&gt;=BI!BE$3),Headcount!$O$6:$O$92,Headcount!$L$6:$L$92)),0),IF(YEAR(BE$3)=YEAR(Headcount!$P$4),IF((BE$5=12),(SUMPRODUCT(--(Headcount!$F$6:$F$92="Development Operations"),--(Headcount!$H$6:$H$92&gt;=BI!BE$3),Headcount!$P$6:$P$92,Headcount!$L$6:$L$92)),0),IF(YEAR(BE$3)=YEAR(Headcount!$Q$4),IF((BE$5=12),(SUMPRODUCT(--(Headcount!$F$6:$F$92="Development Operations"),--(Headcount!$H$6:$H$92&gt;=BI!BE$3),Headcount!$Q$6:$Q$92,Headcount!$L$6:$L$92)),0),IF(YEAR(BE$3)=YEAR(Headcount!$R$4),IF((BE$5=12),(SUMPRODUCT(--(Headcount!$F$6:$F$92="Development Operations"),--(Headcount!$H$6:$H$92&gt;=BI!BE$3),Headcount!$R$6:$R$92,Headcount!$L$6:$L$92)),0),"New Year"))))),'Dept. Cost Actuals'!BI814)</f>
        <v>0</v>
      </c>
      <c r="BF16" s="684">
        <f>IF(BF$4="forecast",IF(YEAR(BF$3)=YEAR(Headcount!$N$4),IF((BF$5=12),(SUMPRODUCT(--(Headcount!$F$6:$F$92="Development Operations"),--(Headcount!$H$6:$H$92&gt;=BI!BF$3),Headcount!$N$6:$N$92,Headcount!$L$6:$L$92)),0),IF(YEAR(BF$3)=YEAR(Headcount!$O$4),IF((BF$5=12),(SUMPRODUCT(--(Headcount!$F$6:$F$92="Development Operations"),--(Headcount!$H$6:$H$92&gt;=BI!BF$3),Headcount!$O$6:$O$92,Headcount!$L$6:$L$92)),0),IF(YEAR(BF$3)=YEAR(Headcount!$P$4),IF((BF$5=12),(SUMPRODUCT(--(Headcount!$F$6:$F$92="Development Operations"),--(Headcount!$H$6:$H$92&gt;=BI!BF$3),Headcount!$P$6:$P$92,Headcount!$L$6:$L$92)),0),IF(YEAR(BF$3)=YEAR(Headcount!$Q$4),IF((BF$5=12),(SUMPRODUCT(--(Headcount!$F$6:$F$92="Development Operations"),--(Headcount!$H$6:$H$92&gt;=BI!BF$3),Headcount!$Q$6:$Q$92,Headcount!$L$6:$L$92)),0),IF(YEAR(BF$3)=YEAR(Headcount!$R$4),IF((BF$5=12),(SUMPRODUCT(--(Headcount!$F$6:$F$92="Development Operations"),--(Headcount!$H$6:$H$92&gt;=BI!BF$3),Headcount!$R$6:$R$92,Headcount!$L$6:$L$92)),0),"New Year"))))),'Dept. Cost Actuals'!BJ814)</f>
        <v>0</v>
      </c>
      <c r="BG16" s="684">
        <f>IF(BG$4="forecast",IF(YEAR(BG$3)=YEAR(Headcount!$N$4),IF((BG$5=12),(SUMPRODUCT(--(Headcount!$F$6:$F$92="Development Operations"),--(Headcount!$H$6:$H$92&gt;=BI!BG$3),Headcount!$N$6:$N$92,Headcount!$L$6:$L$92)),0),IF(YEAR(BG$3)=YEAR(Headcount!$O$4),IF((BG$5=12),(SUMPRODUCT(--(Headcount!$F$6:$F$92="Development Operations"),--(Headcount!$H$6:$H$92&gt;=BI!BG$3),Headcount!$O$6:$O$92,Headcount!$L$6:$L$92)),0),IF(YEAR(BG$3)=YEAR(Headcount!$P$4),IF((BG$5=12),(SUMPRODUCT(--(Headcount!$F$6:$F$92="Development Operations"),--(Headcount!$H$6:$H$92&gt;=BI!BG$3),Headcount!$P$6:$P$92,Headcount!$L$6:$L$92)),0),IF(YEAR(BG$3)=YEAR(Headcount!$Q$4),IF((BG$5=12),(SUMPRODUCT(--(Headcount!$F$6:$F$92="Development Operations"),--(Headcount!$H$6:$H$92&gt;=BI!BG$3),Headcount!$Q$6:$Q$92,Headcount!$L$6:$L$92)),0),IF(YEAR(BG$3)=YEAR(Headcount!$R$4),IF((BG$5=12),(SUMPRODUCT(--(Headcount!$F$6:$F$92="Development Operations"),--(Headcount!$H$6:$H$92&gt;=BI!BG$3),Headcount!$R$6:$R$92,Headcount!$L$6:$L$92)),0),"New Year"))))),'Dept. Cost Actuals'!BK814)</f>
        <v>0</v>
      </c>
      <c r="BH16" s="684">
        <f>IF(BH$4="forecast",IF(YEAR(BH$3)=YEAR(Headcount!$N$4),IF((BH$5=12),(SUMPRODUCT(--(Headcount!$F$6:$F$92="Development Operations"),--(Headcount!$H$6:$H$92&gt;=BI!BH$3),Headcount!$N$6:$N$92,Headcount!$L$6:$L$92)),0),IF(YEAR(BH$3)=YEAR(Headcount!$O$4),IF((BH$5=12),(SUMPRODUCT(--(Headcount!$F$6:$F$92="Development Operations"),--(Headcount!$H$6:$H$92&gt;=BI!BH$3),Headcount!$O$6:$O$92,Headcount!$L$6:$L$92)),0),IF(YEAR(BH$3)=YEAR(Headcount!$P$4),IF((BH$5=12),(SUMPRODUCT(--(Headcount!$F$6:$F$92="Development Operations"),--(Headcount!$H$6:$H$92&gt;=BI!BH$3),Headcount!$P$6:$P$92,Headcount!$L$6:$L$92)),0),IF(YEAR(BH$3)=YEAR(Headcount!$Q$4),IF((BH$5=12),(SUMPRODUCT(--(Headcount!$F$6:$F$92="Development Operations"),--(Headcount!$H$6:$H$92&gt;=BI!BH$3),Headcount!$Q$6:$Q$92,Headcount!$L$6:$L$92)),0),IF(YEAR(BH$3)=YEAR(Headcount!$R$4),IF((BH$5=12),(SUMPRODUCT(--(Headcount!$F$6:$F$92="Development Operations"),--(Headcount!$H$6:$H$92&gt;=BI!BH$3),Headcount!$R$6:$R$92,Headcount!$L$6:$L$92)),0),"New Year"))))),'Dept. Cost Actuals'!BL814)</f>
        <v>0</v>
      </c>
      <c r="BI16" s="684">
        <f>IF(BI$4="forecast",IF(YEAR(BI$3)=YEAR(Headcount!$N$4),IF((BI$5=12),(SUMPRODUCT(--(Headcount!$F$6:$F$92="Development Operations"),--(Headcount!$H$6:$H$92&gt;=BI!BI$3),Headcount!$N$6:$N$92,Headcount!$L$6:$L$92)),0),IF(YEAR(BI$3)=YEAR(Headcount!$O$4),IF((BI$5=12),(SUMPRODUCT(--(Headcount!$F$6:$F$92="Development Operations"),--(Headcount!$H$6:$H$92&gt;=BI!BI$3),Headcount!$O$6:$O$92,Headcount!$L$6:$L$92)),0),IF(YEAR(BI$3)=YEAR(Headcount!$P$4),IF((BI$5=12),(SUMPRODUCT(--(Headcount!$F$6:$F$92="Development Operations"),--(Headcount!$H$6:$H$92&gt;=BI!BI$3),Headcount!$P$6:$P$92,Headcount!$L$6:$L$92)),0),IF(YEAR(BI$3)=YEAR(Headcount!$Q$4),IF((BI$5=12),(SUMPRODUCT(--(Headcount!$F$6:$F$92="Development Operations"),--(Headcount!$H$6:$H$92&gt;=BI!BI$3),Headcount!$Q$6:$Q$92,Headcount!$L$6:$L$92)),0),IF(YEAR(BI$3)=YEAR(Headcount!$R$4),IF((BI$5=12),(SUMPRODUCT(--(Headcount!$F$6:$F$92="Development Operations"),--(Headcount!$H$6:$H$92&gt;=BI!BI$3),Headcount!$R$6:$R$92,Headcount!$L$6:$L$92)),0),"New Year"))))),'Dept. Cost Actuals'!BM814)</f>
        <v>0</v>
      </c>
      <c r="BJ16" s="684">
        <f>IF(BJ$4="forecast",IF(YEAR(BJ$3)=YEAR(Headcount!$N$4),IF((BJ$5=12),(SUMPRODUCT(--(Headcount!$F$6:$F$92="Development Operations"),--(Headcount!$H$6:$H$92&gt;=BI!BJ$3),Headcount!$N$6:$N$92,Headcount!$L$6:$L$92)),0),IF(YEAR(BJ$3)=YEAR(Headcount!$O$4),IF((BJ$5=12),(SUMPRODUCT(--(Headcount!$F$6:$F$92="Development Operations"),--(Headcount!$H$6:$H$92&gt;=BI!BJ$3),Headcount!$O$6:$O$92,Headcount!$L$6:$L$92)),0),IF(YEAR(BJ$3)=YEAR(Headcount!$P$4),IF((BJ$5=12),(SUMPRODUCT(--(Headcount!$F$6:$F$92="Development Operations"),--(Headcount!$H$6:$H$92&gt;=BI!BJ$3),Headcount!$P$6:$P$92,Headcount!$L$6:$L$92)),0),IF(YEAR(BJ$3)=YEAR(Headcount!$Q$4),IF((BJ$5=12),(SUMPRODUCT(--(Headcount!$F$6:$F$92="Development Operations"),--(Headcount!$H$6:$H$92&gt;=BI!BJ$3),Headcount!$Q$6:$Q$92,Headcount!$L$6:$L$92)),0),IF(YEAR(BJ$3)=YEAR(Headcount!$R$4),IF((BJ$5=12),(SUMPRODUCT(--(Headcount!$F$6:$F$92="Development Operations"),--(Headcount!$H$6:$H$92&gt;=BI!BJ$3),Headcount!$R$6:$R$92,Headcount!$L$6:$L$92)),0),"New Year"))))),'Dept. Cost Actuals'!BN814)</f>
        <v>233792.11404999995</v>
      </c>
      <c r="BK16" s="684">
        <f>IF(BK$4="forecast",IF(YEAR(BK$3)=YEAR(Headcount!$N$4),IF((BK$5=12),(SUMPRODUCT(--(Headcount!$F$6:$F$92="Development Operations"),--(Headcount!$H$6:$H$92&gt;=BI!BK$3),Headcount!$N$6:$N$92,Headcount!$L$6:$L$92)),0),IF(YEAR(BK$3)=YEAR(Headcount!$O$4),IF((BK$5=12),(SUMPRODUCT(--(Headcount!$F$6:$F$92="Development Operations"),--(Headcount!$H$6:$H$92&gt;=BI!BK$3),Headcount!$O$6:$O$92,Headcount!$L$6:$L$92)),0),IF(YEAR(BK$3)=YEAR(Headcount!$P$4),IF((BK$5=12),(SUMPRODUCT(--(Headcount!$F$6:$F$92="Development Operations"),--(Headcount!$H$6:$H$92&gt;=BI!BK$3),Headcount!$P$6:$P$92,Headcount!$L$6:$L$92)),0),IF(YEAR(BK$3)=YEAR(Headcount!$Q$4),IF((BK$5=12),(SUMPRODUCT(--(Headcount!$F$6:$F$92="Development Operations"),--(Headcount!$H$6:$H$92&gt;=BI!BK$3),Headcount!$Q$6:$Q$92,Headcount!$L$6:$L$92)),0),IF(YEAR(BK$3)=YEAR(Headcount!$R$4),IF((BK$5=12),(SUMPRODUCT(--(Headcount!$F$6:$F$92="Development Operations"),--(Headcount!$H$6:$H$92&gt;=BI!BK$3),Headcount!$R$6:$R$92,Headcount!$L$6:$L$92)),0),"New Year"))))),'Dept. Cost Actuals'!BO814)</f>
        <v>0</v>
      </c>
      <c r="BL16" s="684">
        <f>IF(BL$4="forecast",IF(YEAR(BL$3)=YEAR(Headcount!$N$4),IF((BL$5=12),(SUMPRODUCT(--(Headcount!$F$6:$F$92="Development Operations"),--(Headcount!$H$6:$H$92&gt;=BI!BL$3),Headcount!$N$6:$N$92,Headcount!$L$6:$L$92)),0),IF(YEAR(BL$3)=YEAR(Headcount!$O$4),IF((BL$5=12),(SUMPRODUCT(--(Headcount!$F$6:$F$92="Development Operations"),--(Headcount!$H$6:$H$92&gt;=BI!BL$3),Headcount!$O$6:$O$92,Headcount!$L$6:$L$92)),0),IF(YEAR(BL$3)=YEAR(Headcount!$P$4),IF((BL$5=12),(SUMPRODUCT(--(Headcount!$F$6:$F$92="Development Operations"),--(Headcount!$H$6:$H$92&gt;=BI!BL$3),Headcount!$P$6:$P$92,Headcount!$L$6:$L$92)),0),IF(YEAR(BL$3)=YEAR(Headcount!$Q$4),IF((BL$5=12),(SUMPRODUCT(--(Headcount!$F$6:$F$92="Development Operations"),--(Headcount!$H$6:$H$92&gt;=BI!BL$3),Headcount!$Q$6:$Q$92,Headcount!$L$6:$L$92)),0),IF(YEAR(BL$3)=YEAR(Headcount!$R$4),IF((BL$5=12),(SUMPRODUCT(--(Headcount!$F$6:$F$92="Development Operations"),--(Headcount!$H$6:$H$92&gt;=BI!BL$3),Headcount!$R$6:$R$92,Headcount!$L$6:$L$92)),0),"New Year"))))),'Dept. Cost Actuals'!BP814)</f>
        <v>0</v>
      </c>
      <c r="BM16" s="684">
        <f>IF(BM$4="forecast",IF(YEAR(BM$3)=YEAR(Headcount!$N$4),IF((BM$5=12),(SUMPRODUCT(--(Headcount!$F$6:$F$92="Development Operations"),--(Headcount!$H$6:$H$92&gt;=BI!BM$3),Headcount!$N$6:$N$92,Headcount!$L$6:$L$92)),0),IF(YEAR(BM$3)=YEAR(Headcount!$O$4),IF((BM$5=12),(SUMPRODUCT(--(Headcount!$F$6:$F$92="Development Operations"),--(Headcount!$H$6:$H$92&gt;=BI!BM$3),Headcount!$O$6:$O$92,Headcount!$L$6:$L$92)),0),IF(YEAR(BM$3)=YEAR(Headcount!$P$4),IF((BM$5=12),(SUMPRODUCT(--(Headcount!$F$6:$F$92="Development Operations"),--(Headcount!$H$6:$H$92&gt;=BI!BM$3),Headcount!$P$6:$P$92,Headcount!$L$6:$L$92)),0),IF(YEAR(BM$3)=YEAR(Headcount!$Q$4),IF((BM$5=12),(SUMPRODUCT(--(Headcount!$F$6:$F$92="Development Operations"),--(Headcount!$H$6:$H$92&gt;=BI!BM$3),Headcount!$Q$6:$Q$92,Headcount!$L$6:$L$92)),0),IF(YEAR(BM$3)=YEAR(Headcount!$R$4),IF((BM$5=12),(SUMPRODUCT(--(Headcount!$F$6:$F$92="Development Operations"),--(Headcount!$H$6:$H$92&gt;=BI!BM$3),Headcount!$R$6:$R$92,Headcount!$L$6:$L$92)),0),"New Year"))))),'Dept. Cost Actuals'!BQ814)</f>
        <v>0</v>
      </c>
      <c r="BN16" s="684">
        <f>IF(BN$4="forecast",IF(YEAR(BN$3)=YEAR(Headcount!$N$4),IF((BN$5=12),(SUMPRODUCT(--(Headcount!$F$6:$F$92="Development Operations"),--(Headcount!$H$6:$H$92&gt;=BI!BN$3),Headcount!$N$6:$N$92,Headcount!$L$6:$L$92)),0),IF(YEAR(BN$3)=YEAR(Headcount!$O$4),IF((BN$5=12),(SUMPRODUCT(--(Headcount!$F$6:$F$92="Development Operations"),--(Headcount!$H$6:$H$92&gt;=BI!BN$3),Headcount!$O$6:$O$92,Headcount!$L$6:$L$92)),0),IF(YEAR(BN$3)=YEAR(Headcount!$P$4),IF((BN$5=12),(SUMPRODUCT(--(Headcount!$F$6:$F$92="Development Operations"),--(Headcount!$H$6:$H$92&gt;=BI!BN$3),Headcount!$P$6:$P$92,Headcount!$L$6:$L$92)),0),IF(YEAR(BN$3)=YEAR(Headcount!$Q$4),IF((BN$5=12),(SUMPRODUCT(--(Headcount!$F$6:$F$92="Development Operations"),--(Headcount!$H$6:$H$92&gt;=BI!BN$3),Headcount!$Q$6:$Q$92,Headcount!$L$6:$L$92)),0),IF(YEAR(BN$3)=YEAR(Headcount!$R$4),IF((BN$5=12),(SUMPRODUCT(--(Headcount!$F$6:$F$92="Development Operations"),--(Headcount!$H$6:$H$92&gt;=BI!BN$3),Headcount!$R$6:$R$92,Headcount!$L$6:$L$92)),0),"New Year"))))),'Dept. Cost Actuals'!BR814)</f>
        <v>0</v>
      </c>
      <c r="BO16" s="684">
        <f>IF(BO$4="forecast",IF(YEAR(BO$3)=YEAR(Headcount!$N$4),IF((BO$5=12),(SUMPRODUCT(--(Headcount!$F$6:$F$92="Development Operations"),--(Headcount!$H$6:$H$92&gt;=BI!BO$3),Headcount!$N$6:$N$92,Headcount!$L$6:$L$92)),0),IF(YEAR(BO$3)=YEAR(Headcount!$O$4),IF((BO$5=12),(SUMPRODUCT(--(Headcount!$F$6:$F$92="Development Operations"),--(Headcount!$H$6:$H$92&gt;=BI!BO$3),Headcount!$O$6:$O$92,Headcount!$L$6:$L$92)),0),IF(YEAR(BO$3)=YEAR(Headcount!$P$4),IF((BO$5=12),(SUMPRODUCT(--(Headcount!$F$6:$F$92="Development Operations"),--(Headcount!$H$6:$H$92&gt;=BI!BO$3),Headcount!$P$6:$P$92,Headcount!$L$6:$L$92)),0),IF(YEAR(BO$3)=YEAR(Headcount!$Q$4),IF((BO$5=12),(SUMPRODUCT(--(Headcount!$F$6:$F$92="Development Operations"),--(Headcount!$H$6:$H$92&gt;=BI!BO$3),Headcount!$Q$6:$Q$92,Headcount!$L$6:$L$92)),0),IF(YEAR(BO$3)=YEAR(Headcount!$R$4),IF((BO$5=12),(SUMPRODUCT(--(Headcount!$F$6:$F$92="Development Operations"),--(Headcount!$H$6:$H$92&gt;=BI!BO$3),Headcount!$R$6:$R$92,Headcount!$L$6:$L$92)),0),"New Year"))))),'Dept. Cost Actuals'!BS814)</f>
        <v>0</v>
      </c>
      <c r="BP16" s="684">
        <f>IF(BP$4="forecast",IF(YEAR(BP$3)=YEAR(Headcount!$N$4),IF((BP$5=12),(SUMPRODUCT(--(Headcount!$F$6:$F$92="Development Operations"),--(Headcount!$H$6:$H$92&gt;=BI!BP$3),Headcount!$N$6:$N$92,Headcount!$L$6:$L$92)),0),IF(YEAR(BP$3)=YEAR(Headcount!$O$4),IF((BP$5=12),(SUMPRODUCT(--(Headcount!$F$6:$F$92="Development Operations"),--(Headcount!$H$6:$H$92&gt;=BI!BP$3),Headcount!$O$6:$O$92,Headcount!$L$6:$L$92)),0),IF(YEAR(BP$3)=YEAR(Headcount!$P$4),IF((BP$5=12),(SUMPRODUCT(--(Headcount!$F$6:$F$92="Development Operations"),--(Headcount!$H$6:$H$92&gt;=BI!BP$3),Headcount!$P$6:$P$92,Headcount!$L$6:$L$92)),0),IF(YEAR(BP$3)=YEAR(Headcount!$Q$4),IF((BP$5=12),(SUMPRODUCT(--(Headcount!$F$6:$F$92="Development Operations"),--(Headcount!$H$6:$H$92&gt;=BI!BP$3),Headcount!$Q$6:$Q$92,Headcount!$L$6:$L$92)),0),IF(YEAR(BP$3)=YEAR(Headcount!$R$4),IF((BP$5=12),(SUMPRODUCT(--(Headcount!$F$6:$F$92="Development Operations"),--(Headcount!$H$6:$H$92&gt;=BI!BP$3),Headcount!$R$6:$R$92,Headcount!$L$6:$L$92)),0),"New Year"))))),'Dept. Cost Actuals'!BT814)</f>
        <v>0</v>
      </c>
      <c r="BQ16" s="684">
        <f>IF(BQ$4="forecast",IF(YEAR(BQ$3)=YEAR(Headcount!$N$4),IF((BQ$5=12),(SUMPRODUCT(--(Headcount!$F$6:$F$92="Development Operations"),--(Headcount!$H$6:$H$92&gt;=BI!BQ$3),Headcount!$N$6:$N$92,Headcount!$L$6:$L$92)),0),IF(YEAR(BQ$3)=YEAR(Headcount!$O$4),IF((BQ$5=12),(SUMPRODUCT(--(Headcount!$F$6:$F$92="Development Operations"),--(Headcount!$H$6:$H$92&gt;=BI!BQ$3),Headcount!$O$6:$O$92,Headcount!$L$6:$L$92)),0),IF(YEAR(BQ$3)=YEAR(Headcount!$P$4),IF((BQ$5=12),(SUMPRODUCT(--(Headcount!$F$6:$F$92="Development Operations"),--(Headcount!$H$6:$H$92&gt;=BI!BQ$3),Headcount!$P$6:$P$92,Headcount!$L$6:$L$92)),0),IF(YEAR(BQ$3)=YEAR(Headcount!$Q$4),IF((BQ$5=12),(SUMPRODUCT(--(Headcount!$F$6:$F$92="Development Operations"),--(Headcount!$H$6:$H$92&gt;=BI!BQ$3),Headcount!$Q$6:$Q$92,Headcount!$L$6:$L$92)),0),IF(YEAR(BQ$3)=YEAR(Headcount!$R$4),IF((BQ$5=12),(SUMPRODUCT(--(Headcount!$F$6:$F$92="Development Operations"),--(Headcount!$H$6:$H$92&gt;=BI!BQ$3),Headcount!$R$6:$R$92,Headcount!$L$6:$L$92)),0),"New Year"))))),'Dept. Cost Actuals'!BU814)</f>
        <v>0</v>
      </c>
      <c r="BR16" s="684">
        <f>IF(BR$4="forecast",IF(YEAR(BR$3)=YEAR(Headcount!$N$4),IF((BR$5=12),(SUMPRODUCT(--(Headcount!$F$6:$F$92="Development Operations"),--(Headcount!$H$6:$H$92&gt;=BI!BR$3),Headcount!$N$6:$N$92,Headcount!$L$6:$L$92)),0),IF(YEAR(BR$3)=YEAR(Headcount!$O$4),IF((BR$5=12),(SUMPRODUCT(--(Headcount!$F$6:$F$92="Development Operations"),--(Headcount!$H$6:$H$92&gt;=BI!BR$3),Headcount!$O$6:$O$92,Headcount!$L$6:$L$92)),0),IF(YEAR(BR$3)=YEAR(Headcount!$P$4),IF((BR$5=12),(SUMPRODUCT(--(Headcount!$F$6:$F$92="Development Operations"),--(Headcount!$H$6:$H$92&gt;=BI!BR$3),Headcount!$P$6:$P$92,Headcount!$L$6:$L$92)),0),IF(YEAR(BR$3)=YEAR(Headcount!$Q$4),IF((BR$5=12),(SUMPRODUCT(--(Headcount!$F$6:$F$92="Development Operations"),--(Headcount!$H$6:$H$92&gt;=BI!BR$3),Headcount!$Q$6:$Q$92,Headcount!$L$6:$L$92)),0),IF(YEAR(BR$3)=YEAR(Headcount!$R$4),IF((BR$5=12),(SUMPRODUCT(--(Headcount!$F$6:$F$92="Development Operations"),--(Headcount!$H$6:$H$92&gt;=BI!BR$3),Headcount!$R$6:$R$92,Headcount!$L$6:$L$92)),0),"New Year"))))),'Dept. Cost Actuals'!BV814)</f>
        <v>0</v>
      </c>
      <c r="BS16" s="684">
        <f>IF(BS$4="forecast",IF(YEAR(BS$3)=YEAR(Headcount!$N$4),IF((BS$5=12),(SUMPRODUCT(--(Headcount!$F$6:$F$92="Development Operations"),--(Headcount!$H$6:$H$92&gt;=BI!BS$3),Headcount!$N$6:$N$92,Headcount!$L$6:$L$92)),0),IF(YEAR(BS$3)=YEAR(Headcount!$O$4),IF((BS$5=12),(SUMPRODUCT(--(Headcount!$F$6:$F$92="Development Operations"),--(Headcount!$H$6:$H$92&gt;=BI!BS$3),Headcount!$O$6:$O$92,Headcount!$L$6:$L$92)),0),IF(YEAR(BS$3)=YEAR(Headcount!$P$4),IF((BS$5=12),(SUMPRODUCT(--(Headcount!$F$6:$F$92="Development Operations"),--(Headcount!$H$6:$H$92&gt;=BI!BS$3),Headcount!$P$6:$P$92,Headcount!$L$6:$L$92)),0),IF(YEAR(BS$3)=YEAR(Headcount!$Q$4),IF((BS$5=12),(SUMPRODUCT(--(Headcount!$F$6:$F$92="Development Operations"),--(Headcount!$H$6:$H$92&gt;=BI!BS$3),Headcount!$Q$6:$Q$92,Headcount!$L$6:$L$92)),0),IF(YEAR(BS$3)=YEAR(Headcount!$R$4),IF((BS$5=12),(SUMPRODUCT(--(Headcount!$F$6:$F$92="Development Operations"),--(Headcount!$H$6:$H$92&gt;=BI!BS$3),Headcount!$R$6:$R$92,Headcount!$L$6:$L$92)),0),"New Year"))))),'Dept. Cost Actuals'!BW814)</f>
        <v>0</v>
      </c>
      <c r="BT16" s="684">
        <f>IF(BT$4="forecast",IF(YEAR(BT$3)=YEAR(Headcount!$N$4),IF((BT$5=12),(SUMPRODUCT(--(Headcount!$F$6:$F$92="Development Operations"),--(Headcount!$H$6:$H$92&gt;=BI!BT$3),Headcount!$N$6:$N$92,Headcount!$L$6:$L$92)),0),IF(YEAR(BT$3)=YEAR(Headcount!$O$4),IF((BT$5=12),(SUMPRODUCT(--(Headcount!$F$6:$F$92="Development Operations"),--(Headcount!$H$6:$H$92&gt;=BI!BT$3),Headcount!$O$6:$O$92,Headcount!$L$6:$L$92)),0),IF(YEAR(BT$3)=YEAR(Headcount!$P$4),IF((BT$5=12),(SUMPRODUCT(--(Headcount!$F$6:$F$92="Development Operations"),--(Headcount!$H$6:$H$92&gt;=BI!BT$3),Headcount!$P$6:$P$92,Headcount!$L$6:$L$92)),0),IF(YEAR(BT$3)=YEAR(Headcount!$Q$4),IF((BT$5=12),(SUMPRODUCT(--(Headcount!$F$6:$F$92="Development Operations"),--(Headcount!$H$6:$H$92&gt;=BI!BT$3),Headcount!$Q$6:$Q$92,Headcount!$L$6:$L$92)),0),IF(YEAR(BT$3)=YEAR(Headcount!$R$4),IF((BT$5=12),(SUMPRODUCT(--(Headcount!$F$6:$F$92="Development Operations"),--(Headcount!$H$6:$H$92&gt;=BI!BT$3),Headcount!$R$6:$R$92,Headcount!$L$6:$L$92)),0),"New Year"))))),'Dept. Cost Actuals'!BX814)</f>
        <v>0</v>
      </c>
      <c r="BU16" s="684">
        <f>IF(BU$4="forecast",IF(YEAR(BU$3)=YEAR(Headcount!$N$4),IF((BU$5=12),(SUMPRODUCT(--(Headcount!$F$6:$F$92="Development Operations"),--(Headcount!$H$6:$H$92&gt;=BI!BU$3),Headcount!$N$6:$N$92,Headcount!$L$6:$L$92)),0),IF(YEAR(BU$3)=YEAR(Headcount!$O$4),IF((BU$5=12),(SUMPRODUCT(--(Headcount!$F$6:$F$92="Development Operations"),--(Headcount!$H$6:$H$92&gt;=BI!BU$3),Headcount!$O$6:$O$92,Headcount!$L$6:$L$92)),0),IF(YEAR(BU$3)=YEAR(Headcount!$P$4),IF((BU$5=12),(SUMPRODUCT(--(Headcount!$F$6:$F$92="Development Operations"),--(Headcount!$H$6:$H$92&gt;=BI!BU$3),Headcount!$P$6:$P$92,Headcount!$L$6:$L$92)),0),IF(YEAR(BU$3)=YEAR(Headcount!$Q$4),IF((BU$5=12),(SUMPRODUCT(--(Headcount!$F$6:$F$92="Development Operations"),--(Headcount!$H$6:$H$92&gt;=BI!BU$3),Headcount!$Q$6:$Q$92,Headcount!$L$6:$L$92)),0),IF(YEAR(BU$3)=YEAR(Headcount!$R$4),IF((BU$5=12),(SUMPRODUCT(--(Headcount!$F$6:$F$92="Development Operations"),--(Headcount!$H$6:$H$92&gt;=BI!BU$3),Headcount!$R$6:$R$92,Headcount!$L$6:$L$92)),0),"New Year"))))),'Dept. Cost Actuals'!BY814)</f>
        <v>0</v>
      </c>
      <c r="BV16" s="808">
        <f>IF(BV$4="forecast",IF(YEAR(BV$3)=YEAR(Headcount!$N$4),IF((BV$5=12),(SUMPRODUCT(--(Headcount!$F$6:$F$92="Development Operations"),--(Headcount!$H$6:$H$92&gt;=BI!BV$3),Headcount!$N$6:$N$92,Headcount!$L$6:$L$92)),0),IF(YEAR(BV$3)=YEAR(Headcount!$O$4),IF((BV$5=12),(SUMPRODUCT(--(Headcount!$F$6:$F$92="Development Operations"),--(Headcount!$H$6:$H$92&gt;=BI!BV$3),Headcount!$O$6:$O$92,Headcount!$L$6:$L$92)),0),IF(YEAR(BV$3)=YEAR(Headcount!$P$4),IF((BV$5=12),(SUMPRODUCT(--(Headcount!$F$6:$F$92="Development Operations"),--(Headcount!$H$6:$H$92&gt;=BI!BV$3),Headcount!$P$6:$P$92,Headcount!$L$6:$L$92)),0),IF(YEAR(BV$3)=YEAR(Headcount!$Q$4),IF((BV$5=12),(SUMPRODUCT(--(Headcount!$F$6:$F$92="Development Operations"),--(Headcount!$H$6:$H$92&gt;=BI!BV$3),Headcount!$Q$6:$Q$92,Headcount!$L$6:$L$92)),0),IF(YEAR(BV$3)=YEAR(Headcount!$R$4),IF((BV$5=12),(SUMPRODUCT(--(Headcount!$F$6:$F$92="Development Operations"),--(Headcount!$H$6:$H$92&gt;=BI!BV$3),Headcount!$R$6:$R$92,Headcount!$L$6:$L$92)),0),"New Year"))))),'Dept. Cost Actuals'!BZ814)</f>
        <v>240805.87747149999</v>
      </c>
    </row>
    <row r="17" spans="2:74" s="641" customFormat="1" ht="13" x14ac:dyDescent="0.3">
      <c r="B17" s="809" t="s">
        <v>939</v>
      </c>
      <c r="C17" s="995">
        <f t="shared" ref="C17:N17" si="5">SUM(C15:C16)</f>
        <v>0</v>
      </c>
      <c r="D17" s="995">
        <f t="shared" si="5"/>
        <v>0</v>
      </c>
      <c r="E17" s="995">
        <f t="shared" si="5"/>
        <v>0</v>
      </c>
      <c r="F17" s="995">
        <f t="shared" si="5"/>
        <v>0</v>
      </c>
      <c r="G17" s="995">
        <f t="shared" si="5"/>
        <v>0</v>
      </c>
      <c r="H17" s="995">
        <f t="shared" si="5"/>
        <v>0</v>
      </c>
      <c r="I17" s="995">
        <f t="shared" si="5"/>
        <v>0</v>
      </c>
      <c r="J17" s="995">
        <f t="shared" si="5"/>
        <v>0</v>
      </c>
      <c r="K17" s="995">
        <f t="shared" si="5"/>
        <v>0</v>
      </c>
      <c r="L17" s="995">
        <f t="shared" si="5"/>
        <v>0</v>
      </c>
      <c r="M17" s="995">
        <f t="shared" si="5"/>
        <v>0</v>
      </c>
      <c r="N17" s="995">
        <f t="shared" si="5"/>
        <v>0</v>
      </c>
      <c r="O17" s="995">
        <f t="shared" ref="O17:BV17" si="6">SUM(O15:O16)</f>
        <v>7052.71</v>
      </c>
      <c r="P17" s="995">
        <f t="shared" si="6"/>
        <v>5779.75</v>
      </c>
      <c r="Q17" s="995">
        <f t="shared" si="6"/>
        <v>6034.89</v>
      </c>
      <c r="R17" s="995">
        <f t="shared" si="6"/>
        <v>7141.57</v>
      </c>
      <c r="S17" s="995">
        <f t="shared" si="6"/>
        <v>5779.75</v>
      </c>
      <c r="T17" s="995">
        <f t="shared" si="6"/>
        <v>5779.75</v>
      </c>
      <c r="U17" s="995">
        <f t="shared" si="6"/>
        <v>7764.93</v>
      </c>
      <c r="V17" s="995">
        <f t="shared" si="6"/>
        <v>11772.34</v>
      </c>
      <c r="W17" s="995">
        <f t="shared" si="6"/>
        <v>5779.75</v>
      </c>
      <c r="X17" s="995">
        <f t="shared" si="6"/>
        <v>8757.52</v>
      </c>
      <c r="Y17" s="995">
        <f t="shared" si="6"/>
        <v>5899.41</v>
      </c>
      <c r="Z17" s="995">
        <f t="shared" si="6"/>
        <v>53436.99</v>
      </c>
      <c r="AA17" s="995">
        <f t="shared" si="6"/>
        <v>0</v>
      </c>
      <c r="AB17" s="995">
        <f t="shared" si="6"/>
        <v>0</v>
      </c>
      <c r="AC17" s="995">
        <f t="shared" si="6"/>
        <v>0</v>
      </c>
      <c r="AD17" s="995">
        <f t="shared" si="6"/>
        <v>0</v>
      </c>
      <c r="AE17" s="995">
        <f t="shared" si="6"/>
        <v>0</v>
      </c>
      <c r="AF17" s="995">
        <f t="shared" si="6"/>
        <v>0</v>
      </c>
      <c r="AG17" s="995">
        <f t="shared" si="6"/>
        <v>0</v>
      </c>
      <c r="AH17" s="995">
        <f t="shared" si="6"/>
        <v>0</v>
      </c>
      <c r="AI17" s="995">
        <f t="shared" si="6"/>
        <v>0</v>
      </c>
      <c r="AJ17" s="995">
        <f t="shared" si="6"/>
        <v>0</v>
      </c>
      <c r="AK17" s="995">
        <f t="shared" si="6"/>
        <v>0</v>
      </c>
      <c r="AL17" s="995">
        <f t="shared" si="6"/>
        <v>205256.5</v>
      </c>
      <c r="AM17" s="995">
        <f t="shared" si="6"/>
        <v>0</v>
      </c>
      <c r="AN17" s="995">
        <f t="shared" si="6"/>
        <v>0</v>
      </c>
      <c r="AO17" s="995">
        <f t="shared" si="6"/>
        <v>0</v>
      </c>
      <c r="AP17" s="995">
        <f t="shared" si="6"/>
        <v>0</v>
      </c>
      <c r="AQ17" s="995">
        <f t="shared" si="6"/>
        <v>0</v>
      </c>
      <c r="AR17" s="995">
        <f t="shared" si="6"/>
        <v>0</v>
      </c>
      <c r="AS17" s="995">
        <f t="shared" si="6"/>
        <v>0</v>
      </c>
      <c r="AT17" s="995">
        <f t="shared" si="6"/>
        <v>0</v>
      </c>
      <c r="AU17" s="995">
        <f t="shared" si="6"/>
        <v>0</v>
      </c>
      <c r="AV17" s="995">
        <f t="shared" si="6"/>
        <v>0</v>
      </c>
      <c r="AW17" s="995">
        <f t="shared" si="6"/>
        <v>0</v>
      </c>
      <c r="AX17" s="995">
        <f t="shared" si="6"/>
        <v>239342.63500000004</v>
      </c>
      <c r="AY17" s="995">
        <f t="shared" si="6"/>
        <v>0</v>
      </c>
      <c r="AZ17" s="995">
        <f t="shared" si="6"/>
        <v>0</v>
      </c>
      <c r="BA17" s="995">
        <f t="shared" si="6"/>
        <v>0</v>
      </c>
      <c r="BB17" s="995">
        <f t="shared" si="6"/>
        <v>0</v>
      </c>
      <c r="BC17" s="995">
        <f t="shared" si="6"/>
        <v>0</v>
      </c>
      <c r="BD17" s="995">
        <f t="shared" si="6"/>
        <v>0</v>
      </c>
      <c r="BE17" s="995">
        <f t="shared" si="6"/>
        <v>0</v>
      </c>
      <c r="BF17" s="995">
        <f t="shared" si="6"/>
        <v>0</v>
      </c>
      <c r="BG17" s="995">
        <f t="shared" si="6"/>
        <v>0</v>
      </c>
      <c r="BH17" s="995">
        <f t="shared" si="6"/>
        <v>0</v>
      </c>
      <c r="BI17" s="995">
        <f t="shared" si="6"/>
        <v>0</v>
      </c>
      <c r="BJ17" s="995">
        <f t="shared" si="6"/>
        <v>246522.91404999993</v>
      </c>
      <c r="BK17" s="995">
        <f t="shared" si="6"/>
        <v>0</v>
      </c>
      <c r="BL17" s="995">
        <f t="shared" si="6"/>
        <v>0</v>
      </c>
      <c r="BM17" s="995">
        <f t="shared" si="6"/>
        <v>0</v>
      </c>
      <c r="BN17" s="995">
        <f t="shared" si="6"/>
        <v>0</v>
      </c>
      <c r="BO17" s="995">
        <f t="shared" si="6"/>
        <v>0</v>
      </c>
      <c r="BP17" s="995">
        <f t="shared" si="6"/>
        <v>0</v>
      </c>
      <c r="BQ17" s="995">
        <f t="shared" si="6"/>
        <v>0</v>
      </c>
      <c r="BR17" s="995">
        <f t="shared" si="6"/>
        <v>0</v>
      </c>
      <c r="BS17" s="995">
        <f t="shared" si="6"/>
        <v>0</v>
      </c>
      <c r="BT17" s="995">
        <f t="shared" si="6"/>
        <v>0</v>
      </c>
      <c r="BU17" s="995">
        <f t="shared" si="6"/>
        <v>0</v>
      </c>
      <c r="BV17" s="996">
        <f t="shared" si="6"/>
        <v>253918.60147149998</v>
      </c>
    </row>
    <row r="18" spans="2:74" s="641" customFormat="1" ht="13" x14ac:dyDescent="0.3">
      <c r="B18" s="811" t="s">
        <v>940</v>
      </c>
      <c r="C18" s="684">
        <f>IF(C$4="forecast",C$7*'Direct People Department Costs'!$H$7,'Dept. Cost Actuals'!G830)</f>
        <v>567.71409769424986</v>
      </c>
      <c r="D18" s="684">
        <f>IF(D$4="forecast",D$7*'Direct People Department Costs'!$H$7,'Dept. Cost Actuals'!H830)</f>
        <v>325.71601666768237</v>
      </c>
      <c r="E18" s="684">
        <f>IF(E$4="forecast",E$7*'Direct People Department Costs'!$H$7,'Dept. Cost Actuals'!I830)</f>
        <v>442.34431604494245</v>
      </c>
      <c r="F18" s="684">
        <f>IF(F$4="forecast",F$7*'Direct People Department Costs'!$H$7,'Dept. Cost Actuals'!J830)</f>
        <v>927.69870393541692</v>
      </c>
      <c r="G18" s="684">
        <f>IF(G$4="forecast",G$7*'Direct People Department Costs'!$H$7,'Dept. Cost Actuals'!K830)</f>
        <v>542.23067519166477</v>
      </c>
      <c r="H18" s="684">
        <f>IF(H$4="forecast",H$7*'Direct People Department Costs'!$H$7,'Dept. Cost Actuals'!L830)</f>
        <v>575.37955142884823</v>
      </c>
      <c r="I18" s="684">
        <f>IF(I$4="forecast",I$7*'Direct People Department Costs'!$H$7,'Dept. Cost Actuals'!M830)</f>
        <v>466.97401878430333</v>
      </c>
      <c r="J18" s="684">
        <f>IF(J$4="forecast",J$7*'Direct People Department Costs'!$H$7,'Dept. Cost Actuals'!N830)</f>
        <v>565.15307443965139</v>
      </c>
      <c r="K18" s="684">
        <f>IF(K$4="forecast",K$7*'Direct People Department Costs'!$H$7,'Dept. Cost Actuals'!O830)</f>
        <v>859.50143992938024</v>
      </c>
      <c r="L18" s="684">
        <f>IF(L$4="forecast",L$7*'Direct People Department Costs'!$H$7,'Dept. Cost Actuals'!P830)</f>
        <v>549.98459765069379</v>
      </c>
      <c r="M18" s="684">
        <f>IF(M$4="forecast",M$7*'Direct People Department Costs'!$H$7,'Dept. Cost Actuals'!Q830)</f>
        <v>897.86724825974136</v>
      </c>
      <c r="N18" s="684">
        <f>IF(N$4="forecast",N$7*'Direct People Department Costs'!$H$7,'Dept. Cost Actuals'!R830)</f>
        <v>4057.3944743069546</v>
      </c>
      <c r="O18" s="684">
        <f>IF(O$4="forecast",O$7*'Direct People Department Costs'!$H$7,'Dept. Cost Actuals'!S830)</f>
        <v>2124.6</v>
      </c>
      <c r="P18" s="684">
        <f>IF(P$4="forecast",P$7*'Direct People Department Costs'!$H$7,'Dept. Cost Actuals'!T830)</f>
        <v>2888.78</v>
      </c>
      <c r="Q18" s="684">
        <f>IF(Q$4="forecast",Q$7*'Direct People Department Costs'!$H$7,'Dept. Cost Actuals'!U830)</f>
        <v>1552.44</v>
      </c>
      <c r="R18" s="684">
        <f>IF(R$4="forecast",R$7*'Direct People Department Costs'!$H$7,'Dept. Cost Actuals'!V830)</f>
        <v>1726.05</v>
      </c>
      <c r="S18" s="684">
        <f>IF(S$4="forecast",S$7*'Direct People Department Costs'!$H$7,'Dept. Cost Actuals'!W830)</f>
        <v>1369.06</v>
      </c>
      <c r="T18" s="684">
        <f>IF(T$4="forecast",T$7*'Direct People Department Costs'!$H$7,'Dept. Cost Actuals'!X830)</f>
        <v>1492.7</v>
      </c>
      <c r="U18" s="684">
        <f>IF(U$4="forecast",U$7*'Direct People Department Costs'!$H$7,'Dept. Cost Actuals'!Y830)</f>
        <v>3973.13</v>
      </c>
      <c r="V18" s="684">
        <f>IF(V$4="forecast",V$7*'Direct People Department Costs'!$H$7,'Dept. Cost Actuals'!Z830)</f>
        <v>2513.44</v>
      </c>
      <c r="W18" s="684">
        <f>IF(W$4="forecast",W$7*'Direct People Department Costs'!$H$7,'Dept. Cost Actuals'!AA830)</f>
        <v>2547.9499999999998</v>
      </c>
      <c r="X18" s="684">
        <f>IF(X$4="forecast",X$7*'Direct People Department Costs'!$H$7,'Dept. Cost Actuals'!AB830)</f>
        <v>2144.66</v>
      </c>
      <c r="Y18" s="684">
        <f>IF(Y$4="forecast",Y$7*'Direct People Department Costs'!$H$7,'Dept. Cost Actuals'!AC830)</f>
        <v>20</v>
      </c>
      <c r="Z18" s="684">
        <f>IF(Z$4="forecast",Z$7*'Direct People Department Costs'!$H$7,'Dept. Cost Actuals'!AD830)</f>
        <v>0</v>
      </c>
      <c r="AA18" s="684">
        <f>IF(AA$4="forecast",(((SUM($O$18:$Z$18)/12)*1.03)+((400/12)*AA$7)),'Dept. Cost Actuals'!AE158)</f>
        <v>2485.282858333333</v>
      </c>
      <c r="AB18" s="684">
        <f>IF(AB$4="forecast",(((SUM($O$18:$Z$18)/12)*1.03)+((400/12)*AB$7)),'Dept. Cost Actuals'!AF158)</f>
        <v>2485.282858333333</v>
      </c>
      <c r="AC18" s="684">
        <f>IF(AC$4="forecast",(((SUM($O$18:$Z$18)/12)*1.03)+((400/12)*AC$7)),'Dept. Cost Actuals'!AG158)</f>
        <v>2485.282858333333</v>
      </c>
      <c r="AD18" s="684">
        <f>IF(AD$4="forecast",(((SUM($O$18:$Z$18)/12)*1.03)+((400/12)*AD$7)),'Dept. Cost Actuals'!AH158)</f>
        <v>2485.282858333333</v>
      </c>
      <c r="AE18" s="684">
        <f>IF(AE$4="forecast",(((SUM($O$18:$Z$18)/12)*1.03)+((400/12)*AE$7)),'Dept. Cost Actuals'!AI158)</f>
        <v>2485.282858333333</v>
      </c>
      <c r="AF18" s="684">
        <f>IF(AF$4="forecast",(((SUM($O$18:$Z$18)/12)*1.03)+((400/12)*AF$7)),'Dept. Cost Actuals'!AJ158)</f>
        <v>2485.282858333333</v>
      </c>
      <c r="AG18" s="684">
        <f>IF(AG$4="forecast",(((SUM($O$18:$Z$18)/12)*1.03)+((400/12)*AG$7)),'Dept. Cost Actuals'!AK158)</f>
        <v>2485.282858333333</v>
      </c>
      <c r="AH18" s="684">
        <f>IF(AH$4="forecast",(((SUM($O$18:$Z$18)/12)*1.03)+((400/12)*AH$7)),'Dept. Cost Actuals'!AL158)</f>
        <v>2485.282858333333</v>
      </c>
      <c r="AI18" s="684">
        <f>IF(AI$4="forecast",(((SUM($O$18:$Z$18)/12)*1.03)+((400/12)*AI$7)),'Dept. Cost Actuals'!AM158)</f>
        <v>2485.282858333333</v>
      </c>
      <c r="AJ18" s="684">
        <f>IF(AJ$4="forecast",(((SUM($O$18:$Z$18)/12)*1.03)+((400/12)*AJ$7)),'Dept. Cost Actuals'!AN158)</f>
        <v>2485.282858333333</v>
      </c>
      <c r="AK18" s="684">
        <f>IF(AK$4="forecast",(((SUM($O$18:$Z$18)/12)*1.03)+((400/12)*AK$7)),'Dept. Cost Actuals'!AO158)</f>
        <v>2485.282858333333</v>
      </c>
      <c r="AL18" s="684">
        <f>IF(AL$4="forecast",(((SUM($O$18:$Z$18)/12)*1.03)+((400/12)*AL$7)),'Dept. Cost Actuals'!AP158)</f>
        <v>2485.282858333333</v>
      </c>
      <c r="AM18" s="684">
        <f>IF(AM$4="forecast",(((SUM($AA$18:$AL$18)/12)*1.03)+((400/12)*AM$7)),'Dept. Cost Actuals'!AQ158)</f>
        <v>3126.5080107499989</v>
      </c>
      <c r="AN18" s="684">
        <f>IF(AN$4="forecast",(((SUM($AA$18:$AL$18)/12)*1.03)+((400/12)*AN$7)),'Dept. Cost Actuals'!AR158)</f>
        <v>3126.5080107499989</v>
      </c>
      <c r="AO18" s="684">
        <f>IF(AO$4="forecast",(((SUM($AA$18:$AL$18)/12)*1.03)+((400/12)*AO$7)),'Dept. Cost Actuals'!AS158)</f>
        <v>3126.5080107499989</v>
      </c>
      <c r="AP18" s="684">
        <f>IF(AP$4="forecast",(((SUM($AA$18:$AL$18)/12)*1.03)+((400/12)*AP$7)),'Dept. Cost Actuals'!AT158)</f>
        <v>3126.5080107499989</v>
      </c>
      <c r="AQ18" s="684">
        <f>IF(AQ$4="forecast",(((SUM($AA$18:$AL$18)/12)*1.03)+((400/12)*AQ$7)),'Dept. Cost Actuals'!AU158)</f>
        <v>3126.5080107499989</v>
      </c>
      <c r="AR18" s="684">
        <f>IF(AR$4="forecast",(((SUM($AA$18:$AL$18)/12)*1.03)+((400/12)*AR$7)),'Dept. Cost Actuals'!AV158)</f>
        <v>3126.5080107499989</v>
      </c>
      <c r="AS18" s="684">
        <f>IF(AS$4="forecast",(((SUM($AA$18:$AL$18)/12)*1.03)+((400/12)*AS$7)),'Dept. Cost Actuals'!AW158)</f>
        <v>3126.5080107499989</v>
      </c>
      <c r="AT18" s="684">
        <f>IF(AT$4="forecast",(((SUM($AA$18:$AL$18)/12)*1.03)+((400/12)*AT$7)),'Dept. Cost Actuals'!AX158)</f>
        <v>3126.5080107499989</v>
      </c>
      <c r="AU18" s="684">
        <f>IF(AU$4="forecast",(((SUM($AA$18:$AL$18)/12)*1.03)+((400/12)*AU$7)),'Dept. Cost Actuals'!AY158)</f>
        <v>3126.5080107499989</v>
      </c>
      <c r="AV18" s="684">
        <f>IF(AV$4="forecast",(((SUM($AA$18:$AL$18)/12)*1.03)+((400/12)*AV$7)),'Dept. Cost Actuals'!AZ158)</f>
        <v>3126.5080107499989</v>
      </c>
      <c r="AW18" s="684">
        <f>IF(AW$4="forecast",(((SUM($AA$18:$AL$18)/12)*1.03)+((400/12)*AW$7)),'Dept. Cost Actuals'!BA158)</f>
        <v>3126.5080107499989</v>
      </c>
      <c r="AX18" s="684">
        <f>IF(AX$4="forecast",(((SUM($AA$18:$AL$18)/12)*1.03)+((400/12)*AX$7)),'Dept. Cost Actuals'!BB158)</f>
        <v>3126.5080107499989</v>
      </c>
      <c r="AY18" s="684">
        <f>IF(AY$4="forecast",AY$7*'Direct People Department Costs'!$H$7,'Dept. Cost Actuals'!BC830)</f>
        <v>9775</v>
      </c>
      <c r="AZ18" s="684">
        <f>IF(AZ$4="forecast",AZ$7*'Direct People Department Costs'!$H$7,'Dept. Cost Actuals'!BD830)</f>
        <v>9775</v>
      </c>
      <c r="BA18" s="684">
        <f>IF(BA$4="forecast",BA$7*'Direct People Department Costs'!$H$7,'Dept. Cost Actuals'!BE830)</f>
        <v>9775</v>
      </c>
      <c r="BB18" s="684">
        <f>IF(BB$4="forecast",BB$7*'Direct People Department Costs'!$H$7,'Dept. Cost Actuals'!BF830)</f>
        <v>9775</v>
      </c>
      <c r="BC18" s="684">
        <f>IF(BC$4="forecast",BC$7*'Direct People Department Costs'!$H$7,'Dept. Cost Actuals'!BG830)</f>
        <v>9775</v>
      </c>
      <c r="BD18" s="684">
        <f>IF(BD$4="forecast",BD$7*'Direct People Department Costs'!$H$7,'Dept. Cost Actuals'!BH830)</f>
        <v>9775</v>
      </c>
      <c r="BE18" s="684">
        <f>IF(BE$4="forecast",BE$7*'Direct People Department Costs'!$H$7,'Dept. Cost Actuals'!BI830)</f>
        <v>9775</v>
      </c>
      <c r="BF18" s="684">
        <f>IF(BF$4="forecast",BF$7*'Direct People Department Costs'!$H$7,'Dept. Cost Actuals'!BJ830)</f>
        <v>9775</v>
      </c>
      <c r="BG18" s="684">
        <f>IF(BG$4="forecast",BG$7*'Direct People Department Costs'!$H$7,'Dept. Cost Actuals'!BK830)</f>
        <v>9775</v>
      </c>
      <c r="BH18" s="684">
        <f>IF(BH$4="forecast",BH$7*'Direct People Department Costs'!$H$7,'Dept. Cost Actuals'!BL830)</f>
        <v>9775</v>
      </c>
      <c r="BI18" s="684">
        <f>IF(BI$4="forecast",BI$7*'Direct People Department Costs'!$H$7,'Dept. Cost Actuals'!BM830)</f>
        <v>9775</v>
      </c>
      <c r="BJ18" s="684">
        <f>IF(BJ$4="forecast",BJ$7*'Direct People Department Costs'!$H$7,'Dept. Cost Actuals'!BN830)</f>
        <v>9775</v>
      </c>
      <c r="BK18" s="684">
        <f>IF(BK$4="forecast",BK$7*'Direct People Department Costs'!$H$7,'Dept. Cost Actuals'!BO830)</f>
        <v>9775</v>
      </c>
      <c r="BL18" s="684">
        <f>IF(BL$4="forecast",BL$7*'Direct People Department Costs'!$H$7,'Dept. Cost Actuals'!BP830)</f>
        <v>9775</v>
      </c>
      <c r="BM18" s="684">
        <f>IF(BM$4="forecast",BM$7*'Direct People Department Costs'!$H$7,'Dept. Cost Actuals'!BQ830)</f>
        <v>9775</v>
      </c>
      <c r="BN18" s="684">
        <f>IF(BN$4="forecast",BN$7*'Direct People Department Costs'!$H$7,'Dept. Cost Actuals'!BR830)</f>
        <v>9775</v>
      </c>
      <c r="BO18" s="684">
        <f>IF(BO$4="forecast",BO$7*'Direct People Department Costs'!$H$7,'Dept. Cost Actuals'!BS830)</f>
        <v>9775</v>
      </c>
      <c r="BP18" s="684">
        <f>IF(BP$4="forecast",BP$7*'Direct People Department Costs'!$H$7,'Dept. Cost Actuals'!BT830)</f>
        <v>9775</v>
      </c>
      <c r="BQ18" s="684">
        <f>IF(BQ$4="forecast",BQ$7*'Direct People Department Costs'!$H$7,'Dept. Cost Actuals'!BU830)</f>
        <v>9775</v>
      </c>
      <c r="BR18" s="684">
        <f>IF(BR$4="forecast",BR$7*'Direct People Department Costs'!$H$7,'Dept. Cost Actuals'!BV830)</f>
        <v>9775</v>
      </c>
      <c r="BS18" s="684">
        <f>IF(BS$4="forecast",BS$7*'Direct People Department Costs'!$H$7,'Dept. Cost Actuals'!BW830)</f>
        <v>9775</v>
      </c>
      <c r="BT18" s="684">
        <f>IF(BT$4="forecast",BT$7*'Direct People Department Costs'!$H$7,'Dept. Cost Actuals'!BX830)</f>
        <v>9775</v>
      </c>
      <c r="BU18" s="684">
        <f>IF(BU$4="forecast",BU$7*'Direct People Department Costs'!$H$7,'Dept. Cost Actuals'!BY830)</f>
        <v>9775</v>
      </c>
      <c r="BV18" s="808">
        <f>IF(BV$4="forecast",BV$7*'Direct People Department Costs'!$H$7,'Dept. Cost Actuals'!BZ830)</f>
        <v>9775</v>
      </c>
    </row>
    <row r="19" spans="2:74" x14ac:dyDescent="0.35">
      <c r="B19" s="812" t="s">
        <v>941</v>
      </c>
      <c r="C19" s="684">
        <f>IF(C$4="forecast",C$8*'Direct People Department Costs'!$H$8,'Dept. Cost Actuals'!G714)</f>
        <v>0</v>
      </c>
      <c r="D19" s="684">
        <f>IF(D$4="forecast",D$8*'Direct People Department Costs'!$H$8,'Dept. Cost Actuals'!H714)</f>
        <v>0</v>
      </c>
      <c r="E19" s="684">
        <f>IF(E$4="forecast",E$8*'Direct People Department Costs'!$H$8,'Dept. Cost Actuals'!I714)</f>
        <v>0</v>
      </c>
      <c r="F19" s="684">
        <f>IF(F$4="forecast",F$8*'Direct People Department Costs'!$H$8,'Dept. Cost Actuals'!J714)</f>
        <v>0</v>
      </c>
      <c r="G19" s="684">
        <f>IF(G$4="forecast",G$8*'Direct People Department Costs'!$H$8,'Dept. Cost Actuals'!K714)</f>
        <v>0</v>
      </c>
      <c r="H19" s="684">
        <f>IF(H$4="forecast",H$8*'Direct People Department Costs'!$H$8,'Dept. Cost Actuals'!L714)</f>
        <v>0</v>
      </c>
      <c r="I19" s="684">
        <f>IF(I$4="forecast",I$8*'Direct People Department Costs'!$H$8,'Dept. Cost Actuals'!M714)</f>
        <v>0</v>
      </c>
      <c r="J19" s="684">
        <f>IF(J$4="forecast",J$8*'Direct People Department Costs'!$H$8,'Dept. Cost Actuals'!N714)</f>
        <v>0</v>
      </c>
      <c r="K19" s="684">
        <f>IF(K$4="forecast",K$8*'Direct People Department Costs'!$H$8,'Dept. Cost Actuals'!O714)</f>
        <v>0</v>
      </c>
      <c r="L19" s="684">
        <f>IF(L$4="forecast",L$8*'Direct People Department Costs'!$H$8,'Dept. Cost Actuals'!P714)</f>
        <v>0</v>
      </c>
      <c r="M19" s="684">
        <f>IF(M$4="forecast",M$8*'Direct People Department Costs'!$H$8,'Dept. Cost Actuals'!Q714)</f>
        <v>0</v>
      </c>
      <c r="N19" s="684">
        <f>IF(N$4="forecast",N$8*'Direct People Department Costs'!$H$8,'Dept. Cost Actuals'!R714)</f>
        <v>0</v>
      </c>
      <c r="O19" s="684">
        <f>IF(O$4="forecast",O$8*'Direct People Department Costs'!$H$8,'Dept. Cost Actuals'!S714)</f>
        <v>657.92</v>
      </c>
      <c r="P19" s="684">
        <f>IF(P$4="forecast",P$8*'Direct People Department Costs'!$H$8,'Dept. Cost Actuals'!T714)</f>
        <v>107.98</v>
      </c>
      <c r="Q19" s="684">
        <f>IF(Q$4="forecast",Q$8*'Direct People Department Costs'!$H$8,'Dept. Cost Actuals'!U714)</f>
        <v>526.71</v>
      </c>
      <c r="R19" s="684">
        <f>IF(R$4="forecast",R$8*'Direct People Department Costs'!$H$8,'Dept. Cost Actuals'!V714)</f>
        <v>163.81</v>
      </c>
      <c r="S19" s="684">
        <f>IF(S$4="forecast",S$8*'Direct People Department Costs'!$H$8,'Dept. Cost Actuals'!W714)</f>
        <v>13.68</v>
      </c>
      <c r="T19" s="684">
        <f>IF(T$4="forecast",T$8*'Direct People Department Costs'!$H$8,'Dept. Cost Actuals'!X714)</f>
        <v>987.99</v>
      </c>
      <c r="U19" s="684">
        <f>IF(U$4="forecast",U$8*'Direct People Department Costs'!$H$8,'Dept. Cost Actuals'!Y714)</f>
        <v>861.5</v>
      </c>
      <c r="V19" s="684">
        <f>IF(V$4="forecast",V$8*'Direct People Department Costs'!$H$8,'Dept. Cost Actuals'!Z714)</f>
        <v>473.24</v>
      </c>
      <c r="W19" s="684">
        <f>IF(W$4="forecast",W$8*'Direct People Department Costs'!$H$8,'Dept. Cost Actuals'!AA714)</f>
        <v>643.41999999999996</v>
      </c>
      <c r="X19" s="684">
        <f>IF(X$4="forecast",X$8*'Direct People Department Costs'!$H$8,'Dept. Cost Actuals'!AB714)</f>
        <v>1550.29</v>
      </c>
      <c r="Y19" s="684">
        <f>IF(Y$4="forecast",Y$8*'Direct People Department Costs'!$H$8,'Dept. Cost Actuals'!AC714)</f>
        <v>-9.2799999999999994</v>
      </c>
      <c r="Z19" s="684">
        <f>IF(Z$4="forecast",Z$8*'Direct People Department Costs'!$H$8,'Dept. Cost Actuals'!AD714)</f>
        <v>6851.15</v>
      </c>
      <c r="AA19" s="684">
        <f>IF(AA$4="forecast",AA$8*'Direct People Department Costs'!$H$8,'Dept. Cost Actuals'!AE714)</f>
        <v>0</v>
      </c>
      <c r="AB19" s="684">
        <f>IF(AB$4="forecast",AB$8*'Direct People Department Costs'!$H$8,'Dept. Cost Actuals'!AF714)</f>
        <v>0</v>
      </c>
      <c r="AC19" s="684">
        <f>IF(AC$4="forecast",AC$8*'Direct People Department Costs'!$H$8,'Dept. Cost Actuals'!AG714)</f>
        <v>0</v>
      </c>
      <c r="AD19" s="684">
        <f>IF(AD$4="forecast",AD$8*'Direct People Department Costs'!$H$8,'Dept. Cost Actuals'!AH714)</f>
        <v>0</v>
      </c>
      <c r="AE19" s="684">
        <f>IF(AE$4="forecast",AE$8*'Direct People Department Costs'!$H$8,'Dept. Cost Actuals'!AI714)</f>
        <v>0</v>
      </c>
      <c r="AF19" s="684">
        <f>IF(AF$4="forecast",AF$8*'Direct People Department Costs'!$H$8,'Dept. Cost Actuals'!AJ714)</f>
        <v>0</v>
      </c>
      <c r="AG19" s="684">
        <f>IF(AG$4="forecast",AG$8*'Direct People Department Costs'!$H$8,'Dept. Cost Actuals'!AK714)</f>
        <v>0</v>
      </c>
      <c r="AH19" s="684">
        <f>IF(AH$4="forecast",AH$8*'Direct People Department Costs'!$H$8,'Dept. Cost Actuals'!AL714)</f>
        <v>0</v>
      </c>
      <c r="AI19" s="684">
        <f>IF(AI$4="forecast",AI$8*'Direct People Department Costs'!$H$8,'Dept. Cost Actuals'!AM714)</f>
        <v>0</v>
      </c>
      <c r="AJ19" s="684">
        <f>IF(AJ$4="forecast",AJ$8*'Direct People Department Costs'!$H$8,'Dept. Cost Actuals'!AN714)</f>
        <v>0</v>
      </c>
      <c r="AK19" s="684">
        <f>IF(AK$4="forecast",AK$8*'Direct People Department Costs'!$H$8,'Dept. Cost Actuals'!AO714)</f>
        <v>0</v>
      </c>
      <c r="AL19" s="684">
        <f>IF(AL$4="forecast",AL$8*'Direct People Department Costs'!$H$8,'Dept. Cost Actuals'!AP714)</f>
        <v>0</v>
      </c>
      <c r="AM19" s="684">
        <f>IF(AM$4="forecast",AM$8*'Direct People Department Costs'!$H$8,'Dept. Cost Actuals'!AQ714)</f>
        <v>0</v>
      </c>
      <c r="AN19" s="684">
        <f>IF(AN$4="forecast",AN$8*'Direct People Department Costs'!$H$8,'Dept. Cost Actuals'!AR714)</f>
        <v>0</v>
      </c>
      <c r="AO19" s="684">
        <f>IF(AO$4="forecast",AO$8*'Direct People Department Costs'!$H$8,'Dept. Cost Actuals'!AS714)</f>
        <v>0</v>
      </c>
      <c r="AP19" s="684">
        <f>IF(AP$4="forecast",AP$8*'Direct People Department Costs'!$H$8,'Dept. Cost Actuals'!AT714)</f>
        <v>0</v>
      </c>
      <c r="AQ19" s="684">
        <f>IF(AQ$4="forecast",AQ$8*'Direct People Department Costs'!$H$8,'Dept. Cost Actuals'!AU714)</f>
        <v>0</v>
      </c>
      <c r="AR19" s="684">
        <f>IF(AR$4="forecast",AR$8*'Direct People Department Costs'!$H$8,'Dept. Cost Actuals'!AV714)</f>
        <v>0</v>
      </c>
      <c r="AS19" s="684">
        <f>IF(AS$4="forecast",AS$8*'Direct People Department Costs'!$H$8,'Dept. Cost Actuals'!AW714)</f>
        <v>0</v>
      </c>
      <c r="AT19" s="684">
        <f>IF(AT$4="forecast",AT$8*'Direct People Department Costs'!$H$8,'Dept. Cost Actuals'!AX714)</f>
        <v>0</v>
      </c>
      <c r="AU19" s="684">
        <f>IF(AU$4="forecast",AU$8*'Direct People Department Costs'!$H$8,'Dept. Cost Actuals'!AY714)</f>
        <v>0</v>
      </c>
      <c r="AV19" s="684">
        <f>IF(AV$4="forecast",AV$8*'Direct People Department Costs'!$H$8,'Dept. Cost Actuals'!AZ714)</f>
        <v>0</v>
      </c>
      <c r="AW19" s="684">
        <f>IF(AW$4="forecast",AW$8*'Direct People Department Costs'!$H$8,'Dept. Cost Actuals'!BA714)</f>
        <v>0</v>
      </c>
      <c r="AX19" s="684">
        <f>IF(AX$4="forecast",AX$8*'Direct People Department Costs'!$H$8,'Dept. Cost Actuals'!BB714)</f>
        <v>0</v>
      </c>
      <c r="AY19" s="684">
        <f>IF(AY$4="forecast",AY$8*'Direct People Department Costs'!$H$8,'Dept. Cost Actuals'!BC714)</f>
        <v>0</v>
      </c>
      <c r="AZ19" s="684">
        <f>IF(AZ$4="forecast",AZ$8*'Direct People Department Costs'!$H$8,'Dept. Cost Actuals'!BD714)</f>
        <v>0</v>
      </c>
      <c r="BA19" s="684">
        <f>IF(BA$4="forecast",BA$8*'Direct People Department Costs'!$H$8,'Dept. Cost Actuals'!BE714)</f>
        <v>0</v>
      </c>
      <c r="BB19" s="684">
        <f>IF(BB$4="forecast",BB$8*'Direct People Department Costs'!$H$8,'Dept. Cost Actuals'!BF714)</f>
        <v>0</v>
      </c>
      <c r="BC19" s="684">
        <f>IF(BC$4="forecast",BC$8*'Direct People Department Costs'!$H$8,'Dept. Cost Actuals'!BG714)</f>
        <v>0</v>
      </c>
      <c r="BD19" s="684">
        <f>IF(BD$4="forecast",BD$8*'Direct People Department Costs'!$H$8,'Dept. Cost Actuals'!BH714)</f>
        <v>0</v>
      </c>
      <c r="BE19" s="684">
        <f>IF(BE$4="forecast",BE$8*'Direct People Department Costs'!$H$8,'Dept. Cost Actuals'!BI714)</f>
        <v>0</v>
      </c>
      <c r="BF19" s="684">
        <f>IF(BF$4="forecast",BF$8*'Direct People Department Costs'!$H$8,'Dept. Cost Actuals'!BJ714)</f>
        <v>0</v>
      </c>
      <c r="BG19" s="684">
        <f>IF(BG$4="forecast",BG$8*'Direct People Department Costs'!$H$8,'Dept. Cost Actuals'!BK714)</f>
        <v>0</v>
      </c>
      <c r="BH19" s="684">
        <f>IF(BH$4="forecast",BH$8*'Direct People Department Costs'!$H$8,'Dept. Cost Actuals'!BL714)</f>
        <v>0</v>
      </c>
      <c r="BI19" s="684">
        <f>IF(BI$4="forecast",BI$8*'Direct People Department Costs'!$H$8,'Dept. Cost Actuals'!BM714)</f>
        <v>0</v>
      </c>
      <c r="BJ19" s="684">
        <f>IF(BJ$4="forecast",BJ$8*'Direct People Department Costs'!$H$8,'Dept. Cost Actuals'!BN714)</f>
        <v>0</v>
      </c>
      <c r="BK19" s="684">
        <f>IF(BK$4="forecast",BK$8*'Direct People Department Costs'!$H$8,'Dept. Cost Actuals'!BO714)</f>
        <v>0</v>
      </c>
      <c r="BL19" s="684">
        <f>IF(BL$4="forecast",BL$8*'Direct People Department Costs'!$H$8,'Dept. Cost Actuals'!BP714)</f>
        <v>0</v>
      </c>
      <c r="BM19" s="684">
        <f>IF(BM$4="forecast",BM$8*'Direct People Department Costs'!$H$8,'Dept. Cost Actuals'!BQ714)</f>
        <v>0</v>
      </c>
      <c r="BN19" s="684">
        <f>IF(BN$4="forecast",BN$8*'Direct People Department Costs'!$H$8,'Dept. Cost Actuals'!BR714)</f>
        <v>0</v>
      </c>
      <c r="BO19" s="684">
        <f>IF(BO$4="forecast",BO$8*'Direct People Department Costs'!$H$8,'Dept. Cost Actuals'!BS714)</f>
        <v>0</v>
      </c>
      <c r="BP19" s="684">
        <f>IF(BP$4="forecast",BP$8*'Direct People Department Costs'!$H$8,'Dept. Cost Actuals'!BT714)</f>
        <v>0</v>
      </c>
      <c r="BQ19" s="684">
        <f>IF(BQ$4="forecast",BQ$8*'Direct People Department Costs'!$H$8,'Dept. Cost Actuals'!BU714)</f>
        <v>0</v>
      </c>
      <c r="BR19" s="684">
        <f>IF(BR$4="forecast",BR$8*'Direct People Department Costs'!$H$8,'Dept. Cost Actuals'!BV714)</f>
        <v>0</v>
      </c>
      <c r="BS19" s="684">
        <f>IF(BS$4="forecast",BS$8*'Direct People Department Costs'!$H$8,'Dept. Cost Actuals'!BW714)</f>
        <v>0</v>
      </c>
      <c r="BT19" s="684">
        <f>IF(BT$4="forecast",BT$8*'Direct People Department Costs'!$H$8,'Dept. Cost Actuals'!BX714)</f>
        <v>0</v>
      </c>
      <c r="BU19" s="684">
        <f>IF(BU$4="forecast",BU$8*'Direct People Department Costs'!$H$8,'Dept. Cost Actuals'!BY714)</f>
        <v>0</v>
      </c>
      <c r="BV19" s="808">
        <f>IF(BV$4="forecast",BV$8*'Direct People Department Costs'!$H$8,'Dept. Cost Actuals'!BZ714)</f>
        <v>0</v>
      </c>
    </row>
    <row r="20" spans="2:74" x14ac:dyDescent="0.35">
      <c r="B20" s="812" t="s">
        <v>925</v>
      </c>
      <c r="C20" s="684">
        <f>IF(C$4="forecast",C$8*'Direct People Department Costs'!$H$9,'Dept. Cost Actuals'!G832)</f>
        <v>189.68136626787017</v>
      </c>
      <c r="D20" s="684">
        <f>IF(D$4="forecast",D$8*'Direct People Department Costs'!$H$9,'Dept. Cost Actuals'!H832)</f>
        <v>30.40736543394544</v>
      </c>
      <c r="E20" s="684">
        <f>IF(E$4="forecast",E$8*'Direct People Department Costs'!$H$9,'Dept. Cost Actuals'!I832)</f>
        <v>18.87418962663353</v>
      </c>
      <c r="F20" s="684">
        <f>IF(F$4="forecast",F$8*'Direct People Department Costs'!$H$9,'Dept. Cost Actuals'!J832)</f>
        <v>2114.6729850632873</v>
      </c>
      <c r="G20" s="684">
        <f>IF(G$4="forecast",G$8*'Direct People Department Costs'!$H$9,'Dept. Cost Actuals'!K832)</f>
        <v>98.806770246524138</v>
      </c>
      <c r="H20" s="684">
        <f>IF(H$4="forecast",H$8*'Direct People Department Costs'!$H$9,'Dept. Cost Actuals'!L832)</f>
        <v>1475.4342405611192</v>
      </c>
      <c r="I20" s="684">
        <f>IF(I$4="forecast",I$8*'Direct People Department Costs'!$H$9,'Dept. Cost Actuals'!M832)</f>
        <v>1249.383214302035</v>
      </c>
      <c r="J20" s="684">
        <f>IF(J$4="forecast",J$8*'Direct People Department Costs'!$H$9,'Dept. Cost Actuals'!N832)</f>
        <v>1569.7922023306055</v>
      </c>
      <c r="K20" s="684">
        <f>IF(K$4="forecast",K$8*'Direct People Department Costs'!$H$9,'Dept. Cost Actuals'!O832)</f>
        <v>9.5096398287221486</v>
      </c>
      <c r="L20" s="684">
        <f>IF(L$4="forecast",L$8*'Direct People Department Costs'!$H$9,'Dept. Cost Actuals'!P832)</f>
        <v>1004.538503482869</v>
      </c>
      <c r="M20" s="684">
        <f>IF(M$4="forecast",M$8*'Direct People Department Costs'!$H$9,'Dept. Cost Actuals'!Q832)</f>
        <v>0</v>
      </c>
      <c r="N20" s="684">
        <f>IF(N$4="forecast",N$8*'Direct People Department Costs'!$H$9,'Dept. Cost Actuals'!R832)</f>
        <v>0</v>
      </c>
      <c r="O20" s="684">
        <f>IF(O$4="forecast",O$8*'Direct People Department Costs'!$H$9,'Dept. Cost Actuals'!S832)</f>
        <v>0</v>
      </c>
      <c r="P20" s="684">
        <f>IF(P$4="forecast",P$8*'Direct People Department Costs'!$H$9,'Dept. Cost Actuals'!T832)</f>
        <v>0</v>
      </c>
      <c r="Q20" s="684">
        <f>IF(Q$4="forecast",Q$8*'Direct People Department Costs'!$H$9,'Dept. Cost Actuals'!U832)</f>
        <v>0</v>
      </c>
      <c r="R20" s="684">
        <f>IF(R$4="forecast",R$8*'Direct People Department Costs'!$H$9,'Dept. Cost Actuals'!V832)</f>
        <v>0</v>
      </c>
      <c r="S20" s="684">
        <f>IF(S$4="forecast",S$8*'Direct People Department Costs'!$H$9,'Dept. Cost Actuals'!W832)</f>
        <v>0</v>
      </c>
      <c r="T20" s="684">
        <f>IF(T$4="forecast",T$8*'Direct People Department Costs'!$H$9,'Dept. Cost Actuals'!X832)</f>
        <v>0</v>
      </c>
      <c r="U20" s="684">
        <f>IF(U$4="forecast",U$8*'Direct People Department Costs'!$H$9,'Dept. Cost Actuals'!Y832)</f>
        <v>0</v>
      </c>
      <c r="V20" s="684">
        <f>IF(V$4="forecast",V$8*'Direct People Department Costs'!$H$9,'Dept. Cost Actuals'!Z832)</f>
        <v>0</v>
      </c>
      <c r="W20" s="684">
        <f>IF(W$4="forecast",W$8*'Direct People Department Costs'!$H$9,'Dept. Cost Actuals'!AA832)</f>
        <v>0</v>
      </c>
      <c r="X20" s="684">
        <f>IF(X$4="forecast",X$8*'Direct People Department Costs'!$H$9,'Dept. Cost Actuals'!AB832)</f>
        <v>0</v>
      </c>
      <c r="Y20" s="684">
        <f>IF(Y$4="forecast",Y$8*'Direct People Department Costs'!$H$9,'Dept. Cost Actuals'!AC832)</f>
        <v>0</v>
      </c>
      <c r="Z20" s="684">
        <f>IF(Z$4="forecast",Z$8*'Direct People Department Costs'!$H$9,'Dept. Cost Actuals'!AD832)</f>
        <v>0</v>
      </c>
      <c r="AA20" s="684">
        <f>IF(AA$4="forecast",AA$8*'Direct People Department Costs'!$H$9,'Dept. Cost Actuals'!AE832)</f>
        <v>0</v>
      </c>
      <c r="AB20" s="684">
        <f>IF(AB$4="forecast",AB$8*'Direct People Department Costs'!$H$9,'Dept. Cost Actuals'!AF832)</f>
        <v>0</v>
      </c>
      <c r="AC20" s="684">
        <f>IF(AC$4="forecast",AC$8*'Direct People Department Costs'!$H$9,'Dept. Cost Actuals'!AG832)</f>
        <v>0</v>
      </c>
      <c r="AD20" s="684">
        <f>IF(AD$4="forecast",AD$8*'Direct People Department Costs'!$H$9,'Dept. Cost Actuals'!AH832)</f>
        <v>0</v>
      </c>
      <c r="AE20" s="684">
        <f>IF(AE$4="forecast",AE$8*'Direct People Department Costs'!$H$9,'Dept. Cost Actuals'!AI832)</f>
        <v>0</v>
      </c>
      <c r="AF20" s="684">
        <f>IF(AF$4="forecast",AF$8*'Direct People Department Costs'!$H$9,'Dept. Cost Actuals'!AJ832)</f>
        <v>0</v>
      </c>
      <c r="AG20" s="684">
        <f>IF(AG$4="forecast",AG$8*'Direct People Department Costs'!$H$9,'Dept. Cost Actuals'!AK832)</f>
        <v>0</v>
      </c>
      <c r="AH20" s="684">
        <f>IF(AH$4="forecast",AH$8*'Direct People Department Costs'!$H$9,'Dept. Cost Actuals'!AL832)</f>
        <v>0</v>
      </c>
      <c r="AI20" s="684">
        <f>IF(AI$4="forecast",AI$8*'Direct People Department Costs'!$H$9,'Dept. Cost Actuals'!AM832)</f>
        <v>0</v>
      </c>
      <c r="AJ20" s="684">
        <f>IF(AJ$4="forecast",AJ$8*'Direct People Department Costs'!$H$9,'Dept. Cost Actuals'!AN832)</f>
        <v>0</v>
      </c>
      <c r="AK20" s="684">
        <f>IF(AK$4="forecast",AK$8*'Direct People Department Costs'!$H$9,'Dept. Cost Actuals'!AO832)</f>
        <v>0</v>
      </c>
      <c r="AL20" s="684">
        <f>IF(AL$4="forecast",AL$8*'Direct People Department Costs'!$H$9,'Dept. Cost Actuals'!AP832)</f>
        <v>0</v>
      </c>
      <c r="AM20" s="684">
        <f>IF(AM$4="forecast",AM$8*'Direct People Department Costs'!$H$9,'Dept. Cost Actuals'!AQ832)</f>
        <v>0</v>
      </c>
      <c r="AN20" s="684">
        <f>IF(AN$4="forecast",AN$8*'Direct People Department Costs'!$H$9,'Dept. Cost Actuals'!AR832)</f>
        <v>0</v>
      </c>
      <c r="AO20" s="684">
        <f>IF(AO$4="forecast",AO$8*'Direct People Department Costs'!$H$9,'Dept. Cost Actuals'!AS832)</f>
        <v>0</v>
      </c>
      <c r="AP20" s="684">
        <f>IF(AP$4="forecast",AP$8*'Direct People Department Costs'!$H$9,'Dept. Cost Actuals'!AT832)</f>
        <v>0</v>
      </c>
      <c r="AQ20" s="684">
        <f>IF(AQ$4="forecast",AQ$8*'Direct People Department Costs'!$H$9,'Dept. Cost Actuals'!AU832)</f>
        <v>0</v>
      </c>
      <c r="AR20" s="684">
        <f>IF(AR$4="forecast",AR$8*'Direct People Department Costs'!$H$9,'Dept. Cost Actuals'!AV832)</f>
        <v>0</v>
      </c>
      <c r="AS20" s="684">
        <f>IF(AS$4="forecast",AS$8*'Direct People Department Costs'!$H$9,'Dept. Cost Actuals'!AW832)</f>
        <v>0</v>
      </c>
      <c r="AT20" s="684">
        <f>IF(AT$4="forecast",AT$8*'Direct People Department Costs'!$H$9,'Dept. Cost Actuals'!AX832)</f>
        <v>0</v>
      </c>
      <c r="AU20" s="684">
        <f>IF(AU$4="forecast",AU$8*'Direct People Department Costs'!$H$9,'Dept. Cost Actuals'!AY832)</f>
        <v>0</v>
      </c>
      <c r="AV20" s="684">
        <f>IF(AV$4="forecast",AV$8*'Direct People Department Costs'!$H$9,'Dept. Cost Actuals'!AZ832)</f>
        <v>0</v>
      </c>
      <c r="AW20" s="684">
        <f>IF(AW$4="forecast",AW$8*'Direct People Department Costs'!$H$9,'Dept. Cost Actuals'!BA832)</f>
        <v>0</v>
      </c>
      <c r="AX20" s="684">
        <f>IF(AX$4="forecast",AX$8*'Direct People Department Costs'!$H$9,'Dept. Cost Actuals'!BB832)</f>
        <v>0</v>
      </c>
      <c r="AY20" s="684">
        <f>IF(AY$4="forecast",AY$8*'Direct People Department Costs'!$H$9,'Dept. Cost Actuals'!BC832)</f>
        <v>0</v>
      </c>
      <c r="AZ20" s="684">
        <f>IF(AZ$4="forecast",AZ$8*'Direct People Department Costs'!$H$9,'Dept. Cost Actuals'!BD832)</f>
        <v>0</v>
      </c>
      <c r="BA20" s="684">
        <f>IF(BA$4="forecast",BA$8*'Direct People Department Costs'!$H$9,'Dept. Cost Actuals'!BE832)</f>
        <v>0</v>
      </c>
      <c r="BB20" s="684">
        <f>IF(BB$4="forecast",BB$8*'Direct People Department Costs'!$H$9,'Dept. Cost Actuals'!BF832)</f>
        <v>0</v>
      </c>
      <c r="BC20" s="684">
        <f>IF(BC$4="forecast",BC$8*'Direct People Department Costs'!$H$9,'Dept. Cost Actuals'!BG832)</f>
        <v>0</v>
      </c>
      <c r="BD20" s="684">
        <f>IF(BD$4="forecast",BD$8*'Direct People Department Costs'!$H$9,'Dept. Cost Actuals'!BH832)</f>
        <v>0</v>
      </c>
      <c r="BE20" s="684">
        <f>IF(BE$4="forecast",BE$8*'Direct People Department Costs'!$H$9,'Dept. Cost Actuals'!BI832)</f>
        <v>0</v>
      </c>
      <c r="BF20" s="684">
        <f>IF(BF$4="forecast",BF$8*'Direct People Department Costs'!$H$9,'Dept. Cost Actuals'!BJ832)</f>
        <v>0</v>
      </c>
      <c r="BG20" s="684">
        <f>IF(BG$4="forecast",BG$8*'Direct People Department Costs'!$H$9,'Dept. Cost Actuals'!BK832)</f>
        <v>0</v>
      </c>
      <c r="BH20" s="684">
        <f>IF(BH$4="forecast",BH$8*'Direct People Department Costs'!$H$9,'Dept. Cost Actuals'!BL832)</f>
        <v>0</v>
      </c>
      <c r="BI20" s="684">
        <f>IF(BI$4="forecast",BI$8*'Direct People Department Costs'!$H$9,'Dept. Cost Actuals'!BM832)</f>
        <v>0</v>
      </c>
      <c r="BJ20" s="684">
        <f>IF(BJ$4="forecast",BJ$8*'Direct People Department Costs'!$H$9,'Dept. Cost Actuals'!BN832)</f>
        <v>0</v>
      </c>
      <c r="BK20" s="684">
        <f>IF(BK$4="forecast",BK$8*'Direct People Department Costs'!$H$9,'Dept. Cost Actuals'!BO832)</f>
        <v>0</v>
      </c>
      <c r="BL20" s="684">
        <f>IF(BL$4="forecast",BL$8*'Direct People Department Costs'!$H$9,'Dept. Cost Actuals'!BP832)</f>
        <v>0</v>
      </c>
      <c r="BM20" s="684">
        <f>IF(BM$4="forecast",BM$8*'Direct People Department Costs'!$H$9,'Dept. Cost Actuals'!BQ832)</f>
        <v>0</v>
      </c>
      <c r="BN20" s="684">
        <f>IF(BN$4="forecast",BN$8*'Direct People Department Costs'!$H$9,'Dept. Cost Actuals'!BR832)</f>
        <v>0</v>
      </c>
      <c r="BO20" s="684">
        <f>IF(BO$4="forecast",BO$8*'Direct People Department Costs'!$H$9,'Dept. Cost Actuals'!BS832)</f>
        <v>0</v>
      </c>
      <c r="BP20" s="684">
        <f>IF(BP$4="forecast",BP$8*'Direct People Department Costs'!$H$9,'Dept. Cost Actuals'!BT832)</f>
        <v>0</v>
      </c>
      <c r="BQ20" s="684">
        <f>IF(BQ$4="forecast",BQ$8*'Direct People Department Costs'!$H$9,'Dept. Cost Actuals'!BU832)</f>
        <v>0</v>
      </c>
      <c r="BR20" s="684">
        <f>IF(BR$4="forecast",BR$8*'Direct People Department Costs'!$H$9,'Dept. Cost Actuals'!BV832)</f>
        <v>0</v>
      </c>
      <c r="BS20" s="684">
        <f>IF(BS$4="forecast",BS$8*'Direct People Department Costs'!$H$9,'Dept. Cost Actuals'!BW832)</f>
        <v>0</v>
      </c>
      <c r="BT20" s="684">
        <f>IF(BT$4="forecast",BT$8*'Direct People Department Costs'!$H$9,'Dept. Cost Actuals'!BX832)</f>
        <v>0</v>
      </c>
      <c r="BU20" s="684">
        <f>IF(BU$4="forecast",BU$8*'Direct People Department Costs'!$H$9,'Dept. Cost Actuals'!BY832)</f>
        <v>0</v>
      </c>
      <c r="BV20" s="808">
        <f>IF(BV$4="forecast",BV$8*'Direct People Department Costs'!$H$9,'Dept. Cost Actuals'!BZ832)</f>
        <v>0</v>
      </c>
    </row>
    <row r="21" spans="2:74" x14ac:dyDescent="0.35">
      <c r="B21" s="812" t="s">
        <v>433</v>
      </c>
      <c r="C21" s="684">
        <f>IF(C$4="forecast",(AVERAGE(#REF!)),'Dept. Cost Actuals'!G787)</f>
        <v>74.097352073429349</v>
      </c>
      <c r="D21" s="684">
        <f>IF(D$4="forecast",(AVERAGE(#REF!)),'Dept. Cost Actuals'!H787)</f>
        <v>206.9710936402239</v>
      </c>
      <c r="E21" s="684">
        <f>IF(E$4="forecast",(AVERAGE(#REF!)),'Dept. Cost Actuals'!I787)</f>
        <v>144.46430568156146</v>
      </c>
      <c r="F21" s="684">
        <f>IF(F$4="forecast",(AVERAGE(#REF!)),'Dept. Cost Actuals'!J787)</f>
        <v>320.33566479774646</v>
      </c>
      <c r="G21" s="684">
        <f>IF(G$4="forecast",(AVERAGE(#REF!)),'Dept. Cost Actuals'!K787)</f>
        <v>292.25774929416787</v>
      </c>
      <c r="H21" s="684">
        <f>IF(H$4="forecast",(AVERAGE(#REF!)),'Dept. Cost Actuals'!L787)</f>
        <v>285.00626242712076</v>
      </c>
      <c r="I21" s="684">
        <f>IF(I$4="forecast",(AVERAGE(#REF!)),'Dept. Cost Actuals'!M787)</f>
        <v>93.015406139960859</v>
      </c>
      <c r="J21" s="684">
        <f>IF(J$4="forecast",(AVERAGE(#REF!)),'Dept. Cost Actuals'!N787)</f>
        <v>328.30584745874495</v>
      </c>
      <c r="K21" s="684">
        <f>IF(K$4="forecast",(AVERAGE(#REF!)),'Dept. Cost Actuals'!O787)</f>
        <v>582.30397606951681</v>
      </c>
      <c r="L21" s="684">
        <f>IF(L$4="forecast",(AVERAGE(#REF!)),'Dept. Cost Actuals'!P787)</f>
        <v>514.16438756924765</v>
      </c>
      <c r="M21" s="684">
        <f>IF(M$4="forecast",(AVERAGE(A21:L21)),'Dept. Cost Actuals'!Q787)</f>
        <v>150.8512055419566</v>
      </c>
      <c r="N21" s="684">
        <f>IF(N$4="forecast",(AVERAGE(B21:M21)),'Dept. Cost Actuals'!R787)</f>
        <v>79.734106467475044</v>
      </c>
      <c r="O21" s="684">
        <f>IF(O$4="forecast",(AVERAGE(C21:N21)),'Dept. Cost Actuals'!S787)</f>
        <v>864.12</v>
      </c>
      <c r="P21" s="684">
        <f>IF(P$4="forecast",(AVERAGE(D21:O21)),'Dept. Cost Actuals'!T787)</f>
        <v>0</v>
      </c>
      <c r="Q21" s="684">
        <f>IF(Q$4="forecast",(AVERAGE(E21:P21)),'Dept. Cost Actuals'!U787)</f>
        <v>1785.46</v>
      </c>
      <c r="R21" s="684">
        <f>IF(R$4="forecast",(AVERAGE(F21:Q21)),'Dept. Cost Actuals'!V787)</f>
        <v>183.88</v>
      </c>
      <c r="S21" s="684">
        <f>IF(S$4="forecast",(AVERAGE(G21:R21)),'Dept. Cost Actuals'!W787)</f>
        <v>1777.08</v>
      </c>
      <c r="T21" s="684">
        <f>IF(T$4="forecast",(AVERAGE(H21:S21)),'Dept. Cost Actuals'!X787)</f>
        <v>-889.72</v>
      </c>
      <c r="U21" s="684">
        <f>IF(U$4="forecast",(AVERAGE(I21:T21)),'Dept. Cost Actuals'!Y787)</f>
        <v>13</v>
      </c>
      <c r="V21" s="684">
        <f>IF(V$4="forecast",(AVERAGE(J21:U21)),'Dept. Cost Actuals'!Z787)</f>
        <v>1819.42</v>
      </c>
      <c r="W21" s="684">
        <f>IF(W$4="forecast",(AVERAGE(K21:V21)),'Dept. Cost Actuals'!AA787)</f>
        <v>255.3</v>
      </c>
      <c r="X21" s="684">
        <f>IF(X$4="forecast",(AVERAGE(L21:W21)),'Dept. Cost Actuals'!AB787)</f>
        <v>6401.27</v>
      </c>
      <c r="Y21" s="684">
        <f>IF(Y$4="forecast",(AVERAGE(M21:X21)),'Dept. Cost Actuals'!AC787)</f>
        <v>4130.91</v>
      </c>
      <c r="Z21" s="684">
        <f>IF(Z$4="forecast",(AVERAGE(N21:Y21)),'Dept. Cost Actuals'!AD787)</f>
        <v>1102.92</v>
      </c>
      <c r="AA21" s="684">
        <f>IF(AA$4="forecast",(AVERAGE(O21:Z21)),'Dept. Cost Actuals'!AE787)</f>
        <v>1453.6366666666665</v>
      </c>
      <c r="AB21" s="684">
        <f>IF(AB$4="forecast",(AVERAGE(P21:AA21)),'Dept. Cost Actuals'!AF787)</f>
        <v>1502.7630555555554</v>
      </c>
      <c r="AC21" s="684">
        <f>IF(AC$4="forecast",(AVERAGE(Q21:AB21)),'Dept. Cost Actuals'!AG787)</f>
        <v>1627.993310185185</v>
      </c>
      <c r="AD21" s="684">
        <f>IF(AD$4="forecast",(AVERAGE(R21:AC21)),'Dept. Cost Actuals'!AH787)</f>
        <v>1614.8710860339506</v>
      </c>
      <c r="AE21" s="684">
        <f>IF(AE$4="forecast",(AVERAGE(S21:AD21)),'Dept. Cost Actuals'!AI787)</f>
        <v>1734.1203432034465</v>
      </c>
      <c r="AF21" s="684">
        <f>IF(AF$4="forecast",(AVERAGE(T21:AE21)),'Dept. Cost Actuals'!AJ787)</f>
        <v>1730.5403718037335</v>
      </c>
      <c r="AG21" s="684">
        <f>IF(AG$4="forecast",(AVERAGE(U21:AF21)),'Dept. Cost Actuals'!AK787)</f>
        <v>1948.8954027873781</v>
      </c>
      <c r="AH21" s="684">
        <f>IF(AH$4="forecast",(AVERAGE(V21:AG21)),'Dept. Cost Actuals'!AL787)</f>
        <v>2110.2200196863264</v>
      </c>
      <c r="AI21" s="684">
        <f>IF(AI$4="forecast",(AVERAGE(W21:AH21)),'Dept. Cost Actuals'!AM787)</f>
        <v>2134.453354660187</v>
      </c>
      <c r="AJ21" s="684">
        <f>IF(AJ$4="forecast",(AVERAGE(X21:AI21)),'Dept. Cost Actuals'!AN787)</f>
        <v>2291.0494675485356</v>
      </c>
      <c r="AK21" s="684">
        <f>IF(AK$4="forecast",(AVERAGE(Y21:AJ21)),'Dept. Cost Actuals'!AO787)</f>
        <v>1948.5310898442474</v>
      </c>
      <c r="AL21" s="684">
        <f>IF(AL$4="forecast",(AVERAGE(Z21:AK21)),'Dept. Cost Actuals'!AP787)</f>
        <v>1766.6661806646009</v>
      </c>
      <c r="AM21" s="684">
        <f>IF(AM$4="forecast",(AVERAGE(AA21:AL21)),'Dept. Cost Actuals'!AQ787)</f>
        <v>1821.9783623866513</v>
      </c>
      <c r="AN21" s="684">
        <f>IF(AN$4="forecast",(AVERAGE(AB21:AM21)),'Dept. Cost Actuals'!AR787)</f>
        <v>1852.67350369665</v>
      </c>
      <c r="AO21" s="684">
        <f>IF(AO$4="forecast",(AVERAGE(AC21:AN21)),'Dept. Cost Actuals'!AS787)</f>
        <v>1881.8327077084075</v>
      </c>
      <c r="AP21" s="684">
        <f>IF(AP$4="forecast",(AVERAGE(AD21:AO21)),'Dept. Cost Actuals'!AT787)</f>
        <v>1902.9859908353426</v>
      </c>
      <c r="AQ21" s="684">
        <f>IF(AQ$4="forecast",(AVERAGE(AE21:AP21)),'Dept. Cost Actuals'!AU787)</f>
        <v>1926.9955662354587</v>
      </c>
      <c r="AR21" s="684">
        <f>IF(AR$4="forecast",(AVERAGE(AF21:AQ21)),'Dept. Cost Actuals'!AV787)</f>
        <v>1943.0685014881265</v>
      </c>
      <c r="AS21" s="684">
        <f>IF(AS$4="forecast",(AVERAGE(AG21:AR21)),'Dept. Cost Actuals'!AW787)</f>
        <v>1960.7791789618261</v>
      </c>
      <c r="AT21" s="684">
        <f>IF(AT$4="forecast",(AVERAGE(AH21:AS21)),'Dept. Cost Actuals'!AX787)</f>
        <v>1961.76949364303</v>
      </c>
      <c r="AU21" s="684">
        <f>IF(AU$4="forecast",(AVERAGE(AI21:AT21)),'Dept. Cost Actuals'!AY787)</f>
        <v>1949.3986164727555</v>
      </c>
      <c r="AV21" s="684">
        <f>IF(AV$4="forecast",(AVERAGE(AJ21:AU21)),'Dept. Cost Actuals'!AZ787)</f>
        <v>1933.9773882904692</v>
      </c>
      <c r="AW21" s="684">
        <f>IF(AW$4="forecast",(AVERAGE(AK21:AV21)),'Dept. Cost Actuals'!BA787)</f>
        <v>1904.2213816856308</v>
      </c>
      <c r="AX21" s="684">
        <f>IF(AX$4="forecast",(AVERAGE(AL21:AW21)),'Dept. Cost Actuals'!BB787)</f>
        <v>1900.5289060057457</v>
      </c>
      <c r="AY21" s="684">
        <f>IF(AY$4="forecast",(AVERAGE(AM21:AX21)),'Dept. Cost Actuals'!BC787)</f>
        <v>1911.6841331175081</v>
      </c>
      <c r="AZ21" s="684">
        <f>IF(AZ$4="forecast",(AVERAGE(AN21:AY21)),'Dept. Cost Actuals'!BD787)</f>
        <v>1919.159614011746</v>
      </c>
      <c r="BA21" s="684">
        <f>IF(BA$4="forecast",(AVERAGE(AO21:AZ21)),'Dept. Cost Actuals'!BE787)</f>
        <v>1924.7001232046707</v>
      </c>
      <c r="BB21" s="684">
        <f>IF(BB$4="forecast",(AVERAGE(AP21:BA21)),'Dept. Cost Actuals'!BF787)</f>
        <v>1928.2724078293593</v>
      </c>
      <c r="BC21" s="684">
        <f>IF(BC$4="forecast",(AVERAGE(AQ21:BB21)),'Dept. Cost Actuals'!BG787)</f>
        <v>1930.379609245527</v>
      </c>
      <c r="BD21" s="684">
        <f>IF(BD$4="forecast",(AVERAGE(AR21:BC21)),'Dept. Cost Actuals'!BH787)</f>
        <v>1930.6616128296994</v>
      </c>
      <c r="BE21" s="684">
        <f>IF(BE$4="forecast",(AVERAGE(AS21:BD21)),'Dept. Cost Actuals'!BI787)</f>
        <v>1929.627705441497</v>
      </c>
      <c r="BF21" s="684">
        <f>IF(BF$4="forecast",(AVERAGE(AT21:BE21)),'Dept. Cost Actuals'!BJ787)</f>
        <v>1927.0317493148032</v>
      </c>
      <c r="BG21" s="684">
        <f>IF(BG$4="forecast",(AVERAGE(AU21:BF21)),'Dept. Cost Actuals'!BK787)</f>
        <v>1924.1369372874512</v>
      </c>
      <c r="BH21" s="684">
        <f>IF(BH$4="forecast",(AVERAGE(AV21:BG21)),'Dept. Cost Actuals'!BL787)</f>
        <v>1922.0317973553422</v>
      </c>
      <c r="BI21" s="684">
        <f>IF(BI$4="forecast",(AVERAGE(AW21:BH21)),'Dept. Cost Actuals'!BM787)</f>
        <v>1921.036331444082</v>
      </c>
      <c r="BJ21" s="684">
        <f>IF(BJ$4="forecast",(AVERAGE(AX21:BI21)),'Dept. Cost Actuals'!BN787)</f>
        <v>1922.4375772572857</v>
      </c>
      <c r="BK21" s="684">
        <f>IF(BK$4="forecast",(AVERAGE(AY21:BJ21)),'Dept. Cost Actuals'!BO787)</f>
        <v>1924.2632998615811</v>
      </c>
      <c r="BL21" s="684">
        <f>IF(BL$4="forecast",(AVERAGE(AZ21:BK21)),'Dept. Cost Actuals'!BP787)</f>
        <v>1925.3115637569206</v>
      </c>
      <c r="BM21" s="684">
        <f>IF(BM$4="forecast",(AVERAGE(BA21:BL21)),'Dept. Cost Actuals'!BQ787)</f>
        <v>1925.824226235685</v>
      </c>
      <c r="BN21" s="684">
        <f>IF(BN$4="forecast",(AVERAGE(BB21:BM21)),'Dept. Cost Actuals'!BR787)</f>
        <v>1925.9179014882693</v>
      </c>
      <c r="BO21" s="684">
        <f>IF(BO$4="forecast",(AVERAGE(BC21:BN21)),'Dept. Cost Actuals'!BS787)</f>
        <v>1925.7216926265119</v>
      </c>
      <c r="BP21" s="684">
        <f>IF(BP$4="forecast",(AVERAGE(BD21:BO21)),'Dept. Cost Actuals'!BT787)</f>
        <v>1925.3335329082602</v>
      </c>
      <c r="BQ21" s="684">
        <f>IF(BQ$4="forecast",(AVERAGE(BE21:BP21)),'Dept. Cost Actuals'!BU787)</f>
        <v>1924.8895262481408</v>
      </c>
      <c r="BR21" s="684">
        <f>IF(BR$4="forecast",(AVERAGE(BF21:BQ21)),'Dept. Cost Actuals'!BV787)</f>
        <v>1924.4946779820277</v>
      </c>
      <c r="BS21" s="684">
        <f>IF(BS$4="forecast",(AVERAGE(BG21:BR21)),'Dept. Cost Actuals'!BW787)</f>
        <v>1924.2832553709632</v>
      </c>
      <c r="BT21" s="684">
        <f>IF(BT$4="forecast",(AVERAGE(BH21:BS21)),'Dept. Cost Actuals'!BX787)</f>
        <v>1924.2954485445891</v>
      </c>
      <c r="BU21" s="684">
        <f>IF(BU$4="forecast",(AVERAGE(BI21:BT21)),'Dept. Cost Actuals'!BY787)</f>
        <v>1924.484086143693</v>
      </c>
      <c r="BV21" s="808">
        <f>IF(BV$4="forecast",(AVERAGE(BJ21:BU21)),'Dept. Cost Actuals'!BZ787)</f>
        <v>1924.7713990353275</v>
      </c>
    </row>
    <row r="22" spans="2:74" x14ac:dyDescent="0.35">
      <c r="B22" s="812" t="s">
        <v>942</v>
      </c>
      <c r="C22" s="684">
        <f>IF(C$4="forecast",(AVERAGE(#REF!)),'Dept. Cost Actuals'!G756)</f>
        <v>302.77830672229516</v>
      </c>
      <c r="D22" s="684">
        <f>IF(D$4="forecast",(AVERAGE(#REF!)),'Dept. Cost Actuals'!H756)</f>
        <v>107.12866927662951</v>
      </c>
      <c r="E22" s="684">
        <f>IF(E$4="forecast",(AVERAGE(#REF!)),'Dept. Cost Actuals'!I756)</f>
        <v>115.242027022299</v>
      </c>
      <c r="F22" s="684">
        <f>IF(F$4="forecast",(AVERAGE(#REF!)),'Dept. Cost Actuals'!J756)</f>
        <v>188.05275791701524</v>
      </c>
      <c r="G22" s="684">
        <f>IF(G$4="forecast",(AVERAGE(#REF!)),'Dept. Cost Actuals'!K756)</f>
        <v>258.32489440135402</v>
      </c>
      <c r="H22" s="684">
        <f>IF(H$4="forecast",(AVERAGE(#REF!)),'Dept. Cost Actuals'!L756)</f>
        <v>341.19035999850996</v>
      </c>
      <c r="I22" s="684">
        <f>IF(I$4="forecast",(AVERAGE(#REF!)),'Dept. Cost Actuals'!M756)</f>
        <v>236.31244924632784</v>
      </c>
      <c r="J22" s="684">
        <f>IF(J$4="forecast",(AVERAGE(#REF!)),'Dept. Cost Actuals'!N756)</f>
        <v>180.88595017619494</v>
      </c>
      <c r="K22" s="684">
        <f>IF(K$4="forecast",(AVERAGE(#REF!)),'Dept. Cost Actuals'!O756)</f>
        <v>268.66217237424803</v>
      </c>
      <c r="L22" s="684">
        <f>IF(L$4="forecast",(AVERAGE(#REF!)),'Dept. Cost Actuals'!P756)</f>
        <v>290.95128970301607</v>
      </c>
      <c r="M22" s="684">
        <f>IF(M$4="forecast",(AVERAGE(A22:L22)),'Dept. Cost Actuals'!Q756)</f>
        <v>117.16349856523964</v>
      </c>
      <c r="N22" s="684">
        <f>IF(N$4="forecast",(AVERAGE(B22:M22)),'Dept. Cost Actuals'!R756)</f>
        <v>26.426062591615533</v>
      </c>
      <c r="O22" s="684">
        <f>IF(O$4="forecast",(AVERAGE(C22:N22)),'Dept. Cost Actuals'!S756)</f>
        <v>0</v>
      </c>
      <c r="P22" s="684">
        <f>IF(P$4="forecast",(AVERAGE(D22:O22)),'Dept. Cost Actuals'!T756)</f>
        <v>0</v>
      </c>
      <c r="Q22" s="684">
        <f>IF(Q$4="forecast",(AVERAGE(E22:P22)),'Dept. Cost Actuals'!U756)</f>
        <v>419.38</v>
      </c>
      <c r="R22" s="684">
        <f>IF(R$4="forecast",(AVERAGE(F22:Q22)),'Dept. Cost Actuals'!V756)</f>
        <v>746.4</v>
      </c>
      <c r="S22" s="684">
        <f>IF(S$4="forecast",(AVERAGE(G22:R22)),'Dept. Cost Actuals'!W756)</f>
        <v>226.48</v>
      </c>
      <c r="T22" s="684">
        <f>IF(T$4="forecast",(AVERAGE(H22:S22)),'Dept. Cost Actuals'!X756)</f>
        <v>0</v>
      </c>
      <c r="U22" s="684">
        <f>IF(U$4="forecast",(AVERAGE(I22:T22)),'Dept. Cost Actuals'!Y756)</f>
        <v>0</v>
      </c>
      <c r="V22" s="684">
        <f>IF(V$4="forecast",(AVERAGE(J22:U22)),'Dept. Cost Actuals'!Z756)</f>
        <v>72.69</v>
      </c>
      <c r="W22" s="684">
        <f>IF(W$4="forecast",(AVERAGE(K22:V22)),'Dept. Cost Actuals'!AA756)</f>
        <v>0</v>
      </c>
      <c r="X22" s="684">
        <f>IF(X$4="forecast",(AVERAGE(L22:W22)),'Dept. Cost Actuals'!AB756)</f>
        <v>76.680000000000007</v>
      </c>
      <c r="Y22" s="684">
        <f>IF(Y$4="forecast",(AVERAGE(M22:X22)),'Dept. Cost Actuals'!AC756)</f>
        <v>1447.77</v>
      </c>
      <c r="Z22" s="684">
        <f>IF(Z$4="forecast",(AVERAGE(N22:Y22)),'Dept. Cost Actuals'!AD756)</f>
        <v>0</v>
      </c>
      <c r="AA22" s="684">
        <f>IF(AA$4="forecast",(AVERAGE(O22:Z22)),'Dept. Cost Actuals'!AE756)</f>
        <v>249.11666666666667</v>
      </c>
      <c r="AB22" s="684">
        <f>IF(AB$4="forecast",(AVERAGE(P22:AA22)),'Dept. Cost Actuals'!AF756)</f>
        <v>269.87638888888893</v>
      </c>
      <c r="AC22" s="684">
        <f>IF(AC$4="forecast",(AVERAGE(Q22:AB22)),'Dept. Cost Actuals'!AG756)</f>
        <v>292.36608796296298</v>
      </c>
      <c r="AD22" s="684">
        <f>IF(AD$4="forecast",(AVERAGE(R22:AC22)),'Dept. Cost Actuals'!AH756)</f>
        <v>281.78159529320988</v>
      </c>
      <c r="AE22" s="684">
        <f>IF(AE$4="forecast",(AVERAGE(S22:AD22)),'Dept. Cost Actuals'!AI756)</f>
        <v>243.06339490097739</v>
      </c>
      <c r="AF22" s="684">
        <f>IF(AF$4="forecast",(AVERAGE(T22:AE22)),'Dept. Cost Actuals'!AJ756)</f>
        <v>244.44534447605881</v>
      </c>
      <c r="AG22" s="684">
        <f>IF(AG$4="forecast",(AVERAGE(U22:AF22)),'Dept. Cost Actuals'!AK756)</f>
        <v>264.81578984906372</v>
      </c>
      <c r="AH22" s="684">
        <f>IF(AH$4="forecast",(AVERAGE(V22:AG22)),'Dept. Cost Actuals'!AL756)</f>
        <v>286.88377233648566</v>
      </c>
      <c r="AI22" s="684">
        <f>IF(AI$4="forecast",(AVERAGE(W22:AH22)),'Dept. Cost Actuals'!AM756)</f>
        <v>304.73325336452621</v>
      </c>
      <c r="AJ22" s="684">
        <f>IF(AJ$4="forecast",(AVERAGE(X22:AI22)),'Dept. Cost Actuals'!AN756)</f>
        <v>330.12769114490339</v>
      </c>
      <c r="AK22" s="684">
        <f>IF(AK$4="forecast",(AVERAGE(Y22:AJ22)),'Dept. Cost Actuals'!AO756)</f>
        <v>351.24833207364532</v>
      </c>
      <c r="AL22" s="684">
        <f>IF(AL$4="forecast",(AVERAGE(Z22:AK22)),'Dept. Cost Actuals'!AP756)</f>
        <v>259.87152641311582</v>
      </c>
      <c r="AM22" s="684">
        <f>IF(AM$4="forecast",(AVERAGE(AA22:AL22)),'Dept. Cost Actuals'!AQ756)</f>
        <v>281.52748694754217</v>
      </c>
      <c r="AN22" s="684">
        <f>IF(AN$4="forecast",(AVERAGE(AB22:AM22)),'Dept. Cost Actuals'!AR756)</f>
        <v>284.22838863761501</v>
      </c>
      <c r="AO22" s="684">
        <f>IF(AO$4="forecast",(AVERAGE(AC22:AN22)),'Dept. Cost Actuals'!AS756)</f>
        <v>285.42438861667551</v>
      </c>
      <c r="AP22" s="684">
        <f>IF(AP$4="forecast",(AVERAGE(AD22:AO22)),'Dept. Cost Actuals'!AT756)</f>
        <v>284.84591367115155</v>
      </c>
      <c r="AQ22" s="684">
        <f>IF(AQ$4="forecast",(AVERAGE(AE22:AP22)),'Dept. Cost Actuals'!AU756)</f>
        <v>285.10127353598006</v>
      </c>
      <c r="AR22" s="684">
        <f>IF(AR$4="forecast",(AVERAGE(AF22:AQ22)),'Dept. Cost Actuals'!AV756)</f>
        <v>288.60443008889689</v>
      </c>
      <c r="AS22" s="684">
        <f>IF(AS$4="forecast",(AVERAGE(AG22:AR22)),'Dept. Cost Actuals'!AW756)</f>
        <v>292.28435388996678</v>
      </c>
      <c r="AT22" s="684">
        <f>IF(AT$4="forecast",(AVERAGE(AH22:AS22)),'Dept. Cost Actuals'!AX756)</f>
        <v>294.57340089337544</v>
      </c>
      <c r="AU22" s="684">
        <f>IF(AU$4="forecast",(AVERAGE(AI22:AT22)),'Dept. Cost Actuals'!AY756)</f>
        <v>295.2142032731162</v>
      </c>
      <c r="AV22" s="684">
        <f>IF(AV$4="forecast",(AVERAGE(AJ22:AU22)),'Dept. Cost Actuals'!AZ756)</f>
        <v>294.42094909883207</v>
      </c>
      <c r="AW22" s="684">
        <f>IF(AW$4="forecast",(AVERAGE(AK22:AV22)),'Dept. Cost Actuals'!BA756)</f>
        <v>291.44538726165939</v>
      </c>
      <c r="AX22" s="684">
        <f>IF(AX$4="forecast",(AVERAGE(AL22:AW22)),'Dept. Cost Actuals'!BB756)</f>
        <v>286.46180852732726</v>
      </c>
      <c r="AY22" s="684">
        <f>IF(AY$4="forecast",(AVERAGE(AM22:AX22)),'Dept. Cost Actuals'!BC756)</f>
        <v>288.6776653701782</v>
      </c>
      <c r="AZ22" s="684">
        <f>IF(AZ$4="forecast",(AVERAGE(AN22:AY22)),'Dept. Cost Actuals'!BD756)</f>
        <v>289.27351357206453</v>
      </c>
      <c r="BA22" s="684">
        <f>IF(BA$4="forecast",(AVERAGE(AO22:AZ22)),'Dept. Cost Actuals'!BE756)</f>
        <v>289.69394064993531</v>
      </c>
      <c r="BB22" s="684">
        <f>IF(BB$4="forecast",(AVERAGE(AP22:BA22)),'Dept. Cost Actuals'!BF756)</f>
        <v>290.049736652707</v>
      </c>
      <c r="BC22" s="684">
        <f>IF(BC$4="forecast",(AVERAGE(AQ22:BB22)),'Dept. Cost Actuals'!BG756)</f>
        <v>290.48338856783658</v>
      </c>
      <c r="BD22" s="684">
        <f>IF(BD$4="forecast",(AVERAGE(AR22:BC22)),'Dept. Cost Actuals'!BH756)</f>
        <v>290.93189815382465</v>
      </c>
      <c r="BE22" s="684">
        <f>IF(BE$4="forecast",(AVERAGE(AS22:BD22)),'Dept. Cost Actuals'!BI756)</f>
        <v>291.12585382590197</v>
      </c>
      <c r="BF22" s="684">
        <f>IF(BF$4="forecast",(AVERAGE(AT22:BE22)),'Dept. Cost Actuals'!BJ756)</f>
        <v>291.02931215389657</v>
      </c>
      <c r="BG22" s="684">
        <f>IF(BG$4="forecast",(AVERAGE(AU22:BF22)),'Dept. Cost Actuals'!BK756)</f>
        <v>290.73397142560668</v>
      </c>
      <c r="BH22" s="684">
        <f>IF(BH$4="forecast",(AVERAGE(AV22:BG22)),'Dept. Cost Actuals'!BL756)</f>
        <v>290.36061877164752</v>
      </c>
      <c r="BI22" s="684">
        <f>IF(BI$4="forecast",(AVERAGE(AW22:BH22)),'Dept. Cost Actuals'!BM756)</f>
        <v>290.02225791104883</v>
      </c>
      <c r="BJ22" s="684">
        <f>IF(BJ$4="forecast",(AVERAGE(AX22:BI22)),'Dept. Cost Actuals'!BN756)</f>
        <v>289.90366379849792</v>
      </c>
      <c r="BK22" s="684">
        <f>IF(BK$4="forecast",(AVERAGE(AY22:BJ22)),'Dept. Cost Actuals'!BO756)</f>
        <v>290.19048507109545</v>
      </c>
      <c r="BL22" s="684">
        <f>IF(BL$4="forecast",(AVERAGE(AZ22:BK22)),'Dept. Cost Actuals'!BP756)</f>
        <v>290.31655337950525</v>
      </c>
      <c r="BM22" s="684">
        <f>IF(BM$4="forecast",(AVERAGE(BA22:BL22)),'Dept. Cost Actuals'!BQ756)</f>
        <v>290.4034733634586</v>
      </c>
      <c r="BN22" s="684">
        <f>IF(BN$4="forecast",(AVERAGE(BB22:BM22)),'Dept. Cost Actuals'!BR756)</f>
        <v>290.46260108958558</v>
      </c>
      <c r="BO22" s="684">
        <f>IF(BO$4="forecast",(AVERAGE(BC22:BN22)),'Dept. Cost Actuals'!BS756)</f>
        <v>290.49700645932541</v>
      </c>
      <c r="BP22" s="684">
        <f>IF(BP$4="forecast",(AVERAGE(BD22:BO22)),'Dept. Cost Actuals'!BT756)</f>
        <v>290.49814128361623</v>
      </c>
      <c r="BQ22" s="684">
        <f>IF(BQ$4="forecast",(AVERAGE(BE22:BP22)),'Dept. Cost Actuals'!BU756)</f>
        <v>290.46199487776551</v>
      </c>
      <c r="BR22" s="684">
        <f>IF(BR$4="forecast",(AVERAGE(BF22:BQ22)),'Dept. Cost Actuals'!BV756)</f>
        <v>290.40667329875413</v>
      </c>
      <c r="BS22" s="684">
        <f>IF(BS$4="forecast",(AVERAGE(BG22:BR22)),'Dept. Cost Actuals'!BW756)</f>
        <v>290.35478672749224</v>
      </c>
      <c r="BT22" s="684">
        <f>IF(BT$4="forecast",(AVERAGE(BH22:BS22)),'Dept. Cost Actuals'!BX756)</f>
        <v>290.32318800264943</v>
      </c>
      <c r="BU22" s="684">
        <f>IF(BU$4="forecast",(AVERAGE(BI22:BT22)),'Dept. Cost Actuals'!BY756)</f>
        <v>290.32006877189951</v>
      </c>
      <c r="BV22" s="808">
        <f>IF(BV$4="forecast",(AVERAGE(BJ22:BU22)),'Dept. Cost Actuals'!BZ756)</f>
        <v>290.34488634363709</v>
      </c>
    </row>
    <row r="23" spans="2:74" x14ac:dyDescent="0.35">
      <c r="B23" s="812" t="s">
        <v>1083</v>
      </c>
      <c r="C23" s="684">
        <f>IF(C$4="forecast",(AVERAGE(#REF!)),'Dept. Cost Actuals'!G786)</f>
        <v>115.93994569937874</v>
      </c>
      <c r="D23" s="684">
        <f>IF(D$4="forecast",(AVERAGE(#REF!)),'Dept. Cost Actuals'!H786)</f>
        <v>63.627572209296282</v>
      </c>
      <c r="E23" s="684">
        <f>IF(E$4="forecast",(AVERAGE(#REF!)),'Dept. Cost Actuals'!I786)</f>
        <v>34.369270170445432</v>
      </c>
      <c r="F23" s="684">
        <f>IF(F$4="forecast",(AVERAGE(#REF!)),'Dept. Cost Actuals'!J786)</f>
        <v>14.50807036026627</v>
      </c>
      <c r="G23" s="684">
        <f>IF(G$4="forecast",(AVERAGE(#REF!)),'Dept. Cost Actuals'!K786)</f>
        <v>16.506323467221218</v>
      </c>
      <c r="H23" s="684">
        <f>IF(H$4="forecast",(AVERAGE(#REF!)),'Dept. Cost Actuals'!L786)</f>
        <v>16.239058595169549</v>
      </c>
      <c r="I23" s="684">
        <f>IF(I$4="forecast",(AVERAGE(#REF!)),'Dept. Cost Actuals'!M786)</f>
        <v>64.56527007905207</v>
      </c>
      <c r="J23" s="684">
        <f>IF(J$4="forecast",(AVERAGE(#REF!)),'Dept. Cost Actuals'!N786)</f>
        <v>11.947265871428639</v>
      </c>
      <c r="K23" s="684">
        <f>IF(K$4="forecast",(AVERAGE(#REF!)),'Dept. Cost Actuals'!O786)</f>
        <v>12.251425134531189</v>
      </c>
      <c r="L23" s="684">
        <f>IF(L$4="forecast",(AVERAGE(#REF!)),'Dept. Cost Actuals'!P786)</f>
        <v>8.9378896263488805</v>
      </c>
      <c r="M23" s="684">
        <f>IF(M$4="forecast",(AVERAGE(A23:L23)),'Dept. Cost Actuals'!Q786)</f>
        <v>19.351111960179498</v>
      </c>
      <c r="N23" s="684">
        <f>IF(N$4="forecast",(AVERAGE(B23:M23)),'Dept. Cost Actuals'!R786)</f>
        <v>16.308837050623847</v>
      </c>
      <c r="O23" s="684">
        <f>IF(O$4="forecast",(AVERAGE(C23:N23)),'Dept. Cost Actuals'!S786)</f>
        <v>97.45</v>
      </c>
      <c r="P23" s="684">
        <f>IF(P$4="forecast",(AVERAGE(D23:O23)),'Dept. Cost Actuals'!T786)</f>
        <v>97.55</v>
      </c>
      <c r="Q23" s="684">
        <f>IF(Q$4="forecast",(AVERAGE(E23:P23)),'Dept. Cost Actuals'!U786)</f>
        <v>100.54</v>
      </c>
      <c r="R23" s="684">
        <f>IF(R$4="forecast",(AVERAGE(F23:Q23)),'Dept. Cost Actuals'!V786)</f>
        <v>137.35</v>
      </c>
      <c r="S23" s="684">
        <f>IF(S$4="forecast",(AVERAGE(G23:R23)),'Dept. Cost Actuals'!W786)</f>
        <v>112.87</v>
      </c>
      <c r="T23" s="684">
        <f>IF(T$4="forecast",(AVERAGE(H23:S23)),'Dept. Cost Actuals'!X786)</f>
        <v>0</v>
      </c>
      <c r="U23" s="684">
        <f>IF(U$4="forecast",(AVERAGE(I23:T23)),'Dept. Cost Actuals'!Y786)</f>
        <v>362.79</v>
      </c>
      <c r="V23" s="684">
        <f>IF(V$4="forecast",(AVERAGE(J23:U23)),'Dept. Cost Actuals'!Z786)</f>
        <v>116.12</v>
      </c>
      <c r="W23" s="684">
        <f>IF(W$4="forecast",(AVERAGE(K23:V23)),'Dept. Cost Actuals'!AA786)</f>
        <v>116.12</v>
      </c>
      <c r="X23" s="684">
        <f>IF(X$4="forecast",(AVERAGE(L23:W23)),'Dept. Cost Actuals'!AB786)</f>
        <v>116.07</v>
      </c>
      <c r="Y23" s="684">
        <f>IF(Y$4="forecast",(AVERAGE(M23:X23)),'Dept. Cost Actuals'!AC786)</f>
        <v>281.8</v>
      </c>
      <c r="Z23" s="684">
        <f>IF(Z$4="forecast",(AVERAGE(N23:Y23)),'Dept. Cost Actuals'!AD786)</f>
        <v>114.08</v>
      </c>
      <c r="AA23" s="684">
        <f>IF(AA$4="forecast",(AVERAGE(O23:Z23)),'Dept. Cost Actuals'!AE786)</f>
        <v>137.72833333333332</v>
      </c>
      <c r="AB23" s="684">
        <f>IF(AB$4="forecast",(AVERAGE(P23:AA23)),'Dept. Cost Actuals'!AF786)</f>
        <v>141.08486111111111</v>
      </c>
      <c r="AC23" s="684">
        <f>IF(AC$4="forecast",(AVERAGE(Q23:AB23)),'Dept. Cost Actuals'!AG786)</f>
        <v>144.71276620370369</v>
      </c>
      <c r="AD23" s="684">
        <f>IF(AD$4="forecast",(AVERAGE(R23:AC23)),'Dept. Cost Actuals'!AH786)</f>
        <v>148.39383005401234</v>
      </c>
      <c r="AE23" s="684">
        <f>IF(AE$4="forecast",(AVERAGE(S23:AD23)),'Dept. Cost Actuals'!AI786)</f>
        <v>149.31414922518005</v>
      </c>
      <c r="AF23" s="684">
        <f>IF(AF$4="forecast",(AVERAGE(T23:AE23)),'Dept. Cost Actuals'!AJ786)</f>
        <v>152.35116166061169</v>
      </c>
      <c r="AG23" s="684">
        <f>IF(AG$4="forecast",(AVERAGE(U23:AF23)),'Dept. Cost Actuals'!AK786)</f>
        <v>165.04709179899601</v>
      </c>
      <c r="AH23" s="684">
        <f>IF(AH$4="forecast",(AVERAGE(V23:AG23)),'Dept. Cost Actuals'!AL786)</f>
        <v>148.56851611557903</v>
      </c>
      <c r="AI23" s="684">
        <f>IF(AI$4="forecast",(AVERAGE(W23:AH23)),'Dept. Cost Actuals'!AM786)</f>
        <v>151.27255912521062</v>
      </c>
      <c r="AJ23" s="684">
        <f>IF(AJ$4="forecast",(AVERAGE(X23:AI23)),'Dept. Cost Actuals'!AN786)</f>
        <v>154.20193905231147</v>
      </c>
      <c r="AK23" s="684">
        <f>IF(AK$4="forecast",(AVERAGE(Y23:AJ23)),'Dept. Cost Actuals'!AO786)</f>
        <v>157.37960064000413</v>
      </c>
      <c r="AL23" s="684">
        <f>IF(AL$4="forecast",(AVERAGE(Z23:AK23)),'Dept. Cost Actuals'!AP786)</f>
        <v>147.01123402667113</v>
      </c>
      <c r="AM23" s="684">
        <f>IF(AM$4="forecast",(AVERAGE(AA23:AL23)),'Dept. Cost Actuals'!AQ786)</f>
        <v>149.75550352889374</v>
      </c>
      <c r="AN23" s="684">
        <f>IF(AN$4="forecast",(AVERAGE(AB23:AM23)),'Dept. Cost Actuals'!AR786)</f>
        <v>150.7577677118571</v>
      </c>
      <c r="AO23" s="684">
        <f>IF(AO$4="forecast",(AVERAGE(AC23:AN23)),'Dept. Cost Actuals'!AS786)</f>
        <v>151.56384326191926</v>
      </c>
      <c r="AP23" s="684">
        <f>IF(AP$4="forecast",(AVERAGE(AD23:AO23)),'Dept. Cost Actuals'!AT786)</f>
        <v>152.13476635010389</v>
      </c>
      <c r="AQ23" s="684">
        <f>IF(AQ$4="forecast",(AVERAGE(AE23:AP23)),'Dept. Cost Actuals'!AU786)</f>
        <v>152.44651104144484</v>
      </c>
      <c r="AR23" s="684">
        <f>IF(AR$4="forecast",(AVERAGE(AF23:AQ23)),'Dept. Cost Actuals'!AV786)</f>
        <v>152.70754119280022</v>
      </c>
      <c r="AS23" s="684">
        <f>IF(AS$4="forecast",(AVERAGE(AG23:AR23)),'Dept. Cost Actuals'!AW786)</f>
        <v>152.73723948714928</v>
      </c>
      <c r="AT23" s="684">
        <f>IF(AT$4="forecast",(AVERAGE(AH23:AS23)),'Dept. Cost Actuals'!AX786)</f>
        <v>151.71141846116205</v>
      </c>
      <c r="AU23" s="684">
        <f>IF(AU$4="forecast",(AVERAGE(AI23:AT23)),'Dept. Cost Actuals'!AY786)</f>
        <v>151.97332698996067</v>
      </c>
      <c r="AV23" s="684">
        <f>IF(AV$4="forecast",(AVERAGE(AJ23:AU23)),'Dept. Cost Actuals'!AZ786)</f>
        <v>152.03172431202316</v>
      </c>
      <c r="AW23" s="684">
        <f>IF(AW$4="forecast",(AVERAGE(AK23:AV23)),'Dept. Cost Actuals'!BA786)</f>
        <v>151.85087308366579</v>
      </c>
      <c r="AX23" s="684">
        <f>IF(AX$4="forecast",(AVERAGE(AL23:AW23)),'Dept. Cost Actuals'!BB786)</f>
        <v>151.39014578730428</v>
      </c>
      <c r="AY23" s="684">
        <f>IF(AY$4="forecast",(AVERAGE(AM23:AX23)),'Dept. Cost Actuals'!BC786)</f>
        <v>151.75505510069038</v>
      </c>
      <c r="AZ23" s="684">
        <f>IF(AZ$4="forecast",(AVERAGE(AN23:AY23)),'Dept. Cost Actuals'!BD786)</f>
        <v>151.92168439834012</v>
      </c>
      <c r="BA23" s="684">
        <f>IF(BA$4="forecast",(AVERAGE(AO23:AZ23)),'Dept. Cost Actuals'!BE786)</f>
        <v>152.01867745554702</v>
      </c>
      <c r="BB23" s="684">
        <f>IF(BB$4="forecast",(AVERAGE(AP23:BA23)),'Dept. Cost Actuals'!BF786)</f>
        <v>152.05658030501601</v>
      </c>
      <c r="BC23" s="684">
        <f>IF(BC$4="forecast",(AVERAGE(AQ23:BB23)),'Dept. Cost Actuals'!BG786)</f>
        <v>152.05006480125869</v>
      </c>
      <c r="BD23" s="684">
        <f>IF(BD$4="forecast",(AVERAGE(AR23:BC23)),'Dept. Cost Actuals'!BH786)</f>
        <v>152.01702761457651</v>
      </c>
      <c r="BE23" s="684">
        <f>IF(BE$4="forecast",(AVERAGE(AS23:BD23)),'Dept. Cost Actuals'!BI786)</f>
        <v>151.95948481639118</v>
      </c>
      <c r="BF23" s="684">
        <f>IF(BF$4="forecast",(AVERAGE(AT23:BE23)),'Dept. Cost Actuals'!BJ786)</f>
        <v>151.89467192716131</v>
      </c>
      <c r="BG23" s="684">
        <f>IF(BG$4="forecast",(AVERAGE(AU23:BF23)),'Dept. Cost Actuals'!BK786)</f>
        <v>151.90994304932792</v>
      </c>
      <c r="BH23" s="684">
        <f>IF(BH$4="forecast",(AVERAGE(AV23:BG23)),'Dept. Cost Actuals'!BL786)</f>
        <v>151.90466105427518</v>
      </c>
      <c r="BI23" s="684">
        <f>IF(BI$4="forecast",(AVERAGE(AW23:BH23)),'Dept. Cost Actuals'!BM786)</f>
        <v>151.89407244946287</v>
      </c>
      <c r="BJ23" s="684">
        <f>IF(BJ$4="forecast",(AVERAGE(AX23:BI23)),'Dept. Cost Actuals'!BN786)</f>
        <v>151.89767239661259</v>
      </c>
      <c r="BK23" s="684">
        <f>IF(BK$4="forecast",(AVERAGE(AY23:BJ23)),'Dept. Cost Actuals'!BO786)</f>
        <v>151.93996628072165</v>
      </c>
      <c r="BL23" s="684">
        <f>IF(BL$4="forecast",(AVERAGE(AZ23:BK23)),'Dept. Cost Actuals'!BP786)</f>
        <v>151.95537554572425</v>
      </c>
      <c r="BM23" s="684">
        <f>IF(BM$4="forecast",(AVERAGE(BA23:BL23)),'Dept. Cost Actuals'!BQ786)</f>
        <v>151.95818314133959</v>
      </c>
      <c r="BN23" s="684">
        <f>IF(BN$4="forecast",(AVERAGE(BB23:BM23)),'Dept. Cost Actuals'!BR786)</f>
        <v>151.95314194848896</v>
      </c>
      <c r="BO23" s="684">
        <f>IF(BO$4="forecast",(AVERAGE(BC23:BN23)),'Dept. Cost Actuals'!BS786)</f>
        <v>151.94452208544504</v>
      </c>
      <c r="BP23" s="684">
        <f>IF(BP$4="forecast",(AVERAGE(BD23:BO23)),'Dept. Cost Actuals'!BT786)</f>
        <v>151.93572685912724</v>
      </c>
      <c r="BQ23" s="684">
        <f>IF(BQ$4="forecast",(AVERAGE(BE23:BP23)),'Dept. Cost Actuals'!BU786)</f>
        <v>151.92895179617315</v>
      </c>
      <c r="BR23" s="684">
        <f>IF(BR$4="forecast",(AVERAGE(BF23:BQ23)),'Dept. Cost Actuals'!BV786)</f>
        <v>151.92640737782165</v>
      </c>
      <c r="BS23" s="684">
        <f>IF(BS$4="forecast",(AVERAGE(BG23:BR23)),'Dept. Cost Actuals'!BW786)</f>
        <v>151.92905199871004</v>
      </c>
      <c r="BT23" s="684">
        <f>IF(BT$4="forecast",(AVERAGE(BH23:BS23)),'Dept. Cost Actuals'!BX786)</f>
        <v>151.93064441115854</v>
      </c>
      <c r="BU23" s="684">
        <f>IF(BU$4="forecast",(AVERAGE(BI23:BT23)),'Dept. Cost Actuals'!BY786)</f>
        <v>151.93280969089878</v>
      </c>
      <c r="BV23" s="808">
        <f>IF(BV$4="forecast",(AVERAGE(BJ23:BU23)),'Dept. Cost Actuals'!BZ786)</f>
        <v>151.93603779435179</v>
      </c>
    </row>
    <row r="24" spans="2:74" x14ac:dyDescent="0.35">
      <c r="B24" s="812" t="s">
        <v>943</v>
      </c>
      <c r="C24" s="684">
        <f>IF(C$4="forecast",C$7*'Direct People Department Costs'!$H$13,'Dept. Cost Actuals'!G883)</f>
        <v>0</v>
      </c>
      <c r="D24" s="684">
        <f>IF(D$4="forecast",D$7*'Direct People Department Costs'!$H$13,'Dept. Cost Actuals'!H883)</f>
        <v>0</v>
      </c>
      <c r="E24" s="684">
        <f>IF(E$4="forecast",E$7*'Direct People Department Costs'!$H$13,'Dept. Cost Actuals'!I883)</f>
        <v>0</v>
      </c>
      <c r="F24" s="684">
        <f>IF(F$4="forecast",F$7*'Direct People Department Costs'!$H$13,'Dept. Cost Actuals'!J883)</f>
        <v>0</v>
      </c>
      <c r="G24" s="684">
        <f>IF(G$4="forecast",G$7*'Direct People Department Costs'!$H$13,'Dept. Cost Actuals'!K883)</f>
        <v>0</v>
      </c>
      <c r="H24" s="684">
        <f>IF(H$4="forecast",H$7*'Direct People Department Costs'!$H$13,'Dept. Cost Actuals'!L883)</f>
        <v>0</v>
      </c>
      <c r="I24" s="684">
        <f>IF(I$4="forecast",I$7*'Direct People Department Costs'!$H$13,'Dept. Cost Actuals'!M883)</f>
        <v>0</v>
      </c>
      <c r="J24" s="684">
        <f>IF(J$4="forecast",J$7*'Direct People Department Costs'!$H$13,'Dept. Cost Actuals'!N883)</f>
        <v>0</v>
      </c>
      <c r="K24" s="684">
        <f>IF(K$4="forecast",K$7*'Direct People Department Costs'!$H$13,'Dept. Cost Actuals'!O883)</f>
        <v>0</v>
      </c>
      <c r="L24" s="684">
        <f>IF(L$4="forecast",L$7*'Direct People Department Costs'!$H$13,'Dept. Cost Actuals'!P883)</f>
        <v>0</v>
      </c>
      <c r="M24" s="684">
        <f>IF(M$4="forecast",M$7*'Direct People Department Costs'!$H$13,'Dept. Cost Actuals'!Q883)</f>
        <v>0</v>
      </c>
      <c r="N24" s="684">
        <f>IF(N$4="forecast",N$7*'Direct People Department Costs'!$H$13,'Dept. Cost Actuals'!R883)</f>
        <v>0</v>
      </c>
      <c r="O24" s="684">
        <f>IF(O$4="forecast",O$7*'Direct People Department Costs'!$H$13,'Dept. Cost Actuals'!S883)</f>
        <v>0</v>
      </c>
      <c r="P24" s="684">
        <f>IF(P$4="forecast",P$7*'Direct People Department Costs'!$H$13,'Dept. Cost Actuals'!T883)</f>
        <v>69.91</v>
      </c>
      <c r="Q24" s="684">
        <f>IF(Q$4="forecast",Q$7*'Direct People Department Costs'!$H$13,'Dept. Cost Actuals'!U883)</f>
        <v>209.87</v>
      </c>
      <c r="R24" s="684">
        <f>IF(R$4="forecast",R$7*'Direct People Department Costs'!$H$13,'Dept. Cost Actuals'!V883)</f>
        <v>118.77</v>
      </c>
      <c r="S24" s="684">
        <f>IF(S$4="forecast",S$7*'Direct People Department Costs'!$H$13,'Dept. Cost Actuals'!W883)</f>
        <v>68.989999999999995</v>
      </c>
      <c r="T24" s="684">
        <f>IF(T$4="forecast",T$7*'Direct People Department Costs'!$H$13,'Dept. Cost Actuals'!X883)</f>
        <v>82.48</v>
      </c>
      <c r="U24" s="684">
        <f>IF(U$4="forecast",U$7*'Direct People Department Costs'!$H$13,'Dept. Cost Actuals'!Y883)</f>
        <v>49</v>
      </c>
      <c r="V24" s="684">
        <f>IF(V$4="forecast",V$7*'Direct People Department Costs'!$H$13,'Dept. Cost Actuals'!Z883)</f>
        <v>51.49</v>
      </c>
      <c r="W24" s="684">
        <f>IF(W$4="forecast",W$7*'Direct People Department Costs'!$H$13,'Dept. Cost Actuals'!AA883)</f>
        <v>181.47</v>
      </c>
      <c r="X24" s="684">
        <f>IF(X$4="forecast",X$7*'Direct People Department Costs'!$H$13,'Dept. Cost Actuals'!AB883)</f>
        <v>0</v>
      </c>
      <c r="Y24" s="684">
        <f>IF(Y$4="forecast",Y$7*'Direct People Department Costs'!$H$13,'Dept. Cost Actuals'!AC883)</f>
        <v>418.38</v>
      </c>
      <c r="Z24" s="684">
        <f>IF(Z$4="forecast",Z$7*'Direct People Department Costs'!$H$13,'Dept. Cost Actuals'!AD883)</f>
        <v>1064.27</v>
      </c>
      <c r="AA24" s="684">
        <f>IF(AA$4="forecast",((SUM($O$24:$Z$24)*1.1)/12),'Dept. Cost Actuals'!AE43)</f>
        <v>212.1744166666667</v>
      </c>
      <c r="AB24" s="684">
        <f>IF(AB$4="forecast",((SUM($O$24:$Z$24)*1.1)/12),'Dept. Cost Actuals'!AF43)</f>
        <v>212.1744166666667</v>
      </c>
      <c r="AC24" s="684">
        <f>IF(AC$4="forecast",((SUM($O$24:$Z$24)*1.1)/12),'Dept. Cost Actuals'!AG43)</f>
        <v>212.1744166666667</v>
      </c>
      <c r="AD24" s="684">
        <f>IF(AD$4="forecast",((SUM($O$24:$Z$24)*1.1)/12),'Dept. Cost Actuals'!AH43)</f>
        <v>212.1744166666667</v>
      </c>
      <c r="AE24" s="684">
        <f>IF(AE$4="forecast",((SUM($O$24:$Z$24)*1.1)/12),'Dept. Cost Actuals'!AI43)</f>
        <v>212.1744166666667</v>
      </c>
      <c r="AF24" s="684">
        <f>IF(AF$4="forecast",((SUM($O$24:$Z$24)*1.1)/12),'Dept. Cost Actuals'!AJ43)</f>
        <v>212.1744166666667</v>
      </c>
      <c r="AG24" s="684">
        <f>IF(AG$4="forecast",((SUM($O$24:$Z$24)*1.1)/12),'Dept. Cost Actuals'!AK43)</f>
        <v>212.1744166666667</v>
      </c>
      <c r="AH24" s="684">
        <f>IF(AH$4="forecast",((SUM($O$24:$Z$24)*1.1)/12),'Dept. Cost Actuals'!AL43)</f>
        <v>212.1744166666667</v>
      </c>
      <c r="AI24" s="684">
        <f>IF(AI$4="forecast",((SUM($O$24:$Z$24)*1.1)/12),'Dept. Cost Actuals'!AM43)</f>
        <v>212.1744166666667</v>
      </c>
      <c r="AJ24" s="684">
        <f>IF(AJ$4="forecast",((SUM($O$24:$Z$24)*1.1)/12),'Dept. Cost Actuals'!AN43)</f>
        <v>212.1744166666667</v>
      </c>
      <c r="AK24" s="684">
        <f>IF(AK$4="forecast",((SUM($O$24:$Z$24)*1.1)/12),'Dept. Cost Actuals'!AO43)</f>
        <v>212.1744166666667</v>
      </c>
      <c r="AL24" s="684">
        <f>IF(AL$4="forecast",((SUM($O$24:$Z$24)*1.1)/12),'Dept. Cost Actuals'!AP43)</f>
        <v>212.1744166666667</v>
      </c>
      <c r="AM24" s="684">
        <f>IF(AM$4="forecast",((SUM(AA24:AL24)*1.1)/12),'Dept. Cost Actuals'!AQ43)</f>
        <v>233.39185833333337</v>
      </c>
      <c r="AN24" s="684">
        <f>IF(AN$4="forecast",((SUM(AB24:AM24)*1.1)/12),'Dept. Cost Actuals'!AR43)</f>
        <v>235.33679048611114</v>
      </c>
      <c r="AO24" s="684">
        <f>IF(AO$4="forecast",((SUM(AC24:AN24)*1.1)/12),'Dept. Cost Actuals'!AS43)</f>
        <v>237.46000808622691</v>
      </c>
      <c r="AP24" s="684">
        <f>IF(AP$4="forecast",((SUM(AD24:AO24)*1.1)/12),'Dept. Cost Actuals'!AT43)</f>
        <v>239.77785396635326</v>
      </c>
      <c r="AQ24" s="684">
        <f>IF(AQ$4="forecast",((SUM(AE24:AP24)*1.1)/12),'Dept. Cost Actuals'!AU43)</f>
        <v>242.30816905215787</v>
      </c>
      <c r="AR24" s="684">
        <f>IF(AR$4="forecast",((SUM(AF24:AQ24)*1.1)/12),'Dept. Cost Actuals'!AV43)</f>
        <v>245.07042968749454</v>
      </c>
      <c r="AS24" s="684">
        <f>IF(AS$4="forecast",((SUM(AG24:AR24)*1.1)/12),'Dept. Cost Actuals'!AW43)</f>
        <v>248.08589754773712</v>
      </c>
      <c r="AT24" s="684">
        <f>IF(AT$4="forecast",((SUM(AH24:AS24)*1.1)/12),'Dept. Cost Actuals'!AX43)</f>
        <v>251.37778329516857</v>
      </c>
      <c r="AU24" s="684">
        <f>IF(AU$4="forecast",((SUM(AI24:AT24)*1.1)/12),'Dept. Cost Actuals'!AY43)</f>
        <v>254.97142523611458</v>
      </c>
      <c r="AV24" s="684">
        <f>IF(AV$4="forecast",((SUM(AJ24:AU24)*1.1)/12),'Dept. Cost Actuals'!AZ43)</f>
        <v>258.89448435498065</v>
      </c>
      <c r="AW24" s="684">
        <f>IF(AW$4="forecast",((SUM(AK24:AV24)*1.1)/12),'Dept. Cost Actuals'!BA43)</f>
        <v>263.17715722640941</v>
      </c>
      <c r="AX24" s="684">
        <f>IF(AX$4="forecast",((SUM(AL24:AW24)*1.1)/12),'Dept. Cost Actuals'!BB43)</f>
        <v>267.85240844438579</v>
      </c>
      <c r="AY24" s="684">
        <f>IF(AY$4="forecast",((SUM(AM24:AX24)*1.1)/12),'Dept. Cost Actuals'!BC43)</f>
        <v>272.95622435734339</v>
      </c>
      <c r="AZ24" s="684">
        <f>IF(AZ$4="forecast",((SUM(AN24:AY24)*1.1)/12),'Dept. Cost Actuals'!BD43)</f>
        <v>276.58295790954429</v>
      </c>
      <c r="BA24" s="684">
        <f>IF(BA$4="forecast",((SUM(AO24:AZ24)*1.1)/12),'Dept. Cost Actuals'!BE43)</f>
        <v>280.36385659002565</v>
      </c>
      <c r="BB24" s="684">
        <f>IF(BB$4="forecast",((SUM(AP24:BA24)*1.1)/12),'Dept. Cost Actuals'!BF43)</f>
        <v>284.29670936954057</v>
      </c>
      <c r="BC24" s="684">
        <f>IF(BC$4="forecast",((SUM(AQ24:BB24)*1.1)/12),'Dept. Cost Actuals'!BG43)</f>
        <v>288.3776044481661</v>
      </c>
      <c r="BD24" s="684">
        <f>IF(BD$4="forecast",((SUM(AR24:BC24)*1.1)/12),'Dept. Cost Actuals'!BH43)</f>
        <v>292.60063602613349</v>
      </c>
      <c r="BE24" s="684">
        <f>IF(BE$4="forecast",((SUM(AS24:BD24)*1.1)/12),'Dept. Cost Actuals'!BI43)</f>
        <v>296.9575716071754</v>
      </c>
      <c r="BF24" s="684">
        <f>IF(BF$4="forecast",((SUM(AT24:BE24)*1.1)/12),'Dept. Cost Actuals'!BJ43)</f>
        <v>301.43747506262395</v>
      </c>
      <c r="BG24" s="684">
        <f>IF(BG$4="forecast",((SUM(AU24:BF24)*1.1)/12),'Dept. Cost Actuals'!BK43)</f>
        <v>306.02628014130738</v>
      </c>
      <c r="BH24" s="684">
        <f>IF(BH$4="forecast",((SUM(AV24:BG24)*1.1)/12),'Dept. Cost Actuals'!BL43)</f>
        <v>310.70630850761665</v>
      </c>
      <c r="BI24" s="684">
        <f>IF(BI$4="forecast",((SUM(AW24:BH24)*1.1)/12),'Dept. Cost Actuals'!BM43)</f>
        <v>315.4557257216083</v>
      </c>
      <c r="BJ24" s="684">
        <f>IF(BJ$4="forecast",((SUM(AX24:BI24)*1.1)/12),'Dept. Cost Actuals'!BN43)</f>
        <v>320.2479278336682</v>
      </c>
      <c r="BK24" s="684">
        <f>IF(BK$4="forecast",((SUM(AY24:BJ24)*1.1)/12),'Dept. Cost Actuals'!BO43)</f>
        <v>325.05085044435242</v>
      </c>
      <c r="BL24" s="684">
        <f>IF(BL$4="forecast",((SUM(AZ24:BK24)*1.1)/12),'Dept. Cost Actuals'!BP43)</f>
        <v>329.82619116899491</v>
      </c>
      <c r="BM24" s="684">
        <f>IF(BM$4="forecast",((SUM(BA24:BL24)*1.1)/12),'Dept. Cost Actuals'!BQ43)</f>
        <v>334.70682088444454</v>
      </c>
      <c r="BN24" s="684">
        <f>IF(BN$4="forecast",((SUM(BB24:BM24)*1.1)/12),'Dept. Cost Actuals'!BR43)</f>
        <v>339.68825927809962</v>
      </c>
      <c r="BO24" s="684">
        <f>IF(BO$4="forecast",((SUM(BC24:BN24)*1.1)/12),'Dept. Cost Actuals'!BS43)</f>
        <v>344.76581801971753</v>
      </c>
      <c r="BP24" s="684">
        <f>IF(BP$4="forecast",((SUM(BD24:BO24)*1.1)/12),'Dept. Cost Actuals'!BT43)</f>
        <v>349.93473759710974</v>
      </c>
      <c r="BQ24" s="684">
        <f>IF(BQ$4="forecast",((SUM(BE24:BP24)*1.1)/12),'Dept. Cost Actuals'!BU43)</f>
        <v>355.19036357444924</v>
      </c>
      <c r="BR24" s="684">
        <f>IF(BR$4="forecast",((SUM(BF24:BQ24)*1.1)/12),'Dept. Cost Actuals'!BV43)</f>
        <v>360.52836950478269</v>
      </c>
      <c r="BS24" s="684">
        <f>IF(BS$4="forecast",((SUM(BG24:BR24)*1.1)/12),'Dept. Cost Actuals'!BW43)</f>
        <v>365.94503482864729</v>
      </c>
      <c r="BT24" s="684">
        <f>IF(BT$4="forecast",((SUM(BH24:BS24)*1.1)/12),'Dept. Cost Actuals'!BX43)</f>
        <v>371.4375873416534</v>
      </c>
      <c r="BU24" s="684">
        <f>IF(BU$4="forecast",((SUM(BI24:BT24)*1.1)/12),'Dept. Cost Actuals'!BY43)</f>
        <v>377.00462123477342</v>
      </c>
      <c r="BV24" s="808">
        <f>IF(BV$4="forecast",((SUM(BJ24:BU24)*1.1)/12),'Dept. Cost Actuals'!BZ43)</f>
        <v>382.64660332348018</v>
      </c>
    </row>
    <row r="25" spans="2:74" x14ac:dyDescent="0.35">
      <c r="B25" s="812" t="s">
        <v>1082</v>
      </c>
      <c r="C25" s="684">
        <f>IF(C$4="forecast",(AVERAGE(#REF!)),'Dept. Cost Actuals'!G776)</f>
        <v>0</v>
      </c>
      <c r="D25" s="684">
        <f>IF(D$4="forecast",(AVERAGE(#REF!)),'Dept. Cost Actuals'!H776)</f>
        <v>0</v>
      </c>
      <c r="E25" s="684">
        <f>IF(E$4="forecast",(AVERAGE(#REF!)),'Dept. Cost Actuals'!I776)</f>
        <v>43</v>
      </c>
      <c r="F25" s="684">
        <f>IF(F$4="forecast",(AVERAGE(#REF!)),'Dept. Cost Actuals'!J776)</f>
        <v>0</v>
      </c>
      <c r="G25" s="684">
        <f>IF(G$4="forecast",(AVERAGE(#REF!)),'Dept. Cost Actuals'!K776)</f>
        <v>0</v>
      </c>
      <c r="H25" s="684">
        <f>IF(H$4="forecast",(AVERAGE(#REF!)),'Dept. Cost Actuals'!L776)</f>
        <v>0</v>
      </c>
      <c r="I25" s="684">
        <f>IF(I$4="forecast",(AVERAGE(#REF!)),'Dept. Cost Actuals'!M776)</f>
        <v>0</v>
      </c>
      <c r="J25" s="684">
        <f>IF(J$4="forecast",(AVERAGE(#REF!)),'Dept. Cost Actuals'!N776)</f>
        <v>0</v>
      </c>
      <c r="K25" s="684">
        <f>IF(K$4="forecast",(AVERAGE(#REF!)),'Dept. Cost Actuals'!O776)</f>
        <v>0</v>
      </c>
      <c r="L25" s="684">
        <f>IF(L$4="forecast",(AVERAGE(#REF!)),'Dept. Cost Actuals'!P776)</f>
        <v>0</v>
      </c>
      <c r="M25" s="684">
        <f>IF(M$4="forecast",(AVERAGE(A25:L25)),'Dept. Cost Actuals'!Q776)</f>
        <v>0</v>
      </c>
      <c r="N25" s="684">
        <f>IF(N$4="forecast",(AVERAGE(B25:M25)),'Dept. Cost Actuals'!R776)</f>
        <v>0</v>
      </c>
      <c r="O25" s="684">
        <f>IF(O$4="forecast",(AVERAGE(C25:N25)),'Dept. Cost Actuals'!S776)</f>
        <v>0</v>
      </c>
      <c r="P25" s="684">
        <f>IF(P$4="forecast",(AVERAGE(D25:O25)),'Dept. Cost Actuals'!T776)</f>
        <v>0</v>
      </c>
      <c r="Q25" s="684">
        <f>IF(Q$4="forecast",(AVERAGE(E25:P25)),'Dept. Cost Actuals'!U776)</f>
        <v>0</v>
      </c>
      <c r="R25" s="684">
        <f>IF(R$4="forecast",(AVERAGE(F25:Q25)),'Dept. Cost Actuals'!V776)</f>
        <v>0</v>
      </c>
      <c r="S25" s="684">
        <f>IF(S$4="forecast",(AVERAGE(G25:R25)),'Dept. Cost Actuals'!W776)</f>
        <v>0</v>
      </c>
      <c r="T25" s="684">
        <f>IF(T$4="forecast",(AVERAGE(H25:S25)),'Dept. Cost Actuals'!X776)</f>
        <v>0</v>
      </c>
      <c r="U25" s="684">
        <f>IF(U$4="forecast",(AVERAGE(I25:T25)),'Dept. Cost Actuals'!Y776)</f>
        <v>0</v>
      </c>
      <c r="V25" s="684">
        <f>IF(V$4="forecast",(AVERAGE(J25:U25)),'Dept. Cost Actuals'!Z776)</f>
        <v>0</v>
      </c>
      <c r="W25" s="684">
        <f>IF(W$4="forecast",(AVERAGE(K25:V25)),'Dept. Cost Actuals'!AA776)</f>
        <v>0</v>
      </c>
      <c r="X25" s="684">
        <f>IF(X$4="forecast",(AVERAGE(L25:W25)),'Dept. Cost Actuals'!AB776)</f>
        <v>0</v>
      </c>
      <c r="Y25" s="684">
        <f>IF(Y$4="forecast",(AVERAGE(M25:X25)),'Dept. Cost Actuals'!AC776)</f>
        <v>0</v>
      </c>
      <c r="Z25" s="684">
        <f>IF(Z$4="forecast",(AVERAGE(N25:Y25)),'Dept. Cost Actuals'!AD776)</f>
        <v>0</v>
      </c>
      <c r="AA25" s="684">
        <f>IF(AA$4="forecast",(AVERAGE(O25:Z25)),'Dept. Cost Actuals'!AE776)</f>
        <v>0</v>
      </c>
      <c r="AB25" s="684">
        <f>IF(AB$4="forecast",(AVERAGE(P25:AA25)),'Dept. Cost Actuals'!AF776)</f>
        <v>0</v>
      </c>
      <c r="AC25" s="684">
        <f>IF(AC$4="forecast",(AVERAGE(Q25:AB25)),'Dept. Cost Actuals'!AG776)</f>
        <v>0</v>
      </c>
      <c r="AD25" s="684">
        <f>IF(AD$4="forecast",(AVERAGE(R25:AC25)),'Dept. Cost Actuals'!AH776)</f>
        <v>0</v>
      </c>
      <c r="AE25" s="684">
        <f>IF(AE$4="forecast",(AVERAGE(S25:AD25)),'Dept. Cost Actuals'!AI776)</f>
        <v>0</v>
      </c>
      <c r="AF25" s="684">
        <f>IF(AF$4="forecast",(AVERAGE(T25:AE25)),'Dept. Cost Actuals'!AJ776)</f>
        <v>0</v>
      </c>
      <c r="AG25" s="684">
        <f>IF(AG$4="forecast",(AVERAGE(U25:AF25)),'Dept. Cost Actuals'!AK776)</f>
        <v>0</v>
      </c>
      <c r="AH25" s="684">
        <f>IF(AH$4="forecast",(AVERAGE(V25:AG25)),'Dept. Cost Actuals'!AL776)</f>
        <v>0</v>
      </c>
      <c r="AI25" s="684">
        <f>IF(AI$4="forecast",(AVERAGE(W25:AH25)),'Dept. Cost Actuals'!AM776)</f>
        <v>0</v>
      </c>
      <c r="AJ25" s="684">
        <f>IF(AJ$4="forecast",(AVERAGE(X25:AI25)),'Dept. Cost Actuals'!AN776)</f>
        <v>0</v>
      </c>
      <c r="AK25" s="684">
        <f>IF(AK$4="forecast",(AVERAGE(Y25:AJ25)),'Dept. Cost Actuals'!AO776)</f>
        <v>0</v>
      </c>
      <c r="AL25" s="684">
        <f>IF(AL$4="forecast",(AVERAGE(Z25:AK25)),'Dept. Cost Actuals'!AP776)</f>
        <v>0</v>
      </c>
      <c r="AM25" s="684">
        <f>IF(AM$4="forecast",(AVERAGE(AA25:AL25)),'Dept. Cost Actuals'!AQ776)</f>
        <v>0</v>
      </c>
      <c r="AN25" s="684">
        <f>IF(AN$4="forecast",(AVERAGE(AB25:AM25)),'Dept. Cost Actuals'!AR776)</f>
        <v>0</v>
      </c>
      <c r="AO25" s="684">
        <f>IF(AO$4="forecast",(AVERAGE(AC25:AN25)),'Dept. Cost Actuals'!AS776)</f>
        <v>0</v>
      </c>
      <c r="AP25" s="684">
        <f>IF(AP$4="forecast",(AVERAGE(AD25:AO25)),'Dept. Cost Actuals'!AT776)</f>
        <v>0</v>
      </c>
      <c r="AQ25" s="684">
        <f>IF(AQ$4="forecast",(AVERAGE(AE25:AP25)),'Dept. Cost Actuals'!AU776)</f>
        <v>0</v>
      </c>
      <c r="AR25" s="684">
        <f>IF(AR$4="forecast",(AVERAGE(AF25:AQ25)),'Dept. Cost Actuals'!AV776)</f>
        <v>0</v>
      </c>
      <c r="AS25" s="684">
        <f>IF(AS$4="forecast",(AVERAGE(AG25:AR25)),'Dept. Cost Actuals'!AW776)</f>
        <v>0</v>
      </c>
      <c r="AT25" s="684">
        <f>IF(AT$4="forecast",(AVERAGE(AH25:AS25)),'Dept. Cost Actuals'!AX776)</f>
        <v>0</v>
      </c>
      <c r="AU25" s="684">
        <f>IF(AU$4="forecast",(AVERAGE(AI25:AT25)),'Dept. Cost Actuals'!AY776)</f>
        <v>0</v>
      </c>
      <c r="AV25" s="684">
        <f>IF(AV$4="forecast",(AVERAGE(AJ25:AU25)),'Dept. Cost Actuals'!AZ776)</f>
        <v>0</v>
      </c>
      <c r="AW25" s="684">
        <f>IF(AW$4="forecast",(AVERAGE(AK25:AV25)),'Dept. Cost Actuals'!BA776)</f>
        <v>0</v>
      </c>
      <c r="AX25" s="684">
        <f>IF(AX$4="forecast",(AVERAGE(AL25:AW25)),'Dept. Cost Actuals'!BB776)</f>
        <v>0</v>
      </c>
      <c r="AY25" s="684">
        <f>IF(AY$4="forecast",(AVERAGE(AM25:AX25)),'Dept. Cost Actuals'!BC776)</f>
        <v>0</v>
      </c>
      <c r="AZ25" s="684">
        <f>IF(AZ$4="forecast",(AVERAGE(AN25:AY25)),'Dept. Cost Actuals'!BD776)</f>
        <v>0</v>
      </c>
      <c r="BA25" s="684">
        <f>IF(BA$4="forecast",(AVERAGE(AO25:AZ25)),'Dept. Cost Actuals'!BE776)</f>
        <v>0</v>
      </c>
      <c r="BB25" s="684">
        <f>IF(BB$4="forecast",(AVERAGE(AP25:BA25)),'Dept. Cost Actuals'!BF776)</f>
        <v>0</v>
      </c>
      <c r="BC25" s="684">
        <f>IF(BC$4="forecast",(AVERAGE(AQ25:BB25)),'Dept. Cost Actuals'!BG776)</f>
        <v>0</v>
      </c>
      <c r="BD25" s="684">
        <f>IF(BD$4="forecast",(AVERAGE(AR25:BC25)),'Dept. Cost Actuals'!BH776)</f>
        <v>0</v>
      </c>
      <c r="BE25" s="684">
        <f>IF(BE$4="forecast",(AVERAGE(AS25:BD25)),'Dept. Cost Actuals'!BI776)</f>
        <v>0</v>
      </c>
      <c r="BF25" s="684">
        <f>IF(BF$4="forecast",(AVERAGE(AT25:BE25)),'Dept. Cost Actuals'!BJ776)</f>
        <v>0</v>
      </c>
      <c r="BG25" s="684">
        <f>IF(BG$4="forecast",(AVERAGE(AU25:BF25)),'Dept. Cost Actuals'!BK776)</f>
        <v>0</v>
      </c>
      <c r="BH25" s="684">
        <f>IF(BH$4="forecast",(AVERAGE(AV25:BG25)),'Dept. Cost Actuals'!BL776)</f>
        <v>0</v>
      </c>
      <c r="BI25" s="684">
        <f>IF(BI$4="forecast",(AVERAGE(AW25:BH25)),'Dept. Cost Actuals'!BM776)</f>
        <v>0</v>
      </c>
      <c r="BJ25" s="684">
        <f>IF(BJ$4="forecast",(AVERAGE(AX25:BI25)),'Dept. Cost Actuals'!BN776)</f>
        <v>0</v>
      </c>
      <c r="BK25" s="684">
        <f>IF(BK$4="forecast",(AVERAGE(AY25:BJ25)),'Dept. Cost Actuals'!BO776)</f>
        <v>0</v>
      </c>
      <c r="BL25" s="684">
        <f>IF(BL$4="forecast",(AVERAGE(AZ25:BK25)),'Dept. Cost Actuals'!BP776)</f>
        <v>0</v>
      </c>
      <c r="BM25" s="684">
        <f>IF(BM$4="forecast",(AVERAGE(BA25:BL25)),'Dept. Cost Actuals'!BQ776)</f>
        <v>0</v>
      </c>
      <c r="BN25" s="684">
        <f>IF(BN$4="forecast",(AVERAGE(BB25:BM25)),'Dept. Cost Actuals'!BR776)</f>
        <v>0</v>
      </c>
      <c r="BO25" s="684">
        <f>IF(BO$4="forecast",(AVERAGE(BC25:BN25)),'Dept. Cost Actuals'!BS776)</f>
        <v>0</v>
      </c>
      <c r="BP25" s="684">
        <f>IF(BP$4="forecast",(AVERAGE(BD25:BO25)),'Dept. Cost Actuals'!BT776)</f>
        <v>0</v>
      </c>
      <c r="BQ25" s="684">
        <f>IF(BQ$4="forecast",(AVERAGE(BE25:BP25)),'Dept. Cost Actuals'!BU776)</f>
        <v>0</v>
      </c>
      <c r="BR25" s="684">
        <f>IF(BR$4="forecast",(AVERAGE(BF25:BQ25)),'Dept. Cost Actuals'!BV776)</f>
        <v>0</v>
      </c>
      <c r="BS25" s="684">
        <f>IF(BS$4="forecast",(AVERAGE(BG25:BR25)),'Dept. Cost Actuals'!BW776)</f>
        <v>0</v>
      </c>
      <c r="BT25" s="684">
        <f>IF(BT$4="forecast",(AVERAGE(BH25:BS25)),'Dept. Cost Actuals'!BX776)</f>
        <v>0</v>
      </c>
      <c r="BU25" s="684">
        <f>IF(BU$4="forecast",(AVERAGE(BI25:BT25)),'Dept. Cost Actuals'!BY776)</f>
        <v>0</v>
      </c>
      <c r="BV25" s="808">
        <f>IF(BV$4="forecast",(AVERAGE(BJ25:BU25)),'Dept. Cost Actuals'!BZ776)</f>
        <v>0</v>
      </c>
    </row>
    <row r="26" spans="2:74" x14ac:dyDescent="0.35">
      <c r="B26" s="813" t="s">
        <v>944</v>
      </c>
      <c r="C26" s="814">
        <f>SUM(C17:C25,C14)</f>
        <v>22009.511068457221</v>
      </c>
      <c r="D26" s="814">
        <f t="shared" ref="D26:BO26" si="7">SUM(D17:D25,D14)</f>
        <v>20671.98071722778</v>
      </c>
      <c r="E26" s="814">
        <f t="shared" si="7"/>
        <v>20506.52410854588</v>
      </c>
      <c r="F26" s="814">
        <f t="shared" si="7"/>
        <v>25571.408182073734</v>
      </c>
      <c r="G26" s="814">
        <f t="shared" si="7"/>
        <v>23262.296412600932</v>
      </c>
      <c r="H26" s="814">
        <f t="shared" si="7"/>
        <v>33621.909473010768</v>
      </c>
      <c r="I26" s="814">
        <f t="shared" si="7"/>
        <v>22729.360358551679</v>
      </c>
      <c r="J26" s="814">
        <f t="shared" si="7"/>
        <v>27404.944340276626</v>
      </c>
      <c r="K26" s="814">
        <f t="shared" si="7"/>
        <v>23883.268653336396</v>
      </c>
      <c r="L26" s="814">
        <f t="shared" si="7"/>
        <v>28939.096668032176</v>
      </c>
      <c r="M26" s="814">
        <f t="shared" si="7"/>
        <v>54621.463064327123</v>
      </c>
      <c r="N26" s="814">
        <f t="shared" si="7"/>
        <v>52377.323480416671</v>
      </c>
      <c r="O26" s="814">
        <f t="shared" si="7"/>
        <v>46660.73</v>
      </c>
      <c r="P26" s="814">
        <f t="shared" si="7"/>
        <v>33836.129999999997</v>
      </c>
      <c r="Q26" s="814">
        <f t="shared" si="7"/>
        <v>56573.07</v>
      </c>
      <c r="R26" s="814">
        <f t="shared" si="7"/>
        <v>40874.639999999999</v>
      </c>
      <c r="S26" s="814">
        <f t="shared" si="7"/>
        <v>71249.350000000006</v>
      </c>
      <c r="T26" s="814">
        <f t="shared" si="7"/>
        <v>76510.59</v>
      </c>
      <c r="U26" s="814">
        <f t="shared" si="7"/>
        <v>62476.150000000009</v>
      </c>
      <c r="V26" s="814">
        <f t="shared" si="7"/>
        <v>72155.650000000009</v>
      </c>
      <c r="W26" s="814">
        <f t="shared" si="7"/>
        <v>62174.83</v>
      </c>
      <c r="X26" s="814">
        <f t="shared" si="7"/>
        <v>75496.81</v>
      </c>
      <c r="Y26" s="814">
        <f t="shared" si="7"/>
        <v>68007.590000000011</v>
      </c>
      <c r="Z26" s="814">
        <f t="shared" si="7"/>
        <v>127381.47</v>
      </c>
      <c r="AA26" s="814">
        <f t="shared" si="7"/>
        <v>69349.998941666665</v>
      </c>
      <c r="AB26" s="814">
        <f t="shared" si="7"/>
        <v>92605.348247222224</v>
      </c>
      <c r="AC26" s="814">
        <f t="shared" si="7"/>
        <v>92756.696106018528</v>
      </c>
      <c r="AD26" s="814">
        <f t="shared" si="7"/>
        <v>92736.670453047846</v>
      </c>
      <c r="AE26" s="814">
        <f t="shared" si="7"/>
        <v>92818.121828996271</v>
      </c>
      <c r="AF26" s="814">
        <f t="shared" si="7"/>
        <v>92818.960819607077</v>
      </c>
      <c r="AG26" s="814">
        <f t="shared" si="7"/>
        <v>93070.382226102112</v>
      </c>
      <c r="AH26" s="814">
        <f t="shared" si="7"/>
        <v>93237.296249805062</v>
      </c>
      <c r="AI26" s="814">
        <f t="shared" si="7"/>
        <v>93282.083108816601</v>
      </c>
      <c r="AJ26" s="814">
        <f t="shared" si="7"/>
        <v>93467.003039412419</v>
      </c>
      <c r="AK26" s="814">
        <f t="shared" si="7"/>
        <v>93148.782964224563</v>
      </c>
      <c r="AL26" s="814">
        <f t="shared" si="7"/>
        <v>298121.67288277106</v>
      </c>
      <c r="AM26" s="814">
        <f t="shared" si="7"/>
        <v>93607.327888613087</v>
      </c>
      <c r="AN26" s="814">
        <f t="shared" si="7"/>
        <v>114750.3461279489</v>
      </c>
      <c r="AO26" s="814">
        <f t="shared" si="7"/>
        <v>114783.63062508989</v>
      </c>
      <c r="AP26" s="814">
        <f t="shared" si="7"/>
        <v>114807.0942022396</v>
      </c>
      <c r="AQ26" s="814">
        <f t="shared" si="7"/>
        <v>114834.2011972817</v>
      </c>
      <c r="AR26" s="814">
        <f t="shared" si="7"/>
        <v>114856.80057987398</v>
      </c>
      <c r="AS26" s="814">
        <f t="shared" si="7"/>
        <v>114881.23634730333</v>
      </c>
      <c r="AT26" s="814">
        <f t="shared" si="7"/>
        <v>114886.7817737094</v>
      </c>
      <c r="AU26" s="814">
        <f t="shared" si="7"/>
        <v>114878.90724938861</v>
      </c>
      <c r="AV26" s="814">
        <f t="shared" si="7"/>
        <v>114866.67422347296</v>
      </c>
      <c r="AW26" s="814">
        <f t="shared" si="7"/>
        <v>114838.04447667403</v>
      </c>
      <c r="AX26" s="814">
        <f t="shared" si="7"/>
        <v>354176.21794618148</v>
      </c>
      <c r="AY26" s="814">
        <f t="shared" si="7"/>
        <v>121500.91474461238</v>
      </c>
      <c r="AZ26" s="814">
        <f t="shared" si="7"/>
        <v>125138.721353225</v>
      </c>
      <c r="BA26" s="814">
        <f t="shared" si="7"/>
        <v>125148.56018123349</v>
      </c>
      <c r="BB26" s="814">
        <f t="shared" si="7"/>
        <v>125156.45901748993</v>
      </c>
      <c r="BC26" s="814">
        <f t="shared" si="7"/>
        <v>125163.07425039609</v>
      </c>
      <c r="BD26" s="814">
        <f t="shared" si="7"/>
        <v>125167.99475795754</v>
      </c>
      <c r="BE26" s="814">
        <f t="shared" si="7"/>
        <v>125171.45419902427</v>
      </c>
      <c r="BF26" s="814">
        <f t="shared" si="7"/>
        <v>125173.17679179179</v>
      </c>
      <c r="BG26" s="814">
        <f t="shared" si="7"/>
        <v>125174.59071523701</v>
      </c>
      <c r="BH26" s="814">
        <f t="shared" si="7"/>
        <v>125176.78696902219</v>
      </c>
      <c r="BI26" s="814">
        <f t="shared" si="7"/>
        <v>125180.19197085951</v>
      </c>
      <c r="BJ26" s="814">
        <f t="shared" si="7"/>
        <v>371709.18447461934</v>
      </c>
      <c r="BK26" s="814">
        <f t="shared" si="7"/>
        <v>125193.22818499107</v>
      </c>
      <c r="BL26" s="814">
        <f t="shared" si="7"/>
        <v>128969.20510801786</v>
      </c>
      <c r="BM26" s="814">
        <f t="shared" si="7"/>
        <v>128974.68812779164</v>
      </c>
      <c r="BN26" s="814">
        <f t="shared" si="7"/>
        <v>128979.81732797116</v>
      </c>
      <c r="BO26" s="814">
        <f t="shared" si="7"/>
        <v>128984.72446335772</v>
      </c>
      <c r="BP26" s="814">
        <f t="shared" ref="BP26:BV26" si="8">SUM(BP17:BP25,BP14)</f>
        <v>128989.49756281482</v>
      </c>
      <c r="BQ26" s="814">
        <f t="shared" si="8"/>
        <v>128994.26626066325</v>
      </c>
      <c r="BR26" s="814">
        <f t="shared" si="8"/>
        <v>128999.15155233011</v>
      </c>
      <c r="BS26" s="814">
        <f t="shared" si="8"/>
        <v>129004.30755309253</v>
      </c>
      <c r="BT26" s="814">
        <f t="shared" si="8"/>
        <v>129009.78229246677</v>
      </c>
      <c r="BU26" s="814">
        <f t="shared" si="8"/>
        <v>129015.53701000799</v>
      </c>
      <c r="BV26" s="815">
        <f t="shared" si="8"/>
        <v>382940.09582216351</v>
      </c>
    </row>
    <row r="27" spans="2:74" x14ac:dyDescent="0.35">
      <c r="B27" s="800"/>
      <c r="C27" s="157"/>
      <c r="D27" s="157"/>
      <c r="E27" s="157"/>
      <c r="F27" s="157"/>
      <c r="G27" s="157"/>
      <c r="H27" s="157"/>
      <c r="I27" s="157"/>
      <c r="J27" s="157"/>
      <c r="K27" s="157"/>
      <c r="L27" s="157"/>
      <c r="M27" s="157"/>
      <c r="N27" s="157"/>
      <c r="O27" s="157"/>
      <c r="P27" s="157"/>
      <c r="Q27" s="157"/>
      <c r="R27" s="157"/>
      <c r="S27" s="157"/>
      <c r="T27" s="157"/>
      <c r="U27" s="157"/>
      <c r="V27" s="157"/>
      <c r="W27" s="157"/>
      <c r="X27" s="157"/>
      <c r="Y27" s="157"/>
      <c r="Z27" s="157"/>
      <c r="AA27" s="157"/>
      <c r="AB27" s="157"/>
      <c r="AC27" s="157"/>
      <c r="AD27" s="157"/>
      <c r="AE27" s="157"/>
      <c r="AF27" s="157"/>
      <c r="AG27" s="157"/>
      <c r="AH27" s="157"/>
      <c r="AI27" s="157"/>
      <c r="AJ27" s="157"/>
      <c r="AK27" s="157"/>
      <c r="AL27" s="157"/>
      <c r="AM27" s="157"/>
      <c r="AN27" s="157"/>
      <c r="AO27" s="157"/>
      <c r="AP27" s="157"/>
      <c r="AQ27" s="157"/>
      <c r="AR27" s="157"/>
      <c r="AS27" s="157"/>
      <c r="AT27" s="157"/>
      <c r="AU27" s="157"/>
      <c r="AV27" s="157"/>
      <c r="AW27" s="157"/>
      <c r="AX27" s="157"/>
      <c r="AY27" s="157"/>
      <c r="AZ27" s="157"/>
      <c r="BA27" s="157"/>
      <c r="BB27" s="157"/>
      <c r="BC27" s="157"/>
      <c r="BD27" s="157"/>
      <c r="BE27" s="157"/>
      <c r="BF27" s="157"/>
      <c r="BG27" s="157"/>
      <c r="BH27" s="157"/>
      <c r="BI27" s="157"/>
      <c r="BJ27" s="157"/>
      <c r="BK27" s="157"/>
      <c r="BL27" s="157"/>
      <c r="BM27" s="157"/>
      <c r="BN27" s="157"/>
      <c r="BO27" s="157"/>
      <c r="BP27" s="157"/>
      <c r="BQ27" s="157"/>
      <c r="BR27" s="157"/>
      <c r="BS27" s="157"/>
      <c r="BT27" s="157"/>
      <c r="BU27" s="157"/>
      <c r="BV27" s="801"/>
    </row>
    <row r="28" spans="2:74" x14ac:dyDescent="0.35">
      <c r="B28" s="802" t="s">
        <v>945</v>
      </c>
      <c r="C28" s="803"/>
      <c r="D28" s="803"/>
      <c r="E28" s="803"/>
      <c r="F28" s="803"/>
      <c r="G28" s="803"/>
      <c r="H28" s="803"/>
      <c r="I28" s="803"/>
      <c r="J28" s="803"/>
      <c r="K28" s="803"/>
      <c r="L28" s="803"/>
      <c r="M28" s="803"/>
      <c r="N28" s="803"/>
      <c r="O28" s="804"/>
      <c r="P28" s="804"/>
      <c r="Q28" s="804"/>
      <c r="R28" s="804"/>
      <c r="S28" s="804"/>
      <c r="T28" s="804"/>
      <c r="U28" s="804"/>
      <c r="V28" s="804"/>
      <c r="W28" s="804"/>
      <c r="X28" s="804"/>
      <c r="Y28" s="804"/>
      <c r="Z28" s="804"/>
      <c r="AA28" s="804"/>
      <c r="AB28" s="804"/>
      <c r="AC28" s="804"/>
      <c r="AD28" s="804"/>
      <c r="AE28" s="804"/>
      <c r="AF28" s="804"/>
      <c r="AG28" s="804"/>
      <c r="AH28" s="804"/>
      <c r="AI28" s="804"/>
      <c r="AJ28" s="804"/>
      <c r="AK28" s="804"/>
      <c r="AL28" s="804"/>
      <c r="AM28" s="804"/>
      <c r="AN28" s="804"/>
      <c r="AO28" s="804"/>
      <c r="AP28" s="804"/>
      <c r="AQ28" s="804"/>
      <c r="AR28" s="804"/>
      <c r="AS28" s="804"/>
      <c r="AT28" s="804"/>
      <c r="AU28" s="804"/>
      <c r="AV28" s="804"/>
      <c r="AW28" s="804"/>
      <c r="AX28" s="804"/>
      <c r="AY28" s="804"/>
      <c r="AZ28" s="804"/>
      <c r="BA28" s="804"/>
      <c r="BB28" s="804"/>
      <c r="BC28" s="804"/>
      <c r="BD28" s="804"/>
      <c r="BE28" s="804"/>
      <c r="BF28" s="804"/>
      <c r="BG28" s="804"/>
      <c r="BH28" s="804"/>
      <c r="BI28" s="804"/>
      <c r="BJ28" s="804"/>
      <c r="BK28" s="804"/>
      <c r="BL28" s="804"/>
      <c r="BM28" s="804"/>
      <c r="BN28" s="804"/>
      <c r="BO28" s="804"/>
      <c r="BP28" s="804"/>
      <c r="BQ28" s="804"/>
      <c r="BR28" s="804"/>
      <c r="BS28" s="804"/>
      <c r="BT28" s="804"/>
      <c r="BU28" s="804"/>
      <c r="BV28" s="805"/>
    </row>
    <row r="29" spans="2:74" x14ac:dyDescent="0.35">
      <c r="B29" s="811" t="s">
        <v>946</v>
      </c>
      <c r="C29" s="684">
        <f>IF(C$4="forecast",(AVERAGE(#REF!)),'Dept. Cost Actuals'!G771-'Dept. Cost Actuals'!G769)</f>
        <v>1340</v>
      </c>
      <c r="D29" s="684">
        <f>IF(D$4="forecast",(AVERAGE(#REF!)),'Dept. Cost Actuals'!H771-'Dept. Cost Actuals'!H769)</f>
        <v>3012.0155061767273</v>
      </c>
      <c r="E29" s="684">
        <f>IF(E$4="forecast",(AVERAGE(#REF!)),'Dept. Cost Actuals'!I771-'Dept. Cost Actuals'!I769)</f>
        <v>2304</v>
      </c>
      <c r="F29" s="684">
        <f>IF(F$4="forecast",(AVERAGE(#REF!)),'Dept. Cost Actuals'!J771-'Dept. Cost Actuals'!J769)</f>
        <v>3097.5120585789114</v>
      </c>
      <c r="G29" s="684">
        <f>IF(G$4="forecast",(AVERAGE(#REF!)),'Dept. Cost Actuals'!K771-'Dept. Cost Actuals'!K769)</f>
        <v>3096.7068686719704</v>
      </c>
      <c r="H29" s="684">
        <f>IF(H$4="forecast",(AVERAGE(#REF!)),'Dept. Cost Actuals'!L771-'Dept. Cost Actuals'!L769)</f>
        <v>3372.6806247749187</v>
      </c>
      <c r="I29" s="684">
        <f>IF(I$4="forecast",(AVERAGE(#REF!)),'Dept. Cost Actuals'!M771-'Dept. Cost Actuals'!M769)</f>
        <v>3929.6499192621604</v>
      </c>
      <c r="J29" s="684">
        <f>IF(J$4="forecast",(AVERAGE(#REF!)),'Dept. Cost Actuals'!N771-'Dept. Cost Actuals'!N769)</f>
        <v>4690.4005373135196</v>
      </c>
      <c r="K29" s="684">
        <f>IF(K$4="forecast",(AVERAGE(#REF!)),'Dept. Cost Actuals'!O771-'Dept. Cost Actuals'!O769)</f>
        <v>4166.7970472637262</v>
      </c>
      <c r="L29" s="684">
        <f>IF(L$4="forecast",(AVERAGE(#REF!)),'Dept. Cost Actuals'!P771-'Dept. Cost Actuals'!P769)</f>
        <v>4627.4380331497159</v>
      </c>
      <c r="M29" s="684">
        <f>IF(M$4="forecast",(AVERAGE(A29:L29)),'Dept. Cost Actuals'!Q771-'Dept. Cost Actuals'!Q769)</f>
        <v>5233.3314304922224</v>
      </c>
      <c r="N29" s="684">
        <f>IF(N$4="forecast",(AVERAGE(B29:M29)),'Dept. Cost Actuals'!R771-'Dept. Cost Actuals'!R769)</f>
        <v>5023.6787895708676</v>
      </c>
      <c r="O29" s="684">
        <f>IF(O$4="forecast",(AVERAGE(C29:N29)),'Dept. Cost Actuals'!S771-'Dept. Cost Actuals'!S769)</f>
        <v>17399.939999999999</v>
      </c>
      <c r="P29" s="684">
        <f>IF(P$4="forecast",(AVERAGE(D29:O29)),'Dept. Cost Actuals'!T771-'Dept. Cost Actuals'!T769)</f>
        <v>2395</v>
      </c>
      <c r="Q29" s="684">
        <f>IF(Q$4="forecast",(AVERAGE(E29:P29)),'Dept. Cost Actuals'!U771-'Dept. Cost Actuals'!U769)</f>
        <v>17262.650000000001</v>
      </c>
      <c r="R29" s="684">
        <f>IF(R$4="forecast",(AVERAGE(F29:Q29)),'Dept. Cost Actuals'!V771-'Dept. Cost Actuals'!V769)</f>
        <v>21845.95</v>
      </c>
      <c r="S29" s="684">
        <f>IF(S$4="forecast",(AVERAGE(G29:R29)),'Dept. Cost Actuals'!W771-'Dept. Cost Actuals'!W769)</f>
        <v>26398.36</v>
      </c>
      <c r="T29" s="684">
        <f>IF(T$4="forecast",(AVERAGE(H29:S29)),'Dept. Cost Actuals'!X771-'Dept. Cost Actuals'!X769)</f>
        <v>6000</v>
      </c>
      <c r="U29" s="684">
        <f>IF(U$4="forecast",(AVERAGE(I29:T29)),'Dept. Cost Actuals'!Y771-'Dept. Cost Actuals'!Y769)</f>
        <v>46279.96</v>
      </c>
      <c r="V29" s="684">
        <f>IF(V$4="forecast",(AVERAGE(J29:U29)),'Dept. Cost Actuals'!Z771-'Dept. Cost Actuals'!Z769)</f>
        <v>35001.94</v>
      </c>
      <c r="W29" s="684">
        <f>IF(W$4="forecast",(AVERAGE(K29:V29)),'Dept. Cost Actuals'!AA771-'Dept. Cost Actuals'!AA769)</f>
        <v>32803.440000000002</v>
      </c>
      <c r="X29" s="684">
        <f>IF(X$4="forecast",(AVERAGE(L29:W29)),'Dept. Cost Actuals'!AB771-'Dept. Cost Actuals'!AB769)</f>
        <v>33178.54</v>
      </c>
      <c r="Y29" s="684">
        <f>IF(Y$4="forecast",(AVERAGE(M29:X29)),'Dept. Cost Actuals'!AC771-'Dept. Cost Actuals'!AC769)</f>
        <v>32840.21</v>
      </c>
      <c r="Z29" s="684">
        <f>IF(Z$4="forecast",(AVERAGE(N29:Y29)),'Dept. Cost Actuals'!AD771-'Dept. Cost Actuals'!AD769)</f>
        <v>40796.839999999997</v>
      </c>
      <c r="AA29" s="684">
        <f>IF(AA$4="forecast",(AVERAGE(O29:Z29)),'Dept. Cost Actuals'!AE771-'Dept. Cost Actuals'!AE769)</f>
        <v>26016.902499999997</v>
      </c>
      <c r="AB29" s="684">
        <f>IF(AB$4="forecast",(AVERAGE(P29:AA29)),'Dept. Cost Actuals'!AF771-'Dept. Cost Actuals'!AF769)</f>
        <v>26734.982708333333</v>
      </c>
      <c r="AC29" s="684">
        <f>IF(AC$4="forecast",(AVERAGE(Q29:AB29)),'Dept. Cost Actuals'!AG771-'Dept. Cost Actuals'!AG769)</f>
        <v>28763.314600694444</v>
      </c>
      <c r="AD29" s="684">
        <f>IF(AD$4="forecast",(AVERAGE(R29:AC29)),'Dept. Cost Actuals'!AH771-'Dept. Cost Actuals'!AH769)</f>
        <v>29721.703317418982</v>
      </c>
      <c r="AE29" s="684">
        <f>IF(AE$4="forecast",(AVERAGE(S29:AD29)),'Dept. Cost Actuals'!AI771-'Dept. Cost Actuals'!AI769)</f>
        <v>30378.016093870567</v>
      </c>
      <c r="AF29" s="684">
        <f>IF(AF$4="forecast",(AVERAGE(T29:AE29)),'Dept. Cost Actuals'!AJ771-'Dept. Cost Actuals'!AJ769)</f>
        <v>30709.654101693111</v>
      </c>
      <c r="AG29" s="684">
        <f>IF(AG$4="forecast",(AVERAGE(U29:AF29)),'Dept. Cost Actuals'!AK771-'Dept. Cost Actuals'!AK769)</f>
        <v>32768.791943500873</v>
      </c>
      <c r="AH29" s="684">
        <f>IF(AH$4="forecast",(AVERAGE(V29:AG29)),'Dept. Cost Actuals'!AL771-'Dept. Cost Actuals'!AL769)</f>
        <v>31642.861272125941</v>
      </c>
      <c r="AI29" s="684">
        <f>IF(AI$4="forecast",(AVERAGE(W29:AH29)),'Dept. Cost Actuals'!AM771-'Dept. Cost Actuals'!AM769)</f>
        <v>31362.938044803101</v>
      </c>
      <c r="AJ29" s="684">
        <f>IF(AJ$4="forecast",(AVERAGE(X29:AI29)),'Dept. Cost Actuals'!AN771-'Dept. Cost Actuals'!AN769)</f>
        <v>31242.896215203364</v>
      </c>
      <c r="AK29" s="684">
        <f>IF(AK$4="forecast",(AVERAGE(Y29:AJ29)),'Dept. Cost Actuals'!AO771-'Dept. Cost Actuals'!AO769)</f>
        <v>31081.592566470306</v>
      </c>
      <c r="AL29" s="684">
        <f>IF(AL$4="forecast",(AVERAGE(Z29:AK29)),'Dept. Cost Actuals'!AP771-'Dept. Cost Actuals'!AP769)</f>
        <v>30935.041113676169</v>
      </c>
      <c r="AM29" s="684">
        <f>IF(AM$4="forecast",(AVERAGE(AA29:AL29)),'Dept. Cost Actuals'!AQ771-'Dept. Cost Actuals'!AQ769)</f>
        <v>30113.224539815852</v>
      </c>
      <c r="AN29" s="684">
        <f>IF(AN$4="forecast",(AVERAGE(AB29:AM29)),'Dept. Cost Actuals'!AR771-'Dept. Cost Actuals'!AR769)</f>
        <v>30454.584709800503</v>
      </c>
      <c r="AO29" s="684">
        <f>IF(AO$4="forecast",(AVERAGE(AC29:AN29)),'Dept. Cost Actuals'!AS771-'Dept. Cost Actuals'!AS769)</f>
        <v>30764.551543256097</v>
      </c>
      <c r="AP29" s="684">
        <f>IF(AP$4="forecast",(AVERAGE(AD29:AO29)),'Dept. Cost Actuals'!AT771-'Dept. Cost Actuals'!AT769)</f>
        <v>30931.321288469571</v>
      </c>
      <c r="AQ29" s="684">
        <f>IF(AQ$4="forecast",(AVERAGE(AE29:AP29)),'Dept. Cost Actuals'!AU771-'Dept. Cost Actuals'!AU769)</f>
        <v>31032.122786057123</v>
      </c>
      <c r="AR29" s="684">
        <f>IF(AR$4="forecast",(AVERAGE(AF29:AQ29)),'Dept. Cost Actuals'!AV771-'Dept. Cost Actuals'!AV769)</f>
        <v>31086.63167707267</v>
      </c>
      <c r="AS29" s="684">
        <f>IF(AS$4="forecast",(AVERAGE(AG29:AR29)),'Dept. Cost Actuals'!AW771-'Dept. Cost Actuals'!AW769)</f>
        <v>31118.046475020965</v>
      </c>
      <c r="AT29" s="684">
        <f>IF(AT$4="forecast",(AVERAGE(AH29:AS29)),'Dept. Cost Actuals'!AX771-'Dept. Cost Actuals'!AX769)</f>
        <v>30980.484352647636</v>
      </c>
      <c r="AU29" s="684">
        <f>IF(AU$4="forecast",(AVERAGE(AI29:AT29)),'Dept. Cost Actuals'!AY771-'Dept. Cost Actuals'!AY769)</f>
        <v>30925.28627602445</v>
      </c>
      <c r="AV29" s="684">
        <f>IF(AV$4="forecast",(AVERAGE(AJ29:AU29)),'Dept. Cost Actuals'!AZ771-'Dept. Cost Actuals'!AZ769)</f>
        <v>30888.81529529289</v>
      </c>
      <c r="AW29" s="684">
        <f>IF(AW$4="forecast",(AVERAGE(AK29:AV29)),'Dept. Cost Actuals'!BA771-'Dept. Cost Actuals'!BA769)</f>
        <v>30859.308551967017</v>
      </c>
      <c r="AX29" s="684">
        <f>IF(AX$4="forecast",(AVERAGE(AL29:AW29)),'Dept. Cost Actuals'!BB771-'Dept. Cost Actuals'!BB769)</f>
        <v>30840.784884091747</v>
      </c>
      <c r="AY29" s="684">
        <f>IF(AY$4="forecast",(AVERAGE(AM29:AX29)),'Dept. Cost Actuals'!BC771-'Dept. Cost Actuals'!BC769)</f>
        <v>30832.930198293048</v>
      </c>
      <c r="AZ29" s="684">
        <f>IF(AZ$4="forecast",(AVERAGE(AN29:AY29)),'Dept. Cost Actuals'!BD771-'Dept. Cost Actuals'!BD769)</f>
        <v>30892.905669832817</v>
      </c>
      <c r="BA29" s="684">
        <f>IF(BA$4="forecast",(AVERAGE(AO29:AZ29)),'Dept. Cost Actuals'!BE771-'Dept. Cost Actuals'!BE769)</f>
        <v>30929.432416502172</v>
      </c>
      <c r="BB29" s="684">
        <f>IF(BB$4="forecast",(AVERAGE(AP29:BA29)),'Dept. Cost Actuals'!BF771-'Dept. Cost Actuals'!BF769)</f>
        <v>30943.172489272678</v>
      </c>
      <c r="BC29" s="684">
        <f>IF(BC$4="forecast",(AVERAGE(AQ29:BB29)),'Dept. Cost Actuals'!BG771-'Dept. Cost Actuals'!BG769)</f>
        <v>30944.160089339599</v>
      </c>
      <c r="BD29" s="684">
        <f>IF(BD$4="forecast",(AVERAGE(AR29:BC29)),'Dept. Cost Actuals'!BH771-'Dept. Cost Actuals'!BH769)</f>
        <v>30936.829864613141</v>
      </c>
      <c r="BE29" s="684">
        <f>IF(BE$4="forecast",(AVERAGE(AS29:BD29)),'Dept. Cost Actuals'!BI771-'Dept. Cost Actuals'!BI769)</f>
        <v>30924.34638024151</v>
      </c>
      <c r="BF29" s="684">
        <f>IF(BF$4="forecast",(AVERAGE(AT29:BE29)),'Dept. Cost Actuals'!BJ771-'Dept. Cost Actuals'!BJ769)</f>
        <v>30908.204705676555</v>
      </c>
      <c r="BG29" s="684">
        <f>IF(BG$4="forecast",(AVERAGE(AU29:BF29)),'Dept. Cost Actuals'!BK771-'Dept. Cost Actuals'!BK769)</f>
        <v>30902.181401762296</v>
      </c>
      <c r="BH29" s="684">
        <f>IF(BH$4="forecast",(AVERAGE(AV29:BG29)),'Dept. Cost Actuals'!BL771-'Dept. Cost Actuals'!BL769)</f>
        <v>30900.255995573785</v>
      </c>
      <c r="BI29" s="684">
        <f>IF(BI$4="forecast",(AVERAGE(AW29:BH29)),'Dept. Cost Actuals'!BM771-'Dept. Cost Actuals'!BM769)</f>
        <v>30901.209387263862</v>
      </c>
      <c r="BJ29" s="684">
        <f>IF(BJ$4="forecast",(AVERAGE(AX29:BI29)),'Dept. Cost Actuals'!BN771-'Dept. Cost Actuals'!BN769)</f>
        <v>30904.701123538598</v>
      </c>
      <c r="BK29" s="684">
        <f>IF(BK$4="forecast",(AVERAGE(AY29:BJ29)),'Dept. Cost Actuals'!BO771-'Dept. Cost Actuals'!BO769)</f>
        <v>30910.027476825839</v>
      </c>
      <c r="BL29" s="684">
        <f>IF(BL$4="forecast",(AVERAGE(AZ29:BK29)),'Dept. Cost Actuals'!BP771-'Dept. Cost Actuals'!BP769)</f>
        <v>30916.452250036906</v>
      </c>
      <c r="BM29" s="684">
        <f>IF(BM$4="forecast",(AVERAGE(BA29:BL29)),'Dept. Cost Actuals'!BQ771-'Dept. Cost Actuals'!BQ769)</f>
        <v>30918.414465053909</v>
      </c>
      <c r="BN29" s="684">
        <f>IF(BN$4="forecast",(AVERAGE(BB29:BM29)),'Dept. Cost Actuals'!BR771-'Dept. Cost Actuals'!BR769)</f>
        <v>30917.496302433225</v>
      </c>
      <c r="BO29" s="684">
        <f>IF(BO$4="forecast",(AVERAGE(BC29:BN29)),'Dept. Cost Actuals'!BS771-'Dept. Cost Actuals'!BS769)</f>
        <v>30915.356620196602</v>
      </c>
      <c r="BP29" s="684">
        <f>IF(BP$4="forecast",(AVERAGE(BD29:BO29)),'Dept. Cost Actuals'!BT771-'Dept. Cost Actuals'!BT769)</f>
        <v>30912.956331101352</v>
      </c>
      <c r="BQ29" s="684">
        <f>IF(BQ$4="forecast",(AVERAGE(BE29:BP29)),'Dept. Cost Actuals'!BU771-'Dept. Cost Actuals'!BU769)</f>
        <v>30910.966869975371</v>
      </c>
      <c r="BR29" s="684">
        <f>IF(BR$4="forecast",(AVERAGE(BF29:BQ29)),'Dept. Cost Actuals'!BV771-'Dept. Cost Actuals'!BV769)</f>
        <v>30909.851910786525</v>
      </c>
      <c r="BS29" s="684">
        <f>IF(BS$4="forecast",(AVERAGE(BG29:BR29)),'Dept. Cost Actuals'!BW771-'Dept. Cost Actuals'!BW769)</f>
        <v>30909.989177879022</v>
      </c>
      <c r="BT29" s="684">
        <f>IF(BT$4="forecast",(AVERAGE(BH29:BS29)),'Dept. Cost Actuals'!BX771-'Dept. Cost Actuals'!BX769)</f>
        <v>30910.639825888749</v>
      </c>
      <c r="BU29" s="684">
        <f>IF(BU$4="forecast",(AVERAGE(BI29:BT29)),'Dept. Cost Actuals'!BY771-'Dept. Cost Actuals'!BY769)</f>
        <v>30911.505145081665</v>
      </c>
      <c r="BV29" s="808">
        <f>IF(BV$4="forecast",(AVERAGE(BJ29:BU29)),'Dept. Cost Actuals'!BZ771-'Dept. Cost Actuals'!BZ769)</f>
        <v>30912.363124899814</v>
      </c>
    </row>
    <row r="30" spans="2:74" x14ac:dyDescent="0.35">
      <c r="B30" s="812" t="s">
        <v>926</v>
      </c>
      <c r="C30" s="684">
        <f>IF(C$4="forecast",AVERAGE(#REF!),'Dept. Cost Actuals'!G720+'Dept. Cost Actuals'!G680)</f>
        <v>0</v>
      </c>
      <c r="D30" s="684">
        <f>IF(D$4="forecast",AVERAGE(#REF!),'Dept. Cost Actuals'!H720+'Dept. Cost Actuals'!H680)</f>
        <v>0</v>
      </c>
      <c r="E30" s="684">
        <f>IF(E$4="forecast",AVERAGE(#REF!),'Dept. Cost Actuals'!I720+'Dept. Cost Actuals'!I680)</f>
        <v>0</v>
      </c>
      <c r="F30" s="684">
        <f>IF(F$4="forecast",AVERAGE(#REF!),'Dept. Cost Actuals'!J720+'Dept. Cost Actuals'!J680)</f>
        <v>0</v>
      </c>
      <c r="G30" s="684">
        <f>IF(G$4="forecast",AVERAGE(#REF!),'Dept. Cost Actuals'!K720+'Dept. Cost Actuals'!K680)</f>
        <v>0</v>
      </c>
      <c r="H30" s="684">
        <f>IF(H$4="forecast",AVERAGE(#REF!),'Dept. Cost Actuals'!L720+'Dept. Cost Actuals'!L680)</f>
        <v>0</v>
      </c>
      <c r="I30" s="684">
        <f>IF(I$4="forecast",AVERAGE(#REF!),'Dept. Cost Actuals'!M720+'Dept. Cost Actuals'!M680)</f>
        <v>71.939264650107916</v>
      </c>
      <c r="J30" s="684">
        <f>IF(J$4="forecast",AVERAGE(#REF!),'Dept. Cost Actuals'!N720+'Dept. Cost Actuals'!N680)</f>
        <v>0</v>
      </c>
      <c r="K30" s="684">
        <f>IF(K$4="forecast",AVERAGE(#REF!),'Dept. Cost Actuals'!O720+'Dept. Cost Actuals'!O680)</f>
        <v>49.490709491137906</v>
      </c>
      <c r="L30" s="684">
        <f>IF(L$4="forecast",AVERAGE(#REF!),'Dept. Cost Actuals'!P720+'Dept. Cost Actuals'!P680)</f>
        <v>52.28431288621605</v>
      </c>
      <c r="M30" s="684">
        <f>IF(M$4="forecast",AVERAGE(A30:L30),'Dept. Cost Actuals'!Q720+'Dept. Cost Actuals'!Q680)</f>
        <v>0</v>
      </c>
      <c r="N30" s="684">
        <f>IF(N$4="forecast",AVERAGE(B30:M30),'Dept. Cost Actuals'!R720+'Dept. Cost Actuals'!R680)</f>
        <v>0</v>
      </c>
      <c r="O30" s="684">
        <f>IF(O$4="forecast",AVERAGE(C30:N30),'Dept. Cost Actuals'!S720+'Dept. Cost Actuals'!S680)</f>
        <v>0</v>
      </c>
      <c r="P30" s="684">
        <f>IF(P$4="forecast",AVERAGE(D30:O30),'Dept. Cost Actuals'!T720+'Dept. Cost Actuals'!T680)</f>
        <v>0</v>
      </c>
      <c r="Q30" s="684">
        <f>IF(Q$4="forecast",AVERAGE(E30:P30),'Dept. Cost Actuals'!U720+'Dept. Cost Actuals'!U680)</f>
        <v>0</v>
      </c>
      <c r="R30" s="684">
        <f>IF(R$4="forecast",AVERAGE(F30:Q30),'Dept. Cost Actuals'!V720+'Dept. Cost Actuals'!V680)</f>
        <v>0</v>
      </c>
      <c r="S30" s="684">
        <f>IF(S$4="forecast",AVERAGE(G30:R30),'Dept. Cost Actuals'!W720+'Dept. Cost Actuals'!W680)</f>
        <v>80.12</v>
      </c>
      <c r="T30" s="684">
        <f>IF(T$4="forecast",AVERAGE(H30:S30),'Dept. Cost Actuals'!X720+'Dept. Cost Actuals'!X680)</f>
        <v>0</v>
      </c>
      <c r="U30" s="684">
        <f>IF(U$4="forecast",AVERAGE(I30:T30),'Dept. Cost Actuals'!Y720+'Dept. Cost Actuals'!Y680)</f>
        <v>0</v>
      </c>
      <c r="V30" s="684">
        <f>IF(V$4="forecast",AVERAGE(J30:U30),'Dept. Cost Actuals'!Z720+'Dept. Cost Actuals'!Z680)</f>
        <v>0</v>
      </c>
      <c r="W30" s="684">
        <f>IF(W$4="forecast",AVERAGE(K30:V30),'Dept. Cost Actuals'!AA720+'Dept. Cost Actuals'!AA680)</f>
        <v>0</v>
      </c>
      <c r="X30" s="684">
        <f>IF(X$4="forecast",AVERAGE(L30:W30),'Dept. Cost Actuals'!AB720+'Dept. Cost Actuals'!AB680)</f>
        <v>0</v>
      </c>
      <c r="Y30" s="684">
        <f>IF(Y$4="forecast",AVERAGE(M30:X30),'Dept. Cost Actuals'!AC720+'Dept. Cost Actuals'!AC680)</f>
        <v>0</v>
      </c>
      <c r="Z30" s="684">
        <f>IF(Z$4="forecast",AVERAGE(N30:Y30),'Dept. Cost Actuals'!AD720+'Dept. Cost Actuals'!AD680)</f>
        <v>0</v>
      </c>
      <c r="AA30" s="684">
        <f>IF(AA$4="forecast",AVERAGE(O30:Z30),'Dept. Cost Actuals'!AE720+'Dept. Cost Actuals'!AE680)</f>
        <v>6.6766666666666667</v>
      </c>
      <c r="AB30" s="684">
        <f>IF(AB$4="forecast",AVERAGE(P30:AA30),'Dept. Cost Actuals'!AF720+'Dept. Cost Actuals'!AF680)</f>
        <v>7.2330555555555556</v>
      </c>
      <c r="AC30" s="684">
        <f>IF(AC$4="forecast",AVERAGE(Q30:AB30),'Dept. Cost Actuals'!AG720+'Dept. Cost Actuals'!AG680)</f>
        <v>7.8358101851851849</v>
      </c>
      <c r="AD30" s="684">
        <f>IF(AD$4="forecast",AVERAGE(R30:AC30),'Dept. Cost Actuals'!AH720+'Dept. Cost Actuals'!AH680)</f>
        <v>8.4887943672839494</v>
      </c>
      <c r="AE30" s="684">
        <f>IF(AE$4="forecast",AVERAGE(S30:AD30),'Dept. Cost Actuals'!AI720+'Dept. Cost Actuals'!AI680)</f>
        <v>9.1961938978909448</v>
      </c>
      <c r="AF30" s="684">
        <f>IF(AF$4="forecast",AVERAGE(T30:AE30),'Dept. Cost Actuals'!AJ720+'Dept. Cost Actuals'!AJ680)</f>
        <v>3.2858767227151913</v>
      </c>
      <c r="AG30" s="684">
        <f>IF(AG$4="forecast",AVERAGE(U30:AF30),'Dept. Cost Actuals'!AK720+'Dept. Cost Actuals'!AK680)</f>
        <v>3.5596997829414576</v>
      </c>
      <c r="AH30" s="684">
        <f>IF(AH$4="forecast",AVERAGE(V30:AG30),'Dept. Cost Actuals'!AL720+'Dept. Cost Actuals'!AL680)</f>
        <v>3.8563414315199123</v>
      </c>
      <c r="AI30" s="684">
        <f>IF(AI$4="forecast",AVERAGE(W30:AH30),'Dept. Cost Actuals'!AM720+'Dept. Cost Actuals'!AM680)</f>
        <v>4.1777032174799054</v>
      </c>
      <c r="AJ30" s="684">
        <f>IF(AJ$4="forecast",AVERAGE(X30:AI30),'Dept. Cost Actuals'!AN720+'Dept. Cost Actuals'!AN680)</f>
        <v>4.5258451522698975</v>
      </c>
      <c r="AK30" s="684">
        <f>IF(AK$4="forecast",AVERAGE(Y30:AJ30),'Dept. Cost Actuals'!AO720+'Dept. Cost Actuals'!AO680)</f>
        <v>4.9029989149590554</v>
      </c>
      <c r="AL30" s="684">
        <f>IF(AL$4="forecast",AVERAGE(Z30:AK30),'Dept. Cost Actuals'!AP720+'Dept. Cost Actuals'!AP680)</f>
        <v>5.3115821578723095</v>
      </c>
      <c r="AM30" s="684">
        <f>IF(AM$4="forecast",AVERAGE(AA30:AL30),'Dept. Cost Actuals'!AQ720+'Dept. Cost Actuals'!AQ680)</f>
        <v>5.7542140043616685</v>
      </c>
      <c r="AN30" s="684">
        <f>IF(AN$4="forecast",AVERAGE(AB30:AM30),'Dept. Cost Actuals'!AR720+'Dept. Cost Actuals'!AR680)</f>
        <v>5.6773429491695859</v>
      </c>
      <c r="AO30" s="684">
        <f>IF(AO$4="forecast",AVERAGE(AC30:AN30),'Dept. Cost Actuals'!AS720+'Dept. Cost Actuals'!AS680)</f>
        <v>5.5477002319707553</v>
      </c>
      <c r="AP30" s="684">
        <f>IF(AP$4="forecast",AVERAGE(AD30:AO30),'Dept. Cost Actuals'!AT720+'Dept. Cost Actuals'!AT680)</f>
        <v>5.3570244025362186</v>
      </c>
      <c r="AQ30" s="684">
        <f>IF(AQ$4="forecast",AVERAGE(AE30:AP30),'Dept. Cost Actuals'!AU720+'Dept. Cost Actuals'!AU680)</f>
        <v>5.0960435721405757</v>
      </c>
      <c r="AR30" s="684">
        <f>IF(AR$4="forecast",AVERAGE(AF30:AQ30),'Dept. Cost Actuals'!AV720+'Dept. Cost Actuals'!AV680)</f>
        <v>4.7543643783280443</v>
      </c>
      <c r="AS30" s="684">
        <f>IF(AS$4="forecast",AVERAGE(AG30:AR30),'Dept. Cost Actuals'!AW720+'Dept. Cost Actuals'!AW680)</f>
        <v>4.8767383496291155</v>
      </c>
      <c r="AT30" s="684">
        <f>IF(AT$4="forecast",AVERAGE(AH30:AS30),'Dept. Cost Actuals'!AX720+'Dept. Cost Actuals'!AX680)</f>
        <v>4.9864915635197535</v>
      </c>
      <c r="AU30" s="684">
        <f>IF(AU$4="forecast",AVERAGE(AI30:AT30),'Dept. Cost Actuals'!AY720+'Dept. Cost Actuals'!AY680)</f>
        <v>5.0806707411864069</v>
      </c>
      <c r="AV30" s="684">
        <f>IF(AV$4="forecast",AVERAGE(AJ30:AU30),'Dept. Cost Actuals'!AZ720+'Dept. Cost Actuals'!AZ680)</f>
        <v>5.1559180348286153</v>
      </c>
      <c r="AW30" s="684">
        <f>IF(AW$4="forecast",AVERAGE(AK30:AV30),'Dept. Cost Actuals'!BA720+'Dept. Cost Actuals'!BA680)</f>
        <v>5.2084241083751754</v>
      </c>
      <c r="AX30" s="684">
        <f>IF(AX$4="forecast",AVERAGE(AL30:AW30),'Dept. Cost Actuals'!BB720+'Dept. Cost Actuals'!BB680)</f>
        <v>5.2338762078265191</v>
      </c>
      <c r="AY30" s="684">
        <f>IF(AY$4="forecast",AVERAGE(AM30:AX30),'Dept. Cost Actuals'!BC720+'Dept. Cost Actuals'!BC680)</f>
        <v>5.22740071198937</v>
      </c>
      <c r="AZ30" s="684">
        <f>IF(AZ$4="forecast",AVERAGE(AN30:AY30),'Dept. Cost Actuals'!BD720+'Dept. Cost Actuals'!BD680)</f>
        <v>5.1834996042916783</v>
      </c>
      <c r="BA30" s="684">
        <f>IF(BA$4="forecast",AVERAGE(AO30:AZ30),'Dept. Cost Actuals'!BE720+'Dept. Cost Actuals'!BE680)</f>
        <v>5.1423459922185186</v>
      </c>
      <c r="BB30" s="684">
        <f>IF(BB$4="forecast",AVERAGE(AP30:BA30),'Dept. Cost Actuals'!BF720+'Dept. Cost Actuals'!BF680)</f>
        <v>5.1085664722391657</v>
      </c>
      <c r="BC30" s="684">
        <f>IF(BC$4="forecast",AVERAGE(AQ30:BB30),'Dept. Cost Actuals'!BG720+'Dept. Cost Actuals'!BG680)</f>
        <v>5.0878616447144109</v>
      </c>
      <c r="BD30" s="684">
        <f>IF(BD$4="forecast",AVERAGE(AR30:BC30),'Dept. Cost Actuals'!BH720+'Dept. Cost Actuals'!BH680)</f>
        <v>5.0871798174288969</v>
      </c>
      <c r="BE30" s="684">
        <f>IF(BE$4="forecast",AVERAGE(AS30:BD30),'Dept. Cost Actuals'!BI720+'Dept. Cost Actuals'!BI680)</f>
        <v>5.1149144373539688</v>
      </c>
      <c r="BF30" s="684">
        <f>IF(BF$4="forecast",AVERAGE(AT30:BE30),'Dept. Cost Actuals'!BJ720+'Dept. Cost Actuals'!BJ680)</f>
        <v>5.1347624446643723</v>
      </c>
      <c r="BG30" s="684">
        <f>IF(BG$4="forecast",AVERAGE(AU30:BF30),'Dept. Cost Actuals'!BK720+'Dept. Cost Actuals'!BK680)</f>
        <v>5.1471183514264256</v>
      </c>
      <c r="BH30" s="684">
        <f>IF(BH$4="forecast",AVERAGE(AV30:BG30),'Dept. Cost Actuals'!BL720+'Dept. Cost Actuals'!BL680)</f>
        <v>5.1526556522797602</v>
      </c>
      <c r="BI30" s="684">
        <f>IF(BI$4="forecast",AVERAGE(AW30:BH30),'Dept. Cost Actuals'!BM720+'Dept. Cost Actuals'!BM680)</f>
        <v>5.1523837870673557</v>
      </c>
      <c r="BJ30" s="684">
        <f>IF(BJ$4="forecast",AVERAGE(AX30:BI30),'Dept. Cost Actuals'!BN720+'Dept. Cost Actuals'!BN680)</f>
        <v>5.1477137602917038</v>
      </c>
      <c r="BK30" s="684">
        <f>IF(BK$4="forecast",AVERAGE(AY30:BJ30),'Dept. Cost Actuals'!BO720+'Dept. Cost Actuals'!BO680)</f>
        <v>5.1405335563304693</v>
      </c>
      <c r="BL30" s="684">
        <f>IF(BL$4="forecast",AVERAGE(AZ30:BK30),'Dept. Cost Actuals'!BP720+'Dept. Cost Actuals'!BP680)</f>
        <v>5.1332946266922272</v>
      </c>
      <c r="BM30" s="684">
        <f>IF(BM$4="forecast",AVERAGE(BA30:BL30),'Dept. Cost Actuals'!BQ720+'Dept. Cost Actuals'!BQ680)</f>
        <v>5.1291108785589392</v>
      </c>
      <c r="BN30" s="684">
        <f>IF(BN$4="forecast",AVERAGE(BB30:BM30),'Dept. Cost Actuals'!BR720+'Dept. Cost Actuals'!BR680)</f>
        <v>5.1280079524206412</v>
      </c>
      <c r="BO30" s="684">
        <f>IF(BO$4="forecast",AVERAGE(BC30:BN30),'Dept. Cost Actuals'!BS720+'Dept. Cost Actuals'!BS680)</f>
        <v>5.1296280757690971</v>
      </c>
      <c r="BP30" s="684">
        <f>IF(BP$4="forecast",AVERAGE(BD30:BO30),'Dept. Cost Actuals'!BT720+'Dept. Cost Actuals'!BT680)</f>
        <v>5.1331086116903206</v>
      </c>
      <c r="BQ30" s="684">
        <f>IF(BQ$4="forecast",AVERAGE(BE30:BP30),'Dept. Cost Actuals'!BU720+'Dept. Cost Actuals'!BU680)</f>
        <v>5.1369360112121063</v>
      </c>
      <c r="BR30" s="684">
        <f>IF(BR$4="forecast",AVERAGE(BF30:BQ30),'Dept. Cost Actuals'!BV720+'Dept. Cost Actuals'!BV680)</f>
        <v>5.1387711423669513</v>
      </c>
      <c r="BS30" s="684">
        <f>IF(BS$4="forecast",AVERAGE(BG30:BR30),'Dept. Cost Actuals'!BW720+'Dept. Cost Actuals'!BW680)</f>
        <v>5.1391052005088325</v>
      </c>
      <c r="BT30" s="684">
        <f>IF(BT$4="forecast",AVERAGE(BH30:BS30),'Dept. Cost Actuals'!BX720+'Dept. Cost Actuals'!BX680)</f>
        <v>5.1384374379323665</v>
      </c>
      <c r="BU30" s="684">
        <f>IF(BU$4="forecast",AVERAGE(BI30:BT30),'Dept. Cost Actuals'!BY720+'Dept. Cost Actuals'!BY680)</f>
        <v>5.1372525867367509</v>
      </c>
      <c r="BV30" s="808">
        <f>IF(BV$4="forecast",AVERAGE(BJ30:BU30),'Dept. Cost Actuals'!BZ720+'Dept. Cost Actuals'!BZ680)</f>
        <v>5.1359916533758669</v>
      </c>
    </row>
    <row r="31" spans="2:74" x14ac:dyDescent="0.35">
      <c r="B31" s="812" t="s">
        <v>947</v>
      </c>
      <c r="C31" s="684">
        <f>IF(C$4="forecast",AVERAGE(#REF!),'Dept. Cost Actuals'!G708)</f>
        <v>0</v>
      </c>
      <c r="D31" s="684">
        <f>IF(D$4="forecast",AVERAGE(#REF!),'Dept. Cost Actuals'!H708)</f>
        <v>8.8334996973265927</v>
      </c>
      <c r="E31" s="684">
        <f>IF(E$4="forecast",AVERAGE(#REF!),'Dept. Cost Actuals'!I708)</f>
        <v>1.6231803078904836</v>
      </c>
      <c r="F31" s="684">
        <f>IF(F$4="forecast",AVERAGE(#REF!),'Dept. Cost Actuals'!J708)</f>
        <v>17.302481279370031</v>
      </c>
      <c r="G31" s="684">
        <f>IF(G$4="forecast",AVERAGE(#REF!),'Dept. Cost Actuals'!K708)</f>
        <v>3.2975361360764506</v>
      </c>
      <c r="H31" s="684">
        <f>IF(H$4="forecast",AVERAGE(#REF!),'Dept. Cost Actuals'!L708)</f>
        <v>27.303806491878245</v>
      </c>
      <c r="I31" s="684">
        <f>IF(I$4="forecast",AVERAGE(#REF!),'Dept. Cost Actuals'!M708)</f>
        <v>0.77826487001260092</v>
      </c>
      <c r="J31" s="684">
        <f>IF(J$4="forecast",AVERAGE(#REF!),'Dept. Cost Actuals'!N708)</f>
        <v>6.5434631486602299</v>
      </c>
      <c r="K31" s="684">
        <f>IF(K$4="forecast",AVERAGE(#REF!),'Dept. Cost Actuals'!O708)</f>
        <v>7.1749156084777184</v>
      </c>
      <c r="L31" s="684">
        <f>IF(L$4="forecast",AVERAGE(#REF!),'Dept. Cost Actuals'!P708)</f>
        <v>41.622404873219068</v>
      </c>
      <c r="M31" s="684">
        <f>IF(M$4="forecast",AVERAGE(A31:L31),'Dept. Cost Actuals'!Q708)</f>
        <v>0</v>
      </c>
      <c r="N31" s="684">
        <f>IF(N$4="forecast",AVERAGE(B31:M31),'Dept. Cost Actuals'!R708)</f>
        <v>0</v>
      </c>
      <c r="O31" s="684">
        <f>IF(O$4="forecast",AVERAGE(C31:N31),'Dept. Cost Actuals'!S708)</f>
        <v>0</v>
      </c>
      <c r="P31" s="684">
        <f>IF(P$4="forecast",AVERAGE(D31:O31),'Dept. Cost Actuals'!T708)</f>
        <v>0</v>
      </c>
      <c r="Q31" s="684">
        <f>IF(Q$4="forecast",AVERAGE(E31:P31),'Dept. Cost Actuals'!U708)</f>
        <v>0</v>
      </c>
      <c r="R31" s="684">
        <f>IF(R$4="forecast",AVERAGE(F31:Q31),'Dept. Cost Actuals'!V708)</f>
        <v>0</v>
      </c>
      <c r="S31" s="684">
        <f>IF(S$4="forecast",AVERAGE(G31:R31),'Dept. Cost Actuals'!W708)</f>
        <v>0</v>
      </c>
      <c r="T31" s="684">
        <f>IF(T$4="forecast",AVERAGE(H31:S31),'Dept. Cost Actuals'!X708)</f>
        <v>25.51</v>
      </c>
      <c r="U31" s="684">
        <f>IF(U$4="forecast",AVERAGE(I31:T31),'Dept. Cost Actuals'!Y708)</f>
        <v>26.99</v>
      </c>
      <c r="V31" s="684">
        <f>IF(V$4="forecast",AVERAGE(J31:U31),'Dept. Cost Actuals'!Z708)</f>
        <v>0</v>
      </c>
      <c r="W31" s="684">
        <f>IF(W$4="forecast",AVERAGE(K31:V31),'Dept. Cost Actuals'!AA708)</f>
        <v>0</v>
      </c>
      <c r="X31" s="684">
        <f>IF(X$4="forecast",AVERAGE(L31:W31),'Dept. Cost Actuals'!AB708)</f>
        <v>0</v>
      </c>
      <c r="Y31" s="684">
        <f>IF(Y$4="forecast",AVERAGE(M31:X31),'Dept. Cost Actuals'!AC708)</f>
        <v>0</v>
      </c>
      <c r="Z31" s="684">
        <f>IF(Z$4="forecast",AVERAGE(N31:Y31),'Dept. Cost Actuals'!AD708)</f>
        <v>0</v>
      </c>
      <c r="AA31" s="684">
        <f>IF(AA$4="forecast",AVERAGE(O31:Z31),'Dept. Cost Actuals'!AE708)</f>
        <v>4.375</v>
      </c>
      <c r="AB31" s="684">
        <f>IF(AB$4="forecast",AVERAGE(P31:AA31),'Dept. Cost Actuals'!AF708)</f>
        <v>4.739583333333333</v>
      </c>
      <c r="AC31" s="684">
        <f>IF(AC$4="forecast",AVERAGE(Q31:AB31),'Dept. Cost Actuals'!AG708)</f>
        <v>5.1345486111111116</v>
      </c>
      <c r="AD31" s="684">
        <f>IF(AD$4="forecast",AVERAGE(R31:AC31),'Dept. Cost Actuals'!AH708)</f>
        <v>5.5624276620370372</v>
      </c>
      <c r="AE31" s="684">
        <f>IF(AE$4="forecast",AVERAGE(S31:AD31),'Dept. Cost Actuals'!AI708)</f>
        <v>6.0259633005401234</v>
      </c>
      <c r="AF31" s="684">
        <f>IF(AF$4="forecast",AVERAGE(T31:AE31),'Dept. Cost Actuals'!AJ708)</f>
        <v>6.528126908918467</v>
      </c>
      <c r="AG31" s="684">
        <f>IF(AG$4="forecast",AVERAGE(U31:AF31),'Dept. Cost Actuals'!AK708)</f>
        <v>4.9463041513283388</v>
      </c>
      <c r="AH31" s="684">
        <f>IF(AH$4="forecast",AVERAGE(V31:AG31),'Dept. Cost Actuals'!AL708)</f>
        <v>3.109329497272368</v>
      </c>
      <c r="AI31" s="684">
        <f>IF(AI$4="forecast",AVERAGE(W31:AH31),'Dept. Cost Actuals'!AM708)</f>
        <v>3.368440288711732</v>
      </c>
      <c r="AJ31" s="684">
        <f>IF(AJ$4="forecast",AVERAGE(X31:AI31),'Dept. Cost Actuals'!AN708)</f>
        <v>3.6491436461043762</v>
      </c>
      <c r="AK31" s="684">
        <f>IF(AK$4="forecast",AVERAGE(Y31:AJ31),'Dept. Cost Actuals'!AO708)</f>
        <v>3.953238949946408</v>
      </c>
      <c r="AL31" s="684">
        <f>IF(AL$4="forecast",AVERAGE(Z31:AK31),'Dept. Cost Actuals'!AP708)</f>
        <v>4.2826755291086087</v>
      </c>
      <c r="AM31" s="684">
        <f>IF(AM$4="forecast",AVERAGE(AA31:AL31),'Dept. Cost Actuals'!AQ708)</f>
        <v>4.6395651565343261</v>
      </c>
      <c r="AN31" s="684">
        <f>IF(AN$4="forecast",AVERAGE(AB31:AM31),'Dept. Cost Actuals'!AR708)</f>
        <v>4.6616122529121862</v>
      </c>
      <c r="AO31" s="684">
        <f>IF(AO$4="forecast",AVERAGE(AC31:AN31),'Dept. Cost Actuals'!AS708)</f>
        <v>4.6551146628770903</v>
      </c>
      <c r="AP31" s="684">
        <f>IF(AP$4="forecast",AVERAGE(AD31:AO31),'Dept. Cost Actuals'!AT708)</f>
        <v>4.6151618338575888</v>
      </c>
      <c r="AQ31" s="684">
        <f>IF(AQ$4="forecast",AVERAGE(AE31:AP31),'Dept. Cost Actuals'!AU708)</f>
        <v>4.5362230148426343</v>
      </c>
      <c r="AR31" s="684">
        <f>IF(AR$4="forecast",AVERAGE(AF31:AQ31),'Dept. Cost Actuals'!AV708)</f>
        <v>4.4120779910345105</v>
      </c>
      <c r="AS31" s="684">
        <f>IF(AS$4="forecast",AVERAGE(AG31:AR31),'Dept. Cost Actuals'!AW708)</f>
        <v>4.2357405812108473</v>
      </c>
      <c r="AT31" s="684">
        <f>IF(AT$4="forecast",AVERAGE(AH31:AS31),'Dept. Cost Actuals'!AX708)</f>
        <v>4.1765269503677223</v>
      </c>
      <c r="AU31" s="684">
        <f>IF(AU$4="forecast",AVERAGE(AI31:AT31),'Dept. Cost Actuals'!AY708)</f>
        <v>4.2654600714590023</v>
      </c>
      <c r="AV31" s="684">
        <f>IF(AV$4="forecast",AVERAGE(AJ31:AU31),'Dept. Cost Actuals'!AZ708)</f>
        <v>4.3402117200212755</v>
      </c>
      <c r="AW31" s="684">
        <f>IF(AW$4="forecast",AVERAGE(AK31:AV31),'Dept. Cost Actuals'!BA708)</f>
        <v>4.3978007261810168</v>
      </c>
      <c r="AX31" s="684">
        <f>IF(AX$4="forecast",AVERAGE(AL31:AW31),'Dept. Cost Actuals'!BB708)</f>
        <v>4.4348475408672341</v>
      </c>
      <c r="AY31" s="684">
        <f>IF(AY$4="forecast",AVERAGE(AM31:AX31),'Dept. Cost Actuals'!BC708)</f>
        <v>4.4475285418471193</v>
      </c>
      <c r="AZ31" s="684">
        <f>IF(AZ$4="forecast",AVERAGE(AN31:AY31),'Dept. Cost Actuals'!BD708)</f>
        <v>4.4315254906231853</v>
      </c>
      <c r="BA31" s="684">
        <f>IF(BA$4="forecast",AVERAGE(AO31:AZ31),'Dept. Cost Actuals'!BE708)</f>
        <v>4.4123515937657691</v>
      </c>
      <c r="BB31" s="684">
        <f>IF(BB$4="forecast",AVERAGE(AP31:BA31),'Dept. Cost Actuals'!BF708)</f>
        <v>4.3921213380064925</v>
      </c>
      <c r="BC31" s="684">
        <f>IF(BC$4="forecast",AVERAGE(AQ31:BB31),'Dept. Cost Actuals'!BG708)</f>
        <v>4.3735346300189013</v>
      </c>
      <c r="BD31" s="684">
        <f>IF(BD$4="forecast",AVERAGE(AR31:BC31),'Dept. Cost Actuals'!BH708)</f>
        <v>4.3599772646169237</v>
      </c>
      <c r="BE31" s="684">
        <f>IF(BE$4="forecast",AVERAGE(AS31:BD31),'Dept. Cost Actuals'!BI708)</f>
        <v>4.3556355374154574</v>
      </c>
      <c r="BF31" s="684">
        <f>IF(BF$4="forecast",AVERAGE(AT31:BE31),'Dept. Cost Actuals'!BJ708)</f>
        <v>4.3656267837658413</v>
      </c>
      <c r="BG31" s="684">
        <f>IF(BG$4="forecast",AVERAGE(AU31:BF31),'Dept. Cost Actuals'!BK708)</f>
        <v>4.3813851032156848</v>
      </c>
      <c r="BH31" s="684">
        <f>IF(BH$4="forecast",AVERAGE(AV31:BG31),'Dept. Cost Actuals'!BL708)</f>
        <v>4.3910455225287413</v>
      </c>
      <c r="BI31" s="684">
        <f>IF(BI$4="forecast",AVERAGE(AW31:BH31),'Dept. Cost Actuals'!BM708)</f>
        <v>4.3952816727376982</v>
      </c>
      <c r="BJ31" s="684">
        <f>IF(BJ$4="forecast",AVERAGE(AX31:BI31),'Dept. Cost Actuals'!BN708)</f>
        <v>4.3950717516174205</v>
      </c>
      <c r="BK31" s="684">
        <f>IF(BK$4="forecast",AVERAGE(AY31:BJ31),'Dept. Cost Actuals'!BO708)</f>
        <v>4.39175710251327</v>
      </c>
      <c r="BL31" s="684">
        <f>IF(BL$4="forecast",AVERAGE(AZ31:BK31),'Dept. Cost Actuals'!BP708)</f>
        <v>4.387109482568782</v>
      </c>
      <c r="BM31" s="684">
        <f>IF(BM$4="forecast",AVERAGE(BA31:BL31),'Dept. Cost Actuals'!BQ708)</f>
        <v>4.3834081485642482</v>
      </c>
      <c r="BN31" s="684">
        <f>IF(BN$4="forecast",AVERAGE(BB31:BM31),'Dept. Cost Actuals'!BR708)</f>
        <v>4.3809961947974552</v>
      </c>
      <c r="BO31" s="684">
        <f>IF(BO$4="forecast",AVERAGE(BC31:BN31),'Dept. Cost Actuals'!BS708)</f>
        <v>4.3800690995300355</v>
      </c>
      <c r="BP31" s="684">
        <f>IF(BP$4="forecast",AVERAGE(BD31:BO31),'Dept. Cost Actuals'!BT708)</f>
        <v>4.3806136386559631</v>
      </c>
      <c r="BQ31" s="684">
        <f>IF(BQ$4="forecast",AVERAGE(BE31:BP31),'Dept. Cost Actuals'!BU708)</f>
        <v>4.3823333364925494</v>
      </c>
      <c r="BR31" s="684">
        <f>IF(BR$4="forecast",AVERAGE(BF31:BQ31),'Dept. Cost Actuals'!BV708)</f>
        <v>4.384558153082307</v>
      </c>
      <c r="BS31" s="684">
        <f>IF(BS$4="forecast",AVERAGE(BG31:BR31),'Dept. Cost Actuals'!BW708)</f>
        <v>4.3861357671920134</v>
      </c>
      <c r="BT31" s="684">
        <f>IF(BT$4="forecast",AVERAGE(BH31:BS31),'Dept. Cost Actuals'!BX708)</f>
        <v>4.3865316558567073</v>
      </c>
      <c r="BU31" s="684">
        <f>IF(BU$4="forecast",AVERAGE(BI31:BT31),'Dept. Cost Actuals'!BY708)</f>
        <v>4.3861555003007044</v>
      </c>
      <c r="BV31" s="808">
        <f>IF(BV$4="forecast",AVERAGE(BJ31:BU31),'Dept. Cost Actuals'!BZ708)</f>
        <v>4.3853949859309553</v>
      </c>
    </row>
    <row r="32" spans="2:74" x14ac:dyDescent="0.35">
      <c r="B32" s="812" t="s">
        <v>948</v>
      </c>
      <c r="C32" s="684">
        <f>IF(C$4="forecast",AVERAGE(#REF!),'Dept. Cost Actuals'!G759)</f>
        <v>5.6781674878658306</v>
      </c>
      <c r="D32" s="684">
        <f>IF(D$4="forecast",AVERAGE(#REF!),'Dept. Cost Actuals'!H759)</f>
        <v>3.0336948377151041</v>
      </c>
      <c r="E32" s="684">
        <f>IF(E$4="forecast",AVERAGE(#REF!),'Dept. Cost Actuals'!I759)</f>
        <v>0</v>
      </c>
      <c r="F32" s="684">
        <f>IF(F$4="forecast",AVERAGE(#REF!),'Dept. Cost Actuals'!J759)</f>
        <v>4.3836270446975503</v>
      </c>
      <c r="G32" s="684">
        <f>IF(G$4="forecast",AVERAGE(#REF!),'Dept. Cost Actuals'!K759)</f>
        <v>41.958947482725833</v>
      </c>
      <c r="H32" s="684">
        <f>IF(H$4="forecast",AVERAGE(#REF!),'Dept. Cost Actuals'!L759)</f>
        <v>1.4314616995741991</v>
      </c>
      <c r="I32" s="684">
        <f>IF(I$4="forecast",AVERAGE(#REF!),'Dept. Cost Actuals'!M759)</f>
        <v>0</v>
      </c>
      <c r="J32" s="684">
        <f>IF(J$4="forecast",AVERAGE(#REF!),'Dept. Cost Actuals'!N759)</f>
        <v>2.0161882458055622</v>
      </c>
      <c r="K32" s="684">
        <f>IF(K$4="forecast",AVERAGE(#REF!),'Dept. Cost Actuals'!O759)</f>
        <v>0.53140649316109323</v>
      </c>
      <c r="L32" s="684">
        <f>IF(L$4="forecast",AVERAGE(#REF!),'Dept. Cost Actuals'!P759)</f>
        <v>10.018128995198005</v>
      </c>
      <c r="M32" s="684">
        <f>IF(M$4="forecast",AVERAGE(A32:L32),'Dept. Cost Actuals'!Q759)</f>
        <v>53.700688283530731</v>
      </c>
      <c r="N32" s="684">
        <f>IF(N$4="forecast",AVERAGE(B32:M32),'Dept. Cost Actuals'!R759)</f>
        <v>21.641182316495023</v>
      </c>
      <c r="O32" s="684">
        <f>IF(O$4="forecast",AVERAGE(C32:N32),'Dept. Cost Actuals'!S759)</f>
        <v>0</v>
      </c>
      <c r="P32" s="684">
        <f>IF(P$4="forecast",AVERAGE(D32:O32),'Dept. Cost Actuals'!T759)</f>
        <v>0</v>
      </c>
      <c r="Q32" s="684">
        <f>IF(Q$4="forecast",AVERAGE(E32:P32),'Dept. Cost Actuals'!U759)</f>
        <v>0</v>
      </c>
      <c r="R32" s="684">
        <f>IF(R$4="forecast",AVERAGE(F32:Q32),'Dept. Cost Actuals'!V759)</f>
        <v>0</v>
      </c>
      <c r="S32" s="684">
        <f>IF(S$4="forecast",AVERAGE(G32:R32),'Dept. Cost Actuals'!W759)</f>
        <v>0</v>
      </c>
      <c r="T32" s="684">
        <f>IF(T$4="forecast",AVERAGE(H32:S32),'Dept. Cost Actuals'!X759)</f>
        <v>0</v>
      </c>
      <c r="U32" s="684">
        <f>IF(U$4="forecast",AVERAGE(I32:T32),'Dept. Cost Actuals'!Y759)</f>
        <v>0</v>
      </c>
      <c r="V32" s="684">
        <f>IF(V$4="forecast",AVERAGE(J32:U32),'Dept. Cost Actuals'!Z759)</f>
        <v>0</v>
      </c>
      <c r="W32" s="684">
        <f>IF(W$4="forecast",AVERAGE(K32:V32),'Dept. Cost Actuals'!AA759)</f>
        <v>881.17</v>
      </c>
      <c r="X32" s="684">
        <f>IF(X$4="forecast",AVERAGE(L32:W32),'Dept. Cost Actuals'!AB759)</f>
        <v>0</v>
      </c>
      <c r="Y32" s="684">
        <f>IF(Y$4="forecast",AVERAGE(M32:X32),'Dept. Cost Actuals'!AC759)</f>
        <v>47.62</v>
      </c>
      <c r="Z32" s="684">
        <f>IF(Z$4="forecast",AVERAGE(N32:Y32),'Dept. Cost Actuals'!AD759)</f>
        <v>0</v>
      </c>
      <c r="AA32" s="684">
        <f>IF(AA$4="forecast",AVERAGE(O32:Z32),'Dept. Cost Actuals'!AE759)</f>
        <v>77.399166666666659</v>
      </c>
      <c r="AB32" s="684">
        <f>IF(AB$4="forecast",AVERAGE(P32:AA32),'Dept. Cost Actuals'!AF759)</f>
        <v>83.849097222222227</v>
      </c>
      <c r="AC32" s="684">
        <f>IF(AC$4="forecast",AVERAGE(Q32:AB32),'Dept. Cost Actuals'!AG759)</f>
        <v>90.836521990740735</v>
      </c>
      <c r="AD32" s="684">
        <f>IF(AD$4="forecast",AVERAGE(R32:AC32),'Dept. Cost Actuals'!AH759)</f>
        <v>98.406232156635795</v>
      </c>
      <c r="AE32" s="684">
        <f>IF(AE$4="forecast",AVERAGE(S32:AD32),'Dept. Cost Actuals'!AI759)</f>
        <v>106.60675150302211</v>
      </c>
      <c r="AF32" s="684">
        <f>IF(AF$4="forecast",AVERAGE(T32:AE32),'Dept. Cost Actuals'!AJ759)</f>
        <v>115.4906474616073</v>
      </c>
      <c r="AG32" s="684">
        <f>IF(AG$4="forecast",AVERAGE(U32:AF32),'Dept. Cost Actuals'!AK759)</f>
        <v>125.1148680834079</v>
      </c>
      <c r="AH32" s="684">
        <f>IF(AH$4="forecast",AVERAGE(V32:AG32),'Dept. Cost Actuals'!AL759)</f>
        <v>135.54110709035857</v>
      </c>
      <c r="AI32" s="684">
        <f>IF(AI$4="forecast",AVERAGE(W32:AH32),'Dept. Cost Actuals'!AM759)</f>
        <v>146.83619934788842</v>
      </c>
      <c r="AJ32" s="684">
        <f>IF(AJ$4="forecast",AVERAGE(X32:AI32),'Dept. Cost Actuals'!AN759)</f>
        <v>85.64171596021248</v>
      </c>
      <c r="AK32" s="684">
        <f>IF(AK$4="forecast",AVERAGE(Y32:AJ32),'Dept. Cost Actuals'!AO759)</f>
        <v>92.77852562356351</v>
      </c>
      <c r="AL32" s="684">
        <f>IF(AL$4="forecast",AVERAGE(Z32:AK32),'Dept. Cost Actuals'!AP759)</f>
        <v>96.54173609219383</v>
      </c>
      <c r="AM32" s="684">
        <f>IF(AM$4="forecast",AVERAGE(AA32:AL32),'Dept. Cost Actuals'!AQ759)</f>
        <v>104.5868807665433</v>
      </c>
      <c r="AN32" s="684">
        <f>IF(AN$4="forecast",AVERAGE(AB32:AM32),'Dept. Cost Actuals'!AR759)</f>
        <v>106.85252360819969</v>
      </c>
      <c r="AO32" s="684">
        <f>IF(AO$4="forecast",AVERAGE(AC32:AN32),'Dept. Cost Actuals'!AS759)</f>
        <v>108.76947580703114</v>
      </c>
      <c r="AP32" s="684">
        <f>IF(AP$4="forecast",AVERAGE(AD32:AO32),'Dept. Cost Actuals'!AT759)</f>
        <v>110.2638886250553</v>
      </c>
      <c r="AQ32" s="684">
        <f>IF(AQ$4="forecast",AVERAGE(AE32:AP32),'Dept. Cost Actuals'!AU759)</f>
        <v>111.25202666409029</v>
      </c>
      <c r="AR32" s="684">
        <f>IF(AR$4="forecast",AVERAGE(AF32:AQ32),'Dept. Cost Actuals'!AV759)</f>
        <v>111.63913292751265</v>
      </c>
      <c r="AS32" s="684">
        <f>IF(AS$4="forecast",AVERAGE(AG32:AR32),'Dept. Cost Actuals'!AW759)</f>
        <v>111.31817338300476</v>
      </c>
      <c r="AT32" s="684">
        <f>IF(AT$4="forecast",AVERAGE(AH32:AS32),'Dept. Cost Actuals'!AX759)</f>
        <v>110.16844882463784</v>
      </c>
      <c r="AU32" s="684">
        <f>IF(AU$4="forecast",AVERAGE(AI32:AT32),'Dept. Cost Actuals'!AY759)</f>
        <v>108.05406063582778</v>
      </c>
      <c r="AV32" s="684">
        <f>IF(AV$4="forecast",AVERAGE(AJ32:AU32),'Dept. Cost Actuals'!AZ759)</f>
        <v>104.82221574315604</v>
      </c>
      <c r="AW32" s="684">
        <f>IF(AW$4="forecast",AVERAGE(AK32:AV32),'Dept. Cost Actuals'!BA759)</f>
        <v>106.420590725068</v>
      </c>
      <c r="AX32" s="684">
        <f>IF(AX$4="forecast",AVERAGE(AL32:AW32),'Dept. Cost Actuals'!BB759)</f>
        <v>107.55742948352669</v>
      </c>
      <c r="AY32" s="684">
        <f>IF(AY$4="forecast",AVERAGE(AM32:AX32),'Dept. Cost Actuals'!BC759)</f>
        <v>108.47540393280445</v>
      </c>
      <c r="AZ32" s="684">
        <f>IF(AZ$4="forecast",AVERAGE(AN32:AY32),'Dept. Cost Actuals'!BD759)</f>
        <v>108.79944752999289</v>
      </c>
      <c r="BA32" s="684">
        <f>IF(BA$4="forecast",AVERAGE(AO32:AZ32),'Dept. Cost Actuals'!BE759)</f>
        <v>108.96169119014233</v>
      </c>
      <c r="BB32" s="684">
        <f>IF(BB$4="forecast",AVERAGE(AP32:BA32),'Dept. Cost Actuals'!BF759)</f>
        <v>108.97770913873491</v>
      </c>
      <c r="BC32" s="684">
        <f>IF(BC$4="forecast",AVERAGE(AQ32:BB32),'Dept. Cost Actuals'!BG759)</f>
        <v>108.87052751487489</v>
      </c>
      <c r="BD32" s="684">
        <f>IF(BD$4="forecast",AVERAGE(AR32:BC32),'Dept. Cost Actuals'!BH759)</f>
        <v>108.67206925244028</v>
      </c>
      <c r="BE32" s="684">
        <f>IF(BE$4="forecast",AVERAGE(AS32:BD32),'Dept. Cost Actuals'!BI759)</f>
        <v>108.42481394618426</v>
      </c>
      <c r="BF32" s="684">
        <f>IF(BF$4="forecast",AVERAGE(AT32:BE32),'Dept. Cost Actuals'!BJ759)</f>
        <v>108.18370065978253</v>
      </c>
      <c r="BG32" s="684">
        <f>IF(BG$4="forecast",AVERAGE(AU32:BF32),'Dept. Cost Actuals'!BK759)</f>
        <v>108.0183049793779</v>
      </c>
      <c r="BH32" s="684">
        <f>IF(BH$4="forecast",AVERAGE(AV32:BG32),'Dept. Cost Actuals'!BL759)</f>
        <v>108.01532534134043</v>
      </c>
      <c r="BI32" s="684">
        <f>IF(BI$4="forecast",AVERAGE(AW32:BH32),'Dept. Cost Actuals'!BM759)</f>
        <v>108.2814178078558</v>
      </c>
      <c r="BJ32" s="684">
        <f>IF(BJ$4="forecast",AVERAGE(AX32:BI32),'Dept. Cost Actuals'!BN759)</f>
        <v>108.43648673142145</v>
      </c>
      <c r="BK32" s="684">
        <f>IF(BK$4="forecast",AVERAGE(AY32:BJ32),'Dept. Cost Actuals'!BO759)</f>
        <v>108.50974150207935</v>
      </c>
      <c r="BL32" s="684">
        <f>IF(BL$4="forecast",AVERAGE(AZ32:BK32),'Dept. Cost Actuals'!BP759)</f>
        <v>108.51260296618558</v>
      </c>
      <c r="BM32" s="684">
        <f>IF(BM$4="forecast",AVERAGE(BA32:BL32),'Dept. Cost Actuals'!BQ759)</f>
        <v>108.48869925253497</v>
      </c>
      <c r="BN32" s="684">
        <f>IF(BN$4="forecast",AVERAGE(BB32:BM32),'Dept. Cost Actuals'!BR759)</f>
        <v>108.44928325773436</v>
      </c>
      <c r="BO32" s="684">
        <f>IF(BO$4="forecast",AVERAGE(BC32:BN32),'Dept. Cost Actuals'!BS759)</f>
        <v>108.40524776765101</v>
      </c>
      <c r="BP32" s="684">
        <f>IF(BP$4="forecast",AVERAGE(BD32:BO32),'Dept. Cost Actuals'!BT759)</f>
        <v>108.36647445538233</v>
      </c>
      <c r="BQ32" s="684">
        <f>IF(BQ$4="forecast",AVERAGE(BE32:BP32),'Dept. Cost Actuals'!BU759)</f>
        <v>108.34100822229415</v>
      </c>
      <c r="BR32" s="684">
        <f>IF(BR$4="forecast",AVERAGE(BF32:BQ32),'Dept. Cost Actuals'!BV759)</f>
        <v>108.33402441196999</v>
      </c>
      <c r="BS32" s="684">
        <f>IF(BS$4="forecast",AVERAGE(BG32:BR32),'Dept. Cost Actuals'!BW759)</f>
        <v>108.34655139131894</v>
      </c>
      <c r="BT32" s="684">
        <f>IF(BT$4="forecast",AVERAGE(BH32:BS32),'Dept. Cost Actuals'!BX759)</f>
        <v>108.3739052589807</v>
      </c>
      <c r="BU32" s="684">
        <f>IF(BU$4="forecast",AVERAGE(BI32:BT32),'Dept. Cost Actuals'!BY759)</f>
        <v>108.40378691878406</v>
      </c>
      <c r="BV32" s="808">
        <f>IF(BV$4="forecast",AVERAGE(BJ32:BU32),'Dept. Cost Actuals'!BZ759)</f>
        <v>108.41398434469473</v>
      </c>
    </row>
    <row r="33" spans="2:74" x14ac:dyDescent="0.35">
      <c r="B33" s="812" t="s">
        <v>949</v>
      </c>
      <c r="C33" s="684">
        <f>IF(C$4="forecast",AVERAGE(#REF!),'Dept. Cost Actuals'!G717+'Dept. Cost Actuals'!G716)</f>
        <v>5427.6807265344432</v>
      </c>
      <c r="D33" s="684">
        <f>IF(D$4="forecast",AVERAGE(#REF!),'Dept. Cost Actuals'!H717+'Dept. Cost Actuals'!H716)</f>
        <v>5218.9756091181134</v>
      </c>
      <c r="E33" s="684">
        <f>IF(E$4="forecast",AVERAGE(#REF!),'Dept. Cost Actuals'!I717+'Dept. Cost Actuals'!I716)</f>
        <v>1767.4228703676508</v>
      </c>
      <c r="F33" s="684">
        <f>IF(F$4="forecast",AVERAGE(#REF!),'Dept. Cost Actuals'!J717+'Dept. Cost Actuals'!J716)</f>
        <v>3826.2188153946104</v>
      </c>
      <c r="G33" s="684">
        <f>IF(G$4="forecast",AVERAGE(#REF!),'Dept. Cost Actuals'!K717+'Dept. Cost Actuals'!K716)</f>
        <v>3998.5476039058967</v>
      </c>
      <c r="H33" s="684">
        <f>IF(H$4="forecast",AVERAGE(#REF!),'Dept. Cost Actuals'!L717+'Dept. Cost Actuals'!L716)</f>
        <v>4819.2724324341762</v>
      </c>
      <c r="I33" s="684">
        <f>IF(I$4="forecast",AVERAGE(#REF!),'Dept. Cost Actuals'!M717+'Dept. Cost Actuals'!M716)</f>
        <v>4735.2149633160625</v>
      </c>
      <c r="J33" s="684">
        <f>IF(J$4="forecast",AVERAGE(#REF!),'Dept. Cost Actuals'!N717+'Dept. Cost Actuals'!N716)</f>
        <v>4548.2761178546652</v>
      </c>
      <c r="K33" s="684">
        <f>IF(K$4="forecast",AVERAGE(#REF!),'Dept. Cost Actuals'!O717+'Dept. Cost Actuals'!O716)</f>
        <v>4683.4704629434627</v>
      </c>
      <c r="L33" s="684">
        <f>IF(L$4="forecast",AVERAGE(#REF!),'Dept. Cost Actuals'!P717+'Dept. Cost Actuals'!P716)</f>
        <v>5081.3954042265459</v>
      </c>
      <c r="M33" s="684">
        <f>IF(M$4="forecast",AVERAGE(A33:L33),'Dept. Cost Actuals'!Q717+'Dept. Cost Actuals'!Q716)</f>
        <v>7474.3501257457829</v>
      </c>
      <c r="N33" s="684">
        <f>IF(N$4="forecast",AVERAGE(B33:M33),'Dept. Cost Actuals'!R717+'Dept. Cost Actuals'!R716)</f>
        <v>2644.8572067467021</v>
      </c>
      <c r="O33" s="684">
        <f>IF(O$4="forecast",AVERAGE(C33:N33),'Dept. Cost Actuals'!S717+'Dept. Cost Actuals'!S716)</f>
        <v>0</v>
      </c>
      <c r="P33" s="684">
        <f>IF(P$4="forecast",AVERAGE(D33:O33),'Dept. Cost Actuals'!T717+'Dept. Cost Actuals'!T716)</f>
        <v>0</v>
      </c>
      <c r="Q33" s="684">
        <f>IF(Q$4="forecast",AVERAGE(E33:P33),'Dept. Cost Actuals'!U717+'Dept. Cost Actuals'!U716)</f>
        <v>40.32</v>
      </c>
      <c r="R33" s="684">
        <f>IF(R$4="forecast",AVERAGE(F33:Q33),'Dept. Cost Actuals'!V717+'Dept. Cost Actuals'!V716)</f>
        <v>0</v>
      </c>
      <c r="S33" s="684">
        <f>IF(S$4="forecast",AVERAGE(G33:R33),'Dept. Cost Actuals'!W717+'Dept. Cost Actuals'!W716)</f>
        <v>39.99</v>
      </c>
      <c r="T33" s="684">
        <f>IF(T$4="forecast",AVERAGE(H33:S33),'Dept. Cost Actuals'!X717+'Dept. Cost Actuals'!X716)</f>
        <v>0</v>
      </c>
      <c r="U33" s="684">
        <f>IF(U$4="forecast",AVERAGE(I33:T33),'Dept. Cost Actuals'!Y717+'Dept. Cost Actuals'!Y716)</f>
        <v>0</v>
      </c>
      <c r="V33" s="684">
        <f>IF(V$4="forecast",AVERAGE(J33:U33),'Dept. Cost Actuals'!Z717+'Dept. Cost Actuals'!Z716)</f>
        <v>14.95</v>
      </c>
      <c r="W33" s="684">
        <f>IF(W$4="forecast",AVERAGE(K33:V33),'Dept. Cost Actuals'!AA717+'Dept. Cost Actuals'!AA716)</f>
        <v>0</v>
      </c>
      <c r="X33" s="684">
        <f>IF(X$4="forecast",AVERAGE(L33:W33),'Dept. Cost Actuals'!AB717+'Dept. Cost Actuals'!AB716)</f>
        <v>30</v>
      </c>
      <c r="Y33" s="684">
        <f>IF(Y$4="forecast",AVERAGE(M33:X33),'Dept. Cost Actuals'!AC717+'Dept. Cost Actuals'!AC716)</f>
        <v>58.85</v>
      </c>
      <c r="Z33" s="684">
        <f>IF(Z$4="forecast",AVERAGE(N33:Y33),'Dept. Cost Actuals'!AD717+'Dept. Cost Actuals'!AD716)</f>
        <v>0</v>
      </c>
      <c r="AA33" s="684">
        <f>IF(AA$4="forecast",AVERAGE(O33:Z33),'Dept. Cost Actuals'!AE717+'Dept. Cost Actuals'!AE716)</f>
        <v>15.342500000000001</v>
      </c>
      <c r="AB33" s="684">
        <f>IF(AB$4="forecast",AVERAGE(P33:AA33),'Dept. Cost Actuals'!AF717+'Dept. Cost Actuals'!AF716)</f>
        <v>16.621041666666667</v>
      </c>
      <c r="AC33" s="684">
        <f>IF(AC$4="forecast",AVERAGE(Q33:AB33),'Dept. Cost Actuals'!AG717+'Dept. Cost Actuals'!AG716)</f>
        <v>18.006128472222223</v>
      </c>
      <c r="AD33" s="684">
        <f>IF(AD$4="forecast",AVERAGE(R33:AC33),'Dept. Cost Actuals'!AH717+'Dept. Cost Actuals'!AH716)</f>
        <v>16.14663917824074</v>
      </c>
      <c r="AE33" s="684">
        <f>IF(AE$4="forecast",AVERAGE(S33:AD33),'Dept. Cost Actuals'!AI717+'Dept. Cost Actuals'!AI716)</f>
        <v>17.492192443094137</v>
      </c>
      <c r="AF33" s="684">
        <f>IF(AF$4="forecast",AVERAGE(T33:AE33),'Dept. Cost Actuals'!AJ717+'Dept. Cost Actuals'!AJ716)</f>
        <v>15.617375146685314</v>
      </c>
      <c r="AG33" s="684">
        <f>IF(AG$4="forecast",AVERAGE(U33:AF33),'Dept. Cost Actuals'!AK717+'Dept. Cost Actuals'!AK716)</f>
        <v>16.918823075575755</v>
      </c>
      <c r="AH33" s="684">
        <f>IF(AH$4="forecast",AVERAGE(V33:AG33),'Dept. Cost Actuals'!AL717+'Dept. Cost Actuals'!AL716)</f>
        <v>18.328724998540402</v>
      </c>
      <c r="AI33" s="684">
        <f>IF(AI$4="forecast",AVERAGE(W33:AH33),'Dept. Cost Actuals'!AM717+'Dept. Cost Actuals'!AM716)</f>
        <v>18.610285415085432</v>
      </c>
      <c r="AJ33" s="684">
        <f>IF(AJ$4="forecast",AVERAGE(X33:AI33),'Dept. Cost Actuals'!AN717+'Dept. Cost Actuals'!AN716)</f>
        <v>20.161142533009219</v>
      </c>
      <c r="AK33" s="684">
        <f>IF(AK$4="forecast",AVERAGE(Y33:AJ33),'Dept. Cost Actuals'!AO717+'Dept. Cost Actuals'!AO716)</f>
        <v>19.34123774409332</v>
      </c>
      <c r="AL33" s="684">
        <f>IF(AL$4="forecast",AVERAGE(Z33:AK33),'Dept. Cost Actuals'!AP717+'Dept. Cost Actuals'!AP716)</f>
        <v>16.048840889434434</v>
      </c>
      <c r="AM33" s="684">
        <f>IF(AM$4="forecast",AVERAGE(AA33:AL33),'Dept. Cost Actuals'!AQ717+'Dept. Cost Actuals'!AQ716)</f>
        <v>17.386244296887305</v>
      </c>
      <c r="AN33" s="684">
        <f>IF(AN$4="forecast",AVERAGE(AB33:AM33),'Dept. Cost Actuals'!AR717+'Dept. Cost Actuals'!AR716)</f>
        <v>17.556556321627912</v>
      </c>
      <c r="AO33" s="684">
        <f>IF(AO$4="forecast",AVERAGE(AC33:AN33),'Dept. Cost Actuals'!AS717+'Dept. Cost Actuals'!AS716)</f>
        <v>17.634515876208017</v>
      </c>
      <c r="AP33" s="684">
        <f>IF(AP$4="forecast",AVERAGE(AD33:AO33),'Dept. Cost Actuals'!AT717+'Dept. Cost Actuals'!AT716)</f>
        <v>17.603548159873498</v>
      </c>
      <c r="AQ33" s="684">
        <f>IF(AQ$4="forecast",AVERAGE(AE33:AP33),'Dept. Cost Actuals'!AU717+'Dept. Cost Actuals'!AU716)</f>
        <v>17.724957241676226</v>
      </c>
      <c r="AR33" s="684">
        <f>IF(AR$4="forecast",AVERAGE(AF33:AQ33),'Dept. Cost Actuals'!AV717+'Dept. Cost Actuals'!AV716)</f>
        <v>17.744354308224736</v>
      </c>
      <c r="AS33" s="684">
        <f>IF(AS$4="forecast",AVERAGE(AG33:AR33),'Dept. Cost Actuals'!AW717+'Dept. Cost Actuals'!AW716)</f>
        <v>17.921602571686353</v>
      </c>
      <c r="AT33" s="684">
        <f>IF(AT$4="forecast",AVERAGE(AH33:AS33),'Dept. Cost Actuals'!AX717+'Dept. Cost Actuals'!AX716)</f>
        <v>18.005167529695573</v>
      </c>
      <c r="AU33" s="684">
        <f>IF(AU$4="forecast",AVERAGE(AI33:AT33),'Dept. Cost Actuals'!AY717+'Dept. Cost Actuals'!AY716)</f>
        <v>17.978204407291834</v>
      </c>
      <c r="AV33" s="684">
        <f>IF(AV$4="forecast",AVERAGE(AJ33:AU33),'Dept. Cost Actuals'!AZ717+'Dept. Cost Actuals'!AZ716)</f>
        <v>17.925530989975702</v>
      </c>
      <c r="AW33" s="684">
        <f>IF(AW$4="forecast",AVERAGE(AK33:AV33),'Dept. Cost Actuals'!BA717+'Dept. Cost Actuals'!BA716)</f>
        <v>17.739230028056241</v>
      </c>
      <c r="AX33" s="684">
        <f>IF(AX$4="forecast",AVERAGE(AL33:AW33),'Dept. Cost Actuals'!BB717+'Dept. Cost Actuals'!BB716)</f>
        <v>17.605729385053152</v>
      </c>
      <c r="AY33" s="684">
        <f>IF(AY$4="forecast",AVERAGE(AM33:AX33),'Dept. Cost Actuals'!BC717+'Dept. Cost Actuals'!BC716)</f>
        <v>17.735470093021377</v>
      </c>
      <c r="AZ33" s="684">
        <f>IF(AZ$4="forecast",AVERAGE(AN33:AY33),'Dept. Cost Actuals'!BD717+'Dept. Cost Actuals'!BD716)</f>
        <v>17.764572242699217</v>
      </c>
      <c r="BA33" s="684">
        <f>IF(BA$4="forecast",AVERAGE(AO33:AZ33),'Dept. Cost Actuals'!BE717+'Dept. Cost Actuals'!BE716)</f>
        <v>17.781906902788492</v>
      </c>
      <c r="BB33" s="684">
        <f>IF(BB$4="forecast",AVERAGE(AP33:BA33),'Dept. Cost Actuals'!BF717+'Dept. Cost Actuals'!BF716)</f>
        <v>17.794189488336865</v>
      </c>
      <c r="BC33" s="684">
        <f>IF(BC$4="forecast",AVERAGE(AQ33:BB33),'Dept. Cost Actuals'!BG717+'Dept. Cost Actuals'!BG716)</f>
        <v>17.810076265708812</v>
      </c>
      <c r="BD33" s="684">
        <f>IF(BD$4="forecast",AVERAGE(AR33:BC33),'Dept. Cost Actuals'!BH717+'Dept. Cost Actuals'!BH716)</f>
        <v>17.817169517711527</v>
      </c>
      <c r="BE33" s="684">
        <f>IF(BE$4="forecast",AVERAGE(AS33:BD33),'Dept. Cost Actuals'!BI717+'Dept. Cost Actuals'!BI716)</f>
        <v>17.823237451835428</v>
      </c>
      <c r="BF33" s="684">
        <f>IF(BF$4="forecast",AVERAGE(AT33:BE33),'Dept. Cost Actuals'!BJ717+'Dept. Cost Actuals'!BJ716)</f>
        <v>17.815040358514519</v>
      </c>
      <c r="BG33" s="684">
        <f>IF(BG$4="forecast",AVERAGE(AU33:BF33),'Dept. Cost Actuals'!BK717+'Dept. Cost Actuals'!BK716)</f>
        <v>17.799196427582764</v>
      </c>
      <c r="BH33" s="684">
        <f>IF(BH$4="forecast",AVERAGE(AV33:BG33),'Dept. Cost Actuals'!BL717+'Dept. Cost Actuals'!BL716)</f>
        <v>17.784279095940342</v>
      </c>
      <c r="BI33" s="684">
        <f>IF(BI$4="forecast",AVERAGE(AW33:BH33),'Dept. Cost Actuals'!BM717+'Dept. Cost Actuals'!BM716)</f>
        <v>17.772508104770729</v>
      </c>
      <c r="BJ33" s="684">
        <f>IF(BJ$4="forecast",AVERAGE(AX33:BI33),'Dept. Cost Actuals'!BN717+'Dept. Cost Actuals'!BN716)</f>
        <v>17.77528127783027</v>
      </c>
      <c r="BK33" s="684">
        <f>IF(BK$4="forecast",AVERAGE(AY33:BJ33),'Dept. Cost Actuals'!BO717+'Dept. Cost Actuals'!BO716)</f>
        <v>17.789410602228362</v>
      </c>
      <c r="BL33" s="684">
        <f>IF(BL$4="forecast",AVERAGE(AZ33:BK33),'Dept. Cost Actuals'!BP717+'Dept. Cost Actuals'!BP716)</f>
        <v>17.793905644662278</v>
      </c>
      <c r="BM33" s="684">
        <f>IF(BM$4="forecast",AVERAGE(BA33:BL33),'Dept. Cost Actuals'!BQ717+'Dept. Cost Actuals'!BQ716)</f>
        <v>17.796350094825868</v>
      </c>
      <c r="BN33" s="684">
        <f>IF(BN$4="forecast",AVERAGE(BB33:BM33),'Dept. Cost Actuals'!BR717+'Dept. Cost Actuals'!BR716)</f>
        <v>17.797553694162314</v>
      </c>
      <c r="BO33" s="684">
        <f>IF(BO$4="forecast",AVERAGE(BC33:BN33),'Dept. Cost Actuals'!BS717+'Dept. Cost Actuals'!BS716)</f>
        <v>17.797834044647768</v>
      </c>
      <c r="BP33" s="684">
        <f>IF(BP$4="forecast",AVERAGE(BD33:BO33),'Dept. Cost Actuals'!BT717+'Dept. Cost Actuals'!BT716)</f>
        <v>17.79681385955935</v>
      </c>
      <c r="BQ33" s="684">
        <f>IF(BQ$4="forecast",AVERAGE(BE33:BP33),'Dept. Cost Actuals'!BU717+'Dept. Cost Actuals'!BU716)</f>
        <v>17.795117554713332</v>
      </c>
      <c r="BR33" s="684">
        <f>IF(BR$4="forecast",AVERAGE(BF33:BQ33),'Dept. Cost Actuals'!BV717+'Dept. Cost Actuals'!BV716)</f>
        <v>17.792774229953157</v>
      </c>
      <c r="BS33" s="684">
        <f>IF(BS$4="forecast",AVERAGE(BG33:BR33),'Dept. Cost Actuals'!BW717+'Dept. Cost Actuals'!BW716)</f>
        <v>17.790918719239709</v>
      </c>
      <c r="BT33" s="684">
        <f>IF(BT$4="forecast",AVERAGE(BH33:BS33),'Dept. Cost Actuals'!BX717+'Dept. Cost Actuals'!BX716)</f>
        <v>17.79022891021112</v>
      </c>
      <c r="BU33" s="684">
        <f>IF(BU$4="forecast",AVERAGE(BI33:BT33),'Dept. Cost Actuals'!BY717+'Dept. Cost Actuals'!BY716)</f>
        <v>17.790724728067019</v>
      </c>
      <c r="BV33" s="808">
        <f>IF(BV$4="forecast",AVERAGE(BJ33:BU33),'Dept. Cost Actuals'!BZ717+'Dept. Cost Actuals'!BZ716)</f>
        <v>17.79224278000838</v>
      </c>
    </row>
    <row r="34" spans="2:74" x14ac:dyDescent="0.35">
      <c r="B34" s="812" t="s">
        <v>950</v>
      </c>
      <c r="C34" s="684">
        <f>IF(C$4="forecast",AVERAGE(#REF!),'Dept. Cost Actuals'!G760)</f>
        <v>0</v>
      </c>
      <c r="D34" s="684">
        <f>IF(D$4="forecast",AVERAGE(#REF!),'Dept. Cost Actuals'!H760)</f>
        <v>0</v>
      </c>
      <c r="E34" s="684">
        <f>IF(E$4="forecast",AVERAGE(#REF!),'Dept. Cost Actuals'!I760)</f>
        <v>0</v>
      </c>
      <c r="F34" s="684">
        <f>IF(F$4="forecast",AVERAGE(#REF!),'Dept. Cost Actuals'!J760)</f>
        <v>104.64480418023321</v>
      </c>
      <c r="G34" s="684">
        <f>IF(G$4="forecast",AVERAGE(#REF!),'Dept. Cost Actuals'!K760)</f>
        <v>8.9485376827040728</v>
      </c>
      <c r="H34" s="684">
        <f>IF(H$4="forecast",AVERAGE(#REF!),'Dept. Cost Actuals'!L760)</f>
        <v>0</v>
      </c>
      <c r="I34" s="684">
        <f>IF(I$4="forecast",AVERAGE(#REF!),'Dept. Cost Actuals'!M760)</f>
        <v>0</v>
      </c>
      <c r="J34" s="684">
        <f>IF(J$4="forecast",AVERAGE(#REF!),'Dept. Cost Actuals'!N760)</f>
        <v>0</v>
      </c>
      <c r="K34" s="684">
        <f>IF(K$4="forecast",AVERAGE(#REF!),'Dept. Cost Actuals'!O760)</f>
        <v>7.9339793652980459</v>
      </c>
      <c r="L34" s="684">
        <f>IF(L$4="forecast",AVERAGE(#REF!),'Dept. Cost Actuals'!P760)</f>
        <v>0.18685958779334608</v>
      </c>
      <c r="M34" s="684">
        <f>IF(M$4="forecast",AVERAGE(A34:L34),'Dept. Cost Actuals'!Q760)</f>
        <v>19.134696914958475</v>
      </c>
      <c r="N34" s="684">
        <f>IF(N$4="forecast",AVERAGE(B34:M34),'Dept. Cost Actuals'!R760)</f>
        <v>0</v>
      </c>
      <c r="O34" s="684">
        <f>IF(O$4="forecast",AVERAGE(C34:N34),'Dept. Cost Actuals'!S760)</f>
        <v>0</v>
      </c>
      <c r="P34" s="684">
        <f>IF(P$4="forecast",AVERAGE(D34:O34),'Dept. Cost Actuals'!T760)</f>
        <v>0</v>
      </c>
      <c r="Q34" s="684">
        <f>IF(Q$4="forecast",AVERAGE(E34:P34),'Dept. Cost Actuals'!U760)</f>
        <v>33.67</v>
      </c>
      <c r="R34" s="684">
        <f>IF(R$4="forecast",AVERAGE(F34:Q34),'Dept. Cost Actuals'!V760)</f>
        <v>0</v>
      </c>
      <c r="S34" s="684">
        <f>IF(S$4="forecast",AVERAGE(G34:R34),'Dept. Cost Actuals'!W760)</f>
        <v>454.53</v>
      </c>
      <c r="T34" s="684">
        <f>IF(T$4="forecast",AVERAGE(H34:S34),'Dept. Cost Actuals'!X760)</f>
        <v>0</v>
      </c>
      <c r="U34" s="684">
        <f>IF(U$4="forecast",AVERAGE(I34:T34),'Dept. Cost Actuals'!Y760)</f>
        <v>0</v>
      </c>
      <c r="V34" s="684">
        <f>IF(V$4="forecast",AVERAGE(J34:U34),'Dept. Cost Actuals'!Z760)</f>
        <v>0</v>
      </c>
      <c r="W34" s="684">
        <f>IF(W$4="forecast",AVERAGE(K34:V34),'Dept. Cost Actuals'!AA760)</f>
        <v>0</v>
      </c>
      <c r="X34" s="684">
        <f>IF(X$4="forecast",AVERAGE(L34:W34),'Dept. Cost Actuals'!AB760)</f>
        <v>0</v>
      </c>
      <c r="Y34" s="684">
        <f>IF(Y$4="forecast",AVERAGE(M34:X34),'Dept. Cost Actuals'!AC760)</f>
        <v>0</v>
      </c>
      <c r="Z34" s="684">
        <f>IF(Z$4="forecast",AVERAGE(N34:Y34),'Dept. Cost Actuals'!AD760)</f>
        <v>0</v>
      </c>
      <c r="AA34" s="684">
        <f>IF(AA$4="forecast",AVERAGE(O34:Z34),'Dept. Cost Actuals'!AE760)</f>
        <v>40.68333333333333</v>
      </c>
      <c r="AB34" s="684">
        <f>IF(AB$4="forecast",AVERAGE(P34:AA34),'Dept. Cost Actuals'!AF760)</f>
        <v>44.073611111111113</v>
      </c>
      <c r="AC34" s="684">
        <f>IF(AC$4="forecast",AVERAGE(Q34:AB34),'Dept. Cost Actuals'!AG760)</f>
        <v>47.746412037037032</v>
      </c>
      <c r="AD34" s="684">
        <f>IF(AD$4="forecast",AVERAGE(R34:AC34),'Dept. Cost Actuals'!AH760)</f>
        <v>48.919446373456786</v>
      </c>
      <c r="AE34" s="684">
        <f>IF(AE$4="forecast",AVERAGE(S34:AD34),'Dept. Cost Actuals'!AI760)</f>
        <v>52.996066904578186</v>
      </c>
      <c r="AF34" s="684">
        <f>IF(AF$4="forecast",AVERAGE(T34:AE34),'Dept. Cost Actuals'!AJ760)</f>
        <v>19.53490581329304</v>
      </c>
      <c r="AG34" s="684">
        <f>IF(AG$4="forecast",AVERAGE(U34:AF34),'Dept. Cost Actuals'!AK760)</f>
        <v>21.162814631067459</v>
      </c>
      <c r="AH34" s="684">
        <f>IF(AH$4="forecast",AVERAGE(V34:AG34),'Dept. Cost Actuals'!AL760)</f>
        <v>22.926382516989747</v>
      </c>
      <c r="AI34" s="684">
        <f>IF(AI$4="forecast",AVERAGE(W34:AH34),'Dept. Cost Actuals'!AM760)</f>
        <v>24.836914393405561</v>
      </c>
      <c r="AJ34" s="684">
        <f>IF(AJ$4="forecast",AVERAGE(X34:AI34),'Dept. Cost Actuals'!AN760)</f>
        <v>26.906657259522689</v>
      </c>
      <c r="AK34" s="684">
        <f>IF(AK$4="forecast",AVERAGE(Y34:AJ34),'Dept. Cost Actuals'!AO760)</f>
        <v>29.148878697816247</v>
      </c>
      <c r="AL34" s="684">
        <f>IF(AL$4="forecast",AVERAGE(Z34:AK34),'Dept. Cost Actuals'!AP760)</f>
        <v>31.57795192263427</v>
      </c>
      <c r="AM34" s="684">
        <f>IF(AM$4="forecast",AVERAGE(AA34:AL34),'Dept. Cost Actuals'!AQ760)</f>
        <v>34.209447916187123</v>
      </c>
      <c r="AN34" s="684">
        <f>IF(AN$4="forecast",AVERAGE(AB34:AM34),'Dept. Cost Actuals'!AR760)</f>
        <v>33.669957464758269</v>
      </c>
      <c r="AO34" s="684">
        <f>IF(AO$4="forecast",AVERAGE(AC34:AN34),'Dept. Cost Actuals'!AS760)</f>
        <v>32.802986327562202</v>
      </c>
      <c r="AP34" s="684">
        <f>IF(AP$4="forecast",AVERAGE(AD34:AO34),'Dept. Cost Actuals'!AT760)</f>
        <v>31.557700851772633</v>
      </c>
      <c r="AQ34" s="684">
        <f>IF(AQ$4="forecast",AVERAGE(AE34:AP34),'Dept. Cost Actuals'!AU760)</f>
        <v>30.110888724965619</v>
      </c>
      <c r="AR34" s="684">
        <f>IF(AR$4="forecast",AVERAGE(AF34:AQ34),'Dept. Cost Actuals'!AV760)</f>
        <v>28.203790543331237</v>
      </c>
      <c r="AS34" s="684">
        <f>IF(AS$4="forecast",AVERAGE(AG34:AR34),'Dept. Cost Actuals'!AW760)</f>
        <v>28.926197604167754</v>
      </c>
      <c r="AT34" s="684">
        <f>IF(AT$4="forecast",AVERAGE(AH34:AS34),'Dept. Cost Actuals'!AX760)</f>
        <v>29.573146185259446</v>
      </c>
      <c r="AU34" s="684">
        <f>IF(AU$4="forecast",AVERAGE(AI34:AT34),'Dept. Cost Actuals'!AY760)</f>
        <v>30.127043157615258</v>
      </c>
      <c r="AV34" s="684">
        <f>IF(AV$4="forecast",AVERAGE(AJ34:AU34),'Dept. Cost Actuals'!AZ760)</f>
        <v>30.567887221299401</v>
      </c>
      <c r="AW34" s="684">
        <f>IF(AW$4="forecast",AVERAGE(AK34:AV34),'Dept. Cost Actuals'!BA760)</f>
        <v>30.872989718114127</v>
      </c>
      <c r="AX34" s="684">
        <f>IF(AX$4="forecast",AVERAGE(AL34:AW34),'Dept. Cost Actuals'!BB760)</f>
        <v>31.016665636472283</v>
      </c>
      <c r="AY34" s="684">
        <f>IF(AY$4="forecast",AVERAGE(AM34:AX34),'Dept. Cost Actuals'!BC760)</f>
        <v>30.969891779292116</v>
      </c>
      <c r="AZ34" s="684">
        <f>IF(AZ$4="forecast",AVERAGE(AN34:AY34),'Dept. Cost Actuals'!BD760)</f>
        <v>30.699928767884199</v>
      </c>
      <c r="BA34" s="684">
        <f>IF(BA$4="forecast",AVERAGE(AO34:AZ34),'Dept. Cost Actuals'!BE760)</f>
        <v>30.452426376478027</v>
      </c>
      <c r="BB34" s="684">
        <f>IF(BB$4="forecast",AVERAGE(AP34:BA34),'Dept. Cost Actuals'!BF760)</f>
        <v>30.256546380554344</v>
      </c>
      <c r="BC34" s="684">
        <f>IF(BC$4="forecast",AVERAGE(AQ34:BB34),'Dept. Cost Actuals'!BG760)</f>
        <v>30.148116841286154</v>
      </c>
      <c r="BD34" s="684">
        <f>IF(BD$4="forecast",AVERAGE(AR34:BC34),'Dept. Cost Actuals'!BH760)</f>
        <v>30.151219184312861</v>
      </c>
      <c r="BE34" s="684">
        <f>IF(BE$4="forecast",AVERAGE(AS34:BD34),'Dept. Cost Actuals'!BI760)</f>
        <v>30.313504904394662</v>
      </c>
      <c r="BF34" s="684">
        <f>IF(BF$4="forecast",AVERAGE(AT34:BE34),'Dept. Cost Actuals'!BJ760)</f>
        <v>30.429113846080242</v>
      </c>
      <c r="BG34" s="684">
        <f>IF(BG$4="forecast",AVERAGE(AU34:BF34),'Dept. Cost Actuals'!BK760)</f>
        <v>30.500444484481978</v>
      </c>
      <c r="BH34" s="684">
        <f>IF(BH$4="forecast",AVERAGE(AV34:BG34),'Dept. Cost Actuals'!BL760)</f>
        <v>30.531561261720871</v>
      </c>
      <c r="BI34" s="684">
        <f>IF(BI$4="forecast",AVERAGE(AW34:BH34),'Dept. Cost Actuals'!BM760)</f>
        <v>30.52853409842265</v>
      </c>
      <c r="BJ34" s="684">
        <f>IF(BJ$4="forecast",AVERAGE(AX34:BI34),'Dept. Cost Actuals'!BN760)</f>
        <v>30.499829463448368</v>
      </c>
      <c r="BK34" s="684">
        <f>IF(BK$4="forecast",AVERAGE(AY34:BJ34),'Dept. Cost Actuals'!BO760)</f>
        <v>30.456759782363036</v>
      </c>
      <c r="BL34" s="684">
        <f>IF(BL$4="forecast",AVERAGE(AZ34:BK34),'Dept. Cost Actuals'!BP760)</f>
        <v>30.41399878261895</v>
      </c>
      <c r="BM34" s="684">
        <f>IF(BM$4="forecast",AVERAGE(BA34:BL34),'Dept. Cost Actuals'!BQ760)</f>
        <v>30.390171283846843</v>
      </c>
      <c r="BN34" s="684">
        <f>IF(BN$4="forecast",AVERAGE(BB34:BM34),'Dept. Cost Actuals'!BR760)</f>
        <v>30.384983359460914</v>
      </c>
      <c r="BO34" s="684">
        <f>IF(BO$4="forecast",AVERAGE(BC34:BN34),'Dept. Cost Actuals'!BS760)</f>
        <v>30.39568644103646</v>
      </c>
      <c r="BP34" s="684">
        <f>IF(BP$4="forecast",AVERAGE(BD34:BO34),'Dept. Cost Actuals'!BT760)</f>
        <v>30.416317241015651</v>
      </c>
      <c r="BQ34" s="684">
        <f>IF(BQ$4="forecast",AVERAGE(BE34:BP34),'Dept. Cost Actuals'!BU760)</f>
        <v>30.438408745740887</v>
      </c>
      <c r="BR34" s="684">
        <f>IF(BR$4="forecast",AVERAGE(BF34:BQ34),'Dept. Cost Actuals'!BV760)</f>
        <v>30.448817399186407</v>
      </c>
      <c r="BS34" s="684">
        <f>IF(BS$4="forecast",AVERAGE(BG34:BR34),'Dept. Cost Actuals'!BW760)</f>
        <v>30.450459361945249</v>
      </c>
      <c r="BT34" s="684">
        <f>IF(BT$4="forecast",AVERAGE(BH34:BS34),'Dept. Cost Actuals'!BX760)</f>
        <v>30.446293935067189</v>
      </c>
      <c r="BU34" s="684">
        <f>IF(BU$4="forecast",AVERAGE(BI34:BT34),'Dept. Cost Actuals'!BY760)</f>
        <v>30.439188324512713</v>
      </c>
      <c r="BV34" s="808">
        <f>IF(BV$4="forecast",AVERAGE(BJ34:BU34),'Dept. Cost Actuals'!BZ760)</f>
        <v>30.431742843353558</v>
      </c>
    </row>
    <row r="35" spans="2:74" x14ac:dyDescent="0.35">
      <c r="B35" s="812" t="s">
        <v>927</v>
      </c>
      <c r="C35" s="684">
        <f>IF(C$4="forecast",AVERAGE(#REF!),'Dept. Cost Actuals'!G769)</f>
        <v>0</v>
      </c>
      <c r="D35" s="684">
        <f>IF(D$4="forecast",AVERAGE(#REF!),'Dept. Cost Actuals'!H769)</f>
        <v>0</v>
      </c>
      <c r="E35" s="684">
        <f>IF(E$4="forecast",AVERAGE(#REF!),'Dept. Cost Actuals'!I769)</f>
        <v>0</v>
      </c>
      <c r="F35" s="684">
        <f>IF(F$4="forecast",AVERAGE(#REF!),'Dept. Cost Actuals'!J769)</f>
        <v>0</v>
      </c>
      <c r="G35" s="684">
        <f>IF(G$4="forecast",AVERAGE(#REF!),'Dept. Cost Actuals'!K769)</f>
        <v>0</v>
      </c>
      <c r="H35" s="684">
        <f>IF(H$4="forecast",AVERAGE(#REF!),'Dept. Cost Actuals'!L769)</f>
        <v>0</v>
      </c>
      <c r="I35" s="684">
        <f>IF(I$4="forecast",AVERAGE(#REF!),'Dept. Cost Actuals'!M769)</f>
        <v>0</v>
      </c>
      <c r="J35" s="684">
        <f>IF(J$4="forecast",AVERAGE(#REF!),'Dept. Cost Actuals'!N769)</f>
        <v>0</v>
      </c>
      <c r="K35" s="684">
        <f>IF(K$4="forecast",AVERAGE(#REF!),'Dept. Cost Actuals'!O769)</f>
        <v>0</v>
      </c>
      <c r="L35" s="684">
        <f>IF(L$4="forecast",AVERAGE(#REF!),'Dept. Cost Actuals'!P769)</f>
        <v>0</v>
      </c>
      <c r="M35" s="684">
        <f>IF(M$4="forecast",AVERAGE(A35:L35),'Dept. Cost Actuals'!Q769)</f>
        <v>0</v>
      </c>
      <c r="N35" s="684">
        <f>IF(N$4="forecast",AVERAGE(B35:M35),'Dept. Cost Actuals'!R769)</f>
        <v>0</v>
      </c>
      <c r="O35" s="684">
        <f>IF(O$4="forecast",AVERAGE(C35:N35),'Dept. Cost Actuals'!S769)</f>
        <v>0</v>
      </c>
      <c r="P35" s="684">
        <f>IF(P$4="forecast",AVERAGE(D35:O35),'Dept. Cost Actuals'!T769)</f>
        <v>0</v>
      </c>
      <c r="Q35" s="684">
        <f>IF(Q$4="forecast",AVERAGE(E35:P35),'Dept. Cost Actuals'!U769)</f>
        <v>0</v>
      </c>
      <c r="R35" s="684">
        <f>IF(R$4="forecast",AVERAGE(F35:Q35),'Dept. Cost Actuals'!V769)</f>
        <v>0</v>
      </c>
      <c r="S35" s="684">
        <f>IF(S$4="forecast",AVERAGE(G35:R35),'Dept. Cost Actuals'!W769)</f>
        <v>0</v>
      </c>
      <c r="T35" s="684">
        <f>IF(T$4="forecast",AVERAGE(H35:S35),'Dept. Cost Actuals'!X769)</f>
        <v>0</v>
      </c>
      <c r="U35" s="684">
        <f>IF(U$4="forecast",AVERAGE(I35:T35),'Dept. Cost Actuals'!Y769)</f>
        <v>0</v>
      </c>
      <c r="V35" s="684">
        <f>IF(V$4="forecast",AVERAGE(J35:U35),'Dept. Cost Actuals'!Z769)</f>
        <v>0</v>
      </c>
      <c r="W35" s="684">
        <f>IF(W$4="forecast",AVERAGE(K35:V35),'Dept. Cost Actuals'!AA769)</f>
        <v>0</v>
      </c>
      <c r="X35" s="684">
        <f>IF(X$4="forecast",AVERAGE(L35:W35),'Dept. Cost Actuals'!AB769)</f>
        <v>0</v>
      </c>
      <c r="Y35" s="684">
        <f>IF(Y$4="forecast",AVERAGE(M35:X35),'Dept. Cost Actuals'!AC769)</f>
        <v>0</v>
      </c>
      <c r="Z35" s="684">
        <f>IF(Z$4="forecast",AVERAGE(N35:Y35),'Dept. Cost Actuals'!AD769)</f>
        <v>0</v>
      </c>
      <c r="AA35" s="684">
        <f>IF(AA$4="forecast",AVERAGE(O35:Z35),'Dept. Cost Actuals'!AE769)</f>
        <v>0</v>
      </c>
      <c r="AB35" s="684">
        <f>IF(AB$4="forecast",AVERAGE(P35:AA35),'Dept. Cost Actuals'!AF769)</f>
        <v>0</v>
      </c>
      <c r="AC35" s="684">
        <f>IF(AC$4="forecast",AVERAGE(Q35:AB35),'Dept. Cost Actuals'!AG769)</f>
        <v>0</v>
      </c>
      <c r="AD35" s="684">
        <f>IF(AD$4="forecast",AVERAGE(R35:AC35),'Dept. Cost Actuals'!AH769)</f>
        <v>0</v>
      </c>
      <c r="AE35" s="684">
        <f>IF(AE$4="forecast",AVERAGE(S35:AD35),'Dept. Cost Actuals'!AI769)</f>
        <v>0</v>
      </c>
      <c r="AF35" s="684">
        <f>IF(AF$4="forecast",AVERAGE(T35:AE35),'Dept. Cost Actuals'!AJ769)</f>
        <v>0</v>
      </c>
      <c r="AG35" s="684">
        <f>IF(AG$4="forecast",AVERAGE(U35:AF35),'Dept. Cost Actuals'!AK769)</f>
        <v>0</v>
      </c>
      <c r="AH35" s="684">
        <f>IF(AH$4="forecast",AVERAGE(V35:AG35),'Dept. Cost Actuals'!AL769)</f>
        <v>0</v>
      </c>
      <c r="AI35" s="684">
        <f>IF(AI$4="forecast",AVERAGE(W35:AH35),'Dept. Cost Actuals'!AM769)</f>
        <v>0</v>
      </c>
      <c r="AJ35" s="684">
        <f>IF(AJ$4="forecast",AVERAGE(X35:AI35),'Dept. Cost Actuals'!AN769)</f>
        <v>0</v>
      </c>
      <c r="AK35" s="684">
        <f>IF(AK$4="forecast",AVERAGE(Y35:AJ35),'Dept. Cost Actuals'!AO769)</f>
        <v>0</v>
      </c>
      <c r="AL35" s="684">
        <f>IF(AL$4="forecast",AVERAGE(Z35:AK35),'Dept. Cost Actuals'!AP769)</f>
        <v>0</v>
      </c>
      <c r="AM35" s="684">
        <f>IF(AM$4="forecast",AVERAGE(AA35:AL35),'Dept. Cost Actuals'!AQ769)</f>
        <v>0</v>
      </c>
      <c r="AN35" s="684">
        <f>IF(AN$4="forecast",AVERAGE(AB35:AM35),'Dept. Cost Actuals'!AR769)</f>
        <v>0</v>
      </c>
      <c r="AO35" s="684">
        <f>IF(AO$4="forecast",AVERAGE(AC35:AN35),'Dept. Cost Actuals'!AS769)</f>
        <v>0</v>
      </c>
      <c r="AP35" s="684">
        <f>IF(AP$4="forecast",AVERAGE(AD35:AO35),'Dept. Cost Actuals'!AT769)</f>
        <v>0</v>
      </c>
      <c r="AQ35" s="684">
        <f>IF(AQ$4="forecast",AVERAGE(AE35:AP35),'Dept. Cost Actuals'!AU769)</f>
        <v>0</v>
      </c>
      <c r="AR35" s="684">
        <f>IF(AR$4="forecast",AVERAGE(AF35:AQ35),'Dept. Cost Actuals'!AV769)</f>
        <v>0</v>
      </c>
      <c r="AS35" s="684">
        <f>IF(AS$4="forecast",AVERAGE(AG35:AR35),'Dept. Cost Actuals'!AW769)</f>
        <v>0</v>
      </c>
      <c r="AT35" s="684">
        <f>IF(AT$4="forecast",AVERAGE(AH35:AS35),'Dept. Cost Actuals'!AX769)</f>
        <v>0</v>
      </c>
      <c r="AU35" s="684">
        <f>IF(AU$4="forecast",AVERAGE(AI35:AT35),'Dept. Cost Actuals'!AY769)</f>
        <v>0</v>
      </c>
      <c r="AV35" s="684">
        <f>IF(AV$4="forecast",AVERAGE(AJ35:AU35),'Dept. Cost Actuals'!AZ769)</f>
        <v>0</v>
      </c>
      <c r="AW35" s="684">
        <f>IF(AW$4="forecast",AVERAGE(AK35:AV35),'Dept. Cost Actuals'!BA769)</f>
        <v>0</v>
      </c>
      <c r="AX35" s="684">
        <f>IF(AX$4="forecast",AVERAGE(AL35:AW35),'Dept. Cost Actuals'!BB769)</f>
        <v>0</v>
      </c>
      <c r="AY35" s="684">
        <f>IF(AY$4="forecast",AVERAGE(AM35:AX35),'Dept. Cost Actuals'!BC769)</f>
        <v>0</v>
      </c>
      <c r="AZ35" s="684">
        <f>IF(AZ$4="forecast",AVERAGE(AN35:AY35),'Dept. Cost Actuals'!BD769)</f>
        <v>0</v>
      </c>
      <c r="BA35" s="684">
        <f>IF(BA$4="forecast",AVERAGE(AO35:AZ35),'Dept. Cost Actuals'!BE769)</f>
        <v>0</v>
      </c>
      <c r="BB35" s="684">
        <f>IF(BB$4="forecast",AVERAGE(AP35:BA35),'Dept. Cost Actuals'!BF769)</f>
        <v>0</v>
      </c>
      <c r="BC35" s="684">
        <f>IF(BC$4="forecast",AVERAGE(AQ35:BB35),'Dept. Cost Actuals'!BG769)</f>
        <v>0</v>
      </c>
      <c r="BD35" s="684">
        <f>IF(BD$4="forecast",AVERAGE(AR35:BC35),'Dept. Cost Actuals'!BH769)</f>
        <v>0</v>
      </c>
      <c r="BE35" s="684">
        <f>IF(BE$4="forecast",AVERAGE(AS35:BD35),'Dept. Cost Actuals'!BI769)</f>
        <v>0</v>
      </c>
      <c r="BF35" s="684">
        <f>IF(BF$4="forecast",AVERAGE(AT35:BE35),'Dept. Cost Actuals'!BJ769)</f>
        <v>0</v>
      </c>
      <c r="BG35" s="684">
        <f>IF(BG$4="forecast",AVERAGE(AU35:BF35),'Dept. Cost Actuals'!BK769)</f>
        <v>0</v>
      </c>
      <c r="BH35" s="684">
        <f>IF(BH$4="forecast",AVERAGE(AV35:BG35),'Dept. Cost Actuals'!BL769)</f>
        <v>0</v>
      </c>
      <c r="BI35" s="684">
        <f>IF(BI$4="forecast",AVERAGE(AW35:BH35),'Dept. Cost Actuals'!BM769)</f>
        <v>0</v>
      </c>
      <c r="BJ35" s="684">
        <f>IF(BJ$4="forecast",AVERAGE(AX35:BI35),'Dept. Cost Actuals'!BN769)</f>
        <v>0</v>
      </c>
      <c r="BK35" s="684">
        <f>IF(BK$4="forecast",AVERAGE(AY35:BJ35),'Dept. Cost Actuals'!BO769)</f>
        <v>0</v>
      </c>
      <c r="BL35" s="684">
        <f>IF(BL$4="forecast",AVERAGE(AZ35:BK35),'Dept. Cost Actuals'!BP769)</f>
        <v>0</v>
      </c>
      <c r="BM35" s="684">
        <f>IF(BM$4="forecast",AVERAGE(BA35:BL35),'Dept. Cost Actuals'!BQ769)</f>
        <v>0</v>
      </c>
      <c r="BN35" s="684">
        <f>IF(BN$4="forecast",AVERAGE(BB35:BM35),'Dept. Cost Actuals'!BR769)</f>
        <v>0</v>
      </c>
      <c r="BO35" s="684">
        <f>IF(BO$4="forecast",AVERAGE(BC35:BN35),'Dept. Cost Actuals'!BS769)</f>
        <v>0</v>
      </c>
      <c r="BP35" s="684">
        <f>IF(BP$4="forecast",AVERAGE(BD35:BO35),'Dept. Cost Actuals'!BT769)</f>
        <v>0</v>
      </c>
      <c r="BQ35" s="684">
        <f>IF(BQ$4="forecast",AVERAGE(BE35:BP35),'Dept. Cost Actuals'!BU769)</f>
        <v>0</v>
      </c>
      <c r="BR35" s="684">
        <f>IF(BR$4="forecast",AVERAGE(BF35:BQ35),'Dept. Cost Actuals'!BV769)</f>
        <v>0</v>
      </c>
      <c r="BS35" s="684">
        <f>IF(BS$4="forecast",AVERAGE(BG35:BR35),'Dept. Cost Actuals'!BW769)</f>
        <v>0</v>
      </c>
      <c r="BT35" s="684">
        <f>IF(BT$4="forecast",AVERAGE(BH35:BS35),'Dept. Cost Actuals'!BX769)</f>
        <v>0</v>
      </c>
      <c r="BU35" s="684">
        <f>IF(BU$4="forecast",AVERAGE(BI35:BT35),'Dept. Cost Actuals'!BY769)</f>
        <v>0</v>
      </c>
      <c r="BV35" s="808">
        <f>IF(BV$4="forecast",AVERAGE(BJ35:BU35),'Dept. Cost Actuals'!BZ769)</f>
        <v>0</v>
      </c>
    </row>
    <row r="36" spans="2:74" x14ac:dyDescent="0.35">
      <c r="B36" s="812" t="s">
        <v>928</v>
      </c>
      <c r="C36" s="684">
        <f>IF(C$4="forecast",AVERAGE(#REF!),'Dept. Cost Actuals'!G794)</f>
        <v>138.59794278644722</v>
      </c>
      <c r="D36" s="684">
        <f>IF(D$4="forecast",AVERAGE(#REF!),'Dept. Cost Actuals'!H794)</f>
        <v>100.86795277254559</v>
      </c>
      <c r="E36" s="684">
        <f>IF(E$4="forecast",AVERAGE(#REF!),'Dept. Cost Actuals'!I794)</f>
        <v>202.9264532978753</v>
      </c>
      <c r="F36" s="684">
        <f>IF(F$4="forecast",AVERAGE(#REF!),'Dept. Cost Actuals'!J794)</f>
        <v>189.66954825384448</v>
      </c>
      <c r="G36" s="684">
        <f>IF(G$4="forecast",AVERAGE(#REF!),'Dept. Cost Actuals'!K794)</f>
        <v>81.9290824654707</v>
      </c>
      <c r="H36" s="684">
        <f>IF(H$4="forecast",AVERAGE(#REF!),'Dept. Cost Actuals'!L794)</f>
        <v>277.61710302931868</v>
      </c>
      <c r="I36" s="684">
        <f>IF(I$4="forecast",AVERAGE(#REF!),'Dept. Cost Actuals'!M794)</f>
        <v>265.55126174741662</v>
      </c>
      <c r="J36" s="684">
        <f>IF(J$4="forecast",AVERAGE(#REF!),'Dept. Cost Actuals'!N794)</f>
        <v>137.45454852281497</v>
      </c>
      <c r="K36" s="684">
        <f>IF(K$4="forecast",AVERAGE(#REF!),'Dept. Cost Actuals'!O794)</f>
        <v>111.9789165623859</v>
      </c>
      <c r="L36" s="684">
        <f>IF(L$4="forecast",AVERAGE(#REF!),'Dept. Cost Actuals'!P794)</f>
        <v>170.53096955588128</v>
      </c>
      <c r="M36" s="684">
        <f>IF(M$4="forecast",AVERAGE(A36:L36),'Dept. Cost Actuals'!Q794)</f>
        <v>172.11308200556667</v>
      </c>
      <c r="N36" s="684">
        <f>IF(N$4="forecast",AVERAGE(B36:M36),'Dept. Cost Actuals'!R794)</f>
        <v>75.290938612078051</v>
      </c>
      <c r="O36" s="684">
        <f>IF(O$4="forecast",AVERAGE(C36:N36),'Dept. Cost Actuals'!S794)</f>
        <v>210.45</v>
      </c>
      <c r="P36" s="684">
        <f>IF(P$4="forecast",AVERAGE(D36:O36),'Dept. Cost Actuals'!T794)</f>
        <v>0</v>
      </c>
      <c r="Q36" s="684">
        <f>IF(Q$4="forecast",AVERAGE(E36:P36),'Dept. Cost Actuals'!U794)</f>
        <v>0</v>
      </c>
      <c r="R36" s="684">
        <f>IF(R$4="forecast",AVERAGE(F36:Q36),'Dept. Cost Actuals'!V794)</f>
        <v>0</v>
      </c>
      <c r="S36" s="684">
        <f>IF(S$4="forecast",AVERAGE(G36:R36),'Dept. Cost Actuals'!W794)</f>
        <v>163.38</v>
      </c>
      <c r="T36" s="684">
        <f>IF(T$4="forecast",AVERAGE(H36:S36),'Dept. Cost Actuals'!X794)</f>
        <v>0</v>
      </c>
      <c r="U36" s="684">
        <f>IF(U$4="forecast",AVERAGE(I36:T36),'Dept. Cost Actuals'!Y794)</f>
        <v>224.76</v>
      </c>
      <c r="V36" s="684">
        <f>IF(V$4="forecast",AVERAGE(J36:U36),'Dept. Cost Actuals'!Z794)</f>
        <v>33.61</v>
      </c>
      <c r="W36" s="684">
        <f>IF(W$4="forecast",AVERAGE(K36:V36),'Dept. Cost Actuals'!AA794)</f>
        <v>0</v>
      </c>
      <c r="X36" s="684">
        <f>IF(X$4="forecast",AVERAGE(L36:W36),'Dept. Cost Actuals'!AB794)</f>
        <v>0</v>
      </c>
      <c r="Y36" s="684">
        <f>IF(Y$4="forecast",AVERAGE(M36:X36),'Dept. Cost Actuals'!AC794)</f>
        <v>0</v>
      </c>
      <c r="Z36" s="684">
        <f>IF(Z$4="forecast",AVERAGE(N36:Y36),'Dept. Cost Actuals'!AD794)</f>
        <v>57.51</v>
      </c>
      <c r="AA36" s="684">
        <f>IF(AA$4="forecast",AVERAGE(O36:Z36),'Dept. Cost Actuals'!AE794)</f>
        <v>57.475833333333327</v>
      </c>
      <c r="AB36" s="684">
        <f>IF(AB$4="forecast",AVERAGE(P36:AA36),'Dept. Cost Actuals'!AF794)</f>
        <v>44.727986111111107</v>
      </c>
      <c r="AC36" s="684">
        <f>IF(AC$4="forecast",AVERAGE(Q36:AB36),'Dept. Cost Actuals'!AG794)</f>
        <v>48.455318287037038</v>
      </c>
      <c r="AD36" s="684">
        <f>IF(AD$4="forecast",AVERAGE(R36:AC36),'Dept. Cost Actuals'!AH794)</f>
        <v>52.493261477623456</v>
      </c>
      <c r="AE36" s="684">
        <f>IF(AE$4="forecast",AVERAGE(S36:AD36),'Dept. Cost Actuals'!AI794)</f>
        <v>56.86769993409208</v>
      </c>
      <c r="AF36" s="684">
        <f>IF(AF$4="forecast",AVERAGE(T36:AE36),'Dept. Cost Actuals'!AJ794)</f>
        <v>47.991674928599757</v>
      </c>
      <c r="AG36" s="684">
        <f>IF(AG$4="forecast",AVERAGE(U36:AF36),'Dept. Cost Actuals'!AK794)</f>
        <v>51.990981172649732</v>
      </c>
      <c r="AH36" s="684">
        <f>IF(AH$4="forecast",AVERAGE(V36:AG36),'Dept. Cost Actuals'!AL794)</f>
        <v>37.593562937037213</v>
      </c>
      <c r="AI36" s="684">
        <f>IF(AI$4="forecast",AVERAGE(W36:AH36),'Dept. Cost Actuals'!AM794)</f>
        <v>37.925526515123643</v>
      </c>
      <c r="AJ36" s="684">
        <f>IF(AJ$4="forecast",AVERAGE(X36:AI36),'Dept. Cost Actuals'!AN794)</f>
        <v>41.085987058050613</v>
      </c>
      <c r="AK36" s="684">
        <f>IF(AK$4="forecast",AVERAGE(Y36:AJ36),'Dept. Cost Actuals'!AO794)</f>
        <v>44.509819312888169</v>
      </c>
      <c r="AL36" s="684">
        <f>IF(AL$4="forecast",AVERAGE(Z36:AK36),'Dept. Cost Actuals'!AP794)</f>
        <v>48.218970922295512</v>
      </c>
      <c r="AM36" s="684">
        <f>IF(AM$4="forecast",AVERAGE(AA36:AL36),'Dept. Cost Actuals'!AQ794)</f>
        <v>47.444718499153474</v>
      </c>
      <c r="AN36" s="684">
        <f>IF(AN$4="forecast",AVERAGE(AB36:AM36),'Dept. Cost Actuals'!AR794)</f>
        <v>46.608792262971825</v>
      </c>
      <c r="AO36" s="684">
        <f>IF(AO$4="forecast",AVERAGE(AC36:AN36),'Dept. Cost Actuals'!AS794)</f>
        <v>46.765526108960216</v>
      </c>
      <c r="AP36" s="684">
        <f>IF(AP$4="forecast",AVERAGE(AD36:AO36),'Dept. Cost Actuals'!AT794)</f>
        <v>46.624710094120474</v>
      </c>
      <c r="AQ36" s="684">
        <f>IF(AQ$4="forecast",AVERAGE(AE36:AP36),'Dept. Cost Actuals'!AU794)</f>
        <v>46.13566414549522</v>
      </c>
      <c r="AR36" s="684">
        <f>IF(AR$4="forecast",AVERAGE(AF36:AQ36),'Dept. Cost Actuals'!AV794)</f>
        <v>45.241327829778811</v>
      </c>
      <c r="AS36" s="684">
        <f>IF(AS$4="forecast",AVERAGE(AG36:AR36),'Dept. Cost Actuals'!AW794)</f>
        <v>45.012132238210405</v>
      </c>
      <c r="AT36" s="684">
        <f>IF(AT$4="forecast",AVERAGE(AH36:AS36),'Dept. Cost Actuals'!AX794)</f>
        <v>44.430561493673792</v>
      </c>
      <c r="AU36" s="684">
        <f>IF(AU$4="forecast",AVERAGE(AI36:AT36),'Dept. Cost Actuals'!AY794)</f>
        <v>45.000311373393515</v>
      </c>
      <c r="AV36" s="684">
        <f>IF(AV$4="forecast",AVERAGE(AJ36:AU36),'Dept. Cost Actuals'!AZ794)</f>
        <v>45.589876778249334</v>
      </c>
      <c r="AW36" s="684">
        <f>IF(AW$4="forecast",AVERAGE(AK36:AV36),'Dept. Cost Actuals'!BA794)</f>
        <v>45.965200921599234</v>
      </c>
      <c r="AX36" s="684">
        <f>IF(AX$4="forecast",AVERAGE(AL36:AW36),'Dept. Cost Actuals'!BB794)</f>
        <v>46.086482722325151</v>
      </c>
      <c r="AY36" s="684">
        <f>IF(AY$4="forecast",AVERAGE(AM36:AX36),'Dept. Cost Actuals'!BC794)</f>
        <v>45.908775372327625</v>
      </c>
      <c r="AZ36" s="684">
        <f>IF(AZ$4="forecast",AVERAGE(AN36:AY36),'Dept. Cost Actuals'!BD794)</f>
        <v>45.780780111758794</v>
      </c>
      <c r="BA36" s="684">
        <f>IF(BA$4="forecast",AVERAGE(AO36:AZ36),'Dept. Cost Actuals'!BE794)</f>
        <v>45.711779099157717</v>
      </c>
      <c r="BB36" s="684">
        <f>IF(BB$4="forecast",AVERAGE(AP36:BA36),'Dept. Cost Actuals'!BF794)</f>
        <v>45.623966848340842</v>
      </c>
      <c r="BC36" s="684">
        <f>IF(BC$4="forecast",AVERAGE(AQ36:BB36),'Dept. Cost Actuals'!BG794)</f>
        <v>45.540571577859204</v>
      </c>
      <c r="BD36" s="684">
        <f>IF(BD$4="forecast",AVERAGE(AR36:BC36),'Dept. Cost Actuals'!BH794)</f>
        <v>45.490980530556207</v>
      </c>
      <c r="BE36" s="684">
        <f>IF(BE$4="forecast",AVERAGE(AS36:BD36),'Dept. Cost Actuals'!BI794)</f>
        <v>45.511784922287653</v>
      </c>
      <c r="BF36" s="684">
        <f>IF(BF$4="forecast",AVERAGE(AT36:BE36),'Dept. Cost Actuals'!BJ794)</f>
        <v>45.553422645960758</v>
      </c>
      <c r="BG36" s="684">
        <f>IF(BG$4="forecast",AVERAGE(AU36:BF36),'Dept. Cost Actuals'!BK794)</f>
        <v>45.646994408651331</v>
      </c>
      <c r="BH36" s="684">
        <f>IF(BH$4="forecast",AVERAGE(AV36:BG36),'Dept. Cost Actuals'!BL794)</f>
        <v>45.700884661589491</v>
      </c>
      <c r="BI36" s="684">
        <f>IF(BI$4="forecast",AVERAGE(AW36:BH36),'Dept. Cost Actuals'!BM794)</f>
        <v>45.710135318534498</v>
      </c>
      <c r="BJ36" s="684">
        <f>IF(BJ$4="forecast",AVERAGE(AX36:BI36),'Dept. Cost Actuals'!BN794)</f>
        <v>45.688879851612434</v>
      </c>
      <c r="BK36" s="684">
        <f>IF(BK$4="forecast",AVERAGE(AY36:BJ36),'Dept. Cost Actuals'!BO794)</f>
        <v>45.655746279053041</v>
      </c>
      <c r="BL36" s="684">
        <f>IF(BL$4="forecast",AVERAGE(AZ36:BK36),'Dept. Cost Actuals'!BP794)</f>
        <v>45.634660521280161</v>
      </c>
      <c r="BM36" s="684">
        <f>IF(BM$4="forecast",AVERAGE(BA36:BL36),'Dept. Cost Actuals'!BQ794)</f>
        <v>45.622483888740284</v>
      </c>
      <c r="BN36" s="684">
        <f>IF(BN$4="forecast",AVERAGE(BB36:BM36),'Dept. Cost Actuals'!BR794)</f>
        <v>45.615042621205497</v>
      </c>
      <c r="BO36" s="684">
        <f>IF(BO$4="forecast",AVERAGE(BC36:BN36),'Dept. Cost Actuals'!BS794)</f>
        <v>45.61429893561089</v>
      </c>
      <c r="BP36" s="684">
        <f>IF(BP$4="forecast",AVERAGE(BD36:BO36),'Dept. Cost Actuals'!BT794)</f>
        <v>45.620442882090195</v>
      </c>
      <c r="BQ36" s="684">
        <f>IF(BQ$4="forecast",AVERAGE(BE36:BP36),'Dept. Cost Actuals'!BU794)</f>
        <v>45.631231411384682</v>
      </c>
      <c r="BR36" s="684">
        <f>IF(BR$4="forecast",AVERAGE(BF36:BQ36),'Dept. Cost Actuals'!BV794)</f>
        <v>45.641185285476098</v>
      </c>
      <c r="BS36" s="684">
        <f>IF(BS$4="forecast",AVERAGE(BG36:BR36),'Dept. Cost Actuals'!BW794)</f>
        <v>45.648498838769051</v>
      </c>
      <c r="BT36" s="684">
        <f>IF(BT$4="forecast",AVERAGE(BH36:BS36),'Dept. Cost Actuals'!BX794)</f>
        <v>45.648624207945517</v>
      </c>
      <c r="BU36" s="684">
        <f>IF(BU$4="forecast",AVERAGE(BI36:BT36),'Dept. Cost Actuals'!BY794)</f>
        <v>45.644269170141854</v>
      </c>
      <c r="BV36" s="808">
        <f>IF(BV$4="forecast",AVERAGE(BJ36:BU36),'Dept. Cost Actuals'!BZ794)</f>
        <v>45.638780324442472</v>
      </c>
    </row>
    <row r="37" spans="2:74" x14ac:dyDescent="0.35">
      <c r="B37" s="812" t="s">
        <v>929</v>
      </c>
      <c r="C37" s="684">
        <f>IF(C$4="forecast",AVERAGE(#REF!),'Dept. Cost Actuals'!G831)</f>
        <v>0</v>
      </c>
      <c r="D37" s="684">
        <f>IF(D$4="forecast",AVERAGE(#REF!),'Dept. Cost Actuals'!H831)</f>
        <v>30.272292715912545</v>
      </c>
      <c r="E37" s="684">
        <f>IF(E$4="forecast",AVERAGE(#REF!),'Dept. Cost Actuals'!I831)</f>
        <v>30.827843056834766</v>
      </c>
      <c r="F37" s="684">
        <f>IF(F$4="forecast",AVERAGE(#REF!),'Dept. Cost Actuals'!J831)</f>
        <v>26.90166949799049</v>
      </c>
      <c r="G37" s="684">
        <f>IF(G$4="forecast",AVERAGE(#REF!),'Dept. Cost Actuals'!K831)</f>
        <v>48.471245781313726</v>
      </c>
      <c r="H37" s="684">
        <f>IF(H$4="forecast",AVERAGE(#REF!),'Dept. Cost Actuals'!L831)</f>
        <v>0</v>
      </c>
      <c r="I37" s="684">
        <f>IF(I$4="forecast",AVERAGE(#REF!),'Dept. Cost Actuals'!M831)</f>
        <v>5.2057850836963269</v>
      </c>
      <c r="J37" s="684">
        <f>IF(J$4="forecast",AVERAGE(#REF!),'Dept. Cost Actuals'!N831)</f>
        <v>400</v>
      </c>
      <c r="K37" s="684">
        <f>IF(K$4="forecast",AVERAGE(#REF!),'Dept. Cost Actuals'!O831)</f>
        <v>0</v>
      </c>
      <c r="L37" s="684">
        <f>IF(L$4="forecast",AVERAGE(#REF!),'Dept. Cost Actuals'!P831)</f>
        <v>1.6362716702390572</v>
      </c>
      <c r="M37" s="684">
        <f>IF(M$4="forecast",AVERAGE(A37:L37),'Dept. Cost Actuals'!Q831)</f>
        <v>0</v>
      </c>
      <c r="N37" s="684">
        <f>IF(N$4="forecast",AVERAGE(B37:M37),'Dept. Cost Actuals'!R831)</f>
        <v>0</v>
      </c>
      <c r="O37" s="684">
        <f>IF(O$4="forecast",AVERAGE(C37:N37),'Dept. Cost Actuals'!S831)</f>
        <v>0</v>
      </c>
      <c r="P37" s="684">
        <f>IF(P$4="forecast",AVERAGE(D37:O37),'Dept. Cost Actuals'!T831)</f>
        <v>0</v>
      </c>
      <c r="Q37" s="684">
        <f>IF(Q$4="forecast",AVERAGE(E37:P37),'Dept. Cost Actuals'!U831)</f>
        <v>104.43</v>
      </c>
      <c r="R37" s="684">
        <f>IF(R$4="forecast",AVERAGE(F37:Q37),'Dept. Cost Actuals'!V831)</f>
        <v>0</v>
      </c>
      <c r="S37" s="684">
        <f>IF(S$4="forecast",AVERAGE(G37:R37),'Dept. Cost Actuals'!W831)</f>
        <v>0</v>
      </c>
      <c r="T37" s="684">
        <f>IF(T$4="forecast",AVERAGE(H37:S37),'Dept. Cost Actuals'!X831)</f>
        <v>0</v>
      </c>
      <c r="U37" s="684">
        <f>IF(U$4="forecast",AVERAGE(I37:T37),'Dept. Cost Actuals'!Y831)</f>
        <v>0</v>
      </c>
      <c r="V37" s="684">
        <f>IF(V$4="forecast",AVERAGE(J37:U37),'Dept. Cost Actuals'!Z831)</f>
        <v>978.35</v>
      </c>
      <c r="W37" s="684">
        <f>IF(W$4="forecast",AVERAGE(K37:V37),'Dept. Cost Actuals'!AA831)</f>
        <v>0</v>
      </c>
      <c r="X37" s="684">
        <f>IF(X$4="forecast",AVERAGE(L37:W37),'Dept. Cost Actuals'!AB831)</f>
        <v>0</v>
      </c>
      <c r="Y37" s="684">
        <f>IF(Y$4="forecast",AVERAGE(M37:X37),'Dept. Cost Actuals'!AC831)</f>
        <v>0</v>
      </c>
      <c r="Z37" s="684">
        <f>IF(Z$4="forecast",AVERAGE(N37:Y37),'Dept. Cost Actuals'!AD831)</f>
        <v>0</v>
      </c>
      <c r="AA37" s="684">
        <f>IF(AA$4="forecast",AVERAGE(O37:Z37),'Dept. Cost Actuals'!AE831)</f>
        <v>90.231666666666669</v>
      </c>
      <c r="AB37" s="684">
        <f>IF(AB$4="forecast",AVERAGE(P37:AA37),'Dept. Cost Actuals'!AF831)</f>
        <v>97.750972222222217</v>
      </c>
      <c r="AC37" s="684">
        <f>IF(AC$4="forecast",AVERAGE(Q37:AB37),'Dept. Cost Actuals'!AG831)</f>
        <v>105.89688657407406</v>
      </c>
      <c r="AD37" s="684">
        <f>IF(AD$4="forecast",AVERAGE(R37:AC37),'Dept. Cost Actuals'!AH831)</f>
        <v>106.01912712191357</v>
      </c>
      <c r="AE37" s="684">
        <f>IF(AE$4="forecast",AVERAGE(S37:AD37),'Dept. Cost Actuals'!AI831)</f>
        <v>114.85405438207302</v>
      </c>
      <c r="AF37" s="684">
        <f>IF(AF$4="forecast",AVERAGE(T37:AE37),'Dept. Cost Actuals'!AJ831)</f>
        <v>124.4252255805791</v>
      </c>
      <c r="AG37" s="684">
        <f>IF(AG$4="forecast",AVERAGE(U37:AF37),'Dept. Cost Actuals'!AK831)</f>
        <v>134.79399437896069</v>
      </c>
      <c r="AH37" s="684">
        <f>IF(AH$4="forecast",AVERAGE(V37:AG37),'Dept. Cost Actuals'!AL831)</f>
        <v>146.02682724387407</v>
      </c>
      <c r="AI37" s="684">
        <f>IF(AI$4="forecast",AVERAGE(W37:AH37),'Dept. Cost Actuals'!AM831)</f>
        <v>76.666562847530273</v>
      </c>
      <c r="AJ37" s="684">
        <f>IF(AJ$4="forecast",AVERAGE(X37:AI37),'Dept. Cost Actuals'!AN831)</f>
        <v>83.055443084824461</v>
      </c>
      <c r="AK37" s="684">
        <f>IF(AK$4="forecast",AVERAGE(Y37:AJ37),'Dept. Cost Actuals'!AO831)</f>
        <v>89.976730008559841</v>
      </c>
      <c r="AL37" s="684">
        <f>IF(AL$4="forecast",AVERAGE(Z37:AK37),'Dept. Cost Actuals'!AP831)</f>
        <v>97.474790842606481</v>
      </c>
      <c r="AM37" s="684">
        <f>IF(AM$4="forecast",AVERAGE(AA37:AL37),'Dept. Cost Actuals'!AQ831)</f>
        <v>105.59769007949036</v>
      </c>
      <c r="AN37" s="684">
        <f>IF(AN$4="forecast",AVERAGE(AB37:AM37),'Dept. Cost Actuals'!AR831)</f>
        <v>106.87819203055902</v>
      </c>
      <c r="AO37" s="684">
        <f>IF(AO$4="forecast",AVERAGE(AC37:AN37),'Dept. Cost Actuals'!AS831)</f>
        <v>107.63879368125373</v>
      </c>
      <c r="AP37" s="684">
        <f>IF(AP$4="forecast",AVERAGE(AD37:AO37),'Dept. Cost Actuals'!AT831)</f>
        <v>107.78395260685204</v>
      </c>
      <c r="AQ37" s="684">
        <f>IF(AQ$4="forecast",AVERAGE(AE37:AP37),'Dept. Cost Actuals'!AU831)</f>
        <v>107.93102139726356</v>
      </c>
      <c r="AR37" s="684">
        <f>IF(AR$4="forecast",AVERAGE(AF37:AQ37),'Dept. Cost Actuals'!AV831)</f>
        <v>107.3541019818628</v>
      </c>
      <c r="AS37" s="684">
        <f>IF(AS$4="forecast",AVERAGE(AG37:AR37),'Dept. Cost Actuals'!AW831)</f>
        <v>105.93150834863644</v>
      </c>
      <c r="AT37" s="684">
        <f>IF(AT$4="forecast",AVERAGE(AH37:AS37),'Dept. Cost Actuals'!AX831)</f>
        <v>103.52630117944278</v>
      </c>
      <c r="AU37" s="684">
        <f>IF(AU$4="forecast",AVERAGE(AI37:AT37),'Dept. Cost Actuals'!AY831)</f>
        <v>99.984590674073459</v>
      </c>
      <c r="AV37" s="684">
        <f>IF(AV$4="forecast",AVERAGE(AJ37:AU37),'Dept. Cost Actuals'!AZ831)</f>
        <v>101.92775965961873</v>
      </c>
      <c r="AW37" s="684">
        <f>IF(AW$4="forecast",AVERAGE(AK37:AV37),'Dept. Cost Actuals'!BA831)</f>
        <v>103.50045270751825</v>
      </c>
      <c r="AX37" s="684">
        <f>IF(AX$4="forecast",AVERAGE(AL37:AW37),'Dept. Cost Actuals'!BB831)</f>
        <v>104.62742959909811</v>
      </c>
      <c r="AY37" s="684">
        <f>IF(AY$4="forecast",AVERAGE(AM37:AX37),'Dept. Cost Actuals'!BC831)</f>
        <v>105.22348282880579</v>
      </c>
      <c r="AZ37" s="684">
        <f>IF(AZ$4="forecast",AVERAGE(AN37:AY37),'Dept. Cost Actuals'!BD831)</f>
        <v>105.19229889124874</v>
      </c>
      <c r="BA37" s="684">
        <f>IF(BA$4="forecast",AVERAGE(AO37:AZ37),'Dept. Cost Actuals'!BE831)</f>
        <v>105.05180779630621</v>
      </c>
      <c r="BB37" s="684">
        <f>IF(BB$4="forecast",AVERAGE(AP37:BA37),'Dept. Cost Actuals'!BF831)</f>
        <v>104.83622563922727</v>
      </c>
      <c r="BC37" s="684">
        <f>IF(BC$4="forecast",AVERAGE(AQ37:BB37),'Dept. Cost Actuals'!BG831)</f>
        <v>104.5905817252585</v>
      </c>
      <c r="BD37" s="684">
        <f>IF(BD$4="forecast",AVERAGE(AR37:BC37),'Dept. Cost Actuals'!BH831)</f>
        <v>104.31221175259141</v>
      </c>
      <c r="BE37" s="684">
        <f>IF(BE$4="forecast",AVERAGE(AS37:BD37),'Dept. Cost Actuals'!BI831)</f>
        <v>104.05872090015214</v>
      </c>
      <c r="BF37" s="684">
        <f>IF(BF$4="forecast",AVERAGE(AT37:BE37),'Dept. Cost Actuals'!BJ831)</f>
        <v>103.90265527944511</v>
      </c>
      <c r="BG37" s="684">
        <f>IF(BG$4="forecast",AVERAGE(AU37:BF37),'Dept. Cost Actuals'!BK831)</f>
        <v>103.93401812111198</v>
      </c>
      <c r="BH37" s="684">
        <f>IF(BH$4="forecast",AVERAGE(AV37:BG37),'Dept. Cost Actuals'!BL831)</f>
        <v>104.26313707503185</v>
      </c>
      <c r="BI37" s="684">
        <f>IF(BI$4="forecast",AVERAGE(AW37:BH37),'Dept. Cost Actuals'!BM831)</f>
        <v>104.4577518596496</v>
      </c>
      <c r="BJ37" s="684">
        <f>IF(BJ$4="forecast",AVERAGE(AX37:BI37),'Dept. Cost Actuals'!BN831)</f>
        <v>104.53752678899389</v>
      </c>
      <c r="BK37" s="684">
        <f>IF(BK$4="forecast",AVERAGE(AY37:BJ37),'Dept. Cost Actuals'!BO831)</f>
        <v>104.53003488815186</v>
      </c>
      <c r="BL37" s="684">
        <f>IF(BL$4="forecast",AVERAGE(AZ37:BK37),'Dept. Cost Actuals'!BP831)</f>
        <v>104.47224755976406</v>
      </c>
      <c r="BM37" s="684">
        <f>IF(BM$4="forecast",AVERAGE(BA37:BL37),'Dept. Cost Actuals'!BQ831)</f>
        <v>104.41224328214032</v>
      </c>
      <c r="BN37" s="684">
        <f>IF(BN$4="forecast",AVERAGE(BB37:BM37),'Dept. Cost Actuals'!BR831)</f>
        <v>104.35894623929318</v>
      </c>
      <c r="BO37" s="684">
        <f>IF(BO$4="forecast",AVERAGE(BC37:BN37),'Dept. Cost Actuals'!BS831)</f>
        <v>104.31917295596531</v>
      </c>
      <c r="BP37" s="684">
        <f>IF(BP$4="forecast",AVERAGE(BD37:BO37),'Dept. Cost Actuals'!BT831)</f>
        <v>104.29655555852422</v>
      </c>
      <c r="BQ37" s="684">
        <f>IF(BQ$4="forecast",AVERAGE(BE37:BP37),'Dept. Cost Actuals'!BU831)</f>
        <v>104.29525087568528</v>
      </c>
      <c r="BR37" s="684">
        <f>IF(BR$4="forecast",AVERAGE(BF37:BQ37),'Dept. Cost Actuals'!BV831)</f>
        <v>104.31496170697972</v>
      </c>
      <c r="BS37" s="684">
        <f>IF(BS$4="forecast",AVERAGE(BG37:BR37),'Dept. Cost Actuals'!BW831)</f>
        <v>104.34932057594092</v>
      </c>
      <c r="BT37" s="684">
        <f>IF(BT$4="forecast",AVERAGE(BH37:BS37),'Dept. Cost Actuals'!BX831)</f>
        <v>104.38392911384335</v>
      </c>
      <c r="BU37" s="684">
        <f>IF(BU$4="forecast",AVERAGE(BI37:BT37),'Dept. Cost Actuals'!BY831)</f>
        <v>104.39399511707764</v>
      </c>
      <c r="BV37" s="808">
        <f>IF(BV$4="forecast",AVERAGE(BJ37:BU37),'Dept. Cost Actuals'!BZ831)</f>
        <v>104.38868205519664</v>
      </c>
    </row>
    <row r="38" spans="2:74" x14ac:dyDescent="0.35">
      <c r="B38" s="812" t="s">
        <v>951</v>
      </c>
      <c r="C38" s="684">
        <f>IF(C$4="forecast",AVERAGE(#REF!),'Dept. Cost Actuals'!G385)</f>
        <v>22.11061103839592</v>
      </c>
      <c r="D38" s="684">
        <f>IF(D$4="forecast",AVERAGE(#REF!),'Dept. Cost Actuals'!H385)</f>
        <v>33.584457760604629</v>
      </c>
      <c r="E38" s="684">
        <f>IF(E$4="forecast",AVERAGE(#REF!),'Dept. Cost Actuals'!I385)</f>
        <v>5.8153308320418473</v>
      </c>
      <c r="F38" s="684">
        <f>IF(F$4="forecast",AVERAGE(#REF!),'Dept. Cost Actuals'!J385)</f>
        <v>6.0361695938620672</v>
      </c>
      <c r="G38" s="684">
        <f>IF(G$4="forecast",AVERAGE(#REF!),'Dept. Cost Actuals'!K385)</f>
        <v>235.13861270941018</v>
      </c>
      <c r="H38" s="684">
        <f>IF(H$4="forecast",AVERAGE(#REF!),'Dept. Cost Actuals'!L385)</f>
        <v>0</v>
      </c>
      <c r="I38" s="684">
        <f>IF(I$4="forecast",AVERAGE(#REF!),'Dept. Cost Actuals'!M385)</f>
        <v>0</v>
      </c>
      <c r="J38" s="684">
        <f>IF(J$4="forecast",AVERAGE(#REF!),'Dept. Cost Actuals'!N385)</f>
        <v>17.943458128332715</v>
      </c>
      <c r="K38" s="684">
        <f>IF(K$4="forecast",AVERAGE(#REF!),'Dept. Cost Actuals'!O385)</f>
        <v>0</v>
      </c>
      <c r="L38" s="684">
        <f>IF(L$4="forecast",AVERAGE(#REF!),'Dept. Cost Actuals'!P385)</f>
        <v>253.41937397005296</v>
      </c>
      <c r="M38" s="684">
        <f>IF(M$4="forecast",AVERAGE(A38:L38),'Dept. Cost Actuals'!Q385)</f>
        <v>0</v>
      </c>
      <c r="N38" s="684">
        <f>IF(N$4="forecast",AVERAGE(B38:M38),'Dept. Cost Actuals'!R385)</f>
        <v>0</v>
      </c>
      <c r="O38" s="684">
        <f>IF(O$4="forecast",AVERAGE(C38:N38),'Dept. Cost Actuals'!S721)</f>
        <v>0</v>
      </c>
      <c r="P38" s="684">
        <f>IF(P$4="forecast",AVERAGE(D38:O38),'Dept. Cost Actuals'!T721)</f>
        <v>45</v>
      </c>
      <c r="Q38" s="684">
        <f>IF(Q$4="forecast",AVERAGE(E38:P38),'Dept. Cost Actuals'!U721)</f>
        <v>349</v>
      </c>
      <c r="R38" s="684">
        <f>IF(R$4="forecast",AVERAGE(F38:Q38),'Dept. Cost Actuals'!V721)</f>
        <v>210</v>
      </c>
      <c r="S38" s="684">
        <f>IF(S$4="forecast",AVERAGE(G38:R38),'Dept. Cost Actuals'!W721)</f>
        <v>-210</v>
      </c>
      <c r="T38" s="684">
        <f>IF(T$4="forecast",AVERAGE(H38:S38),'Dept. Cost Actuals'!X721)</f>
        <v>0</v>
      </c>
      <c r="U38" s="684">
        <f>IF(U$4="forecast",AVERAGE(I38:T38),'Dept. Cost Actuals'!Y721)</f>
        <v>136.5</v>
      </c>
      <c r="V38" s="684">
        <f>IF(V$4="forecast",AVERAGE(J38:U38),'Dept. Cost Actuals'!Z721)</f>
        <v>0</v>
      </c>
      <c r="W38" s="684">
        <f>IF(W$4="forecast",AVERAGE(K38:V38),'Dept. Cost Actuals'!AA721)</f>
        <v>0</v>
      </c>
      <c r="X38" s="684">
        <f>IF(X$4="forecast",AVERAGE(L38:W38),'Dept. Cost Actuals'!AB721)</f>
        <v>0</v>
      </c>
      <c r="Y38" s="684">
        <f>IF(Y$4="forecast",AVERAGE(M38:X38),'Dept. Cost Actuals'!AC721)</f>
        <v>0</v>
      </c>
      <c r="Z38" s="684">
        <f>IF(Z$4="forecast",AVERAGE(N38:Y38),'Dept. Cost Actuals'!AD721)</f>
        <v>0</v>
      </c>
      <c r="AA38" s="684">
        <f>IF(AA$4="forecast",AVERAGE(O38:Z38),'Dept. Cost Actuals'!AE721)</f>
        <v>44.208333333333336</v>
      </c>
      <c r="AB38" s="684">
        <f>IF(AB$4="forecast",AVERAGE(P38:AA38),'Dept. Cost Actuals'!AF721)</f>
        <v>47.892361111111114</v>
      </c>
      <c r="AC38" s="684">
        <f>IF(AC$4="forecast",AVERAGE(Q38:AB38),'Dept. Cost Actuals'!AG721)</f>
        <v>48.133391203703702</v>
      </c>
      <c r="AD38" s="684">
        <f>IF(AD$4="forecast",AVERAGE(R38:AC38),'Dept. Cost Actuals'!AH721)</f>
        <v>23.061173804012345</v>
      </c>
      <c r="AE38" s="684">
        <f>IF(AE$4="forecast",AVERAGE(S38:AD38),'Dept. Cost Actuals'!AI721)</f>
        <v>7.4829382876800414</v>
      </c>
      <c r="AF38" s="684">
        <f>IF(AF$4="forecast",AVERAGE(T38:AE38),'Dept. Cost Actuals'!AJ721)</f>
        <v>25.606516478320046</v>
      </c>
      <c r="AG38" s="684">
        <f>IF(AG$4="forecast",AVERAGE(U38:AF38),'Dept. Cost Actuals'!AK721)</f>
        <v>27.740392851513381</v>
      </c>
      <c r="AH38" s="684">
        <f>IF(AH$4="forecast",AVERAGE(V38:AG38),'Dept. Cost Actuals'!AL721)</f>
        <v>18.677092255806162</v>
      </c>
      <c r="AI38" s="684">
        <f>IF(AI$4="forecast",AVERAGE(W38:AH38),'Dept. Cost Actuals'!AM721)</f>
        <v>20.233516610456679</v>
      </c>
      <c r="AJ38" s="684">
        <f>IF(AJ$4="forecast",AVERAGE(X38:AI38),'Dept. Cost Actuals'!AN721)</f>
        <v>21.919642994661402</v>
      </c>
      <c r="AK38" s="684">
        <f>IF(AK$4="forecast",AVERAGE(Y38:AJ38),'Dept. Cost Actuals'!AO721)</f>
        <v>23.746279910883185</v>
      </c>
      <c r="AL38" s="684">
        <f>IF(AL$4="forecast",AVERAGE(Z38:AK38),'Dept. Cost Actuals'!AP721)</f>
        <v>25.72513657012345</v>
      </c>
      <c r="AM38" s="684">
        <f>IF(AM$4="forecast",AVERAGE(AA38:AL38),'Dept. Cost Actuals'!AQ721)</f>
        <v>27.868897950967067</v>
      </c>
      <c r="AN38" s="684">
        <f>IF(AN$4="forecast",AVERAGE(AB38:AM38),'Dept. Cost Actuals'!AR721)</f>
        <v>26.507278335769882</v>
      </c>
      <c r="AO38" s="684">
        <f>IF(AO$4="forecast",AVERAGE(AC38:AN38),'Dept. Cost Actuals'!AS721)</f>
        <v>24.725188104491451</v>
      </c>
      <c r="AP38" s="684">
        <f>IF(AP$4="forecast",AVERAGE(AD38:AO38),'Dept. Cost Actuals'!AT721)</f>
        <v>22.774504512890427</v>
      </c>
      <c r="AQ38" s="684">
        <f>IF(AQ$4="forecast",AVERAGE(AE38:AP38),'Dept. Cost Actuals'!AU721)</f>
        <v>22.75061540529693</v>
      </c>
      <c r="AR38" s="684">
        <f>IF(AR$4="forecast",AVERAGE(AF38:AQ38),'Dept. Cost Actuals'!AV721)</f>
        <v>24.022921831765004</v>
      </c>
      <c r="AS38" s="684">
        <f>IF(AS$4="forecast",AVERAGE(AG38:AR38),'Dept. Cost Actuals'!AW721)</f>
        <v>23.890955611218754</v>
      </c>
      <c r="AT38" s="684">
        <f>IF(AT$4="forecast",AVERAGE(AH38:AS38),'Dept. Cost Actuals'!AX721)</f>
        <v>23.570169174527535</v>
      </c>
      <c r="AU38" s="684">
        <f>IF(AU$4="forecast",AVERAGE(AI38:AT38),'Dept. Cost Actuals'!AY721)</f>
        <v>23.977925584420984</v>
      </c>
      <c r="AV38" s="684">
        <f>IF(AV$4="forecast",AVERAGE(AJ38:AU38),'Dept. Cost Actuals'!AZ721)</f>
        <v>24.289959665584671</v>
      </c>
      <c r="AW38" s="684">
        <f>IF(AW$4="forecast",AVERAGE(AK38:AV38),'Dept. Cost Actuals'!BA721)</f>
        <v>24.487486054828278</v>
      </c>
      <c r="AX38" s="684">
        <f>IF(AX$4="forecast",AVERAGE(AL38:AW38),'Dept. Cost Actuals'!BB721)</f>
        <v>24.549253233490365</v>
      </c>
      <c r="AY38" s="684">
        <f>IF(AY$4="forecast",AVERAGE(AM38:AX38),'Dept. Cost Actuals'!BC721)</f>
        <v>24.45126295543761</v>
      </c>
      <c r="AZ38" s="684">
        <f>IF(AZ$4="forecast",AVERAGE(AN38:AY38),'Dept. Cost Actuals'!BD721)</f>
        <v>24.166460039143487</v>
      </c>
      <c r="BA38" s="684">
        <f>IF(BA$4="forecast",AVERAGE(AO38:AZ38),'Dept. Cost Actuals'!BE721)</f>
        <v>23.971391847757957</v>
      </c>
      <c r="BB38" s="684">
        <f>IF(BB$4="forecast",AVERAGE(AP38:BA38),'Dept. Cost Actuals'!BF721)</f>
        <v>23.908575493030167</v>
      </c>
      <c r="BC38" s="684">
        <f>IF(BC$4="forecast",AVERAGE(AQ38:BB38),'Dept. Cost Actuals'!BG721)</f>
        <v>24.003081408041812</v>
      </c>
      <c r="BD38" s="684">
        <f>IF(BD$4="forecast",AVERAGE(AR38:BC38),'Dept. Cost Actuals'!BH721)</f>
        <v>24.107453574937221</v>
      </c>
      <c r="BE38" s="684">
        <f>IF(BE$4="forecast",AVERAGE(AS38:BD38),'Dept. Cost Actuals'!BI721)</f>
        <v>24.114497886868236</v>
      </c>
      <c r="BF38" s="684">
        <f>IF(BF$4="forecast",AVERAGE(AT38:BE38),'Dept. Cost Actuals'!BJ721)</f>
        <v>24.133126409839026</v>
      </c>
      <c r="BG38" s="684">
        <f>IF(BG$4="forecast",AVERAGE(AU38:BF38),'Dept. Cost Actuals'!BK721)</f>
        <v>24.180039512781647</v>
      </c>
      <c r="BH38" s="684">
        <f>IF(BH$4="forecast",AVERAGE(AV38:BG38),'Dept. Cost Actuals'!BL721)</f>
        <v>24.196882340145041</v>
      </c>
      <c r="BI38" s="684">
        <f>IF(BI$4="forecast",AVERAGE(AW38:BH38),'Dept. Cost Actuals'!BM721)</f>
        <v>24.189125896358405</v>
      </c>
      <c r="BJ38" s="684">
        <f>IF(BJ$4="forecast",AVERAGE(AX38:BI38),'Dept. Cost Actuals'!BN721)</f>
        <v>24.164262549819252</v>
      </c>
      <c r="BK38" s="684">
        <f>IF(BK$4="forecast",AVERAGE(AY38:BJ38),'Dept. Cost Actuals'!BO721)</f>
        <v>24.132179992846648</v>
      </c>
      <c r="BL38" s="684">
        <f>IF(BL$4="forecast",AVERAGE(AZ38:BK38),'Dept. Cost Actuals'!BP721)</f>
        <v>24.105589745964078</v>
      </c>
      <c r="BM38" s="684">
        <f>IF(BM$4="forecast",AVERAGE(BA38:BL38),'Dept. Cost Actuals'!BQ721)</f>
        <v>24.10051722153246</v>
      </c>
      <c r="BN38" s="684">
        <f>IF(BN$4="forecast",AVERAGE(BB38:BM38),'Dept. Cost Actuals'!BR721)</f>
        <v>24.111277669347004</v>
      </c>
      <c r="BO38" s="684">
        <f>IF(BO$4="forecast",AVERAGE(BC38:BN38),'Dept. Cost Actuals'!BS721)</f>
        <v>24.128169517373397</v>
      </c>
      <c r="BP38" s="684">
        <f>IF(BP$4="forecast",AVERAGE(BD38:BO38),'Dept. Cost Actuals'!BT721)</f>
        <v>24.138593526484367</v>
      </c>
      <c r="BQ38" s="684">
        <f>IF(BQ$4="forecast",AVERAGE(BE38:BP38),'Dept. Cost Actuals'!BU721)</f>
        <v>24.14118852244663</v>
      </c>
      <c r="BR38" s="684">
        <f>IF(BR$4="forecast",AVERAGE(BF38:BQ38),'Dept. Cost Actuals'!BV721)</f>
        <v>24.143412742078166</v>
      </c>
      <c r="BS38" s="684">
        <f>IF(BS$4="forecast",AVERAGE(BG38:BR38),'Dept. Cost Actuals'!BW721)</f>
        <v>24.144269936431424</v>
      </c>
      <c r="BT38" s="684">
        <f>IF(BT$4="forecast",AVERAGE(BH38:BS38),'Dept. Cost Actuals'!BX721)</f>
        <v>24.141289138402243</v>
      </c>
      <c r="BU38" s="684">
        <f>IF(BU$4="forecast",AVERAGE(BI38:BT38),'Dept. Cost Actuals'!BY721)</f>
        <v>24.136656371590345</v>
      </c>
      <c r="BV38" s="808">
        <f>IF(BV$4="forecast",AVERAGE(BJ38:BU38),'Dept. Cost Actuals'!BZ721)</f>
        <v>24.132283911192999</v>
      </c>
    </row>
    <row r="39" spans="2:74" x14ac:dyDescent="0.35">
      <c r="B39" s="816" t="s">
        <v>952</v>
      </c>
      <c r="C39" s="810">
        <f>IF(C$4="forecast",AVERAGE(#REF!),'Dept. Cost Actuals'!G758)</f>
        <v>0</v>
      </c>
      <c r="D39" s="810">
        <f>IF(D$4="forecast",AVERAGE(#REF!),'Dept. Cost Actuals'!H758)</f>
        <v>0</v>
      </c>
      <c r="E39" s="810">
        <f>IF(E$4="forecast",AVERAGE(#REF!),'Dept. Cost Actuals'!I758)</f>
        <v>0</v>
      </c>
      <c r="F39" s="810">
        <f>IF(F$4="forecast",AVERAGE(#REF!),'Dept. Cost Actuals'!J758)</f>
        <v>0</v>
      </c>
      <c r="G39" s="810">
        <f>IF(G$4="forecast",AVERAGE(#REF!),'Dept. Cost Actuals'!K758)</f>
        <v>8.9619604892281295</v>
      </c>
      <c r="H39" s="810">
        <f>IF(H$4="forecast",AVERAGE(#REF!),'Dept. Cost Actuals'!L758)</f>
        <v>53.4420280841032</v>
      </c>
      <c r="I39" s="810">
        <f>IF(I$4="forecast",AVERAGE(#REF!),'Dept. Cost Actuals'!M758)</f>
        <v>38.017327887725905</v>
      </c>
      <c r="J39" s="810">
        <f>IF(J$4="forecast",AVERAGE(#REF!),'Dept. Cost Actuals'!N758)</f>
        <v>0.44378214341557171</v>
      </c>
      <c r="K39" s="810">
        <f>IF(K$4="forecast",AVERAGE(#REF!),'Dept. Cost Actuals'!O758)</f>
        <v>0</v>
      </c>
      <c r="L39" s="810">
        <f>IF(L$4="forecast",AVERAGE(#REF!),'Dept. Cost Actuals'!P758)</f>
        <v>291.12041808904797</v>
      </c>
      <c r="M39" s="810">
        <f>IF(M$4="forecast",AVERAGE(A39:L39),'Dept. Cost Actuals'!Q758)</f>
        <v>39.300972212137147</v>
      </c>
      <c r="N39" s="810">
        <f>IF(N$4="forecast",AVERAGE(B39:M39),'Dept. Cost Actuals'!R758)</f>
        <v>204.85342322777717</v>
      </c>
      <c r="O39" s="810">
        <f>IF(O$4="forecast",AVERAGE(C39:N39),'Dept. Cost Actuals'!S758)</f>
        <v>0</v>
      </c>
      <c r="P39" s="810">
        <f>IF(P$4="forecast",AVERAGE(D39:O39),'Dept. Cost Actuals'!T758)</f>
        <v>21.89</v>
      </c>
      <c r="Q39" s="810">
        <f>IF(Q$4="forecast",AVERAGE(E39:P39),'Dept. Cost Actuals'!U758)</f>
        <v>0</v>
      </c>
      <c r="R39" s="810">
        <f>IF(R$4="forecast",AVERAGE(F39:Q39),'Dept. Cost Actuals'!V758)</f>
        <v>0</v>
      </c>
      <c r="S39" s="810">
        <f>IF(S$4="forecast",AVERAGE(G39:R39),'Dept. Cost Actuals'!W758)</f>
        <v>53.65</v>
      </c>
      <c r="T39" s="810">
        <f>IF(T$4="forecast",AVERAGE(H39:S39),'Dept. Cost Actuals'!X758)</f>
        <v>0</v>
      </c>
      <c r="U39" s="810">
        <f>IF(U$4="forecast",AVERAGE(I39:T39),'Dept. Cost Actuals'!Y758)</f>
        <v>0</v>
      </c>
      <c r="V39" s="810">
        <f>IF(V$4="forecast",AVERAGE(J39:U39),'Dept. Cost Actuals'!Z758)</f>
        <v>84.64</v>
      </c>
      <c r="W39" s="810">
        <f>IF(W$4="forecast",AVERAGE(K39:V39),'Dept. Cost Actuals'!AA758)</f>
        <v>0</v>
      </c>
      <c r="X39" s="810">
        <f>IF(X$4="forecast",AVERAGE(L39:W39),'Dept. Cost Actuals'!AB758)</f>
        <v>140.4</v>
      </c>
      <c r="Y39" s="810">
        <f>IF(Y$4="forecast",AVERAGE(M39:X39),'Dept. Cost Actuals'!AC758)</f>
        <v>0</v>
      </c>
      <c r="Z39" s="810">
        <f>IF(Z$4="forecast",AVERAGE(N39:Y39),'Dept. Cost Actuals'!AD758)</f>
        <v>0</v>
      </c>
      <c r="AA39" s="810">
        <f>IF(AA$4="forecast",AVERAGE(O39:Z39),'Dept. Cost Actuals'!AE758)</f>
        <v>25.048333333333336</v>
      </c>
      <c r="AB39" s="810">
        <f>IF(AB$4="forecast",AVERAGE(P39:AA39),'Dept. Cost Actuals'!AF758)</f>
        <v>27.13569444444445</v>
      </c>
      <c r="AC39" s="810">
        <f>IF(AC$4="forecast",AVERAGE(Q39:AB39),'Dept. Cost Actuals'!AG758)</f>
        <v>27.572835648148146</v>
      </c>
      <c r="AD39" s="810">
        <f>IF(AD$4="forecast",AVERAGE(R39:AC39),'Dept. Cost Actuals'!AH758)</f>
        <v>29.870571952160493</v>
      </c>
      <c r="AE39" s="810">
        <f>IF(AE$4="forecast",AVERAGE(S39:AD39),'Dept. Cost Actuals'!AI758)</f>
        <v>32.359786281507205</v>
      </c>
      <c r="AF39" s="810">
        <f>IF(AF$4="forecast",AVERAGE(T39:AE39),'Dept. Cost Actuals'!AJ758)</f>
        <v>30.585601804966135</v>
      </c>
      <c r="AG39" s="810">
        <f>IF(AG$4="forecast",AVERAGE(U39:AF39),'Dept. Cost Actuals'!AK758)</f>
        <v>33.134401955379978</v>
      </c>
      <c r="AH39" s="810">
        <f>IF(AH$4="forecast",AVERAGE(V39:AG39),'Dept. Cost Actuals'!AL758)</f>
        <v>35.895602118328313</v>
      </c>
      <c r="AI39" s="810">
        <f>IF(AI$4="forecast",AVERAGE(W39:AH39),'Dept. Cost Actuals'!AM758)</f>
        <v>31.833568961522342</v>
      </c>
      <c r="AJ39" s="810">
        <f>IF(AJ$4="forecast",AVERAGE(X39:AI39),'Dept. Cost Actuals'!AN758)</f>
        <v>34.486366374982538</v>
      </c>
      <c r="AK39" s="810">
        <f>IF(AK$4="forecast",AVERAGE(Y39:AJ39),'Dept. Cost Actuals'!AO758)</f>
        <v>25.660230239564413</v>
      </c>
      <c r="AL39" s="810">
        <f>IF(AL$4="forecast",AVERAGE(Z39:AK39),'Dept. Cost Actuals'!AP758)</f>
        <v>27.798582759528113</v>
      </c>
      <c r="AM39" s="810">
        <f>IF(AM$4="forecast",AVERAGE(AA39:AL39),'Dept. Cost Actuals'!AQ758)</f>
        <v>30.115131322822123</v>
      </c>
      <c r="AN39" s="810">
        <f>IF(AN$4="forecast",AVERAGE(AB39:AM39),'Dept. Cost Actuals'!AR758)</f>
        <v>30.537364488612848</v>
      </c>
      <c r="AO39" s="810">
        <f>IF(AO$4="forecast",AVERAGE(AC39:AN39),'Dept. Cost Actuals'!AS758)</f>
        <v>30.820836992293561</v>
      </c>
      <c r="AP39" s="810">
        <f>IF(AP$4="forecast",AVERAGE(AD39:AO39),'Dept. Cost Actuals'!AT758)</f>
        <v>31.091503770972341</v>
      </c>
      <c r="AQ39" s="810">
        <f>IF(AQ$4="forecast",AVERAGE(AE39:AP39),'Dept. Cost Actuals'!AU758)</f>
        <v>31.193248089206659</v>
      </c>
      <c r="AR39" s="810">
        <f>IF(AR$4="forecast",AVERAGE(AF39:AQ39),'Dept. Cost Actuals'!AV758)</f>
        <v>31.09603657318161</v>
      </c>
      <c r="AS39" s="810">
        <f>IF(AS$4="forecast",AVERAGE(AG39:AR39),'Dept. Cost Actuals'!AW758)</f>
        <v>31.138572803866229</v>
      </c>
      <c r="AT39" s="810">
        <f>IF(AT$4="forecast",AVERAGE(AH39:AS39),'Dept. Cost Actuals'!AX758)</f>
        <v>30.972253707906756</v>
      </c>
      <c r="AU39" s="810">
        <f>IF(AU$4="forecast",AVERAGE(AI39:AT39),'Dept. Cost Actuals'!AY758)</f>
        <v>30.561974673704956</v>
      </c>
      <c r="AV39" s="810">
        <f>IF(AV$4="forecast",AVERAGE(AJ39:AU39),'Dept. Cost Actuals'!AZ758)</f>
        <v>30.456008483053512</v>
      </c>
      <c r="AW39" s="810">
        <f>IF(AW$4="forecast",AVERAGE(AK39:AV39),'Dept. Cost Actuals'!BA758)</f>
        <v>30.120145325392759</v>
      </c>
      <c r="AX39" s="810">
        <f>IF(AX$4="forecast",AVERAGE(AL39:AW39),'Dept. Cost Actuals'!BB758)</f>
        <v>30.491804915878458</v>
      </c>
      <c r="AY39" s="810">
        <f>IF(AY$4="forecast",AVERAGE(AM39:AX39),'Dept. Cost Actuals'!BC758)</f>
        <v>30.716240095574317</v>
      </c>
      <c r="AZ39" s="810">
        <f>IF(AZ$4="forecast",AVERAGE(AN39:AY39),'Dept. Cost Actuals'!BD758)</f>
        <v>30.766332493303665</v>
      </c>
      <c r="BA39" s="810">
        <f>IF(BA$4="forecast",AVERAGE(AO39:AZ39),'Dept. Cost Actuals'!BE758)</f>
        <v>30.785413160361234</v>
      </c>
      <c r="BB39" s="810">
        <f>IF(BB$4="forecast",AVERAGE(AP39:BA39),'Dept. Cost Actuals'!BF758)</f>
        <v>30.782461174366876</v>
      </c>
      <c r="BC39" s="810">
        <f>IF(BC$4="forecast",AVERAGE(AQ39:BB39),'Dept. Cost Actuals'!BG758)</f>
        <v>30.756707624649753</v>
      </c>
      <c r="BD39" s="810">
        <f>IF(BD$4="forecast",AVERAGE(AR39:BC39),'Dept. Cost Actuals'!BH758)</f>
        <v>30.720329252603346</v>
      </c>
      <c r="BE39" s="810">
        <f>IF(BE$4="forecast",AVERAGE(AS39:BD39),'Dept. Cost Actuals'!BI758)</f>
        <v>30.689020309221821</v>
      </c>
      <c r="BF39" s="810">
        <f>IF(BF$4="forecast",AVERAGE(AT39:BE39),'Dept. Cost Actuals'!BJ758)</f>
        <v>30.651557601334787</v>
      </c>
      <c r="BG39" s="810">
        <f>IF(BG$4="forecast",AVERAGE(AU39:BF39),'Dept. Cost Actuals'!BK758)</f>
        <v>30.624832925787121</v>
      </c>
      <c r="BH39" s="810">
        <f>IF(BH$4="forecast",AVERAGE(AV39:BG39),'Dept. Cost Actuals'!BL758)</f>
        <v>30.630071113460641</v>
      </c>
      <c r="BI39" s="810">
        <f>IF(BI$4="forecast",AVERAGE(AW39:BH39),'Dept. Cost Actuals'!BM758)</f>
        <v>30.644576332661231</v>
      </c>
      <c r="BJ39" s="810">
        <f>IF(BJ$4="forecast",AVERAGE(AX39:BI39),'Dept. Cost Actuals'!BN758)</f>
        <v>30.688278916600272</v>
      </c>
      <c r="BK39" s="810">
        <f>IF(BK$4="forecast",AVERAGE(AY39:BJ39),'Dept. Cost Actuals'!BO758)</f>
        <v>30.704651749993758</v>
      </c>
      <c r="BL39" s="810">
        <f>IF(BL$4="forecast",AVERAGE(AZ39:BK39),'Dept. Cost Actuals'!BP758)</f>
        <v>30.703686054528713</v>
      </c>
      <c r="BM39" s="810">
        <f>IF(BM$4="forecast",AVERAGE(BA39:BL39),'Dept. Cost Actuals'!BQ758)</f>
        <v>30.698465517964127</v>
      </c>
      <c r="BN39" s="810">
        <f>IF(BN$4="forecast",AVERAGE(BB39:BM39),'Dept. Cost Actuals'!BR758)</f>
        <v>30.691219881097698</v>
      </c>
      <c r="BO39" s="810">
        <f>IF(BO$4="forecast",AVERAGE(BC39:BN39),'Dept. Cost Actuals'!BS758)</f>
        <v>30.683616439991937</v>
      </c>
      <c r="BP39" s="810">
        <f>IF(BP$4="forecast",AVERAGE(BD39:BO39),'Dept. Cost Actuals'!BT758)</f>
        <v>30.677525507937123</v>
      </c>
      <c r="BQ39" s="810">
        <f>IF(BQ$4="forecast",AVERAGE(BE39:BP39),'Dept. Cost Actuals'!BU758)</f>
        <v>30.673958529214932</v>
      </c>
      <c r="BR39" s="810">
        <f>IF(BR$4="forecast",AVERAGE(BF39:BQ39),'Dept. Cost Actuals'!BV758)</f>
        <v>30.672703380881021</v>
      </c>
      <c r="BS39" s="810">
        <f>IF(BS$4="forecast",AVERAGE(BG39:BR39),'Dept. Cost Actuals'!BW758)</f>
        <v>30.674465529176548</v>
      </c>
      <c r="BT39" s="810">
        <f>IF(BT$4="forecast",AVERAGE(BH39:BS39),'Dept. Cost Actuals'!BX758)</f>
        <v>30.678601579459002</v>
      </c>
      <c r="BU39" s="810">
        <f>IF(BU$4="forecast",AVERAGE(BI39:BT39),'Dept. Cost Actuals'!BY758)</f>
        <v>30.682645784958865</v>
      </c>
      <c r="BV39" s="817">
        <f>IF(BV$4="forecast",AVERAGE(BJ39:BU39),'Dept. Cost Actuals'!BZ758)</f>
        <v>30.685818239317001</v>
      </c>
    </row>
    <row r="40" spans="2:74" x14ac:dyDescent="0.35">
      <c r="B40" s="818" t="s">
        <v>953</v>
      </c>
      <c r="C40" s="819">
        <f>SUM(C29:C39,)</f>
        <v>6934.0674478471528</v>
      </c>
      <c r="D40" s="819">
        <f t="shared" ref="D40:BO40" si="9">SUM(D29:D39,)</f>
        <v>8407.5830130789436</v>
      </c>
      <c r="E40" s="819">
        <f t="shared" si="9"/>
        <v>4312.6156778622926</v>
      </c>
      <c r="F40" s="819">
        <f t="shared" si="9"/>
        <v>7272.6691738235186</v>
      </c>
      <c r="G40" s="819">
        <f t="shared" si="9"/>
        <v>7523.9603953247961</v>
      </c>
      <c r="H40" s="819">
        <f t="shared" si="9"/>
        <v>8551.747456513971</v>
      </c>
      <c r="I40" s="819">
        <f t="shared" si="9"/>
        <v>9046.3567868171813</v>
      </c>
      <c r="J40" s="819">
        <f t="shared" si="9"/>
        <v>9803.0780953572157</v>
      </c>
      <c r="K40" s="819">
        <f t="shared" si="9"/>
        <v>9027.3774377276495</v>
      </c>
      <c r="L40" s="819">
        <f t="shared" si="9"/>
        <v>10529.652177003907</v>
      </c>
      <c r="M40" s="819">
        <f t="shared" si="9"/>
        <v>12991.930995654197</v>
      </c>
      <c r="N40" s="819">
        <f t="shared" si="9"/>
        <v>7970.3215404739203</v>
      </c>
      <c r="O40" s="819">
        <f t="shared" si="9"/>
        <v>17610.39</v>
      </c>
      <c r="P40" s="819">
        <f t="shared" si="9"/>
        <v>2461.89</v>
      </c>
      <c r="Q40" s="819">
        <f t="shared" si="9"/>
        <v>17790.07</v>
      </c>
      <c r="R40" s="819">
        <f t="shared" si="9"/>
        <v>22055.95</v>
      </c>
      <c r="S40" s="819">
        <f t="shared" si="9"/>
        <v>26980.030000000002</v>
      </c>
      <c r="T40" s="819">
        <f t="shared" si="9"/>
        <v>6025.51</v>
      </c>
      <c r="U40" s="819">
        <f t="shared" si="9"/>
        <v>46668.21</v>
      </c>
      <c r="V40" s="819">
        <f t="shared" si="9"/>
        <v>36113.49</v>
      </c>
      <c r="W40" s="819">
        <f t="shared" si="9"/>
        <v>33684.61</v>
      </c>
      <c r="X40" s="819">
        <f t="shared" si="9"/>
        <v>33348.94</v>
      </c>
      <c r="Y40" s="819">
        <f t="shared" si="9"/>
        <v>32946.68</v>
      </c>
      <c r="Z40" s="819">
        <f t="shared" si="9"/>
        <v>40854.35</v>
      </c>
      <c r="AA40" s="819">
        <f t="shared" si="9"/>
        <v>26378.343333333327</v>
      </c>
      <c r="AB40" s="819">
        <f t="shared" si="9"/>
        <v>27109.00611111111</v>
      </c>
      <c r="AC40" s="819">
        <f t="shared" si="9"/>
        <v>29162.932453703703</v>
      </c>
      <c r="AD40" s="819">
        <f t="shared" si="9"/>
        <v>30110.670991512343</v>
      </c>
      <c r="AE40" s="819">
        <f t="shared" si="9"/>
        <v>30781.897740805049</v>
      </c>
      <c r="AF40" s="819">
        <f t="shared" si="9"/>
        <v>31098.720052538796</v>
      </c>
      <c r="AG40" s="819">
        <f t="shared" si="9"/>
        <v>33188.154223583697</v>
      </c>
      <c r="AH40" s="819">
        <f t="shared" si="9"/>
        <v>32064.816242215667</v>
      </c>
      <c r="AI40" s="819">
        <f t="shared" si="9"/>
        <v>31727.426762400308</v>
      </c>
      <c r="AJ40" s="819">
        <f t="shared" si="9"/>
        <v>31564.328159266999</v>
      </c>
      <c r="AK40" s="819">
        <f t="shared" si="9"/>
        <v>31415.610505872581</v>
      </c>
      <c r="AL40" s="819">
        <f t="shared" si="9"/>
        <v>31288.021381361967</v>
      </c>
      <c r="AM40" s="819">
        <f t="shared" si="9"/>
        <v>30490.827329808799</v>
      </c>
      <c r="AN40" s="819">
        <f t="shared" si="9"/>
        <v>30833.534329515081</v>
      </c>
      <c r="AO40" s="819">
        <f t="shared" si="9"/>
        <v>31143.911681048747</v>
      </c>
      <c r="AP40" s="819">
        <f t="shared" si="9"/>
        <v>31308.993283327505</v>
      </c>
      <c r="AQ40" s="819">
        <f t="shared" si="9"/>
        <v>31408.853474312098</v>
      </c>
      <c r="AR40" s="819">
        <f t="shared" si="9"/>
        <v>31461.099785437691</v>
      </c>
      <c r="AS40" s="819">
        <f t="shared" si="9"/>
        <v>31491.298096512597</v>
      </c>
      <c r="AT40" s="819">
        <f t="shared" si="9"/>
        <v>31349.893419256667</v>
      </c>
      <c r="AU40" s="819">
        <f t="shared" si="9"/>
        <v>31290.316517343428</v>
      </c>
      <c r="AV40" s="819">
        <f t="shared" si="9"/>
        <v>31253.890663588674</v>
      </c>
      <c r="AW40" s="819">
        <f t="shared" si="9"/>
        <v>31228.020872282152</v>
      </c>
      <c r="AX40" s="819">
        <f t="shared" si="9"/>
        <v>31212.388402816283</v>
      </c>
      <c r="AY40" s="819">
        <f t="shared" si="9"/>
        <v>31206.08565460415</v>
      </c>
      <c r="AZ40" s="819">
        <f t="shared" si="9"/>
        <v>31265.690515003764</v>
      </c>
      <c r="BA40" s="819">
        <f t="shared" si="9"/>
        <v>31301.703530461149</v>
      </c>
      <c r="BB40" s="819">
        <f t="shared" si="9"/>
        <v>31314.852851245512</v>
      </c>
      <c r="BC40" s="819">
        <f t="shared" si="9"/>
        <v>31315.34114857201</v>
      </c>
      <c r="BD40" s="819">
        <f t="shared" si="9"/>
        <v>31307.548454760341</v>
      </c>
      <c r="BE40" s="819">
        <f t="shared" si="9"/>
        <v>31294.75251053723</v>
      </c>
      <c r="BF40" s="819">
        <f t="shared" si="9"/>
        <v>31278.373711705939</v>
      </c>
      <c r="BG40" s="819">
        <f t="shared" si="9"/>
        <v>31272.413736076716</v>
      </c>
      <c r="BH40" s="819">
        <f t="shared" si="9"/>
        <v>31270.921837637823</v>
      </c>
      <c r="BI40" s="819">
        <f t="shared" si="9"/>
        <v>31272.34110214192</v>
      </c>
      <c r="BJ40" s="819">
        <f t="shared" si="9"/>
        <v>31276.034454630237</v>
      </c>
      <c r="BK40" s="819">
        <f t="shared" si="9"/>
        <v>31281.338292281398</v>
      </c>
      <c r="BL40" s="819">
        <f t="shared" si="9"/>
        <v>31287.60934542117</v>
      </c>
      <c r="BM40" s="819">
        <f t="shared" si="9"/>
        <v>31289.435914622616</v>
      </c>
      <c r="BN40" s="819">
        <f t="shared" si="9"/>
        <v>31288.413613302746</v>
      </c>
      <c r="BO40" s="819">
        <f t="shared" si="9"/>
        <v>31286.21034347418</v>
      </c>
      <c r="BP40" s="819">
        <f t="shared" ref="BP40:BV40" si="10">SUM(BP29:BP39,)</f>
        <v>31283.782776382694</v>
      </c>
      <c r="BQ40" s="819">
        <f t="shared" si="10"/>
        <v>31281.802303184559</v>
      </c>
      <c r="BR40" s="819">
        <f t="shared" si="10"/>
        <v>31280.723119238504</v>
      </c>
      <c r="BS40" s="819">
        <f t="shared" si="10"/>
        <v>31280.918903199541</v>
      </c>
      <c r="BT40" s="819">
        <f t="shared" si="10"/>
        <v>31281.627667126446</v>
      </c>
      <c r="BU40" s="819">
        <f t="shared" si="10"/>
        <v>31282.519819583835</v>
      </c>
      <c r="BV40" s="820">
        <f t="shared" si="10"/>
        <v>31283.368046037322</v>
      </c>
    </row>
    <row r="41" spans="2:74" x14ac:dyDescent="0.35">
      <c r="B41" s="800"/>
      <c r="C41" s="157"/>
      <c r="D41" s="157"/>
      <c r="E41" s="157"/>
      <c r="F41" s="157"/>
      <c r="G41" s="157"/>
      <c r="H41" s="157"/>
      <c r="I41" s="157"/>
      <c r="J41" s="157"/>
      <c r="K41" s="157"/>
      <c r="L41" s="157"/>
      <c r="M41" s="157"/>
      <c r="N41" s="157"/>
      <c r="O41" s="157"/>
      <c r="P41" s="157"/>
      <c r="Q41" s="157"/>
      <c r="R41" s="157"/>
      <c r="S41" s="157"/>
      <c r="T41" s="157"/>
      <c r="U41" s="157"/>
      <c r="V41" s="157"/>
      <c r="W41" s="157"/>
      <c r="X41" s="157"/>
      <c r="Y41" s="157"/>
      <c r="Z41" s="157"/>
      <c r="AA41" s="157"/>
      <c r="AB41" s="157"/>
      <c r="AC41" s="157"/>
      <c r="AD41" s="157"/>
      <c r="AE41" s="157"/>
      <c r="AF41" s="157"/>
      <c r="AG41" s="157"/>
      <c r="AH41" s="157"/>
      <c r="AI41" s="157"/>
      <c r="AJ41" s="157"/>
      <c r="AK41" s="157"/>
      <c r="AL41" s="157"/>
      <c r="AM41" s="157"/>
      <c r="AN41" s="157"/>
      <c r="AO41" s="157"/>
      <c r="AP41" s="157"/>
      <c r="AQ41" s="157"/>
      <c r="AR41" s="157"/>
      <c r="AS41" s="157"/>
      <c r="AT41" s="157"/>
      <c r="AU41" s="157"/>
      <c r="AV41" s="157"/>
      <c r="AW41" s="157"/>
      <c r="AX41" s="157"/>
      <c r="AY41" s="157"/>
      <c r="AZ41" s="157"/>
      <c r="BA41" s="157"/>
      <c r="BB41" s="157"/>
      <c r="BC41" s="157"/>
      <c r="BD41" s="157"/>
      <c r="BE41" s="157"/>
      <c r="BF41" s="157"/>
      <c r="BG41" s="157"/>
      <c r="BH41" s="157"/>
      <c r="BI41" s="157"/>
      <c r="BJ41" s="157"/>
      <c r="BK41" s="157"/>
      <c r="BL41" s="157"/>
      <c r="BM41" s="157"/>
      <c r="BN41" s="157"/>
      <c r="BO41" s="157"/>
      <c r="BP41" s="157"/>
      <c r="BQ41" s="157"/>
      <c r="BR41" s="157"/>
      <c r="BS41" s="157"/>
      <c r="BT41" s="157"/>
      <c r="BU41" s="157"/>
      <c r="BV41" s="801"/>
    </row>
    <row r="42" spans="2:74" x14ac:dyDescent="0.35">
      <c r="B42" s="874" t="s">
        <v>492</v>
      </c>
      <c r="C42" s="875">
        <f>C40+C26</f>
        <v>28943.578516304373</v>
      </c>
      <c r="D42" s="875">
        <f t="shared" ref="D42:BO42" si="11">D40+D26</f>
        <v>29079.563730306723</v>
      </c>
      <c r="E42" s="875">
        <f t="shared" si="11"/>
        <v>24819.139786408174</v>
      </c>
      <c r="F42" s="875">
        <f t="shared" si="11"/>
        <v>32844.077355897251</v>
      </c>
      <c r="G42" s="875">
        <f t="shared" si="11"/>
        <v>30786.256807925729</v>
      </c>
      <c r="H42" s="875">
        <f t="shared" si="11"/>
        <v>42173.656929524739</v>
      </c>
      <c r="I42" s="875">
        <f t="shared" si="11"/>
        <v>31775.717145368861</v>
      </c>
      <c r="J42" s="875">
        <f t="shared" si="11"/>
        <v>37208.022435633844</v>
      </c>
      <c r="K42" s="875">
        <f t="shared" si="11"/>
        <v>32910.646091064045</v>
      </c>
      <c r="L42" s="875">
        <f t="shared" si="11"/>
        <v>39468.748845036083</v>
      </c>
      <c r="M42" s="875">
        <f t="shared" si="11"/>
        <v>67613.394059981321</v>
      </c>
      <c r="N42" s="875">
        <f t="shared" si="11"/>
        <v>60347.645020890588</v>
      </c>
      <c r="O42" s="875">
        <f t="shared" si="11"/>
        <v>64271.12</v>
      </c>
      <c r="P42" s="875">
        <f t="shared" si="11"/>
        <v>36298.019999999997</v>
      </c>
      <c r="Q42" s="875">
        <f t="shared" si="11"/>
        <v>74363.14</v>
      </c>
      <c r="R42" s="875">
        <f t="shared" si="11"/>
        <v>62930.59</v>
      </c>
      <c r="S42" s="875">
        <f t="shared" si="11"/>
        <v>98229.38</v>
      </c>
      <c r="T42" s="875">
        <f t="shared" si="11"/>
        <v>82536.099999999991</v>
      </c>
      <c r="U42" s="875">
        <f t="shared" si="11"/>
        <v>109144.36000000002</v>
      </c>
      <c r="V42" s="875">
        <f t="shared" si="11"/>
        <v>108269.14000000001</v>
      </c>
      <c r="W42" s="875">
        <f t="shared" si="11"/>
        <v>95859.44</v>
      </c>
      <c r="X42" s="875">
        <f t="shared" si="11"/>
        <v>108845.75</v>
      </c>
      <c r="Y42" s="875">
        <f t="shared" si="11"/>
        <v>100954.27000000002</v>
      </c>
      <c r="Z42" s="875">
        <f t="shared" si="11"/>
        <v>168235.82</v>
      </c>
      <c r="AA42" s="875">
        <f t="shared" si="11"/>
        <v>95728.342274999988</v>
      </c>
      <c r="AB42" s="875">
        <f t="shared" si="11"/>
        <v>119714.35435833334</v>
      </c>
      <c r="AC42" s="875">
        <f t="shared" si="11"/>
        <v>121919.62855972223</v>
      </c>
      <c r="AD42" s="875">
        <f t="shared" si="11"/>
        <v>122847.34144456018</v>
      </c>
      <c r="AE42" s="875">
        <f t="shared" si="11"/>
        <v>123600.01956980131</v>
      </c>
      <c r="AF42" s="875">
        <f t="shared" si="11"/>
        <v>123917.68087214587</v>
      </c>
      <c r="AG42" s="875">
        <f t="shared" si="11"/>
        <v>126258.53644968581</v>
      </c>
      <c r="AH42" s="875">
        <f t="shared" si="11"/>
        <v>125302.11249202074</v>
      </c>
      <c r="AI42" s="875">
        <f t="shared" si="11"/>
        <v>125009.50987121691</v>
      </c>
      <c r="AJ42" s="875">
        <f t="shared" si="11"/>
        <v>125031.33119867941</v>
      </c>
      <c r="AK42" s="875">
        <f t="shared" si="11"/>
        <v>124564.39347009714</v>
      </c>
      <c r="AL42" s="875">
        <f t="shared" si="11"/>
        <v>329409.69426413305</v>
      </c>
      <c r="AM42" s="875">
        <f t="shared" si="11"/>
        <v>124098.15521842189</v>
      </c>
      <c r="AN42" s="875">
        <f t="shared" si="11"/>
        <v>145583.88045746397</v>
      </c>
      <c r="AO42" s="875">
        <f t="shared" si="11"/>
        <v>145927.54230613864</v>
      </c>
      <c r="AP42" s="875">
        <f t="shared" si="11"/>
        <v>146116.08748556711</v>
      </c>
      <c r="AQ42" s="875">
        <f t="shared" si="11"/>
        <v>146243.0546715938</v>
      </c>
      <c r="AR42" s="875">
        <f t="shared" si="11"/>
        <v>146317.90036531165</v>
      </c>
      <c r="AS42" s="875">
        <f t="shared" si="11"/>
        <v>146372.53444381594</v>
      </c>
      <c r="AT42" s="875">
        <f t="shared" si="11"/>
        <v>146236.67519296607</v>
      </c>
      <c r="AU42" s="875">
        <f t="shared" si="11"/>
        <v>146169.22376673203</v>
      </c>
      <c r="AV42" s="875">
        <f t="shared" si="11"/>
        <v>146120.56488706163</v>
      </c>
      <c r="AW42" s="875">
        <f t="shared" si="11"/>
        <v>146066.06534895618</v>
      </c>
      <c r="AX42" s="875">
        <f t="shared" si="11"/>
        <v>385388.60634899774</v>
      </c>
      <c r="AY42" s="875">
        <f t="shared" si="11"/>
        <v>152707.00039921654</v>
      </c>
      <c r="AZ42" s="875">
        <f t="shared" si="11"/>
        <v>156404.41186822875</v>
      </c>
      <c r="BA42" s="875">
        <f t="shared" si="11"/>
        <v>156450.26371169463</v>
      </c>
      <c r="BB42" s="875">
        <f t="shared" si="11"/>
        <v>156471.31186873544</v>
      </c>
      <c r="BC42" s="875">
        <f t="shared" si="11"/>
        <v>156478.41539896809</v>
      </c>
      <c r="BD42" s="875">
        <f t="shared" si="11"/>
        <v>156475.54321271786</v>
      </c>
      <c r="BE42" s="875">
        <f t="shared" si="11"/>
        <v>156466.20670956149</v>
      </c>
      <c r="BF42" s="875">
        <f t="shared" si="11"/>
        <v>156451.55050349774</v>
      </c>
      <c r="BG42" s="875">
        <f t="shared" si="11"/>
        <v>156447.00445131373</v>
      </c>
      <c r="BH42" s="875">
        <f t="shared" si="11"/>
        <v>156447.70880666</v>
      </c>
      <c r="BI42" s="875">
        <f t="shared" si="11"/>
        <v>156452.53307300142</v>
      </c>
      <c r="BJ42" s="875">
        <f t="shared" si="11"/>
        <v>402985.21892924956</v>
      </c>
      <c r="BK42" s="875">
        <f t="shared" si="11"/>
        <v>156474.56647727246</v>
      </c>
      <c r="BL42" s="875">
        <f t="shared" si="11"/>
        <v>160256.81445343903</v>
      </c>
      <c r="BM42" s="875">
        <f t="shared" si="11"/>
        <v>160264.12404241425</v>
      </c>
      <c r="BN42" s="875">
        <f t="shared" si="11"/>
        <v>160268.23094127391</v>
      </c>
      <c r="BO42" s="875">
        <f t="shared" si="11"/>
        <v>160270.93480683191</v>
      </c>
      <c r="BP42" s="875">
        <f t="shared" ref="BP42:BV42" si="12">BP40+BP26</f>
        <v>160273.28033919752</v>
      </c>
      <c r="BQ42" s="875">
        <f t="shared" si="12"/>
        <v>160276.0685638478</v>
      </c>
      <c r="BR42" s="875">
        <f t="shared" si="12"/>
        <v>160279.8746715686</v>
      </c>
      <c r="BS42" s="875">
        <f t="shared" si="12"/>
        <v>160285.22645629206</v>
      </c>
      <c r="BT42" s="875">
        <f t="shared" si="12"/>
        <v>160291.40995959321</v>
      </c>
      <c r="BU42" s="875">
        <f t="shared" si="12"/>
        <v>160298.05682959183</v>
      </c>
      <c r="BV42" s="876">
        <f t="shared" si="12"/>
        <v>414223.46386820084</v>
      </c>
    </row>
    <row r="43" spans="2:74" x14ac:dyDescent="0.35">
      <c r="O43" s="625"/>
      <c r="P43" s="625"/>
      <c r="Q43" s="625"/>
      <c r="R43" s="625"/>
      <c r="S43" s="625"/>
      <c r="T43" s="625"/>
      <c r="U43" s="625"/>
      <c r="V43" s="625"/>
      <c r="W43" s="625"/>
      <c r="X43" s="625"/>
      <c r="Y43" s="625"/>
      <c r="Z43" s="625"/>
      <c r="AA43" s="625"/>
      <c r="AB43" s="625"/>
      <c r="AC43" s="625"/>
      <c r="AD43" s="625"/>
      <c r="AE43" s="625"/>
      <c r="AF43" s="625"/>
      <c r="AG43" s="625"/>
      <c r="AH43" s="625"/>
      <c r="AI43" s="625"/>
      <c r="AJ43" s="625"/>
      <c r="AK43" s="625"/>
      <c r="AL43" s="625"/>
      <c r="AM43" s="625"/>
      <c r="AN43" s="625"/>
      <c r="AO43" s="625"/>
      <c r="AP43" s="625"/>
      <c r="AQ43" s="625"/>
      <c r="AR43" s="625"/>
      <c r="AS43" s="625"/>
      <c r="AT43" s="625"/>
      <c r="AU43" s="625"/>
      <c r="AV43" s="625"/>
      <c r="AW43" s="625"/>
      <c r="AX43" s="625"/>
      <c r="AY43" s="625"/>
      <c r="AZ43" s="625"/>
      <c r="BA43" s="625"/>
    </row>
    <row r="44" spans="2:74" x14ac:dyDescent="0.35">
      <c r="O44" s="575"/>
      <c r="P44" s="575"/>
      <c r="Q44" s="575"/>
      <c r="R44" s="575"/>
      <c r="S44" s="575"/>
      <c r="T44" s="575"/>
      <c r="U44" s="575"/>
      <c r="V44" s="575"/>
      <c r="W44" s="575"/>
      <c r="X44" s="575"/>
      <c r="Y44" s="575"/>
      <c r="Z44" s="575"/>
      <c r="AA44" s="575"/>
      <c r="AB44" s="575"/>
      <c r="AC44" s="575"/>
      <c r="AD44" s="575"/>
      <c r="AE44" s="575"/>
      <c r="AF44" s="575"/>
      <c r="AG44" s="575"/>
      <c r="AH44" s="575"/>
      <c r="AI44" s="575"/>
      <c r="AJ44" s="575"/>
      <c r="AK44" s="575"/>
      <c r="AL44" s="575"/>
      <c r="AM44" s="575"/>
      <c r="AN44" s="575"/>
      <c r="AO44" s="575"/>
      <c r="AP44" s="575"/>
      <c r="AQ44" s="575"/>
      <c r="AR44" s="575"/>
      <c r="AS44" s="575"/>
      <c r="AT44" s="575"/>
      <c r="AU44" s="575"/>
      <c r="AV44" s="575"/>
      <c r="AW44" s="575"/>
      <c r="AX44" s="575"/>
      <c r="AY44" s="575"/>
      <c r="AZ44" s="575"/>
      <c r="BA44" s="575"/>
      <c r="BB44" s="575"/>
      <c r="BC44" s="575"/>
      <c r="BD44" s="575"/>
      <c r="BE44" s="575"/>
      <c r="BF44" s="575"/>
      <c r="BG44" s="575"/>
      <c r="BH44" s="575"/>
      <c r="BI44" s="575"/>
      <c r="BJ44" s="575"/>
    </row>
    <row r="45" spans="2:74" x14ac:dyDescent="0.35">
      <c r="M45" s="152"/>
      <c r="N45" s="152"/>
      <c r="O45" s="152"/>
      <c r="P45" s="152"/>
      <c r="Q45" s="152"/>
      <c r="R45" s="152"/>
      <c r="S45" s="152"/>
      <c r="T45" s="152"/>
      <c r="U45" s="152"/>
      <c r="V45" s="152"/>
      <c r="W45" s="152"/>
      <c r="X45" s="152"/>
      <c r="Y45" s="152"/>
      <c r="Z45" s="152"/>
      <c r="AA45" s="152"/>
      <c r="AB45" s="152"/>
      <c r="AC45" s="152"/>
      <c r="AD45" s="152"/>
      <c r="AE45" s="152"/>
      <c r="AF45" s="152"/>
      <c r="AG45" s="152"/>
      <c r="AH45" s="152"/>
      <c r="AI45" s="152"/>
      <c r="AJ45" s="152"/>
      <c r="AK45" s="152"/>
      <c r="AL45" s="152"/>
      <c r="AM45" s="152"/>
      <c r="AN45" s="152"/>
      <c r="AO45" s="152"/>
      <c r="AP45" s="152"/>
    </row>
    <row r="46" spans="2:74" x14ac:dyDescent="0.35">
      <c r="AN46" s="152"/>
    </row>
  </sheetData>
  <conditionalFormatting sqref="AA4:BV4">
    <cfRule type="containsText" dxfId="235" priority="5" operator="containsText" text="actual">
      <formula>NOT(ISERROR(SEARCH("actual",AA4)))</formula>
    </cfRule>
    <cfRule type="containsText" dxfId="234" priority="6" operator="containsText" text="forecast">
      <formula>NOT(ISERROR(SEARCH("forecast",AA4)))</formula>
    </cfRule>
  </conditionalFormatting>
  <conditionalFormatting sqref="C4:Z4">
    <cfRule type="containsText" dxfId="233" priority="3" operator="containsText" text="actual">
      <formula>NOT(ISERROR(SEARCH("actual",C4)))</formula>
    </cfRule>
    <cfRule type="containsText" dxfId="232" priority="4" operator="containsText" text="forecast">
      <formula>NOT(ISERROR(SEARCH("forecast",C4)))</formula>
    </cfRule>
  </conditionalFormatting>
  <conditionalFormatting sqref="B4">
    <cfRule type="containsText" dxfId="231" priority="1" operator="containsText" text="actual">
      <formula>NOT(ISERROR(SEARCH("actual",B4)))</formula>
    </cfRule>
    <cfRule type="containsText" dxfId="230" priority="2" operator="containsText" text="forecast">
      <formula>NOT(ISERROR(SEARCH("forecast",B4)))</formula>
    </cfRule>
  </conditionalFormatting>
  <pageMargins left="0.7" right="0.7" top="0.75" bottom="0.75" header="0.3" footer="0.3"/>
  <pageSetup orientation="portrait" horizontalDpi="0"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V46"/>
  <sheetViews>
    <sheetView zoomScale="80" zoomScaleNormal="80" workbookViewId="0">
      <pane xSplit="2" ySplit="4" topLeftCell="C5" activePane="bottomRight" state="frozen"/>
      <selection activeCell="AA39" sqref="AA39:AL39"/>
      <selection pane="topRight" activeCell="AA39" sqref="AA39:AL39"/>
      <selection pane="bottomLeft" activeCell="AA39" sqref="AA39:AL39"/>
      <selection pane="bottomRight" activeCell="O21" sqref="O21:AL21"/>
    </sheetView>
  </sheetViews>
  <sheetFormatPr defaultColWidth="9.1796875" defaultRowHeight="14.5" outlineLevelCol="1" x14ac:dyDescent="0.35"/>
  <cols>
    <col min="1" max="1" width="2" style="574" customWidth="1"/>
    <col min="2" max="2" width="27.453125" style="574" bestFit="1" customWidth="1"/>
    <col min="3" max="3" width="12.7265625" style="574" customWidth="1"/>
    <col min="4" max="7" width="12.7265625" style="574" hidden="1" customWidth="1" outlineLevel="1"/>
    <col min="8" max="12" width="16.453125" style="574" hidden="1" customWidth="1" outlineLevel="1"/>
    <col min="13" max="13" width="19.26953125" style="574" hidden="1" customWidth="1" outlineLevel="1"/>
    <col min="14" max="14" width="16.453125" style="574" customWidth="1" collapsed="1"/>
    <col min="15" max="15" width="12.7265625" style="574" bestFit="1" customWidth="1"/>
    <col min="16" max="18" width="12.7265625" style="574" hidden="1" customWidth="1" outlineLevel="1"/>
    <col min="19" max="19" width="12.1796875" style="574" hidden="1" customWidth="1" outlineLevel="1"/>
    <col min="20" max="25" width="12.26953125" style="574" hidden="1" customWidth="1" outlineLevel="1"/>
    <col min="26" max="26" width="12.26953125" style="574" bestFit="1" customWidth="1" collapsed="1"/>
    <col min="27" max="27" width="12.26953125" style="574" customWidth="1"/>
    <col min="28" max="29" width="13.26953125" style="574" customWidth="1" outlineLevel="1"/>
    <col min="30" max="35" width="10.7265625" style="574" customWidth="1" outlineLevel="1"/>
    <col min="36" max="37" width="11.81640625" style="574" customWidth="1" outlineLevel="1"/>
    <col min="38" max="39" width="13.26953125" style="574" customWidth="1"/>
    <col min="40" max="47" width="10.7265625" style="574" hidden="1" customWidth="1" outlineLevel="1"/>
    <col min="48" max="49" width="11.81640625" style="574" hidden="1" customWidth="1" outlineLevel="1"/>
    <col min="50" max="50" width="11.81640625" style="574" customWidth="1" collapsed="1"/>
    <col min="51" max="51" width="10.7265625" style="574" bestFit="1" customWidth="1"/>
    <col min="52" max="57" width="10.7265625" style="574" hidden="1" customWidth="1" outlineLevel="1"/>
    <col min="58" max="61" width="13.26953125" style="574" hidden="1" customWidth="1" outlineLevel="1"/>
    <col min="62" max="62" width="13.26953125" style="574" bestFit="1" customWidth="1" collapsed="1"/>
    <col min="63" max="63" width="13" style="574" bestFit="1" customWidth="1"/>
    <col min="64" max="73" width="13" style="574" hidden="1" customWidth="1" outlineLevel="1"/>
    <col min="74" max="74" width="13" style="574" bestFit="1" customWidth="1" collapsed="1"/>
    <col min="75" max="16384" width="9.1796875" style="574"/>
  </cols>
  <sheetData>
    <row r="2" spans="2:74" x14ac:dyDescent="0.35">
      <c r="B2" s="652" t="s">
        <v>1081</v>
      </c>
      <c r="C2" s="652"/>
      <c r="D2" s="652"/>
      <c r="E2" s="652"/>
      <c r="F2" s="652"/>
      <c r="G2" s="652"/>
      <c r="H2" s="652"/>
      <c r="I2" s="652"/>
      <c r="J2" s="652"/>
      <c r="K2" s="652"/>
      <c r="L2" s="652"/>
      <c r="M2" s="652"/>
      <c r="N2" s="652"/>
    </row>
    <row r="3" spans="2:74" x14ac:dyDescent="0.35">
      <c r="B3" s="788" t="s">
        <v>931</v>
      </c>
      <c r="C3" s="789">
        <v>40939</v>
      </c>
      <c r="D3" s="789">
        <v>40968</v>
      </c>
      <c r="E3" s="789">
        <v>40999</v>
      </c>
      <c r="F3" s="789">
        <v>41029</v>
      </c>
      <c r="G3" s="789">
        <v>41060</v>
      </c>
      <c r="H3" s="789">
        <v>41090</v>
      </c>
      <c r="I3" s="789">
        <v>41121</v>
      </c>
      <c r="J3" s="789">
        <v>41152</v>
      </c>
      <c r="K3" s="789">
        <v>41182</v>
      </c>
      <c r="L3" s="789">
        <v>41213</v>
      </c>
      <c r="M3" s="789">
        <v>41243</v>
      </c>
      <c r="N3" s="789">
        <v>41274</v>
      </c>
      <c r="O3" s="789">
        <v>41305</v>
      </c>
      <c r="P3" s="789">
        <v>41333</v>
      </c>
      <c r="Q3" s="789">
        <v>41364</v>
      </c>
      <c r="R3" s="789">
        <v>41394</v>
      </c>
      <c r="S3" s="789">
        <v>41425</v>
      </c>
      <c r="T3" s="789">
        <v>41455</v>
      </c>
      <c r="U3" s="789">
        <v>41486</v>
      </c>
      <c r="V3" s="789">
        <v>41517</v>
      </c>
      <c r="W3" s="789">
        <v>41547</v>
      </c>
      <c r="X3" s="789">
        <v>41578</v>
      </c>
      <c r="Y3" s="789">
        <v>41608</v>
      </c>
      <c r="Z3" s="789">
        <v>41639</v>
      </c>
      <c r="AA3" s="789">
        <v>41670</v>
      </c>
      <c r="AB3" s="789">
        <v>41698</v>
      </c>
      <c r="AC3" s="789">
        <v>41729</v>
      </c>
      <c r="AD3" s="789">
        <v>41759</v>
      </c>
      <c r="AE3" s="789">
        <v>41790</v>
      </c>
      <c r="AF3" s="789">
        <v>41820</v>
      </c>
      <c r="AG3" s="789">
        <v>41851</v>
      </c>
      <c r="AH3" s="789">
        <v>41882</v>
      </c>
      <c r="AI3" s="789">
        <v>41912</v>
      </c>
      <c r="AJ3" s="789">
        <v>41943</v>
      </c>
      <c r="AK3" s="789">
        <v>41973</v>
      </c>
      <c r="AL3" s="789">
        <v>42004</v>
      </c>
      <c r="AM3" s="789">
        <v>42035</v>
      </c>
      <c r="AN3" s="789">
        <v>42063</v>
      </c>
      <c r="AO3" s="789">
        <v>42094</v>
      </c>
      <c r="AP3" s="789">
        <v>42124</v>
      </c>
      <c r="AQ3" s="789">
        <v>42155</v>
      </c>
      <c r="AR3" s="789">
        <v>42185</v>
      </c>
      <c r="AS3" s="789">
        <v>42216</v>
      </c>
      <c r="AT3" s="789">
        <v>42247</v>
      </c>
      <c r="AU3" s="789">
        <v>42277</v>
      </c>
      <c r="AV3" s="789">
        <v>42308</v>
      </c>
      <c r="AW3" s="789">
        <v>42338</v>
      </c>
      <c r="AX3" s="789">
        <v>42369</v>
      </c>
      <c r="AY3" s="789">
        <v>42400</v>
      </c>
      <c r="AZ3" s="789">
        <v>42429</v>
      </c>
      <c r="BA3" s="789">
        <v>42460</v>
      </c>
      <c r="BB3" s="789">
        <v>42490</v>
      </c>
      <c r="BC3" s="789">
        <v>42521</v>
      </c>
      <c r="BD3" s="789">
        <v>42551</v>
      </c>
      <c r="BE3" s="789">
        <v>42582</v>
      </c>
      <c r="BF3" s="789">
        <v>42613</v>
      </c>
      <c r="BG3" s="789">
        <v>42643</v>
      </c>
      <c r="BH3" s="789">
        <v>42674</v>
      </c>
      <c r="BI3" s="789">
        <v>42704</v>
      </c>
      <c r="BJ3" s="789">
        <v>42735</v>
      </c>
      <c r="BK3" s="789">
        <v>42766</v>
      </c>
      <c r="BL3" s="789">
        <v>42794</v>
      </c>
      <c r="BM3" s="789">
        <v>42825</v>
      </c>
      <c r="BN3" s="789">
        <v>42855</v>
      </c>
      <c r="BO3" s="789">
        <v>42886</v>
      </c>
      <c r="BP3" s="789">
        <v>42916</v>
      </c>
      <c r="BQ3" s="789">
        <v>42947</v>
      </c>
      <c r="BR3" s="789">
        <v>42978</v>
      </c>
      <c r="BS3" s="789">
        <v>43008</v>
      </c>
      <c r="BT3" s="789">
        <v>43039</v>
      </c>
      <c r="BU3" s="789">
        <v>43069</v>
      </c>
      <c r="BV3" s="790">
        <v>43100</v>
      </c>
    </row>
    <row r="4" spans="2:74" x14ac:dyDescent="0.35">
      <c r="B4" s="791" t="s">
        <v>932</v>
      </c>
      <c r="C4" s="4" t="str">
        <f>IF(C3&lt;=Headcount!$U$3,"Actual","Forecast")</f>
        <v>Actual</v>
      </c>
      <c r="D4" s="4" t="str">
        <f>IF(D3&lt;=Headcount!$U$3,"Actual","Forecast")</f>
        <v>Actual</v>
      </c>
      <c r="E4" s="4" t="str">
        <f>IF(E3&lt;=Headcount!$U$3,"Actual","Forecast")</f>
        <v>Actual</v>
      </c>
      <c r="F4" s="4" t="str">
        <f>IF(F3&lt;=Headcount!$U$3,"Actual","Forecast")</f>
        <v>Actual</v>
      </c>
      <c r="G4" s="4" t="str">
        <f>IF(G3&lt;=Headcount!$U$3,"Actual","Forecast")</f>
        <v>Actual</v>
      </c>
      <c r="H4" s="4" t="str">
        <f>IF(H3&lt;=Headcount!$U$3,"Actual","Forecast")</f>
        <v>Actual</v>
      </c>
      <c r="I4" s="4" t="str">
        <f>IF(I3&lt;=Headcount!$U$3,"Actual","Forecast")</f>
        <v>Actual</v>
      </c>
      <c r="J4" s="4" t="str">
        <f>IF(J3&lt;=Headcount!$U$3,"Actual","Forecast")</f>
        <v>Actual</v>
      </c>
      <c r="K4" s="4" t="str">
        <f>IF(K3&lt;=Headcount!$U$3,"Actual","Forecast")</f>
        <v>Actual</v>
      </c>
      <c r="L4" s="4" t="str">
        <f>IF(L3&lt;=Headcount!$U$3,"Actual","Forecast")</f>
        <v>Actual</v>
      </c>
      <c r="M4" s="4" t="str">
        <f>IF(M3&lt;=Headcount!$U$3,"Actual","Forecast")</f>
        <v>Actual</v>
      </c>
      <c r="N4" s="4" t="str">
        <f>IF(N3&lt;=Headcount!$U$3,"Actual","Forecast")</f>
        <v>Actual</v>
      </c>
      <c r="O4" s="4" t="str">
        <f>IF(O3&lt;=Headcount!$U$3,"Actual","Forecast")</f>
        <v>Actual</v>
      </c>
      <c r="P4" s="4" t="str">
        <f>IF(P3&lt;=Headcount!$U$3,"Actual","Forecast")</f>
        <v>Actual</v>
      </c>
      <c r="Q4" s="4" t="str">
        <f>IF(Q3&lt;=Headcount!$U$3,"Actual","Forecast")</f>
        <v>Actual</v>
      </c>
      <c r="R4" s="4" t="str">
        <f>IF(R3&lt;=Headcount!$U$3,"Actual","Forecast")</f>
        <v>Actual</v>
      </c>
      <c r="S4" s="4" t="str">
        <f>IF(S3&lt;=Headcount!$U$3,"Actual","Forecast")</f>
        <v>Actual</v>
      </c>
      <c r="T4" s="4" t="str">
        <f>IF(T3&lt;=Headcount!$U$3,"Actual","Forecast")</f>
        <v>Actual</v>
      </c>
      <c r="U4" s="4" t="str">
        <f>IF(U3&lt;=Headcount!$U$3,"Actual","Forecast")</f>
        <v>Actual</v>
      </c>
      <c r="V4" s="4" t="str">
        <f>IF(V3&lt;=Headcount!$U$3,"Actual","Forecast")</f>
        <v>Actual</v>
      </c>
      <c r="W4" s="4" t="str">
        <f>IF(W3&lt;=Headcount!$U$3,"Actual","Forecast")</f>
        <v>Actual</v>
      </c>
      <c r="X4" s="4" t="str">
        <f>IF(X3&lt;=Headcount!$U$3,"Actual","Forecast")</f>
        <v>Actual</v>
      </c>
      <c r="Y4" s="4" t="str">
        <f>IF(Y3&lt;=Headcount!$U$3,"Actual","Forecast")</f>
        <v>Actual</v>
      </c>
      <c r="Z4" s="4" t="str">
        <f>IF(Z3&lt;=Headcount!$U$3,"Actual","Forecast")</f>
        <v>Actual</v>
      </c>
      <c r="AA4" s="792" t="s">
        <v>7</v>
      </c>
      <c r="AB4" s="792" t="s">
        <v>7</v>
      </c>
      <c r="AC4" s="792" t="s">
        <v>7</v>
      </c>
      <c r="AD4" s="792" t="s">
        <v>7</v>
      </c>
      <c r="AE4" s="792" t="s">
        <v>7</v>
      </c>
      <c r="AF4" s="792" t="s">
        <v>7</v>
      </c>
      <c r="AG4" s="792" t="s">
        <v>7</v>
      </c>
      <c r="AH4" s="792" t="s">
        <v>7</v>
      </c>
      <c r="AI4" s="792" t="s">
        <v>7</v>
      </c>
      <c r="AJ4" s="792" t="s">
        <v>7</v>
      </c>
      <c r="AK4" s="792" t="s">
        <v>7</v>
      </c>
      <c r="AL4" s="792" t="s">
        <v>7</v>
      </c>
      <c r="AM4" s="792" t="s">
        <v>7</v>
      </c>
      <c r="AN4" s="792" t="s">
        <v>7</v>
      </c>
      <c r="AO4" s="792" t="s">
        <v>7</v>
      </c>
      <c r="AP4" s="792" t="s">
        <v>7</v>
      </c>
      <c r="AQ4" s="792" t="s">
        <v>7</v>
      </c>
      <c r="AR4" s="792" t="s">
        <v>7</v>
      </c>
      <c r="AS4" s="792" t="s">
        <v>7</v>
      </c>
      <c r="AT4" s="792" t="s">
        <v>7</v>
      </c>
      <c r="AU4" s="792" t="s">
        <v>7</v>
      </c>
      <c r="AV4" s="792" t="s">
        <v>7</v>
      </c>
      <c r="AW4" s="792" t="s">
        <v>7</v>
      </c>
      <c r="AX4" s="792" t="s">
        <v>7</v>
      </c>
      <c r="AY4" s="792" t="s">
        <v>7</v>
      </c>
      <c r="AZ4" s="792" t="s">
        <v>7</v>
      </c>
      <c r="BA4" s="792" t="s">
        <v>7</v>
      </c>
      <c r="BB4" s="792" t="s">
        <v>7</v>
      </c>
      <c r="BC4" s="792" t="s">
        <v>7</v>
      </c>
      <c r="BD4" s="792" t="s">
        <v>7</v>
      </c>
      <c r="BE4" s="792" t="s">
        <v>7</v>
      </c>
      <c r="BF4" s="792" t="s">
        <v>7</v>
      </c>
      <c r="BG4" s="792" t="s">
        <v>7</v>
      </c>
      <c r="BH4" s="792" t="s">
        <v>7</v>
      </c>
      <c r="BI4" s="792" t="s">
        <v>7</v>
      </c>
      <c r="BJ4" s="792" t="s">
        <v>7</v>
      </c>
      <c r="BK4" s="792" t="s">
        <v>7</v>
      </c>
      <c r="BL4" s="792" t="s">
        <v>7</v>
      </c>
      <c r="BM4" s="792" t="s">
        <v>7</v>
      </c>
      <c r="BN4" s="792" t="s">
        <v>7</v>
      </c>
      <c r="BO4" s="792" t="s">
        <v>7</v>
      </c>
      <c r="BP4" s="792" t="s">
        <v>7</v>
      </c>
      <c r="BQ4" s="792" t="s">
        <v>7</v>
      </c>
      <c r="BR4" s="792" t="s">
        <v>7</v>
      </c>
      <c r="BS4" s="792" t="s">
        <v>7</v>
      </c>
      <c r="BT4" s="792" t="s">
        <v>7</v>
      </c>
      <c r="BU4" s="792" t="s">
        <v>7</v>
      </c>
      <c r="BV4" s="793" t="s">
        <v>7</v>
      </c>
    </row>
    <row r="5" spans="2:74" x14ac:dyDescent="0.35">
      <c r="B5" s="794" t="s">
        <v>68</v>
      </c>
      <c r="C5" s="795">
        <f t="shared" ref="C5:N5" si="0">MONTH(C3)</f>
        <v>1</v>
      </c>
      <c r="D5" s="795">
        <f t="shared" si="0"/>
        <v>2</v>
      </c>
      <c r="E5" s="795">
        <f t="shared" si="0"/>
        <v>3</v>
      </c>
      <c r="F5" s="795">
        <f t="shared" si="0"/>
        <v>4</v>
      </c>
      <c r="G5" s="795">
        <f t="shared" si="0"/>
        <v>5</v>
      </c>
      <c r="H5" s="795">
        <f t="shared" si="0"/>
        <v>6</v>
      </c>
      <c r="I5" s="795">
        <f t="shared" si="0"/>
        <v>7</v>
      </c>
      <c r="J5" s="795">
        <f t="shared" si="0"/>
        <v>8</v>
      </c>
      <c r="K5" s="795">
        <f t="shared" si="0"/>
        <v>9</v>
      </c>
      <c r="L5" s="795">
        <f t="shared" si="0"/>
        <v>10</v>
      </c>
      <c r="M5" s="795">
        <f t="shared" si="0"/>
        <v>11</v>
      </c>
      <c r="N5" s="795">
        <f t="shared" si="0"/>
        <v>12</v>
      </c>
      <c r="O5" s="795">
        <f>MONTH(O3)</f>
        <v>1</v>
      </c>
      <c r="P5" s="795">
        <f t="shared" ref="P5:BV5" si="1">MONTH(P3)</f>
        <v>2</v>
      </c>
      <c r="Q5" s="795">
        <f t="shared" si="1"/>
        <v>3</v>
      </c>
      <c r="R5" s="795">
        <f t="shared" si="1"/>
        <v>4</v>
      </c>
      <c r="S5" s="795">
        <f t="shared" si="1"/>
        <v>5</v>
      </c>
      <c r="T5" s="795">
        <f t="shared" si="1"/>
        <v>6</v>
      </c>
      <c r="U5" s="795">
        <f t="shared" si="1"/>
        <v>7</v>
      </c>
      <c r="V5" s="795">
        <f t="shared" si="1"/>
        <v>8</v>
      </c>
      <c r="W5" s="795">
        <f t="shared" si="1"/>
        <v>9</v>
      </c>
      <c r="X5" s="795">
        <f t="shared" si="1"/>
        <v>10</v>
      </c>
      <c r="Y5" s="795">
        <f t="shared" si="1"/>
        <v>11</v>
      </c>
      <c r="Z5" s="795">
        <f t="shared" si="1"/>
        <v>12</v>
      </c>
      <c r="AA5" s="795">
        <f t="shared" si="1"/>
        <v>1</v>
      </c>
      <c r="AB5" s="795">
        <f t="shared" si="1"/>
        <v>2</v>
      </c>
      <c r="AC5" s="795">
        <f t="shared" si="1"/>
        <v>3</v>
      </c>
      <c r="AD5" s="795">
        <f t="shared" si="1"/>
        <v>4</v>
      </c>
      <c r="AE5" s="795">
        <f t="shared" si="1"/>
        <v>5</v>
      </c>
      <c r="AF5" s="795">
        <f t="shared" si="1"/>
        <v>6</v>
      </c>
      <c r="AG5" s="795">
        <f t="shared" si="1"/>
        <v>7</v>
      </c>
      <c r="AH5" s="795">
        <f t="shared" si="1"/>
        <v>8</v>
      </c>
      <c r="AI5" s="795">
        <f t="shared" si="1"/>
        <v>9</v>
      </c>
      <c r="AJ5" s="795">
        <f t="shared" si="1"/>
        <v>10</v>
      </c>
      <c r="AK5" s="795">
        <f t="shared" si="1"/>
        <v>11</v>
      </c>
      <c r="AL5" s="795">
        <f t="shared" si="1"/>
        <v>12</v>
      </c>
      <c r="AM5" s="795">
        <f t="shared" si="1"/>
        <v>1</v>
      </c>
      <c r="AN5" s="795">
        <f t="shared" si="1"/>
        <v>2</v>
      </c>
      <c r="AO5" s="795">
        <f t="shared" si="1"/>
        <v>3</v>
      </c>
      <c r="AP5" s="795">
        <f t="shared" si="1"/>
        <v>4</v>
      </c>
      <c r="AQ5" s="795">
        <f t="shared" si="1"/>
        <v>5</v>
      </c>
      <c r="AR5" s="795">
        <f t="shared" si="1"/>
        <v>6</v>
      </c>
      <c r="AS5" s="795">
        <f t="shared" si="1"/>
        <v>7</v>
      </c>
      <c r="AT5" s="795">
        <f t="shared" si="1"/>
        <v>8</v>
      </c>
      <c r="AU5" s="795">
        <f t="shared" si="1"/>
        <v>9</v>
      </c>
      <c r="AV5" s="795">
        <f t="shared" si="1"/>
        <v>10</v>
      </c>
      <c r="AW5" s="795">
        <f t="shared" si="1"/>
        <v>11</v>
      </c>
      <c r="AX5" s="795">
        <f t="shared" si="1"/>
        <v>12</v>
      </c>
      <c r="AY5" s="795">
        <f t="shared" si="1"/>
        <v>1</v>
      </c>
      <c r="AZ5" s="795">
        <f t="shared" si="1"/>
        <v>2</v>
      </c>
      <c r="BA5" s="795">
        <f t="shared" si="1"/>
        <v>3</v>
      </c>
      <c r="BB5" s="795">
        <f t="shared" si="1"/>
        <v>4</v>
      </c>
      <c r="BC5" s="795">
        <f t="shared" si="1"/>
        <v>5</v>
      </c>
      <c r="BD5" s="795">
        <f t="shared" si="1"/>
        <v>6</v>
      </c>
      <c r="BE5" s="795">
        <f t="shared" si="1"/>
        <v>7</v>
      </c>
      <c r="BF5" s="795">
        <f t="shared" si="1"/>
        <v>8</v>
      </c>
      <c r="BG5" s="795">
        <f t="shared" si="1"/>
        <v>9</v>
      </c>
      <c r="BH5" s="795">
        <f t="shared" si="1"/>
        <v>10</v>
      </c>
      <c r="BI5" s="795">
        <f t="shared" si="1"/>
        <v>11</v>
      </c>
      <c r="BJ5" s="795">
        <f t="shared" si="1"/>
        <v>12</v>
      </c>
      <c r="BK5" s="795">
        <f t="shared" si="1"/>
        <v>1</v>
      </c>
      <c r="BL5" s="795">
        <f t="shared" si="1"/>
        <v>2</v>
      </c>
      <c r="BM5" s="795">
        <f t="shared" si="1"/>
        <v>3</v>
      </c>
      <c r="BN5" s="795">
        <f t="shared" si="1"/>
        <v>4</v>
      </c>
      <c r="BO5" s="795">
        <f t="shared" si="1"/>
        <v>5</v>
      </c>
      <c r="BP5" s="795">
        <f t="shared" si="1"/>
        <v>6</v>
      </c>
      <c r="BQ5" s="795">
        <f t="shared" si="1"/>
        <v>7</v>
      </c>
      <c r="BR5" s="795">
        <f t="shared" si="1"/>
        <v>8</v>
      </c>
      <c r="BS5" s="795">
        <f t="shared" si="1"/>
        <v>9</v>
      </c>
      <c r="BT5" s="795">
        <f t="shared" si="1"/>
        <v>10</v>
      </c>
      <c r="BU5" s="795">
        <f t="shared" si="1"/>
        <v>11</v>
      </c>
      <c r="BV5" s="796">
        <f t="shared" si="1"/>
        <v>12</v>
      </c>
    </row>
    <row r="6" spans="2:74" x14ac:dyDescent="0.35">
      <c r="B6" s="797"/>
      <c r="C6" s="798"/>
      <c r="D6" s="798"/>
      <c r="E6" s="798"/>
      <c r="F6" s="798"/>
      <c r="G6" s="798"/>
      <c r="H6" s="798"/>
      <c r="I6" s="798"/>
      <c r="J6" s="798"/>
      <c r="K6" s="798"/>
      <c r="L6" s="798"/>
      <c r="M6" s="798"/>
      <c r="N6" s="798"/>
      <c r="O6" s="798"/>
      <c r="P6" s="798"/>
      <c r="Q6" s="798"/>
      <c r="R6" s="798"/>
      <c r="S6" s="798"/>
      <c r="T6" s="798"/>
      <c r="U6" s="798"/>
      <c r="V6" s="798"/>
      <c r="W6" s="798"/>
      <c r="X6" s="798"/>
      <c r="Y6" s="798"/>
      <c r="Z6" s="798"/>
      <c r="AA6" s="798"/>
      <c r="AB6" s="798"/>
      <c r="AC6" s="798"/>
      <c r="AD6" s="798"/>
      <c r="AE6" s="798"/>
      <c r="AF6" s="798"/>
      <c r="AG6" s="798"/>
      <c r="AH6" s="798"/>
      <c r="AI6" s="798"/>
      <c r="AJ6" s="798"/>
      <c r="AK6" s="798"/>
      <c r="AL6" s="798"/>
      <c r="AM6" s="798"/>
      <c r="AN6" s="798"/>
      <c r="AO6" s="798"/>
      <c r="AP6" s="798"/>
      <c r="AQ6" s="798"/>
      <c r="AR6" s="798"/>
      <c r="AS6" s="798"/>
      <c r="AT6" s="798"/>
      <c r="AU6" s="798"/>
      <c r="AV6" s="798"/>
      <c r="AW6" s="798"/>
      <c r="AX6" s="798"/>
      <c r="AY6" s="798"/>
      <c r="AZ6" s="798"/>
      <c r="BA6" s="798"/>
      <c r="BB6" s="798"/>
      <c r="BC6" s="798"/>
      <c r="BD6" s="798"/>
      <c r="BE6" s="798"/>
      <c r="BF6" s="798"/>
      <c r="BG6" s="798"/>
      <c r="BH6" s="798"/>
      <c r="BI6" s="798"/>
      <c r="BJ6" s="798"/>
      <c r="BK6" s="798"/>
      <c r="BL6" s="798"/>
      <c r="BM6" s="798"/>
      <c r="BN6" s="798"/>
      <c r="BO6" s="798"/>
      <c r="BP6" s="798"/>
      <c r="BQ6" s="798"/>
      <c r="BR6" s="798"/>
      <c r="BS6" s="798"/>
      <c r="BT6" s="798"/>
      <c r="BU6" s="798"/>
      <c r="BV6" s="799"/>
    </row>
    <row r="7" spans="2:74" x14ac:dyDescent="0.35">
      <c r="B7" s="794" t="s">
        <v>14</v>
      </c>
      <c r="C7" s="798">
        <f>SUMIFS(Headcount!$B$6:$B$89,Headcount!$F$6:$F$89,"Executive",Headcount!$H$6:$H$89,"&gt;"&amp;C3,Headcount!$G$6:$G$89,"&lt;"&amp;C3)</f>
        <v>1</v>
      </c>
      <c r="D7" s="799">
        <f>IF(D4="forecast",IF(C4="actual",(SUMIFS(Headcount!$B$6:$B$89,Headcount!$F$6:$F$89,"Executive",Headcount!$H$6:$H$89,"&gt;"&amp;D3,Headcount!$G$6:$G$89,"&lt;"&amp;D3)+D8-D9),(C7+D8-D9)),SUMIFS(Headcount!$B$6:$B$89,Headcount!$F$6:$F$89,"Executive",Headcount!$H$6:$H$89,"&gt;"&amp;D3,Headcount!$G$6:$G$89,"&lt;"&amp;C3))</f>
        <v>1</v>
      </c>
      <c r="E7" s="798">
        <f>IF(E4="forecast",IF(D4="actual",(SUMIFS(Headcount!$B$6:$B$89,Headcount!$F$6:$F$89,"Executive",Headcount!$H$6:$H$89,"&gt;"&amp;E3,Headcount!$G$6:$G$89,"&lt;"&amp;E3)+E8-E9),(D7+E8-E9)),SUMIFS(Headcount!$B$6:$B$89,Headcount!$F$6:$F$89,"Executive",Headcount!$H$6:$H$89,"&gt;"&amp;E3,Headcount!$G$6:$G$89,"&lt;"&amp;D3))</f>
        <v>1</v>
      </c>
      <c r="F7" s="798">
        <f>IF(F4="forecast",IF(E4="actual",(SUMIFS(Headcount!$B$6:$B$89,Headcount!$F$6:$F$89,"Executive",Headcount!$H$6:$H$89,"&gt;"&amp;F3,Headcount!$G$6:$G$89,"&lt;"&amp;F3)+F8-F9),(E7+F8-F9)),SUMIFS(Headcount!$B$6:$B$89,Headcount!$F$6:$F$89,"Executive",Headcount!$H$6:$H$89,"&gt;"&amp;F3,Headcount!$G$6:$G$89,"&lt;"&amp;E3))</f>
        <v>1</v>
      </c>
      <c r="G7" s="798">
        <f>IF(G4="forecast",IF(F4="actual",(SUMIFS(Headcount!$B$6:$B$89,Headcount!$F$6:$F$89,"Executive",Headcount!$H$6:$H$89,"&gt;"&amp;G3,Headcount!$G$6:$G$89,"&lt;"&amp;G3)+G8-G9),(F7+G8-G9)),SUMIFS(Headcount!$B$6:$B$89,Headcount!$F$6:$F$89,"Executive",Headcount!$H$6:$H$89,"&gt;"&amp;G3,Headcount!$G$6:$G$89,"&lt;"&amp;F3))</f>
        <v>2</v>
      </c>
      <c r="H7" s="798">
        <f>IF(H4="forecast",IF(G4="actual",(SUMIFS(Headcount!$B$6:$B$89,Headcount!$F$6:$F$89,"Executive",Headcount!$H$6:$H$89,"&gt;"&amp;H3,Headcount!$G$6:$G$89,"&lt;"&amp;H3)+H8-H9),(G7+H8-H9)),SUMIFS(Headcount!$B$6:$B$89,Headcount!$F$6:$F$89,"Executive",Headcount!$H$6:$H$89,"&gt;"&amp;H3,Headcount!$G$6:$G$89,"&lt;"&amp;G3))</f>
        <v>2</v>
      </c>
      <c r="I7" s="798">
        <f>IF(I4="forecast",IF(H4="actual",(SUMIFS(Headcount!$B$6:$B$89,Headcount!$F$6:$F$89,"Executive",Headcount!$H$6:$H$89,"&gt;"&amp;I3,Headcount!$G$6:$G$89,"&lt;"&amp;I3)+I8-I9),(H7+I8-I9)),SUMIFS(Headcount!$B$6:$B$89,Headcount!$F$6:$F$89,"Executive",Headcount!$H$6:$H$89,"&gt;"&amp;I3,Headcount!$G$6:$G$89,"&lt;"&amp;H3))</f>
        <v>2</v>
      </c>
      <c r="J7" s="798">
        <f>IF(J4="forecast",IF(I4="actual",(SUMIFS(Headcount!$B$6:$B$89,Headcount!$F$6:$F$89,"Executive",Headcount!$H$6:$H$89,"&gt;"&amp;J3,Headcount!$G$6:$G$89,"&lt;"&amp;J3)+J8-J9),(I7+J8-J9)),SUMIFS(Headcount!$B$6:$B$89,Headcount!$F$6:$F$89,"Executive",Headcount!$H$6:$H$89,"&gt;"&amp;J3,Headcount!$G$6:$G$89,"&lt;"&amp;I3))</f>
        <v>2</v>
      </c>
      <c r="K7" s="798">
        <f>IF(K4="forecast",IF(J4="actual",(SUMIFS(Headcount!$B$6:$B$89,Headcount!$F$6:$F$89,"Executive",Headcount!$H$6:$H$89,"&gt;"&amp;K3,Headcount!$G$6:$G$89,"&lt;"&amp;K3)+K8-K9),(J7+K8-K9)),SUMIFS(Headcount!$B$6:$B$89,Headcount!$F$6:$F$89,"Executive",Headcount!$H$6:$H$89,"&gt;"&amp;K3,Headcount!$G$6:$G$89,"&lt;"&amp;J3))</f>
        <v>2</v>
      </c>
      <c r="L7" s="798">
        <f>IF(L4="forecast",IF(K4="actual",(SUMIFS(Headcount!$B$6:$B$89,Headcount!$F$6:$F$89,"Executive",Headcount!$H$6:$H$89,"&gt;"&amp;L3,Headcount!$G$6:$G$89,"&lt;"&amp;L3)+L8-L9),(K7+L8-L9)),SUMIFS(Headcount!$B$6:$B$89,Headcount!$F$6:$F$89,"Executive",Headcount!$H$6:$H$89,"&gt;"&amp;L3,Headcount!$G$6:$G$89,"&lt;"&amp;K3))</f>
        <v>2</v>
      </c>
      <c r="M7" s="798">
        <f>IF(M4="forecast",IF(L4="actual",(SUMIFS(Headcount!$B$6:$B$89,Headcount!$F$6:$F$89,"Executive",Headcount!$H$6:$H$89,"&gt;"&amp;M3,Headcount!$G$6:$G$89,"&lt;"&amp;M3)+M8-M9),(L7+M8-M9)),SUMIFS(Headcount!$B$6:$B$89,Headcount!$F$6:$F$89,"Executive",Headcount!$H$6:$H$89,"&gt;"&amp;M3,Headcount!$G$6:$G$89,"&lt;"&amp;L3))</f>
        <v>2</v>
      </c>
      <c r="N7" s="798">
        <f>IF(N4="forecast",IF(M4="actual",(SUMIFS(Headcount!$B$6:$B$89,Headcount!$F$6:$F$89,"Executive",Headcount!$H$6:$H$89,"&gt;"&amp;N3,Headcount!$G$6:$G$89,"&lt;"&amp;N3)+N8-N9),(M7+N8-N9)),SUMIFS(Headcount!$B$6:$B$89,Headcount!$F$6:$F$89,"Executive",Headcount!$H$6:$H$89,"&gt;"&amp;N3,Headcount!$G$6:$G$89,"&lt;"&amp;M3))</f>
        <v>3</v>
      </c>
      <c r="O7" s="798">
        <f>IF(O4="forecast",IF(N4="actual",(SUMIFS(Headcount!$B$6:$B$89,Headcount!$F$6:$F$89,"Executive",Headcount!$H$6:$H$89,"&gt;"&amp;O3,Headcount!$G$6:$G$89,"&lt;"&amp;O3)+O8-O9),(N7+O8-O9)),SUMIFS(Headcount!$B$6:$B$89,Headcount!$F$6:$F$89,"Executive",Headcount!$H$6:$H$89,"&gt;"&amp;O3,Headcount!$G$6:$G$89,"&lt;"&amp;N3))</f>
        <v>3</v>
      </c>
      <c r="P7" s="798">
        <f>IF(P4="forecast",IF(O4="actual",(SUMIFS(Headcount!$B$6:$B$89,Headcount!$F$6:$F$89,"Executive",Headcount!$H$6:$H$89,"&gt;"&amp;P3,Headcount!$G$6:$G$89,"&lt;"&amp;P3)+P8-P9),(O7+P8-P9)),SUMIFS(Headcount!$B$6:$B$89,Headcount!$F$6:$F$89,"Executive",Headcount!$H$6:$H$89,"&gt;"&amp;P3,Headcount!$G$6:$G$89,"&lt;"&amp;O3))</f>
        <v>3</v>
      </c>
      <c r="Q7" s="798">
        <f>IF(Q4="forecast",IF(P4="actual",(SUMIFS(Headcount!$B$6:$B$89,Headcount!$F$6:$F$89,"Executive",Headcount!$H$6:$H$89,"&gt;"&amp;Q3,Headcount!$G$6:$G$89,"&lt;"&amp;Q3)+Q8-Q9),(P7+Q8-Q9)),SUMIFS(Headcount!$B$6:$B$89,Headcount!$F$6:$F$89,"Executive",Headcount!$H$6:$H$89,"&gt;"&amp;Q3,Headcount!$G$6:$G$89,"&lt;"&amp;P3))</f>
        <v>3</v>
      </c>
      <c r="R7" s="798">
        <f>IF(R4="forecast",IF(Q4="actual",(SUMIFS(Headcount!$B$6:$B$89,Headcount!$F$6:$F$89,"Executive",Headcount!$H$6:$H$89,"&gt;"&amp;R3,Headcount!$G$6:$G$89,"&lt;"&amp;R3)+R8-R9),(Q7+R8-R9)),SUMIFS(Headcount!$B$6:$B$89,Headcount!$F$6:$F$89,"Executive",Headcount!$H$6:$H$89,"&gt;"&amp;R3,Headcount!$G$6:$G$89,"&lt;"&amp;Q3))</f>
        <v>3</v>
      </c>
      <c r="S7" s="798">
        <f>IF(S4="forecast",IF(R4="actual",(SUMIFS(Headcount!$B$6:$B$89,Headcount!$F$6:$F$89,"Executive",Headcount!$H$6:$H$89,"&gt;"&amp;S3,Headcount!$G$6:$G$89,"&lt;"&amp;S3)+S8-S9),(R7+S8-S9)),SUMIFS(Headcount!$B$6:$B$89,Headcount!$F$6:$F$89,"Executive",Headcount!$H$6:$H$89,"&gt;"&amp;S3,Headcount!$G$6:$G$89,"&lt;"&amp;R3))</f>
        <v>3</v>
      </c>
      <c r="T7" s="798">
        <f>IF(T4="forecast",IF(S4="actual",(SUMIFS(Headcount!$B$6:$B$89,Headcount!$F$6:$F$89,"Executive",Headcount!$H$6:$H$89,"&gt;"&amp;T3,Headcount!$G$6:$G$89,"&lt;"&amp;T3)+T8-T9),(S7+T8-T9)),SUMIFS(Headcount!$B$6:$B$89,Headcount!$F$6:$F$89,"Executive",Headcount!$H$6:$H$89,"&gt;"&amp;T3,Headcount!$G$6:$G$89,"&lt;"&amp;S3))</f>
        <v>3</v>
      </c>
      <c r="U7" s="798">
        <f>IF(U4="forecast",IF(T4="actual",(SUMIFS(Headcount!$B$6:$B$89,Headcount!$F$6:$F$89,"Executive",Headcount!$H$6:$H$89,"&gt;"&amp;U3,Headcount!$G$6:$G$89,"&lt;"&amp;U3)+U8-U9),(T7+U8-U9)),SUMIFS(Headcount!$B$6:$B$89,Headcount!$F$6:$F$89,"Executive",Headcount!$H$6:$H$89,"&gt;"&amp;U3,Headcount!$G$6:$G$89,"&lt;"&amp;T3))</f>
        <v>3</v>
      </c>
      <c r="V7" s="798">
        <f>IF(V4="forecast",IF(U4="actual",(SUMIFS(Headcount!$B$6:$B$89,Headcount!$F$6:$F$89,"Executive",Headcount!$H$6:$H$89,"&gt;"&amp;V3,Headcount!$G$6:$G$89,"&lt;"&amp;V3)+V8-V9),(U7+V8-V9)),SUMIFS(Headcount!$B$6:$B$89,Headcount!$F$6:$F$89,"Executive",Headcount!$H$6:$H$89,"&gt;"&amp;V3,Headcount!$G$6:$G$89,"&lt;"&amp;U3))</f>
        <v>3</v>
      </c>
      <c r="W7" s="798">
        <f>IF(W4="forecast",IF(V4="actual",(SUMIFS(Headcount!$B$6:$B$89,Headcount!$F$6:$F$89,"Executive",Headcount!$H$6:$H$89,"&gt;"&amp;W3,Headcount!$G$6:$G$89,"&lt;"&amp;W3)+W8-W9),(V7+W8-W9)),SUMIFS(Headcount!$B$6:$B$89,Headcount!$F$6:$F$89,"Executive",Headcount!$H$6:$H$89,"&gt;"&amp;W3,Headcount!$G$6:$G$89,"&lt;"&amp;V3))</f>
        <v>3</v>
      </c>
      <c r="X7" s="798">
        <f>IF(X4="forecast",IF(W4="actual",(SUMIFS(Headcount!$B$6:$B$89,Headcount!$F$6:$F$89,"Executive",Headcount!$H$6:$H$89,"&gt;"&amp;X3,Headcount!$G$6:$G$89,"&lt;"&amp;X3)+X8-X9),(W7+X8-X9)),SUMIFS(Headcount!$B$6:$B$89,Headcount!$F$6:$F$89,"Executive",Headcount!$H$6:$H$89,"&gt;"&amp;X3,Headcount!$G$6:$G$89,"&lt;"&amp;W3))</f>
        <v>3</v>
      </c>
      <c r="Y7" s="798">
        <f>IF(Y4="forecast",IF(X4="actual",(SUMIFS(Headcount!$B$6:$B$89,Headcount!$F$6:$F$89,"Executive",Headcount!$H$6:$H$89,"&gt;"&amp;Y3,Headcount!$G$6:$G$89,"&lt;"&amp;Y3)+Y8-Y9),(X7+Y8-Y9)),SUMIFS(Headcount!$B$6:$B$89,Headcount!$F$6:$F$89,"Executive",Headcount!$H$6:$H$89,"&gt;"&amp;Y3,Headcount!$G$6:$G$89,"&lt;"&amp;X3))</f>
        <v>3</v>
      </c>
      <c r="Z7" s="798">
        <f>IF(Z4="forecast",IF(Y4="actual",(SUMIFS(Headcount!$B$6:$B$89,Headcount!$F$6:$F$89,"Executive",Headcount!$H$6:$H$89,"&gt;"&amp;Z3,Headcount!$G$6:$G$89,"&lt;"&amp;Z3)+Z8-Z9),(Y7+Z8-Z9)),SUMIFS(Headcount!$B$6:$B$89,Headcount!$F$6:$F$89,"Executive",Headcount!$H$6:$H$89,"&gt;"&amp;Z3,Headcount!$G$6:$G$89,"&lt;"&amp;Y3))</f>
        <v>2</v>
      </c>
      <c r="AA7" s="798">
        <f>IF(AA4="forecast",IF(Z4="actual",(SUMIFS(Headcount!$B$6:$B$89,Headcount!$F$6:$F$89,"Executive",Headcount!$H$6:$H$89,"&gt;"&amp;AA3,Headcount!$G$6:$G$89,"&lt;"&amp;AA3)+AA8-AA9),(Z7+AA8-AA9)),SUMIFS(Headcount!$B$6:$B$89,Headcount!$F$6:$F$89,"Executive",Headcount!$H$6:$H$89,"&gt;"&amp;AA3,Headcount!$G$6:$G$89,"&lt;"&amp;Z3))</f>
        <v>2</v>
      </c>
      <c r="AB7" s="798">
        <f>IF(AB4="forecast",IF(AA4="actual",(SUMIFS(Headcount!$B$6:$B$89,Headcount!$F$6:$F$89,"Executive",Headcount!$H$6:$H$89,"&gt;"&amp;AB3,Headcount!$G$6:$G$89,"&lt;"&amp;AB3)+AB8-AB9),(AA7+AB8-AB9)),SUMIFS(Headcount!$B$6:$B$89,Headcount!$F$6:$F$89,"Executive",Headcount!$H$6:$H$89,"&gt;"&amp;AB3,Headcount!$G$6:$G$89,"&lt;"&amp;AA3))</f>
        <v>2</v>
      </c>
      <c r="AC7" s="798">
        <f>IF(AC4="forecast",IF(AB4="actual",(SUMIFS(Headcount!$B$6:$B$89,Headcount!$F$6:$F$89,"Executive",Headcount!$H$6:$H$89,"&gt;"&amp;AC3,Headcount!$G$6:$G$89,"&lt;"&amp;AC3)+AC8-AC9),(AB7+AC8-AC9)),SUMIFS(Headcount!$B$6:$B$89,Headcount!$F$6:$F$89,"Executive",Headcount!$H$6:$H$89,"&gt;"&amp;AC3,Headcount!$G$6:$G$89,"&lt;"&amp;AB3))</f>
        <v>2</v>
      </c>
      <c r="AD7" s="798">
        <f>IF(AD4="forecast",IF(AC4="actual",(SUMIFS(Headcount!$B$6:$B$89,Headcount!$F$6:$F$89,"Executive",Headcount!$H$6:$H$89,"&gt;"&amp;AD3,Headcount!$G$6:$G$89,"&lt;"&amp;AD3)+AD8-AD9),(AC7+AD8-AD9)),SUMIFS(Headcount!$B$6:$B$89,Headcount!$F$6:$F$89,"Executive",Headcount!$H$6:$H$89,"&gt;"&amp;AD3,Headcount!$G$6:$G$89,"&lt;"&amp;AC3))</f>
        <v>2</v>
      </c>
      <c r="AE7" s="798">
        <f>IF(AE4="forecast",IF(AD4="actual",(SUMIFS(Headcount!$B$6:$B$89,Headcount!$F$6:$F$89,"Executive",Headcount!$H$6:$H$89,"&gt;"&amp;AE3,Headcount!$G$6:$G$89,"&lt;"&amp;AE3)+AE8-AE9),(AD7+AE8-AE9)),SUMIFS(Headcount!$B$6:$B$89,Headcount!$F$6:$F$89,"Executive",Headcount!$H$6:$H$89,"&gt;"&amp;AE3,Headcount!$G$6:$G$89,"&lt;"&amp;AD3))</f>
        <v>2</v>
      </c>
      <c r="AF7" s="798">
        <f>IF(AF4="forecast",IF(AE4="actual",(SUMIFS(Headcount!$B$6:$B$89,Headcount!$F$6:$F$89,"Executive",Headcount!$H$6:$H$89,"&gt;"&amp;AF3,Headcount!$G$6:$G$89,"&lt;"&amp;AF3)+AF8-AF9),(AE7+AF8-AF9)),SUMIFS(Headcount!$B$6:$B$89,Headcount!$F$6:$F$89,"Executive",Headcount!$H$6:$H$89,"&gt;"&amp;AF3,Headcount!$G$6:$G$89,"&lt;"&amp;AE3))</f>
        <v>2</v>
      </c>
      <c r="AG7" s="798">
        <f>IF(AG4="forecast",IF(AF4="actual",(SUMIFS(Headcount!$B$6:$B$89,Headcount!$F$6:$F$89,"Executive",Headcount!$H$6:$H$89,"&gt;"&amp;AG3,Headcount!$G$6:$G$89,"&lt;"&amp;AG3)+AG8-AG9),(AF7+AG8-AG9)),SUMIFS(Headcount!$B$6:$B$89,Headcount!$F$6:$F$89,"Executive",Headcount!$H$6:$H$89,"&gt;"&amp;AG3,Headcount!$G$6:$G$89,"&lt;"&amp;AF3))</f>
        <v>2</v>
      </c>
      <c r="AH7" s="798">
        <f>IF(AH4="forecast",IF(AG4="actual",(SUMIFS(Headcount!$B$6:$B$89,Headcount!$F$6:$F$89,"Executive",Headcount!$H$6:$H$89,"&gt;"&amp;AH3,Headcount!$G$6:$G$89,"&lt;"&amp;AH3)+AH8-AH9),(AG7+AH8-AH9)),SUMIFS(Headcount!$B$6:$B$89,Headcount!$F$6:$F$89,"Executive",Headcount!$H$6:$H$89,"&gt;"&amp;AH3,Headcount!$G$6:$G$89,"&lt;"&amp;AG3))</f>
        <v>2</v>
      </c>
      <c r="AI7" s="798">
        <f>IF(AI4="forecast",IF(AH4="actual",(SUMIFS(Headcount!$B$6:$B$89,Headcount!$F$6:$F$89,"Executive",Headcount!$H$6:$H$89,"&gt;"&amp;AI3,Headcount!$G$6:$G$89,"&lt;"&amp;AI3)+AI8-AI9),(AH7+AI8-AI9)),SUMIFS(Headcount!$B$6:$B$89,Headcount!$F$6:$F$89,"Executive",Headcount!$H$6:$H$89,"&gt;"&amp;AI3,Headcount!$G$6:$G$89,"&lt;"&amp;AH3))</f>
        <v>2</v>
      </c>
      <c r="AJ7" s="798">
        <f>IF(AJ4="forecast",IF(AI4="actual",(SUMIFS(Headcount!$B$6:$B$89,Headcount!$F$6:$F$89,"Executive",Headcount!$H$6:$H$89,"&gt;"&amp;AJ3,Headcount!$G$6:$G$89,"&lt;"&amp;AJ3)+AJ8-AJ9),(AI7+AJ8-AJ9)),SUMIFS(Headcount!$B$6:$B$89,Headcount!$F$6:$F$89,"Executive",Headcount!$H$6:$H$89,"&gt;"&amp;AJ3,Headcount!$G$6:$G$89,"&lt;"&amp;AI3))</f>
        <v>2</v>
      </c>
      <c r="AK7" s="798">
        <f>IF(AK4="forecast",IF(AJ4="actual",(SUMIFS(Headcount!$B$6:$B$89,Headcount!$F$6:$F$89,"Executive",Headcount!$H$6:$H$89,"&gt;"&amp;AK3,Headcount!$G$6:$G$89,"&lt;"&amp;AK3)+AK8-AK9),(AJ7+AK8-AK9)),SUMIFS(Headcount!$B$6:$B$89,Headcount!$F$6:$F$89,"Executive",Headcount!$H$6:$H$89,"&gt;"&amp;AK3,Headcount!$G$6:$G$89,"&lt;"&amp;AJ3))</f>
        <v>2</v>
      </c>
      <c r="AL7" s="798">
        <f>IF(AL4="forecast",IF(AK4="actual",(SUMIFS(Headcount!$B$6:$B$89,Headcount!$F$6:$F$89,"Executive",Headcount!$H$6:$H$89,"&gt;"&amp;AL3,Headcount!$G$6:$G$89,"&lt;"&amp;AL3)+AL8-AL9),(AK7+AL8-AL9)),SUMIFS(Headcount!$B$6:$B$89,Headcount!$F$6:$F$89,"Executive",Headcount!$H$6:$H$89,"&gt;"&amp;AL3,Headcount!$G$6:$G$89,"&lt;"&amp;AK3))</f>
        <v>2</v>
      </c>
      <c r="AM7" s="798">
        <f>IF(AM4="forecast",IF(AL4="actual",(SUMIFS(Headcount!$B$6:$B$89,Headcount!$F$6:$F$89,"Executive",Headcount!$H$6:$H$89,"&gt;"&amp;AM3,Headcount!$G$6:$G$89,"&lt;"&amp;AM3)+AM8-AM9),(AL7+AM8-AM9)),SUMIFS(Headcount!$B$6:$B$89,Headcount!$F$6:$F$89,"Executive",Headcount!$H$6:$H$89,"&gt;"&amp;AM3,Headcount!$G$6:$G$89,"&lt;"&amp;AL3))</f>
        <v>2</v>
      </c>
      <c r="AN7" s="798">
        <f>IF(AN4="forecast",IF(AM4="actual",(SUMIFS(Headcount!$B$6:$B$89,Headcount!$F$6:$F$89,"Executive",Headcount!$H$6:$H$89,"&gt;"&amp;AN3,Headcount!$G$6:$G$89,"&lt;"&amp;AN3)+AN8-AN9),(AM7+AN8-AN9)),SUMIFS(Headcount!$B$6:$B$89,Headcount!$F$6:$F$89,"Executive",Headcount!$H$6:$H$89,"&gt;"&amp;AN3,Headcount!$G$6:$G$89,"&lt;"&amp;AM3))</f>
        <v>2</v>
      </c>
      <c r="AO7" s="798">
        <f>IF(AO4="forecast",IF(AN4="actual",(SUMIFS(Headcount!$B$6:$B$89,Headcount!$F$6:$F$89,"Executive",Headcount!$H$6:$H$89,"&gt;"&amp;AO3,Headcount!$G$6:$G$89,"&lt;"&amp;AO3)+AO8-AO9),(AN7+AO8-AO9)),SUMIFS(Headcount!$B$6:$B$89,Headcount!$F$6:$F$89,"Executive",Headcount!$H$6:$H$89,"&gt;"&amp;AO3,Headcount!$G$6:$G$89,"&lt;"&amp;AN3))</f>
        <v>2</v>
      </c>
      <c r="AP7" s="798">
        <f>IF(AP4="forecast",IF(AO4="actual",(SUMIFS(Headcount!$B$6:$B$89,Headcount!$F$6:$F$89,"Executive",Headcount!$H$6:$H$89,"&gt;"&amp;AP3,Headcount!$G$6:$G$89,"&lt;"&amp;AP3)+AP8-AP9),(AO7+AP8-AP9)),SUMIFS(Headcount!$B$6:$B$89,Headcount!$F$6:$F$89,"Executive",Headcount!$H$6:$H$89,"&gt;"&amp;AP3,Headcount!$G$6:$G$89,"&lt;"&amp;AO3))</f>
        <v>2</v>
      </c>
      <c r="AQ7" s="798">
        <f>IF(AQ4="forecast",IF(AP4="actual",(SUMIFS(Headcount!$B$6:$B$89,Headcount!$F$6:$F$89,"Executive",Headcount!$H$6:$H$89,"&gt;"&amp;AQ3,Headcount!$G$6:$G$89,"&lt;"&amp;AQ3)+AQ8-AQ9),(AP7+AQ8-AQ9)),SUMIFS(Headcount!$B$6:$B$89,Headcount!$F$6:$F$89,"Executive",Headcount!$H$6:$H$89,"&gt;"&amp;AQ3,Headcount!$G$6:$G$89,"&lt;"&amp;AP3))</f>
        <v>2</v>
      </c>
      <c r="AR7" s="798">
        <f>IF(AR4="forecast",IF(AQ4="actual",(SUMIFS(Headcount!$B$6:$B$89,Headcount!$F$6:$F$89,"Executive",Headcount!$H$6:$H$89,"&gt;"&amp;AR3,Headcount!$G$6:$G$89,"&lt;"&amp;AR3)+AR8-AR9),(AQ7+AR8-AR9)),SUMIFS(Headcount!$B$6:$B$89,Headcount!$F$6:$F$89,"Executive",Headcount!$H$6:$H$89,"&gt;"&amp;AR3,Headcount!$G$6:$G$89,"&lt;"&amp;AQ3))</f>
        <v>2</v>
      </c>
      <c r="AS7" s="798">
        <f>IF(AS4="forecast",IF(AR4="actual",(SUMIFS(Headcount!$B$6:$B$89,Headcount!$F$6:$F$89,"Executive",Headcount!$H$6:$H$89,"&gt;"&amp;AS3,Headcount!$G$6:$G$89,"&lt;"&amp;AS3)+AS8-AS9),(AR7+AS8-AS9)),SUMIFS(Headcount!$B$6:$B$89,Headcount!$F$6:$F$89,"Executive",Headcount!$H$6:$H$89,"&gt;"&amp;AS3,Headcount!$G$6:$G$89,"&lt;"&amp;AR3))</f>
        <v>2</v>
      </c>
      <c r="AT7" s="798">
        <f>IF(AT4="forecast",IF(AS4="actual",(SUMIFS(Headcount!$B$6:$B$89,Headcount!$F$6:$F$89,"Executive",Headcount!$H$6:$H$89,"&gt;"&amp;AT3,Headcount!$G$6:$G$89,"&lt;"&amp;AT3)+AT8-AT9),(AS7+AT8-AT9)),SUMIFS(Headcount!$B$6:$B$89,Headcount!$F$6:$F$89,"Executive",Headcount!$H$6:$H$89,"&gt;"&amp;AT3,Headcount!$G$6:$G$89,"&lt;"&amp;AS3))</f>
        <v>2</v>
      </c>
      <c r="AU7" s="798">
        <f>IF(AU4="forecast",IF(AT4="actual",(SUMIFS(Headcount!$B$6:$B$89,Headcount!$F$6:$F$89,"Executive",Headcount!$H$6:$H$89,"&gt;"&amp;AU3,Headcount!$G$6:$G$89,"&lt;"&amp;AU3)+AU8-AU9),(AT7+AU8-AU9)),SUMIFS(Headcount!$B$6:$B$89,Headcount!$F$6:$F$89,"Executive",Headcount!$H$6:$H$89,"&gt;"&amp;AU3,Headcount!$G$6:$G$89,"&lt;"&amp;AT3))</f>
        <v>2</v>
      </c>
      <c r="AV7" s="798">
        <f>IF(AV4="forecast",IF(AU4="actual",(SUMIFS(Headcount!$B$6:$B$89,Headcount!$F$6:$F$89,"Executive",Headcount!$H$6:$H$89,"&gt;"&amp;AV3,Headcount!$G$6:$G$89,"&lt;"&amp;AV3)+AV8-AV9),(AU7+AV8-AV9)),SUMIFS(Headcount!$B$6:$B$89,Headcount!$F$6:$F$89,"Executive",Headcount!$H$6:$H$89,"&gt;"&amp;AV3,Headcount!$G$6:$G$89,"&lt;"&amp;AU3))</f>
        <v>2</v>
      </c>
      <c r="AW7" s="798">
        <f>IF(AW4="forecast",IF(AV4="actual",(SUMIFS(Headcount!$B$6:$B$89,Headcount!$F$6:$F$89,"Executive",Headcount!$H$6:$H$89,"&gt;"&amp;AW3,Headcount!$G$6:$G$89,"&lt;"&amp;AW3)+AW8-AW9),(AV7+AW8-AW9)),SUMIFS(Headcount!$B$6:$B$89,Headcount!$F$6:$F$89,"Executive",Headcount!$H$6:$H$89,"&gt;"&amp;AW3,Headcount!$G$6:$G$89,"&lt;"&amp;AV3))</f>
        <v>2</v>
      </c>
      <c r="AX7" s="798">
        <f>IF(AX4="forecast",IF(AW4="actual",(SUMIFS(Headcount!$B$6:$B$89,Headcount!$F$6:$F$89,"Executive",Headcount!$H$6:$H$89,"&gt;"&amp;AX3,Headcount!$G$6:$G$89,"&lt;"&amp;AX3)+AX8-AX9),(AW7+AX8-AX9)),SUMIFS(Headcount!$B$6:$B$89,Headcount!$F$6:$F$89,"Executive",Headcount!$H$6:$H$89,"&gt;"&amp;AX3,Headcount!$G$6:$G$89,"&lt;"&amp;AW3))</f>
        <v>2</v>
      </c>
      <c r="AY7" s="798">
        <f>IF(AY4="forecast",IF(AX4="actual",(SUMIFS(Headcount!$B$6:$B$89,Headcount!$F$6:$F$89,"Executive",Headcount!$H$6:$H$89,"&gt;"&amp;AY3,Headcount!$G$6:$G$89,"&lt;"&amp;AY3)+AY8-AY9),(AX7+AY8-AY9)),SUMIFS(Headcount!$B$6:$B$89,Headcount!$F$6:$F$89,"Executive",Headcount!$H$6:$H$89,"&gt;"&amp;AY3,Headcount!$G$6:$G$89,"&lt;"&amp;AX3))</f>
        <v>2</v>
      </c>
      <c r="AZ7" s="798">
        <f>IF(AZ4="forecast",IF(AY4="actual",(SUMIFS(Headcount!$B$6:$B$89,Headcount!$F$6:$F$89,"Executive",Headcount!$H$6:$H$89,"&gt;"&amp;AZ3,Headcount!$G$6:$G$89,"&lt;"&amp;AZ3)+AZ8-AZ9),(AY7+AZ8-AZ9)),SUMIFS(Headcount!$B$6:$B$89,Headcount!$F$6:$F$89,"Executive",Headcount!$H$6:$H$89,"&gt;"&amp;AZ3,Headcount!$G$6:$G$89,"&lt;"&amp;AY3))</f>
        <v>2</v>
      </c>
      <c r="BA7" s="798">
        <f>IF(BA4="forecast",IF(AZ4="actual",(SUMIFS(Headcount!$B$6:$B$89,Headcount!$F$6:$F$89,"Executive",Headcount!$H$6:$H$89,"&gt;"&amp;BA3,Headcount!$G$6:$G$89,"&lt;"&amp;BA3)+BA8-BA9),(AZ7+BA8-BA9)),SUMIFS(Headcount!$B$6:$B$89,Headcount!$F$6:$F$89,"Executive",Headcount!$H$6:$H$89,"&gt;"&amp;BA3,Headcount!$G$6:$G$89,"&lt;"&amp;AZ3))</f>
        <v>2</v>
      </c>
      <c r="BB7" s="798">
        <f>IF(BB4="forecast",IF(BA4="actual",(SUMIFS(Headcount!$B$6:$B$89,Headcount!$F$6:$F$89,"Executive",Headcount!$H$6:$H$89,"&gt;"&amp;BB3,Headcount!$G$6:$G$89,"&lt;"&amp;BB3)+BB8-BB9),(BA7+BB8-BB9)),SUMIFS(Headcount!$B$6:$B$89,Headcount!$F$6:$F$89,"Executive",Headcount!$H$6:$H$89,"&gt;"&amp;BB3,Headcount!$G$6:$G$89,"&lt;"&amp;BA3))</f>
        <v>2</v>
      </c>
      <c r="BC7" s="798">
        <f>IF(BC4="forecast",IF(BB4="actual",(SUMIFS(Headcount!$B$6:$B$89,Headcount!$F$6:$F$89,"Executive",Headcount!$H$6:$H$89,"&gt;"&amp;BC3,Headcount!$G$6:$G$89,"&lt;"&amp;BC3)+BC8-BC9),(BB7+BC8-BC9)),SUMIFS(Headcount!$B$6:$B$89,Headcount!$F$6:$F$89,"Executive",Headcount!$H$6:$H$89,"&gt;"&amp;BC3,Headcount!$G$6:$G$89,"&lt;"&amp;BB3))</f>
        <v>2</v>
      </c>
      <c r="BD7" s="798">
        <f>IF(BD4="forecast",IF(BC4="actual",(SUMIFS(Headcount!$B$6:$B$89,Headcount!$F$6:$F$89,"Executive",Headcount!$H$6:$H$89,"&gt;"&amp;BD3,Headcount!$G$6:$G$89,"&lt;"&amp;BD3)+BD8-BD9),(BC7+BD8-BD9)),SUMIFS(Headcount!$B$6:$B$89,Headcount!$F$6:$F$89,"Executive",Headcount!$H$6:$H$89,"&gt;"&amp;BD3,Headcount!$G$6:$G$89,"&lt;"&amp;BC3))</f>
        <v>2</v>
      </c>
      <c r="BE7" s="798">
        <f>IF(BE4="forecast",IF(BD4="actual",(SUMIFS(Headcount!$B$6:$B$89,Headcount!$F$6:$F$89,"Executive",Headcount!$H$6:$H$89,"&gt;"&amp;BE3,Headcount!$G$6:$G$89,"&lt;"&amp;BE3)+BE8-BE9),(BD7+BE8-BE9)),SUMIFS(Headcount!$B$6:$B$89,Headcount!$F$6:$F$89,"Executive",Headcount!$H$6:$H$89,"&gt;"&amp;BE3,Headcount!$G$6:$G$89,"&lt;"&amp;BD3))</f>
        <v>2</v>
      </c>
      <c r="BF7" s="798">
        <f>IF(BF4="forecast",IF(BE4="actual",(SUMIFS(Headcount!$B$6:$B$89,Headcount!$F$6:$F$89,"Executive",Headcount!$H$6:$H$89,"&gt;"&amp;BF3,Headcount!$G$6:$G$89,"&lt;"&amp;BF3)+BF8-BF9),(BE7+BF8-BF9)),SUMIFS(Headcount!$B$6:$B$89,Headcount!$F$6:$F$89,"Executive",Headcount!$H$6:$H$89,"&gt;"&amp;BF3,Headcount!$G$6:$G$89,"&lt;"&amp;BE3))</f>
        <v>2</v>
      </c>
      <c r="BG7" s="798">
        <f>IF(BG4="forecast",IF(BF4="actual",(SUMIFS(Headcount!$B$6:$B$89,Headcount!$F$6:$F$89,"Executive",Headcount!$H$6:$H$89,"&gt;"&amp;BG3,Headcount!$G$6:$G$89,"&lt;"&amp;BG3)+BG8-BG9),(BF7+BG8-BG9)),SUMIFS(Headcount!$B$6:$B$89,Headcount!$F$6:$F$89,"Executive",Headcount!$H$6:$H$89,"&gt;"&amp;BG3,Headcount!$G$6:$G$89,"&lt;"&amp;BF3))</f>
        <v>2</v>
      </c>
      <c r="BH7" s="798">
        <f>IF(BH4="forecast",IF(BG4="actual",(SUMIFS(Headcount!$B$6:$B$89,Headcount!$F$6:$F$89,"Executive",Headcount!$H$6:$H$89,"&gt;"&amp;BH3,Headcount!$G$6:$G$89,"&lt;"&amp;BH3)+BH8-BH9),(BG7+BH8-BH9)),SUMIFS(Headcount!$B$6:$B$89,Headcount!$F$6:$F$89,"Executive",Headcount!$H$6:$H$89,"&gt;"&amp;BH3,Headcount!$G$6:$G$89,"&lt;"&amp;BG3))</f>
        <v>2</v>
      </c>
      <c r="BI7" s="798">
        <f>IF(BI4="forecast",IF(BH4="actual",(SUMIFS(Headcount!$B$6:$B$89,Headcount!$F$6:$F$89,"Executive",Headcount!$H$6:$H$89,"&gt;"&amp;BI3,Headcount!$G$6:$G$89,"&lt;"&amp;BI3)+BI8-BI9),(BH7+BI8-BI9)),SUMIFS(Headcount!$B$6:$B$89,Headcount!$F$6:$F$89,"Executive",Headcount!$H$6:$H$89,"&gt;"&amp;BI3,Headcount!$G$6:$G$89,"&lt;"&amp;BH3))</f>
        <v>2</v>
      </c>
      <c r="BJ7" s="798">
        <f>IF(BJ4="forecast",IF(BI4="actual",(SUMIFS(Headcount!$B$6:$B$89,Headcount!$F$6:$F$89,"Executive",Headcount!$H$6:$H$89,"&gt;"&amp;BJ3,Headcount!$G$6:$G$89,"&lt;"&amp;BJ3)+BJ8-BJ9),(BI7+BJ8-BJ9)),SUMIFS(Headcount!$B$6:$B$89,Headcount!$F$6:$F$89,"Executive",Headcount!$H$6:$H$89,"&gt;"&amp;BJ3,Headcount!$G$6:$G$89,"&lt;"&amp;BI3))</f>
        <v>2</v>
      </c>
      <c r="BK7" s="798">
        <f>IF(BK4="forecast",IF(BJ4="actual",(SUMIFS(Headcount!$B$6:$B$89,Headcount!$F$6:$F$89,"Executive",Headcount!$H$6:$H$89,"&gt;"&amp;BK3,Headcount!$G$6:$G$89,"&lt;"&amp;BK3)+BK8-BK9),(BJ7+BK8-BK9)),SUMIFS(Headcount!$B$6:$B$89,Headcount!$F$6:$F$89,"Executive",Headcount!$H$6:$H$89,"&gt;"&amp;BK3,Headcount!$G$6:$G$89,"&lt;"&amp;BJ3))</f>
        <v>2</v>
      </c>
      <c r="BL7" s="798">
        <f>IF(BL4="forecast",IF(BK4="actual",(SUMIFS(Headcount!$B$6:$B$89,Headcount!$F$6:$F$89,"Executive",Headcount!$H$6:$H$89,"&gt;"&amp;BL3,Headcount!$G$6:$G$89,"&lt;"&amp;BL3)+BL8-BL9),(BK7+BL8-BL9)),SUMIFS(Headcount!$B$6:$B$89,Headcount!$F$6:$F$89,"Executive",Headcount!$H$6:$H$89,"&gt;"&amp;BL3,Headcount!$G$6:$G$89,"&lt;"&amp;BK3))</f>
        <v>2</v>
      </c>
      <c r="BM7" s="798">
        <f>IF(BM4="forecast",IF(BL4="actual",(SUMIFS(Headcount!$B$6:$B$89,Headcount!$F$6:$F$89,"Executive",Headcount!$H$6:$H$89,"&gt;"&amp;BM3,Headcount!$G$6:$G$89,"&lt;"&amp;BM3)+BM8-BM9),(BL7+BM8-BM9)),SUMIFS(Headcount!$B$6:$B$89,Headcount!$F$6:$F$89,"Executive",Headcount!$H$6:$H$89,"&gt;"&amp;BM3,Headcount!$G$6:$G$89,"&lt;"&amp;BL3))</f>
        <v>2</v>
      </c>
      <c r="BN7" s="798">
        <f>IF(BN4="forecast",IF(BM4="actual",(SUMIFS(Headcount!$B$6:$B$89,Headcount!$F$6:$F$89,"Executive",Headcount!$H$6:$H$89,"&gt;"&amp;BN3,Headcount!$G$6:$G$89,"&lt;"&amp;BN3)+BN8-BN9),(BM7+BN8-BN9)),SUMIFS(Headcount!$B$6:$B$89,Headcount!$F$6:$F$89,"Executive",Headcount!$H$6:$H$89,"&gt;"&amp;BN3,Headcount!$G$6:$G$89,"&lt;"&amp;BM3))</f>
        <v>2</v>
      </c>
      <c r="BO7" s="798">
        <f>IF(BO4="forecast",IF(BN4="actual",(SUMIFS(Headcount!$B$6:$B$89,Headcount!$F$6:$F$89,"Executive",Headcount!$H$6:$H$89,"&gt;"&amp;BO3,Headcount!$G$6:$G$89,"&lt;"&amp;BO3)+BO8-BO9),(BN7+BO8-BO9)),SUMIFS(Headcount!$B$6:$B$89,Headcount!$F$6:$F$89,"Executive",Headcount!$H$6:$H$89,"&gt;"&amp;BO3,Headcount!$G$6:$G$89,"&lt;"&amp;BN3))</f>
        <v>2</v>
      </c>
      <c r="BP7" s="798">
        <f>IF(BP4="forecast",IF(BO4="actual",(SUMIFS(Headcount!$B$6:$B$89,Headcount!$F$6:$F$89,"Executive",Headcount!$H$6:$H$89,"&gt;"&amp;BP3,Headcount!$G$6:$G$89,"&lt;"&amp;BP3)+BP8-BP9),(BO7+BP8-BP9)),SUMIFS(Headcount!$B$6:$B$89,Headcount!$F$6:$F$89,"Executive",Headcount!$H$6:$H$89,"&gt;"&amp;BP3,Headcount!$G$6:$G$89,"&lt;"&amp;BO3))</f>
        <v>2</v>
      </c>
      <c r="BQ7" s="798">
        <f>IF(BQ4="forecast",IF(BP4="actual",(SUMIFS(Headcount!$B$6:$B$89,Headcount!$F$6:$F$89,"Executive",Headcount!$H$6:$H$89,"&gt;"&amp;BQ3,Headcount!$G$6:$G$89,"&lt;"&amp;BQ3)+BQ8-BQ9),(BP7+BQ8-BQ9)),SUMIFS(Headcount!$B$6:$B$89,Headcount!$F$6:$F$89,"Executive",Headcount!$H$6:$H$89,"&gt;"&amp;BQ3,Headcount!$G$6:$G$89,"&lt;"&amp;BP3))</f>
        <v>2</v>
      </c>
      <c r="BR7" s="798">
        <f>IF(BR4="forecast",IF(BQ4="actual",(SUMIFS(Headcount!$B$6:$B$89,Headcount!$F$6:$F$89,"Executive",Headcount!$H$6:$H$89,"&gt;"&amp;BR3,Headcount!$G$6:$G$89,"&lt;"&amp;BR3)+BR8-BR9),(BQ7+BR8-BR9)),SUMIFS(Headcount!$B$6:$B$89,Headcount!$F$6:$F$89,"Executive",Headcount!$H$6:$H$89,"&gt;"&amp;BR3,Headcount!$G$6:$G$89,"&lt;"&amp;BQ3))</f>
        <v>2</v>
      </c>
      <c r="BS7" s="798">
        <f>IF(BS4="forecast",IF(BR4="actual",(SUMIFS(Headcount!$B$6:$B$89,Headcount!$F$6:$F$89,"Executive",Headcount!$H$6:$H$89,"&gt;"&amp;BS3,Headcount!$G$6:$G$89,"&lt;"&amp;BS3)+BS8-BS9),(BR7+BS8-BS9)),SUMIFS(Headcount!$B$6:$B$89,Headcount!$F$6:$F$89,"Executive",Headcount!$H$6:$H$89,"&gt;"&amp;BS3,Headcount!$G$6:$G$89,"&lt;"&amp;BR3))</f>
        <v>2</v>
      </c>
      <c r="BT7" s="798">
        <f>IF(BT4="forecast",IF(BS4="actual",(SUMIFS(Headcount!$B$6:$B$89,Headcount!$F$6:$F$89,"Executive",Headcount!$H$6:$H$89,"&gt;"&amp;BT3,Headcount!$G$6:$G$89,"&lt;"&amp;BT3)+BT8-BT9),(BS7+BT8-BT9)),SUMIFS(Headcount!$B$6:$B$89,Headcount!$F$6:$F$89,"Executive",Headcount!$H$6:$H$89,"&gt;"&amp;BT3,Headcount!$G$6:$G$89,"&lt;"&amp;BS3))</f>
        <v>2</v>
      </c>
      <c r="BU7" s="798">
        <f>IF(BU4="forecast",IF(BT4="actual",(SUMIFS(Headcount!$B$6:$B$89,Headcount!$F$6:$F$89,"Executive",Headcount!$H$6:$H$89,"&gt;"&amp;BU3,Headcount!$G$6:$G$89,"&lt;"&amp;BU3)+BU8-BU9),(BT7+BU8-BU9)),SUMIFS(Headcount!$B$6:$B$89,Headcount!$F$6:$F$89,"Executive",Headcount!$H$6:$H$89,"&gt;"&amp;BU3,Headcount!$G$6:$G$89,"&lt;"&amp;BT3))</f>
        <v>2</v>
      </c>
      <c r="BV7" s="799">
        <f>IF(BV4="forecast",IF(BU4="actual",(SUMIFS(Headcount!$B$6:$B$89,Headcount!$F$6:$F$89,"Executive",Headcount!$H$6:$H$89,"&gt;"&amp;BV3,Headcount!$G$6:$G$89,"&lt;"&amp;BV3)+BV8-BV9),(BU7+BV8-BV9)),SUMIFS(Headcount!$B$6:$B$89,Headcount!$F$6:$F$89,"Executive",Headcount!$H$6:$H$89,"&gt;"&amp;BV3,Headcount!$G$6:$G$89,"&lt;"&amp;BU3))</f>
        <v>2</v>
      </c>
    </row>
    <row r="8" spans="2:74" x14ac:dyDescent="0.35">
      <c r="B8" s="794" t="s">
        <v>15</v>
      </c>
      <c r="C8" s="798">
        <f>SUMIFS('New Hires Forecast'!$B$5:$B$83,'New Hires Forecast'!$G$5:$G$83,"&gt;"&amp;Exec!B3,'New Hires Forecast'!$G$5:$G$83,"&lt;="&amp;Exec!C3,'New Hires Forecast'!$G$5:$G$83,"Executive")</f>
        <v>0</v>
      </c>
      <c r="D8" s="798">
        <f>SUMIFS('New Hires Forecast'!$B$5:$B$83,'New Hires Forecast'!$G$5:$G$83,"&gt;"&amp;Exec!C3,'New Hires Forecast'!$G$5:$G$83,"&lt;="&amp;Exec!D3,'New Hires Forecast'!$G$5:$G$83,"Executive")</f>
        <v>0</v>
      </c>
      <c r="E8" s="798">
        <f>SUMIFS('New Hires Forecast'!$B$5:$B$83,'New Hires Forecast'!$G$5:$G$83,"&gt;"&amp;Exec!D3,'New Hires Forecast'!$G$5:$G$83,"&lt;="&amp;Exec!E3,'New Hires Forecast'!$G$5:$G$83,"Executive")</f>
        <v>0</v>
      </c>
      <c r="F8" s="798">
        <f>SUMIFS('New Hires Forecast'!$B$5:$B$83,'New Hires Forecast'!$G$5:$G$83,"&gt;"&amp;Exec!E3,'New Hires Forecast'!$G$5:$G$83,"&lt;="&amp;Exec!F3,'New Hires Forecast'!$G$5:$G$83,"Executive")</f>
        <v>0</v>
      </c>
      <c r="G8" s="798">
        <f>SUMIFS('New Hires Forecast'!$B$5:$B$83,'New Hires Forecast'!$G$5:$G$83,"&gt;"&amp;Exec!F3,'New Hires Forecast'!$G$5:$G$83,"&lt;="&amp;Exec!G3,'New Hires Forecast'!$G$5:$G$83,"Executive")</f>
        <v>0</v>
      </c>
      <c r="H8" s="798">
        <f>SUMIFS('New Hires Forecast'!$B$5:$B$83,'New Hires Forecast'!$G$5:$G$83,"&gt;"&amp;Exec!G3,'New Hires Forecast'!$G$5:$G$83,"&lt;="&amp;Exec!H3,'New Hires Forecast'!$G$5:$G$83,"Executive")</f>
        <v>0</v>
      </c>
      <c r="I8" s="798">
        <f>SUMIFS('New Hires Forecast'!$B$5:$B$83,'New Hires Forecast'!$G$5:$G$83,"&gt;"&amp;Exec!H3,'New Hires Forecast'!$G$5:$G$83,"&lt;="&amp;Exec!I3,'New Hires Forecast'!$G$5:$G$83,"Executive")</f>
        <v>0</v>
      </c>
      <c r="J8" s="798">
        <f>SUMIFS('New Hires Forecast'!$B$5:$B$83,'New Hires Forecast'!$G$5:$G$83,"&gt;"&amp;Exec!I3,'New Hires Forecast'!$G$5:$G$83,"&lt;="&amp;Exec!J3,'New Hires Forecast'!$G$5:$G$83,"Executive")</f>
        <v>0</v>
      </c>
      <c r="K8" s="798">
        <f>SUMIFS('New Hires Forecast'!$B$5:$B$83,'New Hires Forecast'!$G$5:$G$83,"&gt;"&amp;Exec!J3,'New Hires Forecast'!$G$5:$G$83,"&lt;="&amp;Exec!K3,'New Hires Forecast'!$G$5:$G$83,"Executive")</f>
        <v>0</v>
      </c>
      <c r="L8" s="798">
        <f>SUMIFS('New Hires Forecast'!$B$5:$B$83,'New Hires Forecast'!$G$5:$G$83,"&gt;"&amp;Exec!K3,'New Hires Forecast'!$G$5:$G$83,"&lt;="&amp;Exec!L3,'New Hires Forecast'!$G$5:$G$83,"Executive")</f>
        <v>0</v>
      </c>
      <c r="M8" s="798">
        <f>SUMIFS('New Hires Forecast'!$B$5:$B$83,'New Hires Forecast'!$G$5:$G$83,"&gt;"&amp;Exec!L3,'New Hires Forecast'!$G$5:$G$83,"&lt;="&amp;Exec!M3,'New Hires Forecast'!$G$5:$G$83,"Executive")</f>
        <v>0</v>
      </c>
      <c r="N8" s="798">
        <f>SUMIFS('New Hires Forecast'!$B$5:$B$83,'New Hires Forecast'!$G$5:$G$83,"&gt;"&amp;Exec!M3,'New Hires Forecast'!$G$5:$G$83,"&lt;="&amp;Exec!N3,'New Hires Forecast'!$G$5:$G$83,"Executive")</f>
        <v>0</v>
      </c>
      <c r="O8" s="798">
        <f>SUMIFS('New Hires Forecast'!$B$5:$B$83,'New Hires Forecast'!$G$5:$G$83,"&gt;"&amp;Exec!N3,'New Hires Forecast'!$G$5:$G$83,"&lt;="&amp;Exec!O3,'New Hires Forecast'!$G$5:$G$83,"Executive")</f>
        <v>0</v>
      </c>
      <c r="P8" s="798">
        <f>SUMIFS('New Hires Forecast'!$B$5:$B$83,'New Hires Forecast'!$G$5:$G$83,"&gt;"&amp;Exec!O3,'New Hires Forecast'!$G$5:$G$83,"&lt;="&amp;Exec!P3,'New Hires Forecast'!$G$5:$G$83,"Executive")</f>
        <v>0</v>
      </c>
      <c r="Q8" s="798">
        <f>SUMIFS('New Hires Forecast'!$B$5:$B$83,'New Hires Forecast'!$G$5:$G$83,"&gt;"&amp;Exec!P3,'New Hires Forecast'!$G$5:$G$83,"&lt;="&amp;Exec!Q3,'New Hires Forecast'!$G$5:$G$83,"Executive")</f>
        <v>0</v>
      </c>
      <c r="R8" s="798">
        <f>SUMIFS('New Hires Forecast'!$B$5:$B$83,'New Hires Forecast'!$G$5:$G$83,"&gt;"&amp;Exec!Q3,'New Hires Forecast'!$G$5:$G$83,"&lt;="&amp;Exec!R3,'New Hires Forecast'!$G$5:$G$83,"Executive")</f>
        <v>0</v>
      </c>
      <c r="S8" s="798">
        <f>SUMIFS('New Hires Forecast'!$B$5:$B$83,'New Hires Forecast'!$G$5:$G$83,"&gt;"&amp;Exec!R3,'New Hires Forecast'!$G$5:$G$83,"&lt;="&amp;Exec!S3,'New Hires Forecast'!$G$5:$G$83,"Executive")</f>
        <v>0</v>
      </c>
      <c r="T8" s="798">
        <f>SUMIFS('New Hires Forecast'!$B$5:$B$83,'New Hires Forecast'!$G$5:$G$83,"&gt;"&amp;Exec!S3,'New Hires Forecast'!$G$5:$G$83,"&lt;="&amp;Exec!T3,'New Hires Forecast'!$G$5:$G$83,"Executive")</f>
        <v>0</v>
      </c>
      <c r="U8" s="798">
        <f>SUMIFS('New Hires Forecast'!$B$5:$B$83,'New Hires Forecast'!$G$5:$G$83,"&gt;"&amp;Exec!T3,'New Hires Forecast'!$G$5:$G$83,"&lt;="&amp;Exec!U3,'New Hires Forecast'!$G$5:$G$83,"Executive")</f>
        <v>0</v>
      </c>
      <c r="V8" s="798">
        <f>SUMIFS('New Hires Forecast'!$B$5:$B$83,'New Hires Forecast'!$G$5:$G$83,"&gt;"&amp;Exec!U3,'New Hires Forecast'!$G$5:$G$83,"&lt;="&amp;Exec!V3,'New Hires Forecast'!$G$5:$G$83,"Executive")</f>
        <v>0</v>
      </c>
      <c r="W8" s="798">
        <f>SUMIFS('New Hires Forecast'!$B$5:$B$83,'New Hires Forecast'!$G$5:$G$83,"&gt;"&amp;Exec!V3,'New Hires Forecast'!$G$5:$G$83,"&lt;="&amp;Exec!W3,'New Hires Forecast'!$G$5:$G$83,"Executive")</f>
        <v>0</v>
      </c>
      <c r="X8" s="798">
        <f>SUMIFS('New Hires Forecast'!$B$5:$B$83,'New Hires Forecast'!$G$5:$G$83,"&gt;"&amp;Exec!W3,'New Hires Forecast'!$G$5:$G$83,"&lt;="&amp;Exec!X3,'New Hires Forecast'!$G$5:$G$83,"Executive")</f>
        <v>0</v>
      </c>
      <c r="Y8" s="798">
        <f>SUMIFS('New Hires Forecast'!$B$5:$B$83,'New Hires Forecast'!$G$5:$G$83,"&gt;"&amp;Exec!X3,'New Hires Forecast'!$G$5:$G$83,"&lt;="&amp;Exec!Y3,'New Hires Forecast'!$G$5:$G$83,"Executive")</f>
        <v>0</v>
      </c>
      <c r="Z8" s="798">
        <f>SUMIFS('New Hires Forecast'!$B$5:$B$83,'New Hires Forecast'!$G$5:$G$83,"&gt;"&amp;Exec!Y3,'New Hires Forecast'!$G$5:$G$83,"&lt;="&amp;Exec!Z3,'New Hires Forecast'!$G$5:$G$83,"Executive")</f>
        <v>0</v>
      </c>
      <c r="AA8" s="798">
        <f>SUMIFS('New Hires Forecast'!$B$5:$B$83,'New Hires Forecast'!$G$5:$G$83,"&gt;"&amp;Exec!Z3,'New Hires Forecast'!$G$5:$G$83,"&lt;="&amp;Exec!AA3,'New Hires Forecast'!$G$5:$G$83,"Executive")</f>
        <v>0</v>
      </c>
      <c r="AB8" s="798">
        <f>SUMIFS('New Hires Forecast'!$B$5:$B$83,'New Hires Forecast'!$G$5:$G$83,"&gt;"&amp;Exec!AA3,'New Hires Forecast'!$G$5:$G$83,"&lt;="&amp;Exec!AB3,'New Hires Forecast'!$G$5:$G$83,"Executive")</f>
        <v>0</v>
      </c>
      <c r="AC8" s="798">
        <f>SUMIFS('New Hires Forecast'!$B$5:$B$83,'New Hires Forecast'!$G$5:$G$83,"&gt;"&amp;Exec!AB3,'New Hires Forecast'!$G$5:$G$83,"&lt;="&amp;Exec!AC3,'New Hires Forecast'!$G$5:$G$83,"Executive")</f>
        <v>0</v>
      </c>
      <c r="AD8" s="798">
        <f>SUMIFS('New Hires Forecast'!$B$5:$B$83,'New Hires Forecast'!$G$5:$G$83,"&gt;"&amp;Exec!AC3,'New Hires Forecast'!$G$5:$G$83,"&lt;="&amp;Exec!AD3,'New Hires Forecast'!$G$5:$G$83,"Executive")</f>
        <v>0</v>
      </c>
      <c r="AE8" s="798">
        <f>SUMIFS('New Hires Forecast'!$B$5:$B$83,'New Hires Forecast'!$G$5:$G$83,"&gt;"&amp;Exec!AD3,'New Hires Forecast'!$G$5:$G$83,"&lt;="&amp;Exec!AE3,'New Hires Forecast'!$G$5:$G$83,"Executive")</f>
        <v>0</v>
      </c>
      <c r="AF8" s="798">
        <f>SUMIFS('New Hires Forecast'!$B$5:$B$83,'New Hires Forecast'!$G$5:$G$83,"&gt;"&amp;Exec!AE3,'New Hires Forecast'!$G$5:$G$83,"&lt;="&amp;Exec!AF3,'New Hires Forecast'!$G$5:$G$83,"Executive")</f>
        <v>0</v>
      </c>
      <c r="AG8" s="798">
        <f>SUMIFS('New Hires Forecast'!$B$5:$B$83,'New Hires Forecast'!$G$5:$G$83,"&gt;"&amp;Exec!AF3,'New Hires Forecast'!$G$5:$G$83,"&lt;="&amp;Exec!AG3,'New Hires Forecast'!$G$5:$G$83,"Executive")</f>
        <v>0</v>
      </c>
      <c r="AH8" s="798">
        <f>SUMIFS('New Hires Forecast'!$B$5:$B$83,'New Hires Forecast'!$G$5:$G$83,"&gt;"&amp;Exec!AG3,'New Hires Forecast'!$G$5:$G$83,"&lt;="&amp;Exec!AH3,'New Hires Forecast'!$G$5:$G$83,"Executive")</f>
        <v>0</v>
      </c>
      <c r="AI8" s="798">
        <f>SUMIFS('New Hires Forecast'!$B$5:$B$83,'New Hires Forecast'!$G$5:$G$83,"&gt;"&amp;Exec!AH3,'New Hires Forecast'!$G$5:$G$83,"&lt;="&amp;Exec!AI3,'New Hires Forecast'!$G$5:$G$83,"Executive")</f>
        <v>0</v>
      </c>
      <c r="AJ8" s="798">
        <f>SUMIFS('New Hires Forecast'!$B$5:$B$83,'New Hires Forecast'!$G$5:$G$83,"&gt;"&amp;Exec!AI3,'New Hires Forecast'!$G$5:$G$83,"&lt;="&amp;Exec!AJ3,'New Hires Forecast'!$G$5:$G$83,"Executive")</f>
        <v>0</v>
      </c>
      <c r="AK8" s="798">
        <f>SUMIFS('New Hires Forecast'!$B$5:$B$83,'New Hires Forecast'!$G$5:$G$83,"&gt;"&amp;Exec!AJ3,'New Hires Forecast'!$G$5:$G$83,"&lt;="&amp;Exec!AK3,'New Hires Forecast'!$G$5:$G$83,"Executive")</f>
        <v>0</v>
      </c>
      <c r="AL8" s="798">
        <f>SUMIFS('New Hires Forecast'!$B$5:$B$83,'New Hires Forecast'!$G$5:$G$83,"&gt;"&amp;Exec!AK3,'New Hires Forecast'!$G$5:$G$83,"&lt;="&amp;Exec!AL3,'New Hires Forecast'!$G$5:$G$83,"Executive")</f>
        <v>0</v>
      </c>
      <c r="AM8" s="798">
        <f>SUMIFS('New Hires Forecast'!$B$5:$B$83,'New Hires Forecast'!$G$5:$G$83,"&gt;"&amp;Exec!AL3,'New Hires Forecast'!$G$5:$G$83,"&lt;="&amp;Exec!AM3,'New Hires Forecast'!$G$5:$G$83,"Executive")</f>
        <v>0</v>
      </c>
      <c r="AN8" s="798">
        <f>SUMIFS('New Hires Forecast'!$B$5:$B$83,'New Hires Forecast'!$G$5:$G$83,"&gt;"&amp;Exec!AM3,'New Hires Forecast'!$G$5:$G$83,"&lt;="&amp;Exec!AN3,'New Hires Forecast'!$G$5:$G$83,"Executive")</f>
        <v>0</v>
      </c>
      <c r="AO8" s="798">
        <f>SUMIFS('New Hires Forecast'!$B$5:$B$83,'New Hires Forecast'!$G$5:$G$83,"&gt;"&amp;Exec!AN3,'New Hires Forecast'!$G$5:$G$83,"&lt;="&amp;Exec!AO3,'New Hires Forecast'!$G$5:$G$83,"Executive")</f>
        <v>0</v>
      </c>
      <c r="AP8" s="798">
        <f>SUMIFS('New Hires Forecast'!$B$5:$B$83,'New Hires Forecast'!$G$5:$G$83,"&gt;"&amp;Exec!AO3,'New Hires Forecast'!$G$5:$G$83,"&lt;="&amp;Exec!AP3,'New Hires Forecast'!$G$5:$G$83,"Executive")</f>
        <v>0</v>
      </c>
      <c r="AQ8" s="798">
        <f>SUMIFS('New Hires Forecast'!$B$5:$B$83,'New Hires Forecast'!$G$5:$G$83,"&gt;"&amp;Exec!AP3,'New Hires Forecast'!$G$5:$G$83,"&lt;="&amp;Exec!AQ3,'New Hires Forecast'!$G$5:$G$83,"Executive")</f>
        <v>0</v>
      </c>
      <c r="AR8" s="798">
        <f>SUMIFS('New Hires Forecast'!$B$5:$B$83,'New Hires Forecast'!$G$5:$G$83,"&gt;"&amp;Exec!AQ3,'New Hires Forecast'!$G$5:$G$83,"&lt;="&amp;Exec!AR3,'New Hires Forecast'!$G$5:$G$83,"Executive")</f>
        <v>0</v>
      </c>
      <c r="AS8" s="798">
        <f>SUMIFS('New Hires Forecast'!$B$5:$B$83,'New Hires Forecast'!$G$5:$G$83,"&gt;"&amp;Exec!AR3,'New Hires Forecast'!$G$5:$G$83,"&lt;="&amp;Exec!AS3,'New Hires Forecast'!$G$5:$G$83,"Executive")</f>
        <v>0</v>
      </c>
      <c r="AT8" s="798">
        <f>SUMIFS('New Hires Forecast'!$B$5:$B$83,'New Hires Forecast'!$G$5:$G$83,"&gt;"&amp;Exec!AS3,'New Hires Forecast'!$G$5:$G$83,"&lt;="&amp;Exec!AT3,'New Hires Forecast'!$G$5:$G$83,"Executive")</f>
        <v>0</v>
      </c>
      <c r="AU8" s="798">
        <f>SUMIFS('New Hires Forecast'!$B$5:$B$83,'New Hires Forecast'!$G$5:$G$83,"&gt;"&amp;Exec!AT3,'New Hires Forecast'!$G$5:$G$83,"&lt;="&amp;Exec!AU3,'New Hires Forecast'!$G$5:$G$83,"Executive")</f>
        <v>0</v>
      </c>
      <c r="AV8" s="798">
        <f>SUMIFS('New Hires Forecast'!$B$5:$B$83,'New Hires Forecast'!$G$5:$G$83,"&gt;"&amp;Exec!AU3,'New Hires Forecast'!$G$5:$G$83,"&lt;="&amp;Exec!AV3,'New Hires Forecast'!$G$5:$G$83,"Executive")</f>
        <v>0</v>
      </c>
      <c r="AW8" s="798">
        <f>SUMIFS('New Hires Forecast'!$B$5:$B$83,'New Hires Forecast'!$G$5:$G$83,"&gt;"&amp;Exec!AV3,'New Hires Forecast'!$G$5:$G$83,"&lt;="&amp;Exec!AW3,'New Hires Forecast'!$G$5:$G$83,"Executive")</f>
        <v>0</v>
      </c>
      <c r="AX8" s="798">
        <f>SUMIFS('New Hires Forecast'!$B$5:$B$83,'New Hires Forecast'!$G$5:$G$83,"&gt;"&amp;Exec!AW3,'New Hires Forecast'!$G$5:$G$83,"&lt;="&amp;Exec!AX3,'New Hires Forecast'!$G$5:$G$83,"Executive")</f>
        <v>0</v>
      </c>
      <c r="AY8" s="798">
        <f>SUMIFS('New Hires Forecast'!$B$5:$B$83,'New Hires Forecast'!$G$5:$G$83,"&gt;"&amp;Exec!AX3,'New Hires Forecast'!$G$5:$G$83,"&lt;="&amp;Exec!AY3,'New Hires Forecast'!$G$5:$G$83,"Executive")</f>
        <v>0</v>
      </c>
      <c r="AZ8" s="798">
        <f>SUMIFS('New Hires Forecast'!$B$5:$B$83,'New Hires Forecast'!$G$5:$G$83,"&gt;"&amp;Exec!AY3,'New Hires Forecast'!$G$5:$G$83,"&lt;="&amp;Exec!AZ3,'New Hires Forecast'!$G$5:$G$83,"Executive")</f>
        <v>0</v>
      </c>
      <c r="BA8" s="798">
        <f>SUMIFS('New Hires Forecast'!$B$5:$B$83,'New Hires Forecast'!$G$5:$G$83,"&gt;"&amp;Exec!AZ3,'New Hires Forecast'!$G$5:$G$83,"&lt;="&amp;Exec!BA3,'New Hires Forecast'!$G$5:$G$83,"Executive")</f>
        <v>0</v>
      </c>
      <c r="BB8" s="798">
        <f>SUMIFS('New Hires Forecast'!$B$5:$B$83,'New Hires Forecast'!$G$5:$G$83,"&gt;"&amp;Exec!BA3,'New Hires Forecast'!$G$5:$G$83,"&lt;="&amp;Exec!BB3,'New Hires Forecast'!$G$5:$G$83,"Executive")</f>
        <v>0</v>
      </c>
      <c r="BC8" s="798">
        <f>SUMIFS('New Hires Forecast'!$B$5:$B$83,'New Hires Forecast'!$G$5:$G$83,"&gt;"&amp;Exec!BB3,'New Hires Forecast'!$G$5:$G$83,"&lt;="&amp;Exec!BC3,'New Hires Forecast'!$G$5:$G$83,"Executive")</f>
        <v>0</v>
      </c>
      <c r="BD8" s="798">
        <f>SUMIFS('New Hires Forecast'!$B$5:$B$83,'New Hires Forecast'!$G$5:$G$83,"&gt;"&amp;Exec!BC3,'New Hires Forecast'!$G$5:$G$83,"&lt;="&amp;Exec!BD3,'New Hires Forecast'!$G$5:$G$83,"Executive")</f>
        <v>0</v>
      </c>
      <c r="BE8" s="798">
        <f>SUMIFS('New Hires Forecast'!$B$5:$B$83,'New Hires Forecast'!$G$5:$G$83,"&gt;"&amp;Exec!BD3,'New Hires Forecast'!$G$5:$G$83,"&lt;="&amp;Exec!BE3,'New Hires Forecast'!$G$5:$G$83,"Executive")</f>
        <v>0</v>
      </c>
      <c r="BF8" s="798">
        <f>SUMIFS('New Hires Forecast'!$B$5:$B$83,'New Hires Forecast'!$G$5:$G$83,"&gt;"&amp;Exec!BE3,'New Hires Forecast'!$G$5:$G$83,"&lt;="&amp;Exec!BF3,'New Hires Forecast'!$G$5:$G$83,"Executive")</f>
        <v>0</v>
      </c>
      <c r="BG8" s="798">
        <f>SUMIFS('New Hires Forecast'!$B$5:$B$83,'New Hires Forecast'!$G$5:$G$83,"&gt;"&amp;Exec!BF3,'New Hires Forecast'!$G$5:$G$83,"&lt;="&amp;Exec!BG3,'New Hires Forecast'!$G$5:$G$83,"Executive")</f>
        <v>0</v>
      </c>
      <c r="BH8" s="798">
        <f>SUMIFS('New Hires Forecast'!$B$5:$B$83,'New Hires Forecast'!$G$5:$G$83,"&gt;"&amp;Exec!BG3,'New Hires Forecast'!$G$5:$G$83,"&lt;="&amp;Exec!BH3,'New Hires Forecast'!$G$5:$G$83,"Executive")</f>
        <v>0</v>
      </c>
      <c r="BI8" s="798">
        <f>SUMIFS('New Hires Forecast'!$B$5:$B$83,'New Hires Forecast'!$G$5:$G$83,"&gt;"&amp;Exec!BH3,'New Hires Forecast'!$G$5:$G$83,"&lt;="&amp;Exec!BI3,'New Hires Forecast'!$G$5:$G$83,"Executive")</f>
        <v>0</v>
      </c>
      <c r="BJ8" s="798">
        <f>SUMIFS('New Hires Forecast'!$B$5:$B$83,'New Hires Forecast'!$G$5:$G$83,"&gt;"&amp;Exec!BI3,'New Hires Forecast'!$G$5:$G$83,"&lt;="&amp;Exec!BJ3,'New Hires Forecast'!$G$5:$G$83,"Executive")</f>
        <v>0</v>
      </c>
      <c r="BK8" s="798">
        <f>SUMIFS('New Hires Forecast'!$B$5:$B$83,'New Hires Forecast'!$G$5:$G$83,"&gt;"&amp;Exec!BJ3,'New Hires Forecast'!$G$5:$G$83,"&lt;="&amp;Exec!BK3,'New Hires Forecast'!$G$5:$G$83,"Executive")</f>
        <v>0</v>
      </c>
      <c r="BL8" s="798">
        <f>SUMIFS('New Hires Forecast'!$B$5:$B$83,'New Hires Forecast'!$G$5:$G$83,"&gt;"&amp;Exec!BK3,'New Hires Forecast'!$G$5:$G$83,"&lt;="&amp;Exec!BL3,'New Hires Forecast'!$G$5:$G$83,"Executive")</f>
        <v>0</v>
      </c>
      <c r="BM8" s="798">
        <f>SUMIFS('New Hires Forecast'!$B$5:$B$83,'New Hires Forecast'!$G$5:$G$83,"&gt;"&amp;Exec!BL3,'New Hires Forecast'!$G$5:$G$83,"&lt;="&amp;Exec!BM3,'New Hires Forecast'!$G$5:$G$83,"Executive")</f>
        <v>0</v>
      </c>
      <c r="BN8" s="798">
        <f>SUMIFS('New Hires Forecast'!$B$5:$B$83,'New Hires Forecast'!$G$5:$G$83,"&gt;"&amp;Exec!BM3,'New Hires Forecast'!$G$5:$G$83,"&lt;="&amp;Exec!BN3,'New Hires Forecast'!$G$5:$G$83,"Executive")</f>
        <v>0</v>
      </c>
      <c r="BO8" s="798">
        <f>SUMIFS('New Hires Forecast'!$B$5:$B$83,'New Hires Forecast'!$G$5:$G$83,"&gt;"&amp;Exec!BN3,'New Hires Forecast'!$G$5:$G$83,"&lt;="&amp;Exec!BO3,'New Hires Forecast'!$G$5:$G$83,"Executive")</f>
        <v>0</v>
      </c>
      <c r="BP8" s="798">
        <f>SUMIFS('New Hires Forecast'!$B$5:$B$83,'New Hires Forecast'!$G$5:$G$83,"&gt;"&amp;Exec!BO3,'New Hires Forecast'!$G$5:$G$83,"&lt;="&amp;Exec!BP3,'New Hires Forecast'!$G$5:$G$83,"Executive")</f>
        <v>0</v>
      </c>
      <c r="BQ8" s="798">
        <f>SUMIFS('New Hires Forecast'!$B$5:$B$83,'New Hires Forecast'!$G$5:$G$83,"&gt;"&amp;Exec!BP3,'New Hires Forecast'!$G$5:$G$83,"&lt;="&amp;Exec!BQ3,'New Hires Forecast'!$G$5:$G$83,"Executive")</f>
        <v>0</v>
      </c>
      <c r="BR8" s="798">
        <f>SUMIFS('New Hires Forecast'!$B$5:$B$83,'New Hires Forecast'!$G$5:$G$83,"&gt;"&amp;Exec!BQ3,'New Hires Forecast'!$G$5:$G$83,"&lt;="&amp;Exec!BR3,'New Hires Forecast'!$G$5:$G$83,"Executive")</f>
        <v>0</v>
      </c>
      <c r="BS8" s="798">
        <f>SUMIFS('New Hires Forecast'!$B$5:$B$83,'New Hires Forecast'!$G$5:$G$83,"&gt;"&amp;Exec!BR3,'New Hires Forecast'!$G$5:$G$83,"&lt;="&amp;Exec!BS3,'New Hires Forecast'!$G$5:$G$83,"Executive")</f>
        <v>0</v>
      </c>
      <c r="BT8" s="798">
        <f>SUMIFS('New Hires Forecast'!$B$5:$B$83,'New Hires Forecast'!$G$5:$G$83,"&gt;"&amp;Exec!BS3,'New Hires Forecast'!$G$5:$G$83,"&lt;="&amp;Exec!BT3,'New Hires Forecast'!$G$5:$G$83,"Executive")</f>
        <v>0</v>
      </c>
      <c r="BU8" s="798">
        <f>SUMIFS('New Hires Forecast'!$B$5:$B$83,'New Hires Forecast'!$G$5:$G$83,"&gt;"&amp;Exec!BT3,'New Hires Forecast'!$G$5:$G$83,"&lt;="&amp;Exec!BU3,'New Hires Forecast'!$G$5:$G$83,"Executive")</f>
        <v>0</v>
      </c>
      <c r="BV8" s="799">
        <f>SUMIFS('New Hires Forecast'!$B$5:$B$83,'New Hires Forecast'!$G$5:$G$83,"&gt;"&amp;Exec!BU3,'New Hires Forecast'!$G$5:$G$83,"&lt;="&amp;Exec!BV3,'New Hires Forecast'!$G$5:$G$83,"Executive")</f>
        <v>0</v>
      </c>
    </row>
    <row r="9" spans="2:74" x14ac:dyDescent="0.35">
      <c r="B9" s="794" t="s">
        <v>150</v>
      </c>
      <c r="C9" s="798">
        <f>SUMIFS(Headcount!$B$6:$B$88,Headcount!$H$6:$H$88,"&gt;"&amp;B3,Headcount!$H$6:$H$88,"&lt;="&amp;C3,Headcount!$H$6:$H$88,"Executive")</f>
        <v>0</v>
      </c>
      <c r="D9" s="798">
        <f>SUMIFS(Headcount!$B$6:$B$88,Headcount!$H$6:$H$88,"&gt;"&amp;C3,Headcount!$H$6:$H$88,"&lt;="&amp;D3,Headcount!$H$6:$H$88,"Executive")</f>
        <v>0</v>
      </c>
      <c r="E9" s="798">
        <f>SUMIFS(Headcount!$B$6:$B$88,Headcount!$H$6:$H$88,"&gt;"&amp;D3,Headcount!$H$6:$H$88,"&lt;="&amp;E3,Headcount!$H$6:$H$88,"Executive")</f>
        <v>0</v>
      </c>
      <c r="F9" s="798">
        <f>SUMIFS(Headcount!$B$6:$B$88,Headcount!$H$6:$H$88,"&gt;"&amp;E3,Headcount!$H$6:$H$88,"&lt;="&amp;F3,Headcount!$H$6:$H$88,"Executive")</f>
        <v>0</v>
      </c>
      <c r="G9" s="798">
        <f>SUMIFS(Headcount!$B$6:$B$88,Headcount!$H$6:$H$88,"&gt;"&amp;F3,Headcount!$H$6:$H$88,"&lt;="&amp;G3,Headcount!$H$6:$H$88,"Executive")</f>
        <v>0</v>
      </c>
      <c r="H9" s="798">
        <f>SUMIFS(Headcount!$B$6:$B$88,Headcount!$H$6:$H$88,"&gt;"&amp;G3,Headcount!$H$6:$H$88,"&lt;="&amp;H3,Headcount!$H$6:$H$88,"Executive")</f>
        <v>0</v>
      </c>
      <c r="I9" s="798">
        <f>SUMIFS(Headcount!$B$6:$B$88,Headcount!$H$6:$H$88,"&gt;"&amp;H3,Headcount!$H$6:$H$88,"&lt;="&amp;I3,Headcount!$H$6:$H$88,"Executive")</f>
        <v>0</v>
      </c>
      <c r="J9" s="798">
        <f>SUMIFS(Headcount!$B$6:$B$88,Headcount!$H$6:$H$88,"&gt;"&amp;I3,Headcount!$H$6:$H$88,"&lt;="&amp;J3,Headcount!$H$6:$H$88,"Executive")</f>
        <v>0</v>
      </c>
      <c r="K9" s="798">
        <f>SUMIFS(Headcount!$B$6:$B$88,Headcount!$H$6:$H$88,"&gt;"&amp;J3,Headcount!$H$6:$H$88,"&lt;="&amp;K3,Headcount!$H$6:$H$88,"Executive")</f>
        <v>0</v>
      </c>
      <c r="L9" s="798">
        <f>SUMIFS(Headcount!$B$6:$B$88,Headcount!$H$6:$H$88,"&gt;"&amp;K3,Headcount!$H$6:$H$88,"&lt;="&amp;L3,Headcount!$H$6:$H$88,"Executive")</f>
        <v>0</v>
      </c>
      <c r="M9" s="798">
        <f>SUMIFS(Headcount!$B$6:$B$88,Headcount!$H$6:$H$88,"&gt;"&amp;L3,Headcount!$H$6:$H$88,"&lt;="&amp;M3,Headcount!$H$6:$H$88,"Executive")</f>
        <v>0</v>
      </c>
      <c r="N9" s="798">
        <f>SUMIFS(Headcount!$B$6:$B$88,Headcount!$H$6:$H$88,"&gt;"&amp;M3,Headcount!$H$6:$H$88,"&lt;="&amp;N3,Headcount!$H$6:$H$88,"Executive")</f>
        <v>0</v>
      </c>
      <c r="O9" s="798">
        <f>SUMIFS(Headcount!$B$6:$B$88,Headcount!$H$6:$H$88,"&gt;"&amp;N3,Headcount!$H$6:$H$88,"&lt;="&amp;O3,Headcount!$H$6:$H$88,"Executive")</f>
        <v>0</v>
      </c>
      <c r="P9" s="798">
        <f>SUMIFS(Headcount!$B$6:$B$88,Headcount!$H$6:$H$88,"&gt;"&amp;O3,Headcount!$H$6:$H$88,"&lt;="&amp;P3,Headcount!$H$6:$H$88,"Executive")</f>
        <v>0</v>
      </c>
      <c r="Q9" s="798">
        <f>SUMIFS(Headcount!$B$6:$B$88,Headcount!$H$6:$H$88,"&gt;"&amp;P3,Headcount!$H$6:$H$88,"&lt;="&amp;Q3,Headcount!$H$6:$H$88,"Executive")</f>
        <v>0</v>
      </c>
      <c r="R9" s="798">
        <f>SUMIFS(Headcount!$B$6:$B$88,Headcount!$H$6:$H$88,"&gt;"&amp;Q3,Headcount!$H$6:$H$88,"&lt;="&amp;R3,Headcount!$H$6:$H$88,"Executive")</f>
        <v>0</v>
      </c>
      <c r="S9" s="798">
        <f>SUMIFS(Headcount!$B$6:$B$88,Headcount!$H$6:$H$88,"&gt;"&amp;R3,Headcount!$H$6:$H$88,"&lt;="&amp;S3,Headcount!$H$6:$H$88,"Executive")</f>
        <v>0</v>
      </c>
      <c r="T9" s="798">
        <f>SUMIFS(Headcount!$B$6:$B$88,Headcount!$H$6:$H$88,"&gt;"&amp;S3,Headcount!$H$6:$H$88,"&lt;="&amp;T3,Headcount!$H$6:$H$88,"Executive")</f>
        <v>0</v>
      </c>
      <c r="U9" s="798">
        <f>SUMIFS(Headcount!$B$6:$B$88,Headcount!$H$6:$H$88,"&gt;"&amp;T3,Headcount!$H$6:$H$88,"&lt;="&amp;U3,Headcount!$H$6:$H$88,"Executive")</f>
        <v>0</v>
      </c>
      <c r="V9" s="798">
        <f>SUMIFS(Headcount!$B$6:$B$88,Headcount!$H$6:$H$88,"&gt;"&amp;U3,Headcount!$H$6:$H$88,"&lt;="&amp;V3,Headcount!$H$6:$H$88,"Executive")</f>
        <v>0</v>
      </c>
      <c r="W9" s="798">
        <f>SUMIFS(Headcount!$B$6:$B$88,Headcount!$H$6:$H$88,"&gt;"&amp;V3,Headcount!$H$6:$H$88,"&lt;="&amp;W3,Headcount!$H$6:$H$88,"Executive")</f>
        <v>0</v>
      </c>
      <c r="X9" s="798">
        <f>SUMIFS(Headcount!$B$6:$B$88,Headcount!$H$6:$H$88,"&gt;"&amp;W3,Headcount!$H$6:$H$88,"&lt;="&amp;X3,Headcount!$H$6:$H$88,"Executive")</f>
        <v>0</v>
      </c>
      <c r="Y9" s="798">
        <f>SUMIFS(Headcount!$B$6:$B$88,Headcount!$H$6:$H$88,"&gt;"&amp;X3,Headcount!$H$6:$H$88,"&lt;="&amp;Y3,Headcount!$H$6:$H$88,"Executive")</f>
        <v>0</v>
      </c>
      <c r="Z9" s="798">
        <f>SUMIFS(Headcount!$B$6:$B$88,Headcount!$H$6:$H$88,"&gt;"&amp;Y3,Headcount!$H$6:$H$88,"&lt;="&amp;Z3,Headcount!$H$6:$H$88,"Executive")</f>
        <v>0</v>
      </c>
      <c r="AA9" s="798">
        <f>SUMIFS(Headcount!$B$6:$B$88,Headcount!$H$6:$H$88,"&gt;"&amp;Z3,Headcount!$H$6:$H$88,"&lt;="&amp;AA3,Headcount!$H$6:$H$88,"Executive")</f>
        <v>0</v>
      </c>
      <c r="AB9" s="798">
        <f>SUMIFS(Headcount!$B$6:$B$88,Headcount!$H$6:$H$88,"&gt;"&amp;AA3,Headcount!$H$6:$H$88,"&lt;="&amp;AB3,Headcount!$H$6:$H$88,"Executive")</f>
        <v>0</v>
      </c>
      <c r="AC9" s="798">
        <f>SUMIFS(Headcount!$B$6:$B$88,Headcount!$H$6:$H$88,"&gt;"&amp;AB3,Headcount!$H$6:$H$88,"&lt;="&amp;AC3,Headcount!$H$6:$H$88,"Executive")</f>
        <v>0</v>
      </c>
      <c r="AD9" s="798">
        <f>SUMIFS(Headcount!$B$6:$B$88,Headcount!$H$6:$H$88,"&gt;"&amp;AC3,Headcount!$H$6:$H$88,"&lt;="&amp;AD3,Headcount!$H$6:$H$88,"Executive")</f>
        <v>0</v>
      </c>
      <c r="AE9" s="798">
        <f>SUMIFS(Headcount!$B$6:$B$88,Headcount!$H$6:$H$88,"&gt;"&amp;AD3,Headcount!$H$6:$H$88,"&lt;="&amp;AE3,Headcount!$H$6:$H$88,"Executive")</f>
        <v>0</v>
      </c>
      <c r="AF9" s="798">
        <f>SUMIFS(Headcount!$B$6:$B$88,Headcount!$H$6:$H$88,"&gt;"&amp;AE3,Headcount!$H$6:$H$88,"&lt;="&amp;AF3,Headcount!$H$6:$H$88,"Executive")</f>
        <v>0</v>
      </c>
      <c r="AG9" s="798">
        <f>SUMIFS(Headcount!$B$6:$B$88,Headcount!$H$6:$H$88,"&gt;"&amp;AF3,Headcount!$H$6:$H$88,"&lt;="&amp;AG3,Headcount!$H$6:$H$88,"Executive")</f>
        <v>0</v>
      </c>
      <c r="AH9" s="798">
        <f>SUMIFS(Headcount!$B$6:$B$88,Headcount!$H$6:$H$88,"&gt;"&amp;AG3,Headcount!$H$6:$H$88,"&lt;="&amp;AH3,Headcount!$H$6:$H$88,"Executive")</f>
        <v>0</v>
      </c>
      <c r="AI9" s="798">
        <f>SUMIFS(Headcount!$B$6:$B$88,Headcount!$H$6:$H$88,"&gt;"&amp;AH3,Headcount!$H$6:$H$88,"&lt;="&amp;AI3,Headcount!$H$6:$H$88,"Executive")</f>
        <v>0</v>
      </c>
      <c r="AJ9" s="798">
        <f>SUMIFS(Headcount!$B$6:$B$88,Headcount!$H$6:$H$88,"&gt;"&amp;AI3,Headcount!$H$6:$H$88,"&lt;="&amp;AJ3,Headcount!$H$6:$H$88,"Executive")</f>
        <v>0</v>
      </c>
      <c r="AK9" s="798">
        <f>SUMIFS(Headcount!$B$6:$B$88,Headcount!$H$6:$H$88,"&gt;"&amp;AJ3,Headcount!$H$6:$H$88,"&lt;="&amp;AK3,Headcount!$H$6:$H$88,"Executive")</f>
        <v>0</v>
      </c>
      <c r="AL9" s="798">
        <f>SUMIFS(Headcount!$B$6:$B$88,Headcount!$H$6:$H$88,"&gt;"&amp;AK3,Headcount!$H$6:$H$88,"&lt;="&amp;AL3,Headcount!$H$6:$H$88,"Executive")</f>
        <v>0</v>
      </c>
      <c r="AM9" s="798">
        <f>SUMIFS(Headcount!$B$6:$B$88,Headcount!$H$6:$H$88,"&gt;"&amp;AL3,Headcount!$H$6:$H$88,"&lt;="&amp;AM3,Headcount!$H$6:$H$88,"Executive")</f>
        <v>0</v>
      </c>
      <c r="AN9" s="798">
        <f>SUMIFS(Headcount!$B$6:$B$88,Headcount!$H$6:$H$88,"&gt;"&amp;AM3,Headcount!$H$6:$H$88,"&lt;="&amp;AN3,Headcount!$H$6:$H$88,"Executive")</f>
        <v>0</v>
      </c>
      <c r="AO9" s="798">
        <f>SUMIFS(Headcount!$B$6:$B$88,Headcount!$H$6:$H$88,"&gt;"&amp;AN3,Headcount!$H$6:$H$88,"&lt;="&amp;AO3,Headcount!$H$6:$H$88,"Executive")</f>
        <v>0</v>
      </c>
      <c r="AP9" s="798">
        <f>SUMIFS(Headcount!$B$6:$B$88,Headcount!$H$6:$H$88,"&gt;"&amp;AO3,Headcount!$H$6:$H$88,"&lt;="&amp;AP3,Headcount!$H$6:$H$88,"Executive")</f>
        <v>0</v>
      </c>
      <c r="AQ9" s="798">
        <f>SUMIFS(Headcount!$B$6:$B$88,Headcount!$H$6:$H$88,"&gt;"&amp;AP3,Headcount!$H$6:$H$88,"&lt;="&amp;AQ3,Headcount!$H$6:$H$88,"Executive")</f>
        <v>0</v>
      </c>
      <c r="AR9" s="798">
        <f>SUMIFS(Headcount!$B$6:$B$88,Headcount!$H$6:$H$88,"&gt;"&amp;AQ3,Headcount!$H$6:$H$88,"&lt;="&amp;AR3,Headcount!$H$6:$H$88,"Executive")</f>
        <v>0</v>
      </c>
      <c r="AS9" s="798">
        <f>SUMIFS(Headcount!$B$6:$B$88,Headcount!$H$6:$H$88,"&gt;"&amp;AR3,Headcount!$H$6:$H$88,"&lt;="&amp;AS3,Headcount!$H$6:$H$88,"Executive")</f>
        <v>0</v>
      </c>
      <c r="AT9" s="798">
        <f>SUMIFS(Headcount!$B$6:$B$88,Headcount!$H$6:$H$88,"&gt;"&amp;AS3,Headcount!$H$6:$H$88,"&lt;="&amp;AT3,Headcount!$H$6:$H$88,"Executive")</f>
        <v>0</v>
      </c>
      <c r="AU9" s="798">
        <f>SUMIFS(Headcount!$B$6:$B$88,Headcount!$H$6:$H$88,"&gt;"&amp;AT3,Headcount!$H$6:$H$88,"&lt;="&amp;AU3,Headcount!$H$6:$H$88,"Executive")</f>
        <v>0</v>
      </c>
      <c r="AV9" s="798">
        <f>SUMIFS(Headcount!$B$6:$B$88,Headcount!$H$6:$H$88,"&gt;"&amp;AU3,Headcount!$H$6:$H$88,"&lt;="&amp;AV3,Headcount!$H$6:$H$88,"Executive")</f>
        <v>0</v>
      </c>
      <c r="AW9" s="798">
        <f>SUMIFS(Headcount!$B$6:$B$88,Headcount!$H$6:$H$88,"&gt;"&amp;AV3,Headcount!$H$6:$H$88,"&lt;="&amp;AW3,Headcount!$H$6:$H$88,"Executive")</f>
        <v>0</v>
      </c>
      <c r="AX9" s="798">
        <f>SUMIFS(Headcount!$B$6:$B$88,Headcount!$H$6:$H$88,"&gt;"&amp;AW3,Headcount!$H$6:$H$88,"&lt;="&amp;AX3,Headcount!$H$6:$H$88,"Executive")</f>
        <v>0</v>
      </c>
      <c r="AY9" s="798">
        <f>SUMIFS(Headcount!$B$6:$B$88,Headcount!$H$6:$H$88,"&gt;"&amp;AX3,Headcount!$H$6:$H$88,"&lt;="&amp;AY3,Headcount!$H$6:$H$88,"Executive")</f>
        <v>0</v>
      </c>
      <c r="AZ9" s="798">
        <f>SUMIFS(Headcount!$B$6:$B$88,Headcount!$H$6:$H$88,"&gt;"&amp;AY3,Headcount!$H$6:$H$88,"&lt;="&amp;AZ3,Headcount!$H$6:$H$88,"Executive")</f>
        <v>0</v>
      </c>
      <c r="BA9" s="798">
        <f>SUMIFS(Headcount!$B$6:$B$88,Headcount!$H$6:$H$88,"&gt;"&amp;AZ3,Headcount!$H$6:$H$88,"&lt;="&amp;BA3,Headcount!$H$6:$H$88,"Executive")</f>
        <v>0</v>
      </c>
      <c r="BB9" s="798">
        <f>SUMIFS(Headcount!$B$6:$B$88,Headcount!$H$6:$H$88,"&gt;"&amp;BA3,Headcount!$H$6:$H$88,"&lt;="&amp;BB3,Headcount!$H$6:$H$88,"Executive")</f>
        <v>0</v>
      </c>
      <c r="BC9" s="798">
        <f>SUMIFS(Headcount!$B$6:$B$88,Headcount!$H$6:$H$88,"&gt;"&amp;BB3,Headcount!$H$6:$H$88,"&lt;="&amp;BC3,Headcount!$H$6:$H$88,"Executive")</f>
        <v>0</v>
      </c>
      <c r="BD9" s="798">
        <f>SUMIFS(Headcount!$B$6:$B$88,Headcount!$H$6:$H$88,"&gt;"&amp;BC3,Headcount!$H$6:$H$88,"&lt;="&amp;BD3,Headcount!$H$6:$H$88,"Executive")</f>
        <v>0</v>
      </c>
      <c r="BE9" s="798">
        <f>SUMIFS(Headcount!$B$6:$B$88,Headcount!$H$6:$H$88,"&gt;"&amp;BD3,Headcount!$H$6:$H$88,"&lt;="&amp;BE3,Headcount!$H$6:$H$88,"Executive")</f>
        <v>0</v>
      </c>
      <c r="BF9" s="798">
        <f>SUMIFS(Headcount!$B$6:$B$88,Headcount!$H$6:$H$88,"&gt;"&amp;BE3,Headcount!$H$6:$H$88,"&lt;="&amp;BF3,Headcount!$H$6:$H$88,"Executive")</f>
        <v>0</v>
      </c>
      <c r="BG9" s="798">
        <f>SUMIFS(Headcount!$B$6:$B$88,Headcount!$H$6:$H$88,"&gt;"&amp;BF3,Headcount!$H$6:$H$88,"&lt;="&amp;BG3,Headcount!$H$6:$H$88,"Executive")</f>
        <v>0</v>
      </c>
      <c r="BH9" s="798">
        <f>SUMIFS(Headcount!$B$6:$B$88,Headcount!$H$6:$H$88,"&gt;"&amp;BG3,Headcount!$H$6:$H$88,"&lt;="&amp;BH3,Headcount!$H$6:$H$88,"Executive")</f>
        <v>0</v>
      </c>
      <c r="BI9" s="798">
        <f>SUMIFS(Headcount!$B$6:$B$88,Headcount!$H$6:$H$88,"&gt;"&amp;BH3,Headcount!$H$6:$H$88,"&lt;="&amp;BI3,Headcount!$H$6:$H$88,"Executive")</f>
        <v>0</v>
      </c>
      <c r="BJ9" s="798">
        <f>SUMIFS(Headcount!$B$6:$B$88,Headcount!$H$6:$H$88,"&gt;"&amp;BI3,Headcount!$H$6:$H$88,"&lt;="&amp;BJ3,Headcount!$H$6:$H$88,"Executive")</f>
        <v>0</v>
      </c>
      <c r="BK9" s="798">
        <f>SUMIFS(Headcount!$B$6:$B$88,Headcount!$H$6:$H$88,"&gt;"&amp;BJ3,Headcount!$H$6:$H$88,"&lt;="&amp;BK3,Headcount!$H$6:$H$88,"Executive")</f>
        <v>0</v>
      </c>
      <c r="BL9" s="798">
        <f>SUMIFS(Headcount!$B$6:$B$88,Headcount!$H$6:$H$88,"&gt;"&amp;BK3,Headcount!$H$6:$H$88,"&lt;="&amp;BL3,Headcount!$H$6:$H$88,"Executive")</f>
        <v>0</v>
      </c>
      <c r="BM9" s="798">
        <f>SUMIFS(Headcount!$B$6:$B$88,Headcount!$H$6:$H$88,"&gt;"&amp;BL3,Headcount!$H$6:$H$88,"&lt;="&amp;BM3,Headcount!$H$6:$H$88,"Executive")</f>
        <v>0</v>
      </c>
      <c r="BN9" s="798">
        <f>SUMIFS(Headcount!$B$6:$B$88,Headcount!$H$6:$H$88,"&gt;"&amp;BM3,Headcount!$H$6:$H$88,"&lt;="&amp;BN3,Headcount!$H$6:$H$88,"Executive")</f>
        <v>0</v>
      </c>
      <c r="BO9" s="798">
        <f>SUMIFS(Headcount!$B$6:$B$88,Headcount!$H$6:$H$88,"&gt;"&amp;BN3,Headcount!$H$6:$H$88,"&lt;="&amp;BO3,Headcount!$H$6:$H$88,"Executive")</f>
        <v>0</v>
      </c>
      <c r="BP9" s="798">
        <f>SUMIFS(Headcount!$B$6:$B$88,Headcount!$H$6:$H$88,"&gt;"&amp;BO3,Headcount!$H$6:$H$88,"&lt;="&amp;BP3,Headcount!$H$6:$H$88,"Executive")</f>
        <v>0</v>
      </c>
      <c r="BQ9" s="798">
        <f>SUMIFS(Headcount!$B$6:$B$88,Headcount!$H$6:$H$88,"&gt;"&amp;BP3,Headcount!$H$6:$H$88,"&lt;="&amp;BQ3,Headcount!$H$6:$H$88,"Executive")</f>
        <v>0</v>
      </c>
      <c r="BR9" s="798">
        <f>SUMIFS(Headcount!$B$6:$B$88,Headcount!$H$6:$H$88,"&gt;"&amp;BQ3,Headcount!$H$6:$H$88,"&lt;="&amp;BR3,Headcount!$H$6:$H$88,"Executive")</f>
        <v>0</v>
      </c>
      <c r="BS9" s="798">
        <f>SUMIFS(Headcount!$B$6:$B$88,Headcount!$H$6:$H$88,"&gt;"&amp;BR3,Headcount!$H$6:$H$88,"&lt;="&amp;BS3,Headcount!$H$6:$H$88,"Executive")</f>
        <v>0</v>
      </c>
      <c r="BT9" s="798">
        <f>SUMIFS(Headcount!$B$6:$B$88,Headcount!$H$6:$H$88,"&gt;"&amp;BS3,Headcount!$H$6:$H$88,"&lt;="&amp;BT3,Headcount!$H$6:$H$88,"Executive")</f>
        <v>0</v>
      </c>
      <c r="BU9" s="798">
        <f>SUMIFS(Headcount!$B$6:$B$88,Headcount!$H$6:$H$88,"&gt;"&amp;BT3,Headcount!$H$6:$H$88,"&lt;="&amp;BU3,Headcount!$H$6:$H$88,"Executive")</f>
        <v>0</v>
      </c>
      <c r="BV9" s="799">
        <f>SUMIFS(Headcount!$B$6:$B$88,Headcount!$H$6:$H$88,"&gt;"&amp;BU3,Headcount!$H$6:$H$88,"&lt;="&amp;BV3,Headcount!$H$6:$H$88,"Executive")</f>
        <v>0</v>
      </c>
    </row>
    <row r="10" spans="2:74" x14ac:dyDescent="0.35">
      <c r="B10" s="800"/>
      <c r="C10" s="157"/>
      <c r="D10" s="157"/>
      <c r="E10" s="157"/>
      <c r="F10" s="157"/>
      <c r="G10" s="157"/>
      <c r="H10" s="157"/>
      <c r="I10" s="157"/>
      <c r="J10" s="157"/>
      <c r="K10" s="157"/>
      <c r="L10" s="157"/>
      <c r="M10" s="157"/>
      <c r="N10" s="157"/>
      <c r="O10" s="157"/>
      <c r="P10" s="157"/>
      <c r="Q10" s="157"/>
      <c r="R10" s="157"/>
      <c r="S10" s="157"/>
      <c r="T10" s="157"/>
      <c r="U10" s="157"/>
      <c r="V10" s="157"/>
      <c r="W10" s="157"/>
      <c r="X10" s="157"/>
      <c r="Y10" s="157"/>
      <c r="Z10" s="157"/>
      <c r="AA10" s="157"/>
      <c r="AB10" s="157"/>
      <c r="AC10" s="157"/>
      <c r="AD10" s="157"/>
      <c r="AE10" s="157"/>
      <c r="AF10" s="157"/>
      <c r="AG10" s="157"/>
      <c r="AH10" s="157"/>
      <c r="AI10" s="157"/>
      <c r="AJ10" s="157"/>
      <c r="AK10" s="157"/>
      <c r="AL10" s="157"/>
      <c r="AM10" s="157"/>
      <c r="AN10" s="157"/>
      <c r="AO10" s="157"/>
      <c r="AP10" s="157"/>
      <c r="AQ10" s="157"/>
      <c r="AR10" s="157"/>
      <c r="AS10" s="157"/>
      <c r="AT10" s="157"/>
      <c r="AU10" s="157"/>
      <c r="AV10" s="157"/>
      <c r="AW10" s="157"/>
      <c r="AX10" s="157"/>
      <c r="AY10" s="157"/>
      <c r="AZ10" s="157"/>
      <c r="BA10" s="157"/>
      <c r="BB10" s="157"/>
      <c r="BC10" s="157"/>
      <c r="BD10" s="157"/>
      <c r="BE10" s="157"/>
      <c r="BF10" s="157"/>
      <c r="BG10" s="157"/>
      <c r="BH10" s="157"/>
      <c r="BI10" s="157"/>
      <c r="BJ10" s="157"/>
      <c r="BK10" s="157"/>
      <c r="BL10" s="157"/>
      <c r="BM10" s="157"/>
      <c r="BN10" s="157"/>
      <c r="BO10" s="157"/>
      <c r="BP10" s="157"/>
      <c r="BQ10" s="157"/>
      <c r="BR10" s="157"/>
      <c r="BS10" s="157"/>
      <c r="BT10" s="157"/>
      <c r="BU10" s="157"/>
      <c r="BV10" s="801"/>
    </row>
    <row r="11" spans="2:74" x14ac:dyDescent="0.35">
      <c r="B11" s="802" t="s">
        <v>933</v>
      </c>
      <c r="C11" s="803"/>
      <c r="D11" s="803"/>
      <c r="E11" s="803"/>
      <c r="F11" s="803"/>
      <c r="G11" s="803"/>
      <c r="H11" s="803"/>
      <c r="I11" s="803"/>
      <c r="J11" s="803"/>
      <c r="K11" s="803"/>
      <c r="L11" s="803"/>
      <c r="M11" s="803"/>
      <c r="N11" s="803"/>
      <c r="O11" s="804"/>
      <c r="P11" s="804"/>
      <c r="Q11" s="804"/>
      <c r="R11" s="804"/>
      <c r="S11" s="804"/>
      <c r="T11" s="804"/>
      <c r="U11" s="804"/>
      <c r="V11" s="804"/>
      <c r="W11" s="804"/>
      <c r="X11" s="804"/>
      <c r="Y11" s="804"/>
      <c r="Z11" s="804"/>
      <c r="AA11" s="804"/>
      <c r="AB11" s="804"/>
      <c r="AC11" s="804"/>
      <c r="AD11" s="804"/>
      <c r="AE11" s="804"/>
      <c r="AF11" s="804"/>
      <c r="AG11" s="804"/>
      <c r="AH11" s="804"/>
      <c r="AI11" s="804"/>
      <c r="AJ11" s="804"/>
      <c r="AK11" s="804"/>
      <c r="AL11" s="804"/>
      <c r="AM11" s="804"/>
      <c r="AN11" s="804"/>
      <c r="AO11" s="804"/>
      <c r="AP11" s="804"/>
      <c r="AQ11" s="804"/>
      <c r="AR11" s="804"/>
      <c r="AS11" s="804"/>
      <c r="AT11" s="804"/>
      <c r="AU11" s="804"/>
      <c r="AV11" s="804"/>
      <c r="AW11" s="804"/>
      <c r="AX11" s="804"/>
      <c r="AY11" s="804"/>
      <c r="AZ11" s="804"/>
      <c r="BA11" s="804"/>
      <c r="BB11" s="804"/>
      <c r="BC11" s="804"/>
      <c r="BD11" s="804"/>
      <c r="BE11" s="804"/>
      <c r="BF11" s="804"/>
      <c r="BG11" s="804"/>
      <c r="BH11" s="804"/>
      <c r="BI11" s="804"/>
      <c r="BJ11" s="804"/>
      <c r="BK11" s="804"/>
      <c r="BL11" s="804"/>
      <c r="BM11" s="804"/>
      <c r="BN11" s="804"/>
      <c r="BO11" s="804"/>
      <c r="BP11" s="804"/>
      <c r="BQ11" s="804"/>
      <c r="BR11" s="804"/>
      <c r="BS11" s="804"/>
      <c r="BT11" s="804"/>
      <c r="BU11" s="804"/>
      <c r="BV11" s="805"/>
    </row>
    <row r="12" spans="2:74" x14ac:dyDescent="0.35">
      <c r="B12" s="797" t="s">
        <v>934</v>
      </c>
      <c r="C12" s="806">
        <f>IF(C$4="forecast",IF(YEAR(C$3)=YEAR(Headcount!$N$4),((SUMIFS(Headcount!$N$6:$N$89,Headcount!$F$6:$F$89,"Executive",Headcount!$H$6:$H$89,"&gt;="&amp;Exec!C$3)/12)),IF(YEAR(C$3)=YEAR(Headcount!$O$4),IF((C$5=2),((SUMIFS(Headcount!$O$6:$O$89,Headcount!$F$6:$F$89,"Executive",Headcount!$H$6:$H$89,"&gt;="&amp;Exec!C$3)/12)),B12),IF(YEAR(C$3)=YEAR(Headcount!$P$4),IF((C$5=2),((SUMIFS(Headcount!$P$6:$P$89,Headcount!$F$6:$F$89,"Executive",Headcount!$H$6:$H$89,"&gt;="&amp;Exec!C$3)/12)),B12),IF(YEAR(C$3)=YEAR(Headcount!$Q$4),IF((C$5=2),((SUMIFS(Headcount!$Q$6:$Q$89,Headcount!$F$6:$F$89,"Executive",Headcount!$H$6:$H$89,"&gt;="&amp;Exec!C$3)/12)),B12),IF(YEAR(C$3)=YEAR(Headcount!$R$4),IF((C$5=2),((SUMIFS(Headcount!$R$6:$R$89,Headcount!$F$6:$F$89,"Executive",Headcount!$H$6:$H$89,"&gt;="&amp;Exec!C$3)/12)),B12),"New Year"))))),'Dept. Cost Actuals'!G992-'Dept. Cost Actuals'!G982)</f>
        <v>44509.982946647855</v>
      </c>
      <c r="D12" s="806">
        <f>IF(D$4="forecast",IF(YEAR(D$3)=YEAR(Headcount!$N$4),((SUMIFS(Headcount!$N$6:$N$89,Headcount!$F$6:$F$89,"Executive",Headcount!$H$6:$H$89,"&gt;="&amp;Exec!D$3)/12)),IF(YEAR(D$3)=YEAR(Headcount!$O$4),IF((D$5=2),((SUMIFS(Headcount!$O$6:$O$89,Headcount!$F$6:$F$89,"Executive",Headcount!$H$6:$H$89,"&gt;="&amp;Exec!D$3)/12)),C12),IF(YEAR(D$3)=YEAR(Headcount!$P$4),IF((D$5=2),((SUMIFS(Headcount!$P$6:$P$89,Headcount!$F$6:$F$89,"Executive",Headcount!$H$6:$H$89,"&gt;="&amp;Exec!D$3)/12)),C12),IF(YEAR(D$3)=YEAR(Headcount!$Q$4),IF((D$5=2),((SUMIFS(Headcount!$Q$6:$Q$89,Headcount!$F$6:$F$89,"Executive",Headcount!$H$6:$H$89,"&gt;="&amp;Exec!D$3)/12)),C12),IF(YEAR(D$3)=YEAR(Headcount!$R$4),IF((D$5=2),((SUMIFS(Headcount!$R$6:$R$89,Headcount!$F$6:$F$89,"Executive",Headcount!$H$6:$H$89,"&gt;="&amp;Exec!D$3)/12)),C12),"New Year"))))),'Dept. Cost Actuals'!H992-'Dept. Cost Actuals'!H982)</f>
        <v>43315.260990254312</v>
      </c>
      <c r="E12" s="806">
        <f>IF(E$4="forecast",IF(YEAR(E$3)=YEAR(Headcount!$N$4),((SUMIFS(Headcount!$N$6:$N$89,Headcount!$F$6:$F$89,"Executive",Headcount!$H$6:$H$89,"&gt;="&amp;Exec!E$3)/12)),IF(YEAR(E$3)=YEAR(Headcount!$O$4),IF((E$5=2),((SUMIFS(Headcount!$O$6:$O$89,Headcount!$F$6:$F$89,"Executive",Headcount!$H$6:$H$89,"&gt;="&amp;Exec!E$3)/12)),D12),IF(YEAR(E$3)=YEAR(Headcount!$P$4),IF((E$5=2),((SUMIFS(Headcount!$P$6:$P$89,Headcount!$F$6:$F$89,"Executive",Headcount!$H$6:$H$89,"&gt;="&amp;Exec!E$3)/12)),D12),IF(YEAR(E$3)=YEAR(Headcount!$Q$4),IF((E$5=2),((SUMIFS(Headcount!$Q$6:$Q$89,Headcount!$F$6:$F$89,"Executive",Headcount!$H$6:$H$89,"&gt;="&amp;Exec!E$3)/12)),D12),IF(YEAR(E$3)=YEAR(Headcount!$R$4),IF((E$5=2),((SUMIFS(Headcount!$R$6:$R$89,Headcount!$F$6:$F$89,"Executive",Headcount!$H$6:$H$89,"&gt;="&amp;Exec!E$3)/12)),D12),"New Year"))))),'Dept. Cost Actuals'!I992-'Dept. Cost Actuals'!I982)</f>
        <v>43096.011618684504</v>
      </c>
      <c r="F12" s="806">
        <f>IF(F$4="forecast",IF(YEAR(F$3)=YEAR(Headcount!$N$4),((SUMIFS(Headcount!$N$6:$N$89,Headcount!$F$6:$F$89,"Executive",Headcount!$H$6:$H$89,"&gt;="&amp;Exec!F$3)/12)),IF(YEAR(F$3)=YEAR(Headcount!$O$4),IF((F$5=2),((SUMIFS(Headcount!$O$6:$O$89,Headcount!$F$6:$F$89,"Executive",Headcount!$H$6:$H$89,"&gt;="&amp;Exec!F$3)/12)),E12),IF(YEAR(F$3)=YEAR(Headcount!$P$4),IF((F$5=2),((SUMIFS(Headcount!$P$6:$P$89,Headcount!$F$6:$F$89,"Executive",Headcount!$H$6:$H$89,"&gt;="&amp;Exec!F$3)/12)),E12),IF(YEAR(F$3)=YEAR(Headcount!$Q$4),IF((F$5=2),((SUMIFS(Headcount!$Q$6:$Q$89,Headcount!$F$6:$F$89,"Executive",Headcount!$H$6:$H$89,"&gt;="&amp;Exec!F$3)/12)),E12),IF(YEAR(F$3)=YEAR(Headcount!$R$4),IF((F$5=2),((SUMIFS(Headcount!$R$6:$R$89,Headcount!$F$6:$F$89,"Executive",Headcount!$H$6:$H$89,"&gt;="&amp;Exec!F$3)/12)),E12),"New Year"))))),'Dept. Cost Actuals'!J992-'Dept. Cost Actuals'!J982)</f>
        <v>53582.124645474556</v>
      </c>
      <c r="G12" s="806">
        <f>IF(G$4="forecast",IF(YEAR(G$3)=YEAR(Headcount!$N$4),((SUMIFS(Headcount!$N$6:$N$89,Headcount!$F$6:$F$89,"Executive",Headcount!$H$6:$H$89,"&gt;="&amp;Exec!G$3)/12)),IF(YEAR(G$3)=YEAR(Headcount!$O$4),IF((G$5=2),((SUMIFS(Headcount!$O$6:$O$89,Headcount!$F$6:$F$89,"Executive",Headcount!$H$6:$H$89,"&gt;="&amp;Exec!G$3)/12)),F12),IF(YEAR(G$3)=YEAR(Headcount!$P$4),IF((G$5=2),((SUMIFS(Headcount!$P$6:$P$89,Headcount!$F$6:$F$89,"Executive",Headcount!$H$6:$H$89,"&gt;="&amp;Exec!G$3)/12)),F12),IF(YEAR(G$3)=YEAR(Headcount!$Q$4),IF((G$5=2),((SUMIFS(Headcount!$Q$6:$Q$89,Headcount!$F$6:$F$89,"Executive",Headcount!$H$6:$H$89,"&gt;="&amp;Exec!G$3)/12)),F12),IF(YEAR(G$3)=YEAR(Headcount!$R$4),IF((G$5=2),((SUMIFS(Headcount!$R$6:$R$89,Headcount!$F$6:$F$89,"Executive",Headcount!$H$6:$H$89,"&gt;="&amp;Exec!G$3)/12)),F12),"New Year"))))),'Dept. Cost Actuals'!K992-'Dept. Cost Actuals'!K982)</f>
        <v>361395.50900512491</v>
      </c>
      <c r="H12" s="806">
        <f>IF(H$4="forecast",IF(YEAR(H$3)=YEAR(Headcount!$N$4),((SUMIFS(Headcount!$N$6:$N$89,Headcount!$F$6:$F$89,"Executive",Headcount!$H$6:$H$89,"&gt;="&amp;Exec!H$3)/12)),IF(YEAR(H$3)=YEAR(Headcount!$O$4),IF((H$5=2),((SUMIFS(Headcount!$O$6:$O$89,Headcount!$F$6:$F$89,"Executive",Headcount!$H$6:$H$89,"&gt;="&amp;Exec!H$3)/12)),G12),IF(YEAR(H$3)=YEAR(Headcount!$P$4),IF((H$5=2),((SUMIFS(Headcount!$P$6:$P$89,Headcount!$F$6:$F$89,"Executive",Headcount!$H$6:$H$89,"&gt;="&amp;Exec!H$3)/12)),G12),IF(YEAR(H$3)=YEAR(Headcount!$Q$4),IF((H$5=2),((SUMIFS(Headcount!$Q$6:$Q$89,Headcount!$F$6:$F$89,"Executive",Headcount!$H$6:$H$89,"&gt;="&amp;Exec!H$3)/12)),G12),IF(YEAR(H$3)=YEAR(Headcount!$R$4),IF((H$5=2),((SUMIFS(Headcount!$R$6:$R$89,Headcount!$F$6:$F$89,"Executive",Headcount!$H$6:$H$89,"&gt;="&amp;Exec!H$3)/12)),G12),"New Year"))))),'Dept. Cost Actuals'!L992-'Dept. Cost Actuals'!L982)</f>
        <v>71597.357801911727</v>
      </c>
      <c r="I12" s="806">
        <f>IF(I$4="forecast",IF(YEAR(I$3)=YEAR(Headcount!$N$4),((SUMIFS(Headcount!$N$6:$N$89,Headcount!$F$6:$F$89,"Executive",Headcount!$H$6:$H$89,"&gt;="&amp;Exec!I$3)/12)),IF(YEAR(I$3)=YEAR(Headcount!$O$4),IF((I$5=2),((SUMIFS(Headcount!$O$6:$O$89,Headcount!$F$6:$F$89,"Executive",Headcount!$H$6:$H$89,"&gt;="&amp;Exec!I$3)/12)),H12),IF(YEAR(I$3)=YEAR(Headcount!$P$4),IF((I$5=2),((SUMIFS(Headcount!$P$6:$P$89,Headcount!$F$6:$F$89,"Executive",Headcount!$H$6:$H$89,"&gt;="&amp;Exec!I$3)/12)),H12),IF(YEAR(I$3)=YEAR(Headcount!$Q$4),IF((I$5=2),((SUMIFS(Headcount!$Q$6:$Q$89,Headcount!$F$6:$F$89,"Executive",Headcount!$H$6:$H$89,"&gt;="&amp;Exec!I$3)/12)),H12),IF(YEAR(I$3)=YEAR(Headcount!$R$4),IF((I$5=2),((SUMIFS(Headcount!$R$6:$R$89,Headcount!$F$6:$F$89,"Executive",Headcount!$H$6:$H$89,"&gt;="&amp;Exec!I$3)/12)),H12),"New Year"))))),'Dept. Cost Actuals'!M992-'Dept. Cost Actuals'!M982)</f>
        <v>360667.55978568183</v>
      </c>
      <c r="J12" s="806">
        <f>IF(J$4="forecast",IF(YEAR(J$3)=YEAR(Headcount!$N$4),((SUMIFS(Headcount!$N$6:$N$89,Headcount!$F$6:$F$89,"Executive",Headcount!$H$6:$H$89,"&gt;="&amp;Exec!J$3)/12)),IF(YEAR(J$3)=YEAR(Headcount!$O$4),IF((J$5=2),((SUMIFS(Headcount!$O$6:$O$89,Headcount!$F$6:$F$89,"Executive",Headcount!$H$6:$H$89,"&gt;="&amp;Exec!J$3)/12)),I12),IF(YEAR(J$3)=YEAR(Headcount!$P$4),IF((J$5=2),((SUMIFS(Headcount!$P$6:$P$89,Headcount!$F$6:$F$89,"Executive",Headcount!$H$6:$H$89,"&gt;="&amp;Exec!J$3)/12)),I12),IF(YEAR(J$3)=YEAR(Headcount!$Q$4),IF((J$5=2),((SUMIFS(Headcount!$Q$6:$Q$89,Headcount!$F$6:$F$89,"Executive",Headcount!$H$6:$H$89,"&gt;="&amp;Exec!J$3)/12)),I12),IF(YEAR(J$3)=YEAR(Headcount!$R$4),IF((J$5=2),((SUMIFS(Headcount!$R$6:$R$89,Headcount!$F$6:$F$89,"Executive",Headcount!$H$6:$H$89,"&gt;="&amp;Exec!J$3)/12)),I12),"New Year"))))),'Dept. Cost Actuals'!N992-'Dept. Cost Actuals'!N982)</f>
        <v>360977.2560464975</v>
      </c>
      <c r="K12" s="806">
        <f>IF(K$4="forecast",IF(YEAR(K$3)=YEAR(Headcount!$N$4),((SUMIFS(Headcount!$N$6:$N$89,Headcount!$F$6:$F$89,"Executive",Headcount!$H$6:$H$89,"&gt;="&amp;Exec!K$3)/12)),IF(YEAR(K$3)=YEAR(Headcount!$O$4),IF((K$5=2),((SUMIFS(Headcount!$O$6:$O$89,Headcount!$F$6:$F$89,"Executive",Headcount!$H$6:$H$89,"&gt;="&amp;Exec!K$3)/12)),J12),IF(YEAR(K$3)=YEAR(Headcount!$P$4),IF((K$5=2),((SUMIFS(Headcount!$P$6:$P$89,Headcount!$F$6:$F$89,"Executive",Headcount!$H$6:$H$89,"&gt;="&amp;Exec!K$3)/12)),J12),IF(YEAR(K$3)=YEAR(Headcount!$Q$4),IF((K$5=2),((SUMIFS(Headcount!$Q$6:$Q$89,Headcount!$F$6:$F$89,"Executive",Headcount!$H$6:$H$89,"&gt;="&amp;Exec!K$3)/12)),J12),IF(YEAR(K$3)=YEAR(Headcount!$R$4),IF((K$5=2),((SUMIFS(Headcount!$R$6:$R$89,Headcount!$F$6:$F$89,"Executive",Headcount!$H$6:$H$89,"&gt;="&amp;Exec!K$3)/12)),J12),"New Year"))))),'Dept. Cost Actuals'!O992-'Dept. Cost Actuals'!O982)</f>
        <v>56204.039722078291</v>
      </c>
      <c r="L12" s="806">
        <f>IF(L$4="forecast",IF(YEAR(L$3)=YEAR(Headcount!$N$4),((SUMIFS(Headcount!$N$6:$N$89,Headcount!$F$6:$F$89,"Executive",Headcount!$H$6:$H$89,"&gt;="&amp;Exec!L$3)/12)),IF(YEAR(L$3)=YEAR(Headcount!$O$4),IF((L$5=2),((SUMIFS(Headcount!$O$6:$O$89,Headcount!$F$6:$F$89,"Executive",Headcount!$H$6:$H$89,"&gt;="&amp;Exec!L$3)/12)),K12),IF(YEAR(L$3)=YEAR(Headcount!$P$4),IF((L$5=2),((SUMIFS(Headcount!$P$6:$P$89,Headcount!$F$6:$F$89,"Executive",Headcount!$H$6:$H$89,"&gt;="&amp;Exec!L$3)/12)),K12),IF(YEAR(L$3)=YEAR(Headcount!$Q$4),IF((L$5=2),((SUMIFS(Headcount!$Q$6:$Q$89,Headcount!$F$6:$F$89,"Executive",Headcount!$H$6:$H$89,"&gt;="&amp;Exec!L$3)/12)),K12),IF(YEAR(L$3)=YEAR(Headcount!$R$4),IF((L$5=2),((SUMIFS(Headcount!$R$6:$R$89,Headcount!$F$6:$F$89,"Executive",Headcount!$H$6:$H$89,"&gt;="&amp;Exec!L$3)/12)),K12),"New Year"))))),'Dept. Cost Actuals'!P992-'Dept. Cost Actuals'!P982)</f>
        <v>380293.95248888485</v>
      </c>
      <c r="M12" s="806">
        <f>IF(M$4="forecast",IF(YEAR(M$3)=YEAR(Headcount!$N$4),((SUMIFS(Headcount!$N$6:$N$89,Headcount!$F$6:$F$89,"Executive",Headcount!$H$6:$H$89,"&gt;="&amp;Exec!M$3)/12)),IF(YEAR(M$3)=YEAR(Headcount!$O$4),IF((M$5=2),((SUMIFS(Headcount!$O$6:$O$89,Headcount!$F$6:$F$89,"Executive",Headcount!$H$6:$H$89,"&gt;="&amp;Exec!M$3)/12)),L12),IF(YEAR(M$3)=YEAR(Headcount!$P$4),IF((M$5=2),((SUMIFS(Headcount!$P$6:$P$89,Headcount!$F$6:$F$89,"Executive",Headcount!$H$6:$H$89,"&gt;="&amp;Exec!M$3)/12)),L12),IF(YEAR(M$3)=YEAR(Headcount!$Q$4),IF((M$5=2),((SUMIFS(Headcount!$Q$6:$Q$89,Headcount!$F$6:$F$89,"Executive",Headcount!$H$6:$H$89,"&gt;="&amp;Exec!M$3)/12)),L12),IF(YEAR(M$3)=YEAR(Headcount!$R$4),IF((M$5=2),((SUMIFS(Headcount!$R$6:$R$89,Headcount!$F$6:$F$89,"Executive",Headcount!$H$6:$H$89,"&gt;="&amp;Exec!M$3)/12)),L12),"New Year"))))),'Dept. Cost Actuals'!Q992-'Dept. Cost Actuals'!Q982)</f>
        <v>152993.69789667081</v>
      </c>
      <c r="N12" s="806">
        <f>IF(N$4="forecast",IF(YEAR(N$3)=YEAR(Headcount!$N$4),((SUMIFS(Headcount!$N$6:$N$89,Headcount!$F$6:$F$89,"Executive",Headcount!$H$6:$H$89,"&gt;="&amp;Exec!N$3)/12)),IF(YEAR(N$3)=YEAR(Headcount!$O$4),IF((N$5=2),((SUMIFS(Headcount!$O$6:$O$89,Headcount!$F$6:$F$89,"Executive",Headcount!$H$6:$H$89,"&gt;="&amp;Exec!N$3)/12)),M12),IF(YEAR(N$3)=YEAR(Headcount!$P$4),IF((N$5=2),((SUMIFS(Headcount!$P$6:$P$89,Headcount!$F$6:$F$89,"Executive",Headcount!$H$6:$H$89,"&gt;="&amp;Exec!N$3)/12)),M12),IF(YEAR(N$3)=YEAR(Headcount!$Q$4),IF((N$5=2),((SUMIFS(Headcount!$Q$6:$Q$89,Headcount!$F$6:$F$89,"Executive",Headcount!$H$6:$H$89,"&gt;="&amp;Exec!N$3)/12)),M12),IF(YEAR(N$3)=YEAR(Headcount!$R$4),IF((N$5=2),((SUMIFS(Headcount!$R$6:$R$89,Headcount!$F$6:$F$89,"Executive",Headcount!$H$6:$H$89,"&gt;="&amp;Exec!N$3)/12)),M12),"New Year"))))),'Dept. Cost Actuals'!R992-'Dept. Cost Actuals'!R982)</f>
        <v>77575.899608885142</v>
      </c>
      <c r="O12" s="806">
        <f>IF(O$4="forecast",IF(YEAR(O$3)=YEAR(Headcount!$N$4),((SUMIFS(Headcount!$N$6:$N$89,Headcount!$F$6:$F$89,"Executive",Headcount!$H$6:$H$89,"&gt;="&amp;Exec!O$3)/12)),IF(YEAR(O$3)=YEAR(Headcount!$O$4),IF((O$5=2),((SUMIFS(Headcount!$O$6:$O$89,Headcount!$F$6:$F$89,"Executive",Headcount!$H$6:$H$89,"&gt;="&amp;Exec!O$3)/12)),N12),IF(YEAR(O$3)=YEAR(Headcount!$P$4),IF((O$5=2),((SUMIFS(Headcount!$P$6:$P$89,Headcount!$F$6:$F$89,"Executive",Headcount!$H$6:$H$89,"&gt;="&amp;Exec!O$3)/12)),N12),IF(YEAR(O$3)=YEAR(Headcount!$Q$4),IF((O$5=2),((SUMIFS(Headcount!$Q$6:$Q$89,Headcount!$F$6:$F$89,"Executive",Headcount!$H$6:$H$89,"&gt;="&amp;Exec!O$3)/12)),N12),IF(YEAR(O$3)=YEAR(Headcount!$R$4),IF((O$5=2),((SUMIFS(Headcount!$R$6:$R$89,Headcount!$F$6:$F$89,"Executive",Headcount!$H$6:$H$89,"&gt;="&amp;Exec!O$3)/12)),N12),"New Year"))))),'Dept. Cost Actuals'!S992-'Dept. Cost Actuals'!S982)</f>
        <v>124639.96999999999</v>
      </c>
      <c r="P12" s="806">
        <f>IF(P$4="forecast",IF(YEAR(P$3)=YEAR(Headcount!$N$4),((SUMIFS(Headcount!$N$6:$N$89,Headcount!$F$6:$F$89,"Executive",Headcount!$H$6:$H$89,"&gt;="&amp;Exec!P$3)/12)),IF(YEAR(P$3)=YEAR(Headcount!$O$4),IF((P$5=2),((SUMIFS(Headcount!$O$6:$O$89,Headcount!$F$6:$F$89,"Executive",Headcount!$H$6:$H$89,"&gt;="&amp;Exec!P$3)/12)),O12),IF(YEAR(P$3)=YEAR(Headcount!$P$4),IF((P$5=2),((SUMIFS(Headcount!$P$6:$P$89,Headcount!$F$6:$F$89,"Executive",Headcount!$H$6:$H$89,"&gt;="&amp;Exec!P$3)/12)),O12),IF(YEAR(P$3)=YEAR(Headcount!$Q$4),IF((P$5=2),((SUMIFS(Headcount!$Q$6:$Q$89,Headcount!$F$6:$F$89,"Executive",Headcount!$H$6:$H$89,"&gt;="&amp;Exec!P$3)/12)),O12),IF(YEAR(P$3)=YEAR(Headcount!$R$4),IF((P$5=2),((SUMIFS(Headcount!$R$6:$R$89,Headcount!$F$6:$F$89,"Executive",Headcount!$H$6:$H$89,"&gt;="&amp;Exec!P$3)/12)),O12),"New Year"))))),'Dept. Cost Actuals'!T992-'Dept. Cost Actuals'!T982)</f>
        <v>127073.01</v>
      </c>
      <c r="Q12" s="806">
        <f>IF(Q$4="forecast",IF(YEAR(Q$3)=YEAR(Headcount!$N$4),((SUMIFS(Headcount!$N$6:$N$89,Headcount!$F$6:$F$89,"Executive",Headcount!$H$6:$H$89,"&gt;="&amp;Exec!Q$3)/12)),IF(YEAR(Q$3)=YEAR(Headcount!$O$4),IF((Q$5=2),((SUMIFS(Headcount!$O$6:$O$89,Headcount!$F$6:$F$89,"Executive",Headcount!$H$6:$H$89,"&gt;="&amp;Exec!Q$3)/12)),P12),IF(YEAR(Q$3)=YEAR(Headcount!$P$4),IF((Q$5=2),((SUMIFS(Headcount!$P$6:$P$89,Headcount!$F$6:$F$89,"Executive",Headcount!$H$6:$H$89,"&gt;="&amp;Exec!Q$3)/12)),P12),IF(YEAR(Q$3)=YEAR(Headcount!$Q$4),IF((Q$5=2),((SUMIFS(Headcount!$Q$6:$Q$89,Headcount!$F$6:$F$89,"Executive",Headcount!$H$6:$H$89,"&gt;="&amp;Exec!Q$3)/12)),P12),IF(YEAR(Q$3)=YEAR(Headcount!$R$4),IF((Q$5=2),((SUMIFS(Headcount!$R$6:$R$89,Headcount!$F$6:$F$89,"Executive",Headcount!$H$6:$H$89,"&gt;="&amp;Exec!Q$3)/12)),P12),"New Year"))))),'Dept. Cost Actuals'!U992-'Dept. Cost Actuals'!U982)</f>
        <v>109054.21999999999</v>
      </c>
      <c r="R12" s="806">
        <f>IF(R$4="forecast",IF(YEAR(R$3)=YEAR(Headcount!$N$4),((SUMIFS(Headcount!$N$6:$N$89,Headcount!$F$6:$F$89,"Executive",Headcount!$H$6:$H$89,"&gt;="&amp;Exec!R$3)/12)),IF(YEAR(R$3)=YEAR(Headcount!$O$4),IF((R$5=2),((SUMIFS(Headcount!$O$6:$O$89,Headcount!$F$6:$F$89,"Executive",Headcount!$H$6:$H$89,"&gt;="&amp;Exec!R$3)/12)),Q12),IF(YEAR(R$3)=YEAR(Headcount!$P$4),IF((R$5=2),((SUMIFS(Headcount!$P$6:$P$89,Headcount!$F$6:$F$89,"Executive",Headcount!$H$6:$H$89,"&gt;="&amp;Exec!R$3)/12)),Q12),IF(YEAR(R$3)=YEAR(Headcount!$Q$4),IF((R$5=2),((SUMIFS(Headcount!$Q$6:$Q$89,Headcount!$F$6:$F$89,"Executive",Headcount!$H$6:$H$89,"&gt;="&amp;Exec!R$3)/12)),Q12),IF(YEAR(R$3)=YEAR(Headcount!$R$4),IF((R$5=2),((SUMIFS(Headcount!$R$6:$R$89,Headcount!$F$6:$F$89,"Executive",Headcount!$H$6:$H$89,"&gt;="&amp;Exec!R$3)/12)),Q12),"New Year"))))),'Dept. Cost Actuals'!V992-'Dept. Cost Actuals'!V982)</f>
        <v>118978.56999999999</v>
      </c>
      <c r="S12" s="806">
        <f>IF(S$4="forecast",IF(YEAR(S$3)=YEAR(Headcount!$N$4),((SUMIFS(Headcount!$N$6:$N$89,Headcount!$F$6:$F$89,"Executive",Headcount!$H$6:$H$89,"&gt;="&amp;Exec!S$3)/12)),IF(YEAR(S$3)=YEAR(Headcount!$O$4),IF((S$5=2),((SUMIFS(Headcount!$O$6:$O$89,Headcount!$F$6:$F$89,"Executive",Headcount!$H$6:$H$89,"&gt;="&amp;Exec!S$3)/12)),R12),IF(YEAR(S$3)=YEAR(Headcount!$P$4),IF((S$5=2),((SUMIFS(Headcount!$P$6:$P$89,Headcount!$F$6:$F$89,"Executive",Headcount!$H$6:$H$89,"&gt;="&amp;Exec!S$3)/12)),R12),IF(YEAR(S$3)=YEAR(Headcount!$Q$4),IF((S$5=2),((SUMIFS(Headcount!$Q$6:$Q$89,Headcount!$F$6:$F$89,"Executive",Headcount!$H$6:$H$89,"&gt;="&amp;Exec!S$3)/12)),R12),IF(YEAR(S$3)=YEAR(Headcount!$R$4),IF((S$5=2),((SUMIFS(Headcount!$R$6:$R$89,Headcount!$F$6:$F$89,"Executive",Headcount!$H$6:$H$89,"&gt;="&amp;Exec!S$3)/12)),R12),"New Year"))))),'Dept. Cost Actuals'!W992-'Dept. Cost Actuals'!W982)</f>
        <v>112912.48</v>
      </c>
      <c r="T12" s="806">
        <f>IF(T$4="forecast",IF(YEAR(T$3)=YEAR(Headcount!$N$4),((SUMIFS(Headcount!$N$6:$N$89,Headcount!$F$6:$F$89,"Executive",Headcount!$H$6:$H$89,"&gt;="&amp;Exec!T$3)/12)),IF(YEAR(T$3)=YEAR(Headcount!$O$4),IF((T$5=2),((SUMIFS(Headcount!$O$6:$O$89,Headcount!$F$6:$F$89,"Executive",Headcount!$H$6:$H$89,"&gt;="&amp;Exec!T$3)/12)),S12),IF(YEAR(T$3)=YEAR(Headcount!$P$4),IF((T$5=2),((SUMIFS(Headcount!$P$6:$P$89,Headcount!$F$6:$F$89,"Executive",Headcount!$H$6:$H$89,"&gt;="&amp;Exec!T$3)/12)),S12),IF(YEAR(T$3)=YEAR(Headcount!$Q$4),IF((T$5=2),((SUMIFS(Headcount!$Q$6:$Q$89,Headcount!$F$6:$F$89,"Executive",Headcount!$H$6:$H$89,"&gt;="&amp;Exec!T$3)/12)),S12),IF(YEAR(T$3)=YEAR(Headcount!$R$4),IF((T$5=2),((SUMIFS(Headcount!$R$6:$R$89,Headcount!$F$6:$F$89,"Executive",Headcount!$H$6:$H$89,"&gt;="&amp;Exec!T$3)/12)),S12),"New Year"))))),'Dept. Cost Actuals'!X992-'Dept. Cost Actuals'!X982)</f>
        <v>93467.67</v>
      </c>
      <c r="U12" s="806">
        <f>IF(U$4="forecast",IF(YEAR(U$3)=YEAR(Headcount!$N$4),((SUMIFS(Headcount!$N$6:$N$89,Headcount!$F$6:$F$89,"Executive",Headcount!$H$6:$H$89,"&gt;="&amp;Exec!U$3)/12)),IF(YEAR(U$3)=YEAR(Headcount!$O$4),IF((U$5=2),((SUMIFS(Headcount!$O$6:$O$89,Headcount!$F$6:$F$89,"Executive",Headcount!$H$6:$H$89,"&gt;="&amp;Exec!U$3)/12)),T12),IF(YEAR(U$3)=YEAR(Headcount!$P$4),IF((U$5=2),((SUMIFS(Headcount!$P$6:$P$89,Headcount!$F$6:$F$89,"Executive",Headcount!$H$6:$H$89,"&gt;="&amp;Exec!U$3)/12)),T12),IF(YEAR(U$3)=YEAR(Headcount!$Q$4),IF((U$5=2),((SUMIFS(Headcount!$Q$6:$Q$89,Headcount!$F$6:$F$89,"Executive",Headcount!$H$6:$H$89,"&gt;="&amp;Exec!U$3)/12)),T12),IF(YEAR(U$3)=YEAR(Headcount!$R$4),IF((U$5=2),((SUMIFS(Headcount!$R$6:$R$89,Headcount!$F$6:$F$89,"Executive",Headcount!$H$6:$H$89,"&gt;="&amp;Exec!U$3)/12)),T12),"New Year"))))),'Dept. Cost Actuals'!Y992-'Dept. Cost Actuals'!Y982)</f>
        <v>106644.11</v>
      </c>
      <c r="V12" s="806">
        <f>IF(V$4="forecast",IF(YEAR(V$3)=YEAR(Headcount!$N$4),((SUMIFS(Headcount!$N$6:$N$89,Headcount!$F$6:$F$89,"Executive",Headcount!$H$6:$H$89,"&gt;="&amp;Exec!V$3)/12)),IF(YEAR(V$3)=YEAR(Headcount!$O$4),IF((V$5=2),((SUMIFS(Headcount!$O$6:$O$89,Headcount!$F$6:$F$89,"Executive",Headcount!$H$6:$H$89,"&gt;="&amp;Exec!V$3)/12)),U12),IF(YEAR(V$3)=YEAR(Headcount!$P$4),IF((V$5=2),((SUMIFS(Headcount!$P$6:$P$89,Headcount!$F$6:$F$89,"Executive",Headcount!$H$6:$H$89,"&gt;="&amp;Exec!V$3)/12)),U12),IF(YEAR(V$3)=YEAR(Headcount!$Q$4),IF((V$5=2),((SUMIFS(Headcount!$Q$6:$Q$89,Headcount!$F$6:$F$89,"Executive",Headcount!$H$6:$H$89,"&gt;="&amp;Exec!V$3)/12)),U12),IF(YEAR(V$3)=YEAR(Headcount!$R$4),IF((V$5=2),((SUMIFS(Headcount!$R$6:$R$89,Headcount!$F$6:$F$89,"Executive",Headcount!$H$6:$H$89,"&gt;="&amp;Exec!V$3)/12)),U12),"New Year"))))),'Dept. Cost Actuals'!Z992-'Dept. Cost Actuals'!Z982)</f>
        <v>84476.03</v>
      </c>
      <c r="W12" s="806">
        <f>IF(W$4="forecast",IF(YEAR(W$3)=YEAR(Headcount!$N$4),((SUMIFS(Headcount!$N$6:$N$89,Headcount!$F$6:$F$89,"Executive",Headcount!$H$6:$H$89,"&gt;="&amp;Exec!W$3)/12)),IF(YEAR(W$3)=YEAR(Headcount!$O$4),IF((W$5=2),((SUMIFS(Headcount!$O$6:$O$89,Headcount!$F$6:$F$89,"Executive",Headcount!$H$6:$H$89,"&gt;="&amp;Exec!W$3)/12)),V12),IF(YEAR(W$3)=YEAR(Headcount!$P$4),IF((W$5=2),((SUMIFS(Headcount!$P$6:$P$89,Headcount!$F$6:$F$89,"Executive",Headcount!$H$6:$H$89,"&gt;="&amp;Exec!W$3)/12)),V12),IF(YEAR(W$3)=YEAR(Headcount!$Q$4),IF((W$5=2),((SUMIFS(Headcount!$Q$6:$Q$89,Headcount!$F$6:$F$89,"Executive",Headcount!$H$6:$H$89,"&gt;="&amp;Exec!W$3)/12)),V12),IF(YEAR(W$3)=YEAR(Headcount!$R$4),IF((W$5=2),((SUMIFS(Headcount!$R$6:$R$89,Headcount!$F$6:$F$89,"Executive",Headcount!$H$6:$H$89,"&gt;="&amp;Exec!W$3)/12)),V12),"New Year"))))),'Dept. Cost Actuals'!AA992-'Dept. Cost Actuals'!AA982)</f>
        <v>100871.79000000001</v>
      </c>
      <c r="X12" s="806">
        <f>IF(X$4="forecast",IF(YEAR(X$3)=YEAR(Headcount!$N$4),((SUMIFS(Headcount!$N$6:$N$89,Headcount!$F$6:$F$89,"Executive",Headcount!$H$6:$H$89,"&gt;="&amp;Exec!X$3)/12)),IF(YEAR(X$3)=YEAR(Headcount!$O$4),IF((X$5=2),((SUMIFS(Headcount!$O$6:$O$89,Headcount!$F$6:$F$89,"Executive",Headcount!$H$6:$H$89,"&gt;="&amp;Exec!X$3)/12)),W12),IF(YEAR(X$3)=YEAR(Headcount!$P$4),IF((X$5=2),((SUMIFS(Headcount!$P$6:$P$89,Headcount!$F$6:$F$89,"Executive",Headcount!$H$6:$H$89,"&gt;="&amp;Exec!X$3)/12)),W12),IF(YEAR(X$3)=YEAR(Headcount!$Q$4),IF((X$5=2),((SUMIFS(Headcount!$Q$6:$Q$89,Headcount!$F$6:$F$89,"Executive",Headcount!$H$6:$H$89,"&gt;="&amp;Exec!X$3)/12)),W12),IF(YEAR(X$3)=YEAR(Headcount!$R$4),IF((X$5=2),((SUMIFS(Headcount!$R$6:$R$89,Headcount!$F$6:$F$89,"Executive",Headcount!$H$6:$H$89,"&gt;="&amp;Exec!X$3)/12)),W12),"New Year"))))),'Dept. Cost Actuals'!AB992-'Dept. Cost Actuals'!AB982)</f>
        <v>107007.77</v>
      </c>
      <c r="Y12" s="806">
        <f>IF(Y$4="forecast",IF(YEAR(Y$3)=YEAR(Headcount!$N$4),((SUMIFS(Headcount!$N$6:$N$89,Headcount!$F$6:$F$89,"Executive",Headcount!$H$6:$H$89,"&gt;="&amp;Exec!Y$3)/12)),IF(YEAR(Y$3)=YEAR(Headcount!$O$4),IF((Y$5=2),((SUMIFS(Headcount!$O$6:$O$89,Headcount!$F$6:$F$89,"Executive",Headcount!$H$6:$H$89,"&gt;="&amp;Exec!Y$3)/12)),X12),IF(YEAR(Y$3)=YEAR(Headcount!$P$4),IF((Y$5=2),((SUMIFS(Headcount!$P$6:$P$89,Headcount!$F$6:$F$89,"Executive",Headcount!$H$6:$H$89,"&gt;="&amp;Exec!Y$3)/12)),X12),IF(YEAR(Y$3)=YEAR(Headcount!$Q$4),IF((Y$5=2),((SUMIFS(Headcount!$Q$6:$Q$89,Headcount!$F$6:$F$89,"Executive",Headcount!$H$6:$H$89,"&gt;="&amp;Exec!Y$3)/12)),X12),IF(YEAR(Y$3)=YEAR(Headcount!$R$4),IF((Y$5=2),((SUMIFS(Headcount!$R$6:$R$89,Headcount!$F$6:$F$89,"Executive",Headcount!$H$6:$H$89,"&gt;="&amp;Exec!Y$3)/12)),X12),"New Year"))))),'Dept. Cost Actuals'!AC992-'Dept. Cost Actuals'!AC982)</f>
        <v>93908.55</v>
      </c>
      <c r="Z12" s="806">
        <f>IF(Z$4="forecast",IF(YEAR(Z$3)=YEAR(Headcount!$N$4),((SUMIFS(Headcount!$N$6:$N$89,Headcount!$F$6:$F$89,"Executive",Headcount!$H$6:$H$89,"&gt;="&amp;Exec!Z$3)/12)),IF(YEAR(Z$3)=YEAR(Headcount!$O$4),IF((Z$5=2),((SUMIFS(Headcount!$O$6:$O$89,Headcount!$F$6:$F$89,"Executive",Headcount!$H$6:$H$89,"&gt;="&amp;Exec!Z$3)/12)),Y12),IF(YEAR(Z$3)=YEAR(Headcount!$P$4),IF((Z$5=2),((SUMIFS(Headcount!$P$6:$P$89,Headcount!$F$6:$F$89,"Executive",Headcount!$H$6:$H$89,"&gt;="&amp;Exec!Z$3)/12)),Y12),IF(YEAR(Z$3)=YEAR(Headcount!$Q$4),IF((Z$5=2),((SUMIFS(Headcount!$Q$6:$Q$89,Headcount!$F$6:$F$89,"Executive",Headcount!$H$6:$H$89,"&gt;="&amp;Exec!Z$3)/12)),Y12),IF(YEAR(Z$3)=YEAR(Headcount!$R$4),IF((Z$5=2),((SUMIFS(Headcount!$R$6:$R$89,Headcount!$F$6:$F$89,"Executive",Headcount!$H$6:$H$89,"&gt;="&amp;Exec!Z$3)/12)),Y12),"New Year"))))),'Dept. Cost Actuals'!AD992-'Dept. Cost Actuals'!AD982)</f>
        <v>98588.62</v>
      </c>
      <c r="AA12" s="806">
        <f>IF(AA$4="forecast",IF(YEAR(AA$3)=YEAR(Headcount!$N$4),((SUMIFS(Headcount!$N$6:$N$89,Headcount!$F$6:$F$89,"Executive",Headcount!$H$6:$H$89,"&gt;="&amp;Exec!AA$3)/12)),IF(YEAR(AA$3)=YEAR(Headcount!$O$4),IF((AA$5=2),((SUMIFS(Headcount!$O$6:$O$89,Headcount!$F$6:$F$89,"Executive",Headcount!$H$6:$H$89,"&gt;="&amp;Exec!AA$3)/12)),Z12),IF(YEAR(AA$3)=YEAR(Headcount!$P$4),IF((AA$5=2),((SUMIFS(Headcount!$P$6:$P$89,Headcount!$F$6:$F$89,"Executive",Headcount!$H$6:$H$89,"&gt;="&amp;Exec!AA$3)/12)),Z12),IF(YEAR(AA$3)=YEAR(Headcount!$Q$4),IF((AA$5=2),((SUMIFS(Headcount!$Q$6:$Q$89,Headcount!$F$6:$F$89,"Executive",Headcount!$H$6:$H$89,"&gt;="&amp;Exec!AA$3)/12)),Z12),IF(YEAR(AA$3)=YEAR(Headcount!$R$4),IF((AA$5=2),((SUMIFS(Headcount!$R$6:$R$89,Headcount!$F$6:$F$89,"Executive",Headcount!$H$6:$H$89,"&gt;="&amp;Exec!AA$3)/12)),Z12),"New Year"))))),'Dept. Cost Actuals'!AE992-'Dept. Cost Actuals'!AE982)</f>
        <v>98588.62</v>
      </c>
      <c r="AB12" s="806">
        <f>IF(AB$4="forecast",IF(YEAR(AB$3)=YEAR(Headcount!$N$4),((SUMIFS(Headcount!$N$6:$N$89,Headcount!$F$6:$F$89,"Executive",Headcount!$H$6:$H$89,"&gt;="&amp;Exec!AB$3)/12)),IF(YEAR(AB$3)=YEAR(Headcount!$O$4),IF((AB$5=2),((SUMIFS(Headcount!$O$6:$O$89,Headcount!$F$6:$F$89,"Executive",Headcount!$H$6:$H$89,"&gt;="&amp;Exec!AB$3)/12)),AA12),IF(YEAR(AB$3)=YEAR(Headcount!$P$4),IF((AB$5=2),((SUMIFS(Headcount!$P$6:$P$89,Headcount!$F$6:$F$89,"Executive",Headcount!$H$6:$H$89,"&gt;="&amp;Exec!AB$3)/12)),AA12),IF(YEAR(AB$3)=YEAR(Headcount!$Q$4),IF((AB$5=2),((SUMIFS(Headcount!$Q$6:$Q$89,Headcount!$F$6:$F$89,"Executive",Headcount!$H$6:$H$89,"&gt;="&amp;Exec!AB$3)/12)),AA12),IF(YEAR(AB$3)=YEAR(Headcount!$R$4),IF((AB$5=2),((SUMIFS(Headcount!$R$6:$R$89,Headcount!$F$6:$F$89,"Executive",Headcount!$H$6:$H$89,"&gt;="&amp;Exec!AB$3)/12)),AA12),"New Year"))))),'Dept. Cost Actuals'!AF992-'Dept. Cost Actuals'!AF982)</f>
        <v>45833.333333333336</v>
      </c>
      <c r="AC12" s="806">
        <f>IF(AC$4="forecast",IF(YEAR(AC$3)=YEAR(Headcount!$N$4),((SUMIFS(Headcount!$N$6:$N$89,Headcount!$F$6:$F$89,"Executive",Headcount!$H$6:$H$89,"&gt;="&amp;Exec!AC$3)/12)),IF(YEAR(AC$3)=YEAR(Headcount!$O$4),IF((AC$5=2),((SUMIFS(Headcount!$O$6:$O$89,Headcount!$F$6:$F$89,"Executive",Headcount!$H$6:$H$89,"&gt;="&amp;Exec!AC$3)/12)),AB12),IF(YEAR(AC$3)=YEAR(Headcount!$P$4),IF((AC$5=2),((SUMIFS(Headcount!$P$6:$P$89,Headcount!$F$6:$F$89,"Executive",Headcount!$H$6:$H$89,"&gt;="&amp;Exec!AC$3)/12)),AB12),IF(YEAR(AC$3)=YEAR(Headcount!$Q$4),IF((AC$5=2),((SUMIFS(Headcount!$Q$6:$Q$89,Headcount!$F$6:$F$89,"Executive",Headcount!$H$6:$H$89,"&gt;="&amp;Exec!AC$3)/12)),AB12),IF(YEAR(AC$3)=YEAR(Headcount!$R$4),IF((AC$5=2),((SUMIFS(Headcount!$R$6:$R$89,Headcount!$F$6:$F$89,"Executive",Headcount!$H$6:$H$89,"&gt;="&amp;Exec!AC$3)/12)),AB12),"New Year"))))),'Dept. Cost Actuals'!AG992-'Dept. Cost Actuals'!AG982)</f>
        <v>45833.333333333336</v>
      </c>
      <c r="AD12" s="806">
        <f>IF(AD$4="forecast",IF(YEAR(AD$3)=YEAR(Headcount!$N$4),((SUMIFS(Headcount!$N$6:$N$89,Headcount!$F$6:$F$89,"Executive",Headcount!$H$6:$H$89,"&gt;="&amp;Exec!AD$3)/12)),IF(YEAR(AD$3)=YEAR(Headcount!$O$4),IF((AD$5=2),((SUMIFS(Headcount!$O$6:$O$89,Headcount!$F$6:$F$89,"Executive",Headcount!$H$6:$H$89,"&gt;="&amp;Exec!AD$3)/12)),AC12),IF(YEAR(AD$3)=YEAR(Headcount!$P$4),IF((AD$5=2),((SUMIFS(Headcount!$P$6:$P$89,Headcount!$F$6:$F$89,"Executive",Headcount!$H$6:$H$89,"&gt;="&amp;Exec!AD$3)/12)),AC12),IF(YEAR(AD$3)=YEAR(Headcount!$Q$4),IF((AD$5=2),((SUMIFS(Headcount!$Q$6:$Q$89,Headcount!$F$6:$F$89,"Executive",Headcount!$H$6:$H$89,"&gt;="&amp;Exec!AD$3)/12)),AC12),IF(YEAR(AD$3)=YEAR(Headcount!$R$4),IF((AD$5=2),((SUMIFS(Headcount!$R$6:$R$89,Headcount!$F$6:$F$89,"Executive",Headcount!$H$6:$H$89,"&gt;="&amp;Exec!AD$3)/12)),AC12),"New Year"))))),'Dept. Cost Actuals'!AH992-'Dept. Cost Actuals'!AH982)</f>
        <v>45833.333333333336</v>
      </c>
      <c r="AE12" s="806">
        <f>IF(AE$4="forecast",IF(YEAR(AE$3)=YEAR(Headcount!$N$4),((SUMIFS(Headcount!$N$6:$N$89,Headcount!$F$6:$F$89,"Executive",Headcount!$H$6:$H$89,"&gt;="&amp;Exec!AE$3)/12)),IF(YEAR(AE$3)=YEAR(Headcount!$O$4),IF((AE$5=2),((SUMIFS(Headcount!$O$6:$O$89,Headcount!$F$6:$F$89,"Executive",Headcount!$H$6:$H$89,"&gt;="&amp;Exec!AE$3)/12)),AD12),IF(YEAR(AE$3)=YEAR(Headcount!$P$4),IF((AE$5=2),((SUMIFS(Headcount!$P$6:$P$89,Headcount!$F$6:$F$89,"Executive",Headcount!$H$6:$H$89,"&gt;="&amp;Exec!AE$3)/12)),AD12),IF(YEAR(AE$3)=YEAR(Headcount!$Q$4),IF((AE$5=2),((SUMIFS(Headcount!$Q$6:$Q$89,Headcount!$F$6:$F$89,"Executive",Headcount!$H$6:$H$89,"&gt;="&amp;Exec!AE$3)/12)),AD12),IF(YEAR(AE$3)=YEAR(Headcount!$R$4),IF((AE$5=2),((SUMIFS(Headcount!$R$6:$R$89,Headcount!$F$6:$F$89,"Executive",Headcount!$H$6:$H$89,"&gt;="&amp;Exec!AE$3)/12)),AD12),"New Year"))))),'Dept. Cost Actuals'!AI992-'Dept. Cost Actuals'!AI982)</f>
        <v>45833.333333333336</v>
      </c>
      <c r="AF12" s="806">
        <f>IF(AF$4="forecast",IF(YEAR(AF$3)=YEAR(Headcount!$N$4),((SUMIFS(Headcount!$N$6:$N$89,Headcount!$F$6:$F$89,"Executive",Headcount!$H$6:$H$89,"&gt;="&amp;Exec!AF$3)/12)),IF(YEAR(AF$3)=YEAR(Headcount!$O$4),IF((AF$5=2),((SUMIFS(Headcount!$O$6:$O$89,Headcount!$F$6:$F$89,"Executive",Headcount!$H$6:$H$89,"&gt;="&amp;Exec!AF$3)/12)),AE12),IF(YEAR(AF$3)=YEAR(Headcount!$P$4),IF((AF$5=2),((SUMIFS(Headcount!$P$6:$P$89,Headcount!$F$6:$F$89,"Executive",Headcount!$H$6:$H$89,"&gt;="&amp;Exec!AF$3)/12)),AE12),IF(YEAR(AF$3)=YEAR(Headcount!$Q$4),IF((AF$5=2),((SUMIFS(Headcount!$Q$6:$Q$89,Headcount!$F$6:$F$89,"Executive",Headcount!$H$6:$H$89,"&gt;="&amp;Exec!AF$3)/12)),AE12),IF(YEAR(AF$3)=YEAR(Headcount!$R$4),IF((AF$5=2),((SUMIFS(Headcount!$R$6:$R$89,Headcount!$F$6:$F$89,"Executive",Headcount!$H$6:$H$89,"&gt;="&amp;Exec!AF$3)/12)),AE12),"New Year"))))),'Dept. Cost Actuals'!AJ992-'Dept. Cost Actuals'!AJ982)</f>
        <v>45833.333333333336</v>
      </c>
      <c r="AG12" s="806">
        <f>IF(AG$4="forecast",IF(YEAR(AG$3)=YEAR(Headcount!$N$4),((SUMIFS(Headcount!$N$6:$N$89,Headcount!$F$6:$F$89,"Executive",Headcount!$H$6:$H$89,"&gt;="&amp;Exec!AG$3)/12)),IF(YEAR(AG$3)=YEAR(Headcount!$O$4),IF((AG$5=2),((SUMIFS(Headcount!$O$6:$O$89,Headcount!$F$6:$F$89,"Executive",Headcount!$H$6:$H$89,"&gt;="&amp;Exec!AG$3)/12)),AF12),IF(YEAR(AG$3)=YEAR(Headcount!$P$4),IF((AG$5=2),((SUMIFS(Headcount!$P$6:$P$89,Headcount!$F$6:$F$89,"Executive",Headcount!$H$6:$H$89,"&gt;="&amp;Exec!AG$3)/12)),AF12),IF(YEAR(AG$3)=YEAR(Headcount!$Q$4),IF((AG$5=2),((SUMIFS(Headcount!$Q$6:$Q$89,Headcount!$F$6:$F$89,"Executive",Headcount!$H$6:$H$89,"&gt;="&amp;Exec!AG$3)/12)),AF12),IF(YEAR(AG$3)=YEAR(Headcount!$R$4),IF((AG$5=2),((SUMIFS(Headcount!$R$6:$R$89,Headcount!$F$6:$F$89,"Executive",Headcount!$H$6:$H$89,"&gt;="&amp;Exec!AG$3)/12)),AF12),"New Year"))))),'Dept. Cost Actuals'!AK992-'Dept. Cost Actuals'!AK982)</f>
        <v>45833.333333333336</v>
      </c>
      <c r="AH12" s="806">
        <f>IF(AH$4="forecast",IF(YEAR(AH$3)=YEAR(Headcount!$N$4),((SUMIFS(Headcount!$N$6:$N$89,Headcount!$F$6:$F$89,"Executive",Headcount!$H$6:$H$89,"&gt;="&amp;Exec!AH$3)/12)),IF(YEAR(AH$3)=YEAR(Headcount!$O$4),IF((AH$5=2),((SUMIFS(Headcount!$O$6:$O$89,Headcount!$F$6:$F$89,"Executive",Headcount!$H$6:$H$89,"&gt;="&amp;Exec!AH$3)/12)),AG12),IF(YEAR(AH$3)=YEAR(Headcount!$P$4),IF((AH$5=2),((SUMIFS(Headcount!$P$6:$P$89,Headcount!$F$6:$F$89,"Executive",Headcount!$H$6:$H$89,"&gt;="&amp;Exec!AH$3)/12)),AG12),IF(YEAR(AH$3)=YEAR(Headcount!$Q$4),IF((AH$5=2),((SUMIFS(Headcount!$Q$6:$Q$89,Headcount!$F$6:$F$89,"Executive",Headcount!$H$6:$H$89,"&gt;="&amp;Exec!AH$3)/12)),AG12),IF(YEAR(AH$3)=YEAR(Headcount!$R$4),IF((AH$5=2),((SUMIFS(Headcount!$R$6:$R$89,Headcount!$F$6:$F$89,"Executive",Headcount!$H$6:$H$89,"&gt;="&amp;Exec!AH$3)/12)),AG12),"New Year"))))),'Dept. Cost Actuals'!AL992-'Dept. Cost Actuals'!AL982)</f>
        <v>45833.333333333336</v>
      </c>
      <c r="AI12" s="806">
        <f>IF(AI$4="forecast",IF(YEAR(AI$3)=YEAR(Headcount!$N$4),((SUMIFS(Headcount!$N$6:$N$89,Headcount!$F$6:$F$89,"Executive",Headcount!$H$6:$H$89,"&gt;="&amp;Exec!AI$3)/12)),IF(YEAR(AI$3)=YEAR(Headcount!$O$4),IF((AI$5=2),((SUMIFS(Headcount!$O$6:$O$89,Headcount!$F$6:$F$89,"Executive",Headcount!$H$6:$H$89,"&gt;="&amp;Exec!AI$3)/12)),AH12),IF(YEAR(AI$3)=YEAR(Headcount!$P$4),IF((AI$5=2),((SUMIFS(Headcount!$P$6:$P$89,Headcount!$F$6:$F$89,"Executive",Headcount!$H$6:$H$89,"&gt;="&amp;Exec!AI$3)/12)),AH12),IF(YEAR(AI$3)=YEAR(Headcount!$Q$4),IF((AI$5=2),((SUMIFS(Headcount!$Q$6:$Q$89,Headcount!$F$6:$F$89,"Executive",Headcount!$H$6:$H$89,"&gt;="&amp;Exec!AI$3)/12)),AH12),IF(YEAR(AI$3)=YEAR(Headcount!$R$4),IF((AI$5=2),((SUMIFS(Headcount!$R$6:$R$89,Headcount!$F$6:$F$89,"Executive",Headcount!$H$6:$H$89,"&gt;="&amp;Exec!AI$3)/12)),AH12),"New Year"))))),'Dept. Cost Actuals'!AM992-'Dept. Cost Actuals'!AM982)</f>
        <v>45833.333333333336</v>
      </c>
      <c r="AJ12" s="806">
        <f>IF(AJ$4="forecast",IF(YEAR(AJ$3)=YEAR(Headcount!$N$4),((SUMIFS(Headcount!$N$6:$N$89,Headcount!$F$6:$F$89,"Executive",Headcount!$H$6:$H$89,"&gt;="&amp;Exec!AJ$3)/12)),IF(YEAR(AJ$3)=YEAR(Headcount!$O$4),IF((AJ$5=2),((SUMIFS(Headcount!$O$6:$O$89,Headcount!$F$6:$F$89,"Executive",Headcount!$H$6:$H$89,"&gt;="&amp;Exec!AJ$3)/12)),AI12),IF(YEAR(AJ$3)=YEAR(Headcount!$P$4),IF((AJ$5=2),((SUMIFS(Headcount!$P$6:$P$89,Headcount!$F$6:$F$89,"Executive",Headcount!$H$6:$H$89,"&gt;="&amp;Exec!AJ$3)/12)),AI12),IF(YEAR(AJ$3)=YEAR(Headcount!$Q$4),IF((AJ$5=2),((SUMIFS(Headcount!$Q$6:$Q$89,Headcount!$F$6:$F$89,"Executive",Headcount!$H$6:$H$89,"&gt;="&amp;Exec!AJ$3)/12)),AI12),IF(YEAR(AJ$3)=YEAR(Headcount!$R$4),IF((AJ$5=2),((SUMIFS(Headcount!$R$6:$R$89,Headcount!$F$6:$F$89,"Executive",Headcount!$H$6:$H$89,"&gt;="&amp;Exec!AJ$3)/12)),AI12),"New Year"))))),'Dept. Cost Actuals'!AN992-'Dept. Cost Actuals'!AN982)</f>
        <v>45833.333333333336</v>
      </c>
      <c r="AK12" s="806">
        <f>IF(AK$4="forecast",IF(YEAR(AK$3)=YEAR(Headcount!$N$4),((SUMIFS(Headcount!$N$6:$N$89,Headcount!$F$6:$F$89,"Executive",Headcount!$H$6:$H$89,"&gt;="&amp;Exec!AK$3)/12)),IF(YEAR(AK$3)=YEAR(Headcount!$O$4),IF((AK$5=2),((SUMIFS(Headcount!$O$6:$O$89,Headcount!$F$6:$F$89,"Executive",Headcount!$H$6:$H$89,"&gt;="&amp;Exec!AK$3)/12)),AJ12),IF(YEAR(AK$3)=YEAR(Headcount!$P$4),IF((AK$5=2),((SUMIFS(Headcount!$P$6:$P$89,Headcount!$F$6:$F$89,"Executive",Headcount!$H$6:$H$89,"&gt;="&amp;Exec!AK$3)/12)),AJ12),IF(YEAR(AK$3)=YEAR(Headcount!$Q$4),IF((AK$5=2),((SUMIFS(Headcount!$Q$6:$Q$89,Headcount!$F$6:$F$89,"Executive",Headcount!$H$6:$H$89,"&gt;="&amp;Exec!AK$3)/12)),AJ12),IF(YEAR(AK$3)=YEAR(Headcount!$R$4),IF((AK$5=2),((SUMIFS(Headcount!$R$6:$R$89,Headcount!$F$6:$F$89,"Executive",Headcount!$H$6:$H$89,"&gt;="&amp;Exec!AK$3)/12)),AJ12),"New Year"))))),'Dept. Cost Actuals'!AO992-'Dept. Cost Actuals'!AO982)</f>
        <v>45833.333333333336</v>
      </c>
      <c r="AL12" s="806">
        <f>IF(AL$4="forecast",IF(YEAR(AL$3)=YEAR(Headcount!$N$4),((SUMIFS(Headcount!$N$6:$N$89,Headcount!$F$6:$F$89,"Executive",Headcount!$H$6:$H$89,"&gt;="&amp;Exec!AL$3)/12)),IF(YEAR(AL$3)=YEAR(Headcount!$O$4),IF((AL$5=2),((SUMIFS(Headcount!$O$6:$O$89,Headcount!$F$6:$F$89,"Executive",Headcount!$H$6:$H$89,"&gt;="&amp;Exec!AL$3)/12)),AK12),IF(YEAR(AL$3)=YEAR(Headcount!$P$4),IF((AL$5=2),((SUMIFS(Headcount!$P$6:$P$89,Headcount!$F$6:$F$89,"Executive",Headcount!$H$6:$H$89,"&gt;="&amp;Exec!AL$3)/12)),AK12),IF(YEAR(AL$3)=YEAR(Headcount!$Q$4),IF((AL$5=2),((SUMIFS(Headcount!$Q$6:$Q$89,Headcount!$F$6:$F$89,"Executive",Headcount!$H$6:$H$89,"&gt;="&amp;Exec!AL$3)/12)),AK12),IF(YEAR(AL$3)=YEAR(Headcount!$R$4),IF((AL$5=2),((SUMIFS(Headcount!$R$6:$R$89,Headcount!$F$6:$F$89,"Executive",Headcount!$H$6:$H$89,"&gt;="&amp;Exec!AL$3)/12)),AK12),"New Year"))))),'Dept. Cost Actuals'!AP992-'Dept. Cost Actuals'!AP982)</f>
        <v>45833.333333333336</v>
      </c>
      <c r="AM12" s="806">
        <f>IF(AM$4="forecast",IF(YEAR(AM$3)=YEAR(Headcount!$N$4),((SUMIFS(Headcount!$N$6:$N$89,Headcount!$F$6:$F$89,"Executive",Headcount!$H$6:$H$89,"&gt;="&amp;Exec!AM$3)/12)),IF(YEAR(AM$3)=YEAR(Headcount!$O$4),IF((AM$5=2),((SUMIFS(Headcount!$O$6:$O$89,Headcount!$F$6:$F$89,"Executive",Headcount!$H$6:$H$89,"&gt;="&amp;Exec!AM$3)/12)),AL12),IF(YEAR(AM$3)=YEAR(Headcount!$P$4),IF((AM$5=2),((SUMIFS(Headcount!$P$6:$P$89,Headcount!$F$6:$F$89,"Executive",Headcount!$H$6:$H$89,"&gt;="&amp;Exec!AM$3)/12)),AL12),IF(YEAR(AM$3)=YEAR(Headcount!$Q$4),IF((AM$5=2),((SUMIFS(Headcount!$Q$6:$Q$89,Headcount!$F$6:$F$89,"Executive",Headcount!$H$6:$H$89,"&gt;="&amp;Exec!AM$3)/12)),AL12),IF(YEAR(AM$3)=YEAR(Headcount!$R$4),IF((AM$5=2),((SUMIFS(Headcount!$R$6:$R$89,Headcount!$F$6:$F$89,"Executive",Headcount!$H$6:$H$89,"&gt;="&amp;Exec!AM$3)/12)),AL12),"New Year"))))),'Dept. Cost Actuals'!AQ992-'Dept. Cost Actuals'!AQ982)</f>
        <v>45833.333333333336</v>
      </c>
      <c r="AN12" s="806">
        <f>IF(AN$4="forecast",IF(YEAR(AN$3)=YEAR(Headcount!$N$4),((SUMIFS(Headcount!$N$6:$N$89,Headcount!$F$6:$F$89,"Executive",Headcount!$H$6:$H$89,"&gt;="&amp;Exec!AN$3)/12)),IF(YEAR(AN$3)=YEAR(Headcount!$O$4),IF((AN$5=2),((SUMIFS(Headcount!$O$6:$O$89,Headcount!$F$6:$F$89,"Executive",Headcount!$H$6:$H$89,"&gt;="&amp;Exec!AN$3)/12)),AM12),IF(YEAR(AN$3)=YEAR(Headcount!$P$4),IF((AN$5=2),((SUMIFS(Headcount!$P$6:$P$89,Headcount!$F$6:$F$89,"Executive",Headcount!$H$6:$H$89,"&gt;="&amp;Exec!AN$3)/12)),AM12),IF(YEAR(AN$3)=YEAR(Headcount!$Q$4),IF((AN$5=2),((SUMIFS(Headcount!$Q$6:$Q$89,Headcount!$F$6:$F$89,"Executive",Headcount!$H$6:$H$89,"&gt;="&amp;Exec!AN$3)/12)),AM12),IF(YEAR(AN$3)=YEAR(Headcount!$R$4),IF((AN$5=2),((SUMIFS(Headcount!$R$6:$R$89,Headcount!$F$6:$F$89,"Executive",Headcount!$H$6:$H$89,"&gt;="&amp;Exec!AN$3)/12)),AM12),"New Year"))))),'Dept. Cost Actuals'!AR992-'Dept. Cost Actuals'!AR982)</f>
        <v>45833.333333333336</v>
      </c>
      <c r="AO12" s="806">
        <f>IF(AO$4="forecast",IF(YEAR(AO$3)=YEAR(Headcount!$N$4),((SUMIFS(Headcount!$N$6:$N$89,Headcount!$F$6:$F$89,"Executive",Headcount!$H$6:$H$89,"&gt;="&amp;Exec!AO$3)/12)),IF(YEAR(AO$3)=YEAR(Headcount!$O$4),IF((AO$5=2),((SUMIFS(Headcount!$O$6:$O$89,Headcount!$F$6:$F$89,"Executive",Headcount!$H$6:$H$89,"&gt;="&amp;Exec!AO$3)/12)),AN12),IF(YEAR(AO$3)=YEAR(Headcount!$P$4),IF((AO$5=2),((SUMIFS(Headcount!$P$6:$P$89,Headcount!$F$6:$F$89,"Executive",Headcount!$H$6:$H$89,"&gt;="&amp;Exec!AO$3)/12)),AN12),IF(YEAR(AO$3)=YEAR(Headcount!$Q$4),IF((AO$5=2),((SUMIFS(Headcount!$Q$6:$Q$89,Headcount!$F$6:$F$89,"Executive",Headcount!$H$6:$H$89,"&gt;="&amp;Exec!AO$3)/12)),AN12),IF(YEAR(AO$3)=YEAR(Headcount!$R$4),IF((AO$5=2),((SUMIFS(Headcount!$R$6:$R$89,Headcount!$F$6:$F$89,"Executive",Headcount!$H$6:$H$89,"&gt;="&amp;Exec!AO$3)/12)),AN12),"New Year"))))),'Dept. Cost Actuals'!AS992-'Dept. Cost Actuals'!AS982)</f>
        <v>45833.333333333336</v>
      </c>
      <c r="AP12" s="806">
        <f>IF(AP$4="forecast",IF(YEAR(AP$3)=YEAR(Headcount!$N$4),((SUMIFS(Headcount!$N$6:$N$89,Headcount!$F$6:$F$89,"Executive",Headcount!$H$6:$H$89,"&gt;="&amp;Exec!AP$3)/12)),IF(YEAR(AP$3)=YEAR(Headcount!$O$4),IF((AP$5=2),((SUMIFS(Headcount!$O$6:$O$89,Headcount!$F$6:$F$89,"Executive",Headcount!$H$6:$H$89,"&gt;="&amp;Exec!AP$3)/12)),AO12),IF(YEAR(AP$3)=YEAR(Headcount!$P$4),IF((AP$5=2),((SUMIFS(Headcount!$P$6:$P$89,Headcount!$F$6:$F$89,"Executive",Headcount!$H$6:$H$89,"&gt;="&amp;Exec!AP$3)/12)),AO12),IF(YEAR(AP$3)=YEAR(Headcount!$Q$4),IF((AP$5=2),((SUMIFS(Headcount!$Q$6:$Q$89,Headcount!$F$6:$F$89,"Executive",Headcount!$H$6:$H$89,"&gt;="&amp;Exec!AP$3)/12)),AO12),IF(YEAR(AP$3)=YEAR(Headcount!$R$4),IF((AP$5=2),((SUMIFS(Headcount!$R$6:$R$89,Headcount!$F$6:$F$89,"Executive",Headcount!$H$6:$H$89,"&gt;="&amp;Exec!AP$3)/12)),AO12),"New Year"))))),'Dept. Cost Actuals'!AT992-'Dept. Cost Actuals'!AT982)</f>
        <v>45833.333333333336</v>
      </c>
      <c r="AQ12" s="806">
        <f>IF(AQ$4="forecast",IF(YEAR(AQ$3)=YEAR(Headcount!$N$4),((SUMIFS(Headcount!$N$6:$N$89,Headcount!$F$6:$F$89,"Executive",Headcount!$H$6:$H$89,"&gt;="&amp;Exec!AQ$3)/12)),IF(YEAR(AQ$3)=YEAR(Headcount!$O$4),IF((AQ$5=2),((SUMIFS(Headcount!$O$6:$O$89,Headcount!$F$6:$F$89,"Executive",Headcount!$H$6:$H$89,"&gt;="&amp;Exec!AQ$3)/12)),AP12),IF(YEAR(AQ$3)=YEAR(Headcount!$P$4),IF((AQ$5=2),((SUMIFS(Headcount!$P$6:$P$89,Headcount!$F$6:$F$89,"Executive",Headcount!$H$6:$H$89,"&gt;="&amp;Exec!AQ$3)/12)),AP12),IF(YEAR(AQ$3)=YEAR(Headcount!$Q$4),IF((AQ$5=2),((SUMIFS(Headcount!$Q$6:$Q$89,Headcount!$F$6:$F$89,"Executive",Headcount!$H$6:$H$89,"&gt;="&amp;Exec!AQ$3)/12)),AP12),IF(YEAR(AQ$3)=YEAR(Headcount!$R$4),IF((AQ$5=2),((SUMIFS(Headcount!$R$6:$R$89,Headcount!$F$6:$F$89,"Executive",Headcount!$H$6:$H$89,"&gt;="&amp;Exec!AQ$3)/12)),AP12),"New Year"))))),'Dept. Cost Actuals'!AU992-'Dept. Cost Actuals'!AU982)</f>
        <v>45833.333333333336</v>
      </c>
      <c r="AR12" s="806">
        <f>IF(AR$4="forecast",IF(YEAR(AR$3)=YEAR(Headcount!$N$4),((SUMIFS(Headcount!$N$6:$N$89,Headcount!$F$6:$F$89,"Executive",Headcount!$H$6:$H$89,"&gt;="&amp;Exec!AR$3)/12)),IF(YEAR(AR$3)=YEAR(Headcount!$O$4),IF((AR$5=2),((SUMIFS(Headcount!$O$6:$O$89,Headcount!$F$6:$F$89,"Executive",Headcount!$H$6:$H$89,"&gt;="&amp;Exec!AR$3)/12)),AQ12),IF(YEAR(AR$3)=YEAR(Headcount!$P$4),IF((AR$5=2),((SUMIFS(Headcount!$P$6:$P$89,Headcount!$F$6:$F$89,"Executive",Headcount!$H$6:$H$89,"&gt;="&amp;Exec!AR$3)/12)),AQ12),IF(YEAR(AR$3)=YEAR(Headcount!$Q$4),IF((AR$5=2),((SUMIFS(Headcount!$Q$6:$Q$89,Headcount!$F$6:$F$89,"Executive",Headcount!$H$6:$H$89,"&gt;="&amp;Exec!AR$3)/12)),AQ12),IF(YEAR(AR$3)=YEAR(Headcount!$R$4),IF((AR$5=2),((SUMIFS(Headcount!$R$6:$R$89,Headcount!$F$6:$F$89,"Executive",Headcount!$H$6:$H$89,"&gt;="&amp;Exec!AR$3)/12)),AQ12),"New Year"))))),'Dept. Cost Actuals'!AV992-'Dept. Cost Actuals'!AV982)</f>
        <v>45833.333333333336</v>
      </c>
      <c r="AS12" s="806">
        <f>IF(AS$4="forecast",IF(YEAR(AS$3)=YEAR(Headcount!$N$4),((SUMIFS(Headcount!$N$6:$N$89,Headcount!$F$6:$F$89,"Executive",Headcount!$H$6:$H$89,"&gt;="&amp;Exec!AS$3)/12)),IF(YEAR(AS$3)=YEAR(Headcount!$O$4),IF((AS$5=2),((SUMIFS(Headcount!$O$6:$O$89,Headcount!$F$6:$F$89,"Executive",Headcount!$H$6:$H$89,"&gt;="&amp;Exec!AS$3)/12)),AR12),IF(YEAR(AS$3)=YEAR(Headcount!$P$4),IF((AS$5=2),((SUMIFS(Headcount!$P$6:$P$89,Headcount!$F$6:$F$89,"Executive",Headcount!$H$6:$H$89,"&gt;="&amp;Exec!AS$3)/12)),AR12),IF(YEAR(AS$3)=YEAR(Headcount!$Q$4),IF((AS$5=2),((SUMIFS(Headcount!$Q$6:$Q$89,Headcount!$F$6:$F$89,"Executive",Headcount!$H$6:$H$89,"&gt;="&amp;Exec!AS$3)/12)),AR12),IF(YEAR(AS$3)=YEAR(Headcount!$R$4),IF((AS$5=2),((SUMIFS(Headcount!$R$6:$R$89,Headcount!$F$6:$F$89,"Executive",Headcount!$H$6:$H$89,"&gt;="&amp;Exec!AS$3)/12)),AR12),"New Year"))))),'Dept. Cost Actuals'!AW992-'Dept. Cost Actuals'!AW982)</f>
        <v>45833.333333333336</v>
      </c>
      <c r="AT12" s="806">
        <f>IF(AT$4="forecast",IF(YEAR(AT$3)=YEAR(Headcount!$N$4),((SUMIFS(Headcount!$N$6:$N$89,Headcount!$F$6:$F$89,"Executive",Headcount!$H$6:$H$89,"&gt;="&amp;Exec!AT$3)/12)),IF(YEAR(AT$3)=YEAR(Headcount!$O$4),IF((AT$5=2),((SUMIFS(Headcount!$O$6:$O$89,Headcount!$F$6:$F$89,"Executive",Headcount!$H$6:$H$89,"&gt;="&amp;Exec!AT$3)/12)),AS12),IF(YEAR(AT$3)=YEAR(Headcount!$P$4),IF((AT$5=2),((SUMIFS(Headcount!$P$6:$P$89,Headcount!$F$6:$F$89,"Executive",Headcount!$H$6:$H$89,"&gt;="&amp;Exec!AT$3)/12)),AS12),IF(YEAR(AT$3)=YEAR(Headcount!$Q$4),IF((AT$5=2),((SUMIFS(Headcount!$Q$6:$Q$89,Headcount!$F$6:$F$89,"Executive",Headcount!$H$6:$H$89,"&gt;="&amp;Exec!AT$3)/12)),AS12),IF(YEAR(AT$3)=YEAR(Headcount!$R$4),IF((AT$5=2),((SUMIFS(Headcount!$R$6:$R$89,Headcount!$F$6:$F$89,"Executive",Headcount!$H$6:$H$89,"&gt;="&amp;Exec!AT$3)/12)),AS12),"New Year"))))),'Dept. Cost Actuals'!AX992-'Dept. Cost Actuals'!AX982)</f>
        <v>45833.333333333336</v>
      </c>
      <c r="AU12" s="806">
        <f>IF(AU$4="forecast",IF(YEAR(AU$3)=YEAR(Headcount!$N$4),((SUMIFS(Headcount!$N$6:$N$89,Headcount!$F$6:$F$89,"Executive",Headcount!$H$6:$H$89,"&gt;="&amp;Exec!AU$3)/12)),IF(YEAR(AU$3)=YEAR(Headcount!$O$4),IF((AU$5=2),((SUMIFS(Headcount!$O$6:$O$89,Headcount!$F$6:$F$89,"Executive",Headcount!$H$6:$H$89,"&gt;="&amp;Exec!AU$3)/12)),AT12),IF(YEAR(AU$3)=YEAR(Headcount!$P$4),IF((AU$5=2),((SUMIFS(Headcount!$P$6:$P$89,Headcount!$F$6:$F$89,"Executive",Headcount!$H$6:$H$89,"&gt;="&amp;Exec!AU$3)/12)),AT12),IF(YEAR(AU$3)=YEAR(Headcount!$Q$4),IF((AU$5=2),((SUMIFS(Headcount!$Q$6:$Q$89,Headcount!$F$6:$F$89,"Executive",Headcount!$H$6:$H$89,"&gt;="&amp;Exec!AU$3)/12)),AT12),IF(YEAR(AU$3)=YEAR(Headcount!$R$4),IF((AU$5=2),((SUMIFS(Headcount!$R$6:$R$89,Headcount!$F$6:$F$89,"Executive",Headcount!$H$6:$H$89,"&gt;="&amp;Exec!AU$3)/12)),AT12),"New Year"))))),'Dept. Cost Actuals'!AY992-'Dept. Cost Actuals'!AY982)</f>
        <v>45833.333333333336</v>
      </c>
      <c r="AV12" s="806">
        <f>IF(AV$4="forecast",IF(YEAR(AV$3)=YEAR(Headcount!$N$4),((SUMIFS(Headcount!$N$6:$N$89,Headcount!$F$6:$F$89,"Executive",Headcount!$H$6:$H$89,"&gt;="&amp;Exec!AV$3)/12)),IF(YEAR(AV$3)=YEAR(Headcount!$O$4),IF((AV$5=2),((SUMIFS(Headcount!$O$6:$O$89,Headcount!$F$6:$F$89,"Executive",Headcount!$H$6:$H$89,"&gt;="&amp;Exec!AV$3)/12)),AU12),IF(YEAR(AV$3)=YEAR(Headcount!$P$4),IF((AV$5=2),((SUMIFS(Headcount!$P$6:$P$89,Headcount!$F$6:$F$89,"Executive",Headcount!$H$6:$H$89,"&gt;="&amp;Exec!AV$3)/12)),AU12),IF(YEAR(AV$3)=YEAR(Headcount!$Q$4),IF((AV$5=2),((SUMIFS(Headcount!$Q$6:$Q$89,Headcount!$F$6:$F$89,"Executive",Headcount!$H$6:$H$89,"&gt;="&amp;Exec!AV$3)/12)),AU12),IF(YEAR(AV$3)=YEAR(Headcount!$R$4),IF((AV$5=2),((SUMIFS(Headcount!$R$6:$R$89,Headcount!$F$6:$F$89,"Executive",Headcount!$H$6:$H$89,"&gt;="&amp;Exec!AV$3)/12)),AU12),"New Year"))))),'Dept. Cost Actuals'!AZ992-'Dept. Cost Actuals'!AZ982)</f>
        <v>45833.333333333336</v>
      </c>
      <c r="AW12" s="806">
        <f>IF(AW$4="forecast",IF(YEAR(AW$3)=YEAR(Headcount!$N$4),((SUMIFS(Headcount!$N$6:$N$89,Headcount!$F$6:$F$89,"Executive",Headcount!$H$6:$H$89,"&gt;="&amp;Exec!AW$3)/12)),IF(YEAR(AW$3)=YEAR(Headcount!$O$4),IF((AW$5=2),((SUMIFS(Headcount!$O$6:$O$89,Headcount!$F$6:$F$89,"Executive",Headcount!$H$6:$H$89,"&gt;="&amp;Exec!AW$3)/12)),AV12),IF(YEAR(AW$3)=YEAR(Headcount!$P$4),IF((AW$5=2),((SUMIFS(Headcount!$P$6:$P$89,Headcount!$F$6:$F$89,"Executive",Headcount!$H$6:$H$89,"&gt;="&amp;Exec!AW$3)/12)),AV12),IF(YEAR(AW$3)=YEAR(Headcount!$Q$4),IF((AW$5=2),((SUMIFS(Headcount!$Q$6:$Q$89,Headcount!$F$6:$F$89,"Executive",Headcount!$H$6:$H$89,"&gt;="&amp;Exec!AW$3)/12)),AV12),IF(YEAR(AW$3)=YEAR(Headcount!$R$4),IF((AW$5=2),((SUMIFS(Headcount!$R$6:$R$89,Headcount!$F$6:$F$89,"Executive",Headcount!$H$6:$H$89,"&gt;="&amp;Exec!AW$3)/12)),AV12),"New Year"))))),'Dept. Cost Actuals'!BA992-'Dept. Cost Actuals'!BA982)</f>
        <v>45833.333333333336</v>
      </c>
      <c r="AX12" s="806">
        <f>IF(AX$4="forecast",IF(YEAR(AX$3)=YEAR(Headcount!$N$4),((SUMIFS(Headcount!$N$6:$N$89,Headcount!$F$6:$F$89,"Executive",Headcount!$H$6:$H$89,"&gt;="&amp;Exec!AX$3)/12)),IF(YEAR(AX$3)=YEAR(Headcount!$O$4),IF((AX$5=2),((SUMIFS(Headcount!$O$6:$O$89,Headcount!$F$6:$F$89,"Executive",Headcount!$H$6:$H$89,"&gt;="&amp;Exec!AX$3)/12)),AW12),IF(YEAR(AX$3)=YEAR(Headcount!$P$4),IF((AX$5=2),((SUMIFS(Headcount!$P$6:$P$89,Headcount!$F$6:$F$89,"Executive",Headcount!$H$6:$H$89,"&gt;="&amp;Exec!AX$3)/12)),AW12),IF(YEAR(AX$3)=YEAR(Headcount!$Q$4),IF((AX$5=2),((SUMIFS(Headcount!$Q$6:$Q$89,Headcount!$F$6:$F$89,"Executive",Headcount!$H$6:$H$89,"&gt;="&amp;Exec!AX$3)/12)),AW12),IF(YEAR(AX$3)=YEAR(Headcount!$R$4),IF((AX$5=2),((SUMIFS(Headcount!$R$6:$R$89,Headcount!$F$6:$F$89,"Executive",Headcount!$H$6:$H$89,"&gt;="&amp;Exec!AX$3)/12)),AW12),"New Year"))))),'Dept. Cost Actuals'!BB992-'Dept. Cost Actuals'!BB982)</f>
        <v>45833.333333333336</v>
      </c>
      <c r="AY12" s="806">
        <f>IF(AY$4="forecast",IF(YEAR(AY$3)=YEAR(Headcount!$N$4),((SUMIFS(Headcount!$N$6:$N$89,Headcount!$F$6:$F$89,"Executive",Headcount!$H$6:$H$89,"&gt;="&amp;Exec!AY$3)/12)),IF(YEAR(AY$3)=YEAR(Headcount!$O$4),IF((AY$5=2),((SUMIFS(Headcount!$O$6:$O$89,Headcount!$F$6:$F$89,"Executive",Headcount!$H$6:$H$89,"&gt;="&amp;Exec!AY$3)/12)),AX12),IF(YEAR(AY$3)=YEAR(Headcount!$P$4),IF((AY$5=2),((SUMIFS(Headcount!$P$6:$P$89,Headcount!$F$6:$F$89,"Executive",Headcount!$H$6:$H$89,"&gt;="&amp;Exec!AY$3)/12)),AX12),IF(YEAR(AY$3)=YEAR(Headcount!$Q$4),IF((AY$5=2),((SUMIFS(Headcount!$Q$6:$Q$89,Headcount!$F$6:$F$89,"Executive",Headcount!$H$6:$H$89,"&gt;="&amp;Exec!AY$3)/12)),AX12),IF(YEAR(AY$3)=YEAR(Headcount!$R$4),IF((AY$5=2),((SUMIFS(Headcount!$R$6:$R$89,Headcount!$F$6:$F$89,"Executive",Headcount!$H$6:$H$89,"&gt;="&amp;Exec!AY$3)/12)),AX12),"New Year"))))),'Dept. Cost Actuals'!BC992-'Dept. Cost Actuals'!BC982)</f>
        <v>45833.333333333336</v>
      </c>
      <c r="AZ12" s="806">
        <f>IF(AZ$4="forecast",IF(YEAR(AZ$3)=YEAR(Headcount!$N$4),((SUMIFS(Headcount!$N$6:$N$89,Headcount!$F$6:$F$89,"Executive",Headcount!$H$6:$H$89,"&gt;="&amp;Exec!AZ$3)/12)),IF(YEAR(AZ$3)=YEAR(Headcount!$O$4),IF((AZ$5=2),((SUMIFS(Headcount!$O$6:$O$89,Headcount!$F$6:$F$89,"Executive",Headcount!$H$6:$H$89,"&gt;="&amp;Exec!AZ$3)/12)),AY12),IF(YEAR(AZ$3)=YEAR(Headcount!$P$4),IF((AZ$5=2),((SUMIFS(Headcount!$P$6:$P$89,Headcount!$F$6:$F$89,"Executive",Headcount!$H$6:$H$89,"&gt;="&amp;Exec!AZ$3)/12)),AY12),IF(YEAR(AZ$3)=YEAR(Headcount!$Q$4),IF((AZ$5=2),((SUMIFS(Headcount!$Q$6:$Q$89,Headcount!$F$6:$F$89,"Executive",Headcount!$H$6:$H$89,"&gt;="&amp;Exec!AZ$3)/12)),AY12),IF(YEAR(AZ$3)=YEAR(Headcount!$R$4),IF((AZ$5=2),((SUMIFS(Headcount!$R$6:$R$89,Headcount!$F$6:$F$89,"Executive",Headcount!$H$6:$H$89,"&gt;="&amp;Exec!AZ$3)/12)),AY12),"New Year"))))),'Dept. Cost Actuals'!BD992-'Dept. Cost Actuals'!BD982)</f>
        <v>45833.333333333336</v>
      </c>
      <c r="BA12" s="806">
        <f>IF(BA$4="forecast",IF(YEAR(BA$3)=YEAR(Headcount!$N$4),((SUMIFS(Headcount!$N$6:$N$89,Headcount!$F$6:$F$89,"Executive",Headcount!$H$6:$H$89,"&gt;="&amp;Exec!BA$3)/12)),IF(YEAR(BA$3)=YEAR(Headcount!$O$4),IF((BA$5=2),((SUMIFS(Headcount!$O$6:$O$89,Headcount!$F$6:$F$89,"Executive",Headcount!$H$6:$H$89,"&gt;="&amp;Exec!BA$3)/12)),AZ12),IF(YEAR(BA$3)=YEAR(Headcount!$P$4),IF((BA$5=2),((SUMIFS(Headcount!$P$6:$P$89,Headcount!$F$6:$F$89,"Executive",Headcount!$H$6:$H$89,"&gt;="&amp;Exec!BA$3)/12)),AZ12),IF(YEAR(BA$3)=YEAR(Headcount!$Q$4),IF((BA$5=2),((SUMIFS(Headcount!$Q$6:$Q$89,Headcount!$F$6:$F$89,"Executive",Headcount!$H$6:$H$89,"&gt;="&amp;Exec!BA$3)/12)),AZ12),IF(YEAR(BA$3)=YEAR(Headcount!$R$4),IF((BA$5=2),((SUMIFS(Headcount!$R$6:$R$89,Headcount!$F$6:$F$89,"Executive",Headcount!$H$6:$H$89,"&gt;="&amp;Exec!BA$3)/12)),AZ12),"New Year"))))),'Dept. Cost Actuals'!BE992-'Dept. Cost Actuals'!BE982)</f>
        <v>45833.333333333336</v>
      </c>
      <c r="BB12" s="806">
        <f>IF(BB$4="forecast",IF(YEAR(BB$3)=YEAR(Headcount!$N$4),((SUMIFS(Headcount!$N$6:$N$89,Headcount!$F$6:$F$89,"Executive",Headcount!$H$6:$H$89,"&gt;="&amp;Exec!BB$3)/12)),IF(YEAR(BB$3)=YEAR(Headcount!$O$4),IF((BB$5=2),((SUMIFS(Headcount!$O$6:$O$89,Headcount!$F$6:$F$89,"Executive",Headcount!$H$6:$H$89,"&gt;="&amp;Exec!BB$3)/12)),BA12),IF(YEAR(BB$3)=YEAR(Headcount!$P$4),IF((BB$5=2),((SUMIFS(Headcount!$P$6:$P$89,Headcount!$F$6:$F$89,"Executive",Headcount!$H$6:$H$89,"&gt;="&amp;Exec!BB$3)/12)),BA12),IF(YEAR(BB$3)=YEAR(Headcount!$Q$4),IF((BB$5=2),((SUMIFS(Headcount!$Q$6:$Q$89,Headcount!$F$6:$F$89,"Executive",Headcount!$H$6:$H$89,"&gt;="&amp;Exec!BB$3)/12)),BA12),IF(YEAR(BB$3)=YEAR(Headcount!$R$4),IF((BB$5=2),((SUMIFS(Headcount!$R$6:$R$89,Headcount!$F$6:$F$89,"Executive",Headcount!$H$6:$H$89,"&gt;="&amp;Exec!BB$3)/12)),BA12),"New Year"))))),'Dept. Cost Actuals'!BF992-'Dept. Cost Actuals'!BF982)</f>
        <v>45833.333333333336</v>
      </c>
      <c r="BC12" s="806">
        <f>IF(BC$4="forecast",IF(YEAR(BC$3)=YEAR(Headcount!$N$4),((SUMIFS(Headcount!$N$6:$N$89,Headcount!$F$6:$F$89,"Executive",Headcount!$H$6:$H$89,"&gt;="&amp;Exec!BC$3)/12)),IF(YEAR(BC$3)=YEAR(Headcount!$O$4),IF((BC$5=2),((SUMIFS(Headcount!$O$6:$O$89,Headcount!$F$6:$F$89,"Executive",Headcount!$H$6:$H$89,"&gt;="&amp;Exec!BC$3)/12)),BB12),IF(YEAR(BC$3)=YEAR(Headcount!$P$4),IF((BC$5=2),((SUMIFS(Headcount!$P$6:$P$89,Headcount!$F$6:$F$89,"Executive",Headcount!$H$6:$H$89,"&gt;="&amp;Exec!BC$3)/12)),BB12),IF(YEAR(BC$3)=YEAR(Headcount!$Q$4),IF((BC$5=2),((SUMIFS(Headcount!$Q$6:$Q$89,Headcount!$F$6:$F$89,"Executive",Headcount!$H$6:$H$89,"&gt;="&amp;Exec!BC$3)/12)),BB12),IF(YEAR(BC$3)=YEAR(Headcount!$R$4),IF((BC$5=2),((SUMIFS(Headcount!$R$6:$R$89,Headcount!$F$6:$F$89,"Executive",Headcount!$H$6:$H$89,"&gt;="&amp;Exec!BC$3)/12)),BB12),"New Year"))))),'Dept. Cost Actuals'!BG992-'Dept. Cost Actuals'!BG982)</f>
        <v>45833.333333333336</v>
      </c>
      <c r="BD12" s="806">
        <f>IF(BD$4="forecast",IF(YEAR(BD$3)=YEAR(Headcount!$N$4),((SUMIFS(Headcount!$N$6:$N$89,Headcount!$F$6:$F$89,"Executive",Headcount!$H$6:$H$89,"&gt;="&amp;Exec!BD$3)/12)),IF(YEAR(BD$3)=YEAR(Headcount!$O$4),IF((BD$5=2),((SUMIFS(Headcount!$O$6:$O$89,Headcount!$F$6:$F$89,"Executive",Headcount!$H$6:$H$89,"&gt;="&amp;Exec!BD$3)/12)),BC12),IF(YEAR(BD$3)=YEAR(Headcount!$P$4),IF((BD$5=2),((SUMIFS(Headcount!$P$6:$P$89,Headcount!$F$6:$F$89,"Executive",Headcount!$H$6:$H$89,"&gt;="&amp;Exec!BD$3)/12)),BC12),IF(YEAR(BD$3)=YEAR(Headcount!$Q$4),IF((BD$5=2),((SUMIFS(Headcount!$Q$6:$Q$89,Headcount!$F$6:$F$89,"Executive",Headcount!$H$6:$H$89,"&gt;="&amp;Exec!BD$3)/12)),BC12),IF(YEAR(BD$3)=YEAR(Headcount!$R$4),IF((BD$5=2),((SUMIFS(Headcount!$R$6:$R$89,Headcount!$F$6:$F$89,"Executive",Headcount!$H$6:$H$89,"&gt;="&amp;Exec!BD$3)/12)),BC12),"New Year"))))),'Dept. Cost Actuals'!BH992-'Dept. Cost Actuals'!BH982)</f>
        <v>45833.333333333336</v>
      </c>
      <c r="BE12" s="806">
        <f>IF(BE$4="forecast",IF(YEAR(BE$3)=YEAR(Headcount!$N$4),((SUMIFS(Headcount!$N$6:$N$89,Headcount!$F$6:$F$89,"Executive",Headcount!$H$6:$H$89,"&gt;="&amp;Exec!BE$3)/12)),IF(YEAR(BE$3)=YEAR(Headcount!$O$4),IF((BE$5=2),((SUMIFS(Headcount!$O$6:$O$89,Headcount!$F$6:$F$89,"Executive",Headcount!$H$6:$H$89,"&gt;="&amp;Exec!BE$3)/12)),BD12),IF(YEAR(BE$3)=YEAR(Headcount!$P$4),IF((BE$5=2),((SUMIFS(Headcount!$P$6:$P$89,Headcount!$F$6:$F$89,"Executive",Headcount!$H$6:$H$89,"&gt;="&amp;Exec!BE$3)/12)),BD12),IF(YEAR(BE$3)=YEAR(Headcount!$Q$4),IF((BE$5=2),((SUMIFS(Headcount!$Q$6:$Q$89,Headcount!$F$6:$F$89,"Executive",Headcount!$H$6:$H$89,"&gt;="&amp;Exec!BE$3)/12)),BD12),IF(YEAR(BE$3)=YEAR(Headcount!$R$4),IF((BE$5=2),((SUMIFS(Headcount!$R$6:$R$89,Headcount!$F$6:$F$89,"Executive",Headcount!$H$6:$H$89,"&gt;="&amp;Exec!BE$3)/12)),BD12),"New Year"))))),'Dept. Cost Actuals'!BI992-'Dept. Cost Actuals'!BI982)</f>
        <v>45833.333333333336</v>
      </c>
      <c r="BF12" s="806">
        <f>IF(BF$4="forecast",IF(YEAR(BF$3)=YEAR(Headcount!$N$4),((SUMIFS(Headcount!$N$6:$N$89,Headcount!$F$6:$F$89,"Executive",Headcount!$H$6:$H$89,"&gt;="&amp;Exec!BF$3)/12)),IF(YEAR(BF$3)=YEAR(Headcount!$O$4),IF((BF$5=2),((SUMIFS(Headcount!$O$6:$O$89,Headcount!$F$6:$F$89,"Executive",Headcount!$H$6:$H$89,"&gt;="&amp;Exec!BF$3)/12)),BE12),IF(YEAR(BF$3)=YEAR(Headcount!$P$4),IF((BF$5=2),((SUMIFS(Headcount!$P$6:$P$89,Headcount!$F$6:$F$89,"Executive",Headcount!$H$6:$H$89,"&gt;="&amp;Exec!BF$3)/12)),BE12),IF(YEAR(BF$3)=YEAR(Headcount!$Q$4),IF((BF$5=2),((SUMIFS(Headcount!$Q$6:$Q$89,Headcount!$F$6:$F$89,"Executive",Headcount!$H$6:$H$89,"&gt;="&amp;Exec!BF$3)/12)),BE12),IF(YEAR(BF$3)=YEAR(Headcount!$R$4),IF((BF$5=2),((SUMIFS(Headcount!$R$6:$R$89,Headcount!$F$6:$F$89,"Executive",Headcount!$H$6:$H$89,"&gt;="&amp;Exec!BF$3)/12)),BE12),"New Year"))))),'Dept. Cost Actuals'!BJ992-'Dept. Cost Actuals'!BJ982)</f>
        <v>45833.333333333336</v>
      </c>
      <c r="BG12" s="806">
        <f>IF(BG$4="forecast",IF(YEAR(BG$3)=YEAR(Headcount!$N$4),((SUMIFS(Headcount!$N$6:$N$89,Headcount!$F$6:$F$89,"Executive",Headcount!$H$6:$H$89,"&gt;="&amp;Exec!BG$3)/12)),IF(YEAR(BG$3)=YEAR(Headcount!$O$4),IF((BG$5=2),((SUMIFS(Headcount!$O$6:$O$89,Headcount!$F$6:$F$89,"Executive",Headcount!$H$6:$H$89,"&gt;="&amp;Exec!BG$3)/12)),BF12),IF(YEAR(BG$3)=YEAR(Headcount!$P$4),IF((BG$5=2),((SUMIFS(Headcount!$P$6:$P$89,Headcount!$F$6:$F$89,"Executive",Headcount!$H$6:$H$89,"&gt;="&amp;Exec!BG$3)/12)),BF12),IF(YEAR(BG$3)=YEAR(Headcount!$Q$4),IF((BG$5=2),((SUMIFS(Headcount!$Q$6:$Q$89,Headcount!$F$6:$F$89,"Executive",Headcount!$H$6:$H$89,"&gt;="&amp;Exec!BG$3)/12)),BF12),IF(YEAR(BG$3)=YEAR(Headcount!$R$4),IF((BG$5=2),((SUMIFS(Headcount!$R$6:$R$89,Headcount!$F$6:$F$89,"Executive",Headcount!$H$6:$H$89,"&gt;="&amp;Exec!BG$3)/12)),BF12),"New Year"))))),'Dept. Cost Actuals'!BK992-'Dept. Cost Actuals'!BK982)</f>
        <v>45833.333333333336</v>
      </c>
      <c r="BH12" s="806">
        <f>IF(BH$4="forecast",IF(YEAR(BH$3)=YEAR(Headcount!$N$4),((SUMIFS(Headcount!$N$6:$N$89,Headcount!$F$6:$F$89,"Executive",Headcount!$H$6:$H$89,"&gt;="&amp;Exec!BH$3)/12)),IF(YEAR(BH$3)=YEAR(Headcount!$O$4),IF((BH$5=2),((SUMIFS(Headcount!$O$6:$O$89,Headcount!$F$6:$F$89,"Executive",Headcount!$H$6:$H$89,"&gt;="&amp;Exec!BH$3)/12)),BG12),IF(YEAR(BH$3)=YEAR(Headcount!$P$4),IF((BH$5=2),((SUMIFS(Headcount!$P$6:$P$89,Headcount!$F$6:$F$89,"Executive",Headcount!$H$6:$H$89,"&gt;="&amp;Exec!BH$3)/12)),BG12),IF(YEAR(BH$3)=YEAR(Headcount!$Q$4),IF((BH$5=2),((SUMIFS(Headcount!$Q$6:$Q$89,Headcount!$F$6:$F$89,"Executive",Headcount!$H$6:$H$89,"&gt;="&amp;Exec!BH$3)/12)),BG12),IF(YEAR(BH$3)=YEAR(Headcount!$R$4),IF((BH$5=2),((SUMIFS(Headcount!$R$6:$R$89,Headcount!$F$6:$F$89,"Executive",Headcount!$H$6:$H$89,"&gt;="&amp;Exec!BH$3)/12)),BG12),"New Year"))))),'Dept. Cost Actuals'!BL992-'Dept. Cost Actuals'!BL982)</f>
        <v>45833.333333333336</v>
      </c>
      <c r="BI12" s="806">
        <f>IF(BI$4="forecast",IF(YEAR(BI$3)=YEAR(Headcount!$N$4),((SUMIFS(Headcount!$N$6:$N$89,Headcount!$F$6:$F$89,"Executive",Headcount!$H$6:$H$89,"&gt;="&amp;Exec!BI$3)/12)),IF(YEAR(BI$3)=YEAR(Headcount!$O$4),IF((BI$5=2),((SUMIFS(Headcount!$O$6:$O$89,Headcount!$F$6:$F$89,"Executive",Headcount!$H$6:$H$89,"&gt;="&amp;Exec!BI$3)/12)),BH12),IF(YEAR(BI$3)=YEAR(Headcount!$P$4),IF((BI$5=2),((SUMIFS(Headcount!$P$6:$P$89,Headcount!$F$6:$F$89,"Executive",Headcount!$H$6:$H$89,"&gt;="&amp;Exec!BI$3)/12)),BH12),IF(YEAR(BI$3)=YEAR(Headcount!$Q$4),IF((BI$5=2),((SUMIFS(Headcount!$Q$6:$Q$89,Headcount!$F$6:$F$89,"Executive",Headcount!$H$6:$H$89,"&gt;="&amp;Exec!BI$3)/12)),BH12),IF(YEAR(BI$3)=YEAR(Headcount!$R$4),IF((BI$5=2),((SUMIFS(Headcount!$R$6:$R$89,Headcount!$F$6:$F$89,"Executive",Headcount!$H$6:$H$89,"&gt;="&amp;Exec!BI$3)/12)),BH12),"New Year"))))),'Dept. Cost Actuals'!BM992-'Dept. Cost Actuals'!BM982)</f>
        <v>45833.333333333336</v>
      </c>
      <c r="BJ12" s="806">
        <f>IF(BJ$4="forecast",IF(YEAR(BJ$3)=YEAR(Headcount!$N$4),((SUMIFS(Headcount!$N$6:$N$89,Headcount!$F$6:$F$89,"Executive",Headcount!$H$6:$H$89,"&gt;="&amp;Exec!BJ$3)/12)),IF(YEAR(BJ$3)=YEAR(Headcount!$O$4),IF((BJ$5=2),((SUMIFS(Headcount!$O$6:$O$89,Headcount!$F$6:$F$89,"Executive",Headcount!$H$6:$H$89,"&gt;="&amp;Exec!BJ$3)/12)),BI12),IF(YEAR(BJ$3)=YEAR(Headcount!$P$4),IF((BJ$5=2),((SUMIFS(Headcount!$P$6:$P$89,Headcount!$F$6:$F$89,"Executive",Headcount!$H$6:$H$89,"&gt;="&amp;Exec!BJ$3)/12)),BI12),IF(YEAR(BJ$3)=YEAR(Headcount!$Q$4),IF((BJ$5=2),((SUMIFS(Headcount!$Q$6:$Q$89,Headcount!$F$6:$F$89,"Executive",Headcount!$H$6:$H$89,"&gt;="&amp;Exec!BJ$3)/12)),BI12),IF(YEAR(BJ$3)=YEAR(Headcount!$R$4),IF((BJ$5=2),((SUMIFS(Headcount!$R$6:$R$89,Headcount!$F$6:$F$89,"Executive",Headcount!$H$6:$H$89,"&gt;="&amp;Exec!BJ$3)/12)),BI12),"New Year"))))),'Dept. Cost Actuals'!BN992-'Dept. Cost Actuals'!BN982)</f>
        <v>45833.333333333336</v>
      </c>
      <c r="BK12" s="806">
        <f>IF(BK$4="forecast",IF(YEAR(BK$3)=YEAR(Headcount!$N$4),((SUMIFS(Headcount!$N$6:$N$89,Headcount!$F$6:$F$89,"Executive",Headcount!$H$6:$H$89,"&gt;="&amp;Exec!BK$3)/12)),IF(YEAR(BK$3)=YEAR(Headcount!$O$4),IF((BK$5=2),((SUMIFS(Headcount!$O$6:$O$89,Headcount!$F$6:$F$89,"Executive",Headcount!$H$6:$H$89,"&gt;="&amp;Exec!BK$3)/12)),BJ12),IF(YEAR(BK$3)=YEAR(Headcount!$P$4),IF((BK$5=2),((SUMIFS(Headcount!$P$6:$P$89,Headcount!$F$6:$F$89,"Executive",Headcount!$H$6:$H$89,"&gt;="&amp;Exec!BK$3)/12)),BJ12),IF(YEAR(BK$3)=YEAR(Headcount!$Q$4),IF((BK$5=2),((SUMIFS(Headcount!$Q$6:$Q$89,Headcount!$F$6:$F$89,"Executive",Headcount!$H$6:$H$89,"&gt;="&amp;Exec!BK$3)/12)),BJ12),IF(YEAR(BK$3)=YEAR(Headcount!$R$4),IF((BK$5=2),((SUMIFS(Headcount!$R$6:$R$89,Headcount!$F$6:$F$89,"Executive",Headcount!$H$6:$H$89,"&gt;="&amp;Exec!BK$3)/12)),BJ12),"New Year"))))),'Dept. Cost Actuals'!BO992-'Dept. Cost Actuals'!BO982)</f>
        <v>45833.333333333336</v>
      </c>
      <c r="BL12" s="806">
        <f>IF(BL$4="forecast",IF(YEAR(BL$3)=YEAR(Headcount!$N$4),((SUMIFS(Headcount!$N$6:$N$89,Headcount!$F$6:$F$89,"Executive",Headcount!$H$6:$H$89,"&gt;="&amp;Exec!BL$3)/12)),IF(YEAR(BL$3)=YEAR(Headcount!$O$4),IF((BL$5=2),((SUMIFS(Headcount!$O$6:$O$89,Headcount!$F$6:$F$89,"Executive",Headcount!$H$6:$H$89,"&gt;="&amp;Exec!BL$3)/12)),BK12),IF(YEAR(BL$3)=YEAR(Headcount!$P$4),IF((BL$5=2),((SUMIFS(Headcount!$P$6:$P$89,Headcount!$F$6:$F$89,"Executive",Headcount!$H$6:$H$89,"&gt;="&amp;Exec!BL$3)/12)),BK12),IF(YEAR(BL$3)=YEAR(Headcount!$Q$4),IF((BL$5=2),((SUMIFS(Headcount!$Q$6:$Q$89,Headcount!$F$6:$F$89,"Executive",Headcount!$H$6:$H$89,"&gt;="&amp;Exec!BL$3)/12)),BK12),IF(YEAR(BL$3)=YEAR(Headcount!$R$4),IF((BL$5=2),((SUMIFS(Headcount!$R$6:$R$89,Headcount!$F$6:$F$89,"Executive",Headcount!$H$6:$H$89,"&gt;="&amp;Exec!BL$3)/12)),BK12),"New Year"))))),'Dept. Cost Actuals'!BP992-'Dept. Cost Actuals'!BP982)</f>
        <v>45833.333333333336</v>
      </c>
      <c r="BM12" s="806">
        <f>IF(BM$4="forecast",IF(YEAR(BM$3)=YEAR(Headcount!$N$4),((SUMIFS(Headcount!$N$6:$N$89,Headcount!$F$6:$F$89,"Executive",Headcount!$H$6:$H$89,"&gt;="&amp;Exec!BM$3)/12)),IF(YEAR(BM$3)=YEAR(Headcount!$O$4),IF((BM$5=2),((SUMIFS(Headcount!$O$6:$O$89,Headcount!$F$6:$F$89,"Executive",Headcount!$H$6:$H$89,"&gt;="&amp;Exec!BM$3)/12)),BL12),IF(YEAR(BM$3)=YEAR(Headcount!$P$4),IF((BM$5=2),((SUMIFS(Headcount!$P$6:$P$89,Headcount!$F$6:$F$89,"Executive",Headcount!$H$6:$H$89,"&gt;="&amp;Exec!BM$3)/12)),BL12),IF(YEAR(BM$3)=YEAR(Headcount!$Q$4),IF((BM$5=2),((SUMIFS(Headcount!$Q$6:$Q$89,Headcount!$F$6:$F$89,"Executive",Headcount!$H$6:$H$89,"&gt;="&amp;Exec!BM$3)/12)),BL12),IF(YEAR(BM$3)=YEAR(Headcount!$R$4),IF((BM$5=2),((SUMIFS(Headcount!$R$6:$R$89,Headcount!$F$6:$F$89,"Executive",Headcount!$H$6:$H$89,"&gt;="&amp;Exec!BM$3)/12)),BL12),"New Year"))))),'Dept. Cost Actuals'!BQ992-'Dept. Cost Actuals'!BQ982)</f>
        <v>45833.333333333336</v>
      </c>
      <c r="BN12" s="806">
        <f>IF(BN$4="forecast",IF(YEAR(BN$3)=YEAR(Headcount!$N$4),((SUMIFS(Headcount!$N$6:$N$89,Headcount!$F$6:$F$89,"Executive",Headcount!$H$6:$H$89,"&gt;="&amp;Exec!BN$3)/12)),IF(YEAR(BN$3)=YEAR(Headcount!$O$4),IF((BN$5=2),((SUMIFS(Headcount!$O$6:$O$89,Headcount!$F$6:$F$89,"Executive",Headcount!$H$6:$H$89,"&gt;="&amp;Exec!BN$3)/12)),BM12),IF(YEAR(BN$3)=YEAR(Headcount!$P$4),IF((BN$5=2),((SUMIFS(Headcount!$P$6:$P$89,Headcount!$F$6:$F$89,"Executive",Headcount!$H$6:$H$89,"&gt;="&amp;Exec!BN$3)/12)),BM12),IF(YEAR(BN$3)=YEAR(Headcount!$Q$4),IF((BN$5=2),((SUMIFS(Headcount!$Q$6:$Q$89,Headcount!$F$6:$F$89,"Executive",Headcount!$H$6:$H$89,"&gt;="&amp;Exec!BN$3)/12)),BM12),IF(YEAR(BN$3)=YEAR(Headcount!$R$4),IF((BN$5=2),((SUMIFS(Headcount!$R$6:$R$89,Headcount!$F$6:$F$89,"Executive",Headcount!$H$6:$H$89,"&gt;="&amp;Exec!BN$3)/12)),BM12),"New Year"))))),'Dept. Cost Actuals'!BR992-'Dept. Cost Actuals'!BR982)</f>
        <v>45833.333333333336</v>
      </c>
      <c r="BO12" s="806">
        <f>IF(BO$4="forecast",IF(YEAR(BO$3)=YEAR(Headcount!$N$4),((SUMIFS(Headcount!$N$6:$N$89,Headcount!$F$6:$F$89,"Executive",Headcount!$H$6:$H$89,"&gt;="&amp;Exec!BO$3)/12)),IF(YEAR(BO$3)=YEAR(Headcount!$O$4),IF((BO$5=2),((SUMIFS(Headcount!$O$6:$O$89,Headcount!$F$6:$F$89,"Executive",Headcount!$H$6:$H$89,"&gt;="&amp;Exec!BO$3)/12)),BN12),IF(YEAR(BO$3)=YEAR(Headcount!$P$4),IF((BO$5=2),((SUMIFS(Headcount!$P$6:$P$89,Headcount!$F$6:$F$89,"Executive",Headcount!$H$6:$H$89,"&gt;="&amp;Exec!BO$3)/12)),BN12),IF(YEAR(BO$3)=YEAR(Headcount!$Q$4),IF((BO$5=2),((SUMIFS(Headcount!$Q$6:$Q$89,Headcount!$F$6:$F$89,"Executive",Headcount!$H$6:$H$89,"&gt;="&amp;Exec!BO$3)/12)),BN12),IF(YEAR(BO$3)=YEAR(Headcount!$R$4),IF((BO$5=2),((SUMIFS(Headcount!$R$6:$R$89,Headcount!$F$6:$F$89,"Executive",Headcount!$H$6:$H$89,"&gt;="&amp;Exec!BO$3)/12)),BN12),"New Year"))))),'Dept. Cost Actuals'!BS992-'Dept. Cost Actuals'!BS982)</f>
        <v>45833.333333333336</v>
      </c>
      <c r="BP12" s="806">
        <f>IF(BP$4="forecast",IF(YEAR(BP$3)=YEAR(Headcount!$N$4),((SUMIFS(Headcount!$N$6:$N$89,Headcount!$F$6:$F$89,"Executive",Headcount!$H$6:$H$89,"&gt;="&amp;Exec!BP$3)/12)),IF(YEAR(BP$3)=YEAR(Headcount!$O$4),IF((BP$5=2),((SUMIFS(Headcount!$O$6:$O$89,Headcount!$F$6:$F$89,"Executive",Headcount!$H$6:$H$89,"&gt;="&amp;Exec!BP$3)/12)),BO12),IF(YEAR(BP$3)=YEAR(Headcount!$P$4),IF((BP$5=2),((SUMIFS(Headcount!$P$6:$P$89,Headcount!$F$6:$F$89,"Executive",Headcount!$H$6:$H$89,"&gt;="&amp;Exec!BP$3)/12)),BO12),IF(YEAR(BP$3)=YEAR(Headcount!$Q$4),IF((BP$5=2),((SUMIFS(Headcount!$Q$6:$Q$89,Headcount!$F$6:$F$89,"Executive",Headcount!$H$6:$H$89,"&gt;="&amp;Exec!BP$3)/12)),BO12),IF(YEAR(BP$3)=YEAR(Headcount!$R$4),IF((BP$5=2),((SUMIFS(Headcount!$R$6:$R$89,Headcount!$F$6:$F$89,"Executive",Headcount!$H$6:$H$89,"&gt;="&amp;Exec!BP$3)/12)),BO12),"New Year"))))),'Dept. Cost Actuals'!BT992-'Dept. Cost Actuals'!BT982)</f>
        <v>45833.333333333336</v>
      </c>
      <c r="BQ12" s="806">
        <f>IF(BQ$4="forecast",IF(YEAR(BQ$3)=YEAR(Headcount!$N$4),((SUMIFS(Headcount!$N$6:$N$89,Headcount!$F$6:$F$89,"Executive",Headcount!$H$6:$H$89,"&gt;="&amp;Exec!BQ$3)/12)),IF(YEAR(BQ$3)=YEAR(Headcount!$O$4),IF((BQ$5=2),((SUMIFS(Headcount!$O$6:$O$89,Headcount!$F$6:$F$89,"Executive",Headcount!$H$6:$H$89,"&gt;="&amp;Exec!BQ$3)/12)),BP12),IF(YEAR(BQ$3)=YEAR(Headcount!$P$4),IF((BQ$5=2),((SUMIFS(Headcount!$P$6:$P$89,Headcount!$F$6:$F$89,"Executive",Headcount!$H$6:$H$89,"&gt;="&amp;Exec!BQ$3)/12)),BP12),IF(YEAR(BQ$3)=YEAR(Headcount!$Q$4),IF((BQ$5=2),((SUMIFS(Headcount!$Q$6:$Q$89,Headcount!$F$6:$F$89,"Executive",Headcount!$H$6:$H$89,"&gt;="&amp;Exec!BQ$3)/12)),BP12),IF(YEAR(BQ$3)=YEAR(Headcount!$R$4),IF((BQ$5=2),((SUMIFS(Headcount!$R$6:$R$89,Headcount!$F$6:$F$89,"Executive",Headcount!$H$6:$H$89,"&gt;="&amp;Exec!BQ$3)/12)),BP12),"New Year"))))),'Dept. Cost Actuals'!BU992-'Dept. Cost Actuals'!BU982)</f>
        <v>45833.333333333336</v>
      </c>
      <c r="BR12" s="806">
        <f>IF(BR$4="forecast",IF(YEAR(BR$3)=YEAR(Headcount!$N$4),((SUMIFS(Headcount!$N$6:$N$89,Headcount!$F$6:$F$89,"Executive",Headcount!$H$6:$H$89,"&gt;="&amp;Exec!BR$3)/12)),IF(YEAR(BR$3)=YEAR(Headcount!$O$4),IF((BR$5=2),((SUMIFS(Headcount!$O$6:$O$89,Headcount!$F$6:$F$89,"Executive",Headcount!$H$6:$H$89,"&gt;="&amp;Exec!BR$3)/12)),BQ12),IF(YEAR(BR$3)=YEAR(Headcount!$P$4),IF((BR$5=2),((SUMIFS(Headcount!$P$6:$P$89,Headcount!$F$6:$F$89,"Executive",Headcount!$H$6:$H$89,"&gt;="&amp;Exec!BR$3)/12)),BQ12),IF(YEAR(BR$3)=YEAR(Headcount!$Q$4),IF((BR$5=2),((SUMIFS(Headcount!$Q$6:$Q$89,Headcount!$F$6:$F$89,"Executive",Headcount!$H$6:$H$89,"&gt;="&amp;Exec!BR$3)/12)),BQ12),IF(YEAR(BR$3)=YEAR(Headcount!$R$4),IF((BR$5=2),((SUMIFS(Headcount!$R$6:$R$89,Headcount!$F$6:$F$89,"Executive",Headcount!$H$6:$H$89,"&gt;="&amp;Exec!BR$3)/12)),BQ12),"New Year"))))),'Dept. Cost Actuals'!BV992-'Dept. Cost Actuals'!BV982)</f>
        <v>45833.333333333336</v>
      </c>
      <c r="BS12" s="806">
        <f>IF(BS$4="forecast",IF(YEAR(BS$3)=YEAR(Headcount!$N$4),((SUMIFS(Headcount!$N$6:$N$89,Headcount!$F$6:$F$89,"Executive",Headcount!$H$6:$H$89,"&gt;="&amp;Exec!BS$3)/12)),IF(YEAR(BS$3)=YEAR(Headcount!$O$4),IF((BS$5=2),((SUMIFS(Headcount!$O$6:$O$89,Headcount!$F$6:$F$89,"Executive",Headcount!$H$6:$H$89,"&gt;="&amp;Exec!BS$3)/12)),BR12),IF(YEAR(BS$3)=YEAR(Headcount!$P$4),IF((BS$5=2),((SUMIFS(Headcount!$P$6:$P$89,Headcount!$F$6:$F$89,"Executive",Headcount!$H$6:$H$89,"&gt;="&amp;Exec!BS$3)/12)),BR12),IF(YEAR(BS$3)=YEAR(Headcount!$Q$4),IF((BS$5=2),((SUMIFS(Headcount!$Q$6:$Q$89,Headcount!$F$6:$F$89,"Executive",Headcount!$H$6:$H$89,"&gt;="&amp;Exec!BS$3)/12)),BR12),IF(YEAR(BS$3)=YEAR(Headcount!$R$4),IF((BS$5=2),((SUMIFS(Headcount!$R$6:$R$89,Headcount!$F$6:$F$89,"Executive",Headcount!$H$6:$H$89,"&gt;="&amp;Exec!BS$3)/12)),BR12),"New Year"))))),'Dept. Cost Actuals'!BW992-'Dept. Cost Actuals'!BW982)</f>
        <v>45833.333333333336</v>
      </c>
      <c r="BT12" s="806">
        <f>IF(BT$4="forecast",IF(YEAR(BT$3)=YEAR(Headcount!$N$4),((SUMIFS(Headcount!$N$6:$N$89,Headcount!$F$6:$F$89,"Executive",Headcount!$H$6:$H$89,"&gt;="&amp;Exec!BT$3)/12)),IF(YEAR(BT$3)=YEAR(Headcount!$O$4),IF((BT$5=2),((SUMIFS(Headcount!$O$6:$O$89,Headcount!$F$6:$F$89,"Executive",Headcount!$H$6:$H$89,"&gt;="&amp;Exec!BT$3)/12)),BS12),IF(YEAR(BT$3)=YEAR(Headcount!$P$4),IF((BT$5=2),((SUMIFS(Headcount!$P$6:$P$89,Headcount!$F$6:$F$89,"Executive",Headcount!$H$6:$H$89,"&gt;="&amp;Exec!BT$3)/12)),BS12),IF(YEAR(BT$3)=YEAR(Headcount!$Q$4),IF((BT$5=2),((SUMIFS(Headcount!$Q$6:$Q$89,Headcount!$F$6:$F$89,"Executive",Headcount!$H$6:$H$89,"&gt;="&amp;Exec!BT$3)/12)),BS12),IF(YEAR(BT$3)=YEAR(Headcount!$R$4),IF((BT$5=2),((SUMIFS(Headcount!$R$6:$R$89,Headcount!$F$6:$F$89,"Executive",Headcount!$H$6:$H$89,"&gt;="&amp;Exec!BT$3)/12)),BS12),"New Year"))))),'Dept. Cost Actuals'!BX992-'Dept. Cost Actuals'!BX982)</f>
        <v>45833.333333333336</v>
      </c>
      <c r="BU12" s="806">
        <f>IF(BU$4="forecast",IF(YEAR(BU$3)=YEAR(Headcount!$N$4),((SUMIFS(Headcount!$N$6:$N$89,Headcount!$F$6:$F$89,"Executive",Headcount!$H$6:$H$89,"&gt;="&amp;Exec!BU$3)/12)),IF(YEAR(BU$3)=YEAR(Headcount!$O$4),IF((BU$5=2),((SUMIFS(Headcount!$O$6:$O$89,Headcount!$F$6:$F$89,"Executive",Headcount!$H$6:$H$89,"&gt;="&amp;Exec!BU$3)/12)),BT12),IF(YEAR(BU$3)=YEAR(Headcount!$P$4),IF((BU$5=2),((SUMIFS(Headcount!$P$6:$P$89,Headcount!$F$6:$F$89,"Executive",Headcount!$H$6:$H$89,"&gt;="&amp;Exec!BU$3)/12)),BT12),IF(YEAR(BU$3)=YEAR(Headcount!$Q$4),IF((BU$5=2),((SUMIFS(Headcount!$Q$6:$Q$89,Headcount!$F$6:$F$89,"Executive",Headcount!$H$6:$H$89,"&gt;="&amp;Exec!BU$3)/12)),BT12),IF(YEAR(BU$3)=YEAR(Headcount!$R$4),IF((BU$5=2),((SUMIFS(Headcount!$R$6:$R$89,Headcount!$F$6:$F$89,"Executive",Headcount!$H$6:$H$89,"&gt;="&amp;Exec!BU$3)/12)),BT12),"New Year"))))),'Dept. Cost Actuals'!BY992-'Dept. Cost Actuals'!BY982)</f>
        <v>45833.333333333336</v>
      </c>
      <c r="BV12" s="807">
        <f>IF(BV$4="forecast",IF(YEAR(BV$3)=YEAR(Headcount!$N$4),((SUMIFS(Headcount!$N$6:$N$89,Headcount!$F$6:$F$89,"Executive",Headcount!$H$6:$H$89,"&gt;="&amp;Exec!BV$3)/12)),IF(YEAR(BV$3)=YEAR(Headcount!$O$4),IF((BV$5=2),((SUMIFS(Headcount!$O$6:$O$89,Headcount!$F$6:$F$89,"Executive",Headcount!$H$6:$H$89,"&gt;="&amp;Exec!BV$3)/12)),BU12),IF(YEAR(BV$3)=YEAR(Headcount!$P$4),IF((BV$5=2),((SUMIFS(Headcount!$P$6:$P$89,Headcount!$F$6:$F$89,"Executive",Headcount!$H$6:$H$89,"&gt;="&amp;Exec!BV$3)/12)),BU12),IF(YEAR(BV$3)=YEAR(Headcount!$Q$4),IF((BV$5=2),((SUMIFS(Headcount!$Q$6:$Q$89,Headcount!$F$6:$F$89,"Executive",Headcount!$H$6:$H$89,"&gt;="&amp;Exec!BV$3)/12)),BU12),IF(YEAR(BV$3)=YEAR(Headcount!$R$4),IF((BV$5=2),((SUMIFS(Headcount!$R$6:$R$89,Headcount!$F$6:$F$89,"Executive",Headcount!$H$6:$H$89,"&gt;="&amp;Exec!BV$3)/12)),BU12),"New Year"))))),'Dept. Cost Actuals'!BZ992-'Dept. Cost Actuals'!BZ982)</f>
        <v>45833.333333333336</v>
      </c>
    </row>
    <row r="13" spans="2:74" x14ac:dyDescent="0.35">
      <c r="B13" s="797" t="s">
        <v>935</v>
      </c>
      <c r="C13" s="684">
        <f>IF(C$4="forecast",IF(YEAR(C$3)=YEAR('New Hires Forecast'!$N$3),((SUMIFS('New Hires Forecast'!$N$5:$N$81,'New Hires Forecast'!$F$5:$F$81,"Exec",'New Hires Forecast'!$H$5:$H$81,"&gt;="&amp;Exec!C$3,'New Hires Forecast'!$G$5:$G$81,"&lt;="&amp;Exec!C$3)/12)),IF(YEAR(C$3)=YEAR('New Hires Forecast'!$O$3),((SUMIFS('New Hires Forecast'!$O$5:$O$81,'New Hires Forecast'!$F$5:$F$81,"Exec",'New Hires Forecast'!$H$5:$H$81,"&gt;="&amp;Exec!C$3,'New Hires Forecast'!$G$5:$G$81,"&lt;="&amp;Exec!C$3)/12)),IF(YEAR(C$3)=YEAR('New Hires Forecast'!$P$3),((SUMIFS('New Hires Forecast'!$P$5:$P$81,'New Hires Forecast'!$F$5:$F$81,"Exec",'New Hires Forecast'!$H$5:$H$81,"&gt;="&amp;Exec!C$3,'New Hires Forecast'!$G$5:$G$81,"&lt;="&amp;Exec!C$3)/12)),IF(YEAR(C$3)=YEAR('New Hires Forecast'!$Q$3),((SUMIFS('New Hires Forecast'!$Q$5:$Q$81,'New Hires Forecast'!$F$5:$F$81,"Exec",'New Hires Forecast'!$H$5:$H$81,"&gt;="&amp;Exec!C$3,'New Hires Forecast'!$G$5:$G$81,"&lt;="&amp;Exec!C$3)/12)),IF(YEAR(C$3)=YEAR('New Hires Forecast'!$R$3),((SUMIFS('New Hires Forecast'!$R$5:$R$81,'New Hires Forecast'!$F$5:$F$81,"Exec",'New Hires Forecast'!$H$5:$H$81,"&gt;="&amp;Exec!C$3,'New Hires Forecast'!$G$5:$G$81,"&lt;="&amp;Exec!C$3)/12))))))),0)</f>
        <v>0</v>
      </c>
      <c r="D13" s="684">
        <f>IF(D$4="forecast",IF(YEAR(D$3)=YEAR('New Hires Forecast'!$N$3),((SUMIFS('New Hires Forecast'!$N$5:$N$81,'New Hires Forecast'!$F$5:$F$81,"Exec",'New Hires Forecast'!$H$5:$H$81,"&gt;="&amp;Exec!D$3,'New Hires Forecast'!$G$5:$G$81,"&lt;="&amp;Exec!D$3)/12)),IF(YEAR(D$3)=YEAR('New Hires Forecast'!$O$3),((SUMIFS('New Hires Forecast'!$O$5:$O$81,'New Hires Forecast'!$F$5:$F$81,"Exec",'New Hires Forecast'!$H$5:$H$81,"&gt;="&amp;Exec!D$3,'New Hires Forecast'!$G$5:$G$81,"&lt;="&amp;Exec!D$3)/12)),IF(YEAR(D$3)=YEAR('New Hires Forecast'!$P$3),((SUMIFS('New Hires Forecast'!$P$5:$P$81,'New Hires Forecast'!$F$5:$F$81,"Exec",'New Hires Forecast'!$H$5:$H$81,"&gt;="&amp;Exec!D$3,'New Hires Forecast'!$G$5:$G$81,"&lt;="&amp;Exec!D$3)/12)),IF(YEAR(D$3)=YEAR('New Hires Forecast'!$Q$3),((SUMIFS('New Hires Forecast'!$Q$5:$Q$81,'New Hires Forecast'!$F$5:$F$81,"Exec",'New Hires Forecast'!$H$5:$H$81,"&gt;="&amp;Exec!D$3,'New Hires Forecast'!$G$5:$G$81,"&lt;="&amp;Exec!D$3)/12)),IF(YEAR(D$3)=YEAR('New Hires Forecast'!$R$3),((SUMIFS('New Hires Forecast'!$R$5:$R$81,'New Hires Forecast'!$F$5:$F$81,"Exec",'New Hires Forecast'!$H$5:$H$81,"&gt;="&amp;Exec!D$3,'New Hires Forecast'!$G$5:$G$81,"&lt;="&amp;Exec!D$3)/12))))))),0)</f>
        <v>0</v>
      </c>
      <c r="E13" s="684">
        <f>IF(E$4="forecast",IF(YEAR(E$3)=YEAR('New Hires Forecast'!$N$3),((SUMIFS('New Hires Forecast'!$N$5:$N$81,'New Hires Forecast'!$F$5:$F$81,"Exec",'New Hires Forecast'!$H$5:$H$81,"&gt;="&amp;Exec!E$3,'New Hires Forecast'!$G$5:$G$81,"&lt;="&amp;Exec!E$3)/12)),IF(YEAR(E$3)=YEAR('New Hires Forecast'!$O$3),((SUMIFS('New Hires Forecast'!$O$5:$O$81,'New Hires Forecast'!$F$5:$F$81,"Exec",'New Hires Forecast'!$H$5:$H$81,"&gt;="&amp;Exec!E$3,'New Hires Forecast'!$G$5:$G$81,"&lt;="&amp;Exec!E$3)/12)),IF(YEAR(E$3)=YEAR('New Hires Forecast'!$P$3),((SUMIFS('New Hires Forecast'!$P$5:$P$81,'New Hires Forecast'!$F$5:$F$81,"Exec",'New Hires Forecast'!$H$5:$H$81,"&gt;="&amp;Exec!E$3,'New Hires Forecast'!$G$5:$G$81,"&lt;="&amp;Exec!E$3)/12)),IF(YEAR(E$3)=YEAR('New Hires Forecast'!$Q$3),((SUMIFS('New Hires Forecast'!$Q$5:$Q$81,'New Hires Forecast'!$F$5:$F$81,"Exec",'New Hires Forecast'!$H$5:$H$81,"&gt;="&amp;Exec!E$3,'New Hires Forecast'!$G$5:$G$81,"&lt;="&amp;Exec!E$3)/12)),IF(YEAR(E$3)=YEAR('New Hires Forecast'!$R$3),((SUMIFS('New Hires Forecast'!$R$5:$R$81,'New Hires Forecast'!$F$5:$F$81,"Exec",'New Hires Forecast'!$H$5:$H$81,"&gt;="&amp;Exec!E$3,'New Hires Forecast'!$G$5:$G$81,"&lt;="&amp;Exec!E$3)/12))))))),0)</f>
        <v>0</v>
      </c>
      <c r="F13" s="684">
        <f>IF(F$4="forecast",IF(YEAR(F$3)=YEAR('New Hires Forecast'!$N$3),((SUMIFS('New Hires Forecast'!$N$5:$N$81,'New Hires Forecast'!$F$5:$F$81,"Exec",'New Hires Forecast'!$H$5:$H$81,"&gt;="&amp;Exec!F$3,'New Hires Forecast'!$G$5:$G$81,"&lt;="&amp;Exec!F$3)/12)),IF(YEAR(F$3)=YEAR('New Hires Forecast'!$O$3),((SUMIFS('New Hires Forecast'!$O$5:$O$81,'New Hires Forecast'!$F$5:$F$81,"Exec",'New Hires Forecast'!$H$5:$H$81,"&gt;="&amp;Exec!F$3,'New Hires Forecast'!$G$5:$G$81,"&lt;="&amp;Exec!F$3)/12)),IF(YEAR(F$3)=YEAR('New Hires Forecast'!$P$3),((SUMIFS('New Hires Forecast'!$P$5:$P$81,'New Hires Forecast'!$F$5:$F$81,"Exec",'New Hires Forecast'!$H$5:$H$81,"&gt;="&amp;Exec!F$3,'New Hires Forecast'!$G$5:$G$81,"&lt;="&amp;Exec!F$3)/12)),IF(YEAR(F$3)=YEAR('New Hires Forecast'!$Q$3),((SUMIFS('New Hires Forecast'!$Q$5:$Q$81,'New Hires Forecast'!$F$5:$F$81,"Exec",'New Hires Forecast'!$H$5:$H$81,"&gt;="&amp;Exec!F$3,'New Hires Forecast'!$G$5:$G$81,"&lt;="&amp;Exec!F$3)/12)),IF(YEAR(F$3)=YEAR('New Hires Forecast'!$R$3),((SUMIFS('New Hires Forecast'!$R$5:$R$81,'New Hires Forecast'!$F$5:$F$81,"Exec",'New Hires Forecast'!$H$5:$H$81,"&gt;="&amp;Exec!F$3,'New Hires Forecast'!$G$5:$G$81,"&lt;="&amp;Exec!F$3)/12))))))),0)</f>
        <v>0</v>
      </c>
      <c r="G13" s="684">
        <f>IF(G$4="forecast",IF(YEAR(G$3)=YEAR('New Hires Forecast'!$N$3),((SUMIFS('New Hires Forecast'!$N$5:$N$81,'New Hires Forecast'!$F$5:$F$81,"Exec",'New Hires Forecast'!$H$5:$H$81,"&gt;="&amp;Exec!G$3,'New Hires Forecast'!$G$5:$G$81,"&lt;="&amp;Exec!G$3)/12)),IF(YEAR(G$3)=YEAR('New Hires Forecast'!$O$3),((SUMIFS('New Hires Forecast'!$O$5:$O$81,'New Hires Forecast'!$F$5:$F$81,"Exec",'New Hires Forecast'!$H$5:$H$81,"&gt;="&amp;Exec!G$3,'New Hires Forecast'!$G$5:$G$81,"&lt;="&amp;Exec!G$3)/12)),IF(YEAR(G$3)=YEAR('New Hires Forecast'!$P$3),((SUMIFS('New Hires Forecast'!$P$5:$P$81,'New Hires Forecast'!$F$5:$F$81,"Exec",'New Hires Forecast'!$H$5:$H$81,"&gt;="&amp;Exec!G$3,'New Hires Forecast'!$G$5:$G$81,"&lt;="&amp;Exec!G$3)/12)),IF(YEAR(G$3)=YEAR('New Hires Forecast'!$Q$3),((SUMIFS('New Hires Forecast'!$Q$5:$Q$81,'New Hires Forecast'!$F$5:$F$81,"Exec",'New Hires Forecast'!$H$5:$H$81,"&gt;="&amp;Exec!G$3,'New Hires Forecast'!$G$5:$G$81,"&lt;="&amp;Exec!G$3)/12)),IF(YEAR(G$3)=YEAR('New Hires Forecast'!$R$3),((SUMIFS('New Hires Forecast'!$R$5:$R$81,'New Hires Forecast'!$F$5:$F$81,"Exec",'New Hires Forecast'!$H$5:$H$81,"&gt;="&amp;Exec!G$3,'New Hires Forecast'!$G$5:$G$81,"&lt;="&amp;Exec!G$3)/12))))))),0)</f>
        <v>0</v>
      </c>
      <c r="H13" s="684">
        <f>IF(H$4="forecast",IF(YEAR(H$3)=YEAR('New Hires Forecast'!$N$3),((SUMIFS('New Hires Forecast'!$N$5:$N$81,'New Hires Forecast'!$F$5:$F$81,"Exec",'New Hires Forecast'!$H$5:$H$81,"&gt;="&amp;Exec!H$3,'New Hires Forecast'!$G$5:$G$81,"&lt;="&amp;Exec!H$3)/12)),IF(YEAR(H$3)=YEAR('New Hires Forecast'!$O$3),((SUMIFS('New Hires Forecast'!$O$5:$O$81,'New Hires Forecast'!$F$5:$F$81,"Exec",'New Hires Forecast'!$H$5:$H$81,"&gt;="&amp;Exec!H$3,'New Hires Forecast'!$G$5:$G$81,"&lt;="&amp;Exec!H$3)/12)),IF(YEAR(H$3)=YEAR('New Hires Forecast'!$P$3),((SUMIFS('New Hires Forecast'!$P$5:$P$81,'New Hires Forecast'!$F$5:$F$81,"Exec",'New Hires Forecast'!$H$5:$H$81,"&gt;="&amp;Exec!H$3,'New Hires Forecast'!$G$5:$G$81,"&lt;="&amp;Exec!H$3)/12)),IF(YEAR(H$3)=YEAR('New Hires Forecast'!$Q$3),((SUMIFS('New Hires Forecast'!$Q$5:$Q$81,'New Hires Forecast'!$F$5:$F$81,"Exec",'New Hires Forecast'!$H$5:$H$81,"&gt;="&amp;Exec!H$3,'New Hires Forecast'!$G$5:$G$81,"&lt;="&amp;Exec!H$3)/12)),IF(YEAR(H$3)=YEAR('New Hires Forecast'!$R$3),((SUMIFS('New Hires Forecast'!$R$5:$R$81,'New Hires Forecast'!$F$5:$F$81,"Exec",'New Hires Forecast'!$H$5:$H$81,"&gt;="&amp;Exec!H$3,'New Hires Forecast'!$G$5:$G$81,"&lt;="&amp;Exec!H$3)/12))))))),0)</f>
        <v>0</v>
      </c>
      <c r="I13" s="684">
        <f>IF(I$4="forecast",IF(YEAR(I$3)=YEAR('New Hires Forecast'!$N$3),((SUMIFS('New Hires Forecast'!$N$5:$N$81,'New Hires Forecast'!$F$5:$F$81,"Exec",'New Hires Forecast'!$H$5:$H$81,"&gt;="&amp;Exec!I$3,'New Hires Forecast'!$G$5:$G$81,"&lt;="&amp;Exec!I$3)/12)),IF(YEAR(I$3)=YEAR('New Hires Forecast'!$O$3),((SUMIFS('New Hires Forecast'!$O$5:$O$81,'New Hires Forecast'!$F$5:$F$81,"Exec",'New Hires Forecast'!$H$5:$H$81,"&gt;="&amp;Exec!I$3,'New Hires Forecast'!$G$5:$G$81,"&lt;="&amp;Exec!I$3)/12)),IF(YEAR(I$3)=YEAR('New Hires Forecast'!$P$3),((SUMIFS('New Hires Forecast'!$P$5:$P$81,'New Hires Forecast'!$F$5:$F$81,"Exec",'New Hires Forecast'!$H$5:$H$81,"&gt;="&amp;Exec!I$3,'New Hires Forecast'!$G$5:$G$81,"&lt;="&amp;Exec!I$3)/12)),IF(YEAR(I$3)=YEAR('New Hires Forecast'!$Q$3),((SUMIFS('New Hires Forecast'!$Q$5:$Q$81,'New Hires Forecast'!$F$5:$F$81,"Exec",'New Hires Forecast'!$H$5:$H$81,"&gt;="&amp;Exec!I$3,'New Hires Forecast'!$G$5:$G$81,"&lt;="&amp;Exec!I$3)/12)),IF(YEAR(I$3)=YEAR('New Hires Forecast'!$R$3),((SUMIFS('New Hires Forecast'!$R$5:$R$81,'New Hires Forecast'!$F$5:$F$81,"Exec",'New Hires Forecast'!$H$5:$H$81,"&gt;="&amp;Exec!I$3,'New Hires Forecast'!$G$5:$G$81,"&lt;="&amp;Exec!I$3)/12))))))),0)</f>
        <v>0</v>
      </c>
      <c r="J13" s="684">
        <f>IF(J$4="forecast",IF(YEAR(J$3)=YEAR('New Hires Forecast'!$N$3),((SUMIFS('New Hires Forecast'!$N$5:$N$81,'New Hires Forecast'!$F$5:$F$81,"Exec",'New Hires Forecast'!$H$5:$H$81,"&gt;="&amp;Exec!J$3,'New Hires Forecast'!$G$5:$G$81,"&lt;="&amp;Exec!J$3)/12)),IF(YEAR(J$3)=YEAR('New Hires Forecast'!$O$3),((SUMIFS('New Hires Forecast'!$O$5:$O$81,'New Hires Forecast'!$F$5:$F$81,"Exec",'New Hires Forecast'!$H$5:$H$81,"&gt;="&amp;Exec!J$3,'New Hires Forecast'!$G$5:$G$81,"&lt;="&amp;Exec!J$3)/12)),IF(YEAR(J$3)=YEAR('New Hires Forecast'!$P$3),((SUMIFS('New Hires Forecast'!$P$5:$P$81,'New Hires Forecast'!$F$5:$F$81,"Exec",'New Hires Forecast'!$H$5:$H$81,"&gt;="&amp;Exec!J$3,'New Hires Forecast'!$G$5:$G$81,"&lt;="&amp;Exec!J$3)/12)),IF(YEAR(J$3)=YEAR('New Hires Forecast'!$Q$3),((SUMIFS('New Hires Forecast'!$Q$5:$Q$81,'New Hires Forecast'!$F$5:$F$81,"Exec",'New Hires Forecast'!$H$5:$H$81,"&gt;="&amp;Exec!J$3,'New Hires Forecast'!$G$5:$G$81,"&lt;="&amp;Exec!J$3)/12)),IF(YEAR(J$3)=YEAR('New Hires Forecast'!$R$3),((SUMIFS('New Hires Forecast'!$R$5:$R$81,'New Hires Forecast'!$F$5:$F$81,"Exec",'New Hires Forecast'!$H$5:$H$81,"&gt;="&amp;Exec!J$3,'New Hires Forecast'!$G$5:$G$81,"&lt;="&amp;Exec!J$3)/12))))))),0)</f>
        <v>0</v>
      </c>
      <c r="K13" s="684">
        <f>IF(K$4="forecast",IF(YEAR(K$3)=YEAR('New Hires Forecast'!$N$3),((SUMIFS('New Hires Forecast'!$N$5:$N$81,'New Hires Forecast'!$F$5:$F$81,"Exec",'New Hires Forecast'!$H$5:$H$81,"&gt;="&amp;Exec!K$3,'New Hires Forecast'!$G$5:$G$81,"&lt;="&amp;Exec!K$3)/12)),IF(YEAR(K$3)=YEAR('New Hires Forecast'!$O$3),((SUMIFS('New Hires Forecast'!$O$5:$O$81,'New Hires Forecast'!$F$5:$F$81,"Exec",'New Hires Forecast'!$H$5:$H$81,"&gt;="&amp;Exec!K$3,'New Hires Forecast'!$G$5:$G$81,"&lt;="&amp;Exec!K$3)/12)),IF(YEAR(K$3)=YEAR('New Hires Forecast'!$P$3),((SUMIFS('New Hires Forecast'!$P$5:$P$81,'New Hires Forecast'!$F$5:$F$81,"Exec",'New Hires Forecast'!$H$5:$H$81,"&gt;="&amp;Exec!K$3,'New Hires Forecast'!$G$5:$G$81,"&lt;="&amp;Exec!K$3)/12)),IF(YEAR(K$3)=YEAR('New Hires Forecast'!$Q$3),((SUMIFS('New Hires Forecast'!$Q$5:$Q$81,'New Hires Forecast'!$F$5:$F$81,"Exec",'New Hires Forecast'!$H$5:$H$81,"&gt;="&amp;Exec!K$3,'New Hires Forecast'!$G$5:$G$81,"&lt;="&amp;Exec!K$3)/12)),IF(YEAR(K$3)=YEAR('New Hires Forecast'!$R$3),((SUMIFS('New Hires Forecast'!$R$5:$R$81,'New Hires Forecast'!$F$5:$F$81,"Exec",'New Hires Forecast'!$H$5:$H$81,"&gt;="&amp;Exec!K$3,'New Hires Forecast'!$G$5:$G$81,"&lt;="&amp;Exec!K$3)/12))))))),0)</f>
        <v>0</v>
      </c>
      <c r="L13" s="684">
        <f>IF(L$4="forecast",IF(YEAR(L$3)=YEAR('New Hires Forecast'!$N$3),((SUMIFS('New Hires Forecast'!$N$5:$N$81,'New Hires Forecast'!$F$5:$F$81,"Exec",'New Hires Forecast'!$H$5:$H$81,"&gt;="&amp;Exec!L$3,'New Hires Forecast'!$G$5:$G$81,"&lt;="&amp;Exec!L$3)/12)),IF(YEAR(L$3)=YEAR('New Hires Forecast'!$O$3),((SUMIFS('New Hires Forecast'!$O$5:$O$81,'New Hires Forecast'!$F$5:$F$81,"Exec",'New Hires Forecast'!$H$5:$H$81,"&gt;="&amp;Exec!L$3,'New Hires Forecast'!$G$5:$G$81,"&lt;="&amp;Exec!L$3)/12)),IF(YEAR(L$3)=YEAR('New Hires Forecast'!$P$3),((SUMIFS('New Hires Forecast'!$P$5:$P$81,'New Hires Forecast'!$F$5:$F$81,"Exec",'New Hires Forecast'!$H$5:$H$81,"&gt;="&amp;Exec!L$3,'New Hires Forecast'!$G$5:$G$81,"&lt;="&amp;Exec!L$3)/12)),IF(YEAR(L$3)=YEAR('New Hires Forecast'!$Q$3),((SUMIFS('New Hires Forecast'!$Q$5:$Q$81,'New Hires Forecast'!$F$5:$F$81,"Exec",'New Hires Forecast'!$H$5:$H$81,"&gt;="&amp;Exec!L$3,'New Hires Forecast'!$G$5:$G$81,"&lt;="&amp;Exec!L$3)/12)),IF(YEAR(L$3)=YEAR('New Hires Forecast'!$R$3),((SUMIFS('New Hires Forecast'!$R$5:$R$81,'New Hires Forecast'!$F$5:$F$81,"Exec",'New Hires Forecast'!$H$5:$H$81,"&gt;="&amp;Exec!L$3,'New Hires Forecast'!$G$5:$G$81,"&lt;="&amp;Exec!L$3)/12))))))),0)</f>
        <v>0</v>
      </c>
      <c r="M13" s="684">
        <f>IF(M$4="forecast",IF(YEAR(M$3)=YEAR('New Hires Forecast'!$N$3),((SUMIFS('New Hires Forecast'!$N$5:$N$81,'New Hires Forecast'!$F$5:$F$81,"Exec",'New Hires Forecast'!$H$5:$H$81,"&gt;="&amp;Exec!M$3,'New Hires Forecast'!$G$5:$G$81,"&lt;="&amp;Exec!M$3)/12)),IF(YEAR(M$3)=YEAR('New Hires Forecast'!$O$3),((SUMIFS('New Hires Forecast'!$O$5:$O$81,'New Hires Forecast'!$F$5:$F$81,"Exec",'New Hires Forecast'!$H$5:$H$81,"&gt;="&amp;Exec!M$3,'New Hires Forecast'!$G$5:$G$81,"&lt;="&amp;Exec!M$3)/12)),IF(YEAR(M$3)=YEAR('New Hires Forecast'!$P$3),((SUMIFS('New Hires Forecast'!$P$5:$P$81,'New Hires Forecast'!$F$5:$F$81,"Exec",'New Hires Forecast'!$H$5:$H$81,"&gt;="&amp;Exec!M$3,'New Hires Forecast'!$G$5:$G$81,"&lt;="&amp;Exec!M$3)/12)),IF(YEAR(M$3)=YEAR('New Hires Forecast'!$Q$3),((SUMIFS('New Hires Forecast'!$Q$5:$Q$81,'New Hires Forecast'!$F$5:$F$81,"Exec",'New Hires Forecast'!$H$5:$H$81,"&gt;="&amp;Exec!M$3,'New Hires Forecast'!$G$5:$G$81,"&lt;="&amp;Exec!M$3)/12)),IF(YEAR(M$3)=YEAR('New Hires Forecast'!$R$3),((SUMIFS('New Hires Forecast'!$R$5:$R$81,'New Hires Forecast'!$F$5:$F$81,"Exec",'New Hires Forecast'!$H$5:$H$81,"&gt;="&amp;Exec!M$3,'New Hires Forecast'!$G$5:$G$81,"&lt;="&amp;Exec!M$3)/12))))))),0)</f>
        <v>0</v>
      </c>
      <c r="N13" s="684">
        <f>IF(N$4="forecast",IF(YEAR(N$3)=YEAR('New Hires Forecast'!$N$3),((SUMIFS('New Hires Forecast'!$N$5:$N$81,'New Hires Forecast'!$F$5:$F$81,"Exec",'New Hires Forecast'!$H$5:$H$81,"&gt;="&amp;Exec!N$3,'New Hires Forecast'!$G$5:$G$81,"&lt;="&amp;Exec!N$3)/12)),IF(YEAR(N$3)=YEAR('New Hires Forecast'!$O$3),((SUMIFS('New Hires Forecast'!$O$5:$O$81,'New Hires Forecast'!$F$5:$F$81,"Exec",'New Hires Forecast'!$H$5:$H$81,"&gt;="&amp;Exec!N$3,'New Hires Forecast'!$G$5:$G$81,"&lt;="&amp;Exec!N$3)/12)),IF(YEAR(N$3)=YEAR('New Hires Forecast'!$P$3),((SUMIFS('New Hires Forecast'!$P$5:$P$81,'New Hires Forecast'!$F$5:$F$81,"Exec",'New Hires Forecast'!$H$5:$H$81,"&gt;="&amp;Exec!N$3,'New Hires Forecast'!$G$5:$G$81,"&lt;="&amp;Exec!N$3)/12)),IF(YEAR(N$3)=YEAR('New Hires Forecast'!$Q$3),((SUMIFS('New Hires Forecast'!$Q$5:$Q$81,'New Hires Forecast'!$F$5:$F$81,"Exec",'New Hires Forecast'!$H$5:$H$81,"&gt;="&amp;Exec!N$3,'New Hires Forecast'!$G$5:$G$81,"&lt;="&amp;Exec!N$3)/12)),IF(YEAR(N$3)=YEAR('New Hires Forecast'!$R$3),((SUMIFS('New Hires Forecast'!$R$5:$R$81,'New Hires Forecast'!$F$5:$F$81,"Exec",'New Hires Forecast'!$H$5:$H$81,"&gt;="&amp;Exec!N$3,'New Hires Forecast'!$G$5:$G$81,"&lt;="&amp;Exec!N$3)/12))))))),0)</f>
        <v>0</v>
      </c>
      <c r="O13" s="684">
        <f>IF(O$4="forecast",IF(YEAR(O$3)=YEAR('New Hires Forecast'!$N$3),((SUMIFS('New Hires Forecast'!$N$5:$N$81,'New Hires Forecast'!$F$5:$F$81,"Exec",'New Hires Forecast'!$H$5:$H$81,"&gt;="&amp;Exec!O$3,'New Hires Forecast'!$G$5:$G$81,"&lt;="&amp;Exec!O$3)/12)),IF(YEAR(O$3)=YEAR('New Hires Forecast'!$O$3),((SUMIFS('New Hires Forecast'!$O$5:$O$81,'New Hires Forecast'!$F$5:$F$81,"Exec",'New Hires Forecast'!$H$5:$H$81,"&gt;="&amp;Exec!O$3,'New Hires Forecast'!$G$5:$G$81,"&lt;="&amp;Exec!O$3)/12)),IF(YEAR(O$3)=YEAR('New Hires Forecast'!$P$3),((SUMIFS('New Hires Forecast'!$P$5:$P$81,'New Hires Forecast'!$F$5:$F$81,"Exec",'New Hires Forecast'!$H$5:$H$81,"&gt;="&amp;Exec!O$3,'New Hires Forecast'!$G$5:$G$81,"&lt;="&amp;Exec!O$3)/12)),IF(YEAR(O$3)=YEAR('New Hires Forecast'!$Q$3),((SUMIFS('New Hires Forecast'!$Q$5:$Q$81,'New Hires Forecast'!$F$5:$F$81,"Exec",'New Hires Forecast'!$H$5:$H$81,"&gt;="&amp;Exec!O$3,'New Hires Forecast'!$G$5:$G$81,"&lt;="&amp;Exec!O$3)/12)),IF(YEAR(O$3)=YEAR('New Hires Forecast'!$R$3),((SUMIFS('New Hires Forecast'!$R$5:$R$81,'New Hires Forecast'!$F$5:$F$81,"Exec",'New Hires Forecast'!$H$5:$H$81,"&gt;="&amp;Exec!O$3,'New Hires Forecast'!$G$5:$G$81,"&lt;="&amp;Exec!O$3)/12))))))),0)</f>
        <v>0</v>
      </c>
      <c r="P13" s="684">
        <f>IF(P$4="forecast",IF(YEAR(P$3)=YEAR('New Hires Forecast'!$N$3),((SUMIFS('New Hires Forecast'!$N$5:$N$81,'New Hires Forecast'!$F$5:$F$81,"Exec",'New Hires Forecast'!$H$5:$H$81,"&gt;="&amp;Exec!P$3,'New Hires Forecast'!$G$5:$G$81,"&lt;="&amp;Exec!P$3)/12)),IF(YEAR(P$3)=YEAR('New Hires Forecast'!$O$3),((SUMIFS('New Hires Forecast'!$O$5:$O$81,'New Hires Forecast'!$F$5:$F$81,"Exec",'New Hires Forecast'!$H$5:$H$81,"&gt;="&amp;Exec!P$3,'New Hires Forecast'!$G$5:$G$81,"&lt;="&amp;Exec!P$3)/12)),IF(YEAR(P$3)=YEAR('New Hires Forecast'!$P$3),((SUMIFS('New Hires Forecast'!$P$5:$P$81,'New Hires Forecast'!$F$5:$F$81,"Exec",'New Hires Forecast'!$H$5:$H$81,"&gt;="&amp;Exec!P$3,'New Hires Forecast'!$G$5:$G$81,"&lt;="&amp;Exec!P$3)/12)),IF(YEAR(P$3)=YEAR('New Hires Forecast'!$Q$3),((SUMIFS('New Hires Forecast'!$Q$5:$Q$81,'New Hires Forecast'!$F$5:$F$81,"Exec",'New Hires Forecast'!$H$5:$H$81,"&gt;="&amp;Exec!P$3,'New Hires Forecast'!$G$5:$G$81,"&lt;="&amp;Exec!P$3)/12)),IF(YEAR(P$3)=YEAR('New Hires Forecast'!$R$3),((SUMIFS('New Hires Forecast'!$R$5:$R$81,'New Hires Forecast'!$F$5:$F$81,"Exec",'New Hires Forecast'!$H$5:$H$81,"&gt;="&amp;Exec!P$3,'New Hires Forecast'!$G$5:$G$81,"&lt;="&amp;Exec!P$3)/12))))))),0)</f>
        <v>0</v>
      </c>
      <c r="Q13" s="684">
        <f>IF(Q$4="forecast",IF(YEAR(Q$3)=YEAR('New Hires Forecast'!$N$3),((SUMIFS('New Hires Forecast'!$N$5:$N$81,'New Hires Forecast'!$F$5:$F$81,"Exec",'New Hires Forecast'!$H$5:$H$81,"&gt;="&amp;Exec!Q$3,'New Hires Forecast'!$G$5:$G$81,"&lt;="&amp;Exec!Q$3)/12)),IF(YEAR(Q$3)=YEAR('New Hires Forecast'!$O$3),((SUMIFS('New Hires Forecast'!$O$5:$O$81,'New Hires Forecast'!$F$5:$F$81,"Exec",'New Hires Forecast'!$H$5:$H$81,"&gt;="&amp;Exec!Q$3,'New Hires Forecast'!$G$5:$G$81,"&lt;="&amp;Exec!Q$3)/12)),IF(YEAR(Q$3)=YEAR('New Hires Forecast'!$P$3),((SUMIFS('New Hires Forecast'!$P$5:$P$81,'New Hires Forecast'!$F$5:$F$81,"Exec",'New Hires Forecast'!$H$5:$H$81,"&gt;="&amp;Exec!Q$3,'New Hires Forecast'!$G$5:$G$81,"&lt;="&amp;Exec!Q$3)/12)),IF(YEAR(Q$3)=YEAR('New Hires Forecast'!$Q$3),((SUMIFS('New Hires Forecast'!$Q$5:$Q$81,'New Hires Forecast'!$F$5:$F$81,"Exec",'New Hires Forecast'!$H$5:$H$81,"&gt;="&amp;Exec!Q$3,'New Hires Forecast'!$G$5:$G$81,"&lt;="&amp;Exec!Q$3)/12)),IF(YEAR(Q$3)=YEAR('New Hires Forecast'!$R$3),((SUMIFS('New Hires Forecast'!$R$5:$R$81,'New Hires Forecast'!$F$5:$F$81,"Exec",'New Hires Forecast'!$H$5:$H$81,"&gt;="&amp;Exec!Q$3,'New Hires Forecast'!$G$5:$G$81,"&lt;="&amp;Exec!Q$3)/12))))))),0)</f>
        <v>0</v>
      </c>
      <c r="R13" s="684">
        <f>IF(R$4="forecast",IF(YEAR(R$3)=YEAR('New Hires Forecast'!$N$3),((SUMIFS('New Hires Forecast'!$N$5:$N$81,'New Hires Forecast'!$F$5:$F$81,"Exec",'New Hires Forecast'!$H$5:$H$81,"&gt;="&amp;Exec!R$3,'New Hires Forecast'!$G$5:$G$81,"&lt;="&amp;Exec!R$3)/12)),IF(YEAR(R$3)=YEAR('New Hires Forecast'!$O$3),((SUMIFS('New Hires Forecast'!$O$5:$O$81,'New Hires Forecast'!$F$5:$F$81,"Exec",'New Hires Forecast'!$H$5:$H$81,"&gt;="&amp;Exec!R$3,'New Hires Forecast'!$G$5:$G$81,"&lt;="&amp;Exec!R$3)/12)),IF(YEAR(R$3)=YEAR('New Hires Forecast'!$P$3),((SUMIFS('New Hires Forecast'!$P$5:$P$81,'New Hires Forecast'!$F$5:$F$81,"Exec",'New Hires Forecast'!$H$5:$H$81,"&gt;="&amp;Exec!R$3,'New Hires Forecast'!$G$5:$G$81,"&lt;="&amp;Exec!R$3)/12)),IF(YEAR(R$3)=YEAR('New Hires Forecast'!$Q$3),((SUMIFS('New Hires Forecast'!$Q$5:$Q$81,'New Hires Forecast'!$F$5:$F$81,"Exec",'New Hires Forecast'!$H$5:$H$81,"&gt;="&amp;Exec!R$3,'New Hires Forecast'!$G$5:$G$81,"&lt;="&amp;Exec!R$3)/12)),IF(YEAR(R$3)=YEAR('New Hires Forecast'!$R$3),((SUMIFS('New Hires Forecast'!$R$5:$R$81,'New Hires Forecast'!$F$5:$F$81,"Exec",'New Hires Forecast'!$H$5:$H$81,"&gt;="&amp;Exec!R$3,'New Hires Forecast'!$G$5:$G$81,"&lt;="&amp;Exec!R$3)/12))))))),0)</f>
        <v>0</v>
      </c>
      <c r="S13" s="684">
        <f>IF(S$4="forecast",IF(YEAR(S$3)=YEAR('New Hires Forecast'!$N$3),((SUMIFS('New Hires Forecast'!$N$5:$N$81,'New Hires Forecast'!$F$5:$F$81,"Exec",'New Hires Forecast'!$H$5:$H$81,"&gt;="&amp;Exec!S$3,'New Hires Forecast'!$G$5:$G$81,"&lt;="&amp;Exec!S$3)/12)),IF(YEAR(S$3)=YEAR('New Hires Forecast'!$O$3),((SUMIFS('New Hires Forecast'!$O$5:$O$81,'New Hires Forecast'!$F$5:$F$81,"Exec",'New Hires Forecast'!$H$5:$H$81,"&gt;="&amp;Exec!S$3,'New Hires Forecast'!$G$5:$G$81,"&lt;="&amp;Exec!S$3)/12)),IF(YEAR(S$3)=YEAR('New Hires Forecast'!$P$3),((SUMIFS('New Hires Forecast'!$P$5:$P$81,'New Hires Forecast'!$F$5:$F$81,"Exec",'New Hires Forecast'!$H$5:$H$81,"&gt;="&amp;Exec!S$3,'New Hires Forecast'!$G$5:$G$81,"&lt;="&amp;Exec!S$3)/12)),IF(YEAR(S$3)=YEAR('New Hires Forecast'!$Q$3),((SUMIFS('New Hires Forecast'!$Q$5:$Q$81,'New Hires Forecast'!$F$5:$F$81,"Exec",'New Hires Forecast'!$H$5:$H$81,"&gt;="&amp;Exec!S$3,'New Hires Forecast'!$G$5:$G$81,"&lt;="&amp;Exec!S$3)/12)),IF(YEAR(S$3)=YEAR('New Hires Forecast'!$R$3),((SUMIFS('New Hires Forecast'!$R$5:$R$81,'New Hires Forecast'!$F$5:$F$81,"Exec",'New Hires Forecast'!$H$5:$H$81,"&gt;="&amp;Exec!S$3,'New Hires Forecast'!$G$5:$G$81,"&lt;="&amp;Exec!S$3)/12))))))),0)</f>
        <v>0</v>
      </c>
      <c r="T13" s="684">
        <f>IF(T$4="forecast",IF(YEAR(T$3)=YEAR('New Hires Forecast'!$N$3),((SUMIFS('New Hires Forecast'!$N$5:$N$81,'New Hires Forecast'!$F$5:$F$81,"Exec",'New Hires Forecast'!$H$5:$H$81,"&gt;="&amp;Exec!T$3,'New Hires Forecast'!$G$5:$G$81,"&lt;="&amp;Exec!T$3)/12)),IF(YEAR(T$3)=YEAR('New Hires Forecast'!$O$3),((SUMIFS('New Hires Forecast'!$O$5:$O$81,'New Hires Forecast'!$F$5:$F$81,"Exec",'New Hires Forecast'!$H$5:$H$81,"&gt;="&amp;Exec!T$3,'New Hires Forecast'!$G$5:$G$81,"&lt;="&amp;Exec!T$3)/12)),IF(YEAR(T$3)=YEAR('New Hires Forecast'!$P$3),((SUMIFS('New Hires Forecast'!$P$5:$P$81,'New Hires Forecast'!$F$5:$F$81,"Exec",'New Hires Forecast'!$H$5:$H$81,"&gt;="&amp;Exec!T$3,'New Hires Forecast'!$G$5:$G$81,"&lt;="&amp;Exec!T$3)/12)),IF(YEAR(T$3)=YEAR('New Hires Forecast'!$Q$3),((SUMIFS('New Hires Forecast'!$Q$5:$Q$81,'New Hires Forecast'!$F$5:$F$81,"Exec",'New Hires Forecast'!$H$5:$H$81,"&gt;="&amp;Exec!T$3,'New Hires Forecast'!$G$5:$G$81,"&lt;="&amp;Exec!T$3)/12)),IF(YEAR(T$3)=YEAR('New Hires Forecast'!$R$3),((SUMIFS('New Hires Forecast'!$R$5:$R$81,'New Hires Forecast'!$F$5:$F$81,"Exec",'New Hires Forecast'!$H$5:$H$81,"&gt;="&amp;Exec!T$3,'New Hires Forecast'!$G$5:$G$81,"&lt;="&amp;Exec!T$3)/12))))))),0)</f>
        <v>0</v>
      </c>
      <c r="U13" s="684">
        <f>IF(U$4="forecast",IF(YEAR(U$3)=YEAR('New Hires Forecast'!$N$3),((SUMIFS('New Hires Forecast'!$N$5:$N$81,'New Hires Forecast'!$F$5:$F$81,"Exec",'New Hires Forecast'!$H$5:$H$81,"&gt;="&amp;Exec!U$3,'New Hires Forecast'!$G$5:$G$81,"&lt;="&amp;Exec!U$3)/12)),IF(YEAR(U$3)=YEAR('New Hires Forecast'!$O$3),((SUMIFS('New Hires Forecast'!$O$5:$O$81,'New Hires Forecast'!$F$5:$F$81,"Exec",'New Hires Forecast'!$H$5:$H$81,"&gt;="&amp;Exec!U$3,'New Hires Forecast'!$G$5:$G$81,"&lt;="&amp;Exec!U$3)/12)),IF(YEAR(U$3)=YEAR('New Hires Forecast'!$P$3),((SUMIFS('New Hires Forecast'!$P$5:$P$81,'New Hires Forecast'!$F$5:$F$81,"Exec",'New Hires Forecast'!$H$5:$H$81,"&gt;="&amp;Exec!U$3,'New Hires Forecast'!$G$5:$G$81,"&lt;="&amp;Exec!U$3)/12)),IF(YEAR(U$3)=YEAR('New Hires Forecast'!$Q$3),((SUMIFS('New Hires Forecast'!$Q$5:$Q$81,'New Hires Forecast'!$F$5:$F$81,"Exec",'New Hires Forecast'!$H$5:$H$81,"&gt;="&amp;Exec!U$3,'New Hires Forecast'!$G$5:$G$81,"&lt;="&amp;Exec!U$3)/12)),IF(YEAR(U$3)=YEAR('New Hires Forecast'!$R$3),((SUMIFS('New Hires Forecast'!$R$5:$R$81,'New Hires Forecast'!$F$5:$F$81,"Exec",'New Hires Forecast'!$H$5:$H$81,"&gt;="&amp;Exec!U$3,'New Hires Forecast'!$G$5:$G$81,"&lt;="&amp;Exec!U$3)/12))))))),0)</f>
        <v>0</v>
      </c>
      <c r="V13" s="684">
        <f>IF(V$4="forecast",IF(YEAR(V$3)=YEAR('New Hires Forecast'!$N$3),((SUMIFS('New Hires Forecast'!$N$5:$N$81,'New Hires Forecast'!$F$5:$F$81,"Exec",'New Hires Forecast'!$H$5:$H$81,"&gt;="&amp;Exec!V$3,'New Hires Forecast'!$G$5:$G$81,"&lt;="&amp;Exec!V$3)/12)),IF(YEAR(V$3)=YEAR('New Hires Forecast'!$O$3),((SUMIFS('New Hires Forecast'!$O$5:$O$81,'New Hires Forecast'!$F$5:$F$81,"Exec",'New Hires Forecast'!$H$5:$H$81,"&gt;="&amp;Exec!V$3,'New Hires Forecast'!$G$5:$G$81,"&lt;="&amp;Exec!V$3)/12)),IF(YEAR(V$3)=YEAR('New Hires Forecast'!$P$3),((SUMIFS('New Hires Forecast'!$P$5:$P$81,'New Hires Forecast'!$F$5:$F$81,"Exec",'New Hires Forecast'!$H$5:$H$81,"&gt;="&amp;Exec!V$3,'New Hires Forecast'!$G$5:$G$81,"&lt;="&amp;Exec!V$3)/12)),IF(YEAR(V$3)=YEAR('New Hires Forecast'!$Q$3),((SUMIFS('New Hires Forecast'!$Q$5:$Q$81,'New Hires Forecast'!$F$5:$F$81,"Exec",'New Hires Forecast'!$H$5:$H$81,"&gt;="&amp;Exec!V$3,'New Hires Forecast'!$G$5:$G$81,"&lt;="&amp;Exec!V$3)/12)),IF(YEAR(V$3)=YEAR('New Hires Forecast'!$R$3),((SUMIFS('New Hires Forecast'!$R$5:$R$81,'New Hires Forecast'!$F$5:$F$81,"Exec",'New Hires Forecast'!$H$5:$H$81,"&gt;="&amp;Exec!V$3,'New Hires Forecast'!$G$5:$G$81,"&lt;="&amp;Exec!V$3)/12))))))),0)</f>
        <v>0</v>
      </c>
      <c r="W13" s="684">
        <f>IF(W$4="forecast",IF(YEAR(W$3)=YEAR('New Hires Forecast'!$N$3),((SUMIFS('New Hires Forecast'!$N$5:$N$81,'New Hires Forecast'!$F$5:$F$81,"Exec",'New Hires Forecast'!$H$5:$H$81,"&gt;="&amp;Exec!W$3,'New Hires Forecast'!$G$5:$G$81,"&lt;="&amp;Exec!W$3)/12)),IF(YEAR(W$3)=YEAR('New Hires Forecast'!$O$3),((SUMIFS('New Hires Forecast'!$O$5:$O$81,'New Hires Forecast'!$F$5:$F$81,"Exec",'New Hires Forecast'!$H$5:$H$81,"&gt;="&amp;Exec!W$3,'New Hires Forecast'!$G$5:$G$81,"&lt;="&amp;Exec!W$3)/12)),IF(YEAR(W$3)=YEAR('New Hires Forecast'!$P$3),((SUMIFS('New Hires Forecast'!$P$5:$P$81,'New Hires Forecast'!$F$5:$F$81,"Exec",'New Hires Forecast'!$H$5:$H$81,"&gt;="&amp;Exec!W$3,'New Hires Forecast'!$G$5:$G$81,"&lt;="&amp;Exec!W$3)/12)),IF(YEAR(W$3)=YEAR('New Hires Forecast'!$Q$3),((SUMIFS('New Hires Forecast'!$Q$5:$Q$81,'New Hires Forecast'!$F$5:$F$81,"Exec",'New Hires Forecast'!$H$5:$H$81,"&gt;="&amp;Exec!W$3,'New Hires Forecast'!$G$5:$G$81,"&lt;="&amp;Exec!W$3)/12)),IF(YEAR(W$3)=YEAR('New Hires Forecast'!$R$3),((SUMIFS('New Hires Forecast'!$R$5:$R$81,'New Hires Forecast'!$F$5:$F$81,"Exec",'New Hires Forecast'!$H$5:$H$81,"&gt;="&amp;Exec!W$3,'New Hires Forecast'!$G$5:$G$81,"&lt;="&amp;Exec!W$3)/12))))))),0)</f>
        <v>0</v>
      </c>
      <c r="X13" s="684">
        <f>IF(X$4="forecast",IF(YEAR(X$3)=YEAR('New Hires Forecast'!$N$3),((SUMIFS('New Hires Forecast'!$N$5:$N$81,'New Hires Forecast'!$F$5:$F$81,"Exec",'New Hires Forecast'!$H$5:$H$81,"&gt;="&amp;Exec!X$3,'New Hires Forecast'!$G$5:$G$81,"&lt;="&amp;Exec!X$3)/12)),IF(YEAR(X$3)=YEAR('New Hires Forecast'!$O$3),((SUMIFS('New Hires Forecast'!$O$5:$O$81,'New Hires Forecast'!$F$5:$F$81,"Exec",'New Hires Forecast'!$H$5:$H$81,"&gt;="&amp;Exec!X$3,'New Hires Forecast'!$G$5:$G$81,"&lt;="&amp;Exec!X$3)/12)),IF(YEAR(X$3)=YEAR('New Hires Forecast'!$P$3),((SUMIFS('New Hires Forecast'!$P$5:$P$81,'New Hires Forecast'!$F$5:$F$81,"Exec",'New Hires Forecast'!$H$5:$H$81,"&gt;="&amp;Exec!X$3,'New Hires Forecast'!$G$5:$G$81,"&lt;="&amp;Exec!X$3)/12)),IF(YEAR(X$3)=YEAR('New Hires Forecast'!$Q$3),((SUMIFS('New Hires Forecast'!$Q$5:$Q$81,'New Hires Forecast'!$F$5:$F$81,"Exec",'New Hires Forecast'!$H$5:$H$81,"&gt;="&amp;Exec!X$3,'New Hires Forecast'!$G$5:$G$81,"&lt;="&amp;Exec!X$3)/12)),IF(YEAR(X$3)=YEAR('New Hires Forecast'!$R$3),((SUMIFS('New Hires Forecast'!$R$5:$R$81,'New Hires Forecast'!$F$5:$F$81,"Exec",'New Hires Forecast'!$H$5:$H$81,"&gt;="&amp;Exec!X$3,'New Hires Forecast'!$G$5:$G$81,"&lt;="&amp;Exec!X$3)/12))))))),0)</f>
        <v>0</v>
      </c>
      <c r="Y13" s="684">
        <f>IF(Y$4="forecast",IF(YEAR(Y$3)=YEAR('New Hires Forecast'!$N$3),((SUMIFS('New Hires Forecast'!$N$5:$N$81,'New Hires Forecast'!$F$5:$F$81,"Exec",'New Hires Forecast'!$H$5:$H$81,"&gt;="&amp;Exec!Y$3,'New Hires Forecast'!$G$5:$G$81,"&lt;="&amp;Exec!Y$3)/12)),IF(YEAR(Y$3)=YEAR('New Hires Forecast'!$O$3),((SUMIFS('New Hires Forecast'!$O$5:$O$81,'New Hires Forecast'!$F$5:$F$81,"Exec",'New Hires Forecast'!$H$5:$H$81,"&gt;="&amp;Exec!Y$3,'New Hires Forecast'!$G$5:$G$81,"&lt;="&amp;Exec!Y$3)/12)),IF(YEAR(Y$3)=YEAR('New Hires Forecast'!$P$3),((SUMIFS('New Hires Forecast'!$P$5:$P$81,'New Hires Forecast'!$F$5:$F$81,"Exec",'New Hires Forecast'!$H$5:$H$81,"&gt;="&amp;Exec!Y$3,'New Hires Forecast'!$G$5:$G$81,"&lt;="&amp;Exec!Y$3)/12)),IF(YEAR(Y$3)=YEAR('New Hires Forecast'!$Q$3),((SUMIFS('New Hires Forecast'!$Q$5:$Q$81,'New Hires Forecast'!$F$5:$F$81,"Exec",'New Hires Forecast'!$H$5:$H$81,"&gt;="&amp;Exec!Y$3,'New Hires Forecast'!$G$5:$G$81,"&lt;="&amp;Exec!Y$3)/12)),IF(YEAR(Y$3)=YEAR('New Hires Forecast'!$R$3),((SUMIFS('New Hires Forecast'!$R$5:$R$81,'New Hires Forecast'!$F$5:$F$81,"Exec",'New Hires Forecast'!$H$5:$H$81,"&gt;="&amp;Exec!Y$3,'New Hires Forecast'!$G$5:$G$81,"&lt;="&amp;Exec!Y$3)/12))))))),0)</f>
        <v>0</v>
      </c>
      <c r="Z13" s="684">
        <f>IF(Z$4="forecast",IF(YEAR(Z$3)=YEAR('New Hires Forecast'!$N$3),((SUMIFS('New Hires Forecast'!$N$5:$N$81,'New Hires Forecast'!$F$5:$F$81,"Exec",'New Hires Forecast'!$H$5:$H$81,"&gt;="&amp;Exec!Z$3,'New Hires Forecast'!$G$5:$G$81,"&lt;="&amp;Exec!Z$3)/12)),IF(YEAR(Z$3)=YEAR('New Hires Forecast'!$O$3),((SUMIFS('New Hires Forecast'!$O$5:$O$81,'New Hires Forecast'!$F$5:$F$81,"Exec",'New Hires Forecast'!$H$5:$H$81,"&gt;="&amp;Exec!Z$3,'New Hires Forecast'!$G$5:$G$81,"&lt;="&amp;Exec!Z$3)/12)),IF(YEAR(Z$3)=YEAR('New Hires Forecast'!$P$3),((SUMIFS('New Hires Forecast'!$P$5:$P$81,'New Hires Forecast'!$F$5:$F$81,"Exec",'New Hires Forecast'!$H$5:$H$81,"&gt;="&amp;Exec!Z$3,'New Hires Forecast'!$G$5:$G$81,"&lt;="&amp;Exec!Z$3)/12)),IF(YEAR(Z$3)=YEAR('New Hires Forecast'!$Q$3),((SUMIFS('New Hires Forecast'!$Q$5:$Q$81,'New Hires Forecast'!$F$5:$F$81,"Exec",'New Hires Forecast'!$H$5:$H$81,"&gt;="&amp;Exec!Z$3,'New Hires Forecast'!$G$5:$G$81,"&lt;="&amp;Exec!Z$3)/12)),IF(YEAR(Z$3)=YEAR('New Hires Forecast'!$R$3),((SUMIFS('New Hires Forecast'!$R$5:$R$81,'New Hires Forecast'!$F$5:$F$81,"Exec",'New Hires Forecast'!$H$5:$H$81,"&gt;="&amp;Exec!Z$3,'New Hires Forecast'!$G$5:$G$81,"&lt;="&amp;Exec!Z$3)/12))))))),0)</f>
        <v>0</v>
      </c>
      <c r="AA13" s="684">
        <f>IF(AA$4="forecast",IF(YEAR(AA$3)=YEAR('New Hires Forecast'!$N$3),((SUMIFS('New Hires Forecast'!$N$5:$N$81,'New Hires Forecast'!$F$5:$F$81,"Exec",'New Hires Forecast'!$H$5:$H$81,"&gt;="&amp;Exec!AA$3,'New Hires Forecast'!$G$5:$G$81,"&lt;="&amp;Exec!AA$3)/12)),IF(YEAR(AA$3)=YEAR('New Hires Forecast'!$O$3),((SUMIFS('New Hires Forecast'!$O$5:$O$81,'New Hires Forecast'!$F$5:$F$81,"Exec",'New Hires Forecast'!$H$5:$H$81,"&gt;="&amp;Exec!AA$3,'New Hires Forecast'!$G$5:$G$81,"&lt;="&amp;Exec!AA$3)/12)),IF(YEAR(AA$3)=YEAR('New Hires Forecast'!$P$3),((SUMIFS('New Hires Forecast'!$P$5:$P$81,'New Hires Forecast'!$F$5:$F$81,"Exec",'New Hires Forecast'!$H$5:$H$81,"&gt;="&amp;Exec!AA$3,'New Hires Forecast'!$G$5:$G$81,"&lt;="&amp;Exec!AA$3)/12)),IF(YEAR(AA$3)=YEAR('New Hires Forecast'!$Q$3),((SUMIFS('New Hires Forecast'!$Q$5:$Q$81,'New Hires Forecast'!$F$5:$F$81,"Exec",'New Hires Forecast'!$H$5:$H$81,"&gt;="&amp;Exec!AA$3,'New Hires Forecast'!$G$5:$G$81,"&lt;="&amp;Exec!AA$3)/12)),IF(YEAR(AA$3)=YEAR('New Hires Forecast'!$R$3),((SUMIFS('New Hires Forecast'!$R$5:$R$81,'New Hires Forecast'!$F$5:$F$81,"Exec",'New Hires Forecast'!$H$5:$H$81,"&gt;="&amp;Exec!AA$3,'New Hires Forecast'!$G$5:$G$81,"&lt;="&amp;Exec!AA$3)/12))))))),0)</f>
        <v>0</v>
      </c>
      <c r="AB13" s="684">
        <f>IF(AB$4="forecast",IF(YEAR(AB$3)=YEAR('New Hires Forecast'!$N$3),((SUMIFS('New Hires Forecast'!$N$5:$N$81,'New Hires Forecast'!$F$5:$F$81,"Exec",'New Hires Forecast'!$H$5:$H$81,"&gt;="&amp;Exec!AB$3,'New Hires Forecast'!$G$5:$G$81,"&lt;="&amp;Exec!AB$3)/12)),IF(YEAR(AB$3)=YEAR('New Hires Forecast'!$O$3),((SUMIFS('New Hires Forecast'!$O$5:$O$81,'New Hires Forecast'!$F$5:$F$81,"Exec",'New Hires Forecast'!$H$5:$H$81,"&gt;="&amp;Exec!AB$3,'New Hires Forecast'!$G$5:$G$81,"&lt;="&amp;Exec!AB$3)/12)),IF(YEAR(AB$3)=YEAR('New Hires Forecast'!$P$3),((SUMIFS('New Hires Forecast'!$P$5:$P$81,'New Hires Forecast'!$F$5:$F$81,"Exec",'New Hires Forecast'!$H$5:$H$81,"&gt;="&amp;Exec!AB$3,'New Hires Forecast'!$G$5:$G$81,"&lt;="&amp;Exec!AB$3)/12)),IF(YEAR(AB$3)=YEAR('New Hires Forecast'!$Q$3),((SUMIFS('New Hires Forecast'!$Q$5:$Q$81,'New Hires Forecast'!$F$5:$F$81,"Exec",'New Hires Forecast'!$H$5:$H$81,"&gt;="&amp;Exec!AB$3,'New Hires Forecast'!$G$5:$G$81,"&lt;="&amp;Exec!AB$3)/12)),IF(YEAR(AB$3)=YEAR('New Hires Forecast'!$R$3),((SUMIFS('New Hires Forecast'!$R$5:$R$81,'New Hires Forecast'!$F$5:$F$81,"Exec",'New Hires Forecast'!$H$5:$H$81,"&gt;="&amp;Exec!AB$3,'New Hires Forecast'!$G$5:$G$81,"&lt;="&amp;Exec!AB$3)/12))))))),0)</f>
        <v>0</v>
      </c>
      <c r="AC13" s="684">
        <f>IF(AC$4="forecast",IF(YEAR(AC$3)=YEAR('New Hires Forecast'!$N$3),((SUMIFS('New Hires Forecast'!$N$5:$N$81,'New Hires Forecast'!$F$5:$F$81,"Exec",'New Hires Forecast'!$H$5:$H$81,"&gt;="&amp;Exec!AC$3,'New Hires Forecast'!$G$5:$G$81,"&lt;="&amp;Exec!AC$3)/12)),IF(YEAR(AC$3)=YEAR('New Hires Forecast'!$O$3),((SUMIFS('New Hires Forecast'!$O$5:$O$81,'New Hires Forecast'!$F$5:$F$81,"Exec",'New Hires Forecast'!$H$5:$H$81,"&gt;="&amp;Exec!AC$3,'New Hires Forecast'!$G$5:$G$81,"&lt;="&amp;Exec!AC$3)/12)),IF(YEAR(AC$3)=YEAR('New Hires Forecast'!$P$3),((SUMIFS('New Hires Forecast'!$P$5:$P$81,'New Hires Forecast'!$F$5:$F$81,"Exec",'New Hires Forecast'!$H$5:$H$81,"&gt;="&amp;Exec!AC$3,'New Hires Forecast'!$G$5:$G$81,"&lt;="&amp;Exec!AC$3)/12)),IF(YEAR(AC$3)=YEAR('New Hires Forecast'!$Q$3),((SUMIFS('New Hires Forecast'!$Q$5:$Q$81,'New Hires Forecast'!$F$5:$F$81,"Exec",'New Hires Forecast'!$H$5:$H$81,"&gt;="&amp;Exec!AC$3,'New Hires Forecast'!$G$5:$G$81,"&lt;="&amp;Exec!AC$3)/12)),IF(YEAR(AC$3)=YEAR('New Hires Forecast'!$R$3),((SUMIFS('New Hires Forecast'!$R$5:$R$81,'New Hires Forecast'!$F$5:$F$81,"Exec",'New Hires Forecast'!$H$5:$H$81,"&gt;="&amp;Exec!AC$3,'New Hires Forecast'!$G$5:$G$81,"&lt;="&amp;Exec!AC$3)/12))))))),0)</f>
        <v>0</v>
      </c>
      <c r="AD13" s="684">
        <f>IF(AD$4="forecast",IF(YEAR(AD$3)=YEAR('New Hires Forecast'!$N$3),((SUMIFS('New Hires Forecast'!$N$5:$N$81,'New Hires Forecast'!$F$5:$F$81,"Exec",'New Hires Forecast'!$H$5:$H$81,"&gt;="&amp;Exec!AD$3,'New Hires Forecast'!$G$5:$G$81,"&lt;="&amp;Exec!AD$3)/12)),IF(YEAR(AD$3)=YEAR('New Hires Forecast'!$O$3),((SUMIFS('New Hires Forecast'!$O$5:$O$81,'New Hires Forecast'!$F$5:$F$81,"Exec",'New Hires Forecast'!$H$5:$H$81,"&gt;="&amp;Exec!AD$3,'New Hires Forecast'!$G$5:$G$81,"&lt;="&amp;Exec!AD$3)/12)),IF(YEAR(AD$3)=YEAR('New Hires Forecast'!$P$3),((SUMIFS('New Hires Forecast'!$P$5:$P$81,'New Hires Forecast'!$F$5:$F$81,"Exec",'New Hires Forecast'!$H$5:$H$81,"&gt;="&amp;Exec!AD$3,'New Hires Forecast'!$G$5:$G$81,"&lt;="&amp;Exec!AD$3)/12)),IF(YEAR(AD$3)=YEAR('New Hires Forecast'!$Q$3),((SUMIFS('New Hires Forecast'!$Q$5:$Q$81,'New Hires Forecast'!$F$5:$F$81,"Exec",'New Hires Forecast'!$H$5:$H$81,"&gt;="&amp;Exec!AD$3,'New Hires Forecast'!$G$5:$G$81,"&lt;="&amp;Exec!AD$3)/12)),IF(YEAR(AD$3)=YEAR('New Hires Forecast'!$R$3),((SUMIFS('New Hires Forecast'!$R$5:$R$81,'New Hires Forecast'!$F$5:$F$81,"Exec",'New Hires Forecast'!$H$5:$H$81,"&gt;="&amp;Exec!AD$3,'New Hires Forecast'!$G$5:$G$81,"&lt;="&amp;Exec!AD$3)/12))))))),0)</f>
        <v>0</v>
      </c>
      <c r="AE13" s="684">
        <f>IF(AE$4="forecast",IF(YEAR(AE$3)=YEAR('New Hires Forecast'!$N$3),((SUMIFS('New Hires Forecast'!$N$5:$N$81,'New Hires Forecast'!$F$5:$F$81,"Exec",'New Hires Forecast'!$H$5:$H$81,"&gt;="&amp;Exec!AE$3,'New Hires Forecast'!$G$5:$G$81,"&lt;="&amp;Exec!AE$3)/12)),IF(YEAR(AE$3)=YEAR('New Hires Forecast'!$O$3),((SUMIFS('New Hires Forecast'!$O$5:$O$81,'New Hires Forecast'!$F$5:$F$81,"Exec",'New Hires Forecast'!$H$5:$H$81,"&gt;="&amp;Exec!AE$3,'New Hires Forecast'!$G$5:$G$81,"&lt;="&amp;Exec!AE$3)/12)),IF(YEAR(AE$3)=YEAR('New Hires Forecast'!$P$3),((SUMIFS('New Hires Forecast'!$P$5:$P$81,'New Hires Forecast'!$F$5:$F$81,"Exec",'New Hires Forecast'!$H$5:$H$81,"&gt;="&amp;Exec!AE$3,'New Hires Forecast'!$G$5:$G$81,"&lt;="&amp;Exec!AE$3)/12)),IF(YEAR(AE$3)=YEAR('New Hires Forecast'!$Q$3),((SUMIFS('New Hires Forecast'!$Q$5:$Q$81,'New Hires Forecast'!$F$5:$F$81,"Exec",'New Hires Forecast'!$H$5:$H$81,"&gt;="&amp;Exec!AE$3,'New Hires Forecast'!$G$5:$G$81,"&lt;="&amp;Exec!AE$3)/12)),IF(YEAR(AE$3)=YEAR('New Hires Forecast'!$R$3),((SUMIFS('New Hires Forecast'!$R$5:$R$81,'New Hires Forecast'!$F$5:$F$81,"Exec",'New Hires Forecast'!$H$5:$H$81,"&gt;="&amp;Exec!AE$3,'New Hires Forecast'!$G$5:$G$81,"&lt;="&amp;Exec!AE$3)/12))))))),0)</f>
        <v>0</v>
      </c>
      <c r="AF13" s="684">
        <f>IF(AF$4="forecast",IF(YEAR(AF$3)=YEAR('New Hires Forecast'!$N$3),((SUMIFS('New Hires Forecast'!$N$5:$N$81,'New Hires Forecast'!$F$5:$F$81,"Exec",'New Hires Forecast'!$H$5:$H$81,"&gt;="&amp;Exec!AF$3,'New Hires Forecast'!$G$5:$G$81,"&lt;="&amp;Exec!AF$3)/12)),IF(YEAR(AF$3)=YEAR('New Hires Forecast'!$O$3),((SUMIFS('New Hires Forecast'!$O$5:$O$81,'New Hires Forecast'!$F$5:$F$81,"Exec",'New Hires Forecast'!$H$5:$H$81,"&gt;="&amp;Exec!AF$3,'New Hires Forecast'!$G$5:$G$81,"&lt;="&amp;Exec!AF$3)/12)),IF(YEAR(AF$3)=YEAR('New Hires Forecast'!$P$3),((SUMIFS('New Hires Forecast'!$P$5:$P$81,'New Hires Forecast'!$F$5:$F$81,"Exec",'New Hires Forecast'!$H$5:$H$81,"&gt;="&amp;Exec!AF$3,'New Hires Forecast'!$G$5:$G$81,"&lt;="&amp;Exec!AF$3)/12)),IF(YEAR(AF$3)=YEAR('New Hires Forecast'!$Q$3),((SUMIFS('New Hires Forecast'!$Q$5:$Q$81,'New Hires Forecast'!$F$5:$F$81,"Exec",'New Hires Forecast'!$H$5:$H$81,"&gt;="&amp;Exec!AF$3,'New Hires Forecast'!$G$5:$G$81,"&lt;="&amp;Exec!AF$3)/12)),IF(YEAR(AF$3)=YEAR('New Hires Forecast'!$R$3),((SUMIFS('New Hires Forecast'!$R$5:$R$81,'New Hires Forecast'!$F$5:$F$81,"Exec",'New Hires Forecast'!$H$5:$H$81,"&gt;="&amp;Exec!AF$3,'New Hires Forecast'!$G$5:$G$81,"&lt;="&amp;Exec!AF$3)/12))))))),0)</f>
        <v>0</v>
      </c>
      <c r="AG13" s="684">
        <f>IF(AG$4="forecast",IF(YEAR(AG$3)=YEAR('New Hires Forecast'!$N$3),((SUMIFS('New Hires Forecast'!$N$5:$N$81,'New Hires Forecast'!$F$5:$F$81,"Exec",'New Hires Forecast'!$H$5:$H$81,"&gt;="&amp;Exec!AG$3,'New Hires Forecast'!$G$5:$G$81,"&lt;="&amp;Exec!AG$3)/12)),IF(YEAR(AG$3)=YEAR('New Hires Forecast'!$O$3),((SUMIFS('New Hires Forecast'!$O$5:$O$81,'New Hires Forecast'!$F$5:$F$81,"Exec",'New Hires Forecast'!$H$5:$H$81,"&gt;="&amp;Exec!AG$3,'New Hires Forecast'!$G$5:$G$81,"&lt;="&amp;Exec!AG$3)/12)),IF(YEAR(AG$3)=YEAR('New Hires Forecast'!$P$3),((SUMIFS('New Hires Forecast'!$P$5:$P$81,'New Hires Forecast'!$F$5:$F$81,"Exec",'New Hires Forecast'!$H$5:$H$81,"&gt;="&amp;Exec!AG$3,'New Hires Forecast'!$G$5:$G$81,"&lt;="&amp;Exec!AG$3)/12)),IF(YEAR(AG$3)=YEAR('New Hires Forecast'!$Q$3),((SUMIFS('New Hires Forecast'!$Q$5:$Q$81,'New Hires Forecast'!$F$5:$F$81,"Exec",'New Hires Forecast'!$H$5:$H$81,"&gt;="&amp;Exec!AG$3,'New Hires Forecast'!$G$5:$G$81,"&lt;="&amp;Exec!AG$3)/12)),IF(YEAR(AG$3)=YEAR('New Hires Forecast'!$R$3),((SUMIFS('New Hires Forecast'!$R$5:$R$81,'New Hires Forecast'!$F$5:$F$81,"Exec",'New Hires Forecast'!$H$5:$H$81,"&gt;="&amp;Exec!AG$3,'New Hires Forecast'!$G$5:$G$81,"&lt;="&amp;Exec!AG$3)/12))))))),0)</f>
        <v>0</v>
      </c>
      <c r="AH13" s="684">
        <f>IF(AH$4="forecast",IF(YEAR(AH$3)=YEAR('New Hires Forecast'!$N$3),((SUMIFS('New Hires Forecast'!$N$5:$N$81,'New Hires Forecast'!$F$5:$F$81,"Exec",'New Hires Forecast'!$H$5:$H$81,"&gt;="&amp;Exec!AH$3,'New Hires Forecast'!$G$5:$G$81,"&lt;="&amp;Exec!AH$3)/12)),IF(YEAR(AH$3)=YEAR('New Hires Forecast'!$O$3),((SUMIFS('New Hires Forecast'!$O$5:$O$81,'New Hires Forecast'!$F$5:$F$81,"Exec",'New Hires Forecast'!$H$5:$H$81,"&gt;="&amp;Exec!AH$3,'New Hires Forecast'!$G$5:$G$81,"&lt;="&amp;Exec!AH$3)/12)),IF(YEAR(AH$3)=YEAR('New Hires Forecast'!$P$3),((SUMIFS('New Hires Forecast'!$P$5:$P$81,'New Hires Forecast'!$F$5:$F$81,"Exec",'New Hires Forecast'!$H$5:$H$81,"&gt;="&amp;Exec!AH$3,'New Hires Forecast'!$G$5:$G$81,"&lt;="&amp;Exec!AH$3)/12)),IF(YEAR(AH$3)=YEAR('New Hires Forecast'!$Q$3),((SUMIFS('New Hires Forecast'!$Q$5:$Q$81,'New Hires Forecast'!$F$5:$F$81,"Exec",'New Hires Forecast'!$H$5:$H$81,"&gt;="&amp;Exec!AH$3,'New Hires Forecast'!$G$5:$G$81,"&lt;="&amp;Exec!AH$3)/12)),IF(YEAR(AH$3)=YEAR('New Hires Forecast'!$R$3),((SUMIFS('New Hires Forecast'!$R$5:$R$81,'New Hires Forecast'!$F$5:$F$81,"Exec",'New Hires Forecast'!$H$5:$H$81,"&gt;="&amp;Exec!AH$3,'New Hires Forecast'!$G$5:$G$81,"&lt;="&amp;Exec!AH$3)/12))))))),0)</f>
        <v>0</v>
      </c>
      <c r="AI13" s="684">
        <f>IF(AI$4="forecast",IF(YEAR(AI$3)=YEAR('New Hires Forecast'!$N$3),((SUMIFS('New Hires Forecast'!$N$5:$N$81,'New Hires Forecast'!$F$5:$F$81,"Exec",'New Hires Forecast'!$H$5:$H$81,"&gt;="&amp;Exec!AI$3,'New Hires Forecast'!$G$5:$G$81,"&lt;="&amp;Exec!AI$3)/12)),IF(YEAR(AI$3)=YEAR('New Hires Forecast'!$O$3),((SUMIFS('New Hires Forecast'!$O$5:$O$81,'New Hires Forecast'!$F$5:$F$81,"Exec",'New Hires Forecast'!$H$5:$H$81,"&gt;="&amp;Exec!AI$3,'New Hires Forecast'!$G$5:$G$81,"&lt;="&amp;Exec!AI$3)/12)),IF(YEAR(AI$3)=YEAR('New Hires Forecast'!$P$3),((SUMIFS('New Hires Forecast'!$P$5:$P$81,'New Hires Forecast'!$F$5:$F$81,"Exec",'New Hires Forecast'!$H$5:$H$81,"&gt;="&amp;Exec!AI$3,'New Hires Forecast'!$G$5:$G$81,"&lt;="&amp;Exec!AI$3)/12)),IF(YEAR(AI$3)=YEAR('New Hires Forecast'!$Q$3),((SUMIFS('New Hires Forecast'!$Q$5:$Q$81,'New Hires Forecast'!$F$5:$F$81,"Exec",'New Hires Forecast'!$H$5:$H$81,"&gt;="&amp;Exec!AI$3,'New Hires Forecast'!$G$5:$G$81,"&lt;="&amp;Exec!AI$3)/12)),IF(YEAR(AI$3)=YEAR('New Hires Forecast'!$R$3),((SUMIFS('New Hires Forecast'!$R$5:$R$81,'New Hires Forecast'!$F$5:$F$81,"Exec",'New Hires Forecast'!$H$5:$H$81,"&gt;="&amp;Exec!AI$3,'New Hires Forecast'!$G$5:$G$81,"&lt;="&amp;Exec!AI$3)/12))))))),0)</f>
        <v>0</v>
      </c>
      <c r="AJ13" s="684">
        <f>IF(AJ$4="forecast",IF(YEAR(AJ$3)=YEAR('New Hires Forecast'!$N$3),((SUMIFS('New Hires Forecast'!$N$5:$N$81,'New Hires Forecast'!$F$5:$F$81,"Exec",'New Hires Forecast'!$H$5:$H$81,"&gt;="&amp;Exec!AJ$3,'New Hires Forecast'!$G$5:$G$81,"&lt;="&amp;Exec!AJ$3)/12)),IF(YEAR(AJ$3)=YEAR('New Hires Forecast'!$O$3),((SUMIFS('New Hires Forecast'!$O$5:$O$81,'New Hires Forecast'!$F$5:$F$81,"Exec",'New Hires Forecast'!$H$5:$H$81,"&gt;="&amp;Exec!AJ$3,'New Hires Forecast'!$G$5:$G$81,"&lt;="&amp;Exec!AJ$3)/12)),IF(YEAR(AJ$3)=YEAR('New Hires Forecast'!$P$3),((SUMIFS('New Hires Forecast'!$P$5:$P$81,'New Hires Forecast'!$F$5:$F$81,"Exec",'New Hires Forecast'!$H$5:$H$81,"&gt;="&amp;Exec!AJ$3,'New Hires Forecast'!$G$5:$G$81,"&lt;="&amp;Exec!AJ$3)/12)),IF(YEAR(AJ$3)=YEAR('New Hires Forecast'!$Q$3),((SUMIFS('New Hires Forecast'!$Q$5:$Q$81,'New Hires Forecast'!$F$5:$F$81,"Exec",'New Hires Forecast'!$H$5:$H$81,"&gt;="&amp;Exec!AJ$3,'New Hires Forecast'!$G$5:$G$81,"&lt;="&amp;Exec!AJ$3)/12)),IF(YEAR(AJ$3)=YEAR('New Hires Forecast'!$R$3),((SUMIFS('New Hires Forecast'!$R$5:$R$81,'New Hires Forecast'!$F$5:$F$81,"Exec",'New Hires Forecast'!$H$5:$H$81,"&gt;="&amp;Exec!AJ$3,'New Hires Forecast'!$G$5:$G$81,"&lt;="&amp;Exec!AJ$3)/12))))))),0)</f>
        <v>0</v>
      </c>
      <c r="AK13" s="684">
        <f>IF(AK$4="forecast",IF(YEAR(AK$3)=YEAR('New Hires Forecast'!$N$3),((SUMIFS('New Hires Forecast'!$N$5:$N$81,'New Hires Forecast'!$F$5:$F$81,"Exec",'New Hires Forecast'!$H$5:$H$81,"&gt;="&amp;Exec!AK$3,'New Hires Forecast'!$G$5:$G$81,"&lt;="&amp;Exec!AK$3)/12)),IF(YEAR(AK$3)=YEAR('New Hires Forecast'!$O$3),((SUMIFS('New Hires Forecast'!$O$5:$O$81,'New Hires Forecast'!$F$5:$F$81,"Exec",'New Hires Forecast'!$H$5:$H$81,"&gt;="&amp;Exec!AK$3,'New Hires Forecast'!$G$5:$G$81,"&lt;="&amp;Exec!AK$3)/12)),IF(YEAR(AK$3)=YEAR('New Hires Forecast'!$P$3),((SUMIFS('New Hires Forecast'!$P$5:$P$81,'New Hires Forecast'!$F$5:$F$81,"Exec",'New Hires Forecast'!$H$5:$H$81,"&gt;="&amp;Exec!AK$3,'New Hires Forecast'!$G$5:$G$81,"&lt;="&amp;Exec!AK$3)/12)),IF(YEAR(AK$3)=YEAR('New Hires Forecast'!$Q$3),((SUMIFS('New Hires Forecast'!$Q$5:$Q$81,'New Hires Forecast'!$F$5:$F$81,"Exec",'New Hires Forecast'!$H$5:$H$81,"&gt;="&amp;Exec!AK$3,'New Hires Forecast'!$G$5:$G$81,"&lt;="&amp;Exec!AK$3)/12)),IF(YEAR(AK$3)=YEAR('New Hires Forecast'!$R$3),((SUMIFS('New Hires Forecast'!$R$5:$R$81,'New Hires Forecast'!$F$5:$F$81,"Exec",'New Hires Forecast'!$H$5:$H$81,"&gt;="&amp;Exec!AK$3,'New Hires Forecast'!$G$5:$G$81,"&lt;="&amp;Exec!AK$3)/12))))))),0)</f>
        <v>0</v>
      </c>
      <c r="AL13" s="684">
        <f>IF(AL$4="forecast",IF(YEAR(AL$3)=YEAR('New Hires Forecast'!$N$3),((SUMIFS('New Hires Forecast'!$N$5:$N$81,'New Hires Forecast'!$F$5:$F$81,"Exec",'New Hires Forecast'!$H$5:$H$81,"&gt;="&amp;Exec!AL$3,'New Hires Forecast'!$G$5:$G$81,"&lt;="&amp;Exec!AL$3)/12)),IF(YEAR(AL$3)=YEAR('New Hires Forecast'!$O$3),((SUMIFS('New Hires Forecast'!$O$5:$O$81,'New Hires Forecast'!$F$5:$F$81,"Exec",'New Hires Forecast'!$H$5:$H$81,"&gt;="&amp;Exec!AL$3,'New Hires Forecast'!$G$5:$G$81,"&lt;="&amp;Exec!AL$3)/12)),IF(YEAR(AL$3)=YEAR('New Hires Forecast'!$P$3),((SUMIFS('New Hires Forecast'!$P$5:$P$81,'New Hires Forecast'!$F$5:$F$81,"Exec",'New Hires Forecast'!$H$5:$H$81,"&gt;="&amp;Exec!AL$3,'New Hires Forecast'!$G$5:$G$81,"&lt;="&amp;Exec!AL$3)/12)),IF(YEAR(AL$3)=YEAR('New Hires Forecast'!$Q$3),((SUMIFS('New Hires Forecast'!$Q$5:$Q$81,'New Hires Forecast'!$F$5:$F$81,"Exec",'New Hires Forecast'!$H$5:$H$81,"&gt;="&amp;Exec!AL$3,'New Hires Forecast'!$G$5:$G$81,"&lt;="&amp;Exec!AL$3)/12)),IF(YEAR(AL$3)=YEAR('New Hires Forecast'!$R$3),((SUMIFS('New Hires Forecast'!$R$5:$R$81,'New Hires Forecast'!$F$5:$F$81,"Exec",'New Hires Forecast'!$H$5:$H$81,"&gt;="&amp;Exec!AL$3,'New Hires Forecast'!$G$5:$G$81,"&lt;="&amp;Exec!AL$3)/12))))))),0)</f>
        <v>0</v>
      </c>
      <c r="AM13" s="684">
        <f>IF(AM$4="forecast",IF(YEAR(AM$3)=YEAR('New Hires Forecast'!$N$3),((SUMIFS('New Hires Forecast'!$N$5:$N$81,'New Hires Forecast'!$F$5:$F$81,"Exec",'New Hires Forecast'!$H$5:$H$81,"&gt;="&amp;Exec!AM$3,'New Hires Forecast'!$G$5:$G$81,"&lt;="&amp;Exec!AM$3)/12)),IF(YEAR(AM$3)=YEAR('New Hires Forecast'!$O$3),((SUMIFS('New Hires Forecast'!$O$5:$O$81,'New Hires Forecast'!$F$5:$F$81,"Exec",'New Hires Forecast'!$H$5:$H$81,"&gt;="&amp;Exec!AM$3,'New Hires Forecast'!$G$5:$G$81,"&lt;="&amp;Exec!AM$3)/12)),IF(YEAR(AM$3)=YEAR('New Hires Forecast'!$P$3),((SUMIFS('New Hires Forecast'!$P$5:$P$81,'New Hires Forecast'!$F$5:$F$81,"Exec",'New Hires Forecast'!$H$5:$H$81,"&gt;="&amp;Exec!AM$3,'New Hires Forecast'!$G$5:$G$81,"&lt;="&amp;Exec!AM$3)/12)),IF(YEAR(AM$3)=YEAR('New Hires Forecast'!$Q$3),((SUMIFS('New Hires Forecast'!$Q$5:$Q$81,'New Hires Forecast'!$F$5:$F$81,"Exec",'New Hires Forecast'!$H$5:$H$81,"&gt;="&amp;Exec!AM$3,'New Hires Forecast'!$G$5:$G$81,"&lt;="&amp;Exec!AM$3)/12)),IF(YEAR(AM$3)=YEAR('New Hires Forecast'!$R$3),((SUMIFS('New Hires Forecast'!$R$5:$R$81,'New Hires Forecast'!$F$5:$F$81,"Exec",'New Hires Forecast'!$H$5:$H$81,"&gt;="&amp;Exec!AM$3,'New Hires Forecast'!$G$5:$G$81,"&lt;="&amp;Exec!AM$3)/12))))))),0)</f>
        <v>0</v>
      </c>
      <c r="AN13" s="684">
        <f>IF(AN$4="forecast",IF(YEAR(AN$3)=YEAR('New Hires Forecast'!$N$3),((SUMIFS('New Hires Forecast'!$N$5:$N$81,'New Hires Forecast'!$F$5:$F$81,"Exec",'New Hires Forecast'!$H$5:$H$81,"&gt;="&amp;Exec!AN$3,'New Hires Forecast'!$G$5:$G$81,"&lt;="&amp;Exec!AN$3)/12)),IF(YEAR(AN$3)=YEAR('New Hires Forecast'!$O$3),((SUMIFS('New Hires Forecast'!$O$5:$O$81,'New Hires Forecast'!$F$5:$F$81,"Exec",'New Hires Forecast'!$H$5:$H$81,"&gt;="&amp;Exec!AN$3,'New Hires Forecast'!$G$5:$G$81,"&lt;="&amp;Exec!AN$3)/12)),IF(YEAR(AN$3)=YEAR('New Hires Forecast'!$P$3),((SUMIFS('New Hires Forecast'!$P$5:$P$81,'New Hires Forecast'!$F$5:$F$81,"Exec",'New Hires Forecast'!$H$5:$H$81,"&gt;="&amp;Exec!AN$3,'New Hires Forecast'!$G$5:$G$81,"&lt;="&amp;Exec!AN$3)/12)),IF(YEAR(AN$3)=YEAR('New Hires Forecast'!$Q$3),((SUMIFS('New Hires Forecast'!$Q$5:$Q$81,'New Hires Forecast'!$F$5:$F$81,"Exec",'New Hires Forecast'!$H$5:$H$81,"&gt;="&amp;Exec!AN$3,'New Hires Forecast'!$G$5:$G$81,"&lt;="&amp;Exec!AN$3)/12)),IF(YEAR(AN$3)=YEAR('New Hires Forecast'!$R$3),((SUMIFS('New Hires Forecast'!$R$5:$R$81,'New Hires Forecast'!$F$5:$F$81,"Exec",'New Hires Forecast'!$H$5:$H$81,"&gt;="&amp;Exec!AN$3,'New Hires Forecast'!$G$5:$G$81,"&lt;="&amp;Exec!AN$3)/12))))))),0)</f>
        <v>0</v>
      </c>
      <c r="AO13" s="684">
        <f>IF(AO$4="forecast",IF(YEAR(AO$3)=YEAR('New Hires Forecast'!$N$3),((SUMIFS('New Hires Forecast'!$N$5:$N$81,'New Hires Forecast'!$F$5:$F$81,"Exec",'New Hires Forecast'!$H$5:$H$81,"&gt;="&amp;Exec!AO$3,'New Hires Forecast'!$G$5:$G$81,"&lt;="&amp;Exec!AO$3)/12)),IF(YEAR(AO$3)=YEAR('New Hires Forecast'!$O$3),((SUMIFS('New Hires Forecast'!$O$5:$O$81,'New Hires Forecast'!$F$5:$F$81,"Exec",'New Hires Forecast'!$H$5:$H$81,"&gt;="&amp;Exec!AO$3,'New Hires Forecast'!$G$5:$G$81,"&lt;="&amp;Exec!AO$3)/12)),IF(YEAR(AO$3)=YEAR('New Hires Forecast'!$P$3),((SUMIFS('New Hires Forecast'!$P$5:$P$81,'New Hires Forecast'!$F$5:$F$81,"Exec",'New Hires Forecast'!$H$5:$H$81,"&gt;="&amp;Exec!AO$3,'New Hires Forecast'!$G$5:$G$81,"&lt;="&amp;Exec!AO$3)/12)),IF(YEAR(AO$3)=YEAR('New Hires Forecast'!$Q$3),((SUMIFS('New Hires Forecast'!$Q$5:$Q$81,'New Hires Forecast'!$F$5:$F$81,"Exec",'New Hires Forecast'!$H$5:$H$81,"&gt;="&amp;Exec!AO$3,'New Hires Forecast'!$G$5:$G$81,"&lt;="&amp;Exec!AO$3)/12)),IF(YEAR(AO$3)=YEAR('New Hires Forecast'!$R$3),((SUMIFS('New Hires Forecast'!$R$5:$R$81,'New Hires Forecast'!$F$5:$F$81,"Exec",'New Hires Forecast'!$H$5:$H$81,"&gt;="&amp;Exec!AO$3,'New Hires Forecast'!$G$5:$G$81,"&lt;="&amp;Exec!AO$3)/12))))))),0)</f>
        <v>0</v>
      </c>
      <c r="AP13" s="684">
        <f>IF(AP$4="forecast",IF(YEAR(AP$3)=YEAR('New Hires Forecast'!$N$3),((SUMIFS('New Hires Forecast'!$N$5:$N$81,'New Hires Forecast'!$F$5:$F$81,"Exec",'New Hires Forecast'!$H$5:$H$81,"&gt;="&amp;Exec!AP$3,'New Hires Forecast'!$G$5:$G$81,"&lt;="&amp;Exec!AP$3)/12)),IF(YEAR(AP$3)=YEAR('New Hires Forecast'!$O$3),((SUMIFS('New Hires Forecast'!$O$5:$O$81,'New Hires Forecast'!$F$5:$F$81,"Exec",'New Hires Forecast'!$H$5:$H$81,"&gt;="&amp;Exec!AP$3,'New Hires Forecast'!$G$5:$G$81,"&lt;="&amp;Exec!AP$3)/12)),IF(YEAR(AP$3)=YEAR('New Hires Forecast'!$P$3),((SUMIFS('New Hires Forecast'!$P$5:$P$81,'New Hires Forecast'!$F$5:$F$81,"Exec",'New Hires Forecast'!$H$5:$H$81,"&gt;="&amp;Exec!AP$3,'New Hires Forecast'!$G$5:$G$81,"&lt;="&amp;Exec!AP$3)/12)),IF(YEAR(AP$3)=YEAR('New Hires Forecast'!$Q$3),((SUMIFS('New Hires Forecast'!$Q$5:$Q$81,'New Hires Forecast'!$F$5:$F$81,"Exec",'New Hires Forecast'!$H$5:$H$81,"&gt;="&amp;Exec!AP$3,'New Hires Forecast'!$G$5:$G$81,"&lt;="&amp;Exec!AP$3)/12)),IF(YEAR(AP$3)=YEAR('New Hires Forecast'!$R$3),((SUMIFS('New Hires Forecast'!$R$5:$R$81,'New Hires Forecast'!$F$5:$F$81,"Exec",'New Hires Forecast'!$H$5:$H$81,"&gt;="&amp;Exec!AP$3,'New Hires Forecast'!$G$5:$G$81,"&lt;="&amp;Exec!AP$3)/12))))))),0)</f>
        <v>0</v>
      </c>
      <c r="AQ13" s="684">
        <f>IF(AQ$4="forecast",IF(YEAR(AQ$3)=YEAR('New Hires Forecast'!$N$3),((SUMIFS('New Hires Forecast'!$N$5:$N$81,'New Hires Forecast'!$F$5:$F$81,"Exec",'New Hires Forecast'!$H$5:$H$81,"&gt;="&amp;Exec!AQ$3,'New Hires Forecast'!$G$5:$G$81,"&lt;="&amp;Exec!AQ$3)/12)),IF(YEAR(AQ$3)=YEAR('New Hires Forecast'!$O$3),((SUMIFS('New Hires Forecast'!$O$5:$O$81,'New Hires Forecast'!$F$5:$F$81,"Exec",'New Hires Forecast'!$H$5:$H$81,"&gt;="&amp;Exec!AQ$3,'New Hires Forecast'!$G$5:$G$81,"&lt;="&amp;Exec!AQ$3)/12)),IF(YEAR(AQ$3)=YEAR('New Hires Forecast'!$P$3),((SUMIFS('New Hires Forecast'!$P$5:$P$81,'New Hires Forecast'!$F$5:$F$81,"Exec",'New Hires Forecast'!$H$5:$H$81,"&gt;="&amp;Exec!AQ$3,'New Hires Forecast'!$G$5:$G$81,"&lt;="&amp;Exec!AQ$3)/12)),IF(YEAR(AQ$3)=YEAR('New Hires Forecast'!$Q$3),((SUMIFS('New Hires Forecast'!$Q$5:$Q$81,'New Hires Forecast'!$F$5:$F$81,"Exec",'New Hires Forecast'!$H$5:$H$81,"&gt;="&amp;Exec!AQ$3,'New Hires Forecast'!$G$5:$G$81,"&lt;="&amp;Exec!AQ$3)/12)),IF(YEAR(AQ$3)=YEAR('New Hires Forecast'!$R$3),((SUMIFS('New Hires Forecast'!$R$5:$R$81,'New Hires Forecast'!$F$5:$F$81,"Exec",'New Hires Forecast'!$H$5:$H$81,"&gt;="&amp;Exec!AQ$3,'New Hires Forecast'!$G$5:$G$81,"&lt;="&amp;Exec!AQ$3)/12))))))),0)</f>
        <v>0</v>
      </c>
      <c r="AR13" s="684">
        <f>IF(AR$4="forecast",IF(YEAR(AR$3)=YEAR('New Hires Forecast'!$N$3),((SUMIFS('New Hires Forecast'!$N$5:$N$81,'New Hires Forecast'!$F$5:$F$81,"Exec",'New Hires Forecast'!$H$5:$H$81,"&gt;="&amp;Exec!AR$3,'New Hires Forecast'!$G$5:$G$81,"&lt;="&amp;Exec!AR$3)/12)),IF(YEAR(AR$3)=YEAR('New Hires Forecast'!$O$3),((SUMIFS('New Hires Forecast'!$O$5:$O$81,'New Hires Forecast'!$F$5:$F$81,"Exec",'New Hires Forecast'!$H$5:$H$81,"&gt;="&amp;Exec!AR$3,'New Hires Forecast'!$G$5:$G$81,"&lt;="&amp;Exec!AR$3)/12)),IF(YEAR(AR$3)=YEAR('New Hires Forecast'!$P$3),((SUMIFS('New Hires Forecast'!$P$5:$P$81,'New Hires Forecast'!$F$5:$F$81,"Exec",'New Hires Forecast'!$H$5:$H$81,"&gt;="&amp;Exec!AR$3,'New Hires Forecast'!$G$5:$G$81,"&lt;="&amp;Exec!AR$3)/12)),IF(YEAR(AR$3)=YEAR('New Hires Forecast'!$Q$3),((SUMIFS('New Hires Forecast'!$Q$5:$Q$81,'New Hires Forecast'!$F$5:$F$81,"Exec",'New Hires Forecast'!$H$5:$H$81,"&gt;="&amp;Exec!AR$3,'New Hires Forecast'!$G$5:$G$81,"&lt;="&amp;Exec!AR$3)/12)),IF(YEAR(AR$3)=YEAR('New Hires Forecast'!$R$3),((SUMIFS('New Hires Forecast'!$R$5:$R$81,'New Hires Forecast'!$F$5:$F$81,"Exec",'New Hires Forecast'!$H$5:$H$81,"&gt;="&amp;Exec!AR$3,'New Hires Forecast'!$G$5:$G$81,"&lt;="&amp;Exec!AR$3)/12))))))),0)</f>
        <v>0</v>
      </c>
      <c r="AS13" s="684">
        <f>IF(AS$4="forecast",IF(YEAR(AS$3)=YEAR('New Hires Forecast'!$N$3),((SUMIFS('New Hires Forecast'!$N$5:$N$81,'New Hires Forecast'!$F$5:$F$81,"Exec",'New Hires Forecast'!$H$5:$H$81,"&gt;="&amp;Exec!AS$3,'New Hires Forecast'!$G$5:$G$81,"&lt;="&amp;Exec!AS$3)/12)),IF(YEAR(AS$3)=YEAR('New Hires Forecast'!$O$3),((SUMIFS('New Hires Forecast'!$O$5:$O$81,'New Hires Forecast'!$F$5:$F$81,"Exec",'New Hires Forecast'!$H$5:$H$81,"&gt;="&amp;Exec!AS$3,'New Hires Forecast'!$G$5:$G$81,"&lt;="&amp;Exec!AS$3)/12)),IF(YEAR(AS$3)=YEAR('New Hires Forecast'!$P$3),((SUMIFS('New Hires Forecast'!$P$5:$P$81,'New Hires Forecast'!$F$5:$F$81,"Exec",'New Hires Forecast'!$H$5:$H$81,"&gt;="&amp;Exec!AS$3,'New Hires Forecast'!$G$5:$G$81,"&lt;="&amp;Exec!AS$3)/12)),IF(YEAR(AS$3)=YEAR('New Hires Forecast'!$Q$3),((SUMIFS('New Hires Forecast'!$Q$5:$Q$81,'New Hires Forecast'!$F$5:$F$81,"Exec",'New Hires Forecast'!$H$5:$H$81,"&gt;="&amp;Exec!AS$3,'New Hires Forecast'!$G$5:$G$81,"&lt;="&amp;Exec!AS$3)/12)),IF(YEAR(AS$3)=YEAR('New Hires Forecast'!$R$3),((SUMIFS('New Hires Forecast'!$R$5:$R$81,'New Hires Forecast'!$F$5:$F$81,"Exec",'New Hires Forecast'!$H$5:$H$81,"&gt;="&amp;Exec!AS$3,'New Hires Forecast'!$G$5:$G$81,"&lt;="&amp;Exec!AS$3)/12))))))),0)</f>
        <v>0</v>
      </c>
      <c r="AT13" s="684">
        <f>IF(AT$4="forecast",IF(YEAR(AT$3)=YEAR('New Hires Forecast'!$N$3),((SUMIFS('New Hires Forecast'!$N$5:$N$81,'New Hires Forecast'!$F$5:$F$81,"Exec",'New Hires Forecast'!$H$5:$H$81,"&gt;="&amp;Exec!AT$3,'New Hires Forecast'!$G$5:$G$81,"&lt;="&amp;Exec!AT$3)/12)),IF(YEAR(AT$3)=YEAR('New Hires Forecast'!$O$3),((SUMIFS('New Hires Forecast'!$O$5:$O$81,'New Hires Forecast'!$F$5:$F$81,"Exec",'New Hires Forecast'!$H$5:$H$81,"&gt;="&amp;Exec!AT$3,'New Hires Forecast'!$G$5:$G$81,"&lt;="&amp;Exec!AT$3)/12)),IF(YEAR(AT$3)=YEAR('New Hires Forecast'!$P$3),((SUMIFS('New Hires Forecast'!$P$5:$P$81,'New Hires Forecast'!$F$5:$F$81,"Exec",'New Hires Forecast'!$H$5:$H$81,"&gt;="&amp;Exec!AT$3,'New Hires Forecast'!$G$5:$G$81,"&lt;="&amp;Exec!AT$3)/12)),IF(YEAR(AT$3)=YEAR('New Hires Forecast'!$Q$3),((SUMIFS('New Hires Forecast'!$Q$5:$Q$81,'New Hires Forecast'!$F$5:$F$81,"Exec",'New Hires Forecast'!$H$5:$H$81,"&gt;="&amp;Exec!AT$3,'New Hires Forecast'!$G$5:$G$81,"&lt;="&amp;Exec!AT$3)/12)),IF(YEAR(AT$3)=YEAR('New Hires Forecast'!$R$3),((SUMIFS('New Hires Forecast'!$R$5:$R$81,'New Hires Forecast'!$F$5:$F$81,"Exec",'New Hires Forecast'!$H$5:$H$81,"&gt;="&amp;Exec!AT$3,'New Hires Forecast'!$G$5:$G$81,"&lt;="&amp;Exec!AT$3)/12))))))),0)</f>
        <v>0</v>
      </c>
      <c r="AU13" s="684">
        <f>IF(AU$4="forecast",IF(YEAR(AU$3)=YEAR('New Hires Forecast'!$N$3),((SUMIFS('New Hires Forecast'!$N$5:$N$81,'New Hires Forecast'!$F$5:$F$81,"Exec",'New Hires Forecast'!$H$5:$H$81,"&gt;="&amp;Exec!AU$3,'New Hires Forecast'!$G$5:$G$81,"&lt;="&amp;Exec!AU$3)/12)),IF(YEAR(AU$3)=YEAR('New Hires Forecast'!$O$3),((SUMIFS('New Hires Forecast'!$O$5:$O$81,'New Hires Forecast'!$F$5:$F$81,"Exec",'New Hires Forecast'!$H$5:$H$81,"&gt;="&amp;Exec!AU$3,'New Hires Forecast'!$G$5:$G$81,"&lt;="&amp;Exec!AU$3)/12)),IF(YEAR(AU$3)=YEAR('New Hires Forecast'!$P$3),((SUMIFS('New Hires Forecast'!$P$5:$P$81,'New Hires Forecast'!$F$5:$F$81,"Exec",'New Hires Forecast'!$H$5:$H$81,"&gt;="&amp;Exec!AU$3,'New Hires Forecast'!$G$5:$G$81,"&lt;="&amp;Exec!AU$3)/12)),IF(YEAR(AU$3)=YEAR('New Hires Forecast'!$Q$3),((SUMIFS('New Hires Forecast'!$Q$5:$Q$81,'New Hires Forecast'!$F$5:$F$81,"Exec",'New Hires Forecast'!$H$5:$H$81,"&gt;="&amp;Exec!AU$3,'New Hires Forecast'!$G$5:$G$81,"&lt;="&amp;Exec!AU$3)/12)),IF(YEAR(AU$3)=YEAR('New Hires Forecast'!$R$3),((SUMIFS('New Hires Forecast'!$R$5:$R$81,'New Hires Forecast'!$F$5:$F$81,"Exec",'New Hires Forecast'!$H$5:$H$81,"&gt;="&amp;Exec!AU$3,'New Hires Forecast'!$G$5:$G$81,"&lt;="&amp;Exec!AU$3)/12))))))),0)</f>
        <v>0</v>
      </c>
      <c r="AV13" s="684">
        <f>IF(AV$4="forecast",IF(YEAR(AV$3)=YEAR('New Hires Forecast'!$N$3),((SUMIFS('New Hires Forecast'!$N$5:$N$81,'New Hires Forecast'!$F$5:$F$81,"Exec",'New Hires Forecast'!$H$5:$H$81,"&gt;="&amp;Exec!AV$3,'New Hires Forecast'!$G$5:$G$81,"&lt;="&amp;Exec!AV$3)/12)),IF(YEAR(AV$3)=YEAR('New Hires Forecast'!$O$3),((SUMIFS('New Hires Forecast'!$O$5:$O$81,'New Hires Forecast'!$F$5:$F$81,"Exec",'New Hires Forecast'!$H$5:$H$81,"&gt;="&amp;Exec!AV$3,'New Hires Forecast'!$G$5:$G$81,"&lt;="&amp;Exec!AV$3)/12)),IF(YEAR(AV$3)=YEAR('New Hires Forecast'!$P$3),((SUMIFS('New Hires Forecast'!$P$5:$P$81,'New Hires Forecast'!$F$5:$F$81,"Exec",'New Hires Forecast'!$H$5:$H$81,"&gt;="&amp;Exec!AV$3,'New Hires Forecast'!$G$5:$G$81,"&lt;="&amp;Exec!AV$3)/12)),IF(YEAR(AV$3)=YEAR('New Hires Forecast'!$Q$3),((SUMIFS('New Hires Forecast'!$Q$5:$Q$81,'New Hires Forecast'!$F$5:$F$81,"Exec",'New Hires Forecast'!$H$5:$H$81,"&gt;="&amp;Exec!AV$3,'New Hires Forecast'!$G$5:$G$81,"&lt;="&amp;Exec!AV$3)/12)),IF(YEAR(AV$3)=YEAR('New Hires Forecast'!$R$3),((SUMIFS('New Hires Forecast'!$R$5:$R$81,'New Hires Forecast'!$F$5:$F$81,"Exec",'New Hires Forecast'!$H$5:$H$81,"&gt;="&amp;Exec!AV$3,'New Hires Forecast'!$G$5:$G$81,"&lt;="&amp;Exec!AV$3)/12))))))),0)</f>
        <v>0</v>
      </c>
      <c r="AW13" s="684">
        <f>IF(AW$4="forecast",IF(YEAR(AW$3)=YEAR('New Hires Forecast'!$N$3),((SUMIFS('New Hires Forecast'!$N$5:$N$81,'New Hires Forecast'!$F$5:$F$81,"Exec",'New Hires Forecast'!$H$5:$H$81,"&gt;="&amp;Exec!AW$3,'New Hires Forecast'!$G$5:$G$81,"&lt;="&amp;Exec!AW$3)/12)),IF(YEAR(AW$3)=YEAR('New Hires Forecast'!$O$3),((SUMIFS('New Hires Forecast'!$O$5:$O$81,'New Hires Forecast'!$F$5:$F$81,"Exec",'New Hires Forecast'!$H$5:$H$81,"&gt;="&amp;Exec!AW$3,'New Hires Forecast'!$G$5:$G$81,"&lt;="&amp;Exec!AW$3)/12)),IF(YEAR(AW$3)=YEAR('New Hires Forecast'!$P$3),((SUMIFS('New Hires Forecast'!$P$5:$P$81,'New Hires Forecast'!$F$5:$F$81,"Exec",'New Hires Forecast'!$H$5:$H$81,"&gt;="&amp;Exec!AW$3,'New Hires Forecast'!$G$5:$G$81,"&lt;="&amp;Exec!AW$3)/12)),IF(YEAR(AW$3)=YEAR('New Hires Forecast'!$Q$3),((SUMIFS('New Hires Forecast'!$Q$5:$Q$81,'New Hires Forecast'!$F$5:$F$81,"Exec",'New Hires Forecast'!$H$5:$H$81,"&gt;="&amp;Exec!AW$3,'New Hires Forecast'!$G$5:$G$81,"&lt;="&amp;Exec!AW$3)/12)),IF(YEAR(AW$3)=YEAR('New Hires Forecast'!$R$3),((SUMIFS('New Hires Forecast'!$R$5:$R$81,'New Hires Forecast'!$F$5:$F$81,"Exec",'New Hires Forecast'!$H$5:$H$81,"&gt;="&amp;Exec!AW$3,'New Hires Forecast'!$G$5:$G$81,"&lt;="&amp;Exec!AW$3)/12))))))),0)</f>
        <v>0</v>
      </c>
      <c r="AX13" s="684">
        <f>IF(AX$4="forecast",IF(YEAR(AX$3)=YEAR('New Hires Forecast'!$N$3),((SUMIFS('New Hires Forecast'!$N$5:$N$81,'New Hires Forecast'!$F$5:$F$81,"Exec",'New Hires Forecast'!$H$5:$H$81,"&gt;="&amp;Exec!AX$3,'New Hires Forecast'!$G$5:$G$81,"&lt;="&amp;Exec!AX$3)/12)),IF(YEAR(AX$3)=YEAR('New Hires Forecast'!$O$3),((SUMIFS('New Hires Forecast'!$O$5:$O$81,'New Hires Forecast'!$F$5:$F$81,"Exec",'New Hires Forecast'!$H$5:$H$81,"&gt;="&amp;Exec!AX$3,'New Hires Forecast'!$G$5:$G$81,"&lt;="&amp;Exec!AX$3)/12)),IF(YEAR(AX$3)=YEAR('New Hires Forecast'!$P$3),((SUMIFS('New Hires Forecast'!$P$5:$P$81,'New Hires Forecast'!$F$5:$F$81,"Exec",'New Hires Forecast'!$H$5:$H$81,"&gt;="&amp;Exec!AX$3,'New Hires Forecast'!$G$5:$G$81,"&lt;="&amp;Exec!AX$3)/12)),IF(YEAR(AX$3)=YEAR('New Hires Forecast'!$Q$3),((SUMIFS('New Hires Forecast'!$Q$5:$Q$81,'New Hires Forecast'!$F$5:$F$81,"Exec",'New Hires Forecast'!$H$5:$H$81,"&gt;="&amp;Exec!AX$3,'New Hires Forecast'!$G$5:$G$81,"&lt;="&amp;Exec!AX$3)/12)),IF(YEAR(AX$3)=YEAR('New Hires Forecast'!$R$3),((SUMIFS('New Hires Forecast'!$R$5:$R$81,'New Hires Forecast'!$F$5:$F$81,"Exec",'New Hires Forecast'!$H$5:$H$81,"&gt;="&amp;Exec!AX$3,'New Hires Forecast'!$G$5:$G$81,"&lt;="&amp;Exec!AX$3)/12))))))),0)</f>
        <v>0</v>
      </c>
      <c r="AY13" s="684">
        <f>IF(AY$4="forecast",IF(YEAR(AY$3)=YEAR('New Hires Forecast'!$N$3),((SUMIFS('New Hires Forecast'!$N$5:$N$81,'New Hires Forecast'!$F$5:$F$81,"Exec",'New Hires Forecast'!$H$5:$H$81,"&gt;="&amp;Exec!AY$3,'New Hires Forecast'!$G$5:$G$81,"&lt;="&amp;Exec!AY$3)/12)),IF(YEAR(AY$3)=YEAR('New Hires Forecast'!$O$3),((SUMIFS('New Hires Forecast'!$O$5:$O$81,'New Hires Forecast'!$F$5:$F$81,"Exec",'New Hires Forecast'!$H$5:$H$81,"&gt;="&amp;Exec!AY$3,'New Hires Forecast'!$G$5:$G$81,"&lt;="&amp;Exec!AY$3)/12)),IF(YEAR(AY$3)=YEAR('New Hires Forecast'!$P$3),((SUMIFS('New Hires Forecast'!$P$5:$P$81,'New Hires Forecast'!$F$5:$F$81,"Exec",'New Hires Forecast'!$H$5:$H$81,"&gt;="&amp;Exec!AY$3,'New Hires Forecast'!$G$5:$G$81,"&lt;="&amp;Exec!AY$3)/12)),IF(YEAR(AY$3)=YEAR('New Hires Forecast'!$Q$3),((SUMIFS('New Hires Forecast'!$Q$5:$Q$81,'New Hires Forecast'!$F$5:$F$81,"Exec",'New Hires Forecast'!$H$5:$H$81,"&gt;="&amp;Exec!AY$3,'New Hires Forecast'!$G$5:$G$81,"&lt;="&amp;Exec!AY$3)/12)),IF(YEAR(AY$3)=YEAR('New Hires Forecast'!$R$3),((SUMIFS('New Hires Forecast'!$R$5:$R$81,'New Hires Forecast'!$F$5:$F$81,"Exec",'New Hires Forecast'!$H$5:$H$81,"&gt;="&amp;Exec!AY$3,'New Hires Forecast'!$G$5:$G$81,"&lt;="&amp;Exec!AY$3)/12))))))),0)</f>
        <v>0</v>
      </c>
      <c r="AZ13" s="684">
        <f>IF(AZ$4="forecast",IF(YEAR(AZ$3)=YEAR('New Hires Forecast'!$N$3),((SUMIFS('New Hires Forecast'!$N$5:$N$81,'New Hires Forecast'!$F$5:$F$81,"Exec",'New Hires Forecast'!$H$5:$H$81,"&gt;="&amp;Exec!AZ$3,'New Hires Forecast'!$G$5:$G$81,"&lt;="&amp;Exec!AZ$3)/12)),IF(YEAR(AZ$3)=YEAR('New Hires Forecast'!$O$3),((SUMIFS('New Hires Forecast'!$O$5:$O$81,'New Hires Forecast'!$F$5:$F$81,"Exec",'New Hires Forecast'!$H$5:$H$81,"&gt;="&amp;Exec!AZ$3,'New Hires Forecast'!$G$5:$G$81,"&lt;="&amp;Exec!AZ$3)/12)),IF(YEAR(AZ$3)=YEAR('New Hires Forecast'!$P$3),((SUMIFS('New Hires Forecast'!$P$5:$P$81,'New Hires Forecast'!$F$5:$F$81,"Exec",'New Hires Forecast'!$H$5:$H$81,"&gt;="&amp;Exec!AZ$3,'New Hires Forecast'!$G$5:$G$81,"&lt;="&amp;Exec!AZ$3)/12)),IF(YEAR(AZ$3)=YEAR('New Hires Forecast'!$Q$3),((SUMIFS('New Hires Forecast'!$Q$5:$Q$81,'New Hires Forecast'!$F$5:$F$81,"Exec",'New Hires Forecast'!$H$5:$H$81,"&gt;="&amp;Exec!AZ$3,'New Hires Forecast'!$G$5:$G$81,"&lt;="&amp;Exec!AZ$3)/12)),IF(YEAR(AZ$3)=YEAR('New Hires Forecast'!$R$3),((SUMIFS('New Hires Forecast'!$R$5:$R$81,'New Hires Forecast'!$F$5:$F$81,"Exec",'New Hires Forecast'!$H$5:$H$81,"&gt;="&amp;Exec!AZ$3,'New Hires Forecast'!$G$5:$G$81,"&lt;="&amp;Exec!AZ$3)/12))))))),0)</f>
        <v>0</v>
      </c>
      <c r="BA13" s="684">
        <f>IF(BA$4="forecast",IF(YEAR(BA$3)=YEAR('New Hires Forecast'!$N$3),((SUMIFS('New Hires Forecast'!$N$5:$N$81,'New Hires Forecast'!$F$5:$F$81,"Exec",'New Hires Forecast'!$H$5:$H$81,"&gt;="&amp;Exec!BA$3,'New Hires Forecast'!$G$5:$G$81,"&lt;="&amp;Exec!BA$3)/12)),IF(YEAR(BA$3)=YEAR('New Hires Forecast'!$O$3),((SUMIFS('New Hires Forecast'!$O$5:$O$81,'New Hires Forecast'!$F$5:$F$81,"Exec",'New Hires Forecast'!$H$5:$H$81,"&gt;="&amp;Exec!BA$3,'New Hires Forecast'!$G$5:$G$81,"&lt;="&amp;Exec!BA$3)/12)),IF(YEAR(BA$3)=YEAR('New Hires Forecast'!$P$3),((SUMIFS('New Hires Forecast'!$P$5:$P$81,'New Hires Forecast'!$F$5:$F$81,"Exec",'New Hires Forecast'!$H$5:$H$81,"&gt;="&amp;Exec!BA$3,'New Hires Forecast'!$G$5:$G$81,"&lt;="&amp;Exec!BA$3)/12)),IF(YEAR(BA$3)=YEAR('New Hires Forecast'!$Q$3),((SUMIFS('New Hires Forecast'!$Q$5:$Q$81,'New Hires Forecast'!$F$5:$F$81,"Exec",'New Hires Forecast'!$H$5:$H$81,"&gt;="&amp;Exec!BA$3,'New Hires Forecast'!$G$5:$G$81,"&lt;="&amp;Exec!BA$3)/12)),IF(YEAR(BA$3)=YEAR('New Hires Forecast'!$R$3),((SUMIFS('New Hires Forecast'!$R$5:$R$81,'New Hires Forecast'!$F$5:$F$81,"Exec",'New Hires Forecast'!$H$5:$H$81,"&gt;="&amp;Exec!BA$3,'New Hires Forecast'!$G$5:$G$81,"&lt;="&amp;Exec!BA$3)/12))))))),0)</f>
        <v>0</v>
      </c>
      <c r="BB13" s="684">
        <f>IF(BB$4="forecast",IF(YEAR(BB$3)=YEAR('New Hires Forecast'!$N$3),((SUMIFS('New Hires Forecast'!$N$5:$N$81,'New Hires Forecast'!$F$5:$F$81,"Exec",'New Hires Forecast'!$H$5:$H$81,"&gt;="&amp;Exec!BB$3,'New Hires Forecast'!$G$5:$G$81,"&lt;="&amp;Exec!BB$3)/12)),IF(YEAR(BB$3)=YEAR('New Hires Forecast'!$O$3),((SUMIFS('New Hires Forecast'!$O$5:$O$81,'New Hires Forecast'!$F$5:$F$81,"Exec",'New Hires Forecast'!$H$5:$H$81,"&gt;="&amp;Exec!BB$3,'New Hires Forecast'!$G$5:$G$81,"&lt;="&amp;Exec!BB$3)/12)),IF(YEAR(BB$3)=YEAR('New Hires Forecast'!$P$3),((SUMIFS('New Hires Forecast'!$P$5:$P$81,'New Hires Forecast'!$F$5:$F$81,"Exec",'New Hires Forecast'!$H$5:$H$81,"&gt;="&amp;Exec!BB$3,'New Hires Forecast'!$G$5:$G$81,"&lt;="&amp;Exec!BB$3)/12)),IF(YEAR(BB$3)=YEAR('New Hires Forecast'!$Q$3),((SUMIFS('New Hires Forecast'!$Q$5:$Q$81,'New Hires Forecast'!$F$5:$F$81,"Exec",'New Hires Forecast'!$H$5:$H$81,"&gt;="&amp;Exec!BB$3,'New Hires Forecast'!$G$5:$G$81,"&lt;="&amp;Exec!BB$3)/12)),IF(YEAR(BB$3)=YEAR('New Hires Forecast'!$R$3),((SUMIFS('New Hires Forecast'!$R$5:$R$81,'New Hires Forecast'!$F$5:$F$81,"Exec",'New Hires Forecast'!$H$5:$H$81,"&gt;="&amp;Exec!BB$3,'New Hires Forecast'!$G$5:$G$81,"&lt;="&amp;Exec!BB$3)/12))))))),0)</f>
        <v>0</v>
      </c>
      <c r="BC13" s="684">
        <f>IF(BC$4="forecast",IF(YEAR(BC$3)=YEAR('New Hires Forecast'!$N$3),((SUMIFS('New Hires Forecast'!$N$5:$N$81,'New Hires Forecast'!$F$5:$F$81,"Exec",'New Hires Forecast'!$H$5:$H$81,"&gt;="&amp;Exec!BC$3,'New Hires Forecast'!$G$5:$G$81,"&lt;="&amp;Exec!BC$3)/12)),IF(YEAR(BC$3)=YEAR('New Hires Forecast'!$O$3),((SUMIFS('New Hires Forecast'!$O$5:$O$81,'New Hires Forecast'!$F$5:$F$81,"Exec",'New Hires Forecast'!$H$5:$H$81,"&gt;="&amp;Exec!BC$3,'New Hires Forecast'!$G$5:$G$81,"&lt;="&amp;Exec!BC$3)/12)),IF(YEAR(BC$3)=YEAR('New Hires Forecast'!$P$3),((SUMIFS('New Hires Forecast'!$P$5:$P$81,'New Hires Forecast'!$F$5:$F$81,"Exec",'New Hires Forecast'!$H$5:$H$81,"&gt;="&amp;Exec!BC$3,'New Hires Forecast'!$G$5:$G$81,"&lt;="&amp;Exec!BC$3)/12)),IF(YEAR(BC$3)=YEAR('New Hires Forecast'!$Q$3),((SUMIFS('New Hires Forecast'!$Q$5:$Q$81,'New Hires Forecast'!$F$5:$F$81,"Exec",'New Hires Forecast'!$H$5:$H$81,"&gt;="&amp;Exec!BC$3,'New Hires Forecast'!$G$5:$G$81,"&lt;="&amp;Exec!BC$3)/12)),IF(YEAR(BC$3)=YEAR('New Hires Forecast'!$R$3),((SUMIFS('New Hires Forecast'!$R$5:$R$81,'New Hires Forecast'!$F$5:$F$81,"Exec",'New Hires Forecast'!$H$5:$H$81,"&gt;="&amp;Exec!BC$3,'New Hires Forecast'!$G$5:$G$81,"&lt;="&amp;Exec!BC$3)/12))))))),0)</f>
        <v>0</v>
      </c>
      <c r="BD13" s="684">
        <f>IF(BD$4="forecast",IF(YEAR(BD$3)=YEAR('New Hires Forecast'!$N$3),((SUMIFS('New Hires Forecast'!$N$5:$N$81,'New Hires Forecast'!$F$5:$F$81,"Exec",'New Hires Forecast'!$H$5:$H$81,"&gt;="&amp;Exec!BD$3,'New Hires Forecast'!$G$5:$G$81,"&lt;="&amp;Exec!BD$3)/12)),IF(YEAR(BD$3)=YEAR('New Hires Forecast'!$O$3),((SUMIFS('New Hires Forecast'!$O$5:$O$81,'New Hires Forecast'!$F$5:$F$81,"Exec",'New Hires Forecast'!$H$5:$H$81,"&gt;="&amp;Exec!BD$3,'New Hires Forecast'!$G$5:$G$81,"&lt;="&amp;Exec!BD$3)/12)),IF(YEAR(BD$3)=YEAR('New Hires Forecast'!$P$3),((SUMIFS('New Hires Forecast'!$P$5:$P$81,'New Hires Forecast'!$F$5:$F$81,"Exec",'New Hires Forecast'!$H$5:$H$81,"&gt;="&amp;Exec!BD$3,'New Hires Forecast'!$G$5:$G$81,"&lt;="&amp;Exec!BD$3)/12)),IF(YEAR(BD$3)=YEAR('New Hires Forecast'!$Q$3),((SUMIFS('New Hires Forecast'!$Q$5:$Q$81,'New Hires Forecast'!$F$5:$F$81,"Exec",'New Hires Forecast'!$H$5:$H$81,"&gt;="&amp;Exec!BD$3,'New Hires Forecast'!$G$5:$G$81,"&lt;="&amp;Exec!BD$3)/12)),IF(YEAR(BD$3)=YEAR('New Hires Forecast'!$R$3),((SUMIFS('New Hires Forecast'!$R$5:$R$81,'New Hires Forecast'!$F$5:$F$81,"Exec",'New Hires Forecast'!$H$5:$H$81,"&gt;="&amp;Exec!BD$3,'New Hires Forecast'!$G$5:$G$81,"&lt;="&amp;Exec!BD$3)/12))))))),0)</f>
        <v>0</v>
      </c>
      <c r="BE13" s="684">
        <f>IF(BE$4="forecast",IF(YEAR(BE$3)=YEAR('New Hires Forecast'!$N$3),((SUMIFS('New Hires Forecast'!$N$5:$N$81,'New Hires Forecast'!$F$5:$F$81,"Exec",'New Hires Forecast'!$H$5:$H$81,"&gt;="&amp;Exec!BE$3,'New Hires Forecast'!$G$5:$G$81,"&lt;="&amp;Exec!BE$3)/12)),IF(YEAR(BE$3)=YEAR('New Hires Forecast'!$O$3),((SUMIFS('New Hires Forecast'!$O$5:$O$81,'New Hires Forecast'!$F$5:$F$81,"Exec",'New Hires Forecast'!$H$5:$H$81,"&gt;="&amp;Exec!BE$3,'New Hires Forecast'!$G$5:$G$81,"&lt;="&amp;Exec!BE$3)/12)),IF(YEAR(BE$3)=YEAR('New Hires Forecast'!$P$3),((SUMIFS('New Hires Forecast'!$P$5:$P$81,'New Hires Forecast'!$F$5:$F$81,"Exec",'New Hires Forecast'!$H$5:$H$81,"&gt;="&amp;Exec!BE$3,'New Hires Forecast'!$G$5:$G$81,"&lt;="&amp;Exec!BE$3)/12)),IF(YEAR(BE$3)=YEAR('New Hires Forecast'!$Q$3),((SUMIFS('New Hires Forecast'!$Q$5:$Q$81,'New Hires Forecast'!$F$5:$F$81,"Exec",'New Hires Forecast'!$H$5:$H$81,"&gt;="&amp;Exec!BE$3,'New Hires Forecast'!$G$5:$G$81,"&lt;="&amp;Exec!BE$3)/12)),IF(YEAR(BE$3)=YEAR('New Hires Forecast'!$R$3),((SUMIFS('New Hires Forecast'!$R$5:$R$81,'New Hires Forecast'!$F$5:$F$81,"Exec",'New Hires Forecast'!$H$5:$H$81,"&gt;="&amp;Exec!BE$3,'New Hires Forecast'!$G$5:$G$81,"&lt;="&amp;Exec!BE$3)/12))))))),0)</f>
        <v>0</v>
      </c>
      <c r="BF13" s="684">
        <f>IF(BF$4="forecast",IF(YEAR(BF$3)=YEAR('New Hires Forecast'!$N$3),((SUMIFS('New Hires Forecast'!$N$5:$N$81,'New Hires Forecast'!$F$5:$F$81,"Exec",'New Hires Forecast'!$H$5:$H$81,"&gt;="&amp;Exec!BF$3,'New Hires Forecast'!$G$5:$G$81,"&lt;="&amp;Exec!BF$3)/12)),IF(YEAR(BF$3)=YEAR('New Hires Forecast'!$O$3),((SUMIFS('New Hires Forecast'!$O$5:$O$81,'New Hires Forecast'!$F$5:$F$81,"Exec",'New Hires Forecast'!$H$5:$H$81,"&gt;="&amp;Exec!BF$3,'New Hires Forecast'!$G$5:$G$81,"&lt;="&amp;Exec!BF$3)/12)),IF(YEAR(BF$3)=YEAR('New Hires Forecast'!$P$3),((SUMIFS('New Hires Forecast'!$P$5:$P$81,'New Hires Forecast'!$F$5:$F$81,"Exec",'New Hires Forecast'!$H$5:$H$81,"&gt;="&amp;Exec!BF$3,'New Hires Forecast'!$G$5:$G$81,"&lt;="&amp;Exec!BF$3)/12)),IF(YEAR(BF$3)=YEAR('New Hires Forecast'!$Q$3),((SUMIFS('New Hires Forecast'!$Q$5:$Q$81,'New Hires Forecast'!$F$5:$F$81,"Exec",'New Hires Forecast'!$H$5:$H$81,"&gt;="&amp;Exec!BF$3,'New Hires Forecast'!$G$5:$G$81,"&lt;="&amp;Exec!BF$3)/12)),IF(YEAR(BF$3)=YEAR('New Hires Forecast'!$R$3),((SUMIFS('New Hires Forecast'!$R$5:$R$81,'New Hires Forecast'!$F$5:$F$81,"Exec",'New Hires Forecast'!$H$5:$H$81,"&gt;="&amp;Exec!BF$3,'New Hires Forecast'!$G$5:$G$81,"&lt;="&amp;Exec!BF$3)/12))))))),0)</f>
        <v>0</v>
      </c>
      <c r="BG13" s="684">
        <f>IF(BG$4="forecast",IF(YEAR(BG$3)=YEAR('New Hires Forecast'!$N$3),((SUMIFS('New Hires Forecast'!$N$5:$N$81,'New Hires Forecast'!$F$5:$F$81,"Exec",'New Hires Forecast'!$H$5:$H$81,"&gt;="&amp;Exec!BG$3,'New Hires Forecast'!$G$5:$G$81,"&lt;="&amp;Exec!BG$3)/12)),IF(YEAR(BG$3)=YEAR('New Hires Forecast'!$O$3),((SUMIFS('New Hires Forecast'!$O$5:$O$81,'New Hires Forecast'!$F$5:$F$81,"Exec",'New Hires Forecast'!$H$5:$H$81,"&gt;="&amp;Exec!BG$3,'New Hires Forecast'!$G$5:$G$81,"&lt;="&amp;Exec!BG$3)/12)),IF(YEAR(BG$3)=YEAR('New Hires Forecast'!$P$3),((SUMIFS('New Hires Forecast'!$P$5:$P$81,'New Hires Forecast'!$F$5:$F$81,"Exec",'New Hires Forecast'!$H$5:$H$81,"&gt;="&amp;Exec!BG$3,'New Hires Forecast'!$G$5:$G$81,"&lt;="&amp;Exec!BG$3)/12)),IF(YEAR(BG$3)=YEAR('New Hires Forecast'!$Q$3),((SUMIFS('New Hires Forecast'!$Q$5:$Q$81,'New Hires Forecast'!$F$5:$F$81,"Exec",'New Hires Forecast'!$H$5:$H$81,"&gt;="&amp;Exec!BG$3,'New Hires Forecast'!$G$5:$G$81,"&lt;="&amp;Exec!BG$3)/12)),IF(YEAR(BG$3)=YEAR('New Hires Forecast'!$R$3),((SUMIFS('New Hires Forecast'!$R$5:$R$81,'New Hires Forecast'!$F$5:$F$81,"Exec",'New Hires Forecast'!$H$5:$H$81,"&gt;="&amp;Exec!BG$3,'New Hires Forecast'!$G$5:$G$81,"&lt;="&amp;Exec!BG$3)/12))))))),0)</f>
        <v>0</v>
      </c>
      <c r="BH13" s="684">
        <f>IF(BH$4="forecast",IF(YEAR(BH$3)=YEAR('New Hires Forecast'!$N$3),((SUMIFS('New Hires Forecast'!$N$5:$N$81,'New Hires Forecast'!$F$5:$F$81,"Exec",'New Hires Forecast'!$H$5:$H$81,"&gt;="&amp;Exec!BH$3,'New Hires Forecast'!$G$5:$G$81,"&lt;="&amp;Exec!BH$3)/12)),IF(YEAR(BH$3)=YEAR('New Hires Forecast'!$O$3),((SUMIFS('New Hires Forecast'!$O$5:$O$81,'New Hires Forecast'!$F$5:$F$81,"Exec",'New Hires Forecast'!$H$5:$H$81,"&gt;="&amp;Exec!BH$3,'New Hires Forecast'!$G$5:$G$81,"&lt;="&amp;Exec!BH$3)/12)),IF(YEAR(BH$3)=YEAR('New Hires Forecast'!$P$3),((SUMIFS('New Hires Forecast'!$P$5:$P$81,'New Hires Forecast'!$F$5:$F$81,"Exec",'New Hires Forecast'!$H$5:$H$81,"&gt;="&amp;Exec!BH$3,'New Hires Forecast'!$G$5:$G$81,"&lt;="&amp;Exec!BH$3)/12)),IF(YEAR(BH$3)=YEAR('New Hires Forecast'!$Q$3),((SUMIFS('New Hires Forecast'!$Q$5:$Q$81,'New Hires Forecast'!$F$5:$F$81,"Exec",'New Hires Forecast'!$H$5:$H$81,"&gt;="&amp;Exec!BH$3,'New Hires Forecast'!$G$5:$G$81,"&lt;="&amp;Exec!BH$3)/12)),IF(YEAR(BH$3)=YEAR('New Hires Forecast'!$R$3),((SUMIFS('New Hires Forecast'!$R$5:$R$81,'New Hires Forecast'!$F$5:$F$81,"Exec",'New Hires Forecast'!$H$5:$H$81,"&gt;="&amp;Exec!BH$3,'New Hires Forecast'!$G$5:$G$81,"&lt;="&amp;Exec!BH$3)/12))))))),0)</f>
        <v>0</v>
      </c>
      <c r="BI13" s="684">
        <f>IF(BI$4="forecast",IF(YEAR(BI$3)=YEAR('New Hires Forecast'!$N$3),((SUMIFS('New Hires Forecast'!$N$5:$N$81,'New Hires Forecast'!$F$5:$F$81,"Exec",'New Hires Forecast'!$H$5:$H$81,"&gt;="&amp;Exec!BI$3,'New Hires Forecast'!$G$5:$G$81,"&lt;="&amp;Exec!BI$3)/12)),IF(YEAR(BI$3)=YEAR('New Hires Forecast'!$O$3),((SUMIFS('New Hires Forecast'!$O$5:$O$81,'New Hires Forecast'!$F$5:$F$81,"Exec",'New Hires Forecast'!$H$5:$H$81,"&gt;="&amp;Exec!BI$3,'New Hires Forecast'!$G$5:$G$81,"&lt;="&amp;Exec!BI$3)/12)),IF(YEAR(BI$3)=YEAR('New Hires Forecast'!$P$3),((SUMIFS('New Hires Forecast'!$P$5:$P$81,'New Hires Forecast'!$F$5:$F$81,"Exec",'New Hires Forecast'!$H$5:$H$81,"&gt;="&amp;Exec!BI$3,'New Hires Forecast'!$G$5:$G$81,"&lt;="&amp;Exec!BI$3)/12)),IF(YEAR(BI$3)=YEAR('New Hires Forecast'!$Q$3),((SUMIFS('New Hires Forecast'!$Q$5:$Q$81,'New Hires Forecast'!$F$5:$F$81,"Exec",'New Hires Forecast'!$H$5:$H$81,"&gt;="&amp;Exec!BI$3,'New Hires Forecast'!$G$5:$G$81,"&lt;="&amp;Exec!BI$3)/12)),IF(YEAR(BI$3)=YEAR('New Hires Forecast'!$R$3),((SUMIFS('New Hires Forecast'!$R$5:$R$81,'New Hires Forecast'!$F$5:$F$81,"Exec",'New Hires Forecast'!$H$5:$H$81,"&gt;="&amp;Exec!BI$3,'New Hires Forecast'!$G$5:$G$81,"&lt;="&amp;Exec!BI$3)/12))))))),0)</f>
        <v>0</v>
      </c>
      <c r="BJ13" s="684">
        <f>IF(BJ$4="forecast",IF(YEAR(BJ$3)=YEAR('New Hires Forecast'!$N$3),((SUMIFS('New Hires Forecast'!$N$5:$N$81,'New Hires Forecast'!$F$5:$F$81,"Exec",'New Hires Forecast'!$H$5:$H$81,"&gt;="&amp;Exec!BJ$3,'New Hires Forecast'!$G$5:$G$81,"&lt;="&amp;Exec!BJ$3)/12)),IF(YEAR(BJ$3)=YEAR('New Hires Forecast'!$O$3),((SUMIFS('New Hires Forecast'!$O$5:$O$81,'New Hires Forecast'!$F$5:$F$81,"Exec",'New Hires Forecast'!$H$5:$H$81,"&gt;="&amp;Exec!BJ$3,'New Hires Forecast'!$G$5:$G$81,"&lt;="&amp;Exec!BJ$3)/12)),IF(YEAR(BJ$3)=YEAR('New Hires Forecast'!$P$3),((SUMIFS('New Hires Forecast'!$P$5:$P$81,'New Hires Forecast'!$F$5:$F$81,"Exec",'New Hires Forecast'!$H$5:$H$81,"&gt;="&amp;Exec!BJ$3,'New Hires Forecast'!$G$5:$G$81,"&lt;="&amp;Exec!BJ$3)/12)),IF(YEAR(BJ$3)=YEAR('New Hires Forecast'!$Q$3),((SUMIFS('New Hires Forecast'!$Q$5:$Q$81,'New Hires Forecast'!$F$5:$F$81,"Exec",'New Hires Forecast'!$H$5:$H$81,"&gt;="&amp;Exec!BJ$3,'New Hires Forecast'!$G$5:$G$81,"&lt;="&amp;Exec!BJ$3)/12)),IF(YEAR(BJ$3)=YEAR('New Hires Forecast'!$R$3),((SUMIFS('New Hires Forecast'!$R$5:$R$81,'New Hires Forecast'!$F$5:$F$81,"Exec",'New Hires Forecast'!$H$5:$H$81,"&gt;="&amp;Exec!BJ$3,'New Hires Forecast'!$G$5:$G$81,"&lt;="&amp;Exec!BJ$3)/12))))))),0)</f>
        <v>0</v>
      </c>
      <c r="BK13" s="684">
        <f>IF(BK$4="forecast",IF(YEAR(BK$3)=YEAR('New Hires Forecast'!$N$3),((SUMIFS('New Hires Forecast'!$N$5:$N$81,'New Hires Forecast'!$F$5:$F$81,"Exec",'New Hires Forecast'!$H$5:$H$81,"&gt;="&amp;Exec!BK$3,'New Hires Forecast'!$G$5:$G$81,"&lt;="&amp;Exec!BK$3)/12)),IF(YEAR(BK$3)=YEAR('New Hires Forecast'!$O$3),((SUMIFS('New Hires Forecast'!$O$5:$O$81,'New Hires Forecast'!$F$5:$F$81,"Exec",'New Hires Forecast'!$H$5:$H$81,"&gt;="&amp;Exec!BK$3,'New Hires Forecast'!$G$5:$G$81,"&lt;="&amp;Exec!BK$3)/12)),IF(YEAR(BK$3)=YEAR('New Hires Forecast'!$P$3),((SUMIFS('New Hires Forecast'!$P$5:$P$81,'New Hires Forecast'!$F$5:$F$81,"Exec",'New Hires Forecast'!$H$5:$H$81,"&gt;="&amp;Exec!BK$3,'New Hires Forecast'!$G$5:$G$81,"&lt;="&amp;Exec!BK$3)/12)),IF(YEAR(BK$3)=YEAR('New Hires Forecast'!$Q$3),((SUMIFS('New Hires Forecast'!$Q$5:$Q$81,'New Hires Forecast'!$F$5:$F$81,"Exec",'New Hires Forecast'!$H$5:$H$81,"&gt;="&amp;Exec!BK$3,'New Hires Forecast'!$G$5:$G$81,"&lt;="&amp;Exec!BK$3)/12)),IF(YEAR(BK$3)=YEAR('New Hires Forecast'!$R$3),((SUMIFS('New Hires Forecast'!$R$5:$R$81,'New Hires Forecast'!$F$5:$F$81,"Exec",'New Hires Forecast'!$H$5:$H$81,"&gt;="&amp;Exec!BK$3,'New Hires Forecast'!$G$5:$G$81,"&lt;="&amp;Exec!BK$3)/12))))))),0)</f>
        <v>0</v>
      </c>
      <c r="BL13" s="684">
        <f>IF(BL$4="forecast",IF(YEAR(BL$3)=YEAR('New Hires Forecast'!$N$3),((SUMIFS('New Hires Forecast'!$N$5:$N$81,'New Hires Forecast'!$F$5:$F$81,"Exec",'New Hires Forecast'!$H$5:$H$81,"&gt;="&amp;Exec!BL$3,'New Hires Forecast'!$G$5:$G$81,"&lt;="&amp;Exec!BL$3)/12)),IF(YEAR(BL$3)=YEAR('New Hires Forecast'!$O$3),((SUMIFS('New Hires Forecast'!$O$5:$O$81,'New Hires Forecast'!$F$5:$F$81,"Exec",'New Hires Forecast'!$H$5:$H$81,"&gt;="&amp;Exec!BL$3,'New Hires Forecast'!$G$5:$G$81,"&lt;="&amp;Exec!BL$3)/12)),IF(YEAR(BL$3)=YEAR('New Hires Forecast'!$P$3),((SUMIFS('New Hires Forecast'!$P$5:$P$81,'New Hires Forecast'!$F$5:$F$81,"Exec",'New Hires Forecast'!$H$5:$H$81,"&gt;="&amp;Exec!BL$3,'New Hires Forecast'!$G$5:$G$81,"&lt;="&amp;Exec!BL$3)/12)),IF(YEAR(BL$3)=YEAR('New Hires Forecast'!$Q$3),((SUMIFS('New Hires Forecast'!$Q$5:$Q$81,'New Hires Forecast'!$F$5:$F$81,"Exec",'New Hires Forecast'!$H$5:$H$81,"&gt;="&amp;Exec!BL$3,'New Hires Forecast'!$G$5:$G$81,"&lt;="&amp;Exec!BL$3)/12)),IF(YEAR(BL$3)=YEAR('New Hires Forecast'!$R$3),((SUMIFS('New Hires Forecast'!$R$5:$R$81,'New Hires Forecast'!$F$5:$F$81,"Exec",'New Hires Forecast'!$H$5:$H$81,"&gt;="&amp;Exec!BL$3,'New Hires Forecast'!$G$5:$G$81,"&lt;="&amp;Exec!BL$3)/12))))))),0)</f>
        <v>0</v>
      </c>
      <c r="BM13" s="684">
        <f>IF(BM$4="forecast",IF(YEAR(BM$3)=YEAR('New Hires Forecast'!$N$3),((SUMIFS('New Hires Forecast'!$N$5:$N$81,'New Hires Forecast'!$F$5:$F$81,"Exec",'New Hires Forecast'!$H$5:$H$81,"&gt;="&amp;Exec!BM$3,'New Hires Forecast'!$G$5:$G$81,"&lt;="&amp;Exec!BM$3)/12)),IF(YEAR(BM$3)=YEAR('New Hires Forecast'!$O$3),((SUMIFS('New Hires Forecast'!$O$5:$O$81,'New Hires Forecast'!$F$5:$F$81,"Exec",'New Hires Forecast'!$H$5:$H$81,"&gt;="&amp;Exec!BM$3,'New Hires Forecast'!$G$5:$G$81,"&lt;="&amp;Exec!BM$3)/12)),IF(YEAR(BM$3)=YEAR('New Hires Forecast'!$P$3),((SUMIFS('New Hires Forecast'!$P$5:$P$81,'New Hires Forecast'!$F$5:$F$81,"Exec",'New Hires Forecast'!$H$5:$H$81,"&gt;="&amp;Exec!BM$3,'New Hires Forecast'!$G$5:$G$81,"&lt;="&amp;Exec!BM$3)/12)),IF(YEAR(BM$3)=YEAR('New Hires Forecast'!$Q$3),((SUMIFS('New Hires Forecast'!$Q$5:$Q$81,'New Hires Forecast'!$F$5:$F$81,"Exec",'New Hires Forecast'!$H$5:$H$81,"&gt;="&amp;Exec!BM$3,'New Hires Forecast'!$G$5:$G$81,"&lt;="&amp;Exec!BM$3)/12)),IF(YEAR(BM$3)=YEAR('New Hires Forecast'!$R$3),((SUMIFS('New Hires Forecast'!$R$5:$R$81,'New Hires Forecast'!$F$5:$F$81,"Exec",'New Hires Forecast'!$H$5:$H$81,"&gt;="&amp;Exec!BM$3,'New Hires Forecast'!$G$5:$G$81,"&lt;="&amp;Exec!BM$3)/12))))))),0)</f>
        <v>0</v>
      </c>
      <c r="BN13" s="684">
        <f>IF(BN$4="forecast",IF(YEAR(BN$3)=YEAR('New Hires Forecast'!$N$3),((SUMIFS('New Hires Forecast'!$N$5:$N$81,'New Hires Forecast'!$F$5:$F$81,"Exec",'New Hires Forecast'!$H$5:$H$81,"&gt;="&amp;Exec!BN$3,'New Hires Forecast'!$G$5:$G$81,"&lt;="&amp;Exec!BN$3)/12)),IF(YEAR(BN$3)=YEAR('New Hires Forecast'!$O$3),((SUMIFS('New Hires Forecast'!$O$5:$O$81,'New Hires Forecast'!$F$5:$F$81,"Exec",'New Hires Forecast'!$H$5:$H$81,"&gt;="&amp;Exec!BN$3,'New Hires Forecast'!$G$5:$G$81,"&lt;="&amp;Exec!BN$3)/12)),IF(YEAR(BN$3)=YEAR('New Hires Forecast'!$P$3),((SUMIFS('New Hires Forecast'!$P$5:$P$81,'New Hires Forecast'!$F$5:$F$81,"Exec",'New Hires Forecast'!$H$5:$H$81,"&gt;="&amp;Exec!BN$3,'New Hires Forecast'!$G$5:$G$81,"&lt;="&amp;Exec!BN$3)/12)),IF(YEAR(BN$3)=YEAR('New Hires Forecast'!$Q$3),((SUMIFS('New Hires Forecast'!$Q$5:$Q$81,'New Hires Forecast'!$F$5:$F$81,"Exec",'New Hires Forecast'!$H$5:$H$81,"&gt;="&amp;Exec!BN$3,'New Hires Forecast'!$G$5:$G$81,"&lt;="&amp;Exec!BN$3)/12)),IF(YEAR(BN$3)=YEAR('New Hires Forecast'!$R$3),((SUMIFS('New Hires Forecast'!$R$5:$R$81,'New Hires Forecast'!$F$5:$F$81,"Exec",'New Hires Forecast'!$H$5:$H$81,"&gt;="&amp;Exec!BN$3,'New Hires Forecast'!$G$5:$G$81,"&lt;="&amp;Exec!BN$3)/12))))))),0)</f>
        <v>0</v>
      </c>
      <c r="BO13" s="684">
        <f>IF(BO$4="forecast",IF(YEAR(BO$3)=YEAR('New Hires Forecast'!$N$3),((SUMIFS('New Hires Forecast'!$N$5:$N$81,'New Hires Forecast'!$F$5:$F$81,"Exec",'New Hires Forecast'!$H$5:$H$81,"&gt;="&amp;Exec!BO$3,'New Hires Forecast'!$G$5:$G$81,"&lt;="&amp;Exec!BO$3)/12)),IF(YEAR(BO$3)=YEAR('New Hires Forecast'!$O$3),((SUMIFS('New Hires Forecast'!$O$5:$O$81,'New Hires Forecast'!$F$5:$F$81,"Exec",'New Hires Forecast'!$H$5:$H$81,"&gt;="&amp;Exec!BO$3,'New Hires Forecast'!$G$5:$G$81,"&lt;="&amp;Exec!BO$3)/12)),IF(YEAR(BO$3)=YEAR('New Hires Forecast'!$P$3),((SUMIFS('New Hires Forecast'!$P$5:$P$81,'New Hires Forecast'!$F$5:$F$81,"Exec",'New Hires Forecast'!$H$5:$H$81,"&gt;="&amp;Exec!BO$3,'New Hires Forecast'!$G$5:$G$81,"&lt;="&amp;Exec!BO$3)/12)),IF(YEAR(BO$3)=YEAR('New Hires Forecast'!$Q$3),((SUMIFS('New Hires Forecast'!$Q$5:$Q$81,'New Hires Forecast'!$F$5:$F$81,"Exec",'New Hires Forecast'!$H$5:$H$81,"&gt;="&amp;Exec!BO$3,'New Hires Forecast'!$G$5:$G$81,"&lt;="&amp;Exec!BO$3)/12)),IF(YEAR(BO$3)=YEAR('New Hires Forecast'!$R$3),((SUMIFS('New Hires Forecast'!$R$5:$R$81,'New Hires Forecast'!$F$5:$F$81,"Exec",'New Hires Forecast'!$H$5:$H$81,"&gt;="&amp;Exec!BO$3,'New Hires Forecast'!$G$5:$G$81,"&lt;="&amp;Exec!BO$3)/12))))))),0)</f>
        <v>0</v>
      </c>
      <c r="BP13" s="684">
        <f>IF(BP$4="forecast",IF(YEAR(BP$3)=YEAR('New Hires Forecast'!$N$3),((SUMIFS('New Hires Forecast'!$N$5:$N$81,'New Hires Forecast'!$F$5:$F$81,"Exec",'New Hires Forecast'!$H$5:$H$81,"&gt;="&amp;Exec!BP$3,'New Hires Forecast'!$G$5:$G$81,"&lt;="&amp;Exec!BP$3)/12)),IF(YEAR(BP$3)=YEAR('New Hires Forecast'!$O$3),((SUMIFS('New Hires Forecast'!$O$5:$O$81,'New Hires Forecast'!$F$5:$F$81,"Exec",'New Hires Forecast'!$H$5:$H$81,"&gt;="&amp;Exec!BP$3,'New Hires Forecast'!$G$5:$G$81,"&lt;="&amp;Exec!BP$3)/12)),IF(YEAR(BP$3)=YEAR('New Hires Forecast'!$P$3),((SUMIFS('New Hires Forecast'!$P$5:$P$81,'New Hires Forecast'!$F$5:$F$81,"Exec",'New Hires Forecast'!$H$5:$H$81,"&gt;="&amp;Exec!BP$3,'New Hires Forecast'!$G$5:$G$81,"&lt;="&amp;Exec!BP$3)/12)),IF(YEAR(BP$3)=YEAR('New Hires Forecast'!$Q$3),((SUMIFS('New Hires Forecast'!$Q$5:$Q$81,'New Hires Forecast'!$F$5:$F$81,"Exec",'New Hires Forecast'!$H$5:$H$81,"&gt;="&amp;Exec!BP$3,'New Hires Forecast'!$G$5:$G$81,"&lt;="&amp;Exec!BP$3)/12)),IF(YEAR(BP$3)=YEAR('New Hires Forecast'!$R$3),((SUMIFS('New Hires Forecast'!$R$5:$R$81,'New Hires Forecast'!$F$5:$F$81,"Exec",'New Hires Forecast'!$H$5:$H$81,"&gt;="&amp;Exec!BP$3,'New Hires Forecast'!$G$5:$G$81,"&lt;="&amp;Exec!BP$3)/12))))))),0)</f>
        <v>0</v>
      </c>
      <c r="BQ13" s="684">
        <f>IF(BQ$4="forecast",IF(YEAR(BQ$3)=YEAR('New Hires Forecast'!$N$3),((SUMIFS('New Hires Forecast'!$N$5:$N$81,'New Hires Forecast'!$F$5:$F$81,"Exec",'New Hires Forecast'!$H$5:$H$81,"&gt;="&amp;Exec!BQ$3,'New Hires Forecast'!$G$5:$G$81,"&lt;="&amp;Exec!BQ$3)/12)),IF(YEAR(BQ$3)=YEAR('New Hires Forecast'!$O$3),((SUMIFS('New Hires Forecast'!$O$5:$O$81,'New Hires Forecast'!$F$5:$F$81,"Exec",'New Hires Forecast'!$H$5:$H$81,"&gt;="&amp;Exec!BQ$3,'New Hires Forecast'!$G$5:$G$81,"&lt;="&amp;Exec!BQ$3)/12)),IF(YEAR(BQ$3)=YEAR('New Hires Forecast'!$P$3),((SUMIFS('New Hires Forecast'!$P$5:$P$81,'New Hires Forecast'!$F$5:$F$81,"Exec",'New Hires Forecast'!$H$5:$H$81,"&gt;="&amp;Exec!BQ$3,'New Hires Forecast'!$G$5:$G$81,"&lt;="&amp;Exec!BQ$3)/12)),IF(YEAR(BQ$3)=YEAR('New Hires Forecast'!$Q$3),((SUMIFS('New Hires Forecast'!$Q$5:$Q$81,'New Hires Forecast'!$F$5:$F$81,"Exec",'New Hires Forecast'!$H$5:$H$81,"&gt;="&amp;Exec!BQ$3,'New Hires Forecast'!$G$5:$G$81,"&lt;="&amp;Exec!BQ$3)/12)),IF(YEAR(BQ$3)=YEAR('New Hires Forecast'!$R$3),((SUMIFS('New Hires Forecast'!$R$5:$R$81,'New Hires Forecast'!$F$5:$F$81,"Exec",'New Hires Forecast'!$H$5:$H$81,"&gt;="&amp;Exec!BQ$3,'New Hires Forecast'!$G$5:$G$81,"&lt;="&amp;Exec!BQ$3)/12))))))),0)</f>
        <v>0</v>
      </c>
      <c r="BR13" s="684">
        <f>IF(BR$4="forecast",IF(YEAR(BR$3)=YEAR('New Hires Forecast'!$N$3),((SUMIFS('New Hires Forecast'!$N$5:$N$81,'New Hires Forecast'!$F$5:$F$81,"Exec",'New Hires Forecast'!$H$5:$H$81,"&gt;="&amp;Exec!BR$3,'New Hires Forecast'!$G$5:$G$81,"&lt;="&amp;Exec!BR$3)/12)),IF(YEAR(BR$3)=YEAR('New Hires Forecast'!$O$3),((SUMIFS('New Hires Forecast'!$O$5:$O$81,'New Hires Forecast'!$F$5:$F$81,"Exec",'New Hires Forecast'!$H$5:$H$81,"&gt;="&amp;Exec!BR$3,'New Hires Forecast'!$G$5:$G$81,"&lt;="&amp;Exec!BR$3)/12)),IF(YEAR(BR$3)=YEAR('New Hires Forecast'!$P$3),((SUMIFS('New Hires Forecast'!$P$5:$P$81,'New Hires Forecast'!$F$5:$F$81,"Exec",'New Hires Forecast'!$H$5:$H$81,"&gt;="&amp;Exec!BR$3,'New Hires Forecast'!$G$5:$G$81,"&lt;="&amp;Exec!BR$3)/12)),IF(YEAR(BR$3)=YEAR('New Hires Forecast'!$Q$3),((SUMIFS('New Hires Forecast'!$Q$5:$Q$81,'New Hires Forecast'!$F$5:$F$81,"Exec",'New Hires Forecast'!$H$5:$H$81,"&gt;="&amp;Exec!BR$3,'New Hires Forecast'!$G$5:$G$81,"&lt;="&amp;Exec!BR$3)/12)),IF(YEAR(BR$3)=YEAR('New Hires Forecast'!$R$3),((SUMIFS('New Hires Forecast'!$R$5:$R$81,'New Hires Forecast'!$F$5:$F$81,"Exec",'New Hires Forecast'!$H$5:$H$81,"&gt;="&amp;Exec!BR$3,'New Hires Forecast'!$G$5:$G$81,"&lt;="&amp;Exec!BR$3)/12))))))),0)</f>
        <v>0</v>
      </c>
      <c r="BS13" s="684">
        <f>IF(BS$4="forecast",IF(YEAR(BS$3)=YEAR('New Hires Forecast'!$N$3),((SUMIFS('New Hires Forecast'!$N$5:$N$81,'New Hires Forecast'!$F$5:$F$81,"Exec",'New Hires Forecast'!$H$5:$H$81,"&gt;="&amp;Exec!BS$3,'New Hires Forecast'!$G$5:$G$81,"&lt;="&amp;Exec!BS$3)/12)),IF(YEAR(BS$3)=YEAR('New Hires Forecast'!$O$3),((SUMIFS('New Hires Forecast'!$O$5:$O$81,'New Hires Forecast'!$F$5:$F$81,"Exec",'New Hires Forecast'!$H$5:$H$81,"&gt;="&amp;Exec!BS$3,'New Hires Forecast'!$G$5:$G$81,"&lt;="&amp;Exec!BS$3)/12)),IF(YEAR(BS$3)=YEAR('New Hires Forecast'!$P$3),((SUMIFS('New Hires Forecast'!$P$5:$P$81,'New Hires Forecast'!$F$5:$F$81,"Exec",'New Hires Forecast'!$H$5:$H$81,"&gt;="&amp;Exec!BS$3,'New Hires Forecast'!$G$5:$G$81,"&lt;="&amp;Exec!BS$3)/12)),IF(YEAR(BS$3)=YEAR('New Hires Forecast'!$Q$3),((SUMIFS('New Hires Forecast'!$Q$5:$Q$81,'New Hires Forecast'!$F$5:$F$81,"Exec",'New Hires Forecast'!$H$5:$H$81,"&gt;="&amp;Exec!BS$3,'New Hires Forecast'!$G$5:$G$81,"&lt;="&amp;Exec!BS$3)/12)),IF(YEAR(BS$3)=YEAR('New Hires Forecast'!$R$3),((SUMIFS('New Hires Forecast'!$R$5:$R$81,'New Hires Forecast'!$F$5:$F$81,"Exec",'New Hires Forecast'!$H$5:$H$81,"&gt;="&amp;Exec!BS$3,'New Hires Forecast'!$G$5:$G$81,"&lt;="&amp;Exec!BS$3)/12))))))),0)</f>
        <v>0</v>
      </c>
      <c r="BT13" s="684">
        <f>IF(BT$4="forecast",IF(YEAR(BT$3)=YEAR('New Hires Forecast'!$N$3),((SUMIFS('New Hires Forecast'!$N$5:$N$81,'New Hires Forecast'!$F$5:$F$81,"Exec",'New Hires Forecast'!$H$5:$H$81,"&gt;="&amp;Exec!BT$3,'New Hires Forecast'!$G$5:$G$81,"&lt;="&amp;Exec!BT$3)/12)),IF(YEAR(BT$3)=YEAR('New Hires Forecast'!$O$3),((SUMIFS('New Hires Forecast'!$O$5:$O$81,'New Hires Forecast'!$F$5:$F$81,"Exec",'New Hires Forecast'!$H$5:$H$81,"&gt;="&amp;Exec!BT$3,'New Hires Forecast'!$G$5:$G$81,"&lt;="&amp;Exec!BT$3)/12)),IF(YEAR(BT$3)=YEAR('New Hires Forecast'!$P$3),((SUMIFS('New Hires Forecast'!$P$5:$P$81,'New Hires Forecast'!$F$5:$F$81,"Exec",'New Hires Forecast'!$H$5:$H$81,"&gt;="&amp;Exec!BT$3,'New Hires Forecast'!$G$5:$G$81,"&lt;="&amp;Exec!BT$3)/12)),IF(YEAR(BT$3)=YEAR('New Hires Forecast'!$Q$3),((SUMIFS('New Hires Forecast'!$Q$5:$Q$81,'New Hires Forecast'!$F$5:$F$81,"Exec",'New Hires Forecast'!$H$5:$H$81,"&gt;="&amp;Exec!BT$3,'New Hires Forecast'!$G$5:$G$81,"&lt;="&amp;Exec!BT$3)/12)),IF(YEAR(BT$3)=YEAR('New Hires Forecast'!$R$3),((SUMIFS('New Hires Forecast'!$R$5:$R$81,'New Hires Forecast'!$F$5:$F$81,"Exec",'New Hires Forecast'!$H$5:$H$81,"&gt;="&amp;Exec!BT$3,'New Hires Forecast'!$G$5:$G$81,"&lt;="&amp;Exec!BT$3)/12))))))),0)</f>
        <v>0</v>
      </c>
      <c r="BU13" s="684">
        <f>IF(BU$4="forecast",IF(YEAR(BU$3)=YEAR('New Hires Forecast'!$N$3),((SUMIFS('New Hires Forecast'!$N$5:$N$81,'New Hires Forecast'!$F$5:$F$81,"Exec",'New Hires Forecast'!$H$5:$H$81,"&gt;="&amp;Exec!BU$3,'New Hires Forecast'!$G$5:$G$81,"&lt;="&amp;Exec!BU$3)/12)),IF(YEAR(BU$3)=YEAR('New Hires Forecast'!$O$3),((SUMIFS('New Hires Forecast'!$O$5:$O$81,'New Hires Forecast'!$F$5:$F$81,"Exec",'New Hires Forecast'!$H$5:$H$81,"&gt;="&amp;Exec!BU$3,'New Hires Forecast'!$G$5:$G$81,"&lt;="&amp;Exec!BU$3)/12)),IF(YEAR(BU$3)=YEAR('New Hires Forecast'!$P$3),((SUMIFS('New Hires Forecast'!$P$5:$P$81,'New Hires Forecast'!$F$5:$F$81,"Exec",'New Hires Forecast'!$H$5:$H$81,"&gt;="&amp;Exec!BU$3,'New Hires Forecast'!$G$5:$G$81,"&lt;="&amp;Exec!BU$3)/12)),IF(YEAR(BU$3)=YEAR('New Hires Forecast'!$Q$3),((SUMIFS('New Hires Forecast'!$Q$5:$Q$81,'New Hires Forecast'!$F$5:$F$81,"Exec",'New Hires Forecast'!$H$5:$H$81,"&gt;="&amp;Exec!BU$3,'New Hires Forecast'!$G$5:$G$81,"&lt;="&amp;Exec!BU$3)/12)),IF(YEAR(BU$3)=YEAR('New Hires Forecast'!$R$3),((SUMIFS('New Hires Forecast'!$R$5:$R$81,'New Hires Forecast'!$F$5:$F$81,"Exec",'New Hires Forecast'!$H$5:$H$81,"&gt;="&amp;Exec!BU$3,'New Hires Forecast'!$G$5:$G$81,"&lt;="&amp;Exec!BU$3)/12))))))),0)</f>
        <v>0</v>
      </c>
      <c r="BV13" s="808">
        <f>IF(BV$4="forecast",IF(YEAR(BV$3)=YEAR('New Hires Forecast'!$N$3),((SUMIFS('New Hires Forecast'!$N$5:$N$81,'New Hires Forecast'!$F$5:$F$81,"Exec",'New Hires Forecast'!$H$5:$H$81,"&gt;="&amp;Exec!BV$3,'New Hires Forecast'!$G$5:$G$81,"&lt;="&amp;Exec!BV$3)/12)),IF(YEAR(BV$3)=YEAR('New Hires Forecast'!$O$3),((SUMIFS('New Hires Forecast'!$O$5:$O$81,'New Hires Forecast'!$F$5:$F$81,"Exec",'New Hires Forecast'!$H$5:$H$81,"&gt;="&amp;Exec!BV$3,'New Hires Forecast'!$G$5:$G$81,"&lt;="&amp;Exec!BV$3)/12)),IF(YEAR(BV$3)=YEAR('New Hires Forecast'!$P$3),((SUMIFS('New Hires Forecast'!$P$5:$P$81,'New Hires Forecast'!$F$5:$F$81,"Exec",'New Hires Forecast'!$H$5:$H$81,"&gt;="&amp;Exec!BV$3,'New Hires Forecast'!$G$5:$G$81,"&lt;="&amp;Exec!BV$3)/12)),IF(YEAR(BV$3)=YEAR('New Hires Forecast'!$Q$3),((SUMIFS('New Hires Forecast'!$Q$5:$Q$81,'New Hires Forecast'!$F$5:$F$81,"Exec",'New Hires Forecast'!$H$5:$H$81,"&gt;="&amp;Exec!BV$3,'New Hires Forecast'!$G$5:$G$81,"&lt;="&amp;Exec!BV$3)/12)),IF(YEAR(BV$3)=YEAR('New Hires Forecast'!$R$3),((SUMIFS('New Hires Forecast'!$R$5:$R$81,'New Hires Forecast'!$F$5:$F$81,"Exec",'New Hires Forecast'!$H$5:$H$81,"&gt;="&amp;Exec!BV$3,'New Hires Forecast'!$G$5:$G$81,"&lt;="&amp;Exec!BV$3)/12))))))),0)</f>
        <v>0</v>
      </c>
    </row>
    <row r="14" spans="2:74" x14ac:dyDescent="0.35">
      <c r="B14" s="809" t="s">
        <v>936</v>
      </c>
      <c r="C14" s="806">
        <f t="shared" ref="C14" si="2">SUM(C12:C13)</f>
        <v>44509.982946647855</v>
      </c>
      <c r="D14" s="806">
        <f t="shared" ref="D14:BO14" si="3">SUM(D12:D13)</f>
        <v>43315.260990254312</v>
      </c>
      <c r="E14" s="806">
        <f t="shared" si="3"/>
        <v>43096.011618684504</v>
      </c>
      <c r="F14" s="806">
        <f t="shared" si="3"/>
        <v>53582.124645474556</v>
      </c>
      <c r="G14" s="806">
        <f t="shared" si="3"/>
        <v>361395.50900512491</v>
      </c>
      <c r="H14" s="806">
        <f t="shared" si="3"/>
        <v>71597.357801911727</v>
      </c>
      <c r="I14" s="806">
        <f t="shared" si="3"/>
        <v>360667.55978568183</v>
      </c>
      <c r="J14" s="806">
        <f t="shared" si="3"/>
        <v>360977.2560464975</v>
      </c>
      <c r="K14" s="806">
        <f t="shared" si="3"/>
        <v>56204.039722078291</v>
      </c>
      <c r="L14" s="806">
        <f t="shared" si="3"/>
        <v>380293.95248888485</v>
      </c>
      <c r="M14" s="806">
        <f t="shared" si="3"/>
        <v>152993.69789667081</v>
      </c>
      <c r="N14" s="806">
        <f t="shared" si="3"/>
        <v>77575.899608885142</v>
      </c>
      <c r="O14" s="806">
        <f t="shared" si="3"/>
        <v>124639.96999999999</v>
      </c>
      <c r="P14" s="806">
        <f t="shared" si="3"/>
        <v>127073.01</v>
      </c>
      <c r="Q14" s="806">
        <f t="shared" si="3"/>
        <v>109054.21999999999</v>
      </c>
      <c r="R14" s="806">
        <f t="shared" si="3"/>
        <v>118978.56999999999</v>
      </c>
      <c r="S14" s="806">
        <f t="shared" si="3"/>
        <v>112912.48</v>
      </c>
      <c r="T14" s="806">
        <f t="shared" si="3"/>
        <v>93467.67</v>
      </c>
      <c r="U14" s="806">
        <f t="shared" si="3"/>
        <v>106644.11</v>
      </c>
      <c r="V14" s="806">
        <f t="shared" si="3"/>
        <v>84476.03</v>
      </c>
      <c r="W14" s="806">
        <f t="shared" si="3"/>
        <v>100871.79000000001</v>
      </c>
      <c r="X14" s="806">
        <f t="shared" si="3"/>
        <v>107007.77</v>
      </c>
      <c r="Y14" s="806">
        <f t="shared" si="3"/>
        <v>93908.55</v>
      </c>
      <c r="Z14" s="806">
        <f t="shared" si="3"/>
        <v>98588.62</v>
      </c>
      <c r="AA14" s="806">
        <f t="shared" si="3"/>
        <v>98588.62</v>
      </c>
      <c r="AB14" s="806">
        <f t="shared" si="3"/>
        <v>45833.333333333336</v>
      </c>
      <c r="AC14" s="806">
        <f t="shared" si="3"/>
        <v>45833.333333333336</v>
      </c>
      <c r="AD14" s="806">
        <f t="shared" si="3"/>
        <v>45833.333333333336</v>
      </c>
      <c r="AE14" s="806">
        <f t="shared" si="3"/>
        <v>45833.333333333336</v>
      </c>
      <c r="AF14" s="806">
        <f t="shared" si="3"/>
        <v>45833.333333333336</v>
      </c>
      <c r="AG14" s="806">
        <f t="shared" si="3"/>
        <v>45833.333333333336</v>
      </c>
      <c r="AH14" s="806">
        <f t="shared" si="3"/>
        <v>45833.333333333336</v>
      </c>
      <c r="AI14" s="806">
        <f t="shared" si="3"/>
        <v>45833.333333333336</v>
      </c>
      <c r="AJ14" s="806">
        <f t="shared" si="3"/>
        <v>45833.333333333336</v>
      </c>
      <c r="AK14" s="806">
        <f t="shared" si="3"/>
        <v>45833.333333333336</v>
      </c>
      <c r="AL14" s="806">
        <f t="shared" si="3"/>
        <v>45833.333333333336</v>
      </c>
      <c r="AM14" s="806">
        <f t="shared" si="3"/>
        <v>45833.333333333336</v>
      </c>
      <c r="AN14" s="806">
        <f t="shared" si="3"/>
        <v>45833.333333333336</v>
      </c>
      <c r="AO14" s="806">
        <f t="shared" si="3"/>
        <v>45833.333333333336</v>
      </c>
      <c r="AP14" s="806">
        <f t="shared" si="3"/>
        <v>45833.333333333336</v>
      </c>
      <c r="AQ14" s="806">
        <f t="shared" si="3"/>
        <v>45833.333333333336</v>
      </c>
      <c r="AR14" s="806">
        <f t="shared" si="3"/>
        <v>45833.333333333336</v>
      </c>
      <c r="AS14" s="806">
        <f t="shared" si="3"/>
        <v>45833.333333333336</v>
      </c>
      <c r="AT14" s="806">
        <f t="shared" si="3"/>
        <v>45833.333333333336</v>
      </c>
      <c r="AU14" s="806">
        <f t="shared" si="3"/>
        <v>45833.333333333336</v>
      </c>
      <c r="AV14" s="806">
        <f t="shared" si="3"/>
        <v>45833.333333333336</v>
      </c>
      <c r="AW14" s="806">
        <f t="shared" si="3"/>
        <v>45833.333333333336</v>
      </c>
      <c r="AX14" s="806">
        <f t="shared" si="3"/>
        <v>45833.333333333336</v>
      </c>
      <c r="AY14" s="806">
        <f t="shared" si="3"/>
        <v>45833.333333333336</v>
      </c>
      <c r="AZ14" s="806">
        <f t="shared" si="3"/>
        <v>45833.333333333336</v>
      </c>
      <c r="BA14" s="806">
        <f t="shared" si="3"/>
        <v>45833.333333333336</v>
      </c>
      <c r="BB14" s="806">
        <f t="shared" si="3"/>
        <v>45833.333333333336</v>
      </c>
      <c r="BC14" s="806">
        <f t="shared" si="3"/>
        <v>45833.333333333336</v>
      </c>
      <c r="BD14" s="806">
        <f t="shared" si="3"/>
        <v>45833.333333333336</v>
      </c>
      <c r="BE14" s="806">
        <f t="shared" si="3"/>
        <v>45833.333333333336</v>
      </c>
      <c r="BF14" s="806">
        <f t="shared" si="3"/>
        <v>45833.333333333336</v>
      </c>
      <c r="BG14" s="806">
        <f t="shared" si="3"/>
        <v>45833.333333333336</v>
      </c>
      <c r="BH14" s="806">
        <f t="shared" si="3"/>
        <v>45833.333333333336</v>
      </c>
      <c r="BI14" s="806">
        <f t="shared" si="3"/>
        <v>45833.333333333336</v>
      </c>
      <c r="BJ14" s="806">
        <f t="shared" si="3"/>
        <v>45833.333333333336</v>
      </c>
      <c r="BK14" s="806">
        <f t="shared" si="3"/>
        <v>45833.333333333336</v>
      </c>
      <c r="BL14" s="806">
        <f t="shared" si="3"/>
        <v>45833.333333333336</v>
      </c>
      <c r="BM14" s="806">
        <f t="shared" si="3"/>
        <v>45833.333333333336</v>
      </c>
      <c r="BN14" s="806">
        <f t="shared" si="3"/>
        <v>45833.333333333336</v>
      </c>
      <c r="BO14" s="806">
        <f t="shared" si="3"/>
        <v>45833.333333333336</v>
      </c>
      <c r="BP14" s="806">
        <f t="shared" ref="BP14:BV14" si="4">SUM(BP12:BP13)</f>
        <v>45833.333333333336</v>
      </c>
      <c r="BQ14" s="806">
        <f t="shared" si="4"/>
        <v>45833.333333333336</v>
      </c>
      <c r="BR14" s="806">
        <f t="shared" si="4"/>
        <v>45833.333333333336</v>
      </c>
      <c r="BS14" s="806">
        <f t="shared" si="4"/>
        <v>45833.333333333336</v>
      </c>
      <c r="BT14" s="806">
        <f t="shared" si="4"/>
        <v>45833.333333333336</v>
      </c>
      <c r="BU14" s="806">
        <f t="shared" si="4"/>
        <v>45833.333333333336</v>
      </c>
      <c r="BV14" s="807">
        <f t="shared" si="4"/>
        <v>45833.333333333336</v>
      </c>
    </row>
    <row r="15" spans="2:74" x14ac:dyDescent="0.35">
      <c r="B15" s="797" t="s">
        <v>938</v>
      </c>
      <c r="C15" s="684">
        <f>IF(C$4="forecast",IF(YEAR(C$3)=YEAR('New Hires Forecast'!$N$3),IF((C$5=12),(SUMPRODUCT(--('New Hires Forecast'!$F$5:$F$84="Executive"),--('New Hires Forecast'!$H$5:$H$84&gt;=Exec!C$3),'New Hires Forecast'!$N$5:$N$84,'New Hires Forecast'!$L$5:$L$84)),0),IF(YEAR(C$3)=YEAR('New Hires Forecast'!$O$3),IF((C$5=12),(SUMPRODUCT(--('New Hires Forecast'!$F$5:$F$84="Executive"),--('New Hires Forecast'!$H$5:$H$84&gt;=Exec!C$3),'New Hires Forecast'!$O$5:$O$84,'New Hires Forecast'!$L$5:$L$84)),0),IF(YEAR(C$3)=YEAR('New Hires Forecast'!$P$3),IF((C$5=12),(SUMPRODUCT(--('New Hires Forecast'!$F$5:$F$84="Executive"),--('New Hires Forecast'!$H$5:$H$84&gt;=Exec!C$3),'New Hires Forecast'!$P$5:$P$84,'New Hires Forecast'!$L$5:$L$84)),0),IF(YEAR(C$3)=YEAR('New Hires Forecast'!$Q$3),IF((C$5=12),(SUMPRODUCT(--('New Hires Forecast'!$F$5:$F$84="Executive"),--('New Hires Forecast'!$H$5:$H$84&gt;=Exec!C$3),'New Hires Forecast'!$Q$5:$Q$84,'New Hires Forecast'!$L$5:$L$84)),0),IF(YEAR(C$3)=YEAR('New Hires Forecast'!$R$3),IF((C$5=12),(SUMPRODUCT(--('New Hires Forecast'!$F$5:$F$84="Executive"),--('New Hires Forecast'!$H$5:$H$84&gt;=Exec!C$3),'New Hires Forecast'!$R$5:$R$84,'New Hires Forecast'!$L$5:$L$84)),0),"New Year"))))),0)</f>
        <v>0</v>
      </c>
      <c r="D15" s="684">
        <f>IF(D$4="forecast",IF(YEAR(D$3)=YEAR('New Hires Forecast'!$N$3),IF((D$5=12),(SUMPRODUCT(--('New Hires Forecast'!$F$5:$F$84="Executive"),--('New Hires Forecast'!$H$5:$H$84&gt;=Exec!D$3),'New Hires Forecast'!$N$5:$N$84,'New Hires Forecast'!$L$5:$L$84)),0),IF(YEAR(D$3)=YEAR('New Hires Forecast'!$O$3),IF((D$5=12),(SUMPRODUCT(--('New Hires Forecast'!$F$5:$F$84="Executive"),--('New Hires Forecast'!$H$5:$H$84&gt;=Exec!D$3),'New Hires Forecast'!$O$5:$O$84,'New Hires Forecast'!$L$5:$L$84)),0),IF(YEAR(D$3)=YEAR('New Hires Forecast'!$P$3),IF((D$5=12),(SUMPRODUCT(--('New Hires Forecast'!$F$5:$F$84="Executive"),--('New Hires Forecast'!$H$5:$H$84&gt;=Exec!D$3),'New Hires Forecast'!$P$5:$P$84,'New Hires Forecast'!$L$5:$L$84)),0),IF(YEAR(D$3)=YEAR('New Hires Forecast'!$Q$3),IF((D$5=12),(SUMPRODUCT(--('New Hires Forecast'!$F$5:$F$84="Executive"),--('New Hires Forecast'!$H$5:$H$84&gt;=Exec!D$3),'New Hires Forecast'!$Q$5:$Q$84,'New Hires Forecast'!$L$5:$L$84)),0),IF(YEAR(D$3)=YEAR('New Hires Forecast'!$R$3),IF((D$5=12),(SUMPRODUCT(--('New Hires Forecast'!$F$5:$F$84="Executive"),--('New Hires Forecast'!$H$5:$H$84&gt;=Exec!D$3),'New Hires Forecast'!$R$5:$R$84,'New Hires Forecast'!$L$5:$L$84)),0),"New Year"))))),0)</f>
        <v>0</v>
      </c>
      <c r="E15" s="684">
        <f>IF(E$4="forecast",IF(YEAR(E$3)=YEAR('New Hires Forecast'!$N$3),IF((E$5=12),(SUMPRODUCT(--('New Hires Forecast'!$F$5:$F$84="Executive"),--('New Hires Forecast'!$H$5:$H$84&gt;=Exec!E$3),'New Hires Forecast'!$N$5:$N$84,'New Hires Forecast'!$L$5:$L$84)),0),IF(YEAR(E$3)=YEAR('New Hires Forecast'!$O$3),IF((E$5=12),(SUMPRODUCT(--('New Hires Forecast'!$F$5:$F$84="Executive"),--('New Hires Forecast'!$H$5:$H$84&gt;=Exec!E$3),'New Hires Forecast'!$O$5:$O$84,'New Hires Forecast'!$L$5:$L$84)),0),IF(YEAR(E$3)=YEAR('New Hires Forecast'!$P$3),IF((E$5=12),(SUMPRODUCT(--('New Hires Forecast'!$F$5:$F$84="Executive"),--('New Hires Forecast'!$H$5:$H$84&gt;=Exec!E$3),'New Hires Forecast'!$P$5:$P$84,'New Hires Forecast'!$L$5:$L$84)),0),IF(YEAR(E$3)=YEAR('New Hires Forecast'!$Q$3),IF((E$5=12),(SUMPRODUCT(--('New Hires Forecast'!$F$5:$F$84="Executive"),--('New Hires Forecast'!$H$5:$H$84&gt;=Exec!E$3),'New Hires Forecast'!$Q$5:$Q$84,'New Hires Forecast'!$L$5:$L$84)),0),IF(YEAR(E$3)=YEAR('New Hires Forecast'!$R$3),IF((E$5=12),(SUMPRODUCT(--('New Hires Forecast'!$F$5:$F$84="Executive"),--('New Hires Forecast'!$H$5:$H$84&gt;=Exec!E$3),'New Hires Forecast'!$R$5:$R$84,'New Hires Forecast'!$L$5:$L$84)),0),"New Year"))))),0)</f>
        <v>0</v>
      </c>
      <c r="F15" s="684">
        <f>IF(F$4="forecast",IF(YEAR(F$3)=YEAR('New Hires Forecast'!$N$3),IF((F$5=12),(SUMPRODUCT(--('New Hires Forecast'!$F$5:$F$84="Executive"),--('New Hires Forecast'!$H$5:$H$84&gt;=Exec!F$3),'New Hires Forecast'!$N$5:$N$84,'New Hires Forecast'!$L$5:$L$84)),0),IF(YEAR(F$3)=YEAR('New Hires Forecast'!$O$3),IF((F$5=12),(SUMPRODUCT(--('New Hires Forecast'!$F$5:$F$84="Executive"),--('New Hires Forecast'!$H$5:$H$84&gt;=Exec!F$3),'New Hires Forecast'!$O$5:$O$84,'New Hires Forecast'!$L$5:$L$84)),0),IF(YEAR(F$3)=YEAR('New Hires Forecast'!$P$3),IF((F$5=12),(SUMPRODUCT(--('New Hires Forecast'!$F$5:$F$84="Executive"),--('New Hires Forecast'!$H$5:$H$84&gt;=Exec!F$3),'New Hires Forecast'!$P$5:$P$84,'New Hires Forecast'!$L$5:$L$84)),0),IF(YEAR(F$3)=YEAR('New Hires Forecast'!$Q$3),IF((F$5=12),(SUMPRODUCT(--('New Hires Forecast'!$F$5:$F$84="Executive"),--('New Hires Forecast'!$H$5:$H$84&gt;=Exec!F$3),'New Hires Forecast'!$Q$5:$Q$84,'New Hires Forecast'!$L$5:$L$84)),0),IF(YEAR(F$3)=YEAR('New Hires Forecast'!$R$3),IF((F$5=12),(SUMPRODUCT(--('New Hires Forecast'!$F$5:$F$84="Executive"),--('New Hires Forecast'!$H$5:$H$84&gt;=Exec!F$3),'New Hires Forecast'!$R$5:$R$84,'New Hires Forecast'!$L$5:$L$84)),0),"New Year"))))),0)</f>
        <v>0</v>
      </c>
      <c r="G15" s="684">
        <f>IF(G$4="forecast",IF(YEAR(G$3)=YEAR('New Hires Forecast'!$N$3),IF((G$5=12),(SUMPRODUCT(--('New Hires Forecast'!$F$5:$F$84="Executive"),--('New Hires Forecast'!$H$5:$H$84&gt;=Exec!G$3),'New Hires Forecast'!$N$5:$N$84,'New Hires Forecast'!$L$5:$L$84)),0),IF(YEAR(G$3)=YEAR('New Hires Forecast'!$O$3),IF((G$5=12),(SUMPRODUCT(--('New Hires Forecast'!$F$5:$F$84="Executive"),--('New Hires Forecast'!$H$5:$H$84&gt;=Exec!G$3),'New Hires Forecast'!$O$5:$O$84,'New Hires Forecast'!$L$5:$L$84)),0),IF(YEAR(G$3)=YEAR('New Hires Forecast'!$P$3),IF((G$5=12),(SUMPRODUCT(--('New Hires Forecast'!$F$5:$F$84="Executive"),--('New Hires Forecast'!$H$5:$H$84&gt;=Exec!G$3),'New Hires Forecast'!$P$5:$P$84,'New Hires Forecast'!$L$5:$L$84)),0),IF(YEAR(G$3)=YEAR('New Hires Forecast'!$Q$3),IF((G$5=12),(SUMPRODUCT(--('New Hires Forecast'!$F$5:$F$84="Executive"),--('New Hires Forecast'!$H$5:$H$84&gt;=Exec!G$3),'New Hires Forecast'!$Q$5:$Q$84,'New Hires Forecast'!$L$5:$L$84)),0),IF(YEAR(G$3)=YEAR('New Hires Forecast'!$R$3),IF((G$5=12),(SUMPRODUCT(--('New Hires Forecast'!$F$5:$F$84="Executive"),--('New Hires Forecast'!$H$5:$H$84&gt;=Exec!G$3),'New Hires Forecast'!$R$5:$R$84,'New Hires Forecast'!$L$5:$L$84)),0),"New Year"))))),0)</f>
        <v>0</v>
      </c>
      <c r="H15" s="684">
        <f>IF(H$4="forecast",IF(YEAR(H$3)=YEAR('New Hires Forecast'!$N$3),IF((H$5=12),(SUMPRODUCT(--('New Hires Forecast'!$F$5:$F$84="Executive"),--('New Hires Forecast'!$H$5:$H$84&gt;=Exec!H$3),'New Hires Forecast'!$N$5:$N$84,'New Hires Forecast'!$L$5:$L$84)),0),IF(YEAR(H$3)=YEAR('New Hires Forecast'!$O$3),IF((H$5=12),(SUMPRODUCT(--('New Hires Forecast'!$F$5:$F$84="Executive"),--('New Hires Forecast'!$H$5:$H$84&gt;=Exec!H$3),'New Hires Forecast'!$O$5:$O$84,'New Hires Forecast'!$L$5:$L$84)),0),IF(YEAR(H$3)=YEAR('New Hires Forecast'!$P$3),IF((H$5=12),(SUMPRODUCT(--('New Hires Forecast'!$F$5:$F$84="Executive"),--('New Hires Forecast'!$H$5:$H$84&gt;=Exec!H$3),'New Hires Forecast'!$P$5:$P$84,'New Hires Forecast'!$L$5:$L$84)),0),IF(YEAR(H$3)=YEAR('New Hires Forecast'!$Q$3),IF((H$5=12),(SUMPRODUCT(--('New Hires Forecast'!$F$5:$F$84="Executive"),--('New Hires Forecast'!$H$5:$H$84&gt;=Exec!H$3),'New Hires Forecast'!$Q$5:$Q$84,'New Hires Forecast'!$L$5:$L$84)),0),IF(YEAR(H$3)=YEAR('New Hires Forecast'!$R$3),IF((H$5=12),(SUMPRODUCT(--('New Hires Forecast'!$F$5:$F$84="Executive"),--('New Hires Forecast'!$H$5:$H$84&gt;=Exec!H$3),'New Hires Forecast'!$R$5:$R$84,'New Hires Forecast'!$L$5:$L$84)),0),"New Year"))))),0)</f>
        <v>0</v>
      </c>
      <c r="I15" s="684">
        <f>IF(I$4="forecast",IF(YEAR(I$3)=YEAR('New Hires Forecast'!$N$3),IF((I$5=12),(SUMPRODUCT(--('New Hires Forecast'!$F$5:$F$84="Executive"),--('New Hires Forecast'!$H$5:$H$84&gt;=Exec!I$3),'New Hires Forecast'!$N$5:$N$84,'New Hires Forecast'!$L$5:$L$84)),0),IF(YEAR(I$3)=YEAR('New Hires Forecast'!$O$3),IF((I$5=12),(SUMPRODUCT(--('New Hires Forecast'!$F$5:$F$84="Executive"),--('New Hires Forecast'!$H$5:$H$84&gt;=Exec!I$3),'New Hires Forecast'!$O$5:$O$84,'New Hires Forecast'!$L$5:$L$84)),0),IF(YEAR(I$3)=YEAR('New Hires Forecast'!$P$3),IF((I$5=12),(SUMPRODUCT(--('New Hires Forecast'!$F$5:$F$84="Executive"),--('New Hires Forecast'!$H$5:$H$84&gt;=Exec!I$3),'New Hires Forecast'!$P$5:$P$84,'New Hires Forecast'!$L$5:$L$84)),0),IF(YEAR(I$3)=YEAR('New Hires Forecast'!$Q$3),IF((I$5=12),(SUMPRODUCT(--('New Hires Forecast'!$F$5:$F$84="Executive"),--('New Hires Forecast'!$H$5:$H$84&gt;=Exec!I$3),'New Hires Forecast'!$Q$5:$Q$84,'New Hires Forecast'!$L$5:$L$84)),0),IF(YEAR(I$3)=YEAR('New Hires Forecast'!$R$3),IF((I$5=12),(SUMPRODUCT(--('New Hires Forecast'!$F$5:$F$84="Executive"),--('New Hires Forecast'!$H$5:$H$84&gt;=Exec!I$3),'New Hires Forecast'!$R$5:$R$84,'New Hires Forecast'!$L$5:$L$84)),0),"New Year"))))),0)</f>
        <v>0</v>
      </c>
      <c r="J15" s="684">
        <f>IF(J$4="forecast",IF(YEAR(J$3)=YEAR('New Hires Forecast'!$N$3),IF((J$5=12),(SUMPRODUCT(--('New Hires Forecast'!$F$5:$F$84="Executive"),--('New Hires Forecast'!$H$5:$H$84&gt;=Exec!J$3),'New Hires Forecast'!$N$5:$N$84,'New Hires Forecast'!$L$5:$L$84)),0),IF(YEAR(J$3)=YEAR('New Hires Forecast'!$O$3),IF((J$5=12),(SUMPRODUCT(--('New Hires Forecast'!$F$5:$F$84="Executive"),--('New Hires Forecast'!$H$5:$H$84&gt;=Exec!J$3),'New Hires Forecast'!$O$5:$O$84,'New Hires Forecast'!$L$5:$L$84)),0),IF(YEAR(J$3)=YEAR('New Hires Forecast'!$P$3),IF((J$5=12),(SUMPRODUCT(--('New Hires Forecast'!$F$5:$F$84="Executive"),--('New Hires Forecast'!$H$5:$H$84&gt;=Exec!J$3),'New Hires Forecast'!$P$5:$P$84,'New Hires Forecast'!$L$5:$L$84)),0),IF(YEAR(J$3)=YEAR('New Hires Forecast'!$Q$3),IF((J$5=12),(SUMPRODUCT(--('New Hires Forecast'!$F$5:$F$84="Executive"),--('New Hires Forecast'!$H$5:$H$84&gt;=Exec!J$3),'New Hires Forecast'!$Q$5:$Q$84,'New Hires Forecast'!$L$5:$L$84)),0),IF(YEAR(J$3)=YEAR('New Hires Forecast'!$R$3),IF((J$5=12),(SUMPRODUCT(--('New Hires Forecast'!$F$5:$F$84="Executive"),--('New Hires Forecast'!$H$5:$H$84&gt;=Exec!J$3),'New Hires Forecast'!$R$5:$R$84,'New Hires Forecast'!$L$5:$L$84)),0),"New Year"))))),0)</f>
        <v>0</v>
      </c>
      <c r="K15" s="684">
        <f>IF(K$4="forecast",IF(YEAR(K$3)=YEAR('New Hires Forecast'!$N$3),IF((K$5=12),(SUMPRODUCT(--('New Hires Forecast'!$F$5:$F$84="Executive"),--('New Hires Forecast'!$H$5:$H$84&gt;=Exec!K$3),'New Hires Forecast'!$N$5:$N$84,'New Hires Forecast'!$L$5:$L$84)),0),IF(YEAR(K$3)=YEAR('New Hires Forecast'!$O$3),IF((K$5=12),(SUMPRODUCT(--('New Hires Forecast'!$F$5:$F$84="Executive"),--('New Hires Forecast'!$H$5:$H$84&gt;=Exec!K$3),'New Hires Forecast'!$O$5:$O$84,'New Hires Forecast'!$L$5:$L$84)),0),IF(YEAR(K$3)=YEAR('New Hires Forecast'!$P$3),IF((K$5=12),(SUMPRODUCT(--('New Hires Forecast'!$F$5:$F$84="Executive"),--('New Hires Forecast'!$H$5:$H$84&gt;=Exec!K$3),'New Hires Forecast'!$P$5:$P$84,'New Hires Forecast'!$L$5:$L$84)),0),IF(YEAR(K$3)=YEAR('New Hires Forecast'!$Q$3),IF((K$5=12),(SUMPRODUCT(--('New Hires Forecast'!$F$5:$F$84="Executive"),--('New Hires Forecast'!$H$5:$H$84&gt;=Exec!K$3),'New Hires Forecast'!$Q$5:$Q$84,'New Hires Forecast'!$L$5:$L$84)),0),IF(YEAR(K$3)=YEAR('New Hires Forecast'!$R$3),IF((K$5=12),(SUMPRODUCT(--('New Hires Forecast'!$F$5:$F$84="Executive"),--('New Hires Forecast'!$H$5:$H$84&gt;=Exec!K$3),'New Hires Forecast'!$R$5:$R$84,'New Hires Forecast'!$L$5:$L$84)),0),"New Year"))))),0)</f>
        <v>0</v>
      </c>
      <c r="L15" s="684">
        <f>IF(L$4="forecast",IF(YEAR(L$3)=YEAR('New Hires Forecast'!$N$3),IF((L$5=12),(SUMPRODUCT(--('New Hires Forecast'!$F$5:$F$84="Executive"),--('New Hires Forecast'!$H$5:$H$84&gt;=Exec!L$3),'New Hires Forecast'!$N$5:$N$84,'New Hires Forecast'!$L$5:$L$84)),0),IF(YEAR(L$3)=YEAR('New Hires Forecast'!$O$3),IF((L$5=12),(SUMPRODUCT(--('New Hires Forecast'!$F$5:$F$84="Executive"),--('New Hires Forecast'!$H$5:$H$84&gt;=Exec!L$3),'New Hires Forecast'!$O$5:$O$84,'New Hires Forecast'!$L$5:$L$84)),0),IF(YEAR(L$3)=YEAR('New Hires Forecast'!$P$3),IF((L$5=12),(SUMPRODUCT(--('New Hires Forecast'!$F$5:$F$84="Executive"),--('New Hires Forecast'!$H$5:$H$84&gt;=Exec!L$3),'New Hires Forecast'!$P$5:$P$84,'New Hires Forecast'!$L$5:$L$84)),0),IF(YEAR(L$3)=YEAR('New Hires Forecast'!$Q$3),IF((L$5=12),(SUMPRODUCT(--('New Hires Forecast'!$F$5:$F$84="Executive"),--('New Hires Forecast'!$H$5:$H$84&gt;=Exec!L$3),'New Hires Forecast'!$Q$5:$Q$84,'New Hires Forecast'!$L$5:$L$84)),0),IF(YEAR(L$3)=YEAR('New Hires Forecast'!$R$3),IF((L$5=12),(SUMPRODUCT(--('New Hires Forecast'!$F$5:$F$84="Executive"),--('New Hires Forecast'!$H$5:$H$84&gt;=Exec!L$3),'New Hires Forecast'!$R$5:$R$84,'New Hires Forecast'!$L$5:$L$84)),0),"New Year"))))),0)</f>
        <v>0</v>
      </c>
      <c r="M15" s="684">
        <f>IF(M$4="forecast",IF(YEAR(M$3)=YEAR('New Hires Forecast'!$N$3),IF((M$5=12),(SUMPRODUCT(--('New Hires Forecast'!$F$5:$F$84="Executive"),--('New Hires Forecast'!$H$5:$H$84&gt;=Exec!M$3),'New Hires Forecast'!$N$5:$N$84,'New Hires Forecast'!$L$5:$L$84)),0),IF(YEAR(M$3)=YEAR('New Hires Forecast'!$O$3),IF((M$5=12),(SUMPRODUCT(--('New Hires Forecast'!$F$5:$F$84="Executive"),--('New Hires Forecast'!$H$5:$H$84&gt;=Exec!M$3),'New Hires Forecast'!$O$5:$O$84,'New Hires Forecast'!$L$5:$L$84)),0),IF(YEAR(M$3)=YEAR('New Hires Forecast'!$P$3),IF((M$5=12),(SUMPRODUCT(--('New Hires Forecast'!$F$5:$F$84="Executive"),--('New Hires Forecast'!$H$5:$H$84&gt;=Exec!M$3),'New Hires Forecast'!$P$5:$P$84,'New Hires Forecast'!$L$5:$L$84)),0),IF(YEAR(M$3)=YEAR('New Hires Forecast'!$Q$3),IF((M$5=12),(SUMPRODUCT(--('New Hires Forecast'!$F$5:$F$84="Executive"),--('New Hires Forecast'!$H$5:$H$84&gt;=Exec!M$3),'New Hires Forecast'!$Q$5:$Q$84,'New Hires Forecast'!$L$5:$L$84)),0),IF(YEAR(M$3)=YEAR('New Hires Forecast'!$R$3),IF((M$5=12),(SUMPRODUCT(--('New Hires Forecast'!$F$5:$F$84="Executive"),--('New Hires Forecast'!$H$5:$H$84&gt;=Exec!M$3),'New Hires Forecast'!$R$5:$R$84,'New Hires Forecast'!$L$5:$L$84)),0),"New Year"))))),0)</f>
        <v>0</v>
      </c>
      <c r="N15" s="684">
        <f>IF(N$4="forecast",IF(YEAR(N$3)=YEAR('New Hires Forecast'!$N$3),IF((N$5=12),(SUMPRODUCT(--('New Hires Forecast'!$F$5:$F$84="Executive"),--('New Hires Forecast'!$H$5:$H$84&gt;=Exec!N$3),'New Hires Forecast'!$N$5:$N$84,'New Hires Forecast'!$L$5:$L$84)),0),IF(YEAR(N$3)=YEAR('New Hires Forecast'!$O$3),IF((N$5=12),(SUMPRODUCT(--('New Hires Forecast'!$F$5:$F$84="Executive"),--('New Hires Forecast'!$H$5:$H$84&gt;=Exec!N$3),'New Hires Forecast'!$O$5:$O$84,'New Hires Forecast'!$L$5:$L$84)),0),IF(YEAR(N$3)=YEAR('New Hires Forecast'!$P$3),IF((N$5=12),(SUMPRODUCT(--('New Hires Forecast'!$F$5:$F$84="Executive"),--('New Hires Forecast'!$H$5:$H$84&gt;=Exec!N$3),'New Hires Forecast'!$P$5:$P$84,'New Hires Forecast'!$L$5:$L$84)),0),IF(YEAR(N$3)=YEAR('New Hires Forecast'!$Q$3),IF((N$5=12),(SUMPRODUCT(--('New Hires Forecast'!$F$5:$F$84="Executive"),--('New Hires Forecast'!$H$5:$H$84&gt;=Exec!N$3),'New Hires Forecast'!$Q$5:$Q$84,'New Hires Forecast'!$L$5:$L$84)),0),IF(YEAR(N$3)=YEAR('New Hires Forecast'!$R$3),IF((N$5=12),(SUMPRODUCT(--('New Hires Forecast'!$F$5:$F$84="Executive"),--('New Hires Forecast'!$H$5:$H$84&gt;=Exec!N$3),'New Hires Forecast'!$R$5:$R$84,'New Hires Forecast'!$L$5:$L$84)),0),"New Year"))))),0)</f>
        <v>0</v>
      </c>
      <c r="O15" s="684">
        <f>IF(O$4="forecast",IF(YEAR(O$3)=YEAR('New Hires Forecast'!$N$3),IF((O$5=12),(SUMPRODUCT(--('New Hires Forecast'!$F$5:$F$84="Executive"),--('New Hires Forecast'!$H$5:$H$84&gt;=Exec!O$3),'New Hires Forecast'!$N$5:$N$84,'New Hires Forecast'!$L$5:$L$84)),0),IF(YEAR(O$3)=YEAR('New Hires Forecast'!$O$3),IF((O$5=12),(SUMPRODUCT(--('New Hires Forecast'!$F$5:$F$84="Executive"),--('New Hires Forecast'!$H$5:$H$84&gt;=Exec!O$3),'New Hires Forecast'!$O$5:$O$84,'New Hires Forecast'!$L$5:$L$84)),0),IF(YEAR(O$3)=YEAR('New Hires Forecast'!$P$3),IF((O$5=12),(SUMPRODUCT(--('New Hires Forecast'!$F$5:$F$84="Executive"),--('New Hires Forecast'!$H$5:$H$84&gt;=Exec!O$3),'New Hires Forecast'!$P$5:$P$84,'New Hires Forecast'!$L$5:$L$84)),0),IF(YEAR(O$3)=YEAR('New Hires Forecast'!$Q$3),IF((O$5=12),(SUMPRODUCT(--('New Hires Forecast'!$F$5:$F$84="Executive"),--('New Hires Forecast'!$H$5:$H$84&gt;=Exec!O$3),'New Hires Forecast'!$Q$5:$Q$84,'New Hires Forecast'!$L$5:$L$84)),0),IF(YEAR(O$3)=YEAR('New Hires Forecast'!$R$3),IF((O$5=12),(SUMPRODUCT(--('New Hires Forecast'!$F$5:$F$84="Executive"),--('New Hires Forecast'!$H$5:$H$84&gt;=Exec!O$3),'New Hires Forecast'!$R$5:$R$84,'New Hires Forecast'!$L$5:$L$84)),0),"New Year"))))),0)</f>
        <v>0</v>
      </c>
      <c r="P15" s="684">
        <f>IF(P$4="forecast",IF(YEAR(P$3)=YEAR('New Hires Forecast'!$N$3),IF((P$5=12),(SUMPRODUCT(--('New Hires Forecast'!$F$5:$F$84="Executive"),--('New Hires Forecast'!$H$5:$H$84&gt;=Exec!P$3),'New Hires Forecast'!$N$5:$N$84,'New Hires Forecast'!$L$5:$L$84)),0),IF(YEAR(P$3)=YEAR('New Hires Forecast'!$O$3),IF((P$5=12),(SUMPRODUCT(--('New Hires Forecast'!$F$5:$F$84="Executive"),--('New Hires Forecast'!$H$5:$H$84&gt;=Exec!P$3),'New Hires Forecast'!$O$5:$O$84,'New Hires Forecast'!$L$5:$L$84)),0),IF(YEAR(P$3)=YEAR('New Hires Forecast'!$P$3),IF((P$5=12),(SUMPRODUCT(--('New Hires Forecast'!$F$5:$F$84="Executive"),--('New Hires Forecast'!$H$5:$H$84&gt;=Exec!P$3),'New Hires Forecast'!$P$5:$P$84,'New Hires Forecast'!$L$5:$L$84)),0),IF(YEAR(P$3)=YEAR('New Hires Forecast'!$Q$3),IF((P$5=12),(SUMPRODUCT(--('New Hires Forecast'!$F$5:$F$84="Executive"),--('New Hires Forecast'!$H$5:$H$84&gt;=Exec!P$3),'New Hires Forecast'!$Q$5:$Q$84,'New Hires Forecast'!$L$5:$L$84)),0),IF(YEAR(P$3)=YEAR('New Hires Forecast'!$R$3),IF((P$5=12),(SUMPRODUCT(--('New Hires Forecast'!$F$5:$F$84="Executive"),--('New Hires Forecast'!$H$5:$H$84&gt;=Exec!P$3),'New Hires Forecast'!$R$5:$R$84,'New Hires Forecast'!$L$5:$L$84)),0),"New Year"))))),0)</f>
        <v>0</v>
      </c>
      <c r="Q15" s="684">
        <f>IF(Q$4="forecast",IF(YEAR(Q$3)=YEAR('New Hires Forecast'!$N$3),IF((Q$5=12),(SUMPRODUCT(--('New Hires Forecast'!$F$5:$F$84="Executive"),--('New Hires Forecast'!$H$5:$H$84&gt;=Exec!Q$3),'New Hires Forecast'!$N$5:$N$84,'New Hires Forecast'!$L$5:$L$84)),0),IF(YEAR(Q$3)=YEAR('New Hires Forecast'!$O$3),IF((Q$5=12),(SUMPRODUCT(--('New Hires Forecast'!$F$5:$F$84="Executive"),--('New Hires Forecast'!$H$5:$H$84&gt;=Exec!Q$3),'New Hires Forecast'!$O$5:$O$84,'New Hires Forecast'!$L$5:$L$84)),0),IF(YEAR(Q$3)=YEAR('New Hires Forecast'!$P$3),IF((Q$5=12),(SUMPRODUCT(--('New Hires Forecast'!$F$5:$F$84="Executive"),--('New Hires Forecast'!$H$5:$H$84&gt;=Exec!Q$3),'New Hires Forecast'!$P$5:$P$84,'New Hires Forecast'!$L$5:$L$84)),0),IF(YEAR(Q$3)=YEAR('New Hires Forecast'!$Q$3),IF((Q$5=12),(SUMPRODUCT(--('New Hires Forecast'!$F$5:$F$84="Executive"),--('New Hires Forecast'!$H$5:$H$84&gt;=Exec!Q$3),'New Hires Forecast'!$Q$5:$Q$84,'New Hires Forecast'!$L$5:$L$84)),0),IF(YEAR(Q$3)=YEAR('New Hires Forecast'!$R$3),IF((Q$5=12),(SUMPRODUCT(--('New Hires Forecast'!$F$5:$F$84="Executive"),--('New Hires Forecast'!$H$5:$H$84&gt;=Exec!Q$3),'New Hires Forecast'!$R$5:$R$84,'New Hires Forecast'!$L$5:$L$84)),0),"New Year"))))),0)</f>
        <v>0</v>
      </c>
      <c r="R15" s="684">
        <f>IF(R$4="forecast",IF(YEAR(R$3)=YEAR('New Hires Forecast'!$N$3),IF((R$5=12),(SUMPRODUCT(--('New Hires Forecast'!$F$5:$F$84="Executive"),--('New Hires Forecast'!$H$5:$H$84&gt;=Exec!R$3),'New Hires Forecast'!$N$5:$N$84,'New Hires Forecast'!$L$5:$L$84)),0),IF(YEAR(R$3)=YEAR('New Hires Forecast'!$O$3),IF((R$5=12),(SUMPRODUCT(--('New Hires Forecast'!$F$5:$F$84="Executive"),--('New Hires Forecast'!$H$5:$H$84&gt;=Exec!R$3),'New Hires Forecast'!$O$5:$O$84,'New Hires Forecast'!$L$5:$L$84)),0),IF(YEAR(R$3)=YEAR('New Hires Forecast'!$P$3),IF((R$5=12),(SUMPRODUCT(--('New Hires Forecast'!$F$5:$F$84="Executive"),--('New Hires Forecast'!$H$5:$H$84&gt;=Exec!R$3),'New Hires Forecast'!$P$5:$P$84,'New Hires Forecast'!$L$5:$L$84)),0),IF(YEAR(R$3)=YEAR('New Hires Forecast'!$Q$3),IF((R$5=12),(SUMPRODUCT(--('New Hires Forecast'!$F$5:$F$84="Executive"),--('New Hires Forecast'!$H$5:$H$84&gt;=Exec!R$3),'New Hires Forecast'!$Q$5:$Q$84,'New Hires Forecast'!$L$5:$L$84)),0),IF(YEAR(R$3)=YEAR('New Hires Forecast'!$R$3),IF((R$5=12),(SUMPRODUCT(--('New Hires Forecast'!$F$5:$F$84="Executive"),--('New Hires Forecast'!$H$5:$H$84&gt;=Exec!R$3),'New Hires Forecast'!$R$5:$R$84,'New Hires Forecast'!$L$5:$L$84)),0),"New Year"))))),0)</f>
        <v>0</v>
      </c>
      <c r="S15" s="684">
        <f>IF(S$4="forecast",IF(YEAR(S$3)=YEAR('New Hires Forecast'!$N$3),IF((S$5=12),(SUMPRODUCT(--('New Hires Forecast'!$F$5:$F$84="Executive"),--('New Hires Forecast'!$H$5:$H$84&gt;=Exec!S$3),'New Hires Forecast'!$N$5:$N$84,'New Hires Forecast'!$L$5:$L$84)),0),IF(YEAR(S$3)=YEAR('New Hires Forecast'!$O$3),IF((S$5=12),(SUMPRODUCT(--('New Hires Forecast'!$F$5:$F$84="Executive"),--('New Hires Forecast'!$H$5:$H$84&gt;=Exec!S$3),'New Hires Forecast'!$O$5:$O$84,'New Hires Forecast'!$L$5:$L$84)),0),IF(YEAR(S$3)=YEAR('New Hires Forecast'!$P$3),IF((S$5=12),(SUMPRODUCT(--('New Hires Forecast'!$F$5:$F$84="Executive"),--('New Hires Forecast'!$H$5:$H$84&gt;=Exec!S$3),'New Hires Forecast'!$P$5:$P$84,'New Hires Forecast'!$L$5:$L$84)),0),IF(YEAR(S$3)=YEAR('New Hires Forecast'!$Q$3),IF((S$5=12),(SUMPRODUCT(--('New Hires Forecast'!$F$5:$F$84="Executive"),--('New Hires Forecast'!$H$5:$H$84&gt;=Exec!S$3),'New Hires Forecast'!$Q$5:$Q$84,'New Hires Forecast'!$L$5:$L$84)),0),IF(YEAR(S$3)=YEAR('New Hires Forecast'!$R$3),IF((S$5=12),(SUMPRODUCT(--('New Hires Forecast'!$F$5:$F$84="Executive"),--('New Hires Forecast'!$H$5:$H$84&gt;=Exec!S$3),'New Hires Forecast'!$R$5:$R$84,'New Hires Forecast'!$L$5:$L$84)),0),"New Year"))))),0)</f>
        <v>0</v>
      </c>
      <c r="T15" s="684">
        <f>IF(T$4="forecast",IF(YEAR(T$3)=YEAR('New Hires Forecast'!$N$3),IF((T$5=12),(SUMPRODUCT(--('New Hires Forecast'!$F$5:$F$84="Executive"),--('New Hires Forecast'!$H$5:$H$84&gt;=Exec!T$3),'New Hires Forecast'!$N$5:$N$84,'New Hires Forecast'!$L$5:$L$84)),0),IF(YEAR(T$3)=YEAR('New Hires Forecast'!$O$3),IF((T$5=12),(SUMPRODUCT(--('New Hires Forecast'!$F$5:$F$84="Executive"),--('New Hires Forecast'!$H$5:$H$84&gt;=Exec!T$3),'New Hires Forecast'!$O$5:$O$84,'New Hires Forecast'!$L$5:$L$84)),0),IF(YEAR(T$3)=YEAR('New Hires Forecast'!$P$3),IF((T$5=12),(SUMPRODUCT(--('New Hires Forecast'!$F$5:$F$84="Executive"),--('New Hires Forecast'!$H$5:$H$84&gt;=Exec!T$3),'New Hires Forecast'!$P$5:$P$84,'New Hires Forecast'!$L$5:$L$84)),0),IF(YEAR(T$3)=YEAR('New Hires Forecast'!$Q$3),IF((T$5=12),(SUMPRODUCT(--('New Hires Forecast'!$F$5:$F$84="Executive"),--('New Hires Forecast'!$H$5:$H$84&gt;=Exec!T$3),'New Hires Forecast'!$Q$5:$Q$84,'New Hires Forecast'!$L$5:$L$84)),0),IF(YEAR(T$3)=YEAR('New Hires Forecast'!$R$3),IF((T$5=12),(SUMPRODUCT(--('New Hires Forecast'!$F$5:$F$84="Executive"),--('New Hires Forecast'!$H$5:$H$84&gt;=Exec!T$3),'New Hires Forecast'!$R$5:$R$84,'New Hires Forecast'!$L$5:$L$84)),0),"New Year"))))),0)</f>
        <v>0</v>
      </c>
      <c r="U15" s="684">
        <f>IF(U$4="forecast",IF(YEAR(U$3)=YEAR('New Hires Forecast'!$N$3),IF((U$5=12),(SUMPRODUCT(--('New Hires Forecast'!$F$5:$F$84="Executive"),--('New Hires Forecast'!$H$5:$H$84&gt;=Exec!U$3),'New Hires Forecast'!$N$5:$N$84,'New Hires Forecast'!$L$5:$L$84)),0),IF(YEAR(U$3)=YEAR('New Hires Forecast'!$O$3),IF((U$5=12),(SUMPRODUCT(--('New Hires Forecast'!$F$5:$F$84="Executive"),--('New Hires Forecast'!$H$5:$H$84&gt;=Exec!U$3),'New Hires Forecast'!$O$5:$O$84,'New Hires Forecast'!$L$5:$L$84)),0),IF(YEAR(U$3)=YEAR('New Hires Forecast'!$P$3),IF((U$5=12),(SUMPRODUCT(--('New Hires Forecast'!$F$5:$F$84="Executive"),--('New Hires Forecast'!$H$5:$H$84&gt;=Exec!U$3),'New Hires Forecast'!$P$5:$P$84,'New Hires Forecast'!$L$5:$L$84)),0),IF(YEAR(U$3)=YEAR('New Hires Forecast'!$Q$3),IF((U$5=12),(SUMPRODUCT(--('New Hires Forecast'!$F$5:$F$84="Executive"),--('New Hires Forecast'!$H$5:$H$84&gt;=Exec!U$3),'New Hires Forecast'!$Q$5:$Q$84,'New Hires Forecast'!$L$5:$L$84)),0),IF(YEAR(U$3)=YEAR('New Hires Forecast'!$R$3),IF((U$5=12),(SUMPRODUCT(--('New Hires Forecast'!$F$5:$F$84="Executive"),--('New Hires Forecast'!$H$5:$H$84&gt;=Exec!U$3),'New Hires Forecast'!$R$5:$R$84,'New Hires Forecast'!$L$5:$L$84)),0),"New Year"))))),0)</f>
        <v>0</v>
      </c>
      <c r="V15" s="684">
        <f>IF(V$4="forecast",IF(YEAR(V$3)=YEAR('New Hires Forecast'!$N$3),IF((V$5=12),(SUMPRODUCT(--('New Hires Forecast'!$F$5:$F$84="Executive"),--('New Hires Forecast'!$H$5:$H$84&gt;=Exec!V$3),'New Hires Forecast'!$N$5:$N$84,'New Hires Forecast'!$L$5:$L$84)),0),IF(YEAR(V$3)=YEAR('New Hires Forecast'!$O$3),IF((V$5=12),(SUMPRODUCT(--('New Hires Forecast'!$F$5:$F$84="Executive"),--('New Hires Forecast'!$H$5:$H$84&gt;=Exec!V$3),'New Hires Forecast'!$O$5:$O$84,'New Hires Forecast'!$L$5:$L$84)),0),IF(YEAR(V$3)=YEAR('New Hires Forecast'!$P$3),IF((V$5=12),(SUMPRODUCT(--('New Hires Forecast'!$F$5:$F$84="Executive"),--('New Hires Forecast'!$H$5:$H$84&gt;=Exec!V$3),'New Hires Forecast'!$P$5:$P$84,'New Hires Forecast'!$L$5:$L$84)),0),IF(YEAR(V$3)=YEAR('New Hires Forecast'!$Q$3),IF((V$5=12),(SUMPRODUCT(--('New Hires Forecast'!$F$5:$F$84="Executive"),--('New Hires Forecast'!$H$5:$H$84&gt;=Exec!V$3),'New Hires Forecast'!$Q$5:$Q$84,'New Hires Forecast'!$L$5:$L$84)),0),IF(YEAR(V$3)=YEAR('New Hires Forecast'!$R$3),IF((V$5=12),(SUMPRODUCT(--('New Hires Forecast'!$F$5:$F$84="Executive"),--('New Hires Forecast'!$H$5:$H$84&gt;=Exec!V$3),'New Hires Forecast'!$R$5:$R$84,'New Hires Forecast'!$L$5:$L$84)),0),"New Year"))))),0)</f>
        <v>0</v>
      </c>
      <c r="W15" s="684">
        <f>IF(W$4="forecast",IF(YEAR(W$3)=YEAR('New Hires Forecast'!$N$3),IF((W$5=12),(SUMPRODUCT(--('New Hires Forecast'!$F$5:$F$84="Executive"),--('New Hires Forecast'!$H$5:$H$84&gt;=Exec!W$3),'New Hires Forecast'!$N$5:$N$84,'New Hires Forecast'!$L$5:$L$84)),0),IF(YEAR(W$3)=YEAR('New Hires Forecast'!$O$3),IF((W$5=12),(SUMPRODUCT(--('New Hires Forecast'!$F$5:$F$84="Executive"),--('New Hires Forecast'!$H$5:$H$84&gt;=Exec!W$3),'New Hires Forecast'!$O$5:$O$84,'New Hires Forecast'!$L$5:$L$84)),0),IF(YEAR(W$3)=YEAR('New Hires Forecast'!$P$3),IF((W$5=12),(SUMPRODUCT(--('New Hires Forecast'!$F$5:$F$84="Executive"),--('New Hires Forecast'!$H$5:$H$84&gt;=Exec!W$3),'New Hires Forecast'!$P$5:$P$84,'New Hires Forecast'!$L$5:$L$84)),0),IF(YEAR(W$3)=YEAR('New Hires Forecast'!$Q$3),IF((W$5=12),(SUMPRODUCT(--('New Hires Forecast'!$F$5:$F$84="Executive"),--('New Hires Forecast'!$H$5:$H$84&gt;=Exec!W$3),'New Hires Forecast'!$Q$5:$Q$84,'New Hires Forecast'!$L$5:$L$84)),0),IF(YEAR(W$3)=YEAR('New Hires Forecast'!$R$3),IF((W$5=12),(SUMPRODUCT(--('New Hires Forecast'!$F$5:$F$84="Executive"),--('New Hires Forecast'!$H$5:$H$84&gt;=Exec!W$3),'New Hires Forecast'!$R$5:$R$84,'New Hires Forecast'!$L$5:$L$84)),0),"New Year"))))),0)</f>
        <v>0</v>
      </c>
      <c r="X15" s="684">
        <f>IF(X$4="forecast",IF(YEAR(X$3)=YEAR('New Hires Forecast'!$N$3),IF((X$5=12),(SUMPRODUCT(--('New Hires Forecast'!$F$5:$F$84="Executive"),--('New Hires Forecast'!$H$5:$H$84&gt;=Exec!X$3),'New Hires Forecast'!$N$5:$N$84,'New Hires Forecast'!$L$5:$L$84)),0),IF(YEAR(X$3)=YEAR('New Hires Forecast'!$O$3),IF((X$5=12),(SUMPRODUCT(--('New Hires Forecast'!$F$5:$F$84="Executive"),--('New Hires Forecast'!$H$5:$H$84&gt;=Exec!X$3),'New Hires Forecast'!$O$5:$O$84,'New Hires Forecast'!$L$5:$L$84)),0),IF(YEAR(X$3)=YEAR('New Hires Forecast'!$P$3),IF((X$5=12),(SUMPRODUCT(--('New Hires Forecast'!$F$5:$F$84="Executive"),--('New Hires Forecast'!$H$5:$H$84&gt;=Exec!X$3),'New Hires Forecast'!$P$5:$P$84,'New Hires Forecast'!$L$5:$L$84)),0),IF(YEAR(X$3)=YEAR('New Hires Forecast'!$Q$3),IF((X$5=12),(SUMPRODUCT(--('New Hires Forecast'!$F$5:$F$84="Executive"),--('New Hires Forecast'!$H$5:$H$84&gt;=Exec!X$3),'New Hires Forecast'!$Q$5:$Q$84,'New Hires Forecast'!$L$5:$L$84)),0),IF(YEAR(X$3)=YEAR('New Hires Forecast'!$R$3),IF((X$5=12),(SUMPRODUCT(--('New Hires Forecast'!$F$5:$F$84="Executive"),--('New Hires Forecast'!$H$5:$H$84&gt;=Exec!X$3),'New Hires Forecast'!$R$5:$R$84,'New Hires Forecast'!$L$5:$L$84)),0),"New Year"))))),0)</f>
        <v>0</v>
      </c>
      <c r="Y15" s="684">
        <f>IF(Y$4="forecast",IF(YEAR(Y$3)=YEAR('New Hires Forecast'!$N$3),IF((Y$5=12),(SUMPRODUCT(--('New Hires Forecast'!$F$5:$F$84="Executive"),--('New Hires Forecast'!$H$5:$H$84&gt;=Exec!Y$3),'New Hires Forecast'!$N$5:$N$84,'New Hires Forecast'!$L$5:$L$84)),0),IF(YEAR(Y$3)=YEAR('New Hires Forecast'!$O$3),IF((Y$5=12),(SUMPRODUCT(--('New Hires Forecast'!$F$5:$F$84="Executive"),--('New Hires Forecast'!$H$5:$H$84&gt;=Exec!Y$3),'New Hires Forecast'!$O$5:$O$84,'New Hires Forecast'!$L$5:$L$84)),0),IF(YEAR(Y$3)=YEAR('New Hires Forecast'!$P$3),IF((Y$5=12),(SUMPRODUCT(--('New Hires Forecast'!$F$5:$F$84="Executive"),--('New Hires Forecast'!$H$5:$H$84&gt;=Exec!Y$3),'New Hires Forecast'!$P$5:$P$84,'New Hires Forecast'!$L$5:$L$84)),0),IF(YEAR(Y$3)=YEAR('New Hires Forecast'!$Q$3),IF((Y$5=12),(SUMPRODUCT(--('New Hires Forecast'!$F$5:$F$84="Executive"),--('New Hires Forecast'!$H$5:$H$84&gt;=Exec!Y$3),'New Hires Forecast'!$Q$5:$Q$84,'New Hires Forecast'!$L$5:$L$84)),0),IF(YEAR(Y$3)=YEAR('New Hires Forecast'!$R$3),IF((Y$5=12),(SUMPRODUCT(--('New Hires Forecast'!$F$5:$F$84="Executive"),--('New Hires Forecast'!$H$5:$H$84&gt;=Exec!Y$3),'New Hires Forecast'!$R$5:$R$84,'New Hires Forecast'!$L$5:$L$84)),0),"New Year"))))),0)</f>
        <v>0</v>
      </c>
      <c r="Z15" s="684">
        <f>IF(Z$4="forecast",IF(YEAR(Z$3)=YEAR('New Hires Forecast'!$N$3),IF((Z$5=12),(SUMPRODUCT(--('New Hires Forecast'!$F$5:$F$84="Executive"),--('New Hires Forecast'!$H$5:$H$84&gt;=Exec!Z$3),'New Hires Forecast'!$N$5:$N$84,'New Hires Forecast'!$L$5:$L$84)),0),IF(YEAR(Z$3)=YEAR('New Hires Forecast'!$O$3),IF((Z$5=12),(SUMPRODUCT(--('New Hires Forecast'!$F$5:$F$84="Executive"),--('New Hires Forecast'!$H$5:$H$84&gt;=Exec!Z$3),'New Hires Forecast'!$O$5:$O$84,'New Hires Forecast'!$L$5:$L$84)),0),IF(YEAR(Z$3)=YEAR('New Hires Forecast'!$P$3),IF((Z$5=12),(SUMPRODUCT(--('New Hires Forecast'!$F$5:$F$84="Executive"),--('New Hires Forecast'!$H$5:$H$84&gt;=Exec!Z$3),'New Hires Forecast'!$P$5:$P$84,'New Hires Forecast'!$L$5:$L$84)),0),IF(YEAR(Z$3)=YEAR('New Hires Forecast'!$Q$3),IF((Z$5=12),(SUMPRODUCT(--('New Hires Forecast'!$F$5:$F$84="Executive"),--('New Hires Forecast'!$H$5:$H$84&gt;=Exec!Z$3),'New Hires Forecast'!$Q$5:$Q$84,'New Hires Forecast'!$L$5:$L$84)),0),IF(YEAR(Z$3)=YEAR('New Hires Forecast'!$R$3),IF((Z$5=12),(SUMPRODUCT(--('New Hires Forecast'!$F$5:$F$84="Executive"),--('New Hires Forecast'!$H$5:$H$84&gt;=Exec!Z$3),'New Hires Forecast'!$R$5:$R$84,'New Hires Forecast'!$L$5:$L$84)),0),"New Year"))))),0)</f>
        <v>0</v>
      </c>
      <c r="AA15" s="684">
        <f>IF(AA$4="forecast",IF(YEAR(AA$3)=YEAR('New Hires Forecast'!$N$3),IF((AA$5=12),(SUMPRODUCT(--('New Hires Forecast'!$F$5:$F$84="Executive"),--('New Hires Forecast'!$H$5:$H$84&gt;=Exec!AA$3),'New Hires Forecast'!$N$5:$N$84,'New Hires Forecast'!$L$5:$L$84)),0),IF(YEAR(AA$3)=YEAR('New Hires Forecast'!$O$3),IF((AA$5=12),(SUMPRODUCT(--('New Hires Forecast'!$F$5:$F$84="Executive"),--('New Hires Forecast'!$H$5:$H$84&gt;=Exec!AA$3),'New Hires Forecast'!$O$5:$O$84,'New Hires Forecast'!$L$5:$L$84)),0),IF(YEAR(AA$3)=YEAR('New Hires Forecast'!$P$3),IF((AA$5=12),(SUMPRODUCT(--('New Hires Forecast'!$F$5:$F$84="Executive"),--('New Hires Forecast'!$H$5:$H$84&gt;=Exec!AA$3),'New Hires Forecast'!$P$5:$P$84,'New Hires Forecast'!$L$5:$L$84)),0),IF(YEAR(AA$3)=YEAR('New Hires Forecast'!$Q$3),IF((AA$5=12),(SUMPRODUCT(--('New Hires Forecast'!$F$5:$F$84="Executive"),--('New Hires Forecast'!$H$5:$H$84&gt;=Exec!AA$3),'New Hires Forecast'!$Q$5:$Q$84,'New Hires Forecast'!$L$5:$L$84)),0),IF(YEAR(AA$3)=YEAR('New Hires Forecast'!$R$3),IF((AA$5=12),(SUMPRODUCT(--('New Hires Forecast'!$F$5:$F$84="Executive"),--('New Hires Forecast'!$H$5:$H$84&gt;=Exec!AA$3),'New Hires Forecast'!$R$5:$R$84,'New Hires Forecast'!$L$5:$L$84)),0),"New Year"))))),0)</f>
        <v>0</v>
      </c>
      <c r="AB15" s="684">
        <f>IF(AB$4="forecast",IF(YEAR(AB$3)=YEAR('New Hires Forecast'!$N$3),IF((AB$5=12),(SUMPRODUCT(--('New Hires Forecast'!$F$5:$F$84="Executive"),--('New Hires Forecast'!$H$5:$H$84&gt;=Exec!AB$3),'New Hires Forecast'!$N$5:$N$84,'New Hires Forecast'!$L$5:$L$84)),0),IF(YEAR(AB$3)=YEAR('New Hires Forecast'!$O$3),IF((AB$5=12),(SUMPRODUCT(--('New Hires Forecast'!$F$5:$F$84="Executive"),--('New Hires Forecast'!$H$5:$H$84&gt;=Exec!AB$3),'New Hires Forecast'!$O$5:$O$84,'New Hires Forecast'!$L$5:$L$84)),0),IF(YEAR(AB$3)=YEAR('New Hires Forecast'!$P$3),IF((AB$5=12),(SUMPRODUCT(--('New Hires Forecast'!$F$5:$F$84="Executive"),--('New Hires Forecast'!$H$5:$H$84&gt;=Exec!AB$3),'New Hires Forecast'!$P$5:$P$84,'New Hires Forecast'!$L$5:$L$84)),0),IF(YEAR(AB$3)=YEAR('New Hires Forecast'!$Q$3),IF((AB$5=12),(SUMPRODUCT(--('New Hires Forecast'!$F$5:$F$84="Executive"),--('New Hires Forecast'!$H$5:$H$84&gt;=Exec!AB$3),'New Hires Forecast'!$Q$5:$Q$84,'New Hires Forecast'!$L$5:$L$84)),0),IF(YEAR(AB$3)=YEAR('New Hires Forecast'!$R$3),IF((AB$5=12),(SUMPRODUCT(--('New Hires Forecast'!$F$5:$F$84="Executive"),--('New Hires Forecast'!$H$5:$H$84&gt;=Exec!AB$3),'New Hires Forecast'!$R$5:$R$84,'New Hires Forecast'!$L$5:$L$84)),0),"New Year"))))),0)</f>
        <v>0</v>
      </c>
      <c r="AC15" s="684">
        <f>IF(AC$4="forecast",IF(YEAR(AC$3)=YEAR('New Hires Forecast'!$N$3),IF((AC$5=12),(SUMPRODUCT(--('New Hires Forecast'!$F$5:$F$84="Executive"),--('New Hires Forecast'!$H$5:$H$84&gt;=Exec!AC$3),'New Hires Forecast'!$N$5:$N$84,'New Hires Forecast'!$L$5:$L$84)),0),IF(YEAR(AC$3)=YEAR('New Hires Forecast'!$O$3),IF((AC$5=12),(SUMPRODUCT(--('New Hires Forecast'!$F$5:$F$84="Executive"),--('New Hires Forecast'!$H$5:$H$84&gt;=Exec!AC$3),'New Hires Forecast'!$O$5:$O$84,'New Hires Forecast'!$L$5:$L$84)),0),IF(YEAR(AC$3)=YEAR('New Hires Forecast'!$P$3),IF((AC$5=12),(SUMPRODUCT(--('New Hires Forecast'!$F$5:$F$84="Executive"),--('New Hires Forecast'!$H$5:$H$84&gt;=Exec!AC$3),'New Hires Forecast'!$P$5:$P$84,'New Hires Forecast'!$L$5:$L$84)),0),IF(YEAR(AC$3)=YEAR('New Hires Forecast'!$Q$3),IF((AC$5=12),(SUMPRODUCT(--('New Hires Forecast'!$F$5:$F$84="Executive"),--('New Hires Forecast'!$H$5:$H$84&gt;=Exec!AC$3),'New Hires Forecast'!$Q$5:$Q$84,'New Hires Forecast'!$L$5:$L$84)),0),IF(YEAR(AC$3)=YEAR('New Hires Forecast'!$R$3),IF((AC$5=12),(SUMPRODUCT(--('New Hires Forecast'!$F$5:$F$84="Executive"),--('New Hires Forecast'!$H$5:$H$84&gt;=Exec!AC$3),'New Hires Forecast'!$R$5:$R$84,'New Hires Forecast'!$L$5:$L$84)),0),"New Year"))))),0)</f>
        <v>0</v>
      </c>
      <c r="AD15" s="684">
        <f>IF(AD$4="forecast",IF(YEAR(AD$3)=YEAR('New Hires Forecast'!$N$3),IF((AD$5=12),(SUMPRODUCT(--('New Hires Forecast'!$F$5:$F$84="Executive"),--('New Hires Forecast'!$H$5:$H$84&gt;=Exec!AD$3),'New Hires Forecast'!$N$5:$N$84,'New Hires Forecast'!$L$5:$L$84)),0),IF(YEAR(AD$3)=YEAR('New Hires Forecast'!$O$3),IF((AD$5=12),(SUMPRODUCT(--('New Hires Forecast'!$F$5:$F$84="Executive"),--('New Hires Forecast'!$H$5:$H$84&gt;=Exec!AD$3),'New Hires Forecast'!$O$5:$O$84,'New Hires Forecast'!$L$5:$L$84)),0),IF(YEAR(AD$3)=YEAR('New Hires Forecast'!$P$3),IF((AD$5=12),(SUMPRODUCT(--('New Hires Forecast'!$F$5:$F$84="Executive"),--('New Hires Forecast'!$H$5:$H$84&gt;=Exec!AD$3),'New Hires Forecast'!$P$5:$P$84,'New Hires Forecast'!$L$5:$L$84)),0),IF(YEAR(AD$3)=YEAR('New Hires Forecast'!$Q$3),IF((AD$5=12),(SUMPRODUCT(--('New Hires Forecast'!$F$5:$F$84="Executive"),--('New Hires Forecast'!$H$5:$H$84&gt;=Exec!AD$3),'New Hires Forecast'!$Q$5:$Q$84,'New Hires Forecast'!$L$5:$L$84)),0),IF(YEAR(AD$3)=YEAR('New Hires Forecast'!$R$3),IF((AD$5=12),(SUMPRODUCT(--('New Hires Forecast'!$F$5:$F$84="Executive"),--('New Hires Forecast'!$H$5:$H$84&gt;=Exec!AD$3),'New Hires Forecast'!$R$5:$R$84,'New Hires Forecast'!$L$5:$L$84)),0),"New Year"))))),0)</f>
        <v>0</v>
      </c>
      <c r="AE15" s="684">
        <f>IF(AE$4="forecast",IF(YEAR(AE$3)=YEAR('New Hires Forecast'!$N$3),IF((AE$5=12),(SUMPRODUCT(--('New Hires Forecast'!$F$5:$F$84="Executive"),--('New Hires Forecast'!$H$5:$H$84&gt;=Exec!AE$3),'New Hires Forecast'!$N$5:$N$84,'New Hires Forecast'!$L$5:$L$84)),0),IF(YEAR(AE$3)=YEAR('New Hires Forecast'!$O$3),IF((AE$5=12),(SUMPRODUCT(--('New Hires Forecast'!$F$5:$F$84="Executive"),--('New Hires Forecast'!$H$5:$H$84&gt;=Exec!AE$3),'New Hires Forecast'!$O$5:$O$84,'New Hires Forecast'!$L$5:$L$84)),0),IF(YEAR(AE$3)=YEAR('New Hires Forecast'!$P$3),IF((AE$5=12),(SUMPRODUCT(--('New Hires Forecast'!$F$5:$F$84="Executive"),--('New Hires Forecast'!$H$5:$H$84&gt;=Exec!AE$3),'New Hires Forecast'!$P$5:$P$84,'New Hires Forecast'!$L$5:$L$84)),0),IF(YEAR(AE$3)=YEAR('New Hires Forecast'!$Q$3),IF((AE$5=12),(SUMPRODUCT(--('New Hires Forecast'!$F$5:$F$84="Executive"),--('New Hires Forecast'!$H$5:$H$84&gt;=Exec!AE$3),'New Hires Forecast'!$Q$5:$Q$84,'New Hires Forecast'!$L$5:$L$84)),0),IF(YEAR(AE$3)=YEAR('New Hires Forecast'!$R$3),IF((AE$5=12),(SUMPRODUCT(--('New Hires Forecast'!$F$5:$F$84="Executive"),--('New Hires Forecast'!$H$5:$H$84&gt;=Exec!AE$3),'New Hires Forecast'!$R$5:$R$84,'New Hires Forecast'!$L$5:$L$84)),0),"New Year"))))),0)</f>
        <v>0</v>
      </c>
      <c r="AF15" s="684">
        <f>IF(AF$4="forecast",IF(YEAR(AF$3)=YEAR('New Hires Forecast'!$N$3),IF((AF$5=12),(SUMPRODUCT(--('New Hires Forecast'!$F$5:$F$84="Executive"),--('New Hires Forecast'!$H$5:$H$84&gt;=Exec!AF$3),'New Hires Forecast'!$N$5:$N$84,'New Hires Forecast'!$L$5:$L$84)),0),IF(YEAR(AF$3)=YEAR('New Hires Forecast'!$O$3),IF((AF$5=12),(SUMPRODUCT(--('New Hires Forecast'!$F$5:$F$84="Executive"),--('New Hires Forecast'!$H$5:$H$84&gt;=Exec!AF$3),'New Hires Forecast'!$O$5:$O$84,'New Hires Forecast'!$L$5:$L$84)),0),IF(YEAR(AF$3)=YEAR('New Hires Forecast'!$P$3),IF((AF$5=12),(SUMPRODUCT(--('New Hires Forecast'!$F$5:$F$84="Executive"),--('New Hires Forecast'!$H$5:$H$84&gt;=Exec!AF$3),'New Hires Forecast'!$P$5:$P$84,'New Hires Forecast'!$L$5:$L$84)),0),IF(YEAR(AF$3)=YEAR('New Hires Forecast'!$Q$3),IF((AF$5=12),(SUMPRODUCT(--('New Hires Forecast'!$F$5:$F$84="Executive"),--('New Hires Forecast'!$H$5:$H$84&gt;=Exec!AF$3),'New Hires Forecast'!$Q$5:$Q$84,'New Hires Forecast'!$L$5:$L$84)),0),IF(YEAR(AF$3)=YEAR('New Hires Forecast'!$R$3),IF((AF$5=12),(SUMPRODUCT(--('New Hires Forecast'!$F$5:$F$84="Executive"),--('New Hires Forecast'!$H$5:$H$84&gt;=Exec!AF$3),'New Hires Forecast'!$R$5:$R$84,'New Hires Forecast'!$L$5:$L$84)),0),"New Year"))))),0)</f>
        <v>0</v>
      </c>
      <c r="AG15" s="684">
        <f>IF(AG$4="forecast",IF(YEAR(AG$3)=YEAR('New Hires Forecast'!$N$3),IF((AG$5=12),(SUMPRODUCT(--('New Hires Forecast'!$F$5:$F$84="Executive"),--('New Hires Forecast'!$H$5:$H$84&gt;=Exec!AG$3),'New Hires Forecast'!$N$5:$N$84,'New Hires Forecast'!$L$5:$L$84)),0),IF(YEAR(AG$3)=YEAR('New Hires Forecast'!$O$3),IF((AG$5=12),(SUMPRODUCT(--('New Hires Forecast'!$F$5:$F$84="Executive"),--('New Hires Forecast'!$H$5:$H$84&gt;=Exec!AG$3),'New Hires Forecast'!$O$5:$O$84,'New Hires Forecast'!$L$5:$L$84)),0),IF(YEAR(AG$3)=YEAR('New Hires Forecast'!$P$3),IF((AG$5=12),(SUMPRODUCT(--('New Hires Forecast'!$F$5:$F$84="Executive"),--('New Hires Forecast'!$H$5:$H$84&gt;=Exec!AG$3),'New Hires Forecast'!$P$5:$P$84,'New Hires Forecast'!$L$5:$L$84)),0),IF(YEAR(AG$3)=YEAR('New Hires Forecast'!$Q$3),IF((AG$5=12),(SUMPRODUCT(--('New Hires Forecast'!$F$5:$F$84="Executive"),--('New Hires Forecast'!$H$5:$H$84&gt;=Exec!AG$3),'New Hires Forecast'!$Q$5:$Q$84,'New Hires Forecast'!$L$5:$L$84)),0),IF(YEAR(AG$3)=YEAR('New Hires Forecast'!$R$3),IF((AG$5=12),(SUMPRODUCT(--('New Hires Forecast'!$F$5:$F$84="Executive"),--('New Hires Forecast'!$H$5:$H$84&gt;=Exec!AG$3),'New Hires Forecast'!$R$5:$R$84,'New Hires Forecast'!$L$5:$L$84)),0),"New Year"))))),0)</f>
        <v>0</v>
      </c>
      <c r="AH15" s="684">
        <f>IF(AH$4="forecast",IF(YEAR(AH$3)=YEAR('New Hires Forecast'!$N$3),IF((AH$5=12),(SUMPRODUCT(--('New Hires Forecast'!$F$5:$F$84="Executive"),--('New Hires Forecast'!$H$5:$H$84&gt;=Exec!AH$3),'New Hires Forecast'!$N$5:$N$84,'New Hires Forecast'!$L$5:$L$84)),0),IF(YEAR(AH$3)=YEAR('New Hires Forecast'!$O$3),IF((AH$5=12),(SUMPRODUCT(--('New Hires Forecast'!$F$5:$F$84="Executive"),--('New Hires Forecast'!$H$5:$H$84&gt;=Exec!AH$3),'New Hires Forecast'!$O$5:$O$84,'New Hires Forecast'!$L$5:$L$84)),0),IF(YEAR(AH$3)=YEAR('New Hires Forecast'!$P$3),IF((AH$5=12),(SUMPRODUCT(--('New Hires Forecast'!$F$5:$F$84="Executive"),--('New Hires Forecast'!$H$5:$H$84&gt;=Exec!AH$3),'New Hires Forecast'!$P$5:$P$84,'New Hires Forecast'!$L$5:$L$84)),0),IF(YEAR(AH$3)=YEAR('New Hires Forecast'!$Q$3),IF((AH$5=12),(SUMPRODUCT(--('New Hires Forecast'!$F$5:$F$84="Executive"),--('New Hires Forecast'!$H$5:$H$84&gt;=Exec!AH$3),'New Hires Forecast'!$Q$5:$Q$84,'New Hires Forecast'!$L$5:$L$84)),0),IF(YEAR(AH$3)=YEAR('New Hires Forecast'!$R$3),IF((AH$5=12),(SUMPRODUCT(--('New Hires Forecast'!$F$5:$F$84="Executive"),--('New Hires Forecast'!$H$5:$H$84&gt;=Exec!AH$3),'New Hires Forecast'!$R$5:$R$84,'New Hires Forecast'!$L$5:$L$84)),0),"New Year"))))),0)</f>
        <v>0</v>
      </c>
      <c r="AI15" s="684">
        <f>IF(AI$4="forecast",IF(YEAR(AI$3)=YEAR('New Hires Forecast'!$N$3),IF((AI$5=12),(SUMPRODUCT(--('New Hires Forecast'!$F$5:$F$84="Executive"),--('New Hires Forecast'!$H$5:$H$84&gt;=Exec!AI$3),'New Hires Forecast'!$N$5:$N$84,'New Hires Forecast'!$L$5:$L$84)),0),IF(YEAR(AI$3)=YEAR('New Hires Forecast'!$O$3),IF((AI$5=12),(SUMPRODUCT(--('New Hires Forecast'!$F$5:$F$84="Executive"),--('New Hires Forecast'!$H$5:$H$84&gt;=Exec!AI$3),'New Hires Forecast'!$O$5:$O$84,'New Hires Forecast'!$L$5:$L$84)),0),IF(YEAR(AI$3)=YEAR('New Hires Forecast'!$P$3),IF((AI$5=12),(SUMPRODUCT(--('New Hires Forecast'!$F$5:$F$84="Executive"),--('New Hires Forecast'!$H$5:$H$84&gt;=Exec!AI$3),'New Hires Forecast'!$P$5:$P$84,'New Hires Forecast'!$L$5:$L$84)),0),IF(YEAR(AI$3)=YEAR('New Hires Forecast'!$Q$3),IF((AI$5=12),(SUMPRODUCT(--('New Hires Forecast'!$F$5:$F$84="Executive"),--('New Hires Forecast'!$H$5:$H$84&gt;=Exec!AI$3),'New Hires Forecast'!$Q$5:$Q$84,'New Hires Forecast'!$L$5:$L$84)),0),IF(YEAR(AI$3)=YEAR('New Hires Forecast'!$R$3),IF((AI$5=12),(SUMPRODUCT(--('New Hires Forecast'!$F$5:$F$84="Executive"),--('New Hires Forecast'!$H$5:$H$84&gt;=Exec!AI$3),'New Hires Forecast'!$R$5:$R$84,'New Hires Forecast'!$L$5:$L$84)),0),"New Year"))))),0)</f>
        <v>0</v>
      </c>
      <c r="AJ15" s="684">
        <f>IF(AJ$4="forecast",IF(YEAR(AJ$3)=YEAR('New Hires Forecast'!$N$3),IF((AJ$5=12),(SUMPRODUCT(--('New Hires Forecast'!$F$5:$F$84="Executive"),--('New Hires Forecast'!$H$5:$H$84&gt;=Exec!AJ$3),'New Hires Forecast'!$N$5:$N$84,'New Hires Forecast'!$L$5:$L$84)),0),IF(YEAR(AJ$3)=YEAR('New Hires Forecast'!$O$3),IF((AJ$5=12),(SUMPRODUCT(--('New Hires Forecast'!$F$5:$F$84="Executive"),--('New Hires Forecast'!$H$5:$H$84&gt;=Exec!AJ$3),'New Hires Forecast'!$O$5:$O$84,'New Hires Forecast'!$L$5:$L$84)),0),IF(YEAR(AJ$3)=YEAR('New Hires Forecast'!$P$3),IF((AJ$5=12),(SUMPRODUCT(--('New Hires Forecast'!$F$5:$F$84="Executive"),--('New Hires Forecast'!$H$5:$H$84&gt;=Exec!AJ$3),'New Hires Forecast'!$P$5:$P$84,'New Hires Forecast'!$L$5:$L$84)),0),IF(YEAR(AJ$3)=YEAR('New Hires Forecast'!$Q$3),IF((AJ$5=12),(SUMPRODUCT(--('New Hires Forecast'!$F$5:$F$84="Executive"),--('New Hires Forecast'!$H$5:$H$84&gt;=Exec!AJ$3),'New Hires Forecast'!$Q$5:$Q$84,'New Hires Forecast'!$L$5:$L$84)),0),IF(YEAR(AJ$3)=YEAR('New Hires Forecast'!$R$3),IF((AJ$5=12),(SUMPRODUCT(--('New Hires Forecast'!$F$5:$F$84="Executive"),--('New Hires Forecast'!$H$5:$H$84&gt;=Exec!AJ$3),'New Hires Forecast'!$R$5:$R$84,'New Hires Forecast'!$L$5:$L$84)),0),"New Year"))))),0)</f>
        <v>0</v>
      </c>
      <c r="AK15" s="684">
        <f>IF(AK$4="forecast",IF(YEAR(AK$3)=YEAR('New Hires Forecast'!$N$3),IF((AK$5=12),(SUMPRODUCT(--('New Hires Forecast'!$F$5:$F$84="Executive"),--('New Hires Forecast'!$H$5:$H$84&gt;=Exec!AK$3),'New Hires Forecast'!$N$5:$N$84,'New Hires Forecast'!$L$5:$L$84)),0),IF(YEAR(AK$3)=YEAR('New Hires Forecast'!$O$3),IF((AK$5=12),(SUMPRODUCT(--('New Hires Forecast'!$F$5:$F$84="Executive"),--('New Hires Forecast'!$H$5:$H$84&gt;=Exec!AK$3),'New Hires Forecast'!$O$5:$O$84,'New Hires Forecast'!$L$5:$L$84)),0),IF(YEAR(AK$3)=YEAR('New Hires Forecast'!$P$3),IF((AK$5=12),(SUMPRODUCT(--('New Hires Forecast'!$F$5:$F$84="Executive"),--('New Hires Forecast'!$H$5:$H$84&gt;=Exec!AK$3),'New Hires Forecast'!$P$5:$P$84,'New Hires Forecast'!$L$5:$L$84)),0),IF(YEAR(AK$3)=YEAR('New Hires Forecast'!$Q$3),IF((AK$5=12),(SUMPRODUCT(--('New Hires Forecast'!$F$5:$F$84="Executive"),--('New Hires Forecast'!$H$5:$H$84&gt;=Exec!AK$3),'New Hires Forecast'!$Q$5:$Q$84,'New Hires Forecast'!$L$5:$L$84)),0),IF(YEAR(AK$3)=YEAR('New Hires Forecast'!$R$3),IF((AK$5=12),(SUMPRODUCT(--('New Hires Forecast'!$F$5:$F$84="Executive"),--('New Hires Forecast'!$H$5:$H$84&gt;=Exec!AK$3),'New Hires Forecast'!$R$5:$R$84,'New Hires Forecast'!$L$5:$L$84)),0),"New Year"))))),0)</f>
        <v>0</v>
      </c>
      <c r="AL15" s="684">
        <f>IF(AL$4="forecast",IF(YEAR(AL$3)=YEAR('New Hires Forecast'!$N$3),IF((AL$5=12),(SUMPRODUCT(--('New Hires Forecast'!$F$5:$F$84="Executive"),--('New Hires Forecast'!$H$5:$H$84&gt;=Exec!AL$3),'New Hires Forecast'!$N$5:$N$84,'New Hires Forecast'!$L$5:$L$84)),0),IF(YEAR(AL$3)=YEAR('New Hires Forecast'!$O$3),IF((AL$5=12),(SUMPRODUCT(--('New Hires Forecast'!$F$5:$F$84="Executive"),--('New Hires Forecast'!$H$5:$H$84&gt;=Exec!AL$3),'New Hires Forecast'!$O$5:$O$84,'New Hires Forecast'!$L$5:$L$84)),0),IF(YEAR(AL$3)=YEAR('New Hires Forecast'!$P$3),IF((AL$5=12),(SUMPRODUCT(--('New Hires Forecast'!$F$5:$F$84="Executive"),--('New Hires Forecast'!$H$5:$H$84&gt;=Exec!AL$3),'New Hires Forecast'!$P$5:$P$84,'New Hires Forecast'!$L$5:$L$84)),0),IF(YEAR(AL$3)=YEAR('New Hires Forecast'!$Q$3),IF((AL$5=12),(SUMPRODUCT(--('New Hires Forecast'!$F$5:$F$84="Executive"),--('New Hires Forecast'!$H$5:$H$84&gt;=Exec!AL$3),'New Hires Forecast'!$Q$5:$Q$84,'New Hires Forecast'!$L$5:$L$84)),0),IF(YEAR(AL$3)=YEAR('New Hires Forecast'!$R$3),IF((AL$5=12),(SUMPRODUCT(--('New Hires Forecast'!$F$5:$F$84="Executive"),--('New Hires Forecast'!$H$5:$H$84&gt;=Exec!AL$3),'New Hires Forecast'!$R$5:$R$84,'New Hires Forecast'!$L$5:$L$84)),0),"New Year"))))),0)</f>
        <v>0</v>
      </c>
      <c r="AM15" s="684">
        <f>IF(AM$4="forecast",IF(YEAR(AM$3)=YEAR('New Hires Forecast'!$N$3),IF((AM$5=12),(SUMPRODUCT(--('New Hires Forecast'!$F$5:$F$84="Executive"),--('New Hires Forecast'!$H$5:$H$84&gt;=Exec!AM$3),'New Hires Forecast'!$N$5:$N$84,'New Hires Forecast'!$L$5:$L$84)),0),IF(YEAR(AM$3)=YEAR('New Hires Forecast'!$O$3),IF((AM$5=12),(SUMPRODUCT(--('New Hires Forecast'!$F$5:$F$84="Executive"),--('New Hires Forecast'!$H$5:$H$84&gt;=Exec!AM$3),'New Hires Forecast'!$O$5:$O$84,'New Hires Forecast'!$L$5:$L$84)),0),IF(YEAR(AM$3)=YEAR('New Hires Forecast'!$P$3),IF((AM$5=12),(SUMPRODUCT(--('New Hires Forecast'!$F$5:$F$84="Executive"),--('New Hires Forecast'!$H$5:$H$84&gt;=Exec!AM$3),'New Hires Forecast'!$P$5:$P$84,'New Hires Forecast'!$L$5:$L$84)),0),IF(YEAR(AM$3)=YEAR('New Hires Forecast'!$Q$3),IF((AM$5=12),(SUMPRODUCT(--('New Hires Forecast'!$F$5:$F$84="Executive"),--('New Hires Forecast'!$H$5:$H$84&gt;=Exec!AM$3),'New Hires Forecast'!$Q$5:$Q$84,'New Hires Forecast'!$L$5:$L$84)),0),IF(YEAR(AM$3)=YEAR('New Hires Forecast'!$R$3),IF((AM$5=12),(SUMPRODUCT(--('New Hires Forecast'!$F$5:$F$84="Executive"),--('New Hires Forecast'!$H$5:$H$84&gt;=Exec!AM$3),'New Hires Forecast'!$R$5:$R$84,'New Hires Forecast'!$L$5:$L$84)),0),"New Year"))))),0)</f>
        <v>0</v>
      </c>
      <c r="AN15" s="684">
        <f>IF(AN$4="forecast",IF(YEAR(AN$3)=YEAR('New Hires Forecast'!$N$3),IF((AN$5=12),(SUMPRODUCT(--('New Hires Forecast'!$F$5:$F$84="Executive"),--('New Hires Forecast'!$H$5:$H$84&gt;=Exec!AN$3),'New Hires Forecast'!$N$5:$N$84,'New Hires Forecast'!$L$5:$L$84)),0),IF(YEAR(AN$3)=YEAR('New Hires Forecast'!$O$3),IF((AN$5=12),(SUMPRODUCT(--('New Hires Forecast'!$F$5:$F$84="Executive"),--('New Hires Forecast'!$H$5:$H$84&gt;=Exec!AN$3),'New Hires Forecast'!$O$5:$O$84,'New Hires Forecast'!$L$5:$L$84)),0),IF(YEAR(AN$3)=YEAR('New Hires Forecast'!$P$3),IF((AN$5=12),(SUMPRODUCT(--('New Hires Forecast'!$F$5:$F$84="Executive"),--('New Hires Forecast'!$H$5:$H$84&gt;=Exec!AN$3),'New Hires Forecast'!$P$5:$P$84,'New Hires Forecast'!$L$5:$L$84)),0),IF(YEAR(AN$3)=YEAR('New Hires Forecast'!$Q$3),IF((AN$5=12),(SUMPRODUCT(--('New Hires Forecast'!$F$5:$F$84="Executive"),--('New Hires Forecast'!$H$5:$H$84&gt;=Exec!AN$3),'New Hires Forecast'!$Q$5:$Q$84,'New Hires Forecast'!$L$5:$L$84)),0),IF(YEAR(AN$3)=YEAR('New Hires Forecast'!$R$3),IF((AN$5=12),(SUMPRODUCT(--('New Hires Forecast'!$F$5:$F$84="Executive"),--('New Hires Forecast'!$H$5:$H$84&gt;=Exec!AN$3),'New Hires Forecast'!$R$5:$R$84,'New Hires Forecast'!$L$5:$L$84)),0),"New Year"))))),0)</f>
        <v>0</v>
      </c>
      <c r="AO15" s="684">
        <f>IF(AO$4="forecast",IF(YEAR(AO$3)=YEAR('New Hires Forecast'!$N$3),IF((AO$5=12),(SUMPRODUCT(--('New Hires Forecast'!$F$5:$F$84="Executive"),--('New Hires Forecast'!$H$5:$H$84&gt;=Exec!AO$3),'New Hires Forecast'!$N$5:$N$84,'New Hires Forecast'!$L$5:$L$84)),0),IF(YEAR(AO$3)=YEAR('New Hires Forecast'!$O$3),IF((AO$5=12),(SUMPRODUCT(--('New Hires Forecast'!$F$5:$F$84="Executive"),--('New Hires Forecast'!$H$5:$H$84&gt;=Exec!AO$3),'New Hires Forecast'!$O$5:$O$84,'New Hires Forecast'!$L$5:$L$84)),0),IF(YEAR(AO$3)=YEAR('New Hires Forecast'!$P$3),IF((AO$5=12),(SUMPRODUCT(--('New Hires Forecast'!$F$5:$F$84="Executive"),--('New Hires Forecast'!$H$5:$H$84&gt;=Exec!AO$3),'New Hires Forecast'!$P$5:$P$84,'New Hires Forecast'!$L$5:$L$84)),0),IF(YEAR(AO$3)=YEAR('New Hires Forecast'!$Q$3),IF((AO$5=12),(SUMPRODUCT(--('New Hires Forecast'!$F$5:$F$84="Executive"),--('New Hires Forecast'!$H$5:$H$84&gt;=Exec!AO$3),'New Hires Forecast'!$Q$5:$Q$84,'New Hires Forecast'!$L$5:$L$84)),0),IF(YEAR(AO$3)=YEAR('New Hires Forecast'!$R$3),IF((AO$5=12),(SUMPRODUCT(--('New Hires Forecast'!$F$5:$F$84="Executive"),--('New Hires Forecast'!$H$5:$H$84&gt;=Exec!AO$3),'New Hires Forecast'!$R$5:$R$84,'New Hires Forecast'!$L$5:$L$84)),0),"New Year"))))),0)</f>
        <v>0</v>
      </c>
      <c r="AP15" s="684">
        <f>IF(AP$4="forecast",IF(YEAR(AP$3)=YEAR('New Hires Forecast'!$N$3),IF((AP$5=12),(SUMPRODUCT(--('New Hires Forecast'!$F$5:$F$84="Executive"),--('New Hires Forecast'!$H$5:$H$84&gt;=Exec!AP$3),'New Hires Forecast'!$N$5:$N$84,'New Hires Forecast'!$L$5:$L$84)),0),IF(YEAR(AP$3)=YEAR('New Hires Forecast'!$O$3),IF((AP$5=12),(SUMPRODUCT(--('New Hires Forecast'!$F$5:$F$84="Executive"),--('New Hires Forecast'!$H$5:$H$84&gt;=Exec!AP$3),'New Hires Forecast'!$O$5:$O$84,'New Hires Forecast'!$L$5:$L$84)),0),IF(YEAR(AP$3)=YEAR('New Hires Forecast'!$P$3),IF((AP$5=12),(SUMPRODUCT(--('New Hires Forecast'!$F$5:$F$84="Executive"),--('New Hires Forecast'!$H$5:$H$84&gt;=Exec!AP$3),'New Hires Forecast'!$P$5:$P$84,'New Hires Forecast'!$L$5:$L$84)),0),IF(YEAR(AP$3)=YEAR('New Hires Forecast'!$Q$3),IF((AP$5=12),(SUMPRODUCT(--('New Hires Forecast'!$F$5:$F$84="Executive"),--('New Hires Forecast'!$H$5:$H$84&gt;=Exec!AP$3),'New Hires Forecast'!$Q$5:$Q$84,'New Hires Forecast'!$L$5:$L$84)),0),IF(YEAR(AP$3)=YEAR('New Hires Forecast'!$R$3),IF((AP$5=12),(SUMPRODUCT(--('New Hires Forecast'!$F$5:$F$84="Executive"),--('New Hires Forecast'!$H$5:$H$84&gt;=Exec!AP$3),'New Hires Forecast'!$R$5:$R$84,'New Hires Forecast'!$L$5:$L$84)),0),"New Year"))))),0)</f>
        <v>0</v>
      </c>
      <c r="AQ15" s="684">
        <f>IF(AQ$4="forecast",IF(YEAR(AQ$3)=YEAR('New Hires Forecast'!$N$3),IF((AQ$5=12),(SUMPRODUCT(--('New Hires Forecast'!$F$5:$F$84="Executive"),--('New Hires Forecast'!$H$5:$H$84&gt;=Exec!AQ$3),'New Hires Forecast'!$N$5:$N$84,'New Hires Forecast'!$L$5:$L$84)),0),IF(YEAR(AQ$3)=YEAR('New Hires Forecast'!$O$3),IF((AQ$5=12),(SUMPRODUCT(--('New Hires Forecast'!$F$5:$F$84="Executive"),--('New Hires Forecast'!$H$5:$H$84&gt;=Exec!AQ$3),'New Hires Forecast'!$O$5:$O$84,'New Hires Forecast'!$L$5:$L$84)),0),IF(YEAR(AQ$3)=YEAR('New Hires Forecast'!$P$3),IF((AQ$5=12),(SUMPRODUCT(--('New Hires Forecast'!$F$5:$F$84="Executive"),--('New Hires Forecast'!$H$5:$H$84&gt;=Exec!AQ$3),'New Hires Forecast'!$P$5:$P$84,'New Hires Forecast'!$L$5:$L$84)),0),IF(YEAR(AQ$3)=YEAR('New Hires Forecast'!$Q$3),IF((AQ$5=12),(SUMPRODUCT(--('New Hires Forecast'!$F$5:$F$84="Executive"),--('New Hires Forecast'!$H$5:$H$84&gt;=Exec!AQ$3),'New Hires Forecast'!$Q$5:$Q$84,'New Hires Forecast'!$L$5:$L$84)),0),IF(YEAR(AQ$3)=YEAR('New Hires Forecast'!$R$3),IF((AQ$5=12),(SUMPRODUCT(--('New Hires Forecast'!$F$5:$F$84="Executive"),--('New Hires Forecast'!$H$5:$H$84&gt;=Exec!AQ$3),'New Hires Forecast'!$R$5:$R$84,'New Hires Forecast'!$L$5:$L$84)),0),"New Year"))))),0)</f>
        <v>0</v>
      </c>
      <c r="AR15" s="684">
        <f>IF(AR$4="forecast",IF(YEAR(AR$3)=YEAR('New Hires Forecast'!$N$3),IF((AR$5=12),(SUMPRODUCT(--('New Hires Forecast'!$F$5:$F$84="Executive"),--('New Hires Forecast'!$H$5:$H$84&gt;=Exec!AR$3),'New Hires Forecast'!$N$5:$N$84,'New Hires Forecast'!$L$5:$L$84)),0),IF(YEAR(AR$3)=YEAR('New Hires Forecast'!$O$3),IF((AR$5=12),(SUMPRODUCT(--('New Hires Forecast'!$F$5:$F$84="Executive"),--('New Hires Forecast'!$H$5:$H$84&gt;=Exec!AR$3),'New Hires Forecast'!$O$5:$O$84,'New Hires Forecast'!$L$5:$L$84)),0),IF(YEAR(AR$3)=YEAR('New Hires Forecast'!$P$3),IF((AR$5=12),(SUMPRODUCT(--('New Hires Forecast'!$F$5:$F$84="Executive"),--('New Hires Forecast'!$H$5:$H$84&gt;=Exec!AR$3),'New Hires Forecast'!$P$5:$P$84,'New Hires Forecast'!$L$5:$L$84)),0),IF(YEAR(AR$3)=YEAR('New Hires Forecast'!$Q$3),IF((AR$5=12),(SUMPRODUCT(--('New Hires Forecast'!$F$5:$F$84="Executive"),--('New Hires Forecast'!$H$5:$H$84&gt;=Exec!AR$3),'New Hires Forecast'!$Q$5:$Q$84,'New Hires Forecast'!$L$5:$L$84)),0),IF(YEAR(AR$3)=YEAR('New Hires Forecast'!$R$3),IF((AR$5=12),(SUMPRODUCT(--('New Hires Forecast'!$F$5:$F$84="Executive"),--('New Hires Forecast'!$H$5:$H$84&gt;=Exec!AR$3),'New Hires Forecast'!$R$5:$R$84,'New Hires Forecast'!$L$5:$L$84)),0),"New Year"))))),0)</f>
        <v>0</v>
      </c>
      <c r="AS15" s="684">
        <f>IF(AS$4="forecast",IF(YEAR(AS$3)=YEAR('New Hires Forecast'!$N$3),IF((AS$5=12),(SUMPRODUCT(--('New Hires Forecast'!$F$5:$F$84="Executive"),--('New Hires Forecast'!$H$5:$H$84&gt;=Exec!AS$3),'New Hires Forecast'!$N$5:$N$84,'New Hires Forecast'!$L$5:$L$84)),0),IF(YEAR(AS$3)=YEAR('New Hires Forecast'!$O$3),IF((AS$5=12),(SUMPRODUCT(--('New Hires Forecast'!$F$5:$F$84="Executive"),--('New Hires Forecast'!$H$5:$H$84&gt;=Exec!AS$3),'New Hires Forecast'!$O$5:$O$84,'New Hires Forecast'!$L$5:$L$84)),0),IF(YEAR(AS$3)=YEAR('New Hires Forecast'!$P$3),IF((AS$5=12),(SUMPRODUCT(--('New Hires Forecast'!$F$5:$F$84="Executive"),--('New Hires Forecast'!$H$5:$H$84&gt;=Exec!AS$3),'New Hires Forecast'!$P$5:$P$84,'New Hires Forecast'!$L$5:$L$84)),0),IF(YEAR(AS$3)=YEAR('New Hires Forecast'!$Q$3),IF((AS$5=12),(SUMPRODUCT(--('New Hires Forecast'!$F$5:$F$84="Executive"),--('New Hires Forecast'!$H$5:$H$84&gt;=Exec!AS$3),'New Hires Forecast'!$Q$5:$Q$84,'New Hires Forecast'!$L$5:$L$84)),0),IF(YEAR(AS$3)=YEAR('New Hires Forecast'!$R$3),IF((AS$5=12),(SUMPRODUCT(--('New Hires Forecast'!$F$5:$F$84="Executive"),--('New Hires Forecast'!$H$5:$H$84&gt;=Exec!AS$3),'New Hires Forecast'!$R$5:$R$84,'New Hires Forecast'!$L$5:$L$84)),0),"New Year"))))),0)</f>
        <v>0</v>
      </c>
      <c r="AT15" s="684">
        <f>IF(AT$4="forecast",IF(YEAR(AT$3)=YEAR('New Hires Forecast'!$N$3),IF((AT$5=12),(SUMPRODUCT(--('New Hires Forecast'!$F$5:$F$84="Executive"),--('New Hires Forecast'!$H$5:$H$84&gt;=Exec!AT$3),'New Hires Forecast'!$N$5:$N$84,'New Hires Forecast'!$L$5:$L$84)),0),IF(YEAR(AT$3)=YEAR('New Hires Forecast'!$O$3),IF((AT$5=12),(SUMPRODUCT(--('New Hires Forecast'!$F$5:$F$84="Executive"),--('New Hires Forecast'!$H$5:$H$84&gt;=Exec!AT$3),'New Hires Forecast'!$O$5:$O$84,'New Hires Forecast'!$L$5:$L$84)),0),IF(YEAR(AT$3)=YEAR('New Hires Forecast'!$P$3),IF((AT$5=12),(SUMPRODUCT(--('New Hires Forecast'!$F$5:$F$84="Executive"),--('New Hires Forecast'!$H$5:$H$84&gt;=Exec!AT$3),'New Hires Forecast'!$P$5:$P$84,'New Hires Forecast'!$L$5:$L$84)),0),IF(YEAR(AT$3)=YEAR('New Hires Forecast'!$Q$3),IF((AT$5=12),(SUMPRODUCT(--('New Hires Forecast'!$F$5:$F$84="Executive"),--('New Hires Forecast'!$H$5:$H$84&gt;=Exec!AT$3),'New Hires Forecast'!$Q$5:$Q$84,'New Hires Forecast'!$L$5:$L$84)),0),IF(YEAR(AT$3)=YEAR('New Hires Forecast'!$R$3),IF((AT$5=12),(SUMPRODUCT(--('New Hires Forecast'!$F$5:$F$84="Executive"),--('New Hires Forecast'!$H$5:$H$84&gt;=Exec!AT$3),'New Hires Forecast'!$R$5:$R$84,'New Hires Forecast'!$L$5:$L$84)),0),"New Year"))))),0)</f>
        <v>0</v>
      </c>
      <c r="AU15" s="684">
        <f>IF(AU$4="forecast",IF(YEAR(AU$3)=YEAR('New Hires Forecast'!$N$3),IF((AU$5=12),(SUMPRODUCT(--('New Hires Forecast'!$F$5:$F$84="Executive"),--('New Hires Forecast'!$H$5:$H$84&gt;=Exec!AU$3),'New Hires Forecast'!$N$5:$N$84,'New Hires Forecast'!$L$5:$L$84)),0),IF(YEAR(AU$3)=YEAR('New Hires Forecast'!$O$3),IF((AU$5=12),(SUMPRODUCT(--('New Hires Forecast'!$F$5:$F$84="Executive"),--('New Hires Forecast'!$H$5:$H$84&gt;=Exec!AU$3),'New Hires Forecast'!$O$5:$O$84,'New Hires Forecast'!$L$5:$L$84)),0),IF(YEAR(AU$3)=YEAR('New Hires Forecast'!$P$3),IF((AU$5=12),(SUMPRODUCT(--('New Hires Forecast'!$F$5:$F$84="Executive"),--('New Hires Forecast'!$H$5:$H$84&gt;=Exec!AU$3),'New Hires Forecast'!$P$5:$P$84,'New Hires Forecast'!$L$5:$L$84)),0),IF(YEAR(AU$3)=YEAR('New Hires Forecast'!$Q$3),IF((AU$5=12),(SUMPRODUCT(--('New Hires Forecast'!$F$5:$F$84="Executive"),--('New Hires Forecast'!$H$5:$H$84&gt;=Exec!AU$3),'New Hires Forecast'!$Q$5:$Q$84,'New Hires Forecast'!$L$5:$L$84)),0),IF(YEAR(AU$3)=YEAR('New Hires Forecast'!$R$3),IF((AU$5=12),(SUMPRODUCT(--('New Hires Forecast'!$F$5:$F$84="Executive"),--('New Hires Forecast'!$H$5:$H$84&gt;=Exec!AU$3),'New Hires Forecast'!$R$5:$R$84,'New Hires Forecast'!$L$5:$L$84)),0),"New Year"))))),0)</f>
        <v>0</v>
      </c>
      <c r="AV15" s="684">
        <f>IF(AV$4="forecast",IF(YEAR(AV$3)=YEAR('New Hires Forecast'!$N$3),IF((AV$5=12),(SUMPRODUCT(--('New Hires Forecast'!$F$5:$F$84="Executive"),--('New Hires Forecast'!$H$5:$H$84&gt;=Exec!AV$3),'New Hires Forecast'!$N$5:$N$84,'New Hires Forecast'!$L$5:$L$84)),0),IF(YEAR(AV$3)=YEAR('New Hires Forecast'!$O$3),IF((AV$5=12),(SUMPRODUCT(--('New Hires Forecast'!$F$5:$F$84="Executive"),--('New Hires Forecast'!$H$5:$H$84&gt;=Exec!AV$3),'New Hires Forecast'!$O$5:$O$84,'New Hires Forecast'!$L$5:$L$84)),0),IF(YEAR(AV$3)=YEAR('New Hires Forecast'!$P$3),IF((AV$5=12),(SUMPRODUCT(--('New Hires Forecast'!$F$5:$F$84="Executive"),--('New Hires Forecast'!$H$5:$H$84&gt;=Exec!AV$3),'New Hires Forecast'!$P$5:$P$84,'New Hires Forecast'!$L$5:$L$84)),0),IF(YEAR(AV$3)=YEAR('New Hires Forecast'!$Q$3),IF((AV$5=12),(SUMPRODUCT(--('New Hires Forecast'!$F$5:$F$84="Executive"),--('New Hires Forecast'!$H$5:$H$84&gt;=Exec!AV$3),'New Hires Forecast'!$Q$5:$Q$84,'New Hires Forecast'!$L$5:$L$84)),0),IF(YEAR(AV$3)=YEAR('New Hires Forecast'!$R$3),IF((AV$5=12),(SUMPRODUCT(--('New Hires Forecast'!$F$5:$F$84="Executive"),--('New Hires Forecast'!$H$5:$H$84&gt;=Exec!AV$3),'New Hires Forecast'!$R$5:$R$84,'New Hires Forecast'!$L$5:$L$84)),0),"New Year"))))),0)</f>
        <v>0</v>
      </c>
      <c r="AW15" s="684">
        <f>IF(AW$4="forecast",IF(YEAR(AW$3)=YEAR('New Hires Forecast'!$N$3),IF((AW$5=12),(SUMPRODUCT(--('New Hires Forecast'!$F$5:$F$84="Executive"),--('New Hires Forecast'!$H$5:$H$84&gt;=Exec!AW$3),'New Hires Forecast'!$N$5:$N$84,'New Hires Forecast'!$L$5:$L$84)),0),IF(YEAR(AW$3)=YEAR('New Hires Forecast'!$O$3),IF((AW$5=12),(SUMPRODUCT(--('New Hires Forecast'!$F$5:$F$84="Executive"),--('New Hires Forecast'!$H$5:$H$84&gt;=Exec!AW$3),'New Hires Forecast'!$O$5:$O$84,'New Hires Forecast'!$L$5:$L$84)),0),IF(YEAR(AW$3)=YEAR('New Hires Forecast'!$P$3),IF((AW$5=12),(SUMPRODUCT(--('New Hires Forecast'!$F$5:$F$84="Executive"),--('New Hires Forecast'!$H$5:$H$84&gt;=Exec!AW$3),'New Hires Forecast'!$P$5:$P$84,'New Hires Forecast'!$L$5:$L$84)),0),IF(YEAR(AW$3)=YEAR('New Hires Forecast'!$Q$3),IF((AW$5=12),(SUMPRODUCT(--('New Hires Forecast'!$F$5:$F$84="Executive"),--('New Hires Forecast'!$H$5:$H$84&gt;=Exec!AW$3),'New Hires Forecast'!$Q$5:$Q$84,'New Hires Forecast'!$L$5:$L$84)),0),IF(YEAR(AW$3)=YEAR('New Hires Forecast'!$R$3),IF((AW$5=12),(SUMPRODUCT(--('New Hires Forecast'!$F$5:$F$84="Executive"),--('New Hires Forecast'!$H$5:$H$84&gt;=Exec!AW$3),'New Hires Forecast'!$R$5:$R$84,'New Hires Forecast'!$L$5:$L$84)),0),"New Year"))))),0)</f>
        <v>0</v>
      </c>
      <c r="AX15" s="684">
        <f>IF(AX$4="forecast",IF(YEAR(AX$3)=YEAR('New Hires Forecast'!$N$3),IF((AX$5=12),(SUMPRODUCT(--('New Hires Forecast'!$F$5:$F$84="Executive"),--('New Hires Forecast'!$H$5:$H$84&gt;=Exec!AX$3),'New Hires Forecast'!$N$5:$N$84,'New Hires Forecast'!$L$5:$L$84)),0),IF(YEAR(AX$3)=YEAR('New Hires Forecast'!$O$3),IF((AX$5=12),(SUMPRODUCT(--('New Hires Forecast'!$F$5:$F$84="Executive"),--('New Hires Forecast'!$H$5:$H$84&gt;=Exec!AX$3),'New Hires Forecast'!$O$5:$O$84,'New Hires Forecast'!$L$5:$L$84)),0),IF(YEAR(AX$3)=YEAR('New Hires Forecast'!$P$3),IF((AX$5=12),(SUMPRODUCT(--('New Hires Forecast'!$F$5:$F$84="Executive"),--('New Hires Forecast'!$H$5:$H$84&gt;=Exec!AX$3),'New Hires Forecast'!$P$5:$P$84,'New Hires Forecast'!$L$5:$L$84)),0),IF(YEAR(AX$3)=YEAR('New Hires Forecast'!$Q$3),IF((AX$5=12),(SUMPRODUCT(--('New Hires Forecast'!$F$5:$F$84="Executive"),--('New Hires Forecast'!$H$5:$H$84&gt;=Exec!AX$3),'New Hires Forecast'!$Q$5:$Q$84,'New Hires Forecast'!$L$5:$L$84)),0),IF(YEAR(AX$3)=YEAR('New Hires Forecast'!$R$3),IF((AX$5=12),(SUMPRODUCT(--('New Hires Forecast'!$F$5:$F$84="Executive"),--('New Hires Forecast'!$H$5:$H$84&gt;=Exec!AX$3),'New Hires Forecast'!$R$5:$R$84,'New Hires Forecast'!$L$5:$L$84)),0),"New Year"))))),0)</f>
        <v>0</v>
      </c>
      <c r="AY15" s="684">
        <f>IF(AY$4="forecast",IF(YEAR(AY$3)=YEAR('New Hires Forecast'!$N$3),IF((AY$5=12),(SUMPRODUCT(--('New Hires Forecast'!$F$5:$F$84="Executive"),--('New Hires Forecast'!$H$5:$H$84&gt;=Exec!AY$3),'New Hires Forecast'!$N$5:$N$84,'New Hires Forecast'!$L$5:$L$84)),0),IF(YEAR(AY$3)=YEAR('New Hires Forecast'!$O$3),IF((AY$5=12),(SUMPRODUCT(--('New Hires Forecast'!$F$5:$F$84="Executive"),--('New Hires Forecast'!$H$5:$H$84&gt;=Exec!AY$3),'New Hires Forecast'!$O$5:$O$84,'New Hires Forecast'!$L$5:$L$84)),0),IF(YEAR(AY$3)=YEAR('New Hires Forecast'!$P$3),IF((AY$5=12),(SUMPRODUCT(--('New Hires Forecast'!$F$5:$F$84="Executive"),--('New Hires Forecast'!$H$5:$H$84&gt;=Exec!AY$3),'New Hires Forecast'!$P$5:$P$84,'New Hires Forecast'!$L$5:$L$84)),0),IF(YEAR(AY$3)=YEAR('New Hires Forecast'!$Q$3),IF((AY$5=12),(SUMPRODUCT(--('New Hires Forecast'!$F$5:$F$84="Executive"),--('New Hires Forecast'!$H$5:$H$84&gt;=Exec!AY$3),'New Hires Forecast'!$Q$5:$Q$84,'New Hires Forecast'!$L$5:$L$84)),0),IF(YEAR(AY$3)=YEAR('New Hires Forecast'!$R$3),IF((AY$5=12),(SUMPRODUCT(--('New Hires Forecast'!$F$5:$F$84="Executive"),--('New Hires Forecast'!$H$5:$H$84&gt;=Exec!AY$3),'New Hires Forecast'!$R$5:$R$84,'New Hires Forecast'!$L$5:$L$84)),0),"New Year"))))),0)</f>
        <v>0</v>
      </c>
      <c r="AZ15" s="684">
        <f>IF(AZ$4="forecast",IF(YEAR(AZ$3)=YEAR('New Hires Forecast'!$N$3),IF((AZ$5=12),(SUMPRODUCT(--('New Hires Forecast'!$F$5:$F$84="Executive"),--('New Hires Forecast'!$H$5:$H$84&gt;=Exec!AZ$3),'New Hires Forecast'!$N$5:$N$84,'New Hires Forecast'!$L$5:$L$84)),0),IF(YEAR(AZ$3)=YEAR('New Hires Forecast'!$O$3),IF((AZ$5=12),(SUMPRODUCT(--('New Hires Forecast'!$F$5:$F$84="Executive"),--('New Hires Forecast'!$H$5:$H$84&gt;=Exec!AZ$3),'New Hires Forecast'!$O$5:$O$84,'New Hires Forecast'!$L$5:$L$84)),0),IF(YEAR(AZ$3)=YEAR('New Hires Forecast'!$P$3),IF((AZ$5=12),(SUMPRODUCT(--('New Hires Forecast'!$F$5:$F$84="Executive"),--('New Hires Forecast'!$H$5:$H$84&gt;=Exec!AZ$3),'New Hires Forecast'!$P$5:$P$84,'New Hires Forecast'!$L$5:$L$84)),0),IF(YEAR(AZ$3)=YEAR('New Hires Forecast'!$Q$3),IF((AZ$5=12),(SUMPRODUCT(--('New Hires Forecast'!$F$5:$F$84="Executive"),--('New Hires Forecast'!$H$5:$H$84&gt;=Exec!AZ$3),'New Hires Forecast'!$Q$5:$Q$84,'New Hires Forecast'!$L$5:$L$84)),0),IF(YEAR(AZ$3)=YEAR('New Hires Forecast'!$R$3),IF((AZ$5=12),(SUMPRODUCT(--('New Hires Forecast'!$F$5:$F$84="Executive"),--('New Hires Forecast'!$H$5:$H$84&gt;=Exec!AZ$3),'New Hires Forecast'!$R$5:$R$84,'New Hires Forecast'!$L$5:$L$84)),0),"New Year"))))),0)</f>
        <v>0</v>
      </c>
      <c r="BA15" s="684">
        <f>IF(BA$4="forecast",IF(YEAR(BA$3)=YEAR('New Hires Forecast'!$N$3),IF((BA$5=12),(SUMPRODUCT(--('New Hires Forecast'!$F$5:$F$84="Executive"),--('New Hires Forecast'!$H$5:$H$84&gt;=Exec!BA$3),'New Hires Forecast'!$N$5:$N$84,'New Hires Forecast'!$L$5:$L$84)),0),IF(YEAR(BA$3)=YEAR('New Hires Forecast'!$O$3),IF((BA$5=12),(SUMPRODUCT(--('New Hires Forecast'!$F$5:$F$84="Executive"),--('New Hires Forecast'!$H$5:$H$84&gt;=Exec!BA$3),'New Hires Forecast'!$O$5:$O$84,'New Hires Forecast'!$L$5:$L$84)),0),IF(YEAR(BA$3)=YEAR('New Hires Forecast'!$P$3),IF((BA$5=12),(SUMPRODUCT(--('New Hires Forecast'!$F$5:$F$84="Executive"),--('New Hires Forecast'!$H$5:$H$84&gt;=Exec!BA$3),'New Hires Forecast'!$P$5:$P$84,'New Hires Forecast'!$L$5:$L$84)),0),IF(YEAR(BA$3)=YEAR('New Hires Forecast'!$Q$3),IF((BA$5=12),(SUMPRODUCT(--('New Hires Forecast'!$F$5:$F$84="Executive"),--('New Hires Forecast'!$H$5:$H$84&gt;=Exec!BA$3),'New Hires Forecast'!$Q$5:$Q$84,'New Hires Forecast'!$L$5:$L$84)),0),IF(YEAR(BA$3)=YEAR('New Hires Forecast'!$R$3),IF((BA$5=12),(SUMPRODUCT(--('New Hires Forecast'!$F$5:$F$84="Executive"),--('New Hires Forecast'!$H$5:$H$84&gt;=Exec!BA$3),'New Hires Forecast'!$R$5:$R$84,'New Hires Forecast'!$L$5:$L$84)),0),"New Year"))))),0)</f>
        <v>0</v>
      </c>
      <c r="BB15" s="684">
        <f>IF(BB$4="forecast",IF(YEAR(BB$3)=YEAR('New Hires Forecast'!$N$3),IF((BB$5=12),(SUMPRODUCT(--('New Hires Forecast'!$F$5:$F$84="Executive"),--('New Hires Forecast'!$H$5:$H$84&gt;=Exec!BB$3),'New Hires Forecast'!$N$5:$N$84,'New Hires Forecast'!$L$5:$L$84)),0),IF(YEAR(BB$3)=YEAR('New Hires Forecast'!$O$3),IF((BB$5=12),(SUMPRODUCT(--('New Hires Forecast'!$F$5:$F$84="Executive"),--('New Hires Forecast'!$H$5:$H$84&gt;=Exec!BB$3),'New Hires Forecast'!$O$5:$O$84,'New Hires Forecast'!$L$5:$L$84)),0),IF(YEAR(BB$3)=YEAR('New Hires Forecast'!$P$3),IF((BB$5=12),(SUMPRODUCT(--('New Hires Forecast'!$F$5:$F$84="Executive"),--('New Hires Forecast'!$H$5:$H$84&gt;=Exec!BB$3),'New Hires Forecast'!$P$5:$P$84,'New Hires Forecast'!$L$5:$L$84)),0),IF(YEAR(BB$3)=YEAR('New Hires Forecast'!$Q$3),IF((BB$5=12),(SUMPRODUCT(--('New Hires Forecast'!$F$5:$F$84="Executive"),--('New Hires Forecast'!$H$5:$H$84&gt;=Exec!BB$3),'New Hires Forecast'!$Q$5:$Q$84,'New Hires Forecast'!$L$5:$L$84)),0),IF(YEAR(BB$3)=YEAR('New Hires Forecast'!$R$3),IF((BB$5=12),(SUMPRODUCT(--('New Hires Forecast'!$F$5:$F$84="Executive"),--('New Hires Forecast'!$H$5:$H$84&gt;=Exec!BB$3),'New Hires Forecast'!$R$5:$R$84,'New Hires Forecast'!$L$5:$L$84)),0),"New Year"))))),0)</f>
        <v>0</v>
      </c>
      <c r="BC15" s="684">
        <f>IF(BC$4="forecast",IF(YEAR(BC$3)=YEAR('New Hires Forecast'!$N$3),IF((BC$5=12),(SUMPRODUCT(--('New Hires Forecast'!$F$5:$F$84="Executive"),--('New Hires Forecast'!$H$5:$H$84&gt;=Exec!BC$3),'New Hires Forecast'!$N$5:$N$84,'New Hires Forecast'!$L$5:$L$84)),0),IF(YEAR(BC$3)=YEAR('New Hires Forecast'!$O$3),IF((BC$5=12),(SUMPRODUCT(--('New Hires Forecast'!$F$5:$F$84="Executive"),--('New Hires Forecast'!$H$5:$H$84&gt;=Exec!BC$3),'New Hires Forecast'!$O$5:$O$84,'New Hires Forecast'!$L$5:$L$84)),0),IF(YEAR(BC$3)=YEAR('New Hires Forecast'!$P$3),IF((BC$5=12),(SUMPRODUCT(--('New Hires Forecast'!$F$5:$F$84="Executive"),--('New Hires Forecast'!$H$5:$H$84&gt;=Exec!BC$3),'New Hires Forecast'!$P$5:$P$84,'New Hires Forecast'!$L$5:$L$84)),0),IF(YEAR(BC$3)=YEAR('New Hires Forecast'!$Q$3),IF((BC$5=12),(SUMPRODUCT(--('New Hires Forecast'!$F$5:$F$84="Executive"),--('New Hires Forecast'!$H$5:$H$84&gt;=Exec!BC$3),'New Hires Forecast'!$Q$5:$Q$84,'New Hires Forecast'!$L$5:$L$84)),0),IF(YEAR(BC$3)=YEAR('New Hires Forecast'!$R$3),IF((BC$5=12),(SUMPRODUCT(--('New Hires Forecast'!$F$5:$F$84="Executive"),--('New Hires Forecast'!$H$5:$H$84&gt;=Exec!BC$3),'New Hires Forecast'!$R$5:$R$84,'New Hires Forecast'!$L$5:$L$84)),0),"New Year"))))),0)</f>
        <v>0</v>
      </c>
      <c r="BD15" s="684">
        <f>IF(BD$4="forecast",IF(YEAR(BD$3)=YEAR('New Hires Forecast'!$N$3),IF((BD$5=12),(SUMPRODUCT(--('New Hires Forecast'!$F$5:$F$84="Executive"),--('New Hires Forecast'!$H$5:$H$84&gt;=Exec!BD$3),'New Hires Forecast'!$N$5:$N$84,'New Hires Forecast'!$L$5:$L$84)),0),IF(YEAR(BD$3)=YEAR('New Hires Forecast'!$O$3),IF((BD$5=12),(SUMPRODUCT(--('New Hires Forecast'!$F$5:$F$84="Executive"),--('New Hires Forecast'!$H$5:$H$84&gt;=Exec!BD$3),'New Hires Forecast'!$O$5:$O$84,'New Hires Forecast'!$L$5:$L$84)),0),IF(YEAR(BD$3)=YEAR('New Hires Forecast'!$P$3),IF((BD$5=12),(SUMPRODUCT(--('New Hires Forecast'!$F$5:$F$84="Executive"),--('New Hires Forecast'!$H$5:$H$84&gt;=Exec!BD$3),'New Hires Forecast'!$P$5:$P$84,'New Hires Forecast'!$L$5:$L$84)),0),IF(YEAR(BD$3)=YEAR('New Hires Forecast'!$Q$3),IF((BD$5=12),(SUMPRODUCT(--('New Hires Forecast'!$F$5:$F$84="Executive"),--('New Hires Forecast'!$H$5:$H$84&gt;=Exec!BD$3),'New Hires Forecast'!$Q$5:$Q$84,'New Hires Forecast'!$L$5:$L$84)),0),IF(YEAR(BD$3)=YEAR('New Hires Forecast'!$R$3),IF((BD$5=12),(SUMPRODUCT(--('New Hires Forecast'!$F$5:$F$84="Executive"),--('New Hires Forecast'!$H$5:$H$84&gt;=Exec!BD$3),'New Hires Forecast'!$R$5:$R$84,'New Hires Forecast'!$L$5:$L$84)),0),"New Year"))))),0)</f>
        <v>0</v>
      </c>
      <c r="BE15" s="684">
        <f>IF(BE$4="forecast",IF(YEAR(BE$3)=YEAR('New Hires Forecast'!$N$3),IF((BE$5=12),(SUMPRODUCT(--('New Hires Forecast'!$F$5:$F$84="Executive"),--('New Hires Forecast'!$H$5:$H$84&gt;=Exec!BE$3),'New Hires Forecast'!$N$5:$N$84,'New Hires Forecast'!$L$5:$L$84)),0),IF(YEAR(BE$3)=YEAR('New Hires Forecast'!$O$3),IF((BE$5=12),(SUMPRODUCT(--('New Hires Forecast'!$F$5:$F$84="Executive"),--('New Hires Forecast'!$H$5:$H$84&gt;=Exec!BE$3),'New Hires Forecast'!$O$5:$O$84,'New Hires Forecast'!$L$5:$L$84)),0),IF(YEAR(BE$3)=YEAR('New Hires Forecast'!$P$3),IF((BE$5=12),(SUMPRODUCT(--('New Hires Forecast'!$F$5:$F$84="Executive"),--('New Hires Forecast'!$H$5:$H$84&gt;=Exec!BE$3),'New Hires Forecast'!$P$5:$P$84,'New Hires Forecast'!$L$5:$L$84)),0),IF(YEAR(BE$3)=YEAR('New Hires Forecast'!$Q$3),IF((BE$5=12),(SUMPRODUCT(--('New Hires Forecast'!$F$5:$F$84="Executive"),--('New Hires Forecast'!$H$5:$H$84&gt;=Exec!BE$3),'New Hires Forecast'!$Q$5:$Q$84,'New Hires Forecast'!$L$5:$L$84)),0),IF(YEAR(BE$3)=YEAR('New Hires Forecast'!$R$3),IF((BE$5=12),(SUMPRODUCT(--('New Hires Forecast'!$F$5:$F$84="Executive"),--('New Hires Forecast'!$H$5:$H$84&gt;=Exec!BE$3),'New Hires Forecast'!$R$5:$R$84,'New Hires Forecast'!$L$5:$L$84)),0),"New Year"))))),0)</f>
        <v>0</v>
      </c>
      <c r="BF15" s="684">
        <f>IF(BF$4="forecast",IF(YEAR(BF$3)=YEAR('New Hires Forecast'!$N$3),IF((BF$5=12),(SUMPRODUCT(--('New Hires Forecast'!$F$5:$F$84="Executive"),--('New Hires Forecast'!$H$5:$H$84&gt;=Exec!BF$3),'New Hires Forecast'!$N$5:$N$84,'New Hires Forecast'!$L$5:$L$84)),0),IF(YEAR(BF$3)=YEAR('New Hires Forecast'!$O$3),IF((BF$5=12),(SUMPRODUCT(--('New Hires Forecast'!$F$5:$F$84="Executive"),--('New Hires Forecast'!$H$5:$H$84&gt;=Exec!BF$3),'New Hires Forecast'!$O$5:$O$84,'New Hires Forecast'!$L$5:$L$84)),0),IF(YEAR(BF$3)=YEAR('New Hires Forecast'!$P$3),IF((BF$5=12),(SUMPRODUCT(--('New Hires Forecast'!$F$5:$F$84="Executive"),--('New Hires Forecast'!$H$5:$H$84&gt;=Exec!BF$3),'New Hires Forecast'!$P$5:$P$84,'New Hires Forecast'!$L$5:$L$84)),0),IF(YEAR(BF$3)=YEAR('New Hires Forecast'!$Q$3),IF((BF$5=12),(SUMPRODUCT(--('New Hires Forecast'!$F$5:$F$84="Executive"),--('New Hires Forecast'!$H$5:$H$84&gt;=Exec!BF$3),'New Hires Forecast'!$Q$5:$Q$84,'New Hires Forecast'!$L$5:$L$84)),0),IF(YEAR(BF$3)=YEAR('New Hires Forecast'!$R$3),IF((BF$5=12),(SUMPRODUCT(--('New Hires Forecast'!$F$5:$F$84="Executive"),--('New Hires Forecast'!$H$5:$H$84&gt;=Exec!BF$3),'New Hires Forecast'!$R$5:$R$84,'New Hires Forecast'!$L$5:$L$84)),0),"New Year"))))),0)</f>
        <v>0</v>
      </c>
      <c r="BG15" s="684">
        <f>IF(BG$4="forecast",IF(YEAR(BG$3)=YEAR('New Hires Forecast'!$N$3),IF((BG$5=12),(SUMPRODUCT(--('New Hires Forecast'!$F$5:$F$84="Executive"),--('New Hires Forecast'!$H$5:$H$84&gt;=Exec!BG$3),'New Hires Forecast'!$N$5:$N$84,'New Hires Forecast'!$L$5:$L$84)),0),IF(YEAR(BG$3)=YEAR('New Hires Forecast'!$O$3),IF((BG$5=12),(SUMPRODUCT(--('New Hires Forecast'!$F$5:$F$84="Executive"),--('New Hires Forecast'!$H$5:$H$84&gt;=Exec!BG$3),'New Hires Forecast'!$O$5:$O$84,'New Hires Forecast'!$L$5:$L$84)),0),IF(YEAR(BG$3)=YEAR('New Hires Forecast'!$P$3),IF((BG$5=12),(SUMPRODUCT(--('New Hires Forecast'!$F$5:$F$84="Executive"),--('New Hires Forecast'!$H$5:$H$84&gt;=Exec!BG$3),'New Hires Forecast'!$P$5:$P$84,'New Hires Forecast'!$L$5:$L$84)),0),IF(YEAR(BG$3)=YEAR('New Hires Forecast'!$Q$3),IF((BG$5=12),(SUMPRODUCT(--('New Hires Forecast'!$F$5:$F$84="Executive"),--('New Hires Forecast'!$H$5:$H$84&gt;=Exec!BG$3),'New Hires Forecast'!$Q$5:$Q$84,'New Hires Forecast'!$L$5:$L$84)),0),IF(YEAR(BG$3)=YEAR('New Hires Forecast'!$R$3),IF((BG$5=12),(SUMPRODUCT(--('New Hires Forecast'!$F$5:$F$84="Executive"),--('New Hires Forecast'!$H$5:$H$84&gt;=Exec!BG$3),'New Hires Forecast'!$R$5:$R$84,'New Hires Forecast'!$L$5:$L$84)),0),"New Year"))))),0)</f>
        <v>0</v>
      </c>
      <c r="BH15" s="684">
        <f>IF(BH$4="forecast",IF(YEAR(BH$3)=YEAR('New Hires Forecast'!$N$3),IF((BH$5=12),(SUMPRODUCT(--('New Hires Forecast'!$F$5:$F$84="Executive"),--('New Hires Forecast'!$H$5:$H$84&gt;=Exec!BH$3),'New Hires Forecast'!$N$5:$N$84,'New Hires Forecast'!$L$5:$L$84)),0),IF(YEAR(BH$3)=YEAR('New Hires Forecast'!$O$3),IF((BH$5=12),(SUMPRODUCT(--('New Hires Forecast'!$F$5:$F$84="Executive"),--('New Hires Forecast'!$H$5:$H$84&gt;=Exec!BH$3),'New Hires Forecast'!$O$5:$O$84,'New Hires Forecast'!$L$5:$L$84)),0),IF(YEAR(BH$3)=YEAR('New Hires Forecast'!$P$3),IF((BH$5=12),(SUMPRODUCT(--('New Hires Forecast'!$F$5:$F$84="Executive"),--('New Hires Forecast'!$H$5:$H$84&gt;=Exec!BH$3),'New Hires Forecast'!$P$5:$P$84,'New Hires Forecast'!$L$5:$L$84)),0),IF(YEAR(BH$3)=YEAR('New Hires Forecast'!$Q$3),IF((BH$5=12),(SUMPRODUCT(--('New Hires Forecast'!$F$5:$F$84="Executive"),--('New Hires Forecast'!$H$5:$H$84&gt;=Exec!BH$3),'New Hires Forecast'!$Q$5:$Q$84,'New Hires Forecast'!$L$5:$L$84)),0),IF(YEAR(BH$3)=YEAR('New Hires Forecast'!$R$3),IF((BH$5=12),(SUMPRODUCT(--('New Hires Forecast'!$F$5:$F$84="Executive"),--('New Hires Forecast'!$H$5:$H$84&gt;=Exec!BH$3),'New Hires Forecast'!$R$5:$R$84,'New Hires Forecast'!$L$5:$L$84)),0),"New Year"))))),0)</f>
        <v>0</v>
      </c>
      <c r="BI15" s="684">
        <f>IF(BI$4="forecast",IF(YEAR(BI$3)=YEAR('New Hires Forecast'!$N$3),IF((BI$5=12),(SUMPRODUCT(--('New Hires Forecast'!$F$5:$F$84="Executive"),--('New Hires Forecast'!$H$5:$H$84&gt;=Exec!BI$3),'New Hires Forecast'!$N$5:$N$84,'New Hires Forecast'!$L$5:$L$84)),0),IF(YEAR(BI$3)=YEAR('New Hires Forecast'!$O$3),IF((BI$5=12),(SUMPRODUCT(--('New Hires Forecast'!$F$5:$F$84="Executive"),--('New Hires Forecast'!$H$5:$H$84&gt;=Exec!BI$3),'New Hires Forecast'!$O$5:$O$84,'New Hires Forecast'!$L$5:$L$84)),0),IF(YEAR(BI$3)=YEAR('New Hires Forecast'!$P$3),IF((BI$5=12),(SUMPRODUCT(--('New Hires Forecast'!$F$5:$F$84="Executive"),--('New Hires Forecast'!$H$5:$H$84&gt;=Exec!BI$3),'New Hires Forecast'!$P$5:$P$84,'New Hires Forecast'!$L$5:$L$84)),0),IF(YEAR(BI$3)=YEAR('New Hires Forecast'!$Q$3),IF((BI$5=12),(SUMPRODUCT(--('New Hires Forecast'!$F$5:$F$84="Executive"),--('New Hires Forecast'!$H$5:$H$84&gt;=Exec!BI$3),'New Hires Forecast'!$Q$5:$Q$84,'New Hires Forecast'!$L$5:$L$84)),0),IF(YEAR(BI$3)=YEAR('New Hires Forecast'!$R$3),IF((BI$5=12),(SUMPRODUCT(--('New Hires Forecast'!$F$5:$F$84="Executive"),--('New Hires Forecast'!$H$5:$H$84&gt;=Exec!BI$3),'New Hires Forecast'!$R$5:$R$84,'New Hires Forecast'!$L$5:$L$84)),0),"New Year"))))),0)</f>
        <v>0</v>
      </c>
      <c r="BJ15" s="684">
        <f>IF(BJ$4="forecast",IF(YEAR(BJ$3)=YEAR('New Hires Forecast'!$N$3),IF((BJ$5=12),(SUMPRODUCT(--('New Hires Forecast'!$F$5:$F$84="Executive"),--('New Hires Forecast'!$H$5:$H$84&gt;=Exec!BJ$3),'New Hires Forecast'!$N$5:$N$84,'New Hires Forecast'!$L$5:$L$84)),0),IF(YEAR(BJ$3)=YEAR('New Hires Forecast'!$O$3),IF((BJ$5=12),(SUMPRODUCT(--('New Hires Forecast'!$F$5:$F$84="Executive"),--('New Hires Forecast'!$H$5:$H$84&gt;=Exec!BJ$3),'New Hires Forecast'!$O$5:$O$84,'New Hires Forecast'!$L$5:$L$84)),0),IF(YEAR(BJ$3)=YEAR('New Hires Forecast'!$P$3),IF((BJ$5=12),(SUMPRODUCT(--('New Hires Forecast'!$F$5:$F$84="Executive"),--('New Hires Forecast'!$H$5:$H$84&gt;=Exec!BJ$3),'New Hires Forecast'!$P$5:$P$84,'New Hires Forecast'!$L$5:$L$84)),0),IF(YEAR(BJ$3)=YEAR('New Hires Forecast'!$Q$3),IF((BJ$5=12),(SUMPRODUCT(--('New Hires Forecast'!$F$5:$F$84="Executive"),--('New Hires Forecast'!$H$5:$H$84&gt;=Exec!BJ$3),'New Hires Forecast'!$Q$5:$Q$84,'New Hires Forecast'!$L$5:$L$84)),0),IF(YEAR(BJ$3)=YEAR('New Hires Forecast'!$R$3),IF((BJ$5=12),(SUMPRODUCT(--('New Hires Forecast'!$F$5:$F$84="Executive"),--('New Hires Forecast'!$H$5:$H$84&gt;=Exec!BJ$3),'New Hires Forecast'!$R$5:$R$84,'New Hires Forecast'!$L$5:$L$84)),0),"New Year"))))),0)</f>
        <v>0</v>
      </c>
      <c r="BK15" s="684">
        <f>IF(BK$4="forecast",IF(YEAR(BK$3)=YEAR('New Hires Forecast'!$N$3),IF((BK$5=12),(SUMPRODUCT(--('New Hires Forecast'!$F$5:$F$84="Executive"),--('New Hires Forecast'!$H$5:$H$84&gt;=Exec!BK$3),'New Hires Forecast'!$N$5:$N$84,'New Hires Forecast'!$L$5:$L$84)),0),IF(YEAR(BK$3)=YEAR('New Hires Forecast'!$O$3),IF((BK$5=12),(SUMPRODUCT(--('New Hires Forecast'!$F$5:$F$84="Executive"),--('New Hires Forecast'!$H$5:$H$84&gt;=Exec!BK$3),'New Hires Forecast'!$O$5:$O$84,'New Hires Forecast'!$L$5:$L$84)),0),IF(YEAR(BK$3)=YEAR('New Hires Forecast'!$P$3),IF((BK$5=12),(SUMPRODUCT(--('New Hires Forecast'!$F$5:$F$84="Executive"),--('New Hires Forecast'!$H$5:$H$84&gt;=Exec!BK$3),'New Hires Forecast'!$P$5:$P$84,'New Hires Forecast'!$L$5:$L$84)),0),IF(YEAR(BK$3)=YEAR('New Hires Forecast'!$Q$3),IF((BK$5=12),(SUMPRODUCT(--('New Hires Forecast'!$F$5:$F$84="Executive"),--('New Hires Forecast'!$H$5:$H$84&gt;=Exec!BK$3),'New Hires Forecast'!$Q$5:$Q$84,'New Hires Forecast'!$L$5:$L$84)),0),IF(YEAR(BK$3)=YEAR('New Hires Forecast'!$R$3),IF((BK$5=12),(SUMPRODUCT(--('New Hires Forecast'!$F$5:$F$84="Executive"),--('New Hires Forecast'!$H$5:$H$84&gt;=Exec!BK$3),'New Hires Forecast'!$R$5:$R$84,'New Hires Forecast'!$L$5:$L$84)),0),"New Year"))))),0)</f>
        <v>0</v>
      </c>
      <c r="BL15" s="684">
        <f>IF(BL$4="forecast",IF(YEAR(BL$3)=YEAR('New Hires Forecast'!$N$3),IF((BL$5=12),(SUMPRODUCT(--('New Hires Forecast'!$F$5:$F$84="Executive"),--('New Hires Forecast'!$H$5:$H$84&gt;=Exec!BL$3),'New Hires Forecast'!$N$5:$N$84,'New Hires Forecast'!$L$5:$L$84)),0),IF(YEAR(BL$3)=YEAR('New Hires Forecast'!$O$3),IF((BL$5=12),(SUMPRODUCT(--('New Hires Forecast'!$F$5:$F$84="Executive"),--('New Hires Forecast'!$H$5:$H$84&gt;=Exec!BL$3),'New Hires Forecast'!$O$5:$O$84,'New Hires Forecast'!$L$5:$L$84)),0),IF(YEAR(BL$3)=YEAR('New Hires Forecast'!$P$3),IF((BL$5=12),(SUMPRODUCT(--('New Hires Forecast'!$F$5:$F$84="Executive"),--('New Hires Forecast'!$H$5:$H$84&gt;=Exec!BL$3),'New Hires Forecast'!$P$5:$P$84,'New Hires Forecast'!$L$5:$L$84)),0),IF(YEAR(BL$3)=YEAR('New Hires Forecast'!$Q$3),IF((BL$5=12),(SUMPRODUCT(--('New Hires Forecast'!$F$5:$F$84="Executive"),--('New Hires Forecast'!$H$5:$H$84&gt;=Exec!BL$3),'New Hires Forecast'!$Q$5:$Q$84,'New Hires Forecast'!$L$5:$L$84)),0),IF(YEAR(BL$3)=YEAR('New Hires Forecast'!$R$3),IF((BL$5=12),(SUMPRODUCT(--('New Hires Forecast'!$F$5:$F$84="Executive"),--('New Hires Forecast'!$H$5:$H$84&gt;=Exec!BL$3),'New Hires Forecast'!$R$5:$R$84,'New Hires Forecast'!$L$5:$L$84)),0),"New Year"))))),0)</f>
        <v>0</v>
      </c>
      <c r="BM15" s="684">
        <f>IF(BM$4="forecast",IF(YEAR(BM$3)=YEAR('New Hires Forecast'!$N$3),IF((BM$5=12),(SUMPRODUCT(--('New Hires Forecast'!$F$5:$F$84="Executive"),--('New Hires Forecast'!$H$5:$H$84&gt;=Exec!BM$3),'New Hires Forecast'!$N$5:$N$84,'New Hires Forecast'!$L$5:$L$84)),0),IF(YEAR(BM$3)=YEAR('New Hires Forecast'!$O$3),IF((BM$5=12),(SUMPRODUCT(--('New Hires Forecast'!$F$5:$F$84="Executive"),--('New Hires Forecast'!$H$5:$H$84&gt;=Exec!BM$3),'New Hires Forecast'!$O$5:$O$84,'New Hires Forecast'!$L$5:$L$84)),0),IF(YEAR(BM$3)=YEAR('New Hires Forecast'!$P$3),IF((BM$5=12),(SUMPRODUCT(--('New Hires Forecast'!$F$5:$F$84="Executive"),--('New Hires Forecast'!$H$5:$H$84&gt;=Exec!BM$3),'New Hires Forecast'!$P$5:$P$84,'New Hires Forecast'!$L$5:$L$84)),0),IF(YEAR(BM$3)=YEAR('New Hires Forecast'!$Q$3),IF((BM$5=12),(SUMPRODUCT(--('New Hires Forecast'!$F$5:$F$84="Executive"),--('New Hires Forecast'!$H$5:$H$84&gt;=Exec!BM$3),'New Hires Forecast'!$Q$5:$Q$84,'New Hires Forecast'!$L$5:$L$84)),0),IF(YEAR(BM$3)=YEAR('New Hires Forecast'!$R$3),IF((BM$5=12),(SUMPRODUCT(--('New Hires Forecast'!$F$5:$F$84="Executive"),--('New Hires Forecast'!$H$5:$H$84&gt;=Exec!BM$3),'New Hires Forecast'!$R$5:$R$84,'New Hires Forecast'!$L$5:$L$84)),0),"New Year"))))),0)</f>
        <v>0</v>
      </c>
      <c r="BN15" s="684">
        <f>IF(BN$4="forecast",IF(YEAR(BN$3)=YEAR('New Hires Forecast'!$N$3),IF((BN$5=12),(SUMPRODUCT(--('New Hires Forecast'!$F$5:$F$84="Executive"),--('New Hires Forecast'!$H$5:$H$84&gt;=Exec!BN$3),'New Hires Forecast'!$N$5:$N$84,'New Hires Forecast'!$L$5:$L$84)),0),IF(YEAR(BN$3)=YEAR('New Hires Forecast'!$O$3),IF((BN$5=12),(SUMPRODUCT(--('New Hires Forecast'!$F$5:$F$84="Executive"),--('New Hires Forecast'!$H$5:$H$84&gt;=Exec!BN$3),'New Hires Forecast'!$O$5:$O$84,'New Hires Forecast'!$L$5:$L$84)),0),IF(YEAR(BN$3)=YEAR('New Hires Forecast'!$P$3),IF((BN$5=12),(SUMPRODUCT(--('New Hires Forecast'!$F$5:$F$84="Executive"),--('New Hires Forecast'!$H$5:$H$84&gt;=Exec!BN$3),'New Hires Forecast'!$P$5:$P$84,'New Hires Forecast'!$L$5:$L$84)),0),IF(YEAR(BN$3)=YEAR('New Hires Forecast'!$Q$3),IF((BN$5=12),(SUMPRODUCT(--('New Hires Forecast'!$F$5:$F$84="Executive"),--('New Hires Forecast'!$H$5:$H$84&gt;=Exec!BN$3),'New Hires Forecast'!$Q$5:$Q$84,'New Hires Forecast'!$L$5:$L$84)),0),IF(YEAR(BN$3)=YEAR('New Hires Forecast'!$R$3),IF((BN$5=12),(SUMPRODUCT(--('New Hires Forecast'!$F$5:$F$84="Executive"),--('New Hires Forecast'!$H$5:$H$84&gt;=Exec!BN$3),'New Hires Forecast'!$R$5:$R$84,'New Hires Forecast'!$L$5:$L$84)),0),"New Year"))))),0)</f>
        <v>0</v>
      </c>
      <c r="BO15" s="684">
        <f>IF(BO$4="forecast",IF(YEAR(BO$3)=YEAR('New Hires Forecast'!$N$3),IF((BO$5=12),(SUMPRODUCT(--('New Hires Forecast'!$F$5:$F$84="Executive"),--('New Hires Forecast'!$H$5:$H$84&gt;=Exec!BO$3),'New Hires Forecast'!$N$5:$N$84,'New Hires Forecast'!$L$5:$L$84)),0),IF(YEAR(BO$3)=YEAR('New Hires Forecast'!$O$3),IF((BO$5=12),(SUMPRODUCT(--('New Hires Forecast'!$F$5:$F$84="Executive"),--('New Hires Forecast'!$H$5:$H$84&gt;=Exec!BO$3),'New Hires Forecast'!$O$5:$O$84,'New Hires Forecast'!$L$5:$L$84)),0),IF(YEAR(BO$3)=YEAR('New Hires Forecast'!$P$3),IF((BO$5=12),(SUMPRODUCT(--('New Hires Forecast'!$F$5:$F$84="Executive"),--('New Hires Forecast'!$H$5:$H$84&gt;=Exec!BO$3),'New Hires Forecast'!$P$5:$P$84,'New Hires Forecast'!$L$5:$L$84)),0),IF(YEAR(BO$3)=YEAR('New Hires Forecast'!$Q$3),IF((BO$5=12),(SUMPRODUCT(--('New Hires Forecast'!$F$5:$F$84="Executive"),--('New Hires Forecast'!$H$5:$H$84&gt;=Exec!BO$3),'New Hires Forecast'!$Q$5:$Q$84,'New Hires Forecast'!$L$5:$L$84)),0),IF(YEAR(BO$3)=YEAR('New Hires Forecast'!$R$3),IF((BO$5=12),(SUMPRODUCT(--('New Hires Forecast'!$F$5:$F$84="Executive"),--('New Hires Forecast'!$H$5:$H$84&gt;=Exec!BO$3),'New Hires Forecast'!$R$5:$R$84,'New Hires Forecast'!$L$5:$L$84)),0),"New Year"))))),0)</f>
        <v>0</v>
      </c>
      <c r="BP15" s="684">
        <f>IF(BP$4="forecast",IF(YEAR(BP$3)=YEAR('New Hires Forecast'!$N$3),IF((BP$5=12),(SUMPRODUCT(--('New Hires Forecast'!$F$5:$F$84="Executive"),--('New Hires Forecast'!$H$5:$H$84&gt;=Exec!BP$3),'New Hires Forecast'!$N$5:$N$84,'New Hires Forecast'!$L$5:$L$84)),0),IF(YEAR(BP$3)=YEAR('New Hires Forecast'!$O$3),IF((BP$5=12),(SUMPRODUCT(--('New Hires Forecast'!$F$5:$F$84="Executive"),--('New Hires Forecast'!$H$5:$H$84&gt;=Exec!BP$3),'New Hires Forecast'!$O$5:$O$84,'New Hires Forecast'!$L$5:$L$84)),0),IF(YEAR(BP$3)=YEAR('New Hires Forecast'!$P$3),IF((BP$5=12),(SUMPRODUCT(--('New Hires Forecast'!$F$5:$F$84="Executive"),--('New Hires Forecast'!$H$5:$H$84&gt;=Exec!BP$3),'New Hires Forecast'!$P$5:$P$84,'New Hires Forecast'!$L$5:$L$84)),0),IF(YEAR(BP$3)=YEAR('New Hires Forecast'!$Q$3),IF((BP$5=12),(SUMPRODUCT(--('New Hires Forecast'!$F$5:$F$84="Executive"),--('New Hires Forecast'!$H$5:$H$84&gt;=Exec!BP$3),'New Hires Forecast'!$Q$5:$Q$84,'New Hires Forecast'!$L$5:$L$84)),0),IF(YEAR(BP$3)=YEAR('New Hires Forecast'!$R$3),IF((BP$5=12),(SUMPRODUCT(--('New Hires Forecast'!$F$5:$F$84="Executive"),--('New Hires Forecast'!$H$5:$H$84&gt;=Exec!BP$3),'New Hires Forecast'!$R$5:$R$84,'New Hires Forecast'!$L$5:$L$84)),0),"New Year"))))),0)</f>
        <v>0</v>
      </c>
      <c r="BQ15" s="684">
        <f>IF(BQ$4="forecast",IF(YEAR(BQ$3)=YEAR('New Hires Forecast'!$N$3),IF((BQ$5=12),(SUMPRODUCT(--('New Hires Forecast'!$F$5:$F$84="Executive"),--('New Hires Forecast'!$H$5:$H$84&gt;=Exec!BQ$3),'New Hires Forecast'!$N$5:$N$84,'New Hires Forecast'!$L$5:$L$84)),0),IF(YEAR(BQ$3)=YEAR('New Hires Forecast'!$O$3),IF((BQ$5=12),(SUMPRODUCT(--('New Hires Forecast'!$F$5:$F$84="Executive"),--('New Hires Forecast'!$H$5:$H$84&gt;=Exec!BQ$3),'New Hires Forecast'!$O$5:$O$84,'New Hires Forecast'!$L$5:$L$84)),0),IF(YEAR(BQ$3)=YEAR('New Hires Forecast'!$P$3),IF((BQ$5=12),(SUMPRODUCT(--('New Hires Forecast'!$F$5:$F$84="Executive"),--('New Hires Forecast'!$H$5:$H$84&gt;=Exec!BQ$3),'New Hires Forecast'!$P$5:$P$84,'New Hires Forecast'!$L$5:$L$84)),0),IF(YEAR(BQ$3)=YEAR('New Hires Forecast'!$Q$3),IF((BQ$5=12),(SUMPRODUCT(--('New Hires Forecast'!$F$5:$F$84="Executive"),--('New Hires Forecast'!$H$5:$H$84&gt;=Exec!BQ$3),'New Hires Forecast'!$Q$5:$Q$84,'New Hires Forecast'!$L$5:$L$84)),0),IF(YEAR(BQ$3)=YEAR('New Hires Forecast'!$R$3),IF((BQ$5=12),(SUMPRODUCT(--('New Hires Forecast'!$F$5:$F$84="Executive"),--('New Hires Forecast'!$H$5:$H$84&gt;=Exec!BQ$3),'New Hires Forecast'!$R$5:$R$84,'New Hires Forecast'!$L$5:$L$84)),0),"New Year"))))),0)</f>
        <v>0</v>
      </c>
      <c r="BR15" s="684">
        <f>IF(BR$4="forecast",IF(YEAR(BR$3)=YEAR('New Hires Forecast'!$N$3),IF((BR$5=12),(SUMPRODUCT(--('New Hires Forecast'!$F$5:$F$84="Executive"),--('New Hires Forecast'!$H$5:$H$84&gt;=Exec!BR$3),'New Hires Forecast'!$N$5:$N$84,'New Hires Forecast'!$L$5:$L$84)),0),IF(YEAR(BR$3)=YEAR('New Hires Forecast'!$O$3),IF((BR$5=12),(SUMPRODUCT(--('New Hires Forecast'!$F$5:$F$84="Executive"),--('New Hires Forecast'!$H$5:$H$84&gt;=Exec!BR$3),'New Hires Forecast'!$O$5:$O$84,'New Hires Forecast'!$L$5:$L$84)),0),IF(YEAR(BR$3)=YEAR('New Hires Forecast'!$P$3),IF((BR$5=12),(SUMPRODUCT(--('New Hires Forecast'!$F$5:$F$84="Executive"),--('New Hires Forecast'!$H$5:$H$84&gt;=Exec!BR$3),'New Hires Forecast'!$P$5:$P$84,'New Hires Forecast'!$L$5:$L$84)),0),IF(YEAR(BR$3)=YEAR('New Hires Forecast'!$Q$3),IF((BR$5=12),(SUMPRODUCT(--('New Hires Forecast'!$F$5:$F$84="Executive"),--('New Hires Forecast'!$H$5:$H$84&gt;=Exec!BR$3),'New Hires Forecast'!$Q$5:$Q$84,'New Hires Forecast'!$L$5:$L$84)),0),IF(YEAR(BR$3)=YEAR('New Hires Forecast'!$R$3),IF((BR$5=12),(SUMPRODUCT(--('New Hires Forecast'!$F$5:$F$84="Executive"),--('New Hires Forecast'!$H$5:$H$84&gt;=Exec!BR$3),'New Hires Forecast'!$R$5:$R$84,'New Hires Forecast'!$L$5:$L$84)),0),"New Year"))))),0)</f>
        <v>0</v>
      </c>
      <c r="BS15" s="684">
        <f>IF(BS$4="forecast",IF(YEAR(BS$3)=YEAR('New Hires Forecast'!$N$3),IF((BS$5=12),(SUMPRODUCT(--('New Hires Forecast'!$F$5:$F$84="Executive"),--('New Hires Forecast'!$H$5:$H$84&gt;=Exec!BS$3),'New Hires Forecast'!$N$5:$N$84,'New Hires Forecast'!$L$5:$L$84)),0),IF(YEAR(BS$3)=YEAR('New Hires Forecast'!$O$3),IF((BS$5=12),(SUMPRODUCT(--('New Hires Forecast'!$F$5:$F$84="Executive"),--('New Hires Forecast'!$H$5:$H$84&gt;=Exec!BS$3),'New Hires Forecast'!$O$5:$O$84,'New Hires Forecast'!$L$5:$L$84)),0),IF(YEAR(BS$3)=YEAR('New Hires Forecast'!$P$3),IF((BS$5=12),(SUMPRODUCT(--('New Hires Forecast'!$F$5:$F$84="Executive"),--('New Hires Forecast'!$H$5:$H$84&gt;=Exec!BS$3),'New Hires Forecast'!$P$5:$P$84,'New Hires Forecast'!$L$5:$L$84)),0),IF(YEAR(BS$3)=YEAR('New Hires Forecast'!$Q$3),IF((BS$5=12),(SUMPRODUCT(--('New Hires Forecast'!$F$5:$F$84="Executive"),--('New Hires Forecast'!$H$5:$H$84&gt;=Exec!BS$3),'New Hires Forecast'!$Q$5:$Q$84,'New Hires Forecast'!$L$5:$L$84)),0),IF(YEAR(BS$3)=YEAR('New Hires Forecast'!$R$3),IF((BS$5=12),(SUMPRODUCT(--('New Hires Forecast'!$F$5:$F$84="Executive"),--('New Hires Forecast'!$H$5:$H$84&gt;=Exec!BS$3),'New Hires Forecast'!$R$5:$R$84,'New Hires Forecast'!$L$5:$L$84)),0),"New Year"))))),0)</f>
        <v>0</v>
      </c>
      <c r="BT15" s="684">
        <f>IF(BT$4="forecast",IF(YEAR(BT$3)=YEAR('New Hires Forecast'!$N$3),IF((BT$5=12),(SUMPRODUCT(--('New Hires Forecast'!$F$5:$F$84="Executive"),--('New Hires Forecast'!$H$5:$H$84&gt;=Exec!BT$3),'New Hires Forecast'!$N$5:$N$84,'New Hires Forecast'!$L$5:$L$84)),0),IF(YEAR(BT$3)=YEAR('New Hires Forecast'!$O$3),IF((BT$5=12),(SUMPRODUCT(--('New Hires Forecast'!$F$5:$F$84="Executive"),--('New Hires Forecast'!$H$5:$H$84&gt;=Exec!BT$3),'New Hires Forecast'!$O$5:$O$84,'New Hires Forecast'!$L$5:$L$84)),0),IF(YEAR(BT$3)=YEAR('New Hires Forecast'!$P$3),IF((BT$5=12),(SUMPRODUCT(--('New Hires Forecast'!$F$5:$F$84="Executive"),--('New Hires Forecast'!$H$5:$H$84&gt;=Exec!BT$3),'New Hires Forecast'!$P$5:$P$84,'New Hires Forecast'!$L$5:$L$84)),0),IF(YEAR(BT$3)=YEAR('New Hires Forecast'!$Q$3),IF((BT$5=12),(SUMPRODUCT(--('New Hires Forecast'!$F$5:$F$84="Executive"),--('New Hires Forecast'!$H$5:$H$84&gt;=Exec!BT$3),'New Hires Forecast'!$Q$5:$Q$84,'New Hires Forecast'!$L$5:$L$84)),0),IF(YEAR(BT$3)=YEAR('New Hires Forecast'!$R$3),IF((BT$5=12),(SUMPRODUCT(--('New Hires Forecast'!$F$5:$F$84="Executive"),--('New Hires Forecast'!$H$5:$H$84&gt;=Exec!BT$3),'New Hires Forecast'!$R$5:$R$84,'New Hires Forecast'!$L$5:$L$84)),0),"New Year"))))),0)</f>
        <v>0</v>
      </c>
      <c r="BU15" s="684">
        <f>IF(BU$4="forecast",IF(YEAR(BU$3)=YEAR('New Hires Forecast'!$N$3),IF((BU$5=12),(SUMPRODUCT(--('New Hires Forecast'!$F$5:$F$84="Executive"),--('New Hires Forecast'!$H$5:$H$84&gt;=Exec!BU$3),'New Hires Forecast'!$N$5:$N$84,'New Hires Forecast'!$L$5:$L$84)),0),IF(YEAR(BU$3)=YEAR('New Hires Forecast'!$O$3),IF((BU$5=12),(SUMPRODUCT(--('New Hires Forecast'!$F$5:$F$84="Executive"),--('New Hires Forecast'!$H$5:$H$84&gt;=Exec!BU$3),'New Hires Forecast'!$O$5:$O$84,'New Hires Forecast'!$L$5:$L$84)),0),IF(YEAR(BU$3)=YEAR('New Hires Forecast'!$P$3),IF((BU$5=12),(SUMPRODUCT(--('New Hires Forecast'!$F$5:$F$84="Executive"),--('New Hires Forecast'!$H$5:$H$84&gt;=Exec!BU$3),'New Hires Forecast'!$P$5:$P$84,'New Hires Forecast'!$L$5:$L$84)),0),IF(YEAR(BU$3)=YEAR('New Hires Forecast'!$Q$3),IF((BU$5=12),(SUMPRODUCT(--('New Hires Forecast'!$F$5:$F$84="Executive"),--('New Hires Forecast'!$H$5:$H$84&gt;=Exec!BU$3),'New Hires Forecast'!$Q$5:$Q$84,'New Hires Forecast'!$L$5:$L$84)),0),IF(YEAR(BU$3)=YEAR('New Hires Forecast'!$R$3),IF((BU$5=12),(SUMPRODUCT(--('New Hires Forecast'!$F$5:$F$84="Executive"),--('New Hires Forecast'!$H$5:$H$84&gt;=Exec!BU$3),'New Hires Forecast'!$R$5:$R$84,'New Hires Forecast'!$L$5:$L$84)),0),"New Year"))))),0)</f>
        <v>0</v>
      </c>
      <c r="BV15" s="808">
        <f>IF(BV$4="forecast",IF(YEAR(BV$3)=YEAR('New Hires Forecast'!$N$3),IF((BV$5=12),(SUMPRODUCT(--('New Hires Forecast'!$F$5:$F$84="Executive"),--('New Hires Forecast'!$H$5:$H$84&gt;=Exec!BV$3),'New Hires Forecast'!$N$5:$N$84,'New Hires Forecast'!$L$5:$L$84)),0),IF(YEAR(BV$3)=YEAR('New Hires Forecast'!$O$3),IF((BV$5=12),(SUMPRODUCT(--('New Hires Forecast'!$F$5:$F$84="Executive"),--('New Hires Forecast'!$H$5:$H$84&gt;=Exec!BV$3),'New Hires Forecast'!$O$5:$O$84,'New Hires Forecast'!$L$5:$L$84)),0),IF(YEAR(BV$3)=YEAR('New Hires Forecast'!$P$3),IF((BV$5=12),(SUMPRODUCT(--('New Hires Forecast'!$F$5:$F$84="Executive"),--('New Hires Forecast'!$H$5:$H$84&gt;=Exec!BV$3),'New Hires Forecast'!$P$5:$P$84,'New Hires Forecast'!$L$5:$L$84)),0),IF(YEAR(BV$3)=YEAR('New Hires Forecast'!$Q$3),IF((BV$5=12),(SUMPRODUCT(--('New Hires Forecast'!$F$5:$F$84="Executive"),--('New Hires Forecast'!$H$5:$H$84&gt;=Exec!BV$3),'New Hires Forecast'!$Q$5:$Q$84,'New Hires Forecast'!$L$5:$L$84)),0),IF(YEAR(BV$3)=YEAR('New Hires Forecast'!$R$3),IF((BV$5=12),(SUMPRODUCT(--('New Hires Forecast'!$F$5:$F$84="Executive"),--('New Hires Forecast'!$H$5:$H$84&gt;=Exec!BV$3),'New Hires Forecast'!$R$5:$R$84,'New Hires Forecast'!$L$5:$L$84)),0),"New Year"))))),0)</f>
        <v>0</v>
      </c>
    </row>
    <row r="16" spans="2:74" x14ac:dyDescent="0.35">
      <c r="B16" s="797" t="s">
        <v>937</v>
      </c>
      <c r="C16" s="684">
        <f>IF(C$4="forecast",IF(YEAR(C$3)=YEAR(Headcount!$N$4),IF((C$5=12),(SUMPRODUCT(--(Headcount!$F$6:$F$92="Executive"),--(Headcount!$H$6:$H$92&gt;=Exec!C$3),Headcount!$N$6:$N$92,Headcount!$L$6:$L$92)),0),IF(YEAR(C$3)=YEAR(Headcount!$O$4),IF((C$5=12),(SUMPRODUCT(--(Headcount!$F$6:$F$92="Executive"),--(Headcount!$H$6:$H$92&gt;=Exec!C$3),Headcount!$O$6:$O$92,Headcount!$L$6:$L$92)),0),IF(YEAR(C$3)=YEAR(Headcount!$P$4),IF((C$5=12),(SUMPRODUCT(--(Headcount!$F$6:$F$92="Executive"),--(Headcount!$H$6:$H$92&gt;=Exec!C$3),Headcount!$P$6:$P$92,Headcount!$L$6:$L$92)),0),IF(YEAR(C$3)=YEAR(Headcount!$Q$4),IF((C$5=12),(SUMPRODUCT(--(Headcount!$F$6:$F$92="Executive"),--(Headcount!$H$6:$H$92&gt;=Exec!C$3),Headcount!$Q$6:$Q$92,Headcount!$L$6:$L$92)),0),IF(YEAR(C$3)=YEAR(Headcount!$R$4),IF((C$5=12),(SUMPRODUCT(--(Headcount!$F$6:$F$92="Executive"),--(Headcount!$H$6:$H$92&gt;=Exec!C$3),Headcount!$R$6:$R$92,Headcount!$L$6:$L$92)),0),"New Year"))))),'Dept. Cost Actuals'!G982)</f>
        <v>0</v>
      </c>
      <c r="D16" s="684">
        <f>IF(D$4="forecast",IF(YEAR(D$3)=YEAR(Headcount!$N$4),IF((D$5=12),(SUMPRODUCT(--(Headcount!$F$6:$F$92="Executive"),--(Headcount!$H$6:$H$92&gt;=Exec!D$3),Headcount!$N$6:$N$92,Headcount!$L$6:$L$92)),0),IF(YEAR(D$3)=YEAR(Headcount!$O$4),IF((D$5=12),(SUMPRODUCT(--(Headcount!$F$6:$F$92="Executive"),--(Headcount!$H$6:$H$92&gt;=Exec!D$3),Headcount!$O$6:$O$92,Headcount!$L$6:$L$92)),0),IF(YEAR(D$3)=YEAR(Headcount!$P$4),IF((D$5=12),(SUMPRODUCT(--(Headcount!$F$6:$F$92="Executive"),--(Headcount!$H$6:$H$92&gt;=Exec!D$3),Headcount!$P$6:$P$92,Headcount!$L$6:$L$92)),0),IF(YEAR(D$3)=YEAR(Headcount!$Q$4),IF((D$5=12),(SUMPRODUCT(--(Headcount!$F$6:$F$92="Executive"),--(Headcount!$H$6:$H$92&gt;=Exec!D$3),Headcount!$Q$6:$Q$92,Headcount!$L$6:$L$92)),0),IF(YEAR(D$3)=YEAR(Headcount!$R$4),IF((D$5=12),(SUMPRODUCT(--(Headcount!$F$6:$F$92="Executive"),--(Headcount!$H$6:$H$92&gt;=Exec!D$3),Headcount!$R$6:$R$92,Headcount!$L$6:$L$92)),0),"New Year"))))),'Dept. Cost Actuals'!H982)</f>
        <v>0</v>
      </c>
      <c r="E16" s="684">
        <f>IF(E$4="forecast",IF(YEAR(E$3)=YEAR(Headcount!$N$4),IF((E$5=12),(SUMPRODUCT(--(Headcount!$F$6:$F$92="Executive"),--(Headcount!$H$6:$H$92&gt;=Exec!E$3),Headcount!$N$6:$N$92,Headcount!$L$6:$L$92)),0),IF(YEAR(E$3)=YEAR(Headcount!$O$4),IF((E$5=12),(SUMPRODUCT(--(Headcount!$F$6:$F$92="Executive"),--(Headcount!$H$6:$H$92&gt;=Exec!E$3),Headcount!$O$6:$O$92,Headcount!$L$6:$L$92)),0),IF(YEAR(E$3)=YEAR(Headcount!$P$4),IF((E$5=12),(SUMPRODUCT(--(Headcount!$F$6:$F$92="Executive"),--(Headcount!$H$6:$H$92&gt;=Exec!E$3),Headcount!$P$6:$P$92,Headcount!$L$6:$L$92)),0),IF(YEAR(E$3)=YEAR(Headcount!$Q$4),IF((E$5=12),(SUMPRODUCT(--(Headcount!$F$6:$F$92="Executive"),--(Headcount!$H$6:$H$92&gt;=Exec!E$3),Headcount!$Q$6:$Q$92,Headcount!$L$6:$L$92)),0),IF(YEAR(E$3)=YEAR(Headcount!$R$4),IF((E$5=12),(SUMPRODUCT(--(Headcount!$F$6:$F$92="Executive"),--(Headcount!$H$6:$H$92&gt;=Exec!E$3),Headcount!$R$6:$R$92,Headcount!$L$6:$L$92)),0),"New Year"))))),'Dept. Cost Actuals'!I982)</f>
        <v>0</v>
      </c>
      <c r="F16" s="684">
        <f>IF(F$4="forecast",IF(YEAR(F$3)=YEAR(Headcount!$N$4),IF((F$5=12),(SUMPRODUCT(--(Headcount!$F$6:$F$92="Executive"),--(Headcount!$H$6:$H$92&gt;=Exec!F$3),Headcount!$N$6:$N$92,Headcount!$L$6:$L$92)),0),IF(YEAR(F$3)=YEAR(Headcount!$O$4),IF((F$5=12),(SUMPRODUCT(--(Headcount!$F$6:$F$92="Executive"),--(Headcount!$H$6:$H$92&gt;=Exec!F$3),Headcount!$O$6:$O$92,Headcount!$L$6:$L$92)),0),IF(YEAR(F$3)=YEAR(Headcount!$P$4),IF((F$5=12),(SUMPRODUCT(--(Headcount!$F$6:$F$92="Executive"),--(Headcount!$H$6:$H$92&gt;=Exec!F$3),Headcount!$P$6:$P$92,Headcount!$L$6:$L$92)),0),IF(YEAR(F$3)=YEAR(Headcount!$Q$4),IF((F$5=12),(SUMPRODUCT(--(Headcount!$F$6:$F$92="Executive"),--(Headcount!$H$6:$H$92&gt;=Exec!F$3),Headcount!$Q$6:$Q$92,Headcount!$L$6:$L$92)),0),IF(YEAR(F$3)=YEAR(Headcount!$R$4),IF((F$5=12),(SUMPRODUCT(--(Headcount!$F$6:$F$92="Executive"),--(Headcount!$H$6:$H$92&gt;=Exec!F$3),Headcount!$R$6:$R$92,Headcount!$L$6:$L$92)),0),"New Year"))))),'Dept. Cost Actuals'!J982)</f>
        <v>0</v>
      </c>
      <c r="G16" s="684">
        <f>IF(G$4="forecast",IF(YEAR(G$3)=YEAR(Headcount!$N$4),IF((G$5=12),(SUMPRODUCT(--(Headcount!$F$6:$F$92="Executive"),--(Headcount!$H$6:$H$92&gt;=Exec!G$3),Headcount!$N$6:$N$92,Headcount!$L$6:$L$92)),0),IF(YEAR(G$3)=YEAR(Headcount!$O$4),IF((G$5=12),(SUMPRODUCT(--(Headcount!$F$6:$F$92="Executive"),--(Headcount!$H$6:$H$92&gt;=Exec!G$3),Headcount!$O$6:$O$92,Headcount!$L$6:$L$92)),0),IF(YEAR(G$3)=YEAR(Headcount!$P$4),IF((G$5=12),(SUMPRODUCT(--(Headcount!$F$6:$F$92="Executive"),--(Headcount!$H$6:$H$92&gt;=Exec!G$3),Headcount!$P$6:$P$92,Headcount!$L$6:$L$92)),0),IF(YEAR(G$3)=YEAR(Headcount!$Q$4),IF((G$5=12),(SUMPRODUCT(--(Headcount!$F$6:$F$92="Executive"),--(Headcount!$H$6:$H$92&gt;=Exec!G$3),Headcount!$Q$6:$Q$92,Headcount!$L$6:$L$92)),0),IF(YEAR(G$3)=YEAR(Headcount!$R$4),IF((G$5=12),(SUMPRODUCT(--(Headcount!$F$6:$F$92="Executive"),--(Headcount!$H$6:$H$92&gt;=Exec!G$3),Headcount!$R$6:$R$92,Headcount!$L$6:$L$92)),0),"New Year"))))),'Dept. Cost Actuals'!K982)</f>
        <v>0</v>
      </c>
      <c r="H16" s="684">
        <f>IF(H$4="forecast",IF(YEAR(H$3)=YEAR(Headcount!$N$4),IF((H$5=12),(SUMPRODUCT(--(Headcount!$F$6:$F$92="Executive"),--(Headcount!$H$6:$H$92&gt;=Exec!H$3),Headcount!$N$6:$N$92,Headcount!$L$6:$L$92)),0),IF(YEAR(H$3)=YEAR(Headcount!$O$4),IF((H$5=12),(SUMPRODUCT(--(Headcount!$F$6:$F$92="Executive"),--(Headcount!$H$6:$H$92&gt;=Exec!H$3),Headcount!$O$6:$O$92,Headcount!$L$6:$L$92)),0),IF(YEAR(H$3)=YEAR(Headcount!$P$4),IF((H$5=12),(SUMPRODUCT(--(Headcount!$F$6:$F$92="Executive"),--(Headcount!$H$6:$H$92&gt;=Exec!H$3),Headcount!$P$6:$P$92,Headcount!$L$6:$L$92)),0),IF(YEAR(H$3)=YEAR(Headcount!$Q$4),IF((H$5=12),(SUMPRODUCT(--(Headcount!$F$6:$F$92="Executive"),--(Headcount!$H$6:$H$92&gt;=Exec!H$3),Headcount!$Q$6:$Q$92,Headcount!$L$6:$L$92)),0),IF(YEAR(H$3)=YEAR(Headcount!$R$4),IF((H$5=12),(SUMPRODUCT(--(Headcount!$F$6:$F$92="Executive"),--(Headcount!$H$6:$H$92&gt;=Exec!H$3),Headcount!$R$6:$R$92,Headcount!$L$6:$L$92)),0),"New Year"))))),'Dept. Cost Actuals'!L982)</f>
        <v>0</v>
      </c>
      <c r="I16" s="684">
        <f>IF(I$4="forecast",IF(YEAR(I$3)=YEAR(Headcount!$N$4),IF((I$5=12),(SUMPRODUCT(--(Headcount!$F$6:$F$92="Executive"),--(Headcount!$H$6:$H$92&gt;=Exec!I$3),Headcount!$N$6:$N$92,Headcount!$L$6:$L$92)),0),IF(YEAR(I$3)=YEAR(Headcount!$O$4),IF((I$5=12),(SUMPRODUCT(--(Headcount!$F$6:$F$92="Executive"),--(Headcount!$H$6:$H$92&gt;=Exec!I$3),Headcount!$O$6:$O$92,Headcount!$L$6:$L$92)),0),IF(YEAR(I$3)=YEAR(Headcount!$P$4),IF((I$5=12),(SUMPRODUCT(--(Headcount!$F$6:$F$92="Executive"),--(Headcount!$H$6:$H$92&gt;=Exec!I$3),Headcount!$P$6:$P$92,Headcount!$L$6:$L$92)),0),IF(YEAR(I$3)=YEAR(Headcount!$Q$4),IF((I$5=12),(SUMPRODUCT(--(Headcount!$F$6:$F$92="Executive"),--(Headcount!$H$6:$H$92&gt;=Exec!I$3),Headcount!$Q$6:$Q$92,Headcount!$L$6:$L$92)),0),IF(YEAR(I$3)=YEAR(Headcount!$R$4),IF((I$5=12),(SUMPRODUCT(--(Headcount!$F$6:$F$92="Executive"),--(Headcount!$H$6:$H$92&gt;=Exec!I$3),Headcount!$R$6:$R$92,Headcount!$L$6:$L$92)),0),"New Year"))))),'Dept. Cost Actuals'!M982)</f>
        <v>0</v>
      </c>
      <c r="J16" s="684">
        <f>IF(J$4="forecast",IF(YEAR(J$3)=YEAR(Headcount!$N$4),IF((J$5=12),(SUMPRODUCT(--(Headcount!$F$6:$F$92="Executive"),--(Headcount!$H$6:$H$92&gt;=Exec!J$3),Headcount!$N$6:$N$92,Headcount!$L$6:$L$92)),0),IF(YEAR(J$3)=YEAR(Headcount!$O$4),IF((J$5=12),(SUMPRODUCT(--(Headcount!$F$6:$F$92="Executive"),--(Headcount!$H$6:$H$92&gt;=Exec!J$3),Headcount!$O$6:$O$92,Headcount!$L$6:$L$92)),0),IF(YEAR(J$3)=YEAR(Headcount!$P$4),IF((J$5=12),(SUMPRODUCT(--(Headcount!$F$6:$F$92="Executive"),--(Headcount!$H$6:$H$92&gt;=Exec!J$3),Headcount!$P$6:$P$92,Headcount!$L$6:$L$92)),0),IF(YEAR(J$3)=YEAR(Headcount!$Q$4),IF((J$5=12),(SUMPRODUCT(--(Headcount!$F$6:$F$92="Executive"),--(Headcount!$H$6:$H$92&gt;=Exec!J$3),Headcount!$Q$6:$Q$92,Headcount!$L$6:$L$92)),0),IF(YEAR(J$3)=YEAR(Headcount!$R$4),IF((J$5=12),(SUMPRODUCT(--(Headcount!$F$6:$F$92="Executive"),--(Headcount!$H$6:$H$92&gt;=Exec!J$3),Headcount!$R$6:$R$92,Headcount!$L$6:$L$92)),0),"New Year"))))),'Dept. Cost Actuals'!N982)</f>
        <v>0</v>
      </c>
      <c r="K16" s="684">
        <f>IF(K$4="forecast",IF(YEAR(K$3)=YEAR(Headcount!$N$4),IF((K$5=12),(SUMPRODUCT(--(Headcount!$F$6:$F$92="Executive"),--(Headcount!$H$6:$H$92&gt;=Exec!K$3),Headcount!$N$6:$N$92,Headcount!$L$6:$L$92)),0),IF(YEAR(K$3)=YEAR(Headcount!$O$4),IF((K$5=12),(SUMPRODUCT(--(Headcount!$F$6:$F$92="Executive"),--(Headcount!$H$6:$H$92&gt;=Exec!K$3),Headcount!$O$6:$O$92,Headcount!$L$6:$L$92)),0),IF(YEAR(K$3)=YEAR(Headcount!$P$4),IF((K$5=12),(SUMPRODUCT(--(Headcount!$F$6:$F$92="Executive"),--(Headcount!$H$6:$H$92&gt;=Exec!K$3),Headcount!$P$6:$P$92,Headcount!$L$6:$L$92)),0),IF(YEAR(K$3)=YEAR(Headcount!$Q$4),IF((K$5=12),(SUMPRODUCT(--(Headcount!$F$6:$F$92="Executive"),--(Headcount!$H$6:$H$92&gt;=Exec!K$3),Headcount!$Q$6:$Q$92,Headcount!$L$6:$L$92)),0),IF(YEAR(K$3)=YEAR(Headcount!$R$4),IF((K$5=12),(SUMPRODUCT(--(Headcount!$F$6:$F$92="Executive"),--(Headcount!$H$6:$H$92&gt;=Exec!K$3),Headcount!$R$6:$R$92,Headcount!$L$6:$L$92)),0),"New Year"))))),'Dept. Cost Actuals'!O982)</f>
        <v>0</v>
      </c>
      <c r="L16" s="684">
        <f>IF(L$4="forecast",IF(YEAR(L$3)=YEAR(Headcount!$N$4),IF((L$5=12),(SUMPRODUCT(--(Headcount!$F$6:$F$92="Executive"),--(Headcount!$H$6:$H$92&gt;=Exec!L$3),Headcount!$N$6:$N$92,Headcount!$L$6:$L$92)),0),IF(YEAR(L$3)=YEAR(Headcount!$O$4),IF((L$5=12),(SUMPRODUCT(--(Headcount!$F$6:$F$92="Executive"),--(Headcount!$H$6:$H$92&gt;=Exec!L$3),Headcount!$O$6:$O$92,Headcount!$L$6:$L$92)),0),IF(YEAR(L$3)=YEAR(Headcount!$P$4),IF((L$5=12),(SUMPRODUCT(--(Headcount!$F$6:$F$92="Executive"),--(Headcount!$H$6:$H$92&gt;=Exec!L$3),Headcount!$P$6:$P$92,Headcount!$L$6:$L$92)),0),IF(YEAR(L$3)=YEAR(Headcount!$Q$4),IF((L$5=12),(SUMPRODUCT(--(Headcount!$F$6:$F$92="Executive"),--(Headcount!$H$6:$H$92&gt;=Exec!L$3),Headcount!$Q$6:$Q$92,Headcount!$L$6:$L$92)),0),IF(YEAR(L$3)=YEAR(Headcount!$R$4),IF((L$5=12),(SUMPRODUCT(--(Headcount!$F$6:$F$92="Executive"),--(Headcount!$H$6:$H$92&gt;=Exec!L$3),Headcount!$R$6:$R$92,Headcount!$L$6:$L$92)),0),"New Year"))))),'Dept. Cost Actuals'!P982)</f>
        <v>0</v>
      </c>
      <c r="M16" s="684">
        <f>IF(M$4="forecast",IF(YEAR(M$3)=YEAR(Headcount!$N$4),IF((M$5=12),(SUMPRODUCT(--(Headcount!$F$6:$F$92="Executive"),--(Headcount!$H$6:$H$92&gt;=Exec!M$3),Headcount!$N$6:$N$92,Headcount!$L$6:$L$92)),0),IF(YEAR(M$3)=YEAR(Headcount!$O$4),IF((M$5=12),(SUMPRODUCT(--(Headcount!$F$6:$F$92="Executive"),--(Headcount!$H$6:$H$92&gt;=Exec!M$3),Headcount!$O$6:$O$92,Headcount!$L$6:$L$92)),0),IF(YEAR(M$3)=YEAR(Headcount!$P$4),IF((M$5=12),(SUMPRODUCT(--(Headcount!$F$6:$F$92="Executive"),--(Headcount!$H$6:$H$92&gt;=Exec!M$3),Headcount!$P$6:$P$92,Headcount!$L$6:$L$92)),0),IF(YEAR(M$3)=YEAR(Headcount!$Q$4),IF((M$5=12),(SUMPRODUCT(--(Headcount!$F$6:$F$92="Executive"),--(Headcount!$H$6:$H$92&gt;=Exec!M$3),Headcount!$Q$6:$Q$92,Headcount!$L$6:$L$92)),0),IF(YEAR(M$3)=YEAR(Headcount!$R$4),IF((M$5=12),(SUMPRODUCT(--(Headcount!$F$6:$F$92="Executive"),--(Headcount!$H$6:$H$92&gt;=Exec!M$3),Headcount!$R$6:$R$92,Headcount!$L$6:$L$92)),0),"New Year"))))),'Dept. Cost Actuals'!Q982)</f>
        <v>0</v>
      </c>
      <c r="N16" s="684">
        <f>IF(N$4="forecast",IF(YEAR(N$3)=YEAR(Headcount!$N$4),IF((N$5=12),(SUMPRODUCT(--(Headcount!$F$6:$F$92="Executive"),--(Headcount!$H$6:$H$92&gt;=Exec!N$3),Headcount!$N$6:$N$92,Headcount!$L$6:$L$92)),0),IF(YEAR(N$3)=YEAR(Headcount!$O$4),IF((N$5=12),(SUMPRODUCT(--(Headcount!$F$6:$F$92="Executive"),--(Headcount!$H$6:$H$92&gt;=Exec!N$3),Headcount!$O$6:$O$92,Headcount!$L$6:$L$92)),0),IF(YEAR(N$3)=YEAR(Headcount!$P$4),IF((N$5=12),(SUMPRODUCT(--(Headcount!$F$6:$F$92="Executive"),--(Headcount!$H$6:$H$92&gt;=Exec!N$3),Headcount!$P$6:$P$92,Headcount!$L$6:$L$92)),0),IF(YEAR(N$3)=YEAR(Headcount!$Q$4),IF((N$5=12),(SUMPRODUCT(--(Headcount!$F$6:$F$92="Executive"),--(Headcount!$H$6:$H$92&gt;=Exec!N$3),Headcount!$Q$6:$Q$92,Headcount!$L$6:$L$92)),0),IF(YEAR(N$3)=YEAR(Headcount!$R$4),IF((N$5=12),(SUMPRODUCT(--(Headcount!$F$6:$F$92="Executive"),--(Headcount!$H$6:$H$92&gt;=Exec!N$3),Headcount!$R$6:$R$92,Headcount!$L$6:$L$92)),0),"New Year"))))),'Dept. Cost Actuals'!R982)</f>
        <v>0</v>
      </c>
      <c r="O16" s="684">
        <f>IF(O$4="forecast",IF(YEAR(O$3)=YEAR(Headcount!$N$4),IF((O$5=12),(SUMPRODUCT(--(Headcount!$F$6:$F$92="Executive"),--(Headcount!$H$6:$H$92&gt;=Exec!O$3),Headcount!$N$6:$N$92,Headcount!$L$6:$L$92)),0),IF(YEAR(O$3)=YEAR(Headcount!$O$4),IF((O$5=12),(SUMPRODUCT(--(Headcount!$F$6:$F$92="Executive"),--(Headcount!$H$6:$H$92&gt;=Exec!O$3),Headcount!$O$6:$O$92,Headcount!$L$6:$L$92)),0),IF(YEAR(O$3)=YEAR(Headcount!$P$4),IF((O$5=12),(SUMPRODUCT(--(Headcount!$F$6:$F$92="Executive"),--(Headcount!$H$6:$H$92&gt;=Exec!O$3),Headcount!$P$6:$P$92,Headcount!$L$6:$L$92)),0),IF(YEAR(O$3)=YEAR(Headcount!$Q$4),IF((O$5=12),(SUMPRODUCT(--(Headcount!$F$6:$F$92="Executive"),--(Headcount!$H$6:$H$92&gt;=Exec!O$3),Headcount!$Q$6:$Q$92,Headcount!$L$6:$L$92)),0),IF(YEAR(O$3)=YEAR(Headcount!$R$4),IF((O$5=12),(SUMPRODUCT(--(Headcount!$F$6:$F$92="Executive"),--(Headcount!$H$6:$H$92&gt;=Exec!O$3),Headcount!$R$6:$R$92,Headcount!$L$6:$L$92)),0),"New Year"))))),'Dept. Cost Actuals'!S982)</f>
        <v>29892.83</v>
      </c>
      <c r="P16" s="684">
        <f>IF(P$4="forecast",IF(YEAR(P$3)=YEAR(Headcount!$N$4),IF((P$5=12),(SUMPRODUCT(--(Headcount!$F$6:$F$92="Executive"),--(Headcount!$H$6:$H$92&gt;=Exec!P$3),Headcount!$N$6:$N$92,Headcount!$L$6:$L$92)),0),IF(YEAR(P$3)=YEAR(Headcount!$O$4),IF((P$5=12),(SUMPRODUCT(--(Headcount!$F$6:$F$92="Executive"),--(Headcount!$H$6:$H$92&gt;=Exec!P$3),Headcount!$O$6:$O$92,Headcount!$L$6:$L$92)),0),IF(YEAR(P$3)=YEAR(Headcount!$P$4),IF((P$5=12),(SUMPRODUCT(--(Headcount!$F$6:$F$92="Executive"),--(Headcount!$H$6:$H$92&gt;=Exec!P$3),Headcount!$P$6:$P$92,Headcount!$L$6:$L$92)),0),IF(YEAR(P$3)=YEAR(Headcount!$Q$4),IF((P$5=12),(SUMPRODUCT(--(Headcount!$F$6:$F$92="Executive"),--(Headcount!$H$6:$H$92&gt;=Exec!P$3),Headcount!$Q$6:$Q$92,Headcount!$L$6:$L$92)),0),IF(YEAR(P$3)=YEAR(Headcount!$R$4),IF((P$5=12),(SUMPRODUCT(--(Headcount!$F$6:$F$92="Executive"),--(Headcount!$H$6:$H$92&gt;=Exec!P$3),Headcount!$R$6:$R$92,Headcount!$L$6:$L$92)),0),"New Year"))))),'Dept. Cost Actuals'!T982)</f>
        <v>29892.83</v>
      </c>
      <c r="Q16" s="684">
        <f>IF(Q$4="forecast",IF(YEAR(Q$3)=YEAR(Headcount!$N$4),IF((Q$5=12),(SUMPRODUCT(--(Headcount!$F$6:$F$92="Executive"),--(Headcount!$H$6:$H$92&gt;=Exec!Q$3),Headcount!$N$6:$N$92,Headcount!$L$6:$L$92)),0),IF(YEAR(Q$3)=YEAR(Headcount!$O$4),IF((Q$5=12),(SUMPRODUCT(--(Headcount!$F$6:$F$92="Executive"),--(Headcount!$H$6:$H$92&gt;=Exec!Q$3),Headcount!$O$6:$O$92,Headcount!$L$6:$L$92)),0),IF(YEAR(Q$3)=YEAR(Headcount!$P$4),IF((Q$5=12),(SUMPRODUCT(--(Headcount!$F$6:$F$92="Executive"),--(Headcount!$H$6:$H$92&gt;=Exec!Q$3),Headcount!$P$6:$P$92,Headcount!$L$6:$L$92)),0),IF(YEAR(Q$3)=YEAR(Headcount!$Q$4),IF((Q$5=12),(SUMPRODUCT(--(Headcount!$F$6:$F$92="Executive"),--(Headcount!$H$6:$H$92&gt;=Exec!Q$3),Headcount!$Q$6:$Q$92,Headcount!$L$6:$L$92)),0),IF(YEAR(Q$3)=YEAR(Headcount!$R$4),IF((Q$5=12),(SUMPRODUCT(--(Headcount!$F$6:$F$92="Executive"),--(Headcount!$H$6:$H$92&gt;=Exec!Q$3),Headcount!$R$6:$R$92,Headcount!$L$6:$L$92)),0),"New Year"))))),'Dept. Cost Actuals'!U982)</f>
        <v>29892.83</v>
      </c>
      <c r="R16" s="684">
        <f>IF(R$4="forecast",IF(YEAR(R$3)=YEAR(Headcount!$N$4),IF((R$5=12),(SUMPRODUCT(--(Headcount!$F$6:$F$92="Executive"),--(Headcount!$H$6:$H$92&gt;=Exec!R$3),Headcount!$N$6:$N$92,Headcount!$L$6:$L$92)),0),IF(YEAR(R$3)=YEAR(Headcount!$O$4),IF((R$5=12),(SUMPRODUCT(--(Headcount!$F$6:$F$92="Executive"),--(Headcount!$H$6:$H$92&gt;=Exec!R$3),Headcount!$O$6:$O$92,Headcount!$L$6:$L$92)),0),IF(YEAR(R$3)=YEAR(Headcount!$P$4),IF((R$5=12),(SUMPRODUCT(--(Headcount!$F$6:$F$92="Executive"),--(Headcount!$H$6:$H$92&gt;=Exec!R$3),Headcount!$P$6:$P$92,Headcount!$L$6:$L$92)),0),IF(YEAR(R$3)=YEAR(Headcount!$Q$4),IF((R$5=12),(SUMPRODUCT(--(Headcount!$F$6:$F$92="Executive"),--(Headcount!$H$6:$H$92&gt;=Exec!R$3),Headcount!$Q$6:$Q$92,Headcount!$L$6:$L$92)),0),IF(YEAR(R$3)=YEAR(Headcount!$R$4),IF((R$5=12),(SUMPRODUCT(--(Headcount!$F$6:$F$92="Executive"),--(Headcount!$H$6:$H$92&gt;=Exec!R$3),Headcount!$R$6:$R$92,Headcount!$L$6:$L$92)),0),"New Year"))))),'Dept. Cost Actuals'!V982)</f>
        <v>29892.83</v>
      </c>
      <c r="S16" s="684">
        <f>IF(S$4="forecast",IF(YEAR(S$3)=YEAR(Headcount!$N$4),IF((S$5=12),(SUMPRODUCT(--(Headcount!$F$6:$F$92="Executive"),--(Headcount!$H$6:$H$92&gt;=Exec!S$3),Headcount!$N$6:$N$92,Headcount!$L$6:$L$92)),0),IF(YEAR(S$3)=YEAR(Headcount!$O$4),IF((S$5=12),(SUMPRODUCT(--(Headcount!$F$6:$F$92="Executive"),--(Headcount!$H$6:$H$92&gt;=Exec!S$3),Headcount!$O$6:$O$92,Headcount!$L$6:$L$92)),0),IF(YEAR(S$3)=YEAR(Headcount!$P$4),IF((S$5=12),(SUMPRODUCT(--(Headcount!$F$6:$F$92="Executive"),--(Headcount!$H$6:$H$92&gt;=Exec!S$3),Headcount!$P$6:$P$92,Headcount!$L$6:$L$92)),0),IF(YEAR(S$3)=YEAR(Headcount!$Q$4),IF((S$5=12),(SUMPRODUCT(--(Headcount!$F$6:$F$92="Executive"),--(Headcount!$H$6:$H$92&gt;=Exec!S$3),Headcount!$Q$6:$Q$92,Headcount!$L$6:$L$92)),0),IF(YEAR(S$3)=YEAR(Headcount!$R$4),IF((S$5=12),(SUMPRODUCT(--(Headcount!$F$6:$F$92="Executive"),--(Headcount!$H$6:$H$92&gt;=Exec!S$3),Headcount!$R$6:$R$92,Headcount!$L$6:$L$92)),0),"New Year"))))),'Dept. Cost Actuals'!W982)</f>
        <v>29892.83</v>
      </c>
      <c r="T16" s="684">
        <f>IF(T$4="forecast",IF(YEAR(T$3)=YEAR(Headcount!$N$4),IF((T$5=12),(SUMPRODUCT(--(Headcount!$F$6:$F$92="Executive"),--(Headcount!$H$6:$H$92&gt;=Exec!T$3),Headcount!$N$6:$N$92,Headcount!$L$6:$L$92)),0),IF(YEAR(T$3)=YEAR(Headcount!$O$4),IF((T$5=12),(SUMPRODUCT(--(Headcount!$F$6:$F$92="Executive"),--(Headcount!$H$6:$H$92&gt;=Exec!T$3),Headcount!$O$6:$O$92,Headcount!$L$6:$L$92)),0),IF(YEAR(T$3)=YEAR(Headcount!$P$4),IF((T$5=12),(SUMPRODUCT(--(Headcount!$F$6:$F$92="Executive"),--(Headcount!$H$6:$H$92&gt;=Exec!T$3),Headcount!$P$6:$P$92,Headcount!$L$6:$L$92)),0),IF(YEAR(T$3)=YEAR(Headcount!$Q$4),IF((T$5=12),(SUMPRODUCT(--(Headcount!$F$6:$F$92="Executive"),--(Headcount!$H$6:$H$92&gt;=Exec!T$3),Headcount!$Q$6:$Q$92,Headcount!$L$6:$L$92)),0),IF(YEAR(T$3)=YEAR(Headcount!$R$4),IF((T$5=12),(SUMPRODUCT(--(Headcount!$F$6:$F$92="Executive"),--(Headcount!$H$6:$H$92&gt;=Exec!T$3),Headcount!$R$6:$R$92,Headcount!$L$6:$L$92)),0),"New Year"))))),'Dept. Cost Actuals'!X982)</f>
        <v>29892.83</v>
      </c>
      <c r="U16" s="684">
        <f>IF(U$4="forecast",IF(YEAR(U$3)=YEAR(Headcount!$N$4),IF((U$5=12),(SUMPRODUCT(--(Headcount!$F$6:$F$92="Executive"),--(Headcount!$H$6:$H$92&gt;=Exec!U$3),Headcount!$N$6:$N$92,Headcount!$L$6:$L$92)),0),IF(YEAR(U$3)=YEAR(Headcount!$O$4),IF((U$5=12),(SUMPRODUCT(--(Headcount!$F$6:$F$92="Executive"),--(Headcount!$H$6:$H$92&gt;=Exec!U$3),Headcount!$O$6:$O$92,Headcount!$L$6:$L$92)),0),IF(YEAR(U$3)=YEAR(Headcount!$P$4),IF((U$5=12),(SUMPRODUCT(--(Headcount!$F$6:$F$92="Executive"),--(Headcount!$H$6:$H$92&gt;=Exec!U$3),Headcount!$P$6:$P$92,Headcount!$L$6:$L$92)),0),IF(YEAR(U$3)=YEAR(Headcount!$Q$4),IF((U$5=12),(SUMPRODUCT(--(Headcount!$F$6:$F$92="Executive"),--(Headcount!$H$6:$H$92&gt;=Exec!U$3),Headcount!$Q$6:$Q$92,Headcount!$L$6:$L$92)),0),IF(YEAR(U$3)=YEAR(Headcount!$R$4),IF((U$5=12),(SUMPRODUCT(--(Headcount!$F$6:$F$92="Executive"),--(Headcount!$H$6:$H$92&gt;=Exec!U$3),Headcount!$R$6:$R$92,Headcount!$L$6:$L$92)),0),"New Year"))))),'Dept. Cost Actuals'!Y982)</f>
        <v>29892.83</v>
      </c>
      <c r="V16" s="684">
        <f>IF(V$4="forecast",IF(YEAR(V$3)=YEAR(Headcount!$N$4),IF((V$5=12),(SUMPRODUCT(--(Headcount!$F$6:$F$92="Executive"),--(Headcount!$H$6:$H$92&gt;=Exec!V$3),Headcount!$N$6:$N$92,Headcount!$L$6:$L$92)),0),IF(YEAR(V$3)=YEAR(Headcount!$O$4),IF((V$5=12),(SUMPRODUCT(--(Headcount!$F$6:$F$92="Executive"),--(Headcount!$H$6:$H$92&gt;=Exec!V$3),Headcount!$O$6:$O$92,Headcount!$L$6:$L$92)),0),IF(YEAR(V$3)=YEAR(Headcount!$P$4),IF((V$5=12),(SUMPRODUCT(--(Headcount!$F$6:$F$92="Executive"),--(Headcount!$H$6:$H$92&gt;=Exec!V$3),Headcount!$P$6:$P$92,Headcount!$L$6:$L$92)),0),IF(YEAR(V$3)=YEAR(Headcount!$Q$4),IF((V$5=12),(SUMPRODUCT(--(Headcount!$F$6:$F$92="Executive"),--(Headcount!$H$6:$H$92&gt;=Exec!V$3),Headcount!$Q$6:$Q$92,Headcount!$L$6:$L$92)),0),IF(YEAR(V$3)=YEAR(Headcount!$R$4),IF((V$5=12),(SUMPRODUCT(--(Headcount!$F$6:$F$92="Executive"),--(Headcount!$H$6:$H$92&gt;=Exec!V$3),Headcount!$R$6:$R$92,Headcount!$L$6:$L$92)),0),"New Year"))))),'Dept. Cost Actuals'!Z982)</f>
        <v>29892.83</v>
      </c>
      <c r="W16" s="684">
        <f>IF(W$4="forecast",IF(YEAR(W$3)=YEAR(Headcount!$N$4),IF((W$5=12),(SUMPRODUCT(--(Headcount!$F$6:$F$92="Executive"),--(Headcount!$H$6:$H$92&gt;=Exec!W$3),Headcount!$N$6:$N$92,Headcount!$L$6:$L$92)),0),IF(YEAR(W$3)=YEAR(Headcount!$O$4),IF((W$5=12),(SUMPRODUCT(--(Headcount!$F$6:$F$92="Executive"),--(Headcount!$H$6:$H$92&gt;=Exec!W$3),Headcount!$O$6:$O$92,Headcount!$L$6:$L$92)),0),IF(YEAR(W$3)=YEAR(Headcount!$P$4),IF((W$5=12),(SUMPRODUCT(--(Headcount!$F$6:$F$92="Executive"),--(Headcount!$H$6:$H$92&gt;=Exec!W$3),Headcount!$P$6:$P$92,Headcount!$L$6:$L$92)),0),IF(YEAR(W$3)=YEAR(Headcount!$Q$4),IF((W$5=12),(SUMPRODUCT(--(Headcount!$F$6:$F$92="Executive"),--(Headcount!$H$6:$H$92&gt;=Exec!W$3),Headcount!$Q$6:$Q$92,Headcount!$L$6:$L$92)),0),IF(YEAR(W$3)=YEAR(Headcount!$R$4),IF((W$5=12),(SUMPRODUCT(--(Headcount!$F$6:$F$92="Executive"),--(Headcount!$H$6:$H$92&gt;=Exec!W$3),Headcount!$R$6:$R$92,Headcount!$L$6:$L$92)),0),"New Year"))))),'Dept. Cost Actuals'!AA982)</f>
        <v>30137.82</v>
      </c>
      <c r="X16" s="684">
        <f>IF(X$4="forecast",IF(YEAR(X$3)=YEAR(Headcount!$N$4),IF((X$5=12),(SUMPRODUCT(--(Headcount!$F$6:$F$92="Executive"),--(Headcount!$H$6:$H$92&gt;=Exec!X$3),Headcount!$N$6:$N$92,Headcount!$L$6:$L$92)),0),IF(YEAR(X$3)=YEAR(Headcount!$O$4),IF((X$5=12),(SUMPRODUCT(--(Headcount!$F$6:$F$92="Executive"),--(Headcount!$H$6:$H$92&gt;=Exec!X$3),Headcount!$O$6:$O$92,Headcount!$L$6:$L$92)),0),IF(YEAR(X$3)=YEAR(Headcount!$P$4),IF((X$5=12),(SUMPRODUCT(--(Headcount!$F$6:$F$92="Executive"),--(Headcount!$H$6:$H$92&gt;=Exec!X$3),Headcount!$P$6:$P$92,Headcount!$L$6:$L$92)),0),IF(YEAR(X$3)=YEAR(Headcount!$Q$4),IF((X$5=12),(SUMPRODUCT(--(Headcount!$F$6:$F$92="Executive"),--(Headcount!$H$6:$H$92&gt;=Exec!X$3),Headcount!$Q$6:$Q$92,Headcount!$L$6:$L$92)),0),IF(YEAR(X$3)=YEAR(Headcount!$R$4),IF((X$5=12),(SUMPRODUCT(--(Headcount!$F$6:$F$92="Executive"),--(Headcount!$H$6:$H$92&gt;=Exec!X$3),Headcount!$R$6:$R$92,Headcount!$L$6:$L$92)),0),"New Year"))))),'Dept. Cost Actuals'!AB982)</f>
        <v>29892.83</v>
      </c>
      <c r="Y16" s="684">
        <f>IF(Y$4="forecast",IF(YEAR(Y$3)=YEAR(Headcount!$N$4),IF((Y$5=12),(SUMPRODUCT(--(Headcount!$F$6:$F$92="Executive"),--(Headcount!$H$6:$H$92&gt;=Exec!Y$3),Headcount!$N$6:$N$92,Headcount!$L$6:$L$92)),0),IF(YEAR(Y$3)=YEAR(Headcount!$O$4),IF((Y$5=12),(SUMPRODUCT(--(Headcount!$F$6:$F$92="Executive"),--(Headcount!$H$6:$H$92&gt;=Exec!Y$3),Headcount!$O$6:$O$92,Headcount!$L$6:$L$92)),0),IF(YEAR(Y$3)=YEAR(Headcount!$P$4),IF((Y$5=12),(SUMPRODUCT(--(Headcount!$F$6:$F$92="Executive"),--(Headcount!$H$6:$H$92&gt;=Exec!Y$3),Headcount!$P$6:$P$92,Headcount!$L$6:$L$92)),0),IF(YEAR(Y$3)=YEAR(Headcount!$Q$4),IF((Y$5=12),(SUMPRODUCT(--(Headcount!$F$6:$F$92="Executive"),--(Headcount!$H$6:$H$92&gt;=Exec!Y$3),Headcount!$Q$6:$Q$92,Headcount!$L$6:$L$92)),0),IF(YEAR(Y$3)=YEAR(Headcount!$R$4),IF((Y$5=12),(SUMPRODUCT(--(Headcount!$F$6:$F$92="Executive"),--(Headcount!$H$6:$H$92&gt;=Exec!Y$3),Headcount!$R$6:$R$92,Headcount!$L$6:$L$92)),0),"New Year"))))),'Dept. Cost Actuals'!AC982)</f>
        <v>29892.83</v>
      </c>
      <c r="Z16" s="684">
        <f>IF(Z$4="forecast",IF(YEAR(Z$3)=YEAR(Headcount!$N$4),IF((Z$5=12),(SUMPRODUCT(--(Headcount!$F$6:$F$92="Executive"),--(Headcount!$H$6:$H$92&gt;=Exec!Z$3),Headcount!$N$6:$N$92,Headcount!$L$6:$L$92)),0),IF(YEAR(Z$3)=YEAR(Headcount!$O$4),IF((Z$5=12),(SUMPRODUCT(--(Headcount!$F$6:$F$92="Executive"),--(Headcount!$H$6:$H$92&gt;=Exec!Z$3),Headcount!$O$6:$O$92,Headcount!$L$6:$L$92)),0),IF(YEAR(Z$3)=YEAR(Headcount!$P$4),IF((Z$5=12),(SUMPRODUCT(--(Headcount!$F$6:$F$92="Executive"),--(Headcount!$H$6:$H$92&gt;=Exec!Z$3),Headcount!$P$6:$P$92,Headcount!$L$6:$L$92)),0),IF(YEAR(Z$3)=YEAR(Headcount!$Q$4),IF((Z$5=12),(SUMPRODUCT(--(Headcount!$F$6:$F$92="Executive"),--(Headcount!$H$6:$H$92&gt;=Exec!Z$3),Headcount!$Q$6:$Q$92,Headcount!$L$6:$L$92)),0),IF(YEAR(Z$3)=YEAR(Headcount!$R$4),IF((Z$5=12),(SUMPRODUCT(--(Headcount!$F$6:$F$92="Executive"),--(Headcount!$H$6:$H$92&gt;=Exec!Z$3),Headcount!$R$6:$R$92,Headcount!$L$6:$L$92)),0),"New Year"))))),'Dept. Cost Actuals'!AD982)</f>
        <v>-51357.13</v>
      </c>
      <c r="AA16" s="684">
        <f>IF(AA$4="forecast",IF(YEAR(AA$3)=YEAR(Headcount!$N$4),IF((AA$5=12),(SUMPRODUCT(--(Headcount!$F$6:$F$92="Executive"),--(Headcount!$H$6:$H$92&gt;=Exec!AA$3),Headcount!$N$6:$N$92,Headcount!$L$6:$L$92)),0),IF(YEAR(AA$3)=YEAR(Headcount!$O$4),IF((AA$5=12),(SUMPRODUCT(--(Headcount!$F$6:$F$92="Executive"),--(Headcount!$H$6:$H$92&gt;=Exec!AA$3),Headcount!$O$6:$O$92,Headcount!$L$6:$L$92)),0),IF(YEAR(AA$3)=YEAR(Headcount!$P$4),IF((AA$5=12),(SUMPRODUCT(--(Headcount!$F$6:$F$92="Executive"),--(Headcount!$H$6:$H$92&gt;=Exec!AA$3),Headcount!$P$6:$P$92,Headcount!$L$6:$L$92)),0),IF(YEAR(AA$3)=YEAR(Headcount!$Q$4),IF((AA$5=12),(SUMPRODUCT(--(Headcount!$F$6:$F$92="Executive"),--(Headcount!$H$6:$H$92&gt;=Exec!AA$3),Headcount!$Q$6:$Q$92,Headcount!$L$6:$L$92)),0),IF(YEAR(AA$3)=YEAR(Headcount!$R$4),IF((AA$5=12),(SUMPRODUCT(--(Headcount!$F$6:$F$92="Executive"),--(Headcount!$H$6:$H$92&gt;=Exec!AA$3),Headcount!$R$6:$R$92,Headcount!$L$6:$L$92)),0),"New Year"))))),'Dept. Cost Actuals'!AE982)</f>
        <v>0</v>
      </c>
      <c r="AB16" s="684">
        <f>IF(AB$4="forecast",IF(YEAR(AB$3)=YEAR(Headcount!$N$4),IF((AB$5=12),(SUMPRODUCT(--(Headcount!$F$6:$F$92="Executive"),--(Headcount!$H$6:$H$92&gt;=Exec!AB$3),Headcount!$N$6:$N$92,Headcount!$L$6:$L$92)),0),IF(YEAR(AB$3)=YEAR(Headcount!$O$4),IF((AB$5=12),(SUMPRODUCT(--(Headcount!$F$6:$F$92="Executive"),--(Headcount!$H$6:$H$92&gt;=Exec!AB$3),Headcount!$O$6:$O$92,Headcount!$L$6:$L$92)),0),IF(YEAR(AB$3)=YEAR(Headcount!$P$4),IF((AB$5=12),(SUMPRODUCT(--(Headcount!$F$6:$F$92="Executive"),--(Headcount!$H$6:$H$92&gt;=Exec!AB$3),Headcount!$P$6:$P$92,Headcount!$L$6:$L$92)),0),IF(YEAR(AB$3)=YEAR(Headcount!$Q$4),IF((AB$5=12),(SUMPRODUCT(--(Headcount!$F$6:$F$92="Executive"),--(Headcount!$H$6:$H$92&gt;=Exec!AB$3),Headcount!$Q$6:$Q$92,Headcount!$L$6:$L$92)),0),IF(YEAR(AB$3)=YEAR(Headcount!$R$4),IF((AB$5=12),(SUMPRODUCT(--(Headcount!$F$6:$F$92="Executive"),--(Headcount!$H$6:$H$92&gt;=Exec!AB$3),Headcount!$R$6:$R$92,Headcount!$L$6:$L$92)),0),"New Year"))))),'Dept. Cost Actuals'!AF982)</f>
        <v>0</v>
      </c>
      <c r="AC16" s="684">
        <f>IF(AC$4="forecast",IF(YEAR(AC$3)=YEAR(Headcount!$N$4),IF((AC$5=12),(SUMPRODUCT(--(Headcount!$F$6:$F$92="Executive"),--(Headcount!$H$6:$H$92&gt;=Exec!AC$3),Headcount!$N$6:$N$92,Headcount!$L$6:$L$92)),0),IF(YEAR(AC$3)=YEAR(Headcount!$O$4),IF((AC$5=12),(SUMPRODUCT(--(Headcount!$F$6:$F$92="Executive"),--(Headcount!$H$6:$H$92&gt;=Exec!AC$3),Headcount!$O$6:$O$92,Headcount!$L$6:$L$92)),0),IF(YEAR(AC$3)=YEAR(Headcount!$P$4),IF((AC$5=12),(SUMPRODUCT(--(Headcount!$F$6:$F$92="Executive"),--(Headcount!$H$6:$H$92&gt;=Exec!AC$3),Headcount!$P$6:$P$92,Headcount!$L$6:$L$92)),0),IF(YEAR(AC$3)=YEAR(Headcount!$Q$4),IF((AC$5=12),(SUMPRODUCT(--(Headcount!$F$6:$F$92="Executive"),--(Headcount!$H$6:$H$92&gt;=Exec!AC$3),Headcount!$Q$6:$Q$92,Headcount!$L$6:$L$92)),0),IF(YEAR(AC$3)=YEAR(Headcount!$R$4),IF((AC$5=12),(SUMPRODUCT(--(Headcount!$F$6:$F$92="Executive"),--(Headcount!$H$6:$H$92&gt;=Exec!AC$3),Headcount!$R$6:$R$92,Headcount!$L$6:$L$92)),0),"New Year"))))),'Dept. Cost Actuals'!AG982)</f>
        <v>0</v>
      </c>
      <c r="AD16" s="684">
        <f>IF(AD$4="forecast",IF(YEAR(AD$3)=YEAR(Headcount!$N$4),IF((AD$5=12),(SUMPRODUCT(--(Headcount!$F$6:$F$92="Executive"),--(Headcount!$H$6:$H$92&gt;=Exec!AD$3),Headcount!$N$6:$N$92,Headcount!$L$6:$L$92)),0),IF(YEAR(AD$3)=YEAR(Headcount!$O$4),IF((AD$5=12),(SUMPRODUCT(--(Headcount!$F$6:$F$92="Executive"),--(Headcount!$H$6:$H$92&gt;=Exec!AD$3),Headcount!$O$6:$O$92,Headcount!$L$6:$L$92)),0),IF(YEAR(AD$3)=YEAR(Headcount!$P$4),IF((AD$5=12),(SUMPRODUCT(--(Headcount!$F$6:$F$92="Executive"),--(Headcount!$H$6:$H$92&gt;=Exec!AD$3),Headcount!$P$6:$P$92,Headcount!$L$6:$L$92)),0),IF(YEAR(AD$3)=YEAR(Headcount!$Q$4),IF((AD$5=12),(SUMPRODUCT(--(Headcount!$F$6:$F$92="Executive"),--(Headcount!$H$6:$H$92&gt;=Exec!AD$3),Headcount!$Q$6:$Q$92,Headcount!$L$6:$L$92)),0),IF(YEAR(AD$3)=YEAR(Headcount!$R$4),IF((AD$5=12),(SUMPRODUCT(--(Headcount!$F$6:$F$92="Executive"),--(Headcount!$H$6:$H$92&gt;=Exec!AD$3),Headcount!$R$6:$R$92,Headcount!$L$6:$L$92)),0),"New Year"))))),'Dept. Cost Actuals'!AH982)</f>
        <v>0</v>
      </c>
      <c r="AE16" s="684">
        <f>IF(AE$4="forecast",IF(YEAR(AE$3)=YEAR(Headcount!$N$4),IF((AE$5=12),(SUMPRODUCT(--(Headcount!$F$6:$F$92="Executive"),--(Headcount!$H$6:$H$92&gt;=Exec!AE$3),Headcount!$N$6:$N$92,Headcount!$L$6:$L$92)),0),IF(YEAR(AE$3)=YEAR(Headcount!$O$4),IF((AE$5=12),(SUMPRODUCT(--(Headcount!$F$6:$F$92="Executive"),--(Headcount!$H$6:$H$92&gt;=Exec!AE$3),Headcount!$O$6:$O$92,Headcount!$L$6:$L$92)),0),IF(YEAR(AE$3)=YEAR(Headcount!$P$4),IF((AE$5=12),(SUMPRODUCT(--(Headcount!$F$6:$F$92="Executive"),--(Headcount!$H$6:$H$92&gt;=Exec!AE$3),Headcount!$P$6:$P$92,Headcount!$L$6:$L$92)),0),IF(YEAR(AE$3)=YEAR(Headcount!$Q$4),IF((AE$5=12),(SUMPRODUCT(--(Headcount!$F$6:$F$92="Executive"),--(Headcount!$H$6:$H$92&gt;=Exec!AE$3),Headcount!$Q$6:$Q$92,Headcount!$L$6:$L$92)),0),IF(YEAR(AE$3)=YEAR(Headcount!$R$4),IF((AE$5=12),(SUMPRODUCT(--(Headcount!$F$6:$F$92="Executive"),--(Headcount!$H$6:$H$92&gt;=Exec!AE$3),Headcount!$R$6:$R$92,Headcount!$L$6:$L$92)),0),"New Year"))))),'Dept. Cost Actuals'!AI982)</f>
        <v>0</v>
      </c>
      <c r="AF16" s="684">
        <f>IF(AF$4="forecast",IF(YEAR(AF$3)=YEAR(Headcount!$N$4),IF((AF$5=12),(SUMPRODUCT(--(Headcount!$F$6:$F$92="Executive"),--(Headcount!$H$6:$H$92&gt;=Exec!AF$3),Headcount!$N$6:$N$92,Headcount!$L$6:$L$92)),0),IF(YEAR(AF$3)=YEAR(Headcount!$O$4),IF((AF$5=12),(SUMPRODUCT(--(Headcount!$F$6:$F$92="Executive"),--(Headcount!$H$6:$H$92&gt;=Exec!AF$3),Headcount!$O$6:$O$92,Headcount!$L$6:$L$92)),0),IF(YEAR(AF$3)=YEAR(Headcount!$P$4),IF((AF$5=12),(SUMPRODUCT(--(Headcount!$F$6:$F$92="Executive"),--(Headcount!$H$6:$H$92&gt;=Exec!AF$3),Headcount!$P$6:$P$92,Headcount!$L$6:$L$92)),0),IF(YEAR(AF$3)=YEAR(Headcount!$Q$4),IF((AF$5=12),(SUMPRODUCT(--(Headcount!$F$6:$F$92="Executive"),--(Headcount!$H$6:$H$92&gt;=Exec!AF$3),Headcount!$Q$6:$Q$92,Headcount!$L$6:$L$92)),0),IF(YEAR(AF$3)=YEAR(Headcount!$R$4),IF((AF$5=12),(SUMPRODUCT(--(Headcount!$F$6:$F$92="Executive"),--(Headcount!$H$6:$H$92&gt;=Exec!AF$3),Headcount!$R$6:$R$92,Headcount!$L$6:$L$92)),0),"New Year"))))),'Dept. Cost Actuals'!AJ982)</f>
        <v>0</v>
      </c>
      <c r="AG16" s="684">
        <f>IF(AG$4="forecast",IF(YEAR(AG$3)=YEAR(Headcount!$N$4),IF((AG$5=12),(SUMPRODUCT(--(Headcount!$F$6:$F$92="Executive"),--(Headcount!$H$6:$H$92&gt;=Exec!AG$3),Headcount!$N$6:$N$92,Headcount!$L$6:$L$92)),0),IF(YEAR(AG$3)=YEAR(Headcount!$O$4),IF((AG$5=12),(SUMPRODUCT(--(Headcount!$F$6:$F$92="Executive"),--(Headcount!$H$6:$H$92&gt;=Exec!AG$3),Headcount!$O$6:$O$92,Headcount!$L$6:$L$92)),0),IF(YEAR(AG$3)=YEAR(Headcount!$P$4),IF((AG$5=12),(SUMPRODUCT(--(Headcount!$F$6:$F$92="Executive"),--(Headcount!$H$6:$H$92&gt;=Exec!AG$3),Headcount!$P$6:$P$92,Headcount!$L$6:$L$92)),0),IF(YEAR(AG$3)=YEAR(Headcount!$Q$4),IF((AG$5=12),(SUMPRODUCT(--(Headcount!$F$6:$F$92="Executive"),--(Headcount!$H$6:$H$92&gt;=Exec!AG$3),Headcount!$Q$6:$Q$92,Headcount!$L$6:$L$92)),0),IF(YEAR(AG$3)=YEAR(Headcount!$R$4),IF((AG$5=12),(SUMPRODUCT(--(Headcount!$F$6:$F$92="Executive"),--(Headcount!$H$6:$H$92&gt;=Exec!AG$3),Headcount!$R$6:$R$92,Headcount!$L$6:$L$92)),0),"New Year"))))),'Dept. Cost Actuals'!AK982)</f>
        <v>0</v>
      </c>
      <c r="AH16" s="684">
        <f>IF(AH$4="forecast",IF(YEAR(AH$3)=YEAR(Headcount!$N$4),IF((AH$5=12),(SUMPRODUCT(--(Headcount!$F$6:$F$92="Executive"),--(Headcount!$H$6:$H$92&gt;=Exec!AH$3),Headcount!$N$6:$N$92,Headcount!$L$6:$L$92)),0),IF(YEAR(AH$3)=YEAR(Headcount!$O$4),IF((AH$5=12),(SUMPRODUCT(--(Headcount!$F$6:$F$92="Executive"),--(Headcount!$H$6:$H$92&gt;=Exec!AH$3),Headcount!$O$6:$O$92,Headcount!$L$6:$L$92)),0),IF(YEAR(AH$3)=YEAR(Headcount!$P$4),IF((AH$5=12),(SUMPRODUCT(--(Headcount!$F$6:$F$92="Executive"),--(Headcount!$H$6:$H$92&gt;=Exec!AH$3),Headcount!$P$6:$P$92,Headcount!$L$6:$L$92)),0),IF(YEAR(AH$3)=YEAR(Headcount!$Q$4),IF((AH$5=12),(SUMPRODUCT(--(Headcount!$F$6:$F$92="Executive"),--(Headcount!$H$6:$H$92&gt;=Exec!AH$3),Headcount!$Q$6:$Q$92,Headcount!$L$6:$L$92)),0),IF(YEAR(AH$3)=YEAR(Headcount!$R$4),IF((AH$5=12),(SUMPRODUCT(--(Headcount!$F$6:$F$92="Executive"),--(Headcount!$H$6:$H$92&gt;=Exec!AH$3),Headcount!$R$6:$R$92,Headcount!$L$6:$L$92)),0),"New Year"))))),'Dept. Cost Actuals'!AL982)</f>
        <v>0</v>
      </c>
      <c r="AI16" s="684">
        <f>IF(AI$4="forecast",IF(YEAR(AI$3)=YEAR(Headcount!$N$4),IF((AI$5=12),(SUMPRODUCT(--(Headcount!$F$6:$F$92="Executive"),--(Headcount!$H$6:$H$92&gt;=Exec!AI$3),Headcount!$N$6:$N$92,Headcount!$L$6:$L$92)),0),IF(YEAR(AI$3)=YEAR(Headcount!$O$4),IF((AI$5=12),(SUMPRODUCT(--(Headcount!$F$6:$F$92="Executive"),--(Headcount!$H$6:$H$92&gt;=Exec!AI$3),Headcount!$O$6:$O$92,Headcount!$L$6:$L$92)),0),IF(YEAR(AI$3)=YEAR(Headcount!$P$4),IF((AI$5=12),(SUMPRODUCT(--(Headcount!$F$6:$F$92="Executive"),--(Headcount!$H$6:$H$92&gt;=Exec!AI$3),Headcount!$P$6:$P$92,Headcount!$L$6:$L$92)),0),IF(YEAR(AI$3)=YEAR(Headcount!$Q$4),IF((AI$5=12),(SUMPRODUCT(--(Headcount!$F$6:$F$92="Executive"),--(Headcount!$H$6:$H$92&gt;=Exec!AI$3),Headcount!$Q$6:$Q$92,Headcount!$L$6:$L$92)),0),IF(YEAR(AI$3)=YEAR(Headcount!$R$4),IF((AI$5=12),(SUMPRODUCT(--(Headcount!$F$6:$F$92="Executive"),--(Headcount!$H$6:$H$92&gt;=Exec!AI$3),Headcount!$R$6:$R$92,Headcount!$L$6:$L$92)),0),"New Year"))))),'Dept. Cost Actuals'!AM982)</f>
        <v>0</v>
      </c>
      <c r="AJ16" s="684">
        <f>IF(AJ$4="forecast",IF(YEAR(AJ$3)=YEAR(Headcount!$N$4),IF((AJ$5=12),(SUMPRODUCT(--(Headcount!$F$6:$F$92="Executive"),--(Headcount!$H$6:$H$92&gt;=Exec!AJ$3),Headcount!$N$6:$N$92,Headcount!$L$6:$L$92)),0),IF(YEAR(AJ$3)=YEAR(Headcount!$O$4),IF((AJ$5=12),(SUMPRODUCT(--(Headcount!$F$6:$F$92="Executive"),--(Headcount!$H$6:$H$92&gt;=Exec!AJ$3),Headcount!$O$6:$O$92,Headcount!$L$6:$L$92)),0),IF(YEAR(AJ$3)=YEAR(Headcount!$P$4),IF((AJ$5=12),(SUMPRODUCT(--(Headcount!$F$6:$F$92="Executive"),--(Headcount!$H$6:$H$92&gt;=Exec!AJ$3),Headcount!$P$6:$P$92,Headcount!$L$6:$L$92)),0),IF(YEAR(AJ$3)=YEAR(Headcount!$Q$4),IF((AJ$5=12),(SUMPRODUCT(--(Headcount!$F$6:$F$92="Executive"),--(Headcount!$H$6:$H$92&gt;=Exec!AJ$3),Headcount!$Q$6:$Q$92,Headcount!$L$6:$L$92)),0),IF(YEAR(AJ$3)=YEAR(Headcount!$R$4),IF((AJ$5=12),(SUMPRODUCT(--(Headcount!$F$6:$F$92="Executive"),--(Headcount!$H$6:$H$92&gt;=Exec!AJ$3),Headcount!$R$6:$R$92,Headcount!$L$6:$L$92)),0),"New Year"))))),'Dept. Cost Actuals'!AN982)</f>
        <v>0</v>
      </c>
      <c r="AK16" s="684">
        <f>IF(AK$4="forecast",IF(YEAR(AK$3)=YEAR(Headcount!$N$4),IF((AK$5=12),(SUMPRODUCT(--(Headcount!$F$6:$F$92="Executive"),--(Headcount!$H$6:$H$92&gt;=Exec!AK$3),Headcount!$N$6:$N$92,Headcount!$L$6:$L$92)),0),IF(YEAR(AK$3)=YEAR(Headcount!$O$4),IF((AK$5=12),(SUMPRODUCT(--(Headcount!$F$6:$F$92="Executive"),--(Headcount!$H$6:$H$92&gt;=Exec!AK$3),Headcount!$O$6:$O$92,Headcount!$L$6:$L$92)),0),IF(YEAR(AK$3)=YEAR(Headcount!$P$4),IF((AK$5=12),(SUMPRODUCT(--(Headcount!$F$6:$F$92="Executive"),--(Headcount!$H$6:$H$92&gt;=Exec!AK$3),Headcount!$P$6:$P$92,Headcount!$L$6:$L$92)),0),IF(YEAR(AK$3)=YEAR(Headcount!$Q$4),IF((AK$5=12),(SUMPRODUCT(--(Headcount!$F$6:$F$92="Executive"),--(Headcount!$H$6:$H$92&gt;=Exec!AK$3),Headcount!$Q$6:$Q$92,Headcount!$L$6:$L$92)),0),IF(YEAR(AK$3)=YEAR(Headcount!$R$4),IF((AK$5=12),(SUMPRODUCT(--(Headcount!$F$6:$F$92="Executive"),--(Headcount!$H$6:$H$92&gt;=Exec!AK$3),Headcount!$R$6:$R$92,Headcount!$L$6:$L$92)),0),"New Year"))))),'Dept. Cost Actuals'!AO982)</f>
        <v>0</v>
      </c>
      <c r="AL16" s="684">
        <f>IF(AL$4="forecast",IF(YEAR(AL$3)=YEAR(Headcount!$N$4),IF((AL$5=12),(SUMPRODUCT(--(Headcount!$F$6:$F$92="Executive"),--(Headcount!$H$6:$H$92&gt;=Exec!AL$3),Headcount!$N$6:$N$92,Headcount!$L$6:$L$92)),0),IF(YEAR(AL$3)=YEAR(Headcount!$O$4),IF((AL$5=12),(SUMPRODUCT(--(Headcount!$F$6:$F$92="Executive"),--(Headcount!$H$6:$H$92&gt;=Exec!AL$3),Headcount!$O$6:$O$92,Headcount!$L$6:$L$92)),0),IF(YEAR(AL$3)=YEAR(Headcount!$P$4),IF((AL$5=12),(SUMPRODUCT(--(Headcount!$F$6:$F$92="Executive"),--(Headcount!$H$6:$H$92&gt;=Exec!AL$3),Headcount!$P$6:$P$92,Headcount!$L$6:$L$92)),0),IF(YEAR(AL$3)=YEAR(Headcount!$Q$4),IF((AL$5=12),(SUMPRODUCT(--(Headcount!$F$6:$F$92="Executive"),--(Headcount!$H$6:$H$92&gt;=Exec!AL$3),Headcount!$Q$6:$Q$92,Headcount!$L$6:$L$92)),0),IF(YEAR(AL$3)=YEAR(Headcount!$R$4),IF((AL$5=12),(SUMPRODUCT(--(Headcount!$F$6:$F$92="Executive"),--(Headcount!$H$6:$H$92&gt;=Exec!AL$3),Headcount!$R$6:$R$92,Headcount!$L$6:$L$92)),0),"New Year"))))),'Dept. Cost Actuals'!AP982)</f>
        <v>247500</v>
      </c>
      <c r="AM16" s="684">
        <f>IF(AM$4="forecast",IF(YEAR(AM$3)=YEAR(Headcount!$N$4),IF((AM$5=12),(SUMPRODUCT(--(Headcount!$F$6:$F$92="Executive"),--(Headcount!$H$6:$H$92&gt;=Exec!AM$3),Headcount!$N$6:$N$92,Headcount!$L$6:$L$92)),0),IF(YEAR(AM$3)=YEAR(Headcount!$O$4),IF((AM$5=12),(SUMPRODUCT(--(Headcount!$F$6:$F$92="Executive"),--(Headcount!$H$6:$H$92&gt;=Exec!AM$3),Headcount!$O$6:$O$92,Headcount!$L$6:$L$92)),0),IF(YEAR(AM$3)=YEAR(Headcount!$P$4),IF((AM$5=12),(SUMPRODUCT(--(Headcount!$F$6:$F$92="Executive"),--(Headcount!$H$6:$H$92&gt;=Exec!AM$3),Headcount!$P$6:$P$92,Headcount!$L$6:$L$92)),0),IF(YEAR(AM$3)=YEAR(Headcount!$Q$4),IF((AM$5=12),(SUMPRODUCT(--(Headcount!$F$6:$F$92="Executive"),--(Headcount!$H$6:$H$92&gt;=Exec!AM$3),Headcount!$Q$6:$Q$92,Headcount!$L$6:$L$92)),0),IF(YEAR(AM$3)=YEAR(Headcount!$R$4),IF((AM$5=12),(SUMPRODUCT(--(Headcount!$F$6:$F$92="Executive"),--(Headcount!$H$6:$H$92&gt;=Exec!AM$3),Headcount!$R$6:$R$92,Headcount!$L$6:$L$92)),0),"New Year"))))),'Dept. Cost Actuals'!AQ982)</f>
        <v>0</v>
      </c>
      <c r="AN16" s="684">
        <f>IF(AN$4="forecast",IF(YEAR(AN$3)=YEAR(Headcount!$N$4),IF((AN$5=12),(SUMPRODUCT(--(Headcount!$F$6:$F$92="Executive"),--(Headcount!$H$6:$H$92&gt;=Exec!AN$3),Headcount!$N$6:$N$92,Headcount!$L$6:$L$92)),0),IF(YEAR(AN$3)=YEAR(Headcount!$O$4),IF((AN$5=12),(SUMPRODUCT(--(Headcount!$F$6:$F$92="Executive"),--(Headcount!$H$6:$H$92&gt;=Exec!AN$3),Headcount!$O$6:$O$92,Headcount!$L$6:$L$92)),0),IF(YEAR(AN$3)=YEAR(Headcount!$P$4),IF((AN$5=12),(SUMPRODUCT(--(Headcount!$F$6:$F$92="Executive"),--(Headcount!$H$6:$H$92&gt;=Exec!AN$3),Headcount!$P$6:$P$92,Headcount!$L$6:$L$92)),0),IF(YEAR(AN$3)=YEAR(Headcount!$Q$4),IF((AN$5=12),(SUMPRODUCT(--(Headcount!$F$6:$F$92="Executive"),--(Headcount!$H$6:$H$92&gt;=Exec!AN$3),Headcount!$Q$6:$Q$92,Headcount!$L$6:$L$92)),0),IF(YEAR(AN$3)=YEAR(Headcount!$R$4),IF((AN$5=12),(SUMPRODUCT(--(Headcount!$F$6:$F$92="Executive"),--(Headcount!$H$6:$H$92&gt;=Exec!AN$3),Headcount!$R$6:$R$92,Headcount!$L$6:$L$92)),0),"New Year"))))),'Dept. Cost Actuals'!AR982)</f>
        <v>0</v>
      </c>
      <c r="AO16" s="684">
        <f>IF(AO$4="forecast",IF(YEAR(AO$3)=YEAR(Headcount!$N$4),IF((AO$5=12),(SUMPRODUCT(--(Headcount!$F$6:$F$92="Executive"),--(Headcount!$H$6:$H$92&gt;=Exec!AO$3),Headcount!$N$6:$N$92,Headcount!$L$6:$L$92)),0),IF(YEAR(AO$3)=YEAR(Headcount!$O$4),IF((AO$5=12),(SUMPRODUCT(--(Headcount!$F$6:$F$92="Executive"),--(Headcount!$H$6:$H$92&gt;=Exec!AO$3),Headcount!$O$6:$O$92,Headcount!$L$6:$L$92)),0),IF(YEAR(AO$3)=YEAR(Headcount!$P$4),IF((AO$5=12),(SUMPRODUCT(--(Headcount!$F$6:$F$92="Executive"),--(Headcount!$H$6:$H$92&gt;=Exec!AO$3),Headcount!$P$6:$P$92,Headcount!$L$6:$L$92)),0),IF(YEAR(AO$3)=YEAR(Headcount!$Q$4),IF((AO$5=12),(SUMPRODUCT(--(Headcount!$F$6:$F$92="Executive"),--(Headcount!$H$6:$H$92&gt;=Exec!AO$3),Headcount!$Q$6:$Q$92,Headcount!$L$6:$L$92)),0),IF(YEAR(AO$3)=YEAR(Headcount!$R$4),IF((AO$5=12),(SUMPRODUCT(--(Headcount!$F$6:$F$92="Executive"),--(Headcount!$H$6:$H$92&gt;=Exec!AO$3),Headcount!$R$6:$R$92,Headcount!$L$6:$L$92)),0),"New Year"))))),'Dept. Cost Actuals'!AS982)</f>
        <v>0</v>
      </c>
      <c r="AP16" s="684">
        <f>IF(AP$4="forecast",IF(YEAR(AP$3)=YEAR(Headcount!$N$4),IF((AP$5=12),(SUMPRODUCT(--(Headcount!$F$6:$F$92="Executive"),--(Headcount!$H$6:$H$92&gt;=Exec!AP$3),Headcount!$N$6:$N$92,Headcount!$L$6:$L$92)),0),IF(YEAR(AP$3)=YEAR(Headcount!$O$4),IF((AP$5=12),(SUMPRODUCT(--(Headcount!$F$6:$F$92="Executive"),--(Headcount!$H$6:$H$92&gt;=Exec!AP$3),Headcount!$O$6:$O$92,Headcount!$L$6:$L$92)),0),IF(YEAR(AP$3)=YEAR(Headcount!$P$4),IF((AP$5=12),(SUMPRODUCT(--(Headcount!$F$6:$F$92="Executive"),--(Headcount!$H$6:$H$92&gt;=Exec!AP$3),Headcount!$P$6:$P$92,Headcount!$L$6:$L$92)),0),IF(YEAR(AP$3)=YEAR(Headcount!$Q$4),IF((AP$5=12),(SUMPRODUCT(--(Headcount!$F$6:$F$92="Executive"),--(Headcount!$H$6:$H$92&gt;=Exec!AP$3),Headcount!$Q$6:$Q$92,Headcount!$L$6:$L$92)),0),IF(YEAR(AP$3)=YEAR(Headcount!$R$4),IF((AP$5=12),(SUMPRODUCT(--(Headcount!$F$6:$F$92="Executive"),--(Headcount!$H$6:$H$92&gt;=Exec!AP$3),Headcount!$R$6:$R$92,Headcount!$L$6:$L$92)),0),"New Year"))))),'Dept. Cost Actuals'!AT982)</f>
        <v>0</v>
      </c>
      <c r="AQ16" s="684">
        <f>IF(AQ$4="forecast",IF(YEAR(AQ$3)=YEAR(Headcount!$N$4),IF((AQ$5=12),(SUMPRODUCT(--(Headcount!$F$6:$F$92="Executive"),--(Headcount!$H$6:$H$92&gt;=Exec!AQ$3),Headcount!$N$6:$N$92,Headcount!$L$6:$L$92)),0),IF(YEAR(AQ$3)=YEAR(Headcount!$O$4),IF((AQ$5=12),(SUMPRODUCT(--(Headcount!$F$6:$F$92="Executive"),--(Headcount!$H$6:$H$92&gt;=Exec!AQ$3),Headcount!$O$6:$O$92,Headcount!$L$6:$L$92)),0),IF(YEAR(AQ$3)=YEAR(Headcount!$P$4),IF((AQ$5=12),(SUMPRODUCT(--(Headcount!$F$6:$F$92="Executive"),--(Headcount!$H$6:$H$92&gt;=Exec!AQ$3),Headcount!$P$6:$P$92,Headcount!$L$6:$L$92)),0),IF(YEAR(AQ$3)=YEAR(Headcount!$Q$4),IF((AQ$5=12),(SUMPRODUCT(--(Headcount!$F$6:$F$92="Executive"),--(Headcount!$H$6:$H$92&gt;=Exec!AQ$3),Headcount!$Q$6:$Q$92,Headcount!$L$6:$L$92)),0),IF(YEAR(AQ$3)=YEAR(Headcount!$R$4),IF((AQ$5=12),(SUMPRODUCT(--(Headcount!$F$6:$F$92="Executive"),--(Headcount!$H$6:$H$92&gt;=Exec!AQ$3),Headcount!$R$6:$R$92,Headcount!$L$6:$L$92)),0),"New Year"))))),'Dept. Cost Actuals'!AU982)</f>
        <v>0</v>
      </c>
      <c r="AR16" s="684">
        <f>IF(AR$4="forecast",IF(YEAR(AR$3)=YEAR(Headcount!$N$4),IF((AR$5=12),(SUMPRODUCT(--(Headcount!$F$6:$F$92="Executive"),--(Headcount!$H$6:$H$92&gt;=Exec!AR$3),Headcount!$N$6:$N$92,Headcount!$L$6:$L$92)),0),IF(YEAR(AR$3)=YEAR(Headcount!$O$4),IF((AR$5=12),(SUMPRODUCT(--(Headcount!$F$6:$F$92="Executive"),--(Headcount!$H$6:$H$92&gt;=Exec!AR$3),Headcount!$O$6:$O$92,Headcount!$L$6:$L$92)),0),IF(YEAR(AR$3)=YEAR(Headcount!$P$4),IF((AR$5=12),(SUMPRODUCT(--(Headcount!$F$6:$F$92="Executive"),--(Headcount!$H$6:$H$92&gt;=Exec!AR$3),Headcount!$P$6:$P$92,Headcount!$L$6:$L$92)),0),IF(YEAR(AR$3)=YEAR(Headcount!$Q$4),IF((AR$5=12),(SUMPRODUCT(--(Headcount!$F$6:$F$92="Executive"),--(Headcount!$H$6:$H$92&gt;=Exec!AR$3),Headcount!$Q$6:$Q$92,Headcount!$L$6:$L$92)),0),IF(YEAR(AR$3)=YEAR(Headcount!$R$4),IF((AR$5=12),(SUMPRODUCT(--(Headcount!$F$6:$F$92="Executive"),--(Headcount!$H$6:$H$92&gt;=Exec!AR$3),Headcount!$R$6:$R$92,Headcount!$L$6:$L$92)),0),"New Year"))))),'Dept. Cost Actuals'!AV982)</f>
        <v>0</v>
      </c>
      <c r="AS16" s="684">
        <f>IF(AS$4="forecast",IF(YEAR(AS$3)=YEAR(Headcount!$N$4),IF((AS$5=12),(SUMPRODUCT(--(Headcount!$F$6:$F$92="Executive"),--(Headcount!$H$6:$H$92&gt;=Exec!AS$3),Headcount!$N$6:$N$92,Headcount!$L$6:$L$92)),0),IF(YEAR(AS$3)=YEAR(Headcount!$O$4),IF((AS$5=12),(SUMPRODUCT(--(Headcount!$F$6:$F$92="Executive"),--(Headcount!$H$6:$H$92&gt;=Exec!AS$3),Headcount!$O$6:$O$92,Headcount!$L$6:$L$92)),0),IF(YEAR(AS$3)=YEAR(Headcount!$P$4),IF((AS$5=12),(SUMPRODUCT(--(Headcount!$F$6:$F$92="Executive"),--(Headcount!$H$6:$H$92&gt;=Exec!AS$3),Headcount!$P$6:$P$92,Headcount!$L$6:$L$92)),0),IF(YEAR(AS$3)=YEAR(Headcount!$Q$4),IF((AS$5=12),(SUMPRODUCT(--(Headcount!$F$6:$F$92="Executive"),--(Headcount!$H$6:$H$92&gt;=Exec!AS$3),Headcount!$Q$6:$Q$92,Headcount!$L$6:$L$92)),0),IF(YEAR(AS$3)=YEAR(Headcount!$R$4),IF((AS$5=12),(SUMPRODUCT(--(Headcount!$F$6:$F$92="Executive"),--(Headcount!$H$6:$H$92&gt;=Exec!AS$3),Headcount!$R$6:$R$92,Headcount!$L$6:$L$92)),0),"New Year"))))),'Dept. Cost Actuals'!AW982)</f>
        <v>0</v>
      </c>
      <c r="AT16" s="684">
        <f>IF(AT$4="forecast",IF(YEAR(AT$3)=YEAR(Headcount!$N$4),IF((AT$5=12),(SUMPRODUCT(--(Headcount!$F$6:$F$92="Executive"),--(Headcount!$H$6:$H$92&gt;=Exec!AT$3),Headcount!$N$6:$N$92,Headcount!$L$6:$L$92)),0),IF(YEAR(AT$3)=YEAR(Headcount!$O$4),IF((AT$5=12),(SUMPRODUCT(--(Headcount!$F$6:$F$92="Executive"),--(Headcount!$H$6:$H$92&gt;=Exec!AT$3),Headcount!$O$6:$O$92,Headcount!$L$6:$L$92)),0),IF(YEAR(AT$3)=YEAR(Headcount!$P$4),IF((AT$5=12),(SUMPRODUCT(--(Headcount!$F$6:$F$92="Executive"),--(Headcount!$H$6:$H$92&gt;=Exec!AT$3),Headcount!$P$6:$P$92,Headcount!$L$6:$L$92)),0),IF(YEAR(AT$3)=YEAR(Headcount!$Q$4),IF((AT$5=12),(SUMPRODUCT(--(Headcount!$F$6:$F$92="Executive"),--(Headcount!$H$6:$H$92&gt;=Exec!AT$3),Headcount!$Q$6:$Q$92,Headcount!$L$6:$L$92)),0),IF(YEAR(AT$3)=YEAR(Headcount!$R$4),IF((AT$5=12),(SUMPRODUCT(--(Headcount!$F$6:$F$92="Executive"),--(Headcount!$H$6:$H$92&gt;=Exec!AT$3),Headcount!$R$6:$R$92,Headcount!$L$6:$L$92)),0),"New Year"))))),'Dept. Cost Actuals'!AX982)</f>
        <v>0</v>
      </c>
      <c r="AU16" s="684">
        <f>IF(AU$4="forecast",IF(YEAR(AU$3)=YEAR(Headcount!$N$4),IF((AU$5=12),(SUMPRODUCT(--(Headcount!$F$6:$F$92="Executive"),--(Headcount!$H$6:$H$92&gt;=Exec!AU$3),Headcount!$N$6:$N$92,Headcount!$L$6:$L$92)),0),IF(YEAR(AU$3)=YEAR(Headcount!$O$4),IF((AU$5=12),(SUMPRODUCT(--(Headcount!$F$6:$F$92="Executive"),--(Headcount!$H$6:$H$92&gt;=Exec!AU$3),Headcount!$O$6:$O$92,Headcount!$L$6:$L$92)),0),IF(YEAR(AU$3)=YEAR(Headcount!$P$4),IF((AU$5=12),(SUMPRODUCT(--(Headcount!$F$6:$F$92="Executive"),--(Headcount!$H$6:$H$92&gt;=Exec!AU$3),Headcount!$P$6:$P$92,Headcount!$L$6:$L$92)),0),IF(YEAR(AU$3)=YEAR(Headcount!$Q$4),IF((AU$5=12),(SUMPRODUCT(--(Headcount!$F$6:$F$92="Executive"),--(Headcount!$H$6:$H$92&gt;=Exec!AU$3),Headcount!$Q$6:$Q$92,Headcount!$L$6:$L$92)),0),IF(YEAR(AU$3)=YEAR(Headcount!$R$4),IF((AU$5=12),(SUMPRODUCT(--(Headcount!$F$6:$F$92="Executive"),--(Headcount!$H$6:$H$92&gt;=Exec!AU$3),Headcount!$R$6:$R$92,Headcount!$L$6:$L$92)),0),"New Year"))))),'Dept. Cost Actuals'!AY982)</f>
        <v>0</v>
      </c>
      <c r="AV16" s="684">
        <f>IF(AV$4="forecast",IF(YEAR(AV$3)=YEAR(Headcount!$N$4),IF((AV$5=12),(SUMPRODUCT(--(Headcount!$F$6:$F$92="Executive"),--(Headcount!$H$6:$H$92&gt;=Exec!AV$3),Headcount!$N$6:$N$92,Headcount!$L$6:$L$92)),0),IF(YEAR(AV$3)=YEAR(Headcount!$O$4),IF((AV$5=12),(SUMPRODUCT(--(Headcount!$F$6:$F$92="Executive"),--(Headcount!$H$6:$H$92&gt;=Exec!AV$3),Headcount!$O$6:$O$92,Headcount!$L$6:$L$92)),0),IF(YEAR(AV$3)=YEAR(Headcount!$P$4),IF((AV$5=12),(SUMPRODUCT(--(Headcount!$F$6:$F$92="Executive"),--(Headcount!$H$6:$H$92&gt;=Exec!AV$3),Headcount!$P$6:$P$92,Headcount!$L$6:$L$92)),0),IF(YEAR(AV$3)=YEAR(Headcount!$Q$4),IF((AV$5=12),(SUMPRODUCT(--(Headcount!$F$6:$F$92="Executive"),--(Headcount!$H$6:$H$92&gt;=Exec!AV$3),Headcount!$Q$6:$Q$92,Headcount!$L$6:$L$92)),0),IF(YEAR(AV$3)=YEAR(Headcount!$R$4),IF((AV$5=12),(SUMPRODUCT(--(Headcount!$F$6:$F$92="Executive"),--(Headcount!$H$6:$H$92&gt;=Exec!AV$3),Headcount!$R$6:$R$92,Headcount!$L$6:$L$92)),0),"New Year"))))),'Dept. Cost Actuals'!AZ982)</f>
        <v>0</v>
      </c>
      <c r="AW16" s="684">
        <f>IF(AW$4="forecast",IF(YEAR(AW$3)=YEAR(Headcount!$N$4),IF((AW$5=12),(SUMPRODUCT(--(Headcount!$F$6:$F$92="Executive"),--(Headcount!$H$6:$H$92&gt;=Exec!AW$3),Headcount!$N$6:$N$92,Headcount!$L$6:$L$92)),0),IF(YEAR(AW$3)=YEAR(Headcount!$O$4),IF((AW$5=12),(SUMPRODUCT(--(Headcount!$F$6:$F$92="Executive"),--(Headcount!$H$6:$H$92&gt;=Exec!AW$3),Headcount!$O$6:$O$92,Headcount!$L$6:$L$92)),0),IF(YEAR(AW$3)=YEAR(Headcount!$P$4),IF((AW$5=12),(SUMPRODUCT(--(Headcount!$F$6:$F$92="Executive"),--(Headcount!$H$6:$H$92&gt;=Exec!AW$3),Headcount!$P$6:$P$92,Headcount!$L$6:$L$92)),0),IF(YEAR(AW$3)=YEAR(Headcount!$Q$4),IF((AW$5=12),(SUMPRODUCT(--(Headcount!$F$6:$F$92="Executive"),--(Headcount!$H$6:$H$92&gt;=Exec!AW$3),Headcount!$Q$6:$Q$92,Headcount!$L$6:$L$92)),0),IF(YEAR(AW$3)=YEAR(Headcount!$R$4),IF((AW$5=12),(SUMPRODUCT(--(Headcount!$F$6:$F$92="Executive"),--(Headcount!$H$6:$H$92&gt;=Exec!AW$3),Headcount!$R$6:$R$92,Headcount!$L$6:$L$92)),0),"New Year"))))),'Dept. Cost Actuals'!BA982)</f>
        <v>0</v>
      </c>
      <c r="AX16" s="684">
        <f>IF(AX$4="forecast",IF(YEAR(AX$3)=YEAR(Headcount!$N$4),IF((AX$5=12),(SUMPRODUCT(--(Headcount!$F$6:$F$92="Executive"),--(Headcount!$H$6:$H$92&gt;=Exec!AX$3),Headcount!$N$6:$N$92,Headcount!$L$6:$L$92)),0),IF(YEAR(AX$3)=YEAR(Headcount!$O$4),IF((AX$5=12),(SUMPRODUCT(--(Headcount!$F$6:$F$92="Executive"),--(Headcount!$H$6:$H$92&gt;=Exec!AX$3),Headcount!$O$6:$O$92,Headcount!$L$6:$L$92)),0),IF(YEAR(AX$3)=YEAR(Headcount!$P$4),IF((AX$5=12),(SUMPRODUCT(--(Headcount!$F$6:$F$92="Executive"),--(Headcount!$H$6:$H$92&gt;=Exec!AX$3),Headcount!$P$6:$P$92,Headcount!$L$6:$L$92)),0),IF(YEAR(AX$3)=YEAR(Headcount!$Q$4),IF((AX$5=12),(SUMPRODUCT(--(Headcount!$F$6:$F$92="Executive"),--(Headcount!$H$6:$H$92&gt;=Exec!AX$3),Headcount!$Q$6:$Q$92,Headcount!$L$6:$L$92)),0),IF(YEAR(AX$3)=YEAR(Headcount!$R$4),IF((AX$5=12),(SUMPRODUCT(--(Headcount!$F$6:$F$92="Executive"),--(Headcount!$H$6:$H$92&gt;=Exec!AX$3),Headcount!$R$6:$R$92,Headcount!$L$6:$L$92)),0),"New Year"))))),'Dept. Cost Actuals'!BB982)</f>
        <v>247500</v>
      </c>
      <c r="AY16" s="684">
        <f>IF(AY$4="forecast",IF(YEAR(AY$3)=YEAR(Headcount!$N$4),IF((AY$5=12),(SUMPRODUCT(--(Headcount!$F$6:$F$92="Executive"),--(Headcount!$H$6:$H$92&gt;=Exec!AY$3),Headcount!$N$6:$N$92,Headcount!$L$6:$L$92)),0),IF(YEAR(AY$3)=YEAR(Headcount!$O$4),IF((AY$5=12),(SUMPRODUCT(--(Headcount!$F$6:$F$92="Executive"),--(Headcount!$H$6:$H$92&gt;=Exec!AY$3),Headcount!$O$6:$O$92,Headcount!$L$6:$L$92)),0),IF(YEAR(AY$3)=YEAR(Headcount!$P$4),IF((AY$5=12),(SUMPRODUCT(--(Headcount!$F$6:$F$92="Executive"),--(Headcount!$H$6:$H$92&gt;=Exec!AY$3),Headcount!$P$6:$P$92,Headcount!$L$6:$L$92)),0),IF(YEAR(AY$3)=YEAR(Headcount!$Q$4),IF((AY$5=12),(SUMPRODUCT(--(Headcount!$F$6:$F$92="Executive"),--(Headcount!$H$6:$H$92&gt;=Exec!AY$3),Headcount!$Q$6:$Q$92,Headcount!$L$6:$L$92)),0),IF(YEAR(AY$3)=YEAR(Headcount!$R$4),IF((AY$5=12),(SUMPRODUCT(--(Headcount!$F$6:$F$92="Executive"),--(Headcount!$H$6:$H$92&gt;=Exec!AY$3),Headcount!$R$6:$R$92,Headcount!$L$6:$L$92)),0),"New Year"))))),'Dept. Cost Actuals'!BC982)</f>
        <v>0</v>
      </c>
      <c r="AZ16" s="684">
        <f>IF(AZ$4="forecast",IF(YEAR(AZ$3)=YEAR(Headcount!$N$4),IF((AZ$5=12),(SUMPRODUCT(--(Headcount!$F$6:$F$92="Executive"),--(Headcount!$H$6:$H$92&gt;=Exec!AZ$3),Headcount!$N$6:$N$92,Headcount!$L$6:$L$92)),0),IF(YEAR(AZ$3)=YEAR(Headcount!$O$4),IF((AZ$5=12),(SUMPRODUCT(--(Headcount!$F$6:$F$92="Executive"),--(Headcount!$H$6:$H$92&gt;=Exec!AZ$3),Headcount!$O$6:$O$92,Headcount!$L$6:$L$92)),0),IF(YEAR(AZ$3)=YEAR(Headcount!$P$4),IF((AZ$5=12),(SUMPRODUCT(--(Headcount!$F$6:$F$92="Executive"),--(Headcount!$H$6:$H$92&gt;=Exec!AZ$3),Headcount!$P$6:$P$92,Headcount!$L$6:$L$92)),0),IF(YEAR(AZ$3)=YEAR(Headcount!$Q$4),IF((AZ$5=12),(SUMPRODUCT(--(Headcount!$F$6:$F$92="Executive"),--(Headcount!$H$6:$H$92&gt;=Exec!AZ$3),Headcount!$Q$6:$Q$92,Headcount!$L$6:$L$92)),0),IF(YEAR(AZ$3)=YEAR(Headcount!$R$4),IF((AZ$5=12),(SUMPRODUCT(--(Headcount!$F$6:$F$92="Executive"),--(Headcount!$H$6:$H$92&gt;=Exec!AZ$3),Headcount!$R$6:$R$92,Headcount!$L$6:$L$92)),0),"New Year"))))),'Dept. Cost Actuals'!BD982)</f>
        <v>0</v>
      </c>
      <c r="BA16" s="684">
        <f>IF(BA$4="forecast",IF(YEAR(BA$3)=YEAR(Headcount!$N$4),IF((BA$5=12),(SUMPRODUCT(--(Headcount!$F$6:$F$92="Executive"),--(Headcount!$H$6:$H$92&gt;=Exec!BA$3),Headcount!$N$6:$N$92,Headcount!$L$6:$L$92)),0),IF(YEAR(BA$3)=YEAR(Headcount!$O$4),IF((BA$5=12),(SUMPRODUCT(--(Headcount!$F$6:$F$92="Executive"),--(Headcount!$H$6:$H$92&gt;=Exec!BA$3),Headcount!$O$6:$O$92,Headcount!$L$6:$L$92)),0),IF(YEAR(BA$3)=YEAR(Headcount!$P$4),IF((BA$5=12),(SUMPRODUCT(--(Headcount!$F$6:$F$92="Executive"),--(Headcount!$H$6:$H$92&gt;=Exec!BA$3),Headcount!$P$6:$P$92,Headcount!$L$6:$L$92)),0),IF(YEAR(BA$3)=YEAR(Headcount!$Q$4),IF((BA$5=12),(SUMPRODUCT(--(Headcount!$F$6:$F$92="Executive"),--(Headcount!$H$6:$H$92&gt;=Exec!BA$3),Headcount!$Q$6:$Q$92,Headcount!$L$6:$L$92)),0),IF(YEAR(BA$3)=YEAR(Headcount!$R$4),IF((BA$5=12),(SUMPRODUCT(--(Headcount!$F$6:$F$92="Executive"),--(Headcount!$H$6:$H$92&gt;=Exec!BA$3),Headcount!$R$6:$R$92,Headcount!$L$6:$L$92)),0),"New Year"))))),'Dept. Cost Actuals'!BE982)</f>
        <v>0</v>
      </c>
      <c r="BB16" s="684">
        <f>IF(BB$4="forecast",IF(YEAR(BB$3)=YEAR(Headcount!$N$4),IF((BB$5=12),(SUMPRODUCT(--(Headcount!$F$6:$F$92="Executive"),--(Headcount!$H$6:$H$92&gt;=Exec!BB$3),Headcount!$N$6:$N$92,Headcount!$L$6:$L$92)),0),IF(YEAR(BB$3)=YEAR(Headcount!$O$4),IF((BB$5=12),(SUMPRODUCT(--(Headcount!$F$6:$F$92="Executive"),--(Headcount!$H$6:$H$92&gt;=Exec!BB$3),Headcount!$O$6:$O$92,Headcount!$L$6:$L$92)),0),IF(YEAR(BB$3)=YEAR(Headcount!$P$4),IF((BB$5=12),(SUMPRODUCT(--(Headcount!$F$6:$F$92="Executive"),--(Headcount!$H$6:$H$92&gt;=Exec!BB$3),Headcount!$P$6:$P$92,Headcount!$L$6:$L$92)),0),IF(YEAR(BB$3)=YEAR(Headcount!$Q$4),IF((BB$5=12),(SUMPRODUCT(--(Headcount!$F$6:$F$92="Executive"),--(Headcount!$H$6:$H$92&gt;=Exec!BB$3),Headcount!$Q$6:$Q$92,Headcount!$L$6:$L$92)),0),IF(YEAR(BB$3)=YEAR(Headcount!$R$4),IF((BB$5=12),(SUMPRODUCT(--(Headcount!$F$6:$F$92="Executive"),--(Headcount!$H$6:$H$92&gt;=Exec!BB$3),Headcount!$R$6:$R$92,Headcount!$L$6:$L$92)),0),"New Year"))))),'Dept. Cost Actuals'!BF982)</f>
        <v>0</v>
      </c>
      <c r="BC16" s="684">
        <f>IF(BC$4="forecast",IF(YEAR(BC$3)=YEAR(Headcount!$N$4),IF((BC$5=12),(SUMPRODUCT(--(Headcount!$F$6:$F$92="Executive"),--(Headcount!$H$6:$H$92&gt;=Exec!BC$3),Headcount!$N$6:$N$92,Headcount!$L$6:$L$92)),0),IF(YEAR(BC$3)=YEAR(Headcount!$O$4),IF((BC$5=12),(SUMPRODUCT(--(Headcount!$F$6:$F$92="Executive"),--(Headcount!$H$6:$H$92&gt;=Exec!BC$3),Headcount!$O$6:$O$92,Headcount!$L$6:$L$92)),0),IF(YEAR(BC$3)=YEAR(Headcount!$P$4),IF((BC$5=12),(SUMPRODUCT(--(Headcount!$F$6:$F$92="Executive"),--(Headcount!$H$6:$H$92&gt;=Exec!BC$3),Headcount!$P$6:$P$92,Headcount!$L$6:$L$92)),0),IF(YEAR(BC$3)=YEAR(Headcount!$Q$4),IF((BC$5=12),(SUMPRODUCT(--(Headcount!$F$6:$F$92="Executive"),--(Headcount!$H$6:$H$92&gt;=Exec!BC$3),Headcount!$Q$6:$Q$92,Headcount!$L$6:$L$92)),0),IF(YEAR(BC$3)=YEAR(Headcount!$R$4),IF((BC$5=12),(SUMPRODUCT(--(Headcount!$F$6:$F$92="Executive"),--(Headcount!$H$6:$H$92&gt;=Exec!BC$3),Headcount!$R$6:$R$92,Headcount!$L$6:$L$92)),0),"New Year"))))),'Dept. Cost Actuals'!BG982)</f>
        <v>0</v>
      </c>
      <c r="BD16" s="684">
        <f>IF(BD$4="forecast",IF(YEAR(BD$3)=YEAR(Headcount!$N$4),IF((BD$5=12),(SUMPRODUCT(--(Headcount!$F$6:$F$92="Executive"),--(Headcount!$H$6:$H$92&gt;=Exec!BD$3),Headcount!$N$6:$N$92,Headcount!$L$6:$L$92)),0),IF(YEAR(BD$3)=YEAR(Headcount!$O$4),IF((BD$5=12),(SUMPRODUCT(--(Headcount!$F$6:$F$92="Executive"),--(Headcount!$H$6:$H$92&gt;=Exec!BD$3),Headcount!$O$6:$O$92,Headcount!$L$6:$L$92)),0),IF(YEAR(BD$3)=YEAR(Headcount!$P$4),IF((BD$5=12),(SUMPRODUCT(--(Headcount!$F$6:$F$92="Executive"),--(Headcount!$H$6:$H$92&gt;=Exec!BD$3),Headcount!$P$6:$P$92,Headcount!$L$6:$L$92)),0),IF(YEAR(BD$3)=YEAR(Headcount!$Q$4),IF((BD$5=12),(SUMPRODUCT(--(Headcount!$F$6:$F$92="Executive"),--(Headcount!$H$6:$H$92&gt;=Exec!BD$3),Headcount!$Q$6:$Q$92,Headcount!$L$6:$L$92)),0),IF(YEAR(BD$3)=YEAR(Headcount!$R$4),IF((BD$5=12),(SUMPRODUCT(--(Headcount!$F$6:$F$92="Executive"),--(Headcount!$H$6:$H$92&gt;=Exec!BD$3),Headcount!$R$6:$R$92,Headcount!$L$6:$L$92)),0),"New Year"))))),'Dept. Cost Actuals'!BH982)</f>
        <v>0</v>
      </c>
      <c r="BE16" s="684">
        <f>IF(BE$4="forecast",IF(YEAR(BE$3)=YEAR(Headcount!$N$4),IF((BE$5=12),(SUMPRODUCT(--(Headcount!$F$6:$F$92="Executive"),--(Headcount!$H$6:$H$92&gt;=Exec!BE$3),Headcount!$N$6:$N$92,Headcount!$L$6:$L$92)),0),IF(YEAR(BE$3)=YEAR(Headcount!$O$4),IF((BE$5=12),(SUMPRODUCT(--(Headcount!$F$6:$F$92="Executive"),--(Headcount!$H$6:$H$92&gt;=Exec!BE$3),Headcount!$O$6:$O$92,Headcount!$L$6:$L$92)),0),IF(YEAR(BE$3)=YEAR(Headcount!$P$4),IF((BE$5=12),(SUMPRODUCT(--(Headcount!$F$6:$F$92="Executive"),--(Headcount!$H$6:$H$92&gt;=Exec!BE$3),Headcount!$P$6:$P$92,Headcount!$L$6:$L$92)),0),IF(YEAR(BE$3)=YEAR(Headcount!$Q$4),IF((BE$5=12),(SUMPRODUCT(--(Headcount!$F$6:$F$92="Executive"),--(Headcount!$H$6:$H$92&gt;=Exec!BE$3),Headcount!$Q$6:$Q$92,Headcount!$L$6:$L$92)),0),IF(YEAR(BE$3)=YEAR(Headcount!$R$4),IF((BE$5=12),(SUMPRODUCT(--(Headcount!$F$6:$F$92="Executive"),--(Headcount!$H$6:$H$92&gt;=Exec!BE$3),Headcount!$R$6:$R$92,Headcount!$L$6:$L$92)),0),"New Year"))))),'Dept. Cost Actuals'!BI982)</f>
        <v>0</v>
      </c>
      <c r="BF16" s="684">
        <f>IF(BF$4="forecast",IF(YEAR(BF$3)=YEAR(Headcount!$N$4),IF((BF$5=12),(SUMPRODUCT(--(Headcount!$F$6:$F$92="Executive"),--(Headcount!$H$6:$H$92&gt;=Exec!BF$3),Headcount!$N$6:$N$92,Headcount!$L$6:$L$92)),0),IF(YEAR(BF$3)=YEAR(Headcount!$O$4),IF((BF$5=12),(SUMPRODUCT(--(Headcount!$F$6:$F$92="Executive"),--(Headcount!$H$6:$H$92&gt;=Exec!BF$3),Headcount!$O$6:$O$92,Headcount!$L$6:$L$92)),0),IF(YEAR(BF$3)=YEAR(Headcount!$P$4),IF((BF$5=12),(SUMPRODUCT(--(Headcount!$F$6:$F$92="Executive"),--(Headcount!$H$6:$H$92&gt;=Exec!BF$3),Headcount!$P$6:$P$92,Headcount!$L$6:$L$92)),0),IF(YEAR(BF$3)=YEAR(Headcount!$Q$4),IF((BF$5=12),(SUMPRODUCT(--(Headcount!$F$6:$F$92="Executive"),--(Headcount!$H$6:$H$92&gt;=Exec!BF$3),Headcount!$Q$6:$Q$92,Headcount!$L$6:$L$92)),0),IF(YEAR(BF$3)=YEAR(Headcount!$R$4),IF((BF$5=12),(SUMPRODUCT(--(Headcount!$F$6:$F$92="Executive"),--(Headcount!$H$6:$H$92&gt;=Exec!BF$3),Headcount!$R$6:$R$92,Headcount!$L$6:$L$92)),0),"New Year"))))),'Dept. Cost Actuals'!BJ982)</f>
        <v>0</v>
      </c>
      <c r="BG16" s="684">
        <f>IF(BG$4="forecast",IF(YEAR(BG$3)=YEAR(Headcount!$N$4),IF((BG$5=12),(SUMPRODUCT(--(Headcount!$F$6:$F$92="Executive"),--(Headcount!$H$6:$H$92&gt;=Exec!BG$3),Headcount!$N$6:$N$92,Headcount!$L$6:$L$92)),0),IF(YEAR(BG$3)=YEAR(Headcount!$O$4),IF((BG$5=12),(SUMPRODUCT(--(Headcount!$F$6:$F$92="Executive"),--(Headcount!$H$6:$H$92&gt;=Exec!BG$3),Headcount!$O$6:$O$92,Headcount!$L$6:$L$92)),0),IF(YEAR(BG$3)=YEAR(Headcount!$P$4),IF((BG$5=12),(SUMPRODUCT(--(Headcount!$F$6:$F$92="Executive"),--(Headcount!$H$6:$H$92&gt;=Exec!BG$3),Headcount!$P$6:$P$92,Headcount!$L$6:$L$92)),0),IF(YEAR(BG$3)=YEAR(Headcount!$Q$4),IF((BG$5=12),(SUMPRODUCT(--(Headcount!$F$6:$F$92="Executive"),--(Headcount!$H$6:$H$92&gt;=Exec!BG$3),Headcount!$Q$6:$Q$92,Headcount!$L$6:$L$92)),0),IF(YEAR(BG$3)=YEAR(Headcount!$R$4),IF((BG$5=12),(SUMPRODUCT(--(Headcount!$F$6:$F$92="Executive"),--(Headcount!$H$6:$H$92&gt;=Exec!BG$3),Headcount!$R$6:$R$92,Headcount!$L$6:$L$92)),0),"New Year"))))),'Dept. Cost Actuals'!BK982)</f>
        <v>0</v>
      </c>
      <c r="BH16" s="684">
        <f>IF(BH$4="forecast",IF(YEAR(BH$3)=YEAR(Headcount!$N$4),IF((BH$5=12),(SUMPRODUCT(--(Headcount!$F$6:$F$92="Executive"),--(Headcount!$H$6:$H$92&gt;=Exec!BH$3),Headcount!$N$6:$N$92,Headcount!$L$6:$L$92)),0),IF(YEAR(BH$3)=YEAR(Headcount!$O$4),IF((BH$5=12),(SUMPRODUCT(--(Headcount!$F$6:$F$92="Executive"),--(Headcount!$H$6:$H$92&gt;=Exec!BH$3),Headcount!$O$6:$O$92,Headcount!$L$6:$L$92)),0),IF(YEAR(BH$3)=YEAR(Headcount!$P$4),IF((BH$5=12),(SUMPRODUCT(--(Headcount!$F$6:$F$92="Executive"),--(Headcount!$H$6:$H$92&gt;=Exec!BH$3),Headcount!$P$6:$P$92,Headcount!$L$6:$L$92)),0),IF(YEAR(BH$3)=YEAR(Headcount!$Q$4),IF((BH$5=12),(SUMPRODUCT(--(Headcount!$F$6:$F$92="Executive"),--(Headcount!$H$6:$H$92&gt;=Exec!BH$3),Headcount!$Q$6:$Q$92,Headcount!$L$6:$L$92)),0),IF(YEAR(BH$3)=YEAR(Headcount!$R$4),IF((BH$5=12),(SUMPRODUCT(--(Headcount!$F$6:$F$92="Executive"),--(Headcount!$H$6:$H$92&gt;=Exec!BH$3),Headcount!$R$6:$R$92,Headcount!$L$6:$L$92)),0),"New Year"))))),'Dept. Cost Actuals'!BL982)</f>
        <v>0</v>
      </c>
      <c r="BI16" s="684">
        <f>IF(BI$4="forecast",IF(YEAR(BI$3)=YEAR(Headcount!$N$4),IF((BI$5=12),(SUMPRODUCT(--(Headcount!$F$6:$F$92="Executive"),--(Headcount!$H$6:$H$92&gt;=Exec!BI$3),Headcount!$N$6:$N$92,Headcount!$L$6:$L$92)),0),IF(YEAR(BI$3)=YEAR(Headcount!$O$4),IF((BI$5=12),(SUMPRODUCT(--(Headcount!$F$6:$F$92="Executive"),--(Headcount!$H$6:$H$92&gt;=Exec!BI$3),Headcount!$O$6:$O$92,Headcount!$L$6:$L$92)),0),IF(YEAR(BI$3)=YEAR(Headcount!$P$4),IF((BI$5=12),(SUMPRODUCT(--(Headcount!$F$6:$F$92="Executive"),--(Headcount!$H$6:$H$92&gt;=Exec!BI$3),Headcount!$P$6:$P$92,Headcount!$L$6:$L$92)),0),IF(YEAR(BI$3)=YEAR(Headcount!$Q$4),IF((BI$5=12),(SUMPRODUCT(--(Headcount!$F$6:$F$92="Executive"),--(Headcount!$H$6:$H$92&gt;=Exec!BI$3),Headcount!$Q$6:$Q$92,Headcount!$L$6:$L$92)),0),IF(YEAR(BI$3)=YEAR(Headcount!$R$4),IF((BI$5=12),(SUMPRODUCT(--(Headcount!$F$6:$F$92="Executive"),--(Headcount!$H$6:$H$92&gt;=Exec!BI$3),Headcount!$R$6:$R$92,Headcount!$L$6:$L$92)),0),"New Year"))))),'Dept. Cost Actuals'!BM982)</f>
        <v>0</v>
      </c>
      <c r="BJ16" s="684">
        <f>IF(BJ$4="forecast",IF(YEAR(BJ$3)=YEAR(Headcount!$N$4),IF((BJ$5=12),(SUMPRODUCT(--(Headcount!$F$6:$F$92="Executive"),--(Headcount!$H$6:$H$92&gt;=Exec!BJ$3),Headcount!$N$6:$N$92,Headcount!$L$6:$L$92)),0),IF(YEAR(BJ$3)=YEAR(Headcount!$O$4),IF((BJ$5=12),(SUMPRODUCT(--(Headcount!$F$6:$F$92="Executive"),--(Headcount!$H$6:$H$92&gt;=Exec!BJ$3),Headcount!$O$6:$O$92,Headcount!$L$6:$L$92)),0),IF(YEAR(BJ$3)=YEAR(Headcount!$P$4),IF((BJ$5=12),(SUMPRODUCT(--(Headcount!$F$6:$F$92="Executive"),--(Headcount!$H$6:$H$92&gt;=Exec!BJ$3),Headcount!$P$6:$P$92,Headcount!$L$6:$L$92)),0),IF(YEAR(BJ$3)=YEAR(Headcount!$Q$4),IF((BJ$5=12),(SUMPRODUCT(--(Headcount!$F$6:$F$92="Executive"),--(Headcount!$H$6:$H$92&gt;=Exec!BJ$3),Headcount!$Q$6:$Q$92,Headcount!$L$6:$L$92)),0),IF(YEAR(BJ$3)=YEAR(Headcount!$R$4),IF((BJ$5=12),(SUMPRODUCT(--(Headcount!$F$6:$F$92="Executive"),--(Headcount!$H$6:$H$92&gt;=Exec!BJ$3),Headcount!$R$6:$R$92,Headcount!$L$6:$L$92)),0),"New Year"))))),'Dept. Cost Actuals'!BN982)</f>
        <v>247500</v>
      </c>
      <c r="BK16" s="684">
        <f>IF(BK$4="forecast",IF(YEAR(BK$3)=YEAR(Headcount!$N$4),IF((BK$5=12),(SUMPRODUCT(--(Headcount!$F$6:$F$92="Executive"),--(Headcount!$H$6:$H$92&gt;=Exec!BK$3),Headcount!$N$6:$N$92,Headcount!$L$6:$L$92)),0),IF(YEAR(BK$3)=YEAR(Headcount!$O$4),IF((BK$5=12),(SUMPRODUCT(--(Headcount!$F$6:$F$92="Executive"),--(Headcount!$H$6:$H$92&gt;=Exec!BK$3),Headcount!$O$6:$O$92,Headcount!$L$6:$L$92)),0),IF(YEAR(BK$3)=YEAR(Headcount!$P$4),IF((BK$5=12),(SUMPRODUCT(--(Headcount!$F$6:$F$92="Executive"),--(Headcount!$H$6:$H$92&gt;=Exec!BK$3),Headcount!$P$6:$P$92,Headcount!$L$6:$L$92)),0),IF(YEAR(BK$3)=YEAR(Headcount!$Q$4),IF((BK$5=12),(SUMPRODUCT(--(Headcount!$F$6:$F$92="Executive"),--(Headcount!$H$6:$H$92&gt;=Exec!BK$3),Headcount!$Q$6:$Q$92,Headcount!$L$6:$L$92)),0),IF(YEAR(BK$3)=YEAR(Headcount!$R$4),IF((BK$5=12),(SUMPRODUCT(--(Headcount!$F$6:$F$92="Executive"),--(Headcount!$H$6:$H$92&gt;=Exec!BK$3),Headcount!$R$6:$R$92,Headcount!$L$6:$L$92)),0),"New Year"))))),'Dept. Cost Actuals'!BO982)</f>
        <v>0</v>
      </c>
      <c r="BL16" s="684">
        <f>IF(BL$4="forecast",IF(YEAR(BL$3)=YEAR(Headcount!$N$4),IF((BL$5=12),(SUMPRODUCT(--(Headcount!$F$6:$F$92="Executive"),--(Headcount!$H$6:$H$92&gt;=Exec!BL$3),Headcount!$N$6:$N$92,Headcount!$L$6:$L$92)),0),IF(YEAR(BL$3)=YEAR(Headcount!$O$4),IF((BL$5=12),(SUMPRODUCT(--(Headcount!$F$6:$F$92="Executive"),--(Headcount!$H$6:$H$92&gt;=Exec!BL$3),Headcount!$O$6:$O$92,Headcount!$L$6:$L$92)),0),IF(YEAR(BL$3)=YEAR(Headcount!$P$4),IF((BL$5=12),(SUMPRODUCT(--(Headcount!$F$6:$F$92="Executive"),--(Headcount!$H$6:$H$92&gt;=Exec!BL$3),Headcount!$P$6:$P$92,Headcount!$L$6:$L$92)),0),IF(YEAR(BL$3)=YEAR(Headcount!$Q$4),IF((BL$5=12),(SUMPRODUCT(--(Headcount!$F$6:$F$92="Executive"),--(Headcount!$H$6:$H$92&gt;=Exec!BL$3),Headcount!$Q$6:$Q$92,Headcount!$L$6:$L$92)),0),IF(YEAR(BL$3)=YEAR(Headcount!$R$4),IF((BL$5=12),(SUMPRODUCT(--(Headcount!$F$6:$F$92="Executive"),--(Headcount!$H$6:$H$92&gt;=Exec!BL$3),Headcount!$R$6:$R$92,Headcount!$L$6:$L$92)),0),"New Year"))))),'Dept. Cost Actuals'!BP982)</f>
        <v>0</v>
      </c>
      <c r="BM16" s="684">
        <f>IF(BM$4="forecast",IF(YEAR(BM$3)=YEAR(Headcount!$N$4),IF((BM$5=12),(SUMPRODUCT(--(Headcount!$F$6:$F$92="Executive"),--(Headcount!$H$6:$H$92&gt;=Exec!BM$3),Headcount!$N$6:$N$92,Headcount!$L$6:$L$92)),0),IF(YEAR(BM$3)=YEAR(Headcount!$O$4),IF((BM$5=12),(SUMPRODUCT(--(Headcount!$F$6:$F$92="Executive"),--(Headcount!$H$6:$H$92&gt;=Exec!BM$3),Headcount!$O$6:$O$92,Headcount!$L$6:$L$92)),0),IF(YEAR(BM$3)=YEAR(Headcount!$P$4),IF((BM$5=12),(SUMPRODUCT(--(Headcount!$F$6:$F$92="Executive"),--(Headcount!$H$6:$H$92&gt;=Exec!BM$3),Headcount!$P$6:$P$92,Headcount!$L$6:$L$92)),0),IF(YEAR(BM$3)=YEAR(Headcount!$Q$4),IF((BM$5=12),(SUMPRODUCT(--(Headcount!$F$6:$F$92="Executive"),--(Headcount!$H$6:$H$92&gt;=Exec!BM$3),Headcount!$Q$6:$Q$92,Headcount!$L$6:$L$92)),0),IF(YEAR(BM$3)=YEAR(Headcount!$R$4),IF((BM$5=12),(SUMPRODUCT(--(Headcount!$F$6:$F$92="Executive"),--(Headcount!$H$6:$H$92&gt;=Exec!BM$3),Headcount!$R$6:$R$92,Headcount!$L$6:$L$92)),0),"New Year"))))),'Dept. Cost Actuals'!BQ982)</f>
        <v>0</v>
      </c>
      <c r="BN16" s="684">
        <f>IF(BN$4="forecast",IF(YEAR(BN$3)=YEAR(Headcount!$N$4),IF((BN$5=12),(SUMPRODUCT(--(Headcount!$F$6:$F$92="Executive"),--(Headcount!$H$6:$H$92&gt;=Exec!BN$3),Headcount!$N$6:$N$92,Headcount!$L$6:$L$92)),0),IF(YEAR(BN$3)=YEAR(Headcount!$O$4),IF((BN$5=12),(SUMPRODUCT(--(Headcount!$F$6:$F$92="Executive"),--(Headcount!$H$6:$H$92&gt;=Exec!BN$3),Headcount!$O$6:$O$92,Headcount!$L$6:$L$92)),0),IF(YEAR(BN$3)=YEAR(Headcount!$P$4),IF((BN$5=12),(SUMPRODUCT(--(Headcount!$F$6:$F$92="Executive"),--(Headcount!$H$6:$H$92&gt;=Exec!BN$3),Headcount!$P$6:$P$92,Headcount!$L$6:$L$92)),0),IF(YEAR(BN$3)=YEAR(Headcount!$Q$4),IF((BN$5=12),(SUMPRODUCT(--(Headcount!$F$6:$F$92="Executive"),--(Headcount!$H$6:$H$92&gt;=Exec!BN$3),Headcount!$Q$6:$Q$92,Headcount!$L$6:$L$92)),0),IF(YEAR(BN$3)=YEAR(Headcount!$R$4),IF((BN$5=12),(SUMPRODUCT(--(Headcount!$F$6:$F$92="Executive"),--(Headcount!$H$6:$H$92&gt;=Exec!BN$3),Headcount!$R$6:$R$92,Headcount!$L$6:$L$92)),0),"New Year"))))),'Dept. Cost Actuals'!BR982)</f>
        <v>0</v>
      </c>
      <c r="BO16" s="684">
        <f>IF(BO$4="forecast",IF(YEAR(BO$3)=YEAR(Headcount!$N$4),IF((BO$5=12),(SUMPRODUCT(--(Headcount!$F$6:$F$92="Executive"),--(Headcount!$H$6:$H$92&gt;=Exec!BO$3),Headcount!$N$6:$N$92,Headcount!$L$6:$L$92)),0),IF(YEAR(BO$3)=YEAR(Headcount!$O$4),IF((BO$5=12),(SUMPRODUCT(--(Headcount!$F$6:$F$92="Executive"),--(Headcount!$H$6:$H$92&gt;=Exec!BO$3),Headcount!$O$6:$O$92,Headcount!$L$6:$L$92)),0),IF(YEAR(BO$3)=YEAR(Headcount!$P$4),IF((BO$5=12),(SUMPRODUCT(--(Headcount!$F$6:$F$92="Executive"),--(Headcount!$H$6:$H$92&gt;=Exec!BO$3),Headcount!$P$6:$P$92,Headcount!$L$6:$L$92)),0),IF(YEAR(BO$3)=YEAR(Headcount!$Q$4),IF((BO$5=12),(SUMPRODUCT(--(Headcount!$F$6:$F$92="Executive"),--(Headcount!$H$6:$H$92&gt;=Exec!BO$3),Headcount!$Q$6:$Q$92,Headcount!$L$6:$L$92)),0),IF(YEAR(BO$3)=YEAR(Headcount!$R$4),IF((BO$5=12),(SUMPRODUCT(--(Headcount!$F$6:$F$92="Executive"),--(Headcount!$H$6:$H$92&gt;=Exec!BO$3),Headcount!$R$6:$R$92,Headcount!$L$6:$L$92)),0),"New Year"))))),'Dept. Cost Actuals'!BS982)</f>
        <v>0</v>
      </c>
      <c r="BP16" s="684">
        <f>IF(BP$4="forecast",IF(YEAR(BP$3)=YEAR(Headcount!$N$4),IF((BP$5=12),(SUMPRODUCT(--(Headcount!$F$6:$F$92="Executive"),--(Headcount!$H$6:$H$92&gt;=Exec!BP$3),Headcount!$N$6:$N$92,Headcount!$L$6:$L$92)),0),IF(YEAR(BP$3)=YEAR(Headcount!$O$4),IF((BP$5=12),(SUMPRODUCT(--(Headcount!$F$6:$F$92="Executive"),--(Headcount!$H$6:$H$92&gt;=Exec!BP$3),Headcount!$O$6:$O$92,Headcount!$L$6:$L$92)),0),IF(YEAR(BP$3)=YEAR(Headcount!$P$4),IF((BP$5=12),(SUMPRODUCT(--(Headcount!$F$6:$F$92="Executive"),--(Headcount!$H$6:$H$92&gt;=Exec!BP$3),Headcount!$P$6:$P$92,Headcount!$L$6:$L$92)),0),IF(YEAR(BP$3)=YEAR(Headcount!$Q$4),IF((BP$5=12),(SUMPRODUCT(--(Headcount!$F$6:$F$92="Executive"),--(Headcount!$H$6:$H$92&gt;=Exec!BP$3),Headcount!$Q$6:$Q$92,Headcount!$L$6:$L$92)),0),IF(YEAR(BP$3)=YEAR(Headcount!$R$4),IF((BP$5=12),(SUMPRODUCT(--(Headcount!$F$6:$F$92="Executive"),--(Headcount!$H$6:$H$92&gt;=Exec!BP$3),Headcount!$R$6:$R$92,Headcount!$L$6:$L$92)),0),"New Year"))))),'Dept. Cost Actuals'!BT982)</f>
        <v>0</v>
      </c>
      <c r="BQ16" s="684">
        <f>IF(BQ$4="forecast",IF(YEAR(BQ$3)=YEAR(Headcount!$N$4),IF((BQ$5=12),(SUMPRODUCT(--(Headcount!$F$6:$F$92="Executive"),--(Headcount!$H$6:$H$92&gt;=Exec!BQ$3),Headcount!$N$6:$N$92,Headcount!$L$6:$L$92)),0),IF(YEAR(BQ$3)=YEAR(Headcount!$O$4),IF((BQ$5=12),(SUMPRODUCT(--(Headcount!$F$6:$F$92="Executive"),--(Headcount!$H$6:$H$92&gt;=Exec!BQ$3),Headcount!$O$6:$O$92,Headcount!$L$6:$L$92)),0),IF(YEAR(BQ$3)=YEAR(Headcount!$P$4),IF((BQ$5=12),(SUMPRODUCT(--(Headcount!$F$6:$F$92="Executive"),--(Headcount!$H$6:$H$92&gt;=Exec!BQ$3),Headcount!$P$6:$P$92,Headcount!$L$6:$L$92)),0),IF(YEAR(BQ$3)=YEAR(Headcount!$Q$4),IF((BQ$5=12),(SUMPRODUCT(--(Headcount!$F$6:$F$92="Executive"),--(Headcount!$H$6:$H$92&gt;=Exec!BQ$3),Headcount!$Q$6:$Q$92,Headcount!$L$6:$L$92)),0),IF(YEAR(BQ$3)=YEAR(Headcount!$R$4),IF((BQ$5=12),(SUMPRODUCT(--(Headcount!$F$6:$F$92="Executive"),--(Headcount!$H$6:$H$92&gt;=Exec!BQ$3),Headcount!$R$6:$R$92,Headcount!$L$6:$L$92)),0),"New Year"))))),'Dept. Cost Actuals'!BU982)</f>
        <v>0</v>
      </c>
      <c r="BR16" s="684">
        <f>IF(BR$4="forecast",IF(YEAR(BR$3)=YEAR(Headcount!$N$4),IF((BR$5=12),(SUMPRODUCT(--(Headcount!$F$6:$F$92="Executive"),--(Headcount!$H$6:$H$92&gt;=Exec!BR$3),Headcount!$N$6:$N$92,Headcount!$L$6:$L$92)),0),IF(YEAR(BR$3)=YEAR(Headcount!$O$4),IF((BR$5=12),(SUMPRODUCT(--(Headcount!$F$6:$F$92="Executive"),--(Headcount!$H$6:$H$92&gt;=Exec!BR$3),Headcount!$O$6:$O$92,Headcount!$L$6:$L$92)),0),IF(YEAR(BR$3)=YEAR(Headcount!$P$4),IF((BR$5=12),(SUMPRODUCT(--(Headcount!$F$6:$F$92="Executive"),--(Headcount!$H$6:$H$92&gt;=Exec!BR$3),Headcount!$P$6:$P$92,Headcount!$L$6:$L$92)),0),IF(YEAR(BR$3)=YEAR(Headcount!$Q$4),IF((BR$5=12),(SUMPRODUCT(--(Headcount!$F$6:$F$92="Executive"),--(Headcount!$H$6:$H$92&gt;=Exec!BR$3),Headcount!$Q$6:$Q$92,Headcount!$L$6:$L$92)),0),IF(YEAR(BR$3)=YEAR(Headcount!$R$4),IF((BR$5=12),(SUMPRODUCT(--(Headcount!$F$6:$F$92="Executive"),--(Headcount!$H$6:$H$92&gt;=Exec!BR$3),Headcount!$R$6:$R$92,Headcount!$L$6:$L$92)),0),"New Year"))))),'Dept. Cost Actuals'!BV982)</f>
        <v>0</v>
      </c>
      <c r="BS16" s="684">
        <f>IF(BS$4="forecast",IF(YEAR(BS$3)=YEAR(Headcount!$N$4),IF((BS$5=12),(SUMPRODUCT(--(Headcount!$F$6:$F$92="Executive"),--(Headcount!$H$6:$H$92&gt;=Exec!BS$3),Headcount!$N$6:$N$92,Headcount!$L$6:$L$92)),0),IF(YEAR(BS$3)=YEAR(Headcount!$O$4),IF((BS$5=12),(SUMPRODUCT(--(Headcount!$F$6:$F$92="Executive"),--(Headcount!$H$6:$H$92&gt;=Exec!BS$3),Headcount!$O$6:$O$92,Headcount!$L$6:$L$92)),0),IF(YEAR(BS$3)=YEAR(Headcount!$P$4),IF((BS$5=12),(SUMPRODUCT(--(Headcount!$F$6:$F$92="Executive"),--(Headcount!$H$6:$H$92&gt;=Exec!BS$3),Headcount!$P$6:$P$92,Headcount!$L$6:$L$92)),0),IF(YEAR(BS$3)=YEAR(Headcount!$Q$4),IF((BS$5=12),(SUMPRODUCT(--(Headcount!$F$6:$F$92="Executive"),--(Headcount!$H$6:$H$92&gt;=Exec!BS$3),Headcount!$Q$6:$Q$92,Headcount!$L$6:$L$92)),0),IF(YEAR(BS$3)=YEAR(Headcount!$R$4),IF((BS$5=12),(SUMPRODUCT(--(Headcount!$F$6:$F$92="Executive"),--(Headcount!$H$6:$H$92&gt;=Exec!BS$3),Headcount!$R$6:$R$92,Headcount!$L$6:$L$92)),0),"New Year"))))),'Dept. Cost Actuals'!BW982)</f>
        <v>0</v>
      </c>
      <c r="BT16" s="684">
        <f>IF(BT$4="forecast",IF(YEAR(BT$3)=YEAR(Headcount!$N$4),IF((BT$5=12),(SUMPRODUCT(--(Headcount!$F$6:$F$92="Executive"),--(Headcount!$H$6:$H$92&gt;=Exec!BT$3),Headcount!$N$6:$N$92,Headcount!$L$6:$L$92)),0),IF(YEAR(BT$3)=YEAR(Headcount!$O$4),IF((BT$5=12),(SUMPRODUCT(--(Headcount!$F$6:$F$92="Executive"),--(Headcount!$H$6:$H$92&gt;=Exec!BT$3),Headcount!$O$6:$O$92,Headcount!$L$6:$L$92)),0),IF(YEAR(BT$3)=YEAR(Headcount!$P$4),IF((BT$5=12),(SUMPRODUCT(--(Headcount!$F$6:$F$92="Executive"),--(Headcount!$H$6:$H$92&gt;=Exec!BT$3),Headcount!$P$6:$P$92,Headcount!$L$6:$L$92)),0),IF(YEAR(BT$3)=YEAR(Headcount!$Q$4),IF((BT$5=12),(SUMPRODUCT(--(Headcount!$F$6:$F$92="Executive"),--(Headcount!$H$6:$H$92&gt;=Exec!BT$3),Headcount!$Q$6:$Q$92,Headcount!$L$6:$L$92)),0),IF(YEAR(BT$3)=YEAR(Headcount!$R$4),IF((BT$5=12),(SUMPRODUCT(--(Headcount!$F$6:$F$92="Executive"),--(Headcount!$H$6:$H$92&gt;=Exec!BT$3),Headcount!$R$6:$R$92,Headcount!$L$6:$L$92)),0),"New Year"))))),'Dept. Cost Actuals'!BX982)</f>
        <v>0</v>
      </c>
      <c r="BU16" s="684">
        <f>IF(BU$4="forecast",IF(YEAR(BU$3)=YEAR(Headcount!$N$4),IF((BU$5=12),(SUMPRODUCT(--(Headcount!$F$6:$F$92="Executive"),--(Headcount!$H$6:$H$92&gt;=Exec!BU$3),Headcount!$N$6:$N$92,Headcount!$L$6:$L$92)),0),IF(YEAR(BU$3)=YEAR(Headcount!$O$4),IF((BU$5=12),(SUMPRODUCT(--(Headcount!$F$6:$F$92="Executive"),--(Headcount!$H$6:$H$92&gt;=Exec!BU$3),Headcount!$O$6:$O$92,Headcount!$L$6:$L$92)),0),IF(YEAR(BU$3)=YEAR(Headcount!$P$4),IF((BU$5=12),(SUMPRODUCT(--(Headcount!$F$6:$F$92="Executive"),--(Headcount!$H$6:$H$92&gt;=Exec!BU$3),Headcount!$P$6:$P$92,Headcount!$L$6:$L$92)),0),IF(YEAR(BU$3)=YEAR(Headcount!$Q$4),IF((BU$5=12),(SUMPRODUCT(--(Headcount!$F$6:$F$92="Executive"),--(Headcount!$H$6:$H$92&gt;=Exec!BU$3),Headcount!$Q$6:$Q$92,Headcount!$L$6:$L$92)),0),IF(YEAR(BU$3)=YEAR(Headcount!$R$4),IF((BU$5=12),(SUMPRODUCT(--(Headcount!$F$6:$F$92="Executive"),--(Headcount!$H$6:$H$92&gt;=Exec!BU$3),Headcount!$R$6:$R$92,Headcount!$L$6:$L$92)),0),"New Year"))))),'Dept. Cost Actuals'!BY982)</f>
        <v>0</v>
      </c>
      <c r="BV16" s="808">
        <f>IF(BV$4="forecast",IF(YEAR(BV$3)=YEAR(Headcount!$N$4),IF((BV$5=12),(SUMPRODUCT(--(Headcount!$F$6:$F$92="Executive"),--(Headcount!$H$6:$H$92&gt;=Exec!BV$3),Headcount!$N$6:$N$92,Headcount!$L$6:$L$92)),0),IF(YEAR(BV$3)=YEAR(Headcount!$O$4),IF((BV$5=12),(SUMPRODUCT(--(Headcount!$F$6:$F$92="Executive"),--(Headcount!$H$6:$H$92&gt;=Exec!BV$3),Headcount!$O$6:$O$92,Headcount!$L$6:$L$92)),0),IF(YEAR(BV$3)=YEAR(Headcount!$P$4),IF((BV$5=12),(SUMPRODUCT(--(Headcount!$F$6:$F$92="Executive"),--(Headcount!$H$6:$H$92&gt;=Exec!BV$3),Headcount!$P$6:$P$92,Headcount!$L$6:$L$92)),0),IF(YEAR(BV$3)=YEAR(Headcount!$Q$4),IF((BV$5=12),(SUMPRODUCT(--(Headcount!$F$6:$F$92="Executive"),--(Headcount!$H$6:$H$92&gt;=Exec!BV$3),Headcount!$Q$6:$Q$92,Headcount!$L$6:$L$92)),0),IF(YEAR(BV$3)=YEAR(Headcount!$R$4),IF((BV$5=12),(SUMPRODUCT(--(Headcount!$F$6:$F$92="Executive"),--(Headcount!$H$6:$H$92&gt;=Exec!BV$3),Headcount!$R$6:$R$92,Headcount!$L$6:$L$92)),0),"New Year"))))),'Dept. Cost Actuals'!BZ982)</f>
        <v>247500</v>
      </c>
    </row>
    <row r="17" spans="2:74" s="641" customFormat="1" ht="13" x14ac:dyDescent="0.3">
      <c r="B17" s="809" t="s">
        <v>939</v>
      </c>
      <c r="C17" s="995">
        <f t="shared" ref="C17:N17" si="5">SUM(C15:C16)</f>
        <v>0</v>
      </c>
      <c r="D17" s="995">
        <f t="shared" si="5"/>
        <v>0</v>
      </c>
      <c r="E17" s="995">
        <f t="shared" si="5"/>
        <v>0</v>
      </c>
      <c r="F17" s="995">
        <f t="shared" si="5"/>
        <v>0</v>
      </c>
      <c r="G17" s="995">
        <f t="shared" si="5"/>
        <v>0</v>
      </c>
      <c r="H17" s="995">
        <f t="shared" si="5"/>
        <v>0</v>
      </c>
      <c r="I17" s="995">
        <f t="shared" si="5"/>
        <v>0</v>
      </c>
      <c r="J17" s="995">
        <f t="shared" si="5"/>
        <v>0</v>
      </c>
      <c r="K17" s="995">
        <f t="shared" si="5"/>
        <v>0</v>
      </c>
      <c r="L17" s="995">
        <f t="shared" si="5"/>
        <v>0</v>
      </c>
      <c r="M17" s="995">
        <f t="shared" si="5"/>
        <v>0</v>
      </c>
      <c r="N17" s="995">
        <f t="shared" si="5"/>
        <v>0</v>
      </c>
      <c r="O17" s="995">
        <f t="shared" ref="O17:BV17" si="6">SUM(O15:O16)</f>
        <v>29892.83</v>
      </c>
      <c r="P17" s="995">
        <f t="shared" si="6"/>
        <v>29892.83</v>
      </c>
      <c r="Q17" s="995">
        <f t="shared" si="6"/>
        <v>29892.83</v>
      </c>
      <c r="R17" s="995">
        <f t="shared" si="6"/>
        <v>29892.83</v>
      </c>
      <c r="S17" s="995">
        <f t="shared" si="6"/>
        <v>29892.83</v>
      </c>
      <c r="T17" s="995">
        <f t="shared" si="6"/>
        <v>29892.83</v>
      </c>
      <c r="U17" s="995">
        <f t="shared" si="6"/>
        <v>29892.83</v>
      </c>
      <c r="V17" s="995">
        <f t="shared" si="6"/>
        <v>29892.83</v>
      </c>
      <c r="W17" s="995">
        <f t="shared" si="6"/>
        <v>30137.82</v>
      </c>
      <c r="X17" s="995">
        <f t="shared" si="6"/>
        <v>29892.83</v>
      </c>
      <c r="Y17" s="995">
        <f t="shared" si="6"/>
        <v>29892.83</v>
      </c>
      <c r="Z17" s="995">
        <f t="shared" si="6"/>
        <v>-51357.13</v>
      </c>
      <c r="AA17" s="995">
        <f t="shared" si="6"/>
        <v>0</v>
      </c>
      <c r="AB17" s="995">
        <f t="shared" si="6"/>
        <v>0</v>
      </c>
      <c r="AC17" s="995">
        <f t="shared" si="6"/>
        <v>0</v>
      </c>
      <c r="AD17" s="995">
        <f t="shared" si="6"/>
        <v>0</v>
      </c>
      <c r="AE17" s="995">
        <f t="shared" si="6"/>
        <v>0</v>
      </c>
      <c r="AF17" s="995">
        <f t="shared" si="6"/>
        <v>0</v>
      </c>
      <c r="AG17" s="995">
        <f t="shared" si="6"/>
        <v>0</v>
      </c>
      <c r="AH17" s="995">
        <f t="shared" si="6"/>
        <v>0</v>
      </c>
      <c r="AI17" s="995">
        <f t="shared" si="6"/>
        <v>0</v>
      </c>
      <c r="AJ17" s="995">
        <f t="shared" si="6"/>
        <v>0</v>
      </c>
      <c r="AK17" s="995">
        <f t="shared" si="6"/>
        <v>0</v>
      </c>
      <c r="AL17" s="995">
        <f t="shared" si="6"/>
        <v>247500</v>
      </c>
      <c r="AM17" s="995">
        <f t="shared" si="6"/>
        <v>0</v>
      </c>
      <c r="AN17" s="995">
        <f t="shared" si="6"/>
        <v>0</v>
      </c>
      <c r="AO17" s="995">
        <f t="shared" si="6"/>
        <v>0</v>
      </c>
      <c r="AP17" s="995">
        <f t="shared" si="6"/>
        <v>0</v>
      </c>
      <c r="AQ17" s="995">
        <f t="shared" si="6"/>
        <v>0</v>
      </c>
      <c r="AR17" s="995">
        <f t="shared" si="6"/>
        <v>0</v>
      </c>
      <c r="AS17" s="995">
        <f t="shared" si="6"/>
        <v>0</v>
      </c>
      <c r="AT17" s="995">
        <f t="shared" si="6"/>
        <v>0</v>
      </c>
      <c r="AU17" s="995">
        <f t="shared" si="6"/>
        <v>0</v>
      </c>
      <c r="AV17" s="995">
        <f t="shared" si="6"/>
        <v>0</v>
      </c>
      <c r="AW17" s="995">
        <f t="shared" si="6"/>
        <v>0</v>
      </c>
      <c r="AX17" s="995">
        <f t="shared" si="6"/>
        <v>247500</v>
      </c>
      <c r="AY17" s="995">
        <f t="shared" si="6"/>
        <v>0</v>
      </c>
      <c r="AZ17" s="995">
        <f t="shared" si="6"/>
        <v>0</v>
      </c>
      <c r="BA17" s="995">
        <f t="shared" si="6"/>
        <v>0</v>
      </c>
      <c r="BB17" s="995">
        <f t="shared" si="6"/>
        <v>0</v>
      </c>
      <c r="BC17" s="995">
        <f t="shared" si="6"/>
        <v>0</v>
      </c>
      <c r="BD17" s="995">
        <f t="shared" si="6"/>
        <v>0</v>
      </c>
      <c r="BE17" s="995">
        <f t="shared" si="6"/>
        <v>0</v>
      </c>
      <c r="BF17" s="995">
        <f t="shared" si="6"/>
        <v>0</v>
      </c>
      <c r="BG17" s="995">
        <f t="shared" si="6"/>
        <v>0</v>
      </c>
      <c r="BH17" s="995">
        <f t="shared" si="6"/>
        <v>0</v>
      </c>
      <c r="BI17" s="995">
        <f t="shared" si="6"/>
        <v>0</v>
      </c>
      <c r="BJ17" s="995">
        <f t="shared" si="6"/>
        <v>247500</v>
      </c>
      <c r="BK17" s="995">
        <f t="shared" si="6"/>
        <v>0</v>
      </c>
      <c r="BL17" s="995">
        <f t="shared" si="6"/>
        <v>0</v>
      </c>
      <c r="BM17" s="995">
        <f t="shared" si="6"/>
        <v>0</v>
      </c>
      <c r="BN17" s="995">
        <f t="shared" si="6"/>
        <v>0</v>
      </c>
      <c r="BO17" s="995">
        <f t="shared" si="6"/>
        <v>0</v>
      </c>
      <c r="BP17" s="995">
        <f t="shared" si="6"/>
        <v>0</v>
      </c>
      <c r="BQ17" s="995">
        <f t="shared" si="6"/>
        <v>0</v>
      </c>
      <c r="BR17" s="995">
        <f t="shared" si="6"/>
        <v>0</v>
      </c>
      <c r="BS17" s="995">
        <f t="shared" si="6"/>
        <v>0</v>
      </c>
      <c r="BT17" s="995">
        <f t="shared" si="6"/>
        <v>0</v>
      </c>
      <c r="BU17" s="995">
        <f t="shared" si="6"/>
        <v>0</v>
      </c>
      <c r="BV17" s="996">
        <f t="shared" si="6"/>
        <v>247500</v>
      </c>
    </row>
    <row r="18" spans="2:74" s="641" customFormat="1" ht="13" x14ac:dyDescent="0.3">
      <c r="B18" s="811" t="s">
        <v>940</v>
      </c>
      <c r="C18" s="684">
        <f>IF(C$4="forecast",C$7*'Direct People Department Costs'!$H$7,'Dept. Cost Actuals'!G998)</f>
        <v>498.9166429974407</v>
      </c>
      <c r="D18" s="684">
        <f>IF(D$4="forecast",D$7*'Direct People Department Costs'!$H$7,'Dept. Cost Actuals'!H998)</f>
        <v>284.08237098686425</v>
      </c>
      <c r="E18" s="684">
        <f>IF(E$4="forecast",E$7*'Direct People Department Costs'!$H$7,'Dept. Cost Actuals'!I998)</f>
        <v>390.30392709956465</v>
      </c>
      <c r="F18" s="684">
        <f>IF(F$4="forecast",F$7*'Direct People Department Costs'!$H$7,'Dept. Cost Actuals'!J998)</f>
        <v>1704.5009249673008</v>
      </c>
      <c r="G18" s="684">
        <f>IF(G$4="forecast",G$7*'Direct People Department Costs'!$H$7,'Dept. Cost Actuals'!K998)</f>
        <v>759.21371792732486</v>
      </c>
      <c r="H18" s="684">
        <f>IF(H$4="forecast",H$7*'Direct People Department Costs'!$H$7,'Dept. Cost Actuals'!L998)</f>
        <v>859.60331974991266</v>
      </c>
      <c r="I18" s="684">
        <f>IF(I$4="forecast",I$7*'Direct People Department Costs'!$H$7,'Dept. Cost Actuals'!M998)</f>
        <v>697.64807902379493</v>
      </c>
      <c r="J18" s="684">
        <f>IF(J$4="forecast",J$7*'Direct People Department Costs'!$H$7,'Dept. Cost Actuals'!N998)</f>
        <v>-132.64392549054753</v>
      </c>
      <c r="K18" s="684">
        <f>IF(K$4="forecast",K$7*'Direct People Department Costs'!$H$7,'Dept. Cost Actuals'!O998)</f>
        <v>777.22941110747843</v>
      </c>
      <c r="L18" s="684">
        <f>IF(L$4="forecast",L$7*'Direct People Department Costs'!$H$7,'Dept. Cost Actuals'!P998)</f>
        <v>219.58314546146966</v>
      </c>
      <c r="M18" s="684">
        <f>IF(M$4="forecast",M$7*'Direct People Department Costs'!$H$7,'Dept. Cost Actuals'!Q998)</f>
        <v>390.2680809568779</v>
      </c>
      <c r="N18" s="684">
        <f>IF(N$4="forecast",N$7*'Direct People Department Costs'!$H$7,'Dept. Cost Actuals'!R998)</f>
        <v>2185.4290380057323</v>
      </c>
      <c r="O18" s="684">
        <f>IF(O$4="forecast",O$7*'Direct People Department Costs'!$H$7,'Dept. Cost Actuals'!S998)</f>
        <v>3735.36</v>
      </c>
      <c r="P18" s="684">
        <f>IF(P$4="forecast",P$7*'Direct People Department Costs'!$H$7,'Dept. Cost Actuals'!T998)</f>
        <v>1589.32</v>
      </c>
      <c r="Q18" s="684">
        <f>IF(Q$4="forecast",Q$7*'Direct People Department Costs'!$H$7,'Dept. Cost Actuals'!U998)</f>
        <v>2817.71</v>
      </c>
      <c r="R18" s="684">
        <f>IF(R$4="forecast",R$7*'Direct People Department Costs'!$H$7,'Dept. Cost Actuals'!V998)</f>
        <v>2604.85</v>
      </c>
      <c r="S18" s="684">
        <f>IF(S$4="forecast",S$7*'Direct People Department Costs'!$H$7,'Dept. Cost Actuals'!W998)</f>
        <v>2672.03</v>
      </c>
      <c r="T18" s="684">
        <f>IF(T$4="forecast",T$7*'Direct People Department Costs'!$H$7,'Dept. Cost Actuals'!X998)</f>
        <v>3401.21</v>
      </c>
      <c r="U18" s="684">
        <f>IF(U$4="forecast",U$7*'Direct People Department Costs'!$H$7,'Dept. Cost Actuals'!Y998)</f>
        <v>2856.62</v>
      </c>
      <c r="V18" s="684">
        <f>IF(V$4="forecast",V$7*'Direct People Department Costs'!$H$7,'Dept. Cost Actuals'!Z998)</f>
        <v>2816.05</v>
      </c>
      <c r="W18" s="684">
        <f>IF(W$4="forecast",W$7*'Direct People Department Costs'!$H$7,'Dept. Cost Actuals'!AA998)</f>
        <v>2842.52</v>
      </c>
      <c r="X18" s="684">
        <f>IF(X$4="forecast",X$7*'Direct People Department Costs'!$H$7,'Dept. Cost Actuals'!AB998)</f>
        <v>2868.62</v>
      </c>
      <c r="Y18" s="684">
        <f>IF(Y$4="forecast",Y$7*'Direct People Department Costs'!$H$7,'Dept. Cost Actuals'!AC998)</f>
        <v>60</v>
      </c>
      <c r="Z18" s="684">
        <f>IF(Z$4="forecast",Z$7*'Direct People Department Costs'!$H$7,'Dept. Cost Actuals'!AD998)</f>
        <v>0</v>
      </c>
      <c r="AA18" s="684">
        <f>IF(AA$4="forecast",(((SUM($O$18:$Z$18)/12)*1.03)+((400/12)*AA$7)),'Dept. Cost Actuals'!AE158)</f>
        <v>2492.6848916666663</v>
      </c>
      <c r="AB18" s="684">
        <f>IF(AB$4="forecast",(((SUM($O$18:$Z$18)/12)*1.03)+((400/12)*AB$7)),'Dept. Cost Actuals'!AF158)</f>
        <v>2492.6848916666663</v>
      </c>
      <c r="AC18" s="684">
        <f>IF(AC$4="forecast",(((SUM($O$18:$Z$18)/12)*1.03)+((400/12)*AC$7)),'Dept. Cost Actuals'!AG158)</f>
        <v>2492.6848916666663</v>
      </c>
      <c r="AD18" s="684">
        <f>IF(AD$4="forecast",(((SUM($O$18:$Z$18)/12)*1.03)+((400/12)*AD$7)),'Dept. Cost Actuals'!AH158)</f>
        <v>2492.6848916666663</v>
      </c>
      <c r="AE18" s="684">
        <f>IF(AE$4="forecast",(((SUM($O$18:$Z$18)/12)*1.03)+((400/12)*AE$7)),'Dept. Cost Actuals'!AI158)</f>
        <v>2492.6848916666663</v>
      </c>
      <c r="AF18" s="684">
        <f>IF(AF$4="forecast",(((SUM($O$18:$Z$18)/12)*1.03)+((400/12)*AF$7)),'Dept. Cost Actuals'!AJ158)</f>
        <v>2492.6848916666663</v>
      </c>
      <c r="AG18" s="684">
        <f>IF(AG$4="forecast",(((SUM($O$18:$Z$18)/12)*1.03)+((400/12)*AG$7)),'Dept. Cost Actuals'!AK158)</f>
        <v>2492.6848916666663</v>
      </c>
      <c r="AH18" s="684">
        <f>IF(AH$4="forecast",(((SUM($O$18:$Z$18)/12)*1.03)+((400/12)*AH$7)),'Dept. Cost Actuals'!AL158)</f>
        <v>2492.6848916666663</v>
      </c>
      <c r="AI18" s="684">
        <f>IF(AI$4="forecast",(((SUM($O$18:$Z$18)/12)*1.03)+((400/12)*AI$7)),'Dept. Cost Actuals'!AM158)</f>
        <v>2492.6848916666663</v>
      </c>
      <c r="AJ18" s="684">
        <f>IF(AJ$4="forecast",(((SUM($O$18:$Z$18)/12)*1.03)+((400/12)*AJ$7)),'Dept. Cost Actuals'!AN158)</f>
        <v>2492.6848916666663</v>
      </c>
      <c r="AK18" s="684">
        <f>IF(AK$4="forecast",(((SUM($O$18:$Z$18)/12)*1.03)+((400/12)*AK$7)),'Dept. Cost Actuals'!AO158)</f>
        <v>2492.6848916666663</v>
      </c>
      <c r="AL18" s="684">
        <f>IF(AL$4="forecast",(((SUM($O$18:$Z$18)/12)*1.03)+((400/12)*AL$7)),'Dept. Cost Actuals'!AP158)</f>
        <v>2492.6848916666663</v>
      </c>
      <c r="AM18" s="684">
        <f>IF(AM$4="forecast",(((SUM($AA$18:$AL$18)/12)*1.03)+((400/12)*AM$7)),'Dept. Cost Actuals'!AQ158)</f>
        <v>2634.1321050833335</v>
      </c>
      <c r="AN18" s="684">
        <f>IF(AN$4="forecast",(((SUM($AA$18:$AL$18)/12)*1.03)+((400/12)*AN$7)),'Dept. Cost Actuals'!AR158)</f>
        <v>2634.1321050833335</v>
      </c>
      <c r="AO18" s="684">
        <f>IF(AO$4="forecast",(((SUM($AA$18:$AL$18)/12)*1.03)+((400/12)*AO$7)),'Dept. Cost Actuals'!AS158)</f>
        <v>2634.1321050833335</v>
      </c>
      <c r="AP18" s="684">
        <f>IF(AP$4="forecast",(((SUM($AA$18:$AL$18)/12)*1.03)+((400/12)*AP$7)),'Dept. Cost Actuals'!AT158)</f>
        <v>2634.1321050833335</v>
      </c>
      <c r="AQ18" s="684">
        <f>IF(AQ$4="forecast",(((SUM($AA$18:$AL$18)/12)*1.03)+((400/12)*AQ$7)),'Dept. Cost Actuals'!AU158)</f>
        <v>2634.1321050833335</v>
      </c>
      <c r="AR18" s="684">
        <f>IF(AR$4="forecast",(((SUM($AA$18:$AL$18)/12)*1.03)+((400/12)*AR$7)),'Dept. Cost Actuals'!AV158)</f>
        <v>2634.1321050833335</v>
      </c>
      <c r="AS18" s="684">
        <f>IF(AS$4="forecast",(((SUM($AA$18:$AL$18)/12)*1.03)+((400/12)*AS$7)),'Dept. Cost Actuals'!AW158)</f>
        <v>2634.1321050833335</v>
      </c>
      <c r="AT18" s="684">
        <f>IF(AT$4="forecast",(((SUM($AA$18:$AL$18)/12)*1.03)+((400/12)*AT$7)),'Dept. Cost Actuals'!AX158)</f>
        <v>2634.1321050833335</v>
      </c>
      <c r="AU18" s="684">
        <f>IF(AU$4="forecast",(((SUM($AA$18:$AL$18)/12)*1.03)+((400/12)*AU$7)),'Dept. Cost Actuals'!AY158)</f>
        <v>2634.1321050833335</v>
      </c>
      <c r="AV18" s="684">
        <f>IF(AV$4="forecast",(((SUM($AA$18:$AL$18)/12)*1.03)+((400/12)*AV$7)),'Dept. Cost Actuals'!AZ158)</f>
        <v>2634.1321050833335</v>
      </c>
      <c r="AW18" s="684">
        <f>IF(AW$4="forecast",(((SUM($AA$18:$AL$18)/12)*1.03)+((400/12)*AW$7)),'Dept. Cost Actuals'!BA158)</f>
        <v>2634.1321050833335</v>
      </c>
      <c r="AX18" s="684">
        <f>IF(AX$4="forecast",(((SUM($AA$18:$AL$18)/12)*1.03)+((400/12)*AX$7)),'Dept. Cost Actuals'!BB158)</f>
        <v>2634.1321050833335</v>
      </c>
      <c r="AY18" s="684">
        <f>IF(AY$4="forecast",AY$7*'Direct People Department Costs'!$H$7,'Dept. Cost Actuals'!BC998)</f>
        <v>1150</v>
      </c>
      <c r="AZ18" s="684">
        <f>IF(AZ$4="forecast",AZ$7*'Direct People Department Costs'!$H$7,'Dept. Cost Actuals'!BD998)</f>
        <v>1150</v>
      </c>
      <c r="BA18" s="684">
        <f>IF(BA$4="forecast",BA$7*'Direct People Department Costs'!$H$7,'Dept. Cost Actuals'!BE998)</f>
        <v>1150</v>
      </c>
      <c r="BB18" s="684">
        <f>IF(BB$4="forecast",BB$7*'Direct People Department Costs'!$H$7,'Dept. Cost Actuals'!BF998)</f>
        <v>1150</v>
      </c>
      <c r="BC18" s="684">
        <f>IF(BC$4="forecast",BC$7*'Direct People Department Costs'!$H$7,'Dept. Cost Actuals'!BG998)</f>
        <v>1150</v>
      </c>
      <c r="BD18" s="684">
        <f>IF(BD$4="forecast",BD$7*'Direct People Department Costs'!$H$7,'Dept. Cost Actuals'!BH998)</f>
        <v>1150</v>
      </c>
      <c r="BE18" s="684">
        <f>IF(BE$4="forecast",BE$7*'Direct People Department Costs'!$H$7,'Dept. Cost Actuals'!BI998)</f>
        <v>1150</v>
      </c>
      <c r="BF18" s="684">
        <f>IF(BF$4="forecast",BF$7*'Direct People Department Costs'!$H$7,'Dept. Cost Actuals'!BJ998)</f>
        <v>1150</v>
      </c>
      <c r="BG18" s="684">
        <f>IF(BG$4="forecast",BG$7*'Direct People Department Costs'!$H$7,'Dept. Cost Actuals'!BK998)</f>
        <v>1150</v>
      </c>
      <c r="BH18" s="684">
        <f>IF(BH$4="forecast",BH$7*'Direct People Department Costs'!$H$7,'Dept. Cost Actuals'!BL998)</f>
        <v>1150</v>
      </c>
      <c r="BI18" s="684">
        <f>IF(BI$4="forecast",BI$7*'Direct People Department Costs'!$H$7,'Dept. Cost Actuals'!BM998)</f>
        <v>1150</v>
      </c>
      <c r="BJ18" s="684">
        <f>IF(BJ$4="forecast",BJ$7*'Direct People Department Costs'!$H$7,'Dept. Cost Actuals'!BN998)</f>
        <v>1150</v>
      </c>
      <c r="BK18" s="684">
        <f>IF(BK$4="forecast",BK$7*'Direct People Department Costs'!$H$7,'Dept. Cost Actuals'!BO998)</f>
        <v>1150</v>
      </c>
      <c r="BL18" s="684">
        <f>IF(BL$4="forecast",BL$7*'Direct People Department Costs'!$H$7,'Dept. Cost Actuals'!BP998)</f>
        <v>1150</v>
      </c>
      <c r="BM18" s="684">
        <f>IF(BM$4="forecast",BM$7*'Direct People Department Costs'!$H$7,'Dept. Cost Actuals'!BQ998)</f>
        <v>1150</v>
      </c>
      <c r="BN18" s="684">
        <f>IF(BN$4="forecast",BN$7*'Direct People Department Costs'!$H$7,'Dept. Cost Actuals'!BR998)</f>
        <v>1150</v>
      </c>
      <c r="BO18" s="684">
        <f>IF(BO$4="forecast",BO$7*'Direct People Department Costs'!$H$7,'Dept. Cost Actuals'!BS998)</f>
        <v>1150</v>
      </c>
      <c r="BP18" s="684">
        <f>IF(BP$4="forecast",BP$7*'Direct People Department Costs'!$H$7,'Dept. Cost Actuals'!BT998)</f>
        <v>1150</v>
      </c>
      <c r="BQ18" s="684">
        <f>IF(BQ$4="forecast",BQ$7*'Direct People Department Costs'!$H$7,'Dept. Cost Actuals'!BU998)</f>
        <v>1150</v>
      </c>
      <c r="BR18" s="684">
        <f>IF(BR$4="forecast",BR$7*'Direct People Department Costs'!$H$7,'Dept. Cost Actuals'!BV998)</f>
        <v>1150</v>
      </c>
      <c r="BS18" s="684">
        <f>IF(BS$4="forecast",BS$7*'Direct People Department Costs'!$H$7,'Dept. Cost Actuals'!BW998)</f>
        <v>1150</v>
      </c>
      <c r="BT18" s="684">
        <f>IF(BT$4="forecast",BT$7*'Direct People Department Costs'!$H$7,'Dept. Cost Actuals'!BX998)</f>
        <v>1150</v>
      </c>
      <c r="BU18" s="684">
        <f>IF(BU$4="forecast",BU$7*'Direct People Department Costs'!$H$7,'Dept. Cost Actuals'!BY998)</f>
        <v>1150</v>
      </c>
      <c r="BV18" s="808">
        <f>IF(BV$4="forecast",BV$7*'Direct People Department Costs'!$H$7,'Dept. Cost Actuals'!BZ998)</f>
        <v>1150</v>
      </c>
    </row>
    <row r="19" spans="2:74" x14ac:dyDescent="0.35">
      <c r="B19" s="812" t="s">
        <v>941</v>
      </c>
      <c r="C19" s="684">
        <f>IF(C$4="forecast",C$8*'Direct People Department Costs'!$H$8,'Dept. Cost Actuals'!G882)</f>
        <v>0</v>
      </c>
      <c r="D19" s="684">
        <f>IF(D$4="forecast",D$8*'Direct People Department Costs'!$H$8,'Dept. Cost Actuals'!H882)</f>
        <v>0</v>
      </c>
      <c r="E19" s="684">
        <f>IF(E$4="forecast",E$8*'Direct People Department Costs'!$H$8,'Dept. Cost Actuals'!I882)</f>
        <v>0</v>
      </c>
      <c r="F19" s="684">
        <f>IF(F$4="forecast",F$8*'Direct People Department Costs'!$H$8,'Dept. Cost Actuals'!J882)</f>
        <v>0</v>
      </c>
      <c r="G19" s="684">
        <f>IF(G$4="forecast",G$8*'Direct People Department Costs'!$H$8,'Dept. Cost Actuals'!K882)</f>
        <v>0</v>
      </c>
      <c r="H19" s="684">
        <f>IF(H$4="forecast",H$8*'Direct People Department Costs'!$H$8,'Dept. Cost Actuals'!L882)</f>
        <v>0</v>
      </c>
      <c r="I19" s="684">
        <f>IF(I$4="forecast",I$8*'Direct People Department Costs'!$H$8,'Dept. Cost Actuals'!M882)</f>
        <v>0</v>
      </c>
      <c r="J19" s="684">
        <f>IF(J$4="forecast",J$8*'Direct People Department Costs'!$H$8,'Dept. Cost Actuals'!N882)</f>
        <v>0</v>
      </c>
      <c r="K19" s="684">
        <f>IF(K$4="forecast",K$8*'Direct People Department Costs'!$H$8,'Dept. Cost Actuals'!O882)</f>
        <v>0</v>
      </c>
      <c r="L19" s="684">
        <f>IF(L$4="forecast",L$8*'Direct People Department Costs'!$H$8,'Dept. Cost Actuals'!P882)</f>
        <v>0</v>
      </c>
      <c r="M19" s="684">
        <f>IF(M$4="forecast",M$8*'Direct People Department Costs'!$H$8,'Dept. Cost Actuals'!Q882)</f>
        <v>0</v>
      </c>
      <c r="N19" s="684">
        <f>IF(N$4="forecast",N$8*'Direct People Department Costs'!$H$8,'Dept. Cost Actuals'!R882)</f>
        <v>0</v>
      </c>
      <c r="O19" s="684">
        <f>IF(O$4="forecast",O$8*'Direct People Department Costs'!$H$8,'Dept. Cost Actuals'!S882)</f>
        <v>0</v>
      </c>
      <c r="P19" s="684">
        <f>IF(P$4="forecast",P$8*'Direct People Department Costs'!$H$8,'Dept. Cost Actuals'!T882)</f>
        <v>0</v>
      </c>
      <c r="Q19" s="684">
        <f>IF(Q$4="forecast",Q$8*'Direct People Department Costs'!$H$8,'Dept. Cost Actuals'!U882)</f>
        <v>0</v>
      </c>
      <c r="R19" s="684">
        <f>IF(R$4="forecast",R$8*'Direct People Department Costs'!$H$8,'Dept. Cost Actuals'!V882)</f>
        <v>0</v>
      </c>
      <c r="S19" s="684">
        <f>IF(S$4="forecast",S$8*'Direct People Department Costs'!$H$8,'Dept. Cost Actuals'!W882)</f>
        <v>0</v>
      </c>
      <c r="T19" s="684">
        <f>IF(T$4="forecast",T$8*'Direct People Department Costs'!$H$8,'Dept. Cost Actuals'!X882)</f>
        <v>447.65</v>
      </c>
      <c r="U19" s="684">
        <f>IF(U$4="forecast",U$8*'Direct People Department Costs'!$H$8,'Dept. Cost Actuals'!Y882)</f>
        <v>0</v>
      </c>
      <c r="V19" s="684">
        <f>IF(V$4="forecast",V$8*'Direct People Department Costs'!$H$8,'Dept. Cost Actuals'!Z882)</f>
        <v>0</v>
      </c>
      <c r="W19" s="684">
        <f>IF(W$4="forecast",W$8*'Direct People Department Costs'!$H$8,'Dept. Cost Actuals'!AA882)</f>
        <v>0</v>
      </c>
      <c r="X19" s="684">
        <f>IF(X$4="forecast",X$8*'Direct People Department Costs'!$H$8,'Dept. Cost Actuals'!AB882)</f>
        <v>837.15</v>
      </c>
      <c r="Y19" s="684">
        <f>IF(Y$4="forecast",Y$8*'Direct People Department Costs'!$H$8,'Dept. Cost Actuals'!AC882)</f>
        <v>0</v>
      </c>
      <c r="Z19" s="684">
        <f>IF(Z$4="forecast",Z$8*'Direct People Department Costs'!$H$8,'Dept. Cost Actuals'!AD882)</f>
        <v>0</v>
      </c>
      <c r="AA19" s="684">
        <f>IF(AA$4="forecast",AA$8*'Direct People Department Costs'!$H$8,'Dept. Cost Actuals'!AE882)</f>
        <v>0</v>
      </c>
      <c r="AB19" s="684">
        <f>IF(AB$4="forecast",AB$8*'Direct People Department Costs'!$H$8,'Dept. Cost Actuals'!AF882)</f>
        <v>0</v>
      </c>
      <c r="AC19" s="684">
        <f>IF(AC$4="forecast",AC$8*'Direct People Department Costs'!$H$8,'Dept. Cost Actuals'!AG882)</f>
        <v>0</v>
      </c>
      <c r="AD19" s="684">
        <f>IF(AD$4="forecast",AD$8*'Direct People Department Costs'!$H$8,'Dept. Cost Actuals'!AH882)</f>
        <v>0</v>
      </c>
      <c r="AE19" s="684">
        <f>IF(AE$4="forecast",AE$8*'Direct People Department Costs'!$H$8,'Dept. Cost Actuals'!AI882)</f>
        <v>0</v>
      </c>
      <c r="AF19" s="684">
        <f>IF(AF$4="forecast",AF$8*'Direct People Department Costs'!$H$8,'Dept. Cost Actuals'!AJ882)</f>
        <v>0</v>
      </c>
      <c r="AG19" s="684">
        <f>IF(AG$4="forecast",AG$8*'Direct People Department Costs'!$H$8,'Dept. Cost Actuals'!AK882)</f>
        <v>0</v>
      </c>
      <c r="AH19" s="684">
        <f>IF(AH$4="forecast",AH$8*'Direct People Department Costs'!$H$8,'Dept. Cost Actuals'!AL882)</f>
        <v>0</v>
      </c>
      <c r="AI19" s="684">
        <f>IF(AI$4="forecast",AI$8*'Direct People Department Costs'!$H$8,'Dept. Cost Actuals'!AM882)</f>
        <v>0</v>
      </c>
      <c r="AJ19" s="684">
        <f>IF(AJ$4="forecast",AJ$8*'Direct People Department Costs'!$H$8,'Dept. Cost Actuals'!AN882)</f>
        <v>0</v>
      </c>
      <c r="AK19" s="684">
        <f>IF(AK$4="forecast",AK$8*'Direct People Department Costs'!$H$8,'Dept. Cost Actuals'!AO882)</f>
        <v>0</v>
      </c>
      <c r="AL19" s="684">
        <f>IF(AL$4="forecast",AL$8*'Direct People Department Costs'!$H$8,'Dept. Cost Actuals'!AP882)</f>
        <v>0</v>
      </c>
      <c r="AM19" s="684">
        <f>IF(AM$4="forecast",AM$8*'Direct People Department Costs'!$H$8,'Dept. Cost Actuals'!AQ882)</f>
        <v>0</v>
      </c>
      <c r="AN19" s="684">
        <f>IF(AN$4="forecast",AN$8*'Direct People Department Costs'!$H$8,'Dept. Cost Actuals'!AR882)</f>
        <v>0</v>
      </c>
      <c r="AO19" s="684">
        <f>IF(AO$4="forecast",AO$8*'Direct People Department Costs'!$H$8,'Dept. Cost Actuals'!AS882)</f>
        <v>0</v>
      </c>
      <c r="AP19" s="684">
        <f>IF(AP$4="forecast",AP$8*'Direct People Department Costs'!$H$8,'Dept. Cost Actuals'!AT882)</f>
        <v>0</v>
      </c>
      <c r="AQ19" s="684">
        <f>IF(AQ$4="forecast",AQ$8*'Direct People Department Costs'!$H$8,'Dept. Cost Actuals'!AU882)</f>
        <v>0</v>
      </c>
      <c r="AR19" s="684">
        <f>IF(AR$4="forecast",AR$8*'Direct People Department Costs'!$H$8,'Dept. Cost Actuals'!AV882)</f>
        <v>0</v>
      </c>
      <c r="AS19" s="684">
        <f>IF(AS$4="forecast",AS$8*'Direct People Department Costs'!$H$8,'Dept. Cost Actuals'!AW882)</f>
        <v>0</v>
      </c>
      <c r="AT19" s="684">
        <f>IF(AT$4="forecast",AT$8*'Direct People Department Costs'!$H$8,'Dept. Cost Actuals'!AX882)</f>
        <v>0</v>
      </c>
      <c r="AU19" s="684">
        <f>IF(AU$4="forecast",AU$8*'Direct People Department Costs'!$H$8,'Dept. Cost Actuals'!AY882)</f>
        <v>0</v>
      </c>
      <c r="AV19" s="684">
        <f>IF(AV$4="forecast",AV$8*'Direct People Department Costs'!$H$8,'Dept. Cost Actuals'!AZ882)</f>
        <v>0</v>
      </c>
      <c r="AW19" s="684">
        <f>IF(AW$4="forecast",AW$8*'Direct People Department Costs'!$H$8,'Dept. Cost Actuals'!BA882)</f>
        <v>0</v>
      </c>
      <c r="AX19" s="684">
        <f>IF(AX$4="forecast",AX$8*'Direct People Department Costs'!$H$8,'Dept. Cost Actuals'!BB882)</f>
        <v>0</v>
      </c>
      <c r="AY19" s="684">
        <f>IF(AY$4="forecast",AY$8*'Direct People Department Costs'!$H$8,'Dept. Cost Actuals'!BC882)</f>
        <v>0</v>
      </c>
      <c r="AZ19" s="684">
        <f>IF(AZ$4="forecast",AZ$8*'Direct People Department Costs'!$H$8,'Dept. Cost Actuals'!BD882)</f>
        <v>0</v>
      </c>
      <c r="BA19" s="684">
        <f>IF(BA$4="forecast",BA$8*'Direct People Department Costs'!$H$8,'Dept. Cost Actuals'!BE882)</f>
        <v>0</v>
      </c>
      <c r="BB19" s="684">
        <f>IF(BB$4="forecast",BB$8*'Direct People Department Costs'!$H$8,'Dept. Cost Actuals'!BF882)</f>
        <v>0</v>
      </c>
      <c r="BC19" s="684">
        <f>IF(BC$4="forecast",BC$8*'Direct People Department Costs'!$H$8,'Dept. Cost Actuals'!BG882)</f>
        <v>0</v>
      </c>
      <c r="BD19" s="684">
        <f>IF(BD$4="forecast",BD$8*'Direct People Department Costs'!$H$8,'Dept. Cost Actuals'!BH882)</f>
        <v>0</v>
      </c>
      <c r="BE19" s="684">
        <f>IF(BE$4="forecast",BE$8*'Direct People Department Costs'!$H$8,'Dept. Cost Actuals'!BI882)</f>
        <v>0</v>
      </c>
      <c r="BF19" s="684">
        <f>IF(BF$4="forecast",BF$8*'Direct People Department Costs'!$H$8,'Dept. Cost Actuals'!BJ882)</f>
        <v>0</v>
      </c>
      <c r="BG19" s="684">
        <f>IF(BG$4="forecast",BG$8*'Direct People Department Costs'!$H$8,'Dept. Cost Actuals'!BK882)</f>
        <v>0</v>
      </c>
      <c r="BH19" s="684">
        <f>IF(BH$4="forecast",BH$8*'Direct People Department Costs'!$H$8,'Dept. Cost Actuals'!BL882)</f>
        <v>0</v>
      </c>
      <c r="BI19" s="684">
        <f>IF(BI$4="forecast",BI$8*'Direct People Department Costs'!$H$8,'Dept. Cost Actuals'!BM882)</f>
        <v>0</v>
      </c>
      <c r="BJ19" s="684">
        <f>IF(BJ$4="forecast",BJ$8*'Direct People Department Costs'!$H$8,'Dept. Cost Actuals'!BN882)</f>
        <v>0</v>
      </c>
      <c r="BK19" s="684">
        <f>IF(BK$4="forecast",BK$8*'Direct People Department Costs'!$H$8,'Dept. Cost Actuals'!BO882)</f>
        <v>0</v>
      </c>
      <c r="BL19" s="684">
        <f>IF(BL$4="forecast",BL$8*'Direct People Department Costs'!$H$8,'Dept. Cost Actuals'!BP882)</f>
        <v>0</v>
      </c>
      <c r="BM19" s="684">
        <f>IF(BM$4="forecast",BM$8*'Direct People Department Costs'!$H$8,'Dept. Cost Actuals'!BQ882)</f>
        <v>0</v>
      </c>
      <c r="BN19" s="684">
        <f>IF(BN$4="forecast",BN$8*'Direct People Department Costs'!$H$8,'Dept. Cost Actuals'!BR882)</f>
        <v>0</v>
      </c>
      <c r="BO19" s="684">
        <f>IF(BO$4="forecast",BO$8*'Direct People Department Costs'!$H$8,'Dept. Cost Actuals'!BS882)</f>
        <v>0</v>
      </c>
      <c r="BP19" s="684">
        <f>IF(BP$4="forecast",BP$8*'Direct People Department Costs'!$H$8,'Dept. Cost Actuals'!BT882)</f>
        <v>0</v>
      </c>
      <c r="BQ19" s="684">
        <f>IF(BQ$4="forecast",BQ$8*'Direct People Department Costs'!$H$8,'Dept. Cost Actuals'!BU882)</f>
        <v>0</v>
      </c>
      <c r="BR19" s="684">
        <f>IF(BR$4="forecast",BR$8*'Direct People Department Costs'!$H$8,'Dept. Cost Actuals'!BV882)</f>
        <v>0</v>
      </c>
      <c r="BS19" s="684">
        <f>IF(BS$4="forecast",BS$8*'Direct People Department Costs'!$H$8,'Dept. Cost Actuals'!BW882)</f>
        <v>0</v>
      </c>
      <c r="BT19" s="684">
        <f>IF(BT$4="forecast",BT$8*'Direct People Department Costs'!$H$8,'Dept. Cost Actuals'!BX882)</f>
        <v>0</v>
      </c>
      <c r="BU19" s="684">
        <f>IF(BU$4="forecast",BU$8*'Direct People Department Costs'!$H$8,'Dept. Cost Actuals'!BY882)</f>
        <v>0</v>
      </c>
      <c r="BV19" s="808">
        <f>IF(BV$4="forecast",BV$8*'Direct People Department Costs'!$H$8,'Dept. Cost Actuals'!BZ882)</f>
        <v>0</v>
      </c>
    </row>
    <row r="20" spans="2:74" x14ac:dyDescent="0.35">
      <c r="B20" s="812" t="s">
        <v>925</v>
      </c>
      <c r="C20" s="684">
        <f>IF(C$4="forecast",C$8*'Direct People Department Costs'!$H$9,'Dept. Cost Actuals'!G1000)</f>
        <v>166.69515673803267</v>
      </c>
      <c r="D20" s="684">
        <f>IF(D$4="forecast",D$8*'Direct People Department Costs'!$H$9,'Dept. Cost Actuals'!H1000)</f>
        <v>26.520637690201514</v>
      </c>
      <c r="E20" s="684">
        <f>IF(E$4="forecast",E$8*'Direct People Department Costs'!$H$9,'Dept. Cost Actuals'!I1000)</f>
        <v>16.653701799456318</v>
      </c>
      <c r="F20" s="684">
        <f>IF(F$4="forecast",F$8*'Direct People Department Costs'!$H$9,'Dept. Cost Actuals'!J1000)</f>
        <v>2683.6246017295275</v>
      </c>
      <c r="G20" s="684">
        <f>IF(G$4="forecast",G$8*'Direct People Department Costs'!$H$9,'Dept. Cost Actuals'!K1000)</f>
        <v>138.34601918959768</v>
      </c>
      <c r="H20" s="684">
        <f>IF(H$4="forecast",H$8*'Direct People Department Costs'!$H$9,'Dept. Cost Actuals'!L1000)</f>
        <v>2204.2635476173446</v>
      </c>
      <c r="I20" s="684">
        <f>IF(I$4="forecast",I$8*'Direct People Department Costs'!$H$9,'Dept. Cost Actuals'!M1000)</f>
        <v>1866.5488107701285</v>
      </c>
      <c r="J20" s="684">
        <f>IF(J$4="forecast",J$8*'Direct People Department Costs'!$H$9,'Dept. Cost Actuals'!N1000)</f>
        <v>1953.8926965899468</v>
      </c>
      <c r="K20" s="684">
        <f>IF(K$4="forecast",K$8*'Direct People Department Costs'!$H$9,'Dept. Cost Actuals'!O1000)</f>
        <v>13.224621937637316</v>
      </c>
      <c r="L20" s="684">
        <f>IF(L$4="forecast",L$8*'Direct People Department Costs'!$H$9,'Dept. Cost Actuals'!P1000)</f>
        <v>1164.6089782585323</v>
      </c>
      <c r="M20" s="684">
        <f>IF(M$4="forecast",M$8*'Direct People Department Costs'!$H$9,'Dept. Cost Actuals'!Q1000)</f>
        <v>0</v>
      </c>
      <c r="N20" s="684">
        <f>IF(N$4="forecast",N$8*'Direct People Department Costs'!$H$9,'Dept. Cost Actuals'!R1000)</f>
        <v>0</v>
      </c>
      <c r="O20" s="684">
        <f>IF(O$4="forecast",O$8*'Direct People Department Costs'!$H$9,'Dept. Cost Actuals'!S1000)</f>
        <v>0</v>
      </c>
      <c r="P20" s="684">
        <f>IF(P$4="forecast",P$8*'Direct People Department Costs'!$H$9,'Dept. Cost Actuals'!T1000)</f>
        <v>0</v>
      </c>
      <c r="Q20" s="684">
        <f>IF(Q$4="forecast",Q$8*'Direct People Department Costs'!$H$9,'Dept. Cost Actuals'!U1000)</f>
        <v>0</v>
      </c>
      <c r="R20" s="684">
        <f>IF(R$4="forecast",R$8*'Direct People Department Costs'!$H$9,'Dept. Cost Actuals'!V1000)</f>
        <v>0</v>
      </c>
      <c r="S20" s="684">
        <f>IF(S$4="forecast",S$8*'Direct People Department Costs'!$H$9,'Dept. Cost Actuals'!W1000)</f>
        <v>0</v>
      </c>
      <c r="T20" s="684">
        <f>IF(T$4="forecast",T$8*'Direct People Department Costs'!$H$9,'Dept. Cost Actuals'!X1000)</f>
        <v>0</v>
      </c>
      <c r="U20" s="684">
        <f>IF(U$4="forecast",U$8*'Direct People Department Costs'!$H$9,'Dept. Cost Actuals'!Y1000)</f>
        <v>0</v>
      </c>
      <c r="V20" s="684">
        <f>IF(V$4="forecast",V$8*'Direct People Department Costs'!$H$9,'Dept. Cost Actuals'!Z1000)</f>
        <v>0</v>
      </c>
      <c r="W20" s="684">
        <f>IF(W$4="forecast",W$8*'Direct People Department Costs'!$H$9,'Dept. Cost Actuals'!AA1000)</f>
        <v>0</v>
      </c>
      <c r="X20" s="684">
        <f>IF(X$4="forecast",X$8*'Direct People Department Costs'!$H$9,'Dept. Cost Actuals'!AB1000)</f>
        <v>0</v>
      </c>
      <c r="Y20" s="684">
        <f>IF(Y$4="forecast",Y$8*'Direct People Department Costs'!$H$9,'Dept. Cost Actuals'!AC1000)</f>
        <v>0</v>
      </c>
      <c r="Z20" s="684">
        <f>IF(Z$4="forecast",Z$8*'Direct People Department Costs'!$H$9,'Dept. Cost Actuals'!AD1000)</f>
        <v>0</v>
      </c>
      <c r="AA20" s="684">
        <f>IF(AA$4="forecast",AA$8*'Direct People Department Costs'!$H$9,'Dept. Cost Actuals'!AE1000)</f>
        <v>0</v>
      </c>
      <c r="AB20" s="684">
        <f>IF(AB$4="forecast",AB$8*'Direct People Department Costs'!$H$9,'Dept. Cost Actuals'!AF1000)</f>
        <v>0</v>
      </c>
      <c r="AC20" s="684">
        <f>IF(AC$4="forecast",AC$8*'Direct People Department Costs'!$H$9,'Dept. Cost Actuals'!AG1000)</f>
        <v>0</v>
      </c>
      <c r="AD20" s="684">
        <f>IF(AD$4="forecast",AD$8*'Direct People Department Costs'!$H$9,'Dept. Cost Actuals'!AH1000)</f>
        <v>0</v>
      </c>
      <c r="AE20" s="684">
        <f>IF(AE$4="forecast",AE$8*'Direct People Department Costs'!$H$9,'Dept. Cost Actuals'!AI1000)</f>
        <v>0</v>
      </c>
      <c r="AF20" s="684">
        <f>IF(AF$4="forecast",AF$8*'Direct People Department Costs'!$H$9,'Dept. Cost Actuals'!AJ1000)</f>
        <v>0</v>
      </c>
      <c r="AG20" s="684">
        <f>IF(AG$4="forecast",AG$8*'Direct People Department Costs'!$H$9,'Dept. Cost Actuals'!AK1000)</f>
        <v>0</v>
      </c>
      <c r="AH20" s="684">
        <f>IF(AH$4="forecast",AH$8*'Direct People Department Costs'!$H$9,'Dept. Cost Actuals'!AL1000)</f>
        <v>0</v>
      </c>
      <c r="AI20" s="684">
        <f>IF(AI$4="forecast",AI$8*'Direct People Department Costs'!$H$9,'Dept. Cost Actuals'!AM1000)</f>
        <v>0</v>
      </c>
      <c r="AJ20" s="684">
        <f>IF(AJ$4="forecast",AJ$8*'Direct People Department Costs'!$H$9,'Dept. Cost Actuals'!AN1000)</f>
        <v>0</v>
      </c>
      <c r="AK20" s="684">
        <f>IF(AK$4="forecast",AK$8*'Direct People Department Costs'!$H$9,'Dept. Cost Actuals'!AO1000)</f>
        <v>0</v>
      </c>
      <c r="AL20" s="684">
        <f>IF(AL$4="forecast",AL$8*'Direct People Department Costs'!$H$9,'Dept. Cost Actuals'!AP1000)</f>
        <v>0</v>
      </c>
      <c r="AM20" s="684">
        <f>IF(AM$4="forecast",AM$8*'Direct People Department Costs'!$H$9,'Dept. Cost Actuals'!AQ1000)</f>
        <v>0</v>
      </c>
      <c r="AN20" s="684">
        <f>IF(AN$4="forecast",AN$8*'Direct People Department Costs'!$H$9,'Dept. Cost Actuals'!AR1000)</f>
        <v>0</v>
      </c>
      <c r="AO20" s="684">
        <f>IF(AO$4="forecast",AO$8*'Direct People Department Costs'!$H$9,'Dept. Cost Actuals'!AS1000)</f>
        <v>0</v>
      </c>
      <c r="AP20" s="684">
        <f>IF(AP$4="forecast",AP$8*'Direct People Department Costs'!$H$9,'Dept. Cost Actuals'!AT1000)</f>
        <v>0</v>
      </c>
      <c r="AQ20" s="684">
        <f>IF(AQ$4="forecast",AQ$8*'Direct People Department Costs'!$H$9,'Dept. Cost Actuals'!AU1000)</f>
        <v>0</v>
      </c>
      <c r="AR20" s="684">
        <f>IF(AR$4="forecast",AR$8*'Direct People Department Costs'!$H$9,'Dept. Cost Actuals'!AV1000)</f>
        <v>0</v>
      </c>
      <c r="AS20" s="684">
        <f>IF(AS$4="forecast",AS$8*'Direct People Department Costs'!$H$9,'Dept. Cost Actuals'!AW1000)</f>
        <v>0</v>
      </c>
      <c r="AT20" s="684">
        <f>IF(AT$4="forecast",AT$8*'Direct People Department Costs'!$H$9,'Dept. Cost Actuals'!AX1000)</f>
        <v>0</v>
      </c>
      <c r="AU20" s="684">
        <f>IF(AU$4="forecast",AU$8*'Direct People Department Costs'!$H$9,'Dept. Cost Actuals'!AY1000)</f>
        <v>0</v>
      </c>
      <c r="AV20" s="684">
        <f>IF(AV$4="forecast",AV$8*'Direct People Department Costs'!$H$9,'Dept. Cost Actuals'!AZ1000)</f>
        <v>0</v>
      </c>
      <c r="AW20" s="684">
        <f>IF(AW$4="forecast",AW$8*'Direct People Department Costs'!$H$9,'Dept. Cost Actuals'!BA1000)</f>
        <v>0</v>
      </c>
      <c r="AX20" s="684">
        <f>IF(AX$4="forecast",AX$8*'Direct People Department Costs'!$H$9,'Dept. Cost Actuals'!BB1000)</f>
        <v>0</v>
      </c>
      <c r="AY20" s="684">
        <f>IF(AY$4="forecast",AY$8*'Direct People Department Costs'!$H$9,'Dept. Cost Actuals'!BC1000)</f>
        <v>0</v>
      </c>
      <c r="AZ20" s="684">
        <f>IF(AZ$4="forecast",AZ$8*'Direct People Department Costs'!$H$9,'Dept. Cost Actuals'!BD1000)</f>
        <v>0</v>
      </c>
      <c r="BA20" s="684">
        <f>IF(BA$4="forecast",BA$8*'Direct People Department Costs'!$H$9,'Dept. Cost Actuals'!BE1000)</f>
        <v>0</v>
      </c>
      <c r="BB20" s="684">
        <f>IF(BB$4="forecast",BB$8*'Direct People Department Costs'!$H$9,'Dept. Cost Actuals'!BF1000)</f>
        <v>0</v>
      </c>
      <c r="BC20" s="684">
        <f>IF(BC$4="forecast",BC$8*'Direct People Department Costs'!$H$9,'Dept. Cost Actuals'!BG1000)</f>
        <v>0</v>
      </c>
      <c r="BD20" s="684">
        <f>IF(BD$4="forecast",BD$8*'Direct People Department Costs'!$H$9,'Dept. Cost Actuals'!BH1000)</f>
        <v>0</v>
      </c>
      <c r="BE20" s="684">
        <f>IF(BE$4="forecast",BE$8*'Direct People Department Costs'!$H$9,'Dept. Cost Actuals'!BI1000)</f>
        <v>0</v>
      </c>
      <c r="BF20" s="684">
        <f>IF(BF$4="forecast",BF$8*'Direct People Department Costs'!$H$9,'Dept. Cost Actuals'!BJ1000)</f>
        <v>0</v>
      </c>
      <c r="BG20" s="684">
        <f>IF(BG$4="forecast",BG$8*'Direct People Department Costs'!$H$9,'Dept. Cost Actuals'!BK1000)</f>
        <v>0</v>
      </c>
      <c r="BH20" s="684">
        <f>IF(BH$4="forecast",BH$8*'Direct People Department Costs'!$H$9,'Dept. Cost Actuals'!BL1000)</f>
        <v>0</v>
      </c>
      <c r="BI20" s="684">
        <f>IF(BI$4="forecast",BI$8*'Direct People Department Costs'!$H$9,'Dept. Cost Actuals'!BM1000)</f>
        <v>0</v>
      </c>
      <c r="BJ20" s="684">
        <f>IF(BJ$4="forecast",BJ$8*'Direct People Department Costs'!$H$9,'Dept. Cost Actuals'!BN1000)</f>
        <v>0</v>
      </c>
      <c r="BK20" s="684">
        <f>IF(BK$4="forecast",BK$8*'Direct People Department Costs'!$H$9,'Dept. Cost Actuals'!BO1000)</f>
        <v>0</v>
      </c>
      <c r="BL20" s="684">
        <f>IF(BL$4="forecast",BL$8*'Direct People Department Costs'!$H$9,'Dept. Cost Actuals'!BP1000)</f>
        <v>0</v>
      </c>
      <c r="BM20" s="684">
        <f>IF(BM$4="forecast",BM$8*'Direct People Department Costs'!$H$9,'Dept. Cost Actuals'!BQ1000)</f>
        <v>0</v>
      </c>
      <c r="BN20" s="684">
        <f>IF(BN$4="forecast",BN$8*'Direct People Department Costs'!$H$9,'Dept. Cost Actuals'!BR1000)</f>
        <v>0</v>
      </c>
      <c r="BO20" s="684">
        <f>IF(BO$4="forecast",BO$8*'Direct People Department Costs'!$H$9,'Dept. Cost Actuals'!BS1000)</f>
        <v>0</v>
      </c>
      <c r="BP20" s="684">
        <f>IF(BP$4="forecast",BP$8*'Direct People Department Costs'!$H$9,'Dept. Cost Actuals'!BT1000)</f>
        <v>0</v>
      </c>
      <c r="BQ20" s="684">
        <f>IF(BQ$4="forecast",BQ$8*'Direct People Department Costs'!$H$9,'Dept. Cost Actuals'!BU1000)</f>
        <v>0</v>
      </c>
      <c r="BR20" s="684">
        <f>IF(BR$4="forecast",BR$8*'Direct People Department Costs'!$H$9,'Dept. Cost Actuals'!BV1000)</f>
        <v>0</v>
      </c>
      <c r="BS20" s="684">
        <f>IF(BS$4="forecast",BS$8*'Direct People Department Costs'!$H$9,'Dept. Cost Actuals'!BW1000)</f>
        <v>0</v>
      </c>
      <c r="BT20" s="684">
        <f>IF(BT$4="forecast",BT$8*'Direct People Department Costs'!$H$9,'Dept. Cost Actuals'!BX1000)</f>
        <v>0</v>
      </c>
      <c r="BU20" s="684">
        <f>IF(BU$4="forecast",BU$8*'Direct People Department Costs'!$H$9,'Dept. Cost Actuals'!BY1000)</f>
        <v>0</v>
      </c>
      <c r="BV20" s="808">
        <f>IF(BV$4="forecast",BV$8*'Direct People Department Costs'!$H$9,'Dept. Cost Actuals'!BZ1000)</f>
        <v>0</v>
      </c>
    </row>
    <row r="21" spans="2:74" x14ac:dyDescent="0.35">
      <c r="B21" s="812" t="s">
        <v>433</v>
      </c>
      <c r="C21" s="684">
        <f>IF(C$4="forecast",(AVERAGE(#REF!)),'Dept. Cost Actuals'!G955)</f>
        <v>65.117992140094188</v>
      </c>
      <c r="D21" s="684">
        <f>IF(D$4="forecast",(AVERAGE(#REF!)),'Dept. Cost Actuals'!H955)</f>
        <v>180.51565166673291</v>
      </c>
      <c r="E21" s="684">
        <f>IF(E$4="forecast",(AVERAGE(#REF!)),'Dept. Cost Actuals'!I955)</f>
        <v>127.46854381982527</v>
      </c>
      <c r="F21" s="684">
        <f>IF(F$4="forecast",(AVERAGE(#REF!)),'Dept. Cost Actuals'!J955)</f>
        <v>406.52180121215673</v>
      </c>
      <c r="G21" s="684">
        <f>IF(G$4="forecast",(AVERAGE(#REF!)),'Dept. Cost Actuals'!K955)</f>
        <v>409.20977470753769</v>
      </c>
      <c r="H21" s="684">
        <f>IF(H$4="forecast",(AVERAGE(#REF!)),'Dept. Cost Actuals'!L955)</f>
        <v>1809.5835095657551</v>
      </c>
      <c r="I21" s="684">
        <f>IF(I$4="forecast",(AVERAGE(#REF!)),'Dept. Cost Actuals'!M955)</f>
        <v>138.96280478750921</v>
      </c>
      <c r="J21" s="684">
        <f>IF(J$4="forecast",(AVERAGE(#REF!)),'Dept. Cost Actuals'!N955)</f>
        <v>408.63650401947751</v>
      </c>
      <c r="K21" s="684">
        <f>IF(K$4="forecast",(AVERAGE(#REF!)),'Dept. Cost Actuals'!O955)</f>
        <v>809.78355384644988</v>
      </c>
      <c r="L21" s="684">
        <f>IF(L$4="forecast",(AVERAGE(#REF!)),'Dept. Cost Actuals'!P955)</f>
        <v>596.09508245609743</v>
      </c>
      <c r="M21" s="684">
        <f>IF(M$4="forecast",(AVERAGE(A21:L21)),'Dept. Cost Actuals'!Q955)</f>
        <v>273.70431706133076</v>
      </c>
      <c r="N21" s="684">
        <f>IF(N$4="forecast",(AVERAGE(B21:M21)),'Dept. Cost Actuals'!R955)</f>
        <v>50.791780503278034</v>
      </c>
      <c r="O21" s="684">
        <f>IF(O$4="forecast",(AVERAGE(C21:N21)),'Dept. Cost Actuals'!S955)</f>
        <v>15553.65</v>
      </c>
      <c r="P21" s="684">
        <f>IF(P$4="forecast",(AVERAGE(D21:O21)),'Dept. Cost Actuals'!T955)</f>
        <v>2738.56</v>
      </c>
      <c r="Q21" s="684">
        <f>IF(Q$4="forecast",(AVERAGE(E21:P21)),'Dept. Cost Actuals'!U955)</f>
        <v>945.32</v>
      </c>
      <c r="R21" s="684">
        <f>IF(R$4="forecast",(AVERAGE(F21:Q21)),'Dept. Cost Actuals'!V955)</f>
        <v>1546.26</v>
      </c>
      <c r="S21" s="684">
        <f>IF(S$4="forecast",(AVERAGE(G21:R21)),'Dept. Cost Actuals'!W955)</f>
        <v>1394.35</v>
      </c>
      <c r="T21" s="684">
        <f>IF(T$4="forecast",(AVERAGE(H21:S21)),'Dept. Cost Actuals'!X955)</f>
        <v>1880.32</v>
      </c>
      <c r="U21" s="684">
        <f>IF(U$4="forecast",(AVERAGE(I21:T21)),'Dept. Cost Actuals'!Y955)</f>
        <v>1961.7</v>
      </c>
      <c r="V21" s="684">
        <f>IF(V$4="forecast",(AVERAGE(J21:U21)),'Dept. Cost Actuals'!Z955)</f>
        <v>882.14</v>
      </c>
      <c r="W21" s="684">
        <f>IF(W$4="forecast",(AVERAGE(K21:V21)),'Dept. Cost Actuals'!AA955)</f>
        <v>1939.87</v>
      </c>
      <c r="X21" s="684">
        <f>IF(X$4="forecast",(AVERAGE(L21:W21)),'Dept. Cost Actuals'!AB955)</f>
        <v>2982.61</v>
      </c>
      <c r="Y21" s="684">
        <f>IF(Y$4="forecast",(AVERAGE(M21:X21)),'Dept. Cost Actuals'!AC955)</f>
        <v>-210.73</v>
      </c>
      <c r="Z21" s="684">
        <f>IF(Z$4="forecast",(AVERAGE(N21:Y21)),'Dept. Cost Actuals'!AD955)</f>
        <v>1421.8</v>
      </c>
      <c r="AA21" s="684">
        <f>IF(AA$4="forecast",(50000/12),'Dept. Cost Actuals'!AE955)</f>
        <v>4166.666666666667</v>
      </c>
      <c r="AB21" s="684">
        <f>IF(AB$4="forecast",(50000/12),'Dept. Cost Actuals'!AF955)</f>
        <v>4166.666666666667</v>
      </c>
      <c r="AC21" s="684">
        <f>IF(AC$4="forecast",(50000/12),'Dept. Cost Actuals'!AG955)</f>
        <v>4166.666666666667</v>
      </c>
      <c r="AD21" s="684">
        <f>IF(AD$4="forecast",(50000/12),'Dept. Cost Actuals'!AH955)</f>
        <v>4166.666666666667</v>
      </c>
      <c r="AE21" s="684">
        <f>IF(AE$4="forecast",(50000/12),'Dept. Cost Actuals'!AI955)</f>
        <v>4166.666666666667</v>
      </c>
      <c r="AF21" s="684">
        <f>IF(AF$4="forecast",(50000/12),'Dept. Cost Actuals'!AJ955)</f>
        <v>4166.666666666667</v>
      </c>
      <c r="AG21" s="684">
        <f>IF(AG$4="forecast",(50000/12),'Dept. Cost Actuals'!AK955)</f>
        <v>4166.666666666667</v>
      </c>
      <c r="AH21" s="684">
        <f>IF(AH$4="forecast",(50000/12),'Dept. Cost Actuals'!AL955)</f>
        <v>4166.666666666667</v>
      </c>
      <c r="AI21" s="684">
        <f>IF(AI$4="forecast",(50000/12),'Dept. Cost Actuals'!AM955)</f>
        <v>4166.666666666667</v>
      </c>
      <c r="AJ21" s="684">
        <f>IF(AJ$4="forecast",(50000/12),'Dept. Cost Actuals'!AN955)</f>
        <v>4166.666666666667</v>
      </c>
      <c r="AK21" s="684">
        <f>IF(AK$4="forecast",(50000/12),'Dept. Cost Actuals'!AO955)</f>
        <v>4166.666666666667</v>
      </c>
      <c r="AL21" s="684">
        <f>IF(AL$4="forecast",(50000/12),'Dept. Cost Actuals'!AP955)</f>
        <v>4166.666666666667</v>
      </c>
      <c r="AM21" s="684">
        <f>IF(AM$4="forecast",(AVERAGE(AA21:AL21)),'Dept. Cost Actuals'!AQ955)</f>
        <v>4166.6666666666661</v>
      </c>
      <c r="AN21" s="684">
        <f>IF(AN$4="forecast",(AVERAGE(AB21:AM21)),'Dept. Cost Actuals'!AR955)</f>
        <v>4166.6666666666661</v>
      </c>
      <c r="AO21" s="684">
        <f>IF(AO$4="forecast",(AVERAGE(AC21:AN21)),'Dept. Cost Actuals'!AS955)</f>
        <v>4166.6666666666661</v>
      </c>
      <c r="AP21" s="684">
        <f>IF(AP$4="forecast",(AVERAGE(AD21:AO21)),'Dept. Cost Actuals'!AT955)</f>
        <v>4166.6666666666661</v>
      </c>
      <c r="AQ21" s="684">
        <f>IF(AQ$4="forecast",(AVERAGE(AE21:AP21)),'Dept. Cost Actuals'!AU955)</f>
        <v>4166.6666666666661</v>
      </c>
      <c r="AR21" s="684">
        <f>IF(AR$4="forecast",(AVERAGE(AF21:AQ21)),'Dept. Cost Actuals'!AV955)</f>
        <v>4166.6666666666661</v>
      </c>
      <c r="AS21" s="684">
        <f>IF(AS$4="forecast",(AVERAGE(AG21:AR21)),'Dept. Cost Actuals'!AW955)</f>
        <v>4166.6666666666661</v>
      </c>
      <c r="AT21" s="684">
        <f>IF(AT$4="forecast",(AVERAGE(AH21:AS21)),'Dept. Cost Actuals'!AX955)</f>
        <v>4166.6666666666652</v>
      </c>
      <c r="AU21" s="684">
        <f>IF(AU$4="forecast",(AVERAGE(AI21:AT21)),'Dept. Cost Actuals'!AY955)</f>
        <v>4166.6666666666652</v>
      </c>
      <c r="AV21" s="684">
        <f>IF(AV$4="forecast",(AVERAGE(AJ21:AU21)),'Dept. Cost Actuals'!AZ955)</f>
        <v>4166.6666666666652</v>
      </c>
      <c r="AW21" s="684">
        <f>IF(AW$4="forecast",(AVERAGE(AK21:AV21)),'Dept. Cost Actuals'!BA955)</f>
        <v>4166.6666666666652</v>
      </c>
      <c r="AX21" s="684">
        <f>IF(AX$4="forecast",(AVERAGE(AL21:AW21)),'Dept. Cost Actuals'!BB955)</f>
        <v>4166.6666666666652</v>
      </c>
      <c r="AY21" s="684">
        <f>IF(AY$4="forecast",(AVERAGE(AM21:AX21)),'Dept. Cost Actuals'!BC955)</f>
        <v>4166.6666666666652</v>
      </c>
      <c r="AZ21" s="684">
        <f>IF(AZ$4="forecast",(AVERAGE(AN21:AY21)),'Dept. Cost Actuals'!BD955)</f>
        <v>4166.6666666666652</v>
      </c>
      <c r="BA21" s="684">
        <f>IF(BA$4="forecast",(AVERAGE(AO21:AZ21)),'Dept. Cost Actuals'!BE955)</f>
        <v>4166.6666666666652</v>
      </c>
      <c r="BB21" s="684">
        <f>IF(BB$4="forecast",(AVERAGE(AP21:BA21)),'Dept. Cost Actuals'!BF955)</f>
        <v>4166.6666666666652</v>
      </c>
      <c r="BC21" s="684">
        <f>IF(BC$4="forecast",(AVERAGE(AQ21:BB21)),'Dept. Cost Actuals'!BG955)</f>
        <v>4166.6666666666652</v>
      </c>
      <c r="BD21" s="684">
        <f>IF(BD$4="forecast",(AVERAGE(AR21:BC21)),'Dept. Cost Actuals'!BH955)</f>
        <v>4166.6666666666652</v>
      </c>
      <c r="BE21" s="684">
        <f>IF(BE$4="forecast",(AVERAGE(AS21:BD21)),'Dept. Cost Actuals'!BI955)</f>
        <v>4166.6666666666652</v>
      </c>
      <c r="BF21" s="684">
        <f>IF(BF$4="forecast",(AVERAGE(AT21:BE21)),'Dept. Cost Actuals'!BJ955)</f>
        <v>4166.6666666666652</v>
      </c>
      <c r="BG21" s="684">
        <f>IF(BG$4="forecast",(AVERAGE(AU21:BF21)),'Dept. Cost Actuals'!BK955)</f>
        <v>4166.6666666666652</v>
      </c>
      <c r="BH21" s="684">
        <f>IF(BH$4="forecast",(AVERAGE(AV21:BG21)),'Dept. Cost Actuals'!BL955)</f>
        <v>4166.6666666666652</v>
      </c>
      <c r="BI21" s="684">
        <f>IF(BI$4="forecast",(AVERAGE(AW21:BH21)),'Dept. Cost Actuals'!BM955)</f>
        <v>4166.6666666666652</v>
      </c>
      <c r="BJ21" s="684">
        <f>IF(BJ$4="forecast",(AVERAGE(AX21:BI21)),'Dept. Cost Actuals'!BN955)</f>
        <v>4166.6666666666652</v>
      </c>
      <c r="BK21" s="684">
        <f>IF(BK$4="forecast",(AVERAGE(AY21:BJ21)),'Dept. Cost Actuals'!BO955)</f>
        <v>4166.6666666666652</v>
      </c>
      <c r="BL21" s="684">
        <f>IF(BL$4="forecast",(AVERAGE(AZ21:BK21)),'Dept. Cost Actuals'!BP955)</f>
        <v>4166.6666666666652</v>
      </c>
      <c r="BM21" s="684">
        <f>IF(BM$4="forecast",(AVERAGE(BA21:BL21)),'Dept. Cost Actuals'!BQ955)</f>
        <v>4166.6666666666652</v>
      </c>
      <c r="BN21" s="684">
        <f>IF(BN$4="forecast",(AVERAGE(BB21:BM21)),'Dept. Cost Actuals'!BR955)</f>
        <v>4166.6666666666652</v>
      </c>
      <c r="BO21" s="684">
        <f>IF(BO$4="forecast",(AVERAGE(BC21:BN21)),'Dept. Cost Actuals'!BS955)</f>
        <v>4166.6666666666652</v>
      </c>
      <c r="BP21" s="684">
        <f>IF(BP$4="forecast",(AVERAGE(BD21:BO21)),'Dept. Cost Actuals'!BT955)</f>
        <v>4166.6666666666652</v>
      </c>
      <c r="BQ21" s="684">
        <f>IF(BQ$4="forecast",(AVERAGE(BE21:BP21)),'Dept. Cost Actuals'!BU955)</f>
        <v>4166.6666666666652</v>
      </c>
      <c r="BR21" s="684">
        <f>IF(BR$4="forecast",(AVERAGE(BF21:BQ21)),'Dept. Cost Actuals'!BV955)</f>
        <v>4166.6666666666652</v>
      </c>
      <c r="BS21" s="684">
        <f>IF(BS$4="forecast",(AVERAGE(BG21:BR21)),'Dept. Cost Actuals'!BW955)</f>
        <v>4166.6666666666652</v>
      </c>
      <c r="BT21" s="684">
        <f>IF(BT$4="forecast",(AVERAGE(BH21:BS21)),'Dept. Cost Actuals'!BX955)</f>
        <v>4166.6666666666652</v>
      </c>
      <c r="BU21" s="684">
        <f>IF(BU$4="forecast",(AVERAGE(BI21:BT21)),'Dept. Cost Actuals'!BY955)</f>
        <v>4166.6666666666652</v>
      </c>
      <c r="BV21" s="808">
        <f>IF(BV$4="forecast",(AVERAGE(BJ21:BU21)),'Dept. Cost Actuals'!BZ955)</f>
        <v>4166.6666666666652</v>
      </c>
    </row>
    <row r="22" spans="2:74" x14ac:dyDescent="0.35">
      <c r="B22" s="812" t="s">
        <v>942</v>
      </c>
      <c r="C22" s="684">
        <f>IF(C$4="forecast",(AVERAGE(#REF!)),'Dept. Cost Actuals'!G924)</f>
        <v>178.20496703092104</v>
      </c>
      <c r="D22" s="684">
        <f>IF(D$4="forecast",(AVERAGE(#REF!)),'Dept. Cost Actuals'!H924)</f>
        <v>93.435277393259852</v>
      </c>
      <c r="E22" s="684">
        <f>IF(E$4="forecast",(AVERAGE(#REF!)),'Dept. Cost Actuals'!I924)</f>
        <v>101.68417244712037</v>
      </c>
      <c r="F22" s="684">
        <f>IF(F$4="forecast",(AVERAGE(#REF!)),'Dept. Cost Actuals'!J924)</f>
        <v>238.64825017097661</v>
      </c>
      <c r="G22" s="684">
        <f>IF(G$4="forecast",(AVERAGE(#REF!)),'Dept. Cost Actuals'!K924)</f>
        <v>361.69809729468147</v>
      </c>
      <c r="H22" s="684">
        <f>IF(H$4="forecast",(AVERAGE(#REF!)),'Dept. Cost Actuals'!L924)</f>
        <v>509.73025612929723</v>
      </c>
      <c r="I22" s="684">
        <f>IF(I$4="forecast",(AVERAGE(#REF!)),'Dept. Cost Actuals'!M924)</f>
        <v>353.04517946267015</v>
      </c>
      <c r="J22" s="684">
        <f>IF(J$4="forecast",(AVERAGE(#REF!)),'Dept. Cost Actuals'!N924)</f>
        <v>225.14555521442574</v>
      </c>
      <c r="K22" s="684">
        <f>IF(K$4="forecast",(AVERAGE(#REF!)),'Dept. Cost Actuals'!O924)</f>
        <v>373.61621707929652</v>
      </c>
      <c r="L22" s="684">
        <f>IF(L$4="forecast",(AVERAGE(#REF!)),'Dept. Cost Actuals'!P924)</f>
        <v>337.31358534213746</v>
      </c>
      <c r="M22" s="684">
        <f>IF(M$4="forecast",(AVERAGE(A22:L22)),'Dept. Cost Actuals'!Q924)</f>
        <v>116.87684289299979</v>
      </c>
      <c r="N22" s="684">
        <f>IF(N$4="forecast",(AVERAGE(B22:M22)),'Dept. Cost Actuals'!R924)</f>
        <v>16.833784564535641</v>
      </c>
      <c r="O22" s="684">
        <f>IF(O$4="forecast",(AVERAGE(C22:N22)),'Dept. Cost Actuals'!S924)</f>
        <v>1382.26</v>
      </c>
      <c r="P22" s="684">
        <f>IF(P$4="forecast",(AVERAGE(D22:O22)),'Dept. Cost Actuals'!T924)</f>
        <v>3605.49</v>
      </c>
      <c r="Q22" s="684">
        <f>IF(Q$4="forecast",(AVERAGE(E22:P22)),'Dept. Cost Actuals'!U924)</f>
        <v>1940.98</v>
      </c>
      <c r="R22" s="684">
        <f>IF(R$4="forecast",(AVERAGE(F22:Q22)),'Dept. Cost Actuals'!V924)</f>
        <v>1114.97</v>
      </c>
      <c r="S22" s="684">
        <f>IF(S$4="forecast",(AVERAGE(G22:R22)),'Dept. Cost Actuals'!W924)</f>
        <v>113.23</v>
      </c>
      <c r="T22" s="684">
        <f>IF(T$4="forecast",(AVERAGE(H22:S22)),'Dept. Cost Actuals'!X924)</f>
        <v>565.83000000000004</v>
      </c>
      <c r="U22" s="684">
        <f>IF(U$4="forecast",(AVERAGE(I22:T22)),'Dept. Cost Actuals'!Y924)</f>
        <v>1048.0899999999999</v>
      </c>
      <c r="V22" s="684">
        <f>IF(V$4="forecast",(AVERAGE(J22:U22)),'Dept. Cost Actuals'!Z924)</f>
        <v>310.85000000000002</v>
      </c>
      <c r="W22" s="684">
        <f>IF(W$4="forecast",(AVERAGE(K22:V22)),'Dept. Cost Actuals'!AA924)</f>
        <v>17.989999999999998</v>
      </c>
      <c r="X22" s="684">
        <f>IF(X$4="forecast",(AVERAGE(L22:W22)),'Dept. Cost Actuals'!AB924)</f>
        <v>1098.76</v>
      </c>
      <c r="Y22" s="684">
        <f>IF(Y$4="forecast",(AVERAGE(M22:X22)),'Dept. Cost Actuals'!AC924)</f>
        <v>600.22</v>
      </c>
      <c r="Z22" s="684">
        <f>IF(Z$4="forecast",(AVERAGE(N22:Y22)),'Dept. Cost Actuals'!AD924)</f>
        <v>682.79</v>
      </c>
      <c r="AA22" s="684">
        <f>IF(AA$4="forecast",(AVERAGE(O22:Z22)),'Dept. Cost Actuals'!AE924)</f>
        <v>1040.1216666666667</v>
      </c>
      <c r="AB22" s="684">
        <f>IF(AB$4="forecast",(AVERAGE(P22:AA22)),'Dept. Cost Actuals'!AF924)</f>
        <v>1011.6101388888886</v>
      </c>
      <c r="AC22" s="684">
        <f>IF(AC$4="forecast",(AVERAGE(Q22:AB22)),'Dept. Cost Actuals'!AG924)</f>
        <v>795.45348379629638</v>
      </c>
      <c r="AD22" s="684">
        <f>IF(AD$4="forecast",(AVERAGE(R22:AC22)),'Dept. Cost Actuals'!AH924)</f>
        <v>699.99294077932097</v>
      </c>
      <c r="AE22" s="684">
        <f>IF(AE$4="forecast",(AVERAGE(S22:AD22)),'Dept. Cost Actuals'!AI924)</f>
        <v>665.41151917759771</v>
      </c>
      <c r="AF22" s="684">
        <f>IF(AF$4="forecast",(AVERAGE(T22:AE22)),'Dept. Cost Actuals'!AJ924)</f>
        <v>711.42664577573078</v>
      </c>
      <c r="AG22" s="684">
        <f>IF(AG$4="forecast",(AVERAGE(U22:AF22)),'Dept. Cost Actuals'!AK924)</f>
        <v>723.55969959037509</v>
      </c>
      <c r="AH22" s="684">
        <f>IF(AH$4="forecast",(AVERAGE(V22:AG22)),'Dept. Cost Actuals'!AL924)</f>
        <v>696.51550788957286</v>
      </c>
      <c r="AI22" s="684">
        <f>IF(AI$4="forecast",(AVERAGE(W22:AH22)),'Dept. Cost Actuals'!AM924)</f>
        <v>728.65430021370412</v>
      </c>
      <c r="AJ22" s="684">
        <f>IF(AJ$4="forecast",(AVERAGE(X22:AI22)),'Dept. Cost Actuals'!AN924)</f>
        <v>787.87632523151262</v>
      </c>
      <c r="AK22" s="684">
        <f>IF(AK$4="forecast",(AVERAGE(Y22:AJ22)),'Dept. Cost Actuals'!AO924)</f>
        <v>761.96935233413888</v>
      </c>
      <c r="AL22" s="684">
        <f>IF(AL$4="forecast",(AVERAGE(Z22:AK22)),'Dept. Cost Actuals'!AP924)</f>
        <v>775.44846502865039</v>
      </c>
      <c r="AM22" s="684">
        <f>IF(AM$4="forecast",(AVERAGE(AA22:AL22)),'Dept. Cost Actuals'!AQ924)</f>
        <v>783.17000378103796</v>
      </c>
      <c r="AN22" s="684">
        <f>IF(AN$4="forecast",(AVERAGE(AB22:AM22)),'Dept. Cost Actuals'!AR924)</f>
        <v>761.75736520723558</v>
      </c>
      <c r="AO22" s="684">
        <f>IF(AO$4="forecast",(AVERAGE(AC22:AN22)),'Dept. Cost Actuals'!AS924)</f>
        <v>740.9363007337646</v>
      </c>
      <c r="AP22" s="684">
        <f>IF(AP$4="forecast",(AVERAGE(AD22:AO22)),'Dept. Cost Actuals'!AT924)</f>
        <v>736.39320214522024</v>
      </c>
      <c r="AQ22" s="684">
        <f>IF(AQ$4="forecast",(AVERAGE(AE22:AP22)),'Dept. Cost Actuals'!AU924)</f>
        <v>739.42655725904513</v>
      </c>
      <c r="AR22" s="684">
        <f>IF(AR$4="forecast",(AVERAGE(AF22:AQ22)),'Dept. Cost Actuals'!AV924)</f>
        <v>745.5944770991656</v>
      </c>
      <c r="AS22" s="684">
        <f>IF(AS$4="forecast",(AVERAGE(AG22:AR22)),'Dept. Cost Actuals'!AW924)</f>
        <v>748.44179637611876</v>
      </c>
      <c r="AT22" s="684">
        <f>IF(AT$4="forecast",(AVERAGE(AH22:AS22)),'Dept. Cost Actuals'!AX924)</f>
        <v>750.5153044415971</v>
      </c>
      <c r="AU22" s="684">
        <f>IF(AU$4="forecast",(AVERAGE(AI22:AT22)),'Dept. Cost Actuals'!AY924)</f>
        <v>755.01528748759904</v>
      </c>
      <c r="AV22" s="684">
        <f>IF(AV$4="forecast",(AVERAGE(AJ22:AU22)),'Dept. Cost Actuals'!AZ924)</f>
        <v>757.21203642709042</v>
      </c>
      <c r="AW22" s="684">
        <f>IF(AW$4="forecast",(AVERAGE(AK22:AV22)),'Dept. Cost Actuals'!BA924)</f>
        <v>754.65667902672203</v>
      </c>
      <c r="AX22" s="684">
        <f>IF(AX$4="forecast",(AVERAGE(AL22:AW22)),'Dept. Cost Actuals'!BB924)</f>
        <v>754.04728958443729</v>
      </c>
      <c r="AY22" s="684">
        <f>IF(AY$4="forecast",(AVERAGE(AM22:AX22)),'Dept. Cost Actuals'!BC924)</f>
        <v>752.26385829741957</v>
      </c>
      <c r="AZ22" s="684">
        <f>IF(AZ$4="forecast",(AVERAGE(AN22:AY22)),'Dept. Cost Actuals'!BD924)</f>
        <v>749.68834617378468</v>
      </c>
      <c r="BA22" s="684">
        <f>IF(BA$4="forecast",(AVERAGE(AO22:AZ22)),'Dept. Cost Actuals'!BE924)</f>
        <v>748.68259458766386</v>
      </c>
      <c r="BB22" s="684">
        <f>IF(BB$4="forecast",(AVERAGE(AP22:BA22)),'Dept. Cost Actuals'!BF924)</f>
        <v>749.32811907548876</v>
      </c>
      <c r="BC22" s="684">
        <f>IF(BC$4="forecast",(AVERAGE(AQ22:BB22)),'Dept. Cost Actuals'!BG924)</f>
        <v>750.40602881967754</v>
      </c>
      <c r="BD22" s="684">
        <f>IF(BD$4="forecast",(AVERAGE(AR22:BC22)),'Dept. Cost Actuals'!BH924)</f>
        <v>751.32098478306364</v>
      </c>
      <c r="BE22" s="684">
        <f>IF(BE$4="forecast",(AVERAGE(AS22:BD22)),'Dept. Cost Actuals'!BI924)</f>
        <v>751.79819375672184</v>
      </c>
      <c r="BF22" s="684">
        <f>IF(BF$4="forecast",(AVERAGE(AT22:BE22)),'Dept. Cost Actuals'!BJ924)</f>
        <v>752.07789353843873</v>
      </c>
      <c r="BG22" s="684">
        <f>IF(BG$4="forecast",(AVERAGE(AU22:BF22)),'Dept. Cost Actuals'!BK924)</f>
        <v>752.20810929650895</v>
      </c>
      <c r="BH22" s="684">
        <f>IF(BH$4="forecast",(AVERAGE(AV22:BG22)),'Dept. Cost Actuals'!BL924)</f>
        <v>751.9741777805848</v>
      </c>
      <c r="BI22" s="684">
        <f>IF(BI$4="forecast",(AVERAGE(AW22:BH22)),'Dept. Cost Actuals'!BM924)</f>
        <v>751.53768956004262</v>
      </c>
      <c r="BJ22" s="684">
        <f>IF(BJ$4="forecast",(AVERAGE(AX22:BI22)),'Dept. Cost Actuals'!BN924)</f>
        <v>751.27777377115274</v>
      </c>
      <c r="BK22" s="684">
        <f>IF(BK$4="forecast",(AVERAGE(AY22:BJ22)),'Dept. Cost Actuals'!BO924)</f>
        <v>751.04698078671242</v>
      </c>
      <c r="BL22" s="684">
        <f>IF(BL$4="forecast",(AVERAGE(AZ22:BK22)),'Dept. Cost Actuals'!BP924)</f>
        <v>750.94557432748672</v>
      </c>
      <c r="BM22" s="684">
        <f>IF(BM$4="forecast",(AVERAGE(BA22:BL22)),'Dept. Cost Actuals'!BQ924)</f>
        <v>751.0503433402954</v>
      </c>
      <c r="BN22" s="684">
        <f>IF(BN$4="forecast",(AVERAGE(BB22:BM22)),'Dept. Cost Actuals'!BR924)</f>
        <v>751.24765573634795</v>
      </c>
      <c r="BO22" s="684">
        <f>IF(BO$4="forecast",(AVERAGE(BC22:BN22)),'Dept. Cost Actuals'!BS924)</f>
        <v>751.40761712475285</v>
      </c>
      <c r="BP22" s="684">
        <f>IF(BP$4="forecast",(AVERAGE(BD22:BO22)),'Dept. Cost Actuals'!BT924)</f>
        <v>751.49108281684232</v>
      </c>
      <c r="BQ22" s="684">
        <f>IF(BQ$4="forecast",(AVERAGE(BE22:BP22)),'Dept. Cost Actuals'!BU924)</f>
        <v>751.50525765299062</v>
      </c>
      <c r="BR22" s="684">
        <f>IF(BR$4="forecast",(AVERAGE(BF22:BQ22)),'Dept. Cost Actuals'!BV924)</f>
        <v>751.48084631101301</v>
      </c>
      <c r="BS22" s="684">
        <f>IF(BS$4="forecast",(AVERAGE(BG22:BR22)),'Dept. Cost Actuals'!BW924)</f>
        <v>751.4310923753942</v>
      </c>
      <c r="BT22" s="684">
        <f>IF(BT$4="forecast",(AVERAGE(BH22:BS22)),'Dept. Cost Actuals'!BX924)</f>
        <v>751.36634096530122</v>
      </c>
      <c r="BU22" s="684">
        <f>IF(BU$4="forecast",(AVERAGE(BI22:BT22)),'Dept. Cost Actuals'!BY924)</f>
        <v>751.31568789736093</v>
      </c>
      <c r="BV22" s="808">
        <f>IF(BV$4="forecast",(AVERAGE(BJ22:BU22)),'Dept. Cost Actuals'!BZ924)</f>
        <v>751.29718775880417</v>
      </c>
    </row>
    <row r="23" spans="2:74" x14ac:dyDescent="0.35">
      <c r="B23" s="812" t="s">
        <v>1083</v>
      </c>
      <c r="C23" s="684">
        <f>IF(C$4="forecast",(AVERAGE(#REF!)),'Dept. Cost Actuals'!G954)</f>
        <v>101.88996315675865</v>
      </c>
      <c r="D23" s="684">
        <f>IF(D$4="forecast",(AVERAGE(#REF!)),'Dept. Cost Actuals'!H954)</f>
        <v>55.494573949050306</v>
      </c>
      <c r="E23" s="684">
        <f>IF(E$4="forecast",(AVERAGE(#REF!)),'Dept. Cost Actuals'!I954)</f>
        <v>30.325835853416635</v>
      </c>
      <c r="F23" s="684">
        <f>IF(F$4="forecast",(AVERAGE(#REF!)),'Dept. Cost Actuals'!J954)</f>
        <v>18.41145880116699</v>
      </c>
      <c r="G23" s="684">
        <f>IF(G$4="forecast",(AVERAGE(#REF!)),'Dept. Cost Actuals'!K954)</f>
        <v>23.111616111409397</v>
      </c>
      <c r="H23" s="684">
        <f>IF(H$4="forecast",(AVERAGE(#REF!)),'Dept. Cost Actuals'!L954)</f>
        <v>24.260766034100698</v>
      </c>
      <c r="I23" s="684">
        <f>IF(I$4="forecast",(AVERAGE(#REF!)),'Dept. Cost Actuals'!M954)</f>
        <v>96.458978080981979</v>
      </c>
      <c r="J23" s="684">
        <f>IF(J$4="forecast",(AVERAGE(#REF!)),'Dept. Cost Actuals'!N954)</f>
        <v>14.870551335231093</v>
      </c>
      <c r="K23" s="684">
        <f>IF(K$4="forecast",(AVERAGE(#REF!)),'Dept. Cost Actuals'!O954)</f>
        <v>17.037497583461448</v>
      </c>
      <c r="L23" s="684">
        <f>IF(L$4="forecast",(AVERAGE(#REF!)),'Dept. Cost Actuals'!P954)</f>
        <v>10.362117996910827</v>
      </c>
      <c r="M23" s="684">
        <f>IF(M$4="forecast",(AVERAGE(A23:L23)),'Dept. Cost Actuals'!Q954)</f>
        <v>17.420905154109651</v>
      </c>
      <c r="N23" s="684">
        <f>IF(N$4="forecast",(AVERAGE(B23:M23)),'Dept. Cost Actuals'!R954)</f>
        <v>10.388965380541581</v>
      </c>
      <c r="O23" s="684">
        <f>IF(O$4="forecast",(AVERAGE(C23:N23)),'Dept. Cost Actuals'!S954)</f>
        <v>0</v>
      </c>
      <c r="P23" s="684">
        <f>IF(P$4="forecast",(AVERAGE(D23:O23)),'Dept. Cost Actuals'!T954)</f>
        <v>0</v>
      </c>
      <c r="Q23" s="684">
        <f>IF(Q$4="forecast",(AVERAGE(E23:P23)),'Dept. Cost Actuals'!U954)</f>
        <v>0</v>
      </c>
      <c r="R23" s="684">
        <f>IF(R$4="forecast",(AVERAGE(F23:Q23)),'Dept. Cost Actuals'!V954)</f>
        <v>0</v>
      </c>
      <c r="S23" s="684">
        <f>IF(S$4="forecast",(AVERAGE(G23:R23)),'Dept. Cost Actuals'!W954)</f>
        <v>0</v>
      </c>
      <c r="T23" s="684">
        <f>IF(T$4="forecast",(AVERAGE(H23:S23)),'Dept. Cost Actuals'!X954)</f>
        <v>0</v>
      </c>
      <c r="U23" s="684">
        <f>IF(U$4="forecast",(AVERAGE(I23:T23)),'Dept. Cost Actuals'!Y954)</f>
        <v>0</v>
      </c>
      <c r="V23" s="684">
        <f>IF(V$4="forecast",(AVERAGE(J23:U23)),'Dept. Cost Actuals'!Z954)</f>
        <v>0</v>
      </c>
      <c r="W23" s="684">
        <f>IF(W$4="forecast",(AVERAGE(K23:V23)),'Dept. Cost Actuals'!AA954)</f>
        <v>0</v>
      </c>
      <c r="X23" s="684">
        <f>IF(X$4="forecast",(AVERAGE(L23:W23)),'Dept. Cost Actuals'!AB954)</f>
        <v>0</v>
      </c>
      <c r="Y23" s="684">
        <f>IF(Y$4="forecast",(AVERAGE(M23:X23)),'Dept. Cost Actuals'!AC954)</f>
        <v>0</v>
      </c>
      <c r="Z23" s="684">
        <f>IF(Z$4="forecast",(AVERAGE(N23:Y23)),'Dept. Cost Actuals'!AD954)</f>
        <v>0</v>
      </c>
      <c r="AA23" s="684">
        <f>IF(AA$4="forecast",(AVERAGE(O23:Z23)),'Dept. Cost Actuals'!AE954)</f>
        <v>0</v>
      </c>
      <c r="AB23" s="684">
        <f>IF(AB$4="forecast",(AVERAGE(P23:AA23)),'Dept. Cost Actuals'!AF954)</f>
        <v>0</v>
      </c>
      <c r="AC23" s="684">
        <f>IF(AC$4="forecast",(AVERAGE(Q23:AB23)),'Dept. Cost Actuals'!AG954)</f>
        <v>0</v>
      </c>
      <c r="AD23" s="684">
        <f>IF(AD$4="forecast",(AVERAGE(R23:AC23)),'Dept. Cost Actuals'!AH954)</f>
        <v>0</v>
      </c>
      <c r="AE23" s="684">
        <f>IF(AE$4="forecast",(AVERAGE(S23:AD23)),'Dept. Cost Actuals'!AI954)</f>
        <v>0</v>
      </c>
      <c r="AF23" s="684">
        <f>IF(AF$4="forecast",(AVERAGE(T23:AE23)),'Dept. Cost Actuals'!AJ954)</f>
        <v>0</v>
      </c>
      <c r="AG23" s="684">
        <f>IF(AG$4="forecast",(AVERAGE(U23:AF23)),'Dept. Cost Actuals'!AK954)</f>
        <v>0</v>
      </c>
      <c r="AH23" s="684">
        <f>IF(AH$4="forecast",(AVERAGE(V23:AG23)),'Dept. Cost Actuals'!AL954)</f>
        <v>0</v>
      </c>
      <c r="AI23" s="684">
        <f>IF(AI$4="forecast",(AVERAGE(W23:AH23)),'Dept. Cost Actuals'!AM954)</f>
        <v>0</v>
      </c>
      <c r="AJ23" s="684">
        <f>IF(AJ$4="forecast",(AVERAGE(X23:AI23)),'Dept. Cost Actuals'!AN954)</f>
        <v>0</v>
      </c>
      <c r="AK23" s="684">
        <f>IF(AK$4="forecast",(AVERAGE(Y23:AJ23)),'Dept. Cost Actuals'!AO954)</f>
        <v>0</v>
      </c>
      <c r="AL23" s="684">
        <f>IF(AL$4="forecast",(AVERAGE(Z23:AK23)),'Dept. Cost Actuals'!AP954)</f>
        <v>0</v>
      </c>
      <c r="AM23" s="684">
        <f>IF(AM$4="forecast",(AVERAGE(AA23:AL23)),'Dept. Cost Actuals'!AQ954)</f>
        <v>0</v>
      </c>
      <c r="AN23" s="684">
        <f>IF(AN$4="forecast",(AVERAGE(AB23:AM23)),'Dept. Cost Actuals'!AR954)</f>
        <v>0</v>
      </c>
      <c r="AO23" s="684">
        <f>IF(AO$4="forecast",(AVERAGE(AC23:AN23)),'Dept. Cost Actuals'!AS954)</f>
        <v>0</v>
      </c>
      <c r="AP23" s="684">
        <f>IF(AP$4="forecast",(AVERAGE(AD23:AO23)),'Dept. Cost Actuals'!AT954)</f>
        <v>0</v>
      </c>
      <c r="AQ23" s="684">
        <f>IF(AQ$4="forecast",(AVERAGE(AE23:AP23)),'Dept. Cost Actuals'!AU954)</f>
        <v>0</v>
      </c>
      <c r="AR23" s="684">
        <f>IF(AR$4="forecast",(AVERAGE(AF23:AQ23)),'Dept. Cost Actuals'!AV954)</f>
        <v>0</v>
      </c>
      <c r="AS23" s="684">
        <f>IF(AS$4="forecast",(AVERAGE(AG23:AR23)),'Dept. Cost Actuals'!AW954)</f>
        <v>0</v>
      </c>
      <c r="AT23" s="684">
        <f>IF(AT$4="forecast",(AVERAGE(AH23:AS23)),'Dept. Cost Actuals'!AX954)</f>
        <v>0</v>
      </c>
      <c r="AU23" s="684">
        <f>IF(AU$4="forecast",(AVERAGE(AI23:AT23)),'Dept. Cost Actuals'!AY954)</f>
        <v>0</v>
      </c>
      <c r="AV23" s="684">
        <f>IF(AV$4="forecast",(AVERAGE(AJ23:AU23)),'Dept. Cost Actuals'!AZ954)</f>
        <v>0</v>
      </c>
      <c r="AW23" s="684">
        <f>IF(AW$4="forecast",(AVERAGE(AK23:AV23)),'Dept. Cost Actuals'!BA954)</f>
        <v>0</v>
      </c>
      <c r="AX23" s="684">
        <f>IF(AX$4="forecast",(AVERAGE(AL23:AW23)),'Dept. Cost Actuals'!BB954)</f>
        <v>0</v>
      </c>
      <c r="AY23" s="684">
        <f>IF(AY$4="forecast",(AVERAGE(AM23:AX23)),'Dept. Cost Actuals'!BC954)</f>
        <v>0</v>
      </c>
      <c r="AZ23" s="684">
        <f>IF(AZ$4="forecast",(AVERAGE(AN23:AY23)),'Dept. Cost Actuals'!BD954)</f>
        <v>0</v>
      </c>
      <c r="BA23" s="684">
        <f>IF(BA$4="forecast",(AVERAGE(AO23:AZ23)),'Dept. Cost Actuals'!BE954)</f>
        <v>0</v>
      </c>
      <c r="BB23" s="684">
        <f>IF(BB$4="forecast",(AVERAGE(AP23:BA23)),'Dept. Cost Actuals'!BF954)</f>
        <v>0</v>
      </c>
      <c r="BC23" s="684">
        <f>IF(BC$4="forecast",(AVERAGE(AQ23:BB23)),'Dept. Cost Actuals'!BG954)</f>
        <v>0</v>
      </c>
      <c r="BD23" s="684">
        <f>IF(BD$4="forecast",(AVERAGE(AR23:BC23)),'Dept. Cost Actuals'!BH954)</f>
        <v>0</v>
      </c>
      <c r="BE23" s="684">
        <f>IF(BE$4="forecast",(AVERAGE(AS23:BD23)),'Dept. Cost Actuals'!BI954)</f>
        <v>0</v>
      </c>
      <c r="BF23" s="684">
        <f>IF(BF$4="forecast",(AVERAGE(AT23:BE23)),'Dept. Cost Actuals'!BJ954)</f>
        <v>0</v>
      </c>
      <c r="BG23" s="684">
        <f>IF(BG$4="forecast",(AVERAGE(AU23:BF23)),'Dept. Cost Actuals'!BK954)</f>
        <v>0</v>
      </c>
      <c r="BH23" s="684">
        <f>IF(BH$4="forecast",(AVERAGE(AV23:BG23)),'Dept. Cost Actuals'!BL954)</f>
        <v>0</v>
      </c>
      <c r="BI23" s="684">
        <f>IF(BI$4="forecast",(AVERAGE(AW23:BH23)),'Dept. Cost Actuals'!BM954)</f>
        <v>0</v>
      </c>
      <c r="BJ23" s="684">
        <f>IF(BJ$4="forecast",(AVERAGE(AX23:BI23)),'Dept. Cost Actuals'!BN954)</f>
        <v>0</v>
      </c>
      <c r="BK23" s="684">
        <f>IF(BK$4="forecast",(AVERAGE(AY23:BJ23)),'Dept. Cost Actuals'!BO954)</f>
        <v>0</v>
      </c>
      <c r="BL23" s="684">
        <f>IF(BL$4="forecast",(AVERAGE(AZ23:BK23)),'Dept. Cost Actuals'!BP954)</f>
        <v>0</v>
      </c>
      <c r="BM23" s="684">
        <f>IF(BM$4="forecast",(AVERAGE(BA23:BL23)),'Dept. Cost Actuals'!BQ954)</f>
        <v>0</v>
      </c>
      <c r="BN23" s="684">
        <f>IF(BN$4="forecast",(AVERAGE(BB23:BM23)),'Dept. Cost Actuals'!BR954)</f>
        <v>0</v>
      </c>
      <c r="BO23" s="684">
        <f>IF(BO$4="forecast",(AVERAGE(BC23:BN23)),'Dept. Cost Actuals'!BS954)</f>
        <v>0</v>
      </c>
      <c r="BP23" s="684">
        <f>IF(BP$4="forecast",(AVERAGE(BD23:BO23)),'Dept. Cost Actuals'!BT954)</f>
        <v>0</v>
      </c>
      <c r="BQ23" s="684">
        <f>IF(BQ$4="forecast",(AVERAGE(BE23:BP23)),'Dept. Cost Actuals'!BU954)</f>
        <v>0</v>
      </c>
      <c r="BR23" s="684">
        <f>IF(BR$4="forecast",(AVERAGE(BF23:BQ23)),'Dept. Cost Actuals'!BV954)</f>
        <v>0</v>
      </c>
      <c r="BS23" s="684">
        <f>IF(BS$4="forecast",(AVERAGE(BG23:BR23)),'Dept. Cost Actuals'!BW954)</f>
        <v>0</v>
      </c>
      <c r="BT23" s="684">
        <f>IF(BT$4="forecast",(AVERAGE(BH23:BS23)),'Dept. Cost Actuals'!BX954)</f>
        <v>0</v>
      </c>
      <c r="BU23" s="684">
        <f>IF(BU$4="forecast",(AVERAGE(BI23:BT23)),'Dept. Cost Actuals'!BY954)</f>
        <v>0</v>
      </c>
      <c r="BV23" s="808">
        <f>IF(BV$4="forecast",(AVERAGE(BJ23:BU23)),'Dept. Cost Actuals'!BZ954)</f>
        <v>0</v>
      </c>
    </row>
    <row r="24" spans="2:74" x14ac:dyDescent="0.35">
      <c r="B24" s="812" t="s">
        <v>943</v>
      </c>
      <c r="C24" s="684">
        <f>IF(C$4="forecast",C$7*'Direct People Department Costs'!$H$13,'Dept. Cost Actuals'!G883)</f>
        <v>0</v>
      </c>
      <c r="D24" s="684">
        <f>IF(D$4="forecast",D$7*'Direct People Department Costs'!$H$13,'Dept. Cost Actuals'!H883)</f>
        <v>0</v>
      </c>
      <c r="E24" s="684">
        <f>IF(E$4="forecast",E$7*'Direct People Department Costs'!$H$13,'Dept. Cost Actuals'!I883)</f>
        <v>0</v>
      </c>
      <c r="F24" s="684">
        <f>IF(F$4="forecast",F$7*'Direct People Department Costs'!$H$13,'Dept. Cost Actuals'!J883)</f>
        <v>0</v>
      </c>
      <c r="G24" s="684">
        <f>IF(G$4="forecast",G$7*'Direct People Department Costs'!$H$13,'Dept. Cost Actuals'!K883)</f>
        <v>0</v>
      </c>
      <c r="H24" s="684">
        <f>IF(H$4="forecast",H$7*'Direct People Department Costs'!$H$13,'Dept. Cost Actuals'!L883)</f>
        <v>0</v>
      </c>
      <c r="I24" s="684">
        <f>IF(I$4="forecast",I$7*'Direct People Department Costs'!$H$13,'Dept. Cost Actuals'!M883)</f>
        <v>0</v>
      </c>
      <c r="J24" s="684">
        <f>IF(J$4="forecast",J$7*'Direct People Department Costs'!$H$13,'Dept. Cost Actuals'!N883)</f>
        <v>0</v>
      </c>
      <c r="K24" s="684">
        <f>IF(K$4="forecast",K$7*'Direct People Department Costs'!$H$13,'Dept. Cost Actuals'!O883)</f>
        <v>0</v>
      </c>
      <c r="L24" s="684">
        <f>IF(L$4="forecast",L$7*'Direct People Department Costs'!$H$13,'Dept. Cost Actuals'!P883)</f>
        <v>0</v>
      </c>
      <c r="M24" s="684">
        <f>IF(M$4="forecast",M$7*'Direct People Department Costs'!$H$13,'Dept. Cost Actuals'!Q883)</f>
        <v>0</v>
      </c>
      <c r="N24" s="684">
        <f>IF(N$4="forecast",N$7*'Direct People Department Costs'!$H$13,'Dept. Cost Actuals'!R883)</f>
        <v>0</v>
      </c>
      <c r="O24" s="684">
        <f>IF(O$4="forecast",O$7*'Direct People Department Costs'!$H$13,'Dept. Cost Actuals'!S883)</f>
        <v>0</v>
      </c>
      <c r="P24" s="684">
        <f>IF(P$4="forecast",P$7*'Direct People Department Costs'!$H$13,'Dept. Cost Actuals'!T883)</f>
        <v>69.91</v>
      </c>
      <c r="Q24" s="684">
        <f>IF(Q$4="forecast",Q$7*'Direct People Department Costs'!$H$13,'Dept. Cost Actuals'!U883)</f>
        <v>209.87</v>
      </c>
      <c r="R24" s="684">
        <f>IF(R$4="forecast",R$7*'Direct People Department Costs'!$H$13,'Dept. Cost Actuals'!V883)</f>
        <v>118.77</v>
      </c>
      <c r="S24" s="684">
        <f>IF(S$4="forecast",S$7*'Direct People Department Costs'!$H$13,'Dept. Cost Actuals'!W883)</f>
        <v>68.989999999999995</v>
      </c>
      <c r="T24" s="684">
        <f>IF(T$4="forecast",T$7*'Direct People Department Costs'!$H$13,'Dept. Cost Actuals'!X883)</f>
        <v>82.48</v>
      </c>
      <c r="U24" s="684">
        <f>IF(U$4="forecast",U$7*'Direct People Department Costs'!$H$13,'Dept. Cost Actuals'!Y883)</f>
        <v>49</v>
      </c>
      <c r="V24" s="684">
        <f>IF(V$4="forecast",V$7*'Direct People Department Costs'!$H$13,'Dept. Cost Actuals'!Z883)</f>
        <v>51.49</v>
      </c>
      <c r="W24" s="684">
        <f>IF(W$4="forecast",W$7*'Direct People Department Costs'!$H$13,'Dept. Cost Actuals'!AA883)</f>
        <v>181.47</v>
      </c>
      <c r="X24" s="684">
        <f>IF(X$4="forecast",X$7*'Direct People Department Costs'!$H$13,'Dept. Cost Actuals'!AB883)</f>
        <v>0</v>
      </c>
      <c r="Y24" s="684">
        <f>IF(Y$4="forecast",Y$7*'Direct People Department Costs'!$H$13,'Dept. Cost Actuals'!AC883)</f>
        <v>418.38</v>
      </c>
      <c r="Z24" s="684">
        <f>IF(Z$4="forecast",Z$7*'Direct People Department Costs'!$H$13,'Dept. Cost Actuals'!AD883)</f>
        <v>1064.27</v>
      </c>
      <c r="AA24" s="684">
        <f>IF(AA$4="forecast",((SUM($O$24:$Z$24)*1.1)/12),'Dept. Cost Actuals'!AE43)</f>
        <v>212.1744166666667</v>
      </c>
      <c r="AB24" s="684">
        <f>IF(AB$4="forecast",((SUM($O$24:$Z$24)*1.1)/12),'Dept. Cost Actuals'!AF43)</f>
        <v>212.1744166666667</v>
      </c>
      <c r="AC24" s="684">
        <f>IF(AC$4="forecast",((SUM($O$24:$Z$24)*1.1)/12),'Dept. Cost Actuals'!AG43)</f>
        <v>212.1744166666667</v>
      </c>
      <c r="AD24" s="684">
        <f>IF(AD$4="forecast",((SUM($O$24:$Z$24)*1.1)/12),'Dept. Cost Actuals'!AH43)</f>
        <v>212.1744166666667</v>
      </c>
      <c r="AE24" s="684">
        <f>IF(AE$4="forecast",((SUM($O$24:$Z$24)*1.1)/12),'Dept. Cost Actuals'!AI43)</f>
        <v>212.1744166666667</v>
      </c>
      <c r="AF24" s="684">
        <f>IF(AF$4="forecast",((SUM($O$24:$Z$24)*1.1)/12),'Dept. Cost Actuals'!AJ43)</f>
        <v>212.1744166666667</v>
      </c>
      <c r="AG24" s="684">
        <f>IF(AG$4="forecast",((SUM($O$24:$Z$24)*1.1)/12),'Dept. Cost Actuals'!AK43)</f>
        <v>212.1744166666667</v>
      </c>
      <c r="AH24" s="684">
        <f>IF(AH$4="forecast",((SUM($O$24:$Z$24)*1.1)/12),'Dept. Cost Actuals'!AL43)</f>
        <v>212.1744166666667</v>
      </c>
      <c r="AI24" s="684">
        <f>IF(AI$4="forecast",((SUM($O$24:$Z$24)*1.1)/12),'Dept. Cost Actuals'!AM43)</f>
        <v>212.1744166666667</v>
      </c>
      <c r="AJ24" s="684">
        <f>IF(AJ$4="forecast",((SUM($O$24:$Z$24)*1.1)/12),'Dept. Cost Actuals'!AN43)</f>
        <v>212.1744166666667</v>
      </c>
      <c r="AK24" s="684">
        <f>IF(AK$4="forecast",((SUM($O$24:$Z$24)*1.1)/12),'Dept. Cost Actuals'!AO43)</f>
        <v>212.1744166666667</v>
      </c>
      <c r="AL24" s="684">
        <f>IF(AL$4="forecast",((SUM($O$24:$Z$24)*1.1)/12),'Dept. Cost Actuals'!AP43)</f>
        <v>212.1744166666667</v>
      </c>
      <c r="AM24" s="684">
        <f>IF(AM$4="forecast",((SUM(AA24:AL24)*1.1)/12),'Dept. Cost Actuals'!AQ43)</f>
        <v>233.39185833333337</v>
      </c>
      <c r="AN24" s="684">
        <f>IF(AN$4="forecast",((SUM(AB24:AM24)*1.1)/12),'Dept. Cost Actuals'!AR43)</f>
        <v>235.33679048611114</v>
      </c>
      <c r="AO24" s="684">
        <f>IF(AO$4="forecast",((SUM(AC24:AN24)*1.1)/12),'Dept. Cost Actuals'!AS43)</f>
        <v>237.46000808622691</v>
      </c>
      <c r="AP24" s="684">
        <f>IF(AP$4="forecast",((SUM(AD24:AO24)*1.1)/12),'Dept. Cost Actuals'!AT43)</f>
        <v>239.77785396635326</v>
      </c>
      <c r="AQ24" s="684">
        <f>IF(AQ$4="forecast",((SUM(AE24:AP24)*1.1)/12),'Dept. Cost Actuals'!AU43)</f>
        <v>242.30816905215787</v>
      </c>
      <c r="AR24" s="684">
        <f>IF(AR$4="forecast",((SUM(AF24:AQ24)*1.1)/12),'Dept. Cost Actuals'!AV43)</f>
        <v>245.07042968749454</v>
      </c>
      <c r="AS24" s="684">
        <f>IF(AS$4="forecast",((SUM(AG24:AR24)*1.1)/12),'Dept. Cost Actuals'!AW43)</f>
        <v>248.08589754773712</v>
      </c>
      <c r="AT24" s="684">
        <f>IF(AT$4="forecast",((SUM(AH24:AS24)*1.1)/12),'Dept. Cost Actuals'!AX43)</f>
        <v>251.37778329516857</v>
      </c>
      <c r="AU24" s="684">
        <f>IF(AU$4="forecast",((SUM(AI24:AT24)*1.1)/12),'Dept. Cost Actuals'!AY43)</f>
        <v>254.97142523611458</v>
      </c>
      <c r="AV24" s="684">
        <f>IF(AV$4="forecast",((SUM(AJ24:AU24)*1.1)/12),'Dept. Cost Actuals'!AZ43)</f>
        <v>258.89448435498065</v>
      </c>
      <c r="AW24" s="684">
        <f>IF(AW$4="forecast",((SUM(AK24:AV24)*1.1)/12),'Dept. Cost Actuals'!BA43)</f>
        <v>263.17715722640941</v>
      </c>
      <c r="AX24" s="684">
        <f>IF(AX$4="forecast",((SUM(AL24:AW24)*1.1)/12),'Dept. Cost Actuals'!BB43)</f>
        <v>267.85240844438579</v>
      </c>
      <c r="AY24" s="684">
        <f>IF(AY$4="forecast",((SUM(AM24:AX24)*1.1)/12),'Dept. Cost Actuals'!BC43)</f>
        <v>272.95622435734339</v>
      </c>
      <c r="AZ24" s="684">
        <f>IF(AZ$4="forecast",((SUM(AN24:AY24)*1.1)/12),'Dept. Cost Actuals'!BD43)</f>
        <v>276.58295790954429</v>
      </c>
      <c r="BA24" s="684">
        <f>IF(BA$4="forecast",((SUM(AO24:AZ24)*1.1)/12),'Dept. Cost Actuals'!BE43)</f>
        <v>280.36385659002565</v>
      </c>
      <c r="BB24" s="684">
        <f>IF(BB$4="forecast",((SUM(AP24:BA24)*1.1)/12),'Dept. Cost Actuals'!BF43)</f>
        <v>284.29670936954057</v>
      </c>
      <c r="BC24" s="684">
        <f>IF(BC$4="forecast",((SUM(AQ24:BB24)*1.1)/12),'Dept. Cost Actuals'!BG43)</f>
        <v>288.3776044481661</v>
      </c>
      <c r="BD24" s="684">
        <f>IF(BD$4="forecast",((SUM(AR24:BC24)*1.1)/12),'Dept. Cost Actuals'!BH43)</f>
        <v>292.60063602613349</v>
      </c>
      <c r="BE24" s="684">
        <f>IF(BE$4="forecast",((SUM(AS24:BD24)*1.1)/12),'Dept. Cost Actuals'!BI43)</f>
        <v>296.9575716071754</v>
      </c>
      <c r="BF24" s="684">
        <f>IF(BF$4="forecast",((SUM(AT24:BE24)*1.1)/12),'Dept. Cost Actuals'!BJ43)</f>
        <v>301.43747506262395</v>
      </c>
      <c r="BG24" s="684">
        <f>IF(BG$4="forecast",((SUM(AU24:BF24)*1.1)/12),'Dept. Cost Actuals'!BK43)</f>
        <v>306.02628014130738</v>
      </c>
      <c r="BH24" s="684">
        <f>IF(BH$4="forecast",((SUM(AV24:BG24)*1.1)/12),'Dept. Cost Actuals'!BL43)</f>
        <v>310.70630850761665</v>
      </c>
      <c r="BI24" s="684">
        <f>IF(BI$4="forecast",((SUM(AW24:BH24)*1.1)/12),'Dept. Cost Actuals'!BM43)</f>
        <v>315.4557257216083</v>
      </c>
      <c r="BJ24" s="684">
        <f>IF(BJ$4="forecast",((SUM(AX24:BI24)*1.1)/12),'Dept. Cost Actuals'!BN43)</f>
        <v>320.2479278336682</v>
      </c>
      <c r="BK24" s="684">
        <f>IF(BK$4="forecast",((SUM(AY24:BJ24)*1.1)/12),'Dept. Cost Actuals'!BO43)</f>
        <v>325.05085044435242</v>
      </c>
      <c r="BL24" s="684">
        <f>IF(BL$4="forecast",((SUM(AZ24:BK24)*1.1)/12),'Dept. Cost Actuals'!BP43)</f>
        <v>329.82619116899491</v>
      </c>
      <c r="BM24" s="684">
        <f>IF(BM$4="forecast",((SUM(BA24:BL24)*1.1)/12),'Dept. Cost Actuals'!BQ43)</f>
        <v>334.70682088444454</v>
      </c>
      <c r="BN24" s="684">
        <f>IF(BN$4="forecast",((SUM(BB24:BM24)*1.1)/12),'Dept. Cost Actuals'!BR43)</f>
        <v>339.68825927809962</v>
      </c>
      <c r="BO24" s="684">
        <f>IF(BO$4="forecast",((SUM(BC24:BN24)*1.1)/12),'Dept. Cost Actuals'!BS43)</f>
        <v>344.76581801971753</v>
      </c>
      <c r="BP24" s="684">
        <f>IF(BP$4="forecast",((SUM(BD24:BO24)*1.1)/12),'Dept. Cost Actuals'!BT43)</f>
        <v>349.93473759710974</v>
      </c>
      <c r="BQ24" s="684">
        <f>IF(BQ$4="forecast",((SUM(BE24:BP24)*1.1)/12),'Dept. Cost Actuals'!BU43)</f>
        <v>355.19036357444924</v>
      </c>
      <c r="BR24" s="684">
        <f>IF(BR$4="forecast",((SUM(BF24:BQ24)*1.1)/12),'Dept. Cost Actuals'!BV43)</f>
        <v>360.52836950478269</v>
      </c>
      <c r="BS24" s="684">
        <f>IF(BS$4="forecast",((SUM(BG24:BR24)*1.1)/12),'Dept. Cost Actuals'!BW43)</f>
        <v>365.94503482864729</v>
      </c>
      <c r="BT24" s="684">
        <f>IF(BT$4="forecast",((SUM(BH24:BS24)*1.1)/12),'Dept. Cost Actuals'!BX43)</f>
        <v>371.4375873416534</v>
      </c>
      <c r="BU24" s="684">
        <f>IF(BU$4="forecast",((SUM(BI24:BT24)*1.1)/12),'Dept. Cost Actuals'!BY43)</f>
        <v>377.00462123477342</v>
      </c>
      <c r="BV24" s="808">
        <f>IF(BV$4="forecast",((SUM(BJ24:BU24)*1.1)/12),'Dept. Cost Actuals'!BZ43)</f>
        <v>382.64660332348018</v>
      </c>
    </row>
    <row r="25" spans="2:74" x14ac:dyDescent="0.35">
      <c r="B25" s="812" t="s">
        <v>1082</v>
      </c>
      <c r="C25" s="684">
        <f>IF(C$4="forecast",(AVERAGE(#REF!)),'Dept. Cost Actuals'!G944)</f>
        <v>0</v>
      </c>
      <c r="D25" s="684">
        <f>IF(D$4="forecast",(AVERAGE(#REF!)),'Dept. Cost Actuals'!H944)</f>
        <v>0</v>
      </c>
      <c r="E25" s="684">
        <f>IF(E$4="forecast",(AVERAGE(#REF!)),'Dept. Cost Actuals'!I944)</f>
        <v>0</v>
      </c>
      <c r="F25" s="684">
        <f>IF(F$4="forecast",(AVERAGE(#REF!)),'Dept. Cost Actuals'!J944)</f>
        <v>0</v>
      </c>
      <c r="G25" s="684">
        <f>IF(G$4="forecast",(AVERAGE(#REF!)),'Dept. Cost Actuals'!K944)</f>
        <v>0</v>
      </c>
      <c r="H25" s="684">
        <f>IF(H$4="forecast",(AVERAGE(#REF!)),'Dept. Cost Actuals'!L944)</f>
        <v>0</v>
      </c>
      <c r="I25" s="684">
        <f>IF(I$4="forecast",(AVERAGE(#REF!)),'Dept. Cost Actuals'!M944)</f>
        <v>0</v>
      </c>
      <c r="J25" s="684">
        <f>IF(J$4="forecast",(AVERAGE(#REF!)),'Dept. Cost Actuals'!N944)</f>
        <v>201.4</v>
      </c>
      <c r="K25" s="684">
        <f>IF(K$4="forecast",(AVERAGE(#REF!)),'Dept. Cost Actuals'!O944)</f>
        <v>0</v>
      </c>
      <c r="L25" s="684">
        <f>IF(L$4="forecast",(AVERAGE(#REF!)),'Dept. Cost Actuals'!P944)</f>
        <v>0</v>
      </c>
      <c r="M25" s="684">
        <f>IF(M$4="forecast",(AVERAGE(A25:L25)),'Dept. Cost Actuals'!Q944)</f>
        <v>0</v>
      </c>
      <c r="N25" s="684">
        <f>IF(N$4="forecast",(AVERAGE(B25:M25)),'Dept. Cost Actuals'!R944)</f>
        <v>0</v>
      </c>
      <c r="O25" s="684">
        <f>IF(O$4="forecast",(AVERAGE(C25:N25)),'Dept. Cost Actuals'!S944)</f>
        <v>0</v>
      </c>
      <c r="P25" s="684">
        <f>IF(P$4="forecast",(AVERAGE(D25:O25)),'Dept. Cost Actuals'!T944)</f>
        <v>0</v>
      </c>
      <c r="Q25" s="684">
        <f>IF(Q$4="forecast",(AVERAGE(E25:P25)),'Dept. Cost Actuals'!U944)</f>
        <v>0</v>
      </c>
      <c r="R25" s="684">
        <f>IF(R$4="forecast",(AVERAGE(F25:Q25)),'Dept. Cost Actuals'!V944)</f>
        <v>0</v>
      </c>
      <c r="S25" s="684">
        <f>IF(S$4="forecast",(AVERAGE(G25:R25)),'Dept. Cost Actuals'!W944)</f>
        <v>0</v>
      </c>
      <c r="T25" s="684">
        <f>IF(T$4="forecast",(AVERAGE(H25:S25)),'Dept. Cost Actuals'!X944)</f>
        <v>0</v>
      </c>
      <c r="U25" s="684">
        <f>IF(U$4="forecast",(AVERAGE(I25:T25)),'Dept. Cost Actuals'!Y944)</f>
        <v>0</v>
      </c>
      <c r="V25" s="684">
        <f>IF(V$4="forecast",(AVERAGE(J25:U25)),'Dept. Cost Actuals'!Z944)</f>
        <v>0</v>
      </c>
      <c r="W25" s="684">
        <f>IF(W$4="forecast",(AVERAGE(K25:V25)),'Dept. Cost Actuals'!AA944)</f>
        <v>0</v>
      </c>
      <c r="X25" s="684">
        <f>IF(X$4="forecast",(AVERAGE(L25:W25)),'Dept. Cost Actuals'!AB944)</f>
        <v>0</v>
      </c>
      <c r="Y25" s="684">
        <f>IF(Y$4="forecast",(AVERAGE(M25:X25)),'Dept. Cost Actuals'!AC944)</f>
        <v>0</v>
      </c>
      <c r="Z25" s="684">
        <f>IF(Z$4="forecast",(AVERAGE(N25:Y25)),'Dept. Cost Actuals'!AD944)</f>
        <v>0</v>
      </c>
      <c r="AA25" s="684">
        <f>IF(AA$4="forecast",(AVERAGE(O25:Z25)),'Dept. Cost Actuals'!AE944)</f>
        <v>0</v>
      </c>
      <c r="AB25" s="684">
        <f>IF(AB$4="forecast",(AVERAGE(P25:AA25)),'Dept. Cost Actuals'!AF944)</f>
        <v>0</v>
      </c>
      <c r="AC25" s="684">
        <f>IF(AC$4="forecast",(AVERAGE(Q25:AB25)),'Dept. Cost Actuals'!AG944)</f>
        <v>0</v>
      </c>
      <c r="AD25" s="684">
        <f>IF(AD$4="forecast",(AVERAGE(R25:AC25)),'Dept. Cost Actuals'!AH944)</f>
        <v>0</v>
      </c>
      <c r="AE25" s="684">
        <f>IF(AE$4="forecast",(AVERAGE(S25:AD25)),'Dept. Cost Actuals'!AI944)</f>
        <v>0</v>
      </c>
      <c r="AF25" s="684">
        <f>IF(AF$4="forecast",(AVERAGE(T25:AE25)),'Dept. Cost Actuals'!AJ944)</f>
        <v>0</v>
      </c>
      <c r="AG25" s="684">
        <f>IF(AG$4="forecast",(AVERAGE(U25:AF25)),'Dept. Cost Actuals'!AK944)</f>
        <v>0</v>
      </c>
      <c r="AH25" s="684">
        <f>IF(AH$4="forecast",(AVERAGE(V25:AG25)),'Dept. Cost Actuals'!AL944)</f>
        <v>0</v>
      </c>
      <c r="AI25" s="684">
        <f>IF(AI$4="forecast",(AVERAGE(W25:AH25)),'Dept. Cost Actuals'!AM944)</f>
        <v>0</v>
      </c>
      <c r="AJ25" s="684">
        <f>IF(AJ$4="forecast",(AVERAGE(X25:AI25)),'Dept. Cost Actuals'!AN944)</f>
        <v>0</v>
      </c>
      <c r="AK25" s="684">
        <f>IF(AK$4="forecast",(AVERAGE(Y25:AJ25)),'Dept. Cost Actuals'!AO944)</f>
        <v>0</v>
      </c>
      <c r="AL25" s="684">
        <f>IF(AL$4="forecast",(AVERAGE(Z25:AK25)),'Dept. Cost Actuals'!AP944)</f>
        <v>0</v>
      </c>
      <c r="AM25" s="684">
        <f>IF(AM$4="forecast",(AVERAGE(AA25:AL25)),'Dept. Cost Actuals'!AQ944)</f>
        <v>0</v>
      </c>
      <c r="AN25" s="684">
        <f>IF(AN$4="forecast",(AVERAGE(AB25:AM25)),'Dept. Cost Actuals'!AR944)</f>
        <v>0</v>
      </c>
      <c r="AO25" s="684">
        <f>IF(AO$4="forecast",(AVERAGE(AC25:AN25)),'Dept. Cost Actuals'!AS944)</f>
        <v>0</v>
      </c>
      <c r="AP25" s="684">
        <f>IF(AP$4="forecast",(AVERAGE(AD25:AO25)),'Dept. Cost Actuals'!AT944)</f>
        <v>0</v>
      </c>
      <c r="AQ25" s="684">
        <f>IF(AQ$4="forecast",(AVERAGE(AE25:AP25)),'Dept. Cost Actuals'!AU944)</f>
        <v>0</v>
      </c>
      <c r="AR25" s="684">
        <f>IF(AR$4="forecast",(AVERAGE(AF25:AQ25)),'Dept. Cost Actuals'!AV944)</f>
        <v>0</v>
      </c>
      <c r="AS25" s="684">
        <f>IF(AS$4="forecast",(AVERAGE(AG25:AR25)),'Dept. Cost Actuals'!AW944)</f>
        <v>0</v>
      </c>
      <c r="AT25" s="684">
        <f>IF(AT$4="forecast",(AVERAGE(AH25:AS25)),'Dept. Cost Actuals'!AX944)</f>
        <v>0</v>
      </c>
      <c r="AU25" s="684">
        <f>IF(AU$4="forecast",(AVERAGE(AI25:AT25)),'Dept. Cost Actuals'!AY944)</f>
        <v>0</v>
      </c>
      <c r="AV25" s="684">
        <f>IF(AV$4="forecast",(AVERAGE(AJ25:AU25)),'Dept. Cost Actuals'!AZ944)</f>
        <v>0</v>
      </c>
      <c r="AW25" s="684">
        <f>IF(AW$4="forecast",(AVERAGE(AK25:AV25)),'Dept. Cost Actuals'!BA944)</f>
        <v>0</v>
      </c>
      <c r="AX25" s="684">
        <f>IF(AX$4="forecast",(AVERAGE(AL25:AW25)),'Dept. Cost Actuals'!BB944)</f>
        <v>0</v>
      </c>
      <c r="AY25" s="684">
        <f>IF(AY$4="forecast",(AVERAGE(AM25:AX25)),'Dept. Cost Actuals'!BC944)</f>
        <v>0</v>
      </c>
      <c r="AZ25" s="684">
        <f>IF(AZ$4="forecast",(AVERAGE(AN25:AY25)),'Dept. Cost Actuals'!BD944)</f>
        <v>0</v>
      </c>
      <c r="BA25" s="684">
        <f>IF(BA$4="forecast",(AVERAGE(AO25:AZ25)),'Dept. Cost Actuals'!BE944)</f>
        <v>0</v>
      </c>
      <c r="BB25" s="684">
        <f>IF(BB$4="forecast",(AVERAGE(AP25:BA25)),'Dept. Cost Actuals'!BF944)</f>
        <v>0</v>
      </c>
      <c r="BC25" s="684">
        <f>IF(BC$4="forecast",(AVERAGE(AQ25:BB25)),'Dept. Cost Actuals'!BG944)</f>
        <v>0</v>
      </c>
      <c r="BD25" s="684">
        <f>IF(BD$4="forecast",(AVERAGE(AR25:BC25)),'Dept. Cost Actuals'!BH944)</f>
        <v>0</v>
      </c>
      <c r="BE25" s="684">
        <f>IF(BE$4="forecast",(AVERAGE(AS25:BD25)),'Dept. Cost Actuals'!BI944)</f>
        <v>0</v>
      </c>
      <c r="BF25" s="684">
        <f>IF(BF$4="forecast",(AVERAGE(AT25:BE25)),'Dept. Cost Actuals'!BJ944)</f>
        <v>0</v>
      </c>
      <c r="BG25" s="684">
        <f>IF(BG$4="forecast",(AVERAGE(AU25:BF25)),'Dept. Cost Actuals'!BK944)</f>
        <v>0</v>
      </c>
      <c r="BH25" s="684">
        <f>IF(BH$4="forecast",(AVERAGE(AV25:BG25)),'Dept. Cost Actuals'!BL944)</f>
        <v>0</v>
      </c>
      <c r="BI25" s="684">
        <f>IF(BI$4="forecast",(AVERAGE(AW25:BH25)),'Dept. Cost Actuals'!BM944)</f>
        <v>0</v>
      </c>
      <c r="BJ25" s="684">
        <f>IF(BJ$4="forecast",(AVERAGE(AX25:BI25)),'Dept. Cost Actuals'!BN944)</f>
        <v>0</v>
      </c>
      <c r="BK25" s="684">
        <f>IF(BK$4="forecast",(AVERAGE(AY25:BJ25)),'Dept. Cost Actuals'!BO944)</f>
        <v>0</v>
      </c>
      <c r="BL25" s="684">
        <f>IF(BL$4="forecast",(AVERAGE(AZ25:BK25)),'Dept. Cost Actuals'!BP944)</f>
        <v>0</v>
      </c>
      <c r="BM25" s="684">
        <f>IF(BM$4="forecast",(AVERAGE(BA25:BL25)),'Dept. Cost Actuals'!BQ944)</f>
        <v>0</v>
      </c>
      <c r="BN25" s="684">
        <f>IF(BN$4="forecast",(AVERAGE(BB25:BM25)),'Dept. Cost Actuals'!BR944)</f>
        <v>0</v>
      </c>
      <c r="BO25" s="684">
        <f>IF(BO$4="forecast",(AVERAGE(BC25:BN25)),'Dept. Cost Actuals'!BS944)</f>
        <v>0</v>
      </c>
      <c r="BP25" s="684">
        <f>IF(BP$4="forecast",(AVERAGE(BD25:BO25)),'Dept. Cost Actuals'!BT944)</f>
        <v>0</v>
      </c>
      <c r="BQ25" s="684">
        <f>IF(BQ$4="forecast",(AVERAGE(BE25:BP25)),'Dept. Cost Actuals'!BU944)</f>
        <v>0</v>
      </c>
      <c r="BR25" s="684">
        <f>IF(BR$4="forecast",(AVERAGE(BF25:BQ25)),'Dept. Cost Actuals'!BV944)</f>
        <v>0</v>
      </c>
      <c r="BS25" s="684">
        <f>IF(BS$4="forecast",(AVERAGE(BG25:BR25)),'Dept. Cost Actuals'!BW944)</f>
        <v>0</v>
      </c>
      <c r="BT25" s="684">
        <f>IF(BT$4="forecast",(AVERAGE(BH25:BS25)),'Dept. Cost Actuals'!BX944)</f>
        <v>0</v>
      </c>
      <c r="BU25" s="684">
        <f>IF(BU$4="forecast",(AVERAGE(BI25:BT25)),'Dept. Cost Actuals'!BY944)</f>
        <v>0</v>
      </c>
      <c r="BV25" s="808">
        <f>IF(BV$4="forecast",(AVERAGE(BJ25:BU25)),'Dept. Cost Actuals'!BZ944)</f>
        <v>0</v>
      </c>
    </row>
    <row r="26" spans="2:74" x14ac:dyDescent="0.35">
      <c r="B26" s="813" t="s">
        <v>944</v>
      </c>
      <c r="C26" s="814">
        <f>SUM(C17:C25,C14)</f>
        <v>45520.807668711102</v>
      </c>
      <c r="D26" s="814">
        <f t="shared" ref="D26:BO26" si="7">SUM(D17:D25,D14)</f>
        <v>43955.309501940421</v>
      </c>
      <c r="E26" s="814">
        <f t="shared" si="7"/>
        <v>43762.447799703885</v>
      </c>
      <c r="F26" s="814">
        <f t="shared" si="7"/>
        <v>58633.831682355682</v>
      </c>
      <c r="G26" s="814">
        <f t="shared" si="7"/>
        <v>363087.08823035547</v>
      </c>
      <c r="H26" s="814">
        <f t="shared" si="7"/>
        <v>77004.799201008136</v>
      </c>
      <c r="I26" s="814">
        <f t="shared" si="7"/>
        <v>363820.22363780689</v>
      </c>
      <c r="J26" s="814">
        <f t="shared" si="7"/>
        <v>363648.55742816604</v>
      </c>
      <c r="K26" s="814">
        <f t="shared" si="7"/>
        <v>58194.931023632613</v>
      </c>
      <c r="L26" s="814">
        <f t="shared" si="7"/>
        <v>382621.91539839999</v>
      </c>
      <c r="M26" s="814">
        <f t="shared" si="7"/>
        <v>153791.96804273612</v>
      </c>
      <c r="N26" s="814">
        <f t="shared" si="7"/>
        <v>79839.343177339237</v>
      </c>
      <c r="O26" s="814">
        <f t="shared" si="7"/>
        <v>175204.07</v>
      </c>
      <c r="P26" s="814">
        <f t="shared" si="7"/>
        <v>164969.12</v>
      </c>
      <c r="Q26" s="814">
        <f t="shared" si="7"/>
        <v>144860.93</v>
      </c>
      <c r="R26" s="814">
        <f t="shared" si="7"/>
        <v>154256.25</v>
      </c>
      <c r="S26" s="814">
        <f t="shared" si="7"/>
        <v>147053.91</v>
      </c>
      <c r="T26" s="814">
        <f t="shared" si="7"/>
        <v>129737.99</v>
      </c>
      <c r="U26" s="814">
        <f t="shared" si="7"/>
        <v>142452.35</v>
      </c>
      <c r="V26" s="814">
        <f t="shared" si="7"/>
        <v>118429.39</v>
      </c>
      <c r="W26" s="814">
        <f t="shared" si="7"/>
        <v>135991.46000000002</v>
      </c>
      <c r="X26" s="814">
        <f t="shared" si="7"/>
        <v>144687.74</v>
      </c>
      <c r="Y26" s="814">
        <f t="shared" si="7"/>
        <v>124669.25</v>
      </c>
      <c r="Z26" s="814">
        <f t="shared" si="7"/>
        <v>50400.35</v>
      </c>
      <c r="AA26" s="814">
        <f t="shared" si="7"/>
        <v>106500.26764166667</v>
      </c>
      <c r="AB26" s="814">
        <f t="shared" si="7"/>
        <v>53716.469447222225</v>
      </c>
      <c r="AC26" s="814">
        <f t="shared" si="7"/>
        <v>53500.312792129633</v>
      </c>
      <c r="AD26" s="814">
        <f t="shared" si="7"/>
        <v>53404.852249112657</v>
      </c>
      <c r="AE26" s="814">
        <f t="shared" si="7"/>
        <v>53370.270827510933</v>
      </c>
      <c r="AF26" s="814">
        <f t="shared" si="7"/>
        <v>53416.285954109066</v>
      </c>
      <c r="AG26" s="814">
        <f t="shared" si="7"/>
        <v>53428.419007923709</v>
      </c>
      <c r="AH26" s="814">
        <f t="shared" si="7"/>
        <v>53401.374816222909</v>
      </c>
      <c r="AI26" s="814">
        <f t="shared" si="7"/>
        <v>53433.513608547044</v>
      </c>
      <c r="AJ26" s="814">
        <f t="shared" si="7"/>
        <v>53492.735633564851</v>
      </c>
      <c r="AK26" s="814">
        <f t="shared" si="7"/>
        <v>53466.828660667474</v>
      </c>
      <c r="AL26" s="814">
        <f t="shared" si="7"/>
        <v>300980.30777336197</v>
      </c>
      <c r="AM26" s="814">
        <f t="shared" si="7"/>
        <v>53650.693967197709</v>
      </c>
      <c r="AN26" s="814">
        <f t="shared" si="7"/>
        <v>53631.226260776682</v>
      </c>
      <c r="AO26" s="814">
        <f t="shared" si="7"/>
        <v>53612.528413903325</v>
      </c>
      <c r="AP26" s="814">
        <f t="shared" si="7"/>
        <v>53610.303161194912</v>
      </c>
      <c r="AQ26" s="814">
        <f t="shared" si="7"/>
        <v>53615.866831394538</v>
      </c>
      <c r="AR26" s="814">
        <f t="shared" si="7"/>
        <v>53624.797011869996</v>
      </c>
      <c r="AS26" s="814">
        <f t="shared" si="7"/>
        <v>53630.65979900719</v>
      </c>
      <c r="AT26" s="814">
        <f t="shared" si="7"/>
        <v>53636.025192820103</v>
      </c>
      <c r="AU26" s="814">
        <f t="shared" si="7"/>
        <v>53644.118817807044</v>
      </c>
      <c r="AV26" s="814">
        <f t="shared" si="7"/>
        <v>53650.238625865408</v>
      </c>
      <c r="AW26" s="814">
        <f t="shared" si="7"/>
        <v>53651.965941336464</v>
      </c>
      <c r="AX26" s="814">
        <f t="shared" si="7"/>
        <v>301156.03180311213</v>
      </c>
      <c r="AY26" s="814">
        <f t="shared" si="7"/>
        <v>52175.220082654763</v>
      </c>
      <c r="AZ26" s="814">
        <f t="shared" si="7"/>
        <v>52176.271304083333</v>
      </c>
      <c r="BA26" s="814">
        <f t="shared" si="7"/>
        <v>52179.046451177688</v>
      </c>
      <c r="BB26" s="814">
        <f t="shared" si="7"/>
        <v>52183.624828445027</v>
      </c>
      <c r="BC26" s="814">
        <f t="shared" si="7"/>
        <v>52188.783633267842</v>
      </c>
      <c r="BD26" s="814">
        <f t="shared" si="7"/>
        <v>52193.921620809197</v>
      </c>
      <c r="BE26" s="814">
        <f t="shared" si="7"/>
        <v>52198.755765363894</v>
      </c>
      <c r="BF26" s="814">
        <f t="shared" si="7"/>
        <v>52203.51536860106</v>
      </c>
      <c r="BG26" s="814">
        <f t="shared" si="7"/>
        <v>52208.234389437814</v>
      </c>
      <c r="BH26" s="814">
        <f t="shared" si="7"/>
        <v>52212.680486288205</v>
      </c>
      <c r="BI26" s="814">
        <f t="shared" si="7"/>
        <v>52216.99341528165</v>
      </c>
      <c r="BJ26" s="814">
        <f t="shared" si="7"/>
        <v>299721.52570160478</v>
      </c>
      <c r="BK26" s="814">
        <f t="shared" si="7"/>
        <v>52226.097831231062</v>
      </c>
      <c r="BL26" s="814">
        <f t="shared" si="7"/>
        <v>52230.77176549648</v>
      </c>
      <c r="BM26" s="814">
        <f t="shared" si="7"/>
        <v>52235.757164224742</v>
      </c>
      <c r="BN26" s="814">
        <f t="shared" si="7"/>
        <v>52240.935915014445</v>
      </c>
      <c r="BO26" s="814">
        <f t="shared" si="7"/>
        <v>52246.173435144468</v>
      </c>
      <c r="BP26" s="814">
        <f t="shared" ref="BP26:BV26" si="8">SUM(BP17:BP25,BP14)</f>
        <v>52251.425820413955</v>
      </c>
      <c r="BQ26" s="814">
        <f t="shared" si="8"/>
        <v>52256.695621227438</v>
      </c>
      <c r="BR26" s="814">
        <f t="shared" si="8"/>
        <v>52262.009215815793</v>
      </c>
      <c r="BS26" s="814">
        <f t="shared" si="8"/>
        <v>52267.376127204043</v>
      </c>
      <c r="BT26" s="814">
        <f t="shared" si="8"/>
        <v>52272.803928306952</v>
      </c>
      <c r="BU26" s="814">
        <f t="shared" si="8"/>
        <v>52278.320309132134</v>
      </c>
      <c r="BV26" s="815">
        <f t="shared" si="8"/>
        <v>299783.9437910823</v>
      </c>
    </row>
    <row r="27" spans="2:74" x14ac:dyDescent="0.35">
      <c r="B27" s="871"/>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c r="AX27" s="26"/>
      <c r="AY27" s="26"/>
      <c r="AZ27" s="26"/>
      <c r="BA27" s="26"/>
      <c r="BB27" s="26"/>
      <c r="BC27" s="26"/>
      <c r="BD27" s="26"/>
      <c r="BE27" s="26"/>
      <c r="BF27" s="26"/>
      <c r="BG27" s="26"/>
      <c r="BH27" s="26"/>
      <c r="BI27" s="26"/>
      <c r="BJ27" s="26"/>
      <c r="BK27" s="26"/>
      <c r="BL27" s="26"/>
      <c r="BM27" s="26"/>
      <c r="BN27" s="26"/>
      <c r="BO27" s="26"/>
      <c r="BP27" s="26"/>
      <c r="BQ27" s="26"/>
      <c r="BR27" s="26"/>
      <c r="BS27" s="26"/>
      <c r="BT27" s="26"/>
      <c r="BU27" s="26"/>
      <c r="BV27" s="872"/>
    </row>
    <row r="28" spans="2:74" x14ac:dyDescent="0.35">
      <c r="B28" s="802" t="s">
        <v>945</v>
      </c>
      <c r="C28" s="803"/>
      <c r="D28" s="803"/>
      <c r="E28" s="803"/>
      <c r="F28" s="803"/>
      <c r="G28" s="803"/>
      <c r="H28" s="803"/>
      <c r="I28" s="803"/>
      <c r="J28" s="803"/>
      <c r="K28" s="803"/>
      <c r="L28" s="803"/>
      <c r="M28" s="803"/>
      <c r="N28" s="803"/>
      <c r="O28" s="804"/>
      <c r="P28" s="804"/>
      <c r="Q28" s="804"/>
      <c r="R28" s="804"/>
      <c r="S28" s="804"/>
      <c r="T28" s="804"/>
      <c r="U28" s="804"/>
      <c r="V28" s="804"/>
      <c r="W28" s="804"/>
      <c r="X28" s="804"/>
      <c r="Y28" s="804"/>
      <c r="Z28" s="804"/>
      <c r="AA28" s="804"/>
      <c r="AB28" s="804"/>
      <c r="AC28" s="804"/>
      <c r="AD28" s="804"/>
      <c r="AE28" s="804"/>
      <c r="AF28" s="804"/>
      <c r="AG28" s="804"/>
      <c r="AH28" s="804"/>
      <c r="AI28" s="804"/>
      <c r="AJ28" s="804"/>
      <c r="AK28" s="804"/>
      <c r="AL28" s="804"/>
      <c r="AM28" s="804"/>
      <c r="AN28" s="804"/>
      <c r="AO28" s="804"/>
      <c r="AP28" s="804"/>
      <c r="AQ28" s="804"/>
      <c r="AR28" s="804"/>
      <c r="AS28" s="804"/>
      <c r="AT28" s="804"/>
      <c r="AU28" s="804"/>
      <c r="AV28" s="804"/>
      <c r="AW28" s="804"/>
      <c r="AX28" s="804"/>
      <c r="AY28" s="804"/>
      <c r="AZ28" s="804"/>
      <c r="BA28" s="804"/>
      <c r="BB28" s="804"/>
      <c r="BC28" s="804"/>
      <c r="BD28" s="804"/>
      <c r="BE28" s="804"/>
      <c r="BF28" s="804"/>
      <c r="BG28" s="804"/>
      <c r="BH28" s="804"/>
      <c r="BI28" s="804"/>
      <c r="BJ28" s="804"/>
      <c r="BK28" s="804"/>
      <c r="BL28" s="804"/>
      <c r="BM28" s="804"/>
      <c r="BN28" s="804"/>
      <c r="BO28" s="804"/>
      <c r="BP28" s="804"/>
      <c r="BQ28" s="804"/>
      <c r="BR28" s="804"/>
      <c r="BS28" s="804"/>
      <c r="BT28" s="804"/>
      <c r="BU28" s="804"/>
      <c r="BV28" s="805"/>
    </row>
    <row r="29" spans="2:74" x14ac:dyDescent="0.35">
      <c r="B29" s="811" t="s">
        <v>946</v>
      </c>
      <c r="C29" s="684">
        <f>IF(C$4="forecast",(AVERAGE(#REF!)),'Dept. Cost Actuals'!G939-'Dept. Cost Actuals'!G937)</f>
        <v>0</v>
      </c>
      <c r="D29" s="684">
        <f>IF(D$4="forecast",(AVERAGE(#REF!)),'Dept. Cost Actuals'!H939-'Dept. Cost Actuals'!H937)</f>
        <v>55.832921453055825</v>
      </c>
      <c r="E29" s="684">
        <f>IF(E$4="forecast",(AVERAGE(#REF!)),'Dept. Cost Actuals'!I939-'Dept. Cost Actuals'!I937)</f>
        <v>0</v>
      </c>
      <c r="F29" s="684">
        <f>IF(F$4="forecast",(AVERAGE(#REF!)),'Dept. Cost Actuals'!J939-'Dept. Cost Actuals'!J937)</f>
        <v>103.44283361308359</v>
      </c>
      <c r="G29" s="684">
        <f>IF(G$4="forecast",(AVERAGE(#REF!)),'Dept. Cost Actuals'!K939-'Dept. Cost Actuals'!K937)</f>
        <v>101.80178770555302</v>
      </c>
      <c r="H29" s="684">
        <f>IF(H$4="forecast",(AVERAGE(#REF!)),'Dept. Cost Actuals'!L939-'Dept. Cost Actuals'!L937)</f>
        <v>1130.4627970036445</v>
      </c>
      <c r="I29" s="684">
        <f>IF(I$4="forecast",(AVERAGE(#REF!)),'Dept. Cost Actuals'!M939-'Dept. Cost Actuals'!M937)</f>
        <v>2297.2124127527545</v>
      </c>
      <c r="J29" s="684">
        <f>IF(J$4="forecast",(AVERAGE(#REF!)),'Dept. Cost Actuals'!N939-'Dept. Cost Actuals'!N937)</f>
        <v>2044.2670118808787</v>
      </c>
      <c r="K29" s="684">
        <f>IF(K$4="forecast",(AVERAGE(#REF!)),'Dept. Cost Actuals'!O939-'Dept. Cost Actuals'!O937)</f>
        <v>2679.5086837734311</v>
      </c>
      <c r="L29" s="684">
        <f>IF(L$4="forecast",(AVERAGE(#REF!)),'Dept. Cost Actuals'!P939-'Dept. Cost Actuals'!P937)</f>
        <v>745.96813139671644</v>
      </c>
      <c r="M29" s="684">
        <f>IF(M$4="forecast",(AVERAGE(A29:L29)),'Dept. Cost Actuals'!Q939-'Dept. Cost Actuals'!Q937)</f>
        <v>3026.0501909467307</v>
      </c>
      <c r="N29" s="684">
        <f>IF(N$4="forecast",(AVERAGE(B29:M29)),'Dept. Cost Actuals'!R939-'Dept. Cost Actuals'!R937)</f>
        <v>692.86714036847081</v>
      </c>
      <c r="O29" s="684">
        <f>IF(O$4="forecast",(AVERAGE(C29:N29)),'Dept. Cost Actuals'!S939-'Dept. Cost Actuals'!S937)</f>
        <v>0</v>
      </c>
      <c r="P29" s="684">
        <f>IF(P$4="forecast",(AVERAGE(D29:O29)),'Dept. Cost Actuals'!T939-'Dept. Cost Actuals'!T937)</f>
        <v>0</v>
      </c>
      <c r="Q29" s="684">
        <f>IF(Q$4="forecast",(AVERAGE(E29:P29)),'Dept. Cost Actuals'!U939-'Dept. Cost Actuals'!U937)</f>
        <v>0</v>
      </c>
      <c r="R29" s="684">
        <f>IF(R$4="forecast",(AVERAGE(F29:Q29)),'Dept. Cost Actuals'!V939-'Dept. Cost Actuals'!V937)</f>
        <v>0</v>
      </c>
      <c r="S29" s="684">
        <f>IF(S$4="forecast",(AVERAGE(G29:R29)),'Dept. Cost Actuals'!W939-'Dept. Cost Actuals'!W937)</f>
        <v>0</v>
      </c>
      <c r="T29" s="684">
        <f>IF(T$4="forecast",(AVERAGE(H29:S29)),'Dept. Cost Actuals'!X939-'Dept. Cost Actuals'!X937)</f>
        <v>0</v>
      </c>
      <c r="U29" s="684">
        <f>IF(U$4="forecast",(AVERAGE(I29:T29)),'Dept. Cost Actuals'!Y939-'Dept. Cost Actuals'!Y937)</f>
        <v>0</v>
      </c>
      <c r="V29" s="684">
        <f>IF(V$4="forecast",(AVERAGE(J29:U29)),'Dept. Cost Actuals'!Z939-'Dept. Cost Actuals'!Z937)</f>
        <v>0</v>
      </c>
      <c r="W29" s="684">
        <f>IF(W$4="forecast",(AVERAGE(K29:V29)),'Dept. Cost Actuals'!AA939-'Dept. Cost Actuals'!AA937)</f>
        <v>0</v>
      </c>
      <c r="X29" s="684">
        <f>IF(X$4="forecast",(AVERAGE(L29:W29)),'Dept. Cost Actuals'!AB939-'Dept. Cost Actuals'!AB937)</f>
        <v>0</v>
      </c>
      <c r="Y29" s="684">
        <f>IF(Y$4="forecast",(AVERAGE(M29:X29)),'Dept. Cost Actuals'!AC939-'Dept. Cost Actuals'!AC937)</f>
        <v>11937.5</v>
      </c>
      <c r="Z29" s="684">
        <f>IF(Z$4="forecast",(AVERAGE(N29:Y29)),'Dept. Cost Actuals'!AD939-'Dept. Cost Actuals'!AD937)</f>
        <v>11564</v>
      </c>
      <c r="AA29" s="684">
        <f>IF(AA$4="forecast",(AVERAGE(O29:Z29)),'Dept. Cost Actuals'!AE939-'Dept. Cost Actuals'!AE937)</f>
        <v>1958.4583333333333</v>
      </c>
      <c r="AB29" s="684">
        <f>IF(AB$4="forecast",(AVERAGE(P29:AA29)),'Dept. Cost Actuals'!AF939-'Dept. Cost Actuals'!AF937)</f>
        <v>2121.6631944444443</v>
      </c>
      <c r="AC29" s="684">
        <f>IF(AC$4="forecast",(AVERAGE(Q29:AB29)),'Dept. Cost Actuals'!AG939-'Dept. Cost Actuals'!AG937)</f>
        <v>2298.4684606481483</v>
      </c>
      <c r="AD29" s="684">
        <f>IF(AD$4="forecast",(AVERAGE(R29:AC29)),'Dept. Cost Actuals'!AH939-'Dept. Cost Actuals'!AH937)</f>
        <v>2490.0074990354938</v>
      </c>
      <c r="AE29" s="684">
        <f>IF(AE$4="forecast",(AVERAGE(S29:AD29)),'Dept. Cost Actuals'!AI939-'Dept. Cost Actuals'!AI937)</f>
        <v>2697.5081239551187</v>
      </c>
      <c r="AF29" s="684">
        <f>IF(AF$4="forecast",(AVERAGE(T29:AE29)),'Dept. Cost Actuals'!AJ939-'Dept. Cost Actuals'!AJ937)</f>
        <v>2922.3004676180449</v>
      </c>
      <c r="AG29" s="684">
        <f>IF(AG$4="forecast",(AVERAGE(U29:AF29)),'Dept. Cost Actuals'!AK939-'Dept. Cost Actuals'!AK937)</f>
        <v>3165.8255065862154</v>
      </c>
      <c r="AH29" s="684">
        <f>IF(AH$4="forecast",(AVERAGE(V29:AG29)),'Dept. Cost Actuals'!AL939-'Dept. Cost Actuals'!AL937)</f>
        <v>3429.6442988017334</v>
      </c>
      <c r="AI29" s="684">
        <f>IF(AI$4="forecast",(AVERAGE(W29:AH29)),'Dept. Cost Actuals'!AM939-'Dept. Cost Actuals'!AM937)</f>
        <v>3715.4479903685447</v>
      </c>
      <c r="AJ29" s="684">
        <f>IF(AJ$4="forecast",(AVERAGE(X29:AI29)),'Dept. Cost Actuals'!AN939-'Dept. Cost Actuals'!AN937)</f>
        <v>4025.06865623259</v>
      </c>
      <c r="AK29" s="684">
        <f>IF(AK$4="forecast",(AVERAGE(Y29:AJ29)),'Dept. Cost Actuals'!AO939-'Dept. Cost Actuals'!AO937)</f>
        <v>4360.4910442519722</v>
      </c>
      <c r="AL29" s="684">
        <f>IF(AL$4="forecast",(AVERAGE(Z29:AK29)),'Dept. Cost Actuals'!AP939-'Dept. Cost Actuals'!AP937)</f>
        <v>3729.07363127297</v>
      </c>
      <c r="AM29" s="684">
        <f>IF(AM$4="forecast",(AVERAGE(AA29:AL29)),'Dept. Cost Actuals'!AQ939-'Dept. Cost Actuals'!AQ937)</f>
        <v>3076.163100545718</v>
      </c>
      <c r="AN29" s="684">
        <f>IF(AN$4="forecast",(AVERAGE(AB29:AM29)),'Dept. Cost Actuals'!AR939-'Dept. Cost Actuals'!AR937)</f>
        <v>3169.305164480083</v>
      </c>
      <c r="AO29" s="684">
        <f>IF(AO$4="forecast",(AVERAGE(AC29:AN29)),'Dept. Cost Actuals'!AS939-'Dept. Cost Actuals'!AS937)</f>
        <v>3256.6086619830526</v>
      </c>
      <c r="AP29" s="684">
        <f>IF(AP$4="forecast",(AVERAGE(AD29:AO29)),'Dept. Cost Actuals'!AT939-'Dept. Cost Actuals'!AT937)</f>
        <v>3336.4536787609613</v>
      </c>
      <c r="AQ29" s="684">
        <f>IF(AQ$4="forecast",(AVERAGE(AE29:AP29)),'Dept. Cost Actuals'!AU939-'Dept. Cost Actuals'!AU937)</f>
        <v>3406.9908604047505</v>
      </c>
      <c r="AR29" s="684">
        <f>IF(AR$4="forecast",(AVERAGE(AF29:AQ29)),'Dept. Cost Actuals'!AV939-'Dept. Cost Actuals'!AV937)</f>
        <v>3466.1144217755532</v>
      </c>
      <c r="AS29" s="684">
        <f>IF(AS$4="forecast",(AVERAGE(AG29:AR29)),'Dept. Cost Actuals'!AW939-'Dept. Cost Actuals'!AW937)</f>
        <v>3511.4322512886788</v>
      </c>
      <c r="AT29" s="684">
        <f>IF(AT$4="forecast",(AVERAGE(AH29:AS29)),'Dept. Cost Actuals'!AX939-'Dept. Cost Actuals'!AX937)</f>
        <v>3540.232813347217</v>
      </c>
      <c r="AU29" s="684">
        <f>IF(AU$4="forecast",(AVERAGE(AI29:AT29)),'Dept. Cost Actuals'!AY939-'Dept. Cost Actuals'!AY937)</f>
        <v>3549.4485228926737</v>
      </c>
      <c r="AV29" s="684">
        <f>IF(AV$4="forecast",(AVERAGE(AJ29:AU29)),'Dept. Cost Actuals'!AZ939-'Dept. Cost Actuals'!AZ937)</f>
        <v>3535.6152339363512</v>
      </c>
      <c r="AW29" s="684">
        <f>IF(AW$4="forecast",(AVERAGE(AK29:AV29)),'Dept. Cost Actuals'!BA939-'Dept. Cost Actuals'!BA937)</f>
        <v>3494.8274487449985</v>
      </c>
      <c r="AX29" s="684">
        <f>IF(AX$4="forecast",(AVERAGE(AL29:AW29)),'Dept. Cost Actuals'!BB939-'Dept. Cost Actuals'!BB937)</f>
        <v>3422.6888157860844</v>
      </c>
      <c r="AY29" s="684">
        <f>IF(AY$4="forecast",(AVERAGE(AM29:AX29)),'Dept. Cost Actuals'!BC939-'Dept. Cost Actuals'!BC937)</f>
        <v>3397.1567478288434</v>
      </c>
      <c r="AZ29" s="684">
        <f>IF(AZ$4="forecast",(AVERAGE(AN29:AY29)),'Dept. Cost Actuals'!BD939-'Dept. Cost Actuals'!BD937)</f>
        <v>3423.9062184357704</v>
      </c>
      <c r="BA29" s="684">
        <f>IF(BA$4="forecast",(AVERAGE(AO29:AZ29)),'Dept. Cost Actuals'!BE939-'Dept. Cost Actuals'!BE937)</f>
        <v>3445.122972932078</v>
      </c>
      <c r="BB29" s="684">
        <f>IF(BB$4="forecast",(AVERAGE(AP29:BA29)),'Dept. Cost Actuals'!BF939-'Dept. Cost Actuals'!BF937)</f>
        <v>3460.8324988444965</v>
      </c>
      <c r="BC29" s="684">
        <f>IF(BC$4="forecast",(AVERAGE(AQ29:BB29)),'Dept. Cost Actuals'!BG939-'Dept. Cost Actuals'!BG937)</f>
        <v>3471.1974005181241</v>
      </c>
      <c r="BD29" s="684">
        <f>IF(BD$4="forecast",(AVERAGE(AR29:BC29)),'Dept. Cost Actuals'!BH939-'Dept. Cost Actuals'!BH937)</f>
        <v>3476.5479455275727</v>
      </c>
      <c r="BE29" s="684">
        <f>IF(BE$4="forecast",(AVERAGE(AS29:BD29)),'Dept. Cost Actuals'!BI939-'Dept. Cost Actuals'!BI937)</f>
        <v>3477.4174058402409</v>
      </c>
      <c r="BF29" s="684">
        <f>IF(BF$4="forecast",(AVERAGE(AT29:BE29)),'Dept. Cost Actuals'!BJ939-'Dept. Cost Actuals'!BJ937)</f>
        <v>3474.5828353862048</v>
      </c>
      <c r="BG29" s="684">
        <f>IF(BG$4="forecast",(AVERAGE(AU29:BF29)),'Dept. Cost Actuals'!BK939-'Dept. Cost Actuals'!BK937)</f>
        <v>3469.1120038894533</v>
      </c>
      <c r="BH29" s="684">
        <f>IF(BH$4="forecast",(AVERAGE(AV29:BG29)),'Dept. Cost Actuals'!BL939-'Dept. Cost Actuals'!BL937)</f>
        <v>3462.4172939725177</v>
      </c>
      <c r="BI29" s="684">
        <f>IF(BI$4="forecast",(AVERAGE(AW29:BH29)),'Dept. Cost Actuals'!BM939-'Dept. Cost Actuals'!BM937)</f>
        <v>3456.3174656421984</v>
      </c>
      <c r="BJ29" s="684">
        <f>IF(BJ$4="forecast",(AVERAGE(AX29:BI29)),'Dept. Cost Actuals'!BN939-'Dept. Cost Actuals'!BN937)</f>
        <v>3453.1083003836325</v>
      </c>
      <c r="BK29" s="684">
        <f>IF(BK$4="forecast",(AVERAGE(AY29:BJ29)),'Dept. Cost Actuals'!BO939-'Dept. Cost Actuals'!BO937)</f>
        <v>3455.6432574334281</v>
      </c>
      <c r="BL29" s="684">
        <f>IF(BL$4="forecast",(AVERAGE(AZ29:BK29)),'Dept. Cost Actuals'!BP939-'Dept. Cost Actuals'!BP937)</f>
        <v>3460.51713323381</v>
      </c>
      <c r="BM29" s="684">
        <f>IF(BM$4="forecast",(AVERAGE(BA29:BL29)),'Dept. Cost Actuals'!BQ939-'Dept. Cost Actuals'!BQ937)</f>
        <v>3463.5680428003125</v>
      </c>
      <c r="BN29" s="684">
        <f>IF(BN$4="forecast",(AVERAGE(BB29:BM29)),'Dept. Cost Actuals'!BR939-'Dept. Cost Actuals'!BR937)</f>
        <v>3465.1051319559988</v>
      </c>
      <c r="BO29" s="684">
        <f>IF(BO$4="forecast",(AVERAGE(BC29:BN29)),'Dept. Cost Actuals'!BS939-'Dept. Cost Actuals'!BS937)</f>
        <v>3465.4611847152905</v>
      </c>
      <c r="BP29" s="684">
        <f>IF(BP$4="forecast",(AVERAGE(BD29:BO29)),'Dept. Cost Actuals'!BT939-'Dept. Cost Actuals'!BT937)</f>
        <v>3464.9831667317217</v>
      </c>
      <c r="BQ29" s="684">
        <f>IF(BQ$4="forecast",(AVERAGE(BE29:BP29)),'Dept. Cost Actuals'!BU939-'Dept. Cost Actuals'!BU937)</f>
        <v>3464.0194351654009</v>
      </c>
      <c r="BR29" s="684">
        <f>IF(BR$4="forecast",(AVERAGE(BF29:BQ29)),'Dept. Cost Actuals'!BV939-'Dept. Cost Actuals'!BV937)</f>
        <v>3462.9029376091639</v>
      </c>
      <c r="BS29" s="684">
        <f>IF(BS$4="forecast",(AVERAGE(BG29:BR29)),'Dept. Cost Actuals'!BW939-'Dept. Cost Actuals'!BW937)</f>
        <v>3461.9296127944103</v>
      </c>
      <c r="BT29" s="684">
        <f>IF(BT$4="forecast",(AVERAGE(BH29:BS29)),'Dept. Cost Actuals'!BX939-'Dept. Cost Actuals'!BX937)</f>
        <v>3461.3310802031574</v>
      </c>
      <c r="BU29" s="684">
        <f>IF(BU$4="forecast",(AVERAGE(BI29:BT29)),'Dept. Cost Actuals'!BY939-'Dept. Cost Actuals'!BY937)</f>
        <v>3461.240562389044</v>
      </c>
      <c r="BV29" s="808">
        <f>IF(BV$4="forecast",(AVERAGE(BJ29:BU29)),'Dept. Cost Actuals'!BZ939-'Dept. Cost Actuals'!BZ937)</f>
        <v>3461.6508204512811</v>
      </c>
    </row>
    <row r="30" spans="2:74" x14ac:dyDescent="0.35">
      <c r="B30" s="812" t="s">
        <v>926</v>
      </c>
      <c r="C30" s="684">
        <f>IF(C$4="forecast",AVERAGE(#REF!),'Dept. Cost Actuals'!G888+'Dept. Cost Actuals'!G848)</f>
        <v>0</v>
      </c>
      <c r="D30" s="684">
        <f>IF(D$4="forecast",AVERAGE(#REF!),'Dept. Cost Actuals'!H888+'Dept. Cost Actuals'!H848)</f>
        <v>0</v>
      </c>
      <c r="E30" s="684">
        <f>IF(E$4="forecast",AVERAGE(#REF!),'Dept. Cost Actuals'!I888+'Dept. Cost Actuals'!I848)</f>
        <v>0</v>
      </c>
      <c r="F30" s="684">
        <f>IF(F$4="forecast",AVERAGE(#REF!),'Dept. Cost Actuals'!J888+'Dept. Cost Actuals'!J848)</f>
        <v>0</v>
      </c>
      <c r="G30" s="684">
        <f>IF(G$4="forecast",AVERAGE(#REF!),'Dept. Cost Actuals'!K888+'Dept. Cost Actuals'!K848)</f>
        <v>0</v>
      </c>
      <c r="H30" s="684">
        <f>IF(H$4="forecast",AVERAGE(#REF!),'Dept. Cost Actuals'!L888+'Dept. Cost Actuals'!L848)</f>
        <v>0</v>
      </c>
      <c r="I30" s="684">
        <f>IF(I$4="forecast",AVERAGE(#REF!),'Dept. Cost Actuals'!M888+'Dept. Cost Actuals'!M848)</f>
        <v>107.47555061026705</v>
      </c>
      <c r="J30" s="684">
        <f>IF(J$4="forecast",AVERAGE(#REF!),'Dept. Cost Actuals'!N888+'Dept. Cost Actuals'!N848)</f>
        <v>0</v>
      </c>
      <c r="K30" s="684">
        <f>IF(K$4="forecast",AVERAGE(#REF!),'Dept. Cost Actuals'!O888+'Dept. Cost Actuals'!O848)</f>
        <v>68.824470141229853</v>
      </c>
      <c r="L30" s="684">
        <f>IF(L$4="forecast",AVERAGE(#REF!),'Dept. Cost Actuals'!P888+'Dept. Cost Actuals'!P848)</f>
        <v>60.615675753840229</v>
      </c>
      <c r="M30" s="684">
        <f>IF(M$4="forecast",AVERAGE(A30:L30),'Dept. Cost Actuals'!Q888+'Dept. Cost Actuals'!Q848)</f>
        <v>0</v>
      </c>
      <c r="N30" s="684">
        <f>IF(N$4="forecast",AVERAGE(B30:M30),'Dept. Cost Actuals'!R888+'Dept. Cost Actuals'!R848)</f>
        <v>0</v>
      </c>
      <c r="O30" s="684">
        <f>IF(O$4="forecast",AVERAGE(C30:N30),'Dept. Cost Actuals'!S888+'Dept. Cost Actuals'!S848)</f>
        <v>0</v>
      </c>
      <c r="P30" s="684">
        <f>IF(P$4="forecast",AVERAGE(D30:O30),'Dept. Cost Actuals'!T888+'Dept. Cost Actuals'!T848)</f>
        <v>500</v>
      </c>
      <c r="Q30" s="684">
        <f>IF(Q$4="forecast",AVERAGE(E30:P30),'Dept. Cost Actuals'!U888+'Dept. Cost Actuals'!U848)</f>
        <v>882</v>
      </c>
      <c r="R30" s="684">
        <f>IF(R$4="forecast",AVERAGE(F30:Q30),'Dept. Cost Actuals'!V888+'Dept. Cost Actuals'!V848)</f>
        <v>279</v>
      </c>
      <c r="S30" s="684">
        <f>IF(S$4="forecast",AVERAGE(G30:R30),'Dept. Cost Actuals'!W888+'Dept. Cost Actuals'!W848)</f>
        <v>0</v>
      </c>
      <c r="T30" s="684">
        <f>IF(T$4="forecast",AVERAGE(H30:S30),'Dept. Cost Actuals'!X888+'Dept. Cost Actuals'!X848)</f>
        <v>3250</v>
      </c>
      <c r="U30" s="684">
        <f>IF(U$4="forecast",AVERAGE(I30:T30),'Dept. Cost Actuals'!Y888+'Dept. Cost Actuals'!Y848)</f>
        <v>340</v>
      </c>
      <c r="V30" s="684">
        <f>IF(V$4="forecast",AVERAGE(J30:U30),'Dept. Cost Actuals'!Z888+'Dept. Cost Actuals'!Z848)</f>
        <v>-100</v>
      </c>
      <c r="W30" s="684">
        <f>IF(W$4="forecast",AVERAGE(K30:V30),'Dept. Cost Actuals'!AA888+'Dept. Cost Actuals'!AA848)</f>
        <v>0</v>
      </c>
      <c r="X30" s="684">
        <f>IF(X$4="forecast",AVERAGE(L30:W30),'Dept. Cost Actuals'!AB888+'Dept. Cost Actuals'!AB848)</f>
        <v>0</v>
      </c>
      <c r="Y30" s="684">
        <f>IF(Y$4="forecast",AVERAGE(M30:X30),'Dept. Cost Actuals'!AC888+'Dept. Cost Actuals'!AC848)</f>
        <v>525.17999999999995</v>
      </c>
      <c r="Z30" s="684">
        <f>IF(Z$4="forecast",AVERAGE(N30:Y30),'Dept. Cost Actuals'!AD888+'Dept. Cost Actuals'!AD848)</f>
        <v>480</v>
      </c>
      <c r="AA30" s="684">
        <f>IF(AA$4="forecast",AVERAGE(O30:Z30),'Dept. Cost Actuals'!AE888+'Dept. Cost Actuals'!AE848)</f>
        <v>513.01499999999999</v>
      </c>
      <c r="AB30" s="684">
        <f>IF(AB$4="forecast",AVERAGE(P30:AA30),'Dept. Cost Actuals'!AF888+'Dept. Cost Actuals'!AF848)</f>
        <v>555.76625000000001</v>
      </c>
      <c r="AC30" s="684">
        <f>IF(AC$4="forecast",AVERAGE(Q30:AB30),'Dept. Cost Actuals'!AG888+'Dept. Cost Actuals'!AG848)</f>
        <v>560.41343749999999</v>
      </c>
      <c r="AD30" s="684">
        <f>IF(AD$4="forecast",AVERAGE(R30:AC30),'Dept. Cost Actuals'!AH888+'Dept. Cost Actuals'!AH848)</f>
        <v>533.61455729166676</v>
      </c>
      <c r="AE30" s="684">
        <f>IF(AE$4="forecast",AVERAGE(S30:AD30),'Dept. Cost Actuals'!AI888+'Dept. Cost Actuals'!AI848)</f>
        <v>554.83243706597227</v>
      </c>
      <c r="AF30" s="684">
        <f>IF(AF$4="forecast",AVERAGE(T30:AE30),'Dept. Cost Actuals'!AJ888+'Dept. Cost Actuals'!AJ848)</f>
        <v>601.06847348813665</v>
      </c>
      <c r="AG30" s="684">
        <f>IF(AG$4="forecast",AVERAGE(U30:AF30),'Dept. Cost Actuals'!AK888+'Dept. Cost Actuals'!AK848)</f>
        <v>380.32417961214793</v>
      </c>
      <c r="AH30" s="684">
        <f>IF(AH$4="forecast",AVERAGE(V30:AG30),'Dept. Cost Actuals'!AL888+'Dept. Cost Actuals'!AL848)</f>
        <v>383.68452791316031</v>
      </c>
      <c r="AI30" s="684">
        <f>IF(AI$4="forecast",AVERAGE(W30:AH30),'Dept. Cost Actuals'!AM888+'Dept. Cost Actuals'!AM848)</f>
        <v>423.99157190592365</v>
      </c>
      <c r="AJ30" s="684">
        <f>IF(AJ$4="forecast",AVERAGE(X30:AI30),'Dept. Cost Actuals'!AN888+'Dept. Cost Actuals'!AN848)</f>
        <v>459.32420289808397</v>
      </c>
      <c r="AK30" s="684">
        <f>IF(AK$4="forecast",AVERAGE(Y30:AJ30),'Dept. Cost Actuals'!AO888+'Dept. Cost Actuals'!AO848)</f>
        <v>497.60121980625763</v>
      </c>
      <c r="AL30" s="684">
        <f>IF(AL$4="forecast",AVERAGE(Z30:AK30),'Dept. Cost Actuals'!AP888+'Dept. Cost Actuals'!AP848)</f>
        <v>495.3029881234458</v>
      </c>
      <c r="AM30" s="684">
        <f>IF(AM$4="forecast",AVERAGE(AA30:AL30),'Dept. Cost Actuals'!AQ888+'Dept. Cost Actuals'!AQ848)</f>
        <v>496.57823713373296</v>
      </c>
      <c r="AN30" s="684">
        <f>IF(AN$4="forecast",AVERAGE(AB30:AM30),'Dept. Cost Actuals'!AR888+'Dept. Cost Actuals'!AR848)</f>
        <v>495.20850689487725</v>
      </c>
      <c r="AO30" s="684">
        <f>IF(AO$4="forecast",AVERAGE(AC30:AN30),'Dept. Cost Actuals'!AS888+'Dept. Cost Actuals'!AS848)</f>
        <v>490.16202830278377</v>
      </c>
      <c r="AP30" s="684">
        <f>IF(AP$4="forecast",AVERAGE(AD30:AO30),'Dept. Cost Actuals'!AT888+'Dept. Cost Actuals'!AT848)</f>
        <v>484.30774420301577</v>
      </c>
      <c r="AQ30" s="684">
        <f>IF(AQ$4="forecast",AVERAGE(AE30:AP30),'Dept. Cost Actuals'!AU888+'Dept. Cost Actuals'!AU848)</f>
        <v>480.19884311229481</v>
      </c>
      <c r="AR30" s="684">
        <f>IF(AR$4="forecast",AVERAGE(AF30:AQ30),'Dept. Cost Actuals'!AV888+'Dept. Cost Actuals'!AV848)</f>
        <v>473.97937694948837</v>
      </c>
      <c r="AS30" s="684">
        <f>IF(AS$4="forecast",AVERAGE(AG30:AR30),'Dept. Cost Actuals'!AW888+'Dept. Cost Actuals'!AW848)</f>
        <v>463.38861890460106</v>
      </c>
      <c r="AT30" s="684">
        <f>IF(AT$4="forecast",AVERAGE(AH30:AS30),'Dept. Cost Actuals'!AX888+'Dept. Cost Actuals'!AX848)</f>
        <v>470.31065551230535</v>
      </c>
      <c r="AU30" s="684">
        <f>IF(AU$4="forecast",AVERAGE(AI30:AT30),'Dept. Cost Actuals'!AY888+'Dept. Cost Actuals'!AY848)</f>
        <v>477.52949947890079</v>
      </c>
      <c r="AV30" s="684">
        <f>IF(AV$4="forecast",AVERAGE(AJ30:AU30),'Dept. Cost Actuals'!AZ888+'Dept. Cost Actuals'!AZ848)</f>
        <v>481.99099344331557</v>
      </c>
      <c r="AW30" s="684">
        <f>IF(AW$4="forecast",AVERAGE(AK30:AV30),'Dept. Cost Actuals'!BA888+'Dept. Cost Actuals'!BA848)</f>
        <v>483.87989265541819</v>
      </c>
      <c r="AX30" s="684">
        <f>IF(AX$4="forecast",AVERAGE(AL30:AW30),'Dept. Cost Actuals'!BB888+'Dept. Cost Actuals'!BB848)</f>
        <v>482.73644872618166</v>
      </c>
      <c r="AY30" s="684">
        <f>IF(AY$4="forecast",AVERAGE(AM30:AX30),'Dept. Cost Actuals'!BC888+'Dept. Cost Actuals'!BC848)</f>
        <v>481.68923710974303</v>
      </c>
      <c r="AZ30" s="684">
        <f>IF(AZ$4="forecast",AVERAGE(AN30:AY30),'Dept. Cost Actuals'!BD888+'Dept. Cost Actuals'!BD848)</f>
        <v>480.4484871077438</v>
      </c>
      <c r="BA30" s="684">
        <f>IF(BA$4="forecast",AVERAGE(AO30:AZ30),'Dept. Cost Actuals'!BE888+'Dept. Cost Actuals'!BE848)</f>
        <v>479.21848545881602</v>
      </c>
      <c r="BB30" s="684">
        <f>IF(BB$4="forecast",AVERAGE(AP30:BA30),'Dept. Cost Actuals'!BF888+'Dept. Cost Actuals'!BF848)</f>
        <v>478.30652355515207</v>
      </c>
      <c r="BC30" s="684">
        <f>IF(BC$4="forecast",AVERAGE(AQ30:BB30),'Dept. Cost Actuals'!BG888+'Dept. Cost Actuals'!BG848)</f>
        <v>477.80642183449669</v>
      </c>
      <c r="BD30" s="684">
        <f>IF(BD$4="forecast",AVERAGE(AR30:BC30),'Dept. Cost Actuals'!BH888+'Dept. Cost Actuals'!BH848)</f>
        <v>477.60705339468018</v>
      </c>
      <c r="BE30" s="684">
        <f>IF(BE$4="forecast",AVERAGE(AS30:BD30),'Dept. Cost Actuals'!BI888+'Dept. Cost Actuals'!BI848)</f>
        <v>477.90935976511292</v>
      </c>
      <c r="BF30" s="684">
        <f>IF(BF$4="forecast",AVERAGE(AT30:BE30),'Dept. Cost Actuals'!BJ888+'Dept. Cost Actuals'!BJ848)</f>
        <v>479.11942150348887</v>
      </c>
      <c r="BG30" s="684">
        <f>IF(BG$4="forecast",AVERAGE(AU30:BF30),'Dept. Cost Actuals'!BK888+'Dept. Cost Actuals'!BK848)</f>
        <v>479.85348533608749</v>
      </c>
      <c r="BH30" s="684">
        <f>IF(BH$4="forecast",AVERAGE(AV30:BG30),'Dept. Cost Actuals'!BL888+'Dept. Cost Actuals'!BL848)</f>
        <v>480.04715082418625</v>
      </c>
      <c r="BI30" s="684">
        <f>IF(BI$4="forecast",AVERAGE(AW30:BH30),'Dept. Cost Actuals'!BM888+'Dept. Cost Actuals'!BM848)</f>
        <v>479.88516393925892</v>
      </c>
      <c r="BJ30" s="684">
        <f>IF(BJ$4="forecast",AVERAGE(AX30:BI30),'Dept. Cost Actuals'!BN888+'Dept. Cost Actuals'!BN848)</f>
        <v>479.552269879579</v>
      </c>
      <c r="BK30" s="684">
        <f>IF(BK$4="forecast",AVERAGE(AY30:BJ30),'Dept. Cost Actuals'!BO888+'Dept. Cost Actuals'!BO848)</f>
        <v>479.28692164236213</v>
      </c>
      <c r="BL30" s="684">
        <f>IF(BL$4="forecast",AVERAGE(AZ30:BK30),'Dept. Cost Actuals'!BP888+'Dept. Cost Actuals'!BP848)</f>
        <v>479.08672868674699</v>
      </c>
      <c r="BM30" s="684">
        <f>IF(BM$4="forecast",AVERAGE(BA30:BL30),'Dept. Cost Actuals'!BQ888+'Dept. Cost Actuals'!BQ848)</f>
        <v>478.97324881833066</v>
      </c>
      <c r="BN30" s="684">
        <f>IF(BN$4="forecast",AVERAGE(BB30:BM30),'Dept. Cost Actuals'!BR888+'Dept. Cost Actuals'!BR848)</f>
        <v>478.9528124316235</v>
      </c>
      <c r="BO30" s="684">
        <f>IF(BO$4="forecast",AVERAGE(BC30:BN30),'Dept. Cost Actuals'!BS888+'Dept. Cost Actuals'!BS848)</f>
        <v>479.00666983799618</v>
      </c>
      <c r="BP30" s="684">
        <f>IF(BP$4="forecast",AVERAGE(BD30:BO30),'Dept. Cost Actuals'!BT888+'Dept. Cost Actuals'!BT848)</f>
        <v>479.10669050495443</v>
      </c>
      <c r="BQ30" s="684">
        <f>IF(BQ$4="forecast",AVERAGE(BE30:BP30),'Dept. Cost Actuals'!BU888+'Dept. Cost Actuals'!BU848)</f>
        <v>479.23166026414401</v>
      </c>
      <c r="BR30" s="684">
        <f>IF(BR$4="forecast",AVERAGE(BF30:BQ30),'Dept. Cost Actuals'!BV888+'Dept. Cost Actuals'!BV848)</f>
        <v>479.34185197239663</v>
      </c>
      <c r="BS30" s="684">
        <f>IF(BS$4="forecast",AVERAGE(BG30:BR30),'Dept. Cost Actuals'!BW888+'Dept. Cost Actuals'!BW848)</f>
        <v>479.36038784480553</v>
      </c>
      <c r="BT30" s="684">
        <f>IF(BT$4="forecast",AVERAGE(BH30:BS30),'Dept. Cost Actuals'!BX888+'Dept. Cost Actuals'!BX848)</f>
        <v>479.31929638719868</v>
      </c>
      <c r="BU30" s="684">
        <f>IF(BU$4="forecast",AVERAGE(BI30:BT30),'Dept. Cost Actuals'!BY888+'Dept. Cost Actuals'!BY848)</f>
        <v>479.25864185078302</v>
      </c>
      <c r="BV30" s="808">
        <f>IF(BV$4="forecast",AVERAGE(BJ30:BU30),'Dept. Cost Actuals'!BZ888+'Dept. Cost Actuals'!BZ848)</f>
        <v>479.20643167674331</v>
      </c>
    </row>
    <row r="31" spans="2:74" x14ac:dyDescent="0.35">
      <c r="B31" s="812" t="s">
        <v>947</v>
      </c>
      <c r="C31" s="684">
        <f>IF(C$4="forecast",AVERAGE(#REF!),'Dept. Cost Actuals'!G876)</f>
        <v>0</v>
      </c>
      <c r="D31" s="684">
        <f>IF(D$4="forecast",AVERAGE(#REF!),'Dept. Cost Actuals'!H876)</f>
        <v>7.7043848313071734</v>
      </c>
      <c r="E31" s="684">
        <f>IF(E$4="forecast",AVERAGE(#REF!),'Dept. Cost Actuals'!I876)</f>
        <v>1.4322183547532432</v>
      </c>
      <c r="F31" s="684">
        <f>IF(F$4="forecast",AVERAGE(#REF!),'Dept. Cost Actuals'!J876)</f>
        <v>21.957704458447207</v>
      </c>
      <c r="G31" s="684">
        <f>IF(G$4="forecast",AVERAGE(#REF!),'Dept. Cost Actuals'!K876)</f>
        <v>4.6171026177841581</v>
      </c>
      <c r="H31" s="684">
        <f>IF(H$4="forecast",AVERAGE(#REF!),'Dept. Cost Actuals'!L876)</f>
        <v>40.791235357501442</v>
      </c>
      <c r="I31" s="684">
        <f>IF(I$4="forecast",AVERAGE(#REF!),'Dept. Cost Actuals'!M876)</f>
        <v>1.162709207997259</v>
      </c>
      <c r="J31" s="684">
        <f>IF(J$4="forecast",AVERAGE(#REF!),'Dept. Cost Actuals'!N876)</f>
        <v>8.14453329401878</v>
      </c>
      <c r="K31" s="684">
        <f>IF(K$4="forecast",AVERAGE(#REF!),'Dept. Cost Actuals'!O876)</f>
        <v>9.9778275587247993</v>
      </c>
      <c r="L31" s="684">
        <f>IF(L$4="forecast",AVERAGE(#REF!),'Dept. Cost Actuals'!P876)</f>
        <v>48.2548217355506</v>
      </c>
      <c r="M31" s="684">
        <f>IF(M$4="forecast",AVERAGE(A31:L31),'Dept. Cost Actuals'!Q876)</f>
        <v>0</v>
      </c>
      <c r="N31" s="684">
        <f>IF(N$4="forecast",AVERAGE(B31:M31),'Dept. Cost Actuals'!R876)</f>
        <v>0</v>
      </c>
      <c r="O31" s="684">
        <f>IF(O$4="forecast",AVERAGE(C31:N31),'Dept. Cost Actuals'!S876)</f>
        <v>14.95</v>
      </c>
      <c r="P31" s="684">
        <f>IF(P$4="forecast",AVERAGE(D31:O31),'Dept. Cost Actuals'!T876)</f>
        <v>14.95</v>
      </c>
      <c r="Q31" s="684">
        <f>IF(Q$4="forecast",AVERAGE(E31:P31),'Dept. Cost Actuals'!U876)</f>
        <v>0</v>
      </c>
      <c r="R31" s="684">
        <f>IF(R$4="forecast",AVERAGE(F31:Q31),'Dept. Cost Actuals'!V876)</f>
        <v>0</v>
      </c>
      <c r="S31" s="684">
        <f>IF(S$4="forecast",AVERAGE(G31:R31),'Dept. Cost Actuals'!W876)</f>
        <v>48.83</v>
      </c>
      <c r="T31" s="684">
        <f>IF(T$4="forecast",AVERAGE(H31:S31),'Dept. Cost Actuals'!X876)</f>
        <v>0</v>
      </c>
      <c r="U31" s="684">
        <f>IF(U$4="forecast",AVERAGE(I31:T31),'Dept. Cost Actuals'!Y876)</f>
        <v>0</v>
      </c>
      <c r="V31" s="684">
        <f>IF(V$4="forecast",AVERAGE(J31:U31),'Dept. Cost Actuals'!Z876)</f>
        <v>14.95</v>
      </c>
      <c r="W31" s="684">
        <f>IF(W$4="forecast",AVERAGE(K31:V31),'Dept. Cost Actuals'!AA876)</f>
        <v>14.95</v>
      </c>
      <c r="X31" s="684">
        <f>IF(X$4="forecast",AVERAGE(L31:W31),'Dept. Cost Actuals'!AB876)</f>
        <v>14.95</v>
      </c>
      <c r="Y31" s="684">
        <f>IF(Y$4="forecast",AVERAGE(M31:X31),'Dept. Cost Actuals'!AC876)</f>
        <v>14.95</v>
      </c>
      <c r="Z31" s="684">
        <f>IF(Z$4="forecast",AVERAGE(N31:Y31),'Dept. Cost Actuals'!AD876)</f>
        <v>14.95</v>
      </c>
      <c r="AA31" s="684">
        <f>IF(AA$4="forecast",AVERAGE(O31:Z31),'Dept. Cost Actuals'!AE876)</f>
        <v>12.79</v>
      </c>
      <c r="AB31" s="684">
        <f>IF(AB$4="forecast",AVERAGE(P31:AA31),'Dept. Cost Actuals'!AF876)</f>
        <v>12.61</v>
      </c>
      <c r="AC31" s="684">
        <f>IF(AC$4="forecast",AVERAGE(Q31:AB31),'Dept. Cost Actuals'!AG876)</f>
        <v>12.415000000000001</v>
      </c>
      <c r="AD31" s="684">
        <f>IF(AD$4="forecast",AVERAGE(R31:AC31),'Dept. Cost Actuals'!AH876)</f>
        <v>13.449583333333335</v>
      </c>
      <c r="AE31" s="684">
        <f>IF(AE$4="forecast",AVERAGE(S31:AD31),'Dept. Cost Actuals'!AI876)</f>
        <v>14.570381944444444</v>
      </c>
      <c r="AF31" s="684">
        <f>IF(AF$4="forecast",AVERAGE(T31:AE31),'Dept. Cost Actuals'!AJ876)</f>
        <v>11.715413773148148</v>
      </c>
      <c r="AG31" s="684">
        <f>IF(AG$4="forecast",AVERAGE(U31:AF31),'Dept. Cost Actuals'!AK876)</f>
        <v>12.691698254243827</v>
      </c>
      <c r="AH31" s="684">
        <f>IF(AH$4="forecast",AVERAGE(V31:AG31),'Dept. Cost Actuals'!AL876)</f>
        <v>13.749339775430812</v>
      </c>
      <c r="AI31" s="684">
        <f>IF(AI$4="forecast",AVERAGE(W31:AH31),'Dept. Cost Actuals'!AM876)</f>
        <v>13.649284756716716</v>
      </c>
      <c r="AJ31" s="684">
        <f>IF(AJ$4="forecast",AVERAGE(X31:AI31),'Dept. Cost Actuals'!AN876)</f>
        <v>13.540891819776443</v>
      </c>
      <c r="AK31" s="684">
        <f>IF(AK$4="forecast",AVERAGE(Y31:AJ31),'Dept. Cost Actuals'!AO876)</f>
        <v>13.423466138091145</v>
      </c>
      <c r="AL31" s="684">
        <f>IF(AL$4="forecast",AVERAGE(Z31:AK31),'Dept. Cost Actuals'!AP876)</f>
        <v>13.296254982932075</v>
      </c>
      <c r="AM31" s="684">
        <f>IF(AM$4="forecast",AVERAGE(AA31:AL31),'Dept. Cost Actuals'!AQ876)</f>
        <v>13.158442898176412</v>
      </c>
      <c r="AN31" s="684">
        <f>IF(AN$4="forecast",AVERAGE(AB31:AM31),'Dept. Cost Actuals'!AR876)</f>
        <v>13.189146473024449</v>
      </c>
      <c r="AO31" s="684">
        <f>IF(AO$4="forecast",AVERAGE(AC31:AN31),'Dept. Cost Actuals'!AS876)</f>
        <v>13.237408679109818</v>
      </c>
      <c r="AP31" s="684">
        <f>IF(AP$4="forecast",AVERAGE(AD31:AO31),'Dept. Cost Actuals'!AT876)</f>
        <v>13.305942735702301</v>
      </c>
      <c r="AQ31" s="684">
        <f>IF(AQ$4="forecast",AVERAGE(AE31:AP31),'Dept. Cost Actuals'!AU876)</f>
        <v>13.293972685899716</v>
      </c>
      <c r="AR31" s="684">
        <f>IF(AR$4="forecast",AVERAGE(AF31:AQ31),'Dept. Cost Actuals'!AV876)</f>
        <v>13.187605247687655</v>
      </c>
      <c r="AS31" s="684">
        <f>IF(AS$4="forecast",AVERAGE(AG31:AR31),'Dept. Cost Actuals'!AW876)</f>
        <v>13.310287870565949</v>
      </c>
      <c r="AT31" s="684">
        <f>IF(AT$4="forecast",AVERAGE(AH31:AS31),'Dept. Cost Actuals'!AX876)</f>
        <v>13.361837005259458</v>
      </c>
      <c r="AU31" s="684">
        <f>IF(AU$4="forecast",AVERAGE(AI31:AT31),'Dept. Cost Actuals'!AY876)</f>
        <v>13.329545107745178</v>
      </c>
      <c r="AV31" s="684">
        <f>IF(AV$4="forecast",AVERAGE(AJ31:AU31),'Dept. Cost Actuals'!AZ876)</f>
        <v>13.30290013699755</v>
      </c>
      <c r="AW31" s="684">
        <f>IF(AW$4="forecast",AVERAGE(AK31:AV31),'Dept. Cost Actuals'!BA876)</f>
        <v>13.283067496765975</v>
      </c>
      <c r="AX31" s="684">
        <f>IF(AX$4="forecast",AVERAGE(AL31:AW31),'Dept. Cost Actuals'!BB876)</f>
        <v>13.271367609988879</v>
      </c>
      <c r="AY31" s="684">
        <f>IF(AY$4="forecast",AVERAGE(AM31:AX31),'Dept. Cost Actuals'!BC876)</f>
        <v>13.269293662243612</v>
      </c>
      <c r="AZ31" s="684">
        <f>IF(AZ$4="forecast",AVERAGE(AN31:AY31),'Dept. Cost Actuals'!BD876)</f>
        <v>13.278531225915879</v>
      </c>
      <c r="BA31" s="684">
        <f>IF(BA$4="forecast",AVERAGE(AO31:AZ31),'Dept. Cost Actuals'!BE876)</f>
        <v>13.2859799553235</v>
      </c>
      <c r="BB31" s="684">
        <f>IF(BB$4="forecast",AVERAGE(AP31:BA31),'Dept. Cost Actuals'!BF876)</f>
        <v>13.290027561674641</v>
      </c>
      <c r="BC31" s="684">
        <f>IF(BC$4="forecast",AVERAGE(AQ31:BB31),'Dept. Cost Actuals'!BG876)</f>
        <v>13.288701297172333</v>
      </c>
      <c r="BD31" s="684">
        <f>IF(BD$4="forecast",AVERAGE(AR31:BC31),'Dept. Cost Actuals'!BH876)</f>
        <v>13.288262014778384</v>
      </c>
      <c r="BE31" s="684">
        <f>IF(BE$4="forecast",AVERAGE(AS31:BD31),'Dept. Cost Actuals'!BI876)</f>
        <v>13.296650078702612</v>
      </c>
      <c r="BF31" s="684">
        <f>IF(BF$4="forecast",AVERAGE(AT31:BE31),'Dept. Cost Actuals'!BJ876)</f>
        <v>13.295513596047334</v>
      </c>
      <c r="BG31" s="684">
        <f>IF(BG$4="forecast",AVERAGE(AU31:BF31),'Dept. Cost Actuals'!BK876)</f>
        <v>13.289986645279656</v>
      </c>
      <c r="BH31" s="684">
        <f>IF(BH$4="forecast",AVERAGE(AV31:BG31),'Dept. Cost Actuals'!BL876)</f>
        <v>13.286690106740863</v>
      </c>
      <c r="BI31" s="684">
        <f>IF(BI$4="forecast",AVERAGE(AW31:BH31),'Dept. Cost Actuals'!BM876)</f>
        <v>13.285339270886141</v>
      </c>
      <c r="BJ31" s="684">
        <f>IF(BJ$4="forecast",AVERAGE(AX31:BI31),'Dept. Cost Actuals'!BN876)</f>
        <v>13.285528585396156</v>
      </c>
      <c r="BK31" s="684">
        <f>IF(BK$4="forecast",AVERAGE(AY31:BJ31),'Dept. Cost Actuals'!BO876)</f>
        <v>13.286708666680092</v>
      </c>
      <c r="BL31" s="684">
        <f>IF(BL$4="forecast",AVERAGE(AZ31:BK31),'Dept. Cost Actuals'!BP876)</f>
        <v>13.288159917049798</v>
      </c>
      <c r="BM31" s="684">
        <f>IF(BM$4="forecast",AVERAGE(BA31:BL31),'Dept. Cost Actuals'!BQ876)</f>
        <v>13.288962307977625</v>
      </c>
      <c r="BN31" s="684">
        <f>IF(BN$4="forecast",AVERAGE(BB31:BM31),'Dept. Cost Actuals'!BR876)</f>
        <v>13.289210837365466</v>
      </c>
      <c r="BO31" s="684">
        <f>IF(BO$4="forecast",AVERAGE(BC31:BN31),'Dept. Cost Actuals'!BS876)</f>
        <v>13.28914277700637</v>
      </c>
      <c r="BP31" s="684">
        <f>IF(BP$4="forecast",AVERAGE(BD31:BO31),'Dept. Cost Actuals'!BT876)</f>
        <v>13.289179566992537</v>
      </c>
      <c r="BQ31" s="684">
        <f>IF(BQ$4="forecast",AVERAGE(BE31:BP31),'Dept. Cost Actuals'!BU876)</f>
        <v>13.289256029677054</v>
      </c>
      <c r="BR31" s="684">
        <f>IF(BR$4="forecast",AVERAGE(BF31:BQ31),'Dept. Cost Actuals'!BV876)</f>
        <v>13.288639858924926</v>
      </c>
      <c r="BS31" s="684">
        <f>IF(BS$4="forecast",AVERAGE(BG31:BR31),'Dept. Cost Actuals'!BW876)</f>
        <v>13.288067047498059</v>
      </c>
      <c r="BT31" s="684">
        <f>IF(BT$4="forecast",AVERAGE(BH31:BS31),'Dept. Cost Actuals'!BX876)</f>
        <v>13.287907081016259</v>
      </c>
      <c r="BU31" s="684">
        <f>IF(BU$4="forecast",AVERAGE(BI31:BT31),'Dept. Cost Actuals'!BY876)</f>
        <v>13.288008495539207</v>
      </c>
      <c r="BV31" s="808">
        <f>IF(BV$4="forecast",AVERAGE(BJ31:BU31),'Dept. Cost Actuals'!BZ876)</f>
        <v>13.288230930926963</v>
      </c>
    </row>
    <row r="32" spans="2:74" x14ac:dyDescent="0.35">
      <c r="B32" s="812" t="s">
        <v>948</v>
      </c>
      <c r="C32" s="684">
        <f>IF(C$4="forecast",AVERAGE(#REF!),'Dept. Cost Actuals'!G927)</f>
        <v>4.9900685449402831</v>
      </c>
      <c r="D32" s="684">
        <f>IF(D$4="forecast",AVERAGE(#REF!),'Dept. Cost Actuals'!H927)</f>
        <v>2.6459221476603156</v>
      </c>
      <c r="E32" s="684">
        <f>IF(E$4="forecast",AVERAGE(#REF!),'Dept. Cost Actuals'!I927)</f>
        <v>0</v>
      </c>
      <c r="F32" s="684">
        <f>IF(F$4="forecast",AVERAGE(#REF!),'Dept. Cost Actuals'!J927)</f>
        <v>5.5630395172448752</v>
      </c>
      <c r="G32" s="684">
        <f>IF(G$4="forecast",AVERAGE(#REF!),'Dept. Cost Actuals'!K927)</f>
        <v>58.749550654649759</v>
      </c>
      <c r="H32" s="684">
        <f>IF(H$4="forecast",AVERAGE(#REF!),'Dept. Cost Actuals'!L927)</f>
        <v>2.1385696206845415</v>
      </c>
      <c r="I32" s="684">
        <f>IF(I$4="forecast",AVERAGE(#REF!),'Dept. Cost Actuals'!M927)</f>
        <v>0</v>
      </c>
      <c r="J32" s="684">
        <f>IF(J$4="forecast",AVERAGE(#REF!),'Dept. Cost Actuals'!N927)</f>
        <v>2.5095139869985958</v>
      </c>
      <c r="K32" s="684">
        <f>IF(K$4="forecast",AVERAGE(#REF!),'Dept. Cost Actuals'!O927)</f>
        <v>0.7390027481414555</v>
      </c>
      <c r="L32" s="684">
        <f>IF(L$4="forecast",AVERAGE(#REF!),'Dept. Cost Actuals'!P927)</f>
        <v>11.61449056726843</v>
      </c>
      <c r="M32" s="684">
        <f>IF(M$4="forecast",AVERAGE(A32:L32),'Dept. Cost Actuals'!Q927)</f>
        <v>48.34422948008816</v>
      </c>
      <c r="N32" s="684">
        <f>IF(N$4="forecast",AVERAGE(B32:M32),'Dept. Cost Actuals'!R927)</f>
        <v>13.785746536198008</v>
      </c>
      <c r="O32" s="684">
        <f>IF(O$4="forecast",AVERAGE(C32:N32),'Dept. Cost Actuals'!S927)</f>
        <v>90</v>
      </c>
      <c r="P32" s="684">
        <f>IF(P$4="forecast",AVERAGE(D32:O32),'Dept. Cost Actuals'!T927)</f>
        <v>0</v>
      </c>
      <c r="Q32" s="684">
        <f>IF(Q$4="forecast",AVERAGE(E32:P32),'Dept. Cost Actuals'!U927)</f>
        <v>0</v>
      </c>
      <c r="R32" s="684">
        <f>IF(R$4="forecast",AVERAGE(F32:Q32),'Dept. Cost Actuals'!V927)</f>
        <v>23.81</v>
      </c>
      <c r="S32" s="684">
        <f>IF(S$4="forecast",AVERAGE(G32:R32),'Dept. Cost Actuals'!W927)</f>
        <v>0</v>
      </c>
      <c r="T32" s="684">
        <f>IF(T$4="forecast",AVERAGE(H32:S32),'Dept. Cost Actuals'!X927)</f>
        <v>0</v>
      </c>
      <c r="U32" s="684">
        <f>IF(U$4="forecast",AVERAGE(I32:T32),'Dept. Cost Actuals'!Y927)</f>
        <v>0</v>
      </c>
      <c r="V32" s="684">
        <f>IF(V$4="forecast",AVERAGE(J32:U32),'Dept. Cost Actuals'!Z927)</f>
        <v>0</v>
      </c>
      <c r="W32" s="684">
        <f>IF(W$4="forecast",AVERAGE(K32:V32),'Dept. Cost Actuals'!AA927)</f>
        <v>0</v>
      </c>
      <c r="X32" s="684">
        <f>IF(X$4="forecast",AVERAGE(L32:W32),'Dept. Cost Actuals'!AB927)</f>
        <v>0</v>
      </c>
      <c r="Y32" s="684">
        <f>IF(Y$4="forecast",AVERAGE(M32:X32),'Dept. Cost Actuals'!AC927)</f>
        <v>140.5</v>
      </c>
      <c r="Z32" s="684">
        <f>IF(Z$4="forecast",AVERAGE(N32:Y32),'Dept. Cost Actuals'!AD927)</f>
        <v>0</v>
      </c>
      <c r="AA32" s="684">
        <f>IF(AA$4="forecast",AVERAGE(O32:Z32),'Dept. Cost Actuals'!AE927)</f>
        <v>21.192499999999999</v>
      </c>
      <c r="AB32" s="684">
        <f>IF(AB$4="forecast",AVERAGE(P32:AA32),'Dept. Cost Actuals'!AF927)</f>
        <v>15.458541666666667</v>
      </c>
      <c r="AC32" s="684">
        <f>IF(AC$4="forecast",AVERAGE(Q32:AB32),'Dept. Cost Actuals'!AG927)</f>
        <v>16.74675347222222</v>
      </c>
      <c r="AD32" s="684">
        <f>IF(AD$4="forecast",AVERAGE(R32:AC32),'Dept. Cost Actuals'!AH927)</f>
        <v>18.142316261574074</v>
      </c>
      <c r="AE32" s="684">
        <f>IF(AE$4="forecast",AVERAGE(S32:AD32),'Dept. Cost Actuals'!AI927)</f>
        <v>17.670009283371915</v>
      </c>
      <c r="AF32" s="684">
        <f>IF(AF$4="forecast",AVERAGE(T32:AE32),'Dept. Cost Actuals'!AJ927)</f>
        <v>19.142510056986239</v>
      </c>
      <c r="AG32" s="684">
        <f>IF(AG$4="forecast",AVERAGE(U32:AF32),'Dept. Cost Actuals'!AK927)</f>
        <v>20.737719228401758</v>
      </c>
      <c r="AH32" s="684">
        <f>IF(AH$4="forecast",AVERAGE(V32:AG32),'Dept. Cost Actuals'!AL927)</f>
        <v>22.465862497435239</v>
      </c>
      <c r="AI32" s="684">
        <f>IF(AI$4="forecast",AVERAGE(W32:AH32),'Dept. Cost Actuals'!AM927)</f>
        <v>24.338017705554844</v>
      </c>
      <c r="AJ32" s="684">
        <f>IF(AJ$4="forecast",AVERAGE(X32:AI32),'Dept. Cost Actuals'!AN927)</f>
        <v>26.36618584768441</v>
      </c>
      <c r="AK32" s="684">
        <f>IF(AK$4="forecast",AVERAGE(Y32:AJ32),'Dept. Cost Actuals'!AO927)</f>
        <v>28.563368001658109</v>
      </c>
      <c r="AL32" s="684">
        <f>IF(AL$4="forecast",AVERAGE(Z32:AK32),'Dept. Cost Actuals'!AP927)</f>
        <v>19.235315335129624</v>
      </c>
      <c r="AM32" s="684">
        <f>IF(AM$4="forecast",AVERAGE(AA32:AL32),'Dept. Cost Actuals'!AQ927)</f>
        <v>20.83825827972376</v>
      </c>
      <c r="AN32" s="684">
        <f>IF(AN$4="forecast",AVERAGE(AB32:AM32),'Dept. Cost Actuals'!AR927)</f>
        <v>20.808738136367406</v>
      </c>
      <c r="AO32" s="684">
        <f>IF(AO$4="forecast",AVERAGE(AC32:AN32),'Dept. Cost Actuals'!AS927)</f>
        <v>21.254587842175798</v>
      </c>
      <c r="AP32" s="684">
        <f>IF(AP$4="forecast",AVERAGE(AD32:AO32),'Dept. Cost Actuals'!AT927)</f>
        <v>21.630240706338601</v>
      </c>
      <c r="AQ32" s="684">
        <f>IF(AQ$4="forecast",AVERAGE(AE32:AP32),'Dept. Cost Actuals'!AU927)</f>
        <v>21.920901076735642</v>
      </c>
      <c r="AR32" s="684">
        <f>IF(AR$4="forecast",AVERAGE(AF32:AQ32),'Dept. Cost Actuals'!AV927)</f>
        <v>22.275142059515954</v>
      </c>
      <c r="AS32" s="684">
        <f>IF(AS$4="forecast",AVERAGE(AG32:AR32),'Dept. Cost Actuals'!AW927)</f>
        <v>22.536194726393429</v>
      </c>
      <c r="AT32" s="684">
        <f>IF(AT$4="forecast",AVERAGE(AH32:AS32),'Dept. Cost Actuals'!AX927)</f>
        <v>22.686067684559401</v>
      </c>
      <c r="AU32" s="684">
        <f>IF(AU$4="forecast",AVERAGE(AI32:AT32),'Dept. Cost Actuals'!AY927)</f>
        <v>22.704418116819749</v>
      </c>
      <c r="AV32" s="684">
        <f>IF(AV$4="forecast",AVERAGE(AJ32:AU32),'Dept. Cost Actuals'!AZ927)</f>
        <v>22.568284817758492</v>
      </c>
      <c r="AW32" s="684">
        <f>IF(AW$4="forecast",AVERAGE(AK32:AV32),'Dept. Cost Actuals'!BA927)</f>
        <v>22.251793065264664</v>
      </c>
      <c r="AX32" s="684">
        <f>IF(AX$4="forecast",AVERAGE(AL32:AW32),'Dept. Cost Actuals'!BB927)</f>
        <v>21.725828487231876</v>
      </c>
      <c r="AY32" s="684">
        <f>IF(AY$4="forecast",AVERAGE(AM32:AX32),'Dept. Cost Actuals'!BC927)</f>
        <v>21.933371249907065</v>
      </c>
      <c r="AZ32" s="684">
        <f>IF(AZ$4="forecast",AVERAGE(AN32:AY32),'Dept. Cost Actuals'!BD927)</f>
        <v>22.024630664089003</v>
      </c>
      <c r="BA32" s="684">
        <f>IF(BA$4="forecast",AVERAGE(AO32:AZ32),'Dept. Cost Actuals'!BE927)</f>
        <v>22.125955041399138</v>
      </c>
      <c r="BB32" s="684">
        <f>IF(BB$4="forecast",AVERAGE(AP32:BA32),'Dept. Cost Actuals'!BF927)</f>
        <v>22.198568974667751</v>
      </c>
      <c r="BC32" s="684">
        <f>IF(BC$4="forecast",AVERAGE(AQ32:BB32),'Dept. Cost Actuals'!BG927)</f>
        <v>22.245929663695179</v>
      </c>
      <c r="BD32" s="684">
        <f>IF(BD$4="forecast",AVERAGE(AR32:BC32),'Dept. Cost Actuals'!BH927)</f>
        <v>22.27301537927514</v>
      </c>
      <c r="BE32" s="684">
        <f>IF(BE$4="forecast",AVERAGE(AS32:BD32),'Dept. Cost Actuals'!BI927)</f>
        <v>22.272838155921736</v>
      </c>
      <c r="BF32" s="684">
        <f>IF(BF$4="forecast",AVERAGE(AT32:BE32),'Dept. Cost Actuals'!BJ927)</f>
        <v>22.250891775049102</v>
      </c>
      <c r="BG32" s="684">
        <f>IF(BG$4="forecast",AVERAGE(AU32:BF32),'Dept. Cost Actuals'!BK927)</f>
        <v>22.214627115923239</v>
      </c>
      <c r="BH32" s="684">
        <f>IF(BH$4="forecast",AVERAGE(AV32:BG32),'Dept. Cost Actuals'!BL927)</f>
        <v>22.173811199181866</v>
      </c>
      <c r="BI32" s="684">
        <f>IF(BI$4="forecast",AVERAGE(AW32:BH32),'Dept. Cost Actuals'!BM927)</f>
        <v>22.140938397633807</v>
      </c>
      <c r="BJ32" s="684">
        <f>IF(BJ$4="forecast",AVERAGE(AX32:BI32),'Dept. Cost Actuals'!BN927)</f>
        <v>22.131700508664576</v>
      </c>
      <c r="BK32" s="684">
        <f>IF(BK$4="forecast",AVERAGE(AY32:BJ32),'Dept. Cost Actuals'!BO927)</f>
        <v>22.165523177117297</v>
      </c>
      <c r="BL32" s="684">
        <f>IF(BL$4="forecast",AVERAGE(AZ32:BK32),'Dept. Cost Actuals'!BP927)</f>
        <v>22.184869171051488</v>
      </c>
      <c r="BM32" s="684">
        <f>IF(BM$4="forecast",AVERAGE(BA32:BL32),'Dept. Cost Actuals'!BQ927)</f>
        <v>22.198222379965028</v>
      </c>
      <c r="BN32" s="684">
        <f>IF(BN$4="forecast",AVERAGE(BB32:BM32),'Dept. Cost Actuals'!BR927)</f>
        <v>22.204244658178855</v>
      </c>
      <c r="BO32" s="684">
        <f>IF(BO$4="forecast",AVERAGE(BC32:BN32),'Dept. Cost Actuals'!BS927)</f>
        <v>22.204717631804773</v>
      </c>
      <c r="BP32" s="684">
        <f>IF(BP$4="forecast",AVERAGE(BD32:BO32),'Dept. Cost Actuals'!BT927)</f>
        <v>22.201283295813909</v>
      </c>
      <c r="BQ32" s="684">
        <f>IF(BQ$4="forecast",AVERAGE(BE32:BP32),'Dept. Cost Actuals'!BU927)</f>
        <v>22.195305622192137</v>
      </c>
      <c r="BR32" s="684">
        <f>IF(BR$4="forecast",AVERAGE(BF32:BQ32),'Dept. Cost Actuals'!BV927)</f>
        <v>22.188844577714672</v>
      </c>
      <c r="BS32" s="684">
        <f>IF(BS$4="forecast",AVERAGE(BG32:BR32),'Dept. Cost Actuals'!BW927)</f>
        <v>22.183673977936806</v>
      </c>
      <c r="BT32" s="684">
        <f>IF(BT$4="forecast",AVERAGE(BH32:BS32),'Dept. Cost Actuals'!BX927)</f>
        <v>22.18109454977127</v>
      </c>
      <c r="BU32" s="684">
        <f>IF(BU$4="forecast",AVERAGE(BI32:BT32),'Dept. Cost Actuals'!BY927)</f>
        <v>22.181701495653716</v>
      </c>
      <c r="BV32" s="808">
        <f>IF(BV$4="forecast",AVERAGE(BJ32:BU32),'Dept. Cost Actuals'!BZ927)</f>
        <v>22.185098420488711</v>
      </c>
    </row>
    <row r="33" spans="2:74" x14ac:dyDescent="0.35">
      <c r="B33" s="812" t="s">
        <v>949</v>
      </c>
      <c r="C33" s="684">
        <f>IF(C$4="forecast",AVERAGE(#REF!),'Dept. Cost Actuals'!G885+'Dept. Cost Actuals'!G884)</f>
        <v>500.31099895556702</v>
      </c>
      <c r="D33" s="684">
        <f>IF(D$4="forecast",AVERAGE(#REF!),'Dept. Cost Actuals'!H885+'Dept. Cost Actuals'!H884)</f>
        <v>157.31093118162838</v>
      </c>
      <c r="E33" s="684">
        <f>IF(E$4="forecast",AVERAGE(#REF!),'Dept. Cost Actuals'!I885+'Dept. Cost Actuals'!I884)</f>
        <v>559.15858526121872</v>
      </c>
      <c r="F33" s="684">
        <f>IF(F$4="forecast",AVERAGE(#REF!),'Dept. Cost Actuals'!J885+'Dept. Cost Actuals'!J884)</f>
        <v>243.40218237580234</v>
      </c>
      <c r="G33" s="684">
        <f>IF(G$4="forecast",AVERAGE(#REF!),'Dept. Cost Actuals'!K885+'Dept. Cost Actuals'!K884)</f>
        <v>437.73098119948531</v>
      </c>
      <c r="H33" s="684">
        <f>IF(H$4="forecast",AVERAGE(#REF!),'Dept. Cost Actuals'!L885+'Dept. Cost Actuals'!L884)</f>
        <v>832.85051128330622</v>
      </c>
      <c r="I33" s="684">
        <f>IF(I$4="forecast",AVERAGE(#REF!),'Dept. Cost Actuals'!M885+'Dept. Cost Actuals'!M884)</f>
        <v>748.17576586337066</v>
      </c>
      <c r="J33" s="684">
        <f>IF(J$4="forecast",AVERAGE(#REF!),'Dept. Cost Actuals'!N885+'Dept. Cost Actuals'!N884)</f>
        <v>284.23083656259234</v>
      </c>
      <c r="K33" s="684">
        <f>IF(K$4="forecast",AVERAGE(#REF!),'Dept. Cost Actuals'!O885+'Dept. Cost Actuals'!O884)</f>
        <v>321.22789071366913</v>
      </c>
      <c r="L33" s="684">
        <f>IF(L$4="forecast",AVERAGE(#REF!),'Dept. Cost Actuals'!P885+'Dept. Cost Actuals'!P884)</f>
        <v>679.89388226803464</v>
      </c>
      <c r="M33" s="684">
        <f>IF(M$4="forecast",AVERAGE(A33:L33),'Dept. Cost Actuals'!Q885+'Dept. Cost Actuals'!Q884)</f>
        <v>361.88399193104539</v>
      </c>
      <c r="N33" s="684">
        <f>IF(N$4="forecast",AVERAGE(B33:M33),'Dept. Cost Actuals'!R885+'Dept. Cost Actuals'!R884)</f>
        <v>32.772615739428673</v>
      </c>
      <c r="O33" s="684">
        <f>IF(O$4="forecast",AVERAGE(C33:N33),'Dept. Cost Actuals'!S885+'Dept. Cost Actuals'!S884)</f>
        <v>169.8</v>
      </c>
      <c r="P33" s="684">
        <f>IF(P$4="forecast",AVERAGE(D33:O33),'Dept. Cost Actuals'!T885+'Dept. Cost Actuals'!T884)</f>
        <v>154.80000000000001</v>
      </c>
      <c r="Q33" s="684">
        <f>IF(Q$4="forecast",AVERAGE(E33:P33),'Dept. Cost Actuals'!U885+'Dept. Cost Actuals'!U884)</f>
        <v>129.85</v>
      </c>
      <c r="R33" s="684">
        <f>IF(R$4="forecast",AVERAGE(F33:Q33),'Dept. Cost Actuals'!V885+'Dept. Cost Actuals'!V884)</f>
        <v>79.900000000000006</v>
      </c>
      <c r="S33" s="684">
        <f>IF(S$4="forecast",AVERAGE(G33:R33),'Dept. Cost Actuals'!W885+'Dept. Cost Actuals'!W884)</f>
        <v>33.96</v>
      </c>
      <c r="T33" s="684">
        <f>IF(T$4="forecast",AVERAGE(H33:S33),'Dept. Cost Actuals'!X885+'Dept. Cost Actuals'!X884)</f>
        <v>67.849999999999994</v>
      </c>
      <c r="U33" s="684">
        <f>IF(U$4="forecast",AVERAGE(I33:T33),'Dept. Cost Actuals'!Y885+'Dept. Cost Actuals'!Y884)</f>
        <v>80.849999999999994</v>
      </c>
      <c r="V33" s="684">
        <f>IF(V$4="forecast",AVERAGE(J33:U33),'Dept. Cost Actuals'!Z885+'Dept. Cost Actuals'!Z884)</f>
        <v>0</v>
      </c>
      <c r="W33" s="684">
        <f>IF(W$4="forecast",AVERAGE(K33:V33),'Dept. Cost Actuals'!AA885+'Dept. Cost Actuals'!AA884)</f>
        <v>0</v>
      </c>
      <c r="X33" s="684">
        <f>IF(X$4="forecast",AVERAGE(L33:W33),'Dept. Cost Actuals'!AB885+'Dept. Cost Actuals'!AB884)</f>
        <v>79.8</v>
      </c>
      <c r="Y33" s="684">
        <f>IF(Y$4="forecast",AVERAGE(M33:X33),'Dept. Cost Actuals'!AC885+'Dept. Cost Actuals'!AC884)</f>
        <v>39.950000000000003</v>
      </c>
      <c r="Z33" s="684">
        <f>IF(Z$4="forecast",AVERAGE(N33:Y33),'Dept. Cost Actuals'!AD885+'Dept. Cost Actuals'!AD884)</f>
        <v>0</v>
      </c>
      <c r="AA33" s="684">
        <f>IF(AA$4="forecast",AVERAGE(O33:Z33),'Dept. Cost Actuals'!AE885+'Dept. Cost Actuals'!AE884)</f>
        <v>69.73</v>
      </c>
      <c r="AB33" s="684">
        <f>IF(AB$4="forecast",AVERAGE(P33:AA33),'Dept. Cost Actuals'!AF885+'Dept. Cost Actuals'!AF884)</f>
        <v>61.390833333333326</v>
      </c>
      <c r="AC33" s="684">
        <f>IF(AC$4="forecast",AVERAGE(Q33:AB33),'Dept. Cost Actuals'!AG885+'Dept. Cost Actuals'!AG884)</f>
        <v>53.606736111111111</v>
      </c>
      <c r="AD33" s="684">
        <f>IF(AD$4="forecast",AVERAGE(R33:AC33),'Dept. Cost Actuals'!AH885+'Dept. Cost Actuals'!AH884)</f>
        <v>47.253130787037037</v>
      </c>
      <c r="AE33" s="684">
        <f>IF(AE$4="forecast",AVERAGE(S33:AD33),'Dept. Cost Actuals'!AI885+'Dept. Cost Actuals'!AI884)</f>
        <v>44.532558352623454</v>
      </c>
      <c r="AF33" s="684">
        <f>IF(AF$4="forecast",AVERAGE(T33:AE33),'Dept. Cost Actuals'!AJ885+'Dept. Cost Actuals'!AJ884)</f>
        <v>45.413604882008741</v>
      </c>
      <c r="AG33" s="684">
        <f>IF(AG$4="forecast",AVERAGE(U33:AF33),'Dept. Cost Actuals'!AK885+'Dept. Cost Actuals'!AK884)</f>
        <v>43.543905288842801</v>
      </c>
      <c r="AH33" s="684">
        <f>IF(AH$4="forecast",AVERAGE(V33:AG33),'Dept. Cost Actuals'!AL885+'Dept. Cost Actuals'!AL884)</f>
        <v>40.435064062913035</v>
      </c>
      <c r="AI33" s="684">
        <f>IF(AI$4="forecast",AVERAGE(W33:AH33),'Dept. Cost Actuals'!AM885+'Dept. Cost Actuals'!AM884)</f>
        <v>43.804652734822461</v>
      </c>
      <c r="AJ33" s="684">
        <f>IF(AJ$4="forecast",AVERAGE(X33:AI33),'Dept. Cost Actuals'!AN885+'Dept. Cost Actuals'!AN884)</f>
        <v>47.455040462724327</v>
      </c>
      <c r="AK33" s="684">
        <f>IF(AK$4="forecast",AVERAGE(Y33:AJ33),'Dept. Cost Actuals'!AO885+'Dept. Cost Actuals'!AO884)</f>
        <v>44.759627167951351</v>
      </c>
      <c r="AL33" s="684">
        <f>IF(AL$4="forecast",AVERAGE(Z33:AK33),'Dept. Cost Actuals'!AP885+'Dept. Cost Actuals'!AP884)</f>
        <v>45.160429431947307</v>
      </c>
      <c r="AM33" s="684">
        <f>IF(AM$4="forecast",AVERAGE(AA33:AL33),'Dept. Cost Actuals'!AQ885+'Dept. Cost Actuals'!AQ884)</f>
        <v>48.923798551276242</v>
      </c>
      <c r="AN33" s="684">
        <f>IF(AN$4="forecast",AVERAGE(AB33:AM33),'Dept. Cost Actuals'!AR885+'Dept. Cost Actuals'!AR884)</f>
        <v>47.189948430549265</v>
      </c>
      <c r="AO33" s="684">
        <f>IF(AO$4="forecast",AVERAGE(AC33:AN33),'Dept. Cost Actuals'!AS885+'Dept. Cost Actuals'!AS884)</f>
        <v>46.006541355317268</v>
      </c>
      <c r="AP33" s="684">
        <f>IF(AP$4="forecast",AVERAGE(AD33:AO33),'Dept. Cost Actuals'!AT885+'Dept. Cost Actuals'!AT884)</f>
        <v>45.373191792334445</v>
      </c>
      <c r="AQ33" s="684">
        <f>IF(AQ$4="forecast",AVERAGE(AE33:AP33),'Dept. Cost Actuals'!AU885+'Dept. Cost Actuals'!AU884)</f>
        <v>45.21653020944256</v>
      </c>
      <c r="AR33" s="684">
        <f>IF(AR$4="forecast",AVERAGE(AF33:AQ33),'Dept. Cost Actuals'!AV885+'Dept. Cost Actuals'!AV884)</f>
        <v>45.273527864177481</v>
      </c>
      <c r="AS33" s="684">
        <f>IF(AS$4="forecast",AVERAGE(AG33:AR33),'Dept. Cost Actuals'!AW885+'Dept. Cost Actuals'!AW884)</f>
        <v>45.261854779358224</v>
      </c>
      <c r="AT33" s="684">
        <f>IF(AT$4="forecast",AVERAGE(AH33:AS33),'Dept. Cost Actuals'!AX885+'Dept. Cost Actuals'!AX884)</f>
        <v>45.405017236901166</v>
      </c>
      <c r="AU33" s="684">
        <f>IF(AU$4="forecast",AVERAGE(AI33:AT33),'Dept. Cost Actuals'!AY885+'Dept. Cost Actuals'!AY884)</f>
        <v>45.819180001400177</v>
      </c>
      <c r="AV33" s="684">
        <f>IF(AV$4="forecast",AVERAGE(AJ33:AU33),'Dept. Cost Actuals'!AZ885+'Dept. Cost Actuals'!AZ884)</f>
        <v>45.987057273614987</v>
      </c>
      <c r="AW33" s="684">
        <f>IF(AW$4="forecast",AVERAGE(AK33:AV33),'Dept. Cost Actuals'!BA885+'Dept. Cost Actuals'!BA884)</f>
        <v>45.864725341189207</v>
      </c>
      <c r="AX33" s="684">
        <f>IF(AX$4="forecast",AVERAGE(AL33:AW33),'Dept. Cost Actuals'!BB885+'Dept. Cost Actuals'!BB884)</f>
        <v>45.956816855625696</v>
      </c>
      <c r="AY33" s="684">
        <f>IF(AY$4="forecast",AVERAGE(AM33:AX33),'Dept. Cost Actuals'!BC885+'Dept. Cost Actuals'!BC884)</f>
        <v>46.02318247426556</v>
      </c>
      <c r="AZ33" s="684">
        <f>IF(AZ$4="forecast",AVERAGE(AN33:AY33),'Dept. Cost Actuals'!BD885+'Dept. Cost Actuals'!BD884)</f>
        <v>45.781464467848004</v>
      </c>
      <c r="BA33" s="684">
        <f>IF(BA$4="forecast",AVERAGE(AO33:AZ33),'Dept. Cost Actuals'!BE885+'Dept. Cost Actuals'!BE884)</f>
        <v>45.664090804289572</v>
      </c>
      <c r="BB33" s="684">
        <f>IF(BB$4="forecast",AVERAGE(AP33:BA33),'Dept. Cost Actuals'!BF885+'Dept. Cost Actuals'!BF884)</f>
        <v>45.635553258370599</v>
      </c>
      <c r="BC33" s="684">
        <f>IF(BC$4="forecast",AVERAGE(AQ33:BB33),'Dept. Cost Actuals'!BG885+'Dept. Cost Actuals'!BG884)</f>
        <v>45.657416713873609</v>
      </c>
      <c r="BD33" s="684">
        <f>IF(BD$4="forecast",AVERAGE(AR33:BC33),'Dept. Cost Actuals'!BH885+'Dept. Cost Actuals'!BH884)</f>
        <v>45.694157255909523</v>
      </c>
      <c r="BE33" s="684">
        <f>IF(BE$4="forecast",AVERAGE(AS33:BD33),'Dept. Cost Actuals'!BI885+'Dept. Cost Actuals'!BI884)</f>
        <v>45.729209705220534</v>
      </c>
      <c r="BF33" s="684">
        <f>IF(BF$4="forecast",AVERAGE(AT33:BE33),'Dept. Cost Actuals'!BJ885+'Dept. Cost Actuals'!BJ884)</f>
        <v>45.768155949042388</v>
      </c>
      <c r="BG33" s="684">
        <f>IF(BG$4="forecast",AVERAGE(AU33:BF33),'Dept. Cost Actuals'!BK885+'Dept. Cost Actuals'!BK884)</f>
        <v>45.79841750838748</v>
      </c>
      <c r="BH33" s="684">
        <f>IF(BH$4="forecast",AVERAGE(AV33:BG33),'Dept. Cost Actuals'!BL885+'Dept. Cost Actuals'!BL884)</f>
        <v>45.796687300636428</v>
      </c>
      <c r="BI33" s="684">
        <f>IF(BI$4="forecast",AVERAGE(AW33:BH33),'Dept. Cost Actuals'!BM885+'Dept. Cost Actuals'!BM884)</f>
        <v>45.780823136221549</v>
      </c>
      <c r="BJ33" s="684">
        <f>IF(BJ$4="forecast",AVERAGE(AX33:BI33),'Dept. Cost Actuals'!BN885+'Dept. Cost Actuals'!BN884)</f>
        <v>45.773831285807582</v>
      </c>
      <c r="BK33" s="684">
        <f>IF(BK$4="forecast",AVERAGE(AY33:BJ33),'Dept. Cost Actuals'!BO885+'Dept. Cost Actuals'!BO884)</f>
        <v>45.758582488322737</v>
      </c>
      <c r="BL33" s="684">
        <f>IF(BL$4="forecast",AVERAGE(AZ33:BK33),'Dept. Cost Actuals'!BP885+'Dept. Cost Actuals'!BP884)</f>
        <v>45.736532489494174</v>
      </c>
      <c r="BM33" s="684">
        <f>IF(BM$4="forecast",AVERAGE(BA33:BL33),'Dept. Cost Actuals'!BQ885+'Dept. Cost Actuals'!BQ884)</f>
        <v>45.732788157964684</v>
      </c>
      <c r="BN33" s="684">
        <f>IF(BN$4="forecast",AVERAGE(BB33:BM33),'Dept. Cost Actuals'!BR885+'Dept. Cost Actuals'!BR884)</f>
        <v>45.738512937437612</v>
      </c>
      <c r="BO33" s="684">
        <f>IF(BO$4="forecast",AVERAGE(BC33:BN33),'Dept. Cost Actuals'!BS885+'Dept. Cost Actuals'!BS884)</f>
        <v>45.747092910693198</v>
      </c>
      <c r="BP33" s="684">
        <f>IF(BP$4="forecast",AVERAGE(BD33:BO33),'Dept. Cost Actuals'!BT885+'Dept. Cost Actuals'!BT884)</f>
        <v>45.754565927094824</v>
      </c>
      <c r="BQ33" s="684">
        <f>IF(BQ$4="forecast",AVERAGE(BE33:BP33),'Dept. Cost Actuals'!BU885+'Dept. Cost Actuals'!BU884)</f>
        <v>45.759599983026938</v>
      </c>
      <c r="BR33" s="684">
        <f>IF(BR$4="forecast",AVERAGE(BF33:BQ33),'Dept. Cost Actuals'!BV885+'Dept. Cost Actuals'!BV884)</f>
        <v>45.762132506177466</v>
      </c>
      <c r="BS33" s="684">
        <f>IF(BS$4="forecast",AVERAGE(BG33:BR33),'Dept. Cost Actuals'!BW885+'Dept. Cost Actuals'!BW884)</f>
        <v>45.761630552605389</v>
      </c>
      <c r="BT33" s="684">
        <f>IF(BT$4="forecast",AVERAGE(BH33:BS33),'Dept. Cost Actuals'!BX885+'Dept. Cost Actuals'!BX884)</f>
        <v>45.758564972956883</v>
      </c>
      <c r="BU33" s="684">
        <f>IF(BU$4="forecast",AVERAGE(BI33:BT33),'Dept. Cost Actuals'!BY885+'Dept. Cost Actuals'!BY884)</f>
        <v>45.755388112316915</v>
      </c>
      <c r="BV33" s="808">
        <f>IF(BV$4="forecast",AVERAGE(BJ33:BU33),'Dept. Cost Actuals'!BZ885+'Dept. Cost Actuals'!BZ884)</f>
        <v>45.753268526991526</v>
      </c>
    </row>
    <row r="34" spans="2:74" x14ac:dyDescent="0.35">
      <c r="B34" s="812" t="s">
        <v>950</v>
      </c>
      <c r="C34" s="684">
        <f>IF(C$4="forecast",AVERAGE(#REF!),'Dept. Cost Actuals'!G928)</f>
        <v>0</v>
      </c>
      <c r="D34" s="684">
        <f>IF(D$4="forecast",AVERAGE(#REF!),'Dept. Cost Actuals'!H928)</f>
        <v>0</v>
      </c>
      <c r="E34" s="684">
        <f>IF(E$4="forecast",AVERAGE(#REF!),'Dept. Cost Actuals'!I928)</f>
        <v>0</v>
      </c>
      <c r="F34" s="684">
        <f>IF(F$4="forecast",AVERAGE(#REF!),'Dept. Cost Actuals'!J928)</f>
        <v>132.79943183879004</v>
      </c>
      <c r="G34" s="684">
        <f>IF(G$4="forecast",AVERAGE(#REF!),'Dept. Cost Actuals'!K928)</f>
        <v>12.529450794529602</v>
      </c>
      <c r="H34" s="684">
        <f>IF(H$4="forecast",AVERAGE(#REF!),'Dept. Cost Actuals'!L928)</f>
        <v>0</v>
      </c>
      <c r="I34" s="684">
        <f>IF(I$4="forecast",AVERAGE(#REF!),'Dept. Cost Actuals'!M928)</f>
        <v>0</v>
      </c>
      <c r="J34" s="684">
        <f>IF(J$4="forecast",AVERAGE(#REF!),'Dept. Cost Actuals'!N928)</f>
        <v>0</v>
      </c>
      <c r="K34" s="684">
        <f>IF(K$4="forecast",AVERAGE(#REF!),'Dept. Cost Actuals'!O928)</f>
        <v>11.033422869515912</v>
      </c>
      <c r="L34" s="684">
        <f>IF(L$4="forecast",AVERAGE(#REF!),'Dept. Cost Actuals'!P928)</f>
        <v>0.21663515421589857</v>
      </c>
      <c r="M34" s="684">
        <f>IF(M$4="forecast",AVERAGE(A34:L34),'Dept. Cost Actuals'!Q928)</f>
        <v>17.226076764688106</v>
      </c>
      <c r="N34" s="684">
        <f>IF(N$4="forecast",AVERAGE(B34:M34),'Dept. Cost Actuals'!R928)</f>
        <v>0</v>
      </c>
      <c r="O34" s="684">
        <f>IF(O$4="forecast",AVERAGE(C34:N34),'Dept. Cost Actuals'!S928)</f>
        <v>0</v>
      </c>
      <c r="P34" s="684">
        <f>IF(P$4="forecast",AVERAGE(D34:O34),'Dept. Cost Actuals'!T928)</f>
        <v>0</v>
      </c>
      <c r="Q34" s="684">
        <f>IF(Q$4="forecast",AVERAGE(E34:P34),'Dept. Cost Actuals'!U928)</f>
        <v>0</v>
      </c>
      <c r="R34" s="684">
        <f>IF(R$4="forecast",AVERAGE(F34:Q34),'Dept. Cost Actuals'!V928)</f>
        <v>502.62</v>
      </c>
      <c r="S34" s="684">
        <f>IF(S$4="forecast",AVERAGE(G34:R34),'Dept. Cost Actuals'!W928)</f>
        <v>0</v>
      </c>
      <c r="T34" s="684">
        <f>IF(T$4="forecast",AVERAGE(H34:S34),'Dept. Cost Actuals'!X928)</f>
        <v>0</v>
      </c>
      <c r="U34" s="684">
        <f>IF(U$4="forecast",AVERAGE(I34:T34),'Dept. Cost Actuals'!Y928)</f>
        <v>0</v>
      </c>
      <c r="V34" s="684">
        <f>IF(V$4="forecast",AVERAGE(J34:U34),'Dept. Cost Actuals'!Z928)</f>
        <v>446.1</v>
      </c>
      <c r="W34" s="684">
        <f>IF(W$4="forecast",AVERAGE(K34:V34),'Dept. Cost Actuals'!AA928)</f>
        <v>0</v>
      </c>
      <c r="X34" s="684">
        <f>IF(X$4="forecast",AVERAGE(L34:W34),'Dept. Cost Actuals'!AB928)</f>
        <v>0</v>
      </c>
      <c r="Y34" s="684">
        <f>IF(Y$4="forecast",AVERAGE(M34:X34),'Dept. Cost Actuals'!AC928)</f>
        <v>246.6</v>
      </c>
      <c r="Z34" s="684">
        <f>IF(Z$4="forecast",AVERAGE(N34:Y34),'Dept. Cost Actuals'!AD928)</f>
        <v>0</v>
      </c>
      <c r="AA34" s="684">
        <f>IF(AA$4="forecast",AVERAGE(O34:Z34),'Dept. Cost Actuals'!AE928)</f>
        <v>99.61</v>
      </c>
      <c r="AB34" s="684">
        <f>IF(AB$4="forecast",AVERAGE(P34:AA34),'Dept. Cost Actuals'!AF928)</f>
        <v>107.91083333333331</v>
      </c>
      <c r="AC34" s="684">
        <f>IF(AC$4="forecast",AVERAGE(Q34:AB34),'Dept. Cost Actuals'!AG928)</f>
        <v>116.90340277777777</v>
      </c>
      <c r="AD34" s="684">
        <f>IF(AD$4="forecast",AVERAGE(R34:AC34),'Dept. Cost Actuals'!AH928)</f>
        <v>126.64535300925924</v>
      </c>
      <c r="AE34" s="684">
        <f>IF(AE$4="forecast",AVERAGE(S34:AD34),'Dept. Cost Actuals'!AI928)</f>
        <v>95.31413242669754</v>
      </c>
      <c r="AF34" s="684">
        <f>IF(AF$4="forecast",AVERAGE(T34:AE34),'Dept. Cost Actuals'!AJ928)</f>
        <v>103.25697679558901</v>
      </c>
      <c r="AG34" s="684">
        <f>IF(AG$4="forecast",AVERAGE(U34:AF34),'Dept. Cost Actuals'!AK928)</f>
        <v>111.86172486188809</v>
      </c>
      <c r="AH34" s="684">
        <f>IF(AH$4="forecast",AVERAGE(V34:AG34),'Dept. Cost Actuals'!AL928)</f>
        <v>121.18353526704543</v>
      </c>
      <c r="AI34" s="684">
        <f>IF(AI$4="forecast",AVERAGE(W34:AH34),'Dept. Cost Actuals'!AM928)</f>
        <v>94.107163205965847</v>
      </c>
      <c r="AJ34" s="684">
        <f>IF(AJ$4="forecast",AVERAGE(X34:AI34),'Dept. Cost Actuals'!AN928)</f>
        <v>101.94942680646301</v>
      </c>
      <c r="AK34" s="684">
        <f>IF(AK$4="forecast",AVERAGE(Y34:AJ34),'Dept. Cost Actuals'!AO928)</f>
        <v>110.44521237366826</v>
      </c>
      <c r="AL34" s="684">
        <f>IF(AL$4="forecast",AVERAGE(Z34:AK34),'Dept. Cost Actuals'!AP928)</f>
        <v>99.098980071473946</v>
      </c>
      <c r="AM34" s="684">
        <f>IF(AM$4="forecast",AVERAGE(AA34:AL34),'Dept. Cost Actuals'!AQ928)</f>
        <v>107.35722841076345</v>
      </c>
      <c r="AN34" s="684">
        <f>IF(AN$4="forecast",AVERAGE(AB34:AM34),'Dept. Cost Actuals'!AR928)</f>
        <v>108.00283077832707</v>
      </c>
      <c r="AO34" s="684">
        <f>IF(AO$4="forecast",AVERAGE(AC34:AN34),'Dept. Cost Actuals'!AS928)</f>
        <v>108.01049723207655</v>
      </c>
      <c r="AP34" s="684">
        <f>IF(AP$4="forecast",AVERAGE(AD34:AO34),'Dept. Cost Actuals'!AT928)</f>
        <v>107.26942176993479</v>
      </c>
      <c r="AQ34" s="684">
        <f>IF(AQ$4="forecast",AVERAGE(AE34:AP34),'Dept. Cost Actuals'!AU928)</f>
        <v>105.65476083332443</v>
      </c>
      <c r="AR34" s="684">
        <f>IF(AR$4="forecast",AVERAGE(AF34:AQ34),'Dept. Cost Actuals'!AV928)</f>
        <v>106.51647986720998</v>
      </c>
      <c r="AS34" s="684">
        <f>IF(AS$4="forecast",AVERAGE(AG34:AR34),'Dept. Cost Actuals'!AW928)</f>
        <v>106.7881051231784</v>
      </c>
      <c r="AT34" s="684">
        <f>IF(AT$4="forecast",AVERAGE(AH34:AS34),'Dept. Cost Actuals'!AX928)</f>
        <v>106.36530347828592</v>
      </c>
      <c r="AU34" s="684">
        <f>IF(AU$4="forecast",AVERAGE(AI34:AT34),'Dept. Cost Actuals'!AY928)</f>
        <v>105.13045082922264</v>
      </c>
      <c r="AV34" s="684">
        <f>IF(AV$4="forecast",AVERAGE(AJ34:AU34),'Dept. Cost Actuals'!AZ928)</f>
        <v>106.04905813116069</v>
      </c>
      <c r="AW34" s="684">
        <f>IF(AW$4="forecast",AVERAGE(AK34:AV34),'Dept. Cost Actuals'!BA928)</f>
        <v>106.39069407488552</v>
      </c>
      <c r="AX34" s="684">
        <f>IF(AX$4="forecast",AVERAGE(AL34:AW34),'Dept. Cost Actuals'!BB928)</f>
        <v>106.05281754998695</v>
      </c>
      <c r="AY34" s="684">
        <f>IF(AY$4="forecast",AVERAGE(AM34:AX34),'Dept. Cost Actuals'!BC928)</f>
        <v>106.63230400652971</v>
      </c>
      <c r="AZ34" s="684">
        <f>IF(AZ$4="forecast",AVERAGE(AN34:AY34),'Dept. Cost Actuals'!BD928)</f>
        <v>106.57189363951022</v>
      </c>
      <c r="BA34" s="684">
        <f>IF(BA$4="forecast",AVERAGE(AO34:AZ34),'Dept. Cost Actuals'!BE928)</f>
        <v>106.45264887794217</v>
      </c>
      <c r="BB34" s="684">
        <f>IF(BB$4="forecast",AVERAGE(AP34:BA34),'Dept. Cost Actuals'!BF928)</f>
        <v>106.32282818176428</v>
      </c>
      <c r="BC34" s="684">
        <f>IF(BC$4="forecast",AVERAGE(AQ34:BB34),'Dept. Cost Actuals'!BG928)</f>
        <v>106.24394538275008</v>
      </c>
      <c r="BD34" s="684">
        <f>IF(BD$4="forecast",AVERAGE(AR34:BC34),'Dept. Cost Actuals'!BH928)</f>
        <v>106.29304409520221</v>
      </c>
      <c r="BE34" s="684">
        <f>IF(BE$4="forecast",AVERAGE(AS34:BD34),'Dept. Cost Actuals'!BI928)</f>
        <v>106.2744244475349</v>
      </c>
      <c r="BF34" s="684">
        <f>IF(BF$4="forecast",AVERAGE(AT34:BE34),'Dept. Cost Actuals'!BJ928)</f>
        <v>106.2316177245646</v>
      </c>
      <c r="BG34" s="684">
        <f>IF(BG$4="forecast",AVERAGE(AU34:BF34),'Dept. Cost Actuals'!BK928)</f>
        <v>106.22047724508785</v>
      </c>
      <c r="BH34" s="684">
        <f>IF(BH$4="forecast",AVERAGE(AV34:BG34),'Dept. Cost Actuals'!BL928)</f>
        <v>106.31131277974326</v>
      </c>
      <c r="BI34" s="684">
        <f>IF(BI$4="forecast",AVERAGE(AW34:BH34),'Dept. Cost Actuals'!BM928)</f>
        <v>106.33316733379179</v>
      </c>
      <c r="BJ34" s="684">
        <f>IF(BJ$4="forecast",AVERAGE(AX34:BI34),'Dept. Cost Actuals'!BN928)</f>
        <v>106.32837343870067</v>
      </c>
      <c r="BK34" s="684">
        <f>IF(BK$4="forecast",AVERAGE(AY34:BJ34),'Dept. Cost Actuals'!BO928)</f>
        <v>106.35133642942681</v>
      </c>
      <c r="BL34" s="684">
        <f>IF(BL$4="forecast",AVERAGE(AZ34:BK34),'Dept. Cost Actuals'!BP928)</f>
        <v>106.32792246466823</v>
      </c>
      <c r="BM34" s="684">
        <f>IF(BM$4="forecast",AVERAGE(BA34:BL34),'Dept. Cost Actuals'!BQ928)</f>
        <v>106.30759153343139</v>
      </c>
      <c r="BN34" s="684">
        <f>IF(BN$4="forecast",AVERAGE(BB34:BM34),'Dept. Cost Actuals'!BR928)</f>
        <v>106.29550342138884</v>
      </c>
      <c r="BO34" s="684">
        <f>IF(BO$4="forecast",AVERAGE(BC34:BN34),'Dept. Cost Actuals'!BS928)</f>
        <v>106.29322635802423</v>
      </c>
      <c r="BP34" s="684">
        <f>IF(BP$4="forecast",AVERAGE(BD34:BO34),'Dept. Cost Actuals'!BT928)</f>
        <v>106.29733310596373</v>
      </c>
      <c r="BQ34" s="684">
        <f>IF(BQ$4="forecast",AVERAGE(BE34:BP34),'Dept. Cost Actuals'!BU928)</f>
        <v>106.29769052352719</v>
      </c>
      <c r="BR34" s="684">
        <f>IF(BR$4="forecast",AVERAGE(BF34:BQ34),'Dept. Cost Actuals'!BV928)</f>
        <v>106.29962936319323</v>
      </c>
      <c r="BS34" s="684">
        <f>IF(BS$4="forecast",AVERAGE(BG34:BR34),'Dept. Cost Actuals'!BW928)</f>
        <v>106.30529699974561</v>
      </c>
      <c r="BT34" s="684">
        <f>IF(BT$4="forecast",AVERAGE(BH34:BS34),'Dept. Cost Actuals'!BX928)</f>
        <v>106.31236531263374</v>
      </c>
      <c r="BU34" s="684">
        <f>IF(BU$4="forecast",AVERAGE(BI34:BT34),'Dept. Cost Actuals'!BY928)</f>
        <v>106.31245302370796</v>
      </c>
      <c r="BV34" s="808">
        <f>IF(BV$4="forecast",AVERAGE(BJ34:BU34),'Dept. Cost Actuals'!BZ928)</f>
        <v>106.31072683120097</v>
      </c>
    </row>
    <row r="35" spans="2:74" x14ac:dyDescent="0.35">
      <c r="B35" s="812" t="s">
        <v>927</v>
      </c>
      <c r="C35" s="684">
        <f>IF(C$4="forecast",AVERAGE(#REF!),'Dept. Cost Actuals'!G937)</f>
        <v>0</v>
      </c>
      <c r="D35" s="684">
        <f>IF(D$4="forecast",AVERAGE(#REF!),'Dept. Cost Actuals'!H937)</f>
        <v>0</v>
      </c>
      <c r="E35" s="684">
        <f>IF(E$4="forecast",AVERAGE(#REF!),'Dept. Cost Actuals'!I937)</f>
        <v>0</v>
      </c>
      <c r="F35" s="684">
        <f>IF(F$4="forecast",AVERAGE(#REF!),'Dept. Cost Actuals'!J937)</f>
        <v>0</v>
      </c>
      <c r="G35" s="684">
        <f>IF(G$4="forecast",AVERAGE(#REF!),'Dept. Cost Actuals'!K937)</f>
        <v>0</v>
      </c>
      <c r="H35" s="684">
        <f>IF(H$4="forecast",AVERAGE(#REF!),'Dept. Cost Actuals'!L937)</f>
        <v>0</v>
      </c>
      <c r="I35" s="684">
        <f>IF(I$4="forecast",AVERAGE(#REF!),'Dept. Cost Actuals'!M937)</f>
        <v>0</v>
      </c>
      <c r="J35" s="684">
        <f>IF(J$4="forecast",AVERAGE(#REF!),'Dept. Cost Actuals'!N937)</f>
        <v>0</v>
      </c>
      <c r="K35" s="684">
        <f>IF(K$4="forecast",AVERAGE(#REF!),'Dept. Cost Actuals'!O937)</f>
        <v>0</v>
      </c>
      <c r="L35" s="684">
        <f>IF(L$4="forecast",AVERAGE(#REF!),'Dept. Cost Actuals'!P937)</f>
        <v>0</v>
      </c>
      <c r="M35" s="684">
        <f>IF(M$4="forecast",AVERAGE(A35:L35),'Dept. Cost Actuals'!Q937)</f>
        <v>0</v>
      </c>
      <c r="N35" s="684">
        <f>IF(N$4="forecast",AVERAGE(B35:M35),'Dept. Cost Actuals'!R937)</f>
        <v>0</v>
      </c>
      <c r="O35" s="684">
        <f>IF(O$4="forecast",AVERAGE(C35:N35),'Dept. Cost Actuals'!S937)</f>
        <v>0</v>
      </c>
      <c r="P35" s="684">
        <f>IF(P$4="forecast",AVERAGE(D35:O35),'Dept. Cost Actuals'!T937)</f>
        <v>0</v>
      </c>
      <c r="Q35" s="684">
        <f>IF(Q$4="forecast",AVERAGE(E35:P35),'Dept. Cost Actuals'!U937)</f>
        <v>0</v>
      </c>
      <c r="R35" s="684">
        <f>IF(R$4="forecast",AVERAGE(F35:Q35),'Dept. Cost Actuals'!V937)</f>
        <v>0</v>
      </c>
      <c r="S35" s="684">
        <f>IF(S$4="forecast",AVERAGE(G35:R35),'Dept. Cost Actuals'!W937)</f>
        <v>0</v>
      </c>
      <c r="T35" s="684">
        <f>IF(T$4="forecast",AVERAGE(H35:S35),'Dept. Cost Actuals'!X937)</f>
        <v>0</v>
      </c>
      <c r="U35" s="684">
        <f>IF(U$4="forecast",AVERAGE(I35:T35),'Dept. Cost Actuals'!Y937)</f>
        <v>0</v>
      </c>
      <c r="V35" s="684">
        <f>IF(V$4="forecast",AVERAGE(J35:U35),'Dept. Cost Actuals'!Z937)</f>
        <v>0</v>
      </c>
      <c r="W35" s="684">
        <f>IF(W$4="forecast",AVERAGE(K35:V35),'Dept. Cost Actuals'!AA937)</f>
        <v>0</v>
      </c>
      <c r="X35" s="684">
        <f>IF(X$4="forecast",AVERAGE(L35:W35),'Dept. Cost Actuals'!AB937)</f>
        <v>0</v>
      </c>
      <c r="Y35" s="684">
        <f>IF(Y$4="forecast",AVERAGE(M35:X35),'Dept. Cost Actuals'!AC937)</f>
        <v>0</v>
      </c>
      <c r="Z35" s="684">
        <f>IF(Z$4="forecast",AVERAGE(N35:Y35),'Dept. Cost Actuals'!AD937)</f>
        <v>0</v>
      </c>
      <c r="AA35" s="684">
        <f>IF(AA$4="forecast",AVERAGE(O35:Z35),'Dept. Cost Actuals'!AE937)</f>
        <v>0</v>
      </c>
      <c r="AB35" s="684">
        <f>IF(AB$4="forecast",AVERAGE(P35:AA35),'Dept. Cost Actuals'!AF937)</f>
        <v>0</v>
      </c>
      <c r="AC35" s="684">
        <f>IF(AC$4="forecast",AVERAGE(Q35:AB35),'Dept. Cost Actuals'!AG937)</f>
        <v>0</v>
      </c>
      <c r="AD35" s="684">
        <f>IF(AD$4="forecast",AVERAGE(R35:AC35),'Dept. Cost Actuals'!AH937)</f>
        <v>0</v>
      </c>
      <c r="AE35" s="684">
        <f>IF(AE$4="forecast",AVERAGE(S35:AD35),'Dept. Cost Actuals'!AI937)</f>
        <v>0</v>
      </c>
      <c r="AF35" s="684">
        <f>IF(AF$4="forecast",AVERAGE(T35:AE35),'Dept. Cost Actuals'!AJ937)</f>
        <v>0</v>
      </c>
      <c r="AG35" s="684">
        <f>IF(AG$4="forecast",AVERAGE(U35:AF35),'Dept. Cost Actuals'!AK937)</f>
        <v>0</v>
      </c>
      <c r="AH35" s="684">
        <f>IF(AH$4="forecast",AVERAGE(V35:AG35),'Dept. Cost Actuals'!AL937)</f>
        <v>0</v>
      </c>
      <c r="AI35" s="684">
        <f>IF(AI$4="forecast",AVERAGE(W35:AH35),'Dept. Cost Actuals'!AM937)</f>
        <v>0</v>
      </c>
      <c r="AJ35" s="684">
        <f>IF(AJ$4="forecast",AVERAGE(X35:AI35),'Dept. Cost Actuals'!AN937)</f>
        <v>0</v>
      </c>
      <c r="AK35" s="684">
        <f>IF(AK$4="forecast",AVERAGE(Y35:AJ35),'Dept. Cost Actuals'!AO937)</f>
        <v>0</v>
      </c>
      <c r="AL35" s="684">
        <f>IF(AL$4="forecast",AVERAGE(Z35:AK35),'Dept. Cost Actuals'!AP937)</f>
        <v>0</v>
      </c>
      <c r="AM35" s="684">
        <f>IF(AM$4="forecast",AVERAGE(AA35:AL35),'Dept. Cost Actuals'!AQ937)</f>
        <v>0</v>
      </c>
      <c r="AN35" s="684">
        <f>IF(AN$4="forecast",AVERAGE(AB35:AM35),'Dept. Cost Actuals'!AR937)</f>
        <v>0</v>
      </c>
      <c r="AO35" s="684">
        <f>IF(AO$4="forecast",AVERAGE(AC35:AN35),'Dept. Cost Actuals'!AS937)</f>
        <v>0</v>
      </c>
      <c r="AP35" s="684">
        <f>IF(AP$4="forecast",AVERAGE(AD35:AO35),'Dept. Cost Actuals'!AT937)</f>
        <v>0</v>
      </c>
      <c r="AQ35" s="684">
        <f>IF(AQ$4="forecast",AVERAGE(AE35:AP35),'Dept. Cost Actuals'!AU937)</f>
        <v>0</v>
      </c>
      <c r="AR35" s="684">
        <f>IF(AR$4="forecast",AVERAGE(AF35:AQ35),'Dept. Cost Actuals'!AV937)</f>
        <v>0</v>
      </c>
      <c r="AS35" s="684">
        <f>IF(AS$4="forecast",AVERAGE(AG35:AR35),'Dept. Cost Actuals'!AW937)</f>
        <v>0</v>
      </c>
      <c r="AT35" s="684">
        <f>IF(AT$4="forecast",AVERAGE(AH35:AS35),'Dept. Cost Actuals'!AX937)</f>
        <v>0</v>
      </c>
      <c r="AU35" s="684">
        <f>IF(AU$4="forecast",AVERAGE(AI35:AT35),'Dept. Cost Actuals'!AY937)</f>
        <v>0</v>
      </c>
      <c r="AV35" s="684">
        <f>IF(AV$4="forecast",AVERAGE(AJ35:AU35),'Dept. Cost Actuals'!AZ937)</f>
        <v>0</v>
      </c>
      <c r="AW35" s="684">
        <f>IF(AW$4="forecast",AVERAGE(AK35:AV35),'Dept. Cost Actuals'!BA937)</f>
        <v>0</v>
      </c>
      <c r="AX35" s="684">
        <f>IF(AX$4="forecast",AVERAGE(AL35:AW35),'Dept. Cost Actuals'!BB937)</f>
        <v>0</v>
      </c>
      <c r="AY35" s="684">
        <f>IF(AY$4="forecast",AVERAGE(AM35:AX35),'Dept. Cost Actuals'!BC937)</f>
        <v>0</v>
      </c>
      <c r="AZ35" s="684">
        <f>IF(AZ$4="forecast",AVERAGE(AN35:AY35),'Dept. Cost Actuals'!BD937)</f>
        <v>0</v>
      </c>
      <c r="BA35" s="684">
        <f>IF(BA$4="forecast",AVERAGE(AO35:AZ35),'Dept. Cost Actuals'!BE937)</f>
        <v>0</v>
      </c>
      <c r="BB35" s="684">
        <f>IF(BB$4="forecast",AVERAGE(AP35:BA35),'Dept. Cost Actuals'!BF937)</f>
        <v>0</v>
      </c>
      <c r="BC35" s="684">
        <f>IF(BC$4="forecast",AVERAGE(AQ35:BB35),'Dept. Cost Actuals'!BG937)</f>
        <v>0</v>
      </c>
      <c r="BD35" s="684">
        <f>IF(BD$4="forecast",AVERAGE(AR35:BC35),'Dept. Cost Actuals'!BH937)</f>
        <v>0</v>
      </c>
      <c r="BE35" s="684">
        <f>IF(BE$4="forecast",AVERAGE(AS35:BD35),'Dept. Cost Actuals'!BI937)</f>
        <v>0</v>
      </c>
      <c r="BF35" s="684">
        <f>IF(BF$4="forecast",AVERAGE(AT35:BE35),'Dept. Cost Actuals'!BJ937)</f>
        <v>0</v>
      </c>
      <c r="BG35" s="684">
        <f>IF(BG$4="forecast",AVERAGE(AU35:BF35),'Dept. Cost Actuals'!BK937)</f>
        <v>0</v>
      </c>
      <c r="BH35" s="684">
        <f>IF(BH$4="forecast",AVERAGE(AV35:BG35),'Dept. Cost Actuals'!BL937)</f>
        <v>0</v>
      </c>
      <c r="BI35" s="684">
        <f>IF(BI$4="forecast",AVERAGE(AW35:BH35),'Dept. Cost Actuals'!BM937)</f>
        <v>0</v>
      </c>
      <c r="BJ35" s="684">
        <f>IF(BJ$4="forecast",AVERAGE(AX35:BI35),'Dept. Cost Actuals'!BN937)</f>
        <v>0</v>
      </c>
      <c r="BK35" s="684">
        <f>IF(BK$4="forecast",AVERAGE(AY35:BJ35),'Dept. Cost Actuals'!BO937)</f>
        <v>0</v>
      </c>
      <c r="BL35" s="684">
        <f>IF(BL$4="forecast",AVERAGE(AZ35:BK35),'Dept. Cost Actuals'!BP937)</f>
        <v>0</v>
      </c>
      <c r="BM35" s="684">
        <f>IF(BM$4="forecast",AVERAGE(BA35:BL35),'Dept. Cost Actuals'!BQ937)</f>
        <v>0</v>
      </c>
      <c r="BN35" s="684">
        <f>IF(BN$4="forecast",AVERAGE(BB35:BM35),'Dept. Cost Actuals'!BR937)</f>
        <v>0</v>
      </c>
      <c r="BO35" s="684">
        <f>IF(BO$4="forecast",AVERAGE(BC35:BN35),'Dept. Cost Actuals'!BS937)</f>
        <v>0</v>
      </c>
      <c r="BP35" s="684">
        <f>IF(BP$4="forecast",AVERAGE(BD35:BO35),'Dept. Cost Actuals'!BT937)</f>
        <v>0</v>
      </c>
      <c r="BQ35" s="684">
        <f>IF(BQ$4="forecast",AVERAGE(BE35:BP35),'Dept. Cost Actuals'!BU937)</f>
        <v>0</v>
      </c>
      <c r="BR35" s="684">
        <f>IF(BR$4="forecast",AVERAGE(BF35:BQ35),'Dept. Cost Actuals'!BV937)</f>
        <v>0</v>
      </c>
      <c r="BS35" s="684">
        <f>IF(BS$4="forecast",AVERAGE(BG35:BR35),'Dept. Cost Actuals'!BW937)</f>
        <v>0</v>
      </c>
      <c r="BT35" s="684">
        <f>IF(BT$4="forecast",AVERAGE(BH35:BS35),'Dept. Cost Actuals'!BX937)</f>
        <v>0</v>
      </c>
      <c r="BU35" s="684">
        <f>IF(BU$4="forecast",AVERAGE(BI35:BT35),'Dept. Cost Actuals'!BY937)</f>
        <v>0</v>
      </c>
      <c r="BV35" s="808">
        <f>IF(BV$4="forecast",AVERAGE(BJ35:BU35),'Dept. Cost Actuals'!BZ937)</f>
        <v>0</v>
      </c>
    </row>
    <row r="36" spans="2:74" x14ac:dyDescent="0.35">
      <c r="B36" s="812" t="s">
        <v>928</v>
      </c>
      <c r="C36" s="684">
        <f>IF(C$4="forecast",AVERAGE(#REF!),'Dept. Cost Actuals'!G962)</f>
        <v>121.80218990898943</v>
      </c>
      <c r="D36" s="684">
        <f>IF(D$4="forecast",AVERAGE(#REF!),'Dept. Cost Actuals'!H962)</f>
        <v>87.974817675151002</v>
      </c>
      <c r="E36" s="684">
        <f>IF(E$4="forecast",AVERAGE(#REF!),'Dept. Cost Actuals'!I962)</f>
        <v>122.97926093808516</v>
      </c>
      <c r="F36" s="684">
        <f>IF(F$4="forecast",AVERAGE(#REF!),'Dept. Cost Actuals'!J962)</f>
        <v>240.70003706871469</v>
      </c>
      <c r="G36" s="684">
        <f>IF(G$4="forecast",AVERAGE(#REF!),'Dept. Cost Actuals'!K962)</f>
        <v>114.71443087021532</v>
      </c>
      <c r="H36" s="684">
        <f>IF(H$4="forecast",AVERAGE(#REF!),'Dept. Cost Actuals'!L962)</f>
        <v>367.99428175041402</v>
      </c>
      <c r="I36" s="684">
        <f>IF(I$4="forecast",AVERAGE(#REF!),'Dept. Cost Actuals'!M962)</f>
        <v>396.72727001542864</v>
      </c>
      <c r="J36" s="684">
        <f>IF(J$4="forecast",AVERAGE(#REF!),'Dept. Cost Actuals'!N962)</f>
        <v>171.08725478000193</v>
      </c>
      <c r="K36" s="684">
        <f>IF(K$4="forecast",AVERAGE(#REF!),'Dept. Cost Actuals'!O962)</f>
        <v>155.7239667533002</v>
      </c>
      <c r="L36" s="684">
        <f>IF(L$4="forecast",AVERAGE(#REF!),'Dept. Cost Actuals'!P962)</f>
        <v>197.70461513155792</v>
      </c>
      <c r="M36" s="684">
        <f>IF(M$4="forecast",AVERAGE(A36:L36),'Dept. Cost Actuals'!Q962)</f>
        <v>154.94539453704144</v>
      </c>
      <c r="N36" s="684">
        <f>IF(N$4="forecast",AVERAGE(B36:M36),'Dept. Cost Actuals'!R962)</f>
        <v>47.961418234872831</v>
      </c>
      <c r="O36" s="684">
        <f>IF(O$4="forecast",AVERAGE(C36:N36),'Dept. Cost Actuals'!S962)</f>
        <v>0</v>
      </c>
      <c r="P36" s="684">
        <f>IF(P$4="forecast",AVERAGE(D36:O36),'Dept. Cost Actuals'!T962)</f>
        <v>0</v>
      </c>
      <c r="Q36" s="684">
        <f>IF(Q$4="forecast",AVERAGE(E36:P36),'Dept. Cost Actuals'!U962)</f>
        <v>0</v>
      </c>
      <c r="R36" s="684">
        <f>IF(R$4="forecast",AVERAGE(F36:Q36),'Dept. Cost Actuals'!V962)</f>
        <v>50.9</v>
      </c>
      <c r="S36" s="684">
        <f>IF(S$4="forecast",AVERAGE(G36:R36),'Dept. Cost Actuals'!W962)</f>
        <v>100.59</v>
      </c>
      <c r="T36" s="684">
        <f>IF(T$4="forecast",AVERAGE(H36:S36),'Dept. Cost Actuals'!X962)</f>
        <v>93.82</v>
      </c>
      <c r="U36" s="684">
        <f>IF(U$4="forecast",AVERAGE(I36:T36),'Dept. Cost Actuals'!Y962)</f>
        <v>0</v>
      </c>
      <c r="V36" s="684">
        <f>IF(V$4="forecast",AVERAGE(J36:U36),'Dept. Cost Actuals'!Z962)</f>
        <v>0</v>
      </c>
      <c r="W36" s="684">
        <f>IF(W$4="forecast",AVERAGE(K36:V36),'Dept. Cost Actuals'!AA962)</f>
        <v>47.03</v>
      </c>
      <c r="X36" s="684">
        <f>IF(X$4="forecast",AVERAGE(L36:W36),'Dept. Cost Actuals'!AB962)</f>
        <v>0</v>
      </c>
      <c r="Y36" s="684">
        <f>IF(Y$4="forecast",AVERAGE(M36:X36),'Dept. Cost Actuals'!AC962)</f>
        <v>0</v>
      </c>
      <c r="Z36" s="684">
        <f>IF(Z$4="forecast",AVERAGE(N36:Y36),'Dept. Cost Actuals'!AD962)</f>
        <v>245.7</v>
      </c>
      <c r="AA36" s="684">
        <f>IF(AA$4="forecast",AVERAGE(O36:Z36),'Dept. Cost Actuals'!AE962)</f>
        <v>44.836666666666666</v>
      </c>
      <c r="AB36" s="684">
        <f>IF(AB$4="forecast",AVERAGE(P36:AA36),'Dept. Cost Actuals'!AF962)</f>
        <v>48.573055555555555</v>
      </c>
      <c r="AC36" s="684">
        <f>IF(AC$4="forecast",AVERAGE(Q36:AB36),'Dept. Cost Actuals'!AG962)</f>
        <v>52.620810185185185</v>
      </c>
      <c r="AD36" s="684">
        <f>IF(AD$4="forecast",AVERAGE(R36:AC36),'Dept. Cost Actuals'!AH962)</f>
        <v>57.005877700617283</v>
      </c>
      <c r="AE36" s="684">
        <f>IF(AE$4="forecast",AVERAGE(S36:AD36),'Dept. Cost Actuals'!AI962)</f>
        <v>57.514700842335394</v>
      </c>
      <c r="AF36" s="684">
        <f>IF(AF$4="forecast",AVERAGE(T36:AE36),'Dept. Cost Actuals'!AJ962)</f>
        <v>53.925092579196665</v>
      </c>
      <c r="AG36" s="684">
        <f>IF(AG$4="forecast",AVERAGE(U36:AF36),'Dept. Cost Actuals'!AK962)</f>
        <v>50.600516960796391</v>
      </c>
      <c r="AH36" s="684">
        <f>IF(AH$4="forecast",AVERAGE(V36:AG36),'Dept. Cost Actuals'!AL962)</f>
        <v>54.817226707529422</v>
      </c>
      <c r="AI36" s="684">
        <f>IF(AI$4="forecast",AVERAGE(W36:AH36),'Dept. Cost Actuals'!AM962)</f>
        <v>59.385328933156877</v>
      </c>
      <c r="AJ36" s="684">
        <f>IF(AJ$4="forecast",AVERAGE(X36:AI36),'Dept. Cost Actuals'!AN962)</f>
        <v>60.414939677586631</v>
      </c>
      <c r="AK36" s="684">
        <f>IF(AK$4="forecast",AVERAGE(Y36:AJ36),'Dept. Cost Actuals'!AO962)</f>
        <v>65.449517984052179</v>
      </c>
      <c r="AL36" s="684">
        <f>IF(AL$4="forecast",AVERAGE(Z36:AK36),'Dept. Cost Actuals'!AP962)</f>
        <v>70.903644482723195</v>
      </c>
      <c r="AM36" s="684">
        <f>IF(AM$4="forecast",AVERAGE(AA36:AL36),'Dept. Cost Actuals'!AQ962)</f>
        <v>56.337281522950114</v>
      </c>
      <c r="AN36" s="684">
        <f>IF(AN$4="forecast",AVERAGE(AB36:AM36),'Dept. Cost Actuals'!AR962)</f>
        <v>57.295666094307059</v>
      </c>
      <c r="AO36" s="684">
        <f>IF(AO$4="forecast",AVERAGE(AC36:AN36),'Dept. Cost Actuals'!AS962)</f>
        <v>58.022550305869693</v>
      </c>
      <c r="AP36" s="684">
        <f>IF(AP$4="forecast",AVERAGE(AD36:AO36),'Dept. Cost Actuals'!AT962)</f>
        <v>58.47269531592675</v>
      </c>
      <c r="AQ36" s="684">
        <f>IF(AQ$4="forecast",AVERAGE(AE36:AP36),'Dept. Cost Actuals'!AU962)</f>
        <v>58.59493011720253</v>
      </c>
      <c r="AR36" s="684">
        <f>IF(AR$4="forecast",AVERAGE(AF36:AQ36),'Dept. Cost Actuals'!AV962)</f>
        <v>58.684949223441464</v>
      </c>
      <c r="AS36" s="684">
        <f>IF(AS$4="forecast",AVERAGE(AG36:AR36),'Dept. Cost Actuals'!AW962)</f>
        <v>59.081603943795194</v>
      </c>
      <c r="AT36" s="684">
        <f>IF(AT$4="forecast",AVERAGE(AH36:AS36),'Dept. Cost Actuals'!AX962)</f>
        <v>59.788361192378431</v>
      </c>
      <c r="AU36" s="684">
        <f>IF(AU$4="forecast",AVERAGE(AI36:AT36),'Dept. Cost Actuals'!AY962)</f>
        <v>60.202622399449183</v>
      </c>
      <c r="AV36" s="684">
        <f>IF(AV$4="forecast",AVERAGE(AJ36:AU36),'Dept. Cost Actuals'!AZ962)</f>
        <v>60.270730188306878</v>
      </c>
      <c r="AW36" s="684">
        <f>IF(AW$4="forecast",AVERAGE(AK36:AV36),'Dept. Cost Actuals'!BA962)</f>
        <v>60.258712730866883</v>
      </c>
      <c r="AX36" s="684">
        <f>IF(AX$4="forecast",AVERAGE(AL36:AW36),'Dept. Cost Actuals'!BB962)</f>
        <v>59.826145626434787</v>
      </c>
      <c r="AY36" s="684">
        <f>IF(AY$4="forecast",AVERAGE(AM36:AX36),'Dept. Cost Actuals'!BC962)</f>
        <v>58.903020721744092</v>
      </c>
      <c r="AZ36" s="684">
        <f>IF(AZ$4="forecast",AVERAGE(AN36:AY36),'Dept. Cost Actuals'!BD962)</f>
        <v>59.116832321643578</v>
      </c>
      <c r="BA36" s="684">
        <f>IF(BA$4="forecast",AVERAGE(AO36:AZ36),'Dept. Cost Actuals'!BE962)</f>
        <v>59.268596173921615</v>
      </c>
      <c r="BB36" s="684">
        <f>IF(BB$4="forecast",AVERAGE(AP36:BA36),'Dept. Cost Actuals'!BF962)</f>
        <v>59.37243332959261</v>
      </c>
      <c r="BC36" s="684">
        <f>IF(BC$4="forecast",AVERAGE(AQ36:BB36),'Dept. Cost Actuals'!BG962)</f>
        <v>59.447411497398093</v>
      </c>
      <c r="BD36" s="684">
        <f>IF(BD$4="forecast",AVERAGE(AR36:BC36),'Dept. Cost Actuals'!BH962)</f>
        <v>59.518451612414395</v>
      </c>
      <c r="BE36" s="684">
        <f>IF(BE$4="forecast",AVERAGE(AS36:BD36),'Dept. Cost Actuals'!BI962)</f>
        <v>59.587910144828811</v>
      </c>
      <c r="BF36" s="684">
        <f>IF(BF$4="forecast",AVERAGE(AT36:BE36),'Dept. Cost Actuals'!BJ962)</f>
        <v>59.630102328248284</v>
      </c>
      <c r="BG36" s="684">
        <f>IF(BG$4="forecast",AVERAGE(AU36:BF36),'Dept. Cost Actuals'!BK962)</f>
        <v>59.61691408957077</v>
      </c>
      <c r="BH36" s="684">
        <f>IF(BH$4="forecast",AVERAGE(AV36:BG36),'Dept. Cost Actuals'!BL962)</f>
        <v>59.568105063747566</v>
      </c>
      <c r="BI36" s="684">
        <f>IF(BI$4="forecast",AVERAGE(AW36:BH36),'Dept. Cost Actuals'!BM962)</f>
        <v>59.509552970034292</v>
      </c>
      <c r="BJ36" s="684">
        <f>IF(BJ$4="forecast",AVERAGE(AX36:BI36),'Dept. Cost Actuals'!BN962)</f>
        <v>59.447122989964903</v>
      </c>
      <c r="BK36" s="684">
        <f>IF(BK$4="forecast",AVERAGE(AY36:BJ36),'Dept. Cost Actuals'!BO962)</f>
        <v>59.415537770259085</v>
      </c>
      <c r="BL36" s="684">
        <f>IF(BL$4="forecast",AVERAGE(AZ36:BK36),'Dept. Cost Actuals'!BP962)</f>
        <v>59.458247524302003</v>
      </c>
      <c r="BM36" s="684">
        <f>IF(BM$4="forecast",AVERAGE(BA36:BL36),'Dept. Cost Actuals'!BQ962)</f>
        <v>59.486698791190207</v>
      </c>
      <c r="BN36" s="684">
        <f>IF(BN$4="forecast",AVERAGE(BB36:BM36),'Dept. Cost Actuals'!BR962)</f>
        <v>59.504874009295918</v>
      </c>
      <c r="BO36" s="684">
        <f>IF(BO$4="forecast",AVERAGE(BC36:BN36),'Dept. Cost Actuals'!BS962)</f>
        <v>59.515910732604532</v>
      </c>
      <c r="BP36" s="684">
        <f>IF(BP$4="forecast",AVERAGE(BD36:BO36),'Dept. Cost Actuals'!BT962)</f>
        <v>59.521619002205064</v>
      </c>
      <c r="BQ36" s="684">
        <f>IF(BQ$4="forecast",AVERAGE(BE36:BP36),'Dept. Cost Actuals'!BU962)</f>
        <v>59.521882951354286</v>
      </c>
      <c r="BR36" s="684">
        <f>IF(BR$4="forecast",AVERAGE(BF36:BQ36),'Dept. Cost Actuals'!BV962)</f>
        <v>59.516380685231411</v>
      </c>
      <c r="BS36" s="684">
        <f>IF(BS$4="forecast",AVERAGE(BG36:BR36),'Dept. Cost Actuals'!BW962)</f>
        <v>59.506903881646672</v>
      </c>
      <c r="BT36" s="684">
        <f>IF(BT$4="forecast",AVERAGE(BH36:BS36),'Dept. Cost Actuals'!BX962)</f>
        <v>59.497736364319657</v>
      </c>
      <c r="BU36" s="684">
        <f>IF(BU$4="forecast",AVERAGE(BI36:BT36),'Dept. Cost Actuals'!BY962)</f>
        <v>59.491872306033997</v>
      </c>
      <c r="BV36" s="808">
        <f>IF(BV$4="forecast",AVERAGE(BJ36:BU36),'Dept. Cost Actuals'!BZ962)</f>
        <v>59.490398917367308</v>
      </c>
    </row>
    <row r="37" spans="2:74" x14ac:dyDescent="0.35">
      <c r="B37" s="812" t="s">
        <v>929</v>
      </c>
      <c r="C37" s="684">
        <f>IF(C$4="forecast",AVERAGE(#REF!),'Dept. Cost Actuals'!G999)</f>
        <v>0</v>
      </c>
      <c r="D37" s="684">
        <f>IF(D$4="forecast",AVERAGE(#REF!),'Dept. Cost Actuals'!H999)</f>
        <v>26.402830225935567</v>
      </c>
      <c r="E37" s="684">
        <f>IF(E$4="forecast",AVERAGE(#REF!),'Dept. Cost Actuals'!I999)</f>
        <v>27.201046272445318</v>
      </c>
      <c r="F37" s="684">
        <f>IF(F$4="forecast",AVERAGE(#REF!),'Dept. Cost Actuals'!J999)</f>
        <v>34.139549047222303</v>
      </c>
      <c r="G37" s="684">
        <f>IF(G$4="forecast",AVERAGE(#REF!),'Dept. Cost Actuals'!K999)</f>
        <v>67.867858470368674</v>
      </c>
      <c r="H37" s="684">
        <f>IF(H$4="forecast",AVERAGE(#REF!),'Dept. Cost Actuals'!L999)</f>
        <v>0</v>
      </c>
      <c r="I37" s="684">
        <f>IF(I$4="forecast",AVERAGE(#REF!),'Dept. Cost Actuals'!M999)</f>
        <v>7.7773191170385223</v>
      </c>
      <c r="J37" s="684">
        <f>IF(J$4="forecast",AVERAGE(#REF!),'Dept. Cost Actuals'!N999)</f>
        <v>0</v>
      </c>
      <c r="K37" s="684">
        <f>IF(K$4="forecast",AVERAGE(#REF!),'Dept. Cost Actuals'!O999)</f>
        <v>0</v>
      </c>
      <c r="L37" s="684">
        <f>IF(L$4="forecast",AVERAGE(#REF!),'Dept. Cost Actuals'!P999)</f>
        <v>1.8970071046788781</v>
      </c>
      <c r="M37" s="684">
        <f>IF(M$4="forecast",AVERAGE(A37:L37),'Dept. Cost Actuals'!Q999)</f>
        <v>0</v>
      </c>
      <c r="N37" s="684">
        <f>IF(N$4="forecast",AVERAGE(B37:M37),'Dept. Cost Actuals'!R999)</f>
        <v>0</v>
      </c>
      <c r="O37" s="684">
        <f>IF(O$4="forecast",AVERAGE(C37:N37),'Dept. Cost Actuals'!S999)</f>
        <v>0</v>
      </c>
      <c r="P37" s="684">
        <f>IF(P$4="forecast",AVERAGE(D37:O37),'Dept. Cost Actuals'!T999)</f>
        <v>0</v>
      </c>
      <c r="Q37" s="684">
        <f>IF(Q$4="forecast",AVERAGE(E37:P37),'Dept. Cost Actuals'!U999)</f>
        <v>0</v>
      </c>
      <c r="R37" s="684">
        <f>IF(R$4="forecast",AVERAGE(F37:Q37),'Dept. Cost Actuals'!V999)</f>
        <v>0</v>
      </c>
      <c r="S37" s="684">
        <f>IF(S$4="forecast",AVERAGE(G37:R37),'Dept. Cost Actuals'!W999)</f>
        <v>380.41</v>
      </c>
      <c r="T37" s="684">
        <f>IF(T$4="forecast",AVERAGE(H37:S37),'Dept. Cost Actuals'!X999)</f>
        <v>0</v>
      </c>
      <c r="U37" s="684">
        <f>IF(U$4="forecast",AVERAGE(I37:T37),'Dept. Cost Actuals'!Y999)</f>
        <v>0</v>
      </c>
      <c r="V37" s="684">
        <f>IF(V$4="forecast",AVERAGE(J37:U37),'Dept. Cost Actuals'!Z999)</f>
        <v>0</v>
      </c>
      <c r="W37" s="684">
        <f>IF(W$4="forecast",AVERAGE(K37:V37),'Dept. Cost Actuals'!AA999)</f>
        <v>0</v>
      </c>
      <c r="X37" s="684">
        <f>IF(X$4="forecast",AVERAGE(L37:W37),'Dept. Cost Actuals'!AB999)</f>
        <v>0</v>
      </c>
      <c r="Y37" s="684">
        <f>IF(Y$4="forecast",AVERAGE(M37:X37),'Dept. Cost Actuals'!AC999)</f>
        <v>2017.9</v>
      </c>
      <c r="Z37" s="684">
        <f>IF(Z$4="forecast",AVERAGE(N37:Y37),'Dept. Cost Actuals'!AD999)</f>
        <v>0</v>
      </c>
      <c r="AA37" s="684">
        <f>IF(AA$4="forecast",AVERAGE(O37:Z37),'Dept. Cost Actuals'!AE999)</f>
        <v>199.85916666666665</v>
      </c>
      <c r="AB37" s="684">
        <f>IF(AB$4="forecast",AVERAGE(P37:AA37),'Dept. Cost Actuals'!AF999)</f>
        <v>216.5140972222222</v>
      </c>
      <c r="AC37" s="684">
        <f>IF(AC$4="forecast",AVERAGE(Q37:AB37),'Dept. Cost Actuals'!AG999)</f>
        <v>234.55693865740739</v>
      </c>
      <c r="AD37" s="684">
        <f>IF(AD$4="forecast",AVERAGE(R37:AC37),'Dept. Cost Actuals'!AH999)</f>
        <v>254.10335021219134</v>
      </c>
      <c r="AE37" s="684">
        <f>IF(AE$4="forecast",AVERAGE(S37:AD37),'Dept. Cost Actuals'!AI999)</f>
        <v>275.27862939654062</v>
      </c>
      <c r="AF37" s="684">
        <f>IF(AF$4="forecast",AVERAGE(T37:AE37),'Dept. Cost Actuals'!AJ999)</f>
        <v>266.51768184625234</v>
      </c>
      <c r="AG37" s="684">
        <f>IF(AG$4="forecast",AVERAGE(U37:AF37),'Dept. Cost Actuals'!AK999)</f>
        <v>288.72748866677335</v>
      </c>
      <c r="AH37" s="684">
        <f>IF(AH$4="forecast",AVERAGE(V37:AG37),'Dept. Cost Actuals'!AL999)</f>
        <v>312.78811272233781</v>
      </c>
      <c r="AI37" s="684">
        <f>IF(AI$4="forecast",AVERAGE(W37:AH37),'Dept. Cost Actuals'!AM999)</f>
        <v>338.8537887825326</v>
      </c>
      <c r="AJ37" s="684">
        <f>IF(AJ$4="forecast",AVERAGE(X37:AI37),'Dept. Cost Actuals'!AN999)</f>
        <v>367.09160451441034</v>
      </c>
      <c r="AK37" s="684">
        <f>IF(AK$4="forecast",AVERAGE(Y37:AJ37),'Dept. Cost Actuals'!AO999)</f>
        <v>397.68257155727787</v>
      </c>
      <c r="AL37" s="684">
        <f>IF(AL$4="forecast",AVERAGE(Z37:AK37),'Dept. Cost Actuals'!AP999)</f>
        <v>262.66445252038437</v>
      </c>
      <c r="AM37" s="684">
        <f>IF(AM$4="forecast",AVERAGE(AA37:AL37),'Dept. Cost Actuals'!AQ999)</f>
        <v>284.55315689708306</v>
      </c>
      <c r="AN37" s="684">
        <f>IF(AN$4="forecast",AVERAGE(AB37:AM37),'Dept. Cost Actuals'!AR999)</f>
        <v>291.61098941628444</v>
      </c>
      <c r="AO37" s="684">
        <f>IF(AO$4="forecast",AVERAGE(AC37:AN37),'Dept. Cost Actuals'!AS999)</f>
        <v>297.86906376578958</v>
      </c>
      <c r="AP37" s="684">
        <f>IF(AP$4="forecast",AVERAGE(AD37:AO37),'Dept. Cost Actuals'!AT999)</f>
        <v>303.14507419148816</v>
      </c>
      <c r="AQ37" s="684">
        <f>IF(AQ$4="forecast",AVERAGE(AE37:AP37),'Dept. Cost Actuals'!AU999)</f>
        <v>307.23188452309626</v>
      </c>
      <c r="AR37" s="684">
        <f>IF(AR$4="forecast",AVERAGE(AF37:AQ37),'Dept. Cost Actuals'!AV999)</f>
        <v>309.89465578364258</v>
      </c>
      <c r="AS37" s="684">
        <f>IF(AS$4="forecast",AVERAGE(AG37:AR37),'Dept. Cost Actuals'!AW999)</f>
        <v>313.50940361175839</v>
      </c>
      <c r="AT37" s="684">
        <f>IF(AT$4="forecast",AVERAGE(AH37:AS37),'Dept. Cost Actuals'!AX999)</f>
        <v>315.57456319050715</v>
      </c>
      <c r="AU37" s="684">
        <f>IF(AU$4="forecast",AVERAGE(AI37:AT37),'Dept. Cost Actuals'!AY999)</f>
        <v>315.80676739618787</v>
      </c>
      <c r="AV37" s="684">
        <f>IF(AV$4="forecast",AVERAGE(AJ37:AU37),'Dept. Cost Actuals'!AZ999)</f>
        <v>313.88618228065911</v>
      </c>
      <c r="AW37" s="684">
        <f>IF(AW$4="forecast",AVERAGE(AK37:AV37),'Dept. Cost Actuals'!BA999)</f>
        <v>309.45239709451317</v>
      </c>
      <c r="AX37" s="684">
        <f>IF(AX$4="forecast",AVERAGE(AL37:AW37),'Dept. Cost Actuals'!BB999)</f>
        <v>302.09988255594948</v>
      </c>
      <c r="AY37" s="684">
        <f>IF(AY$4="forecast",AVERAGE(AM37:AX37),'Dept. Cost Actuals'!BC999)</f>
        <v>305.38616839224659</v>
      </c>
      <c r="AZ37" s="684">
        <f>IF(AZ$4="forecast",AVERAGE(AN37:AY37),'Dept. Cost Actuals'!BD999)</f>
        <v>307.12225268351023</v>
      </c>
      <c r="BA37" s="684">
        <f>IF(BA$4="forecast",AVERAGE(AO37:AZ37),'Dept. Cost Actuals'!BE999)</f>
        <v>308.4148579557791</v>
      </c>
      <c r="BB37" s="684">
        <f>IF(BB$4="forecast",AVERAGE(AP37:BA37),'Dept. Cost Actuals'!BF999)</f>
        <v>309.29367413827816</v>
      </c>
      <c r="BC37" s="684">
        <f>IF(BC$4="forecast",AVERAGE(AQ37:BB37),'Dept. Cost Actuals'!BG999)</f>
        <v>309.80605746717737</v>
      </c>
      <c r="BD37" s="684">
        <f>IF(BD$4="forecast",AVERAGE(AR37:BC37),'Dept. Cost Actuals'!BH999)</f>
        <v>310.0205718791841</v>
      </c>
      <c r="BE37" s="684">
        <f>IF(BE$4="forecast",AVERAGE(AS37:BD37),'Dept. Cost Actuals'!BI999)</f>
        <v>310.03106488714587</v>
      </c>
      <c r="BF37" s="684">
        <f>IF(BF$4="forecast",AVERAGE(AT37:BE37),'Dept. Cost Actuals'!BJ999)</f>
        <v>309.74120332676154</v>
      </c>
      <c r="BG37" s="684">
        <f>IF(BG$4="forecast",AVERAGE(AU37:BF37),'Dept. Cost Actuals'!BK999)</f>
        <v>309.25509000478269</v>
      </c>
      <c r="BH37" s="684">
        <f>IF(BH$4="forecast",AVERAGE(AV37:BG37),'Dept. Cost Actuals'!BL999)</f>
        <v>308.70911688883228</v>
      </c>
      <c r="BI37" s="684">
        <f>IF(BI$4="forecast",AVERAGE(AW37:BH37),'Dept. Cost Actuals'!BM999)</f>
        <v>308.2776947728467</v>
      </c>
      <c r="BJ37" s="684">
        <f>IF(BJ$4="forecast",AVERAGE(AX37:BI37),'Dept. Cost Actuals'!BN999)</f>
        <v>308.17980291270788</v>
      </c>
      <c r="BK37" s="684">
        <f>IF(BK$4="forecast",AVERAGE(AY37:BJ37),'Dept. Cost Actuals'!BO999)</f>
        <v>308.68646294243774</v>
      </c>
      <c r="BL37" s="684">
        <f>IF(BL$4="forecast",AVERAGE(AZ37:BK37),'Dept. Cost Actuals'!BP999)</f>
        <v>308.96148748828699</v>
      </c>
      <c r="BM37" s="684">
        <f>IF(BM$4="forecast",AVERAGE(BA37:BL37),'Dept. Cost Actuals'!BQ999)</f>
        <v>309.11475705535173</v>
      </c>
      <c r="BN37" s="684">
        <f>IF(BN$4="forecast",AVERAGE(BB37:BM37),'Dept. Cost Actuals'!BR999)</f>
        <v>309.17308198031606</v>
      </c>
      <c r="BO37" s="684">
        <f>IF(BO$4="forecast",AVERAGE(BC37:BN37),'Dept. Cost Actuals'!BS999)</f>
        <v>309.16303263381923</v>
      </c>
      <c r="BP37" s="684">
        <f>IF(BP$4="forecast",AVERAGE(BD37:BO37),'Dept. Cost Actuals'!BT999)</f>
        <v>309.10944723103938</v>
      </c>
      <c r="BQ37" s="684">
        <f>IF(BQ$4="forecast",AVERAGE(BE37:BP37),'Dept. Cost Actuals'!BU999)</f>
        <v>309.0335201770273</v>
      </c>
      <c r="BR37" s="684">
        <f>IF(BR$4="forecast",AVERAGE(BF37:BQ37),'Dept. Cost Actuals'!BV999)</f>
        <v>308.95039145118409</v>
      </c>
      <c r="BS37" s="684">
        <f>IF(BS$4="forecast",AVERAGE(BG37:BR37),'Dept. Cost Actuals'!BW999)</f>
        <v>308.88449046155267</v>
      </c>
      <c r="BT37" s="684">
        <f>IF(BT$4="forecast",AVERAGE(BH37:BS37),'Dept. Cost Actuals'!BX999)</f>
        <v>308.85360716628344</v>
      </c>
      <c r="BU37" s="684">
        <f>IF(BU$4="forecast",AVERAGE(BI37:BT37),'Dept. Cost Actuals'!BY999)</f>
        <v>308.86564802273773</v>
      </c>
      <c r="BV37" s="808">
        <f>IF(BV$4="forecast",AVERAGE(BJ37:BU37),'Dept. Cost Actuals'!BZ999)</f>
        <v>308.91464412689533</v>
      </c>
    </row>
    <row r="38" spans="2:74" x14ac:dyDescent="0.35">
      <c r="B38" s="812" t="s">
        <v>951</v>
      </c>
      <c r="C38" s="684">
        <f>IF(C$4="forecast",AVERAGE(#REF!),'Dept. Cost Actuals'!G889)</f>
        <v>12.94240808108996</v>
      </c>
      <c r="D38" s="684">
        <f>IF(D$4="forecast",AVERAGE(#REF!),'Dept. Cost Actuals'!H889)</f>
        <v>19.541522508569539</v>
      </c>
      <c r="E38" s="684">
        <f>IF(E$4="forecast",AVERAGE(#REF!),'Dept. Cost Actuals'!I889)</f>
        <v>2.6645922879130106</v>
      </c>
      <c r="F38" s="684">
        <f>IF(F$4="forecast",AVERAGE(#REF!),'Dept. Cost Actuals'!J889)</f>
        <v>4.0967458856666763</v>
      </c>
      <c r="G38" s="684">
        <f>IF(G$4="forecast",AVERAGE(#REF!),'Dept. Cost Actuals'!K889)</f>
        <v>190.76088834671319</v>
      </c>
      <c r="H38" s="684">
        <f>IF(H$4="forecast",AVERAGE(#REF!),'Dept. Cost Actuals'!L889)</f>
        <v>262.11</v>
      </c>
      <c r="I38" s="684">
        <f>IF(I$4="forecast",AVERAGE(#REF!),'Dept. Cost Actuals'!M889)</f>
        <v>0</v>
      </c>
      <c r="J38" s="684">
        <f>IF(J$4="forecast",AVERAGE(#REF!),'Dept. Cost Actuals'!N889)</f>
        <v>6.9118276334504687</v>
      </c>
      <c r="K38" s="684">
        <f>IF(K$4="forecast",AVERAGE(#REF!),'Dept. Cost Actuals'!O889)</f>
        <v>0</v>
      </c>
      <c r="L38" s="684">
        <f>IF(L$4="forecast",AVERAGE(#REF!),'Dept. Cost Actuals'!P889)</f>
        <v>98.616448230493674</v>
      </c>
      <c r="M38" s="684">
        <f>IF(M$4="forecast",AVERAGE(A38:L38),'Dept. Cost Actuals'!Q889)</f>
        <v>0</v>
      </c>
      <c r="N38" s="684">
        <f>IF(N$4="forecast",AVERAGE(B38:M38),'Dept. Cost Actuals'!R889)</f>
        <v>0</v>
      </c>
      <c r="O38" s="684">
        <f>IF(O$4="forecast",AVERAGE(C38:N38),'Dept. Cost Actuals'!S889)</f>
        <v>0</v>
      </c>
      <c r="P38" s="684">
        <f>IF(P$4="forecast",AVERAGE(D38:O38),'Dept. Cost Actuals'!T889)</f>
        <v>45</v>
      </c>
      <c r="Q38" s="684">
        <f>IF(Q$4="forecast",AVERAGE(E38:P38),'Dept. Cost Actuals'!U889)</f>
        <v>0</v>
      </c>
      <c r="R38" s="684">
        <f>IF(R$4="forecast",AVERAGE(F38:Q38),'Dept. Cost Actuals'!V889)</f>
        <v>0</v>
      </c>
      <c r="S38" s="684">
        <f>IF(S$4="forecast",AVERAGE(G38:R38),'Dept. Cost Actuals'!W889)</f>
        <v>4470.83</v>
      </c>
      <c r="T38" s="684">
        <f>IF(T$4="forecast",AVERAGE(H38:S38),'Dept. Cost Actuals'!X889)</f>
        <v>489.17</v>
      </c>
      <c r="U38" s="684">
        <f>IF(U$4="forecast",AVERAGE(I38:T38),'Dept. Cost Actuals'!Y889)</f>
        <v>4252.51</v>
      </c>
      <c r="V38" s="684">
        <f>IF(V$4="forecast",AVERAGE(J38:U38),'Dept. Cost Actuals'!Z889)</f>
        <v>745.79</v>
      </c>
      <c r="W38" s="684">
        <f>IF(W$4="forecast",AVERAGE(K38:V38),'Dept. Cost Actuals'!AA889)</f>
        <v>745.79</v>
      </c>
      <c r="X38" s="684">
        <f>IF(X$4="forecast",AVERAGE(L38:W38),'Dept. Cost Actuals'!AB889)</f>
        <v>745.79</v>
      </c>
      <c r="Y38" s="684">
        <f>IF(Y$4="forecast",AVERAGE(M38:X38),'Dept. Cost Actuals'!AC889)</f>
        <v>745.79</v>
      </c>
      <c r="Z38" s="684">
        <f>IF(Z$4="forecast",AVERAGE(N38:Y38),'Dept. Cost Actuals'!AD889)</f>
        <v>745.79</v>
      </c>
      <c r="AA38" s="684">
        <f>IF(AA$4="forecast",AVERAGE(O38:Z38),'Dept. Cost Actuals'!AE889)</f>
        <v>1082.2050000000002</v>
      </c>
      <c r="AB38" s="684">
        <f>IF(AB$4="forecast",AVERAGE(P38:AA38),'Dept. Cost Actuals'!AF889)</f>
        <v>1172.3887500000003</v>
      </c>
      <c r="AC38" s="684">
        <f>IF(AC$4="forecast",AVERAGE(Q38:AB38),'Dept. Cost Actuals'!AG889)</f>
        <v>1266.3378125000002</v>
      </c>
      <c r="AD38" s="684">
        <f>IF(AD$4="forecast",AVERAGE(R38:AC38),'Dept. Cost Actuals'!AH889)</f>
        <v>1371.865963541667</v>
      </c>
      <c r="AE38" s="684">
        <f>IF(AE$4="forecast",AVERAGE(S38:AD38),'Dept. Cost Actuals'!AI889)</f>
        <v>1486.1881271701393</v>
      </c>
      <c r="AF38" s="684">
        <f>IF(AF$4="forecast",AVERAGE(T38:AE38),'Dept. Cost Actuals'!AJ889)</f>
        <v>1237.467971100984</v>
      </c>
      <c r="AG38" s="684">
        <f>IF(AG$4="forecast",AVERAGE(U38:AF38),'Dept. Cost Actuals'!AK889)</f>
        <v>1299.8261353593991</v>
      </c>
      <c r="AH38" s="684">
        <f>IF(AH$4="forecast",AVERAGE(V38:AG38),'Dept. Cost Actuals'!AL889)</f>
        <v>1053.7691466393489</v>
      </c>
      <c r="AI38" s="684">
        <f>IF(AI$4="forecast",AVERAGE(W38:AH38),'Dept. Cost Actuals'!AM889)</f>
        <v>1079.4340755259616</v>
      </c>
      <c r="AJ38" s="684">
        <f>IF(AJ$4="forecast",AVERAGE(X38:AI38),'Dept. Cost Actuals'!AN889)</f>
        <v>1107.2377484864583</v>
      </c>
      <c r="AK38" s="684">
        <f>IF(AK$4="forecast",AVERAGE(Y38:AJ38),'Dept. Cost Actuals'!AO889)</f>
        <v>1137.3583941936631</v>
      </c>
      <c r="AL38" s="684">
        <f>IF(AL$4="forecast",AVERAGE(Z38:AK38),'Dept. Cost Actuals'!AP889)</f>
        <v>1169.9890937098019</v>
      </c>
      <c r="AM38" s="684">
        <f>IF(AM$4="forecast",AVERAGE(AA38:AL38),'Dept. Cost Actuals'!AQ889)</f>
        <v>1205.3390181856187</v>
      </c>
      <c r="AN38" s="684">
        <f>IF(AN$4="forecast",AVERAGE(AB38:AM38),'Dept. Cost Actuals'!AR889)</f>
        <v>1215.6001863677536</v>
      </c>
      <c r="AO38" s="684">
        <f>IF(AO$4="forecast",AVERAGE(AC38:AN38),'Dept. Cost Actuals'!AS889)</f>
        <v>1219.2011393983998</v>
      </c>
      <c r="AP38" s="684">
        <f>IF(AP$4="forecast",AVERAGE(AD38:AO38),'Dept. Cost Actuals'!AT889)</f>
        <v>1215.2730833065996</v>
      </c>
      <c r="AQ38" s="684">
        <f>IF(AQ$4="forecast",AVERAGE(AE38:AP38),'Dept. Cost Actuals'!AU889)</f>
        <v>1202.2236766203441</v>
      </c>
      <c r="AR38" s="684">
        <f>IF(AR$4="forecast",AVERAGE(AF38:AQ38),'Dept. Cost Actuals'!AV889)</f>
        <v>1178.5599724078611</v>
      </c>
      <c r="AS38" s="684">
        <f>IF(AS$4="forecast",AVERAGE(AG38:AR38),'Dept. Cost Actuals'!AW889)</f>
        <v>1173.6509725167673</v>
      </c>
      <c r="AT38" s="684">
        <f>IF(AT$4="forecast",AVERAGE(AH38:AS38),'Dept. Cost Actuals'!AX889)</f>
        <v>1163.1363756132148</v>
      </c>
      <c r="AU38" s="684">
        <f>IF(AU$4="forecast",AVERAGE(AI38:AT38),'Dept. Cost Actuals'!AY889)</f>
        <v>1172.2503113610369</v>
      </c>
      <c r="AV38" s="684">
        <f>IF(AV$4="forecast",AVERAGE(AJ38:AU38),'Dept. Cost Actuals'!AZ889)</f>
        <v>1179.9849976806265</v>
      </c>
      <c r="AW38" s="684">
        <f>IF(AW$4="forecast",AVERAGE(AK38:AV38),'Dept. Cost Actuals'!BA889)</f>
        <v>1186.047268446807</v>
      </c>
      <c r="AX38" s="684">
        <f>IF(AX$4="forecast",AVERAGE(AL38:AW38),'Dept. Cost Actuals'!BB889)</f>
        <v>1190.1046746345692</v>
      </c>
      <c r="AY38" s="684">
        <f>IF(AY$4="forecast",AVERAGE(AM38:AX38),'Dept. Cost Actuals'!BC889)</f>
        <v>1191.7809730449665</v>
      </c>
      <c r="AZ38" s="684">
        <f>IF(AZ$4="forecast",AVERAGE(AN38:AY38),'Dept. Cost Actuals'!BD889)</f>
        <v>1190.6511359499123</v>
      </c>
      <c r="BA38" s="684">
        <f>IF(BA$4="forecast",AVERAGE(AO38:AZ38),'Dept. Cost Actuals'!BE889)</f>
        <v>1188.5720484150922</v>
      </c>
      <c r="BB38" s="684">
        <f>IF(BB$4="forecast",AVERAGE(AP38:BA38),'Dept. Cost Actuals'!BF889)</f>
        <v>1186.0196241664833</v>
      </c>
      <c r="BC38" s="684">
        <f>IF(BC$4="forecast",AVERAGE(AQ38:BB38),'Dept. Cost Actuals'!BG889)</f>
        <v>1183.5818359048067</v>
      </c>
      <c r="BD38" s="684">
        <f>IF(BD$4="forecast",AVERAGE(AR38:BC38),'Dept. Cost Actuals'!BH889)</f>
        <v>1182.0283491785119</v>
      </c>
      <c r="BE38" s="684">
        <f>IF(BE$4="forecast",AVERAGE(AS38:BD38),'Dept. Cost Actuals'!BI889)</f>
        <v>1182.3173805760662</v>
      </c>
      <c r="BF38" s="684">
        <f>IF(BF$4="forecast",AVERAGE(AT38:BE38),'Dept. Cost Actuals'!BJ889)</f>
        <v>1183.0395812476743</v>
      </c>
      <c r="BG38" s="684">
        <f>IF(BG$4="forecast",AVERAGE(AU38:BF38),'Dept. Cost Actuals'!BK889)</f>
        <v>1184.6981817172127</v>
      </c>
      <c r="BH38" s="684">
        <f>IF(BH$4="forecast",AVERAGE(AV38:BG38),'Dept. Cost Actuals'!BL889)</f>
        <v>1185.7355042468942</v>
      </c>
      <c r="BI38" s="684">
        <f>IF(BI$4="forecast",AVERAGE(AW38:BH38),'Dept. Cost Actuals'!BM889)</f>
        <v>1186.2147131274164</v>
      </c>
      <c r="BJ38" s="684">
        <f>IF(BJ$4="forecast",AVERAGE(AX38:BI38),'Dept. Cost Actuals'!BN889)</f>
        <v>1186.2286668508004</v>
      </c>
      <c r="BK38" s="684">
        <f>IF(BK$4="forecast",AVERAGE(AY38:BJ38),'Dept. Cost Actuals'!BO889)</f>
        <v>1185.9056662021533</v>
      </c>
      <c r="BL38" s="684">
        <f>IF(BL$4="forecast",AVERAGE(AZ38:BK38),'Dept. Cost Actuals'!BP889)</f>
        <v>1185.4160572985852</v>
      </c>
      <c r="BM38" s="684">
        <f>IF(BM$4="forecast",AVERAGE(BA38:BL38),'Dept. Cost Actuals'!BQ889)</f>
        <v>1184.979800744308</v>
      </c>
      <c r="BN38" s="684">
        <f>IF(BN$4="forecast",AVERAGE(BB38:BM38),'Dept. Cost Actuals'!BR889)</f>
        <v>1184.6804467717427</v>
      </c>
      <c r="BO38" s="684">
        <f>IF(BO$4="forecast",AVERAGE(BC38:BN38),'Dept. Cost Actuals'!BS889)</f>
        <v>1184.5688486555143</v>
      </c>
      <c r="BP38" s="684">
        <f>IF(BP$4="forecast",AVERAGE(BD38:BO38),'Dept. Cost Actuals'!BT889)</f>
        <v>1184.6510997180733</v>
      </c>
      <c r="BQ38" s="684">
        <f>IF(BQ$4="forecast",AVERAGE(BE38:BP38),'Dept. Cost Actuals'!BU889)</f>
        <v>1184.8696622630368</v>
      </c>
      <c r="BR38" s="684">
        <f>IF(BR$4="forecast",AVERAGE(BF38:BQ38),'Dept. Cost Actuals'!BV889)</f>
        <v>1185.0823524036177</v>
      </c>
      <c r="BS38" s="684">
        <f>IF(BS$4="forecast",AVERAGE(BG38:BR38),'Dept. Cost Actuals'!BW889)</f>
        <v>1185.2525833332795</v>
      </c>
      <c r="BT38" s="684">
        <f>IF(BT$4="forecast",AVERAGE(BH38:BS38),'Dept. Cost Actuals'!BX889)</f>
        <v>1185.2987834679518</v>
      </c>
      <c r="BU38" s="684">
        <f>IF(BU$4="forecast",AVERAGE(BI38:BT38),'Dept. Cost Actuals'!BY889)</f>
        <v>1185.2623900697065</v>
      </c>
      <c r="BV38" s="808">
        <f>IF(BV$4="forecast",AVERAGE(BJ38:BU38),'Dept. Cost Actuals'!BZ889)</f>
        <v>1185.1830298148977</v>
      </c>
    </row>
    <row r="39" spans="2:74" x14ac:dyDescent="0.35">
      <c r="B39" s="816" t="s">
        <v>952</v>
      </c>
      <c r="C39" s="810">
        <f>IF(C$4="forecast",AVERAGE(#REF!),'Dept. Cost Actuals'!G926)</f>
        <v>0</v>
      </c>
      <c r="D39" s="810">
        <f>IF(D$4="forecast",AVERAGE(#REF!),'Dept. Cost Actuals'!H926)</f>
        <v>0</v>
      </c>
      <c r="E39" s="810">
        <f>IF(E$4="forecast",AVERAGE(#REF!),'Dept. Cost Actuals'!I926)</f>
        <v>0</v>
      </c>
      <c r="F39" s="810">
        <f>IF(F$4="forecast",AVERAGE(#REF!),'Dept. Cost Actuals'!J926)</f>
        <v>0</v>
      </c>
      <c r="G39" s="810">
        <f>IF(G$4="forecast",AVERAGE(#REF!),'Dept. Cost Actuals'!K926)</f>
        <v>12.548244970721397</v>
      </c>
      <c r="H39" s="810">
        <f>IF(H$4="forecast",AVERAGE(#REF!),'Dept. Cost Actuals'!L926)</f>
        <v>79.841114688873347</v>
      </c>
      <c r="I39" s="810">
        <f>IF(I$4="forecast",AVERAGE(#REF!),'Dept. Cost Actuals'!M926)</f>
        <v>56.796983779820621</v>
      </c>
      <c r="J39" s="810">
        <f>IF(J$4="forecast",AVERAGE(#REF!),'Dept. Cost Actuals'!N926)</f>
        <v>0.55236781505817556</v>
      </c>
      <c r="K39" s="810">
        <f>IF(K$4="forecast",AVERAGE(#REF!),'Dept. Cost Actuals'!O926)</f>
        <v>0</v>
      </c>
      <c r="L39" s="810">
        <f>IF(L$4="forecast",AVERAGE(#REF!),'Dept. Cost Actuals'!P926)</f>
        <v>337.50966387588028</v>
      </c>
      <c r="M39" s="810">
        <f>IF(M$4="forecast",AVERAGE(A39:L39),'Dept. Cost Actuals'!Q926)</f>
        <v>35.380835518952239</v>
      </c>
      <c r="N39" s="810">
        <f>IF(N$4="forecast",AVERAGE(B39:M39),'Dept. Cost Actuals'!R926)</f>
        <v>130.49459721699779</v>
      </c>
      <c r="O39" s="810">
        <f>IF(O$4="forecast",AVERAGE(C39:N39),'Dept. Cost Actuals'!S926)</f>
        <v>1986.2</v>
      </c>
      <c r="P39" s="810">
        <f>IF(P$4="forecast",AVERAGE(D39:O39),'Dept. Cost Actuals'!T926)</f>
        <v>0</v>
      </c>
      <c r="Q39" s="810">
        <f>IF(Q$4="forecast",AVERAGE(E39:P39),'Dept. Cost Actuals'!U926)</f>
        <v>-825</v>
      </c>
      <c r="R39" s="810">
        <f>IF(R$4="forecast",AVERAGE(F39:Q39),'Dept. Cost Actuals'!V926)</f>
        <v>0</v>
      </c>
      <c r="S39" s="810">
        <f>IF(S$4="forecast",AVERAGE(G39:R39),'Dept. Cost Actuals'!W926)</f>
        <v>0</v>
      </c>
      <c r="T39" s="810">
        <f>IF(T$4="forecast",AVERAGE(H39:S39),'Dept. Cost Actuals'!X926)</f>
        <v>0</v>
      </c>
      <c r="U39" s="810">
        <f>IF(U$4="forecast",AVERAGE(I39:T39),'Dept. Cost Actuals'!Y926)</f>
        <v>0</v>
      </c>
      <c r="V39" s="810">
        <f>IF(V$4="forecast",AVERAGE(J39:U39),'Dept. Cost Actuals'!Z926)</f>
        <v>0</v>
      </c>
      <c r="W39" s="810">
        <f>IF(W$4="forecast",AVERAGE(K39:V39),'Dept. Cost Actuals'!AA926)</f>
        <v>0</v>
      </c>
      <c r="X39" s="810">
        <f>IF(X$4="forecast",AVERAGE(L39:W39),'Dept. Cost Actuals'!AB926)</f>
        <v>0</v>
      </c>
      <c r="Y39" s="810">
        <f>IF(Y$4="forecast",AVERAGE(M39:X39),'Dept. Cost Actuals'!AC926)</f>
        <v>0</v>
      </c>
      <c r="Z39" s="810">
        <f>IF(Z$4="forecast",AVERAGE(N39:Y39),'Dept. Cost Actuals'!AD926)</f>
        <v>13200</v>
      </c>
      <c r="AA39" s="810">
        <f>IF(AA$4="forecast",SUM($O$39:$Z$39)/12+4200,'Dept. Cost Actuals'!AE590)</f>
        <v>5396.7666666666664</v>
      </c>
      <c r="AB39" s="810">
        <f>IF(AB$4="forecast",SUM($O$39:$Z$39)/12+4200,'Dept. Cost Actuals'!AF590)</f>
        <v>5396.7666666666664</v>
      </c>
      <c r="AC39" s="810">
        <f>IF(AC$4="forecast",SUM($O$39:$Z$39)/12+4200,'Dept. Cost Actuals'!AG590)</f>
        <v>5396.7666666666664</v>
      </c>
      <c r="AD39" s="810">
        <f>IF(AD$4="forecast",SUM($O$39:$Z$39)/12+4200,'Dept. Cost Actuals'!AH590)</f>
        <v>5396.7666666666664</v>
      </c>
      <c r="AE39" s="810">
        <f>IF(AE$4="forecast",SUM($O$39:$Z$39)/12+4200,'Dept. Cost Actuals'!AI590)</f>
        <v>5396.7666666666664</v>
      </c>
      <c r="AF39" s="810">
        <f>IF(AF$4="forecast",SUM($O$39:$Z$39)/12+4200,'Dept. Cost Actuals'!AJ590)</f>
        <v>5396.7666666666664</v>
      </c>
      <c r="AG39" s="810">
        <f>IF(AG$4="forecast",SUM($O$39:$Z$39)/12+4200,'Dept. Cost Actuals'!AK590)</f>
        <v>5396.7666666666664</v>
      </c>
      <c r="AH39" s="810">
        <f>IF(AH$4="forecast",SUM($O$39:$Z$39)/12+4200,'Dept. Cost Actuals'!AL590)</f>
        <v>5396.7666666666664</v>
      </c>
      <c r="AI39" s="810">
        <f>IF(AI$4="forecast",SUM($O$39:$Z$39)/12+4200,'Dept. Cost Actuals'!AM590)</f>
        <v>5396.7666666666664</v>
      </c>
      <c r="AJ39" s="810">
        <f>IF(AJ$4="forecast",SUM($O$39:$Z$39)/12+4200,'Dept. Cost Actuals'!AN590)</f>
        <v>5396.7666666666664</v>
      </c>
      <c r="AK39" s="810">
        <f>IF(AK$4="forecast",SUM($O$39:$Z$39)/12+4200,'Dept. Cost Actuals'!AO590)</f>
        <v>5396.7666666666664</v>
      </c>
      <c r="AL39" s="810">
        <f>IF(AL$4="forecast",SUM($O$39:$Z$39)/12+4200,'Dept. Cost Actuals'!AP590)</f>
        <v>5396.7666666666664</v>
      </c>
      <c r="AM39" s="810">
        <f>IF(AM$4="forecast",AVERAGE(AA39:AL39),'Dept. Cost Actuals'!AQ926)</f>
        <v>5396.7666666666655</v>
      </c>
      <c r="AN39" s="810">
        <f>IF(AN$4="forecast",AVERAGE(AB39:AM39),'Dept. Cost Actuals'!AR926)</f>
        <v>5396.7666666666655</v>
      </c>
      <c r="AO39" s="810">
        <f>IF(AO$4="forecast",AVERAGE(AC39:AN39),'Dept. Cost Actuals'!AS926)</f>
        <v>5396.7666666666655</v>
      </c>
      <c r="AP39" s="810">
        <f>IF(AP$4="forecast",AVERAGE(AD39:AO39),'Dept. Cost Actuals'!AT926)</f>
        <v>5396.7666666666655</v>
      </c>
      <c r="AQ39" s="810">
        <f>IF(AQ$4="forecast",AVERAGE(AE39:AP39),'Dept. Cost Actuals'!AU926)</f>
        <v>5396.7666666666655</v>
      </c>
      <c r="AR39" s="810">
        <f>IF(AR$4="forecast",AVERAGE(AF39:AQ39),'Dept. Cost Actuals'!AV926)</f>
        <v>5396.7666666666655</v>
      </c>
      <c r="AS39" s="810">
        <f>IF(AS$4="forecast",AVERAGE(AG39:AR39),'Dept. Cost Actuals'!AW926)</f>
        <v>5396.7666666666646</v>
      </c>
      <c r="AT39" s="810">
        <f>IF(AT$4="forecast",AVERAGE(AH39:AS39),'Dept. Cost Actuals'!AX926)</f>
        <v>5396.7666666666646</v>
      </c>
      <c r="AU39" s="810">
        <f>IF(AU$4="forecast",AVERAGE(AI39:AT39),'Dept. Cost Actuals'!AY926)</f>
        <v>5396.7666666666646</v>
      </c>
      <c r="AV39" s="810">
        <f>IF(AV$4="forecast",AVERAGE(AJ39:AU39),'Dept. Cost Actuals'!AZ926)</f>
        <v>5396.7666666666646</v>
      </c>
      <c r="AW39" s="810">
        <f>IF(AW$4="forecast",AVERAGE(AK39:AV39),'Dept. Cost Actuals'!BA926)</f>
        <v>5396.7666666666646</v>
      </c>
      <c r="AX39" s="810">
        <f>IF(AX$4="forecast",AVERAGE(AL39:AW39),'Dept. Cost Actuals'!BB926)</f>
        <v>5396.7666666666646</v>
      </c>
      <c r="AY39" s="810">
        <f>IF(AY$4="forecast",AVERAGE(AM39:AX39),'Dept. Cost Actuals'!BC926)</f>
        <v>5396.7666666666646</v>
      </c>
      <c r="AZ39" s="810">
        <f>IF(AZ$4="forecast",AVERAGE(AN39:AY39),'Dept. Cost Actuals'!BD926)</f>
        <v>5396.7666666666637</v>
      </c>
      <c r="BA39" s="810">
        <f>IF(BA$4="forecast",AVERAGE(AO39:AZ39),'Dept. Cost Actuals'!BE926)</f>
        <v>5396.7666666666637</v>
      </c>
      <c r="BB39" s="810">
        <f>IF(BB$4="forecast",AVERAGE(AP39:BA39),'Dept. Cost Actuals'!BF926)</f>
        <v>5396.7666666666637</v>
      </c>
      <c r="BC39" s="810">
        <f>IF(BC$4="forecast",AVERAGE(AQ39:BB39),'Dept. Cost Actuals'!BG926)</f>
        <v>5396.7666666666637</v>
      </c>
      <c r="BD39" s="810">
        <f>IF(BD$4="forecast",AVERAGE(AR39:BC39),'Dept. Cost Actuals'!BH926)</f>
        <v>5396.7666666666637</v>
      </c>
      <c r="BE39" s="810">
        <f>IF(BE$4="forecast",AVERAGE(AS39:BD39),'Dept. Cost Actuals'!BI926)</f>
        <v>5396.7666666666637</v>
      </c>
      <c r="BF39" s="810">
        <f>IF(BF$4="forecast",AVERAGE(AT39:BE39),'Dept. Cost Actuals'!BJ926)</f>
        <v>5396.7666666666637</v>
      </c>
      <c r="BG39" s="810">
        <f>IF(BG$4="forecast",AVERAGE(AU39:BF39),'Dept. Cost Actuals'!BK926)</f>
        <v>5396.7666666666637</v>
      </c>
      <c r="BH39" s="810">
        <f>IF(BH$4="forecast",AVERAGE(AV39:BG39),'Dept. Cost Actuals'!BL926)</f>
        <v>5396.7666666666637</v>
      </c>
      <c r="BI39" s="810">
        <f>IF(BI$4="forecast",AVERAGE(AW39:BH39),'Dept. Cost Actuals'!BM926)</f>
        <v>5396.7666666666637</v>
      </c>
      <c r="BJ39" s="810">
        <f>IF(BJ$4="forecast",AVERAGE(AX39:BI39),'Dept. Cost Actuals'!BN926)</f>
        <v>5396.7666666666637</v>
      </c>
      <c r="BK39" s="810">
        <f>IF(BK$4="forecast",AVERAGE(AY39:BJ39),'Dept. Cost Actuals'!BO926)</f>
        <v>5396.7666666666637</v>
      </c>
      <c r="BL39" s="810">
        <f>IF(BL$4="forecast",AVERAGE(AZ39:BK39),'Dept. Cost Actuals'!BP926)</f>
        <v>5396.7666666666637</v>
      </c>
      <c r="BM39" s="810">
        <f>IF(BM$4="forecast",AVERAGE(BA39:BL39),'Dept. Cost Actuals'!BQ926)</f>
        <v>5396.7666666666637</v>
      </c>
      <c r="BN39" s="810">
        <f>IF(BN$4="forecast",AVERAGE(BB39:BM39),'Dept. Cost Actuals'!BR926)</f>
        <v>5396.7666666666637</v>
      </c>
      <c r="BO39" s="810">
        <f>IF(BO$4="forecast",AVERAGE(BC39:BN39),'Dept. Cost Actuals'!BS926)</f>
        <v>5396.7666666666637</v>
      </c>
      <c r="BP39" s="810">
        <f>IF(BP$4="forecast",AVERAGE(BD39:BO39),'Dept. Cost Actuals'!BT926)</f>
        <v>5396.7666666666637</v>
      </c>
      <c r="BQ39" s="810">
        <f>IF(BQ$4="forecast",AVERAGE(BE39:BP39),'Dept. Cost Actuals'!BU926)</f>
        <v>5396.7666666666637</v>
      </c>
      <c r="BR39" s="810">
        <f>IF(BR$4="forecast",AVERAGE(BF39:BQ39),'Dept. Cost Actuals'!BV926)</f>
        <v>5396.7666666666637</v>
      </c>
      <c r="BS39" s="810">
        <f>IF(BS$4="forecast",AVERAGE(BG39:BR39),'Dept. Cost Actuals'!BW926)</f>
        <v>5396.7666666666637</v>
      </c>
      <c r="BT39" s="810">
        <f>IF(BT$4="forecast",AVERAGE(BH39:BS39),'Dept. Cost Actuals'!BX926)</f>
        <v>5396.7666666666637</v>
      </c>
      <c r="BU39" s="810">
        <f>IF(BU$4="forecast",AVERAGE(BI39:BT39),'Dept. Cost Actuals'!BY926)</f>
        <v>5396.7666666666637</v>
      </c>
      <c r="BV39" s="817">
        <f>IF(BV$4="forecast",AVERAGE(BJ39:BU39),'Dept. Cost Actuals'!BZ926)</f>
        <v>5396.7666666666637</v>
      </c>
    </row>
    <row r="40" spans="2:74" x14ac:dyDescent="0.35">
      <c r="B40" s="818" t="s">
        <v>953</v>
      </c>
      <c r="C40" s="819">
        <f>SUM(C29:C39,)</f>
        <v>640.04566549058677</v>
      </c>
      <c r="D40" s="819">
        <f t="shared" ref="D40:BO40" si="9">SUM(D29:D39,)</f>
        <v>357.41333002330776</v>
      </c>
      <c r="E40" s="819">
        <f t="shared" si="9"/>
        <v>713.43570311441545</v>
      </c>
      <c r="F40" s="819">
        <f t="shared" si="9"/>
        <v>786.10152380497175</v>
      </c>
      <c r="G40" s="819">
        <f t="shared" si="9"/>
        <v>1001.3202956300204</v>
      </c>
      <c r="H40" s="819">
        <f t="shared" si="9"/>
        <v>2716.1885097044242</v>
      </c>
      <c r="I40" s="819">
        <f t="shared" si="9"/>
        <v>3615.3280113466767</v>
      </c>
      <c r="J40" s="819">
        <f t="shared" si="9"/>
        <v>2517.7033459529989</v>
      </c>
      <c r="K40" s="819">
        <f t="shared" si="9"/>
        <v>3247.0352645580128</v>
      </c>
      <c r="L40" s="819">
        <f t="shared" si="9"/>
        <v>2182.2913712182371</v>
      </c>
      <c r="M40" s="819">
        <f t="shared" si="9"/>
        <v>3643.8307191785457</v>
      </c>
      <c r="N40" s="819">
        <f t="shared" si="9"/>
        <v>917.88151809596809</v>
      </c>
      <c r="O40" s="819">
        <f t="shared" si="9"/>
        <v>2260.9499999999998</v>
      </c>
      <c r="P40" s="819">
        <f t="shared" si="9"/>
        <v>714.75</v>
      </c>
      <c r="Q40" s="819">
        <f t="shared" si="9"/>
        <v>186.85000000000002</v>
      </c>
      <c r="R40" s="819">
        <f t="shared" si="9"/>
        <v>936.23</v>
      </c>
      <c r="S40" s="819">
        <f t="shared" si="9"/>
        <v>5034.62</v>
      </c>
      <c r="T40" s="819">
        <f t="shared" si="9"/>
        <v>3900.84</v>
      </c>
      <c r="U40" s="819">
        <f t="shared" si="9"/>
        <v>4673.3600000000006</v>
      </c>
      <c r="V40" s="819">
        <f t="shared" si="9"/>
        <v>1106.8399999999999</v>
      </c>
      <c r="W40" s="819">
        <f t="shared" si="9"/>
        <v>807.77</v>
      </c>
      <c r="X40" s="819">
        <f t="shared" si="9"/>
        <v>840.54</v>
      </c>
      <c r="Y40" s="819">
        <f t="shared" si="9"/>
        <v>15668.370000000003</v>
      </c>
      <c r="Z40" s="819">
        <f t="shared" si="9"/>
        <v>26250.440000000002</v>
      </c>
      <c r="AA40" s="819">
        <f t="shared" si="9"/>
        <v>9398.4633333333331</v>
      </c>
      <c r="AB40" s="819">
        <f t="shared" si="9"/>
        <v>9709.0422222222223</v>
      </c>
      <c r="AC40" s="819">
        <f t="shared" si="9"/>
        <v>10008.836018518519</v>
      </c>
      <c r="AD40" s="819">
        <f t="shared" si="9"/>
        <v>10308.854297839507</v>
      </c>
      <c r="AE40" s="819">
        <f t="shared" si="9"/>
        <v>10640.17576710391</v>
      </c>
      <c r="AF40" s="819">
        <f t="shared" si="9"/>
        <v>10657.574858807013</v>
      </c>
      <c r="AG40" s="819">
        <f t="shared" si="9"/>
        <v>10770.905541485376</v>
      </c>
      <c r="AH40" s="819">
        <f t="shared" si="9"/>
        <v>10829.303781053601</v>
      </c>
      <c r="AI40" s="819">
        <f t="shared" si="9"/>
        <v>11189.778540585847</v>
      </c>
      <c r="AJ40" s="819">
        <f t="shared" si="9"/>
        <v>11605.215363412444</v>
      </c>
      <c r="AK40" s="819">
        <f t="shared" si="9"/>
        <v>12052.541088141259</v>
      </c>
      <c r="AL40" s="819">
        <f t="shared" si="9"/>
        <v>11301.491456597476</v>
      </c>
      <c r="AM40" s="819">
        <f t="shared" si="9"/>
        <v>10706.015189091708</v>
      </c>
      <c r="AN40" s="819">
        <f t="shared" si="9"/>
        <v>10814.977843738239</v>
      </c>
      <c r="AO40" s="819">
        <f t="shared" si="9"/>
        <v>10907.139145531241</v>
      </c>
      <c r="AP40" s="819">
        <f t="shared" si="9"/>
        <v>10981.997739448969</v>
      </c>
      <c r="AQ40" s="819">
        <f t="shared" si="9"/>
        <v>11038.093026249757</v>
      </c>
      <c r="AR40" s="819">
        <f t="shared" si="9"/>
        <v>11071.252797845244</v>
      </c>
      <c r="AS40" s="819">
        <f t="shared" si="9"/>
        <v>11105.72595943176</v>
      </c>
      <c r="AT40" s="819">
        <f t="shared" si="9"/>
        <v>11133.627660927294</v>
      </c>
      <c r="AU40" s="819">
        <f t="shared" si="9"/>
        <v>11158.9879842501</v>
      </c>
      <c r="AV40" s="819">
        <f t="shared" si="9"/>
        <v>11156.422104555455</v>
      </c>
      <c r="AW40" s="819">
        <f t="shared" si="9"/>
        <v>11119.022666317374</v>
      </c>
      <c r="AX40" s="819">
        <f t="shared" si="9"/>
        <v>11041.229464498716</v>
      </c>
      <c r="AY40" s="819">
        <f t="shared" si="9"/>
        <v>11019.540965157154</v>
      </c>
      <c r="AZ40" s="819">
        <f t="shared" si="9"/>
        <v>11045.668113162606</v>
      </c>
      <c r="BA40" s="819">
        <f t="shared" si="9"/>
        <v>11064.892302281305</v>
      </c>
      <c r="BB40" s="819">
        <f t="shared" si="9"/>
        <v>11078.038398677145</v>
      </c>
      <c r="BC40" s="819">
        <f t="shared" si="9"/>
        <v>11086.041786946156</v>
      </c>
      <c r="BD40" s="819">
        <f t="shared" si="9"/>
        <v>11090.037517004192</v>
      </c>
      <c r="BE40" s="819">
        <f t="shared" si="9"/>
        <v>11091.602910267438</v>
      </c>
      <c r="BF40" s="819">
        <f t="shared" si="9"/>
        <v>11090.425989503747</v>
      </c>
      <c r="BG40" s="819">
        <f t="shared" si="9"/>
        <v>11086.825850218449</v>
      </c>
      <c r="BH40" s="819">
        <f t="shared" si="9"/>
        <v>11080.812339049144</v>
      </c>
      <c r="BI40" s="819">
        <f t="shared" si="9"/>
        <v>11074.511525256952</v>
      </c>
      <c r="BJ40" s="819">
        <f t="shared" si="9"/>
        <v>11070.802263501917</v>
      </c>
      <c r="BK40" s="819">
        <f t="shared" si="9"/>
        <v>11073.26666341885</v>
      </c>
      <c r="BL40" s="819">
        <f t="shared" si="9"/>
        <v>11077.743804940659</v>
      </c>
      <c r="BM40" s="819">
        <f t="shared" si="9"/>
        <v>11080.416779255494</v>
      </c>
      <c r="BN40" s="819">
        <f t="shared" si="9"/>
        <v>11081.710485670012</v>
      </c>
      <c r="BO40" s="819">
        <f t="shared" si="9"/>
        <v>11082.016492919418</v>
      </c>
      <c r="BP40" s="819">
        <f t="shared" ref="BP40:BV40" si="10">SUM(BP29:BP39,)</f>
        <v>11081.681051750522</v>
      </c>
      <c r="BQ40" s="819">
        <f t="shared" si="10"/>
        <v>11080.984679646052</v>
      </c>
      <c r="BR40" s="819">
        <f t="shared" si="10"/>
        <v>11080.099827094267</v>
      </c>
      <c r="BS40" s="819">
        <f t="shared" si="10"/>
        <v>11079.239313560143</v>
      </c>
      <c r="BT40" s="819">
        <f t="shared" si="10"/>
        <v>11078.607102171953</v>
      </c>
      <c r="BU40" s="819">
        <f t="shared" si="10"/>
        <v>11078.423332432187</v>
      </c>
      <c r="BV40" s="820">
        <f t="shared" si="10"/>
        <v>11078.749316363457</v>
      </c>
    </row>
    <row r="41" spans="2:74" x14ac:dyDescent="0.35">
      <c r="B41" s="800"/>
      <c r="C41" s="157"/>
      <c r="D41" s="157"/>
      <c r="E41" s="157"/>
      <c r="F41" s="157"/>
      <c r="G41" s="157"/>
      <c r="H41" s="157"/>
      <c r="I41" s="157"/>
      <c r="J41" s="157"/>
      <c r="K41" s="157"/>
      <c r="L41" s="157"/>
      <c r="M41" s="157"/>
      <c r="N41" s="157"/>
      <c r="O41" s="157"/>
      <c r="P41" s="157"/>
      <c r="Q41" s="157"/>
      <c r="R41" s="157"/>
      <c r="S41" s="157"/>
      <c r="T41" s="157"/>
      <c r="U41" s="157"/>
      <c r="V41" s="157"/>
      <c r="W41" s="157"/>
      <c r="X41" s="157"/>
      <c r="Y41" s="157"/>
      <c r="Z41" s="157"/>
      <c r="AA41" s="157"/>
      <c r="AB41" s="157"/>
      <c r="AC41" s="157"/>
      <c r="AD41" s="157"/>
      <c r="AE41" s="157"/>
      <c r="AF41" s="157"/>
      <c r="AG41" s="157"/>
      <c r="AH41" s="157"/>
      <c r="AI41" s="157"/>
      <c r="AJ41" s="157"/>
      <c r="AK41" s="157"/>
      <c r="AL41" s="157"/>
      <c r="AM41" s="157"/>
      <c r="AN41" s="157"/>
      <c r="AO41" s="157"/>
      <c r="AP41" s="157"/>
      <c r="AQ41" s="157"/>
      <c r="AR41" s="157"/>
      <c r="AS41" s="157"/>
      <c r="AT41" s="157"/>
      <c r="AU41" s="157"/>
      <c r="AV41" s="157"/>
      <c r="AW41" s="157"/>
      <c r="AX41" s="157"/>
      <c r="AY41" s="157"/>
      <c r="AZ41" s="157"/>
      <c r="BA41" s="157"/>
      <c r="BB41" s="157"/>
      <c r="BC41" s="157"/>
      <c r="BD41" s="157"/>
      <c r="BE41" s="157"/>
      <c r="BF41" s="157"/>
      <c r="BG41" s="157"/>
      <c r="BH41" s="157"/>
      <c r="BI41" s="157"/>
      <c r="BJ41" s="157"/>
      <c r="BK41" s="157"/>
      <c r="BL41" s="157"/>
      <c r="BM41" s="157"/>
      <c r="BN41" s="157"/>
      <c r="BO41" s="157"/>
      <c r="BP41" s="157"/>
      <c r="BQ41" s="157"/>
      <c r="BR41" s="157"/>
      <c r="BS41" s="157"/>
      <c r="BT41" s="157"/>
      <c r="BU41" s="157"/>
      <c r="BV41" s="801"/>
    </row>
    <row r="42" spans="2:74" x14ac:dyDescent="0.35">
      <c r="B42" s="874" t="s">
        <v>492</v>
      </c>
      <c r="C42" s="875">
        <f>C40+C26</f>
        <v>46160.853334201689</v>
      </c>
      <c r="D42" s="875">
        <f t="shared" ref="D42:BO42" si="11">D40+D26</f>
        <v>44312.722831963729</v>
      </c>
      <c r="E42" s="875">
        <f t="shared" si="11"/>
        <v>44475.883502818302</v>
      </c>
      <c r="F42" s="875">
        <f t="shared" si="11"/>
        <v>59419.933206160655</v>
      </c>
      <c r="G42" s="875">
        <f t="shared" si="11"/>
        <v>364088.40852598549</v>
      </c>
      <c r="H42" s="875">
        <f t="shared" si="11"/>
        <v>79720.987710712565</v>
      </c>
      <c r="I42" s="875">
        <f t="shared" si="11"/>
        <v>367435.55164915358</v>
      </c>
      <c r="J42" s="875">
        <f t="shared" si="11"/>
        <v>366166.26077411906</v>
      </c>
      <c r="K42" s="875">
        <f t="shared" si="11"/>
        <v>61441.966288190626</v>
      </c>
      <c r="L42" s="875">
        <f t="shared" si="11"/>
        <v>384804.20676961821</v>
      </c>
      <c r="M42" s="875">
        <f t="shared" si="11"/>
        <v>157435.79876191466</v>
      </c>
      <c r="N42" s="875">
        <f t="shared" si="11"/>
        <v>80757.224695435201</v>
      </c>
      <c r="O42" s="875">
        <f t="shared" si="11"/>
        <v>177465.02000000002</v>
      </c>
      <c r="P42" s="875">
        <f t="shared" si="11"/>
        <v>165683.87</v>
      </c>
      <c r="Q42" s="875">
        <f t="shared" si="11"/>
        <v>145047.78</v>
      </c>
      <c r="R42" s="875">
        <f t="shared" si="11"/>
        <v>155192.48000000001</v>
      </c>
      <c r="S42" s="875">
        <f t="shared" si="11"/>
        <v>152088.53</v>
      </c>
      <c r="T42" s="875">
        <f t="shared" si="11"/>
        <v>133638.83000000002</v>
      </c>
      <c r="U42" s="875">
        <f t="shared" si="11"/>
        <v>147125.71000000002</v>
      </c>
      <c r="V42" s="875">
        <f t="shared" si="11"/>
        <v>119536.23</v>
      </c>
      <c r="W42" s="875">
        <f t="shared" si="11"/>
        <v>136799.23000000001</v>
      </c>
      <c r="X42" s="875">
        <f t="shared" si="11"/>
        <v>145528.28</v>
      </c>
      <c r="Y42" s="875">
        <f t="shared" si="11"/>
        <v>140337.62</v>
      </c>
      <c r="Z42" s="875">
        <f t="shared" si="11"/>
        <v>76650.790000000008</v>
      </c>
      <c r="AA42" s="875">
        <f t="shared" si="11"/>
        <v>115898.730975</v>
      </c>
      <c r="AB42" s="875">
        <f t="shared" si="11"/>
        <v>63425.511669444444</v>
      </c>
      <c r="AC42" s="875">
        <f t="shared" si="11"/>
        <v>63509.148810648156</v>
      </c>
      <c r="AD42" s="875">
        <f t="shared" si="11"/>
        <v>63713.706546952162</v>
      </c>
      <c r="AE42" s="875">
        <f t="shared" si="11"/>
        <v>64010.446594614841</v>
      </c>
      <c r="AF42" s="875">
        <f t="shared" si="11"/>
        <v>64073.860812916078</v>
      </c>
      <c r="AG42" s="875">
        <f t="shared" si="11"/>
        <v>64199.324549409081</v>
      </c>
      <c r="AH42" s="875">
        <f t="shared" si="11"/>
        <v>64230.678597276506</v>
      </c>
      <c r="AI42" s="875">
        <f t="shared" si="11"/>
        <v>64623.292149132889</v>
      </c>
      <c r="AJ42" s="875">
        <f t="shared" si="11"/>
        <v>65097.950996977292</v>
      </c>
      <c r="AK42" s="875">
        <f t="shared" si="11"/>
        <v>65519.369748808735</v>
      </c>
      <c r="AL42" s="875">
        <f t="shared" si="11"/>
        <v>312281.79922995943</v>
      </c>
      <c r="AM42" s="875">
        <f t="shared" si="11"/>
        <v>64356.70915628942</v>
      </c>
      <c r="AN42" s="875">
        <f t="shared" si="11"/>
        <v>64446.204104514924</v>
      </c>
      <c r="AO42" s="875">
        <f t="shared" si="11"/>
        <v>64519.667559434565</v>
      </c>
      <c r="AP42" s="875">
        <f t="shared" si="11"/>
        <v>64592.300900643881</v>
      </c>
      <c r="AQ42" s="875">
        <f t="shared" si="11"/>
        <v>64653.959857644295</v>
      </c>
      <c r="AR42" s="875">
        <f t="shared" si="11"/>
        <v>64696.049809715238</v>
      </c>
      <c r="AS42" s="875">
        <f t="shared" si="11"/>
        <v>64736.385758438948</v>
      </c>
      <c r="AT42" s="875">
        <f t="shared" si="11"/>
        <v>64769.652853747393</v>
      </c>
      <c r="AU42" s="875">
        <f t="shared" si="11"/>
        <v>64803.10680205714</v>
      </c>
      <c r="AV42" s="875">
        <f t="shared" si="11"/>
        <v>64806.660730420859</v>
      </c>
      <c r="AW42" s="875">
        <f t="shared" si="11"/>
        <v>64770.988607653839</v>
      </c>
      <c r="AX42" s="875">
        <f t="shared" si="11"/>
        <v>312197.26126761083</v>
      </c>
      <c r="AY42" s="875">
        <f t="shared" si="11"/>
        <v>63194.761047811917</v>
      </c>
      <c r="AZ42" s="875">
        <f t="shared" si="11"/>
        <v>63221.939417245943</v>
      </c>
      <c r="BA42" s="875">
        <f t="shared" si="11"/>
        <v>63243.938753458991</v>
      </c>
      <c r="BB42" s="875">
        <f t="shared" si="11"/>
        <v>63261.663227122175</v>
      </c>
      <c r="BC42" s="875">
        <f t="shared" si="11"/>
        <v>63274.825420213994</v>
      </c>
      <c r="BD42" s="875">
        <f t="shared" si="11"/>
        <v>63283.959137813392</v>
      </c>
      <c r="BE42" s="875">
        <f t="shared" si="11"/>
        <v>63290.358675631331</v>
      </c>
      <c r="BF42" s="875">
        <f t="shared" si="11"/>
        <v>63293.941358104807</v>
      </c>
      <c r="BG42" s="875">
        <f t="shared" si="11"/>
        <v>63295.060239656261</v>
      </c>
      <c r="BH42" s="875">
        <f t="shared" si="11"/>
        <v>63293.492825337351</v>
      </c>
      <c r="BI42" s="875">
        <f t="shared" si="11"/>
        <v>63291.504940538602</v>
      </c>
      <c r="BJ42" s="875">
        <f t="shared" si="11"/>
        <v>310792.3279651067</v>
      </c>
      <c r="BK42" s="875">
        <f t="shared" si="11"/>
        <v>63299.364494649912</v>
      </c>
      <c r="BL42" s="875">
        <f t="shared" si="11"/>
        <v>63308.515570437143</v>
      </c>
      <c r="BM42" s="875">
        <f t="shared" si="11"/>
        <v>63316.173943480237</v>
      </c>
      <c r="BN42" s="875">
        <f t="shared" si="11"/>
        <v>63322.646400684454</v>
      </c>
      <c r="BO42" s="875">
        <f t="shared" si="11"/>
        <v>63328.18992806389</v>
      </c>
      <c r="BP42" s="875">
        <f t="shared" ref="BP42:BV42" si="12">BP40+BP26</f>
        <v>63333.106872164477</v>
      </c>
      <c r="BQ42" s="875">
        <f t="shared" si="12"/>
        <v>63337.680300873486</v>
      </c>
      <c r="BR42" s="875">
        <f t="shared" si="12"/>
        <v>63342.109042910059</v>
      </c>
      <c r="BS42" s="875">
        <f t="shared" si="12"/>
        <v>63346.615440764188</v>
      </c>
      <c r="BT42" s="875">
        <f t="shared" si="12"/>
        <v>63351.411030478906</v>
      </c>
      <c r="BU42" s="875">
        <f t="shared" si="12"/>
        <v>63356.743641564317</v>
      </c>
      <c r="BV42" s="876">
        <f t="shared" si="12"/>
        <v>310862.69310744578</v>
      </c>
    </row>
    <row r="43" spans="2:74" x14ac:dyDescent="0.35">
      <c r="O43" s="625"/>
      <c r="P43" s="625"/>
      <c r="Q43" s="625"/>
      <c r="R43" s="625"/>
      <c r="S43" s="625"/>
      <c r="T43" s="625"/>
      <c r="U43" s="625"/>
      <c r="V43" s="625"/>
      <c r="W43" s="625"/>
      <c r="X43" s="625"/>
      <c r="Y43" s="625"/>
      <c r="Z43" s="625"/>
      <c r="AA43" s="625"/>
      <c r="AB43" s="625"/>
      <c r="AC43" s="625"/>
      <c r="AD43" s="625"/>
      <c r="AE43" s="625"/>
      <c r="AF43" s="625"/>
      <c r="AG43" s="625"/>
      <c r="AH43" s="625"/>
      <c r="AI43" s="625"/>
      <c r="AJ43" s="625"/>
      <c r="AK43" s="625"/>
      <c r="AL43" s="625"/>
      <c r="AM43" s="625"/>
      <c r="AN43" s="625"/>
      <c r="AO43" s="625"/>
      <c r="AP43" s="625"/>
      <c r="AQ43" s="625"/>
      <c r="AR43" s="625"/>
      <c r="AS43" s="625"/>
      <c r="AT43" s="625"/>
      <c r="AU43" s="625"/>
      <c r="AV43" s="625"/>
      <c r="AW43" s="625"/>
      <c r="AX43" s="625"/>
      <c r="AY43" s="625"/>
      <c r="AZ43" s="625"/>
      <c r="BA43" s="625"/>
    </row>
    <row r="44" spans="2:74" x14ac:dyDescent="0.35">
      <c r="O44" s="575"/>
      <c r="P44" s="575"/>
      <c r="Q44" s="575"/>
      <c r="R44" s="575"/>
      <c r="S44" s="575"/>
      <c r="T44" s="575"/>
      <c r="U44" s="575"/>
      <c r="V44" s="575"/>
      <c r="W44" s="575"/>
      <c r="X44" s="575"/>
      <c r="Y44" s="575"/>
      <c r="Z44" s="575"/>
      <c r="AA44" s="575"/>
      <c r="AB44" s="575"/>
      <c r="AC44" s="575"/>
      <c r="AD44" s="575"/>
      <c r="AE44" s="575"/>
      <c r="AF44" s="575"/>
      <c r="AG44" s="575"/>
      <c r="AH44" s="575"/>
      <c r="AI44" s="575"/>
      <c r="AJ44" s="575"/>
      <c r="AK44" s="575"/>
      <c r="AL44" s="575"/>
      <c r="AM44" s="575"/>
      <c r="AN44" s="575"/>
      <c r="AO44" s="575"/>
      <c r="AP44" s="575"/>
      <c r="AQ44" s="575"/>
      <c r="AR44" s="575"/>
      <c r="AS44" s="575"/>
      <c r="AT44" s="575"/>
      <c r="AU44" s="575"/>
      <c r="AV44" s="575"/>
      <c r="AW44" s="575"/>
      <c r="AX44" s="575"/>
      <c r="AY44" s="575"/>
      <c r="AZ44" s="575"/>
      <c r="BA44" s="575"/>
      <c r="BB44" s="575"/>
      <c r="BC44" s="575"/>
      <c r="BD44" s="575"/>
      <c r="BE44" s="575"/>
      <c r="BF44" s="575"/>
      <c r="BG44" s="575"/>
      <c r="BH44" s="575"/>
      <c r="BI44" s="575"/>
      <c r="BJ44" s="575"/>
    </row>
    <row r="45" spans="2:74" x14ac:dyDescent="0.35">
      <c r="M45" s="152"/>
      <c r="N45" s="152"/>
      <c r="O45" s="152"/>
      <c r="P45" s="152"/>
      <c r="Q45" s="152"/>
      <c r="R45" s="152"/>
      <c r="S45" s="152"/>
      <c r="T45" s="152"/>
      <c r="U45" s="152"/>
      <c r="V45" s="152"/>
      <c r="W45" s="152"/>
      <c r="X45" s="152"/>
      <c r="Y45" s="152"/>
      <c r="Z45" s="152"/>
      <c r="AA45" s="152"/>
      <c r="AB45" s="152"/>
      <c r="AC45" s="152"/>
      <c r="AD45" s="152"/>
      <c r="AE45" s="152"/>
      <c r="AF45" s="152"/>
      <c r="AG45" s="152"/>
      <c r="AH45" s="152"/>
      <c r="AI45" s="152"/>
      <c r="AJ45" s="152"/>
      <c r="AK45" s="152"/>
      <c r="AL45" s="152"/>
      <c r="AM45" s="152"/>
      <c r="AN45" s="152"/>
      <c r="AO45" s="152"/>
      <c r="AP45" s="152"/>
    </row>
    <row r="46" spans="2:74" x14ac:dyDescent="0.35">
      <c r="AN46" s="152"/>
    </row>
  </sheetData>
  <conditionalFormatting sqref="AA4:BV4">
    <cfRule type="containsText" dxfId="229" priority="5" operator="containsText" text="actual">
      <formula>NOT(ISERROR(SEARCH("actual",AA4)))</formula>
    </cfRule>
    <cfRule type="containsText" dxfId="228" priority="6" operator="containsText" text="forecast">
      <formula>NOT(ISERROR(SEARCH("forecast",AA4)))</formula>
    </cfRule>
  </conditionalFormatting>
  <conditionalFormatting sqref="C4:Z4">
    <cfRule type="containsText" dxfId="227" priority="3" operator="containsText" text="actual">
      <formula>NOT(ISERROR(SEARCH("actual",C4)))</formula>
    </cfRule>
    <cfRule type="containsText" dxfId="226" priority="4" operator="containsText" text="forecast">
      <formula>NOT(ISERROR(SEARCH("forecast",C4)))</formula>
    </cfRule>
  </conditionalFormatting>
  <conditionalFormatting sqref="B4">
    <cfRule type="containsText" dxfId="225" priority="1" operator="containsText" text="actual">
      <formula>NOT(ISERROR(SEARCH("actual",B4)))</formula>
    </cfRule>
    <cfRule type="containsText" dxfId="224" priority="2" operator="containsText" text="forecast">
      <formula>NOT(ISERROR(SEARCH("forecast",B4)))</formula>
    </cfRule>
  </conditionalFormatting>
  <pageMargins left="0.7" right="0.7" top="0.75" bottom="0.75" header="0.3" footer="0.3"/>
  <pageSetup orientation="portrait" horizontalDpi="0" verticalDpi="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W46"/>
  <sheetViews>
    <sheetView zoomScale="80" zoomScaleNormal="80" workbookViewId="0">
      <pane xSplit="2" ySplit="4" topLeftCell="K5" activePane="bottomRight" state="frozen"/>
      <selection activeCell="C20" sqref="C20"/>
      <selection pane="topRight" activeCell="C20" sqref="C20"/>
      <selection pane="bottomLeft" activeCell="C20" sqref="C20"/>
      <selection pane="bottomRight" activeCell="Z18" sqref="Z18"/>
    </sheetView>
  </sheetViews>
  <sheetFormatPr defaultColWidth="9.1796875" defaultRowHeight="14.5" x14ac:dyDescent="0.35"/>
  <cols>
    <col min="1" max="1" width="3" style="574" customWidth="1"/>
    <col min="2" max="2" width="29" style="574" customWidth="1"/>
    <col min="3" max="10" width="11.1796875" style="574" bestFit="1" customWidth="1"/>
    <col min="11" max="11" width="11.26953125" style="574" bestFit="1" customWidth="1"/>
    <col min="12" max="15" width="11.1796875" style="574" bestFit="1" customWidth="1"/>
    <col min="16" max="20" width="12.26953125" style="574" bestFit="1" customWidth="1"/>
    <col min="21" max="25" width="12.453125" style="574" bestFit="1" customWidth="1"/>
    <col min="26" max="26" width="11.453125" style="574" bestFit="1" customWidth="1"/>
    <col min="27" max="75" width="10.81640625" style="574" bestFit="1" customWidth="1"/>
    <col min="76" max="16384" width="9.1796875" style="574"/>
  </cols>
  <sheetData>
    <row r="2" spans="2:75" x14ac:dyDescent="0.35">
      <c r="B2" s="652" t="s">
        <v>1118</v>
      </c>
    </row>
    <row r="3" spans="2:75" x14ac:dyDescent="0.35">
      <c r="B3" s="1022" t="s">
        <v>931</v>
      </c>
      <c r="C3" s="885">
        <v>40909</v>
      </c>
      <c r="D3" s="885">
        <v>40942</v>
      </c>
      <c r="E3" s="885">
        <v>40975</v>
      </c>
      <c r="F3" s="885">
        <v>41008</v>
      </c>
      <c r="G3" s="885">
        <v>41041</v>
      </c>
      <c r="H3" s="885">
        <v>41074</v>
      </c>
      <c r="I3" s="885">
        <v>41107</v>
      </c>
      <c r="J3" s="885">
        <v>41140</v>
      </c>
      <c r="K3" s="885">
        <v>41173</v>
      </c>
      <c r="L3" s="885">
        <v>41206</v>
      </c>
      <c r="M3" s="885">
        <v>41239</v>
      </c>
      <c r="N3" s="885">
        <v>41272</v>
      </c>
      <c r="O3" s="885">
        <v>41282</v>
      </c>
      <c r="P3" s="885">
        <v>41312</v>
      </c>
      <c r="Q3" s="885">
        <v>41342</v>
      </c>
      <c r="R3" s="885">
        <v>41372</v>
      </c>
      <c r="S3" s="885">
        <v>41402</v>
      </c>
      <c r="T3" s="885">
        <v>41432</v>
      </c>
      <c r="U3" s="885">
        <v>41462</v>
      </c>
      <c r="V3" s="885">
        <v>41492</v>
      </c>
      <c r="W3" s="885">
        <v>41522</v>
      </c>
      <c r="X3" s="885">
        <v>41552</v>
      </c>
      <c r="Y3" s="885">
        <v>41582</v>
      </c>
      <c r="Z3" s="885">
        <v>41612</v>
      </c>
      <c r="AA3" s="885">
        <v>41642</v>
      </c>
      <c r="AB3" s="885">
        <v>41675</v>
      </c>
      <c r="AC3" s="885">
        <v>41708</v>
      </c>
      <c r="AD3" s="885">
        <v>41741</v>
      </c>
      <c r="AE3" s="885">
        <v>41774</v>
      </c>
      <c r="AF3" s="885">
        <v>41807</v>
      </c>
      <c r="AG3" s="885">
        <v>41840</v>
      </c>
      <c r="AH3" s="885">
        <v>41873</v>
      </c>
      <c r="AI3" s="885">
        <v>41906</v>
      </c>
      <c r="AJ3" s="885">
        <v>41939</v>
      </c>
      <c r="AK3" s="885">
        <v>41972</v>
      </c>
      <c r="AL3" s="885">
        <v>41982</v>
      </c>
      <c r="AM3" s="885">
        <v>42012</v>
      </c>
      <c r="AN3" s="885">
        <v>42042</v>
      </c>
      <c r="AO3" s="885">
        <v>42072</v>
      </c>
      <c r="AP3" s="885">
        <v>42102</v>
      </c>
      <c r="AQ3" s="885">
        <v>42132</v>
      </c>
      <c r="AR3" s="885">
        <v>42162</v>
      </c>
      <c r="AS3" s="885">
        <v>42192</v>
      </c>
      <c r="AT3" s="885">
        <v>42222</v>
      </c>
      <c r="AU3" s="885">
        <v>42252</v>
      </c>
      <c r="AV3" s="885">
        <v>42282</v>
      </c>
      <c r="AW3" s="885">
        <v>42312</v>
      </c>
      <c r="AX3" s="885">
        <v>42342</v>
      </c>
      <c r="AY3" s="885">
        <v>42372</v>
      </c>
      <c r="AZ3" s="885">
        <v>42402</v>
      </c>
      <c r="BA3" s="885">
        <v>42432</v>
      </c>
      <c r="BB3" s="885">
        <v>42462</v>
      </c>
      <c r="BC3" s="885">
        <v>42492</v>
      </c>
      <c r="BD3" s="885">
        <v>42522</v>
      </c>
      <c r="BE3" s="885">
        <v>42552</v>
      </c>
      <c r="BF3" s="885">
        <v>42582</v>
      </c>
      <c r="BG3" s="885">
        <v>42612</v>
      </c>
      <c r="BH3" s="885">
        <v>42642</v>
      </c>
      <c r="BI3" s="885">
        <v>42672</v>
      </c>
      <c r="BJ3" s="885">
        <v>42702</v>
      </c>
      <c r="BK3" s="885">
        <v>42732</v>
      </c>
      <c r="BL3" s="885">
        <v>42762</v>
      </c>
      <c r="BM3" s="885">
        <v>42792</v>
      </c>
      <c r="BN3" s="885">
        <v>42822</v>
      </c>
      <c r="BO3" s="885">
        <v>42852</v>
      </c>
      <c r="BP3" s="885">
        <v>42882</v>
      </c>
      <c r="BQ3" s="885">
        <v>42912</v>
      </c>
      <c r="BR3" s="885">
        <v>42942</v>
      </c>
      <c r="BS3" s="885">
        <v>42972</v>
      </c>
      <c r="BT3" s="885">
        <v>43002</v>
      </c>
      <c r="BU3" s="885">
        <v>43032</v>
      </c>
      <c r="BV3" s="885">
        <v>43062</v>
      </c>
      <c r="BW3" s="885">
        <v>43092</v>
      </c>
    </row>
    <row r="5" spans="2:75" x14ac:dyDescent="0.35">
      <c r="B5" s="574" t="s">
        <v>51</v>
      </c>
      <c r="C5" s="579">
        <v>141198.6</v>
      </c>
      <c r="D5" s="579">
        <v>161800.12</v>
      </c>
      <c r="E5" s="579">
        <v>168911.1</v>
      </c>
      <c r="F5" s="579">
        <v>172829.16</v>
      </c>
      <c r="G5" s="579">
        <v>178814.28</v>
      </c>
      <c r="H5" s="579">
        <v>180033.28</v>
      </c>
      <c r="I5" s="579">
        <v>188816.75</v>
      </c>
      <c r="J5" s="579">
        <v>209850.96000000002</v>
      </c>
      <c r="K5" s="579">
        <v>222747.24</v>
      </c>
      <c r="L5" s="579">
        <v>234383.51</v>
      </c>
      <c r="M5" s="579">
        <v>248406.51</v>
      </c>
      <c r="N5" s="579">
        <v>255582.27000000002</v>
      </c>
      <c r="O5" s="579">
        <v>264164.8</v>
      </c>
      <c r="P5" s="579">
        <v>280415.81</v>
      </c>
      <c r="Q5" s="579">
        <v>287238.53999999998</v>
      </c>
      <c r="R5" s="579">
        <v>299315.68</v>
      </c>
      <c r="S5" s="579">
        <v>324498.96000000002</v>
      </c>
      <c r="T5" s="579">
        <v>336671.58999999997</v>
      </c>
      <c r="U5" s="579">
        <v>349957.82</v>
      </c>
      <c r="V5" s="579">
        <v>349957.82</v>
      </c>
      <c r="W5" s="579">
        <v>369664.7</v>
      </c>
      <c r="X5" s="579">
        <v>382658.59</v>
      </c>
      <c r="Y5" s="579">
        <v>478935.35</v>
      </c>
      <c r="Z5" s="579">
        <v>478935.35</v>
      </c>
      <c r="AA5" s="579">
        <v>478935.35</v>
      </c>
      <c r="AB5" s="579">
        <v>478935.35</v>
      </c>
      <c r="AC5" s="579">
        <v>478935.35</v>
      </c>
      <c r="AD5" s="579">
        <v>478935.35</v>
      </c>
      <c r="AE5" s="579">
        <v>478935.35</v>
      </c>
      <c r="AF5" s="579">
        <v>478935.35</v>
      </c>
      <c r="AG5" s="579">
        <v>478935.35</v>
      </c>
      <c r="AH5" s="579">
        <v>478935.35</v>
      </c>
      <c r="AI5" s="579">
        <v>478935.35</v>
      </c>
      <c r="AJ5" s="579">
        <v>478935.35</v>
      </c>
      <c r="AK5" s="579">
        <v>478935.35</v>
      </c>
      <c r="AL5" s="579">
        <v>478935.35</v>
      </c>
      <c r="AM5" s="579">
        <v>478935.35</v>
      </c>
      <c r="AN5" s="579">
        <v>478935.35</v>
      </c>
      <c r="AO5" s="579">
        <v>478935.35</v>
      </c>
      <c r="AP5" s="579">
        <v>478935.35</v>
      </c>
      <c r="AQ5" s="579">
        <v>478935.35</v>
      </c>
      <c r="AR5" s="579">
        <v>478935.35</v>
      </c>
      <c r="AS5" s="579">
        <v>478935.35</v>
      </c>
      <c r="AT5" s="579">
        <v>478935.35</v>
      </c>
      <c r="AU5" s="579">
        <v>478935.35</v>
      </c>
      <c r="AV5" s="579">
        <v>478935.35</v>
      </c>
      <c r="AW5" s="579">
        <v>478935.35</v>
      </c>
      <c r="AX5" s="579">
        <v>478935.35</v>
      </c>
      <c r="AY5" s="579">
        <v>478935.35</v>
      </c>
      <c r="AZ5" s="579">
        <v>478935.35</v>
      </c>
      <c r="BA5" s="579">
        <v>478935.35</v>
      </c>
      <c r="BB5" s="579">
        <v>478935.35</v>
      </c>
      <c r="BC5" s="579">
        <v>478935.35</v>
      </c>
      <c r="BD5" s="579">
        <v>478935.35</v>
      </c>
      <c r="BE5" s="579">
        <v>478935.35</v>
      </c>
      <c r="BF5" s="579">
        <v>478935.35</v>
      </c>
      <c r="BG5" s="579">
        <v>478935.35</v>
      </c>
      <c r="BH5" s="579">
        <v>478935.35</v>
      </c>
      <c r="BI5" s="579">
        <v>478935.35</v>
      </c>
      <c r="BJ5" s="579">
        <v>478935.35</v>
      </c>
      <c r="BK5" s="579">
        <v>478935.35</v>
      </c>
      <c r="BL5" s="579">
        <v>478935.35</v>
      </c>
      <c r="BM5" s="579">
        <v>478935.35</v>
      </c>
      <c r="BN5" s="579">
        <v>478935.35</v>
      </c>
      <c r="BO5" s="579">
        <v>478935.35</v>
      </c>
      <c r="BP5" s="579">
        <v>478935.35</v>
      </c>
      <c r="BQ5" s="579">
        <v>478935.35</v>
      </c>
      <c r="BR5" s="579">
        <v>478935.35</v>
      </c>
      <c r="BS5" s="579">
        <v>478935.35</v>
      </c>
      <c r="BT5" s="579">
        <v>478935.35</v>
      </c>
      <c r="BU5" s="579">
        <v>478935.35</v>
      </c>
      <c r="BV5" s="579">
        <v>478935.35</v>
      </c>
      <c r="BW5" s="579">
        <v>478935.35</v>
      </c>
    </row>
    <row r="6" spans="2:75" x14ac:dyDescent="0.35">
      <c r="B6" s="230" t="s">
        <v>444</v>
      </c>
      <c r="C6" s="227">
        <v>315759.84999999998</v>
      </c>
      <c r="D6" s="579">
        <v>324949.84999999998</v>
      </c>
      <c r="E6" s="579">
        <v>324949.84999999998</v>
      </c>
      <c r="F6" s="579">
        <v>341008.32</v>
      </c>
      <c r="G6" s="579">
        <v>373612.26</v>
      </c>
      <c r="H6" s="579">
        <v>373612.26</v>
      </c>
      <c r="I6" s="579">
        <v>374118.25</v>
      </c>
      <c r="J6" s="579">
        <v>376518.25</v>
      </c>
      <c r="K6" s="579">
        <v>376518.25</v>
      </c>
      <c r="L6" s="579">
        <v>376518.25</v>
      </c>
      <c r="M6" s="579">
        <v>416973.49</v>
      </c>
      <c r="N6" s="579">
        <v>416973.49</v>
      </c>
      <c r="O6" s="579">
        <v>416384.7</v>
      </c>
      <c r="P6" s="579">
        <v>431756.89</v>
      </c>
      <c r="Q6" s="579">
        <v>482146.62</v>
      </c>
      <c r="R6" s="579">
        <v>502147.06999999995</v>
      </c>
      <c r="S6" s="579">
        <v>511947.06999999995</v>
      </c>
      <c r="T6" s="579">
        <v>511947.06999999995</v>
      </c>
      <c r="U6" s="579">
        <v>511947.06999999995</v>
      </c>
      <c r="V6" s="579">
        <v>515595.75</v>
      </c>
      <c r="W6" s="579">
        <v>521881.78</v>
      </c>
      <c r="X6" s="579">
        <v>522745.63</v>
      </c>
      <c r="Y6" s="579">
        <v>522745.63</v>
      </c>
      <c r="Z6" s="579">
        <v>522745.63</v>
      </c>
      <c r="AA6" s="579">
        <v>522745.63</v>
      </c>
      <c r="AB6" s="579">
        <v>522745.63</v>
      </c>
      <c r="AC6" s="579">
        <v>522745.63</v>
      </c>
      <c r="AD6" s="579">
        <v>522745.63</v>
      </c>
      <c r="AE6" s="579">
        <v>522745.63</v>
      </c>
      <c r="AF6" s="579">
        <v>522745.63</v>
      </c>
      <c r="AG6" s="579">
        <v>522745.63</v>
      </c>
      <c r="AH6" s="579">
        <v>522745.63</v>
      </c>
      <c r="AI6" s="579">
        <v>522745.63</v>
      </c>
      <c r="AJ6" s="579">
        <v>522745.63</v>
      </c>
      <c r="AK6" s="579">
        <v>522745.63</v>
      </c>
      <c r="AL6" s="579">
        <v>522745.63</v>
      </c>
      <c r="AM6" s="579">
        <v>522745.63</v>
      </c>
      <c r="AN6" s="579">
        <v>522745.63</v>
      </c>
      <c r="AO6" s="579">
        <v>522745.63</v>
      </c>
      <c r="AP6" s="579">
        <v>522745.63</v>
      </c>
      <c r="AQ6" s="579">
        <v>522745.63</v>
      </c>
      <c r="AR6" s="579">
        <v>522745.63</v>
      </c>
      <c r="AS6" s="579">
        <v>522745.63</v>
      </c>
      <c r="AT6" s="579">
        <v>522745.63</v>
      </c>
      <c r="AU6" s="579">
        <v>522745.63</v>
      </c>
      <c r="AV6" s="579">
        <v>522745.63</v>
      </c>
      <c r="AW6" s="579">
        <v>522745.63</v>
      </c>
      <c r="AX6" s="579">
        <v>522745.63</v>
      </c>
      <c r="AY6" s="579">
        <v>522745.63</v>
      </c>
      <c r="AZ6" s="579">
        <v>522745.63</v>
      </c>
      <c r="BA6" s="579">
        <v>522745.63</v>
      </c>
      <c r="BB6" s="579">
        <v>522745.63</v>
      </c>
      <c r="BC6" s="579">
        <v>522745.63</v>
      </c>
      <c r="BD6" s="579">
        <v>522745.63</v>
      </c>
      <c r="BE6" s="579">
        <v>522745.63</v>
      </c>
      <c r="BF6" s="579">
        <v>522745.63</v>
      </c>
      <c r="BG6" s="579">
        <v>522745.63</v>
      </c>
      <c r="BH6" s="579">
        <v>522745.63</v>
      </c>
      <c r="BI6" s="579">
        <v>522745.63</v>
      </c>
      <c r="BJ6" s="579">
        <v>522745.63</v>
      </c>
      <c r="BK6" s="579">
        <v>522745.63</v>
      </c>
      <c r="BL6" s="579">
        <v>522745.63</v>
      </c>
      <c r="BM6" s="579">
        <v>522745.63</v>
      </c>
      <c r="BN6" s="579">
        <v>522745.63</v>
      </c>
      <c r="BO6" s="579">
        <v>522745.63</v>
      </c>
      <c r="BP6" s="579">
        <v>522745.63</v>
      </c>
      <c r="BQ6" s="579">
        <v>522745.63</v>
      </c>
      <c r="BR6" s="579">
        <v>522745.63</v>
      </c>
      <c r="BS6" s="579">
        <v>522745.63</v>
      </c>
      <c r="BT6" s="579">
        <v>522745.63</v>
      </c>
      <c r="BU6" s="579">
        <v>522745.63</v>
      </c>
      <c r="BV6" s="579">
        <v>522745.63</v>
      </c>
      <c r="BW6" s="579">
        <v>522745.63</v>
      </c>
    </row>
    <row r="7" spans="2:75" x14ac:dyDescent="0.35">
      <c r="B7" s="574" t="s">
        <v>67</v>
      </c>
      <c r="C7" s="227">
        <v>9190</v>
      </c>
      <c r="D7" s="227">
        <v>9190</v>
      </c>
      <c r="E7" s="227">
        <v>9190</v>
      </c>
      <c r="F7" s="227">
        <v>9190</v>
      </c>
      <c r="G7" s="227">
        <v>9190</v>
      </c>
      <c r="H7" s="227">
        <v>9190</v>
      </c>
      <c r="I7" s="227">
        <v>11590</v>
      </c>
      <c r="J7" s="227">
        <v>11590</v>
      </c>
      <c r="K7" s="579">
        <v>11590</v>
      </c>
      <c r="L7" s="579">
        <v>12539</v>
      </c>
      <c r="M7" s="579">
        <v>12539</v>
      </c>
      <c r="N7" s="579">
        <v>11950.2</v>
      </c>
      <c r="O7" s="579">
        <v>11950.2</v>
      </c>
      <c r="P7" s="579">
        <v>12278.16</v>
      </c>
      <c r="Q7" s="579">
        <v>17375.16</v>
      </c>
      <c r="R7" s="579">
        <v>27175.16</v>
      </c>
      <c r="S7" s="579">
        <v>27175.16</v>
      </c>
      <c r="T7" s="579">
        <v>27175.16</v>
      </c>
      <c r="U7" s="579">
        <v>30823.84</v>
      </c>
      <c r="V7" s="579">
        <v>32722.84</v>
      </c>
      <c r="W7" s="579">
        <v>33586.69</v>
      </c>
      <c r="X7" s="579">
        <v>33586.69</v>
      </c>
      <c r="Y7" s="579">
        <v>33586.69</v>
      </c>
      <c r="Z7" s="579">
        <v>33586.69</v>
      </c>
      <c r="AA7" s="579">
        <v>33586.69</v>
      </c>
      <c r="AB7" s="579">
        <v>33586.69</v>
      </c>
      <c r="AC7" s="579">
        <v>33586.69</v>
      </c>
      <c r="AD7" s="579">
        <v>33586.69</v>
      </c>
      <c r="AE7" s="579">
        <v>33586.69</v>
      </c>
      <c r="AF7" s="579">
        <v>33586.69</v>
      </c>
      <c r="AG7" s="579">
        <v>33586.69</v>
      </c>
      <c r="AH7" s="579">
        <v>33586.69</v>
      </c>
      <c r="AI7" s="579">
        <v>33586.69</v>
      </c>
      <c r="AJ7" s="579">
        <v>33586.69</v>
      </c>
      <c r="AK7" s="579">
        <v>33586.69</v>
      </c>
      <c r="AL7" s="579">
        <v>33586.69</v>
      </c>
      <c r="AM7" s="579">
        <v>33586.69</v>
      </c>
      <c r="AN7" s="579">
        <v>33586.69</v>
      </c>
      <c r="AO7" s="579">
        <v>33586.69</v>
      </c>
      <c r="AP7" s="579">
        <v>33586.69</v>
      </c>
      <c r="AQ7" s="579">
        <v>33586.69</v>
      </c>
      <c r="AR7" s="579">
        <v>33586.69</v>
      </c>
      <c r="AS7" s="579">
        <v>33586.69</v>
      </c>
      <c r="AT7" s="579">
        <v>33586.69</v>
      </c>
      <c r="AU7" s="579">
        <v>33586.69</v>
      </c>
      <c r="AV7" s="579">
        <v>33586.69</v>
      </c>
      <c r="AW7" s="579">
        <v>33586.69</v>
      </c>
      <c r="AX7" s="579">
        <v>33586.69</v>
      </c>
      <c r="AY7" s="579">
        <v>33586.69</v>
      </c>
      <c r="AZ7" s="579">
        <v>33586.69</v>
      </c>
      <c r="BA7" s="579">
        <v>33586.69</v>
      </c>
      <c r="BB7" s="579">
        <v>33586.69</v>
      </c>
      <c r="BC7" s="579">
        <v>33586.69</v>
      </c>
      <c r="BD7" s="579">
        <v>33586.69</v>
      </c>
      <c r="BE7" s="579">
        <v>33586.69</v>
      </c>
      <c r="BF7" s="579">
        <v>33586.69</v>
      </c>
      <c r="BG7" s="579">
        <v>33586.69</v>
      </c>
      <c r="BH7" s="579">
        <v>33586.69</v>
      </c>
      <c r="BI7" s="579">
        <v>33586.69</v>
      </c>
      <c r="BJ7" s="579">
        <v>33586.69</v>
      </c>
      <c r="BK7" s="579">
        <v>33586.69</v>
      </c>
      <c r="BL7" s="579">
        <v>33586.69</v>
      </c>
      <c r="BM7" s="579">
        <v>33586.69</v>
      </c>
      <c r="BN7" s="579">
        <v>33586.69</v>
      </c>
      <c r="BO7" s="579">
        <v>33586.69</v>
      </c>
      <c r="BP7" s="579">
        <v>33586.69</v>
      </c>
      <c r="BQ7" s="579">
        <v>33586.69</v>
      </c>
      <c r="BR7" s="579">
        <v>33586.69</v>
      </c>
      <c r="BS7" s="579">
        <v>33586.69</v>
      </c>
      <c r="BT7" s="579">
        <v>33586.69</v>
      </c>
      <c r="BU7" s="579">
        <v>33586.69</v>
      </c>
      <c r="BV7" s="579">
        <v>33586.69</v>
      </c>
      <c r="BW7" s="579">
        <v>33586.69</v>
      </c>
    </row>
    <row r="8" spans="2:75" ht="15" thickBot="1" x14ac:dyDescent="0.4">
      <c r="B8" s="913" t="s">
        <v>52</v>
      </c>
      <c r="C8" s="914">
        <v>0</v>
      </c>
      <c r="D8" s="914">
        <f t="shared" ref="D8:Z8" si="0">SUM(D5:D6)</f>
        <v>486749.97</v>
      </c>
      <c r="E8" s="914">
        <f t="shared" si="0"/>
        <v>493860.94999999995</v>
      </c>
      <c r="F8" s="914">
        <f t="shared" si="0"/>
        <v>513837.48</v>
      </c>
      <c r="G8" s="914">
        <f t="shared" si="0"/>
        <v>552426.54</v>
      </c>
      <c r="H8" s="914">
        <f t="shared" si="0"/>
        <v>553645.54</v>
      </c>
      <c r="I8" s="914">
        <f t="shared" si="0"/>
        <v>562935</v>
      </c>
      <c r="J8" s="914">
        <f t="shared" si="0"/>
        <v>586369.21</v>
      </c>
      <c r="K8" s="914">
        <f t="shared" si="0"/>
        <v>599265.49</v>
      </c>
      <c r="L8" s="914">
        <f t="shared" si="0"/>
        <v>610901.76000000001</v>
      </c>
      <c r="M8" s="914">
        <f t="shared" si="0"/>
        <v>665380</v>
      </c>
      <c r="N8" s="914">
        <f t="shared" si="0"/>
        <v>672555.76</v>
      </c>
      <c r="O8" s="915">
        <f t="shared" si="0"/>
        <v>680549.5</v>
      </c>
      <c r="P8" s="915">
        <f t="shared" si="0"/>
        <v>712172.7</v>
      </c>
      <c r="Q8" s="915">
        <f t="shared" si="0"/>
        <v>769385.15999999992</v>
      </c>
      <c r="R8" s="915">
        <f t="shared" si="0"/>
        <v>801462.75</v>
      </c>
      <c r="S8" s="915">
        <f t="shared" si="0"/>
        <v>836446.03</v>
      </c>
      <c r="T8" s="915">
        <f t="shared" si="0"/>
        <v>848618.65999999992</v>
      </c>
      <c r="U8" s="915">
        <f t="shared" si="0"/>
        <v>861904.8899999999</v>
      </c>
      <c r="V8" s="915">
        <f t="shared" si="0"/>
        <v>865553.57000000007</v>
      </c>
      <c r="W8" s="915">
        <f t="shared" si="0"/>
        <v>891546.48</v>
      </c>
      <c r="X8" s="915">
        <f t="shared" si="0"/>
        <v>905404.22</v>
      </c>
      <c r="Y8" s="914">
        <f t="shared" si="0"/>
        <v>1001680.98</v>
      </c>
      <c r="Z8" s="914">
        <f t="shared" si="0"/>
        <v>1001680.98</v>
      </c>
      <c r="AA8" s="914">
        <f t="shared" ref="AA8:AY8" si="1">SUM(AA5:AA6)</f>
        <v>1001680.98</v>
      </c>
      <c r="AB8" s="914">
        <f t="shared" si="1"/>
        <v>1001680.98</v>
      </c>
      <c r="AC8" s="914">
        <f t="shared" si="1"/>
        <v>1001680.98</v>
      </c>
      <c r="AD8" s="914">
        <f t="shared" si="1"/>
        <v>1001680.98</v>
      </c>
      <c r="AE8" s="914">
        <f t="shared" si="1"/>
        <v>1001680.98</v>
      </c>
      <c r="AF8" s="914">
        <f t="shared" si="1"/>
        <v>1001680.98</v>
      </c>
      <c r="AG8" s="914">
        <f t="shared" si="1"/>
        <v>1001680.98</v>
      </c>
      <c r="AH8" s="914">
        <f t="shared" si="1"/>
        <v>1001680.98</v>
      </c>
      <c r="AI8" s="914">
        <f t="shared" si="1"/>
        <v>1001680.98</v>
      </c>
      <c r="AJ8" s="914">
        <f t="shared" si="1"/>
        <v>1001680.98</v>
      </c>
      <c r="AK8" s="914">
        <f t="shared" si="1"/>
        <v>1001680.98</v>
      </c>
      <c r="AL8" s="914">
        <f t="shared" si="1"/>
        <v>1001680.98</v>
      </c>
      <c r="AM8" s="914">
        <f t="shared" si="1"/>
        <v>1001680.98</v>
      </c>
      <c r="AN8" s="914">
        <f t="shared" si="1"/>
        <v>1001680.98</v>
      </c>
      <c r="AO8" s="914">
        <f t="shared" si="1"/>
        <v>1001680.98</v>
      </c>
      <c r="AP8" s="914">
        <f t="shared" si="1"/>
        <v>1001680.98</v>
      </c>
      <c r="AQ8" s="914">
        <f t="shared" si="1"/>
        <v>1001680.98</v>
      </c>
      <c r="AR8" s="914">
        <f t="shared" si="1"/>
        <v>1001680.98</v>
      </c>
      <c r="AS8" s="914">
        <f t="shared" si="1"/>
        <v>1001680.98</v>
      </c>
      <c r="AT8" s="914">
        <f t="shared" si="1"/>
        <v>1001680.98</v>
      </c>
      <c r="AU8" s="914">
        <f t="shared" si="1"/>
        <v>1001680.98</v>
      </c>
      <c r="AV8" s="914">
        <f t="shared" si="1"/>
        <v>1001680.98</v>
      </c>
      <c r="AW8" s="914">
        <f t="shared" si="1"/>
        <v>1001680.98</v>
      </c>
      <c r="AX8" s="914">
        <f t="shared" si="1"/>
        <v>1001680.98</v>
      </c>
      <c r="AY8" s="914">
        <f t="shared" si="1"/>
        <v>1001680.98</v>
      </c>
      <c r="AZ8" s="914">
        <f t="shared" ref="AZ8:BW8" si="2">SUM(AZ5:AZ6)</f>
        <v>1001680.98</v>
      </c>
      <c r="BA8" s="914">
        <f t="shared" si="2"/>
        <v>1001680.98</v>
      </c>
      <c r="BB8" s="914">
        <f t="shared" si="2"/>
        <v>1001680.98</v>
      </c>
      <c r="BC8" s="914">
        <f t="shared" si="2"/>
        <v>1001680.98</v>
      </c>
      <c r="BD8" s="914">
        <f t="shared" si="2"/>
        <v>1001680.98</v>
      </c>
      <c r="BE8" s="914">
        <f t="shared" si="2"/>
        <v>1001680.98</v>
      </c>
      <c r="BF8" s="914">
        <f t="shared" si="2"/>
        <v>1001680.98</v>
      </c>
      <c r="BG8" s="914">
        <f t="shared" si="2"/>
        <v>1001680.98</v>
      </c>
      <c r="BH8" s="914">
        <f t="shared" si="2"/>
        <v>1001680.98</v>
      </c>
      <c r="BI8" s="914">
        <f t="shared" si="2"/>
        <v>1001680.98</v>
      </c>
      <c r="BJ8" s="914">
        <f t="shared" si="2"/>
        <v>1001680.98</v>
      </c>
      <c r="BK8" s="914">
        <f t="shared" si="2"/>
        <v>1001680.98</v>
      </c>
      <c r="BL8" s="914">
        <f t="shared" si="2"/>
        <v>1001680.98</v>
      </c>
      <c r="BM8" s="914">
        <f t="shared" si="2"/>
        <v>1001680.98</v>
      </c>
      <c r="BN8" s="914">
        <f t="shared" si="2"/>
        <v>1001680.98</v>
      </c>
      <c r="BO8" s="914">
        <f t="shared" si="2"/>
        <v>1001680.98</v>
      </c>
      <c r="BP8" s="914">
        <f t="shared" si="2"/>
        <v>1001680.98</v>
      </c>
      <c r="BQ8" s="914">
        <f t="shared" si="2"/>
        <v>1001680.98</v>
      </c>
      <c r="BR8" s="914">
        <f t="shared" si="2"/>
        <v>1001680.98</v>
      </c>
      <c r="BS8" s="914">
        <f t="shared" si="2"/>
        <v>1001680.98</v>
      </c>
      <c r="BT8" s="914">
        <f t="shared" si="2"/>
        <v>1001680.98</v>
      </c>
      <c r="BU8" s="914">
        <f t="shared" si="2"/>
        <v>1001680.98</v>
      </c>
      <c r="BV8" s="914">
        <f t="shared" si="2"/>
        <v>1001680.98</v>
      </c>
      <c r="BW8" s="914">
        <f t="shared" si="2"/>
        <v>1001680.98</v>
      </c>
    </row>
    <row r="9" spans="2:75" ht="15" thickTop="1" x14ac:dyDescent="0.35">
      <c r="C9" s="579"/>
      <c r="D9" s="579"/>
      <c r="E9" s="579"/>
      <c r="F9" s="579"/>
      <c r="G9" s="579"/>
      <c r="H9" s="579"/>
      <c r="I9" s="579"/>
      <c r="J9" s="579"/>
      <c r="K9" s="579"/>
      <c r="L9" s="579"/>
      <c r="M9" s="579"/>
      <c r="N9" s="579"/>
      <c r="O9" s="579"/>
      <c r="P9" s="579"/>
      <c r="Q9" s="579"/>
      <c r="R9" s="579"/>
      <c r="S9" s="579"/>
      <c r="T9" s="579"/>
      <c r="U9" s="579"/>
      <c r="V9" s="579"/>
      <c r="W9" s="579"/>
      <c r="X9" s="579"/>
      <c r="Y9" s="579"/>
      <c r="Z9" s="579"/>
    </row>
    <row r="10" spans="2:75" x14ac:dyDescent="0.35">
      <c r="B10" s="574" t="s">
        <v>53</v>
      </c>
      <c r="C10" s="579">
        <v>0</v>
      </c>
      <c r="D10" s="579">
        <f t="shared" ref="D10:N10" si="3">+C10</f>
        <v>0</v>
      </c>
      <c r="E10" s="579">
        <f t="shared" si="3"/>
        <v>0</v>
      </c>
      <c r="F10" s="579">
        <f t="shared" si="3"/>
        <v>0</v>
      </c>
      <c r="G10" s="579">
        <f t="shared" si="3"/>
        <v>0</v>
      </c>
      <c r="H10" s="579">
        <v>0</v>
      </c>
      <c r="I10" s="579">
        <f t="shared" si="3"/>
        <v>0</v>
      </c>
      <c r="J10" s="579">
        <f t="shared" si="3"/>
        <v>0</v>
      </c>
      <c r="K10" s="579">
        <f t="shared" si="3"/>
        <v>0</v>
      </c>
      <c r="L10" s="579">
        <f t="shared" si="3"/>
        <v>0</v>
      </c>
      <c r="M10" s="579">
        <f t="shared" si="3"/>
        <v>0</v>
      </c>
      <c r="N10" s="579">
        <f t="shared" si="3"/>
        <v>0</v>
      </c>
      <c r="O10" s="579">
        <f>+N10</f>
        <v>0</v>
      </c>
      <c r="P10" s="579">
        <f t="shared" ref="P10:Z10" si="4">+O10</f>
        <v>0</v>
      </c>
      <c r="Q10" s="579">
        <f t="shared" si="4"/>
        <v>0</v>
      </c>
      <c r="R10" s="579">
        <f t="shared" si="4"/>
        <v>0</v>
      </c>
      <c r="S10" s="579">
        <f t="shared" si="4"/>
        <v>0</v>
      </c>
      <c r="T10" s="579">
        <f t="shared" si="4"/>
        <v>0</v>
      </c>
      <c r="U10" s="579">
        <f t="shared" si="4"/>
        <v>0</v>
      </c>
      <c r="V10" s="579">
        <f t="shared" si="4"/>
        <v>0</v>
      </c>
      <c r="W10" s="579">
        <f t="shared" si="4"/>
        <v>0</v>
      </c>
      <c r="X10" s="579">
        <f t="shared" si="4"/>
        <v>0</v>
      </c>
      <c r="Y10" s="579">
        <f t="shared" si="4"/>
        <v>0</v>
      </c>
      <c r="Z10" s="579">
        <f t="shared" si="4"/>
        <v>0</v>
      </c>
    </row>
    <row r="11" spans="2:75" x14ac:dyDescent="0.35">
      <c r="B11" s="772" t="s">
        <v>441</v>
      </c>
      <c r="C11" s="948"/>
      <c r="D11" s="948"/>
      <c r="E11" s="948"/>
      <c r="F11" s="948"/>
      <c r="G11" s="948"/>
      <c r="H11" s="948"/>
      <c r="I11" s="948"/>
      <c r="J11" s="948"/>
      <c r="K11" s="948"/>
      <c r="L11" s="948"/>
      <c r="M11" s="948"/>
      <c r="N11" s="948"/>
      <c r="O11" s="948"/>
      <c r="P11" s="948"/>
      <c r="Q11" s="948"/>
      <c r="R11" s="948"/>
      <c r="S11" s="948"/>
      <c r="T11" s="948"/>
      <c r="U11" s="948"/>
      <c r="V11" s="948"/>
      <c r="W11" s="948"/>
      <c r="X11" s="948"/>
      <c r="Y11" s="948"/>
      <c r="Z11" s="948"/>
      <c r="AA11" s="948"/>
      <c r="AB11" s="948"/>
      <c r="AC11" s="948"/>
      <c r="AD11" s="948"/>
      <c r="AE11" s="948"/>
      <c r="AF11" s="948"/>
      <c r="AG11" s="948"/>
      <c r="AH11" s="948"/>
      <c r="AI11" s="948"/>
      <c r="AJ11" s="948"/>
      <c r="AK11" s="948"/>
      <c r="AL11" s="948"/>
      <c r="AM11" s="948"/>
      <c r="AN11" s="948"/>
      <c r="AO11" s="948"/>
      <c r="AP11" s="948"/>
      <c r="AQ11" s="948"/>
      <c r="AR11" s="948"/>
      <c r="AS11" s="948"/>
      <c r="AT11" s="948"/>
      <c r="AU11" s="948"/>
      <c r="AV11" s="948"/>
      <c r="AW11" s="948"/>
      <c r="AX11" s="948"/>
      <c r="AY11" s="948"/>
      <c r="AZ11" s="948"/>
      <c r="BA11" s="948"/>
      <c r="BB11" s="948"/>
      <c r="BC11" s="948"/>
      <c r="BD11" s="948"/>
      <c r="BE11" s="948"/>
      <c r="BF11" s="948"/>
      <c r="BG11" s="948"/>
      <c r="BH11" s="948"/>
      <c r="BI11" s="948"/>
      <c r="BJ11" s="948"/>
      <c r="BK11" s="948"/>
      <c r="BL11" s="948"/>
      <c r="BM11" s="948"/>
      <c r="BN11" s="948"/>
      <c r="BO11" s="948"/>
      <c r="BP11" s="948"/>
      <c r="BQ11" s="948"/>
      <c r="BR11" s="948"/>
      <c r="BS11" s="948"/>
      <c r="BT11" s="948"/>
      <c r="BU11" s="948"/>
      <c r="BV11" s="948"/>
      <c r="BW11" s="948"/>
    </row>
    <row r="12" spans="2:75" x14ac:dyDescent="0.35">
      <c r="B12" s="1010" t="s">
        <v>54</v>
      </c>
      <c r="C12" s="579">
        <v>0</v>
      </c>
      <c r="D12" s="579">
        <v>0</v>
      </c>
      <c r="E12" s="579">
        <v>0</v>
      </c>
      <c r="F12" s="579">
        <v>0</v>
      </c>
      <c r="G12" s="579">
        <v>0</v>
      </c>
      <c r="H12" s="579">
        <v>0</v>
      </c>
      <c r="I12" s="579">
        <v>0</v>
      </c>
      <c r="J12" s="579">
        <v>0</v>
      </c>
      <c r="K12" s="579">
        <v>0</v>
      </c>
      <c r="L12" s="579">
        <v>0</v>
      </c>
      <c r="M12" s="579">
        <v>0</v>
      </c>
      <c r="N12" s="579">
        <v>0</v>
      </c>
      <c r="O12" s="579">
        <v>0</v>
      </c>
      <c r="P12" s="579">
        <v>0</v>
      </c>
      <c r="Q12" s="579">
        <v>0</v>
      </c>
      <c r="R12" s="579">
        <v>0</v>
      </c>
      <c r="S12" s="579">
        <v>0</v>
      </c>
      <c r="T12" s="579">
        <v>0</v>
      </c>
      <c r="U12" s="579">
        <v>0</v>
      </c>
      <c r="V12" s="579">
        <v>0</v>
      </c>
      <c r="W12" s="579">
        <v>0</v>
      </c>
      <c r="X12" s="579">
        <v>0</v>
      </c>
      <c r="Y12" s="579">
        <v>0</v>
      </c>
      <c r="Z12" s="579">
        <v>0</v>
      </c>
    </row>
    <row r="13" spans="2:75" x14ac:dyDescent="0.35">
      <c r="B13" s="1011" t="s">
        <v>55</v>
      </c>
      <c r="C13" s="579">
        <v>0</v>
      </c>
      <c r="D13" s="579">
        <v>0</v>
      </c>
      <c r="E13" s="579">
        <v>0</v>
      </c>
      <c r="F13" s="579">
        <v>0</v>
      </c>
      <c r="G13" s="579">
        <v>0</v>
      </c>
      <c r="H13" s="579">
        <v>0</v>
      </c>
      <c r="I13" s="579">
        <v>0</v>
      </c>
      <c r="J13" s="579">
        <v>0</v>
      </c>
      <c r="K13" s="579">
        <v>0</v>
      </c>
      <c r="L13" s="579">
        <v>0</v>
      </c>
      <c r="M13" s="579">
        <v>0</v>
      </c>
      <c r="N13" s="579">
        <v>0</v>
      </c>
      <c r="O13" s="579">
        <v>0</v>
      </c>
      <c r="P13" s="579">
        <v>0</v>
      </c>
      <c r="Q13" s="579">
        <v>0</v>
      </c>
      <c r="R13" s="579">
        <v>0</v>
      </c>
      <c r="S13" s="579">
        <v>0</v>
      </c>
      <c r="T13" s="579">
        <v>0</v>
      </c>
      <c r="U13" s="579">
        <v>0</v>
      </c>
      <c r="V13" s="579">
        <v>0</v>
      </c>
      <c r="W13" s="579">
        <v>0</v>
      </c>
      <c r="X13" s="579">
        <v>0</v>
      </c>
      <c r="Y13" s="579">
        <v>0</v>
      </c>
      <c r="Z13" s="579">
        <v>0</v>
      </c>
    </row>
    <row r="14" spans="2:75" ht="15" thickBot="1" x14ac:dyDescent="0.4">
      <c r="B14" s="913" t="s">
        <v>442</v>
      </c>
      <c r="C14" s="914">
        <f>SUM(C12:C13)</f>
        <v>0</v>
      </c>
      <c r="D14" s="914">
        <f t="shared" ref="D14:Z14" si="5">SUM(D12:D13)+C14</f>
        <v>0</v>
      </c>
      <c r="E14" s="914">
        <f t="shared" si="5"/>
        <v>0</v>
      </c>
      <c r="F14" s="914">
        <f t="shared" si="5"/>
        <v>0</v>
      </c>
      <c r="G14" s="914">
        <f t="shared" si="5"/>
        <v>0</v>
      </c>
      <c r="H14" s="914">
        <f t="shared" si="5"/>
        <v>0</v>
      </c>
      <c r="I14" s="914">
        <f t="shared" si="5"/>
        <v>0</v>
      </c>
      <c r="J14" s="914">
        <f t="shared" si="5"/>
        <v>0</v>
      </c>
      <c r="K14" s="914">
        <f t="shared" si="5"/>
        <v>0</v>
      </c>
      <c r="L14" s="914">
        <f t="shared" si="5"/>
        <v>0</v>
      </c>
      <c r="M14" s="914">
        <f t="shared" si="5"/>
        <v>0</v>
      </c>
      <c r="N14" s="914">
        <f t="shared" si="5"/>
        <v>0</v>
      </c>
      <c r="O14" s="915">
        <f t="shared" si="5"/>
        <v>0</v>
      </c>
      <c r="P14" s="915">
        <f t="shared" si="5"/>
        <v>0</v>
      </c>
      <c r="Q14" s="915">
        <f t="shared" si="5"/>
        <v>0</v>
      </c>
      <c r="R14" s="915">
        <f t="shared" si="5"/>
        <v>0</v>
      </c>
      <c r="S14" s="915">
        <f t="shared" si="5"/>
        <v>0</v>
      </c>
      <c r="T14" s="915">
        <f t="shared" si="5"/>
        <v>0</v>
      </c>
      <c r="U14" s="915">
        <f t="shared" si="5"/>
        <v>0</v>
      </c>
      <c r="V14" s="915">
        <f t="shared" si="5"/>
        <v>0</v>
      </c>
      <c r="W14" s="915">
        <f t="shared" si="5"/>
        <v>0</v>
      </c>
      <c r="X14" s="915">
        <f t="shared" si="5"/>
        <v>0</v>
      </c>
      <c r="Y14" s="915">
        <f t="shared" si="5"/>
        <v>0</v>
      </c>
      <c r="Z14" s="915">
        <f t="shared" si="5"/>
        <v>0</v>
      </c>
      <c r="AA14" s="915"/>
      <c r="AB14" s="915"/>
      <c r="AC14" s="915"/>
      <c r="AD14" s="915"/>
      <c r="AE14" s="915"/>
      <c r="AF14" s="915"/>
      <c r="AG14" s="915"/>
      <c r="AH14" s="915"/>
      <c r="AI14" s="915"/>
      <c r="AJ14" s="915"/>
      <c r="AK14" s="915"/>
      <c r="AL14" s="915"/>
      <c r="AM14" s="915"/>
      <c r="AN14" s="915"/>
      <c r="AO14" s="915"/>
      <c r="AP14" s="915"/>
      <c r="AQ14" s="915"/>
      <c r="AR14" s="915"/>
      <c r="AS14" s="915"/>
      <c r="AT14" s="915"/>
      <c r="AU14" s="915"/>
      <c r="AV14" s="915"/>
      <c r="AW14" s="915"/>
      <c r="AX14" s="915"/>
      <c r="AY14" s="915"/>
      <c r="AZ14" s="914"/>
      <c r="BA14" s="914"/>
      <c r="BB14" s="914"/>
      <c r="BC14" s="914"/>
      <c r="BD14" s="914"/>
      <c r="BE14" s="914"/>
      <c r="BF14" s="914"/>
      <c r="BG14" s="914"/>
      <c r="BH14" s="914"/>
      <c r="BI14" s="914"/>
      <c r="BJ14" s="914"/>
      <c r="BK14" s="914"/>
      <c r="BL14" s="914"/>
      <c r="BM14" s="914"/>
      <c r="BN14" s="914"/>
      <c r="BO14" s="914"/>
      <c r="BP14" s="914"/>
      <c r="BQ14" s="914"/>
      <c r="BR14" s="914"/>
      <c r="BS14" s="914"/>
      <c r="BT14" s="914"/>
      <c r="BU14" s="914"/>
      <c r="BV14" s="914"/>
      <c r="BW14" s="914"/>
    </row>
    <row r="15" spans="2:75" ht="15" thickTop="1" x14ac:dyDescent="0.35">
      <c r="C15" s="579"/>
      <c r="D15" s="579"/>
      <c r="E15" s="579"/>
      <c r="F15" s="579"/>
      <c r="G15" s="579"/>
      <c r="H15" s="579"/>
      <c r="I15" s="579"/>
      <c r="J15" s="579"/>
      <c r="K15" s="579"/>
      <c r="L15" s="579"/>
      <c r="M15" s="579"/>
      <c r="N15" s="579"/>
      <c r="O15" s="579"/>
      <c r="P15" s="579"/>
      <c r="Q15" s="579"/>
      <c r="R15" s="579"/>
      <c r="S15" s="579"/>
      <c r="T15" s="579"/>
      <c r="U15" s="579"/>
      <c r="V15" s="579"/>
      <c r="W15" s="579"/>
      <c r="X15" s="579"/>
      <c r="Y15" s="579"/>
      <c r="Z15" s="579"/>
    </row>
    <row r="16" spans="2:75" s="224" customFormat="1" ht="15" thickBot="1" x14ac:dyDescent="0.4">
      <c r="B16" s="913" t="s">
        <v>56</v>
      </c>
      <c r="C16" s="914">
        <v>0</v>
      </c>
      <c r="D16" s="914">
        <v>0</v>
      </c>
      <c r="E16" s="914">
        <v>0</v>
      </c>
      <c r="F16" s="914">
        <v>0</v>
      </c>
      <c r="G16" s="914">
        <f>F16+SUM(G12:G13)</f>
        <v>0</v>
      </c>
      <c r="H16" s="914">
        <f>G16+SUM(H12:H13)</f>
        <v>0</v>
      </c>
      <c r="I16" s="914">
        <f>H16+SUM(I12:I13)</f>
        <v>0</v>
      </c>
      <c r="J16" s="914">
        <f>I16+SUM(J12:J13)</f>
        <v>0</v>
      </c>
      <c r="K16" s="914">
        <v>0</v>
      </c>
      <c r="L16" s="914">
        <f t="shared" ref="L16:Z16" si="6">K16+SUM(L12:L13)</f>
        <v>0</v>
      </c>
      <c r="M16" s="914">
        <f t="shared" si="6"/>
        <v>0</v>
      </c>
      <c r="N16" s="914">
        <f t="shared" si="6"/>
        <v>0</v>
      </c>
      <c r="O16" s="915">
        <f t="shared" si="6"/>
        <v>0</v>
      </c>
      <c r="P16" s="915">
        <f t="shared" si="6"/>
        <v>0</v>
      </c>
      <c r="Q16" s="915">
        <f t="shared" si="6"/>
        <v>0</v>
      </c>
      <c r="R16" s="915">
        <f t="shared" si="6"/>
        <v>0</v>
      </c>
      <c r="S16" s="915">
        <f t="shared" si="6"/>
        <v>0</v>
      </c>
      <c r="T16" s="915">
        <f t="shared" si="6"/>
        <v>0</v>
      </c>
      <c r="U16" s="915">
        <f t="shared" si="6"/>
        <v>0</v>
      </c>
      <c r="V16" s="915">
        <f t="shared" si="6"/>
        <v>0</v>
      </c>
      <c r="W16" s="915">
        <f t="shared" si="6"/>
        <v>0</v>
      </c>
      <c r="X16" s="915">
        <f t="shared" si="6"/>
        <v>0</v>
      </c>
      <c r="Y16" s="915">
        <f t="shared" si="6"/>
        <v>0</v>
      </c>
      <c r="Z16" s="915">
        <f t="shared" si="6"/>
        <v>0</v>
      </c>
      <c r="AA16" s="915"/>
      <c r="AB16" s="915"/>
      <c r="AC16" s="915"/>
      <c r="AD16" s="915"/>
      <c r="AE16" s="915"/>
      <c r="AF16" s="915"/>
      <c r="AG16" s="915"/>
      <c r="AH16" s="915"/>
      <c r="AI16" s="915"/>
      <c r="AJ16" s="915"/>
      <c r="AK16" s="915"/>
      <c r="AL16" s="915"/>
      <c r="AM16" s="915"/>
      <c r="AN16" s="915"/>
      <c r="AO16" s="915"/>
      <c r="AP16" s="915"/>
      <c r="AQ16" s="915"/>
      <c r="AR16" s="915"/>
      <c r="AS16" s="915"/>
      <c r="AT16" s="915"/>
      <c r="AU16" s="915"/>
      <c r="AV16" s="915"/>
      <c r="AW16" s="915"/>
      <c r="AX16" s="915"/>
      <c r="AY16" s="915"/>
      <c r="AZ16" s="914"/>
      <c r="BA16" s="914"/>
      <c r="BB16" s="914"/>
      <c r="BC16" s="914"/>
      <c r="BD16" s="914"/>
      <c r="BE16" s="914"/>
      <c r="BF16" s="914"/>
      <c r="BG16" s="914"/>
      <c r="BH16" s="914"/>
      <c r="BI16" s="914"/>
      <c r="BJ16" s="914"/>
      <c r="BK16" s="914"/>
      <c r="BL16" s="914"/>
      <c r="BM16" s="914"/>
      <c r="BN16" s="914"/>
      <c r="BO16" s="914"/>
      <c r="BP16" s="914"/>
      <c r="BQ16" s="914"/>
      <c r="BR16" s="914"/>
      <c r="BS16" s="914"/>
      <c r="BT16" s="914"/>
      <c r="BU16" s="914"/>
      <c r="BV16" s="914"/>
      <c r="BW16" s="914"/>
    </row>
    <row r="17" spans="2:75" ht="15" thickTop="1" x14ac:dyDescent="0.35">
      <c r="C17" s="579"/>
      <c r="D17" s="579"/>
      <c r="E17" s="579"/>
      <c r="F17" s="579"/>
      <c r="G17" s="579"/>
      <c r="H17" s="579"/>
      <c r="I17" s="579"/>
      <c r="J17" s="579"/>
      <c r="K17" s="579"/>
      <c r="L17" s="579"/>
      <c r="M17" s="579"/>
      <c r="N17" s="579"/>
      <c r="O17" s="579"/>
      <c r="P17" s="579"/>
      <c r="Q17" s="579"/>
      <c r="R17" s="579"/>
      <c r="S17" s="579"/>
      <c r="T17" s="579"/>
      <c r="U17" s="579"/>
      <c r="V17" s="579"/>
      <c r="W17" s="579"/>
      <c r="X17" s="579"/>
      <c r="Y17" s="579"/>
      <c r="Z17" s="579"/>
    </row>
    <row r="18" spans="2:75" x14ac:dyDescent="0.35">
      <c r="B18" s="574" t="s">
        <v>443</v>
      </c>
      <c r="C18" s="579">
        <f t="shared" ref="C18:T18" si="7">+C14/36</f>
        <v>0</v>
      </c>
      <c r="D18" s="579">
        <f t="shared" si="7"/>
        <v>0</v>
      </c>
      <c r="E18" s="579">
        <f t="shared" si="7"/>
        <v>0</v>
      </c>
      <c r="F18" s="579">
        <f t="shared" si="7"/>
        <v>0</v>
      </c>
      <c r="G18" s="579">
        <f t="shared" si="7"/>
        <v>0</v>
      </c>
      <c r="H18" s="579">
        <f t="shared" si="7"/>
        <v>0</v>
      </c>
      <c r="I18" s="579">
        <f t="shared" si="7"/>
        <v>0</v>
      </c>
      <c r="J18" s="579">
        <f t="shared" si="7"/>
        <v>0</v>
      </c>
      <c r="K18" s="579">
        <f t="shared" si="7"/>
        <v>0</v>
      </c>
      <c r="L18" s="579">
        <f t="shared" si="7"/>
        <v>0</v>
      </c>
      <c r="M18" s="579">
        <f t="shared" si="7"/>
        <v>0</v>
      </c>
      <c r="N18" s="579">
        <f t="shared" si="7"/>
        <v>0</v>
      </c>
      <c r="O18" s="579">
        <f t="shared" si="7"/>
        <v>0</v>
      </c>
      <c r="P18" s="579">
        <f t="shared" si="7"/>
        <v>0</v>
      </c>
      <c r="Q18" s="579">
        <f t="shared" si="7"/>
        <v>0</v>
      </c>
      <c r="R18" s="579">
        <f t="shared" si="7"/>
        <v>0</v>
      </c>
      <c r="S18" s="579">
        <f t="shared" si="7"/>
        <v>0</v>
      </c>
      <c r="T18" s="579">
        <f t="shared" si="7"/>
        <v>0</v>
      </c>
      <c r="U18" s="579">
        <v>12000</v>
      </c>
      <c r="V18" s="579">
        <v>12000</v>
      </c>
      <c r="W18" s="579">
        <v>12000</v>
      </c>
      <c r="X18" s="579">
        <v>12000</v>
      </c>
      <c r="Y18" s="579">
        <v>12275.999999999998</v>
      </c>
      <c r="Z18" s="579">
        <v>12000</v>
      </c>
      <c r="AA18" s="574">
        <v>12847.190003999995</v>
      </c>
      <c r="AB18" s="574">
        <v>13142.675374091994</v>
      </c>
      <c r="AC18" s="574">
        <v>13444.956907696109</v>
      </c>
      <c r="AD18" s="574">
        <v>13754.190916573118</v>
      </c>
      <c r="AE18" s="574">
        <v>14070.537307654298</v>
      </c>
      <c r="AF18" s="574">
        <v>14394.159665730345</v>
      </c>
      <c r="AG18" s="574">
        <v>14725.225338042143</v>
      </c>
      <c r="AH18" s="574">
        <v>15063.90552081711</v>
      </c>
      <c r="AI18" s="574">
        <v>15410.375347795902</v>
      </c>
      <c r="AJ18" s="574">
        <v>15764.813980795207</v>
      </c>
      <c r="AK18" s="574">
        <v>16127.404702353495</v>
      </c>
      <c r="AL18" s="574">
        <v>16498.335010507624</v>
      </c>
      <c r="AM18" s="574">
        <v>16877.796715749297</v>
      </c>
      <c r="AN18" s="574">
        <v>17265.98604021153</v>
      </c>
      <c r="AO18" s="574">
        <v>17663.103719136394</v>
      </c>
      <c r="AP18" s="574">
        <v>18069.355104676528</v>
      </c>
      <c r="AQ18" s="574">
        <v>18484.950272084086</v>
      </c>
      <c r="AR18" s="574">
        <v>18910.10412834202</v>
      </c>
      <c r="AS18" s="574">
        <v>19345.036523293886</v>
      </c>
      <c r="AT18" s="574">
        <v>19789.972363329642</v>
      </c>
      <c r="AU18" s="574">
        <v>20245.141727686223</v>
      </c>
      <c r="AV18" s="574">
        <v>20710.779987423004</v>
      </c>
      <c r="AW18" s="574">
        <v>21187.12792713373</v>
      </c>
      <c r="AX18" s="574">
        <v>21674.431869457803</v>
      </c>
      <c r="AY18" s="574">
        <v>22172.943802455331</v>
      </c>
    </row>
    <row r="19" spans="2:75" s="224" customFormat="1" ht="15" thickBot="1" x14ac:dyDescent="0.4">
      <c r="B19" s="913" t="s">
        <v>57</v>
      </c>
      <c r="C19" s="914">
        <f t="shared" ref="C19:S19" si="8">+C10+C18</f>
        <v>0</v>
      </c>
      <c r="D19" s="914">
        <f t="shared" si="8"/>
        <v>0</v>
      </c>
      <c r="E19" s="914">
        <f t="shared" si="8"/>
        <v>0</v>
      </c>
      <c r="F19" s="914">
        <f t="shared" si="8"/>
        <v>0</v>
      </c>
      <c r="G19" s="914">
        <f t="shared" si="8"/>
        <v>0</v>
      </c>
      <c r="H19" s="914">
        <f t="shared" si="8"/>
        <v>0</v>
      </c>
      <c r="I19" s="914">
        <f t="shared" si="8"/>
        <v>0</v>
      </c>
      <c r="J19" s="914">
        <f t="shared" si="8"/>
        <v>0</v>
      </c>
      <c r="K19" s="914">
        <f t="shared" si="8"/>
        <v>0</v>
      </c>
      <c r="L19" s="914">
        <f t="shared" si="8"/>
        <v>0</v>
      </c>
      <c r="M19" s="914">
        <f t="shared" si="8"/>
        <v>0</v>
      </c>
      <c r="N19" s="914">
        <f t="shared" si="8"/>
        <v>0</v>
      </c>
      <c r="O19" s="915">
        <f t="shared" si="8"/>
        <v>0</v>
      </c>
      <c r="P19" s="915">
        <f t="shared" si="8"/>
        <v>0</v>
      </c>
      <c r="Q19" s="915">
        <f t="shared" si="8"/>
        <v>0</v>
      </c>
      <c r="R19" s="915">
        <f t="shared" si="8"/>
        <v>0</v>
      </c>
      <c r="S19" s="915">
        <f t="shared" si="8"/>
        <v>0</v>
      </c>
      <c r="T19" s="915">
        <f t="shared" ref="T19:AY19" si="9">+T10+T18</f>
        <v>0</v>
      </c>
      <c r="U19" s="915">
        <f t="shared" si="9"/>
        <v>12000</v>
      </c>
      <c r="V19" s="915">
        <f t="shared" si="9"/>
        <v>12000</v>
      </c>
      <c r="W19" s="915">
        <f t="shared" si="9"/>
        <v>12000</v>
      </c>
      <c r="X19" s="915">
        <f t="shared" si="9"/>
        <v>12000</v>
      </c>
      <c r="Y19" s="915">
        <f t="shared" si="9"/>
        <v>12275.999999999998</v>
      </c>
      <c r="Z19" s="915">
        <f t="shared" si="9"/>
        <v>12000</v>
      </c>
      <c r="AA19" s="915">
        <f t="shared" si="9"/>
        <v>12847.190003999995</v>
      </c>
      <c r="AB19" s="915">
        <f t="shared" si="9"/>
        <v>13142.675374091994</v>
      </c>
      <c r="AC19" s="915">
        <f t="shared" si="9"/>
        <v>13444.956907696109</v>
      </c>
      <c r="AD19" s="915">
        <f t="shared" si="9"/>
        <v>13754.190916573118</v>
      </c>
      <c r="AE19" s="915">
        <f t="shared" si="9"/>
        <v>14070.537307654298</v>
      </c>
      <c r="AF19" s="915">
        <f t="shared" si="9"/>
        <v>14394.159665730345</v>
      </c>
      <c r="AG19" s="915">
        <f t="shared" si="9"/>
        <v>14725.225338042143</v>
      </c>
      <c r="AH19" s="915">
        <f t="shared" si="9"/>
        <v>15063.90552081711</v>
      </c>
      <c r="AI19" s="915">
        <f t="shared" si="9"/>
        <v>15410.375347795902</v>
      </c>
      <c r="AJ19" s="915">
        <f t="shared" si="9"/>
        <v>15764.813980795207</v>
      </c>
      <c r="AK19" s="915">
        <f t="shared" si="9"/>
        <v>16127.404702353495</v>
      </c>
      <c r="AL19" s="915">
        <f t="shared" si="9"/>
        <v>16498.335010507624</v>
      </c>
      <c r="AM19" s="915">
        <f t="shared" si="9"/>
        <v>16877.796715749297</v>
      </c>
      <c r="AN19" s="915">
        <f t="shared" si="9"/>
        <v>17265.98604021153</v>
      </c>
      <c r="AO19" s="915">
        <f t="shared" si="9"/>
        <v>17663.103719136394</v>
      </c>
      <c r="AP19" s="915">
        <f t="shared" si="9"/>
        <v>18069.355104676528</v>
      </c>
      <c r="AQ19" s="915">
        <f t="shared" si="9"/>
        <v>18484.950272084086</v>
      </c>
      <c r="AR19" s="915">
        <f t="shared" si="9"/>
        <v>18910.10412834202</v>
      </c>
      <c r="AS19" s="915">
        <f t="shared" si="9"/>
        <v>19345.036523293886</v>
      </c>
      <c r="AT19" s="915">
        <f t="shared" si="9"/>
        <v>19789.972363329642</v>
      </c>
      <c r="AU19" s="915">
        <f t="shared" si="9"/>
        <v>20245.141727686223</v>
      </c>
      <c r="AV19" s="915">
        <f t="shared" si="9"/>
        <v>20710.779987423004</v>
      </c>
      <c r="AW19" s="915">
        <f t="shared" si="9"/>
        <v>21187.12792713373</v>
      </c>
      <c r="AX19" s="915">
        <f t="shared" si="9"/>
        <v>21674.431869457803</v>
      </c>
      <c r="AY19" s="915">
        <f t="shared" si="9"/>
        <v>22172.943802455331</v>
      </c>
      <c r="AZ19" s="914"/>
      <c r="BA19" s="914"/>
      <c r="BB19" s="914"/>
      <c r="BC19" s="914"/>
      <c r="BD19" s="914"/>
      <c r="BE19" s="914"/>
      <c r="BF19" s="914"/>
      <c r="BG19" s="914"/>
      <c r="BH19" s="914"/>
      <c r="BI19" s="914"/>
      <c r="BJ19" s="914"/>
      <c r="BK19" s="914"/>
      <c r="BL19" s="914"/>
      <c r="BM19" s="914"/>
      <c r="BN19" s="914"/>
      <c r="BO19" s="914"/>
      <c r="BP19" s="914"/>
      <c r="BQ19" s="914"/>
      <c r="BR19" s="914"/>
      <c r="BS19" s="914"/>
      <c r="BT19" s="914"/>
      <c r="BU19" s="914"/>
      <c r="BV19" s="914"/>
      <c r="BW19" s="914"/>
    </row>
    <row r="20" spans="2:75" ht="15" thickTop="1" x14ac:dyDescent="0.35"/>
    <row r="21" spans="2:75" x14ac:dyDescent="0.35">
      <c r="B21" s="772" t="s">
        <v>58</v>
      </c>
      <c r="C21" s="948"/>
      <c r="D21" s="948"/>
      <c r="E21" s="948"/>
      <c r="F21" s="948"/>
      <c r="G21" s="948"/>
      <c r="H21" s="948"/>
      <c r="I21" s="948"/>
      <c r="J21" s="948"/>
      <c r="K21" s="948"/>
      <c r="L21" s="948"/>
      <c r="M21" s="948"/>
      <c r="N21" s="948"/>
      <c r="O21" s="948"/>
      <c r="P21" s="948"/>
      <c r="Q21" s="948"/>
      <c r="R21" s="948"/>
      <c r="S21" s="948"/>
      <c r="T21" s="948"/>
      <c r="U21" s="948"/>
      <c r="V21" s="948"/>
      <c r="W21" s="948"/>
      <c r="X21" s="948"/>
      <c r="Y21" s="948"/>
      <c r="Z21" s="948"/>
      <c r="AA21" s="948"/>
      <c r="AB21" s="948"/>
      <c r="AC21" s="948"/>
      <c r="AD21" s="948"/>
      <c r="AE21" s="948"/>
      <c r="AF21" s="948"/>
      <c r="AG21" s="948"/>
      <c r="AH21" s="948"/>
      <c r="AI21" s="948"/>
      <c r="AJ21" s="948"/>
      <c r="AK21" s="948"/>
      <c r="AL21" s="948"/>
      <c r="AM21" s="948"/>
      <c r="AN21" s="948"/>
      <c r="AO21" s="948"/>
      <c r="AP21" s="948"/>
      <c r="AQ21" s="948"/>
      <c r="AR21" s="948"/>
      <c r="AS21" s="948"/>
      <c r="AT21" s="948"/>
      <c r="AU21" s="948"/>
      <c r="AV21" s="948"/>
      <c r="AW21" s="948"/>
      <c r="AX21" s="948"/>
      <c r="AY21" s="948"/>
      <c r="AZ21" s="948"/>
      <c r="BA21" s="948"/>
      <c r="BB21" s="948"/>
      <c r="BC21" s="948"/>
      <c r="BD21" s="948"/>
      <c r="BE21" s="948"/>
      <c r="BF21" s="948"/>
      <c r="BG21" s="948"/>
      <c r="BH21" s="948"/>
      <c r="BI21" s="948"/>
      <c r="BJ21" s="948"/>
      <c r="BK21" s="948"/>
      <c r="BL21" s="948"/>
      <c r="BM21" s="948"/>
      <c r="BN21" s="948"/>
      <c r="BO21" s="948"/>
      <c r="BP21" s="948"/>
      <c r="BQ21" s="948"/>
      <c r="BR21" s="948"/>
      <c r="BS21" s="948"/>
      <c r="BT21" s="948"/>
      <c r="BU21" s="948"/>
      <c r="BV21" s="948"/>
      <c r="BW21" s="948"/>
    </row>
    <row r="22" spans="2:75" x14ac:dyDescent="0.35">
      <c r="B22" s="1010" t="s">
        <v>336</v>
      </c>
      <c r="C22" s="579">
        <v>0</v>
      </c>
      <c r="D22" s="579">
        <v>0</v>
      </c>
      <c r="E22" s="579">
        <v>0</v>
      </c>
      <c r="F22" s="579">
        <v>0</v>
      </c>
      <c r="G22" s="579">
        <v>0</v>
      </c>
      <c r="H22" s="579">
        <v>0</v>
      </c>
      <c r="I22" s="579">
        <v>0</v>
      </c>
      <c r="J22" s="579">
        <v>0</v>
      </c>
      <c r="K22" s="579">
        <v>0</v>
      </c>
      <c r="L22" s="579">
        <v>0</v>
      </c>
      <c r="M22" s="579">
        <v>0</v>
      </c>
      <c r="N22" s="579">
        <v>0</v>
      </c>
      <c r="O22" s="579">
        <v>0</v>
      </c>
      <c r="P22" s="579">
        <v>0</v>
      </c>
      <c r="Q22" s="579">
        <v>0</v>
      </c>
      <c r="R22" s="579">
        <v>0</v>
      </c>
      <c r="S22" s="579">
        <v>0</v>
      </c>
      <c r="T22" s="579">
        <v>0</v>
      </c>
      <c r="U22" s="579">
        <v>0</v>
      </c>
      <c r="V22" s="579">
        <v>0</v>
      </c>
      <c r="W22" s="579">
        <v>0</v>
      </c>
      <c r="X22" s="579">
        <v>0</v>
      </c>
      <c r="Y22" s="579">
        <v>0</v>
      </c>
      <c r="Z22" s="579">
        <v>0</v>
      </c>
    </row>
    <row r="23" spans="2:75" x14ac:dyDescent="0.35">
      <c r="B23" s="1011" t="s">
        <v>439</v>
      </c>
      <c r="C23" s="579">
        <v>0</v>
      </c>
      <c r="D23" s="579">
        <v>0</v>
      </c>
      <c r="E23" s="579">
        <v>0</v>
      </c>
      <c r="F23" s="579">
        <v>0</v>
      </c>
      <c r="G23" s="579">
        <v>0</v>
      </c>
      <c r="H23" s="579">
        <v>0</v>
      </c>
      <c r="I23" s="579">
        <v>0</v>
      </c>
      <c r="J23" s="579">
        <v>0</v>
      </c>
      <c r="K23" s="579">
        <v>0</v>
      </c>
      <c r="L23" s="579">
        <v>0</v>
      </c>
      <c r="M23" s="579">
        <v>0</v>
      </c>
      <c r="N23" s="579">
        <v>0</v>
      </c>
      <c r="O23" s="579">
        <v>0</v>
      </c>
      <c r="P23" s="579">
        <v>0</v>
      </c>
      <c r="Q23" s="579">
        <v>0</v>
      </c>
      <c r="R23" s="579">
        <v>0</v>
      </c>
      <c r="S23" s="579">
        <v>0</v>
      </c>
      <c r="T23" s="579">
        <v>0</v>
      </c>
      <c r="U23" s="579">
        <v>0</v>
      </c>
      <c r="V23" s="579">
        <v>0</v>
      </c>
      <c r="W23" s="579">
        <v>0</v>
      </c>
      <c r="X23" s="579">
        <v>0</v>
      </c>
      <c r="Y23" s="579">
        <v>0</v>
      </c>
      <c r="Z23" s="579">
        <v>0</v>
      </c>
    </row>
    <row r="24" spans="2:75" x14ac:dyDescent="0.35">
      <c r="B24" s="1010" t="s">
        <v>338</v>
      </c>
      <c r="C24" s="579">
        <v>0</v>
      </c>
      <c r="D24" s="579">
        <v>0</v>
      </c>
      <c r="E24" s="579">
        <v>0</v>
      </c>
      <c r="F24" s="579">
        <v>0</v>
      </c>
      <c r="G24" s="579">
        <v>0</v>
      </c>
      <c r="H24" s="579">
        <v>0</v>
      </c>
      <c r="I24" s="579">
        <v>0</v>
      </c>
      <c r="J24" s="579">
        <v>0</v>
      </c>
      <c r="K24" s="579">
        <v>0</v>
      </c>
      <c r="L24" s="579">
        <v>0</v>
      </c>
      <c r="M24" s="579">
        <v>0</v>
      </c>
      <c r="N24" s="579">
        <v>0</v>
      </c>
      <c r="O24" s="579">
        <v>0</v>
      </c>
      <c r="P24" s="579">
        <v>0</v>
      </c>
      <c r="Q24" s="579">
        <v>0</v>
      </c>
      <c r="R24" s="579">
        <v>0</v>
      </c>
      <c r="S24" s="579">
        <v>0</v>
      </c>
      <c r="T24" s="579">
        <v>0</v>
      </c>
      <c r="U24" s="579">
        <v>0</v>
      </c>
      <c r="V24" s="579">
        <v>0</v>
      </c>
      <c r="W24" s="579">
        <v>0</v>
      </c>
      <c r="X24" s="579">
        <v>0</v>
      </c>
      <c r="Y24" s="579">
        <v>0</v>
      </c>
      <c r="Z24" s="579">
        <v>0</v>
      </c>
    </row>
    <row r="25" spans="2:75" ht="15" thickBot="1" x14ac:dyDescent="0.4">
      <c r="B25" s="913" t="s">
        <v>445</v>
      </c>
      <c r="C25" s="914">
        <f t="shared" ref="C25:Z25" si="10">SUM(C22:C24)</f>
        <v>0</v>
      </c>
      <c r="D25" s="914">
        <f t="shared" si="10"/>
        <v>0</v>
      </c>
      <c r="E25" s="914">
        <f t="shared" si="10"/>
        <v>0</v>
      </c>
      <c r="F25" s="914">
        <f t="shared" si="10"/>
        <v>0</v>
      </c>
      <c r="G25" s="914">
        <f t="shared" si="10"/>
        <v>0</v>
      </c>
      <c r="H25" s="914">
        <f t="shared" si="10"/>
        <v>0</v>
      </c>
      <c r="I25" s="914">
        <f t="shared" si="10"/>
        <v>0</v>
      </c>
      <c r="J25" s="914">
        <f t="shared" si="10"/>
        <v>0</v>
      </c>
      <c r="K25" s="914">
        <f t="shared" si="10"/>
        <v>0</v>
      </c>
      <c r="L25" s="914">
        <f t="shared" si="10"/>
        <v>0</v>
      </c>
      <c r="M25" s="914">
        <f t="shared" si="10"/>
        <v>0</v>
      </c>
      <c r="N25" s="914">
        <f t="shared" si="10"/>
        <v>0</v>
      </c>
      <c r="O25" s="915">
        <f t="shared" si="10"/>
        <v>0</v>
      </c>
      <c r="P25" s="915">
        <f t="shared" si="10"/>
        <v>0</v>
      </c>
      <c r="Q25" s="915">
        <f t="shared" si="10"/>
        <v>0</v>
      </c>
      <c r="R25" s="915">
        <f t="shared" si="10"/>
        <v>0</v>
      </c>
      <c r="S25" s="915">
        <f t="shared" si="10"/>
        <v>0</v>
      </c>
      <c r="T25" s="915">
        <f t="shared" si="10"/>
        <v>0</v>
      </c>
      <c r="U25" s="915">
        <f t="shared" si="10"/>
        <v>0</v>
      </c>
      <c r="V25" s="915">
        <f t="shared" si="10"/>
        <v>0</v>
      </c>
      <c r="W25" s="915">
        <f t="shared" si="10"/>
        <v>0</v>
      </c>
      <c r="X25" s="915">
        <f t="shared" si="10"/>
        <v>0</v>
      </c>
      <c r="Y25" s="914">
        <f t="shared" si="10"/>
        <v>0</v>
      </c>
      <c r="Z25" s="914">
        <f t="shared" si="10"/>
        <v>0</v>
      </c>
      <c r="AA25" s="914"/>
      <c r="AB25" s="914"/>
      <c r="AC25" s="914"/>
      <c r="AD25" s="914"/>
      <c r="AE25" s="914"/>
      <c r="AF25" s="914"/>
      <c r="AG25" s="914"/>
      <c r="AH25" s="914"/>
      <c r="AI25" s="914"/>
      <c r="AJ25" s="914"/>
      <c r="AK25" s="914"/>
      <c r="AL25" s="914"/>
      <c r="AM25" s="914"/>
      <c r="AN25" s="914"/>
      <c r="AO25" s="914"/>
      <c r="AP25" s="914"/>
      <c r="AQ25" s="914"/>
      <c r="AR25" s="914"/>
      <c r="AS25" s="914"/>
      <c r="AT25" s="914"/>
      <c r="AU25" s="914"/>
      <c r="AV25" s="914"/>
      <c r="AW25" s="914"/>
      <c r="AX25" s="914"/>
      <c r="AY25" s="914"/>
      <c r="AZ25" s="914"/>
      <c r="BA25" s="914"/>
      <c r="BB25" s="914"/>
      <c r="BC25" s="914"/>
      <c r="BD25" s="914"/>
      <c r="BE25" s="914"/>
      <c r="BF25" s="914"/>
      <c r="BG25" s="914"/>
      <c r="BH25" s="914"/>
      <c r="BI25" s="914"/>
      <c r="BJ25" s="914"/>
      <c r="BK25" s="914"/>
      <c r="BL25" s="914"/>
      <c r="BM25" s="914"/>
      <c r="BN25" s="914"/>
      <c r="BO25" s="914"/>
      <c r="BP25" s="914"/>
      <c r="BQ25" s="914"/>
      <c r="BR25" s="914"/>
      <c r="BS25" s="914"/>
      <c r="BT25" s="914"/>
      <c r="BU25" s="914"/>
      <c r="BV25" s="914"/>
      <c r="BW25" s="914"/>
    </row>
    <row r="26" spans="2:75" ht="15" thickTop="1" x14ac:dyDescent="0.35">
      <c r="C26" s="579"/>
      <c r="D26" s="579"/>
      <c r="E26" s="579"/>
      <c r="F26" s="579"/>
      <c r="G26" s="579"/>
      <c r="H26" s="579"/>
      <c r="I26" s="579"/>
      <c r="J26" s="579"/>
      <c r="K26" s="579"/>
      <c r="L26" s="579"/>
      <c r="M26" s="579"/>
      <c r="N26" s="579"/>
      <c r="O26" s="579"/>
      <c r="P26" s="579"/>
      <c r="Q26" s="579"/>
      <c r="R26" s="579"/>
      <c r="S26" s="579"/>
      <c r="T26" s="579"/>
      <c r="U26" s="579"/>
      <c r="V26" s="579"/>
      <c r="W26" s="579"/>
      <c r="X26" s="579"/>
      <c r="Y26" s="579"/>
      <c r="Z26" s="579"/>
    </row>
    <row r="27" spans="2:75" x14ac:dyDescent="0.35">
      <c r="B27" s="772" t="s">
        <v>59</v>
      </c>
      <c r="C27" s="948"/>
      <c r="D27" s="948"/>
      <c r="E27" s="948"/>
      <c r="F27" s="948"/>
      <c r="G27" s="948"/>
      <c r="H27" s="948"/>
      <c r="I27" s="948"/>
      <c r="J27" s="948"/>
      <c r="K27" s="948"/>
      <c r="L27" s="948"/>
      <c r="M27" s="948"/>
      <c r="N27" s="948"/>
      <c r="O27" s="948"/>
      <c r="P27" s="948"/>
      <c r="Q27" s="948"/>
      <c r="R27" s="948"/>
      <c r="S27" s="948"/>
      <c r="T27" s="948"/>
      <c r="U27" s="948"/>
      <c r="V27" s="948"/>
      <c r="W27" s="948"/>
      <c r="X27" s="948"/>
      <c r="Y27" s="948"/>
      <c r="Z27" s="948"/>
      <c r="AA27" s="948"/>
      <c r="AB27" s="948"/>
      <c r="AC27" s="948"/>
      <c r="AD27" s="948"/>
      <c r="AE27" s="948"/>
      <c r="AF27" s="948"/>
      <c r="AG27" s="948"/>
      <c r="AH27" s="948"/>
      <c r="AI27" s="948"/>
      <c r="AJ27" s="948"/>
      <c r="AK27" s="948"/>
      <c r="AL27" s="948"/>
      <c r="AM27" s="948"/>
      <c r="AN27" s="948"/>
      <c r="AO27" s="948"/>
      <c r="AP27" s="948"/>
      <c r="AQ27" s="948"/>
      <c r="AR27" s="948"/>
      <c r="AS27" s="948"/>
      <c r="AT27" s="948"/>
      <c r="AU27" s="948"/>
      <c r="AV27" s="948"/>
      <c r="AW27" s="948"/>
      <c r="AX27" s="948"/>
      <c r="AY27" s="948"/>
      <c r="AZ27" s="948"/>
      <c r="BA27" s="948"/>
      <c r="BB27" s="948"/>
      <c r="BC27" s="948"/>
      <c r="BD27" s="948"/>
      <c r="BE27" s="948"/>
      <c r="BF27" s="948"/>
      <c r="BG27" s="948"/>
      <c r="BH27" s="948"/>
      <c r="BI27" s="948"/>
      <c r="BJ27" s="948"/>
      <c r="BK27" s="948"/>
      <c r="BL27" s="948"/>
      <c r="BM27" s="948"/>
      <c r="BN27" s="948"/>
      <c r="BO27" s="948"/>
      <c r="BP27" s="948"/>
      <c r="BQ27" s="948"/>
      <c r="BR27" s="948"/>
      <c r="BS27" s="948"/>
      <c r="BT27" s="948"/>
      <c r="BU27" s="948"/>
      <c r="BV27" s="948"/>
      <c r="BW27" s="948"/>
    </row>
    <row r="28" spans="2:75" x14ac:dyDescent="0.35">
      <c r="B28" s="1010" t="s">
        <v>336</v>
      </c>
      <c r="C28" s="579">
        <v>0</v>
      </c>
      <c r="D28" s="579">
        <v>0</v>
      </c>
      <c r="E28" s="579">
        <v>0</v>
      </c>
      <c r="F28" s="579">
        <v>0</v>
      </c>
      <c r="G28" s="579">
        <v>0</v>
      </c>
      <c r="H28" s="579">
        <v>0</v>
      </c>
      <c r="I28" s="579">
        <v>0</v>
      </c>
      <c r="J28" s="579">
        <v>0</v>
      </c>
      <c r="K28" s="579">
        <v>0</v>
      </c>
      <c r="L28" s="579">
        <v>0</v>
      </c>
      <c r="M28" s="579">
        <v>0</v>
      </c>
      <c r="N28" s="579">
        <v>0</v>
      </c>
      <c r="O28" s="579">
        <v>0</v>
      </c>
      <c r="P28" s="579">
        <v>0</v>
      </c>
      <c r="Q28" s="579">
        <v>0</v>
      </c>
      <c r="R28" s="579">
        <v>0</v>
      </c>
      <c r="S28" s="579">
        <v>0</v>
      </c>
      <c r="T28" s="579">
        <v>0</v>
      </c>
      <c r="U28" s="579">
        <v>0</v>
      </c>
      <c r="V28" s="579">
        <v>0</v>
      </c>
      <c r="W28" s="579">
        <v>0</v>
      </c>
      <c r="X28" s="579">
        <v>0</v>
      </c>
      <c r="Y28" s="579">
        <v>0</v>
      </c>
      <c r="Z28" s="579">
        <v>0</v>
      </c>
      <c r="AA28" s="579">
        <v>0</v>
      </c>
      <c r="AB28" s="579">
        <v>0</v>
      </c>
      <c r="AC28" s="579">
        <v>0</v>
      </c>
      <c r="AD28" s="579">
        <v>0</v>
      </c>
      <c r="AE28" s="579">
        <v>0</v>
      </c>
      <c r="AF28" s="579">
        <v>0</v>
      </c>
      <c r="AG28" s="579">
        <v>0</v>
      </c>
      <c r="AH28" s="579">
        <v>0</v>
      </c>
      <c r="AI28" s="579">
        <v>0</v>
      </c>
      <c r="AJ28" s="579">
        <v>0</v>
      </c>
      <c r="AK28" s="579">
        <v>0</v>
      </c>
      <c r="AL28" s="579">
        <v>0</v>
      </c>
      <c r="AM28" s="579">
        <v>0</v>
      </c>
      <c r="AN28" s="579">
        <v>0</v>
      </c>
      <c r="AO28" s="579">
        <v>0</v>
      </c>
      <c r="AP28" s="579">
        <v>0</v>
      </c>
      <c r="AQ28" s="579">
        <v>0</v>
      </c>
      <c r="AR28" s="579">
        <v>0</v>
      </c>
      <c r="AS28" s="579">
        <v>0</v>
      </c>
      <c r="AT28" s="579">
        <v>0</v>
      </c>
      <c r="AU28" s="579">
        <v>0</v>
      </c>
      <c r="AV28" s="579">
        <v>0</v>
      </c>
      <c r="AW28" s="579">
        <v>0</v>
      </c>
      <c r="AX28" s="579">
        <v>0</v>
      </c>
      <c r="AY28" s="579">
        <v>0</v>
      </c>
      <c r="AZ28" s="579">
        <v>0</v>
      </c>
      <c r="BA28" s="579">
        <v>0</v>
      </c>
      <c r="BB28" s="579">
        <v>0</v>
      </c>
      <c r="BC28" s="579">
        <v>0</v>
      </c>
      <c r="BD28" s="579">
        <v>0</v>
      </c>
      <c r="BE28" s="579">
        <v>0</v>
      </c>
      <c r="BF28" s="579">
        <v>0</v>
      </c>
      <c r="BG28" s="579">
        <v>0</v>
      </c>
      <c r="BH28" s="579">
        <v>0</v>
      </c>
      <c r="BI28" s="579">
        <v>0</v>
      </c>
      <c r="BJ28" s="579">
        <v>0</v>
      </c>
      <c r="BK28" s="579">
        <v>0</v>
      </c>
      <c r="BL28" s="579">
        <v>0</v>
      </c>
      <c r="BM28" s="579">
        <v>0</v>
      </c>
      <c r="BN28" s="579">
        <v>0</v>
      </c>
      <c r="BO28" s="579">
        <v>0</v>
      </c>
      <c r="BP28" s="579">
        <v>0</v>
      </c>
      <c r="BQ28" s="579">
        <v>0</v>
      </c>
      <c r="BR28" s="579">
        <v>0</v>
      </c>
      <c r="BS28" s="579">
        <v>0</v>
      </c>
      <c r="BT28" s="579">
        <v>0</v>
      </c>
      <c r="BU28" s="579">
        <v>0</v>
      </c>
      <c r="BV28" s="579">
        <v>0</v>
      </c>
      <c r="BW28" s="579">
        <v>0</v>
      </c>
    </row>
    <row r="29" spans="2:75" x14ac:dyDescent="0.35">
      <c r="B29" s="1011" t="s">
        <v>337</v>
      </c>
      <c r="C29" s="579">
        <v>0</v>
      </c>
      <c r="D29" s="579">
        <v>0</v>
      </c>
      <c r="E29" s="579">
        <v>0</v>
      </c>
      <c r="F29" s="579">
        <v>0</v>
      </c>
      <c r="G29" s="579">
        <v>0</v>
      </c>
      <c r="H29" s="579">
        <v>0</v>
      </c>
      <c r="I29" s="579">
        <v>0</v>
      </c>
      <c r="J29" s="579">
        <v>0</v>
      </c>
      <c r="K29" s="579">
        <v>0</v>
      </c>
      <c r="L29" s="579">
        <v>0</v>
      </c>
      <c r="M29" s="579">
        <v>0</v>
      </c>
      <c r="N29" s="579">
        <v>0</v>
      </c>
      <c r="O29" s="579">
        <v>0</v>
      </c>
      <c r="P29" s="579">
        <v>0</v>
      </c>
      <c r="Q29" s="579">
        <v>0</v>
      </c>
      <c r="R29" s="579">
        <v>0</v>
      </c>
      <c r="S29" s="579">
        <v>0</v>
      </c>
      <c r="T29" s="579">
        <v>0</v>
      </c>
      <c r="U29" s="579">
        <v>0</v>
      </c>
      <c r="V29" s="579">
        <v>0</v>
      </c>
      <c r="W29" s="579">
        <v>0</v>
      </c>
      <c r="X29" s="579">
        <v>0</v>
      </c>
      <c r="Y29" s="579">
        <v>0</v>
      </c>
      <c r="Z29" s="579">
        <v>0</v>
      </c>
      <c r="AA29" s="579">
        <v>0</v>
      </c>
      <c r="AB29" s="579">
        <v>0</v>
      </c>
      <c r="AC29" s="579">
        <v>0</v>
      </c>
      <c r="AD29" s="579">
        <v>0</v>
      </c>
      <c r="AE29" s="579">
        <v>0</v>
      </c>
      <c r="AF29" s="579">
        <v>0</v>
      </c>
      <c r="AG29" s="579">
        <v>0</v>
      </c>
      <c r="AH29" s="579">
        <v>0</v>
      </c>
      <c r="AI29" s="579">
        <v>0</v>
      </c>
      <c r="AJ29" s="579">
        <v>0</v>
      </c>
      <c r="AK29" s="579">
        <v>0</v>
      </c>
      <c r="AL29" s="579">
        <v>0</v>
      </c>
      <c r="AM29" s="579">
        <v>0</v>
      </c>
      <c r="AN29" s="579">
        <v>0</v>
      </c>
      <c r="AO29" s="579">
        <v>0</v>
      </c>
      <c r="AP29" s="579">
        <v>0</v>
      </c>
      <c r="AQ29" s="579">
        <v>0</v>
      </c>
      <c r="AR29" s="579">
        <v>0</v>
      </c>
      <c r="AS29" s="579">
        <v>0</v>
      </c>
      <c r="AT29" s="579">
        <v>0</v>
      </c>
      <c r="AU29" s="579">
        <v>0</v>
      </c>
      <c r="AV29" s="579">
        <v>0</v>
      </c>
      <c r="AW29" s="579">
        <v>0</v>
      </c>
      <c r="AX29" s="579">
        <v>0</v>
      </c>
      <c r="AY29" s="579">
        <v>0</v>
      </c>
      <c r="AZ29" s="579">
        <v>0</v>
      </c>
      <c r="BA29" s="579">
        <v>0</v>
      </c>
      <c r="BB29" s="579">
        <v>0</v>
      </c>
      <c r="BC29" s="579">
        <v>0</v>
      </c>
      <c r="BD29" s="579">
        <v>0</v>
      </c>
      <c r="BE29" s="579">
        <v>0</v>
      </c>
      <c r="BF29" s="579">
        <v>0</v>
      </c>
      <c r="BG29" s="579">
        <v>0</v>
      </c>
      <c r="BH29" s="579">
        <v>0</v>
      </c>
      <c r="BI29" s="579">
        <v>0</v>
      </c>
      <c r="BJ29" s="579">
        <v>0</v>
      </c>
      <c r="BK29" s="579">
        <v>0</v>
      </c>
      <c r="BL29" s="579">
        <v>0</v>
      </c>
      <c r="BM29" s="579">
        <v>0</v>
      </c>
      <c r="BN29" s="579">
        <v>0</v>
      </c>
      <c r="BO29" s="579">
        <v>0</v>
      </c>
      <c r="BP29" s="579">
        <v>0</v>
      </c>
      <c r="BQ29" s="579">
        <v>0</v>
      </c>
      <c r="BR29" s="579">
        <v>0</v>
      </c>
      <c r="BS29" s="579">
        <v>0</v>
      </c>
      <c r="BT29" s="579">
        <v>0</v>
      </c>
      <c r="BU29" s="579">
        <v>0</v>
      </c>
      <c r="BV29" s="579">
        <v>0</v>
      </c>
      <c r="BW29" s="579">
        <v>0</v>
      </c>
    </row>
    <row r="30" spans="2:75" x14ac:dyDescent="0.35">
      <c r="B30" s="1010" t="s">
        <v>338</v>
      </c>
      <c r="C30" s="579">
        <v>0</v>
      </c>
      <c r="D30" s="579">
        <v>0</v>
      </c>
      <c r="E30" s="579">
        <v>0</v>
      </c>
      <c r="F30" s="579">
        <v>0</v>
      </c>
      <c r="G30" s="579">
        <v>0</v>
      </c>
      <c r="H30" s="579">
        <v>0</v>
      </c>
      <c r="I30" s="579">
        <v>0</v>
      </c>
      <c r="J30" s="579">
        <v>0</v>
      </c>
      <c r="K30" s="579">
        <v>0</v>
      </c>
      <c r="L30" s="579">
        <v>0</v>
      </c>
      <c r="M30" s="579">
        <v>0</v>
      </c>
      <c r="N30" s="579">
        <v>0</v>
      </c>
      <c r="O30" s="579">
        <v>0</v>
      </c>
      <c r="P30" s="579">
        <v>0</v>
      </c>
      <c r="Q30" s="579">
        <v>0</v>
      </c>
      <c r="R30" s="579">
        <v>0</v>
      </c>
      <c r="S30" s="579">
        <v>0</v>
      </c>
      <c r="T30" s="579">
        <v>0</v>
      </c>
      <c r="U30" s="579">
        <v>0</v>
      </c>
      <c r="V30" s="579">
        <v>0</v>
      </c>
      <c r="W30" s="579">
        <v>0</v>
      </c>
      <c r="X30" s="579">
        <v>0</v>
      </c>
      <c r="Y30" s="579">
        <v>0</v>
      </c>
      <c r="Z30" s="579">
        <v>0</v>
      </c>
      <c r="AA30" s="579">
        <v>0</v>
      </c>
      <c r="AB30" s="579">
        <v>0</v>
      </c>
      <c r="AC30" s="579">
        <v>0</v>
      </c>
      <c r="AD30" s="579">
        <v>0</v>
      </c>
      <c r="AE30" s="579">
        <v>0</v>
      </c>
      <c r="AF30" s="579">
        <v>0</v>
      </c>
      <c r="AG30" s="579">
        <v>0</v>
      </c>
      <c r="AH30" s="579">
        <v>0</v>
      </c>
      <c r="AI30" s="579">
        <v>0</v>
      </c>
      <c r="AJ30" s="579">
        <v>0</v>
      </c>
      <c r="AK30" s="579">
        <v>0</v>
      </c>
      <c r="AL30" s="579">
        <v>0</v>
      </c>
      <c r="AM30" s="579">
        <v>0</v>
      </c>
      <c r="AN30" s="579">
        <v>0</v>
      </c>
      <c r="AO30" s="579">
        <v>0</v>
      </c>
      <c r="AP30" s="579">
        <v>0</v>
      </c>
      <c r="AQ30" s="579">
        <v>0</v>
      </c>
      <c r="AR30" s="579">
        <v>0</v>
      </c>
      <c r="AS30" s="579">
        <v>0</v>
      </c>
      <c r="AT30" s="579">
        <v>0</v>
      </c>
      <c r="AU30" s="579">
        <v>0</v>
      </c>
      <c r="AV30" s="579">
        <v>0</v>
      </c>
      <c r="AW30" s="579">
        <v>0</v>
      </c>
      <c r="AX30" s="579">
        <v>0</v>
      </c>
      <c r="AY30" s="579">
        <v>0</v>
      </c>
      <c r="AZ30" s="579">
        <v>0</v>
      </c>
      <c r="BA30" s="579">
        <v>0</v>
      </c>
      <c r="BB30" s="579">
        <v>0</v>
      </c>
      <c r="BC30" s="579">
        <v>0</v>
      </c>
      <c r="BD30" s="579">
        <v>0</v>
      </c>
      <c r="BE30" s="579">
        <v>0</v>
      </c>
      <c r="BF30" s="579">
        <v>0</v>
      </c>
      <c r="BG30" s="579">
        <v>0</v>
      </c>
      <c r="BH30" s="579">
        <v>0</v>
      </c>
      <c r="BI30" s="579">
        <v>0</v>
      </c>
      <c r="BJ30" s="579">
        <v>0</v>
      </c>
      <c r="BK30" s="579">
        <v>0</v>
      </c>
      <c r="BL30" s="579">
        <v>0</v>
      </c>
      <c r="BM30" s="579">
        <v>0</v>
      </c>
      <c r="BN30" s="579">
        <v>0</v>
      </c>
      <c r="BO30" s="579">
        <v>0</v>
      </c>
      <c r="BP30" s="579">
        <v>0</v>
      </c>
      <c r="BQ30" s="579">
        <v>0</v>
      </c>
      <c r="BR30" s="579">
        <v>0</v>
      </c>
      <c r="BS30" s="579">
        <v>0</v>
      </c>
      <c r="BT30" s="579">
        <v>0</v>
      </c>
      <c r="BU30" s="579">
        <v>0</v>
      </c>
      <c r="BV30" s="579">
        <v>0</v>
      </c>
      <c r="BW30" s="579">
        <v>0</v>
      </c>
    </row>
    <row r="31" spans="2:75" ht="15" thickBot="1" x14ac:dyDescent="0.4">
      <c r="B31" s="913" t="s">
        <v>50</v>
      </c>
      <c r="C31" s="914">
        <f t="shared" ref="C31:Z31" si="11">SUM(C28:C30)</f>
        <v>0</v>
      </c>
      <c r="D31" s="914">
        <f t="shared" si="11"/>
        <v>0</v>
      </c>
      <c r="E31" s="914">
        <f t="shared" si="11"/>
        <v>0</v>
      </c>
      <c r="F31" s="914">
        <f t="shared" si="11"/>
        <v>0</v>
      </c>
      <c r="G31" s="914">
        <f t="shared" si="11"/>
        <v>0</v>
      </c>
      <c r="H31" s="914">
        <f t="shared" si="11"/>
        <v>0</v>
      </c>
      <c r="I31" s="914">
        <f t="shared" si="11"/>
        <v>0</v>
      </c>
      <c r="J31" s="914">
        <f t="shared" si="11"/>
        <v>0</v>
      </c>
      <c r="K31" s="914">
        <f t="shared" si="11"/>
        <v>0</v>
      </c>
      <c r="L31" s="914">
        <f t="shared" si="11"/>
        <v>0</v>
      </c>
      <c r="M31" s="914">
        <f t="shared" si="11"/>
        <v>0</v>
      </c>
      <c r="N31" s="914">
        <f t="shared" si="11"/>
        <v>0</v>
      </c>
      <c r="O31" s="915">
        <f t="shared" si="11"/>
        <v>0</v>
      </c>
      <c r="P31" s="915">
        <f t="shared" si="11"/>
        <v>0</v>
      </c>
      <c r="Q31" s="915">
        <f t="shared" si="11"/>
        <v>0</v>
      </c>
      <c r="R31" s="915">
        <f t="shared" si="11"/>
        <v>0</v>
      </c>
      <c r="S31" s="915">
        <f t="shared" si="11"/>
        <v>0</v>
      </c>
      <c r="T31" s="915">
        <f t="shared" si="11"/>
        <v>0</v>
      </c>
      <c r="U31" s="915">
        <f t="shared" si="11"/>
        <v>0</v>
      </c>
      <c r="V31" s="915">
        <f t="shared" si="11"/>
        <v>0</v>
      </c>
      <c r="W31" s="915">
        <f t="shared" si="11"/>
        <v>0</v>
      </c>
      <c r="X31" s="915">
        <f t="shared" si="11"/>
        <v>0</v>
      </c>
      <c r="Y31" s="914">
        <f t="shared" si="11"/>
        <v>0</v>
      </c>
      <c r="Z31" s="914">
        <f t="shared" si="11"/>
        <v>0</v>
      </c>
      <c r="AA31" s="914"/>
      <c r="AB31" s="914"/>
      <c r="AC31" s="914"/>
      <c r="AD31" s="914"/>
      <c r="AE31" s="914"/>
      <c r="AF31" s="914"/>
      <c r="AG31" s="914"/>
      <c r="AH31" s="914"/>
      <c r="AI31" s="914"/>
      <c r="AJ31" s="914"/>
      <c r="AK31" s="914"/>
      <c r="AL31" s="914"/>
      <c r="AM31" s="914"/>
      <c r="AN31" s="914"/>
      <c r="AO31" s="914"/>
      <c r="AP31" s="914"/>
      <c r="AQ31" s="914"/>
      <c r="AR31" s="914"/>
      <c r="AS31" s="914"/>
      <c r="AT31" s="914"/>
      <c r="AU31" s="914"/>
      <c r="AV31" s="914"/>
      <c r="AW31" s="914"/>
      <c r="AX31" s="914"/>
      <c r="AY31" s="914"/>
      <c r="AZ31" s="914"/>
      <c r="BA31" s="914"/>
      <c r="BB31" s="914"/>
      <c r="BC31" s="914"/>
      <c r="BD31" s="914"/>
      <c r="BE31" s="914"/>
      <c r="BF31" s="914"/>
      <c r="BG31" s="914"/>
      <c r="BH31" s="914"/>
      <c r="BI31" s="914"/>
      <c r="BJ31" s="914"/>
      <c r="BK31" s="914"/>
      <c r="BL31" s="914"/>
      <c r="BM31" s="914"/>
      <c r="BN31" s="914"/>
      <c r="BO31" s="914"/>
      <c r="BP31" s="914"/>
      <c r="BQ31" s="914"/>
      <c r="BR31" s="914"/>
      <c r="BS31" s="914"/>
      <c r="BT31" s="914"/>
      <c r="BU31" s="914"/>
      <c r="BV31" s="914"/>
      <c r="BW31" s="914"/>
    </row>
    <row r="32" spans="2:75" ht="15" thickTop="1" x14ac:dyDescent="0.35">
      <c r="C32" s="579"/>
      <c r="D32" s="579"/>
      <c r="E32" s="579"/>
      <c r="F32" s="579"/>
      <c r="G32" s="579"/>
      <c r="H32" s="579"/>
      <c r="I32" s="579"/>
      <c r="J32" s="579"/>
      <c r="K32" s="579"/>
      <c r="L32" s="579"/>
      <c r="M32" s="579"/>
      <c r="N32" s="579"/>
      <c r="O32" s="579"/>
      <c r="P32" s="579"/>
      <c r="Q32" s="579"/>
      <c r="R32" s="579"/>
      <c r="S32" s="579"/>
      <c r="T32" s="579"/>
      <c r="U32" s="579"/>
      <c r="V32" s="579"/>
      <c r="W32" s="579"/>
      <c r="X32" s="579"/>
      <c r="Y32" s="579"/>
      <c r="Z32" s="579"/>
    </row>
    <row r="33" spans="2:75" x14ac:dyDescent="0.35">
      <c r="B33" s="772" t="s">
        <v>60</v>
      </c>
      <c r="C33" s="948"/>
      <c r="D33" s="948"/>
      <c r="E33" s="948"/>
      <c r="F33" s="948"/>
      <c r="G33" s="948"/>
      <c r="H33" s="948"/>
      <c r="I33" s="948"/>
      <c r="J33" s="948"/>
      <c r="K33" s="948"/>
      <c r="L33" s="948"/>
      <c r="M33" s="948"/>
      <c r="N33" s="948"/>
      <c r="O33" s="948"/>
      <c r="P33" s="948"/>
      <c r="Q33" s="948"/>
      <c r="R33" s="948"/>
      <c r="S33" s="948"/>
      <c r="T33" s="948"/>
      <c r="U33" s="948"/>
      <c r="V33" s="948"/>
      <c r="W33" s="948"/>
      <c r="X33" s="948"/>
      <c r="Y33" s="948"/>
      <c r="Z33" s="948"/>
      <c r="AA33" s="948"/>
      <c r="AB33" s="948"/>
      <c r="AC33" s="948"/>
      <c r="AD33" s="948"/>
      <c r="AE33" s="948"/>
      <c r="AF33" s="948"/>
      <c r="AG33" s="948"/>
      <c r="AH33" s="948"/>
      <c r="AI33" s="948"/>
      <c r="AJ33" s="948"/>
      <c r="AK33" s="948"/>
      <c r="AL33" s="948"/>
      <c r="AM33" s="948"/>
      <c r="AN33" s="948"/>
      <c r="AO33" s="948"/>
      <c r="AP33" s="948"/>
      <c r="AQ33" s="948"/>
      <c r="AR33" s="948"/>
      <c r="AS33" s="948"/>
      <c r="AT33" s="948"/>
      <c r="AU33" s="948"/>
      <c r="AV33" s="948"/>
      <c r="AW33" s="948"/>
      <c r="AX33" s="948"/>
      <c r="AY33" s="948"/>
      <c r="AZ33" s="948"/>
      <c r="BA33" s="948"/>
      <c r="BB33" s="948"/>
      <c r="BC33" s="948"/>
      <c r="BD33" s="948"/>
      <c r="BE33" s="948"/>
      <c r="BF33" s="948"/>
      <c r="BG33" s="948"/>
      <c r="BH33" s="948"/>
      <c r="BI33" s="948"/>
      <c r="BJ33" s="948"/>
      <c r="BK33" s="948"/>
      <c r="BL33" s="948"/>
      <c r="BM33" s="948"/>
      <c r="BN33" s="948"/>
      <c r="BO33" s="948"/>
      <c r="BP33" s="948"/>
      <c r="BQ33" s="948"/>
      <c r="BR33" s="948"/>
      <c r="BS33" s="948"/>
      <c r="BT33" s="948"/>
      <c r="BU33" s="948"/>
      <c r="BV33" s="948"/>
      <c r="BW33" s="948"/>
    </row>
    <row r="34" spans="2:75" x14ac:dyDescent="0.35">
      <c r="B34" s="1010" t="s">
        <v>336</v>
      </c>
      <c r="C34" s="579">
        <v>0</v>
      </c>
      <c r="D34" s="579">
        <v>0</v>
      </c>
      <c r="E34" s="579">
        <v>0</v>
      </c>
      <c r="F34" s="579">
        <v>0</v>
      </c>
      <c r="G34" s="579">
        <v>0</v>
      </c>
      <c r="H34" s="579">
        <v>0</v>
      </c>
      <c r="I34" s="579">
        <v>0</v>
      </c>
      <c r="J34" s="579">
        <v>0</v>
      </c>
      <c r="K34" s="579">
        <v>0</v>
      </c>
      <c r="L34" s="579">
        <v>0</v>
      </c>
      <c r="M34" s="579">
        <v>0</v>
      </c>
      <c r="N34" s="579">
        <v>0</v>
      </c>
      <c r="O34" s="579">
        <v>0</v>
      </c>
      <c r="P34" s="579">
        <v>0</v>
      </c>
      <c r="Q34" s="579">
        <v>0</v>
      </c>
      <c r="R34" s="579">
        <v>0</v>
      </c>
      <c r="S34" s="579">
        <v>0</v>
      </c>
      <c r="T34" s="579">
        <v>0</v>
      </c>
      <c r="U34" s="579">
        <v>0</v>
      </c>
      <c r="V34" s="579">
        <v>0</v>
      </c>
      <c r="W34" s="579">
        <v>0</v>
      </c>
      <c r="X34" s="579">
        <v>0</v>
      </c>
      <c r="Y34" s="579">
        <v>0</v>
      </c>
      <c r="Z34" s="579">
        <v>0</v>
      </c>
    </row>
    <row r="35" spans="2:75" x14ac:dyDescent="0.35">
      <c r="B35" s="1011" t="s">
        <v>337</v>
      </c>
      <c r="C35" s="579">
        <v>0</v>
      </c>
      <c r="D35" s="579">
        <v>0</v>
      </c>
      <c r="E35" s="579">
        <v>0</v>
      </c>
      <c r="F35" s="579">
        <v>0</v>
      </c>
      <c r="G35" s="579">
        <v>0</v>
      </c>
      <c r="H35" s="579">
        <v>0</v>
      </c>
      <c r="I35" s="579">
        <v>0</v>
      </c>
      <c r="J35" s="579">
        <v>0</v>
      </c>
      <c r="K35" s="579">
        <v>0</v>
      </c>
      <c r="L35" s="579">
        <v>0</v>
      </c>
      <c r="M35" s="579">
        <v>0</v>
      </c>
      <c r="N35" s="579">
        <v>0</v>
      </c>
      <c r="O35" s="579">
        <v>0</v>
      </c>
      <c r="P35" s="579">
        <v>0</v>
      </c>
      <c r="Q35" s="579">
        <v>0</v>
      </c>
      <c r="R35" s="579">
        <v>0</v>
      </c>
      <c r="S35" s="579">
        <v>0</v>
      </c>
      <c r="T35" s="579">
        <v>0</v>
      </c>
      <c r="U35" s="579">
        <v>0</v>
      </c>
      <c r="V35" s="579">
        <v>0</v>
      </c>
      <c r="W35" s="579">
        <v>0</v>
      </c>
      <c r="X35" s="579">
        <v>0</v>
      </c>
      <c r="Y35" s="579">
        <v>0</v>
      </c>
      <c r="Z35" s="579">
        <v>0</v>
      </c>
    </row>
    <row r="36" spans="2:75" x14ac:dyDescent="0.35">
      <c r="B36" s="1010" t="s">
        <v>338</v>
      </c>
      <c r="C36" s="579">
        <v>0</v>
      </c>
      <c r="D36" s="579">
        <v>0</v>
      </c>
      <c r="E36" s="579">
        <v>0</v>
      </c>
      <c r="F36" s="579">
        <v>0</v>
      </c>
      <c r="G36" s="579">
        <v>0</v>
      </c>
      <c r="H36" s="579">
        <v>0</v>
      </c>
      <c r="I36" s="579">
        <v>0</v>
      </c>
      <c r="J36" s="579">
        <v>0</v>
      </c>
      <c r="K36" s="579">
        <v>0</v>
      </c>
      <c r="L36" s="579">
        <v>0</v>
      </c>
      <c r="M36" s="579">
        <v>0</v>
      </c>
      <c r="N36" s="579">
        <v>0</v>
      </c>
      <c r="O36" s="579">
        <v>0</v>
      </c>
      <c r="P36" s="579">
        <v>0</v>
      </c>
      <c r="Q36" s="579">
        <v>0</v>
      </c>
      <c r="R36" s="579">
        <v>0</v>
      </c>
      <c r="S36" s="579">
        <v>0</v>
      </c>
      <c r="T36" s="579">
        <v>0</v>
      </c>
      <c r="U36" s="579">
        <v>0</v>
      </c>
      <c r="V36" s="579">
        <v>0</v>
      </c>
      <c r="W36" s="579">
        <v>0</v>
      </c>
      <c r="X36" s="579">
        <v>0</v>
      </c>
      <c r="Y36" s="579">
        <v>0</v>
      </c>
      <c r="Z36" s="579">
        <v>0</v>
      </c>
    </row>
    <row r="37" spans="2:75" ht="15" thickBot="1" x14ac:dyDescent="0.4">
      <c r="B37" s="913" t="s">
        <v>50</v>
      </c>
      <c r="C37" s="914">
        <f t="shared" ref="C37:Z37" si="12">SUM(C33:C36)</f>
        <v>0</v>
      </c>
      <c r="D37" s="914">
        <f t="shared" si="12"/>
        <v>0</v>
      </c>
      <c r="E37" s="914">
        <f t="shared" si="12"/>
        <v>0</v>
      </c>
      <c r="F37" s="914">
        <f t="shared" si="12"/>
        <v>0</v>
      </c>
      <c r="G37" s="914">
        <f t="shared" si="12"/>
        <v>0</v>
      </c>
      <c r="H37" s="914">
        <f t="shared" si="12"/>
        <v>0</v>
      </c>
      <c r="I37" s="914">
        <f t="shared" si="12"/>
        <v>0</v>
      </c>
      <c r="J37" s="914">
        <f t="shared" si="12"/>
        <v>0</v>
      </c>
      <c r="K37" s="914">
        <f t="shared" si="12"/>
        <v>0</v>
      </c>
      <c r="L37" s="914">
        <f t="shared" si="12"/>
        <v>0</v>
      </c>
      <c r="M37" s="914">
        <f t="shared" si="12"/>
        <v>0</v>
      </c>
      <c r="N37" s="914">
        <f t="shared" si="12"/>
        <v>0</v>
      </c>
      <c r="O37" s="915">
        <f t="shared" si="12"/>
        <v>0</v>
      </c>
      <c r="P37" s="915">
        <f t="shared" si="12"/>
        <v>0</v>
      </c>
      <c r="Q37" s="915">
        <f t="shared" si="12"/>
        <v>0</v>
      </c>
      <c r="R37" s="915">
        <f t="shared" si="12"/>
        <v>0</v>
      </c>
      <c r="S37" s="915">
        <f t="shared" si="12"/>
        <v>0</v>
      </c>
      <c r="T37" s="915">
        <f t="shared" si="12"/>
        <v>0</v>
      </c>
      <c r="U37" s="915">
        <f t="shared" si="12"/>
        <v>0</v>
      </c>
      <c r="V37" s="915">
        <f t="shared" si="12"/>
        <v>0</v>
      </c>
      <c r="W37" s="915">
        <f t="shared" si="12"/>
        <v>0</v>
      </c>
      <c r="X37" s="915">
        <f t="shared" si="12"/>
        <v>0</v>
      </c>
      <c r="Y37" s="914">
        <f t="shared" si="12"/>
        <v>0</v>
      </c>
      <c r="Z37" s="914">
        <f t="shared" si="12"/>
        <v>0</v>
      </c>
      <c r="AA37" s="914"/>
      <c r="AB37" s="914"/>
      <c r="AC37" s="914"/>
      <c r="AD37" s="914"/>
      <c r="AE37" s="914"/>
      <c r="AF37" s="914"/>
      <c r="AG37" s="914"/>
      <c r="AH37" s="914"/>
      <c r="AI37" s="914"/>
      <c r="AJ37" s="914"/>
      <c r="AK37" s="914"/>
      <c r="AL37" s="914"/>
      <c r="AM37" s="914"/>
      <c r="AN37" s="914"/>
      <c r="AO37" s="914"/>
      <c r="AP37" s="914"/>
      <c r="AQ37" s="914"/>
      <c r="AR37" s="914"/>
      <c r="AS37" s="914"/>
      <c r="AT37" s="914"/>
      <c r="AU37" s="914"/>
      <c r="AV37" s="914"/>
      <c r="AW37" s="914"/>
      <c r="AX37" s="914"/>
      <c r="AY37" s="914"/>
      <c r="AZ37" s="914"/>
      <c r="BA37" s="914"/>
      <c r="BB37" s="914"/>
      <c r="BC37" s="914"/>
      <c r="BD37" s="914"/>
      <c r="BE37" s="914"/>
      <c r="BF37" s="914"/>
      <c r="BG37" s="914"/>
      <c r="BH37" s="914"/>
      <c r="BI37" s="914"/>
      <c r="BJ37" s="914"/>
      <c r="BK37" s="914"/>
      <c r="BL37" s="914"/>
      <c r="BM37" s="914"/>
      <c r="BN37" s="914"/>
      <c r="BO37" s="914"/>
      <c r="BP37" s="914"/>
      <c r="BQ37" s="914"/>
      <c r="BR37" s="914"/>
      <c r="BS37" s="914"/>
      <c r="BT37" s="914"/>
      <c r="BU37" s="914"/>
      <c r="BV37" s="914"/>
      <c r="BW37" s="914"/>
    </row>
    <row r="38" spans="2:75" ht="15" thickTop="1" x14ac:dyDescent="0.35">
      <c r="B38" s="169"/>
      <c r="C38" s="21"/>
      <c r="D38" s="21"/>
      <c r="E38" s="21"/>
      <c r="F38" s="21"/>
      <c r="G38" s="21"/>
      <c r="H38" s="21"/>
      <c r="I38" s="21"/>
      <c r="J38" s="21"/>
      <c r="K38" s="21"/>
      <c r="L38" s="21"/>
      <c r="M38" s="21"/>
      <c r="N38" s="21"/>
      <c r="O38" s="21"/>
      <c r="P38" s="21"/>
      <c r="Q38" s="21"/>
      <c r="R38" s="21"/>
      <c r="S38" s="21"/>
      <c r="T38" s="21"/>
      <c r="U38" s="21"/>
      <c r="V38" s="21"/>
      <c r="W38" s="21"/>
      <c r="X38" s="21"/>
      <c r="Y38" s="21"/>
      <c r="Z38" s="21"/>
    </row>
    <row r="39" spans="2:75" x14ac:dyDescent="0.35">
      <c r="B39" s="27" t="s">
        <v>61</v>
      </c>
      <c r="C39" s="579">
        <f t="shared" ref="C39:Z39" si="13">-C31</f>
        <v>0</v>
      </c>
      <c r="D39" s="579">
        <f t="shared" si="13"/>
        <v>0</v>
      </c>
      <c r="E39" s="579">
        <f t="shared" si="13"/>
        <v>0</v>
      </c>
      <c r="F39" s="579">
        <f t="shared" si="13"/>
        <v>0</v>
      </c>
      <c r="G39" s="579">
        <f t="shared" si="13"/>
        <v>0</v>
      </c>
      <c r="H39" s="579">
        <f t="shared" si="13"/>
        <v>0</v>
      </c>
      <c r="I39" s="579">
        <f t="shared" si="13"/>
        <v>0</v>
      </c>
      <c r="J39" s="579">
        <f t="shared" si="13"/>
        <v>0</v>
      </c>
      <c r="K39" s="579">
        <f t="shared" si="13"/>
        <v>0</v>
      </c>
      <c r="L39" s="579">
        <f t="shared" si="13"/>
        <v>0</v>
      </c>
      <c r="M39" s="579">
        <f t="shared" si="13"/>
        <v>0</v>
      </c>
      <c r="N39" s="579">
        <f t="shared" si="13"/>
        <v>0</v>
      </c>
      <c r="O39" s="579">
        <f t="shared" si="13"/>
        <v>0</v>
      </c>
      <c r="P39" s="579">
        <f t="shared" si="13"/>
        <v>0</v>
      </c>
      <c r="Q39" s="579">
        <f t="shared" si="13"/>
        <v>0</v>
      </c>
      <c r="R39" s="579">
        <f t="shared" si="13"/>
        <v>0</v>
      </c>
      <c r="S39" s="579">
        <f t="shared" si="13"/>
        <v>0</v>
      </c>
      <c r="T39" s="579">
        <f t="shared" si="13"/>
        <v>0</v>
      </c>
      <c r="U39" s="579">
        <f t="shared" si="13"/>
        <v>0</v>
      </c>
      <c r="V39" s="579">
        <f t="shared" si="13"/>
        <v>0</v>
      </c>
      <c r="W39" s="579">
        <f t="shared" si="13"/>
        <v>0</v>
      </c>
      <c r="X39" s="579">
        <f t="shared" si="13"/>
        <v>0</v>
      </c>
      <c r="Y39" s="579">
        <f t="shared" si="13"/>
        <v>0</v>
      </c>
      <c r="Z39" s="579">
        <f t="shared" si="13"/>
        <v>0</v>
      </c>
    </row>
    <row r="40" spans="2:75" x14ac:dyDescent="0.35">
      <c r="B40" s="27" t="s">
        <v>62</v>
      </c>
      <c r="C40" s="579">
        <v>0</v>
      </c>
      <c r="D40" s="579">
        <f t="shared" ref="D40:N40" si="14">+C40+D39</f>
        <v>0</v>
      </c>
      <c r="E40" s="579">
        <f t="shared" si="14"/>
        <v>0</v>
      </c>
      <c r="F40" s="579">
        <f t="shared" si="14"/>
        <v>0</v>
      </c>
      <c r="G40" s="579">
        <f t="shared" si="14"/>
        <v>0</v>
      </c>
      <c r="H40" s="579">
        <f t="shared" si="14"/>
        <v>0</v>
      </c>
      <c r="I40" s="579">
        <f t="shared" si="14"/>
        <v>0</v>
      </c>
      <c r="J40" s="579">
        <f t="shared" si="14"/>
        <v>0</v>
      </c>
      <c r="K40" s="579">
        <v>0</v>
      </c>
      <c r="L40" s="579">
        <f t="shared" si="14"/>
        <v>0</v>
      </c>
      <c r="M40" s="579">
        <f t="shared" si="14"/>
        <v>0</v>
      </c>
      <c r="N40" s="579">
        <f t="shared" si="14"/>
        <v>0</v>
      </c>
      <c r="O40" s="579">
        <f>+N40+O39</f>
        <v>0</v>
      </c>
      <c r="P40" s="579">
        <f t="shared" ref="P40:Z40" si="15">+O40+P39</f>
        <v>0</v>
      </c>
      <c r="Q40" s="579">
        <f t="shared" si="15"/>
        <v>0</v>
      </c>
      <c r="R40" s="579">
        <f t="shared" si="15"/>
        <v>0</v>
      </c>
      <c r="S40" s="579">
        <f t="shared" si="15"/>
        <v>0</v>
      </c>
      <c r="T40" s="579">
        <f t="shared" si="15"/>
        <v>0</v>
      </c>
      <c r="U40" s="579">
        <f t="shared" si="15"/>
        <v>0</v>
      </c>
      <c r="V40" s="579">
        <f t="shared" si="15"/>
        <v>0</v>
      </c>
      <c r="W40" s="579">
        <f t="shared" si="15"/>
        <v>0</v>
      </c>
      <c r="X40" s="579">
        <f t="shared" si="15"/>
        <v>0</v>
      </c>
      <c r="Y40" s="579">
        <f t="shared" si="15"/>
        <v>0</v>
      </c>
      <c r="Z40" s="579">
        <f t="shared" si="15"/>
        <v>0</v>
      </c>
    </row>
    <row r="41" spans="2:75" ht="15" thickBot="1" x14ac:dyDescent="0.4">
      <c r="B41" s="913" t="s">
        <v>63</v>
      </c>
      <c r="C41" s="914">
        <f t="shared" ref="C41:Z41" si="16">+C31+C37</f>
        <v>0</v>
      </c>
      <c r="D41" s="914">
        <f t="shared" si="16"/>
        <v>0</v>
      </c>
      <c r="E41" s="914">
        <f t="shared" si="16"/>
        <v>0</v>
      </c>
      <c r="F41" s="914">
        <f t="shared" si="16"/>
        <v>0</v>
      </c>
      <c r="G41" s="914">
        <f t="shared" si="16"/>
        <v>0</v>
      </c>
      <c r="H41" s="914">
        <f t="shared" si="16"/>
        <v>0</v>
      </c>
      <c r="I41" s="914">
        <f t="shared" si="16"/>
        <v>0</v>
      </c>
      <c r="J41" s="914">
        <f t="shared" si="16"/>
        <v>0</v>
      </c>
      <c r="K41" s="914">
        <f t="shared" si="16"/>
        <v>0</v>
      </c>
      <c r="L41" s="914">
        <f t="shared" si="16"/>
        <v>0</v>
      </c>
      <c r="M41" s="914">
        <f t="shared" si="16"/>
        <v>0</v>
      </c>
      <c r="N41" s="914">
        <f t="shared" si="16"/>
        <v>0</v>
      </c>
      <c r="O41" s="915">
        <f t="shared" si="16"/>
        <v>0</v>
      </c>
      <c r="P41" s="915">
        <f t="shared" si="16"/>
        <v>0</v>
      </c>
      <c r="Q41" s="915">
        <f t="shared" si="16"/>
        <v>0</v>
      </c>
      <c r="R41" s="915">
        <f t="shared" si="16"/>
        <v>0</v>
      </c>
      <c r="S41" s="915">
        <f t="shared" si="16"/>
        <v>0</v>
      </c>
      <c r="T41" s="915">
        <f t="shared" si="16"/>
        <v>0</v>
      </c>
      <c r="U41" s="915">
        <f t="shared" si="16"/>
        <v>0</v>
      </c>
      <c r="V41" s="915">
        <f t="shared" si="16"/>
        <v>0</v>
      </c>
      <c r="W41" s="915">
        <f t="shared" si="16"/>
        <v>0</v>
      </c>
      <c r="X41" s="915">
        <f t="shared" si="16"/>
        <v>0</v>
      </c>
      <c r="Y41" s="914">
        <f t="shared" si="16"/>
        <v>0</v>
      </c>
      <c r="Z41" s="914">
        <f t="shared" si="16"/>
        <v>0</v>
      </c>
      <c r="AA41" s="914"/>
      <c r="AB41" s="914"/>
      <c r="AC41" s="914"/>
      <c r="AD41" s="914"/>
      <c r="AE41" s="914"/>
      <c r="AF41" s="914"/>
      <c r="AG41" s="914"/>
      <c r="AH41" s="914"/>
      <c r="AI41" s="914"/>
      <c r="AJ41" s="914"/>
      <c r="AK41" s="914"/>
      <c r="AL41" s="914"/>
      <c r="AM41" s="914"/>
      <c r="AN41" s="914"/>
      <c r="AO41" s="914"/>
      <c r="AP41" s="914"/>
      <c r="AQ41" s="914"/>
      <c r="AR41" s="914"/>
      <c r="AS41" s="914"/>
      <c r="AT41" s="914"/>
      <c r="AU41" s="914"/>
      <c r="AV41" s="914"/>
      <c r="AW41" s="914"/>
      <c r="AX41" s="914"/>
      <c r="AY41" s="914"/>
      <c r="AZ41" s="914"/>
      <c r="BA41" s="914"/>
      <c r="BB41" s="914"/>
      <c r="BC41" s="914"/>
      <c r="BD41" s="914"/>
      <c r="BE41" s="914"/>
      <c r="BF41" s="914"/>
      <c r="BG41" s="914"/>
      <c r="BH41" s="914"/>
      <c r="BI41" s="914"/>
      <c r="BJ41" s="914"/>
      <c r="BK41" s="914"/>
      <c r="BL41" s="914"/>
      <c r="BM41" s="914"/>
      <c r="BN41" s="914"/>
      <c r="BO41" s="914"/>
      <c r="BP41" s="914"/>
      <c r="BQ41" s="914"/>
      <c r="BR41" s="914"/>
      <c r="BS41" s="914"/>
      <c r="BT41" s="914"/>
      <c r="BU41" s="914"/>
      <c r="BV41" s="914"/>
      <c r="BW41" s="914"/>
    </row>
    <row r="42" spans="2:75" ht="15" thickTop="1" x14ac:dyDescent="0.35">
      <c r="B42" s="27"/>
      <c r="C42" s="579"/>
      <c r="D42" s="579"/>
      <c r="E42" s="579"/>
      <c r="F42" s="579"/>
      <c r="G42" s="579"/>
      <c r="H42" s="579"/>
      <c r="I42" s="579"/>
      <c r="J42" s="579"/>
      <c r="K42" s="579"/>
      <c r="L42" s="579"/>
      <c r="M42" s="579"/>
      <c r="N42" s="579"/>
      <c r="O42" s="579"/>
      <c r="P42" s="579"/>
      <c r="Q42" s="579"/>
      <c r="R42" s="579"/>
      <c r="S42" s="579"/>
      <c r="T42" s="579"/>
      <c r="U42" s="579"/>
      <c r="V42" s="579"/>
      <c r="W42" s="579"/>
      <c r="X42" s="579"/>
      <c r="Y42" s="579"/>
      <c r="Z42" s="579"/>
    </row>
    <row r="43" spans="2:75" x14ac:dyDescent="0.35">
      <c r="B43" s="575" t="s">
        <v>440</v>
      </c>
    </row>
    <row r="44" spans="2:75" x14ac:dyDescent="0.35">
      <c r="B44" s="575" t="s">
        <v>64</v>
      </c>
      <c r="C44" s="576">
        <v>0</v>
      </c>
      <c r="D44" s="576">
        <v>0</v>
      </c>
      <c r="E44" s="576">
        <v>0</v>
      </c>
      <c r="F44" s="576">
        <v>0</v>
      </c>
      <c r="G44" s="576">
        <v>0</v>
      </c>
      <c r="H44" s="576">
        <f>+G46</f>
        <v>0</v>
      </c>
      <c r="I44" s="576">
        <f>+H46</f>
        <v>0</v>
      </c>
      <c r="J44" s="576">
        <f>+I46</f>
        <v>0</v>
      </c>
      <c r="K44" s="576">
        <f>+J46</f>
        <v>0</v>
      </c>
      <c r="L44" s="576"/>
      <c r="M44" s="576"/>
      <c r="N44" s="576"/>
    </row>
    <row r="45" spans="2:75" s="224" customFormat="1" x14ac:dyDescent="0.35">
      <c r="B45" s="1012" t="s">
        <v>65</v>
      </c>
      <c r="C45" s="300">
        <v>0</v>
      </c>
      <c r="D45" s="300">
        <f t="shared" ref="D45:K45" si="17">+C45</f>
        <v>0</v>
      </c>
      <c r="E45" s="300">
        <f t="shared" si="17"/>
        <v>0</v>
      </c>
      <c r="F45" s="300">
        <f t="shared" si="17"/>
        <v>0</v>
      </c>
      <c r="G45" s="300">
        <f t="shared" si="17"/>
        <v>0</v>
      </c>
      <c r="H45" s="300">
        <f t="shared" si="17"/>
        <v>0</v>
      </c>
      <c r="I45" s="300">
        <f t="shared" si="17"/>
        <v>0</v>
      </c>
      <c r="J45" s="300">
        <f t="shared" si="17"/>
        <v>0</v>
      </c>
      <c r="K45" s="300">
        <f t="shared" si="17"/>
        <v>0</v>
      </c>
      <c r="L45" s="300"/>
      <c r="M45" s="300"/>
      <c r="N45" s="300"/>
      <c r="U45" s="895">
        <v>236350</v>
      </c>
      <c r="V45" s="895">
        <v>236350</v>
      </c>
      <c r="W45" s="895">
        <v>236350</v>
      </c>
      <c r="X45" s="895">
        <v>236350</v>
      </c>
      <c r="Y45" s="895">
        <v>236350</v>
      </c>
      <c r="Z45" s="895">
        <v>236350</v>
      </c>
      <c r="AA45" s="895">
        <v>236350</v>
      </c>
      <c r="AB45" s="895">
        <v>236350</v>
      </c>
      <c r="AC45" s="895">
        <v>236350</v>
      </c>
      <c r="AD45" s="895">
        <v>236350</v>
      </c>
      <c r="AE45" s="895">
        <v>236350</v>
      </c>
      <c r="AF45" s="895">
        <v>236350</v>
      </c>
      <c r="AG45" s="895">
        <v>236350</v>
      </c>
      <c r="AH45" s="895">
        <v>236350</v>
      </c>
      <c r="AI45" s="895">
        <v>236350</v>
      </c>
      <c r="AJ45" s="895">
        <v>236350</v>
      </c>
      <c r="AK45" s="895">
        <v>236350</v>
      </c>
      <c r="AL45" s="895">
        <v>236350</v>
      </c>
      <c r="AM45" s="895">
        <v>236350</v>
      </c>
      <c r="AN45" s="895">
        <v>236350</v>
      </c>
      <c r="AO45" s="895">
        <v>236350</v>
      </c>
      <c r="AP45" s="895">
        <v>236350</v>
      </c>
      <c r="AQ45" s="895">
        <v>236350</v>
      </c>
      <c r="AR45" s="895">
        <v>236350</v>
      </c>
      <c r="AS45" s="895">
        <v>236350</v>
      </c>
      <c r="AT45" s="895">
        <v>236350</v>
      </c>
      <c r="AU45" s="895">
        <v>236350</v>
      </c>
      <c r="AV45" s="895">
        <v>236350</v>
      </c>
      <c r="AW45" s="895">
        <v>236350</v>
      </c>
      <c r="AX45" s="895">
        <v>236350</v>
      </c>
      <c r="AY45" s="895">
        <v>236350</v>
      </c>
      <c r="AZ45" s="895">
        <v>236350</v>
      </c>
      <c r="BA45" s="895">
        <v>236350</v>
      </c>
      <c r="BB45" s="895">
        <v>236350</v>
      </c>
      <c r="BC45" s="895">
        <v>236350</v>
      </c>
      <c r="BD45" s="895">
        <v>236350</v>
      </c>
      <c r="BE45" s="895">
        <v>236350</v>
      </c>
      <c r="BF45" s="895">
        <v>236350</v>
      </c>
      <c r="BG45" s="895">
        <v>236350</v>
      </c>
      <c r="BH45" s="895">
        <v>236350</v>
      </c>
      <c r="BI45" s="895">
        <v>236350</v>
      </c>
      <c r="BJ45" s="895">
        <v>236350</v>
      </c>
      <c r="BK45" s="895">
        <v>236350</v>
      </c>
      <c r="BL45" s="895">
        <v>236350</v>
      </c>
      <c r="BM45" s="895">
        <v>236350</v>
      </c>
      <c r="BN45" s="895">
        <v>236350</v>
      </c>
      <c r="BO45" s="895">
        <v>236350</v>
      </c>
      <c r="BP45" s="895">
        <v>236350</v>
      </c>
      <c r="BQ45" s="895">
        <v>236350</v>
      </c>
      <c r="BR45" s="895">
        <v>236350</v>
      </c>
      <c r="BS45" s="895">
        <v>236350</v>
      </c>
      <c r="BT45" s="895">
        <v>236350</v>
      </c>
      <c r="BU45" s="895">
        <v>236350</v>
      </c>
      <c r="BV45" s="895">
        <v>236350</v>
      </c>
      <c r="BW45" s="895">
        <v>236350</v>
      </c>
    </row>
    <row r="46" spans="2:75" x14ac:dyDescent="0.35">
      <c r="B46" s="1012" t="s">
        <v>66</v>
      </c>
      <c r="C46" s="576">
        <f t="shared" ref="C46:K46" si="18">+C44-C45</f>
        <v>0</v>
      </c>
      <c r="D46" s="576">
        <f t="shared" si="18"/>
        <v>0</v>
      </c>
      <c r="E46" s="576">
        <f t="shared" si="18"/>
        <v>0</v>
      </c>
      <c r="F46" s="576">
        <f t="shared" si="18"/>
        <v>0</v>
      </c>
      <c r="G46" s="576">
        <f t="shared" si="18"/>
        <v>0</v>
      </c>
      <c r="H46" s="576">
        <f t="shared" si="18"/>
        <v>0</v>
      </c>
      <c r="I46" s="576">
        <f t="shared" si="18"/>
        <v>0</v>
      </c>
      <c r="J46" s="576">
        <f t="shared" si="18"/>
        <v>0</v>
      </c>
      <c r="K46" s="576">
        <f t="shared" si="18"/>
        <v>0</v>
      </c>
      <c r="L46" s="576">
        <f>+K46</f>
        <v>0</v>
      </c>
      <c r="M46" s="576">
        <f>+L46</f>
        <v>0</v>
      </c>
      <c r="N46" s="576">
        <f>+M46</f>
        <v>0</v>
      </c>
      <c r="O46" s="576">
        <f>+N46</f>
        <v>0</v>
      </c>
      <c r="P46" s="576">
        <f t="shared" ref="P46:Z46" si="19">+O46</f>
        <v>0</v>
      </c>
      <c r="Q46" s="576">
        <f t="shared" si="19"/>
        <v>0</v>
      </c>
      <c r="R46" s="576">
        <f t="shared" si="19"/>
        <v>0</v>
      </c>
      <c r="S46" s="576">
        <f t="shared" si="19"/>
        <v>0</v>
      </c>
      <c r="T46" s="576">
        <f t="shared" si="19"/>
        <v>0</v>
      </c>
      <c r="U46" s="576">
        <f t="shared" si="19"/>
        <v>0</v>
      </c>
      <c r="V46" s="576">
        <f t="shared" si="19"/>
        <v>0</v>
      </c>
      <c r="W46" s="576">
        <f t="shared" si="19"/>
        <v>0</v>
      </c>
      <c r="X46" s="576">
        <f t="shared" si="19"/>
        <v>0</v>
      </c>
      <c r="Y46" s="576">
        <f t="shared" si="19"/>
        <v>0</v>
      </c>
      <c r="Z46" s="576">
        <f t="shared" si="19"/>
        <v>0</v>
      </c>
    </row>
  </sheetData>
  <pageMargins left="0.7" right="0.7" top="0.75" bottom="0.75" header="0.3" footer="0.3"/>
  <pageSetup orientation="portrait" horizontalDpi="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FF0000"/>
  </sheetPr>
  <dimension ref="B2:BV52"/>
  <sheetViews>
    <sheetView zoomScale="70" zoomScaleNormal="70" workbookViewId="0">
      <pane xSplit="2" ySplit="6" topLeftCell="K7" activePane="bottomRight" state="frozen"/>
      <selection activeCell="Z64" sqref="Z64"/>
      <selection pane="topRight" activeCell="Z64" sqref="Z64"/>
      <selection pane="bottomLeft" activeCell="Z64" sqref="Z64"/>
      <selection pane="bottomRight" activeCell="O12" sqref="O12:Z12"/>
    </sheetView>
  </sheetViews>
  <sheetFormatPr defaultColWidth="10.7265625" defaultRowHeight="14.5" x14ac:dyDescent="0.35"/>
  <cols>
    <col min="1" max="1" width="3.26953125" style="41" customWidth="1"/>
    <col min="2" max="2" width="30.1796875" style="41" bestFit="1" customWidth="1"/>
    <col min="3" max="3" width="15.7265625" style="41" bestFit="1" customWidth="1"/>
    <col min="4" max="4" width="16" style="41" bestFit="1" customWidth="1"/>
    <col min="5" max="5" width="15.7265625" style="41" bestFit="1" customWidth="1"/>
    <col min="6" max="6" width="14.81640625" style="41" bestFit="1" customWidth="1"/>
    <col min="7" max="7" width="16" style="41" bestFit="1" customWidth="1"/>
    <col min="8" max="8" width="15.7265625" style="41" bestFit="1" customWidth="1"/>
    <col min="9" max="13" width="16" style="41" bestFit="1" customWidth="1"/>
    <col min="14" max="14" width="18.1796875" style="41" bestFit="1" customWidth="1"/>
    <col min="15" max="18" width="14.81640625" style="41" bestFit="1" customWidth="1"/>
    <col min="19" max="19" width="14.453125" style="41" bestFit="1" customWidth="1"/>
    <col min="20" max="24" width="14.81640625" style="41" bestFit="1" customWidth="1"/>
    <col min="25" max="25" width="15.54296875" style="41" customWidth="1"/>
    <col min="26" max="26" width="15" style="41" customWidth="1"/>
    <col min="27" max="27" width="14.81640625" style="41" bestFit="1" customWidth="1"/>
    <col min="28" max="35" width="14.54296875" style="41" customWidth="1"/>
    <col min="36" max="36" width="14.54296875" style="41" bestFit="1" customWidth="1"/>
    <col min="37" max="37" width="13.7265625" style="41" customWidth="1"/>
    <col min="38" max="38" width="14.54296875" style="41" bestFit="1" customWidth="1"/>
    <col min="39" max="49" width="13.7265625" style="41" customWidth="1"/>
    <col min="50" max="50" width="16.453125" style="41" bestFit="1" customWidth="1"/>
    <col min="51" max="74" width="13.7265625" style="41" customWidth="1"/>
    <col min="75" max="16384" width="10.7265625" style="41"/>
  </cols>
  <sheetData>
    <row r="2" spans="2:74" x14ac:dyDescent="0.35">
      <c r="B2" s="652" t="s">
        <v>1117</v>
      </c>
    </row>
    <row r="3" spans="2:74" x14ac:dyDescent="0.35">
      <c r="B3" s="1022" t="s">
        <v>931</v>
      </c>
      <c r="C3" s="885">
        <f>Sensativities!B3</f>
        <v>40909</v>
      </c>
      <c r="D3" s="885">
        <f t="shared" ref="D3:N3" si="0">C3+33</f>
        <v>40942</v>
      </c>
      <c r="E3" s="885">
        <f t="shared" si="0"/>
        <v>40975</v>
      </c>
      <c r="F3" s="885">
        <f t="shared" si="0"/>
        <v>41008</v>
      </c>
      <c r="G3" s="885">
        <f t="shared" si="0"/>
        <v>41041</v>
      </c>
      <c r="H3" s="885">
        <f t="shared" si="0"/>
        <v>41074</v>
      </c>
      <c r="I3" s="885">
        <f t="shared" si="0"/>
        <v>41107</v>
      </c>
      <c r="J3" s="885">
        <f t="shared" si="0"/>
        <v>41140</v>
      </c>
      <c r="K3" s="885">
        <f t="shared" si="0"/>
        <v>41173</v>
      </c>
      <c r="L3" s="885">
        <f t="shared" si="0"/>
        <v>41206</v>
      </c>
      <c r="M3" s="885">
        <f t="shared" si="0"/>
        <v>41239</v>
      </c>
      <c r="N3" s="885">
        <f t="shared" si="0"/>
        <v>41272</v>
      </c>
      <c r="O3" s="885">
        <f>N3+10</f>
        <v>41282</v>
      </c>
      <c r="P3" s="885">
        <f t="shared" ref="P3:AA3" si="1">O3+30</f>
        <v>41312</v>
      </c>
      <c r="Q3" s="885">
        <f t="shared" si="1"/>
        <v>41342</v>
      </c>
      <c r="R3" s="885">
        <f t="shared" si="1"/>
        <v>41372</v>
      </c>
      <c r="S3" s="885">
        <f t="shared" si="1"/>
        <v>41402</v>
      </c>
      <c r="T3" s="885">
        <f t="shared" si="1"/>
        <v>41432</v>
      </c>
      <c r="U3" s="885">
        <f t="shared" si="1"/>
        <v>41462</v>
      </c>
      <c r="V3" s="885">
        <f t="shared" si="1"/>
        <v>41492</v>
      </c>
      <c r="W3" s="885">
        <f t="shared" si="1"/>
        <v>41522</v>
      </c>
      <c r="X3" s="885">
        <f t="shared" si="1"/>
        <v>41552</v>
      </c>
      <c r="Y3" s="885">
        <f t="shared" si="1"/>
        <v>41582</v>
      </c>
      <c r="Z3" s="885">
        <f t="shared" si="1"/>
        <v>41612</v>
      </c>
      <c r="AA3" s="885">
        <f t="shared" si="1"/>
        <v>41642</v>
      </c>
      <c r="AB3" s="885">
        <f t="shared" ref="AB3:AK3" si="2">AA3+33</f>
        <v>41675</v>
      </c>
      <c r="AC3" s="885">
        <f t="shared" si="2"/>
        <v>41708</v>
      </c>
      <c r="AD3" s="885">
        <f t="shared" si="2"/>
        <v>41741</v>
      </c>
      <c r="AE3" s="885">
        <f t="shared" si="2"/>
        <v>41774</v>
      </c>
      <c r="AF3" s="885">
        <f t="shared" si="2"/>
        <v>41807</v>
      </c>
      <c r="AG3" s="885">
        <f t="shared" si="2"/>
        <v>41840</v>
      </c>
      <c r="AH3" s="885">
        <f t="shared" si="2"/>
        <v>41873</v>
      </c>
      <c r="AI3" s="885">
        <f t="shared" si="2"/>
        <v>41906</v>
      </c>
      <c r="AJ3" s="885">
        <f t="shared" si="2"/>
        <v>41939</v>
      </c>
      <c r="AK3" s="885">
        <f t="shared" si="2"/>
        <v>41972</v>
      </c>
      <c r="AL3" s="885">
        <f>AK3+10</f>
        <v>41982</v>
      </c>
      <c r="AM3" s="885">
        <f t="shared" ref="AM3:BD3" si="3">AL3+30</f>
        <v>42012</v>
      </c>
      <c r="AN3" s="885">
        <f t="shared" si="3"/>
        <v>42042</v>
      </c>
      <c r="AO3" s="885">
        <f t="shared" si="3"/>
        <v>42072</v>
      </c>
      <c r="AP3" s="885">
        <f t="shared" si="3"/>
        <v>42102</v>
      </c>
      <c r="AQ3" s="885">
        <f t="shared" si="3"/>
        <v>42132</v>
      </c>
      <c r="AR3" s="885">
        <f t="shared" si="3"/>
        <v>42162</v>
      </c>
      <c r="AS3" s="885">
        <f t="shared" si="3"/>
        <v>42192</v>
      </c>
      <c r="AT3" s="885">
        <f t="shared" si="3"/>
        <v>42222</v>
      </c>
      <c r="AU3" s="885">
        <f t="shared" si="3"/>
        <v>42252</v>
      </c>
      <c r="AV3" s="885">
        <f t="shared" si="3"/>
        <v>42282</v>
      </c>
      <c r="AW3" s="885">
        <f t="shared" si="3"/>
        <v>42312</v>
      </c>
      <c r="AX3" s="885">
        <f t="shared" si="3"/>
        <v>42342</v>
      </c>
      <c r="AY3" s="885">
        <f t="shared" si="3"/>
        <v>42372</v>
      </c>
      <c r="AZ3" s="885">
        <f t="shared" si="3"/>
        <v>42402</v>
      </c>
      <c r="BA3" s="885">
        <f t="shared" si="3"/>
        <v>42432</v>
      </c>
      <c r="BB3" s="885">
        <f t="shared" si="3"/>
        <v>42462</v>
      </c>
      <c r="BC3" s="885">
        <f t="shared" si="3"/>
        <v>42492</v>
      </c>
      <c r="BD3" s="885">
        <f t="shared" si="3"/>
        <v>42522</v>
      </c>
      <c r="BE3" s="885">
        <f>BD3+33</f>
        <v>42555</v>
      </c>
      <c r="BF3" s="885">
        <f>BE3+30</f>
        <v>42585</v>
      </c>
      <c r="BG3" s="885">
        <f>BF3+30</f>
        <v>42615</v>
      </c>
      <c r="BH3" s="885">
        <f>BG3+30</f>
        <v>42645</v>
      </c>
      <c r="BI3" s="885">
        <f>BH3+30</f>
        <v>42675</v>
      </c>
      <c r="BJ3" s="885">
        <f>BI3+30</f>
        <v>42705</v>
      </c>
      <c r="BK3" s="885">
        <v>42736</v>
      </c>
      <c r="BL3" s="885">
        <v>42767</v>
      </c>
      <c r="BM3" s="885">
        <v>42795</v>
      </c>
      <c r="BN3" s="885">
        <v>42826</v>
      </c>
      <c r="BO3" s="885">
        <v>42856</v>
      </c>
      <c r="BP3" s="885">
        <v>42887</v>
      </c>
      <c r="BQ3" s="885">
        <v>42917</v>
      </c>
      <c r="BR3" s="885">
        <v>42948</v>
      </c>
      <c r="BS3" s="885">
        <v>42979</v>
      </c>
      <c r="BT3" s="885">
        <v>43009</v>
      </c>
      <c r="BU3" s="885">
        <v>43040</v>
      </c>
      <c r="BV3" s="885">
        <v>43070</v>
      </c>
    </row>
    <row r="4" spans="2:74" x14ac:dyDescent="0.35">
      <c r="B4" s="575" t="s">
        <v>1115</v>
      </c>
      <c r="C4" s="57" t="str">
        <f t="shared" ref="C4:BC4" si="4">CONCATENATE(IF(MONTH(C3)&lt;4,"1Q",IF(MONTH(C3)&lt;7,"2Q",IF(MONTH(C3)&lt;10,"3Q","4Q")))&amp; ""&amp;YEAR(C3))</f>
        <v>1Q2012</v>
      </c>
      <c r="D4" s="57" t="str">
        <f t="shared" si="4"/>
        <v>1Q2012</v>
      </c>
      <c r="E4" s="57" t="str">
        <f t="shared" si="4"/>
        <v>1Q2012</v>
      </c>
      <c r="F4" s="57" t="str">
        <f t="shared" si="4"/>
        <v>2Q2012</v>
      </c>
      <c r="G4" s="57" t="str">
        <f t="shared" si="4"/>
        <v>2Q2012</v>
      </c>
      <c r="H4" s="57" t="str">
        <f t="shared" si="4"/>
        <v>2Q2012</v>
      </c>
      <c r="I4" s="57" t="str">
        <f t="shared" si="4"/>
        <v>3Q2012</v>
      </c>
      <c r="J4" s="57" t="str">
        <f t="shared" si="4"/>
        <v>3Q2012</v>
      </c>
      <c r="K4" s="57" t="str">
        <f t="shared" si="4"/>
        <v>3Q2012</v>
      </c>
      <c r="L4" s="57" t="str">
        <f t="shared" si="4"/>
        <v>4Q2012</v>
      </c>
      <c r="M4" s="57" t="str">
        <f t="shared" si="4"/>
        <v>4Q2012</v>
      </c>
      <c r="N4" s="57" t="str">
        <f t="shared" si="4"/>
        <v>4Q2012</v>
      </c>
      <c r="O4" s="57" t="str">
        <f t="shared" si="4"/>
        <v>1Q2013</v>
      </c>
      <c r="P4" s="57" t="str">
        <f t="shared" si="4"/>
        <v>1Q2013</v>
      </c>
      <c r="Q4" s="57" t="str">
        <f t="shared" si="4"/>
        <v>1Q2013</v>
      </c>
      <c r="R4" s="57" t="str">
        <f t="shared" si="4"/>
        <v>2Q2013</v>
      </c>
      <c r="S4" s="57" t="str">
        <f t="shared" si="4"/>
        <v>2Q2013</v>
      </c>
      <c r="T4" s="57" t="str">
        <f t="shared" si="4"/>
        <v>2Q2013</v>
      </c>
      <c r="U4" s="57" t="str">
        <f t="shared" si="4"/>
        <v>3Q2013</v>
      </c>
      <c r="V4" s="57" t="str">
        <f t="shared" si="4"/>
        <v>3Q2013</v>
      </c>
      <c r="W4" s="57" t="str">
        <f t="shared" si="4"/>
        <v>3Q2013</v>
      </c>
      <c r="X4" s="57" t="str">
        <f t="shared" si="4"/>
        <v>4Q2013</v>
      </c>
      <c r="Y4" s="57" t="str">
        <f t="shared" si="4"/>
        <v>4Q2013</v>
      </c>
      <c r="Z4" s="57" t="str">
        <f t="shared" si="4"/>
        <v>4Q2013</v>
      </c>
      <c r="AA4" s="57" t="str">
        <f t="shared" si="4"/>
        <v>1Q2014</v>
      </c>
      <c r="AB4" s="57" t="str">
        <f t="shared" si="4"/>
        <v>1Q2014</v>
      </c>
      <c r="AC4" s="57" t="str">
        <f t="shared" si="4"/>
        <v>1Q2014</v>
      </c>
      <c r="AD4" s="57" t="str">
        <f t="shared" si="4"/>
        <v>2Q2014</v>
      </c>
      <c r="AE4" s="57" t="str">
        <f t="shared" si="4"/>
        <v>2Q2014</v>
      </c>
      <c r="AF4" s="57" t="str">
        <f t="shared" si="4"/>
        <v>2Q2014</v>
      </c>
      <c r="AG4" s="57" t="str">
        <f t="shared" si="4"/>
        <v>3Q2014</v>
      </c>
      <c r="AH4" s="57" t="str">
        <f t="shared" si="4"/>
        <v>3Q2014</v>
      </c>
      <c r="AI4" s="57" t="str">
        <f t="shared" si="4"/>
        <v>3Q2014</v>
      </c>
      <c r="AJ4" s="57" t="str">
        <f t="shared" si="4"/>
        <v>4Q2014</v>
      </c>
      <c r="AK4" s="57" t="str">
        <f t="shared" si="4"/>
        <v>4Q2014</v>
      </c>
      <c r="AL4" s="57" t="str">
        <f t="shared" si="4"/>
        <v>4Q2014</v>
      </c>
      <c r="AM4" s="57" t="str">
        <f t="shared" si="4"/>
        <v>1Q2015</v>
      </c>
      <c r="AN4" s="57" t="str">
        <f t="shared" si="4"/>
        <v>1Q2015</v>
      </c>
      <c r="AO4" s="57" t="str">
        <f t="shared" si="4"/>
        <v>1Q2015</v>
      </c>
      <c r="AP4" s="57" t="str">
        <f t="shared" si="4"/>
        <v>2Q2015</v>
      </c>
      <c r="AQ4" s="57" t="str">
        <f t="shared" si="4"/>
        <v>2Q2015</v>
      </c>
      <c r="AR4" s="57" t="str">
        <f t="shared" si="4"/>
        <v>2Q2015</v>
      </c>
      <c r="AS4" s="57" t="str">
        <f t="shared" si="4"/>
        <v>3Q2015</v>
      </c>
      <c r="AT4" s="57" t="str">
        <f t="shared" si="4"/>
        <v>3Q2015</v>
      </c>
      <c r="AU4" s="57" t="str">
        <f t="shared" si="4"/>
        <v>3Q2015</v>
      </c>
      <c r="AV4" s="57" t="str">
        <f t="shared" si="4"/>
        <v>4Q2015</v>
      </c>
      <c r="AW4" s="57" t="str">
        <f t="shared" si="4"/>
        <v>4Q2015</v>
      </c>
      <c r="AX4" s="57" t="str">
        <f t="shared" si="4"/>
        <v>4Q2015</v>
      </c>
      <c r="AY4" s="57" t="str">
        <f t="shared" si="4"/>
        <v>1Q2016</v>
      </c>
      <c r="AZ4" s="57" t="str">
        <f t="shared" si="4"/>
        <v>1Q2016</v>
      </c>
      <c r="BA4" s="57" t="str">
        <f t="shared" si="4"/>
        <v>1Q2016</v>
      </c>
      <c r="BB4" s="57" t="str">
        <f t="shared" si="4"/>
        <v>2Q2016</v>
      </c>
      <c r="BC4" s="57" t="str">
        <f t="shared" si="4"/>
        <v>2Q2016</v>
      </c>
      <c r="BD4" s="57" t="str">
        <f t="shared" ref="BD4:BO4" si="5">CONCATENATE(IF(MONTH(BD3)&lt;4,"1Q",IF(MONTH(BD3)&lt;7,"2Q",IF(MONTH(BD3)&lt;10,"3Q","4Q")))&amp; ""&amp;YEAR(BD3))</f>
        <v>2Q2016</v>
      </c>
      <c r="BE4" s="57" t="str">
        <f t="shared" si="5"/>
        <v>3Q2016</v>
      </c>
      <c r="BF4" s="57" t="str">
        <f t="shared" si="5"/>
        <v>3Q2016</v>
      </c>
      <c r="BG4" s="57" t="str">
        <f t="shared" si="5"/>
        <v>3Q2016</v>
      </c>
      <c r="BH4" s="57" t="str">
        <f t="shared" si="5"/>
        <v>4Q2016</v>
      </c>
      <c r="BI4" s="57" t="str">
        <f t="shared" si="5"/>
        <v>4Q2016</v>
      </c>
      <c r="BJ4" s="57" t="str">
        <f t="shared" si="5"/>
        <v>4Q2016</v>
      </c>
      <c r="BK4" s="57" t="str">
        <f t="shared" si="5"/>
        <v>1Q2017</v>
      </c>
      <c r="BL4" s="57" t="str">
        <f t="shared" si="5"/>
        <v>1Q2017</v>
      </c>
      <c r="BM4" s="57" t="str">
        <f t="shared" si="5"/>
        <v>1Q2017</v>
      </c>
      <c r="BN4" s="57" t="str">
        <f t="shared" si="5"/>
        <v>2Q2017</v>
      </c>
      <c r="BO4" s="57" t="str">
        <f t="shared" si="5"/>
        <v>2Q2017</v>
      </c>
      <c r="BP4" s="57" t="str">
        <f t="shared" ref="BP4:BV4" si="6">CONCATENATE(IF(MONTH(BP3)&lt;4,"1Q",IF(MONTH(BP3)&lt;7,"2Q",IF(MONTH(BP3)&lt;10,"3Q","4Q")))&amp; ""&amp;YEAR(BP3))</f>
        <v>2Q2017</v>
      </c>
      <c r="BQ4" s="57" t="str">
        <f t="shared" si="6"/>
        <v>3Q2017</v>
      </c>
      <c r="BR4" s="57" t="str">
        <f t="shared" si="6"/>
        <v>3Q2017</v>
      </c>
      <c r="BS4" s="57" t="str">
        <f t="shared" si="6"/>
        <v>3Q2017</v>
      </c>
      <c r="BT4" s="57" t="str">
        <f t="shared" si="6"/>
        <v>4Q2017</v>
      </c>
      <c r="BU4" s="57" t="str">
        <f t="shared" si="6"/>
        <v>4Q2017</v>
      </c>
      <c r="BV4" s="57" t="str">
        <f t="shared" si="6"/>
        <v>4Q2017</v>
      </c>
    </row>
    <row r="5" spans="2:74" x14ac:dyDescent="0.35">
      <c r="B5" s="575" t="s">
        <v>1116</v>
      </c>
      <c r="C5" s="56">
        <f t="shared" ref="C5:BC5" si="7">YEAR(C3)</f>
        <v>2012</v>
      </c>
      <c r="D5" s="56">
        <f t="shared" si="7"/>
        <v>2012</v>
      </c>
      <c r="E5" s="56">
        <f t="shared" si="7"/>
        <v>2012</v>
      </c>
      <c r="F5" s="56">
        <f t="shared" si="7"/>
        <v>2012</v>
      </c>
      <c r="G5" s="56">
        <f t="shared" si="7"/>
        <v>2012</v>
      </c>
      <c r="H5" s="56">
        <f t="shared" si="7"/>
        <v>2012</v>
      </c>
      <c r="I5" s="56">
        <f t="shared" si="7"/>
        <v>2012</v>
      </c>
      <c r="J5" s="56">
        <f t="shared" si="7"/>
        <v>2012</v>
      </c>
      <c r="K5" s="56">
        <f t="shared" si="7"/>
        <v>2012</v>
      </c>
      <c r="L5" s="56">
        <f t="shared" si="7"/>
        <v>2012</v>
      </c>
      <c r="M5" s="56">
        <f t="shared" si="7"/>
        <v>2012</v>
      </c>
      <c r="N5" s="56">
        <f t="shared" si="7"/>
        <v>2012</v>
      </c>
      <c r="O5" s="56">
        <f t="shared" si="7"/>
        <v>2013</v>
      </c>
      <c r="P5" s="56">
        <f t="shared" si="7"/>
        <v>2013</v>
      </c>
      <c r="Q5" s="56">
        <f t="shared" si="7"/>
        <v>2013</v>
      </c>
      <c r="R5" s="56">
        <f t="shared" si="7"/>
        <v>2013</v>
      </c>
      <c r="S5" s="56">
        <f t="shared" si="7"/>
        <v>2013</v>
      </c>
      <c r="T5" s="56">
        <f t="shared" si="7"/>
        <v>2013</v>
      </c>
      <c r="U5" s="56">
        <f t="shared" si="7"/>
        <v>2013</v>
      </c>
      <c r="V5" s="56">
        <f t="shared" si="7"/>
        <v>2013</v>
      </c>
      <c r="W5" s="56">
        <f t="shared" si="7"/>
        <v>2013</v>
      </c>
      <c r="X5" s="56">
        <f t="shared" si="7"/>
        <v>2013</v>
      </c>
      <c r="Y5" s="56">
        <f t="shared" si="7"/>
        <v>2013</v>
      </c>
      <c r="Z5" s="56">
        <f t="shared" si="7"/>
        <v>2013</v>
      </c>
      <c r="AA5" s="56">
        <f t="shared" si="7"/>
        <v>2014</v>
      </c>
      <c r="AB5" s="56">
        <f t="shared" si="7"/>
        <v>2014</v>
      </c>
      <c r="AC5" s="56">
        <f t="shared" si="7"/>
        <v>2014</v>
      </c>
      <c r="AD5" s="56">
        <f t="shared" si="7"/>
        <v>2014</v>
      </c>
      <c r="AE5" s="56">
        <f t="shared" si="7"/>
        <v>2014</v>
      </c>
      <c r="AF5" s="56">
        <f t="shared" si="7"/>
        <v>2014</v>
      </c>
      <c r="AG5" s="56">
        <f t="shared" si="7"/>
        <v>2014</v>
      </c>
      <c r="AH5" s="56">
        <f t="shared" si="7"/>
        <v>2014</v>
      </c>
      <c r="AI5" s="56">
        <f t="shared" si="7"/>
        <v>2014</v>
      </c>
      <c r="AJ5" s="56">
        <f t="shared" si="7"/>
        <v>2014</v>
      </c>
      <c r="AK5" s="56">
        <f t="shared" si="7"/>
        <v>2014</v>
      </c>
      <c r="AL5" s="56">
        <f t="shared" si="7"/>
        <v>2014</v>
      </c>
      <c r="AM5" s="56">
        <f t="shared" si="7"/>
        <v>2015</v>
      </c>
      <c r="AN5" s="56">
        <f t="shared" si="7"/>
        <v>2015</v>
      </c>
      <c r="AO5" s="56">
        <f t="shared" si="7"/>
        <v>2015</v>
      </c>
      <c r="AP5" s="56">
        <f t="shared" si="7"/>
        <v>2015</v>
      </c>
      <c r="AQ5" s="56">
        <f t="shared" si="7"/>
        <v>2015</v>
      </c>
      <c r="AR5" s="56">
        <f t="shared" si="7"/>
        <v>2015</v>
      </c>
      <c r="AS5" s="56">
        <f t="shared" si="7"/>
        <v>2015</v>
      </c>
      <c r="AT5" s="56">
        <f t="shared" si="7"/>
        <v>2015</v>
      </c>
      <c r="AU5" s="56">
        <f t="shared" si="7"/>
        <v>2015</v>
      </c>
      <c r="AV5" s="56">
        <f t="shared" si="7"/>
        <v>2015</v>
      </c>
      <c r="AW5" s="56">
        <f t="shared" si="7"/>
        <v>2015</v>
      </c>
      <c r="AX5" s="56">
        <f t="shared" si="7"/>
        <v>2015</v>
      </c>
      <c r="AY5" s="56">
        <f t="shared" si="7"/>
        <v>2016</v>
      </c>
      <c r="AZ5" s="56">
        <f t="shared" si="7"/>
        <v>2016</v>
      </c>
      <c r="BA5" s="56">
        <f t="shared" si="7"/>
        <v>2016</v>
      </c>
      <c r="BB5" s="56">
        <f t="shared" si="7"/>
        <v>2016</v>
      </c>
      <c r="BC5" s="56">
        <f t="shared" si="7"/>
        <v>2016</v>
      </c>
      <c r="BD5" s="56">
        <f t="shared" ref="BD5:BO5" si="8">YEAR(BD3)</f>
        <v>2016</v>
      </c>
      <c r="BE5" s="56">
        <f t="shared" si="8"/>
        <v>2016</v>
      </c>
      <c r="BF5" s="56">
        <f t="shared" si="8"/>
        <v>2016</v>
      </c>
      <c r="BG5" s="56">
        <f t="shared" si="8"/>
        <v>2016</v>
      </c>
      <c r="BH5" s="56">
        <f t="shared" si="8"/>
        <v>2016</v>
      </c>
      <c r="BI5" s="56">
        <f t="shared" si="8"/>
        <v>2016</v>
      </c>
      <c r="BJ5" s="56">
        <f t="shared" si="8"/>
        <v>2016</v>
      </c>
      <c r="BK5" s="56">
        <f t="shared" si="8"/>
        <v>2017</v>
      </c>
      <c r="BL5" s="56">
        <f t="shared" si="8"/>
        <v>2017</v>
      </c>
      <c r="BM5" s="56">
        <f t="shared" si="8"/>
        <v>2017</v>
      </c>
      <c r="BN5" s="56">
        <f t="shared" si="8"/>
        <v>2017</v>
      </c>
      <c r="BO5" s="56">
        <f t="shared" si="8"/>
        <v>2017</v>
      </c>
      <c r="BP5" s="56">
        <f t="shared" ref="BP5:BV5" si="9">YEAR(BP3)</f>
        <v>2017</v>
      </c>
      <c r="BQ5" s="56">
        <f t="shared" si="9"/>
        <v>2017</v>
      </c>
      <c r="BR5" s="56">
        <f t="shared" si="9"/>
        <v>2017</v>
      </c>
      <c r="BS5" s="56">
        <f t="shared" si="9"/>
        <v>2017</v>
      </c>
      <c r="BT5" s="56">
        <f t="shared" si="9"/>
        <v>2017</v>
      </c>
      <c r="BU5" s="56">
        <f t="shared" si="9"/>
        <v>2017</v>
      </c>
      <c r="BV5" s="56">
        <f t="shared" si="9"/>
        <v>2017</v>
      </c>
    </row>
    <row r="6" spans="2:74" x14ac:dyDescent="0.35">
      <c r="B6" s="1021" t="s">
        <v>1114</v>
      </c>
      <c r="C6" s="1002" t="str">
        <f>'Dept. Cost Actuals'!G4</f>
        <v>Actual</v>
      </c>
      <c r="D6" s="1002" t="str">
        <f>'Dept. Cost Actuals'!H4</f>
        <v>Actual</v>
      </c>
      <c r="E6" s="1002" t="str">
        <f>'Dept. Cost Actuals'!I4</f>
        <v>Actual</v>
      </c>
      <c r="F6" s="1002" t="str">
        <f>'Dept. Cost Actuals'!J4</f>
        <v>Actual</v>
      </c>
      <c r="G6" s="1002" t="str">
        <f>'Dept. Cost Actuals'!K4</f>
        <v>Actual</v>
      </c>
      <c r="H6" s="1002" t="str">
        <f>'Dept. Cost Actuals'!L4</f>
        <v>Actual</v>
      </c>
      <c r="I6" s="1002" t="str">
        <f>'Dept. Cost Actuals'!M4</f>
        <v>Actual</v>
      </c>
      <c r="J6" s="1002" t="str">
        <f>'Dept. Cost Actuals'!N4</f>
        <v>Actual</v>
      </c>
      <c r="K6" s="1002" t="str">
        <f>'Dept. Cost Actuals'!O4</f>
        <v>Actual</v>
      </c>
      <c r="L6" s="1002" t="str">
        <f>'Dept. Cost Actuals'!P4</f>
        <v>Actual</v>
      </c>
      <c r="M6" s="1002" t="str">
        <f>'Dept. Cost Actuals'!Q4</f>
        <v>Actual</v>
      </c>
      <c r="N6" s="1002" t="str">
        <f>'Dept. Cost Actuals'!R4</f>
        <v>Actual</v>
      </c>
      <c r="O6" s="1002" t="str">
        <f>'Dept. Cost Actuals'!S4</f>
        <v>Actual</v>
      </c>
      <c r="P6" s="1002" t="str">
        <f>'Dept. Cost Actuals'!T4</f>
        <v>Actual</v>
      </c>
      <c r="Q6" s="1002" t="str">
        <f>'Dept. Cost Actuals'!U4</f>
        <v>Actual</v>
      </c>
      <c r="R6" s="1002" t="str">
        <f>'Dept. Cost Actuals'!V4</f>
        <v>Actual</v>
      </c>
      <c r="S6" s="1002" t="str">
        <f>'Dept. Cost Actuals'!W4</f>
        <v>Actual</v>
      </c>
      <c r="T6" s="1002" t="str">
        <f>'Dept. Cost Actuals'!X4</f>
        <v>Actual</v>
      </c>
      <c r="U6" s="1002" t="str">
        <f>'Dept. Cost Actuals'!Y4</f>
        <v>Actual</v>
      </c>
      <c r="V6" s="1002" t="str">
        <f>'Dept. Cost Actuals'!Z4</f>
        <v>Actual</v>
      </c>
      <c r="W6" s="1002" t="str">
        <f>'Dept. Cost Actuals'!AA4</f>
        <v>Actual</v>
      </c>
      <c r="X6" s="1002" t="str">
        <f>'Dept. Cost Actuals'!AB4</f>
        <v>Actual</v>
      </c>
      <c r="Y6" s="1002" t="str">
        <f>'Dept. Cost Actuals'!AC4</f>
        <v>Actual</v>
      </c>
      <c r="Z6" s="1002" t="str">
        <f>'Dept. Cost Actuals'!AD4</f>
        <v>Actual</v>
      </c>
      <c r="AA6" s="1002" t="str">
        <f>'Dept. Cost Actuals'!AE4</f>
        <v>Forecast</v>
      </c>
      <c r="AB6" s="1002" t="str">
        <f>'Dept. Cost Actuals'!AF4</f>
        <v>Forecast</v>
      </c>
      <c r="AC6" s="1002" t="str">
        <f>'Dept. Cost Actuals'!AG4</f>
        <v>Forecast</v>
      </c>
      <c r="AD6" s="1002" t="str">
        <f>'Dept. Cost Actuals'!AH4</f>
        <v>Forecast</v>
      </c>
      <c r="AE6" s="1002" t="str">
        <f>'Dept. Cost Actuals'!AI4</f>
        <v>Forecast</v>
      </c>
      <c r="AF6" s="1002" t="str">
        <f>'Dept. Cost Actuals'!AJ4</f>
        <v>Forecast</v>
      </c>
      <c r="AG6" s="1002" t="str">
        <f>'Dept. Cost Actuals'!AK4</f>
        <v>Forecast</v>
      </c>
      <c r="AH6" s="1002" t="str">
        <f>'Dept. Cost Actuals'!AL4</f>
        <v>Forecast</v>
      </c>
      <c r="AI6" s="1002" t="str">
        <f>'Dept. Cost Actuals'!AM4</f>
        <v>Forecast</v>
      </c>
      <c r="AJ6" s="1002" t="str">
        <f>'Dept. Cost Actuals'!AN4</f>
        <v>Forecast</v>
      </c>
      <c r="AK6" s="1002" t="str">
        <f>'Dept. Cost Actuals'!AO4</f>
        <v>Forecast</v>
      </c>
      <c r="AL6" s="1002" t="str">
        <f>'Dept. Cost Actuals'!AP4</f>
        <v>Forecast</v>
      </c>
      <c r="AM6" s="1002" t="str">
        <f>'Dept. Cost Actuals'!AQ4</f>
        <v>Forecast</v>
      </c>
      <c r="AN6" s="1002" t="str">
        <f>'Dept. Cost Actuals'!AR4</f>
        <v>Forecast</v>
      </c>
      <c r="AO6" s="1002" t="str">
        <f>'Dept. Cost Actuals'!AS4</f>
        <v>Forecast</v>
      </c>
      <c r="AP6" s="1002" t="str">
        <f>'Dept. Cost Actuals'!AT4</f>
        <v>Forecast</v>
      </c>
      <c r="AQ6" s="1002" t="str">
        <f>'Dept. Cost Actuals'!AU4</f>
        <v>Forecast</v>
      </c>
      <c r="AR6" s="1002" t="str">
        <f>'Dept. Cost Actuals'!AV4</f>
        <v>Forecast</v>
      </c>
      <c r="AS6" s="1002" t="str">
        <f>'Dept. Cost Actuals'!AW4</f>
        <v>Forecast</v>
      </c>
      <c r="AT6" s="1002" t="str">
        <f>'Dept. Cost Actuals'!AX4</f>
        <v>Forecast</v>
      </c>
      <c r="AU6" s="1002" t="str">
        <f>'Dept. Cost Actuals'!AY4</f>
        <v>Forecast</v>
      </c>
      <c r="AV6" s="1002" t="str">
        <f>'Dept. Cost Actuals'!AZ4</f>
        <v>Forecast</v>
      </c>
      <c r="AW6" s="1002" t="str">
        <f>'Dept. Cost Actuals'!BA4</f>
        <v>Forecast</v>
      </c>
      <c r="AX6" s="1002" t="str">
        <f>'Dept. Cost Actuals'!BB4</f>
        <v>Forecast</v>
      </c>
      <c r="AY6" s="1002" t="str">
        <f>'Dept. Cost Actuals'!BC4</f>
        <v>Forecast</v>
      </c>
      <c r="AZ6" s="1002" t="str">
        <f>'Dept. Cost Actuals'!BD4</f>
        <v>Forecast</v>
      </c>
      <c r="BA6" s="1002" t="str">
        <f>'Dept. Cost Actuals'!BE4</f>
        <v>Forecast</v>
      </c>
      <c r="BB6" s="1002" t="str">
        <f>'Dept. Cost Actuals'!BF4</f>
        <v>Forecast</v>
      </c>
      <c r="BC6" s="1002" t="str">
        <f>'Dept. Cost Actuals'!BG4</f>
        <v>Forecast</v>
      </c>
      <c r="BD6" s="1002" t="str">
        <f>'Dept. Cost Actuals'!BH4</f>
        <v>Forecast</v>
      </c>
      <c r="BE6" s="1002" t="str">
        <f>'Dept. Cost Actuals'!BI4</f>
        <v>Forecast</v>
      </c>
      <c r="BF6" s="1002" t="str">
        <f>'Dept. Cost Actuals'!BJ4</f>
        <v>Forecast</v>
      </c>
      <c r="BG6" s="1002" t="str">
        <f>'Dept. Cost Actuals'!BK4</f>
        <v>Forecast</v>
      </c>
      <c r="BH6" s="1002" t="str">
        <f>'Dept. Cost Actuals'!BL4</f>
        <v>Forecast</v>
      </c>
      <c r="BI6" s="1002" t="str">
        <f>'Dept. Cost Actuals'!BM4</f>
        <v>Forecast</v>
      </c>
      <c r="BJ6" s="1002" t="str">
        <f>'Dept. Cost Actuals'!BN4</f>
        <v>Forecast</v>
      </c>
      <c r="BK6" s="1002" t="str">
        <f>'Dept. Cost Actuals'!BO4</f>
        <v>Forecast</v>
      </c>
      <c r="BL6" s="1002" t="str">
        <f>'Dept. Cost Actuals'!BP4</f>
        <v>Forecast</v>
      </c>
      <c r="BM6" s="1002" t="str">
        <f>'Dept. Cost Actuals'!BQ4</f>
        <v>Forecast</v>
      </c>
      <c r="BN6" s="1002" t="str">
        <f>'Dept. Cost Actuals'!BR4</f>
        <v>Forecast</v>
      </c>
      <c r="BO6" s="1002" t="str">
        <f>'Dept. Cost Actuals'!BS4</f>
        <v>Forecast</v>
      </c>
      <c r="BP6" s="1002" t="str">
        <f>'Dept. Cost Actuals'!BT4</f>
        <v>Forecast</v>
      </c>
      <c r="BQ6" s="1002" t="str">
        <f>'Dept. Cost Actuals'!BU4</f>
        <v>Forecast</v>
      </c>
      <c r="BR6" s="1002" t="str">
        <f>'Dept. Cost Actuals'!BV4</f>
        <v>Forecast</v>
      </c>
      <c r="BS6" s="1002" t="str">
        <f>'Dept. Cost Actuals'!BW4</f>
        <v>Forecast</v>
      </c>
      <c r="BT6" s="1002" t="str">
        <f>'Dept. Cost Actuals'!BX4</f>
        <v>Forecast</v>
      </c>
      <c r="BU6" s="1002" t="str">
        <f>'Dept. Cost Actuals'!BY4</f>
        <v>Forecast</v>
      </c>
      <c r="BV6" s="1002" t="str">
        <f>'Dept. Cost Actuals'!BZ4</f>
        <v>Forecast</v>
      </c>
    </row>
    <row r="7" spans="2:74" x14ac:dyDescent="0.35">
      <c r="B7" s="1021"/>
      <c r="C7" s="1002"/>
      <c r="D7" s="1002"/>
      <c r="E7" s="1002"/>
      <c r="F7" s="1002"/>
      <c r="G7" s="1002"/>
      <c r="H7" s="1002"/>
      <c r="I7" s="1002"/>
      <c r="J7" s="1002"/>
      <c r="K7" s="1002"/>
      <c r="L7" s="1002"/>
      <c r="M7" s="1002"/>
      <c r="N7" s="1002"/>
      <c r="O7" s="1002"/>
      <c r="P7" s="1002"/>
      <c r="Q7" s="1002"/>
      <c r="R7" s="1002"/>
      <c r="S7" s="1002"/>
      <c r="T7" s="1002"/>
      <c r="U7" s="1002"/>
      <c r="V7" s="1002"/>
      <c r="W7" s="1002"/>
      <c r="X7" s="1002"/>
      <c r="Y7" s="1002"/>
      <c r="Z7" s="1002"/>
      <c r="AA7" s="1002"/>
      <c r="AB7" s="1002"/>
      <c r="AC7" s="1002"/>
      <c r="AD7" s="1002"/>
      <c r="AE7" s="1002"/>
      <c r="AF7" s="1002"/>
      <c r="AG7" s="1002"/>
      <c r="AH7" s="1002"/>
      <c r="AI7" s="1002"/>
      <c r="AJ7" s="1002"/>
      <c r="AK7" s="1002"/>
      <c r="AL7" s="1002"/>
      <c r="AM7" s="1002"/>
      <c r="AN7" s="1002"/>
      <c r="AO7" s="1002"/>
      <c r="AP7" s="1002"/>
      <c r="AQ7" s="1002"/>
      <c r="AR7" s="1002"/>
      <c r="AS7" s="1002"/>
      <c r="AT7" s="1002"/>
      <c r="AU7" s="1002"/>
      <c r="AV7" s="1002"/>
      <c r="AW7" s="1002"/>
      <c r="AX7" s="1002"/>
      <c r="AY7" s="1002"/>
      <c r="AZ7" s="1002"/>
      <c r="BA7" s="1002"/>
      <c r="BB7" s="1002"/>
      <c r="BC7" s="1002"/>
      <c r="BD7" s="1002"/>
      <c r="BE7" s="1002"/>
      <c r="BF7" s="1002"/>
      <c r="BG7" s="1002"/>
      <c r="BH7" s="1002"/>
      <c r="BI7" s="1002"/>
      <c r="BJ7" s="1002"/>
      <c r="BK7" s="1002"/>
      <c r="BL7" s="1002"/>
      <c r="BM7" s="1002"/>
      <c r="BN7" s="1002"/>
      <c r="BO7" s="1002"/>
      <c r="BP7" s="1002"/>
      <c r="BQ7" s="1002"/>
      <c r="BR7" s="1002"/>
      <c r="BS7" s="1002"/>
      <c r="BT7" s="1002"/>
      <c r="BU7" s="1002"/>
      <c r="BV7" s="1002"/>
    </row>
    <row r="8" spans="2:74" x14ac:dyDescent="0.35">
      <c r="B8" s="1001" t="s">
        <v>220</v>
      </c>
      <c r="C8" s="231">
        <v>114123.61</v>
      </c>
      <c r="D8" s="231">
        <v>154940.40000000002</v>
      </c>
      <c r="E8" s="231">
        <v>153693.6</v>
      </c>
      <c r="F8" s="231">
        <v>140652.93</v>
      </c>
      <c r="G8" s="231">
        <v>151105.10999999999</v>
      </c>
      <c r="H8" s="231">
        <v>174986.84</v>
      </c>
      <c r="I8" s="231">
        <v>124185.39</v>
      </c>
      <c r="J8" s="231">
        <v>37615.32</v>
      </c>
      <c r="K8" s="231">
        <v>102063.34</v>
      </c>
      <c r="L8" s="231">
        <v>54380.88</v>
      </c>
      <c r="M8" s="231">
        <v>130805.63999999998</v>
      </c>
      <c r="N8" s="231">
        <v>251407.58</v>
      </c>
      <c r="O8" s="231">
        <v>64638.600000000006</v>
      </c>
      <c r="P8" s="231">
        <v>75914.48</v>
      </c>
      <c r="Q8" s="231">
        <v>103069.56999999999</v>
      </c>
      <c r="R8" s="231">
        <v>87362.32</v>
      </c>
      <c r="S8" s="231">
        <v>98240.57</v>
      </c>
      <c r="T8" s="231">
        <v>86387.87000000001</v>
      </c>
      <c r="U8" s="231">
        <v>100398.06000000001</v>
      </c>
      <c r="V8" s="231">
        <v>80790.740000000005</v>
      </c>
      <c r="W8" s="231">
        <v>107041.31</v>
      </c>
      <c r="X8" s="231">
        <v>119074.54999999999</v>
      </c>
      <c r="Y8" s="231">
        <v>110198.93999999999</v>
      </c>
      <c r="Z8" s="231">
        <v>103516.61</v>
      </c>
      <c r="AA8" s="231">
        <f>IF(AA6="forecast",'Voice Exp'!AC11,'Gross Margin Actual'!#REF!)</f>
        <v>95542.422423143755</v>
      </c>
      <c r="AB8" s="231">
        <f>IF(AB6="forecast",'Voice Exp'!AD11,'Gross Margin Actual'!AB31)</f>
        <v>99228.870520320299</v>
      </c>
      <c r="AC8" s="231">
        <f>IF(AC6="forecast",'Voice Exp'!AE11,'Gross Margin Actual'!AC31)</f>
        <v>104533.17654161502</v>
      </c>
      <c r="AD8" s="231">
        <f>IF(AD6="forecast",'Voice Exp'!AF11,'Gross Margin Actual'!AD31)</f>
        <v>109997.939384054</v>
      </c>
      <c r="AE8" s="231">
        <f>IF(AE6="forecast",'Voice Exp'!AG11,'Gross Margin Actual'!AE31)</f>
        <v>117741.75827169909</v>
      </c>
      <c r="AF8" s="231">
        <f>IF(AF6="forecast",'Voice Exp'!AH11,'Gross Margin Actual'!AF31)</f>
        <v>125417.70607324044</v>
      </c>
      <c r="AG8" s="231">
        <f>IF(AG6="forecast",'Voice Exp'!AI11,'Gross Margin Actual'!AG31)</f>
        <v>109814.26347638064</v>
      </c>
      <c r="AH8" s="231">
        <f>IF(AH6="forecast",'Voice Exp'!AJ11,'Gross Margin Actual'!AH31)</f>
        <v>113984.19030433802</v>
      </c>
      <c r="AI8" s="231">
        <f>IF(AI6="forecast",'Voice Exp'!AK11,'Gross Margin Actual'!AI31)</f>
        <v>157456.30999216903</v>
      </c>
      <c r="AJ8" s="231">
        <f>IF(AJ6="forecast",'Voice Exp'!AL11,'Gross Margin Actual'!AJ31)</f>
        <v>165099.72438777381</v>
      </c>
      <c r="AK8" s="231">
        <f>IF(AK6="forecast",'Voice Exp'!AM11,'Gross Margin Actual'!AK31)</f>
        <v>138986.67079598844</v>
      </c>
      <c r="AL8" s="231">
        <f>IF(AL6="forecast",'Voice Exp'!AN11,'Gross Margin Actual'!AL31)</f>
        <v>126545.29796830734</v>
      </c>
      <c r="AM8" s="231">
        <f>IF(AM6="forecast",'Voice Exp'!AO11,'Gross Margin Actual'!AM31)</f>
        <v>168600.68182443711</v>
      </c>
      <c r="AN8" s="231">
        <f>IF(AN6="forecast",'Voice Exp'!AP11,'Gross Margin Actual'!AN31)</f>
        <v>176438.29600565849</v>
      </c>
      <c r="AO8" s="231">
        <f>IF(AO6="forecast",'Voice Exp'!AQ11,'Gross Margin Actual'!AO31)</f>
        <v>185192.75080304677</v>
      </c>
      <c r="AP8" s="231">
        <f>IF(AP6="forecast",'Voice Exp'!AR11,'Gross Margin Actual'!AP31)</f>
        <v>193017.62528770964</v>
      </c>
      <c r="AQ8" s="231">
        <f>IF(AQ6="forecast",'Voice Exp'!AS11,'Gross Margin Actual'!AQ31)</f>
        <v>199994.30053560517</v>
      </c>
      <c r="AR8" s="231">
        <f>IF(AR6="forecast",'Voice Exp'!AT11,'Gross Margin Actual'!AR31)</f>
        <v>206748.43000319396</v>
      </c>
      <c r="AS8" s="231">
        <f>IF(AS6="forecast",'Voice Exp'!AU11,'Gross Margin Actual'!AS31)</f>
        <v>213512.68373613094</v>
      </c>
      <c r="AT8" s="231">
        <f>IF(AT6="forecast",'Voice Exp'!AV11,'Gross Margin Actual'!AT31)</f>
        <v>220542.86852774964</v>
      </c>
      <c r="AU8" s="231">
        <f>IF(AU6="forecast",'Voice Exp'!AW11,'Gross Margin Actual'!AU31)</f>
        <v>227808.38822737322</v>
      </c>
      <c r="AV8" s="231">
        <f>IF(AV6="forecast",'Voice Exp'!AX11,'Gross Margin Actual'!AV31)</f>
        <v>234612.38822737322</v>
      </c>
      <c r="AW8" s="231">
        <f>IF(AW6="forecast",'Voice Exp'!AY11,'Gross Margin Actual'!AW31)</f>
        <v>241416.38822737322</v>
      </c>
      <c r="AX8" s="231">
        <f>IF(AX6="forecast",'Voice Exp'!AZ11,'Gross Margin Actual'!AX31)</f>
        <v>248220.38822737322</v>
      </c>
      <c r="AY8" s="231">
        <f>IF(AY6="forecast",'Voice Exp'!BA11,'Gross Margin Actual'!AY31)</f>
        <v>0</v>
      </c>
      <c r="AZ8" s="231">
        <f>IF(AZ6="forecast",'Voice Exp'!BB11,'Gross Margin Actual'!AZ31)</f>
        <v>0</v>
      </c>
      <c r="BA8" s="231">
        <f>IF(BA6="forecast",'Voice Exp'!BC11,'Gross Margin Actual'!BA31)</f>
        <v>0</v>
      </c>
      <c r="BB8" s="231">
        <f>IF(BB6="forecast",'Voice Exp'!BD11,'Gross Margin Actual'!BB31)</f>
        <v>0</v>
      </c>
      <c r="BC8" s="231">
        <f>IF(BC6="forecast",'Voice Exp'!BE11,'Gross Margin Actual'!BC31)</f>
        <v>0</v>
      </c>
      <c r="BD8" s="231">
        <f>IF(BD6="forecast",'Voice Exp'!BF11,'Gross Margin Actual'!BD31)</f>
        <v>0</v>
      </c>
      <c r="BE8" s="231">
        <f>IF(BE6="forecast",'Voice Exp'!BG11,'Gross Margin Actual'!BE31)</f>
        <v>0</v>
      </c>
      <c r="BF8" s="231">
        <f>IF(BF6="forecast",'Voice Exp'!BH11,'Gross Margin Actual'!BF31)</f>
        <v>0</v>
      </c>
      <c r="BG8" s="231">
        <f>IF(BG6="forecast",'Voice Exp'!BI11,'Gross Margin Actual'!BG31)</f>
        <v>0</v>
      </c>
      <c r="BH8" s="231">
        <f>IF(BH6="forecast",'Voice Exp'!BJ11,'Gross Margin Actual'!BH31)</f>
        <v>0</v>
      </c>
      <c r="BI8" s="231">
        <f>IF(BI6="forecast",'Voice Exp'!BK11,'Gross Margin Actual'!BI31)</f>
        <v>0</v>
      </c>
      <c r="BJ8" s="231">
        <f>IF(BJ6="forecast",'Voice Exp'!BL11,'Gross Margin Actual'!BJ31)</f>
        <v>0</v>
      </c>
      <c r="BK8" s="231">
        <f>IF(BK6="forecast",'Voice Exp'!BM11,'Gross Margin Actual'!BK31)</f>
        <v>0</v>
      </c>
      <c r="BL8" s="231">
        <f>IF(BL6="forecast",'Voice Exp'!BN11,'Gross Margin Actual'!BL31)</f>
        <v>0</v>
      </c>
      <c r="BM8" s="231">
        <f>IF(BM6="forecast",'Voice Exp'!BO11,'Gross Margin Actual'!BM31)</f>
        <v>0</v>
      </c>
      <c r="BN8" s="231">
        <f>IF(BN6="forecast",'Voice Exp'!BP11,'Gross Margin Actual'!BN31)</f>
        <v>0</v>
      </c>
      <c r="BO8" s="231">
        <f>IF(BO6="forecast",'Voice Exp'!BQ11,'Gross Margin Actual'!BO31)</f>
        <v>0</v>
      </c>
      <c r="BP8" s="231">
        <f>IF(BP6="forecast",'Voice Exp'!BR11,'Gross Margin Actual'!BP31)</f>
        <v>0</v>
      </c>
      <c r="BQ8" s="231">
        <f>IF(BQ6="forecast",'Voice Exp'!BS11,'Gross Margin Actual'!BQ31)</f>
        <v>0</v>
      </c>
      <c r="BR8" s="231">
        <f>IF(BR6="forecast",'Voice Exp'!BT11,'Gross Margin Actual'!BR31)</f>
        <v>0</v>
      </c>
      <c r="BS8" s="231">
        <f>IF(BS6="forecast",'Voice Exp'!BU11,'Gross Margin Actual'!BS31)</f>
        <v>0</v>
      </c>
      <c r="BT8" s="231">
        <f>IF(BT6="forecast",'Voice Exp'!BV11,'Gross Margin Actual'!BT31)</f>
        <v>0</v>
      </c>
      <c r="BU8" s="231">
        <f>IF(BU6="forecast",'Voice Exp'!BW11,'Gross Margin Actual'!BU31)</f>
        <v>0</v>
      </c>
      <c r="BV8" s="231">
        <f>IF(BV6="forecast",'Voice Exp'!BX11,'Gross Margin Actual'!BV31)</f>
        <v>0</v>
      </c>
    </row>
    <row r="9" spans="2:74" x14ac:dyDescent="0.35">
      <c r="B9" s="1001" t="s">
        <v>219</v>
      </c>
      <c r="C9" s="231">
        <v>28462.22</v>
      </c>
      <c r="D9" s="231">
        <v>32415.870000000003</v>
      </c>
      <c r="E9" s="231">
        <v>33964.15</v>
      </c>
      <c r="F9" s="231">
        <v>32920.99</v>
      </c>
      <c r="G9" s="231">
        <v>38367.51</v>
      </c>
      <c r="H9" s="231">
        <v>69265.509999999995</v>
      </c>
      <c r="I9" s="231">
        <v>41789.490000000005</v>
      </c>
      <c r="J9" s="231">
        <v>39656.43</v>
      </c>
      <c r="K9" s="231">
        <v>40158.36</v>
      </c>
      <c r="L9" s="231">
        <v>48012.869999999995</v>
      </c>
      <c r="M9" s="231">
        <v>43573.91</v>
      </c>
      <c r="N9" s="231">
        <v>69313.539999999994</v>
      </c>
      <c r="O9" s="231">
        <v>28986.98</v>
      </c>
      <c r="P9" s="231">
        <v>27795.119999999999</v>
      </c>
      <c r="Q9" s="231">
        <v>35112.93</v>
      </c>
      <c r="R9" s="231">
        <v>64951.85</v>
      </c>
      <c r="S9" s="231">
        <v>41650.379999999997</v>
      </c>
      <c r="T9" s="231">
        <v>41628.949999999997</v>
      </c>
      <c r="U9" s="231">
        <v>46305.83</v>
      </c>
      <c r="V9" s="231">
        <v>47929.09</v>
      </c>
      <c r="W9" s="231">
        <v>55027.8</v>
      </c>
      <c r="X9" s="231">
        <v>69821.600000000006</v>
      </c>
      <c r="Y9" s="231">
        <v>59081.45</v>
      </c>
      <c r="Z9" s="231">
        <v>34317.17</v>
      </c>
      <c r="AA9" s="231">
        <f>IF(AA6="forecast",'SMS Exp'!AC11,'Gross Margin Actual'!#REF!)</f>
        <v>79472.997799999983</v>
      </c>
      <c r="AB9" s="231">
        <f>IF(AB6="forecast",'SMS Exp'!AD11,'Gross Margin Actual'!AB35)</f>
        <v>84359.055141883233</v>
      </c>
      <c r="AC9" s="231">
        <f>IF(AC6="forecast",'SMS Exp'!AE11,'Gross Margin Actual'!AC35)</f>
        <v>84215.24504188323</v>
      </c>
      <c r="AD9" s="231">
        <f>IF(AD6="forecast",'SMS Exp'!AF11,'Gross Margin Actual'!AD35)</f>
        <v>91172.316141883231</v>
      </c>
      <c r="AE9" s="231">
        <f>IF(AE6="forecast",'SMS Exp'!AG11,'Gross Margin Actual'!AE35)</f>
        <v>97110.223641883233</v>
      </c>
      <c r="AF9" s="231">
        <f>IF(AF6="forecast",'SMS Exp'!AH11,'Gross Margin Actual'!AF35)</f>
        <v>102462.70364188323</v>
      </c>
      <c r="AG9" s="231">
        <f>IF(AG6="forecast",'SMS Exp'!AI11,'Gross Margin Actual'!AG35)</f>
        <v>107279.93564188322</v>
      </c>
      <c r="AH9" s="231">
        <f>IF(AH6="forecast",'SMS Exp'!AJ11,'Gross Margin Actual'!AH35)</f>
        <v>111561.91964188323</v>
      </c>
      <c r="AI9" s="231">
        <f>IF(AI6="forecast",'SMS Exp'!AK11,'Gross Margin Actual'!AI35)</f>
        <v>115843.90364188324</v>
      </c>
      <c r="AJ9" s="231">
        <f>IF(AJ6="forecast",'SMS Exp'!AL11,'Gross Margin Actual'!AJ35)</f>
        <v>122166.52064188324</v>
      </c>
      <c r="AK9" s="231">
        <f>IF(AK6="forecast",'SMS Exp'!AM11,'Gross Margin Actual'!AK35)</f>
        <v>128489.13764188322</v>
      </c>
      <c r="AL9" s="231">
        <f>IF(AL6="forecast",'SMS Exp'!AN11,'Gross Margin Actual'!AL35)</f>
        <v>134811.75464188325</v>
      </c>
      <c r="AM9" s="231">
        <f>IF(AM6="forecast",'SMS Exp'!AO11,'Gross Margin Actual'!AM35)</f>
        <v>141134.37164188325</v>
      </c>
      <c r="AN9" s="231">
        <f>IF(AN6="forecast",'SMS Exp'!AP11,'Gross Margin Actual'!AN35)</f>
        <v>147456.98864188322</v>
      </c>
      <c r="AO9" s="231">
        <f>IF(AO6="forecast",'SMS Exp'!AO11,'Gross Margin Actual'!AO35)</f>
        <v>141134.37164188325</v>
      </c>
      <c r="AP9" s="231">
        <f>IF(AP6="forecast",'SMS Exp'!AP11,'Gross Margin Actual'!AP35)</f>
        <v>147456.98864188322</v>
      </c>
      <c r="AQ9" s="231">
        <f>IF(AQ6="forecast",'SMS Exp'!AQ11,'Gross Margin Actual'!AQ35)</f>
        <v>153779.60564188322</v>
      </c>
      <c r="AR9" s="231">
        <f>IF(AR6="forecast",'SMS Exp'!AR11,'Gross Margin Actual'!AR35)</f>
        <v>160102.22264188319</v>
      </c>
      <c r="AS9" s="231">
        <f>IF(AS6="forecast",'SMS Exp'!AS11,'Gross Margin Actual'!AS35)</f>
        <v>166424.83964188321</v>
      </c>
      <c r="AT9" s="231">
        <f>IF(AT6="forecast",'SMS Exp'!AT11,'Gross Margin Actual'!AT35)</f>
        <v>172747.45664188321</v>
      </c>
      <c r="AU9" s="231">
        <f>IF(AU6="forecast",'SMS Exp'!AU11,'Gross Margin Actual'!AU35)</f>
        <v>179070.07364188318</v>
      </c>
      <c r="AV9" s="231">
        <f>IF(AV6="forecast",'SMS Exp'!AV11,'Gross Margin Actual'!AV35)</f>
        <v>185392.69064188324</v>
      </c>
      <c r="AW9" s="231">
        <f>IF(AW6="forecast",'SMS Exp'!AW11,'Gross Margin Actual'!AW35)</f>
        <v>191715.30764188321</v>
      </c>
      <c r="AX9" s="231">
        <f>IF(AX6="forecast",'SMS Exp'!AX11,'Gross Margin Actual'!AX35)</f>
        <v>198037.92464188318</v>
      </c>
      <c r="AY9" s="231">
        <f>IF(AY6="forecast",'SMS Exp'!AY11,'Gross Margin Actual'!AY35)</f>
        <v>204360.54164188317</v>
      </c>
      <c r="AZ9" s="231">
        <f>IF(AZ6="forecast",'SMS Exp'!AZ11,'Gross Margin Actual'!AZ35)</f>
        <v>210683.1586418832</v>
      </c>
      <c r="BA9" s="231">
        <f>IF(BA6="forecast",'SMS Exp'!BA11,'Gross Margin Actual'!BA35)</f>
        <v>22652</v>
      </c>
      <c r="BB9" s="231">
        <f>IF(BB6="forecast",'SMS Exp'!BB11,'Gross Margin Actual'!BB35)</f>
        <v>22652</v>
      </c>
      <c r="BC9" s="231">
        <f>IF(BC6="forecast",'SMS Exp'!BC11,'Gross Margin Actual'!BC35)</f>
        <v>22652</v>
      </c>
      <c r="BD9" s="231">
        <f>IF(BD6="forecast",'SMS Exp'!BD11,'Gross Margin Actual'!BD35)</f>
        <v>0</v>
      </c>
      <c r="BE9" s="231">
        <f>IF(BE6="forecast",'SMS Exp'!BE11,'Gross Margin Actual'!BE35)</f>
        <v>0</v>
      </c>
      <c r="BF9" s="231">
        <f>IF(BF6="forecast",'SMS Exp'!BF11,'Gross Margin Actual'!BF35)</f>
        <v>0</v>
      </c>
      <c r="BG9" s="231">
        <f>IF(BG6="forecast",'SMS Exp'!BG11,'Gross Margin Actual'!BG35)</f>
        <v>0</v>
      </c>
      <c r="BH9" s="231">
        <f>IF(BH6="forecast",'SMS Exp'!BH11,'Gross Margin Actual'!BH35)</f>
        <v>0</v>
      </c>
      <c r="BI9" s="231">
        <f>IF(BI6="forecast",'SMS Exp'!BI11,'Gross Margin Actual'!BI35)</f>
        <v>0</v>
      </c>
      <c r="BJ9" s="231">
        <f>IF(BJ6="forecast",'SMS Exp'!BJ11,'Gross Margin Actual'!BJ35)</f>
        <v>0</v>
      </c>
      <c r="BK9" s="231">
        <f>IF(BK6="forecast",'SMS Exp'!BK11,'Gross Margin Actual'!BK35)</f>
        <v>0</v>
      </c>
      <c r="BL9" s="231">
        <f>IF(BL6="forecast",'SMS Exp'!BL11,'Gross Margin Actual'!BL35)</f>
        <v>0</v>
      </c>
      <c r="BM9" s="231">
        <f>IF(BM6="forecast",'SMS Exp'!BM11,'Gross Margin Actual'!BM35)</f>
        <v>0</v>
      </c>
      <c r="BN9" s="231">
        <f>IF(BN6="forecast",'SMS Exp'!BN11,'Gross Margin Actual'!BN35)</f>
        <v>0</v>
      </c>
      <c r="BO9" s="231">
        <f>IF(BO6="forecast",'SMS Exp'!BO11,'Gross Margin Actual'!BO35)</f>
        <v>0</v>
      </c>
      <c r="BP9" s="231">
        <f>IF(BP6="forecast",'SMS Exp'!BP11,'Gross Margin Actual'!BP35)</f>
        <v>0</v>
      </c>
      <c r="BQ9" s="231">
        <f>IF(BQ6="forecast",'SMS Exp'!BQ11,'Gross Margin Actual'!BQ35)</f>
        <v>0</v>
      </c>
      <c r="BR9" s="231">
        <f>IF(BR6="forecast",'SMS Exp'!BR11,'Gross Margin Actual'!BR35)</f>
        <v>0</v>
      </c>
      <c r="BS9" s="231">
        <f>IF(BS6="forecast",'SMS Exp'!BS11,'Gross Margin Actual'!BS35)</f>
        <v>0</v>
      </c>
      <c r="BT9" s="231">
        <f>IF(BT6="forecast",'SMS Exp'!BT11,'Gross Margin Actual'!BT35)</f>
        <v>0</v>
      </c>
      <c r="BU9" s="231">
        <f>IF(BU6="forecast",'SMS Exp'!BU11,'Gross Margin Actual'!BU35)</f>
        <v>0</v>
      </c>
      <c r="BV9" s="231">
        <f>IF(BV6="forecast",'SMS Exp'!BV11,'Gross Margin Actual'!BV35)</f>
        <v>0</v>
      </c>
    </row>
    <row r="10" spans="2:74" x14ac:dyDescent="0.35">
      <c r="B10" s="1020" t="s">
        <v>1108</v>
      </c>
      <c r="C10" s="1017">
        <f t="shared" ref="C10:AH10" si="10">SUM(C8:C9)</f>
        <v>142585.83000000002</v>
      </c>
      <c r="D10" s="1017">
        <f t="shared" si="10"/>
        <v>187356.27000000002</v>
      </c>
      <c r="E10" s="1017">
        <f t="shared" si="10"/>
        <v>187657.75</v>
      </c>
      <c r="F10" s="1017">
        <f t="shared" si="10"/>
        <v>173573.91999999998</v>
      </c>
      <c r="G10" s="1017">
        <f t="shared" si="10"/>
        <v>189472.62</v>
      </c>
      <c r="H10" s="1017">
        <f t="shared" si="10"/>
        <v>244252.34999999998</v>
      </c>
      <c r="I10" s="1017">
        <f t="shared" si="10"/>
        <v>165974.88</v>
      </c>
      <c r="J10" s="1017">
        <f t="shared" si="10"/>
        <v>77271.75</v>
      </c>
      <c r="K10" s="1017">
        <f t="shared" si="10"/>
        <v>142221.70000000001</v>
      </c>
      <c r="L10" s="1017">
        <f t="shared" si="10"/>
        <v>102393.75</v>
      </c>
      <c r="M10" s="1017">
        <f t="shared" si="10"/>
        <v>174379.55</v>
      </c>
      <c r="N10" s="1017">
        <f t="shared" si="10"/>
        <v>320721.12</v>
      </c>
      <c r="O10" s="1018">
        <f t="shared" si="10"/>
        <v>93625.58</v>
      </c>
      <c r="P10" s="1018">
        <f t="shared" si="10"/>
        <v>103709.59999999999</v>
      </c>
      <c r="Q10" s="1018">
        <f t="shared" si="10"/>
        <v>138182.5</v>
      </c>
      <c r="R10" s="1018">
        <f t="shared" si="10"/>
        <v>152314.17000000001</v>
      </c>
      <c r="S10" s="1018">
        <f t="shared" si="10"/>
        <v>139890.95000000001</v>
      </c>
      <c r="T10" s="1018">
        <f t="shared" si="10"/>
        <v>128016.82</v>
      </c>
      <c r="U10" s="1018">
        <f t="shared" si="10"/>
        <v>146703.89000000001</v>
      </c>
      <c r="V10" s="1018">
        <f t="shared" si="10"/>
        <v>128719.83</v>
      </c>
      <c r="W10" s="1018">
        <f t="shared" si="10"/>
        <v>162069.10999999999</v>
      </c>
      <c r="X10" s="1018">
        <f t="shared" si="10"/>
        <v>188896.15</v>
      </c>
      <c r="Y10" s="1017">
        <f t="shared" si="10"/>
        <v>169280.38999999998</v>
      </c>
      <c r="Z10" s="1017">
        <f t="shared" si="10"/>
        <v>137833.78</v>
      </c>
      <c r="AA10" s="1017">
        <f t="shared" si="10"/>
        <v>175015.42022314374</v>
      </c>
      <c r="AB10" s="1017">
        <f t="shared" si="10"/>
        <v>183587.92566220352</v>
      </c>
      <c r="AC10" s="1017">
        <f t="shared" si="10"/>
        <v>188748.42158349825</v>
      </c>
      <c r="AD10" s="1017">
        <f t="shared" si="10"/>
        <v>201170.25552593725</v>
      </c>
      <c r="AE10" s="1017">
        <f t="shared" si="10"/>
        <v>214851.98191358231</v>
      </c>
      <c r="AF10" s="1017">
        <f t="shared" si="10"/>
        <v>227880.40971512365</v>
      </c>
      <c r="AG10" s="1017">
        <f t="shared" si="10"/>
        <v>217094.19911826384</v>
      </c>
      <c r="AH10" s="1017">
        <f t="shared" si="10"/>
        <v>225546.10994622123</v>
      </c>
      <c r="AI10" s="1017">
        <f t="shared" ref="AI10:BN10" si="11">SUM(AI8:AI9)</f>
        <v>273300.21363405226</v>
      </c>
      <c r="AJ10" s="1017">
        <f t="shared" si="11"/>
        <v>287266.24502965703</v>
      </c>
      <c r="AK10" s="1017">
        <f t="shared" si="11"/>
        <v>267475.80843787163</v>
      </c>
      <c r="AL10" s="1017">
        <f t="shared" si="11"/>
        <v>261357.05261019059</v>
      </c>
      <c r="AM10" s="1017">
        <f t="shared" si="11"/>
        <v>309735.05346632039</v>
      </c>
      <c r="AN10" s="1017">
        <f t="shared" si="11"/>
        <v>323895.2846475417</v>
      </c>
      <c r="AO10" s="1017">
        <f t="shared" si="11"/>
        <v>326327.12244493002</v>
      </c>
      <c r="AP10" s="1017">
        <f t="shared" si="11"/>
        <v>340474.61392959289</v>
      </c>
      <c r="AQ10" s="1017">
        <f t="shared" si="11"/>
        <v>353773.90617748839</v>
      </c>
      <c r="AR10" s="1017">
        <f t="shared" si="11"/>
        <v>366850.65264507715</v>
      </c>
      <c r="AS10" s="1017">
        <f t="shared" si="11"/>
        <v>379937.52337801416</v>
      </c>
      <c r="AT10" s="1017">
        <f t="shared" si="11"/>
        <v>393290.32516963285</v>
      </c>
      <c r="AU10" s="1017">
        <f t="shared" si="11"/>
        <v>406878.4618692564</v>
      </c>
      <c r="AV10" s="1017">
        <f t="shared" si="11"/>
        <v>420005.07886925642</v>
      </c>
      <c r="AW10" s="1017">
        <f t="shared" si="11"/>
        <v>433131.69586925639</v>
      </c>
      <c r="AX10" s="1017">
        <f t="shared" si="11"/>
        <v>446258.31286925636</v>
      </c>
      <c r="AY10" s="1017">
        <f t="shared" si="11"/>
        <v>204360.54164188317</v>
      </c>
      <c r="AZ10" s="1017">
        <f t="shared" si="11"/>
        <v>210683.1586418832</v>
      </c>
      <c r="BA10" s="1017">
        <f t="shared" si="11"/>
        <v>22652</v>
      </c>
      <c r="BB10" s="1017">
        <f t="shared" si="11"/>
        <v>22652</v>
      </c>
      <c r="BC10" s="1017">
        <f t="shared" si="11"/>
        <v>22652</v>
      </c>
      <c r="BD10" s="1017">
        <f t="shared" si="11"/>
        <v>0</v>
      </c>
      <c r="BE10" s="1017">
        <f t="shared" si="11"/>
        <v>0</v>
      </c>
      <c r="BF10" s="1017">
        <f t="shared" si="11"/>
        <v>0</v>
      </c>
      <c r="BG10" s="1017">
        <f t="shared" si="11"/>
        <v>0</v>
      </c>
      <c r="BH10" s="1017">
        <f t="shared" si="11"/>
        <v>0</v>
      </c>
      <c r="BI10" s="1017">
        <f t="shared" si="11"/>
        <v>0</v>
      </c>
      <c r="BJ10" s="1017">
        <f t="shared" si="11"/>
        <v>0</v>
      </c>
      <c r="BK10" s="1017">
        <f t="shared" si="11"/>
        <v>0</v>
      </c>
      <c r="BL10" s="1017">
        <f t="shared" si="11"/>
        <v>0</v>
      </c>
      <c r="BM10" s="1017">
        <f t="shared" si="11"/>
        <v>0</v>
      </c>
      <c r="BN10" s="1017">
        <f t="shared" si="11"/>
        <v>0</v>
      </c>
      <c r="BO10" s="1017">
        <f t="shared" ref="BO10:BV10" si="12">SUM(BO8:BO9)</f>
        <v>0</v>
      </c>
      <c r="BP10" s="1017">
        <f t="shared" si="12"/>
        <v>0</v>
      </c>
      <c r="BQ10" s="1017">
        <f t="shared" si="12"/>
        <v>0</v>
      </c>
      <c r="BR10" s="1017">
        <f t="shared" si="12"/>
        <v>0</v>
      </c>
      <c r="BS10" s="1017">
        <f t="shared" si="12"/>
        <v>0</v>
      </c>
      <c r="BT10" s="1017">
        <f t="shared" si="12"/>
        <v>0</v>
      </c>
      <c r="BU10" s="1017">
        <f t="shared" si="12"/>
        <v>0</v>
      </c>
      <c r="BV10" s="1017">
        <f t="shared" si="12"/>
        <v>0</v>
      </c>
    </row>
    <row r="11" spans="2:74" x14ac:dyDescent="0.35">
      <c r="B11" s="575" t="s">
        <v>75</v>
      </c>
      <c r="C11" s="231">
        <f>IF(C6="forecast",'Voice Exp'!E5*Sensativities!D14,0)</f>
        <v>0</v>
      </c>
      <c r="D11" s="231">
        <f>IF(D6="forecast",'Voice Exp'!F5*Sensativities!E14,0)</f>
        <v>0</v>
      </c>
      <c r="E11" s="231">
        <f>IF(E6="forecast",'Voice Exp'!G5*Sensativities!F14,0)</f>
        <v>0</v>
      </c>
      <c r="F11" s="231">
        <f>IF(F6="forecast",'Voice Exp'!H5*Sensativities!G14,0)</f>
        <v>0</v>
      </c>
      <c r="G11" s="231">
        <f>IF(G6="forecast",'Voice Exp'!I5*Sensativities!H14,0)</f>
        <v>0</v>
      </c>
      <c r="H11" s="231">
        <f>IF(H6="forecast",'Voice Exp'!J5*Sensativities!I14,0)</f>
        <v>0</v>
      </c>
      <c r="I11" s="231">
        <f>IF(I6="forecast",'Voice Exp'!K5*Sensativities!J14,0)</f>
        <v>0</v>
      </c>
      <c r="J11" s="231">
        <f>IF(J6="forecast",'Voice Exp'!L5*Sensativities!K14,0)</f>
        <v>0</v>
      </c>
      <c r="K11" s="231">
        <f>IF(K6="forecast",'Voice Exp'!M5*Sensativities!L14,0)</f>
        <v>0</v>
      </c>
      <c r="L11" s="231">
        <f>IF(L6="forecast",'Voice Exp'!N5*Sensativities!M14,0)</f>
        <v>0</v>
      </c>
      <c r="M11" s="231">
        <f>IF(M6="forecast",'Voice Exp'!O5*Sensativities!N14,0)</f>
        <v>0</v>
      </c>
      <c r="N11" s="231">
        <f>IF(N6="forecast",'Voice Exp'!P5*Sensativities!O14,0)</f>
        <v>0</v>
      </c>
      <c r="O11" s="231">
        <f>IF(O6="forecast",'Voice Exp'!Q5*Sensativities!P14,0)</f>
        <v>0</v>
      </c>
      <c r="P11" s="231">
        <f>IF(P6="forecast",'Voice Exp'!R5*Sensativities!Q14,0)</f>
        <v>0</v>
      </c>
      <c r="Q11" s="231">
        <f>IF(Q6="forecast",'Voice Exp'!S5*Sensativities!R14,0)</f>
        <v>0</v>
      </c>
      <c r="R11" s="231">
        <f>IF(R6="forecast",'Voice Exp'!T5*Sensativities!S14,0)</f>
        <v>0</v>
      </c>
      <c r="S11" s="231">
        <f>IF(S6="forecast",'Voice Exp'!U5*Sensativities!T14,0)</f>
        <v>0</v>
      </c>
      <c r="T11" s="231">
        <f>IF(T6="forecast",'Voice Exp'!V5*Sensativities!U14,0)</f>
        <v>0</v>
      </c>
      <c r="U11" s="231">
        <f>IF(U6="forecast",'Voice Exp'!W5*Sensativities!V14,0)</f>
        <v>0</v>
      </c>
      <c r="V11" s="231">
        <f>IF(V6="forecast",'Voice Exp'!X5*Sensativities!W14,0)</f>
        <v>0</v>
      </c>
      <c r="W11" s="231">
        <f>IF(W6="forecast",'Voice Exp'!Y5*Sensativities!X14,0)</f>
        <v>0</v>
      </c>
      <c r="X11" s="231">
        <f>IF(X6="forecast",'Voice Exp'!Z5*Sensativities!Y14,0)</f>
        <v>0</v>
      </c>
      <c r="Y11" s="231">
        <f>IF(Y6="forecast",'Voice Exp'!AA5*Sensativities!Z14,0)</f>
        <v>0</v>
      </c>
      <c r="Z11" s="231">
        <f>IF(Z6="forecast",'Voice Exp'!AB5*Sensativities!AA14,0)</f>
        <v>0</v>
      </c>
      <c r="AA11" s="231">
        <f>IF(AA6="forecast",'Voice Exp'!AC5*Sensativities!AB14,0)</f>
        <v>6369.4948282095838</v>
      </c>
      <c r="AB11" s="231">
        <f>IF(AB6="forecast",'Voice Exp'!AD5*Sensativities!AC14,0)</f>
        <v>6615.2580346880204</v>
      </c>
      <c r="AC11" s="231">
        <f>IF(AC6="forecast",'Voice Exp'!AE5*Sensativities!AD14,0)</f>
        <v>6968.8784361076687</v>
      </c>
      <c r="AD11" s="231">
        <f>IF(AD6="forecast",'Voice Exp'!AF5*Sensativities!AE14,0)</f>
        <v>7333.1959589369344</v>
      </c>
      <c r="AE11" s="231">
        <f>IF(AE6="forecast",'Voice Exp'!AG5*Sensativities!AF14,0)</f>
        <v>7849.4505514466064</v>
      </c>
      <c r="AF11" s="231">
        <f>IF(AF6="forecast",'Voice Exp'!AH5*Sensativities!AG14,0)</f>
        <v>8361.1804048826962</v>
      </c>
      <c r="AG11" s="231">
        <f>IF(AG6="forecast",'Voice Exp'!AI5*Sensativities!AH14,0)</f>
        <v>7320.9508984253771</v>
      </c>
      <c r="AH11" s="231">
        <f>IF(AH6="forecast",'Voice Exp'!AJ5*Sensativities!AI14,0)</f>
        <v>7598.9460202892005</v>
      </c>
      <c r="AI11" s="231">
        <f>IF(AI6="forecast",'Voice Exp'!AK5*Sensativities!AJ14,0)</f>
        <v>10497.08733281127</v>
      </c>
      <c r="AJ11" s="231">
        <f>IF(AJ6="forecast",'Voice Exp'!AL5*Sensativities!AK14,0)</f>
        <v>11006.648292518254</v>
      </c>
      <c r="AK11" s="231">
        <f>IF(AK6="forecast",'Voice Exp'!AM5*Sensativities!AL14,0)</f>
        <v>9265.7780530658965</v>
      </c>
      <c r="AL11" s="231">
        <f>IF(AL6="forecast",'Voice Exp'!AN5*Sensativities!AM14,0)</f>
        <v>8436.3531978871561</v>
      </c>
      <c r="AM11" s="231">
        <f>IF(AM6="forecast",'Voice Exp'!AO5*Sensativities!AN14,0)</f>
        <v>11240.045454962476</v>
      </c>
      <c r="AN11" s="231">
        <f>IF(AN6="forecast",'Voice Exp'!AP5*Sensativities!AO14,0)</f>
        <v>11762.553067043898</v>
      </c>
      <c r="AO11" s="231">
        <f>IF(AO6="forecast",'Voice Exp'!AQ5*Sensativities!AP14,0)</f>
        <v>12346.183386869785</v>
      </c>
      <c r="AP11" s="231">
        <f>IF(AP6="forecast",'Voice Exp'!AR5*Sensativities!AQ14,0)</f>
        <v>12867.84168584731</v>
      </c>
      <c r="AQ11" s="231">
        <f>IF(AQ6="forecast",'Voice Exp'!AS5*Sensativities!AR14,0)</f>
        <v>13332.953369040346</v>
      </c>
      <c r="AR11" s="231">
        <f>IF(AR6="forecast",'Voice Exp'!AT5*Sensativities!AS14,0)</f>
        <v>13783.228666879599</v>
      </c>
      <c r="AS11" s="231">
        <f>IF(AS6="forecast",'Voice Exp'!AU5*Sensativities!AT14,0)</f>
        <v>14234.178915742063</v>
      </c>
      <c r="AT11" s="231">
        <f>IF(AT6="forecast",'Voice Exp'!AV5*Sensativities!AU14,0)</f>
        <v>14702.857901849977</v>
      </c>
      <c r="AU11" s="231">
        <f>IF(AU6="forecast",'Voice Exp'!AW5*Sensativities!AV14,0)</f>
        <v>15187.225881824883</v>
      </c>
      <c r="AV11" s="231">
        <f>IF(AV6="forecast",'Voice Exp'!AX5*Sensativities!AW14,0)</f>
        <v>15640.825881824883</v>
      </c>
      <c r="AW11" s="231">
        <f>IF(AW6="forecast",'Voice Exp'!AY5*Sensativities!AX14,0)</f>
        <v>16094.425881824882</v>
      </c>
      <c r="AX11" s="231">
        <f>IF(AX6="forecast",'Voice Exp'!AZ5*Sensativities!AY14,0)</f>
        <v>16548.025881824884</v>
      </c>
      <c r="AY11" s="231">
        <f>IF(AY6="forecast",'Voice Exp'!BA5*Sensativities!AZ14,0)</f>
        <v>0</v>
      </c>
      <c r="AZ11" s="231">
        <f>IF(AZ6="forecast",'Voice Exp'!BB5*Sensativities!BA14,0)</f>
        <v>0</v>
      </c>
      <c r="BA11" s="231">
        <f>IF(BA6="forecast",'Voice Exp'!BC5*Sensativities!BB14,0)</f>
        <v>0</v>
      </c>
      <c r="BB11" s="231">
        <f>IF(BB6="forecast",'Voice Exp'!BD5*Sensativities!BC14,0)</f>
        <v>0</v>
      </c>
      <c r="BC11" s="231">
        <f>IF(BC6="forecast",'Voice Exp'!BE5*Sensativities!BD14,0)</f>
        <v>0</v>
      </c>
      <c r="BD11" s="231">
        <f>IF(BD6="forecast",'Voice Exp'!BF5*Sensativities!BE14,0)</f>
        <v>0</v>
      </c>
      <c r="BE11" s="231">
        <f>IF(BE6="forecast",'Voice Exp'!BG5*Sensativities!BF14,0)</f>
        <v>0</v>
      </c>
      <c r="BF11" s="231">
        <f>IF(BF6="forecast",'Voice Exp'!BH5*Sensativities!BG14,0)</f>
        <v>0</v>
      </c>
      <c r="BG11" s="231">
        <f>IF(BG6="forecast",'Voice Exp'!BI5*Sensativities!BH14,0)</f>
        <v>0</v>
      </c>
      <c r="BH11" s="231">
        <f>IF(BH6="forecast",'Voice Exp'!BJ5*Sensativities!BI14,0)</f>
        <v>0</v>
      </c>
      <c r="BI11" s="231">
        <f>IF(BI6="forecast",'Voice Exp'!BK5*Sensativities!BJ14,0)</f>
        <v>0</v>
      </c>
      <c r="BJ11" s="231">
        <f>IF(BJ6="forecast",'Voice Exp'!BL5*Sensativities!BK14,0)</f>
        <v>0</v>
      </c>
      <c r="BK11" s="231">
        <f>IF(BK6="forecast",'Voice Exp'!BM5*Sensativities!BL14,0)</f>
        <v>0</v>
      </c>
      <c r="BL11" s="231">
        <f>IF(BL6="forecast",'Voice Exp'!BN5*Sensativities!BM14,0)</f>
        <v>0</v>
      </c>
      <c r="BM11" s="231">
        <f>IF(BM6="forecast",'Voice Exp'!BO5*Sensativities!BN14,0)</f>
        <v>0</v>
      </c>
      <c r="BN11" s="231">
        <f>IF(BN6="forecast",'Voice Exp'!BP5*Sensativities!BO14,0)</f>
        <v>0</v>
      </c>
      <c r="BO11" s="231">
        <f>IF(BO6="forecast",'Voice Exp'!BQ5*Sensativities!BP14,0)</f>
        <v>0</v>
      </c>
      <c r="BP11" s="231">
        <f>IF(BP6="forecast",'Voice Exp'!BR5*Sensativities!BQ14,0)</f>
        <v>0</v>
      </c>
      <c r="BQ11" s="231">
        <f>IF(BQ6="forecast",'Voice Exp'!BS5*Sensativities!BR14,0)</f>
        <v>0</v>
      </c>
      <c r="BR11" s="231">
        <f>IF(BR6="forecast",'Voice Exp'!BT5*Sensativities!BS14,0)</f>
        <v>0</v>
      </c>
      <c r="BS11" s="231">
        <f>IF(BS6="forecast",'Voice Exp'!BU5*Sensativities!BT14,0)</f>
        <v>0</v>
      </c>
      <c r="BT11" s="231">
        <f>IF(BT6="forecast",'Voice Exp'!BV5*Sensativities!BU14,0)</f>
        <v>0</v>
      </c>
      <c r="BU11" s="231">
        <f>IF(BU6="forecast",'Voice Exp'!BW5*Sensativities!BV14,0)</f>
        <v>0</v>
      </c>
      <c r="BV11" s="231">
        <f>IF(BV6="forecast",'Voice Exp'!BX5*Sensativities!BW14,0)</f>
        <v>0</v>
      </c>
    </row>
    <row r="12" spans="2:74" x14ac:dyDescent="0.35">
      <c r="B12" s="309" t="s">
        <v>87</v>
      </c>
      <c r="C12" s="577">
        <v>22161.71</v>
      </c>
      <c r="D12" s="577">
        <v>16538.16</v>
      </c>
      <c r="E12" s="577">
        <v>16577.8</v>
      </c>
      <c r="F12" s="577">
        <v>27760.080000000002</v>
      </c>
      <c r="G12" s="577">
        <v>25496.159999999996</v>
      </c>
      <c r="H12" s="577">
        <v>18014.29</v>
      </c>
      <c r="I12" s="577">
        <v>21669.42</v>
      </c>
      <c r="J12" s="577">
        <v>24773.83</v>
      </c>
      <c r="K12" s="577">
        <v>21977.45</v>
      </c>
      <c r="L12" s="577">
        <v>21326.42</v>
      </c>
      <c r="M12" s="577">
        <v>22974</v>
      </c>
      <c r="N12" s="577">
        <v>39383.899999999994</v>
      </c>
      <c r="O12" s="577">
        <v>23677.3</v>
      </c>
      <c r="P12" s="577">
        <v>35916.199999999997</v>
      </c>
      <c r="Q12" s="577">
        <v>25322.559999999998</v>
      </c>
      <c r="R12" s="577">
        <v>33812.629999999997</v>
      </c>
      <c r="S12" s="577">
        <v>28943.33</v>
      </c>
      <c r="T12" s="577">
        <v>28552.67</v>
      </c>
      <c r="U12" s="577">
        <v>23645.519999999997</v>
      </c>
      <c r="V12" s="577">
        <v>43556.01</v>
      </c>
      <c r="W12" s="577">
        <v>37610.559999999998</v>
      </c>
      <c r="X12" s="577">
        <v>46571.200000000004</v>
      </c>
      <c r="Y12" s="577">
        <v>36427.620000000003</v>
      </c>
      <c r="Z12" s="577">
        <v>36977.99</v>
      </c>
      <c r="AA12" s="1019">
        <f>IF(AA6="Forecast",20000+5350,'Gross Margin Actual'!#REF!)</f>
        <v>25350</v>
      </c>
      <c r="AB12" s="1019">
        <f>IF(AB6="Forecast",20000+5350,'Gross Margin Actual'!AB41)</f>
        <v>25350</v>
      </c>
      <c r="AC12" s="577">
        <f>IF(AC6="Forecast",20000+5350,'Gross Margin Actual'!AC41)</f>
        <v>25350</v>
      </c>
      <c r="AD12" s="577">
        <f>IF(AD6="Forecast",20000+5350,'Gross Margin Actual'!AD41)</f>
        <v>25350</v>
      </c>
      <c r="AE12" s="577">
        <f>IF(AE6="Forecast",20000+5350,'Gross Margin Actual'!AE41)</f>
        <v>25350</v>
      </c>
      <c r="AF12" s="577">
        <f>IF(AF6="Forecast",20000+5350,'Gross Margin Actual'!AF41)</f>
        <v>25350</v>
      </c>
      <c r="AG12" s="577">
        <f>IF(AG6="Forecast",20000+5350,'Gross Margin Actual'!AG41)</f>
        <v>25350</v>
      </c>
      <c r="AH12" s="577">
        <f>IF(AH6="Forecast",20000+5350,'Gross Margin Actual'!AH41)</f>
        <v>25350</v>
      </c>
      <c r="AI12" s="577">
        <f>IF(AI6="Forecast",20000+5350,'Gross Margin Actual'!AI41)</f>
        <v>25350</v>
      </c>
      <c r="AJ12" s="577">
        <f>IF(AJ6="Forecast",20000+5350,'Gross Margin Actual'!AJ41)</f>
        <v>25350</v>
      </c>
      <c r="AK12" s="577">
        <f>IF(AK6="Forecast",20000+5350,'Gross Margin Actual'!AK41)</f>
        <v>25350</v>
      </c>
      <c r="AL12" s="577">
        <f>IF(AL6="Forecast",20000+5350,'Gross Margin Actual'!AL41)</f>
        <v>25350</v>
      </c>
      <c r="AM12" s="577">
        <f>IF(AM6="Forecast",20000+5350,'Gross Margin Actual'!AM41)</f>
        <v>25350</v>
      </c>
      <c r="AN12" s="577">
        <f>IF(AN6="Forecast",20000+5350,'Gross Margin Actual'!AN41)</f>
        <v>25350</v>
      </c>
      <c r="AO12" s="577">
        <f>IF(AO6="Forecast",20000+5350,'Gross Margin Actual'!AO41)</f>
        <v>25350</v>
      </c>
      <c r="AP12" s="577">
        <f>IF(AP6="Forecast",20000+5350,'Gross Margin Actual'!AP41)</f>
        <v>25350</v>
      </c>
      <c r="AQ12" s="577">
        <f>IF(AQ6="Forecast",20000+5350,'Gross Margin Actual'!AQ41)</f>
        <v>25350</v>
      </c>
      <c r="AR12" s="577">
        <f>IF(AR6="Forecast",20000+5350,'Gross Margin Actual'!AR41)</f>
        <v>25350</v>
      </c>
      <c r="AS12" s="577">
        <f>IF(AS6="Forecast",20000+5350,'Gross Margin Actual'!AS41)</f>
        <v>25350</v>
      </c>
      <c r="AT12" s="577">
        <f>IF(AT6="Forecast",20000+5350,'Gross Margin Actual'!AT41)</f>
        <v>25350</v>
      </c>
      <c r="AU12" s="577">
        <f>IF(AU6="Forecast",20000+5350,'Gross Margin Actual'!AU41)</f>
        <v>25350</v>
      </c>
      <c r="AV12" s="577">
        <f>IF(AV6="Forecast",20000+5350,'Gross Margin Actual'!AV41)</f>
        <v>25350</v>
      </c>
      <c r="AW12" s="577">
        <f>IF(AW6="Forecast",20000+5350,'Gross Margin Actual'!AW41)</f>
        <v>25350</v>
      </c>
      <c r="AX12" s="577">
        <f>IF(AX6="Forecast",20000+5350,'Gross Margin Actual'!AX41)</f>
        <v>25350</v>
      </c>
      <c r="AY12" s="577">
        <f>IF(AY6="Forecast",20000+5350,'Gross Margin Actual'!AY41)</f>
        <v>25350</v>
      </c>
      <c r="AZ12" s="577">
        <f>IF(AZ6="Forecast",20000+5350,'Gross Margin Actual'!AZ41)</f>
        <v>25350</v>
      </c>
      <c r="BA12" s="577">
        <f>IF(BA6="Forecast",20000+5350,'Gross Margin Actual'!BA41)</f>
        <v>25350</v>
      </c>
      <c r="BB12" s="577">
        <f>IF(BB6="Forecast",20000+5350,'Gross Margin Actual'!BB41)</f>
        <v>25350</v>
      </c>
      <c r="BC12" s="577">
        <f>IF(BC6="Forecast",20000+5350,'Gross Margin Actual'!BC41)</f>
        <v>25350</v>
      </c>
      <c r="BD12" s="577">
        <f>IF(BD6="Forecast",20000+5350,'Gross Margin Actual'!BD41)</f>
        <v>25350</v>
      </c>
      <c r="BE12" s="577">
        <f>IF(BE6="Forecast",20000+5350,'Gross Margin Actual'!BE41)</f>
        <v>25350</v>
      </c>
      <c r="BF12" s="577">
        <f>IF(BF6="Forecast",20000+5350,'Gross Margin Actual'!BF41)</f>
        <v>25350</v>
      </c>
      <c r="BG12" s="577">
        <f>IF(BG6="Forecast",20000+5350,'Gross Margin Actual'!BG41)</f>
        <v>25350</v>
      </c>
      <c r="BH12" s="577">
        <f>IF(BH6="Forecast",20000+5350,'Gross Margin Actual'!BH41)</f>
        <v>25350</v>
      </c>
      <c r="BI12" s="577">
        <f>IF(BI6="Forecast",20000+5350,'Gross Margin Actual'!BI41)</f>
        <v>25350</v>
      </c>
      <c r="BJ12" s="577">
        <f>IF(BJ6="Forecast",20000+5350,'Gross Margin Actual'!BJ41)</f>
        <v>25350</v>
      </c>
      <c r="BK12" s="577">
        <f>IF(BK6="Forecast",20000+5350,'Gross Margin Actual'!BK41)</f>
        <v>25350</v>
      </c>
      <c r="BL12" s="577">
        <f>IF(BL6="Forecast",20000+5350,'Gross Margin Actual'!BL41)</f>
        <v>25350</v>
      </c>
      <c r="BM12" s="577">
        <f>IF(BM6="Forecast",20000+5350,'Gross Margin Actual'!BM41)</f>
        <v>25350</v>
      </c>
      <c r="BN12" s="577">
        <f>IF(BN6="Forecast",20000+5350,'Gross Margin Actual'!BN41)</f>
        <v>25350</v>
      </c>
      <c r="BO12" s="577">
        <f>IF(BO6="Forecast",20000+5350,'Gross Margin Actual'!BO41)</f>
        <v>25350</v>
      </c>
      <c r="BP12" s="577">
        <f>IF(BP6="Forecast",20000+5350,'Gross Margin Actual'!BP41)</f>
        <v>25350</v>
      </c>
      <c r="BQ12" s="577">
        <f>IF(BQ6="Forecast",20000+5350,'Gross Margin Actual'!BQ41)</f>
        <v>25350</v>
      </c>
      <c r="BR12" s="577">
        <f>IF(BR6="Forecast",20000+5350,'Gross Margin Actual'!BR41)</f>
        <v>25350</v>
      </c>
      <c r="BS12" s="577">
        <f>IF(BS6="Forecast",20000+5350,'Gross Margin Actual'!BS41)</f>
        <v>25350</v>
      </c>
      <c r="BT12" s="577">
        <f>IF(BT6="Forecast",20000+5350,'Gross Margin Actual'!BT41)</f>
        <v>25350</v>
      </c>
      <c r="BU12" s="577">
        <f>IF(BU6="Forecast",20000+5350,'Gross Margin Actual'!BU41)</f>
        <v>25350</v>
      </c>
      <c r="BV12" s="577">
        <f>IF(BV6="Forecast",20000+5350,'Gross Margin Actual'!BV41)</f>
        <v>25350</v>
      </c>
    </row>
    <row r="13" spans="2:74" x14ac:dyDescent="0.35">
      <c r="B13" s="309" t="s">
        <v>148</v>
      </c>
      <c r="C13" s="231">
        <v>20576.849999999999</v>
      </c>
      <c r="D13" s="231">
        <v>20279.760000000002</v>
      </c>
      <c r="E13" s="231">
        <v>20182.7</v>
      </c>
      <c r="F13" s="231">
        <v>25924.18</v>
      </c>
      <c r="G13" s="231">
        <v>26600.04</v>
      </c>
      <c r="H13" s="231">
        <v>28612.95</v>
      </c>
      <c r="I13" s="231">
        <v>26847.27</v>
      </c>
      <c r="J13" s="231">
        <v>26671.67</v>
      </c>
      <c r="K13" s="231">
        <v>26885.89</v>
      </c>
      <c r="L13" s="231">
        <v>29707.010000000002</v>
      </c>
      <c r="M13" s="231">
        <v>33841.120000000003</v>
      </c>
      <c r="N13" s="231">
        <v>31757.35</v>
      </c>
      <c r="O13" s="231">
        <v>15810.7</v>
      </c>
      <c r="P13" s="231">
        <v>28578.89</v>
      </c>
      <c r="Q13" s="231">
        <v>27683.75</v>
      </c>
      <c r="R13" s="231">
        <v>32422.07</v>
      </c>
      <c r="S13" s="231">
        <v>30649.41</v>
      </c>
      <c r="T13" s="231">
        <v>36002.61</v>
      </c>
      <c r="U13" s="231">
        <v>37367.67</v>
      </c>
      <c r="V13" s="231">
        <v>30284.080000000002</v>
      </c>
      <c r="W13" s="231">
        <v>35976.410000000003</v>
      </c>
      <c r="X13" s="231">
        <v>43264.55</v>
      </c>
      <c r="Y13" s="231">
        <v>35930.800000000003</v>
      </c>
      <c r="Z13" s="231">
        <f>IF(Z6="forecast",('[7]Voice Revenue'!Y65+'[7]SMS Revenue'!Y66+'[7]SMS Sub'!Y66)*[7]Sensativities!AA13,'[7]Gross Margin Actuals'!AA39)</f>
        <v>34944.81</v>
      </c>
      <c r="AA13" s="231">
        <f>IF(AA6="forecast",('Voice Revenue'!Z65+'SMS Revenue'!Z66+'SMS Sub'!Z66)*Sensativities!AB13,'Gross Margin Actual'!#REF!)</f>
        <v>36216.950570523964</v>
      </c>
      <c r="AB13" s="231">
        <f>IF(AB6="forecast",('Voice Revenue'!AA65+'SMS Revenue'!AA66+'SMS Sub'!AA66)*Sensativities!AC13,'Gross Margin Actual'!AB44)</f>
        <v>38576.379065964058</v>
      </c>
      <c r="AC13" s="231">
        <f>IF(AC6="forecast",('Voice Revenue'!AB65+'SMS Revenue'!AB66+'SMS Sub'!AB66)*Sensativities!AD13,'Gross Margin Actual'!AC44)</f>
        <v>39409.069319513183</v>
      </c>
      <c r="AD13" s="231">
        <f>IF(AD6="forecast",('Voice Revenue'!AC65+'SMS Revenue'!AC66+'SMS Sub'!AC66)*Sensativities!AE13,'Gross Margin Actual'!AD44)</f>
        <v>42804.531376586347</v>
      </c>
      <c r="AE13" s="231">
        <f>IF(AE6="forecast",('Voice Revenue'!AD65+'SMS Revenue'!AD66+'SMS Sub'!AD66)*Sensativities!AF13,'Gross Margin Actual'!AE44)</f>
        <v>46215.849107860529</v>
      </c>
      <c r="AF13" s="231">
        <f>IF(AF6="forecast",('Voice Revenue'!AE65+'SMS Revenue'!AE66+'SMS Sub'!AE66)*Sensativities!AG13,'Gross Margin Actual'!AF44)</f>
        <v>49406.77374145075</v>
      </c>
      <c r="AG13" s="231">
        <f>IF(AG6="forecast",('Voice Revenue'!AF65+'SMS Revenue'!AF66+'SMS Sub'!AF66)*Sensativities!AH13,'Gross Margin Actual'!AG44)</f>
        <v>48526.639975307451</v>
      </c>
      <c r="AH13" s="231">
        <f>IF(AH6="forecast",('Voice Revenue'!AG65+'SMS Revenue'!AG66+'SMS Sub'!AG66)*Sensativities!AI13,'Gross Margin Actual'!AH44)</f>
        <v>50750.907779967012</v>
      </c>
      <c r="AI13" s="231">
        <f>IF(AI6="forecast",('Voice Revenue'!AH65+'SMS Revenue'!AH66+'SMS Sub'!AH66)*Sensativities!AJ13,'Gross Margin Actual'!AI44)</f>
        <v>59525.541061272183</v>
      </c>
      <c r="AJ13" s="231">
        <f>IF(AJ6="forecast",('Voice Revenue'!AI65+'SMS Revenue'!AI66+'SMS Sub'!AI66)*Sensativities!AK13,'Gross Margin Actual'!AJ44)</f>
        <v>63057.520960539652</v>
      </c>
      <c r="AK13" s="231">
        <f>IF(AK6="forecast",('Voice Revenue'!AJ65+'SMS Revenue'!AJ66+'SMS Sub'!AJ66)*Sensativities!AL13,'Gross Margin Actual'!AK44)</f>
        <v>60963.422861908752</v>
      </c>
      <c r="AL13" s="231">
        <f>IF(AL6="forecast",('Voice Revenue'!AK65+'SMS Revenue'!AK66+'SMS Sub'!AK66)*Sensativities!AM13,'Gross Margin Actual'!AL44)</f>
        <v>61147.938223961908</v>
      </c>
      <c r="AM13" s="231">
        <f>IF(AM6="forecast",('Voice Revenue'!AL65+'SMS Revenue'!AL66+'SMS Sub'!AL66)*Sensativities!AN13,'Gross Margin Actual'!AM44)</f>
        <v>70415.246366650201</v>
      </c>
      <c r="AN13" s="231">
        <f>IF(AN6="forecast",('Voice Revenue'!AM65+'SMS Revenue'!AM66+'SMS Sub'!AM66)*Sensativities!AO13,'Gross Margin Actual'!AN44)</f>
        <v>73979.592896853748</v>
      </c>
      <c r="AO13" s="231">
        <f>IF(AO6="forecast",('Voice Revenue'!AN65+'SMS Revenue'!AN66+'SMS Sub'!AN66)*Sensativities!AP13,'Gross Margin Actual'!AO44)</f>
        <v>77696.746196418462</v>
      </c>
      <c r="AP13" s="231">
        <f>IF(AP6="forecast",('Voice Revenue'!AO65+'SMS Revenue'!AO66+'SMS Sub'!AO66)*Sensativities!AQ13,'Gross Margin Actual'!AP44)</f>
        <v>81258.969443862268</v>
      </c>
      <c r="AQ13" s="231">
        <f>IF(AQ6="forecast",('Voice Revenue'!AP65+'SMS Revenue'!AP66+'SMS Sub'!AP66)*Sensativities!AR13,'Gross Margin Actual'!AQ44)</f>
        <v>84679.826151844871</v>
      </c>
      <c r="AR13" s="231">
        <f>IF(AR6="forecast",('Voice Revenue'!AQ65+'SMS Revenue'!AQ66+'SMS Sub'!AQ66)*Sensativities!AS13,'Gross Margin Actual'!AR44)</f>
        <v>88063.591896443002</v>
      </c>
      <c r="AS13" s="231">
        <f>IF(AS6="forecast",('Voice Revenue'!AR65+'SMS Revenue'!AR66+'SMS Sub'!AR66)*Sensativities!AT13,'Gross Margin Actual'!AS44)</f>
        <v>91449.045018599165</v>
      </c>
      <c r="AT13" s="231">
        <f>IF(AT6="forecast",('Voice Revenue'!AS65+'SMS Revenue'!AS66+'SMS Sub'!AS66)*Sensativities!AU13,'Gross Margin Actual'!AT44)</f>
        <v>94878.819983868947</v>
      </c>
      <c r="AU13" s="231">
        <f>IF(AU6="forecast",('Voice Revenue'!AT65+'SMS Revenue'!AT66+'SMS Sub'!AT66)*Sensativities!AV13,'Gross Margin Actual'!AU44)</f>
        <v>98347.817433806209</v>
      </c>
      <c r="AV13" s="231">
        <f>IF(AV6="forecast",('Voice Revenue'!AU65+'SMS Revenue'!AU66+'SMS Sub'!AU66)*Sensativities!AW13,'Gross Margin Actual'!AV44)</f>
        <v>101739.89493380621</v>
      </c>
      <c r="AW13" s="231">
        <f>IF(AW6="forecast",('Voice Revenue'!AV65+'SMS Revenue'!AV66+'SMS Sub'!AV66)*Sensativities!AX13,'Gross Margin Actual'!AW44)</f>
        <v>105131.97243380622</v>
      </c>
      <c r="AX13" s="231">
        <f>IF(AX6="forecast",('Voice Revenue'!AW65+'SMS Revenue'!AW66+'SMS Sub'!AW66)*Sensativities!AY13,'Gross Margin Actual'!AX44)</f>
        <v>108524.04993380621</v>
      </c>
      <c r="AY13" s="231">
        <f>IF(AY6="forecast",('Voice Revenue'!AX65+'SMS Revenue'!AX66+'SMS Sub'!AX66)*Sensativities!AZ13,'Gross Margin Actual'!AY44)</f>
        <v>0</v>
      </c>
      <c r="AZ13" s="231">
        <f>IF(AZ6="forecast",('Voice Revenue'!AY65+'SMS Revenue'!AY66+'SMS Sub'!AY66)*Sensativities!BA13,'Gross Margin Actual'!AZ44)</f>
        <v>0</v>
      </c>
      <c r="BA13" s="231">
        <f>IF(BA6="forecast",('Voice Revenue'!AZ65+'SMS Revenue'!AZ66+'SMS Sub'!AZ66)*Sensativities!BB13,'Gross Margin Actual'!BA44)</f>
        <v>0</v>
      </c>
      <c r="BB13" s="231">
        <f>IF(BB6="forecast",('Voice Revenue'!BA65+'SMS Revenue'!BA66+'SMS Sub'!BA66)*Sensativities!BC13,'Gross Margin Actual'!BB44)</f>
        <v>0</v>
      </c>
      <c r="BC13" s="231">
        <f>IF(BC6="forecast",('Voice Revenue'!BB65+'SMS Revenue'!BB66+'SMS Sub'!BB66)*Sensativities!BD13,'Gross Margin Actual'!BC44)</f>
        <v>0</v>
      </c>
      <c r="BD13" s="231">
        <f>IF(BD6="forecast",('Voice Revenue'!BC65+'SMS Revenue'!BC66+'SMS Sub'!BC66)*Sensativities!BE13,'Gross Margin Actual'!BD44)</f>
        <v>0</v>
      </c>
      <c r="BE13" s="231">
        <f>IF(BE6="forecast",('Voice Revenue'!BD65+'SMS Revenue'!BD66+'SMS Sub'!BD66)*Sensativities!BF13,'Gross Margin Actual'!BE44)</f>
        <v>0</v>
      </c>
      <c r="BF13" s="231">
        <f>IF(BF6="forecast",('Voice Revenue'!BE65+'SMS Revenue'!BE66+'SMS Sub'!BE66)*Sensativities!BG13,'Gross Margin Actual'!BF44)</f>
        <v>0</v>
      </c>
      <c r="BG13" s="231">
        <f>IF(BG6="forecast",('Voice Revenue'!BF65+'SMS Revenue'!BF66+'SMS Sub'!BF66)*Sensativities!BH13,'Gross Margin Actual'!BG44)</f>
        <v>0</v>
      </c>
      <c r="BH13" s="231">
        <f>IF(BH6="forecast",('Voice Revenue'!BG65+'SMS Revenue'!BG66+'SMS Sub'!BG66)*Sensativities!BI13,'Gross Margin Actual'!BH44)</f>
        <v>0</v>
      </c>
      <c r="BI13" s="231">
        <f>IF(BI6="forecast",('Voice Revenue'!BH65+'SMS Revenue'!BH66+'SMS Sub'!BH66)*Sensativities!BJ13,'Gross Margin Actual'!BI44)</f>
        <v>0</v>
      </c>
      <c r="BJ13" s="231">
        <f>IF(BJ6="forecast",('Voice Revenue'!BI65+'SMS Revenue'!BI66+'SMS Sub'!BI66)*Sensativities!BK13,'Gross Margin Actual'!BJ44)</f>
        <v>0</v>
      </c>
      <c r="BK13" s="231">
        <f>IF(BK6="forecast",('Voice Revenue'!BJ65+'SMS Revenue'!BJ66+'SMS Sub'!BJ66)*Sensativities!BL13,'Gross Margin Actual'!BK44)</f>
        <v>0</v>
      </c>
      <c r="BL13" s="231">
        <f>IF(BL6="forecast",('Voice Revenue'!BK65+'SMS Revenue'!BK66+'SMS Sub'!BK66)*Sensativities!BM13,'Gross Margin Actual'!BL44)</f>
        <v>0</v>
      </c>
      <c r="BM13" s="231">
        <f>IF(BM6="forecast",('Voice Revenue'!BL65+'SMS Revenue'!BL66+'SMS Sub'!BL66)*Sensativities!BN13,'Gross Margin Actual'!BM44)</f>
        <v>0</v>
      </c>
      <c r="BN13" s="231">
        <f>IF(BN6="forecast",('Voice Revenue'!BM65+'SMS Revenue'!BM66+'SMS Sub'!BM66)*Sensativities!BO13,'Gross Margin Actual'!BN44)</f>
        <v>0</v>
      </c>
      <c r="BO13" s="231">
        <f>IF(BO6="forecast",('Voice Revenue'!BN65+'SMS Revenue'!BN66+'SMS Sub'!BN66)*Sensativities!BP13,'Gross Margin Actual'!BO44)</f>
        <v>0</v>
      </c>
      <c r="BP13" s="231">
        <f>IF(BP6="forecast",('Voice Revenue'!BO65+'SMS Revenue'!BO66+'SMS Sub'!BO66)*Sensativities!BQ13,'Gross Margin Actual'!BP44)</f>
        <v>0</v>
      </c>
      <c r="BQ13" s="231">
        <f>IF(BQ6="forecast",('Voice Revenue'!BP65+'SMS Revenue'!BP66+'SMS Sub'!BP66)*Sensativities!BR13,'Gross Margin Actual'!BQ44)</f>
        <v>0</v>
      </c>
      <c r="BR13" s="231">
        <f>IF(BR6="forecast",('Voice Revenue'!BQ65+'SMS Revenue'!BQ66+'SMS Sub'!BQ66)*Sensativities!BS13,'Gross Margin Actual'!BR44)</f>
        <v>0</v>
      </c>
      <c r="BS13" s="231">
        <f>IF(BS6="forecast",('Voice Revenue'!BR65+'SMS Revenue'!BR66+'SMS Sub'!BR66)*Sensativities!BT13,'Gross Margin Actual'!BS44)</f>
        <v>0</v>
      </c>
      <c r="BT13" s="231">
        <f>IF(BT6="forecast",('Voice Revenue'!BS65+'SMS Revenue'!BS66+'SMS Sub'!BS66)*Sensativities!BU13,'Gross Margin Actual'!BT44)</f>
        <v>0</v>
      </c>
      <c r="BU13" s="231">
        <f>IF(BU6="forecast",('Voice Revenue'!BT65+'SMS Revenue'!BT66+'SMS Sub'!BT66)*Sensativities!BV13,'Gross Margin Actual'!BU44)</f>
        <v>0</v>
      </c>
      <c r="BV13" s="231">
        <f>IF(BV6="forecast",('Voice Revenue'!BU65+'SMS Revenue'!BU66+'SMS Sub'!BU66)*Sensativities!BW13,'Gross Margin Actual'!BV44)</f>
        <v>0</v>
      </c>
    </row>
    <row r="14" spans="2:74" x14ac:dyDescent="0.35">
      <c r="B14" s="309"/>
      <c r="C14" s="231"/>
      <c r="D14" s="231"/>
      <c r="E14" s="231"/>
      <c r="F14" s="231"/>
      <c r="G14" s="231"/>
      <c r="H14" s="231"/>
      <c r="I14" s="231"/>
      <c r="J14" s="231"/>
      <c r="K14" s="231"/>
      <c r="L14" s="231"/>
      <c r="M14" s="231"/>
      <c r="N14" s="231"/>
      <c r="O14" s="231"/>
      <c r="P14" s="231"/>
      <c r="Q14" s="231"/>
      <c r="R14" s="231"/>
      <c r="S14" s="231"/>
      <c r="T14" s="231"/>
      <c r="U14" s="231"/>
      <c r="V14" s="231"/>
      <c r="W14" s="231"/>
      <c r="X14" s="231"/>
      <c r="Y14" s="231"/>
      <c r="Z14" s="231"/>
      <c r="AA14" s="231"/>
      <c r="AB14" s="231"/>
      <c r="AC14" s="231"/>
      <c r="AD14" s="231"/>
      <c r="AE14" s="231"/>
      <c r="AF14" s="231"/>
      <c r="AG14" s="231"/>
      <c r="AH14" s="231"/>
      <c r="AI14" s="231"/>
      <c r="AJ14" s="231"/>
      <c r="AK14" s="231"/>
      <c r="AL14" s="231"/>
      <c r="AM14" s="231"/>
      <c r="AN14" s="231"/>
      <c r="AO14" s="231"/>
      <c r="AP14" s="231"/>
      <c r="AQ14" s="231"/>
      <c r="AR14" s="231"/>
      <c r="AS14" s="231"/>
      <c r="AT14" s="231"/>
      <c r="AU14" s="231"/>
      <c r="AV14" s="231"/>
      <c r="AW14" s="231"/>
      <c r="AX14" s="231"/>
      <c r="AY14" s="231"/>
      <c r="AZ14" s="231"/>
      <c r="BA14" s="231"/>
      <c r="BB14" s="231"/>
      <c r="BC14" s="231"/>
      <c r="BD14" s="231"/>
      <c r="BE14" s="231"/>
      <c r="BF14" s="231"/>
      <c r="BG14" s="231"/>
      <c r="BH14" s="231"/>
      <c r="BI14" s="231"/>
      <c r="BJ14" s="231"/>
      <c r="BK14" s="231"/>
      <c r="BL14" s="231"/>
      <c r="BM14" s="231"/>
      <c r="BN14" s="231"/>
      <c r="BO14" s="231"/>
      <c r="BP14" s="231"/>
      <c r="BQ14" s="231"/>
      <c r="BR14" s="231"/>
      <c r="BS14" s="231"/>
      <c r="BT14" s="231"/>
      <c r="BU14" s="231"/>
      <c r="BV14" s="231"/>
    </row>
    <row r="15" spans="2:74" x14ac:dyDescent="0.35">
      <c r="B15" s="1003" t="s">
        <v>16</v>
      </c>
      <c r="C15" s="1000"/>
      <c r="D15" s="1000"/>
      <c r="E15" s="1000"/>
      <c r="F15" s="1000"/>
      <c r="G15" s="1000"/>
      <c r="H15" s="1000"/>
      <c r="I15" s="1000"/>
      <c r="J15" s="1000"/>
      <c r="K15" s="1000"/>
      <c r="L15" s="1000"/>
      <c r="M15" s="1000"/>
      <c r="N15" s="1000"/>
      <c r="O15" s="1000"/>
      <c r="P15" s="1000"/>
      <c r="Q15" s="1000"/>
      <c r="R15" s="1000"/>
      <c r="S15" s="1000"/>
      <c r="T15" s="1000"/>
      <c r="U15" s="1000"/>
      <c r="V15" s="1000"/>
      <c r="W15" s="1000"/>
      <c r="X15" s="1000"/>
      <c r="Y15" s="1000"/>
      <c r="Z15" s="1000"/>
      <c r="AA15" s="1000"/>
      <c r="AB15" s="1000"/>
      <c r="AC15" s="1000"/>
      <c r="AD15" s="1000"/>
      <c r="AE15" s="1000"/>
      <c r="AF15" s="1000"/>
      <c r="AG15" s="1000"/>
      <c r="AH15" s="1000"/>
      <c r="AI15" s="1000"/>
      <c r="AJ15" s="1000"/>
      <c r="AK15" s="1000"/>
      <c r="AL15" s="1000"/>
      <c r="AM15" s="1000"/>
      <c r="AN15" s="1000"/>
      <c r="AO15" s="1000"/>
      <c r="AP15" s="1000"/>
      <c r="AQ15" s="1000"/>
      <c r="AR15" s="1000"/>
      <c r="AS15" s="1000"/>
      <c r="AT15" s="1000"/>
      <c r="AU15" s="1000"/>
      <c r="AV15" s="1000"/>
      <c r="AW15" s="1000"/>
      <c r="AX15" s="1000"/>
      <c r="AY15" s="1000"/>
      <c r="AZ15" s="1000"/>
      <c r="BA15" s="1000"/>
      <c r="BB15" s="1000"/>
      <c r="BC15" s="1000"/>
      <c r="BD15" s="1000"/>
      <c r="BE15" s="1000"/>
      <c r="BF15" s="1000"/>
      <c r="BG15" s="1000"/>
      <c r="BH15" s="1000"/>
      <c r="BI15" s="1000"/>
      <c r="BJ15" s="1000"/>
      <c r="BK15" s="1000"/>
      <c r="BL15" s="1000"/>
      <c r="BM15" s="1000"/>
      <c r="BN15" s="1000"/>
      <c r="BO15" s="1000"/>
      <c r="BP15" s="1000"/>
      <c r="BQ15" s="1000"/>
      <c r="BR15" s="1000"/>
      <c r="BS15" s="1000"/>
      <c r="BT15" s="1000"/>
      <c r="BU15" s="1000"/>
      <c r="BV15" s="1000"/>
    </row>
    <row r="16" spans="2:74" x14ac:dyDescent="0.35">
      <c r="B16" s="772" t="s">
        <v>17</v>
      </c>
      <c r="C16" s="948"/>
      <c r="D16" s="948"/>
      <c r="E16" s="948"/>
      <c r="F16" s="948"/>
      <c r="G16" s="948"/>
      <c r="H16" s="948"/>
      <c r="I16" s="948"/>
      <c r="J16" s="948"/>
      <c r="K16" s="948"/>
      <c r="L16" s="948"/>
      <c r="M16" s="948"/>
      <c r="N16" s="948"/>
      <c r="O16" s="948"/>
      <c r="P16" s="948"/>
      <c r="Q16" s="948"/>
      <c r="R16" s="948"/>
      <c r="S16" s="948"/>
      <c r="T16" s="948"/>
      <c r="U16" s="948"/>
      <c r="V16" s="948"/>
      <c r="W16" s="948"/>
      <c r="X16" s="948"/>
      <c r="Y16" s="948"/>
      <c r="Z16" s="948"/>
      <c r="AA16" s="948"/>
      <c r="AB16" s="948"/>
      <c r="AC16" s="948"/>
      <c r="AD16" s="948"/>
      <c r="AE16" s="948"/>
      <c r="AF16" s="948"/>
      <c r="AG16" s="948"/>
      <c r="AH16" s="948"/>
      <c r="AI16" s="948"/>
      <c r="AJ16" s="948"/>
      <c r="AK16" s="948"/>
      <c r="AL16" s="948"/>
      <c r="AM16" s="948"/>
      <c r="AN16" s="948"/>
      <c r="AO16" s="948"/>
      <c r="AP16" s="948"/>
      <c r="AQ16" s="948"/>
      <c r="AR16" s="948"/>
      <c r="AS16" s="948"/>
      <c r="AT16" s="948"/>
      <c r="AU16" s="948"/>
      <c r="AV16" s="948"/>
      <c r="AW16" s="948"/>
      <c r="AX16" s="948"/>
      <c r="AY16" s="948"/>
      <c r="AZ16" s="948"/>
      <c r="BA16" s="948"/>
      <c r="BB16" s="948"/>
      <c r="BC16" s="948"/>
      <c r="BD16" s="948"/>
      <c r="BE16" s="948"/>
      <c r="BF16" s="948"/>
      <c r="BG16" s="948"/>
      <c r="BH16" s="948"/>
      <c r="BI16" s="948"/>
      <c r="BJ16" s="948"/>
      <c r="BK16" s="948"/>
      <c r="BL16" s="948"/>
      <c r="BM16" s="948"/>
      <c r="BN16" s="948"/>
      <c r="BO16" s="948"/>
      <c r="BP16" s="948"/>
      <c r="BQ16" s="948"/>
      <c r="BR16" s="948"/>
      <c r="BS16" s="948"/>
      <c r="BT16" s="948"/>
      <c r="BU16" s="948"/>
      <c r="BV16" s="948"/>
    </row>
    <row r="17" spans="2:74" x14ac:dyDescent="0.35">
      <c r="B17" s="1004" t="s">
        <v>224</v>
      </c>
      <c r="C17" s="579">
        <v>34017.993182829588</v>
      </c>
      <c r="D17" s="579">
        <v>34542.950694408944</v>
      </c>
      <c r="E17" s="579">
        <v>30852.619057067925</v>
      </c>
      <c r="F17" s="579">
        <v>35093.753123859191</v>
      </c>
      <c r="G17" s="579">
        <v>39242.344685416538</v>
      </c>
      <c r="H17" s="579">
        <v>58312.66824735266</v>
      </c>
      <c r="I17" s="579">
        <v>49675.559127334956</v>
      </c>
      <c r="J17" s="579">
        <v>63917.624901386007</v>
      </c>
      <c r="K17" s="579">
        <v>49268.545660767471</v>
      </c>
      <c r="L17" s="579">
        <v>44395.188025324504</v>
      </c>
      <c r="M17" s="579">
        <v>68735.622734345045</v>
      </c>
      <c r="N17" s="579">
        <v>68706.519374703275</v>
      </c>
      <c r="O17" s="579">
        <f>IF(O$6="Forecast",Sales!O42,'Dept. Cost Actuals'!S171)</f>
        <v>108819.14</v>
      </c>
      <c r="P17" s="579">
        <f>IF(P$6="Forecast",Sales!P42,'Dept. Cost Actuals'!T171)</f>
        <v>88746.52</v>
      </c>
      <c r="Q17" s="579">
        <f>IF(Q$6="Forecast",Sales!Q42,'Dept. Cost Actuals'!U171)</f>
        <v>147580.19</v>
      </c>
      <c r="R17" s="579">
        <f>IF(R$6="Forecast",Sales!R42,'Dept. Cost Actuals'!V171)</f>
        <v>118226.94</v>
      </c>
      <c r="S17" s="579">
        <f>IF(S$6="Forecast",Sales!S42,'Dept. Cost Actuals'!W171)</f>
        <v>122808.24</v>
      </c>
      <c r="T17" s="579">
        <f>IF(T$6="Forecast",Sales!T42,'Dept. Cost Actuals'!X171)</f>
        <v>103263.89</v>
      </c>
      <c r="U17" s="579">
        <f>IF(U$6="Forecast",Sales!U42,'Dept. Cost Actuals'!Y171)</f>
        <v>132491.95000000001</v>
      </c>
      <c r="V17" s="579">
        <f>IF(V$6="Forecast",Sales!V42,'Dept. Cost Actuals'!Z171)</f>
        <v>115863.47</v>
      </c>
      <c r="W17" s="579">
        <f>IF(W$6="Forecast",Sales!W42,'Dept. Cost Actuals'!AA171)</f>
        <v>131784.16</v>
      </c>
      <c r="X17" s="579">
        <f>IF(X$6="Forecast",Sales!X42,'Dept. Cost Actuals'!AB171)</f>
        <v>163135.63</v>
      </c>
      <c r="Y17" s="579">
        <f>IF(Y$6="Forecast",Sales!Y42,'Dept. Cost Actuals'!AC171)</f>
        <v>129571.93</v>
      </c>
      <c r="Z17" s="579">
        <f>IF(Z$6="Forecast",Sales!Z42,'Dept. Cost Actuals'!AD171)</f>
        <v>137228.06</v>
      </c>
      <c r="AA17" s="579">
        <f>IF(AA$6="Forecast",Sales!AA42,'Dept. Cost Actuals'!AE171)</f>
        <v>144027.24220833334</v>
      </c>
      <c r="AB17" s="579">
        <f>IF(AB$6="Forecast",Sales!AB42,'Dept. Cost Actuals'!AF171)</f>
        <v>135392.84186111111</v>
      </c>
      <c r="AC17" s="579">
        <f>IF(AC$6="Forecast",Sales!AC42,'Dept. Cost Actuals'!AG171)</f>
        <v>130940.9614849537</v>
      </c>
      <c r="AD17" s="579">
        <f>IF(AD$6="Forecast",Sales!AD42,'Dept. Cost Actuals'!AH171)</f>
        <v>153619.79357744986</v>
      </c>
      <c r="AE17" s="579">
        <f>IF(AE$6="Forecast",Sales!AE42,'Dept. Cost Actuals'!AI171)</f>
        <v>140513.79501098732</v>
      </c>
      <c r="AF17" s="579">
        <f>IF(AF$6="Forecast",Sales!AF42,'Dept. Cost Actuals'!AJ171)</f>
        <v>140859.85989731961</v>
      </c>
      <c r="AG17" s="579">
        <f>IF(AG$6="Forecast",Sales!AG42,'Dept. Cost Actuals'!AK171)</f>
        <v>159422.40019084624</v>
      </c>
      <c r="AH17" s="579">
        <f>IF(AH$6="Forecast",Sales!AH42,'Dept. Cost Actuals'!AL171)</f>
        <v>150727.44800883342</v>
      </c>
      <c r="AI17" s="579">
        <f>IF(AI$6="Forecast",Sales!AI42,'Dept. Cost Actuals'!AM171)</f>
        <v>151348.37731165288</v>
      </c>
      <c r="AJ17" s="579">
        <f>IF(AJ$6="Forecast",Sales!AJ42,'Dept. Cost Actuals'!AN171)</f>
        <v>151450.6123897073</v>
      </c>
      <c r="AK17" s="579">
        <f>IF(AK$6="Forecast",Sales!AK42,'Dept. Cost Actuals'!AO171)</f>
        <v>151599.98289093291</v>
      </c>
      <c r="AL17" s="579">
        <f>IF(AL$6="Forecast",Sales!AL42,'Dept. Cost Actuals'!AP171)</f>
        <v>392836.77093392727</v>
      </c>
      <c r="AM17" s="579">
        <f>IF(AM$6="Forecast",Sales!AM42,'Dept. Cost Actuals'!AQ171)</f>
        <v>152289.5165689768</v>
      </c>
      <c r="AN17" s="579">
        <f>IF(AN$6="Forecast",Sales!AN42,'Dept. Cost Actuals'!AR171)</f>
        <v>155523.28934165777</v>
      </c>
      <c r="AO17" s="579">
        <f>IF(AO$6="Forecast",Sales!AO42,'Dept. Cost Actuals'!AS171)</f>
        <v>155816.27044724728</v>
      </c>
      <c r="AP17" s="579">
        <f>IF(AP$6="Forecast",Sales!AP42,'Dept. Cost Actuals'!AT171)</f>
        <v>156122.41361772199</v>
      </c>
      <c r="AQ17" s="579">
        <f>IF(AQ$6="Forecast",Sales!AQ42,'Dept. Cost Actuals'!AU171)</f>
        <v>156027.52292795226</v>
      </c>
      <c r="AR17" s="579">
        <f>IF(AR$6="Forecast",Sales!AR42,'Dept. Cost Actuals'!AV171)</f>
        <v>156251.11138101851</v>
      </c>
      <c r="AS17" s="579">
        <f>IF(AS$6="Forecast",Sales!AS42,'Dept. Cost Actuals'!AW171)</f>
        <v>156465.46157623705</v>
      </c>
      <c r="AT17" s="579">
        <f>IF(AT$6="Forecast",Sales!AT42,'Dept. Cost Actuals'!AX171)</f>
        <v>156614.01945175036</v>
      </c>
      <c r="AU17" s="579">
        <f>IF(AU$6="Forecast",Sales!AU42,'Dept. Cost Actuals'!AY171)</f>
        <v>156733.6110656003</v>
      </c>
      <c r="AV17" s="579">
        <f>IF(AV$6="Forecast",Sales!AV42,'Dept. Cost Actuals'!AZ171)</f>
        <v>156812.23371865368</v>
      </c>
      <c r="AW17" s="579">
        <f>IF(AW$6="Forecast",Sales!AW42,'Dept. Cost Actuals'!BA171)</f>
        <v>156889.77202440336</v>
      </c>
      <c r="AX17" s="579">
        <f>IF(AX$6="Forecast",Sales!AX42,'Dept. Cost Actuals'!BB171)</f>
        <v>405528.58364283131</v>
      </c>
      <c r="AY17" s="579">
        <f>IF(AY$6="Forecast",Sales!AY42,'Dept. Cost Actuals'!BC171)</f>
        <v>163608.65540486306</v>
      </c>
      <c r="AZ17" s="579">
        <f>IF(AZ$6="Forecast",Sales!AZ42,'Dept. Cost Actuals'!BD171)</f>
        <v>166790.76342648716</v>
      </c>
      <c r="BA17" s="579">
        <f>IF(BA$6="Forecast",Sales!BA42,'Dept. Cost Actuals'!BE171)</f>
        <v>166943.5354985288</v>
      </c>
      <c r="BB17" s="579">
        <f>IF(BB$6="Forecast",Sales!BB42,'Dept. Cost Actuals'!BF171)</f>
        <v>167084.62317143445</v>
      </c>
      <c r="BC17" s="579">
        <f>IF(BC$6="Forecast",Sales!BC42,'Dept. Cost Actuals'!BG171)</f>
        <v>167211.85593599215</v>
      </c>
      <c r="BD17" s="579">
        <f>IF(BD$6="Forecast",Sales!BD42,'Dept. Cost Actuals'!BH171)</f>
        <v>167357.79290901372</v>
      </c>
      <c r="BE17" s="579">
        <f>IF(BE$6="Forecast",Sales!BE42,'Dept. Cost Actuals'!BI171)</f>
        <v>167497.38933021043</v>
      </c>
      <c r="BF17" s="579">
        <f>IF(BF$6="Forecast",Sales!BF42,'Dept. Cost Actuals'!BJ171)</f>
        <v>167630.80988529915</v>
      </c>
      <c r="BG17" s="579">
        <f>IF(BG$6="Forecast",Sales!BG42,'Dept. Cost Actuals'!BK171)</f>
        <v>167763.34314840447</v>
      </c>
      <c r="BH17" s="579">
        <f>IF(BH$6="Forecast",Sales!BH42,'Dept. Cost Actuals'!BL171)</f>
        <v>167897.29538446857</v>
      </c>
      <c r="BI17" s="579">
        <f>IF(BI$6="Forecast",Sales!BI42,'Dept. Cost Actuals'!BM171)</f>
        <v>168036.15595917613</v>
      </c>
      <c r="BJ17" s="579">
        <f>IF(BJ$6="Forecast",Sales!BJ42,'Dept. Cost Actuals'!BN171)</f>
        <v>424203.65441333991</v>
      </c>
      <c r="BK17" s="579">
        <f>IF(BK$6="Forecast",Sales!BK42,'Dept. Cost Actuals'!BO171)</f>
        <v>168993.80029523751</v>
      </c>
      <c r="BL17" s="579">
        <f>IF(BL$6="Forecast",Sales!BL42,'Dept. Cost Actuals'!BP171)</f>
        <v>172257.68360993278</v>
      </c>
      <c r="BM17" s="579">
        <f>IF(BM$6="Forecast",Sales!BM42,'Dept. Cost Actuals'!BQ171)</f>
        <v>172412.84983831286</v>
      </c>
      <c r="BN17" s="579">
        <f>IF(BN$6="Forecast",Sales!BN42,'Dept. Cost Actuals'!BR171)</f>
        <v>172568.3958300759</v>
      </c>
      <c r="BO17" s="579">
        <f>IF(BO$6="Forecast",Sales!BO42,'Dept. Cost Actuals'!BS171)</f>
        <v>172725.34348374006</v>
      </c>
      <c r="BP17" s="579">
        <f>IF(BP$6="Forecast",Sales!BP42,'Dept. Cost Actuals'!BT171)</f>
        <v>172884.99141300117</v>
      </c>
      <c r="BQ17" s="579">
        <f>IF(BQ$6="Forecast",Sales!BQ42,'Dept. Cost Actuals'!BU171)</f>
        <v>173046.00871725855</v>
      </c>
      <c r="BR17" s="579">
        <f>IF(BR$6="Forecast",Sales!BR42,'Dept. Cost Actuals'!BV171)</f>
        <v>173209.04672620646</v>
      </c>
      <c r="BS17" s="579">
        <f>IF(BS$6="Forecast",Sales!BS42,'Dept. Cost Actuals'!BW171)</f>
        <v>173374.8051722153</v>
      </c>
      <c r="BT17" s="579">
        <f>IF(BT$6="Forecast",Sales!BT42,'Dept. Cost Actuals'!BX171)</f>
        <v>173543.57353111982</v>
      </c>
      <c r="BU17" s="579">
        <f>IF(BU$6="Forecast",Sales!BU42,'Dept. Cost Actuals'!BY171)</f>
        <v>173715.47527374918</v>
      </c>
      <c r="BV17" s="579">
        <f>IF(BV$6="Forecast",Sales!BV42,'Dept. Cost Actuals'!BZ171)</f>
        <v>437594.33884853567</v>
      </c>
    </row>
    <row r="18" spans="2:74" x14ac:dyDescent="0.35">
      <c r="B18" s="1005" t="s">
        <v>5</v>
      </c>
      <c r="C18" s="21">
        <v>122743.50469489908</v>
      </c>
      <c r="D18" s="21">
        <v>165589.8768953385</v>
      </c>
      <c r="E18" s="21">
        <v>193250.67445364263</v>
      </c>
      <c r="F18" s="21">
        <v>185825.60761987136</v>
      </c>
      <c r="G18" s="21">
        <v>149635.4680456534</v>
      </c>
      <c r="H18" s="21">
        <v>169801.64716131589</v>
      </c>
      <c r="I18" s="21">
        <v>149358.31896689636</v>
      </c>
      <c r="J18" s="21">
        <v>172621.196576471</v>
      </c>
      <c r="K18" s="21">
        <v>167594.9543992744</v>
      </c>
      <c r="L18" s="21">
        <v>180125.49536517385</v>
      </c>
      <c r="M18" s="21">
        <v>120151.07289570948</v>
      </c>
      <c r="N18" s="21">
        <v>98802.597527773381</v>
      </c>
      <c r="O18" s="21">
        <f>IF(O$6="Forecast",Marketing!O56,'Dept. Cost Actuals'!S339)</f>
        <v>296216.34999999998</v>
      </c>
      <c r="P18" s="21">
        <f>IF(P$6="Forecast",Marketing!P56,'Dept. Cost Actuals'!T339)</f>
        <v>221717.66</v>
      </c>
      <c r="Q18" s="21">
        <f>IF(Q$6="Forecast",Marketing!Q56,'Dept. Cost Actuals'!U339)</f>
        <v>288431.05</v>
      </c>
      <c r="R18" s="21">
        <f>IF(R$6="Forecast",Marketing!R56,'Dept. Cost Actuals'!V339)</f>
        <v>276885.86</v>
      </c>
      <c r="S18" s="21">
        <f>IF(S$6="Forecast",Marketing!S56,'Dept. Cost Actuals'!W339)</f>
        <v>308903.64</v>
      </c>
      <c r="T18" s="21">
        <f>IF(T$6="Forecast",Marketing!T56,'Dept. Cost Actuals'!X339)</f>
        <v>489734.78</v>
      </c>
      <c r="U18" s="21">
        <f>IF(U$6="Forecast",Marketing!U56,'Dept. Cost Actuals'!Y339)</f>
        <v>734273.72</v>
      </c>
      <c r="V18" s="21">
        <f>IF(V$6="Forecast",Marketing!V56,'Dept. Cost Actuals'!Z339)</f>
        <v>694948.04</v>
      </c>
      <c r="W18" s="21">
        <f>IF(W$6="Forecast",Marketing!W56,'Dept. Cost Actuals'!AA339)</f>
        <v>478873.26</v>
      </c>
      <c r="X18" s="21">
        <f>IF(X$6="Forecast",Marketing!X56,'Dept. Cost Actuals'!AB339)</f>
        <v>431771.88</v>
      </c>
      <c r="Y18" s="21">
        <f>IF(Y$6="Forecast",Marketing!Y56,'Dept. Cost Actuals'!AC339)</f>
        <v>469217.29</v>
      </c>
      <c r="Z18" s="21">
        <f>IF(Z$6="Forecast",Marketing!Z56,'Dept. Cost Actuals'!AD339)</f>
        <v>373012.06</v>
      </c>
      <c r="AA18" s="21">
        <f>IF(AA$6="Forecast",Marketing!AA56,'Dept. Cost Actuals'!AE339)</f>
        <v>323465.86545833328</v>
      </c>
      <c r="AB18" s="21">
        <f>IF(AB$6="Forecast",Marketing!AB56,'Dept. Cost Actuals'!AF339)</f>
        <v>409607.20545833337</v>
      </c>
      <c r="AC18" s="21">
        <f>IF(AC$6="Forecast",Marketing!AC56,'Dept. Cost Actuals'!AG339)</f>
        <v>747292.20545833325</v>
      </c>
      <c r="AD18" s="21">
        <f>IF(AD$6="Forecast",Marketing!AD56,'Dept. Cost Actuals'!AH339)</f>
        <v>910542.20545833325</v>
      </c>
      <c r="AE18" s="21">
        <f>IF(AE$6="Forecast",Marketing!AE56,'Dept. Cost Actuals'!AI339)</f>
        <v>821789.70545833325</v>
      </c>
      <c r="AF18" s="21">
        <f>IF(AF$6="Forecast",Marketing!AF56,'Dept. Cost Actuals'!AJ339)</f>
        <v>824874.70545833325</v>
      </c>
      <c r="AG18" s="21">
        <f>IF(AG$6="Forecast",Marketing!AG56,'Dept. Cost Actuals'!AK339)</f>
        <v>841899.70545833325</v>
      </c>
      <c r="AH18" s="21">
        <f>IF(AH$6="Forecast",Marketing!AH56,'Dept. Cost Actuals'!AL339)</f>
        <v>646824.70545833337</v>
      </c>
      <c r="AI18" s="21">
        <f>IF(AI$6="Forecast",Marketing!AI56,'Dept. Cost Actuals'!AM339)</f>
        <v>666824.70545833337</v>
      </c>
      <c r="AJ18" s="21">
        <f>IF(AJ$6="Forecast",Marketing!AJ56,'Dept. Cost Actuals'!AN339)</f>
        <v>756924.70545833337</v>
      </c>
      <c r="AK18" s="21">
        <f>IF(AK$6="Forecast",Marketing!AK56,'Dept. Cost Actuals'!AO339)</f>
        <v>646824.70545833337</v>
      </c>
      <c r="AL18" s="21">
        <f>IF(AL$6="Forecast",Marketing!AL56,'Dept. Cost Actuals'!AP339)</f>
        <v>827137.20545833337</v>
      </c>
      <c r="AM18" s="21">
        <f>IF(AM$6="Forecast",Marketing!AM56,'Dept. Cost Actuals'!AQ339)</f>
        <v>617039.45342736121</v>
      </c>
      <c r="AN18" s="21">
        <f>IF(AN$6="Forecast",Marketing!AN56,'Dept. Cost Actuals'!AR339)</f>
        <v>625943.11672937497</v>
      </c>
      <c r="AO18" s="21">
        <f>IF(AO$6="Forecast",Marketing!AO56,'Dept. Cost Actuals'!AS339)</f>
        <v>634418.00211879564</v>
      </c>
      <c r="AP18" s="21">
        <f>IF(AP$6="Forecast",Marketing!AP56,'Dept. Cost Actuals'!AT339)</f>
        <v>634509.05828118185</v>
      </c>
      <c r="AQ18" s="21">
        <f>IF(AQ$6="Forecast",Marketing!AQ56,'Dept. Cost Actuals'!AU339)</f>
        <v>630278.91458841087</v>
      </c>
      <c r="AR18" s="21">
        <f>IF(AR$6="Forecast",Marketing!AR56,'Dept. Cost Actuals'!AV339)</f>
        <v>633126.04744236788</v>
      </c>
      <c r="AS18" s="21">
        <f>IF(AS$6="Forecast",Marketing!AS56,'Dept. Cost Actuals'!AW339)</f>
        <v>630957.97612804966</v>
      </c>
      <c r="AT18" s="21">
        <f>IF(AT$6="Forecast",Marketing!AT56,'Dept. Cost Actuals'!AX339)</f>
        <v>622640.97501226282</v>
      </c>
      <c r="AU18" s="21">
        <f>IF(AU$6="Forecast",Marketing!AU56,'Dept. Cost Actuals'!AY339)</f>
        <v>625721.0117856235</v>
      </c>
      <c r="AV18" s="21">
        <f>IF(AV$6="Forecast",Marketing!AV56,'Dept. Cost Actuals'!AZ339)</f>
        <v>627391.63892058923</v>
      </c>
      <c r="AW18" s="21">
        <f>IF(AW$6="Forecast",Marketing!AW56,'Dept. Cost Actuals'!BA339)</f>
        <v>621693.79278286675</v>
      </c>
      <c r="AX18" s="21">
        <f>IF(AX$6="Forecast",Marketing!AX56,'Dept. Cost Actuals'!BB339)</f>
        <v>811036.70103689888</v>
      </c>
      <c r="AY18" s="21">
        <f>IF(AY$6="Forecast",Marketing!AY56,'Dept. Cost Actuals'!BC339)</f>
        <v>625126.30727076705</v>
      </c>
      <c r="AZ18" s="21">
        <f>IF(AZ$6="Forecast",Marketing!AZ56,'Dept. Cost Actuals'!BD339)</f>
        <v>627706.73753712361</v>
      </c>
      <c r="BA18" s="21">
        <f>IF(BA$6="Forecast",Marketing!BA56,'Dept. Cost Actuals'!BE339)</f>
        <v>627949.43703723175</v>
      </c>
      <c r="BB18" s="21">
        <f>IF(BB$6="Forecast",Marketing!BB56,'Dept. Cost Actuals'!BF339)</f>
        <v>627506.39195596578</v>
      </c>
      <c r="BC18" s="21">
        <f>IF(BC$6="Forecast",Marketing!BC56,'Dept. Cost Actuals'!BG339)</f>
        <v>627019.10237302841</v>
      </c>
      <c r="BD18" s="21">
        <f>IF(BD$6="Forecast",Marketing!BD56,'Dept. Cost Actuals'!BH339)</f>
        <v>626843.97070546472</v>
      </c>
      <c r="BE18" s="21">
        <f>IF(BE$6="Forecast",Marketing!BE56,'Dept. Cost Actuals'!BI339)</f>
        <v>626417.22239012888</v>
      </c>
      <c r="BF18" s="21">
        <f>IF(BF$6="Forecast",Marketing!BF56,'Dept. Cost Actuals'!BJ339)</f>
        <v>626135.80355639395</v>
      </c>
      <c r="BG18" s="21">
        <f>IF(BG$6="Forecast",Marketing!BG56,'Dept. Cost Actuals'!BK339)</f>
        <v>626524.21073334827</v>
      </c>
      <c r="BH18" s="21">
        <f>IF(BH$6="Forecast",Marketing!BH56,'Dept. Cost Actuals'!BL339)</f>
        <v>626688.47808019491</v>
      </c>
      <c r="BI18" s="21">
        <f>IF(BI$6="Forecast",Marketing!BI56,'Dept. Cost Actuals'!BM339)</f>
        <v>626727.33915370854</v>
      </c>
      <c r="BJ18" s="21">
        <f>IF(BJ$6="Forecast",Marketing!BJ56,'Dept. Cost Actuals'!BN339)</f>
        <v>819174.40668999427</v>
      </c>
      <c r="BK18" s="21">
        <f>IF(BK$6="Forecast",Marketing!BK56,'Dept. Cost Actuals'!BO339)</f>
        <v>227938.75734187043</v>
      </c>
      <c r="BL18" s="21">
        <f>IF(BL$6="Forecast",Marketing!BL56,'Dept. Cost Actuals'!BP339)</f>
        <v>229859.92168979137</v>
      </c>
      <c r="BM18" s="21">
        <f>IF(BM$6="Forecast",Marketing!BM56,'Dept. Cost Actuals'!BQ339)</f>
        <v>229860.93330710504</v>
      </c>
      <c r="BN18" s="21">
        <f>IF(BN$6="Forecast",Marketing!BN56,'Dept. Cost Actuals'!BR339)</f>
        <v>229841.98399296825</v>
      </c>
      <c r="BO18" s="21">
        <f>IF(BO$6="Forecast",Marketing!BO56,'Dept. Cost Actuals'!BS339)</f>
        <v>229858.54735967907</v>
      </c>
      <c r="BP18" s="21">
        <f>IF(BP$6="Forecast",Marketing!BP56,'Dept. Cost Actuals'!BT339)</f>
        <v>229917.26135367921</v>
      </c>
      <c r="BQ18" s="21">
        <f>IF(BQ$6="Forecast",Marketing!BQ56,'Dept. Cost Actuals'!BU339)</f>
        <v>229995.61706952762</v>
      </c>
      <c r="BR18" s="21">
        <f>IF(BR$6="Forecast",Marketing!BR56,'Dept. Cost Actuals'!BV339)</f>
        <v>230116.21165800921</v>
      </c>
      <c r="BS18" s="21">
        <f>IF(BS$6="Forecast",Marketing!BS56,'Dept. Cost Actuals'!BW339)</f>
        <v>230270.44760189205</v>
      </c>
      <c r="BT18" s="21">
        <f>IF(BT$6="Forecast",Marketing!BT56,'Dept. Cost Actuals'!BX339)</f>
        <v>230405.30457084673</v>
      </c>
      <c r="BU18" s="21">
        <f>IF(BU$6="Forecast",Marketing!BU56,'Dept. Cost Actuals'!BY339)</f>
        <v>230537.84346314293</v>
      </c>
      <c r="BV18" s="21">
        <f>IF(BV$6="Forecast",Marketing!BV56,'Dept. Cost Actuals'!BZ339)</f>
        <v>428366.29584825959</v>
      </c>
    </row>
    <row r="19" spans="2:74" x14ac:dyDescent="0.35">
      <c r="B19" s="1020" t="s">
        <v>1105</v>
      </c>
      <c r="C19" s="1017">
        <f t="shared" ref="C19:AH19" si="13">SUM(C17:C18)</f>
        <v>156761.49787772866</v>
      </c>
      <c r="D19" s="1017">
        <f t="shared" si="13"/>
        <v>200132.82758974744</v>
      </c>
      <c r="E19" s="1017">
        <f t="shared" si="13"/>
        <v>224103.29351071056</v>
      </c>
      <c r="F19" s="1017">
        <f t="shared" si="13"/>
        <v>220919.36074373056</v>
      </c>
      <c r="G19" s="1017">
        <f t="shared" si="13"/>
        <v>188877.81273106992</v>
      </c>
      <c r="H19" s="1017">
        <f t="shared" si="13"/>
        <v>228114.31540866854</v>
      </c>
      <c r="I19" s="1017">
        <f t="shared" si="13"/>
        <v>199033.8780942313</v>
      </c>
      <c r="J19" s="1017">
        <f t="shared" si="13"/>
        <v>236538.82147785701</v>
      </c>
      <c r="K19" s="1017">
        <f t="shared" si="13"/>
        <v>216863.50006004187</v>
      </c>
      <c r="L19" s="1017">
        <f t="shared" si="13"/>
        <v>224520.68339049834</v>
      </c>
      <c r="M19" s="1017">
        <f t="shared" si="13"/>
        <v>188886.69563005451</v>
      </c>
      <c r="N19" s="1017">
        <f t="shared" si="13"/>
        <v>167509.11690247664</v>
      </c>
      <c r="O19" s="1018">
        <f t="shared" si="13"/>
        <v>405035.49</v>
      </c>
      <c r="P19" s="1018">
        <f t="shared" si="13"/>
        <v>310464.18</v>
      </c>
      <c r="Q19" s="1018">
        <f t="shared" si="13"/>
        <v>436011.24</v>
      </c>
      <c r="R19" s="1018">
        <f t="shared" si="13"/>
        <v>395112.8</v>
      </c>
      <c r="S19" s="1018">
        <f t="shared" si="13"/>
        <v>431711.88</v>
      </c>
      <c r="T19" s="1018">
        <f t="shared" si="13"/>
        <v>592998.67000000004</v>
      </c>
      <c r="U19" s="1018">
        <f t="shared" si="13"/>
        <v>866765.66999999993</v>
      </c>
      <c r="V19" s="1018">
        <f t="shared" si="13"/>
        <v>810811.51</v>
      </c>
      <c r="W19" s="1018">
        <f t="shared" si="13"/>
        <v>610657.42000000004</v>
      </c>
      <c r="X19" s="1018">
        <f t="shared" si="13"/>
        <v>594907.51</v>
      </c>
      <c r="Y19" s="1017">
        <f t="shared" si="13"/>
        <v>598789.22</v>
      </c>
      <c r="Z19" s="1017">
        <f t="shared" si="13"/>
        <v>510240.12</v>
      </c>
      <c r="AA19" s="1017">
        <f t="shared" si="13"/>
        <v>467493.10766666662</v>
      </c>
      <c r="AB19" s="1017">
        <f t="shared" si="13"/>
        <v>545000.04731944448</v>
      </c>
      <c r="AC19" s="1017">
        <f t="shared" si="13"/>
        <v>878233.16694328701</v>
      </c>
      <c r="AD19" s="1017">
        <f t="shared" si="13"/>
        <v>1064161.9990357831</v>
      </c>
      <c r="AE19" s="1017">
        <f t="shared" si="13"/>
        <v>962303.50046932057</v>
      </c>
      <c r="AF19" s="1017">
        <f t="shared" si="13"/>
        <v>965734.56535565283</v>
      </c>
      <c r="AG19" s="1017">
        <f t="shared" si="13"/>
        <v>1001322.1056491795</v>
      </c>
      <c r="AH19" s="1017">
        <f t="shared" si="13"/>
        <v>797552.15346716682</v>
      </c>
      <c r="AI19" s="1017">
        <f t="shared" ref="AI19:BJ19" si="14">SUM(AI17:AI18)</f>
        <v>818173.08276998624</v>
      </c>
      <c r="AJ19" s="1017">
        <f t="shared" si="14"/>
        <v>908375.31784804072</v>
      </c>
      <c r="AK19" s="1017">
        <f t="shared" si="14"/>
        <v>798424.6883492663</v>
      </c>
      <c r="AL19" s="1017">
        <f t="shared" si="14"/>
        <v>1219973.9763922608</v>
      </c>
      <c r="AM19" s="1017">
        <f t="shared" ref="AM19" si="15">SUM(AM17:AM18)</f>
        <v>769328.96999633801</v>
      </c>
      <c r="AN19" s="1017">
        <f t="shared" si="14"/>
        <v>781466.40607103275</v>
      </c>
      <c r="AO19" s="1017">
        <f t="shared" si="14"/>
        <v>790234.27256604296</v>
      </c>
      <c r="AP19" s="1017">
        <f t="shared" si="14"/>
        <v>790631.47189890384</v>
      </c>
      <c r="AQ19" s="1017">
        <f t="shared" si="14"/>
        <v>786306.4375163631</v>
      </c>
      <c r="AR19" s="1017">
        <f t="shared" si="14"/>
        <v>789377.15882338642</v>
      </c>
      <c r="AS19" s="1017">
        <f t="shared" si="14"/>
        <v>787423.43770428677</v>
      </c>
      <c r="AT19" s="1017">
        <f t="shared" si="14"/>
        <v>779254.99446401314</v>
      </c>
      <c r="AU19" s="1017">
        <f t="shared" si="14"/>
        <v>782454.6228512238</v>
      </c>
      <c r="AV19" s="1017">
        <f t="shared" si="14"/>
        <v>784203.87263924291</v>
      </c>
      <c r="AW19" s="1017">
        <f t="shared" si="14"/>
        <v>778583.56480727007</v>
      </c>
      <c r="AX19" s="1017">
        <f t="shared" si="14"/>
        <v>1216565.2846797302</v>
      </c>
      <c r="AY19" s="1017">
        <f t="shared" si="14"/>
        <v>788734.96267563011</v>
      </c>
      <c r="AZ19" s="1017">
        <f t="shared" si="14"/>
        <v>794497.50096361083</v>
      </c>
      <c r="BA19" s="1017">
        <f t="shared" si="14"/>
        <v>794892.97253576061</v>
      </c>
      <c r="BB19" s="1017">
        <f t="shared" si="14"/>
        <v>794591.01512740017</v>
      </c>
      <c r="BC19" s="1017">
        <f t="shared" si="14"/>
        <v>794230.95830902061</v>
      </c>
      <c r="BD19" s="1017">
        <f t="shared" si="14"/>
        <v>794201.7636144784</v>
      </c>
      <c r="BE19" s="1017">
        <f t="shared" si="14"/>
        <v>793914.61172033928</v>
      </c>
      <c r="BF19" s="1017">
        <f t="shared" si="14"/>
        <v>793766.61344169313</v>
      </c>
      <c r="BG19" s="1017">
        <f t="shared" si="14"/>
        <v>794287.55388175277</v>
      </c>
      <c r="BH19" s="1017">
        <f t="shared" si="14"/>
        <v>794585.77346466342</v>
      </c>
      <c r="BI19" s="1017">
        <f t="shared" si="14"/>
        <v>794763.49511288467</v>
      </c>
      <c r="BJ19" s="1017">
        <f t="shared" si="14"/>
        <v>1243378.0611033342</v>
      </c>
      <c r="BK19" s="1017">
        <f t="shared" ref="BK19:BL19" si="16">SUM(BK17:BK18)</f>
        <v>396932.55763710791</v>
      </c>
      <c r="BL19" s="1017">
        <f t="shared" si="16"/>
        <v>402117.60529972415</v>
      </c>
      <c r="BM19" s="1017">
        <f t="shared" ref="BM19:BV19" si="17">SUM(BM17:BM18)</f>
        <v>402273.78314541792</v>
      </c>
      <c r="BN19" s="1017">
        <f t="shared" si="17"/>
        <v>402410.37982304418</v>
      </c>
      <c r="BO19" s="1017">
        <f t="shared" si="17"/>
        <v>402583.89084341913</v>
      </c>
      <c r="BP19" s="1017">
        <f t="shared" si="17"/>
        <v>402802.25276668038</v>
      </c>
      <c r="BQ19" s="1017">
        <f t="shared" si="17"/>
        <v>403041.6257867862</v>
      </c>
      <c r="BR19" s="1017">
        <f t="shared" si="17"/>
        <v>403325.25838421565</v>
      </c>
      <c r="BS19" s="1017">
        <f t="shared" si="17"/>
        <v>403645.25277410739</v>
      </c>
      <c r="BT19" s="1017">
        <f t="shared" si="17"/>
        <v>403948.87810196658</v>
      </c>
      <c r="BU19" s="1017">
        <f t="shared" si="17"/>
        <v>404253.31873689208</v>
      </c>
      <c r="BV19" s="1017">
        <f t="shared" si="17"/>
        <v>865960.63469679526</v>
      </c>
    </row>
    <row r="20" spans="2:74" x14ac:dyDescent="0.35">
      <c r="B20" s="772" t="s">
        <v>18</v>
      </c>
      <c r="C20" s="948"/>
      <c r="D20" s="948"/>
      <c r="E20" s="948"/>
      <c r="F20" s="948"/>
      <c r="G20" s="948"/>
      <c r="H20" s="948"/>
      <c r="I20" s="948"/>
      <c r="J20" s="948"/>
      <c r="K20" s="948"/>
      <c r="L20" s="948"/>
      <c r="M20" s="948"/>
      <c r="N20" s="948"/>
      <c r="O20" s="948"/>
      <c r="P20" s="948"/>
      <c r="Q20" s="948"/>
      <c r="R20" s="948"/>
      <c r="S20" s="948"/>
      <c r="T20" s="948"/>
      <c r="U20" s="948"/>
      <c r="V20" s="948"/>
      <c r="W20" s="948"/>
      <c r="X20" s="948"/>
      <c r="Y20" s="948"/>
      <c r="Z20" s="948"/>
      <c r="AA20" s="948"/>
      <c r="AB20" s="948"/>
      <c r="AC20" s="948"/>
      <c r="AD20" s="948"/>
      <c r="AE20" s="948"/>
      <c r="AF20" s="948"/>
      <c r="AG20" s="948"/>
      <c r="AH20" s="948"/>
      <c r="AI20" s="948"/>
      <c r="AJ20" s="948"/>
      <c r="AK20" s="948"/>
      <c r="AL20" s="948"/>
      <c r="AM20" s="948"/>
      <c r="AN20" s="948"/>
      <c r="AO20" s="948"/>
      <c r="AP20" s="948"/>
      <c r="AQ20" s="948"/>
      <c r="AR20" s="948"/>
      <c r="AS20" s="948"/>
      <c r="AT20" s="948"/>
      <c r="AU20" s="948"/>
      <c r="AV20" s="948"/>
      <c r="AW20" s="948"/>
      <c r="AX20" s="948"/>
      <c r="AY20" s="948"/>
      <c r="AZ20" s="948"/>
      <c r="BA20" s="948"/>
      <c r="BB20" s="948"/>
      <c r="BC20" s="948"/>
      <c r="BD20" s="948"/>
      <c r="BE20" s="948"/>
      <c r="BF20" s="948"/>
      <c r="BG20" s="948"/>
      <c r="BH20" s="948"/>
      <c r="BI20" s="948"/>
      <c r="BJ20" s="948"/>
      <c r="BK20" s="948"/>
      <c r="BL20" s="948"/>
      <c r="BM20" s="948"/>
      <c r="BN20" s="948"/>
      <c r="BO20" s="948"/>
      <c r="BP20" s="948"/>
      <c r="BQ20" s="948"/>
      <c r="BR20" s="948"/>
      <c r="BS20" s="948"/>
      <c r="BT20" s="948"/>
      <c r="BU20" s="948"/>
      <c r="BV20" s="948"/>
    </row>
    <row r="21" spans="2:74" x14ac:dyDescent="0.35">
      <c r="B21" s="1004" t="s">
        <v>342</v>
      </c>
      <c r="C21" s="579">
        <v>28936.194989697571</v>
      </c>
      <c r="D21" s="579">
        <v>29068.38469970796</v>
      </c>
      <c r="E21" s="579">
        <v>24260.562355377435</v>
      </c>
      <c r="F21" s="579">
        <v>33096.835246874049</v>
      </c>
      <c r="G21" s="579">
        <v>30687.359681435475</v>
      </c>
      <c r="H21" s="579">
        <v>42573.263429405881</v>
      </c>
      <c r="I21" s="579">
        <v>31775.717145368864</v>
      </c>
      <c r="J21" s="579">
        <v>37195.632062964993</v>
      </c>
      <c r="K21" s="579">
        <v>32910.646091064053</v>
      </c>
      <c r="L21" s="579">
        <v>39324.872454851429</v>
      </c>
      <c r="M21" s="579">
        <v>67613.394059981336</v>
      </c>
      <c r="N21" s="579">
        <v>60692.076637588005</v>
      </c>
      <c r="O21" s="579">
        <f>IF(O$6="Forecast",'Dev Ops'!O42,'Dept. Cost Actuals'!S843)</f>
        <v>65071.12</v>
      </c>
      <c r="P21" s="579">
        <f>IF(P$6="Forecast",'Dev Ops'!P42,'Dept. Cost Actuals'!T843)</f>
        <v>36487.94</v>
      </c>
      <c r="Q21" s="579">
        <f>IF(Q$6="Forecast",'Dev Ops'!Q42,'Dept. Cost Actuals'!U843)</f>
        <v>74794.22</v>
      </c>
      <c r="R21" s="579">
        <f>IF(R$6="Forecast",'Dev Ops'!R42,'Dept. Cost Actuals'!V843)</f>
        <v>63163.95</v>
      </c>
      <c r="S21" s="579">
        <f>IF(S$6="Forecast",'Dev Ops'!S42,'Dept. Cost Actuals'!W843)</f>
        <v>98531.67</v>
      </c>
      <c r="T21" s="579">
        <f>IF(T$6="Forecast",'Dev Ops'!T42,'Dept. Cost Actuals'!X843)</f>
        <v>83189.5</v>
      </c>
      <c r="U21" s="579">
        <f>IF(U$6="Forecast",'Dev Ops'!U42,'Dept. Cost Actuals'!Y843)</f>
        <v>111312.5</v>
      </c>
      <c r="V21" s="579">
        <f>IF(V$6="Forecast",'Dev Ops'!V42,'Dept. Cost Actuals'!Z843)</f>
        <v>108879.77</v>
      </c>
      <c r="W21" s="579">
        <f>IF(W$6="Forecast",'Dev Ops'!W42,'Dept. Cost Actuals'!AA843)</f>
        <v>97885.34</v>
      </c>
      <c r="X21" s="579">
        <f>IF(X$6="Forecast",'Dev Ops'!X42,'Dept. Cost Actuals'!AB843)</f>
        <v>110090.17</v>
      </c>
      <c r="Y21" s="579">
        <f>IF(Y$6="Forecast",'Dev Ops'!Y42,'Dept. Cost Actuals'!AC843)</f>
        <v>105787.7</v>
      </c>
      <c r="Z21" s="579">
        <f>IF(Z$6="Forecast",'Dev Ops'!Z42,'Dept. Cost Actuals'!AD843)</f>
        <v>135096.85</v>
      </c>
      <c r="AA21" s="579">
        <f>IF(AA$6="Forecast",'Dev Ops'!AA42,'Dept. Cost Actuals'!AE843)</f>
        <v>84161.439775000006</v>
      </c>
      <c r="AB21" s="579">
        <f>IF(AB$6="Forecast",'Dev Ops'!AB42,'Dept. Cost Actuals'!AF843)</f>
        <v>107531.45095555557</v>
      </c>
      <c r="AC21" s="579">
        <f>IF(AC$6="Forecast",'Dev Ops'!AC42,'Dept. Cost Actuals'!AG843)</f>
        <v>107820.80334560186</v>
      </c>
      <c r="AD21" s="579">
        <f>IF(AD$6="Forecast",'Dev Ops'!AD42,'Dept. Cost Actuals'!AH843)</f>
        <v>107910.08093481867</v>
      </c>
      <c r="AE21" s="579">
        <f>IF(AE$6="Forecast",'Dev Ops'!AE42,'Dept. Cost Actuals'!AI843)</f>
        <v>108136.3958231369</v>
      </c>
      <c r="AF21" s="579">
        <f>IF(AF$6="Forecast",'Dev Ops'!AF42,'Dept. Cost Actuals'!AJ843)</f>
        <v>108267.66861881496</v>
      </c>
      <c r="AG21" s="579">
        <f>IF(AG$6="Forecast",'Dev Ops'!AG42,'Dept. Cost Actuals'!AK843)</f>
        <v>108702.26914746621</v>
      </c>
      <c r="AH21" s="579">
        <f>IF(AH$6="Forecast",'Dev Ops'!AH42,'Dept. Cost Actuals'!AL843)</f>
        <v>109037.3988868384</v>
      </c>
      <c r="AI21" s="579">
        <f>IF(AI$6="Forecast",'Dev Ops'!AI42,'Dept. Cost Actuals'!AM843)</f>
        <v>109211.19777115827</v>
      </c>
      <c r="AJ21" s="579">
        <f>IF(AJ$6="Forecast",'Dev Ops'!AJ42,'Dept. Cost Actuals'!AN843)</f>
        <v>109548.02572917147</v>
      </c>
      <c r="AK21" s="579">
        <f>IF(AK$6="Forecast",'Dev Ops'!AK42,'Dept. Cost Actuals'!AO843)</f>
        <v>109465.30351701909</v>
      </c>
      <c r="AL21" s="579">
        <f>IF(AL$6="Forecast",'Dev Ops'!AL42,'Dept. Cost Actuals'!AP843)</f>
        <v>314686.9436205207</v>
      </c>
      <c r="AM21" s="579">
        <f>IF(AM$6="Forecast",'Dev Ops'!AM42,'Dept. Cost Actuals'!AQ843)</f>
        <v>109196.1579933974</v>
      </c>
      <c r="AN21" s="579">
        <f>IF(AN$6="Forecast",'Dev Ops'!AN42,'Dept. Cost Actuals'!AR843)</f>
        <v>130403.95867202079</v>
      </c>
      <c r="AO21" s="579">
        <f>IF(AO$6="Forecast",'Dev Ops'!AO42,'Dept. Cost Actuals'!AS843)</f>
        <v>130497.86898880667</v>
      </c>
      <c r="AP21" s="579">
        <f>IF(AP$6="Forecast",'Dev Ops'!AP42,'Dept. Cost Actuals'!AT843)</f>
        <v>130575.51015963417</v>
      </c>
      <c r="AQ21" s="579">
        <f>IF(AQ$6="Forecast",'Dev Ops'!AQ42,'Dept. Cost Actuals'!AU843)</f>
        <v>130652.20094431157</v>
      </c>
      <c r="AR21" s="579">
        <f>IF(AR$6="Forecast",'Dev Ops'!AR42,'Dept. Cost Actuals'!AV843)</f>
        <v>130716.44413964461</v>
      </c>
      <c r="AS21" s="579">
        <f>IF(AS$6="Forecast",'Dev Ops'!AS42,'Dept. Cost Actuals'!AW843)</f>
        <v>130775.12455378754</v>
      </c>
      <c r="AT21" s="579">
        <f>IF(AT$6="Forecast",'Dev Ops'!AT42,'Dept. Cost Actuals'!AX843)</f>
        <v>130802.50342062027</v>
      </c>
      <c r="AU21" s="579">
        <f>IF(AU$6="Forecast",'Dev Ops'!AU42,'Dept. Cost Actuals'!AY843)</f>
        <v>130804.26381378928</v>
      </c>
      <c r="AV21" s="579">
        <f>IF(AV$6="Forecast",'Dev Ops'!AV42,'Dept. Cost Actuals'!AZ843)</f>
        <v>130791.71761304521</v>
      </c>
      <c r="AW21" s="579">
        <f>IF(AW$6="Forecast",'Dev Ops'!AW42,'Dept. Cost Actuals'!BA843)</f>
        <v>130750.0895912307</v>
      </c>
      <c r="AX21" s="579">
        <f>IF(AX$6="Forecast",'Dev Ops'!AX42,'Dept. Cost Actuals'!BB843)</f>
        <v>370054.55677421833</v>
      </c>
      <c r="AY21" s="579">
        <f>IF(AY$6="Forecast",'Dev Ops'!AY42,'Dept. Cost Actuals'!BC843)</f>
        <v>137322.00924683985</v>
      </c>
      <c r="AZ21" s="579">
        <f>IF(AZ$6="Forecast",'Dev Ops'!AZ42,'Dept. Cost Actuals'!BD843)</f>
        <v>140979.17122190606</v>
      </c>
      <c r="BA21" s="579">
        <f>IF(BA$6="Forecast",'Dev Ops'!BA42,'Dept. Cost Actuals'!BE843)</f>
        <v>141004.57982696529</v>
      </c>
      <c r="BB21" s="579">
        <f>IF(BB$6="Forecast",'Dev Ops'!BB42,'Dept. Cost Actuals'!BF843)</f>
        <v>141024.29377005633</v>
      </c>
      <c r="BC21" s="579">
        <f>IF(BC$6="Forecast",'Dev Ops'!BC42,'Dept. Cost Actuals'!BG843)</f>
        <v>141039.19390256016</v>
      </c>
      <c r="BD21" s="579">
        <f>IF(BD$6="Forecast",'Dev Ops'!BD42,'Dept. Cost Actuals'!BH843)</f>
        <v>141048.95773554945</v>
      </c>
      <c r="BE21" s="579">
        <f>IF(BE$6="Forecast",'Dev Ops'!BE42,'Dept. Cost Actuals'!BI843)</f>
        <v>141054.19379476795</v>
      </c>
      <c r="BF21" s="579">
        <f>IF(BF$6="Forecast",'Dev Ops'!BF42,'Dept. Cost Actuals'!BJ843)</f>
        <v>141054.98733664045</v>
      </c>
      <c r="BG21" s="579">
        <f>IF(BG$6="Forecast",'Dev Ops'!BG42,'Dept. Cost Actuals'!BK843)</f>
        <v>141053.5753349138</v>
      </c>
      <c r="BH21" s="579">
        <f>IF(BH$6="Forecast",'Dev Ops'!BH42,'Dept. Cost Actuals'!BL843)</f>
        <v>141051.90725997198</v>
      </c>
      <c r="BI21" s="579">
        <f>IF(BI$6="Forecast",'Dev Ops'!BI42,'Dept. Cost Actuals'!BM843)</f>
        <v>141051.15200359077</v>
      </c>
      <c r="BJ21" s="579">
        <f>IF(BJ$6="Forecast",'Dev Ops'!BJ42,'Dept. Cost Actuals'!BN843)</f>
        <v>387576.72075053176</v>
      </c>
      <c r="BK21" s="579">
        <f>IF(BK$6="Forecast",'Dev Ops'!BK42,'Dept. Cost Actuals'!BO843)</f>
        <v>141059.86424822651</v>
      </c>
      <c r="BL21" s="579">
        <f>IF(BL$6="Forecast",'Dev Ops'!BL42,'Dept. Cost Actuals'!BP843)</f>
        <v>144839.6363013373</v>
      </c>
      <c r="BM21" s="579">
        <f>IF(BM$6="Forecast",'Dev Ops'!BM42,'Dept. Cost Actuals'!BQ843)</f>
        <v>144847.61776483097</v>
      </c>
      <c r="BN21" s="579">
        <f>IF(BN$6="Forecast",'Dev Ops'!BN42,'Dept. Cost Actuals'!BR843)</f>
        <v>144854.15613095276</v>
      </c>
      <c r="BO21" s="579">
        <f>IF(BO$6="Forecast",'Dev Ops'!BO42,'Dept. Cost Actuals'!BS843)</f>
        <v>144859.6052705406</v>
      </c>
      <c r="BP21" s="579">
        <f>IF(BP$6="Forecast",'Dev Ops'!BP42,'Dept. Cost Actuals'!BT843)</f>
        <v>144864.27513291594</v>
      </c>
      <c r="BQ21" s="579">
        <f>IF(BQ$6="Forecast",'Dev Ops'!BQ42,'Dept. Cost Actuals'!BU843)</f>
        <v>144868.52838014014</v>
      </c>
      <c r="BR21" s="579">
        <f>IF(BR$6="Forecast",'Dev Ops'!BR42,'Dept. Cost Actuals'!BV843)</f>
        <v>144872.7072154514</v>
      </c>
      <c r="BS21" s="579">
        <f>IF(BS$6="Forecast",'Dev Ops'!BS42,'Dept. Cost Actuals'!BW843)</f>
        <v>144877.17530940322</v>
      </c>
      <c r="BT21" s="579">
        <f>IF(BT$6="Forecast",'Dev Ops'!BT42,'Dept. Cost Actuals'!BX843)</f>
        <v>144882.14031016361</v>
      </c>
      <c r="BU21" s="579">
        <f>IF(BU$6="Forecast",'Dev Ops'!BU42,'Dept. Cost Actuals'!BY843)</f>
        <v>144887.66483826708</v>
      </c>
      <c r="BV21" s="579">
        <f>IF(BV$6="Forecast",'Dev Ops'!BV42,'Dept. Cost Actuals'!BZ843)</f>
        <v>398812.32096671656</v>
      </c>
    </row>
    <row r="22" spans="2:74" x14ac:dyDescent="0.35">
      <c r="B22" s="1004" t="s">
        <v>67</v>
      </c>
      <c r="C22" s="579">
        <v>60951.026543432119</v>
      </c>
      <c r="D22" s="579">
        <v>54573.897326367412</v>
      </c>
      <c r="E22" s="579">
        <v>76876.314729704696</v>
      </c>
      <c r="F22" s="579">
        <v>86237.985625780828</v>
      </c>
      <c r="G22" s="579">
        <v>79829.350699418079</v>
      </c>
      <c r="H22" s="579">
        <v>106990.47820609846</v>
      </c>
      <c r="I22" s="579">
        <v>117372.99168759244</v>
      </c>
      <c r="J22" s="579">
        <v>130340.79026891006</v>
      </c>
      <c r="K22" s="579">
        <v>134907.88182833997</v>
      </c>
      <c r="L22" s="579">
        <v>135611.68798628659</v>
      </c>
      <c r="M22" s="579">
        <v>179290.10190158105</v>
      </c>
      <c r="N22" s="579">
        <v>208819.66215888504</v>
      </c>
      <c r="O22" s="579">
        <f>IF(O$6="Forecast",Software!O42,'Dept. Cost Actuals'!S507+'Dept. Cost Actuals'!S1179)</f>
        <v>223525.13</v>
      </c>
      <c r="P22" s="579">
        <f>IF(P$6="Forecast",Software!P42,'Dept. Cost Actuals'!T507+'Dept. Cost Actuals'!T1179)</f>
        <v>203616.35</v>
      </c>
      <c r="Q22" s="579">
        <f>IF(Q$6="Forecast",Software!Q42,'Dept. Cost Actuals'!U507+'Dept. Cost Actuals'!U1179)</f>
        <v>271880.2</v>
      </c>
      <c r="R22" s="579">
        <f>IF(R$6="Forecast",Software!R42,'Dept. Cost Actuals'!V507+'Dept. Cost Actuals'!V1179)</f>
        <v>302619.27</v>
      </c>
      <c r="S22" s="579">
        <f>IF(S$6="Forecast",Software!S42,'Dept. Cost Actuals'!W507+'Dept. Cost Actuals'!W1179)</f>
        <v>256681.38</v>
      </c>
      <c r="T22" s="579">
        <f>IF(T$6="Forecast",Software!T42,'Dept. Cost Actuals'!X507+'Dept. Cost Actuals'!X1179)</f>
        <v>216287.32</v>
      </c>
      <c r="U22" s="579">
        <f>IF(U$6="Forecast",Software!U42,'Dept. Cost Actuals'!Y507+'Dept. Cost Actuals'!Y1179)</f>
        <v>307011.43</v>
      </c>
      <c r="V22" s="579">
        <f>IF(V$6="Forecast",Software!V42,'Dept. Cost Actuals'!Z507+'Dept. Cost Actuals'!Z1179)</f>
        <v>296560.23</v>
      </c>
      <c r="W22" s="579">
        <f>IF(W$6="Forecast",Software!W42,'Dept. Cost Actuals'!AA507+'Dept. Cost Actuals'!AA1179)</f>
        <v>259876.5</v>
      </c>
      <c r="X22" s="579">
        <f>IF(X$6="Forecast",Software!X42,'Dept. Cost Actuals'!AB507+'Dept. Cost Actuals'!AB1179)</f>
        <v>285864.71999999997</v>
      </c>
      <c r="Y22" s="579">
        <f>IF(Y$6="Forecast",Software!Y42,'Dept. Cost Actuals'!AC507+'Dept. Cost Actuals'!AC1179)</f>
        <v>277660.88</v>
      </c>
      <c r="Z22" s="579">
        <f>IF(Z$6="Forecast",Software!Z42,'Dept. Cost Actuals'!AD507+'Dept. Cost Actuals'!AD1179)</f>
        <v>238550.02000000002</v>
      </c>
      <c r="AA22" s="579">
        <f>IF(AA$6="Forecast",Software!AA42,'Dept. Cost Actuals'!AE507+'Dept. Cost Actuals'!AE1179)</f>
        <v>200964.33657499999</v>
      </c>
      <c r="AB22" s="579">
        <f>IF(AB$6="Forecast",Software!AB42,'Dept. Cost Actuals'!AF507+'Dept. Cost Actuals'!AF1179)</f>
        <v>218681.45976944445</v>
      </c>
      <c r="AC22" s="579">
        <f>IF(AC$6="Forecast",Software!AC42,'Dept. Cost Actuals'!AG507+'Dept. Cost Actuals'!AG1179)</f>
        <v>210876.1596189815</v>
      </c>
      <c r="AD22" s="579">
        <f>IF(AD$6="Forecast",Software!AD42,'Dept. Cost Actuals'!AH507+'Dept. Cost Actuals'!AH1179)</f>
        <v>216993.25945597995</v>
      </c>
      <c r="AE22" s="579">
        <f>IF(AE$6="Forecast",Software!AE42,'Dept. Cost Actuals'!AI507+'Dept. Cost Actuals'!AI1179)</f>
        <v>211072.68261272827</v>
      </c>
      <c r="AF22" s="579">
        <f>IF(AF$6="Forecast",Software!AF42,'Dept. Cost Actuals'!AJ507+'Dept. Cost Actuals'!AJ1179)</f>
        <v>211071.67603253896</v>
      </c>
      <c r="AG22" s="579">
        <f>IF(AG$6="Forecast",Software!AG42,'Dept. Cost Actuals'!AK507+'Dept. Cost Actuals'!AK1179)</f>
        <v>278426.37390400056</v>
      </c>
      <c r="AH22" s="579">
        <f>IF(AH$6="Forecast",Software!AH42,'Dept. Cost Actuals'!AL507+'Dept. Cost Actuals'!AL1179)</f>
        <v>231194.44770919505</v>
      </c>
      <c r="AI22" s="579">
        <f>IF(AI$6="Forecast",Software!AI42,'Dept. Cost Actuals'!AM507+'Dept. Cost Actuals'!AM1179)</f>
        <v>231339.50849815574</v>
      </c>
      <c r="AJ22" s="579">
        <f>IF(AJ$6="Forecast",Software!AJ42,'Dept. Cost Actuals'!AN507+'Dept. Cost Actuals'!AN1179)</f>
        <v>265039.61351952981</v>
      </c>
      <c r="AK22" s="579">
        <f>IF(AK$6="Forecast",Software!AK42,'Dept. Cost Actuals'!AO507+'Dept. Cost Actuals'!AO1179)</f>
        <v>241184.47534824064</v>
      </c>
      <c r="AL22" s="579">
        <f>IF(AL$6="Forecast",Software!AL42,'Dept. Cost Actuals'!AP507+'Dept. Cost Actuals'!AP1179)</f>
        <v>688041.52316267742</v>
      </c>
      <c r="AM22" s="579">
        <f>IF(AM$6="Forecast",Software!AM42,'Dept. Cost Actuals'!AQ507+'Dept. Cost Actuals'!AQ1179)</f>
        <v>243413.79306473382</v>
      </c>
      <c r="AN22" s="579">
        <f>IF(AN$6="Forecast",Software!AN42,'Dept. Cost Actuals'!AR507+'Dept. Cost Actuals'!AR1179)</f>
        <v>288529.74676577409</v>
      </c>
      <c r="AO22" s="579">
        <f>IF(AO$6="Forecast",Software!AO42,'Dept. Cost Actuals'!AS507+'Dept. Cost Actuals'!AS1179)</f>
        <v>288549.96417640982</v>
      </c>
      <c r="AP22" s="579">
        <f>IF(AP$6="Forecast",Software!AP42,'Dept. Cost Actuals'!AT507+'Dept. Cost Actuals'!AT1179)</f>
        <v>288597.46140009066</v>
      </c>
      <c r="AQ22" s="579">
        <f>IF(AQ$6="Forecast",Software!AQ42,'Dept. Cost Actuals'!AU507+'Dept. Cost Actuals'!AU1179)</f>
        <v>288555.99247933057</v>
      </c>
      <c r="AR22" s="579">
        <f>IF(AR$6="Forecast",Software!AR42,'Dept. Cost Actuals'!AV507+'Dept. Cost Actuals'!AV1179)</f>
        <v>288587.96530439146</v>
      </c>
      <c r="AS22" s="579">
        <f>IF(AS$6="Forecast",Software!AS42,'Dept. Cost Actuals'!AW507+'Dept. Cost Actuals'!AW1179)</f>
        <v>288622.88591779571</v>
      </c>
      <c r="AT22" s="579">
        <f>IF(AT$6="Forecast",Software!AT42,'Dept. Cost Actuals'!AX507+'Dept. Cost Actuals'!AX1179)</f>
        <v>288653.59844107565</v>
      </c>
      <c r="AU22" s="579">
        <f>IF(AU$6="Forecast",Software!AU42,'Dept. Cost Actuals'!AY507+'Dept. Cost Actuals'!AY1179)</f>
        <v>288689.76861433272</v>
      </c>
      <c r="AV22" s="579">
        <f>IF(AV$6="Forecast",Software!AV42,'Dept. Cost Actuals'!AZ507+'Dept. Cost Actuals'!AZ1179)</f>
        <v>288717.12412079144</v>
      </c>
      <c r="AW22" s="579">
        <f>IF(AW$6="Forecast",Software!AW42,'Dept. Cost Actuals'!BA507+'Dept. Cost Actuals'!BA1179)</f>
        <v>288741.47828881984</v>
      </c>
      <c r="AX22" s="579">
        <f>IF(AX$6="Forecast",Software!AX42,'Dept. Cost Actuals'!BB507+'Dept. Cost Actuals'!BB1179)</f>
        <v>796630.02080163499</v>
      </c>
      <c r="AY22" s="579">
        <f>IF(AY$6="Forecast",Software!AY42,'Dept. Cost Actuals'!BC507+'Dept. Cost Actuals'!BC1179)</f>
        <v>296170.00945675542</v>
      </c>
      <c r="AZ22" s="579">
        <f>IF(AZ$6="Forecast",Software!AZ42,'Dept. Cost Actuals'!BD507+'Dept. Cost Actuals'!BD1179)</f>
        <v>303018.81926500838</v>
      </c>
      <c r="BA22" s="579">
        <f>IF(BA$6="Forecast",Software!BA42,'Dept. Cost Actuals'!BE507+'Dept. Cost Actuals'!BE1179)</f>
        <v>303050.52856298332</v>
      </c>
      <c r="BB22" s="579">
        <f>IF(BB$6="Forecast",Software!BB42,'Dept. Cost Actuals'!BF507+'Dept. Cost Actuals'!BF1179)</f>
        <v>303083.31524443143</v>
      </c>
      <c r="BC22" s="579">
        <f>IF(BC$6="Forecast",Software!BC42,'Dept. Cost Actuals'!BG507+'Dept. Cost Actuals'!BG1179)</f>
        <v>303114.99269140774</v>
      </c>
      <c r="BD22" s="579">
        <f>IF(BD$6="Forecast",Software!BD42,'Dept. Cost Actuals'!BH507+'Dept. Cost Actuals'!BH1179)</f>
        <v>303152.87765983603</v>
      </c>
      <c r="BE22" s="579">
        <f>IF(BE$6="Forecast",Software!BE42,'Dept. Cost Actuals'!BI507+'Dept. Cost Actuals'!BI1179)</f>
        <v>303191.36081121722</v>
      </c>
      <c r="BF22" s="579">
        <f>IF(BF$6="Forecast",Software!BF42,'Dept. Cost Actuals'!BJ507+'Dept. Cost Actuals'!BJ1179)</f>
        <v>303230.23772841407</v>
      </c>
      <c r="BG22" s="579">
        <f>IF(BG$6="Forecast",Software!BG42,'Dept. Cost Actuals'!BK507+'Dept. Cost Actuals'!BK1179)</f>
        <v>303269.88081647782</v>
      </c>
      <c r="BH22" s="579">
        <f>IF(BH$6="Forecast",Software!BH42,'Dept. Cost Actuals'!BL507+'Dept. Cost Actuals'!BL1179)</f>
        <v>303309.88518987381</v>
      </c>
      <c r="BI22" s="579">
        <f>IF(BI$6="Forecast",Software!BI42,'Dept. Cost Actuals'!BM507+'Dept. Cost Actuals'!BM1179)</f>
        <v>303350.99830770009</v>
      </c>
      <c r="BJ22" s="579">
        <f>IF(BJ$6="Forecast",Software!BJ42,'Dept. Cost Actuals'!BN507+'Dept. Cost Actuals'!BN1179)</f>
        <v>826469.347355337</v>
      </c>
      <c r="BK22" s="579">
        <f>IF(BK$6="Forecast",Software!BK42,'Dept. Cost Actuals'!BO507+'Dept. Cost Actuals'!BO1179)</f>
        <v>304390.45264433278</v>
      </c>
      <c r="BL22" s="579">
        <f>IF(BL$6="Forecast",Software!BL42,'Dept. Cost Actuals'!BP507+'Dept. Cost Actuals'!BP1179)</f>
        <v>311453.99494928803</v>
      </c>
      <c r="BM22" s="579">
        <f>IF(BM$6="Forecast",Software!BM42,'Dept. Cost Actuals'!BQ507+'Dept. Cost Actuals'!BQ1179)</f>
        <v>311495.99830012047</v>
      </c>
      <c r="BN22" s="579">
        <f>IF(BN$6="Forecast",Software!BN42,'Dept. Cost Actuals'!BR507+'Dept. Cost Actuals'!BR1179)</f>
        <v>311538.93891688378</v>
      </c>
      <c r="BO22" s="579">
        <f>IF(BO$6="Forecast",Software!BO42,'Dept. Cost Actuals'!BS507+'Dept. Cost Actuals'!BS1179)</f>
        <v>311582.80142913241</v>
      </c>
      <c r="BP22" s="579">
        <f>IF(BP$6="Forecast",Software!BP42,'Dept. Cost Actuals'!BT507+'Dept. Cost Actuals'!BT1179)</f>
        <v>311627.75134762767</v>
      </c>
      <c r="BQ22" s="579">
        <f>IF(BQ$6="Forecast",Software!BQ42,'Dept. Cost Actuals'!BU507+'Dept. Cost Actuals'!BU1179)</f>
        <v>311673.35832882475</v>
      </c>
      <c r="BR22" s="579">
        <f>IF(BR$6="Forecast",Software!BR42,'Dept. Cost Actuals'!BV507+'Dept. Cost Actuals'!BV1179)</f>
        <v>311719.62387051724</v>
      </c>
      <c r="BS22" s="579">
        <f>IF(BS$6="Forecast",Software!BS42,'Dept. Cost Actuals'!BW507+'Dept. Cost Actuals'!BW1179)</f>
        <v>311766.56710746163</v>
      </c>
      <c r="BT22" s="579">
        <f>IF(BT$6="Forecast",Software!BT42,'Dept. Cost Actuals'!BX507+'Dept. Cost Actuals'!BX1179)</f>
        <v>311814.17848244158</v>
      </c>
      <c r="BU22" s="579">
        <f>IF(BU$6="Forecast",Software!BU42,'Dept. Cost Actuals'!BY507+'Dept. Cost Actuals'!BY1179)</f>
        <v>311862.48245886434</v>
      </c>
      <c r="BV22" s="579">
        <f>IF(BV$6="Forecast",Software!BV42,'Dept. Cost Actuals'!BZ507+'Dept. Cost Actuals'!BZ1179)</f>
        <v>850679.52453515644</v>
      </c>
    </row>
    <row r="23" spans="2:74" x14ac:dyDescent="0.35">
      <c r="B23" s="1020" t="s">
        <v>1106</v>
      </c>
      <c r="C23" s="1017">
        <f t="shared" ref="C23:BJ23" si="18">SUM(C21:C22)</f>
        <v>89887.22153312969</v>
      </c>
      <c r="D23" s="1017">
        <f t="shared" si="18"/>
        <v>83642.28202607538</v>
      </c>
      <c r="E23" s="1017">
        <f t="shared" si="18"/>
        <v>101136.87708508213</v>
      </c>
      <c r="F23" s="1017">
        <f t="shared" si="18"/>
        <v>119334.82087265488</v>
      </c>
      <c r="G23" s="1017">
        <f t="shared" si="18"/>
        <v>110516.71038085356</v>
      </c>
      <c r="H23" s="1017">
        <f t="shared" si="18"/>
        <v>149563.74163550435</v>
      </c>
      <c r="I23" s="1017">
        <f t="shared" si="18"/>
        <v>149148.7088329613</v>
      </c>
      <c r="J23" s="1017">
        <f t="shared" si="18"/>
        <v>167536.42233187504</v>
      </c>
      <c r="K23" s="1017">
        <f t="shared" si="18"/>
        <v>167818.52791940403</v>
      </c>
      <c r="L23" s="1017">
        <f t="shared" si="18"/>
        <v>174936.56044113802</v>
      </c>
      <c r="M23" s="1017">
        <f t="shared" si="18"/>
        <v>246903.49596156238</v>
      </c>
      <c r="N23" s="1017">
        <f t="shared" si="18"/>
        <v>269511.73879647302</v>
      </c>
      <c r="O23" s="1018">
        <f t="shared" si="18"/>
        <v>288596.25</v>
      </c>
      <c r="P23" s="1018">
        <f t="shared" si="18"/>
        <v>240104.29</v>
      </c>
      <c r="Q23" s="1018">
        <f t="shared" si="18"/>
        <v>346674.42000000004</v>
      </c>
      <c r="R23" s="1018">
        <f t="shared" si="18"/>
        <v>365783.22000000003</v>
      </c>
      <c r="S23" s="1018">
        <f t="shared" si="18"/>
        <v>355213.05</v>
      </c>
      <c r="T23" s="1018">
        <f t="shared" si="18"/>
        <v>299476.82</v>
      </c>
      <c r="U23" s="1018">
        <f t="shared" si="18"/>
        <v>418323.93</v>
      </c>
      <c r="V23" s="1018">
        <f t="shared" si="18"/>
        <v>405440</v>
      </c>
      <c r="W23" s="1018">
        <f t="shared" si="18"/>
        <v>357761.83999999997</v>
      </c>
      <c r="X23" s="1018">
        <f t="shared" si="18"/>
        <v>395954.88999999996</v>
      </c>
      <c r="Y23" s="1017">
        <f t="shared" si="18"/>
        <v>383448.58</v>
      </c>
      <c r="Z23" s="1017">
        <f t="shared" si="18"/>
        <v>373646.87</v>
      </c>
      <c r="AA23" s="1017">
        <f t="shared" si="18"/>
        <v>285125.77635</v>
      </c>
      <c r="AB23" s="1017">
        <f t="shared" si="18"/>
        <v>326212.91072500002</v>
      </c>
      <c r="AC23" s="1017">
        <f t="shared" si="18"/>
        <v>318696.96296458336</v>
      </c>
      <c r="AD23" s="1017">
        <f t="shared" si="18"/>
        <v>324903.34039079864</v>
      </c>
      <c r="AE23" s="1017">
        <f t="shared" si="18"/>
        <v>319209.07843586517</v>
      </c>
      <c r="AF23" s="1017">
        <f t="shared" si="18"/>
        <v>319339.34465135389</v>
      </c>
      <c r="AG23" s="1017">
        <f t="shared" si="18"/>
        <v>387128.64305146679</v>
      </c>
      <c r="AH23" s="1017">
        <f t="shared" si="18"/>
        <v>340231.84659603343</v>
      </c>
      <c r="AI23" s="1017">
        <f t="shared" si="18"/>
        <v>340550.70626931405</v>
      </c>
      <c r="AJ23" s="1017">
        <f t="shared" si="18"/>
        <v>374587.63924870128</v>
      </c>
      <c r="AK23" s="1017">
        <f t="shared" si="18"/>
        <v>350649.77886525972</v>
      </c>
      <c r="AL23" s="1017">
        <f t="shared" si="18"/>
        <v>1002728.4667831981</v>
      </c>
      <c r="AM23" s="1017">
        <f t="shared" ref="AM23" si="19">SUM(AM21:AM22)</f>
        <v>352609.95105813124</v>
      </c>
      <c r="AN23" s="1017">
        <f t="shared" si="18"/>
        <v>418933.70543779491</v>
      </c>
      <c r="AO23" s="1017">
        <f t="shared" si="18"/>
        <v>419047.83316521649</v>
      </c>
      <c r="AP23" s="1017">
        <f t="shared" si="18"/>
        <v>419172.97155972483</v>
      </c>
      <c r="AQ23" s="1017">
        <f t="shared" si="18"/>
        <v>419208.19342364214</v>
      </c>
      <c r="AR23" s="1017">
        <f t="shared" si="18"/>
        <v>419304.40944403608</v>
      </c>
      <c r="AS23" s="1017">
        <f t="shared" si="18"/>
        <v>419398.01047158323</v>
      </c>
      <c r="AT23" s="1017">
        <f t="shared" si="18"/>
        <v>419456.10186169593</v>
      </c>
      <c r="AU23" s="1017">
        <f t="shared" si="18"/>
        <v>419494.03242812201</v>
      </c>
      <c r="AV23" s="1017">
        <f t="shared" si="18"/>
        <v>419508.84173383669</v>
      </c>
      <c r="AW23" s="1017">
        <f t="shared" si="18"/>
        <v>419491.56788005051</v>
      </c>
      <c r="AX23" s="1017">
        <f t="shared" si="18"/>
        <v>1166684.5775758533</v>
      </c>
      <c r="AY23" s="1017">
        <f t="shared" si="18"/>
        <v>433492.01870359527</v>
      </c>
      <c r="AZ23" s="1017">
        <f t="shared" si="18"/>
        <v>443997.99048691441</v>
      </c>
      <c r="BA23" s="1017">
        <f t="shared" si="18"/>
        <v>444055.10838994861</v>
      </c>
      <c r="BB23" s="1017">
        <f t="shared" si="18"/>
        <v>444107.60901448777</v>
      </c>
      <c r="BC23" s="1017">
        <f t="shared" si="18"/>
        <v>444154.1865939679</v>
      </c>
      <c r="BD23" s="1017">
        <f t="shared" si="18"/>
        <v>444201.83539538551</v>
      </c>
      <c r="BE23" s="1017">
        <f t="shared" si="18"/>
        <v>444245.55460598518</v>
      </c>
      <c r="BF23" s="1017">
        <f t="shared" si="18"/>
        <v>444285.22506505449</v>
      </c>
      <c r="BG23" s="1017">
        <f t="shared" si="18"/>
        <v>444323.45615139161</v>
      </c>
      <c r="BH23" s="1017">
        <f t="shared" si="18"/>
        <v>444361.79244984582</v>
      </c>
      <c r="BI23" s="1017">
        <f t="shared" si="18"/>
        <v>444402.15031129087</v>
      </c>
      <c r="BJ23" s="1017">
        <f t="shared" si="18"/>
        <v>1214046.0681058688</v>
      </c>
      <c r="BK23" s="1017">
        <f t="shared" ref="BK23:BL23" si="20">SUM(BK21:BK22)</f>
        <v>445450.31689255929</v>
      </c>
      <c r="BL23" s="1017">
        <f t="shared" si="20"/>
        <v>456293.63125062536</v>
      </c>
      <c r="BM23" s="1017">
        <f t="shared" ref="BM23:BV23" si="21">SUM(BM21:BM22)</f>
        <v>456343.61606495141</v>
      </c>
      <c r="BN23" s="1017">
        <f t="shared" si="21"/>
        <v>456393.09504783654</v>
      </c>
      <c r="BO23" s="1017">
        <f t="shared" si="21"/>
        <v>456442.40669967304</v>
      </c>
      <c r="BP23" s="1017">
        <f t="shared" si="21"/>
        <v>456492.0264805436</v>
      </c>
      <c r="BQ23" s="1017">
        <f t="shared" si="21"/>
        <v>456541.88670896488</v>
      </c>
      <c r="BR23" s="1017">
        <f t="shared" si="21"/>
        <v>456592.33108596865</v>
      </c>
      <c r="BS23" s="1017">
        <f t="shared" si="21"/>
        <v>456643.74241686484</v>
      </c>
      <c r="BT23" s="1017">
        <f t="shared" si="21"/>
        <v>456696.31879260519</v>
      </c>
      <c r="BU23" s="1017">
        <f t="shared" si="21"/>
        <v>456750.14729713142</v>
      </c>
      <c r="BV23" s="1017">
        <f t="shared" si="21"/>
        <v>1249491.8455018729</v>
      </c>
    </row>
    <row r="24" spans="2:74" x14ac:dyDescent="0.35">
      <c r="B24" s="772" t="s">
        <v>19</v>
      </c>
      <c r="C24" s="948"/>
      <c r="D24" s="948"/>
      <c r="E24" s="948"/>
      <c r="F24" s="948"/>
      <c r="G24" s="948"/>
      <c r="H24" s="948"/>
      <c r="I24" s="948"/>
      <c r="J24" s="948"/>
      <c r="K24" s="948"/>
      <c r="L24" s="948"/>
      <c r="M24" s="948"/>
      <c r="N24" s="948"/>
      <c r="O24" s="948"/>
      <c r="P24" s="948"/>
      <c r="Q24" s="948"/>
      <c r="R24" s="948"/>
      <c r="S24" s="948"/>
      <c r="T24" s="948"/>
      <c r="U24" s="948"/>
      <c r="V24" s="948"/>
      <c r="W24" s="948"/>
      <c r="X24" s="948"/>
      <c r="Y24" s="948"/>
      <c r="Z24" s="948"/>
      <c r="AA24" s="948"/>
      <c r="AB24" s="948"/>
      <c r="AC24" s="948"/>
      <c r="AD24" s="948"/>
      <c r="AE24" s="948"/>
      <c r="AF24" s="948"/>
      <c r="AG24" s="948"/>
      <c r="AH24" s="948"/>
      <c r="AI24" s="948"/>
      <c r="AJ24" s="948"/>
      <c r="AK24" s="948"/>
      <c r="AL24" s="948"/>
      <c r="AM24" s="948"/>
      <c r="AN24" s="948"/>
      <c r="AO24" s="948"/>
      <c r="AP24" s="948"/>
      <c r="AQ24" s="948"/>
      <c r="AR24" s="948"/>
      <c r="AS24" s="948"/>
      <c r="AT24" s="948"/>
      <c r="AU24" s="948"/>
      <c r="AV24" s="948"/>
      <c r="AW24" s="948"/>
      <c r="AX24" s="948"/>
      <c r="AY24" s="948"/>
      <c r="AZ24" s="948"/>
      <c r="BA24" s="948"/>
      <c r="BB24" s="948"/>
      <c r="BC24" s="948"/>
      <c r="BD24" s="948"/>
      <c r="BE24" s="948"/>
      <c r="BF24" s="948"/>
      <c r="BG24" s="948"/>
      <c r="BH24" s="948"/>
      <c r="BI24" s="948"/>
      <c r="BJ24" s="948"/>
      <c r="BK24" s="948"/>
      <c r="BL24" s="948"/>
      <c r="BM24" s="948"/>
      <c r="BN24" s="948"/>
      <c r="BO24" s="948"/>
      <c r="BP24" s="948"/>
      <c r="BQ24" s="948"/>
      <c r="BR24" s="948"/>
      <c r="BS24" s="948"/>
      <c r="BT24" s="948"/>
      <c r="BU24" s="948"/>
      <c r="BV24" s="948"/>
    </row>
    <row r="25" spans="2:74" x14ac:dyDescent="0.35">
      <c r="B25" s="1004" t="s">
        <v>4</v>
      </c>
      <c r="C25" s="579">
        <v>9654.4841038329723</v>
      </c>
      <c r="D25" s="579">
        <v>9291.879721282683</v>
      </c>
      <c r="E25" s="579">
        <v>9380.4989089633636</v>
      </c>
      <c r="F25" s="579">
        <v>9910.8241899511377</v>
      </c>
      <c r="G25" s="579">
        <v>6711.0024330387223</v>
      </c>
      <c r="H25" s="579">
        <v>10545.033272667006</v>
      </c>
      <c r="I25" s="579">
        <v>9863.7178412196627</v>
      </c>
      <c r="J25" s="579">
        <v>12184.214045134417</v>
      </c>
      <c r="K25" s="579">
        <v>10281.679894524765</v>
      </c>
      <c r="L25" s="579">
        <v>11679.999297338611</v>
      </c>
      <c r="M25" s="579">
        <v>15738.931776853529</v>
      </c>
      <c r="N25" s="579">
        <v>12722.432056562415</v>
      </c>
      <c r="O25" s="579">
        <f>IF(O$6="Forecast",#REF!,'Dept. Cost Actuals'!S675)</f>
        <v>18751.82</v>
      </c>
      <c r="P25" s="579">
        <f>IF(P$6="Forecast",#REF!,'Dept. Cost Actuals'!T675)</f>
        <v>42229.19</v>
      </c>
      <c r="Q25" s="579">
        <f>IF(Q$6="Forecast",#REF!,'Dept. Cost Actuals'!U675)</f>
        <v>21295.49</v>
      </c>
      <c r="R25" s="579">
        <f>IF(R$6="Forecast",#REF!,'Dept. Cost Actuals'!V675)</f>
        <v>13352.83</v>
      </c>
      <c r="S25" s="579">
        <f>IF(S$6="Forecast",#REF!,'Dept. Cost Actuals'!W675)</f>
        <v>32762.05</v>
      </c>
      <c r="T25" s="579">
        <f>IF(T$6="Forecast",#REF!,'Dept. Cost Actuals'!X675)</f>
        <v>21728.84</v>
      </c>
      <c r="U25" s="579">
        <f>IF(U$6="Forecast",#REF!,'Dept. Cost Actuals'!Y675)</f>
        <v>53607.71</v>
      </c>
      <c r="V25" s="579">
        <f>IF(V$6="Forecast",#REF!,'Dept. Cost Actuals'!Z675)</f>
        <v>51547.13</v>
      </c>
      <c r="W25" s="579">
        <f>IF(W$6="Forecast",#REF!,'Dept. Cost Actuals'!AA675)</f>
        <v>41961.1</v>
      </c>
      <c r="X25" s="579">
        <f>IF(X$6="Forecast",#REF!,'Dept. Cost Actuals'!AB675)</f>
        <v>40709.93</v>
      </c>
      <c r="Y25" s="579">
        <f>IF(Y$6="Forecast",Finance!Y40,'Dept. Cost Actuals'!AC675)</f>
        <v>43557.17</v>
      </c>
      <c r="Z25" s="579">
        <f>IF(Z$6="Forecast",Finance!Z40,'Dept. Cost Actuals'!AD675)</f>
        <v>74841.59</v>
      </c>
      <c r="AA25" s="579">
        <f>IF(AA$6="Forecast",Finance!AA42,'Dept. Cost Actuals'!AE675)</f>
        <v>48664.392291666663</v>
      </c>
      <c r="AB25" s="579">
        <f>IF(AB$6="Forecast",Finance!AB42,'Dept. Cost Actuals'!AF675)</f>
        <v>54208.116874999992</v>
      </c>
      <c r="AC25" s="579">
        <f>IF(AC$6="Forecast",Finance!AC42,'Dept. Cost Actuals'!AG675)</f>
        <v>53398.864895833336</v>
      </c>
      <c r="AD25" s="579">
        <f>IF(AD$6="Forecast",Finance!AD42,'Dept. Cost Actuals'!AH675)</f>
        <v>76904.957751736103</v>
      </c>
      <c r="AE25" s="579">
        <f>IF(AE$6="Forecast",Finance!AE42,'Dept. Cost Actuals'!AI675)</f>
        <v>78020.119456741901</v>
      </c>
      <c r="AF25" s="579">
        <f>IF(AF$6="Forecast",Finance!AF42,'Dept. Cost Actuals'!AJ675)</f>
        <v>78485.433803831489</v>
      </c>
      <c r="AG25" s="579">
        <f>IF(AG$6="Forecast",Finance!AG42,'Dept. Cost Actuals'!AK675)</f>
        <v>79902.535179845232</v>
      </c>
      <c r="AH25" s="579">
        <f>IF(AH$6="Forecast",Finance!AH42,'Dept. Cost Actuals'!AL675)</f>
        <v>79075.242503860121</v>
      </c>
      <c r="AI25" s="579">
        <f>IF(AI$6="Forecast",Finance!AI42,'Dept. Cost Actuals'!AM675)</f>
        <v>78978.612104876243</v>
      </c>
      <c r="AJ25" s="579">
        <f>IF(AJ$6="Forecast",Finance!AJ42,'Dept. Cost Actuals'!AN675)</f>
        <v>79514.649172643694</v>
      </c>
      <c r="AK25" s="579">
        <f>IF(AK$6="Forecast",Finance!AK42,'Dept. Cost Actuals'!AO675)</f>
        <v>80719.412662725124</v>
      </c>
      <c r="AL25" s="579">
        <f>IF(AL$6="Forecast",Finance!AL42,'Dept. Cost Actuals'!AP675)</f>
        <v>242268.24811031335</v>
      </c>
      <c r="AM25" s="579">
        <f>IF(AM$6="Forecast",Finance!AM42,'Dept. Cost Actuals'!AQ675)</f>
        <v>79468.182679783888</v>
      </c>
      <c r="AN25" s="579">
        <f>IF(AN$6="Forecast",Finance!AN42,'Dept. Cost Actuals'!AR675)</f>
        <v>80614.125540981157</v>
      </c>
      <c r="AO25" s="579">
        <f>IF(AO$6="Forecast",Finance!AO42,'Dept. Cost Actuals'!AS675)</f>
        <v>80758.686191038025</v>
      </c>
      <c r="AP25" s="579">
        <f>IF(AP$6="Forecast",Finance!AP42,'Dept. Cost Actuals'!AT675)</f>
        <v>80982.774607433297</v>
      </c>
      <c r="AQ25" s="579">
        <f>IF(AQ$6="Forecast",Finance!AQ42,'Dept. Cost Actuals'!AU675)</f>
        <v>81176.46556654718</v>
      </c>
      <c r="AR25" s="579">
        <f>IF(AR$6="Forecast",Finance!AR42,'Dept. Cost Actuals'!AV675)</f>
        <v>81293.418995028216</v>
      </c>
      <c r="AS25" s="579">
        <f>IF(AS$6="Forecast",Finance!AS42,'Dept. Cost Actuals'!AW675)</f>
        <v>81381.398784150966</v>
      </c>
      <c r="AT25" s="579">
        <f>IF(AT$6="Forecast",Finance!AT42,'Dept. Cost Actuals'!AX675)</f>
        <v>81358.680051634496</v>
      </c>
      <c r="AU25" s="579">
        <f>IF(AU$6="Forecast",Finance!AU42,'Dept. Cost Actuals'!AY675)</f>
        <v>81403.07640598061</v>
      </c>
      <c r="AV25" s="579">
        <f>IF(AV$6="Forecast",Finance!AV42,'Dept. Cost Actuals'!AZ675)</f>
        <v>81459.298413349767</v>
      </c>
      <c r="AW25" s="579">
        <f>IF(AW$6="Forecast",Finance!AW42,'Dept. Cost Actuals'!BA675)</f>
        <v>81475.615986426012</v>
      </c>
      <c r="AX25" s="579">
        <f>IF(AX$6="Forecast",Finance!AX42,'Dept. Cost Actuals'!BB675)</f>
        <v>246517.43390128217</v>
      </c>
      <c r="AY25" s="579">
        <f>IF(AY$6="Forecast",Finance!AY42,'Dept. Cost Actuals'!BC675)</f>
        <v>83205.706059664648</v>
      </c>
      <c r="AZ25" s="579">
        <f>IF(AZ$6="Forecast",Finance!AZ42,'Dept. Cost Actuals'!BD675)</f>
        <v>84216.266005856625</v>
      </c>
      <c r="BA25" s="579">
        <f>IF(BA$6="Forecast",Finance!BA42,'Dept. Cost Actuals'!BE675)</f>
        <v>84271.744341729209</v>
      </c>
      <c r="BB25" s="579">
        <f>IF(BB$6="Forecast",Finance!BB42,'Dept. Cost Actuals'!BF675)</f>
        <v>84319.833020369319</v>
      </c>
      <c r="BC25" s="579">
        <f>IF(BC$6="Forecast",Finance!BC42,'Dept. Cost Actuals'!BG675)</f>
        <v>84353.288051247509</v>
      </c>
      <c r="BD25" s="579">
        <f>IF(BD$6="Forecast",Finance!BD42,'Dept. Cost Actuals'!BH675)</f>
        <v>84373.421768817236</v>
      </c>
      <c r="BE25" s="579">
        <f>IF(BE$6="Forecast",Finance!BE42,'Dept. Cost Actuals'!BI675)</f>
        <v>84385.517022919841</v>
      </c>
      <c r="BF25" s="579">
        <f>IF(BF$6="Forecast",Finance!BF42,'Dept. Cost Actuals'!BJ675)</f>
        <v>84391.315973999706</v>
      </c>
      <c r="BG25" s="579">
        <f>IF(BG$6="Forecast",Finance!BG42,'Dept. Cost Actuals'!BK675)</f>
        <v>84399.515671724002</v>
      </c>
      <c r="BH25" s="579">
        <f>IF(BH$6="Forecast",Finance!BH42,'Dept. Cost Actuals'!BL675)</f>
        <v>84404.719314095288</v>
      </c>
      <c r="BI25" s="579">
        <f>IF(BI$6="Forecast",Finance!BI42,'Dept. Cost Actuals'!BM675)</f>
        <v>84405.68689208485</v>
      </c>
      <c r="BJ25" s="579">
        <f>IF(BJ$6="Forecast",Finance!BJ42,'Dept. Cost Actuals'!BN675)</f>
        <v>254483.56834011516</v>
      </c>
      <c r="BK25" s="579">
        <f>IF(BK$6="Forecast",Finance!BK42,'Dept. Cost Actuals'!BO675)</f>
        <v>85141.314763728064</v>
      </c>
      <c r="BL25" s="579">
        <f>IF(BL$6="Forecast",Finance!BL42,'Dept. Cost Actuals'!BP675)</f>
        <v>86134.231949130946</v>
      </c>
      <c r="BM25" s="579">
        <f>IF(BM$6="Forecast",Finance!BM42,'Dept. Cost Actuals'!BQ675)</f>
        <v>86153.553287887189</v>
      </c>
      <c r="BN25" s="579">
        <f>IF(BN$6="Forecast",Finance!BN42,'Dept. Cost Actuals'!BR675)</f>
        <v>86169.884012730632</v>
      </c>
      <c r="BO25" s="579">
        <f>IF(BO$6="Forecast",Finance!BO42,'Dept. Cost Actuals'!BS675)</f>
        <v>86183.58966562571</v>
      </c>
      <c r="BP25" s="579">
        <f>IF(BP$6="Forecast",Finance!BP42,'Dept. Cost Actuals'!BT675)</f>
        <v>86195.669900378998</v>
      </c>
      <c r="BQ25" s="579">
        <f>IF(BQ$6="Forecast",Finance!BQ42,'Dept. Cost Actuals'!BU675)</f>
        <v>86207.098337496907</v>
      </c>
      <c r="BR25" s="579">
        <f>IF(BR$6="Forecast",Finance!BR42,'Dept. Cost Actuals'!BV675)</f>
        <v>86218.489568146499</v>
      </c>
      <c r="BS25" s="579">
        <f>IF(BS$6="Forecast",Finance!BS42,'Dept. Cost Actuals'!BW675)</f>
        <v>86230.364354434219</v>
      </c>
      <c r="BT25" s="579">
        <f>IF(BT$6="Forecast",Finance!BT42,'Dept. Cost Actuals'!BX675)</f>
        <v>86242.562312548078</v>
      </c>
      <c r="BU25" s="579">
        <f>IF(BU$6="Forecast",Finance!BU42,'Dept. Cost Actuals'!BY675)</f>
        <v>86255.359731413133</v>
      </c>
      <c r="BV25" s="579">
        <f>IF(BV$6="Forecast",Finance!BV42,'Dept. Cost Actuals'!BZ675)</f>
        <v>261449.68868050541</v>
      </c>
    </row>
    <row r="26" spans="2:74" x14ac:dyDescent="0.35">
      <c r="B26" s="1004" t="s">
        <v>3</v>
      </c>
      <c r="C26" s="579">
        <v>47661.500332229232</v>
      </c>
      <c r="D26" s="579">
        <v>44989.780784252755</v>
      </c>
      <c r="E26" s="579">
        <v>44796.259181668371</v>
      </c>
      <c r="F26" s="579">
        <v>60301.242320323072</v>
      </c>
      <c r="G26" s="579">
        <v>366717.49332946772</v>
      </c>
      <c r="H26" s="579">
        <v>80603.399601296202</v>
      </c>
      <c r="I26" s="579">
        <v>370233.86024954426</v>
      </c>
      <c r="J26" s="579">
        <v>368731.60355271678</v>
      </c>
      <c r="K26" s="579">
        <v>62833.924114907975</v>
      </c>
      <c r="L26" s="579">
        <v>400376.50327900762</v>
      </c>
      <c r="M26" s="579">
        <v>158348.36421068647</v>
      </c>
      <c r="N26" s="579">
        <v>80846.813170008187</v>
      </c>
      <c r="O26" s="579">
        <f>IF(O$6="Forecast",Exec!O42,'Dept. Cost Actuals'!S1011)</f>
        <v>177465.02</v>
      </c>
      <c r="P26" s="579">
        <f>IF(P$6="Forecast",Exec!P42,'Dept. Cost Actuals'!T1011)</f>
        <v>165701.10999999999</v>
      </c>
      <c r="Q26" s="579">
        <f>IF(Q$6="Forecast",Exec!Q42,'Dept. Cost Actuals'!U1011)</f>
        <v>145047.78</v>
      </c>
      <c r="R26" s="579">
        <f>IF(R$6="Forecast",Exec!R42,'Dept. Cost Actuals'!V1011)</f>
        <v>155192.48000000001</v>
      </c>
      <c r="S26" s="579">
        <f>IF(S$6="Forecast",Exec!S42,'Dept. Cost Actuals'!W1011)</f>
        <v>152088.53</v>
      </c>
      <c r="T26" s="579">
        <f>IF(T$6="Forecast",Exec!T42,'Dept. Cost Actuals'!X1011)</f>
        <v>133638.82999999999</v>
      </c>
      <c r="U26" s="579">
        <f>IF(U$6="Forecast",Exec!U42,'Dept. Cost Actuals'!Y1011)</f>
        <v>147125.71</v>
      </c>
      <c r="V26" s="579">
        <f>IF(V$6="Forecast",Exec!V42,'Dept. Cost Actuals'!Z1011)</f>
        <v>119536.23</v>
      </c>
      <c r="W26" s="579">
        <f>IF(W$6="Forecast",Exec!W42,'Dept. Cost Actuals'!AA1011)</f>
        <v>136799.23000000001</v>
      </c>
      <c r="X26" s="579">
        <f>IF(X$6="Forecast",Exec!X42,'Dept. Cost Actuals'!AB1011)</f>
        <v>145528.28</v>
      </c>
      <c r="Y26" s="579">
        <f>IF(Y$6="Forecast",Exec!Y42,'Dept. Cost Actuals'!AC1011)</f>
        <v>140337.62</v>
      </c>
      <c r="Z26" s="579">
        <f>IF(Z$6="Forecast",Exec!Z42,'Dept. Cost Actuals'!AD1011)</f>
        <v>76650.789999999994</v>
      </c>
      <c r="AA26" s="579">
        <f>IF(AA$6="Forecast",Exec!AA42,'Dept. Cost Actuals'!AE1011)</f>
        <v>115898.730975</v>
      </c>
      <c r="AB26" s="579">
        <f>IF(AB$6="Forecast",Exec!AB42,'Dept. Cost Actuals'!AF1011)</f>
        <v>63425.511669444444</v>
      </c>
      <c r="AC26" s="579">
        <f>IF(AC$6="Forecast",Exec!AC42,'Dept. Cost Actuals'!AG1011)</f>
        <v>63509.148810648156</v>
      </c>
      <c r="AD26" s="579">
        <f>IF(AD$6="Forecast",Exec!AD42,'Dept. Cost Actuals'!AH1011)</f>
        <v>63713.706546952162</v>
      </c>
      <c r="AE26" s="579">
        <f>IF(AE$6="Forecast",Exec!AE42,'Dept. Cost Actuals'!AI1011)</f>
        <v>64010.446594614841</v>
      </c>
      <c r="AF26" s="579">
        <f>IF(AF$6="Forecast",Exec!AF42,'Dept. Cost Actuals'!AJ1011)</f>
        <v>64073.860812916078</v>
      </c>
      <c r="AG26" s="579">
        <f>IF(AG$6="Forecast",Exec!AG42,'Dept. Cost Actuals'!AK1011)</f>
        <v>64199.324549409081</v>
      </c>
      <c r="AH26" s="579">
        <f>IF(AH$6="Forecast",Exec!AH42,'Dept. Cost Actuals'!AL1011)</f>
        <v>64230.678597276506</v>
      </c>
      <c r="AI26" s="579">
        <f>IF(AI$6="Forecast",Exec!AI42,'Dept. Cost Actuals'!AM1011)</f>
        <v>64623.292149132889</v>
      </c>
      <c r="AJ26" s="579">
        <f>IF(AJ$6="Forecast",Exec!AJ42,'Dept. Cost Actuals'!AN1011)</f>
        <v>65097.950996977292</v>
      </c>
      <c r="AK26" s="579">
        <f>IF(AK$6="Forecast",Exec!AK42,'Dept. Cost Actuals'!AO1011)</f>
        <v>65519.369748808735</v>
      </c>
      <c r="AL26" s="579">
        <f>IF(AL$6="Forecast",Exec!AL42,'Dept. Cost Actuals'!AP1011)</f>
        <v>312281.79922995943</v>
      </c>
      <c r="AM26" s="579">
        <f>IF(AM$6="Forecast",Exec!AM42,'Dept. Cost Actuals'!AQ1011)</f>
        <v>64356.70915628942</v>
      </c>
      <c r="AN26" s="579">
        <f>IF(AN$6="Forecast",Exec!AN42,'Dept. Cost Actuals'!AR1011)</f>
        <v>64446.204104514924</v>
      </c>
      <c r="AO26" s="579">
        <f>IF(AO$6="Forecast",Exec!AO42,'Dept. Cost Actuals'!AS1011)</f>
        <v>64519.667559434565</v>
      </c>
      <c r="AP26" s="579">
        <f>IF(AP$6="Forecast",Exec!AP42,'Dept. Cost Actuals'!AT1011)</f>
        <v>64592.300900643881</v>
      </c>
      <c r="AQ26" s="579">
        <f>IF(AQ$6="Forecast",Exec!AQ42,'Dept. Cost Actuals'!AU1011)</f>
        <v>64653.959857644295</v>
      </c>
      <c r="AR26" s="579">
        <f>IF(AR$6="Forecast",Exec!AR42,'Dept. Cost Actuals'!AV1011)</f>
        <v>64696.049809715238</v>
      </c>
      <c r="AS26" s="579">
        <f>IF(AS$6="Forecast",Exec!AS42,'Dept. Cost Actuals'!AW1011)</f>
        <v>64736.385758438948</v>
      </c>
      <c r="AT26" s="579">
        <f>IF(AT$6="Forecast",Exec!AT42,'Dept. Cost Actuals'!AX1011)</f>
        <v>64769.652853747393</v>
      </c>
      <c r="AU26" s="579">
        <f>IF(AU$6="Forecast",Exec!AU42,'Dept. Cost Actuals'!AY1011)</f>
        <v>64803.10680205714</v>
      </c>
      <c r="AV26" s="579">
        <f>IF(AV$6="Forecast",Exec!AV42,'Dept. Cost Actuals'!AZ1011)</f>
        <v>64806.660730420859</v>
      </c>
      <c r="AW26" s="579">
        <f>IF(AW$6="Forecast",Exec!AW42,'Dept. Cost Actuals'!BA1011)</f>
        <v>64770.988607653839</v>
      </c>
      <c r="AX26" s="579">
        <f>IF(AX$6="Forecast",Exec!AX42,'Dept. Cost Actuals'!BB1011)</f>
        <v>312197.26126761083</v>
      </c>
      <c r="AY26" s="579">
        <f>IF(AY$6="Forecast",Exec!AY42,'Dept. Cost Actuals'!BC1011)</f>
        <v>63194.761047811917</v>
      </c>
      <c r="AZ26" s="579">
        <f>IF(AZ$6="Forecast",Exec!AZ42,'Dept. Cost Actuals'!BD1011)</f>
        <v>63221.939417245943</v>
      </c>
      <c r="BA26" s="579">
        <f>IF(BA$6="Forecast",Exec!BA42,'Dept. Cost Actuals'!BE1011)</f>
        <v>63243.938753458991</v>
      </c>
      <c r="BB26" s="579">
        <f>IF(BB$6="Forecast",Exec!BB42,'Dept. Cost Actuals'!BF1011)</f>
        <v>63261.663227122175</v>
      </c>
      <c r="BC26" s="579">
        <f>IF(BC$6="Forecast",Exec!BC42,'Dept. Cost Actuals'!BG1011)</f>
        <v>63274.825420213994</v>
      </c>
      <c r="BD26" s="579">
        <f>IF(BD$6="Forecast",Exec!BD42,'Dept. Cost Actuals'!BH1011)</f>
        <v>63283.959137813392</v>
      </c>
      <c r="BE26" s="579">
        <f>IF(BE$6="Forecast",Exec!BE42,'Dept. Cost Actuals'!BI1011)</f>
        <v>63290.358675631331</v>
      </c>
      <c r="BF26" s="579">
        <f>IF(BF$6="Forecast",Exec!BF42,'Dept. Cost Actuals'!BJ1011)</f>
        <v>63293.941358104807</v>
      </c>
      <c r="BG26" s="579">
        <f>IF(BG$6="Forecast",Exec!BG42,'Dept. Cost Actuals'!BK1011)</f>
        <v>63295.060239656261</v>
      </c>
      <c r="BH26" s="579">
        <f>IF(BH$6="Forecast",Exec!BH42,'Dept. Cost Actuals'!BL1011)</f>
        <v>63293.492825337351</v>
      </c>
      <c r="BI26" s="579">
        <f>IF(BI$6="Forecast",Exec!BI42,'Dept. Cost Actuals'!BM1011)</f>
        <v>63291.504940538602</v>
      </c>
      <c r="BJ26" s="579">
        <f>IF(BJ$6="Forecast",Exec!BJ42,'Dept. Cost Actuals'!BN1011)</f>
        <v>310792.3279651067</v>
      </c>
      <c r="BK26" s="579">
        <f>IF(BK$6="Forecast",Exec!BK42,'Dept. Cost Actuals'!BO1011)</f>
        <v>63299.364494649912</v>
      </c>
      <c r="BL26" s="579">
        <f>IF(BL$6="Forecast",Exec!BL42,'Dept. Cost Actuals'!BP1011)</f>
        <v>63308.515570437143</v>
      </c>
      <c r="BM26" s="579">
        <f>IF(BM$6="Forecast",Exec!BM42,'Dept. Cost Actuals'!BQ1011)</f>
        <v>63316.173943480237</v>
      </c>
      <c r="BN26" s="579">
        <f>IF(BN$6="Forecast",Exec!BN42,'Dept. Cost Actuals'!BR1011)</f>
        <v>63322.646400684454</v>
      </c>
      <c r="BO26" s="579">
        <f>IF(BO$6="Forecast",Exec!BO42,'Dept. Cost Actuals'!BS1011)</f>
        <v>63328.18992806389</v>
      </c>
      <c r="BP26" s="579">
        <f>IF(BP$6="Forecast",Exec!BP42,'Dept. Cost Actuals'!BT1011)</f>
        <v>63333.106872164477</v>
      </c>
      <c r="BQ26" s="579">
        <f>IF(BQ$6="Forecast",Exec!BQ42,'Dept. Cost Actuals'!BU1011)</f>
        <v>63337.680300873486</v>
      </c>
      <c r="BR26" s="579">
        <f>IF(BR$6="Forecast",Exec!BR42,'Dept. Cost Actuals'!BV1011)</f>
        <v>63342.109042910059</v>
      </c>
      <c r="BS26" s="579">
        <f>IF(BS$6="Forecast",Exec!BS42,'Dept. Cost Actuals'!BW1011)</f>
        <v>63346.615440764188</v>
      </c>
      <c r="BT26" s="579">
        <f>IF(BT$6="Forecast",Exec!BT42,'Dept. Cost Actuals'!BX1011)</f>
        <v>63351.411030478906</v>
      </c>
      <c r="BU26" s="579">
        <f>IF(BU$6="Forecast",Exec!BU42,'Dept. Cost Actuals'!BY1011)</f>
        <v>63356.743641564317</v>
      </c>
      <c r="BV26" s="579">
        <f>IF(BV$6="Forecast",Exec!BV42,'Dept. Cost Actuals'!BZ1011)</f>
        <v>310862.69310744578</v>
      </c>
    </row>
    <row r="27" spans="2:74" x14ac:dyDescent="0.35">
      <c r="B27" s="1006" t="s">
        <v>20</v>
      </c>
      <c r="C27" s="579"/>
      <c r="D27" s="579"/>
      <c r="E27" s="579"/>
      <c r="F27" s="579"/>
      <c r="G27" s="579"/>
      <c r="H27" s="579"/>
      <c r="I27" s="579"/>
      <c r="J27" s="579"/>
      <c r="K27" s="579"/>
      <c r="L27" s="579"/>
      <c r="M27" s="579"/>
      <c r="N27" s="579"/>
      <c r="O27" s="579">
        <f>IF(O$6="Forecast",1000,0)</f>
        <v>0</v>
      </c>
      <c r="P27" s="579">
        <f t="shared" ref="P27:BV27" si="22">IF(P$6="Forecast",1000,0)</f>
        <v>0</v>
      </c>
      <c r="Q27" s="579">
        <f t="shared" si="22"/>
        <v>0</v>
      </c>
      <c r="R27" s="579">
        <f t="shared" si="22"/>
        <v>0</v>
      </c>
      <c r="S27" s="579">
        <f t="shared" si="22"/>
        <v>0</v>
      </c>
      <c r="T27" s="579">
        <f t="shared" si="22"/>
        <v>0</v>
      </c>
      <c r="U27" s="579">
        <f t="shared" si="22"/>
        <v>0</v>
      </c>
      <c r="V27" s="579">
        <f t="shared" si="22"/>
        <v>0</v>
      </c>
      <c r="W27" s="579">
        <f t="shared" si="22"/>
        <v>0</v>
      </c>
      <c r="X27" s="579">
        <f t="shared" si="22"/>
        <v>0</v>
      </c>
      <c r="Y27" s="579">
        <f t="shared" si="22"/>
        <v>0</v>
      </c>
      <c r="Z27" s="579">
        <f t="shared" si="22"/>
        <v>0</v>
      </c>
      <c r="AA27" s="579">
        <f>IF(AA$6="Forecast",87000/12,0)</f>
        <v>7250</v>
      </c>
      <c r="AB27" s="579">
        <f t="shared" ref="AB27:AX27" si="23">IF(AB$6="Forecast",87000/12,0)</f>
        <v>7250</v>
      </c>
      <c r="AC27" s="579">
        <f t="shared" si="23"/>
        <v>7250</v>
      </c>
      <c r="AD27" s="579">
        <f t="shared" si="23"/>
        <v>7250</v>
      </c>
      <c r="AE27" s="579">
        <f t="shared" si="23"/>
        <v>7250</v>
      </c>
      <c r="AF27" s="579">
        <f t="shared" si="23"/>
        <v>7250</v>
      </c>
      <c r="AG27" s="579">
        <f t="shared" si="23"/>
        <v>7250</v>
      </c>
      <c r="AH27" s="579">
        <f t="shared" si="23"/>
        <v>7250</v>
      </c>
      <c r="AI27" s="579">
        <f t="shared" si="23"/>
        <v>7250</v>
      </c>
      <c r="AJ27" s="579">
        <f t="shared" si="23"/>
        <v>7250</v>
      </c>
      <c r="AK27" s="579">
        <f t="shared" si="23"/>
        <v>7250</v>
      </c>
      <c r="AL27" s="579">
        <f t="shared" si="23"/>
        <v>7250</v>
      </c>
      <c r="AM27" s="579">
        <f t="shared" si="23"/>
        <v>7250</v>
      </c>
      <c r="AN27" s="579">
        <f t="shared" si="23"/>
        <v>7250</v>
      </c>
      <c r="AO27" s="579">
        <f t="shared" si="23"/>
        <v>7250</v>
      </c>
      <c r="AP27" s="579">
        <f t="shared" si="23"/>
        <v>7250</v>
      </c>
      <c r="AQ27" s="579">
        <f t="shared" si="23"/>
        <v>7250</v>
      </c>
      <c r="AR27" s="579">
        <f t="shared" si="23"/>
        <v>7250</v>
      </c>
      <c r="AS27" s="579">
        <f t="shared" si="23"/>
        <v>7250</v>
      </c>
      <c r="AT27" s="579">
        <f t="shared" si="23"/>
        <v>7250</v>
      </c>
      <c r="AU27" s="579">
        <f t="shared" si="23"/>
        <v>7250</v>
      </c>
      <c r="AV27" s="579">
        <f t="shared" si="23"/>
        <v>7250</v>
      </c>
      <c r="AW27" s="579">
        <f t="shared" si="23"/>
        <v>7250</v>
      </c>
      <c r="AX27" s="579">
        <f t="shared" si="23"/>
        <v>7250</v>
      </c>
      <c r="AY27" s="579">
        <f t="shared" si="22"/>
        <v>1000</v>
      </c>
      <c r="AZ27" s="579">
        <f t="shared" si="22"/>
        <v>1000</v>
      </c>
      <c r="BA27" s="579">
        <f t="shared" si="22"/>
        <v>1000</v>
      </c>
      <c r="BB27" s="579">
        <f t="shared" si="22"/>
        <v>1000</v>
      </c>
      <c r="BC27" s="579">
        <f t="shared" si="22"/>
        <v>1000</v>
      </c>
      <c r="BD27" s="579">
        <f t="shared" si="22"/>
        <v>1000</v>
      </c>
      <c r="BE27" s="579">
        <f t="shared" si="22"/>
        <v>1000</v>
      </c>
      <c r="BF27" s="579">
        <f t="shared" si="22"/>
        <v>1000</v>
      </c>
      <c r="BG27" s="579">
        <f t="shared" si="22"/>
        <v>1000</v>
      </c>
      <c r="BH27" s="579">
        <f t="shared" si="22"/>
        <v>1000</v>
      </c>
      <c r="BI27" s="579">
        <f t="shared" si="22"/>
        <v>1000</v>
      </c>
      <c r="BJ27" s="579">
        <f t="shared" si="22"/>
        <v>1000</v>
      </c>
      <c r="BK27" s="579">
        <f t="shared" si="22"/>
        <v>1000</v>
      </c>
      <c r="BL27" s="579">
        <f t="shared" si="22"/>
        <v>1000</v>
      </c>
      <c r="BM27" s="579">
        <f t="shared" si="22"/>
        <v>1000</v>
      </c>
      <c r="BN27" s="579">
        <f t="shared" si="22"/>
        <v>1000</v>
      </c>
      <c r="BO27" s="579">
        <f t="shared" si="22"/>
        <v>1000</v>
      </c>
      <c r="BP27" s="579">
        <f t="shared" si="22"/>
        <v>1000</v>
      </c>
      <c r="BQ27" s="579">
        <f t="shared" si="22"/>
        <v>1000</v>
      </c>
      <c r="BR27" s="579">
        <f t="shared" si="22"/>
        <v>1000</v>
      </c>
      <c r="BS27" s="579">
        <f t="shared" si="22"/>
        <v>1000</v>
      </c>
      <c r="BT27" s="579">
        <f t="shared" si="22"/>
        <v>1000</v>
      </c>
      <c r="BU27" s="579">
        <f t="shared" si="22"/>
        <v>1000</v>
      </c>
      <c r="BV27" s="579">
        <f t="shared" si="22"/>
        <v>1000</v>
      </c>
    </row>
    <row r="28" spans="2:74" x14ac:dyDescent="0.35">
      <c r="B28" s="1006" t="s">
        <v>21</v>
      </c>
      <c r="C28" s="579"/>
      <c r="D28" s="579"/>
      <c r="E28" s="579"/>
      <c r="F28" s="579"/>
      <c r="G28" s="579"/>
      <c r="H28" s="579"/>
      <c r="I28" s="579"/>
      <c r="J28" s="579"/>
      <c r="K28" s="579"/>
      <c r="L28" s="579"/>
      <c r="M28" s="579"/>
      <c r="N28" s="579"/>
      <c r="O28" s="579">
        <f>IF(O$6="Forecast",2000+6000,0)</f>
        <v>0</v>
      </c>
      <c r="P28" s="579">
        <f t="shared" ref="P28:BV28" si="24">IF(P$6="Forecast",2000+6000,0)</f>
        <v>0</v>
      </c>
      <c r="Q28" s="579">
        <f t="shared" si="24"/>
        <v>0</v>
      </c>
      <c r="R28" s="579">
        <f t="shared" si="24"/>
        <v>0</v>
      </c>
      <c r="S28" s="579">
        <f t="shared" si="24"/>
        <v>0</v>
      </c>
      <c r="T28" s="579">
        <f t="shared" si="24"/>
        <v>0</v>
      </c>
      <c r="U28" s="579">
        <f t="shared" si="24"/>
        <v>0</v>
      </c>
      <c r="V28" s="579">
        <f t="shared" si="24"/>
        <v>0</v>
      </c>
      <c r="W28" s="579">
        <f t="shared" si="24"/>
        <v>0</v>
      </c>
      <c r="X28" s="579">
        <f t="shared" si="24"/>
        <v>0</v>
      </c>
      <c r="Y28" s="579">
        <f t="shared" si="24"/>
        <v>0</v>
      </c>
      <c r="Z28" s="579">
        <f t="shared" si="24"/>
        <v>0</v>
      </c>
      <c r="AA28" s="579">
        <f t="shared" si="24"/>
        <v>8000</v>
      </c>
      <c r="AB28" s="579">
        <f t="shared" si="24"/>
        <v>8000</v>
      </c>
      <c r="AC28" s="579">
        <f t="shared" si="24"/>
        <v>8000</v>
      </c>
      <c r="AD28" s="579">
        <f t="shared" si="24"/>
        <v>8000</v>
      </c>
      <c r="AE28" s="579">
        <f t="shared" si="24"/>
        <v>8000</v>
      </c>
      <c r="AF28" s="579">
        <f t="shared" si="24"/>
        <v>8000</v>
      </c>
      <c r="AG28" s="579">
        <f t="shared" si="24"/>
        <v>8000</v>
      </c>
      <c r="AH28" s="579">
        <f t="shared" si="24"/>
        <v>8000</v>
      </c>
      <c r="AI28" s="579">
        <f t="shared" si="24"/>
        <v>8000</v>
      </c>
      <c r="AJ28" s="579">
        <f t="shared" si="24"/>
        <v>8000</v>
      </c>
      <c r="AK28" s="579">
        <f t="shared" si="24"/>
        <v>8000</v>
      </c>
      <c r="AL28" s="579">
        <f t="shared" si="24"/>
        <v>8000</v>
      </c>
      <c r="AM28" s="579">
        <f t="shared" si="24"/>
        <v>8000</v>
      </c>
      <c r="AN28" s="579">
        <f t="shared" si="24"/>
        <v>8000</v>
      </c>
      <c r="AO28" s="579">
        <f t="shared" si="24"/>
        <v>8000</v>
      </c>
      <c r="AP28" s="579">
        <f t="shared" si="24"/>
        <v>8000</v>
      </c>
      <c r="AQ28" s="579">
        <f t="shared" si="24"/>
        <v>8000</v>
      </c>
      <c r="AR28" s="579">
        <f t="shared" si="24"/>
        <v>8000</v>
      </c>
      <c r="AS28" s="579">
        <f t="shared" si="24"/>
        <v>8000</v>
      </c>
      <c r="AT28" s="579">
        <f t="shared" si="24"/>
        <v>8000</v>
      </c>
      <c r="AU28" s="579">
        <f t="shared" si="24"/>
        <v>8000</v>
      </c>
      <c r="AV28" s="579">
        <f t="shared" si="24"/>
        <v>8000</v>
      </c>
      <c r="AW28" s="579">
        <f t="shared" si="24"/>
        <v>8000</v>
      </c>
      <c r="AX28" s="579">
        <f t="shared" si="24"/>
        <v>8000</v>
      </c>
      <c r="AY28" s="579">
        <f t="shared" si="24"/>
        <v>8000</v>
      </c>
      <c r="AZ28" s="579">
        <f t="shared" si="24"/>
        <v>8000</v>
      </c>
      <c r="BA28" s="579">
        <f t="shared" si="24"/>
        <v>8000</v>
      </c>
      <c r="BB28" s="579">
        <f t="shared" si="24"/>
        <v>8000</v>
      </c>
      <c r="BC28" s="579">
        <f t="shared" si="24"/>
        <v>8000</v>
      </c>
      <c r="BD28" s="579">
        <f t="shared" si="24"/>
        <v>8000</v>
      </c>
      <c r="BE28" s="579">
        <f t="shared" si="24"/>
        <v>8000</v>
      </c>
      <c r="BF28" s="579">
        <f t="shared" si="24"/>
        <v>8000</v>
      </c>
      <c r="BG28" s="579">
        <f t="shared" si="24"/>
        <v>8000</v>
      </c>
      <c r="BH28" s="579">
        <f t="shared" si="24"/>
        <v>8000</v>
      </c>
      <c r="BI28" s="579">
        <f t="shared" si="24"/>
        <v>8000</v>
      </c>
      <c r="BJ28" s="579">
        <f t="shared" si="24"/>
        <v>8000</v>
      </c>
      <c r="BK28" s="579">
        <f t="shared" si="24"/>
        <v>8000</v>
      </c>
      <c r="BL28" s="579">
        <f t="shared" si="24"/>
        <v>8000</v>
      </c>
      <c r="BM28" s="579">
        <f t="shared" si="24"/>
        <v>8000</v>
      </c>
      <c r="BN28" s="579">
        <f t="shared" si="24"/>
        <v>8000</v>
      </c>
      <c r="BO28" s="579">
        <f t="shared" si="24"/>
        <v>8000</v>
      </c>
      <c r="BP28" s="579">
        <f t="shared" si="24"/>
        <v>8000</v>
      </c>
      <c r="BQ28" s="579">
        <f t="shared" si="24"/>
        <v>8000</v>
      </c>
      <c r="BR28" s="579">
        <f t="shared" si="24"/>
        <v>8000</v>
      </c>
      <c r="BS28" s="579">
        <f t="shared" si="24"/>
        <v>8000</v>
      </c>
      <c r="BT28" s="579">
        <f t="shared" si="24"/>
        <v>8000</v>
      </c>
      <c r="BU28" s="579">
        <f t="shared" si="24"/>
        <v>8000</v>
      </c>
      <c r="BV28" s="579">
        <f t="shared" si="24"/>
        <v>8000</v>
      </c>
    </row>
    <row r="29" spans="2:74" x14ac:dyDescent="0.35">
      <c r="B29" s="1006" t="s">
        <v>433</v>
      </c>
      <c r="C29" s="579"/>
      <c r="D29" s="579"/>
      <c r="E29" s="579"/>
      <c r="F29" s="579"/>
      <c r="G29" s="579"/>
      <c r="H29" s="579"/>
      <c r="I29" s="579"/>
      <c r="J29" s="579"/>
      <c r="K29" s="579"/>
      <c r="L29" s="579"/>
      <c r="M29" s="579"/>
      <c r="N29" s="579"/>
      <c r="O29" s="579">
        <f>IF(O$6="Forecast",,0)</f>
        <v>0</v>
      </c>
      <c r="P29" s="579">
        <f t="shared" ref="P29:BV29" si="25">IF(P$6="Forecast",,0)</f>
        <v>0</v>
      </c>
      <c r="Q29" s="579">
        <f t="shared" si="25"/>
        <v>0</v>
      </c>
      <c r="R29" s="579">
        <f t="shared" si="25"/>
        <v>0</v>
      </c>
      <c r="S29" s="579">
        <f t="shared" si="25"/>
        <v>0</v>
      </c>
      <c r="T29" s="579">
        <f t="shared" si="25"/>
        <v>0</v>
      </c>
      <c r="U29" s="579">
        <f t="shared" si="25"/>
        <v>0</v>
      </c>
      <c r="V29" s="579">
        <f t="shared" si="25"/>
        <v>0</v>
      </c>
      <c r="W29" s="579">
        <f t="shared" si="25"/>
        <v>0</v>
      </c>
      <c r="X29" s="579">
        <f t="shared" si="25"/>
        <v>0</v>
      </c>
      <c r="Y29" s="579">
        <f t="shared" si="25"/>
        <v>0</v>
      </c>
      <c r="Z29" s="579">
        <f t="shared" si="25"/>
        <v>0</v>
      </c>
      <c r="AA29" s="579">
        <f t="shared" si="25"/>
        <v>0</v>
      </c>
      <c r="AB29" s="579">
        <f t="shared" si="25"/>
        <v>0</v>
      </c>
      <c r="AC29" s="579">
        <f t="shared" si="25"/>
        <v>0</v>
      </c>
      <c r="AD29" s="579">
        <f t="shared" si="25"/>
        <v>0</v>
      </c>
      <c r="AE29" s="579">
        <f t="shared" si="25"/>
        <v>0</v>
      </c>
      <c r="AF29" s="579">
        <f t="shared" si="25"/>
        <v>0</v>
      </c>
      <c r="AG29" s="579">
        <f t="shared" si="25"/>
        <v>0</v>
      </c>
      <c r="AH29" s="579">
        <f t="shared" si="25"/>
        <v>0</v>
      </c>
      <c r="AI29" s="579">
        <f t="shared" si="25"/>
        <v>0</v>
      </c>
      <c r="AJ29" s="579">
        <f t="shared" si="25"/>
        <v>0</v>
      </c>
      <c r="AK29" s="579">
        <f t="shared" si="25"/>
        <v>0</v>
      </c>
      <c r="AL29" s="579">
        <f t="shared" si="25"/>
        <v>0</v>
      </c>
      <c r="AM29" s="579">
        <f t="shared" si="25"/>
        <v>0</v>
      </c>
      <c r="AN29" s="579">
        <f t="shared" si="25"/>
        <v>0</v>
      </c>
      <c r="AO29" s="579">
        <f t="shared" si="25"/>
        <v>0</v>
      </c>
      <c r="AP29" s="579">
        <f t="shared" si="25"/>
        <v>0</v>
      </c>
      <c r="AQ29" s="579">
        <f t="shared" si="25"/>
        <v>0</v>
      </c>
      <c r="AR29" s="579">
        <f t="shared" si="25"/>
        <v>0</v>
      </c>
      <c r="AS29" s="579">
        <f t="shared" si="25"/>
        <v>0</v>
      </c>
      <c r="AT29" s="579">
        <f t="shared" si="25"/>
        <v>0</v>
      </c>
      <c r="AU29" s="579">
        <f t="shared" si="25"/>
        <v>0</v>
      </c>
      <c r="AV29" s="579">
        <f t="shared" si="25"/>
        <v>0</v>
      </c>
      <c r="AW29" s="579">
        <f t="shared" si="25"/>
        <v>0</v>
      </c>
      <c r="AX29" s="579">
        <f t="shared" si="25"/>
        <v>0</v>
      </c>
      <c r="AY29" s="579">
        <f t="shared" si="25"/>
        <v>0</v>
      </c>
      <c r="AZ29" s="579">
        <f t="shared" si="25"/>
        <v>0</v>
      </c>
      <c r="BA29" s="579">
        <f t="shared" si="25"/>
        <v>0</v>
      </c>
      <c r="BB29" s="579">
        <f t="shared" si="25"/>
        <v>0</v>
      </c>
      <c r="BC29" s="579">
        <f t="shared" si="25"/>
        <v>0</v>
      </c>
      <c r="BD29" s="579">
        <f t="shared" si="25"/>
        <v>0</v>
      </c>
      <c r="BE29" s="579">
        <f t="shared" si="25"/>
        <v>0</v>
      </c>
      <c r="BF29" s="579">
        <f t="shared" si="25"/>
        <v>0</v>
      </c>
      <c r="BG29" s="579">
        <f t="shared" si="25"/>
        <v>0</v>
      </c>
      <c r="BH29" s="579">
        <f t="shared" si="25"/>
        <v>0</v>
      </c>
      <c r="BI29" s="579">
        <f t="shared" si="25"/>
        <v>0</v>
      </c>
      <c r="BJ29" s="579">
        <f t="shared" si="25"/>
        <v>0</v>
      </c>
      <c r="BK29" s="579">
        <f t="shared" si="25"/>
        <v>0</v>
      </c>
      <c r="BL29" s="579">
        <f t="shared" si="25"/>
        <v>0</v>
      </c>
      <c r="BM29" s="579">
        <f t="shared" si="25"/>
        <v>0</v>
      </c>
      <c r="BN29" s="579">
        <f t="shared" si="25"/>
        <v>0</v>
      </c>
      <c r="BO29" s="579">
        <f t="shared" si="25"/>
        <v>0</v>
      </c>
      <c r="BP29" s="579">
        <f t="shared" si="25"/>
        <v>0</v>
      </c>
      <c r="BQ29" s="579">
        <f t="shared" si="25"/>
        <v>0</v>
      </c>
      <c r="BR29" s="579">
        <f t="shared" si="25"/>
        <v>0</v>
      </c>
      <c r="BS29" s="579">
        <f t="shared" si="25"/>
        <v>0</v>
      </c>
      <c r="BT29" s="579">
        <f t="shared" si="25"/>
        <v>0</v>
      </c>
      <c r="BU29" s="579">
        <f t="shared" si="25"/>
        <v>0</v>
      </c>
      <c r="BV29" s="579">
        <f t="shared" si="25"/>
        <v>0</v>
      </c>
    </row>
    <row r="30" spans="2:74" x14ac:dyDescent="0.35">
      <c r="B30" s="1006" t="s">
        <v>23</v>
      </c>
      <c r="C30" s="579"/>
      <c r="D30" s="579"/>
      <c r="E30" s="579"/>
      <c r="F30" s="579"/>
      <c r="G30" s="579"/>
      <c r="H30" s="579"/>
      <c r="I30" s="579"/>
      <c r="J30" s="579"/>
      <c r="K30" s="579"/>
      <c r="L30" s="579"/>
      <c r="M30" s="579"/>
      <c r="N30" s="579"/>
      <c r="O30" s="579">
        <f>IF(O$6="Forecast",500,0)</f>
        <v>0</v>
      </c>
      <c r="P30" s="579">
        <f t="shared" ref="P30:BV30" si="26">IF(P$6="Forecast",500,0)</f>
        <v>0</v>
      </c>
      <c r="Q30" s="579">
        <f t="shared" si="26"/>
        <v>0</v>
      </c>
      <c r="R30" s="579">
        <f t="shared" si="26"/>
        <v>0</v>
      </c>
      <c r="S30" s="579">
        <f t="shared" si="26"/>
        <v>0</v>
      </c>
      <c r="T30" s="579">
        <f t="shared" si="26"/>
        <v>0</v>
      </c>
      <c r="U30" s="579">
        <f t="shared" si="26"/>
        <v>0</v>
      </c>
      <c r="V30" s="579">
        <f t="shared" si="26"/>
        <v>0</v>
      </c>
      <c r="W30" s="579">
        <f t="shared" si="26"/>
        <v>0</v>
      </c>
      <c r="X30" s="579">
        <f t="shared" si="26"/>
        <v>0</v>
      </c>
      <c r="Y30" s="579">
        <f t="shared" si="26"/>
        <v>0</v>
      </c>
      <c r="Z30" s="579">
        <f t="shared" si="26"/>
        <v>0</v>
      </c>
      <c r="AA30" s="579">
        <f t="shared" si="26"/>
        <v>500</v>
      </c>
      <c r="AB30" s="579">
        <f t="shared" si="26"/>
        <v>500</v>
      </c>
      <c r="AC30" s="579">
        <f t="shared" si="26"/>
        <v>500</v>
      </c>
      <c r="AD30" s="579">
        <f t="shared" si="26"/>
        <v>500</v>
      </c>
      <c r="AE30" s="579">
        <f t="shared" si="26"/>
        <v>500</v>
      </c>
      <c r="AF30" s="579">
        <f t="shared" si="26"/>
        <v>500</v>
      </c>
      <c r="AG30" s="579">
        <f t="shared" si="26"/>
        <v>500</v>
      </c>
      <c r="AH30" s="579">
        <f t="shared" si="26"/>
        <v>500</v>
      </c>
      <c r="AI30" s="579">
        <f t="shared" si="26"/>
        <v>500</v>
      </c>
      <c r="AJ30" s="579">
        <f t="shared" si="26"/>
        <v>500</v>
      </c>
      <c r="AK30" s="579">
        <f t="shared" si="26"/>
        <v>500</v>
      </c>
      <c r="AL30" s="579">
        <f t="shared" si="26"/>
        <v>500</v>
      </c>
      <c r="AM30" s="579">
        <f t="shared" si="26"/>
        <v>500</v>
      </c>
      <c r="AN30" s="579">
        <f t="shared" si="26"/>
        <v>500</v>
      </c>
      <c r="AO30" s="579">
        <f t="shared" si="26"/>
        <v>500</v>
      </c>
      <c r="AP30" s="579">
        <f t="shared" si="26"/>
        <v>500</v>
      </c>
      <c r="AQ30" s="579">
        <f t="shared" si="26"/>
        <v>500</v>
      </c>
      <c r="AR30" s="579">
        <f t="shared" si="26"/>
        <v>500</v>
      </c>
      <c r="AS30" s="579">
        <f t="shared" si="26"/>
        <v>500</v>
      </c>
      <c r="AT30" s="579">
        <f t="shared" si="26"/>
        <v>500</v>
      </c>
      <c r="AU30" s="579">
        <f t="shared" si="26"/>
        <v>500</v>
      </c>
      <c r="AV30" s="579">
        <f t="shared" si="26"/>
        <v>500</v>
      </c>
      <c r="AW30" s="579">
        <f t="shared" si="26"/>
        <v>500</v>
      </c>
      <c r="AX30" s="579">
        <f t="shared" si="26"/>
        <v>500</v>
      </c>
      <c r="AY30" s="579">
        <f t="shared" si="26"/>
        <v>500</v>
      </c>
      <c r="AZ30" s="579">
        <f t="shared" si="26"/>
        <v>500</v>
      </c>
      <c r="BA30" s="579">
        <f t="shared" si="26"/>
        <v>500</v>
      </c>
      <c r="BB30" s="579">
        <f t="shared" si="26"/>
        <v>500</v>
      </c>
      <c r="BC30" s="579">
        <f t="shared" si="26"/>
        <v>500</v>
      </c>
      <c r="BD30" s="579">
        <f t="shared" si="26"/>
        <v>500</v>
      </c>
      <c r="BE30" s="579">
        <f t="shared" si="26"/>
        <v>500</v>
      </c>
      <c r="BF30" s="579">
        <f t="shared" si="26"/>
        <v>500</v>
      </c>
      <c r="BG30" s="579">
        <f t="shared" si="26"/>
        <v>500</v>
      </c>
      <c r="BH30" s="579">
        <f t="shared" si="26"/>
        <v>500</v>
      </c>
      <c r="BI30" s="579">
        <f t="shared" si="26"/>
        <v>500</v>
      </c>
      <c r="BJ30" s="579">
        <f t="shared" si="26"/>
        <v>500</v>
      </c>
      <c r="BK30" s="579">
        <f t="shared" si="26"/>
        <v>500</v>
      </c>
      <c r="BL30" s="579">
        <f t="shared" si="26"/>
        <v>500</v>
      </c>
      <c r="BM30" s="579">
        <f t="shared" si="26"/>
        <v>500</v>
      </c>
      <c r="BN30" s="579">
        <f t="shared" si="26"/>
        <v>500</v>
      </c>
      <c r="BO30" s="579">
        <f t="shared" si="26"/>
        <v>500</v>
      </c>
      <c r="BP30" s="579">
        <f t="shared" si="26"/>
        <v>500</v>
      </c>
      <c r="BQ30" s="579">
        <f t="shared" si="26"/>
        <v>500</v>
      </c>
      <c r="BR30" s="579">
        <f t="shared" si="26"/>
        <v>500</v>
      </c>
      <c r="BS30" s="579">
        <f t="shared" si="26"/>
        <v>500</v>
      </c>
      <c r="BT30" s="579">
        <f t="shared" si="26"/>
        <v>500</v>
      </c>
      <c r="BU30" s="579">
        <f t="shared" si="26"/>
        <v>500</v>
      </c>
      <c r="BV30" s="579">
        <f t="shared" si="26"/>
        <v>500</v>
      </c>
    </row>
    <row r="31" spans="2:74" x14ac:dyDescent="0.35">
      <c r="B31" s="1006" t="s">
        <v>24</v>
      </c>
      <c r="C31" s="579"/>
      <c r="D31" s="579"/>
      <c r="E31" s="579"/>
      <c r="F31" s="579"/>
      <c r="G31" s="579"/>
      <c r="H31" s="579"/>
      <c r="I31" s="579"/>
      <c r="J31" s="579"/>
      <c r="K31" s="579"/>
      <c r="L31" s="579"/>
      <c r="M31" s="579"/>
      <c r="N31" s="579"/>
      <c r="O31" s="579">
        <f>IF(O$6="Forecast",,0)</f>
        <v>0</v>
      </c>
      <c r="P31" s="579">
        <f t="shared" ref="P31:BV31" si="27">IF(P$6="Forecast",,0)</f>
        <v>0</v>
      </c>
      <c r="Q31" s="579">
        <f t="shared" si="27"/>
        <v>0</v>
      </c>
      <c r="R31" s="579">
        <f t="shared" si="27"/>
        <v>0</v>
      </c>
      <c r="S31" s="579">
        <f t="shared" si="27"/>
        <v>0</v>
      </c>
      <c r="T31" s="579">
        <f t="shared" si="27"/>
        <v>0</v>
      </c>
      <c r="U31" s="579">
        <f t="shared" si="27"/>
        <v>0</v>
      </c>
      <c r="V31" s="579">
        <f t="shared" si="27"/>
        <v>0</v>
      </c>
      <c r="W31" s="579">
        <f t="shared" si="27"/>
        <v>0</v>
      </c>
      <c r="X31" s="579">
        <f t="shared" si="27"/>
        <v>0</v>
      </c>
      <c r="Y31" s="579">
        <f t="shared" si="27"/>
        <v>0</v>
      </c>
      <c r="Z31" s="579">
        <f t="shared" si="27"/>
        <v>0</v>
      </c>
      <c r="AA31" s="579">
        <f t="shared" si="27"/>
        <v>0</v>
      </c>
      <c r="AB31" s="579">
        <f t="shared" si="27"/>
        <v>0</v>
      </c>
      <c r="AC31" s="579">
        <f t="shared" si="27"/>
        <v>0</v>
      </c>
      <c r="AD31" s="579">
        <f t="shared" si="27"/>
        <v>0</v>
      </c>
      <c r="AE31" s="579">
        <f t="shared" si="27"/>
        <v>0</v>
      </c>
      <c r="AF31" s="579">
        <f t="shared" si="27"/>
        <v>0</v>
      </c>
      <c r="AG31" s="579">
        <f t="shared" si="27"/>
        <v>0</v>
      </c>
      <c r="AH31" s="579">
        <f t="shared" si="27"/>
        <v>0</v>
      </c>
      <c r="AI31" s="579">
        <f t="shared" si="27"/>
        <v>0</v>
      </c>
      <c r="AJ31" s="579">
        <f t="shared" si="27"/>
        <v>0</v>
      </c>
      <c r="AK31" s="579">
        <f t="shared" si="27"/>
        <v>0</v>
      </c>
      <c r="AL31" s="579">
        <f t="shared" si="27"/>
        <v>0</v>
      </c>
      <c r="AM31" s="579">
        <f t="shared" si="27"/>
        <v>0</v>
      </c>
      <c r="AN31" s="579">
        <f t="shared" si="27"/>
        <v>0</v>
      </c>
      <c r="AO31" s="579">
        <f t="shared" si="27"/>
        <v>0</v>
      </c>
      <c r="AP31" s="579">
        <f t="shared" si="27"/>
        <v>0</v>
      </c>
      <c r="AQ31" s="579">
        <f t="shared" si="27"/>
        <v>0</v>
      </c>
      <c r="AR31" s="579">
        <f t="shared" si="27"/>
        <v>0</v>
      </c>
      <c r="AS31" s="579">
        <f t="shared" si="27"/>
        <v>0</v>
      </c>
      <c r="AT31" s="579">
        <f t="shared" si="27"/>
        <v>0</v>
      </c>
      <c r="AU31" s="579">
        <f t="shared" si="27"/>
        <v>0</v>
      </c>
      <c r="AV31" s="579">
        <f t="shared" si="27"/>
        <v>0</v>
      </c>
      <c r="AW31" s="579">
        <f t="shared" si="27"/>
        <v>0</v>
      </c>
      <c r="AX31" s="579">
        <f t="shared" si="27"/>
        <v>0</v>
      </c>
      <c r="AY31" s="579">
        <f t="shared" si="27"/>
        <v>0</v>
      </c>
      <c r="AZ31" s="579">
        <f t="shared" si="27"/>
        <v>0</v>
      </c>
      <c r="BA31" s="579">
        <f t="shared" si="27"/>
        <v>0</v>
      </c>
      <c r="BB31" s="579">
        <f t="shared" si="27"/>
        <v>0</v>
      </c>
      <c r="BC31" s="579">
        <f t="shared" si="27"/>
        <v>0</v>
      </c>
      <c r="BD31" s="579">
        <f t="shared" si="27"/>
        <v>0</v>
      </c>
      <c r="BE31" s="579">
        <f t="shared" si="27"/>
        <v>0</v>
      </c>
      <c r="BF31" s="579">
        <f t="shared" si="27"/>
        <v>0</v>
      </c>
      <c r="BG31" s="579">
        <f t="shared" si="27"/>
        <v>0</v>
      </c>
      <c r="BH31" s="579">
        <f t="shared" si="27"/>
        <v>0</v>
      </c>
      <c r="BI31" s="579">
        <f t="shared" si="27"/>
        <v>0</v>
      </c>
      <c r="BJ31" s="579">
        <f t="shared" si="27"/>
        <v>0</v>
      </c>
      <c r="BK31" s="579">
        <f t="shared" si="27"/>
        <v>0</v>
      </c>
      <c r="BL31" s="579">
        <f t="shared" si="27"/>
        <v>0</v>
      </c>
      <c r="BM31" s="579">
        <f t="shared" si="27"/>
        <v>0</v>
      </c>
      <c r="BN31" s="579">
        <f t="shared" si="27"/>
        <v>0</v>
      </c>
      <c r="BO31" s="579">
        <f t="shared" si="27"/>
        <v>0</v>
      </c>
      <c r="BP31" s="579">
        <f t="shared" si="27"/>
        <v>0</v>
      </c>
      <c r="BQ31" s="579">
        <f t="shared" si="27"/>
        <v>0</v>
      </c>
      <c r="BR31" s="579">
        <f t="shared" si="27"/>
        <v>0</v>
      </c>
      <c r="BS31" s="579">
        <f t="shared" si="27"/>
        <v>0</v>
      </c>
      <c r="BT31" s="579">
        <f t="shared" si="27"/>
        <v>0</v>
      </c>
      <c r="BU31" s="579">
        <f t="shared" si="27"/>
        <v>0</v>
      </c>
      <c r="BV31" s="579">
        <f t="shared" si="27"/>
        <v>0</v>
      </c>
    </row>
    <row r="32" spans="2:74" x14ac:dyDescent="0.35">
      <c r="B32" s="1006" t="s">
        <v>25</v>
      </c>
      <c r="C32" s="579"/>
      <c r="D32" s="579"/>
      <c r="E32" s="579"/>
      <c r="F32" s="579"/>
      <c r="G32" s="579"/>
      <c r="H32" s="579"/>
      <c r="I32" s="579"/>
      <c r="J32" s="579"/>
      <c r="K32" s="579"/>
      <c r="L32" s="579"/>
      <c r="M32" s="579"/>
      <c r="N32" s="579"/>
      <c r="O32" s="579">
        <f>IF(O$6="Forecast",2000,0)</f>
        <v>0</v>
      </c>
      <c r="P32" s="579">
        <f t="shared" ref="P32:Z32" si="28">IF(P$6="Forecast",2000,0)</f>
        <v>0</v>
      </c>
      <c r="Q32" s="579">
        <f t="shared" si="28"/>
        <v>0</v>
      </c>
      <c r="R32" s="579">
        <f t="shared" si="28"/>
        <v>0</v>
      </c>
      <c r="S32" s="579">
        <f t="shared" si="28"/>
        <v>0</v>
      </c>
      <c r="T32" s="579">
        <f t="shared" si="28"/>
        <v>0</v>
      </c>
      <c r="U32" s="579">
        <f t="shared" si="28"/>
        <v>0</v>
      </c>
      <c r="V32" s="579">
        <f t="shared" si="28"/>
        <v>0</v>
      </c>
      <c r="W32" s="579">
        <f t="shared" si="28"/>
        <v>0</v>
      </c>
      <c r="X32" s="579">
        <f t="shared" si="28"/>
        <v>0</v>
      </c>
      <c r="Y32" s="579">
        <f t="shared" si="28"/>
        <v>0</v>
      </c>
      <c r="Z32" s="579">
        <f t="shared" si="28"/>
        <v>0</v>
      </c>
      <c r="AA32" s="579">
        <f>IF(AA$6="Forecast",20000,0)</f>
        <v>20000</v>
      </c>
      <c r="AB32" s="579">
        <f t="shared" ref="AB32:AL32" si="29">IF(AB$6="Forecast",20000,0)</f>
        <v>20000</v>
      </c>
      <c r="AC32" s="579">
        <f t="shared" si="29"/>
        <v>20000</v>
      </c>
      <c r="AD32" s="579">
        <f t="shared" si="29"/>
        <v>20000</v>
      </c>
      <c r="AE32" s="579">
        <f t="shared" si="29"/>
        <v>20000</v>
      </c>
      <c r="AF32" s="579">
        <f t="shared" si="29"/>
        <v>20000</v>
      </c>
      <c r="AG32" s="579">
        <f t="shared" si="29"/>
        <v>20000</v>
      </c>
      <c r="AH32" s="579">
        <f t="shared" si="29"/>
        <v>20000</v>
      </c>
      <c r="AI32" s="579">
        <f t="shared" si="29"/>
        <v>20000</v>
      </c>
      <c r="AJ32" s="579">
        <f t="shared" si="29"/>
        <v>20000</v>
      </c>
      <c r="AK32" s="579">
        <f t="shared" si="29"/>
        <v>20000</v>
      </c>
      <c r="AL32" s="579">
        <f t="shared" si="29"/>
        <v>20000</v>
      </c>
      <c r="AM32" s="579">
        <f t="shared" ref="AM32:BV32" si="30">IF(AM$6="Forecast",10000,0)</f>
        <v>10000</v>
      </c>
      <c r="AN32" s="579">
        <f t="shared" si="30"/>
        <v>10000</v>
      </c>
      <c r="AO32" s="579">
        <f t="shared" si="30"/>
        <v>10000</v>
      </c>
      <c r="AP32" s="579">
        <f t="shared" si="30"/>
        <v>10000</v>
      </c>
      <c r="AQ32" s="579">
        <f t="shared" si="30"/>
        <v>10000</v>
      </c>
      <c r="AR32" s="579">
        <f t="shared" si="30"/>
        <v>10000</v>
      </c>
      <c r="AS32" s="579">
        <f t="shared" si="30"/>
        <v>10000</v>
      </c>
      <c r="AT32" s="579">
        <f t="shared" si="30"/>
        <v>10000</v>
      </c>
      <c r="AU32" s="579">
        <f t="shared" si="30"/>
        <v>10000</v>
      </c>
      <c r="AV32" s="579">
        <f t="shared" si="30"/>
        <v>10000</v>
      </c>
      <c r="AW32" s="579">
        <f t="shared" si="30"/>
        <v>10000</v>
      </c>
      <c r="AX32" s="579">
        <f t="shared" si="30"/>
        <v>10000</v>
      </c>
      <c r="AY32" s="579">
        <f t="shared" si="30"/>
        <v>10000</v>
      </c>
      <c r="AZ32" s="579">
        <f t="shared" si="30"/>
        <v>10000</v>
      </c>
      <c r="BA32" s="579">
        <f t="shared" si="30"/>
        <v>10000</v>
      </c>
      <c r="BB32" s="579">
        <f t="shared" si="30"/>
        <v>10000</v>
      </c>
      <c r="BC32" s="579">
        <f t="shared" si="30"/>
        <v>10000</v>
      </c>
      <c r="BD32" s="579">
        <f t="shared" si="30"/>
        <v>10000</v>
      </c>
      <c r="BE32" s="579">
        <f t="shared" si="30"/>
        <v>10000</v>
      </c>
      <c r="BF32" s="579">
        <f t="shared" si="30"/>
        <v>10000</v>
      </c>
      <c r="BG32" s="579">
        <f t="shared" si="30"/>
        <v>10000</v>
      </c>
      <c r="BH32" s="579">
        <f t="shared" si="30"/>
        <v>10000</v>
      </c>
      <c r="BI32" s="579">
        <f t="shared" si="30"/>
        <v>10000</v>
      </c>
      <c r="BJ32" s="579">
        <f t="shared" si="30"/>
        <v>10000</v>
      </c>
      <c r="BK32" s="579">
        <f t="shared" si="30"/>
        <v>10000</v>
      </c>
      <c r="BL32" s="579">
        <f t="shared" si="30"/>
        <v>10000</v>
      </c>
      <c r="BM32" s="579">
        <f t="shared" si="30"/>
        <v>10000</v>
      </c>
      <c r="BN32" s="579">
        <f t="shared" si="30"/>
        <v>10000</v>
      </c>
      <c r="BO32" s="579">
        <f t="shared" si="30"/>
        <v>10000</v>
      </c>
      <c r="BP32" s="579">
        <f t="shared" si="30"/>
        <v>10000</v>
      </c>
      <c r="BQ32" s="579">
        <f t="shared" si="30"/>
        <v>10000</v>
      </c>
      <c r="BR32" s="579">
        <f t="shared" si="30"/>
        <v>10000</v>
      </c>
      <c r="BS32" s="579">
        <f t="shared" si="30"/>
        <v>10000</v>
      </c>
      <c r="BT32" s="579">
        <f t="shared" si="30"/>
        <v>10000</v>
      </c>
      <c r="BU32" s="579">
        <f t="shared" si="30"/>
        <v>10000</v>
      </c>
      <c r="BV32" s="579">
        <f t="shared" si="30"/>
        <v>10000</v>
      </c>
    </row>
    <row r="33" spans="2:74" x14ac:dyDescent="0.35">
      <c r="B33" s="1006" t="s">
        <v>26</v>
      </c>
      <c r="C33" s="579"/>
      <c r="D33" s="579"/>
      <c r="E33" s="579"/>
      <c r="F33" s="579"/>
      <c r="G33" s="579"/>
      <c r="H33" s="579"/>
      <c r="I33" s="579"/>
      <c r="J33" s="579"/>
      <c r="K33" s="579"/>
      <c r="L33" s="579"/>
      <c r="M33" s="579"/>
      <c r="N33" s="579"/>
      <c r="O33" s="579">
        <f>IF(O$6="Forecast",2500+3605,0)</f>
        <v>0</v>
      </c>
      <c r="P33" s="579">
        <f t="shared" ref="P33:BV33" si="31">IF(P$6="Forecast",2500+3605,0)</f>
        <v>0</v>
      </c>
      <c r="Q33" s="579">
        <f t="shared" si="31"/>
        <v>0</v>
      </c>
      <c r="R33" s="579">
        <f t="shared" si="31"/>
        <v>0</v>
      </c>
      <c r="S33" s="579">
        <f t="shared" si="31"/>
        <v>0</v>
      </c>
      <c r="T33" s="579">
        <f t="shared" si="31"/>
        <v>0</v>
      </c>
      <c r="U33" s="579">
        <f t="shared" si="31"/>
        <v>0</v>
      </c>
      <c r="V33" s="579">
        <f t="shared" si="31"/>
        <v>0</v>
      </c>
      <c r="W33" s="579">
        <f t="shared" si="31"/>
        <v>0</v>
      </c>
      <c r="X33" s="579">
        <f t="shared" si="31"/>
        <v>0</v>
      </c>
      <c r="Y33" s="579">
        <f t="shared" si="31"/>
        <v>0</v>
      </c>
      <c r="Z33" s="579">
        <f t="shared" si="31"/>
        <v>0</v>
      </c>
      <c r="AA33" s="579">
        <f t="shared" si="31"/>
        <v>6105</v>
      </c>
      <c r="AB33" s="579">
        <f t="shared" si="31"/>
        <v>6105</v>
      </c>
      <c r="AC33" s="579">
        <f t="shared" si="31"/>
        <v>6105</v>
      </c>
      <c r="AD33" s="579">
        <f t="shared" si="31"/>
        <v>6105</v>
      </c>
      <c r="AE33" s="579">
        <f t="shared" si="31"/>
        <v>6105</v>
      </c>
      <c r="AF33" s="579">
        <f t="shared" si="31"/>
        <v>6105</v>
      </c>
      <c r="AG33" s="579">
        <f t="shared" si="31"/>
        <v>6105</v>
      </c>
      <c r="AH33" s="579">
        <f t="shared" si="31"/>
        <v>6105</v>
      </c>
      <c r="AI33" s="579">
        <f t="shared" si="31"/>
        <v>6105</v>
      </c>
      <c r="AJ33" s="579">
        <f t="shared" si="31"/>
        <v>6105</v>
      </c>
      <c r="AK33" s="579">
        <f t="shared" si="31"/>
        <v>6105</v>
      </c>
      <c r="AL33" s="579">
        <f t="shared" si="31"/>
        <v>6105</v>
      </c>
      <c r="AM33" s="579">
        <f t="shared" si="31"/>
        <v>6105</v>
      </c>
      <c r="AN33" s="579">
        <f t="shared" si="31"/>
        <v>6105</v>
      </c>
      <c r="AO33" s="579">
        <f t="shared" si="31"/>
        <v>6105</v>
      </c>
      <c r="AP33" s="579">
        <f t="shared" si="31"/>
        <v>6105</v>
      </c>
      <c r="AQ33" s="579">
        <f t="shared" si="31"/>
        <v>6105</v>
      </c>
      <c r="AR33" s="579">
        <f t="shared" si="31"/>
        <v>6105</v>
      </c>
      <c r="AS33" s="579">
        <f t="shared" si="31"/>
        <v>6105</v>
      </c>
      <c r="AT33" s="579">
        <f t="shared" si="31"/>
        <v>6105</v>
      </c>
      <c r="AU33" s="579">
        <f t="shared" si="31"/>
        <v>6105</v>
      </c>
      <c r="AV33" s="579">
        <f t="shared" si="31"/>
        <v>6105</v>
      </c>
      <c r="AW33" s="579">
        <f t="shared" si="31"/>
        <v>6105</v>
      </c>
      <c r="AX33" s="579">
        <f t="shared" si="31"/>
        <v>6105</v>
      </c>
      <c r="AY33" s="579">
        <f t="shared" si="31"/>
        <v>6105</v>
      </c>
      <c r="AZ33" s="579">
        <f t="shared" si="31"/>
        <v>6105</v>
      </c>
      <c r="BA33" s="579">
        <f t="shared" si="31"/>
        <v>6105</v>
      </c>
      <c r="BB33" s="579">
        <f t="shared" si="31"/>
        <v>6105</v>
      </c>
      <c r="BC33" s="579">
        <f t="shared" si="31"/>
        <v>6105</v>
      </c>
      <c r="BD33" s="579">
        <f t="shared" si="31"/>
        <v>6105</v>
      </c>
      <c r="BE33" s="579">
        <f t="shared" si="31"/>
        <v>6105</v>
      </c>
      <c r="BF33" s="579">
        <f t="shared" si="31"/>
        <v>6105</v>
      </c>
      <c r="BG33" s="579">
        <f t="shared" si="31"/>
        <v>6105</v>
      </c>
      <c r="BH33" s="579">
        <f t="shared" si="31"/>
        <v>6105</v>
      </c>
      <c r="BI33" s="579">
        <f t="shared" si="31"/>
        <v>6105</v>
      </c>
      <c r="BJ33" s="579">
        <f t="shared" si="31"/>
        <v>6105</v>
      </c>
      <c r="BK33" s="579">
        <f t="shared" si="31"/>
        <v>6105</v>
      </c>
      <c r="BL33" s="579">
        <f t="shared" si="31"/>
        <v>6105</v>
      </c>
      <c r="BM33" s="579">
        <f t="shared" si="31"/>
        <v>6105</v>
      </c>
      <c r="BN33" s="579">
        <f t="shared" si="31"/>
        <v>6105</v>
      </c>
      <c r="BO33" s="579">
        <f t="shared" si="31"/>
        <v>6105</v>
      </c>
      <c r="BP33" s="579">
        <f t="shared" si="31"/>
        <v>6105</v>
      </c>
      <c r="BQ33" s="579">
        <f t="shared" si="31"/>
        <v>6105</v>
      </c>
      <c r="BR33" s="579">
        <f t="shared" si="31"/>
        <v>6105</v>
      </c>
      <c r="BS33" s="579">
        <f t="shared" si="31"/>
        <v>6105</v>
      </c>
      <c r="BT33" s="579">
        <f t="shared" si="31"/>
        <v>6105</v>
      </c>
      <c r="BU33" s="579">
        <f t="shared" si="31"/>
        <v>6105</v>
      </c>
      <c r="BV33" s="579">
        <f t="shared" si="31"/>
        <v>6105</v>
      </c>
    </row>
    <row r="34" spans="2:74" x14ac:dyDescent="0.35">
      <c r="B34" s="1006" t="s">
        <v>27</v>
      </c>
      <c r="C34" s="579"/>
      <c r="D34" s="579"/>
      <c r="E34" s="579"/>
      <c r="F34" s="579"/>
      <c r="G34" s="579"/>
      <c r="H34" s="579"/>
      <c r="I34" s="579"/>
      <c r="J34" s="579"/>
      <c r="K34" s="579"/>
      <c r="L34" s="579"/>
      <c r="M34" s="579"/>
      <c r="N34" s="579"/>
      <c r="O34" s="579">
        <f>IF(O$6="Forecast",2500+600,0)</f>
        <v>0</v>
      </c>
      <c r="P34" s="579">
        <f t="shared" ref="P34:BV34" si="32">IF(P$6="Forecast",2500+600,0)</f>
        <v>0</v>
      </c>
      <c r="Q34" s="579">
        <f t="shared" si="32"/>
        <v>0</v>
      </c>
      <c r="R34" s="579">
        <f t="shared" si="32"/>
        <v>0</v>
      </c>
      <c r="S34" s="579">
        <f t="shared" si="32"/>
        <v>0</v>
      </c>
      <c r="T34" s="579">
        <f t="shared" si="32"/>
        <v>0</v>
      </c>
      <c r="U34" s="579">
        <f t="shared" si="32"/>
        <v>0</v>
      </c>
      <c r="V34" s="579">
        <f t="shared" si="32"/>
        <v>0</v>
      </c>
      <c r="W34" s="579">
        <f t="shared" si="32"/>
        <v>0</v>
      </c>
      <c r="X34" s="579">
        <f t="shared" si="32"/>
        <v>0</v>
      </c>
      <c r="Y34" s="579">
        <f t="shared" si="32"/>
        <v>0</v>
      </c>
      <c r="Z34" s="579">
        <f t="shared" si="32"/>
        <v>0</v>
      </c>
      <c r="AA34" s="579">
        <f t="shared" si="32"/>
        <v>3100</v>
      </c>
      <c r="AB34" s="579">
        <f t="shared" si="32"/>
        <v>3100</v>
      </c>
      <c r="AC34" s="579">
        <f t="shared" si="32"/>
        <v>3100</v>
      </c>
      <c r="AD34" s="579">
        <f t="shared" si="32"/>
        <v>3100</v>
      </c>
      <c r="AE34" s="579">
        <f t="shared" si="32"/>
        <v>3100</v>
      </c>
      <c r="AF34" s="579">
        <f t="shared" si="32"/>
        <v>3100</v>
      </c>
      <c r="AG34" s="579">
        <f t="shared" si="32"/>
        <v>3100</v>
      </c>
      <c r="AH34" s="579">
        <f t="shared" si="32"/>
        <v>3100</v>
      </c>
      <c r="AI34" s="579">
        <f t="shared" si="32"/>
        <v>3100</v>
      </c>
      <c r="AJ34" s="579">
        <f t="shared" si="32"/>
        <v>3100</v>
      </c>
      <c r="AK34" s="579">
        <f t="shared" si="32"/>
        <v>3100</v>
      </c>
      <c r="AL34" s="579">
        <f t="shared" si="32"/>
        <v>3100</v>
      </c>
      <c r="AM34" s="579">
        <f t="shared" si="32"/>
        <v>3100</v>
      </c>
      <c r="AN34" s="579">
        <f t="shared" si="32"/>
        <v>3100</v>
      </c>
      <c r="AO34" s="579">
        <f t="shared" si="32"/>
        <v>3100</v>
      </c>
      <c r="AP34" s="579">
        <f t="shared" si="32"/>
        <v>3100</v>
      </c>
      <c r="AQ34" s="579">
        <f t="shared" si="32"/>
        <v>3100</v>
      </c>
      <c r="AR34" s="579">
        <f t="shared" si="32"/>
        <v>3100</v>
      </c>
      <c r="AS34" s="579">
        <f t="shared" si="32"/>
        <v>3100</v>
      </c>
      <c r="AT34" s="579">
        <f t="shared" si="32"/>
        <v>3100</v>
      </c>
      <c r="AU34" s="579">
        <f t="shared" si="32"/>
        <v>3100</v>
      </c>
      <c r="AV34" s="579">
        <f t="shared" si="32"/>
        <v>3100</v>
      </c>
      <c r="AW34" s="579">
        <f t="shared" si="32"/>
        <v>3100</v>
      </c>
      <c r="AX34" s="579">
        <f t="shared" si="32"/>
        <v>3100</v>
      </c>
      <c r="AY34" s="579">
        <f t="shared" si="32"/>
        <v>3100</v>
      </c>
      <c r="AZ34" s="579">
        <f t="shared" si="32"/>
        <v>3100</v>
      </c>
      <c r="BA34" s="579">
        <f t="shared" si="32"/>
        <v>3100</v>
      </c>
      <c r="BB34" s="579">
        <f t="shared" si="32"/>
        <v>3100</v>
      </c>
      <c r="BC34" s="579">
        <f t="shared" si="32"/>
        <v>3100</v>
      </c>
      <c r="BD34" s="579">
        <f t="shared" si="32"/>
        <v>3100</v>
      </c>
      <c r="BE34" s="579">
        <f t="shared" si="32"/>
        <v>3100</v>
      </c>
      <c r="BF34" s="579">
        <f t="shared" si="32"/>
        <v>3100</v>
      </c>
      <c r="BG34" s="579">
        <f t="shared" si="32"/>
        <v>3100</v>
      </c>
      <c r="BH34" s="579">
        <f t="shared" si="32"/>
        <v>3100</v>
      </c>
      <c r="BI34" s="579">
        <f t="shared" si="32"/>
        <v>3100</v>
      </c>
      <c r="BJ34" s="579">
        <f t="shared" si="32"/>
        <v>3100</v>
      </c>
      <c r="BK34" s="579">
        <f t="shared" si="32"/>
        <v>3100</v>
      </c>
      <c r="BL34" s="579">
        <f t="shared" si="32"/>
        <v>3100</v>
      </c>
      <c r="BM34" s="579">
        <f t="shared" si="32"/>
        <v>3100</v>
      </c>
      <c r="BN34" s="579">
        <f t="shared" si="32"/>
        <v>3100</v>
      </c>
      <c r="BO34" s="579">
        <f t="shared" si="32"/>
        <v>3100</v>
      </c>
      <c r="BP34" s="579">
        <f t="shared" si="32"/>
        <v>3100</v>
      </c>
      <c r="BQ34" s="579">
        <f t="shared" si="32"/>
        <v>3100</v>
      </c>
      <c r="BR34" s="579">
        <f t="shared" si="32"/>
        <v>3100</v>
      </c>
      <c r="BS34" s="579">
        <f t="shared" si="32"/>
        <v>3100</v>
      </c>
      <c r="BT34" s="579">
        <f t="shared" si="32"/>
        <v>3100</v>
      </c>
      <c r="BU34" s="579">
        <f t="shared" si="32"/>
        <v>3100</v>
      </c>
      <c r="BV34" s="579">
        <f t="shared" si="32"/>
        <v>3100</v>
      </c>
    </row>
    <row r="35" spans="2:74" x14ac:dyDescent="0.35">
      <c r="B35" s="1006" t="s">
        <v>28</v>
      </c>
      <c r="C35" s="579"/>
      <c r="D35" s="579"/>
      <c r="E35" s="579"/>
      <c r="F35" s="579"/>
      <c r="G35" s="579"/>
      <c r="H35" s="579"/>
      <c r="I35" s="579"/>
      <c r="J35" s="579"/>
      <c r="K35" s="579"/>
      <c r="L35" s="579"/>
      <c r="M35" s="579"/>
      <c r="N35" s="579"/>
      <c r="O35" s="579">
        <f>IF(O$6="Forecast",1000,0)</f>
        <v>0</v>
      </c>
      <c r="P35" s="579">
        <f t="shared" ref="P35:BV35" si="33">IF(P$6="Forecast",1000,0)</f>
        <v>0</v>
      </c>
      <c r="Q35" s="579">
        <f t="shared" si="33"/>
        <v>0</v>
      </c>
      <c r="R35" s="579">
        <f t="shared" si="33"/>
        <v>0</v>
      </c>
      <c r="S35" s="579">
        <f t="shared" si="33"/>
        <v>0</v>
      </c>
      <c r="T35" s="579">
        <f t="shared" si="33"/>
        <v>0</v>
      </c>
      <c r="U35" s="579">
        <f t="shared" si="33"/>
        <v>0</v>
      </c>
      <c r="V35" s="579">
        <f t="shared" si="33"/>
        <v>0</v>
      </c>
      <c r="W35" s="579">
        <f t="shared" si="33"/>
        <v>0</v>
      </c>
      <c r="X35" s="579">
        <f t="shared" si="33"/>
        <v>0</v>
      </c>
      <c r="Y35" s="579">
        <f t="shared" si="33"/>
        <v>0</v>
      </c>
      <c r="Z35" s="579">
        <f t="shared" si="33"/>
        <v>0</v>
      </c>
      <c r="AA35" s="579">
        <f t="shared" si="33"/>
        <v>1000</v>
      </c>
      <c r="AB35" s="579">
        <f t="shared" si="33"/>
        <v>1000</v>
      </c>
      <c r="AC35" s="579">
        <f t="shared" si="33"/>
        <v>1000</v>
      </c>
      <c r="AD35" s="579">
        <f t="shared" si="33"/>
        <v>1000</v>
      </c>
      <c r="AE35" s="579">
        <f t="shared" si="33"/>
        <v>1000</v>
      </c>
      <c r="AF35" s="579">
        <f t="shared" si="33"/>
        <v>1000</v>
      </c>
      <c r="AG35" s="579">
        <f t="shared" si="33"/>
        <v>1000</v>
      </c>
      <c r="AH35" s="579">
        <f t="shared" si="33"/>
        <v>1000</v>
      </c>
      <c r="AI35" s="579">
        <f t="shared" si="33"/>
        <v>1000</v>
      </c>
      <c r="AJ35" s="579">
        <f t="shared" si="33"/>
        <v>1000</v>
      </c>
      <c r="AK35" s="579">
        <f t="shared" si="33"/>
        <v>1000</v>
      </c>
      <c r="AL35" s="579">
        <f t="shared" si="33"/>
        <v>1000</v>
      </c>
      <c r="AM35" s="579">
        <f t="shared" si="33"/>
        <v>1000</v>
      </c>
      <c r="AN35" s="579">
        <f t="shared" si="33"/>
        <v>1000</v>
      </c>
      <c r="AO35" s="579">
        <f t="shared" si="33"/>
        <v>1000</v>
      </c>
      <c r="AP35" s="579">
        <f t="shared" si="33"/>
        <v>1000</v>
      </c>
      <c r="AQ35" s="579">
        <f t="shared" si="33"/>
        <v>1000</v>
      </c>
      <c r="AR35" s="579">
        <f t="shared" si="33"/>
        <v>1000</v>
      </c>
      <c r="AS35" s="579">
        <f t="shared" si="33"/>
        <v>1000</v>
      </c>
      <c r="AT35" s="579">
        <f t="shared" si="33"/>
        <v>1000</v>
      </c>
      <c r="AU35" s="579">
        <f t="shared" si="33"/>
        <v>1000</v>
      </c>
      <c r="AV35" s="579">
        <f t="shared" si="33"/>
        <v>1000</v>
      </c>
      <c r="AW35" s="579">
        <f t="shared" si="33"/>
        <v>1000</v>
      </c>
      <c r="AX35" s="579">
        <f t="shared" si="33"/>
        <v>1000</v>
      </c>
      <c r="AY35" s="579">
        <f t="shared" si="33"/>
        <v>1000</v>
      </c>
      <c r="AZ35" s="579">
        <f t="shared" si="33"/>
        <v>1000</v>
      </c>
      <c r="BA35" s="579">
        <f t="shared" si="33"/>
        <v>1000</v>
      </c>
      <c r="BB35" s="579">
        <f t="shared" si="33"/>
        <v>1000</v>
      </c>
      <c r="BC35" s="579">
        <f t="shared" si="33"/>
        <v>1000</v>
      </c>
      <c r="BD35" s="579">
        <f t="shared" si="33"/>
        <v>1000</v>
      </c>
      <c r="BE35" s="579">
        <f t="shared" si="33"/>
        <v>1000</v>
      </c>
      <c r="BF35" s="579">
        <f t="shared" si="33"/>
        <v>1000</v>
      </c>
      <c r="BG35" s="579">
        <f t="shared" si="33"/>
        <v>1000</v>
      </c>
      <c r="BH35" s="579">
        <f t="shared" si="33"/>
        <v>1000</v>
      </c>
      <c r="BI35" s="579">
        <f t="shared" si="33"/>
        <v>1000</v>
      </c>
      <c r="BJ35" s="579">
        <f t="shared" si="33"/>
        <v>1000</v>
      </c>
      <c r="BK35" s="579">
        <f t="shared" si="33"/>
        <v>1000</v>
      </c>
      <c r="BL35" s="579">
        <f t="shared" si="33"/>
        <v>1000</v>
      </c>
      <c r="BM35" s="579">
        <f t="shared" si="33"/>
        <v>1000</v>
      </c>
      <c r="BN35" s="579">
        <f t="shared" si="33"/>
        <v>1000</v>
      </c>
      <c r="BO35" s="579">
        <f t="shared" si="33"/>
        <v>1000</v>
      </c>
      <c r="BP35" s="579">
        <f t="shared" si="33"/>
        <v>1000</v>
      </c>
      <c r="BQ35" s="579">
        <f t="shared" si="33"/>
        <v>1000</v>
      </c>
      <c r="BR35" s="579">
        <f t="shared" si="33"/>
        <v>1000</v>
      </c>
      <c r="BS35" s="579">
        <f t="shared" si="33"/>
        <v>1000</v>
      </c>
      <c r="BT35" s="579">
        <f t="shared" si="33"/>
        <v>1000</v>
      </c>
      <c r="BU35" s="579">
        <f t="shared" si="33"/>
        <v>1000</v>
      </c>
      <c r="BV35" s="579">
        <f t="shared" si="33"/>
        <v>1000</v>
      </c>
    </row>
    <row r="36" spans="2:74" x14ac:dyDescent="0.35">
      <c r="B36" s="1006" t="s">
        <v>48</v>
      </c>
      <c r="C36" s="579"/>
      <c r="D36" s="579"/>
      <c r="E36" s="579"/>
      <c r="F36" s="579"/>
      <c r="G36" s="579"/>
      <c r="H36" s="579"/>
      <c r="I36" s="579"/>
      <c r="J36" s="579"/>
      <c r="K36" s="579"/>
      <c r="L36" s="579"/>
      <c r="M36" s="579"/>
      <c r="N36" s="579"/>
      <c r="O36" s="579">
        <f>IF(O$6="Forecast",20000,0)</f>
        <v>0</v>
      </c>
      <c r="P36" s="579">
        <f t="shared" ref="P36:Z36" si="34">IF(P$6="Forecast",20000,0)</f>
        <v>0</v>
      </c>
      <c r="Q36" s="579">
        <f t="shared" si="34"/>
        <v>0</v>
      </c>
      <c r="R36" s="579">
        <f t="shared" si="34"/>
        <v>0</v>
      </c>
      <c r="S36" s="579">
        <f t="shared" si="34"/>
        <v>0</v>
      </c>
      <c r="T36" s="579">
        <f t="shared" si="34"/>
        <v>0</v>
      </c>
      <c r="U36" s="579">
        <f t="shared" si="34"/>
        <v>0</v>
      </c>
      <c r="V36" s="579">
        <f t="shared" si="34"/>
        <v>0</v>
      </c>
      <c r="W36" s="579">
        <f t="shared" si="34"/>
        <v>0</v>
      </c>
      <c r="X36" s="579">
        <f t="shared" si="34"/>
        <v>0</v>
      </c>
      <c r="Y36" s="579">
        <f t="shared" si="34"/>
        <v>0</v>
      </c>
      <c r="Z36" s="579">
        <f t="shared" si="34"/>
        <v>0</v>
      </c>
      <c r="AA36" s="579">
        <f>IF(AA$6="Forecast",40000,0)</f>
        <v>40000</v>
      </c>
      <c r="AB36" s="579">
        <f t="shared" ref="AB36:AL36" si="35">IF(AB$6="Forecast",40000,0)</f>
        <v>40000</v>
      </c>
      <c r="AC36" s="579">
        <f t="shared" si="35"/>
        <v>40000</v>
      </c>
      <c r="AD36" s="579">
        <f t="shared" si="35"/>
        <v>40000</v>
      </c>
      <c r="AE36" s="579">
        <f t="shared" si="35"/>
        <v>40000</v>
      </c>
      <c r="AF36" s="579">
        <f t="shared" si="35"/>
        <v>40000</v>
      </c>
      <c r="AG36" s="579">
        <f t="shared" si="35"/>
        <v>40000</v>
      </c>
      <c r="AH36" s="579">
        <f t="shared" si="35"/>
        <v>40000</v>
      </c>
      <c r="AI36" s="579">
        <f t="shared" si="35"/>
        <v>40000</v>
      </c>
      <c r="AJ36" s="579">
        <f t="shared" si="35"/>
        <v>40000</v>
      </c>
      <c r="AK36" s="579">
        <f t="shared" si="35"/>
        <v>40000</v>
      </c>
      <c r="AL36" s="579">
        <f t="shared" si="35"/>
        <v>40000</v>
      </c>
      <c r="AM36" s="579">
        <f t="shared" ref="AM36:BV36" si="36">IF(AM$6="Forecast",30000,0)</f>
        <v>30000</v>
      </c>
      <c r="AN36" s="579">
        <f t="shared" si="36"/>
        <v>30000</v>
      </c>
      <c r="AO36" s="579">
        <f t="shared" si="36"/>
        <v>30000</v>
      </c>
      <c r="AP36" s="579">
        <f t="shared" si="36"/>
        <v>30000</v>
      </c>
      <c r="AQ36" s="579">
        <f t="shared" si="36"/>
        <v>30000</v>
      </c>
      <c r="AR36" s="579">
        <f t="shared" si="36"/>
        <v>30000</v>
      </c>
      <c r="AS36" s="579">
        <f t="shared" si="36"/>
        <v>30000</v>
      </c>
      <c r="AT36" s="579">
        <f t="shared" si="36"/>
        <v>30000</v>
      </c>
      <c r="AU36" s="579">
        <f t="shared" si="36"/>
        <v>30000</v>
      </c>
      <c r="AV36" s="579">
        <f t="shared" si="36"/>
        <v>30000</v>
      </c>
      <c r="AW36" s="579">
        <f t="shared" si="36"/>
        <v>30000</v>
      </c>
      <c r="AX36" s="579">
        <f t="shared" si="36"/>
        <v>30000</v>
      </c>
      <c r="AY36" s="579">
        <f t="shared" si="36"/>
        <v>30000</v>
      </c>
      <c r="AZ36" s="579">
        <f t="shared" si="36"/>
        <v>30000</v>
      </c>
      <c r="BA36" s="579">
        <f t="shared" si="36"/>
        <v>30000</v>
      </c>
      <c r="BB36" s="579">
        <f t="shared" si="36"/>
        <v>30000</v>
      </c>
      <c r="BC36" s="579">
        <f t="shared" si="36"/>
        <v>30000</v>
      </c>
      <c r="BD36" s="579">
        <f t="shared" si="36"/>
        <v>30000</v>
      </c>
      <c r="BE36" s="579">
        <f t="shared" si="36"/>
        <v>30000</v>
      </c>
      <c r="BF36" s="579">
        <f t="shared" si="36"/>
        <v>30000</v>
      </c>
      <c r="BG36" s="579">
        <f t="shared" si="36"/>
        <v>30000</v>
      </c>
      <c r="BH36" s="579">
        <f t="shared" si="36"/>
        <v>30000</v>
      </c>
      <c r="BI36" s="579">
        <f t="shared" si="36"/>
        <v>30000</v>
      </c>
      <c r="BJ36" s="579">
        <f t="shared" si="36"/>
        <v>30000</v>
      </c>
      <c r="BK36" s="579">
        <f t="shared" si="36"/>
        <v>30000</v>
      </c>
      <c r="BL36" s="579">
        <f t="shared" si="36"/>
        <v>30000</v>
      </c>
      <c r="BM36" s="579">
        <f t="shared" si="36"/>
        <v>30000</v>
      </c>
      <c r="BN36" s="579">
        <f t="shared" si="36"/>
        <v>30000</v>
      </c>
      <c r="BO36" s="579">
        <f t="shared" si="36"/>
        <v>30000</v>
      </c>
      <c r="BP36" s="579">
        <f t="shared" si="36"/>
        <v>30000</v>
      </c>
      <c r="BQ36" s="579">
        <f t="shared" si="36"/>
        <v>30000</v>
      </c>
      <c r="BR36" s="579">
        <f t="shared" si="36"/>
        <v>30000</v>
      </c>
      <c r="BS36" s="579">
        <f t="shared" si="36"/>
        <v>30000</v>
      </c>
      <c r="BT36" s="579">
        <f t="shared" si="36"/>
        <v>30000</v>
      </c>
      <c r="BU36" s="579">
        <f t="shared" si="36"/>
        <v>30000</v>
      </c>
      <c r="BV36" s="579">
        <f t="shared" si="36"/>
        <v>30000</v>
      </c>
    </row>
    <row r="37" spans="2:74" x14ac:dyDescent="0.35">
      <c r="B37" s="1007" t="s">
        <v>29</v>
      </c>
      <c r="C37" s="21">
        <v>54155.791188657087</v>
      </c>
      <c r="D37" s="21">
        <v>117062.92674858254</v>
      </c>
      <c r="E37" s="21">
        <v>102438.55466607647</v>
      </c>
      <c r="F37" s="21">
        <v>88432.521710669942</v>
      </c>
      <c r="G37" s="21">
        <v>76196.03035387455</v>
      </c>
      <c r="H37" s="21">
        <v>92147.073422455593</v>
      </c>
      <c r="I37" s="21">
        <v>136538.9817708265</v>
      </c>
      <c r="J37" s="21">
        <v>102769.32266103722</v>
      </c>
      <c r="K37" s="21">
        <v>76459.78561367598</v>
      </c>
      <c r="L37" s="21">
        <v>284102.44433745445</v>
      </c>
      <c r="M37" s="21">
        <v>164100.98997017735</v>
      </c>
      <c r="N37" s="21">
        <v>196945.46114611227</v>
      </c>
      <c r="O37" s="21">
        <f>IF(O$6="Forecast",0,'Dept. Cost Actuals'!S1519+'Dept. Cost Actuals'!S1347)</f>
        <v>82749.41</v>
      </c>
      <c r="P37" s="21">
        <f>IF(P$6="Forecast",0,'Dept. Cost Actuals'!T1519+'Dept. Cost Actuals'!T1347)</f>
        <v>47805.14</v>
      </c>
      <c r="Q37" s="21">
        <f>IF(Q$6="Forecast",0,'Dept. Cost Actuals'!U1519+'Dept. Cost Actuals'!U1347)</f>
        <v>-34371.040000000001</v>
      </c>
      <c r="R37" s="21">
        <f>IF(R$6="Forecast",0,'Dept. Cost Actuals'!V1519+'Dept. Cost Actuals'!V1347)</f>
        <v>46300.7</v>
      </c>
      <c r="S37" s="21">
        <f>IF(S$6="Forecast",0,'Dept. Cost Actuals'!W1519+'Dept. Cost Actuals'!W1347)</f>
        <v>49087.58</v>
      </c>
      <c r="T37" s="21">
        <f>IF(T$6="Forecast",0,'Dept. Cost Actuals'!X1519+'Dept. Cost Actuals'!X1347)</f>
        <v>98654.99</v>
      </c>
      <c r="U37" s="21">
        <f>IF(U$6="Forecast",0,'Dept. Cost Actuals'!Y1519+'Dept. Cost Actuals'!Y1347)</f>
        <v>86600.91</v>
      </c>
      <c r="V37" s="21">
        <f>IF(V$6="Forecast",0,'Dept. Cost Actuals'!Z1519+'Dept. Cost Actuals'!Z1347)</f>
        <v>67998.14</v>
      </c>
      <c r="W37" s="21">
        <f>IF(W$6="Forecast",0,'Dept. Cost Actuals'!AA1519+'Dept. Cost Actuals'!AA1347)</f>
        <v>101127.73</v>
      </c>
      <c r="X37" s="21">
        <f>IF(X$6="Forecast",0,'Dept. Cost Actuals'!AB1519+'Dept. Cost Actuals'!AB1347)</f>
        <v>163591.07999999999</v>
      </c>
      <c r="Y37" s="21">
        <f>IF(Y$6="Forecast",0,'Dept. Cost Actuals'!AC1519+'Dept. Cost Actuals'!AC1347)</f>
        <v>76076.22</v>
      </c>
      <c r="Z37" s="21">
        <f>IF(Z$6="Forecast",0,'Dept. Cost Actuals'!AD1519+'Dept. Cost Actuals'!AD1347)</f>
        <v>142357.33000000002</v>
      </c>
      <c r="AA37" s="21">
        <f>IF(AA$6="Forecast",100000/12,'Dept. Cost Actuals'!AE1519+'Dept. Cost Actuals'!AE1347)</f>
        <v>8333.3333333333339</v>
      </c>
      <c r="AB37" s="21">
        <f>IF(AB$6="Forecast",100000/12,'Dept. Cost Actuals'!AF1519+'Dept. Cost Actuals'!AF1347)</f>
        <v>8333.3333333333339</v>
      </c>
      <c r="AC37" s="21">
        <f>IF(AC$6="Forecast",100000/12,'Dept. Cost Actuals'!AG1519+'Dept. Cost Actuals'!AG1347)</f>
        <v>8333.3333333333339</v>
      </c>
      <c r="AD37" s="21">
        <f>IF(AD$6="Forecast",100000/12,'Dept. Cost Actuals'!AH1519+'Dept. Cost Actuals'!AH1347)</f>
        <v>8333.3333333333339</v>
      </c>
      <c r="AE37" s="21">
        <f>IF(AE$6="Forecast",100000/12,'Dept. Cost Actuals'!AI1519+'Dept. Cost Actuals'!AI1347)</f>
        <v>8333.3333333333339</v>
      </c>
      <c r="AF37" s="21">
        <f>IF(AF$6="Forecast",100000/12,'Dept. Cost Actuals'!AJ1519+'Dept. Cost Actuals'!AJ1347)</f>
        <v>8333.3333333333339</v>
      </c>
      <c r="AG37" s="21">
        <f>IF(AG$6="Forecast",100000/12,'Dept. Cost Actuals'!AK1519+'Dept. Cost Actuals'!AK1347)</f>
        <v>8333.3333333333339</v>
      </c>
      <c r="AH37" s="21">
        <f>IF(AH$6="Forecast",100000/12,'Dept. Cost Actuals'!AL1519+'Dept. Cost Actuals'!AL1347)</f>
        <v>8333.3333333333339</v>
      </c>
      <c r="AI37" s="21">
        <f>IF(AI$6="Forecast",100000/12,'Dept. Cost Actuals'!AM1519+'Dept. Cost Actuals'!AM1347)</f>
        <v>8333.3333333333339</v>
      </c>
      <c r="AJ37" s="21">
        <f>IF(AJ$6="Forecast",100000/12,'Dept. Cost Actuals'!AN1519+'Dept. Cost Actuals'!AN1347)</f>
        <v>8333.3333333333339</v>
      </c>
      <c r="AK37" s="21">
        <f>IF(AK$6="Forecast",100000/12,'Dept. Cost Actuals'!AO1519+'Dept. Cost Actuals'!AO1347)</f>
        <v>8333.3333333333339</v>
      </c>
      <c r="AL37" s="21">
        <f>IF(AL$6="Forecast",100000/12,'Dept. Cost Actuals'!AP1519+'Dept. Cost Actuals'!AP1347)</f>
        <v>8333.3333333333339</v>
      </c>
      <c r="AM37" s="21">
        <f>IF(AM$6="Forecast",100000/12,'Dept. Cost Actuals'!AQ1519+'Dept. Cost Actuals'!AQ1347)</f>
        <v>8333.3333333333339</v>
      </c>
      <c r="AN37" s="21">
        <f>IF(AN$6="Forecast",100000/12,'Dept. Cost Actuals'!AR1519+'Dept. Cost Actuals'!AR1347)</f>
        <v>8333.3333333333339</v>
      </c>
      <c r="AO37" s="21">
        <f>IF(AO$6="Forecast",100000/12,'Dept. Cost Actuals'!AS1519+'Dept. Cost Actuals'!AS1347)</f>
        <v>8333.3333333333339</v>
      </c>
      <c r="AP37" s="21">
        <f>IF(AP$6="Forecast",100000/12,'Dept. Cost Actuals'!AT1519+'Dept. Cost Actuals'!AT1347)</f>
        <v>8333.3333333333339</v>
      </c>
      <c r="AQ37" s="21">
        <f>IF(AQ$6="Forecast",100000/12,'Dept. Cost Actuals'!AU1519+'Dept. Cost Actuals'!AU1347)</f>
        <v>8333.3333333333339</v>
      </c>
      <c r="AR37" s="21">
        <f>IF(AR$6="Forecast",100000/12,'Dept. Cost Actuals'!AV1519+'Dept. Cost Actuals'!AV1347)</f>
        <v>8333.3333333333339</v>
      </c>
      <c r="AS37" s="21">
        <f>IF(AS$6="Forecast",100000/12,'Dept. Cost Actuals'!AW1519+'Dept. Cost Actuals'!AW1347)</f>
        <v>8333.3333333333339</v>
      </c>
      <c r="AT37" s="21">
        <f>IF(AT$6="Forecast",100000/12,'Dept. Cost Actuals'!AX1519+'Dept. Cost Actuals'!AX1347)</f>
        <v>8333.3333333333339</v>
      </c>
      <c r="AU37" s="21">
        <f>IF(AU$6="Forecast",100000/12,'Dept. Cost Actuals'!AY1519+'Dept. Cost Actuals'!AY1347)</f>
        <v>8333.3333333333339</v>
      </c>
      <c r="AV37" s="21">
        <f>IF(AV$6="Forecast",100000/12,'Dept. Cost Actuals'!AZ1519+'Dept. Cost Actuals'!AZ1347)</f>
        <v>8333.3333333333339</v>
      </c>
      <c r="AW37" s="21">
        <f>IF(AW$6="Forecast",100000/12,'Dept. Cost Actuals'!BA1519+'Dept. Cost Actuals'!BA1347)</f>
        <v>8333.3333333333339</v>
      </c>
      <c r="AX37" s="21">
        <f>IF(AX$6="Forecast",100000/12,'Dept. Cost Actuals'!BB1519+'Dept. Cost Actuals'!BB1347)</f>
        <v>8333.3333333333339</v>
      </c>
      <c r="AY37" s="21">
        <f>IF(AY$6="Forecast",100000/12,'Dept. Cost Actuals'!BC1519+'Dept. Cost Actuals'!BC1347)</f>
        <v>8333.3333333333339</v>
      </c>
      <c r="AZ37" s="21">
        <f>IF(AZ$6="Forecast",100000/12,'Dept. Cost Actuals'!BD1519+'Dept. Cost Actuals'!BD1347)</f>
        <v>8333.3333333333339</v>
      </c>
      <c r="BA37" s="21">
        <f>IF(BA$6="Forecast",100000/12,'Dept. Cost Actuals'!BE1519+'Dept. Cost Actuals'!BE1347)</f>
        <v>8333.3333333333339</v>
      </c>
      <c r="BB37" s="21">
        <f>IF(BB$6="Forecast",100000/12,'Dept. Cost Actuals'!BF1519+'Dept. Cost Actuals'!BF1347)</f>
        <v>8333.3333333333339</v>
      </c>
      <c r="BC37" s="21">
        <f>IF(BC$6="Forecast",100000/12,'Dept. Cost Actuals'!BG1519+'Dept. Cost Actuals'!BG1347)</f>
        <v>8333.3333333333339</v>
      </c>
      <c r="BD37" s="21">
        <f>IF(BD$6="Forecast",100000/12,'Dept. Cost Actuals'!BH1519+'Dept. Cost Actuals'!BH1347)</f>
        <v>8333.3333333333339</v>
      </c>
      <c r="BE37" s="21">
        <f>IF(BE$6="Forecast",100000/12,'Dept. Cost Actuals'!BI1519+'Dept. Cost Actuals'!BI1347)</f>
        <v>8333.3333333333339</v>
      </c>
      <c r="BF37" s="21">
        <f>IF(BF$6="Forecast",100000/12,'Dept. Cost Actuals'!BJ1519+'Dept. Cost Actuals'!BJ1347)</f>
        <v>8333.3333333333339</v>
      </c>
      <c r="BG37" s="21">
        <f>IF(BG$6="Forecast",100000/12,'Dept. Cost Actuals'!BK1519+'Dept. Cost Actuals'!BK1347)</f>
        <v>8333.3333333333339</v>
      </c>
      <c r="BH37" s="21">
        <f>IF(BH$6="Forecast",100000/12,'Dept. Cost Actuals'!BL1519+'Dept. Cost Actuals'!BL1347)</f>
        <v>8333.3333333333339</v>
      </c>
      <c r="BI37" s="21">
        <f>IF(BI$6="Forecast",100000/12,'Dept. Cost Actuals'!BM1519+'Dept. Cost Actuals'!BM1347)</f>
        <v>8333.3333333333339</v>
      </c>
      <c r="BJ37" s="21">
        <f>IF(BJ$6="Forecast",100000/12,'Dept. Cost Actuals'!BN1519+'Dept. Cost Actuals'!BN1347)</f>
        <v>8333.3333333333339</v>
      </c>
      <c r="BK37" s="21">
        <f>IF(BK$6="Forecast",100000/12,'Dept. Cost Actuals'!BO1519+'Dept. Cost Actuals'!BO1347)</f>
        <v>8333.3333333333339</v>
      </c>
      <c r="BL37" s="21">
        <f>IF(BL$6="Forecast",100000/12,'Dept. Cost Actuals'!BP1519+'Dept. Cost Actuals'!BP1347)</f>
        <v>8333.3333333333339</v>
      </c>
      <c r="BM37" s="21">
        <f>IF(BM$6="Forecast",100000/12,'Dept. Cost Actuals'!BQ1519+'Dept. Cost Actuals'!BQ1347)</f>
        <v>8333.3333333333339</v>
      </c>
      <c r="BN37" s="21">
        <f>IF(BN$6="Forecast",100000/12,'Dept. Cost Actuals'!BR1519+'Dept. Cost Actuals'!BR1347)</f>
        <v>8333.3333333333339</v>
      </c>
      <c r="BO37" s="21">
        <f>IF(BO$6="Forecast",100000/12,'Dept. Cost Actuals'!BS1519+'Dept. Cost Actuals'!BS1347)</f>
        <v>8333.3333333333339</v>
      </c>
      <c r="BP37" s="21">
        <f>IF(BP$6="Forecast",100000/12,'Dept. Cost Actuals'!BT1519+'Dept. Cost Actuals'!BT1347)</f>
        <v>8333.3333333333339</v>
      </c>
      <c r="BQ37" s="21">
        <f>IF(BQ$6="Forecast",100000/12,'Dept. Cost Actuals'!BU1519+'Dept. Cost Actuals'!BU1347)</f>
        <v>8333.3333333333339</v>
      </c>
      <c r="BR37" s="21">
        <f>IF(BR$6="Forecast",100000/12,'Dept. Cost Actuals'!BV1519+'Dept. Cost Actuals'!BV1347)</f>
        <v>8333.3333333333339</v>
      </c>
      <c r="BS37" s="21">
        <f>IF(BS$6="Forecast",100000/12,'Dept. Cost Actuals'!BW1519+'Dept. Cost Actuals'!BW1347)</f>
        <v>8333.3333333333339</v>
      </c>
      <c r="BT37" s="21">
        <f>IF(BT$6="Forecast",100000/12,'Dept. Cost Actuals'!BX1519+'Dept. Cost Actuals'!BX1347)</f>
        <v>8333.3333333333339</v>
      </c>
      <c r="BU37" s="21">
        <f>IF(BU$6="Forecast",100000/12,'Dept. Cost Actuals'!BY1519+'Dept. Cost Actuals'!BY1347)</f>
        <v>8333.3333333333339</v>
      </c>
      <c r="BV37" s="21">
        <f>IF(BV$6="Forecast",100000/12,'Dept. Cost Actuals'!BZ1519+'Dept. Cost Actuals'!BZ1347)</f>
        <v>8333.3333333333339</v>
      </c>
    </row>
    <row r="38" spans="2:74" x14ac:dyDescent="0.35">
      <c r="B38" s="1020" t="s">
        <v>1107</v>
      </c>
      <c r="C38" s="1017">
        <f t="shared" ref="C38:AH38" si="37">SUM(C25:C37)</f>
        <v>111471.7756247193</v>
      </c>
      <c r="D38" s="1017">
        <f t="shared" si="37"/>
        <v>171344.58725411797</v>
      </c>
      <c r="E38" s="1017">
        <f t="shared" si="37"/>
        <v>156615.31275670818</v>
      </c>
      <c r="F38" s="1017">
        <f t="shared" si="37"/>
        <v>158644.58822094416</v>
      </c>
      <c r="G38" s="1017">
        <f t="shared" si="37"/>
        <v>449624.52611638099</v>
      </c>
      <c r="H38" s="1017">
        <f t="shared" si="37"/>
        <v>183295.50629641878</v>
      </c>
      <c r="I38" s="1017">
        <f t="shared" si="37"/>
        <v>516636.55986159045</v>
      </c>
      <c r="J38" s="1017">
        <f t="shared" si="37"/>
        <v>483685.14025888842</v>
      </c>
      <c r="K38" s="1017">
        <f t="shared" si="37"/>
        <v>149575.38962310873</v>
      </c>
      <c r="L38" s="1017">
        <f t="shared" si="37"/>
        <v>696158.94691380067</v>
      </c>
      <c r="M38" s="1017">
        <f t="shared" si="37"/>
        <v>338188.28595771734</v>
      </c>
      <c r="N38" s="1017">
        <f t="shared" si="37"/>
        <v>290514.70637268288</v>
      </c>
      <c r="O38" s="1018">
        <f t="shared" si="37"/>
        <v>278966.25</v>
      </c>
      <c r="P38" s="1018">
        <f t="shared" si="37"/>
        <v>255735.44</v>
      </c>
      <c r="Q38" s="1018">
        <f t="shared" si="37"/>
        <v>131972.22999999998</v>
      </c>
      <c r="R38" s="1018">
        <f t="shared" si="37"/>
        <v>214846.01</v>
      </c>
      <c r="S38" s="1018">
        <f t="shared" si="37"/>
        <v>233938.15999999997</v>
      </c>
      <c r="T38" s="1018">
        <f t="shared" si="37"/>
        <v>254022.65999999997</v>
      </c>
      <c r="U38" s="1018">
        <f t="shared" si="37"/>
        <v>287334.32999999996</v>
      </c>
      <c r="V38" s="1018">
        <f t="shared" si="37"/>
        <v>239081.5</v>
      </c>
      <c r="W38" s="1018">
        <f t="shared" si="37"/>
        <v>279888.06</v>
      </c>
      <c r="X38" s="1018">
        <f t="shared" si="37"/>
        <v>349829.29</v>
      </c>
      <c r="Y38" s="1017">
        <f t="shared" si="37"/>
        <v>259971.00999999998</v>
      </c>
      <c r="Z38" s="1017">
        <f t="shared" si="37"/>
        <v>293849.71000000002</v>
      </c>
      <c r="AA38" s="1017">
        <f t="shared" si="37"/>
        <v>258851.4566</v>
      </c>
      <c r="AB38" s="1017">
        <f t="shared" si="37"/>
        <v>211921.96187777779</v>
      </c>
      <c r="AC38" s="1017">
        <f t="shared" si="37"/>
        <v>211196.34703981483</v>
      </c>
      <c r="AD38" s="1017">
        <f t="shared" si="37"/>
        <v>234906.99763202161</v>
      </c>
      <c r="AE38" s="1017">
        <f t="shared" si="37"/>
        <v>236318.89938469007</v>
      </c>
      <c r="AF38" s="1017">
        <f t="shared" si="37"/>
        <v>236847.6279500809</v>
      </c>
      <c r="AG38" s="1017">
        <f t="shared" si="37"/>
        <v>238390.19306258767</v>
      </c>
      <c r="AH38" s="1017">
        <f t="shared" si="37"/>
        <v>237594.25443446997</v>
      </c>
      <c r="AI38" s="1017">
        <f t="shared" ref="AI38:BJ38" si="38">SUM(AI25:AI37)</f>
        <v>237890.23758734248</v>
      </c>
      <c r="AJ38" s="1017">
        <f t="shared" si="38"/>
        <v>238900.93350295434</v>
      </c>
      <c r="AK38" s="1017">
        <f t="shared" si="38"/>
        <v>240527.11574486722</v>
      </c>
      <c r="AL38" s="1017">
        <f t="shared" si="38"/>
        <v>648838.38067360618</v>
      </c>
      <c r="AM38" s="1017">
        <f t="shared" ref="AM38" si="39">SUM(AM25:AM37)</f>
        <v>218113.22516940665</v>
      </c>
      <c r="AN38" s="1017">
        <f t="shared" si="38"/>
        <v>219348.66297882944</v>
      </c>
      <c r="AO38" s="1017">
        <f t="shared" si="38"/>
        <v>219566.68708380594</v>
      </c>
      <c r="AP38" s="1017">
        <f t="shared" si="38"/>
        <v>219863.40884141051</v>
      </c>
      <c r="AQ38" s="1017">
        <f t="shared" si="38"/>
        <v>220118.7587575248</v>
      </c>
      <c r="AR38" s="1017">
        <f t="shared" si="38"/>
        <v>220277.8021380768</v>
      </c>
      <c r="AS38" s="1017">
        <f t="shared" si="38"/>
        <v>220406.11787592326</v>
      </c>
      <c r="AT38" s="1017">
        <f t="shared" si="38"/>
        <v>220416.66623871523</v>
      </c>
      <c r="AU38" s="1017">
        <f t="shared" si="38"/>
        <v>220494.51654137109</v>
      </c>
      <c r="AV38" s="1017">
        <f t="shared" si="38"/>
        <v>220554.29247710397</v>
      </c>
      <c r="AW38" s="1017">
        <f t="shared" si="38"/>
        <v>220534.93792741318</v>
      </c>
      <c r="AX38" s="1017">
        <f t="shared" si="38"/>
        <v>633003.02850222634</v>
      </c>
      <c r="AY38" s="1017">
        <f t="shared" si="38"/>
        <v>214438.80044080989</v>
      </c>
      <c r="AZ38" s="1017">
        <f t="shared" si="38"/>
        <v>215476.53875643591</v>
      </c>
      <c r="BA38" s="1017">
        <f t="shared" si="38"/>
        <v>215554.01642852154</v>
      </c>
      <c r="BB38" s="1017">
        <f t="shared" si="38"/>
        <v>215619.82958082485</v>
      </c>
      <c r="BC38" s="1017">
        <f t="shared" si="38"/>
        <v>215666.44680479486</v>
      </c>
      <c r="BD38" s="1017">
        <f t="shared" si="38"/>
        <v>215695.71423996397</v>
      </c>
      <c r="BE38" s="1017">
        <f t="shared" si="38"/>
        <v>215714.20903188453</v>
      </c>
      <c r="BF38" s="1017">
        <f t="shared" si="38"/>
        <v>215723.59066543786</v>
      </c>
      <c r="BG38" s="1017">
        <f t="shared" si="38"/>
        <v>215732.90924471361</v>
      </c>
      <c r="BH38" s="1017">
        <f t="shared" si="38"/>
        <v>215736.54547276598</v>
      </c>
      <c r="BI38" s="1017">
        <f t="shared" si="38"/>
        <v>215735.52516595679</v>
      </c>
      <c r="BJ38" s="1017">
        <f t="shared" si="38"/>
        <v>633314.2296385552</v>
      </c>
      <c r="BK38" s="1017">
        <f t="shared" ref="BK38:BL38" si="40">SUM(BK25:BK37)</f>
        <v>216479.01259171133</v>
      </c>
      <c r="BL38" s="1017">
        <f t="shared" si="40"/>
        <v>217481.08085290142</v>
      </c>
      <c r="BM38" s="1017">
        <f t="shared" ref="BM38:BV38" si="41">SUM(BM25:BM37)</f>
        <v>217508.06056470078</v>
      </c>
      <c r="BN38" s="1017">
        <f t="shared" si="41"/>
        <v>217530.86374674842</v>
      </c>
      <c r="BO38" s="1017">
        <f t="shared" si="41"/>
        <v>217550.11292702294</v>
      </c>
      <c r="BP38" s="1017">
        <f t="shared" si="41"/>
        <v>217567.11010587681</v>
      </c>
      <c r="BQ38" s="1017">
        <f t="shared" si="41"/>
        <v>217583.11197170374</v>
      </c>
      <c r="BR38" s="1017">
        <f t="shared" si="41"/>
        <v>217598.93194438991</v>
      </c>
      <c r="BS38" s="1017">
        <f t="shared" si="41"/>
        <v>217615.31312853176</v>
      </c>
      <c r="BT38" s="1017">
        <f t="shared" si="41"/>
        <v>217632.30667636034</v>
      </c>
      <c r="BU38" s="1017">
        <f t="shared" si="41"/>
        <v>217650.43670631081</v>
      </c>
      <c r="BV38" s="1017">
        <f t="shared" si="41"/>
        <v>640350.71512128459</v>
      </c>
    </row>
    <row r="39" spans="2:74" s="43" customFormat="1" x14ac:dyDescent="0.35">
      <c r="B39" s="1024"/>
      <c r="C39" s="1025"/>
      <c r="D39" s="1025"/>
      <c r="E39" s="1025"/>
      <c r="F39" s="1025"/>
      <c r="G39" s="1025"/>
      <c r="H39" s="1025"/>
      <c r="I39" s="1025"/>
      <c r="J39" s="1025"/>
      <c r="K39" s="1025"/>
      <c r="L39" s="1025"/>
      <c r="M39" s="1025"/>
      <c r="N39" s="1025"/>
      <c r="O39" s="1026"/>
      <c r="P39" s="1026"/>
      <c r="Q39" s="1026"/>
      <c r="R39" s="1026"/>
      <c r="S39" s="1026"/>
      <c r="T39" s="1026"/>
      <c r="U39" s="1026"/>
      <c r="V39" s="1026"/>
      <c r="W39" s="1026"/>
      <c r="X39" s="1026"/>
      <c r="Y39" s="1025"/>
      <c r="Z39" s="1025"/>
      <c r="AA39" s="1025"/>
      <c r="AB39" s="1025"/>
      <c r="AC39" s="1025"/>
      <c r="AD39" s="1025"/>
      <c r="AE39" s="1025"/>
      <c r="AF39" s="1025"/>
      <c r="AG39" s="1025"/>
      <c r="AH39" s="1025"/>
      <c r="AI39" s="1025"/>
      <c r="AJ39" s="1025"/>
      <c r="AK39" s="1025"/>
      <c r="AL39" s="1025"/>
      <c r="AM39" s="1025"/>
      <c r="AN39" s="1025"/>
      <c r="AO39" s="1025"/>
      <c r="AP39" s="1025"/>
      <c r="AQ39" s="1025"/>
      <c r="AR39" s="1025"/>
      <c r="AS39" s="1025"/>
      <c r="AT39" s="1025"/>
      <c r="AU39" s="1025"/>
      <c r="AV39" s="1025"/>
      <c r="AW39" s="1025"/>
      <c r="AX39" s="1025"/>
      <c r="AY39" s="1025"/>
      <c r="AZ39" s="1025"/>
      <c r="BA39" s="1025"/>
      <c r="BB39" s="1025"/>
      <c r="BC39" s="1025"/>
      <c r="BD39" s="1025"/>
      <c r="BE39" s="1025"/>
      <c r="BF39" s="1025"/>
      <c r="BG39" s="1025"/>
      <c r="BH39" s="1025"/>
      <c r="BI39" s="1025"/>
      <c r="BJ39" s="1025"/>
      <c r="BK39" s="1025"/>
      <c r="BL39" s="1025"/>
      <c r="BM39" s="1025"/>
      <c r="BN39" s="1025"/>
      <c r="BO39" s="1025"/>
      <c r="BP39" s="1025"/>
      <c r="BQ39" s="1025"/>
      <c r="BR39" s="1025"/>
      <c r="BS39" s="1025"/>
      <c r="BT39" s="1025"/>
      <c r="BU39" s="1025"/>
      <c r="BV39" s="1025"/>
    </row>
    <row r="40" spans="2:74" x14ac:dyDescent="0.35">
      <c r="B40" s="874" t="s">
        <v>145</v>
      </c>
      <c r="C40" s="875">
        <f>SUM(C38,C23,C19)</f>
        <v>358120.49503557768</v>
      </c>
      <c r="D40" s="875">
        <f t="shared" ref="D40:BO40" si="42">SUM(D38,D23,D19)</f>
        <v>455119.69686994079</v>
      </c>
      <c r="E40" s="875">
        <f t="shared" si="42"/>
        <v>481855.48335250083</v>
      </c>
      <c r="F40" s="875">
        <f t="shared" si="42"/>
        <v>498898.76983732963</v>
      </c>
      <c r="G40" s="875">
        <f t="shared" si="42"/>
        <v>749019.04922830453</v>
      </c>
      <c r="H40" s="875">
        <f t="shared" si="42"/>
        <v>560973.56334059173</v>
      </c>
      <c r="I40" s="875">
        <f t="shared" si="42"/>
        <v>864819.14678878314</v>
      </c>
      <c r="J40" s="875">
        <f t="shared" si="42"/>
        <v>887760.38406862039</v>
      </c>
      <c r="K40" s="875">
        <f t="shared" si="42"/>
        <v>534257.41760255466</v>
      </c>
      <c r="L40" s="875">
        <f t="shared" si="42"/>
        <v>1095616.1907454371</v>
      </c>
      <c r="M40" s="875">
        <f t="shared" si="42"/>
        <v>773978.47754933429</v>
      </c>
      <c r="N40" s="875">
        <f t="shared" si="42"/>
        <v>727535.56207163259</v>
      </c>
      <c r="O40" s="875">
        <f t="shared" si="42"/>
        <v>972597.99</v>
      </c>
      <c r="P40" s="875">
        <f t="shared" si="42"/>
        <v>806303.90999999992</v>
      </c>
      <c r="Q40" s="875">
        <f t="shared" si="42"/>
        <v>914657.89</v>
      </c>
      <c r="R40" s="875">
        <f t="shared" si="42"/>
        <v>975742.03</v>
      </c>
      <c r="S40" s="875">
        <f t="shared" si="42"/>
        <v>1020863.09</v>
      </c>
      <c r="T40" s="875">
        <f t="shared" si="42"/>
        <v>1146498.1499999999</v>
      </c>
      <c r="U40" s="875">
        <f t="shared" si="42"/>
        <v>1572423.93</v>
      </c>
      <c r="V40" s="875">
        <f t="shared" si="42"/>
        <v>1455333.01</v>
      </c>
      <c r="W40" s="875">
        <f t="shared" si="42"/>
        <v>1248307.3199999998</v>
      </c>
      <c r="X40" s="875">
        <f t="shared" si="42"/>
        <v>1340691.69</v>
      </c>
      <c r="Y40" s="875">
        <f t="shared" si="42"/>
        <v>1242208.81</v>
      </c>
      <c r="Z40" s="875">
        <f t="shared" si="42"/>
        <v>1177736.7000000002</v>
      </c>
      <c r="AA40" s="875">
        <f t="shared" si="42"/>
        <v>1011470.3406166666</v>
      </c>
      <c r="AB40" s="875">
        <f t="shared" si="42"/>
        <v>1083134.9199222224</v>
      </c>
      <c r="AC40" s="875">
        <f t="shared" si="42"/>
        <v>1408126.4769476852</v>
      </c>
      <c r="AD40" s="875">
        <f t="shared" si="42"/>
        <v>1623972.3370586033</v>
      </c>
      <c r="AE40" s="875">
        <f t="shared" si="42"/>
        <v>1517831.4782898757</v>
      </c>
      <c r="AF40" s="875">
        <f t="shared" si="42"/>
        <v>1521921.5379570876</v>
      </c>
      <c r="AG40" s="875">
        <f t="shared" si="42"/>
        <v>1626840.9417632339</v>
      </c>
      <c r="AH40" s="875">
        <f t="shared" si="42"/>
        <v>1375378.2544976701</v>
      </c>
      <c r="AI40" s="875">
        <f t="shared" si="42"/>
        <v>1396614.0266266428</v>
      </c>
      <c r="AJ40" s="875">
        <f t="shared" si="42"/>
        <v>1521863.8905996964</v>
      </c>
      <c r="AK40" s="875">
        <f t="shared" si="42"/>
        <v>1389601.5829593933</v>
      </c>
      <c r="AL40" s="875">
        <f t="shared" si="42"/>
        <v>2871540.8238490652</v>
      </c>
      <c r="AM40" s="875">
        <f t="shared" si="42"/>
        <v>1340052.1462238759</v>
      </c>
      <c r="AN40" s="875">
        <f t="shared" si="42"/>
        <v>1419748.774487657</v>
      </c>
      <c r="AO40" s="875">
        <f t="shared" si="42"/>
        <v>1428848.7928150655</v>
      </c>
      <c r="AP40" s="875">
        <f t="shared" si="42"/>
        <v>1429667.852300039</v>
      </c>
      <c r="AQ40" s="875">
        <f t="shared" si="42"/>
        <v>1425633.3896975301</v>
      </c>
      <c r="AR40" s="875">
        <f t="shared" si="42"/>
        <v>1428959.3704054994</v>
      </c>
      <c r="AS40" s="875">
        <f t="shared" si="42"/>
        <v>1427227.5660517933</v>
      </c>
      <c r="AT40" s="875">
        <f t="shared" si="42"/>
        <v>1419127.7625644244</v>
      </c>
      <c r="AU40" s="875">
        <f t="shared" si="42"/>
        <v>1422443.1718207169</v>
      </c>
      <c r="AV40" s="875">
        <f t="shared" si="42"/>
        <v>1424267.0068501835</v>
      </c>
      <c r="AW40" s="875">
        <f t="shared" si="42"/>
        <v>1418610.0706147337</v>
      </c>
      <c r="AX40" s="875">
        <f t="shared" si="42"/>
        <v>3016252.8907578099</v>
      </c>
      <c r="AY40" s="875">
        <f t="shared" si="42"/>
        <v>1436665.7818200353</v>
      </c>
      <c r="AZ40" s="875">
        <f t="shared" si="42"/>
        <v>1453972.0302069611</v>
      </c>
      <c r="BA40" s="875">
        <f t="shared" si="42"/>
        <v>1454502.0973542307</v>
      </c>
      <c r="BB40" s="875">
        <f t="shared" si="42"/>
        <v>1454318.4537227128</v>
      </c>
      <c r="BC40" s="875">
        <f t="shared" si="42"/>
        <v>1454051.5917077833</v>
      </c>
      <c r="BD40" s="875">
        <f t="shared" si="42"/>
        <v>1454099.3132498278</v>
      </c>
      <c r="BE40" s="875">
        <f t="shared" si="42"/>
        <v>1453874.375358209</v>
      </c>
      <c r="BF40" s="875">
        <f t="shared" si="42"/>
        <v>1453775.4291721855</v>
      </c>
      <c r="BG40" s="875">
        <f t="shared" si="42"/>
        <v>1454343.919277858</v>
      </c>
      <c r="BH40" s="875">
        <f t="shared" si="42"/>
        <v>1454684.1113872752</v>
      </c>
      <c r="BI40" s="875">
        <f t="shared" si="42"/>
        <v>1454901.1705901325</v>
      </c>
      <c r="BJ40" s="875">
        <f t="shared" si="42"/>
        <v>3090738.3588477583</v>
      </c>
      <c r="BK40" s="875">
        <f t="shared" si="42"/>
        <v>1058861.8871213784</v>
      </c>
      <c r="BL40" s="875">
        <f t="shared" si="42"/>
        <v>1075892.3174032508</v>
      </c>
      <c r="BM40" s="875">
        <f t="shared" si="42"/>
        <v>1076125.4597750702</v>
      </c>
      <c r="BN40" s="875">
        <f t="shared" si="42"/>
        <v>1076334.3386176291</v>
      </c>
      <c r="BO40" s="875">
        <f t="shared" si="42"/>
        <v>1076576.410470115</v>
      </c>
      <c r="BP40" s="875">
        <f t="shared" ref="BP40:BV40" si="43">SUM(BP38,BP23,BP19)</f>
        <v>1076861.3893531009</v>
      </c>
      <c r="BQ40" s="875">
        <f t="shared" si="43"/>
        <v>1077166.6244674549</v>
      </c>
      <c r="BR40" s="875">
        <f t="shared" si="43"/>
        <v>1077516.5214145742</v>
      </c>
      <c r="BS40" s="875">
        <f t="shared" si="43"/>
        <v>1077904.3083195039</v>
      </c>
      <c r="BT40" s="875">
        <f t="shared" si="43"/>
        <v>1078277.503570932</v>
      </c>
      <c r="BU40" s="875">
        <f t="shared" si="43"/>
        <v>1078653.9027403342</v>
      </c>
      <c r="BV40" s="875">
        <f t="shared" si="43"/>
        <v>2755803.1953199529</v>
      </c>
    </row>
    <row r="41" spans="2:74" s="43" customFormat="1" x14ac:dyDescent="0.35">
      <c r="B41" s="1023"/>
      <c r="C41" s="911"/>
      <c r="D41" s="911"/>
      <c r="E41" s="911"/>
      <c r="F41" s="911"/>
      <c r="G41" s="911"/>
      <c r="H41" s="911"/>
      <c r="I41" s="911"/>
      <c r="J41" s="911"/>
      <c r="K41" s="911"/>
      <c r="L41" s="911"/>
      <c r="M41" s="911"/>
      <c r="N41" s="911"/>
      <c r="O41" s="911"/>
      <c r="P41" s="911"/>
      <c r="Q41" s="911"/>
      <c r="R41" s="911"/>
      <c r="S41" s="911"/>
      <c r="T41" s="911"/>
      <c r="U41" s="911"/>
      <c r="V41" s="911"/>
      <c r="W41" s="911"/>
      <c r="X41" s="911"/>
      <c r="Y41" s="911"/>
      <c r="Z41" s="911"/>
      <c r="AA41" s="911"/>
      <c r="AB41" s="911"/>
      <c r="AC41" s="911"/>
      <c r="AD41" s="911"/>
      <c r="AE41" s="911"/>
      <c r="AF41" s="911"/>
      <c r="AG41" s="911"/>
      <c r="AH41" s="911"/>
      <c r="AI41" s="911"/>
      <c r="AJ41" s="911"/>
      <c r="AK41" s="911"/>
      <c r="AL41" s="911"/>
      <c r="AM41" s="911"/>
      <c r="AN41" s="911"/>
      <c r="AO41" s="911"/>
      <c r="AP41" s="911"/>
      <c r="AQ41" s="911"/>
      <c r="AR41" s="911"/>
      <c r="AS41" s="911"/>
      <c r="AT41" s="911"/>
      <c r="AU41" s="911"/>
      <c r="AV41" s="911"/>
      <c r="AW41" s="911"/>
      <c r="AX41" s="911"/>
      <c r="AY41" s="911"/>
      <c r="AZ41" s="911"/>
      <c r="BA41" s="911"/>
      <c r="BB41" s="911"/>
      <c r="BC41" s="911"/>
      <c r="BD41" s="911"/>
      <c r="BE41" s="911"/>
      <c r="BF41" s="911"/>
      <c r="BG41" s="911"/>
      <c r="BH41" s="911"/>
      <c r="BI41" s="911"/>
      <c r="BJ41" s="911"/>
      <c r="BK41" s="911"/>
      <c r="BL41" s="911"/>
      <c r="BM41" s="911"/>
      <c r="BN41" s="911"/>
      <c r="BO41" s="911"/>
      <c r="BP41" s="911"/>
      <c r="BQ41" s="911"/>
      <c r="BR41" s="911"/>
      <c r="BS41" s="911"/>
      <c r="BT41" s="911"/>
      <c r="BU41" s="911"/>
      <c r="BV41" s="911"/>
    </row>
    <row r="42" spans="2:74" x14ac:dyDescent="0.35">
      <c r="B42" s="575" t="s">
        <v>144</v>
      </c>
      <c r="C42" s="307">
        <v>0</v>
      </c>
      <c r="D42" s="307">
        <v>0</v>
      </c>
      <c r="E42" s="307">
        <v>0</v>
      </c>
      <c r="F42" s="307">
        <v>0</v>
      </c>
      <c r="G42" s="307">
        <v>0</v>
      </c>
      <c r="H42" s="307">
        <v>0</v>
      </c>
      <c r="I42" s="307">
        <v>0</v>
      </c>
      <c r="J42" s="307">
        <v>0</v>
      </c>
      <c r="K42" s="307">
        <v>0</v>
      </c>
      <c r="L42" s="307">
        <v>0</v>
      </c>
      <c r="M42" s="307">
        <v>0</v>
      </c>
      <c r="N42" s="307">
        <v>0</v>
      </c>
      <c r="O42" s="307">
        <v>0</v>
      </c>
      <c r="P42" s="307">
        <v>0</v>
      </c>
      <c r="Q42" s="307">
        <v>0</v>
      </c>
      <c r="R42" s="307">
        <v>0</v>
      </c>
      <c r="S42" s="307">
        <v>0</v>
      </c>
      <c r="T42" s="307">
        <v>0</v>
      </c>
      <c r="U42" s="307">
        <v>0</v>
      </c>
      <c r="V42" s="307">
        <v>0</v>
      </c>
      <c r="W42" s="307">
        <v>0</v>
      </c>
      <c r="X42" s="307">
        <v>0</v>
      </c>
      <c r="Y42" s="307">
        <v>0</v>
      </c>
      <c r="Z42" s="307">
        <v>0</v>
      </c>
      <c r="AA42" s="307">
        <v>0</v>
      </c>
      <c r="AB42" s="307">
        <v>0</v>
      </c>
      <c r="AC42" s="307">
        <v>0</v>
      </c>
      <c r="AD42" s="307">
        <v>0</v>
      </c>
      <c r="AE42" s="307">
        <v>0</v>
      </c>
      <c r="AF42" s="307">
        <v>0</v>
      </c>
      <c r="AG42" s="307">
        <v>0</v>
      </c>
      <c r="AH42" s="307">
        <v>0</v>
      </c>
      <c r="AI42" s="307">
        <v>0</v>
      </c>
      <c r="AJ42" s="307">
        <v>0</v>
      </c>
      <c r="AK42" s="307">
        <v>0</v>
      </c>
      <c r="AL42" s="307">
        <v>0</v>
      </c>
      <c r="AM42" s="307">
        <v>0</v>
      </c>
      <c r="AN42" s="307">
        <v>0</v>
      </c>
      <c r="AO42" s="307">
        <v>0</v>
      </c>
      <c r="AP42" s="307">
        <v>0</v>
      </c>
      <c r="AQ42" s="307">
        <v>0</v>
      </c>
      <c r="AR42" s="307">
        <v>0</v>
      </c>
      <c r="AS42" s="307">
        <v>0</v>
      </c>
      <c r="AT42" s="307">
        <v>0</v>
      </c>
      <c r="AU42" s="307">
        <v>0</v>
      </c>
      <c r="AV42" s="307">
        <v>0</v>
      </c>
      <c r="AW42" s="307">
        <v>0</v>
      </c>
      <c r="AX42" s="307">
        <v>0</v>
      </c>
      <c r="AY42" s="307">
        <v>0</v>
      </c>
      <c r="AZ42" s="307">
        <v>0</v>
      </c>
      <c r="BA42" s="307">
        <v>0</v>
      </c>
      <c r="BB42" s="307">
        <v>0</v>
      </c>
      <c r="BC42" s="307">
        <v>0</v>
      </c>
      <c r="BD42" s="307">
        <v>0</v>
      </c>
      <c r="BE42" s="307">
        <v>0</v>
      </c>
      <c r="BF42" s="307">
        <v>0</v>
      </c>
      <c r="BG42" s="307">
        <v>0</v>
      </c>
      <c r="BH42" s="307">
        <v>0</v>
      </c>
      <c r="BI42" s="307">
        <v>0</v>
      </c>
      <c r="BJ42" s="307">
        <v>0</v>
      </c>
      <c r="BK42" s="307">
        <v>0</v>
      </c>
      <c r="BL42" s="307">
        <v>0</v>
      </c>
      <c r="BM42" s="307">
        <v>0</v>
      </c>
      <c r="BN42" s="307">
        <v>0</v>
      </c>
      <c r="BO42" s="307">
        <v>0</v>
      </c>
      <c r="BP42" s="307">
        <v>0</v>
      </c>
      <c r="BQ42" s="307">
        <v>0</v>
      </c>
      <c r="BR42" s="307">
        <v>0</v>
      </c>
      <c r="BS42" s="307">
        <v>0</v>
      </c>
      <c r="BT42" s="307">
        <v>0</v>
      </c>
      <c r="BU42" s="307">
        <v>0</v>
      </c>
      <c r="BV42" s="307">
        <v>0</v>
      </c>
    </row>
    <row r="43" spans="2:74" x14ac:dyDescent="0.35">
      <c r="C43" s="1008"/>
      <c r="D43" s="1008"/>
      <c r="E43" s="1008"/>
      <c r="F43" s="1008"/>
      <c r="G43" s="1008"/>
      <c r="H43" s="1008"/>
      <c r="I43" s="1008"/>
      <c r="J43" s="1008"/>
    </row>
    <row r="44" spans="2:74" x14ac:dyDescent="0.35">
      <c r="B44" s="575" t="s">
        <v>528</v>
      </c>
      <c r="O44" s="41">
        <v>236350</v>
      </c>
      <c r="P44" s="41">
        <v>236350</v>
      </c>
      <c r="Q44" s="41">
        <v>236350</v>
      </c>
      <c r="R44" s="41">
        <v>236350</v>
      </c>
      <c r="S44" s="41">
        <v>236350</v>
      </c>
      <c r="T44" s="41">
        <v>236350</v>
      </c>
      <c r="U44" s="41">
        <v>236350</v>
      </c>
      <c r="V44" s="41">
        <v>236350</v>
      </c>
      <c r="W44" s="41">
        <v>236350</v>
      </c>
      <c r="X44" s="41">
        <v>236350</v>
      </c>
      <c r="Y44" s="41">
        <v>236350</v>
      </c>
      <c r="Z44" s="41">
        <v>236350</v>
      </c>
    </row>
    <row r="45" spans="2:74" x14ac:dyDescent="0.35">
      <c r="B45" s="575" t="s">
        <v>138</v>
      </c>
      <c r="C45" s="577">
        <v>-408</v>
      </c>
      <c r="D45" s="577">
        <v>-378</v>
      </c>
      <c r="E45" s="41">
        <v>-282</v>
      </c>
      <c r="H45" s="41">
        <v>-30</v>
      </c>
      <c r="I45" s="41">
        <v>-90</v>
      </c>
      <c r="J45" s="41">
        <v>-132</v>
      </c>
      <c r="O45" s="41">
        <v>101084.6</v>
      </c>
      <c r="P45" s="41">
        <v>91527.78</v>
      </c>
      <c r="Q45" s="41">
        <v>100923.6</v>
      </c>
      <c r="R45" s="41">
        <v>131827.06</v>
      </c>
      <c r="S45" s="41">
        <f>108792+75000</f>
        <v>183792</v>
      </c>
      <c r="T45" s="41">
        <v>105294.1</v>
      </c>
      <c r="U45" s="41">
        <v>108060.06</v>
      </c>
      <c r="V45" s="41">
        <v>107694.1</v>
      </c>
      <c r="W45" s="41">
        <v>104196.18</v>
      </c>
      <c r="X45" s="41">
        <v>106962.14</v>
      </c>
      <c r="Y45" s="41">
        <v>103464.24</v>
      </c>
      <c r="Z45" s="41">
        <f>103098.26-9917.97</f>
        <v>93180.29</v>
      </c>
    </row>
    <row r="46" spans="2:74" x14ac:dyDescent="0.35">
      <c r="B46" s="575" t="s">
        <v>1109</v>
      </c>
      <c r="F46" s="41">
        <v>37532</v>
      </c>
      <c r="G46" s="41">
        <v>54</v>
      </c>
      <c r="K46" s="41">
        <v>662</v>
      </c>
      <c r="L46" s="41">
        <v>39</v>
      </c>
      <c r="M46" s="41">
        <v>80</v>
      </c>
      <c r="N46" s="41">
        <v>2</v>
      </c>
      <c r="O46" s="41">
        <v>8.1199999999999992</v>
      </c>
      <c r="P46" s="41">
        <f>4693.43+64.84</f>
        <v>4758.2700000000004</v>
      </c>
      <c r="Q46" s="41">
        <v>57</v>
      </c>
      <c r="R46" s="41">
        <v>15087.66</v>
      </c>
      <c r="S46" s="41">
        <v>6010.3</v>
      </c>
      <c r="T46" s="41">
        <v>6388.13</v>
      </c>
      <c r="U46" s="41">
        <v>8245.48</v>
      </c>
      <c r="V46" s="41">
        <v>11872.02</v>
      </c>
      <c r="W46" s="41">
        <v>12933.45</v>
      </c>
      <c r="X46" s="41">
        <v>9040.23</v>
      </c>
      <c r="Y46" s="41">
        <v>11523.51</v>
      </c>
    </row>
    <row r="49" spans="2:74" x14ac:dyDescent="0.35">
      <c r="B49" s="575" t="s">
        <v>385</v>
      </c>
      <c r="C49" s="1009">
        <f>SUM(C10+C11+C12+C13+C21)</f>
        <v>214260.58498969759</v>
      </c>
      <c r="D49" s="1009">
        <f t="shared" ref="D49:AH49" si="44">SUM(D10+D11+D12+D13+D21)</f>
        <v>253242.574699708</v>
      </c>
      <c r="E49" s="1009">
        <f t="shared" si="44"/>
        <v>248678.81235537742</v>
      </c>
      <c r="F49" s="1009">
        <f t="shared" si="44"/>
        <v>260355.01524687404</v>
      </c>
      <c r="G49" s="1009">
        <f t="shared" si="44"/>
        <v>272256.17968143546</v>
      </c>
      <c r="H49" s="1009">
        <f t="shared" si="44"/>
        <v>333452.85342940583</v>
      </c>
      <c r="I49" s="1009">
        <f t="shared" si="44"/>
        <v>246267.28714536884</v>
      </c>
      <c r="J49" s="1009">
        <f t="shared" si="44"/>
        <v>165912.88206296499</v>
      </c>
      <c r="K49" s="1009">
        <f t="shared" si="44"/>
        <v>223995.6860910641</v>
      </c>
      <c r="L49" s="1009">
        <f t="shared" si="44"/>
        <v>192752.05245485142</v>
      </c>
      <c r="M49" s="1009">
        <f t="shared" si="44"/>
        <v>298808.06405998132</v>
      </c>
      <c r="N49" s="1009">
        <f t="shared" si="44"/>
        <v>452554.44663758797</v>
      </c>
      <c r="O49" s="1009">
        <f t="shared" si="44"/>
        <v>198184.7</v>
      </c>
      <c r="P49" s="1009">
        <f t="shared" si="44"/>
        <v>204692.63</v>
      </c>
      <c r="Q49" s="1009">
        <f t="shared" si="44"/>
        <v>265983.03000000003</v>
      </c>
      <c r="R49" s="1009">
        <f t="shared" si="44"/>
        <v>281712.82</v>
      </c>
      <c r="S49" s="1009">
        <f t="shared" si="44"/>
        <v>298015.36000000004</v>
      </c>
      <c r="T49" s="1009">
        <f t="shared" si="44"/>
        <v>275761.59999999998</v>
      </c>
      <c r="U49" s="1009">
        <f t="shared" si="44"/>
        <v>319029.58</v>
      </c>
      <c r="V49" s="1009">
        <f t="shared" si="44"/>
        <v>311439.69</v>
      </c>
      <c r="W49" s="1009">
        <f t="shared" si="44"/>
        <v>333541.42</v>
      </c>
      <c r="X49" s="1009">
        <f t="shared" si="44"/>
        <v>388822.07</v>
      </c>
      <c r="Y49" s="1009">
        <f t="shared" si="44"/>
        <v>347426.51</v>
      </c>
      <c r="Z49" s="1009">
        <f t="shared" si="44"/>
        <v>344853.43</v>
      </c>
      <c r="AA49" s="1009">
        <f t="shared" si="44"/>
        <v>327113.30539687729</v>
      </c>
      <c r="AB49" s="1009">
        <f t="shared" si="44"/>
        <v>361661.01371841115</v>
      </c>
      <c r="AC49" s="1009">
        <f t="shared" si="44"/>
        <v>368297.17268472095</v>
      </c>
      <c r="AD49" s="1009">
        <f t="shared" si="44"/>
        <v>384568.0637962792</v>
      </c>
      <c r="AE49" s="1009">
        <f t="shared" si="44"/>
        <v>402403.67739602632</v>
      </c>
      <c r="AF49" s="1009">
        <f t="shared" si="44"/>
        <v>419266.03248027206</v>
      </c>
      <c r="AG49" s="1009">
        <f t="shared" si="44"/>
        <v>406994.05913946289</v>
      </c>
      <c r="AH49" s="1009">
        <f t="shared" si="44"/>
        <v>418283.36263331585</v>
      </c>
      <c r="AI49" s="1009">
        <f t="shared" ref="AI49:BN49" si="45">SUM(AI10+AI11+AI12+AI13+AI21)</f>
        <v>477884.03979929397</v>
      </c>
      <c r="AJ49" s="1009">
        <f t="shared" si="45"/>
        <v>496228.44001188641</v>
      </c>
      <c r="AK49" s="1009">
        <f t="shared" si="45"/>
        <v>472520.31286986533</v>
      </c>
      <c r="AL49" s="1009">
        <f t="shared" si="45"/>
        <v>670978.28765256028</v>
      </c>
      <c r="AM49" s="1009">
        <f t="shared" si="45"/>
        <v>525936.50328133046</v>
      </c>
      <c r="AN49" s="1009">
        <f t="shared" si="45"/>
        <v>565391.3892834601</v>
      </c>
      <c r="AO49" s="1009">
        <f t="shared" si="45"/>
        <v>572217.9210170249</v>
      </c>
      <c r="AP49" s="1009">
        <f t="shared" si="45"/>
        <v>590526.93521893665</v>
      </c>
      <c r="AQ49" s="1009">
        <f t="shared" si="45"/>
        <v>607788.88664268516</v>
      </c>
      <c r="AR49" s="1009">
        <f t="shared" si="45"/>
        <v>624763.91734804434</v>
      </c>
      <c r="AS49" s="1009">
        <f t="shared" si="45"/>
        <v>641745.87186614296</v>
      </c>
      <c r="AT49" s="1009">
        <f t="shared" si="45"/>
        <v>659024.50647597201</v>
      </c>
      <c r="AU49" s="1009">
        <f t="shared" si="45"/>
        <v>676567.76899867679</v>
      </c>
      <c r="AV49" s="1009">
        <f t="shared" si="45"/>
        <v>693527.51729793276</v>
      </c>
      <c r="AW49" s="1009">
        <f t="shared" si="45"/>
        <v>710458.18377611821</v>
      </c>
      <c r="AX49" s="1009">
        <f t="shared" si="45"/>
        <v>966734.94545910577</v>
      </c>
      <c r="AY49" s="1009">
        <f t="shared" si="45"/>
        <v>367032.550888723</v>
      </c>
      <c r="AZ49" s="1009">
        <f t="shared" si="45"/>
        <v>377012.32986378926</v>
      </c>
      <c r="BA49" s="1009">
        <f t="shared" si="45"/>
        <v>189006.57982696529</v>
      </c>
      <c r="BB49" s="1009">
        <f t="shared" si="45"/>
        <v>189026.29377005633</v>
      </c>
      <c r="BC49" s="1009">
        <f t="shared" si="45"/>
        <v>189041.19390256016</v>
      </c>
      <c r="BD49" s="1009">
        <f t="shared" si="45"/>
        <v>166398.95773554945</v>
      </c>
      <c r="BE49" s="1009">
        <f t="shared" si="45"/>
        <v>166404.19379476795</v>
      </c>
      <c r="BF49" s="1009">
        <f t="shared" si="45"/>
        <v>166404.98733664045</v>
      </c>
      <c r="BG49" s="1009">
        <f t="shared" si="45"/>
        <v>166403.5753349138</v>
      </c>
      <c r="BH49" s="1009">
        <f t="shared" si="45"/>
        <v>166401.90725997198</v>
      </c>
      <c r="BI49" s="1009">
        <f t="shared" si="45"/>
        <v>166401.15200359077</v>
      </c>
      <c r="BJ49" s="1009">
        <f t="shared" si="45"/>
        <v>412926.72075053176</v>
      </c>
      <c r="BK49" s="1009">
        <f t="shared" si="45"/>
        <v>166409.86424822651</v>
      </c>
      <c r="BL49" s="1009">
        <f t="shared" si="45"/>
        <v>170189.6363013373</v>
      </c>
      <c r="BM49" s="1009">
        <f t="shared" si="45"/>
        <v>170197.61776483097</v>
      </c>
      <c r="BN49" s="1009">
        <f t="shared" si="45"/>
        <v>170204.15613095276</v>
      </c>
      <c r="BO49" s="1009">
        <f t="shared" ref="BO49:BV49" si="46">SUM(BO10+BO11+BO12+BO13+BO21)</f>
        <v>170209.6052705406</v>
      </c>
      <c r="BP49" s="1009">
        <f t="shared" si="46"/>
        <v>170214.27513291594</v>
      </c>
      <c r="BQ49" s="1009">
        <f t="shared" si="46"/>
        <v>170218.52838014014</v>
      </c>
      <c r="BR49" s="1009">
        <f t="shared" si="46"/>
        <v>170222.7072154514</v>
      </c>
      <c r="BS49" s="1009">
        <f t="shared" si="46"/>
        <v>170227.17530940322</v>
      </c>
      <c r="BT49" s="1009">
        <f t="shared" si="46"/>
        <v>170232.14031016361</v>
      </c>
      <c r="BU49" s="1009">
        <f t="shared" si="46"/>
        <v>170237.66483826708</v>
      </c>
      <c r="BV49" s="1009">
        <f t="shared" si="46"/>
        <v>424162.32096671656</v>
      </c>
    </row>
    <row r="52" spans="2:74" ht="12.65" customHeight="1" x14ac:dyDescent="0.35">
      <c r="O52" s="41">
        <f>+O45-O46</f>
        <v>101076.48000000001</v>
      </c>
      <c r="P52" s="41">
        <f t="shared" ref="P52:S52" si="47">+P45-P46</f>
        <v>86769.51</v>
      </c>
      <c r="Q52" s="41">
        <f t="shared" si="47"/>
        <v>100866.6</v>
      </c>
      <c r="R52" s="41">
        <f t="shared" si="47"/>
        <v>116739.4</v>
      </c>
      <c r="S52" s="41">
        <f t="shared" si="47"/>
        <v>177781.7</v>
      </c>
      <c r="T52" s="41">
        <f>+T45-T46</f>
        <v>98905.97</v>
      </c>
      <c r="U52" s="41">
        <f>+U46+U45</f>
        <v>116305.54</v>
      </c>
    </row>
  </sheetData>
  <conditionalFormatting sqref="C6:BV7">
    <cfRule type="expression" dxfId="223" priority="71">
      <formula>C6="actual"</formula>
    </cfRule>
    <cfRule type="expression" dxfId="222" priority="79">
      <formula>C$6="Forecast"</formula>
    </cfRule>
  </conditionalFormatting>
  <conditionalFormatting sqref="Y17:BV18 Y21:BV22 Y14:BV14 Y11:BV11 AA8:BV9 Y25:BV35 Y13 AA13:BV13">
    <cfRule type="expression" dxfId="221" priority="76">
      <formula>Y$6="actual"</formula>
    </cfRule>
  </conditionalFormatting>
  <conditionalFormatting sqref="Y36:BV36">
    <cfRule type="expression" dxfId="220" priority="21">
      <formula>Y$6="actual"</formula>
    </cfRule>
  </conditionalFormatting>
  <conditionalFormatting sqref="Y37:BV37">
    <cfRule type="expression" dxfId="219" priority="9">
      <formula>Y$6="actual"</formula>
    </cfRule>
  </conditionalFormatting>
  <conditionalFormatting sqref="Y8:Z9">
    <cfRule type="expression" dxfId="218" priority="2">
      <formula>Y$6="actual"</formula>
    </cfRule>
  </conditionalFormatting>
  <conditionalFormatting sqref="Z13">
    <cfRule type="expression" dxfId="217" priority="1">
      <formula>Z$6="actual"</formula>
    </cfRule>
  </conditionalFormatting>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4">
    <tabColor rgb="FFFF0000"/>
  </sheetPr>
  <dimension ref="A1:XFD126"/>
  <sheetViews>
    <sheetView zoomScale="80" zoomScaleNormal="80" workbookViewId="0">
      <pane xSplit="7" ySplit="4" topLeftCell="H103" activePane="bottomRight" state="frozen"/>
      <selection activeCell="D8" sqref="D8"/>
      <selection pane="topRight" activeCell="D8" sqref="D8"/>
      <selection pane="bottomLeft" activeCell="D8" sqref="D8"/>
      <selection pane="bottomRight" activeCell="K131" sqref="K131"/>
    </sheetView>
  </sheetViews>
  <sheetFormatPr defaultColWidth="14.7265625" defaultRowHeight="14.5" outlineLevelCol="1" x14ac:dyDescent="0.35"/>
  <cols>
    <col min="1" max="1" width="3.453125" style="904" customWidth="1"/>
    <col min="2" max="4" width="3" style="943" customWidth="1"/>
    <col min="5" max="6" width="3" style="979" customWidth="1"/>
    <col min="7" max="7" width="43.54296875" style="979" customWidth="1"/>
    <col min="8" max="9" width="14.26953125" style="908" customWidth="1"/>
    <col min="10" max="10" width="14.26953125" style="908" customWidth="1" outlineLevel="1"/>
    <col min="11" max="12" width="14.81640625" style="908" customWidth="1" outlineLevel="1"/>
    <col min="13" max="13" width="15.7265625" style="908" customWidth="1" outlineLevel="1"/>
    <col min="14" max="15" width="15.453125" style="908" customWidth="1" outlineLevel="1"/>
    <col min="16" max="17" width="15.7265625" style="908" customWidth="1" outlineLevel="1"/>
    <col min="18" max="20" width="14.7265625" style="908" customWidth="1" outlineLevel="1"/>
    <col min="21" max="21" width="16.1796875" style="908" customWidth="1"/>
    <col min="22" max="22" width="15.81640625" style="908" customWidth="1"/>
    <col min="23" max="25" width="15.54296875" style="908" bestFit="1" customWidth="1"/>
    <col min="26" max="26" width="18.26953125" style="908" bestFit="1" customWidth="1"/>
    <col min="27" max="27" width="14.7265625" style="908"/>
    <col min="28" max="31" width="15.54296875" style="908" bestFit="1" customWidth="1"/>
    <col min="32" max="81" width="14.7265625" style="908"/>
    <col min="82" max="16384" width="14.7265625" style="977"/>
  </cols>
  <sheetData>
    <row r="1" spans="1:81 16384:16384" s="169" customFormat="1" x14ac:dyDescent="0.35">
      <c r="A1" s="574"/>
      <c r="B1" s="209"/>
      <c r="C1" s="209"/>
      <c r="D1" s="209"/>
      <c r="E1" s="209"/>
      <c r="F1" s="209"/>
      <c r="G1" s="209"/>
      <c r="H1" s="41"/>
      <c r="I1" s="41"/>
      <c r="J1" s="41"/>
      <c r="K1" s="41"/>
      <c r="L1" s="41"/>
      <c r="M1" s="41"/>
      <c r="N1" s="41"/>
      <c r="O1" s="41"/>
      <c r="P1" s="41"/>
      <c r="Q1" s="41"/>
      <c r="R1" s="41"/>
      <c r="S1" s="41"/>
      <c r="T1" s="41"/>
      <c r="U1" s="41"/>
      <c r="V1" s="41"/>
      <c r="W1" s="41"/>
      <c r="X1" s="41"/>
      <c r="Y1" s="41"/>
      <c r="Z1" s="41"/>
      <c r="AA1" s="41"/>
      <c r="AB1" s="41"/>
      <c r="AC1" s="41"/>
      <c r="AD1" s="41"/>
      <c r="AE1" s="41"/>
      <c r="AF1" s="41"/>
      <c r="AG1" s="41"/>
      <c r="AH1" s="41"/>
      <c r="AI1" s="41"/>
      <c r="AJ1" s="41"/>
      <c r="AK1" s="41"/>
      <c r="AL1" s="41"/>
      <c r="AM1" s="41"/>
      <c r="AN1" s="41"/>
      <c r="AO1" s="41"/>
      <c r="AP1" s="41"/>
      <c r="AQ1" s="41"/>
      <c r="AR1" s="41"/>
      <c r="AS1" s="41"/>
      <c r="AT1" s="41"/>
      <c r="AU1" s="41"/>
      <c r="AV1" s="41"/>
      <c r="AW1" s="41"/>
      <c r="AX1" s="41"/>
      <c r="AY1" s="41"/>
      <c r="AZ1" s="41"/>
      <c r="BA1" s="41"/>
      <c r="BB1" s="41"/>
      <c r="BC1" s="41"/>
      <c r="BD1" s="41"/>
      <c r="BE1" s="41"/>
      <c r="BF1" s="41"/>
      <c r="BG1" s="41"/>
      <c r="BH1" s="41"/>
      <c r="BI1" s="41"/>
      <c r="BJ1" s="41"/>
      <c r="BK1" s="41"/>
      <c r="BL1" s="41"/>
      <c r="BM1" s="41"/>
      <c r="BN1" s="41"/>
      <c r="BO1" s="41"/>
      <c r="BP1" s="41"/>
      <c r="BQ1" s="41"/>
      <c r="BR1" s="41"/>
      <c r="BS1" s="41"/>
      <c r="BT1" s="41"/>
      <c r="BU1" s="41"/>
      <c r="BV1" s="41"/>
      <c r="BW1" s="41"/>
      <c r="BX1" s="41"/>
      <c r="BY1" s="41"/>
      <c r="BZ1" s="41"/>
      <c r="CA1" s="41"/>
      <c r="CB1" s="41"/>
      <c r="CC1" s="41"/>
    </row>
    <row r="2" spans="1:81 16384:16384" s="169" customFormat="1" x14ac:dyDescent="0.35">
      <c r="A2" s="574"/>
      <c r="B2" s="926" t="s">
        <v>1119</v>
      </c>
      <c r="C2" s="209"/>
      <c r="D2" s="209"/>
      <c r="E2" s="209"/>
      <c r="F2" s="209"/>
      <c r="G2" s="209"/>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row>
    <row r="3" spans="1:81 16384:16384" s="169" customFormat="1" x14ac:dyDescent="0.35">
      <c r="A3" s="574"/>
      <c r="B3" s="210"/>
      <c r="C3" s="210"/>
      <c r="D3" s="210"/>
      <c r="E3" s="210"/>
      <c r="F3" s="210"/>
      <c r="G3" s="1022" t="s">
        <v>931</v>
      </c>
      <c r="H3" s="885">
        <v>40513</v>
      </c>
      <c r="I3" s="885">
        <v>40878</v>
      </c>
      <c r="J3" s="885">
        <f>'Cost Summary'!C3</f>
        <v>40909</v>
      </c>
      <c r="K3" s="885">
        <f>'Cost Summary'!D3</f>
        <v>40942</v>
      </c>
      <c r="L3" s="885">
        <f>'Cost Summary'!E3</f>
        <v>40975</v>
      </c>
      <c r="M3" s="885">
        <f>'Cost Summary'!F3</f>
        <v>41008</v>
      </c>
      <c r="N3" s="885">
        <f>'Cost Summary'!G3</f>
        <v>41041</v>
      </c>
      <c r="O3" s="885">
        <f>'Cost Summary'!H3</f>
        <v>41074</v>
      </c>
      <c r="P3" s="885">
        <f>'Cost Summary'!I3</f>
        <v>41107</v>
      </c>
      <c r="Q3" s="885">
        <f>'Cost Summary'!J3</f>
        <v>41140</v>
      </c>
      <c r="R3" s="885">
        <f>'Cost Summary'!K3</f>
        <v>41173</v>
      </c>
      <c r="S3" s="885">
        <f>'Cost Summary'!L3</f>
        <v>41206</v>
      </c>
      <c r="T3" s="885">
        <f>'Cost Summary'!M3</f>
        <v>41239</v>
      </c>
      <c r="U3" s="885">
        <f>'Cost Summary'!N3</f>
        <v>41272</v>
      </c>
      <c r="V3" s="885">
        <f>'Cost Summary'!O3</f>
        <v>41282</v>
      </c>
      <c r="W3" s="885">
        <f>'Cost Summary'!P3</f>
        <v>41312</v>
      </c>
      <c r="X3" s="885">
        <f>'Cost Summary'!Q3</f>
        <v>41342</v>
      </c>
      <c r="Y3" s="885">
        <f>'Cost Summary'!R3</f>
        <v>41372</v>
      </c>
      <c r="Z3" s="885">
        <f>'Cost Summary'!S3</f>
        <v>41402</v>
      </c>
      <c r="AA3" s="885">
        <f>'Cost Summary'!T3</f>
        <v>41432</v>
      </c>
      <c r="AB3" s="885">
        <f>'Cost Summary'!U3</f>
        <v>41462</v>
      </c>
      <c r="AC3" s="885">
        <f>'Cost Summary'!V3</f>
        <v>41492</v>
      </c>
      <c r="AD3" s="885">
        <f>'Cost Summary'!W3</f>
        <v>41522</v>
      </c>
      <c r="AE3" s="885">
        <f>'Cost Summary'!X3</f>
        <v>41552</v>
      </c>
      <c r="AF3" s="885">
        <f>'Cost Summary'!Y3</f>
        <v>41582</v>
      </c>
      <c r="AG3" s="885">
        <f>'Cost Summary'!Z3</f>
        <v>41612</v>
      </c>
      <c r="AH3" s="885">
        <f>'Cost Summary'!AA3</f>
        <v>41642</v>
      </c>
      <c r="AI3" s="885">
        <f>'Cost Summary'!AB3</f>
        <v>41675</v>
      </c>
      <c r="AJ3" s="885">
        <f>'Cost Summary'!AC3</f>
        <v>41708</v>
      </c>
      <c r="AK3" s="885">
        <f>'Cost Summary'!AD3</f>
        <v>41741</v>
      </c>
      <c r="AL3" s="885">
        <f>'Cost Summary'!AE3</f>
        <v>41774</v>
      </c>
      <c r="AM3" s="885">
        <f>'Cost Summary'!AF3</f>
        <v>41807</v>
      </c>
      <c r="AN3" s="885">
        <f>'Cost Summary'!AG3</f>
        <v>41840</v>
      </c>
      <c r="AO3" s="885">
        <f>'Cost Summary'!AH3</f>
        <v>41873</v>
      </c>
      <c r="AP3" s="885">
        <f>'Cost Summary'!AI3</f>
        <v>41906</v>
      </c>
      <c r="AQ3" s="885">
        <f>'Cost Summary'!AJ3</f>
        <v>41939</v>
      </c>
      <c r="AR3" s="885">
        <f>'Cost Summary'!AK3</f>
        <v>41972</v>
      </c>
      <c r="AS3" s="885">
        <f>'Cost Summary'!AL3</f>
        <v>41982</v>
      </c>
      <c r="AT3" s="885">
        <f>'Cost Summary'!AM3</f>
        <v>42012</v>
      </c>
      <c r="AU3" s="885">
        <f>'Cost Summary'!AN3</f>
        <v>42042</v>
      </c>
      <c r="AV3" s="885">
        <f>'Cost Summary'!AO3</f>
        <v>42072</v>
      </c>
      <c r="AW3" s="885">
        <f>'Cost Summary'!AP3</f>
        <v>42102</v>
      </c>
      <c r="AX3" s="885">
        <f>'Cost Summary'!AQ3</f>
        <v>42132</v>
      </c>
      <c r="AY3" s="885">
        <f>'Cost Summary'!AR3</f>
        <v>42162</v>
      </c>
      <c r="AZ3" s="885">
        <f>'Cost Summary'!AS3</f>
        <v>42192</v>
      </c>
      <c r="BA3" s="885">
        <f>'Cost Summary'!AT3</f>
        <v>42222</v>
      </c>
      <c r="BB3" s="885">
        <f>'Cost Summary'!AU3</f>
        <v>42252</v>
      </c>
      <c r="BC3" s="885">
        <f>'Cost Summary'!AV3</f>
        <v>42282</v>
      </c>
      <c r="BD3" s="885">
        <f>'Cost Summary'!AW3</f>
        <v>42312</v>
      </c>
      <c r="BE3" s="885">
        <f>'Cost Summary'!AX3</f>
        <v>42342</v>
      </c>
      <c r="BF3" s="885">
        <f>'Cost Summary'!AY3</f>
        <v>42372</v>
      </c>
      <c r="BG3" s="885">
        <v>42403</v>
      </c>
      <c r="BH3" s="885">
        <v>42432</v>
      </c>
      <c r="BI3" s="885">
        <v>42463</v>
      </c>
      <c r="BJ3" s="885">
        <v>42493</v>
      </c>
      <c r="BK3" s="885">
        <v>42524</v>
      </c>
      <c r="BL3" s="885">
        <v>42554</v>
      </c>
      <c r="BM3" s="885">
        <v>42585</v>
      </c>
      <c r="BN3" s="885">
        <v>42616</v>
      </c>
      <c r="BO3" s="885">
        <v>42646</v>
      </c>
      <c r="BP3" s="885">
        <v>42677</v>
      </c>
      <c r="BQ3" s="885">
        <v>42707</v>
      </c>
      <c r="BR3" s="885">
        <v>42738</v>
      </c>
      <c r="BS3" s="885">
        <v>42769</v>
      </c>
      <c r="BT3" s="885">
        <v>42797</v>
      </c>
      <c r="BU3" s="885">
        <v>42828</v>
      </c>
      <c r="BV3" s="885">
        <v>42858</v>
      </c>
      <c r="BW3" s="885">
        <v>42889</v>
      </c>
      <c r="BX3" s="885">
        <v>42919</v>
      </c>
      <c r="BY3" s="885">
        <v>42950</v>
      </c>
      <c r="BZ3" s="885">
        <v>42981</v>
      </c>
      <c r="CA3" s="885">
        <v>43011</v>
      </c>
      <c r="CB3" s="885">
        <v>43042</v>
      </c>
      <c r="CC3" s="885">
        <v>43072</v>
      </c>
    </row>
    <row r="4" spans="1:81 16384:16384" s="169" customFormat="1" x14ac:dyDescent="0.35">
      <c r="A4" s="574"/>
      <c r="B4" s="210"/>
      <c r="C4" s="210"/>
      <c r="D4" s="210"/>
      <c r="E4" s="210"/>
      <c r="F4" s="210"/>
      <c r="G4" s="1021" t="s">
        <v>1114</v>
      </c>
      <c r="H4" s="964" t="s">
        <v>6</v>
      </c>
      <c r="I4" s="964" t="s">
        <v>6</v>
      </c>
      <c r="J4" s="964" t="s">
        <v>6</v>
      </c>
      <c r="K4" s="964" t="s">
        <v>6</v>
      </c>
      <c r="L4" s="964" t="s">
        <v>6</v>
      </c>
      <c r="M4" s="964" t="s">
        <v>6</v>
      </c>
      <c r="N4" s="964" t="s">
        <v>6</v>
      </c>
      <c r="O4" s="964" t="s">
        <v>6</v>
      </c>
      <c r="P4" s="964" t="s">
        <v>6</v>
      </c>
      <c r="Q4" s="964" t="s">
        <v>6</v>
      </c>
      <c r="R4" s="232" t="s">
        <v>6</v>
      </c>
      <c r="S4" s="232" t="s">
        <v>6</v>
      </c>
      <c r="T4" s="232" t="s">
        <v>6</v>
      </c>
      <c r="U4" s="232" t="s">
        <v>6</v>
      </c>
      <c r="V4" s="232" t="s">
        <v>6</v>
      </c>
      <c r="W4" s="232" t="s">
        <v>6</v>
      </c>
      <c r="X4" s="232" t="s">
        <v>6</v>
      </c>
      <c r="Y4" s="232" t="s">
        <v>6</v>
      </c>
      <c r="Z4" s="232" t="s">
        <v>6</v>
      </c>
      <c r="AA4" s="232" t="s">
        <v>6</v>
      </c>
      <c r="AB4" s="232" t="s">
        <v>6</v>
      </c>
      <c r="AC4" s="232" t="s">
        <v>6</v>
      </c>
      <c r="AD4" s="232" t="s">
        <v>6</v>
      </c>
      <c r="AE4" s="232" t="s">
        <v>6</v>
      </c>
      <c r="AF4" s="232" t="s">
        <v>6</v>
      </c>
      <c r="AG4" s="232" t="s">
        <v>6</v>
      </c>
      <c r="AH4" s="232" t="s">
        <v>7</v>
      </c>
      <c r="AI4" s="232" t="s">
        <v>7</v>
      </c>
      <c r="AJ4" s="232" t="s">
        <v>7</v>
      </c>
      <c r="AK4" s="232" t="s">
        <v>7</v>
      </c>
      <c r="AL4" s="232" t="s">
        <v>7</v>
      </c>
      <c r="AM4" s="232" t="s">
        <v>7</v>
      </c>
      <c r="AN4" s="232" t="s">
        <v>7</v>
      </c>
      <c r="AO4" s="232" t="s">
        <v>7</v>
      </c>
      <c r="AP4" s="232" t="s">
        <v>7</v>
      </c>
      <c r="AQ4" s="232" t="s">
        <v>7</v>
      </c>
      <c r="AR4" s="232" t="s">
        <v>7</v>
      </c>
      <c r="AS4" s="232" t="s">
        <v>7</v>
      </c>
      <c r="AT4" s="232" t="s">
        <v>7</v>
      </c>
      <c r="AU4" s="232" t="s">
        <v>7</v>
      </c>
      <c r="AV4" s="232" t="s">
        <v>7</v>
      </c>
      <c r="AW4" s="232" t="s">
        <v>7</v>
      </c>
      <c r="AX4" s="232" t="s">
        <v>7</v>
      </c>
      <c r="AY4" s="232" t="s">
        <v>7</v>
      </c>
      <c r="AZ4" s="232" t="s">
        <v>7</v>
      </c>
      <c r="BA4" s="232" t="s">
        <v>7</v>
      </c>
      <c r="BB4" s="232" t="s">
        <v>7</v>
      </c>
      <c r="BC4" s="232" t="s">
        <v>7</v>
      </c>
      <c r="BD4" s="232" t="s">
        <v>7</v>
      </c>
      <c r="BE4" s="232" t="s">
        <v>7</v>
      </c>
      <c r="BF4" s="232" t="s">
        <v>7</v>
      </c>
      <c r="BG4" s="232" t="s">
        <v>7</v>
      </c>
      <c r="BH4" s="232" t="s">
        <v>7</v>
      </c>
      <c r="BI4" s="232" t="s">
        <v>7</v>
      </c>
      <c r="BJ4" s="232" t="s">
        <v>7</v>
      </c>
      <c r="BK4" s="232" t="s">
        <v>7</v>
      </c>
      <c r="BL4" s="232" t="s">
        <v>7</v>
      </c>
      <c r="BM4" s="232" t="s">
        <v>7</v>
      </c>
      <c r="BN4" s="232" t="s">
        <v>7</v>
      </c>
      <c r="BO4" s="232" t="s">
        <v>7</v>
      </c>
      <c r="BP4" s="232" t="s">
        <v>7</v>
      </c>
      <c r="BQ4" s="232" t="s">
        <v>7</v>
      </c>
      <c r="BR4" s="232" t="s">
        <v>7</v>
      </c>
      <c r="BS4" s="232" t="s">
        <v>7</v>
      </c>
      <c r="BT4" s="232" t="s">
        <v>7</v>
      </c>
      <c r="BU4" s="232" t="s">
        <v>7</v>
      </c>
      <c r="BV4" s="232" t="s">
        <v>7</v>
      </c>
      <c r="BW4" s="232" t="s">
        <v>7</v>
      </c>
      <c r="BX4" s="232" t="s">
        <v>7</v>
      </c>
      <c r="BY4" s="232" t="s">
        <v>7</v>
      </c>
      <c r="BZ4" s="232" t="s">
        <v>7</v>
      </c>
      <c r="CA4" s="232" t="s">
        <v>7</v>
      </c>
      <c r="CB4" s="232" t="s">
        <v>7</v>
      </c>
      <c r="CC4" s="232" t="s">
        <v>7</v>
      </c>
    </row>
    <row r="5" spans="1:81 16384:16384" s="169" customFormat="1" x14ac:dyDescent="0.35">
      <c r="A5" s="574"/>
      <c r="B5" s="210"/>
      <c r="C5" s="210"/>
      <c r="D5" s="210"/>
      <c r="E5" s="210"/>
      <c r="F5" s="210"/>
      <c r="G5" s="575"/>
      <c r="H5" s="41"/>
      <c r="I5" s="41"/>
      <c r="J5" s="41"/>
      <c r="K5" s="41"/>
      <c r="L5" s="41"/>
      <c r="M5" s="41"/>
      <c r="N5" s="41"/>
      <c r="O5" s="41"/>
      <c r="P5" s="41"/>
      <c r="Q5" s="41"/>
      <c r="R5" s="41"/>
      <c r="S5" s="41"/>
      <c r="T5" s="41"/>
      <c r="U5" s="41"/>
      <c r="V5" s="41"/>
      <c r="W5" s="41"/>
      <c r="X5" s="41"/>
      <c r="Y5" s="41"/>
      <c r="Z5" s="41"/>
      <c r="AA5" s="41"/>
      <c r="AB5" s="41"/>
      <c r="AC5" s="41"/>
      <c r="AD5" s="41"/>
      <c r="AE5" s="41"/>
      <c r="AF5" s="41"/>
      <c r="AG5" s="41"/>
      <c r="AH5" s="41"/>
      <c r="AI5" s="41"/>
      <c r="AJ5" s="41"/>
      <c r="AK5" s="41"/>
      <c r="AL5" s="41"/>
      <c r="AM5" s="41"/>
      <c r="AN5" s="41"/>
      <c r="AO5" s="41"/>
      <c r="AP5" s="41"/>
      <c r="AQ5" s="41"/>
      <c r="AR5" s="41"/>
      <c r="AS5" s="41"/>
      <c r="AT5" s="41"/>
      <c r="AU5" s="41"/>
      <c r="AV5" s="41"/>
      <c r="AW5" s="41"/>
      <c r="AX5" s="41"/>
      <c r="AY5" s="41"/>
      <c r="AZ5" s="41"/>
      <c r="BA5" s="41"/>
      <c r="BB5" s="41"/>
      <c r="BC5" s="41"/>
      <c r="BD5" s="41"/>
      <c r="BE5" s="41"/>
      <c r="BF5" s="41"/>
      <c r="BG5" s="41"/>
      <c r="BH5" s="41"/>
      <c r="BI5" s="41"/>
      <c r="BJ5" s="41"/>
      <c r="BK5" s="41"/>
      <c r="BL5" s="41"/>
      <c r="BM5" s="41"/>
      <c r="BN5" s="41"/>
      <c r="BO5" s="41"/>
      <c r="BP5" s="41"/>
      <c r="BQ5" s="41"/>
      <c r="BR5" s="41"/>
      <c r="BS5" s="41"/>
      <c r="BT5" s="41"/>
      <c r="BU5" s="41"/>
      <c r="BV5" s="41"/>
      <c r="BW5" s="41"/>
      <c r="BX5" s="41"/>
      <c r="BY5" s="41"/>
      <c r="BZ5" s="41"/>
      <c r="CA5" s="41"/>
      <c r="CB5" s="41"/>
      <c r="CC5" s="41"/>
    </row>
    <row r="6" spans="1:81 16384:16384" s="975" customFormat="1" x14ac:dyDescent="0.35">
      <c r="A6" s="911"/>
      <c r="B6" s="926" t="s">
        <v>1077</v>
      </c>
      <c r="C6" s="927"/>
      <c r="D6" s="927"/>
      <c r="E6" s="927"/>
      <c r="F6" s="927"/>
      <c r="G6" s="1021"/>
      <c r="H6" s="911"/>
      <c r="I6" s="911"/>
      <c r="J6" s="911"/>
      <c r="K6" s="911"/>
      <c r="L6" s="911"/>
      <c r="M6" s="911"/>
      <c r="N6" s="911"/>
      <c r="O6" s="911"/>
      <c r="P6" s="911"/>
      <c r="Q6" s="911"/>
      <c r="R6" s="911"/>
      <c r="S6" s="911"/>
      <c r="T6" s="911"/>
      <c r="U6" s="911"/>
      <c r="V6" s="911"/>
      <c r="W6" s="911"/>
      <c r="X6" s="911"/>
      <c r="Y6" s="911"/>
      <c r="Z6" s="911"/>
      <c r="AA6" s="911"/>
      <c r="AB6" s="911"/>
      <c r="AC6" s="911"/>
      <c r="AD6" s="911"/>
      <c r="AE6" s="911"/>
      <c r="AF6" s="911"/>
      <c r="AG6" s="911"/>
      <c r="AH6" s="911"/>
      <c r="AI6" s="911"/>
      <c r="AJ6" s="911"/>
      <c r="AK6" s="911"/>
      <c r="AL6" s="911"/>
      <c r="AM6" s="911"/>
      <c r="AN6" s="911"/>
      <c r="AO6" s="911"/>
      <c r="AP6" s="911"/>
      <c r="AQ6" s="911"/>
      <c r="AR6" s="911"/>
      <c r="AS6" s="911"/>
      <c r="AT6" s="911"/>
      <c r="AU6" s="911"/>
      <c r="AV6" s="911"/>
      <c r="AW6" s="911"/>
      <c r="AX6" s="911"/>
      <c r="AY6" s="911"/>
      <c r="AZ6" s="911"/>
      <c r="BA6" s="911"/>
      <c r="BB6" s="911"/>
      <c r="BC6" s="911"/>
      <c r="BD6" s="911"/>
      <c r="BE6" s="911"/>
      <c r="BF6" s="911"/>
      <c r="BG6" s="911"/>
      <c r="BH6" s="911"/>
      <c r="BI6" s="911"/>
      <c r="BJ6" s="911"/>
      <c r="BK6" s="911"/>
      <c r="BL6" s="911"/>
      <c r="BM6" s="911"/>
      <c r="BN6" s="911"/>
      <c r="BO6" s="911"/>
      <c r="BP6" s="911"/>
      <c r="BQ6" s="911"/>
      <c r="BR6" s="911"/>
      <c r="BS6" s="911"/>
      <c r="BT6" s="911"/>
      <c r="BU6" s="911"/>
      <c r="BV6" s="911"/>
      <c r="BW6" s="911"/>
      <c r="BX6" s="911"/>
      <c r="BY6" s="911"/>
      <c r="BZ6" s="911"/>
      <c r="CA6" s="911"/>
      <c r="CB6" s="911"/>
      <c r="CC6" s="911"/>
    </row>
    <row r="7" spans="1:81 16384:16384" s="975" customFormat="1" x14ac:dyDescent="0.35">
      <c r="A7" s="911"/>
      <c r="B7" s="927"/>
      <c r="C7" s="928" t="s">
        <v>90</v>
      </c>
      <c r="D7" s="928"/>
      <c r="E7" s="928"/>
      <c r="F7" s="928"/>
      <c r="G7" s="928"/>
      <c r="H7" s="924"/>
      <c r="I7" s="924"/>
      <c r="J7" s="924"/>
      <c r="K7" s="924"/>
      <c r="L7" s="924"/>
      <c r="M7" s="924"/>
      <c r="N7" s="924"/>
      <c r="O7" s="924"/>
      <c r="P7" s="924"/>
      <c r="Q7" s="924"/>
      <c r="R7" s="924"/>
      <c r="S7" s="924"/>
      <c r="T7" s="924"/>
      <c r="U7" s="924"/>
      <c r="V7" s="924"/>
      <c r="W7" s="924"/>
      <c r="X7" s="924"/>
      <c r="Y7" s="924"/>
      <c r="Z7" s="924"/>
      <c r="AA7" s="924"/>
      <c r="AB7" s="924"/>
      <c r="AC7" s="924"/>
      <c r="AD7" s="924"/>
      <c r="AE7" s="924"/>
      <c r="AF7" s="924"/>
      <c r="AG7" s="924"/>
      <c r="AH7" s="924"/>
      <c r="AI7" s="924"/>
      <c r="AJ7" s="924"/>
      <c r="AK7" s="924"/>
      <c r="AL7" s="924"/>
      <c r="AM7" s="924"/>
      <c r="AN7" s="924"/>
      <c r="AO7" s="924"/>
      <c r="AP7" s="924"/>
      <c r="AQ7" s="924"/>
      <c r="AR7" s="924"/>
      <c r="AS7" s="924"/>
      <c r="AT7" s="924"/>
      <c r="AU7" s="924"/>
      <c r="AV7" s="924"/>
      <c r="AW7" s="924"/>
      <c r="AX7" s="924"/>
      <c r="AY7" s="924"/>
      <c r="AZ7" s="924"/>
      <c r="BA7" s="924"/>
      <c r="BB7" s="924"/>
      <c r="BC7" s="924"/>
      <c r="BD7" s="924"/>
      <c r="BE7" s="924"/>
      <c r="BF7" s="924"/>
      <c r="BG7" s="924"/>
      <c r="BH7" s="924"/>
      <c r="BI7" s="924"/>
      <c r="BJ7" s="924"/>
      <c r="BK7" s="924"/>
      <c r="BL7" s="924"/>
      <c r="BM7" s="924"/>
      <c r="BN7" s="924"/>
      <c r="BO7" s="924"/>
      <c r="BP7" s="924"/>
      <c r="BQ7" s="924"/>
      <c r="BR7" s="924"/>
      <c r="BS7" s="924"/>
      <c r="BT7" s="924"/>
      <c r="BU7" s="924"/>
      <c r="BV7" s="924"/>
      <c r="BW7" s="924"/>
      <c r="BX7" s="924"/>
      <c r="BY7" s="924"/>
      <c r="BZ7" s="924"/>
      <c r="CA7" s="924"/>
      <c r="CB7" s="924"/>
      <c r="CC7" s="924"/>
    </row>
    <row r="8" spans="1:81 16384:16384" s="975" customFormat="1" x14ac:dyDescent="0.35">
      <c r="A8" s="911"/>
      <c r="B8" s="927"/>
      <c r="C8" s="927"/>
      <c r="D8" s="929" t="s">
        <v>151</v>
      </c>
      <c r="E8" s="929"/>
      <c r="F8" s="929"/>
      <c r="G8" s="929"/>
      <c r="H8" s="925"/>
      <c r="I8" s="925"/>
      <c r="J8" s="925"/>
      <c r="K8" s="925"/>
      <c r="L8" s="925"/>
      <c r="M8" s="925"/>
      <c r="N8" s="925"/>
      <c r="O8" s="925"/>
      <c r="P8" s="925"/>
      <c r="Q8" s="925"/>
      <c r="R8" s="925"/>
      <c r="S8" s="925"/>
      <c r="T8" s="925"/>
      <c r="U8" s="925"/>
      <c r="V8" s="925"/>
      <c r="W8" s="925"/>
      <c r="X8" s="925"/>
      <c r="Y8" s="925"/>
      <c r="Z8" s="925"/>
      <c r="AA8" s="925"/>
      <c r="AB8" s="925"/>
      <c r="AC8" s="925"/>
      <c r="AD8" s="925"/>
      <c r="AE8" s="925"/>
      <c r="AF8" s="925"/>
      <c r="AG8" s="925"/>
      <c r="AH8" s="925"/>
      <c r="AI8" s="925"/>
      <c r="AJ8" s="925"/>
      <c r="AK8" s="925"/>
      <c r="AL8" s="925"/>
      <c r="AM8" s="925"/>
      <c r="AN8" s="925"/>
      <c r="AO8" s="925"/>
      <c r="AP8" s="925"/>
      <c r="AQ8" s="925"/>
      <c r="AR8" s="925"/>
      <c r="AS8" s="925"/>
      <c r="AT8" s="925"/>
      <c r="AU8" s="925"/>
      <c r="AV8" s="925"/>
      <c r="AW8" s="925"/>
      <c r="AX8" s="925"/>
      <c r="AY8" s="925"/>
      <c r="AZ8" s="925"/>
      <c r="BA8" s="925"/>
      <c r="BB8" s="925"/>
      <c r="BC8" s="925"/>
      <c r="BD8" s="925"/>
      <c r="BE8" s="925"/>
      <c r="BF8" s="925"/>
      <c r="BG8" s="925"/>
      <c r="BH8" s="925"/>
      <c r="BI8" s="925"/>
      <c r="BJ8" s="925"/>
      <c r="BK8" s="925"/>
      <c r="BL8" s="925"/>
      <c r="BM8" s="925"/>
      <c r="BN8" s="925"/>
      <c r="BO8" s="925"/>
      <c r="BP8" s="925"/>
      <c r="BQ8" s="925"/>
      <c r="BR8" s="925"/>
      <c r="BS8" s="925"/>
      <c r="BT8" s="925"/>
      <c r="BU8" s="925"/>
      <c r="BV8" s="925"/>
      <c r="BW8" s="925"/>
      <c r="BX8" s="925"/>
      <c r="BY8" s="925"/>
      <c r="BZ8" s="925"/>
      <c r="CA8" s="925"/>
      <c r="CB8" s="925"/>
      <c r="CC8" s="925"/>
    </row>
    <row r="9" spans="1:81 16384:16384" s="974" customFormat="1" x14ac:dyDescent="0.35">
      <c r="A9" s="574"/>
      <c r="B9" s="930"/>
      <c r="C9" s="930"/>
      <c r="D9" s="930"/>
      <c r="E9" s="993" t="s">
        <v>724</v>
      </c>
      <c r="F9" s="993"/>
      <c r="G9" s="993"/>
      <c r="H9" s="950"/>
      <c r="I9" s="950"/>
      <c r="J9" s="950"/>
      <c r="K9" s="950"/>
      <c r="L9" s="950"/>
      <c r="M9" s="950"/>
      <c r="N9" s="950"/>
      <c r="O9" s="950"/>
      <c r="P9" s="950"/>
      <c r="Q9" s="951"/>
      <c r="R9" s="951"/>
      <c r="S9" s="951"/>
      <c r="T9" s="951"/>
      <c r="U9" s="951"/>
      <c r="V9" s="950">
        <v>0</v>
      </c>
      <c r="W9" s="950">
        <v>0</v>
      </c>
      <c r="X9" s="950">
        <v>0</v>
      </c>
      <c r="Y9" s="950">
        <v>980.88</v>
      </c>
      <c r="Z9" s="950">
        <v>2633.86</v>
      </c>
      <c r="AA9" s="950">
        <v>3548.55</v>
      </c>
      <c r="AB9" s="950">
        <v>4180.67</v>
      </c>
      <c r="AC9" s="950">
        <v>3969.41</v>
      </c>
      <c r="AD9" s="950">
        <v>4170.75</v>
      </c>
      <c r="AE9" s="951">
        <v>4170.75</v>
      </c>
      <c r="AF9" s="951">
        <v>4170.75</v>
      </c>
      <c r="AG9" s="951">
        <v>4170.75</v>
      </c>
      <c r="AH9" s="41"/>
      <c r="AI9" s="41"/>
      <c r="AJ9" s="41"/>
      <c r="AK9" s="41"/>
      <c r="AL9" s="41"/>
      <c r="AM9" s="41"/>
      <c r="AN9" s="41"/>
      <c r="AO9" s="41"/>
      <c r="AP9" s="41"/>
      <c r="AQ9" s="41"/>
      <c r="AR9" s="41"/>
      <c r="AS9" s="41"/>
      <c r="AT9" s="41"/>
      <c r="AU9" s="41"/>
      <c r="AV9" s="41"/>
      <c r="AW9" s="41"/>
      <c r="AX9" s="41"/>
      <c r="AY9" s="41"/>
      <c r="AZ9" s="41"/>
      <c r="BA9" s="41"/>
      <c r="BB9" s="41"/>
      <c r="BC9" s="41"/>
      <c r="BD9" s="41"/>
      <c r="BE9" s="41"/>
      <c r="BF9" s="41"/>
      <c r="BG9" s="41"/>
      <c r="BH9" s="41"/>
      <c r="BI9" s="41"/>
      <c r="BJ9" s="41"/>
      <c r="BK9" s="41"/>
      <c r="BL9" s="41"/>
      <c r="BM9" s="41"/>
      <c r="BN9" s="41"/>
      <c r="BO9" s="41"/>
      <c r="BP9" s="41"/>
      <c r="BQ9" s="41"/>
      <c r="BR9" s="41"/>
      <c r="BS9" s="41"/>
      <c r="BT9" s="41"/>
      <c r="BU9" s="41"/>
      <c r="BV9" s="41"/>
      <c r="BW9" s="41"/>
      <c r="BX9" s="41"/>
      <c r="BY9" s="41"/>
      <c r="BZ9" s="41"/>
      <c r="CA9" s="41"/>
      <c r="CB9" s="41"/>
      <c r="CC9" s="41"/>
    </row>
    <row r="10" spans="1:81 16384:16384" s="974" customFormat="1" x14ac:dyDescent="0.35">
      <c r="A10" s="574"/>
      <c r="B10" s="930"/>
      <c r="C10" s="930"/>
      <c r="D10" s="930"/>
      <c r="E10" s="993" t="s">
        <v>725</v>
      </c>
      <c r="F10" s="993"/>
      <c r="G10" s="993"/>
      <c r="H10" s="950"/>
      <c r="I10" s="950"/>
      <c r="J10" s="950"/>
      <c r="K10" s="950"/>
      <c r="L10" s="950"/>
      <c r="M10" s="950"/>
      <c r="N10" s="950"/>
      <c r="O10" s="950"/>
      <c r="P10" s="950"/>
      <c r="Q10" s="951"/>
      <c r="R10" s="951"/>
      <c r="S10" s="951"/>
      <c r="T10" s="951"/>
      <c r="U10" s="951"/>
      <c r="V10" s="950">
        <v>0</v>
      </c>
      <c r="W10" s="950">
        <v>0</v>
      </c>
      <c r="X10" s="950">
        <v>0</v>
      </c>
      <c r="Y10" s="950">
        <v>-980.88</v>
      </c>
      <c r="Z10" s="950">
        <v>-2633.86</v>
      </c>
      <c r="AA10" s="950">
        <v>-3548.55</v>
      </c>
      <c r="AB10" s="950">
        <v>-4170.75</v>
      </c>
      <c r="AC10" s="950">
        <v>-4170.75</v>
      </c>
      <c r="AD10" s="950">
        <v>-4170.75</v>
      </c>
      <c r="AE10" s="951">
        <v>-4170.75</v>
      </c>
      <c r="AF10" s="950">
        <v>-4170.75</v>
      </c>
      <c r="AG10" s="950">
        <v>-4170.75</v>
      </c>
      <c r="AH10" s="41"/>
      <c r="AI10" s="41"/>
      <c r="AJ10" s="41"/>
      <c r="AK10" s="41"/>
      <c r="AL10" s="41"/>
      <c r="AM10" s="41"/>
      <c r="AN10" s="41"/>
      <c r="AO10" s="41"/>
      <c r="AP10" s="41"/>
      <c r="AQ10" s="41"/>
      <c r="AR10" s="41"/>
      <c r="AS10" s="41"/>
      <c r="AT10" s="41"/>
      <c r="AU10" s="41"/>
      <c r="AV10" s="41"/>
      <c r="AW10" s="41"/>
      <c r="AX10" s="41"/>
      <c r="AY10" s="41"/>
      <c r="AZ10" s="41"/>
      <c r="BA10" s="41"/>
      <c r="BB10" s="41"/>
      <c r="BC10" s="41"/>
      <c r="BD10" s="41"/>
      <c r="BE10" s="41"/>
      <c r="BF10" s="41"/>
      <c r="BG10" s="41"/>
      <c r="BH10" s="41"/>
      <c r="BI10" s="41"/>
      <c r="BJ10" s="41"/>
      <c r="BK10" s="41"/>
      <c r="BL10" s="41"/>
      <c r="BM10" s="41"/>
      <c r="BN10" s="41"/>
      <c r="BO10" s="41"/>
      <c r="BP10" s="41"/>
      <c r="BQ10" s="41"/>
      <c r="BR10" s="41"/>
      <c r="BS10" s="41"/>
      <c r="BT10" s="41"/>
      <c r="BU10" s="41"/>
      <c r="BV10" s="41"/>
      <c r="BW10" s="41"/>
      <c r="BX10" s="41"/>
      <c r="BY10" s="41"/>
      <c r="BZ10" s="41"/>
      <c r="CA10" s="41"/>
      <c r="CB10" s="41"/>
      <c r="CC10" s="41"/>
    </row>
    <row r="11" spans="1:81 16384:16384" s="974" customFormat="1" x14ac:dyDescent="0.35">
      <c r="A11" s="574"/>
      <c r="B11" s="930"/>
      <c r="C11" s="930"/>
      <c r="D11" s="930"/>
      <c r="E11" s="993" t="s">
        <v>765</v>
      </c>
      <c r="F11" s="993"/>
      <c r="G11" s="993"/>
      <c r="H11" s="950"/>
      <c r="I11" s="950"/>
      <c r="J11" s="950"/>
      <c r="K11" s="950"/>
      <c r="L11" s="950"/>
      <c r="M11" s="950"/>
      <c r="N11" s="950"/>
      <c r="O11" s="950"/>
      <c r="P11" s="950"/>
      <c r="Q11" s="951"/>
      <c r="R11" s="951"/>
      <c r="S11" s="951"/>
      <c r="T11" s="951"/>
      <c r="U11" s="951"/>
      <c r="V11" s="950">
        <v>0</v>
      </c>
      <c r="W11" s="950">
        <v>0</v>
      </c>
      <c r="X11" s="950">
        <v>0</v>
      </c>
      <c r="Y11" s="950">
        <v>0</v>
      </c>
      <c r="Z11" s="950">
        <v>0</v>
      </c>
      <c r="AA11" s="950">
        <v>0</v>
      </c>
      <c r="AB11" s="950">
        <v>3650570.77</v>
      </c>
      <c r="AC11" s="950">
        <v>2675292.02</v>
      </c>
      <c r="AD11" s="950">
        <v>2338207.8199999998</v>
      </c>
      <c r="AE11" s="951">
        <v>2123517.2000000002</v>
      </c>
      <c r="AF11" s="951">
        <v>1750667.09</v>
      </c>
      <c r="AG11" s="951">
        <v>1833221.33</v>
      </c>
      <c r="AH11" s="41"/>
      <c r="AI11" s="41"/>
      <c r="AJ11" s="41"/>
      <c r="AK11" s="41"/>
      <c r="AL11" s="41"/>
      <c r="AM11" s="41"/>
      <c r="AN11" s="41"/>
      <c r="AO11" s="41"/>
      <c r="AP11" s="41"/>
      <c r="AQ11" s="41"/>
      <c r="AR11" s="41"/>
      <c r="AS11" s="41"/>
      <c r="AT11" s="41"/>
      <c r="AU11" s="41"/>
      <c r="AV11" s="41"/>
      <c r="AW11" s="41"/>
      <c r="AX11" s="41"/>
      <c r="AY11" s="41"/>
      <c r="AZ11" s="41"/>
      <c r="BA11" s="41"/>
      <c r="BB11" s="41"/>
      <c r="BC11" s="41"/>
      <c r="BD11" s="41"/>
      <c r="BE11" s="41"/>
      <c r="BF11" s="41"/>
      <c r="BG11" s="41"/>
      <c r="BH11" s="41"/>
      <c r="BI11" s="41"/>
      <c r="BJ11" s="41"/>
      <c r="BK11" s="41"/>
      <c r="BL11" s="41"/>
      <c r="BM11" s="41"/>
      <c r="BN11" s="41"/>
      <c r="BO11" s="41"/>
      <c r="BP11" s="41"/>
      <c r="BQ11" s="41"/>
      <c r="BR11" s="41"/>
      <c r="BS11" s="41"/>
      <c r="BT11" s="41"/>
      <c r="BU11" s="41"/>
      <c r="BV11" s="41"/>
      <c r="BW11" s="41"/>
      <c r="BX11" s="41"/>
      <c r="BY11" s="41"/>
      <c r="BZ11" s="41"/>
      <c r="CA11" s="41"/>
      <c r="CB11" s="41"/>
      <c r="CC11" s="41"/>
    </row>
    <row r="12" spans="1:81 16384:16384" s="974" customFormat="1" x14ac:dyDescent="0.35">
      <c r="A12" s="574"/>
      <c r="B12" s="930"/>
      <c r="C12" s="930"/>
      <c r="D12" s="930"/>
      <c r="E12" s="993" t="s">
        <v>344</v>
      </c>
      <c r="F12" s="993"/>
      <c r="G12" s="993"/>
      <c r="H12" s="950">
        <f>156405.94+1693036.66+1303131.39</f>
        <v>3152573.9899999998</v>
      </c>
      <c r="I12" s="950">
        <f>299664.69+2335798.8+1333419.2</f>
        <v>3968882.6899999995</v>
      </c>
      <c r="J12" s="950">
        <v>556239.32999999996</v>
      </c>
      <c r="K12" s="950">
        <v>625022.69999999995</v>
      </c>
      <c r="L12" s="950">
        <v>508440.57</v>
      </c>
      <c r="M12" s="950">
        <v>790936.38</v>
      </c>
      <c r="N12" s="950">
        <v>1579237.08</v>
      </c>
      <c r="O12" s="950">
        <v>341919.92000000004</v>
      </c>
      <c r="P12" s="950">
        <v>488849.85000000003</v>
      </c>
      <c r="Q12" s="951">
        <v>505430.76</v>
      </c>
      <c r="R12" s="951">
        <v>761113.43</v>
      </c>
      <c r="S12" s="951">
        <v>447146.44000000006</v>
      </c>
      <c r="T12" s="951">
        <v>434617.82</v>
      </c>
      <c r="U12" s="951">
        <v>3155548.55</v>
      </c>
      <c r="V12" s="950">
        <v>3055968.97</v>
      </c>
      <c r="W12" s="950">
        <v>3122254.29</v>
      </c>
      <c r="X12" s="950">
        <v>4273164.28</v>
      </c>
      <c r="Y12" s="952">
        <v>4368796.71</v>
      </c>
      <c r="Z12" s="950">
        <v>4309267.96</v>
      </c>
      <c r="AA12" s="950">
        <v>4359931.88</v>
      </c>
      <c r="AB12" s="950">
        <v>356332.19</v>
      </c>
      <c r="AC12" s="950">
        <v>525761.01</v>
      </c>
      <c r="AD12" s="950">
        <v>1311738.7</v>
      </c>
      <c r="AE12" s="950">
        <v>1064781.67</v>
      </c>
      <c r="AF12" s="950">
        <v>1067893.07</v>
      </c>
      <c r="AG12" s="950">
        <f>487948.73+504.46</f>
        <v>488453.19</v>
      </c>
      <c r="AH12" s="951" t="s">
        <v>924</v>
      </c>
      <c r="AI12" s="41"/>
      <c r="AJ12" s="41"/>
      <c r="AK12" s="41"/>
      <c r="AL12" s="41"/>
      <c r="AM12" s="41"/>
      <c r="AN12" s="41"/>
      <c r="AO12" s="41"/>
      <c r="AP12" s="41"/>
      <c r="AQ12" s="41"/>
      <c r="AR12" s="41"/>
      <c r="AS12" s="41"/>
      <c r="AT12" s="41"/>
      <c r="AU12" s="41"/>
      <c r="AV12" s="41"/>
      <c r="AW12" s="41"/>
      <c r="AX12" s="41"/>
      <c r="AY12" s="41"/>
      <c r="AZ12" s="41"/>
      <c r="BA12" s="41"/>
      <c r="BB12" s="41"/>
      <c r="BC12" s="41"/>
      <c r="BD12" s="41"/>
      <c r="BE12" s="41"/>
      <c r="BF12" s="41"/>
      <c r="BG12" s="41"/>
      <c r="BH12" s="41"/>
      <c r="BI12" s="41"/>
      <c r="BJ12" s="41"/>
      <c r="BK12" s="41"/>
      <c r="BL12" s="41"/>
      <c r="BM12" s="41"/>
      <c r="BN12" s="41"/>
      <c r="BO12" s="41"/>
      <c r="BP12" s="41"/>
      <c r="BQ12" s="41"/>
      <c r="BR12" s="41"/>
      <c r="BS12" s="41"/>
      <c r="BT12" s="41"/>
      <c r="BU12" s="41"/>
      <c r="BV12" s="41"/>
      <c r="BW12" s="41"/>
      <c r="BX12" s="41"/>
      <c r="BY12" s="41"/>
      <c r="BZ12" s="41"/>
      <c r="CA12" s="41"/>
      <c r="CB12" s="41"/>
      <c r="CC12" s="41"/>
      <c r="XFD12" s="951" t="s">
        <v>924</v>
      </c>
    </row>
    <row r="13" spans="1:81 16384:16384" s="974" customFormat="1" x14ac:dyDescent="0.35">
      <c r="A13" s="574"/>
      <c r="B13" s="930"/>
      <c r="C13" s="930"/>
      <c r="D13" s="930"/>
      <c r="E13" s="993" t="s">
        <v>726</v>
      </c>
      <c r="F13" s="993"/>
      <c r="G13" s="993"/>
      <c r="H13" s="950"/>
      <c r="I13" s="950"/>
      <c r="J13" s="950"/>
      <c r="K13" s="950"/>
      <c r="L13" s="950"/>
      <c r="M13" s="950"/>
      <c r="N13" s="950"/>
      <c r="O13" s="950"/>
      <c r="P13" s="950"/>
      <c r="Q13" s="951"/>
      <c r="R13" s="951"/>
      <c r="S13" s="951"/>
      <c r="T13" s="951"/>
      <c r="U13" s="951"/>
      <c r="V13" s="950"/>
      <c r="W13" s="950"/>
      <c r="X13" s="950"/>
      <c r="Y13" s="952"/>
      <c r="Z13" s="950"/>
      <c r="AA13" s="950"/>
      <c r="AB13" s="950"/>
      <c r="AC13" s="950"/>
      <c r="AD13" s="950"/>
      <c r="AE13" s="950"/>
      <c r="AF13" s="951"/>
      <c r="AG13" s="951"/>
      <c r="AH13" s="41"/>
      <c r="AI13" s="41"/>
      <c r="AJ13" s="41"/>
      <c r="AK13" s="41"/>
      <c r="AL13" s="41"/>
      <c r="AM13" s="41"/>
      <c r="AN13" s="41"/>
      <c r="AO13" s="41"/>
      <c r="AP13" s="41"/>
      <c r="AQ13" s="41"/>
      <c r="AR13" s="41"/>
      <c r="AS13" s="41"/>
      <c r="AT13" s="41"/>
      <c r="AU13" s="41"/>
      <c r="AV13" s="41"/>
      <c r="AW13" s="41"/>
      <c r="AX13" s="41"/>
      <c r="AY13" s="41"/>
      <c r="AZ13" s="41"/>
      <c r="BA13" s="41"/>
      <c r="BB13" s="41"/>
      <c r="BC13" s="41"/>
      <c r="BD13" s="41"/>
      <c r="BE13" s="41"/>
      <c r="BF13" s="41"/>
      <c r="BG13" s="41"/>
      <c r="BH13" s="41"/>
      <c r="BI13" s="41"/>
      <c r="BJ13" s="41"/>
      <c r="BK13" s="41"/>
      <c r="BL13" s="41"/>
      <c r="BM13" s="41"/>
      <c r="BN13" s="41"/>
      <c r="BO13" s="41"/>
      <c r="BP13" s="41"/>
      <c r="BQ13" s="41"/>
      <c r="BR13" s="41"/>
      <c r="BS13" s="41"/>
      <c r="BT13" s="41"/>
      <c r="BU13" s="41"/>
      <c r="BV13" s="41"/>
      <c r="BW13" s="41"/>
      <c r="BX13" s="41"/>
      <c r="BY13" s="41"/>
      <c r="BZ13" s="41"/>
      <c r="CA13" s="41"/>
      <c r="CB13" s="41"/>
      <c r="CC13" s="41"/>
    </row>
    <row r="14" spans="1:81 16384:16384" s="974" customFormat="1" x14ac:dyDescent="0.35">
      <c r="A14" s="574"/>
      <c r="B14" s="930"/>
      <c r="C14" s="930"/>
      <c r="D14" s="930"/>
      <c r="E14" s="993" t="s">
        <v>343</v>
      </c>
      <c r="F14" s="993"/>
      <c r="G14" s="993"/>
      <c r="H14" s="950">
        <v>441249.61</v>
      </c>
      <c r="I14" s="950">
        <v>702822.32</v>
      </c>
      <c r="J14" s="950">
        <v>1015422.8300000001</v>
      </c>
      <c r="K14" s="950">
        <v>764070.04</v>
      </c>
      <c r="L14" s="950">
        <v>1053586.2</v>
      </c>
      <c r="M14" s="950">
        <v>863720.9</v>
      </c>
      <c r="N14" s="950">
        <v>942529.74</v>
      </c>
      <c r="O14" s="950">
        <v>2096710.3699999999</v>
      </c>
      <c r="P14" s="950">
        <v>2182337.8200000003</v>
      </c>
      <c r="Q14" s="951">
        <v>2232674.9900000002</v>
      </c>
      <c r="R14" s="951">
        <v>1707551.0899999999</v>
      </c>
      <c r="S14" s="951">
        <v>1819836.0899999999</v>
      </c>
      <c r="T14" s="951">
        <v>1178861.6599999999</v>
      </c>
      <c r="U14" s="951">
        <v>6073.95</v>
      </c>
      <c r="V14" s="950">
        <v>6079.93</v>
      </c>
      <c r="W14" s="950">
        <v>6079.93</v>
      </c>
      <c r="X14" s="950">
        <v>6079.93</v>
      </c>
      <c r="Y14" s="950">
        <v>6079.93</v>
      </c>
      <c r="Z14" s="950">
        <v>6079.93</v>
      </c>
      <c r="AA14" s="950">
        <v>6085.99</v>
      </c>
      <c r="AB14" s="950">
        <v>6092.11</v>
      </c>
      <c r="AC14" s="950">
        <v>6092.11</v>
      </c>
      <c r="AD14" s="950">
        <v>6092.11</v>
      </c>
      <c r="AE14" s="951">
        <v>6092.11</v>
      </c>
      <c r="AF14" s="951">
        <v>6092.11</v>
      </c>
      <c r="AG14" s="951">
        <v>6098.25</v>
      </c>
      <c r="AH14" s="41"/>
      <c r="AI14" s="41"/>
      <c r="AJ14" s="41"/>
      <c r="AK14" s="41"/>
      <c r="AL14" s="41"/>
      <c r="AM14" s="41"/>
      <c r="AN14" s="41"/>
      <c r="AO14" s="41"/>
      <c r="AP14" s="41"/>
      <c r="AQ14" s="41"/>
      <c r="AR14" s="41"/>
      <c r="AS14" s="41"/>
      <c r="AT14" s="41"/>
      <c r="AU14" s="41"/>
      <c r="AV14" s="41"/>
      <c r="AW14" s="41"/>
      <c r="AX14" s="41"/>
      <c r="AY14" s="41"/>
      <c r="AZ14" s="41"/>
      <c r="BA14" s="41"/>
      <c r="BB14" s="41"/>
      <c r="BC14" s="41"/>
      <c r="BD14" s="41"/>
      <c r="BE14" s="41"/>
      <c r="BF14" s="41"/>
      <c r="BG14" s="41"/>
      <c r="BH14" s="41"/>
      <c r="BI14" s="41"/>
      <c r="BJ14" s="41"/>
      <c r="BK14" s="41"/>
      <c r="BL14" s="41"/>
      <c r="BM14" s="41"/>
      <c r="BN14" s="41"/>
      <c r="BO14" s="41"/>
      <c r="BP14" s="41"/>
      <c r="BQ14" s="41"/>
      <c r="BR14" s="41"/>
      <c r="BS14" s="41"/>
      <c r="BT14" s="41"/>
      <c r="BU14" s="41"/>
      <c r="BV14" s="41"/>
      <c r="BW14" s="41"/>
      <c r="BX14" s="41"/>
      <c r="BY14" s="41"/>
      <c r="BZ14" s="41"/>
      <c r="CA14" s="41"/>
      <c r="CB14" s="41"/>
      <c r="CC14" s="41"/>
    </row>
    <row r="15" spans="1:81 16384:16384" s="974" customFormat="1" x14ac:dyDescent="0.35">
      <c r="A15" s="574"/>
      <c r="B15" s="930"/>
      <c r="C15" s="930"/>
      <c r="D15" s="930"/>
      <c r="E15" s="993" t="s">
        <v>519</v>
      </c>
      <c r="F15" s="993"/>
      <c r="G15" s="993"/>
      <c r="H15" s="950"/>
      <c r="I15" s="950"/>
      <c r="J15" s="950">
        <v>0</v>
      </c>
      <c r="K15" s="950">
        <v>0</v>
      </c>
      <c r="L15" s="950">
        <v>0</v>
      </c>
      <c r="M15" s="950">
        <v>0</v>
      </c>
      <c r="N15" s="950">
        <v>0</v>
      </c>
      <c r="O15" s="950">
        <v>0</v>
      </c>
      <c r="P15" s="950">
        <v>0</v>
      </c>
      <c r="Q15" s="951">
        <v>0</v>
      </c>
      <c r="R15" s="951">
        <v>0</v>
      </c>
      <c r="S15" s="951">
        <v>0</v>
      </c>
      <c r="T15" s="951">
        <v>0</v>
      </c>
      <c r="U15" s="951">
        <v>2601319.7999999998</v>
      </c>
      <c r="V15" s="951">
        <v>2540871.9500000002</v>
      </c>
      <c r="W15" s="951">
        <v>2480669.7799999998</v>
      </c>
      <c r="X15" s="951">
        <v>2420642.88</v>
      </c>
      <c r="Y15" s="951">
        <v>2309136.86</v>
      </c>
      <c r="Z15" s="951">
        <v>2197992.13</v>
      </c>
      <c r="AA15" s="951">
        <v>2087212.48</v>
      </c>
      <c r="AB15" s="951">
        <v>1976794.47</v>
      </c>
      <c r="AC15" s="951">
        <v>1866740.87</v>
      </c>
      <c r="AD15" s="41">
        <v>1757050.46</v>
      </c>
      <c r="AE15" s="951">
        <v>1647721.97</v>
      </c>
      <c r="AF15" s="951">
        <v>1538756.07</v>
      </c>
      <c r="AG15" s="951">
        <v>1430155.79</v>
      </c>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row>
    <row r="16" spans="1:81 16384:16384" s="974" customFormat="1" x14ac:dyDescent="0.35">
      <c r="A16" s="574"/>
      <c r="B16" s="930"/>
      <c r="C16" s="930"/>
      <c r="D16" s="930"/>
      <c r="E16" s="993" t="s">
        <v>345</v>
      </c>
      <c r="F16" s="993"/>
      <c r="G16" s="993"/>
      <c r="H16" s="953">
        <v>1106.8</v>
      </c>
      <c r="I16" s="953">
        <v>941.8</v>
      </c>
      <c r="J16" s="953">
        <v>926.8</v>
      </c>
      <c r="K16" s="953">
        <v>911.8</v>
      </c>
      <c r="L16" s="953">
        <v>896.8</v>
      </c>
      <c r="M16" s="953">
        <v>881.8</v>
      </c>
      <c r="N16" s="953">
        <v>866.8</v>
      </c>
      <c r="O16" s="953">
        <v>851.8</v>
      </c>
      <c r="P16" s="953">
        <v>836.8</v>
      </c>
      <c r="Q16" s="954">
        <v>821.8</v>
      </c>
      <c r="R16" s="954">
        <v>806.8</v>
      </c>
      <c r="S16" s="954">
        <v>791.8</v>
      </c>
      <c r="T16" s="954">
        <v>776.8</v>
      </c>
      <c r="U16" s="954">
        <v>0</v>
      </c>
      <c r="V16" s="954">
        <v>0</v>
      </c>
      <c r="W16" s="954">
        <v>0</v>
      </c>
      <c r="X16" s="954">
        <v>0</v>
      </c>
      <c r="Y16" s="954">
        <v>0</v>
      </c>
      <c r="Z16" s="954"/>
      <c r="AA16" s="954"/>
      <c r="AB16" s="954"/>
      <c r="AC16" s="954"/>
      <c r="AD16" s="954"/>
      <c r="AE16" s="954"/>
      <c r="AF16" s="954"/>
      <c r="AG16" s="954"/>
      <c r="AH16" s="41"/>
      <c r="AI16" s="41"/>
      <c r="AJ16" s="41"/>
      <c r="AK16" s="41"/>
      <c r="AL16" s="41"/>
      <c r="AM16" s="41"/>
      <c r="AN16" s="41"/>
      <c r="AO16" s="41"/>
      <c r="AP16" s="41"/>
      <c r="AQ16" s="41"/>
      <c r="AR16" s="41"/>
      <c r="AS16" s="41"/>
      <c r="AT16" s="41"/>
      <c r="AU16" s="41"/>
      <c r="AV16" s="41"/>
      <c r="AW16" s="41"/>
      <c r="AX16" s="41"/>
      <c r="AY16" s="41"/>
      <c r="AZ16" s="41"/>
      <c r="BA16" s="41"/>
      <c r="BB16" s="41"/>
      <c r="BC16" s="41"/>
      <c r="BD16" s="41"/>
      <c r="BE16" s="41"/>
      <c r="BF16" s="41"/>
      <c r="BG16" s="41"/>
      <c r="BH16" s="41"/>
      <c r="BI16" s="41"/>
      <c r="BJ16" s="41"/>
      <c r="BK16" s="41"/>
      <c r="BL16" s="41"/>
      <c r="BM16" s="41"/>
      <c r="BN16" s="41"/>
      <c r="BO16" s="41"/>
      <c r="BP16" s="41"/>
      <c r="BQ16" s="41"/>
      <c r="BR16" s="41"/>
      <c r="BS16" s="41"/>
      <c r="BT16" s="41"/>
      <c r="BU16" s="41"/>
      <c r="BV16" s="41"/>
      <c r="BW16" s="41"/>
      <c r="BX16" s="41"/>
      <c r="BY16" s="41"/>
      <c r="BZ16" s="41"/>
      <c r="CA16" s="41"/>
      <c r="CB16" s="41"/>
      <c r="CC16" s="41"/>
    </row>
    <row r="17" spans="1:16182" s="974" customFormat="1" x14ac:dyDescent="0.35">
      <c r="A17" s="574"/>
      <c r="B17" s="930"/>
      <c r="C17" s="930"/>
      <c r="D17" s="921" t="s">
        <v>152</v>
      </c>
      <c r="E17" s="921"/>
      <c r="F17" s="921"/>
      <c r="G17" s="921"/>
      <c r="H17" s="921">
        <f>SUM(H12:H16)</f>
        <v>3594930.3999999994</v>
      </c>
      <c r="I17" s="921">
        <f>SUM(I12:I16)</f>
        <v>4672646.8099999996</v>
      </c>
      <c r="J17" s="921">
        <v>1572588.96</v>
      </c>
      <c r="K17" s="921">
        <v>1390004.54</v>
      </c>
      <c r="L17" s="921">
        <v>1562923.57</v>
      </c>
      <c r="M17" s="921">
        <v>1655539.08</v>
      </c>
      <c r="N17" s="921">
        <v>2522633.6199999996</v>
      </c>
      <c r="O17" s="921">
        <v>2439482.09</v>
      </c>
      <c r="P17" s="921">
        <v>2672024.4699999997</v>
      </c>
      <c r="Q17" s="922">
        <v>2738927.5500000003</v>
      </c>
      <c r="R17" s="922">
        <v>2469471.3199999998</v>
      </c>
      <c r="S17" s="922">
        <v>2267774.33</v>
      </c>
      <c r="T17" s="922">
        <v>1614256.28</v>
      </c>
      <c r="U17" s="922">
        <f>SUM(U12:U16)</f>
        <v>5762942.2999999998</v>
      </c>
      <c r="V17" s="922">
        <f>SUM(V12:V16)</f>
        <v>5602920.8500000006</v>
      </c>
      <c r="W17" s="922">
        <f t="shared" ref="W17:AA17" si="0">SUM(W12:W16)</f>
        <v>5609004</v>
      </c>
      <c r="X17" s="922">
        <f t="shared" si="0"/>
        <v>6699887.0899999999</v>
      </c>
      <c r="Y17" s="922">
        <f t="shared" si="0"/>
        <v>6684013.5</v>
      </c>
      <c r="Z17" s="922">
        <f t="shared" si="0"/>
        <v>6513340.0199999996</v>
      </c>
      <c r="AA17" s="922">
        <f t="shared" si="0"/>
        <v>6453230.3499999996</v>
      </c>
      <c r="AB17" s="922">
        <f>SUM(AB9:AB16)</f>
        <v>5989799.46</v>
      </c>
      <c r="AC17" s="922">
        <f>SUM(AC9:AC16)</f>
        <v>5073684.67</v>
      </c>
      <c r="AD17" s="922">
        <f>SUM(AD9:AD16)</f>
        <v>5413089.0899999999</v>
      </c>
      <c r="AE17" s="922">
        <f>SUM(AE9:AE16)</f>
        <v>4842112.95</v>
      </c>
      <c r="AF17" s="922">
        <f>SUM(AF9:AF16)</f>
        <v>4363408.34</v>
      </c>
      <c r="AG17" s="922">
        <f t="shared" ref="AG17:AI17" si="1">SUM(AG9:AG16)</f>
        <v>3757928.56</v>
      </c>
      <c r="AH17" s="922">
        <f t="shared" si="1"/>
        <v>0</v>
      </c>
      <c r="AI17" s="922">
        <f t="shared" si="1"/>
        <v>0</v>
      </c>
      <c r="AJ17" s="923"/>
      <c r="AK17" s="923"/>
      <c r="AL17" s="923"/>
      <c r="AM17" s="923"/>
      <c r="AN17" s="923"/>
      <c r="AO17" s="923"/>
      <c r="AP17" s="923"/>
      <c r="AQ17" s="923"/>
      <c r="AR17" s="923"/>
      <c r="AS17" s="923"/>
      <c r="AT17" s="923"/>
      <c r="AU17" s="923"/>
      <c r="AV17" s="923"/>
      <c r="AW17" s="923"/>
      <c r="AX17" s="923"/>
      <c r="AY17" s="923"/>
      <c r="AZ17" s="923"/>
      <c r="BA17" s="923"/>
      <c r="BB17" s="923"/>
      <c r="BC17" s="923"/>
      <c r="BD17" s="923"/>
      <c r="BE17" s="923"/>
      <c r="BF17" s="923"/>
      <c r="BG17" s="923"/>
      <c r="BH17" s="923"/>
      <c r="BI17" s="923"/>
      <c r="BJ17" s="923"/>
      <c r="BK17" s="923"/>
      <c r="BL17" s="923"/>
      <c r="BM17" s="923"/>
      <c r="BN17" s="923"/>
      <c r="BO17" s="923"/>
      <c r="BP17" s="923"/>
      <c r="BQ17" s="923"/>
      <c r="BR17" s="923"/>
      <c r="BS17" s="923"/>
      <c r="BT17" s="923"/>
      <c r="BU17" s="923"/>
      <c r="BV17" s="923"/>
      <c r="BW17" s="923"/>
      <c r="BX17" s="923"/>
      <c r="BY17" s="923"/>
      <c r="BZ17" s="923"/>
      <c r="CA17" s="923"/>
      <c r="CB17" s="923"/>
      <c r="CC17" s="923"/>
    </row>
    <row r="18" spans="1:16182" s="974" customFormat="1" x14ac:dyDescent="0.35">
      <c r="A18" s="574"/>
      <c r="B18" s="930"/>
      <c r="C18" s="930"/>
      <c r="D18" s="932" t="s">
        <v>92</v>
      </c>
      <c r="E18" s="932"/>
      <c r="F18" s="932"/>
      <c r="G18" s="932"/>
      <c r="H18" s="955"/>
      <c r="I18" s="955"/>
      <c r="J18" s="955"/>
      <c r="K18" s="955"/>
      <c r="L18" s="955"/>
      <c r="M18" s="955"/>
      <c r="N18" s="955"/>
      <c r="O18" s="955"/>
      <c r="P18" s="955"/>
      <c r="Q18" s="955"/>
      <c r="R18" s="955"/>
      <c r="S18" s="948"/>
      <c r="T18" s="948"/>
      <c r="U18" s="948"/>
      <c r="V18" s="948"/>
      <c r="W18" s="948"/>
      <c r="X18" s="948"/>
      <c r="Y18" s="948"/>
      <c r="Z18" s="948"/>
      <c r="AA18" s="948"/>
      <c r="AB18" s="948"/>
      <c r="AC18" s="948"/>
      <c r="AD18" s="948"/>
      <c r="AE18" s="948"/>
      <c r="AF18" s="948"/>
      <c r="AG18" s="948"/>
      <c r="AH18" s="948"/>
      <c r="AI18" s="948"/>
      <c r="AJ18" s="948"/>
      <c r="AK18" s="948"/>
      <c r="AL18" s="948"/>
      <c r="AM18" s="948"/>
      <c r="AN18" s="948"/>
      <c r="AO18" s="948"/>
      <c r="AP18" s="948"/>
      <c r="AQ18" s="948"/>
      <c r="AR18" s="948"/>
      <c r="AS18" s="948"/>
      <c r="AT18" s="948"/>
      <c r="AU18" s="948"/>
      <c r="AV18" s="948"/>
      <c r="AW18" s="948"/>
      <c r="AX18" s="948"/>
      <c r="AY18" s="948"/>
      <c r="AZ18" s="948"/>
      <c r="BA18" s="948"/>
      <c r="BB18" s="948"/>
      <c r="BC18" s="948"/>
      <c r="BD18" s="948"/>
      <c r="BE18" s="948"/>
      <c r="BF18" s="948"/>
      <c r="BG18" s="948"/>
      <c r="BH18" s="948"/>
      <c r="BI18" s="948"/>
      <c r="BJ18" s="948"/>
      <c r="BK18" s="948"/>
      <c r="BL18" s="948"/>
      <c r="BM18" s="948"/>
      <c r="BN18" s="948"/>
      <c r="BO18" s="948"/>
      <c r="BP18" s="948"/>
      <c r="BQ18" s="948"/>
      <c r="BR18" s="948"/>
      <c r="BS18" s="948"/>
      <c r="BT18" s="948"/>
      <c r="BU18" s="948"/>
      <c r="BV18" s="948"/>
      <c r="BW18" s="948"/>
      <c r="BX18" s="948"/>
      <c r="BY18" s="948"/>
      <c r="BZ18" s="948"/>
      <c r="CA18" s="948"/>
      <c r="CB18" s="948"/>
      <c r="CC18" s="948"/>
    </row>
    <row r="19" spans="1:16182" s="974" customFormat="1" x14ac:dyDescent="0.35">
      <c r="A19" s="574"/>
      <c r="B19" s="930"/>
      <c r="C19" s="930"/>
      <c r="D19" s="930"/>
      <c r="E19" s="930" t="s">
        <v>346</v>
      </c>
      <c r="F19" s="930"/>
      <c r="G19" s="930"/>
      <c r="H19" s="951">
        <v>43393.87</v>
      </c>
      <c r="I19" s="951">
        <v>238713.42</v>
      </c>
      <c r="J19" s="951">
        <v>164788.24</v>
      </c>
      <c r="K19" s="951">
        <v>166599.56999999998</v>
      </c>
      <c r="L19" s="951">
        <v>191231.68</v>
      </c>
      <c r="M19" s="951">
        <v>1058598.46</v>
      </c>
      <c r="N19" s="951">
        <v>481639.58999999997</v>
      </c>
      <c r="O19" s="951">
        <v>470798.19</v>
      </c>
      <c r="P19" s="951">
        <v>171448.87</v>
      </c>
      <c r="Q19" s="951">
        <v>162626.36000000002</v>
      </c>
      <c r="R19" s="951">
        <v>107082.9</v>
      </c>
      <c r="S19" s="951">
        <v>76979.429999999993</v>
      </c>
      <c r="T19" s="951">
        <v>151692.14000000001</v>
      </c>
      <c r="U19" s="951">
        <v>122001.32</v>
      </c>
      <c r="V19" s="951">
        <v>1071884.29</v>
      </c>
      <c r="W19" s="951">
        <v>992059.81</v>
      </c>
      <c r="X19" s="951">
        <v>168475.67</v>
      </c>
      <c r="Y19" s="951">
        <v>181522.59</v>
      </c>
      <c r="Z19" s="951">
        <v>76470.039999999994</v>
      </c>
      <c r="AA19" s="951">
        <v>96790.7</v>
      </c>
      <c r="AB19" s="951">
        <v>73573.72</v>
      </c>
      <c r="AC19" s="951">
        <v>95000.48</v>
      </c>
      <c r="AD19" s="41">
        <v>203163.07</v>
      </c>
      <c r="AE19" s="951">
        <v>210393.88</v>
      </c>
      <c r="AF19" s="951">
        <v>177051.64</v>
      </c>
      <c r="AG19" s="951">
        <v>450042.34</v>
      </c>
      <c r="AH19" s="41"/>
      <c r="AI19" s="41"/>
      <c r="AJ19" s="41"/>
      <c r="AK19" s="41"/>
      <c r="AL19" s="41"/>
      <c r="AM19" s="41"/>
      <c r="AN19" s="41"/>
      <c r="AO19" s="41"/>
      <c r="AP19" s="41"/>
      <c r="AQ19" s="41"/>
      <c r="AR19" s="41"/>
      <c r="AS19" s="41"/>
      <c r="AT19" s="41"/>
      <c r="AU19" s="41"/>
      <c r="AV19" s="41"/>
      <c r="AW19" s="41"/>
      <c r="AX19" s="41"/>
      <c r="AY19" s="41"/>
      <c r="AZ19" s="41"/>
      <c r="BA19" s="41"/>
      <c r="BB19" s="41"/>
      <c r="BC19" s="41"/>
      <c r="BD19" s="41"/>
      <c r="BE19" s="41"/>
      <c r="BF19" s="41"/>
      <c r="BG19" s="41"/>
      <c r="BH19" s="41"/>
      <c r="BI19" s="41"/>
      <c r="BJ19" s="41"/>
      <c r="BK19" s="41"/>
      <c r="BL19" s="41"/>
      <c r="BM19" s="41"/>
      <c r="BN19" s="41"/>
      <c r="BO19" s="41"/>
      <c r="BP19" s="41"/>
      <c r="BQ19" s="41"/>
      <c r="BR19" s="41"/>
      <c r="BS19" s="41"/>
      <c r="BT19" s="41"/>
      <c r="BU19" s="41"/>
      <c r="BV19" s="41"/>
      <c r="BW19" s="41"/>
      <c r="BX19" s="41"/>
      <c r="BY19" s="41"/>
      <c r="BZ19" s="41"/>
      <c r="CA19" s="41"/>
      <c r="CB19" s="41"/>
      <c r="CC19" s="41"/>
    </row>
    <row r="20" spans="1:16182" s="974" customFormat="1" x14ac:dyDescent="0.35">
      <c r="A20" s="574"/>
      <c r="B20" s="930"/>
      <c r="C20" s="930"/>
      <c r="D20" s="921" t="s">
        <v>153</v>
      </c>
      <c r="E20" s="921"/>
      <c r="F20" s="921"/>
      <c r="G20" s="921"/>
      <c r="H20" s="921">
        <f>SUM(H19)</f>
        <v>43393.87</v>
      </c>
      <c r="I20" s="921">
        <f>SUM(I19)</f>
        <v>238713.42</v>
      </c>
      <c r="J20" s="921">
        <f t="shared" ref="J20:T20" si="2">SUM(J19:J19)</f>
        <v>164788.24</v>
      </c>
      <c r="K20" s="921">
        <f t="shared" si="2"/>
        <v>166599.56999999998</v>
      </c>
      <c r="L20" s="921">
        <f t="shared" si="2"/>
        <v>191231.68</v>
      </c>
      <c r="M20" s="921">
        <f t="shared" si="2"/>
        <v>1058598.46</v>
      </c>
      <c r="N20" s="921">
        <f t="shared" si="2"/>
        <v>481639.58999999997</v>
      </c>
      <c r="O20" s="921">
        <f t="shared" si="2"/>
        <v>470798.19</v>
      </c>
      <c r="P20" s="921">
        <f t="shared" si="2"/>
        <v>171448.87</v>
      </c>
      <c r="Q20" s="922">
        <f t="shared" si="2"/>
        <v>162626.36000000002</v>
      </c>
      <c r="R20" s="922">
        <f t="shared" si="2"/>
        <v>107082.9</v>
      </c>
      <c r="S20" s="922">
        <f t="shared" si="2"/>
        <v>76979.429999999993</v>
      </c>
      <c r="T20" s="922">
        <f t="shared" si="2"/>
        <v>151692.14000000001</v>
      </c>
      <c r="U20" s="922">
        <v>122001.32</v>
      </c>
      <c r="V20" s="922">
        <f t="shared" ref="V20:AG20" si="3">SUM(V19:V19)</f>
        <v>1071884.29</v>
      </c>
      <c r="W20" s="922">
        <f t="shared" si="3"/>
        <v>992059.81</v>
      </c>
      <c r="X20" s="922">
        <f t="shared" si="3"/>
        <v>168475.67</v>
      </c>
      <c r="Y20" s="922">
        <f t="shared" si="3"/>
        <v>181522.59</v>
      </c>
      <c r="Z20" s="922">
        <f t="shared" si="3"/>
        <v>76470.039999999994</v>
      </c>
      <c r="AA20" s="922">
        <f t="shared" si="3"/>
        <v>96790.7</v>
      </c>
      <c r="AB20" s="922">
        <f t="shared" si="3"/>
        <v>73573.72</v>
      </c>
      <c r="AC20" s="922">
        <f t="shared" si="3"/>
        <v>95000.48</v>
      </c>
      <c r="AD20" s="922">
        <f t="shared" si="3"/>
        <v>203163.07</v>
      </c>
      <c r="AE20" s="922">
        <f t="shared" si="3"/>
        <v>210393.88</v>
      </c>
      <c r="AF20" s="922">
        <f t="shared" si="3"/>
        <v>177051.64</v>
      </c>
      <c r="AG20" s="922">
        <f t="shared" si="3"/>
        <v>450042.34</v>
      </c>
      <c r="AH20" s="923"/>
      <c r="AI20" s="923"/>
      <c r="AJ20" s="923"/>
      <c r="AK20" s="923"/>
      <c r="AL20" s="923"/>
      <c r="AM20" s="923"/>
      <c r="AN20" s="923"/>
      <c r="AO20" s="923"/>
      <c r="AP20" s="923"/>
      <c r="AQ20" s="923"/>
      <c r="AR20" s="923"/>
      <c r="AS20" s="923"/>
      <c r="AT20" s="923"/>
      <c r="AU20" s="923"/>
      <c r="AV20" s="923"/>
      <c r="AW20" s="923"/>
      <c r="AX20" s="923"/>
      <c r="AY20" s="923"/>
      <c r="AZ20" s="923"/>
      <c r="BA20" s="923"/>
      <c r="BB20" s="923"/>
      <c r="BC20" s="923"/>
      <c r="BD20" s="923"/>
      <c r="BE20" s="923"/>
      <c r="BF20" s="923"/>
      <c r="BG20" s="923"/>
      <c r="BH20" s="923"/>
      <c r="BI20" s="923"/>
      <c r="BJ20" s="923"/>
      <c r="BK20" s="923"/>
      <c r="BL20" s="923"/>
      <c r="BM20" s="923"/>
      <c r="BN20" s="923"/>
      <c r="BO20" s="923"/>
      <c r="BP20" s="923"/>
      <c r="BQ20" s="923"/>
      <c r="BR20" s="923"/>
      <c r="BS20" s="923"/>
      <c r="BT20" s="923"/>
      <c r="BU20" s="923"/>
      <c r="BV20" s="923"/>
      <c r="BW20" s="923"/>
      <c r="BX20" s="923"/>
      <c r="BY20" s="923"/>
      <c r="BZ20" s="923"/>
      <c r="CA20" s="923"/>
      <c r="CB20" s="923"/>
      <c r="CC20" s="923"/>
    </row>
    <row r="21" spans="1:16182" s="975" customFormat="1" x14ac:dyDescent="0.35">
      <c r="A21" s="920"/>
      <c r="B21" s="927"/>
      <c r="C21" s="927"/>
      <c r="D21" s="932" t="s">
        <v>94</v>
      </c>
      <c r="E21" s="932"/>
      <c r="F21" s="932"/>
      <c r="G21" s="932"/>
      <c r="H21" s="955"/>
      <c r="I21" s="955"/>
      <c r="J21" s="955"/>
      <c r="K21" s="955"/>
      <c r="L21" s="955"/>
      <c r="M21" s="955"/>
      <c r="N21" s="955"/>
      <c r="O21" s="955"/>
      <c r="P21" s="955"/>
      <c r="Q21" s="955"/>
      <c r="R21" s="955"/>
      <c r="S21" s="948"/>
      <c r="T21" s="948"/>
      <c r="U21" s="948"/>
      <c r="V21" s="948"/>
      <c r="W21" s="948"/>
      <c r="X21" s="948"/>
      <c r="Y21" s="948"/>
      <c r="Z21" s="948"/>
      <c r="AA21" s="948"/>
      <c r="AB21" s="948"/>
      <c r="AC21" s="948"/>
      <c r="AD21" s="948"/>
      <c r="AE21" s="948"/>
      <c r="AF21" s="948"/>
      <c r="AG21" s="948"/>
      <c r="AH21" s="948"/>
      <c r="AI21" s="948"/>
      <c r="AJ21" s="948"/>
      <c r="AK21" s="948"/>
      <c r="AL21" s="948"/>
      <c r="AM21" s="948"/>
      <c r="AN21" s="948"/>
      <c r="AO21" s="948"/>
      <c r="AP21" s="948"/>
      <c r="AQ21" s="948"/>
      <c r="AR21" s="948"/>
      <c r="AS21" s="948"/>
      <c r="AT21" s="948"/>
      <c r="AU21" s="948"/>
      <c r="AV21" s="948"/>
      <c r="AW21" s="948"/>
      <c r="AX21" s="948"/>
      <c r="AY21" s="948"/>
      <c r="AZ21" s="948"/>
      <c r="BA21" s="948"/>
      <c r="BB21" s="948"/>
      <c r="BC21" s="948"/>
      <c r="BD21" s="948"/>
      <c r="BE21" s="948"/>
      <c r="BF21" s="948"/>
      <c r="BG21" s="948"/>
      <c r="BH21" s="948"/>
      <c r="BI21" s="948"/>
      <c r="BJ21" s="948"/>
      <c r="BK21" s="948"/>
      <c r="BL21" s="948"/>
      <c r="BM21" s="948"/>
      <c r="BN21" s="948"/>
      <c r="BO21" s="948"/>
      <c r="BP21" s="948"/>
      <c r="BQ21" s="948"/>
      <c r="BR21" s="948"/>
      <c r="BS21" s="948"/>
      <c r="BT21" s="948"/>
      <c r="BU21" s="948"/>
      <c r="BV21" s="948"/>
      <c r="BW21" s="948"/>
      <c r="BX21" s="948"/>
      <c r="BY21" s="948"/>
      <c r="BZ21" s="948"/>
      <c r="CA21" s="948"/>
      <c r="CB21" s="948"/>
      <c r="CC21" s="948"/>
      <c r="CD21" s="974"/>
      <c r="CE21" s="974"/>
      <c r="CF21" s="974"/>
      <c r="CG21" s="974"/>
      <c r="CH21" s="974"/>
      <c r="CI21" s="974"/>
      <c r="CJ21" s="974"/>
      <c r="CK21" s="974"/>
      <c r="CL21" s="974"/>
      <c r="CM21" s="974"/>
      <c r="CN21" s="974"/>
      <c r="CO21" s="974"/>
      <c r="CP21" s="974"/>
      <c r="CQ21" s="974"/>
      <c r="CR21" s="974"/>
      <c r="CS21" s="974"/>
      <c r="CT21" s="974"/>
      <c r="CU21" s="974"/>
      <c r="CV21" s="974"/>
      <c r="CW21" s="974"/>
      <c r="CX21" s="974"/>
      <c r="CY21" s="974"/>
      <c r="CZ21" s="974"/>
      <c r="DA21" s="974"/>
      <c r="DB21" s="974"/>
      <c r="DC21" s="974"/>
      <c r="DD21" s="974"/>
      <c r="DE21" s="974"/>
      <c r="DF21" s="974"/>
      <c r="DG21" s="974"/>
      <c r="DH21" s="974"/>
      <c r="DI21" s="974"/>
      <c r="DJ21" s="974"/>
      <c r="DK21" s="974"/>
      <c r="DL21" s="974"/>
      <c r="DM21" s="974"/>
      <c r="DN21" s="974"/>
      <c r="DO21" s="974"/>
      <c r="DP21" s="974"/>
      <c r="DQ21" s="974"/>
      <c r="DR21" s="974"/>
      <c r="DS21" s="974"/>
      <c r="DT21" s="974"/>
      <c r="DU21" s="974"/>
      <c r="DV21" s="974"/>
      <c r="DW21" s="974"/>
      <c r="DX21" s="974"/>
      <c r="DY21" s="974"/>
      <c r="DZ21" s="974"/>
      <c r="EA21" s="974"/>
      <c r="EB21" s="974"/>
      <c r="EC21" s="974"/>
      <c r="ED21" s="974"/>
      <c r="EE21" s="974"/>
      <c r="EF21" s="974"/>
      <c r="EG21" s="974"/>
      <c r="EH21" s="974"/>
      <c r="EI21" s="974"/>
      <c r="EJ21" s="974"/>
      <c r="EK21" s="974"/>
      <c r="EL21" s="974"/>
      <c r="EM21" s="974"/>
      <c r="EN21" s="974"/>
      <c r="EO21" s="974"/>
      <c r="EP21" s="974"/>
      <c r="EQ21" s="974"/>
      <c r="ER21" s="974"/>
      <c r="ES21" s="974"/>
      <c r="ET21" s="974"/>
      <c r="EU21" s="974"/>
      <c r="EV21" s="974"/>
      <c r="EW21" s="974"/>
      <c r="EX21" s="974"/>
      <c r="EY21" s="974"/>
      <c r="EZ21" s="974"/>
      <c r="FA21" s="974"/>
      <c r="FB21" s="974"/>
      <c r="FC21" s="974"/>
      <c r="FD21" s="974"/>
      <c r="FE21" s="974"/>
      <c r="FF21" s="974"/>
      <c r="FG21" s="974"/>
      <c r="FH21" s="974"/>
      <c r="FI21" s="974"/>
      <c r="FJ21" s="974"/>
      <c r="FK21" s="974"/>
      <c r="FL21" s="974"/>
      <c r="FM21" s="974"/>
      <c r="FN21" s="974"/>
      <c r="FO21" s="974"/>
      <c r="FP21" s="974"/>
      <c r="FQ21" s="974"/>
      <c r="FR21" s="974"/>
      <c r="FS21" s="974"/>
      <c r="FT21" s="974"/>
      <c r="FU21" s="974"/>
      <c r="FV21" s="974"/>
      <c r="FW21" s="974"/>
      <c r="FX21" s="974"/>
      <c r="FY21" s="974"/>
      <c r="FZ21" s="974"/>
      <c r="GA21" s="974"/>
      <c r="GB21" s="974"/>
      <c r="GC21" s="974"/>
      <c r="GD21" s="974"/>
      <c r="GE21" s="974"/>
      <c r="GF21" s="974"/>
      <c r="GG21" s="974"/>
      <c r="GH21" s="974"/>
      <c r="GI21" s="974"/>
      <c r="GJ21" s="974"/>
      <c r="GK21" s="974"/>
      <c r="GL21" s="974"/>
      <c r="GM21" s="974"/>
      <c r="GN21" s="974"/>
      <c r="GO21" s="974"/>
      <c r="GP21" s="974"/>
      <c r="GQ21" s="974"/>
      <c r="GR21" s="974"/>
      <c r="GS21" s="974"/>
      <c r="GT21" s="974"/>
      <c r="GU21" s="974"/>
      <c r="GV21" s="974"/>
      <c r="GW21" s="974"/>
      <c r="GX21" s="974"/>
      <c r="GY21" s="974"/>
      <c r="GZ21" s="974"/>
      <c r="HA21" s="974"/>
      <c r="HB21" s="974"/>
      <c r="HC21" s="974"/>
      <c r="HD21" s="974"/>
      <c r="HE21" s="974"/>
      <c r="HF21" s="974"/>
      <c r="HG21" s="974"/>
      <c r="HH21" s="974"/>
      <c r="HI21" s="974"/>
      <c r="HJ21" s="974"/>
      <c r="HK21" s="974"/>
      <c r="HL21" s="974"/>
      <c r="HM21" s="974"/>
      <c r="HN21" s="974"/>
      <c r="HO21" s="974"/>
      <c r="HP21" s="974"/>
      <c r="HQ21" s="974"/>
      <c r="HR21" s="974"/>
      <c r="HS21" s="974"/>
      <c r="HT21" s="974"/>
      <c r="HU21" s="974"/>
      <c r="HV21" s="974"/>
      <c r="HW21" s="974"/>
      <c r="HX21" s="974"/>
      <c r="HY21" s="974"/>
      <c r="HZ21" s="974"/>
      <c r="IA21" s="974"/>
      <c r="IB21" s="974"/>
      <c r="IC21" s="974"/>
      <c r="ID21" s="974"/>
      <c r="IE21" s="974"/>
      <c r="IF21" s="974"/>
      <c r="IG21" s="974"/>
      <c r="IH21" s="974"/>
      <c r="II21" s="974"/>
      <c r="IJ21" s="974"/>
      <c r="IK21" s="974"/>
      <c r="IL21" s="974"/>
      <c r="IM21" s="974"/>
      <c r="IN21" s="974"/>
      <c r="IO21" s="974"/>
      <c r="IP21" s="974"/>
      <c r="IQ21" s="974"/>
      <c r="IR21" s="974"/>
      <c r="IS21" s="974"/>
      <c r="IT21" s="974"/>
      <c r="IU21" s="974"/>
      <c r="IV21" s="974"/>
      <c r="IW21" s="974"/>
      <c r="IX21" s="974"/>
      <c r="IY21" s="974"/>
      <c r="IZ21" s="974"/>
      <c r="JA21" s="974"/>
      <c r="JB21" s="974"/>
      <c r="JC21" s="974"/>
      <c r="JD21" s="974"/>
      <c r="JE21" s="974"/>
      <c r="JF21" s="974"/>
      <c r="JG21" s="974"/>
      <c r="JH21" s="974"/>
      <c r="JI21" s="974"/>
      <c r="JJ21" s="974"/>
      <c r="JK21" s="974"/>
      <c r="JL21" s="974"/>
      <c r="JM21" s="974"/>
      <c r="JN21" s="974"/>
      <c r="JO21" s="974"/>
      <c r="JP21" s="974"/>
      <c r="JQ21" s="974"/>
      <c r="JR21" s="974"/>
      <c r="JS21" s="974"/>
      <c r="JT21" s="974"/>
      <c r="JU21" s="974"/>
      <c r="JV21" s="974"/>
      <c r="JW21" s="974"/>
      <c r="JX21" s="974"/>
      <c r="JY21" s="974"/>
      <c r="JZ21" s="974"/>
      <c r="KA21" s="974"/>
      <c r="KB21" s="974"/>
      <c r="KC21" s="974"/>
      <c r="KD21" s="974"/>
      <c r="KE21" s="974"/>
      <c r="KF21" s="974"/>
      <c r="KG21" s="974"/>
      <c r="KH21" s="974"/>
      <c r="KI21" s="974"/>
      <c r="KJ21" s="974"/>
      <c r="KK21" s="974"/>
      <c r="KL21" s="974"/>
      <c r="KM21" s="974"/>
      <c r="KN21" s="974"/>
      <c r="KO21" s="974"/>
      <c r="KP21" s="974"/>
      <c r="KQ21" s="974"/>
      <c r="KR21" s="974"/>
      <c r="KS21" s="974"/>
      <c r="KT21" s="974"/>
      <c r="KU21" s="974"/>
      <c r="KV21" s="974"/>
      <c r="KW21" s="974"/>
      <c r="KX21" s="974"/>
      <c r="KY21" s="974"/>
      <c r="KZ21" s="974"/>
      <c r="LA21" s="974"/>
      <c r="LB21" s="974"/>
      <c r="LC21" s="974"/>
      <c r="LD21" s="974"/>
      <c r="LE21" s="974"/>
      <c r="LF21" s="974"/>
      <c r="LG21" s="974"/>
      <c r="LH21" s="974"/>
      <c r="LI21" s="974"/>
      <c r="LJ21" s="974"/>
      <c r="LK21" s="974"/>
      <c r="LL21" s="974"/>
      <c r="LM21" s="974"/>
      <c r="LN21" s="974"/>
      <c r="LO21" s="974"/>
      <c r="LP21" s="974"/>
      <c r="LQ21" s="974"/>
      <c r="LR21" s="974"/>
      <c r="LS21" s="974"/>
      <c r="LT21" s="974"/>
      <c r="LU21" s="974"/>
      <c r="LV21" s="974"/>
      <c r="LW21" s="974"/>
      <c r="LX21" s="974"/>
      <c r="LY21" s="974"/>
      <c r="LZ21" s="974"/>
      <c r="MA21" s="974"/>
      <c r="MB21" s="974"/>
      <c r="MC21" s="974"/>
      <c r="MD21" s="974"/>
      <c r="ME21" s="974"/>
      <c r="MF21" s="974"/>
      <c r="MG21" s="974"/>
      <c r="MH21" s="974"/>
      <c r="MI21" s="974"/>
      <c r="MJ21" s="974"/>
      <c r="MK21" s="974"/>
      <c r="ML21" s="974"/>
      <c r="MM21" s="974"/>
      <c r="MN21" s="974"/>
      <c r="MO21" s="974"/>
      <c r="MP21" s="974"/>
      <c r="MQ21" s="974"/>
      <c r="MR21" s="974"/>
      <c r="MS21" s="974"/>
      <c r="MT21" s="974"/>
      <c r="MU21" s="974"/>
      <c r="MV21" s="974"/>
      <c r="MW21" s="974"/>
      <c r="MX21" s="974"/>
      <c r="MY21" s="974"/>
      <c r="MZ21" s="974"/>
      <c r="NA21" s="974"/>
      <c r="NB21" s="974"/>
      <c r="NC21" s="974"/>
      <c r="ND21" s="974"/>
      <c r="NE21" s="974"/>
      <c r="NF21" s="974"/>
      <c r="NG21" s="974"/>
      <c r="NH21" s="974"/>
      <c r="NI21" s="974"/>
      <c r="NJ21" s="974"/>
      <c r="NK21" s="974"/>
      <c r="NL21" s="974"/>
      <c r="NM21" s="974"/>
      <c r="NN21" s="974"/>
      <c r="NO21" s="974"/>
      <c r="NP21" s="974"/>
      <c r="NQ21" s="974"/>
      <c r="NR21" s="974"/>
      <c r="NS21" s="974"/>
      <c r="NT21" s="974"/>
      <c r="NU21" s="974"/>
      <c r="NV21" s="974"/>
      <c r="NW21" s="974"/>
      <c r="NX21" s="974"/>
      <c r="NY21" s="974"/>
      <c r="NZ21" s="974"/>
      <c r="OA21" s="974"/>
      <c r="OB21" s="974"/>
      <c r="OC21" s="974"/>
      <c r="OD21" s="974"/>
      <c r="OE21" s="974"/>
      <c r="OF21" s="974"/>
      <c r="OG21" s="974"/>
      <c r="OH21" s="974"/>
      <c r="OI21" s="974"/>
      <c r="OJ21" s="974"/>
      <c r="OK21" s="974"/>
      <c r="OL21" s="974"/>
      <c r="OM21" s="974"/>
      <c r="ON21" s="974"/>
      <c r="OO21" s="974"/>
      <c r="OP21" s="974"/>
      <c r="OQ21" s="974"/>
      <c r="OR21" s="974"/>
      <c r="OS21" s="974"/>
      <c r="OT21" s="974"/>
      <c r="OU21" s="974"/>
      <c r="OV21" s="974"/>
      <c r="OW21" s="974"/>
      <c r="OX21" s="974"/>
      <c r="OY21" s="974"/>
      <c r="OZ21" s="974"/>
      <c r="PA21" s="974"/>
      <c r="PB21" s="974"/>
      <c r="PC21" s="974"/>
      <c r="PD21" s="974"/>
      <c r="PE21" s="974"/>
      <c r="PF21" s="974"/>
      <c r="PG21" s="974"/>
      <c r="PH21" s="974"/>
      <c r="PI21" s="974"/>
      <c r="PJ21" s="974"/>
      <c r="PK21" s="974"/>
      <c r="PL21" s="974"/>
      <c r="PM21" s="974"/>
      <c r="PN21" s="974"/>
      <c r="PO21" s="974"/>
      <c r="PP21" s="974"/>
      <c r="PQ21" s="974"/>
      <c r="PR21" s="974"/>
      <c r="PS21" s="974"/>
      <c r="PT21" s="974"/>
      <c r="PU21" s="974"/>
      <c r="PV21" s="974"/>
      <c r="PW21" s="974"/>
      <c r="PX21" s="974"/>
      <c r="PY21" s="974"/>
      <c r="PZ21" s="974"/>
      <c r="QA21" s="974"/>
      <c r="QB21" s="974"/>
      <c r="QC21" s="974"/>
      <c r="QD21" s="974"/>
      <c r="QE21" s="974"/>
      <c r="QF21" s="974"/>
      <c r="QG21" s="974"/>
      <c r="QH21" s="974"/>
      <c r="QI21" s="974"/>
      <c r="QJ21" s="974"/>
      <c r="QK21" s="974"/>
      <c r="QL21" s="974"/>
      <c r="QM21" s="974"/>
      <c r="QN21" s="974"/>
      <c r="QO21" s="974"/>
      <c r="QP21" s="974"/>
      <c r="QQ21" s="974"/>
      <c r="QR21" s="974"/>
      <c r="QS21" s="974"/>
      <c r="QT21" s="974"/>
      <c r="QU21" s="974"/>
      <c r="QV21" s="974"/>
      <c r="QW21" s="974"/>
      <c r="QX21" s="974"/>
      <c r="QY21" s="974"/>
      <c r="QZ21" s="974"/>
      <c r="RA21" s="974"/>
      <c r="RB21" s="974"/>
      <c r="RC21" s="974"/>
      <c r="RD21" s="974"/>
      <c r="RE21" s="974"/>
      <c r="RF21" s="974"/>
      <c r="RG21" s="974"/>
      <c r="RH21" s="974"/>
      <c r="RI21" s="974"/>
      <c r="RJ21" s="974"/>
      <c r="RK21" s="974"/>
      <c r="RL21" s="974"/>
      <c r="RM21" s="974"/>
      <c r="RN21" s="974"/>
      <c r="RO21" s="974"/>
      <c r="RP21" s="974"/>
      <c r="RQ21" s="974"/>
      <c r="RR21" s="974"/>
      <c r="RS21" s="974"/>
      <c r="RT21" s="974"/>
      <c r="RU21" s="974"/>
      <c r="RV21" s="974"/>
      <c r="RW21" s="974"/>
      <c r="RX21" s="974"/>
      <c r="RY21" s="974"/>
      <c r="RZ21" s="974"/>
      <c r="SA21" s="974"/>
      <c r="SB21" s="974"/>
      <c r="SC21" s="974"/>
      <c r="SD21" s="974"/>
      <c r="SE21" s="974"/>
      <c r="SF21" s="974"/>
      <c r="SG21" s="974"/>
      <c r="SH21" s="974"/>
      <c r="SI21" s="974"/>
      <c r="SJ21" s="974"/>
      <c r="SK21" s="974"/>
      <c r="SL21" s="974"/>
      <c r="SM21" s="974"/>
      <c r="SN21" s="974"/>
      <c r="SO21" s="974"/>
      <c r="SP21" s="974"/>
      <c r="SQ21" s="974"/>
      <c r="SR21" s="974"/>
      <c r="SS21" s="974"/>
      <c r="ST21" s="974"/>
      <c r="SU21" s="974"/>
      <c r="SV21" s="974"/>
      <c r="SW21" s="974"/>
      <c r="SX21" s="974"/>
      <c r="SY21" s="974"/>
      <c r="SZ21" s="974"/>
      <c r="TA21" s="974"/>
      <c r="TB21" s="974"/>
      <c r="TC21" s="974"/>
      <c r="TD21" s="974"/>
      <c r="TE21" s="974"/>
      <c r="TF21" s="974"/>
      <c r="TG21" s="974"/>
      <c r="TH21" s="974"/>
      <c r="TI21" s="974"/>
      <c r="TJ21" s="974"/>
      <c r="TK21" s="974"/>
      <c r="TL21" s="974"/>
      <c r="TM21" s="974"/>
      <c r="TN21" s="974"/>
      <c r="TO21" s="974"/>
      <c r="TP21" s="974"/>
      <c r="TQ21" s="974"/>
      <c r="TR21" s="974"/>
      <c r="TS21" s="974"/>
      <c r="TT21" s="974"/>
      <c r="TU21" s="974"/>
      <c r="TV21" s="974"/>
      <c r="TW21" s="974"/>
      <c r="TX21" s="974"/>
      <c r="TY21" s="974"/>
      <c r="TZ21" s="974"/>
      <c r="UA21" s="974"/>
      <c r="UB21" s="974"/>
      <c r="UC21" s="974"/>
      <c r="UD21" s="974"/>
      <c r="UE21" s="974"/>
      <c r="UF21" s="974"/>
      <c r="UG21" s="974"/>
      <c r="UH21" s="974"/>
      <c r="UI21" s="974"/>
      <c r="UJ21" s="974"/>
      <c r="UK21" s="974"/>
      <c r="UL21" s="974"/>
      <c r="UM21" s="974"/>
      <c r="UN21" s="974"/>
      <c r="UO21" s="974"/>
      <c r="UP21" s="974"/>
      <c r="UQ21" s="974"/>
      <c r="UR21" s="974"/>
      <c r="US21" s="974"/>
      <c r="UT21" s="974"/>
      <c r="UU21" s="974"/>
      <c r="UV21" s="974"/>
      <c r="UW21" s="974"/>
      <c r="UX21" s="974"/>
      <c r="UY21" s="974"/>
      <c r="UZ21" s="974"/>
      <c r="VA21" s="974"/>
      <c r="VB21" s="974"/>
      <c r="VC21" s="974"/>
      <c r="VD21" s="974"/>
      <c r="VE21" s="974"/>
      <c r="VF21" s="974"/>
      <c r="VG21" s="974"/>
      <c r="VH21" s="974"/>
      <c r="VI21" s="974"/>
      <c r="VJ21" s="974"/>
      <c r="VK21" s="974"/>
      <c r="VL21" s="974"/>
      <c r="VM21" s="974"/>
      <c r="VN21" s="974"/>
      <c r="VO21" s="974"/>
      <c r="VP21" s="974"/>
      <c r="VQ21" s="974"/>
      <c r="VR21" s="974"/>
      <c r="VS21" s="974"/>
      <c r="VT21" s="974"/>
      <c r="VU21" s="974"/>
      <c r="VV21" s="974"/>
      <c r="VW21" s="974"/>
      <c r="VX21" s="974"/>
      <c r="VY21" s="974"/>
      <c r="VZ21" s="974"/>
      <c r="WA21" s="974"/>
      <c r="WB21" s="974"/>
      <c r="WC21" s="974"/>
      <c r="WD21" s="974"/>
      <c r="WE21" s="974"/>
      <c r="WF21" s="974"/>
      <c r="WG21" s="974"/>
      <c r="WH21" s="974"/>
      <c r="WI21" s="974"/>
      <c r="WJ21" s="974"/>
      <c r="WK21" s="974"/>
      <c r="WL21" s="974"/>
      <c r="WM21" s="974"/>
      <c r="WN21" s="974"/>
      <c r="WO21" s="974"/>
      <c r="WP21" s="974"/>
      <c r="WQ21" s="974"/>
      <c r="WR21" s="974"/>
      <c r="WS21" s="974"/>
      <c r="WT21" s="974"/>
      <c r="WU21" s="974"/>
      <c r="WV21" s="974"/>
      <c r="WW21" s="974"/>
      <c r="WX21" s="974"/>
      <c r="WY21" s="974"/>
      <c r="WZ21" s="974"/>
      <c r="XA21" s="974"/>
      <c r="XB21" s="974"/>
      <c r="XC21" s="974"/>
      <c r="XD21" s="974"/>
      <c r="XE21" s="974"/>
      <c r="XF21" s="974"/>
      <c r="XG21" s="974"/>
      <c r="XH21" s="974"/>
      <c r="XI21" s="974"/>
      <c r="XJ21" s="974"/>
      <c r="XK21" s="974"/>
      <c r="XL21" s="974"/>
      <c r="XM21" s="974"/>
      <c r="XN21" s="974"/>
      <c r="XO21" s="974"/>
      <c r="XP21" s="974"/>
      <c r="XQ21" s="974"/>
      <c r="XR21" s="974"/>
      <c r="XS21" s="974"/>
      <c r="XT21" s="974"/>
      <c r="XU21" s="974"/>
      <c r="XV21" s="974"/>
      <c r="XW21" s="974"/>
      <c r="XX21" s="974"/>
      <c r="XY21" s="974"/>
      <c r="XZ21" s="974"/>
      <c r="YA21" s="974"/>
      <c r="YB21" s="974"/>
      <c r="YC21" s="974"/>
      <c r="YD21" s="974"/>
      <c r="YE21" s="974"/>
      <c r="YF21" s="974"/>
      <c r="YG21" s="974"/>
      <c r="YH21" s="974"/>
      <c r="YI21" s="974"/>
      <c r="YJ21" s="974"/>
      <c r="YK21" s="974"/>
      <c r="YL21" s="974"/>
      <c r="YM21" s="974"/>
      <c r="YN21" s="974"/>
      <c r="YO21" s="974"/>
      <c r="YP21" s="974"/>
      <c r="YQ21" s="974"/>
      <c r="YR21" s="974"/>
      <c r="YS21" s="974"/>
      <c r="YT21" s="974"/>
      <c r="YU21" s="974"/>
      <c r="YV21" s="974"/>
      <c r="YW21" s="974"/>
      <c r="YX21" s="974"/>
      <c r="YY21" s="974"/>
      <c r="YZ21" s="974"/>
      <c r="ZA21" s="974"/>
      <c r="ZB21" s="974"/>
      <c r="ZC21" s="974"/>
      <c r="ZD21" s="974"/>
      <c r="ZE21" s="974"/>
      <c r="ZF21" s="974"/>
      <c r="ZG21" s="974"/>
      <c r="ZH21" s="974"/>
      <c r="ZI21" s="974"/>
      <c r="ZJ21" s="974"/>
      <c r="ZK21" s="974"/>
      <c r="ZL21" s="974"/>
      <c r="ZM21" s="974"/>
      <c r="ZN21" s="974"/>
      <c r="ZO21" s="974"/>
      <c r="ZP21" s="974"/>
      <c r="ZQ21" s="974"/>
      <c r="ZR21" s="974"/>
      <c r="ZS21" s="974"/>
      <c r="ZT21" s="974"/>
      <c r="ZU21" s="974"/>
      <c r="ZV21" s="974"/>
      <c r="ZW21" s="974"/>
      <c r="ZX21" s="974"/>
      <c r="ZY21" s="974"/>
      <c r="ZZ21" s="974"/>
      <c r="AAA21" s="974"/>
      <c r="AAB21" s="974"/>
      <c r="AAC21" s="974"/>
      <c r="AAD21" s="974"/>
      <c r="AAE21" s="974"/>
      <c r="AAF21" s="974"/>
      <c r="AAG21" s="974"/>
      <c r="AAH21" s="974"/>
      <c r="AAI21" s="974"/>
      <c r="AAJ21" s="974"/>
      <c r="AAK21" s="974"/>
      <c r="AAL21" s="974"/>
      <c r="AAM21" s="974"/>
      <c r="AAN21" s="974"/>
      <c r="AAO21" s="974"/>
      <c r="AAP21" s="974"/>
      <c r="AAQ21" s="974"/>
      <c r="AAR21" s="974"/>
      <c r="AAS21" s="974"/>
      <c r="AAT21" s="974"/>
      <c r="AAU21" s="974"/>
      <c r="AAV21" s="974"/>
      <c r="AAW21" s="974"/>
      <c r="AAX21" s="974"/>
      <c r="AAY21" s="974"/>
      <c r="AAZ21" s="974"/>
      <c r="ABA21" s="974"/>
      <c r="ABB21" s="974"/>
      <c r="ABC21" s="974"/>
      <c r="ABD21" s="974"/>
      <c r="ABE21" s="974"/>
      <c r="ABF21" s="974"/>
      <c r="ABG21" s="974"/>
      <c r="ABH21" s="974"/>
      <c r="ABI21" s="974"/>
      <c r="ABJ21" s="974"/>
      <c r="ABK21" s="974"/>
      <c r="ABL21" s="974"/>
      <c r="ABM21" s="974"/>
      <c r="ABN21" s="974"/>
      <c r="ABO21" s="974"/>
      <c r="ABP21" s="974"/>
      <c r="ABQ21" s="974"/>
      <c r="ABR21" s="974"/>
      <c r="ABS21" s="974"/>
      <c r="ABT21" s="974"/>
      <c r="ABU21" s="974"/>
      <c r="ABV21" s="974"/>
      <c r="ABW21" s="974"/>
      <c r="ABX21" s="974"/>
      <c r="ABY21" s="974"/>
      <c r="ABZ21" s="974"/>
      <c r="ACA21" s="974"/>
      <c r="ACB21" s="974"/>
      <c r="ACC21" s="974"/>
      <c r="ACD21" s="974"/>
      <c r="ACE21" s="974"/>
      <c r="ACF21" s="974"/>
      <c r="ACG21" s="974"/>
      <c r="ACH21" s="974"/>
      <c r="ACI21" s="974"/>
      <c r="ACJ21" s="974"/>
      <c r="ACK21" s="974"/>
      <c r="ACL21" s="974"/>
      <c r="ACM21" s="974"/>
      <c r="ACN21" s="974"/>
      <c r="ACO21" s="974"/>
      <c r="ACP21" s="974"/>
      <c r="ACQ21" s="974"/>
      <c r="ACR21" s="974"/>
      <c r="ACS21" s="974"/>
      <c r="ACT21" s="974"/>
      <c r="ACU21" s="974"/>
      <c r="ACV21" s="974"/>
      <c r="ACW21" s="974"/>
      <c r="ACX21" s="974"/>
      <c r="ACY21" s="974"/>
      <c r="ACZ21" s="974"/>
      <c r="ADA21" s="974"/>
      <c r="ADB21" s="974"/>
      <c r="ADC21" s="974"/>
      <c r="ADD21" s="974"/>
      <c r="ADE21" s="974"/>
      <c r="ADF21" s="974"/>
      <c r="ADG21" s="974"/>
      <c r="ADH21" s="974"/>
      <c r="ADI21" s="974"/>
      <c r="ADJ21" s="974"/>
      <c r="ADK21" s="974"/>
      <c r="ADL21" s="974"/>
      <c r="ADM21" s="974"/>
      <c r="ADN21" s="974"/>
      <c r="ADO21" s="974"/>
      <c r="ADP21" s="974"/>
      <c r="ADQ21" s="974"/>
      <c r="ADR21" s="974"/>
      <c r="ADS21" s="974"/>
      <c r="ADT21" s="974"/>
      <c r="ADU21" s="974"/>
      <c r="ADV21" s="974"/>
      <c r="ADW21" s="974"/>
      <c r="ADX21" s="974"/>
      <c r="ADY21" s="974"/>
      <c r="ADZ21" s="974"/>
      <c r="AEA21" s="974"/>
      <c r="AEB21" s="974"/>
      <c r="AEC21" s="974"/>
      <c r="AED21" s="974"/>
      <c r="AEE21" s="974"/>
      <c r="AEF21" s="974"/>
      <c r="AEG21" s="974"/>
      <c r="AEH21" s="974"/>
      <c r="AEI21" s="974"/>
      <c r="AEJ21" s="974"/>
      <c r="AEK21" s="974"/>
      <c r="AEL21" s="974"/>
      <c r="AEM21" s="974"/>
      <c r="AEN21" s="974"/>
      <c r="AEO21" s="974"/>
      <c r="AEP21" s="974"/>
      <c r="AEQ21" s="974"/>
      <c r="AER21" s="974"/>
      <c r="AES21" s="974"/>
      <c r="AET21" s="974"/>
      <c r="AEU21" s="974"/>
      <c r="AEV21" s="974"/>
      <c r="AEW21" s="974"/>
      <c r="AEX21" s="974"/>
      <c r="AEY21" s="974"/>
      <c r="AEZ21" s="974"/>
      <c r="AFA21" s="974"/>
      <c r="AFB21" s="974"/>
      <c r="AFC21" s="974"/>
      <c r="AFD21" s="974"/>
      <c r="AFE21" s="974"/>
      <c r="AFF21" s="974"/>
      <c r="AFG21" s="974"/>
      <c r="AFH21" s="974"/>
      <c r="AFI21" s="974"/>
      <c r="AFJ21" s="974"/>
      <c r="AFK21" s="974"/>
      <c r="AFL21" s="974"/>
      <c r="AFM21" s="974"/>
      <c r="AFN21" s="974"/>
      <c r="AFO21" s="974"/>
      <c r="AFP21" s="974"/>
      <c r="AFQ21" s="974"/>
      <c r="AFR21" s="974"/>
      <c r="AFS21" s="974"/>
      <c r="AFT21" s="974"/>
      <c r="AFU21" s="974"/>
      <c r="AFV21" s="974"/>
      <c r="AFW21" s="974"/>
      <c r="AFX21" s="974"/>
      <c r="AFY21" s="974"/>
      <c r="AFZ21" s="974"/>
      <c r="AGA21" s="974"/>
      <c r="AGB21" s="974"/>
      <c r="AGC21" s="974"/>
      <c r="AGD21" s="974"/>
      <c r="AGE21" s="974"/>
      <c r="AGF21" s="974"/>
      <c r="AGG21" s="974"/>
      <c r="AGH21" s="974"/>
      <c r="AGI21" s="974"/>
      <c r="AGJ21" s="974"/>
      <c r="AGK21" s="974"/>
      <c r="AGL21" s="974"/>
      <c r="AGM21" s="974"/>
      <c r="AGN21" s="974"/>
      <c r="AGO21" s="974"/>
      <c r="AGP21" s="974"/>
      <c r="AGQ21" s="974"/>
      <c r="AGR21" s="974"/>
      <c r="AGS21" s="974"/>
      <c r="AGT21" s="974"/>
      <c r="AGU21" s="974"/>
      <c r="AGV21" s="974"/>
      <c r="AGW21" s="974"/>
      <c r="AGX21" s="974"/>
      <c r="AGY21" s="974"/>
      <c r="AGZ21" s="974"/>
      <c r="AHA21" s="974"/>
      <c r="AHB21" s="974"/>
      <c r="AHC21" s="974"/>
      <c r="AHD21" s="974"/>
      <c r="AHE21" s="974"/>
      <c r="AHF21" s="974"/>
      <c r="AHG21" s="974"/>
      <c r="AHH21" s="974"/>
      <c r="AHI21" s="974"/>
      <c r="AHJ21" s="974"/>
      <c r="AHK21" s="974"/>
      <c r="AHL21" s="974"/>
      <c r="AHM21" s="974"/>
      <c r="AHN21" s="974"/>
      <c r="AHO21" s="974"/>
      <c r="AHP21" s="974"/>
      <c r="AHQ21" s="974"/>
      <c r="AHR21" s="974"/>
      <c r="AHS21" s="974"/>
      <c r="AHT21" s="974"/>
      <c r="AHU21" s="974"/>
      <c r="AHV21" s="974"/>
      <c r="AHW21" s="974"/>
      <c r="AHX21" s="974"/>
      <c r="AHY21" s="974"/>
      <c r="AHZ21" s="974"/>
      <c r="AIA21" s="974"/>
      <c r="AIB21" s="974"/>
      <c r="AIC21" s="974"/>
      <c r="AID21" s="974"/>
      <c r="AIE21" s="974"/>
      <c r="AIF21" s="974"/>
      <c r="AIG21" s="974"/>
      <c r="AIH21" s="974"/>
      <c r="AII21" s="974"/>
      <c r="AIJ21" s="974"/>
      <c r="AIK21" s="974"/>
      <c r="AIL21" s="974"/>
      <c r="AIM21" s="974"/>
      <c r="AIN21" s="974"/>
      <c r="AIO21" s="974"/>
      <c r="AIP21" s="974"/>
      <c r="AIQ21" s="974"/>
      <c r="AIR21" s="974"/>
      <c r="AIS21" s="974"/>
      <c r="AIT21" s="974"/>
      <c r="AIU21" s="974"/>
      <c r="AIV21" s="974"/>
      <c r="AIW21" s="974"/>
      <c r="AIX21" s="974"/>
      <c r="AIY21" s="974"/>
      <c r="AIZ21" s="974"/>
      <c r="AJA21" s="974"/>
      <c r="AJB21" s="974"/>
      <c r="AJC21" s="974"/>
      <c r="AJD21" s="974"/>
      <c r="AJE21" s="974"/>
      <c r="AJF21" s="974"/>
      <c r="AJG21" s="974"/>
      <c r="AJH21" s="974"/>
      <c r="AJI21" s="974"/>
      <c r="AJJ21" s="974"/>
      <c r="AJK21" s="974"/>
      <c r="AJL21" s="974"/>
      <c r="AJM21" s="974"/>
      <c r="AJN21" s="974"/>
      <c r="AJO21" s="974"/>
      <c r="AJP21" s="974"/>
      <c r="AJQ21" s="974"/>
      <c r="AJR21" s="974"/>
      <c r="AJS21" s="974"/>
      <c r="AJT21" s="974"/>
      <c r="AJU21" s="974"/>
      <c r="AJV21" s="974"/>
      <c r="AJW21" s="974"/>
      <c r="AJX21" s="974"/>
      <c r="AJY21" s="974"/>
      <c r="AJZ21" s="974"/>
      <c r="AKA21" s="974"/>
      <c r="AKB21" s="974"/>
      <c r="AKC21" s="974"/>
      <c r="AKD21" s="974"/>
      <c r="AKE21" s="974"/>
      <c r="AKF21" s="974"/>
      <c r="AKG21" s="974"/>
      <c r="AKH21" s="974"/>
      <c r="AKI21" s="974"/>
      <c r="AKJ21" s="974"/>
      <c r="AKK21" s="974"/>
      <c r="AKL21" s="974"/>
      <c r="AKM21" s="974"/>
      <c r="AKN21" s="974"/>
      <c r="AKO21" s="974"/>
      <c r="AKP21" s="974"/>
      <c r="AKQ21" s="974"/>
      <c r="AKR21" s="974"/>
      <c r="AKS21" s="974"/>
      <c r="AKT21" s="974"/>
      <c r="AKU21" s="974"/>
      <c r="AKV21" s="974"/>
      <c r="AKW21" s="974"/>
      <c r="AKX21" s="974"/>
      <c r="AKY21" s="974"/>
      <c r="AKZ21" s="974"/>
      <c r="ALA21" s="974"/>
      <c r="ALB21" s="974"/>
      <c r="ALC21" s="974"/>
      <c r="ALD21" s="974"/>
      <c r="ALE21" s="974"/>
      <c r="ALF21" s="974"/>
      <c r="ALG21" s="974"/>
      <c r="ALH21" s="974"/>
      <c r="ALI21" s="974"/>
      <c r="ALJ21" s="974"/>
      <c r="ALK21" s="974"/>
      <c r="ALL21" s="974"/>
      <c r="ALM21" s="974"/>
      <c r="ALN21" s="974"/>
      <c r="ALO21" s="974"/>
      <c r="ALP21" s="974"/>
      <c r="ALQ21" s="974"/>
      <c r="ALR21" s="974"/>
      <c r="ALS21" s="974"/>
      <c r="ALT21" s="974"/>
      <c r="ALU21" s="974"/>
      <c r="ALV21" s="974"/>
      <c r="ALW21" s="974"/>
      <c r="ALX21" s="974"/>
      <c r="ALY21" s="974"/>
      <c r="ALZ21" s="974"/>
      <c r="AMA21" s="974"/>
      <c r="AMB21" s="974"/>
      <c r="AMC21" s="974"/>
      <c r="AMD21" s="974"/>
      <c r="AME21" s="974"/>
      <c r="AMF21" s="974"/>
      <c r="AMG21" s="974"/>
      <c r="AMH21" s="974"/>
      <c r="AMI21" s="974"/>
      <c r="AMJ21" s="974"/>
      <c r="AMK21" s="974"/>
      <c r="AML21" s="974"/>
      <c r="AMM21" s="974"/>
      <c r="AMN21" s="974"/>
      <c r="AMO21" s="974"/>
      <c r="AMP21" s="974"/>
      <c r="AMQ21" s="974"/>
      <c r="AMR21" s="974"/>
      <c r="AMS21" s="974"/>
      <c r="AMT21" s="974"/>
      <c r="AMU21" s="974"/>
      <c r="AMV21" s="974"/>
      <c r="AMW21" s="974"/>
      <c r="AMX21" s="974"/>
      <c r="AMY21" s="974"/>
      <c r="AMZ21" s="974"/>
      <c r="ANA21" s="974"/>
      <c r="ANB21" s="974"/>
      <c r="ANC21" s="974"/>
      <c r="AND21" s="974"/>
      <c r="ANE21" s="974"/>
      <c r="ANF21" s="974"/>
      <c r="ANG21" s="974"/>
      <c r="ANH21" s="974"/>
      <c r="ANI21" s="974"/>
      <c r="ANJ21" s="974"/>
      <c r="ANK21" s="974"/>
      <c r="ANL21" s="974"/>
      <c r="ANM21" s="974"/>
      <c r="ANN21" s="974"/>
      <c r="ANO21" s="974"/>
      <c r="ANP21" s="974"/>
      <c r="ANQ21" s="974"/>
      <c r="ANR21" s="974"/>
      <c r="ANS21" s="974"/>
      <c r="ANT21" s="974"/>
      <c r="ANU21" s="974"/>
      <c r="ANV21" s="974"/>
      <c r="ANW21" s="974"/>
      <c r="ANX21" s="974"/>
      <c r="ANY21" s="974"/>
      <c r="ANZ21" s="974"/>
      <c r="AOA21" s="974"/>
      <c r="AOB21" s="974"/>
      <c r="AOC21" s="974"/>
      <c r="AOD21" s="974"/>
      <c r="AOE21" s="974"/>
      <c r="AOF21" s="974"/>
      <c r="AOG21" s="974"/>
      <c r="AOH21" s="974"/>
      <c r="AOI21" s="974"/>
      <c r="AOJ21" s="974"/>
      <c r="AOK21" s="974"/>
      <c r="AOL21" s="974"/>
      <c r="AOM21" s="974"/>
      <c r="AON21" s="974"/>
      <c r="AOO21" s="974"/>
      <c r="AOP21" s="974"/>
      <c r="AOQ21" s="974"/>
      <c r="AOR21" s="974"/>
      <c r="AOS21" s="974"/>
      <c r="AOT21" s="974"/>
      <c r="AOU21" s="974"/>
      <c r="AOV21" s="974"/>
      <c r="AOW21" s="974"/>
      <c r="AOX21" s="974"/>
      <c r="AOY21" s="974"/>
      <c r="AOZ21" s="974"/>
      <c r="APA21" s="974"/>
      <c r="APB21" s="974"/>
      <c r="APC21" s="974"/>
      <c r="APD21" s="974"/>
      <c r="APE21" s="974"/>
      <c r="APF21" s="974"/>
      <c r="APG21" s="974"/>
      <c r="APH21" s="974"/>
      <c r="API21" s="974"/>
      <c r="APJ21" s="974"/>
      <c r="APK21" s="974"/>
      <c r="APL21" s="974"/>
      <c r="APM21" s="974"/>
      <c r="APN21" s="974"/>
      <c r="APO21" s="974"/>
      <c r="APP21" s="974"/>
      <c r="APQ21" s="974"/>
      <c r="APR21" s="974"/>
      <c r="APS21" s="974"/>
      <c r="APT21" s="974"/>
      <c r="APU21" s="974"/>
      <c r="APV21" s="974"/>
      <c r="APW21" s="974"/>
      <c r="APX21" s="974"/>
      <c r="APY21" s="974"/>
      <c r="APZ21" s="974"/>
      <c r="AQA21" s="974"/>
      <c r="AQB21" s="974"/>
      <c r="AQC21" s="974"/>
      <c r="AQD21" s="974"/>
      <c r="AQE21" s="974"/>
      <c r="AQF21" s="974"/>
      <c r="AQG21" s="974"/>
      <c r="AQH21" s="974"/>
      <c r="AQI21" s="974"/>
      <c r="AQJ21" s="974"/>
      <c r="AQK21" s="974"/>
      <c r="AQL21" s="974"/>
      <c r="AQM21" s="974"/>
      <c r="AQN21" s="974"/>
      <c r="AQO21" s="974"/>
      <c r="AQP21" s="974"/>
      <c r="AQQ21" s="974"/>
      <c r="AQR21" s="974"/>
      <c r="AQS21" s="974"/>
      <c r="AQT21" s="974"/>
      <c r="AQU21" s="974"/>
      <c r="AQV21" s="974"/>
      <c r="AQW21" s="974"/>
      <c r="AQX21" s="974"/>
      <c r="AQY21" s="974"/>
      <c r="AQZ21" s="974"/>
      <c r="ARA21" s="974"/>
      <c r="ARB21" s="974"/>
      <c r="ARC21" s="974"/>
      <c r="ARD21" s="974"/>
      <c r="ARE21" s="974"/>
      <c r="ARF21" s="974"/>
      <c r="ARG21" s="974"/>
      <c r="ARH21" s="974"/>
      <c r="ARI21" s="974"/>
      <c r="ARJ21" s="974"/>
      <c r="ARK21" s="974"/>
      <c r="ARL21" s="974"/>
      <c r="ARM21" s="974"/>
      <c r="ARN21" s="974"/>
      <c r="ARO21" s="974"/>
      <c r="ARP21" s="974"/>
      <c r="ARQ21" s="974"/>
      <c r="ARR21" s="974"/>
      <c r="ARS21" s="974"/>
      <c r="ART21" s="974"/>
      <c r="ARU21" s="974"/>
      <c r="ARV21" s="974"/>
      <c r="ARW21" s="974"/>
      <c r="ARX21" s="974"/>
      <c r="ARY21" s="974"/>
      <c r="ARZ21" s="974"/>
      <c r="ASA21" s="974"/>
      <c r="ASB21" s="974"/>
      <c r="ASC21" s="974"/>
      <c r="ASD21" s="974"/>
      <c r="ASE21" s="974"/>
      <c r="ASF21" s="974"/>
      <c r="ASG21" s="974"/>
      <c r="ASH21" s="974"/>
      <c r="ASI21" s="974"/>
      <c r="ASJ21" s="974"/>
      <c r="ASK21" s="974"/>
      <c r="ASL21" s="974"/>
      <c r="ASM21" s="974"/>
      <c r="ASN21" s="974"/>
      <c r="ASO21" s="974"/>
      <c r="ASP21" s="974"/>
      <c r="ASQ21" s="974"/>
      <c r="ASR21" s="974"/>
      <c r="ASS21" s="974"/>
      <c r="AST21" s="974"/>
      <c r="ASU21" s="974"/>
      <c r="ASV21" s="974"/>
      <c r="ASW21" s="974"/>
      <c r="ASX21" s="974"/>
      <c r="ASY21" s="974"/>
      <c r="ASZ21" s="974"/>
      <c r="ATA21" s="974"/>
      <c r="ATB21" s="974"/>
      <c r="ATC21" s="974"/>
      <c r="ATD21" s="974"/>
      <c r="ATE21" s="974"/>
      <c r="ATF21" s="974"/>
      <c r="ATG21" s="974"/>
      <c r="ATH21" s="974"/>
      <c r="ATI21" s="974"/>
      <c r="ATJ21" s="974"/>
      <c r="ATK21" s="974"/>
      <c r="ATL21" s="974"/>
      <c r="ATM21" s="974"/>
      <c r="ATN21" s="974"/>
      <c r="ATO21" s="974"/>
      <c r="ATP21" s="974"/>
      <c r="ATQ21" s="974"/>
      <c r="ATR21" s="974"/>
      <c r="ATS21" s="974"/>
      <c r="ATT21" s="974"/>
      <c r="ATU21" s="974"/>
      <c r="ATV21" s="974"/>
      <c r="ATW21" s="974"/>
      <c r="ATX21" s="974"/>
      <c r="ATY21" s="974"/>
      <c r="ATZ21" s="974"/>
      <c r="AUA21" s="974"/>
      <c r="AUB21" s="974"/>
      <c r="AUC21" s="974"/>
      <c r="AUD21" s="974"/>
      <c r="AUE21" s="974"/>
      <c r="AUF21" s="974"/>
      <c r="AUG21" s="974"/>
      <c r="AUH21" s="974"/>
      <c r="AUI21" s="974"/>
      <c r="AUJ21" s="974"/>
      <c r="AUK21" s="974"/>
      <c r="AUL21" s="974"/>
      <c r="AUM21" s="974"/>
      <c r="AUN21" s="974"/>
      <c r="AUO21" s="974"/>
      <c r="AUP21" s="974"/>
      <c r="AUQ21" s="974"/>
      <c r="AUR21" s="974"/>
      <c r="AUS21" s="974"/>
      <c r="AUT21" s="974"/>
      <c r="AUU21" s="974"/>
      <c r="AUV21" s="974"/>
      <c r="AUW21" s="974"/>
      <c r="AUX21" s="974"/>
      <c r="AUY21" s="974"/>
      <c r="AUZ21" s="974"/>
      <c r="AVA21" s="974"/>
      <c r="AVB21" s="974"/>
      <c r="AVC21" s="974"/>
      <c r="AVD21" s="974"/>
      <c r="AVE21" s="974"/>
      <c r="AVF21" s="974"/>
      <c r="AVG21" s="974"/>
      <c r="AVH21" s="974"/>
      <c r="AVI21" s="974"/>
      <c r="AVJ21" s="974"/>
      <c r="AVK21" s="974"/>
      <c r="AVL21" s="974"/>
      <c r="AVM21" s="974"/>
      <c r="AVN21" s="974"/>
      <c r="AVO21" s="974"/>
      <c r="AVP21" s="974"/>
      <c r="AVQ21" s="974"/>
      <c r="AVR21" s="974"/>
      <c r="AVS21" s="974"/>
      <c r="AVT21" s="974"/>
      <c r="AVU21" s="974"/>
      <c r="AVV21" s="974"/>
      <c r="AVW21" s="974"/>
      <c r="AVX21" s="974"/>
      <c r="AVY21" s="974"/>
      <c r="AVZ21" s="974"/>
      <c r="AWA21" s="974"/>
      <c r="AWB21" s="974"/>
      <c r="AWC21" s="974"/>
      <c r="AWD21" s="974"/>
      <c r="AWE21" s="974"/>
      <c r="AWF21" s="974"/>
      <c r="AWG21" s="974"/>
      <c r="AWH21" s="974"/>
      <c r="AWI21" s="974"/>
      <c r="AWJ21" s="974"/>
      <c r="AWK21" s="974"/>
      <c r="AWL21" s="974"/>
      <c r="AWM21" s="974"/>
      <c r="AWN21" s="974"/>
      <c r="AWO21" s="974"/>
      <c r="AWP21" s="974"/>
      <c r="AWQ21" s="974"/>
      <c r="AWR21" s="974"/>
      <c r="AWS21" s="974"/>
      <c r="AWT21" s="974"/>
      <c r="AWU21" s="974"/>
      <c r="AWV21" s="974"/>
      <c r="AWW21" s="974"/>
      <c r="AWX21" s="974"/>
      <c r="AWY21" s="974"/>
      <c r="AWZ21" s="974"/>
      <c r="AXA21" s="974"/>
      <c r="AXB21" s="974"/>
      <c r="AXC21" s="974"/>
      <c r="AXD21" s="974"/>
      <c r="AXE21" s="974"/>
      <c r="AXF21" s="974"/>
      <c r="AXG21" s="974"/>
      <c r="AXH21" s="974"/>
      <c r="AXI21" s="974"/>
      <c r="AXJ21" s="974"/>
      <c r="AXK21" s="974"/>
      <c r="AXL21" s="974"/>
      <c r="AXM21" s="974"/>
      <c r="AXN21" s="974"/>
      <c r="AXO21" s="974"/>
      <c r="AXP21" s="974"/>
      <c r="AXQ21" s="974"/>
      <c r="AXR21" s="974"/>
      <c r="AXS21" s="974"/>
      <c r="AXT21" s="974"/>
      <c r="AXU21" s="974"/>
      <c r="AXV21" s="974"/>
      <c r="AXW21" s="974"/>
      <c r="AXX21" s="974"/>
      <c r="AXY21" s="974"/>
      <c r="AXZ21" s="974"/>
      <c r="AYA21" s="974"/>
      <c r="AYB21" s="974"/>
      <c r="AYC21" s="974"/>
      <c r="AYD21" s="974"/>
      <c r="AYE21" s="974"/>
      <c r="AYF21" s="974"/>
      <c r="AYG21" s="974"/>
      <c r="AYH21" s="974"/>
      <c r="AYI21" s="974"/>
      <c r="AYJ21" s="974"/>
      <c r="AYK21" s="974"/>
      <c r="AYL21" s="974"/>
      <c r="AYM21" s="974"/>
      <c r="AYN21" s="974"/>
      <c r="AYO21" s="974"/>
      <c r="AYP21" s="974"/>
      <c r="AYQ21" s="974"/>
      <c r="AYR21" s="974"/>
      <c r="AYS21" s="974"/>
      <c r="AYT21" s="974"/>
      <c r="AYU21" s="974"/>
      <c r="AYV21" s="974"/>
      <c r="AYW21" s="974"/>
      <c r="AYX21" s="974"/>
      <c r="AYY21" s="974"/>
      <c r="AYZ21" s="974"/>
      <c r="AZA21" s="974"/>
      <c r="AZB21" s="974"/>
      <c r="AZC21" s="974"/>
      <c r="AZD21" s="974"/>
      <c r="AZE21" s="974"/>
      <c r="AZF21" s="974"/>
      <c r="AZG21" s="974"/>
      <c r="AZH21" s="974"/>
      <c r="AZI21" s="974"/>
      <c r="AZJ21" s="974"/>
      <c r="AZK21" s="974"/>
      <c r="AZL21" s="974"/>
      <c r="AZM21" s="974"/>
      <c r="AZN21" s="974"/>
      <c r="AZO21" s="974"/>
      <c r="AZP21" s="974"/>
      <c r="AZQ21" s="974"/>
      <c r="AZR21" s="974"/>
      <c r="AZS21" s="974"/>
      <c r="AZT21" s="974"/>
      <c r="AZU21" s="974"/>
      <c r="AZV21" s="974"/>
      <c r="AZW21" s="974"/>
      <c r="AZX21" s="974"/>
      <c r="AZY21" s="974"/>
      <c r="AZZ21" s="974"/>
      <c r="BAA21" s="974"/>
      <c r="BAB21" s="974"/>
      <c r="BAC21" s="974"/>
      <c r="BAD21" s="974"/>
      <c r="BAE21" s="974"/>
      <c r="BAF21" s="974"/>
      <c r="BAG21" s="974"/>
      <c r="BAH21" s="974"/>
      <c r="BAI21" s="974"/>
      <c r="BAJ21" s="974"/>
      <c r="BAK21" s="974"/>
      <c r="BAL21" s="974"/>
      <c r="BAM21" s="974"/>
      <c r="BAN21" s="974"/>
      <c r="BAO21" s="974"/>
      <c r="BAP21" s="974"/>
      <c r="BAQ21" s="974"/>
      <c r="BAR21" s="974"/>
      <c r="BAS21" s="974"/>
      <c r="BAT21" s="974"/>
      <c r="BAU21" s="974"/>
      <c r="BAV21" s="974"/>
      <c r="BAW21" s="974"/>
      <c r="BAX21" s="974"/>
      <c r="BAY21" s="974"/>
      <c r="BAZ21" s="974"/>
      <c r="BBA21" s="974"/>
      <c r="BBB21" s="974"/>
      <c r="BBC21" s="974"/>
      <c r="BBD21" s="974"/>
      <c r="BBE21" s="974"/>
      <c r="BBF21" s="974"/>
      <c r="BBG21" s="974"/>
      <c r="BBH21" s="974"/>
      <c r="BBI21" s="974"/>
      <c r="BBJ21" s="974"/>
      <c r="BBK21" s="974"/>
      <c r="BBL21" s="974"/>
      <c r="BBM21" s="974"/>
      <c r="BBN21" s="974"/>
      <c r="BBO21" s="974"/>
      <c r="BBP21" s="974"/>
      <c r="BBQ21" s="974"/>
      <c r="BBR21" s="974"/>
      <c r="BBS21" s="974"/>
      <c r="BBT21" s="974"/>
      <c r="BBU21" s="974"/>
      <c r="BBV21" s="974"/>
      <c r="BBW21" s="974"/>
      <c r="BBX21" s="974"/>
      <c r="BBY21" s="974"/>
      <c r="BBZ21" s="974"/>
      <c r="BCA21" s="974"/>
      <c r="BCB21" s="974"/>
      <c r="BCC21" s="974"/>
      <c r="BCD21" s="974"/>
      <c r="BCE21" s="974"/>
      <c r="BCF21" s="974"/>
      <c r="BCG21" s="974"/>
      <c r="BCH21" s="974"/>
      <c r="BCI21" s="974"/>
      <c r="BCJ21" s="974"/>
      <c r="BCK21" s="974"/>
      <c r="BCL21" s="974"/>
      <c r="BCM21" s="974"/>
      <c r="BCN21" s="974"/>
      <c r="BCO21" s="974"/>
      <c r="BCP21" s="974"/>
      <c r="BCQ21" s="974"/>
      <c r="BCR21" s="974"/>
      <c r="BCS21" s="974"/>
      <c r="BCT21" s="974"/>
      <c r="BCU21" s="974"/>
      <c r="BCV21" s="974"/>
      <c r="BCW21" s="974"/>
      <c r="BCX21" s="974"/>
      <c r="BCY21" s="974"/>
      <c r="BCZ21" s="974"/>
      <c r="BDA21" s="974"/>
      <c r="BDB21" s="974"/>
      <c r="BDC21" s="974"/>
      <c r="BDD21" s="974"/>
      <c r="BDE21" s="974"/>
      <c r="BDF21" s="974"/>
      <c r="BDG21" s="974"/>
      <c r="BDH21" s="974"/>
      <c r="BDI21" s="974"/>
      <c r="BDJ21" s="974"/>
      <c r="BDK21" s="974"/>
      <c r="BDL21" s="974"/>
      <c r="BDM21" s="974"/>
      <c r="BDN21" s="974"/>
      <c r="BDO21" s="974"/>
      <c r="BDP21" s="974"/>
      <c r="BDQ21" s="974"/>
      <c r="BDR21" s="974"/>
      <c r="BDS21" s="974"/>
      <c r="BDT21" s="974"/>
      <c r="BDU21" s="974"/>
      <c r="BDV21" s="974"/>
      <c r="BDW21" s="974"/>
      <c r="BDX21" s="974"/>
      <c r="BDY21" s="974"/>
      <c r="BDZ21" s="974"/>
      <c r="BEA21" s="974"/>
      <c r="BEB21" s="974"/>
      <c r="BEC21" s="974"/>
      <c r="BED21" s="974"/>
      <c r="BEE21" s="974"/>
      <c r="BEF21" s="974"/>
      <c r="BEG21" s="974"/>
      <c r="BEH21" s="974"/>
      <c r="BEI21" s="974"/>
      <c r="BEJ21" s="974"/>
      <c r="BEK21" s="974"/>
      <c r="BEL21" s="974"/>
      <c r="BEM21" s="974"/>
      <c r="BEN21" s="974"/>
      <c r="BEO21" s="974"/>
      <c r="BEP21" s="974"/>
      <c r="BEQ21" s="974"/>
      <c r="BER21" s="974"/>
      <c r="BES21" s="974"/>
      <c r="BET21" s="974"/>
      <c r="BEU21" s="974"/>
      <c r="BEV21" s="974"/>
      <c r="BEW21" s="974"/>
      <c r="BEX21" s="974"/>
      <c r="BEY21" s="974"/>
      <c r="BEZ21" s="974"/>
      <c r="BFA21" s="974"/>
      <c r="BFB21" s="974"/>
      <c r="BFC21" s="974"/>
      <c r="BFD21" s="974"/>
      <c r="BFE21" s="974"/>
      <c r="BFF21" s="974"/>
      <c r="BFG21" s="974"/>
      <c r="BFH21" s="974"/>
      <c r="BFI21" s="974"/>
      <c r="BFJ21" s="974"/>
      <c r="BFK21" s="974"/>
      <c r="BFL21" s="974"/>
      <c r="BFM21" s="974"/>
      <c r="BFN21" s="974"/>
      <c r="BFO21" s="974"/>
      <c r="BFP21" s="974"/>
      <c r="BFQ21" s="974"/>
      <c r="BFR21" s="974"/>
      <c r="BFS21" s="974"/>
      <c r="BFT21" s="974"/>
      <c r="BFU21" s="974"/>
      <c r="BFV21" s="974"/>
      <c r="BFW21" s="974"/>
      <c r="BFX21" s="974"/>
      <c r="BFY21" s="974"/>
      <c r="BFZ21" s="974"/>
      <c r="BGA21" s="974"/>
      <c r="BGB21" s="974"/>
      <c r="BGC21" s="974"/>
      <c r="BGD21" s="974"/>
      <c r="BGE21" s="974"/>
      <c r="BGF21" s="974"/>
      <c r="BGG21" s="974"/>
      <c r="BGH21" s="974"/>
      <c r="BGI21" s="974"/>
      <c r="BGJ21" s="974"/>
      <c r="BGK21" s="974"/>
      <c r="BGL21" s="974"/>
      <c r="BGM21" s="974"/>
      <c r="BGN21" s="974"/>
      <c r="BGO21" s="974"/>
      <c r="BGP21" s="974"/>
      <c r="BGQ21" s="974"/>
      <c r="BGR21" s="974"/>
      <c r="BGS21" s="974"/>
      <c r="BGT21" s="974"/>
      <c r="BGU21" s="974"/>
      <c r="BGV21" s="974"/>
      <c r="BGW21" s="974"/>
      <c r="BGX21" s="974"/>
      <c r="BGY21" s="974"/>
      <c r="BGZ21" s="974"/>
      <c r="BHA21" s="974"/>
      <c r="BHB21" s="974"/>
      <c r="BHC21" s="974"/>
      <c r="BHD21" s="974"/>
      <c r="BHE21" s="974"/>
      <c r="BHF21" s="974"/>
      <c r="BHG21" s="974"/>
      <c r="BHH21" s="974"/>
      <c r="BHI21" s="974"/>
      <c r="BHJ21" s="974"/>
      <c r="BHK21" s="974"/>
      <c r="BHL21" s="974"/>
      <c r="BHM21" s="974"/>
      <c r="BHN21" s="974"/>
      <c r="BHO21" s="974"/>
      <c r="BHP21" s="974"/>
      <c r="BHQ21" s="974"/>
      <c r="BHR21" s="974"/>
      <c r="BHS21" s="974"/>
      <c r="BHT21" s="974"/>
      <c r="BHU21" s="974"/>
      <c r="BHV21" s="974"/>
      <c r="BHW21" s="974"/>
      <c r="BHX21" s="974"/>
      <c r="BHY21" s="974"/>
      <c r="BHZ21" s="974"/>
      <c r="BIA21" s="974"/>
      <c r="BIB21" s="974"/>
      <c r="BIC21" s="974"/>
      <c r="BID21" s="974"/>
      <c r="BIE21" s="974"/>
      <c r="BIF21" s="974"/>
      <c r="BIG21" s="974"/>
      <c r="BIH21" s="974"/>
      <c r="BII21" s="974"/>
      <c r="BIJ21" s="974"/>
      <c r="BIK21" s="974"/>
      <c r="BIL21" s="974"/>
      <c r="BIM21" s="974"/>
      <c r="BIN21" s="974"/>
      <c r="BIO21" s="974"/>
      <c r="BIP21" s="974"/>
      <c r="BIQ21" s="974"/>
      <c r="BIR21" s="974"/>
      <c r="BIS21" s="974"/>
      <c r="BIT21" s="974"/>
      <c r="BIU21" s="974"/>
      <c r="BIV21" s="974"/>
      <c r="BIW21" s="974"/>
      <c r="BIX21" s="974"/>
      <c r="BIY21" s="974"/>
      <c r="BIZ21" s="974"/>
      <c r="BJA21" s="974"/>
      <c r="BJB21" s="974"/>
      <c r="BJC21" s="974"/>
      <c r="BJD21" s="974"/>
      <c r="BJE21" s="974"/>
      <c r="BJF21" s="974"/>
      <c r="BJG21" s="974"/>
      <c r="BJH21" s="974"/>
      <c r="BJI21" s="974"/>
      <c r="BJJ21" s="974"/>
      <c r="BJK21" s="974"/>
      <c r="BJL21" s="974"/>
      <c r="BJM21" s="974"/>
      <c r="BJN21" s="974"/>
      <c r="BJO21" s="974"/>
      <c r="BJP21" s="974"/>
      <c r="BJQ21" s="974"/>
      <c r="BJR21" s="974"/>
      <c r="BJS21" s="974"/>
      <c r="BJT21" s="974"/>
      <c r="BJU21" s="974"/>
      <c r="BJV21" s="974"/>
      <c r="BJW21" s="974"/>
      <c r="BJX21" s="974"/>
      <c r="BJY21" s="974"/>
      <c r="BJZ21" s="974"/>
      <c r="BKA21" s="974"/>
      <c r="BKB21" s="974"/>
      <c r="BKC21" s="974"/>
      <c r="BKD21" s="974"/>
      <c r="BKE21" s="974"/>
      <c r="BKF21" s="974"/>
      <c r="BKG21" s="974"/>
      <c r="BKH21" s="974"/>
      <c r="BKI21" s="974"/>
      <c r="BKJ21" s="974"/>
      <c r="BKK21" s="974"/>
      <c r="BKL21" s="974"/>
      <c r="BKM21" s="974"/>
      <c r="BKN21" s="974"/>
      <c r="BKO21" s="974"/>
      <c r="BKP21" s="974"/>
      <c r="BKQ21" s="974"/>
      <c r="BKR21" s="974"/>
      <c r="BKS21" s="974"/>
      <c r="BKT21" s="974"/>
      <c r="BKU21" s="974"/>
      <c r="BKV21" s="974"/>
      <c r="BKW21" s="974"/>
      <c r="BKX21" s="974"/>
      <c r="BKY21" s="974"/>
      <c r="BKZ21" s="974"/>
      <c r="BLA21" s="974"/>
      <c r="BLB21" s="974"/>
      <c r="BLC21" s="974"/>
      <c r="BLD21" s="974"/>
      <c r="BLE21" s="974"/>
      <c r="BLF21" s="974"/>
      <c r="BLG21" s="974"/>
      <c r="BLH21" s="974"/>
      <c r="BLI21" s="974"/>
      <c r="BLJ21" s="974"/>
      <c r="BLK21" s="974"/>
      <c r="BLL21" s="974"/>
      <c r="BLM21" s="974"/>
      <c r="BLN21" s="974"/>
      <c r="BLO21" s="974"/>
      <c r="BLP21" s="974"/>
      <c r="BLQ21" s="974"/>
      <c r="BLR21" s="974"/>
      <c r="BLS21" s="974"/>
      <c r="BLT21" s="974"/>
      <c r="BLU21" s="974"/>
      <c r="BLV21" s="974"/>
      <c r="BLW21" s="974"/>
      <c r="BLX21" s="974"/>
      <c r="BLY21" s="974"/>
      <c r="BLZ21" s="974"/>
      <c r="BMA21" s="974"/>
      <c r="BMB21" s="974"/>
      <c r="BMC21" s="974"/>
      <c r="BMD21" s="974"/>
      <c r="BME21" s="974"/>
      <c r="BMF21" s="974"/>
      <c r="BMG21" s="974"/>
      <c r="BMH21" s="974"/>
      <c r="BMI21" s="974"/>
      <c r="BMJ21" s="974"/>
      <c r="BMK21" s="974"/>
      <c r="BML21" s="974"/>
      <c r="BMM21" s="974"/>
      <c r="BMN21" s="974"/>
      <c r="BMO21" s="974"/>
      <c r="BMP21" s="974"/>
      <c r="BMQ21" s="974"/>
      <c r="BMR21" s="974"/>
      <c r="BMS21" s="974"/>
      <c r="BMT21" s="974"/>
      <c r="BMU21" s="974"/>
      <c r="BMV21" s="974"/>
      <c r="BMW21" s="974"/>
      <c r="BMX21" s="974"/>
      <c r="BMY21" s="974"/>
      <c r="BMZ21" s="974"/>
      <c r="BNA21" s="974"/>
      <c r="BNB21" s="974"/>
      <c r="BNC21" s="974"/>
      <c r="BND21" s="974"/>
      <c r="BNE21" s="974"/>
      <c r="BNF21" s="974"/>
      <c r="BNG21" s="974"/>
      <c r="BNH21" s="974"/>
      <c r="BNI21" s="974"/>
      <c r="BNJ21" s="974"/>
      <c r="BNK21" s="974"/>
      <c r="BNL21" s="974"/>
      <c r="BNM21" s="974"/>
      <c r="BNN21" s="974"/>
      <c r="BNO21" s="974"/>
      <c r="BNP21" s="974"/>
      <c r="BNQ21" s="974"/>
      <c r="BNR21" s="974"/>
      <c r="BNS21" s="974"/>
      <c r="BNT21" s="974"/>
      <c r="BNU21" s="974"/>
      <c r="BNV21" s="974"/>
      <c r="BNW21" s="974"/>
      <c r="BNX21" s="974"/>
      <c r="BNY21" s="974"/>
      <c r="BNZ21" s="974"/>
      <c r="BOA21" s="974"/>
      <c r="BOB21" s="974"/>
      <c r="BOC21" s="974"/>
      <c r="BOD21" s="974"/>
      <c r="BOE21" s="974"/>
      <c r="BOF21" s="974"/>
      <c r="BOG21" s="974"/>
      <c r="BOH21" s="974"/>
      <c r="BOI21" s="974"/>
      <c r="BOJ21" s="974"/>
      <c r="BOK21" s="974"/>
      <c r="BOL21" s="974"/>
      <c r="BOM21" s="974"/>
      <c r="BON21" s="974"/>
      <c r="BOO21" s="974"/>
      <c r="BOP21" s="974"/>
      <c r="BOQ21" s="974"/>
      <c r="BOR21" s="974"/>
      <c r="BOS21" s="974"/>
      <c r="BOT21" s="974"/>
      <c r="BOU21" s="974"/>
      <c r="BOV21" s="974"/>
      <c r="BOW21" s="974"/>
      <c r="BOX21" s="974"/>
      <c r="BOY21" s="974"/>
      <c r="BOZ21" s="974"/>
      <c r="BPA21" s="974"/>
      <c r="BPB21" s="974"/>
      <c r="BPC21" s="974"/>
      <c r="BPD21" s="974"/>
      <c r="BPE21" s="974"/>
      <c r="BPF21" s="974"/>
      <c r="BPG21" s="974"/>
      <c r="BPH21" s="974"/>
      <c r="BPI21" s="974"/>
      <c r="BPJ21" s="974"/>
      <c r="BPK21" s="974"/>
      <c r="BPL21" s="974"/>
      <c r="BPM21" s="974"/>
      <c r="BPN21" s="974"/>
      <c r="BPO21" s="974"/>
      <c r="BPP21" s="974"/>
      <c r="BPQ21" s="974"/>
      <c r="BPR21" s="974"/>
      <c r="BPS21" s="974"/>
      <c r="BPT21" s="974"/>
      <c r="BPU21" s="974"/>
      <c r="BPV21" s="974"/>
      <c r="BPW21" s="974"/>
      <c r="BPX21" s="974"/>
      <c r="BPY21" s="974"/>
      <c r="BPZ21" s="974"/>
      <c r="BQA21" s="974"/>
      <c r="BQB21" s="974"/>
      <c r="BQC21" s="974"/>
      <c r="BQD21" s="974"/>
      <c r="BQE21" s="974"/>
      <c r="BQF21" s="974"/>
      <c r="BQG21" s="974"/>
      <c r="BQH21" s="974"/>
      <c r="BQI21" s="974"/>
      <c r="BQJ21" s="974"/>
      <c r="BQK21" s="974"/>
      <c r="BQL21" s="974"/>
      <c r="BQM21" s="974"/>
      <c r="BQN21" s="974"/>
      <c r="BQO21" s="974"/>
      <c r="BQP21" s="974"/>
      <c r="BQQ21" s="974"/>
      <c r="BQR21" s="974"/>
      <c r="BQS21" s="974"/>
      <c r="BQT21" s="974"/>
      <c r="BQU21" s="974"/>
      <c r="BQV21" s="974"/>
      <c r="BQW21" s="974"/>
      <c r="BQX21" s="974"/>
      <c r="BQY21" s="974"/>
      <c r="BQZ21" s="974"/>
      <c r="BRA21" s="974"/>
      <c r="BRB21" s="974"/>
      <c r="BRC21" s="974"/>
      <c r="BRD21" s="974"/>
      <c r="BRE21" s="974"/>
      <c r="BRF21" s="974"/>
      <c r="BRG21" s="974"/>
      <c r="BRH21" s="974"/>
      <c r="BRI21" s="974"/>
      <c r="BRJ21" s="974"/>
      <c r="BRK21" s="974"/>
      <c r="BRL21" s="974"/>
      <c r="BRM21" s="974"/>
      <c r="BRN21" s="974"/>
      <c r="BRO21" s="974"/>
      <c r="BRP21" s="974"/>
      <c r="BRQ21" s="974"/>
      <c r="BRR21" s="974"/>
      <c r="BRS21" s="974"/>
      <c r="BRT21" s="974"/>
      <c r="BRU21" s="974"/>
      <c r="BRV21" s="974"/>
      <c r="BRW21" s="974"/>
      <c r="BRX21" s="974"/>
      <c r="BRY21" s="974"/>
      <c r="BRZ21" s="974"/>
      <c r="BSA21" s="974"/>
      <c r="BSB21" s="974"/>
      <c r="BSC21" s="974"/>
      <c r="BSD21" s="974"/>
      <c r="BSE21" s="974"/>
      <c r="BSF21" s="974"/>
      <c r="BSG21" s="974"/>
      <c r="BSH21" s="974"/>
      <c r="BSI21" s="974"/>
      <c r="BSJ21" s="974"/>
      <c r="BSK21" s="974"/>
      <c r="BSL21" s="974"/>
      <c r="BSM21" s="974"/>
      <c r="BSN21" s="974"/>
      <c r="BSO21" s="974"/>
      <c r="BSP21" s="974"/>
      <c r="BSQ21" s="974"/>
      <c r="BSR21" s="974"/>
      <c r="BSS21" s="974"/>
      <c r="BST21" s="974"/>
      <c r="BSU21" s="974"/>
      <c r="BSV21" s="974"/>
      <c r="BSW21" s="974"/>
      <c r="BSX21" s="974"/>
      <c r="BSY21" s="974"/>
      <c r="BSZ21" s="974"/>
      <c r="BTA21" s="974"/>
      <c r="BTB21" s="974"/>
      <c r="BTC21" s="974"/>
      <c r="BTD21" s="974"/>
      <c r="BTE21" s="974"/>
      <c r="BTF21" s="974"/>
      <c r="BTG21" s="974"/>
      <c r="BTH21" s="974"/>
      <c r="BTI21" s="974"/>
      <c r="BTJ21" s="974"/>
      <c r="BTK21" s="974"/>
      <c r="BTL21" s="974"/>
      <c r="BTM21" s="974"/>
      <c r="BTN21" s="974"/>
      <c r="BTO21" s="974"/>
      <c r="BTP21" s="974"/>
      <c r="BTQ21" s="974"/>
      <c r="BTR21" s="974"/>
      <c r="BTS21" s="974"/>
      <c r="BTT21" s="974"/>
      <c r="BTU21" s="974"/>
      <c r="BTV21" s="974"/>
      <c r="BTW21" s="974"/>
      <c r="BTX21" s="974"/>
      <c r="BTY21" s="974"/>
      <c r="BTZ21" s="974"/>
      <c r="BUA21" s="974"/>
      <c r="BUB21" s="974"/>
      <c r="BUC21" s="974"/>
      <c r="BUD21" s="974"/>
      <c r="BUE21" s="974"/>
      <c r="BUF21" s="974"/>
      <c r="BUG21" s="974"/>
      <c r="BUH21" s="974"/>
      <c r="BUI21" s="974"/>
      <c r="BUJ21" s="974"/>
      <c r="BUK21" s="974"/>
      <c r="BUL21" s="974"/>
      <c r="BUM21" s="974"/>
      <c r="BUN21" s="974"/>
      <c r="BUO21" s="974"/>
      <c r="BUP21" s="974"/>
      <c r="BUQ21" s="974"/>
      <c r="BUR21" s="974"/>
      <c r="BUS21" s="974"/>
      <c r="BUT21" s="974"/>
      <c r="BUU21" s="974"/>
      <c r="BUV21" s="974"/>
      <c r="BUW21" s="974"/>
      <c r="BUX21" s="974"/>
      <c r="BUY21" s="974"/>
      <c r="BUZ21" s="974"/>
      <c r="BVA21" s="974"/>
      <c r="BVB21" s="974"/>
      <c r="BVC21" s="974"/>
      <c r="BVD21" s="974"/>
      <c r="BVE21" s="974"/>
      <c r="BVF21" s="974"/>
      <c r="BVG21" s="974"/>
      <c r="BVH21" s="974"/>
      <c r="BVI21" s="974"/>
      <c r="BVJ21" s="974"/>
      <c r="BVK21" s="974"/>
      <c r="BVL21" s="974"/>
      <c r="BVM21" s="974"/>
      <c r="BVN21" s="974"/>
      <c r="BVO21" s="974"/>
      <c r="BVP21" s="974"/>
      <c r="BVQ21" s="974"/>
      <c r="BVR21" s="974"/>
      <c r="BVS21" s="974"/>
      <c r="BVT21" s="974"/>
      <c r="BVU21" s="974"/>
      <c r="BVV21" s="974"/>
      <c r="BVW21" s="974"/>
      <c r="BVX21" s="974"/>
      <c r="BVY21" s="974"/>
      <c r="BVZ21" s="974"/>
      <c r="BWA21" s="974"/>
      <c r="BWB21" s="974"/>
      <c r="BWC21" s="974"/>
      <c r="BWD21" s="974"/>
      <c r="BWE21" s="974"/>
      <c r="BWF21" s="974"/>
      <c r="BWG21" s="974"/>
      <c r="BWH21" s="974"/>
      <c r="BWI21" s="974"/>
      <c r="BWJ21" s="974"/>
      <c r="BWK21" s="974"/>
      <c r="BWL21" s="974"/>
      <c r="BWM21" s="974"/>
      <c r="BWN21" s="974"/>
      <c r="BWO21" s="974"/>
      <c r="BWP21" s="974"/>
      <c r="BWQ21" s="974"/>
      <c r="BWR21" s="974"/>
      <c r="BWS21" s="974"/>
      <c r="BWT21" s="974"/>
      <c r="BWU21" s="974"/>
      <c r="BWV21" s="974"/>
      <c r="BWW21" s="974"/>
      <c r="BWX21" s="974"/>
      <c r="BWY21" s="974"/>
      <c r="BWZ21" s="974"/>
      <c r="BXA21" s="974"/>
      <c r="BXB21" s="974"/>
      <c r="BXC21" s="974"/>
      <c r="BXD21" s="974"/>
      <c r="BXE21" s="974"/>
      <c r="BXF21" s="974"/>
      <c r="BXG21" s="974"/>
      <c r="BXH21" s="974"/>
      <c r="BXI21" s="974"/>
      <c r="BXJ21" s="974"/>
      <c r="BXK21" s="974"/>
      <c r="BXL21" s="974"/>
      <c r="BXM21" s="974"/>
      <c r="BXN21" s="974"/>
      <c r="BXO21" s="974"/>
      <c r="BXP21" s="974"/>
      <c r="BXQ21" s="974"/>
      <c r="BXR21" s="974"/>
      <c r="BXS21" s="974"/>
      <c r="BXT21" s="974"/>
      <c r="BXU21" s="974"/>
      <c r="BXV21" s="974"/>
      <c r="BXW21" s="974"/>
      <c r="BXX21" s="974"/>
      <c r="BXY21" s="974"/>
      <c r="BXZ21" s="974"/>
      <c r="BYA21" s="974"/>
      <c r="BYB21" s="974"/>
      <c r="BYC21" s="974"/>
      <c r="BYD21" s="974"/>
      <c r="BYE21" s="974"/>
      <c r="BYF21" s="974"/>
      <c r="BYG21" s="974"/>
      <c r="BYH21" s="974"/>
      <c r="BYI21" s="974"/>
      <c r="BYJ21" s="974"/>
      <c r="BYK21" s="974"/>
      <c r="BYL21" s="974"/>
      <c r="BYM21" s="974"/>
      <c r="BYN21" s="974"/>
      <c r="BYO21" s="974"/>
      <c r="BYP21" s="974"/>
      <c r="BYQ21" s="974"/>
      <c r="BYR21" s="974"/>
      <c r="BYS21" s="974"/>
      <c r="BYT21" s="974"/>
      <c r="BYU21" s="974"/>
      <c r="BYV21" s="974"/>
      <c r="BYW21" s="974"/>
      <c r="BYX21" s="974"/>
      <c r="BYY21" s="974"/>
      <c r="BYZ21" s="974"/>
      <c r="BZA21" s="974"/>
      <c r="BZB21" s="974"/>
      <c r="BZC21" s="974"/>
      <c r="BZD21" s="974"/>
      <c r="BZE21" s="974"/>
      <c r="BZF21" s="974"/>
      <c r="BZG21" s="974"/>
      <c r="BZH21" s="974"/>
      <c r="BZI21" s="974"/>
      <c r="BZJ21" s="974"/>
      <c r="BZK21" s="974"/>
      <c r="BZL21" s="974"/>
      <c r="BZM21" s="974"/>
      <c r="BZN21" s="974"/>
      <c r="BZO21" s="974"/>
      <c r="BZP21" s="974"/>
      <c r="BZQ21" s="974"/>
      <c r="BZR21" s="974"/>
      <c r="BZS21" s="974"/>
      <c r="BZT21" s="974"/>
      <c r="BZU21" s="974"/>
      <c r="BZV21" s="974"/>
      <c r="BZW21" s="974"/>
      <c r="BZX21" s="974"/>
      <c r="BZY21" s="974"/>
      <c r="BZZ21" s="974"/>
      <c r="CAA21" s="974"/>
      <c r="CAB21" s="974"/>
      <c r="CAC21" s="974"/>
      <c r="CAD21" s="974"/>
      <c r="CAE21" s="974"/>
      <c r="CAF21" s="974"/>
      <c r="CAG21" s="974"/>
      <c r="CAH21" s="974"/>
      <c r="CAI21" s="974"/>
      <c r="CAJ21" s="974"/>
      <c r="CAK21" s="974"/>
      <c r="CAL21" s="974"/>
      <c r="CAM21" s="974"/>
      <c r="CAN21" s="974"/>
      <c r="CAO21" s="974"/>
      <c r="CAP21" s="974"/>
      <c r="CAQ21" s="974"/>
      <c r="CAR21" s="974"/>
      <c r="CAS21" s="974"/>
      <c r="CAT21" s="974"/>
      <c r="CAU21" s="974"/>
      <c r="CAV21" s="974"/>
      <c r="CAW21" s="974"/>
      <c r="CAX21" s="974"/>
      <c r="CAY21" s="974"/>
      <c r="CAZ21" s="974"/>
      <c r="CBA21" s="974"/>
      <c r="CBB21" s="974"/>
      <c r="CBC21" s="974"/>
      <c r="CBD21" s="974"/>
      <c r="CBE21" s="974"/>
      <c r="CBF21" s="974"/>
      <c r="CBG21" s="974"/>
      <c r="CBH21" s="974"/>
      <c r="CBI21" s="974"/>
      <c r="CBJ21" s="974"/>
      <c r="CBK21" s="974"/>
      <c r="CBL21" s="974"/>
      <c r="CBM21" s="974"/>
      <c r="CBN21" s="974"/>
      <c r="CBO21" s="974"/>
      <c r="CBP21" s="974"/>
      <c r="CBQ21" s="974"/>
      <c r="CBR21" s="974"/>
      <c r="CBS21" s="974"/>
      <c r="CBT21" s="974"/>
      <c r="CBU21" s="974"/>
      <c r="CBV21" s="974"/>
      <c r="CBW21" s="974"/>
      <c r="CBX21" s="974"/>
      <c r="CBY21" s="974"/>
      <c r="CBZ21" s="974"/>
      <c r="CCA21" s="974"/>
      <c r="CCB21" s="974"/>
      <c r="CCC21" s="974"/>
      <c r="CCD21" s="974"/>
      <c r="CCE21" s="974"/>
      <c r="CCF21" s="974"/>
      <c r="CCG21" s="974"/>
      <c r="CCH21" s="974"/>
      <c r="CCI21" s="974"/>
      <c r="CCJ21" s="974"/>
      <c r="CCK21" s="974"/>
      <c r="CCL21" s="974"/>
      <c r="CCM21" s="974"/>
      <c r="CCN21" s="974"/>
      <c r="CCO21" s="974"/>
      <c r="CCP21" s="974"/>
      <c r="CCQ21" s="974"/>
      <c r="CCR21" s="974"/>
      <c r="CCS21" s="974"/>
      <c r="CCT21" s="974"/>
      <c r="CCU21" s="974"/>
      <c r="CCV21" s="974"/>
      <c r="CCW21" s="974"/>
      <c r="CCX21" s="974"/>
      <c r="CCY21" s="974"/>
      <c r="CCZ21" s="974"/>
      <c r="CDA21" s="974"/>
      <c r="CDB21" s="974"/>
      <c r="CDC21" s="974"/>
      <c r="CDD21" s="974"/>
      <c r="CDE21" s="974"/>
      <c r="CDF21" s="974"/>
      <c r="CDG21" s="974"/>
      <c r="CDH21" s="974"/>
      <c r="CDI21" s="974"/>
      <c r="CDJ21" s="974"/>
      <c r="CDK21" s="974"/>
      <c r="CDL21" s="974"/>
      <c r="CDM21" s="974"/>
      <c r="CDN21" s="974"/>
      <c r="CDO21" s="974"/>
      <c r="CDP21" s="974"/>
      <c r="CDQ21" s="974"/>
      <c r="CDR21" s="974"/>
      <c r="CDS21" s="974"/>
      <c r="CDT21" s="974"/>
      <c r="CDU21" s="974"/>
      <c r="CDV21" s="974"/>
      <c r="CDW21" s="974"/>
      <c r="CDX21" s="974"/>
      <c r="CDY21" s="974"/>
      <c r="CDZ21" s="974"/>
      <c r="CEA21" s="974"/>
      <c r="CEB21" s="974"/>
      <c r="CEC21" s="974"/>
      <c r="CED21" s="974"/>
      <c r="CEE21" s="974"/>
      <c r="CEF21" s="974"/>
      <c r="CEG21" s="974"/>
      <c r="CEH21" s="974"/>
      <c r="CEI21" s="974"/>
      <c r="CEJ21" s="974"/>
      <c r="CEK21" s="974"/>
      <c r="CEL21" s="974"/>
      <c r="CEM21" s="974"/>
      <c r="CEN21" s="974"/>
      <c r="CEO21" s="974"/>
      <c r="CEP21" s="974"/>
      <c r="CEQ21" s="974"/>
      <c r="CER21" s="974"/>
      <c r="CES21" s="974"/>
      <c r="CET21" s="974"/>
      <c r="CEU21" s="974"/>
      <c r="CEV21" s="974"/>
      <c r="CEW21" s="974"/>
      <c r="CEX21" s="974"/>
      <c r="CEY21" s="974"/>
      <c r="CEZ21" s="974"/>
      <c r="CFA21" s="974"/>
      <c r="CFB21" s="974"/>
      <c r="CFC21" s="974"/>
      <c r="CFD21" s="974"/>
      <c r="CFE21" s="974"/>
      <c r="CFF21" s="974"/>
      <c r="CFG21" s="974"/>
      <c r="CFH21" s="974"/>
      <c r="CFI21" s="974"/>
      <c r="CFJ21" s="974"/>
      <c r="CFK21" s="974"/>
      <c r="CFL21" s="974"/>
      <c r="CFM21" s="974"/>
      <c r="CFN21" s="974"/>
      <c r="CFO21" s="974"/>
      <c r="CFP21" s="974"/>
      <c r="CFQ21" s="974"/>
      <c r="CFR21" s="974"/>
      <c r="CFS21" s="974"/>
      <c r="CFT21" s="974"/>
      <c r="CFU21" s="974"/>
      <c r="CFV21" s="974"/>
      <c r="CFW21" s="974"/>
      <c r="CFX21" s="974"/>
      <c r="CFY21" s="974"/>
      <c r="CFZ21" s="974"/>
      <c r="CGA21" s="974"/>
      <c r="CGB21" s="974"/>
      <c r="CGC21" s="974"/>
      <c r="CGD21" s="974"/>
      <c r="CGE21" s="974"/>
      <c r="CGF21" s="974"/>
      <c r="CGG21" s="974"/>
      <c r="CGH21" s="974"/>
      <c r="CGI21" s="974"/>
      <c r="CGJ21" s="974"/>
      <c r="CGK21" s="974"/>
      <c r="CGL21" s="974"/>
      <c r="CGM21" s="974"/>
      <c r="CGN21" s="974"/>
      <c r="CGO21" s="974"/>
      <c r="CGP21" s="974"/>
      <c r="CGQ21" s="974"/>
      <c r="CGR21" s="974"/>
      <c r="CGS21" s="974"/>
      <c r="CGT21" s="974"/>
      <c r="CGU21" s="974"/>
      <c r="CGV21" s="974"/>
      <c r="CGW21" s="974"/>
      <c r="CGX21" s="974"/>
      <c r="CGY21" s="974"/>
      <c r="CGZ21" s="974"/>
      <c r="CHA21" s="974"/>
      <c r="CHB21" s="974"/>
      <c r="CHC21" s="974"/>
      <c r="CHD21" s="974"/>
      <c r="CHE21" s="974"/>
      <c r="CHF21" s="974"/>
      <c r="CHG21" s="974"/>
      <c r="CHH21" s="974"/>
      <c r="CHI21" s="974"/>
      <c r="CHJ21" s="974"/>
      <c r="CHK21" s="974"/>
      <c r="CHL21" s="974"/>
      <c r="CHM21" s="974"/>
      <c r="CHN21" s="974"/>
      <c r="CHO21" s="974"/>
      <c r="CHP21" s="974"/>
      <c r="CHQ21" s="974"/>
      <c r="CHR21" s="974"/>
      <c r="CHS21" s="974"/>
      <c r="CHT21" s="974"/>
      <c r="CHU21" s="974"/>
      <c r="CHV21" s="974"/>
      <c r="CHW21" s="974"/>
      <c r="CHX21" s="974"/>
      <c r="CHY21" s="974"/>
      <c r="CHZ21" s="974"/>
      <c r="CIA21" s="974"/>
      <c r="CIB21" s="974"/>
      <c r="CIC21" s="974"/>
      <c r="CID21" s="974"/>
      <c r="CIE21" s="974"/>
      <c r="CIF21" s="974"/>
      <c r="CIG21" s="974"/>
      <c r="CIH21" s="974"/>
      <c r="CII21" s="974"/>
      <c r="CIJ21" s="974"/>
      <c r="CIK21" s="974"/>
      <c r="CIL21" s="974"/>
      <c r="CIM21" s="974"/>
      <c r="CIN21" s="974"/>
      <c r="CIO21" s="974"/>
      <c r="CIP21" s="974"/>
      <c r="CIQ21" s="974"/>
      <c r="CIR21" s="974"/>
      <c r="CIS21" s="974"/>
      <c r="CIT21" s="974"/>
      <c r="CIU21" s="974"/>
      <c r="CIV21" s="974"/>
      <c r="CIW21" s="974"/>
      <c r="CIX21" s="974"/>
      <c r="CIY21" s="974"/>
      <c r="CIZ21" s="974"/>
      <c r="CJA21" s="974"/>
      <c r="CJB21" s="974"/>
      <c r="CJC21" s="974"/>
      <c r="CJD21" s="974"/>
      <c r="CJE21" s="974"/>
      <c r="CJF21" s="974"/>
      <c r="CJG21" s="974"/>
      <c r="CJH21" s="974"/>
      <c r="CJI21" s="974"/>
      <c r="CJJ21" s="974"/>
      <c r="CJK21" s="974"/>
      <c r="CJL21" s="974"/>
      <c r="CJM21" s="974"/>
      <c r="CJN21" s="974"/>
      <c r="CJO21" s="974"/>
      <c r="CJP21" s="974"/>
      <c r="CJQ21" s="974"/>
      <c r="CJR21" s="974"/>
      <c r="CJS21" s="974"/>
      <c r="CJT21" s="974"/>
      <c r="CJU21" s="974"/>
      <c r="CJV21" s="974"/>
      <c r="CJW21" s="974"/>
      <c r="CJX21" s="974"/>
      <c r="CJY21" s="974"/>
      <c r="CJZ21" s="974"/>
      <c r="CKA21" s="974"/>
      <c r="CKB21" s="974"/>
      <c r="CKC21" s="974"/>
      <c r="CKD21" s="974"/>
      <c r="CKE21" s="974"/>
      <c r="CKF21" s="974"/>
      <c r="CKG21" s="974"/>
      <c r="CKH21" s="974"/>
      <c r="CKI21" s="974"/>
      <c r="CKJ21" s="974"/>
      <c r="CKK21" s="974"/>
      <c r="CKL21" s="974"/>
      <c r="CKM21" s="974"/>
      <c r="CKN21" s="974"/>
      <c r="CKO21" s="974"/>
      <c r="CKP21" s="974"/>
      <c r="CKQ21" s="974"/>
      <c r="CKR21" s="974"/>
      <c r="CKS21" s="974"/>
      <c r="CKT21" s="974"/>
      <c r="CKU21" s="974"/>
      <c r="CKV21" s="974"/>
      <c r="CKW21" s="974"/>
      <c r="CKX21" s="974"/>
      <c r="CKY21" s="974"/>
      <c r="CKZ21" s="974"/>
      <c r="CLA21" s="974"/>
      <c r="CLB21" s="974"/>
      <c r="CLC21" s="974"/>
      <c r="CLD21" s="974"/>
      <c r="CLE21" s="974"/>
      <c r="CLF21" s="974"/>
      <c r="CLG21" s="974"/>
      <c r="CLH21" s="974"/>
      <c r="CLI21" s="974"/>
      <c r="CLJ21" s="974"/>
      <c r="CLK21" s="974"/>
      <c r="CLL21" s="974"/>
      <c r="CLM21" s="974"/>
      <c r="CLN21" s="974"/>
      <c r="CLO21" s="974"/>
      <c r="CLP21" s="974"/>
      <c r="CLQ21" s="974"/>
      <c r="CLR21" s="974"/>
      <c r="CLS21" s="974"/>
      <c r="CLT21" s="974"/>
      <c r="CLU21" s="974"/>
      <c r="CLV21" s="974"/>
      <c r="CLW21" s="974"/>
      <c r="CLX21" s="974"/>
      <c r="CLY21" s="974"/>
      <c r="CLZ21" s="974"/>
      <c r="CMA21" s="974"/>
      <c r="CMB21" s="974"/>
      <c r="CMC21" s="974"/>
      <c r="CMD21" s="974"/>
      <c r="CME21" s="974"/>
      <c r="CMF21" s="974"/>
      <c r="CMG21" s="974"/>
      <c r="CMH21" s="974"/>
      <c r="CMI21" s="974"/>
      <c r="CMJ21" s="974"/>
      <c r="CMK21" s="974"/>
      <c r="CML21" s="974"/>
      <c r="CMM21" s="974"/>
      <c r="CMN21" s="974"/>
      <c r="CMO21" s="974"/>
      <c r="CMP21" s="974"/>
      <c r="CMQ21" s="974"/>
      <c r="CMR21" s="974"/>
      <c r="CMS21" s="974"/>
      <c r="CMT21" s="974"/>
      <c r="CMU21" s="974"/>
      <c r="CMV21" s="974"/>
      <c r="CMW21" s="974"/>
      <c r="CMX21" s="974"/>
      <c r="CMY21" s="974"/>
      <c r="CMZ21" s="974"/>
      <c r="CNA21" s="974"/>
      <c r="CNB21" s="974"/>
      <c r="CNC21" s="974"/>
      <c r="CND21" s="974"/>
      <c r="CNE21" s="974"/>
      <c r="CNF21" s="974"/>
      <c r="CNG21" s="974"/>
      <c r="CNH21" s="974"/>
      <c r="CNI21" s="974"/>
      <c r="CNJ21" s="974"/>
      <c r="CNK21" s="974"/>
      <c r="CNL21" s="974"/>
      <c r="CNM21" s="974"/>
      <c r="CNN21" s="974"/>
      <c r="CNO21" s="974"/>
      <c r="CNP21" s="974"/>
      <c r="CNQ21" s="974"/>
      <c r="CNR21" s="974"/>
      <c r="CNS21" s="974"/>
      <c r="CNT21" s="974"/>
      <c r="CNU21" s="974"/>
      <c r="CNV21" s="974"/>
      <c r="CNW21" s="974"/>
      <c r="CNX21" s="974"/>
      <c r="CNY21" s="974"/>
      <c r="CNZ21" s="974"/>
      <c r="COA21" s="974"/>
      <c r="COB21" s="974"/>
      <c r="COC21" s="974"/>
      <c r="COD21" s="974"/>
      <c r="COE21" s="974"/>
      <c r="COF21" s="974"/>
      <c r="COG21" s="974"/>
      <c r="COH21" s="974"/>
      <c r="COI21" s="974"/>
      <c r="COJ21" s="974"/>
      <c r="COK21" s="974"/>
      <c r="COL21" s="974"/>
      <c r="COM21" s="974"/>
      <c r="CON21" s="974"/>
      <c r="COO21" s="974"/>
      <c r="COP21" s="974"/>
      <c r="COQ21" s="974"/>
      <c r="COR21" s="974"/>
      <c r="COS21" s="974"/>
      <c r="COT21" s="974"/>
      <c r="COU21" s="974"/>
      <c r="COV21" s="974"/>
      <c r="COW21" s="974"/>
      <c r="COX21" s="974"/>
      <c r="COY21" s="974"/>
      <c r="COZ21" s="974"/>
      <c r="CPA21" s="974"/>
      <c r="CPB21" s="974"/>
      <c r="CPC21" s="974"/>
      <c r="CPD21" s="974"/>
      <c r="CPE21" s="974"/>
      <c r="CPF21" s="974"/>
      <c r="CPG21" s="974"/>
      <c r="CPH21" s="974"/>
      <c r="CPI21" s="974"/>
      <c r="CPJ21" s="974"/>
      <c r="CPK21" s="974"/>
      <c r="CPL21" s="974"/>
      <c r="CPM21" s="974"/>
      <c r="CPN21" s="974"/>
      <c r="CPO21" s="974"/>
      <c r="CPP21" s="974"/>
      <c r="CPQ21" s="974"/>
      <c r="CPR21" s="974"/>
      <c r="CPS21" s="974"/>
      <c r="CPT21" s="974"/>
      <c r="CPU21" s="974"/>
      <c r="CPV21" s="974"/>
      <c r="CPW21" s="974"/>
      <c r="CPX21" s="974"/>
      <c r="CPY21" s="974"/>
      <c r="CPZ21" s="974"/>
      <c r="CQA21" s="974"/>
      <c r="CQB21" s="974"/>
      <c r="CQC21" s="974"/>
      <c r="CQD21" s="974"/>
      <c r="CQE21" s="974"/>
      <c r="CQF21" s="974"/>
      <c r="CQG21" s="974"/>
      <c r="CQH21" s="974"/>
      <c r="CQI21" s="974"/>
      <c r="CQJ21" s="974"/>
      <c r="CQK21" s="974"/>
      <c r="CQL21" s="974"/>
      <c r="CQM21" s="974"/>
      <c r="CQN21" s="974"/>
      <c r="CQO21" s="974"/>
      <c r="CQP21" s="974"/>
      <c r="CQQ21" s="974"/>
      <c r="CQR21" s="974"/>
      <c r="CQS21" s="974"/>
      <c r="CQT21" s="974"/>
      <c r="CQU21" s="974"/>
      <c r="CQV21" s="974"/>
      <c r="CQW21" s="974"/>
      <c r="CQX21" s="974"/>
      <c r="CQY21" s="974"/>
      <c r="CQZ21" s="974"/>
      <c r="CRA21" s="974"/>
      <c r="CRB21" s="974"/>
      <c r="CRC21" s="974"/>
      <c r="CRD21" s="974"/>
      <c r="CRE21" s="974"/>
      <c r="CRF21" s="974"/>
      <c r="CRG21" s="974"/>
      <c r="CRH21" s="974"/>
      <c r="CRI21" s="974"/>
      <c r="CRJ21" s="974"/>
      <c r="CRK21" s="974"/>
      <c r="CRL21" s="974"/>
      <c r="CRM21" s="974"/>
      <c r="CRN21" s="974"/>
      <c r="CRO21" s="974"/>
      <c r="CRP21" s="974"/>
      <c r="CRQ21" s="974"/>
      <c r="CRR21" s="974"/>
      <c r="CRS21" s="974"/>
      <c r="CRT21" s="974"/>
      <c r="CRU21" s="974"/>
      <c r="CRV21" s="974"/>
      <c r="CRW21" s="974"/>
      <c r="CRX21" s="974"/>
      <c r="CRY21" s="974"/>
      <c r="CRZ21" s="974"/>
      <c r="CSA21" s="974"/>
      <c r="CSB21" s="974"/>
      <c r="CSC21" s="974"/>
      <c r="CSD21" s="974"/>
      <c r="CSE21" s="974"/>
      <c r="CSF21" s="974"/>
      <c r="CSG21" s="974"/>
      <c r="CSH21" s="974"/>
      <c r="CSI21" s="974"/>
      <c r="CSJ21" s="974"/>
      <c r="CSK21" s="974"/>
      <c r="CSL21" s="974"/>
      <c r="CSM21" s="974"/>
      <c r="CSN21" s="974"/>
      <c r="CSO21" s="974"/>
      <c r="CSP21" s="974"/>
      <c r="CSQ21" s="974"/>
      <c r="CSR21" s="974"/>
      <c r="CSS21" s="974"/>
      <c r="CST21" s="974"/>
      <c r="CSU21" s="974"/>
      <c r="CSV21" s="974"/>
      <c r="CSW21" s="974"/>
      <c r="CSX21" s="974"/>
      <c r="CSY21" s="974"/>
      <c r="CSZ21" s="974"/>
      <c r="CTA21" s="974"/>
      <c r="CTB21" s="974"/>
      <c r="CTC21" s="974"/>
      <c r="CTD21" s="974"/>
      <c r="CTE21" s="974"/>
      <c r="CTF21" s="974"/>
      <c r="CTG21" s="974"/>
      <c r="CTH21" s="974"/>
      <c r="CTI21" s="974"/>
      <c r="CTJ21" s="974"/>
      <c r="CTK21" s="974"/>
      <c r="CTL21" s="974"/>
      <c r="CTM21" s="974"/>
      <c r="CTN21" s="974"/>
      <c r="CTO21" s="974"/>
      <c r="CTP21" s="974"/>
      <c r="CTQ21" s="974"/>
      <c r="CTR21" s="974"/>
      <c r="CTS21" s="974"/>
      <c r="CTT21" s="974"/>
      <c r="CTU21" s="974"/>
      <c r="CTV21" s="974"/>
      <c r="CTW21" s="974"/>
      <c r="CTX21" s="974"/>
      <c r="CTY21" s="974"/>
      <c r="CTZ21" s="974"/>
      <c r="CUA21" s="974"/>
      <c r="CUB21" s="974"/>
      <c r="CUC21" s="974"/>
      <c r="CUD21" s="974"/>
      <c r="CUE21" s="974"/>
      <c r="CUF21" s="974"/>
      <c r="CUG21" s="974"/>
      <c r="CUH21" s="974"/>
      <c r="CUI21" s="974"/>
      <c r="CUJ21" s="974"/>
      <c r="CUK21" s="974"/>
      <c r="CUL21" s="974"/>
      <c r="CUM21" s="974"/>
      <c r="CUN21" s="974"/>
      <c r="CUO21" s="974"/>
      <c r="CUP21" s="974"/>
      <c r="CUQ21" s="974"/>
      <c r="CUR21" s="974"/>
      <c r="CUS21" s="974"/>
      <c r="CUT21" s="974"/>
      <c r="CUU21" s="974"/>
      <c r="CUV21" s="974"/>
      <c r="CUW21" s="974"/>
      <c r="CUX21" s="974"/>
      <c r="CUY21" s="974"/>
      <c r="CUZ21" s="974"/>
      <c r="CVA21" s="974"/>
      <c r="CVB21" s="974"/>
      <c r="CVC21" s="974"/>
      <c r="CVD21" s="974"/>
      <c r="CVE21" s="974"/>
      <c r="CVF21" s="974"/>
      <c r="CVG21" s="974"/>
      <c r="CVH21" s="974"/>
      <c r="CVI21" s="974"/>
      <c r="CVJ21" s="974"/>
      <c r="CVK21" s="974"/>
      <c r="CVL21" s="974"/>
      <c r="CVM21" s="974"/>
      <c r="CVN21" s="974"/>
      <c r="CVO21" s="974"/>
      <c r="CVP21" s="974"/>
      <c r="CVQ21" s="974"/>
      <c r="CVR21" s="974"/>
      <c r="CVS21" s="974"/>
      <c r="CVT21" s="974"/>
      <c r="CVU21" s="974"/>
      <c r="CVV21" s="974"/>
      <c r="CVW21" s="974"/>
      <c r="CVX21" s="974"/>
      <c r="CVY21" s="974"/>
      <c r="CVZ21" s="974"/>
      <c r="CWA21" s="974"/>
      <c r="CWB21" s="974"/>
      <c r="CWC21" s="974"/>
      <c r="CWD21" s="974"/>
      <c r="CWE21" s="974"/>
      <c r="CWF21" s="974"/>
      <c r="CWG21" s="974"/>
      <c r="CWH21" s="974"/>
      <c r="CWI21" s="974"/>
      <c r="CWJ21" s="974"/>
      <c r="CWK21" s="974"/>
      <c r="CWL21" s="974"/>
      <c r="CWM21" s="974"/>
      <c r="CWN21" s="974"/>
      <c r="CWO21" s="974"/>
      <c r="CWP21" s="974"/>
      <c r="CWQ21" s="974"/>
      <c r="CWR21" s="974"/>
      <c r="CWS21" s="974"/>
      <c r="CWT21" s="974"/>
      <c r="CWU21" s="974"/>
      <c r="CWV21" s="974"/>
      <c r="CWW21" s="974"/>
      <c r="CWX21" s="974"/>
      <c r="CWY21" s="974"/>
      <c r="CWZ21" s="974"/>
      <c r="CXA21" s="974"/>
      <c r="CXB21" s="974"/>
      <c r="CXC21" s="974"/>
      <c r="CXD21" s="974"/>
      <c r="CXE21" s="974"/>
      <c r="CXF21" s="974"/>
      <c r="CXG21" s="974"/>
      <c r="CXH21" s="974"/>
      <c r="CXI21" s="974"/>
      <c r="CXJ21" s="974"/>
      <c r="CXK21" s="974"/>
      <c r="CXL21" s="974"/>
      <c r="CXM21" s="974"/>
      <c r="CXN21" s="974"/>
      <c r="CXO21" s="974"/>
      <c r="CXP21" s="974"/>
      <c r="CXQ21" s="974"/>
      <c r="CXR21" s="974"/>
      <c r="CXS21" s="974"/>
      <c r="CXT21" s="974"/>
      <c r="CXU21" s="974"/>
      <c r="CXV21" s="974"/>
      <c r="CXW21" s="974"/>
      <c r="CXX21" s="974"/>
      <c r="CXY21" s="974"/>
      <c r="CXZ21" s="974"/>
      <c r="CYA21" s="974"/>
      <c r="CYB21" s="974"/>
      <c r="CYC21" s="974"/>
      <c r="CYD21" s="974"/>
      <c r="CYE21" s="974"/>
      <c r="CYF21" s="974"/>
      <c r="CYG21" s="974"/>
      <c r="CYH21" s="974"/>
      <c r="CYI21" s="974"/>
      <c r="CYJ21" s="974"/>
      <c r="CYK21" s="974"/>
      <c r="CYL21" s="974"/>
      <c r="CYM21" s="974"/>
      <c r="CYN21" s="974"/>
      <c r="CYO21" s="974"/>
      <c r="CYP21" s="974"/>
      <c r="CYQ21" s="974"/>
      <c r="CYR21" s="974"/>
      <c r="CYS21" s="974"/>
      <c r="CYT21" s="974"/>
      <c r="CYU21" s="974"/>
      <c r="CYV21" s="974"/>
      <c r="CYW21" s="974"/>
      <c r="CYX21" s="974"/>
      <c r="CYY21" s="974"/>
      <c r="CYZ21" s="974"/>
      <c r="CZA21" s="974"/>
      <c r="CZB21" s="974"/>
      <c r="CZC21" s="974"/>
      <c r="CZD21" s="974"/>
      <c r="CZE21" s="974"/>
      <c r="CZF21" s="974"/>
      <c r="CZG21" s="974"/>
      <c r="CZH21" s="974"/>
      <c r="CZI21" s="974"/>
      <c r="CZJ21" s="974"/>
      <c r="CZK21" s="974"/>
      <c r="CZL21" s="974"/>
      <c r="CZM21" s="974"/>
      <c r="CZN21" s="974"/>
      <c r="CZO21" s="974"/>
      <c r="CZP21" s="974"/>
      <c r="CZQ21" s="974"/>
      <c r="CZR21" s="974"/>
      <c r="CZS21" s="974"/>
      <c r="CZT21" s="974"/>
      <c r="CZU21" s="974"/>
      <c r="CZV21" s="974"/>
      <c r="CZW21" s="974"/>
      <c r="CZX21" s="974"/>
      <c r="CZY21" s="974"/>
      <c r="CZZ21" s="974"/>
      <c r="DAA21" s="974"/>
      <c r="DAB21" s="974"/>
      <c r="DAC21" s="974"/>
      <c r="DAD21" s="974"/>
      <c r="DAE21" s="974"/>
      <c r="DAF21" s="974"/>
      <c r="DAG21" s="974"/>
      <c r="DAH21" s="974"/>
      <c r="DAI21" s="974"/>
      <c r="DAJ21" s="974"/>
      <c r="DAK21" s="974"/>
      <c r="DAL21" s="974"/>
      <c r="DAM21" s="974"/>
      <c r="DAN21" s="974"/>
      <c r="DAO21" s="974"/>
      <c r="DAP21" s="974"/>
      <c r="DAQ21" s="974"/>
      <c r="DAR21" s="974"/>
      <c r="DAS21" s="974"/>
      <c r="DAT21" s="974"/>
      <c r="DAU21" s="974"/>
      <c r="DAV21" s="974"/>
      <c r="DAW21" s="974"/>
      <c r="DAX21" s="974"/>
      <c r="DAY21" s="974"/>
      <c r="DAZ21" s="974"/>
      <c r="DBA21" s="974"/>
      <c r="DBB21" s="974"/>
      <c r="DBC21" s="974"/>
      <c r="DBD21" s="974"/>
      <c r="DBE21" s="974"/>
      <c r="DBF21" s="974"/>
      <c r="DBG21" s="974"/>
      <c r="DBH21" s="974"/>
      <c r="DBI21" s="974"/>
      <c r="DBJ21" s="974"/>
      <c r="DBK21" s="974"/>
      <c r="DBL21" s="974"/>
      <c r="DBM21" s="974"/>
      <c r="DBN21" s="974"/>
      <c r="DBO21" s="974"/>
      <c r="DBP21" s="974"/>
      <c r="DBQ21" s="974"/>
      <c r="DBR21" s="974"/>
      <c r="DBS21" s="974"/>
      <c r="DBT21" s="974"/>
      <c r="DBU21" s="974"/>
      <c r="DBV21" s="974"/>
      <c r="DBW21" s="974"/>
      <c r="DBX21" s="974"/>
      <c r="DBY21" s="974"/>
      <c r="DBZ21" s="974"/>
      <c r="DCA21" s="974"/>
      <c r="DCB21" s="974"/>
      <c r="DCC21" s="974"/>
      <c r="DCD21" s="974"/>
      <c r="DCE21" s="974"/>
      <c r="DCF21" s="974"/>
      <c r="DCG21" s="974"/>
      <c r="DCH21" s="974"/>
      <c r="DCI21" s="974"/>
      <c r="DCJ21" s="974"/>
      <c r="DCK21" s="974"/>
      <c r="DCL21" s="974"/>
      <c r="DCM21" s="974"/>
      <c r="DCN21" s="974"/>
      <c r="DCO21" s="974"/>
      <c r="DCP21" s="974"/>
      <c r="DCQ21" s="974"/>
      <c r="DCR21" s="974"/>
      <c r="DCS21" s="974"/>
      <c r="DCT21" s="974"/>
      <c r="DCU21" s="974"/>
      <c r="DCV21" s="974"/>
      <c r="DCW21" s="974"/>
      <c r="DCX21" s="974"/>
      <c r="DCY21" s="974"/>
      <c r="DCZ21" s="974"/>
      <c r="DDA21" s="974"/>
      <c r="DDB21" s="974"/>
      <c r="DDC21" s="974"/>
      <c r="DDD21" s="974"/>
      <c r="DDE21" s="974"/>
      <c r="DDF21" s="974"/>
      <c r="DDG21" s="974"/>
      <c r="DDH21" s="974"/>
      <c r="DDI21" s="974"/>
      <c r="DDJ21" s="974"/>
      <c r="DDK21" s="974"/>
      <c r="DDL21" s="974"/>
      <c r="DDM21" s="974"/>
      <c r="DDN21" s="974"/>
      <c r="DDO21" s="974"/>
      <c r="DDP21" s="974"/>
      <c r="DDQ21" s="974"/>
      <c r="DDR21" s="974"/>
      <c r="DDS21" s="974"/>
      <c r="DDT21" s="974"/>
      <c r="DDU21" s="974"/>
      <c r="DDV21" s="974"/>
      <c r="DDW21" s="974"/>
      <c r="DDX21" s="974"/>
      <c r="DDY21" s="974"/>
      <c r="DDZ21" s="974"/>
      <c r="DEA21" s="974"/>
      <c r="DEB21" s="974"/>
      <c r="DEC21" s="974"/>
      <c r="DED21" s="974"/>
      <c r="DEE21" s="974"/>
      <c r="DEF21" s="974"/>
      <c r="DEG21" s="974"/>
      <c r="DEH21" s="974"/>
      <c r="DEI21" s="974"/>
      <c r="DEJ21" s="974"/>
      <c r="DEK21" s="974"/>
      <c r="DEL21" s="974"/>
      <c r="DEM21" s="974"/>
      <c r="DEN21" s="974"/>
      <c r="DEO21" s="974"/>
      <c r="DEP21" s="974"/>
      <c r="DEQ21" s="974"/>
      <c r="DER21" s="974"/>
      <c r="DES21" s="974"/>
      <c r="DET21" s="974"/>
      <c r="DEU21" s="974"/>
      <c r="DEV21" s="974"/>
      <c r="DEW21" s="974"/>
      <c r="DEX21" s="974"/>
      <c r="DEY21" s="974"/>
      <c r="DEZ21" s="974"/>
      <c r="DFA21" s="974"/>
      <c r="DFB21" s="974"/>
      <c r="DFC21" s="974"/>
      <c r="DFD21" s="974"/>
      <c r="DFE21" s="974"/>
      <c r="DFF21" s="974"/>
      <c r="DFG21" s="974"/>
      <c r="DFH21" s="974"/>
      <c r="DFI21" s="974"/>
      <c r="DFJ21" s="974"/>
      <c r="DFK21" s="974"/>
      <c r="DFL21" s="974"/>
      <c r="DFM21" s="974"/>
      <c r="DFN21" s="974"/>
      <c r="DFO21" s="974"/>
      <c r="DFP21" s="974"/>
      <c r="DFQ21" s="974"/>
      <c r="DFR21" s="974"/>
      <c r="DFS21" s="974"/>
      <c r="DFT21" s="974"/>
      <c r="DFU21" s="974"/>
      <c r="DFV21" s="974"/>
      <c r="DFW21" s="974"/>
      <c r="DFX21" s="974"/>
      <c r="DFY21" s="974"/>
      <c r="DFZ21" s="974"/>
      <c r="DGA21" s="974"/>
      <c r="DGB21" s="974"/>
      <c r="DGC21" s="974"/>
      <c r="DGD21" s="974"/>
      <c r="DGE21" s="974"/>
      <c r="DGF21" s="974"/>
      <c r="DGG21" s="974"/>
      <c r="DGH21" s="974"/>
      <c r="DGI21" s="974"/>
      <c r="DGJ21" s="974"/>
      <c r="DGK21" s="974"/>
      <c r="DGL21" s="974"/>
      <c r="DGM21" s="974"/>
      <c r="DGN21" s="974"/>
      <c r="DGO21" s="974"/>
      <c r="DGP21" s="974"/>
      <c r="DGQ21" s="974"/>
      <c r="DGR21" s="974"/>
      <c r="DGS21" s="974"/>
      <c r="DGT21" s="974"/>
      <c r="DGU21" s="974"/>
      <c r="DGV21" s="974"/>
      <c r="DGW21" s="974"/>
      <c r="DGX21" s="974"/>
      <c r="DGY21" s="974"/>
      <c r="DGZ21" s="974"/>
      <c r="DHA21" s="974"/>
      <c r="DHB21" s="974"/>
      <c r="DHC21" s="974"/>
      <c r="DHD21" s="974"/>
      <c r="DHE21" s="974"/>
      <c r="DHF21" s="974"/>
      <c r="DHG21" s="974"/>
      <c r="DHH21" s="974"/>
      <c r="DHI21" s="974"/>
      <c r="DHJ21" s="974"/>
      <c r="DHK21" s="974"/>
      <c r="DHL21" s="974"/>
      <c r="DHM21" s="974"/>
      <c r="DHN21" s="974"/>
      <c r="DHO21" s="974"/>
      <c r="DHP21" s="974"/>
      <c r="DHQ21" s="974"/>
      <c r="DHR21" s="974"/>
      <c r="DHS21" s="974"/>
      <c r="DHT21" s="974"/>
      <c r="DHU21" s="974"/>
      <c r="DHV21" s="974"/>
      <c r="DHW21" s="974"/>
      <c r="DHX21" s="974"/>
      <c r="DHY21" s="974"/>
      <c r="DHZ21" s="974"/>
      <c r="DIA21" s="974"/>
      <c r="DIB21" s="974"/>
      <c r="DIC21" s="974"/>
      <c r="DID21" s="974"/>
      <c r="DIE21" s="974"/>
      <c r="DIF21" s="974"/>
      <c r="DIG21" s="974"/>
      <c r="DIH21" s="974"/>
      <c r="DII21" s="974"/>
      <c r="DIJ21" s="974"/>
      <c r="DIK21" s="974"/>
      <c r="DIL21" s="974"/>
      <c r="DIM21" s="974"/>
      <c r="DIN21" s="974"/>
      <c r="DIO21" s="974"/>
      <c r="DIP21" s="974"/>
      <c r="DIQ21" s="974"/>
      <c r="DIR21" s="974"/>
      <c r="DIS21" s="974"/>
      <c r="DIT21" s="974"/>
      <c r="DIU21" s="974"/>
      <c r="DIV21" s="974"/>
      <c r="DIW21" s="974"/>
      <c r="DIX21" s="974"/>
      <c r="DIY21" s="974"/>
      <c r="DIZ21" s="974"/>
      <c r="DJA21" s="974"/>
      <c r="DJB21" s="974"/>
      <c r="DJC21" s="974"/>
      <c r="DJD21" s="974"/>
      <c r="DJE21" s="974"/>
      <c r="DJF21" s="974"/>
      <c r="DJG21" s="974"/>
      <c r="DJH21" s="974"/>
      <c r="DJI21" s="974"/>
      <c r="DJJ21" s="974"/>
      <c r="DJK21" s="974"/>
      <c r="DJL21" s="974"/>
      <c r="DJM21" s="974"/>
      <c r="DJN21" s="974"/>
      <c r="DJO21" s="974"/>
      <c r="DJP21" s="974"/>
      <c r="DJQ21" s="974"/>
      <c r="DJR21" s="974"/>
      <c r="DJS21" s="974"/>
      <c r="DJT21" s="974"/>
      <c r="DJU21" s="974"/>
      <c r="DJV21" s="974"/>
      <c r="DJW21" s="974"/>
      <c r="DJX21" s="974"/>
      <c r="DJY21" s="974"/>
      <c r="DJZ21" s="974"/>
      <c r="DKA21" s="974"/>
      <c r="DKB21" s="974"/>
      <c r="DKC21" s="974"/>
      <c r="DKD21" s="974"/>
      <c r="DKE21" s="974"/>
      <c r="DKF21" s="974"/>
      <c r="DKG21" s="974"/>
      <c r="DKH21" s="974"/>
      <c r="DKI21" s="974"/>
      <c r="DKJ21" s="974"/>
      <c r="DKK21" s="974"/>
      <c r="DKL21" s="974"/>
      <c r="DKM21" s="974"/>
      <c r="DKN21" s="974"/>
      <c r="DKO21" s="974"/>
      <c r="DKP21" s="974"/>
      <c r="DKQ21" s="974"/>
      <c r="DKR21" s="974"/>
      <c r="DKS21" s="974"/>
      <c r="DKT21" s="974"/>
      <c r="DKU21" s="974"/>
      <c r="DKV21" s="974"/>
      <c r="DKW21" s="974"/>
      <c r="DKX21" s="974"/>
      <c r="DKY21" s="974"/>
      <c r="DKZ21" s="974"/>
      <c r="DLA21" s="974"/>
      <c r="DLB21" s="974"/>
      <c r="DLC21" s="974"/>
      <c r="DLD21" s="974"/>
      <c r="DLE21" s="974"/>
      <c r="DLF21" s="974"/>
      <c r="DLG21" s="974"/>
      <c r="DLH21" s="974"/>
      <c r="DLI21" s="974"/>
      <c r="DLJ21" s="974"/>
      <c r="DLK21" s="974"/>
      <c r="DLL21" s="974"/>
      <c r="DLM21" s="974"/>
      <c r="DLN21" s="974"/>
      <c r="DLO21" s="974"/>
      <c r="DLP21" s="974"/>
      <c r="DLQ21" s="974"/>
      <c r="DLR21" s="974"/>
      <c r="DLS21" s="974"/>
      <c r="DLT21" s="974"/>
      <c r="DLU21" s="974"/>
      <c r="DLV21" s="974"/>
      <c r="DLW21" s="974"/>
      <c r="DLX21" s="974"/>
      <c r="DLY21" s="974"/>
      <c r="DLZ21" s="974"/>
      <c r="DMA21" s="974"/>
      <c r="DMB21" s="974"/>
      <c r="DMC21" s="974"/>
      <c r="DMD21" s="974"/>
      <c r="DME21" s="974"/>
      <c r="DMF21" s="974"/>
      <c r="DMG21" s="974"/>
      <c r="DMH21" s="974"/>
      <c r="DMI21" s="974"/>
      <c r="DMJ21" s="974"/>
      <c r="DMK21" s="974"/>
      <c r="DML21" s="974"/>
      <c r="DMM21" s="974"/>
      <c r="DMN21" s="974"/>
      <c r="DMO21" s="974"/>
      <c r="DMP21" s="974"/>
      <c r="DMQ21" s="974"/>
      <c r="DMR21" s="974"/>
      <c r="DMS21" s="974"/>
      <c r="DMT21" s="974"/>
      <c r="DMU21" s="974"/>
      <c r="DMV21" s="974"/>
      <c r="DMW21" s="974"/>
      <c r="DMX21" s="974"/>
      <c r="DMY21" s="974"/>
      <c r="DMZ21" s="974"/>
      <c r="DNA21" s="974"/>
      <c r="DNB21" s="974"/>
      <c r="DNC21" s="974"/>
      <c r="DND21" s="974"/>
      <c r="DNE21" s="974"/>
      <c r="DNF21" s="974"/>
      <c r="DNG21" s="974"/>
      <c r="DNH21" s="974"/>
      <c r="DNI21" s="974"/>
      <c r="DNJ21" s="974"/>
      <c r="DNK21" s="974"/>
      <c r="DNL21" s="974"/>
      <c r="DNM21" s="974"/>
      <c r="DNN21" s="974"/>
      <c r="DNO21" s="974"/>
      <c r="DNP21" s="974"/>
      <c r="DNQ21" s="974"/>
      <c r="DNR21" s="974"/>
      <c r="DNS21" s="974"/>
      <c r="DNT21" s="974"/>
      <c r="DNU21" s="974"/>
      <c r="DNV21" s="974"/>
      <c r="DNW21" s="974"/>
      <c r="DNX21" s="974"/>
      <c r="DNY21" s="974"/>
      <c r="DNZ21" s="974"/>
      <c r="DOA21" s="974"/>
      <c r="DOB21" s="974"/>
      <c r="DOC21" s="974"/>
      <c r="DOD21" s="974"/>
      <c r="DOE21" s="974"/>
      <c r="DOF21" s="974"/>
      <c r="DOG21" s="974"/>
      <c r="DOH21" s="974"/>
      <c r="DOI21" s="974"/>
      <c r="DOJ21" s="974"/>
      <c r="DOK21" s="974"/>
      <c r="DOL21" s="974"/>
      <c r="DOM21" s="974"/>
      <c r="DON21" s="974"/>
      <c r="DOO21" s="974"/>
      <c r="DOP21" s="974"/>
      <c r="DOQ21" s="974"/>
      <c r="DOR21" s="974"/>
      <c r="DOS21" s="974"/>
      <c r="DOT21" s="974"/>
      <c r="DOU21" s="974"/>
      <c r="DOV21" s="974"/>
      <c r="DOW21" s="974"/>
      <c r="DOX21" s="974"/>
      <c r="DOY21" s="974"/>
      <c r="DOZ21" s="974"/>
      <c r="DPA21" s="974"/>
      <c r="DPB21" s="974"/>
      <c r="DPC21" s="974"/>
      <c r="DPD21" s="974"/>
      <c r="DPE21" s="974"/>
      <c r="DPF21" s="974"/>
      <c r="DPG21" s="974"/>
      <c r="DPH21" s="974"/>
      <c r="DPI21" s="974"/>
      <c r="DPJ21" s="974"/>
      <c r="DPK21" s="974"/>
      <c r="DPL21" s="974"/>
      <c r="DPM21" s="974"/>
      <c r="DPN21" s="974"/>
      <c r="DPO21" s="974"/>
      <c r="DPP21" s="974"/>
      <c r="DPQ21" s="974"/>
      <c r="DPR21" s="974"/>
      <c r="DPS21" s="974"/>
      <c r="DPT21" s="974"/>
      <c r="DPU21" s="974"/>
      <c r="DPV21" s="974"/>
      <c r="DPW21" s="974"/>
      <c r="DPX21" s="974"/>
      <c r="DPY21" s="974"/>
      <c r="DPZ21" s="974"/>
      <c r="DQA21" s="974"/>
      <c r="DQB21" s="974"/>
      <c r="DQC21" s="974"/>
      <c r="DQD21" s="974"/>
      <c r="DQE21" s="974"/>
      <c r="DQF21" s="974"/>
      <c r="DQG21" s="974"/>
      <c r="DQH21" s="974"/>
      <c r="DQI21" s="974"/>
      <c r="DQJ21" s="974"/>
      <c r="DQK21" s="974"/>
      <c r="DQL21" s="974"/>
      <c r="DQM21" s="974"/>
      <c r="DQN21" s="974"/>
      <c r="DQO21" s="974"/>
      <c r="DQP21" s="974"/>
      <c r="DQQ21" s="974"/>
      <c r="DQR21" s="974"/>
      <c r="DQS21" s="974"/>
      <c r="DQT21" s="974"/>
      <c r="DQU21" s="974"/>
      <c r="DQV21" s="974"/>
      <c r="DQW21" s="974"/>
      <c r="DQX21" s="974"/>
      <c r="DQY21" s="974"/>
      <c r="DQZ21" s="974"/>
      <c r="DRA21" s="974"/>
      <c r="DRB21" s="974"/>
      <c r="DRC21" s="974"/>
      <c r="DRD21" s="974"/>
      <c r="DRE21" s="974"/>
      <c r="DRF21" s="974"/>
      <c r="DRG21" s="974"/>
      <c r="DRH21" s="974"/>
      <c r="DRI21" s="974"/>
      <c r="DRJ21" s="974"/>
      <c r="DRK21" s="974"/>
      <c r="DRL21" s="974"/>
      <c r="DRM21" s="974"/>
      <c r="DRN21" s="974"/>
      <c r="DRO21" s="974"/>
      <c r="DRP21" s="974"/>
      <c r="DRQ21" s="974"/>
      <c r="DRR21" s="974"/>
      <c r="DRS21" s="974"/>
      <c r="DRT21" s="974"/>
      <c r="DRU21" s="974"/>
      <c r="DRV21" s="974"/>
      <c r="DRW21" s="974"/>
      <c r="DRX21" s="974"/>
      <c r="DRY21" s="974"/>
      <c r="DRZ21" s="974"/>
      <c r="DSA21" s="974"/>
      <c r="DSB21" s="974"/>
      <c r="DSC21" s="974"/>
      <c r="DSD21" s="974"/>
      <c r="DSE21" s="974"/>
      <c r="DSF21" s="974"/>
      <c r="DSG21" s="974"/>
      <c r="DSH21" s="974"/>
      <c r="DSI21" s="974"/>
      <c r="DSJ21" s="974"/>
      <c r="DSK21" s="974"/>
      <c r="DSL21" s="974"/>
      <c r="DSM21" s="974"/>
      <c r="DSN21" s="974"/>
      <c r="DSO21" s="974"/>
      <c r="DSP21" s="974"/>
      <c r="DSQ21" s="974"/>
      <c r="DSR21" s="974"/>
      <c r="DSS21" s="974"/>
      <c r="DST21" s="974"/>
      <c r="DSU21" s="974"/>
      <c r="DSV21" s="974"/>
      <c r="DSW21" s="974"/>
      <c r="DSX21" s="974"/>
      <c r="DSY21" s="974"/>
      <c r="DSZ21" s="974"/>
      <c r="DTA21" s="974"/>
      <c r="DTB21" s="974"/>
      <c r="DTC21" s="974"/>
      <c r="DTD21" s="974"/>
      <c r="DTE21" s="974"/>
      <c r="DTF21" s="974"/>
      <c r="DTG21" s="974"/>
      <c r="DTH21" s="974"/>
      <c r="DTI21" s="974"/>
      <c r="DTJ21" s="974"/>
      <c r="DTK21" s="974"/>
      <c r="DTL21" s="974"/>
      <c r="DTM21" s="974"/>
      <c r="DTN21" s="974"/>
      <c r="DTO21" s="974"/>
      <c r="DTP21" s="974"/>
      <c r="DTQ21" s="974"/>
      <c r="DTR21" s="974"/>
      <c r="DTS21" s="974"/>
      <c r="DTT21" s="974"/>
      <c r="DTU21" s="974"/>
      <c r="DTV21" s="974"/>
      <c r="DTW21" s="974"/>
      <c r="DTX21" s="974"/>
      <c r="DTY21" s="974"/>
      <c r="DTZ21" s="974"/>
      <c r="DUA21" s="974"/>
      <c r="DUB21" s="974"/>
      <c r="DUC21" s="974"/>
      <c r="DUD21" s="974"/>
      <c r="DUE21" s="974"/>
      <c r="DUF21" s="974"/>
      <c r="DUG21" s="974"/>
      <c r="DUH21" s="974"/>
      <c r="DUI21" s="974"/>
      <c r="DUJ21" s="974"/>
      <c r="DUK21" s="974"/>
      <c r="DUL21" s="974"/>
      <c r="DUM21" s="974"/>
      <c r="DUN21" s="974"/>
      <c r="DUO21" s="974"/>
      <c r="DUP21" s="974"/>
      <c r="DUQ21" s="974"/>
      <c r="DUR21" s="974"/>
      <c r="DUS21" s="974"/>
      <c r="DUT21" s="974"/>
      <c r="DUU21" s="974"/>
      <c r="DUV21" s="974"/>
      <c r="DUW21" s="974"/>
      <c r="DUX21" s="974"/>
      <c r="DUY21" s="974"/>
      <c r="DUZ21" s="974"/>
      <c r="DVA21" s="974"/>
      <c r="DVB21" s="974"/>
      <c r="DVC21" s="974"/>
      <c r="DVD21" s="974"/>
      <c r="DVE21" s="974"/>
      <c r="DVF21" s="974"/>
      <c r="DVG21" s="974"/>
      <c r="DVH21" s="974"/>
      <c r="DVI21" s="974"/>
      <c r="DVJ21" s="974"/>
      <c r="DVK21" s="974"/>
      <c r="DVL21" s="974"/>
      <c r="DVM21" s="974"/>
      <c r="DVN21" s="974"/>
      <c r="DVO21" s="974"/>
      <c r="DVP21" s="974"/>
      <c r="DVQ21" s="974"/>
      <c r="DVR21" s="974"/>
      <c r="DVS21" s="974"/>
      <c r="DVT21" s="974"/>
      <c r="DVU21" s="974"/>
      <c r="DVV21" s="974"/>
      <c r="DVW21" s="974"/>
      <c r="DVX21" s="974"/>
      <c r="DVY21" s="974"/>
      <c r="DVZ21" s="974"/>
      <c r="DWA21" s="974"/>
      <c r="DWB21" s="974"/>
      <c r="DWC21" s="974"/>
      <c r="DWD21" s="974"/>
      <c r="DWE21" s="974"/>
      <c r="DWF21" s="974"/>
      <c r="DWG21" s="974"/>
      <c r="DWH21" s="974"/>
      <c r="DWI21" s="974"/>
      <c r="DWJ21" s="974"/>
      <c r="DWK21" s="974"/>
      <c r="DWL21" s="974"/>
      <c r="DWM21" s="974"/>
      <c r="DWN21" s="974"/>
      <c r="DWO21" s="974"/>
      <c r="DWP21" s="974"/>
      <c r="DWQ21" s="974"/>
      <c r="DWR21" s="974"/>
      <c r="DWS21" s="974"/>
      <c r="DWT21" s="974"/>
      <c r="DWU21" s="974"/>
      <c r="DWV21" s="974"/>
      <c r="DWW21" s="974"/>
      <c r="DWX21" s="974"/>
      <c r="DWY21" s="974"/>
      <c r="DWZ21" s="974"/>
      <c r="DXA21" s="974"/>
      <c r="DXB21" s="974"/>
      <c r="DXC21" s="974"/>
      <c r="DXD21" s="974"/>
      <c r="DXE21" s="974"/>
      <c r="DXF21" s="974"/>
      <c r="DXG21" s="974"/>
      <c r="DXH21" s="974"/>
      <c r="DXI21" s="974"/>
      <c r="DXJ21" s="974"/>
      <c r="DXK21" s="974"/>
      <c r="DXL21" s="974"/>
      <c r="DXM21" s="974"/>
      <c r="DXN21" s="974"/>
      <c r="DXO21" s="974"/>
      <c r="DXP21" s="974"/>
      <c r="DXQ21" s="974"/>
      <c r="DXR21" s="974"/>
      <c r="DXS21" s="974"/>
      <c r="DXT21" s="974"/>
      <c r="DXU21" s="974"/>
      <c r="DXV21" s="974"/>
      <c r="DXW21" s="974"/>
      <c r="DXX21" s="974"/>
      <c r="DXY21" s="974"/>
      <c r="DXZ21" s="974"/>
      <c r="DYA21" s="974"/>
      <c r="DYB21" s="974"/>
      <c r="DYC21" s="974"/>
      <c r="DYD21" s="974"/>
      <c r="DYE21" s="974"/>
      <c r="DYF21" s="974"/>
      <c r="DYG21" s="974"/>
      <c r="DYH21" s="974"/>
      <c r="DYI21" s="974"/>
      <c r="DYJ21" s="974"/>
      <c r="DYK21" s="974"/>
      <c r="DYL21" s="974"/>
      <c r="DYM21" s="974"/>
      <c r="DYN21" s="974"/>
      <c r="DYO21" s="974"/>
      <c r="DYP21" s="974"/>
      <c r="DYQ21" s="974"/>
      <c r="DYR21" s="974"/>
      <c r="DYS21" s="974"/>
      <c r="DYT21" s="974"/>
      <c r="DYU21" s="974"/>
      <c r="DYV21" s="974"/>
      <c r="DYW21" s="974"/>
      <c r="DYX21" s="974"/>
      <c r="DYY21" s="974"/>
      <c r="DYZ21" s="974"/>
      <c r="DZA21" s="974"/>
      <c r="DZB21" s="974"/>
      <c r="DZC21" s="974"/>
      <c r="DZD21" s="974"/>
      <c r="DZE21" s="974"/>
      <c r="DZF21" s="974"/>
      <c r="DZG21" s="974"/>
      <c r="DZH21" s="974"/>
      <c r="DZI21" s="974"/>
      <c r="DZJ21" s="974"/>
      <c r="DZK21" s="974"/>
      <c r="DZL21" s="974"/>
      <c r="DZM21" s="974"/>
      <c r="DZN21" s="974"/>
      <c r="DZO21" s="974"/>
      <c r="DZP21" s="974"/>
      <c r="DZQ21" s="974"/>
      <c r="DZR21" s="974"/>
      <c r="DZS21" s="974"/>
      <c r="DZT21" s="974"/>
      <c r="DZU21" s="974"/>
      <c r="DZV21" s="974"/>
      <c r="DZW21" s="974"/>
      <c r="DZX21" s="974"/>
      <c r="DZY21" s="974"/>
      <c r="DZZ21" s="974"/>
      <c r="EAA21" s="974"/>
      <c r="EAB21" s="974"/>
      <c r="EAC21" s="974"/>
      <c r="EAD21" s="974"/>
      <c r="EAE21" s="974"/>
      <c r="EAF21" s="974"/>
      <c r="EAG21" s="974"/>
      <c r="EAH21" s="974"/>
      <c r="EAI21" s="974"/>
      <c r="EAJ21" s="974"/>
      <c r="EAK21" s="974"/>
      <c r="EAL21" s="974"/>
      <c r="EAM21" s="974"/>
      <c r="EAN21" s="974"/>
      <c r="EAO21" s="974"/>
      <c r="EAP21" s="974"/>
      <c r="EAQ21" s="974"/>
      <c r="EAR21" s="974"/>
      <c r="EAS21" s="974"/>
      <c r="EAT21" s="974"/>
      <c r="EAU21" s="974"/>
      <c r="EAV21" s="974"/>
      <c r="EAW21" s="974"/>
      <c r="EAX21" s="974"/>
      <c r="EAY21" s="974"/>
      <c r="EAZ21" s="974"/>
      <c r="EBA21" s="974"/>
      <c r="EBB21" s="974"/>
      <c r="EBC21" s="974"/>
      <c r="EBD21" s="974"/>
      <c r="EBE21" s="974"/>
      <c r="EBF21" s="974"/>
      <c r="EBG21" s="974"/>
      <c r="EBH21" s="974"/>
      <c r="EBI21" s="974"/>
      <c r="EBJ21" s="974"/>
      <c r="EBK21" s="974"/>
      <c r="EBL21" s="974"/>
      <c r="EBM21" s="974"/>
      <c r="EBN21" s="974"/>
      <c r="EBO21" s="974"/>
      <c r="EBP21" s="974"/>
      <c r="EBQ21" s="974"/>
      <c r="EBR21" s="974"/>
      <c r="EBS21" s="974"/>
      <c r="EBT21" s="974"/>
      <c r="EBU21" s="974"/>
      <c r="EBV21" s="974"/>
      <c r="EBW21" s="974"/>
      <c r="EBX21" s="974"/>
      <c r="EBY21" s="974"/>
      <c r="EBZ21" s="974"/>
      <c r="ECA21" s="974"/>
      <c r="ECB21" s="974"/>
      <c r="ECC21" s="974"/>
      <c r="ECD21" s="974"/>
      <c r="ECE21" s="974"/>
      <c r="ECF21" s="974"/>
      <c r="ECG21" s="974"/>
      <c r="ECH21" s="974"/>
      <c r="ECI21" s="974"/>
      <c r="ECJ21" s="974"/>
      <c r="ECK21" s="974"/>
      <c r="ECL21" s="974"/>
      <c r="ECM21" s="974"/>
      <c r="ECN21" s="974"/>
      <c r="ECO21" s="974"/>
      <c r="ECP21" s="974"/>
      <c r="ECQ21" s="974"/>
      <c r="ECR21" s="974"/>
      <c r="ECS21" s="974"/>
      <c r="ECT21" s="974"/>
      <c r="ECU21" s="974"/>
      <c r="ECV21" s="974"/>
      <c r="ECW21" s="974"/>
      <c r="ECX21" s="974"/>
      <c r="ECY21" s="974"/>
      <c r="ECZ21" s="974"/>
      <c r="EDA21" s="974"/>
      <c r="EDB21" s="974"/>
      <c r="EDC21" s="974"/>
      <c r="EDD21" s="974"/>
      <c r="EDE21" s="974"/>
      <c r="EDF21" s="974"/>
      <c r="EDG21" s="974"/>
      <c r="EDH21" s="974"/>
      <c r="EDI21" s="974"/>
      <c r="EDJ21" s="974"/>
      <c r="EDK21" s="974"/>
      <c r="EDL21" s="974"/>
      <c r="EDM21" s="974"/>
      <c r="EDN21" s="974"/>
      <c r="EDO21" s="974"/>
      <c r="EDP21" s="974"/>
      <c r="EDQ21" s="974"/>
      <c r="EDR21" s="974"/>
      <c r="EDS21" s="974"/>
      <c r="EDT21" s="974"/>
      <c r="EDU21" s="974"/>
      <c r="EDV21" s="974"/>
      <c r="EDW21" s="974"/>
      <c r="EDX21" s="974"/>
      <c r="EDY21" s="974"/>
      <c r="EDZ21" s="974"/>
      <c r="EEA21" s="974"/>
      <c r="EEB21" s="974"/>
      <c r="EEC21" s="974"/>
      <c r="EED21" s="974"/>
      <c r="EEE21" s="974"/>
      <c r="EEF21" s="974"/>
      <c r="EEG21" s="974"/>
      <c r="EEH21" s="974"/>
      <c r="EEI21" s="974"/>
      <c r="EEJ21" s="974"/>
      <c r="EEK21" s="974"/>
      <c r="EEL21" s="974"/>
      <c r="EEM21" s="974"/>
      <c r="EEN21" s="974"/>
      <c r="EEO21" s="974"/>
      <c r="EEP21" s="974"/>
      <c r="EEQ21" s="974"/>
      <c r="EER21" s="974"/>
      <c r="EES21" s="974"/>
      <c r="EET21" s="974"/>
      <c r="EEU21" s="974"/>
      <c r="EEV21" s="974"/>
      <c r="EEW21" s="974"/>
      <c r="EEX21" s="974"/>
      <c r="EEY21" s="974"/>
      <c r="EEZ21" s="974"/>
      <c r="EFA21" s="974"/>
      <c r="EFB21" s="974"/>
      <c r="EFC21" s="974"/>
      <c r="EFD21" s="974"/>
      <c r="EFE21" s="974"/>
      <c r="EFF21" s="974"/>
      <c r="EFG21" s="974"/>
      <c r="EFH21" s="974"/>
      <c r="EFI21" s="974"/>
      <c r="EFJ21" s="974"/>
      <c r="EFK21" s="974"/>
      <c r="EFL21" s="974"/>
      <c r="EFM21" s="974"/>
      <c r="EFN21" s="974"/>
      <c r="EFO21" s="974"/>
      <c r="EFP21" s="974"/>
      <c r="EFQ21" s="974"/>
      <c r="EFR21" s="974"/>
      <c r="EFS21" s="974"/>
      <c r="EFT21" s="974"/>
      <c r="EFU21" s="974"/>
      <c r="EFV21" s="974"/>
      <c r="EFW21" s="974"/>
      <c r="EFX21" s="974"/>
      <c r="EFY21" s="974"/>
      <c r="EFZ21" s="974"/>
      <c r="EGA21" s="974"/>
      <c r="EGB21" s="974"/>
      <c r="EGC21" s="974"/>
      <c r="EGD21" s="974"/>
      <c r="EGE21" s="974"/>
      <c r="EGF21" s="974"/>
      <c r="EGG21" s="974"/>
      <c r="EGH21" s="974"/>
      <c r="EGI21" s="974"/>
      <c r="EGJ21" s="974"/>
      <c r="EGK21" s="974"/>
      <c r="EGL21" s="974"/>
      <c r="EGM21" s="974"/>
      <c r="EGN21" s="974"/>
      <c r="EGO21" s="974"/>
      <c r="EGP21" s="974"/>
      <c r="EGQ21" s="974"/>
      <c r="EGR21" s="974"/>
      <c r="EGS21" s="974"/>
      <c r="EGT21" s="974"/>
      <c r="EGU21" s="974"/>
      <c r="EGV21" s="974"/>
      <c r="EGW21" s="974"/>
      <c r="EGX21" s="974"/>
      <c r="EGY21" s="974"/>
      <c r="EGZ21" s="974"/>
      <c r="EHA21" s="974"/>
      <c r="EHB21" s="974"/>
      <c r="EHC21" s="974"/>
      <c r="EHD21" s="974"/>
      <c r="EHE21" s="974"/>
      <c r="EHF21" s="974"/>
      <c r="EHG21" s="974"/>
      <c r="EHH21" s="974"/>
      <c r="EHI21" s="974"/>
      <c r="EHJ21" s="974"/>
      <c r="EHK21" s="974"/>
      <c r="EHL21" s="974"/>
      <c r="EHM21" s="974"/>
      <c r="EHN21" s="974"/>
      <c r="EHO21" s="974"/>
      <c r="EHP21" s="974"/>
      <c r="EHQ21" s="974"/>
      <c r="EHR21" s="974"/>
      <c r="EHS21" s="974"/>
      <c r="EHT21" s="974"/>
      <c r="EHU21" s="974"/>
      <c r="EHV21" s="974"/>
      <c r="EHW21" s="974"/>
      <c r="EHX21" s="974"/>
      <c r="EHY21" s="974"/>
      <c r="EHZ21" s="974"/>
      <c r="EIA21" s="974"/>
      <c r="EIB21" s="974"/>
      <c r="EIC21" s="974"/>
      <c r="EID21" s="974"/>
      <c r="EIE21" s="974"/>
      <c r="EIF21" s="974"/>
      <c r="EIG21" s="974"/>
      <c r="EIH21" s="974"/>
      <c r="EII21" s="974"/>
      <c r="EIJ21" s="974"/>
      <c r="EIK21" s="974"/>
      <c r="EIL21" s="974"/>
      <c r="EIM21" s="974"/>
      <c r="EIN21" s="974"/>
      <c r="EIO21" s="974"/>
      <c r="EIP21" s="974"/>
      <c r="EIQ21" s="974"/>
      <c r="EIR21" s="974"/>
      <c r="EIS21" s="974"/>
      <c r="EIT21" s="974"/>
      <c r="EIU21" s="974"/>
      <c r="EIV21" s="974"/>
      <c r="EIW21" s="974"/>
      <c r="EIX21" s="974"/>
      <c r="EIY21" s="974"/>
      <c r="EIZ21" s="974"/>
      <c r="EJA21" s="974"/>
      <c r="EJB21" s="974"/>
      <c r="EJC21" s="974"/>
      <c r="EJD21" s="974"/>
      <c r="EJE21" s="974"/>
      <c r="EJF21" s="974"/>
      <c r="EJG21" s="974"/>
      <c r="EJH21" s="974"/>
      <c r="EJI21" s="974"/>
      <c r="EJJ21" s="974"/>
      <c r="EJK21" s="974"/>
      <c r="EJL21" s="974"/>
      <c r="EJM21" s="974"/>
      <c r="EJN21" s="974"/>
      <c r="EJO21" s="974"/>
      <c r="EJP21" s="974"/>
      <c r="EJQ21" s="974"/>
      <c r="EJR21" s="974"/>
      <c r="EJS21" s="974"/>
      <c r="EJT21" s="974"/>
      <c r="EJU21" s="974"/>
      <c r="EJV21" s="974"/>
      <c r="EJW21" s="974"/>
      <c r="EJX21" s="974"/>
      <c r="EJY21" s="974"/>
      <c r="EJZ21" s="974"/>
      <c r="EKA21" s="974"/>
      <c r="EKB21" s="974"/>
      <c r="EKC21" s="974"/>
      <c r="EKD21" s="974"/>
      <c r="EKE21" s="974"/>
      <c r="EKF21" s="974"/>
      <c r="EKG21" s="974"/>
      <c r="EKH21" s="974"/>
      <c r="EKI21" s="974"/>
      <c r="EKJ21" s="974"/>
      <c r="EKK21" s="974"/>
      <c r="EKL21" s="974"/>
      <c r="EKM21" s="974"/>
      <c r="EKN21" s="974"/>
      <c r="EKO21" s="974"/>
      <c r="EKP21" s="974"/>
      <c r="EKQ21" s="974"/>
      <c r="EKR21" s="974"/>
      <c r="EKS21" s="974"/>
      <c r="EKT21" s="974"/>
      <c r="EKU21" s="974"/>
      <c r="EKV21" s="974"/>
      <c r="EKW21" s="974"/>
      <c r="EKX21" s="974"/>
      <c r="EKY21" s="974"/>
      <c r="EKZ21" s="974"/>
      <c r="ELA21" s="974"/>
      <c r="ELB21" s="974"/>
      <c r="ELC21" s="974"/>
      <c r="ELD21" s="974"/>
      <c r="ELE21" s="974"/>
      <c r="ELF21" s="974"/>
      <c r="ELG21" s="974"/>
      <c r="ELH21" s="974"/>
      <c r="ELI21" s="974"/>
      <c r="ELJ21" s="974"/>
      <c r="ELK21" s="974"/>
      <c r="ELL21" s="974"/>
      <c r="ELM21" s="974"/>
      <c r="ELN21" s="974"/>
      <c r="ELO21" s="974"/>
      <c r="ELP21" s="974"/>
      <c r="ELQ21" s="974"/>
      <c r="ELR21" s="974"/>
      <c r="ELS21" s="974"/>
      <c r="ELT21" s="974"/>
      <c r="ELU21" s="974"/>
      <c r="ELV21" s="974"/>
      <c r="ELW21" s="974"/>
      <c r="ELX21" s="974"/>
      <c r="ELY21" s="974"/>
      <c r="ELZ21" s="974"/>
      <c r="EMA21" s="974"/>
      <c r="EMB21" s="974"/>
      <c r="EMC21" s="974"/>
      <c r="EMD21" s="974"/>
      <c r="EME21" s="974"/>
      <c r="EMF21" s="974"/>
      <c r="EMG21" s="974"/>
      <c r="EMH21" s="974"/>
      <c r="EMI21" s="974"/>
      <c r="EMJ21" s="974"/>
      <c r="EMK21" s="974"/>
      <c r="EML21" s="974"/>
      <c r="EMM21" s="974"/>
      <c r="EMN21" s="974"/>
      <c r="EMO21" s="974"/>
      <c r="EMP21" s="974"/>
      <c r="EMQ21" s="974"/>
      <c r="EMR21" s="974"/>
      <c r="EMS21" s="974"/>
      <c r="EMT21" s="974"/>
      <c r="EMU21" s="974"/>
      <c r="EMV21" s="974"/>
      <c r="EMW21" s="974"/>
      <c r="EMX21" s="974"/>
      <c r="EMY21" s="974"/>
      <c r="EMZ21" s="974"/>
      <c r="ENA21" s="974"/>
      <c r="ENB21" s="974"/>
      <c r="ENC21" s="974"/>
      <c r="END21" s="974"/>
      <c r="ENE21" s="974"/>
      <c r="ENF21" s="974"/>
      <c r="ENG21" s="974"/>
      <c r="ENH21" s="974"/>
      <c r="ENI21" s="974"/>
      <c r="ENJ21" s="974"/>
      <c r="ENK21" s="974"/>
      <c r="ENL21" s="974"/>
      <c r="ENM21" s="974"/>
      <c r="ENN21" s="974"/>
      <c r="ENO21" s="974"/>
      <c r="ENP21" s="974"/>
      <c r="ENQ21" s="974"/>
      <c r="ENR21" s="974"/>
      <c r="ENS21" s="974"/>
      <c r="ENT21" s="974"/>
      <c r="ENU21" s="974"/>
      <c r="ENV21" s="974"/>
      <c r="ENW21" s="974"/>
      <c r="ENX21" s="974"/>
      <c r="ENY21" s="974"/>
      <c r="ENZ21" s="974"/>
      <c r="EOA21" s="974"/>
      <c r="EOB21" s="974"/>
      <c r="EOC21" s="974"/>
      <c r="EOD21" s="974"/>
      <c r="EOE21" s="974"/>
      <c r="EOF21" s="974"/>
      <c r="EOG21" s="974"/>
      <c r="EOH21" s="974"/>
      <c r="EOI21" s="974"/>
      <c r="EOJ21" s="974"/>
      <c r="EOK21" s="974"/>
      <c r="EOL21" s="974"/>
      <c r="EOM21" s="974"/>
      <c r="EON21" s="974"/>
      <c r="EOO21" s="974"/>
      <c r="EOP21" s="974"/>
      <c r="EOQ21" s="974"/>
      <c r="EOR21" s="974"/>
      <c r="EOS21" s="974"/>
      <c r="EOT21" s="974"/>
      <c r="EOU21" s="974"/>
      <c r="EOV21" s="974"/>
      <c r="EOW21" s="974"/>
      <c r="EOX21" s="974"/>
      <c r="EOY21" s="974"/>
      <c r="EOZ21" s="974"/>
      <c r="EPA21" s="974"/>
      <c r="EPB21" s="974"/>
      <c r="EPC21" s="974"/>
      <c r="EPD21" s="974"/>
      <c r="EPE21" s="974"/>
      <c r="EPF21" s="974"/>
      <c r="EPG21" s="974"/>
      <c r="EPH21" s="974"/>
      <c r="EPI21" s="974"/>
      <c r="EPJ21" s="974"/>
      <c r="EPK21" s="974"/>
      <c r="EPL21" s="974"/>
      <c r="EPM21" s="974"/>
      <c r="EPN21" s="974"/>
      <c r="EPO21" s="974"/>
      <c r="EPP21" s="974"/>
      <c r="EPQ21" s="974"/>
      <c r="EPR21" s="974"/>
      <c r="EPS21" s="974"/>
      <c r="EPT21" s="974"/>
      <c r="EPU21" s="974"/>
      <c r="EPV21" s="974"/>
      <c r="EPW21" s="974"/>
      <c r="EPX21" s="974"/>
      <c r="EPY21" s="974"/>
      <c r="EPZ21" s="974"/>
      <c r="EQA21" s="974"/>
      <c r="EQB21" s="974"/>
      <c r="EQC21" s="974"/>
      <c r="EQD21" s="974"/>
      <c r="EQE21" s="974"/>
      <c r="EQF21" s="974"/>
      <c r="EQG21" s="974"/>
      <c r="EQH21" s="974"/>
      <c r="EQI21" s="974"/>
      <c r="EQJ21" s="974"/>
      <c r="EQK21" s="974"/>
      <c r="EQL21" s="974"/>
      <c r="EQM21" s="974"/>
      <c r="EQN21" s="974"/>
      <c r="EQO21" s="974"/>
      <c r="EQP21" s="974"/>
      <c r="EQQ21" s="974"/>
      <c r="EQR21" s="974"/>
      <c r="EQS21" s="974"/>
      <c r="EQT21" s="974"/>
      <c r="EQU21" s="974"/>
      <c r="EQV21" s="974"/>
      <c r="EQW21" s="974"/>
      <c r="EQX21" s="974"/>
      <c r="EQY21" s="974"/>
      <c r="EQZ21" s="974"/>
      <c r="ERA21" s="974"/>
      <c r="ERB21" s="974"/>
      <c r="ERC21" s="974"/>
      <c r="ERD21" s="974"/>
      <c r="ERE21" s="974"/>
      <c r="ERF21" s="974"/>
      <c r="ERG21" s="974"/>
      <c r="ERH21" s="974"/>
      <c r="ERI21" s="974"/>
      <c r="ERJ21" s="974"/>
      <c r="ERK21" s="974"/>
      <c r="ERL21" s="974"/>
      <c r="ERM21" s="974"/>
      <c r="ERN21" s="974"/>
      <c r="ERO21" s="974"/>
      <c r="ERP21" s="974"/>
      <c r="ERQ21" s="974"/>
      <c r="ERR21" s="974"/>
      <c r="ERS21" s="974"/>
      <c r="ERT21" s="974"/>
      <c r="ERU21" s="974"/>
      <c r="ERV21" s="974"/>
      <c r="ERW21" s="974"/>
      <c r="ERX21" s="974"/>
      <c r="ERY21" s="974"/>
      <c r="ERZ21" s="974"/>
      <c r="ESA21" s="974"/>
      <c r="ESB21" s="974"/>
      <c r="ESC21" s="974"/>
      <c r="ESD21" s="974"/>
      <c r="ESE21" s="974"/>
      <c r="ESF21" s="974"/>
      <c r="ESG21" s="974"/>
      <c r="ESH21" s="974"/>
      <c r="ESI21" s="974"/>
      <c r="ESJ21" s="974"/>
      <c r="ESK21" s="974"/>
      <c r="ESL21" s="974"/>
      <c r="ESM21" s="974"/>
      <c r="ESN21" s="974"/>
      <c r="ESO21" s="974"/>
      <c r="ESP21" s="974"/>
      <c r="ESQ21" s="974"/>
      <c r="ESR21" s="974"/>
      <c r="ESS21" s="974"/>
      <c r="EST21" s="974"/>
      <c r="ESU21" s="974"/>
      <c r="ESV21" s="974"/>
      <c r="ESW21" s="974"/>
      <c r="ESX21" s="974"/>
      <c r="ESY21" s="974"/>
      <c r="ESZ21" s="974"/>
      <c r="ETA21" s="974"/>
      <c r="ETB21" s="974"/>
      <c r="ETC21" s="974"/>
      <c r="ETD21" s="974"/>
      <c r="ETE21" s="974"/>
      <c r="ETF21" s="974"/>
      <c r="ETG21" s="974"/>
      <c r="ETH21" s="974"/>
      <c r="ETI21" s="974"/>
      <c r="ETJ21" s="974"/>
      <c r="ETK21" s="974"/>
      <c r="ETL21" s="974"/>
      <c r="ETM21" s="974"/>
      <c r="ETN21" s="974"/>
      <c r="ETO21" s="974"/>
      <c r="ETP21" s="974"/>
      <c r="ETQ21" s="974"/>
      <c r="ETR21" s="974"/>
      <c r="ETS21" s="974"/>
      <c r="ETT21" s="974"/>
      <c r="ETU21" s="974"/>
      <c r="ETV21" s="974"/>
      <c r="ETW21" s="974"/>
      <c r="ETX21" s="974"/>
      <c r="ETY21" s="974"/>
      <c r="ETZ21" s="974"/>
      <c r="EUA21" s="974"/>
      <c r="EUB21" s="974"/>
      <c r="EUC21" s="974"/>
      <c r="EUD21" s="974"/>
      <c r="EUE21" s="974"/>
      <c r="EUF21" s="974"/>
      <c r="EUG21" s="974"/>
      <c r="EUH21" s="974"/>
      <c r="EUI21" s="974"/>
      <c r="EUJ21" s="974"/>
      <c r="EUK21" s="974"/>
      <c r="EUL21" s="974"/>
      <c r="EUM21" s="974"/>
      <c r="EUN21" s="974"/>
      <c r="EUO21" s="974"/>
      <c r="EUP21" s="974"/>
      <c r="EUQ21" s="974"/>
      <c r="EUR21" s="974"/>
      <c r="EUS21" s="974"/>
      <c r="EUT21" s="974"/>
      <c r="EUU21" s="974"/>
      <c r="EUV21" s="974"/>
      <c r="EUW21" s="974"/>
      <c r="EUX21" s="974"/>
      <c r="EUY21" s="974"/>
      <c r="EUZ21" s="974"/>
      <c r="EVA21" s="974"/>
      <c r="EVB21" s="974"/>
      <c r="EVC21" s="974"/>
      <c r="EVD21" s="974"/>
      <c r="EVE21" s="974"/>
      <c r="EVF21" s="974"/>
      <c r="EVG21" s="974"/>
      <c r="EVH21" s="974"/>
      <c r="EVI21" s="974"/>
      <c r="EVJ21" s="974"/>
      <c r="EVK21" s="974"/>
      <c r="EVL21" s="974"/>
      <c r="EVM21" s="974"/>
      <c r="EVN21" s="974"/>
      <c r="EVO21" s="974"/>
      <c r="EVP21" s="974"/>
      <c r="EVQ21" s="974"/>
      <c r="EVR21" s="974"/>
      <c r="EVS21" s="974"/>
      <c r="EVT21" s="974"/>
      <c r="EVU21" s="974"/>
      <c r="EVV21" s="974"/>
      <c r="EVW21" s="974"/>
      <c r="EVX21" s="974"/>
      <c r="EVY21" s="974"/>
      <c r="EVZ21" s="974"/>
      <c r="EWA21" s="974"/>
      <c r="EWB21" s="974"/>
      <c r="EWC21" s="974"/>
      <c r="EWD21" s="974"/>
      <c r="EWE21" s="974"/>
      <c r="EWF21" s="974"/>
      <c r="EWG21" s="974"/>
      <c r="EWH21" s="974"/>
      <c r="EWI21" s="974"/>
      <c r="EWJ21" s="974"/>
      <c r="EWK21" s="974"/>
      <c r="EWL21" s="974"/>
      <c r="EWM21" s="974"/>
      <c r="EWN21" s="974"/>
      <c r="EWO21" s="974"/>
      <c r="EWP21" s="974"/>
      <c r="EWQ21" s="974"/>
      <c r="EWR21" s="974"/>
      <c r="EWS21" s="974"/>
      <c r="EWT21" s="974"/>
      <c r="EWU21" s="974"/>
      <c r="EWV21" s="974"/>
      <c r="EWW21" s="974"/>
      <c r="EWX21" s="974"/>
      <c r="EWY21" s="974"/>
      <c r="EWZ21" s="974"/>
      <c r="EXA21" s="974"/>
      <c r="EXB21" s="974"/>
      <c r="EXC21" s="974"/>
      <c r="EXD21" s="974"/>
      <c r="EXE21" s="974"/>
      <c r="EXF21" s="974"/>
      <c r="EXG21" s="974"/>
      <c r="EXH21" s="974"/>
      <c r="EXI21" s="974"/>
      <c r="EXJ21" s="974"/>
      <c r="EXK21" s="974"/>
      <c r="EXL21" s="974"/>
      <c r="EXM21" s="974"/>
      <c r="EXN21" s="974"/>
      <c r="EXO21" s="974"/>
      <c r="EXP21" s="974"/>
      <c r="EXQ21" s="974"/>
      <c r="EXR21" s="974"/>
      <c r="EXS21" s="974"/>
      <c r="EXT21" s="974"/>
      <c r="EXU21" s="974"/>
      <c r="EXV21" s="974"/>
      <c r="EXW21" s="974"/>
      <c r="EXX21" s="974"/>
      <c r="EXY21" s="974"/>
      <c r="EXZ21" s="974"/>
      <c r="EYA21" s="974"/>
      <c r="EYB21" s="974"/>
      <c r="EYC21" s="974"/>
      <c r="EYD21" s="974"/>
      <c r="EYE21" s="974"/>
      <c r="EYF21" s="974"/>
      <c r="EYG21" s="974"/>
      <c r="EYH21" s="974"/>
      <c r="EYI21" s="974"/>
      <c r="EYJ21" s="974"/>
      <c r="EYK21" s="974"/>
      <c r="EYL21" s="974"/>
      <c r="EYM21" s="974"/>
      <c r="EYN21" s="974"/>
      <c r="EYO21" s="974"/>
      <c r="EYP21" s="974"/>
      <c r="EYQ21" s="974"/>
      <c r="EYR21" s="974"/>
      <c r="EYS21" s="974"/>
      <c r="EYT21" s="974"/>
      <c r="EYU21" s="974"/>
      <c r="EYV21" s="974"/>
      <c r="EYW21" s="974"/>
      <c r="EYX21" s="974"/>
      <c r="EYY21" s="974"/>
      <c r="EYZ21" s="974"/>
      <c r="EZA21" s="974"/>
      <c r="EZB21" s="974"/>
      <c r="EZC21" s="974"/>
      <c r="EZD21" s="974"/>
      <c r="EZE21" s="974"/>
      <c r="EZF21" s="974"/>
      <c r="EZG21" s="974"/>
      <c r="EZH21" s="974"/>
      <c r="EZI21" s="974"/>
      <c r="EZJ21" s="974"/>
      <c r="EZK21" s="974"/>
      <c r="EZL21" s="974"/>
      <c r="EZM21" s="974"/>
      <c r="EZN21" s="974"/>
      <c r="EZO21" s="974"/>
      <c r="EZP21" s="974"/>
      <c r="EZQ21" s="974"/>
      <c r="EZR21" s="974"/>
      <c r="EZS21" s="974"/>
      <c r="EZT21" s="974"/>
      <c r="EZU21" s="974"/>
      <c r="EZV21" s="974"/>
      <c r="EZW21" s="974"/>
      <c r="EZX21" s="974"/>
      <c r="EZY21" s="974"/>
      <c r="EZZ21" s="974"/>
      <c r="FAA21" s="974"/>
      <c r="FAB21" s="974"/>
      <c r="FAC21" s="974"/>
      <c r="FAD21" s="974"/>
      <c r="FAE21" s="974"/>
      <c r="FAF21" s="974"/>
      <c r="FAG21" s="974"/>
      <c r="FAH21" s="974"/>
      <c r="FAI21" s="974"/>
      <c r="FAJ21" s="974"/>
      <c r="FAK21" s="974"/>
      <c r="FAL21" s="974"/>
      <c r="FAM21" s="974"/>
      <c r="FAN21" s="974"/>
      <c r="FAO21" s="974"/>
      <c r="FAP21" s="974"/>
      <c r="FAQ21" s="974"/>
      <c r="FAR21" s="974"/>
      <c r="FAS21" s="974"/>
      <c r="FAT21" s="974"/>
      <c r="FAU21" s="974"/>
      <c r="FAV21" s="974"/>
      <c r="FAW21" s="974"/>
      <c r="FAX21" s="974"/>
      <c r="FAY21" s="974"/>
      <c r="FAZ21" s="974"/>
      <c r="FBA21" s="974"/>
      <c r="FBB21" s="974"/>
      <c r="FBC21" s="974"/>
      <c r="FBD21" s="974"/>
      <c r="FBE21" s="974"/>
      <c r="FBF21" s="974"/>
      <c r="FBG21" s="974"/>
      <c r="FBH21" s="974"/>
      <c r="FBI21" s="974"/>
      <c r="FBJ21" s="974"/>
      <c r="FBK21" s="974"/>
      <c r="FBL21" s="974"/>
      <c r="FBM21" s="974"/>
      <c r="FBN21" s="974"/>
      <c r="FBO21" s="974"/>
      <c r="FBP21" s="974"/>
      <c r="FBQ21" s="974"/>
      <c r="FBR21" s="974"/>
      <c r="FBS21" s="974"/>
      <c r="FBT21" s="974"/>
      <c r="FBU21" s="974"/>
      <c r="FBV21" s="974"/>
      <c r="FBW21" s="974"/>
      <c r="FBX21" s="974"/>
      <c r="FBY21" s="974"/>
      <c r="FBZ21" s="974"/>
      <c r="FCA21" s="974"/>
      <c r="FCB21" s="974"/>
      <c r="FCC21" s="974"/>
      <c r="FCD21" s="974"/>
      <c r="FCE21" s="974"/>
      <c r="FCF21" s="974"/>
      <c r="FCG21" s="974"/>
      <c r="FCH21" s="974"/>
      <c r="FCI21" s="974"/>
      <c r="FCJ21" s="974"/>
      <c r="FCK21" s="974"/>
      <c r="FCL21" s="974"/>
      <c r="FCM21" s="974"/>
      <c r="FCN21" s="974"/>
      <c r="FCO21" s="974"/>
      <c r="FCP21" s="974"/>
      <c r="FCQ21" s="974"/>
      <c r="FCR21" s="974"/>
      <c r="FCS21" s="974"/>
      <c r="FCT21" s="974"/>
      <c r="FCU21" s="974"/>
      <c r="FCV21" s="974"/>
      <c r="FCW21" s="974"/>
      <c r="FCX21" s="974"/>
      <c r="FCY21" s="974"/>
      <c r="FCZ21" s="974"/>
      <c r="FDA21" s="974"/>
      <c r="FDB21" s="974"/>
      <c r="FDC21" s="974"/>
      <c r="FDD21" s="974"/>
      <c r="FDE21" s="974"/>
      <c r="FDF21" s="974"/>
      <c r="FDG21" s="974"/>
      <c r="FDH21" s="974"/>
      <c r="FDI21" s="974"/>
      <c r="FDJ21" s="974"/>
      <c r="FDK21" s="974"/>
      <c r="FDL21" s="974"/>
      <c r="FDM21" s="974"/>
      <c r="FDN21" s="974"/>
      <c r="FDO21" s="974"/>
      <c r="FDP21" s="974"/>
      <c r="FDQ21" s="974"/>
      <c r="FDR21" s="974"/>
      <c r="FDS21" s="974"/>
      <c r="FDT21" s="974"/>
      <c r="FDU21" s="974"/>
      <c r="FDV21" s="974"/>
      <c r="FDW21" s="974"/>
      <c r="FDX21" s="974"/>
      <c r="FDY21" s="974"/>
      <c r="FDZ21" s="974"/>
      <c r="FEA21" s="974"/>
      <c r="FEB21" s="974"/>
      <c r="FEC21" s="974"/>
      <c r="FED21" s="974"/>
      <c r="FEE21" s="974"/>
      <c r="FEF21" s="974"/>
      <c r="FEG21" s="974"/>
      <c r="FEH21" s="974"/>
      <c r="FEI21" s="974"/>
      <c r="FEJ21" s="974"/>
      <c r="FEK21" s="974"/>
      <c r="FEL21" s="974"/>
      <c r="FEM21" s="974"/>
      <c r="FEN21" s="974"/>
      <c r="FEO21" s="974"/>
      <c r="FEP21" s="974"/>
      <c r="FEQ21" s="974"/>
      <c r="FER21" s="974"/>
      <c r="FES21" s="974"/>
      <c r="FET21" s="974"/>
      <c r="FEU21" s="974"/>
      <c r="FEV21" s="974"/>
      <c r="FEW21" s="974"/>
      <c r="FEX21" s="974"/>
      <c r="FEY21" s="974"/>
      <c r="FEZ21" s="974"/>
      <c r="FFA21" s="974"/>
      <c r="FFB21" s="974"/>
      <c r="FFC21" s="974"/>
      <c r="FFD21" s="974"/>
      <c r="FFE21" s="974"/>
      <c r="FFF21" s="974"/>
      <c r="FFG21" s="974"/>
      <c r="FFH21" s="974"/>
      <c r="FFI21" s="974"/>
      <c r="FFJ21" s="974"/>
      <c r="FFK21" s="974"/>
      <c r="FFL21" s="974"/>
      <c r="FFM21" s="974"/>
      <c r="FFN21" s="974"/>
      <c r="FFO21" s="974"/>
      <c r="FFP21" s="974"/>
      <c r="FFQ21" s="974"/>
      <c r="FFR21" s="974"/>
      <c r="FFS21" s="974"/>
      <c r="FFT21" s="974"/>
      <c r="FFU21" s="974"/>
      <c r="FFV21" s="974"/>
      <c r="FFW21" s="974"/>
      <c r="FFX21" s="974"/>
      <c r="FFY21" s="974"/>
      <c r="FFZ21" s="974"/>
      <c r="FGA21" s="974"/>
      <c r="FGB21" s="974"/>
      <c r="FGC21" s="974"/>
      <c r="FGD21" s="974"/>
      <c r="FGE21" s="974"/>
      <c r="FGF21" s="974"/>
      <c r="FGG21" s="974"/>
      <c r="FGH21" s="974"/>
      <c r="FGI21" s="974"/>
      <c r="FGJ21" s="974"/>
      <c r="FGK21" s="974"/>
      <c r="FGL21" s="974"/>
      <c r="FGM21" s="974"/>
      <c r="FGN21" s="974"/>
      <c r="FGO21" s="974"/>
      <c r="FGP21" s="974"/>
      <c r="FGQ21" s="974"/>
      <c r="FGR21" s="974"/>
      <c r="FGS21" s="974"/>
      <c r="FGT21" s="974"/>
      <c r="FGU21" s="974"/>
      <c r="FGV21" s="974"/>
      <c r="FGW21" s="974"/>
      <c r="FGX21" s="974"/>
      <c r="FGY21" s="974"/>
      <c r="FGZ21" s="974"/>
      <c r="FHA21" s="974"/>
      <c r="FHB21" s="974"/>
      <c r="FHC21" s="974"/>
      <c r="FHD21" s="974"/>
      <c r="FHE21" s="974"/>
      <c r="FHF21" s="974"/>
      <c r="FHG21" s="974"/>
      <c r="FHH21" s="974"/>
      <c r="FHI21" s="974"/>
      <c r="FHJ21" s="974"/>
      <c r="FHK21" s="974"/>
      <c r="FHL21" s="974"/>
      <c r="FHM21" s="974"/>
      <c r="FHN21" s="974"/>
      <c r="FHO21" s="974"/>
      <c r="FHP21" s="974"/>
      <c r="FHQ21" s="974"/>
      <c r="FHR21" s="974"/>
      <c r="FHS21" s="974"/>
      <c r="FHT21" s="974"/>
      <c r="FHU21" s="974"/>
      <c r="FHV21" s="974"/>
      <c r="FHW21" s="974"/>
      <c r="FHX21" s="974"/>
      <c r="FHY21" s="974"/>
      <c r="FHZ21" s="974"/>
      <c r="FIA21" s="974"/>
      <c r="FIB21" s="974"/>
      <c r="FIC21" s="974"/>
      <c r="FID21" s="974"/>
      <c r="FIE21" s="974"/>
      <c r="FIF21" s="974"/>
      <c r="FIG21" s="974"/>
      <c r="FIH21" s="974"/>
      <c r="FII21" s="974"/>
      <c r="FIJ21" s="974"/>
      <c r="FIK21" s="974"/>
      <c r="FIL21" s="974"/>
      <c r="FIM21" s="974"/>
      <c r="FIN21" s="974"/>
      <c r="FIO21" s="974"/>
      <c r="FIP21" s="974"/>
      <c r="FIQ21" s="974"/>
      <c r="FIR21" s="974"/>
      <c r="FIS21" s="974"/>
      <c r="FIT21" s="974"/>
      <c r="FIU21" s="974"/>
      <c r="FIV21" s="974"/>
      <c r="FIW21" s="974"/>
      <c r="FIX21" s="974"/>
      <c r="FIY21" s="974"/>
      <c r="FIZ21" s="974"/>
      <c r="FJA21" s="974"/>
      <c r="FJB21" s="974"/>
      <c r="FJC21" s="974"/>
      <c r="FJD21" s="974"/>
      <c r="FJE21" s="974"/>
      <c r="FJF21" s="974"/>
      <c r="FJG21" s="974"/>
      <c r="FJH21" s="974"/>
      <c r="FJI21" s="974"/>
      <c r="FJJ21" s="974"/>
      <c r="FJK21" s="974"/>
      <c r="FJL21" s="974"/>
      <c r="FJM21" s="974"/>
      <c r="FJN21" s="974"/>
      <c r="FJO21" s="974"/>
      <c r="FJP21" s="974"/>
      <c r="FJQ21" s="974"/>
      <c r="FJR21" s="974"/>
      <c r="FJS21" s="974"/>
      <c r="FJT21" s="974"/>
      <c r="FJU21" s="974"/>
      <c r="FJV21" s="974"/>
      <c r="FJW21" s="974"/>
      <c r="FJX21" s="974"/>
      <c r="FJY21" s="974"/>
      <c r="FJZ21" s="974"/>
      <c r="FKA21" s="974"/>
      <c r="FKB21" s="974"/>
      <c r="FKC21" s="974"/>
      <c r="FKD21" s="974"/>
      <c r="FKE21" s="974"/>
      <c r="FKF21" s="974"/>
      <c r="FKG21" s="974"/>
      <c r="FKH21" s="974"/>
      <c r="FKI21" s="974"/>
      <c r="FKJ21" s="974"/>
      <c r="FKK21" s="974"/>
      <c r="FKL21" s="974"/>
      <c r="FKM21" s="974"/>
      <c r="FKN21" s="974"/>
      <c r="FKO21" s="974"/>
      <c r="FKP21" s="974"/>
      <c r="FKQ21" s="974"/>
      <c r="FKR21" s="974"/>
      <c r="FKS21" s="974"/>
      <c r="FKT21" s="974"/>
      <c r="FKU21" s="974"/>
      <c r="FKV21" s="974"/>
      <c r="FKW21" s="974"/>
      <c r="FKX21" s="974"/>
      <c r="FKY21" s="974"/>
      <c r="FKZ21" s="974"/>
      <c r="FLA21" s="974"/>
      <c r="FLB21" s="974"/>
      <c r="FLC21" s="974"/>
      <c r="FLD21" s="974"/>
      <c r="FLE21" s="974"/>
      <c r="FLF21" s="974"/>
      <c r="FLG21" s="974"/>
      <c r="FLH21" s="974"/>
      <c r="FLI21" s="974"/>
      <c r="FLJ21" s="974"/>
      <c r="FLK21" s="974"/>
      <c r="FLL21" s="974"/>
      <c r="FLM21" s="974"/>
      <c r="FLN21" s="974"/>
      <c r="FLO21" s="974"/>
      <c r="FLP21" s="974"/>
      <c r="FLQ21" s="974"/>
      <c r="FLR21" s="974"/>
      <c r="FLS21" s="974"/>
      <c r="FLT21" s="974"/>
      <c r="FLU21" s="974"/>
      <c r="FLV21" s="974"/>
      <c r="FLW21" s="974"/>
      <c r="FLX21" s="974"/>
      <c r="FLY21" s="974"/>
      <c r="FLZ21" s="974"/>
      <c r="FMA21" s="974"/>
      <c r="FMB21" s="974"/>
      <c r="FMC21" s="974"/>
      <c r="FMD21" s="974"/>
      <c r="FME21" s="974"/>
      <c r="FMF21" s="974"/>
      <c r="FMG21" s="974"/>
      <c r="FMH21" s="974"/>
      <c r="FMI21" s="974"/>
      <c r="FMJ21" s="974"/>
      <c r="FMK21" s="974"/>
      <c r="FML21" s="974"/>
      <c r="FMM21" s="974"/>
      <c r="FMN21" s="974"/>
      <c r="FMO21" s="974"/>
      <c r="FMP21" s="974"/>
      <c r="FMQ21" s="974"/>
      <c r="FMR21" s="974"/>
      <c r="FMS21" s="974"/>
      <c r="FMT21" s="974"/>
      <c r="FMU21" s="974"/>
      <c r="FMV21" s="974"/>
      <c r="FMW21" s="974"/>
      <c r="FMX21" s="974"/>
      <c r="FMY21" s="974"/>
      <c r="FMZ21" s="974"/>
      <c r="FNA21" s="974"/>
      <c r="FNB21" s="974"/>
      <c r="FNC21" s="974"/>
      <c r="FND21" s="974"/>
      <c r="FNE21" s="974"/>
      <c r="FNF21" s="974"/>
      <c r="FNG21" s="974"/>
      <c r="FNH21" s="974"/>
      <c r="FNI21" s="974"/>
      <c r="FNJ21" s="974"/>
      <c r="FNK21" s="974"/>
      <c r="FNL21" s="974"/>
      <c r="FNM21" s="974"/>
      <c r="FNN21" s="974"/>
      <c r="FNO21" s="974"/>
      <c r="FNP21" s="974"/>
      <c r="FNQ21" s="974"/>
      <c r="FNR21" s="974"/>
      <c r="FNS21" s="974"/>
      <c r="FNT21" s="974"/>
      <c r="FNU21" s="974"/>
      <c r="FNV21" s="974"/>
      <c r="FNW21" s="974"/>
      <c r="FNX21" s="974"/>
      <c r="FNY21" s="974"/>
      <c r="FNZ21" s="974"/>
      <c r="FOA21" s="974"/>
      <c r="FOB21" s="974"/>
      <c r="FOC21" s="974"/>
      <c r="FOD21" s="974"/>
      <c r="FOE21" s="974"/>
      <c r="FOF21" s="974"/>
      <c r="FOG21" s="974"/>
      <c r="FOH21" s="974"/>
      <c r="FOI21" s="974"/>
      <c r="FOJ21" s="974"/>
      <c r="FOK21" s="974"/>
      <c r="FOL21" s="974"/>
      <c r="FOM21" s="974"/>
      <c r="FON21" s="974"/>
      <c r="FOO21" s="974"/>
      <c r="FOP21" s="974"/>
      <c r="FOQ21" s="974"/>
      <c r="FOR21" s="974"/>
      <c r="FOS21" s="974"/>
      <c r="FOT21" s="974"/>
      <c r="FOU21" s="974"/>
      <c r="FOV21" s="974"/>
      <c r="FOW21" s="974"/>
      <c r="FOX21" s="974"/>
      <c r="FOY21" s="974"/>
      <c r="FOZ21" s="974"/>
      <c r="FPA21" s="974"/>
      <c r="FPB21" s="974"/>
      <c r="FPC21" s="974"/>
      <c r="FPD21" s="974"/>
      <c r="FPE21" s="974"/>
      <c r="FPF21" s="974"/>
      <c r="FPG21" s="974"/>
      <c r="FPH21" s="974"/>
      <c r="FPI21" s="974"/>
      <c r="FPJ21" s="974"/>
      <c r="FPK21" s="974"/>
      <c r="FPL21" s="974"/>
      <c r="FPM21" s="974"/>
      <c r="FPN21" s="974"/>
      <c r="FPO21" s="974"/>
      <c r="FPP21" s="974"/>
      <c r="FPQ21" s="974"/>
      <c r="FPR21" s="974"/>
      <c r="FPS21" s="974"/>
      <c r="FPT21" s="974"/>
      <c r="FPU21" s="974"/>
      <c r="FPV21" s="974"/>
      <c r="FPW21" s="974"/>
      <c r="FPX21" s="974"/>
      <c r="FPY21" s="974"/>
      <c r="FPZ21" s="974"/>
      <c r="FQA21" s="974"/>
      <c r="FQB21" s="974"/>
      <c r="FQC21" s="974"/>
      <c r="FQD21" s="974"/>
      <c r="FQE21" s="974"/>
      <c r="FQF21" s="974"/>
      <c r="FQG21" s="974"/>
      <c r="FQH21" s="974"/>
      <c r="FQI21" s="974"/>
      <c r="FQJ21" s="974"/>
      <c r="FQK21" s="974"/>
      <c r="FQL21" s="974"/>
      <c r="FQM21" s="974"/>
      <c r="FQN21" s="974"/>
      <c r="FQO21" s="974"/>
      <c r="FQP21" s="974"/>
      <c r="FQQ21" s="974"/>
      <c r="FQR21" s="974"/>
      <c r="FQS21" s="974"/>
      <c r="FQT21" s="974"/>
      <c r="FQU21" s="974"/>
      <c r="FQV21" s="974"/>
      <c r="FQW21" s="974"/>
      <c r="FQX21" s="974"/>
      <c r="FQY21" s="974"/>
      <c r="FQZ21" s="974"/>
      <c r="FRA21" s="974"/>
      <c r="FRB21" s="974"/>
      <c r="FRC21" s="974"/>
      <c r="FRD21" s="974"/>
      <c r="FRE21" s="974"/>
      <c r="FRF21" s="974"/>
      <c r="FRG21" s="974"/>
      <c r="FRH21" s="974"/>
      <c r="FRI21" s="974"/>
      <c r="FRJ21" s="974"/>
      <c r="FRK21" s="974"/>
      <c r="FRL21" s="974"/>
      <c r="FRM21" s="974"/>
      <c r="FRN21" s="974"/>
      <c r="FRO21" s="974"/>
      <c r="FRP21" s="974"/>
      <c r="FRQ21" s="974"/>
      <c r="FRR21" s="974"/>
      <c r="FRS21" s="974"/>
      <c r="FRT21" s="974"/>
      <c r="FRU21" s="974"/>
      <c r="FRV21" s="974"/>
      <c r="FRW21" s="974"/>
      <c r="FRX21" s="974"/>
      <c r="FRY21" s="974"/>
      <c r="FRZ21" s="974"/>
      <c r="FSA21" s="974"/>
      <c r="FSB21" s="974"/>
      <c r="FSC21" s="974"/>
      <c r="FSD21" s="974"/>
      <c r="FSE21" s="974"/>
      <c r="FSF21" s="974"/>
      <c r="FSG21" s="974"/>
      <c r="FSH21" s="974"/>
      <c r="FSI21" s="974"/>
      <c r="FSJ21" s="974"/>
      <c r="FSK21" s="974"/>
      <c r="FSL21" s="974"/>
      <c r="FSM21" s="974"/>
      <c r="FSN21" s="974"/>
      <c r="FSO21" s="974"/>
      <c r="FSP21" s="974"/>
      <c r="FSQ21" s="974"/>
      <c r="FSR21" s="974"/>
      <c r="FSS21" s="974"/>
      <c r="FST21" s="974"/>
      <c r="FSU21" s="974"/>
      <c r="FSV21" s="974"/>
      <c r="FSW21" s="974"/>
      <c r="FSX21" s="974"/>
      <c r="FSY21" s="974"/>
      <c r="FSZ21" s="974"/>
      <c r="FTA21" s="974"/>
      <c r="FTB21" s="974"/>
      <c r="FTC21" s="974"/>
      <c r="FTD21" s="974"/>
      <c r="FTE21" s="974"/>
      <c r="FTF21" s="974"/>
      <c r="FTG21" s="974"/>
      <c r="FTH21" s="974"/>
      <c r="FTI21" s="974"/>
      <c r="FTJ21" s="974"/>
      <c r="FTK21" s="974"/>
      <c r="FTL21" s="974"/>
      <c r="FTM21" s="974"/>
      <c r="FTN21" s="974"/>
      <c r="FTO21" s="974"/>
      <c r="FTP21" s="974"/>
      <c r="FTQ21" s="974"/>
      <c r="FTR21" s="974"/>
      <c r="FTS21" s="974"/>
      <c r="FTT21" s="974"/>
      <c r="FTU21" s="974"/>
      <c r="FTV21" s="974"/>
      <c r="FTW21" s="974"/>
      <c r="FTX21" s="974"/>
      <c r="FTY21" s="974"/>
      <c r="FTZ21" s="974"/>
      <c r="FUA21" s="974"/>
      <c r="FUB21" s="974"/>
      <c r="FUC21" s="974"/>
      <c r="FUD21" s="974"/>
      <c r="FUE21" s="974"/>
      <c r="FUF21" s="974"/>
      <c r="FUG21" s="974"/>
      <c r="FUH21" s="974"/>
      <c r="FUI21" s="974"/>
      <c r="FUJ21" s="974"/>
      <c r="FUK21" s="974"/>
      <c r="FUL21" s="974"/>
      <c r="FUM21" s="974"/>
      <c r="FUN21" s="974"/>
      <c r="FUO21" s="974"/>
      <c r="FUP21" s="974"/>
      <c r="FUQ21" s="974"/>
      <c r="FUR21" s="974"/>
      <c r="FUS21" s="974"/>
      <c r="FUT21" s="974"/>
      <c r="FUU21" s="974"/>
      <c r="FUV21" s="974"/>
      <c r="FUW21" s="974"/>
      <c r="FUX21" s="974"/>
      <c r="FUY21" s="974"/>
      <c r="FUZ21" s="974"/>
      <c r="FVA21" s="974"/>
      <c r="FVB21" s="974"/>
      <c r="FVC21" s="974"/>
      <c r="FVD21" s="974"/>
      <c r="FVE21" s="974"/>
      <c r="FVF21" s="974"/>
      <c r="FVG21" s="974"/>
      <c r="FVH21" s="974"/>
      <c r="FVI21" s="974"/>
      <c r="FVJ21" s="974"/>
      <c r="FVK21" s="974"/>
      <c r="FVL21" s="974"/>
      <c r="FVM21" s="974"/>
      <c r="FVN21" s="974"/>
      <c r="FVO21" s="974"/>
      <c r="FVP21" s="974"/>
      <c r="FVQ21" s="974"/>
      <c r="FVR21" s="974"/>
      <c r="FVS21" s="974"/>
      <c r="FVT21" s="974"/>
      <c r="FVU21" s="974"/>
      <c r="FVV21" s="974"/>
      <c r="FVW21" s="974"/>
      <c r="FVX21" s="974"/>
      <c r="FVY21" s="974"/>
      <c r="FVZ21" s="974"/>
      <c r="FWA21" s="974"/>
      <c r="FWB21" s="974"/>
      <c r="FWC21" s="974"/>
      <c r="FWD21" s="974"/>
      <c r="FWE21" s="974"/>
      <c r="FWF21" s="974"/>
      <c r="FWG21" s="974"/>
      <c r="FWH21" s="974"/>
      <c r="FWI21" s="974"/>
      <c r="FWJ21" s="974"/>
      <c r="FWK21" s="974"/>
      <c r="FWL21" s="974"/>
      <c r="FWM21" s="974"/>
      <c r="FWN21" s="974"/>
      <c r="FWO21" s="974"/>
      <c r="FWP21" s="974"/>
      <c r="FWQ21" s="974"/>
      <c r="FWR21" s="974"/>
      <c r="FWS21" s="974"/>
      <c r="FWT21" s="974"/>
      <c r="FWU21" s="974"/>
      <c r="FWV21" s="974"/>
      <c r="FWW21" s="974"/>
      <c r="FWX21" s="974"/>
      <c r="FWY21" s="974"/>
      <c r="FWZ21" s="974"/>
      <c r="FXA21" s="974"/>
      <c r="FXB21" s="974"/>
      <c r="FXC21" s="974"/>
      <c r="FXD21" s="974"/>
      <c r="FXE21" s="974"/>
      <c r="FXF21" s="974"/>
      <c r="FXG21" s="974"/>
      <c r="FXH21" s="974"/>
      <c r="FXI21" s="974"/>
      <c r="FXJ21" s="974"/>
      <c r="FXK21" s="974"/>
      <c r="FXL21" s="974"/>
      <c r="FXM21" s="974"/>
      <c r="FXN21" s="974"/>
      <c r="FXO21" s="974"/>
      <c r="FXP21" s="974"/>
      <c r="FXQ21" s="974"/>
      <c r="FXR21" s="974"/>
      <c r="FXS21" s="974"/>
      <c r="FXT21" s="974"/>
      <c r="FXU21" s="974"/>
      <c r="FXV21" s="974"/>
      <c r="FXW21" s="974"/>
      <c r="FXX21" s="974"/>
      <c r="FXY21" s="974"/>
      <c r="FXZ21" s="974"/>
      <c r="FYA21" s="974"/>
      <c r="FYB21" s="974"/>
      <c r="FYC21" s="974"/>
      <c r="FYD21" s="974"/>
      <c r="FYE21" s="974"/>
      <c r="FYF21" s="974"/>
      <c r="FYG21" s="974"/>
      <c r="FYH21" s="974"/>
      <c r="FYI21" s="974"/>
      <c r="FYJ21" s="974"/>
      <c r="FYK21" s="974"/>
      <c r="FYL21" s="974"/>
      <c r="FYM21" s="974"/>
      <c r="FYN21" s="974"/>
      <c r="FYO21" s="974"/>
      <c r="FYP21" s="974"/>
      <c r="FYQ21" s="974"/>
      <c r="FYR21" s="974"/>
      <c r="FYS21" s="974"/>
      <c r="FYT21" s="974"/>
      <c r="FYU21" s="974"/>
      <c r="FYV21" s="974"/>
      <c r="FYW21" s="974"/>
      <c r="FYX21" s="974"/>
      <c r="FYY21" s="974"/>
      <c r="FYZ21" s="974"/>
      <c r="FZA21" s="974"/>
      <c r="FZB21" s="974"/>
      <c r="FZC21" s="974"/>
      <c r="FZD21" s="974"/>
      <c r="FZE21" s="974"/>
      <c r="FZF21" s="974"/>
      <c r="FZG21" s="974"/>
      <c r="FZH21" s="974"/>
      <c r="FZI21" s="974"/>
      <c r="FZJ21" s="974"/>
      <c r="FZK21" s="974"/>
      <c r="FZL21" s="974"/>
      <c r="FZM21" s="974"/>
      <c r="FZN21" s="974"/>
      <c r="FZO21" s="974"/>
      <c r="FZP21" s="974"/>
      <c r="FZQ21" s="974"/>
      <c r="FZR21" s="974"/>
      <c r="FZS21" s="974"/>
      <c r="FZT21" s="974"/>
      <c r="FZU21" s="974"/>
      <c r="FZV21" s="974"/>
      <c r="FZW21" s="974"/>
      <c r="FZX21" s="974"/>
      <c r="FZY21" s="974"/>
      <c r="FZZ21" s="974"/>
      <c r="GAA21" s="974"/>
      <c r="GAB21" s="974"/>
      <c r="GAC21" s="974"/>
      <c r="GAD21" s="974"/>
      <c r="GAE21" s="974"/>
      <c r="GAF21" s="974"/>
      <c r="GAG21" s="974"/>
      <c r="GAH21" s="974"/>
      <c r="GAI21" s="974"/>
      <c r="GAJ21" s="974"/>
      <c r="GAK21" s="974"/>
      <c r="GAL21" s="974"/>
      <c r="GAM21" s="974"/>
      <c r="GAN21" s="974"/>
      <c r="GAO21" s="974"/>
      <c r="GAP21" s="974"/>
      <c r="GAQ21" s="974"/>
      <c r="GAR21" s="974"/>
      <c r="GAS21" s="974"/>
      <c r="GAT21" s="974"/>
      <c r="GAU21" s="974"/>
      <c r="GAV21" s="974"/>
      <c r="GAW21" s="974"/>
      <c r="GAX21" s="974"/>
      <c r="GAY21" s="974"/>
      <c r="GAZ21" s="974"/>
      <c r="GBA21" s="974"/>
      <c r="GBB21" s="974"/>
      <c r="GBC21" s="974"/>
      <c r="GBD21" s="974"/>
      <c r="GBE21" s="974"/>
      <c r="GBF21" s="974"/>
      <c r="GBG21" s="974"/>
      <c r="GBH21" s="974"/>
      <c r="GBI21" s="974"/>
      <c r="GBJ21" s="974"/>
      <c r="GBK21" s="974"/>
      <c r="GBL21" s="974"/>
      <c r="GBM21" s="974"/>
      <c r="GBN21" s="974"/>
      <c r="GBO21" s="974"/>
      <c r="GBP21" s="974"/>
      <c r="GBQ21" s="974"/>
      <c r="GBR21" s="974"/>
      <c r="GBS21" s="974"/>
      <c r="GBT21" s="974"/>
      <c r="GBU21" s="974"/>
      <c r="GBV21" s="974"/>
      <c r="GBW21" s="974"/>
      <c r="GBX21" s="974"/>
      <c r="GBY21" s="974"/>
      <c r="GBZ21" s="974"/>
      <c r="GCA21" s="974"/>
      <c r="GCB21" s="974"/>
      <c r="GCC21" s="974"/>
      <c r="GCD21" s="974"/>
      <c r="GCE21" s="974"/>
      <c r="GCF21" s="974"/>
      <c r="GCG21" s="974"/>
      <c r="GCH21" s="974"/>
      <c r="GCI21" s="974"/>
      <c r="GCJ21" s="974"/>
      <c r="GCK21" s="974"/>
      <c r="GCL21" s="974"/>
      <c r="GCM21" s="974"/>
      <c r="GCN21" s="974"/>
      <c r="GCO21" s="974"/>
      <c r="GCP21" s="974"/>
      <c r="GCQ21" s="974"/>
      <c r="GCR21" s="974"/>
      <c r="GCS21" s="974"/>
      <c r="GCT21" s="974"/>
      <c r="GCU21" s="974"/>
      <c r="GCV21" s="974"/>
      <c r="GCW21" s="974"/>
      <c r="GCX21" s="974"/>
      <c r="GCY21" s="974"/>
      <c r="GCZ21" s="974"/>
      <c r="GDA21" s="974"/>
      <c r="GDB21" s="974"/>
      <c r="GDC21" s="974"/>
      <c r="GDD21" s="974"/>
      <c r="GDE21" s="974"/>
      <c r="GDF21" s="974"/>
      <c r="GDG21" s="974"/>
      <c r="GDH21" s="974"/>
      <c r="GDI21" s="974"/>
      <c r="GDJ21" s="974"/>
      <c r="GDK21" s="974"/>
      <c r="GDL21" s="974"/>
      <c r="GDM21" s="974"/>
      <c r="GDN21" s="974"/>
      <c r="GDO21" s="974"/>
      <c r="GDP21" s="974"/>
      <c r="GDQ21" s="974"/>
      <c r="GDR21" s="974"/>
      <c r="GDS21" s="974"/>
      <c r="GDT21" s="974"/>
      <c r="GDU21" s="974"/>
      <c r="GDV21" s="974"/>
      <c r="GDW21" s="974"/>
      <c r="GDX21" s="974"/>
      <c r="GDY21" s="974"/>
      <c r="GDZ21" s="974"/>
      <c r="GEA21" s="974"/>
      <c r="GEB21" s="974"/>
      <c r="GEC21" s="974"/>
      <c r="GED21" s="974"/>
      <c r="GEE21" s="974"/>
      <c r="GEF21" s="974"/>
      <c r="GEG21" s="974"/>
      <c r="GEH21" s="974"/>
      <c r="GEI21" s="974"/>
      <c r="GEJ21" s="974"/>
      <c r="GEK21" s="974"/>
      <c r="GEL21" s="974"/>
      <c r="GEM21" s="974"/>
      <c r="GEN21" s="974"/>
      <c r="GEO21" s="974"/>
      <c r="GEP21" s="974"/>
      <c r="GEQ21" s="974"/>
      <c r="GER21" s="974"/>
      <c r="GES21" s="974"/>
      <c r="GET21" s="974"/>
      <c r="GEU21" s="974"/>
      <c r="GEV21" s="974"/>
      <c r="GEW21" s="974"/>
      <c r="GEX21" s="974"/>
      <c r="GEY21" s="974"/>
      <c r="GEZ21" s="974"/>
      <c r="GFA21" s="974"/>
      <c r="GFB21" s="974"/>
      <c r="GFC21" s="974"/>
      <c r="GFD21" s="974"/>
      <c r="GFE21" s="974"/>
      <c r="GFF21" s="974"/>
      <c r="GFG21" s="974"/>
      <c r="GFH21" s="974"/>
      <c r="GFI21" s="974"/>
      <c r="GFJ21" s="974"/>
      <c r="GFK21" s="974"/>
      <c r="GFL21" s="974"/>
      <c r="GFM21" s="974"/>
      <c r="GFN21" s="974"/>
      <c r="GFO21" s="974"/>
      <c r="GFP21" s="974"/>
      <c r="GFQ21" s="974"/>
      <c r="GFR21" s="974"/>
      <c r="GFS21" s="974"/>
      <c r="GFT21" s="974"/>
      <c r="GFU21" s="974"/>
      <c r="GFV21" s="974"/>
      <c r="GFW21" s="974"/>
      <c r="GFX21" s="974"/>
      <c r="GFY21" s="974"/>
      <c r="GFZ21" s="974"/>
      <c r="GGA21" s="974"/>
      <c r="GGB21" s="974"/>
      <c r="GGC21" s="974"/>
      <c r="GGD21" s="974"/>
      <c r="GGE21" s="974"/>
      <c r="GGF21" s="974"/>
      <c r="GGG21" s="974"/>
      <c r="GGH21" s="974"/>
      <c r="GGI21" s="974"/>
      <c r="GGJ21" s="974"/>
      <c r="GGK21" s="974"/>
      <c r="GGL21" s="974"/>
      <c r="GGM21" s="974"/>
      <c r="GGN21" s="974"/>
      <c r="GGO21" s="974"/>
      <c r="GGP21" s="974"/>
      <c r="GGQ21" s="974"/>
      <c r="GGR21" s="974"/>
      <c r="GGS21" s="974"/>
      <c r="GGT21" s="974"/>
      <c r="GGU21" s="974"/>
      <c r="GGV21" s="974"/>
      <c r="GGW21" s="974"/>
      <c r="GGX21" s="974"/>
      <c r="GGY21" s="974"/>
      <c r="GGZ21" s="974"/>
      <c r="GHA21" s="974"/>
      <c r="GHB21" s="974"/>
      <c r="GHC21" s="974"/>
      <c r="GHD21" s="974"/>
      <c r="GHE21" s="974"/>
      <c r="GHF21" s="974"/>
      <c r="GHG21" s="974"/>
      <c r="GHH21" s="974"/>
      <c r="GHI21" s="974"/>
      <c r="GHJ21" s="974"/>
      <c r="GHK21" s="974"/>
      <c r="GHL21" s="974"/>
      <c r="GHM21" s="974"/>
      <c r="GHN21" s="974"/>
      <c r="GHO21" s="974"/>
      <c r="GHP21" s="974"/>
      <c r="GHQ21" s="974"/>
      <c r="GHR21" s="974"/>
      <c r="GHS21" s="974"/>
      <c r="GHT21" s="974"/>
      <c r="GHU21" s="974"/>
      <c r="GHV21" s="974"/>
      <c r="GHW21" s="974"/>
      <c r="GHX21" s="974"/>
      <c r="GHY21" s="974"/>
      <c r="GHZ21" s="974"/>
      <c r="GIA21" s="974"/>
      <c r="GIB21" s="974"/>
      <c r="GIC21" s="974"/>
      <c r="GID21" s="974"/>
      <c r="GIE21" s="974"/>
      <c r="GIF21" s="974"/>
      <c r="GIG21" s="974"/>
      <c r="GIH21" s="974"/>
      <c r="GII21" s="974"/>
      <c r="GIJ21" s="974"/>
      <c r="GIK21" s="974"/>
      <c r="GIL21" s="974"/>
      <c r="GIM21" s="974"/>
      <c r="GIN21" s="974"/>
      <c r="GIO21" s="974"/>
      <c r="GIP21" s="974"/>
      <c r="GIQ21" s="974"/>
      <c r="GIR21" s="974"/>
      <c r="GIS21" s="974"/>
      <c r="GIT21" s="974"/>
      <c r="GIU21" s="974"/>
      <c r="GIV21" s="974"/>
      <c r="GIW21" s="974"/>
      <c r="GIX21" s="974"/>
      <c r="GIY21" s="974"/>
      <c r="GIZ21" s="974"/>
      <c r="GJA21" s="974"/>
      <c r="GJB21" s="974"/>
      <c r="GJC21" s="974"/>
      <c r="GJD21" s="974"/>
      <c r="GJE21" s="974"/>
      <c r="GJF21" s="974"/>
      <c r="GJG21" s="974"/>
      <c r="GJH21" s="974"/>
      <c r="GJI21" s="974"/>
      <c r="GJJ21" s="974"/>
      <c r="GJK21" s="974"/>
      <c r="GJL21" s="974"/>
      <c r="GJM21" s="974"/>
      <c r="GJN21" s="974"/>
      <c r="GJO21" s="974"/>
      <c r="GJP21" s="974"/>
      <c r="GJQ21" s="974"/>
      <c r="GJR21" s="974"/>
      <c r="GJS21" s="974"/>
      <c r="GJT21" s="974"/>
      <c r="GJU21" s="974"/>
      <c r="GJV21" s="974"/>
      <c r="GJW21" s="974"/>
      <c r="GJX21" s="974"/>
      <c r="GJY21" s="974"/>
      <c r="GJZ21" s="974"/>
      <c r="GKA21" s="974"/>
      <c r="GKB21" s="974"/>
      <c r="GKC21" s="974"/>
      <c r="GKD21" s="974"/>
      <c r="GKE21" s="974"/>
      <c r="GKF21" s="974"/>
      <c r="GKG21" s="974"/>
      <c r="GKH21" s="974"/>
      <c r="GKI21" s="974"/>
      <c r="GKJ21" s="974"/>
      <c r="GKK21" s="974"/>
      <c r="GKL21" s="974"/>
      <c r="GKM21" s="974"/>
      <c r="GKN21" s="974"/>
      <c r="GKO21" s="974"/>
      <c r="GKP21" s="974"/>
      <c r="GKQ21" s="974"/>
      <c r="GKR21" s="974"/>
      <c r="GKS21" s="974"/>
      <c r="GKT21" s="974"/>
      <c r="GKU21" s="974"/>
      <c r="GKV21" s="974"/>
      <c r="GKW21" s="974"/>
      <c r="GKX21" s="974"/>
      <c r="GKY21" s="974"/>
      <c r="GKZ21" s="974"/>
      <c r="GLA21" s="974"/>
      <c r="GLB21" s="974"/>
      <c r="GLC21" s="974"/>
      <c r="GLD21" s="974"/>
      <c r="GLE21" s="974"/>
      <c r="GLF21" s="974"/>
      <c r="GLG21" s="974"/>
      <c r="GLH21" s="974"/>
      <c r="GLI21" s="974"/>
      <c r="GLJ21" s="974"/>
      <c r="GLK21" s="974"/>
      <c r="GLL21" s="974"/>
      <c r="GLM21" s="974"/>
      <c r="GLN21" s="974"/>
      <c r="GLO21" s="974"/>
      <c r="GLP21" s="974"/>
      <c r="GLQ21" s="974"/>
      <c r="GLR21" s="974"/>
      <c r="GLS21" s="974"/>
      <c r="GLT21" s="974"/>
      <c r="GLU21" s="974"/>
      <c r="GLV21" s="974"/>
      <c r="GLW21" s="974"/>
      <c r="GLX21" s="974"/>
      <c r="GLY21" s="974"/>
      <c r="GLZ21" s="974"/>
      <c r="GMA21" s="974"/>
      <c r="GMB21" s="974"/>
      <c r="GMC21" s="974"/>
      <c r="GMD21" s="974"/>
      <c r="GME21" s="974"/>
      <c r="GMF21" s="974"/>
      <c r="GMG21" s="974"/>
      <c r="GMH21" s="974"/>
      <c r="GMI21" s="974"/>
      <c r="GMJ21" s="974"/>
      <c r="GMK21" s="974"/>
      <c r="GML21" s="974"/>
      <c r="GMM21" s="974"/>
      <c r="GMN21" s="974"/>
      <c r="GMO21" s="974"/>
      <c r="GMP21" s="974"/>
      <c r="GMQ21" s="974"/>
      <c r="GMR21" s="974"/>
      <c r="GMS21" s="974"/>
      <c r="GMT21" s="974"/>
      <c r="GMU21" s="974"/>
      <c r="GMV21" s="974"/>
      <c r="GMW21" s="974"/>
      <c r="GMX21" s="974"/>
      <c r="GMY21" s="974"/>
      <c r="GMZ21" s="974"/>
      <c r="GNA21" s="974"/>
      <c r="GNB21" s="974"/>
      <c r="GNC21" s="974"/>
      <c r="GND21" s="974"/>
      <c r="GNE21" s="974"/>
      <c r="GNF21" s="974"/>
      <c r="GNG21" s="974"/>
      <c r="GNH21" s="974"/>
      <c r="GNI21" s="974"/>
      <c r="GNJ21" s="974"/>
      <c r="GNK21" s="974"/>
      <c r="GNL21" s="974"/>
      <c r="GNM21" s="974"/>
      <c r="GNN21" s="974"/>
      <c r="GNO21" s="974"/>
      <c r="GNP21" s="974"/>
      <c r="GNQ21" s="974"/>
      <c r="GNR21" s="974"/>
      <c r="GNS21" s="974"/>
      <c r="GNT21" s="974"/>
      <c r="GNU21" s="974"/>
      <c r="GNV21" s="974"/>
      <c r="GNW21" s="974"/>
      <c r="GNX21" s="974"/>
      <c r="GNY21" s="974"/>
      <c r="GNZ21" s="974"/>
      <c r="GOA21" s="974"/>
      <c r="GOB21" s="974"/>
      <c r="GOC21" s="974"/>
      <c r="GOD21" s="974"/>
      <c r="GOE21" s="974"/>
      <c r="GOF21" s="974"/>
      <c r="GOG21" s="974"/>
      <c r="GOH21" s="974"/>
      <c r="GOI21" s="974"/>
      <c r="GOJ21" s="974"/>
      <c r="GOK21" s="974"/>
      <c r="GOL21" s="974"/>
      <c r="GOM21" s="974"/>
      <c r="GON21" s="974"/>
      <c r="GOO21" s="974"/>
      <c r="GOP21" s="974"/>
      <c r="GOQ21" s="974"/>
      <c r="GOR21" s="974"/>
      <c r="GOS21" s="974"/>
      <c r="GOT21" s="974"/>
      <c r="GOU21" s="974"/>
      <c r="GOV21" s="974"/>
      <c r="GOW21" s="974"/>
      <c r="GOX21" s="974"/>
      <c r="GOY21" s="974"/>
      <c r="GOZ21" s="974"/>
      <c r="GPA21" s="974"/>
      <c r="GPB21" s="974"/>
      <c r="GPC21" s="974"/>
      <c r="GPD21" s="974"/>
      <c r="GPE21" s="974"/>
      <c r="GPF21" s="974"/>
      <c r="GPG21" s="974"/>
      <c r="GPH21" s="974"/>
      <c r="GPI21" s="974"/>
      <c r="GPJ21" s="974"/>
      <c r="GPK21" s="974"/>
      <c r="GPL21" s="974"/>
      <c r="GPM21" s="974"/>
      <c r="GPN21" s="974"/>
      <c r="GPO21" s="974"/>
      <c r="GPP21" s="974"/>
      <c r="GPQ21" s="974"/>
      <c r="GPR21" s="974"/>
      <c r="GPS21" s="974"/>
      <c r="GPT21" s="974"/>
      <c r="GPU21" s="974"/>
      <c r="GPV21" s="974"/>
      <c r="GPW21" s="974"/>
      <c r="GPX21" s="974"/>
      <c r="GPY21" s="974"/>
      <c r="GPZ21" s="974"/>
      <c r="GQA21" s="974"/>
      <c r="GQB21" s="974"/>
      <c r="GQC21" s="974"/>
      <c r="GQD21" s="974"/>
      <c r="GQE21" s="974"/>
      <c r="GQF21" s="974"/>
      <c r="GQG21" s="974"/>
      <c r="GQH21" s="974"/>
      <c r="GQI21" s="974"/>
      <c r="GQJ21" s="974"/>
      <c r="GQK21" s="974"/>
      <c r="GQL21" s="974"/>
      <c r="GQM21" s="974"/>
      <c r="GQN21" s="974"/>
      <c r="GQO21" s="974"/>
      <c r="GQP21" s="974"/>
      <c r="GQQ21" s="974"/>
      <c r="GQR21" s="974"/>
      <c r="GQS21" s="974"/>
      <c r="GQT21" s="974"/>
      <c r="GQU21" s="974"/>
      <c r="GQV21" s="974"/>
      <c r="GQW21" s="974"/>
      <c r="GQX21" s="974"/>
      <c r="GQY21" s="974"/>
      <c r="GQZ21" s="974"/>
      <c r="GRA21" s="974"/>
      <c r="GRB21" s="974"/>
      <c r="GRC21" s="974"/>
      <c r="GRD21" s="974"/>
      <c r="GRE21" s="974"/>
      <c r="GRF21" s="974"/>
      <c r="GRG21" s="974"/>
      <c r="GRH21" s="974"/>
      <c r="GRI21" s="974"/>
      <c r="GRJ21" s="974"/>
      <c r="GRK21" s="974"/>
      <c r="GRL21" s="974"/>
      <c r="GRM21" s="974"/>
      <c r="GRN21" s="974"/>
      <c r="GRO21" s="974"/>
      <c r="GRP21" s="974"/>
      <c r="GRQ21" s="974"/>
      <c r="GRR21" s="974"/>
      <c r="GRS21" s="974"/>
      <c r="GRT21" s="974"/>
      <c r="GRU21" s="974"/>
      <c r="GRV21" s="974"/>
      <c r="GRW21" s="974"/>
      <c r="GRX21" s="974"/>
      <c r="GRY21" s="974"/>
      <c r="GRZ21" s="974"/>
      <c r="GSA21" s="974"/>
      <c r="GSB21" s="974"/>
      <c r="GSC21" s="974"/>
      <c r="GSD21" s="974"/>
      <c r="GSE21" s="974"/>
      <c r="GSF21" s="974"/>
      <c r="GSG21" s="974"/>
      <c r="GSH21" s="974"/>
      <c r="GSI21" s="974"/>
      <c r="GSJ21" s="974"/>
      <c r="GSK21" s="974"/>
      <c r="GSL21" s="974"/>
      <c r="GSM21" s="974"/>
      <c r="GSN21" s="974"/>
      <c r="GSO21" s="974"/>
      <c r="GSP21" s="974"/>
      <c r="GSQ21" s="974"/>
      <c r="GSR21" s="974"/>
      <c r="GSS21" s="974"/>
      <c r="GST21" s="974"/>
      <c r="GSU21" s="974"/>
      <c r="GSV21" s="974"/>
      <c r="GSW21" s="974"/>
      <c r="GSX21" s="974"/>
      <c r="GSY21" s="974"/>
      <c r="GSZ21" s="974"/>
      <c r="GTA21" s="974"/>
      <c r="GTB21" s="974"/>
      <c r="GTC21" s="974"/>
      <c r="GTD21" s="974"/>
      <c r="GTE21" s="974"/>
      <c r="GTF21" s="974"/>
      <c r="GTG21" s="974"/>
      <c r="GTH21" s="974"/>
      <c r="GTI21" s="974"/>
      <c r="GTJ21" s="974"/>
      <c r="GTK21" s="974"/>
      <c r="GTL21" s="974"/>
      <c r="GTM21" s="974"/>
      <c r="GTN21" s="974"/>
      <c r="GTO21" s="974"/>
      <c r="GTP21" s="974"/>
      <c r="GTQ21" s="974"/>
      <c r="GTR21" s="974"/>
      <c r="GTS21" s="974"/>
      <c r="GTT21" s="974"/>
      <c r="GTU21" s="974"/>
      <c r="GTV21" s="974"/>
      <c r="GTW21" s="974"/>
      <c r="GTX21" s="974"/>
      <c r="GTY21" s="974"/>
      <c r="GTZ21" s="974"/>
      <c r="GUA21" s="974"/>
      <c r="GUB21" s="974"/>
      <c r="GUC21" s="974"/>
      <c r="GUD21" s="974"/>
      <c r="GUE21" s="974"/>
      <c r="GUF21" s="974"/>
      <c r="GUG21" s="974"/>
      <c r="GUH21" s="974"/>
      <c r="GUI21" s="974"/>
      <c r="GUJ21" s="974"/>
      <c r="GUK21" s="974"/>
      <c r="GUL21" s="974"/>
      <c r="GUM21" s="974"/>
      <c r="GUN21" s="974"/>
      <c r="GUO21" s="974"/>
      <c r="GUP21" s="974"/>
      <c r="GUQ21" s="974"/>
      <c r="GUR21" s="974"/>
      <c r="GUS21" s="974"/>
      <c r="GUT21" s="974"/>
      <c r="GUU21" s="974"/>
      <c r="GUV21" s="974"/>
      <c r="GUW21" s="974"/>
      <c r="GUX21" s="974"/>
      <c r="GUY21" s="974"/>
      <c r="GUZ21" s="974"/>
      <c r="GVA21" s="974"/>
      <c r="GVB21" s="974"/>
      <c r="GVC21" s="974"/>
      <c r="GVD21" s="974"/>
      <c r="GVE21" s="974"/>
      <c r="GVF21" s="974"/>
      <c r="GVG21" s="974"/>
      <c r="GVH21" s="974"/>
      <c r="GVI21" s="974"/>
      <c r="GVJ21" s="974"/>
      <c r="GVK21" s="974"/>
      <c r="GVL21" s="974"/>
      <c r="GVM21" s="974"/>
      <c r="GVN21" s="974"/>
      <c r="GVO21" s="974"/>
      <c r="GVP21" s="974"/>
      <c r="GVQ21" s="974"/>
      <c r="GVR21" s="974"/>
      <c r="GVS21" s="974"/>
      <c r="GVT21" s="974"/>
      <c r="GVU21" s="974"/>
      <c r="GVV21" s="974"/>
      <c r="GVW21" s="974"/>
      <c r="GVX21" s="974"/>
      <c r="GVY21" s="974"/>
      <c r="GVZ21" s="974"/>
      <c r="GWA21" s="974"/>
      <c r="GWB21" s="974"/>
      <c r="GWC21" s="974"/>
      <c r="GWD21" s="974"/>
      <c r="GWE21" s="974"/>
      <c r="GWF21" s="974"/>
      <c r="GWG21" s="974"/>
      <c r="GWH21" s="974"/>
      <c r="GWI21" s="974"/>
      <c r="GWJ21" s="974"/>
      <c r="GWK21" s="974"/>
      <c r="GWL21" s="974"/>
      <c r="GWM21" s="974"/>
      <c r="GWN21" s="974"/>
      <c r="GWO21" s="974"/>
      <c r="GWP21" s="974"/>
      <c r="GWQ21" s="974"/>
      <c r="GWR21" s="974"/>
      <c r="GWS21" s="974"/>
      <c r="GWT21" s="974"/>
      <c r="GWU21" s="974"/>
      <c r="GWV21" s="974"/>
      <c r="GWW21" s="974"/>
      <c r="GWX21" s="974"/>
      <c r="GWY21" s="974"/>
      <c r="GWZ21" s="974"/>
      <c r="GXA21" s="974"/>
      <c r="GXB21" s="974"/>
      <c r="GXC21" s="974"/>
      <c r="GXD21" s="974"/>
      <c r="GXE21" s="974"/>
      <c r="GXF21" s="974"/>
      <c r="GXG21" s="974"/>
      <c r="GXH21" s="974"/>
      <c r="GXI21" s="974"/>
      <c r="GXJ21" s="974"/>
      <c r="GXK21" s="974"/>
      <c r="GXL21" s="974"/>
      <c r="GXM21" s="974"/>
      <c r="GXN21" s="974"/>
      <c r="GXO21" s="974"/>
      <c r="GXP21" s="974"/>
      <c r="GXQ21" s="974"/>
      <c r="GXR21" s="974"/>
      <c r="GXS21" s="974"/>
      <c r="GXT21" s="974"/>
      <c r="GXU21" s="974"/>
      <c r="GXV21" s="974"/>
      <c r="GXW21" s="974"/>
      <c r="GXX21" s="974"/>
      <c r="GXY21" s="974"/>
      <c r="GXZ21" s="974"/>
      <c r="GYA21" s="974"/>
      <c r="GYB21" s="974"/>
      <c r="GYC21" s="974"/>
      <c r="GYD21" s="974"/>
      <c r="GYE21" s="974"/>
      <c r="GYF21" s="974"/>
      <c r="GYG21" s="974"/>
      <c r="GYH21" s="974"/>
      <c r="GYI21" s="974"/>
      <c r="GYJ21" s="974"/>
      <c r="GYK21" s="974"/>
      <c r="GYL21" s="974"/>
      <c r="GYM21" s="974"/>
      <c r="GYN21" s="974"/>
      <c r="GYO21" s="974"/>
      <c r="GYP21" s="974"/>
      <c r="GYQ21" s="974"/>
      <c r="GYR21" s="974"/>
      <c r="GYS21" s="974"/>
      <c r="GYT21" s="974"/>
      <c r="GYU21" s="974"/>
      <c r="GYV21" s="974"/>
      <c r="GYW21" s="974"/>
      <c r="GYX21" s="974"/>
      <c r="GYY21" s="974"/>
      <c r="GYZ21" s="974"/>
      <c r="GZA21" s="974"/>
      <c r="GZB21" s="974"/>
      <c r="GZC21" s="974"/>
      <c r="GZD21" s="974"/>
      <c r="GZE21" s="974"/>
      <c r="GZF21" s="974"/>
      <c r="GZG21" s="974"/>
      <c r="GZH21" s="974"/>
      <c r="GZI21" s="974"/>
      <c r="GZJ21" s="974"/>
      <c r="GZK21" s="974"/>
      <c r="GZL21" s="974"/>
      <c r="GZM21" s="974"/>
      <c r="GZN21" s="974"/>
      <c r="GZO21" s="974"/>
      <c r="GZP21" s="974"/>
      <c r="GZQ21" s="974"/>
      <c r="GZR21" s="974"/>
      <c r="GZS21" s="974"/>
      <c r="GZT21" s="974"/>
      <c r="GZU21" s="974"/>
      <c r="GZV21" s="974"/>
      <c r="GZW21" s="974"/>
      <c r="GZX21" s="974"/>
      <c r="GZY21" s="974"/>
      <c r="GZZ21" s="974"/>
      <c r="HAA21" s="974"/>
      <c r="HAB21" s="974"/>
      <c r="HAC21" s="974"/>
      <c r="HAD21" s="974"/>
      <c r="HAE21" s="974"/>
      <c r="HAF21" s="974"/>
      <c r="HAG21" s="974"/>
      <c r="HAH21" s="974"/>
      <c r="HAI21" s="974"/>
      <c r="HAJ21" s="974"/>
      <c r="HAK21" s="974"/>
      <c r="HAL21" s="974"/>
      <c r="HAM21" s="974"/>
      <c r="HAN21" s="974"/>
      <c r="HAO21" s="974"/>
      <c r="HAP21" s="974"/>
      <c r="HAQ21" s="974"/>
      <c r="HAR21" s="974"/>
      <c r="HAS21" s="974"/>
      <c r="HAT21" s="974"/>
      <c r="HAU21" s="974"/>
      <c r="HAV21" s="974"/>
      <c r="HAW21" s="974"/>
      <c r="HAX21" s="974"/>
      <c r="HAY21" s="974"/>
      <c r="HAZ21" s="974"/>
      <c r="HBA21" s="974"/>
      <c r="HBB21" s="974"/>
      <c r="HBC21" s="974"/>
      <c r="HBD21" s="974"/>
      <c r="HBE21" s="974"/>
      <c r="HBF21" s="974"/>
      <c r="HBG21" s="974"/>
      <c r="HBH21" s="974"/>
      <c r="HBI21" s="974"/>
      <c r="HBJ21" s="974"/>
      <c r="HBK21" s="974"/>
      <c r="HBL21" s="974"/>
      <c r="HBM21" s="974"/>
      <c r="HBN21" s="974"/>
      <c r="HBO21" s="974"/>
      <c r="HBP21" s="974"/>
      <c r="HBQ21" s="974"/>
      <c r="HBR21" s="974"/>
      <c r="HBS21" s="974"/>
      <c r="HBT21" s="974"/>
      <c r="HBU21" s="974"/>
      <c r="HBV21" s="974"/>
      <c r="HBW21" s="974"/>
      <c r="HBX21" s="974"/>
      <c r="HBY21" s="974"/>
      <c r="HBZ21" s="974"/>
      <c r="HCA21" s="974"/>
      <c r="HCB21" s="974"/>
      <c r="HCC21" s="974"/>
      <c r="HCD21" s="974"/>
      <c r="HCE21" s="974"/>
      <c r="HCF21" s="974"/>
      <c r="HCG21" s="974"/>
      <c r="HCH21" s="974"/>
      <c r="HCI21" s="974"/>
      <c r="HCJ21" s="974"/>
      <c r="HCK21" s="974"/>
      <c r="HCL21" s="974"/>
      <c r="HCM21" s="974"/>
      <c r="HCN21" s="974"/>
      <c r="HCO21" s="974"/>
      <c r="HCP21" s="974"/>
      <c r="HCQ21" s="974"/>
      <c r="HCR21" s="974"/>
      <c r="HCS21" s="974"/>
      <c r="HCT21" s="974"/>
      <c r="HCU21" s="974"/>
      <c r="HCV21" s="974"/>
      <c r="HCW21" s="974"/>
      <c r="HCX21" s="974"/>
      <c r="HCY21" s="974"/>
      <c r="HCZ21" s="974"/>
      <c r="HDA21" s="974"/>
      <c r="HDB21" s="974"/>
      <c r="HDC21" s="974"/>
      <c r="HDD21" s="974"/>
      <c r="HDE21" s="974"/>
      <c r="HDF21" s="974"/>
      <c r="HDG21" s="974"/>
      <c r="HDH21" s="974"/>
      <c r="HDI21" s="974"/>
      <c r="HDJ21" s="974"/>
      <c r="HDK21" s="974"/>
      <c r="HDL21" s="974"/>
      <c r="HDM21" s="974"/>
      <c r="HDN21" s="974"/>
      <c r="HDO21" s="974"/>
      <c r="HDP21" s="974"/>
      <c r="HDQ21" s="974"/>
      <c r="HDR21" s="974"/>
      <c r="HDS21" s="974"/>
      <c r="HDT21" s="974"/>
      <c r="HDU21" s="974"/>
      <c r="HDV21" s="974"/>
      <c r="HDW21" s="974"/>
      <c r="HDX21" s="974"/>
      <c r="HDY21" s="974"/>
      <c r="HDZ21" s="974"/>
      <c r="HEA21" s="974"/>
      <c r="HEB21" s="974"/>
      <c r="HEC21" s="974"/>
      <c r="HED21" s="974"/>
      <c r="HEE21" s="974"/>
      <c r="HEF21" s="974"/>
      <c r="HEG21" s="974"/>
      <c r="HEH21" s="974"/>
      <c r="HEI21" s="974"/>
      <c r="HEJ21" s="974"/>
      <c r="HEK21" s="974"/>
      <c r="HEL21" s="974"/>
      <c r="HEM21" s="974"/>
      <c r="HEN21" s="974"/>
      <c r="HEO21" s="974"/>
      <c r="HEP21" s="974"/>
      <c r="HEQ21" s="974"/>
      <c r="HER21" s="974"/>
      <c r="HES21" s="974"/>
      <c r="HET21" s="974"/>
      <c r="HEU21" s="974"/>
      <c r="HEV21" s="974"/>
      <c r="HEW21" s="974"/>
      <c r="HEX21" s="974"/>
      <c r="HEY21" s="974"/>
      <c r="HEZ21" s="974"/>
      <c r="HFA21" s="974"/>
      <c r="HFB21" s="974"/>
      <c r="HFC21" s="974"/>
      <c r="HFD21" s="974"/>
      <c r="HFE21" s="974"/>
      <c r="HFF21" s="974"/>
      <c r="HFG21" s="974"/>
      <c r="HFH21" s="974"/>
      <c r="HFI21" s="974"/>
      <c r="HFJ21" s="974"/>
      <c r="HFK21" s="974"/>
      <c r="HFL21" s="974"/>
      <c r="HFM21" s="974"/>
      <c r="HFN21" s="974"/>
      <c r="HFO21" s="974"/>
      <c r="HFP21" s="974"/>
      <c r="HFQ21" s="974"/>
      <c r="HFR21" s="974"/>
      <c r="HFS21" s="974"/>
      <c r="HFT21" s="974"/>
      <c r="HFU21" s="974"/>
      <c r="HFV21" s="974"/>
      <c r="HFW21" s="974"/>
      <c r="HFX21" s="974"/>
      <c r="HFY21" s="974"/>
      <c r="HFZ21" s="974"/>
      <c r="HGA21" s="974"/>
      <c r="HGB21" s="974"/>
      <c r="HGC21" s="974"/>
      <c r="HGD21" s="974"/>
      <c r="HGE21" s="974"/>
      <c r="HGF21" s="974"/>
      <c r="HGG21" s="974"/>
      <c r="HGH21" s="974"/>
      <c r="HGI21" s="974"/>
      <c r="HGJ21" s="974"/>
      <c r="HGK21" s="974"/>
      <c r="HGL21" s="974"/>
      <c r="HGM21" s="974"/>
      <c r="HGN21" s="974"/>
      <c r="HGO21" s="974"/>
      <c r="HGP21" s="974"/>
      <c r="HGQ21" s="974"/>
      <c r="HGR21" s="974"/>
      <c r="HGS21" s="974"/>
      <c r="HGT21" s="974"/>
      <c r="HGU21" s="974"/>
      <c r="HGV21" s="974"/>
      <c r="HGW21" s="974"/>
      <c r="HGX21" s="974"/>
      <c r="HGY21" s="974"/>
      <c r="HGZ21" s="974"/>
      <c r="HHA21" s="974"/>
      <c r="HHB21" s="974"/>
      <c r="HHC21" s="974"/>
      <c r="HHD21" s="974"/>
      <c r="HHE21" s="974"/>
      <c r="HHF21" s="974"/>
      <c r="HHG21" s="974"/>
      <c r="HHH21" s="974"/>
      <c r="HHI21" s="974"/>
      <c r="HHJ21" s="974"/>
      <c r="HHK21" s="974"/>
      <c r="HHL21" s="974"/>
      <c r="HHM21" s="974"/>
      <c r="HHN21" s="974"/>
      <c r="HHO21" s="974"/>
      <c r="HHP21" s="974"/>
      <c r="HHQ21" s="974"/>
      <c r="HHR21" s="974"/>
      <c r="HHS21" s="974"/>
      <c r="HHT21" s="974"/>
      <c r="HHU21" s="974"/>
      <c r="HHV21" s="974"/>
      <c r="HHW21" s="974"/>
      <c r="HHX21" s="974"/>
      <c r="HHY21" s="974"/>
      <c r="HHZ21" s="974"/>
      <c r="HIA21" s="974"/>
      <c r="HIB21" s="974"/>
      <c r="HIC21" s="974"/>
      <c r="HID21" s="974"/>
      <c r="HIE21" s="974"/>
      <c r="HIF21" s="974"/>
      <c r="HIG21" s="974"/>
      <c r="HIH21" s="974"/>
      <c r="HII21" s="974"/>
      <c r="HIJ21" s="974"/>
      <c r="HIK21" s="974"/>
      <c r="HIL21" s="974"/>
      <c r="HIM21" s="974"/>
      <c r="HIN21" s="974"/>
      <c r="HIO21" s="974"/>
      <c r="HIP21" s="974"/>
      <c r="HIQ21" s="974"/>
      <c r="HIR21" s="974"/>
      <c r="HIS21" s="974"/>
      <c r="HIT21" s="974"/>
      <c r="HIU21" s="974"/>
      <c r="HIV21" s="974"/>
      <c r="HIW21" s="974"/>
      <c r="HIX21" s="974"/>
      <c r="HIY21" s="974"/>
      <c r="HIZ21" s="974"/>
      <c r="HJA21" s="974"/>
      <c r="HJB21" s="974"/>
      <c r="HJC21" s="974"/>
      <c r="HJD21" s="974"/>
      <c r="HJE21" s="974"/>
      <c r="HJF21" s="974"/>
      <c r="HJG21" s="974"/>
      <c r="HJH21" s="974"/>
      <c r="HJI21" s="974"/>
      <c r="HJJ21" s="974"/>
      <c r="HJK21" s="974"/>
      <c r="HJL21" s="974"/>
      <c r="HJM21" s="974"/>
      <c r="HJN21" s="974"/>
      <c r="HJO21" s="974"/>
      <c r="HJP21" s="974"/>
      <c r="HJQ21" s="974"/>
      <c r="HJR21" s="974"/>
      <c r="HJS21" s="974"/>
      <c r="HJT21" s="974"/>
      <c r="HJU21" s="974"/>
      <c r="HJV21" s="974"/>
      <c r="HJW21" s="974"/>
      <c r="HJX21" s="974"/>
      <c r="HJY21" s="974"/>
      <c r="HJZ21" s="974"/>
      <c r="HKA21" s="974"/>
      <c r="HKB21" s="974"/>
      <c r="HKC21" s="974"/>
      <c r="HKD21" s="974"/>
      <c r="HKE21" s="974"/>
      <c r="HKF21" s="974"/>
      <c r="HKG21" s="974"/>
      <c r="HKH21" s="974"/>
      <c r="HKI21" s="974"/>
      <c r="HKJ21" s="974"/>
      <c r="HKK21" s="974"/>
      <c r="HKL21" s="974"/>
      <c r="HKM21" s="974"/>
      <c r="HKN21" s="974"/>
      <c r="HKO21" s="974"/>
      <c r="HKP21" s="974"/>
      <c r="HKQ21" s="974"/>
      <c r="HKR21" s="974"/>
      <c r="HKS21" s="974"/>
      <c r="HKT21" s="974"/>
      <c r="HKU21" s="974"/>
      <c r="HKV21" s="974"/>
      <c r="HKW21" s="974"/>
      <c r="HKX21" s="974"/>
      <c r="HKY21" s="974"/>
      <c r="HKZ21" s="974"/>
      <c r="HLA21" s="974"/>
      <c r="HLB21" s="974"/>
      <c r="HLC21" s="974"/>
      <c r="HLD21" s="974"/>
      <c r="HLE21" s="974"/>
      <c r="HLF21" s="974"/>
      <c r="HLG21" s="974"/>
      <c r="HLH21" s="974"/>
      <c r="HLI21" s="974"/>
      <c r="HLJ21" s="974"/>
      <c r="HLK21" s="974"/>
      <c r="HLL21" s="974"/>
      <c r="HLM21" s="974"/>
      <c r="HLN21" s="974"/>
      <c r="HLO21" s="974"/>
      <c r="HLP21" s="974"/>
      <c r="HLQ21" s="974"/>
      <c r="HLR21" s="974"/>
      <c r="HLS21" s="974"/>
      <c r="HLT21" s="974"/>
      <c r="HLU21" s="974"/>
      <c r="HLV21" s="974"/>
      <c r="HLW21" s="974"/>
      <c r="HLX21" s="974"/>
      <c r="HLY21" s="974"/>
      <c r="HLZ21" s="974"/>
      <c r="HMA21" s="974"/>
      <c r="HMB21" s="974"/>
      <c r="HMC21" s="974"/>
      <c r="HMD21" s="974"/>
      <c r="HME21" s="974"/>
      <c r="HMF21" s="974"/>
      <c r="HMG21" s="974"/>
      <c r="HMH21" s="974"/>
      <c r="HMI21" s="974"/>
      <c r="HMJ21" s="974"/>
      <c r="HMK21" s="974"/>
      <c r="HML21" s="974"/>
      <c r="HMM21" s="974"/>
      <c r="HMN21" s="974"/>
      <c r="HMO21" s="974"/>
      <c r="HMP21" s="974"/>
      <c r="HMQ21" s="974"/>
      <c r="HMR21" s="974"/>
      <c r="HMS21" s="974"/>
      <c r="HMT21" s="974"/>
      <c r="HMU21" s="974"/>
      <c r="HMV21" s="974"/>
      <c r="HMW21" s="974"/>
      <c r="HMX21" s="974"/>
      <c r="HMY21" s="974"/>
      <c r="HMZ21" s="974"/>
      <c r="HNA21" s="974"/>
      <c r="HNB21" s="974"/>
      <c r="HNC21" s="974"/>
      <c r="HND21" s="974"/>
      <c r="HNE21" s="974"/>
      <c r="HNF21" s="974"/>
      <c r="HNG21" s="974"/>
      <c r="HNH21" s="974"/>
      <c r="HNI21" s="974"/>
      <c r="HNJ21" s="974"/>
      <c r="HNK21" s="974"/>
      <c r="HNL21" s="974"/>
      <c r="HNM21" s="974"/>
      <c r="HNN21" s="974"/>
      <c r="HNO21" s="974"/>
      <c r="HNP21" s="974"/>
      <c r="HNQ21" s="974"/>
      <c r="HNR21" s="974"/>
      <c r="HNS21" s="974"/>
      <c r="HNT21" s="974"/>
      <c r="HNU21" s="974"/>
      <c r="HNV21" s="974"/>
      <c r="HNW21" s="974"/>
      <c r="HNX21" s="974"/>
      <c r="HNY21" s="974"/>
      <c r="HNZ21" s="974"/>
      <c r="HOA21" s="974"/>
      <c r="HOB21" s="974"/>
      <c r="HOC21" s="974"/>
      <c r="HOD21" s="974"/>
      <c r="HOE21" s="974"/>
      <c r="HOF21" s="974"/>
      <c r="HOG21" s="974"/>
      <c r="HOH21" s="974"/>
      <c r="HOI21" s="974"/>
      <c r="HOJ21" s="974"/>
      <c r="HOK21" s="974"/>
      <c r="HOL21" s="974"/>
      <c r="HOM21" s="974"/>
      <c r="HON21" s="974"/>
      <c r="HOO21" s="974"/>
      <c r="HOP21" s="974"/>
      <c r="HOQ21" s="974"/>
      <c r="HOR21" s="974"/>
      <c r="HOS21" s="974"/>
      <c r="HOT21" s="974"/>
      <c r="HOU21" s="974"/>
      <c r="HOV21" s="974"/>
      <c r="HOW21" s="974"/>
      <c r="HOX21" s="974"/>
      <c r="HOY21" s="974"/>
      <c r="HOZ21" s="974"/>
      <c r="HPA21" s="974"/>
      <c r="HPB21" s="974"/>
      <c r="HPC21" s="974"/>
      <c r="HPD21" s="974"/>
      <c r="HPE21" s="974"/>
      <c r="HPF21" s="974"/>
      <c r="HPG21" s="974"/>
      <c r="HPH21" s="974"/>
      <c r="HPI21" s="974"/>
      <c r="HPJ21" s="974"/>
      <c r="HPK21" s="974"/>
      <c r="HPL21" s="974"/>
      <c r="HPM21" s="974"/>
      <c r="HPN21" s="974"/>
      <c r="HPO21" s="974"/>
      <c r="HPP21" s="974"/>
      <c r="HPQ21" s="974"/>
      <c r="HPR21" s="974"/>
      <c r="HPS21" s="974"/>
      <c r="HPT21" s="974"/>
      <c r="HPU21" s="974"/>
      <c r="HPV21" s="974"/>
      <c r="HPW21" s="974"/>
      <c r="HPX21" s="974"/>
      <c r="HPY21" s="974"/>
      <c r="HPZ21" s="974"/>
      <c r="HQA21" s="974"/>
      <c r="HQB21" s="974"/>
      <c r="HQC21" s="974"/>
      <c r="HQD21" s="974"/>
      <c r="HQE21" s="974"/>
      <c r="HQF21" s="974"/>
      <c r="HQG21" s="974"/>
      <c r="HQH21" s="974"/>
      <c r="HQI21" s="974"/>
      <c r="HQJ21" s="974"/>
      <c r="HQK21" s="974"/>
      <c r="HQL21" s="974"/>
      <c r="HQM21" s="974"/>
      <c r="HQN21" s="974"/>
      <c r="HQO21" s="974"/>
      <c r="HQP21" s="974"/>
      <c r="HQQ21" s="974"/>
      <c r="HQR21" s="974"/>
      <c r="HQS21" s="974"/>
      <c r="HQT21" s="974"/>
      <c r="HQU21" s="974"/>
      <c r="HQV21" s="974"/>
      <c r="HQW21" s="974"/>
      <c r="HQX21" s="974"/>
      <c r="HQY21" s="974"/>
      <c r="HQZ21" s="974"/>
      <c r="HRA21" s="974"/>
      <c r="HRB21" s="974"/>
      <c r="HRC21" s="974"/>
      <c r="HRD21" s="974"/>
      <c r="HRE21" s="974"/>
      <c r="HRF21" s="974"/>
      <c r="HRG21" s="974"/>
      <c r="HRH21" s="974"/>
      <c r="HRI21" s="974"/>
      <c r="HRJ21" s="974"/>
      <c r="HRK21" s="974"/>
      <c r="HRL21" s="974"/>
      <c r="HRM21" s="974"/>
      <c r="HRN21" s="974"/>
      <c r="HRO21" s="974"/>
      <c r="HRP21" s="974"/>
      <c r="HRQ21" s="974"/>
      <c r="HRR21" s="974"/>
      <c r="HRS21" s="974"/>
      <c r="HRT21" s="974"/>
      <c r="HRU21" s="974"/>
      <c r="HRV21" s="974"/>
      <c r="HRW21" s="974"/>
      <c r="HRX21" s="974"/>
      <c r="HRY21" s="974"/>
      <c r="HRZ21" s="974"/>
      <c r="HSA21" s="974"/>
      <c r="HSB21" s="974"/>
      <c r="HSC21" s="974"/>
      <c r="HSD21" s="974"/>
      <c r="HSE21" s="974"/>
      <c r="HSF21" s="974"/>
      <c r="HSG21" s="974"/>
      <c r="HSH21" s="974"/>
      <c r="HSI21" s="974"/>
      <c r="HSJ21" s="974"/>
      <c r="HSK21" s="974"/>
      <c r="HSL21" s="974"/>
      <c r="HSM21" s="974"/>
      <c r="HSN21" s="974"/>
      <c r="HSO21" s="974"/>
      <c r="HSP21" s="974"/>
      <c r="HSQ21" s="974"/>
      <c r="HSR21" s="974"/>
      <c r="HSS21" s="974"/>
      <c r="HST21" s="974"/>
      <c r="HSU21" s="974"/>
      <c r="HSV21" s="974"/>
      <c r="HSW21" s="974"/>
      <c r="HSX21" s="974"/>
      <c r="HSY21" s="974"/>
      <c r="HSZ21" s="974"/>
      <c r="HTA21" s="974"/>
      <c r="HTB21" s="974"/>
      <c r="HTC21" s="974"/>
      <c r="HTD21" s="974"/>
      <c r="HTE21" s="974"/>
      <c r="HTF21" s="974"/>
      <c r="HTG21" s="974"/>
      <c r="HTH21" s="974"/>
      <c r="HTI21" s="974"/>
      <c r="HTJ21" s="974"/>
      <c r="HTK21" s="974"/>
      <c r="HTL21" s="974"/>
      <c r="HTM21" s="974"/>
      <c r="HTN21" s="974"/>
      <c r="HTO21" s="974"/>
      <c r="HTP21" s="974"/>
      <c r="HTQ21" s="974"/>
      <c r="HTR21" s="974"/>
      <c r="HTS21" s="974"/>
      <c r="HTT21" s="974"/>
      <c r="HTU21" s="974"/>
      <c r="HTV21" s="974"/>
      <c r="HTW21" s="974"/>
      <c r="HTX21" s="974"/>
      <c r="HTY21" s="974"/>
      <c r="HTZ21" s="974"/>
      <c r="HUA21" s="974"/>
      <c r="HUB21" s="974"/>
      <c r="HUC21" s="974"/>
      <c r="HUD21" s="974"/>
      <c r="HUE21" s="974"/>
      <c r="HUF21" s="974"/>
      <c r="HUG21" s="974"/>
      <c r="HUH21" s="974"/>
      <c r="HUI21" s="974"/>
      <c r="HUJ21" s="974"/>
      <c r="HUK21" s="974"/>
      <c r="HUL21" s="974"/>
      <c r="HUM21" s="974"/>
      <c r="HUN21" s="974"/>
      <c r="HUO21" s="974"/>
      <c r="HUP21" s="974"/>
      <c r="HUQ21" s="974"/>
      <c r="HUR21" s="974"/>
      <c r="HUS21" s="974"/>
      <c r="HUT21" s="974"/>
      <c r="HUU21" s="974"/>
      <c r="HUV21" s="974"/>
      <c r="HUW21" s="974"/>
      <c r="HUX21" s="974"/>
      <c r="HUY21" s="974"/>
      <c r="HUZ21" s="974"/>
      <c r="HVA21" s="974"/>
      <c r="HVB21" s="974"/>
      <c r="HVC21" s="974"/>
      <c r="HVD21" s="974"/>
      <c r="HVE21" s="974"/>
      <c r="HVF21" s="974"/>
      <c r="HVG21" s="974"/>
      <c r="HVH21" s="974"/>
      <c r="HVI21" s="974"/>
      <c r="HVJ21" s="974"/>
      <c r="HVK21" s="974"/>
      <c r="HVL21" s="974"/>
      <c r="HVM21" s="974"/>
      <c r="HVN21" s="974"/>
      <c r="HVO21" s="974"/>
      <c r="HVP21" s="974"/>
      <c r="HVQ21" s="974"/>
      <c r="HVR21" s="974"/>
      <c r="HVS21" s="974"/>
      <c r="HVT21" s="974"/>
      <c r="HVU21" s="974"/>
      <c r="HVV21" s="974"/>
      <c r="HVW21" s="974"/>
      <c r="HVX21" s="974"/>
      <c r="HVY21" s="974"/>
      <c r="HVZ21" s="974"/>
      <c r="HWA21" s="974"/>
      <c r="HWB21" s="974"/>
      <c r="HWC21" s="974"/>
      <c r="HWD21" s="974"/>
      <c r="HWE21" s="974"/>
      <c r="HWF21" s="974"/>
      <c r="HWG21" s="974"/>
      <c r="HWH21" s="974"/>
      <c r="HWI21" s="974"/>
      <c r="HWJ21" s="974"/>
      <c r="HWK21" s="974"/>
      <c r="HWL21" s="974"/>
      <c r="HWM21" s="974"/>
      <c r="HWN21" s="974"/>
      <c r="HWO21" s="974"/>
      <c r="HWP21" s="974"/>
      <c r="HWQ21" s="974"/>
      <c r="HWR21" s="974"/>
      <c r="HWS21" s="974"/>
      <c r="HWT21" s="974"/>
      <c r="HWU21" s="974"/>
      <c r="HWV21" s="974"/>
      <c r="HWW21" s="974"/>
      <c r="HWX21" s="974"/>
      <c r="HWY21" s="974"/>
      <c r="HWZ21" s="974"/>
      <c r="HXA21" s="974"/>
      <c r="HXB21" s="974"/>
      <c r="HXC21" s="974"/>
      <c r="HXD21" s="974"/>
      <c r="HXE21" s="974"/>
      <c r="HXF21" s="974"/>
      <c r="HXG21" s="974"/>
      <c r="HXH21" s="974"/>
      <c r="HXI21" s="974"/>
      <c r="HXJ21" s="974"/>
      <c r="HXK21" s="974"/>
      <c r="HXL21" s="974"/>
      <c r="HXM21" s="974"/>
      <c r="HXN21" s="974"/>
      <c r="HXO21" s="974"/>
      <c r="HXP21" s="974"/>
      <c r="HXQ21" s="974"/>
      <c r="HXR21" s="974"/>
      <c r="HXS21" s="974"/>
      <c r="HXT21" s="974"/>
      <c r="HXU21" s="974"/>
      <c r="HXV21" s="974"/>
      <c r="HXW21" s="974"/>
      <c r="HXX21" s="974"/>
      <c r="HXY21" s="974"/>
      <c r="HXZ21" s="974"/>
      <c r="HYA21" s="974"/>
      <c r="HYB21" s="974"/>
      <c r="HYC21" s="974"/>
      <c r="HYD21" s="974"/>
      <c r="HYE21" s="974"/>
      <c r="HYF21" s="974"/>
      <c r="HYG21" s="974"/>
      <c r="HYH21" s="974"/>
      <c r="HYI21" s="974"/>
      <c r="HYJ21" s="974"/>
      <c r="HYK21" s="974"/>
      <c r="HYL21" s="974"/>
      <c r="HYM21" s="974"/>
      <c r="HYN21" s="974"/>
      <c r="HYO21" s="974"/>
      <c r="HYP21" s="974"/>
      <c r="HYQ21" s="974"/>
      <c r="HYR21" s="974"/>
      <c r="HYS21" s="974"/>
      <c r="HYT21" s="974"/>
      <c r="HYU21" s="974"/>
      <c r="HYV21" s="974"/>
      <c r="HYW21" s="974"/>
      <c r="HYX21" s="974"/>
      <c r="HYY21" s="974"/>
      <c r="HYZ21" s="974"/>
      <c r="HZA21" s="974"/>
      <c r="HZB21" s="974"/>
      <c r="HZC21" s="974"/>
      <c r="HZD21" s="974"/>
      <c r="HZE21" s="974"/>
      <c r="HZF21" s="974"/>
      <c r="HZG21" s="974"/>
      <c r="HZH21" s="974"/>
      <c r="HZI21" s="974"/>
      <c r="HZJ21" s="974"/>
      <c r="HZK21" s="974"/>
      <c r="HZL21" s="974"/>
      <c r="HZM21" s="974"/>
      <c r="HZN21" s="974"/>
      <c r="HZO21" s="974"/>
      <c r="HZP21" s="974"/>
      <c r="HZQ21" s="974"/>
      <c r="HZR21" s="974"/>
      <c r="HZS21" s="974"/>
      <c r="HZT21" s="974"/>
      <c r="HZU21" s="974"/>
      <c r="HZV21" s="974"/>
      <c r="HZW21" s="974"/>
      <c r="HZX21" s="974"/>
      <c r="HZY21" s="974"/>
      <c r="HZZ21" s="974"/>
      <c r="IAA21" s="974"/>
      <c r="IAB21" s="974"/>
      <c r="IAC21" s="974"/>
      <c r="IAD21" s="974"/>
      <c r="IAE21" s="974"/>
      <c r="IAF21" s="974"/>
      <c r="IAG21" s="974"/>
      <c r="IAH21" s="974"/>
      <c r="IAI21" s="974"/>
      <c r="IAJ21" s="974"/>
      <c r="IAK21" s="974"/>
      <c r="IAL21" s="974"/>
      <c r="IAM21" s="974"/>
      <c r="IAN21" s="974"/>
      <c r="IAO21" s="974"/>
      <c r="IAP21" s="974"/>
      <c r="IAQ21" s="974"/>
      <c r="IAR21" s="974"/>
      <c r="IAS21" s="974"/>
      <c r="IAT21" s="974"/>
      <c r="IAU21" s="974"/>
      <c r="IAV21" s="974"/>
      <c r="IAW21" s="974"/>
      <c r="IAX21" s="974"/>
      <c r="IAY21" s="974"/>
      <c r="IAZ21" s="974"/>
      <c r="IBA21" s="974"/>
      <c r="IBB21" s="974"/>
      <c r="IBC21" s="974"/>
      <c r="IBD21" s="974"/>
      <c r="IBE21" s="974"/>
      <c r="IBF21" s="974"/>
      <c r="IBG21" s="974"/>
      <c r="IBH21" s="974"/>
      <c r="IBI21" s="974"/>
      <c r="IBJ21" s="974"/>
      <c r="IBK21" s="974"/>
      <c r="IBL21" s="974"/>
      <c r="IBM21" s="974"/>
      <c r="IBN21" s="974"/>
      <c r="IBO21" s="974"/>
      <c r="IBP21" s="974"/>
      <c r="IBQ21" s="974"/>
      <c r="IBR21" s="974"/>
      <c r="IBS21" s="974"/>
      <c r="IBT21" s="974"/>
      <c r="IBU21" s="974"/>
      <c r="IBV21" s="974"/>
      <c r="IBW21" s="974"/>
      <c r="IBX21" s="974"/>
      <c r="IBY21" s="974"/>
      <c r="IBZ21" s="974"/>
      <c r="ICA21" s="974"/>
      <c r="ICB21" s="974"/>
      <c r="ICC21" s="974"/>
      <c r="ICD21" s="974"/>
      <c r="ICE21" s="974"/>
      <c r="ICF21" s="974"/>
      <c r="ICG21" s="974"/>
      <c r="ICH21" s="974"/>
      <c r="ICI21" s="974"/>
      <c r="ICJ21" s="974"/>
      <c r="ICK21" s="974"/>
      <c r="ICL21" s="974"/>
      <c r="ICM21" s="974"/>
      <c r="ICN21" s="974"/>
      <c r="ICO21" s="974"/>
      <c r="ICP21" s="974"/>
      <c r="ICQ21" s="974"/>
      <c r="ICR21" s="974"/>
      <c r="ICS21" s="974"/>
      <c r="ICT21" s="974"/>
      <c r="ICU21" s="974"/>
      <c r="ICV21" s="974"/>
      <c r="ICW21" s="974"/>
      <c r="ICX21" s="974"/>
      <c r="ICY21" s="974"/>
      <c r="ICZ21" s="974"/>
      <c r="IDA21" s="974"/>
      <c r="IDB21" s="974"/>
      <c r="IDC21" s="974"/>
      <c r="IDD21" s="974"/>
      <c r="IDE21" s="974"/>
      <c r="IDF21" s="974"/>
      <c r="IDG21" s="974"/>
      <c r="IDH21" s="974"/>
      <c r="IDI21" s="974"/>
      <c r="IDJ21" s="974"/>
      <c r="IDK21" s="974"/>
      <c r="IDL21" s="974"/>
      <c r="IDM21" s="974"/>
      <c r="IDN21" s="974"/>
      <c r="IDO21" s="974"/>
      <c r="IDP21" s="974"/>
      <c r="IDQ21" s="974"/>
      <c r="IDR21" s="974"/>
      <c r="IDS21" s="974"/>
      <c r="IDT21" s="974"/>
      <c r="IDU21" s="974"/>
      <c r="IDV21" s="974"/>
      <c r="IDW21" s="974"/>
      <c r="IDX21" s="974"/>
      <c r="IDY21" s="974"/>
      <c r="IDZ21" s="974"/>
      <c r="IEA21" s="974"/>
      <c r="IEB21" s="974"/>
      <c r="IEC21" s="974"/>
      <c r="IED21" s="974"/>
      <c r="IEE21" s="974"/>
      <c r="IEF21" s="974"/>
      <c r="IEG21" s="974"/>
      <c r="IEH21" s="974"/>
      <c r="IEI21" s="974"/>
      <c r="IEJ21" s="974"/>
      <c r="IEK21" s="974"/>
      <c r="IEL21" s="974"/>
      <c r="IEM21" s="974"/>
      <c r="IEN21" s="974"/>
      <c r="IEO21" s="974"/>
      <c r="IEP21" s="974"/>
      <c r="IEQ21" s="974"/>
      <c r="IER21" s="974"/>
      <c r="IES21" s="974"/>
      <c r="IET21" s="974"/>
      <c r="IEU21" s="974"/>
      <c r="IEV21" s="974"/>
      <c r="IEW21" s="974"/>
      <c r="IEX21" s="974"/>
      <c r="IEY21" s="974"/>
      <c r="IEZ21" s="974"/>
      <c r="IFA21" s="974"/>
      <c r="IFB21" s="974"/>
      <c r="IFC21" s="974"/>
      <c r="IFD21" s="974"/>
      <c r="IFE21" s="974"/>
      <c r="IFF21" s="974"/>
      <c r="IFG21" s="974"/>
      <c r="IFH21" s="974"/>
      <c r="IFI21" s="974"/>
      <c r="IFJ21" s="974"/>
      <c r="IFK21" s="974"/>
      <c r="IFL21" s="974"/>
      <c r="IFM21" s="974"/>
      <c r="IFN21" s="974"/>
      <c r="IFO21" s="974"/>
      <c r="IFP21" s="974"/>
      <c r="IFQ21" s="974"/>
      <c r="IFR21" s="974"/>
      <c r="IFS21" s="974"/>
      <c r="IFT21" s="974"/>
      <c r="IFU21" s="974"/>
      <c r="IFV21" s="974"/>
      <c r="IFW21" s="974"/>
      <c r="IFX21" s="974"/>
      <c r="IFY21" s="974"/>
      <c r="IFZ21" s="974"/>
      <c r="IGA21" s="974"/>
      <c r="IGB21" s="974"/>
      <c r="IGC21" s="974"/>
      <c r="IGD21" s="974"/>
      <c r="IGE21" s="974"/>
      <c r="IGF21" s="974"/>
      <c r="IGG21" s="974"/>
      <c r="IGH21" s="974"/>
      <c r="IGI21" s="974"/>
      <c r="IGJ21" s="974"/>
      <c r="IGK21" s="974"/>
      <c r="IGL21" s="974"/>
      <c r="IGM21" s="974"/>
      <c r="IGN21" s="974"/>
      <c r="IGO21" s="974"/>
      <c r="IGP21" s="974"/>
      <c r="IGQ21" s="974"/>
      <c r="IGR21" s="974"/>
      <c r="IGS21" s="974"/>
      <c r="IGT21" s="974"/>
      <c r="IGU21" s="974"/>
      <c r="IGV21" s="974"/>
      <c r="IGW21" s="974"/>
      <c r="IGX21" s="974"/>
      <c r="IGY21" s="974"/>
      <c r="IGZ21" s="974"/>
      <c r="IHA21" s="974"/>
      <c r="IHB21" s="974"/>
      <c r="IHC21" s="974"/>
      <c r="IHD21" s="974"/>
      <c r="IHE21" s="974"/>
      <c r="IHF21" s="974"/>
      <c r="IHG21" s="974"/>
      <c r="IHH21" s="974"/>
      <c r="IHI21" s="974"/>
      <c r="IHJ21" s="974"/>
      <c r="IHK21" s="974"/>
      <c r="IHL21" s="974"/>
      <c r="IHM21" s="974"/>
      <c r="IHN21" s="974"/>
      <c r="IHO21" s="974"/>
      <c r="IHP21" s="974"/>
      <c r="IHQ21" s="974"/>
      <c r="IHR21" s="974"/>
      <c r="IHS21" s="974"/>
      <c r="IHT21" s="974"/>
      <c r="IHU21" s="974"/>
      <c r="IHV21" s="974"/>
      <c r="IHW21" s="974"/>
      <c r="IHX21" s="974"/>
      <c r="IHY21" s="974"/>
      <c r="IHZ21" s="974"/>
      <c r="IIA21" s="974"/>
      <c r="IIB21" s="974"/>
      <c r="IIC21" s="974"/>
      <c r="IID21" s="974"/>
      <c r="IIE21" s="974"/>
      <c r="IIF21" s="974"/>
      <c r="IIG21" s="974"/>
      <c r="IIH21" s="974"/>
      <c r="III21" s="974"/>
      <c r="IIJ21" s="974"/>
      <c r="IIK21" s="974"/>
      <c r="IIL21" s="974"/>
      <c r="IIM21" s="974"/>
      <c r="IIN21" s="974"/>
      <c r="IIO21" s="974"/>
      <c r="IIP21" s="974"/>
      <c r="IIQ21" s="974"/>
      <c r="IIR21" s="974"/>
      <c r="IIS21" s="974"/>
      <c r="IIT21" s="974"/>
      <c r="IIU21" s="974"/>
      <c r="IIV21" s="974"/>
      <c r="IIW21" s="974"/>
      <c r="IIX21" s="974"/>
      <c r="IIY21" s="974"/>
      <c r="IIZ21" s="974"/>
      <c r="IJA21" s="974"/>
      <c r="IJB21" s="974"/>
      <c r="IJC21" s="974"/>
      <c r="IJD21" s="974"/>
      <c r="IJE21" s="974"/>
      <c r="IJF21" s="974"/>
      <c r="IJG21" s="974"/>
      <c r="IJH21" s="974"/>
      <c r="IJI21" s="974"/>
      <c r="IJJ21" s="974"/>
      <c r="IJK21" s="974"/>
      <c r="IJL21" s="974"/>
      <c r="IJM21" s="974"/>
      <c r="IJN21" s="974"/>
      <c r="IJO21" s="974"/>
      <c r="IJP21" s="974"/>
      <c r="IJQ21" s="974"/>
      <c r="IJR21" s="974"/>
      <c r="IJS21" s="974"/>
      <c r="IJT21" s="974"/>
      <c r="IJU21" s="974"/>
      <c r="IJV21" s="974"/>
      <c r="IJW21" s="974"/>
      <c r="IJX21" s="974"/>
      <c r="IJY21" s="974"/>
      <c r="IJZ21" s="974"/>
      <c r="IKA21" s="974"/>
      <c r="IKB21" s="974"/>
      <c r="IKC21" s="974"/>
      <c r="IKD21" s="974"/>
      <c r="IKE21" s="974"/>
      <c r="IKF21" s="974"/>
      <c r="IKG21" s="974"/>
      <c r="IKH21" s="974"/>
      <c r="IKI21" s="974"/>
      <c r="IKJ21" s="974"/>
      <c r="IKK21" s="974"/>
      <c r="IKL21" s="974"/>
      <c r="IKM21" s="974"/>
      <c r="IKN21" s="974"/>
      <c r="IKO21" s="974"/>
      <c r="IKP21" s="974"/>
      <c r="IKQ21" s="974"/>
      <c r="IKR21" s="974"/>
      <c r="IKS21" s="974"/>
      <c r="IKT21" s="974"/>
      <c r="IKU21" s="974"/>
      <c r="IKV21" s="974"/>
      <c r="IKW21" s="974"/>
      <c r="IKX21" s="974"/>
      <c r="IKY21" s="974"/>
      <c r="IKZ21" s="974"/>
      <c r="ILA21" s="974"/>
      <c r="ILB21" s="974"/>
      <c r="ILC21" s="974"/>
      <c r="ILD21" s="974"/>
      <c r="ILE21" s="974"/>
      <c r="ILF21" s="974"/>
      <c r="ILG21" s="974"/>
      <c r="ILH21" s="974"/>
      <c r="ILI21" s="974"/>
      <c r="ILJ21" s="974"/>
      <c r="ILK21" s="974"/>
      <c r="ILL21" s="974"/>
      <c r="ILM21" s="974"/>
      <c r="ILN21" s="974"/>
      <c r="ILO21" s="974"/>
      <c r="ILP21" s="974"/>
      <c r="ILQ21" s="974"/>
      <c r="ILR21" s="974"/>
      <c r="ILS21" s="974"/>
      <c r="ILT21" s="974"/>
      <c r="ILU21" s="974"/>
      <c r="ILV21" s="974"/>
      <c r="ILW21" s="974"/>
      <c r="ILX21" s="974"/>
      <c r="ILY21" s="974"/>
      <c r="ILZ21" s="974"/>
      <c r="IMA21" s="974"/>
      <c r="IMB21" s="974"/>
      <c r="IMC21" s="974"/>
      <c r="IMD21" s="974"/>
      <c r="IME21" s="974"/>
      <c r="IMF21" s="974"/>
      <c r="IMG21" s="974"/>
      <c r="IMH21" s="974"/>
      <c r="IMI21" s="974"/>
      <c r="IMJ21" s="974"/>
      <c r="IMK21" s="974"/>
      <c r="IML21" s="974"/>
      <c r="IMM21" s="974"/>
      <c r="IMN21" s="974"/>
      <c r="IMO21" s="974"/>
      <c r="IMP21" s="974"/>
      <c r="IMQ21" s="974"/>
      <c r="IMR21" s="974"/>
      <c r="IMS21" s="974"/>
      <c r="IMT21" s="974"/>
      <c r="IMU21" s="974"/>
      <c r="IMV21" s="974"/>
      <c r="IMW21" s="974"/>
      <c r="IMX21" s="974"/>
      <c r="IMY21" s="974"/>
      <c r="IMZ21" s="974"/>
      <c r="INA21" s="974"/>
      <c r="INB21" s="974"/>
      <c r="INC21" s="974"/>
      <c r="IND21" s="974"/>
      <c r="INE21" s="974"/>
      <c r="INF21" s="974"/>
      <c r="ING21" s="974"/>
      <c r="INH21" s="974"/>
      <c r="INI21" s="974"/>
      <c r="INJ21" s="974"/>
      <c r="INK21" s="974"/>
      <c r="INL21" s="974"/>
      <c r="INM21" s="974"/>
      <c r="INN21" s="974"/>
      <c r="INO21" s="974"/>
      <c r="INP21" s="974"/>
      <c r="INQ21" s="974"/>
      <c r="INR21" s="974"/>
      <c r="INS21" s="974"/>
      <c r="INT21" s="974"/>
      <c r="INU21" s="974"/>
      <c r="INV21" s="974"/>
      <c r="INW21" s="974"/>
      <c r="INX21" s="974"/>
      <c r="INY21" s="974"/>
      <c r="INZ21" s="974"/>
      <c r="IOA21" s="974"/>
      <c r="IOB21" s="974"/>
      <c r="IOC21" s="974"/>
      <c r="IOD21" s="974"/>
      <c r="IOE21" s="974"/>
      <c r="IOF21" s="974"/>
      <c r="IOG21" s="974"/>
      <c r="IOH21" s="974"/>
      <c r="IOI21" s="974"/>
      <c r="IOJ21" s="974"/>
      <c r="IOK21" s="974"/>
      <c r="IOL21" s="974"/>
      <c r="IOM21" s="974"/>
      <c r="ION21" s="974"/>
      <c r="IOO21" s="974"/>
      <c r="IOP21" s="974"/>
      <c r="IOQ21" s="974"/>
      <c r="IOR21" s="974"/>
      <c r="IOS21" s="974"/>
      <c r="IOT21" s="974"/>
      <c r="IOU21" s="974"/>
      <c r="IOV21" s="974"/>
      <c r="IOW21" s="974"/>
      <c r="IOX21" s="974"/>
      <c r="IOY21" s="974"/>
      <c r="IOZ21" s="974"/>
      <c r="IPA21" s="974"/>
      <c r="IPB21" s="974"/>
      <c r="IPC21" s="974"/>
      <c r="IPD21" s="974"/>
      <c r="IPE21" s="974"/>
      <c r="IPF21" s="974"/>
      <c r="IPG21" s="974"/>
      <c r="IPH21" s="974"/>
      <c r="IPI21" s="974"/>
      <c r="IPJ21" s="974"/>
      <c r="IPK21" s="974"/>
      <c r="IPL21" s="974"/>
      <c r="IPM21" s="974"/>
      <c r="IPN21" s="974"/>
      <c r="IPO21" s="974"/>
      <c r="IPP21" s="974"/>
      <c r="IPQ21" s="974"/>
      <c r="IPR21" s="974"/>
      <c r="IPS21" s="974"/>
      <c r="IPT21" s="974"/>
      <c r="IPU21" s="974"/>
      <c r="IPV21" s="974"/>
      <c r="IPW21" s="974"/>
      <c r="IPX21" s="974"/>
      <c r="IPY21" s="974"/>
      <c r="IPZ21" s="974"/>
      <c r="IQA21" s="974"/>
      <c r="IQB21" s="974"/>
      <c r="IQC21" s="974"/>
      <c r="IQD21" s="974"/>
      <c r="IQE21" s="974"/>
      <c r="IQF21" s="974"/>
      <c r="IQG21" s="974"/>
      <c r="IQH21" s="974"/>
      <c r="IQI21" s="974"/>
      <c r="IQJ21" s="974"/>
      <c r="IQK21" s="974"/>
      <c r="IQL21" s="974"/>
      <c r="IQM21" s="974"/>
      <c r="IQN21" s="974"/>
      <c r="IQO21" s="974"/>
      <c r="IQP21" s="974"/>
      <c r="IQQ21" s="974"/>
      <c r="IQR21" s="974"/>
      <c r="IQS21" s="974"/>
      <c r="IQT21" s="974"/>
      <c r="IQU21" s="974"/>
      <c r="IQV21" s="974"/>
      <c r="IQW21" s="974"/>
      <c r="IQX21" s="974"/>
      <c r="IQY21" s="974"/>
      <c r="IQZ21" s="974"/>
      <c r="IRA21" s="974"/>
      <c r="IRB21" s="974"/>
      <c r="IRC21" s="974"/>
      <c r="IRD21" s="974"/>
      <c r="IRE21" s="974"/>
      <c r="IRF21" s="974"/>
      <c r="IRG21" s="974"/>
      <c r="IRH21" s="974"/>
      <c r="IRI21" s="974"/>
      <c r="IRJ21" s="974"/>
      <c r="IRK21" s="974"/>
      <c r="IRL21" s="974"/>
      <c r="IRM21" s="974"/>
      <c r="IRN21" s="974"/>
      <c r="IRO21" s="974"/>
      <c r="IRP21" s="974"/>
      <c r="IRQ21" s="974"/>
      <c r="IRR21" s="974"/>
      <c r="IRS21" s="974"/>
      <c r="IRT21" s="974"/>
      <c r="IRU21" s="974"/>
      <c r="IRV21" s="974"/>
      <c r="IRW21" s="974"/>
      <c r="IRX21" s="974"/>
      <c r="IRY21" s="974"/>
      <c r="IRZ21" s="974"/>
      <c r="ISA21" s="974"/>
      <c r="ISB21" s="974"/>
      <c r="ISC21" s="974"/>
      <c r="ISD21" s="974"/>
      <c r="ISE21" s="974"/>
      <c r="ISF21" s="974"/>
      <c r="ISG21" s="974"/>
      <c r="ISH21" s="974"/>
      <c r="ISI21" s="974"/>
      <c r="ISJ21" s="974"/>
      <c r="ISK21" s="974"/>
      <c r="ISL21" s="974"/>
      <c r="ISM21" s="974"/>
      <c r="ISN21" s="974"/>
      <c r="ISO21" s="974"/>
      <c r="ISP21" s="974"/>
      <c r="ISQ21" s="974"/>
      <c r="ISR21" s="974"/>
      <c r="ISS21" s="974"/>
      <c r="IST21" s="974"/>
      <c r="ISU21" s="974"/>
      <c r="ISV21" s="974"/>
      <c r="ISW21" s="974"/>
      <c r="ISX21" s="974"/>
      <c r="ISY21" s="974"/>
      <c r="ISZ21" s="974"/>
      <c r="ITA21" s="974"/>
      <c r="ITB21" s="974"/>
      <c r="ITC21" s="974"/>
      <c r="ITD21" s="974"/>
      <c r="ITE21" s="974"/>
      <c r="ITF21" s="974"/>
      <c r="ITG21" s="974"/>
      <c r="ITH21" s="974"/>
      <c r="ITI21" s="974"/>
      <c r="ITJ21" s="974"/>
      <c r="ITK21" s="974"/>
      <c r="ITL21" s="974"/>
      <c r="ITM21" s="974"/>
      <c r="ITN21" s="974"/>
      <c r="ITO21" s="974"/>
      <c r="ITP21" s="974"/>
      <c r="ITQ21" s="974"/>
      <c r="ITR21" s="974"/>
      <c r="ITS21" s="974"/>
      <c r="ITT21" s="974"/>
      <c r="ITU21" s="974"/>
      <c r="ITV21" s="974"/>
      <c r="ITW21" s="974"/>
      <c r="ITX21" s="974"/>
      <c r="ITY21" s="974"/>
      <c r="ITZ21" s="974"/>
      <c r="IUA21" s="974"/>
      <c r="IUB21" s="974"/>
      <c r="IUC21" s="974"/>
      <c r="IUD21" s="974"/>
      <c r="IUE21" s="974"/>
      <c r="IUF21" s="974"/>
      <c r="IUG21" s="974"/>
      <c r="IUH21" s="974"/>
      <c r="IUI21" s="974"/>
      <c r="IUJ21" s="974"/>
      <c r="IUK21" s="974"/>
      <c r="IUL21" s="974"/>
      <c r="IUM21" s="974"/>
      <c r="IUN21" s="974"/>
      <c r="IUO21" s="974"/>
      <c r="IUP21" s="974"/>
      <c r="IUQ21" s="974"/>
      <c r="IUR21" s="974"/>
      <c r="IUS21" s="974"/>
      <c r="IUT21" s="974"/>
      <c r="IUU21" s="974"/>
      <c r="IUV21" s="974"/>
      <c r="IUW21" s="974"/>
      <c r="IUX21" s="974"/>
      <c r="IUY21" s="974"/>
      <c r="IUZ21" s="974"/>
      <c r="IVA21" s="974"/>
      <c r="IVB21" s="974"/>
      <c r="IVC21" s="974"/>
      <c r="IVD21" s="974"/>
      <c r="IVE21" s="974"/>
      <c r="IVF21" s="974"/>
      <c r="IVG21" s="974"/>
      <c r="IVH21" s="974"/>
      <c r="IVI21" s="974"/>
      <c r="IVJ21" s="974"/>
      <c r="IVK21" s="974"/>
      <c r="IVL21" s="974"/>
      <c r="IVM21" s="974"/>
      <c r="IVN21" s="974"/>
      <c r="IVO21" s="974"/>
      <c r="IVP21" s="974"/>
      <c r="IVQ21" s="974"/>
      <c r="IVR21" s="974"/>
      <c r="IVS21" s="974"/>
      <c r="IVT21" s="974"/>
      <c r="IVU21" s="974"/>
      <c r="IVV21" s="974"/>
      <c r="IVW21" s="974"/>
      <c r="IVX21" s="974"/>
      <c r="IVY21" s="974"/>
      <c r="IVZ21" s="974"/>
      <c r="IWA21" s="974"/>
      <c r="IWB21" s="974"/>
      <c r="IWC21" s="974"/>
      <c r="IWD21" s="974"/>
      <c r="IWE21" s="974"/>
      <c r="IWF21" s="974"/>
      <c r="IWG21" s="974"/>
      <c r="IWH21" s="974"/>
      <c r="IWI21" s="974"/>
      <c r="IWJ21" s="974"/>
      <c r="IWK21" s="974"/>
      <c r="IWL21" s="974"/>
      <c r="IWM21" s="974"/>
      <c r="IWN21" s="974"/>
      <c r="IWO21" s="974"/>
      <c r="IWP21" s="974"/>
      <c r="IWQ21" s="974"/>
      <c r="IWR21" s="974"/>
      <c r="IWS21" s="974"/>
      <c r="IWT21" s="974"/>
      <c r="IWU21" s="974"/>
      <c r="IWV21" s="974"/>
      <c r="IWW21" s="974"/>
      <c r="IWX21" s="974"/>
      <c r="IWY21" s="974"/>
      <c r="IWZ21" s="974"/>
      <c r="IXA21" s="974"/>
      <c r="IXB21" s="974"/>
      <c r="IXC21" s="974"/>
      <c r="IXD21" s="974"/>
      <c r="IXE21" s="974"/>
      <c r="IXF21" s="974"/>
      <c r="IXG21" s="974"/>
      <c r="IXH21" s="974"/>
      <c r="IXI21" s="974"/>
      <c r="IXJ21" s="974"/>
      <c r="IXK21" s="974"/>
      <c r="IXL21" s="974"/>
      <c r="IXM21" s="974"/>
      <c r="IXN21" s="974"/>
      <c r="IXO21" s="974"/>
      <c r="IXP21" s="974"/>
      <c r="IXQ21" s="974"/>
      <c r="IXR21" s="974"/>
      <c r="IXS21" s="974"/>
      <c r="IXT21" s="974"/>
      <c r="IXU21" s="974"/>
      <c r="IXV21" s="974"/>
      <c r="IXW21" s="974"/>
      <c r="IXX21" s="974"/>
      <c r="IXY21" s="974"/>
      <c r="IXZ21" s="974"/>
      <c r="IYA21" s="974"/>
      <c r="IYB21" s="974"/>
      <c r="IYC21" s="974"/>
      <c r="IYD21" s="974"/>
      <c r="IYE21" s="974"/>
      <c r="IYF21" s="974"/>
      <c r="IYG21" s="974"/>
      <c r="IYH21" s="974"/>
      <c r="IYI21" s="974"/>
      <c r="IYJ21" s="974"/>
      <c r="IYK21" s="974"/>
      <c r="IYL21" s="974"/>
      <c r="IYM21" s="974"/>
      <c r="IYN21" s="974"/>
      <c r="IYO21" s="974"/>
      <c r="IYP21" s="974"/>
      <c r="IYQ21" s="974"/>
      <c r="IYR21" s="974"/>
      <c r="IYS21" s="974"/>
      <c r="IYT21" s="974"/>
      <c r="IYU21" s="974"/>
      <c r="IYV21" s="974"/>
      <c r="IYW21" s="974"/>
      <c r="IYX21" s="974"/>
      <c r="IYY21" s="974"/>
      <c r="IYZ21" s="974"/>
      <c r="IZA21" s="974"/>
      <c r="IZB21" s="974"/>
      <c r="IZC21" s="974"/>
      <c r="IZD21" s="974"/>
      <c r="IZE21" s="974"/>
      <c r="IZF21" s="974"/>
      <c r="IZG21" s="974"/>
      <c r="IZH21" s="974"/>
      <c r="IZI21" s="974"/>
      <c r="IZJ21" s="974"/>
      <c r="IZK21" s="974"/>
      <c r="IZL21" s="974"/>
      <c r="IZM21" s="974"/>
      <c r="IZN21" s="974"/>
      <c r="IZO21" s="974"/>
      <c r="IZP21" s="974"/>
      <c r="IZQ21" s="974"/>
      <c r="IZR21" s="974"/>
      <c r="IZS21" s="974"/>
      <c r="IZT21" s="974"/>
      <c r="IZU21" s="974"/>
      <c r="IZV21" s="974"/>
      <c r="IZW21" s="974"/>
      <c r="IZX21" s="974"/>
      <c r="IZY21" s="974"/>
      <c r="IZZ21" s="974"/>
      <c r="JAA21" s="974"/>
      <c r="JAB21" s="974"/>
      <c r="JAC21" s="974"/>
      <c r="JAD21" s="974"/>
      <c r="JAE21" s="974"/>
      <c r="JAF21" s="974"/>
      <c r="JAG21" s="974"/>
      <c r="JAH21" s="974"/>
      <c r="JAI21" s="974"/>
      <c r="JAJ21" s="974"/>
      <c r="JAK21" s="974"/>
      <c r="JAL21" s="974"/>
      <c r="JAM21" s="974"/>
      <c r="JAN21" s="974"/>
      <c r="JAO21" s="974"/>
      <c r="JAP21" s="974"/>
      <c r="JAQ21" s="974"/>
      <c r="JAR21" s="974"/>
      <c r="JAS21" s="974"/>
      <c r="JAT21" s="974"/>
      <c r="JAU21" s="974"/>
      <c r="JAV21" s="974"/>
      <c r="JAW21" s="974"/>
      <c r="JAX21" s="974"/>
      <c r="JAY21" s="974"/>
      <c r="JAZ21" s="974"/>
      <c r="JBA21" s="974"/>
      <c r="JBB21" s="974"/>
      <c r="JBC21" s="974"/>
      <c r="JBD21" s="974"/>
      <c r="JBE21" s="974"/>
      <c r="JBF21" s="974"/>
      <c r="JBG21" s="974"/>
      <c r="JBH21" s="974"/>
      <c r="JBI21" s="974"/>
      <c r="JBJ21" s="974"/>
      <c r="JBK21" s="974"/>
      <c r="JBL21" s="974"/>
      <c r="JBM21" s="974"/>
      <c r="JBN21" s="974"/>
      <c r="JBO21" s="974"/>
      <c r="JBP21" s="974"/>
      <c r="JBQ21" s="974"/>
      <c r="JBR21" s="974"/>
      <c r="JBS21" s="974"/>
      <c r="JBT21" s="974"/>
      <c r="JBU21" s="974"/>
      <c r="JBV21" s="974"/>
      <c r="JBW21" s="974"/>
      <c r="JBX21" s="974"/>
      <c r="JBY21" s="974"/>
      <c r="JBZ21" s="974"/>
      <c r="JCA21" s="974"/>
      <c r="JCB21" s="974"/>
      <c r="JCC21" s="974"/>
      <c r="JCD21" s="974"/>
      <c r="JCE21" s="974"/>
      <c r="JCF21" s="974"/>
      <c r="JCG21" s="974"/>
      <c r="JCH21" s="974"/>
      <c r="JCI21" s="974"/>
      <c r="JCJ21" s="974"/>
      <c r="JCK21" s="974"/>
      <c r="JCL21" s="974"/>
      <c r="JCM21" s="974"/>
      <c r="JCN21" s="974"/>
      <c r="JCO21" s="974"/>
      <c r="JCP21" s="974"/>
      <c r="JCQ21" s="974"/>
      <c r="JCR21" s="974"/>
      <c r="JCS21" s="974"/>
      <c r="JCT21" s="974"/>
      <c r="JCU21" s="974"/>
      <c r="JCV21" s="974"/>
      <c r="JCW21" s="974"/>
      <c r="JCX21" s="974"/>
      <c r="JCY21" s="974"/>
      <c r="JCZ21" s="974"/>
      <c r="JDA21" s="974"/>
      <c r="JDB21" s="974"/>
      <c r="JDC21" s="974"/>
      <c r="JDD21" s="974"/>
      <c r="JDE21" s="974"/>
      <c r="JDF21" s="974"/>
      <c r="JDG21" s="974"/>
      <c r="JDH21" s="974"/>
      <c r="JDI21" s="974"/>
      <c r="JDJ21" s="974"/>
      <c r="JDK21" s="974"/>
      <c r="JDL21" s="974"/>
      <c r="JDM21" s="974"/>
      <c r="JDN21" s="974"/>
      <c r="JDO21" s="974"/>
      <c r="JDP21" s="974"/>
      <c r="JDQ21" s="974"/>
      <c r="JDR21" s="974"/>
      <c r="JDS21" s="974"/>
      <c r="JDT21" s="974"/>
      <c r="JDU21" s="974"/>
      <c r="JDV21" s="974"/>
      <c r="JDW21" s="974"/>
      <c r="JDX21" s="974"/>
      <c r="JDY21" s="974"/>
      <c r="JDZ21" s="974"/>
      <c r="JEA21" s="974"/>
      <c r="JEB21" s="974"/>
      <c r="JEC21" s="974"/>
      <c r="JED21" s="974"/>
      <c r="JEE21" s="974"/>
      <c r="JEF21" s="974"/>
      <c r="JEG21" s="974"/>
      <c r="JEH21" s="974"/>
      <c r="JEI21" s="974"/>
      <c r="JEJ21" s="974"/>
      <c r="JEK21" s="974"/>
      <c r="JEL21" s="974"/>
      <c r="JEM21" s="974"/>
      <c r="JEN21" s="974"/>
      <c r="JEO21" s="974"/>
      <c r="JEP21" s="974"/>
      <c r="JEQ21" s="974"/>
      <c r="JER21" s="974"/>
      <c r="JES21" s="974"/>
      <c r="JET21" s="974"/>
      <c r="JEU21" s="974"/>
      <c r="JEV21" s="974"/>
      <c r="JEW21" s="974"/>
      <c r="JEX21" s="974"/>
      <c r="JEY21" s="974"/>
      <c r="JEZ21" s="974"/>
      <c r="JFA21" s="974"/>
      <c r="JFB21" s="974"/>
      <c r="JFC21" s="974"/>
      <c r="JFD21" s="974"/>
      <c r="JFE21" s="974"/>
      <c r="JFF21" s="974"/>
      <c r="JFG21" s="974"/>
      <c r="JFH21" s="974"/>
      <c r="JFI21" s="974"/>
      <c r="JFJ21" s="974"/>
      <c r="JFK21" s="974"/>
      <c r="JFL21" s="974"/>
      <c r="JFM21" s="974"/>
      <c r="JFN21" s="974"/>
      <c r="JFO21" s="974"/>
      <c r="JFP21" s="974"/>
      <c r="JFQ21" s="974"/>
      <c r="JFR21" s="974"/>
      <c r="JFS21" s="974"/>
      <c r="JFT21" s="974"/>
      <c r="JFU21" s="974"/>
      <c r="JFV21" s="974"/>
      <c r="JFW21" s="974"/>
      <c r="JFX21" s="974"/>
      <c r="JFY21" s="974"/>
      <c r="JFZ21" s="974"/>
      <c r="JGA21" s="974"/>
      <c r="JGB21" s="974"/>
      <c r="JGC21" s="974"/>
      <c r="JGD21" s="974"/>
      <c r="JGE21" s="974"/>
      <c r="JGF21" s="974"/>
      <c r="JGG21" s="974"/>
      <c r="JGH21" s="974"/>
      <c r="JGI21" s="974"/>
      <c r="JGJ21" s="974"/>
      <c r="JGK21" s="974"/>
      <c r="JGL21" s="974"/>
      <c r="JGM21" s="974"/>
      <c r="JGN21" s="974"/>
      <c r="JGO21" s="974"/>
      <c r="JGP21" s="974"/>
      <c r="JGQ21" s="974"/>
      <c r="JGR21" s="974"/>
      <c r="JGS21" s="974"/>
      <c r="JGT21" s="974"/>
      <c r="JGU21" s="974"/>
      <c r="JGV21" s="974"/>
      <c r="JGW21" s="974"/>
      <c r="JGX21" s="974"/>
      <c r="JGY21" s="974"/>
      <c r="JGZ21" s="974"/>
      <c r="JHA21" s="974"/>
      <c r="JHB21" s="974"/>
      <c r="JHC21" s="974"/>
      <c r="JHD21" s="974"/>
      <c r="JHE21" s="974"/>
      <c r="JHF21" s="974"/>
      <c r="JHG21" s="974"/>
      <c r="JHH21" s="974"/>
      <c r="JHI21" s="974"/>
      <c r="JHJ21" s="974"/>
      <c r="JHK21" s="974"/>
      <c r="JHL21" s="974"/>
      <c r="JHM21" s="974"/>
      <c r="JHN21" s="974"/>
      <c r="JHO21" s="974"/>
      <c r="JHP21" s="974"/>
      <c r="JHQ21" s="974"/>
      <c r="JHR21" s="974"/>
      <c r="JHS21" s="974"/>
      <c r="JHT21" s="974"/>
      <c r="JHU21" s="974"/>
      <c r="JHV21" s="974"/>
      <c r="JHW21" s="974"/>
      <c r="JHX21" s="974"/>
      <c r="JHY21" s="974"/>
      <c r="JHZ21" s="974"/>
      <c r="JIA21" s="974"/>
      <c r="JIB21" s="974"/>
      <c r="JIC21" s="974"/>
      <c r="JID21" s="974"/>
      <c r="JIE21" s="974"/>
      <c r="JIF21" s="974"/>
      <c r="JIG21" s="974"/>
      <c r="JIH21" s="974"/>
      <c r="JII21" s="974"/>
      <c r="JIJ21" s="974"/>
      <c r="JIK21" s="974"/>
      <c r="JIL21" s="974"/>
      <c r="JIM21" s="974"/>
      <c r="JIN21" s="974"/>
      <c r="JIO21" s="974"/>
      <c r="JIP21" s="974"/>
      <c r="JIQ21" s="974"/>
      <c r="JIR21" s="974"/>
      <c r="JIS21" s="974"/>
      <c r="JIT21" s="974"/>
      <c r="JIU21" s="974"/>
      <c r="JIV21" s="974"/>
      <c r="JIW21" s="974"/>
      <c r="JIX21" s="974"/>
      <c r="JIY21" s="974"/>
      <c r="JIZ21" s="974"/>
      <c r="JJA21" s="974"/>
      <c r="JJB21" s="974"/>
      <c r="JJC21" s="974"/>
      <c r="JJD21" s="974"/>
      <c r="JJE21" s="974"/>
      <c r="JJF21" s="974"/>
      <c r="JJG21" s="974"/>
      <c r="JJH21" s="974"/>
      <c r="JJI21" s="974"/>
      <c r="JJJ21" s="974"/>
      <c r="JJK21" s="974"/>
      <c r="JJL21" s="974"/>
      <c r="JJM21" s="974"/>
      <c r="JJN21" s="974"/>
      <c r="JJO21" s="974"/>
      <c r="JJP21" s="974"/>
      <c r="JJQ21" s="974"/>
      <c r="JJR21" s="974"/>
      <c r="JJS21" s="974"/>
      <c r="JJT21" s="974"/>
      <c r="JJU21" s="974"/>
      <c r="JJV21" s="974"/>
      <c r="JJW21" s="974"/>
      <c r="JJX21" s="974"/>
      <c r="JJY21" s="974"/>
      <c r="JJZ21" s="974"/>
      <c r="JKA21" s="974"/>
      <c r="JKB21" s="974"/>
      <c r="JKC21" s="974"/>
      <c r="JKD21" s="974"/>
      <c r="JKE21" s="974"/>
      <c r="JKF21" s="974"/>
      <c r="JKG21" s="974"/>
      <c r="JKH21" s="974"/>
      <c r="JKI21" s="974"/>
      <c r="JKJ21" s="974"/>
      <c r="JKK21" s="974"/>
      <c r="JKL21" s="974"/>
      <c r="JKM21" s="974"/>
      <c r="JKN21" s="974"/>
      <c r="JKO21" s="974"/>
      <c r="JKP21" s="974"/>
      <c r="JKQ21" s="974"/>
      <c r="JKR21" s="974"/>
      <c r="JKS21" s="974"/>
      <c r="JKT21" s="974"/>
      <c r="JKU21" s="974"/>
      <c r="JKV21" s="974"/>
      <c r="JKW21" s="974"/>
      <c r="JKX21" s="974"/>
      <c r="JKY21" s="974"/>
      <c r="JKZ21" s="974"/>
      <c r="JLA21" s="974"/>
      <c r="JLB21" s="974"/>
      <c r="JLC21" s="974"/>
      <c r="JLD21" s="974"/>
      <c r="JLE21" s="974"/>
      <c r="JLF21" s="974"/>
      <c r="JLG21" s="974"/>
      <c r="JLH21" s="974"/>
      <c r="JLI21" s="974"/>
      <c r="JLJ21" s="974"/>
      <c r="JLK21" s="974"/>
      <c r="JLL21" s="974"/>
      <c r="JLM21" s="974"/>
      <c r="JLN21" s="974"/>
      <c r="JLO21" s="974"/>
      <c r="JLP21" s="974"/>
      <c r="JLQ21" s="974"/>
      <c r="JLR21" s="974"/>
      <c r="JLS21" s="974"/>
      <c r="JLT21" s="974"/>
      <c r="JLU21" s="974"/>
      <c r="JLV21" s="974"/>
      <c r="JLW21" s="974"/>
      <c r="JLX21" s="974"/>
      <c r="JLY21" s="974"/>
      <c r="JLZ21" s="974"/>
      <c r="JMA21" s="974"/>
      <c r="JMB21" s="974"/>
      <c r="JMC21" s="974"/>
      <c r="JMD21" s="974"/>
      <c r="JME21" s="974"/>
      <c r="JMF21" s="974"/>
      <c r="JMG21" s="974"/>
      <c r="JMH21" s="974"/>
      <c r="JMI21" s="974"/>
      <c r="JMJ21" s="974"/>
      <c r="JMK21" s="974"/>
      <c r="JML21" s="974"/>
      <c r="JMM21" s="974"/>
      <c r="JMN21" s="974"/>
      <c r="JMO21" s="974"/>
      <c r="JMP21" s="974"/>
      <c r="JMQ21" s="974"/>
      <c r="JMR21" s="974"/>
      <c r="JMS21" s="974"/>
      <c r="JMT21" s="974"/>
      <c r="JMU21" s="974"/>
      <c r="JMV21" s="974"/>
      <c r="JMW21" s="974"/>
      <c r="JMX21" s="974"/>
      <c r="JMY21" s="974"/>
      <c r="JMZ21" s="974"/>
      <c r="JNA21" s="974"/>
      <c r="JNB21" s="974"/>
      <c r="JNC21" s="974"/>
      <c r="JND21" s="974"/>
      <c r="JNE21" s="974"/>
      <c r="JNF21" s="974"/>
      <c r="JNG21" s="974"/>
      <c r="JNH21" s="974"/>
      <c r="JNI21" s="974"/>
      <c r="JNJ21" s="974"/>
      <c r="JNK21" s="974"/>
      <c r="JNL21" s="974"/>
      <c r="JNM21" s="974"/>
      <c r="JNN21" s="974"/>
      <c r="JNO21" s="974"/>
      <c r="JNP21" s="974"/>
      <c r="JNQ21" s="974"/>
      <c r="JNR21" s="974"/>
      <c r="JNS21" s="974"/>
      <c r="JNT21" s="974"/>
      <c r="JNU21" s="974"/>
      <c r="JNV21" s="974"/>
      <c r="JNW21" s="974"/>
      <c r="JNX21" s="974"/>
      <c r="JNY21" s="974"/>
      <c r="JNZ21" s="974"/>
      <c r="JOA21" s="974"/>
      <c r="JOB21" s="974"/>
      <c r="JOC21" s="974"/>
      <c r="JOD21" s="974"/>
      <c r="JOE21" s="974"/>
      <c r="JOF21" s="974"/>
      <c r="JOG21" s="974"/>
      <c r="JOH21" s="974"/>
      <c r="JOI21" s="974"/>
      <c r="JOJ21" s="974"/>
      <c r="JOK21" s="974"/>
      <c r="JOL21" s="974"/>
      <c r="JOM21" s="974"/>
      <c r="JON21" s="974"/>
      <c r="JOO21" s="974"/>
      <c r="JOP21" s="974"/>
      <c r="JOQ21" s="974"/>
      <c r="JOR21" s="974"/>
      <c r="JOS21" s="974"/>
      <c r="JOT21" s="974"/>
      <c r="JOU21" s="974"/>
      <c r="JOV21" s="974"/>
      <c r="JOW21" s="974"/>
      <c r="JOX21" s="974"/>
      <c r="JOY21" s="974"/>
      <c r="JOZ21" s="974"/>
      <c r="JPA21" s="974"/>
      <c r="JPB21" s="974"/>
      <c r="JPC21" s="974"/>
      <c r="JPD21" s="974"/>
      <c r="JPE21" s="974"/>
      <c r="JPF21" s="974"/>
      <c r="JPG21" s="974"/>
      <c r="JPH21" s="974"/>
      <c r="JPI21" s="974"/>
      <c r="JPJ21" s="974"/>
      <c r="JPK21" s="974"/>
      <c r="JPL21" s="974"/>
      <c r="JPM21" s="974"/>
      <c r="JPN21" s="974"/>
      <c r="JPO21" s="974"/>
      <c r="JPP21" s="974"/>
      <c r="JPQ21" s="974"/>
      <c r="JPR21" s="974"/>
      <c r="JPS21" s="974"/>
      <c r="JPT21" s="974"/>
      <c r="JPU21" s="974"/>
      <c r="JPV21" s="974"/>
      <c r="JPW21" s="974"/>
      <c r="JPX21" s="974"/>
      <c r="JPY21" s="974"/>
      <c r="JPZ21" s="974"/>
      <c r="JQA21" s="974"/>
      <c r="JQB21" s="974"/>
      <c r="JQC21" s="974"/>
      <c r="JQD21" s="974"/>
      <c r="JQE21" s="974"/>
      <c r="JQF21" s="974"/>
      <c r="JQG21" s="974"/>
      <c r="JQH21" s="974"/>
      <c r="JQI21" s="974"/>
      <c r="JQJ21" s="974"/>
      <c r="JQK21" s="974"/>
      <c r="JQL21" s="974"/>
      <c r="JQM21" s="974"/>
      <c r="JQN21" s="974"/>
      <c r="JQO21" s="974"/>
      <c r="JQP21" s="974"/>
      <c r="JQQ21" s="974"/>
      <c r="JQR21" s="974"/>
      <c r="JQS21" s="974"/>
      <c r="JQT21" s="974"/>
      <c r="JQU21" s="974"/>
      <c r="JQV21" s="974"/>
      <c r="JQW21" s="974"/>
      <c r="JQX21" s="974"/>
      <c r="JQY21" s="974"/>
      <c r="JQZ21" s="974"/>
      <c r="JRA21" s="974"/>
      <c r="JRB21" s="974"/>
      <c r="JRC21" s="974"/>
      <c r="JRD21" s="974"/>
      <c r="JRE21" s="974"/>
      <c r="JRF21" s="974"/>
      <c r="JRG21" s="974"/>
      <c r="JRH21" s="974"/>
      <c r="JRI21" s="974"/>
      <c r="JRJ21" s="974"/>
      <c r="JRK21" s="974"/>
      <c r="JRL21" s="974"/>
      <c r="JRM21" s="974"/>
      <c r="JRN21" s="974"/>
      <c r="JRO21" s="974"/>
      <c r="JRP21" s="974"/>
      <c r="JRQ21" s="974"/>
      <c r="JRR21" s="974"/>
      <c r="JRS21" s="974"/>
      <c r="JRT21" s="974"/>
      <c r="JRU21" s="974"/>
      <c r="JRV21" s="974"/>
      <c r="JRW21" s="974"/>
      <c r="JRX21" s="974"/>
      <c r="JRY21" s="974"/>
      <c r="JRZ21" s="974"/>
      <c r="JSA21" s="974"/>
      <c r="JSB21" s="974"/>
      <c r="JSC21" s="974"/>
      <c r="JSD21" s="974"/>
      <c r="JSE21" s="974"/>
      <c r="JSF21" s="974"/>
      <c r="JSG21" s="974"/>
      <c r="JSH21" s="974"/>
      <c r="JSI21" s="974"/>
      <c r="JSJ21" s="974"/>
      <c r="JSK21" s="974"/>
      <c r="JSL21" s="974"/>
      <c r="JSM21" s="974"/>
      <c r="JSN21" s="974"/>
      <c r="JSO21" s="974"/>
      <c r="JSP21" s="974"/>
      <c r="JSQ21" s="974"/>
      <c r="JSR21" s="974"/>
      <c r="JSS21" s="974"/>
      <c r="JST21" s="974"/>
      <c r="JSU21" s="974"/>
      <c r="JSV21" s="974"/>
      <c r="JSW21" s="974"/>
      <c r="JSX21" s="974"/>
      <c r="JSY21" s="974"/>
      <c r="JSZ21" s="974"/>
      <c r="JTA21" s="974"/>
      <c r="JTB21" s="974"/>
      <c r="JTC21" s="974"/>
      <c r="JTD21" s="974"/>
      <c r="JTE21" s="974"/>
      <c r="JTF21" s="974"/>
      <c r="JTG21" s="974"/>
      <c r="JTH21" s="974"/>
      <c r="JTI21" s="974"/>
      <c r="JTJ21" s="974"/>
      <c r="JTK21" s="974"/>
      <c r="JTL21" s="974"/>
      <c r="JTM21" s="974"/>
      <c r="JTN21" s="974"/>
      <c r="JTO21" s="974"/>
      <c r="JTP21" s="974"/>
      <c r="JTQ21" s="974"/>
      <c r="JTR21" s="974"/>
      <c r="JTS21" s="974"/>
      <c r="JTT21" s="974"/>
      <c r="JTU21" s="974"/>
      <c r="JTV21" s="974"/>
      <c r="JTW21" s="974"/>
      <c r="JTX21" s="974"/>
      <c r="JTY21" s="974"/>
      <c r="JTZ21" s="974"/>
      <c r="JUA21" s="974"/>
      <c r="JUB21" s="974"/>
      <c r="JUC21" s="974"/>
      <c r="JUD21" s="974"/>
      <c r="JUE21" s="974"/>
      <c r="JUF21" s="974"/>
      <c r="JUG21" s="974"/>
      <c r="JUH21" s="974"/>
      <c r="JUI21" s="974"/>
      <c r="JUJ21" s="974"/>
      <c r="JUK21" s="974"/>
      <c r="JUL21" s="974"/>
      <c r="JUM21" s="974"/>
      <c r="JUN21" s="974"/>
      <c r="JUO21" s="974"/>
      <c r="JUP21" s="974"/>
      <c r="JUQ21" s="974"/>
      <c r="JUR21" s="974"/>
      <c r="JUS21" s="974"/>
      <c r="JUT21" s="974"/>
      <c r="JUU21" s="974"/>
      <c r="JUV21" s="974"/>
      <c r="JUW21" s="974"/>
      <c r="JUX21" s="974"/>
      <c r="JUY21" s="974"/>
      <c r="JUZ21" s="974"/>
      <c r="JVA21" s="974"/>
      <c r="JVB21" s="974"/>
      <c r="JVC21" s="974"/>
      <c r="JVD21" s="974"/>
      <c r="JVE21" s="974"/>
      <c r="JVF21" s="974"/>
      <c r="JVG21" s="974"/>
      <c r="JVH21" s="974"/>
      <c r="JVI21" s="974"/>
      <c r="JVJ21" s="974"/>
      <c r="JVK21" s="974"/>
      <c r="JVL21" s="974"/>
      <c r="JVM21" s="974"/>
      <c r="JVN21" s="974"/>
      <c r="JVO21" s="974"/>
      <c r="JVP21" s="974"/>
      <c r="JVQ21" s="974"/>
      <c r="JVR21" s="974"/>
      <c r="JVS21" s="974"/>
      <c r="JVT21" s="974"/>
      <c r="JVU21" s="974"/>
      <c r="JVV21" s="974"/>
      <c r="JVW21" s="974"/>
      <c r="JVX21" s="974"/>
      <c r="JVY21" s="974"/>
      <c r="JVZ21" s="974"/>
      <c r="JWA21" s="974"/>
      <c r="JWB21" s="974"/>
      <c r="JWC21" s="974"/>
      <c r="JWD21" s="974"/>
      <c r="JWE21" s="974"/>
      <c r="JWF21" s="974"/>
      <c r="JWG21" s="974"/>
      <c r="JWH21" s="974"/>
      <c r="JWI21" s="974"/>
      <c r="JWJ21" s="974"/>
      <c r="JWK21" s="974"/>
      <c r="JWL21" s="974"/>
      <c r="JWM21" s="974"/>
      <c r="JWN21" s="974"/>
      <c r="JWO21" s="974"/>
      <c r="JWP21" s="974"/>
      <c r="JWQ21" s="974"/>
      <c r="JWR21" s="974"/>
      <c r="JWS21" s="974"/>
      <c r="JWT21" s="974"/>
      <c r="JWU21" s="974"/>
      <c r="JWV21" s="974"/>
      <c r="JWW21" s="974"/>
      <c r="JWX21" s="974"/>
      <c r="JWY21" s="974"/>
      <c r="JWZ21" s="974"/>
      <c r="JXA21" s="974"/>
      <c r="JXB21" s="974"/>
      <c r="JXC21" s="974"/>
      <c r="JXD21" s="974"/>
      <c r="JXE21" s="974"/>
      <c r="JXF21" s="974"/>
      <c r="JXG21" s="974"/>
      <c r="JXH21" s="974"/>
      <c r="JXI21" s="974"/>
      <c r="JXJ21" s="974"/>
      <c r="JXK21" s="974"/>
      <c r="JXL21" s="974"/>
      <c r="JXM21" s="974"/>
      <c r="JXN21" s="974"/>
      <c r="JXO21" s="974"/>
      <c r="JXP21" s="974"/>
      <c r="JXQ21" s="974"/>
      <c r="JXR21" s="974"/>
      <c r="JXS21" s="974"/>
      <c r="JXT21" s="974"/>
      <c r="JXU21" s="974"/>
      <c r="JXV21" s="974"/>
      <c r="JXW21" s="974"/>
      <c r="JXX21" s="974"/>
      <c r="JXY21" s="974"/>
      <c r="JXZ21" s="974"/>
      <c r="JYA21" s="974"/>
      <c r="JYB21" s="974"/>
      <c r="JYC21" s="974"/>
      <c r="JYD21" s="974"/>
      <c r="JYE21" s="974"/>
      <c r="JYF21" s="974"/>
      <c r="JYG21" s="974"/>
      <c r="JYH21" s="974"/>
      <c r="JYI21" s="974"/>
      <c r="JYJ21" s="974"/>
      <c r="JYK21" s="974"/>
      <c r="JYL21" s="974"/>
      <c r="JYM21" s="974"/>
      <c r="JYN21" s="974"/>
      <c r="JYO21" s="974"/>
      <c r="JYP21" s="974"/>
      <c r="JYQ21" s="974"/>
      <c r="JYR21" s="974"/>
      <c r="JYS21" s="974"/>
      <c r="JYT21" s="974"/>
      <c r="JYU21" s="974"/>
      <c r="JYV21" s="974"/>
      <c r="JYW21" s="974"/>
      <c r="JYX21" s="974"/>
      <c r="JYY21" s="974"/>
      <c r="JYZ21" s="974"/>
      <c r="JZA21" s="974"/>
      <c r="JZB21" s="974"/>
      <c r="JZC21" s="974"/>
      <c r="JZD21" s="974"/>
      <c r="JZE21" s="974"/>
      <c r="JZF21" s="974"/>
      <c r="JZG21" s="974"/>
      <c r="JZH21" s="974"/>
      <c r="JZI21" s="974"/>
      <c r="JZJ21" s="974"/>
      <c r="JZK21" s="974"/>
      <c r="JZL21" s="974"/>
      <c r="JZM21" s="974"/>
      <c r="JZN21" s="974"/>
      <c r="JZO21" s="974"/>
      <c r="JZP21" s="974"/>
      <c r="JZQ21" s="974"/>
      <c r="JZR21" s="974"/>
      <c r="JZS21" s="974"/>
      <c r="JZT21" s="974"/>
      <c r="JZU21" s="974"/>
      <c r="JZV21" s="974"/>
      <c r="JZW21" s="974"/>
      <c r="JZX21" s="974"/>
      <c r="JZY21" s="974"/>
      <c r="JZZ21" s="974"/>
      <c r="KAA21" s="974"/>
      <c r="KAB21" s="974"/>
      <c r="KAC21" s="974"/>
      <c r="KAD21" s="974"/>
      <c r="KAE21" s="974"/>
      <c r="KAF21" s="974"/>
      <c r="KAG21" s="974"/>
      <c r="KAH21" s="974"/>
      <c r="KAI21" s="974"/>
      <c r="KAJ21" s="974"/>
      <c r="KAK21" s="974"/>
      <c r="KAL21" s="974"/>
      <c r="KAM21" s="974"/>
      <c r="KAN21" s="974"/>
      <c r="KAO21" s="974"/>
      <c r="KAP21" s="974"/>
      <c r="KAQ21" s="974"/>
      <c r="KAR21" s="974"/>
      <c r="KAS21" s="974"/>
      <c r="KAT21" s="974"/>
      <c r="KAU21" s="974"/>
      <c r="KAV21" s="974"/>
      <c r="KAW21" s="974"/>
      <c r="KAX21" s="974"/>
      <c r="KAY21" s="974"/>
      <c r="KAZ21" s="974"/>
      <c r="KBA21" s="974"/>
      <c r="KBB21" s="974"/>
      <c r="KBC21" s="974"/>
      <c r="KBD21" s="974"/>
      <c r="KBE21" s="974"/>
      <c r="KBF21" s="974"/>
      <c r="KBG21" s="974"/>
      <c r="KBH21" s="974"/>
      <c r="KBI21" s="974"/>
      <c r="KBJ21" s="974"/>
      <c r="KBK21" s="974"/>
      <c r="KBL21" s="974"/>
      <c r="KBM21" s="974"/>
      <c r="KBN21" s="974"/>
      <c r="KBO21" s="974"/>
      <c r="KBP21" s="974"/>
      <c r="KBQ21" s="974"/>
      <c r="KBR21" s="974"/>
      <c r="KBS21" s="974"/>
      <c r="KBT21" s="974"/>
      <c r="KBU21" s="974"/>
      <c r="KBV21" s="974"/>
      <c r="KBW21" s="974"/>
      <c r="KBX21" s="974"/>
      <c r="KBY21" s="974"/>
      <c r="KBZ21" s="974"/>
      <c r="KCA21" s="974"/>
      <c r="KCB21" s="974"/>
      <c r="KCC21" s="974"/>
      <c r="KCD21" s="974"/>
      <c r="KCE21" s="974"/>
      <c r="KCF21" s="974"/>
      <c r="KCG21" s="974"/>
      <c r="KCH21" s="974"/>
      <c r="KCI21" s="974"/>
      <c r="KCJ21" s="974"/>
      <c r="KCK21" s="974"/>
      <c r="KCL21" s="974"/>
      <c r="KCM21" s="974"/>
      <c r="KCN21" s="974"/>
      <c r="KCO21" s="974"/>
      <c r="KCP21" s="974"/>
      <c r="KCQ21" s="974"/>
      <c r="KCR21" s="974"/>
      <c r="KCS21" s="974"/>
      <c r="KCT21" s="974"/>
      <c r="KCU21" s="974"/>
      <c r="KCV21" s="974"/>
      <c r="KCW21" s="974"/>
      <c r="KCX21" s="974"/>
      <c r="KCY21" s="974"/>
      <c r="KCZ21" s="974"/>
      <c r="KDA21" s="974"/>
      <c r="KDB21" s="974"/>
      <c r="KDC21" s="974"/>
      <c r="KDD21" s="974"/>
      <c r="KDE21" s="974"/>
      <c r="KDF21" s="974"/>
      <c r="KDG21" s="974"/>
      <c r="KDH21" s="974"/>
      <c r="KDI21" s="974"/>
      <c r="KDJ21" s="974"/>
      <c r="KDK21" s="974"/>
      <c r="KDL21" s="974"/>
      <c r="KDM21" s="974"/>
      <c r="KDN21" s="974"/>
      <c r="KDO21" s="974"/>
      <c r="KDP21" s="974"/>
      <c r="KDQ21" s="974"/>
      <c r="KDR21" s="974"/>
      <c r="KDS21" s="974"/>
      <c r="KDT21" s="974"/>
      <c r="KDU21" s="974"/>
      <c r="KDV21" s="974"/>
      <c r="KDW21" s="974"/>
      <c r="KDX21" s="974"/>
      <c r="KDY21" s="974"/>
      <c r="KDZ21" s="974"/>
      <c r="KEA21" s="974"/>
      <c r="KEB21" s="974"/>
      <c r="KEC21" s="974"/>
      <c r="KED21" s="974"/>
      <c r="KEE21" s="974"/>
      <c r="KEF21" s="974"/>
      <c r="KEG21" s="974"/>
      <c r="KEH21" s="974"/>
      <c r="KEI21" s="974"/>
      <c r="KEJ21" s="974"/>
      <c r="KEK21" s="974"/>
      <c r="KEL21" s="974"/>
      <c r="KEM21" s="974"/>
      <c r="KEN21" s="974"/>
      <c r="KEO21" s="974"/>
      <c r="KEP21" s="974"/>
      <c r="KEQ21" s="974"/>
      <c r="KER21" s="974"/>
      <c r="KES21" s="974"/>
      <c r="KET21" s="974"/>
      <c r="KEU21" s="974"/>
      <c r="KEV21" s="974"/>
      <c r="KEW21" s="974"/>
      <c r="KEX21" s="974"/>
      <c r="KEY21" s="974"/>
      <c r="KEZ21" s="974"/>
      <c r="KFA21" s="974"/>
      <c r="KFB21" s="974"/>
      <c r="KFC21" s="974"/>
      <c r="KFD21" s="974"/>
      <c r="KFE21" s="974"/>
      <c r="KFF21" s="974"/>
      <c r="KFG21" s="974"/>
      <c r="KFH21" s="974"/>
      <c r="KFI21" s="974"/>
      <c r="KFJ21" s="974"/>
      <c r="KFK21" s="974"/>
      <c r="KFL21" s="974"/>
      <c r="KFM21" s="974"/>
      <c r="KFN21" s="974"/>
      <c r="KFO21" s="974"/>
      <c r="KFP21" s="974"/>
      <c r="KFQ21" s="974"/>
      <c r="KFR21" s="974"/>
      <c r="KFS21" s="974"/>
      <c r="KFT21" s="974"/>
      <c r="KFU21" s="974"/>
      <c r="KFV21" s="974"/>
      <c r="KFW21" s="974"/>
      <c r="KFX21" s="974"/>
      <c r="KFY21" s="974"/>
      <c r="KFZ21" s="974"/>
      <c r="KGA21" s="974"/>
      <c r="KGB21" s="974"/>
      <c r="KGC21" s="974"/>
      <c r="KGD21" s="974"/>
      <c r="KGE21" s="974"/>
      <c r="KGF21" s="974"/>
      <c r="KGG21" s="974"/>
      <c r="KGH21" s="974"/>
      <c r="KGI21" s="974"/>
      <c r="KGJ21" s="974"/>
      <c r="KGK21" s="974"/>
      <c r="KGL21" s="974"/>
      <c r="KGM21" s="974"/>
      <c r="KGN21" s="974"/>
      <c r="KGO21" s="974"/>
      <c r="KGP21" s="974"/>
      <c r="KGQ21" s="974"/>
      <c r="KGR21" s="974"/>
      <c r="KGS21" s="974"/>
      <c r="KGT21" s="974"/>
      <c r="KGU21" s="974"/>
      <c r="KGV21" s="974"/>
      <c r="KGW21" s="974"/>
      <c r="KGX21" s="974"/>
      <c r="KGY21" s="974"/>
      <c r="KGZ21" s="974"/>
      <c r="KHA21" s="974"/>
      <c r="KHB21" s="974"/>
      <c r="KHC21" s="974"/>
      <c r="KHD21" s="974"/>
      <c r="KHE21" s="974"/>
      <c r="KHF21" s="974"/>
      <c r="KHG21" s="974"/>
      <c r="KHH21" s="974"/>
      <c r="KHI21" s="974"/>
      <c r="KHJ21" s="974"/>
      <c r="KHK21" s="974"/>
      <c r="KHL21" s="974"/>
      <c r="KHM21" s="974"/>
      <c r="KHN21" s="974"/>
      <c r="KHO21" s="974"/>
      <c r="KHP21" s="974"/>
      <c r="KHQ21" s="974"/>
      <c r="KHR21" s="974"/>
      <c r="KHS21" s="974"/>
      <c r="KHT21" s="974"/>
      <c r="KHU21" s="974"/>
      <c r="KHV21" s="974"/>
      <c r="KHW21" s="974"/>
      <c r="KHX21" s="974"/>
      <c r="KHY21" s="974"/>
      <c r="KHZ21" s="974"/>
      <c r="KIA21" s="974"/>
      <c r="KIB21" s="974"/>
      <c r="KIC21" s="974"/>
      <c r="KID21" s="974"/>
      <c r="KIE21" s="974"/>
      <c r="KIF21" s="974"/>
      <c r="KIG21" s="974"/>
      <c r="KIH21" s="974"/>
      <c r="KII21" s="974"/>
      <c r="KIJ21" s="974"/>
      <c r="KIK21" s="974"/>
      <c r="KIL21" s="974"/>
      <c r="KIM21" s="974"/>
      <c r="KIN21" s="974"/>
      <c r="KIO21" s="974"/>
      <c r="KIP21" s="974"/>
      <c r="KIQ21" s="974"/>
      <c r="KIR21" s="974"/>
      <c r="KIS21" s="974"/>
      <c r="KIT21" s="974"/>
      <c r="KIU21" s="974"/>
      <c r="KIV21" s="974"/>
      <c r="KIW21" s="974"/>
      <c r="KIX21" s="974"/>
      <c r="KIY21" s="974"/>
      <c r="KIZ21" s="974"/>
      <c r="KJA21" s="974"/>
      <c r="KJB21" s="974"/>
      <c r="KJC21" s="974"/>
      <c r="KJD21" s="974"/>
      <c r="KJE21" s="974"/>
      <c r="KJF21" s="974"/>
      <c r="KJG21" s="974"/>
      <c r="KJH21" s="974"/>
      <c r="KJI21" s="974"/>
      <c r="KJJ21" s="974"/>
      <c r="KJK21" s="974"/>
      <c r="KJL21" s="974"/>
      <c r="KJM21" s="974"/>
      <c r="KJN21" s="974"/>
      <c r="KJO21" s="974"/>
      <c r="KJP21" s="974"/>
      <c r="KJQ21" s="974"/>
      <c r="KJR21" s="974"/>
      <c r="KJS21" s="974"/>
      <c r="KJT21" s="974"/>
      <c r="KJU21" s="974"/>
      <c r="KJV21" s="974"/>
      <c r="KJW21" s="974"/>
      <c r="KJX21" s="974"/>
      <c r="KJY21" s="974"/>
      <c r="KJZ21" s="974"/>
      <c r="KKA21" s="974"/>
      <c r="KKB21" s="974"/>
      <c r="KKC21" s="974"/>
      <c r="KKD21" s="974"/>
      <c r="KKE21" s="974"/>
      <c r="KKF21" s="974"/>
      <c r="KKG21" s="974"/>
      <c r="KKH21" s="974"/>
      <c r="KKI21" s="974"/>
      <c r="KKJ21" s="974"/>
      <c r="KKK21" s="974"/>
      <c r="KKL21" s="974"/>
      <c r="KKM21" s="974"/>
      <c r="KKN21" s="974"/>
      <c r="KKO21" s="974"/>
      <c r="KKP21" s="974"/>
      <c r="KKQ21" s="974"/>
      <c r="KKR21" s="974"/>
      <c r="KKS21" s="974"/>
      <c r="KKT21" s="974"/>
      <c r="KKU21" s="974"/>
      <c r="KKV21" s="974"/>
      <c r="KKW21" s="974"/>
      <c r="KKX21" s="974"/>
      <c r="KKY21" s="974"/>
      <c r="KKZ21" s="974"/>
      <c r="KLA21" s="974"/>
      <c r="KLB21" s="974"/>
      <c r="KLC21" s="974"/>
      <c r="KLD21" s="974"/>
      <c r="KLE21" s="974"/>
      <c r="KLF21" s="974"/>
      <c r="KLG21" s="974"/>
      <c r="KLH21" s="974"/>
      <c r="KLI21" s="974"/>
      <c r="KLJ21" s="974"/>
      <c r="KLK21" s="974"/>
      <c r="KLL21" s="974"/>
      <c r="KLM21" s="974"/>
      <c r="KLN21" s="974"/>
      <c r="KLO21" s="974"/>
      <c r="KLP21" s="974"/>
      <c r="KLQ21" s="974"/>
      <c r="KLR21" s="974"/>
      <c r="KLS21" s="974"/>
      <c r="KLT21" s="974"/>
      <c r="KLU21" s="974"/>
      <c r="KLV21" s="974"/>
      <c r="KLW21" s="974"/>
      <c r="KLX21" s="974"/>
      <c r="KLY21" s="974"/>
      <c r="KLZ21" s="974"/>
      <c r="KMA21" s="974"/>
      <c r="KMB21" s="974"/>
      <c r="KMC21" s="974"/>
      <c r="KMD21" s="974"/>
      <c r="KME21" s="974"/>
      <c r="KMF21" s="974"/>
      <c r="KMG21" s="974"/>
      <c r="KMH21" s="974"/>
      <c r="KMI21" s="974"/>
      <c r="KMJ21" s="974"/>
      <c r="KMK21" s="974"/>
      <c r="KML21" s="974"/>
      <c r="KMM21" s="974"/>
      <c r="KMN21" s="974"/>
      <c r="KMO21" s="974"/>
      <c r="KMP21" s="974"/>
      <c r="KMQ21" s="974"/>
      <c r="KMR21" s="974"/>
      <c r="KMS21" s="974"/>
      <c r="KMT21" s="974"/>
      <c r="KMU21" s="974"/>
      <c r="KMV21" s="974"/>
      <c r="KMW21" s="974"/>
      <c r="KMX21" s="974"/>
      <c r="KMY21" s="974"/>
      <c r="KMZ21" s="974"/>
      <c r="KNA21" s="974"/>
      <c r="KNB21" s="974"/>
      <c r="KNC21" s="974"/>
      <c r="KND21" s="974"/>
      <c r="KNE21" s="974"/>
      <c r="KNF21" s="974"/>
      <c r="KNG21" s="974"/>
      <c r="KNH21" s="974"/>
      <c r="KNI21" s="974"/>
      <c r="KNJ21" s="974"/>
      <c r="KNK21" s="974"/>
      <c r="KNL21" s="974"/>
      <c r="KNM21" s="974"/>
      <c r="KNN21" s="974"/>
      <c r="KNO21" s="974"/>
      <c r="KNP21" s="974"/>
      <c r="KNQ21" s="974"/>
      <c r="KNR21" s="974"/>
      <c r="KNS21" s="974"/>
      <c r="KNT21" s="974"/>
      <c r="KNU21" s="974"/>
      <c r="KNV21" s="974"/>
      <c r="KNW21" s="974"/>
      <c r="KNX21" s="974"/>
      <c r="KNY21" s="974"/>
      <c r="KNZ21" s="974"/>
      <c r="KOA21" s="974"/>
      <c r="KOB21" s="974"/>
      <c r="KOC21" s="974"/>
      <c r="KOD21" s="974"/>
      <c r="KOE21" s="974"/>
      <c r="KOF21" s="974"/>
      <c r="KOG21" s="974"/>
      <c r="KOH21" s="974"/>
      <c r="KOI21" s="974"/>
      <c r="KOJ21" s="974"/>
      <c r="KOK21" s="974"/>
      <c r="KOL21" s="974"/>
      <c r="KOM21" s="974"/>
      <c r="KON21" s="974"/>
      <c r="KOO21" s="974"/>
      <c r="KOP21" s="974"/>
      <c r="KOQ21" s="974"/>
      <c r="KOR21" s="974"/>
      <c r="KOS21" s="974"/>
      <c r="KOT21" s="974"/>
      <c r="KOU21" s="974"/>
      <c r="KOV21" s="974"/>
      <c r="KOW21" s="974"/>
      <c r="KOX21" s="974"/>
      <c r="KOY21" s="974"/>
      <c r="KOZ21" s="974"/>
      <c r="KPA21" s="974"/>
      <c r="KPB21" s="974"/>
      <c r="KPC21" s="974"/>
      <c r="KPD21" s="974"/>
      <c r="KPE21" s="974"/>
      <c r="KPF21" s="974"/>
      <c r="KPG21" s="974"/>
      <c r="KPH21" s="974"/>
      <c r="KPI21" s="974"/>
      <c r="KPJ21" s="974"/>
      <c r="KPK21" s="974"/>
      <c r="KPL21" s="974"/>
      <c r="KPM21" s="974"/>
      <c r="KPN21" s="974"/>
      <c r="KPO21" s="974"/>
      <c r="KPP21" s="974"/>
      <c r="KPQ21" s="974"/>
      <c r="KPR21" s="974"/>
      <c r="KPS21" s="974"/>
      <c r="KPT21" s="974"/>
      <c r="KPU21" s="974"/>
      <c r="KPV21" s="974"/>
      <c r="KPW21" s="974"/>
      <c r="KPX21" s="974"/>
      <c r="KPY21" s="974"/>
      <c r="KPZ21" s="974"/>
      <c r="KQA21" s="974"/>
      <c r="KQB21" s="974"/>
      <c r="KQC21" s="974"/>
      <c r="KQD21" s="974"/>
      <c r="KQE21" s="974"/>
      <c r="KQF21" s="974"/>
      <c r="KQG21" s="974"/>
      <c r="KQH21" s="974"/>
      <c r="KQI21" s="974"/>
      <c r="KQJ21" s="974"/>
      <c r="KQK21" s="974"/>
      <c r="KQL21" s="974"/>
      <c r="KQM21" s="974"/>
      <c r="KQN21" s="974"/>
      <c r="KQO21" s="974"/>
      <c r="KQP21" s="974"/>
      <c r="KQQ21" s="974"/>
      <c r="KQR21" s="974"/>
      <c r="KQS21" s="974"/>
      <c r="KQT21" s="974"/>
      <c r="KQU21" s="974"/>
      <c r="KQV21" s="974"/>
      <c r="KQW21" s="974"/>
      <c r="KQX21" s="974"/>
      <c r="KQY21" s="974"/>
      <c r="KQZ21" s="974"/>
      <c r="KRA21" s="974"/>
      <c r="KRB21" s="974"/>
      <c r="KRC21" s="974"/>
      <c r="KRD21" s="974"/>
      <c r="KRE21" s="974"/>
      <c r="KRF21" s="974"/>
      <c r="KRG21" s="974"/>
      <c r="KRH21" s="974"/>
      <c r="KRI21" s="974"/>
      <c r="KRJ21" s="974"/>
      <c r="KRK21" s="974"/>
      <c r="KRL21" s="974"/>
      <c r="KRM21" s="974"/>
      <c r="KRN21" s="974"/>
      <c r="KRO21" s="974"/>
      <c r="KRP21" s="974"/>
      <c r="KRQ21" s="974"/>
      <c r="KRR21" s="974"/>
      <c r="KRS21" s="974"/>
      <c r="KRT21" s="974"/>
      <c r="KRU21" s="974"/>
      <c r="KRV21" s="974"/>
      <c r="KRW21" s="974"/>
      <c r="KRX21" s="974"/>
      <c r="KRY21" s="974"/>
      <c r="KRZ21" s="974"/>
      <c r="KSA21" s="974"/>
      <c r="KSB21" s="974"/>
      <c r="KSC21" s="974"/>
      <c r="KSD21" s="974"/>
      <c r="KSE21" s="974"/>
      <c r="KSF21" s="974"/>
      <c r="KSG21" s="974"/>
      <c r="KSH21" s="974"/>
      <c r="KSI21" s="974"/>
      <c r="KSJ21" s="974"/>
      <c r="KSK21" s="974"/>
      <c r="KSL21" s="974"/>
      <c r="KSM21" s="974"/>
      <c r="KSN21" s="974"/>
      <c r="KSO21" s="974"/>
      <c r="KSP21" s="974"/>
      <c r="KSQ21" s="974"/>
      <c r="KSR21" s="974"/>
      <c r="KSS21" s="974"/>
      <c r="KST21" s="974"/>
      <c r="KSU21" s="974"/>
      <c r="KSV21" s="974"/>
      <c r="KSW21" s="974"/>
      <c r="KSX21" s="974"/>
      <c r="KSY21" s="974"/>
      <c r="KSZ21" s="974"/>
      <c r="KTA21" s="974"/>
      <c r="KTB21" s="974"/>
      <c r="KTC21" s="974"/>
      <c r="KTD21" s="974"/>
      <c r="KTE21" s="974"/>
      <c r="KTF21" s="974"/>
      <c r="KTG21" s="974"/>
      <c r="KTH21" s="974"/>
      <c r="KTI21" s="974"/>
      <c r="KTJ21" s="974"/>
      <c r="KTK21" s="974"/>
      <c r="KTL21" s="974"/>
      <c r="KTM21" s="974"/>
      <c r="KTN21" s="974"/>
      <c r="KTO21" s="974"/>
      <c r="KTP21" s="974"/>
      <c r="KTQ21" s="974"/>
      <c r="KTR21" s="974"/>
      <c r="KTS21" s="974"/>
      <c r="KTT21" s="974"/>
      <c r="KTU21" s="974"/>
      <c r="KTV21" s="974"/>
      <c r="KTW21" s="974"/>
      <c r="KTX21" s="974"/>
      <c r="KTY21" s="974"/>
      <c r="KTZ21" s="974"/>
      <c r="KUA21" s="974"/>
      <c r="KUB21" s="974"/>
      <c r="KUC21" s="974"/>
      <c r="KUD21" s="974"/>
      <c r="KUE21" s="974"/>
      <c r="KUF21" s="974"/>
      <c r="KUG21" s="974"/>
      <c r="KUH21" s="974"/>
      <c r="KUI21" s="974"/>
      <c r="KUJ21" s="974"/>
      <c r="KUK21" s="974"/>
      <c r="KUL21" s="974"/>
      <c r="KUM21" s="974"/>
      <c r="KUN21" s="974"/>
      <c r="KUO21" s="974"/>
      <c r="KUP21" s="974"/>
      <c r="KUQ21" s="974"/>
      <c r="KUR21" s="974"/>
      <c r="KUS21" s="974"/>
      <c r="KUT21" s="974"/>
      <c r="KUU21" s="974"/>
      <c r="KUV21" s="974"/>
      <c r="KUW21" s="974"/>
      <c r="KUX21" s="974"/>
      <c r="KUY21" s="974"/>
      <c r="KUZ21" s="974"/>
      <c r="KVA21" s="974"/>
      <c r="KVB21" s="974"/>
      <c r="KVC21" s="974"/>
      <c r="KVD21" s="974"/>
      <c r="KVE21" s="974"/>
      <c r="KVF21" s="974"/>
      <c r="KVG21" s="974"/>
      <c r="KVH21" s="974"/>
      <c r="KVI21" s="974"/>
      <c r="KVJ21" s="974"/>
      <c r="KVK21" s="974"/>
      <c r="KVL21" s="974"/>
      <c r="KVM21" s="974"/>
      <c r="KVN21" s="974"/>
      <c r="KVO21" s="974"/>
      <c r="KVP21" s="974"/>
      <c r="KVQ21" s="974"/>
      <c r="KVR21" s="974"/>
      <c r="KVS21" s="974"/>
      <c r="KVT21" s="974"/>
      <c r="KVU21" s="974"/>
      <c r="KVV21" s="974"/>
      <c r="KVW21" s="974"/>
      <c r="KVX21" s="974"/>
      <c r="KVY21" s="974"/>
      <c r="KVZ21" s="974"/>
      <c r="KWA21" s="974"/>
      <c r="KWB21" s="974"/>
      <c r="KWC21" s="974"/>
      <c r="KWD21" s="974"/>
      <c r="KWE21" s="974"/>
      <c r="KWF21" s="974"/>
      <c r="KWG21" s="974"/>
      <c r="KWH21" s="974"/>
      <c r="KWI21" s="974"/>
      <c r="KWJ21" s="974"/>
      <c r="KWK21" s="974"/>
      <c r="KWL21" s="974"/>
      <c r="KWM21" s="974"/>
      <c r="KWN21" s="974"/>
      <c r="KWO21" s="974"/>
      <c r="KWP21" s="974"/>
      <c r="KWQ21" s="974"/>
      <c r="KWR21" s="974"/>
      <c r="KWS21" s="974"/>
      <c r="KWT21" s="974"/>
      <c r="KWU21" s="974"/>
      <c r="KWV21" s="974"/>
      <c r="KWW21" s="974"/>
      <c r="KWX21" s="974"/>
      <c r="KWY21" s="974"/>
      <c r="KWZ21" s="974"/>
      <c r="KXA21" s="974"/>
      <c r="KXB21" s="974"/>
      <c r="KXC21" s="974"/>
      <c r="KXD21" s="974"/>
      <c r="KXE21" s="974"/>
      <c r="KXF21" s="974"/>
      <c r="KXG21" s="974"/>
      <c r="KXH21" s="974"/>
      <c r="KXI21" s="974"/>
      <c r="KXJ21" s="974"/>
      <c r="KXK21" s="974"/>
      <c r="KXL21" s="974"/>
      <c r="KXM21" s="974"/>
      <c r="KXN21" s="974"/>
      <c r="KXO21" s="974"/>
      <c r="KXP21" s="974"/>
      <c r="KXQ21" s="974"/>
      <c r="KXR21" s="974"/>
      <c r="KXS21" s="974"/>
      <c r="KXT21" s="974"/>
      <c r="KXU21" s="974"/>
      <c r="KXV21" s="974"/>
      <c r="KXW21" s="974"/>
      <c r="KXX21" s="974"/>
      <c r="KXY21" s="974"/>
      <c r="KXZ21" s="974"/>
      <c r="KYA21" s="974"/>
      <c r="KYB21" s="974"/>
      <c r="KYC21" s="974"/>
      <c r="KYD21" s="974"/>
      <c r="KYE21" s="974"/>
      <c r="KYF21" s="974"/>
      <c r="KYG21" s="974"/>
      <c r="KYH21" s="974"/>
      <c r="KYI21" s="974"/>
      <c r="KYJ21" s="974"/>
      <c r="KYK21" s="974"/>
      <c r="KYL21" s="974"/>
      <c r="KYM21" s="974"/>
      <c r="KYN21" s="974"/>
      <c r="KYO21" s="974"/>
      <c r="KYP21" s="974"/>
      <c r="KYQ21" s="974"/>
      <c r="KYR21" s="974"/>
      <c r="KYS21" s="974"/>
      <c r="KYT21" s="974"/>
      <c r="KYU21" s="974"/>
      <c r="KYV21" s="974"/>
      <c r="KYW21" s="974"/>
      <c r="KYX21" s="974"/>
      <c r="KYY21" s="974"/>
      <c r="KYZ21" s="974"/>
      <c r="KZA21" s="974"/>
      <c r="KZB21" s="974"/>
      <c r="KZC21" s="974"/>
      <c r="KZD21" s="974"/>
      <c r="KZE21" s="974"/>
      <c r="KZF21" s="974"/>
      <c r="KZG21" s="974"/>
      <c r="KZH21" s="974"/>
      <c r="KZI21" s="974"/>
      <c r="KZJ21" s="974"/>
      <c r="KZK21" s="974"/>
      <c r="KZL21" s="974"/>
      <c r="KZM21" s="974"/>
      <c r="KZN21" s="974"/>
      <c r="KZO21" s="974"/>
      <c r="KZP21" s="974"/>
      <c r="KZQ21" s="974"/>
      <c r="KZR21" s="974"/>
      <c r="KZS21" s="974"/>
      <c r="KZT21" s="974"/>
      <c r="KZU21" s="974"/>
      <c r="KZV21" s="974"/>
      <c r="KZW21" s="974"/>
      <c r="KZX21" s="974"/>
      <c r="KZY21" s="974"/>
      <c r="KZZ21" s="974"/>
      <c r="LAA21" s="974"/>
      <c r="LAB21" s="974"/>
      <c r="LAC21" s="974"/>
      <c r="LAD21" s="974"/>
      <c r="LAE21" s="974"/>
      <c r="LAF21" s="974"/>
      <c r="LAG21" s="974"/>
      <c r="LAH21" s="974"/>
      <c r="LAI21" s="974"/>
      <c r="LAJ21" s="974"/>
      <c r="LAK21" s="974"/>
      <c r="LAL21" s="974"/>
      <c r="LAM21" s="974"/>
      <c r="LAN21" s="974"/>
      <c r="LAO21" s="974"/>
      <c r="LAP21" s="974"/>
      <c r="LAQ21" s="974"/>
      <c r="LAR21" s="974"/>
      <c r="LAS21" s="974"/>
      <c r="LAT21" s="974"/>
      <c r="LAU21" s="974"/>
      <c r="LAV21" s="974"/>
      <c r="LAW21" s="974"/>
      <c r="LAX21" s="974"/>
      <c r="LAY21" s="974"/>
      <c r="LAZ21" s="974"/>
      <c r="LBA21" s="974"/>
      <c r="LBB21" s="974"/>
      <c r="LBC21" s="974"/>
      <c r="LBD21" s="974"/>
      <c r="LBE21" s="974"/>
      <c r="LBF21" s="974"/>
      <c r="LBG21" s="974"/>
      <c r="LBH21" s="974"/>
      <c r="LBI21" s="974"/>
      <c r="LBJ21" s="974"/>
      <c r="LBK21" s="974"/>
      <c r="LBL21" s="974"/>
      <c r="LBM21" s="974"/>
      <c r="LBN21" s="974"/>
      <c r="LBO21" s="974"/>
      <c r="LBP21" s="974"/>
      <c r="LBQ21" s="974"/>
      <c r="LBR21" s="974"/>
      <c r="LBS21" s="974"/>
      <c r="LBT21" s="974"/>
      <c r="LBU21" s="974"/>
      <c r="LBV21" s="974"/>
      <c r="LBW21" s="974"/>
      <c r="LBX21" s="974"/>
      <c r="LBY21" s="974"/>
      <c r="LBZ21" s="974"/>
      <c r="LCA21" s="974"/>
      <c r="LCB21" s="974"/>
      <c r="LCC21" s="974"/>
      <c r="LCD21" s="974"/>
      <c r="LCE21" s="974"/>
      <c r="LCF21" s="974"/>
      <c r="LCG21" s="974"/>
      <c r="LCH21" s="974"/>
      <c r="LCI21" s="974"/>
      <c r="LCJ21" s="974"/>
      <c r="LCK21" s="974"/>
      <c r="LCL21" s="974"/>
      <c r="LCM21" s="974"/>
      <c r="LCN21" s="974"/>
      <c r="LCO21" s="974"/>
      <c r="LCP21" s="974"/>
      <c r="LCQ21" s="974"/>
      <c r="LCR21" s="974"/>
      <c r="LCS21" s="974"/>
      <c r="LCT21" s="974"/>
      <c r="LCU21" s="974"/>
      <c r="LCV21" s="974"/>
      <c r="LCW21" s="974"/>
      <c r="LCX21" s="974"/>
      <c r="LCY21" s="974"/>
      <c r="LCZ21" s="974"/>
      <c r="LDA21" s="974"/>
      <c r="LDB21" s="974"/>
      <c r="LDC21" s="974"/>
      <c r="LDD21" s="974"/>
      <c r="LDE21" s="974"/>
      <c r="LDF21" s="974"/>
      <c r="LDG21" s="974"/>
      <c r="LDH21" s="974"/>
      <c r="LDI21" s="974"/>
      <c r="LDJ21" s="974"/>
      <c r="LDK21" s="974"/>
      <c r="LDL21" s="974"/>
      <c r="LDM21" s="974"/>
      <c r="LDN21" s="974"/>
      <c r="LDO21" s="974"/>
      <c r="LDP21" s="974"/>
      <c r="LDQ21" s="974"/>
      <c r="LDR21" s="974"/>
      <c r="LDS21" s="974"/>
      <c r="LDT21" s="974"/>
      <c r="LDU21" s="974"/>
      <c r="LDV21" s="974"/>
      <c r="LDW21" s="974"/>
      <c r="LDX21" s="974"/>
      <c r="LDY21" s="974"/>
      <c r="LDZ21" s="974"/>
      <c r="LEA21" s="974"/>
      <c r="LEB21" s="974"/>
      <c r="LEC21" s="974"/>
      <c r="LED21" s="974"/>
      <c r="LEE21" s="974"/>
      <c r="LEF21" s="974"/>
      <c r="LEG21" s="974"/>
      <c r="LEH21" s="974"/>
      <c r="LEI21" s="974"/>
      <c r="LEJ21" s="974"/>
      <c r="LEK21" s="974"/>
      <c r="LEL21" s="974"/>
      <c r="LEM21" s="974"/>
      <c r="LEN21" s="974"/>
      <c r="LEO21" s="974"/>
      <c r="LEP21" s="974"/>
      <c r="LEQ21" s="974"/>
      <c r="LER21" s="974"/>
      <c r="LES21" s="974"/>
      <c r="LET21" s="974"/>
      <c r="LEU21" s="974"/>
      <c r="LEV21" s="974"/>
      <c r="LEW21" s="974"/>
      <c r="LEX21" s="974"/>
      <c r="LEY21" s="974"/>
      <c r="LEZ21" s="974"/>
      <c r="LFA21" s="974"/>
      <c r="LFB21" s="974"/>
      <c r="LFC21" s="974"/>
      <c r="LFD21" s="974"/>
      <c r="LFE21" s="974"/>
      <c r="LFF21" s="974"/>
      <c r="LFG21" s="974"/>
      <c r="LFH21" s="974"/>
      <c r="LFI21" s="974"/>
      <c r="LFJ21" s="974"/>
      <c r="LFK21" s="974"/>
      <c r="LFL21" s="974"/>
      <c r="LFM21" s="974"/>
      <c r="LFN21" s="974"/>
      <c r="LFO21" s="974"/>
      <c r="LFP21" s="974"/>
      <c r="LFQ21" s="974"/>
      <c r="LFR21" s="974"/>
      <c r="LFS21" s="974"/>
      <c r="LFT21" s="974"/>
      <c r="LFU21" s="974"/>
      <c r="LFV21" s="974"/>
      <c r="LFW21" s="974"/>
      <c r="LFX21" s="974"/>
      <c r="LFY21" s="974"/>
      <c r="LFZ21" s="974"/>
      <c r="LGA21" s="974"/>
      <c r="LGB21" s="974"/>
      <c r="LGC21" s="974"/>
      <c r="LGD21" s="974"/>
      <c r="LGE21" s="974"/>
      <c r="LGF21" s="974"/>
      <c r="LGG21" s="974"/>
      <c r="LGH21" s="974"/>
      <c r="LGI21" s="974"/>
      <c r="LGJ21" s="974"/>
      <c r="LGK21" s="974"/>
      <c r="LGL21" s="974"/>
      <c r="LGM21" s="974"/>
      <c r="LGN21" s="974"/>
      <c r="LGO21" s="974"/>
      <c r="LGP21" s="974"/>
      <c r="LGQ21" s="974"/>
      <c r="LGR21" s="974"/>
      <c r="LGS21" s="974"/>
      <c r="LGT21" s="974"/>
      <c r="LGU21" s="974"/>
      <c r="LGV21" s="974"/>
      <c r="LGW21" s="974"/>
      <c r="LGX21" s="974"/>
      <c r="LGY21" s="974"/>
      <c r="LGZ21" s="974"/>
      <c r="LHA21" s="974"/>
      <c r="LHB21" s="974"/>
      <c r="LHC21" s="974"/>
      <c r="LHD21" s="974"/>
      <c r="LHE21" s="974"/>
      <c r="LHF21" s="974"/>
      <c r="LHG21" s="974"/>
      <c r="LHH21" s="974"/>
      <c r="LHI21" s="974"/>
      <c r="LHJ21" s="974"/>
      <c r="LHK21" s="974"/>
      <c r="LHL21" s="974"/>
      <c r="LHM21" s="974"/>
      <c r="LHN21" s="974"/>
      <c r="LHO21" s="974"/>
      <c r="LHP21" s="974"/>
      <c r="LHQ21" s="974"/>
      <c r="LHR21" s="974"/>
      <c r="LHS21" s="974"/>
      <c r="LHT21" s="974"/>
      <c r="LHU21" s="974"/>
      <c r="LHV21" s="974"/>
      <c r="LHW21" s="974"/>
      <c r="LHX21" s="974"/>
      <c r="LHY21" s="974"/>
      <c r="LHZ21" s="974"/>
      <c r="LIA21" s="974"/>
      <c r="LIB21" s="974"/>
      <c r="LIC21" s="974"/>
      <c r="LID21" s="974"/>
      <c r="LIE21" s="974"/>
      <c r="LIF21" s="974"/>
      <c r="LIG21" s="974"/>
      <c r="LIH21" s="974"/>
      <c r="LII21" s="974"/>
      <c r="LIJ21" s="974"/>
      <c r="LIK21" s="974"/>
      <c r="LIL21" s="974"/>
      <c r="LIM21" s="974"/>
      <c r="LIN21" s="974"/>
      <c r="LIO21" s="974"/>
      <c r="LIP21" s="974"/>
      <c r="LIQ21" s="974"/>
      <c r="LIR21" s="974"/>
      <c r="LIS21" s="974"/>
      <c r="LIT21" s="974"/>
      <c r="LIU21" s="974"/>
      <c r="LIV21" s="974"/>
      <c r="LIW21" s="974"/>
      <c r="LIX21" s="974"/>
      <c r="LIY21" s="974"/>
      <c r="LIZ21" s="974"/>
      <c r="LJA21" s="974"/>
      <c r="LJB21" s="974"/>
      <c r="LJC21" s="974"/>
      <c r="LJD21" s="974"/>
      <c r="LJE21" s="974"/>
      <c r="LJF21" s="974"/>
      <c r="LJG21" s="974"/>
      <c r="LJH21" s="974"/>
      <c r="LJI21" s="974"/>
      <c r="LJJ21" s="974"/>
      <c r="LJK21" s="974"/>
      <c r="LJL21" s="974"/>
      <c r="LJM21" s="974"/>
      <c r="LJN21" s="974"/>
      <c r="LJO21" s="974"/>
      <c r="LJP21" s="974"/>
      <c r="LJQ21" s="974"/>
      <c r="LJR21" s="974"/>
      <c r="LJS21" s="974"/>
      <c r="LJT21" s="974"/>
      <c r="LJU21" s="974"/>
      <c r="LJV21" s="974"/>
      <c r="LJW21" s="974"/>
      <c r="LJX21" s="974"/>
      <c r="LJY21" s="974"/>
      <c r="LJZ21" s="974"/>
      <c r="LKA21" s="974"/>
      <c r="LKB21" s="974"/>
      <c r="LKC21" s="974"/>
      <c r="LKD21" s="974"/>
      <c r="LKE21" s="974"/>
      <c r="LKF21" s="974"/>
      <c r="LKG21" s="974"/>
      <c r="LKH21" s="974"/>
      <c r="LKI21" s="974"/>
      <c r="LKJ21" s="974"/>
      <c r="LKK21" s="974"/>
      <c r="LKL21" s="974"/>
      <c r="LKM21" s="974"/>
      <c r="LKN21" s="974"/>
      <c r="LKO21" s="974"/>
      <c r="LKP21" s="974"/>
      <c r="LKQ21" s="974"/>
      <c r="LKR21" s="974"/>
      <c r="LKS21" s="974"/>
      <c r="LKT21" s="974"/>
      <c r="LKU21" s="974"/>
      <c r="LKV21" s="974"/>
      <c r="LKW21" s="974"/>
      <c r="LKX21" s="974"/>
      <c r="LKY21" s="974"/>
      <c r="LKZ21" s="974"/>
      <c r="LLA21" s="974"/>
      <c r="LLB21" s="974"/>
      <c r="LLC21" s="974"/>
      <c r="LLD21" s="974"/>
      <c r="LLE21" s="974"/>
      <c r="LLF21" s="974"/>
      <c r="LLG21" s="974"/>
      <c r="LLH21" s="974"/>
      <c r="LLI21" s="974"/>
      <c r="LLJ21" s="974"/>
      <c r="LLK21" s="974"/>
      <c r="LLL21" s="974"/>
      <c r="LLM21" s="974"/>
      <c r="LLN21" s="974"/>
      <c r="LLO21" s="974"/>
      <c r="LLP21" s="974"/>
      <c r="LLQ21" s="974"/>
      <c r="LLR21" s="974"/>
      <c r="LLS21" s="974"/>
      <c r="LLT21" s="974"/>
      <c r="LLU21" s="974"/>
      <c r="LLV21" s="974"/>
      <c r="LLW21" s="974"/>
      <c r="LLX21" s="974"/>
      <c r="LLY21" s="974"/>
      <c r="LLZ21" s="974"/>
      <c r="LMA21" s="974"/>
      <c r="LMB21" s="974"/>
      <c r="LMC21" s="974"/>
      <c r="LMD21" s="974"/>
      <c r="LME21" s="974"/>
      <c r="LMF21" s="974"/>
      <c r="LMG21" s="974"/>
      <c r="LMH21" s="974"/>
      <c r="LMI21" s="974"/>
      <c r="LMJ21" s="974"/>
      <c r="LMK21" s="974"/>
      <c r="LML21" s="974"/>
      <c r="LMM21" s="974"/>
      <c r="LMN21" s="974"/>
      <c r="LMO21" s="974"/>
      <c r="LMP21" s="974"/>
      <c r="LMQ21" s="974"/>
      <c r="LMR21" s="974"/>
      <c r="LMS21" s="974"/>
      <c r="LMT21" s="974"/>
      <c r="LMU21" s="974"/>
      <c r="LMV21" s="974"/>
      <c r="LMW21" s="974"/>
      <c r="LMX21" s="974"/>
      <c r="LMY21" s="974"/>
      <c r="LMZ21" s="974"/>
      <c r="LNA21" s="974"/>
      <c r="LNB21" s="974"/>
      <c r="LNC21" s="974"/>
      <c r="LND21" s="974"/>
      <c r="LNE21" s="974"/>
      <c r="LNF21" s="974"/>
      <c r="LNG21" s="974"/>
      <c r="LNH21" s="974"/>
      <c r="LNI21" s="974"/>
      <c r="LNJ21" s="974"/>
      <c r="LNK21" s="974"/>
      <c r="LNL21" s="974"/>
      <c r="LNM21" s="974"/>
      <c r="LNN21" s="974"/>
      <c r="LNO21" s="974"/>
      <c r="LNP21" s="974"/>
      <c r="LNQ21" s="974"/>
      <c r="LNR21" s="974"/>
      <c r="LNS21" s="974"/>
      <c r="LNT21" s="974"/>
      <c r="LNU21" s="974"/>
      <c r="LNV21" s="974"/>
      <c r="LNW21" s="974"/>
      <c r="LNX21" s="974"/>
      <c r="LNY21" s="974"/>
      <c r="LNZ21" s="974"/>
      <c r="LOA21" s="974"/>
      <c r="LOB21" s="974"/>
      <c r="LOC21" s="974"/>
      <c r="LOD21" s="974"/>
      <c r="LOE21" s="974"/>
      <c r="LOF21" s="974"/>
      <c r="LOG21" s="974"/>
      <c r="LOH21" s="974"/>
      <c r="LOI21" s="974"/>
      <c r="LOJ21" s="974"/>
      <c r="LOK21" s="974"/>
      <c r="LOL21" s="974"/>
      <c r="LOM21" s="974"/>
      <c r="LON21" s="974"/>
      <c r="LOO21" s="974"/>
      <c r="LOP21" s="974"/>
      <c r="LOQ21" s="974"/>
      <c r="LOR21" s="974"/>
      <c r="LOS21" s="974"/>
      <c r="LOT21" s="974"/>
      <c r="LOU21" s="974"/>
      <c r="LOV21" s="974"/>
      <c r="LOW21" s="974"/>
      <c r="LOX21" s="974"/>
      <c r="LOY21" s="974"/>
      <c r="LOZ21" s="974"/>
      <c r="LPA21" s="974"/>
      <c r="LPB21" s="974"/>
      <c r="LPC21" s="974"/>
      <c r="LPD21" s="974"/>
      <c r="LPE21" s="974"/>
      <c r="LPF21" s="974"/>
      <c r="LPG21" s="974"/>
      <c r="LPH21" s="974"/>
      <c r="LPI21" s="974"/>
      <c r="LPJ21" s="974"/>
      <c r="LPK21" s="974"/>
      <c r="LPL21" s="974"/>
      <c r="LPM21" s="974"/>
      <c r="LPN21" s="974"/>
      <c r="LPO21" s="974"/>
      <c r="LPP21" s="974"/>
      <c r="LPQ21" s="974"/>
      <c r="LPR21" s="974"/>
      <c r="LPS21" s="974"/>
      <c r="LPT21" s="974"/>
      <c r="LPU21" s="974"/>
      <c r="LPV21" s="974"/>
      <c r="LPW21" s="974"/>
      <c r="LPX21" s="974"/>
      <c r="LPY21" s="974"/>
      <c r="LPZ21" s="974"/>
      <c r="LQA21" s="974"/>
      <c r="LQB21" s="974"/>
      <c r="LQC21" s="974"/>
      <c r="LQD21" s="974"/>
      <c r="LQE21" s="974"/>
      <c r="LQF21" s="974"/>
      <c r="LQG21" s="974"/>
      <c r="LQH21" s="974"/>
      <c r="LQI21" s="974"/>
      <c r="LQJ21" s="974"/>
      <c r="LQK21" s="974"/>
      <c r="LQL21" s="974"/>
      <c r="LQM21" s="974"/>
      <c r="LQN21" s="974"/>
      <c r="LQO21" s="974"/>
      <c r="LQP21" s="974"/>
      <c r="LQQ21" s="974"/>
      <c r="LQR21" s="974"/>
      <c r="LQS21" s="974"/>
      <c r="LQT21" s="974"/>
      <c r="LQU21" s="974"/>
      <c r="LQV21" s="974"/>
      <c r="LQW21" s="974"/>
      <c r="LQX21" s="974"/>
      <c r="LQY21" s="974"/>
      <c r="LQZ21" s="974"/>
      <c r="LRA21" s="974"/>
      <c r="LRB21" s="974"/>
      <c r="LRC21" s="974"/>
      <c r="LRD21" s="974"/>
      <c r="LRE21" s="974"/>
      <c r="LRF21" s="974"/>
      <c r="LRG21" s="974"/>
      <c r="LRH21" s="974"/>
      <c r="LRI21" s="974"/>
      <c r="LRJ21" s="974"/>
      <c r="LRK21" s="974"/>
      <c r="LRL21" s="974"/>
      <c r="LRM21" s="974"/>
      <c r="LRN21" s="974"/>
      <c r="LRO21" s="974"/>
      <c r="LRP21" s="974"/>
      <c r="LRQ21" s="974"/>
      <c r="LRR21" s="974"/>
      <c r="LRS21" s="974"/>
      <c r="LRT21" s="974"/>
      <c r="LRU21" s="974"/>
      <c r="LRV21" s="974"/>
      <c r="LRW21" s="974"/>
      <c r="LRX21" s="974"/>
      <c r="LRY21" s="974"/>
      <c r="LRZ21" s="974"/>
      <c r="LSA21" s="974"/>
      <c r="LSB21" s="974"/>
      <c r="LSC21" s="974"/>
      <c r="LSD21" s="974"/>
      <c r="LSE21" s="974"/>
      <c r="LSF21" s="974"/>
      <c r="LSG21" s="974"/>
      <c r="LSH21" s="974"/>
      <c r="LSI21" s="974"/>
      <c r="LSJ21" s="974"/>
      <c r="LSK21" s="974"/>
      <c r="LSL21" s="974"/>
      <c r="LSM21" s="974"/>
      <c r="LSN21" s="974"/>
      <c r="LSO21" s="974"/>
      <c r="LSP21" s="974"/>
      <c r="LSQ21" s="974"/>
      <c r="LSR21" s="974"/>
      <c r="LSS21" s="974"/>
      <c r="LST21" s="974"/>
      <c r="LSU21" s="974"/>
      <c r="LSV21" s="974"/>
      <c r="LSW21" s="974"/>
      <c r="LSX21" s="974"/>
      <c r="LSY21" s="974"/>
      <c r="LSZ21" s="974"/>
      <c r="LTA21" s="974"/>
      <c r="LTB21" s="974"/>
      <c r="LTC21" s="974"/>
      <c r="LTD21" s="974"/>
      <c r="LTE21" s="974"/>
      <c r="LTF21" s="974"/>
      <c r="LTG21" s="974"/>
      <c r="LTH21" s="974"/>
      <c r="LTI21" s="974"/>
      <c r="LTJ21" s="974"/>
      <c r="LTK21" s="974"/>
      <c r="LTL21" s="974"/>
      <c r="LTM21" s="974"/>
      <c r="LTN21" s="974"/>
      <c r="LTO21" s="974"/>
      <c r="LTP21" s="974"/>
      <c r="LTQ21" s="974"/>
      <c r="LTR21" s="974"/>
      <c r="LTS21" s="974"/>
      <c r="LTT21" s="974"/>
      <c r="LTU21" s="974"/>
      <c r="LTV21" s="974"/>
      <c r="LTW21" s="974"/>
      <c r="LTX21" s="974"/>
      <c r="LTY21" s="974"/>
      <c r="LTZ21" s="974"/>
      <c r="LUA21" s="974"/>
      <c r="LUB21" s="974"/>
      <c r="LUC21" s="974"/>
      <c r="LUD21" s="974"/>
      <c r="LUE21" s="974"/>
      <c r="LUF21" s="974"/>
      <c r="LUG21" s="974"/>
      <c r="LUH21" s="974"/>
      <c r="LUI21" s="974"/>
      <c r="LUJ21" s="974"/>
      <c r="LUK21" s="974"/>
      <c r="LUL21" s="974"/>
      <c r="LUM21" s="974"/>
      <c r="LUN21" s="974"/>
      <c r="LUO21" s="974"/>
      <c r="LUP21" s="974"/>
      <c r="LUQ21" s="974"/>
      <c r="LUR21" s="974"/>
      <c r="LUS21" s="974"/>
      <c r="LUT21" s="974"/>
      <c r="LUU21" s="974"/>
      <c r="LUV21" s="974"/>
      <c r="LUW21" s="974"/>
      <c r="LUX21" s="974"/>
      <c r="LUY21" s="974"/>
      <c r="LUZ21" s="974"/>
      <c r="LVA21" s="974"/>
      <c r="LVB21" s="974"/>
      <c r="LVC21" s="974"/>
      <c r="LVD21" s="974"/>
      <c r="LVE21" s="974"/>
      <c r="LVF21" s="974"/>
      <c r="LVG21" s="974"/>
      <c r="LVH21" s="974"/>
      <c r="LVI21" s="974"/>
      <c r="LVJ21" s="974"/>
      <c r="LVK21" s="974"/>
      <c r="LVL21" s="974"/>
      <c r="LVM21" s="974"/>
      <c r="LVN21" s="974"/>
      <c r="LVO21" s="974"/>
      <c r="LVP21" s="974"/>
      <c r="LVQ21" s="974"/>
      <c r="LVR21" s="974"/>
      <c r="LVS21" s="974"/>
      <c r="LVT21" s="974"/>
      <c r="LVU21" s="974"/>
      <c r="LVV21" s="974"/>
      <c r="LVW21" s="974"/>
      <c r="LVX21" s="974"/>
      <c r="LVY21" s="974"/>
      <c r="LVZ21" s="974"/>
      <c r="LWA21" s="974"/>
      <c r="LWB21" s="974"/>
      <c r="LWC21" s="974"/>
      <c r="LWD21" s="974"/>
      <c r="LWE21" s="974"/>
      <c r="LWF21" s="974"/>
      <c r="LWG21" s="974"/>
      <c r="LWH21" s="974"/>
      <c r="LWI21" s="974"/>
      <c r="LWJ21" s="974"/>
      <c r="LWK21" s="974"/>
      <c r="LWL21" s="974"/>
      <c r="LWM21" s="974"/>
      <c r="LWN21" s="974"/>
      <c r="LWO21" s="974"/>
      <c r="LWP21" s="974"/>
      <c r="LWQ21" s="974"/>
      <c r="LWR21" s="974"/>
      <c r="LWS21" s="974"/>
      <c r="LWT21" s="974"/>
      <c r="LWU21" s="974"/>
      <c r="LWV21" s="974"/>
      <c r="LWW21" s="974"/>
      <c r="LWX21" s="974"/>
      <c r="LWY21" s="974"/>
      <c r="LWZ21" s="974"/>
      <c r="LXA21" s="974"/>
      <c r="LXB21" s="974"/>
      <c r="LXC21" s="974"/>
      <c r="LXD21" s="974"/>
      <c r="LXE21" s="974"/>
      <c r="LXF21" s="974"/>
      <c r="LXG21" s="974"/>
      <c r="LXH21" s="974"/>
      <c r="LXI21" s="974"/>
      <c r="LXJ21" s="974"/>
      <c r="LXK21" s="974"/>
      <c r="LXL21" s="974"/>
      <c r="LXM21" s="974"/>
      <c r="LXN21" s="974"/>
      <c r="LXO21" s="974"/>
      <c r="LXP21" s="974"/>
      <c r="LXQ21" s="974"/>
      <c r="LXR21" s="974"/>
      <c r="LXS21" s="974"/>
      <c r="LXT21" s="974"/>
      <c r="LXU21" s="974"/>
      <c r="LXV21" s="974"/>
      <c r="LXW21" s="974"/>
      <c r="LXX21" s="974"/>
      <c r="LXY21" s="974"/>
      <c r="LXZ21" s="974"/>
      <c r="LYA21" s="974"/>
      <c r="LYB21" s="974"/>
      <c r="LYC21" s="974"/>
      <c r="LYD21" s="974"/>
      <c r="LYE21" s="974"/>
      <c r="LYF21" s="974"/>
      <c r="LYG21" s="974"/>
      <c r="LYH21" s="974"/>
      <c r="LYI21" s="974"/>
      <c r="LYJ21" s="974"/>
      <c r="LYK21" s="974"/>
      <c r="LYL21" s="974"/>
      <c r="LYM21" s="974"/>
      <c r="LYN21" s="974"/>
      <c r="LYO21" s="974"/>
      <c r="LYP21" s="974"/>
      <c r="LYQ21" s="974"/>
      <c r="LYR21" s="974"/>
      <c r="LYS21" s="974"/>
      <c r="LYT21" s="974"/>
      <c r="LYU21" s="974"/>
      <c r="LYV21" s="974"/>
      <c r="LYW21" s="974"/>
      <c r="LYX21" s="974"/>
      <c r="LYY21" s="974"/>
      <c r="LYZ21" s="974"/>
      <c r="LZA21" s="974"/>
      <c r="LZB21" s="974"/>
      <c r="LZC21" s="974"/>
      <c r="LZD21" s="974"/>
      <c r="LZE21" s="974"/>
      <c r="LZF21" s="974"/>
      <c r="LZG21" s="974"/>
      <c r="LZH21" s="974"/>
      <c r="LZI21" s="974"/>
      <c r="LZJ21" s="974"/>
      <c r="LZK21" s="974"/>
      <c r="LZL21" s="974"/>
      <c r="LZM21" s="974"/>
      <c r="LZN21" s="974"/>
      <c r="LZO21" s="974"/>
      <c r="LZP21" s="974"/>
      <c r="LZQ21" s="974"/>
      <c r="LZR21" s="974"/>
      <c r="LZS21" s="974"/>
      <c r="LZT21" s="974"/>
      <c r="LZU21" s="974"/>
      <c r="LZV21" s="974"/>
      <c r="LZW21" s="974"/>
      <c r="LZX21" s="974"/>
      <c r="LZY21" s="974"/>
      <c r="LZZ21" s="974"/>
      <c r="MAA21" s="974"/>
      <c r="MAB21" s="974"/>
      <c r="MAC21" s="974"/>
      <c r="MAD21" s="974"/>
      <c r="MAE21" s="974"/>
      <c r="MAF21" s="974"/>
      <c r="MAG21" s="974"/>
      <c r="MAH21" s="974"/>
      <c r="MAI21" s="974"/>
      <c r="MAJ21" s="974"/>
      <c r="MAK21" s="974"/>
      <c r="MAL21" s="974"/>
      <c r="MAM21" s="974"/>
      <c r="MAN21" s="974"/>
      <c r="MAO21" s="974"/>
      <c r="MAP21" s="974"/>
      <c r="MAQ21" s="974"/>
      <c r="MAR21" s="974"/>
      <c r="MAS21" s="974"/>
      <c r="MAT21" s="974"/>
      <c r="MAU21" s="974"/>
      <c r="MAV21" s="974"/>
      <c r="MAW21" s="974"/>
      <c r="MAX21" s="974"/>
      <c r="MAY21" s="974"/>
      <c r="MAZ21" s="974"/>
      <c r="MBA21" s="974"/>
      <c r="MBB21" s="974"/>
      <c r="MBC21" s="974"/>
      <c r="MBD21" s="974"/>
      <c r="MBE21" s="974"/>
      <c r="MBF21" s="974"/>
      <c r="MBG21" s="974"/>
      <c r="MBH21" s="974"/>
      <c r="MBI21" s="974"/>
      <c r="MBJ21" s="974"/>
      <c r="MBK21" s="974"/>
      <c r="MBL21" s="974"/>
      <c r="MBM21" s="974"/>
      <c r="MBN21" s="974"/>
      <c r="MBO21" s="974"/>
      <c r="MBP21" s="974"/>
      <c r="MBQ21" s="974"/>
      <c r="MBR21" s="974"/>
      <c r="MBS21" s="974"/>
      <c r="MBT21" s="974"/>
      <c r="MBU21" s="974"/>
      <c r="MBV21" s="974"/>
      <c r="MBW21" s="974"/>
      <c r="MBX21" s="974"/>
      <c r="MBY21" s="974"/>
      <c r="MBZ21" s="974"/>
      <c r="MCA21" s="974"/>
      <c r="MCB21" s="974"/>
      <c r="MCC21" s="974"/>
      <c r="MCD21" s="974"/>
      <c r="MCE21" s="974"/>
      <c r="MCF21" s="974"/>
      <c r="MCG21" s="974"/>
      <c r="MCH21" s="974"/>
      <c r="MCI21" s="974"/>
      <c r="MCJ21" s="974"/>
      <c r="MCK21" s="974"/>
      <c r="MCL21" s="974"/>
      <c r="MCM21" s="974"/>
      <c r="MCN21" s="974"/>
      <c r="MCO21" s="974"/>
      <c r="MCP21" s="974"/>
      <c r="MCQ21" s="974"/>
      <c r="MCR21" s="974"/>
      <c r="MCS21" s="974"/>
      <c r="MCT21" s="974"/>
      <c r="MCU21" s="974"/>
      <c r="MCV21" s="974"/>
      <c r="MCW21" s="974"/>
      <c r="MCX21" s="974"/>
      <c r="MCY21" s="974"/>
      <c r="MCZ21" s="974"/>
      <c r="MDA21" s="974"/>
      <c r="MDB21" s="974"/>
      <c r="MDC21" s="974"/>
      <c r="MDD21" s="974"/>
      <c r="MDE21" s="974"/>
      <c r="MDF21" s="974"/>
      <c r="MDG21" s="974"/>
      <c r="MDH21" s="974"/>
      <c r="MDI21" s="974"/>
      <c r="MDJ21" s="974"/>
      <c r="MDK21" s="974"/>
      <c r="MDL21" s="974"/>
      <c r="MDM21" s="974"/>
      <c r="MDN21" s="974"/>
      <c r="MDO21" s="974"/>
      <c r="MDP21" s="974"/>
      <c r="MDQ21" s="974"/>
      <c r="MDR21" s="974"/>
      <c r="MDS21" s="974"/>
      <c r="MDT21" s="974"/>
      <c r="MDU21" s="974"/>
      <c r="MDV21" s="974"/>
      <c r="MDW21" s="974"/>
      <c r="MDX21" s="974"/>
      <c r="MDY21" s="974"/>
      <c r="MDZ21" s="974"/>
      <c r="MEA21" s="974"/>
      <c r="MEB21" s="974"/>
      <c r="MEC21" s="974"/>
      <c r="MED21" s="974"/>
      <c r="MEE21" s="974"/>
      <c r="MEF21" s="974"/>
      <c r="MEG21" s="974"/>
      <c r="MEH21" s="974"/>
      <c r="MEI21" s="974"/>
      <c r="MEJ21" s="974"/>
      <c r="MEK21" s="974"/>
      <c r="MEL21" s="974"/>
      <c r="MEM21" s="974"/>
      <c r="MEN21" s="974"/>
      <c r="MEO21" s="974"/>
      <c r="MEP21" s="974"/>
      <c r="MEQ21" s="974"/>
      <c r="MER21" s="974"/>
      <c r="MES21" s="974"/>
      <c r="MET21" s="974"/>
      <c r="MEU21" s="974"/>
      <c r="MEV21" s="974"/>
      <c r="MEW21" s="974"/>
      <c r="MEX21" s="974"/>
      <c r="MEY21" s="974"/>
      <c r="MEZ21" s="974"/>
      <c r="MFA21" s="974"/>
      <c r="MFB21" s="974"/>
      <c r="MFC21" s="974"/>
      <c r="MFD21" s="974"/>
      <c r="MFE21" s="974"/>
      <c r="MFF21" s="974"/>
      <c r="MFG21" s="974"/>
      <c r="MFH21" s="974"/>
      <c r="MFI21" s="974"/>
      <c r="MFJ21" s="974"/>
      <c r="MFK21" s="974"/>
      <c r="MFL21" s="974"/>
      <c r="MFM21" s="974"/>
      <c r="MFN21" s="974"/>
      <c r="MFO21" s="974"/>
      <c r="MFP21" s="974"/>
      <c r="MFQ21" s="974"/>
      <c r="MFR21" s="974"/>
      <c r="MFS21" s="974"/>
      <c r="MFT21" s="974"/>
      <c r="MFU21" s="974"/>
      <c r="MFV21" s="974"/>
      <c r="MFW21" s="974"/>
      <c r="MFX21" s="974"/>
      <c r="MFY21" s="974"/>
      <c r="MFZ21" s="974"/>
      <c r="MGA21" s="974"/>
      <c r="MGB21" s="974"/>
      <c r="MGC21" s="974"/>
      <c r="MGD21" s="974"/>
      <c r="MGE21" s="974"/>
      <c r="MGF21" s="974"/>
      <c r="MGG21" s="974"/>
      <c r="MGH21" s="974"/>
      <c r="MGI21" s="974"/>
      <c r="MGJ21" s="974"/>
      <c r="MGK21" s="974"/>
      <c r="MGL21" s="974"/>
      <c r="MGM21" s="974"/>
      <c r="MGN21" s="974"/>
      <c r="MGO21" s="974"/>
      <c r="MGP21" s="974"/>
      <c r="MGQ21" s="974"/>
      <c r="MGR21" s="974"/>
      <c r="MGS21" s="974"/>
      <c r="MGT21" s="974"/>
      <c r="MGU21" s="974"/>
      <c r="MGV21" s="974"/>
      <c r="MGW21" s="974"/>
      <c r="MGX21" s="974"/>
      <c r="MGY21" s="974"/>
      <c r="MGZ21" s="974"/>
      <c r="MHA21" s="974"/>
      <c r="MHB21" s="974"/>
      <c r="MHC21" s="974"/>
      <c r="MHD21" s="974"/>
      <c r="MHE21" s="974"/>
      <c r="MHF21" s="974"/>
      <c r="MHG21" s="974"/>
      <c r="MHH21" s="974"/>
      <c r="MHI21" s="974"/>
      <c r="MHJ21" s="974"/>
      <c r="MHK21" s="974"/>
      <c r="MHL21" s="974"/>
      <c r="MHM21" s="974"/>
      <c r="MHN21" s="974"/>
      <c r="MHO21" s="974"/>
      <c r="MHP21" s="974"/>
      <c r="MHQ21" s="974"/>
      <c r="MHR21" s="974"/>
      <c r="MHS21" s="974"/>
      <c r="MHT21" s="974"/>
      <c r="MHU21" s="974"/>
      <c r="MHV21" s="974"/>
      <c r="MHW21" s="974"/>
      <c r="MHX21" s="974"/>
      <c r="MHY21" s="974"/>
      <c r="MHZ21" s="974"/>
      <c r="MIA21" s="974"/>
      <c r="MIB21" s="974"/>
      <c r="MIC21" s="974"/>
      <c r="MID21" s="974"/>
      <c r="MIE21" s="974"/>
      <c r="MIF21" s="974"/>
      <c r="MIG21" s="974"/>
      <c r="MIH21" s="974"/>
      <c r="MII21" s="974"/>
      <c r="MIJ21" s="974"/>
      <c r="MIK21" s="974"/>
      <c r="MIL21" s="974"/>
      <c r="MIM21" s="974"/>
      <c r="MIN21" s="974"/>
      <c r="MIO21" s="974"/>
      <c r="MIP21" s="974"/>
      <c r="MIQ21" s="974"/>
      <c r="MIR21" s="974"/>
      <c r="MIS21" s="974"/>
      <c r="MIT21" s="974"/>
      <c r="MIU21" s="974"/>
      <c r="MIV21" s="974"/>
      <c r="MIW21" s="974"/>
      <c r="MIX21" s="974"/>
      <c r="MIY21" s="974"/>
      <c r="MIZ21" s="974"/>
      <c r="MJA21" s="974"/>
      <c r="MJB21" s="974"/>
      <c r="MJC21" s="974"/>
      <c r="MJD21" s="974"/>
      <c r="MJE21" s="974"/>
      <c r="MJF21" s="974"/>
      <c r="MJG21" s="974"/>
      <c r="MJH21" s="974"/>
      <c r="MJI21" s="974"/>
      <c r="MJJ21" s="974"/>
      <c r="MJK21" s="974"/>
      <c r="MJL21" s="974"/>
      <c r="MJM21" s="974"/>
      <c r="MJN21" s="974"/>
      <c r="MJO21" s="974"/>
      <c r="MJP21" s="974"/>
      <c r="MJQ21" s="974"/>
      <c r="MJR21" s="974"/>
      <c r="MJS21" s="974"/>
      <c r="MJT21" s="974"/>
      <c r="MJU21" s="974"/>
      <c r="MJV21" s="974"/>
      <c r="MJW21" s="974"/>
      <c r="MJX21" s="974"/>
      <c r="MJY21" s="974"/>
      <c r="MJZ21" s="974"/>
      <c r="MKA21" s="974"/>
      <c r="MKB21" s="974"/>
      <c r="MKC21" s="974"/>
      <c r="MKD21" s="974"/>
      <c r="MKE21" s="974"/>
      <c r="MKF21" s="974"/>
      <c r="MKG21" s="974"/>
      <c r="MKH21" s="974"/>
      <c r="MKI21" s="974"/>
      <c r="MKJ21" s="974"/>
      <c r="MKK21" s="974"/>
      <c r="MKL21" s="974"/>
      <c r="MKM21" s="974"/>
      <c r="MKN21" s="974"/>
      <c r="MKO21" s="974"/>
      <c r="MKP21" s="974"/>
      <c r="MKQ21" s="974"/>
      <c r="MKR21" s="974"/>
      <c r="MKS21" s="974"/>
      <c r="MKT21" s="974"/>
      <c r="MKU21" s="974"/>
      <c r="MKV21" s="974"/>
      <c r="MKW21" s="974"/>
      <c r="MKX21" s="974"/>
      <c r="MKY21" s="974"/>
      <c r="MKZ21" s="974"/>
      <c r="MLA21" s="974"/>
      <c r="MLB21" s="974"/>
      <c r="MLC21" s="974"/>
      <c r="MLD21" s="974"/>
      <c r="MLE21" s="974"/>
      <c r="MLF21" s="974"/>
      <c r="MLG21" s="974"/>
      <c r="MLH21" s="974"/>
      <c r="MLI21" s="974"/>
      <c r="MLJ21" s="974"/>
      <c r="MLK21" s="974"/>
      <c r="MLL21" s="974"/>
      <c r="MLM21" s="974"/>
      <c r="MLN21" s="974"/>
      <c r="MLO21" s="974"/>
      <c r="MLP21" s="974"/>
      <c r="MLQ21" s="974"/>
      <c r="MLR21" s="974"/>
      <c r="MLS21" s="974"/>
      <c r="MLT21" s="974"/>
      <c r="MLU21" s="974"/>
      <c r="MLV21" s="974"/>
      <c r="MLW21" s="974"/>
      <c r="MLX21" s="974"/>
      <c r="MLY21" s="974"/>
      <c r="MLZ21" s="974"/>
      <c r="MMA21" s="974"/>
      <c r="MMB21" s="974"/>
      <c r="MMC21" s="974"/>
      <c r="MMD21" s="974"/>
      <c r="MME21" s="974"/>
      <c r="MMF21" s="974"/>
      <c r="MMG21" s="974"/>
      <c r="MMH21" s="974"/>
      <c r="MMI21" s="974"/>
      <c r="MMJ21" s="974"/>
      <c r="MMK21" s="974"/>
      <c r="MML21" s="974"/>
      <c r="MMM21" s="974"/>
      <c r="MMN21" s="974"/>
      <c r="MMO21" s="974"/>
      <c r="MMP21" s="974"/>
      <c r="MMQ21" s="974"/>
      <c r="MMR21" s="974"/>
      <c r="MMS21" s="974"/>
      <c r="MMT21" s="974"/>
      <c r="MMU21" s="974"/>
      <c r="MMV21" s="974"/>
      <c r="MMW21" s="974"/>
      <c r="MMX21" s="974"/>
      <c r="MMY21" s="974"/>
      <c r="MMZ21" s="974"/>
      <c r="MNA21" s="974"/>
      <c r="MNB21" s="974"/>
      <c r="MNC21" s="974"/>
      <c r="MND21" s="974"/>
      <c r="MNE21" s="974"/>
      <c r="MNF21" s="974"/>
      <c r="MNG21" s="974"/>
      <c r="MNH21" s="974"/>
      <c r="MNI21" s="974"/>
      <c r="MNJ21" s="974"/>
      <c r="MNK21" s="974"/>
      <c r="MNL21" s="974"/>
      <c r="MNM21" s="974"/>
      <c r="MNN21" s="974"/>
      <c r="MNO21" s="974"/>
      <c r="MNP21" s="974"/>
      <c r="MNQ21" s="974"/>
      <c r="MNR21" s="974"/>
      <c r="MNS21" s="974"/>
      <c r="MNT21" s="974"/>
      <c r="MNU21" s="974"/>
      <c r="MNV21" s="974"/>
      <c r="MNW21" s="974"/>
      <c r="MNX21" s="974"/>
      <c r="MNY21" s="974"/>
      <c r="MNZ21" s="974"/>
      <c r="MOA21" s="974"/>
      <c r="MOB21" s="974"/>
      <c r="MOC21" s="974"/>
      <c r="MOD21" s="974"/>
      <c r="MOE21" s="974"/>
      <c r="MOF21" s="974"/>
      <c r="MOG21" s="974"/>
      <c r="MOH21" s="974"/>
      <c r="MOI21" s="974"/>
      <c r="MOJ21" s="974"/>
      <c r="MOK21" s="974"/>
      <c r="MOL21" s="974"/>
      <c r="MOM21" s="974"/>
      <c r="MON21" s="974"/>
      <c r="MOO21" s="974"/>
      <c r="MOP21" s="974"/>
      <c r="MOQ21" s="974"/>
      <c r="MOR21" s="974"/>
      <c r="MOS21" s="974"/>
      <c r="MOT21" s="974"/>
      <c r="MOU21" s="974"/>
      <c r="MOV21" s="974"/>
      <c r="MOW21" s="974"/>
      <c r="MOX21" s="974"/>
      <c r="MOY21" s="974"/>
      <c r="MOZ21" s="974"/>
      <c r="MPA21" s="974"/>
      <c r="MPB21" s="974"/>
      <c r="MPC21" s="974"/>
      <c r="MPD21" s="974"/>
      <c r="MPE21" s="974"/>
      <c r="MPF21" s="974"/>
      <c r="MPG21" s="974"/>
      <c r="MPH21" s="974"/>
      <c r="MPI21" s="974"/>
      <c r="MPJ21" s="974"/>
      <c r="MPK21" s="974"/>
      <c r="MPL21" s="974"/>
      <c r="MPM21" s="974"/>
      <c r="MPN21" s="974"/>
      <c r="MPO21" s="974"/>
      <c r="MPP21" s="974"/>
      <c r="MPQ21" s="974"/>
      <c r="MPR21" s="974"/>
      <c r="MPS21" s="974"/>
      <c r="MPT21" s="974"/>
      <c r="MPU21" s="974"/>
      <c r="MPV21" s="974"/>
      <c r="MPW21" s="974"/>
      <c r="MPX21" s="974"/>
      <c r="MPY21" s="974"/>
      <c r="MPZ21" s="974"/>
      <c r="MQA21" s="974"/>
      <c r="MQB21" s="974"/>
      <c r="MQC21" s="974"/>
      <c r="MQD21" s="974"/>
      <c r="MQE21" s="974"/>
      <c r="MQF21" s="974"/>
      <c r="MQG21" s="974"/>
      <c r="MQH21" s="974"/>
      <c r="MQI21" s="974"/>
      <c r="MQJ21" s="974"/>
      <c r="MQK21" s="974"/>
      <c r="MQL21" s="974"/>
      <c r="MQM21" s="974"/>
      <c r="MQN21" s="974"/>
      <c r="MQO21" s="974"/>
      <c r="MQP21" s="974"/>
      <c r="MQQ21" s="974"/>
      <c r="MQR21" s="974"/>
      <c r="MQS21" s="974"/>
      <c r="MQT21" s="974"/>
      <c r="MQU21" s="974"/>
      <c r="MQV21" s="974"/>
      <c r="MQW21" s="974"/>
      <c r="MQX21" s="974"/>
      <c r="MQY21" s="974"/>
      <c r="MQZ21" s="974"/>
      <c r="MRA21" s="974"/>
      <c r="MRB21" s="974"/>
      <c r="MRC21" s="974"/>
      <c r="MRD21" s="974"/>
      <c r="MRE21" s="974"/>
      <c r="MRF21" s="974"/>
      <c r="MRG21" s="974"/>
      <c r="MRH21" s="974"/>
      <c r="MRI21" s="974"/>
      <c r="MRJ21" s="974"/>
      <c r="MRK21" s="974"/>
      <c r="MRL21" s="974"/>
      <c r="MRM21" s="974"/>
      <c r="MRN21" s="974"/>
      <c r="MRO21" s="974"/>
      <c r="MRP21" s="974"/>
      <c r="MRQ21" s="974"/>
      <c r="MRR21" s="974"/>
      <c r="MRS21" s="974"/>
      <c r="MRT21" s="974"/>
      <c r="MRU21" s="974"/>
      <c r="MRV21" s="974"/>
      <c r="MRW21" s="974"/>
      <c r="MRX21" s="974"/>
      <c r="MRY21" s="974"/>
      <c r="MRZ21" s="974"/>
      <c r="MSA21" s="974"/>
      <c r="MSB21" s="974"/>
      <c r="MSC21" s="974"/>
      <c r="MSD21" s="974"/>
      <c r="MSE21" s="974"/>
      <c r="MSF21" s="974"/>
      <c r="MSG21" s="974"/>
      <c r="MSH21" s="974"/>
      <c r="MSI21" s="974"/>
      <c r="MSJ21" s="974"/>
      <c r="MSK21" s="974"/>
      <c r="MSL21" s="974"/>
      <c r="MSM21" s="974"/>
      <c r="MSN21" s="974"/>
      <c r="MSO21" s="974"/>
      <c r="MSP21" s="974"/>
      <c r="MSQ21" s="974"/>
      <c r="MSR21" s="974"/>
      <c r="MSS21" s="974"/>
      <c r="MST21" s="974"/>
      <c r="MSU21" s="974"/>
      <c r="MSV21" s="974"/>
      <c r="MSW21" s="974"/>
      <c r="MSX21" s="974"/>
      <c r="MSY21" s="974"/>
      <c r="MSZ21" s="974"/>
      <c r="MTA21" s="974"/>
      <c r="MTB21" s="974"/>
      <c r="MTC21" s="974"/>
      <c r="MTD21" s="974"/>
      <c r="MTE21" s="974"/>
      <c r="MTF21" s="974"/>
      <c r="MTG21" s="974"/>
      <c r="MTH21" s="974"/>
      <c r="MTI21" s="974"/>
      <c r="MTJ21" s="974"/>
      <c r="MTK21" s="974"/>
      <c r="MTL21" s="974"/>
      <c r="MTM21" s="974"/>
      <c r="MTN21" s="974"/>
      <c r="MTO21" s="974"/>
      <c r="MTP21" s="974"/>
      <c r="MTQ21" s="974"/>
      <c r="MTR21" s="974"/>
      <c r="MTS21" s="974"/>
      <c r="MTT21" s="974"/>
      <c r="MTU21" s="974"/>
      <c r="MTV21" s="974"/>
      <c r="MTW21" s="974"/>
      <c r="MTX21" s="974"/>
      <c r="MTY21" s="974"/>
      <c r="MTZ21" s="974"/>
      <c r="MUA21" s="974"/>
      <c r="MUB21" s="974"/>
      <c r="MUC21" s="974"/>
      <c r="MUD21" s="974"/>
      <c r="MUE21" s="974"/>
      <c r="MUF21" s="974"/>
      <c r="MUG21" s="974"/>
      <c r="MUH21" s="974"/>
      <c r="MUI21" s="974"/>
      <c r="MUJ21" s="974"/>
      <c r="MUK21" s="974"/>
      <c r="MUL21" s="974"/>
      <c r="MUM21" s="974"/>
      <c r="MUN21" s="974"/>
      <c r="MUO21" s="974"/>
      <c r="MUP21" s="974"/>
      <c r="MUQ21" s="974"/>
      <c r="MUR21" s="974"/>
      <c r="MUS21" s="974"/>
      <c r="MUT21" s="974"/>
      <c r="MUU21" s="974"/>
      <c r="MUV21" s="974"/>
      <c r="MUW21" s="974"/>
      <c r="MUX21" s="974"/>
      <c r="MUY21" s="974"/>
      <c r="MUZ21" s="974"/>
      <c r="MVA21" s="974"/>
      <c r="MVB21" s="974"/>
      <c r="MVC21" s="974"/>
      <c r="MVD21" s="974"/>
      <c r="MVE21" s="974"/>
      <c r="MVF21" s="974"/>
      <c r="MVG21" s="974"/>
      <c r="MVH21" s="974"/>
      <c r="MVI21" s="974"/>
      <c r="MVJ21" s="974"/>
      <c r="MVK21" s="974"/>
      <c r="MVL21" s="974"/>
      <c r="MVM21" s="974"/>
      <c r="MVN21" s="974"/>
      <c r="MVO21" s="974"/>
      <c r="MVP21" s="974"/>
      <c r="MVQ21" s="974"/>
      <c r="MVR21" s="974"/>
      <c r="MVS21" s="974"/>
      <c r="MVT21" s="974"/>
      <c r="MVU21" s="974"/>
      <c r="MVV21" s="974"/>
      <c r="MVW21" s="974"/>
      <c r="MVX21" s="974"/>
      <c r="MVY21" s="974"/>
      <c r="MVZ21" s="974"/>
      <c r="MWA21" s="974"/>
      <c r="MWB21" s="974"/>
      <c r="MWC21" s="974"/>
      <c r="MWD21" s="974"/>
      <c r="MWE21" s="974"/>
      <c r="MWF21" s="974"/>
      <c r="MWG21" s="974"/>
      <c r="MWH21" s="974"/>
      <c r="MWI21" s="974"/>
      <c r="MWJ21" s="974"/>
      <c r="MWK21" s="974"/>
      <c r="MWL21" s="974"/>
      <c r="MWM21" s="974"/>
      <c r="MWN21" s="974"/>
      <c r="MWO21" s="974"/>
      <c r="MWP21" s="974"/>
      <c r="MWQ21" s="974"/>
      <c r="MWR21" s="974"/>
      <c r="MWS21" s="974"/>
      <c r="MWT21" s="974"/>
      <c r="MWU21" s="974"/>
      <c r="MWV21" s="974"/>
      <c r="MWW21" s="974"/>
      <c r="MWX21" s="974"/>
      <c r="MWY21" s="974"/>
      <c r="MWZ21" s="974"/>
      <c r="MXA21" s="974"/>
      <c r="MXB21" s="974"/>
      <c r="MXC21" s="974"/>
      <c r="MXD21" s="974"/>
      <c r="MXE21" s="974"/>
      <c r="MXF21" s="974"/>
      <c r="MXG21" s="974"/>
      <c r="MXH21" s="974"/>
      <c r="MXI21" s="974"/>
      <c r="MXJ21" s="974"/>
      <c r="MXK21" s="974"/>
      <c r="MXL21" s="974"/>
      <c r="MXM21" s="974"/>
      <c r="MXN21" s="974"/>
      <c r="MXO21" s="974"/>
      <c r="MXP21" s="974"/>
      <c r="MXQ21" s="974"/>
      <c r="MXR21" s="974"/>
      <c r="MXS21" s="974"/>
      <c r="MXT21" s="974"/>
      <c r="MXU21" s="974"/>
      <c r="MXV21" s="974"/>
      <c r="MXW21" s="974"/>
      <c r="MXX21" s="974"/>
      <c r="MXY21" s="974"/>
      <c r="MXZ21" s="974"/>
      <c r="MYA21" s="974"/>
      <c r="MYB21" s="974"/>
      <c r="MYC21" s="974"/>
      <c r="MYD21" s="974"/>
      <c r="MYE21" s="974"/>
      <c r="MYF21" s="974"/>
      <c r="MYG21" s="974"/>
      <c r="MYH21" s="974"/>
      <c r="MYI21" s="974"/>
      <c r="MYJ21" s="974"/>
      <c r="MYK21" s="974"/>
      <c r="MYL21" s="974"/>
      <c r="MYM21" s="974"/>
      <c r="MYN21" s="974"/>
      <c r="MYO21" s="974"/>
      <c r="MYP21" s="974"/>
      <c r="MYQ21" s="974"/>
      <c r="MYR21" s="974"/>
      <c r="MYS21" s="974"/>
      <c r="MYT21" s="974"/>
      <c r="MYU21" s="974"/>
      <c r="MYV21" s="974"/>
      <c r="MYW21" s="974"/>
      <c r="MYX21" s="974"/>
      <c r="MYY21" s="974"/>
      <c r="MYZ21" s="974"/>
      <c r="MZA21" s="974"/>
      <c r="MZB21" s="974"/>
      <c r="MZC21" s="974"/>
      <c r="MZD21" s="974"/>
      <c r="MZE21" s="974"/>
      <c r="MZF21" s="974"/>
      <c r="MZG21" s="974"/>
      <c r="MZH21" s="974"/>
      <c r="MZI21" s="974"/>
      <c r="MZJ21" s="974"/>
      <c r="MZK21" s="974"/>
      <c r="MZL21" s="974"/>
      <c r="MZM21" s="974"/>
      <c r="MZN21" s="974"/>
      <c r="MZO21" s="974"/>
      <c r="MZP21" s="974"/>
      <c r="MZQ21" s="974"/>
      <c r="MZR21" s="974"/>
      <c r="MZS21" s="974"/>
      <c r="MZT21" s="974"/>
      <c r="MZU21" s="974"/>
      <c r="MZV21" s="974"/>
      <c r="MZW21" s="974"/>
      <c r="MZX21" s="974"/>
      <c r="MZY21" s="974"/>
      <c r="MZZ21" s="974"/>
      <c r="NAA21" s="974"/>
      <c r="NAB21" s="974"/>
      <c r="NAC21" s="974"/>
      <c r="NAD21" s="974"/>
      <c r="NAE21" s="974"/>
      <c r="NAF21" s="974"/>
      <c r="NAG21" s="974"/>
      <c r="NAH21" s="974"/>
      <c r="NAI21" s="974"/>
      <c r="NAJ21" s="974"/>
      <c r="NAK21" s="974"/>
      <c r="NAL21" s="974"/>
      <c r="NAM21" s="974"/>
      <c r="NAN21" s="974"/>
      <c r="NAO21" s="974"/>
      <c r="NAP21" s="974"/>
      <c r="NAQ21" s="974"/>
      <c r="NAR21" s="974"/>
      <c r="NAS21" s="974"/>
      <c r="NAT21" s="974"/>
      <c r="NAU21" s="974"/>
      <c r="NAV21" s="974"/>
      <c r="NAW21" s="974"/>
      <c r="NAX21" s="974"/>
      <c r="NAY21" s="974"/>
      <c r="NAZ21" s="974"/>
      <c r="NBA21" s="974"/>
      <c r="NBB21" s="974"/>
      <c r="NBC21" s="974"/>
      <c r="NBD21" s="974"/>
      <c r="NBE21" s="974"/>
      <c r="NBF21" s="974"/>
      <c r="NBG21" s="974"/>
      <c r="NBH21" s="974"/>
      <c r="NBI21" s="974"/>
      <c r="NBJ21" s="974"/>
      <c r="NBK21" s="974"/>
      <c r="NBL21" s="974"/>
      <c r="NBM21" s="974"/>
      <c r="NBN21" s="974"/>
      <c r="NBO21" s="974"/>
      <c r="NBP21" s="974"/>
      <c r="NBQ21" s="974"/>
      <c r="NBR21" s="974"/>
      <c r="NBS21" s="974"/>
      <c r="NBT21" s="974"/>
      <c r="NBU21" s="974"/>
      <c r="NBV21" s="974"/>
      <c r="NBW21" s="974"/>
      <c r="NBX21" s="974"/>
      <c r="NBY21" s="974"/>
      <c r="NBZ21" s="974"/>
      <c r="NCA21" s="974"/>
      <c r="NCB21" s="974"/>
      <c r="NCC21" s="974"/>
      <c r="NCD21" s="974"/>
      <c r="NCE21" s="974"/>
      <c r="NCF21" s="974"/>
      <c r="NCG21" s="974"/>
      <c r="NCH21" s="974"/>
      <c r="NCI21" s="974"/>
      <c r="NCJ21" s="974"/>
      <c r="NCK21" s="974"/>
      <c r="NCL21" s="974"/>
      <c r="NCM21" s="974"/>
      <c r="NCN21" s="974"/>
      <c r="NCO21" s="974"/>
      <c r="NCP21" s="974"/>
      <c r="NCQ21" s="974"/>
      <c r="NCR21" s="974"/>
      <c r="NCS21" s="974"/>
      <c r="NCT21" s="974"/>
      <c r="NCU21" s="974"/>
      <c r="NCV21" s="974"/>
      <c r="NCW21" s="974"/>
      <c r="NCX21" s="974"/>
      <c r="NCY21" s="974"/>
      <c r="NCZ21" s="974"/>
      <c r="NDA21" s="974"/>
      <c r="NDB21" s="974"/>
      <c r="NDC21" s="974"/>
      <c r="NDD21" s="974"/>
      <c r="NDE21" s="974"/>
      <c r="NDF21" s="974"/>
      <c r="NDG21" s="974"/>
      <c r="NDH21" s="974"/>
      <c r="NDI21" s="974"/>
      <c r="NDJ21" s="974"/>
      <c r="NDK21" s="974"/>
      <c r="NDL21" s="974"/>
      <c r="NDM21" s="974"/>
      <c r="NDN21" s="974"/>
      <c r="NDO21" s="974"/>
      <c r="NDP21" s="974"/>
      <c r="NDQ21" s="974"/>
      <c r="NDR21" s="974"/>
      <c r="NDS21" s="974"/>
      <c r="NDT21" s="974"/>
      <c r="NDU21" s="974"/>
      <c r="NDV21" s="974"/>
      <c r="NDW21" s="974"/>
      <c r="NDX21" s="974"/>
      <c r="NDY21" s="974"/>
      <c r="NDZ21" s="974"/>
      <c r="NEA21" s="974"/>
      <c r="NEB21" s="974"/>
      <c r="NEC21" s="974"/>
      <c r="NED21" s="974"/>
      <c r="NEE21" s="974"/>
      <c r="NEF21" s="974"/>
      <c r="NEG21" s="974"/>
      <c r="NEH21" s="974"/>
      <c r="NEI21" s="974"/>
      <c r="NEJ21" s="974"/>
      <c r="NEK21" s="974"/>
      <c r="NEL21" s="974"/>
      <c r="NEM21" s="974"/>
      <c r="NEN21" s="974"/>
      <c r="NEO21" s="974"/>
      <c r="NEP21" s="974"/>
      <c r="NEQ21" s="974"/>
      <c r="NER21" s="974"/>
      <c r="NES21" s="974"/>
      <c r="NET21" s="974"/>
      <c r="NEU21" s="974"/>
      <c r="NEV21" s="974"/>
      <c r="NEW21" s="974"/>
      <c r="NEX21" s="974"/>
      <c r="NEY21" s="974"/>
      <c r="NEZ21" s="974"/>
      <c r="NFA21" s="974"/>
      <c r="NFB21" s="974"/>
      <c r="NFC21" s="974"/>
      <c r="NFD21" s="974"/>
      <c r="NFE21" s="974"/>
      <c r="NFF21" s="974"/>
      <c r="NFG21" s="974"/>
      <c r="NFH21" s="974"/>
      <c r="NFI21" s="974"/>
      <c r="NFJ21" s="974"/>
      <c r="NFK21" s="974"/>
      <c r="NFL21" s="974"/>
      <c r="NFM21" s="974"/>
      <c r="NFN21" s="974"/>
      <c r="NFO21" s="974"/>
      <c r="NFP21" s="974"/>
      <c r="NFQ21" s="974"/>
      <c r="NFR21" s="974"/>
      <c r="NFS21" s="974"/>
      <c r="NFT21" s="974"/>
      <c r="NFU21" s="974"/>
      <c r="NFV21" s="974"/>
      <c r="NFW21" s="974"/>
      <c r="NFX21" s="974"/>
      <c r="NFY21" s="974"/>
      <c r="NFZ21" s="974"/>
      <c r="NGA21" s="974"/>
      <c r="NGB21" s="974"/>
      <c r="NGC21" s="974"/>
      <c r="NGD21" s="974"/>
      <c r="NGE21" s="974"/>
      <c r="NGF21" s="974"/>
      <c r="NGG21" s="974"/>
      <c r="NGH21" s="974"/>
      <c r="NGI21" s="974"/>
      <c r="NGJ21" s="974"/>
      <c r="NGK21" s="974"/>
      <c r="NGL21" s="974"/>
      <c r="NGM21" s="974"/>
      <c r="NGN21" s="974"/>
      <c r="NGO21" s="974"/>
      <c r="NGP21" s="974"/>
      <c r="NGQ21" s="974"/>
      <c r="NGR21" s="974"/>
      <c r="NGS21" s="974"/>
      <c r="NGT21" s="974"/>
      <c r="NGU21" s="974"/>
      <c r="NGV21" s="974"/>
      <c r="NGW21" s="974"/>
      <c r="NGX21" s="974"/>
      <c r="NGY21" s="974"/>
      <c r="NGZ21" s="974"/>
      <c r="NHA21" s="974"/>
      <c r="NHB21" s="974"/>
      <c r="NHC21" s="974"/>
      <c r="NHD21" s="974"/>
      <c r="NHE21" s="974"/>
      <c r="NHF21" s="974"/>
      <c r="NHG21" s="974"/>
      <c r="NHH21" s="974"/>
      <c r="NHI21" s="974"/>
      <c r="NHJ21" s="974"/>
      <c r="NHK21" s="974"/>
      <c r="NHL21" s="974"/>
      <c r="NHM21" s="974"/>
      <c r="NHN21" s="974"/>
      <c r="NHO21" s="974"/>
      <c r="NHP21" s="974"/>
      <c r="NHQ21" s="974"/>
      <c r="NHR21" s="974"/>
      <c r="NHS21" s="974"/>
      <c r="NHT21" s="974"/>
      <c r="NHU21" s="974"/>
      <c r="NHV21" s="974"/>
      <c r="NHW21" s="974"/>
      <c r="NHX21" s="974"/>
      <c r="NHY21" s="974"/>
      <c r="NHZ21" s="974"/>
      <c r="NIA21" s="974"/>
      <c r="NIB21" s="974"/>
      <c r="NIC21" s="974"/>
      <c r="NID21" s="974"/>
      <c r="NIE21" s="974"/>
      <c r="NIF21" s="974"/>
      <c r="NIG21" s="974"/>
      <c r="NIH21" s="974"/>
      <c r="NII21" s="974"/>
      <c r="NIJ21" s="974"/>
      <c r="NIK21" s="974"/>
      <c r="NIL21" s="974"/>
      <c r="NIM21" s="974"/>
      <c r="NIN21" s="974"/>
      <c r="NIO21" s="974"/>
      <c r="NIP21" s="974"/>
      <c r="NIQ21" s="974"/>
      <c r="NIR21" s="974"/>
      <c r="NIS21" s="974"/>
      <c r="NIT21" s="974"/>
      <c r="NIU21" s="974"/>
      <c r="NIV21" s="974"/>
      <c r="NIW21" s="974"/>
      <c r="NIX21" s="974"/>
      <c r="NIY21" s="974"/>
      <c r="NIZ21" s="974"/>
      <c r="NJA21" s="974"/>
      <c r="NJB21" s="974"/>
      <c r="NJC21" s="974"/>
      <c r="NJD21" s="974"/>
      <c r="NJE21" s="974"/>
      <c r="NJF21" s="974"/>
      <c r="NJG21" s="974"/>
      <c r="NJH21" s="974"/>
      <c r="NJI21" s="974"/>
      <c r="NJJ21" s="974"/>
      <c r="NJK21" s="974"/>
      <c r="NJL21" s="974"/>
      <c r="NJM21" s="974"/>
      <c r="NJN21" s="974"/>
      <c r="NJO21" s="974"/>
      <c r="NJP21" s="974"/>
      <c r="NJQ21" s="974"/>
      <c r="NJR21" s="974"/>
      <c r="NJS21" s="974"/>
      <c r="NJT21" s="974"/>
      <c r="NJU21" s="974"/>
      <c r="NJV21" s="974"/>
      <c r="NJW21" s="974"/>
      <c r="NJX21" s="974"/>
      <c r="NJY21" s="974"/>
      <c r="NJZ21" s="974"/>
      <c r="NKA21" s="974"/>
      <c r="NKB21" s="974"/>
      <c r="NKC21" s="974"/>
      <c r="NKD21" s="974"/>
      <c r="NKE21" s="974"/>
      <c r="NKF21" s="974"/>
      <c r="NKG21" s="974"/>
      <c r="NKH21" s="974"/>
      <c r="NKI21" s="974"/>
      <c r="NKJ21" s="974"/>
      <c r="NKK21" s="974"/>
      <c r="NKL21" s="974"/>
      <c r="NKM21" s="974"/>
      <c r="NKN21" s="974"/>
      <c r="NKO21" s="974"/>
      <c r="NKP21" s="974"/>
      <c r="NKQ21" s="974"/>
      <c r="NKR21" s="974"/>
      <c r="NKS21" s="974"/>
      <c r="NKT21" s="974"/>
      <c r="NKU21" s="974"/>
      <c r="NKV21" s="974"/>
      <c r="NKW21" s="974"/>
      <c r="NKX21" s="974"/>
      <c r="NKY21" s="974"/>
      <c r="NKZ21" s="974"/>
      <c r="NLA21" s="974"/>
      <c r="NLB21" s="974"/>
      <c r="NLC21" s="974"/>
      <c r="NLD21" s="974"/>
      <c r="NLE21" s="974"/>
      <c r="NLF21" s="974"/>
      <c r="NLG21" s="974"/>
      <c r="NLH21" s="974"/>
      <c r="NLI21" s="974"/>
      <c r="NLJ21" s="974"/>
      <c r="NLK21" s="974"/>
      <c r="NLL21" s="974"/>
      <c r="NLM21" s="974"/>
      <c r="NLN21" s="974"/>
      <c r="NLO21" s="974"/>
      <c r="NLP21" s="974"/>
      <c r="NLQ21" s="974"/>
      <c r="NLR21" s="974"/>
      <c r="NLS21" s="974"/>
      <c r="NLT21" s="974"/>
      <c r="NLU21" s="974"/>
      <c r="NLV21" s="974"/>
      <c r="NLW21" s="974"/>
      <c r="NLX21" s="974"/>
      <c r="NLY21" s="974"/>
      <c r="NLZ21" s="974"/>
      <c r="NMA21" s="974"/>
      <c r="NMB21" s="974"/>
      <c r="NMC21" s="974"/>
      <c r="NMD21" s="974"/>
      <c r="NME21" s="974"/>
      <c r="NMF21" s="974"/>
      <c r="NMG21" s="974"/>
      <c r="NMH21" s="974"/>
      <c r="NMI21" s="974"/>
      <c r="NMJ21" s="974"/>
      <c r="NMK21" s="974"/>
      <c r="NML21" s="974"/>
      <c r="NMM21" s="974"/>
      <c r="NMN21" s="974"/>
      <c r="NMO21" s="974"/>
      <c r="NMP21" s="974"/>
      <c r="NMQ21" s="974"/>
      <c r="NMR21" s="974"/>
      <c r="NMS21" s="974"/>
      <c r="NMT21" s="974"/>
      <c r="NMU21" s="974"/>
      <c r="NMV21" s="974"/>
      <c r="NMW21" s="974"/>
      <c r="NMX21" s="974"/>
      <c r="NMY21" s="974"/>
      <c r="NMZ21" s="974"/>
      <c r="NNA21" s="974"/>
      <c r="NNB21" s="974"/>
      <c r="NNC21" s="974"/>
      <c r="NND21" s="974"/>
      <c r="NNE21" s="974"/>
      <c r="NNF21" s="974"/>
      <c r="NNG21" s="974"/>
      <c r="NNH21" s="974"/>
      <c r="NNI21" s="974"/>
      <c r="NNJ21" s="974"/>
      <c r="NNK21" s="974"/>
      <c r="NNL21" s="974"/>
      <c r="NNM21" s="974"/>
      <c r="NNN21" s="974"/>
      <c r="NNO21" s="974"/>
      <c r="NNP21" s="974"/>
      <c r="NNQ21" s="974"/>
      <c r="NNR21" s="974"/>
      <c r="NNS21" s="974"/>
      <c r="NNT21" s="974"/>
      <c r="NNU21" s="974"/>
      <c r="NNV21" s="974"/>
      <c r="NNW21" s="974"/>
      <c r="NNX21" s="974"/>
      <c r="NNY21" s="974"/>
      <c r="NNZ21" s="974"/>
      <c r="NOA21" s="974"/>
      <c r="NOB21" s="974"/>
      <c r="NOC21" s="974"/>
      <c r="NOD21" s="974"/>
      <c r="NOE21" s="974"/>
      <c r="NOF21" s="974"/>
      <c r="NOG21" s="974"/>
      <c r="NOH21" s="974"/>
      <c r="NOI21" s="974"/>
      <c r="NOJ21" s="974"/>
      <c r="NOK21" s="974"/>
      <c r="NOL21" s="974"/>
      <c r="NOM21" s="974"/>
      <c r="NON21" s="974"/>
      <c r="NOO21" s="974"/>
      <c r="NOP21" s="974"/>
      <c r="NOQ21" s="974"/>
      <c r="NOR21" s="974"/>
      <c r="NOS21" s="974"/>
      <c r="NOT21" s="974"/>
      <c r="NOU21" s="974"/>
      <c r="NOV21" s="974"/>
      <c r="NOW21" s="974"/>
      <c r="NOX21" s="974"/>
      <c r="NOY21" s="974"/>
      <c r="NOZ21" s="974"/>
      <c r="NPA21" s="974"/>
      <c r="NPB21" s="974"/>
      <c r="NPC21" s="974"/>
      <c r="NPD21" s="974"/>
      <c r="NPE21" s="974"/>
      <c r="NPF21" s="974"/>
      <c r="NPG21" s="974"/>
      <c r="NPH21" s="974"/>
      <c r="NPI21" s="974"/>
      <c r="NPJ21" s="974"/>
      <c r="NPK21" s="974"/>
      <c r="NPL21" s="974"/>
      <c r="NPM21" s="974"/>
      <c r="NPN21" s="974"/>
      <c r="NPO21" s="974"/>
      <c r="NPP21" s="974"/>
      <c r="NPQ21" s="974"/>
      <c r="NPR21" s="974"/>
      <c r="NPS21" s="974"/>
      <c r="NPT21" s="974"/>
      <c r="NPU21" s="974"/>
      <c r="NPV21" s="974"/>
      <c r="NPW21" s="974"/>
      <c r="NPX21" s="974"/>
      <c r="NPY21" s="974"/>
      <c r="NPZ21" s="974"/>
      <c r="NQA21" s="974"/>
      <c r="NQB21" s="974"/>
      <c r="NQC21" s="974"/>
      <c r="NQD21" s="974"/>
      <c r="NQE21" s="974"/>
      <c r="NQF21" s="974"/>
      <c r="NQG21" s="974"/>
      <c r="NQH21" s="974"/>
      <c r="NQI21" s="974"/>
      <c r="NQJ21" s="974"/>
      <c r="NQK21" s="974"/>
      <c r="NQL21" s="974"/>
      <c r="NQM21" s="974"/>
      <c r="NQN21" s="974"/>
      <c r="NQO21" s="974"/>
      <c r="NQP21" s="974"/>
      <c r="NQQ21" s="974"/>
      <c r="NQR21" s="974"/>
      <c r="NQS21" s="974"/>
      <c r="NQT21" s="974"/>
      <c r="NQU21" s="974"/>
      <c r="NQV21" s="974"/>
      <c r="NQW21" s="974"/>
      <c r="NQX21" s="974"/>
      <c r="NQY21" s="974"/>
      <c r="NQZ21" s="974"/>
      <c r="NRA21" s="974"/>
      <c r="NRB21" s="974"/>
      <c r="NRC21" s="974"/>
      <c r="NRD21" s="974"/>
      <c r="NRE21" s="974"/>
      <c r="NRF21" s="974"/>
      <c r="NRG21" s="974"/>
      <c r="NRH21" s="974"/>
      <c r="NRI21" s="974"/>
      <c r="NRJ21" s="974"/>
      <c r="NRK21" s="974"/>
      <c r="NRL21" s="974"/>
      <c r="NRM21" s="974"/>
      <c r="NRN21" s="974"/>
      <c r="NRO21" s="974"/>
      <c r="NRP21" s="974"/>
      <c r="NRQ21" s="974"/>
      <c r="NRR21" s="974"/>
      <c r="NRS21" s="974"/>
      <c r="NRT21" s="974"/>
      <c r="NRU21" s="974"/>
      <c r="NRV21" s="974"/>
      <c r="NRW21" s="974"/>
      <c r="NRX21" s="974"/>
      <c r="NRY21" s="974"/>
      <c r="NRZ21" s="974"/>
      <c r="NSA21" s="974"/>
      <c r="NSB21" s="974"/>
      <c r="NSC21" s="974"/>
      <c r="NSD21" s="974"/>
      <c r="NSE21" s="974"/>
      <c r="NSF21" s="974"/>
      <c r="NSG21" s="974"/>
      <c r="NSH21" s="974"/>
      <c r="NSI21" s="974"/>
      <c r="NSJ21" s="974"/>
      <c r="NSK21" s="974"/>
      <c r="NSL21" s="974"/>
      <c r="NSM21" s="974"/>
      <c r="NSN21" s="974"/>
      <c r="NSO21" s="974"/>
      <c r="NSP21" s="974"/>
      <c r="NSQ21" s="974"/>
      <c r="NSR21" s="974"/>
      <c r="NSS21" s="974"/>
      <c r="NST21" s="974"/>
      <c r="NSU21" s="974"/>
      <c r="NSV21" s="974"/>
      <c r="NSW21" s="974"/>
      <c r="NSX21" s="974"/>
      <c r="NSY21" s="974"/>
      <c r="NSZ21" s="974"/>
      <c r="NTA21" s="974"/>
      <c r="NTB21" s="974"/>
      <c r="NTC21" s="974"/>
      <c r="NTD21" s="974"/>
      <c r="NTE21" s="974"/>
      <c r="NTF21" s="974"/>
      <c r="NTG21" s="974"/>
      <c r="NTH21" s="974"/>
      <c r="NTI21" s="974"/>
      <c r="NTJ21" s="974"/>
      <c r="NTK21" s="974"/>
      <c r="NTL21" s="974"/>
      <c r="NTM21" s="974"/>
      <c r="NTN21" s="974"/>
      <c r="NTO21" s="974"/>
      <c r="NTP21" s="974"/>
      <c r="NTQ21" s="974"/>
      <c r="NTR21" s="974"/>
      <c r="NTS21" s="974"/>
      <c r="NTT21" s="974"/>
      <c r="NTU21" s="974"/>
      <c r="NTV21" s="974"/>
      <c r="NTW21" s="974"/>
      <c r="NTX21" s="974"/>
      <c r="NTY21" s="974"/>
      <c r="NTZ21" s="974"/>
      <c r="NUA21" s="974"/>
      <c r="NUB21" s="974"/>
      <c r="NUC21" s="974"/>
      <c r="NUD21" s="974"/>
      <c r="NUE21" s="974"/>
      <c r="NUF21" s="974"/>
      <c r="NUG21" s="974"/>
      <c r="NUH21" s="974"/>
      <c r="NUI21" s="974"/>
      <c r="NUJ21" s="974"/>
      <c r="NUK21" s="974"/>
      <c r="NUL21" s="974"/>
      <c r="NUM21" s="974"/>
      <c r="NUN21" s="974"/>
      <c r="NUO21" s="974"/>
      <c r="NUP21" s="974"/>
      <c r="NUQ21" s="974"/>
      <c r="NUR21" s="974"/>
      <c r="NUS21" s="974"/>
      <c r="NUT21" s="974"/>
      <c r="NUU21" s="974"/>
      <c r="NUV21" s="974"/>
      <c r="NUW21" s="974"/>
      <c r="NUX21" s="974"/>
      <c r="NUY21" s="974"/>
      <c r="NUZ21" s="974"/>
      <c r="NVA21" s="974"/>
      <c r="NVB21" s="974"/>
      <c r="NVC21" s="974"/>
      <c r="NVD21" s="974"/>
      <c r="NVE21" s="974"/>
      <c r="NVF21" s="974"/>
      <c r="NVG21" s="974"/>
      <c r="NVH21" s="974"/>
      <c r="NVI21" s="974"/>
      <c r="NVJ21" s="974"/>
      <c r="NVK21" s="974"/>
      <c r="NVL21" s="974"/>
      <c r="NVM21" s="974"/>
      <c r="NVN21" s="974"/>
      <c r="NVO21" s="974"/>
      <c r="NVP21" s="974"/>
      <c r="NVQ21" s="974"/>
      <c r="NVR21" s="974"/>
      <c r="NVS21" s="974"/>
      <c r="NVT21" s="974"/>
      <c r="NVU21" s="974"/>
      <c r="NVV21" s="974"/>
      <c r="NVW21" s="974"/>
      <c r="NVX21" s="974"/>
      <c r="NVY21" s="974"/>
      <c r="NVZ21" s="974"/>
      <c r="NWA21" s="974"/>
      <c r="NWB21" s="974"/>
      <c r="NWC21" s="974"/>
      <c r="NWD21" s="974"/>
      <c r="NWE21" s="974"/>
      <c r="NWF21" s="974"/>
      <c r="NWG21" s="974"/>
      <c r="NWH21" s="974"/>
      <c r="NWI21" s="974"/>
      <c r="NWJ21" s="974"/>
      <c r="NWK21" s="974"/>
      <c r="NWL21" s="974"/>
      <c r="NWM21" s="974"/>
      <c r="NWN21" s="974"/>
      <c r="NWO21" s="974"/>
      <c r="NWP21" s="974"/>
      <c r="NWQ21" s="974"/>
      <c r="NWR21" s="974"/>
      <c r="NWS21" s="974"/>
      <c r="NWT21" s="974"/>
      <c r="NWU21" s="974"/>
      <c r="NWV21" s="974"/>
      <c r="NWW21" s="974"/>
      <c r="NWX21" s="974"/>
      <c r="NWY21" s="974"/>
      <c r="NWZ21" s="974"/>
      <c r="NXA21" s="974"/>
      <c r="NXB21" s="974"/>
      <c r="NXC21" s="974"/>
      <c r="NXD21" s="974"/>
      <c r="NXE21" s="974"/>
      <c r="NXF21" s="974"/>
      <c r="NXG21" s="974"/>
      <c r="NXH21" s="974"/>
      <c r="NXI21" s="974"/>
      <c r="NXJ21" s="974"/>
      <c r="NXK21" s="974"/>
      <c r="NXL21" s="974"/>
      <c r="NXM21" s="974"/>
      <c r="NXN21" s="974"/>
      <c r="NXO21" s="974"/>
      <c r="NXP21" s="974"/>
      <c r="NXQ21" s="974"/>
      <c r="NXR21" s="974"/>
      <c r="NXS21" s="974"/>
      <c r="NXT21" s="974"/>
      <c r="NXU21" s="974"/>
      <c r="NXV21" s="974"/>
      <c r="NXW21" s="974"/>
      <c r="NXX21" s="974"/>
      <c r="NXY21" s="974"/>
      <c r="NXZ21" s="974"/>
      <c r="NYA21" s="974"/>
      <c r="NYB21" s="974"/>
      <c r="NYC21" s="974"/>
      <c r="NYD21" s="974"/>
      <c r="NYE21" s="974"/>
      <c r="NYF21" s="974"/>
      <c r="NYG21" s="974"/>
      <c r="NYH21" s="974"/>
      <c r="NYI21" s="974"/>
      <c r="NYJ21" s="974"/>
      <c r="NYK21" s="974"/>
      <c r="NYL21" s="974"/>
      <c r="NYM21" s="974"/>
      <c r="NYN21" s="974"/>
      <c r="NYO21" s="974"/>
      <c r="NYP21" s="974"/>
      <c r="NYQ21" s="974"/>
      <c r="NYR21" s="974"/>
      <c r="NYS21" s="974"/>
      <c r="NYT21" s="974"/>
      <c r="NYU21" s="974"/>
      <c r="NYV21" s="974"/>
      <c r="NYW21" s="974"/>
      <c r="NYX21" s="974"/>
      <c r="NYY21" s="974"/>
      <c r="NYZ21" s="974"/>
      <c r="NZA21" s="974"/>
      <c r="NZB21" s="974"/>
      <c r="NZC21" s="974"/>
      <c r="NZD21" s="974"/>
      <c r="NZE21" s="974"/>
      <c r="NZF21" s="974"/>
      <c r="NZG21" s="974"/>
      <c r="NZH21" s="974"/>
      <c r="NZI21" s="974"/>
      <c r="NZJ21" s="974"/>
      <c r="NZK21" s="974"/>
      <c r="NZL21" s="974"/>
      <c r="NZM21" s="974"/>
      <c r="NZN21" s="974"/>
      <c r="NZO21" s="974"/>
      <c r="NZP21" s="974"/>
      <c r="NZQ21" s="974"/>
      <c r="NZR21" s="974"/>
      <c r="NZS21" s="974"/>
      <c r="NZT21" s="974"/>
      <c r="NZU21" s="974"/>
      <c r="NZV21" s="974"/>
      <c r="NZW21" s="974"/>
      <c r="NZX21" s="974"/>
      <c r="NZY21" s="974"/>
      <c r="NZZ21" s="974"/>
      <c r="OAA21" s="974"/>
      <c r="OAB21" s="974"/>
      <c r="OAC21" s="974"/>
      <c r="OAD21" s="974"/>
      <c r="OAE21" s="974"/>
      <c r="OAF21" s="974"/>
      <c r="OAG21" s="974"/>
      <c r="OAH21" s="974"/>
      <c r="OAI21" s="974"/>
      <c r="OAJ21" s="974"/>
      <c r="OAK21" s="974"/>
      <c r="OAL21" s="974"/>
      <c r="OAM21" s="974"/>
      <c r="OAN21" s="974"/>
      <c r="OAO21" s="974"/>
      <c r="OAP21" s="974"/>
      <c r="OAQ21" s="974"/>
      <c r="OAR21" s="974"/>
      <c r="OAS21" s="974"/>
      <c r="OAT21" s="974"/>
      <c r="OAU21" s="974"/>
      <c r="OAV21" s="974"/>
      <c r="OAW21" s="974"/>
      <c r="OAX21" s="974"/>
      <c r="OAY21" s="974"/>
      <c r="OAZ21" s="974"/>
      <c r="OBA21" s="974"/>
      <c r="OBB21" s="974"/>
      <c r="OBC21" s="974"/>
      <c r="OBD21" s="974"/>
      <c r="OBE21" s="974"/>
      <c r="OBF21" s="974"/>
      <c r="OBG21" s="974"/>
      <c r="OBH21" s="974"/>
      <c r="OBI21" s="974"/>
      <c r="OBJ21" s="974"/>
      <c r="OBK21" s="974"/>
      <c r="OBL21" s="974"/>
      <c r="OBM21" s="974"/>
      <c r="OBN21" s="974"/>
      <c r="OBO21" s="974"/>
      <c r="OBP21" s="974"/>
      <c r="OBQ21" s="974"/>
      <c r="OBR21" s="974"/>
      <c r="OBS21" s="974"/>
      <c r="OBT21" s="974"/>
      <c r="OBU21" s="974"/>
      <c r="OBV21" s="974"/>
      <c r="OBW21" s="974"/>
      <c r="OBX21" s="974"/>
      <c r="OBY21" s="974"/>
      <c r="OBZ21" s="974"/>
      <c r="OCA21" s="974"/>
      <c r="OCB21" s="974"/>
      <c r="OCC21" s="974"/>
      <c r="OCD21" s="974"/>
      <c r="OCE21" s="974"/>
      <c r="OCF21" s="974"/>
      <c r="OCG21" s="974"/>
      <c r="OCH21" s="974"/>
      <c r="OCI21" s="974"/>
      <c r="OCJ21" s="974"/>
      <c r="OCK21" s="974"/>
      <c r="OCL21" s="974"/>
      <c r="OCM21" s="974"/>
      <c r="OCN21" s="974"/>
      <c r="OCO21" s="974"/>
      <c r="OCP21" s="974"/>
      <c r="OCQ21" s="974"/>
      <c r="OCR21" s="974"/>
      <c r="OCS21" s="974"/>
      <c r="OCT21" s="974"/>
      <c r="OCU21" s="974"/>
      <c r="OCV21" s="974"/>
      <c r="OCW21" s="974"/>
      <c r="OCX21" s="974"/>
      <c r="OCY21" s="974"/>
      <c r="OCZ21" s="974"/>
      <c r="ODA21" s="974"/>
      <c r="ODB21" s="974"/>
      <c r="ODC21" s="974"/>
      <c r="ODD21" s="974"/>
      <c r="ODE21" s="974"/>
      <c r="ODF21" s="974"/>
      <c r="ODG21" s="974"/>
      <c r="ODH21" s="974"/>
      <c r="ODI21" s="974"/>
      <c r="ODJ21" s="974"/>
      <c r="ODK21" s="974"/>
      <c r="ODL21" s="974"/>
      <c r="ODM21" s="974"/>
      <c r="ODN21" s="974"/>
      <c r="ODO21" s="974"/>
      <c r="ODP21" s="974"/>
      <c r="ODQ21" s="974"/>
      <c r="ODR21" s="974"/>
      <c r="ODS21" s="974"/>
      <c r="ODT21" s="974"/>
      <c r="ODU21" s="974"/>
      <c r="ODV21" s="974"/>
      <c r="ODW21" s="974"/>
      <c r="ODX21" s="974"/>
      <c r="ODY21" s="974"/>
      <c r="ODZ21" s="974"/>
      <c r="OEA21" s="974"/>
      <c r="OEB21" s="974"/>
      <c r="OEC21" s="974"/>
      <c r="OED21" s="974"/>
      <c r="OEE21" s="974"/>
      <c r="OEF21" s="974"/>
      <c r="OEG21" s="974"/>
      <c r="OEH21" s="974"/>
      <c r="OEI21" s="974"/>
      <c r="OEJ21" s="974"/>
      <c r="OEK21" s="974"/>
      <c r="OEL21" s="974"/>
      <c r="OEM21" s="974"/>
      <c r="OEN21" s="974"/>
      <c r="OEO21" s="974"/>
      <c r="OEP21" s="974"/>
      <c r="OEQ21" s="974"/>
      <c r="OER21" s="974"/>
      <c r="OES21" s="974"/>
      <c r="OET21" s="974"/>
      <c r="OEU21" s="974"/>
      <c r="OEV21" s="974"/>
      <c r="OEW21" s="974"/>
      <c r="OEX21" s="974"/>
      <c r="OEY21" s="974"/>
      <c r="OEZ21" s="974"/>
      <c r="OFA21" s="974"/>
      <c r="OFB21" s="974"/>
      <c r="OFC21" s="974"/>
      <c r="OFD21" s="974"/>
      <c r="OFE21" s="974"/>
      <c r="OFF21" s="974"/>
      <c r="OFG21" s="974"/>
      <c r="OFH21" s="974"/>
      <c r="OFI21" s="974"/>
      <c r="OFJ21" s="974"/>
      <c r="OFK21" s="974"/>
      <c r="OFL21" s="974"/>
      <c r="OFM21" s="974"/>
      <c r="OFN21" s="974"/>
      <c r="OFO21" s="974"/>
      <c r="OFP21" s="974"/>
      <c r="OFQ21" s="974"/>
      <c r="OFR21" s="974"/>
      <c r="OFS21" s="974"/>
      <c r="OFT21" s="974"/>
      <c r="OFU21" s="974"/>
      <c r="OFV21" s="974"/>
      <c r="OFW21" s="974"/>
      <c r="OFX21" s="974"/>
      <c r="OFY21" s="974"/>
      <c r="OFZ21" s="974"/>
      <c r="OGA21" s="974"/>
      <c r="OGB21" s="974"/>
      <c r="OGC21" s="974"/>
      <c r="OGD21" s="974"/>
      <c r="OGE21" s="974"/>
      <c r="OGF21" s="974"/>
      <c r="OGG21" s="974"/>
      <c r="OGH21" s="974"/>
      <c r="OGI21" s="974"/>
      <c r="OGJ21" s="974"/>
      <c r="OGK21" s="974"/>
      <c r="OGL21" s="974"/>
      <c r="OGM21" s="974"/>
      <c r="OGN21" s="974"/>
      <c r="OGO21" s="974"/>
      <c r="OGP21" s="974"/>
      <c r="OGQ21" s="974"/>
      <c r="OGR21" s="974"/>
      <c r="OGS21" s="974"/>
      <c r="OGT21" s="974"/>
      <c r="OGU21" s="974"/>
      <c r="OGV21" s="974"/>
      <c r="OGW21" s="974"/>
      <c r="OGX21" s="974"/>
      <c r="OGY21" s="974"/>
      <c r="OGZ21" s="974"/>
      <c r="OHA21" s="974"/>
      <c r="OHB21" s="974"/>
      <c r="OHC21" s="974"/>
      <c r="OHD21" s="974"/>
      <c r="OHE21" s="974"/>
      <c r="OHF21" s="974"/>
      <c r="OHG21" s="974"/>
      <c r="OHH21" s="974"/>
      <c r="OHI21" s="974"/>
      <c r="OHJ21" s="974"/>
      <c r="OHK21" s="974"/>
      <c r="OHL21" s="974"/>
      <c r="OHM21" s="974"/>
      <c r="OHN21" s="974"/>
      <c r="OHO21" s="974"/>
      <c r="OHP21" s="974"/>
      <c r="OHQ21" s="974"/>
      <c r="OHR21" s="974"/>
      <c r="OHS21" s="974"/>
      <c r="OHT21" s="974"/>
      <c r="OHU21" s="974"/>
      <c r="OHV21" s="974"/>
      <c r="OHW21" s="974"/>
      <c r="OHX21" s="974"/>
      <c r="OHY21" s="974"/>
      <c r="OHZ21" s="974"/>
      <c r="OIA21" s="974"/>
      <c r="OIB21" s="974"/>
      <c r="OIC21" s="974"/>
      <c r="OID21" s="974"/>
      <c r="OIE21" s="974"/>
      <c r="OIF21" s="974"/>
      <c r="OIG21" s="974"/>
      <c r="OIH21" s="974"/>
      <c r="OII21" s="974"/>
      <c r="OIJ21" s="974"/>
      <c r="OIK21" s="974"/>
      <c r="OIL21" s="974"/>
      <c r="OIM21" s="974"/>
      <c r="OIN21" s="974"/>
      <c r="OIO21" s="974"/>
      <c r="OIP21" s="974"/>
      <c r="OIQ21" s="974"/>
      <c r="OIR21" s="974"/>
      <c r="OIS21" s="974"/>
      <c r="OIT21" s="974"/>
      <c r="OIU21" s="974"/>
      <c r="OIV21" s="974"/>
      <c r="OIW21" s="974"/>
      <c r="OIX21" s="974"/>
      <c r="OIY21" s="974"/>
      <c r="OIZ21" s="974"/>
      <c r="OJA21" s="974"/>
      <c r="OJB21" s="974"/>
      <c r="OJC21" s="974"/>
      <c r="OJD21" s="974"/>
      <c r="OJE21" s="974"/>
      <c r="OJF21" s="974"/>
      <c r="OJG21" s="974"/>
      <c r="OJH21" s="974"/>
      <c r="OJI21" s="974"/>
      <c r="OJJ21" s="974"/>
      <c r="OJK21" s="974"/>
      <c r="OJL21" s="974"/>
      <c r="OJM21" s="974"/>
      <c r="OJN21" s="974"/>
      <c r="OJO21" s="974"/>
      <c r="OJP21" s="974"/>
      <c r="OJQ21" s="974"/>
      <c r="OJR21" s="974"/>
      <c r="OJS21" s="974"/>
      <c r="OJT21" s="974"/>
      <c r="OJU21" s="974"/>
      <c r="OJV21" s="974"/>
      <c r="OJW21" s="974"/>
      <c r="OJX21" s="974"/>
      <c r="OJY21" s="974"/>
      <c r="OJZ21" s="974"/>
      <c r="OKA21" s="974"/>
      <c r="OKB21" s="974"/>
      <c r="OKC21" s="974"/>
      <c r="OKD21" s="974"/>
      <c r="OKE21" s="974"/>
      <c r="OKF21" s="974"/>
      <c r="OKG21" s="974"/>
      <c r="OKH21" s="974"/>
      <c r="OKI21" s="974"/>
      <c r="OKJ21" s="974"/>
      <c r="OKK21" s="974"/>
      <c r="OKL21" s="974"/>
      <c r="OKM21" s="974"/>
      <c r="OKN21" s="974"/>
      <c r="OKO21" s="974"/>
      <c r="OKP21" s="974"/>
      <c r="OKQ21" s="974"/>
      <c r="OKR21" s="974"/>
      <c r="OKS21" s="974"/>
      <c r="OKT21" s="974"/>
      <c r="OKU21" s="974"/>
      <c r="OKV21" s="974"/>
      <c r="OKW21" s="974"/>
      <c r="OKX21" s="974"/>
      <c r="OKY21" s="974"/>
      <c r="OKZ21" s="974"/>
      <c r="OLA21" s="974"/>
      <c r="OLB21" s="974"/>
      <c r="OLC21" s="974"/>
      <c r="OLD21" s="974"/>
      <c r="OLE21" s="974"/>
      <c r="OLF21" s="974"/>
      <c r="OLG21" s="974"/>
      <c r="OLH21" s="974"/>
      <c r="OLI21" s="974"/>
      <c r="OLJ21" s="974"/>
      <c r="OLK21" s="974"/>
      <c r="OLL21" s="974"/>
      <c r="OLM21" s="974"/>
      <c r="OLN21" s="974"/>
      <c r="OLO21" s="974"/>
      <c r="OLP21" s="974"/>
      <c r="OLQ21" s="974"/>
      <c r="OLR21" s="974"/>
      <c r="OLS21" s="974"/>
      <c r="OLT21" s="974"/>
      <c r="OLU21" s="974"/>
      <c r="OLV21" s="974"/>
      <c r="OLW21" s="974"/>
      <c r="OLX21" s="974"/>
      <c r="OLY21" s="974"/>
      <c r="OLZ21" s="974"/>
      <c r="OMA21" s="974"/>
      <c r="OMB21" s="974"/>
      <c r="OMC21" s="974"/>
      <c r="OMD21" s="974"/>
      <c r="OME21" s="974"/>
      <c r="OMF21" s="974"/>
      <c r="OMG21" s="974"/>
      <c r="OMH21" s="974"/>
      <c r="OMI21" s="974"/>
      <c r="OMJ21" s="974"/>
      <c r="OMK21" s="974"/>
      <c r="OML21" s="974"/>
      <c r="OMM21" s="974"/>
      <c r="OMN21" s="974"/>
      <c r="OMO21" s="974"/>
      <c r="OMP21" s="974"/>
      <c r="OMQ21" s="974"/>
      <c r="OMR21" s="974"/>
      <c r="OMS21" s="974"/>
      <c r="OMT21" s="974"/>
      <c r="OMU21" s="974"/>
      <c r="OMV21" s="974"/>
      <c r="OMW21" s="974"/>
      <c r="OMX21" s="974"/>
      <c r="OMY21" s="974"/>
      <c r="OMZ21" s="974"/>
      <c r="ONA21" s="974"/>
      <c r="ONB21" s="974"/>
      <c r="ONC21" s="974"/>
      <c r="OND21" s="974"/>
      <c r="ONE21" s="974"/>
      <c r="ONF21" s="974"/>
      <c r="ONG21" s="974"/>
      <c r="ONH21" s="974"/>
      <c r="ONI21" s="974"/>
      <c r="ONJ21" s="974"/>
      <c r="ONK21" s="974"/>
      <c r="ONL21" s="974"/>
      <c r="ONM21" s="974"/>
      <c r="ONN21" s="974"/>
      <c r="ONO21" s="974"/>
      <c r="ONP21" s="974"/>
      <c r="ONQ21" s="974"/>
      <c r="ONR21" s="974"/>
      <c r="ONS21" s="974"/>
      <c r="ONT21" s="974"/>
      <c r="ONU21" s="974"/>
      <c r="ONV21" s="974"/>
      <c r="ONW21" s="974"/>
      <c r="ONX21" s="974"/>
      <c r="ONY21" s="974"/>
      <c r="ONZ21" s="974"/>
      <c r="OOA21" s="974"/>
      <c r="OOB21" s="974"/>
      <c r="OOC21" s="974"/>
      <c r="OOD21" s="974"/>
      <c r="OOE21" s="974"/>
      <c r="OOF21" s="974"/>
      <c r="OOG21" s="974"/>
      <c r="OOH21" s="974"/>
      <c r="OOI21" s="974"/>
      <c r="OOJ21" s="974"/>
      <c r="OOK21" s="974"/>
      <c r="OOL21" s="974"/>
      <c r="OOM21" s="974"/>
      <c r="OON21" s="974"/>
      <c r="OOO21" s="974"/>
      <c r="OOP21" s="974"/>
      <c r="OOQ21" s="974"/>
      <c r="OOR21" s="974"/>
      <c r="OOS21" s="974"/>
      <c r="OOT21" s="974"/>
      <c r="OOU21" s="974"/>
      <c r="OOV21" s="974"/>
      <c r="OOW21" s="974"/>
      <c r="OOX21" s="974"/>
      <c r="OOY21" s="974"/>
      <c r="OOZ21" s="974"/>
      <c r="OPA21" s="974"/>
      <c r="OPB21" s="974"/>
      <c r="OPC21" s="974"/>
      <c r="OPD21" s="974"/>
      <c r="OPE21" s="974"/>
      <c r="OPF21" s="974"/>
      <c r="OPG21" s="974"/>
      <c r="OPH21" s="974"/>
      <c r="OPI21" s="974"/>
      <c r="OPJ21" s="974"/>
      <c r="OPK21" s="974"/>
      <c r="OPL21" s="974"/>
      <c r="OPM21" s="974"/>
      <c r="OPN21" s="974"/>
      <c r="OPO21" s="974"/>
      <c r="OPP21" s="974"/>
      <c r="OPQ21" s="974"/>
      <c r="OPR21" s="974"/>
      <c r="OPS21" s="974"/>
      <c r="OPT21" s="974"/>
      <c r="OPU21" s="974"/>
      <c r="OPV21" s="974"/>
      <c r="OPW21" s="974"/>
      <c r="OPX21" s="974"/>
      <c r="OPY21" s="974"/>
      <c r="OPZ21" s="974"/>
      <c r="OQA21" s="974"/>
      <c r="OQB21" s="974"/>
      <c r="OQC21" s="974"/>
      <c r="OQD21" s="974"/>
      <c r="OQE21" s="974"/>
      <c r="OQF21" s="974"/>
      <c r="OQG21" s="974"/>
      <c r="OQH21" s="974"/>
      <c r="OQI21" s="974"/>
      <c r="OQJ21" s="974"/>
      <c r="OQK21" s="974"/>
      <c r="OQL21" s="974"/>
      <c r="OQM21" s="974"/>
      <c r="OQN21" s="974"/>
      <c r="OQO21" s="974"/>
      <c r="OQP21" s="974"/>
      <c r="OQQ21" s="974"/>
      <c r="OQR21" s="974"/>
      <c r="OQS21" s="974"/>
      <c r="OQT21" s="974"/>
      <c r="OQU21" s="974"/>
      <c r="OQV21" s="974"/>
      <c r="OQW21" s="974"/>
      <c r="OQX21" s="974"/>
      <c r="OQY21" s="974"/>
      <c r="OQZ21" s="974"/>
      <c r="ORA21" s="974"/>
      <c r="ORB21" s="974"/>
      <c r="ORC21" s="974"/>
      <c r="ORD21" s="974"/>
      <c r="ORE21" s="974"/>
      <c r="ORF21" s="974"/>
      <c r="ORG21" s="974"/>
      <c r="ORH21" s="974"/>
      <c r="ORI21" s="974"/>
      <c r="ORJ21" s="974"/>
      <c r="ORK21" s="974"/>
      <c r="ORL21" s="974"/>
      <c r="ORM21" s="974"/>
      <c r="ORN21" s="974"/>
      <c r="ORO21" s="974"/>
      <c r="ORP21" s="974"/>
      <c r="ORQ21" s="974"/>
      <c r="ORR21" s="974"/>
      <c r="ORS21" s="974"/>
      <c r="ORT21" s="974"/>
      <c r="ORU21" s="974"/>
      <c r="ORV21" s="974"/>
      <c r="ORW21" s="974"/>
      <c r="ORX21" s="974"/>
      <c r="ORY21" s="974"/>
      <c r="ORZ21" s="974"/>
      <c r="OSA21" s="974"/>
      <c r="OSB21" s="974"/>
      <c r="OSC21" s="974"/>
      <c r="OSD21" s="974"/>
      <c r="OSE21" s="974"/>
      <c r="OSF21" s="974"/>
      <c r="OSG21" s="974"/>
      <c r="OSH21" s="974"/>
      <c r="OSI21" s="974"/>
      <c r="OSJ21" s="974"/>
      <c r="OSK21" s="974"/>
      <c r="OSL21" s="974"/>
      <c r="OSM21" s="974"/>
      <c r="OSN21" s="974"/>
      <c r="OSO21" s="974"/>
      <c r="OSP21" s="974"/>
      <c r="OSQ21" s="974"/>
      <c r="OSR21" s="974"/>
      <c r="OSS21" s="974"/>
      <c r="OST21" s="974"/>
      <c r="OSU21" s="974"/>
      <c r="OSV21" s="974"/>
      <c r="OSW21" s="974"/>
      <c r="OSX21" s="974"/>
      <c r="OSY21" s="974"/>
      <c r="OSZ21" s="974"/>
      <c r="OTA21" s="974"/>
      <c r="OTB21" s="974"/>
      <c r="OTC21" s="974"/>
      <c r="OTD21" s="974"/>
      <c r="OTE21" s="974"/>
      <c r="OTF21" s="974"/>
      <c r="OTG21" s="974"/>
      <c r="OTH21" s="974"/>
      <c r="OTI21" s="974"/>
      <c r="OTJ21" s="974"/>
      <c r="OTK21" s="974"/>
      <c r="OTL21" s="974"/>
      <c r="OTM21" s="974"/>
      <c r="OTN21" s="974"/>
      <c r="OTO21" s="974"/>
      <c r="OTP21" s="974"/>
      <c r="OTQ21" s="974"/>
      <c r="OTR21" s="974"/>
      <c r="OTS21" s="974"/>
      <c r="OTT21" s="974"/>
      <c r="OTU21" s="974"/>
      <c r="OTV21" s="974"/>
      <c r="OTW21" s="974"/>
      <c r="OTX21" s="974"/>
      <c r="OTY21" s="974"/>
      <c r="OTZ21" s="974"/>
      <c r="OUA21" s="974"/>
      <c r="OUB21" s="974"/>
      <c r="OUC21" s="974"/>
      <c r="OUD21" s="974"/>
      <c r="OUE21" s="974"/>
      <c r="OUF21" s="974"/>
      <c r="OUG21" s="974"/>
      <c r="OUH21" s="974"/>
      <c r="OUI21" s="974"/>
      <c r="OUJ21" s="974"/>
      <c r="OUK21" s="974"/>
      <c r="OUL21" s="974"/>
      <c r="OUM21" s="974"/>
      <c r="OUN21" s="974"/>
      <c r="OUO21" s="974"/>
      <c r="OUP21" s="974"/>
      <c r="OUQ21" s="974"/>
      <c r="OUR21" s="974"/>
      <c r="OUS21" s="974"/>
      <c r="OUT21" s="974"/>
      <c r="OUU21" s="974"/>
      <c r="OUV21" s="974"/>
      <c r="OUW21" s="974"/>
      <c r="OUX21" s="974"/>
      <c r="OUY21" s="974"/>
      <c r="OUZ21" s="974"/>
      <c r="OVA21" s="974"/>
      <c r="OVB21" s="974"/>
      <c r="OVC21" s="974"/>
      <c r="OVD21" s="974"/>
      <c r="OVE21" s="974"/>
      <c r="OVF21" s="974"/>
      <c r="OVG21" s="974"/>
      <c r="OVH21" s="974"/>
      <c r="OVI21" s="974"/>
      <c r="OVJ21" s="974"/>
      <c r="OVK21" s="974"/>
      <c r="OVL21" s="974"/>
      <c r="OVM21" s="974"/>
      <c r="OVN21" s="974"/>
      <c r="OVO21" s="974"/>
      <c r="OVP21" s="974"/>
      <c r="OVQ21" s="974"/>
      <c r="OVR21" s="974"/>
      <c r="OVS21" s="974"/>
      <c r="OVT21" s="974"/>
      <c r="OVU21" s="974"/>
      <c r="OVV21" s="974"/>
      <c r="OVW21" s="974"/>
      <c r="OVX21" s="974"/>
      <c r="OVY21" s="974"/>
      <c r="OVZ21" s="974"/>
      <c r="OWA21" s="974"/>
      <c r="OWB21" s="974"/>
      <c r="OWC21" s="974"/>
      <c r="OWD21" s="974"/>
      <c r="OWE21" s="974"/>
      <c r="OWF21" s="974"/>
      <c r="OWG21" s="974"/>
      <c r="OWH21" s="974"/>
      <c r="OWI21" s="974"/>
      <c r="OWJ21" s="974"/>
      <c r="OWK21" s="974"/>
      <c r="OWL21" s="974"/>
      <c r="OWM21" s="974"/>
      <c r="OWN21" s="974"/>
      <c r="OWO21" s="974"/>
      <c r="OWP21" s="974"/>
      <c r="OWQ21" s="974"/>
      <c r="OWR21" s="974"/>
      <c r="OWS21" s="974"/>
      <c r="OWT21" s="974"/>
      <c r="OWU21" s="974"/>
      <c r="OWV21" s="974"/>
      <c r="OWW21" s="974"/>
      <c r="OWX21" s="974"/>
      <c r="OWY21" s="974"/>
      <c r="OWZ21" s="974"/>
      <c r="OXA21" s="974"/>
      <c r="OXB21" s="974"/>
      <c r="OXC21" s="974"/>
      <c r="OXD21" s="974"/>
      <c r="OXE21" s="974"/>
      <c r="OXF21" s="974"/>
      <c r="OXG21" s="974"/>
      <c r="OXH21" s="974"/>
      <c r="OXI21" s="974"/>
      <c r="OXJ21" s="974"/>
      <c r="OXK21" s="974"/>
      <c r="OXL21" s="974"/>
      <c r="OXM21" s="974"/>
      <c r="OXN21" s="974"/>
      <c r="OXO21" s="974"/>
      <c r="OXP21" s="974"/>
      <c r="OXQ21" s="974"/>
      <c r="OXR21" s="974"/>
      <c r="OXS21" s="974"/>
      <c r="OXT21" s="974"/>
      <c r="OXU21" s="974"/>
      <c r="OXV21" s="974"/>
      <c r="OXW21" s="974"/>
      <c r="OXX21" s="974"/>
      <c r="OXY21" s="974"/>
      <c r="OXZ21" s="974"/>
      <c r="OYA21" s="974"/>
      <c r="OYB21" s="974"/>
      <c r="OYC21" s="974"/>
      <c r="OYD21" s="974"/>
      <c r="OYE21" s="974"/>
      <c r="OYF21" s="974"/>
      <c r="OYG21" s="974"/>
      <c r="OYH21" s="974"/>
      <c r="OYI21" s="974"/>
      <c r="OYJ21" s="974"/>
      <c r="OYK21" s="974"/>
      <c r="OYL21" s="974"/>
      <c r="OYM21" s="974"/>
      <c r="OYN21" s="974"/>
      <c r="OYO21" s="974"/>
      <c r="OYP21" s="974"/>
      <c r="OYQ21" s="974"/>
      <c r="OYR21" s="974"/>
      <c r="OYS21" s="974"/>
      <c r="OYT21" s="974"/>
      <c r="OYU21" s="974"/>
      <c r="OYV21" s="974"/>
      <c r="OYW21" s="974"/>
      <c r="OYX21" s="974"/>
      <c r="OYY21" s="974"/>
      <c r="OYZ21" s="974"/>
      <c r="OZA21" s="974"/>
      <c r="OZB21" s="974"/>
      <c r="OZC21" s="974"/>
      <c r="OZD21" s="974"/>
      <c r="OZE21" s="974"/>
      <c r="OZF21" s="974"/>
      <c r="OZG21" s="974"/>
      <c r="OZH21" s="974"/>
      <c r="OZI21" s="974"/>
      <c r="OZJ21" s="974"/>
      <c r="OZK21" s="974"/>
      <c r="OZL21" s="974"/>
      <c r="OZM21" s="974"/>
      <c r="OZN21" s="974"/>
      <c r="OZO21" s="974"/>
      <c r="OZP21" s="974"/>
      <c r="OZQ21" s="974"/>
      <c r="OZR21" s="974"/>
      <c r="OZS21" s="974"/>
      <c r="OZT21" s="974"/>
      <c r="OZU21" s="974"/>
      <c r="OZV21" s="974"/>
      <c r="OZW21" s="974"/>
      <c r="OZX21" s="974"/>
      <c r="OZY21" s="974"/>
      <c r="OZZ21" s="974"/>
      <c r="PAA21" s="974"/>
      <c r="PAB21" s="974"/>
      <c r="PAC21" s="974"/>
      <c r="PAD21" s="974"/>
      <c r="PAE21" s="974"/>
      <c r="PAF21" s="974"/>
      <c r="PAG21" s="974"/>
      <c r="PAH21" s="974"/>
      <c r="PAI21" s="974"/>
      <c r="PAJ21" s="974"/>
      <c r="PAK21" s="974"/>
      <c r="PAL21" s="974"/>
      <c r="PAM21" s="974"/>
      <c r="PAN21" s="974"/>
      <c r="PAO21" s="974"/>
      <c r="PAP21" s="974"/>
      <c r="PAQ21" s="974"/>
      <c r="PAR21" s="974"/>
      <c r="PAS21" s="974"/>
      <c r="PAT21" s="974"/>
      <c r="PAU21" s="974"/>
      <c r="PAV21" s="974"/>
      <c r="PAW21" s="974"/>
      <c r="PAX21" s="974"/>
      <c r="PAY21" s="974"/>
      <c r="PAZ21" s="974"/>
      <c r="PBA21" s="974"/>
      <c r="PBB21" s="974"/>
      <c r="PBC21" s="974"/>
      <c r="PBD21" s="974"/>
      <c r="PBE21" s="974"/>
      <c r="PBF21" s="974"/>
      <c r="PBG21" s="974"/>
      <c r="PBH21" s="974"/>
      <c r="PBI21" s="974"/>
      <c r="PBJ21" s="974"/>
      <c r="PBK21" s="974"/>
      <c r="PBL21" s="974"/>
      <c r="PBM21" s="974"/>
      <c r="PBN21" s="974"/>
      <c r="PBO21" s="974"/>
      <c r="PBP21" s="974"/>
      <c r="PBQ21" s="974"/>
      <c r="PBR21" s="974"/>
      <c r="PBS21" s="974"/>
      <c r="PBT21" s="974"/>
      <c r="PBU21" s="974"/>
      <c r="PBV21" s="974"/>
      <c r="PBW21" s="974"/>
      <c r="PBX21" s="974"/>
      <c r="PBY21" s="974"/>
      <c r="PBZ21" s="974"/>
      <c r="PCA21" s="974"/>
      <c r="PCB21" s="974"/>
      <c r="PCC21" s="974"/>
      <c r="PCD21" s="974"/>
      <c r="PCE21" s="974"/>
      <c r="PCF21" s="974"/>
      <c r="PCG21" s="974"/>
      <c r="PCH21" s="974"/>
      <c r="PCI21" s="974"/>
      <c r="PCJ21" s="974"/>
      <c r="PCK21" s="974"/>
      <c r="PCL21" s="974"/>
      <c r="PCM21" s="974"/>
      <c r="PCN21" s="974"/>
      <c r="PCO21" s="974"/>
      <c r="PCP21" s="974"/>
      <c r="PCQ21" s="974"/>
      <c r="PCR21" s="974"/>
      <c r="PCS21" s="974"/>
      <c r="PCT21" s="974"/>
      <c r="PCU21" s="974"/>
      <c r="PCV21" s="974"/>
      <c r="PCW21" s="974"/>
      <c r="PCX21" s="974"/>
      <c r="PCY21" s="974"/>
      <c r="PCZ21" s="974"/>
      <c r="PDA21" s="974"/>
      <c r="PDB21" s="974"/>
      <c r="PDC21" s="974"/>
      <c r="PDD21" s="974"/>
      <c r="PDE21" s="974"/>
      <c r="PDF21" s="974"/>
      <c r="PDG21" s="974"/>
      <c r="PDH21" s="974"/>
      <c r="PDI21" s="974"/>
      <c r="PDJ21" s="974"/>
      <c r="PDK21" s="974"/>
      <c r="PDL21" s="974"/>
      <c r="PDM21" s="974"/>
      <c r="PDN21" s="974"/>
      <c r="PDO21" s="974"/>
      <c r="PDP21" s="974"/>
      <c r="PDQ21" s="974"/>
      <c r="PDR21" s="974"/>
      <c r="PDS21" s="974"/>
      <c r="PDT21" s="974"/>
      <c r="PDU21" s="974"/>
      <c r="PDV21" s="974"/>
      <c r="PDW21" s="974"/>
      <c r="PDX21" s="974"/>
      <c r="PDY21" s="974"/>
      <c r="PDZ21" s="974"/>
      <c r="PEA21" s="974"/>
      <c r="PEB21" s="974"/>
      <c r="PEC21" s="974"/>
      <c r="PED21" s="974"/>
      <c r="PEE21" s="974"/>
      <c r="PEF21" s="974"/>
      <c r="PEG21" s="974"/>
      <c r="PEH21" s="974"/>
      <c r="PEI21" s="974"/>
      <c r="PEJ21" s="974"/>
      <c r="PEK21" s="974"/>
      <c r="PEL21" s="974"/>
      <c r="PEM21" s="974"/>
      <c r="PEN21" s="974"/>
      <c r="PEO21" s="974"/>
      <c r="PEP21" s="974"/>
      <c r="PEQ21" s="974"/>
      <c r="PER21" s="974"/>
      <c r="PES21" s="974"/>
      <c r="PET21" s="974"/>
      <c r="PEU21" s="974"/>
      <c r="PEV21" s="974"/>
      <c r="PEW21" s="974"/>
      <c r="PEX21" s="974"/>
      <c r="PEY21" s="974"/>
      <c r="PEZ21" s="974"/>
      <c r="PFA21" s="974"/>
      <c r="PFB21" s="974"/>
      <c r="PFC21" s="974"/>
      <c r="PFD21" s="974"/>
      <c r="PFE21" s="974"/>
      <c r="PFF21" s="974"/>
      <c r="PFG21" s="974"/>
      <c r="PFH21" s="974"/>
      <c r="PFI21" s="974"/>
      <c r="PFJ21" s="974"/>
      <c r="PFK21" s="974"/>
      <c r="PFL21" s="974"/>
      <c r="PFM21" s="974"/>
      <c r="PFN21" s="974"/>
      <c r="PFO21" s="974"/>
      <c r="PFP21" s="974"/>
      <c r="PFQ21" s="974"/>
      <c r="PFR21" s="974"/>
      <c r="PFS21" s="974"/>
      <c r="PFT21" s="974"/>
      <c r="PFU21" s="974"/>
      <c r="PFV21" s="974"/>
      <c r="PFW21" s="974"/>
      <c r="PFX21" s="974"/>
      <c r="PFY21" s="974"/>
      <c r="PFZ21" s="974"/>
      <c r="PGA21" s="974"/>
      <c r="PGB21" s="974"/>
      <c r="PGC21" s="974"/>
      <c r="PGD21" s="974"/>
      <c r="PGE21" s="974"/>
      <c r="PGF21" s="974"/>
      <c r="PGG21" s="974"/>
      <c r="PGH21" s="974"/>
      <c r="PGI21" s="974"/>
      <c r="PGJ21" s="974"/>
      <c r="PGK21" s="974"/>
      <c r="PGL21" s="974"/>
      <c r="PGM21" s="974"/>
      <c r="PGN21" s="974"/>
      <c r="PGO21" s="974"/>
      <c r="PGP21" s="974"/>
      <c r="PGQ21" s="974"/>
      <c r="PGR21" s="974"/>
      <c r="PGS21" s="974"/>
      <c r="PGT21" s="974"/>
      <c r="PGU21" s="974"/>
      <c r="PGV21" s="974"/>
      <c r="PGW21" s="974"/>
      <c r="PGX21" s="974"/>
      <c r="PGY21" s="974"/>
      <c r="PGZ21" s="974"/>
      <c r="PHA21" s="974"/>
      <c r="PHB21" s="974"/>
      <c r="PHC21" s="974"/>
      <c r="PHD21" s="974"/>
      <c r="PHE21" s="974"/>
      <c r="PHF21" s="974"/>
      <c r="PHG21" s="974"/>
      <c r="PHH21" s="974"/>
      <c r="PHI21" s="974"/>
      <c r="PHJ21" s="974"/>
      <c r="PHK21" s="974"/>
      <c r="PHL21" s="974"/>
      <c r="PHM21" s="974"/>
      <c r="PHN21" s="974"/>
      <c r="PHO21" s="974"/>
      <c r="PHP21" s="974"/>
      <c r="PHQ21" s="974"/>
      <c r="PHR21" s="974"/>
      <c r="PHS21" s="974"/>
      <c r="PHT21" s="974"/>
      <c r="PHU21" s="974"/>
      <c r="PHV21" s="974"/>
      <c r="PHW21" s="974"/>
      <c r="PHX21" s="974"/>
      <c r="PHY21" s="974"/>
      <c r="PHZ21" s="974"/>
      <c r="PIA21" s="974"/>
      <c r="PIB21" s="974"/>
      <c r="PIC21" s="974"/>
      <c r="PID21" s="974"/>
      <c r="PIE21" s="974"/>
      <c r="PIF21" s="974"/>
      <c r="PIG21" s="974"/>
      <c r="PIH21" s="974"/>
      <c r="PII21" s="974"/>
      <c r="PIJ21" s="974"/>
      <c r="PIK21" s="974"/>
      <c r="PIL21" s="974"/>
      <c r="PIM21" s="974"/>
      <c r="PIN21" s="974"/>
      <c r="PIO21" s="974"/>
      <c r="PIP21" s="974"/>
      <c r="PIQ21" s="974"/>
      <c r="PIR21" s="974"/>
      <c r="PIS21" s="974"/>
      <c r="PIT21" s="974"/>
      <c r="PIU21" s="974"/>
      <c r="PIV21" s="974"/>
      <c r="PIW21" s="974"/>
      <c r="PIX21" s="974"/>
      <c r="PIY21" s="974"/>
      <c r="PIZ21" s="974"/>
      <c r="PJA21" s="974"/>
      <c r="PJB21" s="974"/>
      <c r="PJC21" s="974"/>
      <c r="PJD21" s="974"/>
      <c r="PJE21" s="974"/>
      <c r="PJF21" s="974"/>
      <c r="PJG21" s="974"/>
      <c r="PJH21" s="974"/>
      <c r="PJI21" s="974"/>
      <c r="PJJ21" s="974"/>
      <c r="PJK21" s="974"/>
      <c r="PJL21" s="974"/>
      <c r="PJM21" s="974"/>
      <c r="PJN21" s="974"/>
      <c r="PJO21" s="974"/>
      <c r="PJP21" s="974"/>
      <c r="PJQ21" s="974"/>
      <c r="PJR21" s="974"/>
      <c r="PJS21" s="974"/>
      <c r="PJT21" s="974"/>
      <c r="PJU21" s="974"/>
      <c r="PJV21" s="974"/>
      <c r="PJW21" s="974"/>
      <c r="PJX21" s="974"/>
      <c r="PJY21" s="974"/>
      <c r="PJZ21" s="974"/>
      <c r="PKA21" s="974"/>
      <c r="PKB21" s="974"/>
      <c r="PKC21" s="974"/>
      <c r="PKD21" s="974"/>
      <c r="PKE21" s="974"/>
      <c r="PKF21" s="974"/>
      <c r="PKG21" s="974"/>
      <c r="PKH21" s="974"/>
      <c r="PKI21" s="974"/>
      <c r="PKJ21" s="974"/>
      <c r="PKK21" s="974"/>
      <c r="PKL21" s="974"/>
      <c r="PKM21" s="974"/>
      <c r="PKN21" s="974"/>
      <c r="PKO21" s="974"/>
      <c r="PKP21" s="974"/>
      <c r="PKQ21" s="974"/>
      <c r="PKR21" s="974"/>
      <c r="PKS21" s="974"/>
      <c r="PKT21" s="974"/>
      <c r="PKU21" s="974"/>
      <c r="PKV21" s="974"/>
      <c r="PKW21" s="974"/>
      <c r="PKX21" s="974"/>
      <c r="PKY21" s="974"/>
      <c r="PKZ21" s="974"/>
      <c r="PLA21" s="974"/>
      <c r="PLB21" s="974"/>
      <c r="PLC21" s="974"/>
      <c r="PLD21" s="974"/>
      <c r="PLE21" s="974"/>
      <c r="PLF21" s="974"/>
      <c r="PLG21" s="974"/>
      <c r="PLH21" s="974"/>
      <c r="PLI21" s="974"/>
      <c r="PLJ21" s="974"/>
      <c r="PLK21" s="974"/>
      <c r="PLL21" s="974"/>
      <c r="PLM21" s="974"/>
      <c r="PLN21" s="974"/>
      <c r="PLO21" s="974"/>
      <c r="PLP21" s="974"/>
      <c r="PLQ21" s="974"/>
      <c r="PLR21" s="974"/>
      <c r="PLS21" s="974"/>
      <c r="PLT21" s="974"/>
      <c r="PLU21" s="974"/>
      <c r="PLV21" s="974"/>
      <c r="PLW21" s="974"/>
      <c r="PLX21" s="974"/>
      <c r="PLY21" s="974"/>
      <c r="PLZ21" s="974"/>
      <c r="PMA21" s="974"/>
      <c r="PMB21" s="974"/>
      <c r="PMC21" s="974"/>
      <c r="PMD21" s="974"/>
      <c r="PME21" s="974"/>
      <c r="PMF21" s="974"/>
      <c r="PMG21" s="974"/>
      <c r="PMH21" s="974"/>
      <c r="PMI21" s="974"/>
      <c r="PMJ21" s="974"/>
      <c r="PMK21" s="974"/>
      <c r="PML21" s="974"/>
      <c r="PMM21" s="974"/>
      <c r="PMN21" s="974"/>
      <c r="PMO21" s="974"/>
      <c r="PMP21" s="974"/>
      <c r="PMQ21" s="974"/>
      <c r="PMR21" s="974"/>
      <c r="PMS21" s="974"/>
      <c r="PMT21" s="974"/>
      <c r="PMU21" s="974"/>
      <c r="PMV21" s="974"/>
      <c r="PMW21" s="974"/>
      <c r="PMX21" s="974"/>
      <c r="PMY21" s="974"/>
      <c r="PMZ21" s="974"/>
      <c r="PNA21" s="974"/>
      <c r="PNB21" s="974"/>
      <c r="PNC21" s="974"/>
      <c r="PND21" s="974"/>
      <c r="PNE21" s="974"/>
      <c r="PNF21" s="974"/>
      <c r="PNG21" s="974"/>
      <c r="PNH21" s="974"/>
      <c r="PNI21" s="974"/>
      <c r="PNJ21" s="974"/>
      <c r="PNK21" s="974"/>
      <c r="PNL21" s="974"/>
      <c r="PNM21" s="974"/>
      <c r="PNN21" s="974"/>
      <c r="PNO21" s="974"/>
      <c r="PNP21" s="974"/>
      <c r="PNQ21" s="974"/>
      <c r="PNR21" s="974"/>
      <c r="PNS21" s="974"/>
      <c r="PNT21" s="974"/>
      <c r="PNU21" s="974"/>
      <c r="PNV21" s="974"/>
      <c r="PNW21" s="974"/>
      <c r="PNX21" s="974"/>
      <c r="PNY21" s="974"/>
      <c r="PNZ21" s="974"/>
      <c r="POA21" s="974"/>
      <c r="POB21" s="974"/>
      <c r="POC21" s="974"/>
      <c r="POD21" s="974"/>
      <c r="POE21" s="974"/>
      <c r="POF21" s="974"/>
      <c r="POG21" s="974"/>
      <c r="POH21" s="974"/>
      <c r="POI21" s="974"/>
      <c r="POJ21" s="974"/>
      <c r="POK21" s="974"/>
      <c r="POL21" s="974"/>
      <c r="POM21" s="974"/>
      <c r="PON21" s="974"/>
      <c r="POO21" s="974"/>
      <c r="POP21" s="974"/>
      <c r="POQ21" s="974"/>
      <c r="POR21" s="974"/>
      <c r="POS21" s="974"/>
      <c r="POT21" s="974"/>
      <c r="POU21" s="974"/>
      <c r="POV21" s="974"/>
      <c r="POW21" s="974"/>
      <c r="POX21" s="974"/>
      <c r="POY21" s="974"/>
      <c r="POZ21" s="974"/>
      <c r="PPA21" s="974"/>
      <c r="PPB21" s="974"/>
      <c r="PPC21" s="974"/>
      <c r="PPD21" s="974"/>
      <c r="PPE21" s="974"/>
      <c r="PPF21" s="974"/>
      <c r="PPG21" s="974"/>
      <c r="PPH21" s="974"/>
      <c r="PPI21" s="974"/>
      <c r="PPJ21" s="974"/>
      <c r="PPK21" s="974"/>
      <c r="PPL21" s="974"/>
      <c r="PPM21" s="974"/>
      <c r="PPN21" s="974"/>
      <c r="PPO21" s="974"/>
      <c r="PPP21" s="974"/>
      <c r="PPQ21" s="974"/>
      <c r="PPR21" s="974"/>
      <c r="PPS21" s="974"/>
      <c r="PPT21" s="974"/>
      <c r="PPU21" s="974"/>
      <c r="PPV21" s="974"/>
      <c r="PPW21" s="974"/>
      <c r="PPX21" s="974"/>
      <c r="PPY21" s="974"/>
      <c r="PPZ21" s="974"/>
      <c r="PQA21" s="974"/>
      <c r="PQB21" s="974"/>
      <c r="PQC21" s="974"/>
      <c r="PQD21" s="974"/>
      <c r="PQE21" s="974"/>
      <c r="PQF21" s="974"/>
      <c r="PQG21" s="974"/>
      <c r="PQH21" s="974"/>
      <c r="PQI21" s="974"/>
      <c r="PQJ21" s="974"/>
      <c r="PQK21" s="974"/>
      <c r="PQL21" s="974"/>
      <c r="PQM21" s="974"/>
      <c r="PQN21" s="974"/>
      <c r="PQO21" s="974"/>
      <c r="PQP21" s="974"/>
      <c r="PQQ21" s="974"/>
      <c r="PQR21" s="974"/>
      <c r="PQS21" s="974"/>
      <c r="PQT21" s="974"/>
      <c r="PQU21" s="974"/>
      <c r="PQV21" s="974"/>
      <c r="PQW21" s="974"/>
      <c r="PQX21" s="974"/>
      <c r="PQY21" s="974"/>
      <c r="PQZ21" s="974"/>
      <c r="PRA21" s="974"/>
      <c r="PRB21" s="974"/>
      <c r="PRC21" s="974"/>
      <c r="PRD21" s="974"/>
      <c r="PRE21" s="974"/>
      <c r="PRF21" s="974"/>
      <c r="PRG21" s="974"/>
      <c r="PRH21" s="974"/>
      <c r="PRI21" s="974"/>
      <c r="PRJ21" s="974"/>
      <c r="PRK21" s="974"/>
      <c r="PRL21" s="974"/>
      <c r="PRM21" s="974"/>
      <c r="PRN21" s="974"/>
      <c r="PRO21" s="974"/>
      <c r="PRP21" s="974"/>
      <c r="PRQ21" s="974"/>
      <c r="PRR21" s="974"/>
      <c r="PRS21" s="974"/>
      <c r="PRT21" s="974"/>
      <c r="PRU21" s="974"/>
      <c r="PRV21" s="974"/>
      <c r="PRW21" s="974"/>
      <c r="PRX21" s="974"/>
      <c r="PRY21" s="974"/>
      <c r="PRZ21" s="974"/>
      <c r="PSA21" s="974"/>
      <c r="PSB21" s="974"/>
      <c r="PSC21" s="974"/>
      <c r="PSD21" s="974"/>
      <c r="PSE21" s="974"/>
      <c r="PSF21" s="974"/>
      <c r="PSG21" s="974"/>
      <c r="PSH21" s="974"/>
      <c r="PSI21" s="974"/>
      <c r="PSJ21" s="974"/>
      <c r="PSK21" s="974"/>
      <c r="PSL21" s="974"/>
      <c r="PSM21" s="974"/>
      <c r="PSN21" s="974"/>
      <c r="PSO21" s="974"/>
      <c r="PSP21" s="974"/>
      <c r="PSQ21" s="974"/>
      <c r="PSR21" s="974"/>
      <c r="PSS21" s="974"/>
      <c r="PST21" s="974"/>
      <c r="PSU21" s="974"/>
      <c r="PSV21" s="974"/>
      <c r="PSW21" s="974"/>
      <c r="PSX21" s="974"/>
      <c r="PSY21" s="974"/>
      <c r="PSZ21" s="974"/>
      <c r="PTA21" s="974"/>
      <c r="PTB21" s="974"/>
      <c r="PTC21" s="974"/>
      <c r="PTD21" s="974"/>
      <c r="PTE21" s="974"/>
      <c r="PTF21" s="974"/>
      <c r="PTG21" s="974"/>
      <c r="PTH21" s="974"/>
      <c r="PTI21" s="974"/>
      <c r="PTJ21" s="974"/>
      <c r="PTK21" s="974"/>
      <c r="PTL21" s="974"/>
      <c r="PTM21" s="974"/>
      <c r="PTN21" s="974"/>
      <c r="PTO21" s="974"/>
      <c r="PTP21" s="974"/>
      <c r="PTQ21" s="974"/>
      <c r="PTR21" s="974"/>
      <c r="PTS21" s="974"/>
      <c r="PTT21" s="974"/>
      <c r="PTU21" s="974"/>
      <c r="PTV21" s="974"/>
      <c r="PTW21" s="974"/>
      <c r="PTX21" s="974"/>
      <c r="PTY21" s="974"/>
      <c r="PTZ21" s="974"/>
      <c r="PUA21" s="974"/>
      <c r="PUB21" s="974"/>
      <c r="PUC21" s="974"/>
      <c r="PUD21" s="974"/>
      <c r="PUE21" s="974"/>
      <c r="PUF21" s="974"/>
      <c r="PUG21" s="974"/>
      <c r="PUH21" s="974"/>
      <c r="PUI21" s="974"/>
      <c r="PUJ21" s="974"/>
      <c r="PUK21" s="974"/>
      <c r="PUL21" s="974"/>
      <c r="PUM21" s="974"/>
      <c r="PUN21" s="974"/>
      <c r="PUO21" s="974"/>
      <c r="PUP21" s="974"/>
      <c r="PUQ21" s="974"/>
      <c r="PUR21" s="974"/>
      <c r="PUS21" s="974"/>
      <c r="PUT21" s="974"/>
      <c r="PUU21" s="974"/>
      <c r="PUV21" s="974"/>
      <c r="PUW21" s="974"/>
      <c r="PUX21" s="974"/>
      <c r="PUY21" s="974"/>
      <c r="PUZ21" s="974"/>
      <c r="PVA21" s="974"/>
      <c r="PVB21" s="974"/>
      <c r="PVC21" s="974"/>
      <c r="PVD21" s="974"/>
      <c r="PVE21" s="974"/>
      <c r="PVF21" s="974"/>
      <c r="PVG21" s="974"/>
      <c r="PVH21" s="974"/>
      <c r="PVI21" s="974"/>
      <c r="PVJ21" s="974"/>
      <c r="PVK21" s="974"/>
      <c r="PVL21" s="974"/>
      <c r="PVM21" s="974"/>
      <c r="PVN21" s="974"/>
      <c r="PVO21" s="974"/>
      <c r="PVP21" s="974"/>
      <c r="PVQ21" s="974"/>
      <c r="PVR21" s="974"/>
      <c r="PVS21" s="974"/>
      <c r="PVT21" s="974"/>
      <c r="PVU21" s="974"/>
      <c r="PVV21" s="974"/>
      <c r="PVW21" s="974"/>
      <c r="PVX21" s="974"/>
      <c r="PVY21" s="974"/>
      <c r="PVZ21" s="974"/>
      <c r="PWA21" s="974"/>
      <c r="PWB21" s="974"/>
      <c r="PWC21" s="974"/>
      <c r="PWD21" s="974"/>
      <c r="PWE21" s="974"/>
      <c r="PWF21" s="974"/>
      <c r="PWG21" s="974"/>
      <c r="PWH21" s="974"/>
      <c r="PWI21" s="974"/>
      <c r="PWJ21" s="974"/>
      <c r="PWK21" s="974"/>
      <c r="PWL21" s="974"/>
      <c r="PWM21" s="974"/>
      <c r="PWN21" s="974"/>
      <c r="PWO21" s="974"/>
      <c r="PWP21" s="974"/>
      <c r="PWQ21" s="974"/>
      <c r="PWR21" s="974"/>
      <c r="PWS21" s="974"/>
      <c r="PWT21" s="974"/>
      <c r="PWU21" s="974"/>
      <c r="PWV21" s="974"/>
      <c r="PWW21" s="974"/>
      <c r="PWX21" s="974"/>
      <c r="PWY21" s="974"/>
      <c r="PWZ21" s="974"/>
      <c r="PXA21" s="974"/>
      <c r="PXB21" s="974"/>
      <c r="PXC21" s="974"/>
      <c r="PXD21" s="974"/>
      <c r="PXE21" s="974"/>
      <c r="PXF21" s="974"/>
      <c r="PXG21" s="974"/>
      <c r="PXH21" s="974"/>
      <c r="PXI21" s="974"/>
      <c r="PXJ21" s="974"/>
      <c r="PXK21" s="974"/>
      <c r="PXL21" s="974"/>
      <c r="PXM21" s="974"/>
      <c r="PXN21" s="974"/>
      <c r="PXO21" s="974"/>
      <c r="PXP21" s="974"/>
      <c r="PXQ21" s="974"/>
      <c r="PXR21" s="974"/>
      <c r="PXS21" s="974"/>
      <c r="PXT21" s="974"/>
      <c r="PXU21" s="974"/>
      <c r="PXV21" s="974"/>
      <c r="PXW21" s="974"/>
      <c r="PXX21" s="974"/>
      <c r="PXY21" s="974"/>
      <c r="PXZ21" s="974"/>
      <c r="PYA21" s="974"/>
      <c r="PYB21" s="974"/>
      <c r="PYC21" s="974"/>
      <c r="PYD21" s="974"/>
      <c r="PYE21" s="974"/>
      <c r="PYF21" s="974"/>
      <c r="PYG21" s="974"/>
      <c r="PYH21" s="974"/>
      <c r="PYI21" s="974"/>
      <c r="PYJ21" s="974"/>
      <c r="PYK21" s="974"/>
      <c r="PYL21" s="974"/>
      <c r="PYM21" s="974"/>
      <c r="PYN21" s="974"/>
      <c r="PYO21" s="974"/>
      <c r="PYP21" s="974"/>
      <c r="PYQ21" s="974"/>
      <c r="PYR21" s="974"/>
      <c r="PYS21" s="974"/>
      <c r="PYT21" s="974"/>
      <c r="PYU21" s="974"/>
      <c r="PYV21" s="974"/>
      <c r="PYW21" s="974"/>
      <c r="PYX21" s="974"/>
      <c r="PYY21" s="974"/>
      <c r="PYZ21" s="974"/>
      <c r="PZA21" s="974"/>
      <c r="PZB21" s="974"/>
      <c r="PZC21" s="974"/>
      <c r="PZD21" s="974"/>
      <c r="PZE21" s="974"/>
      <c r="PZF21" s="974"/>
      <c r="PZG21" s="974"/>
      <c r="PZH21" s="974"/>
      <c r="PZI21" s="974"/>
      <c r="PZJ21" s="974"/>
      <c r="PZK21" s="974"/>
      <c r="PZL21" s="974"/>
      <c r="PZM21" s="974"/>
      <c r="PZN21" s="974"/>
      <c r="PZO21" s="974"/>
      <c r="PZP21" s="974"/>
      <c r="PZQ21" s="974"/>
      <c r="PZR21" s="974"/>
      <c r="PZS21" s="974"/>
      <c r="PZT21" s="974"/>
      <c r="PZU21" s="974"/>
      <c r="PZV21" s="974"/>
      <c r="PZW21" s="974"/>
      <c r="PZX21" s="974"/>
      <c r="PZY21" s="974"/>
      <c r="PZZ21" s="974"/>
      <c r="QAA21" s="974"/>
      <c r="QAB21" s="974"/>
      <c r="QAC21" s="974"/>
      <c r="QAD21" s="974"/>
      <c r="QAE21" s="974"/>
      <c r="QAF21" s="974"/>
      <c r="QAG21" s="974"/>
      <c r="QAH21" s="974"/>
      <c r="QAI21" s="974"/>
      <c r="QAJ21" s="974"/>
      <c r="QAK21" s="974"/>
      <c r="QAL21" s="974"/>
      <c r="QAM21" s="974"/>
      <c r="QAN21" s="974"/>
      <c r="QAO21" s="974"/>
      <c r="QAP21" s="974"/>
      <c r="QAQ21" s="974"/>
      <c r="QAR21" s="974"/>
      <c r="QAS21" s="974"/>
      <c r="QAT21" s="974"/>
      <c r="QAU21" s="974"/>
      <c r="QAV21" s="974"/>
      <c r="QAW21" s="974"/>
      <c r="QAX21" s="974"/>
      <c r="QAY21" s="974"/>
      <c r="QAZ21" s="974"/>
      <c r="QBA21" s="974"/>
      <c r="QBB21" s="974"/>
      <c r="QBC21" s="974"/>
      <c r="QBD21" s="974"/>
      <c r="QBE21" s="974"/>
      <c r="QBF21" s="974"/>
      <c r="QBG21" s="974"/>
      <c r="QBH21" s="974"/>
      <c r="QBI21" s="974"/>
      <c r="QBJ21" s="974"/>
      <c r="QBK21" s="974"/>
      <c r="QBL21" s="974"/>
      <c r="QBM21" s="974"/>
      <c r="QBN21" s="974"/>
      <c r="QBO21" s="974"/>
      <c r="QBP21" s="974"/>
      <c r="QBQ21" s="974"/>
      <c r="QBR21" s="974"/>
      <c r="QBS21" s="974"/>
      <c r="QBT21" s="974"/>
      <c r="QBU21" s="974"/>
      <c r="QBV21" s="974"/>
      <c r="QBW21" s="974"/>
      <c r="QBX21" s="974"/>
      <c r="QBY21" s="974"/>
      <c r="QBZ21" s="974"/>
      <c r="QCA21" s="974"/>
      <c r="QCB21" s="974"/>
      <c r="QCC21" s="974"/>
      <c r="QCD21" s="974"/>
      <c r="QCE21" s="974"/>
      <c r="QCF21" s="974"/>
      <c r="QCG21" s="974"/>
      <c r="QCH21" s="974"/>
      <c r="QCI21" s="974"/>
      <c r="QCJ21" s="974"/>
      <c r="QCK21" s="974"/>
      <c r="QCL21" s="974"/>
      <c r="QCM21" s="974"/>
      <c r="QCN21" s="974"/>
      <c r="QCO21" s="974"/>
      <c r="QCP21" s="974"/>
      <c r="QCQ21" s="974"/>
      <c r="QCR21" s="974"/>
      <c r="QCS21" s="974"/>
      <c r="QCT21" s="974"/>
      <c r="QCU21" s="974"/>
      <c r="QCV21" s="974"/>
      <c r="QCW21" s="974"/>
      <c r="QCX21" s="974"/>
      <c r="QCY21" s="974"/>
      <c r="QCZ21" s="974"/>
      <c r="QDA21" s="974"/>
      <c r="QDB21" s="974"/>
      <c r="QDC21" s="974"/>
      <c r="QDD21" s="974"/>
      <c r="QDE21" s="974"/>
      <c r="QDF21" s="974"/>
      <c r="QDG21" s="974"/>
      <c r="QDH21" s="974"/>
      <c r="QDI21" s="974"/>
      <c r="QDJ21" s="974"/>
      <c r="QDK21" s="974"/>
      <c r="QDL21" s="974"/>
      <c r="QDM21" s="974"/>
      <c r="QDN21" s="974"/>
      <c r="QDO21" s="974"/>
      <c r="QDP21" s="974"/>
      <c r="QDQ21" s="974"/>
      <c r="QDR21" s="974"/>
      <c r="QDS21" s="974"/>
      <c r="QDT21" s="974"/>
      <c r="QDU21" s="974"/>
      <c r="QDV21" s="974"/>
      <c r="QDW21" s="974"/>
      <c r="QDX21" s="974"/>
      <c r="QDY21" s="974"/>
      <c r="QDZ21" s="974"/>
      <c r="QEA21" s="974"/>
      <c r="QEB21" s="974"/>
      <c r="QEC21" s="974"/>
      <c r="QED21" s="974"/>
      <c r="QEE21" s="974"/>
      <c r="QEF21" s="974"/>
      <c r="QEG21" s="974"/>
      <c r="QEH21" s="974"/>
      <c r="QEI21" s="974"/>
      <c r="QEJ21" s="974"/>
      <c r="QEK21" s="974"/>
      <c r="QEL21" s="974"/>
      <c r="QEM21" s="974"/>
      <c r="QEN21" s="974"/>
      <c r="QEO21" s="974"/>
      <c r="QEP21" s="974"/>
      <c r="QEQ21" s="974"/>
      <c r="QER21" s="974"/>
      <c r="QES21" s="974"/>
      <c r="QET21" s="974"/>
      <c r="QEU21" s="974"/>
      <c r="QEV21" s="974"/>
      <c r="QEW21" s="974"/>
      <c r="QEX21" s="974"/>
      <c r="QEY21" s="974"/>
      <c r="QEZ21" s="974"/>
      <c r="QFA21" s="974"/>
      <c r="QFB21" s="974"/>
      <c r="QFC21" s="974"/>
      <c r="QFD21" s="974"/>
      <c r="QFE21" s="974"/>
      <c r="QFF21" s="974"/>
      <c r="QFG21" s="974"/>
      <c r="QFH21" s="974"/>
      <c r="QFI21" s="974"/>
      <c r="QFJ21" s="974"/>
      <c r="QFK21" s="974"/>
      <c r="QFL21" s="974"/>
      <c r="QFM21" s="974"/>
      <c r="QFN21" s="974"/>
      <c r="QFO21" s="974"/>
      <c r="QFP21" s="974"/>
      <c r="QFQ21" s="974"/>
      <c r="QFR21" s="974"/>
      <c r="QFS21" s="974"/>
      <c r="QFT21" s="974"/>
      <c r="QFU21" s="974"/>
      <c r="QFV21" s="974"/>
      <c r="QFW21" s="974"/>
      <c r="QFX21" s="974"/>
      <c r="QFY21" s="974"/>
      <c r="QFZ21" s="974"/>
      <c r="QGA21" s="974"/>
      <c r="QGB21" s="974"/>
      <c r="QGC21" s="974"/>
      <c r="QGD21" s="974"/>
      <c r="QGE21" s="974"/>
      <c r="QGF21" s="974"/>
      <c r="QGG21" s="974"/>
      <c r="QGH21" s="974"/>
      <c r="QGI21" s="974"/>
      <c r="QGJ21" s="974"/>
      <c r="QGK21" s="974"/>
      <c r="QGL21" s="974"/>
      <c r="QGM21" s="974"/>
      <c r="QGN21" s="974"/>
      <c r="QGO21" s="974"/>
      <c r="QGP21" s="974"/>
      <c r="QGQ21" s="974"/>
      <c r="QGR21" s="974"/>
      <c r="QGS21" s="974"/>
      <c r="QGT21" s="974"/>
      <c r="QGU21" s="974"/>
      <c r="QGV21" s="974"/>
      <c r="QGW21" s="974"/>
      <c r="QGX21" s="974"/>
      <c r="QGY21" s="974"/>
      <c r="QGZ21" s="974"/>
      <c r="QHA21" s="974"/>
      <c r="QHB21" s="974"/>
      <c r="QHC21" s="974"/>
      <c r="QHD21" s="974"/>
      <c r="QHE21" s="974"/>
      <c r="QHF21" s="974"/>
      <c r="QHG21" s="974"/>
      <c r="QHH21" s="974"/>
      <c r="QHI21" s="974"/>
      <c r="QHJ21" s="974"/>
      <c r="QHK21" s="974"/>
      <c r="QHL21" s="974"/>
      <c r="QHM21" s="974"/>
      <c r="QHN21" s="974"/>
      <c r="QHO21" s="974"/>
      <c r="QHP21" s="974"/>
      <c r="QHQ21" s="974"/>
      <c r="QHR21" s="974"/>
      <c r="QHS21" s="974"/>
      <c r="QHT21" s="974"/>
      <c r="QHU21" s="974"/>
      <c r="QHV21" s="974"/>
      <c r="QHW21" s="974"/>
      <c r="QHX21" s="974"/>
      <c r="QHY21" s="974"/>
      <c r="QHZ21" s="974"/>
      <c r="QIA21" s="974"/>
      <c r="QIB21" s="974"/>
      <c r="QIC21" s="974"/>
      <c r="QID21" s="974"/>
      <c r="QIE21" s="974"/>
      <c r="QIF21" s="974"/>
      <c r="QIG21" s="974"/>
      <c r="QIH21" s="974"/>
      <c r="QII21" s="974"/>
      <c r="QIJ21" s="974"/>
      <c r="QIK21" s="974"/>
      <c r="QIL21" s="974"/>
      <c r="QIM21" s="974"/>
      <c r="QIN21" s="974"/>
      <c r="QIO21" s="974"/>
      <c r="QIP21" s="974"/>
      <c r="QIQ21" s="974"/>
      <c r="QIR21" s="974"/>
      <c r="QIS21" s="974"/>
      <c r="QIT21" s="974"/>
      <c r="QIU21" s="974"/>
      <c r="QIV21" s="974"/>
      <c r="QIW21" s="974"/>
      <c r="QIX21" s="974"/>
      <c r="QIY21" s="974"/>
      <c r="QIZ21" s="974"/>
      <c r="QJA21" s="974"/>
      <c r="QJB21" s="974"/>
      <c r="QJC21" s="974"/>
      <c r="QJD21" s="974"/>
      <c r="QJE21" s="974"/>
      <c r="QJF21" s="974"/>
      <c r="QJG21" s="974"/>
      <c r="QJH21" s="974"/>
      <c r="QJI21" s="974"/>
      <c r="QJJ21" s="974"/>
      <c r="QJK21" s="974"/>
      <c r="QJL21" s="974"/>
      <c r="QJM21" s="974"/>
      <c r="QJN21" s="974"/>
      <c r="QJO21" s="974"/>
      <c r="QJP21" s="974"/>
      <c r="QJQ21" s="974"/>
      <c r="QJR21" s="974"/>
      <c r="QJS21" s="974"/>
      <c r="QJT21" s="974"/>
      <c r="QJU21" s="974"/>
      <c r="QJV21" s="974"/>
      <c r="QJW21" s="974"/>
      <c r="QJX21" s="974"/>
      <c r="QJY21" s="974"/>
      <c r="QJZ21" s="974"/>
      <c r="QKA21" s="974"/>
      <c r="QKB21" s="974"/>
      <c r="QKC21" s="974"/>
      <c r="QKD21" s="974"/>
      <c r="QKE21" s="974"/>
      <c r="QKF21" s="974"/>
      <c r="QKG21" s="974"/>
      <c r="QKH21" s="974"/>
      <c r="QKI21" s="974"/>
      <c r="QKJ21" s="974"/>
      <c r="QKK21" s="974"/>
      <c r="QKL21" s="974"/>
      <c r="QKM21" s="974"/>
      <c r="QKN21" s="974"/>
      <c r="QKO21" s="974"/>
      <c r="QKP21" s="974"/>
      <c r="QKQ21" s="974"/>
      <c r="QKR21" s="974"/>
      <c r="QKS21" s="974"/>
      <c r="QKT21" s="974"/>
      <c r="QKU21" s="974"/>
      <c r="QKV21" s="974"/>
      <c r="QKW21" s="974"/>
      <c r="QKX21" s="974"/>
      <c r="QKY21" s="974"/>
      <c r="QKZ21" s="974"/>
      <c r="QLA21" s="974"/>
      <c r="QLB21" s="974"/>
      <c r="QLC21" s="974"/>
      <c r="QLD21" s="974"/>
      <c r="QLE21" s="974"/>
      <c r="QLF21" s="974"/>
      <c r="QLG21" s="974"/>
      <c r="QLH21" s="974"/>
      <c r="QLI21" s="974"/>
      <c r="QLJ21" s="974"/>
      <c r="QLK21" s="974"/>
      <c r="QLL21" s="974"/>
      <c r="QLM21" s="974"/>
      <c r="QLN21" s="974"/>
      <c r="QLO21" s="974"/>
      <c r="QLP21" s="974"/>
      <c r="QLQ21" s="974"/>
      <c r="QLR21" s="974"/>
      <c r="QLS21" s="974"/>
      <c r="QLT21" s="974"/>
      <c r="QLU21" s="974"/>
      <c r="QLV21" s="974"/>
      <c r="QLW21" s="974"/>
      <c r="QLX21" s="974"/>
      <c r="QLY21" s="974"/>
      <c r="QLZ21" s="974"/>
      <c r="QMA21" s="974"/>
      <c r="QMB21" s="974"/>
      <c r="QMC21" s="974"/>
      <c r="QMD21" s="974"/>
      <c r="QME21" s="974"/>
      <c r="QMF21" s="974"/>
      <c r="QMG21" s="974"/>
      <c r="QMH21" s="974"/>
      <c r="QMI21" s="974"/>
      <c r="QMJ21" s="974"/>
      <c r="QMK21" s="974"/>
      <c r="QML21" s="974"/>
      <c r="QMM21" s="974"/>
      <c r="QMN21" s="974"/>
      <c r="QMO21" s="974"/>
      <c r="QMP21" s="974"/>
      <c r="QMQ21" s="974"/>
      <c r="QMR21" s="974"/>
      <c r="QMS21" s="974"/>
      <c r="QMT21" s="974"/>
      <c r="QMU21" s="974"/>
      <c r="QMV21" s="974"/>
      <c r="QMW21" s="974"/>
      <c r="QMX21" s="974"/>
      <c r="QMY21" s="974"/>
      <c r="QMZ21" s="974"/>
      <c r="QNA21" s="974"/>
      <c r="QNB21" s="974"/>
      <c r="QNC21" s="974"/>
      <c r="QND21" s="974"/>
      <c r="QNE21" s="974"/>
      <c r="QNF21" s="974"/>
      <c r="QNG21" s="974"/>
      <c r="QNH21" s="974"/>
      <c r="QNI21" s="974"/>
      <c r="QNJ21" s="974"/>
      <c r="QNK21" s="974"/>
      <c r="QNL21" s="974"/>
      <c r="QNM21" s="974"/>
      <c r="QNN21" s="974"/>
      <c r="QNO21" s="974"/>
      <c r="QNP21" s="974"/>
      <c r="QNQ21" s="974"/>
      <c r="QNR21" s="974"/>
      <c r="QNS21" s="974"/>
      <c r="QNT21" s="974"/>
      <c r="QNU21" s="974"/>
      <c r="QNV21" s="974"/>
      <c r="QNW21" s="974"/>
      <c r="QNX21" s="974"/>
      <c r="QNY21" s="974"/>
      <c r="QNZ21" s="974"/>
      <c r="QOA21" s="974"/>
      <c r="QOB21" s="974"/>
      <c r="QOC21" s="974"/>
      <c r="QOD21" s="974"/>
      <c r="QOE21" s="974"/>
      <c r="QOF21" s="974"/>
      <c r="QOG21" s="974"/>
      <c r="QOH21" s="974"/>
      <c r="QOI21" s="974"/>
      <c r="QOJ21" s="974"/>
      <c r="QOK21" s="974"/>
      <c r="QOL21" s="974"/>
      <c r="QOM21" s="974"/>
      <c r="QON21" s="974"/>
      <c r="QOO21" s="974"/>
      <c r="QOP21" s="974"/>
      <c r="QOQ21" s="974"/>
      <c r="QOR21" s="974"/>
      <c r="QOS21" s="974"/>
      <c r="QOT21" s="974"/>
      <c r="QOU21" s="974"/>
      <c r="QOV21" s="974"/>
      <c r="QOW21" s="974"/>
      <c r="QOX21" s="974"/>
      <c r="QOY21" s="974"/>
      <c r="QOZ21" s="974"/>
      <c r="QPA21" s="974"/>
      <c r="QPB21" s="974"/>
      <c r="QPC21" s="974"/>
      <c r="QPD21" s="974"/>
      <c r="QPE21" s="974"/>
      <c r="QPF21" s="974"/>
      <c r="QPG21" s="974"/>
      <c r="QPH21" s="974"/>
      <c r="QPI21" s="974"/>
      <c r="QPJ21" s="974"/>
      <c r="QPK21" s="974"/>
      <c r="QPL21" s="974"/>
      <c r="QPM21" s="974"/>
      <c r="QPN21" s="974"/>
      <c r="QPO21" s="974"/>
      <c r="QPP21" s="974"/>
      <c r="QPQ21" s="974"/>
      <c r="QPR21" s="974"/>
      <c r="QPS21" s="974"/>
      <c r="QPT21" s="974"/>
      <c r="QPU21" s="974"/>
      <c r="QPV21" s="974"/>
      <c r="QPW21" s="974"/>
      <c r="QPX21" s="974"/>
      <c r="QPY21" s="974"/>
      <c r="QPZ21" s="974"/>
      <c r="QQA21" s="974"/>
      <c r="QQB21" s="974"/>
      <c r="QQC21" s="974"/>
      <c r="QQD21" s="974"/>
      <c r="QQE21" s="974"/>
      <c r="QQF21" s="974"/>
      <c r="QQG21" s="974"/>
      <c r="QQH21" s="974"/>
      <c r="QQI21" s="974"/>
      <c r="QQJ21" s="974"/>
      <c r="QQK21" s="974"/>
      <c r="QQL21" s="974"/>
      <c r="QQM21" s="974"/>
      <c r="QQN21" s="974"/>
      <c r="QQO21" s="974"/>
      <c r="QQP21" s="974"/>
      <c r="QQQ21" s="974"/>
      <c r="QQR21" s="974"/>
      <c r="QQS21" s="974"/>
      <c r="QQT21" s="974"/>
      <c r="QQU21" s="974"/>
      <c r="QQV21" s="974"/>
      <c r="QQW21" s="974"/>
      <c r="QQX21" s="974"/>
      <c r="QQY21" s="974"/>
      <c r="QQZ21" s="974"/>
      <c r="QRA21" s="974"/>
      <c r="QRB21" s="974"/>
      <c r="QRC21" s="974"/>
      <c r="QRD21" s="974"/>
      <c r="QRE21" s="974"/>
      <c r="QRF21" s="974"/>
      <c r="QRG21" s="974"/>
      <c r="QRH21" s="974"/>
      <c r="QRI21" s="974"/>
      <c r="QRJ21" s="974"/>
      <c r="QRK21" s="974"/>
      <c r="QRL21" s="974"/>
      <c r="QRM21" s="974"/>
      <c r="QRN21" s="974"/>
      <c r="QRO21" s="974"/>
      <c r="QRP21" s="974"/>
      <c r="QRQ21" s="974"/>
      <c r="QRR21" s="974"/>
      <c r="QRS21" s="974"/>
      <c r="QRT21" s="974"/>
      <c r="QRU21" s="974"/>
      <c r="QRV21" s="974"/>
      <c r="QRW21" s="974"/>
      <c r="QRX21" s="974"/>
      <c r="QRY21" s="974"/>
      <c r="QRZ21" s="974"/>
      <c r="QSA21" s="974"/>
      <c r="QSB21" s="974"/>
      <c r="QSC21" s="974"/>
      <c r="QSD21" s="974"/>
      <c r="QSE21" s="974"/>
      <c r="QSF21" s="974"/>
      <c r="QSG21" s="974"/>
      <c r="QSH21" s="974"/>
      <c r="QSI21" s="974"/>
      <c r="QSJ21" s="974"/>
      <c r="QSK21" s="974"/>
      <c r="QSL21" s="974"/>
      <c r="QSM21" s="974"/>
      <c r="QSN21" s="974"/>
      <c r="QSO21" s="974"/>
      <c r="QSP21" s="974"/>
      <c r="QSQ21" s="974"/>
      <c r="QSR21" s="974"/>
      <c r="QSS21" s="974"/>
      <c r="QST21" s="974"/>
      <c r="QSU21" s="974"/>
      <c r="QSV21" s="974"/>
      <c r="QSW21" s="974"/>
      <c r="QSX21" s="974"/>
      <c r="QSY21" s="974"/>
      <c r="QSZ21" s="974"/>
      <c r="QTA21" s="974"/>
      <c r="QTB21" s="974"/>
      <c r="QTC21" s="974"/>
      <c r="QTD21" s="974"/>
      <c r="QTE21" s="974"/>
      <c r="QTF21" s="974"/>
      <c r="QTG21" s="974"/>
      <c r="QTH21" s="974"/>
      <c r="QTI21" s="974"/>
      <c r="QTJ21" s="974"/>
      <c r="QTK21" s="974"/>
      <c r="QTL21" s="974"/>
      <c r="QTM21" s="974"/>
      <c r="QTN21" s="974"/>
      <c r="QTO21" s="974"/>
      <c r="QTP21" s="974"/>
      <c r="QTQ21" s="974"/>
      <c r="QTR21" s="974"/>
      <c r="QTS21" s="974"/>
      <c r="QTT21" s="974"/>
      <c r="QTU21" s="974"/>
      <c r="QTV21" s="974"/>
      <c r="QTW21" s="974"/>
      <c r="QTX21" s="974"/>
      <c r="QTY21" s="974"/>
      <c r="QTZ21" s="974"/>
      <c r="QUA21" s="974"/>
      <c r="QUB21" s="974"/>
      <c r="QUC21" s="974"/>
      <c r="QUD21" s="974"/>
      <c r="QUE21" s="974"/>
      <c r="QUF21" s="974"/>
      <c r="QUG21" s="974"/>
      <c r="QUH21" s="974"/>
      <c r="QUI21" s="974"/>
      <c r="QUJ21" s="974"/>
      <c r="QUK21" s="974"/>
      <c r="QUL21" s="974"/>
      <c r="QUM21" s="974"/>
      <c r="QUN21" s="974"/>
      <c r="QUO21" s="974"/>
      <c r="QUP21" s="974"/>
      <c r="QUQ21" s="974"/>
      <c r="QUR21" s="974"/>
      <c r="QUS21" s="974"/>
      <c r="QUT21" s="974"/>
      <c r="QUU21" s="974"/>
      <c r="QUV21" s="974"/>
      <c r="QUW21" s="974"/>
      <c r="QUX21" s="974"/>
      <c r="QUY21" s="974"/>
      <c r="QUZ21" s="974"/>
      <c r="QVA21" s="974"/>
      <c r="QVB21" s="974"/>
      <c r="QVC21" s="974"/>
      <c r="QVD21" s="974"/>
      <c r="QVE21" s="974"/>
      <c r="QVF21" s="974"/>
      <c r="QVG21" s="974"/>
      <c r="QVH21" s="974"/>
      <c r="QVI21" s="974"/>
      <c r="QVJ21" s="974"/>
      <c r="QVK21" s="974"/>
      <c r="QVL21" s="974"/>
      <c r="QVM21" s="974"/>
      <c r="QVN21" s="974"/>
      <c r="QVO21" s="974"/>
      <c r="QVP21" s="974"/>
      <c r="QVQ21" s="974"/>
      <c r="QVR21" s="974"/>
      <c r="QVS21" s="974"/>
      <c r="QVT21" s="974"/>
      <c r="QVU21" s="974"/>
      <c r="QVV21" s="974"/>
      <c r="QVW21" s="974"/>
      <c r="QVX21" s="974"/>
      <c r="QVY21" s="974"/>
      <c r="QVZ21" s="974"/>
      <c r="QWA21" s="974"/>
      <c r="QWB21" s="974"/>
      <c r="QWC21" s="974"/>
      <c r="QWD21" s="974"/>
      <c r="QWE21" s="974"/>
      <c r="QWF21" s="974"/>
      <c r="QWG21" s="974"/>
      <c r="QWH21" s="974"/>
      <c r="QWI21" s="974"/>
      <c r="QWJ21" s="974"/>
      <c r="QWK21" s="974"/>
      <c r="QWL21" s="974"/>
      <c r="QWM21" s="974"/>
      <c r="QWN21" s="974"/>
      <c r="QWO21" s="974"/>
      <c r="QWP21" s="974"/>
      <c r="QWQ21" s="974"/>
      <c r="QWR21" s="974"/>
      <c r="QWS21" s="974"/>
      <c r="QWT21" s="974"/>
      <c r="QWU21" s="974"/>
      <c r="QWV21" s="974"/>
      <c r="QWW21" s="974"/>
      <c r="QWX21" s="974"/>
      <c r="QWY21" s="974"/>
      <c r="QWZ21" s="974"/>
      <c r="QXA21" s="974"/>
      <c r="QXB21" s="974"/>
      <c r="QXC21" s="974"/>
      <c r="QXD21" s="974"/>
      <c r="QXE21" s="974"/>
      <c r="QXF21" s="974"/>
      <c r="QXG21" s="974"/>
      <c r="QXH21" s="974"/>
      <c r="QXI21" s="974"/>
      <c r="QXJ21" s="974"/>
      <c r="QXK21" s="974"/>
      <c r="QXL21" s="974"/>
      <c r="QXM21" s="974"/>
      <c r="QXN21" s="974"/>
      <c r="QXO21" s="974"/>
      <c r="QXP21" s="974"/>
      <c r="QXQ21" s="974"/>
      <c r="QXR21" s="974"/>
      <c r="QXS21" s="974"/>
      <c r="QXT21" s="974"/>
      <c r="QXU21" s="974"/>
      <c r="QXV21" s="974"/>
      <c r="QXW21" s="974"/>
      <c r="QXX21" s="974"/>
      <c r="QXY21" s="974"/>
      <c r="QXZ21" s="974"/>
      <c r="QYA21" s="974"/>
      <c r="QYB21" s="974"/>
      <c r="QYC21" s="974"/>
      <c r="QYD21" s="974"/>
      <c r="QYE21" s="974"/>
      <c r="QYF21" s="974"/>
      <c r="QYG21" s="974"/>
      <c r="QYH21" s="974"/>
      <c r="QYI21" s="974"/>
      <c r="QYJ21" s="974"/>
      <c r="QYK21" s="974"/>
      <c r="QYL21" s="974"/>
      <c r="QYM21" s="974"/>
      <c r="QYN21" s="974"/>
      <c r="QYO21" s="974"/>
      <c r="QYP21" s="974"/>
      <c r="QYQ21" s="974"/>
      <c r="QYR21" s="974"/>
      <c r="QYS21" s="974"/>
      <c r="QYT21" s="974"/>
      <c r="QYU21" s="974"/>
      <c r="QYV21" s="974"/>
      <c r="QYW21" s="974"/>
      <c r="QYX21" s="974"/>
      <c r="QYY21" s="974"/>
      <c r="QYZ21" s="974"/>
      <c r="QZA21" s="974"/>
      <c r="QZB21" s="974"/>
      <c r="QZC21" s="974"/>
      <c r="QZD21" s="974"/>
      <c r="QZE21" s="974"/>
      <c r="QZF21" s="974"/>
      <c r="QZG21" s="974"/>
      <c r="QZH21" s="974"/>
      <c r="QZI21" s="974"/>
      <c r="QZJ21" s="974"/>
      <c r="QZK21" s="974"/>
      <c r="QZL21" s="974"/>
      <c r="QZM21" s="974"/>
      <c r="QZN21" s="974"/>
      <c r="QZO21" s="974"/>
      <c r="QZP21" s="974"/>
      <c r="QZQ21" s="974"/>
      <c r="QZR21" s="974"/>
      <c r="QZS21" s="974"/>
      <c r="QZT21" s="974"/>
      <c r="QZU21" s="974"/>
      <c r="QZV21" s="974"/>
      <c r="QZW21" s="974"/>
      <c r="QZX21" s="974"/>
      <c r="QZY21" s="974"/>
      <c r="QZZ21" s="974"/>
      <c r="RAA21" s="974"/>
      <c r="RAB21" s="974"/>
      <c r="RAC21" s="974"/>
      <c r="RAD21" s="974"/>
      <c r="RAE21" s="974"/>
      <c r="RAF21" s="974"/>
      <c r="RAG21" s="974"/>
      <c r="RAH21" s="974"/>
      <c r="RAI21" s="974"/>
      <c r="RAJ21" s="974"/>
      <c r="RAK21" s="974"/>
      <c r="RAL21" s="974"/>
      <c r="RAM21" s="974"/>
      <c r="RAN21" s="974"/>
      <c r="RAO21" s="974"/>
      <c r="RAP21" s="974"/>
      <c r="RAQ21" s="974"/>
      <c r="RAR21" s="974"/>
      <c r="RAS21" s="974"/>
      <c r="RAT21" s="974"/>
      <c r="RAU21" s="974"/>
      <c r="RAV21" s="974"/>
      <c r="RAW21" s="974"/>
      <c r="RAX21" s="974"/>
      <c r="RAY21" s="974"/>
      <c r="RAZ21" s="974"/>
      <c r="RBA21" s="974"/>
      <c r="RBB21" s="974"/>
      <c r="RBC21" s="974"/>
      <c r="RBD21" s="974"/>
      <c r="RBE21" s="974"/>
      <c r="RBF21" s="974"/>
      <c r="RBG21" s="974"/>
      <c r="RBH21" s="974"/>
      <c r="RBI21" s="974"/>
      <c r="RBJ21" s="974"/>
      <c r="RBK21" s="974"/>
      <c r="RBL21" s="974"/>
      <c r="RBM21" s="974"/>
      <c r="RBN21" s="974"/>
      <c r="RBO21" s="974"/>
      <c r="RBP21" s="974"/>
      <c r="RBQ21" s="974"/>
      <c r="RBR21" s="974"/>
      <c r="RBS21" s="974"/>
      <c r="RBT21" s="974"/>
      <c r="RBU21" s="974"/>
      <c r="RBV21" s="974"/>
      <c r="RBW21" s="974"/>
      <c r="RBX21" s="974"/>
      <c r="RBY21" s="974"/>
      <c r="RBZ21" s="974"/>
      <c r="RCA21" s="974"/>
      <c r="RCB21" s="974"/>
      <c r="RCC21" s="974"/>
      <c r="RCD21" s="974"/>
      <c r="RCE21" s="974"/>
      <c r="RCF21" s="974"/>
      <c r="RCG21" s="974"/>
      <c r="RCH21" s="974"/>
      <c r="RCI21" s="974"/>
      <c r="RCJ21" s="974"/>
      <c r="RCK21" s="974"/>
      <c r="RCL21" s="974"/>
      <c r="RCM21" s="974"/>
      <c r="RCN21" s="974"/>
      <c r="RCO21" s="974"/>
      <c r="RCP21" s="974"/>
      <c r="RCQ21" s="974"/>
      <c r="RCR21" s="974"/>
      <c r="RCS21" s="974"/>
      <c r="RCT21" s="974"/>
      <c r="RCU21" s="974"/>
      <c r="RCV21" s="974"/>
      <c r="RCW21" s="974"/>
      <c r="RCX21" s="974"/>
      <c r="RCY21" s="974"/>
      <c r="RCZ21" s="974"/>
      <c r="RDA21" s="974"/>
      <c r="RDB21" s="974"/>
      <c r="RDC21" s="974"/>
      <c r="RDD21" s="974"/>
      <c r="RDE21" s="974"/>
      <c r="RDF21" s="974"/>
      <c r="RDG21" s="974"/>
      <c r="RDH21" s="974"/>
      <c r="RDI21" s="974"/>
      <c r="RDJ21" s="974"/>
      <c r="RDK21" s="974"/>
      <c r="RDL21" s="974"/>
      <c r="RDM21" s="974"/>
      <c r="RDN21" s="974"/>
      <c r="RDO21" s="974"/>
      <c r="RDP21" s="974"/>
      <c r="RDQ21" s="974"/>
      <c r="RDR21" s="974"/>
      <c r="RDS21" s="974"/>
      <c r="RDT21" s="974"/>
      <c r="RDU21" s="974"/>
      <c r="RDV21" s="974"/>
      <c r="RDW21" s="974"/>
      <c r="RDX21" s="974"/>
      <c r="RDY21" s="974"/>
      <c r="RDZ21" s="974"/>
      <c r="REA21" s="974"/>
      <c r="REB21" s="974"/>
      <c r="REC21" s="974"/>
      <c r="RED21" s="974"/>
      <c r="REE21" s="974"/>
      <c r="REF21" s="974"/>
      <c r="REG21" s="974"/>
      <c r="REH21" s="974"/>
      <c r="REI21" s="974"/>
      <c r="REJ21" s="974"/>
      <c r="REK21" s="974"/>
      <c r="REL21" s="974"/>
      <c r="REM21" s="974"/>
      <c r="REN21" s="974"/>
      <c r="REO21" s="974"/>
      <c r="REP21" s="974"/>
      <c r="REQ21" s="974"/>
      <c r="RER21" s="974"/>
      <c r="RES21" s="974"/>
      <c r="RET21" s="974"/>
      <c r="REU21" s="974"/>
      <c r="REV21" s="974"/>
      <c r="REW21" s="974"/>
      <c r="REX21" s="974"/>
      <c r="REY21" s="974"/>
      <c r="REZ21" s="974"/>
      <c r="RFA21" s="974"/>
      <c r="RFB21" s="974"/>
      <c r="RFC21" s="974"/>
      <c r="RFD21" s="974"/>
      <c r="RFE21" s="974"/>
      <c r="RFF21" s="974"/>
      <c r="RFG21" s="974"/>
      <c r="RFH21" s="974"/>
      <c r="RFI21" s="974"/>
      <c r="RFJ21" s="974"/>
      <c r="RFK21" s="974"/>
      <c r="RFL21" s="974"/>
      <c r="RFM21" s="974"/>
      <c r="RFN21" s="974"/>
      <c r="RFO21" s="974"/>
      <c r="RFP21" s="974"/>
      <c r="RFQ21" s="974"/>
      <c r="RFR21" s="974"/>
      <c r="RFS21" s="974"/>
      <c r="RFT21" s="974"/>
      <c r="RFU21" s="974"/>
      <c r="RFV21" s="974"/>
      <c r="RFW21" s="974"/>
      <c r="RFX21" s="974"/>
      <c r="RFY21" s="974"/>
      <c r="RFZ21" s="974"/>
      <c r="RGA21" s="974"/>
      <c r="RGB21" s="974"/>
      <c r="RGC21" s="974"/>
      <c r="RGD21" s="974"/>
      <c r="RGE21" s="974"/>
      <c r="RGF21" s="974"/>
      <c r="RGG21" s="974"/>
      <c r="RGH21" s="974"/>
      <c r="RGI21" s="974"/>
      <c r="RGJ21" s="974"/>
      <c r="RGK21" s="974"/>
      <c r="RGL21" s="974"/>
      <c r="RGM21" s="974"/>
      <c r="RGN21" s="974"/>
      <c r="RGO21" s="974"/>
      <c r="RGP21" s="974"/>
      <c r="RGQ21" s="974"/>
      <c r="RGR21" s="974"/>
      <c r="RGS21" s="974"/>
      <c r="RGT21" s="974"/>
      <c r="RGU21" s="974"/>
      <c r="RGV21" s="974"/>
      <c r="RGW21" s="974"/>
      <c r="RGX21" s="974"/>
      <c r="RGY21" s="974"/>
      <c r="RGZ21" s="974"/>
      <c r="RHA21" s="974"/>
      <c r="RHB21" s="974"/>
      <c r="RHC21" s="974"/>
      <c r="RHD21" s="974"/>
      <c r="RHE21" s="974"/>
      <c r="RHF21" s="974"/>
      <c r="RHG21" s="974"/>
      <c r="RHH21" s="974"/>
      <c r="RHI21" s="974"/>
      <c r="RHJ21" s="974"/>
      <c r="RHK21" s="974"/>
      <c r="RHL21" s="974"/>
      <c r="RHM21" s="974"/>
      <c r="RHN21" s="974"/>
      <c r="RHO21" s="974"/>
      <c r="RHP21" s="974"/>
      <c r="RHQ21" s="974"/>
      <c r="RHR21" s="974"/>
      <c r="RHS21" s="974"/>
      <c r="RHT21" s="974"/>
      <c r="RHU21" s="974"/>
      <c r="RHV21" s="974"/>
      <c r="RHW21" s="974"/>
      <c r="RHX21" s="974"/>
      <c r="RHY21" s="974"/>
      <c r="RHZ21" s="974"/>
      <c r="RIA21" s="974"/>
      <c r="RIB21" s="974"/>
      <c r="RIC21" s="974"/>
      <c r="RID21" s="974"/>
      <c r="RIE21" s="974"/>
      <c r="RIF21" s="974"/>
      <c r="RIG21" s="974"/>
      <c r="RIH21" s="974"/>
      <c r="RII21" s="974"/>
      <c r="RIJ21" s="974"/>
      <c r="RIK21" s="974"/>
      <c r="RIL21" s="974"/>
      <c r="RIM21" s="974"/>
      <c r="RIN21" s="974"/>
      <c r="RIO21" s="974"/>
      <c r="RIP21" s="974"/>
      <c r="RIQ21" s="974"/>
      <c r="RIR21" s="974"/>
      <c r="RIS21" s="974"/>
      <c r="RIT21" s="974"/>
      <c r="RIU21" s="974"/>
      <c r="RIV21" s="974"/>
      <c r="RIW21" s="974"/>
      <c r="RIX21" s="974"/>
      <c r="RIY21" s="974"/>
      <c r="RIZ21" s="974"/>
      <c r="RJA21" s="974"/>
      <c r="RJB21" s="974"/>
      <c r="RJC21" s="974"/>
      <c r="RJD21" s="974"/>
      <c r="RJE21" s="974"/>
      <c r="RJF21" s="974"/>
      <c r="RJG21" s="974"/>
      <c r="RJH21" s="974"/>
      <c r="RJI21" s="974"/>
      <c r="RJJ21" s="974"/>
      <c r="RJK21" s="974"/>
      <c r="RJL21" s="974"/>
      <c r="RJM21" s="974"/>
      <c r="RJN21" s="974"/>
      <c r="RJO21" s="974"/>
      <c r="RJP21" s="974"/>
      <c r="RJQ21" s="974"/>
      <c r="RJR21" s="974"/>
      <c r="RJS21" s="974"/>
      <c r="RJT21" s="974"/>
      <c r="RJU21" s="974"/>
      <c r="RJV21" s="974"/>
      <c r="RJW21" s="974"/>
      <c r="RJX21" s="974"/>
      <c r="RJY21" s="974"/>
      <c r="RJZ21" s="974"/>
      <c r="RKA21" s="974"/>
      <c r="RKB21" s="974"/>
      <c r="RKC21" s="974"/>
      <c r="RKD21" s="974"/>
      <c r="RKE21" s="974"/>
      <c r="RKF21" s="974"/>
      <c r="RKG21" s="974"/>
      <c r="RKH21" s="974"/>
      <c r="RKI21" s="974"/>
      <c r="RKJ21" s="974"/>
      <c r="RKK21" s="974"/>
      <c r="RKL21" s="974"/>
      <c r="RKM21" s="974"/>
      <c r="RKN21" s="974"/>
      <c r="RKO21" s="974"/>
      <c r="RKP21" s="974"/>
      <c r="RKQ21" s="974"/>
      <c r="RKR21" s="974"/>
      <c r="RKS21" s="974"/>
      <c r="RKT21" s="974"/>
      <c r="RKU21" s="974"/>
      <c r="RKV21" s="974"/>
      <c r="RKW21" s="974"/>
      <c r="RKX21" s="974"/>
      <c r="RKY21" s="974"/>
      <c r="RKZ21" s="974"/>
      <c r="RLA21" s="974"/>
      <c r="RLB21" s="974"/>
      <c r="RLC21" s="974"/>
      <c r="RLD21" s="974"/>
      <c r="RLE21" s="974"/>
      <c r="RLF21" s="974"/>
      <c r="RLG21" s="974"/>
      <c r="RLH21" s="974"/>
      <c r="RLI21" s="974"/>
      <c r="RLJ21" s="974"/>
      <c r="RLK21" s="974"/>
      <c r="RLL21" s="974"/>
      <c r="RLM21" s="974"/>
      <c r="RLN21" s="974"/>
      <c r="RLO21" s="974"/>
      <c r="RLP21" s="974"/>
      <c r="RLQ21" s="974"/>
      <c r="RLR21" s="974"/>
      <c r="RLS21" s="974"/>
      <c r="RLT21" s="974"/>
      <c r="RLU21" s="974"/>
      <c r="RLV21" s="974"/>
      <c r="RLW21" s="974"/>
      <c r="RLX21" s="974"/>
      <c r="RLY21" s="974"/>
      <c r="RLZ21" s="974"/>
      <c r="RMA21" s="974"/>
      <c r="RMB21" s="974"/>
      <c r="RMC21" s="974"/>
      <c r="RMD21" s="974"/>
      <c r="RME21" s="974"/>
      <c r="RMF21" s="974"/>
      <c r="RMG21" s="974"/>
      <c r="RMH21" s="974"/>
      <c r="RMI21" s="974"/>
      <c r="RMJ21" s="974"/>
      <c r="RMK21" s="974"/>
      <c r="RML21" s="974"/>
      <c r="RMM21" s="974"/>
      <c r="RMN21" s="974"/>
      <c r="RMO21" s="974"/>
      <c r="RMP21" s="974"/>
      <c r="RMQ21" s="974"/>
      <c r="RMR21" s="974"/>
      <c r="RMS21" s="974"/>
      <c r="RMT21" s="974"/>
      <c r="RMU21" s="974"/>
      <c r="RMV21" s="974"/>
      <c r="RMW21" s="974"/>
      <c r="RMX21" s="974"/>
      <c r="RMY21" s="974"/>
      <c r="RMZ21" s="974"/>
      <c r="RNA21" s="974"/>
      <c r="RNB21" s="974"/>
      <c r="RNC21" s="974"/>
      <c r="RND21" s="974"/>
      <c r="RNE21" s="974"/>
      <c r="RNF21" s="974"/>
      <c r="RNG21" s="974"/>
      <c r="RNH21" s="974"/>
      <c r="RNI21" s="974"/>
      <c r="RNJ21" s="974"/>
      <c r="RNK21" s="974"/>
      <c r="RNL21" s="974"/>
      <c r="RNM21" s="974"/>
      <c r="RNN21" s="974"/>
      <c r="RNO21" s="974"/>
      <c r="RNP21" s="974"/>
      <c r="RNQ21" s="974"/>
      <c r="RNR21" s="974"/>
      <c r="RNS21" s="974"/>
      <c r="RNT21" s="974"/>
      <c r="RNU21" s="974"/>
      <c r="RNV21" s="974"/>
      <c r="RNW21" s="974"/>
      <c r="RNX21" s="974"/>
      <c r="RNY21" s="974"/>
      <c r="RNZ21" s="974"/>
      <c r="ROA21" s="974"/>
      <c r="ROB21" s="974"/>
      <c r="ROC21" s="974"/>
      <c r="ROD21" s="974"/>
      <c r="ROE21" s="974"/>
      <c r="ROF21" s="974"/>
      <c r="ROG21" s="974"/>
      <c r="ROH21" s="974"/>
      <c r="ROI21" s="974"/>
      <c r="ROJ21" s="974"/>
      <c r="ROK21" s="974"/>
      <c r="ROL21" s="974"/>
      <c r="ROM21" s="974"/>
      <c r="RON21" s="974"/>
      <c r="ROO21" s="974"/>
      <c r="ROP21" s="974"/>
      <c r="ROQ21" s="974"/>
      <c r="ROR21" s="974"/>
      <c r="ROS21" s="974"/>
      <c r="ROT21" s="974"/>
      <c r="ROU21" s="974"/>
      <c r="ROV21" s="974"/>
      <c r="ROW21" s="974"/>
      <c r="ROX21" s="974"/>
      <c r="ROY21" s="974"/>
      <c r="ROZ21" s="974"/>
      <c r="RPA21" s="974"/>
      <c r="RPB21" s="974"/>
      <c r="RPC21" s="974"/>
      <c r="RPD21" s="974"/>
      <c r="RPE21" s="974"/>
      <c r="RPF21" s="974"/>
      <c r="RPG21" s="974"/>
      <c r="RPH21" s="974"/>
      <c r="RPI21" s="974"/>
      <c r="RPJ21" s="974"/>
      <c r="RPK21" s="974"/>
      <c r="RPL21" s="974"/>
      <c r="RPM21" s="974"/>
      <c r="RPN21" s="974"/>
      <c r="RPO21" s="974"/>
      <c r="RPP21" s="974"/>
      <c r="RPQ21" s="974"/>
      <c r="RPR21" s="974"/>
      <c r="RPS21" s="974"/>
      <c r="RPT21" s="974"/>
      <c r="RPU21" s="974"/>
      <c r="RPV21" s="974"/>
      <c r="RPW21" s="974"/>
      <c r="RPX21" s="974"/>
      <c r="RPY21" s="974"/>
      <c r="RPZ21" s="974"/>
      <c r="RQA21" s="974"/>
      <c r="RQB21" s="974"/>
      <c r="RQC21" s="974"/>
      <c r="RQD21" s="974"/>
      <c r="RQE21" s="974"/>
      <c r="RQF21" s="974"/>
      <c r="RQG21" s="974"/>
      <c r="RQH21" s="974"/>
      <c r="RQI21" s="974"/>
      <c r="RQJ21" s="974"/>
      <c r="RQK21" s="974"/>
      <c r="RQL21" s="974"/>
      <c r="RQM21" s="974"/>
      <c r="RQN21" s="974"/>
      <c r="RQO21" s="974"/>
      <c r="RQP21" s="974"/>
      <c r="RQQ21" s="974"/>
      <c r="RQR21" s="974"/>
      <c r="RQS21" s="974"/>
      <c r="RQT21" s="974"/>
      <c r="RQU21" s="974"/>
      <c r="RQV21" s="974"/>
      <c r="RQW21" s="974"/>
      <c r="RQX21" s="974"/>
      <c r="RQY21" s="974"/>
      <c r="RQZ21" s="974"/>
      <c r="RRA21" s="974"/>
      <c r="RRB21" s="974"/>
      <c r="RRC21" s="974"/>
      <c r="RRD21" s="974"/>
      <c r="RRE21" s="974"/>
      <c r="RRF21" s="974"/>
      <c r="RRG21" s="974"/>
      <c r="RRH21" s="974"/>
      <c r="RRI21" s="974"/>
      <c r="RRJ21" s="974"/>
      <c r="RRK21" s="974"/>
      <c r="RRL21" s="974"/>
      <c r="RRM21" s="974"/>
      <c r="RRN21" s="974"/>
      <c r="RRO21" s="974"/>
      <c r="RRP21" s="974"/>
      <c r="RRQ21" s="974"/>
      <c r="RRR21" s="974"/>
      <c r="RRS21" s="974"/>
      <c r="RRT21" s="974"/>
      <c r="RRU21" s="974"/>
      <c r="RRV21" s="974"/>
      <c r="RRW21" s="974"/>
      <c r="RRX21" s="974"/>
      <c r="RRY21" s="974"/>
      <c r="RRZ21" s="974"/>
      <c r="RSA21" s="974"/>
      <c r="RSB21" s="974"/>
      <c r="RSC21" s="974"/>
      <c r="RSD21" s="974"/>
      <c r="RSE21" s="974"/>
      <c r="RSF21" s="974"/>
      <c r="RSG21" s="974"/>
      <c r="RSH21" s="974"/>
      <c r="RSI21" s="974"/>
      <c r="RSJ21" s="974"/>
      <c r="RSK21" s="974"/>
      <c r="RSL21" s="974"/>
      <c r="RSM21" s="974"/>
      <c r="RSN21" s="974"/>
      <c r="RSO21" s="974"/>
      <c r="RSP21" s="974"/>
      <c r="RSQ21" s="974"/>
      <c r="RSR21" s="974"/>
      <c r="RSS21" s="974"/>
      <c r="RST21" s="974"/>
      <c r="RSU21" s="974"/>
      <c r="RSV21" s="974"/>
      <c r="RSW21" s="974"/>
      <c r="RSX21" s="974"/>
      <c r="RSY21" s="974"/>
      <c r="RSZ21" s="974"/>
      <c r="RTA21" s="974"/>
      <c r="RTB21" s="974"/>
      <c r="RTC21" s="974"/>
      <c r="RTD21" s="974"/>
      <c r="RTE21" s="974"/>
      <c r="RTF21" s="974"/>
      <c r="RTG21" s="974"/>
      <c r="RTH21" s="974"/>
      <c r="RTI21" s="974"/>
      <c r="RTJ21" s="974"/>
      <c r="RTK21" s="974"/>
      <c r="RTL21" s="974"/>
      <c r="RTM21" s="974"/>
      <c r="RTN21" s="974"/>
      <c r="RTO21" s="974"/>
      <c r="RTP21" s="974"/>
      <c r="RTQ21" s="974"/>
      <c r="RTR21" s="974"/>
      <c r="RTS21" s="974"/>
      <c r="RTT21" s="974"/>
      <c r="RTU21" s="974"/>
      <c r="RTV21" s="974"/>
      <c r="RTW21" s="974"/>
      <c r="RTX21" s="974"/>
      <c r="RTY21" s="974"/>
      <c r="RTZ21" s="974"/>
      <c r="RUA21" s="974"/>
      <c r="RUB21" s="974"/>
      <c r="RUC21" s="974"/>
      <c r="RUD21" s="974"/>
      <c r="RUE21" s="974"/>
      <c r="RUF21" s="974"/>
      <c r="RUG21" s="974"/>
      <c r="RUH21" s="974"/>
      <c r="RUI21" s="974"/>
      <c r="RUJ21" s="974"/>
      <c r="RUK21" s="974"/>
      <c r="RUL21" s="974"/>
      <c r="RUM21" s="974"/>
      <c r="RUN21" s="974"/>
      <c r="RUO21" s="974"/>
      <c r="RUP21" s="974"/>
      <c r="RUQ21" s="974"/>
      <c r="RUR21" s="974"/>
      <c r="RUS21" s="974"/>
      <c r="RUT21" s="974"/>
      <c r="RUU21" s="974"/>
      <c r="RUV21" s="974"/>
      <c r="RUW21" s="974"/>
      <c r="RUX21" s="974"/>
      <c r="RUY21" s="974"/>
      <c r="RUZ21" s="974"/>
      <c r="RVA21" s="974"/>
      <c r="RVB21" s="974"/>
      <c r="RVC21" s="974"/>
      <c r="RVD21" s="974"/>
      <c r="RVE21" s="974"/>
      <c r="RVF21" s="974"/>
      <c r="RVG21" s="974"/>
      <c r="RVH21" s="974"/>
      <c r="RVI21" s="974"/>
      <c r="RVJ21" s="974"/>
      <c r="RVK21" s="974"/>
      <c r="RVL21" s="974"/>
      <c r="RVM21" s="974"/>
      <c r="RVN21" s="974"/>
      <c r="RVO21" s="974"/>
      <c r="RVP21" s="974"/>
      <c r="RVQ21" s="974"/>
      <c r="RVR21" s="974"/>
      <c r="RVS21" s="974"/>
      <c r="RVT21" s="974"/>
      <c r="RVU21" s="974"/>
      <c r="RVV21" s="974"/>
      <c r="RVW21" s="974"/>
      <c r="RVX21" s="974"/>
      <c r="RVY21" s="974"/>
      <c r="RVZ21" s="974"/>
      <c r="RWA21" s="974"/>
      <c r="RWB21" s="974"/>
      <c r="RWC21" s="974"/>
      <c r="RWD21" s="974"/>
      <c r="RWE21" s="974"/>
      <c r="RWF21" s="974"/>
      <c r="RWG21" s="974"/>
      <c r="RWH21" s="974"/>
      <c r="RWI21" s="974"/>
      <c r="RWJ21" s="974"/>
      <c r="RWK21" s="974"/>
      <c r="RWL21" s="974"/>
      <c r="RWM21" s="974"/>
      <c r="RWN21" s="974"/>
      <c r="RWO21" s="974"/>
      <c r="RWP21" s="974"/>
      <c r="RWQ21" s="974"/>
      <c r="RWR21" s="974"/>
      <c r="RWS21" s="974"/>
      <c r="RWT21" s="974"/>
      <c r="RWU21" s="974"/>
      <c r="RWV21" s="974"/>
      <c r="RWW21" s="974"/>
      <c r="RWX21" s="974"/>
      <c r="RWY21" s="974"/>
      <c r="RWZ21" s="974"/>
      <c r="RXA21" s="974"/>
      <c r="RXB21" s="974"/>
      <c r="RXC21" s="974"/>
      <c r="RXD21" s="974"/>
      <c r="RXE21" s="974"/>
      <c r="RXF21" s="974"/>
      <c r="RXG21" s="974"/>
      <c r="RXH21" s="974"/>
      <c r="RXI21" s="974"/>
      <c r="RXJ21" s="974"/>
      <c r="RXK21" s="974"/>
      <c r="RXL21" s="974"/>
      <c r="RXM21" s="974"/>
      <c r="RXN21" s="974"/>
      <c r="RXO21" s="974"/>
      <c r="RXP21" s="974"/>
      <c r="RXQ21" s="974"/>
      <c r="RXR21" s="974"/>
      <c r="RXS21" s="974"/>
      <c r="RXT21" s="974"/>
      <c r="RXU21" s="974"/>
      <c r="RXV21" s="974"/>
      <c r="RXW21" s="974"/>
      <c r="RXX21" s="974"/>
      <c r="RXY21" s="974"/>
      <c r="RXZ21" s="974"/>
      <c r="RYA21" s="974"/>
      <c r="RYB21" s="974"/>
      <c r="RYC21" s="974"/>
      <c r="RYD21" s="974"/>
      <c r="RYE21" s="974"/>
      <c r="RYF21" s="974"/>
      <c r="RYG21" s="974"/>
      <c r="RYH21" s="974"/>
      <c r="RYI21" s="974"/>
      <c r="RYJ21" s="974"/>
      <c r="RYK21" s="974"/>
      <c r="RYL21" s="974"/>
      <c r="RYM21" s="974"/>
      <c r="RYN21" s="974"/>
      <c r="RYO21" s="974"/>
      <c r="RYP21" s="974"/>
      <c r="RYQ21" s="974"/>
      <c r="RYR21" s="974"/>
      <c r="RYS21" s="974"/>
      <c r="RYT21" s="974"/>
      <c r="RYU21" s="974"/>
      <c r="RYV21" s="974"/>
      <c r="RYW21" s="974"/>
      <c r="RYX21" s="974"/>
      <c r="RYY21" s="974"/>
      <c r="RYZ21" s="974"/>
      <c r="RZA21" s="974"/>
      <c r="RZB21" s="974"/>
      <c r="RZC21" s="974"/>
      <c r="RZD21" s="974"/>
      <c r="RZE21" s="974"/>
      <c r="RZF21" s="974"/>
      <c r="RZG21" s="974"/>
      <c r="RZH21" s="974"/>
      <c r="RZI21" s="974"/>
      <c r="RZJ21" s="974"/>
      <c r="RZK21" s="974"/>
      <c r="RZL21" s="974"/>
      <c r="RZM21" s="974"/>
      <c r="RZN21" s="974"/>
      <c r="RZO21" s="974"/>
      <c r="RZP21" s="974"/>
      <c r="RZQ21" s="974"/>
      <c r="RZR21" s="974"/>
      <c r="RZS21" s="974"/>
      <c r="RZT21" s="974"/>
      <c r="RZU21" s="974"/>
      <c r="RZV21" s="974"/>
      <c r="RZW21" s="974"/>
      <c r="RZX21" s="974"/>
      <c r="RZY21" s="974"/>
      <c r="RZZ21" s="974"/>
      <c r="SAA21" s="974"/>
      <c r="SAB21" s="974"/>
      <c r="SAC21" s="974"/>
      <c r="SAD21" s="974"/>
      <c r="SAE21" s="974"/>
      <c r="SAF21" s="974"/>
      <c r="SAG21" s="974"/>
      <c r="SAH21" s="974"/>
      <c r="SAI21" s="974"/>
      <c r="SAJ21" s="974"/>
      <c r="SAK21" s="974"/>
      <c r="SAL21" s="974"/>
      <c r="SAM21" s="974"/>
      <c r="SAN21" s="974"/>
      <c r="SAO21" s="974"/>
      <c r="SAP21" s="974"/>
      <c r="SAQ21" s="974"/>
      <c r="SAR21" s="974"/>
      <c r="SAS21" s="974"/>
      <c r="SAT21" s="974"/>
      <c r="SAU21" s="974"/>
      <c r="SAV21" s="974"/>
      <c r="SAW21" s="974"/>
      <c r="SAX21" s="974"/>
      <c r="SAY21" s="974"/>
      <c r="SAZ21" s="974"/>
      <c r="SBA21" s="974"/>
      <c r="SBB21" s="974"/>
      <c r="SBC21" s="974"/>
      <c r="SBD21" s="974"/>
      <c r="SBE21" s="974"/>
      <c r="SBF21" s="974"/>
      <c r="SBG21" s="974"/>
      <c r="SBH21" s="974"/>
      <c r="SBI21" s="974"/>
      <c r="SBJ21" s="974"/>
      <c r="SBK21" s="974"/>
      <c r="SBL21" s="974"/>
      <c r="SBM21" s="974"/>
      <c r="SBN21" s="974"/>
      <c r="SBO21" s="974"/>
      <c r="SBP21" s="974"/>
      <c r="SBQ21" s="974"/>
      <c r="SBR21" s="974"/>
      <c r="SBS21" s="974"/>
      <c r="SBT21" s="974"/>
      <c r="SBU21" s="974"/>
      <c r="SBV21" s="974"/>
      <c r="SBW21" s="974"/>
      <c r="SBX21" s="974"/>
      <c r="SBY21" s="974"/>
      <c r="SBZ21" s="974"/>
      <c r="SCA21" s="974"/>
      <c r="SCB21" s="974"/>
      <c r="SCC21" s="974"/>
      <c r="SCD21" s="974"/>
      <c r="SCE21" s="974"/>
      <c r="SCF21" s="974"/>
      <c r="SCG21" s="974"/>
      <c r="SCH21" s="974"/>
      <c r="SCI21" s="974"/>
      <c r="SCJ21" s="974"/>
      <c r="SCK21" s="974"/>
      <c r="SCL21" s="974"/>
      <c r="SCM21" s="974"/>
      <c r="SCN21" s="974"/>
      <c r="SCO21" s="974"/>
      <c r="SCP21" s="974"/>
      <c r="SCQ21" s="974"/>
      <c r="SCR21" s="974"/>
      <c r="SCS21" s="974"/>
      <c r="SCT21" s="974"/>
      <c r="SCU21" s="974"/>
      <c r="SCV21" s="974"/>
      <c r="SCW21" s="974"/>
      <c r="SCX21" s="974"/>
      <c r="SCY21" s="974"/>
      <c r="SCZ21" s="974"/>
      <c r="SDA21" s="974"/>
      <c r="SDB21" s="974"/>
      <c r="SDC21" s="974"/>
      <c r="SDD21" s="974"/>
      <c r="SDE21" s="974"/>
      <c r="SDF21" s="974"/>
      <c r="SDG21" s="974"/>
      <c r="SDH21" s="974"/>
      <c r="SDI21" s="974"/>
      <c r="SDJ21" s="974"/>
      <c r="SDK21" s="974"/>
      <c r="SDL21" s="974"/>
      <c r="SDM21" s="974"/>
      <c r="SDN21" s="974"/>
      <c r="SDO21" s="974"/>
      <c r="SDP21" s="974"/>
      <c r="SDQ21" s="974"/>
      <c r="SDR21" s="974"/>
      <c r="SDS21" s="974"/>
      <c r="SDT21" s="974"/>
      <c r="SDU21" s="974"/>
      <c r="SDV21" s="974"/>
      <c r="SDW21" s="974"/>
      <c r="SDX21" s="974"/>
      <c r="SDY21" s="974"/>
      <c r="SDZ21" s="974"/>
      <c r="SEA21" s="974"/>
      <c r="SEB21" s="974"/>
      <c r="SEC21" s="974"/>
      <c r="SED21" s="974"/>
      <c r="SEE21" s="974"/>
      <c r="SEF21" s="974"/>
      <c r="SEG21" s="974"/>
      <c r="SEH21" s="974"/>
      <c r="SEI21" s="974"/>
      <c r="SEJ21" s="974"/>
      <c r="SEK21" s="974"/>
      <c r="SEL21" s="974"/>
      <c r="SEM21" s="974"/>
      <c r="SEN21" s="974"/>
      <c r="SEO21" s="974"/>
      <c r="SEP21" s="974"/>
      <c r="SEQ21" s="974"/>
      <c r="SER21" s="974"/>
      <c r="SES21" s="974"/>
      <c r="SET21" s="974"/>
      <c r="SEU21" s="974"/>
      <c r="SEV21" s="974"/>
      <c r="SEW21" s="974"/>
      <c r="SEX21" s="974"/>
      <c r="SEY21" s="974"/>
      <c r="SEZ21" s="974"/>
      <c r="SFA21" s="974"/>
      <c r="SFB21" s="974"/>
      <c r="SFC21" s="974"/>
      <c r="SFD21" s="974"/>
      <c r="SFE21" s="974"/>
      <c r="SFF21" s="974"/>
      <c r="SFG21" s="974"/>
      <c r="SFH21" s="974"/>
      <c r="SFI21" s="974"/>
      <c r="SFJ21" s="974"/>
      <c r="SFK21" s="974"/>
      <c r="SFL21" s="974"/>
      <c r="SFM21" s="974"/>
      <c r="SFN21" s="974"/>
      <c r="SFO21" s="974"/>
      <c r="SFP21" s="974"/>
      <c r="SFQ21" s="974"/>
      <c r="SFR21" s="974"/>
      <c r="SFS21" s="974"/>
      <c r="SFT21" s="974"/>
      <c r="SFU21" s="974"/>
      <c r="SFV21" s="974"/>
      <c r="SFW21" s="974"/>
      <c r="SFX21" s="974"/>
      <c r="SFY21" s="974"/>
      <c r="SFZ21" s="974"/>
      <c r="SGA21" s="974"/>
      <c r="SGB21" s="974"/>
      <c r="SGC21" s="974"/>
      <c r="SGD21" s="974"/>
      <c r="SGE21" s="974"/>
      <c r="SGF21" s="974"/>
      <c r="SGG21" s="974"/>
      <c r="SGH21" s="974"/>
      <c r="SGI21" s="974"/>
      <c r="SGJ21" s="974"/>
      <c r="SGK21" s="974"/>
      <c r="SGL21" s="974"/>
      <c r="SGM21" s="974"/>
      <c r="SGN21" s="974"/>
      <c r="SGO21" s="974"/>
      <c r="SGP21" s="974"/>
      <c r="SGQ21" s="974"/>
      <c r="SGR21" s="974"/>
      <c r="SGS21" s="974"/>
      <c r="SGT21" s="974"/>
      <c r="SGU21" s="974"/>
      <c r="SGV21" s="974"/>
      <c r="SGW21" s="974"/>
      <c r="SGX21" s="974"/>
      <c r="SGY21" s="974"/>
      <c r="SGZ21" s="974"/>
      <c r="SHA21" s="974"/>
      <c r="SHB21" s="974"/>
      <c r="SHC21" s="974"/>
      <c r="SHD21" s="974"/>
      <c r="SHE21" s="974"/>
      <c r="SHF21" s="974"/>
      <c r="SHG21" s="974"/>
      <c r="SHH21" s="974"/>
      <c r="SHI21" s="974"/>
      <c r="SHJ21" s="974"/>
      <c r="SHK21" s="974"/>
      <c r="SHL21" s="974"/>
      <c r="SHM21" s="974"/>
      <c r="SHN21" s="974"/>
      <c r="SHO21" s="974"/>
      <c r="SHP21" s="974"/>
      <c r="SHQ21" s="974"/>
      <c r="SHR21" s="974"/>
      <c r="SHS21" s="974"/>
      <c r="SHT21" s="974"/>
      <c r="SHU21" s="974"/>
      <c r="SHV21" s="974"/>
      <c r="SHW21" s="974"/>
      <c r="SHX21" s="974"/>
      <c r="SHY21" s="974"/>
      <c r="SHZ21" s="974"/>
      <c r="SIA21" s="974"/>
      <c r="SIB21" s="974"/>
      <c r="SIC21" s="974"/>
      <c r="SID21" s="974"/>
      <c r="SIE21" s="974"/>
      <c r="SIF21" s="974"/>
      <c r="SIG21" s="974"/>
      <c r="SIH21" s="974"/>
      <c r="SII21" s="974"/>
      <c r="SIJ21" s="974"/>
      <c r="SIK21" s="974"/>
      <c r="SIL21" s="974"/>
      <c r="SIM21" s="974"/>
      <c r="SIN21" s="974"/>
      <c r="SIO21" s="974"/>
      <c r="SIP21" s="974"/>
      <c r="SIQ21" s="974"/>
      <c r="SIR21" s="974"/>
      <c r="SIS21" s="974"/>
      <c r="SIT21" s="974"/>
      <c r="SIU21" s="974"/>
      <c r="SIV21" s="974"/>
      <c r="SIW21" s="974"/>
      <c r="SIX21" s="974"/>
      <c r="SIY21" s="974"/>
      <c r="SIZ21" s="974"/>
      <c r="SJA21" s="974"/>
      <c r="SJB21" s="974"/>
      <c r="SJC21" s="974"/>
      <c r="SJD21" s="974"/>
      <c r="SJE21" s="974"/>
      <c r="SJF21" s="974"/>
      <c r="SJG21" s="974"/>
      <c r="SJH21" s="974"/>
      <c r="SJI21" s="974"/>
      <c r="SJJ21" s="974"/>
      <c r="SJK21" s="974"/>
      <c r="SJL21" s="974"/>
      <c r="SJM21" s="974"/>
      <c r="SJN21" s="974"/>
      <c r="SJO21" s="974"/>
      <c r="SJP21" s="974"/>
      <c r="SJQ21" s="974"/>
      <c r="SJR21" s="974"/>
      <c r="SJS21" s="974"/>
      <c r="SJT21" s="974"/>
      <c r="SJU21" s="974"/>
      <c r="SJV21" s="974"/>
      <c r="SJW21" s="974"/>
      <c r="SJX21" s="974"/>
      <c r="SJY21" s="974"/>
      <c r="SJZ21" s="974"/>
      <c r="SKA21" s="974"/>
      <c r="SKB21" s="974"/>
      <c r="SKC21" s="974"/>
      <c r="SKD21" s="974"/>
      <c r="SKE21" s="974"/>
      <c r="SKF21" s="974"/>
      <c r="SKG21" s="974"/>
      <c r="SKH21" s="974"/>
      <c r="SKI21" s="974"/>
      <c r="SKJ21" s="974"/>
      <c r="SKK21" s="974"/>
      <c r="SKL21" s="974"/>
      <c r="SKM21" s="974"/>
      <c r="SKN21" s="974"/>
      <c r="SKO21" s="974"/>
      <c r="SKP21" s="974"/>
      <c r="SKQ21" s="974"/>
      <c r="SKR21" s="974"/>
      <c r="SKS21" s="974"/>
      <c r="SKT21" s="974"/>
      <c r="SKU21" s="974"/>
      <c r="SKV21" s="974"/>
      <c r="SKW21" s="974"/>
      <c r="SKX21" s="974"/>
      <c r="SKY21" s="974"/>
      <c r="SKZ21" s="974"/>
      <c r="SLA21" s="974"/>
      <c r="SLB21" s="974"/>
      <c r="SLC21" s="974"/>
      <c r="SLD21" s="974"/>
      <c r="SLE21" s="974"/>
      <c r="SLF21" s="974"/>
      <c r="SLG21" s="974"/>
      <c r="SLH21" s="974"/>
      <c r="SLI21" s="974"/>
      <c r="SLJ21" s="974"/>
      <c r="SLK21" s="974"/>
      <c r="SLL21" s="974"/>
      <c r="SLM21" s="974"/>
      <c r="SLN21" s="974"/>
      <c r="SLO21" s="974"/>
      <c r="SLP21" s="974"/>
      <c r="SLQ21" s="974"/>
      <c r="SLR21" s="974"/>
      <c r="SLS21" s="974"/>
      <c r="SLT21" s="974"/>
      <c r="SLU21" s="974"/>
      <c r="SLV21" s="974"/>
      <c r="SLW21" s="974"/>
      <c r="SLX21" s="974"/>
      <c r="SLY21" s="974"/>
      <c r="SLZ21" s="974"/>
      <c r="SMA21" s="974"/>
      <c r="SMB21" s="974"/>
      <c r="SMC21" s="974"/>
      <c r="SMD21" s="974"/>
      <c r="SME21" s="974"/>
      <c r="SMF21" s="974"/>
      <c r="SMG21" s="974"/>
      <c r="SMH21" s="974"/>
      <c r="SMI21" s="974"/>
      <c r="SMJ21" s="974"/>
      <c r="SMK21" s="974"/>
      <c r="SML21" s="974"/>
      <c r="SMM21" s="974"/>
      <c r="SMN21" s="974"/>
      <c r="SMO21" s="974"/>
      <c r="SMP21" s="974"/>
      <c r="SMQ21" s="974"/>
      <c r="SMR21" s="974"/>
      <c r="SMS21" s="974"/>
      <c r="SMT21" s="974"/>
      <c r="SMU21" s="974"/>
      <c r="SMV21" s="974"/>
      <c r="SMW21" s="974"/>
      <c r="SMX21" s="974"/>
      <c r="SMY21" s="974"/>
      <c r="SMZ21" s="974"/>
      <c r="SNA21" s="974"/>
      <c r="SNB21" s="974"/>
      <c r="SNC21" s="974"/>
      <c r="SND21" s="974"/>
      <c r="SNE21" s="974"/>
      <c r="SNF21" s="974"/>
      <c r="SNG21" s="974"/>
      <c r="SNH21" s="974"/>
      <c r="SNI21" s="974"/>
      <c r="SNJ21" s="974"/>
      <c r="SNK21" s="974"/>
      <c r="SNL21" s="974"/>
      <c r="SNM21" s="974"/>
      <c r="SNN21" s="974"/>
      <c r="SNO21" s="974"/>
      <c r="SNP21" s="974"/>
      <c r="SNQ21" s="974"/>
      <c r="SNR21" s="974"/>
      <c r="SNS21" s="974"/>
      <c r="SNT21" s="974"/>
      <c r="SNU21" s="974"/>
      <c r="SNV21" s="974"/>
      <c r="SNW21" s="974"/>
      <c r="SNX21" s="974"/>
      <c r="SNY21" s="974"/>
      <c r="SNZ21" s="974"/>
      <c r="SOA21" s="974"/>
      <c r="SOB21" s="974"/>
      <c r="SOC21" s="974"/>
      <c r="SOD21" s="974"/>
      <c r="SOE21" s="974"/>
      <c r="SOF21" s="974"/>
      <c r="SOG21" s="974"/>
      <c r="SOH21" s="974"/>
      <c r="SOI21" s="974"/>
      <c r="SOJ21" s="974"/>
      <c r="SOK21" s="974"/>
      <c r="SOL21" s="974"/>
      <c r="SOM21" s="974"/>
      <c r="SON21" s="974"/>
      <c r="SOO21" s="974"/>
      <c r="SOP21" s="974"/>
      <c r="SOQ21" s="974"/>
      <c r="SOR21" s="974"/>
      <c r="SOS21" s="974"/>
      <c r="SOT21" s="974"/>
      <c r="SOU21" s="974"/>
      <c r="SOV21" s="974"/>
      <c r="SOW21" s="974"/>
      <c r="SOX21" s="974"/>
      <c r="SOY21" s="974"/>
      <c r="SOZ21" s="974"/>
      <c r="SPA21" s="974"/>
      <c r="SPB21" s="974"/>
      <c r="SPC21" s="974"/>
      <c r="SPD21" s="974"/>
      <c r="SPE21" s="974"/>
      <c r="SPF21" s="974"/>
      <c r="SPG21" s="974"/>
      <c r="SPH21" s="974"/>
      <c r="SPI21" s="974"/>
      <c r="SPJ21" s="974"/>
      <c r="SPK21" s="974"/>
      <c r="SPL21" s="974"/>
      <c r="SPM21" s="974"/>
      <c r="SPN21" s="974"/>
      <c r="SPO21" s="974"/>
      <c r="SPP21" s="974"/>
      <c r="SPQ21" s="974"/>
      <c r="SPR21" s="974"/>
      <c r="SPS21" s="974"/>
      <c r="SPT21" s="974"/>
      <c r="SPU21" s="974"/>
      <c r="SPV21" s="974"/>
      <c r="SPW21" s="974"/>
      <c r="SPX21" s="974"/>
      <c r="SPY21" s="974"/>
      <c r="SPZ21" s="974"/>
      <c r="SQA21" s="974"/>
      <c r="SQB21" s="974"/>
      <c r="SQC21" s="974"/>
      <c r="SQD21" s="974"/>
      <c r="SQE21" s="974"/>
      <c r="SQF21" s="974"/>
      <c r="SQG21" s="974"/>
      <c r="SQH21" s="974"/>
      <c r="SQI21" s="974"/>
      <c r="SQJ21" s="974"/>
      <c r="SQK21" s="974"/>
      <c r="SQL21" s="974"/>
      <c r="SQM21" s="974"/>
      <c r="SQN21" s="974"/>
      <c r="SQO21" s="974"/>
      <c r="SQP21" s="974"/>
      <c r="SQQ21" s="974"/>
      <c r="SQR21" s="974"/>
      <c r="SQS21" s="974"/>
      <c r="SQT21" s="974"/>
      <c r="SQU21" s="974"/>
      <c r="SQV21" s="974"/>
      <c r="SQW21" s="974"/>
      <c r="SQX21" s="974"/>
      <c r="SQY21" s="974"/>
      <c r="SQZ21" s="974"/>
      <c r="SRA21" s="974"/>
      <c r="SRB21" s="974"/>
      <c r="SRC21" s="974"/>
      <c r="SRD21" s="974"/>
      <c r="SRE21" s="974"/>
      <c r="SRF21" s="974"/>
      <c r="SRG21" s="974"/>
      <c r="SRH21" s="974"/>
      <c r="SRI21" s="974"/>
      <c r="SRJ21" s="974"/>
      <c r="SRK21" s="974"/>
      <c r="SRL21" s="974"/>
      <c r="SRM21" s="974"/>
      <c r="SRN21" s="974"/>
      <c r="SRO21" s="974"/>
      <c r="SRP21" s="974"/>
      <c r="SRQ21" s="974"/>
      <c r="SRR21" s="974"/>
      <c r="SRS21" s="974"/>
      <c r="SRT21" s="974"/>
      <c r="SRU21" s="974"/>
      <c r="SRV21" s="974"/>
      <c r="SRW21" s="974"/>
      <c r="SRX21" s="974"/>
      <c r="SRY21" s="974"/>
      <c r="SRZ21" s="974"/>
      <c r="SSA21" s="974"/>
      <c r="SSB21" s="974"/>
      <c r="SSC21" s="974"/>
      <c r="SSD21" s="974"/>
      <c r="SSE21" s="974"/>
      <c r="SSF21" s="974"/>
      <c r="SSG21" s="974"/>
      <c r="SSH21" s="974"/>
      <c r="SSI21" s="974"/>
      <c r="SSJ21" s="974"/>
      <c r="SSK21" s="974"/>
      <c r="SSL21" s="974"/>
      <c r="SSM21" s="974"/>
      <c r="SSN21" s="974"/>
      <c r="SSO21" s="974"/>
      <c r="SSP21" s="974"/>
      <c r="SSQ21" s="974"/>
      <c r="SSR21" s="974"/>
      <c r="SSS21" s="974"/>
      <c r="SST21" s="974"/>
      <c r="SSU21" s="974"/>
      <c r="SSV21" s="974"/>
      <c r="SSW21" s="974"/>
      <c r="SSX21" s="974"/>
      <c r="SSY21" s="974"/>
      <c r="SSZ21" s="974"/>
      <c r="STA21" s="974"/>
      <c r="STB21" s="974"/>
      <c r="STC21" s="974"/>
      <c r="STD21" s="974"/>
      <c r="STE21" s="974"/>
      <c r="STF21" s="974"/>
      <c r="STG21" s="974"/>
      <c r="STH21" s="974"/>
      <c r="STI21" s="974"/>
      <c r="STJ21" s="974"/>
      <c r="STK21" s="974"/>
      <c r="STL21" s="974"/>
      <c r="STM21" s="974"/>
      <c r="STN21" s="974"/>
      <c r="STO21" s="974"/>
      <c r="STP21" s="974"/>
      <c r="STQ21" s="974"/>
      <c r="STR21" s="974"/>
      <c r="STS21" s="974"/>
      <c r="STT21" s="974"/>
      <c r="STU21" s="974"/>
      <c r="STV21" s="974"/>
      <c r="STW21" s="974"/>
      <c r="STX21" s="974"/>
      <c r="STY21" s="974"/>
      <c r="STZ21" s="974"/>
      <c r="SUA21" s="974"/>
      <c r="SUB21" s="974"/>
      <c r="SUC21" s="974"/>
      <c r="SUD21" s="974"/>
      <c r="SUE21" s="974"/>
      <c r="SUF21" s="974"/>
      <c r="SUG21" s="974"/>
      <c r="SUH21" s="974"/>
      <c r="SUI21" s="974"/>
      <c r="SUJ21" s="974"/>
      <c r="SUK21" s="974"/>
      <c r="SUL21" s="974"/>
      <c r="SUM21" s="974"/>
      <c r="SUN21" s="974"/>
      <c r="SUO21" s="974"/>
      <c r="SUP21" s="974"/>
      <c r="SUQ21" s="974"/>
      <c r="SUR21" s="974"/>
      <c r="SUS21" s="974"/>
      <c r="SUT21" s="974"/>
      <c r="SUU21" s="974"/>
      <c r="SUV21" s="974"/>
      <c r="SUW21" s="974"/>
      <c r="SUX21" s="974"/>
      <c r="SUY21" s="974"/>
      <c r="SUZ21" s="974"/>
      <c r="SVA21" s="974"/>
      <c r="SVB21" s="974"/>
      <c r="SVC21" s="974"/>
      <c r="SVD21" s="974"/>
      <c r="SVE21" s="974"/>
      <c r="SVF21" s="974"/>
      <c r="SVG21" s="974"/>
      <c r="SVH21" s="974"/>
      <c r="SVI21" s="974"/>
      <c r="SVJ21" s="974"/>
      <c r="SVK21" s="974"/>
      <c r="SVL21" s="974"/>
      <c r="SVM21" s="974"/>
      <c r="SVN21" s="974"/>
      <c r="SVO21" s="974"/>
      <c r="SVP21" s="974"/>
      <c r="SVQ21" s="974"/>
      <c r="SVR21" s="974"/>
      <c r="SVS21" s="974"/>
      <c r="SVT21" s="974"/>
      <c r="SVU21" s="974"/>
      <c r="SVV21" s="974"/>
      <c r="SVW21" s="974"/>
      <c r="SVX21" s="974"/>
      <c r="SVY21" s="974"/>
      <c r="SVZ21" s="974"/>
      <c r="SWA21" s="974"/>
      <c r="SWB21" s="974"/>
      <c r="SWC21" s="974"/>
      <c r="SWD21" s="974"/>
      <c r="SWE21" s="974"/>
      <c r="SWF21" s="974"/>
      <c r="SWG21" s="974"/>
      <c r="SWH21" s="974"/>
      <c r="SWI21" s="974"/>
      <c r="SWJ21" s="974"/>
      <c r="SWK21" s="974"/>
      <c r="SWL21" s="974"/>
      <c r="SWM21" s="974"/>
      <c r="SWN21" s="974"/>
      <c r="SWO21" s="974"/>
      <c r="SWP21" s="974"/>
      <c r="SWQ21" s="974"/>
      <c r="SWR21" s="974"/>
      <c r="SWS21" s="974"/>
      <c r="SWT21" s="974"/>
      <c r="SWU21" s="974"/>
      <c r="SWV21" s="974"/>
      <c r="SWW21" s="974"/>
      <c r="SWX21" s="974"/>
      <c r="SWY21" s="974"/>
      <c r="SWZ21" s="974"/>
      <c r="SXA21" s="974"/>
      <c r="SXB21" s="974"/>
      <c r="SXC21" s="974"/>
      <c r="SXD21" s="974"/>
      <c r="SXE21" s="974"/>
      <c r="SXF21" s="974"/>
      <c r="SXG21" s="974"/>
      <c r="SXH21" s="974"/>
      <c r="SXI21" s="974"/>
      <c r="SXJ21" s="974"/>
      <c r="SXK21" s="974"/>
      <c r="SXL21" s="974"/>
      <c r="SXM21" s="974"/>
      <c r="SXN21" s="974"/>
      <c r="SXO21" s="974"/>
      <c r="SXP21" s="974"/>
      <c r="SXQ21" s="974"/>
      <c r="SXR21" s="974"/>
      <c r="SXS21" s="974"/>
      <c r="SXT21" s="974"/>
      <c r="SXU21" s="974"/>
      <c r="SXV21" s="974"/>
      <c r="SXW21" s="974"/>
      <c r="SXX21" s="974"/>
      <c r="SXY21" s="974"/>
      <c r="SXZ21" s="974"/>
      <c r="SYA21" s="974"/>
      <c r="SYB21" s="974"/>
      <c r="SYC21" s="974"/>
      <c r="SYD21" s="974"/>
      <c r="SYE21" s="974"/>
      <c r="SYF21" s="974"/>
      <c r="SYG21" s="974"/>
      <c r="SYH21" s="974"/>
      <c r="SYI21" s="974"/>
      <c r="SYJ21" s="974"/>
      <c r="SYK21" s="974"/>
      <c r="SYL21" s="974"/>
      <c r="SYM21" s="974"/>
      <c r="SYN21" s="974"/>
      <c r="SYO21" s="974"/>
      <c r="SYP21" s="974"/>
      <c r="SYQ21" s="974"/>
      <c r="SYR21" s="974"/>
      <c r="SYS21" s="974"/>
      <c r="SYT21" s="974"/>
      <c r="SYU21" s="974"/>
      <c r="SYV21" s="974"/>
      <c r="SYW21" s="974"/>
      <c r="SYX21" s="974"/>
      <c r="SYY21" s="974"/>
      <c r="SYZ21" s="974"/>
      <c r="SZA21" s="974"/>
      <c r="SZB21" s="974"/>
      <c r="SZC21" s="974"/>
      <c r="SZD21" s="974"/>
      <c r="SZE21" s="974"/>
      <c r="SZF21" s="974"/>
      <c r="SZG21" s="974"/>
      <c r="SZH21" s="974"/>
      <c r="SZI21" s="974"/>
      <c r="SZJ21" s="974"/>
      <c r="SZK21" s="974"/>
      <c r="SZL21" s="974"/>
      <c r="SZM21" s="974"/>
      <c r="SZN21" s="974"/>
      <c r="SZO21" s="974"/>
      <c r="SZP21" s="974"/>
      <c r="SZQ21" s="974"/>
      <c r="SZR21" s="974"/>
      <c r="SZS21" s="974"/>
      <c r="SZT21" s="974"/>
      <c r="SZU21" s="974"/>
      <c r="SZV21" s="974"/>
      <c r="SZW21" s="974"/>
      <c r="SZX21" s="974"/>
      <c r="SZY21" s="974"/>
      <c r="SZZ21" s="974"/>
      <c r="TAA21" s="974"/>
      <c r="TAB21" s="974"/>
      <c r="TAC21" s="974"/>
      <c r="TAD21" s="974"/>
      <c r="TAE21" s="974"/>
      <c r="TAF21" s="974"/>
      <c r="TAG21" s="974"/>
      <c r="TAH21" s="974"/>
      <c r="TAI21" s="974"/>
      <c r="TAJ21" s="974"/>
      <c r="TAK21" s="974"/>
      <c r="TAL21" s="974"/>
      <c r="TAM21" s="974"/>
      <c r="TAN21" s="974"/>
      <c r="TAO21" s="974"/>
      <c r="TAP21" s="974"/>
      <c r="TAQ21" s="974"/>
      <c r="TAR21" s="974"/>
      <c r="TAS21" s="974"/>
      <c r="TAT21" s="974"/>
      <c r="TAU21" s="974"/>
      <c r="TAV21" s="974"/>
      <c r="TAW21" s="974"/>
      <c r="TAX21" s="974"/>
      <c r="TAY21" s="974"/>
      <c r="TAZ21" s="974"/>
      <c r="TBA21" s="974"/>
      <c r="TBB21" s="974"/>
      <c r="TBC21" s="974"/>
      <c r="TBD21" s="974"/>
      <c r="TBE21" s="974"/>
      <c r="TBF21" s="974"/>
      <c r="TBG21" s="974"/>
      <c r="TBH21" s="974"/>
      <c r="TBI21" s="974"/>
      <c r="TBJ21" s="974"/>
      <c r="TBK21" s="974"/>
      <c r="TBL21" s="974"/>
      <c r="TBM21" s="974"/>
      <c r="TBN21" s="974"/>
      <c r="TBO21" s="974"/>
      <c r="TBP21" s="974"/>
      <c r="TBQ21" s="974"/>
      <c r="TBR21" s="974"/>
      <c r="TBS21" s="974"/>
      <c r="TBT21" s="974"/>
      <c r="TBU21" s="974"/>
      <c r="TBV21" s="974"/>
      <c r="TBW21" s="974"/>
      <c r="TBX21" s="974"/>
      <c r="TBY21" s="974"/>
      <c r="TBZ21" s="974"/>
      <c r="TCA21" s="974"/>
      <c r="TCB21" s="974"/>
      <c r="TCC21" s="974"/>
      <c r="TCD21" s="974"/>
      <c r="TCE21" s="974"/>
      <c r="TCF21" s="974"/>
      <c r="TCG21" s="974"/>
      <c r="TCH21" s="974"/>
      <c r="TCI21" s="974"/>
      <c r="TCJ21" s="974"/>
      <c r="TCK21" s="974"/>
      <c r="TCL21" s="974"/>
      <c r="TCM21" s="974"/>
      <c r="TCN21" s="974"/>
      <c r="TCO21" s="974"/>
      <c r="TCP21" s="974"/>
      <c r="TCQ21" s="974"/>
      <c r="TCR21" s="974"/>
      <c r="TCS21" s="974"/>
      <c r="TCT21" s="974"/>
      <c r="TCU21" s="974"/>
      <c r="TCV21" s="974"/>
      <c r="TCW21" s="974"/>
      <c r="TCX21" s="974"/>
      <c r="TCY21" s="974"/>
      <c r="TCZ21" s="974"/>
      <c r="TDA21" s="974"/>
      <c r="TDB21" s="974"/>
      <c r="TDC21" s="974"/>
      <c r="TDD21" s="974"/>
      <c r="TDE21" s="974"/>
      <c r="TDF21" s="974"/>
      <c r="TDG21" s="974"/>
      <c r="TDH21" s="974"/>
      <c r="TDI21" s="974"/>
      <c r="TDJ21" s="974"/>
      <c r="TDK21" s="974"/>
      <c r="TDL21" s="974"/>
      <c r="TDM21" s="974"/>
      <c r="TDN21" s="974"/>
      <c r="TDO21" s="974"/>
      <c r="TDP21" s="974"/>
      <c r="TDQ21" s="974"/>
      <c r="TDR21" s="974"/>
      <c r="TDS21" s="974"/>
      <c r="TDT21" s="974"/>
      <c r="TDU21" s="974"/>
      <c r="TDV21" s="974"/>
      <c r="TDW21" s="974"/>
      <c r="TDX21" s="974"/>
      <c r="TDY21" s="974"/>
      <c r="TDZ21" s="974"/>
      <c r="TEA21" s="974"/>
      <c r="TEB21" s="974"/>
      <c r="TEC21" s="974"/>
      <c r="TED21" s="974"/>
      <c r="TEE21" s="974"/>
      <c r="TEF21" s="974"/>
      <c r="TEG21" s="974"/>
      <c r="TEH21" s="974"/>
      <c r="TEI21" s="974"/>
      <c r="TEJ21" s="974"/>
      <c r="TEK21" s="974"/>
      <c r="TEL21" s="974"/>
      <c r="TEM21" s="974"/>
      <c r="TEN21" s="974"/>
      <c r="TEO21" s="974"/>
      <c r="TEP21" s="974"/>
      <c r="TEQ21" s="974"/>
      <c r="TER21" s="974"/>
      <c r="TES21" s="974"/>
      <c r="TET21" s="974"/>
      <c r="TEU21" s="974"/>
      <c r="TEV21" s="974"/>
      <c r="TEW21" s="974"/>
      <c r="TEX21" s="974"/>
      <c r="TEY21" s="974"/>
      <c r="TEZ21" s="974"/>
      <c r="TFA21" s="974"/>
      <c r="TFB21" s="974"/>
      <c r="TFC21" s="974"/>
      <c r="TFD21" s="974"/>
      <c r="TFE21" s="974"/>
      <c r="TFF21" s="974"/>
      <c r="TFG21" s="974"/>
      <c r="TFH21" s="974"/>
      <c r="TFI21" s="974"/>
      <c r="TFJ21" s="974"/>
      <c r="TFK21" s="974"/>
      <c r="TFL21" s="974"/>
      <c r="TFM21" s="974"/>
      <c r="TFN21" s="974"/>
      <c r="TFO21" s="974"/>
      <c r="TFP21" s="974"/>
      <c r="TFQ21" s="974"/>
      <c r="TFR21" s="974"/>
      <c r="TFS21" s="974"/>
      <c r="TFT21" s="974"/>
      <c r="TFU21" s="974"/>
      <c r="TFV21" s="974"/>
      <c r="TFW21" s="974"/>
      <c r="TFX21" s="974"/>
      <c r="TFY21" s="974"/>
      <c r="TFZ21" s="974"/>
      <c r="TGA21" s="974"/>
      <c r="TGB21" s="974"/>
      <c r="TGC21" s="974"/>
      <c r="TGD21" s="974"/>
      <c r="TGE21" s="974"/>
      <c r="TGF21" s="974"/>
      <c r="TGG21" s="974"/>
      <c r="TGH21" s="974"/>
      <c r="TGI21" s="974"/>
      <c r="TGJ21" s="974"/>
      <c r="TGK21" s="974"/>
      <c r="TGL21" s="974"/>
      <c r="TGM21" s="974"/>
      <c r="TGN21" s="974"/>
      <c r="TGO21" s="974"/>
      <c r="TGP21" s="974"/>
      <c r="TGQ21" s="974"/>
      <c r="TGR21" s="974"/>
      <c r="TGS21" s="974"/>
      <c r="TGT21" s="974"/>
      <c r="TGU21" s="974"/>
      <c r="TGV21" s="974"/>
      <c r="TGW21" s="974"/>
      <c r="TGX21" s="974"/>
      <c r="TGY21" s="974"/>
      <c r="TGZ21" s="974"/>
      <c r="THA21" s="974"/>
      <c r="THB21" s="974"/>
      <c r="THC21" s="974"/>
      <c r="THD21" s="974"/>
      <c r="THE21" s="974"/>
      <c r="THF21" s="974"/>
      <c r="THG21" s="974"/>
      <c r="THH21" s="974"/>
      <c r="THI21" s="974"/>
      <c r="THJ21" s="974"/>
      <c r="THK21" s="974"/>
      <c r="THL21" s="974"/>
      <c r="THM21" s="974"/>
      <c r="THN21" s="974"/>
      <c r="THO21" s="974"/>
      <c r="THP21" s="974"/>
      <c r="THQ21" s="974"/>
      <c r="THR21" s="974"/>
      <c r="THS21" s="974"/>
      <c r="THT21" s="974"/>
      <c r="THU21" s="974"/>
      <c r="THV21" s="974"/>
      <c r="THW21" s="974"/>
      <c r="THX21" s="974"/>
      <c r="THY21" s="974"/>
      <c r="THZ21" s="974"/>
      <c r="TIA21" s="974"/>
      <c r="TIB21" s="974"/>
      <c r="TIC21" s="974"/>
      <c r="TID21" s="974"/>
      <c r="TIE21" s="974"/>
      <c r="TIF21" s="974"/>
      <c r="TIG21" s="974"/>
      <c r="TIH21" s="974"/>
      <c r="TII21" s="974"/>
      <c r="TIJ21" s="974"/>
      <c r="TIK21" s="974"/>
      <c r="TIL21" s="974"/>
      <c r="TIM21" s="974"/>
      <c r="TIN21" s="974"/>
      <c r="TIO21" s="974"/>
      <c r="TIP21" s="974"/>
      <c r="TIQ21" s="974"/>
      <c r="TIR21" s="974"/>
      <c r="TIS21" s="974"/>
      <c r="TIT21" s="974"/>
      <c r="TIU21" s="974"/>
      <c r="TIV21" s="974"/>
      <c r="TIW21" s="974"/>
      <c r="TIX21" s="974"/>
      <c r="TIY21" s="974"/>
      <c r="TIZ21" s="974"/>
      <c r="TJA21" s="974"/>
      <c r="TJB21" s="974"/>
      <c r="TJC21" s="974"/>
      <c r="TJD21" s="974"/>
      <c r="TJE21" s="974"/>
      <c r="TJF21" s="974"/>
      <c r="TJG21" s="974"/>
      <c r="TJH21" s="974"/>
      <c r="TJI21" s="974"/>
      <c r="TJJ21" s="974"/>
      <c r="TJK21" s="974"/>
      <c r="TJL21" s="974"/>
      <c r="TJM21" s="974"/>
      <c r="TJN21" s="974"/>
      <c r="TJO21" s="974"/>
      <c r="TJP21" s="974"/>
      <c r="TJQ21" s="974"/>
      <c r="TJR21" s="974"/>
      <c r="TJS21" s="974"/>
      <c r="TJT21" s="974"/>
      <c r="TJU21" s="974"/>
      <c r="TJV21" s="974"/>
      <c r="TJW21" s="974"/>
      <c r="TJX21" s="974"/>
      <c r="TJY21" s="974"/>
      <c r="TJZ21" s="974"/>
      <c r="TKA21" s="974"/>
      <c r="TKB21" s="974"/>
      <c r="TKC21" s="974"/>
      <c r="TKD21" s="974"/>
      <c r="TKE21" s="974"/>
      <c r="TKF21" s="974"/>
      <c r="TKG21" s="974"/>
      <c r="TKH21" s="974"/>
      <c r="TKI21" s="974"/>
      <c r="TKJ21" s="974"/>
      <c r="TKK21" s="974"/>
      <c r="TKL21" s="974"/>
      <c r="TKM21" s="974"/>
      <c r="TKN21" s="974"/>
      <c r="TKO21" s="974"/>
      <c r="TKP21" s="974"/>
      <c r="TKQ21" s="974"/>
      <c r="TKR21" s="974"/>
      <c r="TKS21" s="974"/>
      <c r="TKT21" s="974"/>
      <c r="TKU21" s="974"/>
      <c r="TKV21" s="974"/>
      <c r="TKW21" s="974"/>
      <c r="TKX21" s="974"/>
      <c r="TKY21" s="974"/>
      <c r="TKZ21" s="974"/>
      <c r="TLA21" s="974"/>
      <c r="TLB21" s="974"/>
      <c r="TLC21" s="974"/>
      <c r="TLD21" s="974"/>
      <c r="TLE21" s="974"/>
      <c r="TLF21" s="974"/>
      <c r="TLG21" s="974"/>
      <c r="TLH21" s="974"/>
      <c r="TLI21" s="974"/>
      <c r="TLJ21" s="974"/>
      <c r="TLK21" s="974"/>
      <c r="TLL21" s="974"/>
      <c r="TLM21" s="974"/>
      <c r="TLN21" s="974"/>
      <c r="TLO21" s="974"/>
      <c r="TLP21" s="974"/>
      <c r="TLQ21" s="974"/>
      <c r="TLR21" s="974"/>
      <c r="TLS21" s="974"/>
      <c r="TLT21" s="974"/>
      <c r="TLU21" s="974"/>
      <c r="TLV21" s="974"/>
      <c r="TLW21" s="974"/>
      <c r="TLX21" s="974"/>
      <c r="TLY21" s="974"/>
      <c r="TLZ21" s="974"/>
      <c r="TMA21" s="974"/>
      <c r="TMB21" s="974"/>
      <c r="TMC21" s="974"/>
      <c r="TMD21" s="974"/>
      <c r="TME21" s="974"/>
      <c r="TMF21" s="974"/>
      <c r="TMG21" s="974"/>
      <c r="TMH21" s="974"/>
      <c r="TMI21" s="974"/>
      <c r="TMJ21" s="974"/>
      <c r="TMK21" s="974"/>
      <c r="TML21" s="974"/>
      <c r="TMM21" s="974"/>
      <c r="TMN21" s="974"/>
      <c r="TMO21" s="974"/>
      <c r="TMP21" s="974"/>
      <c r="TMQ21" s="974"/>
      <c r="TMR21" s="974"/>
      <c r="TMS21" s="974"/>
      <c r="TMT21" s="974"/>
      <c r="TMU21" s="974"/>
      <c r="TMV21" s="974"/>
      <c r="TMW21" s="974"/>
      <c r="TMX21" s="974"/>
      <c r="TMY21" s="974"/>
      <c r="TMZ21" s="974"/>
      <c r="TNA21" s="974"/>
      <c r="TNB21" s="974"/>
      <c r="TNC21" s="974"/>
      <c r="TND21" s="974"/>
      <c r="TNE21" s="974"/>
      <c r="TNF21" s="974"/>
      <c r="TNG21" s="974"/>
      <c r="TNH21" s="974"/>
      <c r="TNI21" s="974"/>
      <c r="TNJ21" s="974"/>
      <c r="TNK21" s="974"/>
      <c r="TNL21" s="974"/>
      <c r="TNM21" s="974"/>
      <c r="TNN21" s="974"/>
      <c r="TNO21" s="974"/>
      <c r="TNP21" s="974"/>
      <c r="TNQ21" s="974"/>
      <c r="TNR21" s="974"/>
      <c r="TNS21" s="974"/>
      <c r="TNT21" s="974"/>
      <c r="TNU21" s="974"/>
      <c r="TNV21" s="974"/>
      <c r="TNW21" s="974"/>
      <c r="TNX21" s="974"/>
      <c r="TNY21" s="974"/>
      <c r="TNZ21" s="974"/>
      <c r="TOA21" s="974"/>
      <c r="TOB21" s="974"/>
      <c r="TOC21" s="974"/>
      <c r="TOD21" s="974"/>
      <c r="TOE21" s="974"/>
      <c r="TOF21" s="974"/>
      <c r="TOG21" s="974"/>
      <c r="TOH21" s="974"/>
      <c r="TOI21" s="974"/>
      <c r="TOJ21" s="974"/>
      <c r="TOK21" s="974"/>
      <c r="TOL21" s="974"/>
      <c r="TOM21" s="974"/>
      <c r="TON21" s="974"/>
      <c r="TOO21" s="974"/>
      <c r="TOP21" s="974"/>
      <c r="TOQ21" s="974"/>
      <c r="TOR21" s="974"/>
      <c r="TOS21" s="974"/>
      <c r="TOT21" s="974"/>
      <c r="TOU21" s="974"/>
      <c r="TOV21" s="974"/>
      <c r="TOW21" s="974"/>
      <c r="TOX21" s="974"/>
      <c r="TOY21" s="974"/>
      <c r="TOZ21" s="974"/>
      <c r="TPA21" s="974"/>
      <c r="TPB21" s="974"/>
      <c r="TPC21" s="974"/>
      <c r="TPD21" s="974"/>
      <c r="TPE21" s="974"/>
      <c r="TPF21" s="974"/>
      <c r="TPG21" s="974"/>
      <c r="TPH21" s="974"/>
      <c r="TPI21" s="974"/>
      <c r="TPJ21" s="974"/>
      <c r="TPK21" s="974"/>
      <c r="TPL21" s="974"/>
      <c r="TPM21" s="974"/>
      <c r="TPN21" s="974"/>
      <c r="TPO21" s="974"/>
      <c r="TPP21" s="974"/>
      <c r="TPQ21" s="974"/>
      <c r="TPR21" s="974"/>
      <c r="TPS21" s="974"/>
      <c r="TPT21" s="974"/>
      <c r="TPU21" s="974"/>
      <c r="TPV21" s="974"/>
      <c r="TPW21" s="974"/>
      <c r="TPX21" s="974"/>
      <c r="TPY21" s="974"/>
      <c r="TPZ21" s="974"/>
      <c r="TQA21" s="974"/>
      <c r="TQB21" s="974"/>
      <c r="TQC21" s="974"/>
      <c r="TQD21" s="974"/>
      <c r="TQE21" s="974"/>
      <c r="TQF21" s="974"/>
      <c r="TQG21" s="974"/>
      <c r="TQH21" s="974"/>
      <c r="TQI21" s="974"/>
      <c r="TQJ21" s="974"/>
      <c r="TQK21" s="974"/>
      <c r="TQL21" s="974"/>
      <c r="TQM21" s="974"/>
      <c r="TQN21" s="974"/>
      <c r="TQO21" s="974"/>
      <c r="TQP21" s="974"/>
      <c r="TQQ21" s="974"/>
      <c r="TQR21" s="974"/>
      <c r="TQS21" s="974"/>
      <c r="TQT21" s="974"/>
      <c r="TQU21" s="974"/>
      <c r="TQV21" s="974"/>
      <c r="TQW21" s="974"/>
      <c r="TQX21" s="974"/>
      <c r="TQY21" s="974"/>
      <c r="TQZ21" s="974"/>
      <c r="TRA21" s="974"/>
      <c r="TRB21" s="974"/>
      <c r="TRC21" s="974"/>
      <c r="TRD21" s="974"/>
      <c r="TRE21" s="974"/>
      <c r="TRF21" s="974"/>
      <c r="TRG21" s="974"/>
      <c r="TRH21" s="974"/>
      <c r="TRI21" s="974"/>
      <c r="TRJ21" s="974"/>
      <c r="TRK21" s="974"/>
      <c r="TRL21" s="974"/>
      <c r="TRM21" s="974"/>
      <c r="TRN21" s="974"/>
      <c r="TRO21" s="974"/>
      <c r="TRP21" s="974"/>
      <c r="TRQ21" s="974"/>
      <c r="TRR21" s="974"/>
      <c r="TRS21" s="974"/>
      <c r="TRT21" s="974"/>
      <c r="TRU21" s="974"/>
      <c r="TRV21" s="974"/>
      <c r="TRW21" s="974"/>
      <c r="TRX21" s="974"/>
      <c r="TRY21" s="974"/>
      <c r="TRZ21" s="974"/>
      <c r="TSA21" s="974"/>
      <c r="TSB21" s="974"/>
      <c r="TSC21" s="974"/>
      <c r="TSD21" s="974"/>
      <c r="TSE21" s="974"/>
      <c r="TSF21" s="974"/>
      <c r="TSG21" s="974"/>
      <c r="TSH21" s="974"/>
      <c r="TSI21" s="974"/>
      <c r="TSJ21" s="974"/>
      <c r="TSK21" s="974"/>
      <c r="TSL21" s="974"/>
      <c r="TSM21" s="974"/>
      <c r="TSN21" s="974"/>
      <c r="TSO21" s="974"/>
      <c r="TSP21" s="974"/>
      <c r="TSQ21" s="974"/>
      <c r="TSR21" s="974"/>
      <c r="TSS21" s="974"/>
      <c r="TST21" s="974"/>
      <c r="TSU21" s="974"/>
      <c r="TSV21" s="974"/>
      <c r="TSW21" s="974"/>
      <c r="TSX21" s="974"/>
      <c r="TSY21" s="974"/>
      <c r="TSZ21" s="974"/>
      <c r="TTA21" s="974"/>
      <c r="TTB21" s="974"/>
      <c r="TTC21" s="974"/>
      <c r="TTD21" s="974"/>
      <c r="TTE21" s="974"/>
      <c r="TTF21" s="974"/>
      <c r="TTG21" s="974"/>
      <c r="TTH21" s="974"/>
      <c r="TTI21" s="974"/>
      <c r="TTJ21" s="974"/>
      <c r="TTK21" s="974"/>
      <c r="TTL21" s="974"/>
      <c r="TTM21" s="974"/>
      <c r="TTN21" s="974"/>
      <c r="TTO21" s="974"/>
      <c r="TTP21" s="974"/>
      <c r="TTQ21" s="974"/>
      <c r="TTR21" s="974"/>
      <c r="TTS21" s="974"/>
      <c r="TTT21" s="974"/>
      <c r="TTU21" s="974"/>
      <c r="TTV21" s="974"/>
      <c r="TTW21" s="974"/>
      <c r="TTX21" s="974"/>
      <c r="TTY21" s="974"/>
      <c r="TTZ21" s="974"/>
      <c r="TUA21" s="974"/>
      <c r="TUB21" s="974"/>
      <c r="TUC21" s="974"/>
      <c r="TUD21" s="974"/>
      <c r="TUE21" s="974"/>
      <c r="TUF21" s="974"/>
      <c r="TUG21" s="974"/>
      <c r="TUH21" s="974"/>
      <c r="TUI21" s="974"/>
      <c r="TUJ21" s="974"/>
      <c r="TUK21" s="974"/>
      <c r="TUL21" s="974"/>
      <c r="TUM21" s="974"/>
      <c r="TUN21" s="974"/>
      <c r="TUO21" s="974"/>
      <c r="TUP21" s="974"/>
      <c r="TUQ21" s="974"/>
      <c r="TUR21" s="974"/>
      <c r="TUS21" s="974"/>
      <c r="TUT21" s="974"/>
      <c r="TUU21" s="974"/>
      <c r="TUV21" s="974"/>
      <c r="TUW21" s="974"/>
      <c r="TUX21" s="974"/>
      <c r="TUY21" s="974"/>
      <c r="TUZ21" s="974"/>
      <c r="TVA21" s="974"/>
      <c r="TVB21" s="974"/>
      <c r="TVC21" s="974"/>
      <c r="TVD21" s="974"/>
      <c r="TVE21" s="974"/>
      <c r="TVF21" s="974"/>
      <c r="TVG21" s="974"/>
      <c r="TVH21" s="974"/>
      <c r="TVI21" s="974"/>
      <c r="TVJ21" s="974"/>
      <c r="TVK21" s="974"/>
      <c r="TVL21" s="974"/>
      <c r="TVM21" s="974"/>
      <c r="TVN21" s="974"/>
      <c r="TVO21" s="974"/>
      <c r="TVP21" s="974"/>
      <c r="TVQ21" s="974"/>
      <c r="TVR21" s="974"/>
      <c r="TVS21" s="974"/>
      <c r="TVT21" s="974"/>
      <c r="TVU21" s="974"/>
      <c r="TVV21" s="974"/>
      <c r="TVW21" s="974"/>
      <c r="TVX21" s="974"/>
      <c r="TVY21" s="974"/>
      <c r="TVZ21" s="974"/>
      <c r="TWA21" s="974"/>
      <c r="TWB21" s="974"/>
      <c r="TWC21" s="974"/>
      <c r="TWD21" s="974"/>
      <c r="TWE21" s="974"/>
      <c r="TWF21" s="974"/>
      <c r="TWG21" s="974"/>
      <c r="TWH21" s="974"/>
      <c r="TWI21" s="974"/>
      <c r="TWJ21" s="974"/>
      <c r="TWK21" s="974"/>
      <c r="TWL21" s="974"/>
      <c r="TWM21" s="974"/>
      <c r="TWN21" s="974"/>
      <c r="TWO21" s="974"/>
      <c r="TWP21" s="974"/>
      <c r="TWQ21" s="974"/>
      <c r="TWR21" s="974"/>
      <c r="TWS21" s="974"/>
      <c r="TWT21" s="974"/>
      <c r="TWU21" s="974"/>
      <c r="TWV21" s="974"/>
      <c r="TWW21" s="974"/>
      <c r="TWX21" s="974"/>
      <c r="TWY21" s="974"/>
      <c r="TWZ21" s="974"/>
      <c r="TXA21" s="974"/>
      <c r="TXB21" s="974"/>
      <c r="TXC21" s="974"/>
      <c r="TXD21" s="974"/>
      <c r="TXE21" s="974"/>
      <c r="TXF21" s="974"/>
      <c r="TXG21" s="974"/>
      <c r="TXH21" s="974"/>
      <c r="TXI21" s="974"/>
      <c r="TXJ21" s="974"/>
      <c r="TXK21" s="974"/>
      <c r="TXL21" s="974"/>
      <c r="TXM21" s="974"/>
      <c r="TXN21" s="974"/>
      <c r="TXO21" s="974"/>
      <c r="TXP21" s="974"/>
      <c r="TXQ21" s="974"/>
      <c r="TXR21" s="974"/>
      <c r="TXS21" s="974"/>
      <c r="TXT21" s="974"/>
      <c r="TXU21" s="974"/>
      <c r="TXV21" s="974"/>
      <c r="TXW21" s="974"/>
      <c r="TXX21" s="974"/>
      <c r="TXY21" s="974"/>
      <c r="TXZ21" s="974"/>
      <c r="TYA21" s="974"/>
      <c r="TYB21" s="974"/>
      <c r="TYC21" s="974"/>
      <c r="TYD21" s="974"/>
      <c r="TYE21" s="974"/>
      <c r="TYF21" s="974"/>
      <c r="TYG21" s="974"/>
      <c r="TYH21" s="974"/>
      <c r="TYI21" s="974"/>
      <c r="TYJ21" s="974"/>
      <c r="TYK21" s="974"/>
      <c r="TYL21" s="974"/>
      <c r="TYM21" s="974"/>
      <c r="TYN21" s="974"/>
      <c r="TYO21" s="974"/>
      <c r="TYP21" s="974"/>
      <c r="TYQ21" s="974"/>
      <c r="TYR21" s="974"/>
      <c r="TYS21" s="974"/>
      <c r="TYT21" s="974"/>
      <c r="TYU21" s="974"/>
      <c r="TYV21" s="974"/>
      <c r="TYW21" s="974"/>
      <c r="TYX21" s="974"/>
      <c r="TYY21" s="974"/>
      <c r="TYZ21" s="974"/>
      <c r="TZA21" s="974"/>
      <c r="TZB21" s="974"/>
      <c r="TZC21" s="974"/>
      <c r="TZD21" s="974"/>
      <c r="TZE21" s="974"/>
      <c r="TZF21" s="974"/>
      <c r="TZG21" s="974"/>
      <c r="TZH21" s="974"/>
      <c r="TZI21" s="974"/>
      <c r="TZJ21" s="974"/>
      <c r="TZK21" s="974"/>
      <c r="TZL21" s="974"/>
      <c r="TZM21" s="974"/>
      <c r="TZN21" s="974"/>
      <c r="TZO21" s="974"/>
      <c r="TZP21" s="974"/>
      <c r="TZQ21" s="974"/>
      <c r="TZR21" s="974"/>
      <c r="TZS21" s="974"/>
      <c r="TZT21" s="974"/>
      <c r="TZU21" s="974"/>
      <c r="TZV21" s="974"/>
      <c r="TZW21" s="974"/>
      <c r="TZX21" s="974"/>
      <c r="TZY21" s="974"/>
      <c r="TZZ21" s="974"/>
      <c r="UAA21" s="974"/>
      <c r="UAB21" s="974"/>
      <c r="UAC21" s="974"/>
      <c r="UAD21" s="974"/>
      <c r="UAE21" s="974"/>
      <c r="UAF21" s="974"/>
      <c r="UAG21" s="974"/>
      <c r="UAH21" s="974"/>
      <c r="UAI21" s="974"/>
      <c r="UAJ21" s="974"/>
      <c r="UAK21" s="974"/>
      <c r="UAL21" s="974"/>
      <c r="UAM21" s="974"/>
      <c r="UAN21" s="974"/>
      <c r="UAO21" s="974"/>
      <c r="UAP21" s="974"/>
      <c r="UAQ21" s="974"/>
      <c r="UAR21" s="974"/>
      <c r="UAS21" s="974"/>
      <c r="UAT21" s="974"/>
      <c r="UAU21" s="974"/>
      <c r="UAV21" s="974"/>
      <c r="UAW21" s="974"/>
      <c r="UAX21" s="974"/>
      <c r="UAY21" s="974"/>
      <c r="UAZ21" s="974"/>
      <c r="UBA21" s="974"/>
      <c r="UBB21" s="974"/>
      <c r="UBC21" s="974"/>
      <c r="UBD21" s="974"/>
      <c r="UBE21" s="974"/>
      <c r="UBF21" s="974"/>
      <c r="UBG21" s="974"/>
      <c r="UBH21" s="974"/>
      <c r="UBI21" s="974"/>
      <c r="UBJ21" s="974"/>
      <c r="UBK21" s="974"/>
      <c r="UBL21" s="974"/>
      <c r="UBM21" s="974"/>
      <c r="UBN21" s="974"/>
      <c r="UBO21" s="974"/>
      <c r="UBP21" s="974"/>
      <c r="UBQ21" s="974"/>
      <c r="UBR21" s="974"/>
      <c r="UBS21" s="974"/>
      <c r="UBT21" s="974"/>
      <c r="UBU21" s="974"/>
      <c r="UBV21" s="974"/>
      <c r="UBW21" s="974"/>
      <c r="UBX21" s="974"/>
      <c r="UBY21" s="974"/>
      <c r="UBZ21" s="974"/>
      <c r="UCA21" s="974"/>
      <c r="UCB21" s="974"/>
      <c r="UCC21" s="974"/>
      <c r="UCD21" s="974"/>
      <c r="UCE21" s="974"/>
      <c r="UCF21" s="974"/>
      <c r="UCG21" s="974"/>
      <c r="UCH21" s="974"/>
      <c r="UCI21" s="974"/>
      <c r="UCJ21" s="974"/>
      <c r="UCK21" s="974"/>
      <c r="UCL21" s="974"/>
      <c r="UCM21" s="974"/>
      <c r="UCN21" s="974"/>
      <c r="UCO21" s="974"/>
      <c r="UCP21" s="974"/>
      <c r="UCQ21" s="974"/>
      <c r="UCR21" s="974"/>
      <c r="UCS21" s="974"/>
      <c r="UCT21" s="974"/>
      <c r="UCU21" s="974"/>
      <c r="UCV21" s="974"/>
      <c r="UCW21" s="974"/>
      <c r="UCX21" s="974"/>
      <c r="UCY21" s="974"/>
      <c r="UCZ21" s="974"/>
      <c r="UDA21" s="974"/>
      <c r="UDB21" s="974"/>
      <c r="UDC21" s="974"/>
      <c r="UDD21" s="974"/>
      <c r="UDE21" s="974"/>
      <c r="UDF21" s="974"/>
      <c r="UDG21" s="974"/>
      <c r="UDH21" s="974"/>
      <c r="UDI21" s="974"/>
      <c r="UDJ21" s="974"/>
      <c r="UDK21" s="974"/>
      <c r="UDL21" s="974"/>
      <c r="UDM21" s="974"/>
      <c r="UDN21" s="974"/>
      <c r="UDO21" s="974"/>
      <c r="UDP21" s="974"/>
      <c r="UDQ21" s="974"/>
      <c r="UDR21" s="974"/>
      <c r="UDS21" s="974"/>
      <c r="UDT21" s="974"/>
      <c r="UDU21" s="974"/>
      <c r="UDV21" s="974"/>
      <c r="UDW21" s="974"/>
      <c r="UDX21" s="974"/>
      <c r="UDY21" s="974"/>
      <c r="UDZ21" s="974"/>
      <c r="UEA21" s="974"/>
      <c r="UEB21" s="974"/>
      <c r="UEC21" s="974"/>
      <c r="UED21" s="974"/>
      <c r="UEE21" s="974"/>
      <c r="UEF21" s="974"/>
      <c r="UEG21" s="974"/>
      <c r="UEH21" s="974"/>
      <c r="UEI21" s="974"/>
      <c r="UEJ21" s="974"/>
      <c r="UEK21" s="974"/>
      <c r="UEL21" s="974"/>
      <c r="UEM21" s="974"/>
      <c r="UEN21" s="974"/>
      <c r="UEO21" s="974"/>
      <c r="UEP21" s="974"/>
      <c r="UEQ21" s="974"/>
      <c r="UER21" s="974"/>
      <c r="UES21" s="974"/>
      <c r="UET21" s="974"/>
      <c r="UEU21" s="974"/>
      <c r="UEV21" s="974"/>
      <c r="UEW21" s="974"/>
      <c r="UEX21" s="974"/>
      <c r="UEY21" s="974"/>
      <c r="UEZ21" s="974"/>
      <c r="UFA21" s="974"/>
      <c r="UFB21" s="974"/>
      <c r="UFC21" s="974"/>
      <c r="UFD21" s="974"/>
      <c r="UFE21" s="974"/>
      <c r="UFF21" s="974"/>
      <c r="UFG21" s="974"/>
      <c r="UFH21" s="974"/>
      <c r="UFI21" s="974"/>
      <c r="UFJ21" s="974"/>
      <c r="UFK21" s="974"/>
      <c r="UFL21" s="974"/>
      <c r="UFM21" s="974"/>
      <c r="UFN21" s="974"/>
      <c r="UFO21" s="974"/>
      <c r="UFP21" s="974"/>
      <c r="UFQ21" s="974"/>
      <c r="UFR21" s="974"/>
      <c r="UFS21" s="974"/>
      <c r="UFT21" s="974"/>
      <c r="UFU21" s="974"/>
      <c r="UFV21" s="974"/>
      <c r="UFW21" s="974"/>
      <c r="UFX21" s="974"/>
      <c r="UFY21" s="974"/>
      <c r="UFZ21" s="974"/>
      <c r="UGA21" s="974"/>
      <c r="UGB21" s="974"/>
      <c r="UGC21" s="974"/>
      <c r="UGD21" s="974"/>
      <c r="UGE21" s="974"/>
      <c r="UGF21" s="974"/>
      <c r="UGG21" s="974"/>
      <c r="UGH21" s="974"/>
      <c r="UGI21" s="974"/>
      <c r="UGJ21" s="974"/>
      <c r="UGK21" s="974"/>
      <c r="UGL21" s="974"/>
      <c r="UGM21" s="974"/>
      <c r="UGN21" s="974"/>
      <c r="UGO21" s="974"/>
      <c r="UGP21" s="974"/>
      <c r="UGQ21" s="974"/>
      <c r="UGR21" s="974"/>
      <c r="UGS21" s="974"/>
      <c r="UGT21" s="974"/>
      <c r="UGU21" s="974"/>
      <c r="UGV21" s="974"/>
      <c r="UGW21" s="974"/>
      <c r="UGX21" s="974"/>
      <c r="UGY21" s="974"/>
      <c r="UGZ21" s="974"/>
      <c r="UHA21" s="974"/>
      <c r="UHB21" s="974"/>
      <c r="UHC21" s="974"/>
      <c r="UHD21" s="974"/>
      <c r="UHE21" s="974"/>
      <c r="UHF21" s="974"/>
      <c r="UHG21" s="974"/>
      <c r="UHH21" s="974"/>
      <c r="UHI21" s="974"/>
      <c r="UHJ21" s="974"/>
      <c r="UHK21" s="974"/>
      <c r="UHL21" s="974"/>
      <c r="UHM21" s="974"/>
      <c r="UHN21" s="974"/>
      <c r="UHO21" s="974"/>
      <c r="UHP21" s="974"/>
      <c r="UHQ21" s="974"/>
      <c r="UHR21" s="974"/>
      <c r="UHS21" s="974"/>
      <c r="UHT21" s="974"/>
      <c r="UHU21" s="974"/>
      <c r="UHV21" s="974"/>
      <c r="UHW21" s="974"/>
      <c r="UHX21" s="974"/>
      <c r="UHY21" s="974"/>
      <c r="UHZ21" s="974"/>
      <c r="UIA21" s="974"/>
      <c r="UIB21" s="974"/>
      <c r="UIC21" s="974"/>
      <c r="UID21" s="974"/>
      <c r="UIE21" s="974"/>
      <c r="UIF21" s="974"/>
      <c r="UIG21" s="974"/>
      <c r="UIH21" s="974"/>
      <c r="UII21" s="974"/>
      <c r="UIJ21" s="974"/>
      <c r="UIK21" s="974"/>
      <c r="UIL21" s="974"/>
      <c r="UIM21" s="974"/>
      <c r="UIN21" s="974"/>
      <c r="UIO21" s="974"/>
      <c r="UIP21" s="974"/>
      <c r="UIQ21" s="974"/>
      <c r="UIR21" s="974"/>
      <c r="UIS21" s="974"/>
      <c r="UIT21" s="974"/>
      <c r="UIU21" s="974"/>
      <c r="UIV21" s="974"/>
      <c r="UIW21" s="974"/>
      <c r="UIX21" s="974"/>
      <c r="UIY21" s="974"/>
      <c r="UIZ21" s="974"/>
      <c r="UJA21" s="974"/>
      <c r="UJB21" s="974"/>
      <c r="UJC21" s="974"/>
      <c r="UJD21" s="974"/>
      <c r="UJE21" s="974"/>
      <c r="UJF21" s="974"/>
      <c r="UJG21" s="974"/>
      <c r="UJH21" s="974"/>
      <c r="UJI21" s="974"/>
      <c r="UJJ21" s="974"/>
      <c r="UJK21" s="974"/>
      <c r="UJL21" s="974"/>
      <c r="UJM21" s="974"/>
      <c r="UJN21" s="974"/>
      <c r="UJO21" s="974"/>
      <c r="UJP21" s="974"/>
      <c r="UJQ21" s="974"/>
      <c r="UJR21" s="974"/>
      <c r="UJS21" s="974"/>
      <c r="UJT21" s="974"/>
      <c r="UJU21" s="974"/>
      <c r="UJV21" s="974"/>
      <c r="UJW21" s="974"/>
      <c r="UJX21" s="974"/>
      <c r="UJY21" s="974"/>
      <c r="UJZ21" s="974"/>
      <c r="UKA21" s="974"/>
      <c r="UKB21" s="974"/>
      <c r="UKC21" s="974"/>
      <c r="UKD21" s="974"/>
      <c r="UKE21" s="974"/>
      <c r="UKF21" s="974"/>
      <c r="UKG21" s="974"/>
      <c r="UKH21" s="974"/>
      <c r="UKI21" s="974"/>
      <c r="UKJ21" s="974"/>
      <c r="UKK21" s="974"/>
      <c r="UKL21" s="974"/>
      <c r="UKM21" s="974"/>
      <c r="UKN21" s="974"/>
      <c r="UKO21" s="974"/>
      <c r="UKP21" s="974"/>
      <c r="UKQ21" s="974"/>
      <c r="UKR21" s="974"/>
      <c r="UKS21" s="974"/>
      <c r="UKT21" s="974"/>
      <c r="UKU21" s="974"/>
      <c r="UKV21" s="974"/>
      <c r="UKW21" s="974"/>
      <c r="UKX21" s="974"/>
      <c r="UKY21" s="974"/>
      <c r="UKZ21" s="974"/>
      <c r="ULA21" s="974"/>
      <c r="ULB21" s="974"/>
      <c r="ULC21" s="974"/>
      <c r="ULD21" s="974"/>
      <c r="ULE21" s="974"/>
      <c r="ULF21" s="974"/>
      <c r="ULG21" s="974"/>
      <c r="ULH21" s="974"/>
      <c r="ULI21" s="974"/>
      <c r="ULJ21" s="974"/>
      <c r="ULK21" s="974"/>
      <c r="ULL21" s="974"/>
      <c r="ULM21" s="974"/>
      <c r="ULN21" s="974"/>
      <c r="ULO21" s="974"/>
      <c r="ULP21" s="974"/>
      <c r="ULQ21" s="974"/>
      <c r="ULR21" s="974"/>
      <c r="ULS21" s="974"/>
      <c r="ULT21" s="974"/>
      <c r="ULU21" s="974"/>
      <c r="ULV21" s="974"/>
      <c r="ULW21" s="974"/>
      <c r="ULX21" s="974"/>
      <c r="ULY21" s="974"/>
      <c r="ULZ21" s="974"/>
      <c r="UMA21" s="974"/>
      <c r="UMB21" s="974"/>
      <c r="UMC21" s="974"/>
      <c r="UMD21" s="974"/>
      <c r="UME21" s="974"/>
      <c r="UMF21" s="974"/>
      <c r="UMG21" s="974"/>
      <c r="UMH21" s="974"/>
      <c r="UMI21" s="974"/>
      <c r="UMJ21" s="974"/>
      <c r="UMK21" s="974"/>
      <c r="UML21" s="974"/>
      <c r="UMM21" s="974"/>
      <c r="UMN21" s="974"/>
      <c r="UMO21" s="974"/>
      <c r="UMP21" s="974"/>
      <c r="UMQ21" s="974"/>
      <c r="UMR21" s="974"/>
      <c r="UMS21" s="974"/>
      <c r="UMT21" s="974"/>
      <c r="UMU21" s="974"/>
      <c r="UMV21" s="974"/>
      <c r="UMW21" s="974"/>
      <c r="UMX21" s="974"/>
      <c r="UMY21" s="974"/>
      <c r="UMZ21" s="974"/>
      <c r="UNA21" s="974"/>
      <c r="UNB21" s="974"/>
      <c r="UNC21" s="974"/>
      <c r="UND21" s="974"/>
      <c r="UNE21" s="974"/>
      <c r="UNF21" s="974"/>
      <c r="UNG21" s="974"/>
      <c r="UNH21" s="974"/>
      <c r="UNI21" s="974"/>
      <c r="UNJ21" s="974"/>
      <c r="UNK21" s="974"/>
      <c r="UNL21" s="974"/>
      <c r="UNM21" s="974"/>
      <c r="UNN21" s="974"/>
      <c r="UNO21" s="974"/>
      <c r="UNP21" s="974"/>
      <c r="UNQ21" s="974"/>
      <c r="UNR21" s="974"/>
      <c r="UNS21" s="974"/>
      <c r="UNT21" s="974"/>
      <c r="UNU21" s="974"/>
      <c r="UNV21" s="974"/>
      <c r="UNW21" s="974"/>
      <c r="UNX21" s="974"/>
      <c r="UNY21" s="974"/>
      <c r="UNZ21" s="974"/>
      <c r="UOA21" s="974"/>
      <c r="UOB21" s="974"/>
      <c r="UOC21" s="974"/>
      <c r="UOD21" s="974"/>
      <c r="UOE21" s="974"/>
      <c r="UOF21" s="974"/>
      <c r="UOG21" s="974"/>
      <c r="UOH21" s="974"/>
      <c r="UOI21" s="974"/>
      <c r="UOJ21" s="974"/>
      <c r="UOK21" s="974"/>
      <c r="UOL21" s="974"/>
      <c r="UOM21" s="974"/>
      <c r="UON21" s="974"/>
      <c r="UOO21" s="974"/>
      <c r="UOP21" s="974"/>
      <c r="UOQ21" s="974"/>
      <c r="UOR21" s="974"/>
      <c r="UOS21" s="974"/>
      <c r="UOT21" s="974"/>
      <c r="UOU21" s="974"/>
      <c r="UOV21" s="974"/>
      <c r="UOW21" s="974"/>
      <c r="UOX21" s="974"/>
      <c r="UOY21" s="974"/>
      <c r="UOZ21" s="974"/>
      <c r="UPA21" s="974"/>
      <c r="UPB21" s="974"/>
      <c r="UPC21" s="974"/>
      <c r="UPD21" s="974"/>
      <c r="UPE21" s="974"/>
      <c r="UPF21" s="974"/>
      <c r="UPG21" s="974"/>
      <c r="UPH21" s="974"/>
      <c r="UPI21" s="974"/>
      <c r="UPJ21" s="974"/>
      <c r="UPK21" s="974"/>
      <c r="UPL21" s="974"/>
      <c r="UPM21" s="974"/>
      <c r="UPN21" s="974"/>
      <c r="UPO21" s="974"/>
      <c r="UPP21" s="974"/>
      <c r="UPQ21" s="974"/>
      <c r="UPR21" s="974"/>
      <c r="UPS21" s="974"/>
      <c r="UPT21" s="974"/>
      <c r="UPU21" s="974"/>
      <c r="UPV21" s="974"/>
      <c r="UPW21" s="974"/>
      <c r="UPX21" s="974"/>
      <c r="UPY21" s="974"/>
      <c r="UPZ21" s="974"/>
      <c r="UQA21" s="974"/>
      <c r="UQB21" s="974"/>
      <c r="UQC21" s="974"/>
      <c r="UQD21" s="974"/>
      <c r="UQE21" s="974"/>
      <c r="UQF21" s="974"/>
      <c r="UQG21" s="974"/>
      <c r="UQH21" s="974"/>
      <c r="UQI21" s="974"/>
      <c r="UQJ21" s="974"/>
      <c r="UQK21" s="974"/>
      <c r="UQL21" s="974"/>
      <c r="UQM21" s="974"/>
      <c r="UQN21" s="974"/>
      <c r="UQO21" s="974"/>
      <c r="UQP21" s="974"/>
      <c r="UQQ21" s="974"/>
      <c r="UQR21" s="974"/>
      <c r="UQS21" s="974"/>
      <c r="UQT21" s="974"/>
      <c r="UQU21" s="974"/>
      <c r="UQV21" s="974"/>
      <c r="UQW21" s="974"/>
      <c r="UQX21" s="974"/>
      <c r="UQY21" s="974"/>
      <c r="UQZ21" s="974"/>
      <c r="URA21" s="974"/>
      <c r="URB21" s="974"/>
      <c r="URC21" s="974"/>
      <c r="URD21" s="974"/>
      <c r="URE21" s="974"/>
      <c r="URF21" s="974"/>
      <c r="URG21" s="974"/>
      <c r="URH21" s="974"/>
      <c r="URI21" s="974"/>
      <c r="URJ21" s="974"/>
      <c r="URK21" s="974"/>
      <c r="URL21" s="974"/>
      <c r="URM21" s="974"/>
      <c r="URN21" s="974"/>
      <c r="URO21" s="974"/>
      <c r="URP21" s="974"/>
      <c r="URQ21" s="974"/>
      <c r="URR21" s="974"/>
      <c r="URS21" s="974"/>
      <c r="URT21" s="974"/>
      <c r="URU21" s="974"/>
      <c r="URV21" s="974"/>
      <c r="URW21" s="974"/>
      <c r="URX21" s="974"/>
      <c r="URY21" s="974"/>
      <c r="URZ21" s="974"/>
      <c r="USA21" s="974"/>
      <c r="USB21" s="974"/>
      <c r="USC21" s="974"/>
      <c r="USD21" s="974"/>
      <c r="USE21" s="974"/>
      <c r="USF21" s="974"/>
      <c r="USG21" s="974"/>
      <c r="USH21" s="974"/>
      <c r="USI21" s="974"/>
      <c r="USJ21" s="974"/>
      <c r="USK21" s="974"/>
      <c r="USL21" s="974"/>
      <c r="USM21" s="974"/>
      <c r="USN21" s="974"/>
      <c r="USO21" s="974"/>
      <c r="USP21" s="974"/>
      <c r="USQ21" s="974"/>
      <c r="USR21" s="974"/>
      <c r="USS21" s="974"/>
      <c r="UST21" s="974"/>
      <c r="USU21" s="974"/>
      <c r="USV21" s="974"/>
      <c r="USW21" s="974"/>
      <c r="USX21" s="974"/>
      <c r="USY21" s="974"/>
      <c r="USZ21" s="974"/>
      <c r="UTA21" s="974"/>
      <c r="UTB21" s="974"/>
      <c r="UTC21" s="974"/>
      <c r="UTD21" s="974"/>
      <c r="UTE21" s="974"/>
      <c r="UTF21" s="974"/>
      <c r="UTG21" s="974"/>
      <c r="UTH21" s="974"/>
      <c r="UTI21" s="974"/>
      <c r="UTJ21" s="974"/>
      <c r="UTK21" s="974"/>
      <c r="UTL21" s="974"/>
      <c r="UTM21" s="974"/>
      <c r="UTN21" s="974"/>
      <c r="UTO21" s="974"/>
      <c r="UTP21" s="974"/>
      <c r="UTQ21" s="974"/>
      <c r="UTR21" s="974"/>
      <c r="UTS21" s="974"/>
      <c r="UTT21" s="974"/>
      <c r="UTU21" s="974"/>
      <c r="UTV21" s="974"/>
      <c r="UTW21" s="974"/>
      <c r="UTX21" s="974"/>
      <c r="UTY21" s="974"/>
      <c r="UTZ21" s="974"/>
      <c r="UUA21" s="974"/>
      <c r="UUB21" s="974"/>
      <c r="UUC21" s="974"/>
      <c r="UUD21" s="974"/>
      <c r="UUE21" s="974"/>
      <c r="UUF21" s="974"/>
      <c r="UUG21" s="974"/>
      <c r="UUH21" s="974"/>
      <c r="UUI21" s="974"/>
      <c r="UUJ21" s="974"/>
      <c r="UUK21" s="974"/>
      <c r="UUL21" s="974"/>
      <c r="UUM21" s="974"/>
      <c r="UUN21" s="974"/>
      <c r="UUO21" s="974"/>
      <c r="UUP21" s="974"/>
      <c r="UUQ21" s="974"/>
      <c r="UUR21" s="974"/>
      <c r="UUS21" s="974"/>
      <c r="UUT21" s="974"/>
      <c r="UUU21" s="974"/>
      <c r="UUV21" s="974"/>
      <c r="UUW21" s="974"/>
      <c r="UUX21" s="974"/>
      <c r="UUY21" s="974"/>
      <c r="UUZ21" s="974"/>
      <c r="UVA21" s="974"/>
      <c r="UVB21" s="974"/>
      <c r="UVC21" s="974"/>
      <c r="UVD21" s="974"/>
      <c r="UVE21" s="974"/>
      <c r="UVF21" s="974"/>
      <c r="UVG21" s="974"/>
      <c r="UVH21" s="974"/>
      <c r="UVI21" s="974"/>
      <c r="UVJ21" s="974"/>
      <c r="UVK21" s="974"/>
      <c r="UVL21" s="974"/>
      <c r="UVM21" s="974"/>
      <c r="UVN21" s="974"/>
      <c r="UVO21" s="974"/>
      <c r="UVP21" s="974"/>
      <c r="UVQ21" s="974"/>
      <c r="UVR21" s="974"/>
      <c r="UVS21" s="974"/>
      <c r="UVT21" s="974"/>
      <c r="UVU21" s="974"/>
      <c r="UVV21" s="974"/>
      <c r="UVW21" s="974"/>
      <c r="UVX21" s="974"/>
      <c r="UVY21" s="974"/>
      <c r="UVZ21" s="974"/>
      <c r="UWA21" s="974"/>
      <c r="UWB21" s="974"/>
      <c r="UWC21" s="974"/>
      <c r="UWD21" s="974"/>
      <c r="UWE21" s="974"/>
      <c r="UWF21" s="974"/>
      <c r="UWG21" s="974"/>
      <c r="UWH21" s="974"/>
      <c r="UWI21" s="974"/>
      <c r="UWJ21" s="974"/>
      <c r="UWK21" s="974"/>
      <c r="UWL21" s="974"/>
      <c r="UWM21" s="974"/>
      <c r="UWN21" s="974"/>
      <c r="UWO21" s="974"/>
      <c r="UWP21" s="974"/>
      <c r="UWQ21" s="974"/>
      <c r="UWR21" s="974"/>
      <c r="UWS21" s="974"/>
      <c r="UWT21" s="974"/>
      <c r="UWU21" s="974"/>
      <c r="UWV21" s="974"/>
      <c r="UWW21" s="974"/>
      <c r="UWX21" s="974"/>
      <c r="UWY21" s="974"/>
      <c r="UWZ21" s="974"/>
      <c r="UXA21" s="974"/>
      <c r="UXB21" s="974"/>
      <c r="UXC21" s="974"/>
      <c r="UXD21" s="974"/>
      <c r="UXE21" s="974"/>
      <c r="UXF21" s="974"/>
      <c r="UXG21" s="974"/>
      <c r="UXH21" s="974"/>
      <c r="UXI21" s="974"/>
      <c r="UXJ21" s="974"/>
      <c r="UXK21" s="974"/>
      <c r="UXL21" s="974"/>
      <c r="UXM21" s="974"/>
      <c r="UXN21" s="974"/>
      <c r="UXO21" s="974"/>
      <c r="UXP21" s="974"/>
      <c r="UXQ21" s="974"/>
      <c r="UXR21" s="974"/>
      <c r="UXS21" s="974"/>
      <c r="UXT21" s="974"/>
      <c r="UXU21" s="974"/>
      <c r="UXV21" s="974"/>
      <c r="UXW21" s="974"/>
      <c r="UXX21" s="974"/>
      <c r="UXY21" s="974"/>
      <c r="UXZ21" s="974"/>
      <c r="UYA21" s="974"/>
      <c r="UYB21" s="974"/>
      <c r="UYC21" s="974"/>
      <c r="UYD21" s="974"/>
      <c r="UYE21" s="974"/>
      <c r="UYF21" s="974"/>
      <c r="UYG21" s="974"/>
      <c r="UYH21" s="974"/>
      <c r="UYI21" s="974"/>
      <c r="UYJ21" s="974"/>
      <c r="UYK21" s="974"/>
      <c r="UYL21" s="974"/>
      <c r="UYM21" s="974"/>
      <c r="UYN21" s="974"/>
      <c r="UYO21" s="974"/>
      <c r="UYP21" s="974"/>
      <c r="UYQ21" s="974"/>
      <c r="UYR21" s="974"/>
      <c r="UYS21" s="974"/>
      <c r="UYT21" s="974"/>
      <c r="UYU21" s="974"/>
      <c r="UYV21" s="974"/>
      <c r="UYW21" s="974"/>
      <c r="UYX21" s="974"/>
      <c r="UYY21" s="974"/>
      <c r="UYZ21" s="974"/>
      <c r="UZA21" s="974"/>
      <c r="UZB21" s="974"/>
      <c r="UZC21" s="974"/>
      <c r="UZD21" s="974"/>
      <c r="UZE21" s="974"/>
      <c r="UZF21" s="974"/>
      <c r="UZG21" s="974"/>
      <c r="UZH21" s="974"/>
      <c r="UZI21" s="974"/>
      <c r="UZJ21" s="974"/>
      <c r="UZK21" s="974"/>
      <c r="UZL21" s="974"/>
      <c r="UZM21" s="974"/>
      <c r="UZN21" s="974"/>
      <c r="UZO21" s="974"/>
      <c r="UZP21" s="974"/>
      <c r="UZQ21" s="974"/>
      <c r="UZR21" s="974"/>
      <c r="UZS21" s="974"/>
      <c r="UZT21" s="974"/>
      <c r="UZU21" s="974"/>
      <c r="UZV21" s="974"/>
      <c r="UZW21" s="974"/>
      <c r="UZX21" s="974"/>
      <c r="UZY21" s="974"/>
      <c r="UZZ21" s="974"/>
      <c r="VAA21" s="974"/>
      <c r="VAB21" s="974"/>
      <c r="VAC21" s="974"/>
      <c r="VAD21" s="974"/>
      <c r="VAE21" s="974"/>
      <c r="VAF21" s="974"/>
      <c r="VAG21" s="974"/>
      <c r="VAH21" s="974"/>
      <c r="VAI21" s="974"/>
      <c r="VAJ21" s="974"/>
      <c r="VAK21" s="974"/>
      <c r="VAL21" s="974"/>
      <c r="VAM21" s="974"/>
      <c r="VAN21" s="974"/>
      <c r="VAO21" s="974"/>
      <c r="VAP21" s="974"/>
      <c r="VAQ21" s="974"/>
      <c r="VAR21" s="974"/>
      <c r="VAS21" s="974"/>
      <c r="VAT21" s="974"/>
      <c r="VAU21" s="974"/>
      <c r="VAV21" s="974"/>
      <c r="VAW21" s="974"/>
      <c r="VAX21" s="974"/>
      <c r="VAY21" s="974"/>
      <c r="VAZ21" s="974"/>
      <c r="VBA21" s="974"/>
      <c r="VBB21" s="974"/>
      <c r="VBC21" s="974"/>
      <c r="VBD21" s="974"/>
      <c r="VBE21" s="974"/>
      <c r="VBF21" s="974"/>
      <c r="VBG21" s="974"/>
      <c r="VBH21" s="974"/>
      <c r="VBI21" s="974"/>
      <c r="VBJ21" s="974"/>
      <c r="VBK21" s="974"/>
      <c r="VBL21" s="974"/>
      <c r="VBM21" s="974"/>
      <c r="VBN21" s="974"/>
      <c r="VBO21" s="974"/>
      <c r="VBP21" s="974"/>
      <c r="VBQ21" s="974"/>
      <c r="VBR21" s="974"/>
      <c r="VBS21" s="974"/>
      <c r="VBT21" s="974"/>
      <c r="VBU21" s="974"/>
      <c r="VBV21" s="974"/>
      <c r="VBW21" s="974"/>
      <c r="VBX21" s="974"/>
      <c r="VBY21" s="974"/>
      <c r="VBZ21" s="974"/>
      <c r="VCA21" s="974"/>
      <c r="VCB21" s="974"/>
      <c r="VCC21" s="974"/>
      <c r="VCD21" s="974"/>
      <c r="VCE21" s="974"/>
      <c r="VCF21" s="974"/>
      <c r="VCG21" s="974"/>
      <c r="VCH21" s="974"/>
      <c r="VCI21" s="974"/>
      <c r="VCJ21" s="974"/>
      <c r="VCK21" s="974"/>
      <c r="VCL21" s="974"/>
      <c r="VCM21" s="974"/>
      <c r="VCN21" s="974"/>
      <c r="VCO21" s="974"/>
      <c r="VCP21" s="974"/>
      <c r="VCQ21" s="974"/>
      <c r="VCR21" s="974"/>
      <c r="VCS21" s="974"/>
      <c r="VCT21" s="974"/>
      <c r="VCU21" s="974"/>
      <c r="VCV21" s="974"/>
      <c r="VCW21" s="974"/>
      <c r="VCX21" s="974"/>
      <c r="VCY21" s="974"/>
      <c r="VCZ21" s="974"/>
      <c r="VDA21" s="974"/>
      <c r="VDB21" s="974"/>
      <c r="VDC21" s="974"/>
      <c r="VDD21" s="974"/>
      <c r="VDE21" s="974"/>
      <c r="VDF21" s="974"/>
      <c r="VDG21" s="974"/>
      <c r="VDH21" s="974"/>
      <c r="VDI21" s="974"/>
      <c r="VDJ21" s="974"/>
      <c r="VDK21" s="974"/>
      <c r="VDL21" s="974"/>
      <c r="VDM21" s="974"/>
      <c r="VDN21" s="974"/>
      <c r="VDO21" s="974"/>
      <c r="VDP21" s="974"/>
      <c r="VDQ21" s="974"/>
      <c r="VDR21" s="974"/>
      <c r="VDS21" s="974"/>
      <c r="VDT21" s="974"/>
      <c r="VDU21" s="974"/>
      <c r="VDV21" s="974"/>
      <c r="VDW21" s="974"/>
      <c r="VDX21" s="974"/>
      <c r="VDY21" s="974"/>
      <c r="VDZ21" s="974"/>
      <c r="VEA21" s="974"/>
      <c r="VEB21" s="974"/>
      <c r="VEC21" s="974"/>
      <c r="VED21" s="974"/>
      <c r="VEE21" s="974"/>
      <c r="VEF21" s="974"/>
      <c r="VEG21" s="974"/>
      <c r="VEH21" s="974"/>
      <c r="VEI21" s="974"/>
      <c r="VEJ21" s="974"/>
      <c r="VEK21" s="974"/>
      <c r="VEL21" s="974"/>
      <c r="VEM21" s="974"/>
      <c r="VEN21" s="974"/>
      <c r="VEO21" s="974"/>
      <c r="VEP21" s="974"/>
      <c r="VEQ21" s="974"/>
      <c r="VER21" s="974"/>
      <c r="VES21" s="974"/>
      <c r="VET21" s="974"/>
      <c r="VEU21" s="974"/>
      <c r="VEV21" s="974"/>
      <c r="VEW21" s="974"/>
      <c r="VEX21" s="974"/>
      <c r="VEY21" s="974"/>
      <c r="VEZ21" s="974"/>
      <c r="VFA21" s="974"/>
      <c r="VFB21" s="974"/>
      <c r="VFC21" s="974"/>
      <c r="VFD21" s="974"/>
      <c r="VFE21" s="974"/>
      <c r="VFF21" s="974"/>
      <c r="VFG21" s="974"/>
      <c r="VFH21" s="974"/>
      <c r="VFI21" s="974"/>
      <c r="VFJ21" s="974"/>
      <c r="VFK21" s="974"/>
      <c r="VFL21" s="974"/>
      <c r="VFM21" s="974"/>
      <c r="VFN21" s="974"/>
      <c r="VFO21" s="974"/>
      <c r="VFP21" s="974"/>
      <c r="VFQ21" s="974"/>
      <c r="VFR21" s="974"/>
      <c r="VFS21" s="974"/>
      <c r="VFT21" s="974"/>
      <c r="VFU21" s="974"/>
      <c r="VFV21" s="974"/>
      <c r="VFW21" s="974"/>
      <c r="VFX21" s="974"/>
      <c r="VFY21" s="974"/>
      <c r="VFZ21" s="974"/>
      <c r="VGA21" s="974"/>
      <c r="VGB21" s="974"/>
      <c r="VGC21" s="974"/>
      <c r="VGD21" s="974"/>
      <c r="VGE21" s="974"/>
      <c r="VGF21" s="974"/>
      <c r="VGG21" s="974"/>
      <c r="VGH21" s="974"/>
      <c r="VGI21" s="974"/>
      <c r="VGJ21" s="974"/>
      <c r="VGK21" s="974"/>
      <c r="VGL21" s="974"/>
      <c r="VGM21" s="974"/>
      <c r="VGN21" s="974"/>
      <c r="VGO21" s="974"/>
      <c r="VGP21" s="974"/>
      <c r="VGQ21" s="974"/>
      <c r="VGR21" s="974"/>
      <c r="VGS21" s="974"/>
      <c r="VGT21" s="974"/>
      <c r="VGU21" s="974"/>
      <c r="VGV21" s="974"/>
      <c r="VGW21" s="974"/>
      <c r="VGX21" s="974"/>
      <c r="VGY21" s="974"/>
      <c r="VGZ21" s="974"/>
      <c r="VHA21" s="974"/>
      <c r="VHB21" s="974"/>
      <c r="VHC21" s="974"/>
      <c r="VHD21" s="974"/>
      <c r="VHE21" s="974"/>
      <c r="VHF21" s="974"/>
      <c r="VHG21" s="974"/>
      <c r="VHH21" s="974"/>
      <c r="VHI21" s="974"/>
      <c r="VHJ21" s="974"/>
      <c r="VHK21" s="974"/>
      <c r="VHL21" s="974"/>
      <c r="VHM21" s="974"/>
      <c r="VHN21" s="974"/>
      <c r="VHO21" s="974"/>
      <c r="VHP21" s="974"/>
      <c r="VHQ21" s="974"/>
      <c r="VHR21" s="974"/>
      <c r="VHS21" s="974"/>
      <c r="VHT21" s="974"/>
      <c r="VHU21" s="974"/>
      <c r="VHV21" s="974"/>
      <c r="VHW21" s="974"/>
      <c r="VHX21" s="974"/>
      <c r="VHY21" s="974"/>
      <c r="VHZ21" s="974"/>
      <c r="VIA21" s="974"/>
      <c r="VIB21" s="974"/>
      <c r="VIC21" s="974"/>
      <c r="VID21" s="974"/>
      <c r="VIE21" s="974"/>
      <c r="VIF21" s="974"/>
      <c r="VIG21" s="974"/>
      <c r="VIH21" s="974"/>
      <c r="VII21" s="974"/>
      <c r="VIJ21" s="974"/>
      <c r="VIK21" s="974"/>
      <c r="VIL21" s="974"/>
      <c r="VIM21" s="974"/>
      <c r="VIN21" s="974"/>
      <c r="VIO21" s="974"/>
      <c r="VIP21" s="974"/>
      <c r="VIQ21" s="974"/>
      <c r="VIR21" s="974"/>
      <c r="VIS21" s="974"/>
      <c r="VIT21" s="974"/>
      <c r="VIU21" s="974"/>
      <c r="VIV21" s="974"/>
      <c r="VIW21" s="974"/>
      <c r="VIX21" s="974"/>
      <c r="VIY21" s="974"/>
      <c r="VIZ21" s="974"/>
      <c r="VJA21" s="974"/>
      <c r="VJB21" s="974"/>
      <c r="VJC21" s="974"/>
      <c r="VJD21" s="974"/>
      <c r="VJE21" s="974"/>
      <c r="VJF21" s="974"/>
      <c r="VJG21" s="974"/>
      <c r="VJH21" s="974"/>
      <c r="VJI21" s="974"/>
      <c r="VJJ21" s="974"/>
      <c r="VJK21" s="974"/>
      <c r="VJL21" s="974"/>
      <c r="VJM21" s="974"/>
      <c r="VJN21" s="974"/>
      <c r="VJO21" s="974"/>
      <c r="VJP21" s="974"/>
      <c r="VJQ21" s="974"/>
      <c r="VJR21" s="974"/>
      <c r="VJS21" s="974"/>
      <c r="VJT21" s="974"/>
      <c r="VJU21" s="974"/>
      <c r="VJV21" s="974"/>
      <c r="VJW21" s="974"/>
      <c r="VJX21" s="974"/>
      <c r="VJY21" s="974"/>
      <c r="VJZ21" s="974"/>
      <c r="VKA21" s="974"/>
      <c r="VKB21" s="974"/>
      <c r="VKC21" s="974"/>
      <c r="VKD21" s="974"/>
      <c r="VKE21" s="974"/>
      <c r="VKF21" s="974"/>
      <c r="VKG21" s="974"/>
      <c r="VKH21" s="974"/>
      <c r="VKI21" s="974"/>
      <c r="VKJ21" s="974"/>
      <c r="VKK21" s="974"/>
      <c r="VKL21" s="974"/>
      <c r="VKM21" s="974"/>
      <c r="VKN21" s="974"/>
      <c r="VKO21" s="974"/>
      <c r="VKP21" s="974"/>
      <c r="VKQ21" s="974"/>
      <c r="VKR21" s="974"/>
      <c r="VKS21" s="974"/>
      <c r="VKT21" s="974"/>
      <c r="VKU21" s="974"/>
      <c r="VKV21" s="974"/>
      <c r="VKW21" s="974"/>
      <c r="VKX21" s="974"/>
      <c r="VKY21" s="974"/>
      <c r="VKZ21" s="974"/>
      <c r="VLA21" s="974"/>
      <c r="VLB21" s="974"/>
      <c r="VLC21" s="974"/>
      <c r="VLD21" s="974"/>
      <c r="VLE21" s="974"/>
      <c r="VLF21" s="974"/>
      <c r="VLG21" s="974"/>
      <c r="VLH21" s="974"/>
      <c r="VLI21" s="974"/>
      <c r="VLJ21" s="974"/>
      <c r="VLK21" s="974"/>
      <c r="VLL21" s="974"/>
      <c r="VLM21" s="974"/>
      <c r="VLN21" s="974"/>
      <c r="VLO21" s="974"/>
      <c r="VLP21" s="974"/>
      <c r="VLQ21" s="974"/>
      <c r="VLR21" s="974"/>
      <c r="VLS21" s="974"/>
      <c r="VLT21" s="974"/>
      <c r="VLU21" s="974"/>
      <c r="VLV21" s="974"/>
      <c r="VLW21" s="974"/>
      <c r="VLX21" s="974"/>
      <c r="VLY21" s="974"/>
      <c r="VLZ21" s="974"/>
      <c r="VMA21" s="974"/>
      <c r="VMB21" s="974"/>
      <c r="VMC21" s="974"/>
      <c r="VMD21" s="974"/>
      <c r="VME21" s="974"/>
      <c r="VMF21" s="974"/>
      <c r="VMG21" s="974"/>
      <c r="VMH21" s="974"/>
      <c r="VMI21" s="974"/>
      <c r="VMJ21" s="974"/>
      <c r="VMK21" s="974"/>
      <c r="VML21" s="974"/>
      <c r="VMM21" s="974"/>
      <c r="VMN21" s="974"/>
      <c r="VMO21" s="974"/>
      <c r="VMP21" s="974"/>
      <c r="VMQ21" s="974"/>
      <c r="VMR21" s="974"/>
      <c r="VMS21" s="974"/>
      <c r="VMT21" s="974"/>
      <c r="VMU21" s="974"/>
      <c r="VMV21" s="974"/>
      <c r="VMW21" s="974"/>
      <c r="VMX21" s="974"/>
      <c r="VMY21" s="974"/>
      <c r="VMZ21" s="974"/>
      <c r="VNA21" s="974"/>
      <c r="VNB21" s="974"/>
      <c r="VNC21" s="974"/>
      <c r="VND21" s="974"/>
      <c r="VNE21" s="974"/>
      <c r="VNF21" s="974"/>
      <c r="VNG21" s="974"/>
      <c r="VNH21" s="974"/>
      <c r="VNI21" s="974"/>
      <c r="VNJ21" s="974"/>
      <c r="VNK21" s="974"/>
      <c r="VNL21" s="974"/>
      <c r="VNM21" s="974"/>
      <c r="VNN21" s="974"/>
      <c r="VNO21" s="974"/>
      <c r="VNP21" s="974"/>
      <c r="VNQ21" s="974"/>
      <c r="VNR21" s="974"/>
      <c r="VNS21" s="974"/>
      <c r="VNT21" s="974"/>
      <c r="VNU21" s="974"/>
      <c r="VNV21" s="974"/>
      <c r="VNW21" s="974"/>
      <c r="VNX21" s="974"/>
      <c r="VNY21" s="974"/>
      <c r="VNZ21" s="974"/>
      <c r="VOA21" s="974"/>
      <c r="VOB21" s="974"/>
      <c r="VOC21" s="974"/>
      <c r="VOD21" s="974"/>
      <c r="VOE21" s="974"/>
      <c r="VOF21" s="974"/>
      <c r="VOG21" s="974"/>
      <c r="VOH21" s="974"/>
      <c r="VOI21" s="974"/>
      <c r="VOJ21" s="974"/>
      <c r="VOK21" s="974"/>
      <c r="VOL21" s="974"/>
      <c r="VOM21" s="974"/>
      <c r="VON21" s="974"/>
      <c r="VOO21" s="974"/>
      <c r="VOP21" s="974"/>
      <c r="VOQ21" s="974"/>
      <c r="VOR21" s="974"/>
      <c r="VOS21" s="974"/>
      <c r="VOT21" s="974"/>
      <c r="VOU21" s="974"/>
      <c r="VOV21" s="974"/>
      <c r="VOW21" s="974"/>
      <c r="VOX21" s="974"/>
      <c r="VOY21" s="974"/>
      <c r="VOZ21" s="974"/>
      <c r="VPA21" s="974"/>
      <c r="VPB21" s="974"/>
      <c r="VPC21" s="974"/>
      <c r="VPD21" s="974"/>
      <c r="VPE21" s="974"/>
      <c r="VPF21" s="974"/>
      <c r="VPG21" s="974"/>
      <c r="VPH21" s="974"/>
      <c r="VPI21" s="974"/>
      <c r="VPJ21" s="974"/>
      <c r="VPK21" s="974"/>
      <c r="VPL21" s="974"/>
      <c r="VPM21" s="974"/>
      <c r="VPN21" s="974"/>
      <c r="VPO21" s="974"/>
      <c r="VPP21" s="974"/>
      <c r="VPQ21" s="974"/>
      <c r="VPR21" s="974"/>
      <c r="VPS21" s="974"/>
      <c r="VPT21" s="974"/>
      <c r="VPU21" s="974"/>
      <c r="VPV21" s="974"/>
      <c r="VPW21" s="974"/>
      <c r="VPX21" s="974"/>
      <c r="VPY21" s="974"/>
      <c r="VPZ21" s="974"/>
      <c r="VQA21" s="974"/>
      <c r="VQB21" s="974"/>
      <c r="VQC21" s="974"/>
      <c r="VQD21" s="974"/>
      <c r="VQE21" s="974"/>
      <c r="VQF21" s="974"/>
      <c r="VQG21" s="974"/>
      <c r="VQH21" s="974"/>
      <c r="VQI21" s="974"/>
      <c r="VQJ21" s="974"/>
      <c r="VQK21" s="974"/>
      <c r="VQL21" s="974"/>
      <c r="VQM21" s="974"/>
      <c r="VQN21" s="974"/>
      <c r="VQO21" s="974"/>
      <c r="VQP21" s="974"/>
      <c r="VQQ21" s="974"/>
      <c r="VQR21" s="974"/>
      <c r="VQS21" s="974"/>
      <c r="VQT21" s="974"/>
      <c r="VQU21" s="974"/>
      <c r="VQV21" s="974"/>
      <c r="VQW21" s="974"/>
      <c r="VQX21" s="974"/>
      <c r="VQY21" s="974"/>
      <c r="VQZ21" s="974"/>
      <c r="VRA21" s="974"/>
      <c r="VRB21" s="974"/>
      <c r="VRC21" s="974"/>
      <c r="VRD21" s="974"/>
      <c r="VRE21" s="974"/>
      <c r="VRF21" s="974"/>
      <c r="VRG21" s="974"/>
      <c r="VRH21" s="974"/>
      <c r="VRI21" s="974"/>
      <c r="VRJ21" s="974"/>
      <c r="VRK21" s="974"/>
      <c r="VRL21" s="974"/>
      <c r="VRM21" s="974"/>
      <c r="VRN21" s="974"/>
      <c r="VRO21" s="974"/>
      <c r="VRP21" s="974"/>
      <c r="VRQ21" s="974"/>
      <c r="VRR21" s="974"/>
      <c r="VRS21" s="974"/>
      <c r="VRT21" s="974"/>
      <c r="VRU21" s="974"/>
      <c r="VRV21" s="974"/>
      <c r="VRW21" s="974"/>
      <c r="VRX21" s="974"/>
      <c r="VRY21" s="974"/>
      <c r="VRZ21" s="974"/>
      <c r="VSA21" s="974"/>
      <c r="VSB21" s="974"/>
      <c r="VSC21" s="974"/>
      <c r="VSD21" s="974"/>
      <c r="VSE21" s="974"/>
      <c r="VSF21" s="974"/>
      <c r="VSG21" s="974"/>
      <c r="VSH21" s="974"/>
      <c r="VSI21" s="974"/>
      <c r="VSJ21" s="974"/>
      <c r="VSK21" s="974"/>
      <c r="VSL21" s="974"/>
      <c r="VSM21" s="974"/>
      <c r="VSN21" s="974"/>
      <c r="VSO21" s="974"/>
      <c r="VSP21" s="974"/>
      <c r="VSQ21" s="974"/>
      <c r="VSR21" s="974"/>
      <c r="VSS21" s="974"/>
      <c r="VST21" s="974"/>
      <c r="VSU21" s="974"/>
      <c r="VSV21" s="974"/>
      <c r="VSW21" s="974"/>
      <c r="VSX21" s="974"/>
      <c r="VSY21" s="974"/>
      <c r="VSZ21" s="974"/>
      <c r="VTA21" s="974"/>
      <c r="VTB21" s="974"/>
      <c r="VTC21" s="974"/>
      <c r="VTD21" s="974"/>
      <c r="VTE21" s="974"/>
      <c r="VTF21" s="974"/>
      <c r="VTG21" s="974"/>
      <c r="VTH21" s="974"/>
      <c r="VTI21" s="974"/>
      <c r="VTJ21" s="974"/>
      <c r="VTK21" s="974"/>
      <c r="VTL21" s="974"/>
      <c r="VTM21" s="974"/>
      <c r="VTN21" s="974"/>
      <c r="VTO21" s="974"/>
      <c r="VTP21" s="974"/>
      <c r="VTQ21" s="974"/>
      <c r="VTR21" s="974"/>
      <c r="VTS21" s="974"/>
      <c r="VTT21" s="974"/>
      <c r="VTU21" s="974"/>
      <c r="VTV21" s="974"/>
      <c r="VTW21" s="974"/>
      <c r="VTX21" s="974"/>
      <c r="VTY21" s="974"/>
      <c r="VTZ21" s="974"/>
      <c r="VUA21" s="974"/>
      <c r="VUB21" s="974"/>
      <c r="VUC21" s="974"/>
      <c r="VUD21" s="974"/>
      <c r="VUE21" s="974"/>
      <c r="VUF21" s="974"/>
      <c r="VUG21" s="974"/>
      <c r="VUH21" s="974"/>
      <c r="VUI21" s="974"/>
      <c r="VUJ21" s="974"/>
      <c r="VUK21" s="974"/>
      <c r="VUL21" s="974"/>
      <c r="VUM21" s="974"/>
      <c r="VUN21" s="974"/>
      <c r="VUO21" s="974"/>
      <c r="VUP21" s="974"/>
      <c r="VUQ21" s="974"/>
      <c r="VUR21" s="974"/>
      <c r="VUS21" s="974"/>
      <c r="VUT21" s="974"/>
      <c r="VUU21" s="974"/>
      <c r="VUV21" s="974"/>
      <c r="VUW21" s="974"/>
      <c r="VUX21" s="974"/>
      <c r="VUY21" s="974"/>
      <c r="VUZ21" s="974"/>
      <c r="VVA21" s="974"/>
      <c r="VVB21" s="974"/>
      <c r="VVC21" s="974"/>
      <c r="VVD21" s="974"/>
      <c r="VVE21" s="974"/>
      <c r="VVF21" s="974"/>
      <c r="VVG21" s="974"/>
      <c r="VVH21" s="974"/>
      <c r="VVI21" s="974"/>
      <c r="VVJ21" s="974"/>
      <c r="VVK21" s="974"/>
      <c r="VVL21" s="974"/>
      <c r="VVM21" s="974"/>
      <c r="VVN21" s="974"/>
      <c r="VVO21" s="974"/>
      <c r="VVP21" s="974"/>
      <c r="VVQ21" s="974"/>
      <c r="VVR21" s="974"/>
      <c r="VVS21" s="974"/>
      <c r="VVT21" s="974"/>
      <c r="VVU21" s="974"/>
      <c r="VVV21" s="974"/>
      <c r="VVW21" s="974"/>
      <c r="VVX21" s="974"/>
      <c r="VVY21" s="974"/>
      <c r="VVZ21" s="974"/>
      <c r="VWA21" s="974"/>
      <c r="VWB21" s="974"/>
      <c r="VWC21" s="974"/>
      <c r="VWD21" s="974"/>
      <c r="VWE21" s="974"/>
      <c r="VWF21" s="974"/>
      <c r="VWG21" s="974"/>
      <c r="VWH21" s="974"/>
      <c r="VWI21" s="974"/>
      <c r="VWJ21" s="974"/>
      <c r="VWK21" s="974"/>
      <c r="VWL21" s="974"/>
      <c r="VWM21" s="974"/>
      <c r="VWN21" s="974"/>
      <c r="VWO21" s="974"/>
      <c r="VWP21" s="974"/>
      <c r="VWQ21" s="974"/>
      <c r="VWR21" s="974"/>
      <c r="VWS21" s="974"/>
      <c r="VWT21" s="974"/>
      <c r="VWU21" s="974"/>
      <c r="VWV21" s="974"/>
      <c r="VWW21" s="974"/>
      <c r="VWX21" s="974"/>
      <c r="VWY21" s="974"/>
      <c r="VWZ21" s="974"/>
      <c r="VXA21" s="974"/>
      <c r="VXB21" s="974"/>
      <c r="VXC21" s="974"/>
      <c r="VXD21" s="974"/>
      <c r="VXE21" s="974"/>
      <c r="VXF21" s="974"/>
      <c r="VXG21" s="974"/>
      <c r="VXH21" s="974"/>
      <c r="VXI21" s="974"/>
      <c r="VXJ21" s="974"/>
      <c r="VXK21" s="974"/>
      <c r="VXL21" s="974"/>
      <c r="VXM21" s="974"/>
      <c r="VXN21" s="974"/>
      <c r="VXO21" s="974"/>
      <c r="VXP21" s="974"/>
      <c r="VXQ21" s="974"/>
      <c r="VXR21" s="974"/>
      <c r="VXS21" s="974"/>
      <c r="VXT21" s="974"/>
      <c r="VXU21" s="974"/>
      <c r="VXV21" s="974"/>
      <c r="VXW21" s="974"/>
      <c r="VXX21" s="974"/>
      <c r="VXY21" s="974"/>
      <c r="VXZ21" s="974"/>
      <c r="VYA21" s="974"/>
      <c r="VYB21" s="974"/>
      <c r="VYC21" s="974"/>
      <c r="VYD21" s="974"/>
      <c r="VYE21" s="974"/>
      <c r="VYF21" s="974"/>
      <c r="VYG21" s="974"/>
      <c r="VYH21" s="974"/>
      <c r="VYI21" s="974"/>
      <c r="VYJ21" s="974"/>
      <c r="VYK21" s="974"/>
      <c r="VYL21" s="974"/>
      <c r="VYM21" s="974"/>
      <c r="VYN21" s="974"/>
      <c r="VYO21" s="974"/>
      <c r="VYP21" s="974"/>
      <c r="VYQ21" s="974"/>
      <c r="VYR21" s="974"/>
      <c r="VYS21" s="974"/>
      <c r="VYT21" s="974"/>
      <c r="VYU21" s="974"/>
      <c r="VYV21" s="974"/>
      <c r="VYW21" s="974"/>
      <c r="VYX21" s="974"/>
      <c r="VYY21" s="974"/>
      <c r="VYZ21" s="974"/>
      <c r="VZA21" s="974"/>
      <c r="VZB21" s="974"/>
      <c r="VZC21" s="974"/>
      <c r="VZD21" s="974"/>
      <c r="VZE21" s="974"/>
      <c r="VZF21" s="974"/>
      <c r="VZG21" s="974"/>
      <c r="VZH21" s="974"/>
      <c r="VZI21" s="974"/>
      <c r="VZJ21" s="974"/>
      <c r="VZK21" s="974"/>
      <c r="VZL21" s="974"/>
      <c r="VZM21" s="974"/>
      <c r="VZN21" s="974"/>
      <c r="VZO21" s="974"/>
      <c r="VZP21" s="974"/>
      <c r="VZQ21" s="974"/>
      <c r="VZR21" s="974"/>
      <c r="VZS21" s="974"/>
      <c r="VZT21" s="974"/>
      <c r="VZU21" s="974"/>
      <c r="VZV21" s="974"/>
      <c r="VZW21" s="974"/>
      <c r="VZX21" s="974"/>
      <c r="VZY21" s="974"/>
      <c r="VZZ21" s="974"/>
      <c r="WAA21" s="974"/>
      <c r="WAB21" s="974"/>
      <c r="WAC21" s="974"/>
      <c r="WAD21" s="974"/>
      <c r="WAE21" s="974"/>
      <c r="WAF21" s="974"/>
      <c r="WAG21" s="974"/>
      <c r="WAH21" s="974"/>
      <c r="WAI21" s="974"/>
      <c r="WAJ21" s="974"/>
      <c r="WAK21" s="974"/>
      <c r="WAL21" s="974"/>
      <c r="WAM21" s="974"/>
      <c r="WAN21" s="974"/>
      <c r="WAO21" s="974"/>
      <c r="WAP21" s="974"/>
      <c r="WAQ21" s="974"/>
      <c r="WAR21" s="974"/>
      <c r="WAS21" s="974"/>
      <c r="WAT21" s="974"/>
      <c r="WAU21" s="974"/>
      <c r="WAV21" s="974"/>
      <c r="WAW21" s="974"/>
      <c r="WAX21" s="974"/>
      <c r="WAY21" s="974"/>
      <c r="WAZ21" s="974"/>
      <c r="WBA21" s="974"/>
      <c r="WBB21" s="974"/>
      <c r="WBC21" s="974"/>
      <c r="WBD21" s="974"/>
      <c r="WBE21" s="974"/>
      <c r="WBF21" s="974"/>
      <c r="WBG21" s="974"/>
      <c r="WBH21" s="974"/>
      <c r="WBI21" s="974"/>
      <c r="WBJ21" s="974"/>
      <c r="WBK21" s="974"/>
      <c r="WBL21" s="974"/>
      <c r="WBM21" s="974"/>
      <c r="WBN21" s="974"/>
      <c r="WBO21" s="974"/>
      <c r="WBP21" s="974"/>
      <c r="WBQ21" s="974"/>
      <c r="WBR21" s="974"/>
      <c r="WBS21" s="974"/>
      <c r="WBT21" s="974"/>
      <c r="WBU21" s="974"/>
      <c r="WBV21" s="974"/>
      <c r="WBW21" s="974"/>
      <c r="WBX21" s="974"/>
      <c r="WBY21" s="974"/>
      <c r="WBZ21" s="974"/>
      <c r="WCA21" s="974"/>
      <c r="WCB21" s="974"/>
      <c r="WCC21" s="974"/>
      <c r="WCD21" s="974"/>
      <c r="WCE21" s="974"/>
      <c r="WCF21" s="974"/>
      <c r="WCG21" s="974"/>
      <c r="WCH21" s="974"/>
      <c r="WCI21" s="974"/>
      <c r="WCJ21" s="974"/>
      <c r="WCK21" s="974"/>
      <c r="WCL21" s="974"/>
      <c r="WCM21" s="974"/>
      <c r="WCN21" s="974"/>
      <c r="WCO21" s="974"/>
      <c r="WCP21" s="974"/>
      <c r="WCQ21" s="974"/>
      <c r="WCR21" s="974"/>
      <c r="WCS21" s="974"/>
      <c r="WCT21" s="974"/>
      <c r="WCU21" s="974"/>
      <c r="WCV21" s="974"/>
      <c r="WCW21" s="974"/>
      <c r="WCX21" s="974"/>
      <c r="WCY21" s="974"/>
      <c r="WCZ21" s="974"/>
      <c r="WDA21" s="974"/>
      <c r="WDB21" s="974"/>
      <c r="WDC21" s="974"/>
      <c r="WDD21" s="974"/>
      <c r="WDE21" s="974"/>
      <c r="WDF21" s="974"/>
      <c r="WDG21" s="974"/>
      <c r="WDH21" s="974"/>
      <c r="WDI21" s="974"/>
      <c r="WDJ21" s="974"/>
      <c r="WDK21" s="974"/>
      <c r="WDL21" s="974"/>
      <c r="WDM21" s="974"/>
      <c r="WDN21" s="974"/>
      <c r="WDO21" s="974"/>
      <c r="WDP21" s="974"/>
      <c r="WDQ21" s="974"/>
      <c r="WDR21" s="974"/>
      <c r="WDS21" s="974"/>
      <c r="WDT21" s="974"/>
      <c r="WDU21" s="974"/>
      <c r="WDV21" s="974"/>
      <c r="WDW21" s="974"/>
      <c r="WDX21" s="974"/>
      <c r="WDY21" s="974"/>
      <c r="WDZ21" s="974"/>
      <c r="WEA21" s="974"/>
      <c r="WEB21" s="974"/>
      <c r="WEC21" s="974"/>
      <c r="WED21" s="974"/>
      <c r="WEE21" s="974"/>
      <c r="WEF21" s="974"/>
      <c r="WEG21" s="974"/>
      <c r="WEH21" s="974"/>
      <c r="WEI21" s="974"/>
      <c r="WEJ21" s="974"/>
      <c r="WEK21" s="974"/>
      <c r="WEL21" s="974"/>
      <c r="WEM21" s="974"/>
      <c r="WEN21" s="974"/>
      <c r="WEO21" s="974"/>
      <c r="WEP21" s="974"/>
      <c r="WEQ21" s="974"/>
      <c r="WER21" s="974"/>
      <c r="WES21" s="974"/>
      <c r="WET21" s="974"/>
      <c r="WEU21" s="974"/>
      <c r="WEV21" s="974"/>
      <c r="WEW21" s="974"/>
      <c r="WEX21" s="974"/>
      <c r="WEY21" s="974"/>
      <c r="WEZ21" s="974"/>
      <c r="WFA21" s="974"/>
      <c r="WFB21" s="974"/>
      <c r="WFC21" s="974"/>
      <c r="WFD21" s="974"/>
      <c r="WFE21" s="974"/>
      <c r="WFF21" s="974"/>
      <c r="WFG21" s="974"/>
      <c r="WFH21" s="974"/>
      <c r="WFI21" s="974"/>
      <c r="WFJ21" s="974"/>
      <c r="WFK21" s="974"/>
      <c r="WFL21" s="974"/>
      <c r="WFM21" s="974"/>
      <c r="WFN21" s="974"/>
      <c r="WFO21" s="974"/>
      <c r="WFP21" s="974"/>
      <c r="WFQ21" s="974"/>
      <c r="WFR21" s="974"/>
      <c r="WFS21" s="974"/>
      <c r="WFT21" s="974"/>
      <c r="WFU21" s="974"/>
      <c r="WFV21" s="974"/>
      <c r="WFW21" s="974"/>
      <c r="WFX21" s="974"/>
      <c r="WFY21" s="974"/>
      <c r="WFZ21" s="974"/>
      <c r="WGA21" s="974"/>
      <c r="WGB21" s="974"/>
      <c r="WGC21" s="974"/>
      <c r="WGD21" s="974"/>
      <c r="WGE21" s="974"/>
      <c r="WGF21" s="974"/>
      <c r="WGG21" s="974"/>
      <c r="WGH21" s="974"/>
      <c r="WGI21" s="974"/>
      <c r="WGJ21" s="974"/>
      <c r="WGK21" s="974"/>
      <c r="WGL21" s="974"/>
      <c r="WGM21" s="974"/>
      <c r="WGN21" s="974"/>
      <c r="WGO21" s="974"/>
      <c r="WGP21" s="974"/>
      <c r="WGQ21" s="974"/>
      <c r="WGR21" s="974"/>
      <c r="WGS21" s="974"/>
      <c r="WGT21" s="974"/>
      <c r="WGU21" s="974"/>
      <c r="WGV21" s="974"/>
      <c r="WGW21" s="974"/>
      <c r="WGX21" s="974"/>
      <c r="WGY21" s="974"/>
      <c r="WGZ21" s="974"/>
      <c r="WHA21" s="974"/>
      <c r="WHB21" s="974"/>
      <c r="WHC21" s="974"/>
      <c r="WHD21" s="974"/>
      <c r="WHE21" s="974"/>
      <c r="WHF21" s="974"/>
      <c r="WHG21" s="974"/>
      <c r="WHH21" s="974"/>
      <c r="WHI21" s="974"/>
      <c r="WHJ21" s="974"/>
      <c r="WHK21" s="974"/>
      <c r="WHL21" s="974"/>
      <c r="WHM21" s="974"/>
      <c r="WHN21" s="974"/>
      <c r="WHO21" s="974"/>
      <c r="WHP21" s="974"/>
      <c r="WHQ21" s="974"/>
      <c r="WHR21" s="974"/>
      <c r="WHS21" s="974"/>
      <c r="WHT21" s="974"/>
      <c r="WHU21" s="974"/>
      <c r="WHV21" s="974"/>
      <c r="WHW21" s="974"/>
      <c r="WHX21" s="974"/>
      <c r="WHY21" s="974"/>
      <c r="WHZ21" s="974"/>
      <c r="WIA21" s="974"/>
      <c r="WIB21" s="974"/>
      <c r="WIC21" s="974"/>
      <c r="WID21" s="974"/>
      <c r="WIE21" s="974"/>
      <c r="WIF21" s="974"/>
      <c r="WIG21" s="974"/>
      <c r="WIH21" s="974"/>
      <c r="WII21" s="974"/>
      <c r="WIJ21" s="974"/>
      <c r="WIK21" s="974"/>
      <c r="WIL21" s="974"/>
      <c r="WIM21" s="974"/>
      <c r="WIN21" s="974"/>
      <c r="WIO21" s="974"/>
      <c r="WIP21" s="974"/>
      <c r="WIQ21" s="974"/>
      <c r="WIR21" s="974"/>
      <c r="WIS21" s="974"/>
      <c r="WIT21" s="974"/>
      <c r="WIU21" s="974"/>
      <c r="WIV21" s="974"/>
      <c r="WIW21" s="974"/>
      <c r="WIX21" s="974"/>
      <c r="WIY21" s="974"/>
      <c r="WIZ21" s="974"/>
      <c r="WJA21" s="974"/>
      <c r="WJB21" s="974"/>
      <c r="WJC21" s="974"/>
      <c r="WJD21" s="974"/>
      <c r="WJE21" s="974"/>
      <c r="WJF21" s="974"/>
      <c r="WJG21" s="974"/>
      <c r="WJH21" s="974"/>
      <c r="WJI21" s="974"/>
      <c r="WJJ21" s="974"/>
      <c r="WJK21" s="974"/>
      <c r="WJL21" s="974"/>
      <c r="WJM21" s="974"/>
      <c r="WJN21" s="974"/>
      <c r="WJO21" s="974"/>
      <c r="WJP21" s="974"/>
      <c r="WJQ21" s="974"/>
      <c r="WJR21" s="974"/>
      <c r="WJS21" s="974"/>
      <c r="WJT21" s="974"/>
      <c r="WJU21" s="974"/>
      <c r="WJV21" s="974"/>
      <c r="WJW21" s="974"/>
      <c r="WJX21" s="974"/>
      <c r="WJY21" s="974"/>
      <c r="WJZ21" s="974"/>
      <c r="WKA21" s="974"/>
      <c r="WKB21" s="974"/>
      <c r="WKC21" s="974"/>
      <c r="WKD21" s="974"/>
      <c r="WKE21" s="974"/>
      <c r="WKF21" s="974"/>
      <c r="WKG21" s="974"/>
      <c r="WKH21" s="974"/>
      <c r="WKI21" s="974"/>
      <c r="WKJ21" s="974"/>
      <c r="WKK21" s="974"/>
      <c r="WKL21" s="974"/>
      <c r="WKM21" s="974"/>
      <c r="WKN21" s="974"/>
      <c r="WKO21" s="974"/>
      <c r="WKP21" s="974"/>
      <c r="WKQ21" s="974"/>
      <c r="WKR21" s="974"/>
      <c r="WKS21" s="974"/>
      <c r="WKT21" s="974"/>
      <c r="WKU21" s="974"/>
      <c r="WKV21" s="974"/>
      <c r="WKW21" s="974"/>
      <c r="WKX21" s="974"/>
      <c r="WKY21" s="974"/>
      <c r="WKZ21" s="974"/>
      <c r="WLA21" s="974"/>
      <c r="WLB21" s="974"/>
      <c r="WLC21" s="974"/>
      <c r="WLD21" s="974"/>
      <c r="WLE21" s="974"/>
      <c r="WLF21" s="974"/>
      <c r="WLG21" s="974"/>
      <c r="WLH21" s="974"/>
      <c r="WLI21" s="974"/>
      <c r="WLJ21" s="974"/>
      <c r="WLK21" s="974"/>
      <c r="WLL21" s="974"/>
      <c r="WLM21" s="974"/>
      <c r="WLN21" s="974"/>
      <c r="WLO21" s="974"/>
      <c r="WLP21" s="974"/>
      <c r="WLQ21" s="974"/>
      <c r="WLR21" s="974"/>
      <c r="WLS21" s="974"/>
      <c r="WLT21" s="974"/>
      <c r="WLU21" s="974"/>
      <c r="WLV21" s="974"/>
      <c r="WLW21" s="974"/>
      <c r="WLX21" s="974"/>
      <c r="WLY21" s="974"/>
      <c r="WLZ21" s="974"/>
      <c r="WMA21" s="974"/>
      <c r="WMB21" s="974"/>
      <c r="WMC21" s="974"/>
      <c r="WMD21" s="974"/>
      <c r="WME21" s="974"/>
      <c r="WMF21" s="974"/>
      <c r="WMG21" s="974"/>
      <c r="WMH21" s="974"/>
      <c r="WMI21" s="974"/>
      <c r="WMJ21" s="974"/>
      <c r="WMK21" s="974"/>
      <c r="WML21" s="974"/>
      <c r="WMM21" s="974"/>
      <c r="WMN21" s="974"/>
      <c r="WMO21" s="974"/>
      <c r="WMP21" s="974"/>
      <c r="WMQ21" s="974"/>
      <c r="WMR21" s="974"/>
      <c r="WMS21" s="974"/>
      <c r="WMT21" s="974"/>
      <c r="WMU21" s="974"/>
      <c r="WMV21" s="974"/>
      <c r="WMW21" s="974"/>
      <c r="WMX21" s="974"/>
      <c r="WMY21" s="974"/>
      <c r="WMZ21" s="974"/>
      <c r="WNA21" s="974"/>
      <c r="WNB21" s="974"/>
      <c r="WNC21" s="974"/>
      <c r="WND21" s="974"/>
      <c r="WNE21" s="974"/>
      <c r="WNF21" s="974"/>
      <c r="WNG21" s="974"/>
      <c r="WNH21" s="974"/>
      <c r="WNI21" s="974"/>
      <c r="WNJ21" s="974"/>
      <c r="WNK21" s="974"/>
      <c r="WNL21" s="974"/>
      <c r="WNM21" s="974"/>
      <c r="WNN21" s="974"/>
      <c r="WNO21" s="974"/>
      <c r="WNP21" s="974"/>
      <c r="WNQ21" s="974"/>
      <c r="WNR21" s="974"/>
      <c r="WNS21" s="974"/>
      <c r="WNT21" s="974"/>
      <c r="WNU21" s="974"/>
      <c r="WNV21" s="974"/>
      <c r="WNW21" s="974"/>
      <c r="WNX21" s="974"/>
      <c r="WNY21" s="974"/>
      <c r="WNZ21" s="974"/>
      <c r="WOA21" s="974"/>
      <c r="WOB21" s="974"/>
      <c r="WOC21" s="974"/>
      <c r="WOD21" s="974"/>
      <c r="WOE21" s="974"/>
      <c r="WOF21" s="974"/>
      <c r="WOG21" s="974"/>
      <c r="WOH21" s="974"/>
      <c r="WOI21" s="974"/>
      <c r="WOJ21" s="974"/>
      <c r="WOK21" s="974"/>
      <c r="WOL21" s="974"/>
      <c r="WOM21" s="974"/>
      <c r="WON21" s="974"/>
      <c r="WOO21" s="974"/>
      <c r="WOP21" s="974"/>
      <c r="WOQ21" s="974"/>
      <c r="WOR21" s="974"/>
      <c r="WOS21" s="974"/>
      <c r="WOT21" s="974"/>
      <c r="WOU21" s="974"/>
      <c r="WOV21" s="974"/>
      <c r="WOW21" s="974"/>
      <c r="WOX21" s="974"/>
      <c r="WOY21" s="974"/>
      <c r="WOZ21" s="974"/>
      <c r="WPA21" s="974"/>
      <c r="WPB21" s="974"/>
      <c r="WPC21" s="974"/>
      <c r="WPD21" s="974"/>
      <c r="WPE21" s="974"/>
      <c r="WPF21" s="974"/>
      <c r="WPG21" s="974"/>
      <c r="WPH21" s="974"/>
      <c r="WPI21" s="974"/>
      <c r="WPJ21" s="974"/>
      <c r="WPK21" s="974"/>
      <c r="WPL21" s="974"/>
      <c r="WPM21" s="974"/>
      <c r="WPN21" s="974"/>
      <c r="WPO21" s="974"/>
      <c r="WPP21" s="974"/>
      <c r="WPQ21" s="974"/>
      <c r="WPR21" s="974"/>
      <c r="WPS21" s="974"/>
      <c r="WPT21" s="974"/>
      <c r="WPU21" s="974"/>
      <c r="WPV21" s="974"/>
      <c r="WPW21" s="974"/>
      <c r="WPX21" s="974"/>
      <c r="WPY21" s="974"/>
      <c r="WPZ21" s="974"/>
      <c r="WQA21" s="974"/>
      <c r="WQB21" s="974"/>
      <c r="WQC21" s="974"/>
      <c r="WQD21" s="974"/>
      <c r="WQE21" s="974"/>
      <c r="WQF21" s="974"/>
      <c r="WQG21" s="974"/>
      <c r="WQH21" s="974"/>
      <c r="WQI21" s="974"/>
      <c r="WQJ21" s="974"/>
      <c r="WQK21" s="974"/>
      <c r="WQL21" s="974"/>
      <c r="WQM21" s="974"/>
      <c r="WQN21" s="974"/>
      <c r="WQO21" s="974"/>
      <c r="WQP21" s="974"/>
      <c r="WQQ21" s="974"/>
      <c r="WQR21" s="974"/>
      <c r="WQS21" s="974"/>
      <c r="WQT21" s="974"/>
      <c r="WQU21" s="974"/>
      <c r="WQV21" s="974"/>
      <c r="WQW21" s="974"/>
      <c r="WQX21" s="974"/>
      <c r="WQY21" s="974"/>
      <c r="WQZ21" s="974"/>
      <c r="WRA21" s="974"/>
      <c r="WRB21" s="974"/>
      <c r="WRC21" s="974"/>
      <c r="WRD21" s="974"/>
      <c r="WRE21" s="974"/>
      <c r="WRF21" s="974"/>
      <c r="WRG21" s="974"/>
      <c r="WRH21" s="974"/>
      <c r="WRI21" s="974"/>
      <c r="WRJ21" s="974"/>
      <c r="WRK21" s="974"/>
      <c r="WRL21" s="974"/>
      <c r="WRM21" s="974"/>
      <c r="WRN21" s="974"/>
      <c r="WRO21" s="974"/>
      <c r="WRP21" s="974"/>
      <c r="WRQ21" s="974"/>
      <c r="WRR21" s="974"/>
      <c r="WRS21" s="974"/>
      <c r="WRT21" s="974"/>
      <c r="WRU21" s="974"/>
      <c r="WRV21" s="974"/>
      <c r="WRW21" s="974"/>
      <c r="WRX21" s="974"/>
      <c r="WRY21" s="974"/>
      <c r="WRZ21" s="974"/>
      <c r="WSA21" s="974"/>
      <c r="WSB21" s="974"/>
      <c r="WSC21" s="974"/>
      <c r="WSD21" s="974"/>
      <c r="WSE21" s="974"/>
      <c r="WSF21" s="974"/>
      <c r="WSG21" s="974"/>
      <c r="WSH21" s="974"/>
      <c r="WSI21" s="974"/>
      <c r="WSJ21" s="974"/>
      <c r="WSK21" s="974"/>
      <c r="WSL21" s="974"/>
      <c r="WSM21" s="974"/>
      <c r="WSN21" s="974"/>
      <c r="WSO21" s="974"/>
      <c r="WSP21" s="974"/>
      <c r="WSQ21" s="974"/>
      <c r="WSR21" s="974"/>
      <c r="WSS21" s="974"/>
      <c r="WST21" s="974"/>
      <c r="WSU21" s="974"/>
      <c r="WSV21" s="974"/>
      <c r="WSW21" s="974"/>
      <c r="WSX21" s="974"/>
      <c r="WSY21" s="974"/>
      <c r="WSZ21" s="974"/>
      <c r="WTA21" s="974"/>
      <c r="WTB21" s="974"/>
      <c r="WTC21" s="974"/>
      <c r="WTD21" s="974"/>
      <c r="WTE21" s="974"/>
      <c r="WTF21" s="974"/>
      <c r="WTG21" s="974"/>
      <c r="WTH21" s="974"/>
      <c r="WTI21" s="974"/>
      <c r="WTJ21" s="974"/>
      <c r="WTK21" s="974"/>
      <c r="WTL21" s="974"/>
      <c r="WTM21" s="974"/>
      <c r="WTN21" s="974"/>
      <c r="WTO21" s="974"/>
      <c r="WTP21" s="974"/>
      <c r="WTQ21" s="974"/>
      <c r="WTR21" s="974"/>
      <c r="WTS21" s="974"/>
      <c r="WTT21" s="974"/>
      <c r="WTU21" s="974"/>
      <c r="WTV21" s="974"/>
      <c r="WTW21" s="974"/>
      <c r="WTX21" s="974"/>
      <c r="WTY21" s="974"/>
      <c r="WTZ21" s="974"/>
      <c r="WUA21" s="974"/>
      <c r="WUB21" s="974"/>
      <c r="WUC21" s="974"/>
      <c r="WUD21" s="974"/>
      <c r="WUE21" s="974"/>
      <c r="WUF21" s="974"/>
      <c r="WUG21" s="974"/>
      <c r="WUH21" s="974"/>
      <c r="WUI21" s="974"/>
      <c r="WUJ21" s="974"/>
      <c r="WUK21" s="974"/>
      <c r="WUL21" s="974"/>
      <c r="WUM21" s="974"/>
      <c r="WUN21" s="974"/>
      <c r="WUO21" s="974"/>
      <c r="WUP21" s="974"/>
      <c r="WUQ21" s="974"/>
      <c r="WUR21" s="974"/>
      <c r="WUS21" s="974"/>
      <c r="WUT21" s="974"/>
      <c r="WUU21" s="974"/>
      <c r="WUV21" s="974"/>
      <c r="WUW21" s="974"/>
      <c r="WUX21" s="974"/>
      <c r="WUY21" s="974"/>
      <c r="WUZ21" s="974"/>
      <c r="WVA21" s="974"/>
      <c r="WVB21" s="974"/>
      <c r="WVC21" s="974"/>
      <c r="WVD21" s="974"/>
      <c r="WVE21" s="974"/>
      <c r="WVF21" s="974"/>
      <c r="WVG21" s="974"/>
      <c r="WVH21" s="974"/>
      <c r="WVI21" s="974"/>
      <c r="WVJ21" s="974"/>
      <c r="WVK21" s="974"/>
      <c r="WVL21" s="974"/>
      <c r="WVM21" s="974"/>
      <c r="WVN21" s="974"/>
      <c r="WVO21" s="974"/>
      <c r="WVP21" s="974"/>
      <c r="WVQ21" s="974"/>
      <c r="WVR21" s="974"/>
      <c r="WVS21" s="974"/>
      <c r="WVT21" s="974"/>
      <c r="WVU21" s="974"/>
      <c r="WVV21" s="974"/>
      <c r="WVW21" s="974"/>
      <c r="WVX21" s="974"/>
      <c r="WVY21" s="974"/>
      <c r="WVZ21" s="974"/>
      <c r="WWA21" s="974"/>
      <c r="WWB21" s="974"/>
      <c r="WWC21" s="974"/>
      <c r="WWD21" s="974"/>
      <c r="WWE21" s="974"/>
      <c r="WWF21" s="974"/>
      <c r="WWG21" s="974"/>
      <c r="WWH21" s="974"/>
      <c r="WWI21" s="974"/>
      <c r="WWJ21" s="974"/>
      <c r="WWK21" s="974"/>
      <c r="WWL21" s="974"/>
      <c r="WWM21" s="974"/>
      <c r="WWN21" s="974"/>
      <c r="WWO21" s="974"/>
      <c r="WWP21" s="974"/>
      <c r="WWQ21" s="974"/>
      <c r="WWR21" s="974"/>
      <c r="WWS21" s="974"/>
      <c r="WWT21" s="974"/>
      <c r="WWU21" s="974"/>
      <c r="WWV21" s="974"/>
      <c r="WWW21" s="974"/>
      <c r="WWX21" s="974"/>
      <c r="WWY21" s="974"/>
      <c r="WWZ21" s="974"/>
      <c r="WXA21" s="974"/>
      <c r="WXB21" s="974"/>
      <c r="WXC21" s="974"/>
      <c r="WXD21" s="974"/>
      <c r="WXE21" s="974"/>
      <c r="WXF21" s="974"/>
      <c r="WXG21" s="974"/>
      <c r="WXH21" s="974"/>
      <c r="WXI21" s="974"/>
      <c r="WXJ21" s="974"/>
    </row>
    <row r="22" spans="1:16182" s="975" customFormat="1" x14ac:dyDescent="0.35">
      <c r="A22" s="920"/>
      <c r="B22" s="927"/>
      <c r="C22" s="927"/>
      <c r="D22" s="927"/>
      <c r="E22" s="927" t="s">
        <v>347</v>
      </c>
      <c r="F22" s="927"/>
      <c r="G22" s="927"/>
      <c r="H22" s="956"/>
      <c r="I22" s="956"/>
      <c r="J22" s="956"/>
      <c r="K22" s="956"/>
      <c r="L22" s="956"/>
      <c r="M22" s="956"/>
      <c r="N22" s="956"/>
      <c r="O22" s="956"/>
      <c r="P22" s="956"/>
      <c r="Q22" s="956"/>
      <c r="R22" s="956"/>
      <c r="S22" s="911"/>
      <c r="T22" s="911"/>
      <c r="U22" s="911"/>
      <c r="V22" s="911"/>
      <c r="W22" s="911"/>
      <c r="X22" s="911"/>
      <c r="Y22" s="911"/>
      <c r="Z22" s="911"/>
      <c r="AA22" s="911"/>
      <c r="AB22" s="911"/>
      <c r="AC22" s="911"/>
      <c r="AD22" s="911"/>
      <c r="AE22" s="911"/>
      <c r="AF22" s="911"/>
      <c r="AG22" s="911"/>
      <c r="AH22" s="911"/>
      <c r="AI22" s="911"/>
      <c r="AJ22" s="920"/>
      <c r="AK22" s="920"/>
      <c r="AL22" s="920"/>
      <c r="AM22" s="920"/>
      <c r="AN22" s="920"/>
      <c r="AO22" s="920"/>
      <c r="AP22" s="920"/>
      <c r="AQ22" s="920"/>
      <c r="AR22" s="920"/>
      <c r="AS22" s="920"/>
      <c r="AT22" s="920"/>
      <c r="AU22" s="920"/>
      <c r="AV22" s="920"/>
      <c r="AW22" s="920"/>
      <c r="AX22" s="920"/>
      <c r="AY22" s="920"/>
      <c r="AZ22" s="920"/>
      <c r="BA22" s="920"/>
      <c r="BB22" s="920"/>
      <c r="BC22" s="920"/>
      <c r="BD22" s="920"/>
      <c r="BE22" s="920"/>
      <c r="BF22" s="920"/>
      <c r="BG22" s="920"/>
      <c r="BH22" s="920"/>
      <c r="BI22" s="920"/>
      <c r="BJ22" s="920"/>
      <c r="BK22" s="920"/>
      <c r="BL22" s="920"/>
      <c r="BM22" s="920"/>
      <c r="BN22" s="920"/>
      <c r="BO22" s="920"/>
      <c r="BP22" s="920"/>
      <c r="BQ22" s="920"/>
      <c r="BR22" s="920"/>
      <c r="BS22" s="920"/>
      <c r="BT22" s="920"/>
      <c r="BU22" s="920"/>
      <c r="BV22" s="920"/>
      <c r="BW22" s="920"/>
      <c r="BX22" s="920"/>
      <c r="BY22" s="920"/>
      <c r="BZ22" s="920"/>
      <c r="CA22" s="920"/>
      <c r="CB22" s="920"/>
      <c r="CC22" s="920"/>
    </row>
    <row r="23" spans="1:16182" s="974" customFormat="1" x14ac:dyDescent="0.35">
      <c r="A23" s="574"/>
      <c r="B23" s="930"/>
      <c r="C23" s="930"/>
      <c r="D23" s="930"/>
      <c r="E23" s="930"/>
      <c r="F23" s="993" t="s">
        <v>350</v>
      </c>
      <c r="G23" s="993"/>
      <c r="H23" s="951">
        <v>4544.3599999999997</v>
      </c>
      <c r="I23" s="951"/>
      <c r="J23" s="951">
        <v>0</v>
      </c>
      <c r="K23" s="951">
        <v>0</v>
      </c>
      <c r="L23" s="951">
        <v>0</v>
      </c>
      <c r="M23" s="951">
        <v>8226.15</v>
      </c>
      <c r="N23" s="951">
        <v>0</v>
      </c>
      <c r="O23" s="951">
        <v>8202.89</v>
      </c>
      <c r="P23" s="951">
        <v>0</v>
      </c>
      <c r="Q23" s="951">
        <v>0</v>
      </c>
      <c r="R23" s="951">
        <v>0</v>
      </c>
      <c r="S23" s="951">
        <v>0</v>
      </c>
      <c r="T23" s="951">
        <v>1572.45</v>
      </c>
      <c r="U23" s="951">
        <v>0</v>
      </c>
      <c r="V23" s="950">
        <v>0</v>
      </c>
      <c r="W23" s="950">
        <v>10364.74</v>
      </c>
      <c r="X23" s="950">
        <v>22191.48</v>
      </c>
      <c r="Y23" s="950">
        <v>92232.56</v>
      </c>
      <c r="Z23" s="950">
        <v>128263.56</v>
      </c>
      <c r="AA23" s="950">
        <v>89677.34</v>
      </c>
      <c r="AB23" s="950">
        <v>114407.2</v>
      </c>
      <c r="AC23" s="950">
        <v>157273.06</v>
      </c>
      <c r="AD23" s="950">
        <v>180558.43</v>
      </c>
      <c r="AE23" s="950">
        <v>193128.65</v>
      </c>
      <c r="AF23" s="950">
        <v>227823.51</v>
      </c>
      <c r="AG23" s="950">
        <v>219573.46</v>
      </c>
      <c r="AH23" s="41"/>
      <c r="AI23" s="41"/>
      <c r="AJ23" s="1055"/>
      <c r="AK23" s="1055"/>
      <c r="AL23" s="1055"/>
      <c r="AM23" s="439"/>
      <c r="AN23" s="41"/>
      <c r="AO23" s="41"/>
      <c r="AP23" s="41"/>
      <c r="AQ23" s="41"/>
      <c r="AR23" s="41"/>
      <c r="AS23" s="41"/>
      <c r="AT23" s="41"/>
      <c r="AU23" s="41"/>
      <c r="AV23" s="41"/>
      <c r="AW23" s="41"/>
      <c r="AX23" s="41"/>
      <c r="AY23" s="41"/>
      <c r="AZ23" s="41"/>
      <c r="BA23" s="41"/>
      <c r="BB23" s="41"/>
      <c r="BC23" s="41"/>
      <c r="BD23" s="41"/>
      <c r="BE23" s="41"/>
      <c r="BF23" s="41"/>
      <c r="BG23" s="41"/>
      <c r="BH23" s="41"/>
      <c r="BI23" s="41"/>
      <c r="BJ23" s="41"/>
      <c r="BK23" s="41"/>
      <c r="BL23" s="41"/>
      <c r="BM23" s="41"/>
      <c r="BN23" s="41"/>
      <c r="BO23" s="41"/>
      <c r="BP23" s="41"/>
      <c r="BQ23" s="41"/>
      <c r="BR23" s="41"/>
      <c r="BS23" s="41"/>
      <c r="BT23" s="41"/>
      <c r="BU23" s="41"/>
      <c r="BV23" s="41"/>
      <c r="BW23" s="41"/>
      <c r="BX23" s="41"/>
      <c r="BY23" s="41"/>
      <c r="BZ23" s="41"/>
      <c r="CA23" s="41"/>
      <c r="CB23" s="41"/>
      <c r="CC23" s="41"/>
    </row>
    <row r="24" spans="1:16182" s="976" customFormat="1" x14ac:dyDescent="0.35">
      <c r="A24" s="311"/>
      <c r="B24" s="930"/>
      <c r="C24" s="930"/>
      <c r="D24" s="930"/>
      <c r="E24" s="930"/>
      <c r="F24" s="993" t="s">
        <v>727</v>
      </c>
      <c r="G24" s="993"/>
      <c r="H24" s="993"/>
      <c r="I24" s="930"/>
      <c r="J24" s="930"/>
      <c r="K24" s="930"/>
      <c r="L24" s="930"/>
      <c r="M24" s="930"/>
      <c r="N24" s="930"/>
      <c r="O24" s="930"/>
      <c r="P24" s="930"/>
      <c r="Q24" s="930"/>
      <c r="R24" s="930"/>
      <c r="S24" s="930"/>
      <c r="T24" s="930"/>
      <c r="U24" s="930"/>
      <c r="V24" s="950">
        <v>138.37</v>
      </c>
      <c r="W24" s="950">
        <v>8152.26</v>
      </c>
      <c r="X24" s="950">
        <v>14741.77</v>
      </c>
      <c r="Y24" s="950">
        <v>5941.77</v>
      </c>
      <c r="Z24" s="950">
        <v>5941.77</v>
      </c>
      <c r="AA24" s="950">
        <v>5941.77</v>
      </c>
      <c r="AB24" s="950">
        <v>5941.77</v>
      </c>
      <c r="AC24" s="950">
        <v>5941.77</v>
      </c>
      <c r="AD24" s="950">
        <v>5941.77</v>
      </c>
      <c r="AE24" s="950">
        <v>5941.77</v>
      </c>
      <c r="AF24" s="950">
        <v>5941.77</v>
      </c>
      <c r="AG24" s="950">
        <v>5941.77</v>
      </c>
      <c r="AH24" s="930"/>
      <c r="AI24" s="930"/>
      <c r="AJ24" s="1055"/>
      <c r="AK24" s="1055"/>
      <c r="AL24" s="1055"/>
      <c r="AM24" s="439"/>
      <c r="AN24" s="930"/>
      <c r="AO24" s="930"/>
      <c r="AP24" s="930"/>
      <c r="AQ24" s="930"/>
      <c r="AR24" s="930"/>
      <c r="AS24" s="930"/>
      <c r="AT24" s="930"/>
      <c r="AU24" s="930"/>
      <c r="AV24" s="930"/>
      <c r="AW24" s="930"/>
      <c r="AX24" s="930"/>
      <c r="AY24" s="930"/>
      <c r="AZ24" s="930"/>
      <c r="BA24" s="930"/>
      <c r="BB24" s="930"/>
      <c r="BC24" s="930"/>
      <c r="BD24" s="930"/>
      <c r="BE24" s="930"/>
      <c r="BF24" s="930"/>
      <c r="BG24" s="930"/>
      <c r="BH24" s="930"/>
      <c r="BI24" s="930"/>
      <c r="BJ24" s="930"/>
      <c r="BK24" s="930"/>
      <c r="BL24" s="930"/>
      <c r="BM24" s="930"/>
      <c r="BN24" s="930"/>
      <c r="BO24" s="930"/>
      <c r="BP24" s="930"/>
      <c r="BQ24" s="930"/>
      <c r="BR24" s="930"/>
      <c r="BS24" s="930"/>
      <c r="BT24" s="930"/>
      <c r="BU24" s="930"/>
      <c r="BV24" s="930"/>
      <c r="BW24" s="930"/>
      <c r="BX24" s="930"/>
      <c r="BY24" s="930"/>
      <c r="BZ24" s="930"/>
      <c r="CA24" s="930"/>
      <c r="CB24" s="930"/>
      <c r="CC24" s="930"/>
    </row>
    <row r="25" spans="1:16182" s="974" customFormat="1" x14ac:dyDescent="0.35">
      <c r="A25" s="574"/>
      <c r="B25" s="930"/>
      <c r="C25" s="930"/>
      <c r="D25" s="930"/>
      <c r="E25" s="930"/>
      <c r="F25" s="993" t="s">
        <v>349</v>
      </c>
      <c r="G25" s="993"/>
      <c r="H25" s="951"/>
      <c r="I25" s="951"/>
      <c r="J25" s="951">
        <v>0</v>
      </c>
      <c r="K25" s="951">
        <v>0</v>
      </c>
      <c r="L25" s="951">
        <v>0</v>
      </c>
      <c r="M25" s="951">
        <v>0</v>
      </c>
      <c r="N25" s="951">
        <v>0</v>
      </c>
      <c r="O25" s="951">
        <v>0</v>
      </c>
      <c r="P25" s="951">
        <v>0</v>
      </c>
      <c r="Q25" s="951">
        <v>0</v>
      </c>
      <c r="R25" s="951">
        <v>0</v>
      </c>
      <c r="S25" s="951">
        <v>0</v>
      </c>
      <c r="T25" s="951">
        <v>0</v>
      </c>
      <c r="U25" s="951">
        <v>2391.33</v>
      </c>
      <c r="V25" s="950">
        <v>26048.93</v>
      </c>
      <c r="W25" s="950">
        <v>24596.61</v>
      </c>
      <c r="X25" s="950">
        <v>22102.97</v>
      </c>
      <c r="Y25" s="950">
        <v>19689.77</v>
      </c>
      <c r="Z25" s="950">
        <v>17196.13</v>
      </c>
      <c r="AA25" s="950">
        <v>14782.93</v>
      </c>
      <c r="AB25" s="950">
        <v>12289.29</v>
      </c>
      <c r="AC25" s="950">
        <v>13129.87</v>
      </c>
      <c r="AD25" s="950">
        <v>10268.26</v>
      </c>
      <c r="AE25" s="950">
        <v>11682.64</v>
      </c>
      <c r="AF25" s="950">
        <v>9384.6299999999992</v>
      </c>
      <c r="AG25" s="950">
        <v>8597.2900000000009</v>
      </c>
      <c r="AH25" s="41"/>
      <c r="AI25" s="41"/>
      <c r="AJ25" s="1055"/>
      <c r="AK25" s="1055"/>
      <c r="AL25" s="1055"/>
      <c r="AM25" s="439"/>
      <c r="AN25" s="41"/>
      <c r="AO25" s="41"/>
      <c r="AP25" s="41"/>
      <c r="AQ25" s="41"/>
      <c r="AR25" s="41"/>
      <c r="AS25" s="41"/>
      <c r="AT25" s="41"/>
      <c r="AU25" s="41"/>
      <c r="AV25" s="41"/>
      <c r="AW25" s="41"/>
      <c r="AX25" s="41"/>
      <c r="AY25" s="41"/>
      <c r="AZ25" s="41"/>
      <c r="BA25" s="41"/>
      <c r="BB25" s="41"/>
      <c r="BC25" s="41"/>
      <c r="BD25" s="41"/>
      <c r="BE25" s="41"/>
      <c r="BF25" s="41"/>
      <c r="BG25" s="41"/>
      <c r="BH25" s="41"/>
      <c r="BI25" s="41"/>
      <c r="BJ25" s="41"/>
      <c r="BK25" s="41"/>
      <c r="BL25" s="41"/>
      <c r="BM25" s="41"/>
      <c r="BN25" s="41"/>
      <c r="BO25" s="41"/>
      <c r="BP25" s="41"/>
      <c r="BQ25" s="41"/>
      <c r="BR25" s="41"/>
      <c r="BS25" s="41"/>
      <c r="BT25" s="41"/>
      <c r="BU25" s="41"/>
      <c r="BV25" s="41"/>
      <c r="BW25" s="41"/>
      <c r="BX25" s="41"/>
      <c r="BY25" s="41"/>
      <c r="BZ25" s="41"/>
      <c r="CA25" s="41"/>
      <c r="CB25" s="41"/>
      <c r="CC25" s="41"/>
    </row>
    <row r="26" spans="1:16182" s="974" customFormat="1" x14ac:dyDescent="0.35">
      <c r="A26" s="574"/>
      <c r="B26" s="930"/>
      <c r="C26" s="930"/>
      <c r="D26" s="930"/>
      <c r="E26" s="930"/>
      <c r="F26" s="993" t="s">
        <v>1122</v>
      </c>
      <c r="G26" s="993"/>
      <c r="H26" s="951"/>
      <c r="I26" s="951"/>
      <c r="J26" s="951"/>
      <c r="K26" s="951"/>
      <c r="L26" s="951"/>
      <c r="M26" s="951"/>
      <c r="N26" s="951"/>
      <c r="O26" s="951"/>
      <c r="P26" s="951"/>
      <c r="Q26" s="951"/>
      <c r="R26" s="951"/>
      <c r="S26" s="951"/>
      <c r="T26" s="951"/>
      <c r="U26" s="951"/>
      <c r="V26" s="950"/>
      <c r="W26" s="950"/>
      <c r="X26" s="950"/>
      <c r="Y26" s="950"/>
      <c r="Z26" s="950"/>
      <c r="AA26" s="950"/>
      <c r="AB26" s="950"/>
      <c r="AC26" s="950"/>
      <c r="AD26" s="950"/>
      <c r="AE26" s="950"/>
      <c r="AF26" s="439">
        <v>28709.3</v>
      </c>
      <c r="AG26" s="439">
        <v>28709.3</v>
      </c>
      <c r="AH26" s="41"/>
      <c r="AI26" s="41"/>
      <c r="AJ26" s="1055"/>
      <c r="AK26" s="1055"/>
      <c r="AL26" s="1055"/>
      <c r="AM26" s="439"/>
      <c r="AN26" s="41"/>
      <c r="AO26" s="41"/>
      <c r="AP26" s="41"/>
      <c r="AQ26" s="41"/>
      <c r="AR26" s="41"/>
      <c r="AS26" s="41"/>
      <c r="AT26" s="41"/>
      <c r="AU26" s="41"/>
      <c r="AV26" s="41"/>
      <c r="AW26" s="41"/>
      <c r="AX26" s="41"/>
      <c r="AY26" s="41"/>
      <c r="AZ26" s="41"/>
      <c r="BA26" s="41"/>
      <c r="BB26" s="41"/>
      <c r="BC26" s="41"/>
      <c r="BD26" s="41"/>
      <c r="BE26" s="41"/>
      <c r="BF26" s="41"/>
      <c r="BG26" s="41"/>
      <c r="BH26" s="41"/>
      <c r="BI26" s="41"/>
      <c r="BJ26" s="41"/>
      <c r="BK26" s="41"/>
      <c r="BL26" s="41"/>
      <c r="BM26" s="41"/>
      <c r="BN26" s="41"/>
      <c r="BO26" s="41"/>
      <c r="BP26" s="41"/>
      <c r="BQ26" s="41"/>
      <c r="BR26" s="41"/>
      <c r="BS26" s="41"/>
      <c r="BT26" s="41"/>
      <c r="BU26" s="41"/>
      <c r="BV26" s="41"/>
      <c r="BW26" s="41"/>
      <c r="BX26" s="41"/>
      <c r="BY26" s="41"/>
      <c r="BZ26" s="41"/>
      <c r="CA26" s="41"/>
      <c r="CB26" s="41"/>
      <c r="CC26" s="41"/>
    </row>
    <row r="27" spans="1:16182" s="974" customFormat="1" x14ac:dyDescent="0.35">
      <c r="A27" s="574"/>
      <c r="B27" s="930"/>
      <c r="C27" s="930"/>
      <c r="D27" s="930"/>
      <c r="E27" s="930"/>
      <c r="F27" s="993" t="s">
        <v>520</v>
      </c>
      <c r="G27" s="993"/>
      <c r="H27" s="951"/>
      <c r="I27" s="951"/>
      <c r="J27" s="951"/>
      <c r="K27" s="951"/>
      <c r="L27" s="951"/>
      <c r="M27" s="951"/>
      <c r="N27" s="951"/>
      <c r="O27" s="951"/>
      <c r="P27" s="951"/>
      <c r="Q27" s="951"/>
      <c r="R27" s="951"/>
      <c r="S27" s="951"/>
      <c r="T27" s="951"/>
      <c r="U27" s="951">
        <v>229505.38</v>
      </c>
      <c r="V27" s="950">
        <v>225672.05</v>
      </c>
      <c r="W27" s="950">
        <v>221838.72</v>
      </c>
      <c r="X27" s="950">
        <v>218005.39</v>
      </c>
      <c r="Y27" s="950">
        <v>214172.06</v>
      </c>
      <c r="Z27" s="950">
        <v>210338.73</v>
      </c>
      <c r="AA27" s="950">
        <v>206505.4</v>
      </c>
      <c r="AB27" s="950">
        <v>202672.07</v>
      </c>
      <c r="AC27" s="950">
        <v>198838.74</v>
      </c>
      <c r="AD27" s="950">
        <v>195005.41</v>
      </c>
      <c r="AE27" s="950">
        <v>191172.08</v>
      </c>
      <c r="AF27" s="41">
        <v>187338.75</v>
      </c>
      <c r="AG27" s="41">
        <v>183505.42</v>
      </c>
      <c r="AH27" s="41"/>
      <c r="AI27" s="41"/>
      <c r="AJ27" s="1055"/>
      <c r="AK27" s="1055"/>
      <c r="AL27" s="1055"/>
      <c r="AM27" s="439"/>
      <c r="AN27" s="41"/>
      <c r="AO27" s="41"/>
      <c r="AP27" s="41"/>
      <c r="AQ27" s="41"/>
      <c r="AR27" s="41"/>
      <c r="AS27" s="41"/>
      <c r="AT27" s="41"/>
      <c r="AU27" s="41"/>
      <c r="AV27" s="41"/>
      <c r="AW27" s="41"/>
      <c r="AX27" s="41"/>
      <c r="AY27" s="41"/>
      <c r="AZ27" s="41"/>
      <c r="BA27" s="41"/>
      <c r="BB27" s="41"/>
      <c r="BC27" s="41"/>
      <c r="BD27" s="41"/>
      <c r="BE27" s="41"/>
      <c r="BF27" s="41"/>
      <c r="BG27" s="41"/>
      <c r="BH27" s="41"/>
      <c r="BI27" s="41"/>
      <c r="BJ27" s="41"/>
      <c r="BK27" s="41"/>
      <c r="BL27" s="41"/>
      <c r="BM27" s="41"/>
      <c r="BN27" s="41"/>
      <c r="BO27" s="41"/>
      <c r="BP27" s="41"/>
      <c r="BQ27" s="41"/>
      <c r="BR27" s="41"/>
      <c r="BS27" s="41"/>
      <c r="BT27" s="41"/>
      <c r="BU27" s="41"/>
      <c r="BV27" s="41"/>
      <c r="BW27" s="41"/>
      <c r="BX27" s="41"/>
      <c r="BY27" s="41"/>
      <c r="BZ27" s="41"/>
      <c r="CA27" s="41"/>
      <c r="CB27" s="41"/>
      <c r="CC27" s="41"/>
    </row>
    <row r="28" spans="1:16182" s="976" customFormat="1" x14ac:dyDescent="0.35">
      <c r="A28" s="311"/>
      <c r="B28" s="930"/>
      <c r="C28" s="930"/>
      <c r="D28" s="930"/>
      <c r="E28" s="930"/>
      <c r="F28" s="993" t="s">
        <v>728</v>
      </c>
      <c r="G28" s="993"/>
      <c r="H28" s="993"/>
      <c r="I28" s="930"/>
      <c r="J28" s="930"/>
      <c r="K28" s="930"/>
      <c r="L28" s="930"/>
      <c r="M28" s="930"/>
      <c r="N28" s="930"/>
      <c r="O28" s="930"/>
      <c r="P28" s="930"/>
      <c r="Q28" s="930"/>
      <c r="R28" s="930"/>
      <c r="S28" s="930"/>
      <c r="T28" s="930"/>
      <c r="U28" s="930"/>
      <c r="V28" s="930"/>
      <c r="W28" s="930"/>
      <c r="X28" s="930"/>
      <c r="Y28" s="930"/>
      <c r="Z28" s="930"/>
      <c r="AA28" s="930"/>
      <c r="AB28" s="930"/>
      <c r="AC28" s="951">
        <v>-0.01</v>
      </c>
      <c r="AD28" s="41">
        <v>-0.01</v>
      </c>
      <c r="AE28" s="41">
        <v>-0.01</v>
      </c>
      <c r="AF28" s="950">
        <v>-0.01</v>
      </c>
      <c r="AG28" s="950">
        <v>-0.01</v>
      </c>
      <c r="AH28" s="930"/>
      <c r="AI28" s="930"/>
      <c r="AJ28" s="1055"/>
      <c r="AK28" s="1055"/>
      <c r="AL28" s="1055"/>
      <c r="AM28" s="439"/>
      <c r="AN28" s="930"/>
      <c r="AO28" s="930"/>
      <c r="AP28" s="930"/>
      <c r="AQ28" s="930"/>
      <c r="AR28" s="930"/>
      <c r="AS28" s="930"/>
      <c r="AT28" s="930"/>
      <c r="AU28" s="930"/>
      <c r="AV28" s="930"/>
      <c r="AW28" s="930"/>
      <c r="AX28" s="930"/>
      <c r="AY28" s="930"/>
      <c r="AZ28" s="930"/>
      <c r="BA28" s="930"/>
      <c r="BB28" s="930"/>
      <c r="BC28" s="930"/>
      <c r="BD28" s="930"/>
      <c r="BE28" s="930"/>
      <c r="BF28" s="930"/>
      <c r="BG28" s="930"/>
      <c r="BH28" s="930"/>
      <c r="BI28" s="930"/>
      <c r="BJ28" s="930"/>
      <c r="BK28" s="930"/>
      <c r="BL28" s="930"/>
      <c r="BM28" s="930"/>
      <c r="BN28" s="930"/>
      <c r="BO28" s="930"/>
      <c r="BP28" s="930"/>
      <c r="BQ28" s="930"/>
      <c r="BR28" s="930"/>
      <c r="BS28" s="930"/>
      <c r="BT28" s="930"/>
      <c r="BU28" s="930"/>
      <c r="BV28" s="930"/>
      <c r="BW28" s="930"/>
      <c r="BX28" s="930"/>
      <c r="BY28" s="930"/>
      <c r="BZ28" s="930"/>
      <c r="CA28" s="930"/>
      <c r="CB28" s="930"/>
      <c r="CC28" s="930"/>
    </row>
    <row r="29" spans="1:16182" s="976" customFormat="1" x14ac:dyDescent="0.35">
      <c r="A29" s="311"/>
      <c r="B29" s="930"/>
      <c r="C29" s="930"/>
      <c r="D29" s="930"/>
      <c r="E29" s="930"/>
      <c r="F29" s="993" t="s">
        <v>729</v>
      </c>
      <c r="G29" s="993"/>
      <c r="H29" s="993"/>
      <c r="I29" s="930"/>
      <c r="J29" s="930"/>
      <c r="K29" s="930"/>
      <c r="L29" s="930"/>
      <c r="M29" s="930"/>
      <c r="N29" s="930"/>
      <c r="O29" s="930"/>
      <c r="P29" s="930"/>
      <c r="Q29" s="930"/>
      <c r="R29" s="930"/>
      <c r="S29" s="930"/>
      <c r="T29" s="930"/>
      <c r="U29" s="930"/>
      <c r="V29" s="950">
        <v>0</v>
      </c>
      <c r="W29" s="950">
        <v>16522.099999999999</v>
      </c>
      <c r="X29" s="950">
        <v>411.6</v>
      </c>
      <c r="Y29" s="950">
        <v>15332.8</v>
      </c>
      <c r="Z29" s="950">
        <v>50830.82</v>
      </c>
      <c r="AA29" s="950">
        <v>97788.85</v>
      </c>
      <c r="AB29" s="950">
        <v>39609.97</v>
      </c>
      <c r="AC29" s="950">
        <v>71491.759999999995</v>
      </c>
      <c r="AD29" s="950">
        <v>0</v>
      </c>
      <c r="AE29" s="950">
        <v>220</v>
      </c>
      <c r="AF29" s="953">
        <v>47816.56</v>
      </c>
      <c r="AG29" s="953">
        <v>43904.800000000003</v>
      </c>
      <c r="AH29" s="930" t="s">
        <v>922</v>
      </c>
      <c r="AI29" s="930"/>
      <c r="AJ29" s="1055"/>
      <c r="AK29" s="1055"/>
      <c r="AL29" s="1055"/>
      <c r="AM29" s="439"/>
      <c r="AN29" s="930"/>
      <c r="AO29" s="930"/>
      <c r="AP29" s="930"/>
      <c r="AQ29" s="930"/>
      <c r="AR29" s="930"/>
      <c r="AS29" s="930"/>
      <c r="AT29" s="930"/>
      <c r="AU29" s="930"/>
      <c r="AV29" s="930"/>
      <c r="AW29" s="930"/>
      <c r="AX29" s="930"/>
      <c r="AY29" s="930"/>
      <c r="AZ29" s="930"/>
      <c r="BA29" s="930"/>
      <c r="BB29" s="930"/>
      <c r="BC29" s="930"/>
      <c r="BD29" s="930"/>
      <c r="BE29" s="930"/>
      <c r="BF29" s="930"/>
      <c r="BG29" s="930"/>
      <c r="BH29" s="930"/>
      <c r="BI29" s="930"/>
      <c r="BJ29" s="930"/>
      <c r="BK29" s="930"/>
      <c r="BL29" s="930"/>
      <c r="BM29" s="930"/>
      <c r="BN29" s="930"/>
      <c r="BO29" s="930"/>
      <c r="BP29" s="930"/>
      <c r="BQ29" s="930"/>
      <c r="BR29" s="930"/>
      <c r="BS29" s="930"/>
      <c r="BT29" s="930"/>
      <c r="BU29" s="930"/>
      <c r="BV29" s="930"/>
      <c r="BW29" s="930"/>
      <c r="BX29" s="930"/>
      <c r="BY29" s="930"/>
      <c r="BZ29" s="930"/>
      <c r="CA29" s="930"/>
      <c r="CB29" s="930"/>
      <c r="CC29" s="930"/>
    </row>
    <row r="30" spans="1:16182" s="974" customFormat="1" ht="15" thickBot="1" x14ac:dyDescent="0.4">
      <c r="A30" s="574"/>
      <c r="B30" s="930"/>
      <c r="C30" s="930"/>
      <c r="D30" s="930"/>
      <c r="E30" s="933"/>
      <c r="F30" s="993" t="s">
        <v>434</v>
      </c>
      <c r="G30" s="994"/>
      <c r="H30" s="950">
        <v>116.99</v>
      </c>
      <c r="I30" s="950">
        <v>500</v>
      </c>
      <c r="J30" s="950">
        <v>0</v>
      </c>
      <c r="K30" s="950">
        <v>1350.5</v>
      </c>
      <c r="L30" s="950">
        <v>1125</v>
      </c>
      <c r="M30" s="950">
        <v>0</v>
      </c>
      <c r="N30" s="950">
        <v>0</v>
      </c>
      <c r="O30" s="950">
        <v>774.95</v>
      </c>
      <c r="P30" s="950">
        <v>774.95</v>
      </c>
      <c r="Q30" s="950">
        <v>500</v>
      </c>
      <c r="R30" s="950">
        <v>500</v>
      </c>
      <c r="S30" s="950">
        <v>617.70000000000005</v>
      </c>
      <c r="T30" s="950"/>
      <c r="U30" s="950">
        <v>0</v>
      </c>
      <c r="V30" s="953">
        <v>500</v>
      </c>
      <c r="W30" s="953">
        <v>286.89</v>
      </c>
      <c r="X30" s="953">
        <v>714.87</v>
      </c>
      <c r="Y30" s="953">
        <v>45.63</v>
      </c>
      <c r="Z30" s="953">
        <v>53.4</v>
      </c>
      <c r="AA30" s="953">
        <v>420.8</v>
      </c>
      <c r="AB30" s="953">
        <v>3420.8</v>
      </c>
      <c r="AC30" s="953">
        <v>1534.19</v>
      </c>
      <c r="AD30" s="953">
        <v>1459.15</v>
      </c>
      <c r="AE30" s="953">
        <v>1334.1</v>
      </c>
      <c r="AF30" s="1027">
        <v>-44.63</v>
      </c>
      <c r="AG30" s="1027">
        <v>382.08</v>
      </c>
      <c r="AH30" s="41"/>
      <c r="AI30" s="41"/>
      <c r="AJ30" s="1055"/>
      <c r="AK30" s="1055"/>
      <c r="AL30" s="1055"/>
      <c r="AM30" s="1054"/>
      <c r="AN30" s="41"/>
      <c r="AO30" s="41"/>
      <c r="AP30" s="41"/>
      <c r="AQ30" s="41"/>
      <c r="AR30" s="41"/>
      <c r="AS30" s="41"/>
      <c r="AT30" s="41"/>
      <c r="AU30" s="41"/>
      <c r="AV30" s="41"/>
      <c r="AW30" s="41"/>
      <c r="AX30" s="41"/>
      <c r="AY30" s="41"/>
      <c r="AZ30" s="41"/>
      <c r="BA30" s="41"/>
      <c r="BB30" s="41"/>
      <c r="BC30" s="41"/>
      <c r="BD30" s="41"/>
      <c r="BE30" s="41"/>
      <c r="BF30" s="41"/>
      <c r="BG30" s="41"/>
      <c r="BH30" s="41"/>
      <c r="BI30" s="41"/>
      <c r="BJ30" s="41"/>
      <c r="BK30" s="41"/>
      <c r="BL30" s="41"/>
      <c r="BM30" s="41"/>
      <c r="BN30" s="41"/>
      <c r="BO30" s="41"/>
      <c r="BP30" s="41"/>
      <c r="BQ30" s="41"/>
      <c r="BR30" s="41"/>
      <c r="BS30" s="41"/>
      <c r="BT30" s="41"/>
      <c r="BU30" s="41"/>
      <c r="BV30" s="41"/>
      <c r="BW30" s="41"/>
      <c r="BX30" s="41"/>
      <c r="BY30" s="41"/>
      <c r="BZ30" s="41"/>
      <c r="CA30" s="41"/>
      <c r="CB30" s="41"/>
      <c r="CC30" s="41"/>
    </row>
    <row r="31" spans="1:16182" s="974" customFormat="1" x14ac:dyDescent="0.35">
      <c r="A31" s="574"/>
      <c r="B31" s="930"/>
      <c r="C31" s="930"/>
      <c r="D31" s="930"/>
      <c r="E31" s="930"/>
      <c r="F31" s="993" t="s">
        <v>348</v>
      </c>
      <c r="G31" s="993"/>
      <c r="H31" s="951"/>
      <c r="I31" s="951"/>
      <c r="J31" s="951"/>
      <c r="K31" s="951"/>
      <c r="L31" s="951"/>
      <c r="M31" s="951"/>
      <c r="N31" s="951"/>
      <c r="O31" s="951"/>
      <c r="P31" s="951"/>
      <c r="Q31" s="951"/>
      <c r="R31" s="951"/>
      <c r="S31" s="951"/>
      <c r="T31" s="951"/>
      <c r="U31" s="951"/>
      <c r="V31" s="951">
        <v>0</v>
      </c>
      <c r="W31" s="951">
        <v>0</v>
      </c>
      <c r="X31" s="951">
        <v>0</v>
      </c>
      <c r="Y31" s="951"/>
      <c r="Z31" s="951"/>
      <c r="AA31" s="951"/>
      <c r="AB31" s="951"/>
      <c r="AC31" s="951"/>
      <c r="AD31" s="951"/>
      <c r="AE31" s="951"/>
      <c r="AF31" s="950"/>
      <c r="AG31" s="950"/>
      <c r="AH31" s="41"/>
      <c r="AI31" s="41"/>
      <c r="AJ31" s="41"/>
      <c r="AK31" s="41"/>
      <c r="AL31" s="41"/>
      <c r="AM31" s="41"/>
      <c r="AN31" s="41"/>
      <c r="AO31" s="41"/>
      <c r="AP31" s="41"/>
      <c r="AQ31" s="41"/>
      <c r="AR31" s="41"/>
      <c r="AS31" s="41"/>
      <c r="AT31" s="41"/>
      <c r="AU31" s="41"/>
      <c r="AV31" s="41"/>
      <c r="AW31" s="41"/>
      <c r="AX31" s="41"/>
      <c r="AY31" s="41"/>
      <c r="AZ31" s="41"/>
      <c r="BA31" s="41"/>
      <c r="BB31" s="41"/>
      <c r="BC31" s="41"/>
      <c r="BD31" s="41"/>
      <c r="BE31" s="41"/>
      <c r="BF31" s="41"/>
      <c r="BG31" s="41"/>
      <c r="BH31" s="41"/>
      <c r="BI31" s="41"/>
      <c r="BJ31" s="41"/>
      <c r="BK31" s="41"/>
      <c r="BL31" s="41"/>
      <c r="BM31" s="41"/>
      <c r="BN31" s="41"/>
      <c r="BO31" s="41"/>
      <c r="BP31" s="41"/>
      <c r="BQ31" s="41"/>
      <c r="BR31" s="41"/>
      <c r="BS31" s="41"/>
      <c r="BT31" s="41"/>
      <c r="BU31" s="41"/>
      <c r="BV31" s="41"/>
      <c r="BW31" s="41"/>
      <c r="BX31" s="41"/>
      <c r="BY31" s="41"/>
      <c r="BZ31" s="41"/>
      <c r="CA31" s="41"/>
      <c r="CB31" s="41"/>
      <c r="CC31" s="41"/>
    </row>
    <row r="32" spans="1:16182" s="974" customFormat="1" x14ac:dyDescent="0.35">
      <c r="A32" s="574"/>
      <c r="B32" s="930"/>
      <c r="C32" s="930"/>
      <c r="D32" s="930"/>
      <c r="E32" s="930"/>
      <c r="F32" s="993" t="s">
        <v>361</v>
      </c>
      <c r="G32" s="993"/>
      <c r="H32" s="954"/>
      <c r="I32" s="954"/>
      <c r="J32" s="954"/>
      <c r="K32" s="954"/>
      <c r="L32" s="954"/>
      <c r="M32" s="954"/>
      <c r="N32" s="954"/>
      <c r="O32" s="954"/>
      <c r="P32" s="954"/>
      <c r="Q32" s="954"/>
      <c r="R32" s="954"/>
      <c r="S32" s="954"/>
      <c r="T32" s="954"/>
      <c r="U32" s="954"/>
      <c r="V32" s="954">
        <v>0</v>
      </c>
      <c r="W32" s="954">
        <v>0</v>
      </c>
      <c r="X32" s="954">
        <v>0</v>
      </c>
      <c r="Y32" s="954">
        <v>0</v>
      </c>
      <c r="Z32" s="954"/>
      <c r="AA32" s="954"/>
      <c r="AB32" s="954"/>
      <c r="AC32" s="954"/>
      <c r="AD32" s="954"/>
      <c r="AE32" s="954"/>
      <c r="AF32" s="954"/>
      <c r="AG32" s="954"/>
      <c r="AH32" s="41"/>
      <c r="AI32" s="41"/>
      <c r="AJ32" s="41"/>
      <c r="AK32" s="41"/>
      <c r="AL32" s="41"/>
      <c r="AM32" s="41"/>
      <c r="AN32" s="41"/>
      <c r="AO32" s="41"/>
      <c r="AP32" s="41"/>
      <c r="AQ32" s="41"/>
      <c r="AR32" s="41"/>
      <c r="AS32" s="41"/>
      <c r="AT32" s="41"/>
      <c r="AU32" s="41"/>
      <c r="AV32" s="41"/>
      <c r="AW32" s="41"/>
      <c r="AX32" s="41"/>
      <c r="AY32" s="41"/>
      <c r="AZ32" s="41"/>
      <c r="BA32" s="41"/>
      <c r="BB32" s="41"/>
      <c r="BC32" s="41"/>
      <c r="BD32" s="41"/>
      <c r="BE32" s="41"/>
      <c r="BF32" s="41"/>
      <c r="BG32" s="41"/>
      <c r="BH32" s="41"/>
      <c r="BI32" s="41"/>
      <c r="BJ32" s="41"/>
      <c r="BK32" s="41"/>
      <c r="BL32" s="41"/>
      <c r="BM32" s="41"/>
      <c r="BN32" s="41"/>
      <c r="BO32" s="41"/>
      <c r="BP32" s="41"/>
      <c r="BQ32" s="41"/>
      <c r="BR32" s="41"/>
      <c r="BS32" s="41"/>
      <c r="BT32" s="41"/>
      <c r="BU32" s="41"/>
      <c r="BV32" s="41"/>
      <c r="BW32" s="41"/>
      <c r="BX32" s="41"/>
      <c r="BY32" s="41"/>
      <c r="BZ32" s="41"/>
      <c r="CA32" s="41"/>
      <c r="CB32" s="41"/>
      <c r="CC32" s="41"/>
    </row>
    <row r="33" spans="1:16182" s="974" customFormat="1" x14ac:dyDescent="0.35">
      <c r="A33" s="574"/>
      <c r="B33" s="930"/>
      <c r="C33" s="930"/>
      <c r="D33" s="930"/>
      <c r="E33" s="934" t="s">
        <v>351</v>
      </c>
      <c r="F33" s="934"/>
      <c r="G33" s="934"/>
      <c r="H33" s="957">
        <f>SUM(H23:H32)</f>
        <v>4661.3499999999995</v>
      </c>
      <c r="I33" s="957">
        <f>SUM(I23:I32)</f>
        <v>500</v>
      </c>
      <c r="J33" s="957">
        <v>0</v>
      </c>
      <c r="K33" s="957">
        <f>SUM(K23:K32)</f>
        <v>1350.5</v>
      </c>
      <c r="L33" s="957">
        <f t="shared" ref="L33:Z33" si="4">SUM(L23:L32)</f>
        <v>1125</v>
      </c>
      <c r="M33" s="957">
        <f t="shared" si="4"/>
        <v>8226.15</v>
      </c>
      <c r="N33" s="957">
        <f t="shared" si="4"/>
        <v>0</v>
      </c>
      <c r="O33" s="957">
        <f t="shared" si="4"/>
        <v>8977.84</v>
      </c>
      <c r="P33" s="957">
        <f t="shared" si="4"/>
        <v>774.95</v>
      </c>
      <c r="Q33" s="957">
        <f t="shared" si="4"/>
        <v>500</v>
      </c>
      <c r="R33" s="957">
        <f t="shared" si="4"/>
        <v>500</v>
      </c>
      <c r="S33" s="957">
        <f t="shared" si="4"/>
        <v>617.70000000000005</v>
      </c>
      <c r="T33" s="957">
        <f t="shared" si="4"/>
        <v>1572.45</v>
      </c>
      <c r="U33" s="957">
        <f t="shared" si="4"/>
        <v>231896.71</v>
      </c>
      <c r="V33" s="957">
        <f t="shared" si="4"/>
        <v>252359.34999999998</v>
      </c>
      <c r="W33" s="957">
        <f t="shared" si="4"/>
        <v>281761.32</v>
      </c>
      <c r="X33" s="957">
        <f>SUM(X23:X32)</f>
        <v>278168.07999999996</v>
      </c>
      <c r="Y33" s="957">
        <f t="shared" si="4"/>
        <v>347414.59</v>
      </c>
      <c r="Z33" s="957">
        <f t="shared" si="4"/>
        <v>412624.41000000003</v>
      </c>
      <c r="AA33" s="957">
        <f>SUM(AA23:AA32)</f>
        <v>415117.09</v>
      </c>
      <c r="AB33" s="957">
        <f>SUM(AB23:AB29)</f>
        <v>374920.30000000005</v>
      </c>
      <c r="AC33" s="957">
        <f>SUM(AC23:AC32)</f>
        <v>448209.37999999995</v>
      </c>
      <c r="AD33" s="957">
        <f>SUM(AD23:AD32)</f>
        <v>393233.01</v>
      </c>
      <c r="AE33" s="957">
        <f>SUM(AE23:AE32)</f>
        <v>403479.23</v>
      </c>
      <c r="AF33" s="957">
        <f>SUM(AF23:AF32)</f>
        <v>506969.88</v>
      </c>
      <c r="AG33" s="957">
        <f>SUM(AG23:AG32)</f>
        <v>490614.11</v>
      </c>
      <c r="AH33" s="965"/>
      <c r="AI33" s="965"/>
      <c r="AJ33" s="965"/>
      <c r="AK33" s="965"/>
      <c r="AL33" s="965"/>
      <c r="AM33" s="965"/>
      <c r="AN33" s="965"/>
      <c r="AO33" s="965"/>
      <c r="AP33" s="965"/>
      <c r="AQ33" s="965"/>
      <c r="AR33" s="965"/>
      <c r="AS33" s="965"/>
      <c r="AT33" s="965"/>
      <c r="AU33" s="965"/>
      <c r="AV33" s="965"/>
      <c r="AW33" s="965"/>
      <c r="AX33" s="965"/>
      <c r="AY33" s="965"/>
      <c r="AZ33" s="965"/>
      <c r="BA33" s="965"/>
      <c r="BB33" s="965"/>
      <c r="BC33" s="965"/>
      <c r="BD33" s="965"/>
      <c r="BE33" s="965"/>
      <c r="BF33" s="965"/>
      <c r="BG33" s="965"/>
      <c r="BH33" s="965"/>
      <c r="BI33" s="965"/>
      <c r="BJ33" s="965"/>
      <c r="BK33" s="965"/>
      <c r="BL33" s="965"/>
      <c r="BM33" s="965"/>
      <c r="BN33" s="965"/>
      <c r="BO33" s="965"/>
      <c r="BP33" s="965"/>
      <c r="BQ33" s="965"/>
      <c r="BR33" s="965"/>
      <c r="BS33" s="965"/>
      <c r="BT33" s="965"/>
      <c r="BU33" s="965"/>
      <c r="BV33" s="965"/>
      <c r="BW33" s="965"/>
      <c r="BX33" s="965"/>
      <c r="BY33" s="965"/>
      <c r="BZ33" s="965"/>
      <c r="CA33" s="965"/>
      <c r="CB33" s="965"/>
      <c r="CC33" s="965"/>
    </row>
    <row r="34" spans="1:16182" s="974" customFormat="1" x14ac:dyDescent="0.35">
      <c r="A34" s="574"/>
      <c r="B34" s="930"/>
      <c r="C34" s="930"/>
      <c r="D34" s="930"/>
      <c r="E34" s="930" t="s">
        <v>94</v>
      </c>
      <c r="F34" s="930"/>
      <c r="G34" s="930"/>
      <c r="H34" s="950"/>
      <c r="I34" s="950">
        <v>10777.72</v>
      </c>
      <c r="J34" s="950">
        <v>10223.86</v>
      </c>
      <c r="K34" s="950">
        <v>10223.86</v>
      </c>
      <c r="L34" s="950">
        <v>3696.21</v>
      </c>
      <c r="M34" s="950">
        <v>3696.21</v>
      </c>
      <c r="N34" s="950">
        <v>3696.21</v>
      </c>
      <c r="O34" s="950">
        <v>3696.21</v>
      </c>
      <c r="P34" s="950">
        <v>0</v>
      </c>
      <c r="Q34" s="950">
        <v>0</v>
      </c>
      <c r="R34" s="950">
        <v>0</v>
      </c>
      <c r="S34" s="950">
        <v>0</v>
      </c>
      <c r="T34" s="950">
        <v>0</v>
      </c>
      <c r="U34" s="950">
        <v>138.37</v>
      </c>
      <c r="V34" s="950"/>
      <c r="W34" s="950"/>
      <c r="X34" s="950"/>
      <c r="Y34" s="950"/>
      <c r="Z34" s="950"/>
      <c r="AA34" s="950"/>
      <c r="AB34" s="950"/>
      <c r="AC34" s="949"/>
      <c r="AD34" s="950"/>
      <c r="AE34" s="950"/>
      <c r="AF34" s="950"/>
      <c r="AG34" s="950"/>
      <c r="AH34" s="41"/>
      <c r="AI34" s="41"/>
      <c r="AJ34" s="41"/>
      <c r="AK34" s="41"/>
      <c r="AL34" s="41"/>
      <c r="AM34" s="41"/>
      <c r="AN34" s="41"/>
      <c r="AO34" s="41"/>
      <c r="AP34" s="41"/>
      <c r="AQ34" s="41"/>
      <c r="AR34" s="41"/>
      <c r="AS34" s="41"/>
      <c r="AT34" s="41"/>
      <c r="AU34" s="41"/>
      <c r="AV34" s="41"/>
      <c r="AW34" s="41"/>
      <c r="AX34" s="41"/>
      <c r="AY34" s="41"/>
      <c r="AZ34" s="41"/>
      <c r="BA34" s="41"/>
      <c r="BB34" s="41"/>
      <c r="BC34" s="41"/>
      <c r="BD34" s="41"/>
      <c r="BE34" s="41"/>
      <c r="BF34" s="41"/>
      <c r="BG34" s="41"/>
      <c r="BH34" s="41"/>
      <c r="BI34" s="41"/>
      <c r="BJ34" s="41"/>
      <c r="BK34" s="41"/>
      <c r="BL34" s="41"/>
      <c r="BM34" s="41"/>
      <c r="BN34" s="41"/>
      <c r="BO34" s="41"/>
      <c r="BP34" s="41"/>
      <c r="BQ34" s="41"/>
      <c r="BR34" s="41"/>
      <c r="BS34" s="41"/>
      <c r="BT34" s="41"/>
      <c r="BU34" s="41"/>
      <c r="BV34" s="41"/>
      <c r="BW34" s="41"/>
      <c r="BX34" s="41"/>
      <c r="BY34" s="41"/>
      <c r="BZ34" s="41"/>
      <c r="CA34" s="41"/>
      <c r="CB34" s="41"/>
      <c r="CC34" s="41"/>
    </row>
    <row r="35" spans="1:16182" s="974" customFormat="1" x14ac:dyDescent="0.35">
      <c r="A35" s="574"/>
      <c r="B35" s="930"/>
      <c r="C35" s="930"/>
      <c r="D35" s="935" t="s">
        <v>154</v>
      </c>
      <c r="E35" s="935"/>
      <c r="F35" s="935"/>
      <c r="G35" s="936"/>
      <c r="H35" s="959">
        <f>+H33+H20</f>
        <v>48055.22</v>
      </c>
      <c r="I35" s="959">
        <f>+I34+I33</f>
        <v>11277.72</v>
      </c>
      <c r="J35" s="959">
        <v>10223.86</v>
      </c>
      <c r="K35" s="959">
        <f t="shared" ref="K35:Z35" si="5">+K34+K33</f>
        <v>11574.36</v>
      </c>
      <c r="L35" s="959">
        <f t="shared" si="5"/>
        <v>4821.21</v>
      </c>
      <c r="M35" s="959">
        <f t="shared" si="5"/>
        <v>11922.36</v>
      </c>
      <c r="N35" s="959">
        <f t="shared" si="5"/>
        <v>3696.21</v>
      </c>
      <c r="O35" s="959">
        <f t="shared" si="5"/>
        <v>12674.05</v>
      </c>
      <c r="P35" s="959">
        <f t="shared" si="5"/>
        <v>774.95</v>
      </c>
      <c r="Q35" s="959">
        <f t="shared" si="5"/>
        <v>500</v>
      </c>
      <c r="R35" s="959">
        <f t="shared" si="5"/>
        <v>500</v>
      </c>
      <c r="S35" s="959">
        <f t="shared" si="5"/>
        <v>617.70000000000005</v>
      </c>
      <c r="T35" s="959">
        <f t="shared" si="5"/>
        <v>1572.45</v>
      </c>
      <c r="U35" s="959">
        <f t="shared" si="5"/>
        <v>232035.08</v>
      </c>
      <c r="V35" s="959">
        <f t="shared" si="5"/>
        <v>252359.34999999998</v>
      </c>
      <c r="W35" s="959">
        <f t="shared" si="5"/>
        <v>281761.32</v>
      </c>
      <c r="X35" s="959">
        <f t="shared" si="5"/>
        <v>278168.07999999996</v>
      </c>
      <c r="Y35" s="959">
        <f t="shared" si="5"/>
        <v>347414.59</v>
      </c>
      <c r="Z35" s="959">
        <f t="shared" si="5"/>
        <v>412624.41000000003</v>
      </c>
      <c r="AA35" s="959">
        <f>AA34+AA33</f>
        <v>415117.09</v>
      </c>
      <c r="AB35" s="959">
        <f>AB34+AB33+AB30</f>
        <v>378341.10000000003</v>
      </c>
      <c r="AC35" s="959">
        <f>AC34+AC33</f>
        <v>448209.37999999995</v>
      </c>
      <c r="AD35" s="959">
        <f>AD34+AD33</f>
        <v>393233.01</v>
      </c>
      <c r="AE35" s="959">
        <f>AE34+AE33</f>
        <v>403479.23</v>
      </c>
      <c r="AF35" s="959">
        <f>AF34+AF33</f>
        <v>506969.88</v>
      </c>
      <c r="AG35" s="959">
        <f>AG34+AG33</f>
        <v>490614.11</v>
      </c>
      <c r="AH35" s="966"/>
      <c r="AI35" s="966"/>
      <c r="AJ35" s="966"/>
      <c r="AK35" s="966"/>
      <c r="AL35" s="966"/>
      <c r="AM35" s="966"/>
      <c r="AN35" s="966"/>
      <c r="AO35" s="966"/>
      <c r="AP35" s="966"/>
      <c r="AQ35" s="966"/>
      <c r="AR35" s="966"/>
      <c r="AS35" s="966"/>
      <c r="AT35" s="966"/>
      <c r="AU35" s="966"/>
      <c r="AV35" s="966"/>
      <c r="AW35" s="966"/>
      <c r="AX35" s="966"/>
      <c r="AY35" s="966"/>
      <c r="AZ35" s="966"/>
      <c r="BA35" s="966"/>
      <c r="BB35" s="966"/>
      <c r="BC35" s="966"/>
      <c r="BD35" s="966"/>
      <c r="BE35" s="966"/>
      <c r="BF35" s="966"/>
      <c r="BG35" s="966"/>
      <c r="BH35" s="966"/>
      <c r="BI35" s="966"/>
      <c r="BJ35" s="966"/>
      <c r="BK35" s="966"/>
      <c r="BL35" s="966"/>
      <c r="BM35" s="966"/>
      <c r="BN35" s="966"/>
      <c r="BO35" s="966"/>
      <c r="BP35" s="966"/>
      <c r="BQ35" s="966"/>
      <c r="BR35" s="966"/>
      <c r="BS35" s="966"/>
      <c r="BT35" s="966"/>
      <c r="BU35" s="966"/>
      <c r="BV35" s="966"/>
      <c r="BW35" s="966"/>
      <c r="BX35" s="966"/>
      <c r="BY35" s="966"/>
      <c r="BZ35" s="966"/>
      <c r="CA35" s="966"/>
      <c r="CB35" s="966"/>
      <c r="CC35" s="966"/>
    </row>
    <row r="36" spans="1:16182" s="975" customFormat="1" ht="18" customHeight="1" x14ac:dyDescent="0.35">
      <c r="A36" s="440"/>
      <c r="B36" s="937"/>
      <c r="C36" s="921" t="s">
        <v>95</v>
      </c>
      <c r="D36" s="921"/>
      <c r="E36" s="921"/>
      <c r="F36" s="921"/>
      <c r="G36" s="921"/>
      <c r="H36" s="921">
        <f>+H35+H17</f>
        <v>3642985.6199999996</v>
      </c>
      <c r="I36" s="921">
        <f>+I35+I20+I17</f>
        <v>4922637.9499999993</v>
      </c>
      <c r="J36" s="921">
        <f t="shared" ref="J36:AG36" si="6">J35+J20+J17</f>
        <v>1747601.06</v>
      </c>
      <c r="K36" s="921">
        <f t="shared" si="6"/>
        <v>1568178.47</v>
      </c>
      <c r="L36" s="921">
        <f t="shared" si="6"/>
        <v>1758976.46</v>
      </c>
      <c r="M36" s="921">
        <f t="shared" si="6"/>
        <v>2726059.9000000004</v>
      </c>
      <c r="N36" s="921">
        <f t="shared" si="6"/>
        <v>3007969.4199999995</v>
      </c>
      <c r="O36" s="921">
        <f t="shared" si="6"/>
        <v>2922954.33</v>
      </c>
      <c r="P36" s="922">
        <f t="shared" si="6"/>
        <v>2844248.2899999996</v>
      </c>
      <c r="Q36" s="922">
        <f t="shared" si="6"/>
        <v>2902053.91</v>
      </c>
      <c r="R36" s="922">
        <f t="shared" si="6"/>
        <v>2577054.2199999997</v>
      </c>
      <c r="S36" s="922">
        <f t="shared" si="6"/>
        <v>2345371.46</v>
      </c>
      <c r="T36" s="922">
        <f t="shared" si="6"/>
        <v>1767520.87</v>
      </c>
      <c r="U36" s="922">
        <f t="shared" si="6"/>
        <v>6116978.7000000002</v>
      </c>
      <c r="V36" s="922">
        <f t="shared" si="6"/>
        <v>6927164.4900000002</v>
      </c>
      <c r="W36" s="922">
        <f t="shared" si="6"/>
        <v>6882825.1299999999</v>
      </c>
      <c r="X36" s="922">
        <f t="shared" si="6"/>
        <v>7146530.8399999999</v>
      </c>
      <c r="Y36" s="922">
        <f t="shared" si="6"/>
        <v>7212950.6799999997</v>
      </c>
      <c r="Z36" s="922">
        <f t="shared" si="6"/>
        <v>7002434.4699999997</v>
      </c>
      <c r="AA36" s="922">
        <f t="shared" si="6"/>
        <v>6965138.1399999997</v>
      </c>
      <c r="AB36" s="922">
        <f t="shared" si="6"/>
        <v>6441714.2800000003</v>
      </c>
      <c r="AC36" s="922">
        <f t="shared" si="6"/>
        <v>5616894.5300000003</v>
      </c>
      <c r="AD36" s="922">
        <f t="shared" si="6"/>
        <v>6009485.1699999999</v>
      </c>
      <c r="AE36" s="922">
        <f t="shared" si="6"/>
        <v>5455986.0600000005</v>
      </c>
      <c r="AF36" s="922">
        <f t="shared" si="6"/>
        <v>5047429.8599999994</v>
      </c>
      <c r="AG36" s="922">
        <f t="shared" si="6"/>
        <v>4698585.01</v>
      </c>
      <c r="AH36" s="923"/>
      <c r="AI36" s="923"/>
      <c r="AJ36" s="923"/>
      <c r="AK36" s="923"/>
      <c r="AL36" s="923"/>
      <c r="AM36" s="923"/>
      <c r="AN36" s="923"/>
      <c r="AO36" s="923"/>
      <c r="AP36" s="923"/>
      <c r="AQ36" s="923"/>
      <c r="AR36" s="923"/>
      <c r="AS36" s="923"/>
      <c r="AT36" s="923"/>
      <c r="AU36" s="923"/>
      <c r="AV36" s="923"/>
      <c r="AW36" s="923"/>
      <c r="AX36" s="923"/>
      <c r="AY36" s="923"/>
      <c r="AZ36" s="923"/>
      <c r="BA36" s="923"/>
      <c r="BB36" s="923"/>
      <c r="BC36" s="923"/>
      <c r="BD36" s="923"/>
      <c r="BE36" s="923"/>
      <c r="BF36" s="923"/>
      <c r="BG36" s="923"/>
      <c r="BH36" s="923"/>
      <c r="BI36" s="923"/>
      <c r="BJ36" s="923"/>
      <c r="BK36" s="923"/>
      <c r="BL36" s="923"/>
      <c r="BM36" s="923"/>
      <c r="BN36" s="923"/>
      <c r="BO36" s="923"/>
      <c r="BP36" s="923"/>
      <c r="BQ36" s="923"/>
      <c r="BR36" s="923"/>
      <c r="BS36" s="923"/>
      <c r="BT36" s="923"/>
      <c r="BU36" s="923"/>
      <c r="BV36" s="923"/>
      <c r="BW36" s="923"/>
      <c r="BX36" s="923"/>
      <c r="BY36" s="923"/>
      <c r="BZ36" s="923"/>
      <c r="CA36" s="923"/>
      <c r="CB36" s="923"/>
      <c r="CC36" s="967"/>
      <c r="CD36" s="974"/>
      <c r="CE36" s="974"/>
      <c r="CF36" s="974"/>
      <c r="CG36" s="974"/>
      <c r="CH36" s="974"/>
      <c r="CI36" s="974"/>
      <c r="CJ36" s="974"/>
      <c r="CK36" s="974"/>
      <c r="CL36" s="974"/>
      <c r="CM36" s="974"/>
      <c r="CN36" s="974"/>
      <c r="CO36" s="974"/>
      <c r="CP36" s="974"/>
      <c r="CQ36" s="974"/>
      <c r="CR36" s="974"/>
      <c r="CS36" s="974"/>
      <c r="CT36" s="974"/>
      <c r="CU36" s="974"/>
      <c r="CV36" s="974"/>
      <c r="CW36" s="974"/>
      <c r="CX36" s="974"/>
      <c r="CY36" s="974"/>
      <c r="CZ36" s="974"/>
      <c r="DA36" s="974"/>
      <c r="DB36" s="974"/>
      <c r="DC36" s="974"/>
      <c r="DD36" s="974"/>
      <c r="DE36" s="974"/>
      <c r="DF36" s="974"/>
      <c r="DG36" s="974"/>
      <c r="DH36" s="974"/>
      <c r="DI36" s="974"/>
      <c r="DJ36" s="974"/>
      <c r="DK36" s="974"/>
      <c r="DL36" s="974"/>
      <c r="DM36" s="974"/>
      <c r="DN36" s="974"/>
      <c r="DO36" s="974"/>
      <c r="DP36" s="974"/>
      <c r="DQ36" s="974"/>
      <c r="DR36" s="974"/>
      <c r="DS36" s="974"/>
      <c r="DT36" s="974"/>
      <c r="DU36" s="974"/>
      <c r="DV36" s="974"/>
      <c r="DW36" s="974"/>
      <c r="DX36" s="974"/>
      <c r="DY36" s="974"/>
      <c r="DZ36" s="974"/>
      <c r="EA36" s="974"/>
      <c r="EB36" s="974"/>
      <c r="EC36" s="974"/>
      <c r="ED36" s="974"/>
      <c r="EE36" s="974"/>
      <c r="EF36" s="974"/>
      <c r="EG36" s="974"/>
      <c r="EH36" s="974"/>
      <c r="EI36" s="974"/>
      <c r="EJ36" s="974"/>
      <c r="EK36" s="974"/>
      <c r="EL36" s="974"/>
      <c r="EM36" s="974"/>
      <c r="EN36" s="974"/>
      <c r="EO36" s="974"/>
      <c r="EP36" s="974"/>
      <c r="EQ36" s="974"/>
      <c r="ER36" s="974"/>
      <c r="ES36" s="974"/>
      <c r="ET36" s="974"/>
      <c r="EU36" s="974"/>
      <c r="EV36" s="974"/>
      <c r="EW36" s="974"/>
      <c r="EX36" s="974"/>
      <c r="EY36" s="974"/>
      <c r="EZ36" s="974"/>
      <c r="FA36" s="974"/>
      <c r="FB36" s="974"/>
      <c r="FC36" s="974"/>
      <c r="FD36" s="974"/>
      <c r="FE36" s="974"/>
      <c r="FF36" s="974"/>
      <c r="FG36" s="974"/>
      <c r="FH36" s="974"/>
      <c r="FI36" s="974"/>
      <c r="FJ36" s="974"/>
      <c r="FK36" s="974"/>
      <c r="FL36" s="974"/>
      <c r="FM36" s="974"/>
      <c r="FN36" s="974"/>
      <c r="FO36" s="974"/>
      <c r="FP36" s="974"/>
      <c r="FQ36" s="974"/>
      <c r="FR36" s="974"/>
      <c r="FS36" s="974"/>
      <c r="FT36" s="974"/>
      <c r="FU36" s="974"/>
      <c r="FV36" s="974"/>
      <c r="FW36" s="974"/>
      <c r="FX36" s="974"/>
      <c r="FY36" s="974"/>
      <c r="FZ36" s="974"/>
      <c r="GA36" s="974"/>
      <c r="GB36" s="974"/>
      <c r="GC36" s="974"/>
      <c r="GD36" s="974"/>
      <c r="GE36" s="974"/>
      <c r="GF36" s="974"/>
      <c r="GG36" s="974"/>
      <c r="GH36" s="974"/>
      <c r="GI36" s="974"/>
      <c r="GJ36" s="974"/>
      <c r="GK36" s="974"/>
      <c r="GL36" s="974"/>
      <c r="GM36" s="974"/>
      <c r="GN36" s="974"/>
      <c r="GO36" s="974"/>
      <c r="GP36" s="974"/>
      <c r="GQ36" s="974"/>
      <c r="GR36" s="974"/>
      <c r="GS36" s="974"/>
      <c r="GT36" s="974"/>
      <c r="GU36" s="974"/>
      <c r="GV36" s="974"/>
      <c r="GW36" s="974"/>
      <c r="GX36" s="974"/>
      <c r="GY36" s="974"/>
      <c r="GZ36" s="974"/>
      <c r="HA36" s="974"/>
      <c r="HB36" s="974"/>
      <c r="HC36" s="974"/>
      <c r="HD36" s="974"/>
      <c r="HE36" s="974"/>
      <c r="HF36" s="974"/>
      <c r="HG36" s="974"/>
      <c r="HH36" s="974"/>
      <c r="HI36" s="974"/>
      <c r="HJ36" s="974"/>
      <c r="HK36" s="974"/>
      <c r="HL36" s="974"/>
      <c r="HM36" s="974"/>
      <c r="HN36" s="974"/>
      <c r="HO36" s="974"/>
      <c r="HP36" s="974"/>
      <c r="HQ36" s="974"/>
      <c r="HR36" s="974"/>
      <c r="HS36" s="974"/>
      <c r="HT36" s="974"/>
      <c r="HU36" s="974"/>
      <c r="HV36" s="974"/>
      <c r="HW36" s="974"/>
      <c r="HX36" s="974"/>
      <c r="HY36" s="974"/>
      <c r="HZ36" s="974"/>
      <c r="IA36" s="974"/>
      <c r="IB36" s="974"/>
      <c r="IC36" s="974"/>
      <c r="ID36" s="974"/>
      <c r="IE36" s="974"/>
      <c r="IF36" s="974"/>
      <c r="IG36" s="974"/>
      <c r="IH36" s="974"/>
      <c r="II36" s="974"/>
      <c r="IJ36" s="974"/>
      <c r="IK36" s="974"/>
      <c r="IL36" s="974"/>
      <c r="IM36" s="974"/>
      <c r="IN36" s="974"/>
      <c r="IO36" s="974"/>
      <c r="IP36" s="974"/>
      <c r="IQ36" s="974"/>
      <c r="IR36" s="974"/>
      <c r="IS36" s="974"/>
      <c r="IT36" s="974"/>
      <c r="IU36" s="974"/>
      <c r="IV36" s="974"/>
      <c r="IW36" s="974"/>
      <c r="IX36" s="974"/>
      <c r="IY36" s="974"/>
      <c r="IZ36" s="974"/>
      <c r="JA36" s="974"/>
      <c r="JB36" s="974"/>
      <c r="JC36" s="974"/>
      <c r="JD36" s="974"/>
      <c r="JE36" s="974"/>
      <c r="JF36" s="974"/>
      <c r="JG36" s="974"/>
      <c r="JH36" s="974"/>
      <c r="JI36" s="974"/>
      <c r="JJ36" s="974"/>
      <c r="JK36" s="974"/>
      <c r="JL36" s="974"/>
      <c r="JM36" s="974"/>
      <c r="JN36" s="974"/>
      <c r="JO36" s="974"/>
      <c r="JP36" s="974"/>
      <c r="JQ36" s="974"/>
      <c r="JR36" s="974"/>
      <c r="JS36" s="974"/>
      <c r="JT36" s="974"/>
      <c r="JU36" s="974"/>
      <c r="JV36" s="974"/>
      <c r="JW36" s="974"/>
      <c r="JX36" s="974"/>
      <c r="JY36" s="974"/>
      <c r="JZ36" s="974"/>
      <c r="KA36" s="974"/>
      <c r="KB36" s="974"/>
      <c r="KC36" s="974"/>
      <c r="KD36" s="974"/>
      <c r="KE36" s="974"/>
      <c r="KF36" s="974"/>
      <c r="KG36" s="974"/>
      <c r="KH36" s="974"/>
      <c r="KI36" s="974"/>
      <c r="KJ36" s="974"/>
      <c r="KK36" s="974"/>
      <c r="KL36" s="974"/>
      <c r="KM36" s="974"/>
      <c r="KN36" s="974"/>
      <c r="KO36" s="974"/>
      <c r="KP36" s="974"/>
      <c r="KQ36" s="974"/>
      <c r="KR36" s="974"/>
      <c r="KS36" s="974"/>
      <c r="KT36" s="974"/>
      <c r="KU36" s="974"/>
      <c r="KV36" s="974"/>
      <c r="KW36" s="974"/>
      <c r="KX36" s="974"/>
      <c r="KY36" s="974"/>
      <c r="KZ36" s="974"/>
      <c r="LA36" s="974"/>
      <c r="LB36" s="974"/>
      <c r="LC36" s="974"/>
      <c r="LD36" s="974"/>
      <c r="LE36" s="974"/>
      <c r="LF36" s="974"/>
      <c r="LG36" s="974"/>
      <c r="LH36" s="974"/>
      <c r="LI36" s="974"/>
      <c r="LJ36" s="974"/>
      <c r="LK36" s="974"/>
      <c r="LL36" s="974"/>
      <c r="LM36" s="974"/>
      <c r="LN36" s="974"/>
      <c r="LO36" s="974"/>
      <c r="LP36" s="974"/>
      <c r="LQ36" s="974"/>
      <c r="LR36" s="974"/>
      <c r="LS36" s="974"/>
      <c r="LT36" s="974"/>
      <c r="LU36" s="974"/>
      <c r="LV36" s="974"/>
      <c r="LW36" s="974"/>
      <c r="LX36" s="974"/>
      <c r="LY36" s="974"/>
      <c r="LZ36" s="974"/>
      <c r="MA36" s="974"/>
      <c r="MB36" s="974"/>
      <c r="MC36" s="974"/>
      <c r="MD36" s="974"/>
      <c r="ME36" s="974"/>
      <c r="MF36" s="974"/>
      <c r="MG36" s="974"/>
      <c r="MH36" s="974"/>
      <c r="MI36" s="974"/>
      <c r="MJ36" s="974"/>
      <c r="MK36" s="974"/>
      <c r="ML36" s="974"/>
      <c r="MM36" s="974"/>
      <c r="MN36" s="974"/>
      <c r="MO36" s="974"/>
      <c r="MP36" s="974"/>
      <c r="MQ36" s="974"/>
      <c r="MR36" s="974"/>
      <c r="MS36" s="974"/>
      <c r="MT36" s="974"/>
      <c r="MU36" s="974"/>
      <c r="MV36" s="974"/>
      <c r="MW36" s="974"/>
      <c r="MX36" s="974"/>
      <c r="MY36" s="974"/>
      <c r="MZ36" s="974"/>
      <c r="NA36" s="974"/>
      <c r="NB36" s="974"/>
      <c r="NC36" s="974"/>
      <c r="ND36" s="974"/>
      <c r="NE36" s="974"/>
      <c r="NF36" s="974"/>
      <c r="NG36" s="974"/>
      <c r="NH36" s="974"/>
      <c r="NI36" s="974"/>
      <c r="NJ36" s="974"/>
      <c r="NK36" s="974"/>
      <c r="NL36" s="974"/>
      <c r="NM36" s="974"/>
      <c r="NN36" s="974"/>
      <c r="NO36" s="974"/>
      <c r="NP36" s="974"/>
      <c r="NQ36" s="974"/>
      <c r="NR36" s="974"/>
      <c r="NS36" s="974"/>
      <c r="NT36" s="974"/>
      <c r="NU36" s="974"/>
      <c r="NV36" s="974"/>
      <c r="NW36" s="974"/>
      <c r="NX36" s="974"/>
      <c r="NY36" s="974"/>
      <c r="NZ36" s="974"/>
      <c r="OA36" s="974"/>
      <c r="OB36" s="974"/>
      <c r="OC36" s="974"/>
      <c r="OD36" s="974"/>
      <c r="OE36" s="974"/>
      <c r="OF36" s="974"/>
      <c r="OG36" s="974"/>
      <c r="OH36" s="974"/>
      <c r="OI36" s="974"/>
      <c r="OJ36" s="974"/>
      <c r="OK36" s="974"/>
      <c r="OL36" s="974"/>
      <c r="OM36" s="974"/>
      <c r="ON36" s="974"/>
      <c r="OO36" s="974"/>
      <c r="OP36" s="974"/>
      <c r="OQ36" s="974"/>
      <c r="OR36" s="974"/>
      <c r="OS36" s="974"/>
      <c r="OT36" s="974"/>
      <c r="OU36" s="974"/>
      <c r="OV36" s="974"/>
      <c r="OW36" s="974"/>
      <c r="OX36" s="974"/>
      <c r="OY36" s="974"/>
      <c r="OZ36" s="974"/>
      <c r="PA36" s="974"/>
      <c r="PB36" s="974"/>
      <c r="PC36" s="974"/>
      <c r="PD36" s="974"/>
      <c r="PE36" s="974"/>
      <c r="PF36" s="974"/>
      <c r="PG36" s="974"/>
      <c r="PH36" s="974"/>
      <c r="PI36" s="974"/>
      <c r="PJ36" s="974"/>
      <c r="PK36" s="974"/>
      <c r="PL36" s="974"/>
      <c r="PM36" s="974"/>
      <c r="PN36" s="974"/>
      <c r="PO36" s="974"/>
      <c r="PP36" s="974"/>
      <c r="PQ36" s="974"/>
      <c r="PR36" s="974"/>
      <c r="PS36" s="974"/>
      <c r="PT36" s="974"/>
      <c r="PU36" s="974"/>
      <c r="PV36" s="974"/>
      <c r="PW36" s="974"/>
      <c r="PX36" s="974"/>
      <c r="PY36" s="974"/>
      <c r="PZ36" s="974"/>
      <c r="QA36" s="974"/>
      <c r="QB36" s="974"/>
      <c r="QC36" s="974"/>
      <c r="QD36" s="974"/>
      <c r="QE36" s="974"/>
      <c r="QF36" s="974"/>
      <c r="QG36" s="974"/>
      <c r="QH36" s="974"/>
      <c r="QI36" s="974"/>
      <c r="QJ36" s="974"/>
      <c r="QK36" s="974"/>
      <c r="QL36" s="974"/>
      <c r="QM36" s="974"/>
      <c r="QN36" s="974"/>
      <c r="QO36" s="974"/>
      <c r="QP36" s="974"/>
      <c r="QQ36" s="974"/>
      <c r="QR36" s="974"/>
      <c r="QS36" s="974"/>
      <c r="QT36" s="974"/>
      <c r="QU36" s="974"/>
      <c r="QV36" s="974"/>
      <c r="QW36" s="974"/>
      <c r="QX36" s="974"/>
      <c r="QY36" s="974"/>
      <c r="QZ36" s="974"/>
      <c r="RA36" s="974"/>
      <c r="RB36" s="974"/>
      <c r="RC36" s="974"/>
      <c r="RD36" s="974"/>
      <c r="RE36" s="974"/>
      <c r="RF36" s="974"/>
      <c r="RG36" s="974"/>
      <c r="RH36" s="974"/>
      <c r="RI36" s="974"/>
      <c r="RJ36" s="974"/>
      <c r="RK36" s="974"/>
      <c r="RL36" s="974"/>
      <c r="RM36" s="974"/>
      <c r="RN36" s="974"/>
      <c r="RO36" s="974"/>
      <c r="RP36" s="974"/>
      <c r="RQ36" s="974"/>
      <c r="RR36" s="974"/>
      <c r="RS36" s="974"/>
      <c r="RT36" s="974"/>
      <c r="RU36" s="974"/>
      <c r="RV36" s="974"/>
      <c r="RW36" s="974"/>
      <c r="RX36" s="974"/>
      <c r="RY36" s="974"/>
      <c r="RZ36" s="974"/>
      <c r="SA36" s="974"/>
      <c r="SB36" s="974"/>
      <c r="SC36" s="974"/>
      <c r="SD36" s="974"/>
      <c r="SE36" s="974"/>
      <c r="SF36" s="974"/>
      <c r="SG36" s="974"/>
      <c r="SH36" s="974"/>
      <c r="SI36" s="974"/>
      <c r="SJ36" s="974"/>
      <c r="SK36" s="974"/>
      <c r="SL36" s="974"/>
      <c r="SM36" s="974"/>
      <c r="SN36" s="974"/>
      <c r="SO36" s="974"/>
      <c r="SP36" s="974"/>
      <c r="SQ36" s="974"/>
      <c r="SR36" s="974"/>
      <c r="SS36" s="974"/>
      <c r="ST36" s="974"/>
      <c r="SU36" s="974"/>
      <c r="SV36" s="974"/>
      <c r="SW36" s="974"/>
      <c r="SX36" s="974"/>
      <c r="SY36" s="974"/>
      <c r="SZ36" s="974"/>
      <c r="TA36" s="974"/>
      <c r="TB36" s="974"/>
      <c r="TC36" s="974"/>
      <c r="TD36" s="974"/>
      <c r="TE36" s="974"/>
      <c r="TF36" s="974"/>
      <c r="TG36" s="974"/>
      <c r="TH36" s="974"/>
      <c r="TI36" s="974"/>
      <c r="TJ36" s="974"/>
      <c r="TK36" s="974"/>
      <c r="TL36" s="974"/>
      <c r="TM36" s="974"/>
      <c r="TN36" s="974"/>
      <c r="TO36" s="974"/>
      <c r="TP36" s="974"/>
      <c r="TQ36" s="974"/>
      <c r="TR36" s="974"/>
      <c r="TS36" s="974"/>
      <c r="TT36" s="974"/>
      <c r="TU36" s="974"/>
      <c r="TV36" s="974"/>
      <c r="TW36" s="974"/>
      <c r="TX36" s="974"/>
      <c r="TY36" s="974"/>
      <c r="TZ36" s="974"/>
      <c r="UA36" s="974"/>
      <c r="UB36" s="974"/>
      <c r="UC36" s="974"/>
      <c r="UD36" s="974"/>
      <c r="UE36" s="974"/>
      <c r="UF36" s="974"/>
      <c r="UG36" s="974"/>
      <c r="UH36" s="974"/>
      <c r="UI36" s="974"/>
      <c r="UJ36" s="974"/>
      <c r="UK36" s="974"/>
      <c r="UL36" s="974"/>
      <c r="UM36" s="974"/>
      <c r="UN36" s="974"/>
      <c r="UO36" s="974"/>
      <c r="UP36" s="974"/>
      <c r="UQ36" s="974"/>
      <c r="UR36" s="974"/>
      <c r="US36" s="974"/>
      <c r="UT36" s="974"/>
      <c r="UU36" s="974"/>
      <c r="UV36" s="974"/>
      <c r="UW36" s="974"/>
      <c r="UX36" s="974"/>
      <c r="UY36" s="974"/>
      <c r="UZ36" s="974"/>
      <c r="VA36" s="974"/>
      <c r="VB36" s="974"/>
      <c r="VC36" s="974"/>
      <c r="VD36" s="974"/>
      <c r="VE36" s="974"/>
      <c r="VF36" s="974"/>
      <c r="VG36" s="974"/>
      <c r="VH36" s="974"/>
      <c r="VI36" s="974"/>
      <c r="VJ36" s="974"/>
      <c r="VK36" s="974"/>
      <c r="VL36" s="974"/>
      <c r="VM36" s="974"/>
      <c r="VN36" s="974"/>
      <c r="VO36" s="974"/>
      <c r="VP36" s="974"/>
      <c r="VQ36" s="974"/>
      <c r="VR36" s="974"/>
      <c r="VS36" s="974"/>
      <c r="VT36" s="974"/>
      <c r="VU36" s="974"/>
      <c r="VV36" s="974"/>
      <c r="VW36" s="974"/>
      <c r="VX36" s="974"/>
      <c r="VY36" s="974"/>
      <c r="VZ36" s="974"/>
      <c r="WA36" s="974"/>
      <c r="WB36" s="974"/>
      <c r="WC36" s="974"/>
      <c r="WD36" s="974"/>
      <c r="WE36" s="974"/>
      <c r="WF36" s="974"/>
      <c r="WG36" s="974"/>
      <c r="WH36" s="974"/>
      <c r="WI36" s="974"/>
      <c r="WJ36" s="974"/>
      <c r="WK36" s="974"/>
      <c r="WL36" s="974"/>
      <c r="WM36" s="974"/>
      <c r="WN36" s="974"/>
      <c r="WO36" s="974"/>
      <c r="WP36" s="974"/>
      <c r="WQ36" s="974"/>
      <c r="WR36" s="974"/>
      <c r="WS36" s="974"/>
      <c r="WT36" s="974"/>
      <c r="WU36" s="974"/>
      <c r="WV36" s="974"/>
      <c r="WW36" s="974"/>
      <c r="WX36" s="974"/>
      <c r="WY36" s="974"/>
      <c r="WZ36" s="974"/>
      <c r="XA36" s="974"/>
      <c r="XB36" s="974"/>
      <c r="XC36" s="974"/>
      <c r="XD36" s="974"/>
      <c r="XE36" s="974"/>
      <c r="XF36" s="974"/>
      <c r="XG36" s="974"/>
      <c r="XH36" s="974"/>
      <c r="XI36" s="974"/>
      <c r="XJ36" s="974"/>
      <c r="XK36" s="974"/>
      <c r="XL36" s="974"/>
      <c r="XM36" s="974"/>
      <c r="XN36" s="974"/>
      <c r="XO36" s="974"/>
      <c r="XP36" s="974"/>
      <c r="XQ36" s="974"/>
      <c r="XR36" s="974"/>
      <c r="XS36" s="974"/>
      <c r="XT36" s="974"/>
      <c r="XU36" s="974"/>
      <c r="XV36" s="974"/>
      <c r="XW36" s="974"/>
      <c r="XX36" s="974"/>
      <c r="XY36" s="974"/>
      <c r="XZ36" s="974"/>
      <c r="YA36" s="974"/>
      <c r="YB36" s="974"/>
      <c r="YC36" s="974"/>
      <c r="YD36" s="974"/>
      <c r="YE36" s="974"/>
      <c r="YF36" s="974"/>
      <c r="YG36" s="974"/>
      <c r="YH36" s="974"/>
      <c r="YI36" s="974"/>
      <c r="YJ36" s="974"/>
      <c r="YK36" s="974"/>
      <c r="YL36" s="974"/>
      <c r="YM36" s="974"/>
      <c r="YN36" s="974"/>
      <c r="YO36" s="974"/>
      <c r="YP36" s="974"/>
      <c r="YQ36" s="974"/>
      <c r="YR36" s="974"/>
      <c r="YS36" s="974"/>
      <c r="YT36" s="974"/>
      <c r="YU36" s="974"/>
      <c r="YV36" s="974"/>
      <c r="YW36" s="974"/>
      <c r="YX36" s="974"/>
      <c r="YY36" s="974"/>
      <c r="YZ36" s="974"/>
      <c r="ZA36" s="974"/>
      <c r="ZB36" s="974"/>
      <c r="ZC36" s="974"/>
      <c r="ZD36" s="974"/>
      <c r="ZE36" s="974"/>
      <c r="ZF36" s="974"/>
      <c r="ZG36" s="974"/>
      <c r="ZH36" s="974"/>
      <c r="ZI36" s="974"/>
      <c r="ZJ36" s="974"/>
      <c r="ZK36" s="974"/>
      <c r="ZL36" s="974"/>
      <c r="ZM36" s="974"/>
      <c r="ZN36" s="974"/>
      <c r="ZO36" s="974"/>
      <c r="ZP36" s="974"/>
      <c r="ZQ36" s="974"/>
      <c r="ZR36" s="974"/>
      <c r="ZS36" s="974"/>
      <c r="ZT36" s="974"/>
      <c r="ZU36" s="974"/>
      <c r="ZV36" s="974"/>
      <c r="ZW36" s="974"/>
      <c r="ZX36" s="974"/>
      <c r="ZY36" s="974"/>
      <c r="ZZ36" s="974"/>
      <c r="AAA36" s="974"/>
      <c r="AAB36" s="974"/>
      <c r="AAC36" s="974"/>
      <c r="AAD36" s="974"/>
      <c r="AAE36" s="974"/>
      <c r="AAF36" s="974"/>
      <c r="AAG36" s="974"/>
      <c r="AAH36" s="974"/>
      <c r="AAI36" s="974"/>
      <c r="AAJ36" s="974"/>
      <c r="AAK36" s="974"/>
      <c r="AAL36" s="974"/>
      <c r="AAM36" s="974"/>
      <c r="AAN36" s="974"/>
      <c r="AAO36" s="974"/>
      <c r="AAP36" s="974"/>
      <c r="AAQ36" s="974"/>
      <c r="AAR36" s="974"/>
      <c r="AAS36" s="974"/>
      <c r="AAT36" s="974"/>
      <c r="AAU36" s="974"/>
      <c r="AAV36" s="974"/>
      <c r="AAW36" s="974"/>
      <c r="AAX36" s="974"/>
      <c r="AAY36" s="974"/>
      <c r="AAZ36" s="974"/>
      <c r="ABA36" s="974"/>
      <c r="ABB36" s="974"/>
      <c r="ABC36" s="974"/>
      <c r="ABD36" s="974"/>
      <c r="ABE36" s="974"/>
      <c r="ABF36" s="974"/>
      <c r="ABG36" s="974"/>
      <c r="ABH36" s="974"/>
      <c r="ABI36" s="974"/>
      <c r="ABJ36" s="974"/>
      <c r="ABK36" s="974"/>
      <c r="ABL36" s="974"/>
      <c r="ABM36" s="974"/>
      <c r="ABN36" s="974"/>
      <c r="ABO36" s="974"/>
      <c r="ABP36" s="974"/>
      <c r="ABQ36" s="974"/>
      <c r="ABR36" s="974"/>
      <c r="ABS36" s="974"/>
      <c r="ABT36" s="974"/>
      <c r="ABU36" s="974"/>
      <c r="ABV36" s="974"/>
      <c r="ABW36" s="974"/>
      <c r="ABX36" s="974"/>
      <c r="ABY36" s="974"/>
      <c r="ABZ36" s="974"/>
      <c r="ACA36" s="974"/>
      <c r="ACB36" s="974"/>
      <c r="ACC36" s="974"/>
      <c r="ACD36" s="974"/>
      <c r="ACE36" s="974"/>
      <c r="ACF36" s="974"/>
      <c r="ACG36" s="974"/>
      <c r="ACH36" s="974"/>
      <c r="ACI36" s="974"/>
      <c r="ACJ36" s="974"/>
      <c r="ACK36" s="974"/>
      <c r="ACL36" s="974"/>
      <c r="ACM36" s="974"/>
      <c r="ACN36" s="974"/>
      <c r="ACO36" s="974"/>
      <c r="ACP36" s="974"/>
      <c r="ACQ36" s="974"/>
      <c r="ACR36" s="974"/>
      <c r="ACS36" s="974"/>
      <c r="ACT36" s="974"/>
      <c r="ACU36" s="974"/>
      <c r="ACV36" s="974"/>
      <c r="ACW36" s="974"/>
      <c r="ACX36" s="974"/>
      <c r="ACY36" s="974"/>
      <c r="ACZ36" s="974"/>
      <c r="ADA36" s="974"/>
      <c r="ADB36" s="974"/>
      <c r="ADC36" s="974"/>
      <c r="ADD36" s="974"/>
      <c r="ADE36" s="974"/>
      <c r="ADF36" s="974"/>
      <c r="ADG36" s="974"/>
      <c r="ADH36" s="974"/>
      <c r="ADI36" s="974"/>
      <c r="ADJ36" s="974"/>
      <c r="ADK36" s="974"/>
      <c r="ADL36" s="974"/>
      <c r="ADM36" s="974"/>
      <c r="ADN36" s="974"/>
      <c r="ADO36" s="974"/>
      <c r="ADP36" s="974"/>
      <c r="ADQ36" s="974"/>
      <c r="ADR36" s="974"/>
      <c r="ADS36" s="974"/>
      <c r="ADT36" s="974"/>
      <c r="ADU36" s="974"/>
      <c r="ADV36" s="974"/>
      <c r="ADW36" s="974"/>
      <c r="ADX36" s="974"/>
      <c r="ADY36" s="974"/>
      <c r="ADZ36" s="974"/>
      <c r="AEA36" s="974"/>
      <c r="AEB36" s="974"/>
      <c r="AEC36" s="974"/>
      <c r="AED36" s="974"/>
      <c r="AEE36" s="974"/>
      <c r="AEF36" s="974"/>
      <c r="AEG36" s="974"/>
      <c r="AEH36" s="974"/>
      <c r="AEI36" s="974"/>
      <c r="AEJ36" s="974"/>
      <c r="AEK36" s="974"/>
      <c r="AEL36" s="974"/>
      <c r="AEM36" s="974"/>
      <c r="AEN36" s="974"/>
      <c r="AEO36" s="974"/>
      <c r="AEP36" s="974"/>
      <c r="AEQ36" s="974"/>
      <c r="AER36" s="974"/>
      <c r="AES36" s="974"/>
      <c r="AET36" s="974"/>
      <c r="AEU36" s="974"/>
      <c r="AEV36" s="974"/>
      <c r="AEW36" s="974"/>
      <c r="AEX36" s="974"/>
      <c r="AEY36" s="974"/>
      <c r="AEZ36" s="974"/>
      <c r="AFA36" s="974"/>
      <c r="AFB36" s="974"/>
      <c r="AFC36" s="974"/>
      <c r="AFD36" s="974"/>
      <c r="AFE36" s="974"/>
      <c r="AFF36" s="974"/>
      <c r="AFG36" s="974"/>
      <c r="AFH36" s="974"/>
      <c r="AFI36" s="974"/>
      <c r="AFJ36" s="974"/>
      <c r="AFK36" s="974"/>
      <c r="AFL36" s="974"/>
      <c r="AFM36" s="974"/>
      <c r="AFN36" s="974"/>
      <c r="AFO36" s="974"/>
      <c r="AFP36" s="974"/>
      <c r="AFQ36" s="974"/>
      <c r="AFR36" s="974"/>
      <c r="AFS36" s="974"/>
      <c r="AFT36" s="974"/>
      <c r="AFU36" s="974"/>
      <c r="AFV36" s="974"/>
      <c r="AFW36" s="974"/>
      <c r="AFX36" s="974"/>
      <c r="AFY36" s="974"/>
      <c r="AFZ36" s="974"/>
      <c r="AGA36" s="974"/>
      <c r="AGB36" s="974"/>
      <c r="AGC36" s="974"/>
      <c r="AGD36" s="974"/>
      <c r="AGE36" s="974"/>
      <c r="AGF36" s="974"/>
      <c r="AGG36" s="974"/>
      <c r="AGH36" s="974"/>
      <c r="AGI36" s="974"/>
      <c r="AGJ36" s="974"/>
      <c r="AGK36" s="974"/>
      <c r="AGL36" s="974"/>
      <c r="AGM36" s="974"/>
      <c r="AGN36" s="974"/>
      <c r="AGO36" s="974"/>
      <c r="AGP36" s="974"/>
      <c r="AGQ36" s="974"/>
      <c r="AGR36" s="974"/>
      <c r="AGS36" s="974"/>
      <c r="AGT36" s="974"/>
      <c r="AGU36" s="974"/>
      <c r="AGV36" s="974"/>
      <c r="AGW36" s="974"/>
      <c r="AGX36" s="974"/>
      <c r="AGY36" s="974"/>
      <c r="AGZ36" s="974"/>
      <c r="AHA36" s="974"/>
      <c r="AHB36" s="974"/>
      <c r="AHC36" s="974"/>
      <c r="AHD36" s="974"/>
      <c r="AHE36" s="974"/>
      <c r="AHF36" s="974"/>
      <c r="AHG36" s="974"/>
      <c r="AHH36" s="974"/>
      <c r="AHI36" s="974"/>
      <c r="AHJ36" s="974"/>
      <c r="AHK36" s="974"/>
      <c r="AHL36" s="974"/>
      <c r="AHM36" s="974"/>
      <c r="AHN36" s="974"/>
      <c r="AHO36" s="974"/>
      <c r="AHP36" s="974"/>
      <c r="AHQ36" s="974"/>
      <c r="AHR36" s="974"/>
      <c r="AHS36" s="974"/>
      <c r="AHT36" s="974"/>
      <c r="AHU36" s="974"/>
      <c r="AHV36" s="974"/>
      <c r="AHW36" s="974"/>
      <c r="AHX36" s="974"/>
      <c r="AHY36" s="974"/>
      <c r="AHZ36" s="974"/>
      <c r="AIA36" s="974"/>
      <c r="AIB36" s="974"/>
      <c r="AIC36" s="974"/>
      <c r="AID36" s="974"/>
      <c r="AIE36" s="974"/>
      <c r="AIF36" s="974"/>
      <c r="AIG36" s="974"/>
      <c r="AIH36" s="974"/>
      <c r="AII36" s="974"/>
      <c r="AIJ36" s="974"/>
      <c r="AIK36" s="974"/>
      <c r="AIL36" s="974"/>
      <c r="AIM36" s="974"/>
      <c r="AIN36" s="974"/>
      <c r="AIO36" s="974"/>
      <c r="AIP36" s="974"/>
      <c r="AIQ36" s="974"/>
      <c r="AIR36" s="974"/>
      <c r="AIS36" s="974"/>
      <c r="AIT36" s="974"/>
      <c r="AIU36" s="974"/>
      <c r="AIV36" s="974"/>
      <c r="AIW36" s="974"/>
      <c r="AIX36" s="974"/>
      <c r="AIY36" s="974"/>
      <c r="AIZ36" s="974"/>
      <c r="AJA36" s="974"/>
      <c r="AJB36" s="974"/>
      <c r="AJC36" s="974"/>
      <c r="AJD36" s="974"/>
      <c r="AJE36" s="974"/>
      <c r="AJF36" s="974"/>
      <c r="AJG36" s="974"/>
      <c r="AJH36" s="974"/>
      <c r="AJI36" s="974"/>
      <c r="AJJ36" s="974"/>
      <c r="AJK36" s="974"/>
      <c r="AJL36" s="974"/>
      <c r="AJM36" s="974"/>
      <c r="AJN36" s="974"/>
      <c r="AJO36" s="974"/>
      <c r="AJP36" s="974"/>
      <c r="AJQ36" s="974"/>
      <c r="AJR36" s="974"/>
      <c r="AJS36" s="974"/>
      <c r="AJT36" s="974"/>
      <c r="AJU36" s="974"/>
      <c r="AJV36" s="974"/>
      <c r="AJW36" s="974"/>
      <c r="AJX36" s="974"/>
      <c r="AJY36" s="974"/>
      <c r="AJZ36" s="974"/>
      <c r="AKA36" s="974"/>
      <c r="AKB36" s="974"/>
      <c r="AKC36" s="974"/>
      <c r="AKD36" s="974"/>
      <c r="AKE36" s="974"/>
      <c r="AKF36" s="974"/>
      <c r="AKG36" s="974"/>
      <c r="AKH36" s="974"/>
      <c r="AKI36" s="974"/>
      <c r="AKJ36" s="974"/>
      <c r="AKK36" s="974"/>
      <c r="AKL36" s="974"/>
      <c r="AKM36" s="974"/>
      <c r="AKN36" s="974"/>
      <c r="AKO36" s="974"/>
      <c r="AKP36" s="974"/>
      <c r="AKQ36" s="974"/>
      <c r="AKR36" s="974"/>
      <c r="AKS36" s="974"/>
      <c r="AKT36" s="974"/>
      <c r="AKU36" s="974"/>
      <c r="AKV36" s="974"/>
      <c r="AKW36" s="974"/>
      <c r="AKX36" s="974"/>
      <c r="AKY36" s="974"/>
      <c r="AKZ36" s="974"/>
      <c r="ALA36" s="974"/>
      <c r="ALB36" s="974"/>
      <c r="ALC36" s="974"/>
      <c r="ALD36" s="974"/>
      <c r="ALE36" s="974"/>
      <c r="ALF36" s="974"/>
      <c r="ALG36" s="974"/>
      <c r="ALH36" s="974"/>
      <c r="ALI36" s="974"/>
      <c r="ALJ36" s="974"/>
      <c r="ALK36" s="974"/>
      <c r="ALL36" s="974"/>
      <c r="ALM36" s="974"/>
      <c r="ALN36" s="974"/>
      <c r="ALO36" s="974"/>
      <c r="ALP36" s="974"/>
      <c r="ALQ36" s="974"/>
      <c r="ALR36" s="974"/>
      <c r="ALS36" s="974"/>
      <c r="ALT36" s="974"/>
      <c r="ALU36" s="974"/>
      <c r="ALV36" s="974"/>
      <c r="ALW36" s="974"/>
      <c r="ALX36" s="974"/>
      <c r="ALY36" s="974"/>
      <c r="ALZ36" s="974"/>
      <c r="AMA36" s="974"/>
      <c r="AMB36" s="974"/>
      <c r="AMC36" s="974"/>
      <c r="AMD36" s="974"/>
      <c r="AME36" s="974"/>
      <c r="AMF36" s="974"/>
      <c r="AMG36" s="974"/>
      <c r="AMH36" s="974"/>
      <c r="AMI36" s="974"/>
      <c r="AMJ36" s="974"/>
      <c r="AMK36" s="974"/>
      <c r="AML36" s="974"/>
      <c r="AMM36" s="974"/>
      <c r="AMN36" s="974"/>
      <c r="AMO36" s="974"/>
      <c r="AMP36" s="974"/>
      <c r="AMQ36" s="974"/>
      <c r="AMR36" s="974"/>
      <c r="AMS36" s="974"/>
      <c r="AMT36" s="974"/>
      <c r="AMU36" s="974"/>
      <c r="AMV36" s="974"/>
      <c r="AMW36" s="974"/>
      <c r="AMX36" s="974"/>
      <c r="AMY36" s="974"/>
      <c r="AMZ36" s="974"/>
      <c r="ANA36" s="974"/>
      <c r="ANB36" s="974"/>
      <c r="ANC36" s="974"/>
      <c r="AND36" s="974"/>
      <c r="ANE36" s="974"/>
      <c r="ANF36" s="974"/>
      <c r="ANG36" s="974"/>
      <c r="ANH36" s="974"/>
      <c r="ANI36" s="974"/>
      <c r="ANJ36" s="974"/>
      <c r="ANK36" s="974"/>
      <c r="ANL36" s="974"/>
      <c r="ANM36" s="974"/>
      <c r="ANN36" s="974"/>
      <c r="ANO36" s="974"/>
      <c r="ANP36" s="974"/>
      <c r="ANQ36" s="974"/>
      <c r="ANR36" s="974"/>
      <c r="ANS36" s="974"/>
      <c r="ANT36" s="974"/>
      <c r="ANU36" s="974"/>
      <c r="ANV36" s="974"/>
      <c r="ANW36" s="974"/>
      <c r="ANX36" s="974"/>
      <c r="ANY36" s="974"/>
      <c r="ANZ36" s="974"/>
      <c r="AOA36" s="974"/>
      <c r="AOB36" s="974"/>
      <c r="AOC36" s="974"/>
      <c r="AOD36" s="974"/>
      <c r="AOE36" s="974"/>
      <c r="AOF36" s="974"/>
      <c r="AOG36" s="974"/>
      <c r="AOH36" s="974"/>
      <c r="AOI36" s="974"/>
      <c r="AOJ36" s="974"/>
      <c r="AOK36" s="974"/>
      <c r="AOL36" s="974"/>
      <c r="AOM36" s="974"/>
      <c r="AON36" s="974"/>
      <c r="AOO36" s="974"/>
      <c r="AOP36" s="974"/>
      <c r="AOQ36" s="974"/>
      <c r="AOR36" s="974"/>
      <c r="AOS36" s="974"/>
      <c r="AOT36" s="974"/>
      <c r="AOU36" s="974"/>
      <c r="AOV36" s="974"/>
      <c r="AOW36" s="974"/>
      <c r="AOX36" s="974"/>
      <c r="AOY36" s="974"/>
      <c r="AOZ36" s="974"/>
      <c r="APA36" s="974"/>
      <c r="APB36" s="974"/>
      <c r="APC36" s="974"/>
      <c r="APD36" s="974"/>
      <c r="APE36" s="974"/>
      <c r="APF36" s="974"/>
      <c r="APG36" s="974"/>
      <c r="APH36" s="974"/>
      <c r="API36" s="974"/>
      <c r="APJ36" s="974"/>
      <c r="APK36" s="974"/>
      <c r="APL36" s="974"/>
      <c r="APM36" s="974"/>
      <c r="APN36" s="974"/>
      <c r="APO36" s="974"/>
      <c r="APP36" s="974"/>
      <c r="APQ36" s="974"/>
      <c r="APR36" s="974"/>
      <c r="APS36" s="974"/>
      <c r="APT36" s="974"/>
      <c r="APU36" s="974"/>
      <c r="APV36" s="974"/>
      <c r="APW36" s="974"/>
      <c r="APX36" s="974"/>
      <c r="APY36" s="974"/>
      <c r="APZ36" s="974"/>
      <c r="AQA36" s="974"/>
      <c r="AQB36" s="974"/>
      <c r="AQC36" s="974"/>
      <c r="AQD36" s="974"/>
      <c r="AQE36" s="974"/>
      <c r="AQF36" s="974"/>
      <c r="AQG36" s="974"/>
      <c r="AQH36" s="974"/>
      <c r="AQI36" s="974"/>
      <c r="AQJ36" s="974"/>
      <c r="AQK36" s="974"/>
      <c r="AQL36" s="974"/>
      <c r="AQM36" s="974"/>
      <c r="AQN36" s="974"/>
      <c r="AQO36" s="974"/>
      <c r="AQP36" s="974"/>
      <c r="AQQ36" s="974"/>
      <c r="AQR36" s="974"/>
      <c r="AQS36" s="974"/>
      <c r="AQT36" s="974"/>
      <c r="AQU36" s="974"/>
      <c r="AQV36" s="974"/>
      <c r="AQW36" s="974"/>
      <c r="AQX36" s="974"/>
      <c r="AQY36" s="974"/>
      <c r="AQZ36" s="974"/>
      <c r="ARA36" s="974"/>
      <c r="ARB36" s="974"/>
      <c r="ARC36" s="974"/>
      <c r="ARD36" s="974"/>
      <c r="ARE36" s="974"/>
      <c r="ARF36" s="974"/>
      <c r="ARG36" s="974"/>
      <c r="ARH36" s="974"/>
      <c r="ARI36" s="974"/>
      <c r="ARJ36" s="974"/>
      <c r="ARK36" s="974"/>
      <c r="ARL36" s="974"/>
      <c r="ARM36" s="974"/>
      <c r="ARN36" s="974"/>
      <c r="ARO36" s="974"/>
      <c r="ARP36" s="974"/>
      <c r="ARQ36" s="974"/>
      <c r="ARR36" s="974"/>
      <c r="ARS36" s="974"/>
      <c r="ART36" s="974"/>
      <c r="ARU36" s="974"/>
      <c r="ARV36" s="974"/>
      <c r="ARW36" s="974"/>
      <c r="ARX36" s="974"/>
      <c r="ARY36" s="974"/>
      <c r="ARZ36" s="974"/>
      <c r="ASA36" s="974"/>
      <c r="ASB36" s="974"/>
      <c r="ASC36" s="974"/>
      <c r="ASD36" s="974"/>
      <c r="ASE36" s="974"/>
      <c r="ASF36" s="974"/>
      <c r="ASG36" s="974"/>
      <c r="ASH36" s="974"/>
      <c r="ASI36" s="974"/>
      <c r="ASJ36" s="974"/>
      <c r="ASK36" s="974"/>
      <c r="ASL36" s="974"/>
      <c r="ASM36" s="974"/>
      <c r="ASN36" s="974"/>
      <c r="ASO36" s="974"/>
      <c r="ASP36" s="974"/>
      <c r="ASQ36" s="974"/>
      <c r="ASR36" s="974"/>
      <c r="ASS36" s="974"/>
      <c r="AST36" s="974"/>
      <c r="ASU36" s="974"/>
      <c r="ASV36" s="974"/>
      <c r="ASW36" s="974"/>
      <c r="ASX36" s="974"/>
      <c r="ASY36" s="974"/>
      <c r="ASZ36" s="974"/>
      <c r="ATA36" s="974"/>
      <c r="ATB36" s="974"/>
      <c r="ATC36" s="974"/>
      <c r="ATD36" s="974"/>
      <c r="ATE36" s="974"/>
      <c r="ATF36" s="974"/>
      <c r="ATG36" s="974"/>
      <c r="ATH36" s="974"/>
      <c r="ATI36" s="974"/>
      <c r="ATJ36" s="974"/>
      <c r="ATK36" s="974"/>
      <c r="ATL36" s="974"/>
      <c r="ATM36" s="974"/>
      <c r="ATN36" s="974"/>
      <c r="ATO36" s="974"/>
      <c r="ATP36" s="974"/>
      <c r="ATQ36" s="974"/>
      <c r="ATR36" s="974"/>
      <c r="ATS36" s="974"/>
      <c r="ATT36" s="974"/>
      <c r="ATU36" s="974"/>
      <c r="ATV36" s="974"/>
      <c r="ATW36" s="974"/>
      <c r="ATX36" s="974"/>
      <c r="ATY36" s="974"/>
      <c r="ATZ36" s="974"/>
      <c r="AUA36" s="974"/>
      <c r="AUB36" s="974"/>
      <c r="AUC36" s="974"/>
      <c r="AUD36" s="974"/>
      <c r="AUE36" s="974"/>
      <c r="AUF36" s="974"/>
      <c r="AUG36" s="974"/>
      <c r="AUH36" s="974"/>
      <c r="AUI36" s="974"/>
      <c r="AUJ36" s="974"/>
      <c r="AUK36" s="974"/>
      <c r="AUL36" s="974"/>
      <c r="AUM36" s="974"/>
      <c r="AUN36" s="974"/>
      <c r="AUO36" s="974"/>
      <c r="AUP36" s="974"/>
      <c r="AUQ36" s="974"/>
      <c r="AUR36" s="974"/>
      <c r="AUS36" s="974"/>
      <c r="AUT36" s="974"/>
      <c r="AUU36" s="974"/>
      <c r="AUV36" s="974"/>
      <c r="AUW36" s="974"/>
      <c r="AUX36" s="974"/>
      <c r="AUY36" s="974"/>
      <c r="AUZ36" s="974"/>
      <c r="AVA36" s="974"/>
      <c r="AVB36" s="974"/>
      <c r="AVC36" s="974"/>
      <c r="AVD36" s="974"/>
      <c r="AVE36" s="974"/>
      <c r="AVF36" s="974"/>
      <c r="AVG36" s="974"/>
      <c r="AVH36" s="974"/>
      <c r="AVI36" s="974"/>
      <c r="AVJ36" s="974"/>
      <c r="AVK36" s="974"/>
      <c r="AVL36" s="974"/>
      <c r="AVM36" s="974"/>
      <c r="AVN36" s="974"/>
      <c r="AVO36" s="974"/>
      <c r="AVP36" s="974"/>
      <c r="AVQ36" s="974"/>
      <c r="AVR36" s="974"/>
      <c r="AVS36" s="974"/>
      <c r="AVT36" s="974"/>
      <c r="AVU36" s="974"/>
      <c r="AVV36" s="974"/>
      <c r="AVW36" s="974"/>
      <c r="AVX36" s="974"/>
      <c r="AVY36" s="974"/>
      <c r="AVZ36" s="974"/>
      <c r="AWA36" s="974"/>
      <c r="AWB36" s="974"/>
      <c r="AWC36" s="974"/>
      <c r="AWD36" s="974"/>
      <c r="AWE36" s="974"/>
      <c r="AWF36" s="974"/>
      <c r="AWG36" s="974"/>
      <c r="AWH36" s="974"/>
      <c r="AWI36" s="974"/>
      <c r="AWJ36" s="974"/>
      <c r="AWK36" s="974"/>
      <c r="AWL36" s="974"/>
      <c r="AWM36" s="974"/>
      <c r="AWN36" s="974"/>
      <c r="AWO36" s="974"/>
      <c r="AWP36" s="974"/>
      <c r="AWQ36" s="974"/>
      <c r="AWR36" s="974"/>
      <c r="AWS36" s="974"/>
      <c r="AWT36" s="974"/>
      <c r="AWU36" s="974"/>
      <c r="AWV36" s="974"/>
      <c r="AWW36" s="974"/>
      <c r="AWX36" s="974"/>
      <c r="AWY36" s="974"/>
      <c r="AWZ36" s="974"/>
      <c r="AXA36" s="974"/>
      <c r="AXB36" s="974"/>
      <c r="AXC36" s="974"/>
      <c r="AXD36" s="974"/>
      <c r="AXE36" s="974"/>
      <c r="AXF36" s="974"/>
      <c r="AXG36" s="974"/>
      <c r="AXH36" s="974"/>
      <c r="AXI36" s="974"/>
      <c r="AXJ36" s="974"/>
      <c r="AXK36" s="974"/>
      <c r="AXL36" s="974"/>
      <c r="AXM36" s="974"/>
      <c r="AXN36" s="974"/>
      <c r="AXO36" s="974"/>
      <c r="AXP36" s="974"/>
      <c r="AXQ36" s="974"/>
      <c r="AXR36" s="974"/>
      <c r="AXS36" s="974"/>
      <c r="AXT36" s="974"/>
      <c r="AXU36" s="974"/>
      <c r="AXV36" s="974"/>
      <c r="AXW36" s="974"/>
      <c r="AXX36" s="974"/>
      <c r="AXY36" s="974"/>
      <c r="AXZ36" s="974"/>
      <c r="AYA36" s="974"/>
      <c r="AYB36" s="974"/>
      <c r="AYC36" s="974"/>
      <c r="AYD36" s="974"/>
      <c r="AYE36" s="974"/>
      <c r="AYF36" s="974"/>
      <c r="AYG36" s="974"/>
      <c r="AYH36" s="974"/>
      <c r="AYI36" s="974"/>
      <c r="AYJ36" s="974"/>
      <c r="AYK36" s="974"/>
      <c r="AYL36" s="974"/>
      <c r="AYM36" s="974"/>
      <c r="AYN36" s="974"/>
      <c r="AYO36" s="974"/>
      <c r="AYP36" s="974"/>
      <c r="AYQ36" s="974"/>
      <c r="AYR36" s="974"/>
      <c r="AYS36" s="974"/>
      <c r="AYT36" s="974"/>
      <c r="AYU36" s="974"/>
      <c r="AYV36" s="974"/>
      <c r="AYW36" s="974"/>
      <c r="AYX36" s="974"/>
      <c r="AYY36" s="974"/>
      <c r="AYZ36" s="974"/>
      <c r="AZA36" s="974"/>
      <c r="AZB36" s="974"/>
      <c r="AZC36" s="974"/>
      <c r="AZD36" s="974"/>
      <c r="AZE36" s="974"/>
      <c r="AZF36" s="974"/>
      <c r="AZG36" s="974"/>
      <c r="AZH36" s="974"/>
      <c r="AZI36" s="974"/>
      <c r="AZJ36" s="974"/>
      <c r="AZK36" s="974"/>
      <c r="AZL36" s="974"/>
      <c r="AZM36" s="974"/>
      <c r="AZN36" s="974"/>
      <c r="AZO36" s="974"/>
      <c r="AZP36" s="974"/>
      <c r="AZQ36" s="974"/>
      <c r="AZR36" s="974"/>
      <c r="AZS36" s="974"/>
      <c r="AZT36" s="974"/>
      <c r="AZU36" s="974"/>
      <c r="AZV36" s="974"/>
      <c r="AZW36" s="974"/>
      <c r="AZX36" s="974"/>
      <c r="AZY36" s="974"/>
      <c r="AZZ36" s="974"/>
      <c r="BAA36" s="974"/>
      <c r="BAB36" s="974"/>
      <c r="BAC36" s="974"/>
      <c r="BAD36" s="974"/>
      <c r="BAE36" s="974"/>
      <c r="BAF36" s="974"/>
      <c r="BAG36" s="974"/>
      <c r="BAH36" s="974"/>
      <c r="BAI36" s="974"/>
      <c r="BAJ36" s="974"/>
      <c r="BAK36" s="974"/>
      <c r="BAL36" s="974"/>
      <c r="BAM36" s="974"/>
      <c r="BAN36" s="974"/>
      <c r="BAO36" s="974"/>
      <c r="BAP36" s="974"/>
      <c r="BAQ36" s="974"/>
      <c r="BAR36" s="974"/>
      <c r="BAS36" s="974"/>
      <c r="BAT36" s="974"/>
      <c r="BAU36" s="974"/>
      <c r="BAV36" s="974"/>
      <c r="BAW36" s="974"/>
      <c r="BAX36" s="974"/>
      <c r="BAY36" s="974"/>
      <c r="BAZ36" s="974"/>
      <c r="BBA36" s="974"/>
      <c r="BBB36" s="974"/>
      <c r="BBC36" s="974"/>
      <c r="BBD36" s="974"/>
      <c r="BBE36" s="974"/>
      <c r="BBF36" s="974"/>
      <c r="BBG36" s="974"/>
      <c r="BBH36" s="974"/>
      <c r="BBI36" s="974"/>
      <c r="BBJ36" s="974"/>
      <c r="BBK36" s="974"/>
      <c r="BBL36" s="974"/>
      <c r="BBM36" s="974"/>
      <c r="BBN36" s="974"/>
      <c r="BBO36" s="974"/>
      <c r="BBP36" s="974"/>
      <c r="BBQ36" s="974"/>
      <c r="BBR36" s="974"/>
      <c r="BBS36" s="974"/>
      <c r="BBT36" s="974"/>
      <c r="BBU36" s="974"/>
      <c r="BBV36" s="974"/>
      <c r="BBW36" s="974"/>
      <c r="BBX36" s="974"/>
      <c r="BBY36" s="974"/>
      <c r="BBZ36" s="974"/>
      <c r="BCA36" s="974"/>
      <c r="BCB36" s="974"/>
      <c r="BCC36" s="974"/>
      <c r="BCD36" s="974"/>
      <c r="BCE36" s="974"/>
      <c r="BCF36" s="974"/>
      <c r="BCG36" s="974"/>
      <c r="BCH36" s="974"/>
      <c r="BCI36" s="974"/>
      <c r="BCJ36" s="974"/>
      <c r="BCK36" s="974"/>
      <c r="BCL36" s="974"/>
      <c r="BCM36" s="974"/>
      <c r="BCN36" s="974"/>
      <c r="BCO36" s="974"/>
      <c r="BCP36" s="974"/>
      <c r="BCQ36" s="974"/>
      <c r="BCR36" s="974"/>
      <c r="BCS36" s="974"/>
      <c r="BCT36" s="974"/>
      <c r="BCU36" s="974"/>
      <c r="BCV36" s="974"/>
      <c r="BCW36" s="974"/>
      <c r="BCX36" s="974"/>
      <c r="BCY36" s="974"/>
      <c r="BCZ36" s="974"/>
      <c r="BDA36" s="974"/>
      <c r="BDB36" s="974"/>
      <c r="BDC36" s="974"/>
      <c r="BDD36" s="974"/>
      <c r="BDE36" s="974"/>
      <c r="BDF36" s="974"/>
      <c r="BDG36" s="974"/>
      <c r="BDH36" s="974"/>
      <c r="BDI36" s="974"/>
      <c r="BDJ36" s="974"/>
      <c r="BDK36" s="974"/>
      <c r="BDL36" s="974"/>
      <c r="BDM36" s="974"/>
      <c r="BDN36" s="974"/>
      <c r="BDO36" s="974"/>
      <c r="BDP36" s="974"/>
      <c r="BDQ36" s="974"/>
      <c r="BDR36" s="974"/>
      <c r="BDS36" s="974"/>
      <c r="BDT36" s="974"/>
      <c r="BDU36" s="974"/>
      <c r="BDV36" s="974"/>
      <c r="BDW36" s="974"/>
      <c r="BDX36" s="974"/>
      <c r="BDY36" s="974"/>
      <c r="BDZ36" s="974"/>
      <c r="BEA36" s="974"/>
      <c r="BEB36" s="974"/>
      <c r="BEC36" s="974"/>
      <c r="BED36" s="974"/>
      <c r="BEE36" s="974"/>
      <c r="BEF36" s="974"/>
      <c r="BEG36" s="974"/>
      <c r="BEH36" s="974"/>
      <c r="BEI36" s="974"/>
      <c r="BEJ36" s="974"/>
      <c r="BEK36" s="974"/>
      <c r="BEL36" s="974"/>
      <c r="BEM36" s="974"/>
      <c r="BEN36" s="974"/>
      <c r="BEO36" s="974"/>
      <c r="BEP36" s="974"/>
      <c r="BEQ36" s="974"/>
      <c r="BER36" s="974"/>
      <c r="BES36" s="974"/>
      <c r="BET36" s="974"/>
      <c r="BEU36" s="974"/>
      <c r="BEV36" s="974"/>
      <c r="BEW36" s="974"/>
      <c r="BEX36" s="974"/>
      <c r="BEY36" s="974"/>
      <c r="BEZ36" s="974"/>
      <c r="BFA36" s="974"/>
      <c r="BFB36" s="974"/>
      <c r="BFC36" s="974"/>
      <c r="BFD36" s="974"/>
      <c r="BFE36" s="974"/>
      <c r="BFF36" s="974"/>
      <c r="BFG36" s="974"/>
      <c r="BFH36" s="974"/>
      <c r="BFI36" s="974"/>
      <c r="BFJ36" s="974"/>
      <c r="BFK36" s="974"/>
      <c r="BFL36" s="974"/>
      <c r="BFM36" s="974"/>
      <c r="BFN36" s="974"/>
      <c r="BFO36" s="974"/>
      <c r="BFP36" s="974"/>
      <c r="BFQ36" s="974"/>
      <c r="BFR36" s="974"/>
      <c r="BFS36" s="974"/>
      <c r="BFT36" s="974"/>
      <c r="BFU36" s="974"/>
      <c r="BFV36" s="974"/>
      <c r="BFW36" s="974"/>
      <c r="BFX36" s="974"/>
      <c r="BFY36" s="974"/>
      <c r="BFZ36" s="974"/>
      <c r="BGA36" s="974"/>
      <c r="BGB36" s="974"/>
      <c r="BGC36" s="974"/>
      <c r="BGD36" s="974"/>
      <c r="BGE36" s="974"/>
      <c r="BGF36" s="974"/>
      <c r="BGG36" s="974"/>
      <c r="BGH36" s="974"/>
      <c r="BGI36" s="974"/>
      <c r="BGJ36" s="974"/>
      <c r="BGK36" s="974"/>
      <c r="BGL36" s="974"/>
      <c r="BGM36" s="974"/>
      <c r="BGN36" s="974"/>
      <c r="BGO36" s="974"/>
      <c r="BGP36" s="974"/>
      <c r="BGQ36" s="974"/>
      <c r="BGR36" s="974"/>
      <c r="BGS36" s="974"/>
      <c r="BGT36" s="974"/>
      <c r="BGU36" s="974"/>
      <c r="BGV36" s="974"/>
      <c r="BGW36" s="974"/>
      <c r="BGX36" s="974"/>
      <c r="BGY36" s="974"/>
      <c r="BGZ36" s="974"/>
      <c r="BHA36" s="974"/>
      <c r="BHB36" s="974"/>
      <c r="BHC36" s="974"/>
      <c r="BHD36" s="974"/>
      <c r="BHE36" s="974"/>
      <c r="BHF36" s="974"/>
      <c r="BHG36" s="974"/>
      <c r="BHH36" s="974"/>
      <c r="BHI36" s="974"/>
      <c r="BHJ36" s="974"/>
      <c r="BHK36" s="974"/>
      <c r="BHL36" s="974"/>
      <c r="BHM36" s="974"/>
      <c r="BHN36" s="974"/>
      <c r="BHO36" s="974"/>
      <c r="BHP36" s="974"/>
      <c r="BHQ36" s="974"/>
      <c r="BHR36" s="974"/>
      <c r="BHS36" s="974"/>
      <c r="BHT36" s="974"/>
      <c r="BHU36" s="974"/>
      <c r="BHV36" s="974"/>
      <c r="BHW36" s="974"/>
      <c r="BHX36" s="974"/>
      <c r="BHY36" s="974"/>
      <c r="BHZ36" s="974"/>
      <c r="BIA36" s="974"/>
      <c r="BIB36" s="974"/>
      <c r="BIC36" s="974"/>
      <c r="BID36" s="974"/>
      <c r="BIE36" s="974"/>
      <c r="BIF36" s="974"/>
      <c r="BIG36" s="974"/>
      <c r="BIH36" s="974"/>
      <c r="BII36" s="974"/>
      <c r="BIJ36" s="974"/>
      <c r="BIK36" s="974"/>
      <c r="BIL36" s="974"/>
      <c r="BIM36" s="974"/>
      <c r="BIN36" s="974"/>
      <c r="BIO36" s="974"/>
      <c r="BIP36" s="974"/>
      <c r="BIQ36" s="974"/>
      <c r="BIR36" s="974"/>
      <c r="BIS36" s="974"/>
      <c r="BIT36" s="974"/>
      <c r="BIU36" s="974"/>
      <c r="BIV36" s="974"/>
      <c r="BIW36" s="974"/>
      <c r="BIX36" s="974"/>
      <c r="BIY36" s="974"/>
      <c r="BIZ36" s="974"/>
      <c r="BJA36" s="974"/>
      <c r="BJB36" s="974"/>
      <c r="BJC36" s="974"/>
      <c r="BJD36" s="974"/>
      <c r="BJE36" s="974"/>
      <c r="BJF36" s="974"/>
      <c r="BJG36" s="974"/>
      <c r="BJH36" s="974"/>
      <c r="BJI36" s="974"/>
      <c r="BJJ36" s="974"/>
      <c r="BJK36" s="974"/>
      <c r="BJL36" s="974"/>
      <c r="BJM36" s="974"/>
      <c r="BJN36" s="974"/>
      <c r="BJO36" s="974"/>
      <c r="BJP36" s="974"/>
      <c r="BJQ36" s="974"/>
      <c r="BJR36" s="974"/>
      <c r="BJS36" s="974"/>
      <c r="BJT36" s="974"/>
      <c r="BJU36" s="974"/>
      <c r="BJV36" s="974"/>
      <c r="BJW36" s="974"/>
      <c r="BJX36" s="974"/>
      <c r="BJY36" s="974"/>
      <c r="BJZ36" s="974"/>
      <c r="BKA36" s="974"/>
      <c r="BKB36" s="974"/>
      <c r="BKC36" s="974"/>
      <c r="BKD36" s="974"/>
      <c r="BKE36" s="974"/>
      <c r="BKF36" s="974"/>
      <c r="BKG36" s="974"/>
      <c r="BKH36" s="974"/>
      <c r="BKI36" s="974"/>
      <c r="BKJ36" s="974"/>
      <c r="BKK36" s="974"/>
      <c r="BKL36" s="974"/>
      <c r="BKM36" s="974"/>
      <c r="BKN36" s="974"/>
      <c r="BKO36" s="974"/>
      <c r="BKP36" s="974"/>
      <c r="BKQ36" s="974"/>
      <c r="BKR36" s="974"/>
      <c r="BKS36" s="974"/>
      <c r="BKT36" s="974"/>
      <c r="BKU36" s="974"/>
      <c r="BKV36" s="974"/>
      <c r="BKW36" s="974"/>
      <c r="BKX36" s="974"/>
      <c r="BKY36" s="974"/>
      <c r="BKZ36" s="974"/>
      <c r="BLA36" s="974"/>
      <c r="BLB36" s="974"/>
      <c r="BLC36" s="974"/>
      <c r="BLD36" s="974"/>
      <c r="BLE36" s="974"/>
      <c r="BLF36" s="974"/>
      <c r="BLG36" s="974"/>
      <c r="BLH36" s="974"/>
      <c r="BLI36" s="974"/>
      <c r="BLJ36" s="974"/>
      <c r="BLK36" s="974"/>
      <c r="BLL36" s="974"/>
      <c r="BLM36" s="974"/>
      <c r="BLN36" s="974"/>
      <c r="BLO36" s="974"/>
      <c r="BLP36" s="974"/>
      <c r="BLQ36" s="974"/>
      <c r="BLR36" s="974"/>
      <c r="BLS36" s="974"/>
      <c r="BLT36" s="974"/>
      <c r="BLU36" s="974"/>
      <c r="BLV36" s="974"/>
      <c r="BLW36" s="974"/>
      <c r="BLX36" s="974"/>
      <c r="BLY36" s="974"/>
      <c r="BLZ36" s="974"/>
      <c r="BMA36" s="974"/>
      <c r="BMB36" s="974"/>
      <c r="BMC36" s="974"/>
      <c r="BMD36" s="974"/>
      <c r="BME36" s="974"/>
      <c r="BMF36" s="974"/>
      <c r="BMG36" s="974"/>
      <c r="BMH36" s="974"/>
      <c r="BMI36" s="974"/>
      <c r="BMJ36" s="974"/>
      <c r="BMK36" s="974"/>
      <c r="BML36" s="974"/>
      <c r="BMM36" s="974"/>
      <c r="BMN36" s="974"/>
      <c r="BMO36" s="974"/>
      <c r="BMP36" s="974"/>
      <c r="BMQ36" s="974"/>
      <c r="BMR36" s="974"/>
      <c r="BMS36" s="974"/>
      <c r="BMT36" s="974"/>
      <c r="BMU36" s="974"/>
      <c r="BMV36" s="974"/>
      <c r="BMW36" s="974"/>
      <c r="BMX36" s="974"/>
      <c r="BMY36" s="974"/>
      <c r="BMZ36" s="974"/>
      <c r="BNA36" s="974"/>
      <c r="BNB36" s="974"/>
      <c r="BNC36" s="974"/>
      <c r="BND36" s="974"/>
      <c r="BNE36" s="974"/>
      <c r="BNF36" s="974"/>
      <c r="BNG36" s="974"/>
      <c r="BNH36" s="974"/>
      <c r="BNI36" s="974"/>
      <c r="BNJ36" s="974"/>
      <c r="BNK36" s="974"/>
      <c r="BNL36" s="974"/>
      <c r="BNM36" s="974"/>
      <c r="BNN36" s="974"/>
      <c r="BNO36" s="974"/>
      <c r="BNP36" s="974"/>
      <c r="BNQ36" s="974"/>
      <c r="BNR36" s="974"/>
      <c r="BNS36" s="974"/>
      <c r="BNT36" s="974"/>
      <c r="BNU36" s="974"/>
      <c r="BNV36" s="974"/>
      <c r="BNW36" s="974"/>
      <c r="BNX36" s="974"/>
      <c r="BNY36" s="974"/>
      <c r="BNZ36" s="974"/>
      <c r="BOA36" s="974"/>
      <c r="BOB36" s="974"/>
      <c r="BOC36" s="974"/>
      <c r="BOD36" s="974"/>
      <c r="BOE36" s="974"/>
      <c r="BOF36" s="974"/>
      <c r="BOG36" s="974"/>
      <c r="BOH36" s="974"/>
      <c r="BOI36" s="974"/>
      <c r="BOJ36" s="974"/>
      <c r="BOK36" s="974"/>
      <c r="BOL36" s="974"/>
      <c r="BOM36" s="974"/>
      <c r="BON36" s="974"/>
      <c r="BOO36" s="974"/>
      <c r="BOP36" s="974"/>
      <c r="BOQ36" s="974"/>
      <c r="BOR36" s="974"/>
      <c r="BOS36" s="974"/>
      <c r="BOT36" s="974"/>
      <c r="BOU36" s="974"/>
      <c r="BOV36" s="974"/>
      <c r="BOW36" s="974"/>
      <c r="BOX36" s="974"/>
      <c r="BOY36" s="974"/>
      <c r="BOZ36" s="974"/>
      <c r="BPA36" s="974"/>
      <c r="BPB36" s="974"/>
      <c r="BPC36" s="974"/>
      <c r="BPD36" s="974"/>
      <c r="BPE36" s="974"/>
      <c r="BPF36" s="974"/>
      <c r="BPG36" s="974"/>
      <c r="BPH36" s="974"/>
      <c r="BPI36" s="974"/>
      <c r="BPJ36" s="974"/>
      <c r="BPK36" s="974"/>
      <c r="BPL36" s="974"/>
      <c r="BPM36" s="974"/>
      <c r="BPN36" s="974"/>
      <c r="BPO36" s="974"/>
      <c r="BPP36" s="974"/>
      <c r="BPQ36" s="974"/>
      <c r="BPR36" s="974"/>
      <c r="BPS36" s="974"/>
      <c r="BPT36" s="974"/>
      <c r="BPU36" s="974"/>
      <c r="BPV36" s="974"/>
      <c r="BPW36" s="974"/>
      <c r="BPX36" s="974"/>
      <c r="BPY36" s="974"/>
      <c r="BPZ36" s="974"/>
      <c r="BQA36" s="974"/>
      <c r="BQB36" s="974"/>
      <c r="BQC36" s="974"/>
      <c r="BQD36" s="974"/>
      <c r="BQE36" s="974"/>
      <c r="BQF36" s="974"/>
      <c r="BQG36" s="974"/>
      <c r="BQH36" s="974"/>
      <c r="BQI36" s="974"/>
      <c r="BQJ36" s="974"/>
      <c r="BQK36" s="974"/>
      <c r="BQL36" s="974"/>
      <c r="BQM36" s="974"/>
      <c r="BQN36" s="974"/>
      <c r="BQO36" s="974"/>
      <c r="BQP36" s="974"/>
      <c r="BQQ36" s="974"/>
      <c r="BQR36" s="974"/>
      <c r="BQS36" s="974"/>
      <c r="BQT36" s="974"/>
      <c r="BQU36" s="974"/>
      <c r="BQV36" s="974"/>
      <c r="BQW36" s="974"/>
      <c r="BQX36" s="974"/>
      <c r="BQY36" s="974"/>
      <c r="BQZ36" s="974"/>
      <c r="BRA36" s="974"/>
      <c r="BRB36" s="974"/>
      <c r="BRC36" s="974"/>
      <c r="BRD36" s="974"/>
      <c r="BRE36" s="974"/>
      <c r="BRF36" s="974"/>
      <c r="BRG36" s="974"/>
      <c r="BRH36" s="974"/>
      <c r="BRI36" s="974"/>
      <c r="BRJ36" s="974"/>
      <c r="BRK36" s="974"/>
      <c r="BRL36" s="974"/>
      <c r="BRM36" s="974"/>
      <c r="BRN36" s="974"/>
      <c r="BRO36" s="974"/>
      <c r="BRP36" s="974"/>
      <c r="BRQ36" s="974"/>
      <c r="BRR36" s="974"/>
      <c r="BRS36" s="974"/>
      <c r="BRT36" s="974"/>
      <c r="BRU36" s="974"/>
      <c r="BRV36" s="974"/>
      <c r="BRW36" s="974"/>
      <c r="BRX36" s="974"/>
      <c r="BRY36" s="974"/>
      <c r="BRZ36" s="974"/>
      <c r="BSA36" s="974"/>
      <c r="BSB36" s="974"/>
      <c r="BSC36" s="974"/>
      <c r="BSD36" s="974"/>
      <c r="BSE36" s="974"/>
      <c r="BSF36" s="974"/>
      <c r="BSG36" s="974"/>
      <c r="BSH36" s="974"/>
      <c r="BSI36" s="974"/>
      <c r="BSJ36" s="974"/>
      <c r="BSK36" s="974"/>
      <c r="BSL36" s="974"/>
      <c r="BSM36" s="974"/>
      <c r="BSN36" s="974"/>
      <c r="BSO36" s="974"/>
      <c r="BSP36" s="974"/>
      <c r="BSQ36" s="974"/>
      <c r="BSR36" s="974"/>
      <c r="BSS36" s="974"/>
      <c r="BST36" s="974"/>
      <c r="BSU36" s="974"/>
      <c r="BSV36" s="974"/>
      <c r="BSW36" s="974"/>
      <c r="BSX36" s="974"/>
      <c r="BSY36" s="974"/>
      <c r="BSZ36" s="974"/>
      <c r="BTA36" s="974"/>
      <c r="BTB36" s="974"/>
      <c r="BTC36" s="974"/>
      <c r="BTD36" s="974"/>
      <c r="BTE36" s="974"/>
      <c r="BTF36" s="974"/>
      <c r="BTG36" s="974"/>
      <c r="BTH36" s="974"/>
      <c r="BTI36" s="974"/>
      <c r="BTJ36" s="974"/>
      <c r="BTK36" s="974"/>
      <c r="BTL36" s="974"/>
      <c r="BTM36" s="974"/>
      <c r="BTN36" s="974"/>
      <c r="BTO36" s="974"/>
      <c r="BTP36" s="974"/>
      <c r="BTQ36" s="974"/>
      <c r="BTR36" s="974"/>
      <c r="BTS36" s="974"/>
      <c r="BTT36" s="974"/>
      <c r="BTU36" s="974"/>
      <c r="BTV36" s="974"/>
      <c r="BTW36" s="974"/>
      <c r="BTX36" s="974"/>
      <c r="BTY36" s="974"/>
      <c r="BTZ36" s="974"/>
      <c r="BUA36" s="974"/>
      <c r="BUB36" s="974"/>
      <c r="BUC36" s="974"/>
      <c r="BUD36" s="974"/>
      <c r="BUE36" s="974"/>
      <c r="BUF36" s="974"/>
      <c r="BUG36" s="974"/>
      <c r="BUH36" s="974"/>
      <c r="BUI36" s="974"/>
      <c r="BUJ36" s="974"/>
      <c r="BUK36" s="974"/>
      <c r="BUL36" s="974"/>
      <c r="BUM36" s="974"/>
      <c r="BUN36" s="974"/>
      <c r="BUO36" s="974"/>
      <c r="BUP36" s="974"/>
      <c r="BUQ36" s="974"/>
      <c r="BUR36" s="974"/>
      <c r="BUS36" s="974"/>
      <c r="BUT36" s="974"/>
      <c r="BUU36" s="974"/>
      <c r="BUV36" s="974"/>
      <c r="BUW36" s="974"/>
      <c r="BUX36" s="974"/>
      <c r="BUY36" s="974"/>
      <c r="BUZ36" s="974"/>
      <c r="BVA36" s="974"/>
      <c r="BVB36" s="974"/>
      <c r="BVC36" s="974"/>
      <c r="BVD36" s="974"/>
      <c r="BVE36" s="974"/>
      <c r="BVF36" s="974"/>
      <c r="BVG36" s="974"/>
      <c r="BVH36" s="974"/>
      <c r="BVI36" s="974"/>
      <c r="BVJ36" s="974"/>
      <c r="BVK36" s="974"/>
      <c r="BVL36" s="974"/>
      <c r="BVM36" s="974"/>
      <c r="BVN36" s="974"/>
      <c r="BVO36" s="974"/>
      <c r="BVP36" s="974"/>
      <c r="BVQ36" s="974"/>
      <c r="BVR36" s="974"/>
      <c r="BVS36" s="974"/>
      <c r="BVT36" s="974"/>
      <c r="BVU36" s="974"/>
      <c r="BVV36" s="974"/>
      <c r="BVW36" s="974"/>
      <c r="BVX36" s="974"/>
      <c r="BVY36" s="974"/>
      <c r="BVZ36" s="974"/>
      <c r="BWA36" s="974"/>
      <c r="BWB36" s="974"/>
      <c r="BWC36" s="974"/>
      <c r="BWD36" s="974"/>
      <c r="BWE36" s="974"/>
      <c r="BWF36" s="974"/>
      <c r="BWG36" s="974"/>
      <c r="BWH36" s="974"/>
      <c r="BWI36" s="974"/>
      <c r="BWJ36" s="974"/>
      <c r="BWK36" s="974"/>
      <c r="BWL36" s="974"/>
      <c r="BWM36" s="974"/>
      <c r="BWN36" s="974"/>
      <c r="BWO36" s="974"/>
      <c r="BWP36" s="974"/>
      <c r="BWQ36" s="974"/>
      <c r="BWR36" s="974"/>
      <c r="BWS36" s="974"/>
      <c r="BWT36" s="974"/>
      <c r="BWU36" s="974"/>
      <c r="BWV36" s="974"/>
      <c r="BWW36" s="974"/>
      <c r="BWX36" s="974"/>
      <c r="BWY36" s="974"/>
      <c r="BWZ36" s="974"/>
      <c r="BXA36" s="974"/>
      <c r="BXB36" s="974"/>
      <c r="BXC36" s="974"/>
      <c r="BXD36" s="974"/>
      <c r="BXE36" s="974"/>
      <c r="BXF36" s="974"/>
      <c r="BXG36" s="974"/>
      <c r="BXH36" s="974"/>
      <c r="BXI36" s="974"/>
      <c r="BXJ36" s="974"/>
      <c r="BXK36" s="974"/>
      <c r="BXL36" s="974"/>
      <c r="BXM36" s="974"/>
      <c r="BXN36" s="974"/>
      <c r="BXO36" s="974"/>
      <c r="BXP36" s="974"/>
      <c r="BXQ36" s="974"/>
      <c r="BXR36" s="974"/>
      <c r="BXS36" s="974"/>
      <c r="BXT36" s="974"/>
      <c r="BXU36" s="974"/>
      <c r="BXV36" s="974"/>
      <c r="BXW36" s="974"/>
      <c r="BXX36" s="974"/>
      <c r="BXY36" s="974"/>
      <c r="BXZ36" s="974"/>
      <c r="BYA36" s="974"/>
      <c r="BYB36" s="974"/>
      <c r="BYC36" s="974"/>
      <c r="BYD36" s="974"/>
      <c r="BYE36" s="974"/>
      <c r="BYF36" s="974"/>
      <c r="BYG36" s="974"/>
      <c r="BYH36" s="974"/>
      <c r="BYI36" s="974"/>
      <c r="BYJ36" s="974"/>
      <c r="BYK36" s="974"/>
      <c r="BYL36" s="974"/>
      <c r="BYM36" s="974"/>
      <c r="BYN36" s="974"/>
      <c r="BYO36" s="974"/>
      <c r="BYP36" s="974"/>
      <c r="BYQ36" s="974"/>
      <c r="BYR36" s="974"/>
      <c r="BYS36" s="974"/>
      <c r="BYT36" s="974"/>
      <c r="BYU36" s="974"/>
      <c r="BYV36" s="974"/>
      <c r="BYW36" s="974"/>
      <c r="BYX36" s="974"/>
      <c r="BYY36" s="974"/>
      <c r="BYZ36" s="974"/>
      <c r="BZA36" s="974"/>
      <c r="BZB36" s="974"/>
      <c r="BZC36" s="974"/>
      <c r="BZD36" s="974"/>
      <c r="BZE36" s="974"/>
      <c r="BZF36" s="974"/>
      <c r="BZG36" s="974"/>
      <c r="BZH36" s="974"/>
      <c r="BZI36" s="974"/>
      <c r="BZJ36" s="974"/>
      <c r="BZK36" s="974"/>
      <c r="BZL36" s="974"/>
      <c r="BZM36" s="974"/>
      <c r="BZN36" s="974"/>
      <c r="BZO36" s="974"/>
      <c r="BZP36" s="974"/>
      <c r="BZQ36" s="974"/>
      <c r="BZR36" s="974"/>
      <c r="BZS36" s="974"/>
      <c r="BZT36" s="974"/>
      <c r="BZU36" s="974"/>
      <c r="BZV36" s="974"/>
      <c r="BZW36" s="974"/>
      <c r="BZX36" s="974"/>
      <c r="BZY36" s="974"/>
      <c r="BZZ36" s="974"/>
      <c r="CAA36" s="974"/>
      <c r="CAB36" s="974"/>
      <c r="CAC36" s="974"/>
      <c r="CAD36" s="974"/>
      <c r="CAE36" s="974"/>
      <c r="CAF36" s="974"/>
      <c r="CAG36" s="974"/>
      <c r="CAH36" s="974"/>
      <c r="CAI36" s="974"/>
      <c r="CAJ36" s="974"/>
      <c r="CAK36" s="974"/>
      <c r="CAL36" s="974"/>
      <c r="CAM36" s="974"/>
      <c r="CAN36" s="974"/>
      <c r="CAO36" s="974"/>
      <c r="CAP36" s="974"/>
      <c r="CAQ36" s="974"/>
      <c r="CAR36" s="974"/>
      <c r="CAS36" s="974"/>
      <c r="CAT36" s="974"/>
      <c r="CAU36" s="974"/>
      <c r="CAV36" s="974"/>
      <c r="CAW36" s="974"/>
      <c r="CAX36" s="974"/>
      <c r="CAY36" s="974"/>
      <c r="CAZ36" s="974"/>
      <c r="CBA36" s="974"/>
      <c r="CBB36" s="974"/>
      <c r="CBC36" s="974"/>
      <c r="CBD36" s="974"/>
      <c r="CBE36" s="974"/>
      <c r="CBF36" s="974"/>
      <c r="CBG36" s="974"/>
      <c r="CBH36" s="974"/>
      <c r="CBI36" s="974"/>
      <c r="CBJ36" s="974"/>
      <c r="CBK36" s="974"/>
      <c r="CBL36" s="974"/>
      <c r="CBM36" s="974"/>
      <c r="CBN36" s="974"/>
      <c r="CBO36" s="974"/>
      <c r="CBP36" s="974"/>
      <c r="CBQ36" s="974"/>
      <c r="CBR36" s="974"/>
      <c r="CBS36" s="974"/>
      <c r="CBT36" s="974"/>
      <c r="CBU36" s="974"/>
      <c r="CBV36" s="974"/>
      <c r="CBW36" s="974"/>
      <c r="CBX36" s="974"/>
      <c r="CBY36" s="974"/>
      <c r="CBZ36" s="974"/>
      <c r="CCA36" s="974"/>
      <c r="CCB36" s="974"/>
      <c r="CCC36" s="974"/>
      <c r="CCD36" s="974"/>
      <c r="CCE36" s="974"/>
      <c r="CCF36" s="974"/>
      <c r="CCG36" s="974"/>
      <c r="CCH36" s="974"/>
      <c r="CCI36" s="974"/>
      <c r="CCJ36" s="974"/>
      <c r="CCK36" s="974"/>
      <c r="CCL36" s="974"/>
      <c r="CCM36" s="974"/>
      <c r="CCN36" s="974"/>
      <c r="CCO36" s="974"/>
      <c r="CCP36" s="974"/>
      <c r="CCQ36" s="974"/>
      <c r="CCR36" s="974"/>
      <c r="CCS36" s="974"/>
      <c r="CCT36" s="974"/>
      <c r="CCU36" s="974"/>
      <c r="CCV36" s="974"/>
      <c r="CCW36" s="974"/>
      <c r="CCX36" s="974"/>
      <c r="CCY36" s="974"/>
      <c r="CCZ36" s="974"/>
      <c r="CDA36" s="974"/>
      <c r="CDB36" s="974"/>
      <c r="CDC36" s="974"/>
      <c r="CDD36" s="974"/>
      <c r="CDE36" s="974"/>
      <c r="CDF36" s="974"/>
      <c r="CDG36" s="974"/>
      <c r="CDH36" s="974"/>
      <c r="CDI36" s="974"/>
      <c r="CDJ36" s="974"/>
      <c r="CDK36" s="974"/>
      <c r="CDL36" s="974"/>
      <c r="CDM36" s="974"/>
      <c r="CDN36" s="974"/>
      <c r="CDO36" s="974"/>
      <c r="CDP36" s="974"/>
      <c r="CDQ36" s="974"/>
      <c r="CDR36" s="974"/>
      <c r="CDS36" s="974"/>
      <c r="CDT36" s="974"/>
      <c r="CDU36" s="974"/>
      <c r="CDV36" s="974"/>
      <c r="CDW36" s="974"/>
      <c r="CDX36" s="974"/>
      <c r="CDY36" s="974"/>
      <c r="CDZ36" s="974"/>
      <c r="CEA36" s="974"/>
      <c r="CEB36" s="974"/>
      <c r="CEC36" s="974"/>
      <c r="CED36" s="974"/>
      <c r="CEE36" s="974"/>
      <c r="CEF36" s="974"/>
      <c r="CEG36" s="974"/>
      <c r="CEH36" s="974"/>
      <c r="CEI36" s="974"/>
      <c r="CEJ36" s="974"/>
      <c r="CEK36" s="974"/>
      <c r="CEL36" s="974"/>
      <c r="CEM36" s="974"/>
      <c r="CEN36" s="974"/>
      <c r="CEO36" s="974"/>
      <c r="CEP36" s="974"/>
      <c r="CEQ36" s="974"/>
      <c r="CER36" s="974"/>
      <c r="CES36" s="974"/>
      <c r="CET36" s="974"/>
      <c r="CEU36" s="974"/>
      <c r="CEV36" s="974"/>
      <c r="CEW36" s="974"/>
      <c r="CEX36" s="974"/>
      <c r="CEY36" s="974"/>
      <c r="CEZ36" s="974"/>
      <c r="CFA36" s="974"/>
      <c r="CFB36" s="974"/>
      <c r="CFC36" s="974"/>
      <c r="CFD36" s="974"/>
      <c r="CFE36" s="974"/>
      <c r="CFF36" s="974"/>
      <c r="CFG36" s="974"/>
      <c r="CFH36" s="974"/>
      <c r="CFI36" s="974"/>
      <c r="CFJ36" s="974"/>
      <c r="CFK36" s="974"/>
      <c r="CFL36" s="974"/>
      <c r="CFM36" s="974"/>
      <c r="CFN36" s="974"/>
      <c r="CFO36" s="974"/>
      <c r="CFP36" s="974"/>
      <c r="CFQ36" s="974"/>
      <c r="CFR36" s="974"/>
      <c r="CFS36" s="974"/>
      <c r="CFT36" s="974"/>
      <c r="CFU36" s="974"/>
      <c r="CFV36" s="974"/>
      <c r="CFW36" s="974"/>
      <c r="CFX36" s="974"/>
      <c r="CFY36" s="974"/>
      <c r="CFZ36" s="974"/>
      <c r="CGA36" s="974"/>
      <c r="CGB36" s="974"/>
      <c r="CGC36" s="974"/>
      <c r="CGD36" s="974"/>
      <c r="CGE36" s="974"/>
      <c r="CGF36" s="974"/>
      <c r="CGG36" s="974"/>
      <c r="CGH36" s="974"/>
      <c r="CGI36" s="974"/>
      <c r="CGJ36" s="974"/>
      <c r="CGK36" s="974"/>
      <c r="CGL36" s="974"/>
      <c r="CGM36" s="974"/>
      <c r="CGN36" s="974"/>
      <c r="CGO36" s="974"/>
      <c r="CGP36" s="974"/>
      <c r="CGQ36" s="974"/>
      <c r="CGR36" s="974"/>
      <c r="CGS36" s="974"/>
      <c r="CGT36" s="974"/>
      <c r="CGU36" s="974"/>
      <c r="CGV36" s="974"/>
      <c r="CGW36" s="974"/>
      <c r="CGX36" s="974"/>
      <c r="CGY36" s="974"/>
      <c r="CGZ36" s="974"/>
      <c r="CHA36" s="974"/>
      <c r="CHB36" s="974"/>
      <c r="CHC36" s="974"/>
      <c r="CHD36" s="974"/>
      <c r="CHE36" s="974"/>
      <c r="CHF36" s="974"/>
      <c r="CHG36" s="974"/>
      <c r="CHH36" s="974"/>
      <c r="CHI36" s="974"/>
      <c r="CHJ36" s="974"/>
      <c r="CHK36" s="974"/>
      <c r="CHL36" s="974"/>
      <c r="CHM36" s="974"/>
      <c r="CHN36" s="974"/>
      <c r="CHO36" s="974"/>
      <c r="CHP36" s="974"/>
      <c r="CHQ36" s="974"/>
      <c r="CHR36" s="974"/>
      <c r="CHS36" s="974"/>
      <c r="CHT36" s="974"/>
      <c r="CHU36" s="974"/>
      <c r="CHV36" s="974"/>
      <c r="CHW36" s="974"/>
      <c r="CHX36" s="974"/>
      <c r="CHY36" s="974"/>
      <c r="CHZ36" s="974"/>
      <c r="CIA36" s="974"/>
      <c r="CIB36" s="974"/>
      <c r="CIC36" s="974"/>
      <c r="CID36" s="974"/>
      <c r="CIE36" s="974"/>
      <c r="CIF36" s="974"/>
      <c r="CIG36" s="974"/>
      <c r="CIH36" s="974"/>
      <c r="CII36" s="974"/>
      <c r="CIJ36" s="974"/>
      <c r="CIK36" s="974"/>
      <c r="CIL36" s="974"/>
      <c r="CIM36" s="974"/>
      <c r="CIN36" s="974"/>
      <c r="CIO36" s="974"/>
      <c r="CIP36" s="974"/>
      <c r="CIQ36" s="974"/>
      <c r="CIR36" s="974"/>
      <c r="CIS36" s="974"/>
      <c r="CIT36" s="974"/>
      <c r="CIU36" s="974"/>
      <c r="CIV36" s="974"/>
      <c r="CIW36" s="974"/>
      <c r="CIX36" s="974"/>
      <c r="CIY36" s="974"/>
      <c r="CIZ36" s="974"/>
      <c r="CJA36" s="974"/>
      <c r="CJB36" s="974"/>
      <c r="CJC36" s="974"/>
      <c r="CJD36" s="974"/>
      <c r="CJE36" s="974"/>
      <c r="CJF36" s="974"/>
      <c r="CJG36" s="974"/>
      <c r="CJH36" s="974"/>
      <c r="CJI36" s="974"/>
      <c r="CJJ36" s="974"/>
      <c r="CJK36" s="974"/>
      <c r="CJL36" s="974"/>
      <c r="CJM36" s="974"/>
      <c r="CJN36" s="974"/>
      <c r="CJO36" s="974"/>
      <c r="CJP36" s="974"/>
      <c r="CJQ36" s="974"/>
      <c r="CJR36" s="974"/>
      <c r="CJS36" s="974"/>
      <c r="CJT36" s="974"/>
      <c r="CJU36" s="974"/>
      <c r="CJV36" s="974"/>
      <c r="CJW36" s="974"/>
      <c r="CJX36" s="974"/>
      <c r="CJY36" s="974"/>
      <c r="CJZ36" s="974"/>
      <c r="CKA36" s="974"/>
      <c r="CKB36" s="974"/>
      <c r="CKC36" s="974"/>
      <c r="CKD36" s="974"/>
      <c r="CKE36" s="974"/>
      <c r="CKF36" s="974"/>
      <c r="CKG36" s="974"/>
      <c r="CKH36" s="974"/>
      <c r="CKI36" s="974"/>
      <c r="CKJ36" s="974"/>
      <c r="CKK36" s="974"/>
      <c r="CKL36" s="974"/>
      <c r="CKM36" s="974"/>
      <c r="CKN36" s="974"/>
      <c r="CKO36" s="974"/>
      <c r="CKP36" s="974"/>
      <c r="CKQ36" s="974"/>
      <c r="CKR36" s="974"/>
      <c r="CKS36" s="974"/>
      <c r="CKT36" s="974"/>
      <c r="CKU36" s="974"/>
      <c r="CKV36" s="974"/>
      <c r="CKW36" s="974"/>
      <c r="CKX36" s="974"/>
      <c r="CKY36" s="974"/>
      <c r="CKZ36" s="974"/>
      <c r="CLA36" s="974"/>
      <c r="CLB36" s="974"/>
      <c r="CLC36" s="974"/>
      <c r="CLD36" s="974"/>
      <c r="CLE36" s="974"/>
      <c r="CLF36" s="974"/>
      <c r="CLG36" s="974"/>
      <c r="CLH36" s="974"/>
      <c r="CLI36" s="974"/>
      <c r="CLJ36" s="974"/>
      <c r="CLK36" s="974"/>
      <c r="CLL36" s="974"/>
      <c r="CLM36" s="974"/>
      <c r="CLN36" s="974"/>
      <c r="CLO36" s="974"/>
      <c r="CLP36" s="974"/>
      <c r="CLQ36" s="974"/>
      <c r="CLR36" s="974"/>
      <c r="CLS36" s="974"/>
      <c r="CLT36" s="974"/>
      <c r="CLU36" s="974"/>
      <c r="CLV36" s="974"/>
      <c r="CLW36" s="974"/>
      <c r="CLX36" s="974"/>
      <c r="CLY36" s="974"/>
      <c r="CLZ36" s="974"/>
      <c r="CMA36" s="974"/>
      <c r="CMB36" s="974"/>
      <c r="CMC36" s="974"/>
      <c r="CMD36" s="974"/>
      <c r="CME36" s="974"/>
      <c r="CMF36" s="974"/>
      <c r="CMG36" s="974"/>
      <c r="CMH36" s="974"/>
      <c r="CMI36" s="974"/>
      <c r="CMJ36" s="974"/>
      <c r="CMK36" s="974"/>
      <c r="CML36" s="974"/>
      <c r="CMM36" s="974"/>
      <c r="CMN36" s="974"/>
      <c r="CMO36" s="974"/>
      <c r="CMP36" s="974"/>
      <c r="CMQ36" s="974"/>
      <c r="CMR36" s="974"/>
      <c r="CMS36" s="974"/>
      <c r="CMT36" s="974"/>
      <c r="CMU36" s="974"/>
      <c r="CMV36" s="974"/>
      <c r="CMW36" s="974"/>
      <c r="CMX36" s="974"/>
      <c r="CMY36" s="974"/>
      <c r="CMZ36" s="974"/>
      <c r="CNA36" s="974"/>
      <c r="CNB36" s="974"/>
      <c r="CNC36" s="974"/>
      <c r="CND36" s="974"/>
      <c r="CNE36" s="974"/>
      <c r="CNF36" s="974"/>
      <c r="CNG36" s="974"/>
      <c r="CNH36" s="974"/>
      <c r="CNI36" s="974"/>
      <c r="CNJ36" s="974"/>
      <c r="CNK36" s="974"/>
      <c r="CNL36" s="974"/>
      <c r="CNM36" s="974"/>
      <c r="CNN36" s="974"/>
      <c r="CNO36" s="974"/>
      <c r="CNP36" s="974"/>
      <c r="CNQ36" s="974"/>
      <c r="CNR36" s="974"/>
      <c r="CNS36" s="974"/>
      <c r="CNT36" s="974"/>
      <c r="CNU36" s="974"/>
      <c r="CNV36" s="974"/>
      <c r="CNW36" s="974"/>
      <c r="CNX36" s="974"/>
      <c r="CNY36" s="974"/>
      <c r="CNZ36" s="974"/>
      <c r="COA36" s="974"/>
      <c r="COB36" s="974"/>
      <c r="COC36" s="974"/>
      <c r="COD36" s="974"/>
      <c r="COE36" s="974"/>
      <c r="COF36" s="974"/>
      <c r="COG36" s="974"/>
      <c r="COH36" s="974"/>
      <c r="COI36" s="974"/>
      <c r="COJ36" s="974"/>
      <c r="COK36" s="974"/>
      <c r="COL36" s="974"/>
      <c r="COM36" s="974"/>
      <c r="CON36" s="974"/>
      <c r="COO36" s="974"/>
      <c r="COP36" s="974"/>
      <c r="COQ36" s="974"/>
      <c r="COR36" s="974"/>
      <c r="COS36" s="974"/>
      <c r="COT36" s="974"/>
      <c r="COU36" s="974"/>
      <c r="COV36" s="974"/>
      <c r="COW36" s="974"/>
      <c r="COX36" s="974"/>
      <c r="COY36" s="974"/>
      <c r="COZ36" s="974"/>
      <c r="CPA36" s="974"/>
      <c r="CPB36" s="974"/>
      <c r="CPC36" s="974"/>
      <c r="CPD36" s="974"/>
      <c r="CPE36" s="974"/>
      <c r="CPF36" s="974"/>
      <c r="CPG36" s="974"/>
      <c r="CPH36" s="974"/>
      <c r="CPI36" s="974"/>
      <c r="CPJ36" s="974"/>
      <c r="CPK36" s="974"/>
      <c r="CPL36" s="974"/>
      <c r="CPM36" s="974"/>
      <c r="CPN36" s="974"/>
      <c r="CPO36" s="974"/>
      <c r="CPP36" s="974"/>
      <c r="CPQ36" s="974"/>
      <c r="CPR36" s="974"/>
      <c r="CPS36" s="974"/>
      <c r="CPT36" s="974"/>
      <c r="CPU36" s="974"/>
      <c r="CPV36" s="974"/>
      <c r="CPW36" s="974"/>
      <c r="CPX36" s="974"/>
      <c r="CPY36" s="974"/>
      <c r="CPZ36" s="974"/>
      <c r="CQA36" s="974"/>
      <c r="CQB36" s="974"/>
      <c r="CQC36" s="974"/>
      <c r="CQD36" s="974"/>
      <c r="CQE36" s="974"/>
      <c r="CQF36" s="974"/>
      <c r="CQG36" s="974"/>
      <c r="CQH36" s="974"/>
      <c r="CQI36" s="974"/>
      <c r="CQJ36" s="974"/>
      <c r="CQK36" s="974"/>
      <c r="CQL36" s="974"/>
      <c r="CQM36" s="974"/>
      <c r="CQN36" s="974"/>
      <c r="CQO36" s="974"/>
      <c r="CQP36" s="974"/>
      <c r="CQQ36" s="974"/>
      <c r="CQR36" s="974"/>
      <c r="CQS36" s="974"/>
      <c r="CQT36" s="974"/>
      <c r="CQU36" s="974"/>
      <c r="CQV36" s="974"/>
      <c r="CQW36" s="974"/>
      <c r="CQX36" s="974"/>
      <c r="CQY36" s="974"/>
      <c r="CQZ36" s="974"/>
      <c r="CRA36" s="974"/>
      <c r="CRB36" s="974"/>
      <c r="CRC36" s="974"/>
      <c r="CRD36" s="974"/>
      <c r="CRE36" s="974"/>
      <c r="CRF36" s="974"/>
      <c r="CRG36" s="974"/>
      <c r="CRH36" s="974"/>
      <c r="CRI36" s="974"/>
      <c r="CRJ36" s="974"/>
      <c r="CRK36" s="974"/>
      <c r="CRL36" s="974"/>
      <c r="CRM36" s="974"/>
      <c r="CRN36" s="974"/>
      <c r="CRO36" s="974"/>
      <c r="CRP36" s="974"/>
      <c r="CRQ36" s="974"/>
      <c r="CRR36" s="974"/>
      <c r="CRS36" s="974"/>
      <c r="CRT36" s="974"/>
      <c r="CRU36" s="974"/>
      <c r="CRV36" s="974"/>
      <c r="CRW36" s="974"/>
      <c r="CRX36" s="974"/>
      <c r="CRY36" s="974"/>
      <c r="CRZ36" s="974"/>
      <c r="CSA36" s="974"/>
      <c r="CSB36" s="974"/>
      <c r="CSC36" s="974"/>
      <c r="CSD36" s="974"/>
      <c r="CSE36" s="974"/>
      <c r="CSF36" s="974"/>
      <c r="CSG36" s="974"/>
      <c r="CSH36" s="974"/>
      <c r="CSI36" s="974"/>
      <c r="CSJ36" s="974"/>
      <c r="CSK36" s="974"/>
      <c r="CSL36" s="974"/>
      <c r="CSM36" s="974"/>
      <c r="CSN36" s="974"/>
      <c r="CSO36" s="974"/>
      <c r="CSP36" s="974"/>
      <c r="CSQ36" s="974"/>
      <c r="CSR36" s="974"/>
      <c r="CSS36" s="974"/>
      <c r="CST36" s="974"/>
      <c r="CSU36" s="974"/>
      <c r="CSV36" s="974"/>
      <c r="CSW36" s="974"/>
      <c r="CSX36" s="974"/>
      <c r="CSY36" s="974"/>
      <c r="CSZ36" s="974"/>
      <c r="CTA36" s="974"/>
      <c r="CTB36" s="974"/>
      <c r="CTC36" s="974"/>
      <c r="CTD36" s="974"/>
      <c r="CTE36" s="974"/>
      <c r="CTF36" s="974"/>
      <c r="CTG36" s="974"/>
      <c r="CTH36" s="974"/>
      <c r="CTI36" s="974"/>
      <c r="CTJ36" s="974"/>
      <c r="CTK36" s="974"/>
      <c r="CTL36" s="974"/>
      <c r="CTM36" s="974"/>
      <c r="CTN36" s="974"/>
      <c r="CTO36" s="974"/>
      <c r="CTP36" s="974"/>
      <c r="CTQ36" s="974"/>
      <c r="CTR36" s="974"/>
      <c r="CTS36" s="974"/>
      <c r="CTT36" s="974"/>
      <c r="CTU36" s="974"/>
      <c r="CTV36" s="974"/>
      <c r="CTW36" s="974"/>
      <c r="CTX36" s="974"/>
      <c r="CTY36" s="974"/>
      <c r="CTZ36" s="974"/>
      <c r="CUA36" s="974"/>
      <c r="CUB36" s="974"/>
      <c r="CUC36" s="974"/>
      <c r="CUD36" s="974"/>
      <c r="CUE36" s="974"/>
      <c r="CUF36" s="974"/>
      <c r="CUG36" s="974"/>
      <c r="CUH36" s="974"/>
      <c r="CUI36" s="974"/>
      <c r="CUJ36" s="974"/>
      <c r="CUK36" s="974"/>
      <c r="CUL36" s="974"/>
      <c r="CUM36" s="974"/>
      <c r="CUN36" s="974"/>
      <c r="CUO36" s="974"/>
      <c r="CUP36" s="974"/>
      <c r="CUQ36" s="974"/>
      <c r="CUR36" s="974"/>
      <c r="CUS36" s="974"/>
      <c r="CUT36" s="974"/>
      <c r="CUU36" s="974"/>
      <c r="CUV36" s="974"/>
      <c r="CUW36" s="974"/>
      <c r="CUX36" s="974"/>
      <c r="CUY36" s="974"/>
      <c r="CUZ36" s="974"/>
      <c r="CVA36" s="974"/>
      <c r="CVB36" s="974"/>
      <c r="CVC36" s="974"/>
      <c r="CVD36" s="974"/>
      <c r="CVE36" s="974"/>
      <c r="CVF36" s="974"/>
      <c r="CVG36" s="974"/>
      <c r="CVH36" s="974"/>
      <c r="CVI36" s="974"/>
      <c r="CVJ36" s="974"/>
      <c r="CVK36" s="974"/>
      <c r="CVL36" s="974"/>
      <c r="CVM36" s="974"/>
      <c r="CVN36" s="974"/>
      <c r="CVO36" s="974"/>
      <c r="CVP36" s="974"/>
      <c r="CVQ36" s="974"/>
      <c r="CVR36" s="974"/>
      <c r="CVS36" s="974"/>
      <c r="CVT36" s="974"/>
      <c r="CVU36" s="974"/>
      <c r="CVV36" s="974"/>
      <c r="CVW36" s="974"/>
      <c r="CVX36" s="974"/>
      <c r="CVY36" s="974"/>
      <c r="CVZ36" s="974"/>
      <c r="CWA36" s="974"/>
      <c r="CWB36" s="974"/>
      <c r="CWC36" s="974"/>
      <c r="CWD36" s="974"/>
      <c r="CWE36" s="974"/>
      <c r="CWF36" s="974"/>
      <c r="CWG36" s="974"/>
      <c r="CWH36" s="974"/>
      <c r="CWI36" s="974"/>
      <c r="CWJ36" s="974"/>
      <c r="CWK36" s="974"/>
      <c r="CWL36" s="974"/>
      <c r="CWM36" s="974"/>
      <c r="CWN36" s="974"/>
      <c r="CWO36" s="974"/>
      <c r="CWP36" s="974"/>
      <c r="CWQ36" s="974"/>
      <c r="CWR36" s="974"/>
      <c r="CWS36" s="974"/>
      <c r="CWT36" s="974"/>
      <c r="CWU36" s="974"/>
      <c r="CWV36" s="974"/>
      <c r="CWW36" s="974"/>
      <c r="CWX36" s="974"/>
      <c r="CWY36" s="974"/>
      <c r="CWZ36" s="974"/>
      <c r="CXA36" s="974"/>
      <c r="CXB36" s="974"/>
      <c r="CXC36" s="974"/>
      <c r="CXD36" s="974"/>
      <c r="CXE36" s="974"/>
      <c r="CXF36" s="974"/>
      <c r="CXG36" s="974"/>
      <c r="CXH36" s="974"/>
      <c r="CXI36" s="974"/>
      <c r="CXJ36" s="974"/>
      <c r="CXK36" s="974"/>
      <c r="CXL36" s="974"/>
      <c r="CXM36" s="974"/>
      <c r="CXN36" s="974"/>
      <c r="CXO36" s="974"/>
      <c r="CXP36" s="974"/>
      <c r="CXQ36" s="974"/>
      <c r="CXR36" s="974"/>
      <c r="CXS36" s="974"/>
      <c r="CXT36" s="974"/>
      <c r="CXU36" s="974"/>
      <c r="CXV36" s="974"/>
      <c r="CXW36" s="974"/>
      <c r="CXX36" s="974"/>
      <c r="CXY36" s="974"/>
      <c r="CXZ36" s="974"/>
      <c r="CYA36" s="974"/>
      <c r="CYB36" s="974"/>
      <c r="CYC36" s="974"/>
      <c r="CYD36" s="974"/>
      <c r="CYE36" s="974"/>
      <c r="CYF36" s="974"/>
      <c r="CYG36" s="974"/>
      <c r="CYH36" s="974"/>
      <c r="CYI36" s="974"/>
      <c r="CYJ36" s="974"/>
      <c r="CYK36" s="974"/>
      <c r="CYL36" s="974"/>
      <c r="CYM36" s="974"/>
      <c r="CYN36" s="974"/>
      <c r="CYO36" s="974"/>
      <c r="CYP36" s="974"/>
      <c r="CYQ36" s="974"/>
      <c r="CYR36" s="974"/>
      <c r="CYS36" s="974"/>
      <c r="CYT36" s="974"/>
      <c r="CYU36" s="974"/>
      <c r="CYV36" s="974"/>
      <c r="CYW36" s="974"/>
      <c r="CYX36" s="974"/>
      <c r="CYY36" s="974"/>
      <c r="CYZ36" s="974"/>
      <c r="CZA36" s="974"/>
      <c r="CZB36" s="974"/>
      <c r="CZC36" s="974"/>
      <c r="CZD36" s="974"/>
      <c r="CZE36" s="974"/>
      <c r="CZF36" s="974"/>
      <c r="CZG36" s="974"/>
      <c r="CZH36" s="974"/>
      <c r="CZI36" s="974"/>
      <c r="CZJ36" s="974"/>
      <c r="CZK36" s="974"/>
      <c r="CZL36" s="974"/>
      <c r="CZM36" s="974"/>
      <c r="CZN36" s="974"/>
      <c r="CZO36" s="974"/>
      <c r="CZP36" s="974"/>
      <c r="CZQ36" s="974"/>
      <c r="CZR36" s="974"/>
      <c r="CZS36" s="974"/>
      <c r="CZT36" s="974"/>
      <c r="CZU36" s="974"/>
      <c r="CZV36" s="974"/>
      <c r="CZW36" s="974"/>
      <c r="CZX36" s="974"/>
      <c r="CZY36" s="974"/>
      <c r="CZZ36" s="974"/>
      <c r="DAA36" s="974"/>
      <c r="DAB36" s="974"/>
      <c r="DAC36" s="974"/>
      <c r="DAD36" s="974"/>
      <c r="DAE36" s="974"/>
      <c r="DAF36" s="974"/>
      <c r="DAG36" s="974"/>
      <c r="DAH36" s="974"/>
      <c r="DAI36" s="974"/>
      <c r="DAJ36" s="974"/>
      <c r="DAK36" s="974"/>
      <c r="DAL36" s="974"/>
      <c r="DAM36" s="974"/>
      <c r="DAN36" s="974"/>
      <c r="DAO36" s="974"/>
      <c r="DAP36" s="974"/>
      <c r="DAQ36" s="974"/>
      <c r="DAR36" s="974"/>
      <c r="DAS36" s="974"/>
      <c r="DAT36" s="974"/>
      <c r="DAU36" s="974"/>
      <c r="DAV36" s="974"/>
      <c r="DAW36" s="974"/>
      <c r="DAX36" s="974"/>
      <c r="DAY36" s="974"/>
      <c r="DAZ36" s="974"/>
      <c r="DBA36" s="974"/>
      <c r="DBB36" s="974"/>
      <c r="DBC36" s="974"/>
      <c r="DBD36" s="974"/>
      <c r="DBE36" s="974"/>
      <c r="DBF36" s="974"/>
      <c r="DBG36" s="974"/>
      <c r="DBH36" s="974"/>
      <c r="DBI36" s="974"/>
      <c r="DBJ36" s="974"/>
      <c r="DBK36" s="974"/>
      <c r="DBL36" s="974"/>
      <c r="DBM36" s="974"/>
      <c r="DBN36" s="974"/>
      <c r="DBO36" s="974"/>
      <c r="DBP36" s="974"/>
      <c r="DBQ36" s="974"/>
      <c r="DBR36" s="974"/>
      <c r="DBS36" s="974"/>
      <c r="DBT36" s="974"/>
      <c r="DBU36" s="974"/>
      <c r="DBV36" s="974"/>
      <c r="DBW36" s="974"/>
      <c r="DBX36" s="974"/>
      <c r="DBY36" s="974"/>
      <c r="DBZ36" s="974"/>
      <c r="DCA36" s="974"/>
      <c r="DCB36" s="974"/>
      <c r="DCC36" s="974"/>
      <c r="DCD36" s="974"/>
      <c r="DCE36" s="974"/>
      <c r="DCF36" s="974"/>
      <c r="DCG36" s="974"/>
      <c r="DCH36" s="974"/>
      <c r="DCI36" s="974"/>
      <c r="DCJ36" s="974"/>
      <c r="DCK36" s="974"/>
      <c r="DCL36" s="974"/>
      <c r="DCM36" s="974"/>
      <c r="DCN36" s="974"/>
      <c r="DCO36" s="974"/>
      <c r="DCP36" s="974"/>
      <c r="DCQ36" s="974"/>
      <c r="DCR36" s="974"/>
      <c r="DCS36" s="974"/>
      <c r="DCT36" s="974"/>
      <c r="DCU36" s="974"/>
      <c r="DCV36" s="974"/>
      <c r="DCW36" s="974"/>
      <c r="DCX36" s="974"/>
      <c r="DCY36" s="974"/>
      <c r="DCZ36" s="974"/>
      <c r="DDA36" s="974"/>
      <c r="DDB36" s="974"/>
      <c r="DDC36" s="974"/>
      <c r="DDD36" s="974"/>
      <c r="DDE36" s="974"/>
      <c r="DDF36" s="974"/>
      <c r="DDG36" s="974"/>
      <c r="DDH36" s="974"/>
      <c r="DDI36" s="974"/>
      <c r="DDJ36" s="974"/>
      <c r="DDK36" s="974"/>
      <c r="DDL36" s="974"/>
      <c r="DDM36" s="974"/>
      <c r="DDN36" s="974"/>
      <c r="DDO36" s="974"/>
      <c r="DDP36" s="974"/>
      <c r="DDQ36" s="974"/>
      <c r="DDR36" s="974"/>
      <c r="DDS36" s="974"/>
      <c r="DDT36" s="974"/>
      <c r="DDU36" s="974"/>
      <c r="DDV36" s="974"/>
      <c r="DDW36" s="974"/>
      <c r="DDX36" s="974"/>
      <c r="DDY36" s="974"/>
      <c r="DDZ36" s="974"/>
      <c r="DEA36" s="974"/>
      <c r="DEB36" s="974"/>
      <c r="DEC36" s="974"/>
      <c r="DED36" s="974"/>
      <c r="DEE36" s="974"/>
      <c r="DEF36" s="974"/>
      <c r="DEG36" s="974"/>
      <c r="DEH36" s="974"/>
      <c r="DEI36" s="974"/>
      <c r="DEJ36" s="974"/>
      <c r="DEK36" s="974"/>
      <c r="DEL36" s="974"/>
      <c r="DEM36" s="974"/>
      <c r="DEN36" s="974"/>
      <c r="DEO36" s="974"/>
      <c r="DEP36" s="974"/>
      <c r="DEQ36" s="974"/>
      <c r="DER36" s="974"/>
      <c r="DES36" s="974"/>
      <c r="DET36" s="974"/>
      <c r="DEU36" s="974"/>
      <c r="DEV36" s="974"/>
      <c r="DEW36" s="974"/>
      <c r="DEX36" s="974"/>
      <c r="DEY36" s="974"/>
      <c r="DEZ36" s="974"/>
      <c r="DFA36" s="974"/>
      <c r="DFB36" s="974"/>
      <c r="DFC36" s="974"/>
      <c r="DFD36" s="974"/>
      <c r="DFE36" s="974"/>
      <c r="DFF36" s="974"/>
      <c r="DFG36" s="974"/>
      <c r="DFH36" s="974"/>
      <c r="DFI36" s="974"/>
      <c r="DFJ36" s="974"/>
      <c r="DFK36" s="974"/>
      <c r="DFL36" s="974"/>
      <c r="DFM36" s="974"/>
      <c r="DFN36" s="974"/>
      <c r="DFO36" s="974"/>
      <c r="DFP36" s="974"/>
      <c r="DFQ36" s="974"/>
      <c r="DFR36" s="974"/>
      <c r="DFS36" s="974"/>
      <c r="DFT36" s="974"/>
      <c r="DFU36" s="974"/>
      <c r="DFV36" s="974"/>
      <c r="DFW36" s="974"/>
      <c r="DFX36" s="974"/>
      <c r="DFY36" s="974"/>
      <c r="DFZ36" s="974"/>
      <c r="DGA36" s="974"/>
      <c r="DGB36" s="974"/>
      <c r="DGC36" s="974"/>
      <c r="DGD36" s="974"/>
      <c r="DGE36" s="974"/>
      <c r="DGF36" s="974"/>
      <c r="DGG36" s="974"/>
      <c r="DGH36" s="974"/>
      <c r="DGI36" s="974"/>
      <c r="DGJ36" s="974"/>
      <c r="DGK36" s="974"/>
      <c r="DGL36" s="974"/>
      <c r="DGM36" s="974"/>
      <c r="DGN36" s="974"/>
      <c r="DGO36" s="974"/>
      <c r="DGP36" s="974"/>
      <c r="DGQ36" s="974"/>
      <c r="DGR36" s="974"/>
      <c r="DGS36" s="974"/>
      <c r="DGT36" s="974"/>
      <c r="DGU36" s="974"/>
      <c r="DGV36" s="974"/>
      <c r="DGW36" s="974"/>
      <c r="DGX36" s="974"/>
      <c r="DGY36" s="974"/>
      <c r="DGZ36" s="974"/>
      <c r="DHA36" s="974"/>
      <c r="DHB36" s="974"/>
      <c r="DHC36" s="974"/>
      <c r="DHD36" s="974"/>
      <c r="DHE36" s="974"/>
      <c r="DHF36" s="974"/>
      <c r="DHG36" s="974"/>
      <c r="DHH36" s="974"/>
      <c r="DHI36" s="974"/>
      <c r="DHJ36" s="974"/>
      <c r="DHK36" s="974"/>
      <c r="DHL36" s="974"/>
      <c r="DHM36" s="974"/>
      <c r="DHN36" s="974"/>
      <c r="DHO36" s="974"/>
      <c r="DHP36" s="974"/>
      <c r="DHQ36" s="974"/>
      <c r="DHR36" s="974"/>
      <c r="DHS36" s="974"/>
      <c r="DHT36" s="974"/>
      <c r="DHU36" s="974"/>
      <c r="DHV36" s="974"/>
      <c r="DHW36" s="974"/>
      <c r="DHX36" s="974"/>
      <c r="DHY36" s="974"/>
      <c r="DHZ36" s="974"/>
      <c r="DIA36" s="974"/>
      <c r="DIB36" s="974"/>
      <c r="DIC36" s="974"/>
      <c r="DID36" s="974"/>
      <c r="DIE36" s="974"/>
      <c r="DIF36" s="974"/>
      <c r="DIG36" s="974"/>
      <c r="DIH36" s="974"/>
      <c r="DII36" s="974"/>
      <c r="DIJ36" s="974"/>
      <c r="DIK36" s="974"/>
      <c r="DIL36" s="974"/>
      <c r="DIM36" s="974"/>
      <c r="DIN36" s="974"/>
      <c r="DIO36" s="974"/>
      <c r="DIP36" s="974"/>
      <c r="DIQ36" s="974"/>
      <c r="DIR36" s="974"/>
      <c r="DIS36" s="974"/>
      <c r="DIT36" s="974"/>
      <c r="DIU36" s="974"/>
      <c r="DIV36" s="974"/>
      <c r="DIW36" s="974"/>
      <c r="DIX36" s="974"/>
      <c r="DIY36" s="974"/>
      <c r="DIZ36" s="974"/>
      <c r="DJA36" s="974"/>
      <c r="DJB36" s="974"/>
      <c r="DJC36" s="974"/>
      <c r="DJD36" s="974"/>
      <c r="DJE36" s="974"/>
      <c r="DJF36" s="974"/>
      <c r="DJG36" s="974"/>
      <c r="DJH36" s="974"/>
      <c r="DJI36" s="974"/>
      <c r="DJJ36" s="974"/>
      <c r="DJK36" s="974"/>
      <c r="DJL36" s="974"/>
      <c r="DJM36" s="974"/>
      <c r="DJN36" s="974"/>
      <c r="DJO36" s="974"/>
      <c r="DJP36" s="974"/>
      <c r="DJQ36" s="974"/>
      <c r="DJR36" s="974"/>
      <c r="DJS36" s="974"/>
      <c r="DJT36" s="974"/>
      <c r="DJU36" s="974"/>
      <c r="DJV36" s="974"/>
      <c r="DJW36" s="974"/>
      <c r="DJX36" s="974"/>
      <c r="DJY36" s="974"/>
      <c r="DJZ36" s="974"/>
      <c r="DKA36" s="974"/>
      <c r="DKB36" s="974"/>
      <c r="DKC36" s="974"/>
      <c r="DKD36" s="974"/>
      <c r="DKE36" s="974"/>
      <c r="DKF36" s="974"/>
      <c r="DKG36" s="974"/>
      <c r="DKH36" s="974"/>
      <c r="DKI36" s="974"/>
      <c r="DKJ36" s="974"/>
      <c r="DKK36" s="974"/>
      <c r="DKL36" s="974"/>
      <c r="DKM36" s="974"/>
      <c r="DKN36" s="974"/>
      <c r="DKO36" s="974"/>
      <c r="DKP36" s="974"/>
      <c r="DKQ36" s="974"/>
      <c r="DKR36" s="974"/>
      <c r="DKS36" s="974"/>
      <c r="DKT36" s="974"/>
      <c r="DKU36" s="974"/>
      <c r="DKV36" s="974"/>
      <c r="DKW36" s="974"/>
      <c r="DKX36" s="974"/>
      <c r="DKY36" s="974"/>
      <c r="DKZ36" s="974"/>
      <c r="DLA36" s="974"/>
      <c r="DLB36" s="974"/>
      <c r="DLC36" s="974"/>
      <c r="DLD36" s="974"/>
      <c r="DLE36" s="974"/>
      <c r="DLF36" s="974"/>
      <c r="DLG36" s="974"/>
      <c r="DLH36" s="974"/>
      <c r="DLI36" s="974"/>
      <c r="DLJ36" s="974"/>
      <c r="DLK36" s="974"/>
      <c r="DLL36" s="974"/>
      <c r="DLM36" s="974"/>
      <c r="DLN36" s="974"/>
      <c r="DLO36" s="974"/>
      <c r="DLP36" s="974"/>
      <c r="DLQ36" s="974"/>
      <c r="DLR36" s="974"/>
      <c r="DLS36" s="974"/>
      <c r="DLT36" s="974"/>
      <c r="DLU36" s="974"/>
      <c r="DLV36" s="974"/>
      <c r="DLW36" s="974"/>
      <c r="DLX36" s="974"/>
      <c r="DLY36" s="974"/>
      <c r="DLZ36" s="974"/>
      <c r="DMA36" s="974"/>
      <c r="DMB36" s="974"/>
      <c r="DMC36" s="974"/>
      <c r="DMD36" s="974"/>
      <c r="DME36" s="974"/>
      <c r="DMF36" s="974"/>
      <c r="DMG36" s="974"/>
      <c r="DMH36" s="974"/>
      <c r="DMI36" s="974"/>
      <c r="DMJ36" s="974"/>
      <c r="DMK36" s="974"/>
      <c r="DML36" s="974"/>
      <c r="DMM36" s="974"/>
      <c r="DMN36" s="974"/>
      <c r="DMO36" s="974"/>
      <c r="DMP36" s="974"/>
      <c r="DMQ36" s="974"/>
      <c r="DMR36" s="974"/>
      <c r="DMS36" s="974"/>
      <c r="DMT36" s="974"/>
      <c r="DMU36" s="974"/>
      <c r="DMV36" s="974"/>
      <c r="DMW36" s="974"/>
      <c r="DMX36" s="974"/>
      <c r="DMY36" s="974"/>
      <c r="DMZ36" s="974"/>
      <c r="DNA36" s="974"/>
      <c r="DNB36" s="974"/>
      <c r="DNC36" s="974"/>
      <c r="DND36" s="974"/>
      <c r="DNE36" s="974"/>
      <c r="DNF36" s="974"/>
      <c r="DNG36" s="974"/>
      <c r="DNH36" s="974"/>
      <c r="DNI36" s="974"/>
      <c r="DNJ36" s="974"/>
      <c r="DNK36" s="974"/>
      <c r="DNL36" s="974"/>
      <c r="DNM36" s="974"/>
      <c r="DNN36" s="974"/>
      <c r="DNO36" s="974"/>
      <c r="DNP36" s="974"/>
      <c r="DNQ36" s="974"/>
      <c r="DNR36" s="974"/>
      <c r="DNS36" s="974"/>
      <c r="DNT36" s="974"/>
      <c r="DNU36" s="974"/>
      <c r="DNV36" s="974"/>
      <c r="DNW36" s="974"/>
      <c r="DNX36" s="974"/>
      <c r="DNY36" s="974"/>
      <c r="DNZ36" s="974"/>
      <c r="DOA36" s="974"/>
      <c r="DOB36" s="974"/>
      <c r="DOC36" s="974"/>
      <c r="DOD36" s="974"/>
      <c r="DOE36" s="974"/>
      <c r="DOF36" s="974"/>
      <c r="DOG36" s="974"/>
      <c r="DOH36" s="974"/>
      <c r="DOI36" s="974"/>
      <c r="DOJ36" s="974"/>
      <c r="DOK36" s="974"/>
      <c r="DOL36" s="974"/>
      <c r="DOM36" s="974"/>
      <c r="DON36" s="974"/>
      <c r="DOO36" s="974"/>
      <c r="DOP36" s="974"/>
      <c r="DOQ36" s="974"/>
      <c r="DOR36" s="974"/>
      <c r="DOS36" s="974"/>
      <c r="DOT36" s="974"/>
      <c r="DOU36" s="974"/>
      <c r="DOV36" s="974"/>
      <c r="DOW36" s="974"/>
      <c r="DOX36" s="974"/>
      <c r="DOY36" s="974"/>
      <c r="DOZ36" s="974"/>
      <c r="DPA36" s="974"/>
      <c r="DPB36" s="974"/>
      <c r="DPC36" s="974"/>
      <c r="DPD36" s="974"/>
      <c r="DPE36" s="974"/>
      <c r="DPF36" s="974"/>
      <c r="DPG36" s="974"/>
      <c r="DPH36" s="974"/>
      <c r="DPI36" s="974"/>
      <c r="DPJ36" s="974"/>
      <c r="DPK36" s="974"/>
      <c r="DPL36" s="974"/>
      <c r="DPM36" s="974"/>
      <c r="DPN36" s="974"/>
      <c r="DPO36" s="974"/>
      <c r="DPP36" s="974"/>
      <c r="DPQ36" s="974"/>
      <c r="DPR36" s="974"/>
      <c r="DPS36" s="974"/>
      <c r="DPT36" s="974"/>
      <c r="DPU36" s="974"/>
      <c r="DPV36" s="974"/>
      <c r="DPW36" s="974"/>
      <c r="DPX36" s="974"/>
      <c r="DPY36" s="974"/>
      <c r="DPZ36" s="974"/>
      <c r="DQA36" s="974"/>
      <c r="DQB36" s="974"/>
      <c r="DQC36" s="974"/>
      <c r="DQD36" s="974"/>
      <c r="DQE36" s="974"/>
      <c r="DQF36" s="974"/>
      <c r="DQG36" s="974"/>
      <c r="DQH36" s="974"/>
      <c r="DQI36" s="974"/>
      <c r="DQJ36" s="974"/>
      <c r="DQK36" s="974"/>
      <c r="DQL36" s="974"/>
      <c r="DQM36" s="974"/>
      <c r="DQN36" s="974"/>
      <c r="DQO36" s="974"/>
      <c r="DQP36" s="974"/>
      <c r="DQQ36" s="974"/>
      <c r="DQR36" s="974"/>
      <c r="DQS36" s="974"/>
      <c r="DQT36" s="974"/>
      <c r="DQU36" s="974"/>
      <c r="DQV36" s="974"/>
      <c r="DQW36" s="974"/>
      <c r="DQX36" s="974"/>
      <c r="DQY36" s="974"/>
      <c r="DQZ36" s="974"/>
      <c r="DRA36" s="974"/>
      <c r="DRB36" s="974"/>
      <c r="DRC36" s="974"/>
      <c r="DRD36" s="974"/>
      <c r="DRE36" s="974"/>
      <c r="DRF36" s="974"/>
      <c r="DRG36" s="974"/>
      <c r="DRH36" s="974"/>
      <c r="DRI36" s="974"/>
      <c r="DRJ36" s="974"/>
      <c r="DRK36" s="974"/>
      <c r="DRL36" s="974"/>
      <c r="DRM36" s="974"/>
      <c r="DRN36" s="974"/>
      <c r="DRO36" s="974"/>
      <c r="DRP36" s="974"/>
      <c r="DRQ36" s="974"/>
      <c r="DRR36" s="974"/>
      <c r="DRS36" s="974"/>
      <c r="DRT36" s="974"/>
      <c r="DRU36" s="974"/>
      <c r="DRV36" s="974"/>
      <c r="DRW36" s="974"/>
      <c r="DRX36" s="974"/>
      <c r="DRY36" s="974"/>
      <c r="DRZ36" s="974"/>
      <c r="DSA36" s="974"/>
      <c r="DSB36" s="974"/>
      <c r="DSC36" s="974"/>
      <c r="DSD36" s="974"/>
      <c r="DSE36" s="974"/>
      <c r="DSF36" s="974"/>
      <c r="DSG36" s="974"/>
      <c r="DSH36" s="974"/>
      <c r="DSI36" s="974"/>
      <c r="DSJ36" s="974"/>
      <c r="DSK36" s="974"/>
      <c r="DSL36" s="974"/>
      <c r="DSM36" s="974"/>
      <c r="DSN36" s="974"/>
      <c r="DSO36" s="974"/>
      <c r="DSP36" s="974"/>
      <c r="DSQ36" s="974"/>
      <c r="DSR36" s="974"/>
      <c r="DSS36" s="974"/>
      <c r="DST36" s="974"/>
      <c r="DSU36" s="974"/>
      <c r="DSV36" s="974"/>
      <c r="DSW36" s="974"/>
      <c r="DSX36" s="974"/>
      <c r="DSY36" s="974"/>
      <c r="DSZ36" s="974"/>
      <c r="DTA36" s="974"/>
      <c r="DTB36" s="974"/>
      <c r="DTC36" s="974"/>
      <c r="DTD36" s="974"/>
      <c r="DTE36" s="974"/>
      <c r="DTF36" s="974"/>
      <c r="DTG36" s="974"/>
      <c r="DTH36" s="974"/>
      <c r="DTI36" s="974"/>
      <c r="DTJ36" s="974"/>
      <c r="DTK36" s="974"/>
      <c r="DTL36" s="974"/>
      <c r="DTM36" s="974"/>
      <c r="DTN36" s="974"/>
      <c r="DTO36" s="974"/>
      <c r="DTP36" s="974"/>
      <c r="DTQ36" s="974"/>
      <c r="DTR36" s="974"/>
      <c r="DTS36" s="974"/>
      <c r="DTT36" s="974"/>
      <c r="DTU36" s="974"/>
      <c r="DTV36" s="974"/>
      <c r="DTW36" s="974"/>
      <c r="DTX36" s="974"/>
      <c r="DTY36" s="974"/>
      <c r="DTZ36" s="974"/>
      <c r="DUA36" s="974"/>
      <c r="DUB36" s="974"/>
      <c r="DUC36" s="974"/>
      <c r="DUD36" s="974"/>
      <c r="DUE36" s="974"/>
      <c r="DUF36" s="974"/>
      <c r="DUG36" s="974"/>
      <c r="DUH36" s="974"/>
      <c r="DUI36" s="974"/>
      <c r="DUJ36" s="974"/>
      <c r="DUK36" s="974"/>
      <c r="DUL36" s="974"/>
      <c r="DUM36" s="974"/>
      <c r="DUN36" s="974"/>
      <c r="DUO36" s="974"/>
      <c r="DUP36" s="974"/>
      <c r="DUQ36" s="974"/>
      <c r="DUR36" s="974"/>
      <c r="DUS36" s="974"/>
      <c r="DUT36" s="974"/>
      <c r="DUU36" s="974"/>
      <c r="DUV36" s="974"/>
      <c r="DUW36" s="974"/>
      <c r="DUX36" s="974"/>
      <c r="DUY36" s="974"/>
      <c r="DUZ36" s="974"/>
      <c r="DVA36" s="974"/>
      <c r="DVB36" s="974"/>
      <c r="DVC36" s="974"/>
      <c r="DVD36" s="974"/>
      <c r="DVE36" s="974"/>
      <c r="DVF36" s="974"/>
      <c r="DVG36" s="974"/>
      <c r="DVH36" s="974"/>
      <c r="DVI36" s="974"/>
      <c r="DVJ36" s="974"/>
      <c r="DVK36" s="974"/>
      <c r="DVL36" s="974"/>
      <c r="DVM36" s="974"/>
      <c r="DVN36" s="974"/>
      <c r="DVO36" s="974"/>
      <c r="DVP36" s="974"/>
      <c r="DVQ36" s="974"/>
      <c r="DVR36" s="974"/>
      <c r="DVS36" s="974"/>
      <c r="DVT36" s="974"/>
      <c r="DVU36" s="974"/>
      <c r="DVV36" s="974"/>
      <c r="DVW36" s="974"/>
      <c r="DVX36" s="974"/>
      <c r="DVY36" s="974"/>
      <c r="DVZ36" s="974"/>
      <c r="DWA36" s="974"/>
      <c r="DWB36" s="974"/>
      <c r="DWC36" s="974"/>
      <c r="DWD36" s="974"/>
      <c r="DWE36" s="974"/>
      <c r="DWF36" s="974"/>
      <c r="DWG36" s="974"/>
      <c r="DWH36" s="974"/>
      <c r="DWI36" s="974"/>
      <c r="DWJ36" s="974"/>
      <c r="DWK36" s="974"/>
      <c r="DWL36" s="974"/>
      <c r="DWM36" s="974"/>
      <c r="DWN36" s="974"/>
      <c r="DWO36" s="974"/>
      <c r="DWP36" s="974"/>
      <c r="DWQ36" s="974"/>
      <c r="DWR36" s="974"/>
      <c r="DWS36" s="974"/>
      <c r="DWT36" s="974"/>
      <c r="DWU36" s="974"/>
      <c r="DWV36" s="974"/>
      <c r="DWW36" s="974"/>
      <c r="DWX36" s="974"/>
      <c r="DWY36" s="974"/>
      <c r="DWZ36" s="974"/>
      <c r="DXA36" s="974"/>
      <c r="DXB36" s="974"/>
      <c r="DXC36" s="974"/>
      <c r="DXD36" s="974"/>
      <c r="DXE36" s="974"/>
      <c r="DXF36" s="974"/>
      <c r="DXG36" s="974"/>
      <c r="DXH36" s="974"/>
      <c r="DXI36" s="974"/>
      <c r="DXJ36" s="974"/>
      <c r="DXK36" s="974"/>
      <c r="DXL36" s="974"/>
      <c r="DXM36" s="974"/>
      <c r="DXN36" s="974"/>
      <c r="DXO36" s="974"/>
      <c r="DXP36" s="974"/>
      <c r="DXQ36" s="974"/>
      <c r="DXR36" s="974"/>
      <c r="DXS36" s="974"/>
      <c r="DXT36" s="974"/>
      <c r="DXU36" s="974"/>
      <c r="DXV36" s="974"/>
      <c r="DXW36" s="974"/>
      <c r="DXX36" s="974"/>
      <c r="DXY36" s="974"/>
      <c r="DXZ36" s="974"/>
      <c r="DYA36" s="974"/>
      <c r="DYB36" s="974"/>
      <c r="DYC36" s="974"/>
      <c r="DYD36" s="974"/>
      <c r="DYE36" s="974"/>
      <c r="DYF36" s="974"/>
      <c r="DYG36" s="974"/>
      <c r="DYH36" s="974"/>
      <c r="DYI36" s="974"/>
      <c r="DYJ36" s="974"/>
      <c r="DYK36" s="974"/>
      <c r="DYL36" s="974"/>
      <c r="DYM36" s="974"/>
      <c r="DYN36" s="974"/>
      <c r="DYO36" s="974"/>
      <c r="DYP36" s="974"/>
      <c r="DYQ36" s="974"/>
      <c r="DYR36" s="974"/>
      <c r="DYS36" s="974"/>
      <c r="DYT36" s="974"/>
      <c r="DYU36" s="974"/>
      <c r="DYV36" s="974"/>
      <c r="DYW36" s="974"/>
      <c r="DYX36" s="974"/>
      <c r="DYY36" s="974"/>
      <c r="DYZ36" s="974"/>
      <c r="DZA36" s="974"/>
      <c r="DZB36" s="974"/>
      <c r="DZC36" s="974"/>
      <c r="DZD36" s="974"/>
      <c r="DZE36" s="974"/>
      <c r="DZF36" s="974"/>
      <c r="DZG36" s="974"/>
      <c r="DZH36" s="974"/>
      <c r="DZI36" s="974"/>
      <c r="DZJ36" s="974"/>
      <c r="DZK36" s="974"/>
      <c r="DZL36" s="974"/>
      <c r="DZM36" s="974"/>
      <c r="DZN36" s="974"/>
      <c r="DZO36" s="974"/>
      <c r="DZP36" s="974"/>
      <c r="DZQ36" s="974"/>
      <c r="DZR36" s="974"/>
      <c r="DZS36" s="974"/>
      <c r="DZT36" s="974"/>
      <c r="DZU36" s="974"/>
      <c r="DZV36" s="974"/>
      <c r="DZW36" s="974"/>
      <c r="DZX36" s="974"/>
      <c r="DZY36" s="974"/>
      <c r="DZZ36" s="974"/>
      <c r="EAA36" s="974"/>
      <c r="EAB36" s="974"/>
      <c r="EAC36" s="974"/>
      <c r="EAD36" s="974"/>
      <c r="EAE36" s="974"/>
      <c r="EAF36" s="974"/>
      <c r="EAG36" s="974"/>
      <c r="EAH36" s="974"/>
      <c r="EAI36" s="974"/>
      <c r="EAJ36" s="974"/>
      <c r="EAK36" s="974"/>
      <c r="EAL36" s="974"/>
      <c r="EAM36" s="974"/>
      <c r="EAN36" s="974"/>
      <c r="EAO36" s="974"/>
      <c r="EAP36" s="974"/>
      <c r="EAQ36" s="974"/>
      <c r="EAR36" s="974"/>
      <c r="EAS36" s="974"/>
      <c r="EAT36" s="974"/>
      <c r="EAU36" s="974"/>
      <c r="EAV36" s="974"/>
      <c r="EAW36" s="974"/>
      <c r="EAX36" s="974"/>
      <c r="EAY36" s="974"/>
      <c r="EAZ36" s="974"/>
      <c r="EBA36" s="974"/>
      <c r="EBB36" s="974"/>
      <c r="EBC36" s="974"/>
      <c r="EBD36" s="974"/>
      <c r="EBE36" s="974"/>
      <c r="EBF36" s="974"/>
      <c r="EBG36" s="974"/>
      <c r="EBH36" s="974"/>
      <c r="EBI36" s="974"/>
      <c r="EBJ36" s="974"/>
      <c r="EBK36" s="974"/>
      <c r="EBL36" s="974"/>
      <c r="EBM36" s="974"/>
      <c r="EBN36" s="974"/>
      <c r="EBO36" s="974"/>
      <c r="EBP36" s="974"/>
      <c r="EBQ36" s="974"/>
      <c r="EBR36" s="974"/>
      <c r="EBS36" s="974"/>
      <c r="EBT36" s="974"/>
      <c r="EBU36" s="974"/>
      <c r="EBV36" s="974"/>
      <c r="EBW36" s="974"/>
      <c r="EBX36" s="974"/>
      <c r="EBY36" s="974"/>
      <c r="EBZ36" s="974"/>
      <c r="ECA36" s="974"/>
      <c r="ECB36" s="974"/>
      <c r="ECC36" s="974"/>
      <c r="ECD36" s="974"/>
      <c r="ECE36" s="974"/>
      <c r="ECF36" s="974"/>
      <c r="ECG36" s="974"/>
      <c r="ECH36" s="974"/>
      <c r="ECI36" s="974"/>
      <c r="ECJ36" s="974"/>
      <c r="ECK36" s="974"/>
      <c r="ECL36" s="974"/>
      <c r="ECM36" s="974"/>
      <c r="ECN36" s="974"/>
      <c r="ECO36" s="974"/>
      <c r="ECP36" s="974"/>
      <c r="ECQ36" s="974"/>
      <c r="ECR36" s="974"/>
      <c r="ECS36" s="974"/>
      <c r="ECT36" s="974"/>
      <c r="ECU36" s="974"/>
      <c r="ECV36" s="974"/>
      <c r="ECW36" s="974"/>
      <c r="ECX36" s="974"/>
      <c r="ECY36" s="974"/>
      <c r="ECZ36" s="974"/>
      <c r="EDA36" s="974"/>
      <c r="EDB36" s="974"/>
      <c r="EDC36" s="974"/>
      <c r="EDD36" s="974"/>
      <c r="EDE36" s="974"/>
      <c r="EDF36" s="974"/>
      <c r="EDG36" s="974"/>
      <c r="EDH36" s="974"/>
      <c r="EDI36" s="974"/>
      <c r="EDJ36" s="974"/>
      <c r="EDK36" s="974"/>
      <c r="EDL36" s="974"/>
      <c r="EDM36" s="974"/>
      <c r="EDN36" s="974"/>
      <c r="EDO36" s="974"/>
      <c r="EDP36" s="974"/>
      <c r="EDQ36" s="974"/>
      <c r="EDR36" s="974"/>
      <c r="EDS36" s="974"/>
      <c r="EDT36" s="974"/>
      <c r="EDU36" s="974"/>
      <c r="EDV36" s="974"/>
      <c r="EDW36" s="974"/>
      <c r="EDX36" s="974"/>
      <c r="EDY36" s="974"/>
      <c r="EDZ36" s="974"/>
      <c r="EEA36" s="974"/>
      <c r="EEB36" s="974"/>
      <c r="EEC36" s="974"/>
      <c r="EED36" s="974"/>
      <c r="EEE36" s="974"/>
      <c r="EEF36" s="974"/>
      <c r="EEG36" s="974"/>
      <c r="EEH36" s="974"/>
      <c r="EEI36" s="974"/>
      <c r="EEJ36" s="974"/>
      <c r="EEK36" s="974"/>
      <c r="EEL36" s="974"/>
      <c r="EEM36" s="974"/>
      <c r="EEN36" s="974"/>
      <c r="EEO36" s="974"/>
      <c r="EEP36" s="974"/>
      <c r="EEQ36" s="974"/>
      <c r="EER36" s="974"/>
      <c r="EES36" s="974"/>
      <c r="EET36" s="974"/>
      <c r="EEU36" s="974"/>
      <c r="EEV36" s="974"/>
      <c r="EEW36" s="974"/>
      <c r="EEX36" s="974"/>
      <c r="EEY36" s="974"/>
      <c r="EEZ36" s="974"/>
      <c r="EFA36" s="974"/>
      <c r="EFB36" s="974"/>
      <c r="EFC36" s="974"/>
      <c r="EFD36" s="974"/>
      <c r="EFE36" s="974"/>
      <c r="EFF36" s="974"/>
      <c r="EFG36" s="974"/>
      <c r="EFH36" s="974"/>
      <c r="EFI36" s="974"/>
      <c r="EFJ36" s="974"/>
      <c r="EFK36" s="974"/>
      <c r="EFL36" s="974"/>
      <c r="EFM36" s="974"/>
      <c r="EFN36" s="974"/>
      <c r="EFO36" s="974"/>
      <c r="EFP36" s="974"/>
      <c r="EFQ36" s="974"/>
      <c r="EFR36" s="974"/>
      <c r="EFS36" s="974"/>
      <c r="EFT36" s="974"/>
      <c r="EFU36" s="974"/>
      <c r="EFV36" s="974"/>
      <c r="EFW36" s="974"/>
      <c r="EFX36" s="974"/>
      <c r="EFY36" s="974"/>
      <c r="EFZ36" s="974"/>
      <c r="EGA36" s="974"/>
      <c r="EGB36" s="974"/>
      <c r="EGC36" s="974"/>
      <c r="EGD36" s="974"/>
      <c r="EGE36" s="974"/>
      <c r="EGF36" s="974"/>
      <c r="EGG36" s="974"/>
      <c r="EGH36" s="974"/>
      <c r="EGI36" s="974"/>
      <c r="EGJ36" s="974"/>
      <c r="EGK36" s="974"/>
      <c r="EGL36" s="974"/>
      <c r="EGM36" s="974"/>
      <c r="EGN36" s="974"/>
      <c r="EGO36" s="974"/>
      <c r="EGP36" s="974"/>
      <c r="EGQ36" s="974"/>
      <c r="EGR36" s="974"/>
      <c r="EGS36" s="974"/>
      <c r="EGT36" s="974"/>
      <c r="EGU36" s="974"/>
      <c r="EGV36" s="974"/>
      <c r="EGW36" s="974"/>
      <c r="EGX36" s="974"/>
      <c r="EGY36" s="974"/>
      <c r="EGZ36" s="974"/>
      <c r="EHA36" s="974"/>
      <c r="EHB36" s="974"/>
      <c r="EHC36" s="974"/>
      <c r="EHD36" s="974"/>
      <c r="EHE36" s="974"/>
      <c r="EHF36" s="974"/>
      <c r="EHG36" s="974"/>
      <c r="EHH36" s="974"/>
      <c r="EHI36" s="974"/>
      <c r="EHJ36" s="974"/>
      <c r="EHK36" s="974"/>
      <c r="EHL36" s="974"/>
      <c r="EHM36" s="974"/>
      <c r="EHN36" s="974"/>
      <c r="EHO36" s="974"/>
      <c r="EHP36" s="974"/>
      <c r="EHQ36" s="974"/>
      <c r="EHR36" s="974"/>
      <c r="EHS36" s="974"/>
      <c r="EHT36" s="974"/>
      <c r="EHU36" s="974"/>
      <c r="EHV36" s="974"/>
      <c r="EHW36" s="974"/>
      <c r="EHX36" s="974"/>
      <c r="EHY36" s="974"/>
      <c r="EHZ36" s="974"/>
      <c r="EIA36" s="974"/>
      <c r="EIB36" s="974"/>
      <c r="EIC36" s="974"/>
      <c r="EID36" s="974"/>
      <c r="EIE36" s="974"/>
      <c r="EIF36" s="974"/>
      <c r="EIG36" s="974"/>
      <c r="EIH36" s="974"/>
      <c r="EII36" s="974"/>
      <c r="EIJ36" s="974"/>
      <c r="EIK36" s="974"/>
      <c r="EIL36" s="974"/>
      <c r="EIM36" s="974"/>
      <c r="EIN36" s="974"/>
      <c r="EIO36" s="974"/>
      <c r="EIP36" s="974"/>
      <c r="EIQ36" s="974"/>
      <c r="EIR36" s="974"/>
      <c r="EIS36" s="974"/>
      <c r="EIT36" s="974"/>
      <c r="EIU36" s="974"/>
      <c r="EIV36" s="974"/>
      <c r="EIW36" s="974"/>
      <c r="EIX36" s="974"/>
      <c r="EIY36" s="974"/>
      <c r="EIZ36" s="974"/>
      <c r="EJA36" s="974"/>
      <c r="EJB36" s="974"/>
      <c r="EJC36" s="974"/>
      <c r="EJD36" s="974"/>
      <c r="EJE36" s="974"/>
      <c r="EJF36" s="974"/>
      <c r="EJG36" s="974"/>
      <c r="EJH36" s="974"/>
      <c r="EJI36" s="974"/>
      <c r="EJJ36" s="974"/>
      <c r="EJK36" s="974"/>
      <c r="EJL36" s="974"/>
      <c r="EJM36" s="974"/>
      <c r="EJN36" s="974"/>
      <c r="EJO36" s="974"/>
      <c r="EJP36" s="974"/>
      <c r="EJQ36" s="974"/>
      <c r="EJR36" s="974"/>
      <c r="EJS36" s="974"/>
      <c r="EJT36" s="974"/>
      <c r="EJU36" s="974"/>
      <c r="EJV36" s="974"/>
      <c r="EJW36" s="974"/>
      <c r="EJX36" s="974"/>
      <c r="EJY36" s="974"/>
      <c r="EJZ36" s="974"/>
      <c r="EKA36" s="974"/>
      <c r="EKB36" s="974"/>
      <c r="EKC36" s="974"/>
      <c r="EKD36" s="974"/>
      <c r="EKE36" s="974"/>
      <c r="EKF36" s="974"/>
      <c r="EKG36" s="974"/>
      <c r="EKH36" s="974"/>
      <c r="EKI36" s="974"/>
      <c r="EKJ36" s="974"/>
      <c r="EKK36" s="974"/>
      <c r="EKL36" s="974"/>
      <c r="EKM36" s="974"/>
      <c r="EKN36" s="974"/>
      <c r="EKO36" s="974"/>
      <c r="EKP36" s="974"/>
      <c r="EKQ36" s="974"/>
      <c r="EKR36" s="974"/>
      <c r="EKS36" s="974"/>
      <c r="EKT36" s="974"/>
      <c r="EKU36" s="974"/>
      <c r="EKV36" s="974"/>
      <c r="EKW36" s="974"/>
      <c r="EKX36" s="974"/>
      <c r="EKY36" s="974"/>
      <c r="EKZ36" s="974"/>
      <c r="ELA36" s="974"/>
      <c r="ELB36" s="974"/>
      <c r="ELC36" s="974"/>
      <c r="ELD36" s="974"/>
      <c r="ELE36" s="974"/>
      <c r="ELF36" s="974"/>
      <c r="ELG36" s="974"/>
      <c r="ELH36" s="974"/>
      <c r="ELI36" s="974"/>
      <c r="ELJ36" s="974"/>
      <c r="ELK36" s="974"/>
      <c r="ELL36" s="974"/>
      <c r="ELM36" s="974"/>
      <c r="ELN36" s="974"/>
      <c r="ELO36" s="974"/>
      <c r="ELP36" s="974"/>
      <c r="ELQ36" s="974"/>
      <c r="ELR36" s="974"/>
      <c r="ELS36" s="974"/>
      <c r="ELT36" s="974"/>
      <c r="ELU36" s="974"/>
      <c r="ELV36" s="974"/>
      <c r="ELW36" s="974"/>
      <c r="ELX36" s="974"/>
      <c r="ELY36" s="974"/>
      <c r="ELZ36" s="974"/>
      <c r="EMA36" s="974"/>
      <c r="EMB36" s="974"/>
      <c r="EMC36" s="974"/>
      <c r="EMD36" s="974"/>
      <c r="EME36" s="974"/>
      <c r="EMF36" s="974"/>
      <c r="EMG36" s="974"/>
      <c r="EMH36" s="974"/>
      <c r="EMI36" s="974"/>
      <c r="EMJ36" s="974"/>
      <c r="EMK36" s="974"/>
      <c r="EML36" s="974"/>
      <c r="EMM36" s="974"/>
      <c r="EMN36" s="974"/>
      <c r="EMO36" s="974"/>
      <c r="EMP36" s="974"/>
      <c r="EMQ36" s="974"/>
      <c r="EMR36" s="974"/>
      <c r="EMS36" s="974"/>
      <c r="EMT36" s="974"/>
      <c r="EMU36" s="974"/>
      <c r="EMV36" s="974"/>
      <c r="EMW36" s="974"/>
      <c r="EMX36" s="974"/>
      <c r="EMY36" s="974"/>
      <c r="EMZ36" s="974"/>
      <c r="ENA36" s="974"/>
      <c r="ENB36" s="974"/>
      <c r="ENC36" s="974"/>
      <c r="END36" s="974"/>
      <c r="ENE36" s="974"/>
      <c r="ENF36" s="974"/>
      <c r="ENG36" s="974"/>
      <c r="ENH36" s="974"/>
      <c r="ENI36" s="974"/>
      <c r="ENJ36" s="974"/>
      <c r="ENK36" s="974"/>
      <c r="ENL36" s="974"/>
      <c r="ENM36" s="974"/>
      <c r="ENN36" s="974"/>
      <c r="ENO36" s="974"/>
      <c r="ENP36" s="974"/>
      <c r="ENQ36" s="974"/>
      <c r="ENR36" s="974"/>
      <c r="ENS36" s="974"/>
      <c r="ENT36" s="974"/>
      <c r="ENU36" s="974"/>
      <c r="ENV36" s="974"/>
      <c r="ENW36" s="974"/>
      <c r="ENX36" s="974"/>
      <c r="ENY36" s="974"/>
      <c r="ENZ36" s="974"/>
      <c r="EOA36" s="974"/>
      <c r="EOB36" s="974"/>
      <c r="EOC36" s="974"/>
      <c r="EOD36" s="974"/>
      <c r="EOE36" s="974"/>
      <c r="EOF36" s="974"/>
      <c r="EOG36" s="974"/>
      <c r="EOH36" s="974"/>
      <c r="EOI36" s="974"/>
      <c r="EOJ36" s="974"/>
      <c r="EOK36" s="974"/>
      <c r="EOL36" s="974"/>
      <c r="EOM36" s="974"/>
      <c r="EON36" s="974"/>
      <c r="EOO36" s="974"/>
      <c r="EOP36" s="974"/>
      <c r="EOQ36" s="974"/>
      <c r="EOR36" s="974"/>
      <c r="EOS36" s="974"/>
      <c r="EOT36" s="974"/>
      <c r="EOU36" s="974"/>
      <c r="EOV36" s="974"/>
      <c r="EOW36" s="974"/>
      <c r="EOX36" s="974"/>
      <c r="EOY36" s="974"/>
      <c r="EOZ36" s="974"/>
      <c r="EPA36" s="974"/>
      <c r="EPB36" s="974"/>
      <c r="EPC36" s="974"/>
      <c r="EPD36" s="974"/>
      <c r="EPE36" s="974"/>
      <c r="EPF36" s="974"/>
      <c r="EPG36" s="974"/>
      <c r="EPH36" s="974"/>
      <c r="EPI36" s="974"/>
      <c r="EPJ36" s="974"/>
      <c r="EPK36" s="974"/>
      <c r="EPL36" s="974"/>
      <c r="EPM36" s="974"/>
      <c r="EPN36" s="974"/>
      <c r="EPO36" s="974"/>
      <c r="EPP36" s="974"/>
      <c r="EPQ36" s="974"/>
      <c r="EPR36" s="974"/>
      <c r="EPS36" s="974"/>
      <c r="EPT36" s="974"/>
      <c r="EPU36" s="974"/>
      <c r="EPV36" s="974"/>
      <c r="EPW36" s="974"/>
      <c r="EPX36" s="974"/>
      <c r="EPY36" s="974"/>
      <c r="EPZ36" s="974"/>
      <c r="EQA36" s="974"/>
      <c r="EQB36" s="974"/>
      <c r="EQC36" s="974"/>
      <c r="EQD36" s="974"/>
      <c r="EQE36" s="974"/>
      <c r="EQF36" s="974"/>
      <c r="EQG36" s="974"/>
      <c r="EQH36" s="974"/>
      <c r="EQI36" s="974"/>
      <c r="EQJ36" s="974"/>
      <c r="EQK36" s="974"/>
      <c r="EQL36" s="974"/>
      <c r="EQM36" s="974"/>
      <c r="EQN36" s="974"/>
      <c r="EQO36" s="974"/>
      <c r="EQP36" s="974"/>
      <c r="EQQ36" s="974"/>
      <c r="EQR36" s="974"/>
      <c r="EQS36" s="974"/>
      <c r="EQT36" s="974"/>
      <c r="EQU36" s="974"/>
      <c r="EQV36" s="974"/>
      <c r="EQW36" s="974"/>
      <c r="EQX36" s="974"/>
      <c r="EQY36" s="974"/>
      <c r="EQZ36" s="974"/>
      <c r="ERA36" s="974"/>
      <c r="ERB36" s="974"/>
      <c r="ERC36" s="974"/>
      <c r="ERD36" s="974"/>
      <c r="ERE36" s="974"/>
      <c r="ERF36" s="974"/>
      <c r="ERG36" s="974"/>
      <c r="ERH36" s="974"/>
      <c r="ERI36" s="974"/>
      <c r="ERJ36" s="974"/>
      <c r="ERK36" s="974"/>
      <c r="ERL36" s="974"/>
      <c r="ERM36" s="974"/>
      <c r="ERN36" s="974"/>
      <c r="ERO36" s="974"/>
      <c r="ERP36" s="974"/>
      <c r="ERQ36" s="974"/>
      <c r="ERR36" s="974"/>
      <c r="ERS36" s="974"/>
      <c r="ERT36" s="974"/>
      <c r="ERU36" s="974"/>
      <c r="ERV36" s="974"/>
      <c r="ERW36" s="974"/>
      <c r="ERX36" s="974"/>
      <c r="ERY36" s="974"/>
      <c r="ERZ36" s="974"/>
      <c r="ESA36" s="974"/>
      <c r="ESB36" s="974"/>
      <c r="ESC36" s="974"/>
      <c r="ESD36" s="974"/>
      <c r="ESE36" s="974"/>
      <c r="ESF36" s="974"/>
      <c r="ESG36" s="974"/>
      <c r="ESH36" s="974"/>
      <c r="ESI36" s="974"/>
      <c r="ESJ36" s="974"/>
      <c r="ESK36" s="974"/>
      <c r="ESL36" s="974"/>
      <c r="ESM36" s="974"/>
      <c r="ESN36" s="974"/>
      <c r="ESO36" s="974"/>
      <c r="ESP36" s="974"/>
      <c r="ESQ36" s="974"/>
      <c r="ESR36" s="974"/>
      <c r="ESS36" s="974"/>
      <c r="EST36" s="974"/>
      <c r="ESU36" s="974"/>
      <c r="ESV36" s="974"/>
      <c r="ESW36" s="974"/>
      <c r="ESX36" s="974"/>
      <c r="ESY36" s="974"/>
      <c r="ESZ36" s="974"/>
      <c r="ETA36" s="974"/>
      <c r="ETB36" s="974"/>
      <c r="ETC36" s="974"/>
      <c r="ETD36" s="974"/>
      <c r="ETE36" s="974"/>
      <c r="ETF36" s="974"/>
      <c r="ETG36" s="974"/>
      <c r="ETH36" s="974"/>
      <c r="ETI36" s="974"/>
      <c r="ETJ36" s="974"/>
      <c r="ETK36" s="974"/>
      <c r="ETL36" s="974"/>
      <c r="ETM36" s="974"/>
      <c r="ETN36" s="974"/>
      <c r="ETO36" s="974"/>
      <c r="ETP36" s="974"/>
      <c r="ETQ36" s="974"/>
      <c r="ETR36" s="974"/>
      <c r="ETS36" s="974"/>
      <c r="ETT36" s="974"/>
      <c r="ETU36" s="974"/>
      <c r="ETV36" s="974"/>
      <c r="ETW36" s="974"/>
      <c r="ETX36" s="974"/>
      <c r="ETY36" s="974"/>
      <c r="ETZ36" s="974"/>
      <c r="EUA36" s="974"/>
      <c r="EUB36" s="974"/>
      <c r="EUC36" s="974"/>
      <c r="EUD36" s="974"/>
      <c r="EUE36" s="974"/>
      <c r="EUF36" s="974"/>
      <c r="EUG36" s="974"/>
      <c r="EUH36" s="974"/>
      <c r="EUI36" s="974"/>
      <c r="EUJ36" s="974"/>
      <c r="EUK36" s="974"/>
      <c r="EUL36" s="974"/>
      <c r="EUM36" s="974"/>
      <c r="EUN36" s="974"/>
      <c r="EUO36" s="974"/>
      <c r="EUP36" s="974"/>
      <c r="EUQ36" s="974"/>
      <c r="EUR36" s="974"/>
      <c r="EUS36" s="974"/>
      <c r="EUT36" s="974"/>
      <c r="EUU36" s="974"/>
      <c r="EUV36" s="974"/>
      <c r="EUW36" s="974"/>
      <c r="EUX36" s="974"/>
      <c r="EUY36" s="974"/>
      <c r="EUZ36" s="974"/>
      <c r="EVA36" s="974"/>
      <c r="EVB36" s="974"/>
      <c r="EVC36" s="974"/>
      <c r="EVD36" s="974"/>
      <c r="EVE36" s="974"/>
      <c r="EVF36" s="974"/>
      <c r="EVG36" s="974"/>
      <c r="EVH36" s="974"/>
      <c r="EVI36" s="974"/>
      <c r="EVJ36" s="974"/>
      <c r="EVK36" s="974"/>
      <c r="EVL36" s="974"/>
      <c r="EVM36" s="974"/>
      <c r="EVN36" s="974"/>
      <c r="EVO36" s="974"/>
      <c r="EVP36" s="974"/>
      <c r="EVQ36" s="974"/>
      <c r="EVR36" s="974"/>
      <c r="EVS36" s="974"/>
      <c r="EVT36" s="974"/>
      <c r="EVU36" s="974"/>
      <c r="EVV36" s="974"/>
      <c r="EVW36" s="974"/>
      <c r="EVX36" s="974"/>
      <c r="EVY36" s="974"/>
      <c r="EVZ36" s="974"/>
      <c r="EWA36" s="974"/>
      <c r="EWB36" s="974"/>
      <c r="EWC36" s="974"/>
      <c r="EWD36" s="974"/>
      <c r="EWE36" s="974"/>
      <c r="EWF36" s="974"/>
      <c r="EWG36" s="974"/>
      <c r="EWH36" s="974"/>
      <c r="EWI36" s="974"/>
      <c r="EWJ36" s="974"/>
      <c r="EWK36" s="974"/>
      <c r="EWL36" s="974"/>
      <c r="EWM36" s="974"/>
      <c r="EWN36" s="974"/>
      <c r="EWO36" s="974"/>
      <c r="EWP36" s="974"/>
      <c r="EWQ36" s="974"/>
      <c r="EWR36" s="974"/>
      <c r="EWS36" s="974"/>
      <c r="EWT36" s="974"/>
      <c r="EWU36" s="974"/>
      <c r="EWV36" s="974"/>
      <c r="EWW36" s="974"/>
      <c r="EWX36" s="974"/>
      <c r="EWY36" s="974"/>
      <c r="EWZ36" s="974"/>
      <c r="EXA36" s="974"/>
      <c r="EXB36" s="974"/>
      <c r="EXC36" s="974"/>
      <c r="EXD36" s="974"/>
      <c r="EXE36" s="974"/>
      <c r="EXF36" s="974"/>
      <c r="EXG36" s="974"/>
      <c r="EXH36" s="974"/>
      <c r="EXI36" s="974"/>
      <c r="EXJ36" s="974"/>
      <c r="EXK36" s="974"/>
      <c r="EXL36" s="974"/>
      <c r="EXM36" s="974"/>
      <c r="EXN36" s="974"/>
      <c r="EXO36" s="974"/>
      <c r="EXP36" s="974"/>
      <c r="EXQ36" s="974"/>
      <c r="EXR36" s="974"/>
      <c r="EXS36" s="974"/>
      <c r="EXT36" s="974"/>
      <c r="EXU36" s="974"/>
      <c r="EXV36" s="974"/>
      <c r="EXW36" s="974"/>
      <c r="EXX36" s="974"/>
      <c r="EXY36" s="974"/>
      <c r="EXZ36" s="974"/>
      <c r="EYA36" s="974"/>
      <c r="EYB36" s="974"/>
      <c r="EYC36" s="974"/>
      <c r="EYD36" s="974"/>
      <c r="EYE36" s="974"/>
      <c r="EYF36" s="974"/>
      <c r="EYG36" s="974"/>
      <c r="EYH36" s="974"/>
      <c r="EYI36" s="974"/>
      <c r="EYJ36" s="974"/>
      <c r="EYK36" s="974"/>
      <c r="EYL36" s="974"/>
      <c r="EYM36" s="974"/>
      <c r="EYN36" s="974"/>
      <c r="EYO36" s="974"/>
      <c r="EYP36" s="974"/>
      <c r="EYQ36" s="974"/>
      <c r="EYR36" s="974"/>
      <c r="EYS36" s="974"/>
      <c r="EYT36" s="974"/>
      <c r="EYU36" s="974"/>
      <c r="EYV36" s="974"/>
      <c r="EYW36" s="974"/>
      <c r="EYX36" s="974"/>
      <c r="EYY36" s="974"/>
      <c r="EYZ36" s="974"/>
      <c r="EZA36" s="974"/>
      <c r="EZB36" s="974"/>
      <c r="EZC36" s="974"/>
      <c r="EZD36" s="974"/>
      <c r="EZE36" s="974"/>
      <c r="EZF36" s="974"/>
      <c r="EZG36" s="974"/>
      <c r="EZH36" s="974"/>
      <c r="EZI36" s="974"/>
      <c r="EZJ36" s="974"/>
      <c r="EZK36" s="974"/>
      <c r="EZL36" s="974"/>
      <c r="EZM36" s="974"/>
      <c r="EZN36" s="974"/>
      <c r="EZO36" s="974"/>
      <c r="EZP36" s="974"/>
      <c r="EZQ36" s="974"/>
      <c r="EZR36" s="974"/>
      <c r="EZS36" s="974"/>
      <c r="EZT36" s="974"/>
      <c r="EZU36" s="974"/>
      <c r="EZV36" s="974"/>
      <c r="EZW36" s="974"/>
      <c r="EZX36" s="974"/>
      <c r="EZY36" s="974"/>
      <c r="EZZ36" s="974"/>
      <c r="FAA36" s="974"/>
      <c r="FAB36" s="974"/>
      <c r="FAC36" s="974"/>
      <c r="FAD36" s="974"/>
      <c r="FAE36" s="974"/>
      <c r="FAF36" s="974"/>
      <c r="FAG36" s="974"/>
      <c r="FAH36" s="974"/>
      <c r="FAI36" s="974"/>
      <c r="FAJ36" s="974"/>
      <c r="FAK36" s="974"/>
      <c r="FAL36" s="974"/>
      <c r="FAM36" s="974"/>
      <c r="FAN36" s="974"/>
      <c r="FAO36" s="974"/>
      <c r="FAP36" s="974"/>
      <c r="FAQ36" s="974"/>
      <c r="FAR36" s="974"/>
      <c r="FAS36" s="974"/>
      <c r="FAT36" s="974"/>
      <c r="FAU36" s="974"/>
      <c r="FAV36" s="974"/>
      <c r="FAW36" s="974"/>
      <c r="FAX36" s="974"/>
      <c r="FAY36" s="974"/>
      <c r="FAZ36" s="974"/>
      <c r="FBA36" s="974"/>
      <c r="FBB36" s="974"/>
      <c r="FBC36" s="974"/>
      <c r="FBD36" s="974"/>
      <c r="FBE36" s="974"/>
      <c r="FBF36" s="974"/>
      <c r="FBG36" s="974"/>
      <c r="FBH36" s="974"/>
      <c r="FBI36" s="974"/>
      <c r="FBJ36" s="974"/>
      <c r="FBK36" s="974"/>
      <c r="FBL36" s="974"/>
      <c r="FBM36" s="974"/>
      <c r="FBN36" s="974"/>
      <c r="FBO36" s="974"/>
      <c r="FBP36" s="974"/>
      <c r="FBQ36" s="974"/>
      <c r="FBR36" s="974"/>
      <c r="FBS36" s="974"/>
      <c r="FBT36" s="974"/>
      <c r="FBU36" s="974"/>
      <c r="FBV36" s="974"/>
      <c r="FBW36" s="974"/>
      <c r="FBX36" s="974"/>
      <c r="FBY36" s="974"/>
      <c r="FBZ36" s="974"/>
      <c r="FCA36" s="974"/>
      <c r="FCB36" s="974"/>
      <c r="FCC36" s="974"/>
      <c r="FCD36" s="974"/>
      <c r="FCE36" s="974"/>
      <c r="FCF36" s="974"/>
      <c r="FCG36" s="974"/>
      <c r="FCH36" s="974"/>
      <c r="FCI36" s="974"/>
      <c r="FCJ36" s="974"/>
      <c r="FCK36" s="974"/>
      <c r="FCL36" s="974"/>
      <c r="FCM36" s="974"/>
      <c r="FCN36" s="974"/>
      <c r="FCO36" s="974"/>
      <c r="FCP36" s="974"/>
      <c r="FCQ36" s="974"/>
      <c r="FCR36" s="974"/>
      <c r="FCS36" s="974"/>
      <c r="FCT36" s="974"/>
      <c r="FCU36" s="974"/>
      <c r="FCV36" s="974"/>
      <c r="FCW36" s="974"/>
      <c r="FCX36" s="974"/>
      <c r="FCY36" s="974"/>
      <c r="FCZ36" s="974"/>
      <c r="FDA36" s="974"/>
      <c r="FDB36" s="974"/>
      <c r="FDC36" s="974"/>
      <c r="FDD36" s="974"/>
      <c r="FDE36" s="974"/>
      <c r="FDF36" s="974"/>
      <c r="FDG36" s="974"/>
      <c r="FDH36" s="974"/>
      <c r="FDI36" s="974"/>
      <c r="FDJ36" s="974"/>
      <c r="FDK36" s="974"/>
      <c r="FDL36" s="974"/>
      <c r="FDM36" s="974"/>
      <c r="FDN36" s="974"/>
      <c r="FDO36" s="974"/>
      <c r="FDP36" s="974"/>
      <c r="FDQ36" s="974"/>
      <c r="FDR36" s="974"/>
      <c r="FDS36" s="974"/>
      <c r="FDT36" s="974"/>
      <c r="FDU36" s="974"/>
      <c r="FDV36" s="974"/>
      <c r="FDW36" s="974"/>
      <c r="FDX36" s="974"/>
      <c r="FDY36" s="974"/>
      <c r="FDZ36" s="974"/>
      <c r="FEA36" s="974"/>
      <c r="FEB36" s="974"/>
      <c r="FEC36" s="974"/>
      <c r="FED36" s="974"/>
      <c r="FEE36" s="974"/>
      <c r="FEF36" s="974"/>
      <c r="FEG36" s="974"/>
      <c r="FEH36" s="974"/>
      <c r="FEI36" s="974"/>
      <c r="FEJ36" s="974"/>
      <c r="FEK36" s="974"/>
      <c r="FEL36" s="974"/>
      <c r="FEM36" s="974"/>
      <c r="FEN36" s="974"/>
      <c r="FEO36" s="974"/>
      <c r="FEP36" s="974"/>
      <c r="FEQ36" s="974"/>
      <c r="FER36" s="974"/>
      <c r="FES36" s="974"/>
      <c r="FET36" s="974"/>
      <c r="FEU36" s="974"/>
      <c r="FEV36" s="974"/>
      <c r="FEW36" s="974"/>
      <c r="FEX36" s="974"/>
      <c r="FEY36" s="974"/>
      <c r="FEZ36" s="974"/>
      <c r="FFA36" s="974"/>
      <c r="FFB36" s="974"/>
      <c r="FFC36" s="974"/>
      <c r="FFD36" s="974"/>
      <c r="FFE36" s="974"/>
      <c r="FFF36" s="974"/>
      <c r="FFG36" s="974"/>
      <c r="FFH36" s="974"/>
      <c r="FFI36" s="974"/>
      <c r="FFJ36" s="974"/>
      <c r="FFK36" s="974"/>
      <c r="FFL36" s="974"/>
      <c r="FFM36" s="974"/>
      <c r="FFN36" s="974"/>
      <c r="FFO36" s="974"/>
      <c r="FFP36" s="974"/>
      <c r="FFQ36" s="974"/>
      <c r="FFR36" s="974"/>
      <c r="FFS36" s="974"/>
      <c r="FFT36" s="974"/>
      <c r="FFU36" s="974"/>
      <c r="FFV36" s="974"/>
      <c r="FFW36" s="974"/>
      <c r="FFX36" s="974"/>
      <c r="FFY36" s="974"/>
      <c r="FFZ36" s="974"/>
      <c r="FGA36" s="974"/>
      <c r="FGB36" s="974"/>
      <c r="FGC36" s="974"/>
      <c r="FGD36" s="974"/>
      <c r="FGE36" s="974"/>
      <c r="FGF36" s="974"/>
      <c r="FGG36" s="974"/>
      <c r="FGH36" s="974"/>
      <c r="FGI36" s="974"/>
      <c r="FGJ36" s="974"/>
      <c r="FGK36" s="974"/>
      <c r="FGL36" s="974"/>
      <c r="FGM36" s="974"/>
      <c r="FGN36" s="974"/>
      <c r="FGO36" s="974"/>
      <c r="FGP36" s="974"/>
      <c r="FGQ36" s="974"/>
      <c r="FGR36" s="974"/>
      <c r="FGS36" s="974"/>
      <c r="FGT36" s="974"/>
      <c r="FGU36" s="974"/>
      <c r="FGV36" s="974"/>
      <c r="FGW36" s="974"/>
      <c r="FGX36" s="974"/>
      <c r="FGY36" s="974"/>
      <c r="FGZ36" s="974"/>
      <c r="FHA36" s="974"/>
      <c r="FHB36" s="974"/>
      <c r="FHC36" s="974"/>
      <c r="FHD36" s="974"/>
      <c r="FHE36" s="974"/>
      <c r="FHF36" s="974"/>
      <c r="FHG36" s="974"/>
      <c r="FHH36" s="974"/>
      <c r="FHI36" s="974"/>
      <c r="FHJ36" s="974"/>
      <c r="FHK36" s="974"/>
      <c r="FHL36" s="974"/>
      <c r="FHM36" s="974"/>
      <c r="FHN36" s="974"/>
      <c r="FHO36" s="974"/>
      <c r="FHP36" s="974"/>
      <c r="FHQ36" s="974"/>
      <c r="FHR36" s="974"/>
      <c r="FHS36" s="974"/>
      <c r="FHT36" s="974"/>
      <c r="FHU36" s="974"/>
      <c r="FHV36" s="974"/>
      <c r="FHW36" s="974"/>
      <c r="FHX36" s="974"/>
      <c r="FHY36" s="974"/>
      <c r="FHZ36" s="974"/>
      <c r="FIA36" s="974"/>
      <c r="FIB36" s="974"/>
      <c r="FIC36" s="974"/>
      <c r="FID36" s="974"/>
      <c r="FIE36" s="974"/>
      <c r="FIF36" s="974"/>
      <c r="FIG36" s="974"/>
      <c r="FIH36" s="974"/>
      <c r="FII36" s="974"/>
      <c r="FIJ36" s="974"/>
      <c r="FIK36" s="974"/>
      <c r="FIL36" s="974"/>
      <c r="FIM36" s="974"/>
      <c r="FIN36" s="974"/>
      <c r="FIO36" s="974"/>
      <c r="FIP36" s="974"/>
      <c r="FIQ36" s="974"/>
      <c r="FIR36" s="974"/>
      <c r="FIS36" s="974"/>
      <c r="FIT36" s="974"/>
      <c r="FIU36" s="974"/>
      <c r="FIV36" s="974"/>
      <c r="FIW36" s="974"/>
      <c r="FIX36" s="974"/>
      <c r="FIY36" s="974"/>
      <c r="FIZ36" s="974"/>
      <c r="FJA36" s="974"/>
      <c r="FJB36" s="974"/>
      <c r="FJC36" s="974"/>
      <c r="FJD36" s="974"/>
      <c r="FJE36" s="974"/>
      <c r="FJF36" s="974"/>
      <c r="FJG36" s="974"/>
      <c r="FJH36" s="974"/>
      <c r="FJI36" s="974"/>
      <c r="FJJ36" s="974"/>
      <c r="FJK36" s="974"/>
      <c r="FJL36" s="974"/>
      <c r="FJM36" s="974"/>
      <c r="FJN36" s="974"/>
      <c r="FJO36" s="974"/>
      <c r="FJP36" s="974"/>
      <c r="FJQ36" s="974"/>
      <c r="FJR36" s="974"/>
      <c r="FJS36" s="974"/>
      <c r="FJT36" s="974"/>
      <c r="FJU36" s="974"/>
      <c r="FJV36" s="974"/>
      <c r="FJW36" s="974"/>
      <c r="FJX36" s="974"/>
      <c r="FJY36" s="974"/>
      <c r="FJZ36" s="974"/>
      <c r="FKA36" s="974"/>
      <c r="FKB36" s="974"/>
      <c r="FKC36" s="974"/>
      <c r="FKD36" s="974"/>
      <c r="FKE36" s="974"/>
      <c r="FKF36" s="974"/>
      <c r="FKG36" s="974"/>
      <c r="FKH36" s="974"/>
      <c r="FKI36" s="974"/>
      <c r="FKJ36" s="974"/>
      <c r="FKK36" s="974"/>
      <c r="FKL36" s="974"/>
      <c r="FKM36" s="974"/>
      <c r="FKN36" s="974"/>
      <c r="FKO36" s="974"/>
      <c r="FKP36" s="974"/>
      <c r="FKQ36" s="974"/>
      <c r="FKR36" s="974"/>
      <c r="FKS36" s="974"/>
      <c r="FKT36" s="974"/>
      <c r="FKU36" s="974"/>
      <c r="FKV36" s="974"/>
      <c r="FKW36" s="974"/>
      <c r="FKX36" s="974"/>
      <c r="FKY36" s="974"/>
      <c r="FKZ36" s="974"/>
      <c r="FLA36" s="974"/>
      <c r="FLB36" s="974"/>
      <c r="FLC36" s="974"/>
      <c r="FLD36" s="974"/>
      <c r="FLE36" s="974"/>
      <c r="FLF36" s="974"/>
      <c r="FLG36" s="974"/>
      <c r="FLH36" s="974"/>
      <c r="FLI36" s="974"/>
      <c r="FLJ36" s="974"/>
      <c r="FLK36" s="974"/>
      <c r="FLL36" s="974"/>
      <c r="FLM36" s="974"/>
      <c r="FLN36" s="974"/>
      <c r="FLO36" s="974"/>
      <c r="FLP36" s="974"/>
      <c r="FLQ36" s="974"/>
      <c r="FLR36" s="974"/>
      <c r="FLS36" s="974"/>
      <c r="FLT36" s="974"/>
      <c r="FLU36" s="974"/>
      <c r="FLV36" s="974"/>
      <c r="FLW36" s="974"/>
      <c r="FLX36" s="974"/>
      <c r="FLY36" s="974"/>
      <c r="FLZ36" s="974"/>
      <c r="FMA36" s="974"/>
      <c r="FMB36" s="974"/>
      <c r="FMC36" s="974"/>
      <c r="FMD36" s="974"/>
      <c r="FME36" s="974"/>
      <c r="FMF36" s="974"/>
      <c r="FMG36" s="974"/>
      <c r="FMH36" s="974"/>
      <c r="FMI36" s="974"/>
      <c r="FMJ36" s="974"/>
      <c r="FMK36" s="974"/>
      <c r="FML36" s="974"/>
      <c r="FMM36" s="974"/>
      <c r="FMN36" s="974"/>
      <c r="FMO36" s="974"/>
      <c r="FMP36" s="974"/>
      <c r="FMQ36" s="974"/>
      <c r="FMR36" s="974"/>
      <c r="FMS36" s="974"/>
      <c r="FMT36" s="974"/>
      <c r="FMU36" s="974"/>
      <c r="FMV36" s="974"/>
      <c r="FMW36" s="974"/>
      <c r="FMX36" s="974"/>
      <c r="FMY36" s="974"/>
      <c r="FMZ36" s="974"/>
      <c r="FNA36" s="974"/>
      <c r="FNB36" s="974"/>
      <c r="FNC36" s="974"/>
      <c r="FND36" s="974"/>
      <c r="FNE36" s="974"/>
      <c r="FNF36" s="974"/>
      <c r="FNG36" s="974"/>
      <c r="FNH36" s="974"/>
      <c r="FNI36" s="974"/>
      <c r="FNJ36" s="974"/>
      <c r="FNK36" s="974"/>
      <c r="FNL36" s="974"/>
      <c r="FNM36" s="974"/>
      <c r="FNN36" s="974"/>
      <c r="FNO36" s="974"/>
      <c r="FNP36" s="974"/>
      <c r="FNQ36" s="974"/>
      <c r="FNR36" s="974"/>
      <c r="FNS36" s="974"/>
      <c r="FNT36" s="974"/>
      <c r="FNU36" s="974"/>
      <c r="FNV36" s="974"/>
      <c r="FNW36" s="974"/>
      <c r="FNX36" s="974"/>
      <c r="FNY36" s="974"/>
      <c r="FNZ36" s="974"/>
      <c r="FOA36" s="974"/>
      <c r="FOB36" s="974"/>
      <c r="FOC36" s="974"/>
      <c r="FOD36" s="974"/>
      <c r="FOE36" s="974"/>
      <c r="FOF36" s="974"/>
      <c r="FOG36" s="974"/>
      <c r="FOH36" s="974"/>
      <c r="FOI36" s="974"/>
      <c r="FOJ36" s="974"/>
      <c r="FOK36" s="974"/>
      <c r="FOL36" s="974"/>
      <c r="FOM36" s="974"/>
      <c r="FON36" s="974"/>
      <c r="FOO36" s="974"/>
      <c r="FOP36" s="974"/>
      <c r="FOQ36" s="974"/>
      <c r="FOR36" s="974"/>
      <c r="FOS36" s="974"/>
      <c r="FOT36" s="974"/>
      <c r="FOU36" s="974"/>
      <c r="FOV36" s="974"/>
      <c r="FOW36" s="974"/>
      <c r="FOX36" s="974"/>
      <c r="FOY36" s="974"/>
      <c r="FOZ36" s="974"/>
      <c r="FPA36" s="974"/>
      <c r="FPB36" s="974"/>
      <c r="FPC36" s="974"/>
      <c r="FPD36" s="974"/>
      <c r="FPE36" s="974"/>
      <c r="FPF36" s="974"/>
      <c r="FPG36" s="974"/>
      <c r="FPH36" s="974"/>
      <c r="FPI36" s="974"/>
      <c r="FPJ36" s="974"/>
      <c r="FPK36" s="974"/>
      <c r="FPL36" s="974"/>
      <c r="FPM36" s="974"/>
      <c r="FPN36" s="974"/>
      <c r="FPO36" s="974"/>
      <c r="FPP36" s="974"/>
      <c r="FPQ36" s="974"/>
      <c r="FPR36" s="974"/>
      <c r="FPS36" s="974"/>
      <c r="FPT36" s="974"/>
      <c r="FPU36" s="974"/>
      <c r="FPV36" s="974"/>
      <c r="FPW36" s="974"/>
      <c r="FPX36" s="974"/>
      <c r="FPY36" s="974"/>
      <c r="FPZ36" s="974"/>
      <c r="FQA36" s="974"/>
      <c r="FQB36" s="974"/>
      <c r="FQC36" s="974"/>
      <c r="FQD36" s="974"/>
      <c r="FQE36" s="974"/>
      <c r="FQF36" s="974"/>
      <c r="FQG36" s="974"/>
      <c r="FQH36" s="974"/>
      <c r="FQI36" s="974"/>
      <c r="FQJ36" s="974"/>
      <c r="FQK36" s="974"/>
      <c r="FQL36" s="974"/>
      <c r="FQM36" s="974"/>
      <c r="FQN36" s="974"/>
      <c r="FQO36" s="974"/>
      <c r="FQP36" s="974"/>
      <c r="FQQ36" s="974"/>
      <c r="FQR36" s="974"/>
      <c r="FQS36" s="974"/>
      <c r="FQT36" s="974"/>
      <c r="FQU36" s="974"/>
      <c r="FQV36" s="974"/>
      <c r="FQW36" s="974"/>
      <c r="FQX36" s="974"/>
      <c r="FQY36" s="974"/>
      <c r="FQZ36" s="974"/>
      <c r="FRA36" s="974"/>
      <c r="FRB36" s="974"/>
      <c r="FRC36" s="974"/>
      <c r="FRD36" s="974"/>
      <c r="FRE36" s="974"/>
      <c r="FRF36" s="974"/>
      <c r="FRG36" s="974"/>
      <c r="FRH36" s="974"/>
      <c r="FRI36" s="974"/>
      <c r="FRJ36" s="974"/>
      <c r="FRK36" s="974"/>
      <c r="FRL36" s="974"/>
      <c r="FRM36" s="974"/>
      <c r="FRN36" s="974"/>
      <c r="FRO36" s="974"/>
      <c r="FRP36" s="974"/>
      <c r="FRQ36" s="974"/>
      <c r="FRR36" s="974"/>
      <c r="FRS36" s="974"/>
      <c r="FRT36" s="974"/>
      <c r="FRU36" s="974"/>
      <c r="FRV36" s="974"/>
      <c r="FRW36" s="974"/>
      <c r="FRX36" s="974"/>
      <c r="FRY36" s="974"/>
      <c r="FRZ36" s="974"/>
      <c r="FSA36" s="974"/>
      <c r="FSB36" s="974"/>
      <c r="FSC36" s="974"/>
      <c r="FSD36" s="974"/>
      <c r="FSE36" s="974"/>
      <c r="FSF36" s="974"/>
      <c r="FSG36" s="974"/>
      <c r="FSH36" s="974"/>
      <c r="FSI36" s="974"/>
      <c r="FSJ36" s="974"/>
      <c r="FSK36" s="974"/>
      <c r="FSL36" s="974"/>
      <c r="FSM36" s="974"/>
      <c r="FSN36" s="974"/>
      <c r="FSO36" s="974"/>
      <c r="FSP36" s="974"/>
      <c r="FSQ36" s="974"/>
      <c r="FSR36" s="974"/>
      <c r="FSS36" s="974"/>
      <c r="FST36" s="974"/>
      <c r="FSU36" s="974"/>
      <c r="FSV36" s="974"/>
      <c r="FSW36" s="974"/>
      <c r="FSX36" s="974"/>
      <c r="FSY36" s="974"/>
      <c r="FSZ36" s="974"/>
      <c r="FTA36" s="974"/>
      <c r="FTB36" s="974"/>
      <c r="FTC36" s="974"/>
      <c r="FTD36" s="974"/>
      <c r="FTE36" s="974"/>
      <c r="FTF36" s="974"/>
      <c r="FTG36" s="974"/>
      <c r="FTH36" s="974"/>
      <c r="FTI36" s="974"/>
      <c r="FTJ36" s="974"/>
      <c r="FTK36" s="974"/>
      <c r="FTL36" s="974"/>
      <c r="FTM36" s="974"/>
      <c r="FTN36" s="974"/>
      <c r="FTO36" s="974"/>
      <c r="FTP36" s="974"/>
      <c r="FTQ36" s="974"/>
      <c r="FTR36" s="974"/>
      <c r="FTS36" s="974"/>
      <c r="FTT36" s="974"/>
      <c r="FTU36" s="974"/>
      <c r="FTV36" s="974"/>
      <c r="FTW36" s="974"/>
      <c r="FTX36" s="974"/>
      <c r="FTY36" s="974"/>
      <c r="FTZ36" s="974"/>
      <c r="FUA36" s="974"/>
      <c r="FUB36" s="974"/>
      <c r="FUC36" s="974"/>
      <c r="FUD36" s="974"/>
      <c r="FUE36" s="974"/>
      <c r="FUF36" s="974"/>
      <c r="FUG36" s="974"/>
      <c r="FUH36" s="974"/>
      <c r="FUI36" s="974"/>
      <c r="FUJ36" s="974"/>
      <c r="FUK36" s="974"/>
      <c r="FUL36" s="974"/>
      <c r="FUM36" s="974"/>
      <c r="FUN36" s="974"/>
      <c r="FUO36" s="974"/>
      <c r="FUP36" s="974"/>
      <c r="FUQ36" s="974"/>
      <c r="FUR36" s="974"/>
      <c r="FUS36" s="974"/>
      <c r="FUT36" s="974"/>
      <c r="FUU36" s="974"/>
      <c r="FUV36" s="974"/>
      <c r="FUW36" s="974"/>
      <c r="FUX36" s="974"/>
      <c r="FUY36" s="974"/>
      <c r="FUZ36" s="974"/>
      <c r="FVA36" s="974"/>
      <c r="FVB36" s="974"/>
      <c r="FVC36" s="974"/>
      <c r="FVD36" s="974"/>
      <c r="FVE36" s="974"/>
      <c r="FVF36" s="974"/>
      <c r="FVG36" s="974"/>
      <c r="FVH36" s="974"/>
      <c r="FVI36" s="974"/>
      <c r="FVJ36" s="974"/>
      <c r="FVK36" s="974"/>
      <c r="FVL36" s="974"/>
      <c r="FVM36" s="974"/>
      <c r="FVN36" s="974"/>
      <c r="FVO36" s="974"/>
      <c r="FVP36" s="974"/>
      <c r="FVQ36" s="974"/>
      <c r="FVR36" s="974"/>
      <c r="FVS36" s="974"/>
      <c r="FVT36" s="974"/>
      <c r="FVU36" s="974"/>
      <c r="FVV36" s="974"/>
      <c r="FVW36" s="974"/>
      <c r="FVX36" s="974"/>
      <c r="FVY36" s="974"/>
      <c r="FVZ36" s="974"/>
      <c r="FWA36" s="974"/>
      <c r="FWB36" s="974"/>
      <c r="FWC36" s="974"/>
      <c r="FWD36" s="974"/>
      <c r="FWE36" s="974"/>
      <c r="FWF36" s="974"/>
      <c r="FWG36" s="974"/>
      <c r="FWH36" s="974"/>
      <c r="FWI36" s="974"/>
      <c r="FWJ36" s="974"/>
      <c r="FWK36" s="974"/>
      <c r="FWL36" s="974"/>
      <c r="FWM36" s="974"/>
      <c r="FWN36" s="974"/>
      <c r="FWO36" s="974"/>
      <c r="FWP36" s="974"/>
      <c r="FWQ36" s="974"/>
      <c r="FWR36" s="974"/>
      <c r="FWS36" s="974"/>
      <c r="FWT36" s="974"/>
      <c r="FWU36" s="974"/>
      <c r="FWV36" s="974"/>
      <c r="FWW36" s="974"/>
      <c r="FWX36" s="974"/>
      <c r="FWY36" s="974"/>
      <c r="FWZ36" s="974"/>
      <c r="FXA36" s="974"/>
      <c r="FXB36" s="974"/>
      <c r="FXC36" s="974"/>
      <c r="FXD36" s="974"/>
      <c r="FXE36" s="974"/>
      <c r="FXF36" s="974"/>
      <c r="FXG36" s="974"/>
      <c r="FXH36" s="974"/>
      <c r="FXI36" s="974"/>
      <c r="FXJ36" s="974"/>
      <c r="FXK36" s="974"/>
      <c r="FXL36" s="974"/>
      <c r="FXM36" s="974"/>
      <c r="FXN36" s="974"/>
      <c r="FXO36" s="974"/>
      <c r="FXP36" s="974"/>
      <c r="FXQ36" s="974"/>
      <c r="FXR36" s="974"/>
      <c r="FXS36" s="974"/>
      <c r="FXT36" s="974"/>
      <c r="FXU36" s="974"/>
      <c r="FXV36" s="974"/>
      <c r="FXW36" s="974"/>
      <c r="FXX36" s="974"/>
      <c r="FXY36" s="974"/>
      <c r="FXZ36" s="974"/>
      <c r="FYA36" s="974"/>
      <c r="FYB36" s="974"/>
      <c r="FYC36" s="974"/>
      <c r="FYD36" s="974"/>
      <c r="FYE36" s="974"/>
      <c r="FYF36" s="974"/>
      <c r="FYG36" s="974"/>
      <c r="FYH36" s="974"/>
      <c r="FYI36" s="974"/>
      <c r="FYJ36" s="974"/>
      <c r="FYK36" s="974"/>
      <c r="FYL36" s="974"/>
      <c r="FYM36" s="974"/>
      <c r="FYN36" s="974"/>
      <c r="FYO36" s="974"/>
      <c r="FYP36" s="974"/>
      <c r="FYQ36" s="974"/>
      <c r="FYR36" s="974"/>
      <c r="FYS36" s="974"/>
      <c r="FYT36" s="974"/>
      <c r="FYU36" s="974"/>
      <c r="FYV36" s="974"/>
      <c r="FYW36" s="974"/>
      <c r="FYX36" s="974"/>
      <c r="FYY36" s="974"/>
      <c r="FYZ36" s="974"/>
      <c r="FZA36" s="974"/>
      <c r="FZB36" s="974"/>
      <c r="FZC36" s="974"/>
      <c r="FZD36" s="974"/>
      <c r="FZE36" s="974"/>
      <c r="FZF36" s="974"/>
      <c r="FZG36" s="974"/>
      <c r="FZH36" s="974"/>
      <c r="FZI36" s="974"/>
      <c r="FZJ36" s="974"/>
      <c r="FZK36" s="974"/>
      <c r="FZL36" s="974"/>
      <c r="FZM36" s="974"/>
      <c r="FZN36" s="974"/>
      <c r="FZO36" s="974"/>
      <c r="FZP36" s="974"/>
      <c r="FZQ36" s="974"/>
      <c r="FZR36" s="974"/>
      <c r="FZS36" s="974"/>
      <c r="FZT36" s="974"/>
      <c r="FZU36" s="974"/>
      <c r="FZV36" s="974"/>
      <c r="FZW36" s="974"/>
      <c r="FZX36" s="974"/>
      <c r="FZY36" s="974"/>
      <c r="FZZ36" s="974"/>
      <c r="GAA36" s="974"/>
      <c r="GAB36" s="974"/>
      <c r="GAC36" s="974"/>
      <c r="GAD36" s="974"/>
      <c r="GAE36" s="974"/>
      <c r="GAF36" s="974"/>
      <c r="GAG36" s="974"/>
      <c r="GAH36" s="974"/>
      <c r="GAI36" s="974"/>
      <c r="GAJ36" s="974"/>
      <c r="GAK36" s="974"/>
      <c r="GAL36" s="974"/>
      <c r="GAM36" s="974"/>
      <c r="GAN36" s="974"/>
      <c r="GAO36" s="974"/>
      <c r="GAP36" s="974"/>
      <c r="GAQ36" s="974"/>
      <c r="GAR36" s="974"/>
      <c r="GAS36" s="974"/>
      <c r="GAT36" s="974"/>
      <c r="GAU36" s="974"/>
      <c r="GAV36" s="974"/>
      <c r="GAW36" s="974"/>
      <c r="GAX36" s="974"/>
      <c r="GAY36" s="974"/>
      <c r="GAZ36" s="974"/>
      <c r="GBA36" s="974"/>
      <c r="GBB36" s="974"/>
      <c r="GBC36" s="974"/>
      <c r="GBD36" s="974"/>
      <c r="GBE36" s="974"/>
      <c r="GBF36" s="974"/>
      <c r="GBG36" s="974"/>
      <c r="GBH36" s="974"/>
      <c r="GBI36" s="974"/>
      <c r="GBJ36" s="974"/>
      <c r="GBK36" s="974"/>
      <c r="GBL36" s="974"/>
      <c r="GBM36" s="974"/>
      <c r="GBN36" s="974"/>
      <c r="GBO36" s="974"/>
      <c r="GBP36" s="974"/>
      <c r="GBQ36" s="974"/>
      <c r="GBR36" s="974"/>
      <c r="GBS36" s="974"/>
      <c r="GBT36" s="974"/>
      <c r="GBU36" s="974"/>
      <c r="GBV36" s="974"/>
      <c r="GBW36" s="974"/>
      <c r="GBX36" s="974"/>
      <c r="GBY36" s="974"/>
      <c r="GBZ36" s="974"/>
      <c r="GCA36" s="974"/>
      <c r="GCB36" s="974"/>
      <c r="GCC36" s="974"/>
      <c r="GCD36" s="974"/>
      <c r="GCE36" s="974"/>
      <c r="GCF36" s="974"/>
      <c r="GCG36" s="974"/>
      <c r="GCH36" s="974"/>
      <c r="GCI36" s="974"/>
      <c r="GCJ36" s="974"/>
      <c r="GCK36" s="974"/>
      <c r="GCL36" s="974"/>
      <c r="GCM36" s="974"/>
      <c r="GCN36" s="974"/>
      <c r="GCO36" s="974"/>
      <c r="GCP36" s="974"/>
      <c r="GCQ36" s="974"/>
      <c r="GCR36" s="974"/>
      <c r="GCS36" s="974"/>
      <c r="GCT36" s="974"/>
      <c r="GCU36" s="974"/>
      <c r="GCV36" s="974"/>
      <c r="GCW36" s="974"/>
      <c r="GCX36" s="974"/>
      <c r="GCY36" s="974"/>
      <c r="GCZ36" s="974"/>
      <c r="GDA36" s="974"/>
      <c r="GDB36" s="974"/>
      <c r="GDC36" s="974"/>
      <c r="GDD36" s="974"/>
      <c r="GDE36" s="974"/>
      <c r="GDF36" s="974"/>
      <c r="GDG36" s="974"/>
      <c r="GDH36" s="974"/>
      <c r="GDI36" s="974"/>
      <c r="GDJ36" s="974"/>
      <c r="GDK36" s="974"/>
      <c r="GDL36" s="974"/>
      <c r="GDM36" s="974"/>
      <c r="GDN36" s="974"/>
      <c r="GDO36" s="974"/>
      <c r="GDP36" s="974"/>
      <c r="GDQ36" s="974"/>
      <c r="GDR36" s="974"/>
      <c r="GDS36" s="974"/>
      <c r="GDT36" s="974"/>
      <c r="GDU36" s="974"/>
      <c r="GDV36" s="974"/>
      <c r="GDW36" s="974"/>
      <c r="GDX36" s="974"/>
      <c r="GDY36" s="974"/>
      <c r="GDZ36" s="974"/>
      <c r="GEA36" s="974"/>
      <c r="GEB36" s="974"/>
      <c r="GEC36" s="974"/>
      <c r="GED36" s="974"/>
      <c r="GEE36" s="974"/>
      <c r="GEF36" s="974"/>
      <c r="GEG36" s="974"/>
      <c r="GEH36" s="974"/>
      <c r="GEI36" s="974"/>
      <c r="GEJ36" s="974"/>
      <c r="GEK36" s="974"/>
      <c r="GEL36" s="974"/>
      <c r="GEM36" s="974"/>
      <c r="GEN36" s="974"/>
      <c r="GEO36" s="974"/>
      <c r="GEP36" s="974"/>
      <c r="GEQ36" s="974"/>
      <c r="GER36" s="974"/>
      <c r="GES36" s="974"/>
      <c r="GET36" s="974"/>
      <c r="GEU36" s="974"/>
      <c r="GEV36" s="974"/>
      <c r="GEW36" s="974"/>
      <c r="GEX36" s="974"/>
      <c r="GEY36" s="974"/>
      <c r="GEZ36" s="974"/>
      <c r="GFA36" s="974"/>
      <c r="GFB36" s="974"/>
      <c r="GFC36" s="974"/>
      <c r="GFD36" s="974"/>
      <c r="GFE36" s="974"/>
      <c r="GFF36" s="974"/>
      <c r="GFG36" s="974"/>
      <c r="GFH36" s="974"/>
      <c r="GFI36" s="974"/>
      <c r="GFJ36" s="974"/>
      <c r="GFK36" s="974"/>
      <c r="GFL36" s="974"/>
      <c r="GFM36" s="974"/>
      <c r="GFN36" s="974"/>
      <c r="GFO36" s="974"/>
      <c r="GFP36" s="974"/>
      <c r="GFQ36" s="974"/>
      <c r="GFR36" s="974"/>
      <c r="GFS36" s="974"/>
      <c r="GFT36" s="974"/>
      <c r="GFU36" s="974"/>
      <c r="GFV36" s="974"/>
      <c r="GFW36" s="974"/>
      <c r="GFX36" s="974"/>
      <c r="GFY36" s="974"/>
      <c r="GFZ36" s="974"/>
      <c r="GGA36" s="974"/>
      <c r="GGB36" s="974"/>
      <c r="GGC36" s="974"/>
      <c r="GGD36" s="974"/>
      <c r="GGE36" s="974"/>
      <c r="GGF36" s="974"/>
      <c r="GGG36" s="974"/>
      <c r="GGH36" s="974"/>
      <c r="GGI36" s="974"/>
      <c r="GGJ36" s="974"/>
      <c r="GGK36" s="974"/>
      <c r="GGL36" s="974"/>
      <c r="GGM36" s="974"/>
      <c r="GGN36" s="974"/>
      <c r="GGO36" s="974"/>
      <c r="GGP36" s="974"/>
      <c r="GGQ36" s="974"/>
      <c r="GGR36" s="974"/>
      <c r="GGS36" s="974"/>
      <c r="GGT36" s="974"/>
      <c r="GGU36" s="974"/>
      <c r="GGV36" s="974"/>
      <c r="GGW36" s="974"/>
      <c r="GGX36" s="974"/>
      <c r="GGY36" s="974"/>
      <c r="GGZ36" s="974"/>
      <c r="GHA36" s="974"/>
      <c r="GHB36" s="974"/>
      <c r="GHC36" s="974"/>
      <c r="GHD36" s="974"/>
      <c r="GHE36" s="974"/>
      <c r="GHF36" s="974"/>
      <c r="GHG36" s="974"/>
      <c r="GHH36" s="974"/>
      <c r="GHI36" s="974"/>
      <c r="GHJ36" s="974"/>
      <c r="GHK36" s="974"/>
      <c r="GHL36" s="974"/>
      <c r="GHM36" s="974"/>
      <c r="GHN36" s="974"/>
      <c r="GHO36" s="974"/>
      <c r="GHP36" s="974"/>
      <c r="GHQ36" s="974"/>
      <c r="GHR36" s="974"/>
      <c r="GHS36" s="974"/>
      <c r="GHT36" s="974"/>
      <c r="GHU36" s="974"/>
      <c r="GHV36" s="974"/>
      <c r="GHW36" s="974"/>
      <c r="GHX36" s="974"/>
      <c r="GHY36" s="974"/>
      <c r="GHZ36" s="974"/>
      <c r="GIA36" s="974"/>
      <c r="GIB36" s="974"/>
      <c r="GIC36" s="974"/>
      <c r="GID36" s="974"/>
      <c r="GIE36" s="974"/>
      <c r="GIF36" s="974"/>
      <c r="GIG36" s="974"/>
      <c r="GIH36" s="974"/>
      <c r="GII36" s="974"/>
      <c r="GIJ36" s="974"/>
      <c r="GIK36" s="974"/>
      <c r="GIL36" s="974"/>
      <c r="GIM36" s="974"/>
      <c r="GIN36" s="974"/>
      <c r="GIO36" s="974"/>
      <c r="GIP36" s="974"/>
      <c r="GIQ36" s="974"/>
      <c r="GIR36" s="974"/>
      <c r="GIS36" s="974"/>
      <c r="GIT36" s="974"/>
      <c r="GIU36" s="974"/>
      <c r="GIV36" s="974"/>
      <c r="GIW36" s="974"/>
      <c r="GIX36" s="974"/>
      <c r="GIY36" s="974"/>
      <c r="GIZ36" s="974"/>
      <c r="GJA36" s="974"/>
      <c r="GJB36" s="974"/>
      <c r="GJC36" s="974"/>
      <c r="GJD36" s="974"/>
      <c r="GJE36" s="974"/>
      <c r="GJF36" s="974"/>
      <c r="GJG36" s="974"/>
      <c r="GJH36" s="974"/>
      <c r="GJI36" s="974"/>
      <c r="GJJ36" s="974"/>
      <c r="GJK36" s="974"/>
      <c r="GJL36" s="974"/>
      <c r="GJM36" s="974"/>
      <c r="GJN36" s="974"/>
      <c r="GJO36" s="974"/>
      <c r="GJP36" s="974"/>
      <c r="GJQ36" s="974"/>
      <c r="GJR36" s="974"/>
      <c r="GJS36" s="974"/>
      <c r="GJT36" s="974"/>
      <c r="GJU36" s="974"/>
      <c r="GJV36" s="974"/>
      <c r="GJW36" s="974"/>
      <c r="GJX36" s="974"/>
      <c r="GJY36" s="974"/>
      <c r="GJZ36" s="974"/>
      <c r="GKA36" s="974"/>
      <c r="GKB36" s="974"/>
      <c r="GKC36" s="974"/>
      <c r="GKD36" s="974"/>
      <c r="GKE36" s="974"/>
      <c r="GKF36" s="974"/>
      <c r="GKG36" s="974"/>
      <c r="GKH36" s="974"/>
      <c r="GKI36" s="974"/>
      <c r="GKJ36" s="974"/>
      <c r="GKK36" s="974"/>
      <c r="GKL36" s="974"/>
      <c r="GKM36" s="974"/>
      <c r="GKN36" s="974"/>
      <c r="GKO36" s="974"/>
      <c r="GKP36" s="974"/>
      <c r="GKQ36" s="974"/>
      <c r="GKR36" s="974"/>
      <c r="GKS36" s="974"/>
      <c r="GKT36" s="974"/>
      <c r="GKU36" s="974"/>
      <c r="GKV36" s="974"/>
      <c r="GKW36" s="974"/>
      <c r="GKX36" s="974"/>
      <c r="GKY36" s="974"/>
      <c r="GKZ36" s="974"/>
      <c r="GLA36" s="974"/>
      <c r="GLB36" s="974"/>
      <c r="GLC36" s="974"/>
      <c r="GLD36" s="974"/>
      <c r="GLE36" s="974"/>
      <c r="GLF36" s="974"/>
      <c r="GLG36" s="974"/>
      <c r="GLH36" s="974"/>
      <c r="GLI36" s="974"/>
      <c r="GLJ36" s="974"/>
      <c r="GLK36" s="974"/>
      <c r="GLL36" s="974"/>
      <c r="GLM36" s="974"/>
      <c r="GLN36" s="974"/>
      <c r="GLO36" s="974"/>
      <c r="GLP36" s="974"/>
      <c r="GLQ36" s="974"/>
      <c r="GLR36" s="974"/>
      <c r="GLS36" s="974"/>
      <c r="GLT36" s="974"/>
      <c r="GLU36" s="974"/>
      <c r="GLV36" s="974"/>
      <c r="GLW36" s="974"/>
      <c r="GLX36" s="974"/>
      <c r="GLY36" s="974"/>
      <c r="GLZ36" s="974"/>
      <c r="GMA36" s="974"/>
      <c r="GMB36" s="974"/>
      <c r="GMC36" s="974"/>
      <c r="GMD36" s="974"/>
      <c r="GME36" s="974"/>
      <c r="GMF36" s="974"/>
      <c r="GMG36" s="974"/>
      <c r="GMH36" s="974"/>
      <c r="GMI36" s="974"/>
      <c r="GMJ36" s="974"/>
      <c r="GMK36" s="974"/>
      <c r="GML36" s="974"/>
      <c r="GMM36" s="974"/>
      <c r="GMN36" s="974"/>
      <c r="GMO36" s="974"/>
      <c r="GMP36" s="974"/>
      <c r="GMQ36" s="974"/>
      <c r="GMR36" s="974"/>
      <c r="GMS36" s="974"/>
      <c r="GMT36" s="974"/>
      <c r="GMU36" s="974"/>
      <c r="GMV36" s="974"/>
      <c r="GMW36" s="974"/>
      <c r="GMX36" s="974"/>
      <c r="GMY36" s="974"/>
      <c r="GMZ36" s="974"/>
      <c r="GNA36" s="974"/>
      <c r="GNB36" s="974"/>
      <c r="GNC36" s="974"/>
      <c r="GND36" s="974"/>
      <c r="GNE36" s="974"/>
      <c r="GNF36" s="974"/>
      <c r="GNG36" s="974"/>
      <c r="GNH36" s="974"/>
      <c r="GNI36" s="974"/>
      <c r="GNJ36" s="974"/>
      <c r="GNK36" s="974"/>
      <c r="GNL36" s="974"/>
      <c r="GNM36" s="974"/>
      <c r="GNN36" s="974"/>
      <c r="GNO36" s="974"/>
      <c r="GNP36" s="974"/>
      <c r="GNQ36" s="974"/>
      <c r="GNR36" s="974"/>
      <c r="GNS36" s="974"/>
      <c r="GNT36" s="974"/>
      <c r="GNU36" s="974"/>
      <c r="GNV36" s="974"/>
      <c r="GNW36" s="974"/>
      <c r="GNX36" s="974"/>
      <c r="GNY36" s="974"/>
      <c r="GNZ36" s="974"/>
      <c r="GOA36" s="974"/>
      <c r="GOB36" s="974"/>
      <c r="GOC36" s="974"/>
      <c r="GOD36" s="974"/>
      <c r="GOE36" s="974"/>
      <c r="GOF36" s="974"/>
      <c r="GOG36" s="974"/>
      <c r="GOH36" s="974"/>
      <c r="GOI36" s="974"/>
      <c r="GOJ36" s="974"/>
      <c r="GOK36" s="974"/>
      <c r="GOL36" s="974"/>
      <c r="GOM36" s="974"/>
      <c r="GON36" s="974"/>
      <c r="GOO36" s="974"/>
      <c r="GOP36" s="974"/>
      <c r="GOQ36" s="974"/>
      <c r="GOR36" s="974"/>
      <c r="GOS36" s="974"/>
      <c r="GOT36" s="974"/>
      <c r="GOU36" s="974"/>
      <c r="GOV36" s="974"/>
      <c r="GOW36" s="974"/>
      <c r="GOX36" s="974"/>
      <c r="GOY36" s="974"/>
      <c r="GOZ36" s="974"/>
      <c r="GPA36" s="974"/>
      <c r="GPB36" s="974"/>
      <c r="GPC36" s="974"/>
      <c r="GPD36" s="974"/>
      <c r="GPE36" s="974"/>
      <c r="GPF36" s="974"/>
      <c r="GPG36" s="974"/>
      <c r="GPH36" s="974"/>
      <c r="GPI36" s="974"/>
      <c r="GPJ36" s="974"/>
      <c r="GPK36" s="974"/>
      <c r="GPL36" s="974"/>
      <c r="GPM36" s="974"/>
      <c r="GPN36" s="974"/>
      <c r="GPO36" s="974"/>
      <c r="GPP36" s="974"/>
      <c r="GPQ36" s="974"/>
      <c r="GPR36" s="974"/>
      <c r="GPS36" s="974"/>
      <c r="GPT36" s="974"/>
      <c r="GPU36" s="974"/>
      <c r="GPV36" s="974"/>
      <c r="GPW36" s="974"/>
      <c r="GPX36" s="974"/>
      <c r="GPY36" s="974"/>
      <c r="GPZ36" s="974"/>
      <c r="GQA36" s="974"/>
      <c r="GQB36" s="974"/>
      <c r="GQC36" s="974"/>
      <c r="GQD36" s="974"/>
      <c r="GQE36" s="974"/>
      <c r="GQF36" s="974"/>
      <c r="GQG36" s="974"/>
      <c r="GQH36" s="974"/>
      <c r="GQI36" s="974"/>
      <c r="GQJ36" s="974"/>
      <c r="GQK36" s="974"/>
      <c r="GQL36" s="974"/>
      <c r="GQM36" s="974"/>
      <c r="GQN36" s="974"/>
      <c r="GQO36" s="974"/>
      <c r="GQP36" s="974"/>
      <c r="GQQ36" s="974"/>
      <c r="GQR36" s="974"/>
      <c r="GQS36" s="974"/>
      <c r="GQT36" s="974"/>
      <c r="GQU36" s="974"/>
      <c r="GQV36" s="974"/>
      <c r="GQW36" s="974"/>
      <c r="GQX36" s="974"/>
      <c r="GQY36" s="974"/>
      <c r="GQZ36" s="974"/>
      <c r="GRA36" s="974"/>
      <c r="GRB36" s="974"/>
      <c r="GRC36" s="974"/>
      <c r="GRD36" s="974"/>
      <c r="GRE36" s="974"/>
      <c r="GRF36" s="974"/>
      <c r="GRG36" s="974"/>
      <c r="GRH36" s="974"/>
      <c r="GRI36" s="974"/>
      <c r="GRJ36" s="974"/>
      <c r="GRK36" s="974"/>
      <c r="GRL36" s="974"/>
      <c r="GRM36" s="974"/>
      <c r="GRN36" s="974"/>
      <c r="GRO36" s="974"/>
      <c r="GRP36" s="974"/>
      <c r="GRQ36" s="974"/>
      <c r="GRR36" s="974"/>
      <c r="GRS36" s="974"/>
      <c r="GRT36" s="974"/>
      <c r="GRU36" s="974"/>
      <c r="GRV36" s="974"/>
      <c r="GRW36" s="974"/>
      <c r="GRX36" s="974"/>
      <c r="GRY36" s="974"/>
      <c r="GRZ36" s="974"/>
      <c r="GSA36" s="974"/>
      <c r="GSB36" s="974"/>
      <c r="GSC36" s="974"/>
      <c r="GSD36" s="974"/>
      <c r="GSE36" s="974"/>
      <c r="GSF36" s="974"/>
      <c r="GSG36" s="974"/>
      <c r="GSH36" s="974"/>
      <c r="GSI36" s="974"/>
      <c r="GSJ36" s="974"/>
      <c r="GSK36" s="974"/>
      <c r="GSL36" s="974"/>
      <c r="GSM36" s="974"/>
      <c r="GSN36" s="974"/>
      <c r="GSO36" s="974"/>
      <c r="GSP36" s="974"/>
      <c r="GSQ36" s="974"/>
      <c r="GSR36" s="974"/>
      <c r="GSS36" s="974"/>
      <c r="GST36" s="974"/>
      <c r="GSU36" s="974"/>
      <c r="GSV36" s="974"/>
      <c r="GSW36" s="974"/>
      <c r="GSX36" s="974"/>
      <c r="GSY36" s="974"/>
      <c r="GSZ36" s="974"/>
      <c r="GTA36" s="974"/>
      <c r="GTB36" s="974"/>
      <c r="GTC36" s="974"/>
      <c r="GTD36" s="974"/>
      <c r="GTE36" s="974"/>
      <c r="GTF36" s="974"/>
      <c r="GTG36" s="974"/>
      <c r="GTH36" s="974"/>
      <c r="GTI36" s="974"/>
      <c r="GTJ36" s="974"/>
      <c r="GTK36" s="974"/>
      <c r="GTL36" s="974"/>
      <c r="GTM36" s="974"/>
      <c r="GTN36" s="974"/>
      <c r="GTO36" s="974"/>
      <c r="GTP36" s="974"/>
      <c r="GTQ36" s="974"/>
      <c r="GTR36" s="974"/>
      <c r="GTS36" s="974"/>
      <c r="GTT36" s="974"/>
      <c r="GTU36" s="974"/>
      <c r="GTV36" s="974"/>
      <c r="GTW36" s="974"/>
      <c r="GTX36" s="974"/>
      <c r="GTY36" s="974"/>
      <c r="GTZ36" s="974"/>
      <c r="GUA36" s="974"/>
      <c r="GUB36" s="974"/>
      <c r="GUC36" s="974"/>
      <c r="GUD36" s="974"/>
      <c r="GUE36" s="974"/>
      <c r="GUF36" s="974"/>
      <c r="GUG36" s="974"/>
      <c r="GUH36" s="974"/>
      <c r="GUI36" s="974"/>
      <c r="GUJ36" s="974"/>
      <c r="GUK36" s="974"/>
      <c r="GUL36" s="974"/>
      <c r="GUM36" s="974"/>
      <c r="GUN36" s="974"/>
      <c r="GUO36" s="974"/>
      <c r="GUP36" s="974"/>
      <c r="GUQ36" s="974"/>
      <c r="GUR36" s="974"/>
      <c r="GUS36" s="974"/>
      <c r="GUT36" s="974"/>
      <c r="GUU36" s="974"/>
      <c r="GUV36" s="974"/>
      <c r="GUW36" s="974"/>
      <c r="GUX36" s="974"/>
      <c r="GUY36" s="974"/>
      <c r="GUZ36" s="974"/>
      <c r="GVA36" s="974"/>
      <c r="GVB36" s="974"/>
      <c r="GVC36" s="974"/>
      <c r="GVD36" s="974"/>
      <c r="GVE36" s="974"/>
      <c r="GVF36" s="974"/>
      <c r="GVG36" s="974"/>
      <c r="GVH36" s="974"/>
      <c r="GVI36" s="974"/>
      <c r="GVJ36" s="974"/>
      <c r="GVK36" s="974"/>
      <c r="GVL36" s="974"/>
      <c r="GVM36" s="974"/>
      <c r="GVN36" s="974"/>
      <c r="GVO36" s="974"/>
      <c r="GVP36" s="974"/>
      <c r="GVQ36" s="974"/>
      <c r="GVR36" s="974"/>
      <c r="GVS36" s="974"/>
      <c r="GVT36" s="974"/>
      <c r="GVU36" s="974"/>
      <c r="GVV36" s="974"/>
      <c r="GVW36" s="974"/>
      <c r="GVX36" s="974"/>
      <c r="GVY36" s="974"/>
      <c r="GVZ36" s="974"/>
      <c r="GWA36" s="974"/>
      <c r="GWB36" s="974"/>
      <c r="GWC36" s="974"/>
      <c r="GWD36" s="974"/>
      <c r="GWE36" s="974"/>
      <c r="GWF36" s="974"/>
      <c r="GWG36" s="974"/>
      <c r="GWH36" s="974"/>
      <c r="GWI36" s="974"/>
      <c r="GWJ36" s="974"/>
      <c r="GWK36" s="974"/>
      <c r="GWL36" s="974"/>
      <c r="GWM36" s="974"/>
      <c r="GWN36" s="974"/>
      <c r="GWO36" s="974"/>
      <c r="GWP36" s="974"/>
      <c r="GWQ36" s="974"/>
      <c r="GWR36" s="974"/>
      <c r="GWS36" s="974"/>
      <c r="GWT36" s="974"/>
      <c r="GWU36" s="974"/>
      <c r="GWV36" s="974"/>
      <c r="GWW36" s="974"/>
      <c r="GWX36" s="974"/>
      <c r="GWY36" s="974"/>
      <c r="GWZ36" s="974"/>
      <c r="GXA36" s="974"/>
      <c r="GXB36" s="974"/>
      <c r="GXC36" s="974"/>
      <c r="GXD36" s="974"/>
      <c r="GXE36" s="974"/>
      <c r="GXF36" s="974"/>
      <c r="GXG36" s="974"/>
      <c r="GXH36" s="974"/>
      <c r="GXI36" s="974"/>
      <c r="GXJ36" s="974"/>
      <c r="GXK36" s="974"/>
      <c r="GXL36" s="974"/>
      <c r="GXM36" s="974"/>
      <c r="GXN36" s="974"/>
      <c r="GXO36" s="974"/>
      <c r="GXP36" s="974"/>
      <c r="GXQ36" s="974"/>
      <c r="GXR36" s="974"/>
      <c r="GXS36" s="974"/>
      <c r="GXT36" s="974"/>
      <c r="GXU36" s="974"/>
      <c r="GXV36" s="974"/>
      <c r="GXW36" s="974"/>
      <c r="GXX36" s="974"/>
      <c r="GXY36" s="974"/>
      <c r="GXZ36" s="974"/>
      <c r="GYA36" s="974"/>
      <c r="GYB36" s="974"/>
      <c r="GYC36" s="974"/>
      <c r="GYD36" s="974"/>
      <c r="GYE36" s="974"/>
      <c r="GYF36" s="974"/>
      <c r="GYG36" s="974"/>
      <c r="GYH36" s="974"/>
      <c r="GYI36" s="974"/>
      <c r="GYJ36" s="974"/>
      <c r="GYK36" s="974"/>
      <c r="GYL36" s="974"/>
      <c r="GYM36" s="974"/>
      <c r="GYN36" s="974"/>
      <c r="GYO36" s="974"/>
      <c r="GYP36" s="974"/>
      <c r="GYQ36" s="974"/>
      <c r="GYR36" s="974"/>
      <c r="GYS36" s="974"/>
      <c r="GYT36" s="974"/>
      <c r="GYU36" s="974"/>
      <c r="GYV36" s="974"/>
      <c r="GYW36" s="974"/>
      <c r="GYX36" s="974"/>
      <c r="GYY36" s="974"/>
      <c r="GYZ36" s="974"/>
      <c r="GZA36" s="974"/>
      <c r="GZB36" s="974"/>
      <c r="GZC36" s="974"/>
      <c r="GZD36" s="974"/>
      <c r="GZE36" s="974"/>
      <c r="GZF36" s="974"/>
      <c r="GZG36" s="974"/>
      <c r="GZH36" s="974"/>
      <c r="GZI36" s="974"/>
      <c r="GZJ36" s="974"/>
      <c r="GZK36" s="974"/>
      <c r="GZL36" s="974"/>
      <c r="GZM36" s="974"/>
      <c r="GZN36" s="974"/>
      <c r="GZO36" s="974"/>
      <c r="GZP36" s="974"/>
      <c r="GZQ36" s="974"/>
      <c r="GZR36" s="974"/>
      <c r="GZS36" s="974"/>
      <c r="GZT36" s="974"/>
      <c r="GZU36" s="974"/>
      <c r="GZV36" s="974"/>
      <c r="GZW36" s="974"/>
      <c r="GZX36" s="974"/>
      <c r="GZY36" s="974"/>
      <c r="GZZ36" s="974"/>
      <c r="HAA36" s="974"/>
      <c r="HAB36" s="974"/>
      <c r="HAC36" s="974"/>
      <c r="HAD36" s="974"/>
      <c r="HAE36" s="974"/>
      <c r="HAF36" s="974"/>
      <c r="HAG36" s="974"/>
      <c r="HAH36" s="974"/>
      <c r="HAI36" s="974"/>
      <c r="HAJ36" s="974"/>
      <c r="HAK36" s="974"/>
      <c r="HAL36" s="974"/>
      <c r="HAM36" s="974"/>
      <c r="HAN36" s="974"/>
      <c r="HAO36" s="974"/>
      <c r="HAP36" s="974"/>
      <c r="HAQ36" s="974"/>
      <c r="HAR36" s="974"/>
      <c r="HAS36" s="974"/>
      <c r="HAT36" s="974"/>
      <c r="HAU36" s="974"/>
      <c r="HAV36" s="974"/>
      <c r="HAW36" s="974"/>
      <c r="HAX36" s="974"/>
      <c r="HAY36" s="974"/>
      <c r="HAZ36" s="974"/>
      <c r="HBA36" s="974"/>
      <c r="HBB36" s="974"/>
      <c r="HBC36" s="974"/>
      <c r="HBD36" s="974"/>
      <c r="HBE36" s="974"/>
      <c r="HBF36" s="974"/>
      <c r="HBG36" s="974"/>
      <c r="HBH36" s="974"/>
      <c r="HBI36" s="974"/>
      <c r="HBJ36" s="974"/>
      <c r="HBK36" s="974"/>
      <c r="HBL36" s="974"/>
      <c r="HBM36" s="974"/>
      <c r="HBN36" s="974"/>
      <c r="HBO36" s="974"/>
      <c r="HBP36" s="974"/>
      <c r="HBQ36" s="974"/>
      <c r="HBR36" s="974"/>
      <c r="HBS36" s="974"/>
      <c r="HBT36" s="974"/>
      <c r="HBU36" s="974"/>
      <c r="HBV36" s="974"/>
      <c r="HBW36" s="974"/>
      <c r="HBX36" s="974"/>
      <c r="HBY36" s="974"/>
      <c r="HBZ36" s="974"/>
      <c r="HCA36" s="974"/>
      <c r="HCB36" s="974"/>
      <c r="HCC36" s="974"/>
      <c r="HCD36" s="974"/>
      <c r="HCE36" s="974"/>
      <c r="HCF36" s="974"/>
      <c r="HCG36" s="974"/>
      <c r="HCH36" s="974"/>
      <c r="HCI36" s="974"/>
      <c r="HCJ36" s="974"/>
      <c r="HCK36" s="974"/>
      <c r="HCL36" s="974"/>
      <c r="HCM36" s="974"/>
      <c r="HCN36" s="974"/>
      <c r="HCO36" s="974"/>
      <c r="HCP36" s="974"/>
      <c r="HCQ36" s="974"/>
      <c r="HCR36" s="974"/>
      <c r="HCS36" s="974"/>
      <c r="HCT36" s="974"/>
      <c r="HCU36" s="974"/>
      <c r="HCV36" s="974"/>
      <c r="HCW36" s="974"/>
      <c r="HCX36" s="974"/>
      <c r="HCY36" s="974"/>
      <c r="HCZ36" s="974"/>
      <c r="HDA36" s="974"/>
      <c r="HDB36" s="974"/>
      <c r="HDC36" s="974"/>
      <c r="HDD36" s="974"/>
      <c r="HDE36" s="974"/>
      <c r="HDF36" s="974"/>
      <c r="HDG36" s="974"/>
      <c r="HDH36" s="974"/>
      <c r="HDI36" s="974"/>
      <c r="HDJ36" s="974"/>
      <c r="HDK36" s="974"/>
      <c r="HDL36" s="974"/>
      <c r="HDM36" s="974"/>
      <c r="HDN36" s="974"/>
      <c r="HDO36" s="974"/>
      <c r="HDP36" s="974"/>
      <c r="HDQ36" s="974"/>
      <c r="HDR36" s="974"/>
      <c r="HDS36" s="974"/>
      <c r="HDT36" s="974"/>
      <c r="HDU36" s="974"/>
      <c r="HDV36" s="974"/>
      <c r="HDW36" s="974"/>
      <c r="HDX36" s="974"/>
      <c r="HDY36" s="974"/>
      <c r="HDZ36" s="974"/>
      <c r="HEA36" s="974"/>
      <c r="HEB36" s="974"/>
      <c r="HEC36" s="974"/>
      <c r="HED36" s="974"/>
      <c r="HEE36" s="974"/>
      <c r="HEF36" s="974"/>
      <c r="HEG36" s="974"/>
      <c r="HEH36" s="974"/>
      <c r="HEI36" s="974"/>
      <c r="HEJ36" s="974"/>
      <c r="HEK36" s="974"/>
      <c r="HEL36" s="974"/>
      <c r="HEM36" s="974"/>
      <c r="HEN36" s="974"/>
      <c r="HEO36" s="974"/>
      <c r="HEP36" s="974"/>
      <c r="HEQ36" s="974"/>
      <c r="HER36" s="974"/>
      <c r="HES36" s="974"/>
      <c r="HET36" s="974"/>
      <c r="HEU36" s="974"/>
      <c r="HEV36" s="974"/>
      <c r="HEW36" s="974"/>
      <c r="HEX36" s="974"/>
      <c r="HEY36" s="974"/>
      <c r="HEZ36" s="974"/>
      <c r="HFA36" s="974"/>
      <c r="HFB36" s="974"/>
      <c r="HFC36" s="974"/>
      <c r="HFD36" s="974"/>
      <c r="HFE36" s="974"/>
      <c r="HFF36" s="974"/>
      <c r="HFG36" s="974"/>
      <c r="HFH36" s="974"/>
      <c r="HFI36" s="974"/>
      <c r="HFJ36" s="974"/>
      <c r="HFK36" s="974"/>
      <c r="HFL36" s="974"/>
      <c r="HFM36" s="974"/>
      <c r="HFN36" s="974"/>
      <c r="HFO36" s="974"/>
      <c r="HFP36" s="974"/>
      <c r="HFQ36" s="974"/>
      <c r="HFR36" s="974"/>
      <c r="HFS36" s="974"/>
      <c r="HFT36" s="974"/>
      <c r="HFU36" s="974"/>
      <c r="HFV36" s="974"/>
      <c r="HFW36" s="974"/>
      <c r="HFX36" s="974"/>
      <c r="HFY36" s="974"/>
      <c r="HFZ36" s="974"/>
      <c r="HGA36" s="974"/>
      <c r="HGB36" s="974"/>
      <c r="HGC36" s="974"/>
      <c r="HGD36" s="974"/>
      <c r="HGE36" s="974"/>
      <c r="HGF36" s="974"/>
      <c r="HGG36" s="974"/>
      <c r="HGH36" s="974"/>
      <c r="HGI36" s="974"/>
      <c r="HGJ36" s="974"/>
      <c r="HGK36" s="974"/>
      <c r="HGL36" s="974"/>
      <c r="HGM36" s="974"/>
      <c r="HGN36" s="974"/>
      <c r="HGO36" s="974"/>
      <c r="HGP36" s="974"/>
      <c r="HGQ36" s="974"/>
      <c r="HGR36" s="974"/>
      <c r="HGS36" s="974"/>
      <c r="HGT36" s="974"/>
      <c r="HGU36" s="974"/>
      <c r="HGV36" s="974"/>
      <c r="HGW36" s="974"/>
      <c r="HGX36" s="974"/>
      <c r="HGY36" s="974"/>
      <c r="HGZ36" s="974"/>
      <c r="HHA36" s="974"/>
      <c r="HHB36" s="974"/>
      <c r="HHC36" s="974"/>
      <c r="HHD36" s="974"/>
      <c r="HHE36" s="974"/>
      <c r="HHF36" s="974"/>
      <c r="HHG36" s="974"/>
      <c r="HHH36" s="974"/>
      <c r="HHI36" s="974"/>
      <c r="HHJ36" s="974"/>
      <c r="HHK36" s="974"/>
      <c r="HHL36" s="974"/>
      <c r="HHM36" s="974"/>
      <c r="HHN36" s="974"/>
      <c r="HHO36" s="974"/>
      <c r="HHP36" s="974"/>
      <c r="HHQ36" s="974"/>
      <c r="HHR36" s="974"/>
      <c r="HHS36" s="974"/>
      <c r="HHT36" s="974"/>
      <c r="HHU36" s="974"/>
      <c r="HHV36" s="974"/>
      <c r="HHW36" s="974"/>
      <c r="HHX36" s="974"/>
      <c r="HHY36" s="974"/>
      <c r="HHZ36" s="974"/>
      <c r="HIA36" s="974"/>
      <c r="HIB36" s="974"/>
      <c r="HIC36" s="974"/>
      <c r="HID36" s="974"/>
      <c r="HIE36" s="974"/>
      <c r="HIF36" s="974"/>
      <c r="HIG36" s="974"/>
      <c r="HIH36" s="974"/>
      <c r="HII36" s="974"/>
      <c r="HIJ36" s="974"/>
      <c r="HIK36" s="974"/>
      <c r="HIL36" s="974"/>
      <c r="HIM36" s="974"/>
      <c r="HIN36" s="974"/>
      <c r="HIO36" s="974"/>
      <c r="HIP36" s="974"/>
      <c r="HIQ36" s="974"/>
      <c r="HIR36" s="974"/>
      <c r="HIS36" s="974"/>
      <c r="HIT36" s="974"/>
      <c r="HIU36" s="974"/>
      <c r="HIV36" s="974"/>
      <c r="HIW36" s="974"/>
      <c r="HIX36" s="974"/>
      <c r="HIY36" s="974"/>
      <c r="HIZ36" s="974"/>
      <c r="HJA36" s="974"/>
      <c r="HJB36" s="974"/>
      <c r="HJC36" s="974"/>
      <c r="HJD36" s="974"/>
      <c r="HJE36" s="974"/>
      <c r="HJF36" s="974"/>
      <c r="HJG36" s="974"/>
      <c r="HJH36" s="974"/>
      <c r="HJI36" s="974"/>
      <c r="HJJ36" s="974"/>
      <c r="HJK36" s="974"/>
      <c r="HJL36" s="974"/>
      <c r="HJM36" s="974"/>
      <c r="HJN36" s="974"/>
      <c r="HJO36" s="974"/>
      <c r="HJP36" s="974"/>
      <c r="HJQ36" s="974"/>
      <c r="HJR36" s="974"/>
      <c r="HJS36" s="974"/>
      <c r="HJT36" s="974"/>
      <c r="HJU36" s="974"/>
      <c r="HJV36" s="974"/>
      <c r="HJW36" s="974"/>
      <c r="HJX36" s="974"/>
      <c r="HJY36" s="974"/>
      <c r="HJZ36" s="974"/>
      <c r="HKA36" s="974"/>
      <c r="HKB36" s="974"/>
      <c r="HKC36" s="974"/>
      <c r="HKD36" s="974"/>
      <c r="HKE36" s="974"/>
      <c r="HKF36" s="974"/>
      <c r="HKG36" s="974"/>
      <c r="HKH36" s="974"/>
      <c r="HKI36" s="974"/>
      <c r="HKJ36" s="974"/>
      <c r="HKK36" s="974"/>
      <c r="HKL36" s="974"/>
      <c r="HKM36" s="974"/>
      <c r="HKN36" s="974"/>
      <c r="HKO36" s="974"/>
      <c r="HKP36" s="974"/>
      <c r="HKQ36" s="974"/>
      <c r="HKR36" s="974"/>
      <c r="HKS36" s="974"/>
      <c r="HKT36" s="974"/>
      <c r="HKU36" s="974"/>
      <c r="HKV36" s="974"/>
      <c r="HKW36" s="974"/>
      <c r="HKX36" s="974"/>
      <c r="HKY36" s="974"/>
      <c r="HKZ36" s="974"/>
      <c r="HLA36" s="974"/>
      <c r="HLB36" s="974"/>
      <c r="HLC36" s="974"/>
      <c r="HLD36" s="974"/>
      <c r="HLE36" s="974"/>
      <c r="HLF36" s="974"/>
      <c r="HLG36" s="974"/>
      <c r="HLH36" s="974"/>
      <c r="HLI36" s="974"/>
      <c r="HLJ36" s="974"/>
      <c r="HLK36" s="974"/>
      <c r="HLL36" s="974"/>
      <c r="HLM36" s="974"/>
      <c r="HLN36" s="974"/>
      <c r="HLO36" s="974"/>
      <c r="HLP36" s="974"/>
      <c r="HLQ36" s="974"/>
      <c r="HLR36" s="974"/>
      <c r="HLS36" s="974"/>
      <c r="HLT36" s="974"/>
      <c r="HLU36" s="974"/>
      <c r="HLV36" s="974"/>
      <c r="HLW36" s="974"/>
      <c r="HLX36" s="974"/>
      <c r="HLY36" s="974"/>
      <c r="HLZ36" s="974"/>
      <c r="HMA36" s="974"/>
      <c r="HMB36" s="974"/>
      <c r="HMC36" s="974"/>
      <c r="HMD36" s="974"/>
      <c r="HME36" s="974"/>
      <c r="HMF36" s="974"/>
      <c r="HMG36" s="974"/>
      <c r="HMH36" s="974"/>
      <c r="HMI36" s="974"/>
      <c r="HMJ36" s="974"/>
      <c r="HMK36" s="974"/>
      <c r="HML36" s="974"/>
      <c r="HMM36" s="974"/>
      <c r="HMN36" s="974"/>
      <c r="HMO36" s="974"/>
      <c r="HMP36" s="974"/>
      <c r="HMQ36" s="974"/>
      <c r="HMR36" s="974"/>
      <c r="HMS36" s="974"/>
      <c r="HMT36" s="974"/>
      <c r="HMU36" s="974"/>
      <c r="HMV36" s="974"/>
      <c r="HMW36" s="974"/>
      <c r="HMX36" s="974"/>
      <c r="HMY36" s="974"/>
      <c r="HMZ36" s="974"/>
      <c r="HNA36" s="974"/>
      <c r="HNB36" s="974"/>
      <c r="HNC36" s="974"/>
      <c r="HND36" s="974"/>
      <c r="HNE36" s="974"/>
      <c r="HNF36" s="974"/>
      <c r="HNG36" s="974"/>
      <c r="HNH36" s="974"/>
      <c r="HNI36" s="974"/>
      <c r="HNJ36" s="974"/>
      <c r="HNK36" s="974"/>
      <c r="HNL36" s="974"/>
      <c r="HNM36" s="974"/>
      <c r="HNN36" s="974"/>
      <c r="HNO36" s="974"/>
      <c r="HNP36" s="974"/>
      <c r="HNQ36" s="974"/>
      <c r="HNR36" s="974"/>
      <c r="HNS36" s="974"/>
      <c r="HNT36" s="974"/>
      <c r="HNU36" s="974"/>
      <c r="HNV36" s="974"/>
      <c r="HNW36" s="974"/>
      <c r="HNX36" s="974"/>
      <c r="HNY36" s="974"/>
      <c r="HNZ36" s="974"/>
      <c r="HOA36" s="974"/>
      <c r="HOB36" s="974"/>
      <c r="HOC36" s="974"/>
      <c r="HOD36" s="974"/>
      <c r="HOE36" s="974"/>
      <c r="HOF36" s="974"/>
      <c r="HOG36" s="974"/>
      <c r="HOH36" s="974"/>
      <c r="HOI36" s="974"/>
      <c r="HOJ36" s="974"/>
      <c r="HOK36" s="974"/>
      <c r="HOL36" s="974"/>
      <c r="HOM36" s="974"/>
      <c r="HON36" s="974"/>
      <c r="HOO36" s="974"/>
      <c r="HOP36" s="974"/>
      <c r="HOQ36" s="974"/>
      <c r="HOR36" s="974"/>
      <c r="HOS36" s="974"/>
      <c r="HOT36" s="974"/>
      <c r="HOU36" s="974"/>
      <c r="HOV36" s="974"/>
      <c r="HOW36" s="974"/>
      <c r="HOX36" s="974"/>
      <c r="HOY36" s="974"/>
      <c r="HOZ36" s="974"/>
      <c r="HPA36" s="974"/>
      <c r="HPB36" s="974"/>
      <c r="HPC36" s="974"/>
      <c r="HPD36" s="974"/>
      <c r="HPE36" s="974"/>
      <c r="HPF36" s="974"/>
      <c r="HPG36" s="974"/>
      <c r="HPH36" s="974"/>
      <c r="HPI36" s="974"/>
      <c r="HPJ36" s="974"/>
      <c r="HPK36" s="974"/>
      <c r="HPL36" s="974"/>
      <c r="HPM36" s="974"/>
      <c r="HPN36" s="974"/>
      <c r="HPO36" s="974"/>
      <c r="HPP36" s="974"/>
      <c r="HPQ36" s="974"/>
      <c r="HPR36" s="974"/>
      <c r="HPS36" s="974"/>
      <c r="HPT36" s="974"/>
      <c r="HPU36" s="974"/>
      <c r="HPV36" s="974"/>
      <c r="HPW36" s="974"/>
      <c r="HPX36" s="974"/>
      <c r="HPY36" s="974"/>
      <c r="HPZ36" s="974"/>
      <c r="HQA36" s="974"/>
      <c r="HQB36" s="974"/>
      <c r="HQC36" s="974"/>
      <c r="HQD36" s="974"/>
      <c r="HQE36" s="974"/>
      <c r="HQF36" s="974"/>
      <c r="HQG36" s="974"/>
      <c r="HQH36" s="974"/>
      <c r="HQI36" s="974"/>
      <c r="HQJ36" s="974"/>
      <c r="HQK36" s="974"/>
      <c r="HQL36" s="974"/>
      <c r="HQM36" s="974"/>
      <c r="HQN36" s="974"/>
      <c r="HQO36" s="974"/>
      <c r="HQP36" s="974"/>
      <c r="HQQ36" s="974"/>
      <c r="HQR36" s="974"/>
      <c r="HQS36" s="974"/>
      <c r="HQT36" s="974"/>
      <c r="HQU36" s="974"/>
      <c r="HQV36" s="974"/>
      <c r="HQW36" s="974"/>
      <c r="HQX36" s="974"/>
      <c r="HQY36" s="974"/>
      <c r="HQZ36" s="974"/>
      <c r="HRA36" s="974"/>
      <c r="HRB36" s="974"/>
      <c r="HRC36" s="974"/>
      <c r="HRD36" s="974"/>
      <c r="HRE36" s="974"/>
      <c r="HRF36" s="974"/>
      <c r="HRG36" s="974"/>
      <c r="HRH36" s="974"/>
      <c r="HRI36" s="974"/>
      <c r="HRJ36" s="974"/>
      <c r="HRK36" s="974"/>
      <c r="HRL36" s="974"/>
      <c r="HRM36" s="974"/>
      <c r="HRN36" s="974"/>
      <c r="HRO36" s="974"/>
      <c r="HRP36" s="974"/>
      <c r="HRQ36" s="974"/>
      <c r="HRR36" s="974"/>
      <c r="HRS36" s="974"/>
      <c r="HRT36" s="974"/>
      <c r="HRU36" s="974"/>
      <c r="HRV36" s="974"/>
      <c r="HRW36" s="974"/>
      <c r="HRX36" s="974"/>
      <c r="HRY36" s="974"/>
      <c r="HRZ36" s="974"/>
      <c r="HSA36" s="974"/>
      <c r="HSB36" s="974"/>
      <c r="HSC36" s="974"/>
      <c r="HSD36" s="974"/>
      <c r="HSE36" s="974"/>
      <c r="HSF36" s="974"/>
      <c r="HSG36" s="974"/>
      <c r="HSH36" s="974"/>
      <c r="HSI36" s="974"/>
      <c r="HSJ36" s="974"/>
      <c r="HSK36" s="974"/>
      <c r="HSL36" s="974"/>
      <c r="HSM36" s="974"/>
      <c r="HSN36" s="974"/>
      <c r="HSO36" s="974"/>
      <c r="HSP36" s="974"/>
      <c r="HSQ36" s="974"/>
      <c r="HSR36" s="974"/>
      <c r="HSS36" s="974"/>
      <c r="HST36" s="974"/>
      <c r="HSU36" s="974"/>
      <c r="HSV36" s="974"/>
      <c r="HSW36" s="974"/>
      <c r="HSX36" s="974"/>
      <c r="HSY36" s="974"/>
      <c r="HSZ36" s="974"/>
      <c r="HTA36" s="974"/>
      <c r="HTB36" s="974"/>
      <c r="HTC36" s="974"/>
      <c r="HTD36" s="974"/>
      <c r="HTE36" s="974"/>
      <c r="HTF36" s="974"/>
      <c r="HTG36" s="974"/>
      <c r="HTH36" s="974"/>
      <c r="HTI36" s="974"/>
      <c r="HTJ36" s="974"/>
      <c r="HTK36" s="974"/>
      <c r="HTL36" s="974"/>
      <c r="HTM36" s="974"/>
      <c r="HTN36" s="974"/>
      <c r="HTO36" s="974"/>
      <c r="HTP36" s="974"/>
      <c r="HTQ36" s="974"/>
      <c r="HTR36" s="974"/>
      <c r="HTS36" s="974"/>
      <c r="HTT36" s="974"/>
      <c r="HTU36" s="974"/>
      <c r="HTV36" s="974"/>
      <c r="HTW36" s="974"/>
      <c r="HTX36" s="974"/>
      <c r="HTY36" s="974"/>
      <c r="HTZ36" s="974"/>
      <c r="HUA36" s="974"/>
      <c r="HUB36" s="974"/>
      <c r="HUC36" s="974"/>
      <c r="HUD36" s="974"/>
      <c r="HUE36" s="974"/>
      <c r="HUF36" s="974"/>
      <c r="HUG36" s="974"/>
      <c r="HUH36" s="974"/>
      <c r="HUI36" s="974"/>
      <c r="HUJ36" s="974"/>
      <c r="HUK36" s="974"/>
      <c r="HUL36" s="974"/>
      <c r="HUM36" s="974"/>
      <c r="HUN36" s="974"/>
      <c r="HUO36" s="974"/>
      <c r="HUP36" s="974"/>
      <c r="HUQ36" s="974"/>
      <c r="HUR36" s="974"/>
      <c r="HUS36" s="974"/>
      <c r="HUT36" s="974"/>
      <c r="HUU36" s="974"/>
      <c r="HUV36" s="974"/>
      <c r="HUW36" s="974"/>
      <c r="HUX36" s="974"/>
      <c r="HUY36" s="974"/>
      <c r="HUZ36" s="974"/>
      <c r="HVA36" s="974"/>
      <c r="HVB36" s="974"/>
      <c r="HVC36" s="974"/>
      <c r="HVD36" s="974"/>
      <c r="HVE36" s="974"/>
      <c r="HVF36" s="974"/>
      <c r="HVG36" s="974"/>
      <c r="HVH36" s="974"/>
      <c r="HVI36" s="974"/>
      <c r="HVJ36" s="974"/>
      <c r="HVK36" s="974"/>
      <c r="HVL36" s="974"/>
      <c r="HVM36" s="974"/>
      <c r="HVN36" s="974"/>
      <c r="HVO36" s="974"/>
      <c r="HVP36" s="974"/>
      <c r="HVQ36" s="974"/>
      <c r="HVR36" s="974"/>
      <c r="HVS36" s="974"/>
      <c r="HVT36" s="974"/>
      <c r="HVU36" s="974"/>
      <c r="HVV36" s="974"/>
      <c r="HVW36" s="974"/>
      <c r="HVX36" s="974"/>
      <c r="HVY36" s="974"/>
      <c r="HVZ36" s="974"/>
      <c r="HWA36" s="974"/>
      <c r="HWB36" s="974"/>
      <c r="HWC36" s="974"/>
      <c r="HWD36" s="974"/>
      <c r="HWE36" s="974"/>
      <c r="HWF36" s="974"/>
      <c r="HWG36" s="974"/>
      <c r="HWH36" s="974"/>
      <c r="HWI36" s="974"/>
      <c r="HWJ36" s="974"/>
      <c r="HWK36" s="974"/>
      <c r="HWL36" s="974"/>
      <c r="HWM36" s="974"/>
      <c r="HWN36" s="974"/>
      <c r="HWO36" s="974"/>
      <c r="HWP36" s="974"/>
      <c r="HWQ36" s="974"/>
      <c r="HWR36" s="974"/>
      <c r="HWS36" s="974"/>
      <c r="HWT36" s="974"/>
      <c r="HWU36" s="974"/>
      <c r="HWV36" s="974"/>
      <c r="HWW36" s="974"/>
      <c r="HWX36" s="974"/>
      <c r="HWY36" s="974"/>
      <c r="HWZ36" s="974"/>
      <c r="HXA36" s="974"/>
      <c r="HXB36" s="974"/>
      <c r="HXC36" s="974"/>
      <c r="HXD36" s="974"/>
      <c r="HXE36" s="974"/>
      <c r="HXF36" s="974"/>
      <c r="HXG36" s="974"/>
      <c r="HXH36" s="974"/>
      <c r="HXI36" s="974"/>
      <c r="HXJ36" s="974"/>
      <c r="HXK36" s="974"/>
      <c r="HXL36" s="974"/>
      <c r="HXM36" s="974"/>
      <c r="HXN36" s="974"/>
      <c r="HXO36" s="974"/>
      <c r="HXP36" s="974"/>
      <c r="HXQ36" s="974"/>
      <c r="HXR36" s="974"/>
      <c r="HXS36" s="974"/>
      <c r="HXT36" s="974"/>
      <c r="HXU36" s="974"/>
      <c r="HXV36" s="974"/>
      <c r="HXW36" s="974"/>
      <c r="HXX36" s="974"/>
      <c r="HXY36" s="974"/>
      <c r="HXZ36" s="974"/>
      <c r="HYA36" s="974"/>
      <c r="HYB36" s="974"/>
      <c r="HYC36" s="974"/>
      <c r="HYD36" s="974"/>
      <c r="HYE36" s="974"/>
      <c r="HYF36" s="974"/>
      <c r="HYG36" s="974"/>
      <c r="HYH36" s="974"/>
      <c r="HYI36" s="974"/>
      <c r="HYJ36" s="974"/>
      <c r="HYK36" s="974"/>
      <c r="HYL36" s="974"/>
      <c r="HYM36" s="974"/>
      <c r="HYN36" s="974"/>
      <c r="HYO36" s="974"/>
      <c r="HYP36" s="974"/>
      <c r="HYQ36" s="974"/>
      <c r="HYR36" s="974"/>
      <c r="HYS36" s="974"/>
      <c r="HYT36" s="974"/>
      <c r="HYU36" s="974"/>
      <c r="HYV36" s="974"/>
      <c r="HYW36" s="974"/>
      <c r="HYX36" s="974"/>
      <c r="HYY36" s="974"/>
      <c r="HYZ36" s="974"/>
      <c r="HZA36" s="974"/>
      <c r="HZB36" s="974"/>
      <c r="HZC36" s="974"/>
      <c r="HZD36" s="974"/>
      <c r="HZE36" s="974"/>
      <c r="HZF36" s="974"/>
      <c r="HZG36" s="974"/>
      <c r="HZH36" s="974"/>
      <c r="HZI36" s="974"/>
      <c r="HZJ36" s="974"/>
      <c r="HZK36" s="974"/>
      <c r="HZL36" s="974"/>
      <c r="HZM36" s="974"/>
      <c r="HZN36" s="974"/>
      <c r="HZO36" s="974"/>
      <c r="HZP36" s="974"/>
      <c r="HZQ36" s="974"/>
      <c r="HZR36" s="974"/>
      <c r="HZS36" s="974"/>
      <c r="HZT36" s="974"/>
      <c r="HZU36" s="974"/>
      <c r="HZV36" s="974"/>
      <c r="HZW36" s="974"/>
      <c r="HZX36" s="974"/>
      <c r="HZY36" s="974"/>
      <c r="HZZ36" s="974"/>
      <c r="IAA36" s="974"/>
      <c r="IAB36" s="974"/>
      <c r="IAC36" s="974"/>
      <c r="IAD36" s="974"/>
      <c r="IAE36" s="974"/>
      <c r="IAF36" s="974"/>
      <c r="IAG36" s="974"/>
      <c r="IAH36" s="974"/>
      <c r="IAI36" s="974"/>
      <c r="IAJ36" s="974"/>
      <c r="IAK36" s="974"/>
      <c r="IAL36" s="974"/>
      <c r="IAM36" s="974"/>
      <c r="IAN36" s="974"/>
      <c r="IAO36" s="974"/>
      <c r="IAP36" s="974"/>
      <c r="IAQ36" s="974"/>
      <c r="IAR36" s="974"/>
      <c r="IAS36" s="974"/>
      <c r="IAT36" s="974"/>
      <c r="IAU36" s="974"/>
      <c r="IAV36" s="974"/>
      <c r="IAW36" s="974"/>
      <c r="IAX36" s="974"/>
      <c r="IAY36" s="974"/>
      <c r="IAZ36" s="974"/>
      <c r="IBA36" s="974"/>
      <c r="IBB36" s="974"/>
      <c r="IBC36" s="974"/>
      <c r="IBD36" s="974"/>
      <c r="IBE36" s="974"/>
      <c r="IBF36" s="974"/>
      <c r="IBG36" s="974"/>
      <c r="IBH36" s="974"/>
      <c r="IBI36" s="974"/>
      <c r="IBJ36" s="974"/>
      <c r="IBK36" s="974"/>
      <c r="IBL36" s="974"/>
      <c r="IBM36" s="974"/>
      <c r="IBN36" s="974"/>
      <c r="IBO36" s="974"/>
      <c r="IBP36" s="974"/>
      <c r="IBQ36" s="974"/>
      <c r="IBR36" s="974"/>
      <c r="IBS36" s="974"/>
      <c r="IBT36" s="974"/>
      <c r="IBU36" s="974"/>
      <c r="IBV36" s="974"/>
      <c r="IBW36" s="974"/>
      <c r="IBX36" s="974"/>
      <c r="IBY36" s="974"/>
      <c r="IBZ36" s="974"/>
      <c r="ICA36" s="974"/>
      <c r="ICB36" s="974"/>
      <c r="ICC36" s="974"/>
      <c r="ICD36" s="974"/>
      <c r="ICE36" s="974"/>
      <c r="ICF36" s="974"/>
      <c r="ICG36" s="974"/>
      <c r="ICH36" s="974"/>
      <c r="ICI36" s="974"/>
      <c r="ICJ36" s="974"/>
      <c r="ICK36" s="974"/>
      <c r="ICL36" s="974"/>
      <c r="ICM36" s="974"/>
      <c r="ICN36" s="974"/>
      <c r="ICO36" s="974"/>
      <c r="ICP36" s="974"/>
      <c r="ICQ36" s="974"/>
      <c r="ICR36" s="974"/>
      <c r="ICS36" s="974"/>
      <c r="ICT36" s="974"/>
      <c r="ICU36" s="974"/>
      <c r="ICV36" s="974"/>
      <c r="ICW36" s="974"/>
      <c r="ICX36" s="974"/>
      <c r="ICY36" s="974"/>
      <c r="ICZ36" s="974"/>
      <c r="IDA36" s="974"/>
      <c r="IDB36" s="974"/>
      <c r="IDC36" s="974"/>
      <c r="IDD36" s="974"/>
      <c r="IDE36" s="974"/>
      <c r="IDF36" s="974"/>
      <c r="IDG36" s="974"/>
      <c r="IDH36" s="974"/>
      <c r="IDI36" s="974"/>
      <c r="IDJ36" s="974"/>
      <c r="IDK36" s="974"/>
      <c r="IDL36" s="974"/>
      <c r="IDM36" s="974"/>
      <c r="IDN36" s="974"/>
      <c r="IDO36" s="974"/>
      <c r="IDP36" s="974"/>
      <c r="IDQ36" s="974"/>
      <c r="IDR36" s="974"/>
      <c r="IDS36" s="974"/>
      <c r="IDT36" s="974"/>
      <c r="IDU36" s="974"/>
      <c r="IDV36" s="974"/>
      <c r="IDW36" s="974"/>
      <c r="IDX36" s="974"/>
      <c r="IDY36" s="974"/>
      <c r="IDZ36" s="974"/>
      <c r="IEA36" s="974"/>
      <c r="IEB36" s="974"/>
      <c r="IEC36" s="974"/>
      <c r="IED36" s="974"/>
      <c r="IEE36" s="974"/>
      <c r="IEF36" s="974"/>
      <c r="IEG36" s="974"/>
      <c r="IEH36" s="974"/>
      <c r="IEI36" s="974"/>
      <c r="IEJ36" s="974"/>
      <c r="IEK36" s="974"/>
      <c r="IEL36" s="974"/>
      <c r="IEM36" s="974"/>
      <c r="IEN36" s="974"/>
      <c r="IEO36" s="974"/>
      <c r="IEP36" s="974"/>
      <c r="IEQ36" s="974"/>
      <c r="IER36" s="974"/>
      <c r="IES36" s="974"/>
      <c r="IET36" s="974"/>
      <c r="IEU36" s="974"/>
      <c r="IEV36" s="974"/>
      <c r="IEW36" s="974"/>
      <c r="IEX36" s="974"/>
      <c r="IEY36" s="974"/>
      <c r="IEZ36" s="974"/>
      <c r="IFA36" s="974"/>
      <c r="IFB36" s="974"/>
      <c r="IFC36" s="974"/>
      <c r="IFD36" s="974"/>
      <c r="IFE36" s="974"/>
      <c r="IFF36" s="974"/>
      <c r="IFG36" s="974"/>
      <c r="IFH36" s="974"/>
      <c r="IFI36" s="974"/>
      <c r="IFJ36" s="974"/>
      <c r="IFK36" s="974"/>
      <c r="IFL36" s="974"/>
      <c r="IFM36" s="974"/>
      <c r="IFN36" s="974"/>
      <c r="IFO36" s="974"/>
      <c r="IFP36" s="974"/>
      <c r="IFQ36" s="974"/>
      <c r="IFR36" s="974"/>
      <c r="IFS36" s="974"/>
      <c r="IFT36" s="974"/>
      <c r="IFU36" s="974"/>
      <c r="IFV36" s="974"/>
      <c r="IFW36" s="974"/>
      <c r="IFX36" s="974"/>
      <c r="IFY36" s="974"/>
      <c r="IFZ36" s="974"/>
      <c r="IGA36" s="974"/>
      <c r="IGB36" s="974"/>
      <c r="IGC36" s="974"/>
      <c r="IGD36" s="974"/>
      <c r="IGE36" s="974"/>
      <c r="IGF36" s="974"/>
      <c r="IGG36" s="974"/>
      <c r="IGH36" s="974"/>
      <c r="IGI36" s="974"/>
      <c r="IGJ36" s="974"/>
      <c r="IGK36" s="974"/>
      <c r="IGL36" s="974"/>
      <c r="IGM36" s="974"/>
      <c r="IGN36" s="974"/>
      <c r="IGO36" s="974"/>
      <c r="IGP36" s="974"/>
      <c r="IGQ36" s="974"/>
      <c r="IGR36" s="974"/>
      <c r="IGS36" s="974"/>
      <c r="IGT36" s="974"/>
      <c r="IGU36" s="974"/>
      <c r="IGV36" s="974"/>
      <c r="IGW36" s="974"/>
      <c r="IGX36" s="974"/>
      <c r="IGY36" s="974"/>
      <c r="IGZ36" s="974"/>
      <c r="IHA36" s="974"/>
      <c r="IHB36" s="974"/>
      <c r="IHC36" s="974"/>
      <c r="IHD36" s="974"/>
      <c r="IHE36" s="974"/>
      <c r="IHF36" s="974"/>
      <c r="IHG36" s="974"/>
      <c r="IHH36" s="974"/>
      <c r="IHI36" s="974"/>
      <c r="IHJ36" s="974"/>
      <c r="IHK36" s="974"/>
      <c r="IHL36" s="974"/>
      <c r="IHM36" s="974"/>
      <c r="IHN36" s="974"/>
      <c r="IHO36" s="974"/>
      <c r="IHP36" s="974"/>
      <c r="IHQ36" s="974"/>
      <c r="IHR36" s="974"/>
      <c r="IHS36" s="974"/>
      <c r="IHT36" s="974"/>
      <c r="IHU36" s="974"/>
      <c r="IHV36" s="974"/>
      <c r="IHW36" s="974"/>
      <c r="IHX36" s="974"/>
      <c r="IHY36" s="974"/>
      <c r="IHZ36" s="974"/>
      <c r="IIA36" s="974"/>
      <c r="IIB36" s="974"/>
      <c r="IIC36" s="974"/>
      <c r="IID36" s="974"/>
      <c r="IIE36" s="974"/>
      <c r="IIF36" s="974"/>
      <c r="IIG36" s="974"/>
      <c r="IIH36" s="974"/>
      <c r="III36" s="974"/>
      <c r="IIJ36" s="974"/>
      <c r="IIK36" s="974"/>
      <c r="IIL36" s="974"/>
      <c r="IIM36" s="974"/>
      <c r="IIN36" s="974"/>
      <c r="IIO36" s="974"/>
      <c r="IIP36" s="974"/>
      <c r="IIQ36" s="974"/>
      <c r="IIR36" s="974"/>
      <c r="IIS36" s="974"/>
      <c r="IIT36" s="974"/>
      <c r="IIU36" s="974"/>
      <c r="IIV36" s="974"/>
      <c r="IIW36" s="974"/>
      <c r="IIX36" s="974"/>
      <c r="IIY36" s="974"/>
      <c r="IIZ36" s="974"/>
      <c r="IJA36" s="974"/>
      <c r="IJB36" s="974"/>
      <c r="IJC36" s="974"/>
      <c r="IJD36" s="974"/>
      <c r="IJE36" s="974"/>
      <c r="IJF36" s="974"/>
      <c r="IJG36" s="974"/>
      <c r="IJH36" s="974"/>
      <c r="IJI36" s="974"/>
      <c r="IJJ36" s="974"/>
      <c r="IJK36" s="974"/>
      <c r="IJL36" s="974"/>
      <c r="IJM36" s="974"/>
      <c r="IJN36" s="974"/>
      <c r="IJO36" s="974"/>
      <c r="IJP36" s="974"/>
      <c r="IJQ36" s="974"/>
      <c r="IJR36" s="974"/>
      <c r="IJS36" s="974"/>
      <c r="IJT36" s="974"/>
      <c r="IJU36" s="974"/>
      <c r="IJV36" s="974"/>
      <c r="IJW36" s="974"/>
      <c r="IJX36" s="974"/>
      <c r="IJY36" s="974"/>
      <c r="IJZ36" s="974"/>
      <c r="IKA36" s="974"/>
      <c r="IKB36" s="974"/>
      <c r="IKC36" s="974"/>
      <c r="IKD36" s="974"/>
      <c r="IKE36" s="974"/>
      <c r="IKF36" s="974"/>
      <c r="IKG36" s="974"/>
      <c r="IKH36" s="974"/>
      <c r="IKI36" s="974"/>
      <c r="IKJ36" s="974"/>
      <c r="IKK36" s="974"/>
      <c r="IKL36" s="974"/>
      <c r="IKM36" s="974"/>
      <c r="IKN36" s="974"/>
      <c r="IKO36" s="974"/>
      <c r="IKP36" s="974"/>
      <c r="IKQ36" s="974"/>
      <c r="IKR36" s="974"/>
      <c r="IKS36" s="974"/>
      <c r="IKT36" s="974"/>
      <c r="IKU36" s="974"/>
      <c r="IKV36" s="974"/>
      <c r="IKW36" s="974"/>
      <c r="IKX36" s="974"/>
      <c r="IKY36" s="974"/>
      <c r="IKZ36" s="974"/>
      <c r="ILA36" s="974"/>
      <c r="ILB36" s="974"/>
      <c r="ILC36" s="974"/>
      <c r="ILD36" s="974"/>
      <c r="ILE36" s="974"/>
      <c r="ILF36" s="974"/>
      <c r="ILG36" s="974"/>
      <c r="ILH36" s="974"/>
      <c r="ILI36" s="974"/>
      <c r="ILJ36" s="974"/>
      <c r="ILK36" s="974"/>
      <c r="ILL36" s="974"/>
      <c r="ILM36" s="974"/>
      <c r="ILN36" s="974"/>
      <c r="ILO36" s="974"/>
      <c r="ILP36" s="974"/>
      <c r="ILQ36" s="974"/>
      <c r="ILR36" s="974"/>
      <c r="ILS36" s="974"/>
      <c r="ILT36" s="974"/>
      <c r="ILU36" s="974"/>
      <c r="ILV36" s="974"/>
      <c r="ILW36" s="974"/>
      <c r="ILX36" s="974"/>
      <c r="ILY36" s="974"/>
      <c r="ILZ36" s="974"/>
      <c r="IMA36" s="974"/>
      <c r="IMB36" s="974"/>
      <c r="IMC36" s="974"/>
      <c r="IMD36" s="974"/>
      <c r="IME36" s="974"/>
      <c r="IMF36" s="974"/>
      <c r="IMG36" s="974"/>
      <c r="IMH36" s="974"/>
      <c r="IMI36" s="974"/>
      <c r="IMJ36" s="974"/>
      <c r="IMK36" s="974"/>
      <c r="IML36" s="974"/>
      <c r="IMM36" s="974"/>
      <c r="IMN36" s="974"/>
      <c r="IMO36" s="974"/>
      <c r="IMP36" s="974"/>
      <c r="IMQ36" s="974"/>
      <c r="IMR36" s="974"/>
      <c r="IMS36" s="974"/>
      <c r="IMT36" s="974"/>
      <c r="IMU36" s="974"/>
      <c r="IMV36" s="974"/>
      <c r="IMW36" s="974"/>
      <c r="IMX36" s="974"/>
      <c r="IMY36" s="974"/>
      <c r="IMZ36" s="974"/>
      <c r="INA36" s="974"/>
      <c r="INB36" s="974"/>
      <c r="INC36" s="974"/>
      <c r="IND36" s="974"/>
      <c r="INE36" s="974"/>
      <c r="INF36" s="974"/>
      <c r="ING36" s="974"/>
      <c r="INH36" s="974"/>
      <c r="INI36" s="974"/>
      <c r="INJ36" s="974"/>
      <c r="INK36" s="974"/>
      <c r="INL36" s="974"/>
      <c r="INM36" s="974"/>
      <c r="INN36" s="974"/>
      <c r="INO36" s="974"/>
      <c r="INP36" s="974"/>
      <c r="INQ36" s="974"/>
      <c r="INR36" s="974"/>
      <c r="INS36" s="974"/>
      <c r="INT36" s="974"/>
      <c r="INU36" s="974"/>
      <c r="INV36" s="974"/>
      <c r="INW36" s="974"/>
      <c r="INX36" s="974"/>
      <c r="INY36" s="974"/>
      <c r="INZ36" s="974"/>
      <c r="IOA36" s="974"/>
      <c r="IOB36" s="974"/>
      <c r="IOC36" s="974"/>
      <c r="IOD36" s="974"/>
      <c r="IOE36" s="974"/>
      <c r="IOF36" s="974"/>
      <c r="IOG36" s="974"/>
      <c r="IOH36" s="974"/>
      <c r="IOI36" s="974"/>
      <c r="IOJ36" s="974"/>
      <c r="IOK36" s="974"/>
      <c r="IOL36" s="974"/>
      <c r="IOM36" s="974"/>
      <c r="ION36" s="974"/>
      <c r="IOO36" s="974"/>
      <c r="IOP36" s="974"/>
      <c r="IOQ36" s="974"/>
      <c r="IOR36" s="974"/>
      <c r="IOS36" s="974"/>
      <c r="IOT36" s="974"/>
      <c r="IOU36" s="974"/>
      <c r="IOV36" s="974"/>
      <c r="IOW36" s="974"/>
      <c r="IOX36" s="974"/>
      <c r="IOY36" s="974"/>
      <c r="IOZ36" s="974"/>
      <c r="IPA36" s="974"/>
      <c r="IPB36" s="974"/>
      <c r="IPC36" s="974"/>
      <c r="IPD36" s="974"/>
      <c r="IPE36" s="974"/>
      <c r="IPF36" s="974"/>
      <c r="IPG36" s="974"/>
      <c r="IPH36" s="974"/>
      <c r="IPI36" s="974"/>
      <c r="IPJ36" s="974"/>
      <c r="IPK36" s="974"/>
      <c r="IPL36" s="974"/>
      <c r="IPM36" s="974"/>
      <c r="IPN36" s="974"/>
      <c r="IPO36" s="974"/>
      <c r="IPP36" s="974"/>
      <c r="IPQ36" s="974"/>
      <c r="IPR36" s="974"/>
      <c r="IPS36" s="974"/>
      <c r="IPT36" s="974"/>
      <c r="IPU36" s="974"/>
      <c r="IPV36" s="974"/>
      <c r="IPW36" s="974"/>
      <c r="IPX36" s="974"/>
      <c r="IPY36" s="974"/>
      <c r="IPZ36" s="974"/>
      <c r="IQA36" s="974"/>
      <c r="IQB36" s="974"/>
      <c r="IQC36" s="974"/>
      <c r="IQD36" s="974"/>
      <c r="IQE36" s="974"/>
      <c r="IQF36" s="974"/>
      <c r="IQG36" s="974"/>
      <c r="IQH36" s="974"/>
      <c r="IQI36" s="974"/>
      <c r="IQJ36" s="974"/>
      <c r="IQK36" s="974"/>
      <c r="IQL36" s="974"/>
      <c r="IQM36" s="974"/>
      <c r="IQN36" s="974"/>
      <c r="IQO36" s="974"/>
      <c r="IQP36" s="974"/>
      <c r="IQQ36" s="974"/>
      <c r="IQR36" s="974"/>
      <c r="IQS36" s="974"/>
      <c r="IQT36" s="974"/>
      <c r="IQU36" s="974"/>
      <c r="IQV36" s="974"/>
      <c r="IQW36" s="974"/>
      <c r="IQX36" s="974"/>
      <c r="IQY36" s="974"/>
      <c r="IQZ36" s="974"/>
      <c r="IRA36" s="974"/>
      <c r="IRB36" s="974"/>
      <c r="IRC36" s="974"/>
      <c r="IRD36" s="974"/>
      <c r="IRE36" s="974"/>
      <c r="IRF36" s="974"/>
      <c r="IRG36" s="974"/>
      <c r="IRH36" s="974"/>
      <c r="IRI36" s="974"/>
      <c r="IRJ36" s="974"/>
      <c r="IRK36" s="974"/>
      <c r="IRL36" s="974"/>
      <c r="IRM36" s="974"/>
      <c r="IRN36" s="974"/>
      <c r="IRO36" s="974"/>
      <c r="IRP36" s="974"/>
      <c r="IRQ36" s="974"/>
      <c r="IRR36" s="974"/>
      <c r="IRS36" s="974"/>
      <c r="IRT36" s="974"/>
      <c r="IRU36" s="974"/>
      <c r="IRV36" s="974"/>
      <c r="IRW36" s="974"/>
      <c r="IRX36" s="974"/>
      <c r="IRY36" s="974"/>
      <c r="IRZ36" s="974"/>
      <c r="ISA36" s="974"/>
      <c r="ISB36" s="974"/>
      <c r="ISC36" s="974"/>
      <c r="ISD36" s="974"/>
      <c r="ISE36" s="974"/>
      <c r="ISF36" s="974"/>
      <c r="ISG36" s="974"/>
      <c r="ISH36" s="974"/>
      <c r="ISI36" s="974"/>
      <c r="ISJ36" s="974"/>
      <c r="ISK36" s="974"/>
      <c r="ISL36" s="974"/>
      <c r="ISM36" s="974"/>
      <c r="ISN36" s="974"/>
      <c r="ISO36" s="974"/>
      <c r="ISP36" s="974"/>
      <c r="ISQ36" s="974"/>
      <c r="ISR36" s="974"/>
      <c r="ISS36" s="974"/>
      <c r="IST36" s="974"/>
      <c r="ISU36" s="974"/>
      <c r="ISV36" s="974"/>
      <c r="ISW36" s="974"/>
      <c r="ISX36" s="974"/>
      <c r="ISY36" s="974"/>
      <c r="ISZ36" s="974"/>
      <c r="ITA36" s="974"/>
      <c r="ITB36" s="974"/>
      <c r="ITC36" s="974"/>
      <c r="ITD36" s="974"/>
      <c r="ITE36" s="974"/>
      <c r="ITF36" s="974"/>
      <c r="ITG36" s="974"/>
      <c r="ITH36" s="974"/>
      <c r="ITI36" s="974"/>
      <c r="ITJ36" s="974"/>
      <c r="ITK36" s="974"/>
      <c r="ITL36" s="974"/>
      <c r="ITM36" s="974"/>
      <c r="ITN36" s="974"/>
      <c r="ITO36" s="974"/>
      <c r="ITP36" s="974"/>
      <c r="ITQ36" s="974"/>
      <c r="ITR36" s="974"/>
      <c r="ITS36" s="974"/>
      <c r="ITT36" s="974"/>
      <c r="ITU36" s="974"/>
      <c r="ITV36" s="974"/>
      <c r="ITW36" s="974"/>
      <c r="ITX36" s="974"/>
      <c r="ITY36" s="974"/>
      <c r="ITZ36" s="974"/>
      <c r="IUA36" s="974"/>
      <c r="IUB36" s="974"/>
      <c r="IUC36" s="974"/>
      <c r="IUD36" s="974"/>
      <c r="IUE36" s="974"/>
      <c r="IUF36" s="974"/>
      <c r="IUG36" s="974"/>
      <c r="IUH36" s="974"/>
      <c r="IUI36" s="974"/>
      <c r="IUJ36" s="974"/>
      <c r="IUK36" s="974"/>
      <c r="IUL36" s="974"/>
      <c r="IUM36" s="974"/>
      <c r="IUN36" s="974"/>
      <c r="IUO36" s="974"/>
      <c r="IUP36" s="974"/>
      <c r="IUQ36" s="974"/>
      <c r="IUR36" s="974"/>
      <c r="IUS36" s="974"/>
      <c r="IUT36" s="974"/>
      <c r="IUU36" s="974"/>
      <c r="IUV36" s="974"/>
      <c r="IUW36" s="974"/>
      <c r="IUX36" s="974"/>
      <c r="IUY36" s="974"/>
      <c r="IUZ36" s="974"/>
      <c r="IVA36" s="974"/>
      <c r="IVB36" s="974"/>
      <c r="IVC36" s="974"/>
      <c r="IVD36" s="974"/>
      <c r="IVE36" s="974"/>
      <c r="IVF36" s="974"/>
      <c r="IVG36" s="974"/>
      <c r="IVH36" s="974"/>
      <c r="IVI36" s="974"/>
      <c r="IVJ36" s="974"/>
      <c r="IVK36" s="974"/>
      <c r="IVL36" s="974"/>
      <c r="IVM36" s="974"/>
      <c r="IVN36" s="974"/>
      <c r="IVO36" s="974"/>
      <c r="IVP36" s="974"/>
      <c r="IVQ36" s="974"/>
      <c r="IVR36" s="974"/>
      <c r="IVS36" s="974"/>
      <c r="IVT36" s="974"/>
      <c r="IVU36" s="974"/>
      <c r="IVV36" s="974"/>
      <c r="IVW36" s="974"/>
      <c r="IVX36" s="974"/>
      <c r="IVY36" s="974"/>
      <c r="IVZ36" s="974"/>
      <c r="IWA36" s="974"/>
      <c r="IWB36" s="974"/>
      <c r="IWC36" s="974"/>
      <c r="IWD36" s="974"/>
      <c r="IWE36" s="974"/>
      <c r="IWF36" s="974"/>
      <c r="IWG36" s="974"/>
      <c r="IWH36" s="974"/>
      <c r="IWI36" s="974"/>
      <c r="IWJ36" s="974"/>
      <c r="IWK36" s="974"/>
      <c r="IWL36" s="974"/>
      <c r="IWM36" s="974"/>
      <c r="IWN36" s="974"/>
      <c r="IWO36" s="974"/>
      <c r="IWP36" s="974"/>
      <c r="IWQ36" s="974"/>
      <c r="IWR36" s="974"/>
      <c r="IWS36" s="974"/>
      <c r="IWT36" s="974"/>
      <c r="IWU36" s="974"/>
      <c r="IWV36" s="974"/>
      <c r="IWW36" s="974"/>
      <c r="IWX36" s="974"/>
      <c r="IWY36" s="974"/>
      <c r="IWZ36" s="974"/>
      <c r="IXA36" s="974"/>
      <c r="IXB36" s="974"/>
      <c r="IXC36" s="974"/>
      <c r="IXD36" s="974"/>
      <c r="IXE36" s="974"/>
      <c r="IXF36" s="974"/>
      <c r="IXG36" s="974"/>
      <c r="IXH36" s="974"/>
      <c r="IXI36" s="974"/>
      <c r="IXJ36" s="974"/>
      <c r="IXK36" s="974"/>
      <c r="IXL36" s="974"/>
      <c r="IXM36" s="974"/>
      <c r="IXN36" s="974"/>
      <c r="IXO36" s="974"/>
      <c r="IXP36" s="974"/>
      <c r="IXQ36" s="974"/>
      <c r="IXR36" s="974"/>
      <c r="IXS36" s="974"/>
      <c r="IXT36" s="974"/>
      <c r="IXU36" s="974"/>
      <c r="IXV36" s="974"/>
      <c r="IXW36" s="974"/>
      <c r="IXX36" s="974"/>
      <c r="IXY36" s="974"/>
      <c r="IXZ36" s="974"/>
      <c r="IYA36" s="974"/>
      <c r="IYB36" s="974"/>
      <c r="IYC36" s="974"/>
      <c r="IYD36" s="974"/>
      <c r="IYE36" s="974"/>
      <c r="IYF36" s="974"/>
      <c r="IYG36" s="974"/>
      <c r="IYH36" s="974"/>
      <c r="IYI36" s="974"/>
      <c r="IYJ36" s="974"/>
      <c r="IYK36" s="974"/>
      <c r="IYL36" s="974"/>
      <c r="IYM36" s="974"/>
      <c r="IYN36" s="974"/>
      <c r="IYO36" s="974"/>
      <c r="IYP36" s="974"/>
      <c r="IYQ36" s="974"/>
      <c r="IYR36" s="974"/>
      <c r="IYS36" s="974"/>
      <c r="IYT36" s="974"/>
      <c r="IYU36" s="974"/>
      <c r="IYV36" s="974"/>
      <c r="IYW36" s="974"/>
      <c r="IYX36" s="974"/>
      <c r="IYY36" s="974"/>
      <c r="IYZ36" s="974"/>
      <c r="IZA36" s="974"/>
      <c r="IZB36" s="974"/>
      <c r="IZC36" s="974"/>
      <c r="IZD36" s="974"/>
      <c r="IZE36" s="974"/>
      <c r="IZF36" s="974"/>
      <c r="IZG36" s="974"/>
      <c r="IZH36" s="974"/>
      <c r="IZI36" s="974"/>
      <c r="IZJ36" s="974"/>
      <c r="IZK36" s="974"/>
      <c r="IZL36" s="974"/>
      <c r="IZM36" s="974"/>
      <c r="IZN36" s="974"/>
      <c r="IZO36" s="974"/>
      <c r="IZP36" s="974"/>
      <c r="IZQ36" s="974"/>
      <c r="IZR36" s="974"/>
      <c r="IZS36" s="974"/>
      <c r="IZT36" s="974"/>
      <c r="IZU36" s="974"/>
      <c r="IZV36" s="974"/>
      <c r="IZW36" s="974"/>
      <c r="IZX36" s="974"/>
      <c r="IZY36" s="974"/>
      <c r="IZZ36" s="974"/>
      <c r="JAA36" s="974"/>
      <c r="JAB36" s="974"/>
      <c r="JAC36" s="974"/>
      <c r="JAD36" s="974"/>
      <c r="JAE36" s="974"/>
      <c r="JAF36" s="974"/>
      <c r="JAG36" s="974"/>
      <c r="JAH36" s="974"/>
      <c r="JAI36" s="974"/>
      <c r="JAJ36" s="974"/>
      <c r="JAK36" s="974"/>
      <c r="JAL36" s="974"/>
      <c r="JAM36" s="974"/>
      <c r="JAN36" s="974"/>
      <c r="JAO36" s="974"/>
      <c r="JAP36" s="974"/>
      <c r="JAQ36" s="974"/>
      <c r="JAR36" s="974"/>
      <c r="JAS36" s="974"/>
      <c r="JAT36" s="974"/>
      <c r="JAU36" s="974"/>
      <c r="JAV36" s="974"/>
      <c r="JAW36" s="974"/>
      <c r="JAX36" s="974"/>
      <c r="JAY36" s="974"/>
      <c r="JAZ36" s="974"/>
      <c r="JBA36" s="974"/>
      <c r="JBB36" s="974"/>
      <c r="JBC36" s="974"/>
      <c r="JBD36" s="974"/>
      <c r="JBE36" s="974"/>
      <c r="JBF36" s="974"/>
      <c r="JBG36" s="974"/>
      <c r="JBH36" s="974"/>
      <c r="JBI36" s="974"/>
      <c r="JBJ36" s="974"/>
      <c r="JBK36" s="974"/>
      <c r="JBL36" s="974"/>
      <c r="JBM36" s="974"/>
      <c r="JBN36" s="974"/>
      <c r="JBO36" s="974"/>
      <c r="JBP36" s="974"/>
      <c r="JBQ36" s="974"/>
      <c r="JBR36" s="974"/>
      <c r="JBS36" s="974"/>
      <c r="JBT36" s="974"/>
      <c r="JBU36" s="974"/>
      <c r="JBV36" s="974"/>
      <c r="JBW36" s="974"/>
      <c r="JBX36" s="974"/>
      <c r="JBY36" s="974"/>
      <c r="JBZ36" s="974"/>
      <c r="JCA36" s="974"/>
      <c r="JCB36" s="974"/>
      <c r="JCC36" s="974"/>
      <c r="JCD36" s="974"/>
      <c r="JCE36" s="974"/>
      <c r="JCF36" s="974"/>
      <c r="JCG36" s="974"/>
      <c r="JCH36" s="974"/>
      <c r="JCI36" s="974"/>
      <c r="JCJ36" s="974"/>
      <c r="JCK36" s="974"/>
      <c r="JCL36" s="974"/>
      <c r="JCM36" s="974"/>
      <c r="JCN36" s="974"/>
      <c r="JCO36" s="974"/>
      <c r="JCP36" s="974"/>
      <c r="JCQ36" s="974"/>
      <c r="JCR36" s="974"/>
      <c r="JCS36" s="974"/>
      <c r="JCT36" s="974"/>
      <c r="JCU36" s="974"/>
      <c r="JCV36" s="974"/>
      <c r="JCW36" s="974"/>
      <c r="JCX36" s="974"/>
      <c r="JCY36" s="974"/>
      <c r="JCZ36" s="974"/>
      <c r="JDA36" s="974"/>
      <c r="JDB36" s="974"/>
      <c r="JDC36" s="974"/>
      <c r="JDD36" s="974"/>
      <c r="JDE36" s="974"/>
      <c r="JDF36" s="974"/>
      <c r="JDG36" s="974"/>
      <c r="JDH36" s="974"/>
      <c r="JDI36" s="974"/>
      <c r="JDJ36" s="974"/>
      <c r="JDK36" s="974"/>
      <c r="JDL36" s="974"/>
      <c r="JDM36" s="974"/>
      <c r="JDN36" s="974"/>
      <c r="JDO36" s="974"/>
      <c r="JDP36" s="974"/>
      <c r="JDQ36" s="974"/>
      <c r="JDR36" s="974"/>
      <c r="JDS36" s="974"/>
      <c r="JDT36" s="974"/>
      <c r="JDU36" s="974"/>
      <c r="JDV36" s="974"/>
      <c r="JDW36" s="974"/>
      <c r="JDX36" s="974"/>
      <c r="JDY36" s="974"/>
      <c r="JDZ36" s="974"/>
      <c r="JEA36" s="974"/>
      <c r="JEB36" s="974"/>
      <c r="JEC36" s="974"/>
      <c r="JED36" s="974"/>
      <c r="JEE36" s="974"/>
      <c r="JEF36" s="974"/>
      <c r="JEG36" s="974"/>
      <c r="JEH36" s="974"/>
      <c r="JEI36" s="974"/>
      <c r="JEJ36" s="974"/>
      <c r="JEK36" s="974"/>
      <c r="JEL36" s="974"/>
      <c r="JEM36" s="974"/>
      <c r="JEN36" s="974"/>
      <c r="JEO36" s="974"/>
      <c r="JEP36" s="974"/>
      <c r="JEQ36" s="974"/>
      <c r="JER36" s="974"/>
      <c r="JES36" s="974"/>
      <c r="JET36" s="974"/>
      <c r="JEU36" s="974"/>
      <c r="JEV36" s="974"/>
      <c r="JEW36" s="974"/>
      <c r="JEX36" s="974"/>
      <c r="JEY36" s="974"/>
      <c r="JEZ36" s="974"/>
      <c r="JFA36" s="974"/>
      <c r="JFB36" s="974"/>
      <c r="JFC36" s="974"/>
      <c r="JFD36" s="974"/>
      <c r="JFE36" s="974"/>
      <c r="JFF36" s="974"/>
      <c r="JFG36" s="974"/>
      <c r="JFH36" s="974"/>
      <c r="JFI36" s="974"/>
      <c r="JFJ36" s="974"/>
      <c r="JFK36" s="974"/>
      <c r="JFL36" s="974"/>
      <c r="JFM36" s="974"/>
      <c r="JFN36" s="974"/>
      <c r="JFO36" s="974"/>
      <c r="JFP36" s="974"/>
      <c r="JFQ36" s="974"/>
      <c r="JFR36" s="974"/>
      <c r="JFS36" s="974"/>
      <c r="JFT36" s="974"/>
      <c r="JFU36" s="974"/>
      <c r="JFV36" s="974"/>
      <c r="JFW36" s="974"/>
      <c r="JFX36" s="974"/>
      <c r="JFY36" s="974"/>
      <c r="JFZ36" s="974"/>
      <c r="JGA36" s="974"/>
      <c r="JGB36" s="974"/>
      <c r="JGC36" s="974"/>
      <c r="JGD36" s="974"/>
      <c r="JGE36" s="974"/>
      <c r="JGF36" s="974"/>
      <c r="JGG36" s="974"/>
      <c r="JGH36" s="974"/>
      <c r="JGI36" s="974"/>
      <c r="JGJ36" s="974"/>
      <c r="JGK36" s="974"/>
      <c r="JGL36" s="974"/>
      <c r="JGM36" s="974"/>
      <c r="JGN36" s="974"/>
      <c r="JGO36" s="974"/>
      <c r="JGP36" s="974"/>
      <c r="JGQ36" s="974"/>
      <c r="JGR36" s="974"/>
      <c r="JGS36" s="974"/>
      <c r="JGT36" s="974"/>
      <c r="JGU36" s="974"/>
      <c r="JGV36" s="974"/>
      <c r="JGW36" s="974"/>
      <c r="JGX36" s="974"/>
      <c r="JGY36" s="974"/>
      <c r="JGZ36" s="974"/>
      <c r="JHA36" s="974"/>
      <c r="JHB36" s="974"/>
      <c r="JHC36" s="974"/>
      <c r="JHD36" s="974"/>
      <c r="JHE36" s="974"/>
      <c r="JHF36" s="974"/>
      <c r="JHG36" s="974"/>
      <c r="JHH36" s="974"/>
      <c r="JHI36" s="974"/>
      <c r="JHJ36" s="974"/>
      <c r="JHK36" s="974"/>
      <c r="JHL36" s="974"/>
      <c r="JHM36" s="974"/>
      <c r="JHN36" s="974"/>
      <c r="JHO36" s="974"/>
      <c r="JHP36" s="974"/>
      <c r="JHQ36" s="974"/>
      <c r="JHR36" s="974"/>
      <c r="JHS36" s="974"/>
      <c r="JHT36" s="974"/>
      <c r="JHU36" s="974"/>
      <c r="JHV36" s="974"/>
      <c r="JHW36" s="974"/>
      <c r="JHX36" s="974"/>
      <c r="JHY36" s="974"/>
      <c r="JHZ36" s="974"/>
      <c r="JIA36" s="974"/>
      <c r="JIB36" s="974"/>
      <c r="JIC36" s="974"/>
      <c r="JID36" s="974"/>
      <c r="JIE36" s="974"/>
      <c r="JIF36" s="974"/>
      <c r="JIG36" s="974"/>
      <c r="JIH36" s="974"/>
      <c r="JII36" s="974"/>
      <c r="JIJ36" s="974"/>
      <c r="JIK36" s="974"/>
      <c r="JIL36" s="974"/>
      <c r="JIM36" s="974"/>
      <c r="JIN36" s="974"/>
      <c r="JIO36" s="974"/>
      <c r="JIP36" s="974"/>
      <c r="JIQ36" s="974"/>
      <c r="JIR36" s="974"/>
      <c r="JIS36" s="974"/>
      <c r="JIT36" s="974"/>
      <c r="JIU36" s="974"/>
      <c r="JIV36" s="974"/>
      <c r="JIW36" s="974"/>
      <c r="JIX36" s="974"/>
      <c r="JIY36" s="974"/>
      <c r="JIZ36" s="974"/>
      <c r="JJA36" s="974"/>
      <c r="JJB36" s="974"/>
      <c r="JJC36" s="974"/>
      <c r="JJD36" s="974"/>
      <c r="JJE36" s="974"/>
      <c r="JJF36" s="974"/>
      <c r="JJG36" s="974"/>
      <c r="JJH36" s="974"/>
      <c r="JJI36" s="974"/>
      <c r="JJJ36" s="974"/>
      <c r="JJK36" s="974"/>
      <c r="JJL36" s="974"/>
      <c r="JJM36" s="974"/>
      <c r="JJN36" s="974"/>
      <c r="JJO36" s="974"/>
      <c r="JJP36" s="974"/>
      <c r="JJQ36" s="974"/>
      <c r="JJR36" s="974"/>
      <c r="JJS36" s="974"/>
      <c r="JJT36" s="974"/>
      <c r="JJU36" s="974"/>
      <c r="JJV36" s="974"/>
      <c r="JJW36" s="974"/>
      <c r="JJX36" s="974"/>
      <c r="JJY36" s="974"/>
      <c r="JJZ36" s="974"/>
      <c r="JKA36" s="974"/>
      <c r="JKB36" s="974"/>
      <c r="JKC36" s="974"/>
      <c r="JKD36" s="974"/>
      <c r="JKE36" s="974"/>
      <c r="JKF36" s="974"/>
      <c r="JKG36" s="974"/>
      <c r="JKH36" s="974"/>
      <c r="JKI36" s="974"/>
      <c r="JKJ36" s="974"/>
      <c r="JKK36" s="974"/>
      <c r="JKL36" s="974"/>
      <c r="JKM36" s="974"/>
      <c r="JKN36" s="974"/>
      <c r="JKO36" s="974"/>
      <c r="JKP36" s="974"/>
      <c r="JKQ36" s="974"/>
      <c r="JKR36" s="974"/>
      <c r="JKS36" s="974"/>
      <c r="JKT36" s="974"/>
      <c r="JKU36" s="974"/>
      <c r="JKV36" s="974"/>
      <c r="JKW36" s="974"/>
      <c r="JKX36" s="974"/>
      <c r="JKY36" s="974"/>
      <c r="JKZ36" s="974"/>
      <c r="JLA36" s="974"/>
      <c r="JLB36" s="974"/>
      <c r="JLC36" s="974"/>
      <c r="JLD36" s="974"/>
      <c r="JLE36" s="974"/>
      <c r="JLF36" s="974"/>
      <c r="JLG36" s="974"/>
      <c r="JLH36" s="974"/>
      <c r="JLI36" s="974"/>
      <c r="JLJ36" s="974"/>
      <c r="JLK36" s="974"/>
      <c r="JLL36" s="974"/>
      <c r="JLM36" s="974"/>
      <c r="JLN36" s="974"/>
      <c r="JLO36" s="974"/>
      <c r="JLP36" s="974"/>
      <c r="JLQ36" s="974"/>
      <c r="JLR36" s="974"/>
      <c r="JLS36" s="974"/>
      <c r="JLT36" s="974"/>
      <c r="JLU36" s="974"/>
      <c r="JLV36" s="974"/>
      <c r="JLW36" s="974"/>
      <c r="JLX36" s="974"/>
      <c r="JLY36" s="974"/>
      <c r="JLZ36" s="974"/>
      <c r="JMA36" s="974"/>
      <c r="JMB36" s="974"/>
      <c r="JMC36" s="974"/>
      <c r="JMD36" s="974"/>
      <c r="JME36" s="974"/>
      <c r="JMF36" s="974"/>
      <c r="JMG36" s="974"/>
      <c r="JMH36" s="974"/>
      <c r="JMI36" s="974"/>
      <c r="JMJ36" s="974"/>
      <c r="JMK36" s="974"/>
      <c r="JML36" s="974"/>
      <c r="JMM36" s="974"/>
      <c r="JMN36" s="974"/>
      <c r="JMO36" s="974"/>
      <c r="JMP36" s="974"/>
      <c r="JMQ36" s="974"/>
      <c r="JMR36" s="974"/>
      <c r="JMS36" s="974"/>
      <c r="JMT36" s="974"/>
      <c r="JMU36" s="974"/>
      <c r="JMV36" s="974"/>
      <c r="JMW36" s="974"/>
      <c r="JMX36" s="974"/>
      <c r="JMY36" s="974"/>
      <c r="JMZ36" s="974"/>
      <c r="JNA36" s="974"/>
      <c r="JNB36" s="974"/>
      <c r="JNC36" s="974"/>
      <c r="JND36" s="974"/>
      <c r="JNE36" s="974"/>
      <c r="JNF36" s="974"/>
      <c r="JNG36" s="974"/>
      <c r="JNH36" s="974"/>
      <c r="JNI36" s="974"/>
      <c r="JNJ36" s="974"/>
      <c r="JNK36" s="974"/>
      <c r="JNL36" s="974"/>
      <c r="JNM36" s="974"/>
      <c r="JNN36" s="974"/>
      <c r="JNO36" s="974"/>
      <c r="JNP36" s="974"/>
      <c r="JNQ36" s="974"/>
      <c r="JNR36" s="974"/>
      <c r="JNS36" s="974"/>
      <c r="JNT36" s="974"/>
      <c r="JNU36" s="974"/>
      <c r="JNV36" s="974"/>
      <c r="JNW36" s="974"/>
      <c r="JNX36" s="974"/>
      <c r="JNY36" s="974"/>
      <c r="JNZ36" s="974"/>
      <c r="JOA36" s="974"/>
      <c r="JOB36" s="974"/>
      <c r="JOC36" s="974"/>
      <c r="JOD36" s="974"/>
      <c r="JOE36" s="974"/>
      <c r="JOF36" s="974"/>
      <c r="JOG36" s="974"/>
      <c r="JOH36" s="974"/>
      <c r="JOI36" s="974"/>
      <c r="JOJ36" s="974"/>
      <c r="JOK36" s="974"/>
      <c r="JOL36" s="974"/>
      <c r="JOM36" s="974"/>
      <c r="JON36" s="974"/>
      <c r="JOO36" s="974"/>
      <c r="JOP36" s="974"/>
      <c r="JOQ36" s="974"/>
      <c r="JOR36" s="974"/>
      <c r="JOS36" s="974"/>
      <c r="JOT36" s="974"/>
      <c r="JOU36" s="974"/>
      <c r="JOV36" s="974"/>
      <c r="JOW36" s="974"/>
      <c r="JOX36" s="974"/>
      <c r="JOY36" s="974"/>
      <c r="JOZ36" s="974"/>
      <c r="JPA36" s="974"/>
      <c r="JPB36" s="974"/>
      <c r="JPC36" s="974"/>
      <c r="JPD36" s="974"/>
      <c r="JPE36" s="974"/>
      <c r="JPF36" s="974"/>
      <c r="JPG36" s="974"/>
      <c r="JPH36" s="974"/>
      <c r="JPI36" s="974"/>
      <c r="JPJ36" s="974"/>
      <c r="JPK36" s="974"/>
      <c r="JPL36" s="974"/>
      <c r="JPM36" s="974"/>
      <c r="JPN36" s="974"/>
      <c r="JPO36" s="974"/>
      <c r="JPP36" s="974"/>
      <c r="JPQ36" s="974"/>
      <c r="JPR36" s="974"/>
      <c r="JPS36" s="974"/>
      <c r="JPT36" s="974"/>
      <c r="JPU36" s="974"/>
      <c r="JPV36" s="974"/>
      <c r="JPW36" s="974"/>
      <c r="JPX36" s="974"/>
      <c r="JPY36" s="974"/>
      <c r="JPZ36" s="974"/>
      <c r="JQA36" s="974"/>
      <c r="JQB36" s="974"/>
      <c r="JQC36" s="974"/>
      <c r="JQD36" s="974"/>
      <c r="JQE36" s="974"/>
      <c r="JQF36" s="974"/>
      <c r="JQG36" s="974"/>
      <c r="JQH36" s="974"/>
      <c r="JQI36" s="974"/>
      <c r="JQJ36" s="974"/>
      <c r="JQK36" s="974"/>
      <c r="JQL36" s="974"/>
      <c r="JQM36" s="974"/>
      <c r="JQN36" s="974"/>
      <c r="JQO36" s="974"/>
      <c r="JQP36" s="974"/>
      <c r="JQQ36" s="974"/>
      <c r="JQR36" s="974"/>
      <c r="JQS36" s="974"/>
      <c r="JQT36" s="974"/>
      <c r="JQU36" s="974"/>
      <c r="JQV36" s="974"/>
      <c r="JQW36" s="974"/>
      <c r="JQX36" s="974"/>
      <c r="JQY36" s="974"/>
      <c r="JQZ36" s="974"/>
      <c r="JRA36" s="974"/>
      <c r="JRB36" s="974"/>
      <c r="JRC36" s="974"/>
      <c r="JRD36" s="974"/>
      <c r="JRE36" s="974"/>
      <c r="JRF36" s="974"/>
      <c r="JRG36" s="974"/>
      <c r="JRH36" s="974"/>
      <c r="JRI36" s="974"/>
      <c r="JRJ36" s="974"/>
      <c r="JRK36" s="974"/>
      <c r="JRL36" s="974"/>
      <c r="JRM36" s="974"/>
      <c r="JRN36" s="974"/>
      <c r="JRO36" s="974"/>
      <c r="JRP36" s="974"/>
      <c r="JRQ36" s="974"/>
      <c r="JRR36" s="974"/>
      <c r="JRS36" s="974"/>
      <c r="JRT36" s="974"/>
      <c r="JRU36" s="974"/>
      <c r="JRV36" s="974"/>
      <c r="JRW36" s="974"/>
      <c r="JRX36" s="974"/>
      <c r="JRY36" s="974"/>
      <c r="JRZ36" s="974"/>
      <c r="JSA36" s="974"/>
      <c r="JSB36" s="974"/>
      <c r="JSC36" s="974"/>
      <c r="JSD36" s="974"/>
      <c r="JSE36" s="974"/>
      <c r="JSF36" s="974"/>
      <c r="JSG36" s="974"/>
      <c r="JSH36" s="974"/>
      <c r="JSI36" s="974"/>
      <c r="JSJ36" s="974"/>
      <c r="JSK36" s="974"/>
      <c r="JSL36" s="974"/>
      <c r="JSM36" s="974"/>
      <c r="JSN36" s="974"/>
      <c r="JSO36" s="974"/>
      <c r="JSP36" s="974"/>
      <c r="JSQ36" s="974"/>
      <c r="JSR36" s="974"/>
      <c r="JSS36" s="974"/>
      <c r="JST36" s="974"/>
      <c r="JSU36" s="974"/>
      <c r="JSV36" s="974"/>
      <c r="JSW36" s="974"/>
      <c r="JSX36" s="974"/>
      <c r="JSY36" s="974"/>
      <c r="JSZ36" s="974"/>
      <c r="JTA36" s="974"/>
      <c r="JTB36" s="974"/>
      <c r="JTC36" s="974"/>
      <c r="JTD36" s="974"/>
      <c r="JTE36" s="974"/>
      <c r="JTF36" s="974"/>
      <c r="JTG36" s="974"/>
      <c r="JTH36" s="974"/>
      <c r="JTI36" s="974"/>
      <c r="JTJ36" s="974"/>
      <c r="JTK36" s="974"/>
      <c r="JTL36" s="974"/>
      <c r="JTM36" s="974"/>
      <c r="JTN36" s="974"/>
      <c r="JTO36" s="974"/>
      <c r="JTP36" s="974"/>
      <c r="JTQ36" s="974"/>
      <c r="JTR36" s="974"/>
      <c r="JTS36" s="974"/>
      <c r="JTT36" s="974"/>
      <c r="JTU36" s="974"/>
      <c r="JTV36" s="974"/>
      <c r="JTW36" s="974"/>
      <c r="JTX36" s="974"/>
      <c r="JTY36" s="974"/>
      <c r="JTZ36" s="974"/>
      <c r="JUA36" s="974"/>
      <c r="JUB36" s="974"/>
      <c r="JUC36" s="974"/>
      <c r="JUD36" s="974"/>
      <c r="JUE36" s="974"/>
      <c r="JUF36" s="974"/>
      <c r="JUG36" s="974"/>
      <c r="JUH36" s="974"/>
      <c r="JUI36" s="974"/>
      <c r="JUJ36" s="974"/>
      <c r="JUK36" s="974"/>
      <c r="JUL36" s="974"/>
      <c r="JUM36" s="974"/>
      <c r="JUN36" s="974"/>
      <c r="JUO36" s="974"/>
      <c r="JUP36" s="974"/>
      <c r="JUQ36" s="974"/>
      <c r="JUR36" s="974"/>
      <c r="JUS36" s="974"/>
      <c r="JUT36" s="974"/>
      <c r="JUU36" s="974"/>
      <c r="JUV36" s="974"/>
      <c r="JUW36" s="974"/>
      <c r="JUX36" s="974"/>
      <c r="JUY36" s="974"/>
      <c r="JUZ36" s="974"/>
      <c r="JVA36" s="974"/>
      <c r="JVB36" s="974"/>
      <c r="JVC36" s="974"/>
      <c r="JVD36" s="974"/>
      <c r="JVE36" s="974"/>
      <c r="JVF36" s="974"/>
      <c r="JVG36" s="974"/>
      <c r="JVH36" s="974"/>
      <c r="JVI36" s="974"/>
      <c r="JVJ36" s="974"/>
      <c r="JVK36" s="974"/>
      <c r="JVL36" s="974"/>
      <c r="JVM36" s="974"/>
      <c r="JVN36" s="974"/>
      <c r="JVO36" s="974"/>
      <c r="JVP36" s="974"/>
      <c r="JVQ36" s="974"/>
      <c r="JVR36" s="974"/>
      <c r="JVS36" s="974"/>
      <c r="JVT36" s="974"/>
      <c r="JVU36" s="974"/>
      <c r="JVV36" s="974"/>
      <c r="JVW36" s="974"/>
      <c r="JVX36" s="974"/>
      <c r="JVY36" s="974"/>
      <c r="JVZ36" s="974"/>
      <c r="JWA36" s="974"/>
      <c r="JWB36" s="974"/>
      <c r="JWC36" s="974"/>
      <c r="JWD36" s="974"/>
      <c r="JWE36" s="974"/>
      <c r="JWF36" s="974"/>
      <c r="JWG36" s="974"/>
      <c r="JWH36" s="974"/>
      <c r="JWI36" s="974"/>
      <c r="JWJ36" s="974"/>
      <c r="JWK36" s="974"/>
      <c r="JWL36" s="974"/>
      <c r="JWM36" s="974"/>
      <c r="JWN36" s="974"/>
      <c r="JWO36" s="974"/>
      <c r="JWP36" s="974"/>
      <c r="JWQ36" s="974"/>
      <c r="JWR36" s="974"/>
      <c r="JWS36" s="974"/>
      <c r="JWT36" s="974"/>
      <c r="JWU36" s="974"/>
      <c r="JWV36" s="974"/>
      <c r="JWW36" s="974"/>
      <c r="JWX36" s="974"/>
      <c r="JWY36" s="974"/>
      <c r="JWZ36" s="974"/>
      <c r="JXA36" s="974"/>
      <c r="JXB36" s="974"/>
      <c r="JXC36" s="974"/>
      <c r="JXD36" s="974"/>
      <c r="JXE36" s="974"/>
      <c r="JXF36" s="974"/>
      <c r="JXG36" s="974"/>
      <c r="JXH36" s="974"/>
      <c r="JXI36" s="974"/>
      <c r="JXJ36" s="974"/>
      <c r="JXK36" s="974"/>
      <c r="JXL36" s="974"/>
      <c r="JXM36" s="974"/>
      <c r="JXN36" s="974"/>
      <c r="JXO36" s="974"/>
      <c r="JXP36" s="974"/>
      <c r="JXQ36" s="974"/>
      <c r="JXR36" s="974"/>
      <c r="JXS36" s="974"/>
      <c r="JXT36" s="974"/>
      <c r="JXU36" s="974"/>
      <c r="JXV36" s="974"/>
      <c r="JXW36" s="974"/>
      <c r="JXX36" s="974"/>
      <c r="JXY36" s="974"/>
      <c r="JXZ36" s="974"/>
      <c r="JYA36" s="974"/>
      <c r="JYB36" s="974"/>
      <c r="JYC36" s="974"/>
      <c r="JYD36" s="974"/>
      <c r="JYE36" s="974"/>
      <c r="JYF36" s="974"/>
      <c r="JYG36" s="974"/>
      <c r="JYH36" s="974"/>
      <c r="JYI36" s="974"/>
      <c r="JYJ36" s="974"/>
      <c r="JYK36" s="974"/>
      <c r="JYL36" s="974"/>
      <c r="JYM36" s="974"/>
      <c r="JYN36" s="974"/>
      <c r="JYO36" s="974"/>
      <c r="JYP36" s="974"/>
      <c r="JYQ36" s="974"/>
      <c r="JYR36" s="974"/>
      <c r="JYS36" s="974"/>
      <c r="JYT36" s="974"/>
      <c r="JYU36" s="974"/>
      <c r="JYV36" s="974"/>
      <c r="JYW36" s="974"/>
      <c r="JYX36" s="974"/>
      <c r="JYY36" s="974"/>
      <c r="JYZ36" s="974"/>
      <c r="JZA36" s="974"/>
      <c r="JZB36" s="974"/>
      <c r="JZC36" s="974"/>
      <c r="JZD36" s="974"/>
      <c r="JZE36" s="974"/>
      <c r="JZF36" s="974"/>
      <c r="JZG36" s="974"/>
      <c r="JZH36" s="974"/>
      <c r="JZI36" s="974"/>
      <c r="JZJ36" s="974"/>
      <c r="JZK36" s="974"/>
      <c r="JZL36" s="974"/>
      <c r="JZM36" s="974"/>
      <c r="JZN36" s="974"/>
      <c r="JZO36" s="974"/>
      <c r="JZP36" s="974"/>
      <c r="JZQ36" s="974"/>
      <c r="JZR36" s="974"/>
      <c r="JZS36" s="974"/>
      <c r="JZT36" s="974"/>
      <c r="JZU36" s="974"/>
      <c r="JZV36" s="974"/>
      <c r="JZW36" s="974"/>
      <c r="JZX36" s="974"/>
      <c r="JZY36" s="974"/>
      <c r="JZZ36" s="974"/>
      <c r="KAA36" s="974"/>
      <c r="KAB36" s="974"/>
      <c r="KAC36" s="974"/>
      <c r="KAD36" s="974"/>
      <c r="KAE36" s="974"/>
      <c r="KAF36" s="974"/>
      <c r="KAG36" s="974"/>
      <c r="KAH36" s="974"/>
      <c r="KAI36" s="974"/>
      <c r="KAJ36" s="974"/>
      <c r="KAK36" s="974"/>
      <c r="KAL36" s="974"/>
      <c r="KAM36" s="974"/>
      <c r="KAN36" s="974"/>
      <c r="KAO36" s="974"/>
      <c r="KAP36" s="974"/>
      <c r="KAQ36" s="974"/>
      <c r="KAR36" s="974"/>
      <c r="KAS36" s="974"/>
      <c r="KAT36" s="974"/>
      <c r="KAU36" s="974"/>
      <c r="KAV36" s="974"/>
      <c r="KAW36" s="974"/>
      <c r="KAX36" s="974"/>
      <c r="KAY36" s="974"/>
      <c r="KAZ36" s="974"/>
      <c r="KBA36" s="974"/>
      <c r="KBB36" s="974"/>
      <c r="KBC36" s="974"/>
      <c r="KBD36" s="974"/>
      <c r="KBE36" s="974"/>
      <c r="KBF36" s="974"/>
      <c r="KBG36" s="974"/>
      <c r="KBH36" s="974"/>
      <c r="KBI36" s="974"/>
      <c r="KBJ36" s="974"/>
      <c r="KBK36" s="974"/>
      <c r="KBL36" s="974"/>
      <c r="KBM36" s="974"/>
      <c r="KBN36" s="974"/>
      <c r="KBO36" s="974"/>
      <c r="KBP36" s="974"/>
      <c r="KBQ36" s="974"/>
      <c r="KBR36" s="974"/>
      <c r="KBS36" s="974"/>
      <c r="KBT36" s="974"/>
      <c r="KBU36" s="974"/>
      <c r="KBV36" s="974"/>
      <c r="KBW36" s="974"/>
      <c r="KBX36" s="974"/>
      <c r="KBY36" s="974"/>
      <c r="KBZ36" s="974"/>
      <c r="KCA36" s="974"/>
      <c r="KCB36" s="974"/>
      <c r="KCC36" s="974"/>
      <c r="KCD36" s="974"/>
      <c r="KCE36" s="974"/>
      <c r="KCF36" s="974"/>
      <c r="KCG36" s="974"/>
      <c r="KCH36" s="974"/>
      <c r="KCI36" s="974"/>
      <c r="KCJ36" s="974"/>
      <c r="KCK36" s="974"/>
      <c r="KCL36" s="974"/>
      <c r="KCM36" s="974"/>
      <c r="KCN36" s="974"/>
      <c r="KCO36" s="974"/>
      <c r="KCP36" s="974"/>
      <c r="KCQ36" s="974"/>
      <c r="KCR36" s="974"/>
      <c r="KCS36" s="974"/>
      <c r="KCT36" s="974"/>
      <c r="KCU36" s="974"/>
      <c r="KCV36" s="974"/>
      <c r="KCW36" s="974"/>
      <c r="KCX36" s="974"/>
      <c r="KCY36" s="974"/>
      <c r="KCZ36" s="974"/>
      <c r="KDA36" s="974"/>
      <c r="KDB36" s="974"/>
      <c r="KDC36" s="974"/>
      <c r="KDD36" s="974"/>
      <c r="KDE36" s="974"/>
      <c r="KDF36" s="974"/>
      <c r="KDG36" s="974"/>
      <c r="KDH36" s="974"/>
      <c r="KDI36" s="974"/>
      <c r="KDJ36" s="974"/>
      <c r="KDK36" s="974"/>
      <c r="KDL36" s="974"/>
      <c r="KDM36" s="974"/>
      <c r="KDN36" s="974"/>
      <c r="KDO36" s="974"/>
      <c r="KDP36" s="974"/>
      <c r="KDQ36" s="974"/>
      <c r="KDR36" s="974"/>
      <c r="KDS36" s="974"/>
      <c r="KDT36" s="974"/>
      <c r="KDU36" s="974"/>
      <c r="KDV36" s="974"/>
      <c r="KDW36" s="974"/>
      <c r="KDX36" s="974"/>
      <c r="KDY36" s="974"/>
      <c r="KDZ36" s="974"/>
      <c r="KEA36" s="974"/>
      <c r="KEB36" s="974"/>
      <c r="KEC36" s="974"/>
      <c r="KED36" s="974"/>
      <c r="KEE36" s="974"/>
      <c r="KEF36" s="974"/>
      <c r="KEG36" s="974"/>
      <c r="KEH36" s="974"/>
      <c r="KEI36" s="974"/>
      <c r="KEJ36" s="974"/>
      <c r="KEK36" s="974"/>
      <c r="KEL36" s="974"/>
      <c r="KEM36" s="974"/>
      <c r="KEN36" s="974"/>
      <c r="KEO36" s="974"/>
      <c r="KEP36" s="974"/>
      <c r="KEQ36" s="974"/>
      <c r="KER36" s="974"/>
      <c r="KES36" s="974"/>
      <c r="KET36" s="974"/>
      <c r="KEU36" s="974"/>
      <c r="KEV36" s="974"/>
      <c r="KEW36" s="974"/>
      <c r="KEX36" s="974"/>
      <c r="KEY36" s="974"/>
      <c r="KEZ36" s="974"/>
      <c r="KFA36" s="974"/>
      <c r="KFB36" s="974"/>
      <c r="KFC36" s="974"/>
      <c r="KFD36" s="974"/>
      <c r="KFE36" s="974"/>
      <c r="KFF36" s="974"/>
      <c r="KFG36" s="974"/>
      <c r="KFH36" s="974"/>
      <c r="KFI36" s="974"/>
      <c r="KFJ36" s="974"/>
      <c r="KFK36" s="974"/>
      <c r="KFL36" s="974"/>
      <c r="KFM36" s="974"/>
      <c r="KFN36" s="974"/>
      <c r="KFO36" s="974"/>
      <c r="KFP36" s="974"/>
      <c r="KFQ36" s="974"/>
      <c r="KFR36" s="974"/>
      <c r="KFS36" s="974"/>
      <c r="KFT36" s="974"/>
      <c r="KFU36" s="974"/>
      <c r="KFV36" s="974"/>
      <c r="KFW36" s="974"/>
      <c r="KFX36" s="974"/>
      <c r="KFY36" s="974"/>
      <c r="KFZ36" s="974"/>
      <c r="KGA36" s="974"/>
      <c r="KGB36" s="974"/>
      <c r="KGC36" s="974"/>
      <c r="KGD36" s="974"/>
      <c r="KGE36" s="974"/>
      <c r="KGF36" s="974"/>
      <c r="KGG36" s="974"/>
      <c r="KGH36" s="974"/>
      <c r="KGI36" s="974"/>
      <c r="KGJ36" s="974"/>
      <c r="KGK36" s="974"/>
      <c r="KGL36" s="974"/>
      <c r="KGM36" s="974"/>
      <c r="KGN36" s="974"/>
      <c r="KGO36" s="974"/>
      <c r="KGP36" s="974"/>
      <c r="KGQ36" s="974"/>
      <c r="KGR36" s="974"/>
      <c r="KGS36" s="974"/>
      <c r="KGT36" s="974"/>
      <c r="KGU36" s="974"/>
      <c r="KGV36" s="974"/>
      <c r="KGW36" s="974"/>
      <c r="KGX36" s="974"/>
      <c r="KGY36" s="974"/>
      <c r="KGZ36" s="974"/>
      <c r="KHA36" s="974"/>
      <c r="KHB36" s="974"/>
      <c r="KHC36" s="974"/>
      <c r="KHD36" s="974"/>
      <c r="KHE36" s="974"/>
      <c r="KHF36" s="974"/>
      <c r="KHG36" s="974"/>
      <c r="KHH36" s="974"/>
      <c r="KHI36" s="974"/>
      <c r="KHJ36" s="974"/>
      <c r="KHK36" s="974"/>
      <c r="KHL36" s="974"/>
      <c r="KHM36" s="974"/>
      <c r="KHN36" s="974"/>
      <c r="KHO36" s="974"/>
      <c r="KHP36" s="974"/>
      <c r="KHQ36" s="974"/>
      <c r="KHR36" s="974"/>
      <c r="KHS36" s="974"/>
      <c r="KHT36" s="974"/>
      <c r="KHU36" s="974"/>
      <c r="KHV36" s="974"/>
      <c r="KHW36" s="974"/>
      <c r="KHX36" s="974"/>
      <c r="KHY36" s="974"/>
      <c r="KHZ36" s="974"/>
      <c r="KIA36" s="974"/>
      <c r="KIB36" s="974"/>
      <c r="KIC36" s="974"/>
      <c r="KID36" s="974"/>
      <c r="KIE36" s="974"/>
      <c r="KIF36" s="974"/>
      <c r="KIG36" s="974"/>
      <c r="KIH36" s="974"/>
      <c r="KII36" s="974"/>
      <c r="KIJ36" s="974"/>
      <c r="KIK36" s="974"/>
      <c r="KIL36" s="974"/>
      <c r="KIM36" s="974"/>
      <c r="KIN36" s="974"/>
      <c r="KIO36" s="974"/>
      <c r="KIP36" s="974"/>
      <c r="KIQ36" s="974"/>
      <c r="KIR36" s="974"/>
      <c r="KIS36" s="974"/>
      <c r="KIT36" s="974"/>
      <c r="KIU36" s="974"/>
      <c r="KIV36" s="974"/>
      <c r="KIW36" s="974"/>
      <c r="KIX36" s="974"/>
      <c r="KIY36" s="974"/>
      <c r="KIZ36" s="974"/>
      <c r="KJA36" s="974"/>
      <c r="KJB36" s="974"/>
      <c r="KJC36" s="974"/>
      <c r="KJD36" s="974"/>
      <c r="KJE36" s="974"/>
      <c r="KJF36" s="974"/>
      <c r="KJG36" s="974"/>
      <c r="KJH36" s="974"/>
      <c r="KJI36" s="974"/>
      <c r="KJJ36" s="974"/>
      <c r="KJK36" s="974"/>
      <c r="KJL36" s="974"/>
      <c r="KJM36" s="974"/>
      <c r="KJN36" s="974"/>
      <c r="KJO36" s="974"/>
      <c r="KJP36" s="974"/>
      <c r="KJQ36" s="974"/>
      <c r="KJR36" s="974"/>
      <c r="KJS36" s="974"/>
      <c r="KJT36" s="974"/>
      <c r="KJU36" s="974"/>
      <c r="KJV36" s="974"/>
      <c r="KJW36" s="974"/>
      <c r="KJX36" s="974"/>
      <c r="KJY36" s="974"/>
      <c r="KJZ36" s="974"/>
      <c r="KKA36" s="974"/>
      <c r="KKB36" s="974"/>
      <c r="KKC36" s="974"/>
      <c r="KKD36" s="974"/>
      <c r="KKE36" s="974"/>
      <c r="KKF36" s="974"/>
      <c r="KKG36" s="974"/>
      <c r="KKH36" s="974"/>
      <c r="KKI36" s="974"/>
      <c r="KKJ36" s="974"/>
      <c r="KKK36" s="974"/>
      <c r="KKL36" s="974"/>
      <c r="KKM36" s="974"/>
      <c r="KKN36" s="974"/>
      <c r="KKO36" s="974"/>
      <c r="KKP36" s="974"/>
      <c r="KKQ36" s="974"/>
      <c r="KKR36" s="974"/>
      <c r="KKS36" s="974"/>
      <c r="KKT36" s="974"/>
      <c r="KKU36" s="974"/>
      <c r="KKV36" s="974"/>
      <c r="KKW36" s="974"/>
      <c r="KKX36" s="974"/>
      <c r="KKY36" s="974"/>
      <c r="KKZ36" s="974"/>
      <c r="KLA36" s="974"/>
      <c r="KLB36" s="974"/>
      <c r="KLC36" s="974"/>
      <c r="KLD36" s="974"/>
      <c r="KLE36" s="974"/>
      <c r="KLF36" s="974"/>
      <c r="KLG36" s="974"/>
      <c r="KLH36" s="974"/>
      <c r="KLI36" s="974"/>
      <c r="KLJ36" s="974"/>
      <c r="KLK36" s="974"/>
      <c r="KLL36" s="974"/>
      <c r="KLM36" s="974"/>
      <c r="KLN36" s="974"/>
      <c r="KLO36" s="974"/>
      <c r="KLP36" s="974"/>
      <c r="KLQ36" s="974"/>
      <c r="KLR36" s="974"/>
      <c r="KLS36" s="974"/>
      <c r="KLT36" s="974"/>
      <c r="KLU36" s="974"/>
      <c r="KLV36" s="974"/>
      <c r="KLW36" s="974"/>
      <c r="KLX36" s="974"/>
      <c r="KLY36" s="974"/>
      <c r="KLZ36" s="974"/>
      <c r="KMA36" s="974"/>
      <c r="KMB36" s="974"/>
      <c r="KMC36" s="974"/>
      <c r="KMD36" s="974"/>
      <c r="KME36" s="974"/>
      <c r="KMF36" s="974"/>
      <c r="KMG36" s="974"/>
      <c r="KMH36" s="974"/>
      <c r="KMI36" s="974"/>
      <c r="KMJ36" s="974"/>
      <c r="KMK36" s="974"/>
      <c r="KML36" s="974"/>
      <c r="KMM36" s="974"/>
      <c r="KMN36" s="974"/>
      <c r="KMO36" s="974"/>
      <c r="KMP36" s="974"/>
      <c r="KMQ36" s="974"/>
      <c r="KMR36" s="974"/>
      <c r="KMS36" s="974"/>
      <c r="KMT36" s="974"/>
      <c r="KMU36" s="974"/>
      <c r="KMV36" s="974"/>
      <c r="KMW36" s="974"/>
      <c r="KMX36" s="974"/>
      <c r="KMY36" s="974"/>
      <c r="KMZ36" s="974"/>
      <c r="KNA36" s="974"/>
      <c r="KNB36" s="974"/>
      <c r="KNC36" s="974"/>
      <c r="KND36" s="974"/>
      <c r="KNE36" s="974"/>
      <c r="KNF36" s="974"/>
      <c r="KNG36" s="974"/>
      <c r="KNH36" s="974"/>
      <c r="KNI36" s="974"/>
      <c r="KNJ36" s="974"/>
      <c r="KNK36" s="974"/>
      <c r="KNL36" s="974"/>
      <c r="KNM36" s="974"/>
      <c r="KNN36" s="974"/>
      <c r="KNO36" s="974"/>
      <c r="KNP36" s="974"/>
      <c r="KNQ36" s="974"/>
      <c r="KNR36" s="974"/>
      <c r="KNS36" s="974"/>
      <c r="KNT36" s="974"/>
      <c r="KNU36" s="974"/>
      <c r="KNV36" s="974"/>
      <c r="KNW36" s="974"/>
      <c r="KNX36" s="974"/>
      <c r="KNY36" s="974"/>
      <c r="KNZ36" s="974"/>
      <c r="KOA36" s="974"/>
      <c r="KOB36" s="974"/>
      <c r="KOC36" s="974"/>
      <c r="KOD36" s="974"/>
      <c r="KOE36" s="974"/>
      <c r="KOF36" s="974"/>
      <c r="KOG36" s="974"/>
      <c r="KOH36" s="974"/>
      <c r="KOI36" s="974"/>
      <c r="KOJ36" s="974"/>
      <c r="KOK36" s="974"/>
      <c r="KOL36" s="974"/>
      <c r="KOM36" s="974"/>
      <c r="KON36" s="974"/>
      <c r="KOO36" s="974"/>
      <c r="KOP36" s="974"/>
      <c r="KOQ36" s="974"/>
      <c r="KOR36" s="974"/>
      <c r="KOS36" s="974"/>
      <c r="KOT36" s="974"/>
      <c r="KOU36" s="974"/>
      <c r="KOV36" s="974"/>
      <c r="KOW36" s="974"/>
      <c r="KOX36" s="974"/>
      <c r="KOY36" s="974"/>
      <c r="KOZ36" s="974"/>
      <c r="KPA36" s="974"/>
      <c r="KPB36" s="974"/>
      <c r="KPC36" s="974"/>
      <c r="KPD36" s="974"/>
      <c r="KPE36" s="974"/>
      <c r="KPF36" s="974"/>
      <c r="KPG36" s="974"/>
      <c r="KPH36" s="974"/>
      <c r="KPI36" s="974"/>
      <c r="KPJ36" s="974"/>
      <c r="KPK36" s="974"/>
      <c r="KPL36" s="974"/>
      <c r="KPM36" s="974"/>
      <c r="KPN36" s="974"/>
      <c r="KPO36" s="974"/>
      <c r="KPP36" s="974"/>
      <c r="KPQ36" s="974"/>
      <c r="KPR36" s="974"/>
      <c r="KPS36" s="974"/>
      <c r="KPT36" s="974"/>
      <c r="KPU36" s="974"/>
      <c r="KPV36" s="974"/>
      <c r="KPW36" s="974"/>
      <c r="KPX36" s="974"/>
      <c r="KPY36" s="974"/>
      <c r="KPZ36" s="974"/>
      <c r="KQA36" s="974"/>
      <c r="KQB36" s="974"/>
      <c r="KQC36" s="974"/>
      <c r="KQD36" s="974"/>
      <c r="KQE36" s="974"/>
      <c r="KQF36" s="974"/>
      <c r="KQG36" s="974"/>
      <c r="KQH36" s="974"/>
      <c r="KQI36" s="974"/>
      <c r="KQJ36" s="974"/>
      <c r="KQK36" s="974"/>
      <c r="KQL36" s="974"/>
      <c r="KQM36" s="974"/>
      <c r="KQN36" s="974"/>
      <c r="KQO36" s="974"/>
      <c r="KQP36" s="974"/>
      <c r="KQQ36" s="974"/>
      <c r="KQR36" s="974"/>
      <c r="KQS36" s="974"/>
      <c r="KQT36" s="974"/>
      <c r="KQU36" s="974"/>
      <c r="KQV36" s="974"/>
      <c r="KQW36" s="974"/>
      <c r="KQX36" s="974"/>
      <c r="KQY36" s="974"/>
      <c r="KQZ36" s="974"/>
      <c r="KRA36" s="974"/>
      <c r="KRB36" s="974"/>
      <c r="KRC36" s="974"/>
      <c r="KRD36" s="974"/>
      <c r="KRE36" s="974"/>
      <c r="KRF36" s="974"/>
      <c r="KRG36" s="974"/>
      <c r="KRH36" s="974"/>
      <c r="KRI36" s="974"/>
      <c r="KRJ36" s="974"/>
      <c r="KRK36" s="974"/>
      <c r="KRL36" s="974"/>
      <c r="KRM36" s="974"/>
      <c r="KRN36" s="974"/>
      <c r="KRO36" s="974"/>
      <c r="KRP36" s="974"/>
      <c r="KRQ36" s="974"/>
      <c r="KRR36" s="974"/>
      <c r="KRS36" s="974"/>
      <c r="KRT36" s="974"/>
      <c r="KRU36" s="974"/>
      <c r="KRV36" s="974"/>
      <c r="KRW36" s="974"/>
      <c r="KRX36" s="974"/>
      <c r="KRY36" s="974"/>
      <c r="KRZ36" s="974"/>
      <c r="KSA36" s="974"/>
      <c r="KSB36" s="974"/>
      <c r="KSC36" s="974"/>
      <c r="KSD36" s="974"/>
      <c r="KSE36" s="974"/>
      <c r="KSF36" s="974"/>
      <c r="KSG36" s="974"/>
      <c r="KSH36" s="974"/>
      <c r="KSI36" s="974"/>
      <c r="KSJ36" s="974"/>
      <c r="KSK36" s="974"/>
      <c r="KSL36" s="974"/>
      <c r="KSM36" s="974"/>
      <c r="KSN36" s="974"/>
      <c r="KSO36" s="974"/>
      <c r="KSP36" s="974"/>
      <c r="KSQ36" s="974"/>
      <c r="KSR36" s="974"/>
      <c r="KSS36" s="974"/>
      <c r="KST36" s="974"/>
      <c r="KSU36" s="974"/>
      <c r="KSV36" s="974"/>
      <c r="KSW36" s="974"/>
      <c r="KSX36" s="974"/>
      <c r="KSY36" s="974"/>
      <c r="KSZ36" s="974"/>
      <c r="KTA36" s="974"/>
      <c r="KTB36" s="974"/>
      <c r="KTC36" s="974"/>
      <c r="KTD36" s="974"/>
      <c r="KTE36" s="974"/>
      <c r="KTF36" s="974"/>
      <c r="KTG36" s="974"/>
      <c r="KTH36" s="974"/>
      <c r="KTI36" s="974"/>
      <c r="KTJ36" s="974"/>
      <c r="KTK36" s="974"/>
      <c r="KTL36" s="974"/>
      <c r="KTM36" s="974"/>
      <c r="KTN36" s="974"/>
      <c r="KTO36" s="974"/>
      <c r="KTP36" s="974"/>
      <c r="KTQ36" s="974"/>
      <c r="KTR36" s="974"/>
      <c r="KTS36" s="974"/>
      <c r="KTT36" s="974"/>
      <c r="KTU36" s="974"/>
      <c r="KTV36" s="974"/>
      <c r="KTW36" s="974"/>
      <c r="KTX36" s="974"/>
      <c r="KTY36" s="974"/>
      <c r="KTZ36" s="974"/>
      <c r="KUA36" s="974"/>
      <c r="KUB36" s="974"/>
      <c r="KUC36" s="974"/>
      <c r="KUD36" s="974"/>
      <c r="KUE36" s="974"/>
      <c r="KUF36" s="974"/>
      <c r="KUG36" s="974"/>
      <c r="KUH36" s="974"/>
      <c r="KUI36" s="974"/>
      <c r="KUJ36" s="974"/>
      <c r="KUK36" s="974"/>
      <c r="KUL36" s="974"/>
      <c r="KUM36" s="974"/>
      <c r="KUN36" s="974"/>
      <c r="KUO36" s="974"/>
      <c r="KUP36" s="974"/>
      <c r="KUQ36" s="974"/>
      <c r="KUR36" s="974"/>
      <c r="KUS36" s="974"/>
      <c r="KUT36" s="974"/>
      <c r="KUU36" s="974"/>
      <c r="KUV36" s="974"/>
      <c r="KUW36" s="974"/>
      <c r="KUX36" s="974"/>
      <c r="KUY36" s="974"/>
      <c r="KUZ36" s="974"/>
      <c r="KVA36" s="974"/>
      <c r="KVB36" s="974"/>
      <c r="KVC36" s="974"/>
      <c r="KVD36" s="974"/>
      <c r="KVE36" s="974"/>
      <c r="KVF36" s="974"/>
      <c r="KVG36" s="974"/>
      <c r="KVH36" s="974"/>
      <c r="KVI36" s="974"/>
      <c r="KVJ36" s="974"/>
      <c r="KVK36" s="974"/>
      <c r="KVL36" s="974"/>
      <c r="KVM36" s="974"/>
      <c r="KVN36" s="974"/>
      <c r="KVO36" s="974"/>
      <c r="KVP36" s="974"/>
      <c r="KVQ36" s="974"/>
      <c r="KVR36" s="974"/>
      <c r="KVS36" s="974"/>
      <c r="KVT36" s="974"/>
      <c r="KVU36" s="974"/>
      <c r="KVV36" s="974"/>
      <c r="KVW36" s="974"/>
      <c r="KVX36" s="974"/>
      <c r="KVY36" s="974"/>
      <c r="KVZ36" s="974"/>
      <c r="KWA36" s="974"/>
      <c r="KWB36" s="974"/>
      <c r="KWC36" s="974"/>
      <c r="KWD36" s="974"/>
      <c r="KWE36" s="974"/>
      <c r="KWF36" s="974"/>
      <c r="KWG36" s="974"/>
      <c r="KWH36" s="974"/>
      <c r="KWI36" s="974"/>
      <c r="KWJ36" s="974"/>
      <c r="KWK36" s="974"/>
      <c r="KWL36" s="974"/>
      <c r="KWM36" s="974"/>
      <c r="KWN36" s="974"/>
      <c r="KWO36" s="974"/>
      <c r="KWP36" s="974"/>
      <c r="KWQ36" s="974"/>
      <c r="KWR36" s="974"/>
      <c r="KWS36" s="974"/>
      <c r="KWT36" s="974"/>
      <c r="KWU36" s="974"/>
      <c r="KWV36" s="974"/>
      <c r="KWW36" s="974"/>
      <c r="KWX36" s="974"/>
      <c r="KWY36" s="974"/>
      <c r="KWZ36" s="974"/>
      <c r="KXA36" s="974"/>
      <c r="KXB36" s="974"/>
      <c r="KXC36" s="974"/>
      <c r="KXD36" s="974"/>
      <c r="KXE36" s="974"/>
      <c r="KXF36" s="974"/>
      <c r="KXG36" s="974"/>
      <c r="KXH36" s="974"/>
      <c r="KXI36" s="974"/>
      <c r="KXJ36" s="974"/>
      <c r="KXK36" s="974"/>
      <c r="KXL36" s="974"/>
      <c r="KXM36" s="974"/>
      <c r="KXN36" s="974"/>
      <c r="KXO36" s="974"/>
      <c r="KXP36" s="974"/>
      <c r="KXQ36" s="974"/>
      <c r="KXR36" s="974"/>
      <c r="KXS36" s="974"/>
      <c r="KXT36" s="974"/>
      <c r="KXU36" s="974"/>
      <c r="KXV36" s="974"/>
      <c r="KXW36" s="974"/>
      <c r="KXX36" s="974"/>
      <c r="KXY36" s="974"/>
      <c r="KXZ36" s="974"/>
      <c r="KYA36" s="974"/>
      <c r="KYB36" s="974"/>
      <c r="KYC36" s="974"/>
      <c r="KYD36" s="974"/>
      <c r="KYE36" s="974"/>
      <c r="KYF36" s="974"/>
      <c r="KYG36" s="974"/>
      <c r="KYH36" s="974"/>
      <c r="KYI36" s="974"/>
      <c r="KYJ36" s="974"/>
      <c r="KYK36" s="974"/>
      <c r="KYL36" s="974"/>
      <c r="KYM36" s="974"/>
      <c r="KYN36" s="974"/>
      <c r="KYO36" s="974"/>
      <c r="KYP36" s="974"/>
      <c r="KYQ36" s="974"/>
      <c r="KYR36" s="974"/>
      <c r="KYS36" s="974"/>
      <c r="KYT36" s="974"/>
      <c r="KYU36" s="974"/>
      <c r="KYV36" s="974"/>
      <c r="KYW36" s="974"/>
      <c r="KYX36" s="974"/>
      <c r="KYY36" s="974"/>
      <c r="KYZ36" s="974"/>
      <c r="KZA36" s="974"/>
      <c r="KZB36" s="974"/>
      <c r="KZC36" s="974"/>
      <c r="KZD36" s="974"/>
      <c r="KZE36" s="974"/>
      <c r="KZF36" s="974"/>
      <c r="KZG36" s="974"/>
      <c r="KZH36" s="974"/>
      <c r="KZI36" s="974"/>
      <c r="KZJ36" s="974"/>
      <c r="KZK36" s="974"/>
      <c r="KZL36" s="974"/>
      <c r="KZM36" s="974"/>
      <c r="KZN36" s="974"/>
      <c r="KZO36" s="974"/>
      <c r="KZP36" s="974"/>
      <c r="KZQ36" s="974"/>
      <c r="KZR36" s="974"/>
      <c r="KZS36" s="974"/>
      <c r="KZT36" s="974"/>
      <c r="KZU36" s="974"/>
      <c r="KZV36" s="974"/>
      <c r="KZW36" s="974"/>
      <c r="KZX36" s="974"/>
      <c r="KZY36" s="974"/>
      <c r="KZZ36" s="974"/>
      <c r="LAA36" s="974"/>
      <c r="LAB36" s="974"/>
      <c r="LAC36" s="974"/>
      <c r="LAD36" s="974"/>
      <c r="LAE36" s="974"/>
      <c r="LAF36" s="974"/>
      <c r="LAG36" s="974"/>
      <c r="LAH36" s="974"/>
      <c r="LAI36" s="974"/>
      <c r="LAJ36" s="974"/>
      <c r="LAK36" s="974"/>
      <c r="LAL36" s="974"/>
      <c r="LAM36" s="974"/>
      <c r="LAN36" s="974"/>
      <c r="LAO36" s="974"/>
      <c r="LAP36" s="974"/>
      <c r="LAQ36" s="974"/>
      <c r="LAR36" s="974"/>
      <c r="LAS36" s="974"/>
      <c r="LAT36" s="974"/>
      <c r="LAU36" s="974"/>
      <c r="LAV36" s="974"/>
      <c r="LAW36" s="974"/>
      <c r="LAX36" s="974"/>
      <c r="LAY36" s="974"/>
      <c r="LAZ36" s="974"/>
      <c r="LBA36" s="974"/>
      <c r="LBB36" s="974"/>
      <c r="LBC36" s="974"/>
      <c r="LBD36" s="974"/>
      <c r="LBE36" s="974"/>
      <c r="LBF36" s="974"/>
      <c r="LBG36" s="974"/>
      <c r="LBH36" s="974"/>
      <c r="LBI36" s="974"/>
      <c r="LBJ36" s="974"/>
      <c r="LBK36" s="974"/>
      <c r="LBL36" s="974"/>
      <c r="LBM36" s="974"/>
      <c r="LBN36" s="974"/>
      <c r="LBO36" s="974"/>
      <c r="LBP36" s="974"/>
      <c r="LBQ36" s="974"/>
      <c r="LBR36" s="974"/>
      <c r="LBS36" s="974"/>
      <c r="LBT36" s="974"/>
      <c r="LBU36" s="974"/>
      <c r="LBV36" s="974"/>
      <c r="LBW36" s="974"/>
      <c r="LBX36" s="974"/>
      <c r="LBY36" s="974"/>
      <c r="LBZ36" s="974"/>
      <c r="LCA36" s="974"/>
      <c r="LCB36" s="974"/>
      <c r="LCC36" s="974"/>
      <c r="LCD36" s="974"/>
      <c r="LCE36" s="974"/>
      <c r="LCF36" s="974"/>
      <c r="LCG36" s="974"/>
      <c r="LCH36" s="974"/>
      <c r="LCI36" s="974"/>
      <c r="LCJ36" s="974"/>
      <c r="LCK36" s="974"/>
      <c r="LCL36" s="974"/>
      <c r="LCM36" s="974"/>
      <c r="LCN36" s="974"/>
      <c r="LCO36" s="974"/>
      <c r="LCP36" s="974"/>
      <c r="LCQ36" s="974"/>
      <c r="LCR36" s="974"/>
      <c r="LCS36" s="974"/>
      <c r="LCT36" s="974"/>
      <c r="LCU36" s="974"/>
      <c r="LCV36" s="974"/>
      <c r="LCW36" s="974"/>
      <c r="LCX36" s="974"/>
      <c r="LCY36" s="974"/>
      <c r="LCZ36" s="974"/>
      <c r="LDA36" s="974"/>
      <c r="LDB36" s="974"/>
      <c r="LDC36" s="974"/>
      <c r="LDD36" s="974"/>
      <c r="LDE36" s="974"/>
      <c r="LDF36" s="974"/>
      <c r="LDG36" s="974"/>
      <c r="LDH36" s="974"/>
      <c r="LDI36" s="974"/>
      <c r="LDJ36" s="974"/>
      <c r="LDK36" s="974"/>
      <c r="LDL36" s="974"/>
      <c r="LDM36" s="974"/>
      <c r="LDN36" s="974"/>
      <c r="LDO36" s="974"/>
      <c r="LDP36" s="974"/>
      <c r="LDQ36" s="974"/>
      <c r="LDR36" s="974"/>
      <c r="LDS36" s="974"/>
      <c r="LDT36" s="974"/>
      <c r="LDU36" s="974"/>
      <c r="LDV36" s="974"/>
      <c r="LDW36" s="974"/>
      <c r="LDX36" s="974"/>
      <c r="LDY36" s="974"/>
      <c r="LDZ36" s="974"/>
      <c r="LEA36" s="974"/>
      <c r="LEB36" s="974"/>
      <c r="LEC36" s="974"/>
      <c r="LED36" s="974"/>
      <c r="LEE36" s="974"/>
      <c r="LEF36" s="974"/>
      <c r="LEG36" s="974"/>
      <c r="LEH36" s="974"/>
      <c r="LEI36" s="974"/>
      <c r="LEJ36" s="974"/>
      <c r="LEK36" s="974"/>
      <c r="LEL36" s="974"/>
      <c r="LEM36" s="974"/>
      <c r="LEN36" s="974"/>
      <c r="LEO36" s="974"/>
      <c r="LEP36" s="974"/>
      <c r="LEQ36" s="974"/>
      <c r="LER36" s="974"/>
      <c r="LES36" s="974"/>
      <c r="LET36" s="974"/>
      <c r="LEU36" s="974"/>
      <c r="LEV36" s="974"/>
      <c r="LEW36" s="974"/>
      <c r="LEX36" s="974"/>
      <c r="LEY36" s="974"/>
      <c r="LEZ36" s="974"/>
      <c r="LFA36" s="974"/>
      <c r="LFB36" s="974"/>
      <c r="LFC36" s="974"/>
      <c r="LFD36" s="974"/>
      <c r="LFE36" s="974"/>
      <c r="LFF36" s="974"/>
      <c r="LFG36" s="974"/>
      <c r="LFH36" s="974"/>
      <c r="LFI36" s="974"/>
      <c r="LFJ36" s="974"/>
      <c r="LFK36" s="974"/>
      <c r="LFL36" s="974"/>
      <c r="LFM36" s="974"/>
      <c r="LFN36" s="974"/>
      <c r="LFO36" s="974"/>
      <c r="LFP36" s="974"/>
      <c r="LFQ36" s="974"/>
      <c r="LFR36" s="974"/>
      <c r="LFS36" s="974"/>
      <c r="LFT36" s="974"/>
      <c r="LFU36" s="974"/>
      <c r="LFV36" s="974"/>
      <c r="LFW36" s="974"/>
      <c r="LFX36" s="974"/>
      <c r="LFY36" s="974"/>
      <c r="LFZ36" s="974"/>
      <c r="LGA36" s="974"/>
      <c r="LGB36" s="974"/>
      <c r="LGC36" s="974"/>
      <c r="LGD36" s="974"/>
      <c r="LGE36" s="974"/>
      <c r="LGF36" s="974"/>
      <c r="LGG36" s="974"/>
      <c r="LGH36" s="974"/>
      <c r="LGI36" s="974"/>
      <c r="LGJ36" s="974"/>
      <c r="LGK36" s="974"/>
      <c r="LGL36" s="974"/>
      <c r="LGM36" s="974"/>
      <c r="LGN36" s="974"/>
      <c r="LGO36" s="974"/>
      <c r="LGP36" s="974"/>
      <c r="LGQ36" s="974"/>
      <c r="LGR36" s="974"/>
      <c r="LGS36" s="974"/>
      <c r="LGT36" s="974"/>
      <c r="LGU36" s="974"/>
      <c r="LGV36" s="974"/>
      <c r="LGW36" s="974"/>
      <c r="LGX36" s="974"/>
      <c r="LGY36" s="974"/>
      <c r="LGZ36" s="974"/>
      <c r="LHA36" s="974"/>
      <c r="LHB36" s="974"/>
      <c r="LHC36" s="974"/>
      <c r="LHD36" s="974"/>
      <c r="LHE36" s="974"/>
      <c r="LHF36" s="974"/>
      <c r="LHG36" s="974"/>
      <c r="LHH36" s="974"/>
      <c r="LHI36" s="974"/>
      <c r="LHJ36" s="974"/>
      <c r="LHK36" s="974"/>
      <c r="LHL36" s="974"/>
      <c r="LHM36" s="974"/>
      <c r="LHN36" s="974"/>
      <c r="LHO36" s="974"/>
      <c r="LHP36" s="974"/>
      <c r="LHQ36" s="974"/>
      <c r="LHR36" s="974"/>
      <c r="LHS36" s="974"/>
      <c r="LHT36" s="974"/>
      <c r="LHU36" s="974"/>
      <c r="LHV36" s="974"/>
      <c r="LHW36" s="974"/>
      <c r="LHX36" s="974"/>
      <c r="LHY36" s="974"/>
      <c r="LHZ36" s="974"/>
      <c r="LIA36" s="974"/>
      <c r="LIB36" s="974"/>
      <c r="LIC36" s="974"/>
      <c r="LID36" s="974"/>
      <c r="LIE36" s="974"/>
      <c r="LIF36" s="974"/>
      <c r="LIG36" s="974"/>
      <c r="LIH36" s="974"/>
      <c r="LII36" s="974"/>
      <c r="LIJ36" s="974"/>
      <c r="LIK36" s="974"/>
      <c r="LIL36" s="974"/>
      <c r="LIM36" s="974"/>
      <c r="LIN36" s="974"/>
      <c r="LIO36" s="974"/>
      <c r="LIP36" s="974"/>
      <c r="LIQ36" s="974"/>
      <c r="LIR36" s="974"/>
      <c r="LIS36" s="974"/>
      <c r="LIT36" s="974"/>
      <c r="LIU36" s="974"/>
      <c r="LIV36" s="974"/>
      <c r="LIW36" s="974"/>
      <c r="LIX36" s="974"/>
      <c r="LIY36" s="974"/>
      <c r="LIZ36" s="974"/>
      <c r="LJA36" s="974"/>
      <c r="LJB36" s="974"/>
      <c r="LJC36" s="974"/>
      <c r="LJD36" s="974"/>
      <c r="LJE36" s="974"/>
      <c r="LJF36" s="974"/>
      <c r="LJG36" s="974"/>
      <c r="LJH36" s="974"/>
      <c r="LJI36" s="974"/>
      <c r="LJJ36" s="974"/>
      <c r="LJK36" s="974"/>
      <c r="LJL36" s="974"/>
      <c r="LJM36" s="974"/>
      <c r="LJN36" s="974"/>
      <c r="LJO36" s="974"/>
      <c r="LJP36" s="974"/>
      <c r="LJQ36" s="974"/>
      <c r="LJR36" s="974"/>
      <c r="LJS36" s="974"/>
      <c r="LJT36" s="974"/>
      <c r="LJU36" s="974"/>
      <c r="LJV36" s="974"/>
      <c r="LJW36" s="974"/>
      <c r="LJX36" s="974"/>
      <c r="LJY36" s="974"/>
      <c r="LJZ36" s="974"/>
      <c r="LKA36" s="974"/>
      <c r="LKB36" s="974"/>
      <c r="LKC36" s="974"/>
      <c r="LKD36" s="974"/>
      <c r="LKE36" s="974"/>
      <c r="LKF36" s="974"/>
      <c r="LKG36" s="974"/>
      <c r="LKH36" s="974"/>
      <c r="LKI36" s="974"/>
      <c r="LKJ36" s="974"/>
      <c r="LKK36" s="974"/>
      <c r="LKL36" s="974"/>
      <c r="LKM36" s="974"/>
      <c r="LKN36" s="974"/>
      <c r="LKO36" s="974"/>
      <c r="LKP36" s="974"/>
      <c r="LKQ36" s="974"/>
      <c r="LKR36" s="974"/>
      <c r="LKS36" s="974"/>
      <c r="LKT36" s="974"/>
      <c r="LKU36" s="974"/>
      <c r="LKV36" s="974"/>
      <c r="LKW36" s="974"/>
      <c r="LKX36" s="974"/>
      <c r="LKY36" s="974"/>
      <c r="LKZ36" s="974"/>
      <c r="LLA36" s="974"/>
      <c r="LLB36" s="974"/>
      <c r="LLC36" s="974"/>
      <c r="LLD36" s="974"/>
      <c r="LLE36" s="974"/>
      <c r="LLF36" s="974"/>
      <c r="LLG36" s="974"/>
      <c r="LLH36" s="974"/>
      <c r="LLI36" s="974"/>
      <c r="LLJ36" s="974"/>
      <c r="LLK36" s="974"/>
      <c r="LLL36" s="974"/>
      <c r="LLM36" s="974"/>
      <c r="LLN36" s="974"/>
      <c r="LLO36" s="974"/>
      <c r="LLP36" s="974"/>
      <c r="LLQ36" s="974"/>
      <c r="LLR36" s="974"/>
      <c r="LLS36" s="974"/>
      <c r="LLT36" s="974"/>
      <c r="LLU36" s="974"/>
      <c r="LLV36" s="974"/>
      <c r="LLW36" s="974"/>
      <c r="LLX36" s="974"/>
      <c r="LLY36" s="974"/>
      <c r="LLZ36" s="974"/>
      <c r="LMA36" s="974"/>
      <c r="LMB36" s="974"/>
      <c r="LMC36" s="974"/>
      <c r="LMD36" s="974"/>
      <c r="LME36" s="974"/>
      <c r="LMF36" s="974"/>
      <c r="LMG36" s="974"/>
      <c r="LMH36" s="974"/>
      <c r="LMI36" s="974"/>
      <c r="LMJ36" s="974"/>
      <c r="LMK36" s="974"/>
      <c r="LML36" s="974"/>
      <c r="LMM36" s="974"/>
      <c r="LMN36" s="974"/>
      <c r="LMO36" s="974"/>
      <c r="LMP36" s="974"/>
      <c r="LMQ36" s="974"/>
      <c r="LMR36" s="974"/>
      <c r="LMS36" s="974"/>
      <c r="LMT36" s="974"/>
      <c r="LMU36" s="974"/>
      <c r="LMV36" s="974"/>
      <c r="LMW36" s="974"/>
      <c r="LMX36" s="974"/>
      <c r="LMY36" s="974"/>
      <c r="LMZ36" s="974"/>
      <c r="LNA36" s="974"/>
      <c r="LNB36" s="974"/>
      <c r="LNC36" s="974"/>
      <c r="LND36" s="974"/>
      <c r="LNE36" s="974"/>
      <c r="LNF36" s="974"/>
      <c r="LNG36" s="974"/>
      <c r="LNH36" s="974"/>
      <c r="LNI36" s="974"/>
      <c r="LNJ36" s="974"/>
      <c r="LNK36" s="974"/>
      <c r="LNL36" s="974"/>
      <c r="LNM36" s="974"/>
      <c r="LNN36" s="974"/>
      <c r="LNO36" s="974"/>
      <c r="LNP36" s="974"/>
      <c r="LNQ36" s="974"/>
      <c r="LNR36" s="974"/>
      <c r="LNS36" s="974"/>
      <c r="LNT36" s="974"/>
      <c r="LNU36" s="974"/>
      <c r="LNV36" s="974"/>
      <c r="LNW36" s="974"/>
      <c r="LNX36" s="974"/>
      <c r="LNY36" s="974"/>
      <c r="LNZ36" s="974"/>
      <c r="LOA36" s="974"/>
      <c r="LOB36" s="974"/>
      <c r="LOC36" s="974"/>
      <c r="LOD36" s="974"/>
      <c r="LOE36" s="974"/>
      <c r="LOF36" s="974"/>
      <c r="LOG36" s="974"/>
      <c r="LOH36" s="974"/>
      <c r="LOI36" s="974"/>
      <c r="LOJ36" s="974"/>
      <c r="LOK36" s="974"/>
      <c r="LOL36" s="974"/>
      <c r="LOM36" s="974"/>
      <c r="LON36" s="974"/>
      <c r="LOO36" s="974"/>
      <c r="LOP36" s="974"/>
      <c r="LOQ36" s="974"/>
      <c r="LOR36" s="974"/>
      <c r="LOS36" s="974"/>
      <c r="LOT36" s="974"/>
      <c r="LOU36" s="974"/>
      <c r="LOV36" s="974"/>
      <c r="LOW36" s="974"/>
      <c r="LOX36" s="974"/>
      <c r="LOY36" s="974"/>
      <c r="LOZ36" s="974"/>
      <c r="LPA36" s="974"/>
      <c r="LPB36" s="974"/>
      <c r="LPC36" s="974"/>
      <c r="LPD36" s="974"/>
      <c r="LPE36" s="974"/>
      <c r="LPF36" s="974"/>
      <c r="LPG36" s="974"/>
      <c r="LPH36" s="974"/>
      <c r="LPI36" s="974"/>
      <c r="LPJ36" s="974"/>
      <c r="LPK36" s="974"/>
      <c r="LPL36" s="974"/>
      <c r="LPM36" s="974"/>
      <c r="LPN36" s="974"/>
      <c r="LPO36" s="974"/>
      <c r="LPP36" s="974"/>
      <c r="LPQ36" s="974"/>
      <c r="LPR36" s="974"/>
      <c r="LPS36" s="974"/>
      <c r="LPT36" s="974"/>
      <c r="LPU36" s="974"/>
      <c r="LPV36" s="974"/>
      <c r="LPW36" s="974"/>
      <c r="LPX36" s="974"/>
      <c r="LPY36" s="974"/>
      <c r="LPZ36" s="974"/>
      <c r="LQA36" s="974"/>
      <c r="LQB36" s="974"/>
      <c r="LQC36" s="974"/>
      <c r="LQD36" s="974"/>
      <c r="LQE36" s="974"/>
      <c r="LQF36" s="974"/>
      <c r="LQG36" s="974"/>
      <c r="LQH36" s="974"/>
      <c r="LQI36" s="974"/>
      <c r="LQJ36" s="974"/>
      <c r="LQK36" s="974"/>
      <c r="LQL36" s="974"/>
      <c r="LQM36" s="974"/>
      <c r="LQN36" s="974"/>
      <c r="LQO36" s="974"/>
      <c r="LQP36" s="974"/>
      <c r="LQQ36" s="974"/>
      <c r="LQR36" s="974"/>
      <c r="LQS36" s="974"/>
      <c r="LQT36" s="974"/>
      <c r="LQU36" s="974"/>
      <c r="LQV36" s="974"/>
      <c r="LQW36" s="974"/>
      <c r="LQX36" s="974"/>
      <c r="LQY36" s="974"/>
      <c r="LQZ36" s="974"/>
      <c r="LRA36" s="974"/>
      <c r="LRB36" s="974"/>
      <c r="LRC36" s="974"/>
      <c r="LRD36" s="974"/>
      <c r="LRE36" s="974"/>
      <c r="LRF36" s="974"/>
      <c r="LRG36" s="974"/>
      <c r="LRH36" s="974"/>
      <c r="LRI36" s="974"/>
      <c r="LRJ36" s="974"/>
      <c r="LRK36" s="974"/>
      <c r="LRL36" s="974"/>
      <c r="LRM36" s="974"/>
      <c r="LRN36" s="974"/>
      <c r="LRO36" s="974"/>
      <c r="LRP36" s="974"/>
      <c r="LRQ36" s="974"/>
      <c r="LRR36" s="974"/>
      <c r="LRS36" s="974"/>
      <c r="LRT36" s="974"/>
      <c r="LRU36" s="974"/>
      <c r="LRV36" s="974"/>
      <c r="LRW36" s="974"/>
      <c r="LRX36" s="974"/>
      <c r="LRY36" s="974"/>
      <c r="LRZ36" s="974"/>
      <c r="LSA36" s="974"/>
      <c r="LSB36" s="974"/>
      <c r="LSC36" s="974"/>
      <c r="LSD36" s="974"/>
      <c r="LSE36" s="974"/>
      <c r="LSF36" s="974"/>
      <c r="LSG36" s="974"/>
      <c r="LSH36" s="974"/>
      <c r="LSI36" s="974"/>
      <c r="LSJ36" s="974"/>
      <c r="LSK36" s="974"/>
      <c r="LSL36" s="974"/>
      <c r="LSM36" s="974"/>
      <c r="LSN36" s="974"/>
      <c r="LSO36" s="974"/>
      <c r="LSP36" s="974"/>
      <c r="LSQ36" s="974"/>
      <c r="LSR36" s="974"/>
      <c r="LSS36" s="974"/>
      <c r="LST36" s="974"/>
      <c r="LSU36" s="974"/>
      <c r="LSV36" s="974"/>
      <c r="LSW36" s="974"/>
      <c r="LSX36" s="974"/>
      <c r="LSY36" s="974"/>
      <c r="LSZ36" s="974"/>
      <c r="LTA36" s="974"/>
      <c r="LTB36" s="974"/>
      <c r="LTC36" s="974"/>
      <c r="LTD36" s="974"/>
      <c r="LTE36" s="974"/>
      <c r="LTF36" s="974"/>
      <c r="LTG36" s="974"/>
      <c r="LTH36" s="974"/>
      <c r="LTI36" s="974"/>
      <c r="LTJ36" s="974"/>
      <c r="LTK36" s="974"/>
      <c r="LTL36" s="974"/>
      <c r="LTM36" s="974"/>
      <c r="LTN36" s="974"/>
      <c r="LTO36" s="974"/>
      <c r="LTP36" s="974"/>
      <c r="LTQ36" s="974"/>
      <c r="LTR36" s="974"/>
      <c r="LTS36" s="974"/>
      <c r="LTT36" s="974"/>
      <c r="LTU36" s="974"/>
      <c r="LTV36" s="974"/>
      <c r="LTW36" s="974"/>
      <c r="LTX36" s="974"/>
      <c r="LTY36" s="974"/>
      <c r="LTZ36" s="974"/>
      <c r="LUA36" s="974"/>
      <c r="LUB36" s="974"/>
      <c r="LUC36" s="974"/>
      <c r="LUD36" s="974"/>
      <c r="LUE36" s="974"/>
      <c r="LUF36" s="974"/>
      <c r="LUG36" s="974"/>
      <c r="LUH36" s="974"/>
      <c r="LUI36" s="974"/>
      <c r="LUJ36" s="974"/>
      <c r="LUK36" s="974"/>
      <c r="LUL36" s="974"/>
      <c r="LUM36" s="974"/>
      <c r="LUN36" s="974"/>
      <c r="LUO36" s="974"/>
      <c r="LUP36" s="974"/>
      <c r="LUQ36" s="974"/>
      <c r="LUR36" s="974"/>
      <c r="LUS36" s="974"/>
      <c r="LUT36" s="974"/>
      <c r="LUU36" s="974"/>
      <c r="LUV36" s="974"/>
      <c r="LUW36" s="974"/>
      <c r="LUX36" s="974"/>
      <c r="LUY36" s="974"/>
      <c r="LUZ36" s="974"/>
      <c r="LVA36" s="974"/>
      <c r="LVB36" s="974"/>
      <c r="LVC36" s="974"/>
      <c r="LVD36" s="974"/>
      <c r="LVE36" s="974"/>
      <c r="LVF36" s="974"/>
      <c r="LVG36" s="974"/>
      <c r="LVH36" s="974"/>
      <c r="LVI36" s="974"/>
      <c r="LVJ36" s="974"/>
      <c r="LVK36" s="974"/>
      <c r="LVL36" s="974"/>
      <c r="LVM36" s="974"/>
      <c r="LVN36" s="974"/>
      <c r="LVO36" s="974"/>
      <c r="LVP36" s="974"/>
      <c r="LVQ36" s="974"/>
      <c r="LVR36" s="974"/>
      <c r="LVS36" s="974"/>
      <c r="LVT36" s="974"/>
      <c r="LVU36" s="974"/>
      <c r="LVV36" s="974"/>
      <c r="LVW36" s="974"/>
      <c r="LVX36" s="974"/>
      <c r="LVY36" s="974"/>
      <c r="LVZ36" s="974"/>
      <c r="LWA36" s="974"/>
      <c r="LWB36" s="974"/>
      <c r="LWC36" s="974"/>
      <c r="LWD36" s="974"/>
      <c r="LWE36" s="974"/>
      <c r="LWF36" s="974"/>
      <c r="LWG36" s="974"/>
      <c r="LWH36" s="974"/>
      <c r="LWI36" s="974"/>
      <c r="LWJ36" s="974"/>
      <c r="LWK36" s="974"/>
      <c r="LWL36" s="974"/>
      <c r="LWM36" s="974"/>
      <c r="LWN36" s="974"/>
      <c r="LWO36" s="974"/>
      <c r="LWP36" s="974"/>
      <c r="LWQ36" s="974"/>
      <c r="LWR36" s="974"/>
      <c r="LWS36" s="974"/>
      <c r="LWT36" s="974"/>
      <c r="LWU36" s="974"/>
      <c r="LWV36" s="974"/>
      <c r="LWW36" s="974"/>
      <c r="LWX36" s="974"/>
      <c r="LWY36" s="974"/>
      <c r="LWZ36" s="974"/>
      <c r="LXA36" s="974"/>
      <c r="LXB36" s="974"/>
      <c r="LXC36" s="974"/>
      <c r="LXD36" s="974"/>
      <c r="LXE36" s="974"/>
      <c r="LXF36" s="974"/>
      <c r="LXG36" s="974"/>
      <c r="LXH36" s="974"/>
      <c r="LXI36" s="974"/>
      <c r="LXJ36" s="974"/>
      <c r="LXK36" s="974"/>
      <c r="LXL36" s="974"/>
      <c r="LXM36" s="974"/>
      <c r="LXN36" s="974"/>
      <c r="LXO36" s="974"/>
      <c r="LXP36" s="974"/>
      <c r="LXQ36" s="974"/>
      <c r="LXR36" s="974"/>
      <c r="LXS36" s="974"/>
      <c r="LXT36" s="974"/>
      <c r="LXU36" s="974"/>
      <c r="LXV36" s="974"/>
      <c r="LXW36" s="974"/>
      <c r="LXX36" s="974"/>
      <c r="LXY36" s="974"/>
      <c r="LXZ36" s="974"/>
      <c r="LYA36" s="974"/>
      <c r="LYB36" s="974"/>
      <c r="LYC36" s="974"/>
      <c r="LYD36" s="974"/>
      <c r="LYE36" s="974"/>
      <c r="LYF36" s="974"/>
      <c r="LYG36" s="974"/>
      <c r="LYH36" s="974"/>
      <c r="LYI36" s="974"/>
      <c r="LYJ36" s="974"/>
      <c r="LYK36" s="974"/>
      <c r="LYL36" s="974"/>
      <c r="LYM36" s="974"/>
      <c r="LYN36" s="974"/>
      <c r="LYO36" s="974"/>
      <c r="LYP36" s="974"/>
      <c r="LYQ36" s="974"/>
      <c r="LYR36" s="974"/>
      <c r="LYS36" s="974"/>
      <c r="LYT36" s="974"/>
      <c r="LYU36" s="974"/>
      <c r="LYV36" s="974"/>
      <c r="LYW36" s="974"/>
      <c r="LYX36" s="974"/>
      <c r="LYY36" s="974"/>
      <c r="LYZ36" s="974"/>
      <c r="LZA36" s="974"/>
      <c r="LZB36" s="974"/>
      <c r="LZC36" s="974"/>
      <c r="LZD36" s="974"/>
      <c r="LZE36" s="974"/>
      <c r="LZF36" s="974"/>
      <c r="LZG36" s="974"/>
      <c r="LZH36" s="974"/>
      <c r="LZI36" s="974"/>
      <c r="LZJ36" s="974"/>
      <c r="LZK36" s="974"/>
      <c r="LZL36" s="974"/>
      <c r="LZM36" s="974"/>
      <c r="LZN36" s="974"/>
      <c r="LZO36" s="974"/>
      <c r="LZP36" s="974"/>
      <c r="LZQ36" s="974"/>
      <c r="LZR36" s="974"/>
      <c r="LZS36" s="974"/>
      <c r="LZT36" s="974"/>
      <c r="LZU36" s="974"/>
      <c r="LZV36" s="974"/>
      <c r="LZW36" s="974"/>
      <c r="LZX36" s="974"/>
      <c r="LZY36" s="974"/>
      <c r="LZZ36" s="974"/>
      <c r="MAA36" s="974"/>
      <c r="MAB36" s="974"/>
      <c r="MAC36" s="974"/>
      <c r="MAD36" s="974"/>
      <c r="MAE36" s="974"/>
      <c r="MAF36" s="974"/>
      <c r="MAG36" s="974"/>
      <c r="MAH36" s="974"/>
      <c r="MAI36" s="974"/>
      <c r="MAJ36" s="974"/>
      <c r="MAK36" s="974"/>
      <c r="MAL36" s="974"/>
      <c r="MAM36" s="974"/>
      <c r="MAN36" s="974"/>
      <c r="MAO36" s="974"/>
      <c r="MAP36" s="974"/>
      <c r="MAQ36" s="974"/>
      <c r="MAR36" s="974"/>
      <c r="MAS36" s="974"/>
      <c r="MAT36" s="974"/>
      <c r="MAU36" s="974"/>
      <c r="MAV36" s="974"/>
      <c r="MAW36" s="974"/>
      <c r="MAX36" s="974"/>
      <c r="MAY36" s="974"/>
      <c r="MAZ36" s="974"/>
      <c r="MBA36" s="974"/>
      <c r="MBB36" s="974"/>
      <c r="MBC36" s="974"/>
      <c r="MBD36" s="974"/>
      <c r="MBE36" s="974"/>
      <c r="MBF36" s="974"/>
      <c r="MBG36" s="974"/>
      <c r="MBH36" s="974"/>
      <c r="MBI36" s="974"/>
      <c r="MBJ36" s="974"/>
      <c r="MBK36" s="974"/>
      <c r="MBL36" s="974"/>
      <c r="MBM36" s="974"/>
      <c r="MBN36" s="974"/>
      <c r="MBO36" s="974"/>
      <c r="MBP36" s="974"/>
      <c r="MBQ36" s="974"/>
      <c r="MBR36" s="974"/>
      <c r="MBS36" s="974"/>
      <c r="MBT36" s="974"/>
      <c r="MBU36" s="974"/>
      <c r="MBV36" s="974"/>
      <c r="MBW36" s="974"/>
      <c r="MBX36" s="974"/>
      <c r="MBY36" s="974"/>
      <c r="MBZ36" s="974"/>
      <c r="MCA36" s="974"/>
      <c r="MCB36" s="974"/>
      <c r="MCC36" s="974"/>
      <c r="MCD36" s="974"/>
      <c r="MCE36" s="974"/>
      <c r="MCF36" s="974"/>
      <c r="MCG36" s="974"/>
      <c r="MCH36" s="974"/>
      <c r="MCI36" s="974"/>
      <c r="MCJ36" s="974"/>
      <c r="MCK36" s="974"/>
      <c r="MCL36" s="974"/>
      <c r="MCM36" s="974"/>
      <c r="MCN36" s="974"/>
      <c r="MCO36" s="974"/>
      <c r="MCP36" s="974"/>
      <c r="MCQ36" s="974"/>
      <c r="MCR36" s="974"/>
      <c r="MCS36" s="974"/>
      <c r="MCT36" s="974"/>
      <c r="MCU36" s="974"/>
      <c r="MCV36" s="974"/>
      <c r="MCW36" s="974"/>
      <c r="MCX36" s="974"/>
      <c r="MCY36" s="974"/>
      <c r="MCZ36" s="974"/>
      <c r="MDA36" s="974"/>
      <c r="MDB36" s="974"/>
      <c r="MDC36" s="974"/>
      <c r="MDD36" s="974"/>
      <c r="MDE36" s="974"/>
      <c r="MDF36" s="974"/>
      <c r="MDG36" s="974"/>
      <c r="MDH36" s="974"/>
      <c r="MDI36" s="974"/>
      <c r="MDJ36" s="974"/>
      <c r="MDK36" s="974"/>
      <c r="MDL36" s="974"/>
      <c r="MDM36" s="974"/>
      <c r="MDN36" s="974"/>
      <c r="MDO36" s="974"/>
      <c r="MDP36" s="974"/>
      <c r="MDQ36" s="974"/>
      <c r="MDR36" s="974"/>
      <c r="MDS36" s="974"/>
      <c r="MDT36" s="974"/>
      <c r="MDU36" s="974"/>
      <c r="MDV36" s="974"/>
      <c r="MDW36" s="974"/>
      <c r="MDX36" s="974"/>
      <c r="MDY36" s="974"/>
      <c r="MDZ36" s="974"/>
      <c r="MEA36" s="974"/>
      <c r="MEB36" s="974"/>
      <c r="MEC36" s="974"/>
      <c r="MED36" s="974"/>
      <c r="MEE36" s="974"/>
      <c r="MEF36" s="974"/>
      <c r="MEG36" s="974"/>
      <c r="MEH36" s="974"/>
      <c r="MEI36" s="974"/>
      <c r="MEJ36" s="974"/>
      <c r="MEK36" s="974"/>
      <c r="MEL36" s="974"/>
      <c r="MEM36" s="974"/>
      <c r="MEN36" s="974"/>
      <c r="MEO36" s="974"/>
      <c r="MEP36" s="974"/>
      <c r="MEQ36" s="974"/>
      <c r="MER36" s="974"/>
      <c r="MES36" s="974"/>
      <c r="MET36" s="974"/>
      <c r="MEU36" s="974"/>
      <c r="MEV36" s="974"/>
      <c r="MEW36" s="974"/>
      <c r="MEX36" s="974"/>
      <c r="MEY36" s="974"/>
      <c r="MEZ36" s="974"/>
      <c r="MFA36" s="974"/>
      <c r="MFB36" s="974"/>
      <c r="MFC36" s="974"/>
      <c r="MFD36" s="974"/>
      <c r="MFE36" s="974"/>
      <c r="MFF36" s="974"/>
      <c r="MFG36" s="974"/>
      <c r="MFH36" s="974"/>
      <c r="MFI36" s="974"/>
      <c r="MFJ36" s="974"/>
      <c r="MFK36" s="974"/>
      <c r="MFL36" s="974"/>
      <c r="MFM36" s="974"/>
      <c r="MFN36" s="974"/>
      <c r="MFO36" s="974"/>
      <c r="MFP36" s="974"/>
      <c r="MFQ36" s="974"/>
      <c r="MFR36" s="974"/>
      <c r="MFS36" s="974"/>
      <c r="MFT36" s="974"/>
      <c r="MFU36" s="974"/>
      <c r="MFV36" s="974"/>
      <c r="MFW36" s="974"/>
      <c r="MFX36" s="974"/>
      <c r="MFY36" s="974"/>
      <c r="MFZ36" s="974"/>
      <c r="MGA36" s="974"/>
      <c r="MGB36" s="974"/>
      <c r="MGC36" s="974"/>
      <c r="MGD36" s="974"/>
      <c r="MGE36" s="974"/>
      <c r="MGF36" s="974"/>
      <c r="MGG36" s="974"/>
      <c r="MGH36" s="974"/>
      <c r="MGI36" s="974"/>
      <c r="MGJ36" s="974"/>
      <c r="MGK36" s="974"/>
      <c r="MGL36" s="974"/>
      <c r="MGM36" s="974"/>
      <c r="MGN36" s="974"/>
      <c r="MGO36" s="974"/>
      <c r="MGP36" s="974"/>
      <c r="MGQ36" s="974"/>
      <c r="MGR36" s="974"/>
      <c r="MGS36" s="974"/>
      <c r="MGT36" s="974"/>
      <c r="MGU36" s="974"/>
      <c r="MGV36" s="974"/>
      <c r="MGW36" s="974"/>
      <c r="MGX36" s="974"/>
      <c r="MGY36" s="974"/>
      <c r="MGZ36" s="974"/>
      <c r="MHA36" s="974"/>
      <c r="MHB36" s="974"/>
      <c r="MHC36" s="974"/>
      <c r="MHD36" s="974"/>
      <c r="MHE36" s="974"/>
      <c r="MHF36" s="974"/>
      <c r="MHG36" s="974"/>
      <c r="MHH36" s="974"/>
      <c r="MHI36" s="974"/>
      <c r="MHJ36" s="974"/>
      <c r="MHK36" s="974"/>
      <c r="MHL36" s="974"/>
      <c r="MHM36" s="974"/>
      <c r="MHN36" s="974"/>
      <c r="MHO36" s="974"/>
      <c r="MHP36" s="974"/>
      <c r="MHQ36" s="974"/>
      <c r="MHR36" s="974"/>
      <c r="MHS36" s="974"/>
      <c r="MHT36" s="974"/>
      <c r="MHU36" s="974"/>
      <c r="MHV36" s="974"/>
      <c r="MHW36" s="974"/>
      <c r="MHX36" s="974"/>
      <c r="MHY36" s="974"/>
      <c r="MHZ36" s="974"/>
      <c r="MIA36" s="974"/>
      <c r="MIB36" s="974"/>
      <c r="MIC36" s="974"/>
      <c r="MID36" s="974"/>
      <c r="MIE36" s="974"/>
      <c r="MIF36" s="974"/>
      <c r="MIG36" s="974"/>
      <c r="MIH36" s="974"/>
      <c r="MII36" s="974"/>
      <c r="MIJ36" s="974"/>
      <c r="MIK36" s="974"/>
      <c r="MIL36" s="974"/>
      <c r="MIM36" s="974"/>
      <c r="MIN36" s="974"/>
      <c r="MIO36" s="974"/>
      <c r="MIP36" s="974"/>
      <c r="MIQ36" s="974"/>
      <c r="MIR36" s="974"/>
      <c r="MIS36" s="974"/>
      <c r="MIT36" s="974"/>
      <c r="MIU36" s="974"/>
      <c r="MIV36" s="974"/>
      <c r="MIW36" s="974"/>
      <c r="MIX36" s="974"/>
      <c r="MIY36" s="974"/>
      <c r="MIZ36" s="974"/>
      <c r="MJA36" s="974"/>
      <c r="MJB36" s="974"/>
      <c r="MJC36" s="974"/>
      <c r="MJD36" s="974"/>
      <c r="MJE36" s="974"/>
      <c r="MJF36" s="974"/>
      <c r="MJG36" s="974"/>
      <c r="MJH36" s="974"/>
      <c r="MJI36" s="974"/>
      <c r="MJJ36" s="974"/>
      <c r="MJK36" s="974"/>
      <c r="MJL36" s="974"/>
      <c r="MJM36" s="974"/>
      <c r="MJN36" s="974"/>
      <c r="MJO36" s="974"/>
      <c r="MJP36" s="974"/>
      <c r="MJQ36" s="974"/>
      <c r="MJR36" s="974"/>
      <c r="MJS36" s="974"/>
      <c r="MJT36" s="974"/>
      <c r="MJU36" s="974"/>
      <c r="MJV36" s="974"/>
      <c r="MJW36" s="974"/>
      <c r="MJX36" s="974"/>
      <c r="MJY36" s="974"/>
      <c r="MJZ36" s="974"/>
      <c r="MKA36" s="974"/>
      <c r="MKB36" s="974"/>
      <c r="MKC36" s="974"/>
      <c r="MKD36" s="974"/>
      <c r="MKE36" s="974"/>
      <c r="MKF36" s="974"/>
      <c r="MKG36" s="974"/>
      <c r="MKH36" s="974"/>
      <c r="MKI36" s="974"/>
      <c r="MKJ36" s="974"/>
      <c r="MKK36" s="974"/>
      <c r="MKL36" s="974"/>
      <c r="MKM36" s="974"/>
      <c r="MKN36" s="974"/>
      <c r="MKO36" s="974"/>
      <c r="MKP36" s="974"/>
      <c r="MKQ36" s="974"/>
      <c r="MKR36" s="974"/>
      <c r="MKS36" s="974"/>
      <c r="MKT36" s="974"/>
      <c r="MKU36" s="974"/>
      <c r="MKV36" s="974"/>
      <c r="MKW36" s="974"/>
      <c r="MKX36" s="974"/>
      <c r="MKY36" s="974"/>
      <c r="MKZ36" s="974"/>
      <c r="MLA36" s="974"/>
      <c r="MLB36" s="974"/>
      <c r="MLC36" s="974"/>
      <c r="MLD36" s="974"/>
      <c r="MLE36" s="974"/>
      <c r="MLF36" s="974"/>
      <c r="MLG36" s="974"/>
      <c r="MLH36" s="974"/>
      <c r="MLI36" s="974"/>
      <c r="MLJ36" s="974"/>
      <c r="MLK36" s="974"/>
      <c r="MLL36" s="974"/>
      <c r="MLM36" s="974"/>
      <c r="MLN36" s="974"/>
      <c r="MLO36" s="974"/>
      <c r="MLP36" s="974"/>
      <c r="MLQ36" s="974"/>
      <c r="MLR36" s="974"/>
      <c r="MLS36" s="974"/>
      <c r="MLT36" s="974"/>
      <c r="MLU36" s="974"/>
      <c r="MLV36" s="974"/>
      <c r="MLW36" s="974"/>
      <c r="MLX36" s="974"/>
      <c r="MLY36" s="974"/>
      <c r="MLZ36" s="974"/>
      <c r="MMA36" s="974"/>
      <c r="MMB36" s="974"/>
      <c r="MMC36" s="974"/>
      <c r="MMD36" s="974"/>
      <c r="MME36" s="974"/>
      <c r="MMF36" s="974"/>
      <c r="MMG36" s="974"/>
      <c r="MMH36" s="974"/>
      <c r="MMI36" s="974"/>
      <c r="MMJ36" s="974"/>
      <c r="MMK36" s="974"/>
      <c r="MML36" s="974"/>
      <c r="MMM36" s="974"/>
      <c r="MMN36" s="974"/>
      <c r="MMO36" s="974"/>
      <c r="MMP36" s="974"/>
      <c r="MMQ36" s="974"/>
      <c r="MMR36" s="974"/>
      <c r="MMS36" s="974"/>
      <c r="MMT36" s="974"/>
      <c r="MMU36" s="974"/>
      <c r="MMV36" s="974"/>
      <c r="MMW36" s="974"/>
      <c r="MMX36" s="974"/>
      <c r="MMY36" s="974"/>
      <c r="MMZ36" s="974"/>
      <c r="MNA36" s="974"/>
      <c r="MNB36" s="974"/>
      <c r="MNC36" s="974"/>
      <c r="MND36" s="974"/>
      <c r="MNE36" s="974"/>
      <c r="MNF36" s="974"/>
      <c r="MNG36" s="974"/>
      <c r="MNH36" s="974"/>
      <c r="MNI36" s="974"/>
      <c r="MNJ36" s="974"/>
      <c r="MNK36" s="974"/>
      <c r="MNL36" s="974"/>
      <c r="MNM36" s="974"/>
      <c r="MNN36" s="974"/>
      <c r="MNO36" s="974"/>
      <c r="MNP36" s="974"/>
      <c r="MNQ36" s="974"/>
      <c r="MNR36" s="974"/>
      <c r="MNS36" s="974"/>
      <c r="MNT36" s="974"/>
      <c r="MNU36" s="974"/>
      <c r="MNV36" s="974"/>
      <c r="MNW36" s="974"/>
      <c r="MNX36" s="974"/>
      <c r="MNY36" s="974"/>
      <c r="MNZ36" s="974"/>
      <c r="MOA36" s="974"/>
      <c r="MOB36" s="974"/>
      <c r="MOC36" s="974"/>
      <c r="MOD36" s="974"/>
      <c r="MOE36" s="974"/>
      <c r="MOF36" s="974"/>
      <c r="MOG36" s="974"/>
      <c r="MOH36" s="974"/>
      <c r="MOI36" s="974"/>
      <c r="MOJ36" s="974"/>
      <c r="MOK36" s="974"/>
      <c r="MOL36" s="974"/>
      <c r="MOM36" s="974"/>
      <c r="MON36" s="974"/>
      <c r="MOO36" s="974"/>
      <c r="MOP36" s="974"/>
      <c r="MOQ36" s="974"/>
      <c r="MOR36" s="974"/>
      <c r="MOS36" s="974"/>
      <c r="MOT36" s="974"/>
      <c r="MOU36" s="974"/>
      <c r="MOV36" s="974"/>
      <c r="MOW36" s="974"/>
      <c r="MOX36" s="974"/>
      <c r="MOY36" s="974"/>
      <c r="MOZ36" s="974"/>
      <c r="MPA36" s="974"/>
      <c r="MPB36" s="974"/>
      <c r="MPC36" s="974"/>
      <c r="MPD36" s="974"/>
      <c r="MPE36" s="974"/>
      <c r="MPF36" s="974"/>
      <c r="MPG36" s="974"/>
      <c r="MPH36" s="974"/>
      <c r="MPI36" s="974"/>
      <c r="MPJ36" s="974"/>
      <c r="MPK36" s="974"/>
      <c r="MPL36" s="974"/>
      <c r="MPM36" s="974"/>
      <c r="MPN36" s="974"/>
      <c r="MPO36" s="974"/>
      <c r="MPP36" s="974"/>
      <c r="MPQ36" s="974"/>
      <c r="MPR36" s="974"/>
      <c r="MPS36" s="974"/>
      <c r="MPT36" s="974"/>
      <c r="MPU36" s="974"/>
      <c r="MPV36" s="974"/>
      <c r="MPW36" s="974"/>
      <c r="MPX36" s="974"/>
      <c r="MPY36" s="974"/>
      <c r="MPZ36" s="974"/>
      <c r="MQA36" s="974"/>
      <c r="MQB36" s="974"/>
      <c r="MQC36" s="974"/>
      <c r="MQD36" s="974"/>
      <c r="MQE36" s="974"/>
      <c r="MQF36" s="974"/>
      <c r="MQG36" s="974"/>
      <c r="MQH36" s="974"/>
      <c r="MQI36" s="974"/>
      <c r="MQJ36" s="974"/>
      <c r="MQK36" s="974"/>
      <c r="MQL36" s="974"/>
      <c r="MQM36" s="974"/>
      <c r="MQN36" s="974"/>
      <c r="MQO36" s="974"/>
      <c r="MQP36" s="974"/>
      <c r="MQQ36" s="974"/>
      <c r="MQR36" s="974"/>
      <c r="MQS36" s="974"/>
      <c r="MQT36" s="974"/>
      <c r="MQU36" s="974"/>
      <c r="MQV36" s="974"/>
      <c r="MQW36" s="974"/>
      <c r="MQX36" s="974"/>
      <c r="MQY36" s="974"/>
      <c r="MQZ36" s="974"/>
      <c r="MRA36" s="974"/>
      <c r="MRB36" s="974"/>
      <c r="MRC36" s="974"/>
      <c r="MRD36" s="974"/>
      <c r="MRE36" s="974"/>
      <c r="MRF36" s="974"/>
      <c r="MRG36" s="974"/>
      <c r="MRH36" s="974"/>
      <c r="MRI36" s="974"/>
      <c r="MRJ36" s="974"/>
      <c r="MRK36" s="974"/>
      <c r="MRL36" s="974"/>
      <c r="MRM36" s="974"/>
      <c r="MRN36" s="974"/>
      <c r="MRO36" s="974"/>
      <c r="MRP36" s="974"/>
      <c r="MRQ36" s="974"/>
      <c r="MRR36" s="974"/>
      <c r="MRS36" s="974"/>
      <c r="MRT36" s="974"/>
      <c r="MRU36" s="974"/>
      <c r="MRV36" s="974"/>
      <c r="MRW36" s="974"/>
      <c r="MRX36" s="974"/>
      <c r="MRY36" s="974"/>
      <c r="MRZ36" s="974"/>
      <c r="MSA36" s="974"/>
      <c r="MSB36" s="974"/>
      <c r="MSC36" s="974"/>
      <c r="MSD36" s="974"/>
      <c r="MSE36" s="974"/>
      <c r="MSF36" s="974"/>
      <c r="MSG36" s="974"/>
      <c r="MSH36" s="974"/>
      <c r="MSI36" s="974"/>
      <c r="MSJ36" s="974"/>
      <c r="MSK36" s="974"/>
      <c r="MSL36" s="974"/>
      <c r="MSM36" s="974"/>
      <c r="MSN36" s="974"/>
      <c r="MSO36" s="974"/>
      <c r="MSP36" s="974"/>
      <c r="MSQ36" s="974"/>
      <c r="MSR36" s="974"/>
      <c r="MSS36" s="974"/>
      <c r="MST36" s="974"/>
      <c r="MSU36" s="974"/>
      <c r="MSV36" s="974"/>
      <c r="MSW36" s="974"/>
      <c r="MSX36" s="974"/>
      <c r="MSY36" s="974"/>
      <c r="MSZ36" s="974"/>
      <c r="MTA36" s="974"/>
      <c r="MTB36" s="974"/>
      <c r="MTC36" s="974"/>
      <c r="MTD36" s="974"/>
      <c r="MTE36" s="974"/>
      <c r="MTF36" s="974"/>
      <c r="MTG36" s="974"/>
      <c r="MTH36" s="974"/>
      <c r="MTI36" s="974"/>
      <c r="MTJ36" s="974"/>
      <c r="MTK36" s="974"/>
      <c r="MTL36" s="974"/>
      <c r="MTM36" s="974"/>
      <c r="MTN36" s="974"/>
      <c r="MTO36" s="974"/>
      <c r="MTP36" s="974"/>
      <c r="MTQ36" s="974"/>
      <c r="MTR36" s="974"/>
      <c r="MTS36" s="974"/>
      <c r="MTT36" s="974"/>
      <c r="MTU36" s="974"/>
      <c r="MTV36" s="974"/>
      <c r="MTW36" s="974"/>
      <c r="MTX36" s="974"/>
      <c r="MTY36" s="974"/>
      <c r="MTZ36" s="974"/>
      <c r="MUA36" s="974"/>
      <c r="MUB36" s="974"/>
      <c r="MUC36" s="974"/>
      <c r="MUD36" s="974"/>
      <c r="MUE36" s="974"/>
      <c r="MUF36" s="974"/>
      <c r="MUG36" s="974"/>
      <c r="MUH36" s="974"/>
      <c r="MUI36" s="974"/>
      <c r="MUJ36" s="974"/>
      <c r="MUK36" s="974"/>
      <c r="MUL36" s="974"/>
      <c r="MUM36" s="974"/>
      <c r="MUN36" s="974"/>
      <c r="MUO36" s="974"/>
      <c r="MUP36" s="974"/>
      <c r="MUQ36" s="974"/>
      <c r="MUR36" s="974"/>
      <c r="MUS36" s="974"/>
      <c r="MUT36" s="974"/>
      <c r="MUU36" s="974"/>
      <c r="MUV36" s="974"/>
      <c r="MUW36" s="974"/>
      <c r="MUX36" s="974"/>
      <c r="MUY36" s="974"/>
      <c r="MUZ36" s="974"/>
      <c r="MVA36" s="974"/>
      <c r="MVB36" s="974"/>
      <c r="MVC36" s="974"/>
      <c r="MVD36" s="974"/>
      <c r="MVE36" s="974"/>
      <c r="MVF36" s="974"/>
      <c r="MVG36" s="974"/>
      <c r="MVH36" s="974"/>
      <c r="MVI36" s="974"/>
      <c r="MVJ36" s="974"/>
      <c r="MVK36" s="974"/>
      <c r="MVL36" s="974"/>
      <c r="MVM36" s="974"/>
      <c r="MVN36" s="974"/>
      <c r="MVO36" s="974"/>
      <c r="MVP36" s="974"/>
      <c r="MVQ36" s="974"/>
      <c r="MVR36" s="974"/>
      <c r="MVS36" s="974"/>
      <c r="MVT36" s="974"/>
      <c r="MVU36" s="974"/>
      <c r="MVV36" s="974"/>
      <c r="MVW36" s="974"/>
      <c r="MVX36" s="974"/>
      <c r="MVY36" s="974"/>
      <c r="MVZ36" s="974"/>
      <c r="MWA36" s="974"/>
      <c r="MWB36" s="974"/>
      <c r="MWC36" s="974"/>
      <c r="MWD36" s="974"/>
      <c r="MWE36" s="974"/>
      <c r="MWF36" s="974"/>
      <c r="MWG36" s="974"/>
      <c r="MWH36" s="974"/>
      <c r="MWI36" s="974"/>
      <c r="MWJ36" s="974"/>
      <c r="MWK36" s="974"/>
      <c r="MWL36" s="974"/>
      <c r="MWM36" s="974"/>
      <c r="MWN36" s="974"/>
      <c r="MWO36" s="974"/>
      <c r="MWP36" s="974"/>
      <c r="MWQ36" s="974"/>
      <c r="MWR36" s="974"/>
      <c r="MWS36" s="974"/>
      <c r="MWT36" s="974"/>
      <c r="MWU36" s="974"/>
      <c r="MWV36" s="974"/>
      <c r="MWW36" s="974"/>
      <c r="MWX36" s="974"/>
      <c r="MWY36" s="974"/>
      <c r="MWZ36" s="974"/>
      <c r="MXA36" s="974"/>
      <c r="MXB36" s="974"/>
      <c r="MXC36" s="974"/>
      <c r="MXD36" s="974"/>
      <c r="MXE36" s="974"/>
      <c r="MXF36" s="974"/>
      <c r="MXG36" s="974"/>
      <c r="MXH36" s="974"/>
      <c r="MXI36" s="974"/>
      <c r="MXJ36" s="974"/>
      <c r="MXK36" s="974"/>
      <c r="MXL36" s="974"/>
      <c r="MXM36" s="974"/>
      <c r="MXN36" s="974"/>
      <c r="MXO36" s="974"/>
      <c r="MXP36" s="974"/>
      <c r="MXQ36" s="974"/>
      <c r="MXR36" s="974"/>
      <c r="MXS36" s="974"/>
      <c r="MXT36" s="974"/>
      <c r="MXU36" s="974"/>
      <c r="MXV36" s="974"/>
      <c r="MXW36" s="974"/>
      <c r="MXX36" s="974"/>
      <c r="MXY36" s="974"/>
      <c r="MXZ36" s="974"/>
      <c r="MYA36" s="974"/>
      <c r="MYB36" s="974"/>
      <c r="MYC36" s="974"/>
      <c r="MYD36" s="974"/>
      <c r="MYE36" s="974"/>
      <c r="MYF36" s="974"/>
      <c r="MYG36" s="974"/>
      <c r="MYH36" s="974"/>
      <c r="MYI36" s="974"/>
      <c r="MYJ36" s="974"/>
      <c r="MYK36" s="974"/>
      <c r="MYL36" s="974"/>
      <c r="MYM36" s="974"/>
      <c r="MYN36" s="974"/>
      <c r="MYO36" s="974"/>
      <c r="MYP36" s="974"/>
      <c r="MYQ36" s="974"/>
      <c r="MYR36" s="974"/>
      <c r="MYS36" s="974"/>
      <c r="MYT36" s="974"/>
      <c r="MYU36" s="974"/>
      <c r="MYV36" s="974"/>
      <c r="MYW36" s="974"/>
      <c r="MYX36" s="974"/>
      <c r="MYY36" s="974"/>
      <c r="MYZ36" s="974"/>
      <c r="MZA36" s="974"/>
      <c r="MZB36" s="974"/>
      <c r="MZC36" s="974"/>
      <c r="MZD36" s="974"/>
      <c r="MZE36" s="974"/>
      <c r="MZF36" s="974"/>
      <c r="MZG36" s="974"/>
      <c r="MZH36" s="974"/>
      <c r="MZI36" s="974"/>
      <c r="MZJ36" s="974"/>
      <c r="MZK36" s="974"/>
      <c r="MZL36" s="974"/>
      <c r="MZM36" s="974"/>
      <c r="MZN36" s="974"/>
      <c r="MZO36" s="974"/>
      <c r="MZP36" s="974"/>
      <c r="MZQ36" s="974"/>
      <c r="MZR36" s="974"/>
      <c r="MZS36" s="974"/>
      <c r="MZT36" s="974"/>
      <c r="MZU36" s="974"/>
      <c r="MZV36" s="974"/>
      <c r="MZW36" s="974"/>
      <c r="MZX36" s="974"/>
      <c r="MZY36" s="974"/>
      <c r="MZZ36" s="974"/>
      <c r="NAA36" s="974"/>
      <c r="NAB36" s="974"/>
      <c r="NAC36" s="974"/>
      <c r="NAD36" s="974"/>
      <c r="NAE36" s="974"/>
      <c r="NAF36" s="974"/>
      <c r="NAG36" s="974"/>
      <c r="NAH36" s="974"/>
      <c r="NAI36" s="974"/>
      <c r="NAJ36" s="974"/>
      <c r="NAK36" s="974"/>
      <c r="NAL36" s="974"/>
      <c r="NAM36" s="974"/>
      <c r="NAN36" s="974"/>
      <c r="NAO36" s="974"/>
      <c r="NAP36" s="974"/>
      <c r="NAQ36" s="974"/>
      <c r="NAR36" s="974"/>
      <c r="NAS36" s="974"/>
      <c r="NAT36" s="974"/>
      <c r="NAU36" s="974"/>
      <c r="NAV36" s="974"/>
      <c r="NAW36" s="974"/>
      <c r="NAX36" s="974"/>
      <c r="NAY36" s="974"/>
      <c r="NAZ36" s="974"/>
      <c r="NBA36" s="974"/>
      <c r="NBB36" s="974"/>
      <c r="NBC36" s="974"/>
      <c r="NBD36" s="974"/>
      <c r="NBE36" s="974"/>
      <c r="NBF36" s="974"/>
      <c r="NBG36" s="974"/>
      <c r="NBH36" s="974"/>
      <c r="NBI36" s="974"/>
      <c r="NBJ36" s="974"/>
      <c r="NBK36" s="974"/>
      <c r="NBL36" s="974"/>
      <c r="NBM36" s="974"/>
      <c r="NBN36" s="974"/>
      <c r="NBO36" s="974"/>
      <c r="NBP36" s="974"/>
      <c r="NBQ36" s="974"/>
      <c r="NBR36" s="974"/>
      <c r="NBS36" s="974"/>
      <c r="NBT36" s="974"/>
      <c r="NBU36" s="974"/>
      <c r="NBV36" s="974"/>
      <c r="NBW36" s="974"/>
      <c r="NBX36" s="974"/>
      <c r="NBY36" s="974"/>
      <c r="NBZ36" s="974"/>
      <c r="NCA36" s="974"/>
      <c r="NCB36" s="974"/>
      <c r="NCC36" s="974"/>
      <c r="NCD36" s="974"/>
      <c r="NCE36" s="974"/>
      <c r="NCF36" s="974"/>
      <c r="NCG36" s="974"/>
      <c r="NCH36" s="974"/>
      <c r="NCI36" s="974"/>
      <c r="NCJ36" s="974"/>
      <c r="NCK36" s="974"/>
      <c r="NCL36" s="974"/>
      <c r="NCM36" s="974"/>
      <c r="NCN36" s="974"/>
      <c r="NCO36" s="974"/>
      <c r="NCP36" s="974"/>
      <c r="NCQ36" s="974"/>
      <c r="NCR36" s="974"/>
      <c r="NCS36" s="974"/>
      <c r="NCT36" s="974"/>
      <c r="NCU36" s="974"/>
      <c r="NCV36" s="974"/>
      <c r="NCW36" s="974"/>
      <c r="NCX36" s="974"/>
      <c r="NCY36" s="974"/>
      <c r="NCZ36" s="974"/>
      <c r="NDA36" s="974"/>
      <c r="NDB36" s="974"/>
      <c r="NDC36" s="974"/>
      <c r="NDD36" s="974"/>
      <c r="NDE36" s="974"/>
      <c r="NDF36" s="974"/>
      <c r="NDG36" s="974"/>
      <c r="NDH36" s="974"/>
      <c r="NDI36" s="974"/>
      <c r="NDJ36" s="974"/>
      <c r="NDK36" s="974"/>
      <c r="NDL36" s="974"/>
      <c r="NDM36" s="974"/>
      <c r="NDN36" s="974"/>
      <c r="NDO36" s="974"/>
      <c r="NDP36" s="974"/>
      <c r="NDQ36" s="974"/>
      <c r="NDR36" s="974"/>
      <c r="NDS36" s="974"/>
      <c r="NDT36" s="974"/>
      <c r="NDU36" s="974"/>
      <c r="NDV36" s="974"/>
      <c r="NDW36" s="974"/>
      <c r="NDX36" s="974"/>
      <c r="NDY36" s="974"/>
      <c r="NDZ36" s="974"/>
      <c r="NEA36" s="974"/>
      <c r="NEB36" s="974"/>
      <c r="NEC36" s="974"/>
      <c r="NED36" s="974"/>
      <c r="NEE36" s="974"/>
      <c r="NEF36" s="974"/>
      <c r="NEG36" s="974"/>
      <c r="NEH36" s="974"/>
      <c r="NEI36" s="974"/>
      <c r="NEJ36" s="974"/>
      <c r="NEK36" s="974"/>
      <c r="NEL36" s="974"/>
      <c r="NEM36" s="974"/>
      <c r="NEN36" s="974"/>
      <c r="NEO36" s="974"/>
      <c r="NEP36" s="974"/>
      <c r="NEQ36" s="974"/>
      <c r="NER36" s="974"/>
      <c r="NES36" s="974"/>
      <c r="NET36" s="974"/>
      <c r="NEU36" s="974"/>
      <c r="NEV36" s="974"/>
      <c r="NEW36" s="974"/>
      <c r="NEX36" s="974"/>
      <c r="NEY36" s="974"/>
      <c r="NEZ36" s="974"/>
      <c r="NFA36" s="974"/>
      <c r="NFB36" s="974"/>
      <c r="NFC36" s="974"/>
      <c r="NFD36" s="974"/>
      <c r="NFE36" s="974"/>
      <c r="NFF36" s="974"/>
      <c r="NFG36" s="974"/>
      <c r="NFH36" s="974"/>
      <c r="NFI36" s="974"/>
      <c r="NFJ36" s="974"/>
      <c r="NFK36" s="974"/>
      <c r="NFL36" s="974"/>
      <c r="NFM36" s="974"/>
      <c r="NFN36" s="974"/>
      <c r="NFO36" s="974"/>
      <c r="NFP36" s="974"/>
      <c r="NFQ36" s="974"/>
      <c r="NFR36" s="974"/>
      <c r="NFS36" s="974"/>
      <c r="NFT36" s="974"/>
      <c r="NFU36" s="974"/>
      <c r="NFV36" s="974"/>
      <c r="NFW36" s="974"/>
      <c r="NFX36" s="974"/>
      <c r="NFY36" s="974"/>
      <c r="NFZ36" s="974"/>
      <c r="NGA36" s="974"/>
      <c r="NGB36" s="974"/>
      <c r="NGC36" s="974"/>
      <c r="NGD36" s="974"/>
      <c r="NGE36" s="974"/>
      <c r="NGF36" s="974"/>
      <c r="NGG36" s="974"/>
      <c r="NGH36" s="974"/>
      <c r="NGI36" s="974"/>
      <c r="NGJ36" s="974"/>
      <c r="NGK36" s="974"/>
      <c r="NGL36" s="974"/>
      <c r="NGM36" s="974"/>
      <c r="NGN36" s="974"/>
      <c r="NGO36" s="974"/>
      <c r="NGP36" s="974"/>
      <c r="NGQ36" s="974"/>
      <c r="NGR36" s="974"/>
      <c r="NGS36" s="974"/>
      <c r="NGT36" s="974"/>
      <c r="NGU36" s="974"/>
      <c r="NGV36" s="974"/>
      <c r="NGW36" s="974"/>
      <c r="NGX36" s="974"/>
      <c r="NGY36" s="974"/>
      <c r="NGZ36" s="974"/>
      <c r="NHA36" s="974"/>
      <c r="NHB36" s="974"/>
      <c r="NHC36" s="974"/>
      <c r="NHD36" s="974"/>
      <c r="NHE36" s="974"/>
      <c r="NHF36" s="974"/>
      <c r="NHG36" s="974"/>
      <c r="NHH36" s="974"/>
      <c r="NHI36" s="974"/>
      <c r="NHJ36" s="974"/>
      <c r="NHK36" s="974"/>
      <c r="NHL36" s="974"/>
      <c r="NHM36" s="974"/>
      <c r="NHN36" s="974"/>
      <c r="NHO36" s="974"/>
      <c r="NHP36" s="974"/>
      <c r="NHQ36" s="974"/>
      <c r="NHR36" s="974"/>
      <c r="NHS36" s="974"/>
      <c r="NHT36" s="974"/>
      <c r="NHU36" s="974"/>
      <c r="NHV36" s="974"/>
      <c r="NHW36" s="974"/>
      <c r="NHX36" s="974"/>
      <c r="NHY36" s="974"/>
      <c r="NHZ36" s="974"/>
      <c r="NIA36" s="974"/>
      <c r="NIB36" s="974"/>
      <c r="NIC36" s="974"/>
      <c r="NID36" s="974"/>
      <c r="NIE36" s="974"/>
      <c r="NIF36" s="974"/>
      <c r="NIG36" s="974"/>
      <c r="NIH36" s="974"/>
      <c r="NII36" s="974"/>
      <c r="NIJ36" s="974"/>
      <c r="NIK36" s="974"/>
      <c r="NIL36" s="974"/>
      <c r="NIM36" s="974"/>
      <c r="NIN36" s="974"/>
      <c r="NIO36" s="974"/>
      <c r="NIP36" s="974"/>
      <c r="NIQ36" s="974"/>
      <c r="NIR36" s="974"/>
      <c r="NIS36" s="974"/>
      <c r="NIT36" s="974"/>
      <c r="NIU36" s="974"/>
      <c r="NIV36" s="974"/>
      <c r="NIW36" s="974"/>
      <c r="NIX36" s="974"/>
      <c r="NIY36" s="974"/>
      <c r="NIZ36" s="974"/>
      <c r="NJA36" s="974"/>
      <c r="NJB36" s="974"/>
      <c r="NJC36" s="974"/>
      <c r="NJD36" s="974"/>
      <c r="NJE36" s="974"/>
      <c r="NJF36" s="974"/>
      <c r="NJG36" s="974"/>
      <c r="NJH36" s="974"/>
      <c r="NJI36" s="974"/>
      <c r="NJJ36" s="974"/>
      <c r="NJK36" s="974"/>
      <c r="NJL36" s="974"/>
      <c r="NJM36" s="974"/>
      <c r="NJN36" s="974"/>
      <c r="NJO36" s="974"/>
      <c r="NJP36" s="974"/>
      <c r="NJQ36" s="974"/>
      <c r="NJR36" s="974"/>
      <c r="NJS36" s="974"/>
      <c r="NJT36" s="974"/>
      <c r="NJU36" s="974"/>
      <c r="NJV36" s="974"/>
      <c r="NJW36" s="974"/>
      <c r="NJX36" s="974"/>
      <c r="NJY36" s="974"/>
      <c r="NJZ36" s="974"/>
      <c r="NKA36" s="974"/>
      <c r="NKB36" s="974"/>
      <c r="NKC36" s="974"/>
      <c r="NKD36" s="974"/>
      <c r="NKE36" s="974"/>
      <c r="NKF36" s="974"/>
      <c r="NKG36" s="974"/>
      <c r="NKH36" s="974"/>
      <c r="NKI36" s="974"/>
      <c r="NKJ36" s="974"/>
      <c r="NKK36" s="974"/>
      <c r="NKL36" s="974"/>
      <c r="NKM36" s="974"/>
      <c r="NKN36" s="974"/>
      <c r="NKO36" s="974"/>
      <c r="NKP36" s="974"/>
      <c r="NKQ36" s="974"/>
      <c r="NKR36" s="974"/>
      <c r="NKS36" s="974"/>
      <c r="NKT36" s="974"/>
      <c r="NKU36" s="974"/>
      <c r="NKV36" s="974"/>
      <c r="NKW36" s="974"/>
      <c r="NKX36" s="974"/>
      <c r="NKY36" s="974"/>
      <c r="NKZ36" s="974"/>
      <c r="NLA36" s="974"/>
      <c r="NLB36" s="974"/>
      <c r="NLC36" s="974"/>
      <c r="NLD36" s="974"/>
      <c r="NLE36" s="974"/>
      <c r="NLF36" s="974"/>
      <c r="NLG36" s="974"/>
      <c r="NLH36" s="974"/>
      <c r="NLI36" s="974"/>
      <c r="NLJ36" s="974"/>
      <c r="NLK36" s="974"/>
      <c r="NLL36" s="974"/>
      <c r="NLM36" s="974"/>
      <c r="NLN36" s="974"/>
      <c r="NLO36" s="974"/>
      <c r="NLP36" s="974"/>
      <c r="NLQ36" s="974"/>
      <c r="NLR36" s="974"/>
      <c r="NLS36" s="974"/>
      <c r="NLT36" s="974"/>
      <c r="NLU36" s="974"/>
      <c r="NLV36" s="974"/>
      <c r="NLW36" s="974"/>
      <c r="NLX36" s="974"/>
      <c r="NLY36" s="974"/>
      <c r="NLZ36" s="974"/>
      <c r="NMA36" s="974"/>
      <c r="NMB36" s="974"/>
      <c r="NMC36" s="974"/>
      <c r="NMD36" s="974"/>
      <c r="NME36" s="974"/>
      <c r="NMF36" s="974"/>
      <c r="NMG36" s="974"/>
      <c r="NMH36" s="974"/>
      <c r="NMI36" s="974"/>
      <c r="NMJ36" s="974"/>
      <c r="NMK36" s="974"/>
      <c r="NML36" s="974"/>
      <c r="NMM36" s="974"/>
      <c r="NMN36" s="974"/>
      <c r="NMO36" s="974"/>
      <c r="NMP36" s="974"/>
      <c r="NMQ36" s="974"/>
      <c r="NMR36" s="974"/>
      <c r="NMS36" s="974"/>
      <c r="NMT36" s="974"/>
      <c r="NMU36" s="974"/>
      <c r="NMV36" s="974"/>
      <c r="NMW36" s="974"/>
      <c r="NMX36" s="974"/>
      <c r="NMY36" s="974"/>
      <c r="NMZ36" s="974"/>
      <c r="NNA36" s="974"/>
      <c r="NNB36" s="974"/>
      <c r="NNC36" s="974"/>
      <c r="NND36" s="974"/>
      <c r="NNE36" s="974"/>
      <c r="NNF36" s="974"/>
      <c r="NNG36" s="974"/>
      <c r="NNH36" s="974"/>
      <c r="NNI36" s="974"/>
      <c r="NNJ36" s="974"/>
      <c r="NNK36" s="974"/>
      <c r="NNL36" s="974"/>
      <c r="NNM36" s="974"/>
      <c r="NNN36" s="974"/>
      <c r="NNO36" s="974"/>
      <c r="NNP36" s="974"/>
      <c r="NNQ36" s="974"/>
      <c r="NNR36" s="974"/>
      <c r="NNS36" s="974"/>
      <c r="NNT36" s="974"/>
      <c r="NNU36" s="974"/>
      <c r="NNV36" s="974"/>
      <c r="NNW36" s="974"/>
      <c r="NNX36" s="974"/>
      <c r="NNY36" s="974"/>
      <c r="NNZ36" s="974"/>
      <c r="NOA36" s="974"/>
      <c r="NOB36" s="974"/>
      <c r="NOC36" s="974"/>
      <c r="NOD36" s="974"/>
      <c r="NOE36" s="974"/>
      <c r="NOF36" s="974"/>
      <c r="NOG36" s="974"/>
      <c r="NOH36" s="974"/>
      <c r="NOI36" s="974"/>
      <c r="NOJ36" s="974"/>
      <c r="NOK36" s="974"/>
      <c r="NOL36" s="974"/>
      <c r="NOM36" s="974"/>
      <c r="NON36" s="974"/>
      <c r="NOO36" s="974"/>
      <c r="NOP36" s="974"/>
      <c r="NOQ36" s="974"/>
      <c r="NOR36" s="974"/>
      <c r="NOS36" s="974"/>
      <c r="NOT36" s="974"/>
      <c r="NOU36" s="974"/>
      <c r="NOV36" s="974"/>
      <c r="NOW36" s="974"/>
      <c r="NOX36" s="974"/>
      <c r="NOY36" s="974"/>
      <c r="NOZ36" s="974"/>
      <c r="NPA36" s="974"/>
      <c r="NPB36" s="974"/>
      <c r="NPC36" s="974"/>
      <c r="NPD36" s="974"/>
      <c r="NPE36" s="974"/>
      <c r="NPF36" s="974"/>
      <c r="NPG36" s="974"/>
      <c r="NPH36" s="974"/>
      <c r="NPI36" s="974"/>
      <c r="NPJ36" s="974"/>
      <c r="NPK36" s="974"/>
      <c r="NPL36" s="974"/>
      <c r="NPM36" s="974"/>
      <c r="NPN36" s="974"/>
      <c r="NPO36" s="974"/>
      <c r="NPP36" s="974"/>
      <c r="NPQ36" s="974"/>
      <c r="NPR36" s="974"/>
      <c r="NPS36" s="974"/>
      <c r="NPT36" s="974"/>
      <c r="NPU36" s="974"/>
      <c r="NPV36" s="974"/>
      <c r="NPW36" s="974"/>
      <c r="NPX36" s="974"/>
      <c r="NPY36" s="974"/>
      <c r="NPZ36" s="974"/>
      <c r="NQA36" s="974"/>
      <c r="NQB36" s="974"/>
      <c r="NQC36" s="974"/>
      <c r="NQD36" s="974"/>
      <c r="NQE36" s="974"/>
      <c r="NQF36" s="974"/>
      <c r="NQG36" s="974"/>
      <c r="NQH36" s="974"/>
      <c r="NQI36" s="974"/>
      <c r="NQJ36" s="974"/>
      <c r="NQK36" s="974"/>
      <c r="NQL36" s="974"/>
      <c r="NQM36" s="974"/>
      <c r="NQN36" s="974"/>
      <c r="NQO36" s="974"/>
      <c r="NQP36" s="974"/>
      <c r="NQQ36" s="974"/>
      <c r="NQR36" s="974"/>
      <c r="NQS36" s="974"/>
      <c r="NQT36" s="974"/>
      <c r="NQU36" s="974"/>
      <c r="NQV36" s="974"/>
      <c r="NQW36" s="974"/>
      <c r="NQX36" s="974"/>
      <c r="NQY36" s="974"/>
      <c r="NQZ36" s="974"/>
      <c r="NRA36" s="974"/>
      <c r="NRB36" s="974"/>
      <c r="NRC36" s="974"/>
      <c r="NRD36" s="974"/>
      <c r="NRE36" s="974"/>
      <c r="NRF36" s="974"/>
      <c r="NRG36" s="974"/>
      <c r="NRH36" s="974"/>
      <c r="NRI36" s="974"/>
      <c r="NRJ36" s="974"/>
      <c r="NRK36" s="974"/>
      <c r="NRL36" s="974"/>
      <c r="NRM36" s="974"/>
      <c r="NRN36" s="974"/>
      <c r="NRO36" s="974"/>
      <c r="NRP36" s="974"/>
      <c r="NRQ36" s="974"/>
      <c r="NRR36" s="974"/>
      <c r="NRS36" s="974"/>
      <c r="NRT36" s="974"/>
      <c r="NRU36" s="974"/>
      <c r="NRV36" s="974"/>
      <c r="NRW36" s="974"/>
      <c r="NRX36" s="974"/>
      <c r="NRY36" s="974"/>
      <c r="NRZ36" s="974"/>
      <c r="NSA36" s="974"/>
      <c r="NSB36" s="974"/>
      <c r="NSC36" s="974"/>
      <c r="NSD36" s="974"/>
      <c r="NSE36" s="974"/>
      <c r="NSF36" s="974"/>
      <c r="NSG36" s="974"/>
      <c r="NSH36" s="974"/>
      <c r="NSI36" s="974"/>
      <c r="NSJ36" s="974"/>
      <c r="NSK36" s="974"/>
      <c r="NSL36" s="974"/>
      <c r="NSM36" s="974"/>
      <c r="NSN36" s="974"/>
      <c r="NSO36" s="974"/>
      <c r="NSP36" s="974"/>
      <c r="NSQ36" s="974"/>
      <c r="NSR36" s="974"/>
      <c r="NSS36" s="974"/>
      <c r="NST36" s="974"/>
      <c r="NSU36" s="974"/>
      <c r="NSV36" s="974"/>
      <c r="NSW36" s="974"/>
      <c r="NSX36" s="974"/>
      <c r="NSY36" s="974"/>
      <c r="NSZ36" s="974"/>
      <c r="NTA36" s="974"/>
      <c r="NTB36" s="974"/>
      <c r="NTC36" s="974"/>
      <c r="NTD36" s="974"/>
      <c r="NTE36" s="974"/>
      <c r="NTF36" s="974"/>
      <c r="NTG36" s="974"/>
      <c r="NTH36" s="974"/>
      <c r="NTI36" s="974"/>
      <c r="NTJ36" s="974"/>
      <c r="NTK36" s="974"/>
      <c r="NTL36" s="974"/>
      <c r="NTM36" s="974"/>
      <c r="NTN36" s="974"/>
      <c r="NTO36" s="974"/>
      <c r="NTP36" s="974"/>
      <c r="NTQ36" s="974"/>
      <c r="NTR36" s="974"/>
      <c r="NTS36" s="974"/>
      <c r="NTT36" s="974"/>
      <c r="NTU36" s="974"/>
      <c r="NTV36" s="974"/>
      <c r="NTW36" s="974"/>
      <c r="NTX36" s="974"/>
      <c r="NTY36" s="974"/>
      <c r="NTZ36" s="974"/>
      <c r="NUA36" s="974"/>
      <c r="NUB36" s="974"/>
      <c r="NUC36" s="974"/>
      <c r="NUD36" s="974"/>
      <c r="NUE36" s="974"/>
      <c r="NUF36" s="974"/>
      <c r="NUG36" s="974"/>
      <c r="NUH36" s="974"/>
      <c r="NUI36" s="974"/>
      <c r="NUJ36" s="974"/>
      <c r="NUK36" s="974"/>
      <c r="NUL36" s="974"/>
      <c r="NUM36" s="974"/>
      <c r="NUN36" s="974"/>
      <c r="NUO36" s="974"/>
      <c r="NUP36" s="974"/>
      <c r="NUQ36" s="974"/>
      <c r="NUR36" s="974"/>
      <c r="NUS36" s="974"/>
      <c r="NUT36" s="974"/>
      <c r="NUU36" s="974"/>
      <c r="NUV36" s="974"/>
      <c r="NUW36" s="974"/>
      <c r="NUX36" s="974"/>
      <c r="NUY36" s="974"/>
      <c r="NUZ36" s="974"/>
      <c r="NVA36" s="974"/>
      <c r="NVB36" s="974"/>
      <c r="NVC36" s="974"/>
      <c r="NVD36" s="974"/>
      <c r="NVE36" s="974"/>
      <c r="NVF36" s="974"/>
      <c r="NVG36" s="974"/>
      <c r="NVH36" s="974"/>
      <c r="NVI36" s="974"/>
      <c r="NVJ36" s="974"/>
      <c r="NVK36" s="974"/>
      <c r="NVL36" s="974"/>
      <c r="NVM36" s="974"/>
      <c r="NVN36" s="974"/>
      <c r="NVO36" s="974"/>
      <c r="NVP36" s="974"/>
      <c r="NVQ36" s="974"/>
      <c r="NVR36" s="974"/>
      <c r="NVS36" s="974"/>
      <c r="NVT36" s="974"/>
      <c r="NVU36" s="974"/>
      <c r="NVV36" s="974"/>
      <c r="NVW36" s="974"/>
      <c r="NVX36" s="974"/>
      <c r="NVY36" s="974"/>
      <c r="NVZ36" s="974"/>
      <c r="NWA36" s="974"/>
      <c r="NWB36" s="974"/>
      <c r="NWC36" s="974"/>
      <c r="NWD36" s="974"/>
      <c r="NWE36" s="974"/>
      <c r="NWF36" s="974"/>
      <c r="NWG36" s="974"/>
      <c r="NWH36" s="974"/>
      <c r="NWI36" s="974"/>
      <c r="NWJ36" s="974"/>
      <c r="NWK36" s="974"/>
      <c r="NWL36" s="974"/>
      <c r="NWM36" s="974"/>
      <c r="NWN36" s="974"/>
      <c r="NWO36" s="974"/>
      <c r="NWP36" s="974"/>
      <c r="NWQ36" s="974"/>
      <c r="NWR36" s="974"/>
      <c r="NWS36" s="974"/>
      <c r="NWT36" s="974"/>
      <c r="NWU36" s="974"/>
      <c r="NWV36" s="974"/>
      <c r="NWW36" s="974"/>
      <c r="NWX36" s="974"/>
      <c r="NWY36" s="974"/>
      <c r="NWZ36" s="974"/>
      <c r="NXA36" s="974"/>
      <c r="NXB36" s="974"/>
      <c r="NXC36" s="974"/>
      <c r="NXD36" s="974"/>
      <c r="NXE36" s="974"/>
      <c r="NXF36" s="974"/>
      <c r="NXG36" s="974"/>
      <c r="NXH36" s="974"/>
      <c r="NXI36" s="974"/>
      <c r="NXJ36" s="974"/>
      <c r="NXK36" s="974"/>
      <c r="NXL36" s="974"/>
      <c r="NXM36" s="974"/>
      <c r="NXN36" s="974"/>
      <c r="NXO36" s="974"/>
      <c r="NXP36" s="974"/>
      <c r="NXQ36" s="974"/>
      <c r="NXR36" s="974"/>
      <c r="NXS36" s="974"/>
      <c r="NXT36" s="974"/>
      <c r="NXU36" s="974"/>
      <c r="NXV36" s="974"/>
      <c r="NXW36" s="974"/>
      <c r="NXX36" s="974"/>
      <c r="NXY36" s="974"/>
      <c r="NXZ36" s="974"/>
      <c r="NYA36" s="974"/>
      <c r="NYB36" s="974"/>
      <c r="NYC36" s="974"/>
      <c r="NYD36" s="974"/>
      <c r="NYE36" s="974"/>
      <c r="NYF36" s="974"/>
      <c r="NYG36" s="974"/>
      <c r="NYH36" s="974"/>
      <c r="NYI36" s="974"/>
      <c r="NYJ36" s="974"/>
      <c r="NYK36" s="974"/>
      <c r="NYL36" s="974"/>
      <c r="NYM36" s="974"/>
      <c r="NYN36" s="974"/>
      <c r="NYO36" s="974"/>
      <c r="NYP36" s="974"/>
      <c r="NYQ36" s="974"/>
      <c r="NYR36" s="974"/>
      <c r="NYS36" s="974"/>
      <c r="NYT36" s="974"/>
      <c r="NYU36" s="974"/>
      <c r="NYV36" s="974"/>
      <c r="NYW36" s="974"/>
      <c r="NYX36" s="974"/>
      <c r="NYY36" s="974"/>
      <c r="NYZ36" s="974"/>
      <c r="NZA36" s="974"/>
      <c r="NZB36" s="974"/>
      <c r="NZC36" s="974"/>
      <c r="NZD36" s="974"/>
      <c r="NZE36" s="974"/>
      <c r="NZF36" s="974"/>
      <c r="NZG36" s="974"/>
      <c r="NZH36" s="974"/>
      <c r="NZI36" s="974"/>
      <c r="NZJ36" s="974"/>
      <c r="NZK36" s="974"/>
      <c r="NZL36" s="974"/>
      <c r="NZM36" s="974"/>
      <c r="NZN36" s="974"/>
      <c r="NZO36" s="974"/>
      <c r="NZP36" s="974"/>
      <c r="NZQ36" s="974"/>
      <c r="NZR36" s="974"/>
      <c r="NZS36" s="974"/>
      <c r="NZT36" s="974"/>
      <c r="NZU36" s="974"/>
      <c r="NZV36" s="974"/>
      <c r="NZW36" s="974"/>
      <c r="NZX36" s="974"/>
      <c r="NZY36" s="974"/>
      <c r="NZZ36" s="974"/>
      <c r="OAA36" s="974"/>
      <c r="OAB36" s="974"/>
      <c r="OAC36" s="974"/>
      <c r="OAD36" s="974"/>
      <c r="OAE36" s="974"/>
      <c r="OAF36" s="974"/>
      <c r="OAG36" s="974"/>
      <c r="OAH36" s="974"/>
      <c r="OAI36" s="974"/>
      <c r="OAJ36" s="974"/>
      <c r="OAK36" s="974"/>
      <c r="OAL36" s="974"/>
      <c r="OAM36" s="974"/>
      <c r="OAN36" s="974"/>
      <c r="OAO36" s="974"/>
      <c r="OAP36" s="974"/>
      <c r="OAQ36" s="974"/>
      <c r="OAR36" s="974"/>
      <c r="OAS36" s="974"/>
      <c r="OAT36" s="974"/>
      <c r="OAU36" s="974"/>
      <c r="OAV36" s="974"/>
      <c r="OAW36" s="974"/>
      <c r="OAX36" s="974"/>
      <c r="OAY36" s="974"/>
      <c r="OAZ36" s="974"/>
      <c r="OBA36" s="974"/>
      <c r="OBB36" s="974"/>
      <c r="OBC36" s="974"/>
      <c r="OBD36" s="974"/>
      <c r="OBE36" s="974"/>
      <c r="OBF36" s="974"/>
      <c r="OBG36" s="974"/>
      <c r="OBH36" s="974"/>
      <c r="OBI36" s="974"/>
      <c r="OBJ36" s="974"/>
      <c r="OBK36" s="974"/>
      <c r="OBL36" s="974"/>
      <c r="OBM36" s="974"/>
      <c r="OBN36" s="974"/>
      <c r="OBO36" s="974"/>
      <c r="OBP36" s="974"/>
      <c r="OBQ36" s="974"/>
      <c r="OBR36" s="974"/>
      <c r="OBS36" s="974"/>
      <c r="OBT36" s="974"/>
      <c r="OBU36" s="974"/>
      <c r="OBV36" s="974"/>
      <c r="OBW36" s="974"/>
      <c r="OBX36" s="974"/>
      <c r="OBY36" s="974"/>
      <c r="OBZ36" s="974"/>
      <c r="OCA36" s="974"/>
      <c r="OCB36" s="974"/>
      <c r="OCC36" s="974"/>
      <c r="OCD36" s="974"/>
      <c r="OCE36" s="974"/>
      <c r="OCF36" s="974"/>
      <c r="OCG36" s="974"/>
      <c r="OCH36" s="974"/>
      <c r="OCI36" s="974"/>
      <c r="OCJ36" s="974"/>
      <c r="OCK36" s="974"/>
      <c r="OCL36" s="974"/>
      <c r="OCM36" s="974"/>
      <c r="OCN36" s="974"/>
      <c r="OCO36" s="974"/>
      <c r="OCP36" s="974"/>
      <c r="OCQ36" s="974"/>
      <c r="OCR36" s="974"/>
      <c r="OCS36" s="974"/>
      <c r="OCT36" s="974"/>
      <c r="OCU36" s="974"/>
      <c r="OCV36" s="974"/>
      <c r="OCW36" s="974"/>
      <c r="OCX36" s="974"/>
      <c r="OCY36" s="974"/>
      <c r="OCZ36" s="974"/>
      <c r="ODA36" s="974"/>
      <c r="ODB36" s="974"/>
      <c r="ODC36" s="974"/>
      <c r="ODD36" s="974"/>
      <c r="ODE36" s="974"/>
      <c r="ODF36" s="974"/>
      <c r="ODG36" s="974"/>
      <c r="ODH36" s="974"/>
      <c r="ODI36" s="974"/>
      <c r="ODJ36" s="974"/>
      <c r="ODK36" s="974"/>
      <c r="ODL36" s="974"/>
      <c r="ODM36" s="974"/>
      <c r="ODN36" s="974"/>
      <c r="ODO36" s="974"/>
      <c r="ODP36" s="974"/>
      <c r="ODQ36" s="974"/>
      <c r="ODR36" s="974"/>
      <c r="ODS36" s="974"/>
      <c r="ODT36" s="974"/>
      <c r="ODU36" s="974"/>
      <c r="ODV36" s="974"/>
      <c r="ODW36" s="974"/>
      <c r="ODX36" s="974"/>
      <c r="ODY36" s="974"/>
      <c r="ODZ36" s="974"/>
      <c r="OEA36" s="974"/>
      <c r="OEB36" s="974"/>
      <c r="OEC36" s="974"/>
      <c r="OED36" s="974"/>
      <c r="OEE36" s="974"/>
      <c r="OEF36" s="974"/>
      <c r="OEG36" s="974"/>
      <c r="OEH36" s="974"/>
      <c r="OEI36" s="974"/>
      <c r="OEJ36" s="974"/>
      <c r="OEK36" s="974"/>
      <c r="OEL36" s="974"/>
      <c r="OEM36" s="974"/>
      <c r="OEN36" s="974"/>
      <c r="OEO36" s="974"/>
      <c r="OEP36" s="974"/>
      <c r="OEQ36" s="974"/>
      <c r="OER36" s="974"/>
      <c r="OES36" s="974"/>
      <c r="OET36" s="974"/>
      <c r="OEU36" s="974"/>
      <c r="OEV36" s="974"/>
      <c r="OEW36" s="974"/>
      <c r="OEX36" s="974"/>
      <c r="OEY36" s="974"/>
      <c r="OEZ36" s="974"/>
      <c r="OFA36" s="974"/>
      <c r="OFB36" s="974"/>
      <c r="OFC36" s="974"/>
      <c r="OFD36" s="974"/>
      <c r="OFE36" s="974"/>
      <c r="OFF36" s="974"/>
      <c r="OFG36" s="974"/>
      <c r="OFH36" s="974"/>
      <c r="OFI36" s="974"/>
      <c r="OFJ36" s="974"/>
      <c r="OFK36" s="974"/>
      <c r="OFL36" s="974"/>
      <c r="OFM36" s="974"/>
      <c r="OFN36" s="974"/>
      <c r="OFO36" s="974"/>
      <c r="OFP36" s="974"/>
      <c r="OFQ36" s="974"/>
      <c r="OFR36" s="974"/>
      <c r="OFS36" s="974"/>
      <c r="OFT36" s="974"/>
      <c r="OFU36" s="974"/>
      <c r="OFV36" s="974"/>
      <c r="OFW36" s="974"/>
      <c r="OFX36" s="974"/>
      <c r="OFY36" s="974"/>
      <c r="OFZ36" s="974"/>
      <c r="OGA36" s="974"/>
      <c r="OGB36" s="974"/>
      <c r="OGC36" s="974"/>
      <c r="OGD36" s="974"/>
      <c r="OGE36" s="974"/>
      <c r="OGF36" s="974"/>
      <c r="OGG36" s="974"/>
      <c r="OGH36" s="974"/>
      <c r="OGI36" s="974"/>
      <c r="OGJ36" s="974"/>
      <c r="OGK36" s="974"/>
      <c r="OGL36" s="974"/>
      <c r="OGM36" s="974"/>
      <c r="OGN36" s="974"/>
      <c r="OGO36" s="974"/>
      <c r="OGP36" s="974"/>
      <c r="OGQ36" s="974"/>
      <c r="OGR36" s="974"/>
      <c r="OGS36" s="974"/>
      <c r="OGT36" s="974"/>
      <c r="OGU36" s="974"/>
      <c r="OGV36" s="974"/>
      <c r="OGW36" s="974"/>
      <c r="OGX36" s="974"/>
      <c r="OGY36" s="974"/>
      <c r="OGZ36" s="974"/>
      <c r="OHA36" s="974"/>
      <c r="OHB36" s="974"/>
      <c r="OHC36" s="974"/>
      <c r="OHD36" s="974"/>
      <c r="OHE36" s="974"/>
      <c r="OHF36" s="974"/>
      <c r="OHG36" s="974"/>
      <c r="OHH36" s="974"/>
      <c r="OHI36" s="974"/>
      <c r="OHJ36" s="974"/>
      <c r="OHK36" s="974"/>
      <c r="OHL36" s="974"/>
      <c r="OHM36" s="974"/>
      <c r="OHN36" s="974"/>
      <c r="OHO36" s="974"/>
      <c r="OHP36" s="974"/>
      <c r="OHQ36" s="974"/>
      <c r="OHR36" s="974"/>
      <c r="OHS36" s="974"/>
      <c r="OHT36" s="974"/>
      <c r="OHU36" s="974"/>
      <c r="OHV36" s="974"/>
      <c r="OHW36" s="974"/>
      <c r="OHX36" s="974"/>
      <c r="OHY36" s="974"/>
      <c r="OHZ36" s="974"/>
      <c r="OIA36" s="974"/>
      <c r="OIB36" s="974"/>
      <c r="OIC36" s="974"/>
      <c r="OID36" s="974"/>
      <c r="OIE36" s="974"/>
      <c r="OIF36" s="974"/>
      <c r="OIG36" s="974"/>
      <c r="OIH36" s="974"/>
      <c r="OII36" s="974"/>
      <c r="OIJ36" s="974"/>
      <c r="OIK36" s="974"/>
      <c r="OIL36" s="974"/>
      <c r="OIM36" s="974"/>
      <c r="OIN36" s="974"/>
      <c r="OIO36" s="974"/>
      <c r="OIP36" s="974"/>
      <c r="OIQ36" s="974"/>
      <c r="OIR36" s="974"/>
      <c r="OIS36" s="974"/>
      <c r="OIT36" s="974"/>
      <c r="OIU36" s="974"/>
      <c r="OIV36" s="974"/>
      <c r="OIW36" s="974"/>
      <c r="OIX36" s="974"/>
      <c r="OIY36" s="974"/>
      <c r="OIZ36" s="974"/>
      <c r="OJA36" s="974"/>
      <c r="OJB36" s="974"/>
      <c r="OJC36" s="974"/>
      <c r="OJD36" s="974"/>
      <c r="OJE36" s="974"/>
      <c r="OJF36" s="974"/>
      <c r="OJG36" s="974"/>
      <c r="OJH36" s="974"/>
      <c r="OJI36" s="974"/>
      <c r="OJJ36" s="974"/>
      <c r="OJK36" s="974"/>
      <c r="OJL36" s="974"/>
      <c r="OJM36" s="974"/>
      <c r="OJN36" s="974"/>
      <c r="OJO36" s="974"/>
      <c r="OJP36" s="974"/>
      <c r="OJQ36" s="974"/>
      <c r="OJR36" s="974"/>
      <c r="OJS36" s="974"/>
      <c r="OJT36" s="974"/>
      <c r="OJU36" s="974"/>
      <c r="OJV36" s="974"/>
      <c r="OJW36" s="974"/>
      <c r="OJX36" s="974"/>
      <c r="OJY36" s="974"/>
      <c r="OJZ36" s="974"/>
      <c r="OKA36" s="974"/>
      <c r="OKB36" s="974"/>
      <c r="OKC36" s="974"/>
      <c r="OKD36" s="974"/>
      <c r="OKE36" s="974"/>
      <c r="OKF36" s="974"/>
      <c r="OKG36" s="974"/>
      <c r="OKH36" s="974"/>
      <c r="OKI36" s="974"/>
      <c r="OKJ36" s="974"/>
      <c r="OKK36" s="974"/>
      <c r="OKL36" s="974"/>
      <c r="OKM36" s="974"/>
      <c r="OKN36" s="974"/>
      <c r="OKO36" s="974"/>
      <c r="OKP36" s="974"/>
      <c r="OKQ36" s="974"/>
      <c r="OKR36" s="974"/>
      <c r="OKS36" s="974"/>
      <c r="OKT36" s="974"/>
      <c r="OKU36" s="974"/>
      <c r="OKV36" s="974"/>
      <c r="OKW36" s="974"/>
      <c r="OKX36" s="974"/>
      <c r="OKY36" s="974"/>
      <c r="OKZ36" s="974"/>
      <c r="OLA36" s="974"/>
      <c r="OLB36" s="974"/>
      <c r="OLC36" s="974"/>
      <c r="OLD36" s="974"/>
      <c r="OLE36" s="974"/>
      <c r="OLF36" s="974"/>
      <c r="OLG36" s="974"/>
      <c r="OLH36" s="974"/>
      <c r="OLI36" s="974"/>
      <c r="OLJ36" s="974"/>
      <c r="OLK36" s="974"/>
      <c r="OLL36" s="974"/>
      <c r="OLM36" s="974"/>
      <c r="OLN36" s="974"/>
      <c r="OLO36" s="974"/>
      <c r="OLP36" s="974"/>
      <c r="OLQ36" s="974"/>
      <c r="OLR36" s="974"/>
      <c r="OLS36" s="974"/>
      <c r="OLT36" s="974"/>
      <c r="OLU36" s="974"/>
      <c r="OLV36" s="974"/>
      <c r="OLW36" s="974"/>
      <c r="OLX36" s="974"/>
      <c r="OLY36" s="974"/>
      <c r="OLZ36" s="974"/>
      <c r="OMA36" s="974"/>
      <c r="OMB36" s="974"/>
      <c r="OMC36" s="974"/>
      <c r="OMD36" s="974"/>
      <c r="OME36" s="974"/>
      <c r="OMF36" s="974"/>
      <c r="OMG36" s="974"/>
      <c r="OMH36" s="974"/>
      <c r="OMI36" s="974"/>
      <c r="OMJ36" s="974"/>
      <c r="OMK36" s="974"/>
      <c r="OML36" s="974"/>
      <c r="OMM36" s="974"/>
      <c r="OMN36" s="974"/>
      <c r="OMO36" s="974"/>
      <c r="OMP36" s="974"/>
      <c r="OMQ36" s="974"/>
      <c r="OMR36" s="974"/>
      <c r="OMS36" s="974"/>
      <c r="OMT36" s="974"/>
      <c r="OMU36" s="974"/>
      <c r="OMV36" s="974"/>
      <c r="OMW36" s="974"/>
      <c r="OMX36" s="974"/>
      <c r="OMY36" s="974"/>
      <c r="OMZ36" s="974"/>
      <c r="ONA36" s="974"/>
      <c r="ONB36" s="974"/>
      <c r="ONC36" s="974"/>
      <c r="OND36" s="974"/>
      <c r="ONE36" s="974"/>
      <c r="ONF36" s="974"/>
      <c r="ONG36" s="974"/>
      <c r="ONH36" s="974"/>
      <c r="ONI36" s="974"/>
      <c r="ONJ36" s="974"/>
      <c r="ONK36" s="974"/>
      <c r="ONL36" s="974"/>
      <c r="ONM36" s="974"/>
      <c r="ONN36" s="974"/>
      <c r="ONO36" s="974"/>
      <c r="ONP36" s="974"/>
      <c r="ONQ36" s="974"/>
      <c r="ONR36" s="974"/>
      <c r="ONS36" s="974"/>
      <c r="ONT36" s="974"/>
      <c r="ONU36" s="974"/>
      <c r="ONV36" s="974"/>
      <c r="ONW36" s="974"/>
      <c r="ONX36" s="974"/>
      <c r="ONY36" s="974"/>
      <c r="ONZ36" s="974"/>
      <c r="OOA36" s="974"/>
      <c r="OOB36" s="974"/>
      <c r="OOC36" s="974"/>
      <c r="OOD36" s="974"/>
      <c r="OOE36" s="974"/>
      <c r="OOF36" s="974"/>
      <c r="OOG36" s="974"/>
      <c r="OOH36" s="974"/>
      <c r="OOI36" s="974"/>
      <c r="OOJ36" s="974"/>
      <c r="OOK36" s="974"/>
      <c r="OOL36" s="974"/>
      <c r="OOM36" s="974"/>
      <c r="OON36" s="974"/>
      <c r="OOO36" s="974"/>
      <c r="OOP36" s="974"/>
      <c r="OOQ36" s="974"/>
      <c r="OOR36" s="974"/>
      <c r="OOS36" s="974"/>
      <c r="OOT36" s="974"/>
      <c r="OOU36" s="974"/>
      <c r="OOV36" s="974"/>
      <c r="OOW36" s="974"/>
      <c r="OOX36" s="974"/>
      <c r="OOY36" s="974"/>
      <c r="OOZ36" s="974"/>
      <c r="OPA36" s="974"/>
      <c r="OPB36" s="974"/>
      <c r="OPC36" s="974"/>
      <c r="OPD36" s="974"/>
      <c r="OPE36" s="974"/>
      <c r="OPF36" s="974"/>
      <c r="OPG36" s="974"/>
      <c r="OPH36" s="974"/>
      <c r="OPI36" s="974"/>
      <c r="OPJ36" s="974"/>
      <c r="OPK36" s="974"/>
      <c r="OPL36" s="974"/>
      <c r="OPM36" s="974"/>
      <c r="OPN36" s="974"/>
      <c r="OPO36" s="974"/>
      <c r="OPP36" s="974"/>
      <c r="OPQ36" s="974"/>
      <c r="OPR36" s="974"/>
      <c r="OPS36" s="974"/>
      <c r="OPT36" s="974"/>
      <c r="OPU36" s="974"/>
      <c r="OPV36" s="974"/>
      <c r="OPW36" s="974"/>
      <c r="OPX36" s="974"/>
      <c r="OPY36" s="974"/>
      <c r="OPZ36" s="974"/>
      <c r="OQA36" s="974"/>
      <c r="OQB36" s="974"/>
      <c r="OQC36" s="974"/>
      <c r="OQD36" s="974"/>
      <c r="OQE36" s="974"/>
      <c r="OQF36" s="974"/>
      <c r="OQG36" s="974"/>
      <c r="OQH36" s="974"/>
      <c r="OQI36" s="974"/>
      <c r="OQJ36" s="974"/>
      <c r="OQK36" s="974"/>
      <c r="OQL36" s="974"/>
      <c r="OQM36" s="974"/>
      <c r="OQN36" s="974"/>
      <c r="OQO36" s="974"/>
      <c r="OQP36" s="974"/>
      <c r="OQQ36" s="974"/>
      <c r="OQR36" s="974"/>
      <c r="OQS36" s="974"/>
      <c r="OQT36" s="974"/>
      <c r="OQU36" s="974"/>
      <c r="OQV36" s="974"/>
      <c r="OQW36" s="974"/>
      <c r="OQX36" s="974"/>
      <c r="OQY36" s="974"/>
      <c r="OQZ36" s="974"/>
      <c r="ORA36" s="974"/>
      <c r="ORB36" s="974"/>
      <c r="ORC36" s="974"/>
      <c r="ORD36" s="974"/>
      <c r="ORE36" s="974"/>
      <c r="ORF36" s="974"/>
      <c r="ORG36" s="974"/>
      <c r="ORH36" s="974"/>
      <c r="ORI36" s="974"/>
      <c r="ORJ36" s="974"/>
      <c r="ORK36" s="974"/>
      <c r="ORL36" s="974"/>
      <c r="ORM36" s="974"/>
      <c r="ORN36" s="974"/>
      <c r="ORO36" s="974"/>
      <c r="ORP36" s="974"/>
      <c r="ORQ36" s="974"/>
      <c r="ORR36" s="974"/>
      <c r="ORS36" s="974"/>
      <c r="ORT36" s="974"/>
      <c r="ORU36" s="974"/>
      <c r="ORV36" s="974"/>
      <c r="ORW36" s="974"/>
      <c r="ORX36" s="974"/>
      <c r="ORY36" s="974"/>
      <c r="ORZ36" s="974"/>
      <c r="OSA36" s="974"/>
      <c r="OSB36" s="974"/>
      <c r="OSC36" s="974"/>
      <c r="OSD36" s="974"/>
      <c r="OSE36" s="974"/>
      <c r="OSF36" s="974"/>
      <c r="OSG36" s="974"/>
      <c r="OSH36" s="974"/>
      <c r="OSI36" s="974"/>
      <c r="OSJ36" s="974"/>
      <c r="OSK36" s="974"/>
      <c r="OSL36" s="974"/>
      <c r="OSM36" s="974"/>
      <c r="OSN36" s="974"/>
      <c r="OSO36" s="974"/>
      <c r="OSP36" s="974"/>
      <c r="OSQ36" s="974"/>
      <c r="OSR36" s="974"/>
      <c r="OSS36" s="974"/>
      <c r="OST36" s="974"/>
      <c r="OSU36" s="974"/>
      <c r="OSV36" s="974"/>
      <c r="OSW36" s="974"/>
      <c r="OSX36" s="974"/>
      <c r="OSY36" s="974"/>
      <c r="OSZ36" s="974"/>
      <c r="OTA36" s="974"/>
      <c r="OTB36" s="974"/>
      <c r="OTC36" s="974"/>
      <c r="OTD36" s="974"/>
      <c r="OTE36" s="974"/>
      <c r="OTF36" s="974"/>
      <c r="OTG36" s="974"/>
      <c r="OTH36" s="974"/>
      <c r="OTI36" s="974"/>
      <c r="OTJ36" s="974"/>
      <c r="OTK36" s="974"/>
      <c r="OTL36" s="974"/>
      <c r="OTM36" s="974"/>
      <c r="OTN36" s="974"/>
      <c r="OTO36" s="974"/>
      <c r="OTP36" s="974"/>
      <c r="OTQ36" s="974"/>
      <c r="OTR36" s="974"/>
      <c r="OTS36" s="974"/>
      <c r="OTT36" s="974"/>
      <c r="OTU36" s="974"/>
      <c r="OTV36" s="974"/>
      <c r="OTW36" s="974"/>
      <c r="OTX36" s="974"/>
      <c r="OTY36" s="974"/>
      <c r="OTZ36" s="974"/>
      <c r="OUA36" s="974"/>
      <c r="OUB36" s="974"/>
      <c r="OUC36" s="974"/>
      <c r="OUD36" s="974"/>
      <c r="OUE36" s="974"/>
      <c r="OUF36" s="974"/>
      <c r="OUG36" s="974"/>
      <c r="OUH36" s="974"/>
      <c r="OUI36" s="974"/>
      <c r="OUJ36" s="974"/>
      <c r="OUK36" s="974"/>
      <c r="OUL36" s="974"/>
      <c r="OUM36" s="974"/>
      <c r="OUN36" s="974"/>
      <c r="OUO36" s="974"/>
      <c r="OUP36" s="974"/>
      <c r="OUQ36" s="974"/>
      <c r="OUR36" s="974"/>
      <c r="OUS36" s="974"/>
      <c r="OUT36" s="974"/>
      <c r="OUU36" s="974"/>
      <c r="OUV36" s="974"/>
      <c r="OUW36" s="974"/>
      <c r="OUX36" s="974"/>
      <c r="OUY36" s="974"/>
      <c r="OUZ36" s="974"/>
      <c r="OVA36" s="974"/>
      <c r="OVB36" s="974"/>
      <c r="OVC36" s="974"/>
      <c r="OVD36" s="974"/>
      <c r="OVE36" s="974"/>
      <c r="OVF36" s="974"/>
      <c r="OVG36" s="974"/>
      <c r="OVH36" s="974"/>
      <c r="OVI36" s="974"/>
      <c r="OVJ36" s="974"/>
      <c r="OVK36" s="974"/>
      <c r="OVL36" s="974"/>
      <c r="OVM36" s="974"/>
      <c r="OVN36" s="974"/>
      <c r="OVO36" s="974"/>
      <c r="OVP36" s="974"/>
      <c r="OVQ36" s="974"/>
      <c r="OVR36" s="974"/>
      <c r="OVS36" s="974"/>
      <c r="OVT36" s="974"/>
      <c r="OVU36" s="974"/>
      <c r="OVV36" s="974"/>
      <c r="OVW36" s="974"/>
      <c r="OVX36" s="974"/>
      <c r="OVY36" s="974"/>
      <c r="OVZ36" s="974"/>
      <c r="OWA36" s="974"/>
      <c r="OWB36" s="974"/>
      <c r="OWC36" s="974"/>
      <c r="OWD36" s="974"/>
      <c r="OWE36" s="974"/>
      <c r="OWF36" s="974"/>
      <c r="OWG36" s="974"/>
      <c r="OWH36" s="974"/>
      <c r="OWI36" s="974"/>
      <c r="OWJ36" s="974"/>
      <c r="OWK36" s="974"/>
      <c r="OWL36" s="974"/>
      <c r="OWM36" s="974"/>
      <c r="OWN36" s="974"/>
      <c r="OWO36" s="974"/>
      <c r="OWP36" s="974"/>
      <c r="OWQ36" s="974"/>
      <c r="OWR36" s="974"/>
      <c r="OWS36" s="974"/>
      <c r="OWT36" s="974"/>
      <c r="OWU36" s="974"/>
      <c r="OWV36" s="974"/>
      <c r="OWW36" s="974"/>
      <c r="OWX36" s="974"/>
      <c r="OWY36" s="974"/>
      <c r="OWZ36" s="974"/>
      <c r="OXA36" s="974"/>
      <c r="OXB36" s="974"/>
      <c r="OXC36" s="974"/>
      <c r="OXD36" s="974"/>
      <c r="OXE36" s="974"/>
      <c r="OXF36" s="974"/>
      <c r="OXG36" s="974"/>
      <c r="OXH36" s="974"/>
      <c r="OXI36" s="974"/>
      <c r="OXJ36" s="974"/>
      <c r="OXK36" s="974"/>
      <c r="OXL36" s="974"/>
      <c r="OXM36" s="974"/>
      <c r="OXN36" s="974"/>
      <c r="OXO36" s="974"/>
      <c r="OXP36" s="974"/>
      <c r="OXQ36" s="974"/>
      <c r="OXR36" s="974"/>
      <c r="OXS36" s="974"/>
      <c r="OXT36" s="974"/>
      <c r="OXU36" s="974"/>
      <c r="OXV36" s="974"/>
      <c r="OXW36" s="974"/>
      <c r="OXX36" s="974"/>
      <c r="OXY36" s="974"/>
      <c r="OXZ36" s="974"/>
      <c r="OYA36" s="974"/>
      <c r="OYB36" s="974"/>
      <c r="OYC36" s="974"/>
      <c r="OYD36" s="974"/>
      <c r="OYE36" s="974"/>
      <c r="OYF36" s="974"/>
      <c r="OYG36" s="974"/>
      <c r="OYH36" s="974"/>
      <c r="OYI36" s="974"/>
      <c r="OYJ36" s="974"/>
      <c r="OYK36" s="974"/>
      <c r="OYL36" s="974"/>
      <c r="OYM36" s="974"/>
      <c r="OYN36" s="974"/>
      <c r="OYO36" s="974"/>
      <c r="OYP36" s="974"/>
      <c r="OYQ36" s="974"/>
      <c r="OYR36" s="974"/>
      <c r="OYS36" s="974"/>
      <c r="OYT36" s="974"/>
      <c r="OYU36" s="974"/>
      <c r="OYV36" s="974"/>
      <c r="OYW36" s="974"/>
      <c r="OYX36" s="974"/>
      <c r="OYY36" s="974"/>
      <c r="OYZ36" s="974"/>
      <c r="OZA36" s="974"/>
      <c r="OZB36" s="974"/>
      <c r="OZC36" s="974"/>
      <c r="OZD36" s="974"/>
      <c r="OZE36" s="974"/>
      <c r="OZF36" s="974"/>
      <c r="OZG36" s="974"/>
      <c r="OZH36" s="974"/>
      <c r="OZI36" s="974"/>
      <c r="OZJ36" s="974"/>
      <c r="OZK36" s="974"/>
      <c r="OZL36" s="974"/>
      <c r="OZM36" s="974"/>
      <c r="OZN36" s="974"/>
      <c r="OZO36" s="974"/>
      <c r="OZP36" s="974"/>
      <c r="OZQ36" s="974"/>
      <c r="OZR36" s="974"/>
      <c r="OZS36" s="974"/>
      <c r="OZT36" s="974"/>
      <c r="OZU36" s="974"/>
      <c r="OZV36" s="974"/>
      <c r="OZW36" s="974"/>
      <c r="OZX36" s="974"/>
      <c r="OZY36" s="974"/>
      <c r="OZZ36" s="974"/>
      <c r="PAA36" s="974"/>
      <c r="PAB36" s="974"/>
      <c r="PAC36" s="974"/>
      <c r="PAD36" s="974"/>
      <c r="PAE36" s="974"/>
      <c r="PAF36" s="974"/>
      <c r="PAG36" s="974"/>
      <c r="PAH36" s="974"/>
      <c r="PAI36" s="974"/>
      <c r="PAJ36" s="974"/>
      <c r="PAK36" s="974"/>
      <c r="PAL36" s="974"/>
      <c r="PAM36" s="974"/>
      <c r="PAN36" s="974"/>
      <c r="PAO36" s="974"/>
      <c r="PAP36" s="974"/>
      <c r="PAQ36" s="974"/>
      <c r="PAR36" s="974"/>
      <c r="PAS36" s="974"/>
      <c r="PAT36" s="974"/>
      <c r="PAU36" s="974"/>
      <c r="PAV36" s="974"/>
      <c r="PAW36" s="974"/>
      <c r="PAX36" s="974"/>
      <c r="PAY36" s="974"/>
      <c r="PAZ36" s="974"/>
      <c r="PBA36" s="974"/>
      <c r="PBB36" s="974"/>
      <c r="PBC36" s="974"/>
      <c r="PBD36" s="974"/>
      <c r="PBE36" s="974"/>
      <c r="PBF36" s="974"/>
      <c r="PBG36" s="974"/>
      <c r="PBH36" s="974"/>
      <c r="PBI36" s="974"/>
      <c r="PBJ36" s="974"/>
      <c r="PBK36" s="974"/>
      <c r="PBL36" s="974"/>
      <c r="PBM36" s="974"/>
      <c r="PBN36" s="974"/>
      <c r="PBO36" s="974"/>
      <c r="PBP36" s="974"/>
      <c r="PBQ36" s="974"/>
      <c r="PBR36" s="974"/>
      <c r="PBS36" s="974"/>
      <c r="PBT36" s="974"/>
      <c r="PBU36" s="974"/>
      <c r="PBV36" s="974"/>
      <c r="PBW36" s="974"/>
      <c r="PBX36" s="974"/>
      <c r="PBY36" s="974"/>
      <c r="PBZ36" s="974"/>
      <c r="PCA36" s="974"/>
      <c r="PCB36" s="974"/>
      <c r="PCC36" s="974"/>
      <c r="PCD36" s="974"/>
      <c r="PCE36" s="974"/>
      <c r="PCF36" s="974"/>
      <c r="PCG36" s="974"/>
      <c r="PCH36" s="974"/>
      <c r="PCI36" s="974"/>
      <c r="PCJ36" s="974"/>
      <c r="PCK36" s="974"/>
      <c r="PCL36" s="974"/>
      <c r="PCM36" s="974"/>
      <c r="PCN36" s="974"/>
      <c r="PCO36" s="974"/>
      <c r="PCP36" s="974"/>
      <c r="PCQ36" s="974"/>
      <c r="PCR36" s="974"/>
      <c r="PCS36" s="974"/>
      <c r="PCT36" s="974"/>
      <c r="PCU36" s="974"/>
      <c r="PCV36" s="974"/>
      <c r="PCW36" s="974"/>
      <c r="PCX36" s="974"/>
      <c r="PCY36" s="974"/>
      <c r="PCZ36" s="974"/>
      <c r="PDA36" s="974"/>
      <c r="PDB36" s="974"/>
      <c r="PDC36" s="974"/>
      <c r="PDD36" s="974"/>
      <c r="PDE36" s="974"/>
      <c r="PDF36" s="974"/>
      <c r="PDG36" s="974"/>
      <c r="PDH36" s="974"/>
      <c r="PDI36" s="974"/>
      <c r="PDJ36" s="974"/>
      <c r="PDK36" s="974"/>
      <c r="PDL36" s="974"/>
      <c r="PDM36" s="974"/>
      <c r="PDN36" s="974"/>
      <c r="PDO36" s="974"/>
      <c r="PDP36" s="974"/>
      <c r="PDQ36" s="974"/>
      <c r="PDR36" s="974"/>
      <c r="PDS36" s="974"/>
      <c r="PDT36" s="974"/>
      <c r="PDU36" s="974"/>
      <c r="PDV36" s="974"/>
      <c r="PDW36" s="974"/>
      <c r="PDX36" s="974"/>
      <c r="PDY36" s="974"/>
      <c r="PDZ36" s="974"/>
      <c r="PEA36" s="974"/>
      <c r="PEB36" s="974"/>
      <c r="PEC36" s="974"/>
      <c r="PED36" s="974"/>
      <c r="PEE36" s="974"/>
      <c r="PEF36" s="974"/>
      <c r="PEG36" s="974"/>
      <c r="PEH36" s="974"/>
      <c r="PEI36" s="974"/>
      <c r="PEJ36" s="974"/>
      <c r="PEK36" s="974"/>
      <c r="PEL36" s="974"/>
      <c r="PEM36" s="974"/>
      <c r="PEN36" s="974"/>
      <c r="PEO36" s="974"/>
      <c r="PEP36" s="974"/>
      <c r="PEQ36" s="974"/>
      <c r="PER36" s="974"/>
      <c r="PES36" s="974"/>
      <c r="PET36" s="974"/>
      <c r="PEU36" s="974"/>
      <c r="PEV36" s="974"/>
      <c r="PEW36" s="974"/>
      <c r="PEX36" s="974"/>
      <c r="PEY36" s="974"/>
      <c r="PEZ36" s="974"/>
      <c r="PFA36" s="974"/>
      <c r="PFB36" s="974"/>
      <c r="PFC36" s="974"/>
      <c r="PFD36" s="974"/>
      <c r="PFE36" s="974"/>
      <c r="PFF36" s="974"/>
      <c r="PFG36" s="974"/>
      <c r="PFH36" s="974"/>
      <c r="PFI36" s="974"/>
      <c r="PFJ36" s="974"/>
      <c r="PFK36" s="974"/>
      <c r="PFL36" s="974"/>
      <c r="PFM36" s="974"/>
      <c r="PFN36" s="974"/>
      <c r="PFO36" s="974"/>
      <c r="PFP36" s="974"/>
      <c r="PFQ36" s="974"/>
      <c r="PFR36" s="974"/>
      <c r="PFS36" s="974"/>
      <c r="PFT36" s="974"/>
      <c r="PFU36" s="974"/>
      <c r="PFV36" s="974"/>
      <c r="PFW36" s="974"/>
      <c r="PFX36" s="974"/>
      <c r="PFY36" s="974"/>
      <c r="PFZ36" s="974"/>
      <c r="PGA36" s="974"/>
      <c r="PGB36" s="974"/>
      <c r="PGC36" s="974"/>
      <c r="PGD36" s="974"/>
      <c r="PGE36" s="974"/>
      <c r="PGF36" s="974"/>
      <c r="PGG36" s="974"/>
      <c r="PGH36" s="974"/>
      <c r="PGI36" s="974"/>
      <c r="PGJ36" s="974"/>
      <c r="PGK36" s="974"/>
      <c r="PGL36" s="974"/>
      <c r="PGM36" s="974"/>
      <c r="PGN36" s="974"/>
      <c r="PGO36" s="974"/>
      <c r="PGP36" s="974"/>
      <c r="PGQ36" s="974"/>
      <c r="PGR36" s="974"/>
      <c r="PGS36" s="974"/>
      <c r="PGT36" s="974"/>
      <c r="PGU36" s="974"/>
      <c r="PGV36" s="974"/>
      <c r="PGW36" s="974"/>
      <c r="PGX36" s="974"/>
      <c r="PGY36" s="974"/>
      <c r="PGZ36" s="974"/>
      <c r="PHA36" s="974"/>
      <c r="PHB36" s="974"/>
      <c r="PHC36" s="974"/>
      <c r="PHD36" s="974"/>
      <c r="PHE36" s="974"/>
      <c r="PHF36" s="974"/>
      <c r="PHG36" s="974"/>
      <c r="PHH36" s="974"/>
      <c r="PHI36" s="974"/>
      <c r="PHJ36" s="974"/>
      <c r="PHK36" s="974"/>
      <c r="PHL36" s="974"/>
      <c r="PHM36" s="974"/>
      <c r="PHN36" s="974"/>
      <c r="PHO36" s="974"/>
      <c r="PHP36" s="974"/>
      <c r="PHQ36" s="974"/>
      <c r="PHR36" s="974"/>
      <c r="PHS36" s="974"/>
      <c r="PHT36" s="974"/>
      <c r="PHU36" s="974"/>
      <c r="PHV36" s="974"/>
      <c r="PHW36" s="974"/>
      <c r="PHX36" s="974"/>
      <c r="PHY36" s="974"/>
      <c r="PHZ36" s="974"/>
      <c r="PIA36" s="974"/>
      <c r="PIB36" s="974"/>
      <c r="PIC36" s="974"/>
      <c r="PID36" s="974"/>
      <c r="PIE36" s="974"/>
      <c r="PIF36" s="974"/>
      <c r="PIG36" s="974"/>
      <c r="PIH36" s="974"/>
      <c r="PII36" s="974"/>
      <c r="PIJ36" s="974"/>
      <c r="PIK36" s="974"/>
      <c r="PIL36" s="974"/>
      <c r="PIM36" s="974"/>
      <c r="PIN36" s="974"/>
      <c r="PIO36" s="974"/>
      <c r="PIP36" s="974"/>
      <c r="PIQ36" s="974"/>
      <c r="PIR36" s="974"/>
      <c r="PIS36" s="974"/>
      <c r="PIT36" s="974"/>
      <c r="PIU36" s="974"/>
      <c r="PIV36" s="974"/>
      <c r="PIW36" s="974"/>
      <c r="PIX36" s="974"/>
      <c r="PIY36" s="974"/>
      <c r="PIZ36" s="974"/>
      <c r="PJA36" s="974"/>
      <c r="PJB36" s="974"/>
      <c r="PJC36" s="974"/>
      <c r="PJD36" s="974"/>
      <c r="PJE36" s="974"/>
      <c r="PJF36" s="974"/>
      <c r="PJG36" s="974"/>
      <c r="PJH36" s="974"/>
      <c r="PJI36" s="974"/>
      <c r="PJJ36" s="974"/>
      <c r="PJK36" s="974"/>
      <c r="PJL36" s="974"/>
      <c r="PJM36" s="974"/>
      <c r="PJN36" s="974"/>
      <c r="PJO36" s="974"/>
      <c r="PJP36" s="974"/>
      <c r="PJQ36" s="974"/>
      <c r="PJR36" s="974"/>
      <c r="PJS36" s="974"/>
      <c r="PJT36" s="974"/>
      <c r="PJU36" s="974"/>
      <c r="PJV36" s="974"/>
      <c r="PJW36" s="974"/>
      <c r="PJX36" s="974"/>
      <c r="PJY36" s="974"/>
      <c r="PJZ36" s="974"/>
      <c r="PKA36" s="974"/>
      <c r="PKB36" s="974"/>
      <c r="PKC36" s="974"/>
      <c r="PKD36" s="974"/>
      <c r="PKE36" s="974"/>
      <c r="PKF36" s="974"/>
      <c r="PKG36" s="974"/>
      <c r="PKH36" s="974"/>
      <c r="PKI36" s="974"/>
      <c r="PKJ36" s="974"/>
      <c r="PKK36" s="974"/>
      <c r="PKL36" s="974"/>
      <c r="PKM36" s="974"/>
      <c r="PKN36" s="974"/>
      <c r="PKO36" s="974"/>
      <c r="PKP36" s="974"/>
      <c r="PKQ36" s="974"/>
      <c r="PKR36" s="974"/>
      <c r="PKS36" s="974"/>
      <c r="PKT36" s="974"/>
      <c r="PKU36" s="974"/>
      <c r="PKV36" s="974"/>
      <c r="PKW36" s="974"/>
      <c r="PKX36" s="974"/>
      <c r="PKY36" s="974"/>
      <c r="PKZ36" s="974"/>
      <c r="PLA36" s="974"/>
      <c r="PLB36" s="974"/>
      <c r="PLC36" s="974"/>
      <c r="PLD36" s="974"/>
      <c r="PLE36" s="974"/>
      <c r="PLF36" s="974"/>
      <c r="PLG36" s="974"/>
      <c r="PLH36" s="974"/>
      <c r="PLI36" s="974"/>
      <c r="PLJ36" s="974"/>
      <c r="PLK36" s="974"/>
      <c r="PLL36" s="974"/>
      <c r="PLM36" s="974"/>
      <c r="PLN36" s="974"/>
      <c r="PLO36" s="974"/>
      <c r="PLP36" s="974"/>
      <c r="PLQ36" s="974"/>
      <c r="PLR36" s="974"/>
      <c r="PLS36" s="974"/>
      <c r="PLT36" s="974"/>
      <c r="PLU36" s="974"/>
      <c r="PLV36" s="974"/>
      <c r="PLW36" s="974"/>
      <c r="PLX36" s="974"/>
      <c r="PLY36" s="974"/>
      <c r="PLZ36" s="974"/>
      <c r="PMA36" s="974"/>
      <c r="PMB36" s="974"/>
      <c r="PMC36" s="974"/>
      <c r="PMD36" s="974"/>
      <c r="PME36" s="974"/>
      <c r="PMF36" s="974"/>
      <c r="PMG36" s="974"/>
      <c r="PMH36" s="974"/>
      <c r="PMI36" s="974"/>
      <c r="PMJ36" s="974"/>
      <c r="PMK36" s="974"/>
      <c r="PML36" s="974"/>
      <c r="PMM36" s="974"/>
      <c r="PMN36" s="974"/>
      <c r="PMO36" s="974"/>
      <c r="PMP36" s="974"/>
      <c r="PMQ36" s="974"/>
      <c r="PMR36" s="974"/>
      <c r="PMS36" s="974"/>
      <c r="PMT36" s="974"/>
      <c r="PMU36" s="974"/>
      <c r="PMV36" s="974"/>
      <c r="PMW36" s="974"/>
      <c r="PMX36" s="974"/>
      <c r="PMY36" s="974"/>
      <c r="PMZ36" s="974"/>
      <c r="PNA36" s="974"/>
      <c r="PNB36" s="974"/>
      <c r="PNC36" s="974"/>
      <c r="PND36" s="974"/>
      <c r="PNE36" s="974"/>
      <c r="PNF36" s="974"/>
      <c r="PNG36" s="974"/>
      <c r="PNH36" s="974"/>
      <c r="PNI36" s="974"/>
      <c r="PNJ36" s="974"/>
      <c r="PNK36" s="974"/>
      <c r="PNL36" s="974"/>
      <c r="PNM36" s="974"/>
      <c r="PNN36" s="974"/>
      <c r="PNO36" s="974"/>
      <c r="PNP36" s="974"/>
      <c r="PNQ36" s="974"/>
      <c r="PNR36" s="974"/>
      <c r="PNS36" s="974"/>
      <c r="PNT36" s="974"/>
      <c r="PNU36" s="974"/>
      <c r="PNV36" s="974"/>
      <c r="PNW36" s="974"/>
      <c r="PNX36" s="974"/>
      <c r="PNY36" s="974"/>
      <c r="PNZ36" s="974"/>
      <c r="POA36" s="974"/>
      <c r="POB36" s="974"/>
      <c r="POC36" s="974"/>
      <c r="POD36" s="974"/>
      <c r="POE36" s="974"/>
      <c r="POF36" s="974"/>
      <c r="POG36" s="974"/>
      <c r="POH36" s="974"/>
      <c r="POI36" s="974"/>
      <c r="POJ36" s="974"/>
      <c r="POK36" s="974"/>
      <c r="POL36" s="974"/>
      <c r="POM36" s="974"/>
      <c r="PON36" s="974"/>
      <c r="POO36" s="974"/>
      <c r="POP36" s="974"/>
      <c r="POQ36" s="974"/>
      <c r="POR36" s="974"/>
      <c r="POS36" s="974"/>
      <c r="POT36" s="974"/>
      <c r="POU36" s="974"/>
      <c r="POV36" s="974"/>
      <c r="POW36" s="974"/>
      <c r="POX36" s="974"/>
      <c r="POY36" s="974"/>
      <c r="POZ36" s="974"/>
      <c r="PPA36" s="974"/>
      <c r="PPB36" s="974"/>
      <c r="PPC36" s="974"/>
      <c r="PPD36" s="974"/>
      <c r="PPE36" s="974"/>
      <c r="PPF36" s="974"/>
      <c r="PPG36" s="974"/>
      <c r="PPH36" s="974"/>
      <c r="PPI36" s="974"/>
      <c r="PPJ36" s="974"/>
      <c r="PPK36" s="974"/>
      <c r="PPL36" s="974"/>
      <c r="PPM36" s="974"/>
      <c r="PPN36" s="974"/>
      <c r="PPO36" s="974"/>
      <c r="PPP36" s="974"/>
      <c r="PPQ36" s="974"/>
      <c r="PPR36" s="974"/>
      <c r="PPS36" s="974"/>
      <c r="PPT36" s="974"/>
      <c r="PPU36" s="974"/>
      <c r="PPV36" s="974"/>
      <c r="PPW36" s="974"/>
      <c r="PPX36" s="974"/>
      <c r="PPY36" s="974"/>
      <c r="PPZ36" s="974"/>
      <c r="PQA36" s="974"/>
      <c r="PQB36" s="974"/>
      <c r="PQC36" s="974"/>
      <c r="PQD36" s="974"/>
      <c r="PQE36" s="974"/>
      <c r="PQF36" s="974"/>
      <c r="PQG36" s="974"/>
      <c r="PQH36" s="974"/>
      <c r="PQI36" s="974"/>
      <c r="PQJ36" s="974"/>
      <c r="PQK36" s="974"/>
      <c r="PQL36" s="974"/>
      <c r="PQM36" s="974"/>
      <c r="PQN36" s="974"/>
      <c r="PQO36" s="974"/>
      <c r="PQP36" s="974"/>
      <c r="PQQ36" s="974"/>
      <c r="PQR36" s="974"/>
      <c r="PQS36" s="974"/>
      <c r="PQT36" s="974"/>
      <c r="PQU36" s="974"/>
      <c r="PQV36" s="974"/>
      <c r="PQW36" s="974"/>
      <c r="PQX36" s="974"/>
      <c r="PQY36" s="974"/>
      <c r="PQZ36" s="974"/>
      <c r="PRA36" s="974"/>
      <c r="PRB36" s="974"/>
      <c r="PRC36" s="974"/>
      <c r="PRD36" s="974"/>
      <c r="PRE36" s="974"/>
      <c r="PRF36" s="974"/>
      <c r="PRG36" s="974"/>
      <c r="PRH36" s="974"/>
      <c r="PRI36" s="974"/>
      <c r="PRJ36" s="974"/>
      <c r="PRK36" s="974"/>
      <c r="PRL36" s="974"/>
      <c r="PRM36" s="974"/>
      <c r="PRN36" s="974"/>
      <c r="PRO36" s="974"/>
      <c r="PRP36" s="974"/>
      <c r="PRQ36" s="974"/>
      <c r="PRR36" s="974"/>
      <c r="PRS36" s="974"/>
      <c r="PRT36" s="974"/>
      <c r="PRU36" s="974"/>
      <c r="PRV36" s="974"/>
      <c r="PRW36" s="974"/>
      <c r="PRX36" s="974"/>
      <c r="PRY36" s="974"/>
      <c r="PRZ36" s="974"/>
      <c r="PSA36" s="974"/>
      <c r="PSB36" s="974"/>
      <c r="PSC36" s="974"/>
      <c r="PSD36" s="974"/>
      <c r="PSE36" s="974"/>
      <c r="PSF36" s="974"/>
      <c r="PSG36" s="974"/>
      <c r="PSH36" s="974"/>
      <c r="PSI36" s="974"/>
      <c r="PSJ36" s="974"/>
      <c r="PSK36" s="974"/>
      <c r="PSL36" s="974"/>
      <c r="PSM36" s="974"/>
      <c r="PSN36" s="974"/>
      <c r="PSO36" s="974"/>
      <c r="PSP36" s="974"/>
      <c r="PSQ36" s="974"/>
      <c r="PSR36" s="974"/>
      <c r="PSS36" s="974"/>
      <c r="PST36" s="974"/>
      <c r="PSU36" s="974"/>
      <c r="PSV36" s="974"/>
      <c r="PSW36" s="974"/>
      <c r="PSX36" s="974"/>
      <c r="PSY36" s="974"/>
      <c r="PSZ36" s="974"/>
      <c r="PTA36" s="974"/>
      <c r="PTB36" s="974"/>
      <c r="PTC36" s="974"/>
      <c r="PTD36" s="974"/>
      <c r="PTE36" s="974"/>
      <c r="PTF36" s="974"/>
      <c r="PTG36" s="974"/>
      <c r="PTH36" s="974"/>
      <c r="PTI36" s="974"/>
      <c r="PTJ36" s="974"/>
      <c r="PTK36" s="974"/>
      <c r="PTL36" s="974"/>
      <c r="PTM36" s="974"/>
      <c r="PTN36" s="974"/>
      <c r="PTO36" s="974"/>
      <c r="PTP36" s="974"/>
      <c r="PTQ36" s="974"/>
      <c r="PTR36" s="974"/>
      <c r="PTS36" s="974"/>
      <c r="PTT36" s="974"/>
      <c r="PTU36" s="974"/>
      <c r="PTV36" s="974"/>
      <c r="PTW36" s="974"/>
      <c r="PTX36" s="974"/>
      <c r="PTY36" s="974"/>
      <c r="PTZ36" s="974"/>
      <c r="PUA36" s="974"/>
      <c r="PUB36" s="974"/>
      <c r="PUC36" s="974"/>
      <c r="PUD36" s="974"/>
      <c r="PUE36" s="974"/>
      <c r="PUF36" s="974"/>
      <c r="PUG36" s="974"/>
      <c r="PUH36" s="974"/>
      <c r="PUI36" s="974"/>
      <c r="PUJ36" s="974"/>
      <c r="PUK36" s="974"/>
      <c r="PUL36" s="974"/>
      <c r="PUM36" s="974"/>
      <c r="PUN36" s="974"/>
      <c r="PUO36" s="974"/>
      <c r="PUP36" s="974"/>
      <c r="PUQ36" s="974"/>
      <c r="PUR36" s="974"/>
      <c r="PUS36" s="974"/>
      <c r="PUT36" s="974"/>
      <c r="PUU36" s="974"/>
      <c r="PUV36" s="974"/>
      <c r="PUW36" s="974"/>
      <c r="PUX36" s="974"/>
      <c r="PUY36" s="974"/>
      <c r="PUZ36" s="974"/>
      <c r="PVA36" s="974"/>
      <c r="PVB36" s="974"/>
      <c r="PVC36" s="974"/>
      <c r="PVD36" s="974"/>
      <c r="PVE36" s="974"/>
      <c r="PVF36" s="974"/>
      <c r="PVG36" s="974"/>
      <c r="PVH36" s="974"/>
      <c r="PVI36" s="974"/>
      <c r="PVJ36" s="974"/>
      <c r="PVK36" s="974"/>
      <c r="PVL36" s="974"/>
      <c r="PVM36" s="974"/>
      <c r="PVN36" s="974"/>
      <c r="PVO36" s="974"/>
      <c r="PVP36" s="974"/>
      <c r="PVQ36" s="974"/>
      <c r="PVR36" s="974"/>
      <c r="PVS36" s="974"/>
      <c r="PVT36" s="974"/>
      <c r="PVU36" s="974"/>
      <c r="PVV36" s="974"/>
      <c r="PVW36" s="974"/>
      <c r="PVX36" s="974"/>
      <c r="PVY36" s="974"/>
      <c r="PVZ36" s="974"/>
      <c r="PWA36" s="974"/>
      <c r="PWB36" s="974"/>
      <c r="PWC36" s="974"/>
      <c r="PWD36" s="974"/>
      <c r="PWE36" s="974"/>
      <c r="PWF36" s="974"/>
      <c r="PWG36" s="974"/>
      <c r="PWH36" s="974"/>
      <c r="PWI36" s="974"/>
      <c r="PWJ36" s="974"/>
      <c r="PWK36" s="974"/>
      <c r="PWL36" s="974"/>
      <c r="PWM36" s="974"/>
      <c r="PWN36" s="974"/>
      <c r="PWO36" s="974"/>
      <c r="PWP36" s="974"/>
      <c r="PWQ36" s="974"/>
      <c r="PWR36" s="974"/>
      <c r="PWS36" s="974"/>
      <c r="PWT36" s="974"/>
      <c r="PWU36" s="974"/>
      <c r="PWV36" s="974"/>
      <c r="PWW36" s="974"/>
      <c r="PWX36" s="974"/>
      <c r="PWY36" s="974"/>
      <c r="PWZ36" s="974"/>
      <c r="PXA36" s="974"/>
      <c r="PXB36" s="974"/>
      <c r="PXC36" s="974"/>
      <c r="PXD36" s="974"/>
      <c r="PXE36" s="974"/>
      <c r="PXF36" s="974"/>
      <c r="PXG36" s="974"/>
      <c r="PXH36" s="974"/>
      <c r="PXI36" s="974"/>
      <c r="PXJ36" s="974"/>
      <c r="PXK36" s="974"/>
      <c r="PXL36" s="974"/>
      <c r="PXM36" s="974"/>
      <c r="PXN36" s="974"/>
      <c r="PXO36" s="974"/>
      <c r="PXP36" s="974"/>
      <c r="PXQ36" s="974"/>
      <c r="PXR36" s="974"/>
      <c r="PXS36" s="974"/>
      <c r="PXT36" s="974"/>
      <c r="PXU36" s="974"/>
      <c r="PXV36" s="974"/>
      <c r="PXW36" s="974"/>
      <c r="PXX36" s="974"/>
      <c r="PXY36" s="974"/>
      <c r="PXZ36" s="974"/>
      <c r="PYA36" s="974"/>
      <c r="PYB36" s="974"/>
      <c r="PYC36" s="974"/>
      <c r="PYD36" s="974"/>
      <c r="PYE36" s="974"/>
      <c r="PYF36" s="974"/>
      <c r="PYG36" s="974"/>
      <c r="PYH36" s="974"/>
      <c r="PYI36" s="974"/>
      <c r="PYJ36" s="974"/>
      <c r="PYK36" s="974"/>
      <c r="PYL36" s="974"/>
      <c r="PYM36" s="974"/>
      <c r="PYN36" s="974"/>
      <c r="PYO36" s="974"/>
      <c r="PYP36" s="974"/>
      <c r="PYQ36" s="974"/>
      <c r="PYR36" s="974"/>
      <c r="PYS36" s="974"/>
      <c r="PYT36" s="974"/>
      <c r="PYU36" s="974"/>
      <c r="PYV36" s="974"/>
      <c r="PYW36" s="974"/>
      <c r="PYX36" s="974"/>
      <c r="PYY36" s="974"/>
      <c r="PYZ36" s="974"/>
      <c r="PZA36" s="974"/>
      <c r="PZB36" s="974"/>
      <c r="PZC36" s="974"/>
      <c r="PZD36" s="974"/>
      <c r="PZE36" s="974"/>
      <c r="PZF36" s="974"/>
      <c r="PZG36" s="974"/>
      <c r="PZH36" s="974"/>
      <c r="PZI36" s="974"/>
      <c r="PZJ36" s="974"/>
      <c r="PZK36" s="974"/>
      <c r="PZL36" s="974"/>
      <c r="PZM36" s="974"/>
      <c r="PZN36" s="974"/>
      <c r="PZO36" s="974"/>
      <c r="PZP36" s="974"/>
      <c r="PZQ36" s="974"/>
      <c r="PZR36" s="974"/>
      <c r="PZS36" s="974"/>
      <c r="PZT36" s="974"/>
      <c r="PZU36" s="974"/>
      <c r="PZV36" s="974"/>
      <c r="PZW36" s="974"/>
      <c r="PZX36" s="974"/>
      <c r="PZY36" s="974"/>
      <c r="PZZ36" s="974"/>
      <c r="QAA36" s="974"/>
      <c r="QAB36" s="974"/>
      <c r="QAC36" s="974"/>
      <c r="QAD36" s="974"/>
      <c r="QAE36" s="974"/>
      <c r="QAF36" s="974"/>
      <c r="QAG36" s="974"/>
      <c r="QAH36" s="974"/>
      <c r="QAI36" s="974"/>
      <c r="QAJ36" s="974"/>
      <c r="QAK36" s="974"/>
      <c r="QAL36" s="974"/>
      <c r="QAM36" s="974"/>
      <c r="QAN36" s="974"/>
      <c r="QAO36" s="974"/>
      <c r="QAP36" s="974"/>
      <c r="QAQ36" s="974"/>
      <c r="QAR36" s="974"/>
      <c r="QAS36" s="974"/>
      <c r="QAT36" s="974"/>
      <c r="QAU36" s="974"/>
      <c r="QAV36" s="974"/>
      <c r="QAW36" s="974"/>
      <c r="QAX36" s="974"/>
      <c r="QAY36" s="974"/>
      <c r="QAZ36" s="974"/>
      <c r="QBA36" s="974"/>
      <c r="QBB36" s="974"/>
      <c r="QBC36" s="974"/>
      <c r="QBD36" s="974"/>
      <c r="QBE36" s="974"/>
      <c r="QBF36" s="974"/>
      <c r="QBG36" s="974"/>
      <c r="QBH36" s="974"/>
      <c r="QBI36" s="974"/>
      <c r="QBJ36" s="974"/>
      <c r="QBK36" s="974"/>
      <c r="QBL36" s="974"/>
      <c r="QBM36" s="974"/>
      <c r="QBN36" s="974"/>
      <c r="QBO36" s="974"/>
      <c r="QBP36" s="974"/>
      <c r="QBQ36" s="974"/>
      <c r="QBR36" s="974"/>
      <c r="QBS36" s="974"/>
      <c r="QBT36" s="974"/>
      <c r="QBU36" s="974"/>
      <c r="QBV36" s="974"/>
      <c r="QBW36" s="974"/>
      <c r="QBX36" s="974"/>
      <c r="QBY36" s="974"/>
      <c r="QBZ36" s="974"/>
      <c r="QCA36" s="974"/>
      <c r="QCB36" s="974"/>
      <c r="QCC36" s="974"/>
      <c r="QCD36" s="974"/>
      <c r="QCE36" s="974"/>
      <c r="QCF36" s="974"/>
      <c r="QCG36" s="974"/>
      <c r="QCH36" s="974"/>
      <c r="QCI36" s="974"/>
      <c r="QCJ36" s="974"/>
      <c r="QCK36" s="974"/>
      <c r="QCL36" s="974"/>
      <c r="QCM36" s="974"/>
      <c r="QCN36" s="974"/>
      <c r="QCO36" s="974"/>
      <c r="QCP36" s="974"/>
      <c r="QCQ36" s="974"/>
      <c r="QCR36" s="974"/>
      <c r="QCS36" s="974"/>
      <c r="QCT36" s="974"/>
      <c r="QCU36" s="974"/>
      <c r="QCV36" s="974"/>
      <c r="QCW36" s="974"/>
      <c r="QCX36" s="974"/>
      <c r="QCY36" s="974"/>
      <c r="QCZ36" s="974"/>
      <c r="QDA36" s="974"/>
      <c r="QDB36" s="974"/>
      <c r="QDC36" s="974"/>
      <c r="QDD36" s="974"/>
      <c r="QDE36" s="974"/>
      <c r="QDF36" s="974"/>
      <c r="QDG36" s="974"/>
      <c r="QDH36" s="974"/>
      <c r="QDI36" s="974"/>
      <c r="QDJ36" s="974"/>
      <c r="QDK36" s="974"/>
      <c r="QDL36" s="974"/>
      <c r="QDM36" s="974"/>
      <c r="QDN36" s="974"/>
      <c r="QDO36" s="974"/>
      <c r="QDP36" s="974"/>
      <c r="QDQ36" s="974"/>
      <c r="QDR36" s="974"/>
      <c r="QDS36" s="974"/>
      <c r="QDT36" s="974"/>
      <c r="QDU36" s="974"/>
      <c r="QDV36" s="974"/>
      <c r="QDW36" s="974"/>
      <c r="QDX36" s="974"/>
      <c r="QDY36" s="974"/>
      <c r="QDZ36" s="974"/>
      <c r="QEA36" s="974"/>
      <c r="QEB36" s="974"/>
      <c r="QEC36" s="974"/>
      <c r="QED36" s="974"/>
      <c r="QEE36" s="974"/>
      <c r="QEF36" s="974"/>
      <c r="QEG36" s="974"/>
      <c r="QEH36" s="974"/>
      <c r="QEI36" s="974"/>
      <c r="QEJ36" s="974"/>
      <c r="QEK36" s="974"/>
      <c r="QEL36" s="974"/>
      <c r="QEM36" s="974"/>
      <c r="QEN36" s="974"/>
      <c r="QEO36" s="974"/>
      <c r="QEP36" s="974"/>
      <c r="QEQ36" s="974"/>
      <c r="QER36" s="974"/>
      <c r="QES36" s="974"/>
      <c r="QET36" s="974"/>
      <c r="QEU36" s="974"/>
      <c r="QEV36" s="974"/>
      <c r="QEW36" s="974"/>
      <c r="QEX36" s="974"/>
      <c r="QEY36" s="974"/>
      <c r="QEZ36" s="974"/>
      <c r="QFA36" s="974"/>
      <c r="QFB36" s="974"/>
      <c r="QFC36" s="974"/>
      <c r="QFD36" s="974"/>
      <c r="QFE36" s="974"/>
      <c r="QFF36" s="974"/>
      <c r="QFG36" s="974"/>
      <c r="QFH36" s="974"/>
      <c r="QFI36" s="974"/>
      <c r="QFJ36" s="974"/>
      <c r="QFK36" s="974"/>
      <c r="QFL36" s="974"/>
      <c r="QFM36" s="974"/>
      <c r="QFN36" s="974"/>
      <c r="QFO36" s="974"/>
      <c r="QFP36" s="974"/>
      <c r="QFQ36" s="974"/>
      <c r="QFR36" s="974"/>
      <c r="QFS36" s="974"/>
      <c r="QFT36" s="974"/>
      <c r="QFU36" s="974"/>
      <c r="QFV36" s="974"/>
      <c r="QFW36" s="974"/>
      <c r="QFX36" s="974"/>
      <c r="QFY36" s="974"/>
      <c r="QFZ36" s="974"/>
      <c r="QGA36" s="974"/>
      <c r="QGB36" s="974"/>
      <c r="QGC36" s="974"/>
      <c r="QGD36" s="974"/>
      <c r="QGE36" s="974"/>
      <c r="QGF36" s="974"/>
      <c r="QGG36" s="974"/>
      <c r="QGH36" s="974"/>
      <c r="QGI36" s="974"/>
      <c r="QGJ36" s="974"/>
      <c r="QGK36" s="974"/>
      <c r="QGL36" s="974"/>
      <c r="QGM36" s="974"/>
      <c r="QGN36" s="974"/>
      <c r="QGO36" s="974"/>
      <c r="QGP36" s="974"/>
      <c r="QGQ36" s="974"/>
      <c r="QGR36" s="974"/>
      <c r="QGS36" s="974"/>
      <c r="QGT36" s="974"/>
      <c r="QGU36" s="974"/>
      <c r="QGV36" s="974"/>
      <c r="QGW36" s="974"/>
      <c r="QGX36" s="974"/>
      <c r="QGY36" s="974"/>
      <c r="QGZ36" s="974"/>
      <c r="QHA36" s="974"/>
      <c r="QHB36" s="974"/>
      <c r="QHC36" s="974"/>
      <c r="QHD36" s="974"/>
      <c r="QHE36" s="974"/>
      <c r="QHF36" s="974"/>
      <c r="QHG36" s="974"/>
      <c r="QHH36" s="974"/>
      <c r="QHI36" s="974"/>
      <c r="QHJ36" s="974"/>
      <c r="QHK36" s="974"/>
      <c r="QHL36" s="974"/>
      <c r="QHM36" s="974"/>
      <c r="QHN36" s="974"/>
      <c r="QHO36" s="974"/>
      <c r="QHP36" s="974"/>
      <c r="QHQ36" s="974"/>
      <c r="QHR36" s="974"/>
      <c r="QHS36" s="974"/>
      <c r="QHT36" s="974"/>
      <c r="QHU36" s="974"/>
      <c r="QHV36" s="974"/>
      <c r="QHW36" s="974"/>
      <c r="QHX36" s="974"/>
      <c r="QHY36" s="974"/>
      <c r="QHZ36" s="974"/>
      <c r="QIA36" s="974"/>
      <c r="QIB36" s="974"/>
      <c r="QIC36" s="974"/>
      <c r="QID36" s="974"/>
      <c r="QIE36" s="974"/>
      <c r="QIF36" s="974"/>
      <c r="QIG36" s="974"/>
      <c r="QIH36" s="974"/>
      <c r="QII36" s="974"/>
      <c r="QIJ36" s="974"/>
      <c r="QIK36" s="974"/>
      <c r="QIL36" s="974"/>
      <c r="QIM36" s="974"/>
      <c r="QIN36" s="974"/>
      <c r="QIO36" s="974"/>
      <c r="QIP36" s="974"/>
      <c r="QIQ36" s="974"/>
      <c r="QIR36" s="974"/>
      <c r="QIS36" s="974"/>
      <c r="QIT36" s="974"/>
      <c r="QIU36" s="974"/>
      <c r="QIV36" s="974"/>
      <c r="QIW36" s="974"/>
      <c r="QIX36" s="974"/>
      <c r="QIY36" s="974"/>
      <c r="QIZ36" s="974"/>
      <c r="QJA36" s="974"/>
      <c r="QJB36" s="974"/>
      <c r="QJC36" s="974"/>
      <c r="QJD36" s="974"/>
      <c r="QJE36" s="974"/>
      <c r="QJF36" s="974"/>
      <c r="QJG36" s="974"/>
      <c r="QJH36" s="974"/>
      <c r="QJI36" s="974"/>
      <c r="QJJ36" s="974"/>
      <c r="QJK36" s="974"/>
      <c r="QJL36" s="974"/>
      <c r="QJM36" s="974"/>
      <c r="QJN36" s="974"/>
      <c r="QJO36" s="974"/>
      <c r="QJP36" s="974"/>
      <c r="QJQ36" s="974"/>
      <c r="QJR36" s="974"/>
      <c r="QJS36" s="974"/>
      <c r="QJT36" s="974"/>
      <c r="QJU36" s="974"/>
      <c r="QJV36" s="974"/>
      <c r="QJW36" s="974"/>
      <c r="QJX36" s="974"/>
      <c r="QJY36" s="974"/>
      <c r="QJZ36" s="974"/>
      <c r="QKA36" s="974"/>
      <c r="QKB36" s="974"/>
      <c r="QKC36" s="974"/>
      <c r="QKD36" s="974"/>
      <c r="QKE36" s="974"/>
      <c r="QKF36" s="974"/>
      <c r="QKG36" s="974"/>
      <c r="QKH36" s="974"/>
      <c r="QKI36" s="974"/>
      <c r="QKJ36" s="974"/>
      <c r="QKK36" s="974"/>
      <c r="QKL36" s="974"/>
      <c r="QKM36" s="974"/>
      <c r="QKN36" s="974"/>
      <c r="QKO36" s="974"/>
      <c r="QKP36" s="974"/>
      <c r="QKQ36" s="974"/>
      <c r="QKR36" s="974"/>
      <c r="QKS36" s="974"/>
      <c r="QKT36" s="974"/>
      <c r="QKU36" s="974"/>
      <c r="QKV36" s="974"/>
      <c r="QKW36" s="974"/>
      <c r="QKX36" s="974"/>
      <c r="QKY36" s="974"/>
      <c r="QKZ36" s="974"/>
      <c r="QLA36" s="974"/>
      <c r="QLB36" s="974"/>
      <c r="QLC36" s="974"/>
      <c r="QLD36" s="974"/>
      <c r="QLE36" s="974"/>
      <c r="QLF36" s="974"/>
      <c r="QLG36" s="974"/>
      <c r="QLH36" s="974"/>
      <c r="QLI36" s="974"/>
      <c r="QLJ36" s="974"/>
      <c r="QLK36" s="974"/>
      <c r="QLL36" s="974"/>
      <c r="QLM36" s="974"/>
      <c r="QLN36" s="974"/>
      <c r="QLO36" s="974"/>
      <c r="QLP36" s="974"/>
      <c r="QLQ36" s="974"/>
      <c r="QLR36" s="974"/>
      <c r="QLS36" s="974"/>
      <c r="QLT36" s="974"/>
      <c r="QLU36" s="974"/>
      <c r="QLV36" s="974"/>
      <c r="QLW36" s="974"/>
      <c r="QLX36" s="974"/>
      <c r="QLY36" s="974"/>
      <c r="QLZ36" s="974"/>
      <c r="QMA36" s="974"/>
      <c r="QMB36" s="974"/>
      <c r="QMC36" s="974"/>
      <c r="QMD36" s="974"/>
      <c r="QME36" s="974"/>
      <c r="QMF36" s="974"/>
      <c r="QMG36" s="974"/>
      <c r="QMH36" s="974"/>
      <c r="QMI36" s="974"/>
      <c r="QMJ36" s="974"/>
      <c r="QMK36" s="974"/>
      <c r="QML36" s="974"/>
      <c r="QMM36" s="974"/>
      <c r="QMN36" s="974"/>
      <c r="QMO36" s="974"/>
      <c r="QMP36" s="974"/>
      <c r="QMQ36" s="974"/>
      <c r="QMR36" s="974"/>
      <c r="QMS36" s="974"/>
      <c r="QMT36" s="974"/>
      <c r="QMU36" s="974"/>
      <c r="QMV36" s="974"/>
      <c r="QMW36" s="974"/>
      <c r="QMX36" s="974"/>
      <c r="QMY36" s="974"/>
      <c r="QMZ36" s="974"/>
      <c r="QNA36" s="974"/>
      <c r="QNB36" s="974"/>
      <c r="QNC36" s="974"/>
      <c r="QND36" s="974"/>
      <c r="QNE36" s="974"/>
      <c r="QNF36" s="974"/>
      <c r="QNG36" s="974"/>
      <c r="QNH36" s="974"/>
      <c r="QNI36" s="974"/>
      <c r="QNJ36" s="974"/>
      <c r="QNK36" s="974"/>
      <c r="QNL36" s="974"/>
      <c r="QNM36" s="974"/>
      <c r="QNN36" s="974"/>
      <c r="QNO36" s="974"/>
      <c r="QNP36" s="974"/>
      <c r="QNQ36" s="974"/>
      <c r="QNR36" s="974"/>
      <c r="QNS36" s="974"/>
      <c r="QNT36" s="974"/>
      <c r="QNU36" s="974"/>
      <c r="QNV36" s="974"/>
      <c r="QNW36" s="974"/>
      <c r="QNX36" s="974"/>
      <c r="QNY36" s="974"/>
      <c r="QNZ36" s="974"/>
      <c r="QOA36" s="974"/>
      <c r="QOB36" s="974"/>
      <c r="QOC36" s="974"/>
      <c r="QOD36" s="974"/>
      <c r="QOE36" s="974"/>
      <c r="QOF36" s="974"/>
      <c r="QOG36" s="974"/>
      <c r="QOH36" s="974"/>
      <c r="QOI36" s="974"/>
      <c r="QOJ36" s="974"/>
      <c r="QOK36" s="974"/>
      <c r="QOL36" s="974"/>
      <c r="QOM36" s="974"/>
      <c r="QON36" s="974"/>
      <c r="QOO36" s="974"/>
      <c r="QOP36" s="974"/>
      <c r="QOQ36" s="974"/>
      <c r="QOR36" s="974"/>
      <c r="QOS36" s="974"/>
      <c r="QOT36" s="974"/>
      <c r="QOU36" s="974"/>
      <c r="QOV36" s="974"/>
      <c r="QOW36" s="974"/>
      <c r="QOX36" s="974"/>
      <c r="QOY36" s="974"/>
      <c r="QOZ36" s="974"/>
      <c r="QPA36" s="974"/>
      <c r="QPB36" s="974"/>
      <c r="QPC36" s="974"/>
      <c r="QPD36" s="974"/>
      <c r="QPE36" s="974"/>
      <c r="QPF36" s="974"/>
      <c r="QPG36" s="974"/>
      <c r="QPH36" s="974"/>
      <c r="QPI36" s="974"/>
      <c r="QPJ36" s="974"/>
      <c r="QPK36" s="974"/>
      <c r="QPL36" s="974"/>
      <c r="QPM36" s="974"/>
      <c r="QPN36" s="974"/>
      <c r="QPO36" s="974"/>
      <c r="QPP36" s="974"/>
      <c r="QPQ36" s="974"/>
      <c r="QPR36" s="974"/>
      <c r="QPS36" s="974"/>
      <c r="QPT36" s="974"/>
      <c r="QPU36" s="974"/>
      <c r="QPV36" s="974"/>
      <c r="QPW36" s="974"/>
      <c r="QPX36" s="974"/>
      <c r="QPY36" s="974"/>
      <c r="QPZ36" s="974"/>
      <c r="QQA36" s="974"/>
      <c r="QQB36" s="974"/>
      <c r="QQC36" s="974"/>
      <c r="QQD36" s="974"/>
      <c r="QQE36" s="974"/>
      <c r="QQF36" s="974"/>
      <c r="QQG36" s="974"/>
      <c r="QQH36" s="974"/>
      <c r="QQI36" s="974"/>
      <c r="QQJ36" s="974"/>
      <c r="QQK36" s="974"/>
      <c r="QQL36" s="974"/>
      <c r="QQM36" s="974"/>
      <c r="QQN36" s="974"/>
      <c r="QQO36" s="974"/>
      <c r="QQP36" s="974"/>
      <c r="QQQ36" s="974"/>
      <c r="QQR36" s="974"/>
      <c r="QQS36" s="974"/>
      <c r="QQT36" s="974"/>
      <c r="QQU36" s="974"/>
      <c r="QQV36" s="974"/>
      <c r="QQW36" s="974"/>
      <c r="QQX36" s="974"/>
      <c r="QQY36" s="974"/>
      <c r="QQZ36" s="974"/>
      <c r="QRA36" s="974"/>
      <c r="QRB36" s="974"/>
      <c r="QRC36" s="974"/>
      <c r="QRD36" s="974"/>
      <c r="QRE36" s="974"/>
      <c r="QRF36" s="974"/>
      <c r="QRG36" s="974"/>
      <c r="QRH36" s="974"/>
      <c r="QRI36" s="974"/>
      <c r="QRJ36" s="974"/>
      <c r="QRK36" s="974"/>
      <c r="QRL36" s="974"/>
      <c r="QRM36" s="974"/>
      <c r="QRN36" s="974"/>
      <c r="QRO36" s="974"/>
      <c r="QRP36" s="974"/>
      <c r="QRQ36" s="974"/>
      <c r="QRR36" s="974"/>
      <c r="QRS36" s="974"/>
      <c r="QRT36" s="974"/>
      <c r="QRU36" s="974"/>
      <c r="QRV36" s="974"/>
      <c r="QRW36" s="974"/>
      <c r="QRX36" s="974"/>
      <c r="QRY36" s="974"/>
      <c r="QRZ36" s="974"/>
      <c r="QSA36" s="974"/>
      <c r="QSB36" s="974"/>
      <c r="QSC36" s="974"/>
      <c r="QSD36" s="974"/>
      <c r="QSE36" s="974"/>
      <c r="QSF36" s="974"/>
      <c r="QSG36" s="974"/>
      <c r="QSH36" s="974"/>
      <c r="QSI36" s="974"/>
      <c r="QSJ36" s="974"/>
      <c r="QSK36" s="974"/>
      <c r="QSL36" s="974"/>
      <c r="QSM36" s="974"/>
      <c r="QSN36" s="974"/>
      <c r="QSO36" s="974"/>
      <c r="QSP36" s="974"/>
      <c r="QSQ36" s="974"/>
      <c r="QSR36" s="974"/>
      <c r="QSS36" s="974"/>
      <c r="QST36" s="974"/>
      <c r="QSU36" s="974"/>
      <c r="QSV36" s="974"/>
      <c r="QSW36" s="974"/>
      <c r="QSX36" s="974"/>
      <c r="QSY36" s="974"/>
      <c r="QSZ36" s="974"/>
      <c r="QTA36" s="974"/>
      <c r="QTB36" s="974"/>
      <c r="QTC36" s="974"/>
      <c r="QTD36" s="974"/>
      <c r="QTE36" s="974"/>
      <c r="QTF36" s="974"/>
      <c r="QTG36" s="974"/>
      <c r="QTH36" s="974"/>
      <c r="QTI36" s="974"/>
      <c r="QTJ36" s="974"/>
      <c r="QTK36" s="974"/>
      <c r="QTL36" s="974"/>
      <c r="QTM36" s="974"/>
      <c r="QTN36" s="974"/>
      <c r="QTO36" s="974"/>
      <c r="QTP36" s="974"/>
      <c r="QTQ36" s="974"/>
      <c r="QTR36" s="974"/>
      <c r="QTS36" s="974"/>
      <c r="QTT36" s="974"/>
      <c r="QTU36" s="974"/>
      <c r="QTV36" s="974"/>
      <c r="QTW36" s="974"/>
      <c r="QTX36" s="974"/>
      <c r="QTY36" s="974"/>
      <c r="QTZ36" s="974"/>
      <c r="QUA36" s="974"/>
      <c r="QUB36" s="974"/>
      <c r="QUC36" s="974"/>
      <c r="QUD36" s="974"/>
      <c r="QUE36" s="974"/>
      <c r="QUF36" s="974"/>
      <c r="QUG36" s="974"/>
      <c r="QUH36" s="974"/>
      <c r="QUI36" s="974"/>
      <c r="QUJ36" s="974"/>
      <c r="QUK36" s="974"/>
      <c r="QUL36" s="974"/>
      <c r="QUM36" s="974"/>
      <c r="QUN36" s="974"/>
      <c r="QUO36" s="974"/>
      <c r="QUP36" s="974"/>
      <c r="QUQ36" s="974"/>
      <c r="QUR36" s="974"/>
      <c r="QUS36" s="974"/>
      <c r="QUT36" s="974"/>
      <c r="QUU36" s="974"/>
      <c r="QUV36" s="974"/>
      <c r="QUW36" s="974"/>
      <c r="QUX36" s="974"/>
      <c r="QUY36" s="974"/>
      <c r="QUZ36" s="974"/>
      <c r="QVA36" s="974"/>
      <c r="QVB36" s="974"/>
      <c r="QVC36" s="974"/>
      <c r="QVD36" s="974"/>
      <c r="QVE36" s="974"/>
      <c r="QVF36" s="974"/>
      <c r="QVG36" s="974"/>
      <c r="QVH36" s="974"/>
      <c r="QVI36" s="974"/>
      <c r="QVJ36" s="974"/>
      <c r="QVK36" s="974"/>
      <c r="QVL36" s="974"/>
      <c r="QVM36" s="974"/>
      <c r="QVN36" s="974"/>
      <c r="QVO36" s="974"/>
      <c r="QVP36" s="974"/>
      <c r="QVQ36" s="974"/>
      <c r="QVR36" s="974"/>
      <c r="QVS36" s="974"/>
      <c r="QVT36" s="974"/>
      <c r="QVU36" s="974"/>
      <c r="QVV36" s="974"/>
      <c r="QVW36" s="974"/>
      <c r="QVX36" s="974"/>
      <c r="QVY36" s="974"/>
      <c r="QVZ36" s="974"/>
      <c r="QWA36" s="974"/>
      <c r="QWB36" s="974"/>
      <c r="QWC36" s="974"/>
      <c r="QWD36" s="974"/>
      <c r="QWE36" s="974"/>
      <c r="QWF36" s="974"/>
      <c r="QWG36" s="974"/>
      <c r="QWH36" s="974"/>
      <c r="QWI36" s="974"/>
      <c r="QWJ36" s="974"/>
      <c r="QWK36" s="974"/>
      <c r="QWL36" s="974"/>
      <c r="QWM36" s="974"/>
      <c r="QWN36" s="974"/>
      <c r="QWO36" s="974"/>
      <c r="QWP36" s="974"/>
      <c r="QWQ36" s="974"/>
      <c r="QWR36" s="974"/>
      <c r="QWS36" s="974"/>
      <c r="QWT36" s="974"/>
      <c r="QWU36" s="974"/>
      <c r="QWV36" s="974"/>
      <c r="QWW36" s="974"/>
      <c r="QWX36" s="974"/>
      <c r="QWY36" s="974"/>
      <c r="QWZ36" s="974"/>
      <c r="QXA36" s="974"/>
      <c r="QXB36" s="974"/>
      <c r="QXC36" s="974"/>
      <c r="QXD36" s="974"/>
      <c r="QXE36" s="974"/>
      <c r="QXF36" s="974"/>
      <c r="QXG36" s="974"/>
      <c r="QXH36" s="974"/>
      <c r="QXI36" s="974"/>
      <c r="QXJ36" s="974"/>
      <c r="QXK36" s="974"/>
      <c r="QXL36" s="974"/>
      <c r="QXM36" s="974"/>
      <c r="QXN36" s="974"/>
      <c r="QXO36" s="974"/>
      <c r="QXP36" s="974"/>
      <c r="QXQ36" s="974"/>
      <c r="QXR36" s="974"/>
      <c r="QXS36" s="974"/>
      <c r="QXT36" s="974"/>
      <c r="QXU36" s="974"/>
      <c r="QXV36" s="974"/>
      <c r="QXW36" s="974"/>
      <c r="QXX36" s="974"/>
      <c r="QXY36" s="974"/>
      <c r="QXZ36" s="974"/>
      <c r="QYA36" s="974"/>
      <c r="QYB36" s="974"/>
      <c r="QYC36" s="974"/>
      <c r="QYD36" s="974"/>
      <c r="QYE36" s="974"/>
      <c r="QYF36" s="974"/>
      <c r="QYG36" s="974"/>
      <c r="QYH36" s="974"/>
      <c r="QYI36" s="974"/>
      <c r="QYJ36" s="974"/>
      <c r="QYK36" s="974"/>
      <c r="QYL36" s="974"/>
      <c r="QYM36" s="974"/>
      <c r="QYN36" s="974"/>
      <c r="QYO36" s="974"/>
      <c r="QYP36" s="974"/>
      <c r="QYQ36" s="974"/>
      <c r="QYR36" s="974"/>
      <c r="QYS36" s="974"/>
      <c r="QYT36" s="974"/>
      <c r="QYU36" s="974"/>
      <c r="QYV36" s="974"/>
      <c r="QYW36" s="974"/>
      <c r="QYX36" s="974"/>
      <c r="QYY36" s="974"/>
      <c r="QYZ36" s="974"/>
      <c r="QZA36" s="974"/>
      <c r="QZB36" s="974"/>
      <c r="QZC36" s="974"/>
      <c r="QZD36" s="974"/>
      <c r="QZE36" s="974"/>
      <c r="QZF36" s="974"/>
      <c r="QZG36" s="974"/>
      <c r="QZH36" s="974"/>
      <c r="QZI36" s="974"/>
      <c r="QZJ36" s="974"/>
      <c r="QZK36" s="974"/>
      <c r="QZL36" s="974"/>
      <c r="QZM36" s="974"/>
      <c r="QZN36" s="974"/>
      <c r="QZO36" s="974"/>
      <c r="QZP36" s="974"/>
      <c r="QZQ36" s="974"/>
      <c r="QZR36" s="974"/>
      <c r="QZS36" s="974"/>
      <c r="QZT36" s="974"/>
      <c r="QZU36" s="974"/>
      <c r="QZV36" s="974"/>
      <c r="QZW36" s="974"/>
      <c r="QZX36" s="974"/>
      <c r="QZY36" s="974"/>
      <c r="QZZ36" s="974"/>
      <c r="RAA36" s="974"/>
      <c r="RAB36" s="974"/>
      <c r="RAC36" s="974"/>
      <c r="RAD36" s="974"/>
      <c r="RAE36" s="974"/>
      <c r="RAF36" s="974"/>
      <c r="RAG36" s="974"/>
      <c r="RAH36" s="974"/>
      <c r="RAI36" s="974"/>
      <c r="RAJ36" s="974"/>
      <c r="RAK36" s="974"/>
      <c r="RAL36" s="974"/>
      <c r="RAM36" s="974"/>
      <c r="RAN36" s="974"/>
      <c r="RAO36" s="974"/>
      <c r="RAP36" s="974"/>
      <c r="RAQ36" s="974"/>
      <c r="RAR36" s="974"/>
      <c r="RAS36" s="974"/>
      <c r="RAT36" s="974"/>
      <c r="RAU36" s="974"/>
      <c r="RAV36" s="974"/>
      <c r="RAW36" s="974"/>
      <c r="RAX36" s="974"/>
      <c r="RAY36" s="974"/>
      <c r="RAZ36" s="974"/>
      <c r="RBA36" s="974"/>
      <c r="RBB36" s="974"/>
      <c r="RBC36" s="974"/>
      <c r="RBD36" s="974"/>
      <c r="RBE36" s="974"/>
      <c r="RBF36" s="974"/>
      <c r="RBG36" s="974"/>
      <c r="RBH36" s="974"/>
      <c r="RBI36" s="974"/>
      <c r="RBJ36" s="974"/>
      <c r="RBK36" s="974"/>
      <c r="RBL36" s="974"/>
      <c r="RBM36" s="974"/>
      <c r="RBN36" s="974"/>
      <c r="RBO36" s="974"/>
      <c r="RBP36" s="974"/>
      <c r="RBQ36" s="974"/>
      <c r="RBR36" s="974"/>
      <c r="RBS36" s="974"/>
      <c r="RBT36" s="974"/>
      <c r="RBU36" s="974"/>
      <c r="RBV36" s="974"/>
      <c r="RBW36" s="974"/>
      <c r="RBX36" s="974"/>
      <c r="RBY36" s="974"/>
      <c r="RBZ36" s="974"/>
      <c r="RCA36" s="974"/>
      <c r="RCB36" s="974"/>
      <c r="RCC36" s="974"/>
      <c r="RCD36" s="974"/>
      <c r="RCE36" s="974"/>
      <c r="RCF36" s="974"/>
      <c r="RCG36" s="974"/>
      <c r="RCH36" s="974"/>
      <c r="RCI36" s="974"/>
      <c r="RCJ36" s="974"/>
      <c r="RCK36" s="974"/>
      <c r="RCL36" s="974"/>
      <c r="RCM36" s="974"/>
      <c r="RCN36" s="974"/>
      <c r="RCO36" s="974"/>
      <c r="RCP36" s="974"/>
      <c r="RCQ36" s="974"/>
      <c r="RCR36" s="974"/>
      <c r="RCS36" s="974"/>
      <c r="RCT36" s="974"/>
      <c r="RCU36" s="974"/>
      <c r="RCV36" s="974"/>
      <c r="RCW36" s="974"/>
      <c r="RCX36" s="974"/>
      <c r="RCY36" s="974"/>
      <c r="RCZ36" s="974"/>
      <c r="RDA36" s="974"/>
      <c r="RDB36" s="974"/>
      <c r="RDC36" s="974"/>
      <c r="RDD36" s="974"/>
      <c r="RDE36" s="974"/>
      <c r="RDF36" s="974"/>
      <c r="RDG36" s="974"/>
      <c r="RDH36" s="974"/>
      <c r="RDI36" s="974"/>
      <c r="RDJ36" s="974"/>
      <c r="RDK36" s="974"/>
      <c r="RDL36" s="974"/>
      <c r="RDM36" s="974"/>
      <c r="RDN36" s="974"/>
      <c r="RDO36" s="974"/>
      <c r="RDP36" s="974"/>
      <c r="RDQ36" s="974"/>
      <c r="RDR36" s="974"/>
      <c r="RDS36" s="974"/>
      <c r="RDT36" s="974"/>
      <c r="RDU36" s="974"/>
      <c r="RDV36" s="974"/>
      <c r="RDW36" s="974"/>
      <c r="RDX36" s="974"/>
      <c r="RDY36" s="974"/>
      <c r="RDZ36" s="974"/>
      <c r="REA36" s="974"/>
      <c r="REB36" s="974"/>
      <c r="REC36" s="974"/>
      <c r="RED36" s="974"/>
      <c r="REE36" s="974"/>
      <c r="REF36" s="974"/>
      <c r="REG36" s="974"/>
      <c r="REH36" s="974"/>
      <c r="REI36" s="974"/>
      <c r="REJ36" s="974"/>
      <c r="REK36" s="974"/>
      <c r="REL36" s="974"/>
      <c r="REM36" s="974"/>
      <c r="REN36" s="974"/>
      <c r="REO36" s="974"/>
      <c r="REP36" s="974"/>
      <c r="REQ36" s="974"/>
      <c r="RER36" s="974"/>
      <c r="RES36" s="974"/>
      <c r="RET36" s="974"/>
      <c r="REU36" s="974"/>
      <c r="REV36" s="974"/>
      <c r="REW36" s="974"/>
      <c r="REX36" s="974"/>
      <c r="REY36" s="974"/>
      <c r="REZ36" s="974"/>
      <c r="RFA36" s="974"/>
      <c r="RFB36" s="974"/>
      <c r="RFC36" s="974"/>
      <c r="RFD36" s="974"/>
      <c r="RFE36" s="974"/>
      <c r="RFF36" s="974"/>
      <c r="RFG36" s="974"/>
      <c r="RFH36" s="974"/>
      <c r="RFI36" s="974"/>
      <c r="RFJ36" s="974"/>
      <c r="RFK36" s="974"/>
      <c r="RFL36" s="974"/>
      <c r="RFM36" s="974"/>
      <c r="RFN36" s="974"/>
      <c r="RFO36" s="974"/>
      <c r="RFP36" s="974"/>
      <c r="RFQ36" s="974"/>
      <c r="RFR36" s="974"/>
      <c r="RFS36" s="974"/>
      <c r="RFT36" s="974"/>
      <c r="RFU36" s="974"/>
      <c r="RFV36" s="974"/>
      <c r="RFW36" s="974"/>
      <c r="RFX36" s="974"/>
      <c r="RFY36" s="974"/>
      <c r="RFZ36" s="974"/>
      <c r="RGA36" s="974"/>
      <c r="RGB36" s="974"/>
      <c r="RGC36" s="974"/>
      <c r="RGD36" s="974"/>
      <c r="RGE36" s="974"/>
      <c r="RGF36" s="974"/>
      <c r="RGG36" s="974"/>
      <c r="RGH36" s="974"/>
      <c r="RGI36" s="974"/>
      <c r="RGJ36" s="974"/>
      <c r="RGK36" s="974"/>
      <c r="RGL36" s="974"/>
      <c r="RGM36" s="974"/>
      <c r="RGN36" s="974"/>
      <c r="RGO36" s="974"/>
      <c r="RGP36" s="974"/>
      <c r="RGQ36" s="974"/>
      <c r="RGR36" s="974"/>
      <c r="RGS36" s="974"/>
      <c r="RGT36" s="974"/>
      <c r="RGU36" s="974"/>
      <c r="RGV36" s="974"/>
      <c r="RGW36" s="974"/>
      <c r="RGX36" s="974"/>
      <c r="RGY36" s="974"/>
      <c r="RGZ36" s="974"/>
      <c r="RHA36" s="974"/>
      <c r="RHB36" s="974"/>
      <c r="RHC36" s="974"/>
      <c r="RHD36" s="974"/>
      <c r="RHE36" s="974"/>
      <c r="RHF36" s="974"/>
      <c r="RHG36" s="974"/>
      <c r="RHH36" s="974"/>
      <c r="RHI36" s="974"/>
      <c r="RHJ36" s="974"/>
      <c r="RHK36" s="974"/>
      <c r="RHL36" s="974"/>
      <c r="RHM36" s="974"/>
      <c r="RHN36" s="974"/>
      <c r="RHO36" s="974"/>
      <c r="RHP36" s="974"/>
      <c r="RHQ36" s="974"/>
      <c r="RHR36" s="974"/>
      <c r="RHS36" s="974"/>
      <c r="RHT36" s="974"/>
      <c r="RHU36" s="974"/>
      <c r="RHV36" s="974"/>
      <c r="RHW36" s="974"/>
      <c r="RHX36" s="974"/>
      <c r="RHY36" s="974"/>
      <c r="RHZ36" s="974"/>
      <c r="RIA36" s="974"/>
      <c r="RIB36" s="974"/>
      <c r="RIC36" s="974"/>
      <c r="RID36" s="974"/>
      <c r="RIE36" s="974"/>
      <c r="RIF36" s="974"/>
      <c r="RIG36" s="974"/>
      <c r="RIH36" s="974"/>
      <c r="RII36" s="974"/>
      <c r="RIJ36" s="974"/>
      <c r="RIK36" s="974"/>
      <c r="RIL36" s="974"/>
      <c r="RIM36" s="974"/>
      <c r="RIN36" s="974"/>
      <c r="RIO36" s="974"/>
      <c r="RIP36" s="974"/>
      <c r="RIQ36" s="974"/>
      <c r="RIR36" s="974"/>
      <c r="RIS36" s="974"/>
      <c r="RIT36" s="974"/>
      <c r="RIU36" s="974"/>
      <c r="RIV36" s="974"/>
      <c r="RIW36" s="974"/>
      <c r="RIX36" s="974"/>
      <c r="RIY36" s="974"/>
      <c r="RIZ36" s="974"/>
      <c r="RJA36" s="974"/>
      <c r="RJB36" s="974"/>
      <c r="RJC36" s="974"/>
      <c r="RJD36" s="974"/>
      <c r="RJE36" s="974"/>
      <c r="RJF36" s="974"/>
      <c r="RJG36" s="974"/>
      <c r="RJH36" s="974"/>
      <c r="RJI36" s="974"/>
      <c r="RJJ36" s="974"/>
      <c r="RJK36" s="974"/>
      <c r="RJL36" s="974"/>
      <c r="RJM36" s="974"/>
      <c r="RJN36" s="974"/>
      <c r="RJO36" s="974"/>
      <c r="RJP36" s="974"/>
      <c r="RJQ36" s="974"/>
      <c r="RJR36" s="974"/>
      <c r="RJS36" s="974"/>
      <c r="RJT36" s="974"/>
      <c r="RJU36" s="974"/>
      <c r="RJV36" s="974"/>
      <c r="RJW36" s="974"/>
      <c r="RJX36" s="974"/>
      <c r="RJY36" s="974"/>
      <c r="RJZ36" s="974"/>
      <c r="RKA36" s="974"/>
      <c r="RKB36" s="974"/>
      <c r="RKC36" s="974"/>
      <c r="RKD36" s="974"/>
      <c r="RKE36" s="974"/>
      <c r="RKF36" s="974"/>
      <c r="RKG36" s="974"/>
      <c r="RKH36" s="974"/>
      <c r="RKI36" s="974"/>
      <c r="RKJ36" s="974"/>
      <c r="RKK36" s="974"/>
      <c r="RKL36" s="974"/>
      <c r="RKM36" s="974"/>
      <c r="RKN36" s="974"/>
      <c r="RKO36" s="974"/>
      <c r="RKP36" s="974"/>
      <c r="RKQ36" s="974"/>
      <c r="RKR36" s="974"/>
      <c r="RKS36" s="974"/>
      <c r="RKT36" s="974"/>
      <c r="RKU36" s="974"/>
      <c r="RKV36" s="974"/>
      <c r="RKW36" s="974"/>
      <c r="RKX36" s="974"/>
      <c r="RKY36" s="974"/>
      <c r="RKZ36" s="974"/>
      <c r="RLA36" s="974"/>
      <c r="RLB36" s="974"/>
      <c r="RLC36" s="974"/>
      <c r="RLD36" s="974"/>
      <c r="RLE36" s="974"/>
      <c r="RLF36" s="974"/>
      <c r="RLG36" s="974"/>
      <c r="RLH36" s="974"/>
      <c r="RLI36" s="974"/>
      <c r="RLJ36" s="974"/>
      <c r="RLK36" s="974"/>
      <c r="RLL36" s="974"/>
      <c r="RLM36" s="974"/>
      <c r="RLN36" s="974"/>
      <c r="RLO36" s="974"/>
      <c r="RLP36" s="974"/>
      <c r="RLQ36" s="974"/>
      <c r="RLR36" s="974"/>
      <c r="RLS36" s="974"/>
      <c r="RLT36" s="974"/>
      <c r="RLU36" s="974"/>
      <c r="RLV36" s="974"/>
      <c r="RLW36" s="974"/>
      <c r="RLX36" s="974"/>
      <c r="RLY36" s="974"/>
      <c r="RLZ36" s="974"/>
      <c r="RMA36" s="974"/>
      <c r="RMB36" s="974"/>
      <c r="RMC36" s="974"/>
      <c r="RMD36" s="974"/>
      <c r="RME36" s="974"/>
      <c r="RMF36" s="974"/>
      <c r="RMG36" s="974"/>
      <c r="RMH36" s="974"/>
      <c r="RMI36" s="974"/>
      <c r="RMJ36" s="974"/>
      <c r="RMK36" s="974"/>
      <c r="RML36" s="974"/>
      <c r="RMM36" s="974"/>
      <c r="RMN36" s="974"/>
      <c r="RMO36" s="974"/>
      <c r="RMP36" s="974"/>
      <c r="RMQ36" s="974"/>
      <c r="RMR36" s="974"/>
      <c r="RMS36" s="974"/>
      <c r="RMT36" s="974"/>
      <c r="RMU36" s="974"/>
      <c r="RMV36" s="974"/>
      <c r="RMW36" s="974"/>
      <c r="RMX36" s="974"/>
      <c r="RMY36" s="974"/>
      <c r="RMZ36" s="974"/>
      <c r="RNA36" s="974"/>
      <c r="RNB36" s="974"/>
      <c r="RNC36" s="974"/>
      <c r="RND36" s="974"/>
      <c r="RNE36" s="974"/>
      <c r="RNF36" s="974"/>
      <c r="RNG36" s="974"/>
      <c r="RNH36" s="974"/>
      <c r="RNI36" s="974"/>
      <c r="RNJ36" s="974"/>
      <c r="RNK36" s="974"/>
      <c r="RNL36" s="974"/>
      <c r="RNM36" s="974"/>
      <c r="RNN36" s="974"/>
      <c r="RNO36" s="974"/>
      <c r="RNP36" s="974"/>
      <c r="RNQ36" s="974"/>
      <c r="RNR36" s="974"/>
      <c r="RNS36" s="974"/>
      <c r="RNT36" s="974"/>
      <c r="RNU36" s="974"/>
      <c r="RNV36" s="974"/>
      <c r="RNW36" s="974"/>
      <c r="RNX36" s="974"/>
      <c r="RNY36" s="974"/>
      <c r="RNZ36" s="974"/>
      <c r="ROA36" s="974"/>
      <c r="ROB36" s="974"/>
      <c r="ROC36" s="974"/>
      <c r="ROD36" s="974"/>
      <c r="ROE36" s="974"/>
      <c r="ROF36" s="974"/>
      <c r="ROG36" s="974"/>
      <c r="ROH36" s="974"/>
      <c r="ROI36" s="974"/>
      <c r="ROJ36" s="974"/>
      <c r="ROK36" s="974"/>
      <c r="ROL36" s="974"/>
      <c r="ROM36" s="974"/>
      <c r="RON36" s="974"/>
      <c r="ROO36" s="974"/>
      <c r="ROP36" s="974"/>
      <c r="ROQ36" s="974"/>
      <c r="ROR36" s="974"/>
      <c r="ROS36" s="974"/>
      <c r="ROT36" s="974"/>
      <c r="ROU36" s="974"/>
      <c r="ROV36" s="974"/>
      <c r="ROW36" s="974"/>
      <c r="ROX36" s="974"/>
      <c r="ROY36" s="974"/>
      <c r="ROZ36" s="974"/>
      <c r="RPA36" s="974"/>
      <c r="RPB36" s="974"/>
      <c r="RPC36" s="974"/>
      <c r="RPD36" s="974"/>
      <c r="RPE36" s="974"/>
      <c r="RPF36" s="974"/>
      <c r="RPG36" s="974"/>
      <c r="RPH36" s="974"/>
      <c r="RPI36" s="974"/>
      <c r="RPJ36" s="974"/>
      <c r="RPK36" s="974"/>
      <c r="RPL36" s="974"/>
      <c r="RPM36" s="974"/>
      <c r="RPN36" s="974"/>
      <c r="RPO36" s="974"/>
      <c r="RPP36" s="974"/>
      <c r="RPQ36" s="974"/>
      <c r="RPR36" s="974"/>
      <c r="RPS36" s="974"/>
      <c r="RPT36" s="974"/>
      <c r="RPU36" s="974"/>
      <c r="RPV36" s="974"/>
      <c r="RPW36" s="974"/>
      <c r="RPX36" s="974"/>
      <c r="RPY36" s="974"/>
      <c r="RPZ36" s="974"/>
      <c r="RQA36" s="974"/>
      <c r="RQB36" s="974"/>
      <c r="RQC36" s="974"/>
      <c r="RQD36" s="974"/>
      <c r="RQE36" s="974"/>
      <c r="RQF36" s="974"/>
      <c r="RQG36" s="974"/>
      <c r="RQH36" s="974"/>
      <c r="RQI36" s="974"/>
      <c r="RQJ36" s="974"/>
      <c r="RQK36" s="974"/>
      <c r="RQL36" s="974"/>
      <c r="RQM36" s="974"/>
      <c r="RQN36" s="974"/>
      <c r="RQO36" s="974"/>
      <c r="RQP36" s="974"/>
      <c r="RQQ36" s="974"/>
      <c r="RQR36" s="974"/>
      <c r="RQS36" s="974"/>
      <c r="RQT36" s="974"/>
      <c r="RQU36" s="974"/>
      <c r="RQV36" s="974"/>
      <c r="RQW36" s="974"/>
      <c r="RQX36" s="974"/>
      <c r="RQY36" s="974"/>
      <c r="RQZ36" s="974"/>
      <c r="RRA36" s="974"/>
      <c r="RRB36" s="974"/>
      <c r="RRC36" s="974"/>
      <c r="RRD36" s="974"/>
      <c r="RRE36" s="974"/>
      <c r="RRF36" s="974"/>
      <c r="RRG36" s="974"/>
      <c r="RRH36" s="974"/>
      <c r="RRI36" s="974"/>
      <c r="RRJ36" s="974"/>
      <c r="RRK36" s="974"/>
      <c r="RRL36" s="974"/>
      <c r="RRM36" s="974"/>
      <c r="RRN36" s="974"/>
      <c r="RRO36" s="974"/>
      <c r="RRP36" s="974"/>
      <c r="RRQ36" s="974"/>
      <c r="RRR36" s="974"/>
      <c r="RRS36" s="974"/>
      <c r="RRT36" s="974"/>
      <c r="RRU36" s="974"/>
      <c r="RRV36" s="974"/>
      <c r="RRW36" s="974"/>
      <c r="RRX36" s="974"/>
      <c r="RRY36" s="974"/>
      <c r="RRZ36" s="974"/>
      <c r="RSA36" s="974"/>
      <c r="RSB36" s="974"/>
      <c r="RSC36" s="974"/>
      <c r="RSD36" s="974"/>
      <c r="RSE36" s="974"/>
      <c r="RSF36" s="974"/>
      <c r="RSG36" s="974"/>
      <c r="RSH36" s="974"/>
      <c r="RSI36" s="974"/>
      <c r="RSJ36" s="974"/>
      <c r="RSK36" s="974"/>
      <c r="RSL36" s="974"/>
      <c r="RSM36" s="974"/>
      <c r="RSN36" s="974"/>
      <c r="RSO36" s="974"/>
      <c r="RSP36" s="974"/>
      <c r="RSQ36" s="974"/>
      <c r="RSR36" s="974"/>
      <c r="RSS36" s="974"/>
      <c r="RST36" s="974"/>
      <c r="RSU36" s="974"/>
      <c r="RSV36" s="974"/>
      <c r="RSW36" s="974"/>
      <c r="RSX36" s="974"/>
      <c r="RSY36" s="974"/>
      <c r="RSZ36" s="974"/>
      <c r="RTA36" s="974"/>
      <c r="RTB36" s="974"/>
      <c r="RTC36" s="974"/>
      <c r="RTD36" s="974"/>
      <c r="RTE36" s="974"/>
      <c r="RTF36" s="974"/>
      <c r="RTG36" s="974"/>
      <c r="RTH36" s="974"/>
      <c r="RTI36" s="974"/>
      <c r="RTJ36" s="974"/>
      <c r="RTK36" s="974"/>
      <c r="RTL36" s="974"/>
      <c r="RTM36" s="974"/>
      <c r="RTN36" s="974"/>
      <c r="RTO36" s="974"/>
      <c r="RTP36" s="974"/>
      <c r="RTQ36" s="974"/>
      <c r="RTR36" s="974"/>
      <c r="RTS36" s="974"/>
      <c r="RTT36" s="974"/>
      <c r="RTU36" s="974"/>
      <c r="RTV36" s="974"/>
      <c r="RTW36" s="974"/>
      <c r="RTX36" s="974"/>
      <c r="RTY36" s="974"/>
      <c r="RTZ36" s="974"/>
      <c r="RUA36" s="974"/>
      <c r="RUB36" s="974"/>
      <c r="RUC36" s="974"/>
      <c r="RUD36" s="974"/>
      <c r="RUE36" s="974"/>
      <c r="RUF36" s="974"/>
      <c r="RUG36" s="974"/>
      <c r="RUH36" s="974"/>
      <c r="RUI36" s="974"/>
      <c r="RUJ36" s="974"/>
      <c r="RUK36" s="974"/>
      <c r="RUL36" s="974"/>
      <c r="RUM36" s="974"/>
      <c r="RUN36" s="974"/>
      <c r="RUO36" s="974"/>
      <c r="RUP36" s="974"/>
      <c r="RUQ36" s="974"/>
      <c r="RUR36" s="974"/>
      <c r="RUS36" s="974"/>
      <c r="RUT36" s="974"/>
      <c r="RUU36" s="974"/>
      <c r="RUV36" s="974"/>
      <c r="RUW36" s="974"/>
      <c r="RUX36" s="974"/>
      <c r="RUY36" s="974"/>
      <c r="RUZ36" s="974"/>
      <c r="RVA36" s="974"/>
      <c r="RVB36" s="974"/>
      <c r="RVC36" s="974"/>
      <c r="RVD36" s="974"/>
      <c r="RVE36" s="974"/>
      <c r="RVF36" s="974"/>
      <c r="RVG36" s="974"/>
      <c r="RVH36" s="974"/>
      <c r="RVI36" s="974"/>
      <c r="RVJ36" s="974"/>
      <c r="RVK36" s="974"/>
      <c r="RVL36" s="974"/>
      <c r="RVM36" s="974"/>
      <c r="RVN36" s="974"/>
      <c r="RVO36" s="974"/>
      <c r="RVP36" s="974"/>
      <c r="RVQ36" s="974"/>
      <c r="RVR36" s="974"/>
      <c r="RVS36" s="974"/>
      <c r="RVT36" s="974"/>
      <c r="RVU36" s="974"/>
      <c r="RVV36" s="974"/>
      <c r="RVW36" s="974"/>
      <c r="RVX36" s="974"/>
      <c r="RVY36" s="974"/>
      <c r="RVZ36" s="974"/>
      <c r="RWA36" s="974"/>
      <c r="RWB36" s="974"/>
      <c r="RWC36" s="974"/>
      <c r="RWD36" s="974"/>
      <c r="RWE36" s="974"/>
      <c r="RWF36" s="974"/>
      <c r="RWG36" s="974"/>
      <c r="RWH36" s="974"/>
      <c r="RWI36" s="974"/>
      <c r="RWJ36" s="974"/>
      <c r="RWK36" s="974"/>
      <c r="RWL36" s="974"/>
      <c r="RWM36" s="974"/>
      <c r="RWN36" s="974"/>
      <c r="RWO36" s="974"/>
      <c r="RWP36" s="974"/>
      <c r="RWQ36" s="974"/>
      <c r="RWR36" s="974"/>
      <c r="RWS36" s="974"/>
      <c r="RWT36" s="974"/>
      <c r="RWU36" s="974"/>
      <c r="RWV36" s="974"/>
      <c r="RWW36" s="974"/>
      <c r="RWX36" s="974"/>
      <c r="RWY36" s="974"/>
      <c r="RWZ36" s="974"/>
      <c r="RXA36" s="974"/>
      <c r="RXB36" s="974"/>
      <c r="RXC36" s="974"/>
      <c r="RXD36" s="974"/>
      <c r="RXE36" s="974"/>
      <c r="RXF36" s="974"/>
      <c r="RXG36" s="974"/>
      <c r="RXH36" s="974"/>
      <c r="RXI36" s="974"/>
      <c r="RXJ36" s="974"/>
      <c r="RXK36" s="974"/>
      <c r="RXL36" s="974"/>
      <c r="RXM36" s="974"/>
      <c r="RXN36" s="974"/>
      <c r="RXO36" s="974"/>
      <c r="RXP36" s="974"/>
      <c r="RXQ36" s="974"/>
      <c r="RXR36" s="974"/>
      <c r="RXS36" s="974"/>
      <c r="RXT36" s="974"/>
      <c r="RXU36" s="974"/>
      <c r="RXV36" s="974"/>
      <c r="RXW36" s="974"/>
      <c r="RXX36" s="974"/>
      <c r="RXY36" s="974"/>
      <c r="RXZ36" s="974"/>
      <c r="RYA36" s="974"/>
      <c r="RYB36" s="974"/>
      <c r="RYC36" s="974"/>
      <c r="RYD36" s="974"/>
      <c r="RYE36" s="974"/>
      <c r="RYF36" s="974"/>
      <c r="RYG36" s="974"/>
      <c r="RYH36" s="974"/>
      <c r="RYI36" s="974"/>
      <c r="RYJ36" s="974"/>
      <c r="RYK36" s="974"/>
      <c r="RYL36" s="974"/>
      <c r="RYM36" s="974"/>
      <c r="RYN36" s="974"/>
      <c r="RYO36" s="974"/>
      <c r="RYP36" s="974"/>
      <c r="RYQ36" s="974"/>
      <c r="RYR36" s="974"/>
      <c r="RYS36" s="974"/>
      <c r="RYT36" s="974"/>
      <c r="RYU36" s="974"/>
      <c r="RYV36" s="974"/>
      <c r="RYW36" s="974"/>
      <c r="RYX36" s="974"/>
      <c r="RYY36" s="974"/>
      <c r="RYZ36" s="974"/>
      <c r="RZA36" s="974"/>
      <c r="RZB36" s="974"/>
      <c r="RZC36" s="974"/>
      <c r="RZD36" s="974"/>
      <c r="RZE36" s="974"/>
      <c r="RZF36" s="974"/>
      <c r="RZG36" s="974"/>
      <c r="RZH36" s="974"/>
      <c r="RZI36" s="974"/>
      <c r="RZJ36" s="974"/>
      <c r="RZK36" s="974"/>
      <c r="RZL36" s="974"/>
      <c r="RZM36" s="974"/>
      <c r="RZN36" s="974"/>
      <c r="RZO36" s="974"/>
      <c r="RZP36" s="974"/>
      <c r="RZQ36" s="974"/>
      <c r="RZR36" s="974"/>
      <c r="RZS36" s="974"/>
      <c r="RZT36" s="974"/>
      <c r="RZU36" s="974"/>
      <c r="RZV36" s="974"/>
      <c r="RZW36" s="974"/>
      <c r="RZX36" s="974"/>
      <c r="RZY36" s="974"/>
      <c r="RZZ36" s="974"/>
      <c r="SAA36" s="974"/>
      <c r="SAB36" s="974"/>
      <c r="SAC36" s="974"/>
      <c r="SAD36" s="974"/>
      <c r="SAE36" s="974"/>
      <c r="SAF36" s="974"/>
      <c r="SAG36" s="974"/>
      <c r="SAH36" s="974"/>
      <c r="SAI36" s="974"/>
      <c r="SAJ36" s="974"/>
      <c r="SAK36" s="974"/>
      <c r="SAL36" s="974"/>
      <c r="SAM36" s="974"/>
      <c r="SAN36" s="974"/>
      <c r="SAO36" s="974"/>
      <c r="SAP36" s="974"/>
      <c r="SAQ36" s="974"/>
      <c r="SAR36" s="974"/>
      <c r="SAS36" s="974"/>
      <c r="SAT36" s="974"/>
      <c r="SAU36" s="974"/>
      <c r="SAV36" s="974"/>
      <c r="SAW36" s="974"/>
      <c r="SAX36" s="974"/>
      <c r="SAY36" s="974"/>
      <c r="SAZ36" s="974"/>
      <c r="SBA36" s="974"/>
      <c r="SBB36" s="974"/>
      <c r="SBC36" s="974"/>
      <c r="SBD36" s="974"/>
      <c r="SBE36" s="974"/>
      <c r="SBF36" s="974"/>
      <c r="SBG36" s="974"/>
      <c r="SBH36" s="974"/>
      <c r="SBI36" s="974"/>
      <c r="SBJ36" s="974"/>
      <c r="SBK36" s="974"/>
      <c r="SBL36" s="974"/>
      <c r="SBM36" s="974"/>
      <c r="SBN36" s="974"/>
      <c r="SBO36" s="974"/>
      <c r="SBP36" s="974"/>
      <c r="SBQ36" s="974"/>
      <c r="SBR36" s="974"/>
      <c r="SBS36" s="974"/>
      <c r="SBT36" s="974"/>
      <c r="SBU36" s="974"/>
      <c r="SBV36" s="974"/>
      <c r="SBW36" s="974"/>
      <c r="SBX36" s="974"/>
      <c r="SBY36" s="974"/>
      <c r="SBZ36" s="974"/>
      <c r="SCA36" s="974"/>
      <c r="SCB36" s="974"/>
      <c r="SCC36" s="974"/>
      <c r="SCD36" s="974"/>
      <c r="SCE36" s="974"/>
      <c r="SCF36" s="974"/>
      <c r="SCG36" s="974"/>
      <c r="SCH36" s="974"/>
      <c r="SCI36" s="974"/>
      <c r="SCJ36" s="974"/>
      <c r="SCK36" s="974"/>
      <c r="SCL36" s="974"/>
      <c r="SCM36" s="974"/>
      <c r="SCN36" s="974"/>
      <c r="SCO36" s="974"/>
      <c r="SCP36" s="974"/>
      <c r="SCQ36" s="974"/>
      <c r="SCR36" s="974"/>
      <c r="SCS36" s="974"/>
      <c r="SCT36" s="974"/>
      <c r="SCU36" s="974"/>
      <c r="SCV36" s="974"/>
      <c r="SCW36" s="974"/>
      <c r="SCX36" s="974"/>
      <c r="SCY36" s="974"/>
      <c r="SCZ36" s="974"/>
      <c r="SDA36" s="974"/>
      <c r="SDB36" s="974"/>
      <c r="SDC36" s="974"/>
      <c r="SDD36" s="974"/>
      <c r="SDE36" s="974"/>
      <c r="SDF36" s="974"/>
      <c r="SDG36" s="974"/>
      <c r="SDH36" s="974"/>
      <c r="SDI36" s="974"/>
      <c r="SDJ36" s="974"/>
      <c r="SDK36" s="974"/>
      <c r="SDL36" s="974"/>
      <c r="SDM36" s="974"/>
      <c r="SDN36" s="974"/>
      <c r="SDO36" s="974"/>
      <c r="SDP36" s="974"/>
      <c r="SDQ36" s="974"/>
      <c r="SDR36" s="974"/>
      <c r="SDS36" s="974"/>
      <c r="SDT36" s="974"/>
      <c r="SDU36" s="974"/>
      <c r="SDV36" s="974"/>
      <c r="SDW36" s="974"/>
      <c r="SDX36" s="974"/>
      <c r="SDY36" s="974"/>
      <c r="SDZ36" s="974"/>
      <c r="SEA36" s="974"/>
      <c r="SEB36" s="974"/>
      <c r="SEC36" s="974"/>
      <c r="SED36" s="974"/>
      <c r="SEE36" s="974"/>
      <c r="SEF36" s="974"/>
      <c r="SEG36" s="974"/>
      <c r="SEH36" s="974"/>
      <c r="SEI36" s="974"/>
      <c r="SEJ36" s="974"/>
      <c r="SEK36" s="974"/>
      <c r="SEL36" s="974"/>
      <c r="SEM36" s="974"/>
      <c r="SEN36" s="974"/>
      <c r="SEO36" s="974"/>
      <c r="SEP36" s="974"/>
      <c r="SEQ36" s="974"/>
      <c r="SER36" s="974"/>
      <c r="SES36" s="974"/>
      <c r="SET36" s="974"/>
      <c r="SEU36" s="974"/>
      <c r="SEV36" s="974"/>
      <c r="SEW36" s="974"/>
      <c r="SEX36" s="974"/>
      <c r="SEY36" s="974"/>
      <c r="SEZ36" s="974"/>
      <c r="SFA36" s="974"/>
      <c r="SFB36" s="974"/>
      <c r="SFC36" s="974"/>
      <c r="SFD36" s="974"/>
      <c r="SFE36" s="974"/>
      <c r="SFF36" s="974"/>
      <c r="SFG36" s="974"/>
      <c r="SFH36" s="974"/>
      <c r="SFI36" s="974"/>
      <c r="SFJ36" s="974"/>
      <c r="SFK36" s="974"/>
      <c r="SFL36" s="974"/>
      <c r="SFM36" s="974"/>
      <c r="SFN36" s="974"/>
      <c r="SFO36" s="974"/>
      <c r="SFP36" s="974"/>
      <c r="SFQ36" s="974"/>
      <c r="SFR36" s="974"/>
      <c r="SFS36" s="974"/>
      <c r="SFT36" s="974"/>
      <c r="SFU36" s="974"/>
      <c r="SFV36" s="974"/>
      <c r="SFW36" s="974"/>
      <c r="SFX36" s="974"/>
      <c r="SFY36" s="974"/>
      <c r="SFZ36" s="974"/>
      <c r="SGA36" s="974"/>
      <c r="SGB36" s="974"/>
      <c r="SGC36" s="974"/>
      <c r="SGD36" s="974"/>
      <c r="SGE36" s="974"/>
      <c r="SGF36" s="974"/>
      <c r="SGG36" s="974"/>
      <c r="SGH36" s="974"/>
      <c r="SGI36" s="974"/>
      <c r="SGJ36" s="974"/>
      <c r="SGK36" s="974"/>
      <c r="SGL36" s="974"/>
      <c r="SGM36" s="974"/>
      <c r="SGN36" s="974"/>
      <c r="SGO36" s="974"/>
      <c r="SGP36" s="974"/>
      <c r="SGQ36" s="974"/>
      <c r="SGR36" s="974"/>
      <c r="SGS36" s="974"/>
      <c r="SGT36" s="974"/>
      <c r="SGU36" s="974"/>
      <c r="SGV36" s="974"/>
      <c r="SGW36" s="974"/>
      <c r="SGX36" s="974"/>
      <c r="SGY36" s="974"/>
      <c r="SGZ36" s="974"/>
      <c r="SHA36" s="974"/>
      <c r="SHB36" s="974"/>
      <c r="SHC36" s="974"/>
      <c r="SHD36" s="974"/>
      <c r="SHE36" s="974"/>
      <c r="SHF36" s="974"/>
      <c r="SHG36" s="974"/>
      <c r="SHH36" s="974"/>
      <c r="SHI36" s="974"/>
      <c r="SHJ36" s="974"/>
      <c r="SHK36" s="974"/>
      <c r="SHL36" s="974"/>
      <c r="SHM36" s="974"/>
      <c r="SHN36" s="974"/>
      <c r="SHO36" s="974"/>
      <c r="SHP36" s="974"/>
      <c r="SHQ36" s="974"/>
      <c r="SHR36" s="974"/>
      <c r="SHS36" s="974"/>
      <c r="SHT36" s="974"/>
      <c r="SHU36" s="974"/>
      <c r="SHV36" s="974"/>
      <c r="SHW36" s="974"/>
      <c r="SHX36" s="974"/>
      <c r="SHY36" s="974"/>
      <c r="SHZ36" s="974"/>
      <c r="SIA36" s="974"/>
      <c r="SIB36" s="974"/>
      <c r="SIC36" s="974"/>
      <c r="SID36" s="974"/>
      <c r="SIE36" s="974"/>
      <c r="SIF36" s="974"/>
      <c r="SIG36" s="974"/>
      <c r="SIH36" s="974"/>
      <c r="SII36" s="974"/>
      <c r="SIJ36" s="974"/>
      <c r="SIK36" s="974"/>
      <c r="SIL36" s="974"/>
      <c r="SIM36" s="974"/>
      <c r="SIN36" s="974"/>
      <c r="SIO36" s="974"/>
      <c r="SIP36" s="974"/>
      <c r="SIQ36" s="974"/>
      <c r="SIR36" s="974"/>
      <c r="SIS36" s="974"/>
      <c r="SIT36" s="974"/>
      <c r="SIU36" s="974"/>
      <c r="SIV36" s="974"/>
      <c r="SIW36" s="974"/>
      <c r="SIX36" s="974"/>
      <c r="SIY36" s="974"/>
      <c r="SIZ36" s="974"/>
      <c r="SJA36" s="974"/>
      <c r="SJB36" s="974"/>
      <c r="SJC36" s="974"/>
      <c r="SJD36" s="974"/>
      <c r="SJE36" s="974"/>
      <c r="SJF36" s="974"/>
      <c r="SJG36" s="974"/>
      <c r="SJH36" s="974"/>
      <c r="SJI36" s="974"/>
      <c r="SJJ36" s="974"/>
      <c r="SJK36" s="974"/>
      <c r="SJL36" s="974"/>
      <c r="SJM36" s="974"/>
      <c r="SJN36" s="974"/>
      <c r="SJO36" s="974"/>
      <c r="SJP36" s="974"/>
      <c r="SJQ36" s="974"/>
      <c r="SJR36" s="974"/>
      <c r="SJS36" s="974"/>
      <c r="SJT36" s="974"/>
      <c r="SJU36" s="974"/>
      <c r="SJV36" s="974"/>
      <c r="SJW36" s="974"/>
      <c r="SJX36" s="974"/>
      <c r="SJY36" s="974"/>
      <c r="SJZ36" s="974"/>
      <c r="SKA36" s="974"/>
      <c r="SKB36" s="974"/>
      <c r="SKC36" s="974"/>
      <c r="SKD36" s="974"/>
      <c r="SKE36" s="974"/>
      <c r="SKF36" s="974"/>
      <c r="SKG36" s="974"/>
      <c r="SKH36" s="974"/>
      <c r="SKI36" s="974"/>
      <c r="SKJ36" s="974"/>
      <c r="SKK36" s="974"/>
      <c r="SKL36" s="974"/>
      <c r="SKM36" s="974"/>
      <c r="SKN36" s="974"/>
      <c r="SKO36" s="974"/>
      <c r="SKP36" s="974"/>
      <c r="SKQ36" s="974"/>
      <c r="SKR36" s="974"/>
      <c r="SKS36" s="974"/>
      <c r="SKT36" s="974"/>
      <c r="SKU36" s="974"/>
      <c r="SKV36" s="974"/>
      <c r="SKW36" s="974"/>
      <c r="SKX36" s="974"/>
      <c r="SKY36" s="974"/>
      <c r="SKZ36" s="974"/>
      <c r="SLA36" s="974"/>
      <c r="SLB36" s="974"/>
      <c r="SLC36" s="974"/>
      <c r="SLD36" s="974"/>
      <c r="SLE36" s="974"/>
      <c r="SLF36" s="974"/>
      <c r="SLG36" s="974"/>
      <c r="SLH36" s="974"/>
      <c r="SLI36" s="974"/>
      <c r="SLJ36" s="974"/>
      <c r="SLK36" s="974"/>
      <c r="SLL36" s="974"/>
      <c r="SLM36" s="974"/>
      <c r="SLN36" s="974"/>
      <c r="SLO36" s="974"/>
      <c r="SLP36" s="974"/>
      <c r="SLQ36" s="974"/>
      <c r="SLR36" s="974"/>
      <c r="SLS36" s="974"/>
      <c r="SLT36" s="974"/>
      <c r="SLU36" s="974"/>
      <c r="SLV36" s="974"/>
      <c r="SLW36" s="974"/>
      <c r="SLX36" s="974"/>
      <c r="SLY36" s="974"/>
      <c r="SLZ36" s="974"/>
      <c r="SMA36" s="974"/>
      <c r="SMB36" s="974"/>
      <c r="SMC36" s="974"/>
      <c r="SMD36" s="974"/>
      <c r="SME36" s="974"/>
      <c r="SMF36" s="974"/>
      <c r="SMG36" s="974"/>
      <c r="SMH36" s="974"/>
      <c r="SMI36" s="974"/>
      <c r="SMJ36" s="974"/>
      <c r="SMK36" s="974"/>
      <c r="SML36" s="974"/>
      <c r="SMM36" s="974"/>
      <c r="SMN36" s="974"/>
      <c r="SMO36" s="974"/>
      <c r="SMP36" s="974"/>
      <c r="SMQ36" s="974"/>
      <c r="SMR36" s="974"/>
      <c r="SMS36" s="974"/>
      <c r="SMT36" s="974"/>
      <c r="SMU36" s="974"/>
      <c r="SMV36" s="974"/>
      <c r="SMW36" s="974"/>
      <c r="SMX36" s="974"/>
      <c r="SMY36" s="974"/>
      <c r="SMZ36" s="974"/>
      <c r="SNA36" s="974"/>
      <c r="SNB36" s="974"/>
      <c r="SNC36" s="974"/>
      <c r="SND36" s="974"/>
      <c r="SNE36" s="974"/>
      <c r="SNF36" s="974"/>
      <c r="SNG36" s="974"/>
      <c r="SNH36" s="974"/>
      <c r="SNI36" s="974"/>
      <c r="SNJ36" s="974"/>
      <c r="SNK36" s="974"/>
      <c r="SNL36" s="974"/>
      <c r="SNM36" s="974"/>
      <c r="SNN36" s="974"/>
      <c r="SNO36" s="974"/>
      <c r="SNP36" s="974"/>
      <c r="SNQ36" s="974"/>
      <c r="SNR36" s="974"/>
      <c r="SNS36" s="974"/>
      <c r="SNT36" s="974"/>
      <c r="SNU36" s="974"/>
      <c r="SNV36" s="974"/>
      <c r="SNW36" s="974"/>
      <c r="SNX36" s="974"/>
      <c r="SNY36" s="974"/>
      <c r="SNZ36" s="974"/>
      <c r="SOA36" s="974"/>
      <c r="SOB36" s="974"/>
      <c r="SOC36" s="974"/>
      <c r="SOD36" s="974"/>
      <c r="SOE36" s="974"/>
      <c r="SOF36" s="974"/>
      <c r="SOG36" s="974"/>
      <c r="SOH36" s="974"/>
      <c r="SOI36" s="974"/>
      <c r="SOJ36" s="974"/>
      <c r="SOK36" s="974"/>
      <c r="SOL36" s="974"/>
      <c r="SOM36" s="974"/>
      <c r="SON36" s="974"/>
      <c r="SOO36" s="974"/>
      <c r="SOP36" s="974"/>
      <c r="SOQ36" s="974"/>
      <c r="SOR36" s="974"/>
      <c r="SOS36" s="974"/>
      <c r="SOT36" s="974"/>
      <c r="SOU36" s="974"/>
      <c r="SOV36" s="974"/>
      <c r="SOW36" s="974"/>
      <c r="SOX36" s="974"/>
      <c r="SOY36" s="974"/>
      <c r="SOZ36" s="974"/>
      <c r="SPA36" s="974"/>
      <c r="SPB36" s="974"/>
      <c r="SPC36" s="974"/>
      <c r="SPD36" s="974"/>
      <c r="SPE36" s="974"/>
      <c r="SPF36" s="974"/>
      <c r="SPG36" s="974"/>
      <c r="SPH36" s="974"/>
      <c r="SPI36" s="974"/>
      <c r="SPJ36" s="974"/>
      <c r="SPK36" s="974"/>
      <c r="SPL36" s="974"/>
      <c r="SPM36" s="974"/>
      <c r="SPN36" s="974"/>
      <c r="SPO36" s="974"/>
      <c r="SPP36" s="974"/>
      <c r="SPQ36" s="974"/>
      <c r="SPR36" s="974"/>
      <c r="SPS36" s="974"/>
      <c r="SPT36" s="974"/>
      <c r="SPU36" s="974"/>
      <c r="SPV36" s="974"/>
      <c r="SPW36" s="974"/>
      <c r="SPX36" s="974"/>
      <c r="SPY36" s="974"/>
      <c r="SPZ36" s="974"/>
      <c r="SQA36" s="974"/>
      <c r="SQB36" s="974"/>
      <c r="SQC36" s="974"/>
      <c r="SQD36" s="974"/>
      <c r="SQE36" s="974"/>
      <c r="SQF36" s="974"/>
      <c r="SQG36" s="974"/>
      <c r="SQH36" s="974"/>
      <c r="SQI36" s="974"/>
      <c r="SQJ36" s="974"/>
      <c r="SQK36" s="974"/>
      <c r="SQL36" s="974"/>
      <c r="SQM36" s="974"/>
      <c r="SQN36" s="974"/>
      <c r="SQO36" s="974"/>
      <c r="SQP36" s="974"/>
      <c r="SQQ36" s="974"/>
      <c r="SQR36" s="974"/>
      <c r="SQS36" s="974"/>
      <c r="SQT36" s="974"/>
      <c r="SQU36" s="974"/>
      <c r="SQV36" s="974"/>
      <c r="SQW36" s="974"/>
      <c r="SQX36" s="974"/>
      <c r="SQY36" s="974"/>
      <c r="SQZ36" s="974"/>
      <c r="SRA36" s="974"/>
      <c r="SRB36" s="974"/>
      <c r="SRC36" s="974"/>
      <c r="SRD36" s="974"/>
      <c r="SRE36" s="974"/>
      <c r="SRF36" s="974"/>
      <c r="SRG36" s="974"/>
      <c r="SRH36" s="974"/>
      <c r="SRI36" s="974"/>
      <c r="SRJ36" s="974"/>
      <c r="SRK36" s="974"/>
      <c r="SRL36" s="974"/>
      <c r="SRM36" s="974"/>
      <c r="SRN36" s="974"/>
      <c r="SRO36" s="974"/>
      <c r="SRP36" s="974"/>
      <c r="SRQ36" s="974"/>
      <c r="SRR36" s="974"/>
      <c r="SRS36" s="974"/>
      <c r="SRT36" s="974"/>
      <c r="SRU36" s="974"/>
      <c r="SRV36" s="974"/>
      <c r="SRW36" s="974"/>
      <c r="SRX36" s="974"/>
      <c r="SRY36" s="974"/>
      <c r="SRZ36" s="974"/>
      <c r="SSA36" s="974"/>
      <c r="SSB36" s="974"/>
      <c r="SSC36" s="974"/>
      <c r="SSD36" s="974"/>
      <c r="SSE36" s="974"/>
      <c r="SSF36" s="974"/>
      <c r="SSG36" s="974"/>
      <c r="SSH36" s="974"/>
      <c r="SSI36" s="974"/>
      <c r="SSJ36" s="974"/>
      <c r="SSK36" s="974"/>
      <c r="SSL36" s="974"/>
      <c r="SSM36" s="974"/>
      <c r="SSN36" s="974"/>
      <c r="SSO36" s="974"/>
      <c r="SSP36" s="974"/>
      <c r="SSQ36" s="974"/>
      <c r="SSR36" s="974"/>
      <c r="SSS36" s="974"/>
      <c r="SST36" s="974"/>
      <c r="SSU36" s="974"/>
      <c r="SSV36" s="974"/>
      <c r="SSW36" s="974"/>
      <c r="SSX36" s="974"/>
      <c r="SSY36" s="974"/>
      <c r="SSZ36" s="974"/>
      <c r="STA36" s="974"/>
      <c r="STB36" s="974"/>
      <c r="STC36" s="974"/>
      <c r="STD36" s="974"/>
      <c r="STE36" s="974"/>
      <c r="STF36" s="974"/>
      <c r="STG36" s="974"/>
      <c r="STH36" s="974"/>
      <c r="STI36" s="974"/>
      <c r="STJ36" s="974"/>
      <c r="STK36" s="974"/>
      <c r="STL36" s="974"/>
      <c r="STM36" s="974"/>
      <c r="STN36" s="974"/>
      <c r="STO36" s="974"/>
      <c r="STP36" s="974"/>
      <c r="STQ36" s="974"/>
      <c r="STR36" s="974"/>
      <c r="STS36" s="974"/>
      <c r="STT36" s="974"/>
      <c r="STU36" s="974"/>
      <c r="STV36" s="974"/>
      <c r="STW36" s="974"/>
      <c r="STX36" s="974"/>
      <c r="STY36" s="974"/>
      <c r="STZ36" s="974"/>
      <c r="SUA36" s="974"/>
      <c r="SUB36" s="974"/>
      <c r="SUC36" s="974"/>
      <c r="SUD36" s="974"/>
      <c r="SUE36" s="974"/>
      <c r="SUF36" s="974"/>
      <c r="SUG36" s="974"/>
      <c r="SUH36" s="974"/>
      <c r="SUI36" s="974"/>
      <c r="SUJ36" s="974"/>
      <c r="SUK36" s="974"/>
      <c r="SUL36" s="974"/>
      <c r="SUM36" s="974"/>
      <c r="SUN36" s="974"/>
      <c r="SUO36" s="974"/>
      <c r="SUP36" s="974"/>
      <c r="SUQ36" s="974"/>
      <c r="SUR36" s="974"/>
      <c r="SUS36" s="974"/>
      <c r="SUT36" s="974"/>
      <c r="SUU36" s="974"/>
      <c r="SUV36" s="974"/>
      <c r="SUW36" s="974"/>
      <c r="SUX36" s="974"/>
      <c r="SUY36" s="974"/>
      <c r="SUZ36" s="974"/>
      <c r="SVA36" s="974"/>
      <c r="SVB36" s="974"/>
      <c r="SVC36" s="974"/>
      <c r="SVD36" s="974"/>
      <c r="SVE36" s="974"/>
      <c r="SVF36" s="974"/>
      <c r="SVG36" s="974"/>
      <c r="SVH36" s="974"/>
      <c r="SVI36" s="974"/>
      <c r="SVJ36" s="974"/>
      <c r="SVK36" s="974"/>
      <c r="SVL36" s="974"/>
      <c r="SVM36" s="974"/>
      <c r="SVN36" s="974"/>
      <c r="SVO36" s="974"/>
      <c r="SVP36" s="974"/>
      <c r="SVQ36" s="974"/>
      <c r="SVR36" s="974"/>
      <c r="SVS36" s="974"/>
      <c r="SVT36" s="974"/>
      <c r="SVU36" s="974"/>
      <c r="SVV36" s="974"/>
      <c r="SVW36" s="974"/>
      <c r="SVX36" s="974"/>
      <c r="SVY36" s="974"/>
      <c r="SVZ36" s="974"/>
      <c r="SWA36" s="974"/>
      <c r="SWB36" s="974"/>
      <c r="SWC36" s="974"/>
      <c r="SWD36" s="974"/>
      <c r="SWE36" s="974"/>
      <c r="SWF36" s="974"/>
      <c r="SWG36" s="974"/>
      <c r="SWH36" s="974"/>
      <c r="SWI36" s="974"/>
      <c r="SWJ36" s="974"/>
      <c r="SWK36" s="974"/>
      <c r="SWL36" s="974"/>
      <c r="SWM36" s="974"/>
      <c r="SWN36" s="974"/>
      <c r="SWO36" s="974"/>
      <c r="SWP36" s="974"/>
      <c r="SWQ36" s="974"/>
      <c r="SWR36" s="974"/>
      <c r="SWS36" s="974"/>
      <c r="SWT36" s="974"/>
      <c r="SWU36" s="974"/>
      <c r="SWV36" s="974"/>
      <c r="SWW36" s="974"/>
      <c r="SWX36" s="974"/>
      <c r="SWY36" s="974"/>
      <c r="SWZ36" s="974"/>
      <c r="SXA36" s="974"/>
      <c r="SXB36" s="974"/>
      <c r="SXC36" s="974"/>
      <c r="SXD36" s="974"/>
      <c r="SXE36" s="974"/>
      <c r="SXF36" s="974"/>
      <c r="SXG36" s="974"/>
      <c r="SXH36" s="974"/>
      <c r="SXI36" s="974"/>
      <c r="SXJ36" s="974"/>
      <c r="SXK36" s="974"/>
      <c r="SXL36" s="974"/>
      <c r="SXM36" s="974"/>
      <c r="SXN36" s="974"/>
      <c r="SXO36" s="974"/>
      <c r="SXP36" s="974"/>
      <c r="SXQ36" s="974"/>
      <c r="SXR36" s="974"/>
      <c r="SXS36" s="974"/>
      <c r="SXT36" s="974"/>
      <c r="SXU36" s="974"/>
      <c r="SXV36" s="974"/>
      <c r="SXW36" s="974"/>
      <c r="SXX36" s="974"/>
      <c r="SXY36" s="974"/>
      <c r="SXZ36" s="974"/>
      <c r="SYA36" s="974"/>
      <c r="SYB36" s="974"/>
      <c r="SYC36" s="974"/>
      <c r="SYD36" s="974"/>
      <c r="SYE36" s="974"/>
      <c r="SYF36" s="974"/>
      <c r="SYG36" s="974"/>
      <c r="SYH36" s="974"/>
      <c r="SYI36" s="974"/>
      <c r="SYJ36" s="974"/>
      <c r="SYK36" s="974"/>
      <c r="SYL36" s="974"/>
      <c r="SYM36" s="974"/>
      <c r="SYN36" s="974"/>
      <c r="SYO36" s="974"/>
      <c r="SYP36" s="974"/>
      <c r="SYQ36" s="974"/>
      <c r="SYR36" s="974"/>
      <c r="SYS36" s="974"/>
      <c r="SYT36" s="974"/>
      <c r="SYU36" s="974"/>
      <c r="SYV36" s="974"/>
      <c r="SYW36" s="974"/>
      <c r="SYX36" s="974"/>
      <c r="SYY36" s="974"/>
      <c r="SYZ36" s="974"/>
      <c r="SZA36" s="974"/>
      <c r="SZB36" s="974"/>
      <c r="SZC36" s="974"/>
      <c r="SZD36" s="974"/>
      <c r="SZE36" s="974"/>
      <c r="SZF36" s="974"/>
      <c r="SZG36" s="974"/>
      <c r="SZH36" s="974"/>
      <c r="SZI36" s="974"/>
      <c r="SZJ36" s="974"/>
      <c r="SZK36" s="974"/>
      <c r="SZL36" s="974"/>
      <c r="SZM36" s="974"/>
      <c r="SZN36" s="974"/>
      <c r="SZO36" s="974"/>
      <c r="SZP36" s="974"/>
      <c r="SZQ36" s="974"/>
      <c r="SZR36" s="974"/>
      <c r="SZS36" s="974"/>
      <c r="SZT36" s="974"/>
      <c r="SZU36" s="974"/>
      <c r="SZV36" s="974"/>
      <c r="SZW36" s="974"/>
      <c r="SZX36" s="974"/>
      <c r="SZY36" s="974"/>
      <c r="SZZ36" s="974"/>
      <c r="TAA36" s="974"/>
      <c r="TAB36" s="974"/>
      <c r="TAC36" s="974"/>
      <c r="TAD36" s="974"/>
      <c r="TAE36" s="974"/>
      <c r="TAF36" s="974"/>
      <c r="TAG36" s="974"/>
      <c r="TAH36" s="974"/>
      <c r="TAI36" s="974"/>
      <c r="TAJ36" s="974"/>
      <c r="TAK36" s="974"/>
      <c r="TAL36" s="974"/>
      <c r="TAM36" s="974"/>
      <c r="TAN36" s="974"/>
      <c r="TAO36" s="974"/>
      <c r="TAP36" s="974"/>
      <c r="TAQ36" s="974"/>
      <c r="TAR36" s="974"/>
      <c r="TAS36" s="974"/>
      <c r="TAT36" s="974"/>
      <c r="TAU36" s="974"/>
      <c r="TAV36" s="974"/>
      <c r="TAW36" s="974"/>
      <c r="TAX36" s="974"/>
      <c r="TAY36" s="974"/>
      <c r="TAZ36" s="974"/>
      <c r="TBA36" s="974"/>
      <c r="TBB36" s="974"/>
      <c r="TBC36" s="974"/>
      <c r="TBD36" s="974"/>
      <c r="TBE36" s="974"/>
      <c r="TBF36" s="974"/>
      <c r="TBG36" s="974"/>
      <c r="TBH36" s="974"/>
      <c r="TBI36" s="974"/>
      <c r="TBJ36" s="974"/>
      <c r="TBK36" s="974"/>
      <c r="TBL36" s="974"/>
      <c r="TBM36" s="974"/>
      <c r="TBN36" s="974"/>
      <c r="TBO36" s="974"/>
      <c r="TBP36" s="974"/>
      <c r="TBQ36" s="974"/>
      <c r="TBR36" s="974"/>
      <c r="TBS36" s="974"/>
      <c r="TBT36" s="974"/>
      <c r="TBU36" s="974"/>
      <c r="TBV36" s="974"/>
      <c r="TBW36" s="974"/>
      <c r="TBX36" s="974"/>
      <c r="TBY36" s="974"/>
      <c r="TBZ36" s="974"/>
      <c r="TCA36" s="974"/>
      <c r="TCB36" s="974"/>
      <c r="TCC36" s="974"/>
      <c r="TCD36" s="974"/>
      <c r="TCE36" s="974"/>
      <c r="TCF36" s="974"/>
      <c r="TCG36" s="974"/>
      <c r="TCH36" s="974"/>
      <c r="TCI36" s="974"/>
      <c r="TCJ36" s="974"/>
      <c r="TCK36" s="974"/>
      <c r="TCL36" s="974"/>
      <c r="TCM36" s="974"/>
      <c r="TCN36" s="974"/>
      <c r="TCO36" s="974"/>
      <c r="TCP36" s="974"/>
      <c r="TCQ36" s="974"/>
      <c r="TCR36" s="974"/>
      <c r="TCS36" s="974"/>
      <c r="TCT36" s="974"/>
      <c r="TCU36" s="974"/>
      <c r="TCV36" s="974"/>
      <c r="TCW36" s="974"/>
      <c r="TCX36" s="974"/>
      <c r="TCY36" s="974"/>
      <c r="TCZ36" s="974"/>
      <c r="TDA36" s="974"/>
      <c r="TDB36" s="974"/>
      <c r="TDC36" s="974"/>
      <c r="TDD36" s="974"/>
      <c r="TDE36" s="974"/>
      <c r="TDF36" s="974"/>
      <c r="TDG36" s="974"/>
      <c r="TDH36" s="974"/>
      <c r="TDI36" s="974"/>
      <c r="TDJ36" s="974"/>
      <c r="TDK36" s="974"/>
      <c r="TDL36" s="974"/>
      <c r="TDM36" s="974"/>
      <c r="TDN36" s="974"/>
      <c r="TDO36" s="974"/>
      <c r="TDP36" s="974"/>
      <c r="TDQ36" s="974"/>
      <c r="TDR36" s="974"/>
      <c r="TDS36" s="974"/>
      <c r="TDT36" s="974"/>
      <c r="TDU36" s="974"/>
      <c r="TDV36" s="974"/>
      <c r="TDW36" s="974"/>
      <c r="TDX36" s="974"/>
      <c r="TDY36" s="974"/>
      <c r="TDZ36" s="974"/>
      <c r="TEA36" s="974"/>
      <c r="TEB36" s="974"/>
      <c r="TEC36" s="974"/>
      <c r="TED36" s="974"/>
      <c r="TEE36" s="974"/>
      <c r="TEF36" s="974"/>
      <c r="TEG36" s="974"/>
      <c r="TEH36" s="974"/>
      <c r="TEI36" s="974"/>
      <c r="TEJ36" s="974"/>
      <c r="TEK36" s="974"/>
      <c r="TEL36" s="974"/>
      <c r="TEM36" s="974"/>
      <c r="TEN36" s="974"/>
      <c r="TEO36" s="974"/>
      <c r="TEP36" s="974"/>
      <c r="TEQ36" s="974"/>
      <c r="TER36" s="974"/>
      <c r="TES36" s="974"/>
      <c r="TET36" s="974"/>
      <c r="TEU36" s="974"/>
      <c r="TEV36" s="974"/>
      <c r="TEW36" s="974"/>
      <c r="TEX36" s="974"/>
      <c r="TEY36" s="974"/>
      <c r="TEZ36" s="974"/>
      <c r="TFA36" s="974"/>
      <c r="TFB36" s="974"/>
      <c r="TFC36" s="974"/>
      <c r="TFD36" s="974"/>
      <c r="TFE36" s="974"/>
      <c r="TFF36" s="974"/>
      <c r="TFG36" s="974"/>
      <c r="TFH36" s="974"/>
      <c r="TFI36" s="974"/>
      <c r="TFJ36" s="974"/>
      <c r="TFK36" s="974"/>
      <c r="TFL36" s="974"/>
      <c r="TFM36" s="974"/>
      <c r="TFN36" s="974"/>
      <c r="TFO36" s="974"/>
      <c r="TFP36" s="974"/>
      <c r="TFQ36" s="974"/>
      <c r="TFR36" s="974"/>
      <c r="TFS36" s="974"/>
      <c r="TFT36" s="974"/>
      <c r="TFU36" s="974"/>
      <c r="TFV36" s="974"/>
      <c r="TFW36" s="974"/>
      <c r="TFX36" s="974"/>
      <c r="TFY36" s="974"/>
      <c r="TFZ36" s="974"/>
      <c r="TGA36" s="974"/>
      <c r="TGB36" s="974"/>
      <c r="TGC36" s="974"/>
      <c r="TGD36" s="974"/>
      <c r="TGE36" s="974"/>
      <c r="TGF36" s="974"/>
      <c r="TGG36" s="974"/>
      <c r="TGH36" s="974"/>
      <c r="TGI36" s="974"/>
      <c r="TGJ36" s="974"/>
      <c r="TGK36" s="974"/>
      <c r="TGL36" s="974"/>
      <c r="TGM36" s="974"/>
      <c r="TGN36" s="974"/>
      <c r="TGO36" s="974"/>
      <c r="TGP36" s="974"/>
      <c r="TGQ36" s="974"/>
      <c r="TGR36" s="974"/>
      <c r="TGS36" s="974"/>
      <c r="TGT36" s="974"/>
      <c r="TGU36" s="974"/>
      <c r="TGV36" s="974"/>
      <c r="TGW36" s="974"/>
      <c r="TGX36" s="974"/>
      <c r="TGY36" s="974"/>
      <c r="TGZ36" s="974"/>
      <c r="THA36" s="974"/>
      <c r="THB36" s="974"/>
      <c r="THC36" s="974"/>
      <c r="THD36" s="974"/>
      <c r="THE36" s="974"/>
      <c r="THF36" s="974"/>
      <c r="THG36" s="974"/>
      <c r="THH36" s="974"/>
      <c r="THI36" s="974"/>
      <c r="THJ36" s="974"/>
      <c r="THK36" s="974"/>
      <c r="THL36" s="974"/>
      <c r="THM36" s="974"/>
      <c r="THN36" s="974"/>
      <c r="THO36" s="974"/>
      <c r="THP36" s="974"/>
      <c r="THQ36" s="974"/>
      <c r="THR36" s="974"/>
      <c r="THS36" s="974"/>
      <c r="THT36" s="974"/>
      <c r="THU36" s="974"/>
      <c r="THV36" s="974"/>
      <c r="THW36" s="974"/>
      <c r="THX36" s="974"/>
      <c r="THY36" s="974"/>
      <c r="THZ36" s="974"/>
      <c r="TIA36" s="974"/>
      <c r="TIB36" s="974"/>
      <c r="TIC36" s="974"/>
      <c r="TID36" s="974"/>
      <c r="TIE36" s="974"/>
      <c r="TIF36" s="974"/>
      <c r="TIG36" s="974"/>
      <c r="TIH36" s="974"/>
      <c r="TII36" s="974"/>
      <c r="TIJ36" s="974"/>
      <c r="TIK36" s="974"/>
      <c r="TIL36" s="974"/>
      <c r="TIM36" s="974"/>
      <c r="TIN36" s="974"/>
      <c r="TIO36" s="974"/>
      <c r="TIP36" s="974"/>
      <c r="TIQ36" s="974"/>
      <c r="TIR36" s="974"/>
      <c r="TIS36" s="974"/>
      <c r="TIT36" s="974"/>
      <c r="TIU36" s="974"/>
      <c r="TIV36" s="974"/>
      <c r="TIW36" s="974"/>
      <c r="TIX36" s="974"/>
      <c r="TIY36" s="974"/>
      <c r="TIZ36" s="974"/>
      <c r="TJA36" s="974"/>
      <c r="TJB36" s="974"/>
      <c r="TJC36" s="974"/>
      <c r="TJD36" s="974"/>
      <c r="TJE36" s="974"/>
      <c r="TJF36" s="974"/>
      <c r="TJG36" s="974"/>
      <c r="TJH36" s="974"/>
      <c r="TJI36" s="974"/>
      <c r="TJJ36" s="974"/>
      <c r="TJK36" s="974"/>
      <c r="TJL36" s="974"/>
      <c r="TJM36" s="974"/>
      <c r="TJN36" s="974"/>
      <c r="TJO36" s="974"/>
      <c r="TJP36" s="974"/>
      <c r="TJQ36" s="974"/>
      <c r="TJR36" s="974"/>
      <c r="TJS36" s="974"/>
      <c r="TJT36" s="974"/>
      <c r="TJU36" s="974"/>
      <c r="TJV36" s="974"/>
      <c r="TJW36" s="974"/>
      <c r="TJX36" s="974"/>
      <c r="TJY36" s="974"/>
      <c r="TJZ36" s="974"/>
      <c r="TKA36" s="974"/>
      <c r="TKB36" s="974"/>
      <c r="TKC36" s="974"/>
      <c r="TKD36" s="974"/>
      <c r="TKE36" s="974"/>
      <c r="TKF36" s="974"/>
      <c r="TKG36" s="974"/>
      <c r="TKH36" s="974"/>
      <c r="TKI36" s="974"/>
      <c r="TKJ36" s="974"/>
      <c r="TKK36" s="974"/>
      <c r="TKL36" s="974"/>
      <c r="TKM36" s="974"/>
      <c r="TKN36" s="974"/>
      <c r="TKO36" s="974"/>
      <c r="TKP36" s="974"/>
      <c r="TKQ36" s="974"/>
      <c r="TKR36" s="974"/>
      <c r="TKS36" s="974"/>
      <c r="TKT36" s="974"/>
      <c r="TKU36" s="974"/>
      <c r="TKV36" s="974"/>
      <c r="TKW36" s="974"/>
      <c r="TKX36" s="974"/>
      <c r="TKY36" s="974"/>
      <c r="TKZ36" s="974"/>
      <c r="TLA36" s="974"/>
      <c r="TLB36" s="974"/>
      <c r="TLC36" s="974"/>
      <c r="TLD36" s="974"/>
      <c r="TLE36" s="974"/>
      <c r="TLF36" s="974"/>
      <c r="TLG36" s="974"/>
      <c r="TLH36" s="974"/>
      <c r="TLI36" s="974"/>
      <c r="TLJ36" s="974"/>
      <c r="TLK36" s="974"/>
      <c r="TLL36" s="974"/>
      <c r="TLM36" s="974"/>
      <c r="TLN36" s="974"/>
      <c r="TLO36" s="974"/>
      <c r="TLP36" s="974"/>
      <c r="TLQ36" s="974"/>
      <c r="TLR36" s="974"/>
      <c r="TLS36" s="974"/>
      <c r="TLT36" s="974"/>
      <c r="TLU36" s="974"/>
      <c r="TLV36" s="974"/>
      <c r="TLW36" s="974"/>
      <c r="TLX36" s="974"/>
      <c r="TLY36" s="974"/>
      <c r="TLZ36" s="974"/>
      <c r="TMA36" s="974"/>
      <c r="TMB36" s="974"/>
      <c r="TMC36" s="974"/>
      <c r="TMD36" s="974"/>
      <c r="TME36" s="974"/>
      <c r="TMF36" s="974"/>
      <c r="TMG36" s="974"/>
      <c r="TMH36" s="974"/>
      <c r="TMI36" s="974"/>
      <c r="TMJ36" s="974"/>
      <c r="TMK36" s="974"/>
      <c r="TML36" s="974"/>
      <c r="TMM36" s="974"/>
      <c r="TMN36" s="974"/>
      <c r="TMO36" s="974"/>
      <c r="TMP36" s="974"/>
      <c r="TMQ36" s="974"/>
      <c r="TMR36" s="974"/>
      <c r="TMS36" s="974"/>
      <c r="TMT36" s="974"/>
      <c r="TMU36" s="974"/>
      <c r="TMV36" s="974"/>
      <c r="TMW36" s="974"/>
      <c r="TMX36" s="974"/>
      <c r="TMY36" s="974"/>
      <c r="TMZ36" s="974"/>
      <c r="TNA36" s="974"/>
      <c r="TNB36" s="974"/>
      <c r="TNC36" s="974"/>
      <c r="TND36" s="974"/>
      <c r="TNE36" s="974"/>
      <c r="TNF36" s="974"/>
      <c r="TNG36" s="974"/>
      <c r="TNH36" s="974"/>
      <c r="TNI36" s="974"/>
      <c r="TNJ36" s="974"/>
      <c r="TNK36" s="974"/>
      <c r="TNL36" s="974"/>
      <c r="TNM36" s="974"/>
      <c r="TNN36" s="974"/>
      <c r="TNO36" s="974"/>
      <c r="TNP36" s="974"/>
      <c r="TNQ36" s="974"/>
      <c r="TNR36" s="974"/>
      <c r="TNS36" s="974"/>
      <c r="TNT36" s="974"/>
      <c r="TNU36" s="974"/>
      <c r="TNV36" s="974"/>
      <c r="TNW36" s="974"/>
      <c r="TNX36" s="974"/>
      <c r="TNY36" s="974"/>
      <c r="TNZ36" s="974"/>
      <c r="TOA36" s="974"/>
      <c r="TOB36" s="974"/>
      <c r="TOC36" s="974"/>
      <c r="TOD36" s="974"/>
      <c r="TOE36" s="974"/>
      <c r="TOF36" s="974"/>
      <c r="TOG36" s="974"/>
      <c r="TOH36" s="974"/>
      <c r="TOI36" s="974"/>
      <c r="TOJ36" s="974"/>
      <c r="TOK36" s="974"/>
      <c r="TOL36" s="974"/>
      <c r="TOM36" s="974"/>
      <c r="TON36" s="974"/>
      <c r="TOO36" s="974"/>
      <c r="TOP36" s="974"/>
      <c r="TOQ36" s="974"/>
      <c r="TOR36" s="974"/>
      <c r="TOS36" s="974"/>
      <c r="TOT36" s="974"/>
      <c r="TOU36" s="974"/>
      <c r="TOV36" s="974"/>
      <c r="TOW36" s="974"/>
      <c r="TOX36" s="974"/>
      <c r="TOY36" s="974"/>
      <c r="TOZ36" s="974"/>
      <c r="TPA36" s="974"/>
      <c r="TPB36" s="974"/>
      <c r="TPC36" s="974"/>
      <c r="TPD36" s="974"/>
      <c r="TPE36" s="974"/>
      <c r="TPF36" s="974"/>
      <c r="TPG36" s="974"/>
      <c r="TPH36" s="974"/>
      <c r="TPI36" s="974"/>
      <c r="TPJ36" s="974"/>
      <c r="TPK36" s="974"/>
      <c r="TPL36" s="974"/>
      <c r="TPM36" s="974"/>
      <c r="TPN36" s="974"/>
      <c r="TPO36" s="974"/>
      <c r="TPP36" s="974"/>
      <c r="TPQ36" s="974"/>
      <c r="TPR36" s="974"/>
      <c r="TPS36" s="974"/>
      <c r="TPT36" s="974"/>
      <c r="TPU36" s="974"/>
      <c r="TPV36" s="974"/>
      <c r="TPW36" s="974"/>
      <c r="TPX36" s="974"/>
      <c r="TPY36" s="974"/>
      <c r="TPZ36" s="974"/>
      <c r="TQA36" s="974"/>
      <c r="TQB36" s="974"/>
      <c r="TQC36" s="974"/>
      <c r="TQD36" s="974"/>
      <c r="TQE36" s="974"/>
      <c r="TQF36" s="974"/>
      <c r="TQG36" s="974"/>
      <c r="TQH36" s="974"/>
      <c r="TQI36" s="974"/>
      <c r="TQJ36" s="974"/>
      <c r="TQK36" s="974"/>
      <c r="TQL36" s="974"/>
      <c r="TQM36" s="974"/>
      <c r="TQN36" s="974"/>
      <c r="TQO36" s="974"/>
      <c r="TQP36" s="974"/>
      <c r="TQQ36" s="974"/>
      <c r="TQR36" s="974"/>
      <c r="TQS36" s="974"/>
      <c r="TQT36" s="974"/>
      <c r="TQU36" s="974"/>
      <c r="TQV36" s="974"/>
      <c r="TQW36" s="974"/>
      <c r="TQX36" s="974"/>
      <c r="TQY36" s="974"/>
      <c r="TQZ36" s="974"/>
      <c r="TRA36" s="974"/>
      <c r="TRB36" s="974"/>
      <c r="TRC36" s="974"/>
      <c r="TRD36" s="974"/>
      <c r="TRE36" s="974"/>
      <c r="TRF36" s="974"/>
      <c r="TRG36" s="974"/>
      <c r="TRH36" s="974"/>
      <c r="TRI36" s="974"/>
      <c r="TRJ36" s="974"/>
      <c r="TRK36" s="974"/>
      <c r="TRL36" s="974"/>
      <c r="TRM36" s="974"/>
      <c r="TRN36" s="974"/>
      <c r="TRO36" s="974"/>
      <c r="TRP36" s="974"/>
      <c r="TRQ36" s="974"/>
      <c r="TRR36" s="974"/>
      <c r="TRS36" s="974"/>
      <c r="TRT36" s="974"/>
      <c r="TRU36" s="974"/>
      <c r="TRV36" s="974"/>
      <c r="TRW36" s="974"/>
      <c r="TRX36" s="974"/>
      <c r="TRY36" s="974"/>
      <c r="TRZ36" s="974"/>
      <c r="TSA36" s="974"/>
      <c r="TSB36" s="974"/>
      <c r="TSC36" s="974"/>
      <c r="TSD36" s="974"/>
      <c r="TSE36" s="974"/>
      <c r="TSF36" s="974"/>
      <c r="TSG36" s="974"/>
      <c r="TSH36" s="974"/>
      <c r="TSI36" s="974"/>
      <c r="TSJ36" s="974"/>
      <c r="TSK36" s="974"/>
      <c r="TSL36" s="974"/>
      <c r="TSM36" s="974"/>
      <c r="TSN36" s="974"/>
      <c r="TSO36" s="974"/>
      <c r="TSP36" s="974"/>
      <c r="TSQ36" s="974"/>
      <c r="TSR36" s="974"/>
      <c r="TSS36" s="974"/>
      <c r="TST36" s="974"/>
      <c r="TSU36" s="974"/>
      <c r="TSV36" s="974"/>
      <c r="TSW36" s="974"/>
      <c r="TSX36" s="974"/>
      <c r="TSY36" s="974"/>
      <c r="TSZ36" s="974"/>
      <c r="TTA36" s="974"/>
      <c r="TTB36" s="974"/>
      <c r="TTC36" s="974"/>
      <c r="TTD36" s="974"/>
      <c r="TTE36" s="974"/>
      <c r="TTF36" s="974"/>
      <c r="TTG36" s="974"/>
      <c r="TTH36" s="974"/>
      <c r="TTI36" s="974"/>
      <c r="TTJ36" s="974"/>
      <c r="TTK36" s="974"/>
      <c r="TTL36" s="974"/>
      <c r="TTM36" s="974"/>
      <c r="TTN36" s="974"/>
      <c r="TTO36" s="974"/>
      <c r="TTP36" s="974"/>
      <c r="TTQ36" s="974"/>
      <c r="TTR36" s="974"/>
      <c r="TTS36" s="974"/>
      <c r="TTT36" s="974"/>
      <c r="TTU36" s="974"/>
      <c r="TTV36" s="974"/>
      <c r="TTW36" s="974"/>
      <c r="TTX36" s="974"/>
      <c r="TTY36" s="974"/>
      <c r="TTZ36" s="974"/>
      <c r="TUA36" s="974"/>
      <c r="TUB36" s="974"/>
      <c r="TUC36" s="974"/>
      <c r="TUD36" s="974"/>
      <c r="TUE36" s="974"/>
      <c r="TUF36" s="974"/>
      <c r="TUG36" s="974"/>
      <c r="TUH36" s="974"/>
      <c r="TUI36" s="974"/>
      <c r="TUJ36" s="974"/>
      <c r="TUK36" s="974"/>
      <c r="TUL36" s="974"/>
      <c r="TUM36" s="974"/>
      <c r="TUN36" s="974"/>
      <c r="TUO36" s="974"/>
      <c r="TUP36" s="974"/>
      <c r="TUQ36" s="974"/>
      <c r="TUR36" s="974"/>
      <c r="TUS36" s="974"/>
      <c r="TUT36" s="974"/>
      <c r="TUU36" s="974"/>
      <c r="TUV36" s="974"/>
      <c r="TUW36" s="974"/>
      <c r="TUX36" s="974"/>
      <c r="TUY36" s="974"/>
      <c r="TUZ36" s="974"/>
      <c r="TVA36" s="974"/>
      <c r="TVB36" s="974"/>
      <c r="TVC36" s="974"/>
      <c r="TVD36" s="974"/>
      <c r="TVE36" s="974"/>
      <c r="TVF36" s="974"/>
      <c r="TVG36" s="974"/>
      <c r="TVH36" s="974"/>
      <c r="TVI36" s="974"/>
      <c r="TVJ36" s="974"/>
      <c r="TVK36" s="974"/>
      <c r="TVL36" s="974"/>
      <c r="TVM36" s="974"/>
      <c r="TVN36" s="974"/>
      <c r="TVO36" s="974"/>
      <c r="TVP36" s="974"/>
      <c r="TVQ36" s="974"/>
      <c r="TVR36" s="974"/>
      <c r="TVS36" s="974"/>
      <c r="TVT36" s="974"/>
      <c r="TVU36" s="974"/>
      <c r="TVV36" s="974"/>
      <c r="TVW36" s="974"/>
      <c r="TVX36" s="974"/>
      <c r="TVY36" s="974"/>
      <c r="TVZ36" s="974"/>
      <c r="TWA36" s="974"/>
      <c r="TWB36" s="974"/>
      <c r="TWC36" s="974"/>
      <c r="TWD36" s="974"/>
      <c r="TWE36" s="974"/>
      <c r="TWF36" s="974"/>
      <c r="TWG36" s="974"/>
      <c r="TWH36" s="974"/>
      <c r="TWI36" s="974"/>
      <c r="TWJ36" s="974"/>
      <c r="TWK36" s="974"/>
      <c r="TWL36" s="974"/>
      <c r="TWM36" s="974"/>
      <c r="TWN36" s="974"/>
      <c r="TWO36" s="974"/>
      <c r="TWP36" s="974"/>
      <c r="TWQ36" s="974"/>
      <c r="TWR36" s="974"/>
      <c r="TWS36" s="974"/>
      <c r="TWT36" s="974"/>
      <c r="TWU36" s="974"/>
      <c r="TWV36" s="974"/>
      <c r="TWW36" s="974"/>
      <c r="TWX36" s="974"/>
      <c r="TWY36" s="974"/>
      <c r="TWZ36" s="974"/>
      <c r="TXA36" s="974"/>
      <c r="TXB36" s="974"/>
      <c r="TXC36" s="974"/>
      <c r="TXD36" s="974"/>
      <c r="TXE36" s="974"/>
      <c r="TXF36" s="974"/>
      <c r="TXG36" s="974"/>
      <c r="TXH36" s="974"/>
      <c r="TXI36" s="974"/>
      <c r="TXJ36" s="974"/>
      <c r="TXK36" s="974"/>
      <c r="TXL36" s="974"/>
      <c r="TXM36" s="974"/>
      <c r="TXN36" s="974"/>
      <c r="TXO36" s="974"/>
      <c r="TXP36" s="974"/>
      <c r="TXQ36" s="974"/>
      <c r="TXR36" s="974"/>
      <c r="TXS36" s="974"/>
      <c r="TXT36" s="974"/>
      <c r="TXU36" s="974"/>
      <c r="TXV36" s="974"/>
      <c r="TXW36" s="974"/>
      <c r="TXX36" s="974"/>
      <c r="TXY36" s="974"/>
      <c r="TXZ36" s="974"/>
      <c r="TYA36" s="974"/>
      <c r="TYB36" s="974"/>
      <c r="TYC36" s="974"/>
      <c r="TYD36" s="974"/>
      <c r="TYE36" s="974"/>
      <c r="TYF36" s="974"/>
      <c r="TYG36" s="974"/>
      <c r="TYH36" s="974"/>
      <c r="TYI36" s="974"/>
      <c r="TYJ36" s="974"/>
      <c r="TYK36" s="974"/>
      <c r="TYL36" s="974"/>
      <c r="TYM36" s="974"/>
      <c r="TYN36" s="974"/>
      <c r="TYO36" s="974"/>
      <c r="TYP36" s="974"/>
      <c r="TYQ36" s="974"/>
      <c r="TYR36" s="974"/>
      <c r="TYS36" s="974"/>
      <c r="TYT36" s="974"/>
      <c r="TYU36" s="974"/>
      <c r="TYV36" s="974"/>
      <c r="TYW36" s="974"/>
      <c r="TYX36" s="974"/>
      <c r="TYY36" s="974"/>
      <c r="TYZ36" s="974"/>
      <c r="TZA36" s="974"/>
      <c r="TZB36" s="974"/>
      <c r="TZC36" s="974"/>
      <c r="TZD36" s="974"/>
      <c r="TZE36" s="974"/>
      <c r="TZF36" s="974"/>
      <c r="TZG36" s="974"/>
      <c r="TZH36" s="974"/>
      <c r="TZI36" s="974"/>
      <c r="TZJ36" s="974"/>
      <c r="TZK36" s="974"/>
      <c r="TZL36" s="974"/>
      <c r="TZM36" s="974"/>
      <c r="TZN36" s="974"/>
      <c r="TZO36" s="974"/>
      <c r="TZP36" s="974"/>
      <c r="TZQ36" s="974"/>
      <c r="TZR36" s="974"/>
      <c r="TZS36" s="974"/>
      <c r="TZT36" s="974"/>
      <c r="TZU36" s="974"/>
      <c r="TZV36" s="974"/>
      <c r="TZW36" s="974"/>
      <c r="TZX36" s="974"/>
      <c r="TZY36" s="974"/>
      <c r="TZZ36" s="974"/>
      <c r="UAA36" s="974"/>
      <c r="UAB36" s="974"/>
      <c r="UAC36" s="974"/>
      <c r="UAD36" s="974"/>
      <c r="UAE36" s="974"/>
      <c r="UAF36" s="974"/>
      <c r="UAG36" s="974"/>
      <c r="UAH36" s="974"/>
      <c r="UAI36" s="974"/>
      <c r="UAJ36" s="974"/>
      <c r="UAK36" s="974"/>
      <c r="UAL36" s="974"/>
      <c r="UAM36" s="974"/>
      <c r="UAN36" s="974"/>
      <c r="UAO36" s="974"/>
      <c r="UAP36" s="974"/>
      <c r="UAQ36" s="974"/>
      <c r="UAR36" s="974"/>
      <c r="UAS36" s="974"/>
      <c r="UAT36" s="974"/>
      <c r="UAU36" s="974"/>
      <c r="UAV36" s="974"/>
      <c r="UAW36" s="974"/>
      <c r="UAX36" s="974"/>
      <c r="UAY36" s="974"/>
      <c r="UAZ36" s="974"/>
      <c r="UBA36" s="974"/>
      <c r="UBB36" s="974"/>
      <c r="UBC36" s="974"/>
      <c r="UBD36" s="974"/>
      <c r="UBE36" s="974"/>
      <c r="UBF36" s="974"/>
      <c r="UBG36" s="974"/>
      <c r="UBH36" s="974"/>
      <c r="UBI36" s="974"/>
      <c r="UBJ36" s="974"/>
      <c r="UBK36" s="974"/>
      <c r="UBL36" s="974"/>
      <c r="UBM36" s="974"/>
      <c r="UBN36" s="974"/>
      <c r="UBO36" s="974"/>
      <c r="UBP36" s="974"/>
      <c r="UBQ36" s="974"/>
      <c r="UBR36" s="974"/>
      <c r="UBS36" s="974"/>
      <c r="UBT36" s="974"/>
      <c r="UBU36" s="974"/>
      <c r="UBV36" s="974"/>
      <c r="UBW36" s="974"/>
      <c r="UBX36" s="974"/>
      <c r="UBY36" s="974"/>
      <c r="UBZ36" s="974"/>
      <c r="UCA36" s="974"/>
      <c r="UCB36" s="974"/>
      <c r="UCC36" s="974"/>
      <c r="UCD36" s="974"/>
      <c r="UCE36" s="974"/>
      <c r="UCF36" s="974"/>
      <c r="UCG36" s="974"/>
      <c r="UCH36" s="974"/>
      <c r="UCI36" s="974"/>
      <c r="UCJ36" s="974"/>
      <c r="UCK36" s="974"/>
      <c r="UCL36" s="974"/>
      <c r="UCM36" s="974"/>
      <c r="UCN36" s="974"/>
      <c r="UCO36" s="974"/>
      <c r="UCP36" s="974"/>
      <c r="UCQ36" s="974"/>
      <c r="UCR36" s="974"/>
      <c r="UCS36" s="974"/>
      <c r="UCT36" s="974"/>
      <c r="UCU36" s="974"/>
      <c r="UCV36" s="974"/>
      <c r="UCW36" s="974"/>
      <c r="UCX36" s="974"/>
      <c r="UCY36" s="974"/>
      <c r="UCZ36" s="974"/>
      <c r="UDA36" s="974"/>
      <c r="UDB36" s="974"/>
      <c r="UDC36" s="974"/>
      <c r="UDD36" s="974"/>
      <c r="UDE36" s="974"/>
      <c r="UDF36" s="974"/>
      <c r="UDG36" s="974"/>
      <c r="UDH36" s="974"/>
      <c r="UDI36" s="974"/>
      <c r="UDJ36" s="974"/>
      <c r="UDK36" s="974"/>
      <c r="UDL36" s="974"/>
      <c r="UDM36" s="974"/>
      <c r="UDN36" s="974"/>
      <c r="UDO36" s="974"/>
      <c r="UDP36" s="974"/>
      <c r="UDQ36" s="974"/>
      <c r="UDR36" s="974"/>
      <c r="UDS36" s="974"/>
      <c r="UDT36" s="974"/>
      <c r="UDU36" s="974"/>
      <c r="UDV36" s="974"/>
      <c r="UDW36" s="974"/>
      <c r="UDX36" s="974"/>
      <c r="UDY36" s="974"/>
      <c r="UDZ36" s="974"/>
      <c r="UEA36" s="974"/>
      <c r="UEB36" s="974"/>
      <c r="UEC36" s="974"/>
      <c r="UED36" s="974"/>
      <c r="UEE36" s="974"/>
      <c r="UEF36" s="974"/>
      <c r="UEG36" s="974"/>
      <c r="UEH36" s="974"/>
      <c r="UEI36" s="974"/>
      <c r="UEJ36" s="974"/>
      <c r="UEK36" s="974"/>
      <c r="UEL36" s="974"/>
      <c r="UEM36" s="974"/>
      <c r="UEN36" s="974"/>
      <c r="UEO36" s="974"/>
      <c r="UEP36" s="974"/>
      <c r="UEQ36" s="974"/>
      <c r="UER36" s="974"/>
      <c r="UES36" s="974"/>
      <c r="UET36" s="974"/>
      <c r="UEU36" s="974"/>
      <c r="UEV36" s="974"/>
      <c r="UEW36" s="974"/>
      <c r="UEX36" s="974"/>
      <c r="UEY36" s="974"/>
      <c r="UEZ36" s="974"/>
      <c r="UFA36" s="974"/>
      <c r="UFB36" s="974"/>
      <c r="UFC36" s="974"/>
      <c r="UFD36" s="974"/>
      <c r="UFE36" s="974"/>
      <c r="UFF36" s="974"/>
      <c r="UFG36" s="974"/>
      <c r="UFH36" s="974"/>
      <c r="UFI36" s="974"/>
      <c r="UFJ36" s="974"/>
      <c r="UFK36" s="974"/>
      <c r="UFL36" s="974"/>
      <c r="UFM36" s="974"/>
      <c r="UFN36" s="974"/>
      <c r="UFO36" s="974"/>
      <c r="UFP36" s="974"/>
      <c r="UFQ36" s="974"/>
      <c r="UFR36" s="974"/>
      <c r="UFS36" s="974"/>
      <c r="UFT36" s="974"/>
      <c r="UFU36" s="974"/>
      <c r="UFV36" s="974"/>
      <c r="UFW36" s="974"/>
      <c r="UFX36" s="974"/>
      <c r="UFY36" s="974"/>
      <c r="UFZ36" s="974"/>
      <c r="UGA36" s="974"/>
      <c r="UGB36" s="974"/>
      <c r="UGC36" s="974"/>
      <c r="UGD36" s="974"/>
      <c r="UGE36" s="974"/>
      <c r="UGF36" s="974"/>
      <c r="UGG36" s="974"/>
      <c r="UGH36" s="974"/>
      <c r="UGI36" s="974"/>
      <c r="UGJ36" s="974"/>
      <c r="UGK36" s="974"/>
      <c r="UGL36" s="974"/>
      <c r="UGM36" s="974"/>
      <c r="UGN36" s="974"/>
      <c r="UGO36" s="974"/>
      <c r="UGP36" s="974"/>
      <c r="UGQ36" s="974"/>
      <c r="UGR36" s="974"/>
      <c r="UGS36" s="974"/>
      <c r="UGT36" s="974"/>
      <c r="UGU36" s="974"/>
      <c r="UGV36" s="974"/>
      <c r="UGW36" s="974"/>
      <c r="UGX36" s="974"/>
      <c r="UGY36" s="974"/>
      <c r="UGZ36" s="974"/>
      <c r="UHA36" s="974"/>
      <c r="UHB36" s="974"/>
      <c r="UHC36" s="974"/>
      <c r="UHD36" s="974"/>
      <c r="UHE36" s="974"/>
      <c r="UHF36" s="974"/>
      <c r="UHG36" s="974"/>
      <c r="UHH36" s="974"/>
      <c r="UHI36" s="974"/>
      <c r="UHJ36" s="974"/>
      <c r="UHK36" s="974"/>
      <c r="UHL36" s="974"/>
      <c r="UHM36" s="974"/>
      <c r="UHN36" s="974"/>
      <c r="UHO36" s="974"/>
      <c r="UHP36" s="974"/>
      <c r="UHQ36" s="974"/>
      <c r="UHR36" s="974"/>
      <c r="UHS36" s="974"/>
      <c r="UHT36" s="974"/>
      <c r="UHU36" s="974"/>
      <c r="UHV36" s="974"/>
      <c r="UHW36" s="974"/>
      <c r="UHX36" s="974"/>
      <c r="UHY36" s="974"/>
      <c r="UHZ36" s="974"/>
      <c r="UIA36" s="974"/>
      <c r="UIB36" s="974"/>
      <c r="UIC36" s="974"/>
      <c r="UID36" s="974"/>
      <c r="UIE36" s="974"/>
      <c r="UIF36" s="974"/>
      <c r="UIG36" s="974"/>
      <c r="UIH36" s="974"/>
      <c r="UII36" s="974"/>
      <c r="UIJ36" s="974"/>
      <c r="UIK36" s="974"/>
      <c r="UIL36" s="974"/>
      <c r="UIM36" s="974"/>
      <c r="UIN36" s="974"/>
      <c r="UIO36" s="974"/>
      <c r="UIP36" s="974"/>
      <c r="UIQ36" s="974"/>
      <c r="UIR36" s="974"/>
      <c r="UIS36" s="974"/>
      <c r="UIT36" s="974"/>
      <c r="UIU36" s="974"/>
      <c r="UIV36" s="974"/>
      <c r="UIW36" s="974"/>
      <c r="UIX36" s="974"/>
      <c r="UIY36" s="974"/>
      <c r="UIZ36" s="974"/>
      <c r="UJA36" s="974"/>
      <c r="UJB36" s="974"/>
      <c r="UJC36" s="974"/>
      <c r="UJD36" s="974"/>
      <c r="UJE36" s="974"/>
      <c r="UJF36" s="974"/>
      <c r="UJG36" s="974"/>
      <c r="UJH36" s="974"/>
      <c r="UJI36" s="974"/>
      <c r="UJJ36" s="974"/>
      <c r="UJK36" s="974"/>
      <c r="UJL36" s="974"/>
      <c r="UJM36" s="974"/>
      <c r="UJN36" s="974"/>
      <c r="UJO36" s="974"/>
      <c r="UJP36" s="974"/>
      <c r="UJQ36" s="974"/>
      <c r="UJR36" s="974"/>
      <c r="UJS36" s="974"/>
      <c r="UJT36" s="974"/>
      <c r="UJU36" s="974"/>
      <c r="UJV36" s="974"/>
      <c r="UJW36" s="974"/>
      <c r="UJX36" s="974"/>
      <c r="UJY36" s="974"/>
      <c r="UJZ36" s="974"/>
      <c r="UKA36" s="974"/>
      <c r="UKB36" s="974"/>
      <c r="UKC36" s="974"/>
      <c r="UKD36" s="974"/>
      <c r="UKE36" s="974"/>
      <c r="UKF36" s="974"/>
      <c r="UKG36" s="974"/>
      <c r="UKH36" s="974"/>
      <c r="UKI36" s="974"/>
      <c r="UKJ36" s="974"/>
      <c r="UKK36" s="974"/>
      <c r="UKL36" s="974"/>
      <c r="UKM36" s="974"/>
      <c r="UKN36" s="974"/>
      <c r="UKO36" s="974"/>
      <c r="UKP36" s="974"/>
      <c r="UKQ36" s="974"/>
      <c r="UKR36" s="974"/>
      <c r="UKS36" s="974"/>
      <c r="UKT36" s="974"/>
      <c r="UKU36" s="974"/>
      <c r="UKV36" s="974"/>
      <c r="UKW36" s="974"/>
      <c r="UKX36" s="974"/>
      <c r="UKY36" s="974"/>
      <c r="UKZ36" s="974"/>
      <c r="ULA36" s="974"/>
      <c r="ULB36" s="974"/>
      <c r="ULC36" s="974"/>
      <c r="ULD36" s="974"/>
      <c r="ULE36" s="974"/>
      <c r="ULF36" s="974"/>
      <c r="ULG36" s="974"/>
      <c r="ULH36" s="974"/>
      <c r="ULI36" s="974"/>
      <c r="ULJ36" s="974"/>
      <c r="ULK36" s="974"/>
      <c r="ULL36" s="974"/>
      <c r="ULM36" s="974"/>
      <c r="ULN36" s="974"/>
      <c r="ULO36" s="974"/>
      <c r="ULP36" s="974"/>
      <c r="ULQ36" s="974"/>
      <c r="ULR36" s="974"/>
      <c r="ULS36" s="974"/>
      <c r="ULT36" s="974"/>
      <c r="ULU36" s="974"/>
      <c r="ULV36" s="974"/>
      <c r="ULW36" s="974"/>
      <c r="ULX36" s="974"/>
      <c r="ULY36" s="974"/>
      <c r="ULZ36" s="974"/>
      <c r="UMA36" s="974"/>
      <c r="UMB36" s="974"/>
      <c r="UMC36" s="974"/>
      <c r="UMD36" s="974"/>
      <c r="UME36" s="974"/>
      <c r="UMF36" s="974"/>
      <c r="UMG36" s="974"/>
      <c r="UMH36" s="974"/>
      <c r="UMI36" s="974"/>
      <c r="UMJ36" s="974"/>
      <c r="UMK36" s="974"/>
      <c r="UML36" s="974"/>
      <c r="UMM36" s="974"/>
      <c r="UMN36" s="974"/>
      <c r="UMO36" s="974"/>
      <c r="UMP36" s="974"/>
      <c r="UMQ36" s="974"/>
      <c r="UMR36" s="974"/>
      <c r="UMS36" s="974"/>
      <c r="UMT36" s="974"/>
      <c r="UMU36" s="974"/>
      <c r="UMV36" s="974"/>
      <c r="UMW36" s="974"/>
      <c r="UMX36" s="974"/>
      <c r="UMY36" s="974"/>
      <c r="UMZ36" s="974"/>
      <c r="UNA36" s="974"/>
      <c r="UNB36" s="974"/>
      <c r="UNC36" s="974"/>
      <c r="UND36" s="974"/>
      <c r="UNE36" s="974"/>
      <c r="UNF36" s="974"/>
      <c r="UNG36" s="974"/>
      <c r="UNH36" s="974"/>
      <c r="UNI36" s="974"/>
      <c r="UNJ36" s="974"/>
      <c r="UNK36" s="974"/>
      <c r="UNL36" s="974"/>
      <c r="UNM36" s="974"/>
      <c r="UNN36" s="974"/>
      <c r="UNO36" s="974"/>
      <c r="UNP36" s="974"/>
      <c r="UNQ36" s="974"/>
      <c r="UNR36" s="974"/>
      <c r="UNS36" s="974"/>
      <c r="UNT36" s="974"/>
      <c r="UNU36" s="974"/>
      <c r="UNV36" s="974"/>
      <c r="UNW36" s="974"/>
      <c r="UNX36" s="974"/>
      <c r="UNY36" s="974"/>
      <c r="UNZ36" s="974"/>
      <c r="UOA36" s="974"/>
      <c r="UOB36" s="974"/>
      <c r="UOC36" s="974"/>
      <c r="UOD36" s="974"/>
      <c r="UOE36" s="974"/>
      <c r="UOF36" s="974"/>
      <c r="UOG36" s="974"/>
      <c r="UOH36" s="974"/>
      <c r="UOI36" s="974"/>
      <c r="UOJ36" s="974"/>
      <c r="UOK36" s="974"/>
      <c r="UOL36" s="974"/>
      <c r="UOM36" s="974"/>
      <c r="UON36" s="974"/>
      <c r="UOO36" s="974"/>
      <c r="UOP36" s="974"/>
      <c r="UOQ36" s="974"/>
      <c r="UOR36" s="974"/>
      <c r="UOS36" s="974"/>
      <c r="UOT36" s="974"/>
      <c r="UOU36" s="974"/>
      <c r="UOV36" s="974"/>
      <c r="UOW36" s="974"/>
      <c r="UOX36" s="974"/>
      <c r="UOY36" s="974"/>
      <c r="UOZ36" s="974"/>
      <c r="UPA36" s="974"/>
      <c r="UPB36" s="974"/>
      <c r="UPC36" s="974"/>
      <c r="UPD36" s="974"/>
      <c r="UPE36" s="974"/>
      <c r="UPF36" s="974"/>
      <c r="UPG36" s="974"/>
      <c r="UPH36" s="974"/>
      <c r="UPI36" s="974"/>
      <c r="UPJ36" s="974"/>
      <c r="UPK36" s="974"/>
      <c r="UPL36" s="974"/>
      <c r="UPM36" s="974"/>
      <c r="UPN36" s="974"/>
      <c r="UPO36" s="974"/>
      <c r="UPP36" s="974"/>
      <c r="UPQ36" s="974"/>
      <c r="UPR36" s="974"/>
      <c r="UPS36" s="974"/>
      <c r="UPT36" s="974"/>
      <c r="UPU36" s="974"/>
      <c r="UPV36" s="974"/>
      <c r="UPW36" s="974"/>
      <c r="UPX36" s="974"/>
      <c r="UPY36" s="974"/>
      <c r="UPZ36" s="974"/>
      <c r="UQA36" s="974"/>
      <c r="UQB36" s="974"/>
      <c r="UQC36" s="974"/>
      <c r="UQD36" s="974"/>
      <c r="UQE36" s="974"/>
      <c r="UQF36" s="974"/>
      <c r="UQG36" s="974"/>
      <c r="UQH36" s="974"/>
      <c r="UQI36" s="974"/>
      <c r="UQJ36" s="974"/>
      <c r="UQK36" s="974"/>
      <c r="UQL36" s="974"/>
      <c r="UQM36" s="974"/>
      <c r="UQN36" s="974"/>
      <c r="UQO36" s="974"/>
      <c r="UQP36" s="974"/>
      <c r="UQQ36" s="974"/>
      <c r="UQR36" s="974"/>
      <c r="UQS36" s="974"/>
      <c r="UQT36" s="974"/>
      <c r="UQU36" s="974"/>
      <c r="UQV36" s="974"/>
      <c r="UQW36" s="974"/>
      <c r="UQX36" s="974"/>
      <c r="UQY36" s="974"/>
      <c r="UQZ36" s="974"/>
      <c r="URA36" s="974"/>
      <c r="URB36" s="974"/>
      <c r="URC36" s="974"/>
      <c r="URD36" s="974"/>
      <c r="URE36" s="974"/>
      <c r="URF36" s="974"/>
      <c r="URG36" s="974"/>
      <c r="URH36" s="974"/>
      <c r="URI36" s="974"/>
      <c r="URJ36" s="974"/>
      <c r="URK36" s="974"/>
      <c r="URL36" s="974"/>
      <c r="URM36" s="974"/>
      <c r="URN36" s="974"/>
      <c r="URO36" s="974"/>
      <c r="URP36" s="974"/>
      <c r="URQ36" s="974"/>
      <c r="URR36" s="974"/>
      <c r="URS36" s="974"/>
      <c r="URT36" s="974"/>
      <c r="URU36" s="974"/>
      <c r="URV36" s="974"/>
      <c r="URW36" s="974"/>
      <c r="URX36" s="974"/>
      <c r="URY36" s="974"/>
      <c r="URZ36" s="974"/>
      <c r="USA36" s="974"/>
      <c r="USB36" s="974"/>
      <c r="USC36" s="974"/>
      <c r="USD36" s="974"/>
      <c r="USE36" s="974"/>
      <c r="USF36" s="974"/>
      <c r="USG36" s="974"/>
      <c r="USH36" s="974"/>
      <c r="USI36" s="974"/>
      <c r="USJ36" s="974"/>
      <c r="USK36" s="974"/>
      <c r="USL36" s="974"/>
      <c r="USM36" s="974"/>
      <c r="USN36" s="974"/>
      <c r="USO36" s="974"/>
      <c r="USP36" s="974"/>
      <c r="USQ36" s="974"/>
      <c r="USR36" s="974"/>
      <c r="USS36" s="974"/>
      <c r="UST36" s="974"/>
      <c r="USU36" s="974"/>
      <c r="USV36" s="974"/>
      <c r="USW36" s="974"/>
      <c r="USX36" s="974"/>
      <c r="USY36" s="974"/>
      <c r="USZ36" s="974"/>
      <c r="UTA36" s="974"/>
      <c r="UTB36" s="974"/>
      <c r="UTC36" s="974"/>
      <c r="UTD36" s="974"/>
      <c r="UTE36" s="974"/>
      <c r="UTF36" s="974"/>
      <c r="UTG36" s="974"/>
      <c r="UTH36" s="974"/>
      <c r="UTI36" s="974"/>
      <c r="UTJ36" s="974"/>
      <c r="UTK36" s="974"/>
      <c r="UTL36" s="974"/>
      <c r="UTM36" s="974"/>
      <c r="UTN36" s="974"/>
      <c r="UTO36" s="974"/>
      <c r="UTP36" s="974"/>
      <c r="UTQ36" s="974"/>
      <c r="UTR36" s="974"/>
      <c r="UTS36" s="974"/>
      <c r="UTT36" s="974"/>
      <c r="UTU36" s="974"/>
      <c r="UTV36" s="974"/>
      <c r="UTW36" s="974"/>
      <c r="UTX36" s="974"/>
      <c r="UTY36" s="974"/>
      <c r="UTZ36" s="974"/>
      <c r="UUA36" s="974"/>
      <c r="UUB36" s="974"/>
      <c r="UUC36" s="974"/>
      <c r="UUD36" s="974"/>
      <c r="UUE36" s="974"/>
      <c r="UUF36" s="974"/>
      <c r="UUG36" s="974"/>
      <c r="UUH36" s="974"/>
      <c r="UUI36" s="974"/>
      <c r="UUJ36" s="974"/>
      <c r="UUK36" s="974"/>
      <c r="UUL36" s="974"/>
      <c r="UUM36" s="974"/>
      <c r="UUN36" s="974"/>
      <c r="UUO36" s="974"/>
      <c r="UUP36" s="974"/>
      <c r="UUQ36" s="974"/>
      <c r="UUR36" s="974"/>
      <c r="UUS36" s="974"/>
      <c r="UUT36" s="974"/>
      <c r="UUU36" s="974"/>
      <c r="UUV36" s="974"/>
      <c r="UUW36" s="974"/>
      <c r="UUX36" s="974"/>
      <c r="UUY36" s="974"/>
      <c r="UUZ36" s="974"/>
      <c r="UVA36" s="974"/>
      <c r="UVB36" s="974"/>
      <c r="UVC36" s="974"/>
      <c r="UVD36" s="974"/>
      <c r="UVE36" s="974"/>
      <c r="UVF36" s="974"/>
      <c r="UVG36" s="974"/>
      <c r="UVH36" s="974"/>
      <c r="UVI36" s="974"/>
      <c r="UVJ36" s="974"/>
      <c r="UVK36" s="974"/>
      <c r="UVL36" s="974"/>
      <c r="UVM36" s="974"/>
      <c r="UVN36" s="974"/>
      <c r="UVO36" s="974"/>
      <c r="UVP36" s="974"/>
      <c r="UVQ36" s="974"/>
      <c r="UVR36" s="974"/>
      <c r="UVS36" s="974"/>
      <c r="UVT36" s="974"/>
      <c r="UVU36" s="974"/>
      <c r="UVV36" s="974"/>
      <c r="UVW36" s="974"/>
      <c r="UVX36" s="974"/>
      <c r="UVY36" s="974"/>
      <c r="UVZ36" s="974"/>
      <c r="UWA36" s="974"/>
      <c r="UWB36" s="974"/>
      <c r="UWC36" s="974"/>
      <c r="UWD36" s="974"/>
      <c r="UWE36" s="974"/>
      <c r="UWF36" s="974"/>
      <c r="UWG36" s="974"/>
      <c r="UWH36" s="974"/>
      <c r="UWI36" s="974"/>
      <c r="UWJ36" s="974"/>
      <c r="UWK36" s="974"/>
      <c r="UWL36" s="974"/>
      <c r="UWM36" s="974"/>
      <c r="UWN36" s="974"/>
      <c r="UWO36" s="974"/>
      <c r="UWP36" s="974"/>
      <c r="UWQ36" s="974"/>
      <c r="UWR36" s="974"/>
      <c r="UWS36" s="974"/>
      <c r="UWT36" s="974"/>
      <c r="UWU36" s="974"/>
      <c r="UWV36" s="974"/>
      <c r="UWW36" s="974"/>
      <c r="UWX36" s="974"/>
      <c r="UWY36" s="974"/>
      <c r="UWZ36" s="974"/>
      <c r="UXA36" s="974"/>
      <c r="UXB36" s="974"/>
      <c r="UXC36" s="974"/>
      <c r="UXD36" s="974"/>
      <c r="UXE36" s="974"/>
      <c r="UXF36" s="974"/>
      <c r="UXG36" s="974"/>
      <c r="UXH36" s="974"/>
      <c r="UXI36" s="974"/>
      <c r="UXJ36" s="974"/>
      <c r="UXK36" s="974"/>
      <c r="UXL36" s="974"/>
      <c r="UXM36" s="974"/>
      <c r="UXN36" s="974"/>
      <c r="UXO36" s="974"/>
      <c r="UXP36" s="974"/>
      <c r="UXQ36" s="974"/>
      <c r="UXR36" s="974"/>
      <c r="UXS36" s="974"/>
      <c r="UXT36" s="974"/>
      <c r="UXU36" s="974"/>
      <c r="UXV36" s="974"/>
      <c r="UXW36" s="974"/>
      <c r="UXX36" s="974"/>
      <c r="UXY36" s="974"/>
      <c r="UXZ36" s="974"/>
      <c r="UYA36" s="974"/>
      <c r="UYB36" s="974"/>
      <c r="UYC36" s="974"/>
      <c r="UYD36" s="974"/>
      <c r="UYE36" s="974"/>
      <c r="UYF36" s="974"/>
      <c r="UYG36" s="974"/>
      <c r="UYH36" s="974"/>
      <c r="UYI36" s="974"/>
      <c r="UYJ36" s="974"/>
      <c r="UYK36" s="974"/>
      <c r="UYL36" s="974"/>
      <c r="UYM36" s="974"/>
      <c r="UYN36" s="974"/>
      <c r="UYO36" s="974"/>
      <c r="UYP36" s="974"/>
      <c r="UYQ36" s="974"/>
      <c r="UYR36" s="974"/>
      <c r="UYS36" s="974"/>
      <c r="UYT36" s="974"/>
      <c r="UYU36" s="974"/>
      <c r="UYV36" s="974"/>
      <c r="UYW36" s="974"/>
      <c r="UYX36" s="974"/>
      <c r="UYY36" s="974"/>
      <c r="UYZ36" s="974"/>
      <c r="UZA36" s="974"/>
      <c r="UZB36" s="974"/>
      <c r="UZC36" s="974"/>
      <c r="UZD36" s="974"/>
      <c r="UZE36" s="974"/>
      <c r="UZF36" s="974"/>
      <c r="UZG36" s="974"/>
      <c r="UZH36" s="974"/>
      <c r="UZI36" s="974"/>
      <c r="UZJ36" s="974"/>
      <c r="UZK36" s="974"/>
      <c r="UZL36" s="974"/>
      <c r="UZM36" s="974"/>
      <c r="UZN36" s="974"/>
      <c r="UZO36" s="974"/>
      <c r="UZP36" s="974"/>
      <c r="UZQ36" s="974"/>
      <c r="UZR36" s="974"/>
      <c r="UZS36" s="974"/>
      <c r="UZT36" s="974"/>
      <c r="UZU36" s="974"/>
      <c r="UZV36" s="974"/>
      <c r="UZW36" s="974"/>
      <c r="UZX36" s="974"/>
      <c r="UZY36" s="974"/>
      <c r="UZZ36" s="974"/>
      <c r="VAA36" s="974"/>
      <c r="VAB36" s="974"/>
      <c r="VAC36" s="974"/>
      <c r="VAD36" s="974"/>
      <c r="VAE36" s="974"/>
      <c r="VAF36" s="974"/>
      <c r="VAG36" s="974"/>
      <c r="VAH36" s="974"/>
      <c r="VAI36" s="974"/>
      <c r="VAJ36" s="974"/>
      <c r="VAK36" s="974"/>
      <c r="VAL36" s="974"/>
      <c r="VAM36" s="974"/>
      <c r="VAN36" s="974"/>
      <c r="VAO36" s="974"/>
      <c r="VAP36" s="974"/>
      <c r="VAQ36" s="974"/>
      <c r="VAR36" s="974"/>
      <c r="VAS36" s="974"/>
      <c r="VAT36" s="974"/>
      <c r="VAU36" s="974"/>
      <c r="VAV36" s="974"/>
      <c r="VAW36" s="974"/>
      <c r="VAX36" s="974"/>
      <c r="VAY36" s="974"/>
      <c r="VAZ36" s="974"/>
      <c r="VBA36" s="974"/>
      <c r="VBB36" s="974"/>
      <c r="VBC36" s="974"/>
      <c r="VBD36" s="974"/>
      <c r="VBE36" s="974"/>
      <c r="VBF36" s="974"/>
      <c r="VBG36" s="974"/>
      <c r="VBH36" s="974"/>
      <c r="VBI36" s="974"/>
      <c r="VBJ36" s="974"/>
      <c r="VBK36" s="974"/>
      <c r="VBL36" s="974"/>
      <c r="VBM36" s="974"/>
      <c r="VBN36" s="974"/>
      <c r="VBO36" s="974"/>
      <c r="VBP36" s="974"/>
      <c r="VBQ36" s="974"/>
      <c r="VBR36" s="974"/>
      <c r="VBS36" s="974"/>
      <c r="VBT36" s="974"/>
      <c r="VBU36" s="974"/>
      <c r="VBV36" s="974"/>
      <c r="VBW36" s="974"/>
      <c r="VBX36" s="974"/>
      <c r="VBY36" s="974"/>
      <c r="VBZ36" s="974"/>
      <c r="VCA36" s="974"/>
      <c r="VCB36" s="974"/>
      <c r="VCC36" s="974"/>
      <c r="VCD36" s="974"/>
      <c r="VCE36" s="974"/>
      <c r="VCF36" s="974"/>
      <c r="VCG36" s="974"/>
      <c r="VCH36" s="974"/>
      <c r="VCI36" s="974"/>
      <c r="VCJ36" s="974"/>
      <c r="VCK36" s="974"/>
      <c r="VCL36" s="974"/>
      <c r="VCM36" s="974"/>
      <c r="VCN36" s="974"/>
      <c r="VCO36" s="974"/>
      <c r="VCP36" s="974"/>
      <c r="VCQ36" s="974"/>
      <c r="VCR36" s="974"/>
      <c r="VCS36" s="974"/>
      <c r="VCT36" s="974"/>
      <c r="VCU36" s="974"/>
      <c r="VCV36" s="974"/>
      <c r="VCW36" s="974"/>
      <c r="VCX36" s="974"/>
      <c r="VCY36" s="974"/>
      <c r="VCZ36" s="974"/>
      <c r="VDA36" s="974"/>
      <c r="VDB36" s="974"/>
      <c r="VDC36" s="974"/>
      <c r="VDD36" s="974"/>
      <c r="VDE36" s="974"/>
      <c r="VDF36" s="974"/>
      <c r="VDG36" s="974"/>
      <c r="VDH36" s="974"/>
      <c r="VDI36" s="974"/>
      <c r="VDJ36" s="974"/>
      <c r="VDK36" s="974"/>
      <c r="VDL36" s="974"/>
      <c r="VDM36" s="974"/>
      <c r="VDN36" s="974"/>
      <c r="VDO36" s="974"/>
      <c r="VDP36" s="974"/>
      <c r="VDQ36" s="974"/>
      <c r="VDR36" s="974"/>
      <c r="VDS36" s="974"/>
      <c r="VDT36" s="974"/>
      <c r="VDU36" s="974"/>
      <c r="VDV36" s="974"/>
      <c r="VDW36" s="974"/>
      <c r="VDX36" s="974"/>
      <c r="VDY36" s="974"/>
      <c r="VDZ36" s="974"/>
      <c r="VEA36" s="974"/>
      <c r="VEB36" s="974"/>
      <c r="VEC36" s="974"/>
      <c r="VED36" s="974"/>
      <c r="VEE36" s="974"/>
      <c r="VEF36" s="974"/>
      <c r="VEG36" s="974"/>
      <c r="VEH36" s="974"/>
      <c r="VEI36" s="974"/>
      <c r="VEJ36" s="974"/>
      <c r="VEK36" s="974"/>
      <c r="VEL36" s="974"/>
      <c r="VEM36" s="974"/>
      <c r="VEN36" s="974"/>
      <c r="VEO36" s="974"/>
      <c r="VEP36" s="974"/>
      <c r="VEQ36" s="974"/>
      <c r="VER36" s="974"/>
      <c r="VES36" s="974"/>
      <c r="VET36" s="974"/>
      <c r="VEU36" s="974"/>
      <c r="VEV36" s="974"/>
      <c r="VEW36" s="974"/>
      <c r="VEX36" s="974"/>
      <c r="VEY36" s="974"/>
      <c r="VEZ36" s="974"/>
      <c r="VFA36" s="974"/>
      <c r="VFB36" s="974"/>
      <c r="VFC36" s="974"/>
      <c r="VFD36" s="974"/>
      <c r="VFE36" s="974"/>
      <c r="VFF36" s="974"/>
      <c r="VFG36" s="974"/>
      <c r="VFH36" s="974"/>
      <c r="VFI36" s="974"/>
      <c r="VFJ36" s="974"/>
      <c r="VFK36" s="974"/>
      <c r="VFL36" s="974"/>
      <c r="VFM36" s="974"/>
      <c r="VFN36" s="974"/>
      <c r="VFO36" s="974"/>
      <c r="VFP36" s="974"/>
      <c r="VFQ36" s="974"/>
      <c r="VFR36" s="974"/>
      <c r="VFS36" s="974"/>
      <c r="VFT36" s="974"/>
      <c r="VFU36" s="974"/>
      <c r="VFV36" s="974"/>
      <c r="VFW36" s="974"/>
      <c r="VFX36" s="974"/>
      <c r="VFY36" s="974"/>
      <c r="VFZ36" s="974"/>
      <c r="VGA36" s="974"/>
      <c r="VGB36" s="974"/>
      <c r="VGC36" s="974"/>
      <c r="VGD36" s="974"/>
      <c r="VGE36" s="974"/>
      <c r="VGF36" s="974"/>
      <c r="VGG36" s="974"/>
      <c r="VGH36" s="974"/>
      <c r="VGI36" s="974"/>
      <c r="VGJ36" s="974"/>
      <c r="VGK36" s="974"/>
      <c r="VGL36" s="974"/>
      <c r="VGM36" s="974"/>
      <c r="VGN36" s="974"/>
      <c r="VGO36" s="974"/>
      <c r="VGP36" s="974"/>
      <c r="VGQ36" s="974"/>
      <c r="VGR36" s="974"/>
      <c r="VGS36" s="974"/>
      <c r="VGT36" s="974"/>
      <c r="VGU36" s="974"/>
      <c r="VGV36" s="974"/>
      <c r="VGW36" s="974"/>
      <c r="VGX36" s="974"/>
      <c r="VGY36" s="974"/>
      <c r="VGZ36" s="974"/>
      <c r="VHA36" s="974"/>
      <c r="VHB36" s="974"/>
      <c r="VHC36" s="974"/>
      <c r="VHD36" s="974"/>
      <c r="VHE36" s="974"/>
      <c r="VHF36" s="974"/>
      <c r="VHG36" s="974"/>
      <c r="VHH36" s="974"/>
      <c r="VHI36" s="974"/>
      <c r="VHJ36" s="974"/>
      <c r="VHK36" s="974"/>
      <c r="VHL36" s="974"/>
      <c r="VHM36" s="974"/>
      <c r="VHN36" s="974"/>
      <c r="VHO36" s="974"/>
      <c r="VHP36" s="974"/>
      <c r="VHQ36" s="974"/>
      <c r="VHR36" s="974"/>
      <c r="VHS36" s="974"/>
      <c r="VHT36" s="974"/>
      <c r="VHU36" s="974"/>
      <c r="VHV36" s="974"/>
      <c r="VHW36" s="974"/>
      <c r="VHX36" s="974"/>
      <c r="VHY36" s="974"/>
      <c r="VHZ36" s="974"/>
      <c r="VIA36" s="974"/>
      <c r="VIB36" s="974"/>
      <c r="VIC36" s="974"/>
      <c r="VID36" s="974"/>
      <c r="VIE36" s="974"/>
      <c r="VIF36" s="974"/>
      <c r="VIG36" s="974"/>
      <c r="VIH36" s="974"/>
      <c r="VII36" s="974"/>
      <c r="VIJ36" s="974"/>
      <c r="VIK36" s="974"/>
      <c r="VIL36" s="974"/>
      <c r="VIM36" s="974"/>
      <c r="VIN36" s="974"/>
      <c r="VIO36" s="974"/>
      <c r="VIP36" s="974"/>
      <c r="VIQ36" s="974"/>
      <c r="VIR36" s="974"/>
      <c r="VIS36" s="974"/>
      <c r="VIT36" s="974"/>
      <c r="VIU36" s="974"/>
      <c r="VIV36" s="974"/>
      <c r="VIW36" s="974"/>
      <c r="VIX36" s="974"/>
      <c r="VIY36" s="974"/>
      <c r="VIZ36" s="974"/>
      <c r="VJA36" s="974"/>
      <c r="VJB36" s="974"/>
      <c r="VJC36" s="974"/>
      <c r="VJD36" s="974"/>
      <c r="VJE36" s="974"/>
      <c r="VJF36" s="974"/>
      <c r="VJG36" s="974"/>
      <c r="VJH36" s="974"/>
      <c r="VJI36" s="974"/>
      <c r="VJJ36" s="974"/>
      <c r="VJK36" s="974"/>
      <c r="VJL36" s="974"/>
      <c r="VJM36" s="974"/>
      <c r="VJN36" s="974"/>
      <c r="VJO36" s="974"/>
      <c r="VJP36" s="974"/>
      <c r="VJQ36" s="974"/>
      <c r="VJR36" s="974"/>
      <c r="VJS36" s="974"/>
      <c r="VJT36" s="974"/>
      <c r="VJU36" s="974"/>
      <c r="VJV36" s="974"/>
      <c r="VJW36" s="974"/>
      <c r="VJX36" s="974"/>
      <c r="VJY36" s="974"/>
      <c r="VJZ36" s="974"/>
      <c r="VKA36" s="974"/>
      <c r="VKB36" s="974"/>
      <c r="VKC36" s="974"/>
      <c r="VKD36" s="974"/>
      <c r="VKE36" s="974"/>
      <c r="VKF36" s="974"/>
      <c r="VKG36" s="974"/>
      <c r="VKH36" s="974"/>
      <c r="VKI36" s="974"/>
      <c r="VKJ36" s="974"/>
      <c r="VKK36" s="974"/>
      <c r="VKL36" s="974"/>
      <c r="VKM36" s="974"/>
      <c r="VKN36" s="974"/>
      <c r="VKO36" s="974"/>
      <c r="VKP36" s="974"/>
      <c r="VKQ36" s="974"/>
      <c r="VKR36" s="974"/>
      <c r="VKS36" s="974"/>
      <c r="VKT36" s="974"/>
      <c r="VKU36" s="974"/>
      <c r="VKV36" s="974"/>
      <c r="VKW36" s="974"/>
      <c r="VKX36" s="974"/>
      <c r="VKY36" s="974"/>
      <c r="VKZ36" s="974"/>
      <c r="VLA36" s="974"/>
      <c r="VLB36" s="974"/>
      <c r="VLC36" s="974"/>
      <c r="VLD36" s="974"/>
      <c r="VLE36" s="974"/>
      <c r="VLF36" s="974"/>
      <c r="VLG36" s="974"/>
      <c r="VLH36" s="974"/>
      <c r="VLI36" s="974"/>
      <c r="VLJ36" s="974"/>
      <c r="VLK36" s="974"/>
      <c r="VLL36" s="974"/>
      <c r="VLM36" s="974"/>
      <c r="VLN36" s="974"/>
      <c r="VLO36" s="974"/>
      <c r="VLP36" s="974"/>
      <c r="VLQ36" s="974"/>
      <c r="VLR36" s="974"/>
      <c r="VLS36" s="974"/>
      <c r="VLT36" s="974"/>
      <c r="VLU36" s="974"/>
      <c r="VLV36" s="974"/>
      <c r="VLW36" s="974"/>
      <c r="VLX36" s="974"/>
      <c r="VLY36" s="974"/>
      <c r="VLZ36" s="974"/>
      <c r="VMA36" s="974"/>
      <c r="VMB36" s="974"/>
      <c r="VMC36" s="974"/>
      <c r="VMD36" s="974"/>
      <c r="VME36" s="974"/>
      <c r="VMF36" s="974"/>
      <c r="VMG36" s="974"/>
      <c r="VMH36" s="974"/>
      <c r="VMI36" s="974"/>
      <c r="VMJ36" s="974"/>
      <c r="VMK36" s="974"/>
      <c r="VML36" s="974"/>
      <c r="VMM36" s="974"/>
      <c r="VMN36" s="974"/>
      <c r="VMO36" s="974"/>
      <c r="VMP36" s="974"/>
      <c r="VMQ36" s="974"/>
      <c r="VMR36" s="974"/>
      <c r="VMS36" s="974"/>
      <c r="VMT36" s="974"/>
      <c r="VMU36" s="974"/>
      <c r="VMV36" s="974"/>
      <c r="VMW36" s="974"/>
      <c r="VMX36" s="974"/>
      <c r="VMY36" s="974"/>
      <c r="VMZ36" s="974"/>
      <c r="VNA36" s="974"/>
      <c r="VNB36" s="974"/>
      <c r="VNC36" s="974"/>
      <c r="VND36" s="974"/>
      <c r="VNE36" s="974"/>
      <c r="VNF36" s="974"/>
      <c r="VNG36" s="974"/>
      <c r="VNH36" s="974"/>
      <c r="VNI36" s="974"/>
      <c r="VNJ36" s="974"/>
      <c r="VNK36" s="974"/>
      <c r="VNL36" s="974"/>
      <c r="VNM36" s="974"/>
      <c r="VNN36" s="974"/>
      <c r="VNO36" s="974"/>
      <c r="VNP36" s="974"/>
      <c r="VNQ36" s="974"/>
      <c r="VNR36" s="974"/>
      <c r="VNS36" s="974"/>
      <c r="VNT36" s="974"/>
      <c r="VNU36" s="974"/>
      <c r="VNV36" s="974"/>
      <c r="VNW36" s="974"/>
      <c r="VNX36" s="974"/>
      <c r="VNY36" s="974"/>
      <c r="VNZ36" s="974"/>
      <c r="VOA36" s="974"/>
      <c r="VOB36" s="974"/>
      <c r="VOC36" s="974"/>
      <c r="VOD36" s="974"/>
      <c r="VOE36" s="974"/>
      <c r="VOF36" s="974"/>
      <c r="VOG36" s="974"/>
      <c r="VOH36" s="974"/>
      <c r="VOI36" s="974"/>
      <c r="VOJ36" s="974"/>
      <c r="VOK36" s="974"/>
      <c r="VOL36" s="974"/>
      <c r="VOM36" s="974"/>
      <c r="VON36" s="974"/>
      <c r="VOO36" s="974"/>
      <c r="VOP36" s="974"/>
      <c r="VOQ36" s="974"/>
      <c r="VOR36" s="974"/>
      <c r="VOS36" s="974"/>
      <c r="VOT36" s="974"/>
      <c r="VOU36" s="974"/>
      <c r="VOV36" s="974"/>
      <c r="VOW36" s="974"/>
      <c r="VOX36" s="974"/>
      <c r="VOY36" s="974"/>
      <c r="VOZ36" s="974"/>
      <c r="VPA36" s="974"/>
      <c r="VPB36" s="974"/>
      <c r="VPC36" s="974"/>
      <c r="VPD36" s="974"/>
      <c r="VPE36" s="974"/>
      <c r="VPF36" s="974"/>
      <c r="VPG36" s="974"/>
      <c r="VPH36" s="974"/>
      <c r="VPI36" s="974"/>
      <c r="VPJ36" s="974"/>
      <c r="VPK36" s="974"/>
      <c r="VPL36" s="974"/>
      <c r="VPM36" s="974"/>
      <c r="VPN36" s="974"/>
      <c r="VPO36" s="974"/>
      <c r="VPP36" s="974"/>
      <c r="VPQ36" s="974"/>
      <c r="VPR36" s="974"/>
      <c r="VPS36" s="974"/>
      <c r="VPT36" s="974"/>
      <c r="VPU36" s="974"/>
      <c r="VPV36" s="974"/>
      <c r="VPW36" s="974"/>
      <c r="VPX36" s="974"/>
      <c r="VPY36" s="974"/>
      <c r="VPZ36" s="974"/>
      <c r="VQA36" s="974"/>
      <c r="VQB36" s="974"/>
      <c r="VQC36" s="974"/>
      <c r="VQD36" s="974"/>
      <c r="VQE36" s="974"/>
      <c r="VQF36" s="974"/>
      <c r="VQG36" s="974"/>
      <c r="VQH36" s="974"/>
      <c r="VQI36" s="974"/>
      <c r="VQJ36" s="974"/>
      <c r="VQK36" s="974"/>
      <c r="VQL36" s="974"/>
      <c r="VQM36" s="974"/>
      <c r="VQN36" s="974"/>
      <c r="VQO36" s="974"/>
      <c r="VQP36" s="974"/>
      <c r="VQQ36" s="974"/>
      <c r="VQR36" s="974"/>
      <c r="VQS36" s="974"/>
      <c r="VQT36" s="974"/>
      <c r="VQU36" s="974"/>
      <c r="VQV36" s="974"/>
      <c r="VQW36" s="974"/>
      <c r="VQX36" s="974"/>
      <c r="VQY36" s="974"/>
      <c r="VQZ36" s="974"/>
      <c r="VRA36" s="974"/>
      <c r="VRB36" s="974"/>
      <c r="VRC36" s="974"/>
      <c r="VRD36" s="974"/>
      <c r="VRE36" s="974"/>
      <c r="VRF36" s="974"/>
      <c r="VRG36" s="974"/>
      <c r="VRH36" s="974"/>
      <c r="VRI36" s="974"/>
      <c r="VRJ36" s="974"/>
      <c r="VRK36" s="974"/>
      <c r="VRL36" s="974"/>
      <c r="VRM36" s="974"/>
      <c r="VRN36" s="974"/>
      <c r="VRO36" s="974"/>
      <c r="VRP36" s="974"/>
      <c r="VRQ36" s="974"/>
      <c r="VRR36" s="974"/>
      <c r="VRS36" s="974"/>
      <c r="VRT36" s="974"/>
      <c r="VRU36" s="974"/>
      <c r="VRV36" s="974"/>
      <c r="VRW36" s="974"/>
      <c r="VRX36" s="974"/>
      <c r="VRY36" s="974"/>
      <c r="VRZ36" s="974"/>
      <c r="VSA36" s="974"/>
      <c r="VSB36" s="974"/>
      <c r="VSC36" s="974"/>
      <c r="VSD36" s="974"/>
      <c r="VSE36" s="974"/>
      <c r="VSF36" s="974"/>
      <c r="VSG36" s="974"/>
      <c r="VSH36" s="974"/>
      <c r="VSI36" s="974"/>
      <c r="VSJ36" s="974"/>
      <c r="VSK36" s="974"/>
      <c r="VSL36" s="974"/>
      <c r="VSM36" s="974"/>
      <c r="VSN36" s="974"/>
      <c r="VSO36" s="974"/>
      <c r="VSP36" s="974"/>
      <c r="VSQ36" s="974"/>
      <c r="VSR36" s="974"/>
      <c r="VSS36" s="974"/>
      <c r="VST36" s="974"/>
      <c r="VSU36" s="974"/>
      <c r="VSV36" s="974"/>
      <c r="VSW36" s="974"/>
      <c r="VSX36" s="974"/>
      <c r="VSY36" s="974"/>
      <c r="VSZ36" s="974"/>
      <c r="VTA36" s="974"/>
      <c r="VTB36" s="974"/>
      <c r="VTC36" s="974"/>
      <c r="VTD36" s="974"/>
      <c r="VTE36" s="974"/>
      <c r="VTF36" s="974"/>
      <c r="VTG36" s="974"/>
      <c r="VTH36" s="974"/>
      <c r="VTI36" s="974"/>
      <c r="VTJ36" s="974"/>
      <c r="VTK36" s="974"/>
      <c r="VTL36" s="974"/>
      <c r="VTM36" s="974"/>
      <c r="VTN36" s="974"/>
      <c r="VTO36" s="974"/>
      <c r="VTP36" s="974"/>
      <c r="VTQ36" s="974"/>
      <c r="VTR36" s="974"/>
      <c r="VTS36" s="974"/>
      <c r="VTT36" s="974"/>
      <c r="VTU36" s="974"/>
      <c r="VTV36" s="974"/>
      <c r="VTW36" s="974"/>
      <c r="VTX36" s="974"/>
      <c r="VTY36" s="974"/>
      <c r="VTZ36" s="974"/>
      <c r="VUA36" s="974"/>
      <c r="VUB36" s="974"/>
      <c r="VUC36" s="974"/>
      <c r="VUD36" s="974"/>
      <c r="VUE36" s="974"/>
      <c r="VUF36" s="974"/>
      <c r="VUG36" s="974"/>
      <c r="VUH36" s="974"/>
      <c r="VUI36" s="974"/>
      <c r="VUJ36" s="974"/>
      <c r="VUK36" s="974"/>
      <c r="VUL36" s="974"/>
      <c r="VUM36" s="974"/>
      <c r="VUN36" s="974"/>
      <c r="VUO36" s="974"/>
      <c r="VUP36" s="974"/>
      <c r="VUQ36" s="974"/>
      <c r="VUR36" s="974"/>
      <c r="VUS36" s="974"/>
      <c r="VUT36" s="974"/>
      <c r="VUU36" s="974"/>
      <c r="VUV36" s="974"/>
      <c r="VUW36" s="974"/>
      <c r="VUX36" s="974"/>
      <c r="VUY36" s="974"/>
      <c r="VUZ36" s="974"/>
      <c r="VVA36" s="974"/>
      <c r="VVB36" s="974"/>
      <c r="VVC36" s="974"/>
      <c r="VVD36" s="974"/>
      <c r="VVE36" s="974"/>
      <c r="VVF36" s="974"/>
      <c r="VVG36" s="974"/>
      <c r="VVH36" s="974"/>
      <c r="VVI36" s="974"/>
      <c r="VVJ36" s="974"/>
      <c r="VVK36" s="974"/>
      <c r="VVL36" s="974"/>
      <c r="VVM36" s="974"/>
      <c r="VVN36" s="974"/>
      <c r="VVO36" s="974"/>
      <c r="VVP36" s="974"/>
      <c r="VVQ36" s="974"/>
      <c r="VVR36" s="974"/>
      <c r="VVS36" s="974"/>
      <c r="VVT36" s="974"/>
      <c r="VVU36" s="974"/>
      <c r="VVV36" s="974"/>
      <c r="VVW36" s="974"/>
      <c r="VVX36" s="974"/>
      <c r="VVY36" s="974"/>
      <c r="VVZ36" s="974"/>
      <c r="VWA36" s="974"/>
      <c r="VWB36" s="974"/>
      <c r="VWC36" s="974"/>
      <c r="VWD36" s="974"/>
      <c r="VWE36" s="974"/>
      <c r="VWF36" s="974"/>
      <c r="VWG36" s="974"/>
      <c r="VWH36" s="974"/>
      <c r="VWI36" s="974"/>
      <c r="VWJ36" s="974"/>
      <c r="VWK36" s="974"/>
      <c r="VWL36" s="974"/>
      <c r="VWM36" s="974"/>
      <c r="VWN36" s="974"/>
      <c r="VWO36" s="974"/>
      <c r="VWP36" s="974"/>
      <c r="VWQ36" s="974"/>
      <c r="VWR36" s="974"/>
      <c r="VWS36" s="974"/>
      <c r="VWT36" s="974"/>
      <c r="VWU36" s="974"/>
      <c r="VWV36" s="974"/>
      <c r="VWW36" s="974"/>
      <c r="VWX36" s="974"/>
      <c r="VWY36" s="974"/>
      <c r="VWZ36" s="974"/>
      <c r="VXA36" s="974"/>
      <c r="VXB36" s="974"/>
      <c r="VXC36" s="974"/>
      <c r="VXD36" s="974"/>
      <c r="VXE36" s="974"/>
      <c r="VXF36" s="974"/>
      <c r="VXG36" s="974"/>
      <c r="VXH36" s="974"/>
      <c r="VXI36" s="974"/>
      <c r="VXJ36" s="974"/>
      <c r="VXK36" s="974"/>
      <c r="VXL36" s="974"/>
      <c r="VXM36" s="974"/>
      <c r="VXN36" s="974"/>
      <c r="VXO36" s="974"/>
      <c r="VXP36" s="974"/>
      <c r="VXQ36" s="974"/>
      <c r="VXR36" s="974"/>
      <c r="VXS36" s="974"/>
      <c r="VXT36" s="974"/>
      <c r="VXU36" s="974"/>
      <c r="VXV36" s="974"/>
      <c r="VXW36" s="974"/>
      <c r="VXX36" s="974"/>
      <c r="VXY36" s="974"/>
      <c r="VXZ36" s="974"/>
      <c r="VYA36" s="974"/>
      <c r="VYB36" s="974"/>
      <c r="VYC36" s="974"/>
      <c r="VYD36" s="974"/>
      <c r="VYE36" s="974"/>
      <c r="VYF36" s="974"/>
      <c r="VYG36" s="974"/>
      <c r="VYH36" s="974"/>
      <c r="VYI36" s="974"/>
      <c r="VYJ36" s="974"/>
      <c r="VYK36" s="974"/>
      <c r="VYL36" s="974"/>
      <c r="VYM36" s="974"/>
      <c r="VYN36" s="974"/>
      <c r="VYO36" s="974"/>
      <c r="VYP36" s="974"/>
      <c r="VYQ36" s="974"/>
      <c r="VYR36" s="974"/>
      <c r="VYS36" s="974"/>
      <c r="VYT36" s="974"/>
      <c r="VYU36" s="974"/>
      <c r="VYV36" s="974"/>
      <c r="VYW36" s="974"/>
      <c r="VYX36" s="974"/>
      <c r="VYY36" s="974"/>
      <c r="VYZ36" s="974"/>
      <c r="VZA36" s="974"/>
      <c r="VZB36" s="974"/>
      <c r="VZC36" s="974"/>
      <c r="VZD36" s="974"/>
      <c r="VZE36" s="974"/>
      <c r="VZF36" s="974"/>
      <c r="VZG36" s="974"/>
      <c r="VZH36" s="974"/>
      <c r="VZI36" s="974"/>
      <c r="VZJ36" s="974"/>
      <c r="VZK36" s="974"/>
      <c r="VZL36" s="974"/>
      <c r="VZM36" s="974"/>
      <c r="VZN36" s="974"/>
      <c r="VZO36" s="974"/>
      <c r="VZP36" s="974"/>
      <c r="VZQ36" s="974"/>
      <c r="VZR36" s="974"/>
      <c r="VZS36" s="974"/>
      <c r="VZT36" s="974"/>
      <c r="VZU36" s="974"/>
      <c r="VZV36" s="974"/>
      <c r="VZW36" s="974"/>
      <c r="VZX36" s="974"/>
      <c r="VZY36" s="974"/>
      <c r="VZZ36" s="974"/>
      <c r="WAA36" s="974"/>
      <c r="WAB36" s="974"/>
      <c r="WAC36" s="974"/>
      <c r="WAD36" s="974"/>
      <c r="WAE36" s="974"/>
      <c r="WAF36" s="974"/>
      <c r="WAG36" s="974"/>
      <c r="WAH36" s="974"/>
      <c r="WAI36" s="974"/>
      <c r="WAJ36" s="974"/>
      <c r="WAK36" s="974"/>
      <c r="WAL36" s="974"/>
      <c r="WAM36" s="974"/>
      <c r="WAN36" s="974"/>
      <c r="WAO36" s="974"/>
      <c r="WAP36" s="974"/>
      <c r="WAQ36" s="974"/>
      <c r="WAR36" s="974"/>
      <c r="WAS36" s="974"/>
      <c r="WAT36" s="974"/>
      <c r="WAU36" s="974"/>
      <c r="WAV36" s="974"/>
      <c r="WAW36" s="974"/>
      <c r="WAX36" s="974"/>
      <c r="WAY36" s="974"/>
      <c r="WAZ36" s="974"/>
      <c r="WBA36" s="974"/>
      <c r="WBB36" s="974"/>
      <c r="WBC36" s="974"/>
      <c r="WBD36" s="974"/>
      <c r="WBE36" s="974"/>
      <c r="WBF36" s="974"/>
      <c r="WBG36" s="974"/>
      <c r="WBH36" s="974"/>
      <c r="WBI36" s="974"/>
      <c r="WBJ36" s="974"/>
      <c r="WBK36" s="974"/>
      <c r="WBL36" s="974"/>
      <c r="WBM36" s="974"/>
      <c r="WBN36" s="974"/>
      <c r="WBO36" s="974"/>
      <c r="WBP36" s="974"/>
      <c r="WBQ36" s="974"/>
      <c r="WBR36" s="974"/>
      <c r="WBS36" s="974"/>
      <c r="WBT36" s="974"/>
      <c r="WBU36" s="974"/>
      <c r="WBV36" s="974"/>
      <c r="WBW36" s="974"/>
      <c r="WBX36" s="974"/>
      <c r="WBY36" s="974"/>
      <c r="WBZ36" s="974"/>
      <c r="WCA36" s="974"/>
      <c r="WCB36" s="974"/>
      <c r="WCC36" s="974"/>
      <c r="WCD36" s="974"/>
      <c r="WCE36" s="974"/>
      <c r="WCF36" s="974"/>
      <c r="WCG36" s="974"/>
      <c r="WCH36" s="974"/>
      <c r="WCI36" s="974"/>
      <c r="WCJ36" s="974"/>
      <c r="WCK36" s="974"/>
      <c r="WCL36" s="974"/>
      <c r="WCM36" s="974"/>
      <c r="WCN36" s="974"/>
      <c r="WCO36" s="974"/>
      <c r="WCP36" s="974"/>
      <c r="WCQ36" s="974"/>
      <c r="WCR36" s="974"/>
      <c r="WCS36" s="974"/>
      <c r="WCT36" s="974"/>
      <c r="WCU36" s="974"/>
      <c r="WCV36" s="974"/>
      <c r="WCW36" s="974"/>
      <c r="WCX36" s="974"/>
      <c r="WCY36" s="974"/>
      <c r="WCZ36" s="974"/>
      <c r="WDA36" s="974"/>
      <c r="WDB36" s="974"/>
      <c r="WDC36" s="974"/>
      <c r="WDD36" s="974"/>
      <c r="WDE36" s="974"/>
      <c r="WDF36" s="974"/>
      <c r="WDG36" s="974"/>
      <c r="WDH36" s="974"/>
      <c r="WDI36" s="974"/>
      <c r="WDJ36" s="974"/>
      <c r="WDK36" s="974"/>
      <c r="WDL36" s="974"/>
      <c r="WDM36" s="974"/>
      <c r="WDN36" s="974"/>
      <c r="WDO36" s="974"/>
      <c r="WDP36" s="974"/>
      <c r="WDQ36" s="974"/>
      <c r="WDR36" s="974"/>
      <c r="WDS36" s="974"/>
      <c r="WDT36" s="974"/>
      <c r="WDU36" s="974"/>
      <c r="WDV36" s="974"/>
      <c r="WDW36" s="974"/>
      <c r="WDX36" s="974"/>
      <c r="WDY36" s="974"/>
      <c r="WDZ36" s="974"/>
      <c r="WEA36" s="974"/>
      <c r="WEB36" s="974"/>
      <c r="WEC36" s="974"/>
      <c r="WED36" s="974"/>
      <c r="WEE36" s="974"/>
      <c r="WEF36" s="974"/>
      <c r="WEG36" s="974"/>
      <c r="WEH36" s="974"/>
      <c r="WEI36" s="974"/>
      <c r="WEJ36" s="974"/>
      <c r="WEK36" s="974"/>
      <c r="WEL36" s="974"/>
      <c r="WEM36" s="974"/>
      <c r="WEN36" s="974"/>
      <c r="WEO36" s="974"/>
      <c r="WEP36" s="974"/>
      <c r="WEQ36" s="974"/>
      <c r="WER36" s="974"/>
      <c r="WES36" s="974"/>
      <c r="WET36" s="974"/>
      <c r="WEU36" s="974"/>
      <c r="WEV36" s="974"/>
      <c r="WEW36" s="974"/>
      <c r="WEX36" s="974"/>
      <c r="WEY36" s="974"/>
      <c r="WEZ36" s="974"/>
      <c r="WFA36" s="974"/>
      <c r="WFB36" s="974"/>
      <c r="WFC36" s="974"/>
      <c r="WFD36" s="974"/>
      <c r="WFE36" s="974"/>
      <c r="WFF36" s="974"/>
      <c r="WFG36" s="974"/>
      <c r="WFH36" s="974"/>
      <c r="WFI36" s="974"/>
      <c r="WFJ36" s="974"/>
      <c r="WFK36" s="974"/>
      <c r="WFL36" s="974"/>
      <c r="WFM36" s="974"/>
      <c r="WFN36" s="974"/>
      <c r="WFO36" s="974"/>
      <c r="WFP36" s="974"/>
      <c r="WFQ36" s="974"/>
      <c r="WFR36" s="974"/>
      <c r="WFS36" s="974"/>
      <c r="WFT36" s="974"/>
      <c r="WFU36" s="974"/>
      <c r="WFV36" s="974"/>
      <c r="WFW36" s="974"/>
      <c r="WFX36" s="974"/>
      <c r="WFY36" s="974"/>
      <c r="WFZ36" s="974"/>
      <c r="WGA36" s="974"/>
      <c r="WGB36" s="974"/>
      <c r="WGC36" s="974"/>
      <c r="WGD36" s="974"/>
      <c r="WGE36" s="974"/>
      <c r="WGF36" s="974"/>
      <c r="WGG36" s="974"/>
      <c r="WGH36" s="974"/>
      <c r="WGI36" s="974"/>
      <c r="WGJ36" s="974"/>
      <c r="WGK36" s="974"/>
      <c r="WGL36" s="974"/>
      <c r="WGM36" s="974"/>
      <c r="WGN36" s="974"/>
      <c r="WGO36" s="974"/>
      <c r="WGP36" s="974"/>
      <c r="WGQ36" s="974"/>
      <c r="WGR36" s="974"/>
      <c r="WGS36" s="974"/>
      <c r="WGT36" s="974"/>
      <c r="WGU36" s="974"/>
      <c r="WGV36" s="974"/>
      <c r="WGW36" s="974"/>
      <c r="WGX36" s="974"/>
      <c r="WGY36" s="974"/>
      <c r="WGZ36" s="974"/>
      <c r="WHA36" s="974"/>
      <c r="WHB36" s="974"/>
      <c r="WHC36" s="974"/>
      <c r="WHD36" s="974"/>
      <c r="WHE36" s="974"/>
      <c r="WHF36" s="974"/>
      <c r="WHG36" s="974"/>
      <c r="WHH36" s="974"/>
      <c r="WHI36" s="974"/>
      <c r="WHJ36" s="974"/>
      <c r="WHK36" s="974"/>
      <c r="WHL36" s="974"/>
      <c r="WHM36" s="974"/>
      <c r="WHN36" s="974"/>
      <c r="WHO36" s="974"/>
      <c r="WHP36" s="974"/>
      <c r="WHQ36" s="974"/>
      <c r="WHR36" s="974"/>
      <c r="WHS36" s="974"/>
      <c r="WHT36" s="974"/>
      <c r="WHU36" s="974"/>
      <c r="WHV36" s="974"/>
      <c r="WHW36" s="974"/>
      <c r="WHX36" s="974"/>
      <c r="WHY36" s="974"/>
      <c r="WHZ36" s="974"/>
      <c r="WIA36" s="974"/>
      <c r="WIB36" s="974"/>
      <c r="WIC36" s="974"/>
      <c r="WID36" s="974"/>
      <c r="WIE36" s="974"/>
      <c r="WIF36" s="974"/>
      <c r="WIG36" s="974"/>
      <c r="WIH36" s="974"/>
      <c r="WII36" s="974"/>
      <c r="WIJ36" s="974"/>
      <c r="WIK36" s="974"/>
      <c r="WIL36" s="974"/>
      <c r="WIM36" s="974"/>
      <c r="WIN36" s="974"/>
      <c r="WIO36" s="974"/>
      <c r="WIP36" s="974"/>
      <c r="WIQ36" s="974"/>
      <c r="WIR36" s="974"/>
      <c r="WIS36" s="974"/>
      <c r="WIT36" s="974"/>
      <c r="WIU36" s="974"/>
      <c r="WIV36" s="974"/>
      <c r="WIW36" s="974"/>
      <c r="WIX36" s="974"/>
      <c r="WIY36" s="974"/>
      <c r="WIZ36" s="974"/>
      <c r="WJA36" s="974"/>
      <c r="WJB36" s="974"/>
      <c r="WJC36" s="974"/>
      <c r="WJD36" s="974"/>
      <c r="WJE36" s="974"/>
      <c r="WJF36" s="974"/>
      <c r="WJG36" s="974"/>
      <c r="WJH36" s="974"/>
      <c r="WJI36" s="974"/>
      <c r="WJJ36" s="974"/>
      <c r="WJK36" s="974"/>
      <c r="WJL36" s="974"/>
      <c r="WJM36" s="974"/>
      <c r="WJN36" s="974"/>
      <c r="WJO36" s="974"/>
      <c r="WJP36" s="974"/>
      <c r="WJQ36" s="974"/>
      <c r="WJR36" s="974"/>
      <c r="WJS36" s="974"/>
      <c r="WJT36" s="974"/>
      <c r="WJU36" s="974"/>
      <c r="WJV36" s="974"/>
      <c r="WJW36" s="974"/>
      <c r="WJX36" s="974"/>
      <c r="WJY36" s="974"/>
      <c r="WJZ36" s="974"/>
      <c r="WKA36" s="974"/>
      <c r="WKB36" s="974"/>
      <c r="WKC36" s="974"/>
      <c r="WKD36" s="974"/>
      <c r="WKE36" s="974"/>
      <c r="WKF36" s="974"/>
      <c r="WKG36" s="974"/>
      <c r="WKH36" s="974"/>
      <c r="WKI36" s="974"/>
      <c r="WKJ36" s="974"/>
      <c r="WKK36" s="974"/>
      <c r="WKL36" s="974"/>
      <c r="WKM36" s="974"/>
      <c r="WKN36" s="974"/>
      <c r="WKO36" s="974"/>
      <c r="WKP36" s="974"/>
      <c r="WKQ36" s="974"/>
      <c r="WKR36" s="974"/>
      <c r="WKS36" s="974"/>
      <c r="WKT36" s="974"/>
      <c r="WKU36" s="974"/>
      <c r="WKV36" s="974"/>
      <c r="WKW36" s="974"/>
      <c r="WKX36" s="974"/>
      <c r="WKY36" s="974"/>
      <c r="WKZ36" s="974"/>
      <c r="WLA36" s="974"/>
      <c r="WLB36" s="974"/>
      <c r="WLC36" s="974"/>
      <c r="WLD36" s="974"/>
      <c r="WLE36" s="974"/>
      <c r="WLF36" s="974"/>
      <c r="WLG36" s="974"/>
      <c r="WLH36" s="974"/>
      <c r="WLI36" s="974"/>
      <c r="WLJ36" s="974"/>
      <c r="WLK36" s="974"/>
      <c r="WLL36" s="974"/>
      <c r="WLM36" s="974"/>
      <c r="WLN36" s="974"/>
      <c r="WLO36" s="974"/>
      <c r="WLP36" s="974"/>
      <c r="WLQ36" s="974"/>
      <c r="WLR36" s="974"/>
      <c r="WLS36" s="974"/>
      <c r="WLT36" s="974"/>
      <c r="WLU36" s="974"/>
      <c r="WLV36" s="974"/>
      <c r="WLW36" s="974"/>
      <c r="WLX36" s="974"/>
      <c r="WLY36" s="974"/>
      <c r="WLZ36" s="974"/>
      <c r="WMA36" s="974"/>
      <c r="WMB36" s="974"/>
      <c r="WMC36" s="974"/>
      <c r="WMD36" s="974"/>
      <c r="WME36" s="974"/>
      <c r="WMF36" s="974"/>
      <c r="WMG36" s="974"/>
      <c r="WMH36" s="974"/>
      <c r="WMI36" s="974"/>
      <c r="WMJ36" s="974"/>
      <c r="WMK36" s="974"/>
      <c r="WML36" s="974"/>
      <c r="WMM36" s="974"/>
      <c r="WMN36" s="974"/>
      <c r="WMO36" s="974"/>
      <c r="WMP36" s="974"/>
      <c r="WMQ36" s="974"/>
      <c r="WMR36" s="974"/>
      <c r="WMS36" s="974"/>
      <c r="WMT36" s="974"/>
      <c r="WMU36" s="974"/>
      <c r="WMV36" s="974"/>
      <c r="WMW36" s="974"/>
      <c r="WMX36" s="974"/>
      <c r="WMY36" s="974"/>
      <c r="WMZ36" s="974"/>
      <c r="WNA36" s="974"/>
      <c r="WNB36" s="974"/>
      <c r="WNC36" s="974"/>
      <c r="WND36" s="974"/>
      <c r="WNE36" s="974"/>
      <c r="WNF36" s="974"/>
      <c r="WNG36" s="974"/>
      <c r="WNH36" s="974"/>
      <c r="WNI36" s="974"/>
      <c r="WNJ36" s="974"/>
      <c r="WNK36" s="974"/>
      <c r="WNL36" s="974"/>
      <c r="WNM36" s="974"/>
      <c r="WNN36" s="974"/>
      <c r="WNO36" s="974"/>
      <c r="WNP36" s="974"/>
      <c r="WNQ36" s="974"/>
      <c r="WNR36" s="974"/>
      <c r="WNS36" s="974"/>
      <c r="WNT36" s="974"/>
      <c r="WNU36" s="974"/>
      <c r="WNV36" s="974"/>
      <c r="WNW36" s="974"/>
      <c r="WNX36" s="974"/>
      <c r="WNY36" s="974"/>
      <c r="WNZ36" s="974"/>
      <c r="WOA36" s="974"/>
      <c r="WOB36" s="974"/>
      <c r="WOC36" s="974"/>
      <c r="WOD36" s="974"/>
      <c r="WOE36" s="974"/>
      <c r="WOF36" s="974"/>
      <c r="WOG36" s="974"/>
      <c r="WOH36" s="974"/>
      <c r="WOI36" s="974"/>
      <c r="WOJ36" s="974"/>
      <c r="WOK36" s="974"/>
      <c r="WOL36" s="974"/>
      <c r="WOM36" s="974"/>
      <c r="WON36" s="974"/>
      <c r="WOO36" s="974"/>
      <c r="WOP36" s="974"/>
      <c r="WOQ36" s="974"/>
      <c r="WOR36" s="974"/>
      <c r="WOS36" s="974"/>
      <c r="WOT36" s="974"/>
      <c r="WOU36" s="974"/>
      <c r="WOV36" s="974"/>
      <c r="WOW36" s="974"/>
      <c r="WOX36" s="974"/>
      <c r="WOY36" s="974"/>
      <c r="WOZ36" s="974"/>
      <c r="WPA36" s="974"/>
      <c r="WPB36" s="974"/>
      <c r="WPC36" s="974"/>
      <c r="WPD36" s="974"/>
      <c r="WPE36" s="974"/>
      <c r="WPF36" s="974"/>
      <c r="WPG36" s="974"/>
      <c r="WPH36" s="974"/>
      <c r="WPI36" s="974"/>
      <c r="WPJ36" s="974"/>
      <c r="WPK36" s="974"/>
      <c r="WPL36" s="974"/>
      <c r="WPM36" s="974"/>
      <c r="WPN36" s="974"/>
      <c r="WPO36" s="974"/>
      <c r="WPP36" s="974"/>
      <c r="WPQ36" s="974"/>
      <c r="WPR36" s="974"/>
      <c r="WPS36" s="974"/>
      <c r="WPT36" s="974"/>
      <c r="WPU36" s="974"/>
      <c r="WPV36" s="974"/>
      <c r="WPW36" s="974"/>
      <c r="WPX36" s="974"/>
      <c r="WPY36" s="974"/>
      <c r="WPZ36" s="974"/>
      <c r="WQA36" s="974"/>
      <c r="WQB36" s="974"/>
      <c r="WQC36" s="974"/>
      <c r="WQD36" s="974"/>
      <c r="WQE36" s="974"/>
      <c r="WQF36" s="974"/>
      <c r="WQG36" s="974"/>
      <c r="WQH36" s="974"/>
      <c r="WQI36" s="974"/>
      <c r="WQJ36" s="974"/>
      <c r="WQK36" s="974"/>
      <c r="WQL36" s="974"/>
      <c r="WQM36" s="974"/>
      <c r="WQN36" s="974"/>
      <c r="WQO36" s="974"/>
      <c r="WQP36" s="974"/>
      <c r="WQQ36" s="974"/>
      <c r="WQR36" s="974"/>
      <c r="WQS36" s="974"/>
      <c r="WQT36" s="974"/>
      <c r="WQU36" s="974"/>
      <c r="WQV36" s="974"/>
      <c r="WQW36" s="974"/>
      <c r="WQX36" s="974"/>
      <c r="WQY36" s="974"/>
      <c r="WQZ36" s="974"/>
      <c r="WRA36" s="974"/>
      <c r="WRB36" s="974"/>
      <c r="WRC36" s="974"/>
      <c r="WRD36" s="974"/>
      <c r="WRE36" s="974"/>
      <c r="WRF36" s="974"/>
      <c r="WRG36" s="974"/>
      <c r="WRH36" s="974"/>
      <c r="WRI36" s="974"/>
      <c r="WRJ36" s="974"/>
      <c r="WRK36" s="974"/>
      <c r="WRL36" s="974"/>
      <c r="WRM36" s="974"/>
      <c r="WRN36" s="974"/>
      <c r="WRO36" s="974"/>
      <c r="WRP36" s="974"/>
      <c r="WRQ36" s="974"/>
      <c r="WRR36" s="974"/>
      <c r="WRS36" s="974"/>
      <c r="WRT36" s="974"/>
      <c r="WRU36" s="974"/>
      <c r="WRV36" s="974"/>
      <c r="WRW36" s="974"/>
      <c r="WRX36" s="974"/>
      <c r="WRY36" s="974"/>
      <c r="WRZ36" s="974"/>
      <c r="WSA36" s="974"/>
      <c r="WSB36" s="974"/>
      <c r="WSC36" s="974"/>
      <c r="WSD36" s="974"/>
      <c r="WSE36" s="974"/>
      <c r="WSF36" s="974"/>
      <c r="WSG36" s="974"/>
      <c r="WSH36" s="974"/>
      <c r="WSI36" s="974"/>
      <c r="WSJ36" s="974"/>
      <c r="WSK36" s="974"/>
      <c r="WSL36" s="974"/>
      <c r="WSM36" s="974"/>
      <c r="WSN36" s="974"/>
      <c r="WSO36" s="974"/>
      <c r="WSP36" s="974"/>
      <c r="WSQ36" s="974"/>
      <c r="WSR36" s="974"/>
      <c r="WSS36" s="974"/>
      <c r="WST36" s="974"/>
      <c r="WSU36" s="974"/>
      <c r="WSV36" s="974"/>
      <c r="WSW36" s="974"/>
      <c r="WSX36" s="974"/>
      <c r="WSY36" s="974"/>
      <c r="WSZ36" s="974"/>
      <c r="WTA36" s="974"/>
      <c r="WTB36" s="974"/>
      <c r="WTC36" s="974"/>
      <c r="WTD36" s="974"/>
      <c r="WTE36" s="974"/>
      <c r="WTF36" s="974"/>
      <c r="WTG36" s="974"/>
      <c r="WTH36" s="974"/>
      <c r="WTI36" s="974"/>
      <c r="WTJ36" s="974"/>
      <c r="WTK36" s="974"/>
      <c r="WTL36" s="974"/>
      <c r="WTM36" s="974"/>
      <c r="WTN36" s="974"/>
      <c r="WTO36" s="974"/>
      <c r="WTP36" s="974"/>
      <c r="WTQ36" s="974"/>
      <c r="WTR36" s="974"/>
      <c r="WTS36" s="974"/>
      <c r="WTT36" s="974"/>
      <c r="WTU36" s="974"/>
      <c r="WTV36" s="974"/>
      <c r="WTW36" s="974"/>
      <c r="WTX36" s="974"/>
      <c r="WTY36" s="974"/>
      <c r="WTZ36" s="974"/>
      <c r="WUA36" s="974"/>
      <c r="WUB36" s="974"/>
      <c r="WUC36" s="974"/>
      <c r="WUD36" s="974"/>
      <c r="WUE36" s="974"/>
      <c r="WUF36" s="974"/>
      <c r="WUG36" s="974"/>
      <c r="WUH36" s="974"/>
      <c r="WUI36" s="974"/>
      <c r="WUJ36" s="974"/>
      <c r="WUK36" s="974"/>
      <c r="WUL36" s="974"/>
      <c r="WUM36" s="974"/>
      <c r="WUN36" s="974"/>
      <c r="WUO36" s="974"/>
      <c r="WUP36" s="974"/>
      <c r="WUQ36" s="974"/>
      <c r="WUR36" s="974"/>
      <c r="WUS36" s="974"/>
      <c r="WUT36" s="974"/>
      <c r="WUU36" s="974"/>
      <c r="WUV36" s="974"/>
      <c r="WUW36" s="974"/>
      <c r="WUX36" s="974"/>
      <c r="WUY36" s="974"/>
      <c r="WUZ36" s="974"/>
      <c r="WVA36" s="974"/>
      <c r="WVB36" s="974"/>
      <c r="WVC36" s="974"/>
      <c r="WVD36" s="974"/>
      <c r="WVE36" s="974"/>
      <c r="WVF36" s="974"/>
      <c r="WVG36" s="974"/>
      <c r="WVH36" s="974"/>
      <c r="WVI36" s="974"/>
      <c r="WVJ36" s="974"/>
      <c r="WVK36" s="974"/>
      <c r="WVL36" s="974"/>
      <c r="WVM36" s="974"/>
      <c r="WVN36" s="974"/>
      <c r="WVO36" s="974"/>
      <c r="WVP36" s="974"/>
      <c r="WVQ36" s="974"/>
      <c r="WVR36" s="974"/>
      <c r="WVS36" s="974"/>
      <c r="WVT36" s="974"/>
      <c r="WVU36" s="974"/>
      <c r="WVV36" s="974"/>
      <c r="WVW36" s="974"/>
      <c r="WVX36" s="974"/>
      <c r="WVY36" s="974"/>
      <c r="WVZ36" s="974"/>
      <c r="WWA36" s="974"/>
      <c r="WWB36" s="974"/>
      <c r="WWC36" s="974"/>
      <c r="WWD36" s="974"/>
      <c r="WWE36" s="974"/>
      <c r="WWF36" s="974"/>
      <c r="WWG36" s="974"/>
      <c r="WWH36" s="974"/>
      <c r="WWI36" s="974"/>
      <c r="WWJ36" s="974"/>
      <c r="WWK36" s="974"/>
      <c r="WWL36" s="974"/>
      <c r="WWM36" s="974"/>
      <c r="WWN36" s="974"/>
      <c r="WWO36" s="974"/>
      <c r="WWP36" s="974"/>
      <c r="WWQ36" s="974"/>
      <c r="WWR36" s="974"/>
      <c r="WWS36" s="974"/>
      <c r="WWT36" s="974"/>
      <c r="WWU36" s="974"/>
      <c r="WWV36" s="974"/>
      <c r="WWW36" s="974"/>
      <c r="WWX36" s="974"/>
      <c r="WWY36" s="974"/>
      <c r="WWZ36" s="974"/>
      <c r="WXA36" s="974"/>
      <c r="WXB36" s="974"/>
      <c r="WXC36" s="974"/>
      <c r="WXD36" s="974"/>
      <c r="WXE36" s="974"/>
      <c r="WXF36" s="974"/>
      <c r="WXG36" s="974"/>
      <c r="WXH36" s="974"/>
      <c r="WXI36" s="974"/>
      <c r="WXJ36" s="974"/>
    </row>
    <row r="37" spans="1:16182" s="974" customFormat="1" x14ac:dyDescent="0.35">
      <c r="A37" s="574"/>
      <c r="B37" s="930"/>
      <c r="C37" s="930"/>
      <c r="D37" s="930"/>
      <c r="E37" s="930"/>
      <c r="F37" s="930"/>
      <c r="G37" s="930"/>
      <c r="H37" s="958"/>
      <c r="I37" s="958"/>
      <c r="J37" s="958"/>
      <c r="K37" s="958"/>
      <c r="L37" s="958"/>
      <c r="M37" s="958"/>
      <c r="N37" s="958"/>
      <c r="O37" s="958"/>
      <c r="P37" s="958"/>
      <c r="Q37" s="958"/>
      <c r="R37" s="958"/>
      <c r="S37" s="958"/>
      <c r="T37" s="958"/>
      <c r="U37" s="958"/>
      <c r="V37" s="958">
        <v>6927164.4900000002</v>
      </c>
      <c r="W37" s="958">
        <v>6882825.1200000001</v>
      </c>
      <c r="X37" s="958">
        <v>7146530.8300000001</v>
      </c>
      <c r="Y37" s="958">
        <v>7212950.6699999999</v>
      </c>
      <c r="Z37" s="958">
        <v>7002434.46</v>
      </c>
      <c r="AA37" s="958">
        <v>6965138.1299999999</v>
      </c>
      <c r="AB37" s="958">
        <v>6441714.2699999996</v>
      </c>
      <c r="AC37" s="958">
        <v>5616894.5300000003</v>
      </c>
      <c r="AD37" s="958">
        <v>6009485.1699999999</v>
      </c>
      <c r="AE37" s="958">
        <v>5455986.0599999996</v>
      </c>
      <c r="AF37" s="439">
        <v>5047429.8600000003</v>
      </c>
      <c r="AG37" s="439">
        <v>4698585.01</v>
      </c>
      <c r="AH37" s="41"/>
      <c r="AI37" s="41"/>
      <c r="AJ37" s="41"/>
      <c r="AK37" s="41"/>
      <c r="AL37" s="41"/>
      <c r="AM37" s="41"/>
      <c r="AN37" s="41"/>
      <c r="AO37" s="41"/>
      <c r="AP37" s="41"/>
      <c r="AQ37" s="41"/>
      <c r="AR37" s="41"/>
      <c r="AS37" s="41"/>
      <c r="AT37" s="41"/>
      <c r="AU37" s="41"/>
      <c r="AV37" s="41"/>
      <c r="AW37" s="41"/>
      <c r="AX37" s="41"/>
      <c r="AY37" s="41"/>
      <c r="AZ37" s="41"/>
      <c r="BA37" s="41"/>
      <c r="BB37" s="41"/>
      <c r="BC37" s="41"/>
      <c r="BD37" s="41"/>
      <c r="BE37" s="41"/>
      <c r="BF37" s="41"/>
      <c r="BG37" s="41"/>
      <c r="BH37" s="41"/>
      <c r="BI37" s="41"/>
      <c r="BJ37" s="41"/>
      <c r="BK37" s="41"/>
      <c r="BL37" s="41"/>
      <c r="BM37" s="41"/>
      <c r="BN37" s="41"/>
      <c r="BO37" s="41"/>
      <c r="BP37" s="41"/>
      <c r="BQ37" s="41"/>
      <c r="BR37" s="41"/>
      <c r="BS37" s="41"/>
      <c r="BT37" s="41"/>
      <c r="BU37" s="41"/>
      <c r="BV37" s="41"/>
      <c r="BW37" s="41"/>
      <c r="BX37" s="41"/>
      <c r="BY37" s="41"/>
      <c r="BZ37" s="41"/>
      <c r="CA37" s="41"/>
      <c r="CB37" s="41"/>
      <c r="CC37" s="41"/>
    </row>
    <row r="38" spans="1:16182" s="974" customFormat="1" x14ac:dyDescent="0.35">
      <c r="A38" s="574"/>
      <c r="B38" s="938"/>
      <c r="C38" s="928" t="s">
        <v>96</v>
      </c>
      <c r="D38" s="928"/>
      <c r="E38" s="928"/>
      <c r="F38" s="928"/>
      <c r="G38" s="928"/>
      <c r="H38" s="924"/>
      <c r="I38" s="924"/>
      <c r="J38" s="924"/>
      <c r="K38" s="924"/>
      <c r="L38" s="924"/>
      <c r="M38" s="924"/>
      <c r="N38" s="924"/>
      <c r="O38" s="924"/>
      <c r="P38" s="924"/>
      <c r="Q38" s="924"/>
      <c r="R38" s="924"/>
      <c r="S38" s="924"/>
      <c r="T38" s="924"/>
      <c r="U38" s="924"/>
      <c r="V38" s="924">
        <f>V37-V36</f>
        <v>0</v>
      </c>
      <c r="W38" s="924">
        <f t="shared" ref="W38:AG38" si="7">W37-W36</f>
        <v>-9.9999997764825821E-3</v>
      </c>
      <c r="X38" s="924">
        <f t="shared" si="7"/>
        <v>-9.9999997764825821E-3</v>
      </c>
      <c r="Y38" s="924">
        <f t="shared" si="7"/>
        <v>-9.9999997764825821E-3</v>
      </c>
      <c r="Z38" s="924">
        <f t="shared" si="7"/>
        <v>-9.9999997764825821E-3</v>
      </c>
      <c r="AA38" s="924">
        <f t="shared" si="7"/>
        <v>-9.9999997764825821E-3</v>
      </c>
      <c r="AB38" s="924">
        <f t="shared" si="7"/>
        <v>-1.0000000707805157E-2</v>
      </c>
      <c r="AC38" s="924">
        <f t="shared" si="7"/>
        <v>0</v>
      </c>
      <c r="AD38" s="924">
        <f t="shared" si="7"/>
        <v>0</v>
      </c>
      <c r="AE38" s="924">
        <f t="shared" si="7"/>
        <v>0</v>
      </c>
      <c r="AF38" s="924">
        <f t="shared" si="7"/>
        <v>0</v>
      </c>
      <c r="AG38" s="924">
        <f t="shared" si="7"/>
        <v>0</v>
      </c>
      <c r="AH38" s="924"/>
      <c r="AI38" s="924"/>
      <c r="AJ38" s="924"/>
      <c r="AK38" s="924"/>
      <c r="AL38" s="924"/>
      <c r="AM38" s="924"/>
      <c r="AN38" s="924"/>
      <c r="AO38" s="924"/>
      <c r="AP38" s="924"/>
      <c r="AQ38" s="924"/>
      <c r="AR38" s="924"/>
      <c r="AS38" s="924"/>
      <c r="AT38" s="924"/>
      <c r="AU38" s="924"/>
      <c r="AV38" s="924"/>
      <c r="AW38" s="924"/>
      <c r="AX38" s="924"/>
      <c r="AY38" s="924"/>
      <c r="AZ38" s="924"/>
      <c r="BA38" s="924"/>
      <c r="BB38" s="924"/>
      <c r="BC38" s="924"/>
      <c r="BD38" s="924"/>
      <c r="BE38" s="924"/>
      <c r="BF38" s="924"/>
      <c r="BG38" s="924"/>
      <c r="BH38" s="924"/>
      <c r="BI38" s="924"/>
      <c r="BJ38" s="924"/>
      <c r="BK38" s="924"/>
      <c r="BL38" s="924"/>
      <c r="BM38" s="924"/>
      <c r="BN38" s="924"/>
      <c r="BO38" s="924"/>
      <c r="BP38" s="924"/>
      <c r="BQ38" s="924"/>
      <c r="BR38" s="924"/>
      <c r="BS38" s="924"/>
      <c r="BT38" s="924"/>
      <c r="BU38" s="924"/>
      <c r="BV38" s="924"/>
      <c r="BW38" s="924"/>
      <c r="BX38" s="924"/>
      <c r="BY38" s="924"/>
      <c r="BZ38" s="924"/>
      <c r="CA38" s="924"/>
      <c r="CB38" s="924"/>
      <c r="CC38" s="924"/>
      <c r="CD38" s="975"/>
      <c r="CE38" s="975"/>
      <c r="CF38" s="975"/>
      <c r="CG38" s="975"/>
      <c r="CH38" s="975"/>
      <c r="CI38" s="975"/>
      <c r="CJ38" s="975"/>
      <c r="CK38" s="975"/>
      <c r="CL38" s="975"/>
      <c r="CM38" s="975"/>
      <c r="CN38" s="975"/>
      <c r="CO38" s="975"/>
      <c r="CP38" s="975"/>
      <c r="CQ38" s="975"/>
      <c r="CR38" s="975"/>
      <c r="CS38" s="975"/>
      <c r="CT38" s="975"/>
      <c r="CU38" s="975"/>
      <c r="CV38" s="975"/>
      <c r="CW38" s="975"/>
      <c r="CX38" s="975"/>
      <c r="CY38" s="975"/>
      <c r="CZ38" s="975"/>
      <c r="DA38" s="975"/>
      <c r="DB38" s="975"/>
      <c r="DC38" s="975"/>
      <c r="DD38" s="975"/>
      <c r="DE38" s="975"/>
      <c r="DF38" s="975"/>
      <c r="DG38" s="975"/>
      <c r="DH38" s="975"/>
      <c r="DI38" s="975"/>
      <c r="DJ38" s="975"/>
      <c r="DK38" s="975"/>
      <c r="DL38" s="975"/>
      <c r="DM38" s="975"/>
      <c r="DN38" s="975"/>
      <c r="DO38" s="975"/>
      <c r="DP38" s="975"/>
      <c r="DQ38" s="975"/>
      <c r="DR38" s="975"/>
      <c r="DS38" s="975"/>
      <c r="DT38" s="975"/>
      <c r="DU38" s="975"/>
      <c r="DV38" s="975"/>
      <c r="DW38" s="975"/>
      <c r="DX38" s="975"/>
      <c r="DY38" s="975"/>
      <c r="DZ38" s="975"/>
      <c r="EA38" s="975"/>
      <c r="EB38" s="975"/>
      <c r="EC38" s="975"/>
      <c r="ED38" s="975"/>
      <c r="EE38" s="975"/>
      <c r="EF38" s="975"/>
      <c r="EG38" s="975"/>
      <c r="EH38" s="975"/>
      <c r="EI38" s="975"/>
      <c r="EJ38" s="975"/>
      <c r="EK38" s="975"/>
      <c r="EL38" s="975"/>
      <c r="EM38" s="975"/>
      <c r="EN38" s="975"/>
      <c r="EO38" s="975"/>
      <c r="EP38" s="975"/>
      <c r="EQ38" s="975"/>
      <c r="ER38" s="975"/>
      <c r="ES38" s="975"/>
      <c r="ET38" s="975"/>
      <c r="EU38" s="975"/>
      <c r="EV38" s="975"/>
      <c r="EW38" s="975"/>
      <c r="EX38" s="975"/>
      <c r="EY38" s="975"/>
      <c r="EZ38" s="975"/>
      <c r="FA38" s="975"/>
      <c r="FB38" s="975"/>
      <c r="FC38" s="975"/>
      <c r="FD38" s="975"/>
      <c r="FE38" s="975"/>
      <c r="FF38" s="975"/>
      <c r="FG38" s="975"/>
      <c r="FH38" s="975"/>
      <c r="FI38" s="975"/>
      <c r="FJ38" s="975"/>
      <c r="FK38" s="975"/>
      <c r="FL38" s="975"/>
      <c r="FM38" s="975"/>
      <c r="FN38" s="975"/>
      <c r="FO38" s="975"/>
      <c r="FP38" s="975"/>
      <c r="FQ38" s="975"/>
      <c r="FR38" s="975"/>
      <c r="FS38" s="975"/>
      <c r="FT38" s="975"/>
      <c r="FU38" s="975"/>
      <c r="FV38" s="975"/>
      <c r="FW38" s="975"/>
      <c r="FX38" s="975"/>
      <c r="FY38" s="975"/>
      <c r="FZ38" s="975"/>
      <c r="GA38" s="975"/>
      <c r="GB38" s="975"/>
      <c r="GC38" s="975"/>
      <c r="GD38" s="975"/>
      <c r="GE38" s="975"/>
      <c r="GF38" s="975"/>
      <c r="GG38" s="975"/>
      <c r="GH38" s="975"/>
      <c r="GI38" s="975"/>
      <c r="GJ38" s="975"/>
      <c r="GK38" s="975"/>
      <c r="GL38" s="975"/>
      <c r="GM38" s="975"/>
      <c r="GN38" s="975"/>
      <c r="GO38" s="975"/>
      <c r="GP38" s="975"/>
      <c r="GQ38" s="975"/>
      <c r="GR38" s="975"/>
      <c r="GS38" s="975"/>
      <c r="GT38" s="975"/>
      <c r="GU38" s="975"/>
      <c r="GV38" s="975"/>
      <c r="GW38" s="975"/>
      <c r="GX38" s="975"/>
      <c r="GY38" s="975"/>
      <c r="GZ38" s="975"/>
      <c r="HA38" s="975"/>
      <c r="HB38" s="975"/>
      <c r="HC38" s="975"/>
      <c r="HD38" s="975"/>
      <c r="HE38" s="975"/>
      <c r="HF38" s="975"/>
      <c r="HG38" s="975"/>
      <c r="HH38" s="975"/>
      <c r="HI38" s="975"/>
      <c r="HJ38" s="975"/>
      <c r="HK38" s="975"/>
      <c r="HL38" s="975"/>
      <c r="HM38" s="975"/>
      <c r="HN38" s="975"/>
      <c r="HO38" s="975"/>
      <c r="HP38" s="975"/>
      <c r="HQ38" s="975"/>
      <c r="HR38" s="975"/>
      <c r="HS38" s="975"/>
      <c r="HT38" s="975"/>
      <c r="HU38" s="975"/>
      <c r="HV38" s="975"/>
      <c r="HW38" s="975"/>
      <c r="HX38" s="975"/>
      <c r="HY38" s="975"/>
      <c r="HZ38" s="975"/>
      <c r="IA38" s="975"/>
      <c r="IB38" s="975"/>
      <c r="IC38" s="975"/>
      <c r="ID38" s="975"/>
      <c r="IE38" s="975"/>
      <c r="IF38" s="975"/>
      <c r="IG38" s="975"/>
      <c r="IH38" s="975"/>
      <c r="II38" s="975"/>
      <c r="IJ38" s="975"/>
      <c r="IK38" s="975"/>
      <c r="IL38" s="975"/>
      <c r="IM38" s="975"/>
      <c r="IN38" s="975"/>
      <c r="IO38" s="975"/>
      <c r="IP38" s="975"/>
      <c r="IQ38" s="975"/>
      <c r="IR38" s="975"/>
      <c r="IS38" s="975"/>
      <c r="IT38" s="975"/>
      <c r="IU38" s="975"/>
      <c r="IV38" s="975"/>
      <c r="IW38" s="975"/>
      <c r="IX38" s="975"/>
      <c r="IY38" s="975"/>
      <c r="IZ38" s="975"/>
      <c r="JA38" s="975"/>
      <c r="JB38" s="975"/>
      <c r="JC38" s="975"/>
      <c r="JD38" s="975"/>
      <c r="JE38" s="975"/>
      <c r="JF38" s="975"/>
      <c r="JG38" s="975"/>
      <c r="JH38" s="975"/>
      <c r="JI38" s="975"/>
      <c r="JJ38" s="975"/>
      <c r="JK38" s="975"/>
      <c r="JL38" s="975"/>
      <c r="JM38" s="975"/>
      <c r="JN38" s="975"/>
      <c r="JO38" s="975"/>
      <c r="JP38" s="975"/>
      <c r="JQ38" s="975"/>
      <c r="JR38" s="975"/>
      <c r="JS38" s="975"/>
      <c r="JT38" s="975"/>
      <c r="JU38" s="975"/>
      <c r="JV38" s="975"/>
      <c r="JW38" s="975"/>
      <c r="JX38" s="975"/>
      <c r="JY38" s="975"/>
      <c r="JZ38" s="975"/>
      <c r="KA38" s="975"/>
      <c r="KB38" s="975"/>
      <c r="KC38" s="975"/>
      <c r="KD38" s="975"/>
      <c r="KE38" s="975"/>
      <c r="KF38" s="975"/>
      <c r="KG38" s="975"/>
      <c r="KH38" s="975"/>
      <c r="KI38" s="975"/>
      <c r="KJ38" s="975"/>
      <c r="KK38" s="975"/>
      <c r="KL38" s="975"/>
      <c r="KM38" s="975"/>
      <c r="KN38" s="975"/>
      <c r="KO38" s="975"/>
      <c r="KP38" s="975"/>
      <c r="KQ38" s="975"/>
      <c r="KR38" s="975"/>
      <c r="KS38" s="975"/>
      <c r="KT38" s="975"/>
      <c r="KU38" s="975"/>
      <c r="KV38" s="975"/>
      <c r="KW38" s="975"/>
      <c r="KX38" s="975"/>
      <c r="KY38" s="975"/>
      <c r="KZ38" s="975"/>
      <c r="LA38" s="975"/>
      <c r="LB38" s="975"/>
      <c r="LC38" s="975"/>
      <c r="LD38" s="975"/>
      <c r="LE38" s="975"/>
      <c r="LF38" s="975"/>
      <c r="LG38" s="975"/>
      <c r="LH38" s="975"/>
      <c r="LI38" s="975"/>
      <c r="LJ38" s="975"/>
      <c r="LK38" s="975"/>
      <c r="LL38" s="975"/>
      <c r="LM38" s="975"/>
      <c r="LN38" s="975"/>
      <c r="LO38" s="975"/>
      <c r="LP38" s="975"/>
      <c r="LQ38" s="975"/>
      <c r="LR38" s="975"/>
      <c r="LS38" s="975"/>
      <c r="LT38" s="975"/>
      <c r="LU38" s="975"/>
      <c r="LV38" s="975"/>
      <c r="LW38" s="975"/>
      <c r="LX38" s="975"/>
      <c r="LY38" s="975"/>
      <c r="LZ38" s="975"/>
      <c r="MA38" s="975"/>
      <c r="MB38" s="975"/>
      <c r="MC38" s="975"/>
      <c r="MD38" s="975"/>
      <c r="ME38" s="975"/>
      <c r="MF38" s="975"/>
      <c r="MG38" s="975"/>
      <c r="MH38" s="975"/>
      <c r="MI38" s="975"/>
      <c r="MJ38" s="975"/>
      <c r="MK38" s="975"/>
      <c r="ML38" s="975"/>
      <c r="MM38" s="975"/>
      <c r="MN38" s="975"/>
      <c r="MO38" s="975"/>
      <c r="MP38" s="975"/>
      <c r="MQ38" s="975"/>
      <c r="MR38" s="975"/>
      <c r="MS38" s="975"/>
      <c r="MT38" s="975"/>
      <c r="MU38" s="975"/>
      <c r="MV38" s="975"/>
      <c r="MW38" s="975"/>
      <c r="MX38" s="975"/>
      <c r="MY38" s="975"/>
      <c r="MZ38" s="975"/>
      <c r="NA38" s="975"/>
      <c r="NB38" s="975"/>
      <c r="NC38" s="975"/>
      <c r="ND38" s="975"/>
      <c r="NE38" s="975"/>
      <c r="NF38" s="975"/>
      <c r="NG38" s="975"/>
      <c r="NH38" s="975"/>
      <c r="NI38" s="975"/>
      <c r="NJ38" s="975"/>
      <c r="NK38" s="975"/>
      <c r="NL38" s="975"/>
      <c r="NM38" s="975"/>
      <c r="NN38" s="975"/>
      <c r="NO38" s="975"/>
      <c r="NP38" s="975"/>
      <c r="NQ38" s="975"/>
      <c r="NR38" s="975"/>
      <c r="NS38" s="975"/>
      <c r="NT38" s="975"/>
      <c r="NU38" s="975"/>
      <c r="NV38" s="975"/>
      <c r="NW38" s="975"/>
      <c r="NX38" s="975"/>
      <c r="NY38" s="975"/>
      <c r="NZ38" s="975"/>
      <c r="OA38" s="975"/>
      <c r="OB38" s="975"/>
      <c r="OC38" s="975"/>
      <c r="OD38" s="975"/>
      <c r="OE38" s="975"/>
      <c r="OF38" s="975"/>
      <c r="OG38" s="975"/>
      <c r="OH38" s="975"/>
      <c r="OI38" s="975"/>
      <c r="OJ38" s="975"/>
      <c r="OK38" s="975"/>
      <c r="OL38" s="975"/>
      <c r="OM38" s="975"/>
      <c r="ON38" s="975"/>
      <c r="OO38" s="975"/>
      <c r="OP38" s="975"/>
      <c r="OQ38" s="975"/>
      <c r="OR38" s="975"/>
      <c r="OS38" s="975"/>
      <c r="OT38" s="975"/>
      <c r="OU38" s="975"/>
      <c r="OV38" s="975"/>
      <c r="OW38" s="975"/>
      <c r="OX38" s="975"/>
      <c r="OY38" s="975"/>
      <c r="OZ38" s="975"/>
      <c r="PA38" s="975"/>
      <c r="PB38" s="975"/>
      <c r="PC38" s="975"/>
      <c r="PD38" s="975"/>
      <c r="PE38" s="975"/>
      <c r="PF38" s="975"/>
      <c r="PG38" s="975"/>
      <c r="PH38" s="975"/>
      <c r="PI38" s="975"/>
      <c r="PJ38" s="975"/>
      <c r="PK38" s="975"/>
      <c r="PL38" s="975"/>
      <c r="PM38" s="975"/>
      <c r="PN38" s="975"/>
      <c r="PO38" s="975"/>
      <c r="PP38" s="975"/>
      <c r="PQ38" s="975"/>
      <c r="PR38" s="975"/>
      <c r="PS38" s="975"/>
      <c r="PT38" s="975"/>
      <c r="PU38" s="975"/>
      <c r="PV38" s="975"/>
      <c r="PW38" s="975"/>
      <c r="PX38" s="975"/>
      <c r="PY38" s="975"/>
      <c r="PZ38" s="975"/>
      <c r="QA38" s="975"/>
      <c r="QB38" s="975"/>
      <c r="QC38" s="975"/>
      <c r="QD38" s="975"/>
      <c r="QE38" s="975"/>
      <c r="QF38" s="975"/>
      <c r="QG38" s="975"/>
      <c r="QH38" s="975"/>
      <c r="QI38" s="975"/>
      <c r="QJ38" s="975"/>
      <c r="QK38" s="975"/>
      <c r="QL38" s="975"/>
      <c r="QM38" s="975"/>
      <c r="QN38" s="975"/>
      <c r="QO38" s="975"/>
      <c r="QP38" s="975"/>
      <c r="QQ38" s="975"/>
      <c r="QR38" s="975"/>
      <c r="QS38" s="975"/>
      <c r="QT38" s="975"/>
      <c r="QU38" s="975"/>
      <c r="QV38" s="975"/>
      <c r="QW38" s="975"/>
      <c r="QX38" s="975"/>
      <c r="QY38" s="975"/>
      <c r="QZ38" s="975"/>
      <c r="RA38" s="975"/>
      <c r="RB38" s="975"/>
      <c r="RC38" s="975"/>
      <c r="RD38" s="975"/>
      <c r="RE38" s="975"/>
      <c r="RF38" s="975"/>
      <c r="RG38" s="975"/>
      <c r="RH38" s="975"/>
      <c r="RI38" s="975"/>
      <c r="RJ38" s="975"/>
      <c r="RK38" s="975"/>
      <c r="RL38" s="975"/>
      <c r="RM38" s="975"/>
      <c r="RN38" s="975"/>
      <c r="RO38" s="975"/>
      <c r="RP38" s="975"/>
      <c r="RQ38" s="975"/>
      <c r="RR38" s="975"/>
      <c r="RS38" s="975"/>
      <c r="RT38" s="975"/>
      <c r="RU38" s="975"/>
      <c r="RV38" s="975"/>
      <c r="RW38" s="975"/>
      <c r="RX38" s="975"/>
      <c r="RY38" s="975"/>
      <c r="RZ38" s="975"/>
      <c r="SA38" s="975"/>
      <c r="SB38" s="975"/>
      <c r="SC38" s="975"/>
      <c r="SD38" s="975"/>
      <c r="SE38" s="975"/>
      <c r="SF38" s="975"/>
      <c r="SG38" s="975"/>
      <c r="SH38" s="975"/>
      <c r="SI38" s="975"/>
      <c r="SJ38" s="975"/>
      <c r="SK38" s="975"/>
      <c r="SL38" s="975"/>
      <c r="SM38" s="975"/>
      <c r="SN38" s="975"/>
      <c r="SO38" s="975"/>
      <c r="SP38" s="975"/>
      <c r="SQ38" s="975"/>
      <c r="SR38" s="975"/>
      <c r="SS38" s="975"/>
      <c r="ST38" s="975"/>
      <c r="SU38" s="975"/>
      <c r="SV38" s="975"/>
      <c r="SW38" s="975"/>
      <c r="SX38" s="975"/>
      <c r="SY38" s="975"/>
      <c r="SZ38" s="975"/>
      <c r="TA38" s="975"/>
      <c r="TB38" s="975"/>
      <c r="TC38" s="975"/>
      <c r="TD38" s="975"/>
      <c r="TE38" s="975"/>
      <c r="TF38" s="975"/>
      <c r="TG38" s="975"/>
      <c r="TH38" s="975"/>
      <c r="TI38" s="975"/>
      <c r="TJ38" s="975"/>
      <c r="TK38" s="975"/>
      <c r="TL38" s="975"/>
      <c r="TM38" s="975"/>
      <c r="TN38" s="975"/>
      <c r="TO38" s="975"/>
      <c r="TP38" s="975"/>
      <c r="TQ38" s="975"/>
      <c r="TR38" s="975"/>
      <c r="TS38" s="975"/>
      <c r="TT38" s="975"/>
      <c r="TU38" s="975"/>
      <c r="TV38" s="975"/>
      <c r="TW38" s="975"/>
      <c r="TX38" s="975"/>
      <c r="TY38" s="975"/>
      <c r="TZ38" s="975"/>
      <c r="UA38" s="975"/>
      <c r="UB38" s="975"/>
      <c r="UC38" s="975"/>
      <c r="UD38" s="975"/>
      <c r="UE38" s="975"/>
      <c r="UF38" s="975"/>
      <c r="UG38" s="975"/>
      <c r="UH38" s="975"/>
      <c r="UI38" s="975"/>
      <c r="UJ38" s="975"/>
      <c r="UK38" s="975"/>
      <c r="UL38" s="975"/>
      <c r="UM38" s="975"/>
      <c r="UN38" s="975"/>
      <c r="UO38" s="975"/>
      <c r="UP38" s="975"/>
      <c r="UQ38" s="975"/>
      <c r="UR38" s="975"/>
      <c r="US38" s="975"/>
      <c r="UT38" s="975"/>
      <c r="UU38" s="975"/>
      <c r="UV38" s="975"/>
      <c r="UW38" s="975"/>
      <c r="UX38" s="975"/>
      <c r="UY38" s="975"/>
      <c r="UZ38" s="975"/>
      <c r="VA38" s="975"/>
      <c r="VB38" s="975"/>
      <c r="VC38" s="975"/>
      <c r="VD38" s="975"/>
      <c r="VE38" s="975"/>
      <c r="VF38" s="975"/>
      <c r="VG38" s="975"/>
      <c r="VH38" s="975"/>
      <c r="VI38" s="975"/>
      <c r="VJ38" s="975"/>
      <c r="VK38" s="975"/>
      <c r="VL38" s="975"/>
      <c r="VM38" s="975"/>
      <c r="VN38" s="975"/>
      <c r="VO38" s="975"/>
      <c r="VP38" s="975"/>
      <c r="VQ38" s="975"/>
      <c r="VR38" s="975"/>
      <c r="VS38" s="975"/>
      <c r="VT38" s="975"/>
      <c r="VU38" s="975"/>
      <c r="VV38" s="975"/>
      <c r="VW38" s="975"/>
      <c r="VX38" s="975"/>
      <c r="VY38" s="975"/>
      <c r="VZ38" s="975"/>
      <c r="WA38" s="975"/>
      <c r="WB38" s="975"/>
      <c r="WC38" s="975"/>
      <c r="WD38" s="975"/>
      <c r="WE38" s="975"/>
      <c r="WF38" s="975"/>
      <c r="WG38" s="975"/>
      <c r="WH38" s="975"/>
      <c r="WI38" s="975"/>
      <c r="WJ38" s="975"/>
      <c r="WK38" s="975"/>
      <c r="WL38" s="975"/>
      <c r="WM38" s="975"/>
      <c r="WN38" s="975"/>
      <c r="WO38" s="975"/>
      <c r="WP38" s="975"/>
      <c r="WQ38" s="975"/>
      <c r="WR38" s="975"/>
      <c r="WS38" s="975"/>
      <c r="WT38" s="975"/>
      <c r="WU38" s="975"/>
      <c r="WV38" s="975"/>
      <c r="WW38" s="975"/>
      <c r="WX38" s="975"/>
      <c r="WY38" s="975"/>
      <c r="WZ38" s="975"/>
      <c r="XA38" s="975"/>
      <c r="XB38" s="975"/>
      <c r="XC38" s="975"/>
      <c r="XD38" s="975"/>
      <c r="XE38" s="975"/>
      <c r="XF38" s="975"/>
      <c r="XG38" s="975"/>
      <c r="XH38" s="975"/>
      <c r="XI38" s="975"/>
      <c r="XJ38" s="975"/>
      <c r="XK38" s="975"/>
      <c r="XL38" s="975"/>
      <c r="XM38" s="975"/>
      <c r="XN38" s="975"/>
      <c r="XO38" s="975"/>
      <c r="XP38" s="975"/>
      <c r="XQ38" s="975"/>
      <c r="XR38" s="975"/>
      <c r="XS38" s="975"/>
      <c r="XT38" s="975"/>
      <c r="XU38" s="975"/>
      <c r="XV38" s="975"/>
      <c r="XW38" s="975"/>
      <c r="XX38" s="975"/>
      <c r="XY38" s="975"/>
      <c r="XZ38" s="975"/>
      <c r="YA38" s="975"/>
      <c r="YB38" s="975"/>
      <c r="YC38" s="975"/>
      <c r="YD38" s="975"/>
      <c r="YE38" s="975"/>
      <c r="YF38" s="975"/>
      <c r="YG38" s="975"/>
      <c r="YH38" s="975"/>
      <c r="YI38" s="975"/>
      <c r="YJ38" s="975"/>
      <c r="YK38" s="975"/>
      <c r="YL38" s="975"/>
      <c r="YM38" s="975"/>
      <c r="YN38" s="975"/>
      <c r="YO38" s="975"/>
      <c r="YP38" s="975"/>
      <c r="YQ38" s="975"/>
      <c r="YR38" s="975"/>
      <c r="YS38" s="975"/>
      <c r="YT38" s="975"/>
      <c r="YU38" s="975"/>
      <c r="YV38" s="975"/>
      <c r="YW38" s="975"/>
      <c r="YX38" s="975"/>
      <c r="YY38" s="975"/>
      <c r="YZ38" s="975"/>
      <c r="ZA38" s="975"/>
      <c r="ZB38" s="975"/>
      <c r="ZC38" s="975"/>
      <c r="ZD38" s="975"/>
      <c r="ZE38" s="975"/>
      <c r="ZF38" s="975"/>
      <c r="ZG38" s="975"/>
      <c r="ZH38" s="975"/>
      <c r="ZI38" s="975"/>
      <c r="ZJ38" s="975"/>
      <c r="ZK38" s="975"/>
      <c r="ZL38" s="975"/>
      <c r="ZM38" s="975"/>
      <c r="ZN38" s="975"/>
      <c r="ZO38" s="975"/>
      <c r="ZP38" s="975"/>
      <c r="ZQ38" s="975"/>
      <c r="ZR38" s="975"/>
      <c r="ZS38" s="975"/>
      <c r="ZT38" s="975"/>
      <c r="ZU38" s="975"/>
      <c r="ZV38" s="975"/>
      <c r="ZW38" s="975"/>
      <c r="ZX38" s="975"/>
      <c r="ZY38" s="975"/>
      <c r="ZZ38" s="975"/>
      <c r="AAA38" s="975"/>
      <c r="AAB38" s="975"/>
      <c r="AAC38" s="975"/>
      <c r="AAD38" s="975"/>
      <c r="AAE38" s="975"/>
      <c r="AAF38" s="975"/>
      <c r="AAG38" s="975"/>
      <c r="AAH38" s="975"/>
      <c r="AAI38" s="975"/>
      <c r="AAJ38" s="975"/>
      <c r="AAK38" s="975"/>
      <c r="AAL38" s="975"/>
      <c r="AAM38" s="975"/>
      <c r="AAN38" s="975"/>
      <c r="AAO38" s="975"/>
      <c r="AAP38" s="975"/>
      <c r="AAQ38" s="975"/>
      <c r="AAR38" s="975"/>
      <c r="AAS38" s="975"/>
      <c r="AAT38" s="975"/>
      <c r="AAU38" s="975"/>
      <c r="AAV38" s="975"/>
      <c r="AAW38" s="975"/>
      <c r="AAX38" s="975"/>
      <c r="AAY38" s="975"/>
      <c r="AAZ38" s="975"/>
      <c r="ABA38" s="975"/>
      <c r="ABB38" s="975"/>
      <c r="ABC38" s="975"/>
      <c r="ABD38" s="975"/>
      <c r="ABE38" s="975"/>
      <c r="ABF38" s="975"/>
      <c r="ABG38" s="975"/>
      <c r="ABH38" s="975"/>
      <c r="ABI38" s="975"/>
      <c r="ABJ38" s="975"/>
      <c r="ABK38" s="975"/>
      <c r="ABL38" s="975"/>
      <c r="ABM38" s="975"/>
      <c r="ABN38" s="975"/>
      <c r="ABO38" s="975"/>
      <c r="ABP38" s="975"/>
      <c r="ABQ38" s="975"/>
      <c r="ABR38" s="975"/>
      <c r="ABS38" s="975"/>
      <c r="ABT38" s="975"/>
      <c r="ABU38" s="975"/>
      <c r="ABV38" s="975"/>
      <c r="ABW38" s="975"/>
      <c r="ABX38" s="975"/>
      <c r="ABY38" s="975"/>
      <c r="ABZ38" s="975"/>
      <c r="ACA38" s="975"/>
      <c r="ACB38" s="975"/>
      <c r="ACC38" s="975"/>
      <c r="ACD38" s="975"/>
      <c r="ACE38" s="975"/>
      <c r="ACF38" s="975"/>
      <c r="ACG38" s="975"/>
      <c r="ACH38" s="975"/>
      <c r="ACI38" s="975"/>
      <c r="ACJ38" s="975"/>
      <c r="ACK38" s="975"/>
      <c r="ACL38" s="975"/>
      <c r="ACM38" s="975"/>
      <c r="ACN38" s="975"/>
      <c r="ACO38" s="975"/>
      <c r="ACP38" s="975"/>
      <c r="ACQ38" s="975"/>
      <c r="ACR38" s="975"/>
      <c r="ACS38" s="975"/>
      <c r="ACT38" s="975"/>
      <c r="ACU38" s="975"/>
      <c r="ACV38" s="975"/>
      <c r="ACW38" s="975"/>
      <c r="ACX38" s="975"/>
      <c r="ACY38" s="975"/>
      <c r="ACZ38" s="975"/>
      <c r="ADA38" s="975"/>
      <c r="ADB38" s="975"/>
      <c r="ADC38" s="975"/>
      <c r="ADD38" s="975"/>
      <c r="ADE38" s="975"/>
      <c r="ADF38" s="975"/>
      <c r="ADG38" s="975"/>
      <c r="ADH38" s="975"/>
      <c r="ADI38" s="975"/>
      <c r="ADJ38" s="975"/>
      <c r="ADK38" s="975"/>
      <c r="ADL38" s="975"/>
      <c r="ADM38" s="975"/>
      <c r="ADN38" s="975"/>
      <c r="ADO38" s="975"/>
      <c r="ADP38" s="975"/>
      <c r="ADQ38" s="975"/>
      <c r="ADR38" s="975"/>
      <c r="ADS38" s="975"/>
      <c r="ADT38" s="975"/>
      <c r="ADU38" s="975"/>
      <c r="ADV38" s="975"/>
      <c r="ADW38" s="975"/>
      <c r="ADX38" s="975"/>
      <c r="ADY38" s="975"/>
      <c r="ADZ38" s="975"/>
      <c r="AEA38" s="975"/>
      <c r="AEB38" s="975"/>
      <c r="AEC38" s="975"/>
      <c r="AED38" s="975"/>
      <c r="AEE38" s="975"/>
      <c r="AEF38" s="975"/>
      <c r="AEG38" s="975"/>
      <c r="AEH38" s="975"/>
      <c r="AEI38" s="975"/>
      <c r="AEJ38" s="975"/>
      <c r="AEK38" s="975"/>
      <c r="AEL38" s="975"/>
      <c r="AEM38" s="975"/>
      <c r="AEN38" s="975"/>
      <c r="AEO38" s="975"/>
      <c r="AEP38" s="975"/>
      <c r="AEQ38" s="975"/>
      <c r="AER38" s="975"/>
      <c r="AES38" s="975"/>
      <c r="AET38" s="975"/>
      <c r="AEU38" s="975"/>
      <c r="AEV38" s="975"/>
      <c r="AEW38" s="975"/>
      <c r="AEX38" s="975"/>
      <c r="AEY38" s="975"/>
      <c r="AEZ38" s="975"/>
      <c r="AFA38" s="975"/>
      <c r="AFB38" s="975"/>
      <c r="AFC38" s="975"/>
      <c r="AFD38" s="975"/>
      <c r="AFE38" s="975"/>
      <c r="AFF38" s="975"/>
      <c r="AFG38" s="975"/>
      <c r="AFH38" s="975"/>
      <c r="AFI38" s="975"/>
      <c r="AFJ38" s="975"/>
      <c r="AFK38" s="975"/>
      <c r="AFL38" s="975"/>
      <c r="AFM38" s="975"/>
      <c r="AFN38" s="975"/>
      <c r="AFO38" s="975"/>
      <c r="AFP38" s="975"/>
      <c r="AFQ38" s="975"/>
      <c r="AFR38" s="975"/>
      <c r="AFS38" s="975"/>
      <c r="AFT38" s="975"/>
      <c r="AFU38" s="975"/>
      <c r="AFV38" s="975"/>
      <c r="AFW38" s="975"/>
      <c r="AFX38" s="975"/>
      <c r="AFY38" s="975"/>
      <c r="AFZ38" s="975"/>
      <c r="AGA38" s="975"/>
      <c r="AGB38" s="975"/>
      <c r="AGC38" s="975"/>
      <c r="AGD38" s="975"/>
      <c r="AGE38" s="975"/>
      <c r="AGF38" s="975"/>
      <c r="AGG38" s="975"/>
      <c r="AGH38" s="975"/>
      <c r="AGI38" s="975"/>
      <c r="AGJ38" s="975"/>
      <c r="AGK38" s="975"/>
      <c r="AGL38" s="975"/>
      <c r="AGM38" s="975"/>
      <c r="AGN38" s="975"/>
      <c r="AGO38" s="975"/>
      <c r="AGP38" s="975"/>
      <c r="AGQ38" s="975"/>
      <c r="AGR38" s="975"/>
      <c r="AGS38" s="975"/>
      <c r="AGT38" s="975"/>
      <c r="AGU38" s="975"/>
      <c r="AGV38" s="975"/>
      <c r="AGW38" s="975"/>
      <c r="AGX38" s="975"/>
      <c r="AGY38" s="975"/>
      <c r="AGZ38" s="975"/>
      <c r="AHA38" s="975"/>
      <c r="AHB38" s="975"/>
      <c r="AHC38" s="975"/>
      <c r="AHD38" s="975"/>
      <c r="AHE38" s="975"/>
      <c r="AHF38" s="975"/>
      <c r="AHG38" s="975"/>
      <c r="AHH38" s="975"/>
      <c r="AHI38" s="975"/>
      <c r="AHJ38" s="975"/>
      <c r="AHK38" s="975"/>
      <c r="AHL38" s="975"/>
      <c r="AHM38" s="975"/>
      <c r="AHN38" s="975"/>
      <c r="AHO38" s="975"/>
      <c r="AHP38" s="975"/>
      <c r="AHQ38" s="975"/>
      <c r="AHR38" s="975"/>
      <c r="AHS38" s="975"/>
      <c r="AHT38" s="975"/>
      <c r="AHU38" s="975"/>
      <c r="AHV38" s="975"/>
      <c r="AHW38" s="975"/>
      <c r="AHX38" s="975"/>
      <c r="AHY38" s="975"/>
      <c r="AHZ38" s="975"/>
      <c r="AIA38" s="975"/>
      <c r="AIB38" s="975"/>
      <c r="AIC38" s="975"/>
      <c r="AID38" s="975"/>
      <c r="AIE38" s="975"/>
      <c r="AIF38" s="975"/>
      <c r="AIG38" s="975"/>
      <c r="AIH38" s="975"/>
      <c r="AII38" s="975"/>
      <c r="AIJ38" s="975"/>
      <c r="AIK38" s="975"/>
      <c r="AIL38" s="975"/>
      <c r="AIM38" s="975"/>
      <c r="AIN38" s="975"/>
      <c r="AIO38" s="975"/>
      <c r="AIP38" s="975"/>
      <c r="AIQ38" s="975"/>
      <c r="AIR38" s="975"/>
      <c r="AIS38" s="975"/>
      <c r="AIT38" s="975"/>
      <c r="AIU38" s="975"/>
      <c r="AIV38" s="975"/>
      <c r="AIW38" s="975"/>
      <c r="AIX38" s="975"/>
      <c r="AIY38" s="975"/>
      <c r="AIZ38" s="975"/>
      <c r="AJA38" s="975"/>
      <c r="AJB38" s="975"/>
      <c r="AJC38" s="975"/>
      <c r="AJD38" s="975"/>
      <c r="AJE38" s="975"/>
      <c r="AJF38" s="975"/>
      <c r="AJG38" s="975"/>
      <c r="AJH38" s="975"/>
      <c r="AJI38" s="975"/>
      <c r="AJJ38" s="975"/>
      <c r="AJK38" s="975"/>
      <c r="AJL38" s="975"/>
      <c r="AJM38" s="975"/>
      <c r="AJN38" s="975"/>
      <c r="AJO38" s="975"/>
      <c r="AJP38" s="975"/>
      <c r="AJQ38" s="975"/>
      <c r="AJR38" s="975"/>
      <c r="AJS38" s="975"/>
      <c r="AJT38" s="975"/>
      <c r="AJU38" s="975"/>
      <c r="AJV38" s="975"/>
      <c r="AJW38" s="975"/>
      <c r="AJX38" s="975"/>
      <c r="AJY38" s="975"/>
      <c r="AJZ38" s="975"/>
      <c r="AKA38" s="975"/>
      <c r="AKB38" s="975"/>
      <c r="AKC38" s="975"/>
      <c r="AKD38" s="975"/>
      <c r="AKE38" s="975"/>
      <c r="AKF38" s="975"/>
      <c r="AKG38" s="975"/>
      <c r="AKH38" s="975"/>
      <c r="AKI38" s="975"/>
      <c r="AKJ38" s="975"/>
      <c r="AKK38" s="975"/>
      <c r="AKL38" s="975"/>
      <c r="AKM38" s="975"/>
      <c r="AKN38" s="975"/>
      <c r="AKO38" s="975"/>
      <c r="AKP38" s="975"/>
      <c r="AKQ38" s="975"/>
      <c r="AKR38" s="975"/>
      <c r="AKS38" s="975"/>
      <c r="AKT38" s="975"/>
      <c r="AKU38" s="975"/>
      <c r="AKV38" s="975"/>
      <c r="AKW38" s="975"/>
      <c r="AKX38" s="975"/>
      <c r="AKY38" s="975"/>
      <c r="AKZ38" s="975"/>
      <c r="ALA38" s="975"/>
      <c r="ALB38" s="975"/>
      <c r="ALC38" s="975"/>
      <c r="ALD38" s="975"/>
      <c r="ALE38" s="975"/>
      <c r="ALF38" s="975"/>
      <c r="ALG38" s="975"/>
      <c r="ALH38" s="975"/>
      <c r="ALI38" s="975"/>
      <c r="ALJ38" s="975"/>
      <c r="ALK38" s="975"/>
      <c r="ALL38" s="975"/>
      <c r="ALM38" s="975"/>
      <c r="ALN38" s="975"/>
      <c r="ALO38" s="975"/>
      <c r="ALP38" s="975"/>
      <c r="ALQ38" s="975"/>
      <c r="ALR38" s="975"/>
      <c r="ALS38" s="975"/>
      <c r="ALT38" s="975"/>
      <c r="ALU38" s="975"/>
      <c r="ALV38" s="975"/>
      <c r="ALW38" s="975"/>
      <c r="ALX38" s="975"/>
      <c r="ALY38" s="975"/>
      <c r="ALZ38" s="975"/>
      <c r="AMA38" s="975"/>
      <c r="AMB38" s="975"/>
      <c r="AMC38" s="975"/>
      <c r="AMD38" s="975"/>
      <c r="AME38" s="975"/>
      <c r="AMF38" s="975"/>
      <c r="AMG38" s="975"/>
      <c r="AMH38" s="975"/>
      <c r="AMI38" s="975"/>
      <c r="AMJ38" s="975"/>
      <c r="AMK38" s="975"/>
      <c r="AML38" s="975"/>
      <c r="AMM38" s="975"/>
      <c r="AMN38" s="975"/>
      <c r="AMO38" s="975"/>
      <c r="AMP38" s="975"/>
      <c r="AMQ38" s="975"/>
      <c r="AMR38" s="975"/>
      <c r="AMS38" s="975"/>
      <c r="AMT38" s="975"/>
      <c r="AMU38" s="975"/>
      <c r="AMV38" s="975"/>
      <c r="AMW38" s="975"/>
      <c r="AMX38" s="975"/>
      <c r="AMY38" s="975"/>
      <c r="AMZ38" s="975"/>
      <c r="ANA38" s="975"/>
      <c r="ANB38" s="975"/>
      <c r="ANC38" s="975"/>
      <c r="AND38" s="975"/>
      <c r="ANE38" s="975"/>
      <c r="ANF38" s="975"/>
      <c r="ANG38" s="975"/>
      <c r="ANH38" s="975"/>
      <c r="ANI38" s="975"/>
      <c r="ANJ38" s="975"/>
      <c r="ANK38" s="975"/>
      <c r="ANL38" s="975"/>
      <c r="ANM38" s="975"/>
      <c r="ANN38" s="975"/>
      <c r="ANO38" s="975"/>
      <c r="ANP38" s="975"/>
      <c r="ANQ38" s="975"/>
      <c r="ANR38" s="975"/>
      <c r="ANS38" s="975"/>
      <c r="ANT38" s="975"/>
      <c r="ANU38" s="975"/>
      <c r="ANV38" s="975"/>
      <c r="ANW38" s="975"/>
      <c r="ANX38" s="975"/>
      <c r="ANY38" s="975"/>
      <c r="ANZ38" s="975"/>
      <c r="AOA38" s="975"/>
      <c r="AOB38" s="975"/>
      <c r="AOC38" s="975"/>
      <c r="AOD38" s="975"/>
      <c r="AOE38" s="975"/>
      <c r="AOF38" s="975"/>
      <c r="AOG38" s="975"/>
      <c r="AOH38" s="975"/>
      <c r="AOI38" s="975"/>
      <c r="AOJ38" s="975"/>
      <c r="AOK38" s="975"/>
      <c r="AOL38" s="975"/>
      <c r="AOM38" s="975"/>
      <c r="AON38" s="975"/>
      <c r="AOO38" s="975"/>
      <c r="AOP38" s="975"/>
      <c r="AOQ38" s="975"/>
      <c r="AOR38" s="975"/>
      <c r="AOS38" s="975"/>
      <c r="AOT38" s="975"/>
      <c r="AOU38" s="975"/>
      <c r="AOV38" s="975"/>
      <c r="AOW38" s="975"/>
      <c r="AOX38" s="975"/>
      <c r="AOY38" s="975"/>
      <c r="AOZ38" s="975"/>
      <c r="APA38" s="975"/>
      <c r="APB38" s="975"/>
      <c r="APC38" s="975"/>
      <c r="APD38" s="975"/>
      <c r="APE38" s="975"/>
      <c r="APF38" s="975"/>
      <c r="APG38" s="975"/>
      <c r="APH38" s="975"/>
      <c r="API38" s="975"/>
      <c r="APJ38" s="975"/>
      <c r="APK38" s="975"/>
      <c r="APL38" s="975"/>
      <c r="APM38" s="975"/>
      <c r="APN38" s="975"/>
      <c r="APO38" s="975"/>
      <c r="APP38" s="975"/>
      <c r="APQ38" s="975"/>
      <c r="APR38" s="975"/>
      <c r="APS38" s="975"/>
      <c r="APT38" s="975"/>
      <c r="APU38" s="975"/>
      <c r="APV38" s="975"/>
      <c r="APW38" s="975"/>
      <c r="APX38" s="975"/>
      <c r="APY38" s="975"/>
      <c r="APZ38" s="975"/>
      <c r="AQA38" s="975"/>
      <c r="AQB38" s="975"/>
      <c r="AQC38" s="975"/>
      <c r="AQD38" s="975"/>
      <c r="AQE38" s="975"/>
      <c r="AQF38" s="975"/>
      <c r="AQG38" s="975"/>
      <c r="AQH38" s="975"/>
      <c r="AQI38" s="975"/>
      <c r="AQJ38" s="975"/>
      <c r="AQK38" s="975"/>
      <c r="AQL38" s="975"/>
      <c r="AQM38" s="975"/>
      <c r="AQN38" s="975"/>
      <c r="AQO38" s="975"/>
      <c r="AQP38" s="975"/>
      <c r="AQQ38" s="975"/>
      <c r="AQR38" s="975"/>
      <c r="AQS38" s="975"/>
      <c r="AQT38" s="975"/>
      <c r="AQU38" s="975"/>
      <c r="AQV38" s="975"/>
      <c r="AQW38" s="975"/>
      <c r="AQX38" s="975"/>
      <c r="AQY38" s="975"/>
      <c r="AQZ38" s="975"/>
      <c r="ARA38" s="975"/>
      <c r="ARB38" s="975"/>
      <c r="ARC38" s="975"/>
      <c r="ARD38" s="975"/>
      <c r="ARE38" s="975"/>
      <c r="ARF38" s="975"/>
      <c r="ARG38" s="975"/>
      <c r="ARH38" s="975"/>
      <c r="ARI38" s="975"/>
      <c r="ARJ38" s="975"/>
      <c r="ARK38" s="975"/>
      <c r="ARL38" s="975"/>
      <c r="ARM38" s="975"/>
      <c r="ARN38" s="975"/>
      <c r="ARO38" s="975"/>
      <c r="ARP38" s="975"/>
      <c r="ARQ38" s="975"/>
      <c r="ARR38" s="975"/>
      <c r="ARS38" s="975"/>
      <c r="ART38" s="975"/>
      <c r="ARU38" s="975"/>
      <c r="ARV38" s="975"/>
      <c r="ARW38" s="975"/>
      <c r="ARX38" s="975"/>
      <c r="ARY38" s="975"/>
      <c r="ARZ38" s="975"/>
      <c r="ASA38" s="975"/>
      <c r="ASB38" s="975"/>
      <c r="ASC38" s="975"/>
      <c r="ASD38" s="975"/>
      <c r="ASE38" s="975"/>
      <c r="ASF38" s="975"/>
      <c r="ASG38" s="975"/>
      <c r="ASH38" s="975"/>
      <c r="ASI38" s="975"/>
      <c r="ASJ38" s="975"/>
      <c r="ASK38" s="975"/>
      <c r="ASL38" s="975"/>
      <c r="ASM38" s="975"/>
      <c r="ASN38" s="975"/>
      <c r="ASO38" s="975"/>
      <c r="ASP38" s="975"/>
      <c r="ASQ38" s="975"/>
      <c r="ASR38" s="975"/>
      <c r="ASS38" s="975"/>
      <c r="AST38" s="975"/>
      <c r="ASU38" s="975"/>
      <c r="ASV38" s="975"/>
      <c r="ASW38" s="975"/>
      <c r="ASX38" s="975"/>
      <c r="ASY38" s="975"/>
      <c r="ASZ38" s="975"/>
      <c r="ATA38" s="975"/>
      <c r="ATB38" s="975"/>
      <c r="ATC38" s="975"/>
      <c r="ATD38" s="975"/>
      <c r="ATE38" s="975"/>
      <c r="ATF38" s="975"/>
      <c r="ATG38" s="975"/>
      <c r="ATH38" s="975"/>
      <c r="ATI38" s="975"/>
      <c r="ATJ38" s="975"/>
      <c r="ATK38" s="975"/>
      <c r="ATL38" s="975"/>
      <c r="ATM38" s="975"/>
      <c r="ATN38" s="975"/>
      <c r="ATO38" s="975"/>
      <c r="ATP38" s="975"/>
      <c r="ATQ38" s="975"/>
      <c r="ATR38" s="975"/>
      <c r="ATS38" s="975"/>
      <c r="ATT38" s="975"/>
      <c r="ATU38" s="975"/>
      <c r="ATV38" s="975"/>
      <c r="ATW38" s="975"/>
      <c r="ATX38" s="975"/>
      <c r="ATY38" s="975"/>
      <c r="ATZ38" s="975"/>
      <c r="AUA38" s="975"/>
      <c r="AUB38" s="975"/>
      <c r="AUC38" s="975"/>
      <c r="AUD38" s="975"/>
      <c r="AUE38" s="975"/>
      <c r="AUF38" s="975"/>
      <c r="AUG38" s="975"/>
      <c r="AUH38" s="975"/>
      <c r="AUI38" s="975"/>
      <c r="AUJ38" s="975"/>
      <c r="AUK38" s="975"/>
      <c r="AUL38" s="975"/>
      <c r="AUM38" s="975"/>
      <c r="AUN38" s="975"/>
      <c r="AUO38" s="975"/>
      <c r="AUP38" s="975"/>
      <c r="AUQ38" s="975"/>
      <c r="AUR38" s="975"/>
      <c r="AUS38" s="975"/>
      <c r="AUT38" s="975"/>
      <c r="AUU38" s="975"/>
      <c r="AUV38" s="975"/>
      <c r="AUW38" s="975"/>
      <c r="AUX38" s="975"/>
      <c r="AUY38" s="975"/>
      <c r="AUZ38" s="975"/>
      <c r="AVA38" s="975"/>
      <c r="AVB38" s="975"/>
      <c r="AVC38" s="975"/>
      <c r="AVD38" s="975"/>
      <c r="AVE38" s="975"/>
      <c r="AVF38" s="975"/>
      <c r="AVG38" s="975"/>
      <c r="AVH38" s="975"/>
      <c r="AVI38" s="975"/>
      <c r="AVJ38" s="975"/>
      <c r="AVK38" s="975"/>
      <c r="AVL38" s="975"/>
      <c r="AVM38" s="975"/>
      <c r="AVN38" s="975"/>
      <c r="AVO38" s="975"/>
      <c r="AVP38" s="975"/>
      <c r="AVQ38" s="975"/>
      <c r="AVR38" s="975"/>
      <c r="AVS38" s="975"/>
      <c r="AVT38" s="975"/>
      <c r="AVU38" s="975"/>
      <c r="AVV38" s="975"/>
      <c r="AVW38" s="975"/>
      <c r="AVX38" s="975"/>
      <c r="AVY38" s="975"/>
      <c r="AVZ38" s="975"/>
      <c r="AWA38" s="975"/>
      <c r="AWB38" s="975"/>
      <c r="AWC38" s="975"/>
      <c r="AWD38" s="975"/>
      <c r="AWE38" s="975"/>
      <c r="AWF38" s="975"/>
      <c r="AWG38" s="975"/>
      <c r="AWH38" s="975"/>
      <c r="AWI38" s="975"/>
      <c r="AWJ38" s="975"/>
      <c r="AWK38" s="975"/>
      <c r="AWL38" s="975"/>
      <c r="AWM38" s="975"/>
      <c r="AWN38" s="975"/>
      <c r="AWO38" s="975"/>
      <c r="AWP38" s="975"/>
      <c r="AWQ38" s="975"/>
      <c r="AWR38" s="975"/>
      <c r="AWS38" s="975"/>
      <c r="AWT38" s="975"/>
      <c r="AWU38" s="975"/>
      <c r="AWV38" s="975"/>
      <c r="AWW38" s="975"/>
      <c r="AWX38" s="975"/>
      <c r="AWY38" s="975"/>
      <c r="AWZ38" s="975"/>
      <c r="AXA38" s="975"/>
      <c r="AXB38" s="975"/>
      <c r="AXC38" s="975"/>
      <c r="AXD38" s="975"/>
      <c r="AXE38" s="975"/>
      <c r="AXF38" s="975"/>
      <c r="AXG38" s="975"/>
      <c r="AXH38" s="975"/>
      <c r="AXI38" s="975"/>
      <c r="AXJ38" s="975"/>
      <c r="AXK38" s="975"/>
      <c r="AXL38" s="975"/>
      <c r="AXM38" s="975"/>
      <c r="AXN38" s="975"/>
      <c r="AXO38" s="975"/>
      <c r="AXP38" s="975"/>
      <c r="AXQ38" s="975"/>
      <c r="AXR38" s="975"/>
      <c r="AXS38" s="975"/>
      <c r="AXT38" s="975"/>
      <c r="AXU38" s="975"/>
      <c r="AXV38" s="975"/>
      <c r="AXW38" s="975"/>
      <c r="AXX38" s="975"/>
      <c r="AXY38" s="975"/>
      <c r="AXZ38" s="975"/>
      <c r="AYA38" s="975"/>
      <c r="AYB38" s="975"/>
      <c r="AYC38" s="975"/>
      <c r="AYD38" s="975"/>
      <c r="AYE38" s="975"/>
      <c r="AYF38" s="975"/>
      <c r="AYG38" s="975"/>
      <c r="AYH38" s="975"/>
      <c r="AYI38" s="975"/>
      <c r="AYJ38" s="975"/>
      <c r="AYK38" s="975"/>
      <c r="AYL38" s="975"/>
      <c r="AYM38" s="975"/>
      <c r="AYN38" s="975"/>
      <c r="AYO38" s="975"/>
      <c r="AYP38" s="975"/>
      <c r="AYQ38" s="975"/>
      <c r="AYR38" s="975"/>
      <c r="AYS38" s="975"/>
      <c r="AYT38" s="975"/>
      <c r="AYU38" s="975"/>
      <c r="AYV38" s="975"/>
      <c r="AYW38" s="975"/>
      <c r="AYX38" s="975"/>
      <c r="AYY38" s="975"/>
      <c r="AYZ38" s="975"/>
      <c r="AZA38" s="975"/>
      <c r="AZB38" s="975"/>
      <c r="AZC38" s="975"/>
      <c r="AZD38" s="975"/>
      <c r="AZE38" s="975"/>
      <c r="AZF38" s="975"/>
      <c r="AZG38" s="975"/>
      <c r="AZH38" s="975"/>
      <c r="AZI38" s="975"/>
      <c r="AZJ38" s="975"/>
      <c r="AZK38" s="975"/>
      <c r="AZL38" s="975"/>
      <c r="AZM38" s="975"/>
      <c r="AZN38" s="975"/>
      <c r="AZO38" s="975"/>
      <c r="AZP38" s="975"/>
      <c r="AZQ38" s="975"/>
      <c r="AZR38" s="975"/>
      <c r="AZS38" s="975"/>
      <c r="AZT38" s="975"/>
      <c r="AZU38" s="975"/>
      <c r="AZV38" s="975"/>
      <c r="AZW38" s="975"/>
      <c r="AZX38" s="975"/>
      <c r="AZY38" s="975"/>
      <c r="AZZ38" s="975"/>
      <c r="BAA38" s="975"/>
      <c r="BAB38" s="975"/>
      <c r="BAC38" s="975"/>
      <c r="BAD38" s="975"/>
      <c r="BAE38" s="975"/>
      <c r="BAF38" s="975"/>
      <c r="BAG38" s="975"/>
      <c r="BAH38" s="975"/>
      <c r="BAI38" s="975"/>
      <c r="BAJ38" s="975"/>
      <c r="BAK38" s="975"/>
      <c r="BAL38" s="975"/>
      <c r="BAM38" s="975"/>
      <c r="BAN38" s="975"/>
      <c r="BAO38" s="975"/>
      <c r="BAP38" s="975"/>
      <c r="BAQ38" s="975"/>
      <c r="BAR38" s="975"/>
      <c r="BAS38" s="975"/>
      <c r="BAT38" s="975"/>
      <c r="BAU38" s="975"/>
      <c r="BAV38" s="975"/>
      <c r="BAW38" s="975"/>
      <c r="BAX38" s="975"/>
      <c r="BAY38" s="975"/>
      <c r="BAZ38" s="975"/>
      <c r="BBA38" s="975"/>
      <c r="BBB38" s="975"/>
      <c r="BBC38" s="975"/>
      <c r="BBD38" s="975"/>
      <c r="BBE38" s="975"/>
      <c r="BBF38" s="975"/>
      <c r="BBG38" s="975"/>
      <c r="BBH38" s="975"/>
      <c r="BBI38" s="975"/>
      <c r="BBJ38" s="975"/>
      <c r="BBK38" s="975"/>
      <c r="BBL38" s="975"/>
      <c r="BBM38" s="975"/>
      <c r="BBN38" s="975"/>
      <c r="BBO38" s="975"/>
      <c r="BBP38" s="975"/>
      <c r="BBQ38" s="975"/>
      <c r="BBR38" s="975"/>
      <c r="BBS38" s="975"/>
      <c r="BBT38" s="975"/>
      <c r="BBU38" s="975"/>
      <c r="BBV38" s="975"/>
      <c r="BBW38" s="975"/>
      <c r="BBX38" s="975"/>
      <c r="BBY38" s="975"/>
      <c r="BBZ38" s="975"/>
      <c r="BCA38" s="975"/>
      <c r="BCB38" s="975"/>
      <c r="BCC38" s="975"/>
      <c r="BCD38" s="975"/>
      <c r="BCE38" s="975"/>
      <c r="BCF38" s="975"/>
      <c r="BCG38" s="975"/>
      <c r="BCH38" s="975"/>
      <c r="BCI38" s="975"/>
      <c r="BCJ38" s="975"/>
      <c r="BCK38" s="975"/>
      <c r="BCL38" s="975"/>
      <c r="BCM38" s="975"/>
      <c r="BCN38" s="975"/>
      <c r="BCO38" s="975"/>
      <c r="BCP38" s="975"/>
      <c r="BCQ38" s="975"/>
      <c r="BCR38" s="975"/>
      <c r="BCS38" s="975"/>
      <c r="BCT38" s="975"/>
      <c r="BCU38" s="975"/>
      <c r="BCV38" s="975"/>
      <c r="BCW38" s="975"/>
      <c r="BCX38" s="975"/>
      <c r="BCY38" s="975"/>
      <c r="BCZ38" s="975"/>
      <c r="BDA38" s="975"/>
      <c r="BDB38" s="975"/>
      <c r="BDC38" s="975"/>
      <c r="BDD38" s="975"/>
      <c r="BDE38" s="975"/>
      <c r="BDF38" s="975"/>
      <c r="BDG38" s="975"/>
      <c r="BDH38" s="975"/>
      <c r="BDI38" s="975"/>
      <c r="BDJ38" s="975"/>
      <c r="BDK38" s="975"/>
      <c r="BDL38" s="975"/>
      <c r="BDM38" s="975"/>
      <c r="BDN38" s="975"/>
      <c r="BDO38" s="975"/>
      <c r="BDP38" s="975"/>
      <c r="BDQ38" s="975"/>
      <c r="BDR38" s="975"/>
      <c r="BDS38" s="975"/>
      <c r="BDT38" s="975"/>
      <c r="BDU38" s="975"/>
      <c r="BDV38" s="975"/>
      <c r="BDW38" s="975"/>
      <c r="BDX38" s="975"/>
      <c r="BDY38" s="975"/>
      <c r="BDZ38" s="975"/>
      <c r="BEA38" s="975"/>
      <c r="BEB38" s="975"/>
      <c r="BEC38" s="975"/>
      <c r="BED38" s="975"/>
      <c r="BEE38" s="975"/>
      <c r="BEF38" s="975"/>
      <c r="BEG38" s="975"/>
      <c r="BEH38" s="975"/>
      <c r="BEI38" s="975"/>
      <c r="BEJ38" s="975"/>
      <c r="BEK38" s="975"/>
      <c r="BEL38" s="975"/>
      <c r="BEM38" s="975"/>
      <c r="BEN38" s="975"/>
      <c r="BEO38" s="975"/>
      <c r="BEP38" s="975"/>
      <c r="BEQ38" s="975"/>
      <c r="BER38" s="975"/>
      <c r="BES38" s="975"/>
      <c r="BET38" s="975"/>
      <c r="BEU38" s="975"/>
      <c r="BEV38" s="975"/>
      <c r="BEW38" s="975"/>
      <c r="BEX38" s="975"/>
      <c r="BEY38" s="975"/>
      <c r="BEZ38" s="975"/>
      <c r="BFA38" s="975"/>
      <c r="BFB38" s="975"/>
      <c r="BFC38" s="975"/>
      <c r="BFD38" s="975"/>
      <c r="BFE38" s="975"/>
      <c r="BFF38" s="975"/>
      <c r="BFG38" s="975"/>
      <c r="BFH38" s="975"/>
      <c r="BFI38" s="975"/>
      <c r="BFJ38" s="975"/>
      <c r="BFK38" s="975"/>
      <c r="BFL38" s="975"/>
      <c r="BFM38" s="975"/>
      <c r="BFN38" s="975"/>
      <c r="BFO38" s="975"/>
      <c r="BFP38" s="975"/>
      <c r="BFQ38" s="975"/>
      <c r="BFR38" s="975"/>
      <c r="BFS38" s="975"/>
      <c r="BFT38" s="975"/>
      <c r="BFU38" s="975"/>
      <c r="BFV38" s="975"/>
      <c r="BFW38" s="975"/>
      <c r="BFX38" s="975"/>
      <c r="BFY38" s="975"/>
      <c r="BFZ38" s="975"/>
      <c r="BGA38" s="975"/>
      <c r="BGB38" s="975"/>
      <c r="BGC38" s="975"/>
      <c r="BGD38" s="975"/>
      <c r="BGE38" s="975"/>
      <c r="BGF38" s="975"/>
      <c r="BGG38" s="975"/>
      <c r="BGH38" s="975"/>
      <c r="BGI38" s="975"/>
      <c r="BGJ38" s="975"/>
      <c r="BGK38" s="975"/>
      <c r="BGL38" s="975"/>
      <c r="BGM38" s="975"/>
      <c r="BGN38" s="975"/>
      <c r="BGO38" s="975"/>
      <c r="BGP38" s="975"/>
      <c r="BGQ38" s="975"/>
      <c r="BGR38" s="975"/>
      <c r="BGS38" s="975"/>
      <c r="BGT38" s="975"/>
      <c r="BGU38" s="975"/>
      <c r="BGV38" s="975"/>
      <c r="BGW38" s="975"/>
      <c r="BGX38" s="975"/>
      <c r="BGY38" s="975"/>
      <c r="BGZ38" s="975"/>
      <c r="BHA38" s="975"/>
      <c r="BHB38" s="975"/>
      <c r="BHC38" s="975"/>
      <c r="BHD38" s="975"/>
      <c r="BHE38" s="975"/>
      <c r="BHF38" s="975"/>
      <c r="BHG38" s="975"/>
      <c r="BHH38" s="975"/>
      <c r="BHI38" s="975"/>
      <c r="BHJ38" s="975"/>
      <c r="BHK38" s="975"/>
      <c r="BHL38" s="975"/>
      <c r="BHM38" s="975"/>
      <c r="BHN38" s="975"/>
      <c r="BHO38" s="975"/>
      <c r="BHP38" s="975"/>
      <c r="BHQ38" s="975"/>
      <c r="BHR38" s="975"/>
      <c r="BHS38" s="975"/>
      <c r="BHT38" s="975"/>
      <c r="BHU38" s="975"/>
      <c r="BHV38" s="975"/>
      <c r="BHW38" s="975"/>
      <c r="BHX38" s="975"/>
      <c r="BHY38" s="975"/>
      <c r="BHZ38" s="975"/>
      <c r="BIA38" s="975"/>
      <c r="BIB38" s="975"/>
      <c r="BIC38" s="975"/>
      <c r="BID38" s="975"/>
      <c r="BIE38" s="975"/>
      <c r="BIF38" s="975"/>
      <c r="BIG38" s="975"/>
      <c r="BIH38" s="975"/>
      <c r="BII38" s="975"/>
      <c r="BIJ38" s="975"/>
      <c r="BIK38" s="975"/>
      <c r="BIL38" s="975"/>
      <c r="BIM38" s="975"/>
      <c r="BIN38" s="975"/>
      <c r="BIO38" s="975"/>
      <c r="BIP38" s="975"/>
      <c r="BIQ38" s="975"/>
      <c r="BIR38" s="975"/>
      <c r="BIS38" s="975"/>
      <c r="BIT38" s="975"/>
      <c r="BIU38" s="975"/>
      <c r="BIV38" s="975"/>
      <c r="BIW38" s="975"/>
      <c r="BIX38" s="975"/>
      <c r="BIY38" s="975"/>
      <c r="BIZ38" s="975"/>
      <c r="BJA38" s="975"/>
      <c r="BJB38" s="975"/>
      <c r="BJC38" s="975"/>
      <c r="BJD38" s="975"/>
      <c r="BJE38" s="975"/>
      <c r="BJF38" s="975"/>
      <c r="BJG38" s="975"/>
      <c r="BJH38" s="975"/>
      <c r="BJI38" s="975"/>
      <c r="BJJ38" s="975"/>
      <c r="BJK38" s="975"/>
      <c r="BJL38" s="975"/>
      <c r="BJM38" s="975"/>
      <c r="BJN38" s="975"/>
      <c r="BJO38" s="975"/>
      <c r="BJP38" s="975"/>
      <c r="BJQ38" s="975"/>
      <c r="BJR38" s="975"/>
      <c r="BJS38" s="975"/>
      <c r="BJT38" s="975"/>
      <c r="BJU38" s="975"/>
      <c r="BJV38" s="975"/>
      <c r="BJW38" s="975"/>
      <c r="BJX38" s="975"/>
      <c r="BJY38" s="975"/>
      <c r="BJZ38" s="975"/>
      <c r="BKA38" s="975"/>
      <c r="BKB38" s="975"/>
      <c r="BKC38" s="975"/>
      <c r="BKD38" s="975"/>
      <c r="BKE38" s="975"/>
      <c r="BKF38" s="975"/>
      <c r="BKG38" s="975"/>
      <c r="BKH38" s="975"/>
      <c r="BKI38" s="975"/>
      <c r="BKJ38" s="975"/>
      <c r="BKK38" s="975"/>
      <c r="BKL38" s="975"/>
      <c r="BKM38" s="975"/>
      <c r="BKN38" s="975"/>
      <c r="BKO38" s="975"/>
      <c r="BKP38" s="975"/>
      <c r="BKQ38" s="975"/>
      <c r="BKR38" s="975"/>
      <c r="BKS38" s="975"/>
      <c r="BKT38" s="975"/>
      <c r="BKU38" s="975"/>
      <c r="BKV38" s="975"/>
      <c r="BKW38" s="975"/>
      <c r="BKX38" s="975"/>
      <c r="BKY38" s="975"/>
      <c r="BKZ38" s="975"/>
      <c r="BLA38" s="975"/>
      <c r="BLB38" s="975"/>
      <c r="BLC38" s="975"/>
      <c r="BLD38" s="975"/>
      <c r="BLE38" s="975"/>
      <c r="BLF38" s="975"/>
      <c r="BLG38" s="975"/>
      <c r="BLH38" s="975"/>
      <c r="BLI38" s="975"/>
      <c r="BLJ38" s="975"/>
      <c r="BLK38" s="975"/>
      <c r="BLL38" s="975"/>
      <c r="BLM38" s="975"/>
      <c r="BLN38" s="975"/>
      <c r="BLO38" s="975"/>
      <c r="BLP38" s="975"/>
      <c r="BLQ38" s="975"/>
      <c r="BLR38" s="975"/>
      <c r="BLS38" s="975"/>
      <c r="BLT38" s="975"/>
      <c r="BLU38" s="975"/>
      <c r="BLV38" s="975"/>
      <c r="BLW38" s="975"/>
      <c r="BLX38" s="975"/>
      <c r="BLY38" s="975"/>
      <c r="BLZ38" s="975"/>
      <c r="BMA38" s="975"/>
      <c r="BMB38" s="975"/>
      <c r="BMC38" s="975"/>
      <c r="BMD38" s="975"/>
      <c r="BME38" s="975"/>
      <c r="BMF38" s="975"/>
      <c r="BMG38" s="975"/>
      <c r="BMH38" s="975"/>
      <c r="BMI38" s="975"/>
      <c r="BMJ38" s="975"/>
      <c r="BMK38" s="975"/>
      <c r="BML38" s="975"/>
      <c r="BMM38" s="975"/>
      <c r="BMN38" s="975"/>
      <c r="BMO38" s="975"/>
      <c r="BMP38" s="975"/>
      <c r="BMQ38" s="975"/>
      <c r="BMR38" s="975"/>
      <c r="BMS38" s="975"/>
      <c r="BMT38" s="975"/>
      <c r="BMU38" s="975"/>
      <c r="BMV38" s="975"/>
      <c r="BMW38" s="975"/>
      <c r="BMX38" s="975"/>
      <c r="BMY38" s="975"/>
      <c r="BMZ38" s="975"/>
      <c r="BNA38" s="975"/>
      <c r="BNB38" s="975"/>
      <c r="BNC38" s="975"/>
      <c r="BND38" s="975"/>
      <c r="BNE38" s="975"/>
      <c r="BNF38" s="975"/>
      <c r="BNG38" s="975"/>
      <c r="BNH38" s="975"/>
      <c r="BNI38" s="975"/>
      <c r="BNJ38" s="975"/>
      <c r="BNK38" s="975"/>
      <c r="BNL38" s="975"/>
      <c r="BNM38" s="975"/>
      <c r="BNN38" s="975"/>
      <c r="BNO38" s="975"/>
      <c r="BNP38" s="975"/>
      <c r="BNQ38" s="975"/>
      <c r="BNR38" s="975"/>
      <c r="BNS38" s="975"/>
      <c r="BNT38" s="975"/>
      <c r="BNU38" s="975"/>
      <c r="BNV38" s="975"/>
      <c r="BNW38" s="975"/>
      <c r="BNX38" s="975"/>
      <c r="BNY38" s="975"/>
      <c r="BNZ38" s="975"/>
      <c r="BOA38" s="975"/>
      <c r="BOB38" s="975"/>
      <c r="BOC38" s="975"/>
      <c r="BOD38" s="975"/>
      <c r="BOE38" s="975"/>
      <c r="BOF38" s="975"/>
      <c r="BOG38" s="975"/>
      <c r="BOH38" s="975"/>
      <c r="BOI38" s="975"/>
      <c r="BOJ38" s="975"/>
      <c r="BOK38" s="975"/>
      <c r="BOL38" s="975"/>
      <c r="BOM38" s="975"/>
      <c r="BON38" s="975"/>
      <c r="BOO38" s="975"/>
      <c r="BOP38" s="975"/>
      <c r="BOQ38" s="975"/>
      <c r="BOR38" s="975"/>
      <c r="BOS38" s="975"/>
      <c r="BOT38" s="975"/>
      <c r="BOU38" s="975"/>
      <c r="BOV38" s="975"/>
      <c r="BOW38" s="975"/>
      <c r="BOX38" s="975"/>
      <c r="BOY38" s="975"/>
      <c r="BOZ38" s="975"/>
      <c r="BPA38" s="975"/>
      <c r="BPB38" s="975"/>
      <c r="BPC38" s="975"/>
      <c r="BPD38" s="975"/>
      <c r="BPE38" s="975"/>
      <c r="BPF38" s="975"/>
      <c r="BPG38" s="975"/>
      <c r="BPH38" s="975"/>
      <c r="BPI38" s="975"/>
      <c r="BPJ38" s="975"/>
      <c r="BPK38" s="975"/>
      <c r="BPL38" s="975"/>
      <c r="BPM38" s="975"/>
      <c r="BPN38" s="975"/>
      <c r="BPO38" s="975"/>
      <c r="BPP38" s="975"/>
      <c r="BPQ38" s="975"/>
      <c r="BPR38" s="975"/>
      <c r="BPS38" s="975"/>
      <c r="BPT38" s="975"/>
      <c r="BPU38" s="975"/>
      <c r="BPV38" s="975"/>
      <c r="BPW38" s="975"/>
      <c r="BPX38" s="975"/>
      <c r="BPY38" s="975"/>
      <c r="BPZ38" s="975"/>
      <c r="BQA38" s="975"/>
      <c r="BQB38" s="975"/>
      <c r="BQC38" s="975"/>
      <c r="BQD38" s="975"/>
      <c r="BQE38" s="975"/>
      <c r="BQF38" s="975"/>
      <c r="BQG38" s="975"/>
      <c r="BQH38" s="975"/>
      <c r="BQI38" s="975"/>
      <c r="BQJ38" s="975"/>
      <c r="BQK38" s="975"/>
      <c r="BQL38" s="975"/>
      <c r="BQM38" s="975"/>
      <c r="BQN38" s="975"/>
      <c r="BQO38" s="975"/>
      <c r="BQP38" s="975"/>
      <c r="BQQ38" s="975"/>
      <c r="BQR38" s="975"/>
      <c r="BQS38" s="975"/>
      <c r="BQT38" s="975"/>
      <c r="BQU38" s="975"/>
      <c r="BQV38" s="975"/>
      <c r="BQW38" s="975"/>
      <c r="BQX38" s="975"/>
      <c r="BQY38" s="975"/>
      <c r="BQZ38" s="975"/>
      <c r="BRA38" s="975"/>
      <c r="BRB38" s="975"/>
      <c r="BRC38" s="975"/>
      <c r="BRD38" s="975"/>
      <c r="BRE38" s="975"/>
      <c r="BRF38" s="975"/>
      <c r="BRG38" s="975"/>
      <c r="BRH38" s="975"/>
      <c r="BRI38" s="975"/>
      <c r="BRJ38" s="975"/>
      <c r="BRK38" s="975"/>
      <c r="BRL38" s="975"/>
      <c r="BRM38" s="975"/>
      <c r="BRN38" s="975"/>
      <c r="BRO38" s="975"/>
      <c r="BRP38" s="975"/>
      <c r="BRQ38" s="975"/>
      <c r="BRR38" s="975"/>
      <c r="BRS38" s="975"/>
      <c r="BRT38" s="975"/>
      <c r="BRU38" s="975"/>
      <c r="BRV38" s="975"/>
      <c r="BRW38" s="975"/>
      <c r="BRX38" s="975"/>
      <c r="BRY38" s="975"/>
      <c r="BRZ38" s="975"/>
      <c r="BSA38" s="975"/>
      <c r="BSB38" s="975"/>
      <c r="BSC38" s="975"/>
      <c r="BSD38" s="975"/>
      <c r="BSE38" s="975"/>
      <c r="BSF38" s="975"/>
      <c r="BSG38" s="975"/>
      <c r="BSH38" s="975"/>
      <c r="BSI38" s="975"/>
      <c r="BSJ38" s="975"/>
      <c r="BSK38" s="975"/>
      <c r="BSL38" s="975"/>
      <c r="BSM38" s="975"/>
      <c r="BSN38" s="975"/>
      <c r="BSO38" s="975"/>
      <c r="BSP38" s="975"/>
      <c r="BSQ38" s="975"/>
      <c r="BSR38" s="975"/>
      <c r="BSS38" s="975"/>
      <c r="BST38" s="975"/>
      <c r="BSU38" s="975"/>
      <c r="BSV38" s="975"/>
      <c r="BSW38" s="975"/>
      <c r="BSX38" s="975"/>
      <c r="BSY38" s="975"/>
      <c r="BSZ38" s="975"/>
      <c r="BTA38" s="975"/>
      <c r="BTB38" s="975"/>
      <c r="BTC38" s="975"/>
      <c r="BTD38" s="975"/>
      <c r="BTE38" s="975"/>
      <c r="BTF38" s="975"/>
      <c r="BTG38" s="975"/>
      <c r="BTH38" s="975"/>
      <c r="BTI38" s="975"/>
      <c r="BTJ38" s="975"/>
      <c r="BTK38" s="975"/>
      <c r="BTL38" s="975"/>
      <c r="BTM38" s="975"/>
      <c r="BTN38" s="975"/>
      <c r="BTO38" s="975"/>
      <c r="BTP38" s="975"/>
      <c r="BTQ38" s="975"/>
      <c r="BTR38" s="975"/>
      <c r="BTS38" s="975"/>
      <c r="BTT38" s="975"/>
      <c r="BTU38" s="975"/>
      <c r="BTV38" s="975"/>
      <c r="BTW38" s="975"/>
      <c r="BTX38" s="975"/>
      <c r="BTY38" s="975"/>
      <c r="BTZ38" s="975"/>
      <c r="BUA38" s="975"/>
      <c r="BUB38" s="975"/>
      <c r="BUC38" s="975"/>
      <c r="BUD38" s="975"/>
      <c r="BUE38" s="975"/>
      <c r="BUF38" s="975"/>
      <c r="BUG38" s="975"/>
      <c r="BUH38" s="975"/>
      <c r="BUI38" s="975"/>
      <c r="BUJ38" s="975"/>
      <c r="BUK38" s="975"/>
      <c r="BUL38" s="975"/>
      <c r="BUM38" s="975"/>
      <c r="BUN38" s="975"/>
      <c r="BUO38" s="975"/>
      <c r="BUP38" s="975"/>
      <c r="BUQ38" s="975"/>
      <c r="BUR38" s="975"/>
      <c r="BUS38" s="975"/>
      <c r="BUT38" s="975"/>
      <c r="BUU38" s="975"/>
      <c r="BUV38" s="975"/>
      <c r="BUW38" s="975"/>
      <c r="BUX38" s="975"/>
      <c r="BUY38" s="975"/>
      <c r="BUZ38" s="975"/>
      <c r="BVA38" s="975"/>
      <c r="BVB38" s="975"/>
      <c r="BVC38" s="975"/>
      <c r="BVD38" s="975"/>
      <c r="BVE38" s="975"/>
      <c r="BVF38" s="975"/>
      <c r="BVG38" s="975"/>
      <c r="BVH38" s="975"/>
      <c r="BVI38" s="975"/>
      <c r="BVJ38" s="975"/>
      <c r="BVK38" s="975"/>
      <c r="BVL38" s="975"/>
      <c r="BVM38" s="975"/>
      <c r="BVN38" s="975"/>
      <c r="BVO38" s="975"/>
      <c r="BVP38" s="975"/>
      <c r="BVQ38" s="975"/>
      <c r="BVR38" s="975"/>
      <c r="BVS38" s="975"/>
      <c r="BVT38" s="975"/>
      <c r="BVU38" s="975"/>
      <c r="BVV38" s="975"/>
      <c r="BVW38" s="975"/>
      <c r="BVX38" s="975"/>
      <c r="BVY38" s="975"/>
      <c r="BVZ38" s="975"/>
      <c r="BWA38" s="975"/>
      <c r="BWB38" s="975"/>
      <c r="BWC38" s="975"/>
      <c r="BWD38" s="975"/>
      <c r="BWE38" s="975"/>
      <c r="BWF38" s="975"/>
      <c r="BWG38" s="975"/>
      <c r="BWH38" s="975"/>
      <c r="BWI38" s="975"/>
      <c r="BWJ38" s="975"/>
      <c r="BWK38" s="975"/>
      <c r="BWL38" s="975"/>
      <c r="BWM38" s="975"/>
      <c r="BWN38" s="975"/>
      <c r="BWO38" s="975"/>
      <c r="BWP38" s="975"/>
      <c r="BWQ38" s="975"/>
      <c r="BWR38" s="975"/>
      <c r="BWS38" s="975"/>
      <c r="BWT38" s="975"/>
      <c r="BWU38" s="975"/>
      <c r="BWV38" s="975"/>
      <c r="BWW38" s="975"/>
      <c r="BWX38" s="975"/>
      <c r="BWY38" s="975"/>
      <c r="BWZ38" s="975"/>
      <c r="BXA38" s="975"/>
      <c r="BXB38" s="975"/>
      <c r="BXC38" s="975"/>
      <c r="BXD38" s="975"/>
      <c r="BXE38" s="975"/>
      <c r="BXF38" s="975"/>
      <c r="BXG38" s="975"/>
      <c r="BXH38" s="975"/>
      <c r="BXI38" s="975"/>
      <c r="BXJ38" s="975"/>
      <c r="BXK38" s="975"/>
      <c r="BXL38" s="975"/>
      <c r="BXM38" s="975"/>
      <c r="BXN38" s="975"/>
      <c r="BXO38" s="975"/>
      <c r="BXP38" s="975"/>
      <c r="BXQ38" s="975"/>
      <c r="BXR38" s="975"/>
      <c r="BXS38" s="975"/>
      <c r="BXT38" s="975"/>
      <c r="BXU38" s="975"/>
      <c r="BXV38" s="975"/>
      <c r="BXW38" s="975"/>
      <c r="BXX38" s="975"/>
      <c r="BXY38" s="975"/>
      <c r="BXZ38" s="975"/>
      <c r="BYA38" s="975"/>
      <c r="BYB38" s="975"/>
      <c r="BYC38" s="975"/>
      <c r="BYD38" s="975"/>
      <c r="BYE38" s="975"/>
      <c r="BYF38" s="975"/>
      <c r="BYG38" s="975"/>
      <c r="BYH38" s="975"/>
      <c r="BYI38" s="975"/>
      <c r="BYJ38" s="975"/>
      <c r="BYK38" s="975"/>
      <c r="BYL38" s="975"/>
      <c r="BYM38" s="975"/>
      <c r="BYN38" s="975"/>
      <c r="BYO38" s="975"/>
      <c r="BYP38" s="975"/>
      <c r="BYQ38" s="975"/>
      <c r="BYR38" s="975"/>
      <c r="BYS38" s="975"/>
      <c r="BYT38" s="975"/>
      <c r="BYU38" s="975"/>
      <c r="BYV38" s="975"/>
      <c r="BYW38" s="975"/>
      <c r="BYX38" s="975"/>
      <c r="BYY38" s="975"/>
      <c r="BYZ38" s="975"/>
      <c r="BZA38" s="975"/>
      <c r="BZB38" s="975"/>
      <c r="BZC38" s="975"/>
      <c r="BZD38" s="975"/>
      <c r="BZE38" s="975"/>
      <c r="BZF38" s="975"/>
      <c r="BZG38" s="975"/>
      <c r="BZH38" s="975"/>
      <c r="BZI38" s="975"/>
      <c r="BZJ38" s="975"/>
      <c r="BZK38" s="975"/>
      <c r="BZL38" s="975"/>
      <c r="BZM38" s="975"/>
      <c r="BZN38" s="975"/>
      <c r="BZO38" s="975"/>
      <c r="BZP38" s="975"/>
      <c r="BZQ38" s="975"/>
      <c r="BZR38" s="975"/>
      <c r="BZS38" s="975"/>
      <c r="BZT38" s="975"/>
      <c r="BZU38" s="975"/>
      <c r="BZV38" s="975"/>
      <c r="BZW38" s="975"/>
      <c r="BZX38" s="975"/>
      <c r="BZY38" s="975"/>
      <c r="BZZ38" s="975"/>
      <c r="CAA38" s="975"/>
      <c r="CAB38" s="975"/>
      <c r="CAC38" s="975"/>
      <c r="CAD38" s="975"/>
      <c r="CAE38" s="975"/>
      <c r="CAF38" s="975"/>
      <c r="CAG38" s="975"/>
      <c r="CAH38" s="975"/>
      <c r="CAI38" s="975"/>
      <c r="CAJ38" s="975"/>
      <c r="CAK38" s="975"/>
      <c r="CAL38" s="975"/>
      <c r="CAM38" s="975"/>
      <c r="CAN38" s="975"/>
      <c r="CAO38" s="975"/>
      <c r="CAP38" s="975"/>
      <c r="CAQ38" s="975"/>
      <c r="CAR38" s="975"/>
      <c r="CAS38" s="975"/>
      <c r="CAT38" s="975"/>
      <c r="CAU38" s="975"/>
      <c r="CAV38" s="975"/>
      <c r="CAW38" s="975"/>
      <c r="CAX38" s="975"/>
      <c r="CAY38" s="975"/>
      <c r="CAZ38" s="975"/>
      <c r="CBA38" s="975"/>
      <c r="CBB38" s="975"/>
      <c r="CBC38" s="975"/>
      <c r="CBD38" s="975"/>
      <c r="CBE38" s="975"/>
      <c r="CBF38" s="975"/>
      <c r="CBG38" s="975"/>
      <c r="CBH38" s="975"/>
      <c r="CBI38" s="975"/>
      <c r="CBJ38" s="975"/>
      <c r="CBK38" s="975"/>
      <c r="CBL38" s="975"/>
      <c r="CBM38" s="975"/>
      <c r="CBN38" s="975"/>
      <c r="CBO38" s="975"/>
      <c r="CBP38" s="975"/>
      <c r="CBQ38" s="975"/>
      <c r="CBR38" s="975"/>
      <c r="CBS38" s="975"/>
      <c r="CBT38" s="975"/>
      <c r="CBU38" s="975"/>
      <c r="CBV38" s="975"/>
      <c r="CBW38" s="975"/>
      <c r="CBX38" s="975"/>
      <c r="CBY38" s="975"/>
      <c r="CBZ38" s="975"/>
      <c r="CCA38" s="975"/>
      <c r="CCB38" s="975"/>
      <c r="CCC38" s="975"/>
      <c r="CCD38" s="975"/>
      <c r="CCE38" s="975"/>
      <c r="CCF38" s="975"/>
      <c r="CCG38" s="975"/>
      <c r="CCH38" s="975"/>
      <c r="CCI38" s="975"/>
      <c r="CCJ38" s="975"/>
      <c r="CCK38" s="975"/>
      <c r="CCL38" s="975"/>
      <c r="CCM38" s="975"/>
      <c r="CCN38" s="975"/>
      <c r="CCO38" s="975"/>
      <c r="CCP38" s="975"/>
      <c r="CCQ38" s="975"/>
      <c r="CCR38" s="975"/>
      <c r="CCS38" s="975"/>
      <c r="CCT38" s="975"/>
      <c r="CCU38" s="975"/>
      <c r="CCV38" s="975"/>
      <c r="CCW38" s="975"/>
      <c r="CCX38" s="975"/>
      <c r="CCY38" s="975"/>
      <c r="CCZ38" s="975"/>
      <c r="CDA38" s="975"/>
      <c r="CDB38" s="975"/>
      <c r="CDC38" s="975"/>
      <c r="CDD38" s="975"/>
      <c r="CDE38" s="975"/>
      <c r="CDF38" s="975"/>
      <c r="CDG38" s="975"/>
      <c r="CDH38" s="975"/>
      <c r="CDI38" s="975"/>
      <c r="CDJ38" s="975"/>
      <c r="CDK38" s="975"/>
      <c r="CDL38" s="975"/>
      <c r="CDM38" s="975"/>
      <c r="CDN38" s="975"/>
      <c r="CDO38" s="975"/>
      <c r="CDP38" s="975"/>
      <c r="CDQ38" s="975"/>
      <c r="CDR38" s="975"/>
      <c r="CDS38" s="975"/>
      <c r="CDT38" s="975"/>
      <c r="CDU38" s="975"/>
      <c r="CDV38" s="975"/>
      <c r="CDW38" s="975"/>
      <c r="CDX38" s="975"/>
      <c r="CDY38" s="975"/>
      <c r="CDZ38" s="975"/>
      <c r="CEA38" s="975"/>
      <c r="CEB38" s="975"/>
      <c r="CEC38" s="975"/>
      <c r="CED38" s="975"/>
      <c r="CEE38" s="975"/>
      <c r="CEF38" s="975"/>
      <c r="CEG38" s="975"/>
      <c r="CEH38" s="975"/>
      <c r="CEI38" s="975"/>
      <c r="CEJ38" s="975"/>
      <c r="CEK38" s="975"/>
      <c r="CEL38" s="975"/>
      <c r="CEM38" s="975"/>
      <c r="CEN38" s="975"/>
      <c r="CEO38" s="975"/>
      <c r="CEP38" s="975"/>
      <c r="CEQ38" s="975"/>
      <c r="CER38" s="975"/>
      <c r="CES38" s="975"/>
      <c r="CET38" s="975"/>
      <c r="CEU38" s="975"/>
      <c r="CEV38" s="975"/>
      <c r="CEW38" s="975"/>
      <c r="CEX38" s="975"/>
      <c r="CEY38" s="975"/>
      <c r="CEZ38" s="975"/>
      <c r="CFA38" s="975"/>
      <c r="CFB38" s="975"/>
      <c r="CFC38" s="975"/>
      <c r="CFD38" s="975"/>
      <c r="CFE38" s="975"/>
      <c r="CFF38" s="975"/>
      <c r="CFG38" s="975"/>
      <c r="CFH38" s="975"/>
      <c r="CFI38" s="975"/>
      <c r="CFJ38" s="975"/>
      <c r="CFK38" s="975"/>
      <c r="CFL38" s="975"/>
      <c r="CFM38" s="975"/>
      <c r="CFN38" s="975"/>
      <c r="CFO38" s="975"/>
      <c r="CFP38" s="975"/>
      <c r="CFQ38" s="975"/>
      <c r="CFR38" s="975"/>
      <c r="CFS38" s="975"/>
      <c r="CFT38" s="975"/>
      <c r="CFU38" s="975"/>
      <c r="CFV38" s="975"/>
      <c r="CFW38" s="975"/>
      <c r="CFX38" s="975"/>
      <c r="CFY38" s="975"/>
      <c r="CFZ38" s="975"/>
      <c r="CGA38" s="975"/>
      <c r="CGB38" s="975"/>
      <c r="CGC38" s="975"/>
      <c r="CGD38" s="975"/>
      <c r="CGE38" s="975"/>
      <c r="CGF38" s="975"/>
      <c r="CGG38" s="975"/>
      <c r="CGH38" s="975"/>
      <c r="CGI38" s="975"/>
      <c r="CGJ38" s="975"/>
      <c r="CGK38" s="975"/>
      <c r="CGL38" s="975"/>
      <c r="CGM38" s="975"/>
      <c r="CGN38" s="975"/>
      <c r="CGO38" s="975"/>
      <c r="CGP38" s="975"/>
      <c r="CGQ38" s="975"/>
      <c r="CGR38" s="975"/>
      <c r="CGS38" s="975"/>
      <c r="CGT38" s="975"/>
      <c r="CGU38" s="975"/>
      <c r="CGV38" s="975"/>
      <c r="CGW38" s="975"/>
      <c r="CGX38" s="975"/>
      <c r="CGY38" s="975"/>
      <c r="CGZ38" s="975"/>
      <c r="CHA38" s="975"/>
      <c r="CHB38" s="975"/>
      <c r="CHC38" s="975"/>
      <c r="CHD38" s="975"/>
      <c r="CHE38" s="975"/>
      <c r="CHF38" s="975"/>
      <c r="CHG38" s="975"/>
      <c r="CHH38" s="975"/>
      <c r="CHI38" s="975"/>
      <c r="CHJ38" s="975"/>
      <c r="CHK38" s="975"/>
      <c r="CHL38" s="975"/>
      <c r="CHM38" s="975"/>
      <c r="CHN38" s="975"/>
      <c r="CHO38" s="975"/>
      <c r="CHP38" s="975"/>
      <c r="CHQ38" s="975"/>
      <c r="CHR38" s="975"/>
      <c r="CHS38" s="975"/>
      <c r="CHT38" s="975"/>
      <c r="CHU38" s="975"/>
      <c r="CHV38" s="975"/>
      <c r="CHW38" s="975"/>
      <c r="CHX38" s="975"/>
      <c r="CHY38" s="975"/>
      <c r="CHZ38" s="975"/>
      <c r="CIA38" s="975"/>
      <c r="CIB38" s="975"/>
      <c r="CIC38" s="975"/>
      <c r="CID38" s="975"/>
      <c r="CIE38" s="975"/>
      <c r="CIF38" s="975"/>
      <c r="CIG38" s="975"/>
      <c r="CIH38" s="975"/>
      <c r="CII38" s="975"/>
      <c r="CIJ38" s="975"/>
      <c r="CIK38" s="975"/>
      <c r="CIL38" s="975"/>
      <c r="CIM38" s="975"/>
      <c r="CIN38" s="975"/>
      <c r="CIO38" s="975"/>
      <c r="CIP38" s="975"/>
      <c r="CIQ38" s="975"/>
      <c r="CIR38" s="975"/>
      <c r="CIS38" s="975"/>
      <c r="CIT38" s="975"/>
      <c r="CIU38" s="975"/>
      <c r="CIV38" s="975"/>
      <c r="CIW38" s="975"/>
      <c r="CIX38" s="975"/>
      <c r="CIY38" s="975"/>
      <c r="CIZ38" s="975"/>
      <c r="CJA38" s="975"/>
      <c r="CJB38" s="975"/>
      <c r="CJC38" s="975"/>
      <c r="CJD38" s="975"/>
      <c r="CJE38" s="975"/>
      <c r="CJF38" s="975"/>
      <c r="CJG38" s="975"/>
      <c r="CJH38" s="975"/>
      <c r="CJI38" s="975"/>
      <c r="CJJ38" s="975"/>
      <c r="CJK38" s="975"/>
      <c r="CJL38" s="975"/>
      <c r="CJM38" s="975"/>
      <c r="CJN38" s="975"/>
      <c r="CJO38" s="975"/>
      <c r="CJP38" s="975"/>
      <c r="CJQ38" s="975"/>
      <c r="CJR38" s="975"/>
      <c r="CJS38" s="975"/>
      <c r="CJT38" s="975"/>
      <c r="CJU38" s="975"/>
      <c r="CJV38" s="975"/>
      <c r="CJW38" s="975"/>
      <c r="CJX38" s="975"/>
      <c r="CJY38" s="975"/>
      <c r="CJZ38" s="975"/>
      <c r="CKA38" s="975"/>
      <c r="CKB38" s="975"/>
      <c r="CKC38" s="975"/>
      <c r="CKD38" s="975"/>
      <c r="CKE38" s="975"/>
      <c r="CKF38" s="975"/>
      <c r="CKG38" s="975"/>
      <c r="CKH38" s="975"/>
      <c r="CKI38" s="975"/>
      <c r="CKJ38" s="975"/>
      <c r="CKK38" s="975"/>
      <c r="CKL38" s="975"/>
      <c r="CKM38" s="975"/>
      <c r="CKN38" s="975"/>
      <c r="CKO38" s="975"/>
      <c r="CKP38" s="975"/>
      <c r="CKQ38" s="975"/>
      <c r="CKR38" s="975"/>
      <c r="CKS38" s="975"/>
      <c r="CKT38" s="975"/>
      <c r="CKU38" s="975"/>
      <c r="CKV38" s="975"/>
      <c r="CKW38" s="975"/>
      <c r="CKX38" s="975"/>
      <c r="CKY38" s="975"/>
      <c r="CKZ38" s="975"/>
      <c r="CLA38" s="975"/>
      <c r="CLB38" s="975"/>
      <c r="CLC38" s="975"/>
      <c r="CLD38" s="975"/>
      <c r="CLE38" s="975"/>
      <c r="CLF38" s="975"/>
      <c r="CLG38" s="975"/>
      <c r="CLH38" s="975"/>
      <c r="CLI38" s="975"/>
      <c r="CLJ38" s="975"/>
      <c r="CLK38" s="975"/>
      <c r="CLL38" s="975"/>
      <c r="CLM38" s="975"/>
      <c r="CLN38" s="975"/>
      <c r="CLO38" s="975"/>
      <c r="CLP38" s="975"/>
      <c r="CLQ38" s="975"/>
      <c r="CLR38" s="975"/>
      <c r="CLS38" s="975"/>
      <c r="CLT38" s="975"/>
      <c r="CLU38" s="975"/>
      <c r="CLV38" s="975"/>
      <c r="CLW38" s="975"/>
      <c r="CLX38" s="975"/>
      <c r="CLY38" s="975"/>
      <c r="CLZ38" s="975"/>
      <c r="CMA38" s="975"/>
      <c r="CMB38" s="975"/>
      <c r="CMC38" s="975"/>
      <c r="CMD38" s="975"/>
      <c r="CME38" s="975"/>
      <c r="CMF38" s="975"/>
      <c r="CMG38" s="975"/>
      <c r="CMH38" s="975"/>
      <c r="CMI38" s="975"/>
      <c r="CMJ38" s="975"/>
      <c r="CMK38" s="975"/>
      <c r="CML38" s="975"/>
      <c r="CMM38" s="975"/>
      <c r="CMN38" s="975"/>
      <c r="CMO38" s="975"/>
      <c r="CMP38" s="975"/>
      <c r="CMQ38" s="975"/>
      <c r="CMR38" s="975"/>
      <c r="CMS38" s="975"/>
      <c r="CMT38" s="975"/>
      <c r="CMU38" s="975"/>
      <c r="CMV38" s="975"/>
      <c r="CMW38" s="975"/>
      <c r="CMX38" s="975"/>
      <c r="CMY38" s="975"/>
      <c r="CMZ38" s="975"/>
      <c r="CNA38" s="975"/>
      <c r="CNB38" s="975"/>
      <c r="CNC38" s="975"/>
      <c r="CND38" s="975"/>
      <c r="CNE38" s="975"/>
      <c r="CNF38" s="975"/>
      <c r="CNG38" s="975"/>
      <c r="CNH38" s="975"/>
      <c r="CNI38" s="975"/>
      <c r="CNJ38" s="975"/>
      <c r="CNK38" s="975"/>
      <c r="CNL38" s="975"/>
      <c r="CNM38" s="975"/>
      <c r="CNN38" s="975"/>
      <c r="CNO38" s="975"/>
      <c r="CNP38" s="975"/>
      <c r="CNQ38" s="975"/>
      <c r="CNR38" s="975"/>
      <c r="CNS38" s="975"/>
      <c r="CNT38" s="975"/>
      <c r="CNU38" s="975"/>
      <c r="CNV38" s="975"/>
      <c r="CNW38" s="975"/>
      <c r="CNX38" s="975"/>
      <c r="CNY38" s="975"/>
      <c r="CNZ38" s="975"/>
      <c r="COA38" s="975"/>
      <c r="COB38" s="975"/>
      <c r="COC38" s="975"/>
      <c r="COD38" s="975"/>
      <c r="COE38" s="975"/>
      <c r="COF38" s="975"/>
      <c r="COG38" s="975"/>
      <c r="COH38" s="975"/>
      <c r="COI38" s="975"/>
      <c r="COJ38" s="975"/>
      <c r="COK38" s="975"/>
      <c r="COL38" s="975"/>
      <c r="COM38" s="975"/>
      <c r="CON38" s="975"/>
      <c r="COO38" s="975"/>
      <c r="COP38" s="975"/>
      <c r="COQ38" s="975"/>
      <c r="COR38" s="975"/>
      <c r="COS38" s="975"/>
      <c r="COT38" s="975"/>
      <c r="COU38" s="975"/>
      <c r="COV38" s="975"/>
      <c r="COW38" s="975"/>
      <c r="COX38" s="975"/>
      <c r="COY38" s="975"/>
      <c r="COZ38" s="975"/>
      <c r="CPA38" s="975"/>
      <c r="CPB38" s="975"/>
      <c r="CPC38" s="975"/>
      <c r="CPD38" s="975"/>
      <c r="CPE38" s="975"/>
      <c r="CPF38" s="975"/>
      <c r="CPG38" s="975"/>
      <c r="CPH38" s="975"/>
      <c r="CPI38" s="975"/>
      <c r="CPJ38" s="975"/>
      <c r="CPK38" s="975"/>
      <c r="CPL38" s="975"/>
      <c r="CPM38" s="975"/>
      <c r="CPN38" s="975"/>
      <c r="CPO38" s="975"/>
      <c r="CPP38" s="975"/>
      <c r="CPQ38" s="975"/>
      <c r="CPR38" s="975"/>
      <c r="CPS38" s="975"/>
      <c r="CPT38" s="975"/>
      <c r="CPU38" s="975"/>
      <c r="CPV38" s="975"/>
      <c r="CPW38" s="975"/>
      <c r="CPX38" s="975"/>
      <c r="CPY38" s="975"/>
      <c r="CPZ38" s="975"/>
      <c r="CQA38" s="975"/>
      <c r="CQB38" s="975"/>
      <c r="CQC38" s="975"/>
      <c r="CQD38" s="975"/>
      <c r="CQE38" s="975"/>
      <c r="CQF38" s="975"/>
      <c r="CQG38" s="975"/>
      <c r="CQH38" s="975"/>
      <c r="CQI38" s="975"/>
      <c r="CQJ38" s="975"/>
      <c r="CQK38" s="975"/>
      <c r="CQL38" s="975"/>
      <c r="CQM38" s="975"/>
      <c r="CQN38" s="975"/>
      <c r="CQO38" s="975"/>
      <c r="CQP38" s="975"/>
      <c r="CQQ38" s="975"/>
      <c r="CQR38" s="975"/>
      <c r="CQS38" s="975"/>
      <c r="CQT38" s="975"/>
      <c r="CQU38" s="975"/>
      <c r="CQV38" s="975"/>
      <c r="CQW38" s="975"/>
      <c r="CQX38" s="975"/>
      <c r="CQY38" s="975"/>
      <c r="CQZ38" s="975"/>
      <c r="CRA38" s="975"/>
      <c r="CRB38" s="975"/>
      <c r="CRC38" s="975"/>
      <c r="CRD38" s="975"/>
      <c r="CRE38" s="975"/>
      <c r="CRF38" s="975"/>
      <c r="CRG38" s="975"/>
      <c r="CRH38" s="975"/>
      <c r="CRI38" s="975"/>
      <c r="CRJ38" s="975"/>
      <c r="CRK38" s="975"/>
      <c r="CRL38" s="975"/>
      <c r="CRM38" s="975"/>
      <c r="CRN38" s="975"/>
      <c r="CRO38" s="975"/>
      <c r="CRP38" s="975"/>
      <c r="CRQ38" s="975"/>
      <c r="CRR38" s="975"/>
      <c r="CRS38" s="975"/>
      <c r="CRT38" s="975"/>
      <c r="CRU38" s="975"/>
      <c r="CRV38" s="975"/>
      <c r="CRW38" s="975"/>
      <c r="CRX38" s="975"/>
      <c r="CRY38" s="975"/>
      <c r="CRZ38" s="975"/>
      <c r="CSA38" s="975"/>
      <c r="CSB38" s="975"/>
      <c r="CSC38" s="975"/>
      <c r="CSD38" s="975"/>
      <c r="CSE38" s="975"/>
      <c r="CSF38" s="975"/>
      <c r="CSG38" s="975"/>
      <c r="CSH38" s="975"/>
      <c r="CSI38" s="975"/>
      <c r="CSJ38" s="975"/>
      <c r="CSK38" s="975"/>
      <c r="CSL38" s="975"/>
      <c r="CSM38" s="975"/>
      <c r="CSN38" s="975"/>
      <c r="CSO38" s="975"/>
      <c r="CSP38" s="975"/>
      <c r="CSQ38" s="975"/>
      <c r="CSR38" s="975"/>
      <c r="CSS38" s="975"/>
      <c r="CST38" s="975"/>
      <c r="CSU38" s="975"/>
      <c r="CSV38" s="975"/>
      <c r="CSW38" s="975"/>
      <c r="CSX38" s="975"/>
      <c r="CSY38" s="975"/>
      <c r="CSZ38" s="975"/>
      <c r="CTA38" s="975"/>
      <c r="CTB38" s="975"/>
      <c r="CTC38" s="975"/>
      <c r="CTD38" s="975"/>
      <c r="CTE38" s="975"/>
      <c r="CTF38" s="975"/>
      <c r="CTG38" s="975"/>
      <c r="CTH38" s="975"/>
      <c r="CTI38" s="975"/>
      <c r="CTJ38" s="975"/>
      <c r="CTK38" s="975"/>
      <c r="CTL38" s="975"/>
      <c r="CTM38" s="975"/>
      <c r="CTN38" s="975"/>
      <c r="CTO38" s="975"/>
      <c r="CTP38" s="975"/>
      <c r="CTQ38" s="975"/>
      <c r="CTR38" s="975"/>
      <c r="CTS38" s="975"/>
      <c r="CTT38" s="975"/>
      <c r="CTU38" s="975"/>
      <c r="CTV38" s="975"/>
      <c r="CTW38" s="975"/>
      <c r="CTX38" s="975"/>
      <c r="CTY38" s="975"/>
      <c r="CTZ38" s="975"/>
      <c r="CUA38" s="975"/>
      <c r="CUB38" s="975"/>
      <c r="CUC38" s="975"/>
      <c r="CUD38" s="975"/>
      <c r="CUE38" s="975"/>
      <c r="CUF38" s="975"/>
      <c r="CUG38" s="975"/>
      <c r="CUH38" s="975"/>
      <c r="CUI38" s="975"/>
      <c r="CUJ38" s="975"/>
      <c r="CUK38" s="975"/>
      <c r="CUL38" s="975"/>
      <c r="CUM38" s="975"/>
      <c r="CUN38" s="975"/>
      <c r="CUO38" s="975"/>
      <c r="CUP38" s="975"/>
      <c r="CUQ38" s="975"/>
      <c r="CUR38" s="975"/>
      <c r="CUS38" s="975"/>
      <c r="CUT38" s="975"/>
      <c r="CUU38" s="975"/>
      <c r="CUV38" s="975"/>
      <c r="CUW38" s="975"/>
      <c r="CUX38" s="975"/>
      <c r="CUY38" s="975"/>
      <c r="CUZ38" s="975"/>
      <c r="CVA38" s="975"/>
      <c r="CVB38" s="975"/>
      <c r="CVC38" s="975"/>
      <c r="CVD38" s="975"/>
      <c r="CVE38" s="975"/>
      <c r="CVF38" s="975"/>
      <c r="CVG38" s="975"/>
      <c r="CVH38" s="975"/>
      <c r="CVI38" s="975"/>
      <c r="CVJ38" s="975"/>
      <c r="CVK38" s="975"/>
      <c r="CVL38" s="975"/>
      <c r="CVM38" s="975"/>
      <c r="CVN38" s="975"/>
      <c r="CVO38" s="975"/>
      <c r="CVP38" s="975"/>
      <c r="CVQ38" s="975"/>
      <c r="CVR38" s="975"/>
      <c r="CVS38" s="975"/>
      <c r="CVT38" s="975"/>
      <c r="CVU38" s="975"/>
      <c r="CVV38" s="975"/>
      <c r="CVW38" s="975"/>
      <c r="CVX38" s="975"/>
      <c r="CVY38" s="975"/>
      <c r="CVZ38" s="975"/>
      <c r="CWA38" s="975"/>
      <c r="CWB38" s="975"/>
      <c r="CWC38" s="975"/>
      <c r="CWD38" s="975"/>
      <c r="CWE38" s="975"/>
      <c r="CWF38" s="975"/>
      <c r="CWG38" s="975"/>
      <c r="CWH38" s="975"/>
      <c r="CWI38" s="975"/>
      <c r="CWJ38" s="975"/>
      <c r="CWK38" s="975"/>
      <c r="CWL38" s="975"/>
      <c r="CWM38" s="975"/>
      <c r="CWN38" s="975"/>
      <c r="CWO38" s="975"/>
      <c r="CWP38" s="975"/>
      <c r="CWQ38" s="975"/>
      <c r="CWR38" s="975"/>
      <c r="CWS38" s="975"/>
      <c r="CWT38" s="975"/>
      <c r="CWU38" s="975"/>
      <c r="CWV38" s="975"/>
      <c r="CWW38" s="975"/>
      <c r="CWX38" s="975"/>
      <c r="CWY38" s="975"/>
      <c r="CWZ38" s="975"/>
      <c r="CXA38" s="975"/>
      <c r="CXB38" s="975"/>
      <c r="CXC38" s="975"/>
      <c r="CXD38" s="975"/>
      <c r="CXE38" s="975"/>
      <c r="CXF38" s="975"/>
      <c r="CXG38" s="975"/>
      <c r="CXH38" s="975"/>
      <c r="CXI38" s="975"/>
      <c r="CXJ38" s="975"/>
      <c r="CXK38" s="975"/>
      <c r="CXL38" s="975"/>
      <c r="CXM38" s="975"/>
      <c r="CXN38" s="975"/>
      <c r="CXO38" s="975"/>
      <c r="CXP38" s="975"/>
      <c r="CXQ38" s="975"/>
      <c r="CXR38" s="975"/>
      <c r="CXS38" s="975"/>
      <c r="CXT38" s="975"/>
      <c r="CXU38" s="975"/>
      <c r="CXV38" s="975"/>
      <c r="CXW38" s="975"/>
      <c r="CXX38" s="975"/>
      <c r="CXY38" s="975"/>
      <c r="CXZ38" s="975"/>
      <c r="CYA38" s="975"/>
      <c r="CYB38" s="975"/>
      <c r="CYC38" s="975"/>
      <c r="CYD38" s="975"/>
      <c r="CYE38" s="975"/>
      <c r="CYF38" s="975"/>
      <c r="CYG38" s="975"/>
      <c r="CYH38" s="975"/>
      <c r="CYI38" s="975"/>
      <c r="CYJ38" s="975"/>
      <c r="CYK38" s="975"/>
      <c r="CYL38" s="975"/>
      <c r="CYM38" s="975"/>
      <c r="CYN38" s="975"/>
      <c r="CYO38" s="975"/>
      <c r="CYP38" s="975"/>
      <c r="CYQ38" s="975"/>
      <c r="CYR38" s="975"/>
      <c r="CYS38" s="975"/>
      <c r="CYT38" s="975"/>
      <c r="CYU38" s="975"/>
      <c r="CYV38" s="975"/>
      <c r="CYW38" s="975"/>
      <c r="CYX38" s="975"/>
      <c r="CYY38" s="975"/>
      <c r="CYZ38" s="975"/>
      <c r="CZA38" s="975"/>
      <c r="CZB38" s="975"/>
      <c r="CZC38" s="975"/>
      <c r="CZD38" s="975"/>
      <c r="CZE38" s="975"/>
      <c r="CZF38" s="975"/>
      <c r="CZG38" s="975"/>
      <c r="CZH38" s="975"/>
      <c r="CZI38" s="975"/>
      <c r="CZJ38" s="975"/>
      <c r="CZK38" s="975"/>
      <c r="CZL38" s="975"/>
      <c r="CZM38" s="975"/>
      <c r="CZN38" s="975"/>
      <c r="CZO38" s="975"/>
      <c r="CZP38" s="975"/>
      <c r="CZQ38" s="975"/>
      <c r="CZR38" s="975"/>
      <c r="CZS38" s="975"/>
      <c r="CZT38" s="975"/>
      <c r="CZU38" s="975"/>
      <c r="CZV38" s="975"/>
      <c r="CZW38" s="975"/>
      <c r="CZX38" s="975"/>
      <c r="CZY38" s="975"/>
      <c r="CZZ38" s="975"/>
      <c r="DAA38" s="975"/>
      <c r="DAB38" s="975"/>
      <c r="DAC38" s="975"/>
      <c r="DAD38" s="975"/>
      <c r="DAE38" s="975"/>
      <c r="DAF38" s="975"/>
      <c r="DAG38" s="975"/>
      <c r="DAH38" s="975"/>
      <c r="DAI38" s="975"/>
      <c r="DAJ38" s="975"/>
      <c r="DAK38" s="975"/>
      <c r="DAL38" s="975"/>
      <c r="DAM38" s="975"/>
      <c r="DAN38" s="975"/>
      <c r="DAO38" s="975"/>
      <c r="DAP38" s="975"/>
      <c r="DAQ38" s="975"/>
      <c r="DAR38" s="975"/>
      <c r="DAS38" s="975"/>
      <c r="DAT38" s="975"/>
      <c r="DAU38" s="975"/>
      <c r="DAV38" s="975"/>
      <c r="DAW38" s="975"/>
      <c r="DAX38" s="975"/>
      <c r="DAY38" s="975"/>
      <c r="DAZ38" s="975"/>
      <c r="DBA38" s="975"/>
      <c r="DBB38" s="975"/>
      <c r="DBC38" s="975"/>
      <c r="DBD38" s="975"/>
      <c r="DBE38" s="975"/>
      <c r="DBF38" s="975"/>
      <c r="DBG38" s="975"/>
      <c r="DBH38" s="975"/>
      <c r="DBI38" s="975"/>
      <c r="DBJ38" s="975"/>
      <c r="DBK38" s="975"/>
      <c r="DBL38" s="975"/>
      <c r="DBM38" s="975"/>
      <c r="DBN38" s="975"/>
      <c r="DBO38" s="975"/>
      <c r="DBP38" s="975"/>
      <c r="DBQ38" s="975"/>
      <c r="DBR38" s="975"/>
      <c r="DBS38" s="975"/>
      <c r="DBT38" s="975"/>
      <c r="DBU38" s="975"/>
      <c r="DBV38" s="975"/>
      <c r="DBW38" s="975"/>
      <c r="DBX38" s="975"/>
      <c r="DBY38" s="975"/>
      <c r="DBZ38" s="975"/>
      <c r="DCA38" s="975"/>
      <c r="DCB38" s="975"/>
      <c r="DCC38" s="975"/>
      <c r="DCD38" s="975"/>
      <c r="DCE38" s="975"/>
      <c r="DCF38" s="975"/>
      <c r="DCG38" s="975"/>
      <c r="DCH38" s="975"/>
      <c r="DCI38" s="975"/>
      <c r="DCJ38" s="975"/>
      <c r="DCK38" s="975"/>
      <c r="DCL38" s="975"/>
      <c r="DCM38" s="975"/>
      <c r="DCN38" s="975"/>
      <c r="DCO38" s="975"/>
      <c r="DCP38" s="975"/>
      <c r="DCQ38" s="975"/>
      <c r="DCR38" s="975"/>
      <c r="DCS38" s="975"/>
      <c r="DCT38" s="975"/>
      <c r="DCU38" s="975"/>
      <c r="DCV38" s="975"/>
      <c r="DCW38" s="975"/>
      <c r="DCX38" s="975"/>
      <c r="DCY38" s="975"/>
      <c r="DCZ38" s="975"/>
      <c r="DDA38" s="975"/>
      <c r="DDB38" s="975"/>
      <c r="DDC38" s="975"/>
      <c r="DDD38" s="975"/>
      <c r="DDE38" s="975"/>
      <c r="DDF38" s="975"/>
      <c r="DDG38" s="975"/>
      <c r="DDH38" s="975"/>
      <c r="DDI38" s="975"/>
      <c r="DDJ38" s="975"/>
      <c r="DDK38" s="975"/>
      <c r="DDL38" s="975"/>
      <c r="DDM38" s="975"/>
      <c r="DDN38" s="975"/>
      <c r="DDO38" s="975"/>
      <c r="DDP38" s="975"/>
      <c r="DDQ38" s="975"/>
      <c r="DDR38" s="975"/>
      <c r="DDS38" s="975"/>
      <c r="DDT38" s="975"/>
      <c r="DDU38" s="975"/>
      <c r="DDV38" s="975"/>
      <c r="DDW38" s="975"/>
      <c r="DDX38" s="975"/>
      <c r="DDY38" s="975"/>
      <c r="DDZ38" s="975"/>
      <c r="DEA38" s="975"/>
      <c r="DEB38" s="975"/>
      <c r="DEC38" s="975"/>
      <c r="DED38" s="975"/>
      <c r="DEE38" s="975"/>
      <c r="DEF38" s="975"/>
      <c r="DEG38" s="975"/>
      <c r="DEH38" s="975"/>
      <c r="DEI38" s="975"/>
      <c r="DEJ38" s="975"/>
      <c r="DEK38" s="975"/>
      <c r="DEL38" s="975"/>
      <c r="DEM38" s="975"/>
      <c r="DEN38" s="975"/>
      <c r="DEO38" s="975"/>
      <c r="DEP38" s="975"/>
      <c r="DEQ38" s="975"/>
      <c r="DER38" s="975"/>
      <c r="DES38" s="975"/>
      <c r="DET38" s="975"/>
      <c r="DEU38" s="975"/>
      <c r="DEV38" s="975"/>
      <c r="DEW38" s="975"/>
      <c r="DEX38" s="975"/>
      <c r="DEY38" s="975"/>
      <c r="DEZ38" s="975"/>
      <c r="DFA38" s="975"/>
      <c r="DFB38" s="975"/>
      <c r="DFC38" s="975"/>
      <c r="DFD38" s="975"/>
      <c r="DFE38" s="975"/>
      <c r="DFF38" s="975"/>
      <c r="DFG38" s="975"/>
      <c r="DFH38" s="975"/>
      <c r="DFI38" s="975"/>
      <c r="DFJ38" s="975"/>
      <c r="DFK38" s="975"/>
      <c r="DFL38" s="975"/>
      <c r="DFM38" s="975"/>
      <c r="DFN38" s="975"/>
      <c r="DFO38" s="975"/>
      <c r="DFP38" s="975"/>
      <c r="DFQ38" s="975"/>
      <c r="DFR38" s="975"/>
      <c r="DFS38" s="975"/>
      <c r="DFT38" s="975"/>
      <c r="DFU38" s="975"/>
      <c r="DFV38" s="975"/>
      <c r="DFW38" s="975"/>
      <c r="DFX38" s="975"/>
      <c r="DFY38" s="975"/>
      <c r="DFZ38" s="975"/>
      <c r="DGA38" s="975"/>
      <c r="DGB38" s="975"/>
      <c r="DGC38" s="975"/>
      <c r="DGD38" s="975"/>
      <c r="DGE38" s="975"/>
      <c r="DGF38" s="975"/>
      <c r="DGG38" s="975"/>
      <c r="DGH38" s="975"/>
      <c r="DGI38" s="975"/>
      <c r="DGJ38" s="975"/>
      <c r="DGK38" s="975"/>
      <c r="DGL38" s="975"/>
      <c r="DGM38" s="975"/>
      <c r="DGN38" s="975"/>
      <c r="DGO38" s="975"/>
      <c r="DGP38" s="975"/>
      <c r="DGQ38" s="975"/>
      <c r="DGR38" s="975"/>
      <c r="DGS38" s="975"/>
      <c r="DGT38" s="975"/>
      <c r="DGU38" s="975"/>
      <c r="DGV38" s="975"/>
      <c r="DGW38" s="975"/>
      <c r="DGX38" s="975"/>
      <c r="DGY38" s="975"/>
      <c r="DGZ38" s="975"/>
      <c r="DHA38" s="975"/>
      <c r="DHB38" s="975"/>
      <c r="DHC38" s="975"/>
      <c r="DHD38" s="975"/>
      <c r="DHE38" s="975"/>
      <c r="DHF38" s="975"/>
      <c r="DHG38" s="975"/>
      <c r="DHH38" s="975"/>
      <c r="DHI38" s="975"/>
      <c r="DHJ38" s="975"/>
      <c r="DHK38" s="975"/>
      <c r="DHL38" s="975"/>
      <c r="DHM38" s="975"/>
      <c r="DHN38" s="975"/>
      <c r="DHO38" s="975"/>
      <c r="DHP38" s="975"/>
      <c r="DHQ38" s="975"/>
      <c r="DHR38" s="975"/>
      <c r="DHS38" s="975"/>
      <c r="DHT38" s="975"/>
      <c r="DHU38" s="975"/>
      <c r="DHV38" s="975"/>
      <c r="DHW38" s="975"/>
      <c r="DHX38" s="975"/>
      <c r="DHY38" s="975"/>
      <c r="DHZ38" s="975"/>
      <c r="DIA38" s="975"/>
      <c r="DIB38" s="975"/>
      <c r="DIC38" s="975"/>
      <c r="DID38" s="975"/>
      <c r="DIE38" s="975"/>
      <c r="DIF38" s="975"/>
      <c r="DIG38" s="975"/>
      <c r="DIH38" s="975"/>
      <c r="DII38" s="975"/>
      <c r="DIJ38" s="975"/>
      <c r="DIK38" s="975"/>
      <c r="DIL38" s="975"/>
      <c r="DIM38" s="975"/>
      <c r="DIN38" s="975"/>
      <c r="DIO38" s="975"/>
      <c r="DIP38" s="975"/>
      <c r="DIQ38" s="975"/>
      <c r="DIR38" s="975"/>
      <c r="DIS38" s="975"/>
      <c r="DIT38" s="975"/>
      <c r="DIU38" s="975"/>
      <c r="DIV38" s="975"/>
      <c r="DIW38" s="975"/>
      <c r="DIX38" s="975"/>
      <c r="DIY38" s="975"/>
      <c r="DIZ38" s="975"/>
      <c r="DJA38" s="975"/>
      <c r="DJB38" s="975"/>
      <c r="DJC38" s="975"/>
      <c r="DJD38" s="975"/>
      <c r="DJE38" s="975"/>
      <c r="DJF38" s="975"/>
      <c r="DJG38" s="975"/>
      <c r="DJH38" s="975"/>
      <c r="DJI38" s="975"/>
      <c r="DJJ38" s="975"/>
      <c r="DJK38" s="975"/>
      <c r="DJL38" s="975"/>
      <c r="DJM38" s="975"/>
      <c r="DJN38" s="975"/>
      <c r="DJO38" s="975"/>
      <c r="DJP38" s="975"/>
      <c r="DJQ38" s="975"/>
      <c r="DJR38" s="975"/>
      <c r="DJS38" s="975"/>
      <c r="DJT38" s="975"/>
      <c r="DJU38" s="975"/>
      <c r="DJV38" s="975"/>
      <c r="DJW38" s="975"/>
      <c r="DJX38" s="975"/>
      <c r="DJY38" s="975"/>
      <c r="DJZ38" s="975"/>
      <c r="DKA38" s="975"/>
      <c r="DKB38" s="975"/>
      <c r="DKC38" s="975"/>
      <c r="DKD38" s="975"/>
      <c r="DKE38" s="975"/>
      <c r="DKF38" s="975"/>
      <c r="DKG38" s="975"/>
      <c r="DKH38" s="975"/>
      <c r="DKI38" s="975"/>
      <c r="DKJ38" s="975"/>
      <c r="DKK38" s="975"/>
      <c r="DKL38" s="975"/>
      <c r="DKM38" s="975"/>
      <c r="DKN38" s="975"/>
      <c r="DKO38" s="975"/>
      <c r="DKP38" s="975"/>
      <c r="DKQ38" s="975"/>
      <c r="DKR38" s="975"/>
      <c r="DKS38" s="975"/>
      <c r="DKT38" s="975"/>
      <c r="DKU38" s="975"/>
      <c r="DKV38" s="975"/>
      <c r="DKW38" s="975"/>
      <c r="DKX38" s="975"/>
      <c r="DKY38" s="975"/>
      <c r="DKZ38" s="975"/>
      <c r="DLA38" s="975"/>
      <c r="DLB38" s="975"/>
      <c r="DLC38" s="975"/>
      <c r="DLD38" s="975"/>
      <c r="DLE38" s="975"/>
      <c r="DLF38" s="975"/>
      <c r="DLG38" s="975"/>
      <c r="DLH38" s="975"/>
      <c r="DLI38" s="975"/>
      <c r="DLJ38" s="975"/>
      <c r="DLK38" s="975"/>
      <c r="DLL38" s="975"/>
      <c r="DLM38" s="975"/>
      <c r="DLN38" s="975"/>
      <c r="DLO38" s="975"/>
      <c r="DLP38" s="975"/>
      <c r="DLQ38" s="975"/>
      <c r="DLR38" s="975"/>
      <c r="DLS38" s="975"/>
      <c r="DLT38" s="975"/>
      <c r="DLU38" s="975"/>
      <c r="DLV38" s="975"/>
      <c r="DLW38" s="975"/>
      <c r="DLX38" s="975"/>
      <c r="DLY38" s="975"/>
      <c r="DLZ38" s="975"/>
      <c r="DMA38" s="975"/>
      <c r="DMB38" s="975"/>
      <c r="DMC38" s="975"/>
      <c r="DMD38" s="975"/>
      <c r="DME38" s="975"/>
      <c r="DMF38" s="975"/>
      <c r="DMG38" s="975"/>
      <c r="DMH38" s="975"/>
      <c r="DMI38" s="975"/>
      <c r="DMJ38" s="975"/>
      <c r="DMK38" s="975"/>
      <c r="DML38" s="975"/>
      <c r="DMM38" s="975"/>
      <c r="DMN38" s="975"/>
      <c r="DMO38" s="975"/>
      <c r="DMP38" s="975"/>
      <c r="DMQ38" s="975"/>
      <c r="DMR38" s="975"/>
      <c r="DMS38" s="975"/>
      <c r="DMT38" s="975"/>
      <c r="DMU38" s="975"/>
      <c r="DMV38" s="975"/>
      <c r="DMW38" s="975"/>
      <c r="DMX38" s="975"/>
      <c r="DMY38" s="975"/>
      <c r="DMZ38" s="975"/>
      <c r="DNA38" s="975"/>
      <c r="DNB38" s="975"/>
      <c r="DNC38" s="975"/>
      <c r="DND38" s="975"/>
      <c r="DNE38" s="975"/>
      <c r="DNF38" s="975"/>
      <c r="DNG38" s="975"/>
      <c r="DNH38" s="975"/>
      <c r="DNI38" s="975"/>
      <c r="DNJ38" s="975"/>
      <c r="DNK38" s="975"/>
      <c r="DNL38" s="975"/>
      <c r="DNM38" s="975"/>
      <c r="DNN38" s="975"/>
      <c r="DNO38" s="975"/>
      <c r="DNP38" s="975"/>
      <c r="DNQ38" s="975"/>
      <c r="DNR38" s="975"/>
      <c r="DNS38" s="975"/>
      <c r="DNT38" s="975"/>
      <c r="DNU38" s="975"/>
      <c r="DNV38" s="975"/>
      <c r="DNW38" s="975"/>
      <c r="DNX38" s="975"/>
      <c r="DNY38" s="975"/>
      <c r="DNZ38" s="975"/>
      <c r="DOA38" s="975"/>
      <c r="DOB38" s="975"/>
      <c r="DOC38" s="975"/>
      <c r="DOD38" s="975"/>
      <c r="DOE38" s="975"/>
      <c r="DOF38" s="975"/>
      <c r="DOG38" s="975"/>
      <c r="DOH38" s="975"/>
      <c r="DOI38" s="975"/>
      <c r="DOJ38" s="975"/>
      <c r="DOK38" s="975"/>
      <c r="DOL38" s="975"/>
      <c r="DOM38" s="975"/>
      <c r="DON38" s="975"/>
      <c r="DOO38" s="975"/>
      <c r="DOP38" s="975"/>
      <c r="DOQ38" s="975"/>
      <c r="DOR38" s="975"/>
      <c r="DOS38" s="975"/>
      <c r="DOT38" s="975"/>
      <c r="DOU38" s="975"/>
      <c r="DOV38" s="975"/>
      <c r="DOW38" s="975"/>
      <c r="DOX38" s="975"/>
      <c r="DOY38" s="975"/>
      <c r="DOZ38" s="975"/>
      <c r="DPA38" s="975"/>
      <c r="DPB38" s="975"/>
      <c r="DPC38" s="975"/>
      <c r="DPD38" s="975"/>
      <c r="DPE38" s="975"/>
      <c r="DPF38" s="975"/>
      <c r="DPG38" s="975"/>
      <c r="DPH38" s="975"/>
      <c r="DPI38" s="975"/>
      <c r="DPJ38" s="975"/>
      <c r="DPK38" s="975"/>
      <c r="DPL38" s="975"/>
      <c r="DPM38" s="975"/>
      <c r="DPN38" s="975"/>
      <c r="DPO38" s="975"/>
      <c r="DPP38" s="975"/>
      <c r="DPQ38" s="975"/>
      <c r="DPR38" s="975"/>
      <c r="DPS38" s="975"/>
      <c r="DPT38" s="975"/>
      <c r="DPU38" s="975"/>
      <c r="DPV38" s="975"/>
      <c r="DPW38" s="975"/>
      <c r="DPX38" s="975"/>
      <c r="DPY38" s="975"/>
      <c r="DPZ38" s="975"/>
      <c r="DQA38" s="975"/>
      <c r="DQB38" s="975"/>
      <c r="DQC38" s="975"/>
      <c r="DQD38" s="975"/>
      <c r="DQE38" s="975"/>
      <c r="DQF38" s="975"/>
      <c r="DQG38" s="975"/>
      <c r="DQH38" s="975"/>
      <c r="DQI38" s="975"/>
      <c r="DQJ38" s="975"/>
      <c r="DQK38" s="975"/>
      <c r="DQL38" s="975"/>
      <c r="DQM38" s="975"/>
      <c r="DQN38" s="975"/>
      <c r="DQO38" s="975"/>
      <c r="DQP38" s="975"/>
      <c r="DQQ38" s="975"/>
      <c r="DQR38" s="975"/>
      <c r="DQS38" s="975"/>
      <c r="DQT38" s="975"/>
      <c r="DQU38" s="975"/>
      <c r="DQV38" s="975"/>
      <c r="DQW38" s="975"/>
      <c r="DQX38" s="975"/>
      <c r="DQY38" s="975"/>
      <c r="DQZ38" s="975"/>
      <c r="DRA38" s="975"/>
      <c r="DRB38" s="975"/>
      <c r="DRC38" s="975"/>
      <c r="DRD38" s="975"/>
      <c r="DRE38" s="975"/>
      <c r="DRF38" s="975"/>
      <c r="DRG38" s="975"/>
      <c r="DRH38" s="975"/>
      <c r="DRI38" s="975"/>
      <c r="DRJ38" s="975"/>
      <c r="DRK38" s="975"/>
      <c r="DRL38" s="975"/>
      <c r="DRM38" s="975"/>
      <c r="DRN38" s="975"/>
      <c r="DRO38" s="975"/>
      <c r="DRP38" s="975"/>
      <c r="DRQ38" s="975"/>
      <c r="DRR38" s="975"/>
      <c r="DRS38" s="975"/>
      <c r="DRT38" s="975"/>
      <c r="DRU38" s="975"/>
      <c r="DRV38" s="975"/>
      <c r="DRW38" s="975"/>
      <c r="DRX38" s="975"/>
      <c r="DRY38" s="975"/>
      <c r="DRZ38" s="975"/>
      <c r="DSA38" s="975"/>
      <c r="DSB38" s="975"/>
      <c r="DSC38" s="975"/>
      <c r="DSD38" s="975"/>
      <c r="DSE38" s="975"/>
      <c r="DSF38" s="975"/>
      <c r="DSG38" s="975"/>
      <c r="DSH38" s="975"/>
      <c r="DSI38" s="975"/>
      <c r="DSJ38" s="975"/>
      <c r="DSK38" s="975"/>
      <c r="DSL38" s="975"/>
      <c r="DSM38" s="975"/>
      <c r="DSN38" s="975"/>
      <c r="DSO38" s="975"/>
      <c r="DSP38" s="975"/>
      <c r="DSQ38" s="975"/>
      <c r="DSR38" s="975"/>
      <c r="DSS38" s="975"/>
      <c r="DST38" s="975"/>
      <c r="DSU38" s="975"/>
      <c r="DSV38" s="975"/>
      <c r="DSW38" s="975"/>
      <c r="DSX38" s="975"/>
      <c r="DSY38" s="975"/>
      <c r="DSZ38" s="975"/>
      <c r="DTA38" s="975"/>
      <c r="DTB38" s="975"/>
      <c r="DTC38" s="975"/>
      <c r="DTD38" s="975"/>
      <c r="DTE38" s="975"/>
      <c r="DTF38" s="975"/>
      <c r="DTG38" s="975"/>
      <c r="DTH38" s="975"/>
      <c r="DTI38" s="975"/>
      <c r="DTJ38" s="975"/>
      <c r="DTK38" s="975"/>
      <c r="DTL38" s="975"/>
      <c r="DTM38" s="975"/>
      <c r="DTN38" s="975"/>
      <c r="DTO38" s="975"/>
      <c r="DTP38" s="975"/>
      <c r="DTQ38" s="975"/>
      <c r="DTR38" s="975"/>
      <c r="DTS38" s="975"/>
      <c r="DTT38" s="975"/>
      <c r="DTU38" s="975"/>
      <c r="DTV38" s="975"/>
      <c r="DTW38" s="975"/>
      <c r="DTX38" s="975"/>
      <c r="DTY38" s="975"/>
      <c r="DTZ38" s="975"/>
      <c r="DUA38" s="975"/>
      <c r="DUB38" s="975"/>
      <c r="DUC38" s="975"/>
      <c r="DUD38" s="975"/>
      <c r="DUE38" s="975"/>
      <c r="DUF38" s="975"/>
      <c r="DUG38" s="975"/>
      <c r="DUH38" s="975"/>
      <c r="DUI38" s="975"/>
      <c r="DUJ38" s="975"/>
      <c r="DUK38" s="975"/>
      <c r="DUL38" s="975"/>
      <c r="DUM38" s="975"/>
      <c r="DUN38" s="975"/>
      <c r="DUO38" s="975"/>
      <c r="DUP38" s="975"/>
      <c r="DUQ38" s="975"/>
      <c r="DUR38" s="975"/>
      <c r="DUS38" s="975"/>
      <c r="DUT38" s="975"/>
      <c r="DUU38" s="975"/>
      <c r="DUV38" s="975"/>
      <c r="DUW38" s="975"/>
      <c r="DUX38" s="975"/>
      <c r="DUY38" s="975"/>
      <c r="DUZ38" s="975"/>
      <c r="DVA38" s="975"/>
      <c r="DVB38" s="975"/>
      <c r="DVC38" s="975"/>
      <c r="DVD38" s="975"/>
      <c r="DVE38" s="975"/>
      <c r="DVF38" s="975"/>
      <c r="DVG38" s="975"/>
      <c r="DVH38" s="975"/>
      <c r="DVI38" s="975"/>
      <c r="DVJ38" s="975"/>
      <c r="DVK38" s="975"/>
      <c r="DVL38" s="975"/>
      <c r="DVM38" s="975"/>
      <c r="DVN38" s="975"/>
      <c r="DVO38" s="975"/>
      <c r="DVP38" s="975"/>
      <c r="DVQ38" s="975"/>
      <c r="DVR38" s="975"/>
      <c r="DVS38" s="975"/>
      <c r="DVT38" s="975"/>
      <c r="DVU38" s="975"/>
      <c r="DVV38" s="975"/>
      <c r="DVW38" s="975"/>
      <c r="DVX38" s="975"/>
      <c r="DVY38" s="975"/>
      <c r="DVZ38" s="975"/>
      <c r="DWA38" s="975"/>
      <c r="DWB38" s="975"/>
      <c r="DWC38" s="975"/>
      <c r="DWD38" s="975"/>
      <c r="DWE38" s="975"/>
      <c r="DWF38" s="975"/>
      <c r="DWG38" s="975"/>
      <c r="DWH38" s="975"/>
      <c r="DWI38" s="975"/>
      <c r="DWJ38" s="975"/>
      <c r="DWK38" s="975"/>
      <c r="DWL38" s="975"/>
      <c r="DWM38" s="975"/>
      <c r="DWN38" s="975"/>
      <c r="DWO38" s="975"/>
      <c r="DWP38" s="975"/>
      <c r="DWQ38" s="975"/>
      <c r="DWR38" s="975"/>
      <c r="DWS38" s="975"/>
      <c r="DWT38" s="975"/>
      <c r="DWU38" s="975"/>
      <c r="DWV38" s="975"/>
      <c r="DWW38" s="975"/>
      <c r="DWX38" s="975"/>
      <c r="DWY38" s="975"/>
      <c r="DWZ38" s="975"/>
      <c r="DXA38" s="975"/>
      <c r="DXB38" s="975"/>
      <c r="DXC38" s="975"/>
      <c r="DXD38" s="975"/>
      <c r="DXE38" s="975"/>
      <c r="DXF38" s="975"/>
      <c r="DXG38" s="975"/>
      <c r="DXH38" s="975"/>
      <c r="DXI38" s="975"/>
      <c r="DXJ38" s="975"/>
      <c r="DXK38" s="975"/>
      <c r="DXL38" s="975"/>
      <c r="DXM38" s="975"/>
      <c r="DXN38" s="975"/>
      <c r="DXO38" s="975"/>
      <c r="DXP38" s="975"/>
      <c r="DXQ38" s="975"/>
      <c r="DXR38" s="975"/>
      <c r="DXS38" s="975"/>
      <c r="DXT38" s="975"/>
      <c r="DXU38" s="975"/>
      <c r="DXV38" s="975"/>
      <c r="DXW38" s="975"/>
      <c r="DXX38" s="975"/>
      <c r="DXY38" s="975"/>
      <c r="DXZ38" s="975"/>
      <c r="DYA38" s="975"/>
      <c r="DYB38" s="975"/>
      <c r="DYC38" s="975"/>
      <c r="DYD38" s="975"/>
      <c r="DYE38" s="975"/>
      <c r="DYF38" s="975"/>
      <c r="DYG38" s="975"/>
      <c r="DYH38" s="975"/>
      <c r="DYI38" s="975"/>
      <c r="DYJ38" s="975"/>
      <c r="DYK38" s="975"/>
      <c r="DYL38" s="975"/>
      <c r="DYM38" s="975"/>
      <c r="DYN38" s="975"/>
      <c r="DYO38" s="975"/>
      <c r="DYP38" s="975"/>
      <c r="DYQ38" s="975"/>
      <c r="DYR38" s="975"/>
      <c r="DYS38" s="975"/>
      <c r="DYT38" s="975"/>
      <c r="DYU38" s="975"/>
      <c r="DYV38" s="975"/>
      <c r="DYW38" s="975"/>
      <c r="DYX38" s="975"/>
      <c r="DYY38" s="975"/>
      <c r="DYZ38" s="975"/>
      <c r="DZA38" s="975"/>
      <c r="DZB38" s="975"/>
      <c r="DZC38" s="975"/>
      <c r="DZD38" s="975"/>
      <c r="DZE38" s="975"/>
      <c r="DZF38" s="975"/>
      <c r="DZG38" s="975"/>
      <c r="DZH38" s="975"/>
      <c r="DZI38" s="975"/>
      <c r="DZJ38" s="975"/>
      <c r="DZK38" s="975"/>
      <c r="DZL38" s="975"/>
      <c r="DZM38" s="975"/>
      <c r="DZN38" s="975"/>
      <c r="DZO38" s="975"/>
      <c r="DZP38" s="975"/>
      <c r="DZQ38" s="975"/>
      <c r="DZR38" s="975"/>
      <c r="DZS38" s="975"/>
      <c r="DZT38" s="975"/>
      <c r="DZU38" s="975"/>
      <c r="DZV38" s="975"/>
      <c r="DZW38" s="975"/>
      <c r="DZX38" s="975"/>
      <c r="DZY38" s="975"/>
      <c r="DZZ38" s="975"/>
      <c r="EAA38" s="975"/>
      <c r="EAB38" s="975"/>
      <c r="EAC38" s="975"/>
      <c r="EAD38" s="975"/>
      <c r="EAE38" s="975"/>
      <c r="EAF38" s="975"/>
      <c r="EAG38" s="975"/>
      <c r="EAH38" s="975"/>
      <c r="EAI38" s="975"/>
      <c r="EAJ38" s="975"/>
      <c r="EAK38" s="975"/>
      <c r="EAL38" s="975"/>
      <c r="EAM38" s="975"/>
      <c r="EAN38" s="975"/>
      <c r="EAO38" s="975"/>
      <c r="EAP38" s="975"/>
      <c r="EAQ38" s="975"/>
      <c r="EAR38" s="975"/>
      <c r="EAS38" s="975"/>
      <c r="EAT38" s="975"/>
      <c r="EAU38" s="975"/>
      <c r="EAV38" s="975"/>
      <c r="EAW38" s="975"/>
      <c r="EAX38" s="975"/>
      <c r="EAY38" s="975"/>
      <c r="EAZ38" s="975"/>
      <c r="EBA38" s="975"/>
      <c r="EBB38" s="975"/>
      <c r="EBC38" s="975"/>
      <c r="EBD38" s="975"/>
      <c r="EBE38" s="975"/>
      <c r="EBF38" s="975"/>
      <c r="EBG38" s="975"/>
      <c r="EBH38" s="975"/>
      <c r="EBI38" s="975"/>
      <c r="EBJ38" s="975"/>
      <c r="EBK38" s="975"/>
      <c r="EBL38" s="975"/>
      <c r="EBM38" s="975"/>
      <c r="EBN38" s="975"/>
      <c r="EBO38" s="975"/>
      <c r="EBP38" s="975"/>
      <c r="EBQ38" s="975"/>
      <c r="EBR38" s="975"/>
      <c r="EBS38" s="975"/>
      <c r="EBT38" s="975"/>
      <c r="EBU38" s="975"/>
      <c r="EBV38" s="975"/>
      <c r="EBW38" s="975"/>
      <c r="EBX38" s="975"/>
      <c r="EBY38" s="975"/>
      <c r="EBZ38" s="975"/>
      <c r="ECA38" s="975"/>
      <c r="ECB38" s="975"/>
      <c r="ECC38" s="975"/>
      <c r="ECD38" s="975"/>
      <c r="ECE38" s="975"/>
      <c r="ECF38" s="975"/>
      <c r="ECG38" s="975"/>
      <c r="ECH38" s="975"/>
      <c r="ECI38" s="975"/>
      <c r="ECJ38" s="975"/>
      <c r="ECK38" s="975"/>
      <c r="ECL38" s="975"/>
      <c r="ECM38" s="975"/>
      <c r="ECN38" s="975"/>
      <c r="ECO38" s="975"/>
      <c r="ECP38" s="975"/>
      <c r="ECQ38" s="975"/>
      <c r="ECR38" s="975"/>
      <c r="ECS38" s="975"/>
      <c r="ECT38" s="975"/>
      <c r="ECU38" s="975"/>
      <c r="ECV38" s="975"/>
      <c r="ECW38" s="975"/>
      <c r="ECX38" s="975"/>
      <c r="ECY38" s="975"/>
      <c r="ECZ38" s="975"/>
      <c r="EDA38" s="975"/>
      <c r="EDB38" s="975"/>
      <c r="EDC38" s="975"/>
      <c r="EDD38" s="975"/>
      <c r="EDE38" s="975"/>
      <c r="EDF38" s="975"/>
      <c r="EDG38" s="975"/>
      <c r="EDH38" s="975"/>
      <c r="EDI38" s="975"/>
      <c r="EDJ38" s="975"/>
      <c r="EDK38" s="975"/>
      <c r="EDL38" s="975"/>
      <c r="EDM38" s="975"/>
      <c r="EDN38" s="975"/>
      <c r="EDO38" s="975"/>
      <c r="EDP38" s="975"/>
      <c r="EDQ38" s="975"/>
      <c r="EDR38" s="975"/>
      <c r="EDS38" s="975"/>
      <c r="EDT38" s="975"/>
      <c r="EDU38" s="975"/>
      <c r="EDV38" s="975"/>
      <c r="EDW38" s="975"/>
      <c r="EDX38" s="975"/>
      <c r="EDY38" s="975"/>
      <c r="EDZ38" s="975"/>
      <c r="EEA38" s="975"/>
      <c r="EEB38" s="975"/>
      <c r="EEC38" s="975"/>
      <c r="EED38" s="975"/>
      <c r="EEE38" s="975"/>
      <c r="EEF38" s="975"/>
      <c r="EEG38" s="975"/>
      <c r="EEH38" s="975"/>
      <c r="EEI38" s="975"/>
      <c r="EEJ38" s="975"/>
      <c r="EEK38" s="975"/>
      <c r="EEL38" s="975"/>
      <c r="EEM38" s="975"/>
      <c r="EEN38" s="975"/>
      <c r="EEO38" s="975"/>
      <c r="EEP38" s="975"/>
      <c r="EEQ38" s="975"/>
      <c r="EER38" s="975"/>
      <c r="EES38" s="975"/>
      <c r="EET38" s="975"/>
      <c r="EEU38" s="975"/>
      <c r="EEV38" s="975"/>
      <c r="EEW38" s="975"/>
      <c r="EEX38" s="975"/>
      <c r="EEY38" s="975"/>
      <c r="EEZ38" s="975"/>
      <c r="EFA38" s="975"/>
      <c r="EFB38" s="975"/>
      <c r="EFC38" s="975"/>
      <c r="EFD38" s="975"/>
      <c r="EFE38" s="975"/>
      <c r="EFF38" s="975"/>
      <c r="EFG38" s="975"/>
      <c r="EFH38" s="975"/>
      <c r="EFI38" s="975"/>
      <c r="EFJ38" s="975"/>
      <c r="EFK38" s="975"/>
      <c r="EFL38" s="975"/>
      <c r="EFM38" s="975"/>
      <c r="EFN38" s="975"/>
      <c r="EFO38" s="975"/>
      <c r="EFP38" s="975"/>
      <c r="EFQ38" s="975"/>
      <c r="EFR38" s="975"/>
      <c r="EFS38" s="975"/>
      <c r="EFT38" s="975"/>
      <c r="EFU38" s="975"/>
      <c r="EFV38" s="975"/>
      <c r="EFW38" s="975"/>
      <c r="EFX38" s="975"/>
      <c r="EFY38" s="975"/>
      <c r="EFZ38" s="975"/>
      <c r="EGA38" s="975"/>
      <c r="EGB38" s="975"/>
      <c r="EGC38" s="975"/>
      <c r="EGD38" s="975"/>
      <c r="EGE38" s="975"/>
      <c r="EGF38" s="975"/>
      <c r="EGG38" s="975"/>
      <c r="EGH38" s="975"/>
      <c r="EGI38" s="975"/>
      <c r="EGJ38" s="975"/>
      <c r="EGK38" s="975"/>
      <c r="EGL38" s="975"/>
      <c r="EGM38" s="975"/>
      <c r="EGN38" s="975"/>
      <c r="EGO38" s="975"/>
      <c r="EGP38" s="975"/>
      <c r="EGQ38" s="975"/>
      <c r="EGR38" s="975"/>
      <c r="EGS38" s="975"/>
      <c r="EGT38" s="975"/>
      <c r="EGU38" s="975"/>
      <c r="EGV38" s="975"/>
      <c r="EGW38" s="975"/>
      <c r="EGX38" s="975"/>
      <c r="EGY38" s="975"/>
      <c r="EGZ38" s="975"/>
      <c r="EHA38" s="975"/>
      <c r="EHB38" s="975"/>
      <c r="EHC38" s="975"/>
      <c r="EHD38" s="975"/>
      <c r="EHE38" s="975"/>
      <c r="EHF38" s="975"/>
      <c r="EHG38" s="975"/>
      <c r="EHH38" s="975"/>
      <c r="EHI38" s="975"/>
      <c r="EHJ38" s="975"/>
      <c r="EHK38" s="975"/>
      <c r="EHL38" s="975"/>
      <c r="EHM38" s="975"/>
      <c r="EHN38" s="975"/>
      <c r="EHO38" s="975"/>
      <c r="EHP38" s="975"/>
      <c r="EHQ38" s="975"/>
      <c r="EHR38" s="975"/>
      <c r="EHS38" s="975"/>
      <c r="EHT38" s="975"/>
      <c r="EHU38" s="975"/>
      <c r="EHV38" s="975"/>
      <c r="EHW38" s="975"/>
      <c r="EHX38" s="975"/>
      <c r="EHY38" s="975"/>
      <c r="EHZ38" s="975"/>
      <c r="EIA38" s="975"/>
      <c r="EIB38" s="975"/>
      <c r="EIC38" s="975"/>
      <c r="EID38" s="975"/>
      <c r="EIE38" s="975"/>
      <c r="EIF38" s="975"/>
      <c r="EIG38" s="975"/>
      <c r="EIH38" s="975"/>
      <c r="EII38" s="975"/>
      <c r="EIJ38" s="975"/>
      <c r="EIK38" s="975"/>
      <c r="EIL38" s="975"/>
      <c r="EIM38" s="975"/>
      <c r="EIN38" s="975"/>
      <c r="EIO38" s="975"/>
      <c r="EIP38" s="975"/>
      <c r="EIQ38" s="975"/>
      <c r="EIR38" s="975"/>
      <c r="EIS38" s="975"/>
      <c r="EIT38" s="975"/>
      <c r="EIU38" s="975"/>
      <c r="EIV38" s="975"/>
      <c r="EIW38" s="975"/>
      <c r="EIX38" s="975"/>
      <c r="EIY38" s="975"/>
      <c r="EIZ38" s="975"/>
      <c r="EJA38" s="975"/>
      <c r="EJB38" s="975"/>
      <c r="EJC38" s="975"/>
      <c r="EJD38" s="975"/>
      <c r="EJE38" s="975"/>
      <c r="EJF38" s="975"/>
      <c r="EJG38" s="975"/>
      <c r="EJH38" s="975"/>
      <c r="EJI38" s="975"/>
      <c r="EJJ38" s="975"/>
      <c r="EJK38" s="975"/>
      <c r="EJL38" s="975"/>
      <c r="EJM38" s="975"/>
      <c r="EJN38" s="975"/>
      <c r="EJO38" s="975"/>
      <c r="EJP38" s="975"/>
      <c r="EJQ38" s="975"/>
      <c r="EJR38" s="975"/>
      <c r="EJS38" s="975"/>
      <c r="EJT38" s="975"/>
      <c r="EJU38" s="975"/>
      <c r="EJV38" s="975"/>
      <c r="EJW38" s="975"/>
      <c r="EJX38" s="975"/>
      <c r="EJY38" s="975"/>
      <c r="EJZ38" s="975"/>
      <c r="EKA38" s="975"/>
      <c r="EKB38" s="975"/>
      <c r="EKC38" s="975"/>
      <c r="EKD38" s="975"/>
      <c r="EKE38" s="975"/>
      <c r="EKF38" s="975"/>
      <c r="EKG38" s="975"/>
      <c r="EKH38" s="975"/>
      <c r="EKI38" s="975"/>
      <c r="EKJ38" s="975"/>
      <c r="EKK38" s="975"/>
      <c r="EKL38" s="975"/>
      <c r="EKM38" s="975"/>
      <c r="EKN38" s="975"/>
      <c r="EKO38" s="975"/>
      <c r="EKP38" s="975"/>
      <c r="EKQ38" s="975"/>
      <c r="EKR38" s="975"/>
      <c r="EKS38" s="975"/>
      <c r="EKT38" s="975"/>
      <c r="EKU38" s="975"/>
      <c r="EKV38" s="975"/>
      <c r="EKW38" s="975"/>
      <c r="EKX38" s="975"/>
      <c r="EKY38" s="975"/>
      <c r="EKZ38" s="975"/>
      <c r="ELA38" s="975"/>
      <c r="ELB38" s="975"/>
      <c r="ELC38" s="975"/>
      <c r="ELD38" s="975"/>
      <c r="ELE38" s="975"/>
      <c r="ELF38" s="975"/>
      <c r="ELG38" s="975"/>
      <c r="ELH38" s="975"/>
      <c r="ELI38" s="975"/>
      <c r="ELJ38" s="975"/>
      <c r="ELK38" s="975"/>
      <c r="ELL38" s="975"/>
      <c r="ELM38" s="975"/>
      <c r="ELN38" s="975"/>
      <c r="ELO38" s="975"/>
      <c r="ELP38" s="975"/>
      <c r="ELQ38" s="975"/>
      <c r="ELR38" s="975"/>
      <c r="ELS38" s="975"/>
      <c r="ELT38" s="975"/>
      <c r="ELU38" s="975"/>
      <c r="ELV38" s="975"/>
      <c r="ELW38" s="975"/>
      <c r="ELX38" s="975"/>
      <c r="ELY38" s="975"/>
      <c r="ELZ38" s="975"/>
      <c r="EMA38" s="975"/>
      <c r="EMB38" s="975"/>
      <c r="EMC38" s="975"/>
      <c r="EMD38" s="975"/>
      <c r="EME38" s="975"/>
      <c r="EMF38" s="975"/>
      <c r="EMG38" s="975"/>
      <c r="EMH38" s="975"/>
      <c r="EMI38" s="975"/>
      <c r="EMJ38" s="975"/>
      <c r="EMK38" s="975"/>
      <c r="EML38" s="975"/>
      <c r="EMM38" s="975"/>
      <c r="EMN38" s="975"/>
      <c r="EMO38" s="975"/>
      <c r="EMP38" s="975"/>
      <c r="EMQ38" s="975"/>
      <c r="EMR38" s="975"/>
      <c r="EMS38" s="975"/>
      <c r="EMT38" s="975"/>
      <c r="EMU38" s="975"/>
      <c r="EMV38" s="975"/>
      <c r="EMW38" s="975"/>
      <c r="EMX38" s="975"/>
      <c r="EMY38" s="975"/>
      <c r="EMZ38" s="975"/>
      <c r="ENA38" s="975"/>
      <c r="ENB38" s="975"/>
      <c r="ENC38" s="975"/>
      <c r="END38" s="975"/>
      <c r="ENE38" s="975"/>
      <c r="ENF38" s="975"/>
      <c r="ENG38" s="975"/>
      <c r="ENH38" s="975"/>
      <c r="ENI38" s="975"/>
      <c r="ENJ38" s="975"/>
      <c r="ENK38" s="975"/>
      <c r="ENL38" s="975"/>
      <c r="ENM38" s="975"/>
      <c r="ENN38" s="975"/>
      <c r="ENO38" s="975"/>
      <c r="ENP38" s="975"/>
      <c r="ENQ38" s="975"/>
      <c r="ENR38" s="975"/>
      <c r="ENS38" s="975"/>
      <c r="ENT38" s="975"/>
      <c r="ENU38" s="975"/>
      <c r="ENV38" s="975"/>
      <c r="ENW38" s="975"/>
      <c r="ENX38" s="975"/>
      <c r="ENY38" s="975"/>
      <c r="ENZ38" s="975"/>
      <c r="EOA38" s="975"/>
      <c r="EOB38" s="975"/>
      <c r="EOC38" s="975"/>
      <c r="EOD38" s="975"/>
      <c r="EOE38" s="975"/>
      <c r="EOF38" s="975"/>
      <c r="EOG38" s="975"/>
      <c r="EOH38" s="975"/>
      <c r="EOI38" s="975"/>
      <c r="EOJ38" s="975"/>
      <c r="EOK38" s="975"/>
      <c r="EOL38" s="975"/>
      <c r="EOM38" s="975"/>
      <c r="EON38" s="975"/>
      <c r="EOO38" s="975"/>
      <c r="EOP38" s="975"/>
      <c r="EOQ38" s="975"/>
      <c r="EOR38" s="975"/>
      <c r="EOS38" s="975"/>
      <c r="EOT38" s="975"/>
      <c r="EOU38" s="975"/>
      <c r="EOV38" s="975"/>
      <c r="EOW38" s="975"/>
      <c r="EOX38" s="975"/>
      <c r="EOY38" s="975"/>
      <c r="EOZ38" s="975"/>
      <c r="EPA38" s="975"/>
      <c r="EPB38" s="975"/>
      <c r="EPC38" s="975"/>
      <c r="EPD38" s="975"/>
      <c r="EPE38" s="975"/>
      <c r="EPF38" s="975"/>
      <c r="EPG38" s="975"/>
      <c r="EPH38" s="975"/>
      <c r="EPI38" s="975"/>
      <c r="EPJ38" s="975"/>
      <c r="EPK38" s="975"/>
      <c r="EPL38" s="975"/>
      <c r="EPM38" s="975"/>
      <c r="EPN38" s="975"/>
      <c r="EPO38" s="975"/>
      <c r="EPP38" s="975"/>
      <c r="EPQ38" s="975"/>
      <c r="EPR38" s="975"/>
      <c r="EPS38" s="975"/>
      <c r="EPT38" s="975"/>
      <c r="EPU38" s="975"/>
      <c r="EPV38" s="975"/>
      <c r="EPW38" s="975"/>
      <c r="EPX38" s="975"/>
      <c r="EPY38" s="975"/>
      <c r="EPZ38" s="975"/>
      <c r="EQA38" s="975"/>
      <c r="EQB38" s="975"/>
      <c r="EQC38" s="975"/>
      <c r="EQD38" s="975"/>
      <c r="EQE38" s="975"/>
      <c r="EQF38" s="975"/>
      <c r="EQG38" s="975"/>
      <c r="EQH38" s="975"/>
      <c r="EQI38" s="975"/>
      <c r="EQJ38" s="975"/>
      <c r="EQK38" s="975"/>
      <c r="EQL38" s="975"/>
      <c r="EQM38" s="975"/>
      <c r="EQN38" s="975"/>
      <c r="EQO38" s="975"/>
      <c r="EQP38" s="975"/>
      <c r="EQQ38" s="975"/>
      <c r="EQR38" s="975"/>
      <c r="EQS38" s="975"/>
      <c r="EQT38" s="975"/>
      <c r="EQU38" s="975"/>
      <c r="EQV38" s="975"/>
      <c r="EQW38" s="975"/>
      <c r="EQX38" s="975"/>
      <c r="EQY38" s="975"/>
      <c r="EQZ38" s="975"/>
      <c r="ERA38" s="975"/>
      <c r="ERB38" s="975"/>
      <c r="ERC38" s="975"/>
      <c r="ERD38" s="975"/>
      <c r="ERE38" s="975"/>
      <c r="ERF38" s="975"/>
      <c r="ERG38" s="975"/>
      <c r="ERH38" s="975"/>
      <c r="ERI38" s="975"/>
      <c r="ERJ38" s="975"/>
      <c r="ERK38" s="975"/>
      <c r="ERL38" s="975"/>
      <c r="ERM38" s="975"/>
      <c r="ERN38" s="975"/>
      <c r="ERO38" s="975"/>
      <c r="ERP38" s="975"/>
      <c r="ERQ38" s="975"/>
      <c r="ERR38" s="975"/>
      <c r="ERS38" s="975"/>
      <c r="ERT38" s="975"/>
      <c r="ERU38" s="975"/>
      <c r="ERV38" s="975"/>
      <c r="ERW38" s="975"/>
      <c r="ERX38" s="975"/>
      <c r="ERY38" s="975"/>
      <c r="ERZ38" s="975"/>
      <c r="ESA38" s="975"/>
      <c r="ESB38" s="975"/>
      <c r="ESC38" s="975"/>
      <c r="ESD38" s="975"/>
      <c r="ESE38" s="975"/>
      <c r="ESF38" s="975"/>
      <c r="ESG38" s="975"/>
      <c r="ESH38" s="975"/>
      <c r="ESI38" s="975"/>
      <c r="ESJ38" s="975"/>
      <c r="ESK38" s="975"/>
      <c r="ESL38" s="975"/>
      <c r="ESM38" s="975"/>
      <c r="ESN38" s="975"/>
      <c r="ESO38" s="975"/>
      <c r="ESP38" s="975"/>
      <c r="ESQ38" s="975"/>
      <c r="ESR38" s="975"/>
      <c r="ESS38" s="975"/>
      <c r="EST38" s="975"/>
      <c r="ESU38" s="975"/>
      <c r="ESV38" s="975"/>
      <c r="ESW38" s="975"/>
      <c r="ESX38" s="975"/>
      <c r="ESY38" s="975"/>
      <c r="ESZ38" s="975"/>
      <c r="ETA38" s="975"/>
      <c r="ETB38" s="975"/>
      <c r="ETC38" s="975"/>
      <c r="ETD38" s="975"/>
      <c r="ETE38" s="975"/>
      <c r="ETF38" s="975"/>
      <c r="ETG38" s="975"/>
      <c r="ETH38" s="975"/>
      <c r="ETI38" s="975"/>
      <c r="ETJ38" s="975"/>
      <c r="ETK38" s="975"/>
      <c r="ETL38" s="975"/>
      <c r="ETM38" s="975"/>
      <c r="ETN38" s="975"/>
      <c r="ETO38" s="975"/>
      <c r="ETP38" s="975"/>
      <c r="ETQ38" s="975"/>
      <c r="ETR38" s="975"/>
      <c r="ETS38" s="975"/>
      <c r="ETT38" s="975"/>
      <c r="ETU38" s="975"/>
      <c r="ETV38" s="975"/>
      <c r="ETW38" s="975"/>
      <c r="ETX38" s="975"/>
      <c r="ETY38" s="975"/>
      <c r="ETZ38" s="975"/>
      <c r="EUA38" s="975"/>
      <c r="EUB38" s="975"/>
      <c r="EUC38" s="975"/>
      <c r="EUD38" s="975"/>
      <c r="EUE38" s="975"/>
      <c r="EUF38" s="975"/>
      <c r="EUG38" s="975"/>
      <c r="EUH38" s="975"/>
      <c r="EUI38" s="975"/>
      <c r="EUJ38" s="975"/>
      <c r="EUK38" s="975"/>
      <c r="EUL38" s="975"/>
      <c r="EUM38" s="975"/>
      <c r="EUN38" s="975"/>
      <c r="EUO38" s="975"/>
      <c r="EUP38" s="975"/>
      <c r="EUQ38" s="975"/>
      <c r="EUR38" s="975"/>
      <c r="EUS38" s="975"/>
      <c r="EUT38" s="975"/>
      <c r="EUU38" s="975"/>
      <c r="EUV38" s="975"/>
      <c r="EUW38" s="975"/>
      <c r="EUX38" s="975"/>
      <c r="EUY38" s="975"/>
      <c r="EUZ38" s="975"/>
      <c r="EVA38" s="975"/>
      <c r="EVB38" s="975"/>
      <c r="EVC38" s="975"/>
      <c r="EVD38" s="975"/>
      <c r="EVE38" s="975"/>
      <c r="EVF38" s="975"/>
      <c r="EVG38" s="975"/>
      <c r="EVH38" s="975"/>
      <c r="EVI38" s="975"/>
      <c r="EVJ38" s="975"/>
      <c r="EVK38" s="975"/>
      <c r="EVL38" s="975"/>
      <c r="EVM38" s="975"/>
      <c r="EVN38" s="975"/>
      <c r="EVO38" s="975"/>
      <c r="EVP38" s="975"/>
      <c r="EVQ38" s="975"/>
      <c r="EVR38" s="975"/>
      <c r="EVS38" s="975"/>
      <c r="EVT38" s="975"/>
      <c r="EVU38" s="975"/>
      <c r="EVV38" s="975"/>
      <c r="EVW38" s="975"/>
      <c r="EVX38" s="975"/>
      <c r="EVY38" s="975"/>
      <c r="EVZ38" s="975"/>
      <c r="EWA38" s="975"/>
      <c r="EWB38" s="975"/>
      <c r="EWC38" s="975"/>
      <c r="EWD38" s="975"/>
      <c r="EWE38" s="975"/>
      <c r="EWF38" s="975"/>
      <c r="EWG38" s="975"/>
      <c r="EWH38" s="975"/>
      <c r="EWI38" s="975"/>
      <c r="EWJ38" s="975"/>
      <c r="EWK38" s="975"/>
      <c r="EWL38" s="975"/>
      <c r="EWM38" s="975"/>
      <c r="EWN38" s="975"/>
      <c r="EWO38" s="975"/>
      <c r="EWP38" s="975"/>
      <c r="EWQ38" s="975"/>
      <c r="EWR38" s="975"/>
      <c r="EWS38" s="975"/>
      <c r="EWT38" s="975"/>
      <c r="EWU38" s="975"/>
      <c r="EWV38" s="975"/>
      <c r="EWW38" s="975"/>
      <c r="EWX38" s="975"/>
      <c r="EWY38" s="975"/>
      <c r="EWZ38" s="975"/>
      <c r="EXA38" s="975"/>
      <c r="EXB38" s="975"/>
      <c r="EXC38" s="975"/>
      <c r="EXD38" s="975"/>
      <c r="EXE38" s="975"/>
      <c r="EXF38" s="975"/>
      <c r="EXG38" s="975"/>
      <c r="EXH38" s="975"/>
      <c r="EXI38" s="975"/>
      <c r="EXJ38" s="975"/>
      <c r="EXK38" s="975"/>
      <c r="EXL38" s="975"/>
      <c r="EXM38" s="975"/>
      <c r="EXN38" s="975"/>
      <c r="EXO38" s="975"/>
      <c r="EXP38" s="975"/>
      <c r="EXQ38" s="975"/>
      <c r="EXR38" s="975"/>
      <c r="EXS38" s="975"/>
      <c r="EXT38" s="975"/>
      <c r="EXU38" s="975"/>
      <c r="EXV38" s="975"/>
      <c r="EXW38" s="975"/>
      <c r="EXX38" s="975"/>
      <c r="EXY38" s="975"/>
      <c r="EXZ38" s="975"/>
      <c r="EYA38" s="975"/>
      <c r="EYB38" s="975"/>
      <c r="EYC38" s="975"/>
      <c r="EYD38" s="975"/>
      <c r="EYE38" s="975"/>
      <c r="EYF38" s="975"/>
      <c r="EYG38" s="975"/>
      <c r="EYH38" s="975"/>
      <c r="EYI38" s="975"/>
      <c r="EYJ38" s="975"/>
      <c r="EYK38" s="975"/>
      <c r="EYL38" s="975"/>
      <c r="EYM38" s="975"/>
      <c r="EYN38" s="975"/>
      <c r="EYO38" s="975"/>
      <c r="EYP38" s="975"/>
      <c r="EYQ38" s="975"/>
      <c r="EYR38" s="975"/>
      <c r="EYS38" s="975"/>
      <c r="EYT38" s="975"/>
      <c r="EYU38" s="975"/>
      <c r="EYV38" s="975"/>
      <c r="EYW38" s="975"/>
      <c r="EYX38" s="975"/>
      <c r="EYY38" s="975"/>
      <c r="EYZ38" s="975"/>
      <c r="EZA38" s="975"/>
      <c r="EZB38" s="975"/>
      <c r="EZC38" s="975"/>
      <c r="EZD38" s="975"/>
      <c r="EZE38" s="975"/>
      <c r="EZF38" s="975"/>
      <c r="EZG38" s="975"/>
      <c r="EZH38" s="975"/>
      <c r="EZI38" s="975"/>
      <c r="EZJ38" s="975"/>
      <c r="EZK38" s="975"/>
      <c r="EZL38" s="975"/>
      <c r="EZM38" s="975"/>
      <c r="EZN38" s="975"/>
      <c r="EZO38" s="975"/>
      <c r="EZP38" s="975"/>
      <c r="EZQ38" s="975"/>
      <c r="EZR38" s="975"/>
      <c r="EZS38" s="975"/>
      <c r="EZT38" s="975"/>
      <c r="EZU38" s="975"/>
      <c r="EZV38" s="975"/>
      <c r="EZW38" s="975"/>
      <c r="EZX38" s="975"/>
      <c r="EZY38" s="975"/>
      <c r="EZZ38" s="975"/>
      <c r="FAA38" s="975"/>
      <c r="FAB38" s="975"/>
      <c r="FAC38" s="975"/>
      <c r="FAD38" s="975"/>
      <c r="FAE38" s="975"/>
      <c r="FAF38" s="975"/>
      <c r="FAG38" s="975"/>
      <c r="FAH38" s="975"/>
      <c r="FAI38" s="975"/>
      <c r="FAJ38" s="975"/>
      <c r="FAK38" s="975"/>
      <c r="FAL38" s="975"/>
      <c r="FAM38" s="975"/>
      <c r="FAN38" s="975"/>
      <c r="FAO38" s="975"/>
      <c r="FAP38" s="975"/>
      <c r="FAQ38" s="975"/>
      <c r="FAR38" s="975"/>
      <c r="FAS38" s="975"/>
      <c r="FAT38" s="975"/>
      <c r="FAU38" s="975"/>
      <c r="FAV38" s="975"/>
      <c r="FAW38" s="975"/>
      <c r="FAX38" s="975"/>
      <c r="FAY38" s="975"/>
      <c r="FAZ38" s="975"/>
      <c r="FBA38" s="975"/>
      <c r="FBB38" s="975"/>
      <c r="FBC38" s="975"/>
      <c r="FBD38" s="975"/>
      <c r="FBE38" s="975"/>
      <c r="FBF38" s="975"/>
      <c r="FBG38" s="975"/>
      <c r="FBH38" s="975"/>
      <c r="FBI38" s="975"/>
      <c r="FBJ38" s="975"/>
      <c r="FBK38" s="975"/>
      <c r="FBL38" s="975"/>
      <c r="FBM38" s="975"/>
      <c r="FBN38" s="975"/>
      <c r="FBO38" s="975"/>
      <c r="FBP38" s="975"/>
      <c r="FBQ38" s="975"/>
      <c r="FBR38" s="975"/>
      <c r="FBS38" s="975"/>
      <c r="FBT38" s="975"/>
      <c r="FBU38" s="975"/>
      <c r="FBV38" s="975"/>
      <c r="FBW38" s="975"/>
      <c r="FBX38" s="975"/>
      <c r="FBY38" s="975"/>
      <c r="FBZ38" s="975"/>
      <c r="FCA38" s="975"/>
      <c r="FCB38" s="975"/>
      <c r="FCC38" s="975"/>
      <c r="FCD38" s="975"/>
      <c r="FCE38" s="975"/>
      <c r="FCF38" s="975"/>
      <c r="FCG38" s="975"/>
      <c r="FCH38" s="975"/>
      <c r="FCI38" s="975"/>
      <c r="FCJ38" s="975"/>
      <c r="FCK38" s="975"/>
      <c r="FCL38" s="975"/>
      <c r="FCM38" s="975"/>
      <c r="FCN38" s="975"/>
      <c r="FCO38" s="975"/>
      <c r="FCP38" s="975"/>
      <c r="FCQ38" s="975"/>
      <c r="FCR38" s="975"/>
      <c r="FCS38" s="975"/>
      <c r="FCT38" s="975"/>
      <c r="FCU38" s="975"/>
      <c r="FCV38" s="975"/>
      <c r="FCW38" s="975"/>
      <c r="FCX38" s="975"/>
      <c r="FCY38" s="975"/>
      <c r="FCZ38" s="975"/>
      <c r="FDA38" s="975"/>
      <c r="FDB38" s="975"/>
      <c r="FDC38" s="975"/>
      <c r="FDD38" s="975"/>
      <c r="FDE38" s="975"/>
      <c r="FDF38" s="975"/>
      <c r="FDG38" s="975"/>
      <c r="FDH38" s="975"/>
      <c r="FDI38" s="975"/>
      <c r="FDJ38" s="975"/>
      <c r="FDK38" s="975"/>
      <c r="FDL38" s="975"/>
      <c r="FDM38" s="975"/>
      <c r="FDN38" s="975"/>
      <c r="FDO38" s="975"/>
      <c r="FDP38" s="975"/>
      <c r="FDQ38" s="975"/>
      <c r="FDR38" s="975"/>
      <c r="FDS38" s="975"/>
      <c r="FDT38" s="975"/>
      <c r="FDU38" s="975"/>
      <c r="FDV38" s="975"/>
      <c r="FDW38" s="975"/>
      <c r="FDX38" s="975"/>
      <c r="FDY38" s="975"/>
      <c r="FDZ38" s="975"/>
      <c r="FEA38" s="975"/>
      <c r="FEB38" s="975"/>
      <c r="FEC38" s="975"/>
      <c r="FED38" s="975"/>
      <c r="FEE38" s="975"/>
      <c r="FEF38" s="975"/>
      <c r="FEG38" s="975"/>
      <c r="FEH38" s="975"/>
      <c r="FEI38" s="975"/>
      <c r="FEJ38" s="975"/>
      <c r="FEK38" s="975"/>
      <c r="FEL38" s="975"/>
      <c r="FEM38" s="975"/>
      <c r="FEN38" s="975"/>
      <c r="FEO38" s="975"/>
      <c r="FEP38" s="975"/>
      <c r="FEQ38" s="975"/>
      <c r="FER38" s="975"/>
      <c r="FES38" s="975"/>
      <c r="FET38" s="975"/>
      <c r="FEU38" s="975"/>
      <c r="FEV38" s="975"/>
      <c r="FEW38" s="975"/>
      <c r="FEX38" s="975"/>
      <c r="FEY38" s="975"/>
      <c r="FEZ38" s="975"/>
      <c r="FFA38" s="975"/>
      <c r="FFB38" s="975"/>
      <c r="FFC38" s="975"/>
      <c r="FFD38" s="975"/>
      <c r="FFE38" s="975"/>
      <c r="FFF38" s="975"/>
      <c r="FFG38" s="975"/>
      <c r="FFH38" s="975"/>
      <c r="FFI38" s="975"/>
      <c r="FFJ38" s="975"/>
      <c r="FFK38" s="975"/>
      <c r="FFL38" s="975"/>
      <c r="FFM38" s="975"/>
      <c r="FFN38" s="975"/>
      <c r="FFO38" s="975"/>
      <c r="FFP38" s="975"/>
      <c r="FFQ38" s="975"/>
      <c r="FFR38" s="975"/>
      <c r="FFS38" s="975"/>
      <c r="FFT38" s="975"/>
      <c r="FFU38" s="975"/>
      <c r="FFV38" s="975"/>
      <c r="FFW38" s="975"/>
      <c r="FFX38" s="975"/>
      <c r="FFY38" s="975"/>
      <c r="FFZ38" s="975"/>
      <c r="FGA38" s="975"/>
      <c r="FGB38" s="975"/>
      <c r="FGC38" s="975"/>
      <c r="FGD38" s="975"/>
      <c r="FGE38" s="975"/>
      <c r="FGF38" s="975"/>
      <c r="FGG38" s="975"/>
      <c r="FGH38" s="975"/>
      <c r="FGI38" s="975"/>
      <c r="FGJ38" s="975"/>
      <c r="FGK38" s="975"/>
      <c r="FGL38" s="975"/>
      <c r="FGM38" s="975"/>
      <c r="FGN38" s="975"/>
      <c r="FGO38" s="975"/>
      <c r="FGP38" s="975"/>
      <c r="FGQ38" s="975"/>
      <c r="FGR38" s="975"/>
      <c r="FGS38" s="975"/>
      <c r="FGT38" s="975"/>
      <c r="FGU38" s="975"/>
      <c r="FGV38" s="975"/>
      <c r="FGW38" s="975"/>
      <c r="FGX38" s="975"/>
      <c r="FGY38" s="975"/>
      <c r="FGZ38" s="975"/>
      <c r="FHA38" s="975"/>
      <c r="FHB38" s="975"/>
      <c r="FHC38" s="975"/>
      <c r="FHD38" s="975"/>
      <c r="FHE38" s="975"/>
      <c r="FHF38" s="975"/>
      <c r="FHG38" s="975"/>
      <c r="FHH38" s="975"/>
      <c r="FHI38" s="975"/>
      <c r="FHJ38" s="975"/>
      <c r="FHK38" s="975"/>
      <c r="FHL38" s="975"/>
      <c r="FHM38" s="975"/>
      <c r="FHN38" s="975"/>
      <c r="FHO38" s="975"/>
      <c r="FHP38" s="975"/>
      <c r="FHQ38" s="975"/>
      <c r="FHR38" s="975"/>
      <c r="FHS38" s="975"/>
      <c r="FHT38" s="975"/>
      <c r="FHU38" s="975"/>
      <c r="FHV38" s="975"/>
      <c r="FHW38" s="975"/>
      <c r="FHX38" s="975"/>
      <c r="FHY38" s="975"/>
      <c r="FHZ38" s="975"/>
      <c r="FIA38" s="975"/>
      <c r="FIB38" s="975"/>
      <c r="FIC38" s="975"/>
      <c r="FID38" s="975"/>
      <c r="FIE38" s="975"/>
      <c r="FIF38" s="975"/>
      <c r="FIG38" s="975"/>
      <c r="FIH38" s="975"/>
      <c r="FII38" s="975"/>
      <c r="FIJ38" s="975"/>
      <c r="FIK38" s="975"/>
      <c r="FIL38" s="975"/>
      <c r="FIM38" s="975"/>
      <c r="FIN38" s="975"/>
      <c r="FIO38" s="975"/>
      <c r="FIP38" s="975"/>
      <c r="FIQ38" s="975"/>
      <c r="FIR38" s="975"/>
      <c r="FIS38" s="975"/>
      <c r="FIT38" s="975"/>
      <c r="FIU38" s="975"/>
      <c r="FIV38" s="975"/>
      <c r="FIW38" s="975"/>
      <c r="FIX38" s="975"/>
      <c r="FIY38" s="975"/>
      <c r="FIZ38" s="975"/>
      <c r="FJA38" s="975"/>
      <c r="FJB38" s="975"/>
      <c r="FJC38" s="975"/>
      <c r="FJD38" s="975"/>
      <c r="FJE38" s="975"/>
      <c r="FJF38" s="975"/>
      <c r="FJG38" s="975"/>
      <c r="FJH38" s="975"/>
      <c r="FJI38" s="975"/>
      <c r="FJJ38" s="975"/>
      <c r="FJK38" s="975"/>
      <c r="FJL38" s="975"/>
      <c r="FJM38" s="975"/>
      <c r="FJN38" s="975"/>
      <c r="FJO38" s="975"/>
      <c r="FJP38" s="975"/>
      <c r="FJQ38" s="975"/>
      <c r="FJR38" s="975"/>
      <c r="FJS38" s="975"/>
      <c r="FJT38" s="975"/>
      <c r="FJU38" s="975"/>
      <c r="FJV38" s="975"/>
      <c r="FJW38" s="975"/>
      <c r="FJX38" s="975"/>
      <c r="FJY38" s="975"/>
      <c r="FJZ38" s="975"/>
      <c r="FKA38" s="975"/>
      <c r="FKB38" s="975"/>
      <c r="FKC38" s="975"/>
      <c r="FKD38" s="975"/>
      <c r="FKE38" s="975"/>
      <c r="FKF38" s="975"/>
      <c r="FKG38" s="975"/>
      <c r="FKH38" s="975"/>
      <c r="FKI38" s="975"/>
      <c r="FKJ38" s="975"/>
      <c r="FKK38" s="975"/>
      <c r="FKL38" s="975"/>
      <c r="FKM38" s="975"/>
      <c r="FKN38" s="975"/>
      <c r="FKO38" s="975"/>
      <c r="FKP38" s="975"/>
      <c r="FKQ38" s="975"/>
      <c r="FKR38" s="975"/>
      <c r="FKS38" s="975"/>
      <c r="FKT38" s="975"/>
      <c r="FKU38" s="975"/>
      <c r="FKV38" s="975"/>
      <c r="FKW38" s="975"/>
      <c r="FKX38" s="975"/>
      <c r="FKY38" s="975"/>
      <c r="FKZ38" s="975"/>
      <c r="FLA38" s="975"/>
      <c r="FLB38" s="975"/>
      <c r="FLC38" s="975"/>
      <c r="FLD38" s="975"/>
      <c r="FLE38" s="975"/>
      <c r="FLF38" s="975"/>
      <c r="FLG38" s="975"/>
      <c r="FLH38" s="975"/>
      <c r="FLI38" s="975"/>
      <c r="FLJ38" s="975"/>
      <c r="FLK38" s="975"/>
      <c r="FLL38" s="975"/>
      <c r="FLM38" s="975"/>
      <c r="FLN38" s="975"/>
      <c r="FLO38" s="975"/>
      <c r="FLP38" s="975"/>
      <c r="FLQ38" s="975"/>
      <c r="FLR38" s="975"/>
      <c r="FLS38" s="975"/>
      <c r="FLT38" s="975"/>
      <c r="FLU38" s="975"/>
      <c r="FLV38" s="975"/>
      <c r="FLW38" s="975"/>
      <c r="FLX38" s="975"/>
      <c r="FLY38" s="975"/>
      <c r="FLZ38" s="975"/>
      <c r="FMA38" s="975"/>
      <c r="FMB38" s="975"/>
      <c r="FMC38" s="975"/>
      <c r="FMD38" s="975"/>
      <c r="FME38" s="975"/>
      <c r="FMF38" s="975"/>
      <c r="FMG38" s="975"/>
      <c r="FMH38" s="975"/>
      <c r="FMI38" s="975"/>
      <c r="FMJ38" s="975"/>
      <c r="FMK38" s="975"/>
      <c r="FML38" s="975"/>
      <c r="FMM38" s="975"/>
      <c r="FMN38" s="975"/>
      <c r="FMO38" s="975"/>
      <c r="FMP38" s="975"/>
      <c r="FMQ38" s="975"/>
      <c r="FMR38" s="975"/>
      <c r="FMS38" s="975"/>
      <c r="FMT38" s="975"/>
      <c r="FMU38" s="975"/>
      <c r="FMV38" s="975"/>
      <c r="FMW38" s="975"/>
      <c r="FMX38" s="975"/>
      <c r="FMY38" s="975"/>
      <c r="FMZ38" s="975"/>
      <c r="FNA38" s="975"/>
      <c r="FNB38" s="975"/>
      <c r="FNC38" s="975"/>
      <c r="FND38" s="975"/>
      <c r="FNE38" s="975"/>
      <c r="FNF38" s="975"/>
      <c r="FNG38" s="975"/>
      <c r="FNH38" s="975"/>
      <c r="FNI38" s="975"/>
      <c r="FNJ38" s="975"/>
      <c r="FNK38" s="975"/>
      <c r="FNL38" s="975"/>
      <c r="FNM38" s="975"/>
      <c r="FNN38" s="975"/>
      <c r="FNO38" s="975"/>
      <c r="FNP38" s="975"/>
      <c r="FNQ38" s="975"/>
      <c r="FNR38" s="975"/>
      <c r="FNS38" s="975"/>
      <c r="FNT38" s="975"/>
      <c r="FNU38" s="975"/>
      <c r="FNV38" s="975"/>
      <c r="FNW38" s="975"/>
      <c r="FNX38" s="975"/>
      <c r="FNY38" s="975"/>
      <c r="FNZ38" s="975"/>
      <c r="FOA38" s="975"/>
      <c r="FOB38" s="975"/>
      <c r="FOC38" s="975"/>
      <c r="FOD38" s="975"/>
      <c r="FOE38" s="975"/>
      <c r="FOF38" s="975"/>
      <c r="FOG38" s="975"/>
      <c r="FOH38" s="975"/>
      <c r="FOI38" s="975"/>
      <c r="FOJ38" s="975"/>
      <c r="FOK38" s="975"/>
      <c r="FOL38" s="975"/>
      <c r="FOM38" s="975"/>
      <c r="FON38" s="975"/>
      <c r="FOO38" s="975"/>
      <c r="FOP38" s="975"/>
      <c r="FOQ38" s="975"/>
      <c r="FOR38" s="975"/>
      <c r="FOS38" s="975"/>
      <c r="FOT38" s="975"/>
      <c r="FOU38" s="975"/>
      <c r="FOV38" s="975"/>
      <c r="FOW38" s="975"/>
      <c r="FOX38" s="975"/>
      <c r="FOY38" s="975"/>
      <c r="FOZ38" s="975"/>
      <c r="FPA38" s="975"/>
      <c r="FPB38" s="975"/>
      <c r="FPC38" s="975"/>
      <c r="FPD38" s="975"/>
      <c r="FPE38" s="975"/>
      <c r="FPF38" s="975"/>
      <c r="FPG38" s="975"/>
      <c r="FPH38" s="975"/>
      <c r="FPI38" s="975"/>
      <c r="FPJ38" s="975"/>
      <c r="FPK38" s="975"/>
      <c r="FPL38" s="975"/>
      <c r="FPM38" s="975"/>
      <c r="FPN38" s="975"/>
      <c r="FPO38" s="975"/>
      <c r="FPP38" s="975"/>
      <c r="FPQ38" s="975"/>
      <c r="FPR38" s="975"/>
      <c r="FPS38" s="975"/>
      <c r="FPT38" s="975"/>
      <c r="FPU38" s="975"/>
      <c r="FPV38" s="975"/>
      <c r="FPW38" s="975"/>
      <c r="FPX38" s="975"/>
      <c r="FPY38" s="975"/>
      <c r="FPZ38" s="975"/>
      <c r="FQA38" s="975"/>
      <c r="FQB38" s="975"/>
      <c r="FQC38" s="975"/>
      <c r="FQD38" s="975"/>
      <c r="FQE38" s="975"/>
      <c r="FQF38" s="975"/>
      <c r="FQG38" s="975"/>
      <c r="FQH38" s="975"/>
      <c r="FQI38" s="975"/>
      <c r="FQJ38" s="975"/>
      <c r="FQK38" s="975"/>
      <c r="FQL38" s="975"/>
      <c r="FQM38" s="975"/>
      <c r="FQN38" s="975"/>
      <c r="FQO38" s="975"/>
      <c r="FQP38" s="975"/>
      <c r="FQQ38" s="975"/>
      <c r="FQR38" s="975"/>
      <c r="FQS38" s="975"/>
      <c r="FQT38" s="975"/>
      <c r="FQU38" s="975"/>
      <c r="FQV38" s="975"/>
      <c r="FQW38" s="975"/>
      <c r="FQX38" s="975"/>
      <c r="FQY38" s="975"/>
      <c r="FQZ38" s="975"/>
      <c r="FRA38" s="975"/>
      <c r="FRB38" s="975"/>
      <c r="FRC38" s="975"/>
      <c r="FRD38" s="975"/>
      <c r="FRE38" s="975"/>
      <c r="FRF38" s="975"/>
      <c r="FRG38" s="975"/>
      <c r="FRH38" s="975"/>
      <c r="FRI38" s="975"/>
      <c r="FRJ38" s="975"/>
      <c r="FRK38" s="975"/>
      <c r="FRL38" s="975"/>
      <c r="FRM38" s="975"/>
      <c r="FRN38" s="975"/>
      <c r="FRO38" s="975"/>
      <c r="FRP38" s="975"/>
      <c r="FRQ38" s="975"/>
      <c r="FRR38" s="975"/>
      <c r="FRS38" s="975"/>
      <c r="FRT38" s="975"/>
      <c r="FRU38" s="975"/>
      <c r="FRV38" s="975"/>
      <c r="FRW38" s="975"/>
      <c r="FRX38" s="975"/>
      <c r="FRY38" s="975"/>
      <c r="FRZ38" s="975"/>
      <c r="FSA38" s="975"/>
      <c r="FSB38" s="975"/>
      <c r="FSC38" s="975"/>
      <c r="FSD38" s="975"/>
      <c r="FSE38" s="975"/>
      <c r="FSF38" s="975"/>
      <c r="FSG38" s="975"/>
      <c r="FSH38" s="975"/>
      <c r="FSI38" s="975"/>
      <c r="FSJ38" s="975"/>
      <c r="FSK38" s="975"/>
      <c r="FSL38" s="975"/>
      <c r="FSM38" s="975"/>
      <c r="FSN38" s="975"/>
      <c r="FSO38" s="975"/>
      <c r="FSP38" s="975"/>
      <c r="FSQ38" s="975"/>
      <c r="FSR38" s="975"/>
      <c r="FSS38" s="975"/>
      <c r="FST38" s="975"/>
      <c r="FSU38" s="975"/>
      <c r="FSV38" s="975"/>
      <c r="FSW38" s="975"/>
      <c r="FSX38" s="975"/>
      <c r="FSY38" s="975"/>
      <c r="FSZ38" s="975"/>
      <c r="FTA38" s="975"/>
      <c r="FTB38" s="975"/>
      <c r="FTC38" s="975"/>
      <c r="FTD38" s="975"/>
      <c r="FTE38" s="975"/>
      <c r="FTF38" s="975"/>
      <c r="FTG38" s="975"/>
      <c r="FTH38" s="975"/>
      <c r="FTI38" s="975"/>
      <c r="FTJ38" s="975"/>
      <c r="FTK38" s="975"/>
      <c r="FTL38" s="975"/>
      <c r="FTM38" s="975"/>
      <c r="FTN38" s="975"/>
      <c r="FTO38" s="975"/>
      <c r="FTP38" s="975"/>
      <c r="FTQ38" s="975"/>
      <c r="FTR38" s="975"/>
      <c r="FTS38" s="975"/>
      <c r="FTT38" s="975"/>
      <c r="FTU38" s="975"/>
      <c r="FTV38" s="975"/>
      <c r="FTW38" s="975"/>
      <c r="FTX38" s="975"/>
      <c r="FTY38" s="975"/>
      <c r="FTZ38" s="975"/>
      <c r="FUA38" s="975"/>
      <c r="FUB38" s="975"/>
      <c r="FUC38" s="975"/>
      <c r="FUD38" s="975"/>
      <c r="FUE38" s="975"/>
      <c r="FUF38" s="975"/>
      <c r="FUG38" s="975"/>
      <c r="FUH38" s="975"/>
      <c r="FUI38" s="975"/>
      <c r="FUJ38" s="975"/>
      <c r="FUK38" s="975"/>
      <c r="FUL38" s="975"/>
      <c r="FUM38" s="975"/>
      <c r="FUN38" s="975"/>
      <c r="FUO38" s="975"/>
      <c r="FUP38" s="975"/>
      <c r="FUQ38" s="975"/>
      <c r="FUR38" s="975"/>
      <c r="FUS38" s="975"/>
      <c r="FUT38" s="975"/>
      <c r="FUU38" s="975"/>
      <c r="FUV38" s="975"/>
      <c r="FUW38" s="975"/>
      <c r="FUX38" s="975"/>
      <c r="FUY38" s="975"/>
      <c r="FUZ38" s="975"/>
      <c r="FVA38" s="975"/>
      <c r="FVB38" s="975"/>
      <c r="FVC38" s="975"/>
      <c r="FVD38" s="975"/>
      <c r="FVE38" s="975"/>
      <c r="FVF38" s="975"/>
      <c r="FVG38" s="975"/>
      <c r="FVH38" s="975"/>
      <c r="FVI38" s="975"/>
      <c r="FVJ38" s="975"/>
      <c r="FVK38" s="975"/>
      <c r="FVL38" s="975"/>
      <c r="FVM38" s="975"/>
      <c r="FVN38" s="975"/>
      <c r="FVO38" s="975"/>
      <c r="FVP38" s="975"/>
      <c r="FVQ38" s="975"/>
      <c r="FVR38" s="975"/>
      <c r="FVS38" s="975"/>
      <c r="FVT38" s="975"/>
      <c r="FVU38" s="975"/>
      <c r="FVV38" s="975"/>
      <c r="FVW38" s="975"/>
      <c r="FVX38" s="975"/>
      <c r="FVY38" s="975"/>
      <c r="FVZ38" s="975"/>
      <c r="FWA38" s="975"/>
      <c r="FWB38" s="975"/>
      <c r="FWC38" s="975"/>
      <c r="FWD38" s="975"/>
      <c r="FWE38" s="975"/>
      <c r="FWF38" s="975"/>
      <c r="FWG38" s="975"/>
      <c r="FWH38" s="975"/>
      <c r="FWI38" s="975"/>
      <c r="FWJ38" s="975"/>
      <c r="FWK38" s="975"/>
      <c r="FWL38" s="975"/>
      <c r="FWM38" s="975"/>
      <c r="FWN38" s="975"/>
      <c r="FWO38" s="975"/>
      <c r="FWP38" s="975"/>
      <c r="FWQ38" s="975"/>
      <c r="FWR38" s="975"/>
      <c r="FWS38" s="975"/>
      <c r="FWT38" s="975"/>
      <c r="FWU38" s="975"/>
      <c r="FWV38" s="975"/>
      <c r="FWW38" s="975"/>
      <c r="FWX38" s="975"/>
      <c r="FWY38" s="975"/>
      <c r="FWZ38" s="975"/>
      <c r="FXA38" s="975"/>
      <c r="FXB38" s="975"/>
      <c r="FXC38" s="975"/>
      <c r="FXD38" s="975"/>
      <c r="FXE38" s="975"/>
      <c r="FXF38" s="975"/>
      <c r="FXG38" s="975"/>
      <c r="FXH38" s="975"/>
      <c r="FXI38" s="975"/>
      <c r="FXJ38" s="975"/>
      <c r="FXK38" s="975"/>
      <c r="FXL38" s="975"/>
      <c r="FXM38" s="975"/>
      <c r="FXN38" s="975"/>
      <c r="FXO38" s="975"/>
      <c r="FXP38" s="975"/>
      <c r="FXQ38" s="975"/>
      <c r="FXR38" s="975"/>
      <c r="FXS38" s="975"/>
      <c r="FXT38" s="975"/>
      <c r="FXU38" s="975"/>
      <c r="FXV38" s="975"/>
      <c r="FXW38" s="975"/>
      <c r="FXX38" s="975"/>
      <c r="FXY38" s="975"/>
      <c r="FXZ38" s="975"/>
      <c r="FYA38" s="975"/>
      <c r="FYB38" s="975"/>
      <c r="FYC38" s="975"/>
      <c r="FYD38" s="975"/>
      <c r="FYE38" s="975"/>
      <c r="FYF38" s="975"/>
      <c r="FYG38" s="975"/>
      <c r="FYH38" s="975"/>
      <c r="FYI38" s="975"/>
      <c r="FYJ38" s="975"/>
      <c r="FYK38" s="975"/>
      <c r="FYL38" s="975"/>
      <c r="FYM38" s="975"/>
      <c r="FYN38" s="975"/>
      <c r="FYO38" s="975"/>
      <c r="FYP38" s="975"/>
      <c r="FYQ38" s="975"/>
      <c r="FYR38" s="975"/>
      <c r="FYS38" s="975"/>
      <c r="FYT38" s="975"/>
      <c r="FYU38" s="975"/>
      <c r="FYV38" s="975"/>
      <c r="FYW38" s="975"/>
      <c r="FYX38" s="975"/>
      <c r="FYY38" s="975"/>
      <c r="FYZ38" s="975"/>
      <c r="FZA38" s="975"/>
      <c r="FZB38" s="975"/>
      <c r="FZC38" s="975"/>
      <c r="FZD38" s="975"/>
      <c r="FZE38" s="975"/>
      <c r="FZF38" s="975"/>
      <c r="FZG38" s="975"/>
      <c r="FZH38" s="975"/>
      <c r="FZI38" s="975"/>
      <c r="FZJ38" s="975"/>
      <c r="FZK38" s="975"/>
      <c r="FZL38" s="975"/>
      <c r="FZM38" s="975"/>
      <c r="FZN38" s="975"/>
      <c r="FZO38" s="975"/>
      <c r="FZP38" s="975"/>
      <c r="FZQ38" s="975"/>
      <c r="FZR38" s="975"/>
      <c r="FZS38" s="975"/>
      <c r="FZT38" s="975"/>
      <c r="FZU38" s="975"/>
      <c r="FZV38" s="975"/>
      <c r="FZW38" s="975"/>
      <c r="FZX38" s="975"/>
      <c r="FZY38" s="975"/>
      <c r="FZZ38" s="975"/>
      <c r="GAA38" s="975"/>
      <c r="GAB38" s="975"/>
      <c r="GAC38" s="975"/>
      <c r="GAD38" s="975"/>
      <c r="GAE38" s="975"/>
      <c r="GAF38" s="975"/>
      <c r="GAG38" s="975"/>
      <c r="GAH38" s="975"/>
      <c r="GAI38" s="975"/>
      <c r="GAJ38" s="975"/>
      <c r="GAK38" s="975"/>
      <c r="GAL38" s="975"/>
      <c r="GAM38" s="975"/>
      <c r="GAN38" s="975"/>
      <c r="GAO38" s="975"/>
      <c r="GAP38" s="975"/>
      <c r="GAQ38" s="975"/>
      <c r="GAR38" s="975"/>
      <c r="GAS38" s="975"/>
      <c r="GAT38" s="975"/>
      <c r="GAU38" s="975"/>
      <c r="GAV38" s="975"/>
      <c r="GAW38" s="975"/>
      <c r="GAX38" s="975"/>
      <c r="GAY38" s="975"/>
      <c r="GAZ38" s="975"/>
      <c r="GBA38" s="975"/>
      <c r="GBB38" s="975"/>
      <c r="GBC38" s="975"/>
      <c r="GBD38" s="975"/>
      <c r="GBE38" s="975"/>
      <c r="GBF38" s="975"/>
      <c r="GBG38" s="975"/>
      <c r="GBH38" s="975"/>
      <c r="GBI38" s="975"/>
      <c r="GBJ38" s="975"/>
      <c r="GBK38" s="975"/>
      <c r="GBL38" s="975"/>
      <c r="GBM38" s="975"/>
      <c r="GBN38" s="975"/>
      <c r="GBO38" s="975"/>
      <c r="GBP38" s="975"/>
      <c r="GBQ38" s="975"/>
      <c r="GBR38" s="975"/>
      <c r="GBS38" s="975"/>
      <c r="GBT38" s="975"/>
      <c r="GBU38" s="975"/>
      <c r="GBV38" s="975"/>
      <c r="GBW38" s="975"/>
      <c r="GBX38" s="975"/>
      <c r="GBY38" s="975"/>
      <c r="GBZ38" s="975"/>
      <c r="GCA38" s="975"/>
      <c r="GCB38" s="975"/>
      <c r="GCC38" s="975"/>
      <c r="GCD38" s="975"/>
      <c r="GCE38" s="975"/>
      <c r="GCF38" s="975"/>
      <c r="GCG38" s="975"/>
      <c r="GCH38" s="975"/>
      <c r="GCI38" s="975"/>
      <c r="GCJ38" s="975"/>
      <c r="GCK38" s="975"/>
      <c r="GCL38" s="975"/>
      <c r="GCM38" s="975"/>
      <c r="GCN38" s="975"/>
      <c r="GCO38" s="975"/>
      <c r="GCP38" s="975"/>
      <c r="GCQ38" s="975"/>
      <c r="GCR38" s="975"/>
      <c r="GCS38" s="975"/>
      <c r="GCT38" s="975"/>
      <c r="GCU38" s="975"/>
      <c r="GCV38" s="975"/>
      <c r="GCW38" s="975"/>
      <c r="GCX38" s="975"/>
      <c r="GCY38" s="975"/>
      <c r="GCZ38" s="975"/>
      <c r="GDA38" s="975"/>
      <c r="GDB38" s="975"/>
      <c r="GDC38" s="975"/>
      <c r="GDD38" s="975"/>
      <c r="GDE38" s="975"/>
      <c r="GDF38" s="975"/>
      <c r="GDG38" s="975"/>
      <c r="GDH38" s="975"/>
      <c r="GDI38" s="975"/>
      <c r="GDJ38" s="975"/>
      <c r="GDK38" s="975"/>
      <c r="GDL38" s="975"/>
      <c r="GDM38" s="975"/>
      <c r="GDN38" s="975"/>
      <c r="GDO38" s="975"/>
      <c r="GDP38" s="975"/>
      <c r="GDQ38" s="975"/>
      <c r="GDR38" s="975"/>
      <c r="GDS38" s="975"/>
      <c r="GDT38" s="975"/>
      <c r="GDU38" s="975"/>
      <c r="GDV38" s="975"/>
      <c r="GDW38" s="975"/>
      <c r="GDX38" s="975"/>
      <c r="GDY38" s="975"/>
      <c r="GDZ38" s="975"/>
      <c r="GEA38" s="975"/>
      <c r="GEB38" s="975"/>
      <c r="GEC38" s="975"/>
      <c r="GED38" s="975"/>
      <c r="GEE38" s="975"/>
      <c r="GEF38" s="975"/>
      <c r="GEG38" s="975"/>
      <c r="GEH38" s="975"/>
      <c r="GEI38" s="975"/>
      <c r="GEJ38" s="975"/>
      <c r="GEK38" s="975"/>
      <c r="GEL38" s="975"/>
      <c r="GEM38" s="975"/>
      <c r="GEN38" s="975"/>
      <c r="GEO38" s="975"/>
      <c r="GEP38" s="975"/>
      <c r="GEQ38" s="975"/>
      <c r="GER38" s="975"/>
      <c r="GES38" s="975"/>
      <c r="GET38" s="975"/>
      <c r="GEU38" s="975"/>
      <c r="GEV38" s="975"/>
      <c r="GEW38" s="975"/>
      <c r="GEX38" s="975"/>
      <c r="GEY38" s="975"/>
      <c r="GEZ38" s="975"/>
      <c r="GFA38" s="975"/>
      <c r="GFB38" s="975"/>
      <c r="GFC38" s="975"/>
      <c r="GFD38" s="975"/>
      <c r="GFE38" s="975"/>
      <c r="GFF38" s="975"/>
      <c r="GFG38" s="975"/>
      <c r="GFH38" s="975"/>
      <c r="GFI38" s="975"/>
      <c r="GFJ38" s="975"/>
      <c r="GFK38" s="975"/>
      <c r="GFL38" s="975"/>
      <c r="GFM38" s="975"/>
      <c r="GFN38" s="975"/>
      <c r="GFO38" s="975"/>
      <c r="GFP38" s="975"/>
      <c r="GFQ38" s="975"/>
      <c r="GFR38" s="975"/>
      <c r="GFS38" s="975"/>
      <c r="GFT38" s="975"/>
      <c r="GFU38" s="975"/>
      <c r="GFV38" s="975"/>
      <c r="GFW38" s="975"/>
      <c r="GFX38" s="975"/>
      <c r="GFY38" s="975"/>
      <c r="GFZ38" s="975"/>
      <c r="GGA38" s="975"/>
      <c r="GGB38" s="975"/>
      <c r="GGC38" s="975"/>
      <c r="GGD38" s="975"/>
      <c r="GGE38" s="975"/>
      <c r="GGF38" s="975"/>
      <c r="GGG38" s="975"/>
      <c r="GGH38" s="975"/>
      <c r="GGI38" s="975"/>
      <c r="GGJ38" s="975"/>
      <c r="GGK38" s="975"/>
      <c r="GGL38" s="975"/>
      <c r="GGM38" s="975"/>
      <c r="GGN38" s="975"/>
      <c r="GGO38" s="975"/>
      <c r="GGP38" s="975"/>
      <c r="GGQ38" s="975"/>
      <c r="GGR38" s="975"/>
      <c r="GGS38" s="975"/>
      <c r="GGT38" s="975"/>
      <c r="GGU38" s="975"/>
      <c r="GGV38" s="975"/>
      <c r="GGW38" s="975"/>
      <c r="GGX38" s="975"/>
      <c r="GGY38" s="975"/>
      <c r="GGZ38" s="975"/>
      <c r="GHA38" s="975"/>
      <c r="GHB38" s="975"/>
      <c r="GHC38" s="975"/>
      <c r="GHD38" s="975"/>
      <c r="GHE38" s="975"/>
      <c r="GHF38" s="975"/>
      <c r="GHG38" s="975"/>
      <c r="GHH38" s="975"/>
      <c r="GHI38" s="975"/>
      <c r="GHJ38" s="975"/>
      <c r="GHK38" s="975"/>
      <c r="GHL38" s="975"/>
      <c r="GHM38" s="975"/>
      <c r="GHN38" s="975"/>
      <c r="GHO38" s="975"/>
      <c r="GHP38" s="975"/>
      <c r="GHQ38" s="975"/>
      <c r="GHR38" s="975"/>
      <c r="GHS38" s="975"/>
      <c r="GHT38" s="975"/>
      <c r="GHU38" s="975"/>
      <c r="GHV38" s="975"/>
      <c r="GHW38" s="975"/>
      <c r="GHX38" s="975"/>
      <c r="GHY38" s="975"/>
      <c r="GHZ38" s="975"/>
      <c r="GIA38" s="975"/>
      <c r="GIB38" s="975"/>
      <c r="GIC38" s="975"/>
      <c r="GID38" s="975"/>
      <c r="GIE38" s="975"/>
      <c r="GIF38" s="975"/>
      <c r="GIG38" s="975"/>
      <c r="GIH38" s="975"/>
      <c r="GII38" s="975"/>
      <c r="GIJ38" s="975"/>
      <c r="GIK38" s="975"/>
      <c r="GIL38" s="975"/>
      <c r="GIM38" s="975"/>
      <c r="GIN38" s="975"/>
      <c r="GIO38" s="975"/>
      <c r="GIP38" s="975"/>
      <c r="GIQ38" s="975"/>
      <c r="GIR38" s="975"/>
      <c r="GIS38" s="975"/>
      <c r="GIT38" s="975"/>
      <c r="GIU38" s="975"/>
      <c r="GIV38" s="975"/>
      <c r="GIW38" s="975"/>
      <c r="GIX38" s="975"/>
      <c r="GIY38" s="975"/>
      <c r="GIZ38" s="975"/>
      <c r="GJA38" s="975"/>
      <c r="GJB38" s="975"/>
      <c r="GJC38" s="975"/>
      <c r="GJD38" s="975"/>
      <c r="GJE38" s="975"/>
      <c r="GJF38" s="975"/>
      <c r="GJG38" s="975"/>
      <c r="GJH38" s="975"/>
      <c r="GJI38" s="975"/>
      <c r="GJJ38" s="975"/>
      <c r="GJK38" s="975"/>
      <c r="GJL38" s="975"/>
      <c r="GJM38" s="975"/>
      <c r="GJN38" s="975"/>
      <c r="GJO38" s="975"/>
      <c r="GJP38" s="975"/>
      <c r="GJQ38" s="975"/>
      <c r="GJR38" s="975"/>
      <c r="GJS38" s="975"/>
      <c r="GJT38" s="975"/>
      <c r="GJU38" s="975"/>
      <c r="GJV38" s="975"/>
      <c r="GJW38" s="975"/>
      <c r="GJX38" s="975"/>
      <c r="GJY38" s="975"/>
      <c r="GJZ38" s="975"/>
      <c r="GKA38" s="975"/>
      <c r="GKB38" s="975"/>
      <c r="GKC38" s="975"/>
      <c r="GKD38" s="975"/>
      <c r="GKE38" s="975"/>
      <c r="GKF38" s="975"/>
      <c r="GKG38" s="975"/>
      <c r="GKH38" s="975"/>
      <c r="GKI38" s="975"/>
      <c r="GKJ38" s="975"/>
      <c r="GKK38" s="975"/>
      <c r="GKL38" s="975"/>
      <c r="GKM38" s="975"/>
      <c r="GKN38" s="975"/>
      <c r="GKO38" s="975"/>
      <c r="GKP38" s="975"/>
      <c r="GKQ38" s="975"/>
      <c r="GKR38" s="975"/>
      <c r="GKS38" s="975"/>
      <c r="GKT38" s="975"/>
      <c r="GKU38" s="975"/>
      <c r="GKV38" s="975"/>
      <c r="GKW38" s="975"/>
      <c r="GKX38" s="975"/>
      <c r="GKY38" s="975"/>
      <c r="GKZ38" s="975"/>
      <c r="GLA38" s="975"/>
      <c r="GLB38" s="975"/>
      <c r="GLC38" s="975"/>
      <c r="GLD38" s="975"/>
      <c r="GLE38" s="975"/>
      <c r="GLF38" s="975"/>
      <c r="GLG38" s="975"/>
      <c r="GLH38" s="975"/>
      <c r="GLI38" s="975"/>
      <c r="GLJ38" s="975"/>
      <c r="GLK38" s="975"/>
      <c r="GLL38" s="975"/>
      <c r="GLM38" s="975"/>
      <c r="GLN38" s="975"/>
      <c r="GLO38" s="975"/>
      <c r="GLP38" s="975"/>
      <c r="GLQ38" s="975"/>
      <c r="GLR38" s="975"/>
      <c r="GLS38" s="975"/>
      <c r="GLT38" s="975"/>
      <c r="GLU38" s="975"/>
      <c r="GLV38" s="975"/>
      <c r="GLW38" s="975"/>
      <c r="GLX38" s="975"/>
      <c r="GLY38" s="975"/>
      <c r="GLZ38" s="975"/>
      <c r="GMA38" s="975"/>
      <c r="GMB38" s="975"/>
      <c r="GMC38" s="975"/>
      <c r="GMD38" s="975"/>
      <c r="GME38" s="975"/>
      <c r="GMF38" s="975"/>
      <c r="GMG38" s="975"/>
      <c r="GMH38" s="975"/>
      <c r="GMI38" s="975"/>
      <c r="GMJ38" s="975"/>
      <c r="GMK38" s="975"/>
      <c r="GML38" s="975"/>
      <c r="GMM38" s="975"/>
      <c r="GMN38" s="975"/>
      <c r="GMO38" s="975"/>
      <c r="GMP38" s="975"/>
      <c r="GMQ38" s="975"/>
      <c r="GMR38" s="975"/>
      <c r="GMS38" s="975"/>
      <c r="GMT38" s="975"/>
      <c r="GMU38" s="975"/>
      <c r="GMV38" s="975"/>
      <c r="GMW38" s="975"/>
      <c r="GMX38" s="975"/>
      <c r="GMY38" s="975"/>
      <c r="GMZ38" s="975"/>
      <c r="GNA38" s="975"/>
      <c r="GNB38" s="975"/>
      <c r="GNC38" s="975"/>
      <c r="GND38" s="975"/>
      <c r="GNE38" s="975"/>
      <c r="GNF38" s="975"/>
      <c r="GNG38" s="975"/>
      <c r="GNH38" s="975"/>
      <c r="GNI38" s="975"/>
      <c r="GNJ38" s="975"/>
      <c r="GNK38" s="975"/>
      <c r="GNL38" s="975"/>
      <c r="GNM38" s="975"/>
      <c r="GNN38" s="975"/>
      <c r="GNO38" s="975"/>
      <c r="GNP38" s="975"/>
      <c r="GNQ38" s="975"/>
      <c r="GNR38" s="975"/>
      <c r="GNS38" s="975"/>
      <c r="GNT38" s="975"/>
      <c r="GNU38" s="975"/>
      <c r="GNV38" s="975"/>
      <c r="GNW38" s="975"/>
      <c r="GNX38" s="975"/>
      <c r="GNY38" s="975"/>
      <c r="GNZ38" s="975"/>
      <c r="GOA38" s="975"/>
      <c r="GOB38" s="975"/>
      <c r="GOC38" s="975"/>
      <c r="GOD38" s="975"/>
      <c r="GOE38" s="975"/>
      <c r="GOF38" s="975"/>
      <c r="GOG38" s="975"/>
      <c r="GOH38" s="975"/>
      <c r="GOI38" s="975"/>
      <c r="GOJ38" s="975"/>
      <c r="GOK38" s="975"/>
      <c r="GOL38" s="975"/>
      <c r="GOM38" s="975"/>
      <c r="GON38" s="975"/>
      <c r="GOO38" s="975"/>
      <c r="GOP38" s="975"/>
      <c r="GOQ38" s="975"/>
      <c r="GOR38" s="975"/>
      <c r="GOS38" s="975"/>
      <c r="GOT38" s="975"/>
      <c r="GOU38" s="975"/>
      <c r="GOV38" s="975"/>
      <c r="GOW38" s="975"/>
      <c r="GOX38" s="975"/>
      <c r="GOY38" s="975"/>
      <c r="GOZ38" s="975"/>
      <c r="GPA38" s="975"/>
      <c r="GPB38" s="975"/>
      <c r="GPC38" s="975"/>
      <c r="GPD38" s="975"/>
      <c r="GPE38" s="975"/>
      <c r="GPF38" s="975"/>
      <c r="GPG38" s="975"/>
      <c r="GPH38" s="975"/>
      <c r="GPI38" s="975"/>
      <c r="GPJ38" s="975"/>
      <c r="GPK38" s="975"/>
      <c r="GPL38" s="975"/>
      <c r="GPM38" s="975"/>
      <c r="GPN38" s="975"/>
      <c r="GPO38" s="975"/>
      <c r="GPP38" s="975"/>
      <c r="GPQ38" s="975"/>
      <c r="GPR38" s="975"/>
      <c r="GPS38" s="975"/>
      <c r="GPT38" s="975"/>
      <c r="GPU38" s="975"/>
      <c r="GPV38" s="975"/>
      <c r="GPW38" s="975"/>
      <c r="GPX38" s="975"/>
      <c r="GPY38" s="975"/>
      <c r="GPZ38" s="975"/>
      <c r="GQA38" s="975"/>
      <c r="GQB38" s="975"/>
      <c r="GQC38" s="975"/>
      <c r="GQD38" s="975"/>
      <c r="GQE38" s="975"/>
      <c r="GQF38" s="975"/>
      <c r="GQG38" s="975"/>
      <c r="GQH38" s="975"/>
      <c r="GQI38" s="975"/>
      <c r="GQJ38" s="975"/>
      <c r="GQK38" s="975"/>
      <c r="GQL38" s="975"/>
      <c r="GQM38" s="975"/>
      <c r="GQN38" s="975"/>
      <c r="GQO38" s="975"/>
      <c r="GQP38" s="975"/>
      <c r="GQQ38" s="975"/>
      <c r="GQR38" s="975"/>
      <c r="GQS38" s="975"/>
      <c r="GQT38" s="975"/>
      <c r="GQU38" s="975"/>
      <c r="GQV38" s="975"/>
      <c r="GQW38" s="975"/>
      <c r="GQX38" s="975"/>
      <c r="GQY38" s="975"/>
      <c r="GQZ38" s="975"/>
      <c r="GRA38" s="975"/>
      <c r="GRB38" s="975"/>
      <c r="GRC38" s="975"/>
      <c r="GRD38" s="975"/>
      <c r="GRE38" s="975"/>
      <c r="GRF38" s="975"/>
      <c r="GRG38" s="975"/>
      <c r="GRH38" s="975"/>
      <c r="GRI38" s="975"/>
      <c r="GRJ38" s="975"/>
      <c r="GRK38" s="975"/>
      <c r="GRL38" s="975"/>
      <c r="GRM38" s="975"/>
      <c r="GRN38" s="975"/>
      <c r="GRO38" s="975"/>
      <c r="GRP38" s="975"/>
      <c r="GRQ38" s="975"/>
      <c r="GRR38" s="975"/>
      <c r="GRS38" s="975"/>
      <c r="GRT38" s="975"/>
      <c r="GRU38" s="975"/>
      <c r="GRV38" s="975"/>
      <c r="GRW38" s="975"/>
      <c r="GRX38" s="975"/>
      <c r="GRY38" s="975"/>
      <c r="GRZ38" s="975"/>
      <c r="GSA38" s="975"/>
      <c r="GSB38" s="975"/>
      <c r="GSC38" s="975"/>
      <c r="GSD38" s="975"/>
      <c r="GSE38" s="975"/>
      <c r="GSF38" s="975"/>
      <c r="GSG38" s="975"/>
      <c r="GSH38" s="975"/>
      <c r="GSI38" s="975"/>
      <c r="GSJ38" s="975"/>
      <c r="GSK38" s="975"/>
      <c r="GSL38" s="975"/>
      <c r="GSM38" s="975"/>
      <c r="GSN38" s="975"/>
      <c r="GSO38" s="975"/>
      <c r="GSP38" s="975"/>
      <c r="GSQ38" s="975"/>
      <c r="GSR38" s="975"/>
      <c r="GSS38" s="975"/>
      <c r="GST38" s="975"/>
      <c r="GSU38" s="975"/>
      <c r="GSV38" s="975"/>
      <c r="GSW38" s="975"/>
      <c r="GSX38" s="975"/>
      <c r="GSY38" s="975"/>
      <c r="GSZ38" s="975"/>
      <c r="GTA38" s="975"/>
      <c r="GTB38" s="975"/>
      <c r="GTC38" s="975"/>
      <c r="GTD38" s="975"/>
      <c r="GTE38" s="975"/>
      <c r="GTF38" s="975"/>
      <c r="GTG38" s="975"/>
      <c r="GTH38" s="975"/>
      <c r="GTI38" s="975"/>
      <c r="GTJ38" s="975"/>
      <c r="GTK38" s="975"/>
      <c r="GTL38" s="975"/>
      <c r="GTM38" s="975"/>
      <c r="GTN38" s="975"/>
      <c r="GTO38" s="975"/>
      <c r="GTP38" s="975"/>
      <c r="GTQ38" s="975"/>
      <c r="GTR38" s="975"/>
      <c r="GTS38" s="975"/>
      <c r="GTT38" s="975"/>
      <c r="GTU38" s="975"/>
      <c r="GTV38" s="975"/>
      <c r="GTW38" s="975"/>
      <c r="GTX38" s="975"/>
      <c r="GTY38" s="975"/>
      <c r="GTZ38" s="975"/>
      <c r="GUA38" s="975"/>
      <c r="GUB38" s="975"/>
      <c r="GUC38" s="975"/>
      <c r="GUD38" s="975"/>
      <c r="GUE38" s="975"/>
      <c r="GUF38" s="975"/>
      <c r="GUG38" s="975"/>
      <c r="GUH38" s="975"/>
      <c r="GUI38" s="975"/>
      <c r="GUJ38" s="975"/>
      <c r="GUK38" s="975"/>
      <c r="GUL38" s="975"/>
      <c r="GUM38" s="975"/>
      <c r="GUN38" s="975"/>
      <c r="GUO38" s="975"/>
      <c r="GUP38" s="975"/>
      <c r="GUQ38" s="975"/>
      <c r="GUR38" s="975"/>
      <c r="GUS38" s="975"/>
      <c r="GUT38" s="975"/>
      <c r="GUU38" s="975"/>
      <c r="GUV38" s="975"/>
      <c r="GUW38" s="975"/>
      <c r="GUX38" s="975"/>
      <c r="GUY38" s="975"/>
      <c r="GUZ38" s="975"/>
      <c r="GVA38" s="975"/>
      <c r="GVB38" s="975"/>
      <c r="GVC38" s="975"/>
      <c r="GVD38" s="975"/>
      <c r="GVE38" s="975"/>
      <c r="GVF38" s="975"/>
      <c r="GVG38" s="975"/>
      <c r="GVH38" s="975"/>
      <c r="GVI38" s="975"/>
      <c r="GVJ38" s="975"/>
      <c r="GVK38" s="975"/>
      <c r="GVL38" s="975"/>
      <c r="GVM38" s="975"/>
      <c r="GVN38" s="975"/>
      <c r="GVO38" s="975"/>
      <c r="GVP38" s="975"/>
      <c r="GVQ38" s="975"/>
      <c r="GVR38" s="975"/>
      <c r="GVS38" s="975"/>
      <c r="GVT38" s="975"/>
      <c r="GVU38" s="975"/>
      <c r="GVV38" s="975"/>
      <c r="GVW38" s="975"/>
      <c r="GVX38" s="975"/>
      <c r="GVY38" s="975"/>
      <c r="GVZ38" s="975"/>
      <c r="GWA38" s="975"/>
      <c r="GWB38" s="975"/>
      <c r="GWC38" s="975"/>
      <c r="GWD38" s="975"/>
      <c r="GWE38" s="975"/>
      <c r="GWF38" s="975"/>
      <c r="GWG38" s="975"/>
      <c r="GWH38" s="975"/>
      <c r="GWI38" s="975"/>
      <c r="GWJ38" s="975"/>
      <c r="GWK38" s="975"/>
      <c r="GWL38" s="975"/>
      <c r="GWM38" s="975"/>
      <c r="GWN38" s="975"/>
      <c r="GWO38" s="975"/>
      <c r="GWP38" s="975"/>
      <c r="GWQ38" s="975"/>
      <c r="GWR38" s="975"/>
      <c r="GWS38" s="975"/>
      <c r="GWT38" s="975"/>
      <c r="GWU38" s="975"/>
      <c r="GWV38" s="975"/>
      <c r="GWW38" s="975"/>
      <c r="GWX38" s="975"/>
      <c r="GWY38" s="975"/>
      <c r="GWZ38" s="975"/>
      <c r="GXA38" s="975"/>
      <c r="GXB38" s="975"/>
      <c r="GXC38" s="975"/>
      <c r="GXD38" s="975"/>
      <c r="GXE38" s="975"/>
      <c r="GXF38" s="975"/>
      <c r="GXG38" s="975"/>
      <c r="GXH38" s="975"/>
      <c r="GXI38" s="975"/>
      <c r="GXJ38" s="975"/>
      <c r="GXK38" s="975"/>
      <c r="GXL38" s="975"/>
      <c r="GXM38" s="975"/>
      <c r="GXN38" s="975"/>
      <c r="GXO38" s="975"/>
      <c r="GXP38" s="975"/>
      <c r="GXQ38" s="975"/>
      <c r="GXR38" s="975"/>
      <c r="GXS38" s="975"/>
      <c r="GXT38" s="975"/>
      <c r="GXU38" s="975"/>
      <c r="GXV38" s="975"/>
      <c r="GXW38" s="975"/>
      <c r="GXX38" s="975"/>
      <c r="GXY38" s="975"/>
      <c r="GXZ38" s="975"/>
      <c r="GYA38" s="975"/>
      <c r="GYB38" s="975"/>
      <c r="GYC38" s="975"/>
      <c r="GYD38" s="975"/>
      <c r="GYE38" s="975"/>
      <c r="GYF38" s="975"/>
      <c r="GYG38" s="975"/>
      <c r="GYH38" s="975"/>
      <c r="GYI38" s="975"/>
      <c r="GYJ38" s="975"/>
      <c r="GYK38" s="975"/>
      <c r="GYL38" s="975"/>
      <c r="GYM38" s="975"/>
      <c r="GYN38" s="975"/>
      <c r="GYO38" s="975"/>
      <c r="GYP38" s="975"/>
      <c r="GYQ38" s="975"/>
      <c r="GYR38" s="975"/>
      <c r="GYS38" s="975"/>
      <c r="GYT38" s="975"/>
      <c r="GYU38" s="975"/>
      <c r="GYV38" s="975"/>
      <c r="GYW38" s="975"/>
      <c r="GYX38" s="975"/>
      <c r="GYY38" s="975"/>
      <c r="GYZ38" s="975"/>
      <c r="GZA38" s="975"/>
      <c r="GZB38" s="975"/>
      <c r="GZC38" s="975"/>
      <c r="GZD38" s="975"/>
      <c r="GZE38" s="975"/>
      <c r="GZF38" s="975"/>
      <c r="GZG38" s="975"/>
      <c r="GZH38" s="975"/>
      <c r="GZI38" s="975"/>
      <c r="GZJ38" s="975"/>
      <c r="GZK38" s="975"/>
      <c r="GZL38" s="975"/>
      <c r="GZM38" s="975"/>
      <c r="GZN38" s="975"/>
      <c r="GZO38" s="975"/>
      <c r="GZP38" s="975"/>
      <c r="GZQ38" s="975"/>
      <c r="GZR38" s="975"/>
      <c r="GZS38" s="975"/>
      <c r="GZT38" s="975"/>
      <c r="GZU38" s="975"/>
      <c r="GZV38" s="975"/>
      <c r="GZW38" s="975"/>
      <c r="GZX38" s="975"/>
      <c r="GZY38" s="975"/>
      <c r="GZZ38" s="975"/>
      <c r="HAA38" s="975"/>
      <c r="HAB38" s="975"/>
      <c r="HAC38" s="975"/>
      <c r="HAD38" s="975"/>
      <c r="HAE38" s="975"/>
      <c r="HAF38" s="975"/>
      <c r="HAG38" s="975"/>
      <c r="HAH38" s="975"/>
      <c r="HAI38" s="975"/>
      <c r="HAJ38" s="975"/>
      <c r="HAK38" s="975"/>
      <c r="HAL38" s="975"/>
      <c r="HAM38" s="975"/>
      <c r="HAN38" s="975"/>
      <c r="HAO38" s="975"/>
      <c r="HAP38" s="975"/>
      <c r="HAQ38" s="975"/>
      <c r="HAR38" s="975"/>
      <c r="HAS38" s="975"/>
      <c r="HAT38" s="975"/>
      <c r="HAU38" s="975"/>
      <c r="HAV38" s="975"/>
      <c r="HAW38" s="975"/>
      <c r="HAX38" s="975"/>
      <c r="HAY38" s="975"/>
      <c r="HAZ38" s="975"/>
      <c r="HBA38" s="975"/>
      <c r="HBB38" s="975"/>
      <c r="HBC38" s="975"/>
      <c r="HBD38" s="975"/>
      <c r="HBE38" s="975"/>
      <c r="HBF38" s="975"/>
      <c r="HBG38" s="975"/>
      <c r="HBH38" s="975"/>
      <c r="HBI38" s="975"/>
      <c r="HBJ38" s="975"/>
      <c r="HBK38" s="975"/>
      <c r="HBL38" s="975"/>
      <c r="HBM38" s="975"/>
      <c r="HBN38" s="975"/>
      <c r="HBO38" s="975"/>
      <c r="HBP38" s="975"/>
      <c r="HBQ38" s="975"/>
      <c r="HBR38" s="975"/>
      <c r="HBS38" s="975"/>
      <c r="HBT38" s="975"/>
      <c r="HBU38" s="975"/>
      <c r="HBV38" s="975"/>
      <c r="HBW38" s="975"/>
      <c r="HBX38" s="975"/>
      <c r="HBY38" s="975"/>
      <c r="HBZ38" s="975"/>
      <c r="HCA38" s="975"/>
      <c r="HCB38" s="975"/>
      <c r="HCC38" s="975"/>
      <c r="HCD38" s="975"/>
      <c r="HCE38" s="975"/>
      <c r="HCF38" s="975"/>
      <c r="HCG38" s="975"/>
      <c r="HCH38" s="975"/>
      <c r="HCI38" s="975"/>
      <c r="HCJ38" s="975"/>
      <c r="HCK38" s="975"/>
      <c r="HCL38" s="975"/>
      <c r="HCM38" s="975"/>
      <c r="HCN38" s="975"/>
      <c r="HCO38" s="975"/>
      <c r="HCP38" s="975"/>
      <c r="HCQ38" s="975"/>
      <c r="HCR38" s="975"/>
      <c r="HCS38" s="975"/>
      <c r="HCT38" s="975"/>
      <c r="HCU38" s="975"/>
      <c r="HCV38" s="975"/>
      <c r="HCW38" s="975"/>
      <c r="HCX38" s="975"/>
      <c r="HCY38" s="975"/>
      <c r="HCZ38" s="975"/>
      <c r="HDA38" s="975"/>
      <c r="HDB38" s="975"/>
      <c r="HDC38" s="975"/>
      <c r="HDD38" s="975"/>
      <c r="HDE38" s="975"/>
      <c r="HDF38" s="975"/>
      <c r="HDG38" s="975"/>
      <c r="HDH38" s="975"/>
      <c r="HDI38" s="975"/>
      <c r="HDJ38" s="975"/>
      <c r="HDK38" s="975"/>
      <c r="HDL38" s="975"/>
      <c r="HDM38" s="975"/>
      <c r="HDN38" s="975"/>
      <c r="HDO38" s="975"/>
      <c r="HDP38" s="975"/>
      <c r="HDQ38" s="975"/>
      <c r="HDR38" s="975"/>
      <c r="HDS38" s="975"/>
      <c r="HDT38" s="975"/>
      <c r="HDU38" s="975"/>
      <c r="HDV38" s="975"/>
      <c r="HDW38" s="975"/>
      <c r="HDX38" s="975"/>
      <c r="HDY38" s="975"/>
      <c r="HDZ38" s="975"/>
      <c r="HEA38" s="975"/>
      <c r="HEB38" s="975"/>
      <c r="HEC38" s="975"/>
      <c r="HED38" s="975"/>
      <c r="HEE38" s="975"/>
      <c r="HEF38" s="975"/>
      <c r="HEG38" s="975"/>
      <c r="HEH38" s="975"/>
      <c r="HEI38" s="975"/>
      <c r="HEJ38" s="975"/>
      <c r="HEK38" s="975"/>
      <c r="HEL38" s="975"/>
      <c r="HEM38" s="975"/>
      <c r="HEN38" s="975"/>
      <c r="HEO38" s="975"/>
      <c r="HEP38" s="975"/>
      <c r="HEQ38" s="975"/>
      <c r="HER38" s="975"/>
      <c r="HES38" s="975"/>
      <c r="HET38" s="975"/>
      <c r="HEU38" s="975"/>
      <c r="HEV38" s="975"/>
      <c r="HEW38" s="975"/>
      <c r="HEX38" s="975"/>
      <c r="HEY38" s="975"/>
      <c r="HEZ38" s="975"/>
      <c r="HFA38" s="975"/>
      <c r="HFB38" s="975"/>
      <c r="HFC38" s="975"/>
      <c r="HFD38" s="975"/>
      <c r="HFE38" s="975"/>
      <c r="HFF38" s="975"/>
      <c r="HFG38" s="975"/>
      <c r="HFH38" s="975"/>
      <c r="HFI38" s="975"/>
      <c r="HFJ38" s="975"/>
      <c r="HFK38" s="975"/>
      <c r="HFL38" s="975"/>
      <c r="HFM38" s="975"/>
      <c r="HFN38" s="975"/>
      <c r="HFO38" s="975"/>
      <c r="HFP38" s="975"/>
      <c r="HFQ38" s="975"/>
      <c r="HFR38" s="975"/>
      <c r="HFS38" s="975"/>
      <c r="HFT38" s="975"/>
      <c r="HFU38" s="975"/>
      <c r="HFV38" s="975"/>
      <c r="HFW38" s="975"/>
      <c r="HFX38" s="975"/>
      <c r="HFY38" s="975"/>
      <c r="HFZ38" s="975"/>
      <c r="HGA38" s="975"/>
      <c r="HGB38" s="975"/>
      <c r="HGC38" s="975"/>
      <c r="HGD38" s="975"/>
      <c r="HGE38" s="975"/>
      <c r="HGF38" s="975"/>
      <c r="HGG38" s="975"/>
      <c r="HGH38" s="975"/>
      <c r="HGI38" s="975"/>
      <c r="HGJ38" s="975"/>
      <c r="HGK38" s="975"/>
      <c r="HGL38" s="975"/>
      <c r="HGM38" s="975"/>
      <c r="HGN38" s="975"/>
      <c r="HGO38" s="975"/>
      <c r="HGP38" s="975"/>
      <c r="HGQ38" s="975"/>
      <c r="HGR38" s="975"/>
      <c r="HGS38" s="975"/>
      <c r="HGT38" s="975"/>
      <c r="HGU38" s="975"/>
      <c r="HGV38" s="975"/>
      <c r="HGW38" s="975"/>
      <c r="HGX38" s="975"/>
      <c r="HGY38" s="975"/>
      <c r="HGZ38" s="975"/>
      <c r="HHA38" s="975"/>
      <c r="HHB38" s="975"/>
      <c r="HHC38" s="975"/>
      <c r="HHD38" s="975"/>
      <c r="HHE38" s="975"/>
      <c r="HHF38" s="975"/>
      <c r="HHG38" s="975"/>
      <c r="HHH38" s="975"/>
      <c r="HHI38" s="975"/>
      <c r="HHJ38" s="975"/>
      <c r="HHK38" s="975"/>
      <c r="HHL38" s="975"/>
      <c r="HHM38" s="975"/>
      <c r="HHN38" s="975"/>
      <c r="HHO38" s="975"/>
      <c r="HHP38" s="975"/>
      <c r="HHQ38" s="975"/>
      <c r="HHR38" s="975"/>
      <c r="HHS38" s="975"/>
      <c r="HHT38" s="975"/>
      <c r="HHU38" s="975"/>
      <c r="HHV38" s="975"/>
      <c r="HHW38" s="975"/>
      <c r="HHX38" s="975"/>
      <c r="HHY38" s="975"/>
      <c r="HHZ38" s="975"/>
      <c r="HIA38" s="975"/>
      <c r="HIB38" s="975"/>
      <c r="HIC38" s="975"/>
      <c r="HID38" s="975"/>
      <c r="HIE38" s="975"/>
      <c r="HIF38" s="975"/>
      <c r="HIG38" s="975"/>
      <c r="HIH38" s="975"/>
      <c r="HII38" s="975"/>
      <c r="HIJ38" s="975"/>
      <c r="HIK38" s="975"/>
      <c r="HIL38" s="975"/>
      <c r="HIM38" s="975"/>
      <c r="HIN38" s="975"/>
      <c r="HIO38" s="975"/>
      <c r="HIP38" s="975"/>
      <c r="HIQ38" s="975"/>
      <c r="HIR38" s="975"/>
      <c r="HIS38" s="975"/>
      <c r="HIT38" s="975"/>
      <c r="HIU38" s="975"/>
      <c r="HIV38" s="975"/>
      <c r="HIW38" s="975"/>
      <c r="HIX38" s="975"/>
      <c r="HIY38" s="975"/>
      <c r="HIZ38" s="975"/>
      <c r="HJA38" s="975"/>
      <c r="HJB38" s="975"/>
      <c r="HJC38" s="975"/>
      <c r="HJD38" s="975"/>
      <c r="HJE38" s="975"/>
      <c r="HJF38" s="975"/>
      <c r="HJG38" s="975"/>
      <c r="HJH38" s="975"/>
      <c r="HJI38" s="975"/>
      <c r="HJJ38" s="975"/>
      <c r="HJK38" s="975"/>
      <c r="HJL38" s="975"/>
      <c r="HJM38" s="975"/>
      <c r="HJN38" s="975"/>
      <c r="HJO38" s="975"/>
      <c r="HJP38" s="975"/>
      <c r="HJQ38" s="975"/>
      <c r="HJR38" s="975"/>
      <c r="HJS38" s="975"/>
      <c r="HJT38" s="975"/>
      <c r="HJU38" s="975"/>
      <c r="HJV38" s="975"/>
      <c r="HJW38" s="975"/>
      <c r="HJX38" s="975"/>
      <c r="HJY38" s="975"/>
      <c r="HJZ38" s="975"/>
      <c r="HKA38" s="975"/>
      <c r="HKB38" s="975"/>
      <c r="HKC38" s="975"/>
      <c r="HKD38" s="975"/>
      <c r="HKE38" s="975"/>
      <c r="HKF38" s="975"/>
      <c r="HKG38" s="975"/>
      <c r="HKH38" s="975"/>
      <c r="HKI38" s="975"/>
      <c r="HKJ38" s="975"/>
      <c r="HKK38" s="975"/>
      <c r="HKL38" s="975"/>
      <c r="HKM38" s="975"/>
      <c r="HKN38" s="975"/>
      <c r="HKO38" s="975"/>
      <c r="HKP38" s="975"/>
      <c r="HKQ38" s="975"/>
      <c r="HKR38" s="975"/>
      <c r="HKS38" s="975"/>
      <c r="HKT38" s="975"/>
      <c r="HKU38" s="975"/>
      <c r="HKV38" s="975"/>
      <c r="HKW38" s="975"/>
      <c r="HKX38" s="975"/>
      <c r="HKY38" s="975"/>
      <c r="HKZ38" s="975"/>
      <c r="HLA38" s="975"/>
      <c r="HLB38" s="975"/>
      <c r="HLC38" s="975"/>
      <c r="HLD38" s="975"/>
      <c r="HLE38" s="975"/>
      <c r="HLF38" s="975"/>
      <c r="HLG38" s="975"/>
      <c r="HLH38" s="975"/>
      <c r="HLI38" s="975"/>
      <c r="HLJ38" s="975"/>
      <c r="HLK38" s="975"/>
      <c r="HLL38" s="975"/>
      <c r="HLM38" s="975"/>
      <c r="HLN38" s="975"/>
      <c r="HLO38" s="975"/>
      <c r="HLP38" s="975"/>
      <c r="HLQ38" s="975"/>
      <c r="HLR38" s="975"/>
      <c r="HLS38" s="975"/>
      <c r="HLT38" s="975"/>
      <c r="HLU38" s="975"/>
      <c r="HLV38" s="975"/>
      <c r="HLW38" s="975"/>
      <c r="HLX38" s="975"/>
      <c r="HLY38" s="975"/>
      <c r="HLZ38" s="975"/>
      <c r="HMA38" s="975"/>
      <c r="HMB38" s="975"/>
      <c r="HMC38" s="975"/>
      <c r="HMD38" s="975"/>
      <c r="HME38" s="975"/>
      <c r="HMF38" s="975"/>
      <c r="HMG38" s="975"/>
      <c r="HMH38" s="975"/>
      <c r="HMI38" s="975"/>
      <c r="HMJ38" s="975"/>
      <c r="HMK38" s="975"/>
      <c r="HML38" s="975"/>
      <c r="HMM38" s="975"/>
      <c r="HMN38" s="975"/>
      <c r="HMO38" s="975"/>
      <c r="HMP38" s="975"/>
      <c r="HMQ38" s="975"/>
      <c r="HMR38" s="975"/>
      <c r="HMS38" s="975"/>
      <c r="HMT38" s="975"/>
      <c r="HMU38" s="975"/>
      <c r="HMV38" s="975"/>
      <c r="HMW38" s="975"/>
      <c r="HMX38" s="975"/>
      <c r="HMY38" s="975"/>
      <c r="HMZ38" s="975"/>
      <c r="HNA38" s="975"/>
      <c r="HNB38" s="975"/>
      <c r="HNC38" s="975"/>
      <c r="HND38" s="975"/>
      <c r="HNE38" s="975"/>
      <c r="HNF38" s="975"/>
      <c r="HNG38" s="975"/>
      <c r="HNH38" s="975"/>
      <c r="HNI38" s="975"/>
      <c r="HNJ38" s="975"/>
      <c r="HNK38" s="975"/>
      <c r="HNL38" s="975"/>
      <c r="HNM38" s="975"/>
      <c r="HNN38" s="975"/>
      <c r="HNO38" s="975"/>
      <c r="HNP38" s="975"/>
      <c r="HNQ38" s="975"/>
      <c r="HNR38" s="975"/>
      <c r="HNS38" s="975"/>
      <c r="HNT38" s="975"/>
      <c r="HNU38" s="975"/>
      <c r="HNV38" s="975"/>
      <c r="HNW38" s="975"/>
      <c r="HNX38" s="975"/>
      <c r="HNY38" s="975"/>
      <c r="HNZ38" s="975"/>
      <c r="HOA38" s="975"/>
      <c r="HOB38" s="975"/>
      <c r="HOC38" s="975"/>
      <c r="HOD38" s="975"/>
      <c r="HOE38" s="975"/>
      <c r="HOF38" s="975"/>
      <c r="HOG38" s="975"/>
      <c r="HOH38" s="975"/>
      <c r="HOI38" s="975"/>
      <c r="HOJ38" s="975"/>
      <c r="HOK38" s="975"/>
      <c r="HOL38" s="975"/>
      <c r="HOM38" s="975"/>
      <c r="HON38" s="975"/>
      <c r="HOO38" s="975"/>
      <c r="HOP38" s="975"/>
      <c r="HOQ38" s="975"/>
      <c r="HOR38" s="975"/>
      <c r="HOS38" s="975"/>
      <c r="HOT38" s="975"/>
      <c r="HOU38" s="975"/>
      <c r="HOV38" s="975"/>
      <c r="HOW38" s="975"/>
      <c r="HOX38" s="975"/>
      <c r="HOY38" s="975"/>
      <c r="HOZ38" s="975"/>
      <c r="HPA38" s="975"/>
      <c r="HPB38" s="975"/>
      <c r="HPC38" s="975"/>
      <c r="HPD38" s="975"/>
      <c r="HPE38" s="975"/>
      <c r="HPF38" s="975"/>
      <c r="HPG38" s="975"/>
      <c r="HPH38" s="975"/>
      <c r="HPI38" s="975"/>
      <c r="HPJ38" s="975"/>
      <c r="HPK38" s="975"/>
      <c r="HPL38" s="975"/>
      <c r="HPM38" s="975"/>
      <c r="HPN38" s="975"/>
      <c r="HPO38" s="975"/>
      <c r="HPP38" s="975"/>
      <c r="HPQ38" s="975"/>
      <c r="HPR38" s="975"/>
      <c r="HPS38" s="975"/>
      <c r="HPT38" s="975"/>
      <c r="HPU38" s="975"/>
      <c r="HPV38" s="975"/>
      <c r="HPW38" s="975"/>
      <c r="HPX38" s="975"/>
      <c r="HPY38" s="975"/>
      <c r="HPZ38" s="975"/>
      <c r="HQA38" s="975"/>
      <c r="HQB38" s="975"/>
      <c r="HQC38" s="975"/>
      <c r="HQD38" s="975"/>
      <c r="HQE38" s="975"/>
      <c r="HQF38" s="975"/>
      <c r="HQG38" s="975"/>
      <c r="HQH38" s="975"/>
      <c r="HQI38" s="975"/>
      <c r="HQJ38" s="975"/>
      <c r="HQK38" s="975"/>
      <c r="HQL38" s="975"/>
      <c r="HQM38" s="975"/>
      <c r="HQN38" s="975"/>
      <c r="HQO38" s="975"/>
      <c r="HQP38" s="975"/>
      <c r="HQQ38" s="975"/>
      <c r="HQR38" s="975"/>
      <c r="HQS38" s="975"/>
      <c r="HQT38" s="975"/>
      <c r="HQU38" s="975"/>
      <c r="HQV38" s="975"/>
      <c r="HQW38" s="975"/>
      <c r="HQX38" s="975"/>
      <c r="HQY38" s="975"/>
      <c r="HQZ38" s="975"/>
      <c r="HRA38" s="975"/>
      <c r="HRB38" s="975"/>
      <c r="HRC38" s="975"/>
      <c r="HRD38" s="975"/>
      <c r="HRE38" s="975"/>
      <c r="HRF38" s="975"/>
      <c r="HRG38" s="975"/>
      <c r="HRH38" s="975"/>
      <c r="HRI38" s="975"/>
      <c r="HRJ38" s="975"/>
      <c r="HRK38" s="975"/>
      <c r="HRL38" s="975"/>
      <c r="HRM38" s="975"/>
      <c r="HRN38" s="975"/>
      <c r="HRO38" s="975"/>
      <c r="HRP38" s="975"/>
      <c r="HRQ38" s="975"/>
      <c r="HRR38" s="975"/>
      <c r="HRS38" s="975"/>
      <c r="HRT38" s="975"/>
      <c r="HRU38" s="975"/>
      <c r="HRV38" s="975"/>
      <c r="HRW38" s="975"/>
      <c r="HRX38" s="975"/>
      <c r="HRY38" s="975"/>
      <c r="HRZ38" s="975"/>
      <c r="HSA38" s="975"/>
      <c r="HSB38" s="975"/>
      <c r="HSC38" s="975"/>
      <c r="HSD38" s="975"/>
      <c r="HSE38" s="975"/>
      <c r="HSF38" s="975"/>
      <c r="HSG38" s="975"/>
      <c r="HSH38" s="975"/>
      <c r="HSI38" s="975"/>
      <c r="HSJ38" s="975"/>
      <c r="HSK38" s="975"/>
      <c r="HSL38" s="975"/>
      <c r="HSM38" s="975"/>
      <c r="HSN38" s="975"/>
      <c r="HSO38" s="975"/>
      <c r="HSP38" s="975"/>
      <c r="HSQ38" s="975"/>
      <c r="HSR38" s="975"/>
      <c r="HSS38" s="975"/>
      <c r="HST38" s="975"/>
      <c r="HSU38" s="975"/>
      <c r="HSV38" s="975"/>
      <c r="HSW38" s="975"/>
      <c r="HSX38" s="975"/>
      <c r="HSY38" s="975"/>
      <c r="HSZ38" s="975"/>
      <c r="HTA38" s="975"/>
      <c r="HTB38" s="975"/>
      <c r="HTC38" s="975"/>
      <c r="HTD38" s="975"/>
      <c r="HTE38" s="975"/>
      <c r="HTF38" s="975"/>
      <c r="HTG38" s="975"/>
      <c r="HTH38" s="975"/>
      <c r="HTI38" s="975"/>
      <c r="HTJ38" s="975"/>
      <c r="HTK38" s="975"/>
      <c r="HTL38" s="975"/>
      <c r="HTM38" s="975"/>
      <c r="HTN38" s="975"/>
      <c r="HTO38" s="975"/>
      <c r="HTP38" s="975"/>
      <c r="HTQ38" s="975"/>
      <c r="HTR38" s="975"/>
      <c r="HTS38" s="975"/>
      <c r="HTT38" s="975"/>
      <c r="HTU38" s="975"/>
      <c r="HTV38" s="975"/>
      <c r="HTW38" s="975"/>
      <c r="HTX38" s="975"/>
      <c r="HTY38" s="975"/>
      <c r="HTZ38" s="975"/>
      <c r="HUA38" s="975"/>
      <c r="HUB38" s="975"/>
      <c r="HUC38" s="975"/>
      <c r="HUD38" s="975"/>
      <c r="HUE38" s="975"/>
      <c r="HUF38" s="975"/>
      <c r="HUG38" s="975"/>
      <c r="HUH38" s="975"/>
      <c r="HUI38" s="975"/>
      <c r="HUJ38" s="975"/>
      <c r="HUK38" s="975"/>
      <c r="HUL38" s="975"/>
      <c r="HUM38" s="975"/>
      <c r="HUN38" s="975"/>
      <c r="HUO38" s="975"/>
      <c r="HUP38" s="975"/>
      <c r="HUQ38" s="975"/>
      <c r="HUR38" s="975"/>
      <c r="HUS38" s="975"/>
      <c r="HUT38" s="975"/>
      <c r="HUU38" s="975"/>
      <c r="HUV38" s="975"/>
      <c r="HUW38" s="975"/>
      <c r="HUX38" s="975"/>
      <c r="HUY38" s="975"/>
      <c r="HUZ38" s="975"/>
      <c r="HVA38" s="975"/>
      <c r="HVB38" s="975"/>
      <c r="HVC38" s="975"/>
      <c r="HVD38" s="975"/>
      <c r="HVE38" s="975"/>
      <c r="HVF38" s="975"/>
      <c r="HVG38" s="975"/>
      <c r="HVH38" s="975"/>
      <c r="HVI38" s="975"/>
      <c r="HVJ38" s="975"/>
      <c r="HVK38" s="975"/>
      <c r="HVL38" s="975"/>
      <c r="HVM38" s="975"/>
      <c r="HVN38" s="975"/>
      <c r="HVO38" s="975"/>
      <c r="HVP38" s="975"/>
      <c r="HVQ38" s="975"/>
      <c r="HVR38" s="975"/>
      <c r="HVS38" s="975"/>
      <c r="HVT38" s="975"/>
      <c r="HVU38" s="975"/>
      <c r="HVV38" s="975"/>
      <c r="HVW38" s="975"/>
      <c r="HVX38" s="975"/>
      <c r="HVY38" s="975"/>
      <c r="HVZ38" s="975"/>
      <c r="HWA38" s="975"/>
      <c r="HWB38" s="975"/>
      <c r="HWC38" s="975"/>
      <c r="HWD38" s="975"/>
      <c r="HWE38" s="975"/>
      <c r="HWF38" s="975"/>
      <c r="HWG38" s="975"/>
      <c r="HWH38" s="975"/>
      <c r="HWI38" s="975"/>
      <c r="HWJ38" s="975"/>
      <c r="HWK38" s="975"/>
      <c r="HWL38" s="975"/>
      <c r="HWM38" s="975"/>
      <c r="HWN38" s="975"/>
      <c r="HWO38" s="975"/>
      <c r="HWP38" s="975"/>
      <c r="HWQ38" s="975"/>
      <c r="HWR38" s="975"/>
      <c r="HWS38" s="975"/>
      <c r="HWT38" s="975"/>
      <c r="HWU38" s="975"/>
      <c r="HWV38" s="975"/>
      <c r="HWW38" s="975"/>
      <c r="HWX38" s="975"/>
      <c r="HWY38" s="975"/>
      <c r="HWZ38" s="975"/>
      <c r="HXA38" s="975"/>
      <c r="HXB38" s="975"/>
      <c r="HXC38" s="975"/>
      <c r="HXD38" s="975"/>
      <c r="HXE38" s="975"/>
      <c r="HXF38" s="975"/>
      <c r="HXG38" s="975"/>
      <c r="HXH38" s="975"/>
      <c r="HXI38" s="975"/>
      <c r="HXJ38" s="975"/>
      <c r="HXK38" s="975"/>
      <c r="HXL38" s="975"/>
      <c r="HXM38" s="975"/>
      <c r="HXN38" s="975"/>
      <c r="HXO38" s="975"/>
      <c r="HXP38" s="975"/>
      <c r="HXQ38" s="975"/>
      <c r="HXR38" s="975"/>
      <c r="HXS38" s="975"/>
      <c r="HXT38" s="975"/>
      <c r="HXU38" s="975"/>
      <c r="HXV38" s="975"/>
      <c r="HXW38" s="975"/>
      <c r="HXX38" s="975"/>
      <c r="HXY38" s="975"/>
      <c r="HXZ38" s="975"/>
      <c r="HYA38" s="975"/>
      <c r="HYB38" s="975"/>
      <c r="HYC38" s="975"/>
      <c r="HYD38" s="975"/>
      <c r="HYE38" s="975"/>
      <c r="HYF38" s="975"/>
      <c r="HYG38" s="975"/>
      <c r="HYH38" s="975"/>
      <c r="HYI38" s="975"/>
      <c r="HYJ38" s="975"/>
      <c r="HYK38" s="975"/>
      <c r="HYL38" s="975"/>
      <c r="HYM38" s="975"/>
      <c r="HYN38" s="975"/>
      <c r="HYO38" s="975"/>
      <c r="HYP38" s="975"/>
      <c r="HYQ38" s="975"/>
      <c r="HYR38" s="975"/>
      <c r="HYS38" s="975"/>
      <c r="HYT38" s="975"/>
      <c r="HYU38" s="975"/>
      <c r="HYV38" s="975"/>
      <c r="HYW38" s="975"/>
      <c r="HYX38" s="975"/>
      <c r="HYY38" s="975"/>
      <c r="HYZ38" s="975"/>
      <c r="HZA38" s="975"/>
      <c r="HZB38" s="975"/>
      <c r="HZC38" s="975"/>
      <c r="HZD38" s="975"/>
      <c r="HZE38" s="975"/>
      <c r="HZF38" s="975"/>
      <c r="HZG38" s="975"/>
      <c r="HZH38" s="975"/>
      <c r="HZI38" s="975"/>
      <c r="HZJ38" s="975"/>
      <c r="HZK38" s="975"/>
      <c r="HZL38" s="975"/>
      <c r="HZM38" s="975"/>
      <c r="HZN38" s="975"/>
      <c r="HZO38" s="975"/>
      <c r="HZP38" s="975"/>
      <c r="HZQ38" s="975"/>
      <c r="HZR38" s="975"/>
      <c r="HZS38" s="975"/>
      <c r="HZT38" s="975"/>
      <c r="HZU38" s="975"/>
      <c r="HZV38" s="975"/>
      <c r="HZW38" s="975"/>
      <c r="HZX38" s="975"/>
      <c r="HZY38" s="975"/>
      <c r="HZZ38" s="975"/>
      <c r="IAA38" s="975"/>
      <c r="IAB38" s="975"/>
      <c r="IAC38" s="975"/>
      <c r="IAD38" s="975"/>
      <c r="IAE38" s="975"/>
      <c r="IAF38" s="975"/>
      <c r="IAG38" s="975"/>
      <c r="IAH38" s="975"/>
      <c r="IAI38" s="975"/>
      <c r="IAJ38" s="975"/>
      <c r="IAK38" s="975"/>
      <c r="IAL38" s="975"/>
      <c r="IAM38" s="975"/>
      <c r="IAN38" s="975"/>
      <c r="IAO38" s="975"/>
      <c r="IAP38" s="975"/>
      <c r="IAQ38" s="975"/>
      <c r="IAR38" s="975"/>
      <c r="IAS38" s="975"/>
      <c r="IAT38" s="975"/>
      <c r="IAU38" s="975"/>
      <c r="IAV38" s="975"/>
      <c r="IAW38" s="975"/>
      <c r="IAX38" s="975"/>
      <c r="IAY38" s="975"/>
      <c r="IAZ38" s="975"/>
      <c r="IBA38" s="975"/>
      <c r="IBB38" s="975"/>
      <c r="IBC38" s="975"/>
      <c r="IBD38" s="975"/>
      <c r="IBE38" s="975"/>
      <c r="IBF38" s="975"/>
      <c r="IBG38" s="975"/>
      <c r="IBH38" s="975"/>
      <c r="IBI38" s="975"/>
      <c r="IBJ38" s="975"/>
      <c r="IBK38" s="975"/>
      <c r="IBL38" s="975"/>
      <c r="IBM38" s="975"/>
      <c r="IBN38" s="975"/>
      <c r="IBO38" s="975"/>
      <c r="IBP38" s="975"/>
      <c r="IBQ38" s="975"/>
      <c r="IBR38" s="975"/>
      <c r="IBS38" s="975"/>
      <c r="IBT38" s="975"/>
      <c r="IBU38" s="975"/>
      <c r="IBV38" s="975"/>
      <c r="IBW38" s="975"/>
      <c r="IBX38" s="975"/>
      <c r="IBY38" s="975"/>
      <c r="IBZ38" s="975"/>
      <c r="ICA38" s="975"/>
      <c r="ICB38" s="975"/>
      <c r="ICC38" s="975"/>
      <c r="ICD38" s="975"/>
      <c r="ICE38" s="975"/>
      <c r="ICF38" s="975"/>
      <c r="ICG38" s="975"/>
      <c r="ICH38" s="975"/>
      <c r="ICI38" s="975"/>
      <c r="ICJ38" s="975"/>
      <c r="ICK38" s="975"/>
      <c r="ICL38" s="975"/>
      <c r="ICM38" s="975"/>
      <c r="ICN38" s="975"/>
      <c r="ICO38" s="975"/>
      <c r="ICP38" s="975"/>
      <c r="ICQ38" s="975"/>
      <c r="ICR38" s="975"/>
      <c r="ICS38" s="975"/>
      <c r="ICT38" s="975"/>
      <c r="ICU38" s="975"/>
      <c r="ICV38" s="975"/>
      <c r="ICW38" s="975"/>
      <c r="ICX38" s="975"/>
      <c r="ICY38" s="975"/>
      <c r="ICZ38" s="975"/>
      <c r="IDA38" s="975"/>
      <c r="IDB38" s="975"/>
      <c r="IDC38" s="975"/>
      <c r="IDD38" s="975"/>
      <c r="IDE38" s="975"/>
      <c r="IDF38" s="975"/>
      <c r="IDG38" s="975"/>
      <c r="IDH38" s="975"/>
      <c r="IDI38" s="975"/>
      <c r="IDJ38" s="975"/>
      <c r="IDK38" s="975"/>
      <c r="IDL38" s="975"/>
      <c r="IDM38" s="975"/>
      <c r="IDN38" s="975"/>
      <c r="IDO38" s="975"/>
      <c r="IDP38" s="975"/>
      <c r="IDQ38" s="975"/>
      <c r="IDR38" s="975"/>
      <c r="IDS38" s="975"/>
      <c r="IDT38" s="975"/>
      <c r="IDU38" s="975"/>
      <c r="IDV38" s="975"/>
      <c r="IDW38" s="975"/>
      <c r="IDX38" s="975"/>
      <c r="IDY38" s="975"/>
      <c r="IDZ38" s="975"/>
      <c r="IEA38" s="975"/>
      <c r="IEB38" s="975"/>
      <c r="IEC38" s="975"/>
      <c r="IED38" s="975"/>
      <c r="IEE38" s="975"/>
      <c r="IEF38" s="975"/>
      <c r="IEG38" s="975"/>
      <c r="IEH38" s="975"/>
      <c r="IEI38" s="975"/>
      <c r="IEJ38" s="975"/>
      <c r="IEK38" s="975"/>
      <c r="IEL38" s="975"/>
      <c r="IEM38" s="975"/>
      <c r="IEN38" s="975"/>
      <c r="IEO38" s="975"/>
      <c r="IEP38" s="975"/>
      <c r="IEQ38" s="975"/>
      <c r="IER38" s="975"/>
      <c r="IES38" s="975"/>
      <c r="IET38" s="975"/>
      <c r="IEU38" s="975"/>
      <c r="IEV38" s="975"/>
      <c r="IEW38" s="975"/>
      <c r="IEX38" s="975"/>
      <c r="IEY38" s="975"/>
      <c r="IEZ38" s="975"/>
      <c r="IFA38" s="975"/>
      <c r="IFB38" s="975"/>
      <c r="IFC38" s="975"/>
      <c r="IFD38" s="975"/>
      <c r="IFE38" s="975"/>
      <c r="IFF38" s="975"/>
      <c r="IFG38" s="975"/>
      <c r="IFH38" s="975"/>
      <c r="IFI38" s="975"/>
      <c r="IFJ38" s="975"/>
      <c r="IFK38" s="975"/>
      <c r="IFL38" s="975"/>
      <c r="IFM38" s="975"/>
      <c r="IFN38" s="975"/>
      <c r="IFO38" s="975"/>
      <c r="IFP38" s="975"/>
      <c r="IFQ38" s="975"/>
      <c r="IFR38" s="975"/>
      <c r="IFS38" s="975"/>
      <c r="IFT38" s="975"/>
      <c r="IFU38" s="975"/>
      <c r="IFV38" s="975"/>
      <c r="IFW38" s="975"/>
      <c r="IFX38" s="975"/>
      <c r="IFY38" s="975"/>
      <c r="IFZ38" s="975"/>
      <c r="IGA38" s="975"/>
      <c r="IGB38" s="975"/>
      <c r="IGC38" s="975"/>
      <c r="IGD38" s="975"/>
      <c r="IGE38" s="975"/>
      <c r="IGF38" s="975"/>
      <c r="IGG38" s="975"/>
      <c r="IGH38" s="975"/>
      <c r="IGI38" s="975"/>
      <c r="IGJ38" s="975"/>
      <c r="IGK38" s="975"/>
      <c r="IGL38" s="975"/>
      <c r="IGM38" s="975"/>
      <c r="IGN38" s="975"/>
      <c r="IGO38" s="975"/>
      <c r="IGP38" s="975"/>
      <c r="IGQ38" s="975"/>
      <c r="IGR38" s="975"/>
      <c r="IGS38" s="975"/>
      <c r="IGT38" s="975"/>
      <c r="IGU38" s="975"/>
      <c r="IGV38" s="975"/>
      <c r="IGW38" s="975"/>
      <c r="IGX38" s="975"/>
      <c r="IGY38" s="975"/>
      <c r="IGZ38" s="975"/>
      <c r="IHA38" s="975"/>
      <c r="IHB38" s="975"/>
      <c r="IHC38" s="975"/>
      <c r="IHD38" s="975"/>
      <c r="IHE38" s="975"/>
      <c r="IHF38" s="975"/>
      <c r="IHG38" s="975"/>
      <c r="IHH38" s="975"/>
      <c r="IHI38" s="975"/>
      <c r="IHJ38" s="975"/>
      <c r="IHK38" s="975"/>
      <c r="IHL38" s="975"/>
      <c r="IHM38" s="975"/>
      <c r="IHN38" s="975"/>
      <c r="IHO38" s="975"/>
      <c r="IHP38" s="975"/>
      <c r="IHQ38" s="975"/>
      <c r="IHR38" s="975"/>
      <c r="IHS38" s="975"/>
      <c r="IHT38" s="975"/>
      <c r="IHU38" s="975"/>
      <c r="IHV38" s="975"/>
      <c r="IHW38" s="975"/>
      <c r="IHX38" s="975"/>
      <c r="IHY38" s="975"/>
      <c r="IHZ38" s="975"/>
      <c r="IIA38" s="975"/>
      <c r="IIB38" s="975"/>
      <c r="IIC38" s="975"/>
      <c r="IID38" s="975"/>
      <c r="IIE38" s="975"/>
      <c r="IIF38" s="975"/>
      <c r="IIG38" s="975"/>
      <c r="IIH38" s="975"/>
      <c r="III38" s="975"/>
      <c r="IIJ38" s="975"/>
      <c r="IIK38" s="975"/>
      <c r="IIL38" s="975"/>
      <c r="IIM38" s="975"/>
      <c r="IIN38" s="975"/>
      <c r="IIO38" s="975"/>
      <c r="IIP38" s="975"/>
      <c r="IIQ38" s="975"/>
      <c r="IIR38" s="975"/>
      <c r="IIS38" s="975"/>
      <c r="IIT38" s="975"/>
      <c r="IIU38" s="975"/>
      <c r="IIV38" s="975"/>
      <c r="IIW38" s="975"/>
      <c r="IIX38" s="975"/>
      <c r="IIY38" s="975"/>
      <c r="IIZ38" s="975"/>
      <c r="IJA38" s="975"/>
      <c r="IJB38" s="975"/>
      <c r="IJC38" s="975"/>
      <c r="IJD38" s="975"/>
      <c r="IJE38" s="975"/>
      <c r="IJF38" s="975"/>
      <c r="IJG38" s="975"/>
      <c r="IJH38" s="975"/>
      <c r="IJI38" s="975"/>
      <c r="IJJ38" s="975"/>
      <c r="IJK38" s="975"/>
      <c r="IJL38" s="975"/>
      <c r="IJM38" s="975"/>
      <c r="IJN38" s="975"/>
      <c r="IJO38" s="975"/>
      <c r="IJP38" s="975"/>
      <c r="IJQ38" s="975"/>
      <c r="IJR38" s="975"/>
      <c r="IJS38" s="975"/>
      <c r="IJT38" s="975"/>
      <c r="IJU38" s="975"/>
      <c r="IJV38" s="975"/>
      <c r="IJW38" s="975"/>
      <c r="IJX38" s="975"/>
      <c r="IJY38" s="975"/>
      <c r="IJZ38" s="975"/>
      <c r="IKA38" s="975"/>
      <c r="IKB38" s="975"/>
      <c r="IKC38" s="975"/>
      <c r="IKD38" s="975"/>
      <c r="IKE38" s="975"/>
      <c r="IKF38" s="975"/>
      <c r="IKG38" s="975"/>
      <c r="IKH38" s="975"/>
      <c r="IKI38" s="975"/>
      <c r="IKJ38" s="975"/>
      <c r="IKK38" s="975"/>
      <c r="IKL38" s="975"/>
      <c r="IKM38" s="975"/>
      <c r="IKN38" s="975"/>
      <c r="IKO38" s="975"/>
      <c r="IKP38" s="975"/>
      <c r="IKQ38" s="975"/>
      <c r="IKR38" s="975"/>
      <c r="IKS38" s="975"/>
      <c r="IKT38" s="975"/>
      <c r="IKU38" s="975"/>
      <c r="IKV38" s="975"/>
      <c r="IKW38" s="975"/>
      <c r="IKX38" s="975"/>
      <c r="IKY38" s="975"/>
      <c r="IKZ38" s="975"/>
      <c r="ILA38" s="975"/>
      <c r="ILB38" s="975"/>
      <c r="ILC38" s="975"/>
      <c r="ILD38" s="975"/>
      <c r="ILE38" s="975"/>
      <c r="ILF38" s="975"/>
      <c r="ILG38" s="975"/>
      <c r="ILH38" s="975"/>
      <c r="ILI38" s="975"/>
      <c r="ILJ38" s="975"/>
      <c r="ILK38" s="975"/>
      <c r="ILL38" s="975"/>
      <c r="ILM38" s="975"/>
      <c r="ILN38" s="975"/>
      <c r="ILO38" s="975"/>
      <c r="ILP38" s="975"/>
      <c r="ILQ38" s="975"/>
      <c r="ILR38" s="975"/>
      <c r="ILS38" s="975"/>
      <c r="ILT38" s="975"/>
      <c r="ILU38" s="975"/>
      <c r="ILV38" s="975"/>
      <c r="ILW38" s="975"/>
      <c r="ILX38" s="975"/>
      <c r="ILY38" s="975"/>
      <c r="ILZ38" s="975"/>
      <c r="IMA38" s="975"/>
      <c r="IMB38" s="975"/>
      <c r="IMC38" s="975"/>
      <c r="IMD38" s="975"/>
      <c r="IME38" s="975"/>
      <c r="IMF38" s="975"/>
      <c r="IMG38" s="975"/>
      <c r="IMH38" s="975"/>
      <c r="IMI38" s="975"/>
      <c r="IMJ38" s="975"/>
      <c r="IMK38" s="975"/>
      <c r="IML38" s="975"/>
      <c r="IMM38" s="975"/>
      <c r="IMN38" s="975"/>
      <c r="IMO38" s="975"/>
      <c r="IMP38" s="975"/>
      <c r="IMQ38" s="975"/>
      <c r="IMR38" s="975"/>
      <c r="IMS38" s="975"/>
      <c r="IMT38" s="975"/>
      <c r="IMU38" s="975"/>
      <c r="IMV38" s="975"/>
      <c r="IMW38" s="975"/>
      <c r="IMX38" s="975"/>
      <c r="IMY38" s="975"/>
      <c r="IMZ38" s="975"/>
      <c r="INA38" s="975"/>
      <c r="INB38" s="975"/>
      <c r="INC38" s="975"/>
      <c r="IND38" s="975"/>
      <c r="INE38" s="975"/>
      <c r="INF38" s="975"/>
      <c r="ING38" s="975"/>
      <c r="INH38" s="975"/>
      <c r="INI38" s="975"/>
      <c r="INJ38" s="975"/>
      <c r="INK38" s="975"/>
      <c r="INL38" s="975"/>
      <c r="INM38" s="975"/>
      <c r="INN38" s="975"/>
      <c r="INO38" s="975"/>
      <c r="INP38" s="975"/>
      <c r="INQ38" s="975"/>
      <c r="INR38" s="975"/>
      <c r="INS38" s="975"/>
      <c r="INT38" s="975"/>
      <c r="INU38" s="975"/>
      <c r="INV38" s="975"/>
      <c r="INW38" s="975"/>
      <c r="INX38" s="975"/>
      <c r="INY38" s="975"/>
      <c r="INZ38" s="975"/>
      <c r="IOA38" s="975"/>
      <c r="IOB38" s="975"/>
      <c r="IOC38" s="975"/>
      <c r="IOD38" s="975"/>
      <c r="IOE38" s="975"/>
      <c r="IOF38" s="975"/>
      <c r="IOG38" s="975"/>
      <c r="IOH38" s="975"/>
      <c r="IOI38" s="975"/>
      <c r="IOJ38" s="975"/>
      <c r="IOK38" s="975"/>
      <c r="IOL38" s="975"/>
      <c r="IOM38" s="975"/>
      <c r="ION38" s="975"/>
      <c r="IOO38" s="975"/>
      <c r="IOP38" s="975"/>
      <c r="IOQ38" s="975"/>
      <c r="IOR38" s="975"/>
      <c r="IOS38" s="975"/>
      <c r="IOT38" s="975"/>
      <c r="IOU38" s="975"/>
      <c r="IOV38" s="975"/>
      <c r="IOW38" s="975"/>
      <c r="IOX38" s="975"/>
      <c r="IOY38" s="975"/>
      <c r="IOZ38" s="975"/>
      <c r="IPA38" s="975"/>
      <c r="IPB38" s="975"/>
      <c r="IPC38" s="975"/>
      <c r="IPD38" s="975"/>
      <c r="IPE38" s="975"/>
      <c r="IPF38" s="975"/>
      <c r="IPG38" s="975"/>
      <c r="IPH38" s="975"/>
      <c r="IPI38" s="975"/>
      <c r="IPJ38" s="975"/>
      <c r="IPK38" s="975"/>
      <c r="IPL38" s="975"/>
      <c r="IPM38" s="975"/>
      <c r="IPN38" s="975"/>
      <c r="IPO38" s="975"/>
      <c r="IPP38" s="975"/>
      <c r="IPQ38" s="975"/>
      <c r="IPR38" s="975"/>
      <c r="IPS38" s="975"/>
      <c r="IPT38" s="975"/>
      <c r="IPU38" s="975"/>
      <c r="IPV38" s="975"/>
      <c r="IPW38" s="975"/>
      <c r="IPX38" s="975"/>
      <c r="IPY38" s="975"/>
      <c r="IPZ38" s="975"/>
      <c r="IQA38" s="975"/>
      <c r="IQB38" s="975"/>
      <c r="IQC38" s="975"/>
      <c r="IQD38" s="975"/>
      <c r="IQE38" s="975"/>
      <c r="IQF38" s="975"/>
      <c r="IQG38" s="975"/>
      <c r="IQH38" s="975"/>
      <c r="IQI38" s="975"/>
      <c r="IQJ38" s="975"/>
      <c r="IQK38" s="975"/>
      <c r="IQL38" s="975"/>
      <c r="IQM38" s="975"/>
      <c r="IQN38" s="975"/>
      <c r="IQO38" s="975"/>
      <c r="IQP38" s="975"/>
      <c r="IQQ38" s="975"/>
      <c r="IQR38" s="975"/>
      <c r="IQS38" s="975"/>
      <c r="IQT38" s="975"/>
      <c r="IQU38" s="975"/>
      <c r="IQV38" s="975"/>
      <c r="IQW38" s="975"/>
      <c r="IQX38" s="975"/>
      <c r="IQY38" s="975"/>
      <c r="IQZ38" s="975"/>
      <c r="IRA38" s="975"/>
      <c r="IRB38" s="975"/>
      <c r="IRC38" s="975"/>
      <c r="IRD38" s="975"/>
      <c r="IRE38" s="975"/>
      <c r="IRF38" s="975"/>
      <c r="IRG38" s="975"/>
      <c r="IRH38" s="975"/>
      <c r="IRI38" s="975"/>
      <c r="IRJ38" s="975"/>
      <c r="IRK38" s="975"/>
      <c r="IRL38" s="975"/>
      <c r="IRM38" s="975"/>
      <c r="IRN38" s="975"/>
      <c r="IRO38" s="975"/>
      <c r="IRP38" s="975"/>
      <c r="IRQ38" s="975"/>
      <c r="IRR38" s="975"/>
      <c r="IRS38" s="975"/>
      <c r="IRT38" s="975"/>
      <c r="IRU38" s="975"/>
      <c r="IRV38" s="975"/>
      <c r="IRW38" s="975"/>
      <c r="IRX38" s="975"/>
      <c r="IRY38" s="975"/>
      <c r="IRZ38" s="975"/>
      <c r="ISA38" s="975"/>
      <c r="ISB38" s="975"/>
      <c r="ISC38" s="975"/>
      <c r="ISD38" s="975"/>
      <c r="ISE38" s="975"/>
      <c r="ISF38" s="975"/>
      <c r="ISG38" s="975"/>
      <c r="ISH38" s="975"/>
      <c r="ISI38" s="975"/>
      <c r="ISJ38" s="975"/>
      <c r="ISK38" s="975"/>
      <c r="ISL38" s="975"/>
      <c r="ISM38" s="975"/>
      <c r="ISN38" s="975"/>
      <c r="ISO38" s="975"/>
      <c r="ISP38" s="975"/>
      <c r="ISQ38" s="975"/>
      <c r="ISR38" s="975"/>
      <c r="ISS38" s="975"/>
      <c r="IST38" s="975"/>
      <c r="ISU38" s="975"/>
      <c r="ISV38" s="975"/>
      <c r="ISW38" s="975"/>
      <c r="ISX38" s="975"/>
      <c r="ISY38" s="975"/>
      <c r="ISZ38" s="975"/>
      <c r="ITA38" s="975"/>
      <c r="ITB38" s="975"/>
      <c r="ITC38" s="975"/>
      <c r="ITD38" s="975"/>
      <c r="ITE38" s="975"/>
      <c r="ITF38" s="975"/>
      <c r="ITG38" s="975"/>
      <c r="ITH38" s="975"/>
      <c r="ITI38" s="975"/>
      <c r="ITJ38" s="975"/>
      <c r="ITK38" s="975"/>
      <c r="ITL38" s="975"/>
      <c r="ITM38" s="975"/>
      <c r="ITN38" s="975"/>
      <c r="ITO38" s="975"/>
      <c r="ITP38" s="975"/>
      <c r="ITQ38" s="975"/>
      <c r="ITR38" s="975"/>
      <c r="ITS38" s="975"/>
      <c r="ITT38" s="975"/>
      <c r="ITU38" s="975"/>
      <c r="ITV38" s="975"/>
      <c r="ITW38" s="975"/>
      <c r="ITX38" s="975"/>
      <c r="ITY38" s="975"/>
      <c r="ITZ38" s="975"/>
      <c r="IUA38" s="975"/>
      <c r="IUB38" s="975"/>
      <c r="IUC38" s="975"/>
      <c r="IUD38" s="975"/>
      <c r="IUE38" s="975"/>
      <c r="IUF38" s="975"/>
      <c r="IUG38" s="975"/>
      <c r="IUH38" s="975"/>
      <c r="IUI38" s="975"/>
      <c r="IUJ38" s="975"/>
      <c r="IUK38" s="975"/>
      <c r="IUL38" s="975"/>
      <c r="IUM38" s="975"/>
      <c r="IUN38" s="975"/>
      <c r="IUO38" s="975"/>
      <c r="IUP38" s="975"/>
      <c r="IUQ38" s="975"/>
      <c r="IUR38" s="975"/>
      <c r="IUS38" s="975"/>
      <c r="IUT38" s="975"/>
      <c r="IUU38" s="975"/>
      <c r="IUV38" s="975"/>
      <c r="IUW38" s="975"/>
      <c r="IUX38" s="975"/>
      <c r="IUY38" s="975"/>
      <c r="IUZ38" s="975"/>
      <c r="IVA38" s="975"/>
      <c r="IVB38" s="975"/>
      <c r="IVC38" s="975"/>
      <c r="IVD38" s="975"/>
      <c r="IVE38" s="975"/>
      <c r="IVF38" s="975"/>
      <c r="IVG38" s="975"/>
      <c r="IVH38" s="975"/>
      <c r="IVI38" s="975"/>
      <c r="IVJ38" s="975"/>
      <c r="IVK38" s="975"/>
      <c r="IVL38" s="975"/>
      <c r="IVM38" s="975"/>
      <c r="IVN38" s="975"/>
      <c r="IVO38" s="975"/>
      <c r="IVP38" s="975"/>
      <c r="IVQ38" s="975"/>
      <c r="IVR38" s="975"/>
      <c r="IVS38" s="975"/>
      <c r="IVT38" s="975"/>
      <c r="IVU38" s="975"/>
      <c r="IVV38" s="975"/>
      <c r="IVW38" s="975"/>
      <c r="IVX38" s="975"/>
      <c r="IVY38" s="975"/>
      <c r="IVZ38" s="975"/>
      <c r="IWA38" s="975"/>
      <c r="IWB38" s="975"/>
      <c r="IWC38" s="975"/>
      <c r="IWD38" s="975"/>
      <c r="IWE38" s="975"/>
      <c r="IWF38" s="975"/>
      <c r="IWG38" s="975"/>
      <c r="IWH38" s="975"/>
      <c r="IWI38" s="975"/>
      <c r="IWJ38" s="975"/>
      <c r="IWK38" s="975"/>
      <c r="IWL38" s="975"/>
      <c r="IWM38" s="975"/>
      <c r="IWN38" s="975"/>
      <c r="IWO38" s="975"/>
      <c r="IWP38" s="975"/>
      <c r="IWQ38" s="975"/>
      <c r="IWR38" s="975"/>
      <c r="IWS38" s="975"/>
      <c r="IWT38" s="975"/>
      <c r="IWU38" s="975"/>
      <c r="IWV38" s="975"/>
      <c r="IWW38" s="975"/>
      <c r="IWX38" s="975"/>
      <c r="IWY38" s="975"/>
      <c r="IWZ38" s="975"/>
      <c r="IXA38" s="975"/>
      <c r="IXB38" s="975"/>
      <c r="IXC38" s="975"/>
      <c r="IXD38" s="975"/>
      <c r="IXE38" s="975"/>
      <c r="IXF38" s="975"/>
      <c r="IXG38" s="975"/>
      <c r="IXH38" s="975"/>
      <c r="IXI38" s="975"/>
      <c r="IXJ38" s="975"/>
      <c r="IXK38" s="975"/>
      <c r="IXL38" s="975"/>
      <c r="IXM38" s="975"/>
      <c r="IXN38" s="975"/>
      <c r="IXO38" s="975"/>
      <c r="IXP38" s="975"/>
      <c r="IXQ38" s="975"/>
      <c r="IXR38" s="975"/>
      <c r="IXS38" s="975"/>
      <c r="IXT38" s="975"/>
      <c r="IXU38" s="975"/>
      <c r="IXV38" s="975"/>
      <c r="IXW38" s="975"/>
      <c r="IXX38" s="975"/>
      <c r="IXY38" s="975"/>
      <c r="IXZ38" s="975"/>
      <c r="IYA38" s="975"/>
      <c r="IYB38" s="975"/>
      <c r="IYC38" s="975"/>
      <c r="IYD38" s="975"/>
      <c r="IYE38" s="975"/>
      <c r="IYF38" s="975"/>
      <c r="IYG38" s="975"/>
      <c r="IYH38" s="975"/>
      <c r="IYI38" s="975"/>
      <c r="IYJ38" s="975"/>
      <c r="IYK38" s="975"/>
      <c r="IYL38" s="975"/>
      <c r="IYM38" s="975"/>
      <c r="IYN38" s="975"/>
      <c r="IYO38" s="975"/>
      <c r="IYP38" s="975"/>
      <c r="IYQ38" s="975"/>
      <c r="IYR38" s="975"/>
      <c r="IYS38" s="975"/>
      <c r="IYT38" s="975"/>
      <c r="IYU38" s="975"/>
      <c r="IYV38" s="975"/>
      <c r="IYW38" s="975"/>
      <c r="IYX38" s="975"/>
      <c r="IYY38" s="975"/>
      <c r="IYZ38" s="975"/>
      <c r="IZA38" s="975"/>
      <c r="IZB38" s="975"/>
      <c r="IZC38" s="975"/>
      <c r="IZD38" s="975"/>
      <c r="IZE38" s="975"/>
      <c r="IZF38" s="975"/>
      <c r="IZG38" s="975"/>
      <c r="IZH38" s="975"/>
      <c r="IZI38" s="975"/>
      <c r="IZJ38" s="975"/>
      <c r="IZK38" s="975"/>
      <c r="IZL38" s="975"/>
      <c r="IZM38" s="975"/>
      <c r="IZN38" s="975"/>
      <c r="IZO38" s="975"/>
      <c r="IZP38" s="975"/>
      <c r="IZQ38" s="975"/>
      <c r="IZR38" s="975"/>
      <c r="IZS38" s="975"/>
      <c r="IZT38" s="975"/>
      <c r="IZU38" s="975"/>
      <c r="IZV38" s="975"/>
      <c r="IZW38" s="975"/>
      <c r="IZX38" s="975"/>
      <c r="IZY38" s="975"/>
      <c r="IZZ38" s="975"/>
      <c r="JAA38" s="975"/>
      <c r="JAB38" s="975"/>
      <c r="JAC38" s="975"/>
      <c r="JAD38" s="975"/>
      <c r="JAE38" s="975"/>
      <c r="JAF38" s="975"/>
      <c r="JAG38" s="975"/>
      <c r="JAH38" s="975"/>
      <c r="JAI38" s="975"/>
      <c r="JAJ38" s="975"/>
      <c r="JAK38" s="975"/>
      <c r="JAL38" s="975"/>
      <c r="JAM38" s="975"/>
      <c r="JAN38" s="975"/>
      <c r="JAO38" s="975"/>
      <c r="JAP38" s="975"/>
      <c r="JAQ38" s="975"/>
      <c r="JAR38" s="975"/>
      <c r="JAS38" s="975"/>
      <c r="JAT38" s="975"/>
      <c r="JAU38" s="975"/>
      <c r="JAV38" s="975"/>
      <c r="JAW38" s="975"/>
      <c r="JAX38" s="975"/>
      <c r="JAY38" s="975"/>
      <c r="JAZ38" s="975"/>
      <c r="JBA38" s="975"/>
      <c r="JBB38" s="975"/>
      <c r="JBC38" s="975"/>
      <c r="JBD38" s="975"/>
      <c r="JBE38" s="975"/>
      <c r="JBF38" s="975"/>
      <c r="JBG38" s="975"/>
      <c r="JBH38" s="975"/>
      <c r="JBI38" s="975"/>
      <c r="JBJ38" s="975"/>
      <c r="JBK38" s="975"/>
      <c r="JBL38" s="975"/>
      <c r="JBM38" s="975"/>
      <c r="JBN38" s="975"/>
      <c r="JBO38" s="975"/>
      <c r="JBP38" s="975"/>
      <c r="JBQ38" s="975"/>
      <c r="JBR38" s="975"/>
      <c r="JBS38" s="975"/>
      <c r="JBT38" s="975"/>
      <c r="JBU38" s="975"/>
      <c r="JBV38" s="975"/>
      <c r="JBW38" s="975"/>
      <c r="JBX38" s="975"/>
      <c r="JBY38" s="975"/>
      <c r="JBZ38" s="975"/>
      <c r="JCA38" s="975"/>
      <c r="JCB38" s="975"/>
      <c r="JCC38" s="975"/>
      <c r="JCD38" s="975"/>
      <c r="JCE38" s="975"/>
      <c r="JCF38" s="975"/>
      <c r="JCG38" s="975"/>
      <c r="JCH38" s="975"/>
      <c r="JCI38" s="975"/>
      <c r="JCJ38" s="975"/>
      <c r="JCK38" s="975"/>
      <c r="JCL38" s="975"/>
      <c r="JCM38" s="975"/>
      <c r="JCN38" s="975"/>
      <c r="JCO38" s="975"/>
      <c r="JCP38" s="975"/>
      <c r="JCQ38" s="975"/>
      <c r="JCR38" s="975"/>
      <c r="JCS38" s="975"/>
      <c r="JCT38" s="975"/>
      <c r="JCU38" s="975"/>
      <c r="JCV38" s="975"/>
      <c r="JCW38" s="975"/>
      <c r="JCX38" s="975"/>
      <c r="JCY38" s="975"/>
      <c r="JCZ38" s="975"/>
      <c r="JDA38" s="975"/>
      <c r="JDB38" s="975"/>
      <c r="JDC38" s="975"/>
      <c r="JDD38" s="975"/>
      <c r="JDE38" s="975"/>
      <c r="JDF38" s="975"/>
      <c r="JDG38" s="975"/>
      <c r="JDH38" s="975"/>
      <c r="JDI38" s="975"/>
      <c r="JDJ38" s="975"/>
      <c r="JDK38" s="975"/>
      <c r="JDL38" s="975"/>
      <c r="JDM38" s="975"/>
      <c r="JDN38" s="975"/>
      <c r="JDO38" s="975"/>
      <c r="JDP38" s="975"/>
      <c r="JDQ38" s="975"/>
      <c r="JDR38" s="975"/>
      <c r="JDS38" s="975"/>
      <c r="JDT38" s="975"/>
      <c r="JDU38" s="975"/>
      <c r="JDV38" s="975"/>
      <c r="JDW38" s="975"/>
      <c r="JDX38" s="975"/>
      <c r="JDY38" s="975"/>
      <c r="JDZ38" s="975"/>
      <c r="JEA38" s="975"/>
      <c r="JEB38" s="975"/>
      <c r="JEC38" s="975"/>
      <c r="JED38" s="975"/>
      <c r="JEE38" s="975"/>
      <c r="JEF38" s="975"/>
      <c r="JEG38" s="975"/>
      <c r="JEH38" s="975"/>
      <c r="JEI38" s="975"/>
      <c r="JEJ38" s="975"/>
      <c r="JEK38" s="975"/>
      <c r="JEL38" s="975"/>
      <c r="JEM38" s="975"/>
      <c r="JEN38" s="975"/>
      <c r="JEO38" s="975"/>
      <c r="JEP38" s="975"/>
      <c r="JEQ38" s="975"/>
      <c r="JER38" s="975"/>
      <c r="JES38" s="975"/>
      <c r="JET38" s="975"/>
      <c r="JEU38" s="975"/>
      <c r="JEV38" s="975"/>
      <c r="JEW38" s="975"/>
      <c r="JEX38" s="975"/>
      <c r="JEY38" s="975"/>
      <c r="JEZ38" s="975"/>
      <c r="JFA38" s="975"/>
      <c r="JFB38" s="975"/>
      <c r="JFC38" s="975"/>
      <c r="JFD38" s="975"/>
      <c r="JFE38" s="975"/>
      <c r="JFF38" s="975"/>
      <c r="JFG38" s="975"/>
      <c r="JFH38" s="975"/>
      <c r="JFI38" s="975"/>
      <c r="JFJ38" s="975"/>
      <c r="JFK38" s="975"/>
      <c r="JFL38" s="975"/>
      <c r="JFM38" s="975"/>
      <c r="JFN38" s="975"/>
      <c r="JFO38" s="975"/>
      <c r="JFP38" s="975"/>
      <c r="JFQ38" s="975"/>
      <c r="JFR38" s="975"/>
      <c r="JFS38" s="975"/>
      <c r="JFT38" s="975"/>
      <c r="JFU38" s="975"/>
      <c r="JFV38" s="975"/>
      <c r="JFW38" s="975"/>
      <c r="JFX38" s="975"/>
      <c r="JFY38" s="975"/>
      <c r="JFZ38" s="975"/>
      <c r="JGA38" s="975"/>
      <c r="JGB38" s="975"/>
      <c r="JGC38" s="975"/>
      <c r="JGD38" s="975"/>
      <c r="JGE38" s="975"/>
      <c r="JGF38" s="975"/>
      <c r="JGG38" s="975"/>
      <c r="JGH38" s="975"/>
      <c r="JGI38" s="975"/>
      <c r="JGJ38" s="975"/>
      <c r="JGK38" s="975"/>
      <c r="JGL38" s="975"/>
      <c r="JGM38" s="975"/>
      <c r="JGN38" s="975"/>
      <c r="JGO38" s="975"/>
      <c r="JGP38" s="975"/>
      <c r="JGQ38" s="975"/>
      <c r="JGR38" s="975"/>
      <c r="JGS38" s="975"/>
      <c r="JGT38" s="975"/>
      <c r="JGU38" s="975"/>
      <c r="JGV38" s="975"/>
      <c r="JGW38" s="975"/>
      <c r="JGX38" s="975"/>
      <c r="JGY38" s="975"/>
      <c r="JGZ38" s="975"/>
      <c r="JHA38" s="975"/>
      <c r="JHB38" s="975"/>
      <c r="JHC38" s="975"/>
      <c r="JHD38" s="975"/>
      <c r="JHE38" s="975"/>
      <c r="JHF38" s="975"/>
      <c r="JHG38" s="975"/>
      <c r="JHH38" s="975"/>
      <c r="JHI38" s="975"/>
      <c r="JHJ38" s="975"/>
      <c r="JHK38" s="975"/>
      <c r="JHL38" s="975"/>
      <c r="JHM38" s="975"/>
      <c r="JHN38" s="975"/>
      <c r="JHO38" s="975"/>
      <c r="JHP38" s="975"/>
      <c r="JHQ38" s="975"/>
      <c r="JHR38" s="975"/>
      <c r="JHS38" s="975"/>
      <c r="JHT38" s="975"/>
      <c r="JHU38" s="975"/>
      <c r="JHV38" s="975"/>
      <c r="JHW38" s="975"/>
      <c r="JHX38" s="975"/>
      <c r="JHY38" s="975"/>
      <c r="JHZ38" s="975"/>
      <c r="JIA38" s="975"/>
      <c r="JIB38" s="975"/>
      <c r="JIC38" s="975"/>
      <c r="JID38" s="975"/>
      <c r="JIE38" s="975"/>
      <c r="JIF38" s="975"/>
      <c r="JIG38" s="975"/>
      <c r="JIH38" s="975"/>
      <c r="JII38" s="975"/>
      <c r="JIJ38" s="975"/>
      <c r="JIK38" s="975"/>
      <c r="JIL38" s="975"/>
      <c r="JIM38" s="975"/>
      <c r="JIN38" s="975"/>
      <c r="JIO38" s="975"/>
      <c r="JIP38" s="975"/>
      <c r="JIQ38" s="975"/>
      <c r="JIR38" s="975"/>
      <c r="JIS38" s="975"/>
      <c r="JIT38" s="975"/>
      <c r="JIU38" s="975"/>
      <c r="JIV38" s="975"/>
      <c r="JIW38" s="975"/>
      <c r="JIX38" s="975"/>
      <c r="JIY38" s="975"/>
      <c r="JIZ38" s="975"/>
      <c r="JJA38" s="975"/>
      <c r="JJB38" s="975"/>
      <c r="JJC38" s="975"/>
      <c r="JJD38" s="975"/>
      <c r="JJE38" s="975"/>
      <c r="JJF38" s="975"/>
      <c r="JJG38" s="975"/>
      <c r="JJH38" s="975"/>
      <c r="JJI38" s="975"/>
      <c r="JJJ38" s="975"/>
      <c r="JJK38" s="975"/>
      <c r="JJL38" s="975"/>
      <c r="JJM38" s="975"/>
      <c r="JJN38" s="975"/>
      <c r="JJO38" s="975"/>
      <c r="JJP38" s="975"/>
      <c r="JJQ38" s="975"/>
      <c r="JJR38" s="975"/>
      <c r="JJS38" s="975"/>
      <c r="JJT38" s="975"/>
      <c r="JJU38" s="975"/>
      <c r="JJV38" s="975"/>
      <c r="JJW38" s="975"/>
      <c r="JJX38" s="975"/>
      <c r="JJY38" s="975"/>
      <c r="JJZ38" s="975"/>
      <c r="JKA38" s="975"/>
      <c r="JKB38" s="975"/>
      <c r="JKC38" s="975"/>
      <c r="JKD38" s="975"/>
      <c r="JKE38" s="975"/>
      <c r="JKF38" s="975"/>
      <c r="JKG38" s="975"/>
      <c r="JKH38" s="975"/>
      <c r="JKI38" s="975"/>
      <c r="JKJ38" s="975"/>
      <c r="JKK38" s="975"/>
      <c r="JKL38" s="975"/>
      <c r="JKM38" s="975"/>
      <c r="JKN38" s="975"/>
      <c r="JKO38" s="975"/>
      <c r="JKP38" s="975"/>
      <c r="JKQ38" s="975"/>
      <c r="JKR38" s="975"/>
      <c r="JKS38" s="975"/>
      <c r="JKT38" s="975"/>
      <c r="JKU38" s="975"/>
      <c r="JKV38" s="975"/>
      <c r="JKW38" s="975"/>
      <c r="JKX38" s="975"/>
      <c r="JKY38" s="975"/>
      <c r="JKZ38" s="975"/>
      <c r="JLA38" s="975"/>
      <c r="JLB38" s="975"/>
      <c r="JLC38" s="975"/>
      <c r="JLD38" s="975"/>
      <c r="JLE38" s="975"/>
      <c r="JLF38" s="975"/>
      <c r="JLG38" s="975"/>
      <c r="JLH38" s="975"/>
      <c r="JLI38" s="975"/>
      <c r="JLJ38" s="975"/>
      <c r="JLK38" s="975"/>
      <c r="JLL38" s="975"/>
      <c r="JLM38" s="975"/>
      <c r="JLN38" s="975"/>
      <c r="JLO38" s="975"/>
      <c r="JLP38" s="975"/>
      <c r="JLQ38" s="975"/>
      <c r="JLR38" s="975"/>
      <c r="JLS38" s="975"/>
      <c r="JLT38" s="975"/>
      <c r="JLU38" s="975"/>
      <c r="JLV38" s="975"/>
      <c r="JLW38" s="975"/>
      <c r="JLX38" s="975"/>
      <c r="JLY38" s="975"/>
      <c r="JLZ38" s="975"/>
      <c r="JMA38" s="975"/>
      <c r="JMB38" s="975"/>
      <c r="JMC38" s="975"/>
      <c r="JMD38" s="975"/>
      <c r="JME38" s="975"/>
      <c r="JMF38" s="975"/>
      <c r="JMG38" s="975"/>
      <c r="JMH38" s="975"/>
      <c r="JMI38" s="975"/>
      <c r="JMJ38" s="975"/>
      <c r="JMK38" s="975"/>
      <c r="JML38" s="975"/>
      <c r="JMM38" s="975"/>
      <c r="JMN38" s="975"/>
      <c r="JMO38" s="975"/>
      <c r="JMP38" s="975"/>
      <c r="JMQ38" s="975"/>
      <c r="JMR38" s="975"/>
      <c r="JMS38" s="975"/>
      <c r="JMT38" s="975"/>
      <c r="JMU38" s="975"/>
      <c r="JMV38" s="975"/>
      <c r="JMW38" s="975"/>
      <c r="JMX38" s="975"/>
      <c r="JMY38" s="975"/>
      <c r="JMZ38" s="975"/>
      <c r="JNA38" s="975"/>
      <c r="JNB38" s="975"/>
      <c r="JNC38" s="975"/>
      <c r="JND38" s="975"/>
      <c r="JNE38" s="975"/>
      <c r="JNF38" s="975"/>
      <c r="JNG38" s="975"/>
      <c r="JNH38" s="975"/>
      <c r="JNI38" s="975"/>
      <c r="JNJ38" s="975"/>
      <c r="JNK38" s="975"/>
      <c r="JNL38" s="975"/>
      <c r="JNM38" s="975"/>
      <c r="JNN38" s="975"/>
      <c r="JNO38" s="975"/>
      <c r="JNP38" s="975"/>
      <c r="JNQ38" s="975"/>
      <c r="JNR38" s="975"/>
      <c r="JNS38" s="975"/>
      <c r="JNT38" s="975"/>
      <c r="JNU38" s="975"/>
      <c r="JNV38" s="975"/>
      <c r="JNW38" s="975"/>
      <c r="JNX38" s="975"/>
      <c r="JNY38" s="975"/>
      <c r="JNZ38" s="975"/>
      <c r="JOA38" s="975"/>
      <c r="JOB38" s="975"/>
      <c r="JOC38" s="975"/>
      <c r="JOD38" s="975"/>
      <c r="JOE38" s="975"/>
      <c r="JOF38" s="975"/>
      <c r="JOG38" s="975"/>
      <c r="JOH38" s="975"/>
      <c r="JOI38" s="975"/>
      <c r="JOJ38" s="975"/>
      <c r="JOK38" s="975"/>
      <c r="JOL38" s="975"/>
      <c r="JOM38" s="975"/>
      <c r="JON38" s="975"/>
      <c r="JOO38" s="975"/>
      <c r="JOP38" s="975"/>
      <c r="JOQ38" s="975"/>
      <c r="JOR38" s="975"/>
      <c r="JOS38" s="975"/>
      <c r="JOT38" s="975"/>
      <c r="JOU38" s="975"/>
      <c r="JOV38" s="975"/>
      <c r="JOW38" s="975"/>
      <c r="JOX38" s="975"/>
      <c r="JOY38" s="975"/>
      <c r="JOZ38" s="975"/>
      <c r="JPA38" s="975"/>
      <c r="JPB38" s="975"/>
      <c r="JPC38" s="975"/>
      <c r="JPD38" s="975"/>
      <c r="JPE38" s="975"/>
      <c r="JPF38" s="975"/>
      <c r="JPG38" s="975"/>
      <c r="JPH38" s="975"/>
      <c r="JPI38" s="975"/>
      <c r="JPJ38" s="975"/>
      <c r="JPK38" s="975"/>
      <c r="JPL38" s="975"/>
      <c r="JPM38" s="975"/>
      <c r="JPN38" s="975"/>
      <c r="JPO38" s="975"/>
      <c r="JPP38" s="975"/>
      <c r="JPQ38" s="975"/>
      <c r="JPR38" s="975"/>
      <c r="JPS38" s="975"/>
      <c r="JPT38" s="975"/>
      <c r="JPU38" s="975"/>
      <c r="JPV38" s="975"/>
      <c r="JPW38" s="975"/>
      <c r="JPX38" s="975"/>
      <c r="JPY38" s="975"/>
      <c r="JPZ38" s="975"/>
      <c r="JQA38" s="975"/>
      <c r="JQB38" s="975"/>
      <c r="JQC38" s="975"/>
      <c r="JQD38" s="975"/>
      <c r="JQE38" s="975"/>
      <c r="JQF38" s="975"/>
      <c r="JQG38" s="975"/>
      <c r="JQH38" s="975"/>
      <c r="JQI38" s="975"/>
      <c r="JQJ38" s="975"/>
      <c r="JQK38" s="975"/>
      <c r="JQL38" s="975"/>
      <c r="JQM38" s="975"/>
      <c r="JQN38" s="975"/>
      <c r="JQO38" s="975"/>
      <c r="JQP38" s="975"/>
      <c r="JQQ38" s="975"/>
      <c r="JQR38" s="975"/>
      <c r="JQS38" s="975"/>
      <c r="JQT38" s="975"/>
      <c r="JQU38" s="975"/>
      <c r="JQV38" s="975"/>
      <c r="JQW38" s="975"/>
      <c r="JQX38" s="975"/>
      <c r="JQY38" s="975"/>
      <c r="JQZ38" s="975"/>
      <c r="JRA38" s="975"/>
      <c r="JRB38" s="975"/>
      <c r="JRC38" s="975"/>
      <c r="JRD38" s="975"/>
      <c r="JRE38" s="975"/>
      <c r="JRF38" s="975"/>
      <c r="JRG38" s="975"/>
      <c r="JRH38" s="975"/>
      <c r="JRI38" s="975"/>
      <c r="JRJ38" s="975"/>
      <c r="JRK38" s="975"/>
      <c r="JRL38" s="975"/>
      <c r="JRM38" s="975"/>
      <c r="JRN38" s="975"/>
      <c r="JRO38" s="975"/>
      <c r="JRP38" s="975"/>
      <c r="JRQ38" s="975"/>
      <c r="JRR38" s="975"/>
      <c r="JRS38" s="975"/>
      <c r="JRT38" s="975"/>
      <c r="JRU38" s="975"/>
      <c r="JRV38" s="975"/>
      <c r="JRW38" s="975"/>
      <c r="JRX38" s="975"/>
      <c r="JRY38" s="975"/>
      <c r="JRZ38" s="975"/>
      <c r="JSA38" s="975"/>
      <c r="JSB38" s="975"/>
      <c r="JSC38" s="975"/>
      <c r="JSD38" s="975"/>
      <c r="JSE38" s="975"/>
      <c r="JSF38" s="975"/>
      <c r="JSG38" s="975"/>
      <c r="JSH38" s="975"/>
      <c r="JSI38" s="975"/>
      <c r="JSJ38" s="975"/>
      <c r="JSK38" s="975"/>
      <c r="JSL38" s="975"/>
      <c r="JSM38" s="975"/>
      <c r="JSN38" s="975"/>
      <c r="JSO38" s="975"/>
      <c r="JSP38" s="975"/>
      <c r="JSQ38" s="975"/>
      <c r="JSR38" s="975"/>
      <c r="JSS38" s="975"/>
      <c r="JST38" s="975"/>
      <c r="JSU38" s="975"/>
      <c r="JSV38" s="975"/>
      <c r="JSW38" s="975"/>
      <c r="JSX38" s="975"/>
      <c r="JSY38" s="975"/>
      <c r="JSZ38" s="975"/>
      <c r="JTA38" s="975"/>
      <c r="JTB38" s="975"/>
      <c r="JTC38" s="975"/>
      <c r="JTD38" s="975"/>
      <c r="JTE38" s="975"/>
      <c r="JTF38" s="975"/>
      <c r="JTG38" s="975"/>
      <c r="JTH38" s="975"/>
      <c r="JTI38" s="975"/>
      <c r="JTJ38" s="975"/>
      <c r="JTK38" s="975"/>
      <c r="JTL38" s="975"/>
      <c r="JTM38" s="975"/>
      <c r="JTN38" s="975"/>
      <c r="JTO38" s="975"/>
      <c r="JTP38" s="975"/>
      <c r="JTQ38" s="975"/>
      <c r="JTR38" s="975"/>
      <c r="JTS38" s="975"/>
      <c r="JTT38" s="975"/>
      <c r="JTU38" s="975"/>
      <c r="JTV38" s="975"/>
      <c r="JTW38" s="975"/>
      <c r="JTX38" s="975"/>
      <c r="JTY38" s="975"/>
      <c r="JTZ38" s="975"/>
      <c r="JUA38" s="975"/>
      <c r="JUB38" s="975"/>
      <c r="JUC38" s="975"/>
      <c r="JUD38" s="975"/>
      <c r="JUE38" s="975"/>
      <c r="JUF38" s="975"/>
      <c r="JUG38" s="975"/>
      <c r="JUH38" s="975"/>
      <c r="JUI38" s="975"/>
      <c r="JUJ38" s="975"/>
      <c r="JUK38" s="975"/>
      <c r="JUL38" s="975"/>
      <c r="JUM38" s="975"/>
      <c r="JUN38" s="975"/>
      <c r="JUO38" s="975"/>
      <c r="JUP38" s="975"/>
      <c r="JUQ38" s="975"/>
      <c r="JUR38" s="975"/>
      <c r="JUS38" s="975"/>
      <c r="JUT38" s="975"/>
      <c r="JUU38" s="975"/>
      <c r="JUV38" s="975"/>
      <c r="JUW38" s="975"/>
      <c r="JUX38" s="975"/>
      <c r="JUY38" s="975"/>
      <c r="JUZ38" s="975"/>
      <c r="JVA38" s="975"/>
      <c r="JVB38" s="975"/>
      <c r="JVC38" s="975"/>
      <c r="JVD38" s="975"/>
      <c r="JVE38" s="975"/>
      <c r="JVF38" s="975"/>
      <c r="JVG38" s="975"/>
      <c r="JVH38" s="975"/>
      <c r="JVI38" s="975"/>
      <c r="JVJ38" s="975"/>
      <c r="JVK38" s="975"/>
      <c r="JVL38" s="975"/>
      <c r="JVM38" s="975"/>
      <c r="JVN38" s="975"/>
      <c r="JVO38" s="975"/>
      <c r="JVP38" s="975"/>
      <c r="JVQ38" s="975"/>
      <c r="JVR38" s="975"/>
      <c r="JVS38" s="975"/>
      <c r="JVT38" s="975"/>
      <c r="JVU38" s="975"/>
      <c r="JVV38" s="975"/>
      <c r="JVW38" s="975"/>
      <c r="JVX38" s="975"/>
      <c r="JVY38" s="975"/>
      <c r="JVZ38" s="975"/>
      <c r="JWA38" s="975"/>
      <c r="JWB38" s="975"/>
      <c r="JWC38" s="975"/>
      <c r="JWD38" s="975"/>
      <c r="JWE38" s="975"/>
      <c r="JWF38" s="975"/>
      <c r="JWG38" s="975"/>
      <c r="JWH38" s="975"/>
      <c r="JWI38" s="975"/>
      <c r="JWJ38" s="975"/>
      <c r="JWK38" s="975"/>
      <c r="JWL38" s="975"/>
      <c r="JWM38" s="975"/>
      <c r="JWN38" s="975"/>
      <c r="JWO38" s="975"/>
      <c r="JWP38" s="975"/>
      <c r="JWQ38" s="975"/>
      <c r="JWR38" s="975"/>
      <c r="JWS38" s="975"/>
      <c r="JWT38" s="975"/>
      <c r="JWU38" s="975"/>
      <c r="JWV38" s="975"/>
      <c r="JWW38" s="975"/>
      <c r="JWX38" s="975"/>
      <c r="JWY38" s="975"/>
      <c r="JWZ38" s="975"/>
      <c r="JXA38" s="975"/>
      <c r="JXB38" s="975"/>
      <c r="JXC38" s="975"/>
      <c r="JXD38" s="975"/>
      <c r="JXE38" s="975"/>
      <c r="JXF38" s="975"/>
      <c r="JXG38" s="975"/>
      <c r="JXH38" s="975"/>
      <c r="JXI38" s="975"/>
      <c r="JXJ38" s="975"/>
      <c r="JXK38" s="975"/>
      <c r="JXL38" s="975"/>
      <c r="JXM38" s="975"/>
      <c r="JXN38" s="975"/>
      <c r="JXO38" s="975"/>
      <c r="JXP38" s="975"/>
      <c r="JXQ38" s="975"/>
      <c r="JXR38" s="975"/>
      <c r="JXS38" s="975"/>
      <c r="JXT38" s="975"/>
      <c r="JXU38" s="975"/>
      <c r="JXV38" s="975"/>
      <c r="JXW38" s="975"/>
      <c r="JXX38" s="975"/>
      <c r="JXY38" s="975"/>
      <c r="JXZ38" s="975"/>
      <c r="JYA38" s="975"/>
      <c r="JYB38" s="975"/>
      <c r="JYC38" s="975"/>
      <c r="JYD38" s="975"/>
      <c r="JYE38" s="975"/>
      <c r="JYF38" s="975"/>
      <c r="JYG38" s="975"/>
      <c r="JYH38" s="975"/>
      <c r="JYI38" s="975"/>
      <c r="JYJ38" s="975"/>
      <c r="JYK38" s="975"/>
      <c r="JYL38" s="975"/>
      <c r="JYM38" s="975"/>
      <c r="JYN38" s="975"/>
      <c r="JYO38" s="975"/>
      <c r="JYP38" s="975"/>
      <c r="JYQ38" s="975"/>
      <c r="JYR38" s="975"/>
      <c r="JYS38" s="975"/>
      <c r="JYT38" s="975"/>
      <c r="JYU38" s="975"/>
      <c r="JYV38" s="975"/>
      <c r="JYW38" s="975"/>
      <c r="JYX38" s="975"/>
      <c r="JYY38" s="975"/>
      <c r="JYZ38" s="975"/>
      <c r="JZA38" s="975"/>
      <c r="JZB38" s="975"/>
      <c r="JZC38" s="975"/>
      <c r="JZD38" s="975"/>
      <c r="JZE38" s="975"/>
      <c r="JZF38" s="975"/>
      <c r="JZG38" s="975"/>
      <c r="JZH38" s="975"/>
      <c r="JZI38" s="975"/>
      <c r="JZJ38" s="975"/>
      <c r="JZK38" s="975"/>
      <c r="JZL38" s="975"/>
      <c r="JZM38" s="975"/>
      <c r="JZN38" s="975"/>
      <c r="JZO38" s="975"/>
      <c r="JZP38" s="975"/>
      <c r="JZQ38" s="975"/>
      <c r="JZR38" s="975"/>
      <c r="JZS38" s="975"/>
      <c r="JZT38" s="975"/>
      <c r="JZU38" s="975"/>
      <c r="JZV38" s="975"/>
      <c r="JZW38" s="975"/>
      <c r="JZX38" s="975"/>
      <c r="JZY38" s="975"/>
      <c r="JZZ38" s="975"/>
      <c r="KAA38" s="975"/>
      <c r="KAB38" s="975"/>
      <c r="KAC38" s="975"/>
      <c r="KAD38" s="975"/>
      <c r="KAE38" s="975"/>
      <c r="KAF38" s="975"/>
      <c r="KAG38" s="975"/>
      <c r="KAH38" s="975"/>
      <c r="KAI38" s="975"/>
      <c r="KAJ38" s="975"/>
      <c r="KAK38" s="975"/>
      <c r="KAL38" s="975"/>
      <c r="KAM38" s="975"/>
      <c r="KAN38" s="975"/>
      <c r="KAO38" s="975"/>
      <c r="KAP38" s="975"/>
      <c r="KAQ38" s="975"/>
      <c r="KAR38" s="975"/>
      <c r="KAS38" s="975"/>
      <c r="KAT38" s="975"/>
      <c r="KAU38" s="975"/>
      <c r="KAV38" s="975"/>
      <c r="KAW38" s="975"/>
      <c r="KAX38" s="975"/>
      <c r="KAY38" s="975"/>
      <c r="KAZ38" s="975"/>
      <c r="KBA38" s="975"/>
      <c r="KBB38" s="975"/>
      <c r="KBC38" s="975"/>
      <c r="KBD38" s="975"/>
      <c r="KBE38" s="975"/>
      <c r="KBF38" s="975"/>
      <c r="KBG38" s="975"/>
      <c r="KBH38" s="975"/>
      <c r="KBI38" s="975"/>
      <c r="KBJ38" s="975"/>
      <c r="KBK38" s="975"/>
      <c r="KBL38" s="975"/>
      <c r="KBM38" s="975"/>
      <c r="KBN38" s="975"/>
      <c r="KBO38" s="975"/>
      <c r="KBP38" s="975"/>
      <c r="KBQ38" s="975"/>
      <c r="KBR38" s="975"/>
      <c r="KBS38" s="975"/>
      <c r="KBT38" s="975"/>
      <c r="KBU38" s="975"/>
      <c r="KBV38" s="975"/>
      <c r="KBW38" s="975"/>
      <c r="KBX38" s="975"/>
      <c r="KBY38" s="975"/>
      <c r="KBZ38" s="975"/>
      <c r="KCA38" s="975"/>
      <c r="KCB38" s="975"/>
      <c r="KCC38" s="975"/>
      <c r="KCD38" s="975"/>
      <c r="KCE38" s="975"/>
      <c r="KCF38" s="975"/>
      <c r="KCG38" s="975"/>
      <c r="KCH38" s="975"/>
      <c r="KCI38" s="975"/>
      <c r="KCJ38" s="975"/>
      <c r="KCK38" s="975"/>
      <c r="KCL38" s="975"/>
      <c r="KCM38" s="975"/>
      <c r="KCN38" s="975"/>
      <c r="KCO38" s="975"/>
      <c r="KCP38" s="975"/>
      <c r="KCQ38" s="975"/>
      <c r="KCR38" s="975"/>
      <c r="KCS38" s="975"/>
      <c r="KCT38" s="975"/>
      <c r="KCU38" s="975"/>
      <c r="KCV38" s="975"/>
      <c r="KCW38" s="975"/>
      <c r="KCX38" s="975"/>
      <c r="KCY38" s="975"/>
      <c r="KCZ38" s="975"/>
      <c r="KDA38" s="975"/>
      <c r="KDB38" s="975"/>
      <c r="KDC38" s="975"/>
      <c r="KDD38" s="975"/>
      <c r="KDE38" s="975"/>
      <c r="KDF38" s="975"/>
      <c r="KDG38" s="975"/>
      <c r="KDH38" s="975"/>
      <c r="KDI38" s="975"/>
      <c r="KDJ38" s="975"/>
      <c r="KDK38" s="975"/>
      <c r="KDL38" s="975"/>
      <c r="KDM38" s="975"/>
      <c r="KDN38" s="975"/>
      <c r="KDO38" s="975"/>
      <c r="KDP38" s="975"/>
      <c r="KDQ38" s="975"/>
      <c r="KDR38" s="975"/>
      <c r="KDS38" s="975"/>
      <c r="KDT38" s="975"/>
      <c r="KDU38" s="975"/>
      <c r="KDV38" s="975"/>
      <c r="KDW38" s="975"/>
      <c r="KDX38" s="975"/>
      <c r="KDY38" s="975"/>
      <c r="KDZ38" s="975"/>
      <c r="KEA38" s="975"/>
      <c r="KEB38" s="975"/>
      <c r="KEC38" s="975"/>
      <c r="KED38" s="975"/>
      <c r="KEE38" s="975"/>
      <c r="KEF38" s="975"/>
      <c r="KEG38" s="975"/>
      <c r="KEH38" s="975"/>
      <c r="KEI38" s="975"/>
      <c r="KEJ38" s="975"/>
      <c r="KEK38" s="975"/>
      <c r="KEL38" s="975"/>
      <c r="KEM38" s="975"/>
      <c r="KEN38" s="975"/>
      <c r="KEO38" s="975"/>
      <c r="KEP38" s="975"/>
      <c r="KEQ38" s="975"/>
      <c r="KER38" s="975"/>
      <c r="KES38" s="975"/>
      <c r="KET38" s="975"/>
      <c r="KEU38" s="975"/>
      <c r="KEV38" s="975"/>
      <c r="KEW38" s="975"/>
      <c r="KEX38" s="975"/>
      <c r="KEY38" s="975"/>
      <c r="KEZ38" s="975"/>
      <c r="KFA38" s="975"/>
      <c r="KFB38" s="975"/>
      <c r="KFC38" s="975"/>
      <c r="KFD38" s="975"/>
      <c r="KFE38" s="975"/>
      <c r="KFF38" s="975"/>
      <c r="KFG38" s="975"/>
      <c r="KFH38" s="975"/>
      <c r="KFI38" s="975"/>
      <c r="KFJ38" s="975"/>
      <c r="KFK38" s="975"/>
      <c r="KFL38" s="975"/>
      <c r="KFM38" s="975"/>
      <c r="KFN38" s="975"/>
      <c r="KFO38" s="975"/>
      <c r="KFP38" s="975"/>
      <c r="KFQ38" s="975"/>
      <c r="KFR38" s="975"/>
      <c r="KFS38" s="975"/>
      <c r="KFT38" s="975"/>
      <c r="KFU38" s="975"/>
      <c r="KFV38" s="975"/>
      <c r="KFW38" s="975"/>
      <c r="KFX38" s="975"/>
      <c r="KFY38" s="975"/>
      <c r="KFZ38" s="975"/>
      <c r="KGA38" s="975"/>
      <c r="KGB38" s="975"/>
      <c r="KGC38" s="975"/>
      <c r="KGD38" s="975"/>
      <c r="KGE38" s="975"/>
      <c r="KGF38" s="975"/>
      <c r="KGG38" s="975"/>
      <c r="KGH38" s="975"/>
      <c r="KGI38" s="975"/>
      <c r="KGJ38" s="975"/>
      <c r="KGK38" s="975"/>
      <c r="KGL38" s="975"/>
      <c r="KGM38" s="975"/>
      <c r="KGN38" s="975"/>
      <c r="KGO38" s="975"/>
      <c r="KGP38" s="975"/>
      <c r="KGQ38" s="975"/>
      <c r="KGR38" s="975"/>
      <c r="KGS38" s="975"/>
      <c r="KGT38" s="975"/>
      <c r="KGU38" s="975"/>
      <c r="KGV38" s="975"/>
      <c r="KGW38" s="975"/>
      <c r="KGX38" s="975"/>
      <c r="KGY38" s="975"/>
      <c r="KGZ38" s="975"/>
      <c r="KHA38" s="975"/>
      <c r="KHB38" s="975"/>
      <c r="KHC38" s="975"/>
      <c r="KHD38" s="975"/>
      <c r="KHE38" s="975"/>
      <c r="KHF38" s="975"/>
      <c r="KHG38" s="975"/>
      <c r="KHH38" s="975"/>
      <c r="KHI38" s="975"/>
      <c r="KHJ38" s="975"/>
      <c r="KHK38" s="975"/>
      <c r="KHL38" s="975"/>
      <c r="KHM38" s="975"/>
      <c r="KHN38" s="975"/>
      <c r="KHO38" s="975"/>
      <c r="KHP38" s="975"/>
      <c r="KHQ38" s="975"/>
      <c r="KHR38" s="975"/>
      <c r="KHS38" s="975"/>
      <c r="KHT38" s="975"/>
      <c r="KHU38" s="975"/>
      <c r="KHV38" s="975"/>
      <c r="KHW38" s="975"/>
      <c r="KHX38" s="975"/>
      <c r="KHY38" s="975"/>
      <c r="KHZ38" s="975"/>
      <c r="KIA38" s="975"/>
      <c r="KIB38" s="975"/>
      <c r="KIC38" s="975"/>
      <c r="KID38" s="975"/>
      <c r="KIE38" s="975"/>
      <c r="KIF38" s="975"/>
      <c r="KIG38" s="975"/>
      <c r="KIH38" s="975"/>
      <c r="KII38" s="975"/>
      <c r="KIJ38" s="975"/>
      <c r="KIK38" s="975"/>
      <c r="KIL38" s="975"/>
      <c r="KIM38" s="975"/>
      <c r="KIN38" s="975"/>
      <c r="KIO38" s="975"/>
      <c r="KIP38" s="975"/>
      <c r="KIQ38" s="975"/>
      <c r="KIR38" s="975"/>
      <c r="KIS38" s="975"/>
      <c r="KIT38" s="975"/>
      <c r="KIU38" s="975"/>
      <c r="KIV38" s="975"/>
      <c r="KIW38" s="975"/>
      <c r="KIX38" s="975"/>
      <c r="KIY38" s="975"/>
      <c r="KIZ38" s="975"/>
      <c r="KJA38" s="975"/>
      <c r="KJB38" s="975"/>
      <c r="KJC38" s="975"/>
      <c r="KJD38" s="975"/>
      <c r="KJE38" s="975"/>
      <c r="KJF38" s="975"/>
      <c r="KJG38" s="975"/>
      <c r="KJH38" s="975"/>
      <c r="KJI38" s="975"/>
      <c r="KJJ38" s="975"/>
      <c r="KJK38" s="975"/>
      <c r="KJL38" s="975"/>
      <c r="KJM38" s="975"/>
      <c r="KJN38" s="975"/>
      <c r="KJO38" s="975"/>
      <c r="KJP38" s="975"/>
      <c r="KJQ38" s="975"/>
      <c r="KJR38" s="975"/>
      <c r="KJS38" s="975"/>
      <c r="KJT38" s="975"/>
      <c r="KJU38" s="975"/>
      <c r="KJV38" s="975"/>
      <c r="KJW38" s="975"/>
      <c r="KJX38" s="975"/>
      <c r="KJY38" s="975"/>
      <c r="KJZ38" s="975"/>
      <c r="KKA38" s="975"/>
      <c r="KKB38" s="975"/>
      <c r="KKC38" s="975"/>
      <c r="KKD38" s="975"/>
      <c r="KKE38" s="975"/>
      <c r="KKF38" s="975"/>
      <c r="KKG38" s="975"/>
      <c r="KKH38" s="975"/>
      <c r="KKI38" s="975"/>
      <c r="KKJ38" s="975"/>
      <c r="KKK38" s="975"/>
      <c r="KKL38" s="975"/>
      <c r="KKM38" s="975"/>
      <c r="KKN38" s="975"/>
      <c r="KKO38" s="975"/>
      <c r="KKP38" s="975"/>
      <c r="KKQ38" s="975"/>
      <c r="KKR38" s="975"/>
      <c r="KKS38" s="975"/>
      <c r="KKT38" s="975"/>
      <c r="KKU38" s="975"/>
      <c r="KKV38" s="975"/>
      <c r="KKW38" s="975"/>
      <c r="KKX38" s="975"/>
      <c r="KKY38" s="975"/>
      <c r="KKZ38" s="975"/>
      <c r="KLA38" s="975"/>
      <c r="KLB38" s="975"/>
      <c r="KLC38" s="975"/>
      <c r="KLD38" s="975"/>
      <c r="KLE38" s="975"/>
      <c r="KLF38" s="975"/>
      <c r="KLG38" s="975"/>
      <c r="KLH38" s="975"/>
      <c r="KLI38" s="975"/>
      <c r="KLJ38" s="975"/>
      <c r="KLK38" s="975"/>
      <c r="KLL38" s="975"/>
      <c r="KLM38" s="975"/>
      <c r="KLN38" s="975"/>
      <c r="KLO38" s="975"/>
      <c r="KLP38" s="975"/>
      <c r="KLQ38" s="975"/>
      <c r="KLR38" s="975"/>
      <c r="KLS38" s="975"/>
      <c r="KLT38" s="975"/>
      <c r="KLU38" s="975"/>
      <c r="KLV38" s="975"/>
      <c r="KLW38" s="975"/>
      <c r="KLX38" s="975"/>
      <c r="KLY38" s="975"/>
      <c r="KLZ38" s="975"/>
      <c r="KMA38" s="975"/>
      <c r="KMB38" s="975"/>
      <c r="KMC38" s="975"/>
      <c r="KMD38" s="975"/>
      <c r="KME38" s="975"/>
      <c r="KMF38" s="975"/>
      <c r="KMG38" s="975"/>
      <c r="KMH38" s="975"/>
      <c r="KMI38" s="975"/>
      <c r="KMJ38" s="975"/>
      <c r="KMK38" s="975"/>
      <c r="KML38" s="975"/>
      <c r="KMM38" s="975"/>
      <c r="KMN38" s="975"/>
      <c r="KMO38" s="975"/>
      <c r="KMP38" s="975"/>
      <c r="KMQ38" s="975"/>
      <c r="KMR38" s="975"/>
      <c r="KMS38" s="975"/>
      <c r="KMT38" s="975"/>
      <c r="KMU38" s="975"/>
      <c r="KMV38" s="975"/>
      <c r="KMW38" s="975"/>
      <c r="KMX38" s="975"/>
      <c r="KMY38" s="975"/>
      <c r="KMZ38" s="975"/>
      <c r="KNA38" s="975"/>
      <c r="KNB38" s="975"/>
      <c r="KNC38" s="975"/>
      <c r="KND38" s="975"/>
      <c r="KNE38" s="975"/>
      <c r="KNF38" s="975"/>
      <c r="KNG38" s="975"/>
      <c r="KNH38" s="975"/>
      <c r="KNI38" s="975"/>
      <c r="KNJ38" s="975"/>
      <c r="KNK38" s="975"/>
      <c r="KNL38" s="975"/>
      <c r="KNM38" s="975"/>
      <c r="KNN38" s="975"/>
      <c r="KNO38" s="975"/>
      <c r="KNP38" s="975"/>
      <c r="KNQ38" s="975"/>
      <c r="KNR38" s="975"/>
      <c r="KNS38" s="975"/>
      <c r="KNT38" s="975"/>
      <c r="KNU38" s="975"/>
      <c r="KNV38" s="975"/>
      <c r="KNW38" s="975"/>
      <c r="KNX38" s="975"/>
      <c r="KNY38" s="975"/>
      <c r="KNZ38" s="975"/>
      <c r="KOA38" s="975"/>
      <c r="KOB38" s="975"/>
      <c r="KOC38" s="975"/>
      <c r="KOD38" s="975"/>
      <c r="KOE38" s="975"/>
      <c r="KOF38" s="975"/>
      <c r="KOG38" s="975"/>
      <c r="KOH38" s="975"/>
      <c r="KOI38" s="975"/>
      <c r="KOJ38" s="975"/>
      <c r="KOK38" s="975"/>
      <c r="KOL38" s="975"/>
      <c r="KOM38" s="975"/>
      <c r="KON38" s="975"/>
      <c r="KOO38" s="975"/>
      <c r="KOP38" s="975"/>
      <c r="KOQ38" s="975"/>
      <c r="KOR38" s="975"/>
      <c r="KOS38" s="975"/>
      <c r="KOT38" s="975"/>
      <c r="KOU38" s="975"/>
      <c r="KOV38" s="975"/>
      <c r="KOW38" s="975"/>
      <c r="KOX38" s="975"/>
      <c r="KOY38" s="975"/>
      <c r="KOZ38" s="975"/>
      <c r="KPA38" s="975"/>
      <c r="KPB38" s="975"/>
      <c r="KPC38" s="975"/>
      <c r="KPD38" s="975"/>
      <c r="KPE38" s="975"/>
      <c r="KPF38" s="975"/>
      <c r="KPG38" s="975"/>
      <c r="KPH38" s="975"/>
      <c r="KPI38" s="975"/>
      <c r="KPJ38" s="975"/>
      <c r="KPK38" s="975"/>
      <c r="KPL38" s="975"/>
      <c r="KPM38" s="975"/>
      <c r="KPN38" s="975"/>
      <c r="KPO38" s="975"/>
      <c r="KPP38" s="975"/>
      <c r="KPQ38" s="975"/>
      <c r="KPR38" s="975"/>
      <c r="KPS38" s="975"/>
      <c r="KPT38" s="975"/>
      <c r="KPU38" s="975"/>
      <c r="KPV38" s="975"/>
      <c r="KPW38" s="975"/>
      <c r="KPX38" s="975"/>
      <c r="KPY38" s="975"/>
      <c r="KPZ38" s="975"/>
      <c r="KQA38" s="975"/>
      <c r="KQB38" s="975"/>
      <c r="KQC38" s="975"/>
      <c r="KQD38" s="975"/>
      <c r="KQE38" s="975"/>
      <c r="KQF38" s="975"/>
      <c r="KQG38" s="975"/>
      <c r="KQH38" s="975"/>
      <c r="KQI38" s="975"/>
      <c r="KQJ38" s="975"/>
      <c r="KQK38" s="975"/>
      <c r="KQL38" s="975"/>
      <c r="KQM38" s="975"/>
      <c r="KQN38" s="975"/>
      <c r="KQO38" s="975"/>
      <c r="KQP38" s="975"/>
      <c r="KQQ38" s="975"/>
      <c r="KQR38" s="975"/>
      <c r="KQS38" s="975"/>
      <c r="KQT38" s="975"/>
      <c r="KQU38" s="975"/>
      <c r="KQV38" s="975"/>
      <c r="KQW38" s="975"/>
      <c r="KQX38" s="975"/>
      <c r="KQY38" s="975"/>
      <c r="KQZ38" s="975"/>
      <c r="KRA38" s="975"/>
      <c r="KRB38" s="975"/>
      <c r="KRC38" s="975"/>
      <c r="KRD38" s="975"/>
      <c r="KRE38" s="975"/>
      <c r="KRF38" s="975"/>
      <c r="KRG38" s="975"/>
      <c r="KRH38" s="975"/>
      <c r="KRI38" s="975"/>
      <c r="KRJ38" s="975"/>
      <c r="KRK38" s="975"/>
      <c r="KRL38" s="975"/>
      <c r="KRM38" s="975"/>
      <c r="KRN38" s="975"/>
      <c r="KRO38" s="975"/>
      <c r="KRP38" s="975"/>
      <c r="KRQ38" s="975"/>
      <c r="KRR38" s="975"/>
      <c r="KRS38" s="975"/>
      <c r="KRT38" s="975"/>
      <c r="KRU38" s="975"/>
      <c r="KRV38" s="975"/>
      <c r="KRW38" s="975"/>
      <c r="KRX38" s="975"/>
      <c r="KRY38" s="975"/>
      <c r="KRZ38" s="975"/>
      <c r="KSA38" s="975"/>
      <c r="KSB38" s="975"/>
      <c r="KSC38" s="975"/>
      <c r="KSD38" s="975"/>
      <c r="KSE38" s="975"/>
      <c r="KSF38" s="975"/>
      <c r="KSG38" s="975"/>
      <c r="KSH38" s="975"/>
      <c r="KSI38" s="975"/>
      <c r="KSJ38" s="975"/>
      <c r="KSK38" s="975"/>
      <c r="KSL38" s="975"/>
      <c r="KSM38" s="975"/>
      <c r="KSN38" s="975"/>
      <c r="KSO38" s="975"/>
      <c r="KSP38" s="975"/>
      <c r="KSQ38" s="975"/>
      <c r="KSR38" s="975"/>
      <c r="KSS38" s="975"/>
      <c r="KST38" s="975"/>
      <c r="KSU38" s="975"/>
      <c r="KSV38" s="975"/>
      <c r="KSW38" s="975"/>
      <c r="KSX38" s="975"/>
      <c r="KSY38" s="975"/>
      <c r="KSZ38" s="975"/>
      <c r="KTA38" s="975"/>
      <c r="KTB38" s="975"/>
      <c r="KTC38" s="975"/>
      <c r="KTD38" s="975"/>
      <c r="KTE38" s="975"/>
      <c r="KTF38" s="975"/>
      <c r="KTG38" s="975"/>
      <c r="KTH38" s="975"/>
      <c r="KTI38" s="975"/>
      <c r="KTJ38" s="975"/>
      <c r="KTK38" s="975"/>
      <c r="KTL38" s="975"/>
      <c r="KTM38" s="975"/>
      <c r="KTN38" s="975"/>
      <c r="KTO38" s="975"/>
      <c r="KTP38" s="975"/>
      <c r="KTQ38" s="975"/>
      <c r="KTR38" s="975"/>
      <c r="KTS38" s="975"/>
      <c r="KTT38" s="975"/>
      <c r="KTU38" s="975"/>
      <c r="KTV38" s="975"/>
      <c r="KTW38" s="975"/>
      <c r="KTX38" s="975"/>
      <c r="KTY38" s="975"/>
      <c r="KTZ38" s="975"/>
      <c r="KUA38" s="975"/>
      <c r="KUB38" s="975"/>
      <c r="KUC38" s="975"/>
      <c r="KUD38" s="975"/>
      <c r="KUE38" s="975"/>
      <c r="KUF38" s="975"/>
      <c r="KUG38" s="975"/>
      <c r="KUH38" s="975"/>
      <c r="KUI38" s="975"/>
      <c r="KUJ38" s="975"/>
      <c r="KUK38" s="975"/>
      <c r="KUL38" s="975"/>
      <c r="KUM38" s="975"/>
      <c r="KUN38" s="975"/>
      <c r="KUO38" s="975"/>
      <c r="KUP38" s="975"/>
      <c r="KUQ38" s="975"/>
      <c r="KUR38" s="975"/>
      <c r="KUS38" s="975"/>
      <c r="KUT38" s="975"/>
      <c r="KUU38" s="975"/>
      <c r="KUV38" s="975"/>
      <c r="KUW38" s="975"/>
      <c r="KUX38" s="975"/>
      <c r="KUY38" s="975"/>
      <c r="KUZ38" s="975"/>
      <c r="KVA38" s="975"/>
      <c r="KVB38" s="975"/>
      <c r="KVC38" s="975"/>
      <c r="KVD38" s="975"/>
      <c r="KVE38" s="975"/>
      <c r="KVF38" s="975"/>
      <c r="KVG38" s="975"/>
      <c r="KVH38" s="975"/>
      <c r="KVI38" s="975"/>
      <c r="KVJ38" s="975"/>
      <c r="KVK38" s="975"/>
      <c r="KVL38" s="975"/>
      <c r="KVM38" s="975"/>
      <c r="KVN38" s="975"/>
      <c r="KVO38" s="975"/>
      <c r="KVP38" s="975"/>
      <c r="KVQ38" s="975"/>
      <c r="KVR38" s="975"/>
      <c r="KVS38" s="975"/>
      <c r="KVT38" s="975"/>
      <c r="KVU38" s="975"/>
      <c r="KVV38" s="975"/>
      <c r="KVW38" s="975"/>
      <c r="KVX38" s="975"/>
      <c r="KVY38" s="975"/>
      <c r="KVZ38" s="975"/>
      <c r="KWA38" s="975"/>
      <c r="KWB38" s="975"/>
      <c r="KWC38" s="975"/>
      <c r="KWD38" s="975"/>
      <c r="KWE38" s="975"/>
      <c r="KWF38" s="975"/>
      <c r="KWG38" s="975"/>
      <c r="KWH38" s="975"/>
      <c r="KWI38" s="975"/>
      <c r="KWJ38" s="975"/>
      <c r="KWK38" s="975"/>
      <c r="KWL38" s="975"/>
      <c r="KWM38" s="975"/>
      <c r="KWN38" s="975"/>
      <c r="KWO38" s="975"/>
      <c r="KWP38" s="975"/>
      <c r="KWQ38" s="975"/>
      <c r="KWR38" s="975"/>
      <c r="KWS38" s="975"/>
      <c r="KWT38" s="975"/>
      <c r="KWU38" s="975"/>
      <c r="KWV38" s="975"/>
      <c r="KWW38" s="975"/>
      <c r="KWX38" s="975"/>
      <c r="KWY38" s="975"/>
      <c r="KWZ38" s="975"/>
      <c r="KXA38" s="975"/>
      <c r="KXB38" s="975"/>
      <c r="KXC38" s="975"/>
      <c r="KXD38" s="975"/>
      <c r="KXE38" s="975"/>
      <c r="KXF38" s="975"/>
      <c r="KXG38" s="975"/>
      <c r="KXH38" s="975"/>
      <c r="KXI38" s="975"/>
      <c r="KXJ38" s="975"/>
      <c r="KXK38" s="975"/>
      <c r="KXL38" s="975"/>
      <c r="KXM38" s="975"/>
      <c r="KXN38" s="975"/>
      <c r="KXO38" s="975"/>
      <c r="KXP38" s="975"/>
      <c r="KXQ38" s="975"/>
      <c r="KXR38" s="975"/>
      <c r="KXS38" s="975"/>
      <c r="KXT38" s="975"/>
      <c r="KXU38" s="975"/>
      <c r="KXV38" s="975"/>
      <c r="KXW38" s="975"/>
      <c r="KXX38" s="975"/>
      <c r="KXY38" s="975"/>
      <c r="KXZ38" s="975"/>
      <c r="KYA38" s="975"/>
      <c r="KYB38" s="975"/>
      <c r="KYC38" s="975"/>
      <c r="KYD38" s="975"/>
      <c r="KYE38" s="975"/>
      <c r="KYF38" s="975"/>
      <c r="KYG38" s="975"/>
      <c r="KYH38" s="975"/>
      <c r="KYI38" s="975"/>
      <c r="KYJ38" s="975"/>
      <c r="KYK38" s="975"/>
      <c r="KYL38" s="975"/>
      <c r="KYM38" s="975"/>
      <c r="KYN38" s="975"/>
      <c r="KYO38" s="975"/>
      <c r="KYP38" s="975"/>
      <c r="KYQ38" s="975"/>
      <c r="KYR38" s="975"/>
      <c r="KYS38" s="975"/>
      <c r="KYT38" s="975"/>
      <c r="KYU38" s="975"/>
      <c r="KYV38" s="975"/>
      <c r="KYW38" s="975"/>
      <c r="KYX38" s="975"/>
      <c r="KYY38" s="975"/>
      <c r="KYZ38" s="975"/>
      <c r="KZA38" s="975"/>
      <c r="KZB38" s="975"/>
      <c r="KZC38" s="975"/>
      <c r="KZD38" s="975"/>
      <c r="KZE38" s="975"/>
      <c r="KZF38" s="975"/>
      <c r="KZG38" s="975"/>
      <c r="KZH38" s="975"/>
      <c r="KZI38" s="975"/>
      <c r="KZJ38" s="975"/>
      <c r="KZK38" s="975"/>
      <c r="KZL38" s="975"/>
      <c r="KZM38" s="975"/>
      <c r="KZN38" s="975"/>
      <c r="KZO38" s="975"/>
      <c r="KZP38" s="975"/>
      <c r="KZQ38" s="975"/>
      <c r="KZR38" s="975"/>
      <c r="KZS38" s="975"/>
      <c r="KZT38" s="975"/>
      <c r="KZU38" s="975"/>
      <c r="KZV38" s="975"/>
      <c r="KZW38" s="975"/>
      <c r="KZX38" s="975"/>
      <c r="KZY38" s="975"/>
      <c r="KZZ38" s="975"/>
      <c r="LAA38" s="975"/>
      <c r="LAB38" s="975"/>
      <c r="LAC38" s="975"/>
      <c r="LAD38" s="975"/>
      <c r="LAE38" s="975"/>
      <c r="LAF38" s="975"/>
      <c r="LAG38" s="975"/>
      <c r="LAH38" s="975"/>
      <c r="LAI38" s="975"/>
      <c r="LAJ38" s="975"/>
      <c r="LAK38" s="975"/>
      <c r="LAL38" s="975"/>
      <c r="LAM38" s="975"/>
      <c r="LAN38" s="975"/>
      <c r="LAO38" s="975"/>
      <c r="LAP38" s="975"/>
      <c r="LAQ38" s="975"/>
      <c r="LAR38" s="975"/>
      <c r="LAS38" s="975"/>
      <c r="LAT38" s="975"/>
      <c r="LAU38" s="975"/>
      <c r="LAV38" s="975"/>
      <c r="LAW38" s="975"/>
      <c r="LAX38" s="975"/>
      <c r="LAY38" s="975"/>
      <c r="LAZ38" s="975"/>
      <c r="LBA38" s="975"/>
      <c r="LBB38" s="975"/>
      <c r="LBC38" s="975"/>
      <c r="LBD38" s="975"/>
      <c r="LBE38" s="975"/>
      <c r="LBF38" s="975"/>
      <c r="LBG38" s="975"/>
      <c r="LBH38" s="975"/>
      <c r="LBI38" s="975"/>
      <c r="LBJ38" s="975"/>
      <c r="LBK38" s="975"/>
      <c r="LBL38" s="975"/>
      <c r="LBM38" s="975"/>
      <c r="LBN38" s="975"/>
      <c r="LBO38" s="975"/>
      <c r="LBP38" s="975"/>
      <c r="LBQ38" s="975"/>
      <c r="LBR38" s="975"/>
      <c r="LBS38" s="975"/>
      <c r="LBT38" s="975"/>
      <c r="LBU38" s="975"/>
      <c r="LBV38" s="975"/>
      <c r="LBW38" s="975"/>
      <c r="LBX38" s="975"/>
      <c r="LBY38" s="975"/>
      <c r="LBZ38" s="975"/>
      <c r="LCA38" s="975"/>
      <c r="LCB38" s="975"/>
      <c r="LCC38" s="975"/>
      <c r="LCD38" s="975"/>
      <c r="LCE38" s="975"/>
      <c r="LCF38" s="975"/>
      <c r="LCG38" s="975"/>
      <c r="LCH38" s="975"/>
      <c r="LCI38" s="975"/>
      <c r="LCJ38" s="975"/>
      <c r="LCK38" s="975"/>
      <c r="LCL38" s="975"/>
      <c r="LCM38" s="975"/>
      <c r="LCN38" s="975"/>
      <c r="LCO38" s="975"/>
      <c r="LCP38" s="975"/>
      <c r="LCQ38" s="975"/>
      <c r="LCR38" s="975"/>
      <c r="LCS38" s="975"/>
      <c r="LCT38" s="975"/>
      <c r="LCU38" s="975"/>
      <c r="LCV38" s="975"/>
      <c r="LCW38" s="975"/>
      <c r="LCX38" s="975"/>
      <c r="LCY38" s="975"/>
      <c r="LCZ38" s="975"/>
      <c r="LDA38" s="975"/>
      <c r="LDB38" s="975"/>
      <c r="LDC38" s="975"/>
      <c r="LDD38" s="975"/>
      <c r="LDE38" s="975"/>
      <c r="LDF38" s="975"/>
      <c r="LDG38" s="975"/>
      <c r="LDH38" s="975"/>
      <c r="LDI38" s="975"/>
      <c r="LDJ38" s="975"/>
      <c r="LDK38" s="975"/>
      <c r="LDL38" s="975"/>
      <c r="LDM38" s="975"/>
      <c r="LDN38" s="975"/>
      <c r="LDO38" s="975"/>
      <c r="LDP38" s="975"/>
      <c r="LDQ38" s="975"/>
      <c r="LDR38" s="975"/>
      <c r="LDS38" s="975"/>
      <c r="LDT38" s="975"/>
      <c r="LDU38" s="975"/>
      <c r="LDV38" s="975"/>
      <c r="LDW38" s="975"/>
      <c r="LDX38" s="975"/>
      <c r="LDY38" s="975"/>
      <c r="LDZ38" s="975"/>
      <c r="LEA38" s="975"/>
      <c r="LEB38" s="975"/>
      <c r="LEC38" s="975"/>
      <c r="LED38" s="975"/>
      <c r="LEE38" s="975"/>
      <c r="LEF38" s="975"/>
      <c r="LEG38" s="975"/>
      <c r="LEH38" s="975"/>
      <c r="LEI38" s="975"/>
      <c r="LEJ38" s="975"/>
      <c r="LEK38" s="975"/>
      <c r="LEL38" s="975"/>
      <c r="LEM38" s="975"/>
      <c r="LEN38" s="975"/>
      <c r="LEO38" s="975"/>
      <c r="LEP38" s="975"/>
      <c r="LEQ38" s="975"/>
      <c r="LER38" s="975"/>
      <c r="LES38" s="975"/>
      <c r="LET38" s="975"/>
      <c r="LEU38" s="975"/>
      <c r="LEV38" s="975"/>
      <c r="LEW38" s="975"/>
      <c r="LEX38" s="975"/>
      <c r="LEY38" s="975"/>
      <c r="LEZ38" s="975"/>
      <c r="LFA38" s="975"/>
      <c r="LFB38" s="975"/>
      <c r="LFC38" s="975"/>
      <c r="LFD38" s="975"/>
      <c r="LFE38" s="975"/>
      <c r="LFF38" s="975"/>
      <c r="LFG38" s="975"/>
      <c r="LFH38" s="975"/>
      <c r="LFI38" s="975"/>
      <c r="LFJ38" s="975"/>
      <c r="LFK38" s="975"/>
      <c r="LFL38" s="975"/>
      <c r="LFM38" s="975"/>
      <c r="LFN38" s="975"/>
      <c r="LFO38" s="975"/>
      <c r="LFP38" s="975"/>
      <c r="LFQ38" s="975"/>
      <c r="LFR38" s="975"/>
      <c r="LFS38" s="975"/>
      <c r="LFT38" s="975"/>
      <c r="LFU38" s="975"/>
      <c r="LFV38" s="975"/>
      <c r="LFW38" s="975"/>
      <c r="LFX38" s="975"/>
      <c r="LFY38" s="975"/>
      <c r="LFZ38" s="975"/>
      <c r="LGA38" s="975"/>
      <c r="LGB38" s="975"/>
      <c r="LGC38" s="975"/>
      <c r="LGD38" s="975"/>
      <c r="LGE38" s="975"/>
      <c r="LGF38" s="975"/>
      <c r="LGG38" s="975"/>
      <c r="LGH38" s="975"/>
      <c r="LGI38" s="975"/>
      <c r="LGJ38" s="975"/>
      <c r="LGK38" s="975"/>
      <c r="LGL38" s="975"/>
      <c r="LGM38" s="975"/>
      <c r="LGN38" s="975"/>
      <c r="LGO38" s="975"/>
      <c r="LGP38" s="975"/>
      <c r="LGQ38" s="975"/>
      <c r="LGR38" s="975"/>
      <c r="LGS38" s="975"/>
      <c r="LGT38" s="975"/>
      <c r="LGU38" s="975"/>
      <c r="LGV38" s="975"/>
      <c r="LGW38" s="975"/>
      <c r="LGX38" s="975"/>
      <c r="LGY38" s="975"/>
      <c r="LGZ38" s="975"/>
      <c r="LHA38" s="975"/>
      <c r="LHB38" s="975"/>
      <c r="LHC38" s="975"/>
      <c r="LHD38" s="975"/>
      <c r="LHE38" s="975"/>
      <c r="LHF38" s="975"/>
      <c r="LHG38" s="975"/>
      <c r="LHH38" s="975"/>
      <c r="LHI38" s="975"/>
      <c r="LHJ38" s="975"/>
      <c r="LHK38" s="975"/>
      <c r="LHL38" s="975"/>
      <c r="LHM38" s="975"/>
      <c r="LHN38" s="975"/>
      <c r="LHO38" s="975"/>
      <c r="LHP38" s="975"/>
      <c r="LHQ38" s="975"/>
      <c r="LHR38" s="975"/>
      <c r="LHS38" s="975"/>
      <c r="LHT38" s="975"/>
      <c r="LHU38" s="975"/>
      <c r="LHV38" s="975"/>
      <c r="LHW38" s="975"/>
      <c r="LHX38" s="975"/>
      <c r="LHY38" s="975"/>
      <c r="LHZ38" s="975"/>
      <c r="LIA38" s="975"/>
      <c r="LIB38" s="975"/>
      <c r="LIC38" s="975"/>
      <c r="LID38" s="975"/>
      <c r="LIE38" s="975"/>
      <c r="LIF38" s="975"/>
      <c r="LIG38" s="975"/>
      <c r="LIH38" s="975"/>
      <c r="LII38" s="975"/>
      <c r="LIJ38" s="975"/>
      <c r="LIK38" s="975"/>
      <c r="LIL38" s="975"/>
      <c r="LIM38" s="975"/>
      <c r="LIN38" s="975"/>
      <c r="LIO38" s="975"/>
      <c r="LIP38" s="975"/>
      <c r="LIQ38" s="975"/>
      <c r="LIR38" s="975"/>
      <c r="LIS38" s="975"/>
      <c r="LIT38" s="975"/>
      <c r="LIU38" s="975"/>
      <c r="LIV38" s="975"/>
      <c r="LIW38" s="975"/>
      <c r="LIX38" s="975"/>
      <c r="LIY38" s="975"/>
      <c r="LIZ38" s="975"/>
      <c r="LJA38" s="975"/>
      <c r="LJB38" s="975"/>
      <c r="LJC38" s="975"/>
      <c r="LJD38" s="975"/>
      <c r="LJE38" s="975"/>
      <c r="LJF38" s="975"/>
      <c r="LJG38" s="975"/>
      <c r="LJH38" s="975"/>
      <c r="LJI38" s="975"/>
      <c r="LJJ38" s="975"/>
      <c r="LJK38" s="975"/>
      <c r="LJL38" s="975"/>
      <c r="LJM38" s="975"/>
      <c r="LJN38" s="975"/>
      <c r="LJO38" s="975"/>
      <c r="LJP38" s="975"/>
      <c r="LJQ38" s="975"/>
      <c r="LJR38" s="975"/>
      <c r="LJS38" s="975"/>
      <c r="LJT38" s="975"/>
      <c r="LJU38" s="975"/>
      <c r="LJV38" s="975"/>
      <c r="LJW38" s="975"/>
      <c r="LJX38" s="975"/>
      <c r="LJY38" s="975"/>
      <c r="LJZ38" s="975"/>
      <c r="LKA38" s="975"/>
      <c r="LKB38" s="975"/>
      <c r="LKC38" s="975"/>
      <c r="LKD38" s="975"/>
      <c r="LKE38" s="975"/>
      <c r="LKF38" s="975"/>
      <c r="LKG38" s="975"/>
      <c r="LKH38" s="975"/>
      <c r="LKI38" s="975"/>
      <c r="LKJ38" s="975"/>
      <c r="LKK38" s="975"/>
      <c r="LKL38" s="975"/>
      <c r="LKM38" s="975"/>
      <c r="LKN38" s="975"/>
      <c r="LKO38" s="975"/>
      <c r="LKP38" s="975"/>
      <c r="LKQ38" s="975"/>
      <c r="LKR38" s="975"/>
      <c r="LKS38" s="975"/>
      <c r="LKT38" s="975"/>
      <c r="LKU38" s="975"/>
      <c r="LKV38" s="975"/>
      <c r="LKW38" s="975"/>
      <c r="LKX38" s="975"/>
      <c r="LKY38" s="975"/>
      <c r="LKZ38" s="975"/>
      <c r="LLA38" s="975"/>
      <c r="LLB38" s="975"/>
      <c r="LLC38" s="975"/>
      <c r="LLD38" s="975"/>
      <c r="LLE38" s="975"/>
      <c r="LLF38" s="975"/>
      <c r="LLG38" s="975"/>
      <c r="LLH38" s="975"/>
      <c r="LLI38" s="975"/>
      <c r="LLJ38" s="975"/>
      <c r="LLK38" s="975"/>
      <c r="LLL38" s="975"/>
      <c r="LLM38" s="975"/>
      <c r="LLN38" s="975"/>
      <c r="LLO38" s="975"/>
      <c r="LLP38" s="975"/>
      <c r="LLQ38" s="975"/>
      <c r="LLR38" s="975"/>
      <c r="LLS38" s="975"/>
      <c r="LLT38" s="975"/>
      <c r="LLU38" s="975"/>
      <c r="LLV38" s="975"/>
      <c r="LLW38" s="975"/>
      <c r="LLX38" s="975"/>
      <c r="LLY38" s="975"/>
      <c r="LLZ38" s="975"/>
      <c r="LMA38" s="975"/>
      <c r="LMB38" s="975"/>
      <c r="LMC38" s="975"/>
      <c r="LMD38" s="975"/>
      <c r="LME38" s="975"/>
      <c r="LMF38" s="975"/>
      <c r="LMG38" s="975"/>
      <c r="LMH38" s="975"/>
      <c r="LMI38" s="975"/>
      <c r="LMJ38" s="975"/>
      <c r="LMK38" s="975"/>
      <c r="LML38" s="975"/>
      <c r="LMM38" s="975"/>
      <c r="LMN38" s="975"/>
      <c r="LMO38" s="975"/>
      <c r="LMP38" s="975"/>
      <c r="LMQ38" s="975"/>
      <c r="LMR38" s="975"/>
      <c r="LMS38" s="975"/>
      <c r="LMT38" s="975"/>
      <c r="LMU38" s="975"/>
      <c r="LMV38" s="975"/>
      <c r="LMW38" s="975"/>
      <c r="LMX38" s="975"/>
      <c r="LMY38" s="975"/>
      <c r="LMZ38" s="975"/>
      <c r="LNA38" s="975"/>
      <c r="LNB38" s="975"/>
      <c r="LNC38" s="975"/>
      <c r="LND38" s="975"/>
      <c r="LNE38" s="975"/>
      <c r="LNF38" s="975"/>
      <c r="LNG38" s="975"/>
      <c r="LNH38" s="975"/>
      <c r="LNI38" s="975"/>
      <c r="LNJ38" s="975"/>
      <c r="LNK38" s="975"/>
      <c r="LNL38" s="975"/>
      <c r="LNM38" s="975"/>
      <c r="LNN38" s="975"/>
      <c r="LNO38" s="975"/>
      <c r="LNP38" s="975"/>
      <c r="LNQ38" s="975"/>
      <c r="LNR38" s="975"/>
      <c r="LNS38" s="975"/>
      <c r="LNT38" s="975"/>
      <c r="LNU38" s="975"/>
      <c r="LNV38" s="975"/>
      <c r="LNW38" s="975"/>
      <c r="LNX38" s="975"/>
      <c r="LNY38" s="975"/>
      <c r="LNZ38" s="975"/>
      <c r="LOA38" s="975"/>
      <c r="LOB38" s="975"/>
      <c r="LOC38" s="975"/>
      <c r="LOD38" s="975"/>
      <c r="LOE38" s="975"/>
      <c r="LOF38" s="975"/>
      <c r="LOG38" s="975"/>
      <c r="LOH38" s="975"/>
      <c r="LOI38" s="975"/>
      <c r="LOJ38" s="975"/>
      <c r="LOK38" s="975"/>
      <c r="LOL38" s="975"/>
      <c r="LOM38" s="975"/>
      <c r="LON38" s="975"/>
      <c r="LOO38" s="975"/>
      <c r="LOP38" s="975"/>
      <c r="LOQ38" s="975"/>
      <c r="LOR38" s="975"/>
      <c r="LOS38" s="975"/>
      <c r="LOT38" s="975"/>
      <c r="LOU38" s="975"/>
      <c r="LOV38" s="975"/>
      <c r="LOW38" s="975"/>
      <c r="LOX38" s="975"/>
      <c r="LOY38" s="975"/>
      <c r="LOZ38" s="975"/>
      <c r="LPA38" s="975"/>
      <c r="LPB38" s="975"/>
      <c r="LPC38" s="975"/>
      <c r="LPD38" s="975"/>
      <c r="LPE38" s="975"/>
      <c r="LPF38" s="975"/>
      <c r="LPG38" s="975"/>
      <c r="LPH38" s="975"/>
      <c r="LPI38" s="975"/>
      <c r="LPJ38" s="975"/>
      <c r="LPK38" s="975"/>
      <c r="LPL38" s="975"/>
      <c r="LPM38" s="975"/>
      <c r="LPN38" s="975"/>
      <c r="LPO38" s="975"/>
      <c r="LPP38" s="975"/>
      <c r="LPQ38" s="975"/>
      <c r="LPR38" s="975"/>
      <c r="LPS38" s="975"/>
      <c r="LPT38" s="975"/>
      <c r="LPU38" s="975"/>
      <c r="LPV38" s="975"/>
      <c r="LPW38" s="975"/>
      <c r="LPX38" s="975"/>
      <c r="LPY38" s="975"/>
      <c r="LPZ38" s="975"/>
      <c r="LQA38" s="975"/>
      <c r="LQB38" s="975"/>
      <c r="LQC38" s="975"/>
      <c r="LQD38" s="975"/>
      <c r="LQE38" s="975"/>
      <c r="LQF38" s="975"/>
      <c r="LQG38" s="975"/>
      <c r="LQH38" s="975"/>
      <c r="LQI38" s="975"/>
      <c r="LQJ38" s="975"/>
      <c r="LQK38" s="975"/>
      <c r="LQL38" s="975"/>
      <c r="LQM38" s="975"/>
      <c r="LQN38" s="975"/>
      <c r="LQO38" s="975"/>
      <c r="LQP38" s="975"/>
      <c r="LQQ38" s="975"/>
      <c r="LQR38" s="975"/>
      <c r="LQS38" s="975"/>
      <c r="LQT38" s="975"/>
      <c r="LQU38" s="975"/>
      <c r="LQV38" s="975"/>
      <c r="LQW38" s="975"/>
      <c r="LQX38" s="975"/>
      <c r="LQY38" s="975"/>
      <c r="LQZ38" s="975"/>
      <c r="LRA38" s="975"/>
      <c r="LRB38" s="975"/>
      <c r="LRC38" s="975"/>
      <c r="LRD38" s="975"/>
      <c r="LRE38" s="975"/>
      <c r="LRF38" s="975"/>
      <c r="LRG38" s="975"/>
      <c r="LRH38" s="975"/>
      <c r="LRI38" s="975"/>
      <c r="LRJ38" s="975"/>
      <c r="LRK38" s="975"/>
      <c r="LRL38" s="975"/>
      <c r="LRM38" s="975"/>
      <c r="LRN38" s="975"/>
      <c r="LRO38" s="975"/>
      <c r="LRP38" s="975"/>
      <c r="LRQ38" s="975"/>
      <c r="LRR38" s="975"/>
      <c r="LRS38" s="975"/>
      <c r="LRT38" s="975"/>
      <c r="LRU38" s="975"/>
      <c r="LRV38" s="975"/>
      <c r="LRW38" s="975"/>
      <c r="LRX38" s="975"/>
      <c r="LRY38" s="975"/>
      <c r="LRZ38" s="975"/>
      <c r="LSA38" s="975"/>
      <c r="LSB38" s="975"/>
      <c r="LSC38" s="975"/>
      <c r="LSD38" s="975"/>
      <c r="LSE38" s="975"/>
      <c r="LSF38" s="975"/>
      <c r="LSG38" s="975"/>
      <c r="LSH38" s="975"/>
      <c r="LSI38" s="975"/>
      <c r="LSJ38" s="975"/>
      <c r="LSK38" s="975"/>
      <c r="LSL38" s="975"/>
      <c r="LSM38" s="975"/>
      <c r="LSN38" s="975"/>
      <c r="LSO38" s="975"/>
      <c r="LSP38" s="975"/>
      <c r="LSQ38" s="975"/>
      <c r="LSR38" s="975"/>
      <c r="LSS38" s="975"/>
      <c r="LST38" s="975"/>
      <c r="LSU38" s="975"/>
      <c r="LSV38" s="975"/>
      <c r="LSW38" s="975"/>
      <c r="LSX38" s="975"/>
      <c r="LSY38" s="975"/>
      <c r="LSZ38" s="975"/>
      <c r="LTA38" s="975"/>
      <c r="LTB38" s="975"/>
      <c r="LTC38" s="975"/>
      <c r="LTD38" s="975"/>
      <c r="LTE38" s="975"/>
      <c r="LTF38" s="975"/>
      <c r="LTG38" s="975"/>
      <c r="LTH38" s="975"/>
      <c r="LTI38" s="975"/>
      <c r="LTJ38" s="975"/>
      <c r="LTK38" s="975"/>
      <c r="LTL38" s="975"/>
      <c r="LTM38" s="975"/>
      <c r="LTN38" s="975"/>
      <c r="LTO38" s="975"/>
      <c r="LTP38" s="975"/>
      <c r="LTQ38" s="975"/>
      <c r="LTR38" s="975"/>
      <c r="LTS38" s="975"/>
      <c r="LTT38" s="975"/>
      <c r="LTU38" s="975"/>
      <c r="LTV38" s="975"/>
      <c r="LTW38" s="975"/>
      <c r="LTX38" s="975"/>
      <c r="LTY38" s="975"/>
      <c r="LTZ38" s="975"/>
      <c r="LUA38" s="975"/>
      <c r="LUB38" s="975"/>
      <c r="LUC38" s="975"/>
      <c r="LUD38" s="975"/>
      <c r="LUE38" s="975"/>
      <c r="LUF38" s="975"/>
      <c r="LUG38" s="975"/>
      <c r="LUH38" s="975"/>
      <c r="LUI38" s="975"/>
      <c r="LUJ38" s="975"/>
      <c r="LUK38" s="975"/>
      <c r="LUL38" s="975"/>
      <c r="LUM38" s="975"/>
      <c r="LUN38" s="975"/>
      <c r="LUO38" s="975"/>
      <c r="LUP38" s="975"/>
      <c r="LUQ38" s="975"/>
      <c r="LUR38" s="975"/>
      <c r="LUS38" s="975"/>
      <c r="LUT38" s="975"/>
      <c r="LUU38" s="975"/>
      <c r="LUV38" s="975"/>
      <c r="LUW38" s="975"/>
      <c r="LUX38" s="975"/>
      <c r="LUY38" s="975"/>
      <c r="LUZ38" s="975"/>
      <c r="LVA38" s="975"/>
      <c r="LVB38" s="975"/>
      <c r="LVC38" s="975"/>
      <c r="LVD38" s="975"/>
      <c r="LVE38" s="975"/>
      <c r="LVF38" s="975"/>
      <c r="LVG38" s="975"/>
      <c r="LVH38" s="975"/>
      <c r="LVI38" s="975"/>
      <c r="LVJ38" s="975"/>
      <c r="LVK38" s="975"/>
      <c r="LVL38" s="975"/>
      <c r="LVM38" s="975"/>
      <c r="LVN38" s="975"/>
      <c r="LVO38" s="975"/>
      <c r="LVP38" s="975"/>
      <c r="LVQ38" s="975"/>
      <c r="LVR38" s="975"/>
      <c r="LVS38" s="975"/>
      <c r="LVT38" s="975"/>
      <c r="LVU38" s="975"/>
      <c r="LVV38" s="975"/>
      <c r="LVW38" s="975"/>
      <c r="LVX38" s="975"/>
      <c r="LVY38" s="975"/>
      <c r="LVZ38" s="975"/>
      <c r="LWA38" s="975"/>
      <c r="LWB38" s="975"/>
      <c r="LWC38" s="975"/>
      <c r="LWD38" s="975"/>
      <c r="LWE38" s="975"/>
      <c r="LWF38" s="975"/>
      <c r="LWG38" s="975"/>
      <c r="LWH38" s="975"/>
      <c r="LWI38" s="975"/>
      <c r="LWJ38" s="975"/>
      <c r="LWK38" s="975"/>
      <c r="LWL38" s="975"/>
      <c r="LWM38" s="975"/>
      <c r="LWN38" s="975"/>
      <c r="LWO38" s="975"/>
      <c r="LWP38" s="975"/>
      <c r="LWQ38" s="975"/>
      <c r="LWR38" s="975"/>
      <c r="LWS38" s="975"/>
      <c r="LWT38" s="975"/>
      <c r="LWU38" s="975"/>
      <c r="LWV38" s="975"/>
      <c r="LWW38" s="975"/>
      <c r="LWX38" s="975"/>
      <c r="LWY38" s="975"/>
      <c r="LWZ38" s="975"/>
      <c r="LXA38" s="975"/>
      <c r="LXB38" s="975"/>
      <c r="LXC38" s="975"/>
      <c r="LXD38" s="975"/>
      <c r="LXE38" s="975"/>
      <c r="LXF38" s="975"/>
      <c r="LXG38" s="975"/>
      <c r="LXH38" s="975"/>
      <c r="LXI38" s="975"/>
      <c r="LXJ38" s="975"/>
      <c r="LXK38" s="975"/>
      <c r="LXL38" s="975"/>
      <c r="LXM38" s="975"/>
      <c r="LXN38" s="975"/>
      <c r="LXO38" s="975"/>
      <c r="LXP38" s="975"/>
      <c r="LXQ38" s="975"/>
      <c r="LXR38" s="975"/>
      <c r="LXS38" s="975"/>
      <c r="LXT38" s="975"/>
      <c r="LXU38" s="975"/>
      <c r="LXV38" s="975"/>
      <c r="LXW38" s="975"/>
      <c r="LXX38" s="975"/>
      <c r="LXY38" s="975"/>
      <c r="LXZ38" s="975"/>
      <c r="LYA38" s="975"/>
      <c r="LYB38" s="975"/>
      <c r="LYC38" s="975"/>
      <c r="LYD38" s="975"/>
      <c r="LYE38" s="975"/>
      <c r="LYF38" s="975"/>
      <c r="LYG38" s="975"/>
      <c r="LYH38" s="975"/>
      <c r="LYI38" s="975"/>
      <c r="LYJ38" s="975"/>
      <c r="LYK38" s="975"/>
      <c r="LYL38" s="975"/>
      <c r="LYM38" s="975"/>
      <c r="LYN38" s="975"/>
      <c r="LYO38" s="975"/>
      <c r="LYP38" s="975"/>
      <c r="LYQ38" s="975"/>
      <c r="LYR38" s="975"/>
      <c r="LYS38" s="975"/>
      <c r="LYT38" s="975"/>
      <c r="LYU38" s="975"/>
      <c r="LYV38" s="975"/>
      <c r="LYW38" s="975"/>
      <c r="LYX38" s="975"/>
      <c r="LYY38" s="975"/>
      <c r="LYZ38" s="975"/>
      <c r="LZA38" s="975"/>
      <c r="LZB38" s="975"/>
      <c r="LZC38" s="975"/>
      <c r="LZD38" s="975"/>
      <c r="LZE38" s="975"/>
      <c r="LZF38" s="975"/>
      <c r="LZG38" s="975"/>
      <c r="LZH38" s="975"/>
      <c r="LZI38" s="975"/>
      <c r="LZJ38" s="975"/>
      <c r="LZK38" s="975"/>
      <c r="LZL38" s="975"/>
      <c r="LZM38" s="975"/>
      <c r="LZN38" s="975"/>
      <c r="LZO38" s="975"/>
      <c r="LZP38" s="975"/>
      <c r="LZQ38" s="975"/>
      <c r="LZR38" s="975"/>
      <c r="LZS38" s="975"/>
      <c r="LZT38" s="975"/>
      <c r="LZU38" s="975"/>
      <c r="LZV38" s="975"/>
      <c r="LZW38" s="975"/>
      <c r="LZX38" s="975"/>
      <c r="LZY38" s="975"/>
      <c r="LZZ38" s="975"/>
      <c r="MAA38" s="975"/>
      <c r="MAB38" s="975"/>
      <c r="MAC38" s="975"/>
      <c r="MAD38" s="975"/>
      <c r="MAE38" s="975"/>
      <c r="MAF38" s="975"/>
      <c r="MAG38" s="975"/>
      <c r="MAH38" s="975"/>
      <c r="MAI38" s="975"/>
      <c r="MAJ38" s="975"/>
      <c r="MAK38" s="975"/>
      <c r="MAL38" s="975"/>
      <c r="MAM38" s="975"/>
      <c r="MAN38" s="975"/>
      <c r="MAO38" s="975"/>
      <c r="MAP38" s="975"/>
      <c r="MAQ38" s="975"/>
      <c r="MAR38" s="975"/>
      <c r="MAS38" s="975"/>
      <c r="MAT38" s="975"/>
      <c r="MAU38" s="975"/>
      <c r="MAV38" s="975"/>
      <c r="MAW38" s="975"/>
      <c r="MAX38" s="975"/>
      <c r="MAY38" s="975"/>
      <c r="MAZ38" s="975"/>
      <c r="MBA38" s="975"/>
      <c r="MBB38" s="975"/>
      <c r="MBC38" s="975"/>
      <c r="MBD38" s="975"/>
      <c r="MBE38" s="975"/>
      <c r="MBF38" s="975"/>
      <c r="MBG38" s="975"/>
      <c r="MBH38" s="975"/>
      <c r="MBI38" s="975"/>
      <c r="MBJ38" s="975"/>
      <c r="MBK38" s="975"/>
      <c r="MBL38" s="975"/>
      <c r="MBM38" s="975"/>
      <c r="MBN38" s="975"/>
      <c r="MBO38" s="975"/>
      <c r="MBP38" s="975"/>
      <c r="MBQ38" s="975"/>
      <c r="MBR38" s="975"/>
      <c r="MBS38" s="975"/>
      <c r="MBT38" s="975"/>
      <c r="MBU38" s="975"/>
      <c r="MBV38" s="975"/>
      <c r="MBW38" s="975"/>
      <c r="MBX38" s="975"/>
      <c r="MBY38" s="975"/>
      <c r="MBZ38" s="975"/>
      <c r="MCA38" s="975"/>
      <c r="MCB38" s="975"/>
      <c r="MCC38" s="975"/>
      <c r="MCD38" s="975"/>
      <c r="MCE38" s="975"/>
      <c r="MCF38" s="975"/>
      <c r="MCG38" s="975"/>
      <c r="MCH38" s="975"/>
      <c r="MCI38" s="975"/>
      <c r="MCJ38" s="975"/>
      <c r="MCK38" s="975"/>
      <c r="MCL38" s="975"/>
      <c r="MCM38" s="975"/>
      <c r="MCN38" s="975"/>
      <c r="MCO38" s="975"/>
      <c r="MCP38" s="975"/>
      <c r="MCQ38" s="975"/>
      <c r="MCR38" s="975"/>
      <c r="MCS38" s="975"/>
      <c r="MCT38" s="975"/>
      <c r="MCU38" s="975"/>
      <c r="MCV38" s="975"/>
      <c r="MCW38" s="975"/>
      <c r="MCX38" s="975"/>
      <c r="MCY38" s="975"/>
      <c r="MCZ38" s="975"/>
      <c r="MDA38" s="975"/>
      <c r="MDB38" s="975"/>
      <c r="MDC38" s="975"/>
      <c r="MDD38" s="975"/>
      <c r="MDE38" s="975"/>
      <c r="MDF38" s="975"/>
      <c r="MDG38" s="975"/>
      <c r="MDH38" s="975"/>
      <c r="MDI38" s="975"/>
      <c r="MDJ38" s="975"/>
      <c r="MDK38" s="975"/>
      <c r="MDL38" s="975"/>
      <c r="MDM38" s="975"/>
      <c r="MDN38" s="975"/>
      <c r="MDO38" s="975"/>
      <c r="MDP38" s="975"/>
      <c r="MDQ38" s="975"/>
      <c r="MDR38" s="975"/>
      <c r="MDS38" s="975"/>
      <c r="MDT38" s="975"/>
      <c r="MDU38" s="975"/>
      <c r="MDV38" s="975"/>
      <c r="MDW38" s="975"/>
      <c r="MDX38" s="975"/>
      <c r="MDY38" s="975"/>
      <c r="MDZ38" s="975"/>
      <c r="MEA38" s="975"/>
      <c r="MEB38" s="975"/>
      <c r="MEC38" s="975"/>
      <c r="MED38" s="975"/>
      <c r="MEE38" s="975"/>
      <c r="MEF38" s="975"/>
      <c r="MEG38" s="975"/>
      <c r="MEH38" s="975"/>
      <c r="MEI38" s="975"/>
      <c r="MEJ38" s="975"/>
      <c r="MEK38" s="975"/>
      <c r="MEL38" s="975"/>
      <c r="MEM38" s="975"/>
      <c r="MEN38" s="975"/>
      <c r="MEO38" s="975"/>
      <c r="MEP38" s="975"/>
      <c r="MEQ38" s="975"/>
      <c r="MER38" s="975"/>
      <c r="MES38" s="975"/>
      <c r="MET38" s="975"/>
      <c r="MEU38" s="975"/>
      <c r="MEV38" s="975"/>
      <c r="MEW38" s="975"/>
      <c r="MEX38" s="975"/>
      <c r="MEY38" s="975"/>
      <c r="MEZ38" s="975"/>
      <c r="MFA38" s="975"/>
      <c r="MFB38" s="975"/>
      <c r="MFC38" s="975"/>
      <c r="MFD38" s="975"/>
      <c r="MFE38" s="975"/>
      <c r="MFF38" s="975"/>
      <c r="MFG38" s="975"/>
      <c r="MFH38" s="975"/>
      <c r="MFI38" s="975"/>
      <c r="MFJ38" s="975"/>
      <c r="MFK38" s="975"/>
      <c r="MFL38" s="975"/>
      <c r="MFM38" s="975"/>
      <c r="MFN38" s="975"/>
      <c r="MFO38" s="975"/>
      <c r="MFP38" s="975"/>
      <c r="MFQ38" s="975"/>
      <c r="MFR38" s="975"/>
      <c r="MFS38" s="975"/>
      <c r="MFT38" s="975"/>
      <c r="MFU38" s="975"/>
      <c r="MFV38" s="975"/>
      <c r="MFW38" s="975"/>
      <c r="MFX38" s="975"/>
      <c r="MFY38" s="975"/>
      <c r="MFZ38" s="975"/>
      <c r="MGA38" s="975"/>
      <c r="MGB38" s="975"/>
      <c r="MGC38" s="975"/>
      <c r="MGD38" s="975"/>
      <c r="MGE38" s="975"/>
      <c r="MGF38" s="975"/>
      <c r="MGG38" s="975"/>
      <c r="MGH38" s="975"/>
      <c r="MGI38" s="975"/>
      <c r="MGJ38" s="975"/>
      <c r="MGK38" s="975"/>
      <c r="MGL38" s="975"/>
      <c r="MGM38" s="975"/>
      <c r="MGN38" s="975"/>
      <c r="MGO38" s="975"/>
      <c r="MGP38" s="975"/>
      <c r="MGQ38" s="975"/>
      <c r="MGR38" s="975"/>
      <c r="MGS38" s="975"/>
      <c r="MGT38" s="975"/>
      <c r="MGU38" s="975"/>
      <c r="MGV38" s="975"/>
      <c r="MGW38" s="975"/>
      <c r="MGX38" s="975"/>
      <c r="MGY38" s="975"/>
      <c r="MGZ38" s="975"/>
      <c r="MHA38" s="975"/>
      <c r="MHB38" s="975"/>
      <c r="MHC38" s="975"/>
      <c r="MHD38" s="975"/>
      <c r="MHE38" s="975"/>
      <c r="MHF38" s="975"/>
      <c r="MHG38" s="975"/>
      <c r="MHH38" s="975"/>
      <c r="MHI38" s="975"/>
      <c r="MHJ38" s="975"/>
      <c r="MHK38" s="975"/>
      <c r="MHL38" s="975"/>
      <c r="MHM38" s="975"/>
      <c r="MHN38" s="975"/>
      <c r="MHO38" s="975"/>
      <c r="MHP38" s="975"/>
      <c r="MHQ38" s="975"/>
      <c r="MHR38" s="975"/>
      <c r="MHS38" s="975"/>
      <c r="MHT38" s="975"/>
      <c r="MHU38" s="975"/>
      <c r="MHV38" s="975"/>
      <c r="MHW38" s="975"/>
      <c r="MHX38" s="975"/>
      <c r="MHY38" s="975"/>
      <c r="MHZ38" s="975"/>
      <c r="MIA38" s="975"/>
      <c r="MIB38" s="975"/>
      <c r="MIC38" s="975"/>
      <c r="MID38" s="975"/>
      <c r="MIE38" s="975"/>
      <c r="MIF38" s="975"/>
      <c r="MIG38" s="975"/>
      <c r="MIH38" s="975"/>
      <c r="MII38" s="975"/>
      <c r="MIJ38" s="975"/>
      <c r="MIK38" s="975"/>
      <c r="MIL38" s="975"/>
      <c r="MIM38" s="975"/>
      <c r="MIN38" s="975"/>
      <c r="MIO38" s="975"/>
      <c r="MIP38" s="975"/>
      <c r="MIQ38" s="975"/>
      <c r="MIR38" s="975"/>
      <c r="MIS38" s="975"/>
      <c r="MIT38" s="975"/>
      <c r="MIU38" s="975"/>
      <c r="MIV38" s="975"/>
      <c r="MIW38" s="975"/>
      <c r="MIX38" s="975"/>
      <c r="MIY38" s="975"/>
      <c r="MIZ38" s="975"/>
      <c r="MJA38" s="975"/>
      <c r="MJB38" s="975"/>
      <c r="MJC38" s="975"/>
      <c r="MJD38" s="975"/>
      <c r="MJE38" s="975"/>
      <c r="MJF38" s="975"/>
      <c r="MJG38" s="975"/>
      <c r="MJH38" s="975"/>
      <c r="MJI38" s="975"/>
      <c r="MJJ38" s="975"/>
      <c r="MJK38" s="975"/>
      <c r="MJL38" s="975"/>
      <c r="MJM38" s="975"/>
      <c r="MJN38" s="975"/>
      <c r="MJO38" s="975"/>
      <c r="MJP38" s="975"/>
      <c r="MJQ38" s="975"/>
      <c r="MJR38" s="975"/>
      <c r="MJS38" s="975"/>
      <c r="MJT38" s="975"/>
      <c r="MJU38" s="975"/>
      <c r="MJV38" s="975"/>
      <c r="MJW38" s="975"/>
      <c r="MJX38" s="975"/>
      <c r="MJY38" s="975"/>
      <c r="MJZ38" s="975"/>
      <c r="MKA38" s="975"/>
      <c r="MKB38" s="975"/>
      <c r="MKC38" s="975"/>
      <c r="MKD38" s="975"/>
      <c r="MKE38" s="975"/>
      <c r="MKF38" s="975"/>
      <c r="MKG38" s="975"/>
      <c r="MKH38" s="975"/>
      <c r="MKI38" s="975"/>
      <c r="MKJ38" s="975"/>
      <c r="MKK38" s="975"/>
      <c r="MKL38" s="975"/>
      <c r="MKM38" s="975"/>
      <c r="MKN38" s="975"/>
      <c r="MKO38" s="975"/>
      <c r="MKP38" s="975"/>
      <c r="MKQ38" s="975"/>
      <c r="MKR38" s="975"/>
      <c r="MKS38" s="975"/>
      <c r="MKT38" s="975"/>
      <c r="MKU38" s="975"/>
      <c r="MKV38" s="975"/>
      <c r="MKW38" s="975"/>
      <c r="MKX38" s="975"/>
      <c r="MKY38" s="975"/>
      <c r="MKZ38" s="975"/>
      <c r="MLA38" s="975"/>
      <c r="MLB38" s="975"/>
      <c r="MLC38" s="975"/>
      <c r="MLD38" s="975"/>
      <c r="MLE38" s="975"/>
      <c r="MLF38" s="975"/>
      <c r="MLG38" s="975"/>
      <c r="MLH38" s="975"/>
      <c r="MLI38" s="975"/>
      <c r="MLJ38" s="975"/>
      <c r="MLK38" s="975"/>
      <c r="MLL38" s="975"/>
      <c r="MLM38" s="975"/>
      <c r="MLN38" s="975"/>
      <c r="MLO38" s="975"/>
      <c r="MLP38" s="975"/>
      <c r="MLQ38" s="975"/>
      <c r="MLR38" s="975"/>
      <c r="MLS38" s="975"/>
      <c r="MLT38" s="975"/>
      <c r="MLU38" s="975"/>
      <c r="MLV38" s="975"/>
      <c r="MLW38" s="975"/>
      <c r="MLX38" s="975"/>
      <c r="MLY38" s="975"/>
      <c r="MLZ38" s="975"/>
      <c r="MMA38" s="975"/>
      <c r="MMB38" s="975"/>
      <c r="MMC38" s="975"/>
      <c r="MMD38" s="975"/>
      <c r="MME38" s="975"/>
      <c r="MMF38" s="975"/>
      <c r="MMG38" s="975"/>
      <c r="MMH38" s="975"/>
      <c r="MMI38" s="975"/>
      <c r="MMJ38" s="975"/>
      <c r="MMK38" s="975"/>
      <c r="MML38" s="975"/>
      <c r="MMM38" s="975"/>
      <c r="MMN38" s="975"/>
      <c r="MMO38" s="975"/>
      <c r="MMP38" s="975"/>
      <c r="MMQ38" s="975"/>
      <c r="MMR38" s="975"/>
      <c r="MMS38" s="975"/>
      <c r="MMT38" s="975"/>
      <c r="MMU38" s="975"/>
      <c r="MMV38" s="975"/>
      <c r="MMW38" s="975"/>
      <c r="MMX38" s="975"/>
      <c r="MMY38" s="975"/>
      <c r="MMZ38" s="975"/>
      <c r="MNA38" s="975"/>
      <c r="MNB38" s="975"/>
      <c r="MNC38" s="975"/>
      <c r="MND38" s="975"/>
      <c r="MNE38" s="975"/>
      <c r="MNF38" s="975"/>
      <c r="MNG38" s="975"/>
      <c r="MNH38" s="975"/>
      <c r="MNI38" s="975"/>
      <c r="MNJ38" s="975"/>
      <c r="MNK38" s="975"/>
      <c r="MNL38" s="975"/>
      <c r="MNM38" s="975"/>
      <c r="MNN38" s="975"/>
      <c r="MNO38" s="975"/>
      <c r="MNP38" s="975"/>
      <c r="MNQ38" s="975"/>
      <c r="MNR38" s="975"/>
      <c r="MNS38" s="975"/>
      <c r="MNT38" s="975"/>
      <c r="MNU38" s="975"/>
      <c r="MNV38" s="975"/>
      <c r="MNW38" s="975"/>
      <c r="MNX38" s="975"/>
      <c r="MNY38" s="975"/>
      <c r="MNZ38" s="975"/>
      <c r="MOA38" s="975"/>
      <c r="MOB38" s="975"/>
      <c r="MOC38" s="975"/>
      <c r="MOD38" s="975"/>
      <c r="MOE38" s="975"/>
      <c r="MOF38" s="975"/>
      <c r="MOG38" s="975"/>
      <c r="MOH38" s="975"/>
      <c r="MOI38" s="975"/>
      <c r="MOJ38" s="975"/>
      <c r="MOK38" s="975"/>
      <c r="MOL38" s="975"/>
      <c r="MOM38" s="975"/>
      <c r="MON38" s="975"/>
      <c r="MOO38" s="975"/>
      <c r="MOP38" s="975"/>
      <c r="MOQ38" s="975"/>
      <c r="MOR38" s="975"/>
      <c r="MOS38" s="975"/>
      <c r="MOT38" s="975"/>
      <c r="MOU38" s="975"/>
      <c r="MOV38" s="975"/>
      <c r="MOW38" s="975"/>
      <c r="MOX38" s="975"/>
      <c r="MOY38" s="975"/>
      <c r="MOZ38" s="975"/>
      <c r="MPA38" s="975"/>
      <c r="MPB38" s="975"/>
      <c r="MPC38" s="975"/>
      <c r="MPD38" s="975"/>
      <c r="MPE38" s="975"/>
      <c r="MPF38" s="975"/>
      <c r="MPG38" s="975"/>
      <c r="MPH38" s="975"/>
      <c r="MPI38" s="975"/>
      <c r="MPJ38" s="975"/>
      <c r="MPK38" s="975"/>
      <c r="MPL38" s="975"/>
      <c r="MPM38" s="975"/>
      <c r="MPN38" s="975"/>
      <c r="MPO38" s="975"/>
      <c r="MPP38" s="975"/>
      <c r="MPQ38" s="975"/>
      <c r="MPR38" s="975"/>
      <c r="MPS38" s="975"/>
      <c r="MPT38" s="975"/>
      <c r="MPU38" s="975"/>
      <c r="MPV38" s="975"/>
      <c r="MPW38" s="975"/>
      <c r="MPX38" s="975"/>
      <c r="MPY38" s="975"/>
      <c r="MPZ38" s="975"/>
      <c r="MQA38" s="975"/>
      <c r="MQB38" s="975"/>
      <c r="MQC38" s="975"/>
      <c r="MQD38" s="975"/>
      <c r="MQE38" s="975"/>
      <c r="MQF38" s="975"/>
      <c r="MQG38" s="975"/>
      <c r="MQH38" s="975"/>
      <c r="MQI38" s="975"/>
      <c r="MQJ38" s="975"/>
      <c r="MQK38" s="975"/>
      <c r="MQL38" s="975"/>
      <c r="MQM38" s="975"/>
      <c r="MQN38" s="975"/>
      <c r="MQO38" s="975"/>
      <c r="MQP38" s="975"/>
      <c r="MQQ38" s="975"/>
      <c r="MQR38" s="975"/>
      <c r="MQS38" s="975"/>
      <c r="MQT38" s="975"/>
      <c r="MQU38" s="975"/>
      <c r="MQV38" s="975"/>
      <c r="MQW38" s="975"/>
      <c r="MQX38" s="975"/>
      <c r="MQY38" s="975"/>
      <c r="MQZ38" s="975"/>
      <c r="MRA38" s="975"/>
      <c r="MRB38" s="975"/>
      <c r="MRC38" s="975"/>
      <c r="MRD38" s="975"/>
      <c r="MRE38" s="975"/>
      <c r="MRF38" s="975"/>
      <c r="MRG38" s="975"/>
      <c r="MRH38" s="975"/>
      <c r="MRI38" s="975"/>
      <c r="MRJ38" s="975"/>
      <c r="MRK38" s="975"/>
      <c r="MRL38" s="975"/>
      <c r="MRM38" s="975"/>
      <c r="MRN38" s="975"/>
      <c r="MRO38" s="975"/>
      <c r="MRP38" s="975"/>
      <c r="MRQ38" s="975"/>
      <c r="MRR38" s="975"/>
      <c r="MRS38" s="975"/>
      <c r="MRT38" s="975"/>
      <c r="MRU38" s="975"/>
      <c r="MRV38" s="975"/>
      <c r="MRW38" s="975"/>
      <c r="MRX38" s="975"/>
      <c r="MRY38" s="975"/>
      <c r="MRZ38" s="975"/>
      <c r="MSA38" s="975"/>
      <c r="MSB38" s="975"/>
      <c r="MSC38" s="975"/>
      <c r="MSD38" s="975"/>
      <c r="MSE38" s="975"/>
      <c r="MSF38" s="975"/>
      <c r="MSG38" s="975"/>
      <c r="MSH38" s="975"/>
      <c r="MSI38" s="975"/>
      <c r="MSJ38" s="975"/>
      <c r="MSK38" s="975"/>
      <c r="MSL38" s="975"/>
      <c r="MSM38" s="975"/>
      <c r="MSN38" s="975"/>
      <c r="MSO38" s="975"/>
      <c r="MSP38" s="975"/>
      <c r="MSQ38" s="975"/>
      <c r="MSR38" s="975"/>
      <c r="MSS38" s="975"/>
      <c r="MST38" s="975"/>
      <c r="MSU38" s="975"/>
      <c r="MSV38" s="975"/>
      <c r="MSW38" s="975"/>
      <c r="MSX38" s="975"/>
      <c r="MSY38" s="975"/>
      <c r="MSZ38" s="975"/>
      <c r="MTA38" s="975"/>
      <c r="MTB38" s="975"/>
      <c r="MTC38" s="975"/>
      <c r="MTD38" s="975"/>
      <c r="MTE38" s="975"/>
      <c r="MTF38" s="975"/>
      <c r="MTG38" s="975"/>
      <c r="MTH38" s="975"/>
      <c r="MTI38" s="975"/>
      <c r="MTJ38" s="975"/>
      <c r="MTK38" s="975"/>
      <c r="MTL38" s="975"/>
      <c r="MTM38" s="975"/>
      <c r="MTN38" s="975"/>
      <c r="MTO38" s="975"/>
      <c r="MTP38" s="975"/>
      <c r="MTQ38" s="975"/>
      <c r="MTR38" s="975"/>
      <c r="MTS38" s="975"/>
      <c r="MTT38" s="975"/>
      <c r="MTU38" s="975"/>
      <c r="MTV38" s="975"/>
      <c r="MTW38" s="975"/>
      <c r="MTX38" s="975"/>
      <c r="MTY38" s="975"/>
      <c r="MTZ38" s="975"/>
      <c r="MUA38" s="975"/>
      <c r="MUB38" s="975"/>
      <c r="MUC38" s="975"/>
      <c r="MUD38" s="975"/>
      <c r="MUE38" s="975"/>
      <c r="MUF38" s="975"/>
      <c r="MUG38" s="975"/>
      <c r="MUH38" s="975"/>
      <c r="MUI38" s="975"/>
      <c r="MUJ38" s="975"/>
      <c r="MUK38" s="975"/>
      <c r="MUL38" s="975"/>
      <c r="MUM38" s="975"/>
      <c r="MUN38" s="975"/>
      <c r="MUO38" s="975"/>
      <c r="MUP38" s="975"/>
      <c r="MUQ38" s="975"/>
      <c r="MUR38" s="975"/>
      <c r="MUS38" s="975"/>
      <c r="MUT38" s="975"/>
      <c r="MUU38" s="975"/>
      <c r="MUV38" s="975"/>
      <c r="MUW38" s="975"/>
      <c r="MUX38" s="975"/>
      <c r="MUY38" s="975"/>
      <c r="MUZ38" s="975"/>
      <c r="MVA38" s="975"/>
      <c r="MVB38" s="975"/>
      <c r="MVC38" s="975"/>
      <c r="MVD38" s="975"/>
      <c r="MVE38" s="975"/>
      <c r="MVF38" s="975"/>
      <c r="MVG38" s="975"/>
      <c r="MVH38" s="975"/>
      <c r="MVI38" s="975"/>
      <c r="MVJ38" s="975"/>
      <c r="MVK38" s="975"/>
      <c r="MVL38" s="975"/>
      <c r="MVM38" s="975"/>
      <c r="MVN38" s="975"/>
      <c r="MVO38" s="975"/>
      <c r="MVP38" s="975"/>
      <c r="MVQ38" s="975"/>
      <c r="MVR38" s="975"/>
      <c r="MVS38" s="975"/>
      <c r="MVT38" s="975"/>
      <c r="MVU38" s="975"/>
      <c r="MVV38" s="975"/>
      <c r="MVW38" s="975"/>
      <c r="MVX38" s="975"/>
      <c r="MVY38" s="975"/>
      <c r="MVZ38" s="975"/>
      <c r="MWA38" s="975"/>
      <c r="MWB38" s="975"/>
      <c r="MWC38" s="975"/>
      <c r="MWD38" s="975"/>
      <c r="MWE38" s="975"/>
      <c r="MWF38" s="975"/>
      <c r="MWG38" s="975"/>
      <c r="MWH38" s="975"/>
      <c r="MWI38" s="975"/>
      <c r="MWJ38" s="975"/>
      <c r="MWK38" s="975"/>
      <c r="MWL38" s="975"/>
      <c r="MWM38" s="975"/>
      <c r="MWN38" s="975"/>
      <c r="MWO38" s="975"/>
      <c r="MWP38" s="975"/>
      <c r="MWQ38" s="975"/>
      <c r="MWR38" s="975"/>
      <c r="MWS38" s="975"/>
      <c r="MWT38" s="975"/>
      <c r="MWU38" s="975"/>
      <c r="MWV38" s="975"/>
      <c r="MWW38" s="975"/>
      <c r="MWX38" s="975"/>
      <c r="MWY38" s="975"/>
      <c r="MWZ38" s="975"/>
      <c r="MXA38" s="975"/>
      <c r="MXB38" s="975"/>
      <c r="MXC38" s="975"/>
      <c r="MXD38" s="975"/>
      <c r="MXE38" s="975"/>
      <c r="MXF38" s="975"/>
      <c r="MXG38" s="975"/>
      <c r="MXH38" s="975"/>
      <c r="MXI38" s="975"/>
      <c r="MXJ38" s="975"/>
      <c r="MXK38" s="975"/>
      <c r="MXL38" s="975"/>
      <c r="MXM38" s="975"/>
      <c r="MXN38" s="975"/>
      <c r="MXO38" s="975"/>
      <c r="MXP38" s="975"/>
      <c r="MXQ38" s="975"/>
      <c r="MXR38" s="975"/>
      <c r="MXS38" s="975"/>
      <c r="MXT38" s="975"/>
      <c r="MXU38" s="975"/>
      <c r="MXV38" s="975"/>
      <c r="MXW38" s="975"/>
      <c r="MXX38" s="975"/>
      <c r="MXY38" s="975"/>
      <c r="MXZ38" s="975"/>
      <c r="MYA38" s="975"/>
      <c r="MYB38" s="975"/>
      <c r="MYC38" s="975"/>
      <c r="MYD38" s="975"/>
      <c r="MYE38" s="975"/>
      <c r="MYF38" s="975"/>
      <c r="MYG38" s="975"/>
      <c r="MYH38" s="975"/>
      <c r="MYI38" s="975"/>
      <c r="MYJ38" s="975"/>
      <c r="MYK38" s="975"/>
      <c r="MYL38" s="975"/>
      <c r="MYM38" s="975"/>
      <c r="MYN38" s="975"/>
      <c r="MYO38" s="975"/>
      <c r="MYP38" s="975"/>
      <c r="MYQ38" s="975"/>
      <c r="MYR38" s="975"/>
      <c r="MYS38" s="975"/>
      <c r="MYT38" s="975"/>
      <c r="MYU38" s="975"/>
      <c r="MYV38" s="975"/>
      <c r="MYW38" s="975"/>
      <c r="MYX38" s="975"/>
      <c r="MYY38" s="975"/>
      <c r="MYZ38" s="975"/>
      <c r="MZA38" s="975"/>
      <c r="MZB38" s="975"/>
      <c r="MZC38" s="975"/>
      <c r="MZD38" s="975"/>
      <c r="MZE38" s="975"/>
      <c r="MZF38" s="975"/>
      <c r="MZG38" s="975"/>
      <c r="MZH38" s="975"/>
      <c r="MZI38" s="975"/>
      <c r="MZJ38" s="975"/>
      <c r="MZK38" s="975"/>
      <c r="MZL38" s="975"/>
      <c r="MZM38" s="975"/>
      <c r="MZN38" s="975"/>
      <c r="MZO38" s="975"/>
      <c r="MZP38" s="975"/>
      <c r="MZQ38" s="975"/>
      <c r="MZR38" s="975"/>
      <c r="MZS38" s="975"/>
      <c r="MZT38" s="975"/>
      <c r="MZU38" s="975"/>
      <c r="MZV38" s="975"/>
      <c r="MZW38" s="975"/>
      <c r="MZX38" s="975"/>
      <c r="MZY38" s="975"/>
      <c r="MZZ38" s="975"/>
      <c r="NAA38" s="975"/>
      <c r="NAB38" s="975"/>
      <c r="NAC38" s="975"/>
      <c r="NAD38" s="975"/>
      <c r="NAE38" s="975"/>
      <c r="NAF38" s="975"/>
      <c r="NAG38" s="975"/>
      <c r="NAH38" s="975"/>
      <c r="NAI38" s="975"/>
      <c r="NAJ38" s="975"/>
      <c r="NAK38" s="975"/>
      <c r="NAL38" s="975"/>
      <c r="NAM38" s="975"/>
      <c r="NAN38" s="975"/>
      <c r="NAO38" s="975"/>
      <c r="NAP38" s="975"/>
      <c r="NAQ38" s="975"/>
      <c r="NAR38" s="975"/>
      <c r="NAS38" s="975"/>
      <c r="NAT38" s="975"/>
      <c r="NAU38" s="975"/>
      <c r="NAV38" s="975"/>
      <c r="NAW38" s="975"/>
      <c r="NAX38" s="975"/>
      <c r="NAY38" s="975"/>
      <c r="NAZ38" s="975"/>
      <c r="NBA38" s="975"/>
      <c r="NBB38" s="975"/>
      <c r="NBC38" s="975"/>
      <c r="NBD38" s="975"/>
      <c r="NBE38" s="975"/>
      <c r="NBF38" s="975"/>
      <c r="NBG38" s="975"/>
      <c r="NBH38" s="975"/>
      <c r="NBI38" s="975"/>
      <c r="NBJ38" s="975"/>
      <c r="NBK38" s="975"/>
      <c r="NBL38" s="975"/>
      <c r="NBM38" s="975"/>
      <c r="NBN38" s="975"/>
      <c r="NBO38" s="975"/>
      <c r="NBP38" s="975"/>
      <c r="NBQ38" s="975"/>
      <c r="NBR38" s="975"/>
      <c r="NBS38" s="975"/>
      <c r="NBT38" s="975"/>
      <c r="NBU38" s="975"/>
      <c r="NBV38" s="975"/>
      <c r="NBW38" s="975"/>
      <c r="NBX38" s="975"/>
      <c r="NBY38" s="975"/>
      <c r="NBZ38" s="975"/>
      <c r="NCA38" s="975"/>
      <c r="NCB38" s="975"/>
      <c r="NCC38" s="975"/>
      <c r="NCD38" s="975"/>
      <c r="NCE38" s="975"/>
      <c r="NCF38" s="975"/>
      <c r="NCG38" s="975"/>
      <c r="NCH38" s="975"/>
      <c r="NCI38" s="975"/>
      <c r="NCJ38" s="975"/>
      <c r="NCK38" s="975"/>
      <c r="NCL38" s="975"/>
      <c r="NCM38" s="975"/>
      <c r="NCN38" s="975"/>
      <c r="NCO38" s="975"/>
      <c r="NCP38" s="975"/>
      <c r="NCQ38" s="975"/>
      <c r="NCR38" s="975"/>
      <c r="NCS38" s="975"/>
      <c r="NCT38" s="975"/>
      <c r="NCU38" s="975"/>
      <c r="NCV38" s="975"/>
      <c r="NCW38" s="975"/>
      <c r="NCX38" s="975"/>
      <c r="NCY38" s="975"/>
      <c r="NCZ38" s="975"/>
      <c r="NDA38" s="975"/>
      <c r="NDB38" s="975"/>
      <c r="NDC38" s="975"/>
      <c r="NDD38" s="975"/>
      <c r="NDE38" s="975"/>
      <c r="NDF38" s="975"/>
      <c r="NDG38" s="975"/>
      <c r="NDH38" s="975"/>
      <c r="NDI38" s="975"/>
      <c r="NDJ38" s="975"/>
      <c r="NDK38" s="975"/>
      <c r="NDL38" s="975"/>
      <c r="NDM38" s="975"/>
      <c r="NDN38" s="975"/>
      <c r="NDO38" s="975"/>
      <c r="NDP38" s="975"/>
      <c r="NDQ38" s="975"/>
      <c r="NDR38" s="975"/>
      <c r="NDS38" s="975"/>
      <c r="NDT38" s="975"/>
      <c r="NDU38" s="975"/>
      <c r="NDV38" s="975"/>
      <c r="NDW38" s="975"/>
      <c r="NDX38" s="975"/>
      <c r="NDY38" s="975"/>
      <c r="NDZ38" s="975"/>
      <c r="NEA38" s="975"/>
      <c r="NEB38" s="975"/>
      <c r="NEC38" s="975"/>
      <c r="NED38" s="975"/>
      <c r="NEE38" s="975"/>
      <c r="NEF38" s="975"/>
      <c r="NEG38" s="975"/>
      <c r="NEH38" s="975"/>
      <c r="NEI38" s="975"/>
      <c r="NEJ38" s="975"/>
      <c r="NEK38" s="975"/>
      <c r="NEL38" s="975"/>
      <c r="NEM38" s="975"/>
      <c r="NEN38" s="975"/>
      <c r="NEO38" s="975"/>
      <c r="NEP38" s="975"/>
      <c r="NEQ38" s="975"/>
      <c r="NER38" s="975"/>
      <c r="NES38" s="975"/>
      <c r="NET38" s="975"/>
      <c r="NEU38" s="975"/>
      <c r="NEV38" s="975"/>
      <c r="NEW38" s="975"/>
      <c r="NEX38" s="975"/>
      <c r="NEY38" s="975"/>
      <c r="NEZ38" s="975"/>
      <c r="NFA38" s="975"/>
      <c r="NFB38" s="975"/>
      <c r="NFC38" s="975"/>
      <c r="NFD38" s="975"/>
      <c r="NFE38" s="975"/>
      <c r="NFF38" s="975"/>
      <c r="NFG38" s="975"/>
      <c r="NFH38" s="975"/>
      <c r="NFI38" s="975"/>
      <c r="NFJ38" s="975"/>
      <c r="NFK38" s="975"/>
      <c r="NFL38" s="975"/>
      <c r="NFM38" s="975"/>
      <c r="NFN38" s="975"/>
      <c r="NFO38" s="975"/>
      <c r="NFP38" s="975"/>
      <c r="NFQ38" s="975"/>
      <c r="NFR38" s="975"/>
      <c r="NFS38" s="975"/>
      <c r="NFT38" s="975"/>
      <c r="NFU38" s="975"/>
      <c r="NFV38" s="975"/>
      <c r="NFW38" s="975"/>
      <c r="NFX38" s="975"/>
      <c r="NFY38" s="975"/>
      <c r="NFZ38" s="975"/>
      <c r="NGA38" s="975"/>
      <c r="NGB38" s="975"/>
      <c r="NGC38" s="975"/>
      <c r="NGD38" s="975"/>
      <c r="NGE38" s="975"/>
      <c r="NGF38" s="975"/>
      <c r="NGG38" s="975"/>
      <c r="NGH38" s="975"/>
      <c r="NGI38" s="975"/>
      <c r="NGJ38" s="975"/>
      <c r="NGK38" s="975"/>
      <c r="NGL38" s="975"/>
      <c r="NGM38" s="975"/>
      <c r="NGN38" s="975"/>
      <c r="NGO38" s="975"/>
      <c r="NGP38" s="975"/>
      <c r="NGQ38" s="975"/>
      <c r="NGR38" s="975"/>
      <c r="NGS38" s="975"/>
      <c r="NGT38" s="975"/>
      <c r="NGU38" s="975"/>
      <c r="NGV38" s="975"/>
      <c r="NGW38" s="975"/>
      <c r="NGX38" s="975"/>
      <c r="NGY38" s="975"/>
      <c r="NGZ38" s="975"/>
      <c r="NHA38" s="975"/>
      <c r="NHB38" s="975"/>
      <c r="NHC38" s="975"/>
      <c r="NHD38" s="975"/>
      <c r="NHE38" s="975"/>
      <c r="NHF38" s="975"/>
      <c r="NHG38" s="975"/>
      <c r="NHH38" s="975"/>
      <c r="NHI38" s="975"/>
      <c r="NHJ38" s="975"/>
      <c r="NHK38" s="975"/>
      <c r="NHL38" s="975"/>
      <c r="NHM38" s="975"/>
      <c r="NHN38" s="975"/>
      <c r="NHO38" s="975"/>
      <c r="NHP38" s="975"/>
      <c r="NHQ38" s="975"/>
      <c r="NHR38" s="975"/>
      <c r="NHS38" s="975"/>
      <c r="NHT38" s="975"/>
      <c r="NHU38" s="975"/>
      <c r="NHV38" s="975"/>
      <c r="NHW38" s="975"/>
      <c r="NHX38" s="975"/>
      <c r="NHY38" s="975"/>
      <c r="NHZ38" s="975"/>
      <c r="NIA38" s="975"/>
      <c r="NIB38" s="975"/>
      <c r="NIC38" s="975"/>
      <c r="NID38" s="975"/>
      <c r="NIE38" s="975"/>
      <c r="NIF38" s="975"/>
      <c r="NIG38" s="975"/>
      <c r="NIH38" s="975"/>
      <c r="NII38" s="975"/>
      <c r="NIJ38" s="975"/>
      <c r="NIK38" s="975"/>
      <c r="NIL38" s="975"/>
      <c r="NIM38" s="975"/>
      <c r="NIN38" s="975"/>
      <c r="NIO38" s="975"/>
      <c r="NIP38" s="975"/>
      <c r="NIQ38" s="975"/>
      <c r="NIR38" s="975"/>
      <c r="NIS38" s="975"/>
      <c r="NIT38" s="975"/>
      <c r="NIU38" s="975"/>
      <c r="NIV38" s="975"/>
      <c r="NIW38" s="975"/>
      <c r="NIX38" s="975"/>
      <c r="NIY38" s="975"/>
      <c r="NIZ38" s="975"/>
      <c r="NJA38" s="975"/>
      <c r="NJB38" s="975"/>
      <c r="NJC38" s="975"/>
      <c r="NJD38" s="975"/>
      <c r="NJE38" s="975"/>
      <c r="NJF38" s="975"/>
      <c r="NJG38" s="975"/>
      <c r="NJH38" s="975"/>
      <c r="NJI38" s="975"/>
      <c r="NJJ38" s="975"/>
      <c r="NJK38" s="975"/>
      <c r="NJL38" s="975"/>
      <c r="NJM38" s="975"/>
      <c r="NJN38" s="975"/>
      <c r="NJO38" s="975"/>
      <c r="NJP38" s="975"/>
      <c r="NJQ38" s="975"/>
      <c r="NJR38" s="975"/>
      <c r="NJS38" s="975"/>
      <c r="NJT38" s="975"/>
      <c r="NJU38" s="975"/>
      <c r="NJV38" s="975"/>
      <c r="NJW38" s="975"/>
      <c r="NJX38" s="975"/>
      <c r="NJY38" s="975"/>
      <c r="NJZ38" s="975"/>
      <c r="NKA38" s="975"/>
      <c r="NKB38" s="975"/>
      <c r="NKC38" s="975"/>
      <c r="NKD38" s="975"/>
      <c r="NKE38" s="975"/>
      <c r="NKF38" s="975"/>
      <c r="NKG38" s="975"/>
      <c r="NKH38" s="975"/>
      <c r="NKI38" s="975"/>
      <c r="NKJ38" s="975"/>
      <c r="NKK38" s="975"/>
      <c r="NKL38" s="975"/>
      <c r="NKM38" s="975"/>
      <c r="NKN38" s="975"/>
      <c r="NKO38" s="975"/>
      <c r="NKP38" s="975"/>
      <c r="NKQ38" s="975"/>
      <c r="NKR38" s="975"/>
      <c r="NKS38" s="975"/>
      <c r="NKT38" s="975"/>
      <c r="NKU38" s="975"/>
      <c r="NKV38" s="975"/>
      <c r="NKW38" s="975"/>
      <c r="NKX38" s="975"/>
      <c r="NKY38" s="975"/>
      <c r="NKZ38" s="975"/>
      <c r="NLA38" s="975"/>
      <c r="NLB38" s="975"/>
      <c r="NLC38" s="975"/>
      <c r="NLD38" s="975"/>
      <c r="NLE38" s="975"/>
      <c r="NLF38" s="975"/>
      <c r="NLG38" s="975"/>
      <c r="NLH38" s="975"/>
      <c r="NLI38" s="975"/>
      <c r="NLJ38" s="975"/>
      <c r="NLK38" s="975"/>
      <c r="NLL38" s="975"/>
      <c r="NLM38" s="975"/>
      <c r="NLN38" s="975"/>
      <c r="NLO38" s="975"/>
      <c r="NLP38" s="975"/>
      <c r="NLQ38" s="975"/>
      <c r="NLR38" s="975"/>
      <c r="NLS38" s="975"/>
      <c r="NLT38" s="975"/>
      <c r="NLU38" s="975"/>
      <c r="NLV38" s="975"/>
      <c r="NLW38" s="975"/>
      <c r="NLX38" s="975"/>
      <c r="NLY38" s="975"/>
      <c r="NLZ38" s="975"/>
      <c r="NMA38" s="975"/>
      <c r="NMB38" s="975"/>
      <c r="NMC38" s="975"/>
      <c r="NMD38" s="975"/>
      <c r="NME38" s="975"/>
      <c r="NMF38" s="975"/>
      <c r="NMG38" s="975"/>
      <c r="NMH38" s="975"/>
      <c r="NMI38" s="975"/>
      <c r="NMJ38" s="975"/>
      <c r="NMK38" s="975"/>
      <c r="NML38" s="975"/>
      <c r="NMM38" s="975"/>
      <c r="NMN38" s="975"/>
      <c r="NMO38" s="975"/>
      <c r="NMP38" s="975"/>
      <c r="NMQ38" s="975"/>
      <c r="NMR38" s="975"/>
      <c r="NMS38" s="975"/>
      <c r="NMT38" s="975"/>
      <c r="NMU38" s="975"/>
      <c r="NMV38" s="975"/>
      <c r="NMW38" s="975"/>
      <c r="NMX38" s="975"/>
      <c r="NMY38" s="975"/>
      <c r="NMZ38" s="975"/>
      <c r="NNA38" s="975"/>
      <c r="NNB38" s="975"/>
      <c r="NNC38" s="975"/>
      <c r="NND38" s="975"/>
      <c r="NNE38" s="975"/>
      <c r="NNF38" s="975"/>
      <c r="NNG38" s="975"/>
      <c r="NNH38" s="975"/>
      <c r="NNI38" s="975"/>
      <c r="NNJ38" s="975"/>
      <c r="NNK38" s="975"/>
      <c r="NNL38" s="975"/>
      <c r="NNM38" s="975"/>
      <c r="NNN38" s="975"/>
      <c r="NNO38" s="975"/>
      <c r="NNP38" s="975"/>
      <c r="NNQ38" s="975"/>
      <c r="NNR38" s="975"/>
      <c r="NNS38" s="975"/>
      <c r="NNT38" s="975"/>
      <c r="NNU38" s="975"/>
      <c r="NNV38" s="975"/>
      <c r="NNW38" s="975"/>
      <c r="NNX38" s="975"/>
      <c r="NNY38" s="975"/>
      <c r="NNZ38" s="975"/>
      <c r="NOA38" s="975"/>
      <c r="NOB38" s="975"/>
      <c r="NOC38" s="975"/>
      <c r="NOD38" s="975"/>
      <c r="NOE38" s="975"/>
      <c r="NOF38" s="975"/>
      <c r="NOG38" s="975"/>
      <c r="NOH38" s="975"/>
      <c r="NOI38" s="975"/>
      <c r="NOJ38" s="975"/>
      <c r="NOK38" s="975"/>
      <c r="NOL38" s="975"/>
      <c r="NOM38" s="975"/>
      <c r="NON38" s="975"/>
      <c r="NOO38" s="975"/>
      <c r="NOP38" s="975"/>
      <c r="NOQ38" s="975"/>
      <c r="NOR38" s="975"/>
      <c r="NOS38" s="975"/>
      <c r="NOT38" s="975"/>
      <c r="NOU38" s="975"/>
      <c r="NOV38" s="975"/>
      <c r="NOW38" s="975"/>
      <c r="NOX38" s="975"/>
      <c r="NOY38" s="975"/>
      <c r="NOZ38" s="975"/>
      <c r="NPA38" s="975"/>
      <c r="NPB38" s="975"/>
      <c r="NPC38" s="975"/>
      <c r="NPD38" s="975"/>
      <c r="NPE38" s="975"/>
      <c r="NPF38" s="975"/>
      <c r="NPG38" s="975"/>
      <c r="NPH38" s="975"/>
      <c r="NPI38" s="975"/>
      <c r="NPJ38" s="975"/>
      <c r="NPK38" s="975"/>
      <c r="NPL38" s="975"/>
      <c r="NPM38" s="975"/>
      <c r="NPN38" s="975"/>
      <c r="NPO38" s="975"/>
      <c r="NPP38" s="975"/>
      <c r="NPQ38" s="975"/>
      <c r="NPR38" s="975"/>
      <c r="NPS38" s="975"/>
      <c r="NPT38" s="975"/>
      <c r="NPU38" s="975"/>
      <c r="NPV38" s="975"/>
      <c r="NPW38" s="975"/>
      <c r="NPX38" s="975"/>
      <c r="NPY38" s="975"/>
      <c r="NPZ38" s="975"/>
      <c r="NQA38" s="975"/>
      <c r="NQB38" s="975"/>
      <c r="NQC38" s="975"/>
      <c r="NQD38" s="975"/>
      <c r="NQE38" s="975"/>
      <c r="NQF38" s="975"/>
      <c r="NQG38" s="975"/>
      <c r="NQH38" s="975"/>
      <c r="NQI38" s="975"/>
      <c r="NQJ38" s="975"/>
      <c r="NQK38" s="975"/>
      <c r="NQL38" s="975"/>
      <c r="NQM38" s="975"/>
      <c r="NQN38" s="975"/>
      <c r="NQO38" s="975"/>
      <c r="NQP38" s="975"/>
      <c r="NQQ38" s="975"/>
      <c r="NQR38" s="975"/>
      <c r="NQS38" s="975"/>
      <c r="NQT38" s="975"/>
      <c r="NQU38" s="975"/>
      <c r="NQV38" s="975"/>
      <c r="NQW38" s="975"/>
      <c r="NQX38" s="975"/>
      <c r="NQY38" s="975"/>
      <c r="NQZ38" s="975"/>
      <c r="NRA38" s="975"/>
      <c r="NRB38" s="975"/>
      <c r="NRC38" s="975"/>
      <c r="NRD38" s="975"/>
      <c r="NRE38" s="975"/>
      <c r="NRF38" s="975"/>
      <c r="NRG38" s="975"/>
      <c r="NRH38" s="975"/>
      <c r="NRI38" s="975"/>
      <c r="NRJ38" s="975"/>
      <c r="NRK38" s="975"/>
      <c r="NRL38" s="975"/>
      <c r="NRM38" s="975"/>
      <c r="NRN38" s="975"/>
      <c r="NRO38" s="975"/>
      <c r="NRP38" s="975"/>
      <c r="NRQ38" s="975"/>
      <c r="NRR38" s="975"/>
      <c r="NRS38" s="975"/>
      <c r="NRT38" s="975"/>
      <c r="NRU38" s="975"/>
      <c r="NRV38" s="975"/>
      <c r="NRW38" s="975"/>
      <c r="NRX38" s="975"/>
      <c r="NRY38" s="975"/>
      <c r="NRZ38" s="975"/>
      <c r="NSA38" s="975"/>
      <c r="NSB38" s="975"/>
      <c r="NSC38" s="975"/>
      <c r="NSD38" s="975"/>
      <c r="NSE38" s="975"/>
      <c r="NSF38" s="975"/>
      <c r="NSG38" s="975"/>
      <c r="NSH38" s="975"/>
      <c r="NSI38" s="975"/>
      <c r="NSJ38" s="975"/>
      <c r="NSK38" s="975"/>
      <c r="NSL38" s="975"/>
      <c r="NSM38" s="975"/>
      <c r="NSN38" s="975"/>
      <c r="NSO38" s="975"/>
      <c r="NSP38" s="975"/>
      <c r="NSQ38" s="975"/>
      <c r="NSR38" s="975"/>
      <c r="NSS38" s="975"/>
      <c r="NST38" s="975"/>
      <c r="NSU38" s="975"/>
      <c r="NSV38" s="975"/>
      <c r="NSW38" s="975"/>
      <c r="NSX38" s="975"/>
      <c r="NSY38" s="975"/>
      <c r="NSZ38" s="975"/>
      <c r="NTA38" s="975"/>
      <c r="NTB38" s="975"/>
      <c r="NTC38" s="975"/>
      <c r="NTD38" s="975"/>
      <c r="NTE38" s="975"/>
      <c r="NTF38" s="975"/>
      <c r="NTG38" s="975"/>
      <c r="NTH38" s="975"/>
      <c r="NTI38" s="975"/>
      <c r="NTJ38" s="975"/>
      <c r="NTK38" s="975"/>
      <c r="NTL38" s="975"/>
      <c r="NTM38" s="975"/>
      <c r="NTN38" s="975"/>
      <c r="NTO38" s="975"/>
      <c r="NTP38" s="975"/>
      <c r="NTQ38" s="975"/>
      <c r="NTR38" s="975"/>
      <c r="NTS38" s="975"/>
      <c r="NTT38" s="975"/>
      <c r="NTU38" s="975"/>
      <c r="NTV38" s="975"/>
      <c r="NTW38" s="975"/>
      <c r="NTX38" s="975"/>
      <c r="NTY38" s="975"/>
      <c r="NTZ38" s="975"/>
      <c r="NUA38" s="975"/>
      <c r="NUB38" s="975"/>
      <c r="NUC38" s="975"/>
      <c r="NUD38" s="975"/>
      <c r="NUE38" s="975"/>
      <c r="NUF38" s="975"/>
      <c r="NUG38" s="975"/>
      <c r="NUH38" s="975"/>
      <c r="NUI38" s="975"/>
      <c r="NUJ38" s="975"/>
      <c r="NUK38" s="975"/>
      <c r="NUL38" s="975"/>
      <c r="NUM38" s="975"/>
      <c r="NUN38" s="975"/>
      <c r="NUO38" s="975"/>
      <c r="NUP38" s="975"/>
      <c r="NUQ38" s="975"/>
      <c r="NUR38" s="975"/>
      <c r="NUS38" s="975"/>
      <c r="NUT38" s="975"/>
      <c r="NUU38" s="975"/>
      <c r="NUV38" s="975"/>
      <c r="NUW38" s="975"/>
      <c r="NUX38" s="975"/>
      <c r="NUY38" s="975"/>
      <c r="NUZ38" s="975"/>
      <c r="NVA38" s="975"/>
      <c r="NVB38" s="975"/>
      <c r="NVC38" s="975"/>
      <c r="NVD38" s="975"/>
      <c r="NVE38" s="975"/>
      <c r="NVF38" s="975"/>
      <c r="NVG38" s="975"/>
      <c r="NVH38" s="975"/>
      <c r="NVI38" s="975"/>
      <c r="NVJ38" s="975"/>
      <c r="NVK38" s="975"/>
      <c r="NVL38" s="975"/>
      <c r="NVM38" s="975"/>
      <c r="NVN38" s="975"/>
      <c r="NVO38" s="975"/>
      <c r="NVP38" s="975"/>
      <c r="NVQ38" s="975"/>
      <c r="NVR38" s="975"/>
      <c r="NVS38" s="975"/>
      <c r="NVT38" s="975"/>
      <c r="NVU38" s="975"/>
      <c r="NVV38" s="975"/>
      <c r="NVW38" s="975"/>
      <c r="NVX38" s="975"/>
      <c r="NVY38" s="975"/>
      <c r="NVZ38" s="975"/>
      <c r="NWA38" s="975"/>
      <c r="NWB38" s="975"/>
      <c r="NWC38" s="975"/>
      <c r="NWD38" s="975"/>
      <c r="NWE38" s="975"/>
      <c r="NWF38" s="975"/>
      <c r="NWG38" s="975"/>
      <c r="NWH38" s="975"/>
      <c r="NWI38" s="975"/>
      <c r="NWJ38" s="975"/>
      <c r="NWK38" s="975"/>
      <c r="NWL38" s="975"/>
      <c r="NWM38" s="975"/>
      <c r="NWN38" s="975"/>
      <c r="NWO38" s="975"/>
      <c r="NWP38" s="975"/>
      <c r="NWQ38" s="975"/>
      <c r="NWR38" s="975"/>
      <c r="NWS38" s="975"/>
      <c r="NWT38" s="975"/>
      <c r="NWU38" s="975"/>
      <c r="NWV38" s="975"/>
      <c r="NWW38" s="975"/>
      <c r="NWX38" s="975"/>
      <c r="NWY38" s="975"/>
      <c r="NWZ38" s="975"/>
      <c r="NXA38" s="975"/>
      <c r="NXB38" s="975"/>
      <c r="NXC38" s="975"/>
      <c r="NXD38" s="975"/>
      <c r="NXE38" s="975"/>
      <c r="NXF38" s="975"/>
      <c r="NXG38" s="975"/>
      <c r="NXH38" s="975"/>
      <c r="NXI38" s="975"/>
      <c r="NXJ38" s="975"/>
      <c r="NXK38" s="975"/>
      <c r="NXL38" s="975"/>
      <c r="NXM38" s="975"/>
      <c r="NXN38" s="975"/>
      <c r="NXO38" s="975"/>
      <c r="NXP38" s="975"/>
      <c r="NXQ38" s="975"/>
      <c r="NXR38" s="975"/>
      <c r="NXS38" s="975"/>
      <c r="NXT38" s="975"/>
      <c r="NXU38" s="975"/>
      <c r="NXV38" s="975"/>
      <c r="NXW38" s="975"/>
      <c r="NXX38" s="975"/>
      <c r="NXY38" s="975"/>
      <c r="NXZ38" s="975"/>
      <c r="NYA38" s="975"/>
      <c r="NYB38" s="975"/>
      <c r="NYC38" s="975"/>
      <c r="NYD38" s="975"/>
      <c r="NYE38" s="975"/>
      <c r="NYF38" s="975"/>
      <c r="NYG38" s="975"/>
      <c r="NYH38" s="975"/>
      <c r="NYI38" s="975"/>
      <c r="NYJ38" s="975"/>
      <c r="NYK38" s="975"/>
      <c r="NYL38" s="975"/>
      <c r="NYM38" s="975"/>
      <c r="NYN38" s="975"/>
      <c r="NYO38" s="975"/>
      <c r="NYP38" s="975"/>
      <c r="NYQ38" s="975"/>
      <c r="NYR38" s="975"/>
      <c r="NYS38" s="975"/>
      <c r="NYT38" s="975"/>
      <c r="NYU38" s="975"/>
      <c r="NYV38" s="975"/>
      <c r="NYW38" s="975"/>
      <c r="NYX38" s="975"/>
      <c r="NYY38" s="975"/>
      <c r="NYZ38" s="975"/>
      <c r="NZA38" s="975"/>
      <c r="NZB38" s="975"/>
      <c r="NZC38" s="975"/>
      <c r="NZD38" s="975"/>
      <c r="NZE38" s="975"/>
      <c r="NZF38" s="975"/>
      <c r="NZG38" s="975"/>
      <c r="NZH38" s="975"/>
      <c r="NZI38" s="975"/>
      <c r="NZJ38" s="975"/>
      <c r="NZK38" s="975"/>
      <c r="NZL38" s="975"/>
      <c r="NZM38" s="975"/>
      <c r="NZN38" s="975"/>
      <c r="NZO38" s="975"/>
      <c r="NZP38" s="975"/>
      <c r="NZQ38" s="975"/>
      <c r="NZR38" s="975"/>
      <c r="NZS38" s="975"/>
      <c r="NZT38" s="975"/>
      <c r="NZU38" s="975"/>
      <c r="NZV38" s="975"/>
      <c r="NZW38" s="975"/>
      <c r="NZX38" s="975"/>
      <c r="NZY38" s="975"/>
      <c r="NZZ38" s="975"/>
      <c r="OAA38" s="975"/>
      <c r="OAB38" s="975"/>
      <c r="OAC38" s="975"/>
      <c r="OAD38" s="975"/>
      <c r="OAE38" s="975"/>
      <c r="OAF38" s="975"/>
      <c r="OAG38" s="975"/>
      <c r="OAH38" s="975"/>
      <c r="OAI38" s="975"/>
      <c r="OAJ38" s="975"/>
      <c r="OAK38" s="975"/>
      <c r="OAL38" s="975"/>
      <c r="OAM38" s="975"/>
      <c r="OAN38" s="975"/>
      <c r="OAO38" s="975"/>
      <c r="OAP38" s="975"/>
      <c r="OAQ38" s="975"/>
      <c r="OAR38" s="975"/>
      <c r="OAS38" s="975"/>
      <c r="OAT38" s="975"/>
      <c r="OAU38" s="975"/>
      <c r="OAV38" s="975"/>
      <c r="OAW38" s="975"/>
      <c r="OAX38" s="975"/>
      <c r="OAY38" s="975"/>
      <c r="OAZ38" s="975"/>
      <c r="OBA38" s="975"/>
      <c r="OBB38" s="975"/>
      <c r="OBC38" s="975"/>
      <c r="OBD38" s="975"/>
      <c r="OBE38" s="975"/>
      <c r="OBF38" s="975"/>
      <c r="OBG38" s="975"/>
      <c r="OBH38" s="975"/>
      <c r="OBI38" s="975"/>
      <c r="OBJ38" s="975"/>
      <c r="OBK38" s="975"/>
      <c r="OBL38" s="975"/>
      <c r="OBM38" s="975"/>
      <c r="OBN38" s="975"/>
      <c r="OBO38" s="975"/>
      <c r="OBP38" s="975"/>
      <c r="OBQ38" s="975"/>
      <c r="OBR38" s="975"/>
      <c r="OBS38" s="975"/>
      <c r="OBT38" s="975"/>
      <c r="OBU38" s="975"/>
      <c r="OBV38" s="975"/>
      <c r="OBW38" s="975"/>
      <c r="OBX38" s="975"/>
      <c r="OBY38" s="975"/>
      <c r="OBZ38" s="975"/>
      <c r="OCA38" s="975"/>
      <c r="OCB38" s="975"/>
      <c r="OCC38" s="975"/>
      <c r="OCD38" s="975"/>
      <c r="OCE38" s="975"/>
      <c r="OCF38" s="975"/>
      <c r="OCG38" s="975"/>
      <c r="OCH38" s="975"/>
      <c r="OCI38" s="975"/>
      <c r="OCJ38" s="975"/>
      <c r="OCK38" s="975"/>
      <c r="OCL38" s="975"/>
      <c r="OCM38" s="975"/>
      <c r="OCN38" s="975"/>
      <c r="OCO38" s="975"/>
      <c r="OCP38" s="975"/>
      <c r="OCQ38" s="975"/>
      <c r="OCR38" s="975"/>
      <c r="OCS38" s="975"/>
      <c r="OCT38" s="975"/>
      <c r="OCU38" s="975"/>
      <c r="OCV38" s="975"/>
      <c r="OCW38" s="975"/>
      <c r="OCX38" s="975"/>
      <c r="OCY38" s="975"/>
      <c r="OCZ38" s="975"/>
      <c r="ODA38" s="975"/>
      <c r="ODB38" s="975"/>
      <c r="ODC38" s="975"/>
      <c r="ODD38" s="975"/>
      <c r="ODE38" s="975"/>
      <c r="ODF38" s="975"/>
      <c r="ODG38" s="975"/>
      <c r="ODH38" s="975"/>
      <c r="ODI38" s="975"/>
      <c r="ODJ38" s="975"/>
      <c r="ODK38" s="975"/>
      <c r="ODL38" s="975"/>
      <c r="ODM38" s="975"/>
      <c r="ODN38" s="975"/>
      <c r="ODO38" s="975"/>
      <c r="ODP38" s="975"/>
      <c r="ODQ38" s="975"/>
      <c r="ODR38" s="975"/>
      <c r="ODS38" s="975"/>
      <c r="ODT38" s="975"/>
      <c r="ODU38" s="975"/>
      <c r="ODV38" s="975"/>
      <c r="ODW38" s="975"/>
      <c r="ODX38" s="975"/>
      <c r="ODY38" s="975"/>
      <c r="ODZ38" s="975"/>
      <c r="OEA38" s="975"/>
      <c r="OEB38" s="975"/>
      <c r="OEC38" s="975"/>
      <c r="OED38" s="975"/>
      <c r="OEE38" s="975"/>
      <c r="OEF38" s="975"/>
      <c r="OEG38" s="975"/>
      <c r="OEH38" s="975"/>
      <c r="OEI38" s="975"/>
      <c r="OEJ38" s="975"/>
      <c r="OEK38" s="975"/>
      <c r="OEL38" s="975"/>
      <c r="OEM38" s="975"/>
      <c r="OEN38" s="975"/>
      <c r="OEO38" s="975"/>
      <c r="OEP38" s="975"/>
      <c r="OEQ38" s="975"/>
      <c r="OER38" s="975"/>
      <c r="OES38" s="975"/>
      <c r="OET38" s="975"/>
      <c r="OEU38" s="975"/>
      <c r="OEV38" s="975"/>
      <c r="OEW38" s="975"/>
      <c r="OEX38" s="975"/>
      <c r="OEY38" s="975"/>
      <c r="OEZ38" s="975"/>
      <c r="OFA38" s="975"/>
      <c r="OFB38" s="975"/>
      <c r="OFC38" s="975"/>
      <c r="OFD38" s="975"/>
      <c r="OFE38" s="975"/>
      <c r="OFF38" s="975"/>
      <c r="OFG38" s="975"/>
      <c r="OFH38" s="975"/>
      <c r="OFI38" s="975"/>
      <c r="OFJ38" s="975"/>
      <c r="OFK38" s="975"/>
      <c r="OFL38" s="975"/>
      <c r="OFM38" s="975"/>
      <c r="OFN38" s="975"/>
      <c r="OFO38" s="975"/>
      <c r="OFP38" s="975"/>
      <c r="OFQ38" s="975"/>
      <c r="OFR38" s="975"/>
      <c r="OFS38" s="975"/>
      <c r="OFT38" s="975"/>
      <c r="OFU38" s="975"/>
      <c r="OFV38" s="975"/>
      <c r="OFW38" s="975"/>
      <c r="OFX38" s="975"/>
      <c r="OFY38" s="975"/>
      <c r="OFZ38" s="975"/>
      <c r="OGA38" s="975"/>
      <c r="OGB38" s="975"/>
      <c r="OGC38" s="975"/>
      <c r="OGD38" s="975"/>
      <c r="OGE38" s="975"/>
      <c r="OGF38" s="975"/>
      <c r="OGG38" s="975"/>
      <c r="OGH38" s="975"/>
      <c r="OGI38" s="975"/>
      <c r="OGJ38" s="975"/>
      <c r="OGK38" s="975"/>
      <c r="OGL38" s="975"/>
      <c r="OGM38" s="975"/>
      <c r="OGN38" s="975"/>
      <c r="OGO38" s="975"/>
      <c r="OGP38" s="975"/>
      <c r="OGQ38" s="975"/>
      <c r="OGR38" s="975"/>
      <c r="OGS38" s="975"/>
      <c r="OGT38" s="975"/>
      <c r="OGU38" s="975"/>
      <c r="OGV38" s="975"/>
      <c r="OGW38" s="975"/>
      <c r="OGX38" s="975"/>
      <c r="OGY38" s="975"/>
      <c r="OGZ38" s="975"/>
      <c r="OHA38" s="975"/>
      <c r="OHB38" s="975"/>
      <c r="OHC38" s="975"/>
      <c r="OHD38" s="975"/>
      <c r="OHE38" s="975"/>
      <c r="OHF38" s="975"/>
      <c r="OHG38" s="975"/>
      <c r="OHH38" s="975"/>
      <c r="OHI38" s="975"/>
      <c r="OHJ38" s="975"/>
      <c r="OHK38" s="975"/>
      <c r="OHL38" s="975"/>
      <c r="OHM38" s="975"/>
      <c r="OHN38" s="975"/>
      <c r="OHO38" s="975"/>
      <c r="OHP38" s="975"/>
      <c r="OHQ38" s="975"/>
      <c r="OHR38" s="975"/>
      <c r="OHS38" s="975"/>
      <c r="OHT38" s="975"/>
      <c r="OHU38" s="975"/>
      <c r="OHV38" s="975"/>
      <c r="OHW38" s="975"/>
      <c r="OHX38" s="975"/>
      <c r="OHY38" s="975"/>
      <c r="OHZ38" s="975"/>
      <c r="OIA38" s="975"/>
      <c r="OIB38" s="975"/>
      <c r="OIC38" s="975"/>
      <c r="OID38" s="975"/>
      <c r="OIE38" s="975"/>
      <c r="OIF38" s="975"/>
      <c r="OIG38" s="975"/>
      <c r="OIH38" s="975"/>
      <c r="OII38" s="975"/>
      <c r="OIJ38" s="975"/>
      <c r="OIK38" s="975"/>
      <c r="OIL38" s="975"/>
      <c r="OIM38" s="975"/>
      <c r="OIN38" s="975"/>
      <c r="OIO38" s="975"/>
      <c r="OIP38" s="975"/>
      <c r="OIQ38" s="975"/>
      <c r="OIR38" s="975"/>
      <c r="OIS38" s="975"/>
      <c r="OIT38" s="975"/>
      <c r="OIU38" s="975"/>
      <c r="OIV38" s="975"/>
      <c r="OIW38" s="975"/>
      <c r="OIX38" s="975"/>
      <c r="OIY38" s="975"/>
      <c r="OIZ38" s="975"/>
      <c r="OJA38" s="975"/>
      <c r="OJB38" s="975"/>
      <c r="OJC38" s="975"/>
      <c r="OJD38" s="975"/>
      <c r="OJE38" s="975"/>
      <c r="OJF38" s="975"/>
      <c r="OJG38" s="975"/>
      <c r="OJH38" s="975"/>
      <c r="OJI38" s="975"/>
      <c r="OJJ38" s="975"/>
      <c r="OJK38" s="975"/>
      <c r="OJL38" s="975"/>
      <c r="OJM38" s="975"/>
      <c r="OJN38" s="975"/>
      <c r="OJO38" s="975"/>
      <c r="OJP38" s="975"/>
      <c r="OJQ38" s="975"/>
      <c r="OJR38" s="975"/>
      <c r="OJS38" s="975"/>
      <c r="OJT38" s="975"/>
      <c r="OJU38" s="975"/>
      <c r="OJV38" s="975"/>
      <c r="OJW38" s="975"/>
      <c r="OJX38" s="975"/>
      <c r="OJY38" s="975"/>
      <c r="OJZ38" s="975"/>
      <c r="OKA38" s="975"/>
      <c r="OKB38" s="975"/>
      <c r="OKC38" s="975"/>
      <c r="OKD38" s="975"/>
      <c r="OKE38" s="975"/>
      <c r="OKF38" s="975"/>
      <c r="OKG38" s="975"/>
      <c r="OKH38" s="975"/>
      <c r="OKI38" s="975"/>
      <c r="OKJ38" s="975"/>
      <c r="OKK38" s="975"/>
      <c r="OKL38" s="975"/>
      <c r="OKM38" s="975"/>
      <c r="OKN38" s="975"/>
      <c r="OKO38" s="975"/>
      <c r="OKP38" s="975"/>
      <c r="OKQ38" s="975"/>
      <c r="OKR38" s="975"/>
      <c r="OKS38" s="975"/>
      <c r="OKT38" s="975"/>
      <c r="OKU38" s="975"/>
      <c r="OKV38" s="975"/>
      <c r="OKW38" s="975"/>
      <c r="OKX38" s="975"/>
      <c r="OKY38" s="975"/>
      <c r="OKZ38" s="975"/>
      <c r="OLA38" s="975"/>
      <c r="OLB38" s="975"/>
      <c r="OLC38" s="975"/>
      <c r="OLD38" s="975"/>
      <c r="OLE38" s="975"/>
      <c r="OLF38" s="975"/>
      <c r="OLG38" s="975"/>
      <c r="OLH38" s="975"/>
      <c r="OLI38" s="975"/>
      <c r="OLJ38" s="975"/>
      <c r="OLK38" s="975"/>
      <c r="OLL38" s="975"/>
      <c r="OLM38" s="975"/>
      <c r="OLN38" s="975"/>
      <c r="OLO38" s="975"/>
      <c r="OLP38" s="975"/>
      <c r="OLQ38" s="975"/>
      <c r="OLR38" s="975"/>
      <c r="OLS38" s="975"/>
      <c r="OLT38" s="975"/>
      <c r="OLU38" s="975"/>
      <c r="OLV38" s="975"/>
      <c r="OLW38" s="975"/>
      <c r="OLX38" s="975"/>
      <c r="OLY38" s="975"/>
      <c r="OLZ38" s="975"/>
      <c r="OMA38" s="975"/>
      <c r="OMB38" s="975"/>
      <c r="OMC38" s="975"/>
      <c r="OMD38" s="975"/>
      <c r="OME38" s="975"/>
      <c r="OMF38" s="975"/>
      <c r="OMG38" s="975"/>
      <c r="OMH38" s="975"/>
      <c r="OMI38" s="975"/>
      <c r="OMJ38" s="975"/>
      <c r="OMK38" s="975"/>
      <c r="OML38" s="975"/>
      <c r="OMM38" s="975"/>
      <c r="OMN38" s="975"/>
      <c r="OMO38" s="975"/>
      <c r="OMP38" s="975"/>
      <c r="OMQ38" s="975"/>
      <c r="OMR38" s="975"/>
      <c r="OMS38" s="975"/>
      <c r="OMT38" s="975"/>
      <c r="OMU38" s="975"/>
      <c r="OMV38" s="975"/>
      <c r="OMW38" s="975"/>
      <c r="OMX38" s="975"/>
      <c r="OMY38" s="975"/>
      <c r="OMZ38" s="975"/>
      <c r="ONA38" s="975"/>
      <c r="ONB38" s="975"/>
      <c r="ONC38" s="975"/>
      <c r="OND38" s="975"/>
      <c r="ONE38" s="975"/>
      <c r="ONF38" s="975"/>
      <c r="ONG38" s="975"/>
      <c r="ONH38" s="975"/>
      <c r="ONI38" s="975"/>
      <c r="ONJ38" s="975"/>
      <c r="ONK38" s="975"/>
      <c r="ONL38" s="975"/>
      <c r="ONM38" s="975"/>
      <c r="ONN38" s="975"/>
      <c r="ONO38" s="975"/>
      <c r="ONP38" s="975"/>
      <c r="ONQ38" s="975"/>
      <c r="ONR38" s="975"/>
      <c r="ONS38" s="975"/>
      <c r="ONT38" s="975"/>
      <c r="ONU38" s="975"/>
      <c r="ONV38" s="975"/>
      <c r="ONW38" s="975"/>
      <c r="ONX38" s="975"/>
      <c r="ONY38" s="975"/>
      <c r="ONZ38" s="975"/>
      <c r="OOA38" s="975"/>
      <c r="OOB38" s="975"/>
      <c r="OOC38" s="975"/>
      <c r="OOD38" s="975"/>
      <c r="OOE38" s="975"/>
      <c r="OOF38" s="975"/>
      <c r="OOG38" s="975"/>
      <c r="OOH38" s="975"/>
      <c r="OOI38" s="975"/>
      <c r="OOJ38" s="975"/>
      <c r="OOK38" s="975"/>
      <c r="OOL38" s="975"/>
      <c r="OOM38" s="975"/>
      <c r="OON38" s="975"/>
      <c r="OOO38" s="975"/>
      <c r="OOP38" s="975"/>
      <c r="OOQ38" s="975"/>
      <c r="OOR38" s="975"/>
      <c r="OOS38" s="975"/>
      <c r="OOT38" s="975"/>
      <c r="OOU38" s="975"/>
      <c r="OOV38" s="975"/>
      <c r="OOW38" s="975"/>
      <c r="OOX38" s="975"/>
      <c r="OOY38" s="975"/>
      <c r="OOZ38" s="975"/>
      <c r="OPA38" s="975"/>
      <c r="OPB38" s="975"/>
      <c r="OPC38" s="975"/>
      <c r="OPD38" s="975"/>
      <c r="OPE38" s="975"/>
      <c r="OPF38" s="975"/>
      <c r="OPG38" s="975"/>
      <c r="OPH38" s="975"/>
      <c r="OPI38" s="975"/>
      <c r="OPJ38" s="975"/>
      <c r="OPK38" s="975"/>
      <c r="OPL38" s="975"/>
      <c r="OPM38" s="975"/>
      <c r="OPN38" s="975"/>
      <c r="OPO38" s="975"/>
      <c r="OPP38" s="975"/>
      <c r="OPQ38" s="975"/>
      <c r="OPR38" s="975"/>
      <c r="OPS38" s="975"/>
      <c r="OPT38" s="975"/>
      <c r="OPU38" s="975"/>
      <c r="OPV38" s="975"/>
      <c r="OPW38" s="975"/>
      <c r="OPX38" s="975"/>
      <c r="OPY38" s="975"/>
      <c r="OPZ38" s="975"/>
      <c r="OQA38" s="975"/>
      <c r="OQB38" s="975"/>
      <c r="OQC38" s="975"/>
      <c r="OQD38" s="975"/>
      <c r="OQE38" s="975"/>
      <c r="OQF38" s="975"/>
      <c r="OQG38" s="975"/>
      <c r="OQH38" s="975"/>
      <c r="OQI38" s="975"/>
      <c r="OQJ38" s="975"/>
      <c r="OQK38" s="975"/>
      <c r="OQL38" s="975"/>
      <c r="OQM38" s="975"/>
      <c r="OQN38" s="975"/>
      <c r="OQO38" s="975"/>
      <c r="OQP38" s="975"/>
      <c r="OQQ38" s="975"/>
      <c r="OQR38" s="975"/>
      <c r="OQS38" s="975"/>
      <c r="OQT38" s="975"/>
      <c r="OQU38" s="975"/>
      <c r="OQV38" s="975"/>
      <c r="OQW38" s="975"/>
      <c r="OQX38" s="975"/>
      <c r="OQY38" s="975"/>
      <c r="OQZ38" s="975"/>
      <c r="ORA38" s="975"/>
      <c r="ORB38" s="975"/>
      <c r="ORC38" s="975"/>
      <c r="ORD38" s="975"/>
      <c r="ORE38" s="975"/>
      <c r="ORF38" s="975"/>
      <c r="ORG38" s="975"/>
      <c r="ORH38" s="975"/>
      <c r="ORI38" s="975"/>
      <c r="ORJ38" s="975"/>
      <c r="ORK38" s="975"/>
      <c r="ORL38" s="975"/>
      <c r="ORM38" s="975"/>
      <c r="ORN38" s="975"/>
      <c r="ORO38" s="975"/>
      <c r="ORP38" s="975"/>
      <c r="ORQ38" s="975"/>
      <c r="ORR38" s="975"/>
      <c r="ORS38" s="975"/>
      <c r="ORT38" s="975"/>
      <c r="ORU38" s="975"/>
      <c r="ORV38" s="975"/>
      <c r="ORW38" s="975"/>
      <c r="ORX38" s="975"/>
      <c r="ORY38" s="975"/>
      <c r="ORZ38" s="975"/>
      <c r="OSA38" s="975"/>
      <c r="OSB38" s="975"/>
      <c r="OSC38" s="975"/>
      <c r="OSD38" s="975"/>
      <c r="OSE38" s="975"/>
      <c r="OSF38" s="975"/>
      <c r="OSG38" s="975"/>
      <c r="OSH38" s="975"/>
      <c r="OSI38" s="975"/>
      <c r="OSJ38" s="975"/>
      <c r="OSK38" s="975"/>
      <c r="OSL38" s="975"/>
      <c r="OSM38" s="975"/>
      <c r="OSN38" s="975"/>
      <c r="OSO38" s="975"/>
      <c r="OSP38" s="975"/>
      <c r="OSQ38" s="975"/>
      <c r="OSR38" s="975"/>
      <c r="OSS38" s="975"/>
      <c r="OST38" s="975"/>
      <c r="OSU38" s="975"/>
      <c r="OSV38" s="975"/>
      <c r="OSW38" s="975"/>
      <c r="OSX38" s="975"/>
      <c r="OSY38" s="975"/>
      <c r="OSZ38" s="975"/>
      <c r="OTA38" s="975"/>
      <c r="OTB38" s="975"/>
      <c r="OTC38" s="975"/>
      <c r="OTD38" s="975"/>
      <c r="OTE38" s="975"/>
      <c r="OTF38" s="975"/>
      <c r="OTG38" s="975"/>
      <c r="OTH38" s="975"/>
      <c r="OTI38" s="975"/>
      <c r="OTJ38" s="975"/>
      <c r="OTK38" s="975"/>
      <c r="OTL38" s="975"/>
      <c r="OTM38" s="975"/>
      <c r="OTN38" s="975"/>
      <c r="OTO38" s="975"/>
      <c r="OTP38" s="975"/>
      <c r="OTQ38" s="975"/>
      <c r="OTR38" s="975"/>
      <c r="OTS38" s="975"/>
      <c r="OTT38" s="975"/>
      <c r="OTU38" s="975"/>
      <c r="OTV38" s="975"/>
      <c r="OTW38" s="975"/>
      <c r="OTX38" s="975"/>
      <c r="OTY38" s="975"/>
      <c r="OTZ38" s="975"/>
      <c r="OUA38" s="975"/>
      <c r="OUB38" s="975"/>
      <c r="OUC38" s="975"/>
      <c r="OUD38" s="975"/>
      <c r="OUE38" s="975"/>
      <c r="OUF38" s="975"/>
      <c r="OUG38" s="975"/>
      <c r="OUH38" s="975"/>
      <c r="OUI38" s="975"/>
      <c r="OUJ38" s="975"/>
      <c r="OUK38" s="975"/>
      <c r="OUL38" s="975"/>
      <c r="OUM38" s="975"/>
      <c r="OUN38" s="975"/>
      <c r="OUO38" s="975"/>
      <c r="OUP38" s="975"/>
      <c r="OUQ38" s="975"/>
      <c r="OUR38" s="975"/>
      <c r="OUS38" s="975"/>
      <c r="OUT38" s="975"/>
      <c r="OUU38" s="975"/>
      <c r="OUV38" s="975"/>
      <c r="OUW38" s="975"/>
      <c r="OUX38" s="975"/>
      <c r="OUY38" s="975"/>
      <c r="OUZ38" s="975"/>
      <c r="OVA38" s="975"/>
      <c r="OVB38" s="975"/>
      <c r="OVC38" s="975"/>
      <c r="OVD38" s="975"/>
      <c r="OVE38" s="975"/>
      <c r="OVF38" s="975"/>
      <c r="OVG38" s="975"/>
      <c r="OVH38" s="975"/>
      <c r="OVI38" s="975"/>
      <c r="OVJ38" s="975"/>
      <c r="OVK38" s="975"/>
      <c r="OVL38" s="975"/>
      <c r="OVM38" s="975"/>
      <c r="OVN38" s="975"/>
      <c r="OVO38" s="975"/>
      <c r="OVP38" s="975"/>
      <c r="OVQ38" s="975"/>
      <c r="OVR38" s="975"/>
      <c r="OVS38" s="975"/>
      <c r="OVT38" s="975"/>
      <c r="OVU38" s="975"/>
      <c r="OVV38" s="975"/>
      <c r="OVW38" s="975"/>
      <c r="OVX38" s="975"/>
      <c r="OVY38" s="975"/>
      <c r="OVZ38" s="975"/>
      <c r="OWA38" s="975"/>
      <c r="OWB38" s="975"/>
      <c r="OWC38" s="975"/>
      <c r="OWD38" s="975"/>
      <c r="OWE38" s="975"/>
      <c r="OWF38" s="975"/>
      <c r="OWG38" s="975"/>
      <c r="OWH38" s="975"/>
      <c r="OWI38" s="975"/>
      <c r="OWJ38" s="975"/>
      <c r="OWK38" s="975"/>
      <c r="OWL38" s="975"/>
      <c r="OWM38" s="975"/>
      <c r="OWN38" s="975"/>
      <c r="OWO38" s="975"/>
      <c r="OWP38" s="975"/>
      <c r="OWQ38" s="975"/>
      <c r="OWR38" s="975"/>
      <c r="OWS38" s="975"/>
      <c r="OWT38" s="975"/>
      <c r="OWU38" s="975"/>
      <c r="OWV38" s="975"/>
      <c r="OWW38" s="975"/>
      <c r="OWX38" s="975"/>
      <c r="OWY38" s="975"/>
      <c r="OWZ38" s="975"/>
      <c r="OXA38" s="975"/>
      <c r="OXB38" s="975"/>
      <c r="OXC38" s="975"/>
      <c r="OXD38" s="975"/>
      <c r="OXE38" s="975"/>
      <c r="OXF38" s="975"/>
      <c r="OXG38" s="975"/>
      <c r="OXH38" s="975"/>
      <c r="OXI38" s="975"/>
      <c r="OXJ38" s="975"/>
      <c r="OXK38" s="975"/>
      <c r="OXL38" s="975"/>
      <c r="OXM38" s="975"/>
      <c r="OXN38" s="975"/>
      <c r="OXO38" s="975"/>
      <c r="OXP38" s="975"/>
      <c r="OXQ38" s="975"/>
      <c r="OXR38" s="975"/>
      <c r="OXS38" s="975"/>
      <c r="OXT38" s="975"/>
      <c r="OXU38" s="975"/>
      <c r="OXV38" s="975"/>
      <c r="OXW38" s="975"/>
      <c r="OXX38" s="975"/>
      <c r="OXY38" s="975"/>
      <c r="OXZ38" s="975"/>
      <c r="OYA38" s="975"/>
      <c r="OYB38" s="975"/>
      <c r="OYC38" s="975"/>
      <c r="OYD38" s="975"/>
      <c r="OYE38" s="975"/>
      <c r="OYF38" s="975"/>
      <c r="OYG38" s="975"/>
      <c r="OYH38" s="975"/>
      <c r="OYI38" s="975"/>
      <c r="OYJ38" s="975"/>
      <c r="OYK38" s="975"/>
      <c r="OYL38" s="975"/>
      <c r="OYM38" s="975"/>
      <c r="OYN38" s="975"/>
      <c r="OYO38" s="975"/>
      <c r="OYP38" s="975"/>
      <c r="OYQ38" s="975"/>
      <c r="OYR38" s="975"/>
      <c r="OYS38" s="975"/>
      <c r="OYT38" s="975"/>
      <c r="OYU38" s="975"/>
      <c r="OYV38" s="975"/>
      <c r="OYW38" s="975"/>
      <c r="OYX38" s="975"/>
      <c r="OYY38" s="975"/>
      <c r="OYZ38" s="975"/>
      <c r="OZA38" s="975"/>
      <c r="OZB38" s="975"/>
      <c r="OZC38" s="975"/>
      <c r="OZD38" s="975"/>
      <c r="OZE38" s="975"/>
      <c r="OZF38" s="975"/>
      <c r="OZG38" s="975"/>
      <c r="OZH38" s="975"/>
      <c r="OZI38" s="975"/>
      <c r="OZJ38" s="975"/>
      <c r="OZK38" s="975"/>
      <c r="OZL38" s="975"/>
      <c r="OZM38" s="975"/>
      <c r="OZN38" s="975"/>
      <c r="OZO38" s="975"/>
      <c r="OZP38" s="975"/>
      <c r="OZQ38" s="975"/>
      <c r="OZR38" s="975"/>
      <c r="OZS38" s="975"/>
      <c r="OZT38" s="975"/>
      <c r="OZU38" s="975"/>
      <c r="OZV38" s="975"/>
      <c r="OZW38" s="975"/>
      <c r="OZX38" s="975"/>
      <c r="OZY38" s="975"/>
      <c r="OZZ38" s="975"/>
      <c r="PAA38" s="975"/>
      <c r="PAB38" s="975"/>
      <c r="PAC38" s="975"/>
      <c r="PAD38" s="975"/>
      <c r="PAE38" s="975"/>
      <c r="PAF38" s="975"/>
      <c r="PAG38" s="975"/>
      <c r="PAH38" s="975"/>
      <c r="PAI38" s="975"/>
      <c r="PAJ38" s="975"/>
      <c r="PAK38" s="975"/>
      <c r="PAL38" s="975"/>
      <c r="PAM38" s="975"/>
      <c r="PAN38" s="975"/>
      <c r="PAO38" s="975"/>
      <c r="PAP38" s="975"/>
      <c r="PAQ38" s="975"/>
      <c r="PAR38" s="975"/>
      <c r="PAS38" s="975"/>
      <c r="PAT38" s="975"/>
      <c r="PAU38" s="975"/>
      <c r="PAV38" s="975"/>
      <c r="PAW38" s="975"/>
      <c r="PAX38" s="975"/>
      <c r="PAY38" s="975"/>
      <c r="PAZ38" s="975"/>
      <c r="PBA38" s="975"/>
      <c r="PBB38" s="975"/>
      <c r="PBC38" s="975"/>
      <c r="PBD38" s="975"/>
      <c r="PBE38" s="975"/>
      <c r="PBF38" s="975"/>
      <c r="PBG38" s="975"/>
      <c r="PBH38" s="975"/>
      <c r="PBI38" s="975"/>
      <c r="PBJ38" s="975"/>
      <c r="PBK38" s="975"/>
      <c r="PBL38" s="975"/>
      <c r="PBM38" s="975"/>
      <c r="PBN38" s="975"/>
      <c r="PBO38" s="975"/>
      <c r="PBP38" s="975"/>
      <c r="PBQ38" s="975"/>
      <c r="PBR38" s="975"/>
      <c r="PBS38" s="975"/>
      <c r="PBT38" s="975"/>
      <c r="PBU38" s="975"/>
      <c r="PBV38" s="975"/>
      <c r="PBW38" s="975"/>
      <c r="PBX38" s="975"/>
      <c r="PBY38" s="975"/>
      <c r="PBZ38" s="975"/>
      <c r="PCA38" s="975"/>
      <c r="PCB38" s="975"/>
      <c r="PCC38" s="975"/>
      <c r="PCD38" s="975"/>
      <c r="PCE38" s="975"/>
      <c r="PCF38" s="975"/>
      <c r="PCG38" s="975"/>
      <c r="PCH38" s="975"/>
      <c r="PCI38" s="975"/>
      <c r="PCJ38" s="975"/>
      <c r="PCK38" s="975"/>
      <c r="PCL38" s="975"/>
      <c r="PCM38" s="975"/>
      <c r="PCN38" s="975"/>
      <c r="PCO38" s="975"/>
      <c r="PCP38" s="975"/>
      <c r="PCQ38" s="975"/>
      <c r="PCR38" s="975"/>
      <c r="PCS38" s="975"/>
      <c r="PCT38" s="975"/>
      <c r="PCU38" s="975"/>
      <c r="PCV38" s="975"/>
      <c r="PCW38" s="975"/>
      <c r="PCX38" s="975"/>
      <c r="PCY38" s="975"/>
      <c r="PCZ38" s="975"/>
      <c r="PDA38" s="975"/>
      <c r="PDB38" s="975"/>
      <c r="PDC38" s="975"/>
      <c r="PDD38" s="975"/>
      <c r="PDE38" s="975"/>
      <c r="PDF38" s="975"/>
      <c r="PDG38" s="975"/>
      <c r="PDH38" s="975"/>
      <c r="PDI38" s="975"/>
      <c r="PDJ38" s="975"/>
      <c r="PDK38" s="975"/>
      <c r="PDL38" s="975"/>
      <c r="PDM38" s="975"/>
      <c r="PDN38" s="975"/>
      <c r="PDO38" s="975"/>
      <c r="PDP38" s="975"/>
      <c r="PDQ38" s="975"/>
      <c r="PDR38" s="975"/>
      <c r="PDS38" s="975"/>
      <c r="PDT38" s="975"/>
      <c r="PDU38" s="975"/>
      <c r="PDV38" s="975"/>
      <c r="PDW38" s="975"/>
      <c r="PDX38" s="975"/>
      <c r="PDY38" s="975"/>
      <c r="PDZ38" s="975"/>
      <c r="PEA38" s="975"/>
      <c r="PEB38" s="975"/>
      <c r="PEC38" s="975"/>
      <c r="PED38" s="975"/>
      <c r="PEE38" s="975"/>
      <c r="PEF38" s="975"/>
      <c r="PEG38" s="975"/>
      <c r="PEH38" s="975"/>
      <c r="PEI38" s="975"/>
      <c r="PEJ38" s="975"/>
      <c r="PEK38" s="975"/>
      <c r="PEL38" s="975"/>
      <c r="PEM38" s="975"/>
      <c r="PEN38" s="975"/>
      <c r="PEO38" s="975"/>
      <c r="PEP38" s="975"/>
      <c r="PEQ38" s="975"/>
      <c r="PER38" s="975"/>
      <c r="PES38" s="975"/>
      <c r="PET38" s="975"/>
      <c r="PEU38" s="975"/>
      <c r="PEV38" s="975"/>
      <c r="PEW38" s="975"/>
      <c r="PEX38" s="975"/>
      <c r="PEY38" s="975"/>
      <c r="PEZ38" s="975"/>
      <c r="PFA38" s="975"/>
      <c r="PFB38" s="975"/>
      <c r="PFC38" s="975"/>
      <c r="PFD38" s="975"/>
      <c r="PFE38" s="975"/>
      <c r="PFF38" s="975"/>
      <c r="PFG38" s="975"/>
      <c r="PFH38" s="975"/>
      <c r="PFI38" s="975"/>
      <c r="PFJ38" s="975"/>
      <c r="PFK38" s="975"/>
      <c r="PFL38" s="975"/>
      <c r="PFM38" s="975"/>
      <c r="PFN38" s="975"/>
      <c r="PFO38" s="975"/>
      <c r="PFP38" s="975"/>
      <c r="PFQ38" s="975"/>
      <c r="PFR38" s="975"/>
      <c r="PFS38" s="975"/>
      <c r="PFT38" s="975"/>
      <c r="PFU38" s="975"/>
      <c r="PFV38" s="975"/>
      <c r="PFW38" s="975"/>
      <c r="PFX38" s="975"/>
      <c r="PFY38" s="975"/>
      <c r="PFZ38" s="975"/>
      <c r="PGA38" s="975"/>
      <c r="PGB38" s="975"/>
      <c r="PGC38" s="975"/>
      <c r="PGD38" s="975"/>
      <c r="PGE38" s="975"/>
      <c r="PGF38" s="975"/>
      <c r="PGG38" s="975"/>
      <c r="PGH38" s="975"/>
      <c r="PGI38" s="975"/>
      <c r="PGJ38" s="975"/>
      <c r="PGK38" s="975"/>
      <c r="PGL38" s="975"/>
      <c r="PGM38" s="975"/>
      <c r="PGN38" s="975"/>
      <c r="PGO38" s="975"/>
      <c r="PGP38" s="975"/>
      <c r="PGQ38" s="975"/>
      <c r="PGR38" s="975"/>
      <c r="PGS38" s="975"/>
      <c r="PGT38" s="975"/>
      <c r="PGU38" s="975"/>
      <c r="PGV38" s="975"/>
      <c r="PGW38" s="975"/>
      <c r="PGX38" s="975"/>
      <c r="PGY38" s="975"/>
      <c r="PGZ38" s="975"/>
      <c r="PHA38" s="975"/>
      <c r="PHB38" s="975"/>
      <c r="PHC38" s="975"/>
      <c r="PHD38" s="975"/>
      <c r="PHE38" s="975"/>
      <c r="PHF38" s="975"/>
      <c r="PHG38" s="975"/>
      <c r="PHH38" s="975"/>
      <c r="PHI38" s="975"/>
      <c r="PHJ38" s="975"/>
      <c r="PHK38" s="975"/>
      <c r="PHL38" s="975"/>
      <c r="PHM38" s="975"/>
      <c r="PHN38" s="975"/>
      <c r="PHO38" s="975"/>
      <c r="PHP38" s="975"/>
      <c r="PHQ38" s="975"/>
      <c r="PHR38" s="975"/>
      <c r="PHS38" s="975"/>
      <c r="PHT38" s="975"/>
      <c r="PHU38" s="975"/>
      <c r="PHV38" s="975"/>
      <c r="PHW38" s="975"/>
      <c r="PHX38" s="975"/>
      <c r="PHY38" s="975"/>
      <c r="PHZ38" s="975"/>
      <c r="PIA38" s="975"/>
      <c r="PIB38" s="975"/>
      <c r="PIC38" s="975"/>
      <c r="PID38" s="975"/>
      <c r="PIE38" s="975"/>
      <c r="PIF38" s="975"/>
      <c r="PIG38" s="975"/>
      <c r="PIH38" s="975"/>
      <c r="PII38" s="975"/>
      <c r="PIJ38" s="975"/>
      <c r="PIK38" s="975"/>
      <c r="PIL38" s="975"/>
      <c r="PIM38" s="975"/>
      <c r="PIN38" s="975"/>
      <c r="PIO38" s="975"/>
      <c r="PIP38" s="975"/>
      <c r="PIQ38" s="975"/>
      <c r="PIR38" s="975"/>
      <c r="PIS38" s="975"/>
      <c r="PIT38" s="975"/>
      <c r="PIU38" s="975"/>
      <c r="PIV38" s="975"/>
      <c r="PIW38" s="975"/>
      <c r="PIX38" s="975"/>
      <c r="PIY38" s="975"/>
      <c r="PIZ38" s="975"/>
      <c r="PJA38" s="975"/>
      <c r="PJB38" s="975"/>
      <c r="PJC38" s="975"/>
      <c r="PJD38" s="975"/>
      <c r="PJE38" s="975"/>
      <c r="PJF38" s="975"/>
      <c r="PJG38" s="975"/>
      <c r="PJH38" s="975"/>
      <c r="PJI38" s="975"/>
      <c r="PJJ38" s="975"/>
      <c r="PJK38" s="975"/>
      <c r="PJL38" s="975"/>
      <c r="PJM38" s="975"/>
      <c r="PJN38" s="975"/>
      <c r="PJO38" s="975"/>
      <c r="PJP38" s="975"/>
      <c r="PJQ38" s="975"/>
      <c r="PJR38" s="975"/>
      <c r="PJS38" s="975"/>
      <c r="PJT38" s="975"/>
      <c r="PJU38" s="975"/>
      <c r="PJV38" s="975"/>
      <c r="PJW38" s="975"/>
      <c r="PJX38" s="975"/>
      <c r="PJY38" s="975"/>
      <c r="PJZ38" s="975"/>
      <c r="PKA38" s="975"/>
      <c r="PKB38" s="975"/>
      <c r="PKC38" s="975"/>
      <c r="PKD38" s="975"/>
      <c r="PKE38" s="975"/>
      <c r="PKF38" s="975"/>
      <c r="PKG38" s="975"/>
      <c r="PKH38" s="975"/>
      <c r="PKI38" s="975"/>
      <c r="PKJ38" s="975"/>
      <c r="PKK38" s="975"/>
      <c r="PKL38" s="975"/>
      <c r="PKM38" s="975"/>
      <c r="PKN38" s="975"/>
      <c r="PKO38" s="975"/>
      <c r="PKP38" s="975"/>
      <c r="PKQ38" s="975"/>
      <c r="PKR38" s="975"/>
      <c r="PKS38" s="975"/>
      <c r="PKT38" s="975"/>
      <c r="PKU38" s="975"/>
      <c r="PKV38" s="975"/>
      <c r="PKW38" s="975"/>
      <c r="PKX38" s="975"/>
      <c r="PKY38" s="975"/>
      <c r="PKZ38" s="975"/>
      <c r="PLA38" s="975"/>
      <c r="PLB38" s="975"/>
      <c r="PLC38" s="975"/>
      <c r="PLD38" s="975"/>
      <c r="PLE38" s="975"/>
      <c r="PLF38" s="975"/>
      <c r="PLG38" s="975"/>
      <c r="PLH38" s="975"/>
      <c r="PLI38" s="975"/>
      <c r="PLJ38" s="975"/>
      <c r="PLK38" s="975"/>
      <c r="PLL38" s="975"/>
      <c r="PLM38" s="975"/>
      <c r="PLN38" s="975"/>
      <c r="PLO38" s="975"/>
      <c r="PLP38" s="975"/>
      <c r="PLQ38" s="975"/>
      <c r="PLR38" s="975"/>
      <c r="PLS38" s="975"/>
      <c r="PLT38" s="975"/>
      <c r="PLU38" s="975"/>
      <c r="PLV38" s="975"/>
      <c r="PLW38" s="975"/>
      <c r="PLX38" s="975"/>
      <c r="PLY38" s="975"/>
      <c r="PLZ38" s="975"/>
      <c r="PMA38" s="975"/>
      <c r="PMB38" s="975"/>
      <c r="PMC38" s="975"/>
      <c r="PMD38" s="975"/>
      <c r="PME38" s="975"/>
      <c r="PMF38" s="975"/>
      <c r="PMG38" s="975"/>
      <c r="PMH38" s="975"/>
      <c r="PMI38" s="975"/>
      <c r="PMJ38" s="975"/>
      <c r="PMK38" s="975"/>
      <c r="PML38" s="975"/>
      <c r="PMM38" s="975"/>
      <c r="PMN38" s="975"/>
      <c r="PMO38" s="975"/>
      <c r="PMP38" s="975"/>
      <c r="PMQ38" s="975"/>
      <c r="PMR38" s="975"/>
      <c r="PMS38" s="975"/>
      <c r="PMT38" s="975"/>
      <c r="PMU38" s="975"/>
      <c r="PMV38" s="975"/>
      <c r="PMW38" s="975"/>
      <c r="PMX38" s="975"/>
      <c r="PMY38" s="975"/>
      <c r="PMZ38" s="975"/>
      <c r="PNA38" s="975"/>
      <c r="PNB38" s="975"/>
      <c r="PNC38" s="975"/>
      <c r="PND38" s="975"/>
      <c r="PNE38" s="975"/>
      <c r="PNF38" s="975"/>
      <c r="PNG38" s="975"/>
      <c r="PNH38" s="975"/>
      <c r="PNI38" s="975"/>
      <c r="PNJ38" s="975"/>
      <c r="PNK38" s="975"/>
      <c r="PNL38" s="975"/>
      <c r="PNM38" s="975"/>
      <c r="PNN38" s="975"/>
      <c r="PNO38" s="975"/>
      <c r="PNP38" s="975"/>
      <c r="PNQ38" s="975"/>
      <c r="PNR38" s="975"/>
      <c r="PNS38" s="975"/>
      <c r="PNT38" s="975"/>
      <c r="PNU38" s="975"/>
      <c r="PNV38" s="975"/>
      <c r="PNW38" s="975"/>
      <c r="PNX38" s="975"/>
      <c r="PNY38" s="975"/>
      <c r="PNZ38" s="975"/>
      <c r="POA38" s="975"/>
      <c r="POB38" s="975"/>
      <c r="POC38" s="975"/>
      <c r="POD38" s="975"/>
      <c r="POE38" s="975"/>
      <c r="POF38" s="975"/>
      <c r="POG38" s="975"/>
      <c r="POH38" s="975"/>
      <c r="POI38" s="975"/>
      <c r="POJ38" s="975"/>
      <c r="POK38" s="975"/>
      <c r="POL38" s="975"/>
      <c r="POM38" s="975"/>
      <c r="PON38" s="975"/>
      <c r="POO38" s="975"/>
      <c r="POP38" s="975"/>
      <c r="POQ38" s="975"/>
      <c r="POR38" s="975"/>
      <c r="POS38" s="975"/>
      <c r="POT38" s="975"/>
      <c r="POU38" s="975"/>
      <c r="POV38" s="975"/>
      <c r="POW38" s="975"/>
      <c r="POX38" s="975"/>
      <c r="POY38" s="975"/>
      <c r="POZ38" s="975"/>
      <c r="PPA38" s="975"/>
      <c r="PPB38" s="975"/>
      <c r="PPC38" s="975"/>
      <c r="PPD38" s="975"/>
      <c r="PPE38" s="975"/>
      <c r="PPF38" s="975"/>
      <c r="PPG38" s="975"/>
      <c r="PPH38" s="975"/>
      <c r="PPI38" s="975"/>
      <c r="PPJ38" s="975"/>
      <c r="PPK38" s="975"/>
      <c r="PPL38" s="975"/>
      <c r="PPM38" s="975"/>
      <c r="PPN38" s="975"/>
      <c r="PPO38" s="975"/>
      <c r="PPP38" s="975"/>
      <c r="PPQ38" s="975"/>
      <c r="PPR38" s="975"/>
      <c r="PPS38" s="975"/>
      <c r="PPT38" s="975"/>
      <c r="PPU38" s="975"/>
      <c r="PPV38" s="975"/>
      <c r="PPW38" s="975"/>
      <c r="PPX38" s="975"/>
      <c r="PPY38" s="975"/>
      <c r="PPZ38" s="975"/>
      <c r="PQA38" s="975"/>
      <c r="PQB38" s="975"/>
      <c r="PQC38" s="975"/>
      <c r="PQD38" s="975"/>
      <c r="PQE38" s="975"/>
      <c r="PQF38" s="975"/>
      <c r="PQG38" s="975"/>
      <c r="PQH38" s="975"/>
      <c r="PQI38" s="975"/>
      <c r="PQJ38" s="975"/>
      <c r="PQK38" s="975"/>
      <c r="PQL38" s="975"/>
      <c r="PQM38" s="975"/>
      <c r="PQN38" s="975"/>
      <c r="PQO38" s="975"/>
      <c r="PQP38" s="975"/>
      <c r="PQQ38" s="975"/>
      <c r="PQR38" s="975"/>
      <c r="PQS38" s="975"/>
      <c r="PQT38" s="975"/>
      <c r="PQU38" s="975"/>
      <c r="PQV38" s="975"/>
      <c r="PQW38" s="975"/>
      <c r="PQX38" s="975"/>
      <c r="PQY38" s="975"/>
      <c r="PQZ38" s="975"/>
      <c r="PRA38" s="975"/>
      <c r="PRB38" s="975"/>
      <c r="PRC38" s="975"/>
      <c r="PRD38" s="975"/>
      <c r="PRE38" s="975"/>
      <c r="PRF38" s="975"/>
      <c r="PRG38" s="975"/>
      <c r="PRH38" s="975"/>
      <c r="PRI38" s="975"/>
      <c r="PRJ38" s="975"/>
      <c r="PRK38" s="975"/>
      <c r="PRL38" s="975"/>
      <c r="PRM38" s="975"/>
      <c r="PRN38" s="975"/>
      <c r="PRO38" s="975"/>
      <c r="PRP38" s="975"/>
      <c r="PRQ38" s="975"/>
      <c r="PRR38" s="975"/>
      <c r="PRS38" s="975"/>
      <c r="PRT38" s="975"/>
      <c r="PRU38" s="975"/>
      <c r="PRV38" s="975"/>
      <c r="PRW38" s="975"/>
      <c r="PRX38" s="975"/>
      <c r="PRY38" s="975"/>
      <c r="PRZ38" s="975"/>
      <c r="PSA38" s="975"/>
      <c r="PSB38" s="975"/>
      <c r="PSC38" s="975"/>
      <c r="PSD38" s="975"/>
      <c r="PSE38" s="975"/>
      <c r="PSF38" s="975"/>
      <c r="PSG38" s="975"/>
      <c r="PSH38" s="975"/>
      <c r="PSI38" s="975"/>
      <c r="PSJ38" s="975"/>
      <c r="PSK38" s="975"/>
      <c r="PSL38" s="975"/>
      <c r="PSM38" s="975"/>
      <c r="PSN38" s="975"/>
      <c r="PSO38" s="975"/>
      <c r="PSP38" s="975"/>
      <c r="PSQ38" s="975"/>
      <c r="PSR38" s="975"/>
      <c r="PSS38" s="975"/>
      <c r="PST38" s="975"/>
      <c r="PSU38" s="975"/>
      <c r="PSV38" s="975"/>
      <c r="PSW38" s="975"/>
      <c r="PSX38" s="975"/>
      <c r="PSY38" s="975"/>
      <c r="PSZ38" s="975"/>
      <c r="PTA38" s="975"/>
      <c r="PTB38" s="975"/>
      <c r="PTC38" s="975"/>
      <c r="PTD38" s="975"/>
      <c r="PTE38" s="975"/>
      <c r="PTF38" s="975"/>
      <c r="PTG38" s="975"/>
      <c r="PTH38" s="975"/>
      <c r="PTI38" s="975"/>
      <c r="PTJ38" s="975"/>
      <c r="PTK38" s="975"/>
      <c r="PTL38" s="975"/>
      <c r="PTM38" s="975"/>
      <c r="PTN38" s="975"/>
      <c r="PTO38" s="975"/>
      <c r="PTP38" s="975"/>
      <c r="PTQ38" s="975"/>
      <c r="PTR38" s="975"/>
      <c r="PTS38" s="975"/>
      <c r="PTT38" s="975"/>
      <c r="PTU38" s="975"/>
      <c r="PTV38" s="975"/>
      <c r="PTW38" s="975"/>
      <c r="PTX38" s="975"/>
      <c r="PTY38" s="975"/>
      <c r="PTZ38" s="975"/>
      <c r="PUA38" s="975"/>
      <c r="PUB38" s="975"/>
      <c r="PUC38" s="975"/>
      <c r="PUD38" s="975"/>
      <c r="PUE38" s="975"/>
      <c r="PUF38" s="975"/>
      <c r="PUG38" s="975"/>
      <c r="PUH38" s="975"/>
      <c r="PUI38" s="975"/>
      <c r="PUJ38" s="975"/>
      <c r="PUK38" s="975"/>
      <c r="PUL38" s="975"/>
      <c r="PUM38" s="975"/>
      <c r="PUN38" s="975"/>
      <c r="PUO38" s="975"/>
      <c r="PUP38" s="975"/>
      <c r="PUQ38" s="975"/>
      <c r="PUR38" s="975"/>
      <c r="PUS38" s="975"/>
      <c r="PUT38" s="975"/>
      <c r="PUU38" s="975"/>
      <c r="PUV38" s="975"/>
      <c r="PUW38" s="975"/>
      <c r="PUX38" s="975"/>
      <c r="PUY38" s="975"/>
      <c r="PUZ38" s="975"/>
      <c r="PVA38" s="975"/>
      <c r="PVB38" s="975"/>
      <c r="PVC38" s="975"/>
      <c r="PVD38" s="975"/>
      <c r="PVE38" s="975"/>
      <c r="PVF38" s="975"/>
      <c r="PVG38" s="975"/>
      <c r="PVH38" s="975"/>
      <c r="PVI38" s="975"/>
      <c r="PVJ38" s="975"/>
      <c r="PVK38" s="975"/>
      <c r="PVL38" s="975"/>
      <c r="PVM38" s="975"/>
      <c r="PVN38" s="975"/>
      <c r="PVO38" s="975"/>
      <c r="PVP38" s="975"/>
      <c r="PVQ38" s="975"/>
      <c r="PVR38" s="975"/>
      <c r="PVS38" s="975"/>
      <c r="PVT38" s="975"/>
      <c r="PVU38" s="975"/>
      <c r="PVV38" s="975"/>
      <c r="PVW38" s="975"/>
      <c r="PVX38" s="975"/>
      <c r="PVY38" s="975"/>
      <c r="PVZ38" s="975"/>
      <c r="PWA38" s="975"/>
      <c r="PWB38" s="975"/>
      <c r="PWC38" s="975"/>
      <c r="PWD38" s="975"/>
      <c r="PWE38" s="975"/>
      <c r="PWF38" s="975"/>
      <c r="PWG38" s="975"/>
      <c r="PWH38" s="975"/>
      <c r="PWI38" s="975"/>
      <c r="PWJ38" s="975"/>
      <c r="PWK38" s="975"/>
      <c r="PWL38" s="975"/>
      <c r="PWM38" s="975"/>
      <c r="PWN38" s="975"/>
      <c r="PWO38" s="975"/>
      <c r="PWP38" s="975"/>
      <c r="PWQ38" s="975"/>
      <c r="PWR38" s="975"/>
      <c r="PWS38" s="975"/>
      <c r="PWT38" s="975"/>
      <c r="PWU38" s="975"/>
      <c r="PWV38" s="975"/>
      <c r="PWW38" s="975"/>
      <c r="PWX38" s="975"/>
      <c r="PWY38" s="975"/>
      <c r="PWZ38" s="975"/>
      <c r="PXA38" s="975"/>
      <c r="PXB38" s="975"/>
      <c r="PXC38" s="975"/>
      <c r="PXD38" s="975"/>
      <c r="PXE38" s="975"/>
      <c r="PXF38" s="975"/>
      <c r="PXG38" s="975"/>
      <c r="PXH38" s="975"/>
      <c r="PXI38" s="975"/>
      <c r="PXJ38" s="975"/>
      <c r="PXK38" s="975"/>
      <c r="PXL38" s="975"/>
      <c r="PXM38" s="975"/>
      <c r="PXN38" s="975"/>
      <c r="PXO38" s="975"/>
      <c r="PXP38" s="975"/>
      <c r="PXQ38" s="975"/>
      <c r="PXR38" s="975"/>
      <c r="PXS38" s="975"/>
      <c r="PXT38" s="975"/>
      <c r="PXU38" s="975"/>
      <c r="PXV38" s="975"/>
      <c r="PXW38" s="975"/>
      <c r="PXX38" s="975"/>
      <c r="PXY38" s="975"/>
      <c r="PXZ38" s="975"/>
      <c r="PYA38" s="975"/>
      <c r="PYB38" s="975"/>
      <c r="PYC38" s="975"/>
      <c r="PYD38" s="975"/>
      <c r="PYE38" s="975"/>
      <c r="PYF38" s="975"/>
      <c r="PYG38" s="975"/>
      <c r="PYH38" s="975"/>
      <c r="PYI38" s="975"/>
      <c r="PYJ38" s="975"/>
      <c r="PYK38" s="975"/>
      <c r="PYL38" s="975"/>
      <c r="PYM38" s="975"/>
      <c r="PYN38" s="975"/>
      <c r="PYO38" s="975"/>
      <c r="PYP38" s="975"/>
      <c r="PYQ38" s="975"/>
      <c r="PYR38" s="975"/>
      <c r="PYS38" s="975"/>
      <c r="PYT38" s="975"/>
      <c r="PYU38" s="975"/>
      <c r="PYV38" s="975"/>
      <c r="PYW38" s="975"/>
      <c r="PYX38" s="975"/>
      <c r="PYY38" s="975"/>
      <c r="PYZ38" s="975"/>
      <c r="PZA38" s="975"/>
      <c r="PZB38" s="975"/>
      <c r="PZC38" s="975"/>
      <c r="PZD38" s="975"/>
      <c r="PZE38" s="975"/>
      <c r="PZF38" s="975"/>
      <c r="PZG38" s="975"/>
      <c r="PZH38" s="975"/>
      <c r="PZI38" s="975"/>
      <c r="PZJ38" s="975"/>
      <c r="PZK38" s="975"/>
      <c r="PZL38" s="975"/>
      <c r="PZM38" s="975"/>
      <c r="PZN38" s="975"/>
      <c r="PZO38" s="975"/>
      <c r="PZP38" s="975"/>
      <c r="PZQ38" s="975"/>
      <c r="PZR38" s="975"/>
      <c r="PZS38" s="975"/>
      <c r="PZT38" s="975"/>
      <c r="PZU38" s="975"/>
      <c r="PZV38" s="975"/>
      <c r="PZW38" s="975"/>
      <c r="PZX38" s="975"/>
      <c r="PZY38" s="975"/>
      <c r="PZZ38" s="975"/>
      <c r="QAA38" s="975"/>
      <c r="QAB38" s="975"/>
      <c r="QAC38" s="975"/>
      <c r="QAD38" s="975"/>
      <c r="QAE38" s="975"/>
      <c r="QAF38" s="975"/>
      <c r="QAG38" s="975"/>
      <c r="QAH38" s="975"/>
      <c r="QAI38" s="975"/>
      <c r="QAJ38" s="975"/>
      <c r="QAK38" s="975"/>
      <c r="QAL38" s="975"/>
      <c r="QAM38" s="975"/>
      <c r="QAN38" s="975"/>
      <c r="QAO38" s="975"/>
      <c r="QAP38" s="975"/>
      <c r="QAQ38" s="975"/>
      <c r="QAR38" s="975"/>
      <c r="QAS38" s="975"/>
      <c r="QAT38" s="975"/>
      <c r="QAU38" s="975"/>
      <c r="QAV38" s="975"/>
      <c r="QAW38" s="975"/>
      <c r="QAX38" s="975"/>
      <c r="QAY38" s="975"/>
      <c r="QAZ38" s="975"/>
      <c r="QBA38" s="975"/>
      <c r="QBB38" s="975"/>
      <c r="QBC38" s="975"/>
      <c r="QBD38" s="975"/>
      <c r="QBE38" s="975"/>
      <c r="QBF38" s="975"/>
      <c r="QBG38" s="975"/>
      <c r="QBH38" s="975"/>
      <c r="QBI38" s="975"/>
      <c r="QBJ38" s="975"/>
      <c r="QBK38" s="975"/>
      <c r="QBL38" s="975"/>
      <c r="QBM38" s="975"/>
      <c r="QBN38" s="975"/>
      <c r="QBO38" s="975"/>
      <c r="QBP38" s="975"/>
      <c r="QBQ38" s="975"/>
      <c r="QBR38" s="975"/>
      <c r="QBS38" s="975"/>
      <c r="QBT38" s="975"/>
      <c r="QBU38" s="975"/>
      <c r="QBV38" s="975"/>
      <c r="QBW38" s="975"/>
      <c r="QBX38" s="975"/>
      <c r="QBY38" s="975"/>
      <c r="QBZ38" s="975"/>
      <c r="QCA38" s="975"/>
      <c r="QCB38" s="975"/>
      <c r="QCC38" s="975"/>
      <c r="QCD38" s="975"/>
      <c r="QCE38" s="975"/>
      <c r="QCF38" s="975"/>
      <c r="QCG38" s="975"/>
      <c r="QCH38" s="975"/>
      <c r="QCI38" s="975"/>
      <c r="QCJ38" s="975"/>
      <c r="QCK38" s="975"/>
      <c r="QCL38" s="975"/>
      <c r="QCM38" s="975"/>
      <c r="QCN38" s="975"/>
      <c r="QCO38" s="975"/>
      <c r="QCP38" s="975"/>
      <c r="QCQ38" s="975"/>
      <c r="QCR38" s="975"/>
      <c r="QCS38" s="975"/>
      <c r="QCT38" s="975"/>
      <c r="QCU38" s="975"/>
      <c r="QCV38" s="975"/>
      <c r="QCW38" s="975"/>
      <c r="QCX38" s="975"/>
      <c r="QCY38" s="975"/>
      <c r="QCZ38" s="975"/>
      <c r="QDA38" s="975"/>
      <c r="QDB38" s="975"/>
      <c r="QDC38" s="975"/>
      <c r="QDD38" s="975"/>
      <c r="QDE38" s="975"/>
      <c r="QDF38" s="975"/>
      <c r="QDG38" s="975"/>
      <c r="QDH38" s="975"/>
      <c r="QDI38" s="975"/>
      <c r="QDJ38" s="975"/>
      <c r="QDK38" s="975"/>
      <c r="QDL38" s="975"/>
      <c r="QDM38" s="975"/>
      <c r="QDN38" s="975"/>
      <c r="QDO38" s="975"/>
      <c r="QDP38" s="975"/>
      <c r="QDQ38" s="975"/>
      <c r="QDR38" s="975"/>
      <c r="QDS38" s="975"/>
      <c r="QDT38" s="975"/>
      <c r="QDU38" s="975"/>
      <c r="QDV38" s="975"/>
      <c r="QDW38" s="975"/>
      <c r="QDX38" s="975"/>
      <c r="QDY38" s="975"/>
      <c r="QDZ38" s="975"/>
      <c r="QEA38" s="975"/>
      <c r="QEB38" s="975"/>
      <c r="QEC38" s="975"/>
      <c r="QED38" s="975"/>
      <c r="QEE38" s="975"/>
      <c r="QEF38" s="975"/>
      <c r="QEG38" s="975"/>
      <c r="QEH38" s="975"/>
      <c r="QEI38" s="975"/>
      <c r="QEJ38" s="975"/>
      <c r="QEK38" s="975"/>
      <c r="QEL38" s="975"/>
      <c r="QEM38" s="975"/>
      <c r="QEN38" s="975"/>
      <c r="QEO38" s="975"/>
      <c r="QEP38" s="975"/>
      <c r="QEQ38" s="975"/>
      <c r="QER38" s="975"/>
      <c r="QES38" s="975"/>
      <c r="QET38" s="975"/>
      <c r="QEU38" s="975"/>
      <c r="QEV38" s="975"/>
      <c r="QEW38" s="975"/>
      <c r="QEX38" s="975"/>
      <c r="QEY38" s="975"/>
      <c r="QEZ38" s="975"/>
      <c r="QFA38" s="975"/>
      <c r="QFB38" s="975"/>
      <c r="QFC38" s="975"/>
      <c r="QFD38" s="975"/>
      <c r="QFE38" s="975"/>
      <c r="QFF38" s="975"/>
      <c r="QFG38" s="975"/>
      <c r="QFH38" s="975"/>
      <c r="QFI38" s="975"/>
      <c r="QFJ38" s="975"/>
      <c r="QFK38" s="975"/>
      <c r="QFL38" s="975"/>
      <c r="QFM38" s="975"/>
      <c r="QFN38" s="975"/>
      <c r="QFO38" s="975"/>
      <c r="QFP38" s="975"/>
      <c r="QFQ38" s="975"/>
      <c r="QFR38" s="975"/>
      <c r="QFS38" s="975"/>
      <c r="QFT38" s="975"/>
      <c r="QFU38" s="975"/>
      <c r="QFV38" s="975"/>
      <c r="QFW38" s="975"/>
      <c r="QFX38" s="975"/>
      <c r="QFY38" s="975"/>
      <c r="QFZ38" s="975"/>
      <c r="QGA38" s="975"/>
      <c r="QGB38" s="975"/>
      <c r="QGC38" s="975"/>
      <c r="QGD38" s="975"/>
      <c r="QGE38" s="975"/>
      <c r="QGF38" s="975"/>
      <c r="QGG38" s="975"/>
      <c r="QGH38" s="975"/>
      <c r="QGI38" s="975"/>
      <c r="QGJ38" s="975"/>
      <c r="QGK38" s="975"/>
      <c r="QGL38" s="975"/>
      <c r="QGM38" s="975"/>
      <c r="QGN38" s="975"/>
      <c r="QGO38" s="975"/>
      <c r="QGP38" s="975"/>
      <c r="QGQ38" s="975"/>
      <c r="QGR38" s="975"/>
      <c r="QGS38" s="975"/>
      <c r="QGT38" s="975"/>
      <c r="QGU38" s="975"/>
      <c r="QGV38" s="975"/>
      <c r="QGW38" s="975"/>
      <c r="QGX38" s="975"/>
      <c r="QGY38" s="975"/>
      <c r="QGZ38" s="975"/>
      <c r="QHA38" s="975"/>
      <c r="QHB38" s="975"/>
      <c r="QHC38" s="975"/>
      <c r="QHD38" s="975"/>
      <c r="QHE38" s="975"/>
      <c r="QHF38" s="975"/>
      <c r="QHG38" s="975"/>
      <c r="QHH38" s="975"/>
      <c r="QHI38" s="975"/>
      <c r="QHJ38" s="975"/>
      <c r="QHK38" s="975"/>
      <c r="QHL38" s="975"/>
      <c r="QHM38" s="975"/>
      <c r="QHN38" s="975"/>
      <c r="QHO38" s="975"/>
      <c r="QHP38" s="975"/>
      <c r="QHQ38" s="975"/>
      <c r="QHR38" s="975"/>
      <c r="QHS38" s="975"/>
      <c r="QHT38" s="975"/>
      <c r="QHU38" s="975"/>
      <c r="QHV38" s="975"/>
      <c r="QHW38" s="975"/>
      <c r="QHX38" s="975"/>
      <c r="QHY38" s="975"/>
      <c r="QHZ38" s="975"/>
      <c r="QIA38" s="975"/>
      <c r="QIB38" s="975"/>
      <c r="QIC38" s="975"/>
      <c r="QID38" s="975"/>
      <c r="QIE38" s="975"/>
      <c r="QIF38" s="975"/>
      <c r="QIG38" s="975"/>
      <c r="QIH38" s="975"/>
      <c r="QII38" s="975"/>
      <c r="QIJ38" s="975"/>
      <c r="QIK38" s="975"/>
      <c r="QIL38" s="975"/>
      <c r="QIM38" s="975"/>
      <c r="QIN38" s="975"/>
      <c r="QIO38" s="975"/>
      <c r="QIP38" s="975"/>
      <c r="QIQ38" s="975"/>
      <c r="QIR38" s="975"/>
      <c r="QIS38" s="975"/>
      <c r="QIT38" s="975"/>
      <c r="QIU38" s="975"/>
      <c r="QIV38" s="975"/>
      <c r="QIW38" s="975"/>
      <c r="QIX38" s="975"/>
      <c r="QIY38" s="975"/>
      <c r="QIZ38" s="975"/>
      <c r="QJA38" s="975"/>
      <c r="QJB38" s="975"/>
      <c r="QJC38" s="975"/>
      <c r="QJD38" s="975"/>
      <c r="QJE38" s="975"/>
      <c r="QJF38" s="975"/>
      <c r="QJG38" s="975"/>
      <c r="QJH38" s="975"/>
      <c r="QJI38" s="975"/>
      <c r="QJJ38" s="975"/>
      <c r="QJK38" s="975"/>
      <c r="QJL38" s="975"/>
      <c r="QJM38" s="975"/>
      <c r="QJN38" s="975"/>
      <c r="QJO38" s="975"/>
      <c r="QJP38" s="975"/>
      <c r="QJQ38" s="975"/>
      <c r="QJR38" s="975"/>
      <c r="QJS38" s="975"/>
      <c r="QJT38" s="975"/>
      <c r="QJU38" s="975"/>
      <c r="QJV38" s="975"/>
      <c r="QJW38" s="975"/>
      <c r="QJX38" s="975"/>
      <c r="QJY38" s="975"/>
      <c r="QJZ38" s="975"/>
      <c r="QKA38" s="975"/>
      <c r="QKB38" s="975"/>
      <c r="QKC38" s="975"/>
      <c r="QKD38" s="975"/>
      <c r="QKE38" s="975"/>
      <c r="QKF38" s="975"/>
      <c r="QKG38" s="975"/>
      <c r="QKH38" s="975"/>
      <c r="QKI38" s="975"/>
      <c r="QKJ38" s="975"/>
      <c r="QKK38" s="975"/>
      <c r="QKL38" s="975"/>
      <c r="QKM38" s="975"/>
      <c r="QKN38" s="975"/>
      <c r="QKO38" s="975"/>
      <c r="QKP38" s="975"/>
      <c r="QKQ38" s="975"/>
      <c r="QKR38" s="975"/>
      <c r="QKS38" s="975"/>
      <c r="QKT38" s="975"/>
      <c r="QKU38" s="975"/>
      <c r="QKV38" s="975"/>
      <c r="QKW38" s="975"/>
      <c r="QKX38" s="975"/>
      <c r="QKY38" s="975"/>
      <c r="QKZ38" s="975"/>
      <c r="QLA38" s="975"/>
      <c r="QLB38" s="975"/>
      <c r="QLC38" s="975"/>
      <c r="QLD38" s="975"/>
      <c r="QLE38" s="975"/>
      <c r="QLF38" s="975"/>
      <c r="QLG38" s="975"/>
      <c r="QLH38" s="975"/>
      <c r="QLI38" s="975"/>
      <c r="QLJ38" s="975"/>
      <c r="QLK38" s="975"/>
      <c r="QLL38" s="975"/>
      <c r="QLM38" s="975"/>
      <c r="QLN38" s="975"/>
      <c r="QLO38" s="975"/>
      <c r="QLP38" s="975"/>
      <c r="QLQ38" s="975"/>
      <c r="QLR38" s="975"/>
      <c r="QLS38" s="975"/>
      <c r="QLT38" s="975"/>
      <c r="QLU38" s="975"/>
      <c r="QLV38" s="975"/>
      <c r="QLW38" s="975"/>
      <c r="QLX38" s="975"/>
      <c r="QLY38" s="975"/>
      <c r="QLZ38" s="975"/>
      <c r="QMA38" s="975"/>
      <c r="QMB38" s="975"/>
      <c r="QMC38" s="975"/>
      <c r="QMD38" s="975"/>
      <c r="QME38" s="975"/>
      <c r="QMF38" s="975"/>
      <c r="QMG38" s="975"/>
      <c r="QMH38" s="975"/>
      <c r="QMI38" s="975"/>
      <c r="QMJ38" s="975"/>
      <c r="QMK38" s="975"/>
      <c r="QML38" s="975"/>
      <c r="QMM38" s="975"/>
      <c r="QMN38" s="975"/>
      <c r="QMO38" s="975"/>
      <c r="QMP38" s="975"/>
      <c r="QMQ38" s="975"/>
      <c r="QMR38" s="975"/>
      <c r="QMS38" s="975"/>
      <c r="QMT38" s="975"/>
      <c r="QMU38" s="975"/>
      <c r="QMV38" s="975"/>
      <c r="QMW38" s="975"/>
      <c r="QMX38" s="975"/>
      <c r="QMY38" s="975"/>
      <c r="QMZ38" s="975"/>
      <c r="QNA38" s="975"/>
      <c r="QNB38" s="975"/>
      <c r="QNC38" s="975"/>
      <c r="QND38" s="975"/>
      <c r="QNE38" s="975"/>
      <c r="QNF38" s="975"/>
      <c r="QNG38" s="975"/>
      <c r="QNH38" s="975"/>
      <c r="QNI38" s="975"/>
      <c r="QNJ38" s="975"/>
      <c r="QNK38" s="975"/>
      <c r="QNL38" s="975"/>
      <c r="QNM38" s="975"/>
      <c r="QNN38" s="975"/>
      <c r="QNO38" s="975"/>
      <c r="QNP38" s="975"/>
      <c r="QNQ38" s="975"/>
      <c r="QNR38" s="975"/>
      <c r="QNS38" s="975"/>
      <c r="QNT38" s="975"/>
      <c r="QNU38" s="975"/>
      <c r="QNV38" s="975"/>
      <c r="QNW38" s="975"/>
      <c r="QNX38" s="975"/>
      <c r="QNY38" s="975"/>
      <c r="QNZ38" s="975"/>
      <c r="QOA38" s="975"/>
      <c r="QOB38" s="975"/>
      <c r="QOC38" s="975"/>
      <c r="QOD38" s="975"/>
      <c r="QOE38" s="975"/>
      <c r="QOF38" s="975"/>
      <c r="QOG38" s="975"/>
      <c r="QOH38" s="975"/>
      <c r="QOI38" s="975"/>
      <c r="QOJ38" s="975"/>
      <c r="QOK38" s="975"/>
      <c r="QOL38" s="975"/>
      <c r="QOM38" s="975"/>
      <c r="QON38" s="975"/>
      <c r="QOO38" s="975"/>
      <c r="QOP38" s="975"/>
      <c r="QOQ38" s="975"/>
      <c r="QOR38" s="975"/>
      <c r="QOS38" s="975"/>
      <c r="QOT38" s="975"/>
      <c r="QOU38" s="975"/>
      <c r="QOV38" s="975"/>
      <c r="QOW38" s="975"/>
      <c r="QOX38" s="975"/>
      <c r="QOY38" s="975"/>
      <c r="QOZ38" s="975"/>
      <c r="QPA38" s="975"/>
      <c r="QPB38" s="975"/>
      <c r="QPC38" s="975"/>
      <c r="QPD38" s="975"/>
      <c r="QPE38" s="975"/>
      <c r="QPF38" s="975"/>
      <c r="QPG38" s="975"/>
      <c r="QPH38" s="975"/>
      <c r="QPI38" s="975"/>
      <c r="QPJ38" s="975"/>
      <c r="QPK38" s="975"/>
      <c r="QPL38" s="975"/>
      <c r="QPM38" s="975"/>
      <c r="QPN38" s="975"/>
      <c r="QPO38" s="975"/>
      <c r="QPP38" s="975"/>
      <c r="QPQ38" s="975"/>
      <c r="QPR38" s="975"/>
      <c r="QPS38" s="975"/>
      <c r="QPT38" s="975"/>
      <c r="QPU38" s="975"/>
      <c r="QPV38" s="975"/>
      <c r="QPW38" s="975"/>
      <c r="QPX38" s="975"/>
      <c r="QPY38" s="975"/>
      <c r="QPZ38" s="975"/>
      <c r="QQA38" s="975"/>
      <c r="QQB38" s="975"/>
      <c r="QQC38" s="975"/>
      <c r="QQD38" s="975"/>
      <c r="QQE38" s="975"/>
      <c r="QQF38" s="975"/>
      <c r="QQG38" s="975"/>
      <c r="QQH38" s="975"/>
      <c r="QQI38" s="975"/>
      <c r="QQJ38" s="975"/>
      <c r="QQK38" s="975"/>
      <c r="QQL38" s="975"/>
      <c r="QQM38" s="975"/>
      <c r="QQN38" s="975"/>
      <c r="QQO38" s="975"/>
      <c r="QQP38" s="975"/>
      <c r="QQQ38" s="975"/>
      <c r="QQR38" s="975"/>
      <c r="QQS38" s="975"/>
      <c r="QQT38" s="975"/>
      <c r="QQU38" s="975"/>
      <c r="QQV38" s="975"/>
      <c r="QQW38" s="975"/>
      <c r="QQX38" s="975"/>
      <c r="QQY38" s="975"/>
      <c r="QQZ38" s="975"/>
      <c r="QRA38" s="975"/>
      <c r="QRB38" s="975"/>
      <c r="QRC38" s="975"/>
      <c r="QRD38" s="975"/>
      <c r="QRE38" s="975"/>
      <c r="QRF38" s="975"/>
      <c r="QRG38" s="975"/>
      <c r="QRH38" s="975"/>
      <c r="QRI38" s="975"/>
      <c r="QRJ38" s="975"/>
      <c r="QRK38" s="975"/>
      <c r="QRL38" s="975"/>
      <c r="QRM38" s="975"/>
      <c r="QRN38" s="975"/>
      <c r="QRO38" s="975"/>
      <c r="QRP38" s="975"/>
      <c r="QRQ38" s="975"/>
      <c r="QRR38" s="975"/>
      <c r="QRS38" s="975"/>
      <c r="QRT38" s="975"/>
      <c r="QRU38" s="975"/>
      <c r="QRV38" s="975"/>
      <c r="QRW38" s="975"/>
      <c r="QRX38" s="975"/>
      <c r="QRY38" s="975"/>
      <c r="QRZ38" s="975"/>
      <c r="QSA38" s="975"/>
      <c r="QSB38" s="975"/>
      <c r="QSC38" s="975"/>
      <c r="QSD38" s="975"/>
      <c r="QSE38" s="975"/>
      <c r="QSF38" s="975"/>
      <c r="QSG38" s="975"/>
      <c r="QSH38" s="975"/>
      <c r="QSI38" s="975"/>
      <c r="QSJ38" s="975"/>
      <c r="QSK38" s="975"/>
      <c r="QSL38" s="975"/>
      <c r="QSM38" s="975"/>
      <c r="QSN38" s="975"/>
      <c r="QSO38" s="975"/>
      <c r="QSP38" s="975"/>
      <c r="QSQ38" s="975"/>
      <c r="QSR38" s="975"/>
      <c r="QSS38" s="975"/>
      <c r="QST38" s="975"/>
      <c r="QSU38" s="975"/>
      <c r="QSV38" s="975"/>
      <c r="QSW38" s="975"/>
      <c r="QSX38" s="975"/>
      <c r="QSY38" s="975"/>
      <c r="QSZ38" s="975"/>
      <c r="QTA38" s="975"/>
      <c r="QTB38" s="975"/>
      <c r="QTC38" s="975"/>
      <c r="QTD38" s="975"/>
      <c r="QTE38" s="975"/>
      <c r="QTF38" s="975"/>
      <c r="QTG38" s="975"/>
      <c r="QTH38" s="975"/>
      <c r="QTI38" s="975"/>
      <c r="QTJ38" s="975"/>
      <c r="QTK38" s="975"/>
      <c r="QTL38" s="975"/>
      <c r="QTM38" s="975"/>
      <c r="QTN38" s="975"/>
      <c r="QTO38" s="975"/>
      <c r="QTP38" s="975"/>
      <c r="QTQ38" s="975"/>
      <c r="QTR38" s="975"/>
      <c r="QTS38" s="975"/>
      <c r="QTT38" s="975"/>
      <c r="QTU38" s="975"/>
      <c r="QTV38" s="975"/>
      <c r="QTW38" s="975"/>
      <c r="QTX38" s="975"/>
      <c r="QTY38" s="975"/>
      <c r="QTZ38" s="975"/>
      <c r="QUA38" s="975"/>
      <c r="QUB38" s="975"/>
      <c r="QUC38" s="975"/>
      <c r="QUD38" s="975"/>
      <c r="QUE38" s="975"/>
      <c r="QUF38" s="975"/>
      <c r="QUG38" s="975"/>
      <c r="QUH38" s="975"/>
      <c r="QUI38" s="975"/>
      <c r="QUJ38" s="975"/>
      <c r="QUK38" s="975"/>
      <c r="QUL38" s="975"/>
      <c r="QUM38" s="975"/>
      <c r="QUN38" s="975"/>
      <c r="QUO38" s="975"/>
      <c r="QUP38" s="975"/>
      <c r="QUQ38" s="975"/>
      <c r="QUR38" s="975"/>
      <c r="QUS38" s="975"/>
      <c r="QUT38" s="975"/>
      <c r="QUU38" s="975"/>
      <c r="QUV38" s="975"/>
      <c r="QUW38" s="975"/>
      <c r="QUX38" s="975"/>
      <c r="QUY38" s="975"/>
      <c r="QUZ38" s="975"/>
      <c r="QVA38" s="975"/>
      <c r="QVB38" s="975"/>
      <c r="QVC38" s="975"/>
      <c r="QVD38" s="975"/>
      <c r="QVE38" s="975"/>
      <c r="QVF38" s="975"/>
      <c r="QVG38" s="975"/>
      <c r="QVH38" s="975"/>
      <c r="QVI38" s="975"/>
      <c r="QVJ38" s="975"/>
      <c r="QVK38" s="975"/>
      <c r="QVL38" s="975"/>
      <c r="QVM38" s="975"/>
      <c r="QVN38" s="975"/>
      <c r="QVO38" s="975"/>
      <c r="QVP38" s="975"/>
      <c r="QVQ38" s="975"/>
      <c r="QVR38" s="975"/>
      <c r="QVS38" s="975"/>
      <c r="QVT38" s="975"/>
      <c r="QVU38" s="975"/>
      <c r="QVV38" s="975"/>
      <c r="QVW38" s="975"/>
      <c r="QVX38" s="975"/>
      <c r="QVY38" s="975"/>
      <c r="QVZ38" s="975"/>
      <c r="QWA38" s="975"/>
      <c r="QWB38" s="975"/>
      <c r="QWC38" s="975"/>
      <c r="QWD38" s="975"/>
      <c r="QWE38" s="975"/>
      <c r="QWF38" s="975"/>
      <c r="QWG38" s="975"/>
      <c r="QWH38" s="975"/>
      <c r="QWI38" s="975"/>
      <c r="QWJ38" s="975"/>
      <c r="QWK38" s="975"/>
      <c r="QWL38" s="975"/>
      <c r="QWM38" s="975"/>
      <c r="QWN38" s="975"/>
      <c r="QWO38" s="975"/>
      <c r="QWP38" s="975"/>
      <c r="QWQ38" s="975"/>
      <c r="QWR38" s="975"/>
      <c r="QWS38" s="975"/>
      <c r="QWT38" s="975"/>
      <c r="QWU38" s="975"/>
      <c r="QWV38" s="975"/>
      <c r="QWW38" s="975"/>
      <c r="QWX38" s="975"/>
      <c r="QWY38" s="975"/>
      <c r="QWZ38" s="975"/>
      <c r="QXA38" s="975"/>
      <c r="QXB38" s="975"/>
      <c r="QXC38" s="975"/>
      <c r="QXD38" s="975"/>
      <c r="QXE38" s="975"/>
      <c r="QXF38" s="975"/>
      <c r="QXG38" s="975"/>
      <c r="QXH38" s="975"/>
      <c r="QXI38" s="975"/>
      <c r="QXJ38" s="975"/>
      <c r="QXK38" s="975"/>
      <c r="QXL38" s="975"/>
      <c r="QXM38" s="975"/>
      <c r="QXN38" s="975"/>
      <c r="QXO38" s="975"/>
      <c r="QXP38" s="975"/>
      <c r="QXQ38" s="975"/>
      <c r="QXR38" s="975"/>
      <c r="QXS38" s="975"/>
      <c r="QXT38" s="975"/>
      <c r="QXU38" s="975"/>
      <c r="QXV38" s="975"/>
      <c r="QXW38" s="975"/>
      <c r="QXX38" s="975"/>
      <c r="QXY38" s="975"/>
      <c r="QXZ38" s="975"/>
      <c r="QYA38" s="975"/>
      <c r="QYB38" s="975"/>
      <c r="QYC38" s="975"/>
      <c r="QYD38" s="975"/>
      <c r="QYE38" s="975"/>
      <c r="QYF38" s="975"/>
      <c r="QYG38" s="975"/>
      <c r="QYH38" s="975"/>
      <c r="QYI38" s="975"/>
      <c r="QYJ38" s="975"/>
      <c r="QYK38" s="975"/>
      <c r="QYL38" s="975"/>
      <c r="QYM38" s="975"/>
      <c r="QYN38" s="975"/>
      <c r="QYO38" s="975"/>
      <c r="QYP38" s="975"/>
      <c r="QYQ38" s="975"/>
      <c r="QYR38" s="975"/>
      <c r="QYS38" s="975"/>
      <c r="QYT38" s="975"/>
      <c r="QYU38" s="975"/>
      <c r="QYV38" s="975"/>
      <c r="QYW38" s="975"/>
      <c r="QYX38" s="975"/>
      <c r="QYY38" s="975"/>
      <c r="QYZ38" s="975"/>
      <c r="QZA38" s="975"/>
      <c r="QZB38" s="975"/>
      <c r="QZC38" s="975"/>
      <c r="QZD38" s="975"/>
      <c r="QZE38" s="975"/>
      <c r="QZF38" s="975"/>
      <c r="QZG38" s="975"/>
      <c r="QZH38" s="975"/>
      <c r="QZI38" s="975"/>
      <c r="QZJ38" s="975"/>
      <c r="QZK38" s="975"/>
      <c r="QZL38" s="975"/>
      <c r="QZM38" s="975"/>
      <c r="QZN38" s="975"/>
      <c r="QZO38" s="975"/>
      <c r="QZP38" s="975"/>
      <c r="QZQ38" s="975"/>
      <c r="QZR38" s="975"/>
      <c r="QZS38" s="975"/>
      <c r="QZT38" s="975"/>
      <c r="QZU38" s="975"/>
      <c r="QZV38" s="975"/>
      <c r="QZW38" s="975"/>
      <c r="QZX38" s="975"/>
      <c r="QZY38" s="975"/>
      <c r="QZZ38" s="975"/>
      <c r="RAA38" s="975"/>
      <c r="RAB38" s="975"/>
      <c r="RAC38" s="975"/>
      <c r="RAD38" s="975"/>
      <c r="RAE38" s="975"/>
      <c r="RAF38" s="975"/>
      <c r="RAG38" s="975"/>
      <c r="RAH38" s="975"/>
      <c r="RAI38" s="975"/>
      <c r="RAJ38" s="975"/>
      <c r="RAK38" s="975"/>
      <c r="RAL38" s="975"/>
      <c r="RAM38" s="975"/>
      <c r="RAN38" s="975"/>
      <c r="RAO38" s="975"/>
      <c r="RAP38" s="975"/>
      <c r="RAQ38" s="975"/>
      <c r="RAR38" s="975"/>
      <c r="RAS38" s="975"/>
      <c r="RAT38" s="975"/>
      <c r="RAU38" s="975"/>
      <c r="RAV38" s="975"/>
      <c r="RAW38" s="975"/>
      <c r="RAX38" s="975"/>
      <c r="RAY38" s="975"/>
      <c r="RAZ38" s="975"/>
      <c r="RBA38" s="975"/>
      <c r="RBB38" s="975"/>
      <c r="RBC38" s="975"/>
      <c r="RBD38" s="975"/>
      <c r="RBE38" s="975"/>
      <c r="RBF38" s="975"/>
      <c r="RBG38" s="975"/>
      <c r="RBH38" s="975"/>
      <c r="RBI38" s="975"/>
      <c r="RBJ38" s="975"/>
      <c r="RBK38" s="975"/>
      <c r="RBL38" s="975"/>
      <c r="RBM38" s="975"/>
      <c r="RBN38" s="975"/>
      <c r="RBO38" s="975"/>
      <c r="RBP38" s="975"/>
      <c r="RBQ38" s="975"/>
      <c r="RBR38" s="975"/>
      <c r="RBS38" s="975"/>
      <c r="RBT38" s="975"/>
      <c r="RBU38" s="975"/>
      <c r="RBV38" s="975"/>
      <c r="RBW38" s="975"/>
      <c r="RBX38" s="975"/>
      <c r="RBY38" s="975"/>
      <c r="RBZ38" s="975"/>
      <c r="RCA38" s="975"/>
      <c r="RCB38" s="975"/>
      <c r="RCC38" s="975"/>
      <c r="RCD38" s="975"/>
      <c r="RCE38" s="975"/>
      <c r="RCF38" s="975"/>
      <c r="RCG38" s="975"/>
      <c r="RCH38" s="975"/>
      <c r="RCI38" s="975"/>
      <c r="RCJ38" s="975"/>
      <c r="RCK38" s="975"/>
      <c r="RCL38" s="975"/>
      <c r="RCM38" s="975"/>
      <c r="RCN38" s="975"/>
      <c r="RCO38" s="975"/>
      <c r="RCP38" s="975"/>
      <c r="RCQ38" s="975"/>
      <c r="RCR38" s="975"/>
      <c r="RCS38" s="975"/>
      <c r="RCT38" s="975"/>
      <c r="RCU38" s="975"/>
      <c r="RCV38" s="975"/>
      <c r="RCW38" s="975"/>
      <c r="RCX38" s="975"/>
      <c r="RCY38" s="975"/>
      <c r="RCZ38" s="975"/>
      <c r="RDA38" s="975"/>
      <c r="RDB38" s="975"/>
      <c r="RDC38" s="975"/>
      <c r="RDD38" s="975"/>
      <c r="RDE38" s="975"/>
      <c r="RDF38" s="975"/>
      <c r="RDG38" s="975"/>
      <c r="RDH38" s="975"/>
      <c r="RDI38" s="975"/>
      <c r="RDJ38" s="975"/>
      <c r="RDK38" s="975"/>
      <c r="RDL38" s="975"/>
      <c r="RDM38" s="975"/>
      <c r="RDN38" s="975"/>
      <c r="RDO38" s="975"/>
      <c r="RDP38" s="975"/>
      <c r="RDQ38" s="975"/>
      <c r="RDR38" s="975"/>
      <c r="RDS38" s="975"/>
      <c r="RDT38" s="975"/>
      <c r="RDU38" s="975"/>
      <c r="RDV38" s="975"/>
      <c r="RDW38" s="975"/>
      <c r="RDX38" s="975"/>
      <c r="RDY38" s="975"/>
      <c r="RDZ38" s="975"/>
      <c r="REA38" s="975"/>
      <c r="REB38" s="975"/>
      <c r="REC38" s="975"/>
      <c r="RED38" s="975"/>
      <c r="REE38" s="975"/>
      <c r="REF38" s="975"/>
      <c r="REG38" s="975"/>
      <c r="REH38" s="975"/>
      <c r="REI38" s="975"/>
      <c r="REJ38" s="975"/>
      <c r="REK38" s="975"/>
      <c r="REL38" s="975"/>
      <c r="REM38" s="975"/>
      <c r="REN38" s="975"/>
      <c r="REO38" s="975"/>
      <c r="REP38" s="975"/>
      <c r="REQ38" s="975"/>
      <c r="RER38" s="975"/>
      <c r="RES38" s="975"/>
      <c r="RET38" s="975"/>
      <c r="REU38" s="975"/>
      <c r="REV38" s="975"/>
      <c r="REW38" s="975"/>
      <c r="REX38" s="975"/>
      <c r="REY38" s="975"/>
      <c r="REZ38" s="975"/>
      <c r="RFA38" s="975"/>
      <c r="RFB38" s="975"/>
      <c r="RFC38" s="975"/>
      <c r="RFD38" s="975"/>
      <c r="RFE38" s="975"/>
      <c r="RFF38" s="975"/>
      <c r="RFG38" s="975"/>
      <c r="RFH38" s="975"/>
      <c r="RFI38" s="975"/>
      <c r="RFJ38" s="975"/>
      <c r="RFK38" s="975"/>
      <c r="RFL38" s="975"/>
      <c r="RFM38" s="975"/>
      <c r="RFN38" s="975"/>
      <c r="RFO38" s="975"/>
      <c r="RFP38" s="975"/>
      <c r="RFQ38" s="975"/>
      <c r="RFR38" s="975"/>
      <c r="RFS38" s="975"/>
      <c r="RFT38" s="975"/>
      <c r="RFU38" s="975"/>
      <c r="RFV38" s="975"/>
      <c r="RFW38" s="975"/>
      <c r="RFX38" s="975"/>
      <c r="RFY38" s="975"/>
      <c r="RFZ38" s="975"/>
      <c r="RGA38" s="975"/>
      <c r="RGB38" s="975"/>
      <c r="RGC38" s="975"/>
      <c r="RGD38" s="975"/>
      <c r="RGE38" s="975"/>
      <c r="RGF38" s="975"/>
      <c r="RGG38" s="975"/>
      <c r="RGH38" s="975"/>
      <c r="RGI38" s="975"/>
      <c r="RGJ38" s="975"/>
      <c r="RGK38" s="975"/>
      <c r="RGL38" s="975"/>
      <c r="RGM38" s="975"/>
      <c r="RGN38" s="975"/>
      <c r="RGO38" s="975"/>
      <c r="RGP38" s="975"/>
      <c r="RGQ38" s="975"/>
      <c r="RGR38" s="975"/>
      <c r="RGS38" s="975"/>
      <c r="RGT38" s="975"/>
      <c r="RGU38" s="975"/>
      <c r="RGV38" s="975"/>
      <c r="RGW38" s="975"/>
      <c r="RGX38" s="975"/>
      <c r="RGY38" s="975"/>
      <c r="RGZ38" s="975"/>
      <c r="RHA38" s="975"/>
      <c r="RHB38" s="975"/>
      <c r="RHC38" s="975"/>
      <c r="RHD38" s="975"/>
      <c r="RHE38" s="975"/>
      <c r="RHF38" s="975"/>
      <c r="RHG38" s="975"/>
      <c r="RHH38" s="975"/>
      <c r="RHI38" s="975"/>
      <c r="RHJ38" s="975"/>
      <c r="RHK38" s="975"/>
      <c r="RHL38" s="975"/>
      <c r="RHM38" s="975"/>
      <c r="RHN38" s="975"/>
      <c r="RHO38" s="975"/>
      <c r="RHP38" s="975"/>
      <c r="RHQ38" s="975"/>
      <c r="RHR38" s="975"/>
      <c r="RHS38" s="975"/>
      <c r="RHT38" s="975"/>
      <c r="RHU38" s="975"/>
      <c r="RHV38" s="975"/>
      <c r="RHW38" s="975"/>
      <c r="RHX38" s="975"/>
      <c r="RHY38" s="975"/>
      <c r="RHZ38" s="975"/>
      <c r="RIA38" s="975"/>
      <c r="RIB38" s="975"/>
      <c r="RIC38" s="975"/>
      <c r="RID38" s="975"/>
      <c r="RIE38" s="975"/>
      <c r="RIF38" s="975"/>
      <c r="RIG38" s="975"/>
      <c r="RIH38" s="975"/>
      <c r="RII38" s="975"/>
      <c r="RIJ38" s="975"/>
      <c r="RIK38" s="975"/>
      <c r="RIL38" s="975"/>
      <c r="RIM38" s="975"/>
      <c r="RIN38" s="975"/>
      <c r="RIO38" s="975"/>
      <c r="RIP38" s="975"/>
      <c r="RIQ38" s="975"/>
      <c r="RIR38" s="975"/>
      <c r="RIS38" s="975"/>
      <c r="RIT38" s="975"/>
      <c r="RIU38" s="975"/>
      <c r="RIV38" s="975"/>
      <c r="RIW38" s="975"/>
      <c r="RIX38" s="975"/>
      <c r="RIY38" s="975"/>
      <c r="RIZ38" s="975"/>
      <c r="RJA38" s="975"/>
      <c r="RJB38" s="975"/>
      <c r="RJC38" s="975"/>
      <c r="RJD38" s="975"/>
      <c r="RJE38" s="975"/>
      <c r="RJF38" s="975"/>
      <c r="RJG38" s="975"/>
      <c r="RJH38" s="975"/>
      <c r="RJI38" s="975"/>
      <c r="RJJ38" s="975"/>
      <c r="RJK38" s="975"/>
      <c r="RJL38" s="975"/>
      <c r="RJM38" s="975"/>
      <c r="RJN38" s="975"/>
      <c r="RJO38" s="975"/>
      <c r="RJP38" s="975"/>
      <c r="RJQ38" s="975"/>
      <c r="RJR38" s="975"/>
      <c r="RJS38" s="975"/>
      <c r="RJT38" s="975"/>
      <c r="RJU38" s="975"/>
      <c r="RJV38" s="975"/>
      <c r="RJW38" s="975"/>
      <c r="RJX38" s="975"/>
      <c r="RJY38" s="975"/>
      <c r="RJZ38" s="975"/>
      <c r="RKA38" s="975"/>
      <c r="RKB38" s="975"/>
      <c r="RKC38" s="975"/>
      <c r="RKD38" s="975"/>
      <c r="RKE38" s="975"/>
      <c r="RKF38" s="975"/>
      <c r="RKG38" s="975"/>
      <c r="RKH38" s="975"/>
      <c r="RKI38" s="975"/>
      <c r="RKJ38" s="975"/>
      <c r="RKK38" s="975"/>
      <c r="RKL38" s="975"/>
      <c r="RKM38" s="975"/>
      <c r="RKN38" s="975"/>
      <c r="RKO38" s="975"/>
      <c r="RKP38" s="975"/>
      <c r="RKQ38" s="975"/>
      <c r="RKR38" s="975"/>
      <c r="RKS38" s="975"/>
      <c r="RKT38" s="975"/>
      <c r="RKU38" s="975"/>
      <c r="RKV38" s="975"/>
      <c r="RKW38" s="975"/>
      <c r="RKX38" s="975"/>
      <c r="RKY38" s="975"/>
      <c r="RKZ38" s="975"/>
      <c r="RLA38" s="975"/>
      <c r="RLB38" s="975"/>
      <c r="RLC38" s="975"/>
      <c r="RLD38" s="975"/>
      <c r="RLE38" s="975"/>
      <c r="RLF38" s="975"/>
      <c r="RLG38" s="975"/>
      <c r="RLH38" s="975"/>
      <c r="RLI38" s="975"/>
      <c r="RLJ38" s="975"/>
      <c r="RLK38" s="975"/>
      <c r="RLL38" s="975"/>
      <c r="RLM38" s="975"/>
      <c r="RLN38" s="975"/>
      <c r="RLO38" s="975"/>
      <c r="RLP38" s="975"/>
      <c r="RLQ38" s="975"/>
      <c r="RLR38" s="975"/>
      <c r="RLS38" s="975"/>
      <c r="RLT38" s="975"/>
      <c r="RLU38" s="975"/>
      <c r="RLV38" s="975"/>
      <c r="RLW38" s="975"/>
      <c r="RLX38" s="975"/>
      <c r="RLY38" s="975"/>
      <c r="RLZ38" s="975"/>
      <c r="RMA38" s="975"/>
      <c r="RMB38" s="975"/>
      <c r="RMC38" s="975"/>
      <c r="RMD38" s="975"/>
      <c r="RME38" s="975"/>
      <c r="RMF38" s="975"/>
      <c r="RMG38" s="975"/>
      <c r="RMH38" s="975"/>
      <c r="RMI38" s="975"/>
      <c r="RMJ38" s="975"/>
      <c r="RMK38" s="975"/>
      <c r="RML38" s="975"/>
      <c r="RMM38" s="975"/>
      <c r="RMN38" s="975"/>
      <c r="RMO38" s="975"/>
      <c r="RMP38" s="975"/>
      <c r="RMQ38" s="975"/>
      <c r="RMR38" s="975"/>
      <c r="RMS38" s="975"/>
      <c r="RMT38" s="975"/>
      <c r="RMU38" s="975"/>
      <c r="RMV38" s="975"/>
      <c r="RMW38" s="975"/>
      <c r="RMX38" s="975"/>
      <c r="RMY38" s="975"/>
      <c r="RMZ38" s="975"/>
      <c r="RNA38" s="975"/>
      <c r="RNB38" s="975"/>
      <c r="RNC38" s="975"/>
      <c r="RND38" s="975"/>
      <c r="RNE38" s="975"/>
      <c r="RNF38" s="975"/>
      <c r="RNG38" s="975"/>
      <c r="RNH38" s="975"/>
      <c r="RNI38" s="975"/>
      <c r="RNJ38" s="975"/>
      <c r="RNK38" s="975"/>
      <c r="RNL38" s="975"/>
      <c r="RNM38" s="975"/>
      <c r="RNN38" s="975"/>
      <c r="RNO38" s="975"/>
      <c r="RNP38" s="975"/>
      <c r="RNQ38" s="975"/>
      <c r="RNR38" s="975"/>
      <c r="RNS38" s="975"/>
      <c r="RNT38" s="975"/>
      <c r="RNU38" s="975"/>
      <c r="RNV38" s="975"/>
      <c r="RNW38" s="975"/>
      <c r="RNX38" s="975"/>
      <c r="RNY38" s="975"/>
      <c r="RNZ38" s="975"/>
      <c r="ROA38" s="975"/>
      <c r="ROB38" s="975"/>
      <c r="ROC38" s="975"/>
      <c r="ROD38" s="975"/>
      <c r="ROE38" s="975"/>
      <c r="ROF38" s="975"/>
      <c r="ROG38" s="975"/>
      <c r="ROH38" s="975"/>
      <c r="ROI38" s="975"/>
      <c r="ROJ38" s="975"/>
      <c r="ROK38" s="975"/>
      <c r="ROL38" s="975"/>
      <c r="ROM38" s="975"/>
      <c r="RON38" s="975"/>
      <c r="ROO38" s="975"/>
      <c r="ROP38" s="975"/>
      <c r="ROQ38" s="975"/>
      <c r="ROR38" s="975"/>
      <c r="ROS38" s="975"/>
      <c r="ROT38" s="975"/>
      <c r="ROU38" s="975"/>
      <c r="ROV38" s="975"/>
      <c r="ROW38" s="975"/>
      <c r="ROX38" s="975"/>
      <c r="ROY38" s="975"/>
      <c r="ROZ38" s="975"/>
      <c r="RPA38" s="975"/>
      <c r="RPB38" s="975"/>
      <c r="RPC38" s="975"/>
      <c r="RPD38" s="975"/>
      <c r="RPE38" s="975"/>
      <c r="RPF38" s="975"/>
      <c r="RPG38" s="975"/>
      <c r="RPH38" s="975"/>
      <c r="RPI38" s="975"/>
      <c r="RPJ38" s="975"/>
      <c r="RPK38" s="975"/>
      <c r="RPL38" s="975"/>
      <c r="RPM38" s="975"/>
      <c r="RPN38" s="975"/>
      <c r="RPO38" s="975"/>
      <c r="RPP38" s="975"/>
      <c r="RPQ38" s="975"/>
      <c r="RPR38" s="975"/>
      <c r="RPS38" s="975"/>
      <c r="RPT38" s="975"/>
      <c r="RPU38" s="975"/>
      <c r="RPV38" s="975"/>
      <c r="RPW38" s="975"/>
      <c r="RPX38" s="975"/>
      <c r="RPY38" s="975"/>
      <c r="RPZ38" s="975"/>
      <c r="RQA38" s="975"/>
      <c r="RQB38" s="975"/>
      <c r="RQC38" s="975"/>
      <c r="RQD38" s="975"/>
      <c r="RQE38" s="975"/>
      <c r="RQF38" s="975"/>
      <c r="RQG38" s="975"/>
      <c r="RQH38" s="975"/>
      <c r="RQI38" s="975"/>
      <c r="RQJ38" s="975"/>
      <c r="RQK38" s="975"/>
      <c r="RQL38" s="975"/>
      <c r="RQM38" s="975"/>
      <c r="RQN38" s="975"/>
      <c r="RQO38" s="975"/>
      <c r="RQP38" s="975"/>
      <c r="RQQ38" s="975"/>
      <c r="RQR38" s="975"/>
      <c r="RQS38" s="975"/>
      <c r="RQT38" s="975"/>
      <c r="RQU38" s="975"/>
      <c r="RQV38" s="975"/>
      <c r="RQW38" s="975"/>
      <c r="RQX38" s="975"/>
      <c r="RQY38" s="975"/>
      <c r="RQZ38" s="975"/>
      <c r="RRA38" s="975"/>
      <c r="RRB38" s="975"/>
      <c r="RRC38" s="975"/>
      <c r="RRD38" s="975"/>
      <c r="RRE38" s="975"/>
      <c r="RRF38" s="975"/>
      <c r="RRG38" s="975"/>
      <c r="RRH38" s="975"/>
      <c r="RRI38" s="975"/>
      <c r="RRJ38" s="975"/>
      <c r="RRK38" s="975"/>
      <c r="RRL38" s="975"/>
      <c r="RRM38" s="975"/>
      <c r="RRN38" s="975"/>
      <c r="RRO38" s="975"/>
      <c r="RRP38" s="975"/>
      <c r="RRQ38" s="975"/>
      <c r="RRR38" s="975"/>
      <c r="RRS38" s="975"/>
      <c r="RRT38" s="975"/>
      <c r="RRU38" s="975"/>
      <c r="RRV38" s="975"/>
      <c r="RRW38" s="975"/>
      <c r="RRX38" s="975"/>
      <c r="RRY38" s="975"/>
      <c r="RRZ38" s="975"/>
      <c r="RSA38" s="975"/>
      <c r="RSB38" s="975"/>
      <c r="RSC38" s="975"/>
      <c r="RSD38" s="975"/>
      <c r="RSE38" s="975"/>
      <c r="RSF38" s="975"/>
      <c r="RSG38" s="975"/>
      <c r="RSH38" s="975"/>
      <c r="RSI38" s="975"/>
      <c r="RSJ38" s="975"/>
      <c r="RSK38" s="975"/>
      <c r="RSL38" s="975"/>
      <c r="RSM38" s="975"/>
      <c r="RSN38" s="975"/>
      <c r="RSO38" s="975"/>
      <c r="RSP38" s="975"/>
      <c r="RSQ38" s="975"/>
      <c r="RSR38" s="975"/>
      <c r="RSS38" s="975"/>
      <c r="RST38" s="975"/>
      <c r="RSU38" s="975"/>
      <c r="RSV38" s="975"/>
      <c r="RSW38" s="975"/>
      <c r="RSX38" s="975"/>
      <c r="RSY38" s="975"/>
      <c r="RSZ38" s="975"/>
      <c r="RTA38" s="975"/>
      <c r="RTB38" s="975"/>
      <c r="RTC38" s="975"/>
      <c r="RTD38" s="975"/>
      <c r="RTE38" s="975"/>
      <c r="RTF38" s="975"/>
      <c r="RTG38" s="975"/>
      <c r="RTH38" s="975"/>
      <c r="RTI38" s="975"/>
      <c r="RTJ38" s="975"/>
      <c r="RTK38" s="975"/>
      <c r="RTL38" s="975"/>
      <c r="RTM38" s="975"/>
      <c r="RTN38" s="975"/>
      <c r="RTO38" s="975"/>
      <c r="RTP38" s="975"/>
      <c r="RTQ38" s="975"/>
      <c r="RTR38" s="975"/>
      <c r="RTS38" s="975"/>
      <c r="RTT38" s="975"/>
      <c r="RTU38" s="975"/>
      <c r="RTV38" s="975"/>
      <c r="RTW38" s="975"/>
      <c r="RTX38" s="975"/>
      <c r="RTY38" s="975"/>
      <c r="RTZ38" s="975"/>
      <c r="RUA38" s="975"/>
      <c r="RUB38" s="975"/>
      <c r="RUC38" s="975"/>
      <c r="RUD38" s="975"/>
      <c r="RUE38" s="975"/>
      <c r="RUF38" s="975"/>
      <c r="RUG38" s="975"/>
      <c r="RUH38" s="975"/>
      <c r="RUI38" s="975"/>
      <c r="RUJ38" s="975"/>
      <c r="RUK38" s="975"/>
      <c r="RUL38" s="975"/>
      <c r="RUM38" s="975"/>
      <c r="RUN38" s="975"/>
      <c r="RUO38" s="975"/>
      <c r="RUP38" s="975"/>
      <c r="RUQ38" s="975"/>
      <c r="RUR38" s="975"/>
      <c r="RUS38" s="975"/>
      <c r="RUT38" s="975"/>
      <c r="RUU38" s="975"/>
      <c r="RUV38" s="975"/>
      <c r="RUW38" s="975"/>
      <c r="RUX38" s="975"/>
      <c r="RUY38" s="975"/>
      <c r="RUZ38" s="975"/>
      <c r="RVA38" s="975"/>
      <c r="RVB38" s="975"/>
      <c r="RVC38" s="975"/>
      <c r="RVD38" s="975"/>
      <c r="RVE38" s="975"/>
      <c r="RVF38" s="975"/>
      <c r="RVG38" s="975"/>
      <c r="RVH38" s="975"/>
      <c r="RVI38" s="975"/>
      <c r="RVJ38" s="975"/>
      <c r="RVK38" s="975"/>
      <c r="RVL38" s="975"/>
      <c r="RVM38" s="975"/>
      <c r="RVN38" s="975"/>
      <c r="RVO38" s="975"/>
      <c r="RVP38" s="975"/>
      <c r="RVQ38" s="975"/>
      <c r="RVR38" s="975"/>
      <c r="RVS38" s="975"/>
      <c r="RVT38" s="975"/>
      <c r="RVU38" s="975"/>
      <c r="RVV38" s="975"/>
      <c r="RVW38" s="975"/>
      <c r="RVX38" s="975"/>
      <c r="RVY38" s="975"/>
      <c r="RVZ38" s="975"/>
      <c r="RWA38" s="975"/>
      <c r="RWB38" s="975"/>
      <c r="RWC38" s="975"/>
      <c r="RWD38" s="975"/>
      <c r="RWE38" s="975"/>
      <c r="RWF38" s="975"/>
      <c r="RWG38" s="975"/>
      <c r="RWH38" s="975"/>
      <c r="RWI38" s="975"/>
      <c r="RWJ38" s="975"/>
      <c r="RWK38" s="975"/>
      <c r="RWL38" s="975"/>
      <c r="RWM38" s="975"/>
      <c r="RWN38" s="975"/>
      <c r="RWO38" s="975"/>
      <c r="RWP38" s="975"/>
      <c r="RWQ38" s="975"/>
      <c r="RWR38" s="975"/>
      <c r="RWS38" s="975"/>
      <c r="RWT38" s="975"/>
      <c r="RWU38" s="975"/>
      <c r="RWV38" s="975"/>
      <c r="RWW38" s="975"/>
      <c r="RWX38" s="975"/>
      <c r="RWY38" s="975"/>
      <c r="RWZ38" s="975"/>
      <c r="RXA38" s="975"/>
      <c r="RXB38" s="975"/>
      <c r="RXC38" s="975"/>
      <c r="RXD38" s="975"/>
      <c r="RXE38" s="975"/>
      <c r="RXF38" s="975"/>
      <c r="RXG38" s="975"/>
      <c r="RXH38" s="975"/>
      <c r="RXI38" s="975"/>
      <c r="RXJ38" s="975"/>
      <c r="RXK38" s="975"/>
      <c r="RXL38" s="975"/>
      <c r="RXM38" s="975"/>
      <c r="RXN38" s="975"/>
      <c r="RXO38" s="975"/>
      <c r="RXP38" s="975"/>
      <c r="RXQ38" s="975"/>
      <c r="RXR38" s="975"/>
      <c r="RXS38" s="975"/>
      <c r="RXT38" s="975"/>
      <c r="RXU38" s="975"/>
      <c r="RXV38" s="975"/>
      <c r="RXW38" s="975"/>
      <c r="RXX38" s="975"/>
      <c r="RXY38" s="975"/>
      <c r="RXZ38" s="975"/>
      <c r="RYA38" s="975"/>
      <c r="RYB38" s="975"/>
      <c r="RYC38" s="975"/>
      <c r="RYD38" s="975"/>
      <c r="RYE38" s="975"/>
      <c r="RYF38" s="975"/>
      <c r="RYG38" s="975"/>
      <c r="RYH38" s="975"/>
      <c r="RYI38" s="975"/>
      <c r="RYJ38" s="975"/>
      <c r="RYK38" s="975"/>
      <c r="RYL38" s="975"/>
      <c r="RYM38" s="975"/>
      <c r="RYN38" s="975"/>
      <c r="RYO38" s="975"/>
      <c r="RYP38" s="975"/>
      <c r="RYQ38" s="975"/>
      <c r="RYR38" s="975"/>
      <c r="RYS38" s="975"/>
      <c r="RYT38" s="975"/>
      <c r="RYU38" s="975"/>
      <c r="RYV38" s="975"/>
      <c r="RYW38" s="975"/>
      <c r="RYX38" s="975"/>
      <c r="RYY38" s="975"/>
      <c r="RYZ38" s="975"/>
      <c r="RZA38" s="975"/>
      <c r="RZB38" s="975"/>
      <c r="RZC38" s="975"/>
      <c r="RZD38" s="975"/>
      <c r="RZE38" s="975"/>
      <c r="RZF38" s="975"/>
      <c r="RZG38" s="975"/>
      <c r="RZH38" s="975"/>
      <c r="RZI38" s="975"/>
      <c r="RZJ38" s="975"/>
      <c r="RZK38" s="975"/>
      <c r="RZL38" s="975"/>
      <c r="RZM38" s="975"/>
      <c r="RZN38" s="975"/>
      <c r="RZO38" s="975"/>
      <c r="RZP38" s="975"/>
      <c r="RZQ38" s="975"/>
      <c r="RZR38" s="975"/>
      <c r="RZS38" s="975"/>
      <c r="RZT38" s="975"/>
      <c r="RZU38" s="975"/>
      <c r="RZV38" s="975"/>
      <c r="RZW38" s="975"/>
      <c r="RZX38" s="975"/>
      <c r="RZY38" s="975"/>
      <c r="RZZ38" s="975"/>
      <c r="SAA38" s="975"/>
      <c r="SAB38" s="975"/>
      <c r="SAC38" s="975"/>
      <c r="SAD38" s="975"/>
      <c r="SAE38" s="975"/>
      <c r="SAF38" s="975"/>
      <c r="SAG38" s="975"/>
      <c r="SAH38" s="975"/>
      <c r="SAI38" s="975"/>
      <c r="SAJ38" s="975"/>
      <c r="SAK38" s="975"/>
      <c r="SAL38" s="975"/>
      <c r="SAM38" s="975"/>
      <c r="SAN38" s="975"/>
      <c r="SAO38" s="975"/>
      <c r="SAP38" s="975"/>
      <c r="SAQ38" s="975"/>
      <c r="SAR38" s="975"/>
      <c r="SAS38" s="975"/>
      <c r="SAT38" s="975"/>
      <c r="SAU38" s="975"/>
      <c r="SAV38" s="975"/>
      <c r="SAW38" s="975"/>
      <c r="SAX38" s="975"/>
      <c r="SAY38" s="975"/>
      <c r="SAZ38" s="975"/>
      <c r="SBA38" s="975"/>
      <c r="SBB38" s="975"/>
      <c r="SBC38" s="975"/>
      <c r="SBD38" s="975"/>
      <c r="SBE38" s="975"/>
      <c r="SBF38" s="975"/>
      <c r="SBG38" s="975"/>
      <c r="SBH38" s="975"/>
      <c r="SBI38" s="975"/>
      <c r="SBJ38" s="975"/>
      <c r="SBK38" s="975"/>
      <c r="SBL38" s="975"/>
      <c r="SBM38" s="975"/>
      <c r="SBN38" s="975"/>
      <c r="SBO38" s="975"/>
      <c r="SBP38" s="975"/>
      <c r="SBQ38" s="975"/>
      <c r="SBR38" s="975"/>
      <c r="SBS38" s="975"/>
      <c r="SBT38" s="975"/>
      <c r="SBU38" s="975"/>
      <c r="SBV38" s="975"/>
      <c r="SBW38" s="975"/>
      <c r="SBX38" s="975"/>
      <c r="SBY38" s="975"/>
      <c r="SBZ38" s="975"/>
      <c r="SCA38" s="975"/>
      <c r="SCB38" s="975"/>
      <c r="SCC38" s="975"/>
      <c r="SCD38" s="975"/>
      <c r="SCE38" s="975"/>
      <c r="SCF38" s="975"/>
      <c r="SCG38" s="975"/>
      <c r="SCH38" s="975"/>
      <c r="SCI38" s="975"/>
      <c r="SCJ38" s="975"/>
      <c r="SCK38" s="975"/>
      <c r="SCL38" s="975"/>
      <c r="SCM38" s="975"/>
      <c r="SCN38" s="975"/>
      <c r="SCO38" s="975"/>
      <c r="SCP38" s="975"/>
      <c r="SCQ38" s="975"/>
      <c r="SCR38" s="975"/>
      <c r="SCS38" s="975"/>
      <c r="SCT38" s="975"/>
      <c r="SCU38" s="975"/>
      <c r="SCV38" s="975"/>
      <c r="SCW38" s="975"/>
      <c r="SCX38" s="975"/>
      <c r="SCY38" s="975"/>
      <c r="SCZ38" s="975"/>
      <c r="SDA38" s="975"/>
      <c r="SDB38" s="975"/>
      <c r="SDC38" s="975"/>
      <c r="SDD38" s="975"/>
      <c r="SDE38" s="975"/>
      <c r="SDF38" s="975"/>
      <c r="SDG38" s="975"/>
      <c r="SDH38" s="975"/>
      <c r="SDI38" s="975"/>
      <c r="SDJ38" s="975"/>
      <c r="SDK38" s="975"/>
      <c r="SDL38" s="975"/>
      <c r="SDM38" s="975"/>
      <c r="SDN38" s="975"/>
      <c r="SDO38" s="975"/>
      <c r="SDP38" s="975"/>
      <c r="SDQ38" s="975"/>
      <c r="SDR38" s="975"/>
      <c r="SDS38" s="975"/>
      <c r="SDT38" s="975"/>
      <c r="SDU38" s="975"/>
      <c r="SDV38" s="975"/>
      <c r="SDW38" s="975"/>
      <c r="SDX38" s="975"/>
      <c r="SDY38" s="975"/>
      <c r="SDZ38" s="975"/>
      <c r="SEA38" s="975"/>
      <c r="SEB38" s="975"/>
      <c r="SEC38" s="975"/>
      <c r="SED38" s="975"/>
      <c r="SEE38" s="975"/>
      <c r="SEF38" s="975"/>
      <c r="SEG38" s="975"/>
      <c r="SEH38" s="975"/>
      <c r="SEI38" s="975"/>
      <c r="SEJ38" s="975"/>
      <c r="SEK38" s="975"/>
      <c r="SEL38" s="975"/>
      <c r="SEM38" s="975"/>
      <c r="SEN38" s="975"/>
      <c r="SEO38" s="975"/>
      <c r="SEP38" s="975"/>
      <c r="SEQ38" s="975"/>
      <c r="SER38" s="975"/>
      <c r="SES38" s="975"/>
      <c r="SET38" s="975"/>
      <c r="SEU38" s="975"/>
      <c r="SEV38" s="975"/>
      <c r="SEW38" s="975"/>
      <c r="SEX38" s="975"/>
      <c r="SEY38" s="975"/>
      <c r="SEZ38" s="975"/>
      <c r="SFA38" s="975"/>
      <c r="SFB38" s="975"/>
      <c r="SFC38" s="975"/>
      <c r="SFD38" s="975"/>
      <c r="SFE38" s="975"/>
      <c r="SFF38" s="975"/>
      <c r="SFG38" s="975"/>
      <c r="SFH38" s="975"/>
      <c r="SFI38" s="975"/>
      <c r="SFJ38" s="975"/>
      <c r="SFK38" s="975"/>
      <c r="SFL38" s="975"/>
      <c r="SFM38" s="975"/>
      <c r="SFN38" s="975"/>
      <c r="SFO38" s="975"/>
      <c r="SFP38" s="975"/>
      <c r="SFQ38" s="975"/>
      <c r="SFR38" s="975"/>
      <c r="SFS38" s="975"/>
      <c r="SFT38" s="975"/>
      <c r="SFU38" s="975"/>
      <c r="SFV38" s="975"/>
      <c r="SFW38" s="975"/>
      <c r="SFX38" s="975"/>
      <c r="SFY38" s="975"/>
      <c r="SFZ38" s="975"/>
      <c r="SGA38" s="975"/>
      <c r="SGB38" s="975"/>
      <c r="SGC38" s="975"/>
      <c r="SGD38" s="975"/>
      <c r="SGE38" s="975"/>
      <c r="SGF38" s="975"/>
      <c r="SGG38" s="975"/>
      <c r="SGH38" s="975"/>
      <c r="SGI38" s="975"/>
      <c r="SGJ38" s="975"/>
      <c r="SGK38" s="975"/>
      <c r="SGL38" s="975"/>
      <c r="SGM38" s="975"/>
      <c r="SGN38" s="975"/>
      <c r="SGO38" s="975"/>
      <c r="SGP38" s="975"/>
      <c r="SGQ38" s="975"/>
      <c r="SGR38" s="975"/>
      <c r="SGS38" s="975"/>
      <c r="SGT38" s="975"/>
      <c r="SGU38" s="975"/>
      <c r="SGV38" s="975"/>
      <c r="SGW38" s="975"/>
      <c r="SGX38" s="975"/>
      <c r="SGY38" s="975"/>
      <c r="SGZ38" s="975"/>
      <c r="SHA38" s="975"/>
      <c r="SHB38" s="975"/>
      <c r="SHC38" s="975"/>
      <c r="SHD38" s="975"/>
      <c r="SHE38" s="975"/>
      <c r="SHF38" s="975"/>
      <c r="SHG38" s="975"/>
      <c r="SHH38" s="975"/>
      <c r="SHI38" s="975"/>
      <c r="SHJ38" s="975"/>
      <c r="SHK38" s="975"/>
      <c r="SHL38" s="975"/>
      <c r="SHM38" s="975"/>
      <c r="SHN38" s="975"/>
      <c r="SHO38" s="975"/>
      <c r="SHP38" s="975"/>
      <c r="SHQ38" s="975"/>
      <c r="SHR38" s="975"/>
      <c r="SHS38" s="975"/>
      <c r="SHT38" s="975"/>
      <c r="SHU38" s="975"/>
      <c r="SHV38" s="975"/>
      <c r="SHW38" s="975"/>
      <c r="SHX38" s="975"/>
      <c r="SHY38" s="975"/>
      <c r="SHZ38" s="975"/>
      <c r="SIA38" s="975"/>
      <c r="SIB38" s="975"/>
      <c r="SIC38" s="975"/>
      <c r="SID38" s="975"/>
      <c r="SIE38" s="975"/>
      <c r="SIF38" s="975"/>
      <c r="SIG38" s="975"/>
      <c r="SIH38" s="975"/>
      <c r="SII38" s="975"/>
      <c r="SIJ38" s="975"/>
      <c r="SIK38" s="975"/>
      <c r="SIL38" s="975"/>
      <c r="SIM38" s="975"/>
      <c r="SIN38" s="975"/>
      <c r="SIO38" s="975"/>
      <c r="SIP38" s="975"/>
      <c r="SIQ38" s="975"/>
      <c r="SIR38" s="975"/>
      <c r="SIS38" s="975"/>
      <c r="SIT38" s="975"/>
      <c r="SIU38" s="975"/>
      <c r="SIV38" s="975"/>
      <c r="SIW38" s="975"/>
      <c r="SIX38" s="975"/>
      <c r="SIY38" s="975"/>
      <c r="SIZ38" s="975"/>
      <c r="SJA38" s="975"/>
      <c r="SJB38" s="975"/>
      <c r="SJC38" s="975"/>
      <c r="SJD38" s="975"/>
      <c r="SJE38" s="975"/>
      <c r="SJF38" s="975"/>
      <c r="SJG38" s="975"/>
      <c r="SJH38" s="975"/>
      <c r="SJI38" s="975"/>
      <c r="SJJ38" s="975"/>
      <c r="SJK38" s="975"/>
      <c r="SJL38" s="975"/>
      <c r="SJM38" s="975"/>
      <c r="SJN38" s="975"/>
      <c r="SJO38" s="975"/>
      <c r="SJP38" s="975"/>
      <c r="SJQ38" s="975"/>
      <c r="SJR38" s="975"/>
      <c r="SJS38" s="975"/>
      <c r="SJT38" s="975"/>
      <c r="SJU38" s="975"/>
      <c r="SJV38" s="975"/>
      <c r="SJW38" s="975"/>
      <c r="SJX38" s="975"/>
      <c r="SJY38" s="975"/>
      <c r="SJZ38" s="975"/>
      <c r="SKA38" s="975"/>
      <c r="SKB38" s="975"/>
      <c r="SKC38" s="975"/>
      <c r="SKD38" s="975"/>
      <c r="SKE38" s="975"/>
      <c r="SKF38" s="975"/>
      <c r="SKG38" s="975"/>
      <c r="SKH38" s="975"/>
      <c r="SKI38" s="975"/>
      <c r="SKJ38" s="975"/>
      <c r="SKK38" s="975"/>
      <c r="SKL38" s="975"/>
      <c r="SKM38" s="975"/>
      <c r="SKN38" s="975"/>
      <c r="SKO38" s="975"/>
      <c r="SKP38" s="975"/>
      <c r="SKQ38" s="975"/>
      <c r="SKR38" s="975"/>
      <c r="SKS38" s="975"/>
      <c r="SKT38" s="975"/>
      <c r="SKU38" s="975"/>
      <c r="SKV38" s="975"/>
      <c r="SKW38" s="975"/>
      <c r="SKX38" s="975"/>
      <c r="SKY38" s="975"/>
      <c r="SKZ38" s="975"/>
      <c r="SLA38" s="975"/>
      <c r="SLB38" s="975"/>
      <c r="SLC38" s="975"/>
      <c r="SLD38" s="975"/>
      <c r="SLE38" s="975"/>
      <c r="SLF38" s="975"/>
      <c r="SLG38" s="975"/>
      <c r="SLH38" s="975"/>
      <c r="SLI38" s="975"/>
      <c r="SLJ38" s="975"/>
      <c r="SLK38" s="975"/>
      <c r="SLL38" s="975"/>
      <c r="SLM38" s="975"/>
      <c r="SLN38" s="975"/>
      <c r="SLO38" s="975"/>
      <c r="SLP38" s="975"/>
      <c r="SLQ38" s="975"/>
      <c r="SLR38" s="975"/>
      <c r="SLS38" s="975"/>
      <c r="SLT38" s="975"/>
      <c r="SLU38" s="975"/>
      <c r="SLV38" s="975"/>
      <c r="SLW38" s="975"/>
      <c r="SLX38" s="975"/>
      <c r="SLY38" s="975"/>
      <c r="SLZ38" s="975"/>
      <c r="SMA38" s="975"/>
      <c r="SMB38" s="975"/>
      <c r="SMC38" s="975"/>
      <c r="SMD38" s="975"/>
      <c r="SME38" s="975"/>
      <c r="SMF38" s="975"/>
      <c r="SMG38" s="975"/>
      <c r="SMH38" s="975"/>
      <c r="SMI38" s="975"/>
      <c r="SMJ38" s="975"/>
      <c r="SMK38" s="975"/>
      <c r="SML38" s="975"/>
      <c r="SMM38" s="975"/>
      <c r="SMN38" s="975"/>
      <c r="SMO38" s="975"/>
      <c r="SMP38" s="975"/>
      <c r="SMQ38" s="975"/>
      <c r="SMR38" s="975"/>
      <c r="SMS38" s="975"/>
      <c r="SMT38" s="975"/>
      <c r="SMU38" s="975"/>
      <c r="SMV38" s="975"/>
      <c r="SMW38" s="975"/>
      <c r="SMX38" s="975"/>
      <c r="SMY38" s="975"/>
      <c r="SMZ38" s="975"/>
      <c r="SNA38" s="975"/>
      <c r="SNB38" s="975"/>
      <c r="SNC38" s="975"/>
      <c r="SND38" s="975"/>
      <c r="SNE38" s="975"/>
      <c r="SNF38" s="975"/>
      <c r="SNG38" s="975"/>
      <c r="SNH38" s="975"/>
      <c r="SNI38" s="975"/>
      <c r="SNJ38" s="975"/>
      <c r="SNK38" s="975"/>
      <c r="SNL38" s="975"/>
      <c r="SNM38" s="975"/>
      <c r="SNN38" s="975"/>
      <c r="SNO38" s="975"/>
      <c r="SNP38" s="975"/>
      <c r="SNQ38" s="975"/>
      <c r="SNR38" s="975"/>
      <c r="SNS38" s="975"/>
      <c r="SNT38" s="975"/>
      <c r="SNU38" s="975"/>
      <c r="SNV38" s="975"/>
      <c r="SNW38" s="975"/>
      <c r="SNX38" s="975"/>
      <c r="SNY38" s="975"/>
      <c r="SNZ38" s="975"/>
      <c r="SOA38" s="975"/>
      <c r="SOB38" s="975"/>
      <c r="SOC38" s="975"/>
      <c r="SOD38" s="975"/>
      <c r="SOE38" s="975"/>
      <c r="SOF38" s="975"/>
      <c r="SOG38" s="975"/>
      <c r="SOH38" s="975"/>
      <c r="SOI38" s="975"/>
      <c r="SOJ38" s="975"/>
      <c r="SOK38" s="975"/>
      <c r="SOL38" s="975"/>
      <c r="SOM38" s="975"/>
      <c r="SON38" s="975"/>
      <c r="SOO38" s="975"/>
      <c r="SOP38" s="975"/>
      <c r="SOQ38" s="975"/>
      <c r="SOR38" s="975"/>
      <c r="SOS38" s="975"/>
      <c r="SOT38" s="975"/>
      <c r="SOU38" s="975"/>
      <c r="SOV38" s="975"/>
      <c r="SOW38" s="975"/>
      <c r="SOX38" s="975"/>
      <c r="SOY38" s="975"/>
      <c r="SOZ38" s="975"/>
      <c r="SPA38" s="975"/>
      <c r="SPB38" s="975"/>
      <c r="SPC38" s="975"/>
      <c r="SPD38" s="975"/>
      <c r="SPE38" s="975"/>
      <c r="SPF38" s="975"/>
      <c r="SPG38" s="975"/>
      <c r="SPH38" s="975"/>
      <c r="SPI38" s="975"/>
      <c r="SPJ38" s="975"/>
      <c r="SPK38" s="975"/>
      <c r="SPL38" s="975"/>
      <c r="SPM38" s="975"/>
      <c r="SPN38" s="975"/>
      <c r="SPO38" s="975"/>
      <c r="SPP38" s="975"/>
      <c r="SPQ38" s="975"/>
      <c r="SPR38" s="975"/>
      <c r="SPS38" s="975"/>
      <c r="SPT38" s="975"/>
      <c r="SPU38" s="975"/>
      <c r="SPV38" s="975"/>
      <c r="SPW38" s="975"/>
      <c r="SPX38" s="975"/>
      <c r="SPY38" s="975"/>
      <c r="SPZ38" s="975"/>
      <c r="SQA38" s="975"/>
      <c r="SQB38" s="975"/>
      <c r="SQC38" s="975"/>
      <c r="SQD38" s="975"/>
      <c r="SQE38" s="975"/>
      <c r="SQF38" s="975"/>
      <c r="SQG38" s="975"/>
      <c r="SQH38" s="975"/>
      <c r="SQI38" s="975"/>
      <c r="SQJ38" s="975"/>
      <c r="SQK38" s="975"/>
      <c r="SQL38" s="975"/>
      <c r="SQM38" s="975"/>
      <c r="SQN38" s="975"/>
      <c r="SQO38" s="975"/>
      <c r="SQP38" s="975"/>
      <c r="SQQ38" s="975"/>
      <c r="SQR38" s="975"/>
      <c r="SQS38" s="975"/>
      <c r="SQT38" s="975"/>
      <c r="SQU38" s="975"/>
      <c r="SQV38" s="975"/>
      <c r="SQW38" s="975"/>
      <c r="SQX38" s="975"/>
      <c r="SQY38" s="975"/>
      <c r="SQZ38" s="975"/>
      <c r="SRA38" s="975"/>
      <c r="SRB38" s="975"/>
      <c r="SRC38" s="975"/>
      <c r="SRD38" s="975"/>
      <c r="SRE38" s="975"/>
      <c r="SRF38" s="975"/>
      <c r="SRG38" s="975"/>
      <c r="SRH38" s="975"/>
      <c r="SRI38" s="975"/>
      <c r="SRJ38" s="975"/>
      <c r="SRK38" s="975"/>
      <c r="SRL38" s="975"/>
      <c r="SRM38" s="975"/>
      <c r="SRN38" s="975"/>
      <c r="SRO38" s="975"/>
      <c r="SRP38" s="975"/>
      <c r="SRQ38" s="975"/>
      <c r="SRR38" s="975"/>
      <c r="SRS38" s="975"/>
      <c r="SRT38" s="975"/>
      <c r="SRU38" s="975"/>
      <c r="SRV38" s="975"/>
      <c r="SRW38" s="975"/>
      <c r="SRX38" s="975"/>
      <c r="SRY38" s="975"/>
      <c r="SRZ38" s="975"/>
      <c r="SSA38" s="975"/>
      <c r="SSB38" s="975"/>
      <c r="SSC38" s="975"/>
      <c r="SSD38" s="975"/>
      <c r="SSE38" s="975"/>
      <c r="SSF38" s="975"/>
      <c r="SSG38" s="975"/>
      <c r="SSH38" s="975"/>
      <c r="SSI38" s="975"/>
      <c r="SSJ38" s="975"/>
      <c r="SSK38" s="975"/>
      <c r="SSL38" s="975"/>
      <c r="SSM38" s="975"/>
      <c r="SSN38" s="975"/>
      <c r="SSO38" s="975"/>
      <c r="SSP38" s="975"/>
      <c r="SSQ38" s="975"/>
      <c r="SSR38" s="975"/>
      <c r="SSS38" s="975"/>
      <c r="SST38" s="975"/>
      <c r="SSU38" s="975"/>
      <c r="SSV38" s="975"/>
      <c r="SSW38" s="975"/>
      <c r="SSX38" s="975"/>
      <c r="SSY38" s="975"/>
      <c r="SSZ38" s="975"/>
      <c r="STA38" s="975"/>
      <c r="STB38" s="975"/>
      <c r="STC38" s="975"/>
      <c r="STD38" s="975"/>
      <c r="STE38" s="975"/>
      <c r="STF38" s="975"/>
      <c r="STG38" s="975"/>
      <c r="STH38" s="975"/>
      <c r="STI38" s="975"/>
      <c r="STJ38" s="975"/>
      <c r="STK38" s="975"/>
      <c r="STL38" s="975"/>
      <c r="STM38" s="975"/>
      <c r="STN38" s="975"/>
      <c r="STO38" s="975"/>
      <c r="STP38" s="975"/>
      <c r="STQ38" s="975"/>
      <c r="STR38" s="975"/>
      <c r="STS38" s="975"/>
      <c r="STT38" s="975"/>
      <c r="STU38" s="975"/>
      <c r="STV38" s="975"/>
      <c r="STW38" s="975"/>
      <c r="STX38" s="975"/>
      <c r="STY38" s="975"/>
      <c r="STZ38" s="975"/>
      <c r="SUA38" s="975"/>
      <c r="SUB38" s="975"/>
      <c r="SUC38" s="975"/>
      <c r="SUD38" s="975"/>
      <c r="SUE38" s="975"/>
      <c r="SUF38" s="975"/>
      <c r="SUG38" s="975"/>
      <c r="SUH38" s="975"/>
      <c r="SUI38" s="975"/>
      <c r="SUJ38" s="975"/>
      <c r="SUK38" s="975"/>
      <c r="SUL38" s="975"/>
      <c r="SUM38" s="975"/>
      <c r="SUN38" s="975"/>
      <c r="SUO38" s="975"/>
      <c r="SUP38" s="975"/>
      <c r="SUQ38" s="975"/>
      <c r="SUR38" s="975"/>
      <c r="SUS38" s="975"/>
      <c r="SUT38" s="975"/>
      <c r="SUU38" s="975"/>
      <c r="SUV38" s="975"/>
      <c r="SUW38" s="975"/>
      <c r="SUX38" s="975"/>
      <c r="SUY38" s="975"/>
      <c r="SUZ38" s="975"/>
      <c r="SVA38" s="975"/>
      <c r="SVB38" s="975"/>
      <c r="SVC38" s="975"/>
      <c r="SVD38" s="975"/>
      <c r="SVE38" s="975"/>
      <c r="SVF38" s="975"/>
      <c r="SVG38" s="975"/>
      <c r="SVH38" s="975"/>
      <c r="SVI38" s="975"/>
      <c r="SVJ38" s="975"/>
      <c r="SVK38" s="975"/>
      <c r="SVL38" s="975"/>
      <c r="SVM38" s="975"/>
      <c r="SVN38" s="975"/>
      <c r="SVO38" s="975"/>
      <c r="SVP38" s="975"/>
      <c r="SVQ38" s="975"/>
      <c r="SVR38" s="975"/>
      <c r="SVS38" s="975"/>
      <c r="SVT38" s="975"/>
      <c r="SVU38" s="975"/>
      <c r="SVV38" s="975"/>
      <c r="SVW38" s="975"/>
      <c r="SVX38" s="975"/>
      <c r="SVY38" s="975"/>
      <c r="SVZ38" s="975"/>
      <c r="SWA38" s="975"/>
      <c r="SWB38" s="975"/>
      <c r="SWC38" s="975"/>
      <c r="SWD38" s="975"/>
      <c r="SWE38" s="975"/>
      <c r="SWF38" s="975"/>
      <c r="SWG38" s="975"/>
      <c r="SWH38" s="975"/>
      <c r="SWI38" s="975"/>
      <c r="SWJ38" s="975"/>
      <c r="SWK38" s="975"/>
      <c r="SWL38" s="975"/>
      <c r="SWM38" s="975"/>
      <c r="SWN38" s="975"/>
      <c r="SWO38" s="975"/>
      <c r="SWP38" s="975"/>
      <c r="SWQ38" s="975"/>
      <c r="SWR38" s="975"/>
      <c r="SWS38" s="975"/>
      <c r="SWT38" s="975"/>
      <c r="SWU38" s="975"/>
      <c r="SWV38" s="975"/>
      <c r="SWW38" s="975"/>
      <c r="SWX38" s="975"/>
      <c r="SWY38" s="975"/>
      <c r="SWZ38" s="975"/>
      <c r="SXA38" s="975"/>
      <c r="SXB38" s="975"/>
      <c r="SXC38" s="975"/>
      <c r="SXD38" s="975"/>
      <c r="SXE38" s="975"/>
      <c r="SXF38" s="975"/>
      <c r="SXG38" s="975"/>
      <c r="SXH38" s="975"/>
      <c r="SXI38" s="975"/>
      <c r="SXJ38" s="975"/>
      <c r="SXK38" s="975"/>
      <c r="SXL38" s="975"/>
      <c r="SXM38" s="975"/>
      <c r="SXN38" s="975"/>
      <c r="SXO38" s="975"/>
      <c r="SXP38" s="975"/>
      <c r="SXQ38" s="975"/>
      <c r="SXR38" s="975"/>
      <c r="SXS38" s="975"/>
      <c r="SXT38" s="975"/>
      <c r="SXU38" s="975"/>
      <c r="SXV38" s="975"/>
      <c r="SXW38" s="975"/>
      <c r="SXX38" s="975"/>
      <c r="SXY38" s="975"/>
      <c r="SXZ38" s="975"/>
      <c r="SYA38" s="975"/>
      <c r="SYB38" s="975"/>
      <c r="SYC38" s="975"/>
      <c r="SYD38" s="975"/>
      <c r="SYE38" s="975"/>
      <c r="SYF38" s="975"/>
      <c r="SYG38" s="975"/>
      <c r="SYH38" s="975"/>
      <c r="SYI38" s="975"/>
      <c r="SYJ38" s="975"/>
      <c r="SYK38" s="975"/>
      <c r="SYL38" s="975"/>
      <c r="SYM38" s="975"/>
      <c r="SYN38" s="975"/>
      <c r="SYO38" s="975"/>
      <c r="SYP38" s="975"/>
      <c r="SYQ38" s="975"/>
      <c r="SYR38" s="975"/>
      <c r="SYS38" s="975"/>
      <c r="SYT38" s="975"/>
      <c r="SYU38" s="975"/>
      <c r="SYV38" s="975"/>
      <c r="SYW38" s="975"/>
      <c r="SYX38" s="975"/>
      <c r="SYY38" s="975"/>
      <c r="SYZ38" s="975"/>
      <c r="SZA38" s="975"/>
      <c r="SZB38" s="975"/>
      <c r="SZC38" s="975"/>
      <c r="SZD38" s="975"/>
      <c r="SZE38" s="975"/>
      <c r="SZF38" s="975"/>
      <c r="SZG38" s="975"/>
      <c r="SZH38" s="975"/>
      <c r="SZI38" s="975"/>
      <c r="SZJ38" s="975"/>
      <c r="SZK38" s="975"/>
      <c r="SZL38" s="975"/>
      <c r="SZM38" s="975"/>
      <c r="SZN38" s="975"/>
      <c r="SZO38" s="975"/>
      <c r="SZP38" s="975"/>
      <c r="SZQ38" s="975"/>
      <c r="SZR38" s="975"/>
      <c r="SZS38" s="975"/>
      <c r="SZT38" s="975"/>
      <c r="SZU38" s="975"/>
      <c r="SZV38" s="975"/>
      <c r="SZW38" s="975"/>
      <c r="SZX38" s="975"/>
      <c r="SZY38" s="975"/>
      <c r="SZZ38" s="975"/>
      <c r="TAA38" s="975"/>
      <c r="TAB38" s="975"/>
      <c r="TAC38" s="975"/>
      <c r="TAD38" s="975"/>
      <c r="TAE38" s="975"/>
      <c r="TAF38" s="975"/>
      <c r="TAG38" s="975"/>
      <c r="TAH38" s="975"/>
      <c r="TAI38" s="975"/>
      <c r="TAJ38" s="975"/>
      <c r="TAK38" s="975"/>
      <c r="TAL38" s="975"/>
      <c r="TAM38" s="975"/>
      <c r="TAN38" s="975"/>
      <c r="TAO38" s="975"/>
      <c r="TAP38" s="975"/>
      <c r="TAQ38" s="975"/>
      <c r="TAR38" s="975"/>
      <c r="TAS38" s="975"/>
      <c r="TAT38" s="975"/>
      <c r="TAU38" s="975"/>
      <c r="TAV38" s="975"/>
      <c r="TAW38" s="975"/>
      <c r="TAX38" s="975"/>
      <c r="TAY38" s="975"/>
      <c r="TAZ38" s="975"/>
      <c r="TBA38" s="975"/>
      <c r="TBB38" s="975"/>
      <c r="TBC38" s="975"/>
      <c r="TBD38" s="975"/>
      <c r="TBE38" s="975"/>
      <c r="TBF38" s="975"/>
      <c r="TBG38" s="975"/>
      <c r="TBH38" s="975"/>
      <c r="TBI38" s="975"/>
      <c r="TBJ38" s="975"/>
      <c r="TBK38" s="975"/>
      <c r="TBL38" s="975"/>
      <c r="TBM38" s="975"/>
      <c r="TBN38" s="975"/>
      <c r="TBO38" s="975"/>
      <c r="TBP38" s="975"/>
      <c r="TBQ38" s="975"/>
      <c r="TBR38" s="975"/>
      <c r="TBS38" s="975"/>
      <c r="TBT38" s="975"/>
      <c r="TBU38" s="975"/>
      <c r="TBV38" s="975"/>
      <c r="TBW38" s="975"/>
      <c r="TBX38" s="975"/>
      <c r="TBY38" s="975"/>
      <c r="TBZ38" s="975"/>
      <c r="TCA38" s="975"/>
      <c r="TCB38" s="975"/>
      <c r="TCC38" s="975"/>
      <c r="TCD38" s="975"/>
      <c r="TCE38" s="975"/>
      <c r="TCF38" s="975"/>
      <c r="TCG38" s="975"/>
      <c r="TCH38" s="975"/>
      <c r="TCI38" s="975"/>
      <c r="TCJ38" s="975"/>
      <c r="TCK38" s="975"/>
      <c r="TCL38" s="975"/>
      <c r="TCM38" s="975"/>
      <c r="TCN38" s="975"/>
      <c r="TCO38" s="975"/>
      <c r="TCP38" s="975"/>
      <c r="TCQ38" s="975"/>
      <c r="TCR38" s="975"/>
      <c r="TCS38" s="975"/>
      <c r="TCT38" s="975"/>
      <c r="TCU38" s="975"/>
      <c r="TCV38" s="975"/>
      <c r="TCW38" s="975"/>
      <c r="TCX38" s="975"/>
      <c r="TCY38" s="975"/>
      <c r="TCZ38" s="975"/>
      <c r="TDA38" s="975"/>
      <c r="TDB38" s="975"/>
      <c r="TDC38" s="975"/>
      <c r="TDD38" s="975"/>
      <c r="TDE38" s="975"/>
      <c r="TDF38" s="975"/>
      <c r="TDG38" s="975"/>
      <c r="TDH38" s="975"/>
      <c r="TDI38" s="975"/>
      <c r="TDJ38" s="975"/>
      <c r="TDK38" s="975"/>
      <c r="TDL38" s="975"/>
      <c r="TDM38" s="975"/>
      <c r="TDN38" s="975"/>
      <c r="TDO38" s="975"/>
      <c r="TDP38" s="975"/>
      <c r="TDQ38" s="975"/>
      <c r="TDR38" s="975"/>
      <c r="TDS38" s="975"/>
      <c r="TDT38" s="975"/>
      <c r="TDU38" s="975"/>
      <c r="TDV38" s="975"/>
      <c r="TDW38" s="975"/>
      <c r="TDX38" s="975"/>
      <c r="TDY38" s="975"/>
      <c r="TDZ38" s="975"/>
      <c r="TEA38" s="975"/>
      <c r="TEB38" s="975"/>
      <c r="TEC38" s="975"/>
      <c r="TED38" s="975"/>
      <c r="TEE38" s="975"/>
      <c r="TEF38" s="975"/>
      <c r="TEG38" s="975"/>
      <c r="TEH38" s="975"/>
      <c r="TEI38" s="975"/>
      <c r="TEJ38" s="975"/>
      <c r="TEK38" s="975"/>
      <c r="TEL38" s="975"/>
      <c r="TEM38" s="975"/>
      <c r="TEN38" s="975"/>
      <c r="TEO38" s="975"/>
      <c r="TEP38" s="975"/>
      <c r="TEQ38" s="975"/>
      <c r="TER38" s="975"/>
      <c r="TES38" s="975"/>
      <c r="TET38" s="975"/>
      <c r="TEU38" s="975"/>
      <c r="TEV38" s="975"/>
      <c r="TEW38" s="975"/>
      <c r="TEX38" s="975"/>
      <c r="TEY38" s="975"/>
      <c r="TEZ38" s="975"/>
      <c r="TFA38" s="975"/>
      <c r="TFB38" s="975"/>
      <c r="TFC38" s="975"/>
      <c r="TFD38" s="975"/>
      <c r="TFE38" s="975"/>
      <c r="TFF38" s="975"/>
      <c r="TFG38" s="975"/>
      <c r="TFH38" s="975"/>
      <c r="TFI38" s="975"/>
      <c r="TFJ38" s="975"/>
      <c r="TFK38" s="975"/>
      <c r="TFL38" s="975"/>
      <c r="TFM38" s="975"/>
      <c r="TFN38" s="975"/>
      <c r="TFO38" s="975"/>
      <c r="TFP38" s="975"/>
      <c r="TFQ38" s="975"/>
      <c r="TFR38" s="975"/>
      <c r="TFS38" s="975"/>
      <c r="TFT38" s="975"/>
      <c r="TFU38" s="975"/>
      <c r="TFV38" s="975"/>
      <c r="TFW38" s="975"/>
      <c r="TFX38" s="975"/>
      <c r="TFY38" s="975"/>
      <c r="TFZ38" s="975"/>
      <c r="TGA38" s="975"/>
      <c r="TGB38" s="975"/>
      <c r="TGC38" s="975"/>
      <c r="TGD38" s="975"/>
      <c r="TGE38" s="975"/>
      <c r="TGF38" s="975"/>
      <c r="TGG38" s="975"/>
      <c r="TGH38" s="975"/>
      <c r="TGI38" s="975"/>
      <c r="TGJ38" s="975"/>
      <c r="TGK38" s="975"/>
      <c r="TGL38" s="975"/>
      <c r="TGM38" s="975"/>
      <c r="TGN38" s="975"/>
      <c r="TGO38" s="975"/>
      <c r="TGP38" s="975"/>
      <c r="TGQ38" s="975"/>
      <c r="TGR38" s="975"/>
      <c r="TGS38" s="975"/>
      <c r="TGT38" s="975"/>
      <c r="TGU38" s="975"/>
      <c r="TGV38" s="975"/>
      <c r="TGW38" s="975"/>
      <c r="TGX38" s="975"/>
      <c r="TGY38" s="975"/>
      <c r="TGZ38" s="975"/>
      <c r="THA38" s="975"/>
      <c r="THB38" s="975"/>
      <c r="THC38" s="975"/>
      <c r="THD38" s="975"/>
      <c r="THE38" s="975"/>
      <c r="THF38" s="975"/>
      <c r="THG38" s="975"/>
      <c r="THH38" s="975"/>
      <c r="THI38" s="975"/>
      <c r="THJ38" s="975"/>
      <c r="THK38" s="975"/>
      <c r="THL38" s="975"/>
      <c r="THM38" s="975"/>
      <c r="THN38" s="975"/>
      <c r="THO38" s="975"/>
      <c r="THP38" s="975"/>
      <c r="THQ38" s="975"/>
      <c r="THR38" s="975"/>
      <c r="THS38" s="975"/>
      <c r="THT38" s="975"/>
      <c r="THU38" s="975"/>
      <c r="THV38" s="975"/>
      <c r="THW38" s="975"/>
      <c r="THX38" s="975"/>
      <c r="THY38" s="975"/>
      <c r="THZ38" s="975"/>
      <c r="TIA38" s="975"/>
      <c r="TIB38" s="975"/>
      <c r="TIC38" s="975"/>
      <c r="TID38" s="975"/>
      <c r="TIE38" s="975"/>
      <c r="TIF38" s="975"/>
      <c r="TIG38" s="975"/>
      <c r="TIH38" s="975"/>
      <c r="TII38" s="975"/>
      <c r="TIJ38" s="975"/>
      <c r="TIK38" s="975"/>
      <c r="TIL38" s="975"/>
      <c r="TIM38" s="975"/>
      <c r="TIN38" s="975"/>
      <c r="TIO38" s="975"/>
      <c r="TIP38" s="975"/>
      <c r="TIQ38" s="975"/>
      <c r="TIR38" s="975"/>
      <c r="TIS38" s="975"/>
      <c r="TIT38" s="975"/>
      <c r="TIU38" s="975"/>
      <c r="TIV38" s="975"/>
      <c r="TIW38" s="975"/>
      <c r="TIX38" s="975"/>
      <c r="TIY38" s="975"/>
      <c r="TIZ38" s="975"/>
      <c r="TJA38" s="975"/>
      <c r="TJB38" s="975"/>
      <c r="TJC38" s="975"/>
      <c r="TJD38" s="975"/>
      <c r="TJE38" s="975"/>
      <c r="TJF38" s="975"/>
      <c r="TJG38" s="975"/>
      <c r="TJH38" s="975"/>
      <c r="TJI38" s="975"/>
      <c r="TJJ38" s="975"/>
      <c r="TJK38" s="975"/>
      <c r="TJL38" s="975"/>
      <c r="TJM38" s="975"/>
      <c r="TJN38" s="975"/>
      <c r="TJO38" s="975"/>
      <c r="TJP38" s="975"/>
      <c r="TJQ38" s="975"/>
      <c r="TJR38" s="975"/>
      <c r="TJS38" s="975"/>
      <c r="TJT38" s="975"/>
      <c r="TJU38" s="975"/>
      <c r="TJV38" s="975"/>
      <c r="TJW38" s="975"/>
      <c r="TJX38" s="975"/>
      <c r="TJY38" s="975"/>
      <c r="TJZ38" s="975"/>
      <c r="TKA38" s="975"/>
      <c r="TKB38" s="975"/>
      <c r="TKC38" s="975"/>
      <c r="TKD38" s="975"/>
      <c r="TKE38" s="975"/>
      <c r="TKF38" s="975"/>
      <c r="TKG38" s="975"/>
      <c r="TKH38" s="975"/>
      <c r="TKI38" s="975"/>
      <c r="TKJ38" s="975"/>
      <c r="TKK38" s="975"/>
      <c r="TKL38" s="975"/>
      <c r="TKM38" s="975"/>
      <c r="TKN38" s="975"/>
      <c r="TKO38" s="975"/>
      <c r="TKP38" s="975"/>
      <c r="TKQ38" s="975"/>
      <c r="TKR38" s="975"/>
      <c r="TKS38" s="975"/>
      <c r="TKT38" s="975"/>
      <c r="TKU38" s="975"/>
      <c r="TKV38" s="975"/>
      <c r="TKW38" s="975"/>
      <c r="TKX38" s="975"/>
      <c r="TKY38" s="975"/>
      <c r="TKZ38" s="975"/>
      <c r="TLA38" s="975"/>
      <c r="TLB38" s="975"/>
      <c r="TLC38" s="975"/>
      <c r="TLD38" s="975"/>
      <c r="TLE38" s="975"/>
      <c r="TLF38" s="975"/>
      <c r="TLG38" s="975"/>
      <c r="TLH38" s="975"/>
      <c r="TLI38" s="975"/>
      <c r="TLJ38" s="975"/>
      <c r="TLK38" s="975"/>
      <c r="TLL38" s="975"/>
      <c r="TLM38" s="975"/>
      <c r="TLN38" s="975"/>
      <c r="TLO38" s="975"/>
      <c r="TLP38" s="975"/>
      <c r="TLQ38" s="975"/>
      <c r="TLR38" s="975"/>
      <c r="TLS38" s="975"/>
      <c r="TLT38" s="975"/>
      <c r="TLU38" s="975"/>
      <c r="TLV38" s="975"/>
      <c r="TLW38" s="975"/>
      <c r="TLX38" s="975"/>
      <c r="TLY38" s="975"/>
      <c r="TLZ38" s="975"/>
      <c r="TMA38" s="975"/>
      <c r="TMB38" s="975"/>
      <c r="TMC38" s="975"/>
      <c r="TMD38" s="975"/>
      <c r="TME38" s="975"/>
      <c r="TMF38" s="975"/>
      <c r="TMG38" s="975"/>
      <c r="TMH38" s="975"/>
      <c r="TMI38" s="975"/>
      <c r="TMJ38" s="975"/>
      <c r="TMK38" s="975"/>
      <c r="TML38" s="975"/>
      <c r="TMM38" s="975"/>
      <c r="TMN38" s="975"/>
      <c r="TMO38" s="975"/>
      <c r="TMP38" s="975"/>
      <c r="TMQ38" s="975"/>
      <c r="TMR38" s="975"/>
      <c r="TMS38" s="975"/>
      <c r="TMT38" s="975"/>
      <c r="TMU38" s="975"/>
      <c r="TMV38" s="975"/>
      <c r="TMW38" s="975"/>
      <c r="TMX38" s="975"/>
      <c r="TMY38" s="975"/>
      <c r="TMZ38" s="975"/>
      <c r="TNA38" s="975"/>
      <c r="TNB38" s="975"/>
      <c r="TNC38" s="975"/>
      <c r="TND38" s="975"/>
      <c r="TNE38" s="975"/>
      <c r="TNF38" s="975"/>
      <c r="TNG38" s="975"/>
      <c r="TNH38" s="975"/>
      <c r="TNI38" s="975"/>
      <c r="TNJ38" s="975"/>
      <c r="TNK38" s="975"/>
      <c r="TNL38" s="975"/>
      <c r="TNM38" s="975"/>
      <c r="TNN38" s="975"/>
      <c r="TNO38" s="975"/>
      <c r="TNP38" s="975"/>
      <c r="TNQ38" s="975"/>
      <c r="TNR38" s="975"/>
      <c r="TNS38" s="975"/>
      <c r="TNT38" s="975"/>
      <c r="TNU38" s="975"/>
      <c r="TNV38" s="975"/>
      <c r="TNW38" s="975"/>
      <c r="TNX38" s="975"/>
      <c r="TNY38" s="975"/>
      <c r="TNZ38" s="975"/>
      <c r="TOA38" s="975"/>
      <c r="TOB38" s="975"/>
      <c r="TOC38" s="975"/>
      <c r="TOD38" s="975"/>
      <c r="TOE38" s="975"/>
      <c r="TOF38" s="975"/>
      <c r="TOG38" s="975"/>
      <c r="TOH38" s="975"/>
      <c r="TOI38" s="975"/>
      <c r="TOJ38" s="975"/>
      <c r="TOK38" s="975"/>
      <c r="TOL38" s="975"/>
      <c r="TOM38" s="975"/>
      <c r="TON38" s="975"/>
      <c r="TOO38" s="975"/>
      <c r="TOP38" s="975"/>
      <c r="TOQ38" s="975"/>
      <c r="TOR38" s="975"/>
      <c r="TOS38" s="975"/>
      <c r="TOT38" s="975"/>
      <c r="TOU38" s="975"/>
      <c r="TOV38" s="975"/>
      <c r="TOW38" s="975"/>
      <c r="TOX38" s="975"/>
      <c r="TOY38" s="975"/>
      <c r="TOZ38" s="975"/>
      <c r="TPA38" s="975"/>
      <c r="TPB38" s="975"/>
      <c r="TPC38" s="975"/>
      <c r="TPD38" s="975"/>
      <c r="TPE38" s="975"/>
      <c r="TPF38" s="975"/>
      <c r="TPG38" s="975"/>
      <c r="TPH38" s="975"/>
      <c r="TPI38" s="975"/>
      <c r="TPJ38" s="975"/>
      <c r="TPK38" s="975"/>
      <c r="TPL38" s="975"/>
      <c r="TPM38" s="975"/>
      <c r="TPN38" s="975"/>
      <c r="TPO38" s="975"/>
      <c r="TPP38" s="975"/>
      <c r="TPQ38" s="975"/>
      <c r="TPR38" s="975"/>
      <c r="TPS38" s="975"/>
      <c r="TPT38" s="975"/>
      <c r="TPU38" s="975"/>
      <c r="TPV38" s="975"/>
      <c r="TPW38" s="975"/>
      <c r="TPX38" s="975"/>
      <c r="TPY38" s="975"/>
      <c r="TPZ38" s="975"/>
      <c r="TQA38" s="975"/>
      <c r="TQB38" s="975"/>
      <c r="TQC38" s="975"/>
      <c r="TQD38" s="975"/>
      <c r="TQE38" s="975"/>
      <c r="TQF38" s="975"/>
      <c r="TQG38" s="975"/>
      <c r="TQH38" s="975"/>
      <c r="TQI38" s="975"/>
      <c r="TQJ38" s="975"/>
      <c r="TQK38" s="975"/>
      <c r="TQL38" s="975"/>
      <c r="TQM38" s="975"/>
      <c r="TQN38" s="975"/>
      <c r="TQO38" s="975"/>
      <c r="TQP38" s="975"/>
      <c r="TQQ38" s="975"/>
      <c r="TQR38" s="975"/>
      <c r="TQS38" s="975"/>
      <c r="TQT38" s="975"/>
      <c r="TQU38" s="975"/>
      <c r="TQV38" s="975"/>
      <c r="TQW38" s="975"/>
      <c r="TQX38" s="975"/>
      <c r="TQY38" s="975"/>
      <c r="TQZ38" s="975"/>
      <c r="TRA38" s="975"/>
      <c r="TRB38" s="975"/>
      <c r="TRC38" s="975"/>
      <c r="TRD38" s="975"/>
      <c r="TRE38" s="975"/>
      <c r="TRF38" s="975"/>
      <c r="TRG38" s="975"/>
      <c r="TRH38" s="975"/>
      <c r="TRI38" s="975"/>
      <c r="TRJ38" s="975"/>
      <c r="TRK38" s="975"/>
      <c r="TRL38" s="975"/>
      <c r="TRM38" s="975"/>
      <c r="TRN38" s="975"/>
      <c r="TRO38" s="975"/>
      <c r="TRP38" s="975"/>
      <c r="TRQ38" s="975"/>
      <c r="TRR38" s="975"/>
      <c r="TRS38" s="975"/>
      <c r="TRT38" s="975"/>
      <c r="TRU38" s="975"/>
      <c r="TRV38" s="975"/>
      <c r="TRW38" s="975"/>
      <c r="TRX38" s="975"/>
      <c r="TRY38" s="975"/>
      <c r="TRZ38" s="975"/>
      <c r="TSA38" s="975"/>
      <c r="TSB38" s="975"/>
      <c r="TSC38" s="975"/>
      <c r="TSD38" s="975"/>
      <c r="TSE38" s="975"/>
      <c r="TSF38" s="975"/>
      <c r="TSG38" s="975"/>
      <c r="TSH38" s="975"/>
      <c r="TSI38" s="975"/>
      <c r="TSJ38" s="975"/>
      <c r="TSK38" s="975"/>
      <c r="TSL38" s="975"/>
      <c r="TSM38" s="975"/>
      <c r="TSN38" s="975"/>
      <c r="TSO38" s="975"/>
      <c r="TSP38" s="975"/>
      <c r="TSQ38" s="975"/>
      <c r="TSR38" s="975"/>
      <c r="TSS38" s="975"/>
      <c r="TST38" s="975"/>
      <c r="TSU38" s="975"/>
      <c r="TSV38" s="975"/>
      <c r="TSW38" s="975"/>
      <c r="TSX38" s="975"/>
      <c r="TSY38" s="975"/>
      <c r="TSZ38" s="975"/>
      <c r="TTA38" s="975"/>
      <c r="TTB38" s="975"/>
      <c r="TTC38" s="975"/>
      <c r="TTD38" s="975"/>
      <c r="TTE38" s="975"/>
      <c r="TTF38" s="975"/>
      <c r="TTG38" s="975"/>
      <c r="TTH38" s="975"/>
      <c r="TTI38" s="975"/>
      <c r="TTJ38" s="975"/>
      <c r="TTK38" s="975"/>
      <c r="TTL38" s="975"/>
      <c r="TTM38" s="975"/>
      <c r="TTN38" s="975"/>
      <c r="TTO38" s="975"/>
      <c r="TTP38" s="975"/>
      <c r="TTQ38" s="975"/>
      <c r="TTR38" s="975"/>
      <c r="TTS38" s="975"/>
      <c r="TTT38" s="975"/>
      <c r="TTU38" s="975"/>
      <c r="TTV38" s="975"/>
      <c r="TTW38" s="975"/>
      <c r="TTX38" s="975"/>
      <c r="TTY38" s="975"/>
      <c r="TTZ38" s="975"/>
      <c r="TUA38" s="975"/>
      <c r="TUB38" s="975"/>
      <c r="TUC38" s="975"/>
      <c r="TUD38" s="975"/>
      <c r="TUE38" s="975"/>
      <c r="TUF38" s="975"/>
      <c r="TUG38" s="975"/>
      <c r="TUH38" s="975"/>
      <c r="TUI38" s="975"/>
      <c r="TUJ38" s="975"/>
      <c r="TUK38" s="975"/>
      <c r="TUL38" s="975"/>
      <c r="TUM38" s="975"/>
      <c r="TUN38" s="975"/>
      <c r="TUO38" s="975"/>
      <c r="TUP38" s="975"/>
      <c r="TUQ38" s="975"/>
      <c r="TUR38" s="975"/>
      <c r="TUS38" s="975"/>
      <c r="TUT38" s="975"/>
      <c r="TUU38" s="975"/>
      <c r="TUV38" s="975"/>
      <c r="TUW38" s="975"/>
      <c r="TUX38" s="975"/>
      <c r="TUY38" s="975"/>
      <c r="TUZ38" s="975"/>
      <c r="TVA38" s="975"/>
      <c r="TVB38" s="975"/>
      <c r="TVC38" s="975"/>
      <c r="TVD38" s="975"/>
      <c r="TVE38" s="975"/>
      <c r="TVF38" s="975"/>
      <c r="TVG38" s="975"/>
      <c r="TVH38" s="975"/>
      <c r="TVI38" s="975"/>
      <c r="TVJ38" s="975"/>
      <c r="TVK38" s="975"/>
      <c r="TVL38" s="975"/>
      <c r="TVM38" s="975"/>
      <c r="TVN38" s="975"/>
      <c r="TVO38" s="975"/>
      <c r="TVP38" s="975"/>
      <c r="TVQ38" s="975"/>
      <c r="TVR38" s="975"/>
      <c r="TVS38" s="975"/>
      <c r="TVT38" s="975"/>
      <c r="TVU38" s="975"/>
      <c r="TVV38" s="975"/>
      <c r="TVW38" s="975"/>
      <c r="TVX38" s="975"/>
      <c r="TVY38" s="975"/>
      <c r="TVZ38" s="975"/>
      <c r="TWA38" s="975"/>
      <c r="TWB38" s="975"/>
      <c r="TWC38" s="975"/>
      <c r="TWD38" s="975"/>
      <c r="TWE38" s="975"/>
      <c r="TWF38" s="975"/>
      <c r="TWG38" s="975"/>
      <c r="TWH38" s="975"/>
      <c r="TWI38" s="975"/>
      <c r="TWJ38" s="975"/>
      <c r="TWK38" s="975"/>
      <c r="TWL38" s="975"/>
      <c r="TWM38" s="975"/>
      <c r="TWN38" s="975"/>
      <c r="TWO38" s="975"/>
      <c r="TWP38" s="975"/>
      <c r="TWQ38" s="975"/>
      <c r="TWR38" s="975"/>
      <c r="TWS38" s="975"/>
      <c r="TWT38" s="975"/>
      <c r="TWU38" s="975"/>
      <c r="TWV38" s="975"/>
      <c r="TWW38" s="975"/>
      <c r="TWX38" s="975"/>
      <c r="TWY38" s="975"/>
      <c r="TWZ38" s="975"/>
      <c r="TXA38" s="975"/>
      <c r="TXB38" s="975"/>
      <c r="TXC38" s="975"/>
      <c r="TXD38" s="975"/>
      <c r="TXE38" s="975"/>
      <c r="TXF38" s="975"/>
      <c r="TXG38" s="975"/>
      <c r="TXH38" s="975"/>
      <c r="TXI38" s="975"/>
      <c r="TXJ38" s="975"/>
      <c r="TXK38" s="975"/>
      <c r="TXL38" s="975"/>
      <c r="TXM38" s="975"/>
      <c r="TXN38" s="975"/>
      <c r="TXO38" s="975"/>
      <c r="TXP38" s="975"/>
      <c r="TXQ38" s="975"/>
      <c r="TXR38" s="975"/>
      <c r="TXS38" s="975"/>
      <c r="TXT38" s="975"/>
      <c r="TXU38" s="975"/>
      <c r="TXV38" s="975"/>
      <c r="TXW38" s="975"/>
      <c r="TXX38" s="975"/>
      <c r="TXY38" s="975"/>
      <c r="TXZ38" s="975"/>
      <c r="TYA38" s="975"/>
      <c r="TYB38" s="975"/>
      <c r="TYC38" s="975"/>
      <c r="TYD38" s="975"/>
      <c r="TYE38" s="975"/>
      <c r="TYF38" s="975"/>
      <c r="TYG38" s="975"/>
      <c r="TYH38" s="975"/>
      <c r="TYI38" s="975"/>
      <c r="TYJ38" s="975"/>
      <c r="TYK38" s="975"/>
      <c r="TYL38" s="975"/>
      <c r="TYM38" s="975"/>
      <c r="TYN38" s="975"/>
      <c r="TYO38" s="975"/>
      <c r="TYP38" s="975"/>
      <c r="TYQ38" s="975"/>
      <c r="TYR38" s="975"/>
      <c r="TYS38" s="975"/>
      <c r="TYT38" s="975"/>
      <c r="TYU38" s="975"/>
      <c r="TYV38" s="975"/>
      <c r="TYW38" s="975"/>
      <c r="TYX38" s="975"/>
      <c r="TYY38" s="975"/>
      <c r="TYZ38" s="975"/>
      <c r="TZA38" s="975"/>
      <c r="TZB38" s="975"/>
      <c r="TZC38" s="975"/>
      <c r="TZD38" s="975"/>
      <c r="TZE38" s="975"/>
      <c r="TZF38" s="975"/>
      <c r="TZG38" s="975"/>
      <c r="TZH38" s="975"/>
      <c r="TZI38" s="975"/>
      <c r="TZJ38" s="975"/>
      <c r="TZK38" s="975"/>
      <c r="TZL38" s="975"/>
      <c r="TZM38" s="975"/>
      <c r="TZN38" s="975"/>
      <c r="TZO38" s="975"/>
      <c r="TZP38" s="975"/>
      <c r="TZQ38" s="975"/>
      <c r="TZR38" s="975"/>
      <c r="TZS38" s="975"/>
      <c r="TZT38" s="975"/>
      <c r="TZU38" s="975"/>
      <c r="TZV38" s="975"/>
      <c r="TZW38" s="975"/>
      <c r="TZX38" s="975"/>
      <c r="TZY38" s="975"/>
      <c r="TZZ38" s="975"/>
      <c r="UAA38" s="975"/>
      <c r="UAB38" s="975"/>
      <c r="UAC38" s="975"/>
      <c r="UAD38" s="975"/>
      <c r="UAE38" s="975"/>
      <c r="UAF38" s="975"/>
      <c r="UAG38" s="975"/>
      <c r="UAH38" s="975"/>
      <c r="UAI38" s="975"/>
      <c r="UAJ38" s="975"/>
      <c r="UAK38" s="975"/>
      <c r="UAL38" s="975"/>
      <c r="UAM38" s="975"/>
      <c r="UAN38" s="975"/>
      <c r="UAO38" s="975"/>
      <c r="UAP38" s="975"/>
      <c r="UAQ38" s="975"/>
      <c r="UAR38" s="975"/>
      <c r="UAS38" s="975"/>
      <c r="UAT38" s="975"/>
      <c r="UAU38" s="975"/>
      <c r="UAV38" s="975"/>
      <c r="UAW38" s="975"/>
      <c r="UAX38" s="975"/>
      <c r="UAY38" s="975"/>
      <c r="UAZ38" s="975"/>
      <c r="UBA38" s="975"/>
      <c r="UBB38" s="975"/>
      <c r="UBC38" s="975"/>
      <c r="UBD38" s="975"/>
      <c r="UBE38" s="975"/>
      <c r="UBF38" s="975"/>
      <c r="UBG38" s="975"/>
      <c r="UBH38" s="975"/>
      <c r="UBI38" s="975"/>
      <c r="UBJ38" s="975"/>
      <c r="UBK38" s="975"/>
      <c r="UBL38" s="975"/>
      <c r="UBM38" s="975"/>
      <c r="UBN38" s="975"/>
      <c r="UBO38" s="975"/>
      <c r="UBP38" s="975"/>
      <c r="UBQ38" s="975"/>
      <c r="UBR38" s="975"/>
      <c r="UBS38" s="975"/>
      <c r="UBT38" s="975"/>
      <c r="UBU38" s="975"/>
      <c r="UBV38" s="975"/>
      <c r="UBW38" s="975"/>
      <c r="UBX38" s="975"/>
      <c r="UBY38" s="975"/>
      <c r="UBZ38" s="975"/>
      <c r="UCA38" s="975"/>
      <c r="UCB38" s="975"/>
      <c r="UCC38" s="975"/>
      <c r="UCD38" s="975"/>
      <c r="UCE38" s="975"/>
      <c r="UCF38" s="975"/>
      <c r="UCG38" s="975"/>
      <c r="UCH38" s="975"/>
      <c r="UCI38" s="975"/>
      <c r="UCJ38" s="975"/>
      <c r="UCK38" s="975"/>
      <c r="UCL38" s="975"/>
      <c r="UCM38" s="975"/>
      <c r="UCN38" s="975"/>
      <c r="UCO38" s="975"/>
      <c r="UCP38" s="975"/>
      <c r="UCQ38" s="975"/>
      <c r="UCR38" s="975"/>
      <c r="UCS38" s="975"/>
      <c r="UCT38" s="975"/>
      <c r="UCU38" s="975"/>
      <c r="UCV38" s="975"/>
      <c r="UCW38" s="975"/>
      <c r="UCX38" s="975"/>
      <c r="UCY38" s="975"/>
      <c r="UCZ38" s="975"/>
      <c r="UDA38" s="975"/>
      <c r="UDB38" s="975"/>
      <c r="UDC38" s="975"/>
      <c r="UDD38" s="975"/>
      <c r="UDE38" s="975"/>
      <c r="UDF38" s="975"/>
      <c r="UDG38" s="975"/>
      <c r="UDH38" s="975"/>
      <c r="UDI38" s="975"/>
      <c r="UDJ38" s="975"/>
      <c r="UDK38" s="975"/>
      <c r="UDL38" s="975"/>
      <c r="UDM38" s="975"/>
      <c r="UDN38" s="975"/>
      <c r="UDO38" s="975"/>
      <c r="UDP38" s="975"/>
      <c r="UDQ38" s="975"/>
      <c r="UDR38" s="975"/>
      <c r="UDS38" s="975"/>
      <c r="UDT38" s="975"/>
      <c r="UDU38" s="975"/>
      <c r="UDV38" s="975"/>
      <c r="UDW38" s="975"/>
      <c r="UDX38" s="975"/>
      <c r="UDY38" s="975"/>
      <c r="UDZ38" s="975"/>
      <c r="UEA38" s="975"/>
      <c r="UEB38" s="975"/>
      <c r="UEC38" s="975"/>
      <c r="UED38" s="975"/>
      <c r="UEE38" s="975"/>
      <c r="UEF38" s="975"/>
      <c r="UEG38" s="975"/>
      <c r="UEH38" s="975"/>
      <c r="UEI38" s="975"/>
      <c r="UEJ38" s="975"/>
      <c r="UEK38" s="975"/>
      <c r="UEL38" s="975"/>
      <c r="UEM38" s="975"/>
      <c r="UEN38" s="975"/>
      <c r="UEO38" s="975"/>
      <c r="UEP38" s="975"/>
      <c r="UEQ38" s="975"/>
      <c r="UER38" s="975"/>
      <c r="UES38" s="975"/>
      <c r="UET38" s="975"/>
      <c r="UEU38" s="975"/>
      <c r="UEV38" s="975"/>
      <c r="UEW38" s="975"/>
      <c r="UEX38" s="975"/>
      <c r="UEY38" s="975"/>
      <c r="UEZ38" s="975"/>
      <c r="UFA38" s="975"/>
      <c r="UFB38" s="975"/>
      <c r="UFC38" s="975"/>
      <c r="UFD38" s="975"/>
      <c r="UFE38" s="975"/>
      <c r="UFF38" s="975"/>
      <c r="UFG38" s="975"/>
      <c r="UFH38" s="975"/>
      <c r="UFI38" s="975"/>
      <c r="UFJ38" s="975"/>
      <c r="UFK38" s="975"/>
      <c r="UFL38" s="975"/>
      <c r="UFM38" s="975"/>
      <c r="UFN38" s="975"/>
      <c r="UFO38" s="975"/>
      <c r="UFP38" s="975"/>
      <c r="UFQ38" s="975"/>
      <c r="UFR38" s="975"/>
      <c r="UFS38" s="975"/>
      <c r="UFT38" s="975"/>
      <c r="UFU38" s="975"/>
      <c r="UFV38" s="975"/>
      <c r="UFW38" s="975"/>
      <c r="UFX38" s="975"/>
      <c r="UFY38" s="975"/>
      <c r="UFZ38" s="975"/>
      <c r="UGA38" s="975"/>
      <c r="UGB38" s="975"/>
      <c r="UGC38" s="975"/>
      <c r="UGD38" s="975"/>
      <c r="UGE38" s="975"/>
      <c r="UGF38" s="975"/>
      <c r="UGG38" s="975"/>
      <c r="UGH38" s="975"/>
      <c r="UGI38" s="975"/>
      <c r="UGJ38" s="975"/>
      <c r="UGK38" s="975"/>
      <c r="UGL38" s="975"/>
      <c r="UGM38" s="975"/>
      <c r="UGN38" s="975"/>
      <c r="UGO38" s="975"/>
      <c r="UGP38" s="975"/>
      <c r="UGQ38" s="975"/>
      <c r="UGR38" s="975"/>
      <c r="UGS38" s="975"/>
      <c r="UGT38" s="975"/>
      <c r="UGU38" s="975"/>
      <c r="UGV38" s="975"/>
      <c r="UGW38" s="975"/>
      <c r="UGX38" s="975"/>
      <c r="UGY38" s="975"/>
      <c r="UGZ38" s="975"/>
      <c r="UHA38" s="975"/>
      <c r="UHB38" s="975"/>
      <c r="UHC38" s="975"/>
      <c r="UHD38" s="975"/>
      <c r="UHE38" s="975"/>
      <c r="UHF38" s="975"/>
      <c r="UHG38" s="975"/>
      <c r="UHH38" s="975"/>
      <c r="UHI38" s="975"/>
      <c r="UHJ38" s="975"/>
      <c r="UHK38" s="975"/>
      <c r="UHL38" s="975"/>
      <c r="UHM38" s="975"/>
      <c r="UHN38" s="975"/>
      <c r="UHO38" s="975"/>
      <c r="UHP38" s="975"/>
      <c r="UHQ38" s="975"/>
      <c r="UHR38" s="975"/>
      <c r="UHS38" s="975"/>
      <c r="UHT38" s="975"/>
      <c r="UHU38" s="975"/>
      <c r="UHV38" s="975"/>
      <c r="UHW38" s="975"/>
      <c r="UHX38" s="975"/>
      <c r="UHY38" s="975"/>
      <c r="UHZ38" s="975"/>
      <c r="UIA38" s="975"/>
      <c r="UIB38" s="975"/>
      <c r="UIC38" s="975"/>
      <c r="UID38" s="975"/>
      <c r="UIE38" s="975"/>
      <c r="UIF38" s="975"/>
      <c r="UIG38" s="975"/>
      <c r="UIH38" s="975"/>
      <c r="UII38" s="975"/>
      <c r="UIJ38" s="975"/>
      <c r="UIK38" s="975"/>
      <c r="UIL38" s="975"/>
      <c r="UIM38" s="975"/>
      <c r="UIN38" s="975"/>
      <c r="UIO38" s="975"/>
      <c r="UIP38" s="975"/>
      <c r="UIQ38" s="975"/>
      <c r="UIR38" s="975"/>
      <c r="UIS38" s="975"/>
      <c r="UIT38" s="975"/>
      <c r="UIU38" s="975"/>
      <c r="UIV38" s="975"/>
      <c r="UIW38" s="975"/>
      <c r="UIX38" s="975"/>
      <c r="UIY38" s="975"/>
      <c r="UIZ38" s="975"/>
      <c r="UJA38" s="975"/>
      <c r="UJB38" s="975"/>
      <c r="UJC38" s="975"/>
      <c r="UJD38" s="975"/>
      <c r="UJE38" s="975"/>
      <c r="UJF38" s="975"/>
      <c r="UJG38" s="975"/>
      <c r="UJH38" s="975"/>
      <c r="UJI38" s="975"/>
      <c r="UJJ38" s="975"/>
      <c r="UJK38" s="975"/>
      <c r="UJL38" s="975"/>
      <c r="UJM38" s="975"/>
      <c r="UJN38" s="975"/>
      <c r="UJO38" s="975"/>
      <c r="UJP38" s="975"/>
      <c r="UJQ38" s="975"/>
      <c r="UJR38" s="975"/>
      <c r="UJS38" s="975"/>
      <c r="UJT38" s="975"/>
      <c r="UJU38" s="975"/>
      <c r="UJV38" s="975"/>
      <c r="UJW38" s="975"/>
      <c r="UJX38" s="975"/>
      <c r="UJY38" s="975"/>
      <c r="UJZ38" s="975"/>
      <c r="UKA38" s="975"/>
      <c r="UKB38" s="975"/>
      <c r="UKC38" s="975"/>
      <c r="UKD38" s="975"/>
      <c r="UKE38" s="975"/>
      <c r="UKF38" s="975"/>
      <c r="UKG38" s="975"/>
      <c r="UKH38" s="975"/>
      <c r="UKI38" s="975"/>
      <c r="UKJ38" s="975"/>
      <c r="UKK38" s="975"/>
      <c r="UKL38" s="975"/>
      <c r="UKM38" s="975"/>
      <c r="UKN38" s="975"/>
      <c r="UKO38" s="975"/>
      <c r="UKP38" s="975"/>
      <c r="UKQ38" s="975"/>
      <c r="UKR38" s="975"/>
      <c r="UKS38" s="975"/>
      <c r="UKT38" s="975"/>
      <c r="UKU38" s="975"/>
      <c r="UKV38" s="975"/>
      <c r="UKW38" s="975"/>
      <c r="UKX38" s="975"/>
      <c r="UKY38" s="975"/>
      <c r="UKZ38" s="975"/>
      <c r="ULA38" s="975"/>
      <c r="ULB38" s="975"/>
      <c r="ULC38" s="975"/>
      <c r="ULD38" s="975"/>
      <c r="ULE38" s="975"/>
      <c r="ULF38" s="975"/>
      <c r="ULG38" s="975"/>
      <c r="ULH38" s="975"/>
      <c r="ULI38" s="975"/>
      <c r="ULJ38" s="975"/>
      <c r="ULK38" s="975"/>
      <c r="ULL38" s="975"/>
      <c r="ULM38" s="975"/>
      <c r="ULN38" s="975"/>
      <c r="ULO38" s="975"/>
      <c r="ULP38" s="975"/>
      <c r="ULQ38" s="975"/>
      <c r="ULR38" s="975"/>
      <c r="ULS38" s="975"/>
      <c r="ULT38" s="975"/>
      <c r="ULU38" s="975"/>
      <c r="ULV38" s="975"/>
      <c r="ULW38" s="975"/>
      <c r="ULX38" s="975"/>
      <c r="ULY38" s="975"/>
      <c r="ULZ38" s="975"/>
      <c r="UMA38" s="975"/>
      <c r="UMB38" s="975"/>
      <c r="UMC38" s="975"/>
      <c r="UMD38" s="975"/>
      <c r="UME38" s="975"/>
      <c r="UMF38" s="975"/>
      <c r="UMG38" s="975"/>
      <c r="UMH38" s="975"/>
      <c r="UMI38" s="975"/>
      <c r="UMJ38" s="975"/>
      <c r="UMK38" s="975"/>
      <c r="UML38" s="975"/>
      <c r="UMM38" s="975"/>
      <c r="UMN38" s="975"/>
      <c r="UMO38" s="975"/>
      <c r="UMP38" s="975"/>
      <c r="UMQ38" s="975"/>
      <c r="UMR38" s="975"/>
      <c r="UMS38" s="975"/>
      <c r="UMT38" s="975"/>
      <c r="UMU38" s="975"/>
      <c r="UMV38" s="975"/>
      <c r="UMW38" s="975"/>
      <c r="UMX38" s="975"/>
      <c r="UMY38" s="975"/>
      <c r="UMZ38" s="975"/>
      <c r="UNA38" s="975"/>
      <c r="UNB38" s="975"/>
      <c r="UNC38" s="975"/>
      <c r="UND38" s="975"/>
      <c r="UNE38" s="975"/>
      <c r="UNF38" s="975"/>
      <c r="UNG38" s="975"/>
      <c r="UNH38" s="975"/>
      <c r="UNI38" s="975"/>
      <c r="UNJ38" s="975"/>
      <c r="UNK38" s="975"/>
      <c r="UNL38" s="975"/>
      <c r="UNM38" s="975"/>
      <c r="UNN38" s="975"/>
      <c r="UNO38" s="975"/>
      <c r="UNP38" s="975"/>
      <c r="UNQ38" s="975"/>
      <c r="UNR38" s="975"/>
      <c r="UNS38" s="975"/>
      <c r="UNT38" s="975"/>
      <c r="UNU38" s="975"/>
      <c r="UNV38" s="975"/>
      <c r="UNW38" s="975"/>
      <c r="UNX38" s="975"/>
      <c r="UNY38" s="975"/>
      <c r="UNZ38" s="975"/>
      <c r="UOA38" s="975"/>
      <c r="UOB38" s="975"/>
      <c r="UOC38" s="975"/>
      <c r="UOD38" s="975"/>
      <c r="UOE38" s="975"/>
      <c r="UOF38" s="975"/>
      <c r="UOG38" s="975"/>
      <c r="UOH38" s="975"/>
      <c r="UOI38" s="975"/>
      <c r="UOJ38" s="975"/>
      <c r="UOK38" s="975"/>
      <c r="UOL38" s="975"/>
      <c r="UOM38" s="975"/>
      <c r="UON38" s="975"/>
      <c r="UOO38" s="975"/>
      <c r="UOP38" s="975"/>
      <c r="UOQ38" s="975"/>
      <c r="UOR38" s="975"/>
      <c r="UOS38" s="975"/>
      <c r="UOT38" s="975"/>
      <c r="UOU38" s="975"/>
      <c r="UOV38" s="975"/>
      <c r="UOW38" s="975"/>
      <c r="UOX38" s="975"/>
      <c r="UOY38" s="975"/>
      <c r="UOZ38" s="975"/>
      <c r="UPA38" s="975"/>
      <c r="UPB38" s="975"/>
      <c r="UPC38" s="975"/>
      <c r="UPD38" s="975"/>
      <c r="UPE38" s="975"/>
      <c r="UPF38" s="975"/>
      <c r="UPG38" s="975"/>
      <c r="UPH38" s="975"/>
      <c r="UPI38" s="975"/>
      <c r="UPJ38" s="975"/>
      <c r="UPK38" s="975"/>
      <c r="UPL38" s="975"/>
      <c r="UPM38" s="975"/>
      <c r="UPN38" s="975"/>
      <c r="UPO38" s="975"/>
      <c r="UPP38" s="975"/>
      <c r="UPQ38" s="975"/>
      <c r="UPR38" s="975"/>
      <c r="UPS38" s="975"/>
      <c r="UPT38" s="975"/>
      <c r="UPU38" s="975"/>
      <c r="UPV38" s="975"/>
      <c r="UPW38" s="975"/>
      <c r="UPX38" s="975"/>
      <c r="UPY38" s="975"/>
      <c r="UPZ38" s="975"/>
      <c r="UQA38" s="975"/>
      <c r="UQB38" s="975"/>
      <c r="UQC38" s="975"/>
      <c r="UQD38" s="975"/>
      <c r="UQE38" s="975"/>
      <c r="UQF38" s="975"/>
      <c r="UQG38" s="975"/>
      <c r="UQH38" s="975"/>
      <c r="UQI38" s="975"/>
      <c r="UQJ38" s="975"/>
      <c r="UQK38" s="975"/>
      <c r="UQL38" s="975"/>
      <c r="UQM38" s="975"/>
      <c r="UQN38" s="975"/>
      <c r="UQO38" s="975"/>
      <c r="UQP38" s="975"/>
      <c r="UQQ38" s="975"/>
      <c r="UQR38" s="975"/>
      <c r="UQS38" s="975"/>
      <c r="UQT38" s="975"/>
      <c r="UQU38" s="975"/>
      <c r="UQV38" s="975"/>
      <c r="UQW38" s="975"/>
      <c r="UQX38" s="975"/>
      <c r="UQY38" s="975"/>
      <c r="UQZ38" s="975"/>
      <c r="URA38" s="975"/>
      <c r="URB38" s="975"/>
      <c r="URC38" s="975"/>
      <c r="URD38" s="975"/>
      <c r="URE38" s="975"/>
      <c r="URF38" s="975"/>
      <c r="URG38" s="975"/>
      <c r="URH38" s="975"/>
      <c r="URI38" s="975"/>
      <c r="URJ38" s="975"/>
      <c r="URK38" s="975"/>
      <c r="URL38" s="975"/>
      <c r="URM38" s="975"/>
      <c r="URN38" s="975"/>
      <c r="URO38" s="975"/>
      <c r="URP38" s="975"/>
      <c r="URQ38" s="975"/>
      <c r="URR38" s="975"/>
      <c r="URS38" s="975"/>
      <c r="URT38" s="975"/>
      <c r="URU38" s="975"/>
      <c r="URV38" s="975"/>
      <c r="URW38" s="975"/>
      <c r="URX38" s="975"/>
      <c r="URY38" s="975"/>
      <c r="URZ38" s="975"/>
      <c r="USA38" s="975"/>
      <c r="USB38" s="975"/>
      <c r="USC38" s="975"/>
      <c r="USD38" s="975"/>
      <c r="USE38" s="975"/>
      <c r="USF38" s="975"/>
      <c r="USG38" s="975"/>
      <c r="USH38" s="975"/>
      <c r="USI38" s="975"/>
      <c r="USJ38" s="975"/>
      <c r="USK38" s="975"/>
      <c r="USL38" s="975"/>
      <c r="USM38" s="975"/>
      <c r="USN38" s="975"/>
      <c r="USO38" s="975"/>
      <c r="USP38" s="975"/>
      <c r="USQ38" s="975"/>
      <c r="USR38" s="975"/>
      <c r="USS38" s="975"/>
      <c r="UST38" s="975"/>
      <c r="USU38" s="975"/>
      <c r="USV38" s="975"/>
      <c r="USW38" s="975"/>
      <c r="USX38" s="975"/>
      <c r="USY38" s="975"/>
      <c r="USZ38" s="975"/>
      <c r="UTA38" s="975"/>
      <c r="UTB38" s="975"/>
      <c r="UTC38" s="975"/>
      <c r="UTD38" s="975"/>
      <c r="UTE38" s="975"/>
      <c r="UTF38" s="975"/>
      <c r="UTG38" s="975"/>
      <c r="UTH38" s="975"/>
      <c r="UTI38" s="975"/>
      <c r="UTJ38" s="975"/>
      <c r="UTK38" s="975"/>
      <c r="UTL38" s="975"/>
      <c r="UTM38" s="975"/>
      <c r="UTN38" s="975"/>
      <c r="UTO38" s="975"/>
      <c r="UTP38" s="975"/>
      <c r="UTQ38" s="975"/>
      <c r="UTR38" s="975"/>
      <c r="UTS38" s="975"/>
      <c r="UTT38" s="975"/>
      <c r="UTU38" s="975"/>
      <c r="UTV38" s="975"/>
      <c r="UTW38" s="975"/>
      <c r="UTX38" s="975"/>
      <c r="UTY38" s="975"/>
      <c r="UTZ38" s="975"/>
      <c r="UUA38" s="975"/>
      <c r="UUB38" s="975"/>
      <c r="UUC38" s="975"/>
      <c r="UUD38" s="975"/>
      <c r="UUE38" s="975"/>
      <c r="UUF38" s="975"/>
      <c r="UUG38" s="975"/>
      <c r="UUH38" s="975"/>
      <c r="UUI38" s="975"/>
      <c r="UUJ38" s="975"/>
      <c r="UUK38" s="975"/>
      <c r="UUL38" s="975"/>
      <c r="UUM38" s="975"/>
      <c r="UUN38" s="975"/>
      <c r="UUO38" s="975"/>
      <c r="UUP38" s="975"/>
      <c r="UUQ38" s="975"/>
      <c r="UUR38" s="975"/>
      <c r="UUS38" s="975"/>
      <c r="UUT38" s="975"/>
      <c r="UUU38" s="975"/>
      <c r="UUV38" s="975"/>
      <c r="UUW38" s="975"/>
      <c r="UUX38" s="975"/>
      <c r="UUY38" s="975"/>
      <c r="UUZ38" s="975"/>
      <c r="UVA38" s="975"/>
      <c r="UVB38" s="975"/>
      <c r="UVC38" s="975"/>
      <c r="UVD38" s="975"/>
      <c r="UVE38" s="975"/>
      <c r="UVF38" s="975"/>
      <c r="UVG38" s="975"/>
      <c r="UVH38" s="975"/>
      <c r="UVI38" s="975"/>
      <c r="UVJ38" s="975"/>
      <c r="UVK38" s="975"/>
      <c r="UVL38" s="975"/>
      <c r="UVM38" s="975"/>
      <c r="UVN38" s="975"/>
      <c r="UVO38" s="975"/>
      <c r="UVP38" s="975"/>
      <c r="UVQ38" s="975"/>
      <c r="UVR38" s="975"/>
      <c r="UVS38" s="975"/>
      <c r="UVT38" s="975"/>
      <c r="UVU38" s="975"/>
      <c r="UVV38" s="975"/>
      <c r="UVW38" s="975"/>
      <c r="UVX38" s="975"/>
      <c r="UVY38" s="975"/>
      <c r="UVZ38" s="975"/>
      <c r="UWA38" s="975"/>
      <c r="UWB38" s="975"/>
      <c r="UWC38" s="975"/>
      <c r="UWD38" s="975"/>
      <c r="UWE38" s="975"/>
      <c r="UWF38" s="975"/>
      <c r="UWG38" s="975"/>
      <c r="UWH38" s="975"/>
      <c r="UWI38" s="975"/>
      <c r="UWJ38" s="975"/>
      <c r="UWK38" s="975"/>
      <c r="UWL38" s="975"/>
      <c r="UWM38" s="975"/>
      <c r="UWN38" s="975"/>
      <c r="UWO38" s="975"/>
      <c r="UWP38" s="975"/>
      <c r="UWQ38" s="975"/>
      <c r="UWR38" s="975"/>
      <c r="UWS38" s="975"/>
      <c r="UWT38" s="975"/>
      <c r="UWU38" s="975"/>
      <c r="UWV38" s="975"/>
      <c r="UWW38" s="975"/>
      <c r="UWX38" s="975"/>
      <c r="UWY38" s="975"/>
      <c r="UWZ38" s="975"/>
      <c r="UXA38" s="975"/>
      <c r="UXB38" s="975"/>
      <c r="UXC38" s="975"/>
      <c r="UXD38" s="975"/>
      <c r="UXE38" s="975"/>
      <c r="UXF38" s="975"/>
      <c r="UXG38" s="975"/>
      <c r="UXH38" s="975"/>
      <c r="UXI38" s="975"/>
      <c r="UXJ38" s="975"/>
      <c r="UXK38" s="975"/>
      <c r="UXL38" s="975"/>
      <c r="UXM38" s="975"/>
      <c r="UXN38" s="975"/>
      <c r="UXO38" s="975"/>
      <c r="UXP38" s="975"/>
      <c r="UXQ38" s="975"/>
      <c r="UXR38" s="975"/>
      <c r="UXS38" s="975"/>
      <c r="UXT38" s="975"/>
      <c r="UXU38" s="975"/>
      <c r="UXV38" s="975"/>
      <c r="UXW38" s="975"/>
      <c r="UXX38" s="975"/>
      <c r="UXY38" s="975"/>
      <c r="UXZ38" s="975"/>
      <c r="UYA38" s="975"/>
      <c r="UYB38" s="975"/>
      <c r="UYC38" s="975"/>
      <c r="UYD38" s="975"/>
      <c r="UYE38" s="975"/>
      <c r="UYF38" s="975"/>
      <c r="UYG38" s="975"/>
      <c r="UYH38" s="975"/>
      <c r="UYI38" s="975"/>
      <c r="UYJ38" s="975"/>
      <c r="UYK38" s="975"/>
      <c r="UYL38" s="975"/>
      <c r="UYM38" s="975"/>
      <c r="UYN38" s="975"/>
      <c r="UYO38" s="975"/>
      <c r="UYP38" s="975"/>
      <c r="UYQ38" s="975"/>
      <c r="UYR38" s="975"/>
      <c r="UYS38" s="975"/>
      <c r="UYT38" s="975"/>
      <c r="UYU38" s="975"/>
      <c r="UYV38" s="975"/>
      <c r="UYW38" s="975"/>
      <c r="UYX38" s="975"/>
      <c r="UYY38" s="975"/>
      <c r="UYZ38" s="975"/>
      <c r="UZA38" s="975"/>
      <c r="UZB38" s="975"/>
      <c r="UZC38" s="975"/>
      <c r="UZD38" s="975"/>
      <c r="UZE38" s="975"/>
      <c r="UZF38" s="975"/>
      <c r="UZG38" s="975"/>
      <c r="UZH38" s="975"/>
      <c r="UZI38" s="975"/>
      <c r="UZJ38" s="975"/>
      <c r="UZK38" s="975"/>
      <c r="UZL38" s="975"/>
      <c r="UZM38" s="975"/>
      <c r="UZN38" s="975"/>
      <c r="UZO38" s="975"/>
      <c r="UZP38" s="975"/>
      <c r="UZQ38" s="975"/>
      <c r="UZR38" s="975"/>
      <c r="UZS38" s="975"/>
      <c r="UZT38" s="975"/>
      <c r="UZU38" s="975"/>
      <c r="UZV38" s="975"/>
      <c r="UZW38" s="975"/>
      <c r="UZX38" s="975"/>
      <c r="UZY38" s="975"/>
      <c r="UZZ38" s="975"/>
      <c r="VAA38" s="975"/>
      <c r="VAB38" s="975"/>
      <c r="VAC38" s="975"/>
      <c r="VAD38" s="975"/>
      <c r="VAE38" s="975"/>
      <c r="VAF38" s="975"/>
      <c r="VAG38" s="975"/>
      <c r="VAH38" s="975"/>
      <c r="VAI38" s="975"/>
      <c r="VAJ38" s="975"/>
      <c r="VAK38" s="975"/>
      <c r="VAL38" s="975"/>
      <c r="VAM38" s="975"/>
      <c r="VAN38" s="975"/>
      <c r="VAO38" s="975"/>
      <c r="VAP38" s="975"/>
      <c r="VAQ38" s="975"/>
      <c r="VAR38" s="975"/>
      <c r="VAS38" s="975"/>
      <c r="VAT38" s="975"/>
      <c r="VAU38" s="975"/>
      <c r="VAV38" s="975"/>
      <c r="VAW38" s="975"/>
      <c r="VAX38" s="975"/>
      <c r="VAY38" s="975"/>
      <c r="VAZ38" s="975"/>
      <c r="VBA38" s="975"/>
      <c r="VBB38" s="975"/>
      <c r="VBC38" s="975"/>
      <c r="VBD38" s="975"/>
      <c r="VBE38" s="975"/>
      <c r="VBF38" s="975"/>
      <c r="VBG38" s="975"/>
      <c r="VBH38" s="975"/>
      <c r="VBI38" s="975"/>
      <c r="VBJ38" s="975"/>
      <c r="VBK38" s="975"/>
      <c r="VBL38" s="975"/>
      <c r="VBM38" s="975"/>
      <c r="VBN38" s="975"/>
      <c r="VBO38" s="975"/>
      <c r="VBP38" s="975"/>
      <c r="VBQ38" s="975"/>
      <c r="VBR38" s="975"/>
      <c r="VBS38" s="975"/>
      <c r="VBT38" s="975"/>
      <c r="VBU38" s="975"/>
      <c r="VBV38" s="975"/>
      <c r="VBW38" s="975"/>
      <c r="VBX38" s="975"/>
      <c r="VBY38" s="975"/>
      <c r="VBZ38" s="975"/>
      <c r="VCA38" s="975"/>
      <c r="VCB38" s="975"/>
      <c r="VCC38" s="975"/>
      <c r="VCD38" s="975"/>
      <c r="VCE38" s="975"/>
      <c r="VCF38" s="975"/>
      <c r="VCG38" s="975"/>
      <c r="VCH38" s="975"/>
      <c r="VCI38" s="975"/>
      <c r="VCJ38" s="975"/>
      <c r="VCK38" s="975"/>
      <c r="VCL38" s="975"/>
      <c r="VCM38" s="975"/>
      <c r="VCN38" s="975"/>
      <c r="VCO38" s="975"/>
      <c r="VCP38" s="975"/>
      <c r="VCQ38" s="975"/>
      <c r="VCR38" s="975"/>
      <c r="VCS38" s="975"/>
      <c r="VCT38" s="975"/>
      <c r="VCU38" s="975"/>
      <c r="VCV38" s="975"/>
      <c r="VCW38" s="975"/>
      <c r="VCX38" s="975"/>
      <c r="VCY38" s="975"/>
      <c r="VCZ38" s="975"/>
      <c r="VDA38" s="975"/>
      <c r="VDB38" s="975"/>
      <c r="VDC38" s="975"/>
      <c r="VDD38" s="975"/>
      <c r="VDE38" s="975"/>
      <c r="VDF38" s="975"/>
      <c r="VDG38" s="975"/>
      <c r="VDH38" s="975"/>
      <c r="VDI38" s="975"/>
      <c r="VDJ38" s="975"/>
      <c r="VDK38" s="975"/>
      <c r="VDL38" s="975"/>
      <c r="VDM38" s="975"/>
      <c r="VDN38" s="975"/>
      <c r="VDO38" s="975"/>
      <c r="VDP38" s="975"/>
      <c r="VDQ38" s="975"/>
      <c r="VDR38" s="975"/>
      <c r="VDS38" s="975"/>
      <c r="VDT38" s="975"/>
      <c r="VDU38" s="975"/>
      <c r="VDV38" s="975"/>
      <c r="VDW38" s="975"/>
      <c r="VDX38" s="975"/>
      <c r="VDY38" s="975"/>
      <c r="VDZ38" s="975"/>
      <c r="VEA38" s="975"/>
      <c r="VEB38" s="975"/>
      <c r="VEC38" s="975"/>
      <c r="VED38" s="975"/>
      <c r="VEE38" s="975"/>
      <c r="VEF38" s="975"/>
      <c r="VEG38" s="975"/>
      <c r="VEH38" s="975"/>
      <c r="VEI38" s="975"/>
      <c r="VEJ38" s="975"/>
      <c r="VEK38" s="975"/>
      <c r="VEL38" s="975"/>
      <c r="VEM38" s="975"/>
      <c r="VEN38" s="975"/>
      <c r="VEO38" s="975"/>
      <c r="VEP38" s="975"/>
      <c r="VEQ38" s="975"/>
      <c r="VER38" s="975"/>
      <c r="VES38" s="975"/>
      <c r="VET38" s="975"/>
      <c r="VEU38" s="975"/>
      <c r="VEV38" s="975"/>
      <c r="VEW38" s="975"/>
      <c r="VEX38" s="975"/>
      <c r="VEY38" s="975"/>
      <c r="VEZ38" s="975"/>
      <c r="VFA38" s="975"/>
      <c r="VFB38" s="975"/>
      <c r="VFC38" s="975"/>
      <c r="VFD38" s="975"/>
      <c r="VFE38" s="975"/>
      <c r="VFF38" s="975"/>
      <c r="VFG38" s="975"/>
      <c r="VFH38" s="975"/>
      <c r="VFI38" s="975"/>
      <c r="VFJ38" s="975"/>
      <c r="VFK38" s="975"/>
      <c r="VFL38" s="975"/>
      <c r="VFM38" s="975"/>
      <c r="VFN38" s="975"/>
      <c r="VFO38" s="975"/>
      <c r="VFP38" s="975"/>
      <c r="VFQ38" s="975"/>
      <c r="VFR38" s="975"/>
      <c r="VFS38" s="975"/>
      <c r="VFT38" s="975"/>
      <c r="VFU38" s="975"/>
      <c r="VFV38" s="975"/>
      <c r="VFW38" s="975"/>
      <c r="VFX38" s="975"/>
      <c r="VFY38" s="975"/>
      <c r="VFZ38" s="975"/>
      <c r="VGA38" s="975"/>
      <c r="VGB38" s="975"/>
      <c r="VGC38" s="975"/>
      <c r="VGD38" s="975"/>
      <c r="VGE38" s="975"/>
      <c r="VGF38" s="975"/>
      <c r="VGG38" s="975"/>
      <c r="VGH38" s="975"/>
      <c r="VGI38" s="975"/>
      <c r="VGJ38" s="975"/>
      <c r="VGK38" s="975"/>
      <c r="VGL38" s="975"/>
      <c r="VGM38" s="975"/>
      <c r="VGN38" s="975"/>
      <c r="VGO38" s="975"/>
      <c r="VGP38" s="975"/>
      <c r="VGQ38" s="975"/>
      <c r="VGR38" s="975"/>
      <c r="VGS38" s="975"/>
      <c r="VGT38" s="975"/>
      <c r="VGU38" s="975"/>
      <c r="VGV38" s="975"/>
      <c r="VGW38" s="975"/>
      <c r="VGX38" s="975"/>
      <c r="VGY38" s="975"/>
      <c r="VGZ38" s="975"/>
      <c r="VHA38" s="975"/>
      <c r="VHB38" s="975"/>
      <c r="VHC38" s="975"/>
      <c r="VHD38" s="975"/>
      <c r="VHE38" s="975"/>
      <c r="VHF38" s="975"/>
      <c r="VHG38" s="975"/>
      <c r="VHH38" s="975"/>
      <c r="VHI38" s="975"/>
      <c r="VHJ38" s="975"/>
      <c r="VHK38" s="975"/>
      <c r="VHL38" s="975"/>
      <c r="VHM38" s="975"/>
      <c r="VHN38" s="975"/>
      <c r="VHO38" s="975"/>
      <c r="VHP38" s="975"/>
      <c r="VHQ38" s="975"/>
      <c r="VHR38" s="975"/>
      <c r="VHS38" s="975"/>
      <c r="VHT38" s="975"/>
      <c r="VHU38" s="975"/>
      <c r="VHV38" s="975"/>
      <c r="VHW38" s="975"/>
      <c r="VHX38" s="975"/>
      <c r="VHY38" s="975"/>
      <c r="VHZ38" s="975"/>
      <c r="VIA38" s="975"/>
      <c r="VIB38" s="975"/>
      <c r="VIC38" s="975"/>
      <c r="VID38" s="975"/>
      <c r="VIE38" s="975"/>
      <c r="VIF38" s="975"/>
      <c r="VIG38" s="975"/>
      <c r="VIH38" s="975"/>
      <c r="VII38" s="975"/>
      <c r="VIJ38" s="975"/>
      <c r="VIK38" s="975"/>
      <c r="VIL38" s="975"/>
      <c r="VIM38" s="975"/>
      <c r="VIN38" s="975"/>
      <c r="VIO38" s="975"/>
      <c r="VIP38" s="975"/>
      <c r="VIQ38" s="975"/>
      <c r="VIR38" s="975"/>
      <c r="VIS38" s="975"/>
      <c r="VIT38" s="975"/>
      <c r="VIU38" s="975"/>
      <c r="VIV38" s="975"/>
      <c r="VIW38" s="975"/>
      <c r="VIX38" s="975"/>
      <c r="VIY38" s="975"/>
      <c r="VIZ38" s="975"/>
      <c r="VJA38" s="975"/>
      <c r="VJB38" s="975"/>
      <c r="VJC38" s="975"/>
      <c r="VJD38" s="975"/>
      <c r="VJE38" s="975"/>
      <c r="VJF38" s="975"/>
      <c r="VJG38" s="975"/>
      <c r="VJH38" s="975"/>
      <c r="VJI38" s="975"/>
      <c r="VJJ38" s="975"/>
      <c r="VJK38" s="975"/>
      <c r="VJL38" s="975"/>
      <c r="VJM38" s="975"/>
      <c r="VJN38" s="975"/>
      <c r="VJO38" s="975"/>
      <c r="VJP38" s="975"/>
      <c r="VJQ38" s="975"/>
      <c r="VJR38" s="975"/>
      <c r="VJS38" s="975"/>
      <c r="VJT38" s="975"/>
      <c r="VJU38" s="975"/>
      <c r="VJV38" s="975"/>
      <c r="VJW38" s="975"/>
      <c r="VJX38" s="975"/>
      <c r="VJY38" s="975"/>
      <c r="VJZ38" s="975"/>
      <c r="VKA38" s="975"/>
      <c r="VKB38" s="975"/>
      <c r="VKC38" s="975"/>
      <c r="VKD38" s="975"/>
      <c r="VKE38" s="975"/>
      <c r="VKF38" s="975"/>
      <c r="VKG38" s="975"/>
      <c r="VKH38" s="975"/>
      <c r="VKI38" s="975"/>
      <c r="VKJ38" s="975"/>
      <c r="VKK38" s="975"/>
      <c r="VKL38" s="975"/>
      <c r="VKM38" s="975"/>
      <c r="VKN38" s="975"/>
      <c r="VKO38" s="975"/>
      <c r="VKP38" s="975"/>
      <c r="VKQ38" s="975"/>
      <c r="VKR38" s="975"/>
      <c r="VKS38" s="975"/>
      <c r="VKT38" s="975"/>
      <c r="VKU38" s="975"/>
      <c r="VKV38" s="975"/>
      <c r="VKW38" s="975"/>
      <c r="VKX38" s="975"/>
      <c r="VKY38" s="975"/>
      <c r="VKZ38" s="975"/>
      <c r="VLA38" s="975"/>
      <c r="VLB38" s="975"/>
      <c r="VLC38" s="975"/>
      <c r="VLD38" s="975"/>
      <c r="VLE38" s="975"/>
      <c r="VLF38" s="975"/>
      <c r="VLG38" s="975"/>
      <c r="VLH38" s="975"/>
      <c r="VLI38" s="975"/>
      <c r="VLJ38" s="975"/>
      <c r="VLK38" s="975"/>
      <c r="VLL38" s="975"/>
      <c r="VLM38" s="975"/>
      <c r="VLN38" s="975"/>
      <c r="VLO38" s="975"/>
      <c r="VLP38" s="975"/>
      <c r="VLQ38" s="975"/>
      <c r="VLR38" s="975"/>
      <c r="VLS38" s="975"/>
      <c r="VLT38" s="975"/>
      <c r="VLU38" s="975"/>
      <c r="VLV38" s="975"/>
      <c r="VLW38" s="975"/>
      <c r="VLX38" s="975"/>
      <c r="VLY38" s="975"/>
      <c r="VLZ38" s="975"/>
      <c r="VMA38" s="975"/>
      <c r="VMB38" s="975"/>
      <c r="VMC38" s="975"/>
      <c r="VMD38" s="975"/>
      <c r="VME38" s="975"/>
      <c r="VMF38" s="975"/>
      <c r="VMG38" s="975"/>
      <c r="VMH38" s="975"/>
      <c r="VMI38" s="975"/>
      <c r="VMJ38" s="975"/>
      <c r="VMK38" s="975"/>
      <c r="VML38" s="975"/>
      <c r="VMM38" s="975"/>
      <c r="VMN38" s="975"/>
      <c r="VMO38" s="975"/>
      <c r="VMP38" s="975"/>
      <c r="VMQ38" s="975"/>
      <c r="VMR38" s="975"/>
      <c r="VMS38" s="975"/>
      <c r="VMT38" s="975"/>
      <c r="VMU38" s="975"/>
      <c r="VMV38" s="975"/>
      <c r="VMW38" s="975"/>
      <c r="VMX38" s="975"/>
      <c r="VMY38" s="975"/>
      <c r="VMZ38" s="975"/>
      <c r="VNA38" s="975"/>
      <c r="VNB38" s="975"/>
      <c r="VNC38" s="975"/>
      <c r="VND38" s="975"/>
      <c r="VNE38" s="975"/>
      <c r="VNF38" s="975"/>
      <c r="VNG38" s="975"/>
      <c r="VNH38" s="975"/>
      <c r="VNI38" s="975"/>
      <c r="VNJ38" s="975"/>
      <c r="VNK38" s="975"/>
      <c r="VNL38" s="975"/>
      <c r="VNM38" s="975"/>
      <c r="VNN38" s="975"/>
      <c r="VNO38" s="975"/>
      <c r="VNP38" s="975"/>
      <c r="VNQ38" s="975"/>
      <c r="VNR38" s="975"/>
      <c r="VNS38" s="975"/>
      <c r="VNT38" s="975"/>
      <c r="VNU38" s="975"/>
      <c r="VNV38" s="975"/>
      <c r="VNW38" s="975"/>
      <c r="VNX38" s="975"/>
      <c r="VNY38" s="975"/>
      <c r="VNZ38" s="975"/>
      <c r="VOA38" s="975"/>
      <c r="VOB38" s="975"/>
      <c r="VOC38" s="975"/>
      <c r="VOD38" s="975"/>
      <c r="VOE38" s="975"/>
      <c r="VOF38" s="975"/>
      <c r="VOG38" s="975"/>
      <c r="VOH38" s="975"/>
      <c r="VOI38" s="975"/>
      <c r="VOJ38" s="975"/>
      <c r="VOK38" s="975"/>
      <c r="VOL38" s="975"/>
      <c r="VOM38" s="975"/>
      <c r="VON38" s="975"/>
      <c r="VOO38" s="975"/>
      <c r="VOP38" s="975"/>
      <c r="VOQ38" s="975"/>
      <c r="VOR38" s="975"/>
      <c r="VOS38" s="975"/>
      <c r="VOT38" s="975"/>
      <c r="VOU38" s="975"/>
      <c r="VOV38" s="975"/>
      <c r="VOW38" s="975"/>
      <c r="VOX38" s="975"/>
      <c r="VOY38" s="975"/>
      <c r="VOZ38" s="975"/>
      <c r="VPA38" s="975"/>
      <c r="VPB38" s="975"/>
      <c r="VPC38" s="975"/>
      <c r="VPD38" s="975"/>
      <c r="VPE38" s="975"/>
      <c r="VPF38" s="975"/>
      <c r="VPG38" s="975"/>
      <c r="VPH38" s="975"/>
      <c r="VPI38" s="975"/>
      <c r="VPJ38" s="975"/>
      <c r="VPK38" s="975"/>
      <c r="VPL38" s="975"/>
      <c r="VPM38" s="975"/>
      <c r="VPN38" s="975"/>
      <c r="VPO38" s="975"/>
      <c r="VPP38" s="975"/>
      <c r="VPQ38" s="975"/>
      <c r="VPR38" s="975"/>
      <c r="VPS38" s="975"/>
      <c r="VPT38" s="975"/>
      <c r="VPU38" s="975"/>
      <c r="VPV38" s="975"/>
      <c r="VPW38" s="975"/>
      <c r="VPX38" s="975"/>
      <c r="VPY38" s="975"/>
      <c r="VPZ38" s="975"/>
      <c r="VQA38" s="975"/>
      <c r="VQB38" s="975"/>
      <c r="VQC38" s="975"/>
      <c r="VQD38" s="975"/>
      <c r="VQE38" s="975"/>
      <c r="VQF38" s="975"/>
      <c r="VQG38" s="975"/>
      <c r="VQH38" s="975"/>
      <c r="VQI38" s="975"/>
      <c r="VQJ38" s="975"/>
      <c r="VQK38" s="975"/>
      <c r="VQL38" s="975"/>
      <c r="VQM38" s="975"/>
      <c r="VQN38" s="975"/>
      <c r="VQO38" s="975"/>
      <c r="VQP38" s="975"/>
      <c r="VQQ38" s="975"/>
      <c r="VQR38" s="975"/>
      <c r="VQS38" s="975"/>
      <c r="VQT38" s="975"/>
      <c r="VQU38" s="975"/>
      <c r="VQV38" s="975"/>
      <c r="VQW38" s="975"/>
      <c r="VQX38" s="975"/>
      <c r="VQY38" s="975"/>
      <c r="VQZ38" s="975"/>
      <c r="VRA38" s="975"/>
      <c r="VRB38" s="975"/>
      <c r="VRC38" s="975"/>
      <c r="VRD38" s="975"/>
      <c r="VRE38" s="975"/>
      <c r="VRF38" s="975"/>
      <c r="VRG38" s="975"/>
      <c r="VRH38" s="975"/>
      <c r="VRI38" s="975"/>
      <c r="VRJ38" s="975"/>
      <c r="VRK38" s="975"/>
      <c r="VRL38" s="975"/>
      <c r="VRM38" s="975"/>
      <c r="VRN38" s="975"/>
      <c r="VRO38" s="975"/>
      <c r="VRP38" s="975"/>
      <c r="VRQ38" s="975"/>
      <c r="VRR38" s="975"/>
      <c r="VRS38" s="975"/>
      <c r="VRT38" s="975"/>
      <c r="VRU38" s="975"/>
      <c r="VRV38" s="975"/>
      <c r="VRW38" s="975"/>
      <c r="VRX38" s="975"/>
      <c r="VRY38" s="975"/>
      <c r="VRZ38" s="975"/>
      <c r="VSA38" s="975"/>
      <c r="VSB38" s="975"/>
      <c r="VSC38" s="975"/>
      <c r="VSD38" s="975"/>
      <c r="VSE38" s="975"/>
      <c r="VSF38" s="975"/>
      <c r="VSG38" s="975"/>
      <c r="VSH38" s="975"/>
      <c r="VSI38" s="975"/>
      <c r="VSJ38" s="975"/>
      <c r="VSK38" s="975"/>
      <c r="VSL38" s="975"/>
      <c r="VSM38" s="975"/>
      <c r="VSN38" s="975"/>
      <c r="VSO38" s="975"/>
      <c r="VSP38" s="975"/>
      <c r="VSQ38" s="975"/>
      <c r="VSR38" s="975"/>
      <c r="VSS38" s="975"/>
      <c r="VST38" s="975"/>
      <c r="VSU38" s="975"/>
      <c r="VSV38" s="975"/>
      <c r="VSW38" s="975"/>
      <c r="VSX38" s="975"/>
      <c r="VSY38" s="975"/>
      <c r="VSZ38" s="975"/>
      <c r="VTA38" s="975"/>
      <c r="VTB38" s="975"/>
      <c r="VTC38" s="975"/>
      <c r="VTD38" s="975"/>
      <c r="VTE38" s="975"/>
      <c r="VTF38" s="975"/>
      <c r="VTG38" s="975"/>
      <c r="VTH38" s="975"/>
      <c r="VTI38" s="975"/>
      <c r="VTJ38" s="975"/>
      <c r="VTK38" s="975"/>
      <c r="VTL38" s="975"/>
      <c r="VTM38" s="975"/>
      <c r="VTN38" s="975"/>
      <c r="VTO38" s="975"/>
      <c r="VTP38" s="975"/>
      <c r="VTQ38" s="975"/>
      <c r="VTR38" s="975"/>
      <c r="VTS38" s="975"/>
      <c r="VTT38" s="975"/>
      <c r="VTU38" s="975"/>
      <c r="VTV38" s="975"/>
      <c r="VTW38" s="975"/>
      <c r="VTX38" s="975"/>
      <c r="VTY38" s="975"/>
      <c r="VTZ38" s="975"/>
      <c r="VUA38" s="975"/>
      <c r="VUB38" s="975"/>
      <c r="VUC38" s="975"/>
      <c r="VUD38" s="975"/>
      <c r="VUE38" s="975"/>
      <c r="VUF38" s="975"/>
      <c r="VUG38" s="975"/>
      <c r="VUH38" s="975"/>
      <c r="VUI38" s="975"/>
      <c r="VUJ38" s="975"/>
      <c r="VUK38" s="975"/>
      <c r="VUL38" s="975"/>
      <c r="VUM38" s="975"/>
      <c r="VUN38" s="975"/>
      <c r="VUO38" s="975"/>
      <c r="VUP38" s="975"/>
      <c r="VUQ38" s="975"/>
      <c r="VUR38" s="975"/>
      <c r="VUS38" s="975"/>
      <c r="VUT38" s="975"/>
      <c r="VUU38" s="975"/>
      <c r="VUV38" s="975"/>
      <c r="VUW38" s="975"/>
      <c r="VUX38" s="975"/>
      <c r="VUY38" s="975"/>
      <c r="VUZ38" s="975"/>
      <c r="VVA38" s="975"/>
      <c r="VVB38" s="975"/>
      <c r="VVC38" s="975"/>
      <c r="VVD38" s="975"/>
      <c r="VVE38" s="975"/>
      <c r="VVF38" s="975"/>
      <c r="VVG38" s="975"/>
      <c r="VVH38" s="975"/>
      <c r="VVI38" s="975"/>
      <c r="VVJ38" s="975"/>
      <c r="VVK38" s="975"/>
      <c r="VVL38" s="975"/>
      <c r="VVM38" s="975"/>
      <c r="VVN38" s="975"/>
      <c r="VVO38" s="975"/>
      <c r="VVP38" s="975"/>
      <c r="VVQ38" s="975"/>
      <c r="VVR38" s="975"/>
      <c r="VVS38" s="975"/>
      <c r="VVT38" s="975"/>
      <c r="VVU38" s="975"/>
      <c r="VVV38" s="975"/>
      <c r="VVW38" s="975"/>
      <c r="VVX38" s="975"/>
      <c r="VVY38" s="975"/>
      <c r="VVZ38" s="975"/>
      <c r="VWA38" s="975"/>
      <c r="VWB38" s="975"/>
      <c r="VWC38" s="975"/>
      <c r="VWD38" s="975"/>
      <c r="VWE38" s="975"/>
      <c r="VWF38" s="975"/>
      <c r="VWG38" s="975"/>
      <c r="VWH38" s="975"/>
      <c r="VWI38" s="975"/>
      <c r="VWJ38" s="975"/>
      <c r="VWK38" s="975"/>
      <c r="VWL38" s="975"/>
      <c r="VWM38" s="975"/>
      <c r="VWN38" s="975"/>
      <c r="VWO38" s="975"/>
      <c r="VWP38" s="975"/>
      <c r="VWQ38" s="975"/>
      <c r="VWR38" s="975"/>
      <c r="VWS38" s="975"/>
      <c r="VWT38" s="975"/>
      <c r="VWU38" s="975"/>
      <c r="VWV38" s="975"/>
      <c r="VWW38" s="975"/>
      <c r="VWX38" s="975"/>
      <c r="VWY38" s="975"/>
      <c r="VWZ38" s="975"/>
      <c r="VXA38" s="975"/>
      <c r="VXB38" s="975"/>
      <c r="VXC38" s="975"/>
      <c r="VXD38" s="975"/>
      <c r="VXE38" s="975"/>
      <c r="VXF38" s="975"/>
      <c r="VXG38" s="975"/>
      <c r="VXH38" s="975"/>
      <c r="VXI38" s="975"/>
      <c r="VXJ38" s="975"/>
      <c r="VXK38" s="975"/>
      <c r="VXL38" s="975"/>
      <c r="VXM38" s="975"/>
      <c r="VXN38" s="975"/>
      <c r="VXO38" s="975"/>
      <c r="VXP38" s="975"/>
      <c r="VXQ38" s="975"/>
      <c r="VXR38" s="975"/>
      <c r="VXS38" s="975"/>
      <c r="VXT38" s="975"/>
      <c r="VXU38" s="975"/>
      <c r="VXV38" s="975"/>
      <c r="VXW38" s="975"/>
      <c r="VXX38" s="975"/>
      <c r="VXY38" s="975"/>
      <c r="VXZ38" s="975"/>
      <c r="VYA38" s="975"/>
      <c r="VYB38" s="975"/>
      <c r="VYC38" s="975"/>
      <c r="VYD38" s="975"/>
      <c r="VYE38" s="975"/>
      <c r="VYF38" s="975"/>
      <c r="VYG38" s="975"/>
      <c r="VYH38" s="975"/>
      <c r="VYI38" s="975"/>
      <c r="VYJ38" s="975"/>
      <c r="VYK38" s="975"/>
      <c r="VYL38" s="975"/>
      <c r="VYM38" s="975"/>
      <c r="VYN38" s="975"/>
      <c r="VYO38" s="975"/>
      <c r="VYP38" s="975"/>
      <c r="VYQ38" s="975"/>
      <c r="VYR38" s="975"/>
      <c r="VYS38" s="975"/>
      <c r="VYT38" s="975"/>
      <c r="VYU38" s="975"/>
      <c r="VYV38" s="975"/>
      <c r="VYW38" s="975"/>
      <c r="VYX38" s="975"/>
      <c r="VYY38" s="975"/>
      <c r="VYZ38" s="975"/>
      <c r="VZA38" s="975"/>
      <c r="VZB38" s="975"/>
      <c r="VZC38" s="975"/>
      <c r="VZD38" s="975"/>
      <c r="VZE38" s="975"/>
      <c r="VZF38" s="975"/>
      <c r="VZG38" s="975"/>
      <c r="VZH38" s="975"/>
      <c r="VZI38" s="975"/>
      <c r="VZJ38" s="975"/>
      <c r="VZK38" s="975"/>
      <c r="VZL38" s="975"/>
      <c r="VZM38" s="975"/>
      <c r="VZN38" s="975"/>
      <c r="VZO38" s="975"/>
      <c r="VZP38" s="975"/>
      <c r="VZQ38" s="975"/>
      <c r="VZR38" s="975"/>
      <c r="VZS38" s="975"/>
      <c r="VZT38" s="975"/>
      <c r="VZU38" s="975"/>
      <c r="VZV38" s="975"/>
      <c r="VZW38" s="975"/>
      <c r="VZX38" s="975"/>
      <c r="VZY38" s="975"/>
      <c r="VZZ38" s="975"/>
      <c r="WAA38" s="975"/>
      <c r="WAB38" s="975"/>
      <c r="WAC38" s="975"/>
      <c r="WAD38" s="975"/>
      <c r="WAE38" s="975"/>
      <c r="WAF38" s="975"/>
      <c r="WAG38" s="975"/>
      <c r="WAH38" s="975"/>
      <c r="WAI38" s="975"/>
      <c r="WAJ38" s="975"/>
      <c r="WAK38" s="975"/>
      <c r="WAL38" s="975"/>
      <c r="WAM38" s="975"/>
      <c r="WAN38" s="975"/>
      <c r="WAO38" s="975"/>
      <c r="WAP38" s="975"/>
      <c r="WAQ38" s="975"/>
      <c r="WAR38" s="975"/>
      <c r="WAS38" s="975"/>
      <c r="WAT38" s="975"/>
      <c r="WAU38" s="975"/>
      <c r="WAV38" s="975"/>
      <c r="WAW38" s="975"/>
      <c r="WAX38" s="975"/>
      <c r="WAY38" s="975"/>
      <c r="WAZ38" s="975"/>
      <c r="WBA38" s="975"/>
      <c r="WBB38" s="975"/>
      <c r="WBC38" s="975"/>
      <c r="WBD38" s="975"/>
      <c r="WBE38" s="975"/>
      <c r="WBF38" s="975"/>
      <c r="WBG38" s="975"/>
      <c r="WBH38" s="975"/>
      <c r="WBI38" s="975"/>
      <c r="WBJ38" s="975"/>
      <c r="WBK38" s="975"/>
      <c r="WBL38" s="975"/>
      <c r="WBM38" s="975"/>
      <c r="WBN38" s="975"/>
      <c r="WBO38" s="975"/>
      <c r="WBP38" s="975"/>
      <c r="WBQ38" s="975"/>
      <c r="WBR38" s="975"/>
      <c r="WBS38" s="975"/>
      <c r="WBT38" s="975"/>
      <c r="WBU38" s="975"/>
      <c r="WBV38" s="975"/>
      <c r="WBW38" s="975"/>
      <c r="WBX38" s="975"/>
      <c r="WBY38" s="975"/>
      <c r="WBZ38" s="975"/>
      <c r="WCA38" s="975"/>
      <c r="WCB38" s="975"/>
      <c r="WCC38" s="975"/>
      <c r="WCD38" s="975"/>
      <c r="WCE38" s="975"/>
      <c r="WCF38" s="975"/>
      <c r="WCG38" s="975"/>
      <c r="WCH38" s="975"/>
      <c r="WCI38" s="975"/>
      <c r="WCJ38" s="975"/>
      <c r="WCK38" s="975"/>
      <c r="WCL38" s="975"/>
      <c r="WCM38" s="975"/>
      <c r="WCN38" s="975"/>
      <c r="WCO38" s="975"/>
      <c r="WCP38" s="975"/>
      <c r="WCQ38" s="975"/>
      <c r="WCR38" s="975"/>
      <c r="WCS38" s="975"/>
      <c r="WCT38" s="975"/>
      <c r="WCU38" s="975"/>
      <c r="WCV38" s="975"/>
      <c r="WCW38" s="975"/>
      <c r="WCX38" s="975"/>
      <c r="WCY38" s="975"/>
      <c r="WCZ38" s="975"/>
      <c r="WDA38" s="975"/>
      <c r="WDB38" s="975"/>
      <c r="WDC38" s="975"/>
      <c r="WDD38" s="975"/>
      <c r="WDE38" s="975"/>
      <c r="WDF38" s="975"/>
      <c r="WDG38" s="975"/>
      <c r="WDH38" s="975"/>
      <c r="WDI38" s="975"/>
      <c r="WDJ38" s="975"/>
      <c r="WDK38" s="975"/>
      <c r="WDL38" s="975"/>
      <c r="WDM38" s="975"/>
      <c r="WDN38" s="975"/>
      <c r="WDO38" s="975"/>
      <c r="WDP38" s="975"/>
      <c r="WDQ38" s="975"/>
      <c r="WDR38" s="975"/>
      <c r="WDS38" s="975"/>
      <c r="WDT38" s="975"/>
      <c r="WDU38" s="975"/>
      <c r="WDV38" s="975"/>
      <c r="WDW38" s="975"/>
      <c r="WDX38" s="975"/>
      <c r="WDY38" s="975"/>
      <c r="WDZ38" s="975"/>
      <c r="WEA38" s="975"/>
      <c r="WEB38" s="975"/>
      <c r="WEC38" s="975"/>
      <c r="WED38" s="975"/>
      <c r="WEE38" s="975"/>
      <c r="WEF38" s="975"/>
      <c r="WEG38" s="975"/>
      <c r="WEH38" s="975"/>
      <c r="WEI38" s="975"/>
      <c r="WEJ38" s="975"/>
      <c r="WEK38" s="975"/>
      <c r="WEL38" s="975"/>
      <c r="WEM38" s="975"/>
      <c r="WEN38" s="975"/>
      <c r="WEO38" s="975"/>
      <c r="WEP38" s="975"/>
      <c r="WEQ38" s="975"/>
      <c r="WER38" s="975"/>
      <c r="WES38" s="975"/>
      <c r="WET38" s="975"/>
      <c r="WEU38" s="975"/>
      <c r="WEV38" s="975"/>
      <c r="WEW38" s="975"/>
      <c r="WEX38" s="975"/>
      <c r="WEY38" s="975"/>
      <c r="WEZ38" s="975"/>
      <c r="WFA38" s="975"/>
      <c r="WFB38" s="975"/>
      <c r="WFC38" s="975"/>
      <c r="WFD38" s="975"/>
      <c r="WFE38" s="975"/>
      <c r="WFF38" s="975"/>
      <c r="WFG38" s="975"/>
      <c r="WFH38" s="975"/>
      <c r="WFI38" s="975"/>
      <c r="WFJ38" s="975"/>
      <c r="WFK38" s="975"/>
      <c r="WFL38" s="975"/>
      <c r="WFM38" s="975"/>
      <c r="WFN38" s="975"/>
      <c r="WFO38" s="975"/>
      <c r="WFP38" s="975"/>
      <c r="WFQ38" s="975"/>
      <c r="WFR38" s="975"/>
      <c r="WFS38" s="975"/>
      <c r="WFT38" s="975"/>
      <c r="WFU38" s="975"/>
      <c r="WFV38" s="975"/>
      <c r="WFW38" s="975"/>
      <c r="WFX38" s="975"/>
      <c r="WFY38" s="975"/>
      <c r="WFZ38" s="975"/>
      <c r="WGA38" s="975"/>
      <c r="WGB38" s="975"/>
      <c r="WGC38" s="975"/>
      <c r="WGD38" s="975"/>
      <c r="WGE38" s="975"/>
      <c r="WGF38" s="975"/>
      <c r="WGG38" s="975"/>
      <c r="WGH38" s="975"/>
      <c r="WGI38" s="975"/>
      <c r="WGJ38" s="975"/>
      <c r="WGK38" s="975"/>
      <c r="WGL38" s="975"/>
      <c r="WGM38" s="975"/>
      <c r="WGN38" s="975"/>
      <c r="WGO38" s="975"/>
      <c r="WGP38" s="975"/>
      <c r="WGQ38" s="975"/>
      <c r="WGR38" s="975"/>
      <c r="WGS38" s="975"/>
      <c r="WGT38" s="975"/>
      <c r="WGU38" s="975"/>
      <c r="WGV38" s="975"/>
      <c r="WGW38" s="975"/>
      <c r="WGX38" s="975"/>
      <c r="WGY38" s="975"/>
      <c r="WGZ38" s="975"/>
      <c r="WHA38" s="975"/>
      <c r="WHB38" s="975"/>
      <c r="WHC38" s="975"/>
      <c r="WHD38" s="975"/>
      <c r="WHE38" s="975"/>
      <c r="WHF38" s="975"/>
      <c r="WHG38" s="975"/>
      <c r="WHH38" s="975"/>
      <c r="WHI38" s="975"/>
      <c r="WHJ38" s="975"/>
      <c r="WHK38" s="975"/>
      <c r="WHL38" s="975"/>
      <c r="WHM38" s="975"/>
      <c r="WHN38" s="975"/>
      <c r="WHO38" s="975"/>
      <c r="WHP38" s="975"/>
      <c r="WHQ38" s="975"/>
      <c r="WHR38" s="975"/>
      <c r="WHS38" s="975"/>
      <c r="WHT38" s="975"/>
      <c r="WHU38" s="975"/>
      <c r="WHV38" s="975"/>
      <c r="WHW38" s="975"/>
      <c r="WHX38" s="975"/>
      <c r="WHY38" s="975"/>
      <c r="WHZ38" s="975"/>
      <c r="WIA38" s="975"/>
      <c r="WIB38" s="975"/>
      <c r="WIC38" s="975"/>
      <c r="WID38" s="975"/>
      <c r="WIE38" s="975"/>
      <c r="WIF38" s="975"/>
      <c r="WIG38" s="975"/>
      <c r="WIH38" s="975"/>
      <c r="WII38" s="975"/>
      <c r="WIJ38" s="975"/>
      <c r="WIK38" s="975"/>
      <c r="WIL38" s="975"/>
      <c r="WIM38" s="975"/>
      <c r="WIN38" s="975"/>
      <c r="WIO38" s="975"/>
      <c r="WIP38" s="975"/>
      <c r="WIQ38" s="975"/>
      <c r="WIR38" s="975"/>
      <c r="WIS38" s="975"/>
      <c r="WIT38" s="975"/>
      <c r="WIU38" s="975"/>
      <c r="WIV38" s="975"/>
      <c r="WIW38" s="975"/>
      <c r="WIX38" s="975"/>
      <c r="WIY38" s="975"/>
      <c r="WIZ38" s="975"/>
      <c r="WJA38" s="975"/>
      <c r="WJB38" s="975"/>
      <c r="WJC38" s="975"/>
      <c r="WJD38" s="975"/>
      <c r="WJE38" s="975"/>
      <c r="WJF38" s="975"/>
      <c r="WJG38" s="975"/>
      <c r="WJH38" s="975"/>
      <c r="WJI38" s="975"/>
      <c r="WJJ38" s="975"/>
      <c r="WJK38" s="975"/>
      <c r="WJL38" s="975"/>
      <c r="WJM38" s="975"/>
      <c r="WJN38" s="975"/>
      <c r="WJO38" s="975"/>
      <c r="WJP38" s="975"/>
      <c r="WJQ38" s="975"/>
      <c r="WJR38" s="975"/>
      <c r="WJS38" s="975"/>
      <c r="WJT38" s="975"/>
      <c r="WJU38" s="975"/>
      <c r="WJV38" s="975"/>
      <c r="WJW38" s="975"/>
      <c r="WJX38" s="975"/>
      <c r="WJY38" s="975"/>
      <c r="WJZ38" s="975"/>
      <c r="WKA38" s="975"/>
      <c r="WKB38" s="975"/>
      <c r="WKC38" s="975"/>
      <c r="WKD38" s="975"/>
      <c r="WKE38" s="975"/>
      <c r="WKF38" s="975"/>
      <c r="WKG38" s="975"/>
      <c r="WKH38" s="975"/>
      <c r="WKI38" s="975"/>
      <c r="WKJ38" s="975"/>
      <c r="WKK38" s="975"/>
      <c r="WKL38" s="975"/>
      <c r="WKM38" s="975"/>
      <c r="WKN38" s="975"/>
      <c r="WKO38" s="975"/>
      <c r="WKP38" s="975"/>
      <c r="WKQ38" s="975"/>
      <c r="WKR38" s="975"/>
      <c r="WKS38" s="975"/>
      <c r="WKT38" s="975"/>
      <c r="WKU38" s="975"/>
      <c r="WKV38" s="975"/>
      <c r="WKW38" s="975"/>
      <c r="WKX38" s="975"/>
      <c r="WKY38" s="975"/>
      <c r="WKZ38" s="975"/>
      <c r="WLA38" s="975"/>
      <c r="WLB38" s="975"/>
      <c r="WLC38" s="975"/>
      <c r="WLD38" s="975"/>
      <c r="WLE38" s="975"/>
      <c r="WLF38" s="975"/>
      <c r="WLG38" s="975"/>
      <c r="WLH38" s="975"/>
      <c r="WLI38" s="975"/>
      <c r="WLJ38" s="975"/>
      <c r="WLK38" s="975"/>
      <c r="WLL38" s="975"/>
      <c r="WLM38" s="975"/>
      <c r="WLN38" s="975"/>
      <c r="WLO38" s="975"/>
      <c r="WLP38" s="975"/>
      <c r="WLQ38" s="975"/>
      <c r="WLR38" s="975"/>
      <c r="WLS38" s="975"/>
      <c r="WLT38" s="975"/>
      <c r="WLU38" s="975"/>
      <c r="WLV38" s="975"/>
      <c r="WLW38" s="975"/>
      <c r="WLX38" s="975"/>
      <c r="WLY38" s="975"/>
      <c r="WLZ38" s="975"/>
      <c r="WMA38" s="975"/>
      <c r="WMB38" s="975"/>
      <c r="WMC38" s="975"/>
      <c r="WMD38" s="975"/>
      <c r="WME38" s="975"/>
      <c r="WMF38" s="975"/>
      <c r="WMG38" s="975"/>
      <c r="WMH38" s="975"/>
      <c r="WMI38" s="975"/>
      <c r="WMJ38" s="975"/>
      <c r="WMK38" s="975"/>
      <c r="WML38" s="975"/>
      <c r="WMM38" s="975"/>
      <c r="WMN38" s="975"/>
      <c r="WMO38" s="975"/>
      <c r="WMP38" s="975"/>
      <c r="WMQ38" s="975"/>
      <c r="WMR38" s="975"/>
      <c r="WMS38" s="975"/>
      <c r="WMT38" s="975"/>
      <c r="WMU38" s="975"/>
      <c r="WMV38" s="975"/>
      <c r="WMW38" s="975"/>
      <c r="WMX38" s="975"/>
      <c r="WMY38" s="975"/>
      <c r="WMZ38" s="975"/>
      <c r="WNA38" s="975"/>
      <c r="WNB38" s="975"/>
      <c r="WNC38" s="975"/>
      <c r="WND38" s="975"/>
      <c r="WNE38" s="975"/>
      <c r="WNF38" s="975"/>
      <c r="WNG38" s="975"/>
      <c r="WNH38" s="975"/>
      <c r="WNI38" s="975"/>
      <c r="WNJ38" s="975"/>
      <c r="WNK38" s="975"/>
      <c r="WNL38" s="975"/>
      <c r="WNM38" s="975"/>
      <c r="WNN38" s="975"/>
      <c r="WNO38" s="975"/>
      <c r="WNP38" s="975"/>
      <c r="WNQ38" s="975"/>
      <c r="WNR38" s="975"/>
      <c r="WNS38" s="975"/>
      <c r="WNT38" s="975"/>
      <c r="WNU38" s="975"/>
      <c r="WNV38" s="975"/>
      <c r="WNW38" s="975"/>
      <c r="WNX38" s="975"/>
      <c r="WNY38" s="975"/>
      <c r="WNZ38" s="975"/>
      <c r="WOA38" s="975"/>
      <c r="WOB38" s="975"/>
      <c r="WOC38" s="975"/>
      <c r="WOD38" s="975"/>
      <c r="WOE38" s="975"/>
      <c r="WOF38" s="975"/>
      <c r="WOG38" s="975"/>
      <c r="WOH38" s="975"/>
      <c r="WOI38" s="975"/>
      <c r="WOJ38" s="975"/>
      <c r="WOK38" s="975"/>
      <c r="WOL38" s="975"/>
      <c r="WOM38" s="975"/>
      <c r="WON38" s="975"/>
      <c r="WOO38" s="975"/>
      <c r="WOP38" s="975"/>
      <c r="WOQ38" s="975"/>
      <c r="WOR38" s="975"/>
      <c r="WOS38" s="975"/>
      <c r="WOT38" s="975"/>
      <c r="WOU38" s="975"/>
      <c r="WOV38" s="975"/>
      <c r="WOW38" s="975"/>
      <c r="WOX38" s="975"/>
      <c r="WOY38" s="975"/>
      <c r="WOZ38" s="975"/>
      <c r="WPA38" s="975"/>
      <c r="WPB38" s="975"/>
      <c r="WPC38" s="975"/>
      <c r="WPD38" s="975"/>
      <c r="WPE38" s="975"/>
      <c r="WPF38" s="975"/>
      <c r="WPG38" s="975"/>
      <c r="WPH38" s="975"/>
      <c r="WPI38" s="975"/>
      <c r="WPJ38" s="975"/>
      <c r="WPK38" s="975"/>
      <c r="WPL38" s="975"/>
      <c r="WPM38" s="975"/>
      <c r="WPN38" s="975"/>
      <c r="WPO38" s="975"/>
      <c r="WPP38" s="975"/>
      <c r="WPQ38" s="975"/>
      <c r="WPR38" s="975"/>
      <c r="WPS38" s="975"/>
      <c r="WPT38" s="975"/>
      <c r="WPU38" s="975"/>
      <c r="WPV38" s="975"/>
      <c r="WPW38" s="975"/>
      <c r="WPX38" s="975"/>
      <c r="WPY38" s="975"/>
      <c r="WPZ38" s="975"/>
      <c r="WQA38" s="975"/>
      <c r="WQB38" s="975"/>
      <c r="WQC38" s="975"/>
      <c r="WQD38" s="975"/>
      <c r="WQE38" s="975"/>
      <c r="WQF38" s="975"/>
      <c r="WQG38" s="975"/>
      <c r="WQH38" s="975"/>
      <c r="WQI38" s="975"/>
      <c r="WQJ38" s="975"/>
      <c r="WQK38" s="975"/>
      <c r="WQL38" s="975"/>
      <c r="WQM38" s="975"/>
      <c r="WQN38" s="975"/>
      <c r="WQO38" s="975"/>
      <c r="WQP38" s="975"/>
      <c r="WQQ38" s="975"/>
      <c r="WQR38" s="975"/>
      <c r="WQS38" s="975"/>
      <c r="WQT38" s="975"/>
      <c r="WQU38" s="975"/>
      <c r="WQV38" s="975"/>
      <c r="WQW38" s="975"/>
      <c r="WQX38" s="975"/>
      <c r="WQY38" s="975"/>
      <c r="WQZ38" s="975"/>
      <c r="WRA38" s="975"/>
      <c r="WRB38" s="975"/>
      <c r="WRC38" s="975"/>
      <c r="WRD38" s="975"/>
      <c r="WRE38" s="975"/>
      <c r="WRF38" s="975"/>
      <c r="WRG38" s="975"/>
      <c r="WRH38" s="975"/>
      <c r="WRI38" s="975"/>
      <c r="WRJ38" s="975"/>
      <c r="WRK38" s="975"/>
      <c r="WRL38" s="975"/>
      <c r="WRM38" s="975"/>
      <c r="WRN38" s="975"/>
      <c r="WRO38" s="975"/>
      <c r="WRP38" s="975"/>
      <c r="WRQ38" s="975"/>
      <c r="WRR38" s="975"/>
      <c r="WRS38" s="975"/>
      <c r="WRT38" s="975"/>
      <c r="WRU38" s="975"/>
      <c r="WRV38" s="975"/>
      <c r="WRW38" s="975"/>
      <c r="WRX38" s="975"/>
      <c r="WRY38" s="975"/>
      <c r="WRZ38" s="975"/>
      <c r="WSA38" s="975"/>
      <c r="WSB38" s="975"/>
      <c r="WSC38" s="975"/>
      <c r="WSD38" s="975"/>
      <c r="WSE38" s="975"/>
      <c r="WSF38" s="975"/>
      <c r="WSG38" s="975"/>
      <c r="WSH38" s="975"/>
      <c r="WSI38" s="975"/>
      <c r="WSJ38" s="975"/>
      <c r="WSK38" s="975"/>
      <c r="WSL38" s="975"/>
      <c r="WSM38" s="975"/>
      <c r="WSN38" s="975"/>
      <c r="WSO38" s="975"/>
      <c r="WSP38" s="975"/>
      <c r="WSQ38" s="975"/>
      <c r="WSR38" s="975"/>
      <c r="WSS38" s="975"/>
      <c r="WST38" s="975"/>
      <c r="WSU38" s="975"/>
      <c r="WSV38" s="975"/>
      <c r="WSW38" s="975"/>
      <c r="WSX38" s="975"/>
      <c r="WSY38" s="975"/>
      <c r="WSZ38" s="975"/>
      <c r="WTA38" s="975"/>
      <c r="WTB38" s="975"/>
      <c r="WTC38" s="975"/>
      <c r="WTD38" s="975"/>
      <c r="WTE38" s="975"/>
      <c r="WTF38" s="975"/>
      <c r="WTG38" s="975"/>
      <c r="WTH38" s="975"/>
      <c r="WTI38" s="975"/>
      <c r="WTJ38" s="975"/>
      <c r="WTK38" s="975"/>
      <c r="WTL38" s="975"/>
      <c r="WTM38" s="975"/>
      <c r="WTN38" s="975"/>
      <c r="WTO38" s="975"/>
      <c r="WTP38" s="975"/>
      <c r="WTQ38" s="975"/>
      <c r="WTR38" s="975"/>
      <c r="WTS38" s="975"/>
      <c r="WTT38" s="975"/>
      <c r="WTU38" s="975"/>
      <c r="WTV38" s="975"/>
      <c r="WTW38" s="975"/>
      <c r="WTX38" s="975"/>
      <c r="WTY38" s="975"/>
      <c r="WTZ38" s="975"/>
      <c r="WUA38" s="975"/>
      <c r="WUB38" s="975"/>
      <c r="WUC38" s="975"/>
      <c r="WUD38" s="975"/>
      <c r="WUE38" s="975"/>
      <c r="WUF38" s="975"/>
      <c r="WUG38" s="975"/>
      <c r="WUH38" s="975"/>
      <c r="WUI38" s="975"/>
      <c r="WUJ38" s="975"/>
      <c r="WUK38" s="975"/>
      <c r="WUL38" s="975"/>
      <c r="WUM38" s="975"/>
      <c r="WUN38" s="975"/>
      <c r="WUO38" s="975"/>
      <c r="WUP38" s="975"/>
      <c r="WUQ38" s="975"/>
      <c r="WUR38" s="975"/>
      <c r="WUS38" s="975"/>
      <c r="WUT38" s="975"/>
      <c r="WUU38" s="975"/>
      <c r="WUV38" s="975"/>
      <c r="WUW38" s="975"/>
      <c r="WUX38" s="975"/>
      <c r="WUY38" s="975"/>
      <c r="WUZ38" s="975"/>
      <c r="WVA38" s="975"/>
      <c r="WVB38" s="975"/>
      <c r="WVC38" s="975"/>
      <c r="WVD38" s="975"/>
      <c r="WVE38" s="975"/>
      <c r="WVF38" s="975"/>
      <c r="WVG38" s="975"/>
      <c r="WVH38" s="975"/>
      <c r="WVI38" s="975"/>
      <c r="WVJ38" s="975"/>
      <c r="WVK38" s="975"/>
      <c r="WVL38" s="975"/>
      <c r="WVM38" s="975"/>
      <c r="WVN38" s="975"/>
      <c r="WVO38" s="975"/>
      <c r="WVP38" s="975"/>
      <c r="WVQ38" s="975"/>
      <c r="WVR38" s="975"/>
      <c r="WVS38" s="975"/>
      <c r="WVT38" s="975"/>
      <c r="WVU38" s="975"/>
      <c r="WVV38" s="975"/>
      <c r="WVW38" s="975"/>
      <c r="WVX38" s="975"/>
      <c r="WVY38" s="975"/>
      <c r="WVZ38" s="975"/>
      <c r="WWA38" s="975"/>
      <c r="WWB38" s="975"/>
      <c r="WWC38" s="975"/>
      <c r="WWD38" s="975"/>
      <c r="WWE38" s="975"/>
      <c r="WWF38" s="975"/>
      <c r="WWG38" s="975"/>
      <c r="WWH38" s="975"/>
      <c r="WWI38" s="975"/>
      <c r="WWJ38" s="975"/>
      <c r="WWK38" s="975"/>
      <c r="WWL38" s="975"/>
      <c r="WWM38" s="975"/>
      <c r="WWN38" s="975"/>
      <c r="WWO38" s="975"/>
      <c r="WWP38" s="975"/>
      <c r="WWQ38" s="975"/>
      <c r="WWR38" s="975"/>
      <c r="WWS38" s="975"/>
      <c r="WWT38" s="975"/>
      <c r="WWU38" s="975"/>
      <c r="WWV38" s="975"/>
      <c r="WWW38" s="975"/>
      <c r="WWX38" s="975"/>
      <c r="WWY38" s="975"/>
      <c r="WWZ38" s="975"/>
      <c r="WXA38" s="975"/>
      <c r="WXB38" s="975"/>
      <c r="WXC38" s="975"/>
      <c r="WXD38" s="975"/>
      <c r="WXE38" s="975"/>
      <c r="WXF38" s="975"/>
      <c r="WXG38" s="975"/>
      <c r="WXH38" s="975"/>
      <c r="WXI38" s="975"/>
      <c r="WXJ38" s="975"/>
    </row>
    <row r="39" spans="1:16182" s="974" customFormat="1" x14ac:dyDescent="0.35">
      <c r="A39" s="574"/>
      <c r="B39" s="930"/>
      <c r="C39" s="930"/>
      <c r="D39" s="932" t="s">
        <v>730</v>
      </c>
      <c r="E39" s="932"/>
      <c r="F39" s="932"/>
      <c r="G39" s="932"/>
      <c r="H39" s="955"/>
      <c r="I39" s="955"/>
      <c r="J39" s="955"/>
      <c r="K39" s="955"/>
      <c r="L39" s="955"/>
      <c r="M39" s="955"/>
      <c r="N39" s="955"/>
      <c r="O39" s="955"/>
      <c r="P39" s="955"/>
      <c r="Q39" s="955"/>
      <c r="R39" s="955"/>
      <c r="S39" s="948"/>
      <c r="T39" s="948"/>
      <c r="U39" s="948"/>
      <c r="V39" s="948"/>
      <c r="W39" s="948"/>
      <c r="X39" s="948"/>
      <c r="Y39" s="948"/>
      <c r="Z39" s="948"/>
      <c r="AA39" s="948"/>
      <c r="AB39" s="948"/>
      <c r="AC39" s="948"/>
      <c r="AD39" s="948"/>
      <c r="AE39" s="948"/>
      <c r="AF39" s="948"/>
      <c r="AG39" s="948"/>
      <c r="AH39" s="948"/>
      <c r="AI39" s="948"/>
      <c r="AJ39" s="948"/>
      <c r="AK39" s="948"/>
      <c r="AL39" s="948"/>
      <c r="AM39" s="948"/>
      <c r="AN39" s="948"/>
      <c r="AO39" s="948"/>
      <c r="AP39" s="948"/>
      <c r="AQ39" s="948"/>
      <c r="AR39" s="948"/>
      <c r="AS39" s="948"/>
      <c r="AT39" s="948"/>
      <c r="AU39" s="948"/>
      <c r="AV39" s="948"/>
      <c r="AW39" s="948"/>
      <c r="AX39" s="948"/>
      <c r="AY39" s="948"/>
      <c r="AZ39" s="948"/>
      <c r="BA39" s="948"/>
      <c r="BB39" s="948"/>
      <c r="BC39" s="948"/>
      <c r="BD39" s="948"/>
      <c r="BE39" s="948"/>
      <c r="BF39" s="948"/>
      <c r="BG39" s="948"/>
      <c r="BH39" s="948"/>
      <c r="BI39" s="948"/>
      <c r="BJ39" s="948"/>
      <c r="BK39" s="948"/>
      <c r="BL39" s="948"/>
      <c r="BM39" s="948"/>
      <c r="BN39" s="948"/>
      <c r="BO39" s="948"/>
      <c r="BP39" s="948"/>
      <c r="BQ39" s="948"/>
      <c r="BR39" s="948"/>
      <c r="BS39" s="948"/>
      <c r="BT39" s="948"/>
      <c r="BU39" s="948"/>
      <c r="BV39" s="948"/>
      <c r="BW39" s="948"/>
      <c r="BX39" s="948"/>
      <c r="BY39" s="948"/>
      <c r="BZ39" s="948"/>
      <c r="CA39" s="948"/>
      <c r="CB39" s="948"/>
      <c r="CC39" s="948"/>
    </row>
    <row r="40" spans="1:16182" s="974" customFormat="1" x14ac:dyDescent="0.35">
      <c r="A40" s="574"/>
      <c r="B40" s="930"/>
      <c r="C40" s="930"/>
      <c r="D40" s="930" t="s">
        <v>731</v>
      </c>
      <c r="E40" s="930"/>
      <c r="F40" s="930"/>
      <c r="G40" s="930"/>
      <c r="H40" s="960"/>
      <c r="I40" s="960"/>
      <c r="J40" s="960"/>
      <c r="K40" s="960"/>
      <c r="L40" s="960"/>
      <c r="M40" s="960"/>
      <c r="N40" s="960"/>
      <c r="O40" s="960"/>
      <c r="P40" s="960"/>
      <c r="Q40" s="960"/>
      <c r="R40" s="951"/>
      <c r="S40" s="951"/>
      <c r="T40" s="951"/>
      <c r="U40" s="951"/>
      <c r="V40" s="951"/>
      <c r="W40" s="951"/>
      <c r="X40" s="951"/>
      <c r="Y40" s="951"/>
      <c r="Z40" s="951"/>
      <c r="AA40" s="951"/>
      <c r="AB40" s="951"/>
      <c r="AC40" s="951"/>
      <c r="AD40" s="951"/>
      <c r="AE40" s="951"/>
      <c r="AF40" s="951"/>
      <c r="AG40" s="951"/>
      <c r="AH40" s="41"/>
      <c r="AI40" s="41"/>
      <c r="AJ40" s="41"/>
      <c r="AK40" s="41"/>
      <c r="AL40" s="41"/>
      <c r="AM40" s="41"/>
      <c r="AN40" s="41"/>
      <c r="AO40" s="41"/>
      <c r="AP40" s="41"/>
      <c r="AQ40" s="41"/>
      <c r="AR40" s="41"/>
      <c r="AS40" s="41"/>
      <c r="AT40" s="41"/>
      <c r="AU40" s="41"/>
      <c r="AV40" s="41"/>
      <c r="AW40" s="41"/>
      <c r="AX40" s="41"/>
      <c r="AY40" s="41"/>
      <c r="AZ40" s="41"/>
      <c r="BA40" s="41"/>
      <c r="BB40" s="41"/>
      <c r="BC40" s="41"/>
      <c r="BD40" s="41"/>
      <c r="BE40" s="41"/>
      <c r="BF40" s="41"/>
      <c r="BG40" s="41"/>
      <c r="BH40" s="41"/>
      <c r="BI40" s="41"/>
      <c r="BJ40" s="41"/>
      <c r="BK40" s="41"/>
      <c r="BL40" s="41"/>
      <c r="BM40" s="41"/>
      <c r="BN40" s="41"/>
      <c r="BO40" s="41"/>
      <c r="BP40" s="41"/>
      <c r="BQ40" s="41"/>
      <c r="BR40" s="41"/>
      <c r="BS40" s="41"/>
      <c r="BT40" s="41"/>
      <c r="BU40" s="41"/>
      <c r="BV40" s="41"/>
      <c r="BW40" s="41"/>
      <c r="BX40" s="41"/>
      <c r="BY40" s="41"/>
      <c r="BZ40" s="41"/>
      <c r="CA40" s="41"/>
      <c r="CB40" s="41"/>
      <c r="CC40" s="41"/>
    </row>
    <row r="41" spans="1:16182" s="974" customFormat="1" x14ac:dyDescent="0.35">
      <c r="A41" s="574"/>
      <c r="B41" s="930"/>
      <c r="C41" s="930"/>
      <c r="D41" s="930" t="s">
        <v>732</v>
      </c>
      <c r="E41" s="930"/>
      <c r="F41" s="930"/>
      <c r="G41" s="930"/>
      <c r="H41" s="960"/>
      <c r="I41" s="960"/>
      <c r="J41" s="960"/>
      <c r="K41" s="960"/>
      <c r="L41" s="960"/>
      <c r="M41" s="960"/>
      <c r="N41" s="960"/>
      <c r="O41" s="960"/>
      <c r="P41" s="960"/>
      <c r="Q41" s="960"/>
      <c r="R41" s="951"/>
      <c r="S41" s="951"/>
      <c r="T41" s="951"/>
      <c r="U41" s="951"/>
      <c r="V41" s="951"/>
      <c r="W41" s="951"/>
      <c r="X41" s="951"/>
      <c r="Y41" s="951"/>
      <c r="Z41" s="951"/>
      <c r="AA41" s="951"/>
      <c r="AB41" s="951"/>
      <c r="AC41" s="951"/>
      <c r="AD41" s="951"/>
      <c r="AE41" s="951"/>
      <c r="AF41" s="951"/>
      <c r="AG41" s="951"/>
      <c r="AH41" s="41"/>
      <c r="AI41" s="41"/>
      <c r="AJ41" s="41"/>
      <c r="AK41" s="41"/>
      <c r="AL41" s="41"/>
      <c r="AM41" s="41"/>
      <c r="AN41" s="41"/>
      <c r="AO41" s="41"/>
      <c r="AP41" s="41"/>
      <c r="AQ41" s="41"/>
      <c r="AR41" s="41"/>
      <c r="AS41" s="41"/>
      <c r="AT41" s="41"/>
      <c r="AU41" s="41"/>
      <c r="AV41" s="41"/>
      <c r="AW41" s="41"/>
      <c r="AX41" s="41"/>
      <c r="AY41" s="41"/>
      <c r="AZ41" s="41"/>
      <c r="BA41" s="41"/>
      <c r="BB41" s="41"/>
      <c r="BC41" s="41"/>
      <c r="BD41" s="41"/>
      <c r="BE41" s="41"/>
      <c r="BF41" s="41"/>
      <c r="BG41" s="41"/>
      <c r="BH41" s="41"/>
      <c r="BI41" s="41"/>
      <c r="BJ41" s="41"/>
      <c r="BK41" s="41"/>
      <c r="BL41" s="41"/>
      <c r="BM41" s="41"/>
      <c r="BN41" s="41"/>
      <c r="BO41" s="41"/>
      <c r="BP41" s="41"/>
      <c r="BQ41" s="41"/>
      <c r="BR41" s="41"/>
      <c r="BS41" s="41"/>
      <c r="BT41" s="41"/>
      <c r="BU41" s="41"/>
      <c r="BV41" s="41"/>
      <c r="BW41" s="41"/>
      <c r="BX41" s="41"/>
      <c r="BY41" s="41"/>
      <c r="BZ41" s="41"/>
      <c r="CA41" s="41"/>
      <c r="CB41" s="41"/>
      <c r="CC41" s="41"/>
    </row>
    <row r="42" spans="1:16182" s="974" customFormat="1" x14ac:dyDescent="0.35">
      <c r="A42" s="574"/>
      <c r="B42" s="930"/>
      <c r="C42" s="930"/>
      <c r="D42" s="930" t="s">
        <v>735</v>
      </c>
      <c r="E42" s="930"/>
      <c r="F42" s="930"/>
      <c r="G42" s="930"/>
      <c r="H42" s="960"/>
      <c r="I42" s="960"/>
      <c r="J42" s="960"/>
      <c r="K42" s="960"/>
      <c r="L42" s="960"/>
      <c r="M42" s="960"/>
      <c r="N42" s="960"/>
      <c r="O42" s="960"/>
      <c r="P42" s="960"/>
      <c r="Q42" s="960"/>
      <c r="R42" s="951"/>
      <c r="S42" s="951"/>
      <c r="T42" s="951"/>
      <c r="U42" s="951"/>
      <c r="V42" s="951"/>
      <c r="W42" s="951"/>
      <c r="X42" s="951"/>
      <c r="Y42" s="951"/>
      <c r="Z42" s="951"/>
      <c r="AA42" s="951"/>
      <c r="AB42" s="951"/>
      <c r="AC42" s="951"/>
      <c r="AD42" s="951"/>
      <c r="AE42" s="951"/>
      <c r="AF42" s="951"/>
      <c r="AG42" s="951"/>
      <c r="AH42" s="41"/>
      <c r="AI42" s="41"/>
      <c r="AJ42" s="41"/>
      <c r="AK42" s="41"/>
      <c r="AL42" s="41"/>
      <c r="AM42" s="41"/>
      <c r="AN42" s="41"/>
      <c r="AO42" s="41"/>
      <c r="AP42" s="41"/>
      <c r="AQ42" s="41"/>
      <c r="AR42" s="41"/>
      <c r="AS42" s="41"/>
      <c r="AT42" s="41"/>
      <c r="AU42" s="41"/>
      <c r="AV42" s="41"/>
      <c r="AW42" s="41"/>
      <c r="AX42" s="41"/>
      <c r="AY42" s="41"/>
      <c r="AZ42" s="41"/>
      <c r="BA42" s="41"/>
      <c r="BB42" s="41"/>
      <c r="BC42" s="41"/>
      <c r="BD42" s="41"/>
      <c r="BE42" s="41"/>
      <c r="BF42" s="41"/>
      <c r="BG42" s="41"/>
      <c r="BH42" s="41"/>
      <c r="BI42" s="41"/>
      <c r="BJ42" s="41"/>
      <c r="BK42" s="41"/>
      <c r="BL42" s="41"/>
      <c r="BM42" s="41"/>
      <c r="BN42" s="41"/>
      <c r="BO42" s="41"/>
      <c r="BP42" s="41"/>
      <c r="BQ42" s="41"/>
      <c r="BR42" s="41"/>
      <c r="BS42" s="41"/>
      <c r="BT42" s="41"/>
      <c r="BU42" s="41"/>
      <c r="BV42" s="41"/>
      <c r="BW42" s="41"/>
      <c r="BX42" s="41"/>
      <c r="BY42" s="41"/>
      <c r="BZ42" s="41"/>
      <c r="CA42" s="41"/>
      <c r="CB42" s="41"/>
      <c r="CC42" s="41"/>
    </row>
    <row r="43" spans="1:16182" s="974" customFormat="1" x14ac:dyDescent="0.35">
      <c r="A43" s="574"/>
      <c r="B43" s="930"/>
      <c r="C43" s="930"/>
      <c r="D43" s="932" t="s">
        <v>360</v>
      </c>
      <c r="E43" s="932"/>
      <c r="F43" s="932"/>
      <c r="G43" s="932"/>
      <c r="H43" s="955"/>
      <c r="I43" s="955"/>
      <c r="J43" s="955"/>
      <c r="K43" s="955"/>
      <c r="L43" s="955"/>
      <c r="M43" s="955"/>
      <c r="N43" s="955"/>
      <c r="O43" s="955"/>
      <c r="P43" s="955"/>
      <c r="Q43" s="955"/>
      <c r="R43" s="955"/>
      <c r="S43" s="948"/>
      <c r="T43" s="948"/>
      <c r="U43" s="948"/>
      <c r="V43" s="948"/>
      <c r="W43" s="948"/>
      <c r="X43" s="948"/>
      <c r="Y43" s="948"/>
      <c r="Z43" s="948"/>
      <c r="AA43" s="948"/>
      <c r="AB43" s="948"/>
      <c r="AC43" s="948"/>
      <c r="AD43" s="948"/>
      <c r="AE43" s="948"/>
      <c r="AF43" s="948"/>
      <c r="AG43" s="948"/>
      <c r="AH43" s="948"/>
      <c r="AI43" s="948"/>
      <c r="AJ43" s="948"/>
      <c r="AK43" s="948"/>
      <c r="AL43" s="948"/>
      <c r="AM43" s="948"/>
      <c r="AN43" s="948"/>
      <c r="AO43" s="948"/>
      <c r="AP43" s="948"/>
      <c r="AQ43" s="948"/>
      <c r="AR43" s="948"/>
      <c r="AS43" s="948"/>
      <c r="AT43" s="948"/>
      <c r="AU43" s="948"/>
      <c r="AV43" s="948"/>
      <c r="AW43" s="948"/>
      <c r="AX43" s="948"/>
      <c r="AY43" s="948"/>
      <c r="AZ43" s="948"/>
      <c r="BA43" s="948"/>
      <c r="BB43" s="948"/>
      <c r="BC43" s="948"/>
      <c r="BD43" s="948"/>
      <c r="BE43" s="948"/>
      <c r="BF43" s="948"/>
      <c r="BG43" s="948"/>
      <c r="BH43" s="948"/>
      <c r="BI43" s="948"/>
      <c r="BJ43" s="948"/>
      <c r="BK43" s="948"/>
      <c r="BL43" s="948"/>
      <c r="BM43" s="948"/>
      <c r="BN43" s="948"/>
      <c r="BO43" s="948"/>
      <c r="BP43" s="948"/>
      <c r="BQ43" s="948"/>
      <c r="BR43" s="948"/>
      <c r="BS43" s="948"/>
      <c r="BT43" s="948"/>
      <c r="BU43" s="948"/>
      <c r="BV43" s="948"/>
      <c r="BW43" s="948"/>
      <c r="BX43" s="948"/>
      <c r="BY43" s="948"/>
      <c r="BZ43" s="948"/>
      <c r="CA43" s="948"/>
      <c r="CB43" s="948"/>
      <c r="CC43" s="948"/>
    </row>
    <row r="44" spans="1:16182" s="974" customFormat="1" x14ac:dyDescent="0.35">
      <c r="A44" s="574"/>
      <c r="B44" s="930"/>
      <c r="C44" s="930"/>
      <c r="D44" s="930" t="s">
        <v>733</v>
      </c>
      <c r="E44" s="930"/>
      <c r="F44" s="930"/>
      <c r="G44" s="930"/>
      <c r="H44" s="953"/>
      <c r="I44" s="953"/>
      <c r="J44" s="953"/>
      <c r="K44" s="953"/>
      <c r="L44" s="953"/>
      <c r="M44" s="953"/>
      <c r="N44" s="953"/>
      <c r="O44" s="953"/>
      <c r="P44" s="953"/>
      <c r="Q44" s="953"/>
      <c r="R44" s="953"/>
      <c r="S44" s="953"/>
      <c r="T44" s="953"/>
      <c r="U44" s="953"/>
      <c r="V44" s="953"/>
      <c r="W44" s="953"/>
      <c r="X44" s="953"/>
      <c r="Y44" s="953"/>
      <c r="Z44" s="953"/>
      <c r="AA44" s="953"/>
      <c r="AB44" s="953"/>
      <c r="AC44" s="953"/>
      <c r="AD44" s="953"/>
      <c r="AE44" s="953"/>
      <c r="AF44" s="953"/>
      <c r="AG44" s="953"/>
      <c r="AH44" s="41"/>
      <c r="AI44" s="41"/>
      <c r="AJ44" s="41"/>
      <c r="AK44" s="41"/>
      <c r="AL44" s="41"/>
      <c r="AM44" s="41"/>
      <c r="AN44" s="41"/>
      <c r="AO44" s="41"/>
      <c r="AP44" s="41"/>
      <c r="AQ44" s="41"/>
      <c r="AR44" s="41"/>
      <c r="AS44" s="41"/>
      <c r="AT44" s="41"/>
      <c r="AU44" s="41"/>
      <c r="AV44" s="41"/>
      <c r="AW44" s="41"/>
      <c r="AX44" s="41"/>
      <c r="AY44" s="41"/>
      <c r="AZ44" s="41"/>
      <c r="BA44" s="41"/>
      <c r="BB44" s="41"/>
      <c r="BC44" s="41"/>
      <c r="BD44" s="41"/>
      <c r="BE44" s="41"/>
      <c r="BF44" s="41"/>
      <c r="BG44" s="41"/>
      <c r="BH44" s="41"/>
      <c r="BI44" s="41"/>
      <c r="BJ44" s="41"/>
      <c r="BK44" s="41"/>
      <c r="BL44" s="41"/>
      <c r="BM44" s="41"/>
      <c r="BN44" s="41"/>
      <c r="BO44" s="41"/>
      <c r="BP44" s="41"/>
      <c r="BQ44" s="41"/>
      <c r="BR44" s="41"/>
      <c r="BS44" s="41"/>
      <c r="BT44" s="41"/>
      <c r="BU44" s="41"/>
      <c r="BV44" s="41"/>
      <c r="BW44" s="41"/>
      <c r="BX44" s="41"/>
      <c r="BY44" s="41"/>
      <c r="BZ44" s="41"/>
      <c r="CA44" s="41"/>
      <c r="CB44" s="41"/>
      <c r="CC44" s="41"/>
    </row>
    <row r="45" spans="1:16182" s="974" customFormat="1" x14ac:dyDescent="0.35">
      <c r="A45" s="574"/>
      <c r="B45" s="930"/>
      <c r="C45" s="930"/>
      <c r="D45" s="930" t="s">
        <v>734</v>
      </c>
      <c r="E45" s="930"/>
      <c r="F45" s="930"/>
      <c r="G45" s="931"/>
      <c r="H45" s="953">
        <v>103626.12</v>
      </c>
      <c r="I45" s="953">
        <v>140164.72</v>
      </c>
      <c r="J45" s="953">
        <v>141198.6</v>
      </c>
      <c r="K45" s="953">
        <v>148309.58000000002</v>
      </c>
      <c r="L45" s="953">
        <v>152227.64000000001</v>
      </c>
      <c r="M45" s="953">
        <v>158212.76</v>
      </c>
      <c r="N45" s="953">
        <v>158212.76</v>
      </c>
      <c r="O45" s="953">
        <v>166996.23000000001</v>
      </c>
      <c r="P45" s="953">
        <v>177844.04</v>
      </c>
      <c r="Q45" s="953">
        <v>190740.32</v>
      </c>
      <c r="R45" s="953">
        <v>193026.59</v>
      </c>
      <c r="S45" s="953">
        <v>203089.59</v>
      </c>
      <c r="T45" s="953">
        <v>210265.35</v>
      </c>
      <c r="U45" s="953">
        <v>218847.88</v>
      </c>
      <c r="V45" s="953">
        <v>234683.88999999998</v>
      </c>
      <c r="W45" s="953">
        <v>241506.62</v>
      </c>
      <c r="X45" s="953">
        <v>253583.76</v>
      </c>
      <c r="Y45" s="953">
        <v>270767.04000000004</v>
      </c>
      <c r="Z45" s="953">
        <v>282939.67</v>
      </c>
      <c r="AA45" s="953">
        <v>296225.90000000002</v>
      </c>
      <c r="AB45" s="953">
        <v>296225.90000000002</v>
      </c>
      <c r="AC45" s="953">
        <v>315932.78000000003</v>
      </c>
      <c r="AD45" s="953">
        <v>321456.67000000004</v>
      </c>
      <c r="AE45" s="953">
        <v>413451.38</v>
      </c>
      <c r="AF45" s="953">
        <v>344372.34</v>
      </c>
      <c r="AG45" s="953">
        <v>376823.4</v>
      </c>
      <c r="AH45" s="41"/>
      <c r="AI45" s="41"/>
      <c r="AJ45" s="41"/>
      <c r="AK45" s="41"/>
      <c r="AL45" s="41"/>
      <c r="AM45" s="41"/>
      <c r="AN45" s="41"/>
      <c r="AO45" s="41"/>
      <c r="AP45" s="41"/>
      <c r="AQ45" s="41"/>
      <c r="AR45" s="41"/>
      <c r="AS45" s="41"/>
      <c r="AT45" s="41"/>
      <c r="AU45" s="41"/>
      <c r="AV45" s="41"/>
      <c r="AW45" s="41"/>
      <c r="AX45" s="41"/>
      <c r="AY45" s="41"/>
      <c r="AZ45" s="41"/>
      <c r="BA45" s="41"/>
      <c r="BB45" s="41"/>
      <c r="BC45" s="41"/>
      <c r="BD45" s="41"/>
      <c r="BE45" s="41"/>
      <c r="BF45" s="41"/>
      <c r="BG45" s="41"/>
      <c r="BH45" s="41"/>
      <c r="BI45" s="41"/>
      <c r="BJ45" s="41"/>
      <c r="BK45" s="41"/>
      <c r="BL45" s="41"/>
      <c r="BM45" s="41"/>
      <c r="BN45" s="41"/>
      <c r="BO45" s="41"/>
      <c r="BP45" s="41"/>
      <c r="BQ45" s="41"/>
      <c r="BR45" s="41"/>
      <c r="BS45" s="41"/>
      <c r="BT45" s="41"/>
      <c r="BU45" s="41"/>
      <c r="BV45" s="41"/>
      <c r="BW45" s="41"/>
      <c r="BX45" s="41"/>
      <c r="BY45" s="41"/>
      <c r="BZ45" s="41"/>
      <c r="CA45" s="41"/>
      <c r="CB45" s="41"/>
      <c r="CC45" s="41"/>
    </row>
    <row r="46" spans="1:16182" s="974" customFormat="1" x14ac:dyDescent="0.35">
      <c r="A46" s="574"/>
      <c r="B46" s="930"/>
      <c r="C46" s="930"/>
      <c r="D46" s="930" t="s">
        <v>736</v>
      </c>
      <c r="E46" s="930"/>
      <c r="F46" s="930"/>
      <c r="G46" s="931"/>
      <c r="H46" s="953"/>
      <c r="I46" s="953"/>
      <c r="J46" s="953"/>
      <c r="K46" s="953"/>
      <c r="L46" s="953"/>
      <c r="M46" s="953"/>
      <c r="N46" s="953"/>
      <c r="O46" s="953"/>
      <c r="P46" s="953"/>
      <c r="Q46" s="953"/>
      <c r="R46" s="953"/>
      <c r="S46" s="953"/>
      <c r="T46" s="953"/>
      <c r="U46" s="953"/>
      <c r="V46" s="953"/>
      <c r="W46" s="953"/>
      <c r="X46" s="953"/>
      <c r="Y46" s="953"/>
      <c r="Z46" s="953"/>
      <c r="AA46" s="953"/>
      <c r="AB46" s="953"/>
      <c r="AC46" s="953"/>
      <c r="AD46" s="953"/>
      <c r="AE46" s="953"/>
      <c r="AF46" s="953"/>
      <c r="AG46" s="953"/>
      <c r="AH46" s="41"/>
      <c r="AI46" s="41"/>
      <c r="AJ46" s="41"/>
      <c r="AK46" s="41"/>
      <c r="AL46" s="41"/>
      <c r="AM46" s="41"/>
      <c r="AN46" s="41"/>
      <c r="AO46" s="41"/>
      <c r="AP46" s="41"/>
      <c r="AQ46" s="41"/>
      <c r="AR46" s="41"/>
      <c r="AS46" s="41"/>
      <c r="AT46" s="41"/>
      <c r="AU46" s="41"/>
      <c r="AV46" s="41"/>
      <c r="AW46" s="41"/>
      <c r="AX46" s="41"/>
      <c r="AY46" s="41"/>
      <c r="AZ46" s="41"/>
      <c r="BA46" s="41"/>
      <c r="BB46" s="41"/>
      <c r="BC46" s="41"/>
      <c r="BD46" s="41"/>
      <c r="BE46" s="41"/>
      <c r="BF46" s="41"/>
      <c r="BG46" s="41"/>
      <c r="BH46" s="41"/>
      <c r="BI46" s="41"/>
      <c r="BJ46" s="41"/>
      <c r="BK46" s="41"/>
      <c r="BL46" s="41"/>
      <c r="BM46" s="41"/>
      <c r="BN46" s="41"/>
      <c r="BO46" s="41"/>
      <c r="BP46" s="41"/>
      <c r="BQ46" s="41"/>
      <c r="BR46" s="41"/>
      <c r="BS46" s="41"/>
      <c r="BT46" s="41"/>
      <c r="BU46" s="41"/>
      <c r="BV46" s="41"/>
      <c r="BW46" s="41"/>
      <c r="BX46" s="41"/>
      <c r="BY46" s="41"/>
      <c r="BZ46" s="41"/>
      <c r="CA46" s="41"/>
      <c r="CB46" s="41"/>
      <c r="CC46" s="41"/>
    </row>
    <row r="47" spans="1:16182" s="974" customFormat="1" x14ac:dyDescent="0.35">
      <c r="A47" s="574"/>
      <c r="B47" s="930"/>
      <c r="C47" s="930"/>
      <c r="D47" s="932" t="s">
        <v>737</v>
      </c>
      <c r="E47" s="932"/>
      <c r="F47" s="932"/>
      <c r="G47" s="932"/>
      <c r="H47" s="955"/>
      <c r="I47" s="955"/>
      <c r="J47" s="955"/>
      <c r="K47" s="955"/>
      <c r="L47" s="955"/>
      <c r="M47" s="955"/>
      <c r="N47" s="955"/>
      <c r="O47" s="955"/>
      <c r="P47" s="955"/>
      <c r="Q47" s="955"/>
      <c r="R47" s="955"/>
      <c r="S47" s="948"/>
      <c r="T47" s="948"/>
      <c r="U47" s="948"/>
      <c r="V47" s="948"/>
      <c r="W47" s="948"/>
      <c r="X47" s="948"/>
      <c r="Y47" s="948"/>
      <c r="Z47" s="948"/>
      <c r="AA47" s="948"/>
      <c r="AB47" s="948"/>
      <c r="AC47" s="948"/>
      <c r="AD47" s="948"/>
      <c r="AE47" s="948"/>
      <c r="AF47" s="948"/>
      <c r="AG47" s="948"/>
      <c r="AH47" s="948"/>
      <c r="AI47" s="948"/>
      <c r="AJ47" s="948"/>
      <c r="AK47" s="948"/>
      <c r="AL47" s="948"/>
      <c r="AM47" s="948"/>
      <c r="AN47" s="948"/>
      <c r="AO47" s="948"/>
      <c r="AP47" s="948"/>
      <c r="AQ47" s="948"/>
      <c r="AR47" s="948"/>
      <c r="AS47" s="948"/>
      <c r="AT47" s="948"/>
      <c r="AU47" s="948"/>
      <c r="AV47" s="948"/>
      <c r="AW47" s="948"/>
      <c r="AX47" s="948"/>
      <c r="AY47" s="948"/>
      <c r="AZ47" s="948"/>
      <c r="BA47" s="948"/>
      <c r="BB47" s="948"/>
      <c r="BC47" s="948"/>
      <c r="BD47" s="948"/>
      <c r="BE47" s="948"/>
      <c r="BF47" s="948"/>
      <c r="BG47" s="948"/>
      <c r="BH47" s="948"/>
      <c r="BI47" s="948"/>
      <c r="BJ47" s="948"/>
      <c r="BK47" s="948"/>
      <c r="BL47" s="948"/>
      <c r="BM47" s="948"/>
      <c r="BN47" s="948"/>
      <c r="BO47" s="948"/>
      <c r="BP47" s="948"/>
      <c r="BQ47" s="948"/>
      <c r="BR47" s="948"/>
      <c r="BS47" s="948"/>
      <c r="BT47" s="948"/>
      <c r="BU47" s="948"/>
      <c r="BV47" s="948"/>
      <c r="BW47" s="948"/>
      <c r="BX47" s="948"/>
      <c r="BY47" s="948"/>
      <c r="BZ47" s="948"/>
      <c r="CA47" s="948"/>
      <c r="CB47" s="948"/>
      <c r="CC47" s="948"/>
    </row>
    <row r="48" spans="1:16182" s="974" customFormat="1" x14ac:dyDescent="0.35">
      <c r="A48" s="574"/>
      <c r="B48" s="930"/>
      <c r="C48" s="930"/>
      <c r="D48" s="930" t="s">
        <v>738</v>
      </c>
      <c r="E48" s="930"/>
      <c r="F48" s="930"/>
      <c r="G48" s="931"/>
      <c r="H48" s="953"/>
      <c r="I48" s="953"/>
      <c r="J48" s="953"/>
      <c r="K48" s="953"/>
      <c r="L48" s="953"/>
      <c r="M48" s="953"/>
      <c r="N48" s="953"/>
      <c r="O48" s="953"/>
      <c r="P48" s="953"/>
      <c r="Q48" s="953"/>
      <c r="R48" s="953"/>
      <c r="S48" s="953"/>
      <c r="T48" s="953"/>
      <c r="U48" s="953"/>
      <c r="V48" s="953"/>
      <c r="W48" s="953"/>
      <c r="X48" s="953"/>
      <c r="Y48" s="953"/>
      <c r="Z48" s="953"/>
      <c r="AA48" s="953"/>
      <c r="AB48" s="953"/>
      <c r="AC48" s="953"/>
      <c r="AD48" s="953"/>
      <c r="AE48" s="953"/>
      <c r="AF48" s="953"/>
      <c r="AG48" s="953"/>
      <c r="AH48" s="41"/>
      <c r="AI48" s="41"/>
      <c r="AJ48" s="41"/>
      <c r="AK48" s="41"/>
      <c r="AL48" s="41"/>
      <c r="AM48" s="41"/>
      <c r="AN48" s="41"/>
      <c r="AO48" s="41"/>
      <c r="AP48" s="41"/>
      <c r="AQ48" s="41"/>
      <c r="AR48" s="41"/>
      <c r="AS48" s="41"/>
      <c r="AT48" s="41"/>
      <c r="AU48" s="41"/>
      <c r="AV48" s="41"/>
      <c r="AW48" s="41"/>
      <c r="AX48" s="41"/>
      <c r="AY48" s="41"/>
      <c r="AZ48" s="41"/>
      <c r="BA48" s="41"/>
      <c r="BB48" s="41"/>
      <c r="BC48" s="41"/>
      <c r="BD48" s="41"/>
      <c r="BE48" s="41"/>
      <c r="BF48" s="41"/>
      <c r="BG48" s="41"/>
      <c r="BH48" s="41"/>
      <c r="BI48" s="41"/>
      <c r="BJ48" s="41"/>
      <c r="BK48" s="41"/>
      <c r="BL48" s="41"/>
      <c r="BM48" s="41"/>
      <c r="BN48" s="41"/>
      <c r="BO48" s="41"/>
      <c r="BP48" s="41"/>
      <c r="BQ48" s="41"/>
      <c r="BR48" s="41"/>
      <c r="BS48" s="41"/>
      <c r="BT48" s="41"/>
      <c r="BU48" s="41"/>
      <c r="BV48" s="41"/>
      <c r="BW48" s="41"/>
      <c r="BX48" s="41"/>
      <c r="BY48" s="41"/>
      <c r="BZ48" s="41"/>
      <c r="CA48" s="41"/>
      <c r="CB48" s="41"/>
      <c r="CC48" s="41"/>
    </row>
    <row r="49" spans="1:16182" s="974" customFormat="1" x14ac:dyDescent="0.35">
      <c r="A49" s="224"/>
      <c r="B49" s="939"/>
      <c r="C49" s="939"/>
      <c r="D49" s="939" t="s">
        <v>352</v>
      </c>
      <c r="E49" s="939"/>
      <c r="F49" s="939"/>
      <c r="G49" s="939"/>
      <c r="H49" s="953">
        <v>19551.52</v>
      </c>
      <c r="I49" s="953">
        <v>20601.52</v>
      </c>
      <c r="J49" s="953">
        <v>20601.52</v>
      </c>
      <c r="K49" s="953">
        <v>20601.52</v>
      </c>
      <c r="L49" s="953">
        <v>20601.52</v>
      </c>
      <c r="M49" s="953">
        <v>20601.52</v>
      </c>
      <c r="N49" s="953">
        <v>21820.52</v>
      </c>
      <c r="O49" s="953">
        <v>21820.52</v>
      </c>
      <c r="P49" s="953">
        <v>32006.92</v>
      </c>
      <c r="Q49" s="953">
        <v>32006.92</v>
      </c>
      <c r="R49" s="953">
        <v>41356.92</v>
      </c>
      <c r="S49" s="953">
        <v>45316.92</v>
      </c>
      <c r="T49" s="953">
        <v>45316.92</v>
      </c>
      <c r="U49" s="953">
        <v>45316.92</v>
      </c>
      <c r="V49" s="953">
        <v>45731.92</v>
      </c>
      <c r="W49" s="953">
        <v>45731.92</v>
      </c>
      <c r="X49" s="953">
        <v>45731.92</v>
      </c>
      <c r="Y49" s="953">
        <v>53731.92</v>
      </c>
      <c r="Z49" s="953">
        <v>53731.92</v>
      </c>
      <c r="AA49" s="953">
        <v>53731.92</v>
      </c>
      <c r="AB49" s="953">
        <v>53731.92</v>
      </c>
      <c r="AC49" s="953">
        <v>53731.92</v>
      </c>
      <c r="AD49" s="953">
        <v>61201.919999999998</v>
      </c>
      <c r="AE49" s="953">
        <v>65483.97</v>
      </c>
      <c r="AF49" s="953">
        <v>175371.07</v>
      </c>
      <c r="AG49" s="953">
        <v>192662.22</v>
      </c>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c r="BI49" s="43"/>
      <c r="BJ49" s="43"/>
      <c r="BK49" s="43"/>
      <c r="BL49" s="43"/>
      <c r="BM49" s="43"/>
      <c r="BN49" s="43"/>
      <c r="BO49" s="43"/>
      <c r="BP49" s="43"/>
      <c r="BQ49" s="43"/>
      <c r="BR49" s="43"/>
      <c r="BS49" s="43"/>
      <c r="BT49" s="43"/>
      <c r="BU49" s="43"/>
      <c r="BV49" s="43"/>
      <c r="BW49" s="43"/>
      <c r="BX49" s="43"/>
      <c r="BY49" s="43"/>
      <c r="BZ49" s="43"/>
      <c r="CA49" s="43"/>
      <c r="CB49" s="43"/>
      <c r="CC49" s="43"/>
    </row>
    <row r="50" spans="1:16182" s="974" customFormat="1" x14ac:dyDescent="0.35">
      <c r="A50" s="574"/>
      <c r="B50" s="930"/>
      <c r="C50" s="930"/>
      <c r="D50" s="930" t="s">
        <v>739</v>
      </c>
      <c r="E50" s="930"/>
      <c r="F50" s="930"/>
      <c r="G50" s="931"/>
      <c r="H50" s="953"/>
      <c r="I50" s="953"/>
      <c r="J50" s="953"/>
      <c r="K50" s="953"/>
      <c r="L50" s="953"/>
      <c r="M50" s="953"/>
      <c r="N50" s="953"/>
      <c r="O50" s="953"/>
      <c r="P50" s="953"/>
      <c r="Q50" s="953"/>
      <c r="R50" s="953"/>
      <c r="S50" s="953"/>
      <c r="T50" s="953"/>
      <c r="U50" s="953"/>
      <c r="V50" s="953"/>
      <c r="W50" s="953"/>
      <c r="X50" s="953"/>
      <c r="Y50" s="953"/>
      <c r="Z50" s="953"/>
      <c r="AA50" s="953"/>
      <c r="AB50" s="953"/>
      <c r="AC50" s="953"/>
      <c r="AD50" s="953"/>
      <c r="AE50" s="953"/>
      <c r="AF50" s="953"/>
      <c r="AG50" s="953"/>
      <c r="AH50" s="41"/>
      <c r="AI50" s="41"/>
      <c r="AJ50" s="41"/>
      <c r="AK50" s="41"/>
      <c r="AL50" s="41"/>
      <c r="AM50" s="41"/>
      <c r="AN50" s="41"/>
      <c r="AO50" s="41"/>
      <c r="AP50" s="41"/>
      <c r="AQ50" s="41"/>
      <c r="AR50" s="41"/>
      <c r="AS50" s="41"/>
      <c r="AT50" s="41"/>
      <c r="AU50" s="41"/>
      <c r="AV50" s="41"/>
      <c r="AW50" s="41"/>
      <c r="AX50" s="41"/>
      <c r="AY50" s="41"/>
      <c r="AZ50" s="41"/>
      <c r="BA50" s="41"/>
      <c r="BB50" s="41"/>
      <c r="BC50" s="41"/>
      <c r="BD50" s="41"/>
      <c r="BE50" s="41"/>
      <c r="BF50" s="41"/>
      <c r="BG50" s="41"/>
      <c r="BH50" s="41"/>
      <c r="BI50" s="41"/>
      <c r="BJ50" s="41"/>
      <c r="BK50" s="41"/>
      <c r="BL50" s="41"/>
      <c r="BM50" s="41"/>
      <c r="BN50" s="41"/>
      <c r="BO50" s="41"/>
      <c r="BP50" s="41"/>
      <c r="BQ50" s="41"/>
      <c r="BR50" s="41"/>
      <c r="BS50" s="41"/>
      <c r="BT50" s="41"/>
      <c r="BU50" s="41"/>
      <c r="BV50" s="41"/>
      <c r="BW50" s="41"/>
      <c r="BX50" s="41"/>
      <c r="BY50" s="41"/>
      <c r="BZ50" s="41"/>
      <c r="CA50" s="41"/>
      <c r="CB50" s="41"/>
      <c r="CC50" s="41"/>
    </row>
    <row r="51" spans="1:16182" s="974" customFormat="1" x14ac:dyDescent="0.35">
      <c r="A51" s="574"/>
      <c r="B51" s="930"/>
      <c r="C51" s="930"/>
      <c r="D51" s="932" t="s">
        <v>337</v>
      </c>
      <c r="E51" s="932"/>
      <c r="F51" s="932"/>
      <c r="G51" s="932"/>
      <c r="H51" s="955"/>
      <c r="I51" s="955"/>
      <c r="J51" s="955"/>
      <c r="K51" s="955"/>
      <c r="L51" s="955"/>
      <c r="M51" s="955"/>
      <c r="N51" s="955"/>
      <c r="O51" s="955"/>
      <c r="P51" s="955"/>
      <c r="Q51" s="955"/>
      <c r="R51" s="955"/>
      <c r="S51" s="948"/>
      <c r="T51" s="948"/>
      <c r="U51" s="948"/>
      <c r="V51" s="948"/>
      <c r="W51" s="948"/>
      <c r="X51" s="948"/>
      <c r="Y51" s="948"/>
      <c r="Z51" s="948"/>
      <c r="AA51" s="948"/>
      <c r="AB51" s="948"/>
      <c r="AC51" s="948"/>
      <c r="AD51" s="948"/>
      <c r="AE51" s="948"/>
      <c r="AF51" s="948"/>
      <c r="AG51" s="948"/>
      <c r="AH51" s="948"/>
      <c r="AI51" s="948"/>
      <c r="AJ51" s="948"/>
      <c r="AK51" s="948"/>
      <c r="AL51" s="948"/>
      <c r="AM51" s="948"/>
      <c r="AN51" s="948"/>
      <c r="AO51" s="948"/>
      <c r="AP51" s="948"/>
      <c r="AQ51" s="948"/>
      <c r="AR51" s="948"/>
      <c r="AS51" s="948"/>
      <c r="AT51" s="948"/>
      <c r="AU51" s="948"/>
      <c r="AV51" s="948"/>
      <c r="AW51" s="948"/>
      <c r="AX51" s="948"/>
      <c r="AY51" s="948"/>
      <c r="AZ51" s="948"/>
      <c r="BA51" s="948"/>
      <c r="BB51" s="948"/>
      <c r="BC51" s="948"/>
      <c r="BD51" s="948"/>
      <c r="BE51" s="948"/>
      <c r="BF51" s="948"/>
      <c r="BG51" s="948"/>
      <c r="BH51" s="948"/>
      <c r="BI51" s="948"/>
      <c r="BJ51" s="948"/>
      <c r="BK51" s="948"/>
      <c r="BL51" s="948"/>
      <c r="BM51" s="948"/>
      <c r="BN51" s="948"/>
      <c r="BO51" s="948"/>
      <c r="BP51" s="948"/>
      <c r="BQ51" s="948"/>
      <c r="BR51" s="948"/>
      <c r="BS51" s="948"/>
      <c r="BT51" s="948"/>
      <c r="BU51" s="948"/>
      <c r="BV51" s="948"/>
      <c r="BW51" s="948"/>
      <c r="BX51" s="948"/>
      <c r="BY51" s="948"/>
      <c r="BZ51" s="948"/>
      <c r="CA51" s="948"/>
      <c r="CB51" s="948"/>
      <c r="CC51" s="948"/>
    </row>
    <row r="52" spans="1:16182" s="974" customFormat="1" x14ac:dyDescent="0.35">
      <c r="A52" s="574"/>
      <c r="B52" s="930"/>
      <c r="C52" s="930"/>
      <c r="D52" s="930" t="s">
        <v>740</v>
      </c>
      <c r="E52" s="930"/>
      <c r="F52" s="930"/>
      <c r="G52" s="931"/>
      <c r="H52" s="953"/>
      <c r="I52" s="953"/>
      <c r="J52" s="953"/>
      <c r="K52" s="953"/>
      <c r="L52" s="953"/>
      <c r="M52" s="953"/>
      <c r="N52" s="953"/>
      <c r="O52" s="953"/>
      <c r="P52" s="953"/>
      <c r="Q52" s="953"/>
      <c r="R52" s="953"/>
      <c r="S52" s="953"/>
      <c r="T52" s="953"/>
      <c r="U52" s="953"/>
      <c r="V52" s="953"/>
      <c r="W52" s="953"/>
      <c r="X52" s="953"/>
      <c r="Y52" s="953"/>
      <c r="Z52" s="953"/>
      <c r="AA52" s="953"/>
      <c r="AB52" s="953"/>
      <c r="AC52" s="953"/>
      <c r="AD52" s="953"/>
      <c r="AE52" s="953"/>
      <c r="AF52" s="953"/>
      <c r="AG52" s="953"/>
      <c r="AH52" s="41"/>
      <c r="AI52" s="41"/>
      <c r="AJ52" s="41"/>
      <c r="AK52" s="41"/>
      <c r="AL52" s="41"/>
      <c r="AM52" s="41"/>
      <c r="AN52" s="41"/>
      <c r="AO52" s="41"/>
      <c r="AP52" s="41"/>
      <c r="AQ52" s="41"/>
      <c r="AR52" s="41"/>
      <c r="AS52" s="41"/>
      <c r="AT52" s="41"/>
      <c r="AU52" s="41"/>
      <c r="AV52" s="41"/>
      <c r="AW52" s="41"/>
      <c r="AX52" s="41"/>
      <c r="AY52" s="41"/>
      <c r="AZ52" s="41"/>
      <c r="BA52" s="41"/>
      <c r="BB52" s="41"/>
      <c r="BC52" s="41"/>
      <c r="BD52" s="41"/>
      <c r="BE52" s="41"/>
      <c r="BF52" s="41"/>
      <c r="BG52" s="41"/>
      <c r="BH52" s="41"/>
      <c r="BI52" s="41"/>
      <c r="BJ52" s="41"/>
      <c r="BK52" s="41"/>
      <c r="BL52" s="41"/>
      <c r="BM52" s="41"/>
      <c r="BN52" s="41"/>
      <c r="BO52" s="41"/>
      <c r="BP52" s="41"/>
      <c r="BQ52" s="41"/>
      <c r="BR52" s="41"/>
      <c r="BS52" s="41"/>
      <c r="BT52" s="41"/>
      <c r="BU52" s="41"/>
      <c r="BV52" s="41"/>
      <c r="BW52" s="41"/>
      <c r="BX52" s="41"/>
      <c r="BY52" s="41"/>
      <c r="BZ52" s="41"/>
      <c r="CA52" s="41"/>
      <c r="CB52" s="41"/>
      <c r="CC52" s="41"/>
    </row>
    <row r="53" spans="1:16182" s="974" customFormat="1" x14ac:dyDescent="0.35">
      <c r="A53" s="157"/>
      <c r="B53" s="942"/>
      <c r="C53" s="942"/>
      <c r="D53" s="942" t="s">
        <v>444</v>
      </c>
      <c r="E53" s="942"/>
      <c r="F53" s="942"/>
      <c r="G53" s="942"/>
      <c r="H53" s="953">
        <v>213527.22</v>
      </c>
      <c r="I53" s="953">
        <v>312422.34999999998</v>
      </c>
      <c r="J53" s="953">
        <v>315759.84999999998</v>
      </c>
      <c r="K53" s="953">
        <v>315759.84999999998</v>
      </c>
      <c r="L53" s="953">
        <v>331818.32</v>
      </c>
      <c r="M53" s="953">
        <v>364422.26</v>
      </c>
      <c r="N53" s="953">
        <v>364422.26</v>
      </c>
      <c r="O53" s="953">
        <v>364928.25</v>
      </c>
      <c r="P53" s="953">
        <v>364928.25</v>
      </c>
      <c r="Q53" s="953">
        <v>364928.25</v>
      </c>
      <c r="R53" s="953">
        <v>364928.25</v>
      </c>
      <c r="S53" s="953">
        <v>404434.49</v>
      </c>
      <c r="T53" s="953">
        <v>404434.49</v>
      </c>
      <c r="U53" s="953">
        <v>404434.5</v>
      </c>
      <c r="V53" s="953">
        <v>419806.69</v>
      </c>
      <c r="W53" s="953">
        <v>469868.46</v>
      </c>
      <c r="X53" s="953">
        <v>484771.91</v>
      </c>
      <c r="Y53" s="953">
        <v>484771.91</v>
      </c>
      <c r="Z53" s="953">
        <v>484771.91</v>
      </c>
      <c r="AA53" s="953">
        <v>484771.91</v>
      </c>
      <c r="AB53" s="953">
        <v>484771.91</v>
      </c>
      <c r="AC53" s="953">
        <v>489158.94</v>
      </c>
      <c r="AD53" s="953">
        <v>489158.94</v>
      </c>
      <c r="AE53" s="953">
        <v>489158.94</v>
      </c>
      <c r="AF53" s="953">
        <v>489158.94</v>
      </c>
      <c r="AG53" s="953">
        <v>489158.94</v>
      </c>
      <c r="AH53" s="961"/>
      <c r="AI53" s="961"/>
      <c r="AJ53" s="961"/>
      <c r="AK53" s="961"/>
      <c r="AL53" s="961"/>
      <c r="AM53" s="961"/>
      <c r="AN53" s="961"/>
      <c r="AO53" s="961"/>
      <c r="AP53" s="961"/>
      <c r="AQ53" s="961"/>
      <c r="AR53" s="961"/>
      <c r="AS53" s="961"/>
      <c r="AT53" s="961"/>
      <c r="AU53" s="961"/>
      <c r="AV53" s="961"/>
      <c r="AW53" s="961"/>
      <c r="AX53" s="961"/>
      <c r="AY53" s="961"/>
      <c r="AZ53" s="961"/>
      <c r="BA53" s="961"/>
      <c r="BB53" s="961"/>
      <c r="BC53" s="961"/>
      <c r="BD53" s="961"/>
      <c r="BE53" s="961"/>
      <c r="BF53" s="961"/>
      <c r="BG53" s="961"/>
      <c r="BH53" s="961"/>
      <c r="BI53" s="961"/>
      <c r="BJ53" s="961"/>
      <c r="BK53" s="961"/>
      <c r="BL53" s="961"/>
      <c r="BM53" s="961"/>
      <c r="BN53" s="961"/>
      <c r="BO53" s="961"/>
      <c r="BP53" s="961"/>
      <c r="BQ53" s="961"/>
      <c r="BR53" s="961"/>
      <c r="BS53" s="961"/>
      <c r="BT53" s="961"/>
      <c r="BU53" s="961"/>
      <c r="BV53" s="961"/>
      <c r="BW53" s="961"/>
      <c r="BX53" s="961"/>
      <c r="BY53" s="961"/>
      <c r="BZ53" s="961"/>
      <c r="CA53" s="961"/>
      <c r="CB53" s="961"/>
      <c r="CC53" s="961"/>
    </row>
    <row r="54" spans="1:16182" s="974" customFormat="1" x14ac:dyDescent="0.35">
      <c r="A54" s="574"/>
      <c r="B54" s="930"/>
      <c r="C54" s="930"/>
      <c r="D54" s="930" t="s">
        <v>741</v>
      </c>
      <c r="E54" s="930"/>
      <c r="F54" s="930"/>
      <c r="G54" s="930"/>
      <c r="H54" s="953"/>
      <c r="I54" s="953"/>
      <c r="J54" s="953"/>
      <c r="K54" s="953"/>
      <c r="L54" s="953"/>
      <c r="M54" s="953"/>
      <c r="N54" s="953"/>
      <c r="O54" s="953"/>
      <c r="P54" s="953"/>
      <c r="Q54" s="953"/>
      <c r="R54" s="953"/>
      <c r="S54" s="953"/>
      <c r="T54" s="953"/>
      <c r="U54" s="953"/>
      <c r="V54" s="953"/>
      <c r="W54" s="953"/>
      <c r="X54" s="953"/>
      <c r="Y54" s="953"/>
      <c r="Z54" s="953"/>
      <c r="AA54" s="953"/>
      <c r="AB54" s="953"/>
      <c r="AC54" s="953"/>
      <c r="AD54" s="953"/>
      <c r="AE54" s="953"/>
      <c r="AF54" s="953"/>
      <c r="AG54" s="953"/>
      <c r="AH54" s="41"/>
      <c r="AI54" s="41"/>
      <c r="AJ54" s="41"/>
      <c r="AK54" s="41"/>
      <c r="AL54" s="41"/>
      <c r="AM54" s="41"/>
      <c r="AN54" s="41"/>
      <c r="AO54" s="41"/>
      <c r="AP54" s="41"/>
      <c r="AQ54" s="41"/>
      <c r="AR54" s="41"/>
      <c r="AS54" s="41"/>
      <c r="AT54" s="41"/>
      <c r="AU54" s="41"/>
      <c r="AV54" s="41"/>
      <c r="AW54" s="41"/>
      <c r="AX54" s="41"/>
      <c r="AY54" s="41"/>
      <c r="AZ54" s="41"/>
      <c r="BA54" s="41"/>
      <c r="BB54" s="41"/>
      <c r="BC54" s="41"/>
      <c r="BD54" s="41"/>
      <c r="BE54" s="41"/>
      <c r="BF54" s="41"/>
      <c r="BG54" s="41"/>
      <c r="BH54" s="41"/>
      <c r="BI54" s="41"/>
      <c r="BJ54" s="41"/>
      <c r="BK54" s="41"/>
      <c r="BL54" s="41"/>
      <c r="BM54" s="41"/>
      <c r="BN54" s="41"/>
      <c r="BO54" s="41"/>
      <c r="BP54" s="41"/>
      <c r="BQ54" s="41"/>
      <c r="BR54" s="41"/>
      <c r="BS54" s="41"/>
      <c r="BT54" s="41"/>
      <c r="BU54" s="41"/>
      <c r="BV54" s="41"/>
      <c r="BW54" s="41"/>
      <c r="BX54" s="41"/>
      <c r="BY54" s="41"/>
      <c r="BZ54" s="41"/>
      <c r="CA54" s="41"/>
      <c r="CB54" s="41"/>
      <c r="CC54" s="41"/>
    </row>
    <row r="55" spans="1:16182" s="974" customFormat="1" x14ac:dyDescent="0.35">
      <c r="A55" s="574"/>
      <c r="B55" s="930"/>
      <c r="C55" s="930"/>
      <c r="D55" s="932" t="s">
        <v>67</v>
      </c>
      <c r="E55" s="932"/>
      <c r="F55" s="932"/>
      <c r="G55" s="932"/>
      <c r="H55" s="955"/>
      <c r="I55" s="955"/>
      <c r="J55" s="955"/>
      <c r="K55" s="955"/>
      <c r="L55" s="955"/>
      <c r="M55" s="955"/>
      <c r="N55" s="955"/>
      <c r="O55" s="955"/>
      <c r="P55" s="955"/>
      <c r="Q55" s="955"/>
      <c r="R55" s="955"/>
      <c r="S55" s="948"/>
      <c r="T55" s="948"/>
      <c r="U55" s="948"/>
      <c r="V55" s="948"/>
      <c r="W55" s="948"/>
      <c r="X55" s="948"/>
      <c r="Y55" s="948"/>
      <c r="Z55" s="948"/>
      <c r="AA55" s="948"/>
      <c r="AB55" s="948"/>
      <c r="AC55" s="948"/>
      <c r="AD55" s="948"/>
      <c r="AE55" s="948"/>
      <c r="AF55" s="948"/>
      <c r="AG55" s="948"/>
      <c r="AH55" s="948"/>
      <c r="AI55" s="948"/>
      <c r="AJ55" s="948"/>
      <c r="AK55" s="948"/>
      <c r="AL55" s="948"/>
      <c r="AM55" s="948"/>
      <c r="AN55" s="948"/>
      <c r="AO55" s="948"/>
      <c r="AP55" s="948"/>
      <c r="AQ55" s="948"/>
      <c r="AR55" s="948"/>
      <c r="AS55" s="948"/>
      <c r="AT55" s="948"/>
      <c r="AU55" s="948"/>
      <c r="AV55" s="948"/>
      <c r="AW55" s="948"/>
      <c r="AX55" s="948"/>
      <c r="AY55" s="948"/>
      <c r="AZ55" s="948"/>
      <c r="BA55" s="948"/>
      <c r="BB55" s="948"/>
      <c r="BC55" s="948"/>
      <c r="BD55" s="948"/>
      <c r="BE55" s="948"/>
      <c r="BF55" s="948"/>
      <c r="BG55" s="948"/>
      <c r="BH55" s="948"/>
      <c r="BI55" s="948"/>
      <c r="BJ55" s="948"/>
      <c r="BK55" s="948"/>
      <c r="BL55" s="948"/>
      <c r="BM55" s="948"/>
      <c r="BN55" s="948"/>
      <c r="BO55" s="948"/>
      <c r="BP55" s="948"/>
      <c r="BQ55" s="948"/>
      <c r="BR55" s="948"/>
      <c r="BS55" s="948"/>
      <c r="BT55" s="948"/>
      <c r="BU55" s="948"/>
      <c r="BV55" s="948"/>
      <c r="BW55" s="948"/>
      <c r="BX55" s="948"/>
      <c r="BY55" s="948"/>
      <c r="BZ55" s="948"/>
      <c r="CA55" s="948"/>
      <c r="CB55" s="948"/>
      <c r="CC55" s="948"/>
    </row>
    <row r="56" spans="1:16182" s="974" customFormat="1" x14ac:dyDescent="0.35">
      <c r="A56" s="574"/>
      <c r="B56" s="930"/>
      <c r="C56" s="930"/>
      <c r="D56" s="930" t="s">
        <v>742</v>
      </c>
      <c r="E56" s="930"/>
      <c r="F56" s="930"/>
      <c r="G56" s="930"/>
      <c r="H56" s="953"/>
      <c r="I56" s="953"/>
      <c r="J56" s="953"/>
      <c r="K56" s="953"/>
      <c r="L56" s="953"/>
      <c r="M56" s="953"/>
      <c r="N56" s="953"/>
      <c r="O56" s="953"/>
      <c r="P56" s="953"/>
      <c r="Q56" s="953"/>
      <c r="R56" s="953"/>
      <c r="S56" s="953"/>
      <c r="T56" s="953"/>
      <c r="U56" s="953"/>
      <c r="V56" s="953"/>
      <c r="W56" s="953"/>
      <c r="X56" s="953"/>
      <c r="Y56" s="953"/>
      <c r="Z56" s="953"/>
      <c r="AA56" s="953"/>
      <c r="AB56" s="953"/>
      <c r="AC56" s="953"/>
      <c r="AD56" s="953"/>
      <c r="AE56" s="953"/>
      <c r="AF56" s="953"/>
      <c r="AG56" s="953"/>
      <c r="AH56" s="41"/>
      <c r="AI56" s="41"/>
      <c r="AJ56" s="41"/>
      <c r="AK56" s="41"/>
      <c r="AL56" s="41"/>
      <c r="AM56" s="41"/>
      <c r="AN56" s="41"/>
      <c r="AO56" s="41"/>
      <c r="AP56" s="41"/>
      <c r="AQ56" s="41"/>
      <c r="AR56" s="41"/>
      <c r="AS56" s="41"/>
      <c r="AT56" s="41"/>
      <c r="AU56" s="41"/>
      <c r="AV56" s="41"/>
      <c r="AW56" s="41"/>
      <c r="AX56" s="41"/>
      <c r="AY56" s="41"/>
      <c r="AZ56" s="41"/>
      <c r="BA56" s="41"/>
      <c r="BB56" s="41"/>
      <c r="BC56" s="41"/>
      <c r="BD56" s="41"/>
      <c r="BE56" s="41"/>
      <c r="BF56" s="41"/>
      <c r="BG56" s="41"/>
      <c r="BH56" s="41"/>
      <c r="BI56" s="41"/>
      <c r="BJ56" s="41"/>
      <c r="BK56" s="41"/>
      <c r="BL56" s="41"/>
      <c r="BM56" s="41"/>
      <c r="BN56" s="41"/>
      <c r="BO56" s="41"/>
      <c r="BP56" s="41"/>
      <c r="BQ56" s="41"/>
      <c r="BR56" s="41"/>
      <c r="BS56" s="41"/>
      <c r="BT56" s="41"/>
      <c r="BU56" s="41"/>
      <c r="BV56" s="41"/>
      <c r="BW56" s="41"/>
      <c r="BX56" s="41"/>
      <c r="BY56" s="41"/>
      <c r="BZ56" s="41"/>
      <c r="CA56" s="41"/>
      <c r="CB56" s="41"/>
      <c r="CC56" s="41"/>
    </row>
    <row r="57" spans="1:16182" s="974" customFormat="1" x14ac:dyDescent="0.35">
      <c r="A57" s="574"/>
      <c r="B57" s="930"/>
      <c r="C57" s="930"/>
      <c r="D57" s="930" t="s">
        <v>744</v>
      </c>
      <c r="E57" s="930"/>
      <c r="F57" s="930"/>
      <c r="G57" s="930"/>
      <c r="H57" s="953">
        <v>5174.22</v>
      </c>
      <c r="I57" s="953">
        <v>9190</v>
      </c>
      <c r="J57" s="953">
        <v>9190</v>
      </c>
      <c r="K57" s="953">
        <v>9190</v>
      </c>
      <c r="L57" s="953">
        <v>9190</v>
      </c>
      <c r="M57" s="953">
        <v>9190</v>
      </c>
      <c r="N57" s="953">
        <v>9190</v>
      </c>
      <c r="O57" s="953">
        <v>9190</v>
      </c>
      <c r="P57" s="953">
        <v>11590</v>
      </c>
      <c r="Q57" s="953">
        <v>11590</v>
      </c>
      <c r="R57" s="953">
        <v>11590</v>
      </c>
      <c r="S57" s="953">
        <v>12539</v>
      </c>
      <c r="T57" s="953">
        <v>12539</v>
      </c>
      <c r="U57" s="953">
        <v>11950.2</v>
      </c>
      <c r="V57" s="953">
        <v>11950.2</v>
      </c>
      <c r="W57" s="953">
        <v>12278.16</v>
      </c>
      <c r="X57" s="953">
        <v>17375.16</v>
      </c>
      <c r="Y57" s="953">
        <v>27175.16</v>
      </c>
      <c r="Z57" s="953">
        <v>27175.16</v>
      </c>
      <c r="AA57" s="953">
        <v>27175.16</v>
      </c>
      <c r="AB57" s="953">
        <v>30823.84</v>
      </c>
      <c r="AC57" s="953">
        <v>32722.84</v>
      </c>
      <c r="AD57" s="953">
        <v>33586.69</v>
      </c>
      <c r="AE57" s="953">
        <v>33586.69</v>
      </c>
      <c r="AF57" s="1027">
        <v>33586.69</v>
      </c>
      <c r="AG57" s="1027">
        <v>33586.69</v>
      </c>
      <c r="AH57" s="41"/>
      <c r="AI57" s="41"/>
      <c r="AJ57" s="41"/>
      <c r="AK57" s="41"/>
      <c r="AL57" s="41"/>
      <c r="AM57" s="41"/>
      <c r="AN57" s="41"/>
      <c r="AO57" s="41"/>
      <c r="AP57" s="41"/>
      <c r="AQ57" s="41"/>
      <c r="AR57" s="41"/>
      <c r="AS57" s="41"/>
      <c r="AT57" s="41"/>
      <c r="AU57" s="41"/>
      <c r="AV57" s="41"/>
      <c r="AW57" s="41"/>
      <c r="AX57" s="41"/>
      <c r="AY57" s="41"/>
      <c r="AZ57" s="41"/>
      <c r="BA57" s="41"/>
      <c r="BB57" s="41"/>
      <c r="BC57" s="41"/>
      <c r="BD57" s="41"/>
      <c r="BE57" s="41"/>
      <c r="BF57" s="41"/>
      <c r="BG57" s="41"/>
      <c r="BH57" s="41"/>
      <c r="BI57" s="41"/>
      <c r="BJ57" s="41"/>
      <c r="BK57" s="41"/>
      <c r="BL57" s="41"/>
      <c r="BM57" s="41"/>
      <c r="BN57" s="41"/>
      <c r="BO57" s="41"/>
      <c r="BP57" s="41"/>
      <c r="BQ57" s="41"/>
      <c r="BR57" s="41"/>
      <c r="BS57" s="41"/>
      <c r="BT57" s="41"/>
      <c r="BU57" s="41"/>
      <c r="BV57" s="41"/>
      <c r="BW57" s="41"/>
      <c r="BX57" s="41"/>
      <c r="BY57" s="41"/>
      <c r="BZ57" s="41"/>
      <c r="CA57" s="41"/>
      <c r="CB57" s="41"/>
      <c r="CC57" s="41"/>
    </row>
    <row r="58" spans="1:16182" s="974" customFormat="1" x14ac:dyDescent="0.35">
      <c r="A58" s="574"/>
      <c r="B58" s="930"/>
      <c r="C58" s="930"/>
      <c r="D58" s="930" t="s">
        <v>743</v>
      </c>
      <c r="E58" s="930"/>
      <c r="F58" s="930"/>
      <c r="G58" s="930"/>
      <c r="H58" s="953"/>
      <c r="I58" s="953"/>
      <c r="J58" s="953"/>
      <c r="K58" s="953"/>
      <c r="L58" s="953"/>
      <c r="M58" s="953"/>
      <c r="N58" s="953"/>
      <c r="O58" s="953"/>
      <c r="P58" s="953"/>
      <c r="Q58" s="953"/>
      <c r="R58" s="953"/>
      <c r="S58" s="953"/>
      <c r="T58" s="953"/>
      <c r="U58" s="953"/>
      <c r="V58" s="953"/>
      <c r="W58" s="953"/>
      <c r="X58" s="953"/>
      <c r="Y58" s="953"/>
      <c r="Z58" s="953"/>
      <c r="AA58" s="953"/>
      <c r="AB58" s="953"/>
      <c r="AC58" s="953"/>
      <c r="AD58" s="953"/>
      <c r="AE58" s="953"/>
      <c r="AF58" s="953"/>
      <c r="AG58" s="953"/>
      <c r="AH58" s="41"/>
      <c r="AI58" s="41"/>
      <c r="AJ58" s="41"/>
      <c r="AK58" s="41"/>
      <c r="AL58" s="41"/>
      <c r="AM58" s="41"/>
      <c r="AN58" s="41"/>
      <c r="AO58" s="41"/>
      <c r="AP58" s="41"/>
      <c r="AQ58" s="41"/>
      <c r="AR58" s="41"/>
      <c r="AS58" s="41"/>
      <c r="AT58" s="41"/>
      <c r="AU58" s="41"/>
      <c r="AV58" s="41"/>
      <c r="AW58" s="41"/>
      <c r="AX58" s="41"/>
      <c r="AY58" s="41"/>
      <c r="AZ58" s="41"/>
      <c r="BA58" s="41"/>
      <c r="BB58" s="41"/>
      <c r="BC58" s="41"/>
      <c r="BD58" s="41"/>
      <c r="BE58" s="41"/>
      <c r="BF58" s="41"/>
      <c r="BG58" s="41"/>
      <c r="BH58" s="41"/>
      <c r="BI58" s="41"/>
      <c r="BJ58" s="41"/>
      <c r="BK58" s="41"/>
      <c r="BL58" s="41"/>
      <c r="BM58" s="41"/>
      <c r="BN58" s="41"/>
      <c r="BO58" s="41"/>
      <c r="BP58" s="41"/>
      <c r="BQ58" s="41"/>
      <c r="BR58" s="41"/>
      <c r="BS58" s="41"/>
      <c r="BT58" s="41"/>
      <c r="BU58" s="41"/>
      <c r="BV58" s="41"/>
      <c r="BW58" s="41"/>
      <c r="BX58" s="41"/>
      <c r="BY58" s="41"/>
      <c r="BZ58" s="41"/>
      <c r="CA58" s="41"/>
      <c r="CB58" s="41"/>
      <c r="CC58" s="41"/>
    </row>
    <row r="59" spans="1:16182" s="974" customFormat="1" x14ac:dyDescent="0.35">
      <c r="A59" s="574"/>
      <c r="B59" s="930"/>
      <c r="C59" s="930"/>
      <c r="D59" s="932" t="s">
        <v>353</v>
      </c>
      <c r="E59" s="932"/>
      <c r="F59" s="932"/>
      <c r="G59" s="932"/>
      <c r="H59" s="955">
        <v>-112017.22</v>
      </c>
      <c r="I59" s="955">
        <v>-182957.23</v>
      </c>
      <c r="J59" s="955">
        <v>-182957.22999999998</v>
      </c>
      <c r="K59" s="955">
        <v>-182957.22999999998</v>
      </c>
      <c r="L59" s="955">
        <v>-182957.22999999998</v>
      </c>
      <c r="M59" s="955">
        <v>-182957.22999999998</v>
      </c>
      <c r="N59" s="955">
        <v>-182957.22999999998</v>
      </c>
      <c r="O59" s="955">
        <v>-182957.22999999998</v>
      </c>
      <c r="P59" s="955">
        <v>-182957.22999999998</v>
      </c>
      <c r="Q59" s="955">
        <v>-182957.22999999998</v>
      </c>
      <c r="R59" s="955">
        <v>-182957.22999999998</v>
      </c>
      <c r="S59" s="948">
        <v>-182957.22999999998</v>
      </c>
      <c r="T59" s="948">
        <v>-182957.22999999998</v>
      </c>
      <c r="U59" s="948">
        <v>-280493.88</v>
      </c>
      <c r="V59" s="948">
        <v>-290631.21000000002</v>
      </c>
      <c r="W59" s="948">
        <v>-301570.71000000002</v>
      </c>
      <c r="X59" s="948">
        <v>-312942.47000000003</v>
      </c>
      <c r="Y59" s="948">
        <v>-324649.47000000003</v>
      </c>
      <c r="Z59" s="948">
        <v>-336519.97</v>
      </c>
      <c r="AA59" s="948">
        <v>-348473.47</v>
      </c>
      <c r="AB59" s="948">
        <v>-360477.63999999996</v>
      </c>
      <c r="AC59" s="948">
        <v>-372603.38</v>
      </c>
      <c r="AD59" s="948">
        <v>-384797.71</v>
      </c>
      <c r="AE59" s="948">
        <v>-397232.04</v>
      </c>
      <c r="AF59" s="948">
        <f>-397232.04+-12534.25</f>
        <v>-409766.29</v>
      </c>
      <c r="AG59" s="948">
        <v>-422300.54000000004</v>
      </c>
      <c r="AH59" s="948"/>
      <c r="AI59" s="948"/>
      <c r="AJ59" s="948"/>
      <c r="AK59" s="948"/>
      <c r="AL59" s="948"/>
      <c r="AM59" s="948"/>
      <c r="AN59" s="948"/>
      <c r="AO59" s="948"/>
      <c r="AP59" s="948"/>
      <c r="AQ59" s="948"/>
      <c r="AR59" s="948"/>
      <c r="AS59" s="948"/>
      <c r="AT59" s="948"/>
      <c r="AU59" s="948"/>
      <c r="AV59" s="948"/>
      <c r="AW59" s="948"/>
      <c r="AX59" s="948"/>
      <c r="AY59" s="948"/>
      <c r="AZ59" s="948"/>
      <c r="BA59" s="948"/>
      <c r="BB59" s="948"/>
      <c r="BC59" s="948"/>
      <c r="BD59" s="948"/>
      <c r="BE59" s="948"/>
      <c r="BF59" s="948"/>
      <c r="BG59" s="948"/>
      <c r="BH59" s="948"/>
      <c r="BI59" s="948"/>
      <c r="BJ59" s="948"/>
      <c r="BK59" s="948"/>
      <c r="BL59" s="948"/>
      <c r="BM59" s="948"/>
      <c r="BN59" s="948"/>
      <c r="BO59" s="948"/>
      <c r="BP59" s="948"/>
      <c r="BQ59" s="948"/>
      <c r="BR59" s="948"/>
      <c r="BS59" s="948"/>
      <c r="BT59" s="948"/>
      <c r="BU59" s="948"/>
      <c r="BV59" s="948"/>
      <c r="BW59" s="948"/>
      <c r="BX59" s="948"/>
      <c r="BY59" s="948"/>
      <c r="BZ59" s="948"/>
      <c r="CA59" s="948"/>
      <c r="CB59" s="948"/>
      <c r="CC59" s="948"/>
    </row>
    <row r="60" spans="1:16182" s="974" customFormat="1" x14ac:dyDescent="0.35">
      <c r="A60" s="574"/>
      <c r="B60" s="933"/>
      <c r="C60" s="921" t="s">
        <v>99</v>
      </c>
      <c r="D60" s="921"/>
      <c r="E60" s="921"/>
      <c r="F60" s="921"/>
      <c r="G60" s="921"/>
      <c r="H60" s="921">
        <f>SUM(H39:H59)</f>
        <v>229861.85999999996</v>
      </c>
      <c r="I60" s="921">
        <f>SUM(I39:I59)</f>
        <v>299421.36</v>
      </c>
      <c r="J60" s="921">
        <f t="shared" ref="J60:AA60" si="8">SUM(J44:J59)</f>
        <v>303792.74</v>
      </c>
      <c r="K60" s="921">
        <f t="shared" si="8"/>
        <v>310903.71999999997</v>
      </c>
      <c r="L60" s="921">
        <f t="shared" si="8"/>
        <v>330880.25</v>
      </c>
      <c r="M60" s="921">
        <f t="shared" si="8"/>
        <v>369469.31000000006</v>
      </c>
      <c r="N60" s="921">
        <f t="shared" si="8"/>
        <v>370688.31000000006</v>
      </c>
      <c r="O60" s="921">
        <f t="shared" si="8"/>
        <v>379977.77</v>
      </c>
      <c r="P60" s="922">
        <f t="shared" si="8"/>
        <v>403411.98</v>
      </c>
      <c r="Q60" s="922">
        <f t="shared" si="8"/>
        <v>416308.26</v>
      </c>
      <c r="R60" s="922">
        <f t="shared" si="8"/>
        <v>427944.53</v>
      </c>
      <c r="S60" s="922">
        <f t="shared" si="8"/>
        <v>482422.77</v>
      </c>
      <c r="T60" s="922">
        <f t="shared" si="8"/>
        <v>489598.53</v>
      </c>
      <c r="U60" s="922">
        <f t="shared" si="8"/>
        <v>400055.62</v>
      </c>
      <c r="V60" s="922">
        <f t="shared" si="8"/>
        <v>421541.48999999993</v>
      </c>
      <c r="W60" s="922">
        <f t="shared" si="8"/>
        <v>467814.45</v>
      </c>
      <c r="X60" s="922">
        <f t="shared" si="8"/>
        <v>488520.27999999997</v>
      </c>
      <c r="Y60" s="922">
        <f t="shared" si="8"/>
        <v>511796.56</v>
      </c>
      <c r="Z60" s="922">
        <f t="shared" si="8"/>
        <v>512098.69000000006</v>
      </c>
      <c r="AA60" s="922">
        <f t="shared" si="8"/>
        <v>513431.42000000004</v>
      </c>
      <c r="AB60" s="922">
        <f t="shared" ref="AB60:AG60" si="9">SUM(AB43:AB59)</f>
        <v>505075.93</v>
      </c>
      <c r="AC60" s="922">
        <f t="shared" si="9"/>
        <v>518943.1</v>
      </c>
      <c r="AD60" s="922">
        <f t="shared" si="9"/>
        <v>520606.50999999995</v>
      </c>
      <c r="AE60" s="922">
        <f t="shared" si="9"/>
        <v>604448.93999999994</v>
      </c>
      <c r="AF60" s="922">
        <f t="shared" si="9"/>
        <v>632722.75</v>
      </c>
      <c r="AG60" s="922">
        <f t="shared" si="9"/>
        <v>669930.71</v>
      </c>
      <c r="AH60" s="923"/>
      <c r="AI60" s="923"/>
      <c r="AJ60" s="923"/>
      <c r="AK60" s="923"/>
      <c r="AL60" s="923"/>
      <c r="AM60" s="923"/>
      <c r="AN60" s="923"/>
      <c r="AO60" s="923"/>
      <c r="AP60" s="923"/>
      <c r="AQ60" s="923"/>
      <c r="AR60" s="923"/>
      <c r="AS60" s="923"/>
      <c r="AT60" s="923"/>
      <c r="AU60" s="923"/>
      <c r="AV60" s="923"/>
      <c r="AW60" s="923"/>
      <c r="AX60" s="923"/>
      <c r="AY60" s="923"/>
      <c r="AZ60" s="923"/>
      <c r="BA60" s="923"/>
      <c r="BB60" s="923"/>
      <c r="BC60" s="923"/>
      <c r="BD60" s="923"/>
      <c r="BE60" s="923"/>
      <c r="BF60" s="923"/>
      <c r="BG60" s="923"/>
      <c r="BH60" s="923"/>
      <c r="BI60" s="923"/>
      <c r="BJ60" s="923"/>
      <c r="BK60" s="923"/>
      <c r="BL60" s="923"/>
      <c r="BM60" s="923"/>
      <c r="BN60" s="923"/>
      <c r="BO60" s="923"/>
      <c r="BP60" s="923"/>
      <c r="BQ60" s="923"/>
      <c r="BR60" s="923"/>
      <c r="BS60" s="923"/>
      <c r="BT60" s="923"/>
      <c r="BU60" s="923"/>
      <c r="BV60" s="923"/>
      <c r="BW60" s="923"/>
      <c r="BX60" s="923"/>
      <c r="BY60" s="923"/>
      <c r="BZ60" s="923"/>
      <c r="CA60" s="923"/>
      <c r="CB60" s="923"/>
      <c r="CC60" s="967"/>
    </row>
    <row r="61" spans="1:16182" s="974" customFormat="1" x14ac:dyDescent="0.35">
      <c r="A61" s="574"/>
      <c r="B61" s="933"/>
      <c r="C61" s="933"/>
      <c r="D61" s="933"/>
      <c r="E61" s="933"/>
      <c r="F61" s="933"/>
      <c r="G61" s="933"/>
      <c r="H61" s="41"/>
      <c r="I61" s="41"/>
      <c r="J61" s="41"/>
      <c r="K61" s="41"/>
      <c r="L61" s="41"/>
      <c r="M61" s="41"/>
      <c r="N61" s="41"/>
      <c r="O61" s="41"/>
      <c r="P61" s="41"/>
      <c r="Q61" s="41"/>
      <c r="R61" s="41"/>
      <c r="S61" s="41"/>
      <c r="T61" s="41"/>
      <c r="U61" s="41"/>
      <c r="V61" s="904">
        <f>V60-V62</f>
        <v>0</v>
      </c>
      <c r="W61" s="904">
        <f t="shared" ref="W61:AG61" si="10">W60-W62</f>
        <v>0</v>
      </c>
      <c r="X61" s="904">
        <f t="shared" si="10"/>
        <v>0</v>
      </c>
      <c r="Y61" s="904">
        <f t="shared" si="10"/>
        <v>0</v>
      </c>
      <c r="Z61" s="904">
        <f t="shared" si="10"/>
        <v>0</v>
      </c>
      <c r="AA61" s="904">
        <f t="shared" si="10"/>
        <v>0</v>
      </c>
      <c r="AB61" s="904">
        <f t="shared" si="10"/>
        <v>0</v>
      </c>
      <c r="AC61" s="904">
        <f t="shared" si="10"/>
        <v>0</v>
      </c>
      <c r="AD61" s="904">
        <f t="shared" si="10"/>
        <v>0</v>
      </c>
      <c r="AE61" s="904">
        <f t="shared" si="10"/>
        <v>0</v>
      </c>
      <c r="AF61" s="904">
        <f t="shared" si="10"/>
        <v>-12534.25</v>
      </c>
      <c r="AG61" s="904">
        <f t="shared" si="10"/>
        <v>0</v>
      </c>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c r="BH61" s="41"/>
      <c r="BI61" s="41"/>
      <c r="BJ61" s="41"/>
      <c r="BK61" s="41"/>
      <c r="BL61" s="41"/>
      <c r="BM61" s="41"/>
      <c r="BN61" s="41"/>
      <c r="BO61" s="41"/>
      <c r="BP61" s="41"/>
      <c r="BQ61" s="41"/>
      <c r="BR61" s="41"/>
      <c r="BS61" s="41"/>
      <c r="BT61" s="41"/>
      <c r="BU61" s="41"/>
      <c r="BV61" s="41"/>
      <c r="BW61" s="41"/>
      <c r="BX61" s="41"/>
      <c r="BY61" s="41"/>
      <c r="BZ61" s="41"/>
      <c r="CA61" s="41"/>
      <c r="CB61" s="41"/>
      <c r="CC61" s="41"/>
    </row>
    <row r="62" spans="1:16182" s="974" customFormat="1" x14ac:dyDescent="0.35">
      <c r="A62" s="574"/>
      <c r="B62" s="938"/>
      <c r="C62" s="928" t="s">
        <v>100</v>
      </c>
      <c r="D62" s="928"/>
      <c r="E62" s="928"/>
      <c r="F62" s="928"/>
      <c r="G62" s="928"/>
      <c r="H62" s="924"/>
      <c r="I62" s="924"/>
      <c r="J62" s="924"/>
      <c r="K62" s="924"/>
      <c r="L62" s="924"/>
      <c r="M62" s="924"/>
      <c r="N62" s="924"/>
      <c r="O62" s="924"/>
      <c r="P62" s="924"/>
      <c r="Q62" s="924"/>
      <c r="R62" s="924"/>
      <c r="S62" s="924"/>
      <c r="T62" s="924"/>
      <c r="U62" s="924"/>
      <c r="V62" s="924">
        <v>421541.49</v>
      </c>
      <c r="W62" s="924">
        <v>467814.45</v>
      </c>
      <c r="X62" s="924">
        <v>488520.28</v>
      </c>
      <c r="Y62" s="924">
        <v>511796.56</v>
      </c>
      <c r="Z62" s="924">
        <v>512098.69</v>
      </c>
      <c r="AA62" s="924">
        <v>513431.42</v>
      </c>
      <c r="AB62" s="924">
        <v>505075.93</v>
      </c>
      <c r="AC62" s="924">
        <v>518943.1</v>
      </c>
      <c r="AD62" s="924">
        <v>520606.51</v>
      </c>
      <c r="AE62" s="924">
        <v>604448.93999999994</v>
      </c>
      <c r="AF62" s="924">
        <v>645257</v>
      </c>
      <c r="AG62" s="924">
        <v>669930.71</v>
      </c>
      <c r="AH62" s="924"/>
      <c r="AI62" s="924"/>
      <c r="AJ62" s="924"/>
      <c r="AK62" s="924"/>
      <c r="AL62" s="924"/>
      <c r="AM62" s="924"/>
      <c r="AN62" s="924"/>
      <c r="AO62" s="924"/>
      <c r="AP62" s="924"/>
      <c r="AQ62" s="924"/>
      <c r="AR62" s="924"/>
      <c r="AS62" s="924"/>
      <c r="AT62" s="924"/>
      <c r="AU62" s="924"/>
      <c r="AV62" s="924"/>
      <c r="AW62" s="924"/>
      <c r="AX62" s="924"/>
      <c r="AY62" s="924"/>
      <c r="AZ62" s="924"/>
      <c r="BA62" s="924"/>
      <c r="BB62" s="924"/>
      <c r="BC62" s="924"/>
      <c r="BD62" s="924"/>
      <c r="BE62" s="924"/>
      <c r="BF62" s="924"/>
      <c r="BG62" s="924"/>
      <c r="BH62" s="924"/>
      <c r="BI62" s="924"/>
      <c r="BJ62" s="924"/>
      <c r="BK62" s="924"/>
      <c r="BL62" s="924"/>
      <c r="BM62" s="924"/>
      <c r="BN62" s="924"/>
      <c r="BO62" s="924"/>
      <c r="BP62" s="924"/>
      <c r="BQ62" s="924"/>
      <c r="BR62" s="924"/>
      <c r="BS62" s="924"/>
      <c r="BT62" s="924"/>
      <c r="BU62" s="924"/>
      <c r="BV62" s="924"/>
      <c r="BW62" s="924"/>
      <c r="BX62" s="924"/>
      <c r="BY62" s="924"/>
      <c r="BZ62" s="924"/>
      <c r="CA62" s="924"/>
      <c r="CB62" s="924"/>
      <c r="CC62" s="924"/>
      <c r="CD62" s="975"/>
      <c r="CE62" s="975"/>
      <c r="CF62" s="975"/>
      <c r="CG62" s="975"/>
      <c r="CH62" s="975"/>
      <c r="CI62" s="975"/>
      <c r="CJ62" s="975"/>
      <c r="CK62" s="975"/>
      <c r="CL62" s="975"/>
      <c r="CM62" s="975"/>
      <c r="CN62" s="975"/>
      <c r="CO62" s="975"/>
      <c r="CP62" s="975"/>
      <c r="CQ62" s="975"/>
      <c r="CR62" s="975"/>
      <c r="CS62" s="975"/>
      <c r="CT62" s="975"/>
      <c r="CU62" s="975"/>
      <c r="CV62" s="975"/>
      <c r="CW62" s="975"/>
      <c r="CX62" s="975"/>
      <c r="CY62" s="975"/>
      <c r="CZ62" s="975"/>
      <c r="DA62" s="975"/>
      <c r="DB62" s="975"/>
      <c r="DC62" s="975"/>
      <c r="DD62" s="975"/>
      <c r="DE62" s="975"/>
      <c r="DF62" s="975"/>
      <c r="DG62" s="975"/>
      <c r="DH62" s="975"/>
      <c r="DI62" s="975"/>
      <c r="DJ62" s="975"/>
      <c r="DK62" s="975"/>
      <c r="DL62" s="975"/>
      <c r="DM62" s="975"/>
      <c r="DN62" s="975"/>
      <c r="DO62" s="975"/>
      <c r="DP62" s="975"/>
      <c r="DQ62" s="975"/>
      <c r="DR62" s="975"/>
      <c r="DS62" s="975"/>
      <c r="DT62" s="975"/>
      <c r="DU62" s="975"/>
      <c r="DV62" s="975"/>
      <c r="DW62" s="975"/>
      <c r="DX62" s="975"/>
      <c r="DY62" s="975"/>
      <c r="DZ62" s="975"/>
      <c r="EA62" s="975"/>
      <c r="EB62" s="975"/>
      <c r="EC62" s="975"/>
      <c r="ED62" s="975"/>
      <c r="EE62" s="975"/>
      <c r="EF62" s="975"/>
      <c r="EG62" s="975"/>
      <c r="EH62" s="975"/>
      <c r="EI62" s="975"/>
      <c r="EJ62" s="975"/>
      <c r="EK62" s="975"/>
      <c r="EL62" s="975"/>
      <c r="EM62" s="975"/>
      <c r="EN62" s="975"/>
      <c r="EO62" s="975"/>
      <c r="EP62" s="975"/>
      <c r="EQ62" s="975"/>
      <c r="ER62" s="975"/>
      <c r="ES62" s="975"/>
      <c r="ET62" s="975"/>
      <c r="EU62" s="975"/>
      <c r="EV62" s="975"/>
      <c r="EW62" s="975"/>
      <c r="EX62" s="975"/>
      <c r="EY62" s="975"/>
      <c r="EZ62" s="975"/>
      <c r="FA62" s="975"/>
      <c r="FB62" s="975"/>
      <c r="FC62" s="975"/>
      <c r="FD62" s="975"/>
      <c r="FE62" s="975"/>
      <c r="FF62" s="975"/>
      <c r="FG62" s="975"/>
      <c r="FH62" s="975"/>
      <c r="FI62" s="975"/>
      <c r="FJ62" s="975"/>
      <c r="FK62" s="975"/>
      <c r="FL62" s="975"/>
      <c r="FM62" s="975"/>
      <c r="FN62" s="975"/>
      <c r="FO62" s="975"/>
      <c r="FP62" s="975"/>
      <c r="FQ62" s="975"/>
      <c r="FR62" s="975"/>
      <c r="FS62" s="975"/>
      <c r="FT62" s="975"/>
      <c r="FU62" s="975"/>
      <c r="FV62" s="975"/>
      <c r="FW62" s="975"/>
      <c r="FX62" s="975"/>
      <c r="FY62" s="975"/>
      <c r="FZ62" s="975"/>
      <c r="GA62" s="975"/>
      <c r="GB62" s="975"/>
      <c r="GC62" s="975"/>
      <c r="GD62" s="975"/>
      <c r="GE62" s="975"/>
      <c r="GF62" s="975"/>
      <c r="GG62" s="975"/>
      <c r="GH62" s="975"/>
      <c r="GI62" s="975"/>
      <c r="GJ62" s="975"/>
      <c r="GK62" s="975"/>
      <c r="GL62" s="975"/>
      <c r="GM62" s="975"/>
      <c r="GN62" s="975"/>
      <c r="GO62" s="975"/>
      <c r="GP62" s="975"/>
      <c r="GQ62" s="975"/>
      <c r="GR62" s="975"/>
      <c r="GS62" s="975"/>
      <c r="GT62" s="975"/>
      <c r="GU62" s="975"/>
      <c r="GV62" s="975"/>
      <c r="GW62" s="975"/>
      <c r="GX62" s="975"/>
      <c r="GY62" s="975"/>
      <c r="GZ62" s="975"/>
      <c r="HA62" s="975"/>
      <c r="HB62" s="975"/>
      <c r="HC62" s="975"/>
      <c r="HD62" s="975"/>
      <c r="HE62" s="975"/>
      <c r="HF62" s="975"/>
      <c r="HG62" s="975"/>
      <c r="HH62" s="975"/>
      <c r="HI62" s="975"/>
      <c r="HJ62" s="975"/>
      <c r="HK62" s="975"/>
      <c r="HL62" s="975"/>
      <c r="HM62" s="975"/>
      <c r="HN62" s="975"/>
      <c r="HO62" s="975"/>
      <c r="HP62" s="975"/>
      <c r="HQ62" s="975"/>
      <c r="HR62" s="975"/>
      <c r="HS62" s="975"/>
      <c r="HT62" s="975"/>
      <c r="HU62" s="975"/>
      <c r="HV62" s="975"/>
      <c r="HW62" s="975"/>
      <c r="HX62" s="975"/>
      <c r="HY62" s="975"/>
      <c r="HZ62" s="975"/>
      <c r="IA62" s="975"/>
      <c r="IB62" s="975"/>
      <c r="IC62" s="975"/>
      <c r="ID62" s="975"/>
      <c r="IE62" s="975"/>
      <c r="IF62" s="975"/>
      <c r="IG62" s="975"/>
      <c r="IH62" s="975"/>
      <c r="II62" s="975"/>
      <c r="IJ62" s="975"/>
      <c r="IK62" s="975"/>
      <c r="IL62" s="975"/>
      <c r="IM62" s="975"/>
      <c r="IN62" s="975"/>
      <c r="IO62" s="975"/>
      <c r="IP62" s="975"/>
      <c r="IQ62" s="975"/>
      <c r="IR62" s="975"/>
      <c r="IS62" s="975"/>
      <c r="IT62" s="975"/>
      <c r="IU62" s="975"/>
      <c r="IV62" s="975"/>
      <c r="IW62" s="975"/>
      <c r="IX62" s="975"/>
      <c r="IY62" s="975"/>
      <c r="IZ62" s="975"/>
      <c r="JA62" s="975"/>
      <c r="JB62" s="975"/>
      <c r="JC62" s="975"/>
      <c r="JD62" s="975"/>
      <c r="JE62" s="975"/>
      <c r="JF62" s="975"/>
      <c r="JG62" s="975"/>
      <c r="JH62" s="975"/>
      <c r="JI62" s="975"/>
      <c r="JJ62" s="975"/>
      <c r="JK62" s="975"/>
      <c r="JL62" s="975"/>
      <c r="JM62" s="975"/>
      <c r="JN62" s="975"/>
      <c r="JO62" s="975"/>
      <c r="JP62" s="975"/>
      <c r="JQ62" s="975"/>
      <c r="JR62" s="975"/>
      <c r="JS62" s="975"/>
      <c r="JT62" s="975"/>
      <c r="JU62" s="975"/>
      <c r="JV62" s="975"/>
      <c r="JW62" s="975"/>
      <c r="JX62" s="975"/>
      <c r="JY62" s="975"/>
      <c r="JZ62" s="975"/>
      <c r="KA62" s="975"/>
      <c r="KB62" s="975"/>
      <c r="KC62" s="975"/>
      <c r="KD62" s="975"/>
      <c r="KE62" s="975"/>
      <c r="KF62" s="975"/>
      <c r="KG62" s="975"/>
      <c r="KH62" s="975"/>
      <c r="KI62" s="975"/>
      <c r="KJ62" s="975"/>
      <c r="KK62" s="975"/>
      <c r="KL62" s="975"/>
      <c r="KM62" s="975"/>
      <c r="KN62" s="975"/>
      <c r="KO62" s="975"/>
      <c r="KP62" s="975"/>
      <c r="KQ62" s="975"/>
      <c r="KR62" s="975"/>
      <c r="KS62" s="975"/>
      <c r="KT62" s="975"/>
      <c r="KU62" s="975"/>
      <c r="KV62" s="975"/>
      <c r="KW62" s="975"/>
      <c r="KX62" s="975"/>
      <c r="KY62" s="975"/>
      <c r="KZ62" s="975"/>
      <c r="LA62" s="975"/>
      <c r="LB62" s="975"/>
      <c r="LC62" s="975"/>
      <c r="LD62" s="975"/>
      <c r="LE62" s="975"/>
      <c r="LF62" s="975"/>
      <c r="LG62" s="975"/>
      <c r="LH62" s="975"/>
      <c r="LI62" s="975"/>
      <c r="LJ62" s="975"/>
      <c r="LK62" s="975"/>
      <c r="LL62" s="975"/>
      <c r="LM62" s="975"/>
      <c r="LN62" s="975"/>
      <c r="LO62" s="975"/>
      <c r="LP62" s="975"/>
      <c r="LQ62" s="975"/>
      <c r="LR62" s="975"/>
      <c r="LS62" s="975"/>
      <c r="LT62" s="975"/>
      <c r="LU62" s="975"/>
      <c r="LV62" s="975"/>
      <c r="LW62" s="975"/>
      <c r="LX62" s="975"/>
      <c r="LY62" s="975"/>
      <c r="LZ62" s="975"/>
      <c r="MA62" s="975"/>
      <c r="MB62" s="975"/>
      <c r="MC62" s="975"/>
      <c r="MD62" s="975"/>
      <c r="ME62" s="975"/>
      <c r="MF62" s="975"/>
      <c r="MG62" s="975"/>
      <c r="MH62" s="975"/>
      <c r="MI62" s="975"/>
      <c r="MJ62" s="975"/>
      <c r="MK62" s="975"/>
      <c r="ML62" s="975"/>
      <c r="MM62" s="975"/>
      <c r="MN62" s="975"/>
      <c r="MO62" s="975"/>
      <c r="MP62" s="975"/>
      <c r="MQ62" s="975"/>
      <c r="MR62" s="975"/>
      <c r="MS62" s="975"/>
      <c r="MT62" s="975"/>
      <c r="MU62" s="975"/>
      <c r="MV62" s="975"/>
      <c r="MW62" s="975"/>
      <c r="MX62" s="975"/>
      <c r="MY62" s="975"/>
      <c r="MZ62" s="975"/>
      <c r="NA62" s="975"/>
      <c r="NB62" s="975"/>
      <c r="NC62" s="975"/>
      <c r="ND62" s="975"/>
      <c r="NE62" s="975"/>
      <c r="NF62" s="975"/>
      <c r="NG62" s="975"/>
      <c r="NH62" s="975"/>
      <c r="NI62" s="975"/>
      <c r="NJ62" s="975"/>
      <c r="NK62" s="975"/>
      <c r="NL62" s="975"/>
      <c r="NM62" s="975"/>
      <c r="NN62" s="975"/>
      <c r="NO62" s="975"/>
      <c r="NP62" s="975"/>
      <c r="NQ62" s="975"/>
      <c r="NR62" s="975"/>
      <c r="NS62" s="975"/>
      <c r="NT62" s="975"/>
      <c r="NU62" s="975"/>
      <c r="NV62" s="975"/>
      <c r="NW62" s="975"/>
      <c r="NX62" s="975"/>
      <c r="NY62" s="975"/>
      <c r="NZ62" s="975"/>
      <c r="OA62" s="975"/>
      <c r="OB62" s="975"/>
      <c r="OC62" s="975"/>
      <c r="OD62" s="975"/>
      <c r="OE62" s="975"/>
      <c r="OF62" s="975"/>
      <c r="OG62" s="975"/>
      <c r="OH62" s="975"/>
      <c r="OI62" s="975"/>
      <c r="OJ62" s="975"/>
      <c r="OK62" s="975"/>
      <c r="OL62" s="975"/>
      <c r="OM62" s="975"/>
      <c r="ON62" s="975"/>
      <c r="OO62" s="975"/>
      <c r="OP62" s="975"/>
      <c r="OQ62" s="975"/>
      <c r="OR62" s="975"/>
      <c r="OS62" s="975"/>
      <c r="OT62" s="975"/>
      <c r="OU62" s="975"/>
      <c r="OV62" s="975"/>
      <c r="OW62" s="975"/>
      <c r="OX62" s="975"/>
      <c r="OY62" s="975"/>
      <c r="OZ62" s="975"/>
      <c r="PA62" s="975"/>
      <c r="PB62" s="975"/>
      <c r="PC62" s="975"/>
      <c r="PD62" s="975"/>
      <c r="PE62" s="975"/>
      <c r="PF62" s="975"/>
      <c r="PG62" s="975"/>
      <c r="PH62" s="975"/>
      <c r="PI62" s="975"/>
      <c r="PJ62" s="975"/>
      <c r="PK62" s="975"/>
      <c r="PL62" s="975"/>
      <c r="PM62" s="975"/>
      <c r="PN62" s="975"/>
      <c r="PO62" s="975"/>
      <c r="PP62" s="975"/>
      <c r="PQ62" s="975"/>
      <c r="PR62" s="975"/>
      <c r="PS62" s="975"/>
      <c r="PT62" s="975"/>
      <c r="PU62" s="975"/>
      <c r="PV62" s="975"/>
      <c r="PW62" s="975"/>
      <c r="PX62" s="975"/>
      <c r="PY62" s="975"/>
      <c r="PZ62" s="975"/>
      <c r="QA62" s="975"/>
      <c r="QB62" s="975"/>
      <c r="QC62" s="975"/>
      <c r="QD62" s="975"/>
      <c r="QE62" s="975"/>
      <c r="QF62" s="975"/>
      <c r="QG62" s="975"/>
      <c r="QH62" s="975"/>
      <c r="QI62" s="975"/>
      <c r="QJ62" s="975"/>
      <c r="QK62" s="975"/>
      <c r="QL62" s="975"/>
      <c r="QM62" s="975"/>
      <c r="QN62" s="975"/>
      <c r="QO62" s="975"/>
      <c r="QP62" s="975"/>
      <c r="QQ62" s="975"/>
      <c r="QR62" s="975"/>
      <c r="QS62" s="975"/>
      <c r="QT62" s="975"/>
      <c r="QU62" s="975"/>
      <c r="QV62" s="975"/>
      <c r="QW62" s="975"/>
      <c r="QX62" s="975"/>
      <c r="QY62" s="975"/>
      <c r="QZ62" s="975"/>
      <c r="RA62" s="975"/>
      <c r="RB62" s="975"/>
      <c r="RC62" s="975"/>
      <c r="RD62" s="975"/>
      <c r="RE62" s="975"/>
      <c r="RF62" s="975"/>
      <c r="RG62" s="975"/>
      <c r="RH62" s="975"/>
      <c r="RI62" s="975"/>
      <c r="RJ62" s="975"/>
      <c r="RK62" s="975"/>
      <c r="RL62" s="975"/>
      <c r="RM62" s="975"/>
      <c r="RN62" s="975"/>
      <c r="RO62" s="975"/>
      <c r="RP62" s="975"/>
      <c r="RQ62" s="975"/>
      <c r="RR62" s="975"/>
      <c r="RS62" s="975"/>
      <c r="RT62" s="975"/>
      <c r="RU62" s="975"/>
      <c r="RV62" s="975"/>
      <c r="RW62" s="975"/>
      <c r="RX62" s="975"/>
      <c r="RY62" s="975"/>
      <c r="RZ62" s="975"/>
      <c r="SA62" s="975"/>
      <c r="SB62" s="975"/>
      <c r="SC62" s="975"/>
      <c r="SD62" s="975"/>
      <c r="SE62" s="975"/>
      <c r="SF62" s="975"/>
      <c r="SG62" s="975"/>
      <c r="SH62" s="975"/>
      <c r="SI62" s="975"/>
      <c r="SJ62" s="975"/>
      <c r="SK62" s="975"/>
      <c r="SL62" s="975"/>
      <c r="SM62" s="975"/>
      <c r="SN62" s="975"/>
      <c r="SO62" s="975"/>
      <c r="SP62" s="975"/>
      <c r="SQ62" s="975"/>
      <c r="SR62" s="975"/>
      <c r="SS62" s="975"/>
      <c r="ST62" s="975"/>
      <c r="SU62" s="975"/>
      <c r="SV62" s="975"/>
      <c r="SW62" s="975"/>
      <c r="SX62" s="975"/>
      <c r="SY62" s="975"/>
      <c r="SZ62" s="975"/>
      <c r="TA62" s="975"/>
      <c r="TB62" s="975"/>
      <c r="TC62" s="975"/>
      <c r="TD62" s="975"/>
      <c r="TE62" s="975"/>
      <c r="TF62" s="975"/>
      <c r="TG62" s="975"/>
      <c r="TH62" s="975"/>
      <c r="TI62" s="975"/>
      <c r="TJ62" s="975"/>
      <c r="TK62" s="975"/>
      <c r="TL62" s="975"/>
      <c r="TM62" s="975"/>
      <c r="TN62" s="975"/>
      <c r="TO62" s="975"/>
      <c r="TP62" s="975"/>
      <c r="TQ62" s="975"/>
      <c r="TR62" s="975"/>
      <c r="TS62" s="975"/>
      <c r="TT62" s="975"/>
      <c r="TU62" s="975"/>
      <c r="TV62" s="975"/>
      <c r="TW62" s="975"/>
      <c r="TX62" s="975"/>
      <c r="TY62" s="975"/>
      <c r="TZ62" s="975"/>
      <c r="UA62" s="975"/>
      <c r="UB62" s="975"/>
      <c r="UC62" s="975"/>
      <c r="UD62" s="975"/>
      <c r="UE62" s="975"/>
      <c r="UF62" s="975"/>
      <c r="UG62" s="975"/>
      <c r="UH62" s="975"/>
      <c r="UI62" s="975"/>
      <c r="UJ62" s="975"/>
      <c r="UK62" s="975"/>
      <c r="UL62" s="975"/>
      <c r="UM62" s="975"/>
      <c r="UN62" s="975"/>
      <c r="UO62" s="975"/>
      <c r="UP62" s="975"/>
      <c r="UQ62" s="975"/>
      <c r="UR62" s="975"/>
      <c r="US62" s="975"/>
      <c r="UT62" s="975"/>
      <c r="UU62" s="975"/>
      <c r="UV62" s="975"/>
      <c r="UW62" s="975"/>
      <c r="UX62" s="975"/>
      <c r="UY62" s="975"/>
      <c r="UZ62" s="975"/>
      <c r="VA62" s="975"/>
      <c r="VB62" s="975"/>
      <c r="VC62" s="975"/>
      <c r="VD62" s="975"/>
      <c r="VE62" s="975"/>
      <c r="VF62" s="975"/>
      <c r="VG62" s="975"/>
      <c r="VH62" s="975"/>
      <c r="VI62" s="975"/>
      <c r="VJ62" s="975"/>
      <c r="VK62" s="975"/>
      <c r="VL62" s="975"/>
      <c r="VM62" s="975"/>
      <c r="VN62" s="975"/>
      <c r="VO62" s="975"/>
      <c r="VP62" s="975"/>
      <c r="VQ62" s="975"/>
      <c r="VR62" s="975"/>
      <c r="VS62" s="975"/>
      <c r="VT62" s="975"/>
      <c r="VU62" s="975"/>
      <c r="VV62" s="975"/>
      <c r="VW62" s="975"/>
      <c r="VX62" s="975"/>
      <c r="VY62" s="975"/>
      <c r="VZ62" s="975"/>
      <c r="WA62" s="975"/>
      <c r="WB62" s="975"/>
      <c r="WC62" s="975"/>
      <c r="WD62" s="975"/>
      <c r="WE62" s="975"/>
      <c r="WF62" s="975"/>
      <c r="WG62" s="975"/>
      <c r="WH62" s="975"/>
      <c r="WI62" s="975"/>
      <c r="WJ62" s="975"/>
      <c r="WK62" s="975"/>
      <c r="WL62" s="975"/>
      <c r="WM62" s="975"/>
      <c r="WN62" s="975"/>
      <c r="WO62" s="975"/>
      <c r="WP62" s="975"/>
      <c r="WQ62" s="975"/>
      <c r="WR62" s="975"/>
      <c r="WS62" s="975"/>
      <c r="WT62" s="975"/>
      <c r="WU62" s="975"/>
      <c r="WV62" s="975"/>
      <c r="WW62" s="975"/>
      <c r="WX62" s="975"/>
      <c r="WY62" s="975"/>
      <c r="WZ62" s="975"/>
      <c r="XA62" s="975"/>
      <c r="XB62" s="975"/>
      <c r="XC62" s="975"/>
      <c r="XD62" s="975"/>
      <c r="XE62" s="975"/>
      <c r="XF62" s="975"/>
      <c r="XG62" s="975"/>
      <c r="XH62" s="975"/>
      <c r="XI62" s="975"/>
      <c r="XJ62" s="975"/>
      <c r="XK62" s="975"/>
      <c r="XL62" s="975"/>
      <c r="XM62" s="975"/>
      <c r="XN62" s="975"/>
      <c r="XO62" s="975"/>
      <c r="XP62" s="975"/>
      <c r="XQ62" s="975"/>
      <c r="XR62" s="975"/>
      <c r="XS62" s="975"/>
      <c r="XT62" s="975"/>
      <c r="XU62" s="975"/>
      <c r="XV62" s="975"/>
      <c r="XW62" s="975"/>
      <c r="XX62" s="975"/>
      <c r="XY62" s="975"/>
      <c r="XZ62" s="975"/>
      <c r="YA62" s="975"/>
      <c r="YB62" s="975"/>
      <c r="YC62" s="975"/>
      <c r="YD62" s="975"/>
      <c r="YE62" s="975"/>
      <c r="YF62" s="975"/>
      <c r="YG62" s="975"/>
      <c r="YH62" s="975"/>
      <c r="YI62" s="975"/>
      <c r="YJ62" s="975"/>
      <c r="YK62" s="975"/>
      <c r="YL62" s="975"/>
      <c r="YM62" s="975"/>
      <c r="YN62" s="975"/>
      <c r="YO62" s="975"/>
      <c r="YP62" s="975"/>
      <c r="YQ62" s="975"/>
      <c r="YR62" s="975"/>
      <c r="YS62" s="975"/>
      <c r="YT62" s="975"/>
      <c r="YU62" s="975"/>
      <c r="YV62" s="975"/>
      <c r="YW62" s="975"/>
      <c r="YX62" s="975"/>
      <c r="YY62" s="975"/>
      <c r="YZ62" s="975"/>
      <c r="ZA62" s="975"/>
      <c r="ZB62" s="975"/>
      <c r="ZC62" s="975"/>
      <c r="ZD62" s="975"/>
      <c r="ZE62" s="975"/>
      <c r="ZF62" s="975"/>
      <c r="ZG62" s="975"/>
      <c r="ZH62" s="975"/>
      <c r="ZI62" s="975"/>
      <c r="ZJ62" s="975"/>
      <c r="ZK62" s="975"/>
      <c r="ZL62" s="975"/>
      <c r="ZM62" s="975"/>
      <c r="ZN62" s="975"/>
      <c r="ZO62" s="975"/>
      <c r="ZP62" s="975"/>
      <c r="ZQ62" s="975"/>
      <c r="ZR62" s="975"/>
      <c r="ZS62" s="975"/>
      <c r="ZT62" s="975"/>
      <c r="ZU62" s="975"/>
      <c r="ZV62" s="975"/>
      <c r="ZW62" s="975"/>
      <c r="ZX62" s="975"/>
      <c r="ZY62" s="975"/>
      <c r="ZZ62" s="975"/>
      <c r="AAA62" s="975"/>
      <c r="AAB62" s="975"/>
      <c r="AAC62" s="975"/>
      <c r="AAD62" s="975"/>
      <c r="AAE62" s="975"/>
      <c r="AAF62" s="975"/>
      <c r="AAG62" s="975"/>
      <c r="AAH62" s="975"/>
      <c r="AAI62" s="975"/>
      <c r="AAJ62" s="975"/>
      <c r="AAK62" s="975"/>
      <c r="AAL62" s="975"/>
      <c r="AAM62" s="975"/>
      <c r="AAN62" s="975"/>
      <c r="AAO62" s="975"/>
      <c r="AAP62" s="975"/>
      <c r="AAQ62" s="975"/>
      <c r="AAR62" s="975"/>
      <c r="AAS62" s="975"/>
      <c r="AAT62" s="975"/>
      <c r="AAU62" s="975"/>
      <c r="AAV62" s="975"/>
      <c r="AAW62" s="975"/>
      <c r="AAX62" s="975"/>
      <c r="AAY62" s="975"/>
      <c r="AAZ62" s="975"/>
      <c r="ABA62" s="975"/>
      <c r="ABB62" s="975"/>
      <c r="ABC62" s="975"/>
      <c r="ABD62" s="975"/>
      <c r="ABE62" s="975"/>
      <c r="ABF62" s="975"/>
      <c r="ABG62" s="975"/>
      <c r="ABH62" s="975"/>
      <c r="ABI62" s="975"/>
      <c r="ABJ62" s="975"/>
      <c r="ABK62" s="975"/>
      <c r="ABL62" s="975"/>
      <c r="ABM62" s="975"/>
      <c r="ABN62" s="975"/>
      <c r="ABO62" s="975"/>
      <c r="ABP62" s="975"/>
      <c r="ABQ62" s="975"/>
      <c r="ABR62" s="975"/>
      <c r="ABS62" s="975"/>
      <c r="ABT62" s="975"/>
      <c r="ABU62" s="975"/>
      <c r="ABV62" s="975"/>
      <c r="ABW62" s="975"/>
      <c r="ABX62" s="975"/>
      <c r="ABY62" s="975"/>
      <c r="ABZ62" s="975"/>
      <c r="ACA62" s="975"/>
      <c r="ACB62" s="975"/>
      <c r="ACC62" s="975"/>
      <c r="ACD62" s="975"/>
      <c r="ACE62" s="975"/>
      <c r="ACF62" s="975"/>
      <c r="ACG62" s="975"/>
      <c r="ACH62" s="975"/>
      <c r="ACI62" s="975"/>
      <c r="ACJ62" s="975"/>
      <c r="ACK62" s="975"/>
      <c r="ACL62" s="975"/>
      <c r="ACM62" s="975"/>
      <c r="ACN62" s="975"/>
      <c r="ACO62" s="975"/>
      <c r="ACP62" s="975"/>
      <c r="ACQ62" s="975"/>
      <c r="ACR62" s="975"/>
      <c r="ACS62" s="975"/>
      <c r="ACT62" s="975"/>
      <c r="ACU62" s="975"/>
      <c r="ACV62" s="975"/>
      <c r="ACW62" s="975"/>
      <c r="ACX62" s="975"/>
      <c r="ACY62" s="975"/>
      <c r="ACZ62" s="975"/>
      <c r="ADA62" s="975"/>
      <c r="ADB62" s="975"/>
      <c r="ADC62" s="975"/>
      <c r="ADD62" s="975"/>
      <c r="ADE62" s="975"/>
      <c r="ADF62" s="975"/>
      <c r="ADG62" s="975"/>
      <c r="ADH62" s="975"/>
      <c r="ADI62" s="975"/>
      <c r="ADJ62" s="975"/>
      <c r="ADK62" s="975"/>
      <c r="ADL62" s="975"/>
      <c r="ADM62" s="975"/>
      <c r="ADN62" s="975"/>
      <c r="ADO62" s="975"/>
      <c r="ADP62" s="975"/>
      <c r="ADQ62" s="975"/>
      <c r="ADR62" s="975"/>
      <c r="ADS62" s="975"/>
      <c r="ADT62" s="975"/>
      <c r="ADU62" s="975"/>
      <c r="ADV62" s="975"/>
      <c r="ADW62" s="975"/>
      <c r="ADX62" s="975"/>
      <c r="ADY62" s="975"/>
      <c r="ADZ62" s="975"/>
      <c r="AEA62" s="975"/>
      <c r="AEB62" s="975"/>
      <c r="AEC62" s="975"/>
      <c r="AED62" s="975"/>
      <c r="AEE62" s="975"/>
      <c r="AEF62" s="975"/>
      <c r="AEG62" s="975"/>
      <c r="AEH62" s="975"/>
      <c r="AEI62" s="975"/>
      <c r="AEJ62" s="975"/>
      <c r="AEK62" s="975"/>
      <c r="AEL62" s="975"/>
      <c r="AEM62" s="975"/>
      <c r="AEN62" s="975"/>
      <c r="AEO62" s="975"/>
      <c r="AEP62" s="975"/>
      <c r="AEQ62" s="975"/>
      <c r="AER62" s="975"/>
      <c r="AES62" s="975"/>
      <c r="AET62" s="975"/>
      <c r="AEU62" s="975"/>
      <c r="AEV62" s="975"/>
      <c r="AEW62" s="975"/>
      <c r="AEX62" s="975"/>
      <c r="AEY62" s="975"/>
      <c r="AEZ62" s="975"/>
      <c r="AFA62" s="975"/>
      <c r="AFB62" s="975"/>
      <c r="AFC62" s="975"/>
      <c r="AFD62" s="975"/>
      <c r="AFE62" s="975"/>
      <c r="AFF62" s="975"/>
      <c r="AFG62" s="975"/>
      <c r="AFH62" s="975"/>
      <c r="AFI62" s="975"/>
      <c r="AFJ62" s="975"/>
      <c r="AFK62" s="975"/>
      <c r="AFL62" s="975"/>
      <c r="AFM62" s="975"/>
      <c r="AFN62" s="975"/>
      <c r="AFO62" s="975"/>
      <c r="AFP62" s="975"/>
      <c r="AFQ62" s="975"/>
      <c r="AFR62" s="975"/>
      <c r="AFS62" s="975"/>
      <c r="AFT62" s="975"/>
      <c r="AFU62" s="975"/>
      <c r="AFV62" s="975"/>
      <c r="AFW62" s="975"/>
      <c r="AFX62" s="975"/>
      <c r="AFY62" s="975"/>
      <c r="AFZ62" s="975"/>
      <c r="AGA62" s="975"/>
      <c r="AGB62" s="975"/>
      <c r="AGC62" s="975"/>
      <c r="AGD62" s="975"/>
      <c r="AGE62" s="975"/>
      <c r="AGF62" s="975"/>
      <c r="AGG62" s="975"/>
      <c r="AGH62" s="975"/>
      <c r="AGI62" s="975"/>
      <c r="AGJ62" s="975"/>
      <c r="AGK62" s="975"/>
      <c r="AGL62" s="975"/>
      <c r="AGM62" s="975"/>
      <c r="AGN62" s="975"/>
      <c r="AGO62" s="975"/>
      <c r="AGP62" s="975"/>
      <c r="AGQ62" s="975"/>
      <c r="AGR62" s="975"/>
      <c r="AGS62" s="975"/>
      <c r="AGT62" s="975"/>
      <c r="AGU62" s="975"/>
      <c r="AGV62" s="975"/>
      <c r="AGW62" s="975"/>
      <c r="AGX62" s="975"/>
      <c r="AGY62" s="975"/>
      <c r="AGZ62" s="975"/>
      <c r="AHA62" s="975"/>
      <c r="AHB62" s="975"/>
      <c r="AHC62" s="975"/>
      <c r="AHD62" s="975"/>
      <c r="AHE62" s="975"/>
      <c r="AHF62" s="975"/>
      <c r="AHG62" s="975"/>
      <c r="AHH62" s="975"/>
      <c r="AHI62" s="975"/>
      <c r="AHJ62" s="975"/>
      <c r="AHK62" s="975"/>
      <c r="AHL62" s="975"/>
      <c r="AHM62" s="975"/>
      <c r="AHN62" s="975"/>
      <c r="AHO62" s="975"/>
      <c r="AHP62" s="975"/>
      <c r="AHQ62" s="975"/>
      <c r="AHR62" s="975"/>
      <c r="AHS62" s="975"/>
      <c r="AHT62" s="975"/>
      <c r="AHU62" s="975"/>
      <c r="AHV62" s="975"/>
      <c r="AHW62" s="975"/>
      <c r="AHX62" s="975"/>
      <c r="AHY62" s="975"/>
      <c r="AHZ62" s="975"/>
      <c r="AIA62" s="975"/>
      <c r="AIB62" s="975"/>
      <c r="AIC62" s="975"/>
      <c r="AID62" s="975"/>
      <c r="AIE62" s="975"/>
      <c r="AIF62" s="975"/>
      <c r="AIG62" s="975"/>
      <c r="AIH62" s="975"/>
      <c r="AII62" s="975"/>
      <c r="AIJ62" s="975"/>
      <c r="AIK62" s="975"/>
      <c r="AIL62" s="975"/>
      <c r="AIM62" s="975"/>
      <c r="AIN62" s="975"/>
      <c r="AIO62" s="975"/>
      <c r="AIP62" s="975"/>
      <c r="AIQ62" s="975"/>
      <c r="AIR62" s="975"/>
      <c r="AIS62" s="975"/>
      <c r="AIT62" s="975"/>
      <c r="AIU62" s="975"/>
      <c r="AIV62" s="975"/>
      <c r="AIW62" s="975"/>
      <c r="AIX62" s="975"/>
      <c r="AIY62" s="975"/>
      <c r="AIZ62" s="975"/>
      <c r="AJA62" s="975"/>
      <c r="AJB62" s="975"/>
      <c r="AJC62" s="975"/>
      <c r="AJD62" s="975"/>
      <c r="AJE62" s="975"/>
      <c r="AJF62" s="975"/>
      <c r="AJG62" s="975"/>
      <c r="AJH62" s="975"/>
      <c r="AJI62" s="975"/>
      <c r="AJJ62" s="975"/>
      <c r="AJK62" s="975"/>
      <c r="AJL62" s="975"/>
      <c r="AJM62" s="975"/>
      <c r="AJN62" s="975"/>
      <c r="AJO62" s="975"/>
      <c r="AJP62" s="975"/>
      <c r="AJQ62" s="975"/>
      <c r="AJR62" s="975"/>
      <c r="AJS62" s="975"/>
      <c r="AJT62" s="975"/>
      <c r="AJU62" s="975"/>
      <c r="AJV62" s="975"/>
      <c r="AJW62" s="975"/>
      <c r="AJX62" s="975"/>
      <c r="AJY62" s="975"/>
      <c r="AJZ62" s="975"/>
      <c r="AKA62" s="975"/>
      <c r="AKB62" s="975"/>
      <c r="AKC62" s="975"/>
      <c r="AKD62" s="975"/>
      <c r="AKE62" s="975"/>
      <c r="AKF62" s="975"/>
      <c r="AKG62" s="975"/>
      <c r="AKH62" s="975"/>
      <c r="AKI62" s="975"/>
      <c r="AKJ62" s="975"/>
      <c r="AKK62" s="975"/>
      <c r="AKL62" s="975"/>
      <c r="AKM62" s="975"/>
      <c r="AKN62" s="975"/>
      <c r="AKO62" s="975"/>
      <c r="AKP62" s="975"/>
      <c r="AKQ62" s="975"/>
      <c r="AKR62" s="975"/>
      <c r="AKS62" s="975"/>
      <c r="AKT62" s="975"/>
      <c r="AKU62" s="975"/>
      <c r="AKV62" s="975"/>
      <c r="AKW62" s="975"/>
      <c r="AKX62" s="975"/>
      <c r="AKY62" s="975"/>
      <c r="AKZ62" s="975"/>
      <c r="ALA62" s="975"/>
      <c r="ALB62" s="975"/>
      <c r="ALC62" s="975"/>
      <c r="ALD62" s="975"/>
      <c r="ALE62" s="975"/>
      <c r="ALF62" s="975"/>
      <c r="ALG62" s="975"/>
      <c r="ALH62" s="975"/>
      <c r="ALI62" s="975"/>
      <c r="ALJ62" s="975"/>
      <c r="ALK62" s="975"/>
      <c r="ALL62" s="975"/>
      <c r="ALM62" s="975"/>
      <c r="ALN62" s="975"/>
      <c r="ALO62" s="975"/>
      <c r="ALP62" s="975"/>
      <c r="ALQ62" s="975"/>
      <c r="ALR62" s="975"/>
      <c r="ALS62" s="975"/>
      <c r="ALT62" s="975"/>
      <c r="ALU62" s="975"/>
      <c r="ALV62" s="975"/>
      <c r="ALW62" s="975"/>
      <c r="ALX62" s="975"/>
      <c r="ALY62" s="975"/>
      <c r="ALZ62" s="975"/>
      <c r="AMA62" s="975"/>
      <c r="AMB62" s="975"/>
      <c r="AMC62" s="975"/>
      <c r="AMD62" s="975"/>
      <c r="AME62" s="975"/>
      <c r="AMF62" s="975"/>
      <c r="AMG62" s="975"/>
      <c r="AMH62" s="975"/>
      <c r="AMI62" s="975"/>
      <c r="AMJ62" s="975"/>
      <c r="AMK62" s="975"/>
      <c r="AML62" s="975"/>
      <c r="AMM62" s="975"/>
      <c r="AMN62" s="975"/>
      <c r="AMO62" s="975"/>
      <c r="AMP62" s="975"/>
      <c r="AMQ62" s="975"/>
      <c r="AMR62" s="975"/>
      <c r="AMS62" s="975"/>
      <c r="AMT62" s="975"/>
      <c r="AMU62" s="975"/>
      <c r="AMV62" s="975"/>
      <c r="AMW62" s="975"/>
      <c r="AMX62" s="975"/>
      <c r="AMY62" s="975"/>
      <c r="AMZ62" s="975"/>
      <c r="ANA62" s="975"/>
      <c r="ANB62" s="975"/>
      <c r="ANC62" s="975"/>
      <c r="AND62" s="975"/>
      <c r="ANE62" s="975"/>
      <c r="ANF62" s="975"/>
      <c r="ANG62" s="975"/>
      <c r="ANH62" s="975"/>
      <c r="ANI62" s="975"/>
      <c r="ANJ62" s="975"/>
      <c r="ANK62" s="975"/>
      <c r="ANL62" s="975"/>
      <c r="ANM62" s="975"/>
      <c r="ANN62" s="975"/>
      <c r="ANO62" s="975"/>
      <c r="ANP62" s="975"/>
      <c r="ANQ62" s="975"/>
      <c r="ANR62" s="975"/>
      <c r="ANS62" s="975"/>
      <c r="ANT62" s="975"/>
      <c r="ANU62" s="975"/>
      <c r="ANV62" s="975"/>
      <c r="ANW62" s="975"/>
      <c r="ANX62" s="975"/>
      <c r="ANY62" s="975"/>
      <c r="ANZ62" s="975"/>
      <c r="AOA62" s="975"/>
      <c r="AOB62" s="975"/>
      <c r="AOC62" s="975"/>
      <c r="AOD62" s="975"/>
      <c r="AOE62" s="975"/>
      <c r="AOF62" s="975"/>
      <c r="AOG62" s="975"/>
      <c r="AOH62" s="975"/>
      <c r="AOI62" s="975"/>
      <c r="AOJ62" s="975"/>
      <c r="AOK62" s="975"/>
      <c r="AOL62" s="975"/>
      <c r="AOM62" s="975"/>
      <c r="AON62" s="975"/>
      <c r="AOO62" s="975"/>
      <c r="AOP62" s="975"/>
      <c r="AOQ62" s="975"/>
      <c r="AOR62" s="975"/>
      <c r="AOS62" s="975"/>
      <c r="AOT62" s="975"/>
      <c r="AOU62" s="975"/>
      <c r="AOV62" s="975"/>
      <c r="AOW62" s="975"/>
      <c r="AOX62" s="975"/>
      <c r="AOY62" s="975"/>
      <c r="AOZ62" s="975"/>
      <c r="APA62" s="975"/>
      <c r="APB62" s="975"/>
      <c r="APC62" s="975"/>
      <c r="APD62" s="975"/>
      <c r="APE62" s="975"/>
      <c r="APF62" s="975"/>
      <c r="APG62" s="975"/>
      <c r="APH62" s="975"/>
      <c r="API62" s="975"/>
      <c r="APJ62" s="975"/>
      <c r="APK62" s="975"/>
      <c r="APL62" s="975"/>
      <c r="APM62" s="975"/>
      <c r="APN62" s="975"/>
      <c r="APO62" s="975"/>
      <c r="APP62" s="975"/>
      <c r="APQ62" s="975"/>
      <c r="APR62" s="975"/>
      <c r="APS62" s="975"/>
      <c r="APT62" s="975"/>
      <c r="APU62" s="975"/>
      <c r="APV62" s="975"/>
      <c r="APW62" s="975"/>
      <c r="APX62" s="975"/>
      <c r="APY62" s="975"/>
      <c r="APZ62" s="975"/>
      <c r="AQA62" s="975"/>
      <c r="AQB62" s="975"/>
      <c r="AQC62" s="975"/>
      <c r="AQD62" s="975"/>
      <c r="AQE62" s="975"/>
      <c r="AQF62" s="975"/>
      <c r="AQG62" s="975"/>
      <c r="AQH62" s="975"/>
      <c r="AQI62" s="975"/>
      <c r="AQJ62" s="975"/>
      <c r="AQK62" s="975"/>
      <c r="AQL62" s="975"/>
      <c r="AQM62" s="975"/>
      <c r="AQN62" s="975"/>
      <c r="AQO62" s="975"/>
      <c r="AQP62" s="975"/>
      <c r="AQQ62" s="975"/>
      <c r="AQR62" s="975"/>
      <c r="AQS62" s="975"/>
      <c r="AQT62" s="975"/>
      <c r="AQU62" s="975"/>
      <c r="AQV62" s="975"/>
      <c r="AQW62" s="975"/>
      <c r="AQX62" s="975"/>
      <c r="AQY62" s="975"/>
      <c r="AQZ62" s="975"/>
      <c r="ARA62" s="975"/>
      <c r="ARB62" s="975"/>
      <c r="ARC62" s="975"/>
      <c r="ARD62" s="975"/>
      <c r="ARE62" s="975"/>
      <c r="ARF62" s="975"/>
      <c r="ARG62" s="975"/>
      <c r="ARH62" s="975"/>
      <c r="ARI62" s="975"/>
      <c r="ARJ62" s="975"/>
      <c r="ARK62" s="975"/>
      <c r="ARL62" s="975"/>
      <c r="ARM62" s="975"/>
      <c r="ARN62" s="975"/>
      <c r="ARO62" s="975"/>
      <c r="ARP62" s="975"/>
      <c r="ARQ62" s="975"/>
      <c r="ARR62" s="975"/>
      <c r="ARS62" s="975"/>
      <c r="ART62" s="975"/>
      <c r="ARU62" s="975"/>
      <c r="ARV62" s="975"/>
      <c r="ARW62" s="975"/>
      <c r="ARX62" s="975"/>
      <c r="ARY62" s="975"/>
      <c r="ARZ62" s="975"/>
      <c r="ASA62" s="975"/>
      <c r="ASB62" s="975"/>
      <c r="ASC62" s="975"/>
      <c r="ASD62" s="975"/>
      <c r="ASE62" s="975"/>
      <c r="ASF62" s="975"/>
      <c r="ASG62" s="975"/>
      <c r="ASH62" s="975"/>
      <c r="ASI62" s="975"/>
      <c r="ASJ62" s="975"/>
      <c r="ASK62" s="975"/>
      <c r="ASL62" s="975"/>
      <c r="ASM62" s="975"/>
      <c r="ASN62" s="975"/>
      <c r="ASO62" s="975"/>
      <c r="ASP62" s="975"/>
      <c r="ASQ62" s="975"/>
      <c r="ASR62" s="975"/>
      <c r="ASS62" s="975"/>
      <c r="AST62" s="975"/>
      <c r="ASU62" s="975"/>
      <c r="ASV62" s="975"/>
      <c r="ASW62" s="975"/>
      <c r="ASX62" s="975"/>
      <c r="ASY62" s="975"/>
      <c r="ASZ62" s="975"/>
      <c r="ATA62" s="975"/>
      <c r="ATB62" s="975"/>
      <c r="ATC62" s="975"/>
      <c r="ATD62" s="975"/>
      <c r="ATE62" s="975"/>
      <c r="ATF62" s="975"/>
      <c r="ATG62" s="975"/>
      <c r="ATH62" s="975"/>
      <c r="ATI62" s="975"/>
      <c r="ATJ62" s="975"/>
      <c r="ATK62" s="975"/>
      <c r="ATL62" s="975"/>
      <c r="ATM62" s="975"/>
      <c r="ATN62" s="975"/>
      <c r="ATO62" s="975"/>
      <c r="ATP62" s="975"/>
      <c r="ATQ62" s="975"/>
      <c r="ATR62" s="975"/>
      <c r="ATS62" s="975"/>
      <c r="ATT62" s="975"/>
      <c r="ATU62" s="975"/>
      <c r="ATV62" s="975"/>
      <c r="ATW62" s="975"/>
      <c r="ATX62" s="975"/>
      <c r="ATY62" s="975"/>
      <c r="ATZ62" s="975"/>
      <c r="AUA62" s="975"/>
      <c r="AUB62" s="975"/>
      <c r="AUC62" s="975"/>
      <c r="AUD62" s="975"/>
      <c r="AUE62" s="975"/>
      <c r="AUF62" s="975"/>
      <c r="AUG62" s="975"/>
      <c r="AUH62" s="975"/>
      <c r="AUI62" s="975"/>
      <c r="AUJ62" s="975"/>
      <c r="AUK62" s="975"/>
      <c r="AUL62" s="975"/>
      <c r="AUM62" s="975"/>
      <c r="AUN62" s="975"/>
      <c r="AUO62" s="975"/>
      <c r="AUP62" s="975"/>
      <c r="AUQ62" s="975"/>
      <c r="AUR62" s="975"/>
      <c r="AUS62" s="975"/>
      <c r="AUT62" s="975"/>
      <c r="AUU62" s="975"/>
      <c r="AUV62" s="975"/>
      <c r="AUW62" s="975"/>
      <c r="AUX62" s="975"/>
      <c r="AUY62" s="975"/>
      <c r="AUZ62" s="975"/>
      <c r="AVA62" s="975"/>
      <c r="AVB62" s="975"/>
      <c r="AVC62" s="975"/>
      <c r="AVD62" s="975"/>
      <c r="AVE62" s="975"/>
      <c r="AVF62" s="975"/>
      <c r="AVG62" s="975"/>
      <c r="AVH62" s="975"/>
      <c r="AVI62" s="975"/>
      <c r="AVJ62" s="975"/>
      <c r="AVK62" s="975"/>
      <c r="AVL62" s="975"/>
      <c r="AVM62" s="975"/>
      <c r="AVN62" s="975"/>
      <c r="AVO62" s="975"/>
      <c r="AVP62" s="975"/>
      <c r="AVQ62" s="975"/>
      <c r="AVR62" s="975"/>
      <c r="AVS62" s="975"/>
      <c r="AVT62" s="975"/>
      <c r="AVU62" s="975"/>
      <c r="AVV62" s="975"/>
      <c r="AVW62" s="975"/>
      <c r="AVX62" s="975"/>
      <c r="AVY62" s="975"/>
      <c r="AVZ62" s="975"/>
      <c r="AWA62" s="975"/>
      <c r="AWB62" s="975"/>
      <c r="AWC62" s="975"/>
      <c r="AWD62" s="975"/>
      <c r="AWE62" s="975"/>
      <c r="AWF62" s="975"/>
      <c r="AWG62" s="975"/>
      <c r="AWH62" s="975"/>
      <c r="AWI62" s="975"/>
      <c r="AWJ62" s="975"/>
      <c r="AWK62" s="975"/>
      <c r="AWL62" s="975"/>
      <c r="AWM62" s="975"/>
      <c r="AWN62" s="975"/>
      <c r="AWO62" s="975"/>
      <c r="AWP62" s="975"/>
      <c r="AWQ62" s="975"/>
      <c r="AWR62" s="975"/>
      <c r="AWS62" s="975"/>
      <c r="AWT62" s="975"/>
      <c r="AWU62" s="975"/>
      <c r="AWV62" s="975"/>
      <c r="AWW62" s="975"/>
      <c r="AWX62" s="975"/>
      <c r="AWY62" s="975"/>
      <c r="AWZ62" s="975"/>
      <c r="AXA62" s="975"/>
      <c r="AXB62" s="975"/>
      <c r="AXC62" s="975"/>
      <c r="AXD62" s="975"/>
      <c r="AXE62" s="975"/>
      <c r="AXF62" s="975"/>
      <c r="AXG62" s="975"/>
      <c r="AXH62" s="975"/>
      <c r="AXI62" s="975"/>
      <c r="AXJ62" s="975"/>
      <c r="AXK62" s="975"/>
      <c r="AXL62" s="975"/>
      <c r="AXM62" s="975"/>
      <c r="AXN62" s="975"/>
      <c r="AXO62" s="975"/>
      <c r="AXP62" s="975"/>
      <c r="AXQ62" s="975"/>
      <c r="AXR62" s="975"/>
      <c r="AXS62" s="975"/>
      <c r="AXT62" s="975"/>
      <c r="AXU62" s="975"/>
      <c r="AXV62" s="975"/>
      <c r="AXW62" s="975"/>
      <c r="AXX62" s="975"/>
      <c r="AXY62" s="975"/>
      <c r="AXZ62" s="975"/>
      <c r="AYA62" s="975"/>
      <c r="AYB62" s="975"/>
      <c r="AYC62" s="975"/>
      <c r="AYD62" s="975"/>
      <c r="AYE62" s="975"/>
      <c r="AYF62" s="975"/>
      <c r="AYG62" s="975"/>
      <c r="AYH62" s="975"/>
      <c r="AYI62" s="975"/>
      <c r="AYJ62" s="975"/>
      <c r="AYK62" s="975"/>
      <c r="AYL62" s="975"/>
      <c r="AYM62" s="975"/>
      <c r="AYN62" s="975"/>
      <c r="AYO62" s="975"/>
      <c r="AYP62" s="975"/>
      <c r="AYQ62" s="975"/>
      <c r="AYR62" s="975"/>
      <c r="AYS62" s="975"/>
      <c r="AYT62" s="975"/>
      <c r="AYU62" s="975"/>
      <c r="AYV62" s="975"/>
      <c r="AYW62" s="975"/>
      <c r="AYX62" s="975"/>
      <c r="AYY62" s="975"/>
      <c r="AYZ62" s="975"/>
      <c r="AZA62" s="975"/>
      <c r="AZB62" s="975"/>
      <c r="AZC62" s="975"/>
      <c r="AZD62" s="975"/>
      <c r="AZE62" s="975"/>
      <c r="AZF62" s="975"/>
      <c r="AZG62" s="975"/>
      <c r="AZH62" s="975"/>
      <c r="AZI62" s="975"/>
      <c r="AZJ62" s="975"/>
      <c r="AZK62" s="975"/>
      <c r="AZL62" s="975"/>
      <c r="AZM62" s="975"/>
      <c r="AZN62" s="975"/>
      <c r="AZO62" s="975"/>
      <c r="AZP62" s="975"/>
      <c r="AZQ62" s="975"/>
      <c r="AZR62" s="975"/>
      <c r="AZS62" s="975"/>
      <c r="AZT62" s="975"/>
      <c r="AZU62" s="975"/>
      <c r="AZV62" s="975"/>
      <c r="AZW62" s="975"/>
      <c r="AZX62" s="975"/>
      <c r="AZY62" s="975"/>
      <c r="AZZ62" s="975"/>
      <c r="BAA62" s="975"/>
      <c r="BAB62" s="975"/>
      <c r="BAC62" s="975"/>
      <c r="BAD62" s="975"/>
      <c r="BAE62" s="975"/>
      <c r="BAF62" s="975"/>
      <c r="BAG62" s="975"/>
      <c r="BAH62" s="975"/>
      <c r="BAI62" s="975"/>
      <c r="BAJ62" s="975"/>
      <c r="BAK62" s="975"/>
      <c r="BAL62" s="975"/>
      <c r="BAM62" s="975"/>
      <c r="BAN62" s="975"/>
      <c r="BAO62" s="975"/>
      <c r="BAP62" s="975"/>
      <c r="BAQ62" s="975"/>
      <c r="BAR62" s="975"/>
      <c r="BAS62" s="975"/>
      <c r="BAT62" s="975"/>
      <c r="BAU62" s="975"/>
      <c r="BAV62" s="975"/>
      <c r="BAW62" s="975"/>
      <c r="BAX62" s="975"/>
      <c r="BAY62" s="975"/>
      <c r="BAZ62" s="975"/>
      <c r="BBA62" s="975"/>
      <c r="BBB62" s="975"/>
      <c r="BBC62" s="975"/>
      <c r="BBD62" s="975"/>
      <c r="BBE62" s="975"/>
      <c r="BBF62" s="975"/>
      <c r="BBG62" s="975"/>
      <c r="BBH62" s="975"/>
      <c r="BBI62" s="975"/>
      <c r="BBJ62" s="975"/>
      <c r="BBK62" s="975"/>
      <c r="BBL62" s="975"/>
      <c r="BBM62" s="975"/>
      <c r="BBN62" s="975"/>
      <c r="BBO62" s="975"/>
      <c r="BBP62" s="975"/>
      <c r="BBQ62" s="975"/>
      <c r="BBR62" s="975"/>
      <c r="BBS62" s="975"/>
      <c r="BBT62" s="975"/>
      <c r="BBU62" s="975"/>
      <c r="BBV62" s="975"/>
      <c r="BBW62" s="975"/>
      <c r="BBX62" s="975"/>
      <c r="BBY62" s="975"/>
      <c r="BBZ62" s="975"/>
      <c r="BCA62" s="975"/>
      <c r="BCB62" s="975"/>
      <c r="BCC62" s="975"/>
      <c r="BCD62" s="975"/>
      <c r="BCE62" s="975"/>
      <c r="BCF62" s="975"/>
      <c r="BCG62" s="975"/>
      <c r="BCH62" s="975"/>
      <c r="BCI62" s="975"/>
      <c r="BCJ62" s="975"/>
      <c r="BCK62" s="975"/>
      <c r="BCL62" s="975"/>
      <c r="BCM62" s="975"/>
      <c r="BCN62" s="975"/>
      <c r="BCO62" s="975"/>
      <c r="BCP62" s="975"/>
      <c r="BCQ62" s="975"/>
      <c r="BCR62" s="975"/>
      <c r="BCS62" s="975"/>
      <c r="BCT62" s="975"/>
      <c r="BCU62" s="975"/>
      <c r="BCV62" s="975"/>
      <c r="BCW62" s="975"/>
      <c r="BCX62" s="975"/>
      <c r="BCY62" s="975"/>
      <c r="BCZ62" s="975"/>
      <c r="BDA62" s="975"/>
      <c r="BDB62" s="975"/>
      <c r="BDC62" s="975"/>
      <c r="BDD62" s="975"/>
      <c r="BDE62" s="975"/>
      <c r="BDF62" s="975"/>
      <c r="BDG62" s="975"/>
      <c r="BDH62" s="975"/>
      <c r="BDI62" s="975"/>
      <c r="BDJ62" s="975"/>
      <c r="BDK62" s="975"/>
      <c r="BDL62" s="975"/>
      <c r="BDM62" s="975"/>
      <c r="BDN62" s="975"/>
      <c r="BDO62" s="975"/>
      <c r="BDP62" s="975"/>
      <c r="BDQ62" s="975"/>
      <c r="BDR62" s="975"/>
      <c r="BDS62" s="975"/>
      <c r="BDT62" s="975"/>
      <c r="BDU62" s="975"/>
      <c r="BDV62" s="975"/>
      <c r="BDW62" s="975"/>
      <c r="BDX62" s="975"/>
      <c r="BDY62" s="975"/>
      <c r="BDZ62" s="975"/>
      <c r="BEA62" s="975"/>
      <c r="BEB62" s="975"/>
      <c r="BEC62" s="975"/>
      <c r="BED62" s="975"/>
      <c r="BEE62" s="975"/>
      <c r="BEF62" s="975"/>
      <c r="BEG62" s="975"/>
      <c r="BEH62" s="975"/>
      <c r="BEI62" s="975"/>
      <c r="BEJ62" s="975"/>
      <c r="BEK62" s="975"/>
      <c r="BEL62" s="975"/>
      <c r="BEM62" s="975"/>
      <c r="BEN62" s="975"/>
      <c r="BEO62" s="975"/>
      <c r="BEP62" s="975"/>
      <c r="BEQ62" s="975"/>
      <c r="BER62" s="975"/>
      <c r="BES62" s="975"/>
      <c r="BET62" s="975"/>
      <c r="BEU62" s="975"/>
      <c r="BEV62" s="975"/>
      <c r="BEW62" s="975"/>
      <c r="BEX62" s="975"/>
      <c r="BEY62" s="975"/>
      <c r="BEZ62" s="975"/>
      <c r="BFA62" s="975"/>
      <c r="BFB62" s="975"/>
      <c r="BFC62" s="975"/>
      <c r="BFD62" s="975"/>
      <c r="BFE62" s="975"/>
      <c r="BFF62" s="975"/>
      <c r="BFG62" s="975"/>
      <c r="BFH62" s="975"/>
      <c r="BFI62" s="975"/>
      <c r="BFJ62" s="975"/>
      <c r="BFK62" s="975"/>
      <c r="BFL62" s="975"/>
      <c r="BFM62" s="975"/>
      <c r="BFN62" s="975"/>
      <c r="BFO62" s="975"/>
      <c r="BFP62" s="975"/>
      <c r="BFQ62" s="975"/>
      <c r="BFR62" s="975"/>
      <c r="BFS62" s="975"/>
      <c r="BFT62" s="975"/>
      <c r="BFU62" s="975"/>
      <c r="BFV62" s="975"/>
      <c r="BFW62" s="975"/>
      <c r="BFX62" s="975"/>
      <c r="BFY62" s="975"/>
      <c r="BFZ62" s="975"/>
      <c r="BGA62" s="975"/>
      <c r="BGB62" s="975"/>
      <c r="BGC62" s="975"/>
      <c r="BGD62" s="975"/>
      <c r="BGE62" s="975"/>
      <c r="BGF62" s="975"/>
      <c r="BGG62" s="975"/>
      <c r="BGH62" s="975"/>
      <c r="BGI62" s="975"/>
      <c r="BGJ62" s="975"/>
      <c r="BGK62" s="975"/>
      <c r="BGL62" s="975"/>
      <c r="BGM62" s="975"/>
      <c r="BGN62" s="975"/>
      <c r="BGO62" s="975"/>
      <c r="BGP62" s="975"/>
      <c r="BGQ62" s="975"/>
      <c r="BGR62" s="975"/>
      <c r="BGS62" s="975"/>
      <c r="BGT62" s="975"/>
      <c r="BGU62" s="975"/>
      <c r="BGV62" s="975"/>
      <c r="BGW62" s="975"/>
      <c r="BGX62" s="975"/>
      <c r="BGY62" s="975"/>
      <c r="BGZ62" s="975"/>
      <c r="BHA62" s="975"/>
      <c r="BHB62" s="975"/>
      <c r="BHC62" s="975"/>
      <c r="BHD62" s="975"/>
      <c r="BHE62" s="975"/>
      <c r="BHF62" s="975"/>
      <c r="BHG62" s="975"/>
      <c r="BHH62" s="975"/>
      <c r="BHI62" s="975"/>
      <c r="BHJ62" s="975"/>
      <c r="BHK62" s="975"/>
      <c r="BHL62" s="975"/>
      <c r="BHM62" s="975"/>
      <c r="BHN62" s="975"/>
      <c r="BHO62" s="975"/>
      <c r="BHP62" s="975"/>
      <c r="BHQ62" s="975"/>
      <c r="BHR62" s="975"/>
      <c r="BHS62" s="975"/>
      <c r="BHT62" s="975"/>
      <c r="BHU62" s="975"/>
      <c r="BHV62" s="975"/>
      <c r="BHW62" s="975"/>
      <c r="BHX62" s="975"/>
      <c r="BHY62" s="975"/>
      <c r="BHZ62" s="975"/>
      <c r="BIA62" s="975"/>
      <c r="BIB62" s="975"/>
      <c r="BIC62" s="975"/>
      <c r="BID62" s="975"/>
      <c r="BIE62" s="975"/>
      <c r="BIF62" s="975"/>
      <c r="BIG62" s="975"/>
      <c r="BIH62" s="975"/>
      <c r="BII62" s="975"/>
      <c r="BIJ62" s="975"/>
      <c r="BIK62" s="975"/>
      <c r="BIL62" s="975"/>
      <c r="BIM62" s="975"/>
      <c r="BIN62" s="975"/>
      <c r="BIO62" s="975"/>
      <c r="BIP62" s="975"/>
      <c r="BIQ62" s="975"/>
      <c r="BIR62" s="975"/>
      <c r="BIS62" s="975"/>
      <c r="BIT62" s="975"/>
      <c r="BIU62" s="975"/>
      <c r="BIV62" s="975"/>
      <c r="BIW62" s="975"/>
      <c r="BIX62" s="975"/>
      <c r="BIY62" s="975"/>
      <c r="BIZ62" s="975"/>
      <c r="BJA62" s="975"/>
      <c r="BJB62" s="975"/>
      <c r="BJC62" s="975"/>
      <c r="BJD62" s="975"/>
      <c r="BJE62" s="975"/>
      <c r="BJF62" s="975"/>
      <c r="BJG62" s="975"/>
      <c r="BJH62" s="975"/>
      <c r="BJI62" s="975"/>
      <c r="BJJ62" s="975"/>
      <c r="BJK62" s="975"/>
      <c r="BJL62" s="975"/>
      <c r="BJM62" s="975"/>
      <c r="BJN62" s="975"/>
      <c r="BJO62" s="975"/>
      <c r="BJP62" s="975"/>
      <c r="BJQ62" s="975"/>
      <c r="BJR62" s="975"/>
      <c r="BJS62" s="975"/>
      <c r="BJT62" s="975"/>
      <c r="BJU62" s="975"/>
      <c r="BJV62" s="975"/>
      <c r="BJW62" s="975"/>
      <c r="BJX62" s="975"/>
      <c r="BJY62" s="975"/>
      <c r="BJZ62" s="975"/>
      <c r="BKA62" s="975"/>
      <c r="BKB62" s="975"/>
      <c r="BKC62" s="975"/>
      <c r="BKD62" s="975"/>
      <c r="BKE62" s="975"/>
      <c r="BKF62" s="975"/>
      <c r="BKG62" s="975"/>
      <c r="BKH62" s="975"/>
      <c r="BKI62" s="975"/>
      <c r="BKJ62" s="975"/>
      <c r="BKK62" s="975"/>
      <c r="BKL62" s="975"/>
      <c r="BKM62" s="975"/>
      <c r="BKN62" s="975"/>
      <c r="BKO62" s="975"/>
      <c r="BKP62" s="975"/>
      <c r="BKQ62" s="975"/>
      <c r="BKR62" s="975"/>
      <c r="BKS62" s="975"/>
      <c r="BKT62" s="975"/>
      <c r="BKU62" s="975"/>
      <c r="BKV62" s="975"/>
      <c r="BKW62" s="975"/>
      <c r="BKX62" s="975"/>
      <c r="BKY62" s="975"/>
      <c r="BKZ62" s="975"/>
      <c r="BLA62" s="975"/>
      <c r="BLB62" s="975"/>
      <c r="BLC62" s="975"/>
      <c r="BLD62" s="975"/>
      <c r="BLE62" s="975"/>
      <c r="BLF62" s="975"/>
      <c r="BLG62" s="975"/>
      <c r="BLH62" s="975"/>
      <c r="BLI62" s="975"/>
      <c r="BLJ62" s="975"/>
      <c r="BLK62" s="975"/>
      <c r="BLL62" s="975"/>
      <c r="BLM62" s="975"/>
      <c r="BLN62" s="975"/>
      <c r="BLO62" s="975"/>
      <c r="BLP62" s="975"/>
      <c r="BLQ62" s="975"/>
      <c r="BLR62" s="975"/>
      <c r="BLS62" s="975"/>
      <c r="BLT62" s="975"/>
      <c r="BLU62" s="975"/>
      <c r="BLV62" s="975"/>
      <c r="BLW62" s="975"/>
      <c r="BLX62" s="975"/>
      <c r="BLY62" s="975"/>
      <c r="BLZ62" s="975"/>
      <c r="BMA62" s="975"/>
      <c r="BMB62" s="975"/>
      <c r="BMC62" s="975"/>
      <c r="BMD62" s="975"/>
      <c r="BME62" s="975"/>
      <c r="BMF62" s="975"/>
      <c r="BMG62" s="975"/>
      <c r="BMH62" s="975"/>
      <c r="BMI62" s="975"/>
      <c r="BMJ62" s="975"/>
      <c r="BMK62" s="975"/>
      <c r="BML62" s="975"/>
      <c r="BMM62" s="975"/>
      <c r="BMN62" s="975"/>
      <c r="BMO62" s="975"/>
      <c r="BMP62" s="975"/>
      <c r="BMQ62" s="975"/>
      <c r="BMR62" s="975"/>
      <c r="BMS62" s="975"/>
      <c r="BMT62" s="975"/>
      <c r="BMU62" s="975"/>
      <c r="BMV62" s="975"/>
      <c r="BMW62" s="975"/>
      <c r="BMX62" s="975"/>
      <c r="BMY62" s="975"/>
      <c r="BMZ62" s="975"/>
      <c r="BNA62" s="975"/>
      <c r="BNB62" s="975"/>
      <c r="BNC62" s="975"/>
      <c r="BND62" s="975"/>
      <c r="BNE62" s="975"/>
      <c r="BNF62" s="975"/>
      <c r="BNG62" s="975"/>
      <c r="BNH62" s="975"/>
      <c r="BNI62" s="975"/>
      <c r="BNJ62" s="975"/>
      <c r="BNK62" s="975"/>
      <c r="BNL62" s="975"/>
      <c r="BNM62" s="975"/>
      <c r="BNN62" s="975"/>
      <c r="BNO62" s="975"/>
      <c r="BNP62" s="975"/>
      <c r="BNQ62" s="975"/>
      <c r="BNR62" s="975"/>
      <c r="BNS62" s="975"/>
      <c r="BNT62" s="975"/>
      <c r="BNU62" s="975"/>
      <c r="BNV62" s="975"/>
      <c r="BNW62" s="975"/>
      <c r="BNX62" s="975"/>
      <c r="BNY62" s="975"/>
      <c r="BNZ62" s="975"/>
      <c r="BOA62" s="975"/>
      <c r="BOB62" s="975"/>
      <c r="BOC62" s="975"/>
      <c r="BOD62" s="975"/>
      <c r="BOE62" s="975"/>
      <c r="BOF62" s="975"/>
      <c r="BOG62" s="975"/>
      <c r="BOH62" s="975"/>
      <c r="BOI62" s="975"/>
      <c r="BOJ62" s="975"/>
      <c r="BOK62" s="975"/>
      <c r="BOL62" s="975"/>
      <c r="BOM62" s="975"/>
      <c r="BON62" s="975"/>
      <c r="BOO62" s="975"/>
      <c r="BOP62" s="975"/>
      <c r="BOQ62" s="975"/>
      <c r="BOR62" s="975"/>
      <c r="BOS62" s="975"/>
      <c r="BOT62" s="975"/>
      <c r="BOU62" s="975"/>
      <c r="BOV62" s="975"/>
      <c r="BOW62" s="975"/>
      <c r="BOX62" s="975"/>
      <c r="BOY62" s="975"/>
      <c r="BOZ62" s="975"/>
      <c r="BPA62" s="975"/>
      <c r="BPB62" s="975"/>
      <c r="BPC62" s="975"/>
      <c r="BPD62" s="975"/>
      <c r="BPE62" s="975"/>
      <c r="BPF62" s="975"/>
      <c r="BPG62" s="975"/>
      <c r="BPH62" s="975"/>
      <c r="BPI62" s="975"/>
      <c r="BPJ62" s="975"/>
      <c r="BPK62" s="975"/>
      <c r="BPL62" s="975"/>
      <c r="BPM62" s="975"/>
      <c r="BPN62" s="975"/>
      <c r="BPO62" s="975"/>
      <c r="BPP62" s="975"/>
      <c r="BPQ62" s="975"/>
      <c r="BPR62" s="975"/>
      <c r="BPS62" s="975"/>
      <c r="BPT62" s="975"/>
      <c r="BPU62" s="975"/>
      <c r="BPV62" s="975"/>
      <c r="BPW62" s="975"/>
      <c r="BPX62" s="975"/>
      <c r="BPY62" s="975"/>
      <c r="BPZ62" s="975"/>
      <c r="BQA62" s="975"/>
      <c r="BQB62" s="975"/>
      <c r="BQC62" s="975"/>
      <c r="BQD62" s="975"/>
      <c r="BQE62" s="975"/>
      <c r="BQF62" s="975"/>
      <c r="BQG62" s="975"/>
      <c r="BQH62" s="975"/>
      <c r="BQI62" s="975"/>
      <c r="BQJ62" s="975"/>
      <c r="BQK62" s="975"/>
      <c r="BQL62" s="975"/>
      <c r="BQM62" s="975"/>
      <c r="BQN62" s="975"/>
      <c r="BQO62" s="975"/>
      <c r="BQP62" s="975"/>
      <c r="BQQ62" s="975"/>
      <c r="BQR62" s="975"/>
      <c r="BQS62" s="975"/>
      <c r="BQT62" s="975"/>
      <c r="BQU62" s="975"/>
      <c r="BQV62" s="975"/>
      <c r="BQW62" s="975"/>
      <c r="BQX62" s="975"/>
      <c r="BQY62" s="975"/>
      <c r="BQZ62" s="975"/>
      <c r="BRA62" s="975"/>
      <c r="BRB62" s="975"/>
      <c r="BRC62" s="975"/>
      <c r="BRD62" s="975"/>
      <c r="BRE62" s="975"/>
      <c r="BRF62" s="975"/>
      <c r="BRG62" s="975"/>
      <c r="BRH62" s="975"/>
      <c r="BRI62" s="975"/>
      <c r="BRJ62" s="975"/>
      <c r="BRK62" s="975"/>
      <c r="BRL62" s="975"/>
      <c r="BRM62" s="975"/>
      <c r="BRN62" s="975"/>
      <c r="BRO62" s="975"/>
      <c r="BRP62" s="975"/>
      <c r="BRQ62" s="975"/>
      <c r="BRR62" s="975"/>
      <c r="BRS62" s="975"/>
      <c r="BRT62" s="975"/>
      <c r="BRU62" s="975"/>
      <c r="BRV62" s="975"/>
      <c r="BRW62" s="975"/>
      <c r="BRX62" s="975"/>
      <c r="BRY62" s="975"/>
      <c r="BRZ62" s="975"/>
      <c r="BSA62" s="975"/>
      <c r="BSB62" s="975"/>
      <c r="BSC62" s="975"/>
      <c r="BSD62" s="975"/>
      <c r="BSE62" s="975"/>
      <c r="BSF62" s="975"/>
      <c r="BSG62" s="975"/>
      <c r="BSH62" s="975"/>
      <c r="BSI62" s="975"/>
      <c r="BSJ62" s="975"/>
      <c r="BSK62" s="975"/>
      <c r="BSL62" s="975"/>
      <c r="BSM62" s="975"/>
      <c r="BSN62" s="975"/>
      <c r="BSO62" s="975"/>
      <c r="BSP62" s="975"/>
      <c r="BSQ62" s="975"/>
      <c r="BSR62" s="975"/>
      <c r="BSS62" s="975"/>
      <c r="BST62" s="975"/>
      <c r="BSU62" s="975"/>
      <c r="BSV62" s="975"/>
      <c r="BSW62" s="975"/>
      <c r="BSX62" s="975"/>
      <c r="BSY62" s="975"/>
      <c r="BSZ62" s="975"/>
      <c r="BTA62" s="975"/>
      <c r="BTB62" s="975"/>
      <c r="BTC62" s="975"/>
      <c r="BTD62" s="975"/>
      <c r="BTE62" s="975"/>
      <c r="BTF62" s="975"/>
      <c r="BTG62" s="975"/>
      <c r="BTH62" s="975"/>
      <c r="BTI62" s="975"/>
      <c r="BTJ62" s="975"/>
      <c r="BTK62" s="975"/>
      <c r="BTL62" s="975"/>
      <c r="BTM62" s="975"/>
      <c r="BTN62" s="975"/>
      <c r="BTO62" s="975"/>
      <c r="BTP62" s="975"/>
      <c r="BTQ62" s="975"/>
      <c r="BTR62" s="975"/>
      <c r="BTS62" s="975"/>
      <c r="BTT62" s="975"/>
      <c r="BTU62" s="975"/>
      <c r="BTV62" s="975"/>
      <c r="BTW62" s="975"/>
      <c r="BTX62" s="975"/>
      <c r="BTY62" s="975"/>
      <c r="BTZ62" s="975"/>
      <c r="BUA62" s="975"/>
      <c r="BUB62" s="975"/>
      <c r="BUC62" s="975"/>
      <c r="BUD62" s="975"/>
      <c r="BUE62" s="975"/>
      <c r="BUF62" s="975"/>
      <c r="BUG62" s="975"/>
      <c r="BUH62" s="975"/>
      <c r="BUI62" s="975"/>
      <c r="BUJ62" s="975"/>
      <c r="BUK62" s="975"/>
      <c r="BUL62" s="975"/>
      <c r="BUM62" s="975"/>
      <c r="BUN62" s="975"/>
      <c r="BUO62" s="975"/>
      <c r="BUP62" s="975"/>
      <c r="BUQ62" s="975"/>
      <c r="BUR62" s="975"/>
      <c r="BUS62" s="975"/>
      <c r="BUT62" s="975"/>
      <c r="BUU62" s="975"/>
      <c r="BUV62" s="975"/>
      <c r="BUW62" s="975"/>
      <c r="BUX62" s="975"/>
      <c r="BUY62" s="975"/>
      <c r="BUZ62" s="975"/>
      <c r="BVA62" s="975"/>
      <c r="BVB62" s="975"/>
      <c r="BVC62" s="975"/>
      <c r="BVD62" s="975"/>
      <c r="BVE62" s="975"/>
      <c r="BVF62" s="975"/>
      <c r="BVG62" s="975"/>
      <c r="BVH62" s="975"/>
      <c r="BVI62" s="975"/>
      <c r="BVJ62" s="975"/>
      <c r="BVK62" s="975"/>
      <c r="BVL62" s="975"/>
      <c r="BVM62" s="975"/>
      <c r="BVN62" s="975"/>
      <c r="BVO62" s="975"/>
      <c r="BVP62" s="975"/>
      <c r="BVQ62" s="975"/>
      <c r="BVR62" s="975"/>
      <c r="BVS62" s="975"/>
      <c r="BVT62" s="975"/>
      <c r="BVU62" s="975"/>
      <c r="BVV62" s="975"/>
      <c r="BVW62" s="975"/>
      <c r="BVX62" s="975"/>
      <c r="BVY62" s="975"/>
      <c r="BVZ62" s="975"/>
      <c r="BWA62" s="975"/>
      <c r="BWB62" s="975"/>
      <c r="BWC62" s="975"/>
      <c r="BWD62" s="975"/>
      <c r="BWE62" s="975"/>
      <c r="BWF62" s="975"/>
      <c r="BWG62" s="975"/>
      <c r="BWH62" s="975"/>
      <c r="BWI62" s="975"/>
      <c r="BWJ62" s="975"/>
      <c r="BWK62" s="975"/>
      <c r="BWL62" s="975"/>
      <c r="BWM62" s="975"/>
      <c r="BWN62" s="975"/>
      <c r="BWO62" s="975"/>
      <c r="BWP62" s="975"/>
      <c r="BWQ62" s="975"/>
      <c r="BWR62" s="975"/>
      <c r="BWS62" s="975"/>
      <c r="BWT62" s="975"/>
      <c r="BWU62" s="975"/>
      <c r="BWV62" s="975"/>
      <c r="BWW62" s="975"/>
      <c r="BWX62" s="975"/>
      <c r="BWY62" s="975"/>
      <c r="BWZ62" s="975"/>
      <c r="BXA62" s="975"/>
      <c r="BXB62" s="975"/>
      <c r="BXC62" s="975"/>
      <c r="BXD62" s="975"/>
      <c r="BXE62" s="975"/>
      <c r="BXF62" s="975"/>
      <c r="BXG62" s="975"/>
      <c r="BXH62" s="975"/>
      <c r="BXI62" s="975"/>
      <c r="BXJ62" s="975"/>
      <c r="BXK62" s="975"/>
      <c r="BXL62" s="975"/>
      <c r="BXM62" s="975"/>
      <c r="BXN62" s="975"/>
      <c r="BXO62" s="975"/>
      <c r="BXP62" s="975"/>
      <c r="BXQ62" s="975"/>
      <c r="BXR62" s="975"/>
      <c r="BXS62" s="975"/>
      <c r="BXT62" s="975"/>
      <c r="BXU62" s="975"/>
      <c r="BXV62" s="975"/>
      <c r="BXW62" s="975"/>
      <c r="BXX62" s="975"/>
      <c r="BXY62" s="975"/>
      <c r="BXZ62" s="975"/>
      <c r="BYA62" s="975"/>
      <c r="BYB62" s="975"/>
      <c r="BYC62" s="975"/>
      <c r="BYD62" s="975"/>
      <c r="BYE62" s="975"/>
      <c r="BYF62" s="975"/>
      <c r="BYG62" s="975"/>
      <c r="BYH62" s="975"/>
      <c r="BYI62" s="975"/>
      <c r="BYJ62" s="975"/>
      <c r="BYK62" s="975"/>
      <c r="BYL62" s="975"/>
      <c r="BYM62" s="975"/>
      <c r="BYN62" s="975"/>
      <c r="BYO62" s="975"/>
      <c r="BYP62" s="975"/>
      <c r="BYQ62" s="975"/>
      <c r="BYR62" s="975"/>
      <c r="BYS62" s="975"/>
      <c r="BYT62" s="975"/>
      <c r="BYU62" s="975"/>
      <c r="BYV62" s="975"/>
      <c r="BYW62" s="975"/>
      <c r="BYX62" s="975"/>
      <c r="BYY62" s="975"/>
      <c r="BYZ62" s="975"/>
      <c r="BZA62" s="975"/>
      <c r="BZB62" s="975"/>
      <c r="BZC62" s="975"/>
      <c r="BZD62" s="975"/>
      <c r="BZE62" s="975"/>
      <c r="BZF62" s="975"/>
      <c r="BZG62" s="975"/>
      <c r="BZH62" s="975"/>
      <c r="BZI62" s="975"/>
      <c r="BZJ62" s="975"/>
      <c r="BZK62" s="975"/>
      <c r="BZL62" s="975"/>
      <c r="BZM62" s="975"/>
      <c r="BZN62" s="975"/>
      <c r="BZO62" s="975"/>
      <c r="BZP62" s="975"/>
      <c r="BZQ62" s="975"/>
      <c r="BZR62" s="975"/>
      <c r="BZS62" s="975"/>
      <c r="BZT62" s="975"/>
      <c r="BZU62" s="975"/>
      <c r="BZV62" s="975"/>
      <c r="BZW62" s="975"/>
      <c r="BZX62" s="975"/>
      <c r="BZY62" s="975"/>
      <c r="BZZ62" s="975"/>
      <c r="CAA62" s="975"/>
      <c r="CAB62" s="975"/>
      <c r="CAC62" s="975"/>
      <c r="CAD62" s="975"/>
      <c r="CAE62" s="975"/>
      <c r="CAF62" s="975"/>
      <c r="CAG62" s="975"/>
      <c r="CAH62" s="975"/>
      <c r="CAI62" s="975"/>
      <c r="CAJ62" s="975"/>
      <c r="CAK62" s="975"/>
      <c r="CAL62" s="975"/>
      <c r="CAM62" s="975"/>
      <c r="CAN62" s="975"/>
      <c r="CAO62" s="975"/>
      <c r="CAP62" s="975"/>
      <c r="CAQ62" s="975"/>
      <c r="CAR62" s="975"/>
      <c r="CAS62" s="975"/>
      <c r="CAT62" s="975"/>
      <c r="CAU62" s="975"/>
      <c r="CAV62" s="975"/>
      <c r="CAW62" s="975"/>
      <c r="CAX62" s="975"/>
      <c r="CAY62" s="975"/>
      <c r="CAZ62" s="975"/>
      <c r="CBA62" s="975"/>
      <c r="CBB62" s="975"/>
      <c r="CBC62" s="975"/>
      <c r="CBD62" s="975"/>
      <c r="CBE62" s="975"/>
      <c r="CBF62" s="975"/>
      <c r="CBG62" s="975"/>
      <c r="CBH62" s="975"/>
      <c r="CBI62" s="975"/>
      <c r="CBJ62" s="975"/>
      <c r="CBK62" s="975"/>
      <c r="CBL62" s="975"/>
      <c r="CBM62" s="975"/>
      <c r="CBN62" s="975"/>
      <c r="CBO62" s="975"/>
      <c r="CBP62" s="975"/>
      <c r="CBQ62" s="975"/>
      <c r="CBR62" s="975"/>
      <c r="CBS62" s="975"/>
      <c r="CBT62" s="975"/>
      <c r="CBU62" s="975"/>
      <c r="CBV62" s="975"/>
      <c r="CBW62" s="975"/>
      <c r="CBX62" s="975"/>
      <c r="CBY62" s="975"/>
      <c r="CBZ62" s="975"/>
      <c r="CCA62" s="975"/>
      <c r="CCB62" s="975"/>
      <c r="CCC62" s="975"/>
      <c r="CCD62" s="975"/>
      <c r="CCE62" s="975"/>
      <c r="CCF62" s="975"/>
      <c r="CCG62" s="975"/>
      <c r="CCH62" s="975"/>
      <c r="CCI62" s="975"/>
      <c r="CCJ62" s="975"/>
      <c r="CCK62" s="975"/>
      <c r="CCL62" s="975"/>
      <c r="CCM62" s="975"/>
      <c r="CCN62" s="975"/>
      <c r="CCO62" s="975"/>
      <c r="CCP62" s="975"/>
      <c r="CCQ62" s="975"/>
      <c r="CCR62" s="975"/>
      <c r="CCS62" s="975"/>
      <c r="CCT62" s="975"/>
      <c r="CCU62" s="975"/>
      <c r="CCV62" s="975"/>
      <c r="CCW62" s="975"/>
      <c r="CCX62" s="975"/>
      <c r="CCY62" s="975"/>
      <c r="CCZ62" s="975"/>
      <c r="CDA62" s="975"/>
      <c r="CDB62" s="975"/>
      <c r="CDC62" s="975"/>
      <c r="CDD62" s="975"/>
      <c r="CDE62" s="975"/>
      <c r="CDF62" s="975"/>
      <c r="CDG62" s="975"/>
      <c r="CDH62" s="975"/>
      <c r="CDI62" s="975"/>
      <c r="CDJ62" s="975"/>
      <c r="CDK62" s="975"/>
      <c r="CDL62" s="975"/>
      <c r="CDM62" s="975"/>
      <c r="CDN62" s="975"/>
      <c r="CDO62" s="975"/>
      <c r="CDP62" s="975"/>
      <c r="CDQ62" s="975"/>
      <c r="CDR62" s="975"/>
      <c r="CDS62" s="975"/>
      <c r="CDT62" s="975"/>
      <c r="CDU62" s="975"/>
      <c r="CDV62" s="975"/>
      <c r="CDW62" s="975"/>
      <c r="CDX62" s="975"/>
      <c r="CDY62" s="975"/>
      <c r="CDZ62" s="975"/>
      <c r="CEA62" s="975"/>
      <c r="CEB62" s="975"/>
      <c r="CEC62" s="975"/>
      <c r="CED62" s="975"/>
      <c r="CEE62" s="975"/>
      <c r="CEF62" s="975"/>
      <c r="CEG62" s="975"/>
      <c r="CEH62" s="975"/>
      <c r="CEI62" s="975"/>
      <c r="CEJ62" s="975"/>
      <c r="CEK62" s="975"/>
      <c r="CEL62" s="975"/>
      <c r="CEM62" s="975"/>
      <c r="CEN62" s="975"/>
      <c r="CEO62" s="975"/>
      <c r="CEP62" s="975"/>
      <c r="CEQ62" s="975"/>
      <c r="CER62" s="975"/>
      <c r="CES62" s="975"/>
      <c r="CET62" s="975"/>
      <c r="CEU62" s="975"/>
      <c r="CEV62" s="975"/>
      <c r="CEW62" s="975"/>
      <c r="CEX62" s="975"/>
      <c r="CEY62" s="975"/>
      <c r="CEZ62" s="975"/>
      <c r="CFA62" s="975"/>
      <c r="CFB62" s="975"/>
      <c r="CFC62" s="975"/>
      <c r="CFD62" s="975"/>
      <c r="CFE62" s="975"/>
      <c r="CFF62" s="975"/>
      <c r="CFG62" s="975"/>
      <c r="CFH62" s="975"/>
      <c r="CFI62" s="975"/>
      <c r="CFJ62" s="975"/>
      <c r="CFK62" s="975"/>
      <c r="CFL62" s="975"/>
      <c r="CFM62" s="975"/>
      <c r="CFN62" s="975"/>
      <c r="CFO62" s="975"/>
      <c r="CFP62" s="975"/>
      <c r="CFQ62" s="975"/>
      <c r="CFR62" s="975"/>
      <c r="CFS62" s="975"/>
      <c r="CFT62" s="975"/>
      <c r="CFU62" s="975"/>
      <c r="CFV62" s="975"/>
      <c r="CFW62" s="975"/>
      <c r="CFX62" s="975"/>
      <c r="CFY62" s="975"/>
      <c r="CFZ62" s="975"/>
      <c r="CGA62" s="975"/>
      <c r="CGB62" s="975"/>
      <c r="CGC62" s="975"/>
      <c r="CGD62" s="975"/>
      <c r="CGE62" s="975"/>
      <c r="CGF62" s="975"/>
      <c r="CGG62" s="975"/>
      <c r="CGH62" s="975"/>
      <c r="CGI62" s="975"/>
      <c r="CGJ62" s="975"/>
      <c r="CGK62" s="975"/>
      <c r="CGL62" s="975"/>
      <c r="CGM62" s="975"/>
      <c r="CGN62" s="975"/>
      <c r="CGO62" s="975"/>
      <c r="CGP62" s="975"/>
      <c r="CGQ62" s="975"/>
      <c r="CGR62" s="975"/>
      <c r="CGS62" s="975"/>
      <c r="CGT62" s="975"/>
      <c r="CGU62" s="975"/>
      <c r="CGV62" s="975"/>
      <c r="CGW62" s="975"/>
      <c r="CGX62" s="975"/>
      <c r="CGY62" s="975"/>
      <c r="CGZ62" s="975"/>
      <c r="CHA62" s="975"/>
      <c r="CHB62" s="975"/>
      <c r="CHC62" s="975"/>
      <c r="CHD62" s="975"/>
      <c r="CHE62" s="975"/>
      <c r="CHF62" s="975"/>
      <c r="CHG62" s="975"/>
      <c r="CHH62" s="975"/>
      <c r="CHI62" s="975"/>
      <c r="CHJ62" s="975"/>
      <c r="CHK62" s="975"/>
      <c r="CHL62" s="975"/>
      <c r="CHM62" s="975"/>
      <c r="CHN62" s="975"/>
      <c r="CHO62" s="975"/>
      <c r="CHP62" s="975"/>
      <c r="CHQ62" s="975"/>
      <c r="CHR62" s="975"/>
      <c r="CHS62" s="975"/>
      <c r="CHT62" s="975"/>
      <c r="CHU62" s="975"/>
      <c r="CHV62" s="975"/>
      <c r="CHW62" s="975"/>
      <c r="CHX62" s="975"/>
      <c r="CHY62" s="975"/>
      <c r="CHZ62" s="975"/>
      <c r="CIA62" s="975"/>
      <c r="CIB62" s="975"/>
      <c r="CIC62" s="975"/>
      <c r="CID62" s="975"/>
      <c r="CIE62" s="975"/>
      <c r="CIF62" s="975"/>
      <c r="CIG62" s="975"/>
      <c r="CIH62" s="975"/>
      <c r="CII62" s="975"/>
      <c r="CIJ62" s="975"/>
      <c r="CIK62" s="975"/>
      <c r="CIL62" s="975"/>
      <c r="CIM62" s="975"/>
      <c r="CIN62" s="975"/>
      <c r="CIO62" s="975"/>
      <c r="CIP62" s="975"/>
      <c r="CIQ62" s="975"/>
      <c r="CIR62" s="975"/>
      <c r="CIS62" s="975"/>
      <c r="CIT62" s="975"/>
      <c r="CIU62" s="975"/>
      <c r="CIV62" s="975"/>
      <c r="CIW62" s="975"/>
      <c r="CIX62" s="975"/>
      <c r="CIY62" s="975"/>
      <c r="CIZ62" s="975"/>
      <c r="CJA62" s="975"/>
      <c r="CJB62" s="975"/>
      <c r="CJC62" s="975"/>
      <c r="CJD62" s="975"/>
      <c r="CJE62" s="975"/>
      <c r="CJF62" s="975"/>
      <c r="CJG62" s="975"/>
      <c r="CJH62" s="975"/>
      <c r="CJI62" s="975"/>
      <c r="CJJ62" s="975"/>
      <c r="CJK62" s="975"/>
      <c r="CJL62" s="975"/>
      <c r="CJM62" s="975"/>
      <c r="CJN62" s="975"/>
      <c r="CJO62" s="975"/>
      <c r="CJP62" s="975"/>
      <c r="CJQ62" s="975"/>
      <c r="CJR62" s="975"/>
      <c r="CJS62" s="975"/>
      <c r="CJT62" s="975"/>
      <c r="CJU62" s="975"/>
      <c r="CJV62" s="975"/>
      <c r="CJW62" s="975"/>
      <c r="CJX62" s="975"/>
      <c r="CJY62" s="975"/>
      <c r="CJZ62" s="975"/>
      <c r="CKA62" s="975"/>
      <c r="CKB62" s="975"/>
      <c r="CKC62" s="975"/>
      <c r="CKD62" s="975"/>
      <c r="CKE62" s="975"/>
      <c r="CKF62" s="975"/>
      <c r="CKG62" s="975"/>
      <c r="CKH62" s="975"/>
      <c r="CKI62" s="975"/>
      <c r="CKJ62" s="975"/>
      <c r="CKK62" s="975"/>
      <c r="CKL62" s="975"/>
      <c r="CKM62" s="975"/>
      <c r="CKN62" s="975"/>
      <c r="CKO62" s="975"/>
      <c r="CKP62" s="975"/>
      <c r="CKQ62" s="975"/>
      <c r="CKR62" s="975"/>
      <c r="CKS62" s="975"/>
      <c r="CKT62" s="975"/>
      <c r="CKU62" s="975"/>
      <c r="CKV62" s="975"/>
      <c r="CKW62" s="975"/>
      <c r="CKX62" s="975"/>
      <c r="CKY62" s="975"/>
      <c r="CKZ62" s="975"/>
      <c r="CLA62" s="975"/>
      <c r="CLB62" s="975"/>
      <c r="CLC62" s="975"/>
      <c r="CLD62" s="975"/>
      <c r="CLE62" s="975"/>
      <c r="CLF62" s="975"/>
      <c r="CLG62" s="975"/>
      <c r="CLH62" s="975"/>
      <c r="CLI62" s="975"/>
      <c r="CLJ62" s="975"/>
      <c r="CLK62" s="975"/>
      <c r="CLL62" s="975"/>
      <c r="CLM62" s="975"/>
      <c r="CLN62" s="975"/>
      <c r="CLO62" s="975"/>
      <c r="CLP62" s="975"/>
      <c r="CLQ62" s="975"/>
      <c r="CLR62" s="975"/>
      <c r="CLS62" s="975"/>
      <c r="CLT62" s="975"/>
      <c r="CLU62" s="975"/>
      <c r="CLV62" s="975"/>
      <c r="CLW62" s="975"/>
      <c r="CLX62" s="975"/>
      <c r="CLY62" s="975"/>
      <c r="CLZ62" s="975"/>
      <c r="CMA62" s="975"/>
      <c r="CMB62" s="975"/>
      <c r="CMC62" s="975"/>
      <c r="CMD62" s="975"/>
      <c r="CME62" s="975"/>
      <c r="CMF62" s="975"/>
      <c r="CMG62" s="975"/>
      <c r="CMH62" s="975"/>
      <c r="CMI62" s="975"/>
      <c r="CMJ62" s="975"/>
      <c r="CMK62" s="975"/>
      <c r="CML62" s="975"/>
      <c r="CMM62" s="975"/>
      <c r="CMN62" s="975"/>
      <c r="CMO62" s="975"/>
      <c r="CMP62" s="975"/>
      <c r="CMQ62" s="975"/>
      <c r="CMR62" s="975"/>
      <c r="CMS62" s="975"/>
      <c r="CMT62" s="975"/>
      <c r="CMU62" s="975"/>
      <c r="CMV62" s="975"/>
      <c r="CMW62" s="975"/>
      <c r="CMX62" s="975"/>
      <c r="CMY62" s="975"/>
      <c r="CMZ62" s="975"/>
      <c r="CNA62" s="975"/>
      <c r="CNB62" s="975"/>
      <c r="CNC62" s="975"/>
      <c r="CND62" s="975"/>
      <c r="CNE62" s="975"/>
      <c r="CNF62" s="975"/>
      <c r="CNG62" s="975"/>
      <c r="CNH62" s="975"/>
      <c r="CNI62" s="975"/>
      <c r="CNJ62" s="975"/>
      <c r="CNK62" s="975"/>
      <c r="CNL62" s="975"/>
      <c r="CNM62" s="975"/>
      <c r="CNN62" s="975"/>
      <c r="CNO62" s="975"/>
      <c r="CNP62" s="975"/>
      <c r="CNQ62" s="975"/>
      <c r="CNR62" s="975"/>
      <c r="CNS62" s="975"/>
      <c r="CNT62" s="975"/>
      <c r="CNU62" s="975"/>
      <c r="CNV62" s="975"/>
      <c r="CNW62" s="975"/>
      <c r="CNX62" s="975"/>
      <c r="CNY62" s="975"/>
      <c r="CNZ62" s="975"/>
      <c r="COA62" s="975"/>
      <c r="COB62" s="975"/>
      <c r="COC62" s="975"/>
      <c r="COD62" s="975"/>
      <c r="COE62" s="975"/>
      <c r="COF62" s="975"/>
      <c r="COG62" s="975"/>
      <c r="COH62" s="975"/>
      <c r="COI62" s="975"/>
      <c r="COJ62" s="975"/>
      <c r="COK62" s="975"/>
      <c r="COL62" s="975"/>
      <c r="COM62" s="975"/>
      <c r="CON62" s="975"/>
      <c r="COO62" s="975"/>
      <c r="COP62" s="975"/>
      <c r="COQ62" s="975"/>
      <c r="COR62" s="975"/>
      <c r="COS62" s="975"/>
      <c r="COT62" s="975"/>
      <c r="COU62" s="975"/>
      <c r="COV62" s="975"/>
      <c r="COW62" s="975"/>
      <c r="COX62" s="975"/>
      <c r="COY62" s="975"/>
      <c r="COZ62" s="975"/>
      <c r="CPA62" s="975"/>
      <c r="CPB62" s="975"/>
      <c r="CPC62" s="975"/>
      <c r="CPD62" s="975"/>
      <c r="CPE62" s="975"/>
      <c r="CPF62" s="975"/>
      <c r="CPG62" s="975"/>
      <c r="CPH62" s="975"/>
      <c r="CPI62" s="975"/>
      <c r="CPJ62" s="975"/>
      <c r="CPK62" s="975"/>
      <c r="CPL62" s="975"/>
      <c r="CPM62" s="975"/>
      <c r="CPN62" s="975"/>
      <c r="CPO62" s="975"/>
      <c r="CPP62" s="975"/>
      <c r="CPQ62" s="975"/>
      <c r="CPR62" s="975"/>
      <c r="CPS62" s="975"/>
      <c r="CPT62" s="975"/>
      <c r="CPU62" s="975"/>
      <c r="CPV62" s="975"/>
      <c r="CPW62" s="975"/>
      <c r="CPX62" s="975"/>
      <c r="CPY62" s="975"/>
      <c r="CPZ62" s="975"/>
      <c r="CQA62" s="975"/>
      <c r="CQB62" s="975"/>
      <c r="CQC62" s="975"/>
      <c r="CQD62" s="975"/>
      <c r="CQE62" s="975"/>
      <c r="CQF62" s="975"/>
      <c r="CQG62" s="975"/>
      <c r="CQH62" s="975"/>
      <c r="CQI62" s="975"/>
      <c r="CQJ62" s="975"/>
      <c r="CQK62" s="975"/>
      <c r="CQL62" s="975"/>
      <c r="CQM62" s="975"/>
      <c r="CQN62" s="975"/>
      <c r="CQO62" s="975"/>
      <c r="CQP62" s="975"/>
      <c r="CQQ62" s="975"/>
      <c r="CQR62" s="975"/>
      <c r="CQS62" s="975"/>
      <c r="CQT62" s="975"/>
      <c r="CQU62" s="975"/>
      <c r="CQV62" s="975"/>
      <c r="CQW62" s="975"/>
      <c r="CQX62" s="975"/>
      <c r="CQY62" s="975"/>
      <c r="CQZ62" s="975"/>
      <c r="CRA62" s="975"/>
      <c r="CRB62" s="975"/>
      <c r="CRC62" s="975"/>
      <c r="CRD62" s="975"/>
      <c r="CRE62" s="975"/>
      <c r="CRF62" s="975"/>
      <c r="CRG62" s="975"/>
      <c r="CRH62" s="975"/>
      <c r="CRI62" s="975"/>
      <c r="CRJ62" s="975"/>
      <c r="CRK62" s="975"/>
      <c r="CRL62" s="975"/>
      <c r="CRM62" s="975"/>
      <c r="CRN62" s="975"/>
      <c r="CRO62" s="975"/>
      <c r="CRP62" s="975"/>
      <c r="CRQ62" s="975"/>
      <c r="CRR62" s="975"/>
      <c r="CRS62" s="975"/>
      <c r="CRT62" s="975"/>
      <c r="CRU62" s="975"/>
      <c r="CRV62" s="975"/>
      <c r="CRW62" s="975"/>
      <c r="CRX62" s="975"/>
      <c r="CRY62" s="975"/>
      <c r="CRZ62" s="975"/>
      <c r="CSA62" s="975"/>
      <c r="CSB62" s="975"/>
      <c r="CSC62" s="975"/>
      <c r="CSD62" s="975"/>
      <c r="CSE62" s="975"/>
      <c r="CSF62" s="975"/>
      <c r="CSG62" s="975"/>
      <c r="CSH62" s="975"/>
      <c r="CSI62" s="975"/>
      <c r="CSJ62" s="975"/>
      <c r="CSK62" s="975"/>
      <c r="CSL62" s="975"/>
      <c r="CSM62" s="975"/>
      <c r="CSN62" s="975"/>
      <c r="CSO62" s="975"/>
      <c r="CSP62" s="975"/>
      <c r="CSQ62" s="975"/>
      <c r="CSR62" s="975"/>
      <c r="CSS62" s="975"/>
      <c r="CST62" s="975"/>
      <c r="CSU62" s="975"/>
      <c r="CSV62" s="975"/>
      <c r="CSW62" s="975"/>
      <c r="CSX62" s="975"/>
      <c r="CSY62" s="975"/>
      <c r="CSZ62" s="975"/>
      <c r="CTA62" s="975"/>
      <c r="CTB62" s="975"/>
      <c r="CTC62" s="975"/>
      <c r="CTD62" s="975"/>
      <c r="CTE62" s="975"/>
      <c r="CTF62" s="975"/>
      <c r="CTG62" s="975"/>
      <c r="CTH62" s="975"/>
      <c r="CTI62" s="975"/>
      <c r="CTJ62" s="975"/>
      <c r="CTK62" s="975"/>
      <c r="CTL62" s="975"/>
      <c r="CTM62" s="975"/>
      <c r="CTN62" s="975"/>
      <c r="CTO62" s="975"/>
      <c r="CTP62" s="975"/>
      <c r="CTQ62" s="975"/>
      <c r="CTR62" s="975"/>
      <c r="CTS62" s="975"/>
      <c r="CTT62" s="975"/>
      <c r="CTU62" s="975"/>
      <c r="CTV62" s="975"/>
      <c r="CTW62" s="975"/>
      <c r="CTX62" s="975"/>
      <c r="CTY62" s="975"/>
      <c r="CTZ62" s="975"/>
      <c r="CUA62" s="975"/>
      <c r="CUB62" s="975"/>
      <c r="CUC62" s="975"/>
      <c r="CUD62" s="975"/>
      <c r="CUE62" s="975"/>
      <c r="CUF62" s="975"/>
      <c r="CUG62" s="975"/>
      <c r="CUH62" s="975"/>
      <c r="CUI62" s="975"/>
      <c r="CUJ62" s="975"/>
      <c r="CUK62" s="975"/>
      <c r="CUL62" s="975"/>
      <c r="CUM62" s="975"/>
      <c r="CUN62" s="975"/>
      <c r="CUO62" s="975"/>
      <c r="CUP62" s="975"/>
      <c r="CUQ62" s="975"/>
      <c r="CUR62" s="975"/>
      <c r="CUS62" s="975"/>
      <c r="CUT62" s="975"/>
      <c r="CUU62" s="975"/>
      <c r="CUV62" s="975"/>
      <c r="CUW62" s="975"/>
      <c r="CUX62" s="975"/>
      <c r="CUY62" s="975"/>
      <c r="CUZ62" s="975"/>
      <c r="CVA62" s="975"/>
      <c r="CVB62" s="975"/>
      <c r="CVC62" s="975"/>
      <c r="CVD62" s="975"/>
      <c r="CVE62" s="975"/>
      <c r="CVF62" s="975"/>
      <c r="CVG62" s="975"/>
      <c r="CVH62" s="975"/>
      <c r="CVI62" s="975"/>
      <c r="CVJ62" s="975"/>
      <c r="CVK62" s="975"/>
      <c r="CVL62" s="975"/>
      <c r="CVM62" s="975"/>
      <c r="CVN62" s="975"/>
      <c r="CVO62" s="975"/>
      <c r="CVP62" s="975"/>
      <c r="CVQ62" s="975"/>
      <c r="CVR62" s="975"/>
      <c r="CVS62" s="975"/>
      <c r="CVT62" s="975"/>
      <c r="CVU62" s="975"/>
      <c r="CVV62" s="975"/>
      <c r="CVW62" s="975"/>
      <c r="CVX62" s="975"/>
      <c r="CVY62" s="975"/>
      <c r="CVZ62" s="975"/>
      <c r="CWA62" s="975"/>
      <c r="CWB62" s="975"/>
      <c r="CWC62" s="975"/>
      <c r="CWD62" s="975"/>
      <c r="CWE62" s="975"/>
      <c r="CWF62" s="975"/>
      <c r="CWG62" s="975"/>
      <c r="CWH62" s="975"/>
      <c r="CWI62" s="975"/>
      <c r="CWJ62" s="975"/>
      <c r="CWK62" s="975"/>
      <c r="CWL62" s="975"/>
      <c r="CWM62" s="975"/>
      <c r="CWN62" s="975"/>
      <c r="CWO62" s="975"/>
      <c r="CWP62" s="975"/>
      <c r="CWQ62" s="975"/>
      <c r="CWR62" s="975"/>
      <c r="CWS62" s="975"/>
      <c r="CWT62" s="975"/>
      <c r="CWU62" s="975"/>
      <c r="CWV62" s="975"/>
      <c r="CWW62" s="975"/>
      <c r="CWX62" s="975"/>
      <c r="CWY62" s="975"/>
      <c r="CWZ62" s="975"/>
      <c r="CXA62" s="975"/>
      <c r="CXB62" s="975"/>
      <c r="CXC62" s="975"/>
      <c r="CXD62" s="975"/>
      <c r="CXE62" s="975"/>
      <c r="CXF62" s="975"/>
      <c r="CXG62" s="975"/>
      <c r="CXH62" s="975"/>
      <c r="CXI62" s="975"/>
      <c r="CXJ62" s="975"/>
      <c r="CXK62" s="975"/>
      <c r="CXL62" s="975"/>
      <c r="CXM62" s="975"/>
      <c r="CXN62" s="975"/>
      <c r="CXO62" s="975"/>
      <c r="CXP62" s="975"/>
      <c r="CXQ62" s="975"/>
      <c r="CXR62" s="975"/>
      <c r="CXS62" s="975"/>
      <c r="CXT62" s="975"/>
      <c r="CXU62" s="975"/>
      <c r="CXV62" s="975"/>
      <c r="CXW62" s="975"/>
      <c r="CXX62" s="975"/>
      <c r="CXY62" s="975"/>
      <c r="CXZ62" s="975"/>
      <c r="CYA62" s="975"/>
      <c r="CYB62" s="975"/>
      <c r="CYC62" s="975"/>
      <c r="CYD62" s="975"/>
      <c r="CYE62" s="975"/>
      <c r="CYF62" s="975"/>
      <c r="CYG62" s="975"/>
      <c r="CYH62" s="975"/>
      <c r="CYI62" s="975"/>
      <c r="CYJ62" s="975"/>
      <c r="CYK62" s="975"/>
      <c r="CYL62" s="975"/>
      <c r="CYM62" s="975"/>
      <c r="CYN62" s="975"/>
      <c r="CYO62" s="975"/>
      <c r="CYP62" s="975"/>
      <c r="CYQ62" s="975"/>
      <c r="CYR62" s="975"/>
      <c r="CYS62" s="975"/>
      <c r="CYT62" s="975"/>
      <c r="CYU62" s="975"/>
      <c r="CYV62" s="975"/>
      <c r="CYW62" s="975"/>
      <c r="CYX62" s="975"/>
      <c r="CYY62" s="975"/>
      <c r="CYZ62" s="975"/>
      <c r="CZA62" s="975"/>
      <c r="CZB62" s="975"/>
      <c r="CZC62" s="975"/>
      <c r="CZD62" s="975"/>
      <c r="CZE62" s="975"/>
      <c r="CZF62" s="975"/>
      <c r="CZG62" s="975"/>
      <c r="CZH62" s="975"/>
      <c r="CZI62" s="975"/>
      <c r="CZJ62" s="975"/>
      <c r="CZK62" s="975"/>
      <c r="CZL62" s="975"/>
      <c r="CZM62" s="975"/>
      <c r="CZN62" s="975"/>
      <c r="CZO62" s="975"/>
      <c r="CZP62" s="975"/>
      <c r="CZQ62" s="975"/>
      <c r="CZR62" s="975"/>
      <c r="CZS62" s="975"/>
      <c r="CZT62" s="975"/>
      <c r="CZU62" s="975"/>
      <c r="CZV62" s="975"/>
      <c r="CZW62" s="975"/>
      <c r="CZX62" s="975"/>
      <c r="CZY62" s="975"/>
      <c r="CZZ62" s="975"/>
      <c r="DAA62" s="975"/>
      <c r="DAB62" s="975"/>
      <c r="DAC62" s="975"/>
      <c r="DAD62" s="975"/>
      <c r="DAE62" s="975"/>
      <c r="DAF62" s="975"/>
      <c r="DAG62" s="975"/>
      <c r="DAH62" s="975"/>
      <c r="DAI62" s="975"/>
      <c r="DAJ62" s="975"/>
      <c r="DAK62" s="975"/>
      <c r="DAL62" s="975"/>
      <c r="DAM62" s="975"/>
      <c r="DAN62" s="975"/>
      <c r="DAO62" s="975"/>
      <c r="DAP62" s="975"/>
      <c r="DAQ62" s="975"/>
      <c r="DAR62" s="975"/>
      <c r="DAS62" s="975"/>
      <c r="DAT62" s="975"/>
      <c r="DAU62" s="975"/>
      <c r="DAV62" s="975"/>
      <c r="DAW62" s="975"/>
      <c r="DAX62" s="975"/>
      <c r="DAY62" s="975"/>
      <c r="DAZ62" s="975"/>
      <c r="DBA62" s="975"/>
      <c r="DBB62" s="975"/>
      <c r="DBC62" s="975"/>
      <c r="DBD62" s="975"/>
      <c r="DBE62" s="975"/>
      <c r="DBF62" s="975"/>
      <c r="DBG62" s="975"/>
      <c r="DBH62" s="975"/>
      <c r="DBI62" s="975"/>
      <c r="DBJ62" s="975"/>
      <c r="DBK62" s="975"/>
      <c r="DBL62" s="975"/>
      <c r="DBM62" s="975"/>
      <c r="DBN62" s="975"/>
      <c r="DBO62" s="975"/>
      <c r="DBP62" s="975"/>
      <c r="DBQ62" s="975"/>
      <c r="DBR62" s="975"/>
      <c r="DBS62" s="975"/>
      <c r="DBT62" s="975"/>
      <c r="DBU62" s="975"/>
      <c r="DBV62" s="975"/>
      <c r="DBW62" s="975"/>
      <c r="DBX62" s="975"/>
      <c r="DBY62" s="975"/>
      <c r="DBZ62" s="975"/>
      <c r="DCA62" s="975"/>
      <c r="DCB62" s="975"/>
      <c r="DCC62" s="975"/>
      <c r="DCD62" s="975"/>
      <c r="DCE62" s="975"/>
      <c r="DCF62" s="975"/>
      <c r="DCG62" s="975"/>
      <c r="DCH62" s="975"/>
      <c r="DCI62" s="975"/>
      <c r="DCJ62" s="975"/>
      <c r="DCK62" s="975"/>
      <c r="DCL62" s="975"/>
      <c r="DCM62" s="975"/>
      <c r="DCN62" s="975"/>
      <c r="DCO62" s="975"/>
      <c r="DCP62" s="975"/>
      <c r="DCQ62" s="975"/>
      <c r="DCR62" s="975"/>
      <c r="DCS62" s="975"/>
      <c r="DCT62" s="975"/>
      <c r="DCU62" s="975"/>
      <c r="DCV62" s="975"/>
      <c r="DCW62" s="975"/>
      <c r="DCX62" s="975"/>
      <c r="DCY62" s="975"/>
      <c r="DCZ62" s="975"/>
      <c r="DDA62" s="975"/>
      <c r="DDB62" s="975"/>
      <c r="DDC62" s="975"/>
      <c r="DDD62" s="975"/>
      <c r="DDE62" s="975"/>
      <c r="DDF62" s="975"/>
      <c r="DDG62" s="975"/>
      <c r="DDH62" s="975"/>
      <c r="DDI62" s="975"/>
      <c r="DDJ62" s="975"/>
      <c r="DDK62" s="975"/>
      <c r="DDL62" s="975"/>
      <c r="DDM62" s="975"/>
      <c r="DDN62" s="975"/>
      <c r="DDO62" s="975"/>
      <c r="DDP62" s="975"/>
      <c r="DDQ62" s="975"/>
      <c r="DDR62" s="975"/>
      <c r="DDS62" s="975"/>
      <c r="DDT62" s="975"/>
      <c r="DDU62" s="975"/>
      <c r="DDV62" s="975"/>
      <c r="DDW62" s="975"/>
      <c r="DDX62" s="975"/>
      <c r="DDY62" s="975"/>
      <c r="DDZ62" s="975"/>
      <c r="DEA62" s="975"/>
      <c r="DEB62" s="975"/>
      <c r="DEC62" s="975"/>
      <c r="DED62" s="975"/>
      <c r="DEE62" s="975"/>
      <c r="DEF62" s="975"/>
      <c r="DEG62" s="975"/>
      <c r="DEH62" s="975"/>
      <c r="DEI62" s="975"/>
      <c r="DEJ62" s="975"/>
      <c r="DEK62" s="975"/>
      <c r="DEL62" s="975"/>
      <c r="DEM62" s="975"/>
      <c r="DEN62" s="975"/>
      <c r="DEO62" s="975"/>
      <c r="DEP62" s="975"/>
      <c r="DEQ62" s="975"/>
      <c r="DER62" s="975"/>
      <c r="DES62" s="975"/>
      <c r="DET62" s="975"/>
      <c r="DEU62" s="975"/>
      <c r="DEV62" s="975"/>
      <c r="DEW62" s="975"/>
      <c r="DEX62" s="975"/>
      <c r="DEY62" s="975"/>
      <c r="DEZ62" s="975"/>
      <c r="DFA62" s="975"/>
      <c r="DFB62" s="975"/>
      <c r="DFC62" s="975"/>
      <c r="DFD62" s="975"/>
      <c r="DFE62" s="975"/>
      <c r="DFF62" s="975"/>
      <c r="DFG62" s="975"/>
      <c r="DFH62" s="975"/>
      <c r="DFI62" s="975"/>
      <c r="DFJ62" s="975"/>
      <c r="DFK62" s="975"/>
      <c r="DFL62" s="975"/>
      <c r="DFM62" s="975"/>
      <c r="DFN62" s="975"/>
      <c r="DFO62" s="975"/>
      <c r="DFP62" s="975"/>
      <c r="DFQ62" s="975"/>
      <c r="DFR62" s="975"/>
      <c r="DFS62" s="975"/>
      <c r="DFT62" s="975"/>
      <c r="DFU62" s="975"/>
      <c r="DFV62" s="975"/>
      <c r="DFW62" s="975"/>
      <c r="DFX62" s="975"/>
      <c r="DFY62" s="975"/>
      <c r="DFZ62" s="975"/>
      <c r="DGA62" s="975"/>
      <c r="DGB62" s="975"/>
      <c r="DGC62" s="975"/>
      <c r="DGD62" s="975"/>
      <c r="DGE62" s="975"/>
      <c r="DGF62" s="975"/>
      <c r="DGG62" s="975"/>
      <c r="DGH62" s="975"/>
      <c r="DGI62" s="975"/>
      <c r="DGJ62" s="975"/>
      <c r="DGK62" s="975"/>
      <c r="DGL62" s="975"/>
      <c r="DGM62" s="975"/>
      <c r="DGN62" s="975"/>
      <c r="DGO62" s="975"/>
      <c r="DGP62" s="975"/>
      <c r="DGQ62" s="975"/>
      <c r="DGR62" s="975"/>
      <c r="DGS62" s="975"/>
      <c r="DGT62" s="975"/>
      <c r="DGU62" s="975"/>
      <c r="DGV62" s="975"/>
      <c r="DGW62" s="975"/>
      <c r="DGX62" s="975"/>
      <c r="DGY62" s="975"/>
      <c r="DGZ62" s="975"/>
      <c r="DHA62" s="975"/>
      <c r="DHB62" s="975"/>
      <c r="DHC62" s="975"/>
      <c r="DHD62" s="975"/>
      <c r="DHE62" s="975"/>
      <c r="DHF62" s="975"/>
      <c r="DHG62" s="975"/>
      <c r="DHH62" s="975"/>
      <c r="DHI62" s="975"/>
      <c r="DHJ62" s="975"/>
      <c r="DHK62" s="975"/>
      <c r="DHL62" s="975"/>
      <c r="DHM62" s="975"/>
      <c r="DHN62" s="975"/>
      <c r="DHO62" s="975"/>
      <c r="DHP62" s="975"/>
      <c r="DHQ62" s="975"/>
      <c r="DHR62" s="975"/>
      <c r="DHS62" s="975"/>
      <c r="DHT62" s="975"/>
      <c r="DHU62" s="975"/>
      <c r="DHV62" s="975"/>
      <c r="DHW62" s="975"/>
      <c r="DHX62" s="975"/>
      <c r="DHY62" s="975"/>
      <c r="DHZ62" s="975"/>
      <c r="DIA62" s="975"/>
      <c r="DIB62" s="975"/>
      <c r="DIC62" s="975"/>
      <c r="DID62" s="975"/>
      <c r="DIE62" s="975"/>
      <c r="DIF62" s="975"/>
      <c r="DIG62" s="975"/>
      <c r="DIH62" s="975"/>
      <c r="DII62" s="975"/>
      <c r="DIJ62" s="975"/>
      <c r="DIK62" s="975"/>
      <c r="DIL62" s="975"/>
      <c r="DIM62" s="975"/>
      <c r="DIN62" s="975"/>
      <c r="DIO62" s="975"/>
      <c r="DIP62" s="975"/>
      <c r="DIQ62" s="975"/>
      <c r="DIR62" s="975"/>
      <c r="DIS62" s="975"/>
      <c r="DIT62" s="975"/>
      <c r="DIU62" s="975"/>
      <c r="DIV62" s="975"/>
      <c r="DIW62" s="975"/>
      <c r="DIX62" s="975"/>
      <c r="DIY62" s="975"/>
      <c r="DIZ62" s="975"/>
      <c r="DJA62" s="975"/>
      <c r="DJB62" s="975"/>
      <c r="DJC62" s="975"/>
      <c r="DJD62" s="975"/>
      <c r="DJE62" s="975"/>
      <c r="DJF62" s="975"/>
      <c r="DJG62" s="975"/>
      <c r="DJH62" s="975"/>
      <c r="DJI62" s="975"/>
      <c r="DJJ62" s="975"/>
      <c r="DJK62" s="975"/>
      <c r="DJL62" s="975"/>
      <c r="DJM62" s="975"/>
      <c r="DJN62" s="975"/>
      <c r="DJO62" s="975"/>
      <c r="DJP62" s="975"/>
      <c r="DJQ62" s="975"/>
      <c r="DJR62" s="975"/>
      <c r="DJS62" s="975"/>
      <c r="DJT62" s="975"/>
      <c r="DJU62" s="975"/>
      <c r="DJV62" s="975"/>
      <c r="DJW62" s="975"/>
      <c r="DJX62" s="975"/>
      <c r="DJY62" s="975"/>
      <c r="DJZ62" s="975"/>
      <c r="DKA62" s="975"/>
      <c r="DKB62" s="975"/>
      <c r="DKC62" s="975"/>
      <c r="DKD62" s="975"/>
      <c r="DKE62" s="975"/>
      <c r="DKF62" s="975"/>
      <c r="DKG62" s="975"/>
      <c r="DKH62" s="975"/>
      <c r="DKI62" s="975"/>
      <c r="DKJ62" s="975"/>
      <c r="DKK62" s="975"/>
      <c r="DKL62" s="975"/>
      <c r="DKM62" s="975"/>
      <c r="DKN62" s="975"/>
      <c r="DKO62" s="975"/>
      <c r="DKP62" s="975"/>
      <c r="DKQ62" s="975"/>
      <c r="DKR62" s="975"/>
      <c r="DKS62" s="975"/>
      <c r="DKT62" s="975"/>
      <c r="DKU62" s="975"/>
      <c r="DKV62" s="975"/>
      <c r="DKW62" s="975"/>
      <c r="DKX62" s="975"/>
      <c r="DKY62" s="975"/>
      <c r="DKZ62" s="975"/>
      <c r="DLA62" s="975"/>
      <c r="DLB62" s="975"/>
      <c r="DLC62" s="975"/>
      <c r="DLD62" s="975"/>
      <c r="DLE62" s="975"/>
      <c r="DLF62" s="975"/>
      <c r="DLG62" s="975"/>
      <c r="DLH62" s="975"/>
      <c r="DLI62" s="975"/>
      <c r="DLJ62" s="975"/>
      <c r="DLK62" s="975"/>
      <c r="DLL62" s="975"/>
      <c r="DLM62" s="975"/>
      <c r="DLN62" s="975"/>
      <c r="DLO62" s="975"/>
      <c r="DLP62" s="975"/>
      <c r="DLQ62" s="975"/>
      <c r="DLR62" s="975"/>
      <c r="DLS62" s="975"/>
      <c r="DLT62" s="975"/>
      <c r="DLU62" s="975"/>
      <c r="DLV62" s="975"/>
      <c r="DLW62" s="975"/>
      <c r="DLX62" s="975"/>
      <c r="DLY62" s="975"/>
      <c r="DLZ62" s="975"/>
      <c r="DMA62" s="975"/>
      <c r="DMB62" s="975"/>
      <c r="DMC62" s="975"/>
      <c r="DMD62" s="975"/>
      <c r="DME62" s="975"/>
      <c r="DMF62" s="975"/>
      <c r="DMG62" s="975"/>
      <c r="DMH62" s="975"/>
      <c r="DMI62" s="975"/>
      <c r="DMJ62" s="975"/>
      <c r="DMK62" s="975"/>
      <c r="DML62" s="975"/>
      <c r="DMM62" s="975"/>
      <c r="DMN62" s="975"/>
      <c r="DMO62" s="975"/>
      <c r="DMP62" s="975"/>
      <c r="DMQ62" s="975"/>
      <c r="DMR62" s="975"/>
      <c r="DMS62" s="975"/>
      <c r="DMT62" s="975"/>
      <c r="DMU62" s="975"/>
      <c r="DMV62" s="975"/>
      <c r="DMW62" s="975"/>
      <c r="DMX62" s="975"/>
      <c r="DMY62" s="975"/>
      <c r="DMZ62" s="975"/>
      <c r="DNA62" s="975"/>
      <c r="DNB62" s="975"/>
      <c r="DNC62" s="975"/>
      <c r="DND62" s="975"/>
      <c r="DNE62" s="975"/>
      <c r="DNF62" s="975"/>
      <c r="DNG62" s="975"/>
      <c r="DNH62" s="975"/>
      <c r="DNI62" s="975"/>
      <c r="DNJ62" s="975"/>
      <c r="DNK62" s="975"/>
      <c r="DNL62" s="975"/>
      <c r="DNM62" s="975"/>
      <c r="DNN62" s="975"/>
      <c r="DNO62" s="975"/>
      <c r="DNP62" s="975"/>
      <c r="DNQ62" s="975"/>
      <c r="DNR62" s="975"/>
      <c r="DNS62" s="975"/>
      <c r="DNT62" s="975"/>
      <c r="DNU62" s="975"/>
      <c r="DNV62" s="975"/>
      <c r="DNW62" s="975"/>
      <c r="DNX62" s="975"/>
      <c r="DNY62" s="975"/>
      <c r="DNZ62" s="975"/>
      <c r="DOA62" s="975"/>
      <c r="DOB62" s="975"/>
      <c r="DOC62" s="975"/>
      <c r="DOD62" s="975"/>
      <c r="DOE62" s="975"/>
      <c r="DOF62" s="975"/>
      <c r="DOG62" s="975"/>
      <c r="DOH62" s="975"/>
      <c r="DOI62" s="975"/>
      <c r="DOJ62" s="975"/>
      <c r="DOK62" s="975"/>
      <c r="DOL62" s="975"/>
      <c r="DOM62" s="975"/>
      <c r="DON62" s="975"/>
      <c r="DOO62" s="975"/>
      <c r="DOP62" s="975"/>
      <c r="DOQ62" s="975"/>
      <c r="DOR62" s="975"/>
      <c r="DOS62" s="975"/>
      <c r="DOT62" s="975"/>
      <c r="DOU62" s="975"/>
      <c r="DOV62" s="975"/>
      <c r="DOW62" s="975"/>
      <c r="DOX62" s="975"/>
      <c r="DOY62" s="975"/>
      <c r="DOZ62" s="975"/>
      <c r="DPA62" s="975"/>
      <c r="DPB62" s="975"/>
      <c r="DPC62" s="975"/>
      <c r="DPD62" s="975"/>
      <c r="DPE62" s="975"/>
      <c r="DPF62" s="975"/>
      <c r="DPG62" s="975"/>
      <c r="DPH62" s="975"/>
      <c r="DPI62" s="975"/>
      <c r="DPJ62" s="975"/>
      <c r="DPK62" s="975"/>
      <c r="DPL62" s="975"/>
      <c r="DPM62" s="975"/>
      <c r="DPN62" s="975"/>
      <c r="DPO62" s="975"/>
      <c r="DPP62" s="975"/>
      <c r="DPQ62" s="975"/>
      <c r="DPR62" s="975"/>
      <c r="DPS62" s="975"/>
      <c r="DPT62" s="975"/>
      <c r="DPU62" s="975"/>
      <c r="DPV62" s="975"/>
      <c r="DPW62" s="975"/>
      <c r="DPX62" s="975"/>
      <c r="DPY62" s="975"/>
      <c r="DPZ62" s="975"/>
      <c r="DQA62" s="975"/>
      <c r="DQB62" s="975"/>
      <c r="DQC62" s="975"/>
      <c r="DQD62" s="975"/>
      <c r="DQE62" s="975"/>
      <c r="DQF62" s="975"/>
      <c r="DQG62" s="975"/>
      <c r="DQH62" s="975"/>
      <c r="DQI62" s="975"/>
      <c r="DQJ62" s="975"/>
      <c r="DQK62" s="975"/>
      <c r="DQL62" s="975"/>
      <c r="DQM62" s="975"/>
      <c r="DQN62" s="975"/>
      <c r="DQO62" s="975"/>
      <c r="DQP62" s="975"/>
      <c r="DQQ62" s="975"/>
      <c r="DQR62" s="975"/>
      <c r="DQS62" s="975"/>
      <c r="DQT62" s="975"/>
      <c r="DQU62" s="975"/>
      <c r="DQV62" s="975"/>
      <c r="DQW62" s="975"/>
      <c r="DQX62" s="975"/>
      <c r="DQY62" s="975"/>
      <c r="DQZ62" s="975"/>
      <c r="DRA62" s="975"/>
      <c r="DRB62" s="975"/>
      <c r="DRC62" s="975"/>
      <c r="DRD62" s="975"/>
      <c r="DRE62" s="975"/>
      <c r="DRF62" s="975"/>
      <c r="DRG62" s="975"/>
      <c r="DRH62" s="975"/>
      <c r="DRI62" s="975"/>
      <c r="DRJ62" s="975"/>
      <c r="DRK62" s="975"/>
      <c r="DRL62" s="975"/>
      <c r="DRM62" s="975"/>
      <c r="DRN62" s="975"/>
      <c r="DRO62" s="975"/>
      <c r="DRP62" s="975"/>
      <c r="DRQ62" s="975"/>
      <c r="DRR62" s="975"/>
      <c r="DRS62" s="975"/>
      <c r="DRT62" s="975"/>
      <c r="DRU62" s="975"/>
      <c r="DRV62" s="975"/>
      <c r="DRW62" s="975"/>
      <c r="DRX62" s="975"/>
      <c r="DRY62" s="975"/>
      <c r="DRZ62" s="975"/>
      <c r="DSA62" s="975"/>
      <c r="DSB62" s="975"/>
      <c r="DSC62" s="975"/>
      <c r="DSD62" s="975"/>
      <c r="DSE62" s="975"/>
      <c r="DSF62" s="975"/>
      <c r="DSG62" s="975"/>
      <c r="DSH62" s="975"/>
      <c r="DSI62" s="975"/>
      <c r="DSJ62" s="975"/>
      <c r="DSK62" s="975"/>
      <c r="DSL62" s="975"/>
      <c r="DSM62" s="975"/>
      <c r="DSN62" s="975"/>
      <c r="DSO62" s="975"/>
      <c r="DSP62" s="975"/>
      <c r="DSQ62" s="975"/>
      <c r="DSR62" s="975"/>
      <c r="DSS62" s="975"/>
      <c r="DST62" s="975"/>
      <c r="DSU62" s="975"/>
      <c r="DSV62" s="975"/>
      <c r="DSW62" s="975"/>
      <c r="DSX62" s="975"/>
      <c r="DSY62" s="975"/>
      <c r="DSZ62" s="975"/>
      <c r="DTA62" s="975"/>
      <c r="DTB62" s="975"/>
      <c r="DTC62" s="975"/>
      <c r="DTD62" s="975"/>
      <c r="DTE62" s="975"/>
      <c r="DTF62" s="975"/>
      <c r="DTG62" s="975"/>
      <c r="DTH62" s="975"/>
      <c r="DTI62" s="975"/>
      <c r="DTJ62" s="975"/>
      <c r="DTK62" s="975"/>
      <c r="DTL62" s="975"/>
      <c r="DTM62" s="975"/>
      <c r="DTN62" s="975"/>
      <c r="DTO62" s="975"/>
      <c r="DTP62" s="975"/>
      <c r="DTQ62" s="975"/>
      <c r="DTR62" s="975"/>
      <c r="DTS62" s="975"/>
      <c r="DTT62" s="975"/>
      <c r="DTU62" s="975"/>
      <c r="DTV62" s="975"/>
      <c r="DTW62" s="975"/>
      <c r="DTX62" s="975"/>
      <c r="DTY62" s="975"/>
      <c r="DTZ62" s="975"/>
      <c r="DUA62" s="975"/>
      <c r="DUB62" s="975"/>
      <c r="DUC62" s="975"/>
      <c r="DUD62" s="975"/>
      <c r="DUE62" s="975"/>
      <c r="DUF62" s="975"/>
      <c r="DUG62" s="975"/>
      <c r="DUH62" s="975"/>
      <c r="DUI62" s="975"/>
      <c r="DUJ62" s="975"/>
      <c r="DUK62" s="975"/>
      <c r="DUL62" s="975"/>
      <c r="DUM62" s="975"/>
      <c r="DUN62" s="975"/>
      <c r="DUO62" s="975"/>
      <c r="DUP62" s="975"/>
      <c r="DUQ62" s="975"/>
      <c r="DUR62" s="975"/>
      <c r="DUS62" s="975"/>
      <c r="DUT62" s="975"/>
      <c r="DUU62" s="975"/>
      <c r="DUV62" s="975"/>
      <c r="DUW62" s="975"/>
      <c r="DUX62" s="975"/>
      <c r="DUY62" s="975"/>
      <c r="DUZ62" s="975"/>
      <c r="DVA62" s="975"/>
      <c r="DVB62" s="975"/>
      <c r="DVC62" s="975"/>
      <c r="DVD62" s="975"/>
      <c r="DVE62" s="975"/>
      <c r="DVF62" s="975"/>
      <c r="DVG62" s="975"/>
      <c r="DVH62" s="975"/>
      <c r="DVI62" s="975"/>
      <c r="DVJ62" s="975"/>
      <c r="DVK62" s="975"/>
      <c r="DVL62" s="975"/>
      <c r="DVM62" s="975"/>
      <c r="DVN62" s="975"/>
      <c r="DVO62" s="975"/>
      <c r="DVP62" s="975"/>
      <c r="DVQ62" s="975"/>
      <c r="DVR62" s="975"/>
      <c r="DVS62" s="975"/>
      <c r="DVT62" s="975"/>
      <c r="DVU62" s="975"/>
      <c r="DVV62" s="975"/>
      <c r="DVW62" s="975"/>
      <c r="DVX62" s="975"/>
      <c r="DVY62" s="975"/>
      <c r="DVZ62" s="975"/>
      <c r="DWA62" s="975"/>
      <c r="DWB62" s="975"/>
      <c r="DWC62" s="975"/>
      <c r="DWD62" s="975"/>
      <c r="DWE62" s="975"/>
      <c r="DWF62" s="975"/>
      <c r="DWG62" s="975"/>
      <c r="DWH62" s="975"/>
      <c r="DWI62" s="975"/>
      <c r="DWJ62" s="975"/>
      <c r="DWK62" s="975"/>
      <c r="DWL62" s="975"/>
      <c r="DWM62" s="975"/>
      <c r="DWN62" s="975"/>
      <c r="DWO62" s="975"/>
      <c r="DWP62" s="975"/>
      <c r="DWQ62" s="975"/>
      <c r="DWR62" s="975"/>
      <c r="DWS62" s="975"/>
      <c r="DWT62" s="975"/>
      <c r="DWU62" s="975"/>
      <c r="DWV62" s="975"/>
      <c r="DWW62" s="975"/>
      <c r="DWX62" s="975"/>
      <c r="DWY62" s="975"/>
      <c r="DWZ62" s="975"/>
      <c r="DXA62" s="975"/>
      <c r="DXB62" s="975"/>
      <c r="DXC62" s="975"/>
      <c r="DXD62" s="975"/>
      <c r="DXE62" s="975"/>
      <c r="DXF62" s="975"/>
      <c r="DXG62" s="975"/>
      <c r="DXH62" s="975"/>
      <c r="DXI62" s="975"/>
      <c r="DXJ62" s="975"/>
      <c r="DXK62" s="975"/>
      <c r="DXL62" s="975"/>
      <c r="DXM62" s="975"/>
      <c r="DXN62" s="975"/>
      <c r="DXO62" s="975"/>
      <c r="DXP62" s="975"/>
      <c r="DXQ62" s="975"/>
      <c r="DXR62" s="975"/>
      <c r="DXS62" s="975"/>
      <c r="DXT62" s="975"/>
      <c r="DXU62" s="975"/>
      <c r="DXV62" s="975"/>
      <c r="DXW62" s="975"/>
      <c r="DXX62" s="975"/>
      <c r="DXY62" s="975"/>
      <c r="DXZ62" s="975"/>
      <c r="DYA62" s="975"/>
      <c r="DYB62" s="975"/>
      <c r="DYC62" s="975"/>
      <c r="DYD62" s="975"/>
      <c r="DYE62" s="975"/>
      <c r="DYF62" s="975"/>
      <c r="DYG62" s="975"/>
      <c r="DYH62" s="975"/>
      <c r="DYI62" s="975"/>
      <c r="DYJ62" s="975"/>
      <c r="DYK62" s="975"/>
      <c r="DYL62" s="975"/>
      <c r="DYM62" s="975"/>
      <c r="DYN62" s="975"/>
      <c r="DYO62" s="975"/>
      <c r="DYP62" s="975"/>
      <c r="DYQ62" s="975"/>
      <c r="DYR62" s="975"/>
      <c r="DYS62" s="975"/>
      <c r="DYT62" s="975"/>
      <c r="DYU62" s="975"/>
      <c r="DYV62" s="975"/>
      <c r="DYW62" s="975"/>
      <c r="DYX62" s="975"/>
      <c r="DYY62" s="975"/>
      <c r="DYZ62" s="975"/>
      <c r="DZA62" s="975"/>
      <c r="DZB62" s="975"/>
      <c r="DZC62" s="975"/>
      <c r="DZD62" s="975"/>
      <c r="DZE62" s="975"/>
      <c r="DZF62" s="975"/>
      <c r="DZG62" s="975"/>
      <c r="DZH62" s="975"/>
      <c r="DZI62" s="975"/>
      <c r="DZJ62" s="975"/>
      <c r="DZK62" s="975"/>
      <c r="DZL62" s="975"/>
      <c r="DZM62" s="975"/>
      <c r="DZN62" s="975"/>
      <c r="DZO62" s="975"/>
      <c r="DZP62" s="975"/>
      <c r="DZQ62" s="975"/>
      <c r="DZR62" s="975"/>
      <c r="DZS62" s="975"/>
      <c r="DZT62" s="975"/>
      <c r="DZU62" s="975"/>
      <c r="DZV62" s="975"/>
      <c r="DZW62" s="975"/>
      <c r="DZX62" s="975"/>
      <c r="DZY62" s="975"/>
      <c r="DZZ62" s="975"/>
      <c r="EAA62" s="975"/>
      <c r="EAB62" s="975"/>
      <c r="EAC62" s="975"/>
      <c r="EAD62" s="975"/>
      <c r="EAE62" s="975"/>
      <c r="EAF62" s="975"/>
      <c r="EAG62" s="975"/>
      <c r="EAH62" s="975"/>
      <c r="EAI62" s="975"/>
      <c r="EAJ62" s="975"/>
      <c r="EAK62" s="975"/>
      <c r="EAL62" s="975"/>
      <c r="EAM62" s="975"/>
      <c r="EAN62" s="975"/>
      <c r="EAO62" s="975"/>
      <c r="EAP62" s="975"/>
      <c r="EAQ62" s="975"/>
      <c r="EAR62" s="975"/>
      <c r="EAS62" s="975"/>
      <c r="EAT62" s="975"/>
      <c r="EAU62" s="975"/>
      <c r="EAV62" s="975"/>
      <c r="EAW62" s="975"/>
      <c r="EAX62" s="975"/>
      <c r="EAY62" s="975"/>
      <c r="EAZ62" s="975"/>
      <c r="EBA62" s="975"/>
      <c r="EBB62" s="975"/>
      <c r="EBC62" s="975"/>
      <c r="EBD62" s="975"/>
      <c r="EBE62" s="975"/>
      <c r="EBF62" s="975"/>
      <c r="EBG62" s="975"/>
      <c r="EBH62" s="975"/>
      <c r="EBI62" s="975"/>
      <c r="EBJ62" s="975"/>
      <c r="EBK62" s="975"/>
      <c r="EBL62" s="975"/>
      <c r="EBM62" s="975"/>
      <c r="EBN62" s="975"/>
      <c r="EBO62" s="975"/>
      <c r="EBP62" s="975"/>
      <c r="EBQ62" s="975"/>
      <c r="EBR62" s="975"/>
      <c r="EBS62" s="975"/>
      <c r="EBT62" s="975"/>
      <c r="EBU62" s="975"/>
      <c r="EBV62" s="975"/>
      <c r="EBW62" s="975"/>
      <c r="EBX62" s="975"/>
      <c r="EBY62" s="975"/>
      <c r="EBZ62" s="975"/>
      <c r="ECA62" s="975"/>
      <c r="ECB62" s="975"/>
      <c r="ECC62" s="975"/>
      <c r="ECD62" s="975"/>
      <c r="ECE62" s="975"/>
      <c r="ECF62" s="975"/>
      <c r="ECG62" s="975"/>
      <c r="ECH62" s="975"/>
      <c r="ECI62" s="975"/>
      <c r="ECJ62" s="975"/>
      <c r="ECK62" s="975"/>
      <c r="ECL62" s="975"/>
      <c r="ECM62" s="975"/>
      <c r="ECN62" s="975"/>
      <c r="ECO62" s="975"/>
      <c r="ECP62" s="975"/>
      <c r="ECQ62" s="975"/>
      <c r="ECR62" s="975"/>
      <c r="ECS62" s="975"/>
      <c r="ECT62" s="975"/>
      <c r="ECU62" s="975"/>
      <c r="ECV62" s="975"/>
      <c r="ECW62" s="975"/>
      <c r="ECX62" s="975"/>
      <c r="ECY62" s="975"/>
      <c r="ECZ62" s="975"/>
      <c r="EDA62" s="975"/>
      <c r="EDB62" s="975"/>
      <c r="EDC62" s="975"/>
      <c r="EDD62" s="975"/>
      <c r="EDE62" s="975"/>
      <c r="EDF62" s="975"/>
      <c r="EDG62" s="975"/>
      <c r="EDH62" s="975"/>
      <c r="EDI62" s="975"/>
      <c r="EDJ62" s="975"/>
      <c r="EDK62" s="975"/>
      <c r="EDL62" s="975"/>
      <c r="EDM62" s="975"/>
      <c r="EDN62" s="975"/>
      <c r="EDO62" s="975"/>
      <c r="EDP62" s="975"/>
      <c r="EDQ62" s="975"/>
      <c r="EDR62" s="975"/>
      <c r="EDS62" s="975"/>
      <c r="EDT62" s="975"/>
      <c r="EDU62" s="975"/>
      <c r="EDV62" s="975"/>
      <c r="EDW62" s="975"/>
      <c r="EDX62" s="975"/>
      <c r="EDY62" s="975"/>
      <c r="EDZ62" s="975"/>
      <c r="EEA62" s="975"/>
      <c r="EEB62" s="975"/>
      <c r="EEC62" s="975"/>
      <c r="EED62" s="975"/>
      <c r="EEE62" s="975"/>
      <c r="EEF62" s="975"/>
      <c r="EEG62" s="975"/>
      <c r="EEH62" s="975"/>
      <c r="EEI62" s="975"/>
      <c r="EEJ62" s="975"/>
      <c r="EEK62" s="975"/>
      <c r="EEL62" s="975"/>
      <c r="EEM62" s="975"/>
      <c r="EEN62" s="975"/>
      <c r="EEO62" s="975"/>
      <c r="EEP62" s="975"/>
      <c r="EEQ62" s="975"/>
      <c r="EER62" s="975"/>
      <c r="EES62" s="975"/>
      <c r="EET62" s="975"/>
      <c r="EEU62" s="975"/>
      <c r="EEV62" s="975"/>
      <c r="EEW62" s="975"/>
      <c r="EEX62" s="975"/>
      <c r="EEY62" s="975"/>
      <c r="EEZ62" s="975"/>
      <c r="EFA62" s="975"/>
      <c r="EFB62" s="975"/>
      <c r="EFC62" s="975"/>
      <c r="EFD62" s="975"/>
      <c r="EFE62" s="975"/>
      <c r="EFF62" s="975"/>
      <c r="EFG62" s="975"/>
      <c r="EFH62" s="975"/>
      <c r="EFI62" s="975"/>
      <c r="EFJ62" s="975"/>
      <c r="EFK62" s="975"/>
      <c r="EFL62" s="975"/>
      <c r="EFM62" s="975"/>
      <c r="EFN62" s="975"/>
      <c r="EFO62" s="975"/>
      <c r="EFP62" s="975"/>
      <c r="EFQ62" s="975"/>
      <c r="EFR62" s="975"/>
      <c r="EFS62" s="975"/>
      <c r="EFT62" s="975"/>
      <c r="EFU62" s="975"/>
      <c r="EFV62" s="975"/>
      <c r="EFW62" s="975"/>
      <c r="EFX62" s="975"/>
      <c r="EFY62" s="975"/>
      <c r="EFZ62" s="975"/>
      <c r="EGA62" s="975"/>
      <c r="EGB62" s="975"/>
      <c r="EGC62" s="975"/>
      <c r="EGD62" s="975"/>
      <c r="EGE62" s="975"/>
      <c r="EGF62" s="975"/>
      <c r="EGG62" s="975"/>
      <c r="EGH62" s="975"/>
      <c r="EGI62" s="975"/>
      <c r="EGJ62" s="975"/>
      <c r="EGK62" s="975"/>
      <c r="EGL62" s="975"/>
      <c r="EGM62" s="975"/>
      <c r="EGN62" s="975"/>
      <c r="EGO62" s="975"/>
      <c r="EGP62" s="975"/>
      <c r="EGQ62" s="975"/>
      <c r="EGR62" s="975"/>
      <c r="EGS62" s="975"/>
      <c r="EGT62" s="975"/>
      <c r="EGU62" s="975"/>
      <c r="EGV62" s="975"/>
      <c r="EGW62" s="975"/>
      <c r="EGX62" s="975"/>
      <c r="EGY62" s="975"/>
      <c r="EGZ62" s="975"/>
      <c r="EHA62" s="975"/>
      <c r="EHB62" s="975"/>
      <c r="EHC62" s="975"/>
      <c r="EHD62" s="975"/>
      <c r="EHE62" s="975"/>
      <c r="EHF62" s="975"/>
      <c r="EHG62" s="975"/>
      <c r="EHH62" s="975"/>
      <c r="EHI62" s="975"/>
      <c r="EHJ62" s="975"/>
      <c r="EHK62" s="975"/>
      <c r="EHL62" s="975"/>
      <c r="EHM62" s="975"/>
      <c r="EHN62" s="975"/>
      <c r="EHO62" s="975"/>
      <c r="EHP62" s="975"/>
      <c r="EHQ62" s="975"/>
      <c r="EHR62" s="975"/>
      <c r="EHS62" s="975"/>
      <c r="EHT62" s="975"/>
      <c r="EHU62" s="975"/>
      <c r="EHV62" s="975"/>
      <c r="EHW62" s="975"/>
      <c r="EHX62" s="975"/>
      <c r="EHY62" s="975"/>
      <c r="EHZ62" s="975"/>
      <c r="EIA62" s="975"/>
      <c r="EIB62" s="975"/>
      <c r="EIC62" s="975"/>
      <c r="EID62" s="975"/>
      <c r="EIE62" s="975"/>
      <c r="EIF62" s="975"/>
      <c r="EIG62" s="975"/>
      <c r="EIH62" s="975"/>
      <c r="EII62" s="975"/>
      <c r="EIJ62" s="975"/>
      <c r="EIK62" s="975"/>
      <c r="EIL62" s="975"/>
      <c r="EIM62" s="975"/>
      <c r="EIN62" s="975"/>
      <c r="EIO62" s="975"/>
      <c r="EIP62" s="975"/>
      <c r="EIQ62" s="975"/>
      <c r="EIR62" s="975"/>
      <c r="EIS62" s="975"/>
      <c r="EIT62" s="975"/>
      <c r="EIU62" s="975"/>
      <c r="EIV62" s="975"/>
      <c r="EIW62" s="975"/>
      <c r="EIX62" s="975"/>
      <c r="EIY62" s="975"/>
      <c r="EIZ62" s="975"/>
      <c r="EJA62" s="975"/>
      <c r="EJB62" s="975"/>
      <c r="EJC62" s="975"/>
      <c r="EJD62" s="975"/>
      <c r="EJE62" s="975"/>
      <c r="EJF62" s="975"/>
      <c r="EJG62" s="975"/>
      <c r="EJH62" s="975"/>
      <c r="EJI62" s="975"/>
      <c r="EJJ62" s="975"/>
      <c r="EJK62" s="975"/>
      <c r="EJL62" s="975"/>
      <c r="EJM62" s="975"/>
      <c r="EJN62" s="975"/>
      <c r="EJO62" s="975"/>
      <c r="EJP62" s="975"/>
      <c r="EJQ62" s="975"/>
      <c r="EJR62" s="975"/>
      <c r="EJS62" s="975"/>
      <c r="EJT62" s="975"/>
      <c r="EJU62" s="975"/>
      <c r="EJV62" s="975"/>
      <c r="EJW62" s="975"/>
      <c r="EJX62" s="975"/>
      <c r="EJY62" s="975"/>
      <c r="EJZ62" s="975"/>
      <c r="EKA62" s="975"/>
      <c r="EKB62" s="975"/>
      <c r="EKC62" s="975"/>
      <c r="EKD62" s="975"/>
      <c r="EKE62" s="975"/>
      <c r="EKF62" s="975"/>
      <c r="EKG62" s="975"/>
      <c r="EKH62" s="975"/>
      <c r="EKI62" s="975"/>
      <c r="EKJ62" s="975"/>
      <c r="EKK62" s="975"/>
      <c r="EKL62" s="975"/>
      <c r="EKM62" s="975"/>
      <c r="EKN62" s="975"/>
      <c r="EKO62" s="975"/>
      <c r="EKP62" s="975"/>
      <c r="EKQ62" s="975"/>
      <c r="EKR62" s="975"/>
      <c r="EKS62" s="975"/>
      <c r="EKT62" s="975"/>
      <c r="EKU62" s="975"/>
      <c r="EKV62" s="975"/>
      <c r="EKW62" s="975"/>
      <c r="EKX62" s="975"/>
      <c r="EKY62" s="975"/>
      <c r="EKZ62" s="975"/>
      <c r="ELA62" s="975"/>
      <c r="ELB62" s="975"/>
      <c r="ELC62" s="975"/>
      <c r="ELD62" s="975"/>
      <c r="ELE62" s="975"/>
      <c r="ELF62" s="975"/>
      <c r="ELG62" s="975"/>
      <c r="ELH62" s="975"/>
      <c r="ELI62" s="975"/>
      <c r="ELJ62" s="975"/>
      <c r="ELK62" s="975"/>
      <c r="ELL62" s="975"/>
      <c r="ELM62" s="975"/>
      <c r="ELN62" s="975"/>
      <c r="ELO62" s="975"/>
      <c r="ELP62" s="975"/>
      <c r="ELQ62" s="975"/>
      <c r="ELR62" s="975"/>
      <c r="ELS62" s="975"/>
      <c r="ELT62" s="975"/>
      <c r="ELU62" s="975"/>
      <c r="ELV62" s="975"/>
      <c r="ELW62" s="975"/>
      <c r="ELX62" s="975"/>
      <c r="ELY62" s="975"/>
      <c r="ELZ62" s="975"/>
      <c r="EMA62" s="975"/>
      <c r="EMB62" s="975"/>
      <c r="EMC62" s="975"/>
      <c r="EMD62" s="975"/>
      <c r="EME62" s="975"/>
      <c r="EMF62" s="975"/>
      <c r="EMG62" s="975"/>
      <c r="EMH62" s="975"/>
      <c r="EMI62" s="975"/>
      <c r="EMJ62" s="975"/>
      <c r="EMK62" s="975"/>
      <c r="EML62" s="975"/>
      <c r="EMM62" s="975"/>
      <c r="EMN62" s="975"/>
      <c r="EMO62" s="975"/>
      <c r="EMP62" s="975"/>
      <c r="EMQ62" s="975"/>
      <c r="EMR62" s="975"/>
      <c r="EMS62" s="975"/>
      <c r="EMT62" s="975"/>
      <c r="EMU62" s="975"/>
      <c r="EMV62" s="975"/>
      <c r="EMW62" s="975"/>
      <c r="EMX62" s="975"/>
      <c r="EMY62" s="975"/>
      <c r="EMZ62" s="975"/>
      <c r="ENA62" s="975"/>
      <c r="ENB62" s="975"/>
      <c r="ENC62" s="975"/>
      <c r="END62" s="975"/>
      <c r="ENE62" s="975"/>
      <c r="ENF62" s="975"/>
      <c r="ENG62" s="975"/>
      <c r="ENH62" s="975"/>
      <c r="ENI62" s="975"/>
      <c r="ENJ62" s="975"/>
      <c r="ENK62" s="975"/>
      <c r="ENL62" s="975"/>
      <c r="ENM62" s="975"/>
      <c r="ENN62" s="975"/>
      <c r="ENO62" s="975"/>
      <c r="ENP62" s="975"/>
      <c r="ENQ62" s="975"/>
      <c r="ENR62" s="975"/>
      <c r="ENS62" s="975"/>
      <c r="ENT62" s="975"/>
      <c r="ENU62" s="975"/>
      <c r="ENV62" s="975"/>
      <c r="ENW62" s="975"/>
      <c r="ENX62" s="975"/>
      <c r="ENY62" s="975"/>
      <c r="ENZ62" s="975"/>
      <c r="EOA62" s="975"/>
      <c r="EOB62" s="975"/>
      <c r="EOC62" s="975"/>
      <c r="EOD62" s="975"/>
      <c r="EOE62" s="975"/>
      <c r="EOF62" s="975"/>
      <c r="EOG62" s="975"/>
      <c r="EOH62" s="975"/>
      <c r="EOI62" s="975"/>
      <c r="EOJ62" s="975"/>
      <c r="EOK62" s="975"/>
      <c r="EOL62" s="975"/>
      <c r="EOM62" s="975"/>
      <c r="EON62" s="975"/>
      <c r="EOO62" s="975"/>
      <c r="EOP62" s="975"/>
      <c r="EOQ62" s="975"/>
      <c r="EOR62" s="975"/>
      <c r="EOS62" s="975"/>
      <c r="EOT62" s="975"/>
      <c r="EOU62" s="975"/>
      <c r="EOV62" s="975"/>
      <c r="EOW62" s="975"/>
      <c r="EOX62" s="975"/>
      <c r="EOY62" s="975"/>
      <c r="EOZ62" s="975"/>
      <c r="EPA62" s="975"/>
      <c r="EPB62" s="975"/>
      <c r="EPC62" s="975"/>
      <c r="EPD62" s="975"/>
      <c r="EPE62" s="975"/>
      <c r="EPF62" s="975"/>
      <c r="EPG62" s="975"/>
      <c r="EPH62" s="975"/>
      <c r="EPI62" s="975"/>
      <c r="EPJ62" s="975"/>
      <c r="EPK62" s="975"/>
      <c r="EPL62" s="975"/>
      <c r="EPM62" s="975"/>
      <c r="EPN62" s="975"/>
      <c r="EPO62" s="975"/>
      <c r="EPP62" s="975"/>
      <c r="EPQ62" s="975"/>
      <c r="EPR62" s="975"/>
      <c r="EPS62" s="975"/>
      <c r="EPT62" s="975"/>
      <c r="EPU62" s="975"/>
      <c r="EPV62" s="975"/>
      <c r="EPW62" s="975"/>
      <c r="EPX62" s="975"/>
      <c r="EPY62" s="975"/>
      <c r="EPZ62" s="975"/>
      <c r="EQA62" s="975"/>
      <c r="EQB62" s="975"/>
      <c r="EQC62" s="975"/>
      <c r="EQD62" s="975"/>
      <c r="EQE62" s="975"/>
      <c r="EQF62" s="975"/>
      <c r="EQG62" s="975"/>
      <c r="EQH62" s="975"/>
      <c r="EQI62" s="975"/>
      <c r="EQJ62" s="975"/>
      <c r="EQK62" s="975"/>
      <c r="EQL62" s="975"/>
      <c r="EQM62" s="975"/>
      <c r="EQN62" s="975"/>
      <c r="EQO62" s="975"/>
      <c r="EQP62" s="975"/>
      <c r="EQQ62" s="975"/>
      <c r="EQR62" s="975"/>
      <c r="EQS62" s="975"/>
      <c r="EQT62" s="975"/>
      <c r="EQU62" s="975"/>
      <c r="EQV62" s="975"/>
      <c r="EQW62" s="975"/>
      <c r="EQX62" s="975"/>
      <c r="EQY62" s="975"/>
      <c r="EQZ62" s="975"/>
      <c r="ERA62" s="975"/>
      <c r="ERB62" s="975"/>
      <c r="ERC62" s="975"/>
      <c r="ERD62" s="975"/>
      <c r="ERE62" s="975"/>
      <c r="ERF62" s="975"/>
      <c r="ERG62" s="975"/>
      <c r="ERH62" s="975"/>
      <c r="ERI62" s="975"/>
      <c r="ERJ62" s="975"/>
      <c r="ERK62" s="975"/>
      <c r="ERL62" s="975"/>
      <c r="ERM62" s="975"/>
      <c r="ERN62" s="975"/>
      <c r="ERO62" s="975"/>
      <c r="ERP62" s="975"/>
      <c r="ERQ62" s="975"/>
      <c r="ERR62" s="975"/>
      <c r="ERS62" s="975"/>
      <c r="ERT62" s="975"/>
      <c r="ERU62" s="975"/>
      <c r="ERV62" s="975"/>
      <c r="ERW62" s="975"/>
      <c r="ERX62" s="975"/>
      <c r="ERY62" s="975"/>
      <c r="ERZ62" s="975"/>
      <c r="ESA62" s="975"/>
      <c r="ESB62" s="975"/>
      <c r="ESC62" s="975"/>
      <c r="ESD62" s="975"/>
      <c r="ESE62" s="975"/>
      <c r="ESF62" s="975"/>
      <c r="ESG62" s="975"/>
      <c r="ESH62" s="975"/>
      <c r="ESI62" s="975"/>
      <c r="ESJ62" s="975"/>
      <c r="ESK62" s="975"/>
      <c r="ESL62" s="975"/>
      <c r="ESM62" s="975"/>
      <c r="ESN62" s="975"/>
      <c r="ESO62" s="975"/>
      <c r="ESP62" s="975"/>
      <c r="ESQ62" s="975"/>
      <c r="ESR62" s="975"/>
      <c r="ESS62" s="975"/>
      <c r="EST62" s="975"/>
      <c r="ESU62" s="975"/>
      <c r="ESV62" s="975"/>
      <c r="ESW62" s="975"/>
      <c r="ESX62" s="975"/>
      <c r="ESY62" s="975"/>
      <c r="ESZ62" s="975"/>
      <c r="ETA62" s="975"/>
      <c r="ETB62" s="975"/>
      <c r="ETC62" s="975"/>
      <c r="ETD62" s="975"/>
      <c r="ETE62" s="975"/>
      <c r="ETF62" s="975"/>
      <c r="ETG62" s="975"/>
      <c r="ETH62" s="975"/>
      <c r="ETI62" s="975"/>
      <c r="ETJ62" s="975"/>
      <c r="ETK62" s="975"/>
      <c r="ETL62" s="975"/>
      <c r="ETM62" s="975"/>
      <c r="ETN62" s="975"/>
      <c r="ETO62" s="975"/>
      <c r="ETP62" s="975"/>
      <c r="ETQ62" s="975"/>
      <c r="ETR62" s="975"/>
      <c r="ETS62" s="975"/>
      <c r="ETT62" s="975"/>
      <c r="ETU62" s="975"/>
      <c r="ETV62" s="975"/>
      <c r="ETW62" s="975"/>
      <c r="ETX62" s="975"/>
      <c r="ETY62" s="975"/>
      <c r="ETZ62" s="975"/>
      <c r="EUA62" s="975"/>
      <c r="EUB62" s="975"/>
      <c r="EUC62" s="975"/>
      <c r="EUD62" s="975"/>
      <c r="EUE62" s="975"/>
      <c r="EUF62" s="975"/>
      <c r="EUG62" s="975"/>
      <c r="EUH62" s="975"/>
      <c r="EUI62" s="975"/>
      <c r="EUJ62" s="975"/>
      <c r="EUK62" s="975"/>
      <c r="EUL62" s="975"/>
      <c r="EUM62" s="975"/>
      <c r="EUN62" s="975"/>
      <c r="EUO62" s="975"/>
      <c r="EUP62" s="975"/>
      <c r="EUQ62" s="975"/>
      <c r="EUR62" s="975"/>
      <c r="EUS62" s="975"/>
      <c r="EUT62" s="975"/>
      <c r="EUU62" s="975"/>
      <c r="EUV62" s="975"/>
      <c r="EUW62" s="975"/>
      <c r="EUX62" s="975"/>
      <c r="EUY62" s="975"/>
      <c r="EUZ62" s="975"/>
      <c r="EVA62" s="975"/>
      <c r="EVB62" s="975"/>
      <c r="EVC62" s="975"/>
      <c r="EVD62" s="975"/>
      <c r="EVE62" s="975"/>
      <c r="EVF62" s="975"/>
      <c r="EVG62" s="975"/>
      <c r="EVH62" s="975"/>
      <c r="EVI62" s="975"/>
      <c r="EVJ62" s="975"/>
      <c r="EVK62" s="975"/>
      <c r="EVL62" s="975"/>
      <c r="EVM62" s="975"/>
      <c r="EVN62" s="975"/>
      <c r="EVO62" s="975"/>
      <c r="EVP62" s="975"/>
      <c r="EVQ62" s="975"/>
      <c r="EVR62" s="975"/>
      <c r="EVS62" s="975"/>
      <c r="EVT62" s="975"/>
      <c r="EVU62" s="975"/>
      <c r="EVV62" s="975"/>
      <c r="EVW62" s="975"/>
      <c r="EVX62" s="975"/>
      <c r="EVY62" s="975"/>
      <c r="EVZ62" s="975"/>
      <c r="EWA62" s="975"/>
      <c r="EWB62" s="975"/>
      <c r="EWC62" s="975"/>
      <c r="EWD62" s="975"/>
      <c r="EWE62" s="975"/>
      <c r="EWF62" s="975"/>
      <c r="EWG62" s="975"/>
      <c r="EWH62" s="975"/>
      <c r="EWI62" s="975"/>
      <c r="EWJ62" s="975"/>
      <c r="EWK62" s="975"/>
      <c r="EWL62" s="975"/>
      <c r="EWM62" s="975"/>
      <c r="EWN62" s="975"/>
      <c r="EWO62" s="975"/>
      <c r="EWP62" s="975"/>
      <c r="EWQ62" s="975"/>
      <c r="EWR62" s="975"/>
      <c r="EWS62" s="975"/>
      <c r="EWT62" s="975"/>
      <c r="EWU62" s="975"/>
      <c r="EWV62" s="975"/>
      <c r="EWW62" s="975"/>
      <c r="EWX62" s="975"/>
      <c r="EWY62" s="975"/>
      <c r="EWZ62" s="975"/>
      <c r="EXA62" s="975"/>
      <c r="EXB62" s="975"/>
      <c r="EXC62" s="975"/>
      <c r="EXD62" s="975"/>
      <c r="EXE62" s="975"/>
      <c r="EXF62" s="975"/>
      <c r="EXG62" s="975"/>
      <c r="EXH62" s="975"/>
      <c r="EXI62" s="975"/>
      <c r="EXJ62" s="975"/>
      <c r="EXK62" s="975"/>
      <c r="EXL62" s="975"/>
      <c r="EXM62" s="975"/>
      <c r="EXN62" s="975"/>
      <c r="EXO62" s="975"/>
      <c r="EXP62" s="975"/>
      <c r="EXQ62" s="975"/>
      <c r="EXR62" s="975"/>
      <c r="EXS62" s="975"/>
      <c r="EXT62" s="975"/>
      <c r="EXU62" s="975"/>
      <c r="EXV62" s="975"/>
      <c r="EXW62" s="975"/>
      <c r="EXX62" s="975"/>
      <c r="EXY62" s="975"/>
      <c r="EXZ62" s="975"/>
      <c r="EYA62" s="975"/>
      <c r="EYB62" s="975"/>
      <c r="EYC62" s="975"/>
      <c r="EYD62" s="975"/>
      <c r="EYE62" s="975"/>
      <c r="EYF62" s="975"/>
      <c r="EYG62" s="975"/>
      <c r="EYH62" s="975"/>
      <c r="EYI62" s="975"/>
      <c r="EYJ62" s="975"/>
      <c r="EYK62" s="975"/>
      <c r="EYL62" s="975"/>
      <c r="EYM62" s="975"/>
      <c r="EYN62" s="975"/>
      <c r="EYO62" s="975"/>
      <c r="EYP62" s="975"/>
      <c r="EYQ62" s="975"/>
      <c r="EYR62" s="975"/>
      <c r="EYS62" s="975"/>
      <c r="EYT62" s="975"/>
      <c r="EYU62" s="975"/>
      <c r="EYV62" s="975"/>
      <c r="EYW62" s="975"/>
      <c r="EYX62" s="975"/>
      <c r="EYY62" s="975"/>
      <c r="EYZ62" s="975"/>
      <c r="EZA62" s="975"/>
      <c r="EZB62" s="975"/>
      <c r="EZC62" s="975"/>
      <c r="EZD62" s="975"/>
      <c r="EZE62" s="975"/>
      <c r="EZF62" s="975"/>
      <c r="EZG62" s="975"/>
      <c r="EZH62" s="975"/>
      <c r="EZI62" s="975"/>
      <c r="EZJ62" s="975"/>
      <c r="EZK62" s="975"/>
      <c r="EZL62" s="975"/>
      <c r="EZM62" s="975"/>
      <c r="EZN62" s="975"/>
      <c r="EZO62" s="975"/>
      <c r="EZP62" s="975"/>
      <c r="EZQ62" s="975"/>
      <c r="EZR62" s="975"/>
      <c r="EZS62" s="975"/>
      <c r="EZT62" s="975"/>
      <c r="EZU62" s="975"/>
      <c r="EZV62" s="975"/>
      <c r="EZW62" s="975"/>
      <c r="EZX62" s="975"/>
      <c r="EZY62" s="975"/>
      <c r="EZZ62" s="975"/>
      <c r="FAA62" s="975"/>
      <c r="FAB62" s="975"/>
      <c r="FAC62" s="975"/>
      <c r="FAD62" s="975"/>
      <c r="FAE62" s="975"/>
      <c r="FAF62" s="975"/>
      <c r="FAG62" s="975"/>
      <c r="FAH62" s="975"/>
      <c r="FAI62" s="975"/>
      <c r="FAJ62" s="975"/>
      <c r="FAK62" s="975"/>
      <c r="FAL62" s="975"/>
      <c r="FAM62" s="975"/>
      <c r="FAN62" s="975"/>
      <c r="FAO62" s="975"/>
      <c r="FAP62" s="975"/>
      <c r="FAQ62" s="975"/>
      <c r="FAR62" s="975"/>
      <c r="FAS62" s="975"/>
      <c r="FAT62" s="975"/>
      <c r="FAU62" s="975"/>
      <c r="FAV62" s="975"/>
      <c r="FAW62" s="975"/>
      <c r="FAX62" s="975"/>
      <c r="FAY62" s="975"/>
      <c r="FAZ62" s="975"/>
      <c r="FBA62" s="975"/>
      <c r="FBB62" s="975"/>
      <c r="FBC62" s="975"/>
      <c r="FBD62" s="975"/>
      <c r="FBE62" s="975"/>
      <c r="FBF62" s="975"/>
      <c r="FBG62" s="975"/>
      <c r="FBH62" s="975"/>
      <c r="FBI62" s="975"/>
      <c r="FBJ62" s="975"/>
      <c r="FBK62" s="975"/>
      <c r="FBL62" s="975"/>
      <c r="FBM62" s="975"/>
      <c r="FBN62" s="975"/>
      <c r="FBO62" s="975"/>
      <c r="FBP62" s="975"/>
      <c r="FBQ62" s="975"/>
      <c r="FBR62" s="975"/>
      <c r="FBS62" s="975"/>
      <c r="FBT62" s="975"/>
      <c r="FBU62" s="975"/>
      <c r="FBV62" s="975"/>
      <c r="FBW62" s="975"/>
      <c r="FBX62" s="975"/>
      <c r="FBY62" s="975"/>
      <c r="FBZ62" s="975"/>
      <c r="FCA62" s="975"/>
      <c r="FCB62" s="975"/>
      <c r="FCC62" s="975"/>
      <c r="FCD62" s="975"/>
      <c r="FCE62" s="975"/>
      <c r="FCF62" s="975"/>
      <c r="FCG62" s="975"/>
      <c r="FCH62" s="975"/>
      <c r="FCI62" s="975"/>
      <c r="FCJ62" s="975"/>
      <c r="FCK62" s="975"/>
      <c r="FCL62" s="975"/>
      <c r="FCM62" s="975"/>
      <c r="FCN62" s="975"/>
      <c r="FCO62" s="975"/>
      <c r="FCP62" s="975"/>
      <c r="FCQ62" s="975"/>
      <c r="FCR62" s="975"/>
      <c r="FCS62" s="975"/>
      <c r="FCT62" s="975"/>
      <c r="FCU62" s="975"/>
      <c r="FCV62" s="975"/>
      <c r="FCW62" s="975"/>
      <c r="FCX62" s="975"/>
      <c r="FCY62" s="975"/>
      <c r="FCZ62" s="975"/>
      <c r="FDA62" s="975"/>
      <c r="FDB62" s="975"/>
      <c r="FDC62" s="975"/>
      <c r="FDD62" s="975"/>
      <c r="FDE62" s="975"/>
      <c r="FDF62" s="975"/>
      <c r="FDG62" s="975"/>
      <c r="FDH62" s="975"/>
      <c r="FDI62" s="975"/>
      <c r="FDJ62" s="975"/>
      <c r="FDK62" s="975"/>
      <c r="FDL62" s="975"/>
      <c r="FDM62" s="975"/>
      <c r="FDN62" s="975"/>
      <c r="FDO62" s="975"/>
      <c r="FDP62" s="975"/>
      <c r="FDQ62" s="975"/>
      <c r="FDR62" s="975"/>
      <c r="FDS62" s="975"/>
      <c r="FDT62" s="975"/>
      <c r="FDU62" s="975"/>
      <c r="FDV62" s="975"/>
      <c r="FDW62" s="975"/>
      <c r="FDX62" s="975"/>
      <c r="FDY62" s="975"/>
      <c r="FDZ62" s="975"/>
      <c r="FEA62" s="975"/>
      <c r="FEB62" s="975"/>
      <c r="FEC62" s="975"/>
      <c r="FED62" s="975"/>
      <c r="FEE62" s="975"/>
      <c r="FEF62" s="975"/>
      <c r="FEG62" s="975"/>
      <c r="FEH62" s="975"/>
      <c r="FEI62" s="975"/>
      <c r="FEJ62" s="975"/>
      <c r="FEK62" s="975"/>
      <c r="FEL62" s="975"/>
      <c r="FEM62" s="975"/>
      <c r="FEN62" s="975"/>
      <c r="FEO62" s="975"/>
      <c r="FEP62" s="975"/>
      <c r="FEQ62" s="975"/>
      <c r="FER62" s="975"/>
      <c r="FES62" s="975"/>
      <c r="FET62" s="975"/>
      <c r="FEU62" s="975"/>
      <c r="FEV62" s="975"/>
      <c r="FEW62" s="975"/>
      <c r="FEX62" s="975"/>
      <c r="FEY62" s="975"/>
      <c r="FEZ62" s="975"/>
      <c r="FFA62" s="975"/>
      <c r="FFB62" s="975"/>
      <c r="FFC62" s="975"/>
      <c r="FFD62" s="975"/>
      <c r="FFE62" s="975"/>
      <c r="FFF62" s="975"/>
      <c r="FFG62" s="975"/>
      <c r="FFH62" s="975"/>
      <c r="FFI62" s="975"/>
      <c r="FFJ62" s="975"/>
      <c r="FFK62" s="975"/>
      <c r="FFL62" s="975"/>
      <c r="FFM62" s="975"/>
      <c r="FFN62" s="975"/>
      <c r="FFO62" s="975"/>
      <c r="FFP62" s="975"/>
      <c r="FFQ62" s="975"/>
      <c r="FFR62" s="975"/>
      <c r="FFS62" s="975"/>
      <c r="FFT62" s="975"/>
      <c r="FFU62" s="975"/>
      <c r="FFV62" s="975"/>
      <c r="FFW62" s="975"/>
      <c r="FFX62" s="975"/>
      <c r="FFY62" s="975"/>
      <c r="FFZ62" s="975"/>
      <c r="FGA62" s="975"/>
      <c r="FGB62" s="975"/>
      <c r="FGC62" s="975"/>
      <c r="FGD62" s="975"/>
      <c r="FGE62" s="975"/>
      <c r="FGF62" s="975"/>
      <c r="FGG62" s="975"/>
      <c r="FGH62" s="975"/>
      <c r="FGI62" s="975"/>
      <c r="FGJ62" s="975"/>
      <c r="FGK62" s="975"/>
      <c r="FGL62" s="975"/>
      <c r="FGM62" s="975"/>
      <c r="FGN62" s="975"/>
      <c r="FGO62" s="975"/>
      <c r="FGP62" s="975"/>
      <c r="FGQ62" s="975"/>
      <c r="FGR62" s="975"/>
      <c r="FGS62" s="975"/>
      <c r="FGT62" s="975"/>
      <c r="FGU62" s="975"/>
      <c r="FGV62" s="975"/>
      <c r="FGW62" s="975"/>
      <c r="FGX62" s="975"/>
      <c r="FGY62" s="975"/>
      <c r="FGZ62" s="975"/>
      <c r="FHA62" s="975"/>
      <c r="FHB62" s="975"/>
      <c r="FHC62" s="975"/>
      <c r="FHD62" s="975"/>
      <c r="FHE62" s="975"/>
      <c r="FHF62" s="975"/>
      <c r="FHG62" s="975"/>
      <c r="FHH62" s="975"/>
      <c r="FHI62" s="975"/>
      <c r="FHJ62" s="975"/>
      <c r="FHK62" s="975"/>
      <c r="FHL62" s="975"/>
      <c r="FHM62" s="975"/>
      <c r="FHN62" s="975"/>
      <c r="FHO62" s="975"/>
      <c r="FHP62" s="975"/>
      <c r="FHQ62" s="975"/>
      <c r="FHR62" s="975"/>
      <c r="FHS62" s="975"/>
      <c r="FHT62" s="975"/>
      <c r="FHU62" s="975"/>
      <c r="FHV62" s="975"/>
      <c r="FHW62" s="975"/>
      <c r="FHX62" s="975"/>
      <c r="FHY62" s="975"/>
      <c r="FHZ62" s="975"/>
      <c r="FIA62" s="975"/>
      <c r="FIB62" s="975"/>
      <c r="FIC62" s="975"/>
      <c r="FID62" s="975"/>
      <c r="FIE62" s="975"/>
      <c r="FIF62" s="975"/>
      <c r="FIG62" s="975"/>
      <c r="FIH62" s="975"/>
      <c r="FII62" s="975"/>
      <c r="FIJ62" s="975"/>
      <c r="FIK62" s="975"/>
      <c r="FIL62" s="975"/>
      <c r="FIM62" s="975"/>
      <c r="FIN62" s="975"/>
      <c r="FIO62" s="975"/>
      <c r="FIP62" s="975"/>
      <c r="FIQ62" s="975"/>
      <c r="FIR62" s="975"/>
      <c r="FIS62" s="975"/>
      <c r="FIT62" s="975"/>
      <c r="FIU62" s="975"/>
      <c r="FIV62" s="975"/>
      <c r="FIW62" s="975"/>
      <c r="FIX62" s="975"/>
      <c r="FIY62" s="975"/>
      <c r="FIZ62" s="975"/>
      <c r="FJA62" s="975"/>
      <c r="FJB62" s="975"/>
      <c r="FJC62" s="975"/>
      <c r="FJD62" s="975"/>
      <c r="FJE62" s="975"/>
      <c r="FJF62" s="975"/>
      <c r="FJG62" s="975"/>
      <c r="FJH62" s="975"/>
      <c r="FJI62" s="975"/>
      <c r="FJJ62" s="975"/>
      <c r="FJK62" s="975"/>
      <c r="FJL62" s="975"/>
      <c r="FJM62" s="975"/>
      <c r="FJN62" s="975"/>
      <c r="FJO62" s="975"/>
      <c r="FJP62" s="975"/>
      <c r="FJQ62" s="975"/>
      <c r="FJR62" s="975"/>
      <c r="FJS62" s="975"/>
      <c r="FJT62" s="975"/>
      <c r="FJU62" s="975"/>
      <c r="FJV62" s="975"/>
      <c r="FJW62" s="975"/>
      <c r="FJX62" s="975"/>
      <c r="FJY62" s="975"/>
      <c r="FJZ62" s="975"/>
      <c r="FKA62" s="975"/>
      <c r="FKB62" s="975"/>
      <c r="FKC62" s="975"/>
      <c r="FKD62" s="975"/>
      <c r="FKE62" s="975"/>
      <c r="FKF62" s="975"/>
      <c r="FKG62" s="975"/>
      <c r="FKH62" s="975"/>
      <c r="FKI62" s="975"/>
      <c r="FKJ62" s="975"/>
      <c r="FKK62" s="975"/>
      <c r="FKL62" s="975"/>
      <c r="FKM62" s="975"/>
      <c r="FKN62" s="975"/>
      <c r="FKO62" s="975"/>
      <c r="FKP62" s="975"/>
      <c r="FKQ62" s="975"/>
      <c r="FKR62" s="975"/>
      <c r="FKS62" s="975"/>
      <c r="FKT62" s="975"/>
      <c r="FKU62" s="975"/>
      <c r="FKV62" s="975"/>
      <c r="FKW62" s="975"/>
      <c r="FKX62" s="975"/>
      <c r="FKY62" s="975"/>
      <c r="FKZ62" s="975"/>
      <c r="FLA62" s="975"/>
      <c r="FLB62" s="975"/>
      <c r="FLC62" s="975"/>
      <c r="FLD62" s="975"/>
      <c r="FLE62" s="975"/>
      <c r="FLF62" s="975"/>
      <c r="FLG62" s="975"/>
      <c r="FLH62" s="975"/>
      <c r="FLI62" s="975"/>
      <c r="FLJ62" s="975"/>
      <c r="FLK62" s="975"/>
      <c r="FLL62" s="975"/>
      <c r="FLM62" s="975"/>
      <c r="FLN62" s="975"/>
      <c r="FLO62" s="975"/>
      <c r="FLP62" s="975"/>
      <c r="FLQ62" s="975"/>
      <c r="FLR62" s="975"/>
      <c r="FLS62" s="975"/>
      <c r="FLT62" s="975"/>
      <c r="FLU62" s="975"/>
      <c r="FLV62" s="975"/>
      <c r="FLW62" s="975"/>
      <c r="FLX62" s="975"/>
      <c r="FLY62" s="975"/>
      <c r="FLZ62" s="975"/>
      <c r="FMA62" s="975"/>
      <c r="FMB62" s="975"/>
      <c r="FMC62" s="975"/>
      <c r="FMD62" s="975"/>
      <c r="FME62" s="975"/>
      <c r="FMF62" s="975"/>
      <c r="FMG62" s="975"/>
      <c r="FMH62" s="975"/>
      <c r="FMI62" s="975"/>
      <c r="FMJ62" s="975"/>
      <c r="FMK62" s="975"/>
      <c r="FML62" s="975"/>
      <c r="FMM62" s="975"/>
      <c r="FMN62" s="975"/>
      <c r="FMO62" s="975"/>
      <c r="FMP62" s="975"/>
      <c r="FMQ62" s="975"/>
      <c r="FMR62" s="975"/>
      <c r="FMS62" s="975"/>
      <c r="FMT62" s="975"/>
      <c r="FMU62" s="975"/>
      <c r="FMV62" s="975"/>
      <c r="FMW62" s="975"/>
      <c r="FMX62" s="975"/>
      <c r="FMY62" s="975"/>
      <c r="FMZ62" s="975"/>
      <c r="FNA62" s="975"/>
      <c r="FNB62" s="975"/>
      <c r="FNC62" s="975"/>
      <c r="FND62" s="975"/>
      <c r="FNE62" s="975"/>
      <c r="FNF62" s="975"/>
      <c r="FNG62" s="975"/>
      <c r="FNH62" s="975"/>
      <c r="FNI62" s="975"/>
      <c r="FNJ62" s="975"/>
      <c r="FNK62" s="975"/>
      <c r="FNL62" s="975"/>
      <c r="FNM62" s="975"/>
      <c r="FNN62" s="975"/>
      <c r="FNO62" s="975"/>
      <c r="FNP62" s="975"/>
      <c r="FNQ62" s="975"/>
      <c r="FNR62" s="975"/>
      <c r="FNS62" s="975"/>
      <c r="FNT62" s="975"/>
      <c r="FNU62" s="975"/>
      <c r="FNV62" s="975"/>
      <c r="FNW62" s="975"/>
      <c r="FNX62" s="975"/>
      <c r="FNY62" s="975"/>
      <c r="FNZ62" s="975"/>
      <c r="FOA62" s="975"/>
      <c r="FOB62" s="975"/>
      <c r="FOC62" s="975"/>
      <c r="FOD62" s="975"/>
      <c r="FOE62" s="975"/>
      <c r="FOF62" s="975"/>
      <c r="FOG62" s="975"/>
      <c r="FOH62" s="975"/>
      <c r="FOI62" s="975"/>
      <c r="FOJ62" s="975"/>
      <c r="FOK62" s="975"/>
      <c r="FOL62" s="975"/>
      <c r="FOM62" s="975"/>
      <c r="FON62" s="975"/>
      <c r="FOO62" s="975"/>
      <c r="FOP62" s="975"/>
      <c r="FOQ62" s="975"/>
      <c r="FOR62" s="975"/>
      <c r="FOS62" s="975"/>
      <c r="FOT62" s="975"/>
      <c r="FOU62" s="975"/>
      <c r="FOV62" s="975"/>
      <c r="FOW62" s="975"/>
      <c r="FOX62" s="975"/>
      <c r="FOY62" s="975"/>
      <c r="FOZ62" s="975"/>
      <c r="FPA62" s="975"/>
      <c r="FPB62" s="975"/>
      <c r="FPC62" s="975"/>
      <c r="FPD62" s="975"/>
      <c r="FPE62" s="975"/>
      <c r="FPF62" s="975"/>
      <c r="FPG62" s="975"/>
      <c r="FPH62" s="975"/>
      <c r="FPI62" s="975"/>
      <c r="FPJ62" s="975"/>
      <c r="FPK62" s="975"/>
      <c r="FPL62" s="975"/>
      <c r="FPM62" s="975"/>
      <c r="FPN62" s="975"/>
      <c r="FPO62" s="975"/>
      <c r="FPP62" s="975"/>
      <c r="FPQ62" s="975"/>
      <c r="FPR62" s="975"/>
      <c r="FPS62" s="975"/>
      <c r="FPT62" s="975"/>
      <c r="FPU62" s="975"/>
      <c r="FPV62" s="975"/>
      <c r="FPW62" s="975"/>
      <c r="FPX62" s="975"/>
      <c r="FPY62" s="975"/>
      <c r="FPZ62" s="975"/>
      <c r="FQA62" s="975"/>
      <c r="FQB62" s="975"/>
      <c r="FQC62" s="975"/>
      <c r="FQD62" s="975"/>
      <c r="FQE62" s="975"/>
      <c r="FQF62" s="975"/>
      <c r="FQG62" s="975"/>
      <c r="FQH62" s="975"/>
      <c r="FQI62" s="975"/>
      <c r="FQJ62" s="975"/>
      <c r="FQK62" s="975"/>
      <c r="FQL62" s="975"/>
      <c r="FQM62" s="975"/>
      <c r="FQN62" s="975"/>
      <c r="FQO62" s="975"/>
      <c r="FQP62" s="975"/>
      <c r="FQQ62" s="975"/>
      <c r="FQR62" s="975"/>
      <c r="FQS62" s="975"/>
      <c r="FQT62" s="975"/>
      <c r="FQU62" s="975"/>
      <c r="FQV62" s="975"/>
      <c r="FQW62" s="975"/>
      <c r="FQX62" s="975"/>
      <c r="FQY62" s="975"/>
      <c r="FQZ62" s="975"/>
      <c r="FRA62" s="975"/>
      <c r="FRB62" s="975"/>
      <c r="FRC62" s="975"/>
      <c r="FRD62" s="975"/>
      <c r="FRE62" s="975"/>
      <c r="FRF62" s="975"/>
      <c r="FRG62" s="975"/>
      <c r="FRH62" s="975"/>
      <c r="FRI62" s="975"/>
      <c r="FRJ62" s="975"/>
      <c r="FRK62" s="975"/>
      <c r="FRL62" s="975"/>
      <c r="FRM62" s="975"/>
      <c r="FRN62" s="975"/>
      <c r="FRO62" s="975"/>
      <c r="FRP62" s="975"/>
      <c r="FRQ62" s="975"/>
      <c r="FRR62" s="975"/>
      <c r="FRS62" s="975"/>
      <c r="FRT62" s="975"/>
      <c r="FRU62" s="975"/>
      <c r="FRV62" s="975"/>
      <c r="FRW62" s="975"/>
      <c r="FRX62" s="975"/>
      <c r="FRY62" s="975"/>
      <c r="FRZ62" s="975"/>
      <c r="FSA62" s="975"/>
      <c r="FSB62" s="975"/>
      <c r="FSC62" s="975"/>
      <c r="FSD62" s="975"/>
      <c r="FSE62" s="975"/>
      <c r="FSF62" s="975"/>
      <c r="FSG62" s="975"/>
      <c r="FSH62" s="975"/>
      <c r="FSI62" s="975"/>
      <c r="FSJ62" s="975"/>
      <c r="FSK62" s="975"/>
      <c r="FSL62" s="975"/>
      <c r="FSM62" s="975"/>
      <c r="FSN62" s="975"/>
      <c r="FSO62" s="975"/>
      <c r="FSP62" s="975"/>
      <c r="FSQ62" s="975"/>
      <c r="FSR62" s="975"/>
      <c r="FSS62" s="975"/>
      <c r="FST62" s="975"/>
      <c r="FSU62" s="975"/>
      <c r="FSV62" s="975"/>
      <c r="FSW62" s="975"/>
      <c r="FSX62" s="975"/>
      <c r="FSY62" s="975"/>
      <c r="FSZ62" s="975"/>
      <c r="FTA62" s="975"/>
      <c r="FTB62" s="975"/>
      <c r="FTC62" s="975"/>
      <c r="FTD62" s="975"/>
      <c r="FTE62" s="975"/>
      <c r="FTF62" s="975"/>
      <c r="FTG62" s="975"/>
      <c r="FTH62" s="975"/>
      <c r="FTI62" s="975"/>
      <c r="FTJ62" s="975"/>
      <c r="FTK62" s="975"/>
      <c r="FTL62" s="975"/>
      <c r="FTM62" s="975"/>
      <c r="FTN62" s="975"/>
      <c r="FTO62" s="975"/>
      <c r="FTP62" s="975"/>
      <c r="FTQ62" s="975"/>
      <c r="FTR62" s="975"/>
      <c r="FTS62" s="975"/>
      <c r="FTT62" s="975"/>
      <c r="FTU62" s="975"/>
      <c r="FTV62" s="975"/>
      <c r="FTW62" s="975"/>
      <c r="FTX62" s="975"/>
      <c r="FTY62" s="975"/>
      <c r="FTZ62" s="975"/>
      <c r="FUA62" s="975"/>
      <c r="FUB62" s="975"/>
      <c r="FUC62" s="975"/>
      <c r="FUD62" s="975"/>
      <c r="FUE62" s="975"/>
      <c r="FUF62" s="975"/>
      <c r="FUG62" s="975"/>
      <c r="FUH62" s="975"/>
      <c r="FUI62" s="975"/>
      <c r="FUJ62" s="975"/>
      <c r="FUK62" s="975"/>
      <c r="FUL62" s="975"/>
      <c r="FUM62" s="975"/>
      <c r="FUN62" s="975"/>
      <c r="FUO62" s="975"/>
      <c r="FUP62" s="975"/>
      <c r="FUQ62" s="975"/>
      <c r="FUR62" s="975"/>
      <c r="FUS62" s="975"/>
      <c r="FUT62" s="975"/>
      <c r="FUU62" s="975"/>
      <c r="FUV62" s="975"/>
      <c r="FUW62" s="975"/>
      <c r="FUX62" s="975"/>
      <c r="FUY62" s="975"/>
      <c r="FUZ62" s="975"/>
      <c r="FVA62" s="975"/>
      <c r="FVB62" s="975"/>
      <c r="FVC62" s="975"/>
      <c r="FVD62" s="975"/>
      <c r="FVE62" s="975"/>
      <c r="FVF62" s="975"/>
      <c r="FVG62" s="975"/>
      <c r="FVH62" s="975"/>
      <c r="FVI62" s="975"/>
      <c r="FVJ62" s="975"/>
      <c r="FVK62" s="975"/>
      <c r="FVL62" s="975"/>
      <c r="FVM62" s="975"/>
      <c r="FVN62" s="975"/>
      <c r="FVO62" s="975"/>
      <c r="FVP62" s="975"/>
      <c r="FVQ62" s="975"/>
      <c r="FVR62" s="975"/>
      <c r="FVS62" s="975"/>
      <c r="FVT62" s="975"/>
      <c r="FVU62" s="975"/>
      <c r="FVV62" s="975"/>
      <c r="FVW62" s="975"/>
      <c r="FVX62" s="975"/>
      <c r="FVY62" s="975"/>
      <c r="FVZ62" s="975"/>
      <c r="FWA62" s="975"/>
      <c r="FWB62" s="975"/>
      <c r="FWC62" s="975"/>
      <c r="FWD62" s="975"/>
      <c r="FWE62" s="975"/>
      <c r="FWF62" s="975"/>
      <c r="FWG62" s="975"/>
      <c r="FWH62" s="975"/>
      <c r="FWI62" s="975"/>
      <c r="FWJ62" s="975"/>
      <c r="FWK62" s="975"/>
      <c r="FWL62" s="975"/>
      <c r="FWM62" s="975"/>
      <c r="FWN62" s="975"/>
      <c r="FWO62" s="975"/>
      <c r="FWP62" s="975"/>
      <c r="FWQ62" s="975"/>
      <c r="FWR62" s="975"/>
      <c r="FWS62" s="975"/>
      <c r="FWT62" s="975"/>
      <c r="FWU62" s="975"/>
      <c r="FWV62" s="975"/>
      <c r="FWW62" s="975"/>
      <c r="FWX62" s="975"/>
      <c r="FWY62" s="975"/>
      <c r="FWZ62" s="975"/>
      <c r="FXA62" s="975"/>
      <c r="FXB62" s="975"/>
      <c r="FXC62" s="975"/>
      <c r="FXD62" s="975"/>
      <c r="FXE62" s="975"/>
      <c r="FXF62" s="975"/>
      <c r="FXG62" s="975"/>
      <c r="FXH62" s="975"/>
      <c r="FXI62" s="975"/>
      <c r="FXJ62" s="975"/>
      <c r="FXK62" s="975"/>
      <c r="FXL62" s="975"/>
      <c r="FXM62" s="975"/>
      <c r="FXN62" s="975"/>
      <c r="FXO62" s="975"/>
      <c r="FXP62" s="975"/>
      <c r="FXQ62" s="975"/>
      <c r="FXR62" s="975"/>
      <c r="FXS62" s="975"/>
      <c r="FXT62" s="975"/>
      <c r="FXU62" s="975"/>
      <c r="FXV62" s="975"/>
      <c r="FXW62" s="975"/>
      <c r="FXX62" s="975"/>
      <c r="FXY62" s="975"/>
      <c r="FXZ62" s="975"/>
      <c r="FYA62" s="975"/>
      <c r="FYB62" s="975"/>
      <c r="FYC62" s="975"/>
      <c r="FYD62" s="975"/>
      <c r="FYE62" s="975"/>
      <c r="FYF62" s="975"/>
      <c r="FYG62" s="975"/>
      <c r="FYH62" s="975"/>
      <c r="FYI62" s="975"/>
      <c r="FYJ62" s="975"/>
      <c r="FYK62" s="975"/>
      <c r="FYL62" s="975"/>
      <c r="FYM62" s="975"/>
      <c r="FYN62" s="975"/>
      <c r="FYO62" s="975"/>
      <c r="FYP62" s="975"/>
      <c r="FYQ62" s="975"/>
      <c r="FYR62" s="975"/>
      <c r="FYS62" s="975"/>
      <c r="FYT62" s="975"/>
      <c r="FYU62" s="975"/>
      <c r="FYV62" s="975"/>
      <c r="FYW62" s="975"/>
      <c r="FYX62" s="975"/>
      <c r="FYY62" s="975"/>
      <c r="FYZ62" s="975"/>
      <c r="FZA62" s="975"/>
      <c r="FZB62" s="975"/>
      <c r="FZC62" s="975"/>
      <c r="FZD62" s="975"/>
      <c r="FZE62" s="975"/>
      <c r="FZF62" s="975"/>
      <c r="FZG62" s="975"/>
      <c r="FZH62" s="975"/>
      <c r="FZI62" s="975"/>
      <c r="FZJ62" s="975"/>
      <c r="FZK62" s="975"/>
      <c r="FZL62" s="975"/>
      <c r="FZM62" s="975"/>
      <c r="FZN62" s="975"/>
      <c r="FZO62" s="975"/>
      <c r="FZP62" s="975"/>
      <c r="FZQ62" s="975"/>
      <c r="FZR62" s="975"/>
      <c r="FZS62" s="975"/>
      <c r="FZT62" s="975"/>
      <c r="FZU62" s="975"/>
      <c r="FZV62" s="975"/>
      <c r="FZW62" s="975"/>
      <c r="FZX62" s="975"/>
      <c r="FZY62" s="975"/>
      <c r="FZZ62" s="975"/>
      <c r="GAA62" s="975"/>
      <c r="GAB62" s="975"/>
      <c r="GAC62" s="975"/>
      <c r="GAD62" s="975"/>
      <c r="GAE62" s="975"/>
      <c r="GAF62" s="975"/>
      <c r="GAG62" s="975"/>
      <c r="GAH62" s="975"/>
      <c r="GAI62" s="975"/>
      <c r="GAJ62" s="975"/>
      <c r="GAK62" s="975"/>
      <c r="GAL62" s="975"/>
      <c r="GAM62" s="975"/>
      <c r="GAN62" s="975"/>
      <c r="GAO62" s="975"/>
      <c r="GAP62" s="975"/>
      <c r="GAQ62" s="975"/>
      <c r="GAR62" s="975"/>
      <c r="GAS62" s="975"/>
      <c r="GAT62" s="975"/>
      <c r="GAU62" s="975"/>
      <c r="GAV62" s="975"/>
      <c r="GAW62" s="975"/>
      <c r="GAX62" s="975"/>
      <c r="GAY62" s="975"/>
      <c r="GAZ62" s="975"/>
      <c r="GBA62" s="975"/>
      <c r="GBB62" s="975"/>
      <c r="GBC62" s="975"/>
      <c r="GBD62" s="975"/>
      <c r="GBE62" s="975"/>
      <c r="GBF62" s="975"/>
      <c r="GBG62" s="975"/>
      <c r="GBH62" s="975"/>
      <c r="GBI62" s="975"/>
      <c r="GBJ62" s="975"/>
      <c r="GBK62" s="975"/>
      <c r="GBL62" s="975"/>
      <c r="GBM62" s="975"/>
      <c r="GBN62" s="975"/>
      <c r="GBO62" s="975"/>
      <c r="GBP62" s="975"/>
      <c r="GBQ62" s="975"/>
      <c r="GBR62" s="975"/>
      <c r="GBS62" s="975"/>
      <c r="GBT62" s="975"/>
      <c r="GBU62" s="975"/>
      <c r="GBV62" s="975"/>
      <c r="GBW62" s="975"/>
      <c r="GBX62" s="975"/>
      <c r="GBY62" s="975"/>
      <c r="GBZ62" s="975"/>
      <c r="GCA62" s="975"/>
      <c r="GCB62" s="975"/>
      <c r="GCC62" s="975"/>
      <c r="GCD62" s="975"/>
      <c r="GCE62" s="975"/>
      <c r="GCF62" s="975"/>
      <c r="GCG62" s="975"/>
      <c r="GCH62" s="975"/>
      <c r="GCI62" s="975"/>
      <c r="GCJ62" s="975"/>
      <c r="GCK62" s="975"/>
      <c r="GCL62" s="975"/>
      <c r="GCM62" s="975"/>
      <c r="GCN62" s="975"/>
      <c r="GCO62" s="975"/>
      <c r="GCP62" s="975"/>
      <c r="GCQ62" s="975"/>
      <c r="GCR62" s="975"/>
      <c r="GCS62" s="975"/>
      <c r="GCT62" s="975"/>
      <c r="GCU62" s="975"/>
      <c r="GCV62" s="975"/>
      <c r="GCW62" s="975"/>
      <c r="GCX62" s="975"/>
      <c r="GCY62" s="975"/>
      <c r="GCZ62" s="975"/>
      <c r="GDA62" s="975"/>
      <c r="GDB62" s="975"/>
      <c r="GDC62" s="975"/>
      <c r="GDD62" s="975"/>
      <c r="GDE62" s="975"/>
      <c r="GDF62" s="975"/>
      <c r="GDG62" s="975"/>
      <c r="GDH62" s="975"/>
      <c r="GDI62" s="975"/>
      <c r="GDJ62" s="975"/>
      <c r="GDK62" s="975"/>
      <c r="GDL62" s="975"/>
      <c r="GDM62" s="975"/>
      <c r="GDN62" s="975"/>
      <c r="GDO62" s="975"/>
      <c r="GDP62" s="975"/>
      <c r="GDQ62" s="975"/>
      <c r="GDR62" s="975"/>
      <c r="GDS62" s="975"/>
      <c r="GDT62" s="975"/>
      <c r="GDU62" s="975"/>
      <c r="GDV62" s="975"/>
      <c r="GDW62" s="975"/>
      <c r="GDX62" s="975"/>
      <c r="GDY62" s="975"/>
      <c r="GDZ62" s="975"/>
      <c r="GEA62" s="975"/>
      <c r="GEB62" s="975"/>
      <c r="GEC62" s="975"/>
      <c r="GED62" s="975"/>
      <c r="GEE62" s="975"/>
      <c r="GEF62" s="975"/>
      <c r="GEG62" s="975"/>
      <c r="GEH62" s="975"/>
      <c r="GEI62" s="975"/>
      <c r="GEJ62" s="975"/>
      <c r="GEK62" s="975"/>
      <c r="GEL62" s="975"/>
      <c r="GEM62" s="975"/>
      <c r="GEN62" s="975"/>
      <c r="GEO62" s="975"/>
      <c r="GEP62" s="975"/>
      <c r="GEQ62" s="975"/>
      <c r="GER62" s="975"/>
      <c r="GES62" s="975"/>
      <c r="GET62" s="975"/>
      <c r="GEU62" s="975"/>
      <c r="GEV62" s="975"/>
      <c r="GEW62" s="975"/>
      <c r="GEX62" s="975"/>
      <c r="GEY62" s="975"/>
      <c r="GEZ62" s="975"/>
      <c r="GFA62" s="975"/>
      <c r="GFB62" s="975"/>
      <c r="GFC62" s="975"/>
      <c r="GFD62" s="975"/>
      <c r="GFE62" s="975"/>
      <c r="GFF62" s="975"/>
      <c r="GFG62" s="975"/>
      <c r="GFH62" s="975"/>
      <c r="GFI62" s="975"/>
      <c r="GFJ62" s="975"/>
      <c r="GFK62" s="975"/>
      <c r="GFL62" s="975"/>
      <c r="GFM62" s="975"/>
      <c r="GFN62" s="975"/>
      <c r="GFO62" s="975"/>
      <c r="GFP62" s="975"/>
      <c r="GFQ62" s="975"/>
      <c r="GFR62" s="975"/>
      <c r="GFS62" s="975"/>
      <c r="GFT62" s="975"/>
      <c r="GFU62" s="975"/>
      <c r="GFV62" s="975"/>
      <c r="GFW62" s="975"/>
      <c r="GFX62" s="975"/>
      <c r="GFY62" s="975"/>
      <c r="GFZ62" s="975"/>
      <c r="GGA62" s="975"/>
      <c r="GGB62" s="975"/>
      <c r="GGC62" s="975"/>
      <c r="GGD62" s="975"/>
      <c r="GGE62" s="975"/>
      <c r="GGF62" s="975"/>
      <c r="GGG62" s="975"/>
      <c r="GGH62" s="975"/>
      <c r="GGI62" s="975"/>
      <c r="GGJ62" s="975"/>
      <c r="GGK62" s="975"/>
      <c r="GGL62" s="975"/>
      <c r="GGM62" s="975"/>
      <c r="GGN62" s="975"/>
      <c r="GGO62" s="975"/>
      <c r="GGP62" s="975"/>
      <c r="GGQ62" s="975"/>
      <c r="GGR62" s="975"/>
      <c r="GGS62" s="975"/>
      <c r="GGT62" s="975"/>
      <c r="GGU62" s="975"/>
      <c r="GGV62" s="975"/>
      <c r="GGW62" s="975"/>
      <c r="GGX62" s="975"/>
      <c r="GGY62" s="975"/>
      <c r="GGZ62" s="975"/>
      <c r="GHA62" s="975"/>
      <c r="GHB62" s="975"/>
      <c r="GHC62" s="975"/>
      <c r="GHD62" s="975"/>
      <c r="GHE62" s="975"/>
      <c r="GHF62" s="975"/>
      <c r="GHG62" s="975"/>
      <c r="GHH62" s="975"/>
      <c r="GHI62" s="975"/>
      <c r="GHJ62" s="975"/>
      <c r="GHK62" s="975"/>
      <c r="GHL62" s="975"/>
      <c r="GHM62" s="975"/>
      <c r="GHN62" s="975"/>
      <c r="GHO62" s="975"/>
      <c r="GHP62" s="975"/>
      <c r="GHQ62" s="975"/>
      <c r="GHR62" s="975"/>
      <c r="GHS62" s="975"/>
      <c r="GHT62" s="975"/>
      <c r="GHU62" s="975"/>
      <c r="GHV62" s="975"/>
      <c r="GHW62" s="975"/>
      <c r="GHX62" s="975"/>
      <c r="GHY62" s="975"/>
      <c r="GHZ62" s="975"/>
      <c r="GIA62" s="975"/>
      <c r="GIB62" s="975"/>
      <c r="GIC62" s="975"/>
      <c r="GID62" s="975"/>
      <c r="GIE62" s="975"/>
      <c r="GIF62" s="975"/>
      <c r="GIG62" s="975"/>
      <c r="GIH62" s="975"/>
      <c r="GII62" s="975"/>
      <c r="GIJ62" s="975"/>
      <c r="GIK62" s="975"/>
      <c r="GIL62" s="975"/>
      <c r="GIM62" s="975"/>
      <c r="GIN62" s="975"/>
      <c r="GIO62" s="975"/>
      <c r="GIP62" s="975"/>
      <c r="GIQ62" s="975"/>
      <c r="GIR62" s="975"/>
      <c r="GIS62" s="975"/>
      <c r="GIT62" s="975"/>
      <c r="GIU62" s="975"/>
      <c r="GIV62" s="975"/>
      <c r="GIW62" s="975"/>
      <c r="GIX62" s="975"/>
      <c r="GIY62" s="975"/>
      <c r="GIZ62" s="975"/>
      <c r="GJA62" s="975"/>
      <c r="GJB62" s="975"/>
      <c r="GJC62" s="975"/>
      <c r="GJD62" s="975"/>
      <c r="GJE62" s="975"/>
      <c r="GJF62" s="975"/>
      <c r="GJG62" s="975"/>
      <c r="GJH62" s="975"/>
      <c r="GJI62" s="975"/>
      <c r="GJJ62" s="975"/>
      <c r="GJK62" s="975"/>
      <c r="GJL62" s="975"/>
      <c r="GJM62" s="975"/>
      <c r="GJN62" s="975"/>
      <c r="GJO62" s="975"/>
      <c r="GJP62" s="975"/>
      <c r="GJQ62" s="975"/>
      <c r="GJR62" s="975"/>
      <c r="GJS62" s="975"/>
      <c r="GJT62" s="975"/>
      <c r="GJU62" s="975"/>
      <c r="GJV62" s="975"/>
      <c r="GJW62" s="975"/>
      <c r="GJX62" s="975"/>
      <c r="GJY62" s="975"/>
      <c r="GJZ62" s="975"/>
      <c r="GKA62" s="975"/>
      <c r="GKB62" s="975"/>
      <c r="GKC62" s="975"/>
      <c r="GKD62" s="975"/>
      <c r="GKE62" s="975"/>
      <c r="GKF62" s="975"/>
      <c r="GKG62" s="975"/>
      <c r="GKH62" s="975"/>
      <c r="GKI62" s="975"/>
      <c r="GKJ62" s="975"/>
      <c r="GKK62" s="975"/>
      <c r="GKL62" s="975"/>
      <c r="GKM62" s="975"/>
      <c r="GKN62" s="975"/>
      <c r="GKO62" s="975"/>
      <c r="GKP62" s="975"/>
      <c r="GKQ62" s="975"/>
      <c r="GKR62" s="975"/>
      <c r="GKS62" s="975"/>
      <c r="GKT62" s="975"/>
      <c r="GKU62" s="975"/>
      <c r="GKV62" s="975"/>
      <c r="GKW62" s="975"/>
      <c r="GKX62" s="975"/>
      <c r="GKY62" s="975"/>
      <c r="GKZ62" s="975"/>
      <c r="GLA62" s="975"/>
      <c r="GLB62" s="975"/>
      <c r="GLC62" s="975"/>
      <c r="GLD62" s="975"/>
      <c r="GLE62" s="975"/>
      <c r="GLF62" s="975"/>
      <c r="GLG62" s="975"/>
      <c r="GLH62" s="975"/>
      <c r="GLI62" s="975"/>
      <c r="GLJ62" s="975"/>
      <c r="GLK62" s="975"/>
      <c r="GLL62" s="975"/>
      <c r="GLM62" s="975"/>
      <c r="GLN62" s="975"/>
      <c r="GLO62" s="975"/>
      <c r="GLP62" s="975"/>
      <c r="GLQ62" s="975"/>
      <c r="GLR62" s="975"/>
      <c r="GLS62" s="975"/>
      <c r="GLT62" s="975"/>
      <c r="GLU62" s="975"/>
      <c r="GLV62" s="975"/>
      <c r="GLW62" s="975"/>
      <c r="GLX62" s="975"/>
      <c r="GLY62" s="975"/>
      <c r="GLZ62" s="975"/>
      <c r="GMA62" s="975"/>
      <c r="GMB62" s="975"/>
      <c r="GMC62" s="975"/>
      <c r="GMD62" s="975"/>
      <c r="GME62" s="975"/>
      <c r="GMF62" s="975"/>
      <c r="GMG62" s="975"/>
      <c r="GMH62" s="975"/>
      <c r="GMI62" s="975"/>
      <c r="GMJ62" s="975"/>
      <c r="GMK62" s="975"/>
      <c r="GML62" s="975"/>
      <c r="GMM62" s="975"/>
      <c r="GMN62" s="975"/>
      <c r="GMO62" s="975"/>
      <c r="GMP62" s="975"/>
      <c r="GMQ62" s="975"/>
      <c r="GMR62" s="975"/>
      <c r="GMS62" s="975"/>
      <c r="GMT62" s="975"/>
      <c r="GMU62" s="975"/>
      <c r="GMV62" s="975"/>
      <c r="GMW62" s="975"/>
      <c r="GMX62" s="975"/>
      <c r="GMY62" s="975"/>
      <c r="GMZ62" s="975"/>
      <c r="GNA62" s="975"/>
      <c r="GNB62" s="975"/>
      <c r="GNC62" s="975"/>
      <c r="GND62" s="975"/>
      <c r="GNE62" s="975"/>
      <c r="GNF62" s="975"/>
      <c r="GNG62" s="975"/>
      <c r="GNH62" s="975"/>
      <c r="GNI62" s="975"/>
      <c r="GNJ62" s="975"/>
      <c r="GNK62" s="975"/>
      <c r="GNL62" s="975"/>
      <c r="GNM62" s="975"/>
      <c r="GNN62" s="975"/>
      <c r="GNO62" s="975"/>
      <c r="GNP62" s="975"/>
      <c r="GNQ62" s="975"/>
      <c r="GNR62" s="975"/>
      <c r="GNS62" s="975"/>
      <c r="GNT62" s="975"/>
      <c r="GNU62" s="975"/>
      <c r="GNV62" s="975"/>
      <c r="GNW62" s="975"/>
      <c r="GNX62" s="975"/>
      <c r="GNY62" s="975"/>
      <c r="GNZ62" s="975"/>
      <c r="GOA62" s="975"/>
      <c r="GOB62" s="975"/>
      <c r="GOC62" s="975"/>
      <c r="GOD62" s="975"/>
      <c r="GOE62" s="975"/>
      <c r="GOF62" s="975"/>
      <c r="GOG62" s="975"/>
      <c r="GOH62" s="975"/>
      <c r="GOI62" s="975"/>
      <c r="GOJ62" s="975"/>
      <c r="GOK62" s="975"/>
      <c r="GOL62" s="975"/>
      <c r="GOM62" s="975"/>
      <c r="GON62" s="975"/>
      <c r="GOO62" s="975"/>
      <c r="GOP62" s="975"/>
      <c r="GOQ62" s="975"/>
      <c r="GOR62" s="975"/>
      <c r="GOS62" s="975"/>
      <c r="GOT62" s="975"/>
      <c r="GOU62" s="975"/>
      <c r="GOV62" s="975"/>
      <c r="GOW62" s="975"/>
      <c r="GOX62" s="975"/>
      <c r="GOY62" s="975"/>
      <c r="GOZ62" s="975"/>
      <c r="GPA62" s="975"/>
      <c r="GPB62" s="975"/>
      <c r="GPC62" s="975"/>
      <c r="GPD62" s="975"/>
      <c r="GPE62" s="975"/>
      <c r="GPF62" s="975"/>
      <c r="GPG62" s="975"/>
      <c r="GPH62" s="975"/>
      <c r="GPI62" s="975"/>
      <c r="GPJ62" s="975"/>
      <c r="GPK62" s="975"/>
      <c r="GPL62" s="975"/>
      <c r="GPM62" s="975"/>
      <c r="GPN62" s="975"/>
      <c r="GPO62" s="975"/>
      <c r="GPP62" s="975"/>
      <c r="GPQ62" s="975"/>
      <c r="GPR62" s="975"/>
      <c r="GPS62" s="975"/>
      <c r="GPT62" s="975"/>
      <c r="GPU62" s="975"/>
      <c r="GPV62" s="975"/>
      <c r="GPW62" s="975"/>
      <c r="GPX62" s="975"/>
      <c r="GPY62" s="975"/>
      <c r="GPZ62" s="975"/>
      <c r="GQA62" s="975"/>
      <c r="GQB62" s="975"/>
      <c r="GQC62" s="975"/>
      <c r="GQD62" s="975"/>
      <c r="GQE62" s="975"/>
      <c r="GQF62" s="975"/>
      <c r="GQG62" s="975"/>
      <c r="GQH62" s="975"/>
      <c r="GQI62" s="975"/>
      <c r="GQJ62" s="975"/>
      <c r="GQK62" s="975"/>
      <c r="GQL62" s="975"/>
      <c r="GQM62" s="975"/>
      <c r="GQN62" s="975"/>
      <c r="GQO62" s="975"/>
      <c r="GQP62" s="975"/>
      <c r="GQQ62" s="975"/>
      <c r="GQR62" s="975"/>
      <c r="GQS62" s="975"/>
      <c r="GQT62" s="975"/>
      <c r="GQU62" s="975"/>
      <c r="GQV62" s="975"/>
      <c r="GQW62" s="975"/>
      <c r="GQX62" s="975"/>
      <c r="GQY62" s="975"/>
      <c r="GQZ62" s="975"/>
      <c r="GRA62" s="975"/>
      <c r="GRB62" s="975"/>
      <c r="GRC62" s="975"/>
      <c r="GRD62" s="975"/>
      <c r="GRE62" s="975"/>
      <c r="GRF62" s="975"/>
      <c r="GRG62" s="975"/>
      <c r="GRH62" s="975"/>
      <c r="GRI62" s="975"/>
      <c r="GRJ62" s="975"/>
      <c r="GRK62" s="975"/>
      <c r="GRL62" s="975"/>
      <c r="GRM62" s="975"/>
      <c r="GRN62" s="975"/>
      <c r="GRO62" s="975"/>
      <c r="GRP62" s="975"/>
      <c r="GRQ62" s="975"/>
      <c r="GRR62" s="975"/>
      <c r="GRS62" s="975"/>
      <c r="GRT62" s="975"/>
      <c r="GRU62" s="975"/>
      <c r="GRV62" s="975"/>
      <c r="GRW62" s="975"/>
      <c r="GRX62" s="975"/>
      <c r="GRY62" s="975"/>
      <c r="GRZ62" s="975"/>
      <c r="GSA62" s="975"/>
      <c r="GSB62" s="975"/>
      <c r="GSC62" s="975"/>
      <c r="GSD62" s="975"/>
      <c r="GSE62" s="975"/>
      <c r="GSF62" s="975"/>
      <c r="GSG62" s="975"/>
      <c r="GSH62" s="975"/>
      <c r="GSI62" s="975"/>
      <c r="GSJ62" s="975"/>
      <c r="GSK62" s="975"/>
      <c r="GSL62" s="975"/>
      <c r="GSM62" s="975"/>
      <c r="GSN62" s="975"/>
      <c r="GSO62" s="975"/>
      <c r="GSP62" s="975"/>
      <c r="GSQ62" s="975"/>
      <c r="GSR62" s="975"/>
      <c r="GSS62" s="975"/>
      <c r="GST62" s="975"/>
      <c r="GSU62" s="975"/>
      <c r="GSV62" s="975"/>
      <c r="GSW62" s="975"/>
      <c r="GSX62" s="975"/>
      <c r="GSY62" s="975"/>
      <c r="GSZ62" s="975"/>
      <c r="GTA62" s="975"/>
      <c r="GTB62" s="975"/>
      <c r="GTC62" s="975"/>
      <c r="GTD62" s="975"/>
      <c r="GTE62" s="975"/>
      <c r="GTF62" s="975"/>
      <c r="GTG62" s="975"/>
      <c r="GTH62" s="975"/>
      <c r="GTI62" s="975"/>
      <c r="GTJ62" s="975"/>
      <c r="GTK62" s="975"/>
      <c r="GTL62" s="975"/>
      <c r="GTM62" s="975"/>
      <c r="GTN62" s="975"/>
      <c r="GTO62" s="975"/>
      <c r="GTP62" s="975"/>
      <c r="GTQ62" s="975"/>
      <c r="GTR62" s="975"/>
      <c r="GTS62" s="975"/>
      <c r="GTT62" s="975"/>
      <c r="GTU62" s="975"/>
      <c r="GTV62" s="975"/>
      <c r="GTW62" s="975"/>
      <c r="GTX62" s="975"/>
      <c r="GTY62" s="975"/>
      <c r="GTZ62" s="975"/>
      <c r="GUA62" s="975"/>
      <c r="GUB62" s="975"/>
      <c r="GUC62" s="975"/>
      <c r="GUD62" s="975"/>
      <c r="GUE62" s="975"/>
      <c r="GUF62" s="975"/>
      <c r="GUG62" s="975"/>
      <c r="GUH62" s="975"/>
      <c r="GUI62" s="975"/>
      <c r="GUJ62" s="975"/>
      <c r="GUK62" s="975"/>
      <c r="GUL62" s="975"/>
      <c r="GUM62" s="975"/>
      <c r="GUN62" s="975"/>
      <c r="GUO62" s="975"/>
      <c r="GUP62" s="975"/>
      <c r="GUQ62" s="975"/>
      <c r="GUR62" s="975"/>
      <c r="GUS62" s="975"/>
      <c r="GUT62" s="975"/>
      <c r="GUU62" s="975"/>
      <c r="GUV62" s="975"/>
      <c r="GUW62" s="975"/>
      <c r="GUX62" s="975"/>
      <c r="GUY62" s="975"/>
      <c r="GUZ62" s="975"/>
      <c r="GVA62" s="975"/>
      <c r="GVB62" s="975"/>
      <c r="GVC62" s="975"/>
      <c r="GVD62" s="975"/>
      <c r="GVE62" s="975"/>
      <c r="GVF62" s="975"/>
      <c r="GVG62" s="975"/>
      <c r="GVH62" s="975"/>
      <c r="GVI62" s="975"/>
      <c r="GVJ62" s="975"/>
      <c r="GVK62" s="975"/>
      <c r="GVL62" s="975"/>
      <c r="GVM62" s="975"/>
      <c r="GVN62" s="975"/>
      <c r="GVO62" s="975"/>
      <c r="GVP62" s="975"/>
      <c r="GVQ62" s="975"/>
      <c r="GVR62" s="975"/>
      <c r="GVS62" s="975"/>
      <c r="GVT62" s="975"/>
      <c r="GVU62" s="975"/>
      <c r="GVV62" s="975"/>
      <c r="GVW62" s="975"/>
      <c r="GVX62" s="975"/>
      <c r="GVY62" s="975"/>
      <c r="GVZ62" s="975"/>
      <c r="GWA62" s="975"/>
      <c r="GWB62" s="975"/>
      <c r="GWC62" s="975"/>
      <c r="GWD62" s="975"/>
      <c r="GWE62" s="975"/>
      <c r="GWF62" s="975"/>
      <c r="GWG62" s="975"/>
      <c r="GWH62" s="975"/>
      <c r="GWI62" s="975"/>
      <c r="GWJ62" s="975"/>
      <c r="GWK62" s="975"/>
      <c r="GWL62" s="975"/>
      <c r="GWM62" s="975"/>
      <c r="GWN62" s="975"/>
      <c r="GWO62" s="975"/>
      <c r="GWP62" s="975"/>
      <c r="GWQ62" s="975"/>
      <c r="GWR62" s="975"/>
      <c r="GWS62" s="975"/>
      <c r="GWT62" s="975"/>
      <c r="GWU62" s="975"/>
      <c r="GWV62" s="975"/>
      <c r="GWW62" s="975"/>
      <c r="GWX62" s="975"/>
      <c r="GWY62" s="975"/>
      <c r="GWZ62" s="975"/>
      <c r="GXA62" s="975"/>
      <c r="GXB62" s="975"/>
      <c r="GXC62" s="975"/>
      <c r="GXD62" s="975"/>
      <c r="GXE62" s="975"/>
      <c r="GXF62" s="975"/>
      <c r="GXG62" s="975"/>
      <c r="GXH62" s="975"/>
      <c r="GXI62" s="975"/>
      <c r="GXJ62" s="975"/>
      <c r="GXK62" s="975"/>
      <c r="GXL62" s="975"/>
      <c r="GXM62" s="975"/>
      <c r="GXN62" s="975"/>
      <c r="GXO62" s="975"/>
      <c r="GXP62" s="975"/>
      <c r="GXQ62" s="975"/>
      <c r="GXR62" s="975"/>
      <c r="GXS62" s="975"/>
      <c r="GXT62" s="975"/>
      <c r="GXU62" s="975"/>
      <c r="GXV62" s="975"/>
      <c r="GXW62" s="975"/>
      <c r="GXX62" s="975"/>
      <c r="GXY62" s="975"/>
      <c r="GXZ62" s="975"/>
      <c r="GYA62" s="975"/>
      <c r="GYB62" s="975"/>
      <c r="GYC62" s="975"/>
      <c r="GYD62" s="975"/>
      <c r="GYE62" s="975"/>
      <c r="GYF62" s="975"/>
      <c r="GYG62" s="975"/>
      <c r="GYH62" s="975"/>
      <c r="GYI62" s="975"/>
      <c r="GYJ62" s="975"/>
      <c r="GYK62" s="975"/>
      <c r="GYL62" s="975"/>
      <c r="GYM62" s="975"/>
      <c r="GYN62" s="975"/>
      <c r="GYO62" s="975"/>
      <c r="GYP62" s="975"/>
      <c r="GYQ62" s="975"/>
      <c r="GYR62" s="975"/>
      <c r="GYS62" s="975"/>
      <c r="GYT62" s="975"/>
      <c r="GYU62" s="975"/>
      <c r="GYV62" s="975"/>
      <c r="GYW62" s="975"/>
      <c r="GYX62" s="975"/>
      <c r="GYY62" s="975"/>
      <c r="GYZ62" s="975"/>
      <c r="GZA62" s="975"/>
      <c r="GZB62" s="975"/>
      <c r="GZC62" s="975"/>
      <c r="GZD62" s="975"/>
      <c r="GZE62" s="975"/>
      <c r="GZF62" s="975"/>
      <c r="GZG62" s="975"/>
      <c r="GZH62" s="975"/>
      <c r="GZI62" s="975"/>
      <c r="GZJ62" s="975"/>
      <c r="GZK62" s="975"/>
      <c r="GZL62" s="975"/>
      <c r="GZM62" s="975"/>
      <c r="GZN62" s="975"/>
      <c r="GZO62" s="975"/>
      <c r="GZP62" s="975"/>
      <c r="GZQ62" s="975"/>
      <c r="GZR62" s="975"/>
      <c r="GZS62" s="975"/>
      <c r="GZT62" s="975"/>
      <c r="GZU62" s="975"/>
      <c r="GZV62" s="975"/>
      <c r="GZW62" s="975"/>
      <c r="GZX62" s="975"/>
      <c r="GZY62" s="975"/>
      <c r="GZZ62" s="975"/>
      <c r="HAA62" s="975"/>
      <c r="HAB62" s="975"/>
      <c r="HAC62" s="975"/>
      <c r="HAD62" s="975"/>
      <c r="HAE62" s="975"/>
      <c r="HAF62" s="975"/>
      <c r="HAG62" s="975"/>
      <c r="HAH62" s="975"/>
      <c r="HAI62" s="975"/>
      <c r="HAJ62" s="975"/>
      <c r="HAK62" s="975"/>
      <c r="HAL62" s="975"/>
      <c r="HAM62" s="975"/>
      <c r="HAN62" s="975"/>
      <c r="HAO62" s="975"/>
      <c r="HAP62" s="975"/>
      <c r="HAQ62" s="975"/>
      <c r="HAR62" s="975"/>
      <c r="HAS62" s="975"/>
      <c r="HAT62" s="975"/>
      <c r="HAU62" s="975"/>
      <c r="HAV62" s="975"/>
      <c r="HAW62" s="975"/>
      <c r="HAX62" s="975"/>
      <c r="HAY62" s="975"/>
      <c r="HAZ62" s="975"/>
      <c r="HBA62" s="975"/>
      <c r="HBB62" s="975"/>
      <c r="HBC62" s="975"/>
      <c r="HBD62" s="975"/>
      <c r="HBE62" s="975"/>
      <c r="HBF62" s="975"/>
      <c r="HBG62" s="975"/>
      <c r="HBH62" s="975"/>
      <c r="HBI62" s="975"/>
      <c r="HBJ62" s="975"/>
      <c r="HBK62" s="975"/>
      <c r="HBL62" s="975"/>
      <c r="HBM62" s="975"/>
      <c r="HBN62" s="975"/>
      <c r="HBO62" s="975"/>
      <c r="HBP62" s="975"/>
      <c r="HBQ62" s="975"/>
      <c r="HBR62" s="975"/>
      <c r="HBS62" s="975"/>
      <c r="HBT62" s="975"/>
      <c r="HBU62" s="975"/>
      <c r="HBV62" s="975"/>
      <c r="HBW62" s="975"/>
      <c r="HBX62" s="975"/>
      <c r="HBY62" s="975"/>
      <c r="HBZ62" s="975"/>
      <c r="HCA62" s="975"/>
      <c r="HCB62" s="975"/>
      <c r="HCC62" s="975"/>
      <c r="HCD62" s="975"/>
      <c r="HCE62" s="975"/>
      <c r="HCF62" s="975"/>
      <c r="HCG62" s="975"/>
      <c r="HCH62" s="975"/>
      <c r="HCI62" s="975"/>
      <c r="HCJ62" s="975"/>
      <c r="HCK62" s="975"/>
      <c r="HCL62" s="975"/>
      <c r="HCM62" s="975"/>
      <c r="HCN62" s="975"/>
      <c r="HCO62" s="975"/>
      <c r="HCP62" s="975"/>
      <c r="HCQ62" s="975"/>
      <c r="HCR62" s="975"/>
      <c r="HCS62" s="975"/>
      <c r="HCT62" s="975"/>
      <c r="HCU62" s="975"/>
      <c r="HCV62" s="975"/>
      <c r="HCW62" s="975"/>
      <c r="HCX62" s="975"/>
      <c r="HCY62" s="975"/>
      <c r="HCZ62" s="975"/>
      <c r="HDA62" s="975"/>
      <c r="HDB62" s="975"/>
      <c r="HDC62" s="975"/>
      <c r="HDD62" s="975"/>
      <c r="HDE62" s="975"/>
      <c r="HDF62" s="975"/>
      <c r="HDG62" s="975"/>
      <c r="HDH62" s="975"/>
      <c r="HDI62" s="975"/>
      <c r="HDJ62" s="975"/>
      <c r="HDK62" s="975"/>
      <c r="HDL62" s="975"/>
      <c r="HDM62" s="975"/>
      <c r="HDN62" s="975"/>
      <c r="HDO62" s="975"/>
      <c r="HDP62" s="975"/>
      <c r="HDQ62" s="975"/>
      <c r="HDR62" s="975"/>
      <c r="HDS62" s="975"/>
      <c r="HDT62" s="975"/>
      <c r="HDU62" s="975"/>
      <c r="HDV62" s="975"/>
      <c r="HDW62" s="975"/>
      <c r="HDX62" s="975"/>
      <c r="HDY62" s="975"/>
      <c r="HDZ62" s="975"/>
      <c r="HEA62" s="975"/>
      <c r="HEB62" s="975"/>
      <c r="HEC62" s="975"/>
      <c r="HED62" s="975"/>
      <c r="HEE62" s="975"/>
      <c r="HEF62" s="975"/>
      <c r="HEG62" s="975"/>
      <c r="HEH62" s="975"/>
      <c r="HEI62" s="975"/>
      <c r="HEJ62" s="975"/>
      <c r="HEK62" s="975"/>
      <c r="HEL62" s="975"/>
      <c r="HEM62" s="975"/>
      <c r="HEN62" s="975"/>
      <c r="HEO62" s="975"/>
      <c r="HEP62" s="975"/>
      <c r="HEQ62" s="975"/>
      <c r="HER62" s="975"/>
      <c r="HES62" s="975"/>
      <c r="HET62" s="975"/>
      <c r="HEU62" s="975"/>
      <c r="HEV62" s="975"/>
      <c r="HEW62" s="975"/>
      <c r="HEX62" s="975"/>
      <c r="HEY62" s="975"/>
      <c r="HEZ62" s="975"/>
      <c r="HFA62" s="975"/>
      <c r="HFB62" s="975"/>
      <c r="HFC62" s="975"/>
      <c r="HFD62" s="975"/>
      <c r="HFE62" s="975"/>
      <c r="HFF62" s="975"/>
      <c r="HFG62" s="975"/>
      <c r="HFH62" s="975"/>
      <c r="HFI62" s="975"/>
      <c r="HFJ62" s="975"/>
      <c r="HFK62" s="975"/>
      <c r="HFL62" s="975"/>
      <c r="HFM62" s="975"/>
      <c r="HFN62" s="975"/>
      <c r="HFO62" s="975"/>
      <c r="HFP62" s="975"/>
      <c r="HFQ62" s="975"/>
      <c r="HFR62" s="975"/>
      <c r="HFS62" s="975"/>
      <c r="HFT62" s="975"/>
      <c r="HFU62" s="975"/>
      <c r="HFV62" s="975"/>
      <c r="HFW62" s="975"/>
      <c r="HFX62" s="975"/>
      <c r="HFY62" s="975"/>
      <c r="HFZ62" s="975"/>
      <c r="HGA62" s="975"/>
      <c r="HGB62" s="975"/>
      <c r="HGC62" s="975"/>
      <c r="HGD62" s="975"/>
      <c r="HGE62" s="975"/>
      <c r="HGF62" s="975"/>
      <c r="HGG62" s="975"/>
      <c r="HGH62" s="975"/>
      <c r="HGI62" s="975"/>
      <c r="HGJ62" s="975"/>
      <c r="HGK62" s="975"/>
      <c r="HGL62" s="975"/>
      <c r="HGM62" s="975"/>
      <c r="HGN62" s="975"/>
      <c r="HGO62" s="975"/>
      <c r="HGP62" s="975"/>
      <c r="HGQ62" s="975"/>
      <c r="HGR62" s="975"/>
      <c r="HGS62" s="975"/>
      <c r="HGT62" s="975"/>
      <c r="HGU62" s="975"/>
      <c r="HGV62" s="975"/>
      <c r="HGW62" s="975"/>
      <c r="HGX62" s="975"/>
      <c r="HGY62" s="975"/>
      <c r="HGZ62" s="975"/>
      <c r="HHA62" s="975"/>
      <c r="HHB62" s="975"/>
      <c r="HHC62" s="975"/>
      <c r="HHD62" s="975"/>
      <c r="HHE62" s="975"/>
      <c r="HHF62" s="975"/>
      <c r="HHG62" s="975"/>
      <c r="HHH62" s="975"/>
      <c r="HHI62" s="975"/>
      <c r="HHJ62" s="975"/>
      <c r="HHK62" s="975"/>
      <c r="HHL62" s="975"/>
      <c r="HHM62" s="975"/>
      <c r="HHN62" s="975"/>
      <c r="HHO62" s="975"/>
      <c r="HHP62" s="975"/>
      <c r="HHQ62" s="975"/>
      <c r="HHR62" s="975"/>
      <c r="HHS62" s="975"/>
      <c r="HHT62" s="975"/>
      <c r="HHU62" s="975"/>
      <c r="HHV62" s="975"/>
      <c r="HHW62" s="975"/>
      <c r="HHX62" s="975"/>
      <c r="HHY62" s="975"/>
      <c r="HHZ62" s="975"/>
      <c r="HIA62" s="975"/>
      <c r="HIB62" s="975"/>
      <c r="HIC62" s="975"/>
      <c r="HID62" s="975"/>
      <c r="HIE62" s="975"/>
      <c r="HIF62" s="975"/>
      <c r="HIG62" s="975"/>
      <c r="HIH62" s="975"/>
      <c r="HII62" s="975"/>
      <c r="HIJ62" s="975"/>
      <c r="HIK62" s="975"/>
      <c r="HIL62" s="975"/>
      <c r="HIM62" s="975"/>
      <c r="HIN62" s="975"/>
      <c r="HIO62" s="975"/>
      <c r="HIP62" s="975"/>
      <c r="HIQ62" s="975"/>
      <c r="HIR62" s="975"/>
      <c r="HIS62" s="975"/>
      <c r="HIT62" s="975"/>
      <c r="HIU62" s="975"/>
      <c r="HIV62" s="975"/>
      <c r="HIW62" s="975"/>
      <c r="HIX62" s="975"/>
      <c r="HIY62" s="975"/>
      <c r="HIZ62" s="975"/>
      <c r="HJA62" s="975"/>
      <c r="HJB62" s="975"/>
      <c r="HJC62" s="975"/>
      <c r="HJD62" s="975"/>
      <c r="HJE62" s="975"/>
      <c r="HJF62" s="975"/>
      <c r="HJG62" s="975"/>
      <c r="HJH62" s="975"/>
      <c r="HJI62" s="975"/>
      <c r="HJJ62" s="975"/>
      <c r="HJK62" s="975"/>
      <c r="HJL62" s="975"/>
      <c r="HJM62" s="975"/>
      <c r="HJN62" s="975"/>
      <c r="HJO62" s="975"/>
      <c r="HJP62" s="975"/>
      <c r="HJQ62" s="975"/>
      <c r="HJR62" s="975"/>
      <c r="HJS62" s="975"/>
      <c r="HJT62" s="975"/>
      <c r="HJU62" s="975"/>
      <c r="HJV62" s="975"/>
      <c r="HJW62" s="975"/>
      <c r="HJX62" s="975"/>
      <c r="HJY62" s="975"/>
      <c r="HJZ62" s="975"/>
      <c r="HKA62" s="975"/>
      <c r="HKB62" s="975"/>
      <c r="HKC62" s="975"/>
      <c r="HKD62" s="975"/>
      <c r="HKE62" s="975"/>
      <c r="HKF62" s="975"/>
      <c r="HKG62" s="975"/>
      <c r="HKH62" s="975"/>
      <c r="HKI62" s="975"/>
      <c r="HKJ62" s="975"/>
      <c r="HKK62" s="975"/>
      <c r="HKL62" s="975"/>
      <c r="HKM62" s="975"/>
      <c r="HKN62" s="975"/>
      <c r="HKO62" s="975"/>
      <c r="HKP62" s="975"/>
      <c r="HKQ62" s="975"/>
      <c r="HKR62" s="975"/>
      <c r="HKS62" s="975"/>
      <c r="HKT62" s="975"/>
      <c r="HKU62" s="975"/>
      <c r="HKV62" s="975"/>
      <c r="HKW62" s="975"/>
      <c r="HKX62" s="975"/>
      <c r="HKY62" s="975"/>
      <c r="HKZ62" s="975"/>
      <c r="HLA62" s="975"/>
      <c r="HLB62" s="975"/>
      <c r="HLC62" s="975"/>
      <c r="HLD62" s="975"/>
      <c r="HLE62" s="975"/>
      <c r="HLF62" s="975"/>
      <c r="HLG62" s="975"/>
      <c r="HLH62" s="975"/>
      <c r="HLI62" s="975"/>
      <c r="HLJ62" s="975"/>
      <c r="HLK62" s="975"/>
      <c r="HLL62" s="975"/>
      <c r="HLM62" s="975"/>
      <c r="HLN62" s="975"/>
      <c r="HLO62" s="975"/>
      <c r="HLP62" s="975"/>
      <c r="HLQ62" s="975"/>
      <c r="HLR62" s="975"/>
      <c r="HLS62" s="975"/>
      <c r="HLT62" s="975"/>
      <c r="HLU62" s="975"/>
      <c r="HLV62" s="975"/>
      <c r="HLW62" s="975"/>
      <c r="HLX62" s="975"/>
      <c r="HLY62" s="975"/>
      <c r="HLZ62" s="975"/>
      <c r="HMA62" s="975"/>
      <c r="HMB62" s="975"/>
      <c r="HMC62" s="975"/>
      <c r="HMD62" s="975"/>
      <c r="HME62" s="975"/>
      <c r="HMF62" s="975"/>
      <c r="HMG62" s="975"/>
      <c r="HMH62" s="975"/>
      <c r="HMI62" s="975"/>
      <c r="HMJ62" s="975"/>
      <c r="HMK62" s="975"/>
      <c r="HML62" s="975"/>
      <c r="HMM62" s="975"/>
      <c r="HMN62" s="975"/>
      <c r="HMO62" s="975"/>
      <c r="HMP62" s="975"/>
      <c r="HMQ62" s="975"/>
      <c r="HMR62" s="975"/>
      <c r="HMS62" s="975"/>
      <c r="HMT62" s="975"/>
      <c r="HMU62" s="975"/>
      <c r="HMV62" s="975"/>
      <c r="HMW62" s="975"/>
      <c r="HMX62" s="975"/>
      <c r="HMY62" s="975"/>
      <c r="HMZ62" s="975"/>
      <c r="HNA62" s="975"/>
      <c r="HNB62" s="975"/>
      <c r="HNC62" s="975"/>
      <c r="HND62" s="975"/>
      <c r="HNE62" s="975"/>
      <c r="HNF62" s="975"/>
      <c r="HNG62" s="975"/>
      <c r="HNH62" s="975"/>
      <c r="HNI62" s="975"/>
      <c r="HNJ62" s="975"/>
      <c r="HNK62" s="975"/>
      <c r="HNL62" s="975"/>
      <c r="HNM62" s="975"/>
      <c r="HNN62" s="975"/>
      <c r="HNO62" s="975"/>
      <c r="HNP62" s="975"/>
      <c r="HNQ62" s="975"/>
      <c r="HNR62" s="975"/>
      <c r="HNS62" s="975"/>
      <c r="HNT62" s="975"/>
      <c r="HNU62" s="975"/>
      <c r="HNV62" s="975"/>
      <c r="HNW62" s="975"/>
      <c r="HNX62" s="975"/>
      <c r="HNY62" s="975"/>
      <c r="HNZ62" s="975"/>
      <c r="HOA62" s="975"/>
      <c r="HOB62" s="975"/>
      <c r="HOC62" s="975"/>
      <c r="HOD62" s="975"/>
      <c r="HOE62" s="975"/>
      <c r="HOF62" s="975"/>
      <c r="HOG62" s="975"/>
      <c r="HOH62" s="975"/>
      <c r="HOI62" s="975"/>
      <c r="HOJ62" s="975"/>
      <c r="HOK62" s="975"/>
      <c r="HOL62" s="975"/>
      <c r="HOM62" s="975"/>
      <c r="HON62" s="975"/>
      <c r="HOO62" s="975"/>
      <c r="HOP62" s="975"/>
      <c r="HOQ62" s="975"/>
      <c r="HOR62" s="975"/>
      <c r="HOS62" s="975"/>
      <c r="HOT62" s="975"/>
      <c r="HOU62" s="975"/>
      <c r="HOV62" s="975"/>
      <c r="HOW62" s="975"/>
      <c r="HOX62" s="975"/>
      <c r="HOY62" s="975"/>
      <c r="HOZ62" s="975"/>
      <c r="HPA62" s="975"/>
      <c r="HPB62" s="975"/>
      <c r="HPC62" s="975"/>
      <c r="HPD62" s="975"/>
      <c r="HPE62" s="975"/>
      <c r="HPF62" s="975"/>
      <c r="HPG62" s="975"/>
      <c r="HPH62" s="975"/>
      <c r="HPI62" s="975"/>
      <c r="HPJ62" s="975"/>
      <c r="HPK62" s="975"/>
      <c r="HPL62" s="975"/>
      <c r="HPM62" s="975"/>
      <c r="HPN62" s="975"/>
      <c r="HPO62" s="975"/>
      <c r="HPP62" s="975"/>
      <c r="HPQ62" s="975"/>
      <c r="HPR62" s="975"/>
      <c r="HPS62" s="975"/>
      <c r="HPT62" s="975"/>
      <c r="HPU62" s="975"/>
      <c r="HPV62" s="975"/>
      <c r="HPW62" s="975"/>
      <c r="HPX62" s="975"/>
      <c r="HPY62" s="975"/>
      <c r="HPZ62" s="975"/>
      <c r="HQA62" s="975"/>
      <c r="HQB62" s="975"/>
      <c r="HQC62" s="975"/>
      <c r="HQD62" s="975"/>
      <c r="HQE62" s="975"/>
      <c r="HQF62" s="975"/>
      <c r="HQG62" s="975"/>
      <c r="HQH62" s="975"/>
      <c r="HQI62" s="975"/>
      <c r="HQJ62" s="975"/>
      <c r="HQK62" s="975"/>
      <c r="HQL62" s="975"/>
      <c r="HQM62" s="975"/>
      <c r="HQN62" s="975"/>
      <c r="HQO62" s="975"/>
      <c r="HQP62" s="975"/>
      <c r="HQQ62" s="975"/>
      <c r="HQR62" s="975"/>
      <c r="HQS62" s="975"/>
      <c r="HQT62" s="975"/>
      <c r="HQU62" s="975"/>
      <c r="HQV62" s="975"/>
      <c r="HQW62" s="975"/>
      <c r="HQX62" s="975"/>
      <c r="HQY62" s="975"/>
      <c r="HQZ62" s="975"/>
      <c r="HRA62" s="975"/>
      <c r="HRB62" s="975"/>
      <c r="HRC62" s="975"/>
      <c r="HRD62" s="975"/>
      <c r="HRE62" s="975"/>
      <c r="HRF62" s="975"/>
      <c r="HRG62" s="975"/>
      <c r="HRH62" s="975"/>
      <c r="HRI62" s="975"/>
      <c r="HRJ62" s="975"/>
      <c r="HRK62" s="975"/>
      <c r="HRL62" s="975"/>
      <c r="HRM62" s="975"/>
      <c r="HRN62" s="975"/>
      <c r="HRO62" s="975"/>
      <c r="HRP62" s="975"/>
      <c r="HRQ62" s="975"/>
      <c r="HRR62" s="975"/>
      <c r="HRS62" s="975"/>
      <c r="HRT62" s="975"/>
      <c r="HRU62" s="975"/>
      <c r="HRV62" s="975"/>
      <c r="HRW62" s="975"/>
      <c r="HRX62" s="975"/>
      <c r="HRY62" s="975"/>
      <c r="HRZ62" s="975"/>
      <c r="HSA62" s="975"/>
      <c r="HSB62" s="975"/>
      <c r="HSC62" s="975"/>
      <c r="HSD62" s="975"/>
      <c r="HSE62" s="975"/>
      <c r="HSF62" s="975"/>
      <c r="HSG62" s="975"/>
      <c r="HSH62" s="975"/>
      <c r="HSI62" s="975"/>
      <c r="HSJ62" s="975"/>
      <c r="HSK62" s="975"/>
      <c r="HSL62" s="975"/>
      <c r="HSM62" s="975"/>
      <c r="HSN62" s="975"/>
      <c r="HSO62" s="975"/>
      <c r="HSP62" s="975"/>
      <c r="HSQ62" s="975"/>
      <c r="HSR62" s="975"/>
      <c r="HSS62" s="975"/>
      <c r="HST62" s="975"/>
      <c r="HSU62" s="975"/>
      <c r="HSV62" s="975"/>
      <c r="HSW62" s="975"/>
      <c r="HSX62" s="975"/>
      <c r="HSY62" s="975"/>
      <c r="HSZ62" s="975"/>
      <c r="HTA62" s="975"/>
      <c r="HTB62" s="975"/>
      <c r="HTC62" s="975"/>
      <c r="HTD62" s="975"/>
      <c r="HTE62" s="975"/>
      <c r="HTF62" s="975"/>
      <c r="HTG62" s="975"/>
      <c r="HTH62" s="975"/>
      <c r="HTI62" s="975"/>
      <c r="HTJ62" s="975"/>
      <c r="HTK62" s="975"/>
      <c r="HTL62" s="975"/>
      <c r="HTM62" s="975"/>
      <c r="HTN62" s="975"/>
      <c r="HTO62" s="975"/>
      <c r="HTP62" s="975"/>
      <c r="HTQ62" s="975"/>
      <c r="HTR62" s="975"/>
      <c r="HTS62" s="975"/>
      <c r="HTT62" s="975"/>
      <c r="HTU62" s="975"/>
      <c r="HTV62" s="975"/>
      <c r="HTW62" s="975"/>
      <c r="HTX62" s="975"/>
      <c r="HTY62" s="975"/>
      <c r="HTZ62" s="975"/>
      <c r="HUA62" s="975"/>
      <c r="HUB62" s="975"/>
      <c r="HUC62" s="975"/>
      <c r="HUD62" s="975"/>
      <c r="HUE62" s="975"/>
      <c r="HUF62" s="975"/>
      <c r="HUG62" s="975"/>
      <c r="HUH62" s="975"/>
      <c r="HUI62" s="975"/>
      <c r="HUJ62" s="975"/>
      <c r="HUK62" s="975"/>
      <c r="HUL62" s="975"/>
      <c r="HUM62" s="975"/>
      <c r="HUN62" s="975"/>
      <c r="HUO62" s="975"/>
      <c r="HUP62" s="975"/>
      <c r="HUQ62" s="975"/>
      <c r="HUR62" s="975"/>
      <c r="HUS62" s="975"/>
      <c r="HUT62" s="975"/>
      <c r="HUU62" s="975"/>
      <c r="HUV62" s="975"/>
      <c r="HUW62" s="975"/>
      <c r="HUX62" s="975"/>
      <c r="HUY62" s="975"/>
      <c r="HUZ62" s="975"/>
      <c r="HVA62" s="975"/>
      <c r="HVB62" s="975"/>
      <c r="HVC62" s="975"/>
      <c r="HVD62" s="975"/>
      <c r="HVE62" s="975"/>
      <c r="HVF62" s="975"/>
      <c r="HVG62" s="975"/>
      <c r="HVH62" s="975"/>
      <c r="HVI62" s="975"/>
      <c r="HVJ62" s="975"/>
      <c r="HVK62" s="975"/>
      <c r="HVL62" s="975"/>
      <c r="HVM62" s="975"/>
      <c r="HVN62" s="975"/>
      <c r="HVO62" s="975"/>
      <c r="HVP62" s="975"/>
      <c r="HVQ62" s="975"/>
      <c r="HVR62" s="975"/>
      <c r="HVS62" s="975"/>
      <c r="HVT62" s="975"/>
      <c r="HVU62" s="975"/>
      <c r="HVV62" s="975"/>
      <c r="HVW62" s="975"/>
      <c r="HVX62" s="975"/>
      <c r="HVY62" s="975"/>
      <c r="HVZ62" s="975"/>
      <c r="HWA62" s="975"/>
      <c r="HWB62" s="975"/>
      <c r="HWC62" s="975"/>
      <c r="HWD62" s="975"/>
      <c r="HWE62" s="975"/>
      <c r="HWF62" s="975"/>
      <c r="HWG62" s="975"/>
      <c r="HWH62" s="975"/>
      <c r="HWI62" s="975"/>
      <c r="HWJ62" s="975"/>
      <c r="HWK62" s="975"/>
      <c r="HWL62" s="975"/>
      <c r="HWM62" s="975"/>
      <c r="HWN62" s="975"/>
      <c r="HWO62" s="975"/>
      <c r="HWP62" s="975"/>
      <c r="HWQ62" s="975"/>
      <c r="HWR62" s="975"/>
      <c r="HWS62" s="975"/>
      <c r="HWT62" s="975"/>
      <c r="HWU62" s="975"/>
      <c r="HWV62" s="975"/>
      <c r="HWW62" s="975"/>
      <c r="HWX62" s="975"/>
      <c r="HWY62" s="975"/>
      <c r="HWZ62" s="975"/>
      <c r="HXA62" s="975"/>
      <c r="HXB62" s="975"/>
      <c r="HXC62" s="975"/>
      <c r="HXD62" s="975"/>
      <c r="HXE62" s="975"/>
      <c r="HXF62" s="975"/>
      <c r="HXG62" s="975"/>
      <c r="HXH62" s="975"/>
      <c r="HXI62" s="975"/>
      <c r="HXJ62" s="975"/>
      <c r="HXK62" s="975"/>
      <c r="HXL62" s="975"/>
      <c r="HXM62" s="975"/>
      <c r="HXN62" s="975"/>
      <c r="HXO62" s="975"/>
      <c r="HXP62" s="975"/>
      <c r="HXQ62" s="975"/>
      <c r="HXR62" s="975"/>
      <c r="HXS62" s="975"/>
      <c r="HXT62" s="975"/>
      <c r="HXU62" s="975"/>
      <c r="HXV62" s="975"/>
      <c r="HXW62" s="975"/>
      <c r="HXX62" s="975"/>
      <c r="HXY62" s="975"/>
      <c r="HXZ62" s="975"/>
      <c r="HYA62" s="975"/>
      <c r="HYB62" s="975"/>
      <c r="HYC62" s="975"/>
      <c r="HYD62" s="975"/>
      <c r="HYE62" s="975"/>
      <c r="HYF62" s="975"/>
      <c r="HYG62" s="975"/>
      <c r="HYH62" s="975"/>
      <c r="HYI62" s="975"/>
      <c r="HYJ62" s="975"/>
      <c r="HYK62" s="975"/>
      <c r="HYL62" s="975"/>
      <c r="HYM62" s="975"/>
      <c r="HYN62" s="975"/>
      <c r="HYO62" s="975"/>
      <c r="HYP62" s="975"/>
      <c r="HYQ62" s="975"/>
      <c r="HYR62" s="975"/>
      <c r="HYS62" s="975"/>
      <c r="HYT62" s="975"/>
      <c r="HYU62" s="975"/>
      <c r="HYV62" s="975"/>
      <c r="HYW62" s="975"/>
      <c r="HYX62" s="975"/>
      <c r="HYY62" s="975"/>
      <c r="HYZ62" s="975"/>
      <c r="HZA62" s="975"/>
      <c r="HZB62" s="975"/>
      <c r="HZC62" s="975"/>
      <c r="HZD62" s="975"/>
      <c r="HZE62" s="975"/>
      <c r="HZF62" s="975"/>
      <c r="HZG62" s="975"/>
      <c r="HZH62" s="975"/>
      <c r="HZI62" s="975"/>
      <c r="HZJ62" s="975"/>
      <c r="HZK62" s="975"/>
      <c r="HZL62" s="975"/>
      <c r="HZM62" s="975"/>
      <c r="HZN62" s="975"/>
      <c r="HZO62" s="975"/>
      <c r="HZP62" s="975"/>
      <c r="HZQ62" s="975"/>
      <c r="HZR62" s="975"/>
      <c r="HZS62" s="975"/>
      <c r="HZT62" s="975"/>
      <c r="HZU62" s="975"/>
      <c r="HZV62" s="975"/>
      <c r="HZW62" s="975"/>
      <c r="HZX62" s="975"/>
      <c r="HZY62" s="975"/>
      <c r="HZZ62" s="975"/>
      <c r="IAA62" s="975"/>
      <c r="IAB62" s="975"/>
      <c r="IAC62" s="975"/>
      <c r="IAD62" s="975"/>
      <c r="IAE62" s="975"/>
      <c r="IAF62" s="975"/>
      <c r="IAG62" s="975"/>
      <c r="IAH62" s="975"/>
      <c r="IAI62" s="975"/>
      <c r="IAJ62" s="975"/>
      <c r="IAK62" s="975"/>
      <c r="IAL62" s="975"/>
      <c r="IAM62" s="975"/>
      <c r="IAN62" s="975"/>
      <c r="IAO62" s="975"/>
      <c r="IAP62" s="975"/>
      <c r="IAQ62" s="975"/>
      <c r="IAR62" s="975"/>
      <c r="IAS62" s="975"/>
      <c r="IAT62" s="975"/>
      <c r="IAU62" s="975"/>
      <c r="IAV62" s="975"/>
      <c r="IAW62" s="975"/>
      <c r="IAX62" s="975"/>
      <c r="IAY62" s="975"/>
      <c r="IAZ62" s="975"/>
      <c r="IBA62" s="975"/>
      <c r="IBB62" s="975"/>
      <c r="IBC62" s="975"/>
      <c r="IBD62" s="975"/>
      <c r="IBE62" s="975"/>
      <c r="IBF62" s="975"/>
      <c r="IBG62" s="975"/>
      <c r="IBH62" s="975"/>
      <c r="IBI62" s="975"/>
      <c r="IBJ62" s="975"/>
      <c r="IBK62" s="975"/>
      <c r="IBL62" s="975"/>
      <c r="IBM62" s="975"/>
      <c r="IBN62" s="975"/>
      <c r="IBO62" s="975"/>
      <c r="IBP62" s="975"/>
      <c r="IBQ62" s="975"/>
      <c r="IBR62" s="975"/>
      <c r="IBS62" s="975"/>
      <c r="IBT62" s="975"/>
      <c r="IBU62" s="975"/>
      <c r="IBV62" s="975"/>
      <c r="IBW62" s="975"/>
      <c r="IBX62" s="975"/>
      <c r="IBY62" s="975"/>
      <c r="IBZ62" s="975"/>
      <c r="ICA62" s="975"/>
      <c r="ICB62" s="975"/>
      <c r="ICC62" s="975"/>
      <c r="ICD62" s="975"/>
      <c r="ICE62" s="975"/>
      <c r="ICF62" s="975"/>
      <c r="ICG62" s="975"/>
      <c r="ICH62" s="975"/>
      <c r="ICI62" s="975"/>
      <c r="ICJ62" s="975"/>
      <c r="ICK62" s="975"/>
      <c r="ICL62" s="975"/>
      <c r="ICM62" s="975"/>
      <c r="ICN62" s="975"/>
      <c r="ICO62" s="975"/>
      <c r="ICP62" s="975"/>
      <c r="ICQ62" s="975"/>
      <c r="ICR62" s="975"/>
      <c r="ICS62" s="975"/>
      <c r="ICT62" s="975"/>
      <c r="ICU62" s="975"/>
      <c r="ICV62" s="975"/>
      <c r="ICW62" s="975"/>
      <c r="ICX62" s="975"/>
      <c r="ICY62" s="975"/>
      <c r="ICZ62" s="975"/>
      <c r="IDA62" s="975"/>
      <c r="IDB62" s="975"/>
      <c r="IDC62" s="975"/>
      <c r="IDD62" s="975"/>
      <c r="IDE62" s="975"/>
      <c r="IDF62" s="975"/>
      <c r="IDG62" s="975"/>
      <c r="IDH62" s="975"/>
      <c r="IDI62" s="975"/>
      <c r="IDJ62" s="975"/>
      <c r="IDK62" s="975"/>
      <c r="IDL62" s="975"/>
      <c r="IDM62" s="975"/>
      <c r="IDN62" s="975"/>
      <c r="IDO62" s="975"/>
      <c r="IDP62" s="975"/>
      <c r="IDQ62" s="975"/>
      <c r="IDR62" s="975"/>
      <c r="IDS62" s="975"/>
      <c r="IDT62" s="975"/>
      <c r="IDU62" s="975"/>
      <c r="IDV62" s="975"/>
      <c r="IDW62" s="975"/>
      <c r="IDX62" s="975"/>
      <c r="IDY62" s="975"/>
      <c r="IDZ62" s="975"/>
      <c r="IEA62" s="975"/>
      <c r="IEB62" s="975"/>
      <c r="IEC62" s="975"/>
      <c r="IED62" s="975"/>
      <c r="IEE62" s="975"/>
      <c r="IEF62" s="975"/>
      <c r="IEG62" s="975"/>
      <c r="IEH62" s="975"/>
      <c r="IEI62" s="975"/>
      <c r="IEJ62" s="975"/>
      <c r="IEK62" s="975"/>
      <c r="IEL62" s="975"/>
      <c r="IEM62" s="975"/>
      <c r="IEN62" s="975"/>
      <c r="IEO62" s="975"/>
      <c r="IEP62" s="975"/>
      <c r="IEQ62" s="975"/>
      <c r="IER62" s="975"/>
      <c r="IES62" s="975"/>
      <c r="IET62" s="975"/>
      <c r="IEU62" s="975"/>
      <c r="IEV62" s="975"/>
      <c r="IEW62" s="975"/>
      <c r="IEX62" s="975"/>
      <c r="IEY62" s="975"/>
      <c r="IEZ62" s="975"/>
      <c r="IFA62" s="975"/>
      <c r="IFB62" s="975"/>
      <c r="IFC62" s="975"/>
      <c r="IFD62" s="975"/>
      <c r="IFE62" s="975"/>
      <c r="IFF62" s="975"/>
      <c r="IFG62" s="975"/>
      <c r="IFH62" s="975"/>
      <c r="IFI62" s="975"/>
      <c r="IFJ62" s="975"/>
      <c r="IFK62" s="975"/>
      <c r="IFL62" s="975"/>
      <c r="IFM62" s="975"/>
      <c r="IFN62" s="975"/>
      <c r="IFO62" s="975"/>
      <c r="IFP62" s="975"/>
      <c r="IFQ62" s="975"/>
      <c r="IFR62" s="975"/>
      <c r="IFS62" s="975"/>
      <c r="IFT62" s="975"/>
      <c r="IFU62" s="975"/>
      <c r="IFV62" s="975"/>
      <c r="IFW62" s="975"/>
      <c r="IFX62" s="975"/>
      <c r="IFY62" s="975"/>
      <c r="IFZ62" s="975"/>
      <c r="IGA62" s="975"/>
      <c r="IGB62" s="975"/>
      <c r="IGC62" s="975"/>
      <c r="IGD62" s="975"/>
      <c r="IGE62" s="975"/>
      <c r="IGF62" s="975"/>
      <c r="IGG62" s="975"/>
      <c r="IGH62" s="975"/>
      <c r="IGI62" s="975"/>
      <c r="IGJ62" s="975"/>
      <c r="IGK62" s="975"/>
      <c r="IGL62" s="975"/>
      <c r="IGM62" s="975"/>
      <c r="IGN62" s="975"/>
      <c r="IGO62" s="975"/>
      <c r="IGP62" s="975"/>
      <c r="IGQ62" s="975"/>
      <c r="IGR62" s="975"/>
      <c r="IGS62" s="975"/>
      <c r="IGT62" s="975"/>
      <c r="IGU62" s="975"/>
      <c r="IGV62" s="975"/>
      <c r="IGW62" s="975"/>
      <c r="IGX62" s="975"/>
      <c r="IGY62" s="975"/>
      <c r="IGZ62" s="975"/>
      <c r="IHA62" s="975"/>
      <c r="IHB62" s="975"/>
      <c r="IHC62" s="975"/>
      <c r="IHD62" s="975"/>
      <c r="IHE62" s="975"/>
      <c r="IHF62" s="975"/>
      <c r="IHG62" s="975"/>
      <c r="IHH62" s="975"/>
      <c r="IHI62" s="975"/>
      <c r="IHJ62" s="975"/>
      <c r="IHK62" s="975"/>
      <c r="IHL62" s="975"/>
      <c r="IHM62" s="975"/>
      <c r="IHN62" s="975"/>
      <c r="IHO62" s="975"/>
      <c r="IHP62" s="975"/>
      <c r="IHQ62" s="975"/>
      <c r="IHR62" s="975"/>
      <c r="IHS62" s="975"/>
      <c r="IHT62" s="975"/>
      <c r="IHU62" s="975"/>
      <c r="IHV62" s="975"/>
      <c r="IHW62" s="975"/>
      <c r="IHX62" s="975"/>
      <c r="IHY62" s="975"/>
      <c r="IHZ62" s="975"/>
      <c r="IIA62" s="975"/>
      <c r="IIB62" s="975"/>
      <c r="IIC62" s="975"/>
      <c r="IID62" s="975"/>
      <c r="IIE62" s="975"/>
      <c r="IIF62" s="975"/>
      <c r="IIG62" s="975"/>
      <c r="IIH62" s="975"/>
      <c r="III62" s="975"/>
      <c r="IIJ62" s="975"/>
      <c r="IIK62" s="975"/>
      <c r="IIL62" s="975"/>
      <c r="IIM62" s="975"/>
      <c r="IIN62" s="975"/>
      <c r="IIO62" s="975"/>
      <c r="IIP62" s="975"/>
      <c r="IIQ62" s="975"/>
      <c r="IIR62" s="975"/>
      <c r="IIS62" s="975"/>
      <c r="IIT62" s="975"/>
      <c r="IIU62" s="975"/>
      <c r="IIV62" s="975"/>
      <c r="IIW62" s="975"/>
      <c r="IIX62" s="975"/>
      <c r="IIY62" s="975"/>
      <c r="IIZ62" s="975"/>
      <c r="IJA62" s="975"/>
      <c r="IJB62" s="975"/>
      <c r="IJC62" s="975"/>
      <c r="IJD62" s="975"/>
      <c r="IJE62" s="975"/>
      <c r="IJF62" s="975"/>
      <c r="IJG62" s="975"/>
      <c r="IJH62" s="975"/>
      <c r="IJI62" s="975"/>
      <c r="IJJ62" s="975"/>
      <c r="IJK62" s="975"/>
      <c r="IJL62" s="975"/>
      <c r="IJM62" s="975"/>
      <c r="IJN62" s="975"/>
      <c r="IJO62" s="975"/>
      <c r="IJP62" s="975"/>
      <c r="IJQ62" s="975"/>
      <c r="IJR62" s="975"/>
      <c r="IJS62" s="975"/>
      <c r="IJT62" s="975"/>
      <c r="IJU62" s="975"/>
      <c r="IJV62" s="975"/>
      <c r="IJW62" s="975"/>
      <c r="IJX62" s="975"/>
      <c r="IJY62" s="975"/>
      <c r="IJZ62" s="975"/>
      <c r="IKA62" s="975"/>
      <c r="IKB62" s="975"/>
      <c r="IKC62" s="975"/>
      <c r="IKD62" s="975"/>
      <c r="IKE62" s="975"/>
      <c r="IKF62" s="975"/>
      <c r="IKG62" s="975"/>
      <c r="IKH62" s="975"/>
      <c r="IKI62" s="975"/>
      <c r="IKJ62" s="975"/>
      <c r="IKK62" s="975"/>
      <c r="IKL62" s="975"/>
      <c r="IKM62" s="975"/>
      <c r="IKN62" s="975"/>
      <c r="IKO62" s="975"/>
      <c r="IKP62" s="975"/>
      <c r="IKQ62" s="975"/>
      <c r="IKR62" s="975"/>
      <c r="IKS62" s="975"/>
      <c r="IKT62" s="975"/>
      <c r="IKU62" s="975"/>
      <c r="IKV62" s="975"/>
      <c r="IKW62" s="975"/>
      <c r="IKX62" s="975"/>
      <c r="IKY62" s="975"/>
      <c r="IKZ62" s="975"/>
      <c r="ILA62" s="975"/>
      <c r="ILB62" s="975"/>
      <c r="ILC62" s="975"/>
      <c r="ILD62" s="975"/>
      <c r="ILE62" s="975"/>
      <c r="ILF62" s="975"/>
      <c r="ILG62" s="975"/>
      <c r="ILH62" s="975"/>
      <c r="ILI62" s="975"/>
      <c r="ILJ62" s="975"/>
      <c r="ILK62" s="975"/>
      <c r="ILL62" s="975"/>
      <c r="ILM62" s="975"/>
      <c r="ILN62" s="975"/>
      <c r="ILO62" s="975"/>
      <c r="ILP62" s="975"/>
      <c r="ILQ62" s="975"/>
      <c r="ILR62" s="975"/>
      <c r="ILS62" s="975"/>
      <c r="ILT62" s="975"/>
      <c r="ILU62" s="975"/>
      <c r="ILV62" s="975"/>
      <c r="ILW62" s="975"/>
      <c r="ILX62" s="975"/>
      <c r="ILY62" s="975"/>
      <c r="ILZ62" s="975"/>
      <c r="IMA62" s="975"/>
      <c r="IMB62" s="975"/>
      <c r="IMC62" s="975"/>
      <c r="IMD62" s="975"/>
      <c r="IME62" s="975"/>
      <c r="IMF62" s="975"/>
      <c r="IMG62" s="975"/>
      <c r="IMH62" s="975"/>
      <c r="IMI62" s="975"/>
      <c r="IMJ62" s="975"/>
      <c r="IMK62" s="975"/>
      <c r="IML62" s="975"/>
      <c r="IMM62" s="975"/>
      <c r="IMN62" s="975"/>
      <c r="IMO62" s="975"/>
      <c r="IMP62" s="975"/>
      <c r="IMQ62" s="975"/>
      <c r="IMR62" s="975"/>
      <c r="IMS62" s="975"/>
      <c r="IMT62" s="975"/>
      <c r="IMU62" s="975"/>
      <c r="IMV62" s="975"/>
      <c r="IMW62" s="975"/>
      <c r="IMX62" s="975"/>
      <c r="IMY62" s="975"/>
      <c r="IMZ62" s="975"/>
      <c r="INA62" s="975"/>
      <c r="INB62" s="975"/>
      <c r="INC62" s="975"/>
      <c r="IND62" s="975"/>
      <c r="INE62" s="975"/>
      <c r="INF62" s="975"/>
      <c r="ING62" s="975"/>
      <c r="INH62" s="975"/>
      <c r="INI62" s="975"/>
      <c r="INJ62" s="975"/>
      <c r="INK62" s="975"/>
      <c r="INL62" s="975"/>
      <c r="INM62" s="975"/>
      <c r="INN62" s="975"/>
      <c r="INO62" s="975"/>
      <c r="INP62" s="975"/>
      <c r="INQ62" s="975"/>
      <c r="INR62" s="975"/>
      <c r="INS62" s="975"/>
      <c r="INT62" s="975"/>
      <c r="INU62" s="975"/>
      <c r="INV62" s="975"/>
      <c r="INW62" s="975"/>
      <c r="INX62" s="975"/>
      <c r="INY62" s="975"/>
      <c r="INZ62" s="975"/>
      <c r="IOA62" s="975"/>
      <c r="IOB62" s="975"/>
      <c r="IOC62" s="975"/>
      <c r="IOD62" s="975"/>
      <c r="IOE62" s="975"/>
      <c r="IOF62" s="975"/>
      <c r="IOG62" s="975"/>
      <c r="IOH62" s="975"/>
      <c r="IOI62" s="975"/>
      <c r="IOJ62" s="975"/>
      <c r="IOK62" s="975"/>
      <c r="IOL62" s="975"/>
      <c r="IOM62" s="975"/>
      <c r="ION62" s="975"/>
      <c r="IOO62" s="975"/>
      <c r="IOP62" s="975"/>
      <c r="IOQ62" s="975"/>
      <c r="IOR62" s="975"/>
      <c r="IOS62" s="975"/>
      <c r="IOT62" s="975"/>
      <c r="IOU62" s="975"/>
      <c r="IOV62" s="975"/>
      <c r="IOW62" s="975"/>
      <c r="IOX62" s="975"/>
      <c r="IOY62" s="975"/>
      <c r="IOZ62" s="975"/>
      <c r="IPA62" s="975"/>
      <c r="IPB62" s="975"/>
      <c r="IPC62" s="975"/>
      <c r="IPD62" s="975"/>
      <c r="IPE62" s="975"/>
      <c r="IPF62" s="975"/>
      <c r="IPG62" s="975"/>
      <c r="IPH62" s="975"/>
      <c r="IPI62" s="975"/>
      <c r="IPJ62" s="975"/>
      <c r="IPK62" s="975"/>
      <c r="IPL62" s="975"/>
      <c r="IPM62" s="975"/>
      <c r="IPN62" s="975"/>
      <c r="IPO62" s="975"/>
      <c r="IPP62" s="975"/>
      <c r="IPQ62" s="975"/>
      <c r="IPR62" s="975"/>
      <c r="IPS62" s="975"/>
      <c r="IPT62" s="975"/>
      <c r="IPU62" s="975"/>
      <c r="IPV62" s="975"/>
      <c r="IPW62" s="975"/>
      <c r="IPX62" s="975"/>
      <c r="IPY62" s="975"/>
      <c r="IPZ62" s="975"/>
      <c r="IQA62" s="975"/>
      <c r="IQB62" s="975"/>
      <c r="IQC62" s="975"/>
      <c r="IQD62" s="975"/>
      <c r="IQE62" s="975"/>
      <c r="IQF62" s="975"/>
      <c r="IQG62" s="975"/>
      <c r="IQH62" s="975"/>
      <c r="IQI62" s="975"/>
      <c r="IQJ62" s="975"/>
      <c r="IQK62" s="975"/>
      <c r="IQL62" s="975"/>
      <c r="IQM62" s="975"/>
      <c r="IQN62" s="975"/>
      <c r="IQO62" s="975"/>
      <c r="IQP62" s="975"/>
      <c r="IQQ62" s="975"/>
      <c r="IQR62" s="975"/>
      <c r="IQS62" s="975"/>
      <c r="IQT62" s="975"/>
      <c r="IQU62" s="975"/>
      <c r="IQV62" s="975"/>
      <c r="IQW62" s="975"/>
      <c r="IQX62" s="975"/>
      <c r="IQY62" s="975"/>
      <c r="IQZ62" s="975"/>
      <c r="IRA62" s="975"/>
      <c r="IRB62" s="975"/>
      <c r="IRC62" s="975"/>
      <c r="IRD62" s="975"/>
      <c r="IRE62" s="975"/>
      <c r="IRF62" s="975"/>
      <c r="IRG62" s="975"/>
      <c r="IRH62" s="975"/>
      <c r="IRI62" s="975"/>
      <c r="IRJ62" s="975"/>
      <c r="IRK62" s="975"/>
      <c r="IRL62" s="975"/>
      <c r="IRM62" s="975"/>
      <c r="IRN62" s="975"/>
      <c r="IRO62" s="975"/>
      <c r="IRP62" s="975"/>
      <c r="IRQ62" s="975"/>
      <c r="IRR62" s="975"/>
      <c r="IRS62" s="975"/>
      <c r="IRT62" s="975"/>
      <c r="IRU62" s="975"/>
      <c r="IRV62" s="975"/>
      <c r="IRW62" s="975"/>
      <c r="IRX62" s="975"/>
      <c r="IRY62" s="975"/>
      <c r="IRZ62" s="975"/>
      <c r="ISA62" s="975"/>
      <c r="ISB62" s="975"/>
      <c r="ISC62" s="975"/>
      <c r="ISD62" s="975"/>
      <c r="ISE62" s="975"/>
      <c r="ISF62" s="975"/>
      <c r="ISG62" s="975"/>
      <c r="ISH62" s="975"/>
      <c r="ISI62" s="975"/>
      <c r="ISJ62" s="975"/>
      <c r="ISK62" s="975"/>
      <c r="ISL62" s="975"/>
      <c r="ISM62" s="975"/>
      <c r="ISN62" s="975"/>
      <c r="ISO62" s="975"/>
      <c r="ISP62" s="975"/>
      <c r="ISQ62" s="975"/>
      <c r="ISR62" s="975"/>
      <c r="ISS62" s="975"/>
      <c r="IST62" s="975"/>
      <c r="ISU62" s="975"/>
      <c r="ISV62" s="975"/>
      <c r="ISW62" s="975"/>
      <c r="ISX62" s="975"/>
      <c r="ISY62" s="975"/>
      <c r="ISZ62" s="975"/>
      <c r="ITA62" s="975"/>
      <c r="ITB62" s="975"/>
      <c r="ITC62" s="975"/>
      <c r="ITD62" s="975"/>
      <c r="ITE62" s="975"/>
      <c r="ITF62" s="975"/>
      <c r="ITG62" s="975"/>
      <c r="ITH62" s="975"/>
      <c r="ITI62" s="975"/>
      <c r="ITJ62" s="975"/>
      <c r="ITK62" s="975"/>
      <c r="ITL62" s="975"/>
      <c r="ITM62" s="975"/>
      <c r="ITN62" s="975"/>
      <c r="ITO62" s="975"/>
      <c r="ITP62" s="975"/>
      <c r="ITQ62" s="975"/>
      <c r="ITR62" s="975"/>
      <c r="ITS62" s="975"/>
      <c r="ITT62" s="975"/>
      <c r="ITU62" s="975"/>
      <c r="ITV62" s="975"/>
      <c r="ITW62" s="975"/>
      <c r="ITX62" s="975"/>
      <c r="ITY62" s="975"/>
      <c r="ITZ62" s="975"/>
      <c r="IUA62" s="975"/>
      <c r="IUB62" s="975"/>
      <c r="IUC62" s="975"/>
      <c r="IUD62" s="975"/>
      <c r="IUE62" s="975"/>
      <c r="IUF62" s="975"/>
      <c r="IUG62" s="975"/>
      <c r="IUH62" s="975"/>
      <c r="IUI62" s="975"/>
      <c r="IUJ62" s="975"/>
      <c r="IUK62" s="975"/>
      <c r="IUL62" s="975"/>
      <c r="IUM62" s="975"/>
      <c r="IUN62" s="975"/>
      <c r="IUO62" s="975"/>
      <c r="IUP62" s="975"/>
      <c r="IUQ62" s="975"/>
      <c r="IUR62" s="975"/>
      <c r="IUS62" s="975"/>
      <c r="IUT62" s="975"/>
      <c r="IUU62" s="975"/>
      <c r="IUV62" s="975"/>
      <c r="IUW62" s="975"/>
      <c r="IUX62" s="975"/>
      <c r="IUY62" s="975"/>
      <c r="IUZ62" s="975"/>
      <c r="IVA62" s="975"/>
      <c r="IVB62" s="975"/>
      <c r="IVC62" s="975"/>
      <c r="IVD62" s="975"/>
      <c r="IVE62" s="975"/>
      <c r="IVF62" s="975"/>
      <c r="IVG62" s="975"/>
      <c r="IVH62" s="975"/>
      <c r="IVI62" s="975"/>
      <c r="IVJ62" s="975"/>
      <c r="IVK62" s="975"/>
      <c r="IVL62" s="975"/>
      <c r="IVM62" s="975"/>
      <c r="IVN62" s="975"/>
      <c r="IVO62" s="975"/>
      <c r="IVP62" s="975"/>
      <c r="IVQ62" s="975"/>
      <c r="IVR62" s="975"/>
      <c r="IVS62" s="975"/>
      <c r="IVT62" s="975"/>
      <c r="IVU62" s="975"/>
      <c r="IVV62" s="975"/>
      <c r="IVW62" s="975"/>
      <c r="IVX62" s="975"/>
      <c r="IVY62" s="975"/>
      <c r="IVZ62" s="975"/>
      <c r="IWA62" s="975"/>
      <c r="IWB62" s="975"/>
      <c r="IWC62" s="975"/>
      <c r="IWD62" s="975"/>
      <c r="IWE62" s="975"/>
      <c r="IWF62" s="975"/>
      <c r="IWG62" s="975"/>
      <c r="IWH62" s="975"/>
      <c r="IWI62" s="975"/>
      <c r="IWJ62" s="975"/>
      <c r="IWK62" s="975"/>
      <c r="IWL62" s="975"/>
      <c r="IWM62" s="975"/>
      <c r="IWN62" s="975"/>
      <c r="IWO62" s="975"/>
      <c r="IWP62" s="975"/>
      <c r="IWQ62" s="975"/>
      <c r="IWR62" s="975"/>
      <c r="IWS62" s="975"/>
      <c r="IWT62" s="975"/>
      <c r="IWU62" s="975"/>
      <c r="IWV62" s="975"/>
      <c r="IWW62" s="975"/>
      <c r="IWX62" s="975"/>
      <c r="IWY62" s="975"/>
      <c r="IWZ62" s="975"/>
      <c r="IXA62" s="975"/>
      <c r="IXB62" s="975"/>
      <c r="IXC62" s="975"/>
      <c r="IXD62" s="975"/>
      <c r="IXE62" s="975"/>
      <c r="IXF62" s="975"/>
      <c r="IXG62" s="975"/>
      <c r="IXH62" s="975"/>
      <c r="IXI62" s="975"/>
      <c r="IXJ62" s="975"/>
      <c r="IXK62" s="975"/>
      <c r="IXL62" s="975"/>
      <c r="IXM62" s="975"/>
      <c r="IXN62" s="975"/>
      <c r="IXO62" s="975"/>
      <c r="IXP62" s="975"/>
      <c r="IXQ62" s="975"/>
      <c r="IXR62" s="975"/>
      <c r="IXS62" s="975"/>
      <c r="IXT62" s="975"/>
      <c r="IXU62" s="975"/>
      <c r="IXV62" s="975"/>
      <c r="IXW62" s="975"/>
      <c r="IXX62" s="975"/>
      <c r="IXY62" s="975"/>
      <c r="IXZ62" s="975"/>
      <c r="IYA62" s="975"/>
      <c r="IYB62" s="975"/>
      <c r="IYC62" s="975"/>
      <c r="IYD62" s="975"/>
      <c r="IYE62" s="975"/>
      <c r="IYF62" s="975"/>
      <c r="IYG62" s="975"/>
      <c r="IYH62" s="975"/>
      <c r="IYI62" s="975"/>
      <c r="IYJ62" s="975"/>
      <c r="IYK62" s="975"/>
      <c r="IYL62" s="975"/>
      <c r="IYM62" s="975"/>
      <c r="IYN62" s="975"/>
      <c r="IYO62" s="975"/>
      <c r="IYP62" s="975"/>
      <c r="IYQ62" s="975"/>
      <c r="IYR62" s="975"/>
      <c r="IYS62" s="975"/>
      <c r="IYT62" s="975"/>
      <c r="IYU62" s="975"/>
      <c r="IYV62" s="975"/>
      <c r="IYW62" s="975"/>
      <c r="IYX62" s="975"/>
      <c r="IYY62" s="975"/>
      <c r="IYZ62" s="975"/>
      <c r="IZA62" s="975"/>
      <c r="IZB62" s="975"/>
      <c r="IZC62" s="975"/>
      <c r="IZD62" s="975"/>
      <c r="IZE62" s="975"/>
      <c r="IZF62" s="975"/>
      <c r="IZG62" s="975"/>
      <c r="IZH62" s="975"/>
      <c r="IZI62" s="975"/>
      <c r="IZJ62" s="975"/>
      <c r="IZK62" s="975"/>
      <c r="IZL62" s="975"/>
      <c r="IZM62" s="975"/>
      <c r="IZN62" s="975"/>
      <c r="IZO62" s="975"/>
      <c r="IZP62" s="975"/>
      <c r="IZQ62" s="975"/>
      <c r="IZR62" s="975"/>
      <c r="IZS62" s="975"/>
      <c r="IZT62" s="975"/>
      <c r="IZU62" s="975"/>
      <c r="IZV62" s="975"/>
      <c r="IZW62" s="975"/>
      <c r="IZX62" s="975"/>
      <c r="IZY62" s="975"/>
      <c r="IZZ62" s="975"/>
      <c r="JAA62" s="975"/>
      <c r="JAB62" s="975"/>
      <c r="JAC62" s="975"/>
      <c r="JAD62" s="975"/>
      <c r="JAE62" s="975"/>
      <c r="JAF62" s="975"/>
      <c r="JAG62" s="975"/>
      <c r="JAH62" s="975"/>
      <c r="JAI62" s="975"/>
      <c r="JAJ62" s="975"/>
      <c r="JAK62" s="975"/>
      <c r="JAL62" s="975"/>
      <c r="JAM62" s="975"/>
      <c r="JAN62" s="975"/>
      <c r="JAO62" s="975"/>
      <c r="JAP62" s="975"/>
      <c r="JAQ62" s="975"/>
      <c r="JAR62" s="975"/>
      <c r="JAS62" s="975"/>
      <c r="JAT62" s="975"/>
      <c r="JAU62" s="975"/>
      <c r="JAV62" s="975"/>
      <c r="JAW62" s="975"/>
      <c r="JAX62" s="975"/>
      <c r="JAY62" s="975"/>
      <c r="JAZ62" s="975"/>
      <c r="JBA62" s="975"/>
      <c r="JBB62" s="975"/>
      <c r="JBC62" s="975"/>
      <c r="JBD62" s="975"/>
      <c r="JBE62" s="975"/>
      <c r="JBF62" s="975"/>
      <c r="JBG62" s="975"/>
      <c r="JBH62" s="975"/>
      <c r="JBI62" s="975"/>
      <c r="JBJ62" s="975"/>
      <c r="JBK62" s="975"/>
      <c r="JBL62" s="975"/>
      <c r="JBM62" s="975"/>
      <c r="JBN62" s="975"/>
      <c r="JBO62" s="975"/>
      <c r="JBP62" s="975"/>
      <c r="JBQ62" s="975"/>
      <c r="JBR62" s="975"/>
      <c r="JBS62" s="975"/>
      <c r="JBT62" s="975"/>
      <c r="JBU62" s="975"/>
      <c r="JBV62" s="975"/>
      <c r="JBW62" s="975"/>
      <c r="JBX62" s="975"/>
      <c r="JBY62" s="975"/>
      <c r="JBZ62" s="975"/>
      <c r="JCA62" s="975"/>
      <c r="JCB62" s="975"/>
      <c r="JCC62" s="975"/>
      <c r="JCD62" s="975"/>
      <c r="JCE62" s="975"/>
      <c r="JCF62" s="975"/>
      <c r="JCG62" s="975"/>
      <c r="JCH62" s="975"/>
      <c r="JCI62" s="975"/>
      <c r="JCJ62" s="975"/>
      <c r="JCK62" s="975"/>
      <c r="JCL62" s="975"/>
      <c r="JCM62" s="975"/>
      <c r="JCN62" s="975"/>
      <c r="JCO62" s="975"/>
      <c r="JCP62" s="975"/>
      <c r="JCQ62" s="975"/>
      <c r="JCR62" s="975"/>
      <c r="JCS62" s="975"/>
      <c r="JCT62" s="975"/>
      <c r="JCU62" s="975"/>
      <c r="JCV62" s="975"/>
      <c r="JCW62" s="975"/>
      <c r="JCX62" s="975"/>
      <c r="JCY62" s="975"/>
      <c r="JCZ62" s="975"/>
      <c r="JDA62" s="975"/>
      <c r="JDB62" s="975"/>
      <c r="JDC62" s="975"/>
      <c r="JDD62" s="975"/>
      <c r="JDE62" s="975"/>
      <c r="JDF62" s="975"/>
      <c r="JDG62" s="975"/>
      <c r="JDH62" s="975"/>
      <c r="JDI62" s="975"/>
      <c r="JDJ62" s="975"/>
      <c r="JDK62" s="975"/>
      <c r="JDL62" s="975"/>
      <c r="JDM62" s="975"/>
      <c r="JDN62" s="975"/>
      <c r="JDO62" s="975"/>
      <c r="JDP62" s="975"/>
      <c r="JDQ62" s="975"/>
      <c r="JDR62" s="975"/>
      <c r="JDS62" s="975"/>
      <c r="JDT62" s="975"/>
      <c r="JDU62" s="975"/>
      <c r="JDV62" s="975"/>
      <c r="JDW62" s="975"/>
      <c r="JDX62" s="975"/>
      <c r="JDY62" s="975"/>
      <c r="JDZ62" s="975"/>
      <c r="JEA62" s="975"/>
      <c r="JEB62" s="975"/>
      <c r="JEC62" s="975"/>
      <c r="JED62" s="975"/>
      <c r="JEE62" s="975"/>
      <c r="JEF62" s="975"/>
      <c r="JEG62" s="975"/>
      <c r="JEH62" s="975"/>
      <c r="JEI62" s="975"/>
      <c r="JEJ62" s="975"/>
      <c r="JEK62" s="975"/>
      <c r="JEL62" s="975"/>
      <c r="JEM62" s="975"/>
      <c r="JEN62" s="975"/>
      <c r="JEO62" s="975"/>
      <c r="JEP62" s="975"/>
      <c r="JEQ62" s="975"/>
      <c r="JER62" s="975"/>
      <c r="JES62" s="975"/>
      <c r="JET62" s="975"/>
      <c r="JEU62" s="975"/>
      <c r="JEV62" s="975"/>
      <c r="JEW62" s="975"/>
      <c r="JEX62" s="975"/>
      <c r="JEY62" s="975"/>
      <c r="JEZ62" s="975"/>
      <c r="JFA62" s="975"/>
      <c r="JFB62" s="975"/>
      <c r="JFC62" s="975"/>
      <c r="JFD62" s="975"/>
      <c r="JFE62" s="975"/>
      <c r="JFF62" s="975"/>
      <c r="JFG62" s="975"/>
      <c r="JFH62" s="975"/>
      <c r="JFI62" s="975"/>
      <c r="JFJ62" s="975"/>
      <c r="JFK62" s="975"/>
      <c r="JFL62" s="975"/>
      <c r="JFM62" s="975"/>
      <c r="JFN62" s="975"/>
      <c r="JFO62" s="975"/>
      <c r="JFP62" s="975"/>
      <c r="JFQ62" s="975"/>
      <c r="JFR62" s="975"/>
      <c r="JFS62" s="975"/>
      <c r="JFT62" s="975"/>
      <c r="JFU62" s="975"/>
      <c r="JFV62" s="975"/>
      <c r="JFW62" s="975"/>
      <c r="JFX62" s="975"/>
      <c r="JFY62" s="975"/>
      <c r="JFZ62" s="975"/>
      <c r="JGA62" s="975"/>
      <c r="JGB62" s="975"/>
      <c r="JGC62" s="975"/>
      <c r="JGD62" s="975"/>
      <c r="JGE62" s="975"/>
      <c r="JGF62" s="975"/>
      <c r="JGG62" s="975"/>
      <c r="JGH62" s="975"/>
      <c r="JGI62" s="975"/>
      <c r="JGJ62" s="975"/>
      <c r="JGK62" s="975"/>
      <c r="JGL62" s="975"/>
      <c r="JGM62" s="975"/>
      <c r="JGN62" s="975"/>
      <c r="JGO62" s="975"/>
      <c r="JGP62" s="975"/>
      <c r="JGQ62" s="975"/>
      <c r="JGR62" s="975"/>
      <c r="JGS62" s="975"/>
      <c r="JGT62" s="975"/>
      <c r="JGU62" s="975"/>
      <c r="JGV62" s="975"/>
      <c r="JGW62" s="975"/>
      <c r="JGX62" s="975"/>
      <c r="JGY62" s="975"/>
      <c r="JGZ62" s="975"/>
      <c r="JHA62" s="975"/>
      <c r="JHB62" s="975"/>
      <c r="JHC62" s="975"/>
      <c r="JHD62" s="975"/>
      <c r="JHE62" s="975"/>
      <c r="JHF62" s="975"/>
      <c r="JHG62" s="975"/>
      <c r="JHH62" s="975"/>
      <c r="JHI62" s="975"/>
      <c r="JHJ62" s="975"/>
      <c r="JHK62" s="975"/>
      <c r="JHL62" s="975"/>
      <c r="JHM62" s="975"/>
      <c r="JHN62" s="975"/>
      <c r="JHO62" s="975"/>
      <c r="JHP62" s="975"/>
      <c r="JHQ62" s="975"/>
      <c r="JHR62" s="975"/>
      <c r="JHS62" s="975"/>
      <c r="JHT62" s="975"/>
      <c r="JHU62" s="975"/>
      <c r="JHV62" s="975"/>
      <c r="JHW62" s="975"/>
      <c r="JHX62" s="975"/>
      <c r="JHY62" s="975"/>
      <c r="JHZ62" s="975"/>
      <c r="JIA62" s="975"/>
      <c r="JIB62" s="975"/>
      <c r="JIC62" s="975"/>
      <c r="JID62" s="975"/>
      <c r="JIE62" s="975"/>
      <c r="JIF62" s="975"/>
      <c r="JIG62" s="975"/>
      <c r="JIH62" s="975"/>
      <c r="JII62" s="975"/>
      <c r="JIJ62" s="975"/>
      <c r="JIK62" s="975"/>
      <c r="JIL62" s="975"/>
      <c r="JIM62" s="975"/>
      <c r="JIN62" s="975"/>
      <c r="JIO62" s="975"/>
      <c r="JIP62" s="975"/>
      <c r="JIQ62" s="975"/>
      <c r="JIR62" s="975"/>
      <c r="JIS62" s="975"/>
      <c r="JIT62" s="975"/>
      <c r="JIU62" s="975"/>
      <c r="JIV62" s="975"/>
      <c r="JIW62" s="975"/>
      <c r="JIX62" s="975"/>
      <c r="JIY62" s="975"/>
      <c r="JIZ62" s="975"/>
      <c r="JJA62" s="975"/>
      <c r="JJB62" s="975"/>
      <c r="JJC62" s="975"/>
      <c r="JJD62" s="975"/>
      <c r="JJE62" s="975"/>
      <c r="JJF62" s="975"/>
      <c r="JJG62" s="975"/>
      <c r="JJH62" s="975"/>
      <c r="JJI62" s="975"/>
      <c r="JJJ62" s="975"/>
      <c r="JJK62" s="975"/>
      <c r="JJL62" s="975"/>
      <c r="JJM62" s="975"/>
      <c r="JJN62" s="975"/>
      <c r="JJO62" s="975"/>
      <c r="JJP62" s="975"/>
      <c r="JJQ62" s="975"/>
      <c r="JJR62" s="975"/>
      <c r="JJS62" s="975"/>
      <c r="JJT62" s="975"/>
      <c r="JJU62" s="975"/>
      <c r="JJV62" s="975"/>
      <c r="JJW62" s="975"/>
      <c r="JJX62" s="975"/>
      <c r="JJY62" s="975"/>
      <c r="JJZ62" s="975"/>
      <c r="JKA62" s="975"/>
      <c r="JKB62" s="975"/>
      <c r="JKC62" s="975"/>
      <c r="JKD62" s="975"/>
      <c r="JKE62" s="975"/>
      <c r="JKF62" s="975"/>
      <c r="JKG62" s="975"/>
      <c r="JKH62" s="975"/>
      <c r="JKI62" s="975"/>
      <c r="JKJ62" s="975"/>
      <c r="JKK62" s="975"/>
      <c r="JKL62" s="975"/>
      <c r="JKM62" s="975"/>
      <c r="JKN62" s="975"/>
      <c r="JKO62" s="975"/>
      <c r="JKP62" s="975"/>
      <c r="JKQ62" s="975"/>
      <c r="JKR62" s="975"/>
      <c r="JKS62" s="975"/>
      <c r="JKT62" s="975"/>
      <c r="JKU62" s="975"/>
      <c r="JKV62" s="975"/>
      <c r="JKW62" s="975"/>
      <c r="JKX62" s="975"/>
      <c r="JKY62" s="975"/>
      <c r="JKZ62" s="975"/>
      <c r="JLA62" s="975"/>
      <c r="JLB62" s="975"/>
      <c r="JLC62" s="975"/>
      <c r="JLD62" s="975"/>
      <c r="JLE62" s="975"/>
      <c r="JLF62" s="975"/>
      <c r="JLG62" s="975"/>
      <c r="JLH62" s="975"/>
      <c r="JLI62" s="975"/>
      <c r="JLJ62" s="975"/>
      <c r="JLK62" s="975"/>
      <c r="JLL62" s="975"/>
      <c r="JLM62" s="975"/>
      <c r="JLN62" s="975"/>
      <c r="JLO62" s="975"/>
      <c r="JLP62" s="975"/>
      <c r="JLQ62" s="975"/>
      <c r="JLR62" s="975"/>
      <c r="JLS62" s="975"/>
      <c r="JLT62" s="975"/>
      <c r="JLU62" s="975"/>
      <c r="JLV62" s="975"/>
      <c r="JLW62" s="975"/>
      <c r="JLX62" s="975"/>
      <c r="JLY62" s="975"/>
      <c r="JLZ62" s="975"/>
      <c r="JMA62" s="975"/>
      <c r="JMB62" s="975"/>
      <c r="JMC62" s="975"/>
      <c r="JMD62" s="975"/>
      <c r="JME62" s="975"/>
      <c r="JMF62" s="975"/>
      <c r="JMG62" s="975"/>
      <c r="JMH62" s="975"/>
      <c r="JMI62" s="975"/>
      <c r="JMJ62" s="975"/>
      <c r="JMK62" s="975"/>
      <c r="JML62" s="975"/>
      <c r="JMM62" s="975"/>
      <c r="JMN62" s="975"/>
      <c r="JMO62" s="975"/>
      <c r="JMP62" s="975"/>
      <c r="JMQ62" s="975"/>
      <c r="JMR62" s="975"/>
      <c r="JMS62" s="975"/>
      <c r="JMT62" s="975"/>
      <c r="JMU62" s="975"/>
      <c r="JMV62" s="975"/>
      <c r="JMW62" s="975"/>
      <c r="JMX62" s="975"/>
      <c r="JMY62" s="975"/>
      <c r="JMZ62" s="975"/>
      <c r="JNA62" s="975"/>
      <c r="JNB62" s="975"/>
      <c r="JNC62" s="975"/>
      <c r="JND62" s="975"/>
      <c r="JNE62" s="975"/>
      <c r="JNF62" s="975"/>
      <c r="JNG62" s="975"/>
      <c r="JNH62" s="975"/>
      <c r="JNI62" s="975"/>
      <c r="JNJ62" s="975"/>
      <c r="JNK62" s="975"/>
      <c r="JNL62" s="975"/>
      <c r="JNM62" s="975"/>
      <c r="JNN62" s="975"/>
      <c r="JNO62" s="975"/>
      <c r="JNP62" s="975"/>
      <c r="JNQ62" s="975"/>
      <c r="JNR62" s="975"/>
      <c r="JNS62" s="975"/>
      <c r="JNT62" s="975"/>
      <c r="JNU62" s="975"/>
      <c r="JNV62" s="975"/>
      <c r="JNW62" s="975"/>
      <c r="JNX62" s="975"/>
      <c r="JNY62" s="975"/>
      <c r="JNZ62" s="975"/>
      <c r="JOA62" s="975"/>
      <c r="JOB62" s="975"/>
      <c r="JOC62" s="975"/>
      <c r="JOD62" s="975"/>
      <c r="JOE62" s="975"/>
      <c r="JOF62" s="975"/>
      <c r="JOG62" s="975"/>
      <c r="JOH62" s="975"/>
      <c r="JOI62" s="975"/>
      <c r="JOJ62" s="975"/>
      <c r="JOK62" s="975"/>
      <c r="JOL62" s="975"/>
      <c r="JOM62" s="975"/>
      <c r="JON62" s="975"/>
      <c r="JOO62" s="975"/>
      <c r="JOP62" s="975"/>
      <c r="JOQ62" s="975"/>
      <c r="JOR62" s="975"/>
      <c r="JOS62" s="975"/>
      <c r="JOT62" s="975"/>
      <c r="JOU62" s="975"/>
      <c r="JOV62" s="975"/>
      <c r="JOW62" s="975"/>
      <c r="JOX62" s="975"/>
      <c r="JOY62" s="975"/>
      <c r="JOZ62" s="975"/>
      <c r="JPA62" s="975"/>
      <c r="JPB62" s="975"/>
      <c r="JPC62" s="975"/>
      <c r="JPD62" s="975"/>
      <c r="JPE62" s="975"/>
      <c r="JPF62" s="975"/>
      <c r="JPG62" s="975"/>
      <c r="JPH62" s="975"/>
      <c r="JPI62" s="975"/>
      <c r="JPJ62" s="975"/>
      <c r="JPK62" s="975"/>
      <c r="JPL62" s="975"/>
      <c r="JPM62" s="975"/>
      <c r="JPN62" s="975"/>
      <c r="JPO62" s="975"/>
      <c r="JPP62" s="975"/>
      <c r="JPQ62" s="975"/>
      <c r="JPR62" s="975"/>
      <c r="JPS62" s="975"/>
      <c r="JPT62" s="975"/>
      <c r="JPU62" s="975"/>
      <c r="JPV62" s="975"/>
      <c r="JPW62" s="975"/>
      <c r="JPX62" s="975"/>
      <c r="JPY62" s="975"/>
      <c r="JPZ62" s="975"/>
      <c r="JQA62" s="975"/>
      <c r="JQB62" s="975"/>
      <c r="JQC62" s="975"/>
      <c r="JQD62" s="975"/>
      <c r="JQE62" s="975"/>
      <c r="JQF62" s="975"/>
      <c r="JQG62" s="975"/>
      <c r="JQH62" s="975"/>
      <c r="JQI62" s="975"/>
      <c r="JQJ62" s="975"/>
      <c r="JQK62" s="975"/>
      <c r="JQL62" s="975"/>
      <c r="JQM62" s="975"/>
      <c r="JQN62" s="975"/>
      <c r="JQO62" s="975"/>
      <c r="JQP62" s="975"/>
      <c r="JQQ62" s="975"/>
      <c r="JQR62" s="975"/>
      <c r="JQS62" s="975"/>
      <c r="JQT62" s="975"/>
      <c r="JQU62" s="975"/>
      <c r="JQV62" s="975"/>
      <c r="JQW62" s="975"/>
      <c r="JQX62" s="975"/>
      <c r="JQY62" s="975"/>
      <c r="JQZ62" s="975"/>
      <c r="JRA62" s="975"/>
      <c r="JRB62" s="975"/>
      <c r="JRC62" s="975"/>
      <c r="JRD62" s="975"/>
      <c r="JRE62" s="975"/>
      <c r="JRF62" s="975"/>
      <c r="JRG62" s="975"/>
      <c r="JRH62" s="975"/>
      <c r="JRI62" s="975"/>
      <c r="JRJ62" s="975"/>
      <c r="JRK62" s="975"/>
      <c r="JRL62" s="975"/>
      <c r="JRM62" s="975"/>
      <c r="JRN62" s="975"/>
      <c r="JRO62" s="975"/>
      <c r="JRP62" s="975"/>
      <c r="JRQ62" s="975"/>
      <c r="JRR62" s="975"/>
      <c r="JRS62" s="975"/>
      <c r="JRT62" s="975"/>
      <c r="JRU62" s="975"/>
      <c r="JRV62" s="975"/>
      <c r="JRW62" s="975"/>
      <c r="JRX62" s="975"/>
      <c r="JRY62" s="975"/>
      <c r="JRZ62" s="975"/>
      <c r="JSA62" s="975"/>
      <c r="JSB62" s="975"/>
      <c r="JSC62" s="975"/>
      <c r="JSD62" s="975"/>
      <c r="JSE62" s="975"/>
      <c r="JSF62" s="975"/>
      <c r="JSG62" s="975"/>
      <c r="JSH62" s="975"/>
      <c r="JSI62" s="975"/>
      <c r="JSJ62" s="975"/>
      <c r="JSK62" s="975"/>
      <c r="JSL62" s="975"/>
      <c r="JSM62" s="975"/>
      <c r="JSN62" s="975"/>
      <c r="JSO62" s="975"/>
      <c r="JSP62" s="975"/>
      <c r="JSQ62" s="975"/>
      <c r="JSR62" s="975"/>
      <c r="JSS62" s="975"/>
      <c r="JST62" s="975"/>
      <c r="JSU62" s="975"/>
      <c r="JSV62" s="975"/>
      <c r="JSW62" s="975"/>
      <c r="JSX62" s="975"/>
      <c r="JSY62" s="975"/>
      <c r="JSZ62" s="975"/>
      <c r="JTA62" s="975"/>
      <c r="JTB62" s="975"/>
      <c r="JTC62" s="975"/>
      <c r="JTD62" s="975"/>
      <c r="JTE62" s="975"/>
      <c r="JTF62" s="975"/>
      <c r="JTG62" s="975"/>
      <c r="JTH62" s="975"/>
      <c r="JTI62" s="975"/>
      <c r="JTJ62" s="975"/>
      <c r="JTK62" s="975"/>
      <c r="JTL62" s="975"/>
      <c r="JTM62" s="975"/>
      <c r="JTN62" s="975"/>
      <c r="JTO62" s="975"/>
      <c r="JTP62" s="975"/>
      <c r="JTQ62" s="975"/>
      <c r="JTR62" s="975"/>
      <c r="JTS62" s="975"/>
      <c r="JTT62" s="975"/>
      <c r="JTU62" s="975"/>
      <c r="JTV62" s="975"/>
      <c r="JTW62" s="975"/>
      <c r="JTX62" s="975"/>
      <c r="JTY62" s="975"/>
      <c r="JTZ62" s="975"/>
      <c r="JUA62" s="975"/>
      <c r="JUB62" s="975"/>
      <c r="JUC62" s="975"/>
      <c r="JUD62" s="975"/>
      <c r="JUE62" s="975"/>
      <c r="JUF62" s="975"/>
      <c r="JUG62" s="975"/>
      <c r="JUH62" s="975"/>
      <c r="JUI62" s="975"/>
      <c r="JUJ62" s="975"/>
      <c r="JUK62" s="975"/>
      <c r="JUL62" s="975"/>
      <c r="JUM62" s="975"/>
      <c r="JUN62" s="975"/>
      <c r="JUO62" s="975"/>
      <c r="JUP62" s="975"/>
      <c r="JUQ62" s="975"/>
      <c r="JUR62" s="975"/>
      <c r="JUS62" s="975"/>
      <c r="JUT62" s="975"/>
      <c r="JUU62" s="975"/>
      <c r="JUV62" s="975"/>
      <c r="JUW62" s="975"/>
      <c r="JUX62" s="975"/>
      <c r="JUY62" s="975"/>
      <c r="JUZ62" s="975"/>
      <c r="JVA62" s="975"/>
      <c r="JVB62" s="975"/>
      <c r="JVC62" s="975"/>
      <c r="JVD62" s="975"/>
      <c r="JVE62" s="975"/>
      <c r="JVF62" s="975"/>
      <c r="JVG62" s="975"/>
      <c r="JVH62" s="975"/>
      <c r="JVI62" s="975"/>
      <c r="JVJ62" s="975"/>
      <c r="JVK62" s="975"/>
      <c r="JVL62" s="975"/>
      <c r="JVM62" s="975"/>
      <c r="JVN62" s="975"/>
      <c r="JVO62" s="975"/>
      <c r="JVP62" s="975"/>
      <c r="JVQ62" s="975"/>
      <c r="JVR62" s="975"/>
      <c r="JVS62" s="975"/>
      <c r="JVT62" s="975"/>
      <c r="JVU62" s="975"/>
      <c r="JVV62" s="975"/>
      <c r="JVW62" s="975"/>
      <c r="JVX62" s="975"/>
      <c r="JVY62" s="975"/>
      <c r="JVZ62" s="975"/>
      <c r="JWA62" s="975"/>
      <c r="JWB62" s="975"/>
      <c r="JWC62" s="975"/>
      <c r="JWD62" s="975"/>
      <c r="JWE62" s="975"/>
      <c r="JWF62" s="975"/>
      <c r="JWG62" s="975"/>
      <c r="JWH62" s="975"/>
      <c r="JWI62" s="975"/>
      <c r="JWJ62" s="975"/>
      <c r="JWK62" s="975"/>
      <c r="JWL62" s="975"/>
      <c r="JWM62" s="975"/>
      <c r="JWN62" s="975"/>
      <c r="JWO62" s="975"/>
      <c r="JWP62" s="975"/>
      <c r="JWQ62" s="975"/>
      <c r="JWR62" s="975"/>
      <c r="JWS62" s="975"/>
      <c r="JWT62" s="975"/>
      <c r="JWU62" s="975"/>
      <c r="JWV62" s="975"/>
      <c r="JWW62" s="975"/>
      <c r="JWX62" s="975"/>
      <c r="JWY62" s="975"/>
      <c r="JWZ62" s="975"/>
      <c r="JXA62" s="975"/>
      <c r="JXB62" s="975"/>
      <c r="JXC62" s="975"/>
      <c r="JXD62" s="975"/>
      <c r="JXE62" s="975"/>
      <c r="JXF62" s="975"/>
      <c r="JXG62" s="975"/>
      <c r="JXH62" s="975"/>
      <c r="JXI62" s="975"/>
      <c r="JXJ62" s="975"/>
      <c r="JXK62" s="975"/>
      <c r="JXL62" s="975"/>
      <c r="JXM62" s="975"/>
      <c r="JXN62" s="975"/>
      <c r="JXO62" s="975"/>
      <c r="JXP62" s="975"/>
      <c r="JXQ62" s="975"/>
      <c r="JXR62" s="975"/>
      <c r="JXS62" s="975"/>
      <c r="JXT62" s="975"/>
      <c r="JXU62" s="975"/>
      <c r="JXV62" s="975"/>
      <c r="JXW62" s="975"/>
      <c r="JXX62" s="975"/>
      <c r="JXY62" s="975"/>
      <c r="JXZ62" s="975"/>
      <c r="JYA62" s="975"/>
      <c r="JYB62" s="975"/>
      <c r="JYC62" s="975"/>
      <c r="JYD62" s="975"/>
      <c r="JYE62" s="975"/>
      <c r="JYF62" s="975"/>
      <c r="JYG62" s="975"/>
      <c r="JYH62" s="975"/>
      <c r="JYI62" s="975"/>
      <c r="JYJ62" s="975"/>
      <c r="JYK62" s="975"/>
      <c r="JYL62" s="975"/>
      <c r="JYM62" s="975"/>
      <c r="JYN62" s="975"/>
      <c r="JYO62" s="975"/>
      <c r="JYP62" s="975"/>
      <c r="JYQ62" s="975"/>
      <c r="JYR62" s="975"/>
      <c r="JYS62" s="975"/>
      <c r="JYT62" s="975"/>
      <c r="JYU62" s="975"/>
      <c r="JYV62" s="975"/>
      <c r="JYW62" s="975"/>
      <c r="JYX62" s="975"/>
      <c r="JYY62" s="975"/>
      <c r="JYZ62" s="975"/>
      <c r="JZA62" s="975"/>
      <c r="JZB62" s="975"/>
      <c r="JZC62" s="975"/>
      <c r="JZD62" s="975"/>
      <c r="JZE62" s="975"/>
      <c r="JZF62" s="975"/>
      <c r="JZG62" s="975"/>
      <c r="JZH62" s="975"/>
      <c r="JZI62" s="975"/>
      <c r="JZJ62" s="975"/>
      <c r="JZK62" s="975"/>
      <c r="JZL62" s="975"/>
      <c r="JZM62" s="975"/>
      <c r="JZN62" s="975"/>
      <c r="JZO62" s="975"/>
      <c r="JZP62" s="975"/>
      <c r="JZQ62" s="975"/>
      <c r="JZR62" s="975"/>
      <c r="JZS62" s="975"/>
      <c r="JZT62" s="975"/>
      <c r="JZU62" s="975"/>
      <c r="JZV62" s="975"/>
      <c r="JZW62" s="975"/>
      <c r="JZX62" s="975"/>
      <c r="JZY62" s="975"/>
      <c r="JZZ62" s="975"/>
      <c r="KAA62" s="975"/>
      <c r="KAB62" s="975"/>
      <c r="KAC62" s="975"/>
      <c r="KAD62" s="975"/>
      <c r="KAE62" s="975"/>
      <c r="KAF62" s="975"/>
      <c r="KAG62" s="975"/>
      <c r="KAH62" s="975"/>
      <c r="KAI62" s="975"/>
      <c r="KAJ62" s="975"/>
      <c r="KAK62" s="975"/>
      <c r="KAL62" s="975"/>
      <c r="KAM62" s="975"/>
      <c r="KAN62" s="975"/>
      <c r="KAO62" s="975"/>
      <c r="KAP62" s="975"/>
      <c r="KAQ62" s="975"/>
      <c r="KAR62" s="975"/>
      <c r="KAS62" s="975"/>
      <c r="KAT62" s="975"/>
      <c r="KAU62" s="975"/>
      <c r="KAV62" s="975"/>
      <c r="KAW62" s="975"/>
      <c r="KAX62" s="975"/>
      <c r="KAY62" s="975"/>
      <c r="KAZ62" s="975"/>
      <c r="KBA62" s="975"/>
      <c r="KBB62" s="975"/>
      <c r="KBC62" s="975"/>
      <c r="KBD62" s="975"/>
      <c r="KBE62" s="975"/>
      <c r="KBF62" s="975"/>
      <c r="KBG62" s="975"/>
      <c r="KBH62" s="975"/>
      <c r="KBI62" s="975"/>
      <c r="KBJ62" s="975"/>
      <c r="KBK62" s="975"/>
      <c r="KBL62" s="975"/>
      <c r="KBM62" s="975"/>
      <c r="KBN62" s="975"/>
      <c r="KBO62" s="975"/>
      <c r="KBP62" s="975"/>
      <c r="KBQ62" s="975"/>
      <c r="KBR62" s="975"/>
      <c r="KBS62" s="975"/>
      <c r="KBT62" s="975"/>
      <c r="KBU62" s="975"/>
      <c r="KBV62" s="975"/>
      <c r="KBW62" s="975"/>
      <c r="KBX62" s="975"/>
      <c r="KBY62" s="975"/>
      <c r="KBZ62" s="975"/>
      <c r="KCA62" s="975"/>
      <c r="KCB62" s="975"/>
      <c r="KCC62" s="975"/>
      <c r="KCD62" s="975"/>
      <c r="KCE62" s="975"/>
      <c r="KCF62" s="975"/>
      <c r="KCG62" s="975"/>
      <c r="KCH62" s="975"/>
      <c r="KCI62" s="975"/>
      <c r="KCJ62" s="975"/>
      <c r="KCK62" s="975"/>
      <c r="KCL62" s="975"/>
      <c r="KCM62" s="975"/>
      <c r="KCN62" s="975"/>
      <c r="KCO62" s="975"/>
      <c r="KCP62" s="975"/>
      <c r="KCQ62" s="975"/>
      <c r="KCR62" s="975"/>
      <c r="KCS62" s="975"/>
      <c r="KCT62" s="975"/>
      <c r="KCU62" s="975"/>
      <c r="KCV62" s="975"/>
      <c r="KCW62" s="975"/>
      <c r="KCX62" s="975"/>
      <c r="KCY62" s="975"/>
      <c r="KCZ62" s="975"/>
      <c r="KDA62" s="975"/>
      <c r="KDB62" s="975"/>
      <c r="KDC62" s="975"/>
      <c r="KDD62" s="975"/>
      <c r="KDE62" s="975"/>
      <c r="KDF62" s="975"/>
      <c r="KDG62" s="975"/>
      <c r="KDH62" s="975"/>
      <c r="KDI62" s="975"/>
      <c r="KDJ62" s="975"/>
      <c r="KDK62" s="975"/>
      <c r="KDL62" s="975"/>
      <c r="KDM62" s="975"/>
      <c r="KDN62" s="975"/>
      <c r="KDO62" s="975"/>
      <c r="KDP62" s="975"/>
      <c r="KDQ62" s="975"/>
      <c r="KDR62" s="975"/>
      <c r="KDS62" s="975"/>
      <c r="KDT62" s="975"/>
      <c r="KDU62" s="975"/>
      <c r="KDV62" s="975"/>
      <c r="KDW62" s="975"/>
      <c r="KDX62" s="975"/>
      <c r="KDY62" s="975"/>
      <c r="KDZ62" s="975"/>
      <c r="KEA62" s="975"/>
      <c r="KEB62" s="975"/>
      <c r="KEC62" s="975"/>
      <c r="KED62" s="975"/>
      <c r="KEE62" s="975"/>
      <c r="KEF62" s="975"/>
      <c r="KEG62" s="975"/>
      <c r="KEH62" s="975"/>
      <c r="KEI62" s="975"/>
      <c r="KEJ62" s="975"/>
      <c r="KEK62" s="975"/>
      <c r="KEL62" s="975"/>
      <c r="KEM62" s="975"/>
      <c r="KEN62" s="975"/>
      <c r="KEO62" s="975"/>
      <c r="KEP62" s="975"/>
      <c r="KEQ62" s="975"/>
      <c r="KER62" s="975"/>
      <c r="KES62" s="975"/>
      <c r="KET62" s="975"/>
      <c r="KEU62" s="975"/>
      <c r="KEV62" s="975"/>
      <c r="KEW62" s="975"/>
      <c r="KEX62" s="975"/>
      <c r="KEY62" s="975"/>
      <c r="KEZ62" s="975"/>
      <c r="KFA62" s="975"/>
      <c r="KFB62" s="975"/>
      <c r="KFC62" s="975"/>
      <c r="KFD62" s="975"/>
      <c r="KFE62" s="975"/>
      <c r="KFF62" s="975"/>
      <c r="KFG62" s="975"/>
      <c r="KFH62" s="975"/>
      <c r="KFI62" s="975"/>
      <c r="KFJ62" s="975"/>
      <c r="KFK62" s="975"/>
      <c r="KFL62" s="975"/>
      <c r="KFM62" s="975"/>
      <c r="KFN62" s="975"/>
      <c r="KFO62" s="975"/>
      <c r="KFP62" s="975"/>
      <c r="KFQ62" s="975"/>
      <c r="KFR62" s="975"/>
      <c r="KFS62" s="975"/>
      <c r="KFT62" s="975"/>
      <c r="KFU62" s="975"/>
      <c r="KFV62" s="975"/>
      <c r="KFW62" s="975"/>
      <c r="KFX62" s="975"/>
      <c r="KFY62" s="975"/>
      <c r="KFZ62" s="975"/>
      <c r="KGA62" s="975"/>
      <c r="KGB62" s="975"/>
      <c r="KGC62" s="975"/>
      <c r="KGD62" s="975"/>
      <c r="KGE62" s="975"/>
      <c r="KGF62" s="975"/>
      <c r="KGG62" s="975"/>
      <c r="KGH62" s="975"/>
      <c r="KGI62" s="975"/>
      <c r="KGJ62" s="975"/>
      <c r="KGK62" s="975"/>
      <c r="KGL62" s="975"/>
      <c r="KGM62" s="975"/>
      <c r="KGN62" s="975"/>
      <c r="KGO62" s="975"/>
      <c r="KGP62" s="975"/>
      <c r="KGQ62" s="975"/>
      <c r="KGR62" s="975"/>
      <c r="KGS62" s="975"/>
      <c r="KGT62" s="975"/>
      <c r="KGU62" s="975"/>
      <c r="KGV62" s="975"/>
      <c r="KGW62" s="975"/>
      <c r="KGX62" s="975"/>
      <c r="KGY62" s="975"/>
      <c r="KGZ62" s="975"/>
      <c r="KHA62" s="975"/>
      <c r="KHB62" s="975"/>
      <c r="KHC62" s="975"/>
      <c r="KHD62" s="975"/>
      <c r="KHE62" s="975"/>
      <c r="KHF62" s="975"/>
      <c r="KHG62" s="975"/>
      <c r="KHH62" s="975"/>
      <c r="KHI62" s="975"/>
      <c r="KHJ62" s="975"/>
      <c r="KHK62" s="975"/>
      <c r="KHL62" s="975"/>
      <c r="KHM62" s="975"/>
      <c r="KHN62" s="975"/>
      <c r="KHO62" s="975"/>
      <c r="KHP62" s="975"/>
      <c r="KHQ62" s="975"/>
      <c r="KHR62" s="975"/>
      <c r="KHS62" s="975"/>
      <c r="KHT62" s="975"/>
      <c r="KHU62" s="975"/>
      <c r="KHV62" s="975"/>
      <c r="KHW62" s="975"/>
      <c r="KHX62" s="975"/>
      <c r="KHY62" s="975"/>
      <c r="KHZ62" s="975"/>
      <c r="KIA62" s="975"/>
      <c r="KIB62" s="975"/>
      <c r="KIC62" s="975"/>
      <c r="KID62" s="975"/>
      <c r="KIE62" s="975"/>
      <c r="KIF62" s="975"/>
      <c r="KIG62" s="975"/>
      <c r="KIH62" s="975"/>
      <c r="KII62" s="975"/>
      <c r="KIJ62" s="975"/>
      <c r="KIK62" s="975"/>
      <c r="KIL62" s="975"/>
      <c r="KIM62" s="975"/>
      <c r="KIN62" s="975"/>
      <c r="KIO62" s="975"/>
      <c r="KIP62" s="975"/>
      <c r="KIQ62" s="975"/>
      <c r="KIR62" s="975"/>
      <c r="KIS62" s="975"/>
      <c r="KIT62" s="975"/>
      <c r="KIU62" s="975"/>
      <c r="KIV62" s="975"/>
      <c r="KIW62" s="975"/>
      <c r="KIX62" s="975"/>
      <c r="KIY62" s="975"/>
      <c r="KIZ62" s="975"/>
      <c r="KJA62" s="975"/>
      <c r="KJB62" s="975"/>
      <c r="KJC62" s="975"/>
      <c r="KJD62" s="975"/>
      <c r="KJE62" s="975"/>
      <c r="KJF62" s="975"/>
      <c r="KJG62" s="975"/>
      <c r="KJH62" s="975"/>
      <c r="KJI62" s="975"/>
      <c r="KJJ62" s="975"/>
      <c r="KJK62" s="975"/>
      <c r="KJL62" s="975"/>
      <c r="KJM62" s="975"/>
      <c r="KJN62" s="975"/>
      <c r="KJO62" s="975"/>
      <c r="KJP62" s="975"/>
      <c r="KJQ62" s="975"/>
      <c r="KJR62" s="975"/>
      <c r="KJS62" s="975"/>
      <c r="KJT62" s="975"/>
      <c r="KJU62" s="975"/>
      <c r="KJV62" s="975"/>
      <c r="KJW62" s="975"/>
      <c r="KJX62" s="975"/>
      <c r="KJY62" s="975"/>
      <c r="KJZ62" s="975"/>
      <c r="KKA62" s="975"/>
      <c r="KKB62" s="975"/>
      <c r="KKC62" s="975"/>
      <c r="KKD62" s="975"/>
      <c r="KKE62" s="975"/>
      <c r="KKF62" s="975"/>
      <c r="KKG62" s="975"/>
      <c r="KKH62" s="975"/>
      <c r="KKI62" s="975"/>
      <c r="KKJ62" s="975"/>
      <c r="KKK62" s="975"/>
      <c r="KKL62" s="975"/>
      <c r="KKM62" s="975"/>
      <c r="KKN62" s="975"/>
      <c r="KKO62" s="975"/>
      <c r="KKP62" s="975"/>
      <c r="KKQ62" s="975"/>
      <c r="KKR62" s="975"/>
      <c r="KKS62" s="975"/>
      <c r="KKT62" s="975"/>
      <c r="KKU62" s="975"/>
      <c r="KKV62" s="975"/>
      <c r="KKW62" s="975"/>
      <c r="KKX62" s="975"/>
      <c r="KKY62" s="975"/>
      <c r="KKZ62" s="975"/>
      <c r="KLA62" s="975"/>
      <c r="KLB62" s="975"/>
      <c r="KLC62" s="975"/>
      <c r="KLD62" s="975"/>
      <c r="KLE62" s="975"/>
      <c r="KLF62" s="975"/>
      <c r="KLG62" s="975"/>
      <c r="KLH62" s="975"/>
      <c r="KLI62" s="975"/>
      <c r="KLJ62" s="975"/>
      <c r="KLK62" s="975"/>
      <c r="KLL62" s="975"/>
      <c r="KLM62" s="975"/>
      <c r="KLN62" s="975"/>
      <c r="KLO62" s="975"/>
      <c r="KLP62" s="975"/>
      <c r="KLQ62" s="975"/>
      <c r="KLR62" s="975"/>
      <c r="KLS62" s="975"/>
      <c r="KLT62" s="975"/>
      <c r="KLU62" s="975"/>
      <c r="KLV62" s="975"/>
      <c r="KLW62" s="975"/>
      <c r="KLX62" s="975"/>
      <c r="KLY62" s="975"/>
      <c r="KLZ62" s="975"/>
      <c r="KMA62" s="975"/>
      <c r="KMB62" s="975"/>
      <c r="KMC62" s="975"/>
      <c r="KMD62" s="975"/>
      <c r="KME62" s="975"/>
      <c r="KMF62" s="975"/>
      <c r="KMG62" s="975"/>
      <c r="KMH62" s="975"/>
      <c r="KMI62" s="975"/>
      <c r="KMJ62" s="975"/>
      <c r="KMK62" s="975"/>
      <c r="KML62" s="975"/>
      <c r="KMM62" s="975"/>
      <c r="KMN62" s="975"/>
      <c r="KMO62" s="975"/>
      <c r="KMP62" s="975"/>
      <c r="KMQ62" s="975"/>
      <c r="KMR62" s="975"/>
      <c r="KMS62" s="975"/>
      <c r="KMT62" s="975"/>
      <c r="KMU62" s="975"/>
      <c r="KMV62" s="975"/>
      <c r="KMW62" s="975"/>
      <c r="KMX62" s="975"/>
      <c r="KMY62" s="975"/>
      <c r="KMZ62" s="975"/>
      <c r="KNA62" s="975"/>
      <c r="KNB62" s="975"/>
      <c r="KNC62" s="975"/>
      <c r="KND62" s="975"/>
      <c r="KNE62" s="975"/>
      <c r="KNF62" s="975"/>
      <c r="KNG62" s="975"/>
      <c r="KNH62" s="975"/>
      <c r="KNI62" s="975"/>
      <c r="KNJ62" s="975"/>
      <c r="KNK62" s="975"/>
      <c r="KNL62" s="975"/>
      <c r="KNM62" s="975"/>
      <c r="KNN62" s="975"/>
      <c r="KNO62" s="975"/>
      <c r="KNP62" s="975"/>
      <c r="KNQ62" s="975"/>
      <c r="KNR62" s="975"/>
      <c r="KNS62" s="975"/>
      <c r="KNT62" s="975"/>
      <c r="KNU62" s="975"/>
      <c r="KNV62" s="975"/>
      <c r="KNW62" s="975"/>
      <c r="KNX62" s="975"/>
      <c r="KNY62" s="975"/>
      <c r="KNZ62" s="975"/>
      <c r="KOA62" s="975"/>
      <c r="KOB62" s="975"/>
      <c r="KOC62" s="975"/>
      <c r="KOD62" s="975"/>
      <c r="KOE62" s="975"/>
      <c r="KOF62" s="975"/>
      <c r="KOG62" s="975"/>
      <c r="KOH62" s="975"/>
      <c r="KOI62" s="975"/>
      <c r="KOJ62" s="975"/>
      <c r="KOK62" s="975"/>
      <c r="KOL62" s="975"/>
      <c r="KOM62" s="975"/>
      <c r="KON62" s="975"/>
      <c r="KOO62" s="975"/>
      <c r="KOP62" s="975"/>
      <c r="KOQ62" s="975"/>
      <c r="KOR62" s="975"/>
      <c r="KOS62" s="975"/>
      <c r="KOT62" s="975"/>
      <c r="KOU62" s="975"/>
      <c r="KOV62" s="975"/>
      <c r="KOW62" s="975"/>
      <c r="KOX62" s="975"/>
      <c r="KOY62" s="975"/>
      <c r="KOZ62" s="975"/>
      <c r="KPA62" s="975"/>
      <c r="KPB62" s="975"/>
      <c r="KPC62" s="975"/>
      <c r="KPD62" s="975"/>
      <c r="KPE62" s="975"/>
      <c r="KPF62" s="975"/>
      <c r="KPG62" s="975"/>
      <c r="KPH62" s="975"/>
      <c r="KPI62" s="975"/>
      <c r="KPJ62" s="975"/>
      <c r="KPK62" s="975"/>
      <c r="KPL62" s="975"/>
      <c r="KPM62" s="975"/>
      <c r="KPN62" s="975"/>
      <c r="KPO62" s="975"/>
      <c r="KPP62" s="975"/>
      <c r="KPQ62" s="975"/>
      <c r="KPR62" s="975"/>
      <c r="KPS62" s="975"/>
      <c r="KPT62" s="975"/>
      <c r="KPU62" s="975"/>
      <c r="KPV62" s="975"/>
      <c r="KPW62" s="975"/>
      <c r="KPX62" s="975"/>
      <c r="KPY62" s="975"/>
      <c r="KPZ62" s="975"/>
      <c r="KQA62" s="975"/>
      <c r="KQB62" s="975"/>
      <c r="KQC62" s="975"/>
      <c r="KQD62" s="975"/>
      <c r="KQE62" s="975"/>
      <c r="KQF62" s="975"/>
      <c r="KQG62" s="975"/>
      <c r="KQH62" s="975"/>
      <c r="KQI62" s="975"/>
      <c r="KQJ62" s="975"/>
      <c r="KQK62" s="975"/>
      <c r="KQL62" s="975"/>
      <c r="KQM62" s="975"/>
      <c r="KQN62" s="975"/>
      <c r="KQO62" s="975"/>
      <c r="KQP62" s="975"/>
      <c r="KQQ62" s="975"/>
      <c r="KQR62" s="975"/>
      <c r="KQS62" s="975"/>
      <c r="KQT62" s="975"/>
      <c r="KQU62" s="975"/>
      <c r="KQV62" s="975"/>
      <c r="KQW62" s="975"/>
      <c r="KQX62" s="975"/>
      <c r="KQY62" s="975"/>
      <c r="KQZ62" s="975"/>
      <c r="KRA62" s="975"/>
      <c r="KRB62" s="975"/>
      <c r="KRC62" s="975"/>
      <c r="KRD62" s="975"/>
      <c r="KRE62" s="975"/>
      <c r="KRF62" s="975"/>
      <c r="KRG62" s="975"/>
      <c r="KRH62" s="975"/>
      <c r="KRI62" s="975"/>
      <c r="KRJ62" s="975"/>
      <c r="KRK62" s="975"/>
      <c r="KRL62" s="975"/>
      <c r="KRM62" s="975"/>
      <c r="KRN62" s="975"/>
      <c r="KRO62" s="975"/>
      <c r="KRP62" s="975"/>
      <c r="KRQ62" s="975"/>
      <c r="KRR62" s="975"/>
      <c r="KRS62" s="975"/>
      <c r="KRT62" s="975"/>
      <c r="KRU62" s="975"/>
      <c r="KRV62" s="975"/>
      <c r="KRW62" s="975"/>
      <c r="KRX62" s="975"/>
      <c r="KRY62" s="975"/>
      <c r="KRZ62" s="975"/>
      <c r="KSA62" s="975"/>
      <c r="KSB62" s="975"/>
      <c r="KSC62" s="975"/>
      <c r="KSD62" s="975"/>
      <c r="KSE62" s="975"/>
      <c r="KSF62" s="975"/>
      <c r="KSG62" s="975"/>
      <c r="KSH62" s="975"/>
      <c r="KSI62" s="975"/>
      <c r="KSJ62" s="975"/>
      <c r="KSK62" s="975"/>
      <c r="KSL62" s="975"/>
      <c r="KSM62" s="975"/>
      <c r="KSN62" s="975"/>
      <c r="KSO62" s="975"/>
      <c r="KSP62" s="975"/>
      <c r="KSQ62" s="975"/>
      <c r="KSR62" s="975"/>
      <c r="KSS62" s="975"/>
      <c r="KST62" s="975"/>
      <c r="KSU62" s="975"/>
      <c r="KSV62" s="975"/>
      <c r="KSW62" s="975"/>
      <c r="KSX62" s="975"/>
      <c r="KSY62" s="975"/>
      <c r="KSZ62" s="975"/>
      <c r="KTA62" s="975"/>
      <c r="KTB62" s="975"/>
      <c r="KTC62" s="975"/>
      <c r="KTD62" s="975"/>
      <c r="KTE62" s="975"/>
      <c r="KTF62" s="975"/>
      <c r="KTG62" s="975"/>
      <c r="KTH62" s="975"/>
      <c r="KTI62" s="975"/>
      <c r="KTJ62" s="975"/>
      <c r="KTK62" s="975"/>
      <c r="KTL62" s="975"/>
      <c r="KTM62" s="975"/>
      <c r="KTN62" s="975"/>
      <c r="KTO62" s="975"/>
      <c r="KTP62" s="975"/>
      <c r="KTQ62" s="975"/>
      <c r="KTR62" s="975"/>
      <c r="KTS62" s="975"/>
      <c r="KTT62" s="975"/>
      <c r="KTU62" s="975"/>
      <c r="KTV62" s="975"/>
      <c r="KTW62" s="975"/>
      <c r="KTX62" s="975"/>
      <c r="KTY62" s="975"/>
      <c r="KTZ62" s="975"/>
      <c r="KUA62" s="975"/>
      <c r="KUB62" s="975"/>
      <c r="KUC62" s="975"/>
      <c r="KUD62" s="975"/>
      <c r="KUE62" s="975"/>
      <c r="KUF62" s="975"/>
      <c r="KUG62" s="975"/>
      <c r="KUH62" s="975"/>
      <c r="KUI62" s="975"/>
      <c r="KUJ62" s="975"/>
      <c r="KUK62" s="975"/>
      <c r="KUL62" s="975"/>
      <c r="KUM62" s="975"/>
      <c r="KUN62" s="975"/>
      <c r="KUO62" s="975"/>
      <c r="KUP62" s="975"/>
      <c r="KUQ62" s="975"/>
      <c r="KUR62" s="975"/>
      <c r="KUS62" s="975"/>
      <c r="KUT62" s="975"/>
      <c r="KUU62" s="975"/>
      <c r="KUV62" s="975"/>
      <c r="KUW62" s="975"/>
      <c r="KUX62" s="975"/>
      <c r="KUY62" s="975"/>
      <c r="KUZ62" s="975"/>
      <c r="KVA62" s="975"/>
      <c r="KVB62" s="975"/>
      <c r="KVC62" s="975"/>
      <c r="KVD62" s="975"/>
      <c r="KVE62" s="975"/>
      <c r="KVF62" s="975"/>
      <c r="KVG62" s="975"/>
      <c r="KVH62" s="975"/>
      <c r="KVI62" s="975"/>
      <c r="KVJ62" s="975"/>
      <c r="KVK62" s="975"/>
      <c r="KVL62" s="975"/>
      <c r="KVM62" s="975"/>
      <c r="KVN62" s="975"/>
      <c r="KVO62" s="975"/>
      <c r="KVP62" s="975"/>
      <c r="KVQ62" s="975"/>
      <c r="KVR62" s="975"/>
      <c r="KVS62" s="975"/>
      <c r="KVT62" s="975"/>
      <c r="KVU62" s="975"/>
      <c r="KVV62" s="975"/>
      <c r="KVW62" s="975"/>
      <c r="KVX62" s="975"/>
      <c r="KVY62" s="975"/>
      <c r="KVZ62" s="975"/>
      <c r="KWA62" s="975"/>
      <c r="KWB62" s="975"/>
      <c r="KWC62" s="975"/>
      <c r="KWD62" s="975"/>
      <c r="KWE62" s="975"/>
      <c r="KWF62" s="975"/>
      <c r="KWG62" s="975"/>
      <c r="KWH62" s="975"/>
      <c r="KWI62" s="975"/>
      <c r="KWJ62" s="975"/>
      <c r="KWK62" s="975"/>
      <c r="KWL62" s="975"/>
      <c r="KWM62" s="975"/>
      <c r="KWN62" s="975"/>
      <c r="KWO62" s="975"/>
      <c r="KWP62" s="975"/>
      <c r="KWQ62" s="975"/>
      <c r="KWR62" s="975"/>
      <c r="KWS62" s="975"/>
      <c r="KWT62" s="975"/>
      <c r="KWU62" s="975"/>
      <c r="KWV62" s="975"/>
      <c r="KWW62" s="975"/>
      <c r="KWX62" s="975"/>
      <c r="KWY62" s="975"/>
      <c r="KWZ62" s="975"/>
      <c r="KXA62" s="975"/>
      <c r="KXB62" s="975"/>
      <c r="KXC62" s="975"/>
      <c r="KXD62" s="975"/>
      <c r="KXE62" s="975"/>
      <c r="KXF62" s="975"/>
      <c r="KXG62" s="975"/>
      <c r="KXH62" s="975"/>
      <c r="KXI62" s="975"/>
      <c r="KXJ62" s="975"/>
      <c r="KXK62" s="975"/>
      <c r="KXL62" s="975"/>
      <c r="KXM62" s="975"/>
      <c r="KXN62" s="975"/>
      <c r="KXO62" s="975"/>
      <c r="KXP62" s="975"/>
      <c r="KXQ62" s="975"/>
      <c r="KXR62" s="975"/>
      <c r="KXS62" s="975"/>
      <c r="KXT62" s="975"/>
      <c r="KXU62" s="975"/>
      <c r="KXV62" s="975"/>
      <c r="KXW62" s="975"/>
      <c r="KXX62" s="975"/>
      <c r="KXY62" s="975"/>
      <c r="KXZ62" s="975"/>
      <c r="KYA62" s="975"/>
      <c r="KYB62" s="975"/>
      <c r="KYC62" s="975"/>
      <c r="KYD62" s="975"/>
      <c r="KYE62" s="975"/>
      <c r="KYF62" s="975"/>
      <c r="KYG62" s="975"/>
      <c r="KYH62" s="975"/>
      <c r="KYI62" s="975"/>
      <c r="KYJ62" s="975"/>
      <c r="KYK62" s="975"/>
      <c r="KYL62" s="975"/>
      <c r="KYM62" s="975"/>
      <c r="KYN62" s="975"/>
      <c r="KYO62" s="975"/>
      <c r="KYP62" s="975"/>
      <c r="KYQ62" s="975"/>
      <c r="KYR62" s="975"/>
      <c r="KYS62" s="975"/>
      <c r="KYT62" s="975"/>
      <c r="KYU62" s="975"/>
      <c r="KYV62" s="975"/>
      <c r="KYW62" s="975"/>
      <c r="KYX62" s="975"/>
      <c r="KYY62" s="975"/>
      <c r="KYZ62" s="975"/>
      <c r="KZA62" s="975"/>
      <c r="KZB62" s="975"/>
      <c r="KZC62" s="975"/>
      <c r="KZD62" s="975"/>
      <c r="KZE62" s="975"/>
      <c r="KZF62" s="975"/>
      <c r="KZG62" s="975"/>
      <c r="KZH62" s="975"/>
      <c r="KZI62" s="975"/>
      <c r="KZJ62" s="975"/>
      <c r="KZK62" s="975"/>
      <c r="KZL62" s="975"/>
      <c r="KZM62" s="975"/>
      <c r="KZN62" s="975"/>
      <c r="KZO62" s="975"/>
      <c r="KZP62" s="975"/>
      <c r="KZQ62" s="975"/>
      <c r="KZR62" s="975"/>
      <c r="KZS62" s="975"/>
      <c r="KZT62" s="975"/>
      <c r="KZU62" s="975"/>
      <c r="KZV62" s="975"/>
      <c r="KZW62" s="975"/>
      <c r="KZX62" s="975"/>
      <c r="KZY62" s="975"/>
      <c r="KZZ62" s="975"/>
      <c r="LAA62" s="975"/>
      <c r="LAB62" s="975"/>
      <c r="LAC62" s="975"/>
      <c r="LAD62" s="975"/>
      <c r="LAE62" s="975"/>
      <c r="LAF62" s="975"/>
      <c r="LAG62" s="975"/>
      <c r="LAH62" s="975"/>
      <c r="LAI62" s="975"/>
      <c r="LAJ62" s="975"/>
      <c r="LAK62" s="975"/>
      <c r="LAL62" s="975"/>
      <c r="LAM62" s="975"/>
      <c r="LAN62" s="975"/>
      <c r="LAO62" s="975"/>
      <c r="LAP62" s="975"/>
      <c r="LAQ62" s="975"/>
      <c r="LAR62" s="975"/>
      <c r="LAS62" s="975"/>
      <c r="LAT62" s="975"/>
      <c r="LAU62" s="975"/>
      <c r="LAV62" s="975"/>
      <c r="LAW62" s="975"/>
      <c r="LAX62" s="975"/>
      <c r="LAY62" s="975"/>
      <c r="LAZ62" s="975"/>
      <c r="LBA62" s="975"/>
      <c r="LBB62" s="975"/>
      <c r="LBC62" s="975"/>
      <c r="LBD62" s="975"/>
      <c r="LBE62" s="975"/>
      <c r="LBF62" s="975"/>
      <c r="LBG62" s="975"/>
      <c r="LBH62" s="975"/>
      <c r="LBI62" s="975"/>
      <c r="LBJ62" s="975"/>
      <c r="LBK62" s="975"/>
      <c r="LBL62" s="975"/>
      <c r="LBM62" s="975"/>
      <c r="LBN62" s="975"/>
      <c r="LBO62" s="975"/>
      <c r="LBP62" s="975"/>
      <c r="LBQ62" s="975"/>
      <c r="LBR62" s="975"/>
      <c r="LBS62" s="975"/>
      <c r="LBT62" s="975"/>
      <c r="LBU62" s="975"/>
      <c r="LBV62" s="975"/>
      <c r="LBW62" s="975"/>
      <c r="LBX62" s="975"/>
      <c r="LBY62" s="975"/>
      <c r="LBZ62" s="975"/>
      <c r="LCA62" s="975"/>
      <c r="LCB62" s="975"/>
      <c r="LCC62" s="975"/>
      <c r="LCD62" s="975"/>
      <c r="LCE62" s="975"/>
      <c r="LCF62" s="975"/>
      <c r="LCG62" s="975"/>
      <c r="LCH62" s="975"/>
      <c r="LCI62" s="975"/>
      <c r="LCJ62" s="975"/>
      <c r="LCK62" s="975"/>
      <c r="LCL62" s="975"/>
      <c r="LCM62" s="975"/>
      <c r="LCN62" s="975"/>
      <c r="LCO62" s="975"/>
      <c r="LCP62" s="975"/>
      <c r="LCQ62" s="975"/>
      <c r="LCR62" s="975"/>
      <c r="LCS62" s="975"/>
      <c r="LCT62" s="975"/>
      <c r="LCU62" s="975"/>
      <c r="LCV62" s="975"/>
      <c r="LCW62" s="975"/>
      <c r="LCX62" s="975"/>
      <c r="LCY62" s="975"/>
      <c r="LCZ62" s="975"/>
      <c r="LDA62" s="975"/>
      <c r="LDB62" s="975"/>
      <c r="LDC62" s="975"/>
      <c r="LDD62" s="975"/>
      <c r="LDE62" s="975"/>
      <c r="LDF62" s="975"/>
      <c r="LDG62" s="975"/>
      <c r="LDH62" s="975"/>
      <c r="LDI62" s="975"/>
      <c r="LDJ62" s="975"/>
      <c r="LDK62" s="975"/>
      <c r="LDL62" s="975"/>
      <c r="LDM62" s="975"/>
      <c r="LDN62" s="975"/>
      <c r="LDO62" s="975"/>
      <c r="LDP62" s="975"/>
      <c r="LDQ62" s="975"/>
      <c r="LDR62" s="975"/>
      <c r="LDS62" s="975"/>
      <c r="LDT62" s="975"/>
      <c r="LDU62" s="975"/>
      <c r="LDV62" s="975"/>
      <c r="LDW62" s="975"/>
      <c r="LDX62" s="975"/>
      <c r="LDY62" s="975"/>
      <c r="LDZ62" s="975"/>
      <c r="LEA62" s="975"/>
      <c r="LEB62" s="975"/>
      <c r="LEC62" s="975"/>
      <c r="LED62" s="975"/>
      <c r="LEE62" s="975"/>
      <c r="LEF62" s="975"/>
      <c r="LEG62" s="975"/>
      <c r="LEH62" s="975"/>
      <c r="LEI62" s="975"/>
      <c r="LEJ62" s="975"/>
      <c r="LEK62" s="975"/>
      <c r="LEL62" s="975"/>
      <c r="LEM62" s="975"/>
      <c r="LEN62" s="975"/>
      <c r="LEO62" s="975"/>
      <c r="LEP62" s="975"/>
      <c r="LEQ62" s="975"/>
      <c r="LER62" s="975"/>
      <c r="LES62" s="975"/>
      <c r="LET62" s="975"/>
      <c r="LEU62" s="975"/>
      <c r="LEV62" s="975"/>
      <c r="LEW62" s="975"/>
      <c r="LEX62" s="975"/>
      <c r="LEY62" s="975"/>
      <c r="LEZ62" s="975"/>
      <c r="LFA62" s="975"/>
      <c r="LFB62" s="975"/>
      <c r="LFC62" s="975"/>
      <c r="LFD62" s="975"/>
      <c r="LFE62" s="975"/>
      <c r="LFF62" s="975"/>
      <c r="LFG62" s="975"/>
      <c r="LFH62" s="975"/>
      <c r="LFI62" s="975"/>
      <c r="LFJ62" s="975"/>
      <c r="LFK62" s="975"/>
      <c r="LFL62" s="975"/>
      <c r="LFM62" s="975"/>
      <c r="LFN62" s="975"/>
      <c r="LFO62" s="975"/>
      <c r="LFP62" s="975"/>
      <c r="LFQ62" s="975"/>
      <c r="LFR62" s="975"/>
      <c r="LFS62" s="975"/>
      <c r="LFT62" s="975"/>
      <c r="LFU62" s="975"/>
      <c r="LFV62" s="975"/>
      <c r="LFW62" s="975"/>
      <c r="LFX62" s="975"/>
      <c r="LFY62" s="975"/>
      <c r="LFZ62" s="975"/>
      <c r="LGA62" s="975"/>
      <c r="LGB62" s="975"/>
      <c r="LGC62" s="975"/>
      <c r="LGD62" s="975"/>
      <c r="LGE62" s="975"/>
      <c r="LGF62" s="975"/>
      <c r="LGG62" s="975"/>
      <c r="LGH62" s="975"/>
      <c r="LGI62" s="975"/>
      <c r="LGJ62" s="975"/>
      <c r="LGK62" s="975"/>
      <c r="LGL62" s="975"/>
      <c r="LGM62" s="975"/>
      <c r="LGN62" s="975"/>
      <c r="LGO62" s="975"/>
      <c r="LGP62" s="975"/>
      <c r="LGQ62" s="975"/>
      <c r="LGR62" s="975"/>
      <c r="LGS62" s="975"/>
      <c r="LGT62" s="975"/>
      <c r="LGU62" s="975"/>
      <c r="LGV62" s="975"/>
      <c r="LGW62" s="975"/>
      <c r="LGX62" s="975"/>
      <c r="LGY62" s="975"/>
      <c r="LGZ62" s="975"/>
      <c r="LHA62" s="975"/>
      <c r="LHB62" s="975"/>
      <c r="LHC62" s="975"/>
      <c r="LHD62" s="975"/>
      <c r="LHE62" s="975"/>
      <c r="LHF62" s="975"/>
      <c r="LHG62" s="975"/>
      <c r="LHH62" s="975"/>
      <c r="LHI62" s="975"/>
      <c r="LHJ62" s="975"/>
      <c r="LHK62" s="975"/>
      <c r="LHL62" s="975"/>
      <c r="LHM62" s="975"/>
      <c r="LHN62" s="975"/>
      <c r="LHO62" s="975"/>
      <c r="LHP62" s="975"/>
      <c r="LHQ62" s="975"/>
      <c r="LHR62" s="975"/>
      <c r="LHS62" s="975"/>
      <c r="LHT62" s="975"/>
      <c r="LHU62" s="975"/>
      <c r="LHV62" s="975"/>
      <c r="LHW62" s="975"/>
      <c r="LHX62" s="975"/>
      <c r="LHY62" s="975"/>
      <c r="LHZ62" s="975"/>
      <c r="LIA62" s="975"/>
      <c r="LIB62" s="975"/>
      <c r="LIC62" s="975"/>
      <c r="LID62" s="975"/>
      <c r="LIE62" s="975"/>
      <c r="LIF62" s="975"/>
      <c r="LIG62" s="975"/>
      <c r="LIH62" s="975"/>
      <c r="LII62" s="975"/>
      <c r="LIJ62" s="975"/>
      <c r="LIK62" s="975"/>
      <c r="LIL62" s="975"/>
      <c r="LIM62" s="975"/>
      <c r="LIN62" s="975"/>
      <c r="LIO62" s="975"/>
      <c r="LIP62" s="975"/>
      <c r="LIQ62" s="975"/>
      <c r="LIR62" s="975"/>
      <c r="LIS62" s="975"/>
      <c r="LIT62" s="975"/>
      <c r="LIU62" s="975"/>
      <c r="LIV62" s="975"/>
      <c r="LIW62" s="975"/>
      <c r="LIX62" s="975"/>
      <c r="LIY62" s="975"/>
      <c r="LIZ62" s="975"/>
      <c r="LJA62" s="975"/>
      <c r="LJB62" s="975"/>
      <c r="LJC62" s="975"/>
      <c r="LJD62" s="975"/>
      <c r="LJE62" s="975"/>
      <c r="LJF62" s="975"/>
      <c r="LJG62" s="975"/>
      <c r="LJH62" s="975"/>
      <c r="LJI62" s="975"/>
      <c r="LJJ62" s="975"/>
      <c r="LJK62" s="975"/>
      <c r="LJL62" s="975"/>
      <c r="LJM62" s="975"/>
      <c r="LJN62" s="975"/>
      <c r="LJO62" s="975"/>
      <c r="LJP62" s="975"/>
      <c r="LJQ62" s="975"/>
      <c r="LJR62" s="975"/>
      <c r="LJS62" s="975"/>
      <c r="LJT62" s="975"/>
      <c r="LJU62" s="975"/>
      <c r="LJV62" s="975"/>
      <c r="LJW62" s="975"/>
      <c r="LJX62" s="975"/>
      <c r="LJY62" s="975"/>
      <c r="LJZ62" s="975"/>
      <c r="LKA62" s="975"/>
      <c r="LKB62" s="975"/>
      <c r="LKC62" s="975"/>
      <c r="LKD62" s="975"/>
      <c r="LKE62" s="975"/>
      <c r="LKF62" s="975"/>
      <c r="LKG62" s="975"/>
      <c r="LKH62" s="975"/>
      <c r="LKI62" s="975"/>
      <c r="LKJ62" s="975"/>
      <c r="LKK62" s="975"/>
      <c r="LKL62" s="975"/>
      <c r="LKM62" s="975"/>
      <c r="LKN62" s="975"/>
      <c r="LKO62" s="975"/>
      <c r="LKP62" s="975"/>
      <c r="LKQ62" s="975"/>
      <c r="LKR62" s="975"/>
      <c r="LKS62" s="975"/>
      <c r="LKT62" s="975"/>
      <c r="LKU62" s="975"/>
      <c r="LKV62" s="975"/>
      <c r="LKW62" s="975"/>
      <c r="LKX62" s="975"/>
      <c r="LKY62" s="975"/>
      <c r="LKZ62" s="975"/>
      <c r="LLA62" s="975"/>
      <c r="LLB62" s="975"/>
      <c r="LLC62" s="975"/>
      <c r="LLD62" s="975"/>
      <c r="LLE62" s="975"/>
      <c r="LLF62" s="975"/>
      <c r="LLG62" s="975"/>
      <c r="LLH62" s="975"/>
      <c r="LLI62" s="975"/>
      <c r="LLJ62" s="975"/>
      <c r="LLK62" s="975"/>
      <c r="LLL62" s="975"/>
      <c r="LLM62" s="975"/>
      <c r="LLN62" s="975"/>
      <c r="LLO62" s="975"/>
      <c r="LLP62" s="975"/>
      <c r="LLQ62" s="975"/>
      <c r="LLR62" s="975"/>
      <c r="LLS62" s="975"/>
      <c r="LLT62" s="975"/>
      <c r="LLU62" s="975"/>
      <c r="LLV62" s="975"/>
      <c r="LLW62" s="975"/>
      <c r="LLX62" s="975"/>
      <c r="LLY62" s="975"/>
      <c r="LLZ62" s="975"/>
      <c r="LMA62" s="975"/>
      <c r="LMB62" s="975"/>
      <c r="LMC62" s="975"/>
      <c r="LMD62" s="975"/>
      <c r="LME62" s="975"/>
      <c r="LMF62" s="975"/>
      <c r="LMG62" s="975"/>
      <c r="LMH62" s="975"/>
      <c r="LMI62" s="975"/>
      <c r="LMJ62" s="975"/>
      <c r="LMK62" s="975"/>
      <c r="LML62" s="975"/>
      <c r="LMM62" s="975"/>
      <c r="LMN62" s="975"/>
      <c r="LMO62" s="975"/>
      <c r="LMP62" s="975"/>
      <c r="LMQ62" s="975"/>
      <c r="LMR62" s="975"/>
      <c r="LMS62" s="975"/>
      <c r="LMT62" s="975"/>
      <c r="LMU62" s="975"/>
      <c r="LMV62" s="975"/>
      <c r="LMW62" s="975"/>
      <c r="LMX62" s="975"/>
      <c r="LMY62" s="975"/>
      <c r="LMZ62" s="975"/>
      <c r="LNA62" s="975"/>
      <c r="LNB62" s="975"/>
      <c r="LNC62" s="975"/>
      <c r="LND62" s="975"/>
      <c r="LNE62" s="975"/>
      <c r="LNF62" s="975"/>
      <c r="LNG62" s="975"/>
      <c r="LNH62" s="975"/>
      <c r="LNI62" s="975"/>
      <c r="LNJ62" s="975"/>
      <c r="LNK62" s="975"/>
      <c r="LNL62" s="975"/>
      <c r="LNM62" s="975"/>
      <c r="LNN62" s="975"/>
      <c r="LNO62" s="975"/>
      <c r="LNP62" s="975"/>
      <c r="LNQ62" s="975"/>
      <c r="LNR62" s="975"/>
      <c r="LNS62" s="975"/>
      <c r="LNT62" s="975"/>
      <c r="LNU62" s="975"/>
      <c r="LNV62" s="975"/>
      <c r="LNW62" s="975"/>
      <c r="LNX62" s="975"/>
      <c r="LNY62" s="975"/>
      <c r="LNZ62" s="975"/>
      <c r="LOA62" s="975"/>
      <c r="LOB62" s="975"/>
      <c r="LOC62" s="975"/>
      <c r="LOD62" s="975"/>
      <c r="LOE62" s="975"/>
      <c r="LOF62" s="975"/>
      <c r="LOG62" s="975"/>
      <c r="LOH62" s="975"/>
      <c r="LOI62" s="975"/>
      <c r="LOJ62" s="975"/>
      <c r="LOK62" s="975"/>
      <c r="LOL62" s="975"/>
      <c r="LOM62" s="975"/>
      <c r="LON62" s="975"/>
      <c r="LOO62" s="975"/>
      <c r="LOP62" s="975"/>
      <c r="LOQ62" s="975"/>
      <c r="LOR62" s="975"/>
      <c r="LOS62" s="975"/>
      <c r="LOT62" s="975"/>
      <c r="LOU62" s="975"/>
      <c r="LOV62" s="975"/>
      <c r="LOW62" s="975"/>
      <c r="LOX62" s="975"/>
      <c r="LOY62" s="975"/>
      <c r="LOZ62" s="975"/>
      <c r="LPA62" s="975"/>
      <c r="LPB62" s="975"/>
      <c r="LPC62" s="975"/>
      <c r="LPD62" s="975"/>
      <c r="LPE62" s="975"/>
      <c r="LPF62" s="975"/>
      <c r="LPG62" s="975"/>
      <c r="LPH62" s="975"/>
      <c r="LPI62" s="975"/>
      <c r="LPJ62" s="975"/>
      <c r="LPK62" s="975"/>
      <c r="LPL62" s="975"/>
      <c r="LPM62" s="975"/>
      <c r="LPN62" s="975"/>
      <c r="LPO62" s="975"/>
      <c r="LPP62" s="975"/>
      <c r="LPQ62" s="975"/>
      <c r="LPR62" s="975"/>
      <c r="LPS62" s="975"/>
      <c r="LPT62" s="975"/>
      <c r="LPU62" s="975"/>
      <c r="LPV62" s="975"/>
      <c r="LPW62" s="975"/>
      <c r="LPX62" s="975"/>
      <c r="LPY62" s="975"/>
      <c r="LPZ62" s="975"/>
      <c r="LQA62" s="975"/>
      <c r="LQB62" s="975"/>
      <c r="LQC62" s="975"/>
      <c r="LQD62" s="975"/>
      <c r="LQE62" s="975"/>
      <c r="LQF62" s="975"/>
      <c r="LQG62" s="975"/>
      <c r="LQH62" s="975"/>
      <c r="LQI62" s="975"/>
      <c r="LQJ62" s="975"/>
      <c r="LQK62" s="975"/>
      <c r="LQL62" s="975"/>
      <c r="LQM62" s="975"/>
      <c r="LQN62" s="975"/>
      <c r="LQO62" s="975"/>
      <c r="LQP62" s="975"/>
      <c r="LQQ62" s="975"/>
      <c r="LQR62" s="975"/>
      <c r="LQS62" s="975"/>
      <c r="LQT62" s="975"/>
      <c r="LQU62" s="975"/>
      <c r="LQV62" s="975"/>
      <c r="LQW62" s="975"/>
      <c r="LQX62" s="975"/>
      <c r="LQY62" s="975"/>
      <c r="LQZ62" s="975"/>
      <c r="LRA62" s="975"/>
      <c r="LRB62" s="975"/>
      <c r="LRC62" s="975"/>
      <c r="LRD62" s="975"/>
      <c r="LRE62" s="975"/>
      <c r="LRF62" s="975"/>
      <c r="LRG62" s="975"/>
      <c r="LRH62" s="975"/>
      <c r="LRI62" s="975"/>
      <c r="LRJ62" s="975"/>
      <c r="LRK62" s="975"/>
      <c r="LRL62" s="975"/>
      <c r="LRM62" s="975"/>
      <c r="LRN62" s="975"/>
      <c r="LRO62" s="975"/>
      <c r="LRP62" s="975"/>
      <c r="LRQ62" s="975"/>
      <c r="LRR62" s="975"/>
      <c r="LRS62" s="975"/>
      <c r="LRT62" s="975"/>
      <c r="LRU62" s="975"/>
      <c r="LRV62" s="975"/>
      <c r="LRW62" s="975"/>
      <c r="LRX62" s="975"/>
      <c r="LRY62" s="975"/>
      <c r="LRZ62" s="975"/>
      <c r="LSA62" s="975"/>
      <c r="LSB62" s="975"/>
      <c r="LSC62" s="975"/>
      <c r="LSD62" s="975"/>
      <c r="LSE62" s="975"/>
      <c r="LSF62" s="975"/>
      <c r="LSG62" s="975"/>
      <c r="LSH62" s="975"/>
      <c r="LSI62" s="975"/>
      <c r="LSJ62" s="975"/>
      <c r="LSK62" s="975"/>
      <c r="LSL62" s="975"/>
      <c r="LSM62" s="975"/>
      <c r="LSN62" s="975"/>
      <c r="LSO62" s="975"/>
      <c r="LSP62" s="975"/>
      <c r="LSQ62" s="975"/>
      <c r="LSR62" s="975"/>
      <c r="LSS62" s="975"/>
      <c r="LST62" s="975"/>
      <c r="LSU62" s="975"/>
      <c r="LSV62" s="975"/>
      <c r="LSW62" s="975"/>
      <c r="LSX62" s="975"/>
      <c r="LSY62" s="975"/>
      <c r="LSZ62" s="975"/>
      <c r="LTA62" s="975"/>
      <c r="LTB62" s="975"/>
      <c r="LTC62" s="975"/>
      <c r="LTD62" s="975"/>
      <c r="LTE62" s="975"/>
      <c r="LTF62" s="975"/>
      <c r="LTG62" s="975"/>
      <c r="LTH62" s="975"/>
      <c r="LTI62" s="975"/>
      <c r="LTJ62" s="975"/>
      <c r="LTK62" s="975"/>
      <c r="LTL62" s="975"/>
      <c r="LTM62" s="975"/>
      <c r="LTN62" s="975"/>
      <c r="LTO62" s="975"/>
      <c r="LTP62" s="975"/>
      <c r="LTQ62" s="975"/>
      <c r="LTR62" s="975"/>
      <c r="LTS62" s="975"/>
      <c r="LTT62" s="975"/>
      <c r="LTU62" s="975"/>
      <c r="LTV62" s="975"/>
      <c r="LTW62" s="975"/>
      <c r="LTX62" s="975"/>
      <c r="LTY62" s="975"/>
      <c r="LTZ62" s="975"/>
      <c r="LUA62" s="975"/>
      <c r="LUB62" s="975"/>
      <c r="LUC62" s="975"/>
      <c r="LUD62" s="975"/>
      <c r="LUE62" s="975"/>
      <c r="LUF62" s="975"/>
      <c r="LUG62" s="975"/>
      <c r="LUH62" s="975"/>
      <c r="LUI62" s="975"/>
      <c r="LUJ62" s="975"/>
      <c r="LUK62" s="975"/>
      <c r="LUL62" s="975"/>
      <c r="LUM62" s="975"/>
      <c r="LUN62" s="975"/>
      <c r="LUO62" s="975"/>
      <c r="LUP62" s="975"/>
      <c r="LUQ62" s="975"/>
      <c r="LUR62" s="975"/>
      <c r="LUS62" s="975"/>
      <c r="LUT62" s="975"/>
      <c r="LUU62" s="975"/>
      <c r="LUV62" s="975"/>
      <c r="LUW62" s="975"/>
      <c r="LUX62" s="975"/>
      <c r="LUY62" s="975"/>
      <c r="LUZ62" s="975"/>
      <c r="LVA62" s="975"/>
      <c r="LVB62" s="975"/>
      <c r="LVC62" s="975"/>
      <c r="LVD62" s="975"/>
      <c r="LVE62" s="975"/>
      <c r="LVF62" s="975"/>
      <c r="LVG62" s="975"/>
      <c r="LVH62" s="975"/>
      <c r="LVI62" s="975"/>
      <c r="LVJ62" s="975"/>
      <c r="LVK62" s="975"/>
      <c r="LVL62" s="975"/>
      <c r="LVM62" s="975"/>
      <c r="LVN62" s="975"/>
      <c r="LVO62" s="975"/>
      <c r="LVP62" s="975"/>
      <c r="LVQ62" s="975"/>
      <c r="LVR62" s="975"/>
      <c r="LVS62" s="975"/>
      <c r="LVT62" s="975"/>
      <c r="LVU62" s="975"/>
      <c r="LVV62" s="975"/>
      <c r="LVW62" s="975"/>
      <c r="LVX62" s="975"/>
      <c r="LVY62" s="975"/>
      <c r="LVZ62" s="975"/>
      <c r="LWA62" s="975"/>
      <c r="LWB62" s="975"/>
      <c r="LWC62" s="975"/>
      <c r="LWD62" s="975"/>
      <c r="LWE62" s="975"/>
      <c r="LWF62" s="975"/>
      <c r="LWG62" s="975"/>
      <c r="LWH62" s="975"/>
      <c r="LWI62" s="975"/>
      <c r="LWJ62" s="975"/>
      <c r="LWK62" s="975"/>
      <c r="LWL62" s="975"/>
      <c r="LWM62" s="975"/>
      <c r="LWN62" s="975"/>
      <c r="LWO62" s="975"/>
      <c r="LWP62" s="975"/>
      <c r="LWQ62" s="975"/>
      <c r="LWR62" s="975"/>
      <c r="LWS62" s="975"/>
      <c r="LWT62" s="975"/>
      <c r="LWU62" s="975"/>
      <c r="LWV62" s="975"/>
      <c r="LWW62" s="975"/>
      <c r="LWX62" s="975"/>
      <c r="LWY62" s="975"/>
      <c r="LWZ62" s="975"/>
      <c r="LXA62" s="975"/>
      <c r="LXB62" s="975"/>
      <c r="LXC62" s="975"/>
      <c r="LXD62" s="975"/>
      <c r="LXE62" s="975"/>
      <c r="LXF62" s="975"/>
      <c r="LXG62" s="975"/>
      <c r="LXH62" s="975"/>
      <c r="LXI62" s="975"/>
      <c r="LXJ62" s="975"/>
      <c r="LXK62" s="975"/>
      <c r="LXL62" s="975"/>
      <c r="LXM62" s="975"/>
      <c r="LXN62" s="975"/>
      <c r="LXO62" s="975"/>
      <c r="LXP62" s="975"/>
      <c r="LXQ62" s="975"/>
      <c r="LXR62" s="975"/>
      <c r="LXS62" s="975"/>
      <c r="LXT62" s="975"/>
      <c r="LXU62" s="975"/>
      <c r="LXV62" s="975"/>
      <c r="LXW62" s="975"/>
      <c r="LXX62" s="975"/>
      <c r="LXY62" s="975"/>
      <c r="LXZ62" s="975"/>
      <c r="LYA62" s="975"/>
      <c r="LYB62" s="975"/>
      <c r="LYC62" s="975"/>
      <c r="LYD62" s="975"/>
      <c r="LYE62" s="975"/>
      <c r="LYF62" s="975"/>
      <c r="LYG62" s="975"/>
      <c r="LYH62" s="975"/>
      <c r="LYI62" s="975"/>
      <c r="LYJ62" s="975"/>
      <c r="LYK62" s="975"/>
      <c r="LYL62" s="975"/>
      <c r="LYM62" s="975"/>
      <c r="LYN62" s="975"/>
      <c r="LYO62" s="975"/>
      <c r="LYP62" s="975"/>
      <c r="LYQ62" s="975"/>
      <c r="LYR62" s="975"/>
      <c r="LYS62" s="975"/>
      <c r="LYT62" s="975"/>
      <c r="LYU62" s="975"/>
      <c r="LYV62" s="975"/>
      <c r="LYW62" s="975"/>
      <c r="LYX62" s="975"/>
      <c r="LYY62" s="975"/>
      <c r="LYZ62" s="975"/>
      <c r="LZA62" s="975"/>
      <c r="LZB62" s="975"/>
      <c r="LZC62" s="975"/>
      <c r="LZD62" s="975"/>
      <c r="LZE62" s="975"/>
      <c r="LZF62" s="975"/>
      <c r="LZG62" s="975"/>
      <c r="LZH62" s="975"/>
      <c r="LZI62" s="975"/>
      <c r="LZJ62" s="975"/>
      <c r="LZK62" s="975"/>
      <c r="LZL62" s="975"/>
      <c r="LZM62" s="975"/>
      <c r="LZN62" s="975"/>
      <c r="LZO62" s="975"/>
      <c r="LZP62" s="975"/>
      <c r="LZQ62" s="975"/>
      <c r="LZR62" s="975"/>
      <c r="LZS62" s="975"/>
      <c r="LZT62" s="975"/>
      <c r="LZU62" s="975"/>
      <c r="LZV62" s="975"/>
      <c r="LZW62" s="975"/>
      <c r="LZX62" s="975"/>
      <c r="LZY62" s="975"/>
      <c r="LZZ62" s="975"/>
      <c r="MAA62" s="975"/>
      <c r="MAB62" s="975"/>
      <c r="MAC62" s="975"/>
      <c r="MAD62" s="975"/>
      <c r="MAE62" s="975"/>
      <c r="MAF62" s="975"/>
      <c r="MAG62" s="975"/>
      <c r="MAH62" s="975"/>
      <c r="MAI62" s="975"/>
      <c r="MAJ62" s="975"/>
      <c r="MAK62" s="975"/>
      <c r="MAL62" s="975"/>
      <c r="MAM62" s="975"/>
      <c r="MAN62" s="975"/>
      <c r="MAO62" s="975"/>
      <c r="MAP62" s="975"/>
      <c r="MAQ62" s="975"/>
      <c r="MAR62" s="975"/>
      <c r="MAS62" s="975"/>
      <c r="MAT62" s="975"/>
      <c r="MAU62" s="975"/>
      <c r="MAV62" s="975"/>
      <c r="MAW62" s="975"/>
      <c r="MAX62" s="975"/>
      <c r="MAY62" s="975"/>
      <c r="MAZ62" s="975"/>
      <c r="MBA62" s="975"/>
      <c r="MBB62" s="975"/>
      <c r="MBC62" s="975"/>
      <c r="MBD62" s="975"/>
      <c r="MBE62" s="975"/>
      <c r="MBF62" s="975"/>
      <c r="MBG62" s="975"/>
      <c r="MBH62" s="975"/>
      <c r="MBI62" s="975"/>
      <c r="MBJ62" s="975"/>
      <c r="MBK62" s="975"/>
      <c r="MBL62" s="975"/>
      <c r="MBM62" s="975"/>
      <c r="MBN62" s="975"/>
      <c r="MBO62" s="975"/>
      <c r="MBP62" s="975"/>
      <c r="MBQ62" s="975"/>
      <c r="MBR62" s="975"/>
      <c r="MBS62" s="975"/>
      <c r="MBT62" s="975"/>
      <c r="MBU62" s="975"/>
      <c r="MBV62" s="975"/>
      <c r="MBW62" s="975"/>
      <c r="MBX62" s="975"/>
      <c r="MBY62" s="975"/>
      <c r="MBZ62" s="975"/>
      <c r="MCA62" s="975"/>
      <c r="MCB62" s="975"/>
      <c r="MCC62" s="975"/>
      <c r="MCD62" s="975"/>
      <c r="MCE62" s="975"/>
      <c r="MCF62" s="975"/>
      <c r="MCG62" s="975"/>
      <c r="MCH62" s="975"/>
      <c r="MCI62" s="975"/>
      <c r="MCJ62" s="975"/>
      <c r="MCK62" s="975"/>
      <c r="MCL62" s="975"/>
      <c r="MCM62" s="975"/>
      <c r="MCN62" s="975"/>
      <c r="MCO62" s="975"/>
      <c r="MCP62" s="975"/>
      <c r="MCQ62" s="975"/>
      <c r="MCR62" s="975"/>
      <c r="MCS62" s="975"/>
      <c r="MCT62" s="975"/>
      <c r="MCU62" s="975"/>
      <c r="MCV62" s="975"/>
      <c r="MCW62" s="975"/>
      <c r="MCX62" s="975"/>
      <c r="MCY62" s="975"/>
      <c r="MCZ62" s="975"/>
      <c r="MDA62" s="975"/>
      <c r="MDB62" s="975"/>
      <c r="MDC62" s="975"/>
      <c r="MDD62" s="975"/>
      <c r="MDE62" s="975"/>
      <c r="MDF62" s="975"/>
      <c r="MDG62" s="975"/>
      <c r="MDH62" s="975"/>
      <c r="MDI62" s="975"/>
      <c r="MDJ62" s="975"/>
      <c r="MDK62" s="975"/>
      <c r="MDL62" s="975"/>
      <c r="MDM62" s="975"/>
      <c r="MDN62" s="975"/>
      <c r="MDO62" s="975"/>
      <c r="MDP62" s="975"/>
      <c r="MDQ62" s="975"/>
      <c r="MDR62" s="975"/>
      <c r="MDS62" s="975"/>
      <c r="MDT62" s="975"/>
      <c r="MDU62" s="975"/>
      <c r="MDV62" s="975"/>
      <c r="MDW62" s="975"/>
      <c r="MDX62" s="975"/>
      <c r="MDY62" s="975"/>
      <c r="MDZ62" s="975"/>
      <c r="MEA62" s="975"/>
      <c r="MEB62" s="975"/>
      <c r="MEC62" s="975"/>
      <c r="MED62" s="975"/>
      <c r="MEE62" s="975"/>
      <c r="MEF62" s="975"/>
      <c r="MEG62" s="975"/>
      <c r="MEH62" s="975"/>
      <c r="MEI62" s="975"/>
      <c r="MEJ62" s="975"/>
      <c r="MEK62" s="975"/>
      <c r="MEL62" s="975"/>
      <c r="MEM62" s="975"/>
      <c r="MEN62" s="975"/>
      <c r="MEO62" s="975"/>
      <c r="MEP62" s="975"/>
      <c r="MEQ62" s="975"/>
      <c r="MER62" s="975"/>
      <c r="MES62" s="975"/>
      <c r="MET62" s="975"/>
      <c r="MEU62" s="975"/>
      <c r="MEV62" s="975"/>
      <c r="MEW62" s="975"/>
      <c r="MEX62" s="975"/>
      <c r="MEY62" s="975"/>
      <c r="MEZ62" s="975"/>
      <c r="MFA62" s="975"/>
      <c r="MFB62" s="975"/>
      <c r="MFC62" s="975"/>
      <c r="MFD62" s="975"/>
      <c r="MFE62" s="975"/>
      <c r="MFF62" s="975"/>
      <c r="MFG62" s="975"/>
      <c r="MFH62" s="975"/>
      <c r="MFI62" s="975"/>
      <c r="MFJ62" s="975"/>
      <c r="MFK62" s="975"/>
      <c r="MFL62" s="975"/>
      <c r="MFM62" s="975"/>
      <c r="MFN62" s="975"/>
      <c r="MFO62" s="975"/>
      <c r="MFP62" s="975"/>
      <c r="MFQ62" s="975"/>
      <c r="MFR62" s="975"/>
      <c r="MFS62" s="975"/>
      <c r="MFT62" s="975"/>
      <c r="MFU62" s="975"/>
      <c r="MFV62" s="975"/>
      <c r="MFW62" s="975"/>
      <c r="MFX62" s="975"/>
      <c r="MFY62" s="975"/>
      <c r="MFZ62" s="975"/>
      <c r="MGA62" s="975"/>
      <c r="MGB62" s="975"/>
      <c r="MGC62" s="975"/>
      <c r="MGD62" s="975"/>
      <c r="MGE62" s="975"/>
      <c r="MGF62" s="975"/>
      <c r="MGG62" s="975"/>
      <c r="MGH62" s="975"/>
      <c r="MGI62" s="975"/>
      <c r="MGJ62" s="975"/>
      <c r="MGK62" s="975"/>
      <c r="MGL62" s="975"/>
      <c r="MGM62" s="975"/>
      <c r="MGN62" s="975"/>
      <c r="MGO62" s="975"/>
      <c r="MGP62" s="975"/>
      <c r="MGQ62" s="975"/>
      <c r="MGR62" s="975"/>
      <c r="MGS62" s="975"/>
      <c r="MGT62" s="975"/>
      <c r="MGU62" s="975"/>
      <c r="MGV62" s="975"/>
      <c r="MGW62" s="975"/>
      <c r="MGX62" s="975"/>
      <c r="MGY62" s="975"/>
      <c r="MGZ62" s="975"/>
      <c r="MHA62" s="975"/>
      <c r="MHB62" s="975"/>
      <c r="MHC62" s="975"/>
      <c r="MHD62" s="975"/>
      <c r="MHE62" s="975"/>
      <c r="MHF62" s="975"/>
      <c r="MHG62" s="975"/>
      <c r="MHH62" s="975"/>
      <c r="MHI62" s="975"/>
      <c r="MHJ62" s="975"/>
      <c r="MHK62" s="975"/>
      <c r="MHL62" s="975"/>
      <c r="MHM62" s="975"/>
      <c r="MHN62" s="975"/>
      <c r="MHO62" s="975"/>
      <c r="MHP62" s="975"/>
      <c r="MHQ62" s="975"/>
      <c r="MHR62" s="975"/>
      <c r="MHS62" s="975"/>
      <c r="MHT62" s="975"/>
      <c r="MHU62" s="975"/>
      <c r="MHV62" s="975"/>
      <c r="MHW62" s="975"/>
      <c r="MHX62" s="975"/>
      <c r="MHY62" s="975"/>
      <c r="MHZ62" s="975"/>
      <c r="MIA62" s="975"/>
      <c r="MIB62" s="975"/>
      <c r="MIC62" s="975"/>
      <c r="MID62" s="975"/>
      <c r="MIE62" s="975"/>
      <c r="MIF62" s="975"/>
      <c r="MIG62" s="975"/>
      <c r="MIH62" s="975"/>
      <c r="MII62" s="975"/>
      <c r="MIJ62" s="975"/>
      <c r="MIK62" s="975"/>
      <c r="MIL62" s="975"/>
      <c r="MIM62" s="975"/>
      <c r="MIN62" s="975"/>
      <c r="MIO62" s="975"/>
      <c r="MIP62" s="975"/>
      <c r="MIQ62" s="975"/>
      <c r="MIR62" s="975"/>
      <c r="MIS62" s="975"/>
      <c r="MIT62" s="975"/>
      <c r="MIU62" s="975"/>
      <c r="MIV62" s="975"/>
      <c r="MIW62" s="975"/>
      <c r="MIX62" s="975"/>
      <c r="MIY62" s="975"/>
      <c r="MIZ62" s="975"/>
      <c r="MJA62" s="975"/>
      <c r="MJB62" s="975"/>
      <c r="MJC62" s="975"/>
      <c r="MJD62" s="975"/>
      <c r="MJE62" s="975"/>
      <c r="MJF62" s="975"/>
      <c r="MJG62" s="975"/>
      <c r="MJH62" s="975"/>
      <c r="MJI62" s="975"/>
      <c r="MJJ62" s="975"/>
      <c r="MJK62" s="975"/>
      <c r="MJL62" s="975"/>
      <c r="MJM62" s="975"/>
      <c r="MJN62" s="975"/>
      <c r="MJO62" s="975"/>
      <c r="MJP62" s="975"/>
      <c r="MJQ62" s="975"/>
      <c r="MJR62" s="975"/>
      <c r="MJS62" s="975"/>
      <c r="MJT62" s="975"/>
      <c r="MJU62" s="975"/>
      <c r="MJV62" s="975"/>
      <c r="MJW62" s="975"/>
      <c r="MJX62" s="975"/>
      <c r="MJY62" s="975"/>
      <c r="MJZ62" s="975"/>
      <c r="MKA62" s="975"/>
      <c r="MKB62" s="975"/>
      <c r="MKC62" s="975"/>
      <c r="MKD62" s="975"/>
      <c r="MKE62" s="975"/>
      <c r="MKF62" s="975"/>
      <c r="MKG62" s="975"/>
      <c r="MKH62" s="975"/>
      <c r="MKI62" s="975"/>
      <c r="MKJ62" s="975"/>
      <c r="MKK62" s="975"/>
      <c r="MKL62" s="975"/>
      <c r="MKM62" s="975"/>
      <c r="MKN62" s="975"/>
      <c r="MKO62" s="975"/>
      <c r="MKP62" s="975"/>
      <c r="MKQ62" s="975"/>
      <c r="MKR62" s="975"/>
      <c r="MKS62" s="975"/>
      <c r="MKT62" s="975"/>
      <c r="MKU62" s="975"/>
      <c r="MKV62" s="975"/>
      <c r="MKW62" s="975"/>
      <c r="MKX62" s="975"/>
      <c r="MKY62" s="975"/>
      <c r="MKZ62" s="975"/>
      <c r="MLA62" s="975"/>
      <c r="MLB62" s="975"/>
      <c r="MLC62" s="975"/>
      <c r="MLD62" s="975"/>
      <c r="MLE62" s="975"/>
      <c r="MLF62" s="975"/>
      <c r="MLG62" s="975"/>
      <c r="MLH62" s="975"/>
      <c r="MLI62" s="975"/>
      <c r="MLJ62" s="975"/>
      <c r="MLK62" s="975"/>
      <c r="MLL62" s="975"/>
      <c r="MLM62" s="975"/>
      <c r="MLN62" s="975"/>
      <c r="MLO62" s="975"/>
      <c r="MLP62" s="975"/>
      <c r="MLQ62" s="975"/>
      <c r="MLR62" s="975"/>
      <c r="MLS62" s="975"/>
      <c r="MLT62" s="975"/>
      <c r="MLU62" s="975"/>
      <c r="MLV62" s="975"/>
      <c r="MLW62" s="975"/>
      <c r="MLX62" s="975"/>
      <c r="MLY62" s="975"/>
      <c r="MLZ62" s="975"/>
      <c r="MMA62" s="975"/>
      <c r="MMB62" s="975"/>
      <c r="MMC62" s="975"/>
      <c r="MMD62" s="975"/>
      <c r="MME62" s="975"/>
      <c r="MMF62" s="975"/>
      <c r="MMG62" s="975"/>
      <c r="MMH62" s="975"/>
      <c r="MMI62" s="975"/>
      <c r="MMJ62" s="975"/>
      <c r="MMK62" s="975"/>
      <c r="MML62" s="975"/>
      <c r="MMM62" s="975"/>
      <c r="MMN62" s="975"/>
      <c r="MMO62" s="975"/>
      <c r="MMP62" s="975"/>
      <c r="MMQ62" s="975"/>
      <c r="MMR62" s="975"/>
      <c r="MMS62" s="975"/>
      <c r="MMT62" s="975"/>
      <c r="MMU62" s="975"/>
      <c r="MMV62" s="975"/>
      <c r="MMW62" s="975"/>
      <c r="MMX62" s="975"/>
      <c r="MMY62" s="975"/>
      <c r="MMZ62" s="975"/>
      <c r="MNA62" s="975"/>
      <c r="MNB62" s="975"/>
      <c r="MNC62" s="975"/>
      <c r="MND62" s="975"/>
      <c r="MNE62" s="975"/>
      <c r="MNF62" s="975"/>
      <c r="MNG62" s="975"/>
      <c r="MNH62" s="975"/>
      <c r="MNI62" s="975"/>
      <c r="MNJ62" s="975"/>
      <c r="MNK62" s="975"/>
      <c r="MNL62" s="975"/>
      <c r="MNM62" s="975"/>
      <c r="MNN62" s="975"/>
      <c r="MNO62" s="975"/>
      <c r="MNP62" s="975"/>
      <c r="MNQ62" s="975"/>
      <c r="MNR62" s="975"/>
      <c r="MNS62" s="975"/>
      <c r="MNT62" s="975"/>
      <c r="MNU62" s="975"/>
      <c r="MNV62" s="975"/>
      <c r="MNW62" s="975"/>
      <c r="MNX62" s="975"/>
      <c r="MNY62" s="975"/>
      <c r="MNZ62" s="975"/>
      <c r="MOA62" s="975"/>
      <c r="MOB62" s="975"/>
      <c r="MOC62" s="975"/>
      <c r="MOD62" s="975"/>
      <c r="MOE62" s="975"/>
      <c r="MOF62" s="975"/>
      <c r="MOG62" s="975"/>
      <c r="MOH62" s="975"/>
      <c r="MOI62" s="975"/>
      <c r="MOJ62" s="975"/>
      <c r="MOK62" s="975"/>
      <c r="MOL62" s="975"/>
      <c r="MOM62" s="975"/>
      <c r="MON62" s="975"/>
      <c r="MOO62" s="975"/>
      <c r="MOP62" s="975"/>
      <c r="MOQ62" s="975"/>
      <c r="MOR62" s="975"/>
      <c r="MOS62" s="975"/>
      <c r="MOT62" s="975"/>
      <c r="MOU62" s="975"/>
      <c r="MOV62" s="975"/>
      <c r="MOW62" s="975"/>
      <c r="MOX62" s="975"/>
      <c r="MOY62" s="975"/>
      <c r="MOZ62" s="975"/>
      <c r="MPA62" s="975"/>
      <c r="MPB62" s="975"/>
      <c r="MPC62" s="975"/>
      <c r="MPD62" s="975"/>
      <c r="MPE62" s="975"/>
      <c r="MPF62" s="975"/>
      <c r="MPG62" s="975"/>
      <c r="MPH62" s="975"/>
      <c r="MPI62" s="975"/>
      <c r="MPJ62" s="975"/>
      <c r="MPK62" s="975"/>
      <c r="MPL62" s="975"/>
      <c r="MPM62" s="975"/>
      <c r="MPN62" s="975"/>
      <c r="MPO62" s="975"/>
      <c r="MPP62" s="975"/>
      <c r="MPQ62" s="975"/>
      <c r="MPR62" s="975"/>
      <c r="MPS62" s="975"/>
      <c r="MPT62" s="975"/>
      <c r="MPU62" s="975"/>
      <c r="MPV62" s="975"/>
      <c r="MPW62" s="975"/>
      <c r="MPX62" s="975"/>
      <c r="MPY62" s="975"/>
      <c r="MPZ62" s="975"/>
      <c r="MQA62" s="975"/>
      <c r="MQB62" s="975"/>
      <c r="MQC62" s="975"/>
      <c r="MQD62" s="975"/>
      <c r="MQE62" s="975"/>
      <c r="MQF62" s="975"/>
      <c r="MQG62" s="975"/>
      <c r="MQH62" s="975"/>
      <c r="MQI62" s="975"/>
      <c r="MQJ62" s="975"/>
      <c r="MQK62" s="975"/>
      <c r="MQL62" s="975"/>
      <c r="MQM62" s="975"/>
      <c r="MQN62" s="975"/>
      <c r="MQO62" s="975"/>
      <c r="MQP62" s="975"/>
      <c r="MQQ62" s="975"/>
      <c r="MQR62" s="975"/>
      <c r="MQS62" s="975"/>
      <c r="MQT62" s="975"/>
      <c r="MQU62" s="975"/>
      <c r="MQV62" s="975"/>
      <c r="MQW62" s="975"/>
      <c r="MQX62" s="975"/>
      <c r="MQY62" s="975"/>
      <c r="MQZ62" s="975"/>
      <c r="MRA62" s="975"/>
      <c r="MRB62" s="975"/>
      <c r="MRC62" s="975"/>
      <c r="MRD62" s="975"/>
      <c r="MRE62" s="975"/>
      <c r="MRF62" s="975"/>
      <c r="MRG62" s="975"/>
      <c r="MRH62" s="975"/>
      <c r="MRI62" s="975"/>
      <c r="MRJ62" s="975"/>
      <c r="MRK62" s="975"/>
      <c r="MRL62" s="975"/>
      <c r="MRM62" s="975"/>
      <c r="MRN62" s="975"/>
      <c r="MRO62" s="975"/>
      <c r="MRP62" s="975"/>
      <c r="MRQ62" s="975"/>
      <c r="MRR62" s="975"/>
      <c r="MRS62" s="975"/>
      <c r="MRT62" s="975"/>
      <c r="MRU62" s="975"/>
      <c r="MRV62" s="975"/>
      <c r="MRW62" s="975"/>
      <c r="MRX62" s="975"/>
      <c r="MRY62" s="975"/>
      <c r="MRZ62" s="975"/>
      <c r="MSA62" s="975"/>
      <c r="MSB62" s="975"/>
      <c r="MSC62" s="975"/>
      <c r="MSD62" s="975"/>
      <c r="MSE62" s="975"/>
      <c r="MSF62" s="975"/>
      <c r="MSG62" s="975"/>
      <c r="MSH62" s="975"/>
      <c r="MSI62" s="975"/>
      <c r="MSJ62" s="975"/>
      <c r="MSK62" s="975"/>
      <c r="MSL62" s="975"/>
      <c r="MSM62" s="975"/>
      <c r="MSN62" s="975"/>
      <c r="MSO62" s="975"/>
      <c r="MSP62" s="975"/>
      <c r="MSQ62" s="975"/>
      <c r="MSR62" s="975"/>
      <c r="MSS62" s="975"/>
      <c r="MST62" s="975"/>
      <c r="MSU62" s="975"/>
      <c r="MSV62" s="975"/>
      <c r="MSW62" s="975"/>
      <c r="MSX62" s="975"/>
      <c r="MSY62" s="975"/>
      <c r="MSZ62" s="975"/>
      <c r="MTA62" s="975"/>
      <c r="MTB62" s="975"/>
      <c r="MTC62" s="975"/>
      <c r="MTD62" s="975"/>
      <c r="MTE62" s="975"/>
      <c r="MTF62" s="975"/>
      <c r="MTG62" s="975"/>
      <c r="MTH62" s="975"/>
      <c r="MTI62" s="975"/>
      <c r="MTJ62" s="975"/>
      <c r="MTK62" s="975"/>
      <c r="MTL62" s="975"/>
      <c r="MTM62" s="975"/>
      <c r="MTN62" s="975"/>
      <c r="MTO62" s="975"/>
      <c r="MTP62" s="975"/>
      <c r="MTQ62" s="975"/>
      <c r="MTR62" s="975"/>
      <c r="MTS62" s="975"/>
      <c r="MTT62" s="975"/>
      <c r="MTU62" s="975"/>
      <c r="MTV62" s="975"/>
      <c r="MTW62" s="975"/>
      <c r="MTX62" s="975"/>
      <c r="MTY62" s="975"/>
      <c r="MTZ62" s="975"/>
      <c r="MUA62" s="975"/>
      <c r="MUB62" s="975"/>
      <c r="MUC62" s="975"/>
      <c r="MUD62" s="975"/>
      <c r="MUE62" s="975"/>
      <c r="MUF62" s="975"/>
      <c r="MUG62" s="975"/>
      <c r="MUH62" s="975"/>
      <c r="MUI62" s="975"/>
      <c r="MUJ62" s="975"/>
      <c r="MUK62" s="975"/>
      <c r="MUL62" s="975"/>
      <c r="MUM62" s="975"/>
      <c r="MUN62" s="975"/>
      <c r="MUO62" s="975"/>
      <c r="MUP62" s="975"/>
      <c r="MUQ62" s="975"/>
      <c r="MUR62" s="975"/>
      <c r="MUS62" s="975"/>
      <c r="MUT62" s="975"/>
      <c r="MUU62" s="975"/>
      <c r="MUV62" s="975"/>
      <c r="MUW62" s="975"/>
      <c r="MUX62" s="975"/>
      <c r="MUY62" s="975"/>
      <c r="MUZ62" s="975"/>
      <c r="MVA62" s="975"/>
      <c r="MVB62" s="975"/>
      <c r="MVC62" s="975"/>
      <c r="MVD62" s="975"/>
      <c r="MVE62" s="975"/>
      <c r="MVF62" s="975"/>
      <c r="MVG62" s="975"/>
      <c r="MVH62" s="975"/>
      <c r="MVI62" s="975"/>
      <c r="MVJ62" s="975"/>
      <c r="MVK62" s="975"/>
      <c r="MVL62" s="975"/>
      <c r="MVM62" s="975"/>
      <c r="MVN62" s="975"/>
      <c r="MVO62" s="975"/>
      <c r="MVP62" s="975"/>
      <c r="MVQ62" s="975"/>
      <c r="MVR62" s="975"/>
      <c r="MVS62" s="975"/>
      <c r="MVT62" s="975"/>
      <c r="MVU62" s="975"/>
      <c r="MVV62" s="975"/>
      <c r="MVW62" s="975"/>
      <c r="MVX62" s="975"/>
      <c r="MVY62" s="975"/>
      <c r="MVZ62" s="975"/>
      <c r="MWA62" s="975"/>
      <c r="MWB62" s="975"/>
      <c r="MWC62" s="975"/>
      <c r="MWD62" s="975"/>
      <c r="MWE62" s="975"/>
      <c r="MWF62" s="975"/>
      <c r="MWG62" s="975"/>
      <c r="MWH62" s="975"/>
      <c r="MWI62" s="975"/>
      <c r="MWJ62" s="975"/>
      <c r="MWK62" s="975"/>
      <c r="MWL62" s="975"/>
      <c r="MWM62" s="975"/>
      <c r="MWN62" s="975"/>
      <c r="MWO62" s="975"/>
      <c r="MWP62" s="975"/>
      <c r="MWQ62" s="975"/>
      <c r="MWR62" s="975"/>
      <c r="MWS62" s="975"/>
      <c r="MWT62" s="975"/>
      <c r="MWU62" s="975"/>
      <c r="MWV62" s="975"/>
      <c r="MWW62" s="975"/>
      <c r="MWX62" s="975"/>
      <c r="MWY62" s="975"/>
      <c r="MWZ62" s="975"/>
      <c r="MXA62" s="975"/>
      <c r="MXB62" s="975"/>
      <c r="MXC62" s="975"/>
      <c r="MXD62" s="975"/>
      <c r="MXE62" s="975"/>
      <c r="MXF62" s="975"/>
      <c r="MXG62" s="975"/>
      <c r="MXH62" s="975"/>
      <c r="MXI62" s="975"/>
      <c r="MXJ62" s="975"/>
      <c r="MXK62" s="975"/>
      <c r="MXL62" s="975"/>
      <c r="MXM62" s="975"/>
      <c r="MXN62" s="975"/>
      <c r="MXO62" s="975"/>
      <c r="MXP62" s="975"/>
      <c r="MXQ62" s="975"/>
      <c r="MXR62" s="975"/>
      <c r="MXS62" s="975"/>
      <c r="MXT62" s="975"/>
      <c r="MXU62" s="975"/>
      <c r="MXV62" s="975"/>
      <c r="MXW62" s="975"/>
      <c r="MXX62" s="975"/>
      <c r="MXY62" s="975"/>
      <c r="MXZ62" s="975"/>
      <c r="MYA62" s="975"/>
      <c r="MYB62" s="975"/>
      <c r="MYC62" s="975"/>
      <c r="MYD62" s="975"/>
      <c r="MYE62" s="975"/>
      <c r="MYF62" s="975"/>
      <c r="MYG62" s="975"/>
      <c r="MYH62" s="975"/>
      <c r="MYI62" s="975"/>
      <c r="MYJ62" s="975"/>
      <c r="MYK62" s="975"/>
      <c r="MYL62" s="975"/>
      <c r="MYM62" s="975"/>
      <c r="MYN62" s="975"/>
      <c r="MYO62" s="975"/>
      <c r="MYP62" s="975"/>
      <c r="MYQ62" s="975"/>
      <c r="MYR62" s="975"/>
      <c r="MYS62" s="975"/>
      <c r="MYT62" s="975"/>
      <c r="MYU62" s="975"/>
      <c r="MYV62" s="975"/>
      <c r="MYW62" s="975"/>
      <c r="MYX62" s="975"/>
      <c r="MYY62" s="975"/>
      <c r="MYZ62" s="975"/>
      <c r="MZA62" s="975"/>
      <c r="MZB62" s="975"/>
      <c r="MZC62" s="975"/>
      <c r="MZD62" s="975"/>
      <c r="MZE62" s="975"/>
      <c r="MZF62" s="975"/>
      <c r="MZG62" s="975"/>
      <c r="MZH62" s="975"/>
      <c r="MZI62" s="975"/>
      <c r="MZJ62" s="975"/>
      <c r="MZK62" s="975"/>
      <c r="MZL62" s="975"/>
      <c r="MZM62" s="975"/>
      <c r="MZN62" s="975"/>
      <c r="MZO62" s="975"/>
      <c r="MZP62" s="975"/>
      <c r="MZQ62" s="975"/>
      <c r="MZR62" s="975"/>
      <c r="MZS62" s="975"/>
      <c r="MZT62" s="975"/>
      <c r="MZU62" s="975"/>
      <c r="MZV62" s="975"/>
      <c r="MZW62" s="975"/>
      <c r="MZX62" s="975"/>
      <c r="MZY62" s="975"/>
      <c r="MZZ62" s="975"/>
      <c r="NAA62" s="975"/>
      <c r="NAB62" s="975"/>
      <c r="NAC62" s="975"/>
      <c r="NAD62" s="975"/>
      <c r="NAE62" s="975"/>
      <c r="NAF62" s="975"/>
      <c r="NAG62" s="975"/>
      <c r="NAH62" s="975"/>
      <c r="NAI62" s="975"/>
      <c r="NAJ62" s="975"/>
      <c r="NAK62" s="975"/>
      <c r="NAL62" s="975"/>
      <c r="NAM62" s="975"/>
      <c r="NAN62" s="975"/>
      <c r="NAO62" s="975"/>
      <c r="NAP62" s="975"/>
      <c r="NAQ62" s="975"/>
      <c r="NAR62" s="975"/>
      <c r="NAS62" s="975"/>
      <c r="NAT62" s="975"/>
      <c r="NAU62" s="975"/>
      <c r="NAV62" s="975"/>
      <c r="NAW62" s="975"/>
      <c r="NAX62" s="975"/>
      <c r="NAY62" s="975"/>
      <c r="NAZ62" s="975"/>
      <c r="NBA62" s="975"/>
      <c r="NBB62" s="975"/>
      <c r="NBC62" s="975"/>
      <c r="NBD62" s="975"/>
      <c r="NBE62" s="975"/>
      <c r="NBF62" s="975"/>
      <c r="NBG62" s="975"/>
      <c r="NBH62" s="975"/>
      <c r="NBI62" s="975"/>
      <c r="NBJ62" s="975"/>
      <c r="NBK62" s="975"/>
      <c r="NBL62" s="975"/>
      <c r="NBM62" s="975"/>
      <c r="NBN62" s="975"/>
      <c r="NBO62" s="975"/>
      <c r="NBP62" s="975"/>
      <c r="NBQ62" s="975"/>
      <c r="NBR62" s="975"/>
      <c r="NBS62" s="975"/>
      <c r="NBT62" s="975"/>
      <c r="NBU62" s="975"/>
      <c r="NBV62" s="975"/>
      <c r="NBW62" s="975"/>
      <c r="NBX62" s="975"/>
      <c r="NBY62" s="975"/>
      <c r="NBZ62" s="975"/>
      <c r="NCA62" s="975"/>
      <c r="NCB62" s="975"/>
      <c r="NCC62" s="975"/>
      <c r="NCD62" s="975"/>
      <c r="NCE62" s="975"/>
      <c r="NCF62" s="975"/>
      <c r="NCG62" s="975"/>
      <c r="NCH62" s="975"/>
      <c r="NCI62" s="975"/>
      <c r="NCJ62" s="975"/>
      <c r="NCK62" s="975"/>
      <c r="NCL62" s="975"/>
      <c r="NCM62" s="975"/>
      <c r="NCN62" s="975"/>
      <c r="NCO62" s="975"/>
      <c r="NCP62" s="975"/>
      <c r="NCQ62" s="975"/>
      <c r="NCR62" s="975"/>
      <c r="NCS62" s="975"/>
      <c r="NCT62" s="975"/>
      <c r="NCU62" s="975"/>
      <c r="NCV62" s="975"/>
      <c r="NCW62" s="975"/>
      <c r="NCX62" s="975"/>
      <c r="NCY62" s="975"/>
      <c r="NCZ62" s="975"/>
      <c r="NDA62" s="975"/>
      <c r="NDB62" s="975"/>
      <c r="NDC62" s="975"/>
      <c r="NDD62" s="975"/>
      <c r="NDE62" s="975"/>
      <c r="NDF62" s="975"/>
      <c r="NDG62" s="975"/>
      <c r="NDH62" s="975"/>
      <c r="NDI62" s="975"/>
      <c r="NDJ62" s="975"/>
      <c r="NDK62" s="975"/>
      <c r="NDL62" s="975"/>
      <c r="NDM62" s="975"/>
      <c r="NDN62" s="975"/>
      <c r="NDO62" s="975"/>
      <c r="NDP62" s="975"/>
      <c r="NDQ62" s="975"/>
      <c r="NDR62" s="975"/>
      <c r="NDS62" s="975"/>
      <c r="NDT62" s="975"/>
      <c r="NDU62" s="975"/>
      <c r="NDV62" s="975"/>
      <c r="NDW62" s="975"/>
      <c r="NDX62" s="975"/>
      <c r="NDY62" s="975"/>
      <c r="NDZ62" s="975"/>
      <c r="NEA62" s="975"/>
      <c r="NEB62" s="975"/>
      <c r="NEC62" s="975"/>
      <c r="NED62" s="975"/>
      <c r="NEE62" s="975"/>
      <c r="NEF62" s="975"/>
      <c r="NEG62" s="975"/>
      <c r="NEH62" s="975"/>
      <c r="NEI62" s="975"/>
      <c r="NEJ62" s="975"/>
      <c r="NEK62" s="975"/>
      <c r="NEL62" s="975"/>
      <c r="NEM62" s="975"/>
      <c r="NEN62" s="975"/>
      <c r="NEO62" s="975"/>
      <c r="NEP62" s="975"/>
      <c r="NEQ62" s="975"/>
      <c r="NER62" s="975"/>
      <c r="NES62" s="975"/>
      <c r="NET62" s="975"/>
      <c r="NEU62" s="975"/>
      <c r="NEV62" s="975"/>
      <c r="NEW62" s="975"/>
      <c r="NEX62" s="975"/>
      <c r="NEY62" s="975"/>
      <c r="NEZ62" s="975"/>
      <c r="NFA62" s="975"/>
      <c r="NFB62" s="975"/>
      <c r="NFC62" s="975"/>
      <c r="NFD62" s="975"/>
      <c r="NFE62" s="975"/>
      <c r="NFF62" s="975"/>
      <c r="NFG62" s="975"/>
      <c r="NFH62" s="975"/>
      <c r="NFI62" s="975"/>
      <c r="NFJ62" s="975"/>
      <c r="NFK62" s="975"/>
      <c r="NFL62" s="975"/>
      <c r="NFM62" s="975"/>
      <c r="NFN62" s="975"/>
      <c r="NFO62" s="975"/>
      <c r="NFP62" s="975"/>
      <c r="NFQ62" s="975"/>
      <c r="NFR62" s="975"/>
      <c r="NFS62" s="975"/>
      <c r="NFT62" s="975"/>
      <c r="NFU62" s="975"/>
      <c r="NFV62" s="975"/>
      <c r="NFW62" s="975"/>
      <c r="NFX62" s="975"/>
      <c r="NFY62" s="975"/>
      <c r="NFZ62" s="975"/>
      <c r="NGA62" s="975"/>
      <c r="NGB62" s="975"/>
      <c r="NGC62" s="975"/>
      <c r="NGD62" s="975"/>
      <c r="NGE62" s="975"/>
      <c r="NGF62" s="975"/>
      <c r="NGG62" s="975"/>
      <c r="NGH62" s="975"/>
      <c r="NGI62" s="975"/>
      <c r="NGJ62" s="975"/>
      <c r="NGK62" s="975"/>
      <c r="NGL62" s="975"/>
      <c r="NGM62" s="975"/>
      <c r="NGN62" s="975"/>
      <c r="NGO62" s="975"/>
      <c r="NGP62" s="975"/>
      <c r="NGQ62" s="975"/>
      <c r="NGR62" s="975"/>
      <c r="NGS62" s="975"/>
      <c r="NGT62" s="975"/>
      <c r="NGU62" s="975"/>
      <c r="NGV62" s="975"/>
      <c r="NGW62" s="975"/>
      <c r="NGX62" s="975"/>
      <c r="NGY62" s="975"/>
      <c r="NGZ62" s="975"/>
      <c r="NHA62" s="975"/>
      <c r="NHB62" s="975"/>
      <c r="NHC62" s="975"/>
      <c r="NHD62" s="975"/>
      <c r="NHE62" s="975"/>
      <c r="NHF62" s="975"/>
      <c r="NHG62" s="975"/>
      <c r="NHH62" s="975"/>
      <c r="NHI62" s="975"/>
      <c r="NHJ62" s="975"/>
      <c r="NHK62" s="975"/>
      <c r="NHL62" s="975"/>
      <c r="NHM62" s="975"/>
      <c r="NHN62" s="975"/>
      <c r="NHO62" s="975"/>
      <c r="NHP62" s="975"/>
      <c r="NHQ62" s="975"/>
      <c r="NHR62" s="975"/>
      <c r="NHS62" s="975"/>
      <c r="NHT62" s="975"/>
      <c r="NHU62" s="975"/>
      <c r="NHV62" s="975"/>
      <c r="NHW62" s="975"/>
      <c r="NHX62" s="975"/>
      <c r="NHY62" s="975"/>
      <c r="NHZ62" s="975"/>
      <c r="NIA62" s="975"/>
      <c r="NIB62" s="975"/>
      <c r="NIC62" s="975"/>
      <c r="NID62" s="975"/>
      <c r="NIE62" s="975"/>
      <c r="NIF62" s="975"/>
      <c r="NIG62" s="975"/>
      <c r="NIH62" s="975"/>
      <c r="NII62" s="975"/>
      <c r="NIJ62" s="975"/>
      <c r="NIK62" s="975"/>
      <c r="NIL62" s="975"/>
      <c r="NIM62" s="975"/>
      <c r="NIN62" s="975"/>
      <c r="NIO62" s="975"/>
      <c r="NIP62" s="975"/>
      <c r="NIQ62" s="975"/>
      <c r="NIR62" s="975"/>
      <c r="NIS62" s="975"/>
      <c r="NIT62" s="975"/>
      <c r="NIU62" s="975"/>
      <c r="NIV62" s="975"/>
      <c r="NIW62" s="975"/>
      <c r="NIX62" s="975"/>
      <c r="NIY62" s="975"/>
      <c r="NIZ62" s="975"/>
      <c r="NJA62" s="975"/>
      <c r="NJB62" s="975"/>
      <c r="NJC62" s="975"/>
      <c r="NJD62" s="975"/>
      <c r="NJE62" s="975"/>
      <c r="NJF62" s="975"/>
      <c r="NJG62" s="975"/>
      <c r="NJH62" s="975"/>
      <c r="NJI62" s="975"/>
      <c r="NJJ62" s="975"/>
      <c r="NJK62" s="975"/>
      <c r="NJL62" s="975"/>
      <c r="NJM62" s="975"/>
      <c r="NJN62" s="975"/>
      <c r="NJO62" s="975"/>
      <c r="NJP62" s="975"/>
      <c r="NJQ62" s="975"/>
      <c r="NJR62" s="975"/>
      <c r="NJS62" s="975"/>
      <c r="NJT62" s="975"/>
      <c r="NJU62" s="975"/>
      <c r="NJV62" s="975"/>
      <c r="NJW62" s="975"/>
      <c r="NJX62" s="975"/>
      <c r="NJY62" s="975"/>
      <c r="NJZ62" s="975"/>
      <c r="NKA62" s="975"/>
      <c r="NKB62" s="975"/>
      <c r="NKC62" s="975"/>
      <c r="NKD62" s="975"/>
      <c r="NKE62" s="975"/>
      <c r="NKF62" s="975"/>
      <c r="NKG62" s="975"/>
      <c r="NKH62" s="975"/>
      <c r="NKI62" s="975"/>
      <c r="NKJ62" s="975"/>
      <c r="NKK62" s="975"/>
      <c r="NKL62" s="975"/>
      <c r="NKM62" s="975"/>
      <c r="NKN62" s="975"/>
      <c r="NKO62" s="975"/>
      <c r="NKP62" s="975"/>
      <c r="NKQ62" s="975"/>
      <c r="NKR62" s="975"/>
      <c r="NKS62" s="975"/>
      <c r="NKT62" s="975"/>
      <c r="NKU62" s="975"/>
      <c r="NKV62" s="975"/>
      <c r="NKW62" s="975"/>
      <c r="NKX62" s="975"/>
      <c r="NKY62" s="975"/>
      <c r="NKZ62" s="975"/>
      <c r="NLA62" s="975"/>
      <c r="NLB62" s="975"/>
      <c r="NLC62" s="975"/>
      <c r="NLD62" s="975"/>
      <c r="NLE62" s="975"/>
      <c r="NLF62" s="975"/>
      <c r="NLG62" s="975"/>
      <c r="NLH62" s="975"/>
      <c r="NLI62" s="975"/>
      <c r="NLJ62" s="975"/>
      <c r="NLK62" s="975"/>
      <c r="NLL62" s="975"/>
      <c r="NLM62" s="975"/>
      <c r="NLN62" s="975"/>
      <c r="NLO62" s="975"/>
      <c r="NLP62" s="975"/>
      <c r="NLQ62" s="975"/>
      <c r="NLR62" s="975"/>
      <c r="NLS62" s="975"/>
      <c r="NLT62" s="975"/>
      <c r="NLU62" s="975"/>
      <c r="NLV62" s="975"/>
      <c r="NLW62" s="975"/>
      <c r="NLX62" s="975"/>
      <c r="NLY62" s="975"/>
      <c r="NLZ62" s="975"/>
      <c r="NMA62" s="975"/>
      <c r="NMB62" s="975"/>
      <c r="NMC62" s="975"/>
      <c r="NMD62" s="975"/>
      <c r="NME62" s="975"/>
      <c r="NMF62" s="975"/>
      <c r="NMG62" s="975"/>
      <c r="NMH62" s="975"/>
      <c r="NMI62" s="975"/>
      <c r="NMJ62" s="975"/>
      <c r="NMK62" s="975"/>
      <c r="NML62" s="975"/>
      <c r="NMM62" s="975"/>
      <c r="NMN62" s="975"/>
      <c r="NMO62" s="975"/>
      <c r="NMP62" s="975"/>
      <c r="NMQ62" s="975"/>
      <c r="NMR62" s="975"/>
      <c r="NMS62" s="975"/>
      <c r="NMT62" s="975"/>
      <c r="NMU62" s="975"/>
      <c r="NMV62" s="975"/>
      <c r="NMW62" s="975"/>
      <c r="NMX62" s="975"/>
      <c r="NMY62" s="975"/>
      <c r="NMZ62" s="975"/>
      <c r="NNA62" s="975"/>
      <c r="NNB62" s="975"/>
      <c r="NNC62" s="975"/>
      <c r="NND62" s="975"/>
      <c r="NNE62" s="975"/>
      <c r="NNF62" s="975"/>
      <c r="NNG62" s="975"/>
      <c r="NNH62" s="975"/>
      <c r="NNI62" s="975"/>
      <c r="NNJ62" s="975"/>
      <c r="NNK62" s="975"/>
      <c r="NNL62" s="975"/>
      <c r="NNM62" s="975"/>
      <c r="NNN62" s="975"/>
      <c r="NNO62" s="975"/>
      <c r="NNP62" s="975"/>
      <c r="NNQ62" s="975"/>
      <c r="NNR62" s="975"/>
      <c r="NNS62" s="975"/>
      <c r="NNT62" s="975"/>
      <c r="NNU62" s="975"/>
      <c r="NNV62" s="975"/>
      <c r="NNW62" s="975"/>
      <c r="NNX62" s="975"/>
      <c r="NNY62" s="975"/>
      <c r="NNZ62" s="975"/>
      <c r="NOA62" s="975"/>
      <c r="NOB62" s="975"/>
      <c r="NOC62" s="975"/>
      <c r="NOD62" s="975"/>
      <c r="NOE62" s="975"/>
      <c r="NOF62" s="975"/>
      <c r="NOG62" s="975"/>
      <c r="NOH62" s="975"/>
      <c r="NOI62" s="975"/>
      <c r="NOJ62" s="975"/>
      <c r="NOK62" s="975"/>
      <c r="NOL62" s="975"/>
      <c r="NOM62" s="975"/>
      <c r="NON62" s="975"/>
      <c r="NOO62" s="975"/>
      <c r="NOP62" s="975"/>
      <c r="NOQ62" s="975"/>
      <c r="NOR62" s="975"/>
      <c r="NOS62" s="975"/>
      <c r="NOT62" s="975"/>
      <c r="NOU62" s="975"/>
      <c r="NOV62" s="975"/>
      <c r="NOW62" s="975"/>
      <c r="NOX62" s="975"/>
      <c r="NOY62" s="975"/>
      <c r="NOZ62" s="975"/>
      <c r="NPA62" s="975"/>
      <c r="NPB62" s="975"/>
      <c r="NPC62" s="975"/>
      <c r="NPD62" s="975"/>
      <c r="NPE62" s="975"/>
      <c r="NPF62" s="975"/>
      <c r="NPG62" s="975"/>
      <c r="NPH62" s="975"/>
      <c r="NPI62" s="975"/>
      <c r="NPJ62" s="975"/>
      <c r="NPK62" s="975"/>
      <c r="NPL62" s="975"/>
      <c r="NPM62" s="975"/>
      <c r="NPN62" s="975"/>
      <c r="NPO62" s="975"/>
      <c r="NPP62" s="975"/>
      <c r="NPQ62" s="975"/>
      <c r="NPR62" s="975"/>
      <c r="NPS62" s="975"/>
      <c r="NPT62" s="975"/>
      <c r="NPU62" s="975"/>
      <c r="NPV62" s="975"/>
      <c r="NPW62" s="975"/>
      <c r="NPX62" s="975"/>
      <c r="NPY62" s="975"/>
      <c r="NPZ62" s="975"/>
      <c r="NQA62" s="975"/>
      <c r="NQB62" s="975"/>
      <c r="NQC62" s="975"/>
      <c r="NQD62" s="975"/>
      <c r="NQE62" s="975"/>
      <c r="NQF62" s="975"/>
      <c r="NQG62" s="975"/>
      <c r="NQH62" s="975"/>
      <c r="NQI62" s="975"/>
      <c r="NQJ62" s="975"/>
      <c r="NQK62" s="975"/>
      <c r="NQL62" s="975"/>
      <c r="NQM62" s="975"/>
      <c r="NQN62" s="975"/>
      <c r="NQO62" s="975"/>
      <c r="NQP62" s="975"/>
      <c r="NQQ62" s="975"/>
      <c r="NQR62" s="975"/>
      <c r="NQS62" s="975"/>
      <c r="NQT62" s="975"/>
      <c r="NQU62" s="975"/>
      <c r="NQV62" s="975"/>
      <c r="NQW62" s="975"/>
      <c r="NQX62" s="975"/>
      <c r="NQY62" s="975"/>
      <c r="NQZ62" s="975"/>
      <c r="NRA62" s="975"/>
      <c r="NRB62" s="975"/>
      <c r="NRC62" s="975"/>
      <c r="NRD62" s="975"/>
      <c r="NRE62" s="975"/>
      <c r="NRF62" s="975"/>
      <c r="NRG62" s="975"/>
      <c r="NRH62" s="975"/>
      <c r="NRI62" s="975"/>
      <c r="NRJ62" s="975"/>
      <c r="NRK62" s="975"/>
      <c r="NRL62" s="975"/>
      <c r="NRM62" s="975"/>
      <c r="NRN62" s="975"/>
      <c r="NRO62" s="975"/>
      <c r="NRP62" s="975"/>
      <c r="NRQ62" s="975"/>
      <c r="NRR62" s="975"/>
      <c r="NRS62" s="975"/>
      <c r="NRT62" s="975"/>
      <c r="NRU62" s="975"/>
      <c r="NRV62" s="975"/>
      <c r="NRW62" s="975"/>
      <c r="NRX62" s="975"/>
      <c r="NRY62" s="975"/>
      <c r="NRZ62" s="975"/>
      <c r="NSA62" s="975"/>
      <c r="NSB62" s="975"/>
      <c r="NSC62" s="975"/>
      <c r="NSD62" s="975"/>
      <c r="NSE62" s="975"/>
      <c r="NSF62" s="975"/>
      <c r="NSG62" s="975"/>
      <c r="NSH62" s="975"/>
      <c r="NSI62" s="975"/>
      <c r="NSJ62" s="975"/>
      <c r="NSK62" s="975"/>
      <c r="NSL62" s="975"/>
      <c r="NSM62" s="975"/>
      <c r="NSN62" s="975"/>
      <c r="NSO62" s="975"/>
      <c r="NSP62" s="975"/>
      <c r="NSQ62" s="975"/>
      <c r="NSR62" s="975"/>
      <c r="NSS62" s="975"/>
      <c r="NST62" s="975"/>
      <c r="NSU62" s="975"/>
      <c r="NSV62" s="975"/>
      <c r="NSW62" s="975"/>
      <c r="NSX62" s="975"/>
      <c r="NSY62" s="975"/>
      <c r="NSZ62" s="975"/>
      <c r="NTA62" s="975"/>
      <c r="NTB62" s="975"/>
      <c r="NTC62" s="975"/>
      <c r="NTD62" s="975"/>
      <c r="NTE62" s="975"/>
      <c r="NTF62" s="975"/>
      <c r="NTG62" s="975"/>
      <c r="NTH62" s="975"/>
      <c r="NTI62" s="975"/>
      <c r="NTJ62" s="975"/>
      <c r="NTK62" s="975"/>
      <c r="NTL62" s="975"/>
      <c r="NTM62" s="975"/>
      <c r="NTN62" s="975"/>
      <c r="NTO62" s="975"/>
      <c r="NTP62" s="975"/>
      <c r="NTQ62" s="975"/>
      <c r="NTR62" s="975"/>
      <c r="NTS62" s="975"/>
      <c r="NTT62" s="975"/>
      <c r="NTU62" s="975"/>
      <c r="NTV62" s="975"/>
      <c r="NTW62" s="975"/>
      <c r="NTX62" s="975"/>
      <c r="NTY62" s="975"/>
      <c r="NTZ62" s="975"/>
      <c r="NUA62" s="975"/>
      <c r="NUB62" s="975"/>
      <c r="NUC62" s="975"/>
      <c r="NUD62" s="975"/>
      <c r="NUE62" s="975"/>
      <c r="NUF62" s="975"/>
      <c r="NUG62" s="975"/>
      <c r="NUH62" s="975"/>
      <c r="NUI62" s="975"/>
      <c r="NUJ62" s="975"/>
      <c r="NUK62" s="975"/>
      <c r="NUL62" s="975"/>
      <c r="NUM62" s="975"/>
      <c r="NUN62" s="975"/>
      <c r="NUO62" s="975"/>
      <c r="NUP62" s="975"/>
      <c r="NUQ62" s="975"/>
      <c r="NUR62" s="975"/>
      <c r="NUS62" s="975"/>
      <c r="NUT62" s="975"/>
      <c r="NUU62" s="975"/>
      <c r="NUV62" s="975"/>
      <c r="NUW62" s="975"/>
      <c r="NUX62" s="975"/>
      <c r="NUY62" s="975"/>
      <c r="NUZ62" s="975"/>
      <c r="NVA62" s="975"/>
      <c r="NVB62" s="975"/>
      <c r="NVC62" s="975"/>
      <c r="NVD62" s="975"/>
      <c r="NVE62" s="975"/>
      <c r="NVF62" s="975"/>
      <c r="NVG62" s="975"/>
      <c r="NVH62" s="975"/>
      <c r="NVI62" s="975"/>
      <c r="NVJ62" s="975"/>
      <c r="NVK62" s="975"/>
      <c r="NVL62" s="975"/>
      <c r="NVM62" s="975"/>
      <c r="NVN62" s="975"/>
      <c r="NVO62" s="975"/>
      <c r="NVP62" s="975"/>
      <c r="NVQ62" s="975"/>
      <c r="NVR62" s="975"/>
      <c r="NVS62" s="975"/>
      <c r="NVT62" s="975"/>
      <c r="NVU62" s="975"/>
      <c r="NVV62" s="975"/>
      <c r="NVW62" s="975"/>
      <c r="NVX62" s="975"/>
      <c r="NVY62" s="975"/>
      <c r="NVZ62" s="975"/>
      <c r="NWA62" s="975"/>
      <c r="NWB62" s="975"/>
      <c r="NWC62" s="975"/>
      <c r="NWD62" s="975"/>
      <c r="NWE62" s="975"/>
      <c r="NWF62" s="975"/>
      <c r="NWG62" s="975"/>
      <c r="NWH62" s="975"/>
      <c r="NWI62" s="975"/>
      <c r="NWJ62" s="975"/>
      <c r="NWK62" s="975"/>
      <c r="NWL62" s="975"/>
      <c r="NWM62" s="975"/>
      <c r="NWN62" s="975"/>
      <c r="NWO62" s="975"/>
      <c r="NWP62" s="975"/>
      <c r="NWQ62" s="975"/>
      <c r="NWR62" s="975"/>
      <c r="NWS62" s="975"/>
      <c r="NWT62" s="975"/>
      <c r="NWU62" s="975"/>
      <c r="NWV62" s="975"/>
      <c r="NWW62" s="975"/>
      <c r="NWX62" s="975"/>
      <c r="NWY62" s="975"/>
      <c r="NWZ62" s="975"/>
      <c r="NXA62" s="975"/>
      <c r="NXB62" s="975"/>
      <c r="NXC62" s="975"/>
      <c r="NXD62" s="975"/>
      <c r="NXE62" s="975"/>
      <c r="NXF62" s="975"/>
      <c r="NXG62" s="975"/>
      <c r="NXH62" s="975"/>
      <c r="NXI62" s="975"/>
      <c r="NXJ62" s="975"/>
      <c r="NXK62" s="975"/>
      <c r="NXL62" s="975"/>
      <c r="NXM62" s="975"/>
      <c r="NXN62" s="975"/>
      <c r="NXO62" s="975"/>
      <c r="NXP62" s="975"/>
      <c r="NXQ62" s="975"/>
      <c r="NXR62" s="975"/>
      <c r="NXS62" s="975"/>
      <c r="NXT62" s="975"/>
      <c r="NXU62" s="975"/>
      <c r="NXV62" s="975"/>
      <c r="NXW62" s="975"/>
      <c r="NXX62" s="975"/>
      <c r="NXY62" s="975"/>
      <c r="NXZ62" s="975"/>
      <c r="NYA62" s="975"/>
      <c r="NYB62" s="975"/>
      <c r="NYC62" s="975"/>
      <c r="NYD62" s="975"/>
      <c r="NYE62" s="975"/>
      <c r="NYF62" s="975"/>
      <c r="NYG62" s="975"/>
      <c r="NYH62" s="975"/>
      <c r="NYI62" s="975"/>
      <c r="NYJ62" s="975"/>
      <c r="NYK62" s="975"/>
      <c r="NYL62" s="975"/>
      <c r="NYM62" s="975"/>
      <c r="NYN62" s="975"/>
      <c r="NYO62" s="975"/>
      <c r="NYP62" s="975"/>
      <c r="NYQ62" s="975"/>
      <c r="NYR62" s="975"/>
      <c r="NYS62" s="975"/>
      <c r="NYT62" s="975"/>
      <c r="NYU62" s="975"/>
      <c r="NYV62" s="975"/>
      <c r="NYW62" s="975"/>
      <c r="NYX62" s="975"/>
      <c r="NYY62" s="975"/>
      <c r="NYZ62" s="975"/>
      <c r="NZA62" s="975"/>
      <c r="NZB62" s="975"/>
      <c r="NZC62" s="975"/>
      <c r="NZD62" s="975"/>
      <c r="NZE62" s="975"/>
      <c r="NZF62" s="975"/>
      <c r="NZG62" s="975"/>
      <c r="NZH62" s="975"/>
      <c r="NZI62" s="975"/>
      <c r="NZJ62" s="975"/>
      <c r="NZK62" s="975"/>
      <c r="NZL62" s="975"/>
      <c r="NZM62" s="975"/>
      <c r="NZN62" s="975"/>
      <c r="NZO62" s="975"/>
      <c r="NZP62" s="975"/>
      <c r="NZQ62" s="975"/>
      <c r="NZR62" s="975"/>
      <c r="NZS62" s="975"/>
      <c r="NZT62" s="975"/>
      <c r="NZU62" s="975"/>
      <c r="NZV62" s="975"/>
      <c r="NZW62" s="975"/>
      <c r="NZX62" s="975"/>
      <c r="NZY62" s="975"/>
      <c r="NZZ62" s="975"/>
      <c r="OAA62" s="975"/>
      <c r="OAB62" s="975"/>
      <c r="OAC62" s="975"/>
      <c r="OAD62" s="975"/>
      <c r="OAE62" s="975"/>
      <c r="OAF62" s="975"/>
      <c r="OAG62" s="975"/>
      <c r="OAH62" s="975"/>
      <c r="OAI62" s="975"/>
      <c r="OAJ62" s="975"/>
      <c r="OAK62" s="975"/>
      <c r="OAL62" s="975"/>
      <c r="OAM62" s="975"/>
      <c r="OAN62" s="975"/>
      <c r="OAO62" s="975"/>
      <c r="OAP62" s="975"/>
      <c r="OAQ62" s="975"/>
      <c r="OAR62" s="975"/>
      <c r="OAS62" s="975"/>
      <c r="OAT62" s="975"/>
      <c r="OAU62" s="975"/>
      <c r="OAV62" s="975"/>
      <c r="OAW62" s="975"/>
      <c r="OAX62" s="975"/>
      <c r="OAY62" s="975"/>
      <c r="OAZ62" s="975"/>
      <c r="OBA62" s="975"/>
      <c r="OBB62" s="975"/>
      <c r="OBC62" s="975"/>
      <c r="OBD62" s="975"/>
      <c r="OBE62" s="975"/>
      <c r="OBF62" s="975"/>
      <c r="OBG62" s="975"/>
      <c r="OBH62" s="975"/>
      <c r="OBI62" s="975"/>
      <c r="OBJ62" s="975"/>
      <c r="OBK62" s="975"/>
      <c r="OBL62" s="975"/>
      <c r="OBM62" s="975"/>
      <c r="OBN62" s="975"/>
      <c r="OBO62" s="975"/>
      <c r="OBP62" s="975"/>
      <c r="OBQ62" s="975"/>
      <c r="OBR62" s="975"/>
      <c r="OBS62" s="975"/>
      <c r="OBT62" s="975"/>
      <c r="OBU62" s="975"/>
      <c r="OBV62" s="975"/>
      <c r="OBW62" s="975"/>
      <c r="OBX62" s="975"/>
      <c r="OBY62" s="975"/>
      <c r="OBZ62" s="975"/>
      <c r="OCA62" s="975"/>
      <c r="OCB62" s="975"/>
      <c r="OCC62" s="975"/>
      <c r="OCD62" s="975"/>
      <c r="OCE62" s="975"/>
      <c r="OCF62" s="975"/>
      <c r="OCG62" s="975"/>
      <c r="OCH62" s="975"/>
      <c r="OCI62" s="975"/>
      <c r="OCJ62" s="975"/>
      <c r="OCK62" s="975"/>
      <c r="OCL62" s="975"/>
      <c r="OCM62" s="975"/>
      <c r="OCN62" s="975"/>
      <c r="OCO62" s="975"/>
      <c r="OCP62" s="975"/>
      <c r="OCQ62" s="975"/>
      <c r="OCR62" s="975"/>
      <c r="OCS62" s="975"/>
      <c r="OCT62" s="975"/>
      <c r="OCU62" s="975"/>
      <c r="OCV62" s="975"/>
      <c r="OCW62" s="975"/>
      <c r="OCX62" s="975"/>
      <c r="OCY62" s="975"/>
      <c r="OCZ62" s="975"/>
      <c r="ODA62" s="975"/>
      <c r="ODB62" s="975"/>
      <c r="ODC62" s="975"/>
      <c r="ODD62" s="975"/>
      <c r="ODE62" s="975"/>
      <c r="ODF62" s="975"/>
      <c r="ODG62" s="975"/>
      <c r="ODH62" s="975"/>
      <c r="ODI62" s="975"/>
      <c r="ODJ62" s="975"/>
      <c r="ODK62" s="975"/>
      <c r="ODL62" s="975"/>
      <c r="ODM62" s="975"/>
      <c r="ODN62" s="975"/>
      <c r="ODO62" s="975"/>
      <c r="ODP62" s="975"/>
      <c r="ODQ62" s="975"/>
      <c r="ODR62" s="975"/>
      <c r="ODS62" s="975"/>
      <c r="ODT62" s="975"/>
      <c r="ODU62" s="975"/>
      <c r="ODV62" s="975"/>
      <c r="ODW62" s="975"/>
      <c r="ODX62" s="975"/>
      <c r="ODY62" s="975"/>
      <c r="ODZ62" s="975"/>
      <c r="OEA62" s="975"/>
      <c r="OEB62" s="975"/>
      <c r="OEC62" s="975"/>
      <c r="OED62" s="975"/>
      <c r="OEE62" s="975"/>
      <c r="OEF62" s="975"/>
      <c r="OEG62" s="975"/>
      <c r="OEH62" s="975"/>
      <c r="OEI62" s="975"/>
      <c r="OEJ62" s="975"/>
      <c r="OEK62" s="975"/>
      <c r="OEL62" s="975"/>
      <c r="OEM62" s="975"/>
      <c r="OEN62" s="975"/>
      <c r="OEO62" s="975"/>
      <c r="OEP62" s="975"/>
      <c r="OEQ62" s="975"/>
      <c r="OER62" s="975"/>
      <c r="OES62" s="975"/>
      <c r="OET62" s="975"/>
      <c r="OEU62" s="975"/>
      <c r="OEV62" s="975"/>
      <c r="OEW62" s="975"/>
      <c r="OEX62" s="975"/>
      <c r="OEY62" s="975"/>
      <c r="OEZ62" s="975"/>
      <c r="OFA62" s="975"/>
      <c r="OFB62" s="975"/>
      <c r="OFC62" s="975"/>
      <c r="OFD62" s="975"/>
      <c r="OFE62" s="975"/>
      <c r="OFF62" s="975"/>
      <c r="OFG62" s="975"/>
      <c r="OFH62" s="975"/>
      <c r="OFI62" s="975"/>
      <c r="OFJ62" s="975"/>
      <c r="OFK62" s="975"/>
      <c r="OFL62" s="975"/>
      <c r="OFM62" s="975"/>
      <c r="OFN62" s="975"/>
      <c r="OFO62" s="975"/>
      <c r="OFP62" s="975"/>
      <c r="OFQ62" s="975"/>
      <c r="OFR62" s="975"/>
      <c r="OFS62" s="975"/>
      <c r="OFT62" s="975"/>
      <c r="OFU62" s="975"/>
      <c r="OFV62" s="975"/>
      <c r="OFW62" s="975"/>
      <c r="OFX62" s="975"/>
      <c r="OFY62" s="975"/>
      <c r="OFZ62" s="975"/>
      <c r="OGA62" s="975"/>
      <c r="OGB62" s="975"/>
      <c r="OGC62" s="975"/>
      <c r="OGD62" s="975"/>
      <c r="OGE62" s="975"/>
      <c r="OGF62" s="975"/>
      <c r="OGG62" s="975"/>
      <c r="OGH62" s="975"/>
      <c r="OGI62" s="975"/>
      <c r="OGJ62" s="975"/>
      <c r="OGK62" s="975"/>
      <c r="OGL62" s="975"/>
      <c r="OGM62" s="975"/>
      <c r="OGN62" s="975"/>
      <c r="OGO62" s="975"/>
      <c r="OGP62" s="975"/>
      <c r="OGQ62" s="975"/>
      <c r="OGR62" s="975"/>
      <c r="OGS62" s="975"/>
      <c r="OGT62" s="975"/>
      <c r="OGU62" s="975"/>
      <c r="OGV62" s="975"/>
      <c r="OGW62" s="975"/>
      <c r="OGX62" s="975"/>
      <c r="OGY62" s="975"/>
      <c r="OGZ62" s="975"/>
      <c r="OHA62" s="975"/>
      <c r="OHB62" s="975"/>
      <c r="OHC62" s="975"/>
      <c r="OHD62" s="975"/>
      <c r="OHE62" s="975"/>
      <c r="OHF62" s="975"/>
      <c r="OHG62" s="975"/>
      <c r="OHH62" s="975"/>
      <c r="OHI62" s="975"/>
      <c r="OHJ62" s="975"/>
      <c r="OHK62" s="975"/>
      <c r="OHL62" s="975"/>
      <c r="OHM62" s="975"/>
      <c r="OHN62" s="975"/>
      <c r="OHO62" s="975"/>
      <c r="OHP62" s="975"/>
      <c r="OHQ62" s="975"/>
      <c r="OHR62" s="975"/>
      <c r="OHS62" s="975"/>
      <c r="OHT62" s="975"/>
      <c r="OHU62" s="975"/>
      <c r="OHV62" s="975"/>
      <c r="OHW62" s="975"/>
      <c r="OHX62" s="975"/>
      <c r="OHY62" s="975"/>
      <c r="OHZ62" s="975"/>
      <c r="OIA62" s="975"/>
      <c r="OIB62" s="975"/>
      <c r="OIC62" s="975"/>
      <c r="OID62" s="975"/>
      <c r="OIE62" s="975"/>
      <c r="OIF62" s="975"/>
      <c r="OIG62" s="975"/>
      <c r="OIH62" s="975"/>
      <c r="OII62" s="975"/>
      <c r="OIJ62" s="975"/>
      <c r="OIK62" s="975"/>
      <c r="OIL62" s="975"/>
      <c r="OIM62" s="975"/>
      <c r="OIN62" s="975"/>
      <c r="OIO62" s="975"/>
      <c r="OIP62" s="975"/>
      <c r="OIQ62" s="975"/>
      <c r="OIR62" s="975"/>
      <c r="OIS62" s="975"/>
      <c r="OIT62" s="975"/>
      <c r="OIU62" s="975"/>
      <c r="OIV62" s="975"/>
      <c r="OIW62" s="975"/>
      <c r="OIX62" s="975"/>
      <c r="OIY62" s="975"/>
      <c r="OIZ62" s="975"/>
      <c r="OJA62" s="975"/>
      <c r="OJB62" s="975"/>
      <c r="OJC62" s="975"/>
      <c r="OJD62" s="975"/>
      <c r="OJE62" s="975"/>
      <c r="OJF62" s="975"/>
      <c r="OJG62" s="975"/>
      <c r="OJH62" s="975"/>
      <c r="OJI62" s="975"/>
      <c r="OJJ62" s="975"/>
      <c r="OJK62" s="975"/>
      <c r="OJL62" s="975"/>
      <c r="OJM62" s="975"/>
      <c r="OJN62" s="975"/>
      <c r="OJO62" s="975"/>
      <c r="OJP62" s="975"/>
      <c r="OJQ62" s="975"/>
      <c r="OJR62" s="975"/>
      <c r="OJS62" s="975"/>
      <c r="OJT62" s="975"/>
      <c r="OJU62" s="975"/>
      <c r="OJV62" s="975"/>
      <c r="OJW62" s="975"/>
      <c r="OJX62" s="975"/>
      <c r="OJY62" s="975"/>
      <c r="OJZ62" s="975"/>
      <c r="OKA62" s="975"/>
      <c r="OKB62" s="975"/>
      <c r="OKC62" s="975"/>
      <c r="OKD62" s="975"/>
      <c r="OKE62" s="975"/>
      <c r="OKF62" s="975"/>
      <c r="OKG62" s="975"/>
      <c r="OKH62" s="975"/>
      <c r="OKI62" s="975"/>
      <c r="OKJ62" s="975"/>
      <c r="OKK62" s="975"/>
      <c r="OKL62" s="975"/>
      <c r="OKM62" s="975"/>
      <c r="OKN62" s="975"/>
      <c r="OKO62" s="975"/>
      <c r="OKP62" s="975"/>
      <c r="OKQ62" s="975"/>
      <c r="OKR62" s="975"/>
      <c r="OKS62" s="975"/>
      <c r="OKT62" s="975"/>
      <c r="OKU62" s="975"/>
      <c r="OKV62" s="975"/>
      <c r="OKW62" s="975"/>
      <c r="OKX62" s="975"/>
      <c r="OKY62" s="975"/>
      <c r="OKZ62" s="975"/>
      <c r="OLA62" s="975"/>
      <c r="OLB62" s="975"/>
      <c r="OLC62" s="975"/>
      <c r="OLD62" s="975"/>
      <c r="OLE62" s="975"/>
      <c r="OLF62" s="975"/>
      <c r="OLG62" s="975"/>
      <c r="OLH62" s="975"/>
      <c r="OLI62" s="975"/>
      <c r="OLJ62" s="975"/>
      <c r="OLK62" s="975"/>
      <c r="OLL62" s="975"/>
      <c r="OLM62" s="975"/>
      <c r="OLN62" s="975"/>
      <c r="OLO62" s="975"/>
      <c r="OLP62" s="975"/>
      <c r="OLQ62" s="975"/>
      <c r="OLR62" s="975"/>
      <c r="OLS62" s="975"/>
      <c r="OLT62" s="975"/>
      <c r="OLU62" s="975"/>
      <c r="OLV62" s="975"/>
      <c r="OLW62" s="975"/>
      <c r="OLX62" s="975"/>
      <c r="OLY62" s="975"/>
      <c r="OLZ62" s="975"/>
      <c r="OMA62" s="975"/>
      <c r="OMB62" s="975"/>
      <c r="OMC62" s="975"/>
      <c r="OMD62" s="975"/>
      <c r="OME62" s="975"/>
      <c r="OMF62" s="975"/>
      <c r="OMG62" s="975"/>
      <c r="OMH62" s="975"/>
      <c r="OMI62" s="975"/>
      <c r="OMJ62" s="975"/>
      <c r="OMK62" s="975"/>
      <c r="OML62" s="975"/>
      <c r="OMM62" s="975"/>
      <c r="OMN62" s="975"/>
      <c r="OMO62" s="975"/>
      <c r="OMP62" s="975"/>
      <c r="OMQ62" s="975"/>
      <c r="OMR62" s="975"/>
      <c r="OMS62" s="975"/>
      <c r="OMT62" s="975"/>
      <c r="OMU62" s="975"/>
      <c r="OMV62" s="975"/>
      <c r="OMW62" s="975"/>
      <c r="OMX62" s="975"/>
      <c r="OMY62" s="975"/>
      <c r="OMZ62" s="975"/>
      <c r="ONA62" s="975"/>
      <c r="ONB62" s="975"/>
      <c r="ONC62" s="975"/>
      <c r="OND62" s="975"/>
      <c r="ONE62" s="975"/>
      <c r="ONF62" s="975"/>
      <c r="ONG62" s="975"/>
      <c r="ONH62" s="975"/>
      <c r="ONI62" s="975"/>
      <c r="ONJ62" s="975"/>
      <c r="ONK62" s="975"/>
      <c r="ONL62" s="975"/>
      <c r="ONM62" s="975"/>
      <c r="ONN62" s="975"/>
      <c r="ONO62" s="975"/>
      <c r="ONP62" s="975"/>
      <c r="ONQ62" s="975"/>
      <c r="ONR62" s="975"/>
      <c r="ONS62" s="975"/>
      <c r="ONT62" s="975"/>
      <c r="ONU62" s="975"/>
      <c r="ONV62" s="975"/>
      <c r="ONW62" s="975"/>
      <c r="ONX62" s="975"/>
      <c r="ONY62" s="975"/>
      <c r="ONZ62" s="975"/>
      <c r="OOA62" s="975"/>
      <c r="OOB62" s="975"/>
      <c r="OOC62" s="975"/>
      <c r="OOD62" s="975"/>
      <c r="OOE62" s="975"/>
      <c r="OOF62" s="975"/>
      <c r="OOG62" s="975"/>
      <c r="OOH62" s="975"/>
      <c r="OOI62" s="975"/>
      <c r="OOJ62" s="975"/>
      <c r="OOK62" s="975"/>
      <c r="OOL62" s="975"/>
      <c r="OOM62" s="975"/>
      <c r="OON62" s="975"/>
      <c r="OOO62" s="975"/>
      <c r="OOP62" s="975"/>
      <c r="OOQ62" s="975"/>
      <c r="OOR62" s="975"/>
      <c r="OOS62" s="975"/>
      <c r="OOT62" s="975"/>
      <c r="OOU62" s="975"/>
      <c r="OOV62" s="975"/>
      <c r="OOW62" s="975"/>
      <c r="OOX62" s="975"/>
      <c r="OOY62" s="975"/>
      <c r="OOZ62" s="975"/>
      <c r="OPA62" s="975"/>
      <c r="OPB62" s="975"/>
      <c r="OPC62" s="975"/>
      <c r="OPD62" s="975"/>
      <c r="OPE62" s="975"/>
      <c r="OPF62" s="975"/>
      <c r="OPG62" s="975"/>
      <c r="OPH62" s="975"/>
      <c r="OPI62" s="975"/>
      <c r="OPJ62" s="975"/>
      <c r="OPK62" s="975"/>
      <c r="OPL62" s="975"/>
      <c r="OPM62" s="975"/>
      <c r="OPN62" s="975"/>
      <c r="OPO62" s="975"/>
      <c r="OPP62" s="975"/>
      <c r="OPQ62" s="975"/>
      <c r="OPR62" s="975"/>
      <c r="OPS62" s="975"/>
      <c r="OPT62" s="975"/>
      <c r="OPU62" s="975"/>
      <c r="OPV62" s="975"/>
      <c r="OPW62" s="975"/>
      <c r="OPX62" s="975"/>
      <c r="OPY62" s="975"/>
      <c r="OPZ62" s="975"/>
      <c r="OQA62" s="975"/>
      <c r="OQB62" s="975"/>
      <c r="OQC62" s="975"/>
      <c r="OQD62" s="975"/>
      <c r="OQE62" s="975"/>
      <c r="OQF62" s="975"/>
      <c r="OQG62" s="975"/>
      <c r="OQH62" s="975"/>
      <c r="OQI62" s="975"/>
      <c r="OQJ62" s="975"/>
      <c r="OQK62" s="975"/>
      <c r="OQL62" s="975"/>
      <c r="OQM62" s="975"/>
      <c r="OQN62" s="975"/>
      <c r="OQO62" s="975"/>
      <c r="OQP62" s="975"/>
      <c r="OQQ62" s="975"/>
      <c r="OQR62" s="975"/>
      <c r="OQS62" s="975"/>
      <c r="OQT62" s="975"/>
      <c r="OQU62" s="975"/>
      <c r="OQV62" s="975"/>
      <c r="OQW62" s="975"/>
      <c r="OQX62" s="975"/>
      <c r="OQY62" s="975"/>
      <c r="OQZ62" s="975"/>
      <c r="ORA62" s="975"/>
      <c r="ORB62" s="975"/>
      <c r="ORC62" s="975"/>
      <c r="ORD62" s="975"/>
      <c r="ORE62" s="975"/>
      <c r="ORF62" s="975"/>
      <c r="ORG62" s="975"/>
      <c r="ORH62" s="975"/>
      <c r="ORI62" s="975"/>
      <c r="ORJ62" s="975"/>
      <c r="ORK62" s="975"/>
      <c r="ORL62" s="975"/>
      <c r="ORM62" s="975"/>
      <c r="ORN62" s="975"/>
      <c r="ORO62" s="975"/>
      <c r="ORP62" s="975"/>
      <c r="ORQ62" s="975"/>
      <c r="ORR62" s="975"/>
      <c r="ORS62" s="975"/>
      <c r="ORT62" s="975"/>
      <c r="ORU62" s="975"/>
      <c r="ORV62" s="975"/>
      <c r="ORW62" s="975"/>
      <c r="ORX62" s="975"/>
      <c r="ORY62" s="975"/>
      <c r="ORZ62" s="975"/>
      <c r="OSA62" s="975"/>
      <c r="OSB62" s="975"/>
      <c r="OSC62" s="975"/>
      <c r="OSD62" s="975"/>
      <c r="OSE62" s="975"/>
      <c r="OSF62" s="975"/>
      <c r="OSG62" s="975"/>
      <c r="OSH62" s="975"/>
      <c r="OSI62" s="975"/>
      <c r="OSJ62" s="975"/>
      <c r="OSK62" s="975"/>
      <c r="OSL62" s="975"/>
      <c r="OSM62" s="975"/>
      <c r="OSN62" s="975"/>
      <c r="OSO62" s="975"/>
      <c r="OSP62" s="975"/>
      <c r="OSQ62" s="975"/>
      <c r="OSR62" s="975"/>
      <c r="OSS62" s="975"/>
      <c r="OST62" s="975"/>
      <c r="OSU62" s="975"/>
      <c r="OSV62" s="975"/>
      <c r="OSW62" s="975"/>
      <c r="OSX62" s="975"/>
      <c r="OSY62" s="975"/>
      <c r="OSZ62" s="975"/>
      <c r="OTA62" s="975"/>
      <c r="OTB62" s="975"/>
      <c r="OTC62" s="975"/>
      <c r="OTD62" s="975"/>
      <c r="OTE62" s="975"/>
      <c r="OTF62" s="975"/>
      <c r="OTG62" s="975"/>
      <c r="OTH62" s="975"/>
      <c r="OTI62" s="975"/>
      <c r="OTJ62" s="975"/>
      <c r="OTK62" s="975"/>
      <c r="OTL62" s="975"/>
      <c r="OTM62" s="975"/>
      <c r="OTN62" s="975"/>
      <c r="OTO62" s="975"/>
      <c r="OTP62" s="975"/>
      <c r="OTQ62" s="975"/>
      <c r="OTR62" s="975"/>
      <c r="OTS62" s="975"/>
      <c r="OTT62" s="975"/>
      <c r="OTU62" s="975"/>
      <c r="OTV62" s="975"/>
      <c r="OTW62" s="975"/>
      <c r="OTX62" s="975"/>
      <c r="OTY62" s="975"/>
      <c r="OTZ62" s="975"/>
      <c r="OUA62" s="975"/>
      <c r="OUB62" s="975"/>
      <c r="OUC62" s="975"/>
      <c r="OUD62" s="975"/>
      <c r="OUE62" s="975"/>
      <c r="OUF62" s="975"/>
      <c r="OUG62" s="975"/>
      <c r="OUH62" s="975"/>
      <c r="OUI62" s="975"/>
      <c r="OUJ62" s="975"/>
      <c r="OUK62" s="975"/>
      <c r="OUL62" s="975"/>
      <c r="OUM62" s="975"/>
      <c r="OUN62" s="975"/>
      <c r="OUO62" s="975"/>
      <c r="OUP62" s="975"/>
      <c r="OUQ62" s="975"/>
      <c r="OUR62" s="975"/>
      <c r="OUS62" s="975"/>
      <c r="OUT62" s="975"/>
      <c r="OUU62" s="975"/>
      <c r="OUV62" s="975"/>
      <c r="OUW62" s="975"/>
      <c r="OUX62" s="975"/>
      <c r="OUY62" s="975"/>
      <c r="OUZ62" s="975"/>
      <c r="OVA62" s="975"/>
      <c r="OVB62" s="975"/>
      <c r="OVC62" s="975"/>
      <c r="OVD62" s="975"/>
      <c r="OVE62" s="975"/>
      <c r="OVF62" s="975"/>
      <c r="OVG62" s="975"/>
      <c r="OVH62" s="975"/>
      <c r="OVI62" s="975"/>
      <c r="OVJ62" s="975"/>
      <c r="OVK62" s="975"/>
      <c r="OVL62" s="975"/>
      <c r="OVM62" s="975"/>
      <c r="OVN62" s="975"/>
      <c r="OVO62" s="975"/>
      <c r="OVP62" s="975"/>
      <c r="OVQ62" s="975"/>
      <c r="OVR62" s="975"/>
      <c r="OVS62" s="975"/>
      <c r="OVT62" s="975"/>
      <c r="OVU62" s="975"/>
      <c r="OVV62" s="975"/>
      <c r="OVW62" s="975"/>
      <c r="OVX62" s="975"/>
      <c r="OVY62" s="975"/>
      <c r="OVZ62" s="975"/>
      <c r="OWA62" s="975"/>
      <c r="OWB62" s="975"/>
      <c r="OWC62" s="975"/>
      <c r="OWD62" s="975"/>
      <c r="OWE62" s="975"/>
      <c r="OWF62" s="975"/>
      <c r="OWG62" s="975"/>
      <c r="OWH62" s="975"/>
      <c r="OWI62" s="975"/>
      <c r="OWJ62" s="975"/>
      <c r="OWK62" s="975"/>
      <c r="OWL62" s="975"/>
      <c r="OWM62" s="975"/>
      <c r="OWN62" s="975"/>
      <c r="OWO62" s="975"/>
      <c r="OWP62" s="975"/>
      <c r="OWQ62" s="975"/>
      <c r="OWR62" s="975"/>
      <c r="OWS62" s="975"/>
      <c r="OWT62" s="975"/>
      <c r="OWU62" s="975"/>
      <c r="OWV62" s="975"/>
      <c r="OWW62" s="975"/>
      <c r="OWX62" s="975"/>
      <c r="OWY62" s="975"/>
      <c r="OWZ62" s="975"/>
      <c r="OXA62" s="975"/>
      <c r="OXB62" s="975"/>
      <c r="OXC62" s="975"/>
      <c r="OXD62" s="975"/>
      <c r="OXE62" s="975"/>
      <c r="OXF62" s="975"/>
      <c r="OXG62" s="975"/>
      <c r="OXH62" s="975"/>
      <c r="OXI62" s="975"/>
      <c r="OXJ62" s="975"/>
      <c r="OXK62" s="975"/>
      <c r="OXL62" s="975"/>
      <c r="OXM62" s="975"/>
      <c r="OXN62" s="975"/>
      <c r="OXO62" s="975"/>
      <c r="OXP62" s="975"/>
      <c r="OXQ62" s="975"/>
      <c r="OXR62" s="975"/>
      <c r="OXS62" s="975"/>
      <c r="OXT62" s="975"/>
      <c r="OXU62" s="975"/>
      <c r="OXV62" s="975"/>
      <c r="OXW62" s="975"/>
      <c r="OXX62" s="975"/>
      <c r="OXY62" s="975"/>
      <c r="OXZ62" s="975"/>
      <c r="OYA62" s="975"/>
      <c r="OYB62" s="975"/>
      <c r="OYC62" s="975"/>
      <c r="OYD62" s="975"/>
      <c r="OYE62" s="975"/>
      <c r="OYF62" s="975"/>
      <c r="OYG62" s="975"/>
      <c r="OYH62" s="975"/>
      <c r="OYI62" s="975"/>
      <c r="OYJ62" s="975"/>
      <c r="OYK62" s="975"/>
      <c r="OYL62" s="975"/>
      <c r="OYM62" s="975"/>
      <c r="OYN62" s="975"/>
      <c r="OYO62" s="975"/>
      <c r="OYP62" s="975"/>
      <c r="OYQ62" s="975"/>
      <c r="OYR62" s="975"/>
      <c r="OYS62" s="975"/>
      <c r="OYT62" s="975"/>
      <c r="OYU62" s="975"/>
      <c r="OYV62" s="975"/>
      <c r="OYW62" s="975"/>
      <c r="OYX62" s="975"/>
      <c r="OYY62" s="975"/>
      <c r="OYZ62" s="975"/>
      <c r="OZA62" s="975"/>
      <c r="OZB62" s="975"/>
      <c r="OZC62" s="975"/>
      <c r="OZD62" s="975"/>
      <c r="OZE62" s="975"/>
      <c r="OZF62" s="975"/>
      <c r="OZG62" s="975"/>
      <c r="OZH62" s="975"/>
      <c r="OZI62" s="975"/>
      <c r="OZJ62" s="975"/>
      <c r="OZK62" s="975"/>
      <c r="OZL62" s="975"/>
      <c r="OZM62" s="975"/>
      <c r="OZN62" s="975"/>
      <c r="OZO62" s="975"/>
      <c r="OZP62" s="975"/>
      <c r="OZQ62" s="975"/>
      <c r="OZR62" s="975"/>
      <c r="OZS62" s="975"/>
      <c r="OZT62" s="975"/>
      <c r="OZU62" s="975"/>
      <c r="OZV62" s="975"/>
      <c r="OZW62" s="975"/>
      <c r="OZX62" s="975"/>
      <c r="OZY62" s="975"/>
      <c r="OZZ62" s="975"/>
      <c r="PAA62" s="975"/>
      <c r="PAB62" s="975"/>
      <c r="PAC62" s="975"/>
      <c r="PAD62" s="975"/>
      <c r="PAE62" s="975"/>
      <c r="PAF62" s="975"/>
      <c r="PAG62" s="975"/>
      <c r="PAH62" s="975"/>
      <c r="PAI62" s="975"/>
      <c r="PAJ62" s="975"/>
      <c r="PAK62" s="975"/>
      <c r="PAL62" s="975"/>
      <c r="PAM62" s="975"/>
      <c r="PAN62" s="975"/>
      <c r="PAO62" s="975"/>
      <c r="PAP62" s="975"/>
      <c r="PAQ62" s="975"/>
      <c r="PAR62" s="975"/>
      <c r="PAS62" s="975"/>
      <c r="PAT62" s="975"/>
      <c r="PAU62" s="975"/>
      <c r="PAV62" s="975"/>
      <c r="PAW62" s="975"/>
      <c r="PAX62" s="975"/>
      <c r="PAY62" s="975"/>
      <c r="PAZ62" s="975"/>
      <c r="PBA62" s="975"/>
      <c r="PBB62" s="975"/>
      <c r="PBC62" s="975"/>
      <c r="PBD62" s="975"/>
      <c r="PBE62" s="975"/>
      <c r="PBF62" s="975"/>
      <c r="PBG62" s="975"/>
      <c r="PBH62" s="975"/>
      <c r="PBI62" s="975"/>
      <c r="PBJ62" s="975"/>
      <c r="PBK62" s="975"/>
      <c r="PBL62" s="975"/>
      <c r="PBM62" s="975"/>
      <c r="PBN62" s="975"/>
      <c r="PBO62" s="975"/>
      <c r="PBP62" s="975"/>
      <c r="PBQ62" s="975"/>
      <c r="PBR62" s="975"/>
      <c r="PBS62" s="975"/>
      <c r="PBT62" s="975"/>
      <c r="PBU62" s="975"/>
      <c r="PBV62" s="975"/>
      <c r="PBW62" s="975"/>
      <c r="PBX62" s="975"/>
      <c r="PBY62" s="975"/>
      <c r="PBZ62" s="975"/>
      <c r="PCA62" s="975"/>
      <c r="PCB62" s="975"/>
      <c r="PCC62" s="975"/>
      <c r="PCD62" s="975"/>
      <c r="PCE62" s="975"/>
      <c r="PCF62" s="975"/>
      <c r="PCG62" s="975"/>
      <c r="PCH62" s="975"/>
      <c r="PCI62" s="975"/>
      <c r="PCJ62" s="975"/>
      <c r="PCK62" s="975"/>
      <c r="PCL62" s="975"/>
      <c r="PCM62" s="975"/>
      <c r="PCN62" s="975"/>
      <c r="PCO62" s="975"/>
      <c r="PCP62" s="975"/>
      <c r="PCQ62" s="975"/>
      <c r="PCR62" s="975"/>
      <c r="PCS62" s="975"/>
      <c r="PCT62" s="975"/>
      <c r="PCU62" s="975"/>
      <c r="PCV62" s="975"/>
      <c r="PCW62" s="975"/>
      <c r="PCX62" s="975"/>
      <c r="PCY62" s="975"/>
      <c r="PCZ62" s="975"/>
      <c r="PDA62" s="975"/>
      <c r="PDB62" s="975"/>
      <c r="PDC62" s="975"/>
      <c r="PDD62" s="975"/>
      <c r="PDE62" s="975"/>
      <c r="PDF62" s="975"/>
      <c r="PDG62" s="975"/>
      <c r="PDH62" s="975"/>
      <c r="PDI62" s="975"/>
      <c r="PDJ62" s="975"/>
      <c r="PDK62" s="975"/>
      <c r="PDL62" s="975"/>
      <c r="PDM62" s="975"/>
      <c r="PDN62" s="975"/>
      <c r="PDO62" s="975"/>
      <c r="PDP62" s="975"/>
      <c r="PDQ62" s="975"/>
      <c r="PDR62" s="975"/>
      <c r="PDS62" s="975"/>
      <c r="PDT62" s="975"/>
      <c r="PDU62" s="975"/>
      <c r="PDV62" s="975"/>
      <c r="PDW62" s="975"/>
      <c r="PDX62" s="975"/>
      <c r="PDY62" s="975"/>
      <c r="PDZ62" s="975"/>
      <c r="PEA62" s="975"/>
      <c r="PEB62" s="975"/>
      <c r="PEC62" s="975"/>
      <c r="PED62" s="975"/>
      <c r="PEE62" s="975"/>
      <c r="PEF62" s="975"/>
      <c r="PEG62" s="975"/>
      <c r="PEH62" s="975"/>
      <c r="PEI62" s="975"/>
      <c r="PEJ62" s="975"/>
      <c r="PEK62" s="975"/>
      <c r="PEL62" s="975"/>
      <c r="PEM62" s="975"/>
      <c r="PEN62" s="975"/>
      <c r="PEO62" s="975"/>
      <c r="PEP62" s="975"/>
      <c r="PEQ62" s="975"/>
      <c r="PER62" s="975"/>
      <c r="PES62" s="975"/>
      <c r="PET62" s="975"/>
      <c r="PEU62" s="975"/>
      <c r="PEV62" s="975"/>
      <c r="PEW62" s="975"/>
      <c r="PEX62" s="975"/>
      <c r="PEY62" s="975"/>
      <c r="PEZ62" s="975"/>
      <c r="PFA62" s="975"/>
      <c r="PFB62" s="975"/>
      <c r="PFC62" s="975"/>
      <c r="PFD62" s="975"/>
      <c r="PFE62" s="975"/>
      <c r="PFF62" s="975"/>
      <c r="PFG62" s="975"/>
      <c r="PFH62" s="975"/>
      <c r="PFI62" s="975"/>
      <c r="PFJ62" s="975"/>
      <c r="PFK62" s="975"/>
      <c r="PFL62" s="975"/>
      <c r="PFM62" s="975"/>
      <c r="PFN62" s="975"/>
      <c r="PFO62" s="975"/>
      <c r="PFP62" s="975"/>
      <c r="PFQ62" s="975"/>
      <c r="PFR62" s="975"/>
      <c r="PFS62" s="975"/>
      <c r="PFT62" s="975"/>
      <c r="PFU62" s="975"/>
      <c r="PFV62" s="975"/>
      <c r="PFW62" s="975"/>
      <c r="PFX62" s="975"/>
      <c r="PFY62" s="975"/>
      <c r="PFZ62" s="975"/>
      <c r="PGA62" s="975"/>
      <c r="PGB62" s="975"/>
      <c r="PGC62" s="975"/>
      <c r="PGD62" s="975"/>
      <c r="PGE62" s="975"/>
      <c r="PGF62" s="975"/>
      <c r="PGG62" s="975"/>
      <c r="PGH62" s="975"/>
      <c r="PGI62" s="975"/>
      <c r="PGJ62" s="975"/>
      <c r="PGK62" s="975"/>
      <c r="PGL62" s="975"/>
      <c r="PGM62" s="975"/>
      <c r="PGN62" s="975"/>
      <c r="PGO62" s="975"/>
      <c r="PGP62" s="975"/>
      <c r="PGQ62" s="975"/>
      <c r="PGR62" s="975"/>
      <c r="PGS62" s="975"/>
      <c r="PGT62" s="975"/>
      <c r="PGU62" s="975"/>
      <c r="PGV62" s="975"/>
      <c r="PGW62" s="975"/>
      <c r="PGX62" s="975"/>
      <c r="PGY62" s="975"/>
      <c r="PGZ62" s="975"/>
      <c r="PHA62" s="975"/>
      <c r="PHB62" s="975"/>
      <c r="PHC62" s="975"/>
      <c r="PHD62" s="975"/>
      <c r="PHE62" s="975"/>
      <c r="PHF62" s="975"/>
      <c r="PHG62" s="975"/>
      <c r="PHH62" s="975"/>
      <c r="PHI62" s="975"/>
      <c r="PHJ62" s="975"/>
      <c r="PHK62" s="975"/>
      <c r="PHL62" s="975"/>
      <c r="PHM62" s="975"/>
      <c r="PHN62" s="975"/>
      <c r="PHO62" s="975"/>
      <c r="PHP62" s="975"/>
      <c r="PHQ62" s="975"/>
      <c r="PHR62" s="975"/>
      <c r="PHS62" s="975"/>
      <c r="PHT62" s="975"/>
      <c r="PHU62" s="975"/>
      <c r="PHV62" s="975"/>
      <c r="PHW62" s="975"/>
      <c r="PHX62" s="975"/>
      <c r="PHY62" s="975"/>
      <c r="PHZ62" s="975"/>
      <c r="PIA62" s="975"/>
      <c r="PIB62" s="975"/>
      <c r="PIC62" s="975"/>
      <c r="PID62" s="975"/>
      <c r="PIE62" s="975"/>
      <c r="PIF62" s="975"/>
      <c r="PIG62" s="975"/>
      <c r="PIH62" s="975"/>
      <c r="PII62" s="975"/>
      <c r="PIJ62" s="975"/>
      <c r="PIK62" s="975"/>
      <c r="PIL62" s="975"/>
      <c r="PIM62" s="975"/>
      <c r="PIN62" s="975"/>
      <c r="PIO62" s="975"/>
      <c r="PIP62" s="975"/>
      <c r="PIQ62" s="975"/>
      <c r="PIR62" s="975"/>
      <c r="PIS62" s="975"/>
      <c r="PIT62" s="975"/>
      <c r="PIU62" s="975"/>
      <c r="PIV62" s="975"/>
      <c r="PIW62" s="975"/>
      <c r="PIX62" s="975"/>
      <c r="PIY62" s="975"/>
      <c r="PIZ62" s="975"/>
      <c r="PJA62" s="975"/>
      <c r="PJB62" s="975"/>
      <c r="PJC62" s="975"/>
      <c r="PJD62" s="975"/>
      <c r="PJE62" s="975"/>
      <c r="PJF62" s="975"/>
      <c r="PJG62" s="975"/>
      <c r="PJH62" s="975"/>
      <c r="PJI62" s="975"/>
      <c r="PJJ62" s="975"/>
      <c r="PJK62" s="975"/>
      <c r="PJL62" s="975"/>
      <c r="PJM62" s="975"/>
      <c r="PJN62" s="975"/>
      <c r="PJO62" s="975"/>
      <c r="PJP62" s="975"/>
      <c r="PJQ62" s="975"/>
      <c r="PJR62" s="975"/>
      <c r="PJS62" s="975"/>
      <c r="PJT62" s="975"/>
      <c r="PJU62" s="975"/>
      <c r="PJV62" s="975"/>
      <c r="PJW62" s="975"/>
      <c r="PJX62" s="975"/>
      <c r="PJY62" s="975"/>
      <c r="PJZ62" s="975"/>
      <c r="PKA62" s="975"/>
      <c r="PKB62" s="975"/>
      <c r="PKC62" s="975"/>
      <c r="PKD62" s="975"/>
      <c r="PKE62" s="975"/>
      <c r="PKF62" s="975"/>
      <c r="PKG62" s="975"/>
      <c r="PKH62" s="975"/>
      <c r="PKI62" s="975"/>
      <c r="PKJ62" s="975"/>
      <c r="PKK62" s="975"/>
      <c r="PKL62" s="975"/>
      <c r="PKM62" s="975"/>
      <c r="PKN62" s="975"/>
      <c r="PKO62" s="975"/>
      <c r="PKP62" s="975"/>
      <c r="PKQ62" s="975"/>
      <c r="PKR62" s="975"/>
      <c r="PKS62" s="975"/>
      <c r="PKT62" s="975"/>
      <c r="PKU62" s="975"/>
      <c r="PKV62" s="975"/>
      <c r="PKW62" s="975"/>
      <c r="PKX62" s="975"/>
      <c r="PKY62" s="975"/>
      <c r="PKZ62" s="975"/>
      <c r="PLA62" s="975"/>
      <c r="PLB62" s="975"/>
      <c r="PLC62" s="975"/>
      <c r="PLD62" s="975"/>
      <c r="PLE62" s="975"/>
      <c r="PLF62" s="975"/>
      <c r="PLG62" s="975"/>
      <c r="PLH62" s="975"/>
      <c r="PLI62" s="975"/>
      <c r="PLJ62" s="975"/>
      <c r="PLK62" s="975"/>
      <c r="PLL62" s="975"/>
      <c r="PLM62" s="975"/>
      <c r="PLN62" s="975"/>
      <c r="PLO62" s="975"/>
      <c r="PLP62" s="975"/>
      <c r="PLQ62" s="975"/>
      <c r="PLR62" s="975"/>
      <c r="PLS62" s="975"/>
      <c r="PLT62" s="975"/>
      <c r="PLU62" s="975"/>
      <c r="PLV62" s="975"/>
      <c r="PLW62" s="975"/>
      <c r="PLX62" s="975"/>
      <c r="PLY62" s="975"/>
      <c r="PLZ62" s="975"/>
      <c r="PMA62" s="975"/>
      <c r="PMB62" s="975"/>
      <c r="PMC62" s="975"/>
      <c r="PMD62" s="975"/>
      <c r="PME62" s="975"/>
      <c r="PMF62" s="975"/>
      <c r="PMG62" s="975"/>
      <c r="PMH62" s="975"/>
      <c r="PMI62" s="975"/>
      <c r="PMJ62" s="975"/>
      <c r="PMK62" s="975"/>
      <c r="PML62" s="975"/>
      <c r="PMM62" s="975"/>
      <c r="PMN62" s="975"/>
      <c r="PMO62" s="975"/>
      <c r="PMP62" s="975"/>
      <c r="PMQ62" s="975"/>
      <c r="PMR62" s="975"/>
      <c r="PMS62" s="975"/>
      <c r="PMT62" s="975"/>
      <c r="PMU62" s="975"/>
      <c r="PMV62" s="975"/>
      <c r="PMW62" s="975"/>
      <c r="PMX62" s="975"/>
      <c r="PMY62" s="975"/>
      <c r="PMZ62" s="975"/>
      <c r="PNA62" s="975"/>
      <c r="PNB62" s="975"/>
      <c r="PNC62" s="975"/>
      <c r="PND62" s="975"/>
      <c r="PNE62" s="975"/>
      <c r="PNF62" s="975"/>
      <c r="PNG62" s="975"/>
      <c r="PNH62" s="975"/>
      <c r="PNI62" s="975"/>
      <c r="PNJ62" s="975"/>
      <c r="PNK62" s="975"/>
      <c r="PNL62" s="975"/>
      <c r="PNM62" s="975"/>
      <c r="PNN62" s="975"/>
      <c r="PNO62" s="975"/>
      <c r="PNP62" s="975"/>
      <c r="PNQ62" s="975"/>
      <c r="PNR62" s="975"/>
      <c r="PNS62" s="975"/>
      <c r="PNT62" s="975"/>
      <c r="PNU62" s="975"/>
      <c r="PNV62" s="975"/>
      <c r="PNW62" s="975"/>
      <c r="PNX62" s="975"/>
      <c r="PNY62" s="975"/>
      <c r="PNZ62" s="975"/>
      <c r="POA62" s="975"/>
      <c r="POB62" s="975"/>
      <c r="POC62" s="975"/>
      <c r="POD62" s="975"/>
      <c r="POE62" s="975"/>
      <c r="POF62" s="975"/>
      <c r="POG62" s="975"/>
      <c r="POH62" s="975"/>
      <c r="POI62" s="975"/>
      <c r="POJ62" s="975"/>
      <c r="POK62" s="975"/>
      <c r="POL62" s="975"/>
      <c r="POM62" s="975"/>
      <c r="PON62" s="975"/>
      <c r="POO62" s="975"/>
      <c r="POP62" s="975"/>
      <c r="POQ62" s="975"/>
      <c r="POR62" s="975"/>
      <c r="POS62" s="975"/>
      <c r="POT62" s="975"/>
      <c r="POU62" s="975"/>
      <c r="POV62" s="975"/>
      <c r="POW62" s="975"/>
      <c r="POX62" s="975"/>
      <c r="POY62" s="975"/>
      <c r="POZ62" s="975"/>
      <c r="PPA62" s="975"/>
      <c r="PPB62" s="975"/>
      <c r="PPC62" s="975"/>
      <c r="PPD62" s="975"/>
      <c r="PPE62" s="975"/>
      <c r="PPF62" s="975"/>
      <c r="PPG62" s="975"/>
      <c r="PPH62" s="975"/>
      <c r="PPI62" s="975"/>
      <c r="PPJ62" s="975"/>
      <c r="PPK62" s="975"/>
      <c r="PPL62" s="975"/>
      <c r="PPM62" s="975"/>
      <c r="PPN62" s="975"/>
      <c r="PPO62" s="975"/>
      <c r="PPP62" s="975"/>
      <c r="PPQ62" s="975"/>
      <c r="PPR62" s="975"/>
      <c r="PPS62" s="975"/>
      <c r="PPT62" s="975"/>
      <c r="PPU62" s="975"/>
      <c r="PPV62" s="975"/>
      <c r="PPW62" s="975"/>
      <c r="PPX62" s="975"/>
      <c r="PPY62" s="975"/>
      <c r="PPZ62" s="975"/>
      <c r="PQA62" s="975"/>
      <c r="PQB62" s="975"/>
      <c r="PQC62" s="975"/>
      <c r="PQD62" s="975"/>
      <c r="PQE62" s="975"/>
      <c r="PQF62" s="975"/>
      <c r="PQG62" s="975"/>
      <c r="PQH62" s="975"/>
      <c r="PQI62" s="975"/>
      <c r="PQJ62" s="975"/>
      <c r="PQK62" s="975"/>
      <c r="PQL62" s="975"/>
      <c r="PQM62" s="975"/>
      <c r="PQN62" s="975"/>
      <c r="PQO62" s="975"/>
      <c r="PQP62" s="975"/>
      <c r="PQQ62" s="975"/>
      <c r="PQR62" s="975"/>
      <c r="PQS62" s="975"/>
      <c r="PQT62" s="975"/>
      <c r="PQU62" s="975"/>
      <c r="PQV62" s="975"/>
      <c r="PQW62" s="975"/>
      <c r="PQX62" s="975"/>
      <c r="PQY62" s="975"/>
      <c r="PQZ62" s="975"/>
      <c r="PRA62" s="975"/>
      <c r="PRB62" s="975"/>
      <c r="PRC62" s="975"/>
      <c r="PRD62" s="975"/>
      <c r="PRE62" s="975"/>
      <c r="PRF62" s="975"/>
      <c r="PRG62" s="975"/>
      <c r="PRH62" s="975"/>
      <c r="PRI62" s="975"/>
      <c r="PRJ62" s="975"/>
      <c r="PRK62" s="975"/>
      <c r="PRL62" s="975"/>
      <c r="PRM62" s="975"/>
      <c r="PRN62" s="975"/>
      <c r="PRO62" s="975"/>
      <c r="PRP62" s="975"/>
      <c r="PRQ62" s="975"/>
      <c r="PRR62" s="975"/>
      <c r="PRS62" s="975"/>
      <c r="PRT62" s="975"/>
      <c r="PRU62" s="975"/>
      <c r="PRV62" s="975"/>
      <c r="PRW62" s="975"/>
      <c r="PRX62" s="975"/>
      <c r="PRY62" s="975"/>
      <c r="PRZ62" s="975"/>
      <c r="PSA62" s="975"/>
      <c r="PSB62" s="975"/>
      <c r="PSC62" s="975"/>
      <c r="PSD62" s="975"/>
      <c r="PSE62" s="975"/>
      <c r="PSF62" s="975"/>
      <c r="PSG62" s="975"/>
      <c r="PSH62" s="975"/>
      <c r="PSI62" s="975"/>
      <c r="PSJ62" s="975"/>
      <c r="PSK62" s="975"/>
      <c r="PSL62" s="975"/>
      <c r="PSM62" s="975"/>
      <c r="PSN62" s="975"/>
      <c r="PSO62" s="975"/>
      <c r="PSP62" s="975"/>
      <c r="PSQ62" s="975"/>
      <c r="PSR62" s="975"/>
      <c r="PSS62" s="975"/>
      <c r="PST62" s="975"/>
      <c r="PSU62" s="975"/>
      <c r="PSV62" s="975"/>
      <c r="PSW62" s="975"/>
      <c r="PSX62" s="975"/>
      <c r="PSY62" s="975"/>
      <c r="PSZ62" s="975"/>
      <c r="PTA62" s="975"/>
      <c r="PTB62" s="975"/>
      <c r="PTC62" s="975"/>
      <c r="PTD62" s="975"/>
      <c r="PTE62" s="975"/>
      <c r="PTF62" s="975"/>
      <c r="PTG62" s="975"/>
      <c r="PTH62" s="975"/>
      <c r="PTI62" s="975"/>
      <c r="PTJ62" s="975"/>
      <c r="PTK62" s="975"/>
      <c r="PTL62" s="975"/>
      <c r="PTM62" s="975"/>
      <c r="PTN62" s="975"/>
      <c r="PTO62" s="975"/>
      <c r="PTP62" s="975"/>
      <c r="PTQ62" s="975"/>
      <c r="PTR62" s="975"/>
      <c r="PTS62" s="975"/>
      <c r="PTT62" s="975"/>
      <c r="PTU62" s="975"/>
      <c r="PTV62" s="975"/>
      <c r="PTW62" s="975"/>
      <c r="PTX62" s="975"/>
      <c r="PTY62" s="975"/>
      <c r="PTZ62" s="975"/>
      <c r="PUA62" s="975"/>
      <c r="PUB62" s="975"/>
      <c r="PUC62" s="975"/>
      <c r="PUD62" s="975"/>
      <c r="PUE62" s="975"/>
      <c r="PUF62" s="975"/>
      <c r="PUG62" s="975"/>
      <c r="PUH62" s="975"/>
      <c r="PUI62" s="975"/>
      <c r="PUJ62" s="975"/>
      <c r="PUK62" s="975"/>
      <c r="PUL62" s="975"/>
      <c r="PUM62" s="975"/>
      <c r="PUN62" s="975"/>
      <c r="PUO62" s="975"/>
      <c r="PUP62" s="975"/>
      <c r="PUQ62" s="975"/>
      <c r="PUR62" s="975"/>
      <c r="PUS62" s="975"/>
      <c r="PUT62" s="975"/>
      <c r="PUU62" s="975"/>
      <c r="PUV62" s="975"/>
      <c r="PUW62" s="975"/>
      <c r="PUX62" s="975"/>
      <c r="PUY62" s="975"/>
      <c r="PUZ62" s="975"/>
      <c r="PVA62" s="975"/>
      <c r="PVB62" s="975"/>
      <c r="PVC62" s="975"/>
      <c r="PVD62" s="975"/>
      <c r="PVE62" s="975"/>
      <c r="PVF62" s="975"/>
      <c r="PVG62" s="975"/>
      <c r="PVH62" s="975"/>
      <c r="PVI62" s="975"/>
      <c r="PVJ62" s="975"/>
      <c r="PVK62" s="975"/>
      <c r="PVL62" s="975"/>
      <c r="PVM62" s="975"/>
      <c r="PVN62" s="975"/>
      <c r="PVO62" s="975"/>
      <c r="PVP62" s="975"/>
      <c r="PVQ62" s="975"/>
      <c r="PVR62" s="975"/>
      <c r="PVS62" s="975"/>
      <c r="PVT62" s="975"/>
      <c r="PVU62" s="975"/>
      <c r="PVV62" s="975"/>
      <c r="PVW62" s="975"/>
      <c r="PVX62" s="975"/>
      <c r="PVY62" s="975"/>
      <c r="PVZ62" s="975"/>
      <c r="PWA62" s="975"/>
      <c r="PWB62" s="975"/>
      <c r="PWC62" s="975"/>
      <c r="PWD62" s="975"/>
      <c r="PWE62" s="975"/>
      <c r="PWF62" s="975"/>
      <c r="PWG62" s="975"/>
      <c r="PWH62" s="975"/>
      <c r="PWI62" s="975"/>
      <c r="PWJ62" s="975"/>
      <c r="PWK62" s="975"/>
      <c r="PWL62" s="975"/>
      <c r="PWM62" s="975"/>
      <c r="PWN62" s="975"/>
      <c r="PWO62" s="975"/>
      <c r="PWP62" s="975"/>
      <c r="PWQ62" s="975"/>
      <c r="PWR62" s="975"/>
      <c r="PWS62" s="975"/>
      <c r="PWT62" s="975"/>
      <c r="PWU62" s="975"/>
      <c r="PWV62" s="975"/>
      <c r="PWW62" s="975"/>
      <c r="PWX62" s="975"/>
      <c r="PWY62" s="975"/>
      <c r="PWZ62" s="975"/>
      <c r="PXA62" s="975"/>
      <c r="PXB62" s="975"/>
      <c r="PXC62" s="975"/>
      <c r="PXD62" s="975"/>
      <c r="PXE62" s="975"/>
      <c r="PXF62" s="975"/>
      <c r="PXG62" s="975"/>
      <c r="PXH62" s="975"/>
      <c r="PXI62" s="975"/>
      <c r="PXJ62" s="975"/>
      <c r="PXK62" s="975"/>
      <c r="PXL62" s="975"/>
      <c r="PXM62" s="975"/>
      <c r="PXN62" s="975"/>
      <c r="PXO62" s="975"/>
      <c r="PXP62" s="975"/>
      <c r="PXQ62" s="975"/>
      <c r="PXR62" s="975"/>
      <c r="PXS62" s="975"/>
      <c r="PXT62" s="975"/>
      <c r="PXU62" s="975"/>
      <c r="PXV62" s="975"/>
      <c r="PXW62" s="975"/>
      <c r="PXX62" s="975"/>
      <c r="PXY62" s="975"/>
      <c r="PXZ62" s="975"/>
      <c r="PYA62" s="975"/>
      <c r="PYB62" s="975"/>
      <c r="PYC62" s="975"/>
      <c r="PYD62" s="975"/>
      <c r="PYE62" s="975"/>
      <c r="PYF62" s="975"/>
      <c r="PYG62" s="975"/>
      <c r="PYH62" s="975"/>
      <c r="PYI62" s="975"/>
      <c r="PYJ62" s="975"/>
      <c r="PYK62" s="975"/>
      <c r="PYL62" s="975"/>
      <c r="PYM62" s="975"/>
      <c r="PYN62" s="975"/>
      <c r="PYO62" s="975"/>
      <c r="PYP62" s="975"/>
      <c r="PYQ62" s="975"/>
      <c r="PYR62" s="975"/>
      <c r="PYS62" s="975"/>
      <c r="PYT62" s="975"/>
      <c r="PYU62" s="975"/>
      <c r="PYV62" s="975"/>
      <c r="PYW62" s="975"/>
      <c r="PYX62" s="975"/>
      <c r="PYY62" s="975"/>
      <c r="PYZ62" s="975"/>
      <c r="PZA62" s="975"/>
      <c r="PZB62" s="975"/>
      <c r="PZC62" s="975"/>
      <c r="PZD62" s="975"/>
      <c r="PZE62" s="975"/>
      <c r="PZF62" s="975"/>
      <c r="PZG62" s="975"/>
      <c r="PZH62" s="975"/>
      <c r="PZI62" s="975"/>
      <c r="PZJ62" s="975"/>
      <c r="PZK62" s="975"/>
      <c r="PZL62" s="975"/>
      <c r="PZM62" s="975"/>
      <c r="PZN62" s="975"/>
      <c r="PZO62" s="975"/>
      <c r="PZP62" s="975"/>
      <c r="PZQ62" s="975"/>
      <c r="PZR62" s="975"/>
      <c r="PZS62" s="975"/>
      <c r="PZT62" s="975"/>
      <c r="PZU62" s="975"/>
      <c r="PZV62" s="975"/>
      <c r="PZW62" s="975"/>
      <c r="PZX62" s="975"/>
      <c r="PZY62" s="975"/>
      <c r="PZZ62" s="975"/>
      <c r="QAA62" s="975"/>
      <c r="QAB62" s="975"/>
      <c r="QAC62" s="975"/>
      <c r="QAD62" s="975"/>
      <c r="QAE62" s="975"/>
      <c r="QAF62" s="975"/>
      <c r="QAG62" s="975"/>
      <c r="QAH62" s="975"/>
      <c r="QAI62" s="975"/>
      <c r="QAJ62" s="975"/>
      <c r="QAK62" s="975"/>
      <c r="QAL62" s="975"/>
      <c r="QAM62" s="975"/>
      <c r="QAN62" s="975"/>
      <c r="QAO62" s="975"/>
      <c r="QAP62" s="975"/>
      <c r="QAQ62" s="975"/>
      <c r="QAR62" s="975"/>
      <c r="QAS62" s="975"/>
      <c r="QAT62" s="975"/>
      <c r="QAU62" s="975"/>
      <c r="QAV62" s="975"/>
      <c r="QAW62" s="975"/>
      <c r="QAX62" s="975"/>
      <c r="QAY62" s="975"/>
      <c r="QAZ62" s="975"/>
      <c r="QBA62" s="975"/>
      <c r="QBB62" s="975"/>
      <c r="QBC62" s="975"/>
      <c r="QBD62" s="975"/>
      <c r="QBE62" s="975"/>
      <c r="QBF62" s="975"/>
      <c r="QBG62" s="975"/>
      <c r="QBH62" s="975"/>
      <c r="QBI62" s="975"/>
      <c r="QBJ62" s="975"/>
      <c r="QBK62" s="975"/>
      <c r="QBL62" s="975"/>
      <c r="QBM62" s="975"/>
      <c r="QBN62" s="975"/>
      <c r="QBO62" s="975"/>
      <c r="QBP62" s="975"/>
      <c r="QBQ62" s="975"/>
      <c r="QBR62" s="975"/>
      <c r="QBS62" s="975"/>
      <c r="QBT62" s="975"/>
      <c r="QBU62" s="975"/>
      <c r="QBV62" s="975"/>
      <c r="QBW62" s="975"/>
      <c r="QBX62" s="975"/>
      <c r="QBY62" s="975"/>
      <c r="QBZ62" s="975"/>
      <c r="QCA62" s="975"/>
      <c r="QCB62" s="975"/>
      <c r="QCC62" s="975"/>
      <c r="QCD62" s="975"/>
      <c r="QCE62" s="975"/>
      <c r="QCF62" s="975"/>
      <c r="QCG62" s="975"/>
      <c r="QCH62" s="975"/>
      <c r="QCI62" s="975"/>
      <c r="QCJ62" s="975"/>
      <c r="QCK62" s="975"/>
      <c r="QCL62" s="975"/>
      <c r="QCM62" s="975"/>
      <c r="QCN62" s="975"/>
      <c r="QCO62" s="975"/>
      <c r="QCP62" s="975"/>
      <c r="QCQ62" s="975"/>
      <c r="QCR62" s="975"/>
      <c r="QCS62" s="975"/>
      <c r="QCT62" s="975"/>
      <c r="QCU62" s="975"/>
      <c r="QCV62" s="975"/>
      <c r="QCW62" s="975"/>
      <c r="QCX62" s="975"/>
      <c r="QCY62" s="975"/>
      <c r="QCZ62" s="975"/>
      <c r="QDA62" s="975"/>
      <c r="QDB62" s="975"/>
      <c r="QDC62" s="975"/>
      <c r="QDD62" s="975"/>
      <c r="QDE62" s="975"/>
      <c r="QDF62" s="975"/>
      <c r="QDG62" s="975"/>
      <c r="QDH62" s="975"/>
      <c r="QDI62" s="975"/>
      <c r="QDJ62" s="975"/>
      <c r="QDK62" s="975"/>
      <c r="QDL62" s="975"/>
      <c r="QDM62" s="975"/>
      <c r="QDN62" s="975"/>
      <c r="QDO62" s="975"/>
      <c r="QDP62" s="975"/>
      <c r="QDQ62" s="975"/>
      <c r="QDR62" s="975"/>
      <c r="QDS62" s="975"/>
      <c r="QDT62" s="975"/>
      <c r="QDU62" s="975"/>
      <c r="QDV62" s="975"/>
      <c r="QDW62" s="975"/>
      <c r="QDX62" s="975"/>
      <c r="QDY62" s="975"/>
      <c r="QDZ62" s="975"/>
      <c r="QEA62" s="975"/>
      <c r="QEB62" s="975"/>
      <c r="QEC62" s="975"/>
      <c r="QED62" s="975"/>
      <c r="QEE62" s="975"/>
      <c r="QEF62" s="975"/>
      <c r="QEG62" s="975"/>
      <c r="QEH62" s="975"/>
      <c r="QEI62" s="975"/>
      <c r="QEJ62" s="975"/>
      <c r="QEK62" s="975"/>
      <c r="QEL62" s="975"/>
      <c r="QEM62" s="975"/>
      <c r="QEN62" s="975"/>
      <c r="QEO62" s="975"/>
      <c r="QEP62" s="975"/>
      <c r="QEQ62" s="975"/>
      <c r="QER62" s="975"/>
      <c r="QES62" s="975"/>
      <c r="QET62" s="975"/>
      <c r="QEU62" s="975"/>
      <c r="QEV62" s="975"/>
      <c r="QEW62" s="975"/>
      <c r="QEX62" s="975"/>
      <c r="QEY62" s="975"/>
      <c r="QEZ62" s="975"/>
      <c r="QFA62" s="975"/>
      <c r="QFB62" s="975"/>
      <c r="QFC62" s="975"/>
      <c r="QFD62" s="975"/>
      <c r="QFE62" s="975"/>
      <c r="QFF62" s="975"/>
      <c r="QFG62" s="975"/>
      <c r="QFH62" s="975"/>
      <c r="QFI62" s="975"/>
      <c r="QFJ62" s="975"/>
      <c r="QFK62" s="975"/>
      <c r="QFL62" s="975"/>
      <c r="QFM62" s="975"/>
      <c r="QFN62" s="975"/>
      <c r="QFO62" s="975"/>
      <c r="QFP62" s="975"/>
      <c r="QFQ62" s="975"/>
      <c r="QFR62" s="975"/>
      <c r="QFS62" s="975"/>
      <c r="QFT62" s="975"/>
      <c r="QFU62" s="975"/>
      <c r="QFV62" s="975"/>
      <c r="QFW62" s="975"/>
      <c r="QFX62" s="975"/>
      <c r="QFY62" s="975"/>
      <c r="QFZ62" s="975"/>
      <c r="QGA62" s="975"/>
      <c r="QGB62" s="975"/>
      <c r="QGC62" s="975"/>
      <c r="QGD62" s="975"/>
      <c r="QGE62" s="975"/>
      <c r="QGF62" s="975"/>
      <c r="QGG62" s="975"/>
      <c r="QGH62" s="975"/>
      <c r="QGI62" s="975"/>
      <c r="QGJ62" s="975"/>
      <c r="QGK62" s="975"/>
      <c r="QGL62" s="975"/>
      <c r="QGM62" s="975"/>
      <c r="QGN62" s="975"/>
      <c r="QGO62" s="975"/>
      <c r="QGP62" s="975"/>
      <c r="QGQ62" s="975"/>
      <c r="QGR62" s="975"/>
      <c r="QGS62" s="975"/>
      <c r="QGT62" s="975"/>
      <c r="QGU62" s="975"/>
      <c r="QGV62" s="975"/>
      <c r="QGW62" s="975"/>
      <c r="QGX62" s="975"/>
      <c r="QGY62" s="975"/>
      <c r="QGZ62" s="975"/>
      <c r="QHA62" s="975"/>
      <c r="QHB62" s="975"/>
      <c r="QHC62" s="975"/>
      <c r="QHD62" s="975"/>
      <c r="QHE62" s="975"/>
      <c r="QHF62" s="975"/>
      <c r="QHG62" s="975"/>
      <c r="QHH62" s="975"/>
      <c r="QHI62" s="975"/>
      <c r="QHJ62" s="975"/>
      <c r="QHK62" s="975"/>
      <c r="QHL62" s="975"/>
      <c r="QHM62" s="975"/>
      <c r="QHN62" s="975"/>
      <c r="QHO62" s="975"/>
      <c r="QHP62" s="975"/>
      <c r="QHQ62" s="975"/>
      <c r="QHR62" s="975"/>
      <c r="QHS62" s="975"/>
      <c r="QHT62" s="975"/>
      <c r="QHU62" s="975"/>
      <c r="QHV62" s="975"/>
      <c r="QHW62" s="975"/>
      <c r="QHX62" s="975"/>
      <c r="QHY62" s="975"/>
      <c r="QHZ62" s="975"/>
      <c r="QIA62" s="975"/>
      <c r="QIB62" s="975"/>
      <c r="QIC62" s="975"/>
      <c r="QID62" s="975"/>
      <c r="QIE62" s="975"/>
      <c r="QIF62" s="975"/>
      <c r="QIG62" s="975"/>
      <c r="QIH62" s="975"/>
      <c r="QII62" s="975"/>
      <c r="QIJ62" s="975"/>
      <c r="QIK62" s="975"/>
      <c r="QIL62" s="975"/>
      <c r="QIM62" s="975"/>
      <c r="QIN62" s="975"/>
      <c r="QIO62" s="975"/>
      <c r="QIP62" s="975"/>
      <c r="QIQ62" s="975"/>
      <c r="QIR62" s="975"/>
      <c r="QIS62" s="975"/>
      <c r="QIT62" s="975"/>
      <c r="QIU62" s="975"/>
      <c r="QIV62" s="975"/>
      <c r="QIW62" s="975"/>
      <c r="QIX62" s="975"/>
      <c r="QIY62" s="975"/>
      <c r="QIZ62" s="975"/>
      <c r="QJA62" s="975"/>
      <c r="QJB62" s="975"/>
      <c r="QJC62" s="975"/>
      <c r="QJD62" s="975"/>
      <c r="QJE62" s="975"/>
      <c r="QJF62" s="975"/>
      <c r="QJG62" s="975"/>
      <c r="QJH62" s="975"/>
      <c r="QJI62" s="975"/>
      <c r="QJJ62" s="975"/>
      <c r="QJK62" s="975"/>
      <c r="QJL62" s="975"/>
      <c r="QJM62" s="975"/>
      <c r="QJN62" s="975"/>
      <c r="QJO62" s="975"/>
      <c r="QJP62" s="975"/>
      <c r="QJQ62" s="975"/>
      <c r="QJR62" s="975"/>
      <c r="QJS62" s="975"/>
      <c r="QJT62" s="975"/>
      <c r="QJU62" s="975"/>
      <c r="QJV62" s="975"/>
      <c r="QJW62" s="975"/>
      <c r="QJX62" s="975"/>
      <c r="QJY62" s="975"/>
      <c r="QJZ62" s="975"/>
      <c r="QKA62" s="975"/>
      <c r="QKB62" s="975"/>
      <c r="QKC62" s="975"/>
      <c r="QKD62" s="975"/>
      <c r="QKE62" s="975"/>
      <c r="QKF62" s="975"/>
      <c r="QKG62" s="975"/>
      <c r="QKH62" s="975"/>
      <c r="QKI62" s="975"/>
      <c r="QKJ62" s="975"/>
      <c r="QKK62" s="975"/>
      <c r="QKL62" s="975"/>
      <c r="QKM62" s="975"/>
      <c r="QKN62" s="975"/>
      <c r="QKO62" s="975"/>
      <c r="QKP62" s="975"/>
      <c r="QKQ62" s="975"/>
      <c r="QKR62" s="975"/>
      <c r="QKS62" s="975"/>
      <c r="QKT62" s="975"/>
      <c r="QKU62" s="975"/>
      <c r="QKV62" s="975"/>
      <c r="QKW62" s="975"/>
      <c r="QKX62" s="975"/>
      <c r="QKY62" s="975"/>
      <c r="QKZ62" s="975"/>
      <c r="QLA62" s="975"/>
      <c r="QLB62" s="975"/>
      <c r="QLC62" s="975"/>
      <c r="QLD62" s="975"/>
      <c r="QLE62" s="975"/>
      <c r="QLF62" s="975"/>
      <c r="QLG62" s="975"/>
      <c r="QLH62" s="975"/>
      <c r="QLI62" s="975"/>
      <c r="QLJ62" s="975"/>
      <c r="QLK62" s="975"/>
      <c r="QLL62" s="975"/>
      <c r="QLM62" s="975"/>
      <c r="QLN62" s="975"/>
      <c r="QLO62" s="975"/>
      <c r="QLP62" s="975"/>
      <c r="QLQ62" s="975"/>
      <c r="QLR62" s="975"/>
      <c r="QLS62" s="975"/>
      <c r="QLT62" s="975"/>
      <c r="QLU62" s="975"/>
      <c r="QLV62" s="975"/>
      <c r="QLW62" s="975"/>
      <c r="QLX62" s="975"/>
      <c r="QLY62" s="975"/>
      <c r="QLZ62" s="975"/>
      <c r="QMA62" s="975"/>
      <c r="QMB62" s="975"/>
      <c r="QMC62" s="975"/>
      <c r="QMD62" s="975"/>
      <c r="QME62" s="975"/>
      <c r="QMF62" s="975"/>
      <c r="QMG62" s="975"/>
      <c r="QMH62" s="975"/>
      <c r="QMI62" s="975"/>
      <c r="QMJ62" s="975"/>
      <c r="QMK62" s="975"/>
      <c r="QML62" s="975"/>
      <c r="QMM62" s="975"/>
      <c r="QMN62" s="975"/>
      <c r="QMO62" s="975"/>
      <c r="QMP62" s="975"/>
      <c r="QMQ62" s="975"/>
      <c r="QMR62" s="975"/>
      <c r="QMS62" s="975"/>
      <c r="QMT62" s="975"/>
      <c r="QMU62" s="975"/>
      <c r="QMV62" s="975"/>
      <c r="QMW62" s="975"/>
      <c r="QMX62" s="975"/>
      <c r="QMY62" s="975"/>
      <c r="QMZ62" s="975"/>
      <c r="QNA62" s="975"/>
      <c r="QNB62" s="975"/>
      <c r="QNC62" s="975"/>
      <c r="QND62" s="975"/>
      <c r="QNE62" s="975"/>
      <c r="QNF62" s="975"/>
      <c r="QNG62" s="975"/>
      <c r="QNH62" s="975"/>
      <c r="QNI62" s="975"/>
      <c r="QNJ62" s="975"/>
      <c r="QNK62" s="975"/>
      <c r="QNL62" s="975"/>
      <c r="QNM62" s="975"/>
      <c r="QNN62" s="975"/>
      <c r="QNO62" s="975"/>
      <c r="QNP62" s="975"/>
      <c r="QNQ62" s="975"/>
      <c r="QNR62" s="975"/>
      <c r="QNS62" s="975"/>
      <c r="QNT62" s="975"/>
      <c r="QNU62" s="975"/>
      <c r="QNV62" s="975"/>
      <c r="QNW62" s="975"/>
      <c r="QNX62" s="975"/>
      <c r="QNY62" s="975"/>
      <c r="QNZ62" s="975"/>
      <c r="QOA62" s="975"/>
      <c r="QOB62" s="975"/>
      <c r="QOC62" s="975"/>
      <c r="QOD62" s="975"/>
      <c r="QOE62" s="975"/>
      <c r="QOF62" s="975"/>
      <c r="QOG62" s="975"/>
      <c r="QOH62" s="975"/>
      <c r="QOI62" s="975"/>
      <c r="QOJ62" s="975"/>
      <c r="QOK62" s="975"/>
      <c r="QOL62" s="975"/>
      <c r="QOM62" s="975"/>
      <c r="QON62" s="975"/>
      <c r="QOO62" s="975"/>
      <c r="QOP62" s="975"/>
      <c r="QOQ62" s="975"/>
      <c r="QOR62" s="975"/>
      <c r="QOS62" s="975"/>
      <c r="QOT62" s="975"/>
      <c r="QOU62" s="975"/>
      <c r="QOV62" s="975"/>
      <c r="QOW62" s="975"/>
      <c r="QOX62" s="975"/>
      <c r="QOY62" s="975"/>
      <c r="QOZ62" s="975"/>
      <c r="QPA62" s="975"/>
      <c r="QPB62" s="975"/>
      <c r="QPC62" s="975"/>
      <c r="QPD62" s="975"/>
      <c r="QPE62" s="975"/>
      <c r="QPF62" s="975"/>
      <c r="QPG62" s="975"/>
      <c r="QPH62" s="975"/>
      <c r="QPI62" s="975"/>
      <c r="QPJ62" s="975"/>
      <c r="QPK62" s="975"/>
      <c r="QPL62" s="975"/>
      <c r="QPM62" s="975"/>
      <c r="QPN62" s="975"/>
      <c r="QPO62" s="975"/>
      <c r="QPP62" s="975"/>
      <c r="QPQ62" s="975"/>
      <c r="QPR62" s="975"/>
      <c r="QPS62" s="975"/>
      <c r="QPT62" s="975"/>
      <c r="QPU62" s="975"/>
      <c r="QPV62" s="975"/>
      <c r="QPW62" s="975"/>
      <c r="QPX62" s="975"/>
      <c r="QPY62" s="975"/>
      <c r="QPZ62" s="975"/>
      <c r="QQA62" s="975"/>
      <c r="QQB62" s="975"/>
      <c r="QQC62" s="975"/>
      <c r="QQD62" s="975"/>
      <c r="QQE62" s="975"/>
      <c r="QQF62" s="975"/>
      <c r="QQG62" s="975"/>
      <c r="QQH62" s="975"/>
      <c r="QQI62" s="975"/>
      <c r="QQJ62" s="975"/>
      <c r="QQK62" s="975"/>
      <c r="QQL62" s="975"/>
      <c r="QQM62" s="975"/>
      <c r="QQN62" s="975"/>
      <c r="QQO62" s="975"/>
      <c r="QQP62" s="975"/>
      <c r="QQQ62" s="975"/>
      <c r="QQR62" s="975"/>
      <c r="QQS62" s="975"/>
      <c r="QQT62" s="975"/>
      <c r="QQU62" s="975"/>
      <c r="QQV62" s="975"/>
      <c r="QQW62" s="975"/>
      <c r="QQX62" s="975"/>
      <c r="QQY62" s="975"/>
      <c r="QQZ62" s="975"/>
      <c r="QRA62" s="975"/>
      <c r="QRB62" s="975"/>
      <c r="QRC62" s="975"/>
      <c r="QRD62" s="975"/>
      <c r="QRE62" s="975"/>
      <c r="QRF62" s="975"/>
      <c r="QRG62" s="975"/>
      <c r="QRH62" s="975"/>
      <c r="QRI62" s="975"/>
      <c r="QRJ62" s="975"/>
      <c r="QRK62" s="975"/>
      <c r="QRL62" s="975"/>
      <c r="QRM62" s="975"/>
      <c r="QRN62" s="975"/>
      <c r="QRO62" s="975"/>
      <c r="QRP62" s="975"/>
      <c r="QRQ62" s="975"/>
      <c r="QRR62" s="975"/>
      <c r="QRS62" s="975"/>
      <c r="QRT62" s="975"/>
      <c r="QRU62" s="975"/>
      <c r="QRV62" s="975"/>
      <c r="QRW62" s="975"/>
      <c r="QRX62" s="975"/>
      <c r="QRY62" s="975"/>
      <c r="QRZ62" s="975"/>
      <c r="QSA62" s="975"/>
      <c r="QSB62" s="975"/>
      <c r="QSC62" s="975"/>
      <c r="QSD62" s="975"/>
      <c r="QSE62" s="975"/>
      <c r="QSF62" s="975"/>
      <c r="QSG62" s="975"/>
      <c r="QSH62" s="975"/>
      <c r="QSI62" s="975"/>
      <c r="QSJ62" s="975"/>
      <c r="QSK62" s="975"/>
      <c r="QSL62" s="975"/>
      <c r="QSM62" s="975"/>
      <c r="QSN62" s="975"/>
      <c r="QSO62" s="975"/>
      <c r="QSP62" s="975"/>
      <c r="QSQ62" s="975"/>
      <c r="QSR62" s="975"/>
      <c r="QSS62" s="975"/>
      <c r="QST62" s="975"/>
      <c r="QSU62" s="975"/>
      <c r="QSV62" s="975"/>
      <c r="QSW62" s="975"/>
      <c r="QSX62" s="975"/>
      <c r="QSY62" s="975"/>
      <c r="QSZ62" s="975"/>
      <c r="QTA62" s="975"/>
      <c r="QTB62" s="975"/>
      <c r="QTC62" s="975"/>
      <c r="QTD62" s="975"/>
      <c r="QTE62" s="975"/>
      <c r="QTF62" s="975"/>
      <c r="QTG62" s="975"/>
      <c r="QTH62" s="975"/>
      <c r="QTI62" s="975"/>
      <c r="QTJ62" s="975"/>
      <c r="QTK62" s="975"/>
      <c r="QTL62" s="975"/>
      <c r="QTM62" s="975"/>
      <c r="QTN62" s="975"/>
      <c r="QTO62" s="975"/>
      <c r="QTP62" s="975"/>
      <c r="QTQ62" s="975"/>
      <c r="QTR62" s="975"/>
      <c r="QTS62" s="975"/>
      <c r="QTT62" s="975"/>
      <c r="QTU62" s="975"/>
      <c r="QTV62" s="975"/>
      <c r="QTW62" s="975"/>
      <c r="QTX62" s="975"/>
      <c r="QTY62" s="975"/>
      <c r="QTZ62" s="975"/>
      <c r="QUA62" s="975"/>
      <c r="QUB62" s="975"/>
      <c r="QUC62" s="975"/>
      <c r="QUD62" s="975"/>
      <c r="QUE62" s="975"/>
      <c r="QUF62" s="975"/>
      <c r="QUG62" s="975"/>
      <c r="QUH62" s="975"/>
      <c r="QUI62" s="975"/>
      <c r="QUJ62" s="975"/>
      <c r="QUK62" s="975"/>
      <c r="QUL62" s="975"/>
      <c r="QUM62" s="975"/>
      <c r="QUN62" s="975"/>
      <c r="QUO62" s="975"/>
      <c r="QUP62" s="975"/>
      <c r="QUQ62" s="975"/>
      <c r="QUR62" s="975"/>
      <c r="QUS62" s="975"/>
      <c r="QUT62" s="975"/>
      <c r="QUU62" s="975"/>
      <c r="QUV62" s="975"/>
      <c r="QUW62" s="975"/>
      <c r="QUX62" s="975"/>
      <c r="QUY62" s="975"/>
      <c r="QUZ62" s="975"/>
      <c r="QVA62" s="975"/>
      <c r="QVB62" s="975"/>
      <c r="QVC62" s="975"/>
      <c r="QVD62" s="975"/>
      <c r="QVE62" s="975"/>
      <c r="QVF62" s="975"/>
      <c r="QVG62" s="975"/>
      <c r="QVH62" s="975"/>
      <c r="QVI62" s="975"/>
      <c r="QVJ62" s="975"/>
      <c r="QVK62" s="975"/>
      <c r="QVL62" s="975"/>
      <c r="QVM62" s="975"/>
      <c r="QVN62" s="975"/>
      <c r="QVO62" s="975"/>
      <c r="QVP62" s="975"/>
      <c r="QVQ62" s="975"/>
      <c r="QVR62" s="975"/>
      <c r="QVS62" s="975"/>
      <c r="QVT62" s="975"/>
      <c r="QVU62" s="975"/>
      <c r="QVV62" s="975"/>
      <c r="QVW62" s="975"/>
      <c r="QVX62" s="975"/>
      <c r="QVY62" s="975"/>
      <c r="QVZ62" s="975"/>
      <c r="QWA62" s="975"/>
      <c r="QWB62" s="975"/>
      <c r="QWC62" s="975"/>
      <c r="QWD62" s="975"/>
      <c r="QWE62" s="975"/>
      <c r="QWF62" s="975"/>
      <c r="QWG62" s="975"/>
      <c r="QWH62" s="975"/>
      <c r="QWI62" s="975"/>
      <c r="QWJ62" s="975"/>
      <c r="QWK62" s="975"/>
      <c r="QWL62" s="975"/>
      <c r="QWM62" s="975"/>
      <c r="QWN62" s="975"/>
      <c r="QWO62" s="975"/>
      <c r="QWP62" s="975"/>
      <c r="QWQ62" s="975"/>
      <c r="QWR62" s="975"/>
      <c r="QWS62" s="975"/>
      <c r="QWT62" s="975"/>
      <c r="QWU62" s="975"/>
      <c r="QWV62" s="975"/>
      <c r="QWW62" s="975"/>
      <c r="QWX62" s="975"/>
      <c r="QWY62" s="975"/>
      <c r="QWZ62" s="975"/>
      <c r="QXA62" s="975"/>
      <c r="QXB62" s="975"/>
      <c r="QXC62" s="975"/>
      <c r="QXD62" s="975"/>
      <c r="QXE62" s="975"/>
      <c r="QXF62" s="975"/>
      <c r="QXG62" s="975"/>
      <c r="QXH62" s="975"/>
      <c r="QXI62" s="975"/>
      <c r="QXJ62" s="975"/>
      <c r="QXK62" s="975"/>
      <c r="QXL62" s="975"/>
      <c r="QXM62" s="975"/>
      <c r="QXN62" s="975"/>
      <c r="QXO62" s="975"/>
      <c r="QXP62" s="975"/>
      <c r="QXQ62" s="975"/>
      <c r="QXR62" s="975"/>
      <c r="QXS62" s="975"/>
      <c r="QXT62" s="975"/>
      <c r="QXU62" s="975"/>
      <c r="QXV62" s="975"/>
      <c r="QXW62" s="975"/>
      <c r="QXX62" s="975"/>
      <c r="QXY62" s="975"/>
      <c r="QXZ62" s="975"/>
      <c r="QYA62" s="975"/>
      <c r="QYB62" s="975"/>
      <c r="QYC62" s="975"/>
      <c r="QYD62" s="975"/>
      <c r="QYE62" s="975"/>
      <c r="QYF62" s="975"/>
      <c r="QYG62" s="975"/>
      <c r="QYH62" s="975"/>
      <c r="QYI62" s="975"/>
      <c r="QYJ62" s="975"/>
      <c r="QYK62" s="975"/>
      <c r="QYL62" s="975"/>
      <c r="QYM62" s="975"/>
      <c r="QYN62" s="975"/>
      <c r="QYO62" s="975"/>
      <c r="QYP62" s="975"/>
      <c r="QYQ62" s="975"/>
      <c r="QYR62" s="975"/>
      <c r="QYS62" s="975"/>
      <c r="QYT62" s="975"/>
      <c r="QYU62" s="975"/>
      <c r="QYV62" s="975"/>
      <c r="QYW62" s="975"/>
      <c r="QYX62" s="975"/>
      <c r="QYY62" s="975"/>
      <c r="QYZ62" s="975"/>
      <c r="QZA62" s="975"/>
      <c r="QZB62" s="975"/>
      <c r="QZC62" s="975"/>
      <c r="QZD62" s="975"/>
      <c r="QZE62" s="975"/>
      <c r="QZF62" s="975"/>
      <c r="QZG62" s="975"/>
      <c r="QZH62" s="975"/>
      <c r="QZI62" s="975"/>
      <c r="QZJ62" s="975"/>
      <c r="QZK62" s="975"/>
      <c r="QZL62" s="975"/>
      <c r="QZM62" s="975"/>
      <c r="QZN62" s="975"/>
      <c r="QZO62" s="975"/>
      <c r="QZP62" s="975"/>
      <c r="QZQ62" s="975"/>
      <c r="QZR62" s="975"/>
      <c r="QZS62" s="975"/>
      <c r="QZT62" s="975"/>
      <c r="QZU62" s="975"/>
      <c r="QZV62" s="975"/>
      <c r="QZW62" s="975"/>
      <c r="QZX62" s="975"/>
      <c r="QZY62" s="975"/>
      <c r="QZZ62" s="975"/>
      <c r="RAA62" s="975"/>
      <c r="RAB62" s="975"/>
      <c r="RAC62" s="975"/>
      <c r="RAD62" s="975"/>
      <c r="RAE62" s="975"/>
      <c r="RAF62" s="975"/>
      <c r="RAG62" s="975"/>
      <c r="RAH62" s="975"/>
      <c r="RAI62" s="975"/>
      <c r="RAJ62" s="975"/>
      <c r="RAK62" s="975"/>
      <c r="RAL62" s="975"/>
      <c r="RAM62" s="975"/>
      <c r="RAN62" s="975"/>
      <c r="RAO62" s="975"/>
      <c r="RAP62" s="975"/>
      <c r="RAQ62" s="975"/>
      <c r="RAR62" s="975"/>
      <c r="RAS62" s="975"/>
      <c r="RAT62" s="975"/>
      <c r="RAU62" s="975"/>
      <c r="RAV62" s="975"/>
      <c r="RAW62" s="975"/>
      <c r="RAX62" s="975"/>
      <c r="RAY62" s="975"/>
      <c r="RAZ62" s="975"/>
      <c r="RBA62" s="975"/>
      <c r="RBB62" s="975"/>
      <c r="RBC62" s="975"/>
      <c r="RBD62" s="975"/>
      <c r="RBE62" s="975"/>
      <c r="RBF62" s="975"/>
      <c r="RBG62" s="975"/>
      <c r="RBH62" s="975"/>
      <c r="RBI62" s="975"/>
      <c r="RBJ62" s="975"/>
      <c r="RBK62" s="975"/>
      <c r="RBL62" s="975"/>
      <c r="RBM62" s="975"/>
      <c r="RBN62" s="975"/>
      <c r="RBO62" s="975"/>
      <c r="RBP62" s="975"/>
      <c r="RBQ62" s="975"/>
      <c r="RBR62" s="975"/>
      <c r="RBS62" s="975"/>
      <c r="RBT62" s="975"/>
      <c r="RBU62" s="975"/>
      <c r="RBV62" s="975"/>
      <c r="RBW62" s="975"/>
      <c r="RBX62" s="975"/>
      <c r="RBY62" s="975"/>
      <c r="RBZ62" s="975"/>
      <c r="RCA62" s="975"/>
      <c r="RCB62" s="975"/>
      <c r="RCC62" s="975"/>
      <c r="RCD62" s="975"/>
      <c r="RCE62" s="975"/>
      <c r="RCF62" s="975"/>
      <c r="RCG62" s="975"/>
      <c r="RCH62" s="975"/>
      <c r="RCI62" s="975"/>
      <c r="RCJ62" s="975"/>
      <c r="RCK62" s="975"/>
      <c r="RCL62" s="975"/>
      <c r="RCM62" s="975"/>
      <c r="RCN62" s="975"/>
      <c r="RCO62" s="975"/>
      <c r="RCP62" s="975"/>
      <c r="RCQ62" s="975"/>
      <c r="RCR62" s="975"/>
      <c r="RCS62" s="975"/>
      <c r="RCT62" s="975"/>
      <c r="RCU62" s="975"/>
      <c r="RCV62" s="975"/>
      <c r="RCW62" s="975"/>
      <c r="RCX62" s="975"/>
      <c r="RCY62" s="975"/>
      <c r="RCZ62" s="975"/>
      <c r="RDA62" s="975"/>
      <c r="RDB62" s="975"/>
      <c r="RDC62" s="975"/>
      <c r="RDD62" s="975"/>
      <c r="RDE62" s="975"/>
      <c r="RDF62" s="975"/>
      <c r="RDG62" s="975"/>
      <c r="RDH62" s="975"/>
      <c r="RDI62" s="975"/>
      <c r="RDJ62" s="975"/>
      <c r="RDK62" s="975"/>
      <c r="RDL62" s="975"/>
      <c r="RDM62" s="975"/>
      <c r="RDN62" s="975"/>
      <c r="RDO62" s="975"/>
      <c r="RDP62" s="975"/>
      <c r="RDQ62" s="975"/>
      <c r="RDR62" s="975"/>
      <c r="RDS62" s="975"/>
      <c r="RDT62" s="975"/>
      <c r="RDU62" s="975"/>
      <c r="RDV62" s="975"/>
      <c r="RDW62" s="975"/>
      <c r="RDX62" s="975"/>
      <c r="RDY62" s="975"/>
      <c r="RDZ62" s="975"/>
      <c r="REA62" s="975"/>
      <c r="REB62" s="975"/>
      <c r="REC62" s="975"/>
      <c r="RED62" s="975"/>
      <c r="REE62" s="975"/>
      <c r="REF62" s="975"/>
      <c r="REG62" s="975"/>
      <c r="REH62" s="975"/>
      <c r="REI62" s="975"/>
      <c r="REJ62" s="975"/>
      <c r="REK62" s="975"/>
      <c r="REL62" s="975"/>
      <c r="REM62" s="975"/>
      <c r="REN62" s="975"/>
      <c r="REO62" s="975"/>
      <c r="REP62" s="975"/>
      <c r="REQ62" s="975"/>
      <c r="RER62" s="975"/>
      <c r="RES62" s="975"/>
      <c r="RET62" s="975"/>
      <c r="REU62" s="975"/>
      <c r="REV62" s="975"/>
      <c r="REW62" s="975"/>
      <c r="REX62" s="975"/>
      <c r="REY62" s="975"/>
      <c r="REZ62" s="975"/>
      <c r="RFA62" s="975"/>
      <c r="RFB62" s="975"/>
      <c r="RFC62" s="975"/>
      <c r="RFD62" s="975"/>
      <c r="RFE62" s="975"/>
      <c r="RFF62" s="975"/>
      <c r="RFG62" s="975"/>
      <c r="RFH62" s="975"/>
      <c r="RFI62" s="975"/>
      <c r="RFJ62" s="975"/>
      <c r="RFK62" s="975"/>
      <c r="RFL62" s="975"/>
      <c r="RFM62" s="975"/>
      <c r="RFN62" s="975"/>
      <c r="RFO62" s="975"/>
      <c r="RFP62" s="975"/>
      <c r="RFQ62" s="975"/>
      <c r="RFR62" s="975"/>
      <c r="RFS62" s="975"/>
      <c r="RFT62" s="975"/>
      <c r="RFU62" s="975"/>
      <c r="RFV62" s="975"/>
      <c r="RFW62" s="975"/>
      <c r="RFX62" s="975"/>
      <c r="RFY62" s="975"/>
      <c r="RFZ62" s="975"/>
      <c r="RGA62" s="975"/>
      <c r="RGB62" s="975"/>
      <c r="RGC62" s="975"/>
      <c r="RGD62" s="975"/>
      <c r="RGE62" s="975"/>
      <c r="RGF62" s="975"/>
      <c r="RGG62" s="975"/>
      <c r="RGH62" s="975"/>
      <c r="RGI62" s="975"/>
      <c r="RGJ62" s="975"/>
      <c r="RGK62" s="975"/>
      <c r="RGL62" s="975"/>
      <c r="RGM62" s="975"/>
      <c r="RGN62" s="975"/>
      <c r="RGO62" s="975"/>
      <c r="RGP62" s="975"/>
      <c r="RGQ62" s="975"/>
      <c r="RGR62" s="975"/>
      <c r="RGS62" s="975"/>
      <c r="RGT62" s="975"/>
      <c r="RGU62" s="975"/>
      <c r="RGV62" s="975"/>
      <c r="RGW62" s="975"/>
      <c r="RGX62" s="975"/>
      <c r="RGY62" s="975"/>
      <c r="RGZ62" s="975"/>
      <c r="RHA62" s="975"/>
      <c r="RHB62" s="975"/>
      <c r="RHC62" s="975"/>
      <c r="RHD62" s="975"/>
      <c r="RHE62" s="975"/>
      <c r="RHF62" s="975"/>
      <c r="RHG62" s="975"/>
      <c r="RHH62" s="975"/>
      <c r="RHI62" s="975"/>
      <c r="RHJ62" s="975"/>
      <c r="RHK62" s="975"/>
      <c r="RHL62" s="975"/>
      <c r="RHM62" s="975"/>
      <c r="RHN62" s="975"/>
      <c r="RHO62" s="975"/>
      <c r="RHP62" s="975"/>
      <c r="RHQ62" s="975"/>
      <c r="RHR62" s="975"/>
      <c r="RHS62" s="975"/>
      <c r="RHT62" s="975"/>
      <c r="RHU62" s="975"/>
      <c r="RHV62" s="975"/>
      <c r="RHW62" s="975"/>
      <c r="RHX62" s="975"/>
      <c r="RHY62" s="975"/>
      <c r="RHZ62" s="975"/>
      <c r="RIA62" s="975"/>
      <c r="RIB62" s="975"/>
      <c r="RIC62" s="975"/>
      <c r="RID62" s="975"/>
      <c r="RIE62" s="975"/>
      <c r="RIF62" s="975"/>
      <c r="RIG62" s="975"/>
      <c r="RIH62" s="975"/>
      <c r="RII62" s="975"/>
      <c r="RIJ62" s="975"/>
      <c r="RIK62" s="975"/>
      <c r="RIL62" s="975"/>
      <c r="RIM62" s="975"/>
      <c r="RIN62" s="975"/>
      <c r="RIO62" s="975"/>
      <c r="RIP62" s="975"/>
      <c r="RIQ62" s="975"/>
      <c r="RIR62" s="975"/>
      <c r="RIS62" s="975"/>
      <c r="RIT62" s="975"/>
      <c r="RIU62" s="975"/>
      <c r="RIV62" s="975"/>
      <c r="RIW62" s="975"/>
      <c r="RIX62" s="975"/>
      <c r="RIY62" s="975"/>
      <c r="RIZ62" s="975"/>
      <c r="RJA62" s="975"/>
      <c r="RJB62" s="975"/>
      <c r="RJC62" s="975"/>
      <c r="RJD62" s="975"/>
      <c r="RJE62" s="975"/>
      <c r="RJF62" s="975"/>
      <c r="RJG62" s="975"/>
      <c r="RJH62" s="975"/>
      <c r="RJI62" s="975"/>
      <c r="RJJ62" s="975"/>
      <c r="RJK62" s="975"/>
      <c r="RJL62" s="975"/>
      <c r="RJM62" s="975"/>
      <c r="RJN62" s="975"/>
      <c r="RJO62" s="975"/>
      <c r="RJP62" s="975"/>
      <c r="RJQ62" s="975"/>
      <c r="RJR62" s="975"/>
      <c r="RJS62" s="975"/>
      <c r="RJT62" s="975"/>
      <c r="RJU62" s="975"/>
      <c r="RJV62" s="975"/>
      <c r="RJW62" s="975"/>
      <c r="RJX62" s="975"/>
      <c r="RJY62" s="975"/>
      <c r="RJZ62" s="975"/>
      <c r="RKA62" s="975"/>
      <c r="RKB62" s="975"/>
      <c r="RKC62" s="975"/>
      <c r="RKD62" s="975"/>
      <c r="RKE62" s="975"/>
      <c r="RKF62" s="975"/>
      <c r="RKG62" s="975"/>
      <c r="RKH62" s="975"/>
      <c r="RKI62" s="975"/>
      <c r="RKJ62" s="975"/>
      <c r="RKK62" s="975"/>
      <c r="RKL62" s="975"/>
      <c r="RKM62" s="975"/>
      <c r="RKN62" s="975"/>
      <c r="RKO62" s="975"/>
      <c r="RKP62" s="975"/>
      <c r="RKQ62" s="975"/>
      <c r="RKR62" s="975"/>
      <c r="RKS62" s="975"/>
      <c r="RKT62" s="975"/>
      <c r="RKU62" s="975"/>
      <c r="RKV62" s="975"/>
      <c r="RKW62" s="975"/>
      <c r="RKX62" s="975"/>
      <c r="RKY62" s="975"/>
      <c r="RKZ62" s="975"/>
      <c r="RLA62" s="975"/>
      <c r="RLB62" s="975"/>
      <c r="RLC62" s="975"/>
      <c r="RLD62" s="975"/>
      <c r="RLE62" s="975"/>
      <c r="RLF62" s="975"/>
      <c r="RLG62" s="975"/>
      <c r="RLH62" s="975"/>
      <c r="RLI62" s="975"/>
      <c r="RLJ62" s="975"/>
      <c r="RLK62" s="975"/>
      <c r="RLL62" s="975"/>
      <c r="RLM62" s="975"/>
      <c r="RLN62" s="975"/>
      <c r="RLO62" s="975"/>
      <c r="RLP62" s="975"/>
      <c r="RLQ62" s="975"/>
      <c r="RLR62" s="975"/>
      <c r="RLS62" s="975"/>
      <c r="RLT62" s="975"/>
      <c r="RLU62" s="975"/>
      <c r="RLV62" s="975"/>
      <c r="RLW62" s="975"/>
      <c r="RLX62" s="975"/>
      <c r="RLY62" s="975"/>
      <c r="RLZ62" s="975"/>
      <c r="RMA62" s="975"/>
      <c r="RMB62" s="975"/>
      <c r="RMC62" s="975"/>
      <c r="RMD62" s="975"/>
      <c r="RME62" s="975"/>
      <c r="RMF62" s="975"/>
      <c r="RMG62" s="975"/>
      <c r="RMH62" s="975"/>
      <c r="RMI62" s="975"/>
      <c r="RMJ62" s="975"/>
      <c r="RMK62" s="975"/>
      <c r="RML62" s="975"/>
      <c r="RMM62" s="975"/>
      <c r="RMN62" s="975"/>
      <c r="RMO62" s="975"/>
      <c r="RMP62" s="975"/>
      <c r="RMQ62" s="975"/>
      <c r="RMR62" s="975"/>
      <c r="RMS62" s="975"/>
      <c r="RMT62" s="975"/>
      <c r="RMU62" s="975"/>
      <c r="RMV62" s="975"/>
      <c r="RMW62" s="975"/>
      <c r="RMX62" s="975"/>
      <c r="RMY62" s="975"/>
      <c r="RMZ62" s="975"/>
      <c r="RNA62" s="975"/>
      <c r="RNB62" s="975"/>
      <c r="RNC62" s="975"/>
      <c r="RND62" s="975"/>
      <c r="RNE62" s="975"/>
      <c r="RNF62" s="975"/>
      <c r="RNG62" s="975"/>
      <c r="RNH62" s="975"/>
      <c r="RNI62" s="975"/>
      <c r="RNJ62" s="975"/>
      <c r="RNK62" s="975"/>
      <c r="RNL62" s="975"/>
      <c r="RNM62" s="975"/>
      <c r="RNN62" s="975"/>
      <c r="RNO62" s="975"/>
      <c r="RNP62" s="975"/>
      <c r="RNQ62" s="975"/>
      <c r="RNR62" s="975"/>
      <c r="RNS62" s="975"/>
      <c r="RNT62" s="975"/>
      <c r="RNU62" s="975"/>
      <c r="RNV62" s="975"/>
      <c r="RNW62" s="975"/>
      <c r="RNX62" s="975"/>
      <c r="RNY62" s="975"/>
      <c r="RNZ62" s="975"/>
      <c r="ROA62" s="975"/>
      <c r="ROB62" s="975"/>
      <c r="ROC62" s="975"/>
      <c r="ROD62" s="975"/>
      <c r="ROE62" s="975"/>
      <c r="ROF62" s="975"/>
      <c r="ROG62" s="975"/>
      <c r="ROH62" s="975"/>
      <c r="ROI62" s="975"/>
      <c r="ROJ62" s="975"/>
      <c r="ROK62" s="975"/>
      <c r="ROL62" s="975"/>
      <c r="ROM62" s="975"/>
      <c r="RON62" s="975"/>
      <c r="ROO62" s="975"/>
      <c r="ROP62" s="975"/>
      <c r="ROQ62" s="975"/>
      <c r="ROR62" s="975"/>
      <c r="ROS62" s="975"/>
      <c r="ROT62" s="975"/>
      <c r="ROU62" s="975"/>
      <c r="ROV62" s="975"/>
      <c r="ROW62" s="975"/>
      <c r="ROX62" s="975"/>
      <c r="ROY62" s="975"/>
      <c r="ROZ62" s="975"/>
      <c r="RPA62" s="975"/>
      <c r="RPB62" s="975"/>
      <c r="RPC62" s="975"/>
      <c r="RPD62" s="975"/>
      <c r="RPE62" s="975"/>
      <c r="RPF62" s="975"/>
      <c r="RPG62" s="975"/>
      <c r="RPH62" s="975"/>
      <c r="RPI62" s="975"/>
      <c r="RPJ62" s="975"/>
      <c r="RPK62" s="975"/>
      <c r="RPL62" s="975"/>
      <c r="RPM62" s="975"/>
      <c r="RPN62" s="975"/>
      <c r="RPO62" s="975"/>
      <c r="RPP62" s="975"/>
      <c r="RPQ62" s="975"/>
      <c r="RPR62" s="975"/>
      <c r="RPS62" s="975"/>
      <c r="RPT62" s="975"/>
      <c r="RPU62" s="975"/>
      <c r="RPV62" s="975"/>
      <c r="RPW62" s="975"/>
      <c r="RPX62" s="975"/>
      <c r="RPY62" s="975"/>
      <c r="RPZ62" s="975"/>
      <c r="RQA62" s="975"/>
      <c r="RQB62" s="975"/>
      <c r="RQC62" s="975"/>
      <c r="RQD62" s="975"/>
      <c r="RQE62" s="975"/>
      <c r="RQF62" s="975"/>
      <c r="RQG62" s="975"/>
      <c r="RQH62" s="975"/>
      <c r="RQI62" s="975"/>
      <c r="RQJ62" s="975"/>
      <c r="RQK62" s="975"/>
      <c r="RQL62" s="975"/>
      <c r="RQM62" s="975"/>
      <c r="RQN62" s="975"/>
      <c r="RQO62" s="975"/>
      <c r="RQP62" s="975"/>
      <c r="RQQ62" s="975"/>
      <c r="RQR62" s="975"/>
      <c r="RQS62" s="975"/>
      <c r="RQT62" s="975"/>
      <c r="RQU62" s="975"/>
      <c r="RQV62" s="975"/>
      <c r="RQW62" s="975"/>
      <c r="RQX62" s="975"/>
      <c r="RQY62" s="975"/>
      <c r="RQZ62" s="975"/>
      <c r="RRA62" s="975"/>
      <c r="RRB62" s="975"/>
      <c r="RRC62" s="975"/>
      <c r="RRD62" s="975"/>
      <c r="RRE62" s="975"/>
      <c r="RRF62" s="975"/>
      <c r="RRG62" s="975"/>
      <c r="RRH62" s="975"/>
      <c r="RRI62" s="975"/>
      <c r="RRJ62" s="975"/>
      <c r="RRK62" s="975"/>
      <c r="RRL62" s="975"/>
      <c r="RRM62" s="975"/>
      <c r="RRN62" s="975"/>
      <c r="RRO62" s="975"/>
      <c r="RRP62" s="975"/>
      <c r="RRQ62" s="975"/>
      <c r="RRR62" s="975"/>
      <c r="RRS62" s="975"/>
      <c r="RRT62" s="975"/>
      <c r="RRU62" s="975"/>
      <c r="RRV62" s="975"/>
      <c r="RRW62" s="975"/>
      <c r="RRX62" s="975"/>
      <c r="RRY62" s="975"/>
      <c r="RRZ62" s="975"/>
      <c r="RSA62" s="975"/>
      <c r="RSB62" s="975"/>
      <c r="RSC62" s="975"/>
      <c r="RSD62" s="975"/>
      <c r="RSE62" s="975"/>
      <c r="RSF62" s="975"/>
      <c r="RSG62" s="975"/>
      <c r="RSH62" s="975"/>
      <c r="RSI62" s="975"/>
      <c r="RSJ62" s="975"/>
      <c r="RSK62" s="975"/>
      <c r="RSL62" s="975"/>
      <c r="RSM62" s="975"/>
      <c r="RSN62" s="975"/>
      <c r="RSO62" s="975"/>
      <c r="RSP62" s="975"/>
      <c r="RSQ62" s="975"/>
      <c r="RSR62" s="975"/>
      <c r="RSS62" s="975"/>
      <c r="RST62" s="975"/>
      <c r="RSU62" s="975"/>
      <c r="RSV62" s="975"/>
      <c r="RSW62" s="975"/>
      <c r="RSX62" s="975"/>
      <c r="RSY62" s="975"/>
      <c r="RSZ62" s="975"/>
      <c r="RTA62" s="975"/>
      <c r="RTB62" s="975"/>
      <c r="RTC62" s="975"/>
      <c r="RTD62" s="975"/>
      <c r="RTE62" s="975"/>
      <c r="RTF62" s="975"/>
      <c r="RTG62" s="975"/>
      <c r="RTH62" s="975"/>
      <c r="RTI62" s="975"/>
      <c r="RTJ62" s="975"/>
      <c r="RTK62" s="975"/>
      <c r="RTL62" s="975"/>
      <c r="RTM62" s="975"/>
      <c r="RTN62" s="975"/>
      <c r="RTO62" s="975"/>
      <c r="RTP62" s="975"/>
      <c r="RTQ62" s="975"/>
      <c r="RTR62" s="975"/>
      <c r="RTS62" s="975"/>
      <c r="RTT62" s="975"/>
      <c r="RTU62" s="975"/>
      <c r="RTV62" s="975"/>
      <c r="RTW62" s="975"/>
      <c r="RTX62" s="975"/>
      <c r="RTY62" s="975"/>
      <c r="RTZ62" s="975"/>
      <c r="RUA62" s="975"/>
      <c r="RUB62" s="975"/>
      <c r="RUC62" s="975"/>
      <c r="RUD62" s="975"/>
      <c r="RUE62" s="975"/>
      <c r="RUF62" s="975"/>
      <c r="RUG62" s="975"/>
      <c r="RUH62" s="975"/>
      <c r="RUI62" s="975"/>
      <c r="RUJ62" s="975"/>
      <c r="RUK62" s="975"/>
      <c r="RUL62" s="975"/>
      <c r="RUM62" s="975"/>
      <c r="RUN62" s="975"/>
      <c r="RUO62" s="975"/>
      <c r="RUP62" s="975"/>
      <c r="RUQ62" s="975"/>
      <c r="RUR62" s="975"/>
      <c r="RUS62" s="975"/>
      <c r="RUT62" s="975"/>
      <c r="RUU62" s="975"/>
      <c r="RUV62" s="975"/>
      <c r="RUW62" s="975"/>
      <c r="RUX62" s="975"/>
      <c r="RUY62" s="975"/>
      <c r="RUZ62" s="975"/>
      <c r="RVA62" s="975"/>
      <c r="RVB62" s="975"/>
      <c r="RVC62" s="975"/>
      <c r="RVD62" s="975"/>
      <c r="RVE62" s="975"/>
      <c r="RVF62" s="975"/>
      <c r="RVG62" s="975"/>
      <c r="RVH62" s="975"/>
      <c r="RVI62" s="975"/>
      <c r="RVJ62" s="975"/>
      <c r="RVK62" s="975"/>
      <c r="RVL62" s="975"/>
      <c r="RVM62" s="975"/>
      <c r="RVN62" s="975"/>
      <c r="RVO62" s="975"/>
      <c r="RVP62" s="975"/>
      <c r="RVQ62" s="975"/>
      <c r="RVR62" s="975"/>
      <c r="RVS62" s="975"/>
      <c r="RVT62" s="975"/>
      <c r="RVU62" s="975"/>
      <c r="RVV62" s="975"/>
      <c r="RVW62" s="975"/>
      <c r="RVX62" s="975"/>
      <c r="RVY62" s="975"/>
      <c r="RVZ62" s="975"/>
      <c r="RWA62" s="975"/>
      <c r="RWB62" s="975"/>
      <c r="RWC62" s="975"/>
      <c r="RWD62" s="975"/>
      <c r="RWE62" s="975"/>
      <c r="RWF62" s="975"/>
      <c r="RWG62" s="975"/>
      <c r="RWH62" s="975"/>
      <c r="RWI62" s="975"/>
      <c r="RWJ62" s="975"/>
      <c r="RWK62" s="975"/>
      <c r="RWL62" s="975"/>
      <c r="RWM62" s="975"/>
      <c r="RWN62" s="975"/>
      <c r="RWO62" s="975"/>
      <c r="RWP62" s="975"/>
      <c r="RWQ62" s="975"/>
      <c r="RWR62" s="975"/>
      <c r="RWS62" s="975"/>
      <c r="RWT62" s="975"/>
      <c r="RWU62" s="975"/>
      <c r="RWV62" s="975"/>
      <c r="RWW62" s="975"/>
      <c r="RWX62" s="975"/>
      <c r="RWY62" s="975"/>
      <c r="RWZ62" s="975"/>
      <c r="RXA62" s="975"/>
      <c r="RXB62" s="975"/>
      <c r="RXC62" s="975"/>
      <c r="RXD62" s="975"/>
      <c r="RXE62" s="975"/>
      <c r="RXF62" s="975"/>
      <c r="RXG62" s="975"/>
      <c r="RXH62" s="975"/>
      <c r="RXI62" s="975"/>
      <c r="RXJ62" s="975"/>
      <c r="RXK62" s="975"/>
      <c r="RXL62" s="975"/>
      <c r="RXM62" s="975"/>
      <c r="RXN62" s="975"/>
      <c r="RXO62" s="975"/>
      <c r="RXP62" s="975"/>
      <c r="RXQ62" s="975"/>
      <c r="RXR62" s="975"/>
      <c r="RXS62" s="975"/>
      <c r="RXT62" s="975"/>
      <c r="RXU62" s="975"/>
      <c r="RXV62" s="975"/>
      <c r="RXW62" s="975"/>
      <c r="RXX62" s="975"/>
      <c r="RXY62" s="975"/>
      <c r="RXZ62" s="975"/>
      <c r="RYA62" s="975"/>
      <c r="RYB62" s="975"/>
      <c r="RYC62" s="975"/>
      <c r="RYD62" s="975"/>
      <c r="RYE62" s="975"/>
      <c r="RYF62" s="975"/>
      <c r="RYG62" s="975"/>
      <c r="RYH62" s="975"/>
      <c r="RYI62" s="975"/>
      <c r="RYJ62" s="975"/>
      <c r="RYK62" s="975"/>
      <c r="RYL62" s="975"/>
      <c r="RYM62" s="975"/>
      <c r="RYN62" s="975"/>
      <c r="RYO62" s="975"/>
      <c r="RYP62" s="975"/>
      <c r="RYQ62" s="975"/>
      <c r="RYR62" s="975"/>
      <c r="RYS62" s="975"/>
      <c r="RYT62" s="975"/>
      <c r="RYU62" s="975"/>
      <c r="RYV62" s="975"/>
      <c r="RYW62" s="975"/>
      <c r="RYX62" s="975"/>
      <c r="RYY62" s="975"/>
      <c r="RYZ62" s="975"/>
      <c r="RZA62" s="975"/>
      <c r="RZB62" s="975"/>
      <c r="RZC62" s="975"/>
      <c r="RZD62" s="975"/>
      <c r="RZE62" s="975"/>
      <c r="RZF62" s="975"/>
      <c r="RZG62" s="975"/>
      <c r="RZH62" s="975"/>
      <c r="RZI62" s="975"/>
      <c r="RZJ62" s="975"/>
      <c r="RZK62" s="975"/>
      <c r="RZL62" s="975"/>
      <c r="RZM62" s="975"/>
      <c r="RZN62" s="975"/>
      <c r="RZO62" s="975"/>
      <c r="RZP62" s="975"/>
      <c r="RZQ62" s="975"/>
      <c r="RZR62" s="975"/>
      <c r="RZS62" s="975"/>
      <c r="RZT62" s="975"/>
      <c r="RZU62" s="975"/>
      <c r="RZV62" s="975"/>
      <c r="RZW62" s="975"/>
      <c r="RZX62" s="975"/>
      <c r="RZY62" s="975"/>
      <c r="RZZ62" s="975"/>
      <c r="SAA62" s="975"/>
      <c r="SAB62" s="975"/>
      <c r="SAC62" s="975"/>
      <c r="SAD62" s="975"/>
      <c r="SAE62" s="975"/>
      <c r="SAF62" s="975"/>
      <c r="SAG62" s="975"/>
      <c r="SAH62" s="975"/>
      <c r="SAI62" s="975"/>
      <c r="SAJ62" s="975"/>
      <c r="SAK62" s="975"/>
      <c r="SAL62" s="975"/>
      <c r="SAM62" s="975"/>
      <c r="SAN62" s="975"/>
      <c r="SAO62" s="975"/>
      <c r="SAP62" s="975"/>
      <c r="SAQ62" s="975"/>
      <c r="SAR62" s="975"/>
      <c r="SAS62" s="975"/>
      <c r="SAT62" s="975"/>
      <c r="SAU62" s="975"/>
      <c r="SAV62" s="975"/>
      <c r="SAW62" s="975"/>
      <c r="SAX62" s="975"/>
      <c r="SAY62" s="975"/>
      <c r="SAZ62" s="975"/>
      <c r="SBA62" s="975"/>
      <c r="SBB62" s="975"/>
      <c r="SBC62" s="975"/>
      <c r="SBD62" s="975"/>
      <c r="SBE62" s="975"/>
      <c r="SBF62" s="975"/>
      <c r="SBG62" s="975"/>
      <c r="SBH62" s="975"/>
      <c r="SBI62" s="975"/>
      <c r="SBJ62" s="975"/>
      <c r="SBK62" s="975"/>
      <c r="SBL62" s="975"/>
      <c r="SBM62" s="975"/>
      <c r="SBN62" s="975"/>
      <c r="SBO62" s="975"/>
      <c r="SBP62" s="975"/>
      <c r="SBQ62" s="975"/>
      <c r="SBR62" s="975"/>
      <c r="SBS62" s="975"/>
      <c r="SBT62" s="975"/>
      <c r="SBU62" s="975"/>
      <c r="SBV62" s="975"/>
      <c r="SBW62" s="975"/>
      <c r="SBX62" s="975"/>
      <c r="SBY62" s="975"/>
      <c r="SBZ62" s="975"/>
      <c r="SCA62" s="975"/>
      <c r="SCB62" s="975"/>
      <c r="SCC62" s="975"/>
      <c r="SCD62" s="975"/>
      <c r="SCE62" s="975"/>
      <c r="SCF62" s="975"/>
      <c r="SCG62" s="975"/>
      <c r="SCH62" s="975"/>
      <c r="SCI62" s="975"/>
      <c r="SCJ62" s="975"/>
      <c r="SCK62" s="975"/>
      <c r="SCL62" s="975"/>
      <c r="SCM62" s="975"/>
      <c r="SCN62" s="975"/>
      <c r="SCO62" s="975"/>
      <c r="SCP62" s="975"/>
      <c r="SCQ62" s="975"/>
      <c r="SCR62" s="975"/>
      <c r="SCS62" s="975"/>
      <c r="SCT62" s="975"/>
      <c r="SCU62" s="975"/>
      <c r="SCV62" s="975"/>
      <c r="SCW62" s="975"/>
      <c r="SCX62" s="975"/>
      <c r="SCY62" s="975"/>
      <c r="SCZ62" s="975"/>
      <c r="SDA62" s="975"/>
      <c r="SDB62" s="975"/>
      <c r="SDC62" s="975"/>
      <c r="SDD62" s="975"/>
      <c r="SDE62" s="975"/>
      <c r="SDF62" s="975"/>
      <c r="SDG62" s="975"/>
      <c r="SDH62" s="975"/>
      <c r="SDI62" s="975"/>
      <c r="SDJ62" s="975"/>
      <c r="SDK62" s="975"/>
      <c r="SDL62" s="975"/>
      <c r="SDM62" s="975"/>
      <c r="SDN62" s="975"/>
      <c r="SDO62" s="975"/>
      <c r="SDP62" s="975"/>
      <c r="SDQ62" s="975"/>
      <c r="SDR62" s="975"/>
      <c r="SDS62" s="975"/>
      <c r="SDT62" s="975"/>
      <c r="SDU62" s="975"/>
      <c r="SDV62" s="975"/>
      <c r="SDW62" s="975"/>
      <c r="SDX62" s="975"/>
      <c r="SDY62" s="975"/>
      <c r="SDZ62" s="975"/>
      <c r="SEA62" s="975"/>
      <c r="SEB62" s="975"/>
      <c r="SEC62" s="975"/>
      <c r="SED62" s="975"/>
      <c r="SEE62" s="975"/>
      <c r="SEF62" s="975"/>
      <c r="SEG62" s="975"/>
      <c r="SEH62" s="975"/>
      <c r="SEI62" s="975"/>
      <c r="SEJ62" s="975"/>
      <c r="SEK62" s="975"/>
      <c r="SEL62" s="975"/>
      <c r="SEM62" s="975"/>
      <c r="SEN62" s="975"/>
      <c r="SEO62" s="975"/>
      <c r="SEP62" s="975"/>
      <c r="SEQ62" s="975"/>
      <c r="SER62" s="975"/>
      <c r="SES62" s="975"/>
      <c r="SET62" s="975"/>
      <c r="SEU62" s="975"/>
      <c r="SEV62" s="975"/>
      <c r="SEW62" s="975"/>
      <c r="SEX62" s="975"/>
      <c r="SEY62" s="975"/>
      <c r="SEZ62" s="975"/>
      <c r="SFA62" s="975"/>
      <c r="SFB62" s="975"/>
      <c r="SFC62" s="975"/>
      <c r="SFD62" s="975"/>
      <c r="SFE62" s="975"/>
      <c r="SFF62" s="975"/>
      <c r="SFG62" s="975"/>
      <c r="SFH62" s="975"/>
      <c r="SFI62" s="975"/>
      <c r="SFJ62" s="975"/>
      <c r="SFK62" s="975"/>
      <c r="SFL62" s="975"/>
      <c r="SFM62" s="975"/>
      <c r="SFN62" s="975"/>
      <c r="SFO62" s="975"/>
      <c r="SFP62" s="975"/>
      <c r="SFQ62" s="975"/>
      <c r="SFR62" s="975"/>
      <c r="SFS62" s="975"/>
      <c r="SFT62" s="975"/>
      <c r="SFU62" s="975"/>
      <c r="SFV62" s="975"/>
      <c r="SFW62" s="975"/>
      <c r="SFX62" s="975"/>
      <c r="SFY62" s="975"/>
      <c r="SFZ62" s="975"/>
      <c r="SGA62" s="975"/>
      <c r="SGB62" s="975"/>
      <c r="SGC62" s="975"/>
      <c r="SGD62" s="975"/>
      <c r="SGE62" s="975"/>
      <c r="SGF62" s="975"/>
      <c r="SGG62" s="975"/>
      <c r="SGH62" s="975"/>
      <c r="SGI62" s="975"/>
      <c r="SGJ62" s="975"/>
      <c r="SGK62" s="975"/>
      <c r="SGL62" s="975"/>
      <c r="SGM62" s="975"/>
      <c r="SGN62" s="975"/>
      <c r="SGO62" s="975"/>
      <c r="SGP62" s="975"/>
      <c r="SGQ62" s="975"/>
      <c r="SGR62" s="975"/>
      <c r="SGS62" s="975"/>
      <c r="SGT62" s="975"/>
      <c r="SGU62" s="975"/>
      <c r="SGV62" s="975"/>
      <c r="SGW62" s="975"/>
      <c r="SGX62" s="975"/>
      <c r="SGY62" s="975"/>
      <c r="SGZ62" s="975"/>
      <c r="SHA62" s="975"/>
      <c r="SHB62" s="975"/>
      <c r="SHC62" s="975"/>
      <c r="SHD62" s="975"/>
      <c r="SHE62" s="975"/>
      <c r="SHF62" s="975"/>
      <c r="SHG62" s="975"/>
      <c r="SHH62" s="975"/>
      <c r="SHI62" s="975"/>
      <c r="SHJ62" s="975"/>
      <c r="SHK62" s="975"/>
      <c r="SHL62" s="975"/>
      <c r="SHM62" s="975"/>
      <c r="SHN62" s="975"/>
      <c r="SHO62" s="975"/>
      <c r="SHP62" s="975"/>
      <c r="SHQ62" s="975"/>
      <c r="SHR62" s="975"/>
      <c r="SHS62" s="975"/>
      <c r="SHT62" s="975"/>
      <c r="SHU62" s="975"/>
      <c r="SHV62" s="975"/>
      <c r="SHW62" s="975"/>
      <c r="SHX62" s="975"/>
      <c r="SHY62" s="975"/>
      <c r="SHZ62" s="975"/>
      <c r="SIA62" s="975"/>
      <c r="SIB62" s="975"/>
      <c r="SIC62" s="975"/>
      <c r="SID62" s="975"/>
      <c r="SIE62" s="975"/>
      <c r="SIF62" s="975"/>
      <c r="SIG62" s="975"/>
      <c r="SIH62" s="975"/>
      <c r="SII62" s="975"/>
      <c r="SIJ62" s="975"/>
      <c r="SIK62" s="975"/>
      <c r="SIL62" s="975"/>
      <c r="SIM62" s="975"/>
      <c r="SIN62" s="975"/>
      <c r="SIO62" s="975"/>
      <c r="SIP62" s="975"/>
      <c r="SIQ62" s="975"/>
      <c r="SIR62" s="975"/>
      <c r="SIS62" s="975"/>
      <c r="SIT62" s="975"/>
      <c r="SIU62" s="975"/>
      <c r="SIV62" s="975"/>
      <c r="SIW62" s="975"/>
      <c r="SIX62" s="975"/>
      <c r="SIY62" s="975"/>
      <c r="SIZ62" s="975"/>
      <c r="SJA62" s="975"/>
      <c r="SJB62" s="975"/>
      <c r="SJC62" s="975"/>
      <c r="SJD62" s="975"/>
      <c r="SJE62" s="975"/>
      <c r="SJF62" s="975"/>
      <c r="SJG62" s="975"/>
      <c r="SJH62" s="975"/>
      <c r="SJI62" s="975"/>
      <c r="SJJ62" s="975"/>
      <c r="SJK62" s="975"/>
      <c r="SJL62" s="975"/>
      <c r="SJM62" s="975"/>
      <c r="SJN62" s="975"/>
      <c r="SJO62" s="975"/>
      <c r="SJP62" s="975"/>
      <c r="SJQ62" s="975"/>
      <c r="SJR62" s="975"/>
      <c r="SJS62" s="975"/>
      <c r="SJT62" s="975"/>
      <c r="SJU62" s="975"/>
      <c r="SJV62" s="975"/>
      <c r="SJW62" s="975"/>
      <c r="SJX62" s="975"/>
      <c r="SJY62" s="975"/>
      <c r="SJZ62" s="975"/>
      <c r="SKA62" s="975"/>
      <c r="SKB62" s="975"/>
      <c r="SKC62" s="975"/>
      <c r="SKD62" s="975"/>
      <c r="SKE62" s="975"/>
      <c r="SKF62" s="975"/>
      <c r="SKG62" s="975"/>
      <c r="SKH62" s="975"/>
      <c r="SKI62" s="975"/>
      <c r="SKJ62" s="975"/>
      <c r="SKK62" s="975"/>
      <c r="SKL62" s="975"/>
      <c r="SKM62" s="975"/>
      <c r="SKN62" s="975"/>
      <c r="SKO62" s="975"/>
      <c r="SKP62" s="975"/>
      <c r="SKQ62" s="975"/>
      <c r="SKR62" s="975"/>
      <c r="SKS62" s="975"/>
      <c r="SKT62" s="975"/>
      <c r="SKU62" s="975"/>
      <c r="SKV62" s="975"/>
      <c r="SKW62" s="975"/>
      <c r="SKX62" s="975"/>
      <c r="SKY62" s="975"/>
      <c r="SKZ62" s="975"/>
      <c r="SLA62" s="975"/>
      <c r="SLB62" s="975"/>
      <c r="SLC62" s="975"/>
      <c r="SLD62" s="975"/>
      <c r="SLE62" s="975"/>
      <c r="SLF62" s="975"/>
      <c r="SLG62" s="975"/>
      <c r="SLH62" s="975"/>
      <c r="SLI62" s="975"/>
      <c r="SLJ62" s="975"/>
      <c r="SLK62" s="975"/>
      <c r="SLL62" s="975"/>
      <c r="SLM62" s="975"/>
      <c r="SLN62" s="975"/>
      <c r="SLO62" s="975"/>
      <c r="SLP62" s="975"/>
      <c r="SLQ62" s="975"/>
      <c r="SLR62" s="975"/>
      <c r="SLS62" s="975"/>
      <c r="SLT62" s="975"/>
      <c r="SLU62" s="975"/>
      <c r="SLV62" s="975"/>
      <c r="SLW62" s="975"/>
      <c r="SLX62" s="975"/>
      <c r="SLY62" s="975"/>
      <c r="SLZ62" s="975"/>
      <c r="SMA62" s="975"/>
      <c r="SMB62" s="975"/>
      <c r="SMC62" s="975"/>
      <c r="SMD62" s="975"/>
      <c r="SME62" s="975"/>
      <c r="SMF62" s="975"/>
      <c r="SMG62" s="975"/>
      <c r="SMH62" s="975"/>
      <c r="SMI62" s="975"/>
      <c r="SMJ62" s="975"/>
      <c r="SMK62" s="975"/>
      <c r="SML62" s="975"/>
      <c r="SMM62" s="975"/>
      <c r="SMN62" s="975"/>
      <c r="SMO62" s="975"/>
      <c r="SMP62" s="975"/>
      <c r="SMQ62" s="975"/>
      <c r="SMR62" s="975"/>
      <c r="SMS62" s="975"/>
      <c r="SMT62" s="975"/>
      <c r="SMU62" s="975"/>
      <c r="SMV62" s="975"/>
      <c r="SMW62" s="975"/>
      <c r="SMX62" s="975"/>
      <c r="SMY62" s="975"/>
      <c r="SMZ62" s="975"/>
      <c r="SNA62" s="975"/>
      <c r="SNB62" s="975"/>
      <c r="SNC62" s="975"/>
      <c r="SND62" s="975"/>
      <c r="SNE62" s="975"/>
      <c r="SNF62" s="975"/>
      <c r="SNG62" s="975"/>
      <c r="SNH62" s="975"/>
      <c r="SNI62" s="975"/>
      <c r="SNJ62" s="975"/>
      <c r="SNK62" s="975"/>
      <c r="SNL62" s="975"/>
      <c r="SNM62" s="975"/>
      <c r="SNN62" s="975"/>
      <c r="SNO62" s="975"/>
      <c r="SNP62" s="975"/>
      <c r="SNQ62" s="975"/>
      <c r="SNR62" s="975"/>
      <c r="SNS62" s="975"/>
      <c r="SNT62" s="975"/>
      <c r="SNU62" s="975"/>
      <c r="SNV62" s="975"/>
      <c r="SNW62" s="975"/>
      <c r="SNX62" s="975"/>
      <c r="SNY62" s="975"/>
      <c r="SNZ62" s="975"/>
      <c r="SOA62" s="975"/>
      <c r="SOB62" s="975"/>
      <c r="SOC62" s="975"/>
      <c r="SOD62" s="975"/>
      <c r="SOE62" s="975"/>
      <c r="SOF62" s="975"/>
      <c r="SOG62" s="975"/>
      <c r="SOH62" s="975"/>
      <c r="SOI62" s="975"/>
      <c r="SOJ62" s="975"/>
      <c r="SOK62" s="975"/>
      <c r="SOL62" s="975"/>
      <c r="SOM62" s="975"/>
      <c r="SON62" s="975"/>
      <c r="SOO62" s="975"/>
      <c r="SOP62" s="975"/>
      <c r="SOQ62" s="975"/>
      <c r="SOR62" s="975"/>
      <c r="SOS62" s="975"/>
      <c r="SOT62" s="975"/>
      <c r="SOU62" s="975"/>
      <c r="SOV62" s="975"/>
      <c r="SOW62" s="975"/>
      <c r="SOX62" s="975"/>
      <c r="SOY62" s="975"/>
      <c r="SOZ62" s="975"/>
      <c r="SPA62" s="975"/>
      <c r="SPB62" s="975"/>
      <c r="SPC62" s="975"/>
      <c r="SPD62" s="975"/>
      <c r="SPE62" s="975"/>
      <c r="SPF62" s="975"/>
      <c r="SPG62" s="975"/>
      <c r="SPH62" s="975"/>
      <c r="SPI62" s="975"/>
      <c r="SPJ62" s="975"/>
      <c r="SPK62" s="975"/>
      <c r="SPL62" s="975"/>
      <c r="SPM62" s="975"/>
      <c r="SPN62" s="975"/>
      <c r="SPO62" s="975"/>
      <c r="SPP62" s="975"/>
      <c r="SPQ62" s="975"/>
      <c r="SPR62" s="975"/>
      <c r="SPS62" s="975"/>
      <c r="SPT62" s="975"/>
      <c r="SPU62" s="975"/>
      <c r="SPV62" s="975"/>
      <c r="SPW62" s="975"/>
      <c r="SPX62" s="975"/>
      <c r="SPY62" s="975"/>
      <c r="SPZ62" s="975"/>
      <c r="SQA62" s="975"/>
      <c r="SQB62" s="975"/>
      <c r="SQC62" s="975"/>
      <c r="SQD62" s="975"/>
      <c r="SQE62" s="975"/>
      <c r="SQF62" s="975"/>
      <c r="SQG62" s="975"/>
      <c r="SQH62" s="975"/>
      <c r="SQI62" s="975"/>
      <c r="SQJ62" s="975"/>
      <c r="SQK62" s="975"/>
      <c r="SQL62" s="975"/>
      <c r="SQM62" s="975"/>
      <c r="SQN62" s="975"/>
      <c r="SQO62" s="975"/>
      <c r="SQP62" s="975"/>
      <c r="SQQ62" s="975"/>
      <c r="SQR62" s="975"/>
      <c r="SQS62" s="975"/>
      <c r="SQT62" s="975"/>
      <c r="SQU62" s="975"/>
      <c r="SQV62" s="975"/>
      <c r="SQW62" s="975"/>
      <c r="SQX62" s="975"/>
      <c r="SQY62" s="975"/>
      <c r="SQZ62" s="975"/>
      <c r="SRA62" s="975"/>
      <c r="SRB62" s="975"/>
      <c r="SRC62" s="975"/>
      <c r="SRD62" s="975"/>
      <c r="SRE62" s="975"/>
      <c r="SRF62" s="975"/>
      <c r="SRG62" s="975"/>
      <c r="SRH62" s="975"/>
      <c r="SRI62" s="975"/>
      <c r="SRJ62" s="975"/>
      <c r="SRK62" s="975"/>
      <c r="SRL62" s="975"/>
      <c r="SRM62" s="975"/>
      <c r="SRN62" s="975"/>
      <c r="SRO62" s="975"/>
      <c r="SRP62" s="975"/>
      <c r="SRQ62" s="975"/>
      <c r="SRR62" s="975"/>
      <c r="SRS62" s="975"/>
      <c r="SRT62" s="975"/>
      <c r="SRU62" s="975"/>
      <c r="SRV62" s="975"/>
      <c r="SRW62" s="975"/>
      <c r="SRX62" s="975"/>
      <c r="SRY62" s="975"/>
      <c r="SRZ62" s="975"/>
      <c r="SSA62" s="975"/>
      <c r="SSB62" s="975"/>
      <c r="SSC62" s="975"/>
      <c r="SSD62" s="975"/>
      <c r="SSE62" s="975"/>
      <c r="SSF62" s="975"/>
      <c r="SSG62" s="975"/>
      <c r="SSH62" s="975"/>
      <c r="SSI62" s="975"/>
      <c r="SSJ62" s="975"/>
      <c r="SSK62" s="975"/>
      <c r="SSL62" s="975"/>
      <c r="SSM62" s="975"/>
      <c r="SSN62" s="975"/>
      <c r="SSO62" s="975"/>
      <c r="SSP62" s="975"/>
      <c r="SSQ62" s="975"/>
      <c r="SSR62" s="975"/>
      <c r="SSS62" s="975"/>
      <c r="SST62" s="975"/>
      <c r="SSU62" s="975"/>
      <c r="SSV62" s="975"/>
      <c r="SSW62" s="975"/>
      <c r="SSX62" s="975"/>
      <c r="SSY62" s="975"/>
      <c r="SSZ62" s="975"/>
      <c r="STA62" s="975"/>
      <c r="STB62" s="975"/>
      <c r="STC62" s="975"/>
      <c r="STD62" s="975"/>
      <c r="STE62" s="975"/>
      <c r="STF62" s="975"/>
      <c r="STG62" s="975"/>
      <c r="STH62" s="975"/>
      <c r="STI62" s="975"/>
      <c r="STJ62" s="975"/>
      <c r="STK62" s="975"/>
      <c r="STL62" s="975"/>
      <c r="STM62" s="975"/>
      <c r="STN62" s="975"/>
      <c r="STO62" s="975"/>
      <c r="STP62" s="975"/>
      <c r="STQ62" s="975"/>
      <c r="STR62" s="975"/>
      <c r="STS62" s="975"/>
      <c r="STT62" s="975"/>
      <c r="STU62" s="975"/>
      <c r="STV62" s="975"/>
      <c r="STW62" s="975"/>
      <c r="STX62" s="975"/>
      <c r="STY62" s="975"/>
      <c r="STZ62" s="975"/>
      <c r="SUA62" s="975"/>
      <c r="SUB62" s="975"/>
      <c r="SUC62" s="975"/>
      <c r="SUD62" s="975"/>
      <c r="SUE62" s="975"/>
      <c r="SUF62" s="975"/>
      <c r="SUG62" s="975"/>
      <c r="SUH62" s="975"/>
      <c r="SUI62" s="975"/>
      <c r="SUJ62" s="975"/>
      <c r="SUK62" s="975"/>
      <c r="SUL62" s="975"/>
      <c r="SUM62" s="975"/>
      <c r="SUN62" s="975"/>
      <c r="SUO62" s="975"/>
      <c r="SUP62" s="975"/>
      <c r="SUQ62" s="975"/>
      <c r="SUR62" s="975"/>
      <c r="SUS62" s="975"/>
      <c r="SUT62" s="975"/>
      <c r="SUU62" s="975"/>
      <c r="SUV62" s="975"/>
      <c r="SUW62" s="975"/>
      <c r="SUX62" s="975"/>
      <c r="SUY62" s="975"/>
      <c r="SUZ62" s="975"/>
      <c r="SVA62" s="975"/>
      <c r="SVB62" s="975"/>
      <c r="SVC62" s="975"/>
      <c r="SVD62" s="975"/>
      <c r="SVE62" s="975"/>
      <c r="SVF62" s="975"/>
      <c r="SVG62" s="975"/>
      <c r="SVH62" s="975"/>
      <c r="SVI62" s="975"/>
      <c r="SVJ62" s="975"/>
      <c r="SVK62" s="975"/>
      <c r="SVL62" s="975"/>
      <c r="SVM62" s="975"/>
      <c r="SVN62" s="975"/>
      <c r="SVO62" s="975"/>
      <c r="SVP62" s="975"/>
      <c r="SVQ62" s="975"/>
      <c r="SVR62" s="975"/>
      <c r="SVS62" s="975"/>
      <c r="SVT62" s="975"/>
      <c r="SVU62" s="975"/>
      <c r="SVV62" s="975"/>
      <c r="SVW62" s="975"/>
      <c r="SVX62" s="975"/>
      <c r="SVY62" s="975"/>
      <c r="SVZ62" s="975"/>
      <c r="SWA62" s="975"/>
      <c r="SWB62" s="975"/>
      <c r="SWC62" s="975"/>
      <c r="SWD62" s="975"/>
      <c r="SWE62" s="975"/>
      <c r="SWF62" s="975"/>
      <c r="SWG62" s="975"/>
      <c r="SWH62" s="975"/>
      <c r="SWI62" s="975"/>
      <c r="SWJ62" s="975"/>
      <c r="SWK62" s="975"/>
      <c r="SWL62" s="975"/>
      <c r="SWM62" s="975"/>
      <c r="SWN62" s="975"/>
      <c r="SWO62" s="975"/>
      <c r="SWP62" s="975"/>
      <c r="SWQ62" s="975"/>
      <c r="SWR62" s="975"/>
      <c r="SWS62" s="975"/>
      <c r="SWT62" s="975"/>
      <c r="SWU62" s="975"/>
      <c r="SWV62" s="975"/>
      <c r="SWW62" s="975"/>
      <c r="SWX62" s="975"/>
      <c r="SWY62" s="975"/>
      <c r="SWZ62" s="975"/>
      <c r="SXA62" s="975"/>
      <c r="SXB62" s="975"/>
      <c r="SXC62" s="975"/>
      <c r="SXD62" s="975"/>
      <c r="SXE62" s="975"/>
      <c r="SXF62" s="975"/>
      <c r="SXG62" s="975"/>
      <c r="SXH62" s="975"/>
      <c r="SXI62" s="975"/>
      <c r="SXJ62" s="975"/>
      <c r="SXK62" s="975"/>
      <c r="SXL62" s="975"/>
      <c r="SXM62" s="975"/>
      <c r="SXN62" s="975"/>
      <c r="SXO62" s="975"/>
      <c r="SXP62" s="975"/>
      <c r="SXQ62" s="975"/>
      <c r="SXR62" s="975"/>
      <c r="SXS62" s="975"/>
      <c r="SXT62" s="975"/>
      <c r="SXU62" s="975"/>
      <c r="SXV62" s="975"/>
      <c r="SXW62" s="975"/>
      <c r="SXX62" s="975"/>
      <c r="SXY62" s="975"/>
      <c r="SXZ62" s="975"/>
      <c r="SYA62" s="975"/>
      <c r="SYB62" s="975"/>
      <c r="SYC62" s="975"/>
      <c r="SYD62" s="975"/>
      <c r="SYE62" s="975"/>
      <c r="SYF62" s="975"/>
      <c r="SYG62" s="975"/>
      <c r="SYH62" s="975"/>
      <c r="SYI62" s="975"/>
      <c r="SYJ62" s="975"/>
      <c r="SYK62" s="975"/>
      <c r="SYL62" s="975"/>
      <c r="SYM62" s="975"/>
      <c r="SYN62" s="975"/>
      <c r="SYO62" s="975"/>
      <c r="SYP62" s="975"/>
      <c r="SYQ62" s="975"/>
      <c r="SYR62" s="975"/>
      <c r="SYS62" s="975"/>
      <c r="SYT62" s="975"/>
      <c r="SYU62" s="975"/>
      <c r="SYV62" s="975"/>
      <c r="SYW62" s="975"/>
      <c r="SYX62" s="975"/>
      <c r="SYY62" s="975"/>
      <c r="SYZ62" s="975"/>
      <c r="SZA62" s="975"/>
      <c r="SZB62" s="975"/>
      <c r="SZC62" s="975"/>
      <c r="SZD62" s="975"/>
      <c r="SZE62" s="975"/>
      <c r="SZF62" s="975"/>
      <c r="SZG62" s="975"/>
      <c r="SZH62" s="975"/>
      <c r="SZI62" s="975"/>
      <c r="SZJ62" s="975"/>
      <c r="SZK62" s="975"/>
      <c r="SZL62" s="975"/>
      <c r="SZM62" s="975"/>
      <c r="SZN62" s="975"/>
      <c r="SZO62" s="975"/>
      <c r="SZP62" s="975"/>
      <c r="SZQ62" s="975"/>
      <c r="SZR62" s="975"/>
      <c r="SZS62" s="975"/>
      <c r="SZT62" s="975"/>
      <c r="SZU62" s="975"/>
      <c r="SZV62" s="975"/>
      <c r="SZW62" s="975"/>
      <c r="SZX62" s="975"/>
      <c r="SZY62" s="975"/>
      <c r="SZZ62" s="975"/>
      <c r="TAA62" s="975"/>
      <c r="TAB62" s="975"/>
      <c r="TAC62" s="975"/>
      <c r="TAD62" s="975"/>
      <c r="TAE62" s="975"/>
      <c r="TAF62" s="975"/>
      <c r="TAG62" s="975"/>
      <c r="TAH62" s="975"/>
      <c r="TAI62" s="975"/>
      <c r="TAJ62" s="975"/>
      <c r="TAK62" s="975"/>
      <c r="TAL62" s="975"/>
      <c r="TAM62" s="975"/>
      <c r="TAN62" s="975"/>
      <c r="TAO62" s="975"/>
      <c r="TAP62" s="975"/>
      <c r="TAQ62" s="975"/>
      <c r="TAR62" s="975"/>
      <c r="TAS62" s="975"/>
      <c r="TAT62" s="975"/>
      <c r="TAU62" s="975"/>
      <c r="TAV62" s="975"/>
      <c r="TAW62" s="975"/>
      <c r="TAX62" s="975"/>
      <c r="TAY62" s="975"/>
      <c r="TAZ62" s="975"/>
      <c r="TBA62" s="975"/>
      <c r="TBB62" s="975"/>
      <c r="TBC62" s="975"/>
      <c r="TBD62" s="975"/>
      <c r="TBE62" s="975"/>
      <c r="TBF62" s="975"/>
      <c r="TBG62" s="975"/>
      <c r="TBH62" s="975"/>
      <c r="TBI62" s="975"/>
      <c r="TBJ62" s="975"/>
      <c r="TBK62" s="975"/>
      <c r="TBL62" s="975"/>
      <c r="TBM62" s="975"/>
      <c r="TBN62" s="975"/>
      <c r="TBO62" s="975"/>
      <c r="TBP62" s="975"/>
      <c r="TBQ62" s="975"/>
      <c r="TBR62" s="975"/>
      <c r="TBS62" s="975"/>
      <c r="TBT62" s="975"/>
      <c r="TBU62" s="975"/>
      <c r="TBV62" s="975"/>
      <c r="TBW62" s="975"/>
      <c r="TBX62" s="975"/>
      <c r="TBY62" s="975"/>
      <c r="TBZ62" s="975"/>
      <c r="TCA62" s="975"/>
      <c r="TCB62" s="975"/>
      <c r="TCC62" s="975"/>
      <c r="TCD62" s="975"/>
      <c r="TCE62" s="975"/>
      <c r="TCF62" s="975"/>
      <c r="TCG62" s="975"/>
      <c r="TCH62" s="975"/>
      <c r="TCI62" s="975"/>
      <c r="TCJ62" s="975"/>
      <c r="TCK62" s="975"/>
      <c r="TCL62" s="975"/>
      <c r="TCM62" s="975"/>
      <c r="TCN62" s="975"/>
      <c r="TCO62" s="975"/>
      <c r="TCP62" s="975"/>
      <c r="TCQ62" s="975"/>
      <c r="TCR62" s="975"/>
      <c r="TCS62" s="975"/>
      <c r="TCT62" s="975"/>
      <c r="TCU62" s="975"/>
      <c r="TCV62" s="975"/>
      <c r="TCW62" s="975"/>
      <c r="TCX62" s="975"/>
      <c r="TCY62" s="975"/>
      <c r="TCZ62" s="975"/>
      <c r="TDA62" s="975"/>
      <c r="TDB62" s="975"/>
      <c r="TDC62" s="975"/>
      <c r="TDD62" s="975"/>
      <c r="TDE62" s="975"/>
      <c r="TDF62" s="975"/>
      <c r="TDG62" s="975"/>
      <c r="TDH62" s="975"/>
      <c r="TDI62" s="975"/>
      <c r="TDJ62" s="975"/>
      <c r="TDK62" s="975"/>
      <c r="TDL62" s="975"/>
      <c r="TDM62" s="975"/>
      <c r="TDN62" s="975"/>
      <c r="TDO62" s="975"/>
      <c r="TDP62" s="975"/>
      <c r="TDQ62" s="975"/>
      <c r="TDR62" s="975"/>
      <c r="TDS62" s="975"/>
      <c r="TDT62" s="975"/>
      <c r="TDU62" s="975"/>
      <c r="TDV62" s="975"/>
      <c r="TDW62" s="975"/>
      <c r="TDX62" s="975"/>
      <c r="TDY62" s="975"/>
      <c r="TDZ62" s="975"/>
      <c r="TEA62" s="975"/>
      <c r="TEB62" s="975"/>
      <c r="TEC62" s="975"/>
      <c r="TED62" s="975"/>
      <c r="TEE62" s="975"/>
      <c r="TEF62" s="975"/>
      <c r="TEG62" s="975"/>
      <c r="TEH62" s="975"/>
      <c r="TEI62" s="975"/>
      <c r="TEJ62" s="975"/>
      <c r="TEK62" s="975"/>
      <c r="TEL62" s="975"/>
      <c r="TEM62" s="975"/>
      <c r="TEN62" s="975"/>
      <c r="TEO62" s="975"/>
      <c r="TEP62" s="975"/>
      <c r="TEQ62" s="975"/>
      <c r="TER62" s="975"/>
      <c r="TES62" s="975"/>
      <c r="TET62" s="975"/>
      <c r="TEU62" s="975"/>
      <c r="TEV62" s="975"/>
      <c r="TEW62" s="975"/>
      <c r="TEX62" s="975"/>
      <c r="TEY62" s="975"/>
      <c r="TEZ62" s="975"/>
      <c r="TFA62" s="975"/>
      <c r="TFB62" s="975"/>
      <c r="TFC62" s="975"/>
      <c r="TFD62" s="975"/>
      <c r="TFE62" s="975"/>
      <c r="TFF62" s="975"/>
      <c r="TFG62" s="975"/>
      <c r="TFH62" s="975"/>
      <c r="TFI62" s="975"/>
      <c r="TFJ62" s="975"/>
      <c r="TFK62" s="975"/>
      <c r="TFL62" s="975"/>
      <c r="TFM62" s="975"/>
      <c r="TFN62" s="975"/>
      <c r="TFO62" s="975"/>
      <c r="TFP62" s="975"/>
      <c r="TFQ62" s="975"/>
      <c r="TFR62" s="975"/>
      <c r="TFS62" s="975"/>
      <c r="TFT62" s="975"/>
      <c r="TFU62" s="975"/>
      <c r="TFV62" s="975"/>
      <c r="TFW62" s="975"/>
      <c r="TFX62" s="975"/>
      <c r="TFY62" s="975"/>
      <c r="TFZ62" s="975"/>
      <c r="TGA62" s="975"/>
      <c r="TGB62" s="975"/>
      <c r="TGC62" s="975"/>
      <c r="TGD62" s="975"/>
      <c r="TGE62" s="975"/>
      <c r="TGF62" s="975"/>
      <c r="TGG62" s="975"/>
      <c r="TGH62" s="975"/>
      <c r="TGI62" s="975"/>
      <c r="TGJ62" s="975"/>
      <c r="TGK62" s="975"/>
      <c r="TGL62" s="975"/>
      <c r="TGM62" s="975"/>
      <c r="TGN62" s="975"/>
      <c r="TGO62" s="975"/>
      <c r="TGP62" s="975"/>
      <c r="TGQ62" s="975"/>
      <c r="TGR62" s="975"/>
      <c r="TGS62" s="975"/>
      <c r="TGT62" s="975"/>
      <c r="TGU62" s="975"/>
      <c r="TGV62" s="975"/>
      <c r="TGW62" s="975"/>
      <c r="TGX62" s="975"/>
      <c r="TGY62" s="975"/>
      <c r="TGZ62" s="975"/>
      <c r="THA62" s="975"/>
      <c r="THB62" s="975"/>
      <c r="THC62" s="975"/>
      <c r="THD62" s="975"/>
      <c r="THE62" s="975"/>
      <c r="THF62" s="975"/>
      <c r="THG62" s="975"/>
      <c r="THH62" s="975"/>
      <c r="THI62" s="975"/>
      <c r="THJ62" s="975"/>
      <c r="THK62" s="975"/>
      <c r="THL62" s="975"/>
      <c r="THM62" s="975"/>
      <c r="THN62" s="975"/>
      <c r="THO62" s="975"/>
      <c r="THP62" s="975"/>
      <c r="THQ62" s="975"/>
      <c r="THR62" s="975"/>
      <c r="THS62" s="975"/>
      <c r="THT62" s="975"/>
      <c r="THU62" s="975"/>
      <c r="THV62" s="975"/>
      <c r="THW62" s="975"/>
      <c r="THX62" s="975"/>
      <c r="THY62" s="975"/>
      <c r="THZ62" s="975"/>
      <c r="TIA62" s="975"/>
      <c r="TIB62" s="975"/>
      <c r="TIC62" s="975"/>
      <c r="TID62" s="975"/>
      <c r="TIE62" s="975"/>
      <c r="TIF62" s="975"/>
      <c r="TIG62" s="975"/>
      <c r="TIH62" s="975"/>
      <c r="TII62" s="975"/>
      <c r="TIJ62" s="975"/>
      <c r="TIK62" s="975"/>
      <c r="TIL62" s="975"/>
      <c r="TIM62" s="975"/>
      <c r="TIN62" s="975"/>
      <c r="TIO62" s="975"/>
      <c r="TIP62" s="975"/>
      <c r="TIQ62" s="975"/>
      <c r="TIR62" s="975"/>
      <c r="TIS62" s="975"/>
      <c r="TIT62" s="975"/>
      <c r="TIU62" s="975"/>
      <c r="TIV62" s="975"/>
      <c r="TIW62" s="975"/>
      <c r="TIX62" s="975"/>
      <c r="TIY62" s="975"/>
      <c r="TIZ62" s="975"/>
      <c r="TJA62" s="975"/>
      <c r="TJB62" s="975"/>
      <c r="TJC62" s="975"/>
      <c r="TJD62" s="975"/>
      <c r="TJE62" s="975"/>
      <c r="TJF62" s="975"/>
      <c r="TJG62" s="975"/>
      <c r="TJH62" s="975"/>
      <c r="TJI62" s="975"/>
      <c r="TJJ62" s="975"/>
      <c r="TJK62" s="975"/>
      <c r="TJL62" s="975"/>
      <c r="TJM62" s="975"/>
      <c r="TJN62" s="975"/>
      <c r="TJO62" s="975"/>
      <c r="TJP62" s="975"/>
      <c r="TJQ62" s="975"/>
      <c r="TJR62" s="975"/>
      <c r="TJS62" s="975"/>
      <c r="TJT62" s="975"/>
      <c r="TJU62" s="975"/>
      <c r="TJV62" s="975"/>
      <c r="TJW62" s="975"/>
      <c r="TJX62" s="975"/>
      <c r="TJY62" s="975"/>
      <c r="TJZ62" s="975"/>
      <c r="TKA62" s="975"/>
      <c r="TKB62" s="975"/>
      <c r="TKC62" s="975"/>
      <c r="TKD62" s="975"/>
      <c r="TKE62" s="975"/>
      <c r="TKF62" s="975"/>
      <c r="TKG62" s="975"/>
      <c r="TKH62" s="975"/>
      <c r="TKI62" s="975"/>
      <c r="TKJ62" s="975"/>
      <c r="TKK62" s="975"/>
      <c r="TKL62" s="975"/>
      <c r="TKM62" s="975"/>
      <c r="TKN62" s="975"/>
      <c r="TKO62" s="975"/>
      <c r="TKP62" s="975"/>
      <c r="TKQ62" s="975"/>
      <c r="TKR62" s="975"/>
      <c r="TKS62" s="975"/>
      <c r="TKT62" s="975"/>
      <c r="TKU62" s="975"/>
      <c r="TKV62" s="975"/>
      <c r="TKW62" s="975"/>
      <c r="TKX62" s="975"/>
      <c r="TKY62" s="975"/>
      <c r="TKZ62" s="975"/>
      <c r="TLA62" s="975"/>
      <c r="TLB62" s="975"/>
      <c r="TLC62" s="975"/>
      <c r="TLD62" s="975"/>
      <c r="TLE62" s="975"/>
      <c r="TLF62" s="975"/>
      <c r="TLG62" s="975"/>
      <c r="TLH62" s="975"/>
      <c r="TLI62" s="975"/>
      <c r="TLJ62" s="975"/>
      <c r="TLK62" s="975"/>
      <c r="TLL62" s="975"/>
      <c r="TLM62" s="975"/>
      <c r="TLN62" s="975"/>
      <c r="TLO62" s="975"/>
      <c r="TLP62" s="975"/>
      <c r="TLQ62" s="975"/>
      <c r="TLR62" s="975"/>
      <c r="TLS62" s="975"/>
      <c r="TLT62" s="975"/>
      <c r="TLU62" s="975"/>
      <c r="TLV62" s="975"/>
      <c r="TLW62" s="975"/>
      <c r="TLX62" s="975"/>
      <c r="TLY62" s="975"/>
      <c r="TLZ62" s="975"/>
      <c r="TMA62" s="975"/>
      <c r="TMB62" s="975"/>
      <c r="TMC62" s="975"/>
      <c r="TMD62" s="975"/>
      <c r="TME62" s="975"/>
      <c r="TMF62" s="975"/>
      <c r="TMG62" s="975"/>
      <c r="TMH62" s="975"/>
      <c r="TMI62" s="975"/>
      <c r="TMJ62" s="975"/>
      <c r="TMK62" s="975"/>
      <c r="TML62" s="975"/>
      <c r="TMM62" s="975"/>
      <c r="TMN62" s="975"/>
      <c r="TMO62" s="975"/>
      <c r="TMP62" s="975"/>
      <c r="TMQ62" s="975"/>
      <c r="TMR62" s="975"/>
      <c r="TMS62" s="975"/>
      <c r="TMT62" s="975"/>
      <c r="TMU62" s="975"/>
      <c r="TMV62" s="975"/>
      <c r="TMW62" s="975"/>
      <c r="TMX62" s="975"/>
      <c r="TMY62" s="975"/>
      <c r="TMZ62" s="975"/>
      <c r="TNA62" s="975"/>
      <c r="TNB62" s="975"/>
      <c r="TNC62" s="975"/>
      <c r="TND62" s="975"/>
      <c r="TNE62" s="975"/>
      <c r="TNF62" s="975"/>
      <c r="TNG62" s="975"/>
      <c r="TNH62" s="975"/>
      <c r="TNI62" s="975"/>
      <c r="TNJ62" s="975"/>
      <c r="TNK62" s="975"/>
      <c r="TNL62" s="975"/>
      <c r="TNM62" s="975"/>
      <c r="TNN62" s="975"/>
      <c r="TNO62" s="975"/>
      <c r="TNP62" s="975"/>
      <c r="TNQ62" s="975"/>
      <c r="TNR62" s="975"/>
      <c r="TNS62" s="975"/>
      <c r="TNT62" s="975"/>
      <c r="TNU62" s="975"/>
      <c r="TNV62" s="975"/>
      <c r="TNW62" s="975"/>
      <c r="TNX62" s="975"/>
      <c r="TNY62" s="975"/>
      <c r="TNZ62" s="975"/>
      <c r="TOA62" s="975"/>
      <c r="TOB62" s="975"/>
      <c r="TOC62" s="975"/>
      <c r="TOD62" s="975"/>
      <c r="TOE62" s="975"/>
      <c r="TOF62" s="975"/>
      <c r="TOG62" s="975"/>
      <c r="TOH62" s="975"/>
      <c r="TOI62" s="975"/>
      <c r="TOJ62" s="975"/>
      <c r="TOK62" s="975"/>
      <c r="TOL62" s="975"/>
      <c r="TOM62" s="975"/>
      <c r="TON62" s="975"/>
      <c r="TOO62" s="975"/>
      <c r="TOP62" s="975"/>
      <c r="TOQ62" s="975"/>
      <c r="TOR62" s="975"/>
      <c r="TOS62" s="975"/>
      <c r="TOT62" s="975"/>
      <c r="TOU62" s="975"/>
      <c r="TOV62" s="975"/>
      <c r="TOW62" s="975"/>
      <c r="TOX62" s="975"/>
      <c r="TOY62" s="975"/>
      <c r="TOZ62" s="975"/>
      <c r="TPA62" s="975"/>
      <c r="TPB62" s="975"/>
      <c r="TPC62" s="975"/>
      <c r="TPD62" s="975"/>
      <c r="TPE62" s="975"/>
      <c r="TPF62" s="975"/>
      <c r="TPG62" s="975"/>
      <c r="TPH62" s="975"/>
      <c r="TPI62" s="975"/>
      <c r="TPJ62" s="975"/>
      <c r="TPK62" s="975"/>
      <c r="TPL62" s="975"/>
      <c r="TPM62" s="975"/>
      <c r="TPN62" s="975"/>
      <c r="TPO62" s="975"/>
      <c r="TPP62" s="975"/>
      <c r="TPQ62" s="975"/>
      <c r="TPR62" s="975"/>
      <c r="TPS62" s="975"/>
      <c r="TPT62" s="975"/>
      <c r="TPU62" s="975"/>
      <c r="TPV62" s="975"/>
      <c r="TPW62" s="975"/>
      <c r="TPX62" s="975"/>
      <c r="TPY62" s="975"/>
      <c r="TPZ62" s="975"/>
      <c r="TQA62" s="975"/>
      <c r="TQB62" s="975"/>
      <c r="TQC62" s="975"/>
      <c r="TQD62" s="975"/>
      <c r="TQE62" s="975"/>
      <c r="TQF62" s="975"/>
      <c r="TQG62" s="975"/>
      <c r="TQH62" s="975"/>
      <c r="TQI62" s="975"/>
      <c r="TQJ62" s="975"/>
      <c r="TQK62" s="975"/>
      <c r="TQL62" s="975"/>
      <c r="TQM62" s="975"/>
      <c r="TQN62" s="975"/>
      <c r="TQO62" s="975"/>
      <c r="TQP62" s="975"/>
      <c r="TQQ62" s="975"/>
      <c r="TQR62" s="975"/>
      <c r="TQS62" s="975"/>
      <c r="TQT62" s="975"/>
      <c r="TQU62" s="975"/>
      <c r="TQV62" s="975"/>
      <c r="TQW62" s="975"/>
      <c r="TQX62" s="975"/>
      <c r="TQY62" s="975"/>
      <c r="TQZ62" s="975"/>
      <c r="TRA62" s="975"/>
      <c r="TRB62" s="975"/>
      <c r="TRC62" s="975"/>
      <c r="TRD62" s="975"/>
      <c r="TRE62" s="975"/>
      <c r="TRF62" s="975"/>
      <c r="TRG62" s="975"/>
      <c r="TRH62" s="975"/>
      <c r="TRI62" s="975"/>
      <c r="TRJ62" s="975"/>
      <c r="TRK62" s="975"/>
      <c r="TRL62" s="975"/>
      <c r="TRM62" s="975"/>
      <c r="TRN62" s="975"/>
      <c r="TRO62" s="975"/>
      <c r="TRP62" s="975"/>
      <c r="TRQ62" s="975"/>
      <c r="TRR62" s="975"/>
      <c r="TRS62" s="975"/>
      <c r="TRT62" s="975"/>
      <c r="TRU62" s="975"/>
      <c r="TRV62" s="975"/>
      <c r="TRW62" s="975"/>
      <c r="TRX62" s="975"/>
      <c r="TRY62" s="975"/>
      <c r="TRZ62" s="975"/>
      <c r="TSA62" s="975"/>
      <c r="TSB62" s="975"/>
      <c r="TSC62" s="975"/>
      <c r="TSD62" s="975"/>
      <c r="TSE62" s="975"/>
      <c r="TSF62" s="975"/>
      <c r="TSG62" s="975"/>
      <c r="TSH62" s="975"/>
      <c r="TSI62" s="975"/>
      <c r="TSJ62" s="975"/>
      <c r="TSK62" s="975"/>
      <c r="TSL62" s="975"/>
      <c r="TSM62" s="975"/>
      <c r="TSN62" s="975"/>
      <c r="TSO62" s="975"/>
      <c r="TSP62" s="975"/>
      <c r="TSQ62" s="975"/>
      <c r="TSR62" s="975"/>
      <c r="TSS62" s="975"/>
      <c r="TST62" s="975"/>
      <c r="TSU62" s="975"/>
      <c r="TSV62" s="975"/>
      <c r="TSW62" s="975"/>
      <c r="TSX62" s="975"/>
      <c r="TSY62" s="975"/>
      <c r="TSZ62" s="975"/>
      <c r="TTA62" s="975"/>
      <c r="TTB62" s="975"/>
      <c r="TTC62" s="975"/>
      <c r="TTD62" s="975"/>
      <c r="TTE62" s="975"/>
      <c r="TTF62" s="975"/>
      <c r="TTG62" s="975"/>
      <c r="TTH62" s="975"/>
      <c r="TTI62" s="975"/>
      <c r="TTJ62" s="975"/>
      <c r="TTK62" s="975"/>
      <c r="TTL62" s="975"/>
      <c r="TTM62" s="975"/>
      <c r="TTN62" s="975"/>
      <c r="TTO62" s="975"/>
      <c r="TTP62" s="975"/>
      <c r="TTQ62" s="975"/>
      <c r="TTR62" s="975"/>
      <c r="TTS62" s="975"/>
      <c r="TTT62" s="975"/>
      <c r="TTU62" s="975"/>
      <c r="TTV62" s="975"/>
      <c r="TTW62" s="975"/>
      <c r="TTX62" s="975"/>
      <c r="TTY62" s="975"/>
      <c r="TTZ62" s="975"/>
      <c r="TUA62" s="975"/>
      <c r="TUB62" s="975"/>
      <c r="TUC62" s="975"/>
      <c r="TUD62" s="975"/>
      <c r="TUE62" s="975"/>
      <c r="TUF62" s="975"/>
      <c r="TUG62" s="975"/>
      <c r="TUH62" s="975"/>
      <c r="TUI62" s="975"/>
      <c r="TUJ62" s="975"/>
      <c r="TUK62" s="975"/>
      <c r="TUL62" s="975"/>
      <c r="TUM62" s="975"/>
      <c r="TUN62" s="975"/>
      <c r="TUO62" s="975"/>
      <c r="TUP62" s="975"/>
      <c r="TUQ62" s="975"/>
      <c r="TUR62" s="975"/>
      <c r="TUS62" s="975"/>
      <c r="TUT62" s="975"/>
      <c r="TUU62" s="975"/>
      <c r="TUV62" s="975"/>
      <c r="TUW62" s="975"/>
      <c r="TUX62" s="975"/>
      <c r="TUY62" s="975"/>
      <c r="TUZ62" s="975"/>
      <c r="TVA62" s="975"/>
      <c r="TVB62" s="975"/>
      <c r="TVC62" s="975"/>
      <c r="TVD62" s="975"/>
      <c r="TVE62" s="975"/>
      <c r="TVF62" s="975"/>
      <c r="TVG62" s="975"/>
      <c r="TVH62" s="975"/>
      <c r="TVI62" s="975"/>
      <c r="TVJ62" s="975"/>
      <c r="TVK62" s="975"/>
      <c r="TVL62" s="975"/>
      <c r="TVM62" s="975"/>
      <c r="TVN62" s="975"/>
      <c r="TVO62" s="975"/>
      <c r="TVP62" s="975"/>
      <c r="TVQ62" s="975"/>
      <c r="TVR62" s="975"/>
      <c r="TVS62" s="975"/>
      <c r="TVT62" s="975"/>
      <c r="TVU62" s="975"/>
      <c r="TVV62" s="975"/>
      <c r="TVW62" s="975"/>
      <c r="TVX62" s="975"/>
      <c r="TVY62" s="975"/>
      <c r="TVZ62" s="975"/>
      <c r="TWA62" s="975"/>
      <c r="TWB62" s="975"/>
      <c r="TWC62" s="975"/>
      <c r="TWD62" s="975"/>
      <c r="TWE62" s="975"/>
      <c r="TWF62" s="975"/>
      <c r="TWG62" s="975"/>
      <c r="TWH62" s="975"/>
      <c r="TWI62" s="975"/>
      <c r="TWJ62" s="975"/>
      <c r="TWK62" s="975"/>
      <c r="TWL62" s="975"/>
      <c r="TWM62" s="975"/>
      <c r="TWN62" s="975"/>
      <c r="TWO62" s="975"/>
      <c r="TWP62" s="975"/>
      <c r="TWQ62" s="975"/>
      <c r="TWR62" s="975"/>
      <c r="TWS62" s="975"/>
      <c r="TWT62" s="975"/>
      <c r="TWU62" s="975"/>
      <c r="TWV62" s="975"/>
      <c r="TWW62" s="975"/>
      <c r="TWX62" s="975"/>
      <c r="TWY62" s="975"/>
      <c r="TWZ62" s="975"/>
      <c r="TXA62" s="975"/>
      <c r="TXB62" s="975"/>
      <c r="TXC62" s="975"/>
      <c r="TXD62" s="975"/>
      <c r="TXE62" s="975"/>
      <c r="TXF62" s="975"/>
      <c r="TXG62" s="975"/>
      <c r="TXH62" s="975"/>
      <c r="TXI62" s="975"/>
      <c r="TXJ62" s="975"/>
      <c r="TXK62" s="975"/>
      <c r="TXL62" s="975"/>
      <c r="TXM62" s="975"/>
      <c r="TXN62" s="975"/>
      <c r="TXO62" s="975"/>
      <c r="TXP62" s="975"/>
      <c r="TXQ62" s="975"/>
      <c r="TXR62" s="975"/>
      <c r="TXS62" s="975"/>
      <c r="TXT62" s="975"/>
      <c r="TXU62" s="975"/>
      <c r="TXV62" s="975"/>
      <c r="TXW62" s="975"/>
      <c r="TXX62" s="975"/>
      <c r="TXY62" s="975"/>
      <c r="TXZ62" s="975"/>
      <c r="TYA62" s="975"/>
      <c r="TYB62" s="975"/>
      <c r="TYC62" s="975"/>
      <c r="TYD62" s="975"/>
      <c r="TYE62" s="975"/>
      <c r="TYF62" s="975"/>
      <c r="TYG62" s="975"/>
      <c r="TYH62" s="975"/>
      <c r="TYI62" s="975"/>
      <c r="TYJ62" s="975"/>
      <c r="TYK62" s="975"/>
      <c r="TYL62" s="975"/>
      <c r="TYM62" s="975"/>
      <c r="TYN62" s="975"/>
      <c r="TYO62" s="975"/>
      <c r="TYP62" s="975"/>
      <c r="TYQ62" s="975"/>
      <c r="TYR62" s="975"/>
      <c r="TYS62" s="975"/>
      <c r="TYT62" s="975"/>
      <c r="TYU62" s="975"/>
      <c r="TYV62" s="975"/>
      <c r="TYW62" s="975"/>
      <c r="TYX62" s="975"/>
      <c r="TYY62" s="975"/>
      <c r="TYZ62" s="975"/>
      <c r="TZA62" s="975"/>
      <c r="TZB62" s="975"/>
      <c r="TZC62" s="975"/>
      <c r="TZD62" s="975"/>
      <c r="TZE62" s="975"/>
      <c r="TZF62" s="975"/>
      <c r="TZG62" s="975"/>
      <c r="TZH62" s="975"/>
      <c r="TZI62" s="975"/>
      <c r="TZJ62" s="975"/>
      <c r="TZK62" s="975"/>
      <c r="TZL62" s="975"/>
      <c r="TZM62" s="975"/>
      <c r="TZN62" s="975"/>
      <c r="TZO62" s="975"/>
      <c r="TZP62" s="975"/>
      <c r="TZQ62" s="975"/>
      <c r="TZR62" s="975"/>
      <c r="TZS62" s="975"/>
      <c r="TZT62" s="975"/>
      <c r="TZU62" s="975"/>
      <c r="TZV62" s="975"/>
      <c r="TZW62" s="975"/>
      <c r="TZX62" s="975"/>
      <c r="TZY62" s="975"/>
      <c r="TZZ62" s="975"/>
      <c r="UAA62" s="975"/>
      <c r="UAB62" s="975"/>
      <c r="UAC62" s="975"/>
      <c r="UAD62" s="975"/>
      <c r="UAE62" s="975"/>
      <c r="UAF62" s="975"/>
      <c r="UAG62" s="975"/>
      <c r="UAH62" s="975"/>
      <c r="UAI62" s="975"/>
      <c r="UAJ62" s="975"/>
      <c r="UAK62" s="975"/>
      <c r="UAL62" s="975"/>
      <c r="UAM62" s="975"/>
      <c r="UAN62" s="975"/>
      <c r="UAO62" s="975"/>
      <c r="UAP62" s="975"/>
      <c r="UAQ62" s="975"/>
      <c r="UAR62" s="975"/>
      <c r="UAS62" s="975"/>
      <c r="UAT62" s="975"/>
      <c r="UAU62" s="975"/>
      <c r="UAV62" s="975"/>
      <c r="UAW62" s="975"/>
      <c r="UAX62" s="975"/>
      <c r="UAY62" s="975"/>
      <c r="UAZ62" s="975"/>
      <c r="UBA62" s="975"/>
      <c r="UBB62" s="975"/>
      <c r="UBC62" s="975"/>
      <c r="UBD62" s="975"/>
      <c r="UBE62" s="975"/>
      <c r="UBF62" s="975"/>
      <c r="UBG62" s="975"/>
      <c r="UBH62" s="975"/>
      <c r="UBI62" s="975"/>
      <c r="UBJ62" s="975"/>
      <c r="UBK62" s="975"/>
      <c r="UBL62" s="975"/>
      <c r="UBM62" s="975"/>
      <c r="UBN62" s="975"/>
      <c r="UBO62" s="975"/>
      <c r="UBP62" s="975"/>
      <c r="UBQ62" s="975"/>
      <c r="UBR62" s="975"/>
      <c r="UBS62" s="975"/>
      <c r="UBT62" s="975"/>
      <c r="UBU62" s="975"/>
      <c r="UBV62" s="975"/>
      <c r="UBW62" s="975"/>
      <c r="UBX62" s="975"/>
      <c r="UBY62" s="975"/>
      <c r="UBZ62" s="975"/>
      <c r="UCA62" s="975"/>
      <c r="UCB62" s="975"/>
      <c r="UCC62" s="975"/>
      <c r="UCD62" s="975"/>
      <c r="UCE62" s="975"/>
      <c r="UCF62" s="975"/>
      <c r="UCG62" s="975"/>
      <c r="UCH62" s="975"/>
      <c r="UCI62" s="975"/>
      <c r="UCJ62" s="975"/>
      <c r="UCK62" s="975"/>
      <c r="UCL62" s="975"/>
      <c r="UCM62" s="975"/>
      <c r="UCN62" s="975"/>
      <c r="UCO62" s="975"/>
      <c r="UCP62" s="975"/>
      <c r="UCQ62" s="975"/>
      <c r="UCR62" s="975"/>
      <c r="UCS62" s="975"/>
      <c r="UCT62" s="975"/>
      <c r="UCU62" s="975"/>
      <c r="UCV62" s="975"/>
      <c r="UCW62" s="975"/>
      <c r="UCX62" s="975"/>
      <c r="UCY62" s="975"/>
      <c r="UCZ62" s="975"/>
      <c r="UDA62" s="975"/>
      <c r="UDB62" s="975"/>
      <c r="UDC62" s="975"/>
      <c r="UDD62" s="975"/>
      <c r="UDE62" s="975"/>
      <c r="UDF62" s="975"/>
      <c r="UDG62" s="975"/>
      <c r="UDH62" s="975"/>
      <c r="UDI62" s="975"/>
      <c r="UDJ62" s="975"/>
      <c r="UDK62" s="975"/>
      <c r="UDL62" s="975"/>
      <c r="UDM62" s="975"/>
      <c r="UDN62" s="975"/>
      <c r="UDO62" s="975"/>
      <c r="UDP62" s="975"/>
      <c r="UDQ62" s="975"/>
      <c r="UDR62" s="975"/>
      <c r="UDS62" s="975"/>
      <c r="UDT62" s="975"/>
      <c r="UDU62" s="975"/>
      <c r="UDV62" s="975"/>
      <c r="UDW62" s="975"/>
      <c r="UDX62" s="975"/>
      <c r="UDY62" s="975"/>
      <c r="UDZ62" s="975"/>
      <c r="UEA62" s="975"/>
      <c r="UEB62" s="975"/>
      <c r="UEC62" s="975"/>
      <c r="UED62" s="975"/>
      <c r="UEE62" s="975"/>
      <c r="UEF62" s="975"/>
      <c r="UEG62" s="975"/>
      <c r="UEH62" s="975"/>
      <c r="UEI62" s="975"/>
      <c r="UEJ62" s="975"/>
      <c r="UEK62" s="975"/>
      <c r="UEL62" s="975"/>
      <c r="UEM62" s="975"/>
      <c r="UEN62" s="975"/>
      <c r="UEO62" s="975"/>
      <c r="UEP62" s="975"/>
      <c r="UEQ62" s="975"/>
      <c r="UER62" s="975"/>
      <c r="UES62" s="975"/>
      <c r="UET62" s="975"/>
      <c r="UEU62" s="975"/>
      <c r="UEV62" s="975"/>
      <c r="UEW62" s="975"/>
      <c r="UEX62" s="975"/>
      <c r="UEY62" s="975"/>
      <c r="UEZ62" s="975"/>
      <c r="UFA62" s="975"/>
      <c r="UFB62" s="975"/>
      <c r="UFC62" s="975"/>
      <c r="UFD62" s="975"/>
      <c r="UFE62" s="975"/>
      <c r="UFF62" s="975"/>
      <c r="UFG62" s="975"/>
      <c r="UFH62" s="975"/>
      <c r="UFI62" s="975"/>
      <c r="UFJ62" s="975"/>
      <c r="UFK62" s="975"/>
      <c r="UFL62" s="975"/>
      <c r="UFM62" s="975"/>
      <c r="UFN62" s="975"/>
      <c r="UFO62" s="975"/>
      <c r="UFP62" s="975"/>
      <c r="UFQ62" s="975"/>
      <c r="UFR62" s="975"/>
      <c r="UFS62" s="975"/>
      <c r="UFT62" s="975"/>
      <c r="UFU62" s="975"/>
      <c r="UFV62" s="975"/>
      <c r="UFW62" s="975"/>
      <c r="UFX62" s="975"/>
      <c r="UFY62" s="975"/>
      <c r="UFZ62" s="975"/>
      <c r="UGA62" s="975"/>
      <c r="UGB62" s="975"/>
      <c r="UGC62" s="975"/>
      <c r="UGD62" s="975"/>
      <c r="UGE62" s="975"/>
      <c r="UGF62" s="975"/>
      <c r="UGG62" s="975"/>
      <c r="UGH62" s="975"/>
      <c r="UGI62" s="975"/>
      <c r="UGJ62" s="975"/>
      <c r="UGK62" s="975"/>
      <c r="UGL62" s="975"/>
      <c r="UGM62" s="975"/>
      <c r="UGN62" s="975"/>
      <c r="UGO62" s="975"/>
      <c r="UGP62" s="975"/>
      <c r="UGQ62" s="975"/>
      <c r="UGR62" s="975"/>
      <c r="UGS62" s="975"/>
      <c r="UGT62" s="975"/>
      <c r="UGU62" s="975"/>
      <c r="UGV62" s="975"/>
      <c r="UGW62" s="975"/>
      <c r="UGX62" s="975"/>
      <c r="UGY62" s="975"/>
      <c r="UGZ62" s="975"/>
      <c r="UHA62" s="975"/>
      <c r="UHB62" s="975"/>
      <c r="UHC62" s="975"/>
      <c r="UHD62" s="975"/>
      <c r="UHE62" s="975"/>
      <c r="UHF62" s="975"/>
      <c r="UHG62" s="975"/>
      <c r="UHH62" s="975"/>
      <c r="UHI62" s="975"/>
      <c r="UHJ62" s="975"/>
      <c r="UHK62" s="975"/>
      <c r="UHL62" s="975"/>
      <c r="UHM62" s="975"/>
      <c r="UHN62" s="975"/>
      <c r="UHO62" s="975"/>
      <c r="UHP62" s="975"/>
      <c r="UHQ62" s="975"/>
      <c r="UHR62" s="975"/>
      <c r="UHS62" s="975"/>
      <c r="UHT62" s="975"/>
      <c r="UHU62" s="975"/>
      <c r="UHV62" s="975"/>
      <c r="UHW62" s="975"/>
      <c r="UHX62" s="975"/>
      <c r="UHY62" s="975"/>
      <c r="UHZ62" s="975"/>
      <c r="UIA62" s="975"/>
      <c r="UIB62" s="975"/>
      <c r="UIC62" s="975"/>
      <c r="UID62" s="975"/>
      <c r="UIE62" s="975"/>
      <c r="UIF62" s="975"/>
      <c r="UIG62" s="975"/>
      <c r="UIH62" s="975"/>
      <c r="UII62" s="975"/>
      <c r="UIJ62" s="975"/>
      <c r="UIK62" s="975"/>
      <c r="UIL62" s="975"/>
      <c r="UIM62" s="975"/>
      <c r="UIN62" s="975"/>
      <c r="UIO62" s="975"/>
      <c r="UIP62" s="975"/>
      <c r="UIQ62" s="975"/>
      <c r="UIR62" s="975"/>
      <c r="UIS62" s="975"/>
      <c r="UIT62" s="975"/>
      <c r="UIU62" s="975"/>
      <c r="UIV62" s="975"/>
      <c r="UIW62" s="975"/>
      <c r="UIX62" s="975"/>
      <c r="UIY62" s="975"/>
      <c r="UIZ62" s="975"/>
      <c r="UJA62" s="975"/>
      <c r="UJB62" s="975"/>
      <c r="UJC62" s="975"/>
      <c r="UJD62" s="975"/>
      <c r="UJE62" s="975"/>
      <c r="UJF62" s="975"/>
      <c r="UJG62" s="975"/>
      <c r="UJH62" s="975"/>
      <c r="UJI62" s="975"/>
      <c r="UJJ62" s="975"/>
      <c r="UJK62" s="975"/>
      <c r="UJL62" s="975"/>
      <c r="UJM62" s="975"/>
      <c r="UJN62" s="975"/>
      <c r="UJO62" s="975"/>
      <c r="UJP62" s="975"/>
      <c r="UJQ62" s="975"/>
      <c r="UJR62" s="975"/>
      <c r="UJS62" s="975"/>
      <c r="UJT62" s="975"/>
      <c r="UJU62" s="975"/>
      <c r="UJV62" s="975"/>
      <c r="UJW62" s="975"/>
      <c r="UJX62" s="975"/>
      <c r="UJY62" s="975"/>
      <c r="UJZ62" s="975"/>
      <c r="UKA62" s="975"/>
      <c r="UKB62" s="975"/>
      <c r="UKC62" s="975"/>
      <c r="UKD62" s="975"/>
      <c r="UKE62" s="975"/>
      <c r="UKF62" s="975"/>
      <c r="UKG62" s="975"/>
      <c r="UKH62" s="975"/>
      <c r="UKI62" s="975"/>
      <c r="UKJ62" s="975"/>
      <c r="UKK62" s="975"/>
      <c r="UKL62" s="975"/>
      <c r="UKM62" s="975"/>
      <c r="UKN62" s="975"/>
      <c r="UKO62" s="975"/>
      <c r="UKP62" s="975"/>
      <c r="UKQ62" s="975"/>
      <c r="UKR62" s="975"/>
      <c r="UKS62" s="975"/>
      <c r="UKT62" s="975"/>
      <c r="UKU62" s="975"/>
      <c r="UKV62" s="975"/>
      <c r="UKW62" s="975"/>
      <c r="UKX62" s="975"/>
      <c r="UKY62" s="975"/>
      <c r="UKZ62" s="975"/>
      <c r="ULA62" s="975"/>
      <c r="ULB62" s="975"/>
      <c r="ULC62" s="975"/>
      <c r="ULD62" s="975"/>
      <c r="ULE62" s="975"/>
      <c r="ULF62" s="975"/>
      <c r="ULG62" s="975"/>
      <c r="ULH62" s="975"/>
      <c r="ULI62" s="975"/>
      <c r="ULJ62" s="975"/>
      <c r="ULK62" s="975"/>
      <c r="ULL62" s="975"/>
      <c r="ULM62" s="975"/>
      <c r="ULN62" s="975"/>
      <c r="ULO62" s="975"/>
      <c r="ULP62" s="975"/>
      <c r="ULQ62" s="975"/>
      <c r="ULR62" s="975"/>
      <c r="ULS62" s="975"/>
      <c r="ULT62" s="975"/>
      <c r="ULU62" s="975"/>
      <c r="ULV62" s="975"/>
      <c r="ULW62" s="975"/>
      <c r="ULX62" s="975"/>
      <c r="ULY62" s="975"/>
      <c r="ULZ62" s="975"/>
      <c r="UMA62" s="975"/>
      <c r="UMB62" s="975"/>
      <c r="UMC62" s="975"/>
      <c r="UMD62" s="975"/>
      <c r="UME62" s="975"/>
      <c r="UMF62" s="975"/>
      <c r="UMG62" s="975"/>
      <c r="UMH62" s="975"/>
      <c r="UMI62" s="975"/>
      <c r="UMJ62" s="975"/>
      <c r="UMK62" s="975"/>
      <c r="UML62" s="975"/>
      <c r="UMM62" s="975"/>
      <c r="UMN62" s="975"/>
      <c r="UMO62" s="975"/>
      <c r="UMP62" s="975"/>
      <c r="UMQ62" s="975"/>
      <c r="UMR62" s="975"/>
      <c r="UMS62" s="975"/>
      <c r="UMT62" s="975"/>
      <c r="UMU62" s="975"/>
      <c r="UMV62" s="975"/>
      <c r="UMW62" s="975"/>
      <c r="UMX62" s="975"/>
      <c r="UMY62" s="975"/>
      <c r="UMZ62" s="975"/>
      <c r="UNA62" s="975"/>
      <c r="UNB62" s="975"/>
      <c r="UNC62" s="975"/>
      <c r="UND62" s="975"/>
      <c r="UNE62" s="975"/>
      <c r="UNF62" s="975"/>
      <c r="UNG62" s="975"/>
      <c r="UNH62" s="975"/>
      <c r="UNI62" s="975"/>
      <c r="UNJ62" s="975"/>
      <c r="UNK62" s="975"/>
      <c r="UNL62" s="975"/>
      <c r="UNM62" s="975"/>
      <c r="UNN62" s="975"/>
      <c r="UNO62" s="975"/>
      <c r="UNP62" s="975"/>
      <c r="UNQ62" s="975"/>
      <c r="UNR62" s="975"/>
      <c r="UNS62" s="975"/>
      <c r="UNT62" s="975"/>
      <c r="UNU62" s="975"/>
      <c r="UNV62" s="975"/>
      <c r="UNW62" s="975"/>
      <c r="UNX62" s="975"/>
      <c r="UNY62" s="975"/>
      <c r="UNZ62" s="975"/>
      <c r="UOA62" s="975"/>
      <c r="UOB62" s="975"/>
      <c r="UOC62" s="975"/>
      <c r="UOD62" s="975"/>
      <c r="UOE62" s="975"/>
      <c r="UOF62" s="975"/>
      <c r="UOG62" s="975"/>
      <c r="UOH62" s="975"/>
      <c r="UOI62" s="975"/>
      <c r="UOJ62" s="975"/>
      <c r="UOK62" s="975"/>
      <c r="UOL62" s="975"/>
      <c r="UOM62" s="975"/>
      <c r="UON62" s="975"/>
      <c r="UOO62" s="975"/>
      <c r="UOP62" s="975"/>
      <c r="UOQ62" s="975"/>
      <c r="UOR62" s="975"/>
      <c r="UOS62" s="975"/>
      <c r="UOT62" s="975"/>
      <c r="UOU62" s="975"/>
      <c r="UOV62" s="975"/>
      <c r="UOW62" s="975"/>
      <c r="UOX62" s="975"/>
      <c r="UOY62" s="975"/>
      <c r="UOZ62" s="975"/>
      <c r="UPA62" s="975"/>
      <c r="UPB62" s="975"/>
      <c r="UPC62" s="975"/>
      <c r="UPD62" s="975"/>
      <c r="UPE62" s="975"/>
      <c r="UPF62" s="975"/>
      <c r="UPG62" s="975"/>
      <c r="UPH62" s="975"/>
      <c r="UPI62" s="975"/>
      <c r="UPJ62" s="975"/>
      <c r="UPK62" s="975"/>
      <c r="UPL62" s="975"/>
      <c r="UPM62" s="975"/>
      <c r="UPN62" s="975"/>
      <c r="UPO62" s="975"/>
      <c r="UPP62" s="975"/>
      <c r="UPQ62" s="975"/>
      <c r="UPR62" s="975"/>
      <c r="UPS62" s="975"/>
      <c r="UPT62" s="975"/>
      <c r="UPU62" s="975"/>
      <c r="UPV62" s="975"/>
      <c r="UPW62" s="975"/>
      <c r="UPX62" s="975"/>
      <c r="UPY62" s="975"/>
      <c r="UPZ62" s="975"/>
      <c r="UQA62" s="975"/>
      <c r="UQB62" s="975"/>
      <c r="UQC62" s="975"/>
      <c r="UQD62" s="975"/>
      <c r="UQE62" s="975"/>
      <c r="UQF62" s="975"/>
      <c r="UQG62" s="975"/>
      <c r="UQH62" s="975"/>
      <c r="UQI62" s="975"/>
      <c r="UQJ62" s="975"/>
      <c r="UQK62" s="975"/>
      <c r="UQL62" s="975"/>
      <c r="UQM62" s="975"/>
      <c r="UQN62" s="975"/>
      <c r="UQO62" s="975"/>
      <c r="UQP62" s="975"/>
      <c r="UQQ62" s="975"/>
      <c r="UQR62" s="975"/>
      <c r="UQS62" s="975"/>
      <c r="UQT62" s="975"/>
      <c r="UQU62" s="975"/>
      <c r="UQV62" s="975"/>
      <c r="UQW62" s="975"/>
      <c r="UQX62" s="975"/>
      <c r="UQY62" s="975"/>
      <c r="UQZ62" s="975"/>
      <c r="URA62" s="975"/>
      <c r="URB62" s="975"/>
      <c r="URC62" s="975"/>
      <c r="URD62" s="975"/>
      <c r="URE62" s="975"/>
      <c r="URF62" s="975"/>
      <c r="URG62" s="975"/>
      <c r="URH62" s="975"/>
      <c r="URI62" s="975"/>
      <c r="URJ62" s="975"/>
      <c r="URK62" s="975"/>
      <c r="URL62" s="975"/>
      <c r="URM62" s="975"/>
      <c r="URN62" s="975"/>
      <c r="URO62" s="975"/>
      <c r="URP62" s="975"/>
      <c r="URQ62" s="975"/>
      <c r="URR62" s="975"/>
      <c r="URS62" s="975"/>
      <c r="URT62" s="975"/>
      <c r="URU62" s="975"/>
      <c r="URV62" s="975"/>
      <c r="URW62" s="975"/>
      <c r="URX62" s="975"/>
      <c r="URY62" s="975"/>
      <c r="URZ62" s="975"/>
      <c r="USA62" s="975"/>
      <c r="USB62" s="975"/>
      <c r="USC62" s="975"/>
      <c r="USD62" s="975"/>
      <c r="USE62" s="975"/>
      <c r="USF62" s="975"/>
      <c r="USG62" s="975"/>
      <c r="USH62" s="975"/>
      <c r="USI62" s="975"/>
      <c r="USJ62" s="975"/>
      <c r="USK62" s="975"/>
      <c r="USL62" s="975"/>
      <c r="USM62" s="975"/>
      <c r="USN62" s="975"/>
      <c r="USO62" s="975"/>
      <c r="USP62" s="975"/>
      <c r="USQ62" s="975"/>
      <c r="USR62" s="975"/>
      <c r="USS62" s="975"/>
      <c r="UST62" s="975"/>
      <c r="USU62" s="975"/>
      <c r="USV62" s="975"/>
      <c r="USW62" s="975"/>
      <c r="USX62" s="975"/>
      <c r="USY62" s="975"/>
      <c r="USZ62" s="975"/>
      <c r="UTA62" s="975"/>
      <c r="UTB62" s="975"/>
      <c r="UTC62" s="975"/>
      <c r="UTD62" s="975"/>
      <c r="UTE62" s="975"/>
      <c r="UTF62" s="975"/>
      <c r="UTG62" s="975"/>
      <c r="UTH62" s="975"/>
      <c r="UTI62" s="975"/>
      <c r="UTJ62" s="975"/>
      <c r="UTK62" s="975"/>
      <c r="UTL62" s="975"/>
      <c r="UTM62" s="975"/>
      <c r="UTN62" s="975"/>
      <c r="UTO62" s="975"/>
      <c r="UTP62" s="975"/>
      <c r="UTQ62" s="975"/>
      <c r="UTR62" s="975"/>
      <c r="UTS62" s="975"/>
      <c r="UTT62" s="975"/>
      <c r="UTU62" s="975"/>
      <c r="UTV62" s="975"/>
      <c r="UTW62" s="975"/>
      <c r="UTX62" s="975"/>
      <c r="UTY62" s="975"/>
      <c r="UTZ62" s="975"/>
      <c r="UUA62" s="975"/>
      <c r="UUB62" s="975"/>
      <c r="UUC62" s="975"/>
      <c r="UUD62" s="975"/>
      <c r="UUE62" s="975"/>
      <c r="UUF62" s="975"/>
      <c r="UUG62" s="975"/>
      <c r="UUH62" s="975"/>
      <c r="UUI62" s="975"/>
      <c r="UUJ62" s="975"/>
      <c r="UUK62" s="975"/>
      <c r="UUL62" s="975"/>
      <c r="UUM62" s="975"/>
      <c r="UUN62" s="975"/>
      <c r="UUO62" s="975"/>
      <c r="UUP62" s="975"/>
      <c r="UUQ62" s="975"/>
      <c r="UUR62" s="975"/>
      <c r="UUS62" s="975"/>
      <c r="UUT62" s="975"/>
      <c r="UUU62" s="975"/>
      <c r="UUV62" s="975"/>
      <c r="UUW62" s="975"/>
      <c r="UUX62" s="975"/>
      <c r="UUY62" s="975"/>
      <c r="UUZ62" s="975"/>
      <c r="UVA62" s="975"/>
      <c r="UVB62" s="975"/>
      <c r="UVC62" s="975"/>
      <c r="UVD62" s="975"/>
      <c r="UVE62" s="975"/>
      <c r="UVF62" s="975"/>
      <c r="UVG62" s="975"/>
      <c r="UVH62" s="975"/>
      <c r="UVI62" s="975"/>
      <c r="UVJ62" s="975"/>
      <c r="UVK62" s="975"/>
      <c r="UVL62" s="975"/>
      <c r="UVM62" s="975"/>
      <c r="UVN62" s="975"/>
      <c r="UVO62" s="975"/>
      <c r="UVP62" s="975"/>
      <c r="UVQ62" s="975"/>
      <c r="UVR62" s="975"/>
      <c r="UVS62" s="975"/>
      <c r="UVT62" s="975"/>
      <c r="UVU62" s="975"/>
      <c r="UVV62" s="975"/>
      <c r="UVW62" s="975"/>
      <c r="UVX62" s="975"/>
      <c r="UVY62" s="975"/>
      <c r="UVZ62" s="975"/>
      <c r="UWA62" s="975"/>
      <c r="UWB62" s="975"/>
      <c r="UWC62" s="975"/>
      <c r="UWD62" s="975"/>
      <c r="UWE62" s="975"/>
      <c r="UWF62" s="975"/>
      <c r="UWG62" s="975"/>
      <c r="UWH62" s="975"/>
      <c r="UWI62" s="975"/>
      <c r="UWJ62" s="975"/>
      <c r="UWK62" s="975"/>
      <c r="UWL62" s="975"/>
      <c r="UWM62" s="975"/>
      <c r="UWN62" s="975"/>
      <c r="UWO62" s="975"/>
      <c r="UWP62" s="975"/>
      <c r="UWQ62" s="975"/>
      <c r="UWR62" s="975"/>
      <c r="UWS62" s="975"/>
      <c r="UWT62" s="975"/>
      <c r="UWU62" s="975"/>
      <c r="UWV62" s="975"/>
      <c r="UWW62" s="975"/>
      <c r="UWX62" s="975"/>
      <c r="UWY62" s="975"/>
      <c r="UWZ62" s="975"/>
      <c r="UXA62" s="975"/>
      <c r="UXB62" s="975"/>
      <c r="UXC62" s="975"/>
      <c r="UXD62" s="975"/>
      <c r="UXE62" s="975"/>
      <c r="UXF62" s="975"/>
      <c r="UXG62" s="975"/>
      <c r="UXH62" s="975"/>
      <c r="UXI62" s="975"/>
      <c r="UXJ62" s="975"/>
      <c r="UXK62" s="975"/>
      <c r="UXL62" s="975"/>
      <c r="UXM62" s="975"/>
      <c r="UXN62" s="975"/>
      <c r="UXO62" s="975"/>
      <c r="UXP62" s="975"/>
      <c r="UXQ62" s="975"/>
      <c r="UXR62" s="975"/>
      <c r="UXS62" s="975"/>
      <c r="UXT62" s="975"/>
      <c r="UXU62" s="975"/>
      <c r="UXV62" s="975"/>
      <c r="UXW62" s="975"/>
      <c r="UXX62" s="975"/>
      <c r="UXY62" s="975"/>
      <c r="UXZ62" s="975"/>
      <c r="UYA62" s="975"/>
      <c r="UYB62" s="975"/>
      <c r="UYC62" s="975"/>
      <c r="UYD62" s="975"/>
      <c r="UYE62" s="975"/>
      <c r="UYF62" s="975"/>
      <c r="UYG62" s="975"/>
      <c r="UYH62" s="975"/>
      <c r="UYI62" s="975"/>
      <c r="UYJ62" s="975"/>
      <c r="UYK62" s="975"/>
      <c r="UYL62" s="975"/>
      <c r="UYM62" s="975"/>
      <c r="UYN62" s="975"/>
      <c r="UYO62" s="975"/>
      <c r="UYP62" s="975"/>
      <c r="UYQ62" s="975"/>
      <c r="UYR62" s="975"/>
      <c r="UYS62" s="975"/>
      <c r="UYT62" s="975"/>
      <c r="UYU62" s="975"/>
      <c r="UYV62" s="975"/>
      <c r="UYW62" s="975"/>
      <c r="UYX62" s="975"/>
      <c r="UYY62" s="975"/>
      <c r="UYZ62" s="975"/>
      <c r="UZA62" s="975"/>
      <c r="UZB62" s="975"/>
      <c r="UZC62" s="975"/>
      <c r="UZD62" s="975"/>
      <c r="UZE62" s="975"/>
      <c r="UZF62" s="975"/>
      <c r="UZG62" s="975"/>
      <c r="UZH62" s="975"/>
      <c r="UZI62" s="975"/>
      <c r="UZJ62" s="975"/>
      <c r="UZK62" s="975"/>
      <c r="UZL62" s="975"/>
      <c r="UZM62" s="975"/>
      <c r="UZN62" s="975"/>
      <c r="UZO62" s="975"/>
      <c r="UZP62" s="975"/>
      <c r="UZQ62" s="975"/>
      <c r="UZR62" s="975"/>
      <c r="UZS62" s="975"/>
      <c r="UZT62" s="975"/>
      <c r="UZU62" s="975"/>
      <c r="UZV62" s="975"/>
      <c r="UZW62" s="975"/>
      <c r="UZX62" s="975"/>
      <c r="UZY62" s="975"/>
      <c r="UZZ62" s="975"/>
      <c r="VAA62" s="975"/>
      <c r="VAB62" s="975"/>
      <c r="VAC62" s="975"/>
      <c r="VAD62" s="975"/>
      <c r="VAE62" s="975"/>
      <c r="VAF62" s="975"/>
      <c r="VAG62" s="975"/>
      <c r="VAH62" s="975"/>
      <c r="VAI62" s="975"/>
      <c r="VAJ62" s="975"/>
      <c r="VAK62" s="975"/>
      <c r="VAL62" s="975"/>
      <c r="VAM62" s="975"/>
      <c r="VAN62" s="975"/>
      <c r="VAO62" s="975"/>
      <c r="VAP62" s="975"/>
      <c r="VAQ62" s="975"/>
      <c r="VAR62" s="975"/>
      <c r="VAS62" s="975"/>
      <c r="VAT62" s="975"/>
      <c r="VAU62" s="975"/>
      <c r="VAV62" s="975"/>
      <c r="VAW62" s="975"/>
      <c r="VAX62" s="975"/>
      <c r="VAY62" s="975"/>
      <c r="VAZ62" s="975"/>
      <c r="VBA62" s="975"/>
      <c r="VBB62" s="975"/>
      <c r="VBC62" s="975"/>
      <c r="VBD62" s="975"/>
      <c r="VBE62" s="975"/>
      <c r="VBF62" s="975"/>
      <c r="VBG62" s="975"/>
      <c r="VBH62" s="975"/>
      <c r="VBI62" s="975"/>
      <c r="VBJ62" s="975"/>
      <c r="VBK62" s="975"/>
      <c r="VBL62" s="975"/>
      <c r="VBM62" s="975"/>
      <c r="VBN62" s="975"/>
      <c r="VBO62" s="975"/>
      <c r="VBP62" s="975"/>
      <c r="VBQ62" s="975"/>
      <c r="VBR62" s="975"/>
      <c r="VBS62" s="975"/>
      <c r="VBT62" s="975"/>
      <c r="VBU62" s="975"/>
      <c r="VBV62" s="975"/>
      <c r="VBW62" s="975"/>
      <c r="VBX62" s="975"/>
      <c r="VBY62" s="975"/>
      <c r="VBZ62" s="975"/>
      <c r="VCA62" s="975"/>
      <c r="VCB62" s="975"/>
      <c r="VCC62" s="975"/>
      <c r="VCD62" s="975"/>
      <c r="VCE62" s="975"/>
      <c r="VCF62" s="975"/>
      <c r="VCG62" s="975"/>
      <c r="VCH62" s="975"/>
      <c r="VCI62" s="975"/>
      <c r="VCJ62" s="975"/>
      <c r="VCK62" s="975"/>
      <c r="VCL62" s="975"/>
      <c r="VCM62" s="975"/>
      <c r="VCN62" s="975"/>
      <c r="VCO62" s="975"/>
      <c r="VCP62" s="975"/>
      <c r="VCQ62" s="975"/>
      <c r="VCR62" s="975"/>
      <c r="VCS62" s="975"/>
      <c r="VCT62" s="975"/>
      <c r="VCU62" s="975"/>
      <c r="VCV62" s="975"/>
      <c r="VCW62" s="975"/>
      <c r="VCX62" s="975"/>
      <c r="VCY62" s="975"/>
      <c r="VCZ62" s="975"/>
      <c r="VDA62" s="975"/>
      <c r="VDB62" s="975"/>
      <c r="VDC62" s="975"/>
      <c r="VDD62" s="975"/>
      <c r="VDE62" s="975"/>
      <c r="VDF62" s="975"/>
      <c r="VDG62" s="975"/>
      <c r="VDH62" s="975"/>
      <c r="VDI62" s="975"/>
      <c r="VDJ62" s="975"/>
      <c r="VDK62" s="975"/>
      <c r="VDL62" s="975"/>
      <c r="VDM62" s="975"/>
      <c r="VDN62" s="975"/>
      <c r="VDO62" s="975"/>
      <c r="VDP62" s="975"/>
      <c r="VDQ62" s="975"/>
      <c r="VDR62" s="975"/>
      <c r="VDS62" s="975"/>
      <c r="VDT62" s="975"/>
      <c r="VDU62" s="975"/>
      <c r="VDV62" s="975"/>
      <c r="VDW62" s="975"/>
      <c r="VDX62" s="975"/>
      <c r="VDY62" s="975"/>
      <c r="VDZ62" s="975"/>
      <c r="VEA62" s="975"/>
      <c r="VEB62" s="975"/>
      <c r="VEC62" s="975"/>
      <c r="VED62" s="975"/>
      <c r="VEE62" s="975"/>
      <c r="VEF62" s="975"/>
      <c r="VEG62" s="975"/>
      <c r="VEH62" s="975"/>
      <c r="VEI62" s="975"/>
      <c r="VEJ62" s="975"/>
      <c r="VEK62" s="975"/>
      <c r="VEL62" s="975"/>
      <c r="VEM62" s="975"/>
      <c r="VEN62" s="975"/>
      <c r="VEO62" s="975"/>
      <c r="VEP62" s="975"/>
      <c r="VEQ62" s="975"/>
      <c r="VER62" s="975"/>
      <c r="VES62" s="975"/>
      <c r="VET62" s="975"/>
      <c r="VEU62" s="975"/>
      <c r="VEV62" s="975"/>
      <c r="VEW62" s="975"/>
      <c r="VEX62" s="975"/>
      <c r="VEY62" s="975"/>
      <c r="VEZ62" s="975"/>
      <c r="VFA62" s="975"/>
      <c r="VFB62" s="975"/>
      <c r="VFC62" s="975"/>
      <c r="VFD62" s="975"/>
      <c r="VFE62" s="975"/>
      <c r="VFF62" s="975"/>
      <c r="VFG62" s="975"/>
      <c r="VFH62" s="975"/>
      <c r="VFI62" s="975"/>
      <c r="VFJ62" s="975"/>
      <c r="VFK62" s="975"/>
      <c r="VFL62" s="975"/>
      <c r="VFM62" s="975"/>
      <c r="VFN62" s="975"/>
      <c r="VFO62" s="975"/>
      <c r="VFP62" s="975"/>
      <c r="VFQ62" s="975"/>
      <c r="VFR62" s="975"/>
      <c r="VFS62" s="975"/>
      <c r="VFT62" s="975"/>
      <c r="VFU62" s="975"/>
      <c r="VFV62" s="975"/>
      <c r="VFW62" s="975"/>
      <c r="VFX62" s="975"/>
      <c r="VFY62" s="975"/>
      <c r="VFZ62" s="975"/>
      <c r="VGA62" s="975"/>
      <c r="VGB62" s="975"/>
      <c r="VGC62" s="975"/>
      <c r="VGD62" s="975"/>
      <c r="VGE62" s="975"/>
      <c r="VGF62" s="975"/>
      <c r="VGG62" s="975"/>
      <c r="VGH62" s="975"/>
      <c r="VGI62" s="975"/>
      <c r="VGJ62" s="975"/>
      <c r="VGK62" s="975"/>
      <c r="VGL62" s="975"/>
      <c r="VGM62" s="975"/>
      <c r="VGN62" s="975"/>
      <c r="VGO62" s="975"/>
      <c r="VGP62" s="975"/>
      <c r="VGQ62" s="975"/>
      <c r="VGR62" s="975"/>
      <c r="VGS62" s="975"/>
      <c r="VGT62" s="975"/>
      <c r="VGU62" s="975"/>
      <c r="VGV62" s="975"/>
      <c r="VGW62" s="975"/>
      <c r="VGX62" s="975"/>
      <c r="VGY62" s="975"/>
      <c r="VGZ62" s="975"/>
      <c r="VHA62" s="975"/>
      <c r="VHB62" s="975"/>
      <c r="VHC62" s="975"/>
      <c r="VHD62" s="975"/>
      <c r="VHE62" s="975"/>
      <c r="VHF62" s="975"/>
      <c r="VHG62" s="975"/>
      <c r="VHH62" s="975"/>
      <c r="VHI62" s="975"/>
      <c r="VHJ62" s="975"/>
      <c r="VHK62" s="975"/>
      <c r="VHL62" s="975"/>
      <c r="VHM62" s="975"/>
      <c r="VHN62" s="975"/>
      <c r="VHO62" s="975"/>
      <c r="VHP62" s="975"/>
      <c r="VHQ62" s="975"/>
      <c r="VHR62" s="975"/>
      <c r="VHS62" s="975"/>
      <c r="VHT62" s="975"/>
      <c r="VHU62" s="975"/>
      <c r="VHV62" s="975"/>
      <c r="VHW62" s="975"/>
      <c r="VHX62" s="975"/>
      <c r="VHY62" s="975"/>
      <c r="VHZ62" s="975"/>
      <c r="VIA62" s="975"/>
      <c r="VIB62" s="975"/>
      <c r="VIC62" s="975"/>
      <c r="VID62" s="975"/>
      <c r="VIE62" s="975"/>
      <c r="VIF62" s="975"/>
      <c r="VIG62" s="975"/>
      <c r="VIH62" s="975"/>
      <c r="VII62" s="975"/>
      <c r="VIJ62" s="975"/>
      <c r="VIK62" s="975"/>
      <c r="VIL62" s="975"/>
      <c r="VIM62" s="975"/>
      <c r="VIN62" s="975"/>
      <c r="VIO62" s="975"/>
      <c r="VIP62" s="975"/>
      <c r="VIQ62" s="975"/>
      <c r="VIR62" s="975"/>
      <c r="VIS62" s="975"/>
      <c r="VIT62" s="975"/>
      <c r="VIU62" s="975"/>
      <c r="VIV62" s="975"/>
      <c r="VIW62" s="975"/>
      <c r="VIX62" s="975"/>
      <c r="VIY62" s="975"/>
      <c r="VIZ62" s="975"/>
      <c r="VJA62" s="975"/>
      <c r="VJB62" s="975"/>
      <c r="VJC62" s="975"/>
      <c r="VJD62" s="975"/>
      <c r="VJE62" s="975"/>
      <c r="VJF62" s="975"/>
      <c r="VJG62" s="975"/>
      <c r="VJH62" s="975"/>
      <c r="VJI62" s="975"/>
      <c r="VJJ62" s="975"/>
      <c r="VJK62" s="975"/>
      <c r="VJL62" s="975"/>
      <c r="VJM62" s="975"/>
      <c r="VJN62" s="975"/>
      <c r="VJO62" s="975"/>
      <c r="VJP62" s="975"/>
      <c r="VJQ62" s="975"/>
      <c r="VJR62" s="975"/>
      <c r="VJS62" s="975"/>
      <c r="VJT62" s="975"/>
      <c r="VJU62" s="975"/>
      <c r="VJV62" s="975"/>
      <c r="VJW62" s="975"/>
      <c r="VJX62" s="975"/>
      <c r="VJY62" s="975"/>
      <c r="VJZ62" s="975"/>
      <c r="VKA62" s="975"/>
      <c r="VKB62" s="975"/>
      <c r="VKC62" s="975"/>
      <c r="VKD62" s="975"/>
      <c r="VKE62" s="975"/>
      <c r="VKF62" s="975"/>
      <c r="VKG62" s="975"/>
      <c r="VKH62" s="975"/>
      <c r="VKI62" s="975"/>
      <c r="VKJ62" s="975"/>
      <c r="VKK62" s="975"/>
      <c r="VKL62" s="975"/>
      <c r="VKM62" s="975"/>
      <c r="VKN62" s="975"/>
      <c r="VKO62" s="975"/>
      <c r="VKP62" s="975"/>
      <c r="VKQ62" s="975"/>
      <c r="VKR62" s="975"/>
      <c r="VKS62" s="975"/>
      <c r="VKT62" s="975"/>
      <c r="VKU62" s="975"/>
      <c r="VKV62" s="975"/>
      <c r="VKW62" s="975"/>
      <c r="VKX62" s="975"/>
      <c r="VKY62" s="975"/>
      <c r="VKZ62" s="975"/>
      <c r="VLA62" s="975"/>
      <c r="VLB62" s="975"/>
      <c r="VLC62" s="975"/>
      <c r="VLD62" s="975"/>
      <c r="VLE62" s="975"/>
      <c r="VLF62" s="975"/>
      <c r="VLG62" s="975"/>
      <c r="VLH62" s="975"/>
      <c r="VLI62" s="975"/>
      <c r="VLJ62" s="975"/>
      <c r="VLK62" s="975"/>
      <c r="VLL62" s="975"/>
      <c r="VLM62" s="975"/>
      <c r="VLN62" s="975"/>
      <c r="VLO62" s="975"/>
      <c r="VLP62" s="975"/>
      <c r="VLQ62" s="975"/>
      <c r="VLR62" s="975"/>
      <c r="VLS62" s="975"/>
      <c r="VLT62" s="975"/>
      <c r="VLU62" s="975"/>
      <c r="VLV62" s="975"/>
      <c r="VLW62" s="975"/>
      <c r="VLX62" s="975"/>
      <c r="VLY62" s="975"/>
      <c r="VLZ62" s="975"/>
      <c r="VMA62" s="975"/>
      <c r="VMB62" s="975"/>
      <c r="VMC62" s="975"/>
      <c r="VMD62" s="975"/>
      <c r="VME62" s="975"/>
      <c r="VMF62" s="975"/>
      <c r="VMG62" s="975"/>
      <c r="VMH62" s="975"/>
      <c r="VMI62" s="975"/>
      <c r="VMJ62" s="975"/>
      <c r="VMK62" s="975"/>
      <c r="VML62" s="975"/>
      <c r="VMM62" s="975"/>
      <c r="VMN62" s="975"/>
      <c r="VMO62" s="975"/>
      <c r="VMP62" s="975"/>
      <c r="VMQ62" s="975"/>
      <c r="VMR62" s="975"/>
      <c r="VMS62" s="975"/>
      <c r="VMT62" s="975"/>
      <c r="VMU62" s="975"/>
      <c r="VMV62" s="975"/>
      <c r="VMW62" s="975"/>
      <c r="VMX62" s="975"/>
      <c r="VMY62" s="975"/>
      <c r="VMZ62" s="975"/>
      <c r="VNA62" s="975"/>
      <c r="VNB62" s="975"/>
      <c r="VNC62" s="975"/>
      <c r="VND62" s="975"/>
      <c r="VNE62" s="975"/>
      <c r="VNF62" s="975"/>
      <c r="VNG62" s="975"/>
      <c r="VNH62" s="975"/>
      <c r="VNI62" s="975"/>
      <c r="VNJ62" s="975"/>
      <c r="VNK62" s="975"/>
      <c r="VNL62" s="975"/>
      <c r="VNM62" s="975"/>
      <c r="VNN62" s="975"/>
      <c r="VNO62" s="975"/>
      <c r="VNP62" s="975"/>
      <c r="VNQ62" s="975"/>
      <c r="VNR62" s="975"/>
      <c r="VNS62" s="975"/>
      <c r="VNT62" s="975"/>
      <c r="VNU62" s="975"/>
      <c r="VNV62" s="975"/>
      <c r="VNW62" s="975"/>
      <c r="VNX62" s="975"/>
      <c r="VNY62" s="975"/>
      <c r="VNZ62" s="975"/>
      <c r="VOA62" s="975"/>
      <c r="VOB62" s="975"/>
      <c r="VOC62" s="975"/>
      <c r="VOD62" s="975"/>
      <c r="VOE62" s="975"/>
      <c r="VOF62" s="975"/>
      <c r="VOG62" s="975"/>
      <c r="VOH62" s="975"/>
      <c r="VOI62" s="975"/>
      <c r="VOJ62" s="975"/>
      <c r="VOK62" s="975"/>
      <c r="VOL62" s="975"/>
      <c r="VOM62" s="975"/>
      <c r="VON62" s="975"/>
      <c r="VOO62" s="975"/>
      <c r="VOP62" s="975"/>
      <c r="VOQ62" s="975"/>
      <c r="VOR62" s="975"/>
      <c r="VOS62" s="975"/>
      <c r="VOT62" s="975"/>
      <c r="VOU62" s="975"/>
      <c r="VOV62" s="975"/>
      <c r="VOW62" s="975"/>
      <c r="VOX62" s="975"/>
      <c r="VOY62" s="975"/>
      <c r="VOZ62" s="975"/>
      <c r="VPA62" s="975"/>
      <c r="VPB62" s="975"/>
      <c r="VPC62" s="975"/>
      <c r="VPD62" s="975"/>
      <c r="VPE62" s="975"/>
      <c r="VPF62" s="975"/>
      <c r="VPG62" s="975"/>
      <c r="VPH62" s="975"/>
      <c r="VPI62" s="975"/>
      <c r="VPJ62" s="975"/>
      <c r="VPK62" s="975"/>
      <c r="VPL62" s="975"/>
      <c r="VPM62" s="975"/>
      <c r="VPN62" s="975"/>
      <c r="VPO62" s="975"/>
      <c r="VPP62" s="975"/>
      <c r="VPQ62" s="975"/>
      <c r="VPR62" s="975"/>
      <c r="VPS62" s="975"/>
      <c r="VPT62" s="975"/>
      <c r="VPU62" s="975"/>
      <c r="VPV62" s="975"/>
      <c r="VPW62" s="975"/>
      <c r="VPX62" s="975"/>
      <c r="VPY62" s="975"/>
      <c r="VPZ62" s="975"/>
      <c r="VQA62" s="975"/>
      <c r="VQB62" s="975"/>
      <c r="VQC62" s="975"/>
      <c r="VQD62" s="975"/>
      <c r="VQE62" s="975"/>
      <c r="VQF62" s="975"/>
      <c r="VQG62" s="975"/>
      <c r="VQH62" s="975"/>
      <c r="VQI62" s="975"/>
      <c r="VQJ62" s="975"/>
      <c r="VQK62" s="975"/>
      <c r="VQL62" s="975"/>
      <c r="VQM62" s="975"/>
      <c r="VQN62" s="975"/>
      <c r="VQO62" s="975"/>
      <c r="VQP62" s="975"/>
      <c r="VQQ62" s="975"/>
      <c r="VQR62" s="975"/>
      <c r="VQS62" s="975"/>
      <c r="VQT62" s="975"/>
      <c r="VQU62" s="975"/>
      <c r="VQV62" s="975"/>
      <c r="VQW62" s="975"/>
      <c r="VQX62" s="975"/>
      <c r="VQY62" s="975"/>
      <c r="VQZ62" s="975"/>
      <c r="VRA62" s="975"/>
      <c r="VRB62" s="975"/>
      <c r="VRC62" s="975"/>
      <c r="VRD62" s="975"/>
      <c r="VRE62" s="975"/>
      <c r="VRF62" s="975"/>
      <c r="VRG62" s="975"/>
      <c r="VRH62" s="975"/>
      <c r="VRI62" s="975"/>
      <c r="VRJ62" s="975"/>
      <c r="VRK62" s="975"/>
      <c r="VRL62" s="975"/>
      <c r="VRM62" s="975"/>
      <c r="VRN62" s="975"/>
      <c r="VRO62" s="975"/>
      <c r="VRP62" s="975"/>
      <c r="VRQ62" s="975"/>
      <c r="VRR62" s="975"/>
      <c r="VRS62" s="975"/>
      <c r="VRT62" s="975"/>
      <c r="VRU62" s="975"/>
      <c r="VRV62" s="975"/>
      <c r="VRW62" s="975"/>
      <c r="VRX62" s="975"/>
      <c r="VRY62" s="975"/>
      <c r="VRZ62" s="975"/>
      <c r="VSA62" s="975"/>
      <c r="VSB62" s="975"/>
      <c r="VSC62" s="975"/>
      <c r="VSD62" s="975"/>
      <c r="VSE62" s="975"/>
      <c r="VSF62" s="975"/>
      <c r="VSG62" s="975"/>
      <c r="VSH62" s="975"/>
      <c r="VSI62" s="975"/>
      <c r="VSJ62" s="975"/>
      <c r="VSK62" s="975"/>
      <c r="VSL62" s="975"/>
      <c r="VSM62" s="975"/>
      <c r="VSN62" s="975"/>
      <c r="VSO62" s="975"/>
      <c r="VSP62" s="975"/>
      <c r="VSQ62" s="975"/>
      <c r="VSR62" s="975"/>
      <c r="VSS62" s="975"/>
      <c r="VST62" s="975"/>
      <c r="VSU62" s="975"/>
      <c r="VSV62" s="975"/>
      <c r="VSW62" s="975"/>
      <c r="VSX62" s="975"/>
      <c r="VSY62" s="975"/>
      <c r="VSZ62" s="975"/>
      <c r="VTA62" s="975"/>
      <c r="VTB62" s="975"/>
      <c r="VTC62" s="975"/>
      <c r="VTD62" s="975"/>
      <c r="VTE62" s="975"/>
      <c r="VTF62" s="975"/>
      <c r="VTG62" s="975"/>
      <c r="VTH62" s="975"/>
      <c r="VTI62" s="975"/>
      <c r="VTJ62" s="975"/>
      <c r="VTK62" s="975"/>
      <c r="VTL62" s="975"/>
      <c r="VTM62" s="975"/>
      <c r="VTN62" s="975"/>
      <c r="VTO62" s="975"/>
      <c r="VTP62" s="975"/>
      <c r="VTQ62" s="975"/>
      <c r="VTR62" s="975"/>
      <c r="VTS62" s="975"/>
      <c r="VTT62" s="975"/>
      <c r="VTU62" s="975"/>
      <c r="VTV62" s="975"/>
      <c r="VTW62" s="975"/>
      <c r="VTX62" s="975"/>
      <c r="VTY62" s="975"/>
      <c r="VTZ62" s="975"/>
      <c r="VUA62" s="975"/>
      <c r="VUB62" s="975"/>
      <c r="VUC62" s="975"/>
      <c r="VUD62" s="975"/>
      <c r="VUE62" s="975"/>
      <c r="VUF62" s="975"/>
      <c r="VUG62" s="975"/>
      <c r="VUH62" s="975"/>
      <c r="VUI62" s="975"/>
      <c r="VUJ62" s="975"/>
      <c r="VUK62" s="975"/>
      <c r="VUL62" s="975"/>
      <c r="VUM62" s="975"/>
      <c r="VUN62" s="975"/>
      <c r="VUO62" s="975"/>
      <c r="VUP62" s="975"/>
      <c r="VUQ62" s="975"/>
      <c r="VUR62" s="975"/>
      <c r="VUS62" s="975"/>
      <c r="VUT62" s="975"/>
      <c r="VUU62" s="975"/>
      <c r="VUV62" s="975"/>
      <c r="VUW62" s="975"/>
      <c r="VUX62" s="975"/>
      <c r="VUY62" s="975"/>
      <c r="VUZ62" s="975"/>
      <c r="VVA62" s="975"/>
      <c r="VVB62" s="975"/>
      <c r="VVC62" s="975"/>
      <c r="VVD62" s="975"/>
      <c r="VVE62" s="975"/>
      <c r="VVF62" s="975"/>
      <c r="VVG62" s="975"/>
      <c r="VVH62" s="975"/>
      <c r="VVI62" s="975"/>
      <c r="VVJ62" s="975"/>
      <c r="VVK62" s="975"/>
      <c r="VVL62" s="975"/>
      <c r="VVM62" s="975"/>
      <c r="VVN62" s="975"/>
      <c r="VVO62" s="975"/>
      <c r="VVP62" s="975"/>
      <c r="VVQ62" s="975"/>
      <c r="VVR62" s="975"/>
      <c r="VVS62" s="975"/>
      <c r="VVT62" s="975"/>
      <c r="VVU62" s="975"/>
      <c r="VVV62" s="975"/>
      <c r="VVW62" s="975"/>
      <c r="VVX62" s="975"/>
      <c r="VVY62" s="975"/>
      <c r="VVZ62" s="975"/>
      <c r="VWA62" s="975"/>
      <c r="VWB62" s="975"/>
      <c r="VWC62" s="975"/>
      <c r="VWD62" s="975"/>
      <c r="VWE62" s="975"/>
      <c r="VWF62" s="975"/>
      <c r="VWG62" s="975"/>
      <c r="VWH62" s="975"/>
      <c r="VWI62" s="975"/>
      <c r="VWJ62" s="975"/>
      <c r="VWK62" s="975"/>
      <c r="VWL62" s="975"/>
      <c r="VWM62" s="975"/>
      <c r="VWN62" s="975"/>
      <c r="VWO62" s="975"/>
      <c r="VWP62" s="975"/>
      <c r="VWQ62" s="975"/>
      <c r="VWR62" s="975"/>
      <c r="VWS62" s="975"/>
      <c r="VWT62" s="975"/>
      <c r="VWU62" s="975"/>
      <c r="VWV62" s="975"/>
      <c r="VWW62" s="975"/>
      <c r="VWX62" s="975"/>
      <c r="VWY62" s="975"/>
      <c r="VWZ62" s="975"/>
      <c r="VXA62" s="975"/>
      <c r="VXB62" s="975"/>
      <c r="VXC62" s="975"/>
      <c r="VXD62" s="975"/>
      <c r="VXE62" s="975"/>
      <c r="VXF62" s="975"/>
      <c r="VXG62" s="975"/>
      <c r="VXH62" s="975"/>
      <c r="VXI62" s="975"/>
      <c r="VXJ62" s="975"/>
      <c r="VXK62" s="975"/>
      <c r="VXL62" s="975"/>
      <c r="VXM62" s="975"/>
      <c r="VXN62" s="975"/>
      <c r="VXO62" s="975"/>
      <c r="VXP62" s="975"/>
      <c r="VXQ62" s="975"/>
      <c r="VXR62" s="975"/>
      <c r="VXS62" s="975"/>
      <c r="VXT62" s="975"/>
      <c r="VXU62" s="975"/>
      <c r="VXV62" s="975"/>
      <c r="VXW62" s="975"/>
      <c r="VXX62" s="975"/>
      <c r="VXY62" s="975"/>
      <c r="VXZ62" s="975"/>
      <c r="VYA62" s="975"/>
      <c r="VYB62" s="975"/>
      <c r="VYC62" s="975"/>
      <c r="VYD62" s="975"/>
      <c r="VYE62" s="975"/>
      <c r="VYF62" s="975"/>
      <c r="VYG62" s="975"/>
      <c r="VYH62" s="975"/>
      <c r="VYI62" s="975"/>
      <c r="VYJ62" s="975"/>
      <c r="VYK62" s="975"/>
      <c r="VYL62" s="975"/>
      <c r="VYM62" s="975"/>
      <c r="VYN62" s="975"/>
      <c r="VYO62" s="975"/>
      <c r="VYP62" s="975"/>
      <c r="VYQ62" s="975"/>
      <c r="VYR62" s="975"/>
      <c r="VYS62" s="975"/>
      <c r="VYT62" s="975"/>
      <c r="VYU62" s="975"/>
      <c r="VYV62" s="975"/>
      <c r="VYW62" s="975"/>
      <c r="VYX62" s="975"/>
      <c r="VYY62" s="975"/>
      <c r="VYZ62" s="975"/>
      <c r="VZA62" s="975"/>
      <c r="VZB62" s="975"/>
      <c r="VZC62" s="975"/>
      <c r="VZD62" s="975"/>
      <c r="VZE62" s="975"/>
      <c r="VZF62" s="975"/>
      <c r="VZG62" s="975"/>
      <c r="VZH62" s="975"/>
      <c r="VZI62" s="975"/>
      <c r="VZJ62" s="975"/>
      <c r="VZK62" s="975"/>
      <c r="VZL62" s="975"/>
      <c r="VZM62" s="975"/>
      <c r="VZN62" s="975"/>
      <c r="VZO62" s="975"/>
      <c r="VZP62" s="975"/>
      <c r="VZQ62" s="975"/>
      <c r="VZR62" s="975"/>
      <c r="VZS62" s="975"/>
      <c r="VZT62" s="975"/>
      <c r="VZU62" s="975"/>
      <c r="VZV62" s="975"/>
      <c r="VZW62" s="975"/>
      <c r="VZX62" s="975"/>
      <c r="VZY62" s="975"/>
      <c r="VZZ62" s="975"/>
      <c r="WAA62" s="975"/>
      <c r="WAB62" s="975"/>
      <c r="WAC62" s="975"/>
      <c r="WAD62" s="975"/>
      <c r="WAE62" s="975"/>
      <c r="WAF62" s="975"/>
      <c r="WAG62" s="975"/>
      <c r="WAH62" s="975"/>
      <c r="WAI62" s="975"/>
      <c r="WAJ62" s="975"/>
      <c r="WAK62" s="975"/>
      <c r="WAL62" s="975"/>
      <c r="WAM62" s="975"/>
      <c r="WAN62" s="975"/>
      <c r="WAO62" s="975"/>
      <c r="WAP62" s="975"/>
      <c r="WAQ62" s="975"/>
      <c r="WAR62" s="975"/>
      <c r="WAS62" s="975"/>
      <c r="WAT62" s="975"/>
      <c r="WAU62" s="975"/>
      <c r="WAV62" s="975"/>
      <c r="WAW62" s="975"/>
      <c r="WAX62" s="975"/>
      <c r="WAY62" s="975"/>
      <c r="WAZ62" s="975"/>
      <c r="WBA62" s="975"/>
      <c r="WBB62" s="975"/>
      <c r="WBC62" s="975"/>
      <c r="WBD62" s="975"/>
      <c r="WBE62" s="975"/>
      <c r="WBF62" s="975"/>
      <c r="WBG62" s="975"/>
      <c r="WBH62" s="975"/>
      <c r="WBI62" s="975"/>
      <c r="WBJ62" s="975"/>
      <c r="WBK62" s="975"/>
      <c r="WBL62" s="975"/>
      <c r="WBM62" s="975"/>
      <c r="WBN62" s="975"/>
      <c r="WBO62" s="975"/>
      <c r="WBP62" s="975"/>
      <c r="WBQ62" s="975"/>
      <c r="WBR62" s="975"/>
      <c r="WBS62" s="975"/>
      <c r="WBT62" s="975"/>
      <c r="WBU62" s="975"/>
      <c r="WBV62" s="975"/>
      <c r="WBW62" s="975"/>
      <c r="WBX62" s="975"/>
      <c r="WBY62" s="975"/>
      <c r="WBZ62" s="975"/>
      <c r="WCA62" s="975"/>
      <c r="WCB62" s="975"/>
      <c r="WCC62" s="975"/>
      <c r="WCD62" s="975"/>
      <c r="WCE62" s="975"/>
      <c r="WCF62" s="975"/>
      <c r="WCG62" s="975"/>
      <c r="WCH62" s="975"/>
      <c r="WCI62" s="975"/>
      <c r="WCJ62" s="975"/>
      <c r="WCK62" s="975"/>
      <c r="WCL62" s="975"/>
      <c r="WCM62" s="975"/>
      <c r="WCN62" s="975"/>
      <c r="WCO62" s="975"/>
      <c r="WCP62" s="975"/>
      <c r="WCQ62" s="975"/>
      <c r="WCR62" s="975"/>
      <c r="WCS62" s="975"/>
      <c r="WCT62" s="975"/>
      <c r="WCU62" s="975"/>
      <c r="WCV62" s="975"/>
      <c r="WCW62" s="975"/>
      <c r="WCX62" s="975"/>
      <c r="WCY62" s="975"/>
      <c r="WCZ62" s="975"/>
      <c r="WDA62" s="975"/>
      <c r="WDB62" s="975"/>
      <c r="WDC62" s="975"/>
      <c r="WDD62" s="975"/>
      <c r="WDE62" s="975"/>
      <c r="WDF62" s="975"/>
      <c r="WDG62" s="975"/>
      <c r="WDH62" s="975"/>
      <c r="WDI62" s="975"/>
      <c r="WDJ62" s="975"/>
      <c r="WDK62" s="975"/>
      <c r="WDL62" s="975"/>
      <c r="WDM62" s="975"/>
      <c r="WDN62" s="975"/>
      <c r="WDO62" s="975"/>
      <c r="WDP62" s="975"/>
      <c r="WDQ62" s="975"/>
      <c r="WDR62" s="975"/>
      <c r="WDS62" s="975"/>
      <c r="WDT62" s="975"/>
      <c r="WDU62" s="975"/>
      <c r="WDV62" s="975"/>
      <c r="WDW62" s="975"/>
      <c r="WDX62" s="975"/>
      <c r="WDY62" s="975"/>
      <c r="WDZ62" s="975"/>
      <c r="WEA62" s="975"/>
      <c r="WEB62" s="975"/>
      <c r="WEC62" s="975"/>
      <c r="WED62" s="975"/>
      <c r="WEE62" s="975"/>
      <c r="WEF62" s="975"/>
      <c r="WEG62" s="975"/>
      <c r="WEH62" s="975"/>
      <c r="WEI62" s="975"/>
      <c r="WEJ62" s="975"/>
      <c r="WEK62" s="975"/>
      <c r="WEL62" s="975"/>
      <c r="WEM62" s="975"/>
      <c r="WEN62" s="975"/>
      <c r="WEO62" s="975"/>
      <c r="WEP62" s="975"/>
      <c r="WEQ62" s="975"/>
      <c r="WER62" s="975"/>
      <c r="WES62" s="975"/>
      <c r="WET62" s="975"/>
      <c r="WEU62" s="975"/>
      <c r="WEV62" s="975"/>
      <c r="WEW62" s="975"/>
      <c r="WEX62" s="975"/>
      <c r="WEY62" s="975"/>
      <c r="WEZ62" s="975"/>
      <c r="WFA62" s="975"/>
      <c r="WFB62" s="975"/>
      <c r="WFC62" s="975"/>
      <c r="WFD62" s="975"/>
      <c r="WFE62" s="975"/>
      <c r="WFF62" s="975"/>
      <c r="WFG62" s="975"/>
      <c r="WFH62" s="975"/>
      <c r="WFI62" s="975"/>
      <c r="WFJ62" s="975"/>
      <c r="WFK62" s="975"/>
      <c r="WFL62" s="975"/>
      <c r="WFM62" s="975"/>
      <c r="WFN62" s="975"/>
      <c r="WFO62" s="975"/>
      <c r="WFP62" s="975"/>
      <c r="WFQ62" s="975"/>
      <c r="WFR62" s="975"/>
      <c r="WFS62" s="975"/>
      <c r="WFT62" s="975"/>
      <c r="WFU62" s="975"/>
      <c r="WFV62" s="975"/>
      <c r="WFW62" s="975"/>
      <c r="WFX62" s="975"/>
      <c r="WFY62" s="975"/>
      <c r="WFZ62" s="975"/>
      <c r="WGA62" s="975"/>
      <c r="WGB62" s="975"/>
      <c r="WGC62" s="975"/>
      <c r="WGD62" s="975"/>
      <c r="WGE62" s="975"/>
      <c r="WGF62" s="975"/>
      <c r="WGG62" s="975"/>
      <c r="WGH62" s="975"/>
      <c r="WGI62" s="975"/>
      <c r="WGJ62" s="975"/>
      <c r="WGK62" s="975"/>
      <c r="WGL62" s="975"/>
      <c r="WGM62" s="975"/>
      <c r="WGN62" s="975"/>
      <c r="WGO62" s="975"/>
      <c r="WGP62" s="975"/>
      <c r="WGQ62" s="975"/>
      <c r="WGR62" s="975"/>
      <c r="WGS62" s="975"/>
      <c r="WGT62" s="975"/>
      <c r="WGU62" s="975"/>
      <c r="WGV62" s="975"/>
      <c r="WGW62" s="975"/>
      <c r="WGX62" s="975"/>
      <c r="WGY62" s="975"/>
      <c r="WGZ62" s="975"/>
      <c r="WHA62" s="975"/>
      <c r="WHB62" s="975"/>
      <c r="WHC62" s="975"/>
      <c r="WHD62" s="975"/>
      <c r="WHE62" s="975"/>
      <c r="WHF62" s="975"/>
      <c r="WHG62" s="975"/>
      <c r="WHH62" s="975"/>
      <c r="WHI62" s="975"/>
      <c r="WHJ62" s="975"/>
      <c r="WHK62" s="975"/>
      <c r="WHL62" s="975"/>
      <c r="WHM62" s="975"/>
      <c r="WHN62" s="975"/>
      <c r="WHO62" s="975"/>
      <c r="WHP62" s="975"/>
      <c r="WHQ62" s="975"/>
      <c r="WHR62" s="975"/>
      <c r="WHS62" s="975"/>
      <c r="WHT62" s="975"/>
      <c r="WHU62" s="975"/>
      <c r="WHV62" s="975"/>
      <c r="WHW62" s="975"/>
      <c r="WHX62" s="975"/>
      <c r="WHY62" s="975"/>
      <c r="WHZ62" s="975"/>
      <c r="WIA62" s="975"/>
      <c r="WIB62" s="975"/>
      <c r="WIC62" s="975"/>
      <c r="WID62" s="975"/>
      <c r="WIE62" s="975"/>
      <c r="WIF62" s="975"/>
      <c r="WIG62" s="975"/>
      <c r="WIH62" s="975"/>
      <c r="WII62" s="975"/>
      <c r="WIJ62" s="975"/>
      <c r="WIK62" s="975"/>
      <c r="WIL62" s="975"/>
      <c r="WIM62" s="975"/>
      <c r="WIN62" s="975"/>
      <c r="WIO62" s="975"/>
      <c r="WIP62" s="975"/>
      <c r="WIQ62" s="975"/>
      <c r="WIR62" s="975"/>
      <c r="WIS62" s="975"/>
      <c r="WIT62" s="975"/>
      <c r="WIU62" s="975"/>
      <c r="WIV62" s="975"/>
      <c r="WIW62" s="975"/>
      <c r="WIX62" s="975"/>
      <c r="WIY62" s="975"/>
      <c r="WIZ62" s="975"/>
      <c r="WJA62" s="975"/>
      <c r="WJB62" s="975"/>
      <c r="WJC62" s="975"/>
      <c r="WJD62" s="975"/>
      <c r="WJE62" s="975"/>
      <c r="WJF62" s="975"/>
      <c r="WJG62" s="975"/>
      <c r="WJH62" s="975"/>
      <c r="WJI62" s="975"/>
      <c r="WJJ62" s="975"/>
      <c r="WJK62" s="975"/>
      <c r="WJL62" s="975"/>
      <c r="WJM62" s="975"/>
      <c r="WJN62" s="975"/>
      <c r="WJO62" s="975"/>
      <c r="WJP62" s="975"/>
      <c r="WJQ62" s="975"/>
      <c r="WJR62" s="975"/>
      <c r="WJS62" s="975"/>
      <c r="WJT62" s="975"/>
      <c r="WJU62" s="975"/>
      <c r="WJV62" s="975"/>
      <c r="WJW62" s="975"/>
      <c r="WJX62" s="975"/>
      <c r="WJY62" s="975"/>
      <c r="WJZ62" s="975"/>
      <c r="WKA62" s="975"/>
      <c r="WKB62" s="975"/>
      <c r="WKC62" s="975"/>
      <c r="WKD62" s="975"/>
      <c r="WKE62" s="975"/>
      <c r="WKF62" s="975"/>
      <c r="WKG62" s="975"/>
      <c r="WKH62" s="975"/>
      <c r="WKI62" s="975"/>
      <c r="WKJ62" s="975"/>
      <c r="WKK62" s="975"/>
      <c r="WKL62" s="975"/>
      <c r="WKM62" s="975"/>
      <c r="WKN62" s="975"/>
      <c r="WKO62" s="975"/>
      <c r="WKP62" s="975"/>
      <c r="WKQ62" s="975"/>
      <c r="WKR62" s="975"/>
      <c r="WKS62" s="975"/>
      <c r="WKT62" s="975"/>
      <c r="WKU62" s="975"/>
      <c r="WKV62" s="975"/>
      <c r="WKW62" s="975"/>
      <c r="WKX62" s="975"/>
      <c r="WKY62" s="975"/>
      <c r="WKZ62" s="975"/>
      <c r="WLA62" s="975"/>
      <c r="WLB62" s="975"/>
      <c r="WLC62" s="975"/>
      <c r="WLD62" s="975"/>
      <c r="WLE62" s="975"/>
      <c r="WLF62" s="975"/>
      <c r="WLG62" s="975"/>
      <c r="WLH62" s="975"/>
      <c r="WLI62" s="975"/>
      <c r="WLJ62" s="975"/>
      <c r="WLK62" s="975"/>
      <c r="WLL62" s="975"/>
      <c r="WLM62" s="975"/>
      <c r="WLN62" s="975"/>
      <c r="WLO62" s="975"/>
      <c r="WLP62" s="975"/>
      <c r="WLQ62" s="975"/>
      <c r="WLR62" s="975"/>
      <c r="WLS62" s="975"/>
      <c r="WLT62" s="975"/>
      <c r="WLU62" s="975"/>
      <c r="WLV62" s="975"/>
      <c r="WLW62" s="975"/>
      <c r="WLX62" s="975"/>
      <c r="WLY62" s="975"/>
      <c r="WLZ62" s="975"/>
      <c r="WMA62" s="975"/>
      <c r="WMB62" s="975"/>
      <c r="WMC62" s="975"/>
      <c r="WMD62" s="975"/>
      <c r="WME62" s="975"/>
      <c r="WMF62" s="975"/>
      <c r="WMG62" s="975"/>
      <c r="WMH62" s="975"/>
      <c r="WMI62" s="975"/>
      <c r="WMJ62" s="975"/>
      <c r="WMK62" s="975"/>
      <c r="WML62" s="975"/>
      <c r="WMM62" s="975"/>
      <c r="WMN62" s="975"/>
      <c r="WMO62" s="975"/>
      <c r="WMP62" s="975"/>
      <c r="WMQ62" s="975"/>
      <c r="WMR62" s="975"/>
      <c r="WMS62" s="975"/>
      <c r="WMT62" s="975"/>
      <c r="WMU62" s="975"/>
      <c r="WMV62" s="975"/>
      <c r="WMW62" s="975"/>
      <c r="WMX62" s="975"/>
      <c r="WMY62" s="975"/>
      <c r="WMZ62" s="975"/>
      <c r="WNA62" s="975"/>
      <c r="WNB62" s="975"/>
      <c r="WNC62" s="975"/>
      <c r="WND62" s="975"/>
      <c r="WNE62" s="975"/>
      <c r="WNF62" s="975"/>
      <c r="WNG62" s="975"/>
      <c r="WNH62" s="975"/>
      <c r="WNI62" s="975"/>
      <c r="WNJ62" s="975"/>
      <c r="WNK62" s="975"/>
      <c r="WNL62" s="975"/>
      <c r="WNM62" s="975"/>
      <c r="WNN62" s="975"/>
      <c r="WNO62" s="975"/>
      <c r="WNP62" s="975"/>
      <c r="WNQ62" s="975"/>
      <c r="WNR62" s="975"/>
      <c r="WNS62" s="975"/>
      <c r="WNT62" s="975"/>
      <c r="WNU62" s="975"/>
      <c r="WNV62" s="975"/>
      <c r="WNW62" s="975"/>
      <c r="WNX62" s="975"/>
      <c r="WNY62" s="975"/>
      <c r="WNZ62" s="975"/>
      <c r="WOA62" s="975"/>
      <c r="WOB62" s="975"/>
      <c r="WOC62" s="975"/>
      <c r="WOD62" s="975"/>
      <c r="WOE62" s="975"/>
      <c r="WOF62" s="975"/>
      <c r="WOG62" s="975"/>
      <c r="WOH62" s="975"/>
      <c r="WOI62" s="975"/>
      <c r="WOJ62" s="975"/>
      <c r="WOK62" s="975"/>
      <c r="WOL62" s="975"/>
      <c r="WOM62" s="975"/>
      <c r="WON62" s="975"/>
      <c r="WOO62" s="975"/>
      <c r="WOP62" s="975"/>
      <c r="WOQ62" s="975"/>
      <c r="WOR62" s="975"/>
      <c r="WOS62" s="975"/>
      <c r="WOT62" s="975"/>
      <c r="WOU62" s="975"/>
      <c r="WOV62" s="975"/>
      <c r="WOW62" s="975"/>
      <c r="WOX62" s="975"/>
      <c r="WOY62" s="975"/>
      <c r="WOZ62" s="975"/>
      <c r="WPA62" s="975"/>
      <c r="WPB62" s="975"/>
      <c r="WPC62" s="975"/>
      <c r="WPD62" s="975"/>
      <c r="WPE62" s="975"/>
      <c r="WPF62" s="975"/>
      <c r="WPG62" s="975"/>
      <c r="WPH62" s="975"/>
      <c r="WPI62" s="975"/>
      <c r="WPJ62" s="975"/>
      <c r="WPK62" s="975"/>
      <c r="WPL62" s="975"/>
      <c r="WPM62" s="975"/>
      <c r="WPN62" s="975"/>
      <c r="WPO62" s="975"/>
      <c r="WPP62" s="975"/>
      <c r="WPQ62" s="975"/>
      <c r="WPR62" s="975"/>
      <c r="WPS62" s="975"/>
      <c r="WPT62" s="975"/>
      <c r="WPU62" s="975"/>
      <c r="WPV62" s="975"/>
      <c r="WPW62" s="975"/>
      <c r="WPX62" s="975"/>
      <c r="WPY62" s="975"/>
      <c r="WPZ62" s="975"/>
      <c r="WQA62" s="975"/>
      <c r="WQB62" s="975"/>
      <c r="WQC62" s="975"/>
      <c r="WQD62" s="975"/>
      <c r="WQE62" s="975"/>
      <c r="WQF62" s="975"/>
      <c r="WQG62" s="975"/>
      <c r="WQH62" s="975"/>
      <c r="WQI62" s="975"/>
      <c r="WQJ62" s="975"/>
      <c r="WQK62" s="975"/>
      <c r="WQL62" s="975"/>
      <c r="WQM62" s="975"/>
      <c r="WQN62" s="975"/>
      <c r="WQO62" s="975"/>
      <c r="WQP62" s="975"/>
      <c r="WQQ62" s="975"/>
      <c r="WQR62" s="975"/>
      <c r="WQS62" s="975"/>
      <c r="WQT62" s="975"/>
      <c r="WQU62" s="975"/>
      <c r="WQV62" s="975"/>
      <c r="WQW62" s="975"/>
      <c r="WQX62" s="975"/>
      <c r="WQY62" s="975"/>
      <c r="WQZ62" s="975"/>
      <c r="WRA62" s="975"/>
      <c r="WRB62" s="975"/>
      <c r="WRC62" s="975"/>
      <c r="WRD62" s="975"/>
      <c r="WRE62" s="975"/>
      <c r="WRF62" s="975"/>
      <c r="WRG62" s="975"/>
      <c r="WRH62" s="975"/>
      <c r="WRI62" s="975"/>
      <c r="WRJ62" s="975"/>
      <c r="WRK62" s="975"/>
      <c r="WRL62" s="975"/>
      <c r="WRM62" s="975"/>
      <c r="WRN62" s="975"/>
      <c r="WRO62" s="975"/>
      <c r="WRP62" s="975"/>
      <c r="WRQ62" s="975"/>
      <c r="WRR62" s="975"/>
      <c r="WRS62" s="975"/>
      <c r="WRT62" s="975"/>
      <c r="WRU62" s="975"/>
      <c r="WRV62" s="975"/>
      <c r="WRW62" s="975"/>
      <c r="WRX62" s="975"/>
      <c r="WRY62" s="975"/>
      <c r="WRZ62" s="975"/>
      <c r="WSA62" s="975"/>
      <c r="WSB62" s="975"/>
      <c r="WSC62" s="975"/>
      <c r="WSD62" s="975"/>
      <c r="WSE62" s="975"/>
      <c r="WSF62" s="975"/>
      <c r="WSG62" s="975"/>
      <c r="WSH62" s="975"/>
      <c r="WSI62" s="975"/>
      <c r="WSJ62" s="975"/>
      <c r="WSK62" s="975"/>
      <c r="WSL62" s="975"/>
      <c r="WSM62" s="975"/>
      <c r="WSN62" s="975"/>
      <c r="WSO62" s="975"/>
      <c r="WSP62" s="975"/>
      <c r="WSQ62" s="975"/>
      <c r="WSR62" s="975"/>
      <c r="WSS62" s="975"/>
      <c r="WST62" s="975"/>
      <c r="WSU62" s="975"/>
      <c r="WSV62" s="975"/>
      <c r="WSW62" s="975"/>
      <c r="WSX62" s="975"/>
      <c r="WSY62" s="975"/>
      <c r="WSZ62" s="975"/>
      <c r="WTA62" s="975"/>
      <c r="WTB62" s="975"/>
      <c r="WTC62" s="975"/>
      <c r="WTD62" s="975"/>
      <c r="WTE62" s="975"/>
      <c r="WTF62" s="975"/>
      <c r="WTG62" s="975"/>
      <c r="WTH62" s="975"/>
      <c r="WTI62" s="975"/>
      <c r="WTJ62" s="975"/>
      <c r="WTK62" s="975"/>
      <c r="WTL62" s="975"/>
      <c r="WTM62" s="975"/>
      <c r="WTN62" s="975"/>
      <c r="WTO62" s="975"/>
      <c r="WTP62" s="975"/>
      <c r="WTQ62" s="975"/>
      <c r="WTR62" s="975"/>
      <c r="WTS62" s="975"/>
      <c r="WTT62" s="975"/>
      <c r="WTU62" s="975"/>
      <c r="WTV62" s="975"/>
      <c r="WTW62" s="975"/>
      <c r="WTX62" s="975"/>
      <c r="WTY62" s="975"/>
      <c r="WTZ62" s="975"/>
      <c r="WUA62" s="975"/>
      <c r="WUB62" s="975"/>
      <c r="WUC62" s="975"/>
      <c r="WUD62" s="975"/>
      <c r="WUE62" s="975"/>
      <c r="WUF62" s="975"/>
      <c r="WUG62" s="975"/>
      <c r="WUH62" s="975"/>
      <c r="WUI62" s="975"/>
      <c r="WUJ62" s="975"/>
      <c r="WUK62" s="975"/>
      <c r="WUL62" s="975"/>
      <c r="WUM62" s="975"/>
      <c r="WUN62" s="975"/>
      <c r="WUO62" s="975"/>
      <c r="WUP62" s="975"/>
      <c r="WUQ62" s="975"/>
      <c r="WUR62" s="975"/>
      <c r="WUS62" s="975"/>
      <c r="WUT62" s="975"/>
      <c r="WUU62" s="975"/>
      <c r="WUV62" s="975"/>
      <c r="WUW62" s="975"/>
      <c r="WUX62" s="975"/>
      <c r="WUY62" s="975"/>
      <c r="WUZ62" s="975"/>
      <c r="WVA62" s="975"/>
      <c r="WVB62" s="975"/>
      <c r="WVC62" s="975"/>
      <c r="WVD62" s="975"/>
      <c r="WVE62" s="975"/>
      <c r="WVF62" s="975"/>
      <c r="WVG62" s="975"/>
      <c r="WVH62" s="975"/>
      <c r="WVI62" s="975"/>
      <c r="WVJ62" s="975"/>
      <c r="WVK62" s="975"/>
      <c r="WVL62" s="975"/>
      <c r="WVM62" s="975"/>
      <c r="WVN62" s="975"/>
      <c r="WVO62" s="975"/>
      <c r="WVP62" s="975"/>
      <c r="WVQ62" s="975"/>
      <c r="WVR62" s="975"/>
      <c r="WVS62" s="975"/>
      <c r="WVT62" s="975"/>
      <c r="WVU62" s="975"/>
      <c r="WVV62" s="975"/>
      <c r="WVW62" s="975"/>
      <c r="WVX62" s="975"/>
      <c r="WVY62" s="975"/>
      <c r="WVZ62" s="975"/>
      <c r="WWA62" s="975"/>
      <c r="WWB62" s="975"/>
      <c r="WWC62" s="975"/>
      <c r="WWD62" s="975"/>
      <c r="WWE62" s="975"/>
      <c r="WWF62" s="975"/>
      <c r="WWG62" s="975"/>
      <c r="WWH62" s="975"/>
      <c r="WWI62" s="975"/>
      <c r="WWJ62" s="975"/>
      <c r="WWK62" s="975"/>
      <c r="WWL62" s="975"/>
      <c r="WWM62" s="975"/>
      <c r="WWN62" s="975"/>
      <c r="WWO62" s="975"/>
      <c r="WWP62" s="975"/>
      <c r="WWQ62" s="975"/>
      <c r="WWR62" s="975"/>
      <c r="WWS62" s="975"/>
      <c r="WWT62" s="975"/>
      <c r="WWU62" s="975"/>
      <c r="WWV62" s="975"/>
      <c r="WWW62" s="975"/>
      <c r="WWX62" s="975"/>
      <c r="WWY62" s="975"/>
      <c r="WWZ62" s="975"/>
      <c r="WXA62" s="975"/>
      <c r="WXB62" s="975"/>
      <c r="WXC62" s="975"/>
      <c r="WXD62" s="975"/>
      <c r="WXE62" s="975"/>
      <c r="WXF62" s="975"/>
      <c r="WXG62" s="975"/>
      <c r="WXH62" s="975"/>
      <c r="WXI62" s="975"/>
      <c r="WXJ62" s="975"/>
    </row>
    <row r="63" spans="1:16182" s="974" customFormat="1" x14ac:dyDescent="0.35">
      <c r="A63" s="574"/>
      <c r="B63" s="933"/>
      <c r="C63" s="933"/>
      <c r="D63" s="933" t="s">
        <v>521</v>
      </c>
      <c r="E63" s="933"/>
      <c r="F63" s="933"/>
      <c r="G63" s="933"/>
      <c r="H63" s="954">
        <v>14505</v>
      </c>
      <c r="I63" s="954">
        <v>16613</v>
      </c>
      <c r="J63" s="954">
        <v>19164</v>
      </c>
      <c r="K63" s="954">
        <v>19164</v>
      </c>
      <c r="L63" s="954">
        <v>19164</v>
      </c>
      <c r="M63" s="954">
        <v>19164</v>
      </c>
      <c r="N63" s="954">
        <v>19164</v>
      </c>
      <c r="O63" s="954">
        <v>19164</v>
      </c>
      <c r="P63" s="954">
        <v>19164</v>
      </c>
      <c r="Q63" s="954">
        <v>19164</v>
      </c>
      <c r="R63" s="954">
        <v>19164</v>
      </c>
      <c r="S63" s="954">
        <v>19164</v>
      </c>
      <c r="T63" s="954">
        <v>19164</v>
      </c>
      <c r="U63" s="954">
        <v>19164</v>
      </c>
      <c r="V63" s="954">
        <v>19164</v>
      </c>
      <c r="W63" s="954">
        <v>19164</v>
      </c>
      <c r="X63" s="962">
        <v>19846</v>
      </c>
      <c r="Y63" s="962">
        <v>19846</v>
      </c>
      <c r="Z63" s="962">
        <v>19846</v>
      </c>
      <c r="AA63" s="962">
        <v>37846</v>
      </c>
      <c r="AB63" s="962">
        <v>39162</v>
      </c>
      <c r="AC63" s="962">
        <v>39162</v>
      </c>
      <c r="AD63" s="962">
        <v>38480</v>
      </c>
      <c r="AE63" s="962">
        <v>95297.7</v>
      </c>
      <c r="AF63" s="41">
        <v>97795.7</v>
      </c>
      <c r="AG63" s="41">
        <v>97795.7</v>
      </c>
      <c r="AH63" s="41"/>
      <c r="AI63" s="41"/>
      <c r="AJ63" s="41"/>
      <c r="AK63" s="41"/>
      <c r="AL63" s="41"/>
      <c r="AM63" s="41"/>
      <c r="AN63" s="41"/>
      <c r="AO63" s="41"/>
      <c r="AP63" s="41"/>
      <c r="AQ63" s="41"/>
      <c r="AR63" s="41"/>
      <c r="AS63" s="41"/>
      <c r="AT63" s="41"/>
      <c r="AU63" s="41"/>
      <c r="AV63" s="41"/>
      <c r="AW63" s="41"/>
      <c r="AX63" s="41"/>
      <c r="AY63" s="41"/>
      <c r="AZ63" s="41"/>
      <c r="BA63" s="41"/>
      <c r="BB63" s="41"/>
      <c r="BC63" s="41"/>
      <c r="BD63" s="41"/>
      <c r="BE63" s="41"/>
      <c r="BF63" s="41"/>
      <c r="BG63" s="41"/>
      <c r="BH63" s="41"/>
      <c r="BI63" s="41"/>
      <c r="BJ63" s="41"/>
      <c r="BK63" s="41"/>
      <c r="BL63" s="41"/>
      <c r="BM63" s="41"/>
      <c r="BN63" s="41"/>
      <c r="BO63" s="41"/>
      <c r="BP63" s="41"/>
      <c r="BQ63" s="41"/>
      <c r="BR63" s="41"/>
      <c r="BS63" s="41"/>
      <c r="BT63" s="41"/>
      <c r="BU63" s="41"/>
      <c r="BV63" s="41"/>
      <c r="BW63" s="41"/>
      <c r="BX63" s="41"/>
      <c r="BY63" s="41"/>
      <c r="BZ63" s="41"/>
      <c r="CA63" s="41"/>
      <c r="CB63" s="41"/>
      <c r="CC63" s="41"/>
    </row>
    <row r="64" spans="1:16182" s="974" customFormat="1" x14ac:dyDescent="0.35">
      <c r="A64" s="574"/>
      <c r="B64" s="933"/>
      <c r="C64" s="933"/>
      <c r="D64" s="933" t="s">
        <v>716</v>
      </c>
      <c r="E64" s="933"/>
      <c r="F64" s="933"/>
      <c r="G64" s="933"/>
      <c r="H64" s="954">
        <v>2323800</v>
      </c>
      <c r="I64" s="954">
        <v>2323800</v>
      </c>
      <c r="J64" s="954">
        <v>2323800</v>
      </c>
      <c r="K64" s="954">
        <v>2323800</v>
      </c>
      <c r="L64" s="954">
        <v>2323800</v>
      </c>
      <c r="M64" s="954">
        <v>2323800</v>
      </c>
      <c r="N64" s="954">
        <v>2323800</v>
      </c>
      <c r="O64" s="954">
        <v>2323800</v>
      </c>
      <c r="P64" s="954">
        <v>2323800</v>
      </c>
      <c r="Q64" s="954">
        <v>2323800</v>
      </c>
      <c r="R64" s="954">
        <v>2323800</v>
      </c>
      <c r="S64" s="954">
        <v>2323800</v>
      </c>
      <c r="T64" s="954">
        <v>2323800</v>
      </c>
      <c r="U64" s="954"/>
      <c r="V64" s="954"/>
      <c r="W64" s="954"/>
      <c r="X64" s="962"/>
      <c r="Y64" s="962"/>
      <c r="Z64" s="41"/>
      <c r="AA64" s="41"/>
      <c r="AB64" s="41"/>
      <c r="AC64" s="962"/>
      <c r="AD64" s="41"/>
      <c r="AE64" s="41"/>
      <c r="AF64" s="41"/>
      <c r="AG64" s="41"/>
      <c r="AH64" s="41"/>
      <c r="AI64" s="41"/>
      <c r="AJ64" s="41"/>
      <c r="AK64" s="41"/>
      <c r="AL64" s="41"/>
      <c r="AM64" s="41"/>
      <c r="AN64" s="41"/>
      <c r="AO64" s="41"/>
      <c r="AP64" s="41"/>
      <c r="AQ64" s="41"/>
      <c r="AR64" s="41"/>
      <c r="AS64" s="41"/>
      <c r="AT64" s="41"/>
      <c r="AU64" s="41"/>
      <c r="AV64" s="41"/>
      <c r="AW64" s="41"/>
      <c r="AX64" s="41"/>
      <c r="AY64" s="41"/>
      <c r="AZ64" s="41"/>
      <c r="BA64" s="41"/>
      <c r="BB64" s="41"/>
      <c r="BC64" s="41"/>
      <c r="BD64" s="41"/>
      <c r="BE64" s="41"/>
      <c r="BF64" s="41"/>
      <c r="BG64" s="41"/>
      <c r="BH64" s="41"/>
      <c r="BI64" s="41"/>
      <c r="BJ64" s="41"/>
      <c r="BK64" s="41"/>
      <c r="BL64" s="41"/>
      <c r="BM64" s="41"/>
      <c r="BN64" s="41"/>
      <c r="BO64" s="41"/>
      <c r="BP64" s="41"/>
      <c r="BQ64" s="41"/>
      <c r="BR64" s="41"/>
      <c r="BS64" s="41"/>
      <c r="BT64" s="41"/>
      <c r="BU64" s="41"/>
      <c r="BV64" s="41"/>
      <c r="BW64" s="41"/>
      <c r="BX64" s="41"/>
      <c r="BY64" s="41"/>
      <c r="BZ64" s="41"/>
      <c r="CA64" s="41"/>
      <c r="CB64" s="41"/>
      <c r="CC64" s="41"/>
    </row>
    <row r="65" spans="1:16384" s="974" customFormat="1" x14ac:dyDescent="0.35">
      <c r="A65" s="574"/>
      <c r="B65" s="933"/>
      <c r="C65" s="933"/>
      <c r="D65" s="933" t="s">
        <v>522</v>
      </c>
      <c r="E65" s="933"/>
      <c r="F65" s="933"/>
      <c r="G65" s="933"/>
      <c r="H65" s="41"/>
      <c r="I65" s="41"/>
      <c r="J65" s="41"/>
      <c r="K65" s="41"/>
      <c r="L65" s="41"/>
      <c r="M65" s="41"/>
      <c r="N65" s="954"/>
      <c r="O65" s="954"/>
      <c r="P65" s="954"/>
      <c r="Q65" s="954"/>
      <c r="R65" s="954"/>
      <c r="S65" s="954"/>
      <c r="T65" s="954"/>
      <c r="U65" s="954">
        <v>14871038.35</v>
      </c>
      <c r="V65" s="954">
        <v>14871038.35</v>
      </c>
      <c r="W65" s="954">
        <v>14871038.35</v>
      </c>
      <c r="X65" s="954">
        <v>14871038.35</v>
      </c>
      <c r="Y65" s="962">
        <v>14871038.35</v>
      </c>
      <c r="Z65" s="962">
        <v>14871038.35</v>
      </c>
      <c r="AA65" s="41">
        <v>14871038.35</v>
      </c>
      <c r="AB65" s="962">
        <v>14871038.35</v>
      </c>
      <c r="AC65" s="962">
        <v>14871038.35</v>
      </c>
      <c r="AD65" s="962">
        <v>14871038.35</v>
      </c>
      <c r="AE65" s="962">
        <v>14871038.35</v>
      </c>
      <c r="AF65" s="962">
        <v>14871038.35</v>
      </c>
      <c r="AG65" s="962">
        <v>14871038.35</v>
      </c>
      <c r="AH65" s="962">
        <v>14871038.35</v>
      </c>
      <c r="AI65" s="962">
        <v>14871038.35</v>
      </c>
      <c r="AJ65" s="962">
        <v>14871038.35</v>
      </c>
      <c r="AK65" s="962">
        <v>14871038.35</v>
      </c>
      <c r="AL65" s="962">
        <v>14871038.35</v>
      </c>
      <c r="AM65" s="962">
        <v>14871038.35</v>
      </c>
      <c r="AN65" s="962">
        <v>14871038.35</v>
      </c>
      <c r="AO65" s="962">
        <v>14871038.35</v>
      </c>
      <c r="AP65" s="962">
        <v>14871038.35</v>
      </c>
      <c r="AQ65" s="962">
        <v>14871038.35</v>
      </c>
      <c r="AR65" s="962">
        <v>14871038.35</v>
      </c>
      <c r="AS65" s="962">
        <v>14871038.35</v>
      </c>
      <c r="AT65" s="41"/>
      <c r="AU65" s="41"/>
      <c r="AV65" s="41"/>
      <c r="AW65" s="41"/>
      <c r="AX65" s="41"/>
      <c r="AY65" s="41"/>
      <c r="AZ65" s="41"/>
      <c r="BA65" s="41"/>
      <c r="BB65" s="41"/>
      <c r="BC65" s="41"/>
      <c r="BD65" s="41"/>
      <c r="BE65" s="41"/>
      <c r="BF65" s="41"/>
      <c r="BG65" s="41"/>
      <c r="BH65" s="41"/>
      <c r="BI65" s="41"/>
      <c r="BJ65" s="41"/>
      <c r="BK65" s="41"/>
      <c r="BL65" s="41"/>
      <c r="BM65" s="41"/>
      <c r="BN65" s="41"/>
      <c r="BO65" s="41"/>
      <c r="BP65" s="41"/>
      <c r="BQ65" s="41"/>
      <c r="BR65" s="41"/>
      <c r="BS65" s="41"/>
      <c r="BT65" s="41"/>
      <c r="BU65" s="41"/>
      <c r="BV65" s="41"/>
      <c r="BW65" s="41"/>
      <c r="BX65" s="41"/>
      <c r="BY65" s="41"/>
      <c r="BZ65" s="41"/>
      <c r="CA65" s="41"/>
      <c r="CB65" s="41"/>
      <c r="CC65" s="41"/>
    </row>
    <row r="66" spans="1:16384" s="974" customFormat="1" x14ac:dyDescent="0.35">
      <c r="A66" s="574"/>
      <c r="B66" s="933"/>
      <c r="C66" s="933"/>
      <c r="D66" s="933" t="s">
        <v>523</v>
      </c>
      <c r="E66" s="933"/>
      <c r="F66" s="933"/>
      <c r="G66" s="933"/>
      <c r="H66" s="41"/>
      <c r="I66" s="41"/>
      <c r="J66" s="41"/>
      <c r="K66" s="41"/>
      <c r="L66" s="41"/>
      <c r="M66" s="41"/>
      <c r="N66" s="954"/>
      <c r="O66" s="954"/>
      <c r="P66" s="954"/>
      <c r="Q66" s="954"/>
      <c r="R66" s="954"/>
      <c r="S66" s="954"/>
      <c r="T66" s="954"/>
      <c r="U66" s="954">
        <v>358000</v>
      </c>
      <c r="V66" s="954">
        <v>358000</v>
      </c>
      <c r="W66" s="954">
        <v>358000</v>
      </c>
      <c r="X66" s="954">
        <v>358000</v>
      </c>
      <c r="Y66" s="954">
        <v>358000</v>
      </c>
      <c r="Z66" s="962">
        <v>358000</v>
      </c>
      <c r="AA66" s="41">
        <v>358000</v>
      </c>
      <c r="AB66" s="962">
        <v>358000</v>
      </c>
      <c r="AC66" s="962">
        <v>358000</v>
      </c>
      <c r="AD66" s="962">
        <v>358000</v>
      </c>
      <c r="AE66" s="962">
        <v>358000</v>
      </c>
      <c r="AF66" s="962">
        <v>358000</v>
      </c>
      <c r="AG66" s="962">
        <v>358000</v>
      </c>
      <c r="AH66" s="962">
        <v>358000</v>
      </c>
      <c r="AI66" s="962">
        <v>358000</v>
      </c>
      <c r="AJ66" s="962">
        <v>358000</v>
      </c>
      <c r="AK66" s="962">
        <v>358000</v>
      </c>
      <c r="AL66" s="962">
        <v>358000</v>
      </c>
      <c r="AM66" s="962">
        <v>358000</v>
      </c>
      <c r="AN66" s="962">
        <v>358000</v>
      </c>
      <c r="AO66" s="962">
        <v>358000</v>
      </c>
      <c r="AP66" s="962">
        <v>358000</v>
      </c>
      <c r="AQ66" s="962">
        <v>358000</v>
      </c>
      <c r="AR66" s="962">
        <v>358000</v>
      </c>
      <c r="AS66" s="962">
        <v>358000</v>
      </c>
      <c r="AT66" s="41"/>
      <c r="AU66" s="41"/>
      <c r="AV66" s="41"/>
      <c r="AW66" s="41"/>
      <c r="AX66" s="41"/>
      <c r="AY66" s="41"/>
      <c r="AZ66" s="41"/>
      <c r="BA66" s="41"/>
      <c r="BB66" s="41"/>
      <c r="BC66" s="41"/>
      <c r="BD66" s="41"/>
      <c r="BE66" s="41"/>
      <c r="BF66" s="41"/>
      <c r="BG66" s="41"/>
      <c r="BH66" s="41"/>
      <c r="BI66" s="41"/>
      <c r="BJ66" s="41"/>
      <c r="BK66" s="41"/>
      <c r="BL66" s="41"/>
      <c r="BM66" s="41"/>
      <c r="BN66" s="41"/>
      <c r="BO66" s="41"/>
      <c r="BP66" s="41"/>
      <c r="BQ66" s="41"/>
      <c r="BR66" s="41"/>
      <c r="BS66" s="41"/>
      <c r="BT66" s="41"/>
      <c r="BU66" s="41"/>
      <c r="BV66" s="41"/>
      <c r="BW66" s="41"/>
      <c r="BX66" s="41"/>
      <c r="BY66" s="41"/>
      <c r="BZ66" s="41"/>
      <c r="CA66" s="41"/>
      <c r="CB66" s="41"/>
      <c r="CC66" s="41"/>
    </row>
    <row r="67" spans="1:16384" s="974" customFormat="1" x14ac:dyDescent="0.35">
      <c r="A67" s="574"/>
      <c r="B67" s="933"/>
      <c r="C67" s="933"/>
      <c r="D67" s="933" t="s">
        <v>524</v>
      </c>
      <c r="E67" s="933"/>
      <c r="F67" s="933"/>
      <c r="G67" s="933"/>
      <c r="H67" s="41"/>
      <c r="I67" s="41"/>
      <c r="J67" s="41"/>
      <c r="K67" s="41"/>
      <c r="L67" s="41"/>
      <c r="M67" s="41"/>
      <c r="N67" s="954"/>
      <c r="O67" s="954"/>
      <c r="P67" s="954"/>
      <c r="Q67" s="954"/>
      <c r="R67" s="954"/>
      <c r="S67" s="954"/>
      <c r="T67" s="954"/>
      <c r="U67" s="954">
        <v>618000</v>
      </c>
      <c r="V67" s="954">
        <v>618000</v>
      </c>
      <c r="W67" s="954">
        <v>618000</v>
      </c>
      <c r="X67" s="954">
        <v>618000</v>
      </c>
      <c r="Y67" s="954">
        <v>618000</v>
      </c>
      <c r="Z67" s="962">
        <v>618000</v>
      </c>
      <c r="AA67" s="41">
        <v>618000</v>
      </c>
      <c r="AB67" s="962">
        <v>618000</v>
      </c>
      <c r="AC67" s="962">
        <v>618000</v>
      </c>
      <c r="AD67" s="962">
        <v>618000</v>
      </c>
      <c r="AE67" s="962">
        <v>618000</v>
      </c>
      <c r="AF67" s="962">
        <v>618000</v>
      </c>
      <c r="AG67" s="962">
        <v>618000</v>
      </c>
      <c r="AH67" s="962">
        <v>618000</v>
      </c>
      <c r="AI67" s="962">
        <v>618000</v>
      </c>
      <c r="AJ67" s="962">
        <v>618000</v>
      </c>
      <c r="AK67" s="962">
        <v>618000</v>
      </c>
      <c r="AL67" s="962">
        <v>618000</v>
      </c>
      <c r="AM67" s="962">
        <v>618000</v>
      </c>
      <c r="AN67" s="962">
        <v>618000</v>
      </c>
      <c r="AO67" s="962">
        <v>618000</v>
      </c>
      <c r="AP67" s="962">
        <v>618000</v>
      </c>
      <c r="AQ67" s="962">
        <v>618000</v>
      </c>
      <c r="AR67" s="962">
        <v>618000</v>
      </c>
      <c r="AS67" s="962">
        <v>618000</v>
      </c>
      <c r="AT67" s="41"/>
      <c r="AU67" s="41"/>
      <c r="AV67" s="41"/>
      <c r="AW67" s="41"/>
      <c r="AX67" s="41"/>
      <c r="AY67" s="41"/>
      <c r="AZ67" s="41"/>
      <c r="BA67" s="41"/>
      <c r="BB67" s="41"/>
      <c r="BC67" s="41"/>
      <c r="BD67" s="41"/>
      <c r="BE67" s="41"/>
      <c r="BF67" s="41"/>
      <c r="BG67" s="41"/>
      <c r="BH67" s="41"/>
      <c r="BI67" s="41"/>
      <c r="BJ67" s="41"/>
      <c r="BK67" s="41"/>
      <c r="BL67" s="41"/>
      <c r="BM67" s="41"/>
      <c r="BN67" s="41"/>
      <c r="BO67" s="41"/>
      <c r="BP67" s="41"/>
      <c r="BQ67" s="41"/>
      <c r="BR67" s="41"/>
      <c r="BS67" s="41"/>
      <c r="BT67" s="41"/>
      <c r="BU67" s="41"/>
      <c r="BV67" s="41"/>
      <c r="BW67" s="41"/>
      <c r="BX67" s="41"/>
      <c r="BY67" s="41"/>
      <c r="BZ67" s="41"/>
      <c r="CA67" s="41"/>
      <c r="CB67" s="41"/>
      <c r="CC67" s="41"/>
    </row>
    <row r="68" spans="1:16384" s="974" customFormat="1" x14ac:dyDescent="0.35">
      <c r="A68" s="574"/>
      <c r="B68" s="933"/>
      <c r="C68" s="933"/>
      <c r="D68" s="933" t="s">
        <v>525</v>
      </c>
      <c r="E68" s="933"/>
      <c r="F68" s="933"/>
      <c r="G68" s="933"/>
      <c r="H68" s="41"/>
      <c r="I68" s="41"/>
      <c r="J68" s="41"/>
      <c r="K68" s="41"/>
      <c r="L68" s="41"/>
      <c r="M68" s="41"/>
      <c r="N68" s="954"/>
      <c r="O68" s="954"/>
      <c r="P68" s="954"/>
      <c r="Q68" s="954"/>
      <c r="R68" s="954"/>
      <c r="S68" s="954"/>
      <c r="T68" s="954"/>
      <c r="U68" s="954">
        <v>283000</v>
      </c>
      <c r="V68" s="954">
        <v>283000</v>
      </c>
      <c r="W68" s="954">
        <v>283000</v>
      </c>
      <c r="X68" s="954">
        <v>283000</v>
      </c>
      <c r="Y68" s="954">
        <v>283000</v>
      </c>
      <c r="Z68" s="962">
        <v>283000</v>
      </c>
      <c r="AA68" s="41">
        <v>283000</v>
      </c>
      <c r="AB68" s="962">
        <v>283000</v>
      </c>
      <c r="AC68" s="962">
        <v>283000</v>
      </c>
      <c r="AD68" s="962">
        <v>283000</v>
      </c>
      <c r="AE68" s="962">
        <v>283000</v>
      </c>
      <c r="AF68" s="962">
        <v>283000</v>
      </c>
      <c r="AG68" s="962">
        <v>283000</v>
      </c>
      <c r="AH68" s="962">
        <v>283000</v>
      </c>
      <c r="AI68" s="962">
        <v>283000</v>
      </c>
      <c r="AJ68" s="962">
        <v>283000</v>
      </c>
      <c r="AK68" s="962">
        <v>283000</v>
      </c>
      <c r="AL68" s="962">
        <v>283000</v>
      </c>
      <c r="AM68" s="962">
        <v>283000</v>
      </c>
      <c r="AN68" s="962">
        <v>283000</v>
      </c>
      <c r="AO68" s="962">
        <v>283000</v>
      </c>
      <c r="AP68" s="962">
        <v>283000</v>
      </c>
      <c r="AQ68" s="962">
        <v>283000</v>
      </c>
      <c r="AR68" s="962">
        <v>283000</v>
      </c>
      <c r="AS68" s="962">
        <v>283000</v>
      </c>
      <c r="AT68" s="41"/>
      <c r="AU68" s="41"/>
      <c r="AV68" s="41"/>
      <c r="AW68" s="41"/>
      <c r="AX68" s="41"/>
      <c r="AY68" s="41"/>
      <c r="AZ68" s="41"/>
      <c r="BA68" s="41"/>
      <c r="BB68" s="41"/>
      <c r="BC68" s="41"/>
      <c r="BD68" s="41"/>
      <c r="BE68" s="41"/>
      <c r="BF68" s="41"/>
      <c r="BG68" s="41"/>
      <c r="BH68" s="41"/>
      <c r="BI68" s="41"/>
      <c r="BJ68" s="41"/>
      <c r="BK68" s="41"/>
      <c r="BL68" s="41"/>
      <c r="BM68" s="41"/>
      <c r="BN68" s="41"/>
      <c r="BO68" s="41"/>
      <c r="BP68" s="41"/>
      <c r="BQ68" s="41"/>
      <c r="BR68" s="41"/>
      <c r="BS68" s="41"/>
      <c r="BT68" s="41"/>
      <c r="BU68" s="41"/>
      <c r="BV68" s="41"/>
      <c r="BW68" s="41"/>
      <c r="BX68" s="41"/>
      <c r="BY68" s="41"/>
      <c r="BZ68" s="41"/>
      <c r="CA68" s="41"/>
      <c r="CB68" s="41"/>
      <c r="CC68" s="41"/>
    </row>
    <row r="69" spans="1:16384" s="974" customFormat="1" x14ac:dyDescent="0.35">
      <c r="A69" s="574"/>
      <c r="B69" s="933"/>
      <c r="C69" s="933"/>
      <c r="D69" s="933" t="s">
        <v>526</v>
      </c>
      <c r="E69" s="933"/>
      <c r="F69" s="933"/>
      <c r="G69" s="933"/>
      <c r="H69" s="41"/>
      <c r="I69" s="41"/>
      <c r="J69" s="41"/>
      <c r="K69" s="41"/>
      <c r="L69" s="41"/>
      <c r="M69" s="41"/>
      <c r="N69" s="954"/>
      <c r="O69" s="954"/>
      <c r="P69" s="954"/>
      <c r="Q69" s="954"/>
      <c r="R69" s="954"/>
      <c r="S69" s="954"/>
      <c r="T69" s="954"/>
      <c r="U69" s="954">
        <v>7506000</v>
      </c>
      <c r="V69" s="954">
        <v>7506000</v>
      </c>
      <c r="W69" s="954">
        <v>7506000</v>
      </c>
      <c r="X69" s="954">
        <v>7506000</v>
      </c>
      <c r="Y69" s="954">
        <v>7506000</v>
      </c>
      <c r="Z69" s="962">
        <v>7506000</v>
      </c>
      <c r="AA69" s="41">
        <v>7506000</v>
      </c>
      <c r="AB69" s="962">
        <v>7506000</v>
      </c>
      <c r="AC69" s="962">
        <v>7506000</v>
      </c>
      <c r="AD69" s="962">
        <v>7506000</v>
      </c>
      <c r="AE69" s="962">
        <v>7506000</v>
      </c>
      <c r="AF69" s="962">
        <v>7506000</v>
      </c>
      <c r="AG69" s="962">
        <v>7506000</v>
      </c>
      <c r="AH69" s="962">
        <v>7506000</v>
      </c>
      <c r="AI69" s="962">
        <v>7506000</v>
      </c>
      <c r="AJ69" s="962">
        <v>7506000</v>
      </c>
      <c r="AK69" s="962">
        <v>7506000</v>
      </c>
      <c r="AL69" s="962">
        <v>7506000</v>
      </c>
      <c r="AM69" s="962">
        <v>7506000</v>
      </c>
      <c r="AN69" s="962">
        <v>7506000</v>
      </c>
      <c r="AO69" s="962">
        <v>7506000</v>
      </c>
      <c r="AP69" s="962">
        <v>7506000</v>
      </c>
      <c r="AQ69" s="962">
        <v>7506000</v>
      </c>
      <c r="AR69" s="962">
        <v>7506000</v>
      </c>
      <c r="AS69" s="962">
        <v>7506000</v>
      </c>
      <c r="AT69" s="41"/>
      <c r="AU69" s="41"/>
      <c r="AV69" s="41"/>
      <c r="AW69" s="41"/>
      <c r="AX69" s="41"/>
      <c r="AY69" s="41"/>
      <c r="AZ69" s="41"/>
      <c r="BA69" s="41"/>
      <c r="BB69" s="41"/>
      <c r="BC69" s="41"/>
      <c r="BD69" s="41"/>
      <c r="BE69" s="41"/>
      <c r="BF69" s="41"/>
      <c r="BG69" s="41"/>
      <c r="BH69" s="41"/>
      <c r="BI69" s="41"/>
      <c r="BJ69" s="41"/>
      <c r="BK69" s="41"/>
      <c r="BL69" s="41"/>
      <c r="BM69" s="41"/>
      <c r="BN69" s="41"/>
      <c r="BO69" s="41"/>
      <c r="BP69" s="41"/>
      <c r="BQ69" s="41"/>
      <c r="BR69" s="41"/>
      <c r="BS69" s="41"/>
      <c r="BT69" s="41"/>
      <c r="BU69" s="41"/>
      <c r="BV69" s="41"/>
      <c r="BW69" s="41"/>
      <c r="BX69" s="41"/>
      <c r="BY69" s="41"/>
      <c r="BZ69" s="41"/>
      <c r="CA69" s="41"/>
      <c r="CB69" s="41"/>
      <c r="CC69" s="41"/>
    </row>
    <row r="70" spans="1:16384" s="974" customFormat="1" x14ac:dyDescent="0.35">
      <c r="A70" s="574"/>
      <c r="B70" s="933"/>
      <c r="C70" s="933"/>
      <c r="D70" s="933" t="s">
        <v>527</v>
      </c>
      <c r="E70" s="933"/>
      <c r="F70" s="933"/>
      <c r="G70" s="933"/>
      <c r="H70" s="41">
        <v>-462024</v>
      </c>
      <c r="I70" s="41">
        <v>-616945</v>
      </c>
      <c r="J70" s="41">
        <v>-629855</v>
      </c>
      <c r="K70" s="41">
        <v>-642765</v>
      </c>
      <c r="L70" s="41">
        <v>-655675</v>
      </c>
      <c r="M70" s="41">
        <v>-668585</v>
      </c>
      <c r="N70" s="954">
        <v>-681495</v>
      </c>
      <c r="O70" s="954">
        <v>-694405</v>
      </c>
      <c r="P70" s="954">
        <v>-707315</v>
      </c>
      <c r="Q70" s="954">
        <v>-720225</v>
      </c>
      <c r="R70" s="954">
        <v>-733135</v>
      </c>
      <c r="S70" s="954">
        <v>-746045</v>
      </c>
      <c r="T70" s="954">
        <v>-758955</v>
      </c>
      <c r="U70" s="954">
        <v>-30496.77</v>
      </c>
      <c r="V70" s="954">
        <v>-266846.77</v>
      </c>
      <c r="W70" s="954">
        <v>-503196.77</v>
      </c>
      <c r="X70" s="962">
        <v>-739546.77</v>
      </c>
      <c r="Y70" s="962">
        <v>-975896.77</v>
      </c>
      <c r="Z70" s="962">
        <v>-1212246.77</v>
      </c>
      <c r="AA70" s="962">
        <v>-1448596.77</v>
      </c>
      <c r="AB70" s="962">
        <v>-1684946.77</v>
      </c>
      <c r="AC70" s="962">
        <v>-1921296.77</v>
      </c>
      <c r="AD70" s="41">
        <v>-2157646.77</v>
      </c>
      <c r="AE70" s="962">
        <v>-2393996.77</v>
      </c>
      <c r="AF70" s="962">
        <v>-2630346.77</v>
      </c>
      <c r="AG70" s="962">
        <v>-2866696.77</v>
      </c>
      <c r="AH70" s="962">
        <v>-1684946.77</v>
      </c>
      <c r="AI70" s="962">
        <v>-1684946.77</v>
      </c>
      <c r="AJ70" s="962">
        <v>-1684946.77</v>
      </c>
      <c r="AK70" s="962">
        <v>-1684946.77</v>
      </c>
      <c r="AL70" s="962">
        <v>-1684946.77</v>
      </c>
      <c r="AM70" s="962">
        <v>-1684946.77</v>
      </c>
      <c r="AN70" s="962">
        <v>-1684946.77</v>
      </c>
      <c r="AO70" s="962">
        <v>-1684946.77</v>
      </c>
      <c r="AP70" s="962">
        <v>-1684946.77</v>
      </c>
      <c r="AQ70" s="962">
        <v>-1684946.77</v>
      </c>
      <c r="AR70" s="962">
        <v>-1684946.77</v>
      </c>
      <c r="AS70" s="962">
        <v>-1684946.77</v>
      </c>
      <c r="AT70" s="41"/>
      <c r="AU70" s="41"/>
      <c r="AV70" s="41"/>
      <c r="AW70" s="41"/>
      <c r="AX70" s="41"/>
      <c r="AY70" s="41"/>
      <c r="AZ70" s="41"/>
      <c r="BA70" s="41"/>
      <c r="BB70" s="41"/>
      <c r="BC70" s="41"/>
      <c r="BD70" s="41"/>
      <c r="BE70" s="41"/>
      <c r="BF70" s="41"/>
      <c r="BG70" s="41"/>
      <c r="BH70" s="41"/>
      <c r="BI70" s="41"/>
      <c r="BJ70" s="41"/>
      <c r="BK70" s="41"/>
      <c r="BL70" s="41"/>
      <c r="BM70" s="41"/>
      <c r="BN70" s="41"/>
      <c r="BO70" s="41"/>
      <c r="BP70" s="41"/>
      <c r="BQ70" s="41"/>
      <c r="BR70" s="41"/>
      <c r="BS70" s="41"/>
      <c r="BT70" s="41"/>
      <c r="BU70" s="41"/>
      <c r="BV70" s="41"/>
      <c r="BW70" s="41"/>
      <c r="BX70" s="41"/>
      <c r="BY70" s="41"/>
      <c r="BZ70" s="41"/>
      <c r="CA70" s="41"/>
      <c r="CB70" s="41"/>
      <c r="CC70" s="41"/>
    </row>
    <row r="71" spans="1:16384" s="974" customFormat="1" x14ac:dyDescent="0.35">
      <c r="A71" s="224"/>
      <c r="B71" s="940"/>
      <c r="C71" s="940"/>
      <c r="D71" s="941" t="s">
        <v>745</v>
      </c>
      <c r="E71" s="940"/>
      <c r="F71" s="940"/>
      <c r="G71" s="940"/>
      <c r="H71" s="43"/>
      <c r="I71" s="43"/>
      <c r="J71" s="43"/>
      <c r="K71" s="43"/>
      <c r="L71" s="43"/>
      <c r="M71" s="43"/>
      <c r="N71" s="954"/>
      <c r="O71" s="954"/>
      <c r="P71" s="954"/>
      <c r="Q71" s="954"/>
      <c r="R71" s="954"/>
      <c r="S71" s="954"/>
      <c r="T71" s="954"/>
      <c r="U71" s="954"/>
      <c r="V71" s="954"/>
      <c r="W71" s="43"/>
      <c r="X71" s="963"/>
      <c r="Y71" s="43"/>
      <c r="Z71" s="43"/>
      <c r="AA71" s="43"/>
      <c r="AB71" s="4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43"/>
      <c r="BI71" s="43"/>
      <c r="BJ71" s="43"/>
      <c r="BK71" s="43"/>
      <c r="BL71" s="43"/>
      <c r="BM71" s="43"/>
      <c r="BN71" s="43"/>
      <c r="BO71" s="43"/>
      <c r="BP71" s="43"/>
      <c r="BQ71" s="43"/>
      <c r="BR71" s="43"/>
      <c r="BS71" s="43"/>
      <c r="BT71" s="43"/>
      <c r="BU71" s="43"/>
      <c r="BV71" s="43"/>
      <c r="BW71" s="43"/>
      <c r="BX71" s="43"/>
      <c r="BY71" s="43"/>
      <c r="BZ71" s="43"/>
      <c r="CA71" s="43"/>
      <c r="CB71" s="43"/>
      <c r="CC71" s="43"/>
    </row>
    <row r="72" spans="1:16384" s="974" customFormat="1" x14ac:dyDescent="0.35">
      <c r="A72" s="574"/>
      <c r="B72" s="930"/>
      <c r="C72" s="917" t="s">
        <v>101</v>
      </c>
      <c r="D72" s="917"/>
      <c r="E72" s="917"/>
      <c r="F72" s="917"/>
      <c r="G72" s="917"/>
      <c r="H72" s="917">
        <f>SUM(H63:H71)</f>
        <v>1876281</v>
      </c>
      <c r="I72" s="917">
        <f>SUM(I63:I71)</f>
        <v>1723468</v>
      </c>
      <c r="J72" s="917">
        <v>1713109</v>
      </c>
      <c r="K72" s="917">
        <v>1700199</v>
      </c>
      <c r="L72" s="917">
        <v>1687289</v>
      </c>
      <c r="M72" s="917">
        <v>1674379</v>
      </c>
      <c r="N72" s="917">
        <v>1661469</v>
      </c>
      <c r="O72" s="917">
        <v>1648559</v>
      </c>
      <c r="P72" s="918">
        <v>1635649</v>
      </c>
      <c r="Q72" s="918">
        <v>1622739</v>
      </c>
      <c r="R72" s="918">
        <v>1609829</v>
      </c>
      <c r="S72" s="918">
        <v>1596919</v>
      </c>
      <c r="T72" s="918">
        <v>1584009</v>
      </c>
      <c r="U72" s="918">
        <f t="shared" ref="U72:AA72" si="11">SUM(U63:U71)</f>
        <v>23624705.580000002</v>
      </c>
      <c r="V72" s="918">
        <f t="shared" si="11"/>
        <v>23388355.580000002</v>
      </c>
      <c r="W72" s="918">
        <f t="shared" si="11"/>
        <v>23152005.580000002</v>
      </c>
      <c r="X72" s="918">
        <f t="shared" si="11"/>
        <v>22916337.580000002</v>
      </c>
      <c r="Y72" s="918">
        <f t="shared" si="11"/>
        <v>22679987.580000002</v>
      </c>
      <c r="Z72" s="918">
        <f t="shared" si="11"/>
        <v>22443637.580000002</v>
      </c>
      <c r="AA72" s="918">
        <f t="shared" si="11"/>
        <v>22225287.580000002</v>
      </c>
      <c r="AB72" s="918">
        <f>SUM(AB65:AB71)</f>
        <v>21951091.580000002</v>
      </c>
      <c r="AC72" s="918">
        <f t="shared" ref="AC72:AG72" si="12">SUM(AC63:AC71)</f>
        <v>21753903.580000002</v>
      </c>
      <c r="AD72" s="918">
        <f t="shared" si="12"/>
        <v>21516871.580000002</v>
      </c>
      <c r="AE72" s="918">
        <f t="shared" si="12"/>
        <v>21337339.279999997</v>
      </c>
      <c r="AF72" s="918">
        <f t="shared" si="12"/>
        <v>21103487.279999997</v>
      </c>
      <c r="AG72" s="918">
        <f t="shared" si="12"/>
        <v>20867137.279999997</v>
      </c>
      <c r="AH72" s="919">
        <f t="shared" ref="AH72:AS72" si="13">SUM(AH65:AH71)</f>
        <v>21951091.580000002</v>
      </c>
      <c r="AI72" s="919">
        <f t="shared" si="13"/>
        <v>21951091.580000002</v>
      </c>
      <c r="AJ72" s="919">
        <f t="shared" si="13"/>
        <v>21951091.580000002</v>
      </c>
      <c r="AK72" s="919">
        <f t="shared" si="13"/>
        <v>21951091.580000002</v>
      </c>
      <c r="AL72" s="919">
        <f t="shared" si="13"/>
        <v>21951091.580000002</v>
      </c>
      <c r="AM72" s="919">
        <f t="shared" si="13"/>
        <v>21951091.580000002</v>
      </c>
      <c r="AN72" s="919">
        <f t="shared" si="13"/>
        <v>21951091.580000002</v>
      </c>
      <c r="AO72" s="919">
        <f t="shared" si="13"/>
        <v>21951091.580000002</v>
      </c>
      <c r="AP72" s="919">
        <f t="shared" si="13"/>
        <v>21951091.580000002</v>
      </c>
      <c r="AQ72" s="919">
        <f t="shared" si="13"/>
        <v>21951091.580000002</v>
      </c>
      <c r="AR72" s="919">
        <f t="shared" si="13"/>
        <v>21951091.580000002</v>
      </c>
      <c r="AS72" s="919">
        <f t="shared" si="13"/>
        <v>21951091.580000002</v>
      </c>
      <c r="AT72" s="919"/>
      <c r="AU72" s="919"/>
      <c r="AV72" s="919"/>
      <c r="AW72" s="919"/>
      <c r="AX72" s="919"/>
      <c r="AY72" s="919"/>
      <c r="AZ72" s="919"/>
      <c r="BA72" s="919"/>
      <c r="BB72" s="919"/>
      <c r="BC72" s="919"/>
      <c r="BD72" s="919"/>
      <c r="BE72" s="919"/>
      <c r="BF72" s="919"/>
      <c r="BG72" s="919"/>
      <c r="BH72" s="919"/>
      <c r="BI72" s="919"/>
      <c r="BJ72" s="919"/>
      <c r="BK72" s="919"/>
      <c r="BL72" s="919"/>
      <c r="BM72" s="919"/>
      <c r="BN72" s="919"/>
      <c r="BO72" s="919"/>
      <c r="BP72" s="919"/>
      <c r="BQ72" s="919"/>
      <c r="BR72" s="919"/>
      <c r="BS72" s="919"/>
      <c r="BT72" s="919"/>
      <c r="BU72" s="919"/>
      <c r="BV72" s="919"/>
      <c r="BW72" s="919"/>
      <c r="BX72" s="919"/>
      <c r="BY72" s="919"/>
      <c r="BZ72" s="919"/>
      <c r="CA72" s="919"/>
      <c r="CB72" s="919"/>
      <c r="CC72" s="969"/>
    </row>
    <row r="73" spans="1:16384" ht="22.5" customHeight="1" thickBot="1" x14ac:dyDescent="0.4">
      <c r="A73" s="968"/>
      <c r="B73" s="970" t="s">
        <v>155</v>
      </c>
      <c r="C73" s="970"/>
      <c r="D73" s="970"/>
      <c r="E73" s="970"/>
      <c r="F73" s="970"/>
      <c r="G73" s="970"/>
      <c r="H73" s="971">
        <f>+H72+H60+H36</f>
        <v>5749128.4799999995</v>
      </c>
      <c r="I73" s="971">
        <f>+I72+I60+I36</f>
        <v>6945527.3099999987</v>
      </c>
      <c r="J73" s="971">
        <f t="shared" ref="J73:AA73" si="14">J72+J60+J36</f>
        <v>3764502.8</v>
      </c>
      <c r="K73" s="971">
        <f t="shared" si="14"/>
        <v>3579281.19</v>
      </c>
      <c r="L73" s="971">
        <f t="shared" si="14"/>
        <v>3777145.71</v>
      </c>
      <c r="M73" s="971">
        <f t="shared" si="14"/>
        <v>4769908.2100000009</v>
      </c>
      <c r="N73" s="971">
        <f t="shared" si="14"/>
        <v>5040126.7299999995</v>
      </c>
      <c r="O73" s="971">
        <f t="shared" si="14"/>
        <v>4951491.0999999996</v>
      </c>
      <c r="P73" s="971">
        <f t="shared" si="14"/>
        <v>4883309.2699999996</v>
      </c>
      <c r="Q73" s="971">
        <f t="shared" si="14"/>
        <v>4941101.17</v>
      </c>
      <c r="R73" s="971">
        <f t="shared" si="14"/>
        <v>4614827.75</v>
      </c>
      <c r="S73" s="971">
        <f t="shared" si="14"/>
        <v>4424713.2300000004</v>
      </c>
      <c r="T73" s="971">
        <f t="shared" si="14"/>
        <v>3841128.4000000004</v>
      </c>
      <c r="U73" s="971">
        <f t="shared" si="14"/>
        <v>30141739.900000002</v>
      </c>
      <c r="V73" s="971">
        <f t="shared" si="14"/>
        <v>30737061.560000002</v>
      </c>
      <c r="W73" s="971">
        <f t="shared" si="14"/>
        <v>30502645.16</v>
      </c>
      <c r="X73" s="971">
        <f t="shared" si="14"/>
        <v>30551388.700000003</v>
      </c>
      <c r="Y73" s="971">
        <f t="shared" si="14"/>
        <v>30404734.82</v>
      </c>
      <c r="Z73" s="971">
        <f t="shared" si="14"/>
        <v>29958170.740000002</v>
      </c>
      <c r="AA73" s="971">
        <f t="shared" si="14"/>
        <v>29703857.140000004</v>
      </c>
      <c r="AB73" s="971">
        <f>AB72+AB60+AB36+AB63</f>
        <v>28937043.790000003</v>
      </c>
      <c r="AC73" s="971">
        <f>AC72+AC60+AC36</f>
        <v>27889741.210000005</v>
      </c>
      <c r="AD73" s="971">
        <f>AD72+AD60+AD36</f>
        <v>28046963.260000005</v>
      </c>
      <c r="AE73" s="971">
        <f>AE72+AE60+AE36</f>
        <v>27397774.280000001</v>
      </c>
      <c r="AF73" s="971">
        <f>AF72+AF60+AF36</f>
        <v>26783639.889999997</v>
      </c>
      <c r="AG73" s="971">
        <f>AG72+AG60+AG36</f>
        <v>26235653</v>
      </c>
      <c r="AH73" s="972"/>
      <c r="AI73" s="972"/>
      <c r="AJ73" s="972"/>
      <c r="AK73" s="972"/>
      <c r="AL73" s="972"/>
      <c r="AM73" s="972"/>
      <c r="AN73" s="972"/>
      <c r="AO73" s="972"/>
      <c r="AP73" s="972"/>
      <c r="AQ73" s="972"/>
      <c r="AR73" s="972"/>
      <c r="AS73" s="972"/>
      <c r="AT73" s="972"/>
      <c r="AU73" s="972"/>
      <c r="AV73" s="972"/>
      <c r="AW73" s="972"/>
      <c r="AX73" s="972"/>
      <c r="AY73" s="972"/>
      <c r="AZ73" s="972"/>
      <c r="BA73" s="972"/>
      <c r="BB73" s="972"/>
      <c r="BC73" s="972"/>
      <c r="BD73" s="972"/>
      <c r="BE73" s="972"/>
      <c r="BF73" s="972"/>
      <c r="BG73" s="972"/>
      <c r="BH73" s="972"/>
      <c r="BI73" s="972"/>
      <c r="BJ73" s="972"/>
      <c r="BK73" s="972"/>
      <c r="BL73" s="972"/>
      <c r="BM73" s="972"/>
      <c r="BN73" s="972"/>
      <c r="BO73" s="972"/>
      <c r="BP73" s="972"/>
      <c r="BQ73" s="972"/>
      <c r="BR73" s="972"/>
      <c r="BS73" s="972"/>
      <c r="BT73" s="972"/>
      <c r="BU73" s="972"/>
      <c r="BV73" s="972"/>
      <c r="BW73" s="972"/>
      <c r="BX73" s="972"/>
      <c r="BY73" s="972"/>
      <c r="BZ73" s="972"/>
      <c r="CA73" s="972"/>
      <c r="CB73" s="972"/>
      <c r="CC73" s="972"/>
    </row>
    <row r="74" spans="1:16384" s="978" customFormat="1" ht="15" thickTop="1" x14ac:dyDescent="0.35">
      <c r="A74" s="904"/>
      <c r="B74" s="943"/>
      <c r="C74" s="943"/>
      <c r="D74" s="943"/>
      <c r="E74" s="943"/>
      <c r="F74" s="943"/>
      <c r="G74" s="943"/>
      <c r="H74" s="944"/>
      <c r="I74" s="944"/>
      <c r="J74" s="944"/>
      <c r="K74" s="944"/>
      <c r="L74" s="944"/>
      <c r="M74" s="944"/>
      <c r="N74" s="944"/>
      <c r="O74" s="944"/>
      <c r="P74" s="944"/>
      <c r="Q74" s="944"/>
      <c r="R74" s="944"/>
      <c r="S74" s="944"/>
      <c r="T74" s="944"/>
      <c r="U74" s="944"/>
      <c r="V74" s="944"/>
      <c r="W74" s="944"/>
      <c r="X74" s="944"/>
      <c r="Y74" s="944"/>
      <c r="Z74" s="944"/>
      <c r="AA74" s="944"/>
      <c r="AB74" s="944"/>
      <c r="AC74" s="944"/>
      <c r="AD74" s="944"/>
      <c r="AE74" s="944"/>
      <c r="AF74" s="944"/>
      <c r="AG74" s="944"/>
      <c r="AH74" s="904"/>
      <c r="AI74" s="904"/>
      <c r="AJ74" s="904"/>
      <c r="AK74" s="904"/>
      <c r="AL74" s="904"/>
      <c r="AM74" s="904"/>
      <c r="AN74" s="904"/>
      <c r="AO74" s="904"/>
      <c r="AP74" s="904"/>
      <c r="AQ74" s="904"/>
      <c r="AR74" s="904"/>
      <c r="AS74" s="904"/>
      <c r="AT74" s="904"/>
      <c r="AU74" s="904"/>
      <c r="AV74" s="904"/>
      <c r="AW74" s="904"/>
      <c r="AX74" s="904"/>
      <c r="AY74" s="904"/>
      <c r="AZ74" s="904"/>
      <c r="BA74" s="904"/>
      <c r="BB74" s="904"/>
      <c r="BC74" s="904"/>
      <c r="BD74" s="904"/>
      <c r="BE74" s="904"/>
      <c r="BF74" s="904"/>
      <c r="BG74" s="904"/>
      <c r="BH74" s="904"/>
      <c r="BI74" s="904"/>
      <c r="BJ74" s="904"/>
      <c r="BK74" s="904"/>
      <c r="BL74" s="904"/>
      <c r="BM74" s="904"/>
      <c r="BN74" s="904"/>
      <c r="BO74" s="904"/>
      <c r="BP74" s="904"/>
      <c r="BQ74" s="904"/>
      <c r="BR74" s="904"/>
      <c r="BS74" s="904"/>
      <c r="BT74" s="904"/>
      <c r="BU74" s="904"/>
      <c r="BV74" s="904"/>
      <c r="BW74" s="904"/>
      <c r="BX74" s="904"/>
      <c r="BY74" s="904"/>
      <c r="BZ74" s="904"/>
      <c r="CA74" s="904"/>
      <c r="CB74" s="904"/>
      <c r="CC74" s="904"/>
    </row>
    <row r="75" spans="1:16384" s="978" customFormat="1" x14ac:dyDescent="0.35">
      <c r="A75" s="904"/>
      <c r="B75" s="926" t="s">
        <v>1078</v>
      </c>
      <c r="C75" s="927"/>
      <c r="D75" s="927"/>
      <c r="E75" s="927"/>
      <c r="F75" s="927"/>
      <c r="G75" s="927"/>
      <c r="H75" s="911"/>
      <c r="I75" s="911"/>
      <c r="J75" s="911"/>
      <c r="K75" s="911"/>
      <c r="L75" s="911"/>
      <c r="M75" s="911"/>
      <c r="N75" s="911"/>
      <c r="O75" s="911"/>
      <c r="P75" s="911"/>
      <c r="Q75" s="911"/>
      <c r="R75" s="911"/>
      <c r="S75" s="911"/>
      <c r="T75" s="911"/>
      <c r="U75" s="911"/>
      <c r="V75" s="911"/>
      <c r="W75" s="911"/>
      <c r="X75" s="911"/>
      <c r="Y75" s="911"/>
      <c r="Z75" s="911"/>
      <c r="AA75" s="911"/>
      <c r="AB75" s="911"/>
      <c r="AC75" s="911"/>
      <c r="AD75" s="911"/>
      <c r="AE75" s="911"/>
      <c r="AF75" s="911"/>
      <c r="AG75" s="911"/>
      <c r="AH75" s="911"/>
      <c r="AI75" s="911"/>
      <c r="AJ75" s="911"/>
      <c r="AK75" s="911"/>
      <c r="AL75" s="911"/>
      <c r="AM75" s="911"/>
      <c r="AN75" s="911"/>
      <c r="AO75" s="911"/>
      <c r="AP75" s="911"/>
      <c r="AQ75" s="911"/>
      <c r="AR75" s="911"/>
      <c r="AS75" s="911"/>
      <c r="AT75" s="911"/>
      <c r="AU75" s="911"/>
      <c r="AV75" s="911"/>
      <c r="AW75" s="911"/>
      <c r="AX75" s="911"/>
      <c r="AY75" s="911"/>
      <c r="AZ75" s="911"/>
      <c r="BA75" s="911"/>
      <c r="BB75" s="911"/>
      <c r="BC75" s="911"/>
      <c r="BD75" s="911"/>
      <c r="BE75" s="911"/>
      <c r="BF75" s="911"/>
      <c r="BG75" s="911"/>
      <c r="BH75" s="911"/>
      <c r="BI75" s="911"/>
      <c r="BJ75" s="911"/>
      <c r="BK75" s="911"/>
      <c r="BL75" s="911"/>
      <c r="BM75" s="911"/>
      <c r="BN75" s="911"/>
      <c r="BO75" s="911"/>
      <c r="BP75" s="911"/>
      <c r="BQ75" s="911"/>
      <c r="BR75" s="911"/>
      <c r="BS75" s="911"/>
      <c r="BT75" s="911"/>
      <c r="BU75" s="911"/>
      <c r="BV75" s="911"/>
      <c r="BW75" s="911"/>
      <c r="BX75" s="911"/>
      <c r="BY75" s="911"/>
      <c r="BZ75" s="911"/>
      <c r="CA75" s="911"/>
      <c r="CB75" s="911"/>
      <c r="CC75" s="911"/>
      <c r="CD75" s="975"/>
      <c r="CE75" s="975"/>
      <c r="CF75" s="975"/>
      <c r="CG75" s="975"/>
      <c r="CH75" s="975"/>
      <c r="CI75" s="975"/>
      <c r="CJ75" s="975"/>
      <c r="CK75" s="975"/>
      <c r="CL75" s="975"/>
      <c r="CM75" s="975"/>
      <c r="CN75" s="975"/>
      <c r="CO75" s="975"/>
      <c r="CP75" s="975"/>
      <c r="CQ75" s="975"/>
      <c r="CR75" s="975"/>
      <c r="CS75" s="975"/>
      <c r="CT75" s="975"/>
      <c r="CU75" s="975"/>
      <c r="CV75" s="975"/>
      <c r="CW75" s="975"/>
      <c r="CX75" s="975"/>
      <c r="CY75" s="975"/>
      <c r="CZ75" s="975"/>
      <c r="DA75" s="975"/>
      <c r="DB75" s="975"/>
      <c r="DC75" s="975"/>
      <c r="DD75" s="975"/>
      <c r="DE75" s="975"/>
      <c r="DF75" s="975"/>
      <c r="DG75" s="975"/>
      <c r="DH75" s="975"/>
      <c r="DI75" s="975"/>
      <c r="DJ75" s="975"/>
      <c r="DK75" s="975"/>
      <c r="DL75" s="975"/>
      <c r="DM75" s="975"/>
      <c r="DN75" s="975"/>
      <c r="DO75" s="975"/>
      <c r="DP75" s="975"/>
      <c r="DQ75" s="975"/>
      <c r="DR75" s="975"/>
      <c r="DS75" s="975"/>
      <c r="DT75" s="975"/>
      <c r="DU75" s="975"/>
      <c r="DV75" s="975"/>
      <c r="DW75" s="975"/>
      <c r="DX75" s="975"/>
      <c r="DY75" s="975"/>
      <c r="DZ75" s="975"/>
      <c r="EA75" s="975"/>
      <c r="EB75" s="975"/>
      <c r="EC75" s="975"/>
      <c r="ED75" s="975"/>
      <c r="EE75" s="975"/>
      <c r="EF75" s="975"/>
      <c r="EG75" s="975"/>
      <c r="EH75" s="975"/>
      <c r="EI75" s="975"/>
      <c r="EJ75" s="975"/>
      <c r="EK75" s="975"/>
      <c r="EL75" s="975"/>
      <c r="EM75" s="975"/>
      <c r="EN75" s="975"/>
      <c r="EO75" s="975"/>
      <c r="EP75" s="975"/>
      <c r="EQ75" s="975"/>
      <c r="ER75" s="975"/>
      <c r="ES75" s="975"/>
      <c r="ET75" s="975"/>
      <c r="EU75" s="975"/>
      <c r="EV75" s="975"/>
      <c r="EW75" s="975"/>
      <c r="EX75" s="975"/>
      <c r="EY75" s="975"/>
      <c r="EZ75" s="975"/>
      <c r="FA75" s="975"/>
      <c r="FB75" s="975"/>
      <c r="FC75" s="975"/>
      <c r="FD75" s="975"/>
      <c r="FE75" s="975"/>
      <c r="FF75" s="975"/>
      <c r="FG75" s="975"/>
      <c r="FH75" s="975"/>
      <c r="FI75" s="975"/>
      <c r="FJ75" s="975"/>
      <c r="FK75" s="975"/>
      <c r="FL75" s="975"/>
      <c r="FM75" s="975"/>
      <c r="FN75" s="975"/>
      <c r="FO75" s="975"/>
      <c r="FP75" s="975"/>
      <c r="FQ75" s="975"/>
      <c r="FR75" s="975"/>
      <c r="FS75" s="975"/>
      <c r="FT75" s="975"/>
      <c r="FU75" s="975"/>
      <c r="FV75" s="975"/>
      <c r="FW75" s="975"/>
      <c r="FX75" s="975"/>
      <c r="FY75" s="975"/>
      <c r="FZ75" s="975"/>
      <c r="GA75" s="975"/>
      <c r="GB75" s="975"/>
      <c r="GC75" s="975"/>
      <c r="GD75" s="975"/>
      <c r="GE75" s="975"/>
      <c r="GF75" s="975"/>
      <c r="GG75" s="975"/>
      <c r="GH75" s="975"/>
      <c r="GI75" s="975"/>
      <c r="GJ75" s="975"/>
      <c r="GK75" s="975"/>
      <c r="GL75" s="975"/>
      <c r="GM75" s="975"/>
      <c r="GN75" s="975"/>
      <c r="GO75" s="975"/>
      <c r="GP75" s="975"/>
      <c r="GQ75" s="975"/>
      <c r="GR75" s="975"/>
      <c r="GS75" s="975"/>
      <c r="GT75" s="975"/>
      <c r="GU75" s="975"/>
      <c r="GV75" s="975"/>
      <c r="GW75" s="975"/>
      <c r="GX75" s="975"/>
      <c r="GY75" s="975"/>
      <c r="GZ75" s="975"/>
      <c r="HA75" s="975"/>
      <c r="HB75" s="975"/>
      <c r="HC75" s="975"/>
      <c r="HD75" s="975"/>
      <c r="HE75" s="975"/>
      <c r="HF75" s="975"/>
      <c r="HG75" s="975"/>
      <c r="HH75" s="975"/>
      <c r="HI75" s="975"/>
      <c r="HJ75" s="975"/>
      <c r="HK75" s="975"/>
      <c r="HL75" s="975"/>
      <c r="HM75" s="975"/>
      <c r="HN75" s="975"/>
      <c r="HO75" s="975"/>
      <c r="HP75" s="975"/>
      <c r="HQ75" s="975"/>
      <c r="HR75" s="975"/>
      <c r="HS75" s="975"/>
      <c r="HT75" s="975"/>
      <c r="HU75" s="975"/>
      <c r="HV75" s="975"/>
      <c r="HW75" s="975"/>
      <c r="HX75" s="975"/>
      <c r="HY75" s="975"/>
      <c r="HZ75" s="975"/>
      <c r="IA75" s="975"/>
      <c r="IB75" s="975"/>
      <c r="IC75" s="975"/>
      <c r="ID75" s="975"/>
      <c r="IE75" s="975"/>
      <c r="IF75" s="975"/>
      <c r="IG75" s="975"/>
      <c r="IH75" s="975"/>
      <c r="II75" s="975"/>
      <c r="IJ75" s="975"/>
      <c r="IK75" s="975"/>
      <c r="IL75" s="975"/>
      <c r="IM75" s="975"/>
      <c r="IN75" s="975"/>
      <c r="IO75" s="975"/>
      <c r="IP75" s="975"/>
      <c r="IQ75" s="975"/>
      <c r="IR75" s="975"/>
      <c r="IS75" s="975"/>
      <c r="IT75" s="975"/>
      <c r="IU75" s="975"/>
      <c r="IV75" s="975"/>
      <c r="IW75" s="975"/>
      <c r="IX75" s="975"/>
      <c r="IY75" s="975"/>
      <c r="IZ75" s="975"/>
      <c r="JA75" s="975"/>
      <c r="JB75" s="975"/>
      <c r="JC75" s="975"/>
      <c r="JD75" s="975"/>
      <c r="JE75" s="975"/>
      <c r="JF75" s="975"/>
      <c r="JG75" s="975"/>
      <c r="JH75" s="975"/>
      <c r="JI75" s="975"/>
      <c r="JJ75" s="975"/>
      <c r="JK75" s="975"/>
      <c r="JL75" s="975"/>
      <c r="JM75" s="975"/>
      <c r="JN75" s="975"/>
      <c r="JO75" s="975"/>
      <c r="JP75" s="975"/>
      <c r="JQ75" s="975"/>
      <c r="JR75" s="975"/>
      <c r="JS75" s="975"/>
      <c r="JT75" s="975"/>
      <c r="JU75" s="975"/>
      <c r="JV75" s="975"/>
      <c r="JW75" s="975"/>
      <c r="JX75" s="975"/>
      <c r="JY75" s="975"/>
      <c r="JZ75" s="975"/>
      <c r="KA75" s="975"/>
      <c r="KB75" s="975"/>
      <c r="KC75" s="975"/>
      <c r="KD75" s="975"/>
      <c r="KE75" s="975"/>
      <c r="KF75" s="975"/>
      <c r="KG75" s="975"/>
      <c r="KH75" s="975"/>
      <c r="KI75" s="975"/>
      <c r="KJ75" s="975"/>
      <c r="KK75" s="975"/>
      <c r="KL75" s="975"/>
      <c r="KM75" s="975"/>
      <c r="KN75" s="975"/>
      <c r="KO75" s="975"/>
      <c r="KP75" s="975"/>
      <c r="KQ75" s="975"/>
      <c r="KR75" s="975"/>
      <c r="KS75" s="975"/>
      <c r="KT75" s="975"/>
      <c r="KU75" s="975"/>
      <c r="KV75" s="975"/>
      <c r="KW75" s="975"/>
      <c r="KX75" s="975"/>
      <c r="KY75" s="975"/>
      <c r="KZ75" s="975"/>
      <c r="LA75" s="975"/>
      <c r="LB75" s="975"/>
      <c r="LC75" s="975"/>
      <c r="LD75" s="975"/>
      <c r="LE75" s="975"/>
      <c r="LF75" s="975"/>
      <c r="LG75" s="975"/>
      <c r="LH75" s="975"/>
      <c r="LI75" s="975"/>
      <c r="LJ75" s="975"/>
      <c r="LK75" s="975"/>
      <c r="LL75" s="975"/>
      <c r="LM75" s="975"/>
      <c r="LN75" s="975"/>
      <c r="LO75" s="975"/>
      <c r="LP75" s="975"/>
      <c r="LQ75" s="975"/>
      <c r="LR75" s="975"/>
      <c r="LS75" s="975"/>
      <c r="LT75" s="975"/>
      <c r="LU75" s="975"/>
      <c r="LV75" s="975"/>
      <c r="LW75" s="975"/>
      <c r="LX75" s="975"/>
      <c r="LY75" s="975"/>
      <c r="LZ75" s="975"/>
      <c r="MA75" s="975"/>
      <c r="MB75" s="975"/>
      <c r="MC75" s="975"/>
      <c r="MD75" s="975"/>
      <c r="ME75" s="975"/>
      <c r="MF75" s="975"/>
      <c r="MG75" s="975"/>
      <c r="MH75" s="975"/>
      <c r="MI75" s="975"/>
      <c r="MJ75" s="975"/>
      <c r="MK75" s="975"/>
      <c r="ML75" s="975"/>
      <c r="MM75" s="975"/>
      <c r="MN75" s="975"/>
      <c r="MO75" s="975"/>
      <c r="MP75" s="975"/>
      <c r="MQ75" s="975"/>
      <c r="MR75" s="975"/>
      <c r="MS75" s="975"/>
      <c r="MT75" s="975"/>
      <c r="MU75" s="975"/>
      <c r="MV75" s="975"/>
      <c r="MW75" s="975"/>
      <c r="MX75" s="975"/>
      <c r="MY75" s="975"/>
      <c r="MZ75" s="975"/>
      <c r="NA75" s="975"/>
      <c r="NB75" s="975"/>
      <c r="NC75" s="975"/>
      <c r="ND75" s="975"/>
      <c r="NE75" s="975"/>
      <c r="NF75" s="975"/>
      <c r="NG75" s="975"/>
      <c r="NH75" s="975"/>
      <c r="NI75" s="975"/>
      <c r="NJ75" s="975"/>
      <c r="NK75" s="975"/>
      <c r="NL75" s="975"/>
      <c r="NM75" s="975"/>
      <c r="NN75" s="975"/>
      <c r="NO75" s="975"/>
      <c r="NP75" s="975"/>
      <c r="NQ75" s="975"/>
      <c r="NR75" s="975"/>
      <c r="NS75" s="975"/>
      <c r="NT75" s="975"/>
      <c r="NU75" s="975"/>
      <c r="NV75" s="975"/>
      <c r="NW75" s="975"/>
      <c r="NX75" s="975"/>
      <c r="NY75" s="975"/>
      <c r="NZ75" s="975"/>
      <c r="OA75" s="975"/>
      <c r="OB75" s="975"/>
      <c r="OC75" s="975"/>
      <c r="OD75" s="975"/>
      <c r="OE75" s="975"/>
      <c r="OF75" s="975"/>
      <c r="OG75" s="975"/>
      <c r="OH75" s="975"/>
      <c r="OI75" s="975"/>
      <c r="OJ75" s="975"/>
      <c r="OK75" s="975"/>
      <c r="OL75" s="975"/>
      <c r="OM75" s="975"/>
      <c r="ON75" s="975"/>
      <c r="OO75" s="975"/>
      <c r="OP75" s="975"/>
      <c r="OQ75" s="975"/>
      <c r="OR75" s="975"/>
      <c r="OS75" s="975"/>
      <c r="OT75" s="975"/>
      <c r="OU75" s="975"/>
      <c r="OV75" s="975"/>
      <c r="OW75" s="975"/>
      <c r="OX75" s="975"/>
      <c r="OY75" s="975"/>
      <c r="OZ75" s="975"/>
      <c r="PA75" s="975"/>
      <c r="PB75" s="975"/>
      <c r="PC75" s="975"/>
      <c r="PD75" s="975"/>
      <c r="PE75" s="975"/>
      <c r="PF75" s="975"/>
      <c r="PG75" s="975"/>
      <c r="PH75" s="975"/>
      <c r="PI75" s="975"/>
      <c r="PJ75" s="975"/>
      <c r="PK75" s="975"/>
      <c r="PL75" s="975"/>
      <c r="PM75" s="975"/>
      <c r="PN75" s="975"/>
      <c r="PO75" s="975"/>
      <c r="PP75" s="975"/>
      <c r="PQ75" s="975"/>
      <c r="PR75" s="975"/>
      <c r="PS75" s="975"/>
      <c r="PT75" s="975"/>
      <c r="PU75" s="975"/>
      <c r="PV75" s="975"/>
      <c r="PW75" s="975"/>
      <c r="PX75" s="975"/>
      <c r="PY75" s="975"/>
      <c r="PZ75" s="975"/>
      <c r="QA75" s="975"/>
      <c r="QB75" s="975"/>
      <c r="QC75" s="975"/>
      <c r="QD75" s="975"/>
      <c r="QE75" s="975"/>
      <c r="QF75" s="975"/>
      <c r="QG75" s="975"/>
      <c r="QH75" s="975"/>
      <c r="QI75" s="975"/>
      <c r="QJ75" s="975"/>
      <c r="QK75" s="975"/>
      <c r="QL75" s="975"/>
      <c r="QM75" s="975"/>
      <c r="QN75" s="975"/>
      <c r="QO75" s="975"/>
      <c r="QP75" s="975"/>
      <c r="QQ75" s="975"/>
      <c r="QR75" s="975"/>
      <c r="QS75" s="975"/>
      <c r="QT75" s="975"/>
      <c r="QU75" s="975"/>
      <c r="QV75" s="975"/>
      <c r="QW75" s="975"/>
      <c r="QX75" s="975"/>
      <c r="QY75" s="975"/>
      <c r="QZ75" s="975"/>
      <c r="RA75" s="975"/>
      <c r="RB75" s="975"/>
      <c r="RC75" s="975"/>
      <c r="RD75" s="975"/>
      <c r="RE75" s="975"/>
      <c r="RF75" s="975"/>
      <c r="RG75" s="975"/>
      <c r="RH75" s="975"/>
      <c r="RI75" s="975"/>
      <c r="RJ75" s="975"/>
      <c r="RK75" s="975"/>
      <c r="RL75" s="975"/>
      <c r="RM75" s="975"/>
      <c r="RN75" s="975"/>
      <c r="RO75" s="975"/>
      <c r="RP75" s="975"/>
      <c r="RQ75" s="975"/>
      <c r="RR75" s="975"/>
      <c r="RS75" s="975"/>
      <c r="RT75" s="975"/>
      <c r="RU75" s="975"/>
      <c r="RV75" s="975"/>
      <c r="RW75" s="975"/>
      <c r="RX75" s="975"/>
      <c r="RY75" s="975"/>
      <c r="RZ75" s="975"/>
      <c r="SA75" s="975"/>
      <c r="SB75" s="975"/>
      <c r="SC75" s="975"/>
      <c r="SD75" s="975"/>
      <c r="SE75" s="975"/>
      <c r="SF75" s="975"/>
      <c r="SG75" s="975"/>
      <c r="SH75" s="975"/>
      <c r="SI75" s="975"/>
      <c r="SJ75" s="975"/>
      <c r="SK75" s="975"/>
      <c r="SL75" s="975"/>
      <c r="SM75" s="975"/>
      <c r="SN75" s="975"/>
      <c r="SO75" s="975"/>
      <c r="SP75" s="975"/>
      <c r="SQ75" s="975"/>
      <c r="SR75" s="975"/>
      <c r="SS75" s="975"/>
      <c r="ST75" s="975"/>
      <c r="SU75" s="975"/>
      <c r="SV75" s="975"/>
      <c r="SW75" s="975"/>
      <c r="SX75" s="975"/>
      <c r="SY75" s="975"/>
      <c r="SZ75" s="975"/>
      <c r="TA75" s="975"/>
      <c r="TB75" s="975"/>
      <c r="TC75" s="975"/>
      <c r="TD75" s="975"/>
      <c r="TE75" s="975"/>
      <c r="TF75" s="975"/>
      <c r="TG75" s="975"/>
      <c r="TH75" s="975"/>
      <c r="TI75" s="975"/>
      <c r="TJ75" s="975"/>
      <c r="TK75" s="975"/>
      <c r="TL75" s="975"/>
      <c r="TM75" s="975"/>
      <c r="TN75" s="975"/>
      <c r="TO75" s="975"/>
      <c r="TP75" s="975"/>
      <c r="TQ75" s="975"/>
      <c r="TR75" s="975"/>
      <c r="TS75" s="975"/>
      <c r="TT75" s="975"/>
      <c r="TU75" s="975"/>
      <c r="TV75" s="975"/>
      <c r="TW75" s="975"/>
      <c r="TX75" s="975"/>
      <c r="TY75" s="975"/>
      <c r="TZ75" s="975"/>
      <c r="UA75" s="975"/>
      <c r="UB75" s="975"/>
      <c r="UC75" s="975"/>
      <c r="UD75" s="975"/>
      <c r="UE75" s="975"/>
      <c r="UF75" s="975"/>
      <c r="UG75" s="975"/>
      <c r="UH75" s="975"/>
      <c r="UI75" s="975"/>
      <c r="UJ75" s="975"/>
      <c r="UK75" s="975"/>
      <c r="UL75" s="975"/>
      <c r="UM75" s="975"/>
      <c r="UN75" s="975"/>
      <c r="UO75" s="975"/>
      <c r="UP75" s="975"/>
      <c r="UQ75" s="975"/>
      <c r="UR75" s="975"/>
      <c r="US75" s="975"/>
      <c r="UT75" s="975"/>
      <c r="UU75" s="975"/>
      <c r="UV75" s="975"/>
      <c r="UW75" s="975"/>
      <c r="UX75" s="975"/>
      <c r="UY75" s="975"/>
      <c r="UZ75" s="975"/>
      <c r="VA75" s="975"/>
      <c r="VB75" s="975"/>
      <c r="VC75" s="975"/>
      <c r="VD75" s="975"/>
      <c r="VE75" s="975"/>
      <c r="VF75" s="975"/>
      <c r="VG75" s="975"/>
      <c r="VH75" s="975"/>
      <c r="VI75" s="975"/>
      <c r="VJ75" s="975"/>
      <c r="VK75" s="975"/>
      <c r="VL75" s="975"/>
      <c r="VM75" s="975"/>
      <c r="VN75" s="975"/>
      <c r="VO75" s="975"/>
      <c r="VP75" s="975"/>
      <c r="VQ75" s="975"/>
      <c r="VR75" s="975"/>
      <c r="VS75" s="975"/>
      <c r="VT75" s="975"/>
      <c r="VU75" s="975"/>
      <c r="VV75" s="975"/>
      <c r="VW75" s="975"/>
      <c r="VX75" s="975"/>
      <c r="VY75" s="975"/>
      <c r="VZ75" s="975"/>
      <c r="WA75" s="975"/>
      <c r="WB75" s="975"/>
      <c r="WC75" s="975"/>
      <c r="WD75" s="975"/>
      <c r="WE75" s="975"/>
      <c r="WF75" s="975"/>
      <c r="WG75" s="975"/>
      <c r="WH75" s="975"/>
      <c r="WI75" s="975"/>
      <c r="WJ75" s="975"/>
      <c r="WK75" s="975"/>
      <c r="WL75" s="975"/>
      <c r="WM75" s="975"/>
      <c r="WN75" s="975"/>
      <c r="WO75" s="975"/>
      <c r="WP75" s="975"/>
      <c r="WQ75" s="975"/>
      <c r="WR75" s="975"/>
      <c r="WS75" s="975"/>
      <c r="WT75" s="975"/>
      <c r="WU75" s="975"/>
      <c r="WV75" s="975"/>
      <c r="WW75" s="975"/>
      <c r="WX75" s="975"/>
      <c r="WY75" s="975"/>
      <c r="WZ75" s="975"/>
      <c r="XA75" s="975"/>
      <c r="XB75" s="975"/>
      <c r="XC75" s="975"/>
      <c r="XD75" s="975"/>
      <c r="XE75" s="975"/>
      <c r="XF75" s="975"/>
      <c r="XG75" s="975"/>
      <c r="XH75" s="975"/>
      <c r="XI75" s="975"/>
      <c r="XJ75" s="975"/>
      <c r="XK75" s="975"/>
      <c r="XL75" s="975"/>
      <c r="XM75" s="975"/>
      <c r="XN75" s="975"/>
      <c r="XO75" s="975"/>
      <c r="XP75" s="975"/>
      <c r="XQ75" s="975"/>
      <c r="XR75" s="975"/>
      <c r="XS75" s="975"/>
      <c r="XT75" s="975"/>
      <c r="XU75" s="975"/>
      <c r="XV75" s="975"/>
      <c r="XW75" s="975"/>
      <c r="XX75" s="975"/>
      <c r="XY75" s="975"/>
      <c r="XZ75" s="975"/>
      <c r="YA75" s="975"/>
      <c r="YB75" s="975"/>
      <c r="YC75" s="975"/>
      <c r="YD75" s="975"/>
      <c r="YE75" s="975"/>
      <c r="YF75" s="975"/>
      <c r="YG75" s="975"/>
      <c r="YH75" s="975"/>
      <c r="YI75" s="975"/>
      <c r="YJ75" s="975"/>
      <c r="YK75" s="975"/>
      <c r="YL75" s="975"/>
      <c r="YM75" s="975"/>
      <c r="YN75" s="975"/>
      <c r="YO75" s="975"/>
      <c r="YP75" s="975"/>
      <c r="YQ75" s="975"/>
      <c r="YR75" s="975"/>
      <c r="YS75" s="975"/>
      <c r="YT75" s="975"/>
      <c r="YU75" s="975"/>
      <c r="YV75" s="975"/>
      <c r="YW75" s="975"/>
      <c r="YX75" s="975"/>
      <c r="YY75" s="975"/>
      <c r="YZ75" s="975"/>
      <c r="ZA75" s="975"/>
      <c r="ZB75" s="975"/>
      <c r="ZC75" s="975"/>
      <c r="ZD75" s="975"/>
      <c r="ZE75" s="975"/>
      <c r="ZF75" s="975"/>
      <c r="ZG75" s="975"/>
      <c r="ZH75" s="975"/>
      <c r="ZI75" s="975"/>
      <c r="ZJ75" s="975"/>
      <c r="ZK75" s="975"/>
      <c r="ZL75" s="975"/>
      <c r="ZM75" s="975"/>
      <c r="ZN75" s="975"/>
      <c r="ZO75" s="975"/>
      <c r="ZP75" s="975"/>
      <c r="ZQ75" s="975"/>
      <c r="ZR75" s="975"/>
      <c r="ZS75" s="975"/>
      <c r="ZT75" s="975"/>
      <c r="ZU75" s="975"/>
      <c r="ZV75" s="975"/>
      <c r="ZW75" s="975"/>
      <c r="ZX75" s="975"/>
      <c r="ZY75" s="975"/>
      <c r="ZZ75" s="975"/>
      <c r="AAA75" s="975"/>
      <c r="AAB75" s="975"/>
      <c r="AAC75" s="975"/>
      <c r="AAD75" s="975"/>
      <c r="AAE75" s="975"/>
      <c r="AAF75" s="975"/>
      <c r="AAG75" s="975"/>
      <c r="AAH75" s="975"/>
      <c r="AAI75" s="975"/>
      <c r="AAJ75" s="975"/>
      <c r="AAK75" s="975"/>
      <c r="AAL75" s="975"/>
      <c r="AAM75" s="975"/>
      <c r="AAN75" s="975"/>
      <c r="AAO75" s="975"/>
      <c r="AAP75" s="975"/>
      <c r="AAQ75" s="975"/>
      <c r="AAR75" s="975"/>
      <c r="AAS75" s="975"/>
      <c r="AAT75" s="975"/>
      <c r="AAU75" s="975"/>
      <c r="AAV75" s="975"/>
      <c r="AAW75" s="975"/>
      <c r="AAX75" s="975"/>
      <c r="AAY75" s="975"/>
      <c r="AAZ75" s="975"/>
      <c r="ABA75" s="975"/>
      <c r="ABB75" s="975"/>
      <c r="ABC75" s="975"/>
      <c r="ABD75" s="975"/>
      <c r="ABE75" s="975"/>
      <c r="ABF75" s="975"/>
      <c r="ABG75" s="975"/>
      <c r="ABH75" s="975"/>
      <c r="ABI75" s="975"/>
      <c r="ABJ75" s="975"/>
      <c r="ABK75" s="975"/>
      <c r="ABL75" s="975"/>
      <c r="ABM75" s="975"/>
      <c r="ABN75" s="975"/>
      <c r="ABO75" s="975"/>
      <c r="ABP75" s="975"/>
      <c r="ABQ75" s="975"/>
      <c r="ABR75" s="975"/>
      <c r="ABS75" s="975"/>
      <c r="ABT75" s="975"/>
      <c r="ABU75" s="975"/>
      <c r="ABV75" s="975"/>
      <c r="ABW75" s="975"/>
      <c r="ABX75" s="975"/>
      <c r="ABY75" s="975"/>
      <c r="ABZ75" s="975"/>
      <c r="ACA75" s="975"/>
      <c r="ACB75" s="975"/>
      <c r="ACC75" s="975"/>
      <c r="ACD75" s="975"/>
      <c r="ACE75" s="975"/>
      <c r="ACF75" s="975"/>
      <c r="ACG75" s="975"/>
      <c r="ACH75" s="975"/>
      <c r="ACI75" s="975"/>
      <c r="ACJ75" s="975"/>
      <c r="ACK75" s="975"/>
      <c r="ACL75" s="975"/>
      <c r="ACM75" s="975"/>
      <c r="ACN75" s="975"/>
      <c r="ACO75" s="975"/>
      <c r="ACP75" s="975"/>
      <c r="ACQ75" s="975"/>
      <c r="ACR75" s="975"/>
      <c r="ACS75" s="975"/>
      <c r="ACT75" s="975"/>
      <c r="ACU75" s="975"/>
      <c r="ACV75" s="975"/>
      <c r="ACW75" s="975"/>
      <c r="ACX75" s="975"/>
      <c r="ACY75" s="975"/>
      <c r="ACZ75" s="975"/>
      <c r="ADA75" s="975"/>
      <c r="ADB75" s="975"/>
      <c r="ADC75" s="975"/>
      <c r="ADD75" s="975"/>
      <c r="ADE75" s="975"/>
      <c r="ADF75" s="975"/>
      <c r="ADG75" s="975"/>
      <c r="ADH75" s="975"/>
      <c r="ADI75" s="975"/>
      <c r="ADJ75" s="975"/>
      <c r="ADK75" s="975"/>
      <c r="ADL75" s="975"/>
      <c r="ADM75" s="975"/>
      <c r="ADN75" s="975"/>
      <c r="ADO75" s="975"/>
      <c r="ADP75" s="975"/>
      <c r="ADQ75" s="975"/>
      <c r="ADR75" s="975"/>
      <c r="ADS75" s="975"/>
      <c r="ADT75" s="975"/>
      <c r="ADU75" s="975"/>
      <c r="ADV75" s="975"/>
      <c r="ADW75" s="975"/>
      <c r="ADX75" s="975"/>
      <c r="ADY75" s="975"/>
      <c r="ADZ75" s="975"/>
      <c r="AEA75" s="975"/>
      <c r="AEB75" s="975"/>
      <c r="AEC75" s="975"/>
      <c r="AED75" s="975"/>
      <c r="AEE75" s="975"/>
      <c r="AEF75" s="975"/>
      <c r="AEG75" s="975"/>
      <c r="AEH75" s="975"/>
      <c r="AEI75" s="975"/>
      <c r="AEJ75" s="975"/>
      <c r="AEK75" s="975"/>
      <c r="AEL75" s="975"/>
      <c r="AEM75" s="975"/>
      <c r="AEN75" s="975"/>
      <c r="AEO75" s="975"/>
      <c r="AEP75" s="975"/>
      <c r="AEQ75" s="975"/>
      <c r="AER75" s="975"/>
      <c r="AES75" s="975"/>
      <c r="AET75" s="975"/>
      <c r="AEU75" s="975"/>
      <c r="AEV75" s="975"/>
      <c r="AEW75" s="975"/>
      <c r="AEX75" s="975"/>
      <c r="AEY75" s="975"/>
      <c r="AEZ75" s="975"/>
      <c r="AFA75" s="975"/>
      <c r="AFB75" s="975"/>
      <c r="AFC75" s="975"/>
      <c r="AFD75" s="975"/>
      <c r="AFE75" s="975"/>
      <c r="AFF75" s="975"/>
      <c r="AFG75" s="975"/>
      <c r="AFH75" s="975"/>
      <c r="AFI75" s="975"/>
      <c r="AFJ75" s="975"/>
      <c r="AFK75" s="975"/>
      <c r="AFL75" s="975"/>
      <c r="AFM75" s="975"/>
      <c r="AFN75" s="975"/>
      <c r="AFO75" s="975"/>
      <c r="AFP75" s="975"/>
      <c r="AFQ75" s="975"/>
      <c r="AFR75" s="975"/>
      <c r="AFS75" s="975"/>
      <c r="AFT75" s="975"/>
      <c r="AFU75" s="975"/>
      <c r="AFV75" s="975"/>
      <c r="AFW75" s="975"/>
      <c r="AFX75" s="975"/>
      <c r="AFY75" s="975"/>
      <c r="AFZ75" s="975"/>
      <c r="AGA75" s="975"/>
      <c r="AGB75" s="975"/>
      <c r="AGC75" s="975"/>
      <c r="AGD75" s="975"/>
      <c r="AGE75" s="975"/>
      <c r="AGF75" s="975"/>
      <c r="AGG75" s="975"/>
      <c r="AGH75" s="975"/>
      <c r="AGI75" s="975"/>
      <c r="AGJ75" s="975"/>
      <c r="AGK75" s="975"/>
      <c r="AGL75" s="975"/>
      <c r="AGM75" s="975"/>
      <c r="AGN75" s="975"/>
      <c r="AGO75" s="975"/>
      <c r="AGP75" s="975"/>
      <c r="AGQ75" s="975"/>
      <c r="AGR75" s="975"/>
      <c r="AGS75" s="975"/>
      <c r="AGT75" s="975"/>
      <c r="AGU75" s="975"/>
      <c r="AGV75" s="975"/>
      <c r="AGW75" s="975"/>
      <c r="AGX75" s="975"/>
      <c r="AGY75" s="975"/>
      <c r="AGZ75" s="975"/>
      <c r="AHA75" s="975"/>
      <c r="AHB75" s="975"/>
      <c r="AHC75" s="975"/>
      <c r="AHD75" s="975"/>
      <c r="AHE75" s="975"/>
      <c r="AHF75" s="975"/>
      <c r="AHG75" s="975"/>
      <c r="AHH75" s="975"/>
      <c r="AHI75" s="975"/>
      <c r="AHJ75" s="975"/>
      <c r="AHK75" s="975"/>
      <c r="AHL75" s="975"/>
      <c r="AHM75" s="975"/>
      <c r="AHN75" s="975"/>
      <c r="AHO75" s="975"/>
      <c r="AHP75" s="975"/>
      <c r="AHQ75" s="975"/>
      <c r="AHR75" s="975"/>
      <c r="AHS75" s="975"/>
      <c r="AHT75" s="975"/>
      <c r="AHU75" s="975"/>
      <c r="AHV75" s="975"/>
      <c r="AHW75" s="975"/>
      <c r="AHX75" s="975"/>
      <c r="AHY75" s="975"/>
      <c r="AHZ75" s="975"/>
      <c r="AIA75" s="975"/>
      <c r="AIB75" s="975"/>
      <c r="AIC75" s="975"/>
      <c r="AID75" s="975"/>
      <c r="AIE75" s="975"/>
      <c r="AIF75" s="975"/>
      <c r="AIG75" s="975"/>
      <c r="AIH75" s="975"/>
      <c r="AII75" s="975"/>
      <c r="AIJ75" s="975"/>
      <c r="AIK75" s="975"/>
      <c r="AIL75" s="975"/>
      <c r="AIM75" s="975"/>
      <c r="AIN75" s="975"/>
      <c r="AIO75" s="975"/>
      <c r="AIP75" s="975"/>
      <c r="AIQ75" s="975"/>
      <c r="AIR75" s="975"/>
      <c r="AIS75" s="975"/>
      <c r="AIT75" s="975"/>
      <c r="AIU75" s="975"/>
      <c r="AIV75" s="975"/>
      <c r="AIW75" s="975"/>
      <c r="AIX75" s="975"/>
      <c r="AIY75" s="975"/>
      <c r="AIZ75" s="975"/>
      <c r="AJA75" s="975"/>
      <c r="AJB75" s="975"/>
      <c r="AJC75" s="975"/>
      <c r="AJD75" s="975"/>
      <c r="AJE75" s="975"/>
      <c r="AJF75" s="975"/>
      <c r="AJG75" s="975"/>
      <c r="AJH75" s="975"/>
      <c r="AJI75" s="975"/>
      <c r="AJJ75" s="975"/>
      <c r="AJK75" s="975"/>
      <c r="AJL75" s="975"/>
      <c r="AJM75" s="975"/>
      <c r="AJN75" s="975"/>
      <c r="AJO75" s="975"/>
      <c r="AJP75" s="975"/>
      <c r="AJQ75" s="975"/>
      <c r="AJR75" s="975"/>
      <c r="AJS75" s="975"/>
      <c r="AJT75" s="975"/>
      <c r="AJU75" s="975"/>
      <c r="AJV75" s="975"/>
      <c r="AJW75" s="975"/>
      <c r="AJX75" s="975"/>
      <c r="AJY75" s="975"/>
      <c r="AJZ75" s="975"/>
      <c r="AKA75" s="975"/>
      <c r="AKB75" s="975"/>
      <c r="AKC75" s="975"/>
      <c r="AKD75" s="975"/>
      <c r="AKE75" s="975"/>
      <c r="AKF75" s="975"/>
      <c r="AKG75" s="975"/>
      <c r="AKH75" s="975"/>
      <c r="AKI75" s="975"/>
      <c r="AKJ75" s="975"/>
      <c r="AKK75" s="975"/>
      <c r="AKL75" s="975"/>
      <c r="AKM75" s="975"/>
      <c r="AKN75" s="975"/>
      <c r="AKO75" s="975"/>
      <c r="AKP75" s="975"/>
      <c r="AKQ75" s="975"/>
      <c r="AKR75" s="975"/>
      <c r="AKS75" s="975"/>
      <c r="AKT75" s="975"/>
      <c r="AKU75" s="975"/>
      <c r="AKV75" s="975"/>
      <c r="AKW75" s="975"/>
      <c r="AKX75" s="975"/>
      <c r="AKY75" s="975"/>
      <c r="AKZ75" s="975"/>
      <c r="ALA75" s="975"/>
      <c r="ALB75" s="975"/>
      <c r="ALC75" s="975"/>
      <c r="ALD75" s="975"/>
      <c r="ALE75" s="975"/>
      <c r="ALF75" s="975"/>
      <c r="ALG75" s="975"/>
      <c r="ALH75" s="975"/>
      <c r="ALI75" s="975"/>
      <c r="ALJ75" s="975"/>
      <c r="ALK75" s="975"/>
      <c r="ALL75" s="975"/>
      <c r="ALM75" s="975"/>
      <c r="ALN75" s="975"/>
      <c r="ALO75" s="975"/>
      <c r="ALP75" s="975"/>
      <c r="ALQ75" s="975"/>
      <c r="ALR75" s="975"/>
      <c r="ALS75" s="975"/>
      <c r="ALT75" s="975"/>
      <c r="ALU75" s="975"/>
      <c r="ALV75" s="975"/>
      <c r="ALW75" s="975"/>
      <c r="ALX75" s="975"/>
      <c r="ALY75" s="975"/>
      <c r="ALZ75" s="975"/>
      <c r="AMA75" s="975"/>
      <c r="AMB75" s="975"/>
      <c r="AMC75" s="975"/>
      <c r="AMD75" s="975"/>
      <c r="AME75" s="975"/>
      <c r="AMF75" s="975"/>
      <c r="AMG75" s="975"/>
      <c r="AMH75" s="975"/>
      <c r="AMI75" s="975"/>
      <c r="AMJ75" s="975"/>
      <c r="AMK75" s="975"/>
      <c r="AML75" s="975"/>
      <c r="AMM75" s="975"/>
      <c r="AMN75" s="975"/>
      <c r="AMO75" s="975"/>
      <c r="AMP75" s="975"/>
      <c r="AMQ75" s="975"/>
      <c r="AMR75" s="975"/>
      <c r="AMS75" s="975"/>
      <c r="AMT75" s="975"/>
      <c r="AMU75" s="975"/>
      <c r="AMV75" s="975"/>
      <c r="AMW75" s="975"/>
      <c r="AMX75" s="975"/>
      <c r="AMY75" s="975"/>
      <c r="AMZ75" s="975"/>
      <c r="ANA75" s="975"/>
      <c r="ANB75" s="975"/>
      <c r="ANC75" s="975"/>
      <c r="AND75" s="975"/>
      <c r="ANE75" s="975"/>
      <c r="ANF75" s="975"/>
      <c r="ANG75" s="975"/>
      <c r="ANH75" s="975"/>
      <c r="ANI75" s="975"/>
      <c r="ANJ75" s="975"/>
      <c r="ANK75" s="975"/>
      <c r="ANL75" s="975"/>
      <c r="ANM75" s="975"/>
      <c r="ANN75" s="975"/>
      <c r="ANO75" s="975"/>
      <c r="ANP75" s="975"/>
      <c r="ANQ75" s="975"/>
      <c r="ANR75" s="975"/>
      <c r="ANS75" s="975"/>
      <c r="ANT75" s="975"/>
      <c r="ANU75" s="975"/>
      <c r="ANV75" s="975"/>
      <c r="ANW75" s="975"/>
      <c r="ANX75" s="975"/>
      <c r="ANY75" s="975"/>
      <c r="ANZ75" s="975"/>
      <c r="AOA75" s="975"/>
      <c r="AOB75" s="975"/>
      <c r="AOC75" s="975"/>
      <c r="AOD75" s="975"/>
      <c r="AOE75" s="975"/>
      <c r="AOF75" s="975"/>
      <c r="AOG75" s="975"/>
      <c r="AOH75" s="975"/>
      <c r="AOI75" s="975"/>
      <c r="AOJ75" s="975"/>
      <c r="AOK75" s="975"/>
      <c r="AOL75" s="975"/>
      <c r="AOM75" s="975"/>
      <c r="AON75" s="975"/>
      <c r="AOO75" s="975"/>
      <c r="AOP75" s="975"/>
      <c r="AOQ75" s="975"/>
      <c r="AOR75" s="975"/>
      <c r="AOS75" s="975"/>
      <c r="AOT75" s="975"/>
      <c r="AOU75" s="975"/>
      <c r="AOV75" s="975"/>
      <c r="AOW75" s="975"/>
      <c r="AOX75" s="975"/>
      <c r="AOY75" s="975"/>
      <c r="AOZ75" s="975"/>
      <c r="APA75" s="975"/>
      <c r="APB75" s="975"/>
      <c r="APC75" s="975"/>
      <c r="APD75" s="975"/>
      <c r="APE75" s="975"/>
      <c r="APF75" s="975"/>
      <c r="APG75" s="975"/>
      <c r="APH75" s="975"/>
      <c r="API75" s="975"/>
      <c r="APJ75" s="975"/>
      <c r="APK75" s="975"/>
      <c r="APL75" s="975"/>
      <c r="APM75" s="975"/>
      <c r="APN75" s="975"/>
      <c r="APO75" s="975"/>
      <c r="APP75" s="975"/>
      <c r="APQ75" s="975"/>
      <c r="APR75" s="975"/>
      <c r="APS75" s="975"/>
      <c r="APT75" s="975"/>
      <c r="APU75" s="975"/>
      <c r="APV75" s="975"/>
      <c r="APW75" s="975"/>
      <c r="APX75" s="975"/>
      <c r="APY75" s="975"/>
      <c r="APZ75" s="975"/>
      <c r="AQA75" s="975"/>
      <c r="AQB75" s="975"/>
      <c r="AQC75" s="975"/>
      <c r="AQD75" s="975"/>
      <c r="AQE75" s="975"/>
      <c r="AQF75" s="975"/>
      <c r="AQG75" s="975"/>
      <c r="AQH75" s="975"/>
      <c r="AQI75" s="975"/>
      <c r="AQJ75" s="975"/>
      <c r="AQK75" s="975"/>
      <c r="AQL75" s="975"/>
      <c r="AQM75" s="975"/>
      <c r="AQN75" s="975"/>
      <c r="AQO75" s="975"/>
      <c r="AQP75" s="975"/>
      <c r="AQQ75" s="975"/>
      <c r="AQR75" s="975"/>
      <c r="AQS75" s="975"/>
      <c r="AQT75" s="975"/>
      <c r="AQU75" s="975"/>
      <c r="AQV75" s="975"/>
      <c r="AQW75" s="975"/>
      <c r="AQX75" s="975"/>
      <c r="AQY75" s="975"/>
      <c r="AQZ75" s="975"/>
      <c r="ARA75" s="975"/>
      <c r="ARB75" s="975"/>
      <c r="ARC75" s="975"/>
      <c r="ARD75" s="975"/>
      <c r="ARE75" s="975"/>
      <c r="ARF75" s="975"/>
      <c r="ARG75" s="975"/>
      <c r="ARH75" s="975"/>
      <c r="ARI75" s="975"/>
      <c r="ARJ75" s="975"/>
      <c r="ARK75" s="975"/>
      <c r="ARL75" s="975"/>
      <c r="ARM75" s="975"/>
      <c r="ARN75" s="975"/>
      <c r="ARO75" s="975"/>
      <c r="ARP75" s="975"/>
      <c r="ARQ75" s="975"/>
      <c r="ARR75" s="975"/>
      <c r="ARS75" s="975"/>
      <c r="ART75" s="975"/>
      <c r="ARU75" s="975"/>
      <c r="ARV75" s="975"/>
      <c r="ARW75" s="975"/>
      <c r="ARX75" s="975"/>
      <c r="ARY75" s="975"/>
      <c r="ARZ75" s="975"/>
      <c r="ASA75" s="975"/>
      <c r="ASB75" s="975"/>
      <c r="ASC75" s="975"/>
      <c r="ASD75" s="975"/>
      <c r="ASE75" s="975"/>
      <c r="ASF75" s="975"/>
      <c r="ASG75" s="975"/>
      <c r="ASH75" s="975"/>
      <c r="ASI75" s="975"/>
      <c r="ASJ75" s="975"/>
      <c r="ASK75" s="975"/>
      <c r="ASL75" s="975"/>
      <c r="ASM75" s="975"/>
      <c r="ASN75" s="975"/>
      <c r="ASO75" s="975"/>
      <c r="ASP75" s="975"/>
      <c r="ASQ75" s="975"/>
      <c r="ASR75" s="975"/>
      <c r="ASS75" s="975"/>
      <c r="AST75" s="975"/>
      <c r="ASU75" s="975"/>
      <c r="ASV75" s="975"/>
      <c r="ASW75" s="975"/>
      <c r="ASX75" s="975"/>
      <c r="ASY75" s="975"/>
      <c r="ASZ75" s="975"/>
      <c r="ATA75" s="975"/>
      <c r="ATB75" s="975"/>
      <c r="ATC75" s="975"/>
      <c r="ATD75" s="975"/>
      <c r="ATE75" s="975"/>
      <c r="ATF75" s="975"/>
      <c r="ATG75" s="975"/>
      <c r="ATH75" s="975"/>
      <c r="ATI75" s="975"/>
      <c r="ATJ75" s="975"/>
      <c r="ATK75" s="975"/>
      <c r="ATL75" s="975"/>
      <c r="ATM75" s="975"/>
      <c r="ATN75" s="975"/>
      <c r="ATO75" s="975"/>
      <c r="ATP75" s="975"/>
      <c r="ATQ75" s="975"/>
      <c r="ATR75" s="975"/>
      <c r="ATS75" s="975"/>
      <c r="ATT75" s="975"/>
      <c r="ATU75" s="975"/>
      <c r="ATV75" s="975"/>
      <c r="ATW75" s="975"/>
      <c r="ATX75" s="975"/>
      <c r="ATY75" s="975"/>
      <c r="ATZ75" s="975"/>
      <c r="AUA75" s="975"/>
      <c r="AUB75" s="975"/>
      <c r="AUC75" s="975"/>
      <c r="AUD75" s="975"/>
      <c r="AUE75" s="975"/>
      <c r="AUF75" s="975"/>
      <c r="AUG75" s="975"/>
      <c r="AUH75" s="975"/>
      <c r="AUI75" s="975"/>
      <c r="AUJ75" s="975"/>
      <c r="AUK75" s="975"/>
      <c r="AUL75" s="975"/>
      <c r="AUM75" s="975"/>
      <c r="AUN75" s="975"/>
      <c r="AUO75" s="975"/>
      <c r="AUP75" s="975"/>
      <c r="AUQ75" s="975"/>
      <c r="AUR75" s="975"/>
      <c r="AUS75" s="975"/>
      <c r="AUT75" s="975"/>
      <c r="AUU75" s="975"/>
      <c r="AUV75" s="975"/>
      <c r="AUW75" s="975"/>
      <c r="AUX75" s="975"/>
      <c r="AUY75" s="975"/>
      <c r="AUZ75" s="975"/>
      <c r="AVA75" s="975"/>
      <c r="AVB75" s="975"/>
      <c r="AVC75" s="975"/>
      <c r="AVD75" s="975"/>
      <c r="AVE75" s="975"/>
      <c r="AVF75" s="975"/>
      <c r="AVG75" s="975"/>
      <c r="AVH75" s="975"/>
      <c r="AVI75" s="975"/>
      <c r="AVJ75" s="975"/>
      <c r="AVK75" s="975"/>
      <c r="AVL75" s="975"/>
      <c r="AVM75" s="975"/>
      <c r="AVN75" s="975"/>
      <c r="AVO75" s="975"/>
      <c r="AVP75" s="975"/>
      <c r="AVQ75" s="975"/>
      <c r="AVR75" s="975"/>
      <c r="AVS75" s="975"/>
      <c r="AVT75" s="975"/>
      <c r="AVU75" s="975"/>
      <c r="AVV75" s="975"/>
      <c r="AVW75" s="975"/>
      <c r="AVX75" s="975"/>
      <c r="AVY75" s="975"/>
      <c r="AVZ75" s="975"/>
      <c r="AWA75" s="975"/>
      <c r="AWB75" s="975"/>
      <c r="AWC75" s="975"/>
      <c r="AWD75" s="975"/>
      <c r="AWE75" s="975"/>
      <c r="AWF75" s="975"/>
      <c r="AWG75" s="975"/>
      <c r="AWH75" s="975"/>
      <c r="AWI75" s="975"/>
      <c r="AWJ75" s="975"/>
      <c r="AWK75" s="975"/>
      <c r="AWL75" s="975"/>
      <c r="AWM75" s="975"/>
      <c r="AWN75" s="975"/>
      <c r="AWO75" s="975"/>
      <c r="AWP75" s="975"/>
      <c r="AWQ75" s="975"/>
      <c r="AWR75" s="975"/>
      <c r="AWS75" s="975"/>
      <c r="AWT75" s="975"/>
      <c r="AWU75" s="975"/>
      <c r="AWV75" s="975"/>
      <c r="AWW75" s="975"/>
      <c r="AWX75" s="975"/>
      <c r="AWY75" s="975"/>
      <c r="AWZ75" s="975"/>
      <c r="AXA75" s="975"/>
      <c r="AXB75" s="975"/>
      <c r="AXC75" s="975"/>
      <c r="AXD75" s="975"/>
      <c r="AXE75" s="975"/>
      <c r="AXF75" s="975"/>
      <c r="AXG75" s="975"/>
      <c r="AXH75" s="975"/>
      <c r="AXI75" s="975"/>
      <c r="AXJ75" s="975"/>
      <c r="AXK75" s="975"/>
      <c r="AXL75" s="975"/>
      <c r="AXM75" s="975"/>
      <c r="AXN75" s="975"/>
      <c r="AXO75" s="975"/>
      <c r="AXP75" s="975"/>
      <c r="AXQ75" s="975"/>
      <c r="AXR75" s="975"/>
      <c r="AXS75" s="975"/>
      <c r="AXT75" s="975"/>
      <c r="AXU75" s="975"/>
      <c r="AXV75" s="975"/>
      <c r="AXW75" s="975"/>
      <c r="AXX75" s="975"/>
      <c r="AXY75" s="975"/>
      <c r="AXZ75" s="975"/>
      <c r="AYA75" s="975"/>
      <c r="AYB75" s="975"/>
      <c r="AYC75" s="975"/>
      <c r="AYD75" s="975"/>
      <c r="AYE75" s="975"/>
      <c r="AYF75" s="975"/>
      <c r="AYG75" s="975"/>
      <c r="AYH75" s="975"/>
      <c r="AYI75" s="975"/>
      <c r="AYJ75" s="975"/>
      <c r="AYK75" s="975"/>
      <c r="AYL75" s="975"/>
      <c r="AYM75" s="975"/>
      <c r="AYN75" s="975"/>
      <c r="AYO75" s="975"/>
      <c r="AYP75" s="975"/>
      <c r="AYQ75" s="975"/>
      <c r="AYR75" s="975"/>
      <c r="AYS75" s="975"/>
      <c r="AYT75" s="975"/>
      <c r="AYU75" s="975"/>
      <c r="AYV75" s="975"/>
      <c r="AYW75" s="975"/>
      <c r="AYX75" s="975"/>
      <c r="AYY75" s="975"/>
      <c r="AYZ75" s="975"/>
      <c r="AZA75" s="975"/>
      <c r="AZB75" s="975"/>
      <c r="AZC75" s="975"/>
      <c r="AZD75" s="975"/>
      <c r="AZE75" s="975"/>
      <c r="AZF75" s="975"/>
      <c r="AZG75" s="975"/>
      <c r="AZH75" s="975"/>
      <c r="AZI75" s="975"/>
      <c r="AZJ75" s="975"/>
      <c r="AZK75" s="975"/>
      <c r="AZL75" s="975"/>
      <c r="AZM75" s="975"/>
      <c r="AZN75" s="975"/>
      <c r="AZO75" s="975"/>
      <c r="AZP75" s="975"/>
      <c r="AZQ75" s="975"/>
      <c r="AZR75" s="975"/>
      <c r="AZS75" s="975"/>
      <c r="AZT75" s="975"/>
      <c r="AZU75" s="975"/>
      <c r="AZV75" s="975"/>
      <c r="AZW75" s="975"/>
      <c r="AZX75" s="975"/>
      <c r="AZY75" s="975"/>
      <c r="AZZ75" s="975"/>
      <c r="BAA75" s="975"/>
      <c r="BAB75" s="975"/>
      <c r="BAC75" s="975"/>
      <c r="BAD75" s="975"/>
      <c r="BAE75" s="975"/>
      <c r="BAF75" s="975"/>
      <c r="BAG75" s="975"/>
      <c r="BAH75" s="975"/>
      <c r="BAI75" s="975"/>
      <c r="BAJ75" s="975"/>
      <c r="BAK75" s="975"/>
      <c r="BAL75" s="975"/>
      <c r="BAM75" s="975"/>
      <c r="BAN75" s="975"/>
      <c r="BAO75" s="975"/>
      <c r="BAP75" s="975"/>
      <c r="BAQ75" s="975"/>
      <c r="BAR75" s="975"/>
      <c r="BAS75" s="975"/>
      <c r="BAT75" s="975"/>
      <c r="BAU75" s="975"/>
      <c r="BAV75" s="975"/>
      <c r="BAW75" s="975"/>
      <c r="BAX75" s="975"/>
      <c r="BAY75" s="975"/>
      <c r="BAZ75" s="975"/>
      <c r="BBA75" s="975"/>
      <c r="BBB75" s="975"/>
      <c r="BBC75" s="975"/>
      <c r="BBD75" s="975"/>
      <c r="BBE75" s="975"/>
      <c r="BBF75" s="975"/>
      <c r="BBG75" s="975"/>
      <c r="BBH75" s="975"/>
      <c r="BBI75" s="975"/>
      <c r="BBJ75" s="975"/>
      <c r="BBK75" s="975"/>
      <c r="BBL75" s="975"/>
      <c r="BBM75" s="975"/>
      <c r="BBN75" s="975"/>
      <c r="BBO75" s="975"/>
      <c r="BBP75" s="975"/>
      <c r="BBQ75" s="975"/>
      <c r="BBR75" s="975"/>
      <c r="BBS75" s="975"/>
      <c r="BBT75" s="975"/>
      <c r="BBU75" s="975"/>
      <c r="BBV75" s="975"/>
      <c r="BBW75" s="975"/>
      <c r="BBX75" s="975"/>
      <c r="BBY75" s="975"/>
      <c r="BBZ75" s="975"/>
      <c r="BCA75" s="975"/>
      <c r="BCB75" s="975"/>
      <c r="BCC75" s="975"/>
      <c r="BCD75" s="975"/>
      <c r="BCE75" s="975"/>
      <c r="BCF75" s="975"/>
      <c r="BCG75" s="975"/>
      <c r="BCH75" s="975"/>
      <c r="BCI75" s="975"/>
      <c r="BCJ75" s="975"/>
      <c r="BCK75" s="975"/>
      <c r="BCL75" s="975"/>
      <c r="BCM75" s="975"/>
      <c r="BCN75" s="975"/>
      <c r="BCO75" s="975"/>
      <c r="BCP75" s="975"/>
      <c r="BCQ75" s="975"/>
      <c r="BCR75" s="975"/>
      <c r="BCS75" s="975"/>
      <c r="BCT75" s="975"/>
      <c r="BCU75" s="975"/>
      <c r="BCV75" s="975"/>
      <c r="BCW75" s="975"/>
      <c r="BCX75" s="975"/>
      <c r="BCY75" s="975"/>
      <c r="BCZ75" s="975"/>
      <c r="BDA75" s="975"/>
      <c r="BDB75" s="975"/>
      <c r="BDC75" s="975"/>
      <c r="BDD75" s="975"/>
      <c r="BDE75" s="975"/>
      <c r="BDF75" s="975"/>
      <c r="BDG75" s="975"/>
      <c r="BDH75" s="975"/>
      <c r="BDI75" s="975"/>
      <c r="BDJ75" s="975"/>
      <c r="BDK75" s="975"/>
      <c r="BDL75" s="975"/>
      <c r="BDM75" s="975"/>
      <c r="BDN75" s="975"/>
      <c r="BDO75" s="975"/>
      <c r="BDP75" s="975"/>
      <c r="BDQ75" s="975"/>
      <c r="BDR75" s="975"/>
      <c r="BDS75" s="975"/>
      <c r="BDT75" s="975"/>
      <c r="BDU75" s="975"/>
      <c r="BDV75" s="975"/>
      <c r="BDW75" s="975"/>
      <c r="BDX75" s="975"/>
      <c r="BDY75" s="975"/>
      <c r="BDZ75" s="975"/>
      <c r="BEA75" s="975"/>
      <c r="BEB75" s="975"/>
      <c r="BEC75" s="975"/>
      <c r="BED75" s="975"/>
      <c r="BEE75" s="975"/>
      <c r="BEF75" s="975"/>
      <c r="BEG75" s="975"/>
      <c r="BEH75" s="975"/>
      <c r="BEI75" s="975"/>
      <c r="BEJ75" s="975"/>
      <c r="BEK75" s="975"/>
      <c r="BEL75" s="975"/>
      <c r="BEM75" s="975"/>
      <c r="BEN75" s="975"/>
      <c r="BEO75" s="975"/>
      <c r="BEP75" s="975"/>
      <c r="BEQ75" s="975"/>
      <c r="BER75" s="975"/>
      <c r="BES75" s="975"/>
      <c r="BET75" s="975"/>
      <c r="BEU75" s="975"/>
      <c r="BEV75" s="975"/>
      <c r="BEW75" s="975"/>
      <c r="BEX75" s="975"/>
      <c r="BEY75" s="975"/>
      <c r="BEZ75" s="975"/>
      <c r="BFA75" s="975"/>
      <c r="BFB75" s="975"/>
      <c r="BFC75" s="975"/>
      <c r="BFD75" s="975"/>
      <c r="BFE75" s="975"/>
      <c r="BFF75" s="975"/>
      <c r="BFG75" s="975"/>
      <c r="BFH75" s="975"/>
      <c r="BFI75" s="975"/>
      <c r="BFJ75" s="975"/>
      <c r="BFK75" s="975"/>
      <c r="BFL75" s="975"/>
      <c r="BFM75" s="975"/>
      <c r="BFN75" s="975"/>
      <c r="BFO75" s="975"/>
      <c r="BFP75" s="975"/>
      <c r="BFQ75" s="975"/>
      <c r="BFR75" s="975"/>
      <c r="BFS75" s="975"/>
      <c r="BFT75" s="975"/>
      <c r="BFU75" s="975"/>
      <c r="BFV75" s="975"/>
      <c r="BFW75" s="975"/>
      <c r="BFX75" s="975"/>
      <c r="BFY75" s="975"/>
      <c r="BFZ75" s="975"/>
      <c r="BGA75" s="975"/>
      <c r="BGB75" s="975"/>
      <c r="BGC75" s="975"/>
      <c r="BGD75" s="975"/>
      <c r="BGE75" s="975"/>
      <c r="BGF75" s="975"/>
      <c r="BGG75" s="975"/>
      <c r="BGH75" s="975"/>
      <c r="BGI75" s="975"/>
      <c r="BGJ75" s="975"/>
      <c r="BGK75" s="975"/>
      <c r="BGL75" s="975"/>
      <c r="BGM75" s="975"/>
      <c r="BGN75" s="975"/>
      <c r="BGO75" s="975"/>
      <c r="BGP75" s="975"/>
      <c r="BGQ75" s="975"/>
      <c r="BGR75" s="975"/>
      <c r="BGS75" s="975"/>
      <c r="BGT75" s="975"/>
      <c r="BGU75" s="975"/>
      <c r="BGV75" s="975"/>
      <c r="BGW75" s="975"/>
      <c r="BGX75" s="975"/>
      <c r="BGY75" s="975"/>
      <c r="BGZ75" s="975"/>
      <c r="BHA75" s="975"/>
      <c r="BHB75" s="975"/>
      <c r="BHC75" s="975"/>
      <c r="BHD75" s="975"/>
      <c r="BHE75" s="975"/>
      <c r="BHF75" s="975"/>
      <c r="BHG75" s="975"/>
      <c r="BHH75" s="975"/>
      <c r="BHI75" s="975"/>
      <c r="BHJ75" s="975"/>
      <c r="BHK75" s="975"/>
      <c r="BHL75" s="975"/>
      <c r="BHM75" s="975"/>
      <c r="BHN75" s="975"/>
      <c r="BHO75" s="975"/>
      <c r="BHP75" s="975"/>
      <c r="BHQ75" s="975"/>
      <c r="BHR75" s="975"/>
      <c r="BHS75" s="975"/>
      <c r="BHT75" s="975"/>
      <c r="BHU75" s="975"/>
      <c r="BHV75" s="975"/>
      <c r="BHW75" s="975"/>
      <c r="BHX75" s="975"/>
      <c r="BHY75" s="975"/>
      <c r="BHZ75" s="975"/>
      <c r="BIA75" s="975"/>
      <c r="BIB75" s="975"/>
      <c r="BIC75" s="975"/>
      <c r="BID75" s="975"/>
      <c r="BIE75" s="975"/>
      <c r="BIF75" s="975"/>
      <c r="BIG75" s="975"/>
      <c r="BIH75" s="975"/>
      <c r="BII75" s="975"/>
      <c r="BIJ75" s="975"/>
      <c r="BIK75" s="975"/>
      <c r="BIL75" s="975"/>
      <c r="BIM75" s="975"/>
      <c r="BIN75" s="975"/>
      <c r="BIO75" s="975"/>
      <c r="BIP75" s="975"/>
      <c r="BIQ75" s="975"/>
      <c r="BIR75" s="975"/>
      <c r="BIS75" s="975"/>
      <c r="BIT75" s="975"/>
      <c r="BIU75" s="975"/>
      <c r="BIV75" s="975"/>
      <c r="BIW75" s="975"/>
      <c r="BIX75" s="975"/>
      <c r="BIY75" s="975"/>
      <c r="BIZ75" s="975"/>
      <c r="BJA75" s="975"/>
      <c r="BJB75" s="975"/>
      <c r="BJC75" s="975"/>
      <c r="BJD75" s="975"/>
      <c r="BJE75" s="975"/>
      <c r="BJF75" s="975"/>
      <c r="BJG75" s="975"/>
      <c r="BJH75" s="975"/>
      <c r="BJI75" s="975"/>
      <c r="BJJ75" s="975"/>
      <c r="BJK75" s="975"/>
      <c r="BJL75" s="975"/>
      <c r="BJM75" s="975"/>
      <c r="BJN75" s="975"/>
      <c r="BJO75" s="975"/>
      <c r="BJP75" s="975"/>
      <c r="BJQ75" s="975"/>
      <c r="BJR75" s="975"/>
      <c r="BJS75" s="975"/>
      <c r="BJT75" s="975"/>
      <c r="BJU75" s="975"/>
      <c r="BJV75" s="975"/>
      <c r="BJW75" s="975"/>
      <c r="BJX75" s="975"/>
      <c r="BJY75" s="975"/>
      <c r="BJZ75" s="975"/>
      <c r="BKA75" s="975"/>
      <c r="BKB75" s="975"/>
      <c r="BKC75" s="975"/>
      <c r="BKD75" s="975"/>
      <c r="BKE75" s="975"/>
      <c r="BKF75" s="975"/>
      <c r="BKG75" s="975"/>
      <c r="BKH75" s="975"/>
      <c r="BKI75" s="975"/>
      <c r="BKJ75" s="975"/>
      <c r="BKK75" s="975"/>
      <c r="BKL75" s="975"/>
      <c r="BKM75" s="975"/>
      <c r="BKN75" s="975"/>
      <c r="BKO75" s="975"/>
      <c r="BKP75" s="975"/>
      <c r="BKQ75" s="975"/>
      <c r="BKR75" s="975"/>
      <c r="BKS75" s="975"/>
      <c r="BKT75" s="975"/>
      <c r="BKU75" s="975"/>
      <c r="BKV75" s="975"/>
      <c r="BKW75" s="975"/>
      <c r="BKX75" s="975"/>
      <c r="BKY75" s="975"/>
      <c r="BKZ75" s="975"/>
      <c r="BLA75" s="975"/>
      <c r="BLB75" s="975"/>
      <c r="BLC75" s="975"/>
      <c r="BLD75" s="975"/>
      <c r="BLE75" s="975"/>
      <c r="BLF75" s="975"/>
      <c r="BLG75" s="975"/>
      <c r="BLH75" s="975"/>
      <c r="BLI75" s="975"/>
      <c r="BLJ75" s="975"/>
      <c r="BLK75" s="975"/>
      <c r="BLL75" s="975"/>
      <c r="BLM75" s="975"/>
      <c r="BLN75" s="975"/>
      <c r="BLO75" s="975"/>
      <c r="BLP75" s="975"/>
      <c r="BLQ75" s="975"/>
      <c r="BLR75" s="975"/>
      <c r="BLS75" s="975"/>
      <c r="BLT75" s="975"/>
      <c r="BLU75" s="975"/>
      <c r="BLV75" s="975"/>
      <c r="BLW75" s="975"/>
      <c r="BLX75" s="975"/>
      <c r="BLY75" s="975"/>
      <c r="BLZ75" s="975"/>
      <c r="BMA75" s="975"/>
      <c r="BMB75" s="975"/>
      <c r="BMC75" s="975"/>
      <c r="BMD75" s="975"/>
      <c r="BME75" s="975"/>
      <c r="BMF75" s="975"/>
      <c r="BMG75" s="975"/>
      <c r="BMH75" s="975"/>
      <c r="BMI75" s="975"/>
      <c r="BMJ75" s="975"/>
      <c r="BMK75" s="975"/>
      <c r="BML75" s="975"/>
      <c r="BMM75" s="975"/>
      <c r="BMN75" s="975"/>
      <c r="BMO75" s="975"/>
      <c r="BMP75" s="975"/>
      <c r="BMQ75" s="975"/>
      <c r="BMR75" s="975"/>
      <c r="BMS75" s="975"/>
      <c r="BMT75" s="975"/>
      <c r="BMU75" s="975"/>
      <c r="BMV75" s="975"/>
      <c r="BMW75" s="975"/>
      <c r="BMX75" s="975"/>
      <c r="BMY75" s="975"/>
      <c r="BMZ75" s="975"/>
      <c r="BNA75" s="975"/>
      <c r="BNB75" s="975"/>
      <c r="BNC75" s="975"/>
      <c r="BND75" s="975"/>
      <c r="BNE75" s="975"/>
      <c r="BNF75" s="975"/>
      <c r="BNG75" s="975"/>
      <c r="BNH75" s="975"/>
      <c r="BNI75" s="975"/>
      <c r="BNJ75" s="975"/>
      <c r="BNK75" s="975"/>
      <c r="BNL75" s="975"/>
      <c r="BNM75" s="975"/>
      <c r="BNN75" s="975"/>
      <c r="BNO75" s="975"/>
      <c r="BNP75" s="975"/>
      <c r="BNQ75" s="975"/>
      <c r="BNR75" s="975"/>
      <c r="BNS75" s="975"/>
      <c r="BNT75" s="975"/>
      <c r="BNU75" s="975"/>
      <c r="BNV75" s="975"/>
      <c r="BNW75" s="975"/>
      <c r="BNX75" s="975"/>
      <c r="BNY75" s="975"/>
      <c r="BNZ75" s="975"/>
      <c r="BOA75" s="975"/>
      <c r="BOB75" s="975"/>
      <c r="BOC75" s="975"/>
      <c r="BOD75" s="975"/>
      <c r="BOE75" s="975"/>
      <c r="BOF75" s="975"/>
      <c r="BOG75" s="975"/>
      <c r="BOH75" s="975"/>
      <c r="BOI75" s="975"/>
      <c r="BOJ75" s="975"/>
      <c r="BOK75" s="975"/>
      <c r="BOL75" s="975"/>
      <c r="BOM75" s="975"/>
      <c r="BON75" s="975"/>
      <c r="BOO75" s="975"/>
      <c r="BOP75" s="975"/>
      <c r="BOQ75" s="975"/>
      <c r="BOR75" s="975"/>
      <c r="BOS75" s="975"/>
      <c r="BOT75" s="975"/>
      <c r="BOU75" s="975"/>
      <c r="BOV75" s="975"/>
      <c r="BOW75" s="975"/>
      <c r="BOX75" s="975"/>
      <c r="BOY75" s="975"/>
      <c r="BOZ75" s="975"/>
      <c r="BPA75" s="975"/>
      <c r="BPB75" s="975"/>
      <c r="BPC75" s="975"/>
      <c r="BPD75" s="975"/>
      <c r="BPE75" s="975"/>
      <c r="BPF75" s="975"/>
      <c r="BPG75" s="975"/>
      <c r="BPH75" s="975"/>
      <c r="BPI75" s="975"/>
      <c r="BPJ75" s="975"/>
      <c r="BPK75" s="975"/>
      <c r="BPL75" s="975"/>
      <c r="BPM75" s="975"/>
      <c r="BPN75" s="975"/>
      <c r="BPO75" s="975"/>
      <c r="BPP75" s="975"/>
      <c r="BPQ75" s="975"/>
      <c r="BPR75" s="975"/>
      <c r="BPS75" s="975"/>
      <c r="BPT75" s="975"/>
      <c r="BPU75" s="975"/>
      <c r="BPV75" s="975"/>
      <c r="BPW75" s="975"/>
      <c r="BPX75" s="975"/>
      <c r="BPY75" s="975"/>
      <c r="BPZ75" s="975"/>
      <c r="BQA75" s="975"/>
      <c r="BQB75" s="975"/>
      <c r="BQC75" s="975"/>
      <c r="BQD75" s="975"/>
      <c r="BQE75" s="975"/>
      <c r="BQF75" s="975"/>
      <c r="BQG75" s="975"/>
      <c r="BQH75" s="975"/>
      <c r="BQI75" s="975"/>
      <c r="BQJ75" s="975"/>
      <c r="BQK75" s="975"/>
      <c r="BQL75" s="975"/>
      <c r="BQM75" s="975"/>
      <c r="BQN75" s="975"/>
      <c r="BQO75" s="975"/>
      <c r="BQP75" s="975"/>
      <c r="BQQ75" s="975"/>
      <c r="BQR75" s="975"/>
      <c r="BQS75" s="975"/>
      <c r="BQT75" s="975"/>
      <c r="BQU75" s="975"/>
      <c r="BQV75" s="975"/>
      <c r="BQW75" s="975"/>
      <c r="BQX75" s="975"/>
      <c r="BQY75" s="975"/>
      <c r="BQZ75" s="975"/>
      <c r="BRA75" s="975"/>
      <c r="BRB75" s="975"/>
      <c r="BRC75" s="975"/>
      <c r="BRD75" s="975"/>
      <c r="BRE75" s="975"/>
      <c r="BRF75" s="975"/>
      <c r="BRG75" s="975"/>
      <c r="BRH75" s="975"/>
      <c r="BRI75" s="975"/>
      <c r="BRJ75" s="975"/>
      <c r="BRK75" s="975"/>
      <c r="BRL75" s="975"/>
      <c r="BRM75" s="975"/>
      <c r="BRN75" s="975"/>
      <c r="BRO75" s="975"/>
      <c r="BRP75" s="975"/>
      <c r="BRQ75" s="975"/>
      <c r="BRR75" s="975"/>
      <c r="BRS75" s="975"/>
      <c r="BRT75" s="975"/>
      <c r="BRU75" s="975"/>
      <c r="BRV75" s="975"/>
      <c r="BRW75" s="975"/>
      <c r="BRX75" s="975"/>
      <c r="BRY75" s="975"/>
      <c r="BRZ75" s="975"/>
      <c r="BSA75" s="975"/>
      <c r="BSB75" s="975"/>
      <c r="BSC75" s="975"/>
      <c r="BSD75" s="975"/>
      <c r="BSE75" s="975"/>
      <c r="BSF75" s="975"/>
      <c r="BSG75" s="975"/>
      <c r="BSH75" s="975"/>
      <c r="BSI75" s="975"/>
      <c r="BSJ75" s="975"/>
      <c r="BSK75" s="975"/>
      <c r="BSL75" s="975"/>
      <c r="BSM75" s="975"/>
      <c r="BSN75" s="975"/>
      <c r="BSO75" s="975"/>
      <c r="BSP75" s="975"/>
      <c r="BSQ75" s="975"/>
      <c r="BSR75" s="975"/>
      <c r="BSS75" s="975"/>
      <c r="BST75" s="975"/>
      <c r="BSU75" s="975"/>
      <c r="BSV75" s="975"/>
      <c r="BSW75" s="975"/>
      <c r="BSX75" s="975"/>
      <c r="BSY75" s="975"/>
      <c r="BSZ75" s="975"/>
      <c r="BTA75" s="975"/>
      <c r="BTB75" s="975"/>
      <c r="BTC75" s="975"/>
      <c r="BTD75" s="975"/>
      <c r="BTE75" s="975"/>
      <c r="BTF75" s="975"/>
      <c r="BTG75" s="975"/>
      <c r="BTH75" s="975"/>
      <c r="BTI75" s="975"/>
      <c r="BTJ75" s="975"/>
      <c r="BTK75" s="975"/>
      <c r="BTL75" s="975"/>
      <c r="BTM75" s="975"/>
      <c r="BTN75" s="975"/>
      <c r="BTO75" s="975"/>
      <c r="BTP75" s="975"/>
      <c r="BTQ75" s="975"/>
      <c r="BTR75" s="975"/>
      <c r="BTS75" s="975"/>
      <c r="BTT75" s="975"/>
      <c r="BTU75" s="975"/>
      <c r="BTV75" s="975"/>
      <c r="BTW75" s="975"/>
      <c r="BTX75" s="975"/>
      <c r="BTY75" s="975"/>
      <c r="BTZ75" s="975"/>
      <c r="BUA75" s="975"/>
      <c r="BUB75" s="975"/>
      <c r="BUC75" s="975"/>
      <c r="BUD75" s="975"/>
      <c r="BUE75" s="975"/>
      <c r="BUF75" s="975"/>
      <c r="BUG75" s="975"/>
      <c r="BUH75" s="975"/>
      <c r="BUI75" s="975"/>
      <c r="BUJ75" s="975"/>
      <c r="BUK75" s="975"/>
      <c r="BUL75" s="975"/>
      <c r="BUM75" s="975"/>
      <c r="BUN75" s="975"/>
      <c r="BUO75" s="975"/>
      <c r="BUP75" s="975"/>
      <c r="BUQ75" s="975"/>
      <c r="BUR75" s="975"/>
      <c r="BUS75" s="975"/>
      <c r="BUT75" s="975"/>
      <c r="BUU75" s="975"/>
      <c r="BUV75" s="975"/>
      <c r="BUW75" s="975"/>
      <c r="BUX75" s="975"/>
      <c r="BUY75" s="975"/>
      <c r="BUZ75" s="975"/>
      <c r="BVA75" s="975"/>
      <c r="BVB75" s="975"/>
      <c r="BVC75" s="975"/>
      <c r="BVD75" s="975"/>
      <c r="BVE75" s="975"/>
      <c r="BVF75" s="975"/>
      <c r="BVG75" s="975"/>
      <c r="BVH75" s="975"/>
      <c r="BVI75" s="975"/>
      <c r="BVJ75" s="975"/>
      <c r="BVK75" s="975"/>
      <c r="BVL75" s="975"/>
      <c r="BVM75" s="975"/>
      <c r="BVN75" s="975"/>
      <c r="BVO75" s="975"/>
      <c r="BVP75" s="975"/>
      <c r="BVQ75" s="975"/>
      <c r="BVR75" s="975"/>
      <c r="BVS75" s="975"/>
      <c r="BVT75" s="975"/>
      <c r="BVU75" s="975"/>
      <c r="BVV75" s="975"/>
      <c r="BVW75" s="975"/>
      <c r="BVX75" s="975"/>
      <c r="BVY75" s="975"/>
      <c r="BVZ75" s="975"/>
      <c r="BWA75" s="975"/>
      <c r="BWB75" s="975"/>
      <c r="BWC75" s="975"/>
      <c r="BWD75" s="975"/>
      <c r="BWE75" s="975"/>
      <c r="BWF75" s="975"/>
      <c r="BWG75" s="975"/>
      <c r="BWH75" s="975"/>
      <c r="BWI75" s="975"/>
      <c r="BWJ75" s="975"/>
      <c r="BWK75" s="975"/>
      <c r="BWL75" s="975"/>
      <c r="BWM75" s="975"/>
      <c r="BWN75" s="975"/>
      <c r="BWO75" s="975"/>
      <c r="BWP75" s="975"/>
      <c r="BWQ75" s="975"/>
      <c r="BWR75" s="975"/>
      <c r="BWS75" s="975"/>
      <c r="BWT75" s="975"/>
      <c r="BWU75" s="975"/>
      <c r="BWV75" s="975"/>
      <c r="BWW75" s="975"/>
      <c r="BWX75" s="975"/>
      <c r="BWY75" s="975"/>
      <c r="BWZ75" s="975"/>
      <c r="BXA75" s="975"/>
      <c r="BXB75" s="975"/>
      <c r="BXC75" s="975"/>
      <c r="BXD75" s="975"/>
      <c r="BXE75" s="975"/>
      <c r="BXF75" s="975"/>
      <c r="BXG75" s="975"/>
      <c r="BXH75" s="975"/>
      <c r="BXI75" s="975"/>
      <c r="BXJ75" s="975"/>
      <c r="BXK75" s="975"/>
      <c r="BXL75" s="975"/>
      <c r="BXM75" s="975"/>
      <c r="BXN75" s="975"/>
      <c r="BXO75" s="975"/>
      <c r="BXP75" s="975"/>
      <c r="BXQ75" s="975"/>
      <c r="BXR75" s="975"/>
      <c r="BXS75" s="975"/>
      <c r="BXT75" s="975"/>
      <c r="BXU75" s="975"/>
      <c r="BXV75" s="975"/>
      <c r="BXW75" s="975"/>
      <c r="BXX75" s="975"/>
      <c r="BXY75" s="975"/>
      <c r="BXZ75" s="975"/>
      <c r="BYA75" s="975"/>
      <c r="BYB75" s="975"/>
      <c r="BYC75" s="975"/>
      <c r="BYD75" s="975"/>
      <c r="BYE75" s="975"/>
      <c r="BYF75" s="975"/>
      <c r="BYG75" s="975"/>
      <c r="BYH75" s="975"/>
      <c r="BYI75" s="975"/>
      <c r="BYJ75" s="975"/>
      <c r="BYK75" s="975"/>
      <c r="BYL75" s="975"/>
      <c r="BYM75" s="975"/>
      <c r="BYN75" s="975"/>
      <c r="BYO75" s="975"/>
      <c r="BYP75" s="975"/>
      <c r="BYQ75" s="975"/>
      <c r="BYR75" s="975"/>
      <c r="BYS75" s="975"/>
      <c r="BYT75" s="975"/>
      <c r="BYU75" s="975"/>
      <c r="BYV75" s="975"/>
      <c r="BYW75" s="975"/>
      <c r="BYX75" s="975"/>
      <c r="BYY75" s="975"/>
      <c r="BYZ75" s="975"/>
      <c r="BZA75" s="975"/>
      <c r="BZB75" s="975"/>
      <c r="BZC75" s="975"/>
      <c r="BZD75" s="975"/>
      <c r="BZE75" s="975"/>
      <c r="BZF75" s="975"/>
      <c r="BZG75" s="975"/>
      <c r="BZH75" s="975"/>
      <c r="BZI75" s="975"/>
      <c r="BZJ75" s="975"/>
      <c r="BZK75" s="975"/>
      <c r="BZL75" s="975"/>
      <c r="BZM75" s="975"/>
      <c r="BZN75" s="975"/>
      <c r="BZO75" s="975"/>
      <c r="BZP75" s="975"/>
      <c r="BZQ75" s="975"/>
      <c r="BZR75" s="975"/>
      <c r="BZS75" s="975"/>
      <c r="BZT75" s="975"/>
      <c r="BZU75" s="975"/>
      <c r="BZV75" s="975"/>
      <c r="BZW75" s="975"/>
      <c r="BZX75" s="975"/>
      <c r="BZY75" s="975"/>
      <c r="BZZ75" s="975"/>
      <c r="CAA75" s="975"/>
      <c r="CAB75" s="975"/>
      <c r="CAC75" s="975"/>
      <c r="CAD75" s="975"/>
      <c r="CAE75" s="975"/>
      <c r="CAF75" s="975"/>
      <c r="CAG75" s="975"/>
      <c r="CAH75" s="975"/>
      <c r="CAI75" s="975"/>
      <c r="CAJ75" s="975"/>
      <c r="CAK75" s="975"/>
      <c r="CAL75" s="975"/>
      <c r="CAM75" s="975"/>
      <c r="CAN75" s="975"/>
      <c r="CAO75" s="975"/>
      <c r="CAP75" s="975"/>
      <c r="CAQ75" s="975"/>
      <c r="CAR75" s="975"/>
      <c r="CAS75" s="975"/>
      <c r="CAT75" s="975"/>
      <c r="CAU75" s="975"/>
      <c r="CAV75" s="975"/>
      <c r="CAW75" s="975"/>
      <c r="CAX75" s="975"/>
      <c r="CAY75" s="975"/>
      <c r="CAZ75" s="975"/>
      <c r="CBA75" s="975"/>
      <c r="CBB75" s="975"/>
      <c r="CBC75" s="975"/>
      <c r="CBD75" s="975"/>
      <c r="CBE75" s="975"/>
      <c r="CBF75" s="975"/>
      <c r="CBG75" s="975"/>
      <c r="CBH75" s="975"/>
      <c r="CBI75" s="975"/>
      <c r="CBJ75" s="975"/>
      <c r="CBK75" s="975"/>
      <c r="CBL75" s="975"/>
      <c r="CBM75" s="975"/>
      <c r="CBN75" s="975"/>
      <c r="CBO75" s="975"/>
      <c r="CBP75" s="975"/>
      <c r="CBQ75" s="975"/>
      <c r="CBR75" s="975"/>
      <c r="CBS75" s="975"/>
      <c r="CBT75" s="975"/>
      <c r="CBU75" s="975"/>
      <c r="CBV75" s="975"/>
      <c r="CBW75" s="975"/>
      <c r="CBX75" s="975"/>
      <c r="CBY75" s="975"/>
      <c r="CBZ75" s="975"/>
      <c r="CCA75" s="975"/>
      <c r="CCB75" s="975"/>
      <c r="CCC75" s="975"/>
      <c r="CCD75" s="975"/>
      <c r="CCE75" s="975"/>
      <c r="CCF75" s="975"/>
      <c r="CCG75" s="975"/>
      <c r="CCH75" s="975"/>
      <c r="CCI75" s="975"/>
      <c r="CCJ75" s="975"/>
      <c r="CCK75" s="975"/>
      <c r="CCL75" s="975"/>
      <c r="CCM75" s="975"/>
      <c r="CCN75" s="975"/>
      <c r="CCO75" s="975"/>
      <c r="CCP75" s="975"/>
      <c r="CCQ75" s="975"/>
      <c r="CCR75" s="975"/>
      <c r="CCS75" s="975"/>
      <c r="CCT75" s="975"/>
      <c r="CCU75" s="975"/>
      <c r="CCV75" s="975"/>
      <c r="CCW75" s="975"/>
      <c r="CCX75" s="975"/>
      <c r="CCY75" s="975"/>
      <c r="CCZ75" s="975"/>
      <c r="CDA75" s="975"/>
      <c r="CDB75" s="975"/>
      <c r="CDC75" s="975"/>
      <c r="CDD75" s="975"/>
      <c r="CDE75" s="975"/>
      <c r="CDF75" s="975"/>
      <c r="CDG75" s="975"/>
      <c r="CDH75" s="975"/>
      <c r="CDI75" s="975"/>
      <c r="CDJ75" s="975"/>
      <c r="CDK75" s="975"/>
      <c r="CDL75" s="975"/>
      <c r="CDM75" s="975"/>
      <c r="CDN75" s="975"/>
      <c r="CDO75" s="975"/>
      <c r="CDP75" s="975"/>
      <c r="CDQ75" s="975"/>
      <c r="CDR75" s="975"/>
      <c r="CDS75" s="975"/>
      <c r="CDT75" s="975"/>
      <c r="CDU75" s="975"/>
      <c r="CDV75" s="975"/>
      <c r="CDW75" s="975"/>
      <c r="CDX75" s="975"/>
      <c r="CDY75" s="975"/>
      <c r="CDZ75" s="975"/>
      <c r="CEA75" s="975"/>
      <c r="CEB75" s="975"/>
      <c r="CEC75" s="975"/>
      <c r="CED75" s="975"/>
      <c r="CEE75" s="975"/>
      <c r="CEF75" s="975"/>
      <c r="CEG75" s="975"/>
      <c r="CEH75" s="975"/>
      <c r="CEI75" s="975"/>
      <c r="CEJ75" s="975"/>
      <c r="CEK75" s="975"/>
      <c r="CEL75" s="975"/>
      <c r="CEM75" s="975"/>
      <c r="CEN75" s="975"/>
      <c r="CEO75" s="975"/>
      <c r="CEP75" s="975"/>
      <c r="CEQ75" s="975"/>
      <c r="CER75" s="975"/>
      <c r="CES75" s="975"/>
      <c r="CET75" s="975"/>
      <c r="CEU75" s="975"/>
      <c r="CEV75" s="975"/>
      <c r="CEW75" s="975"/>
      <c r="CEX75" s="975"/>
      <c r="CEY75" s="975"/>
      <c r="CEZ75" s="975"/>
      <c r="CFA75" s="975"/>
      <c r="CFB75" s="975"/>
      <c r="CFC75" s="975"/>
      <c r="CFD75" s="975"/>
      <c r="CFE75" s="975"/>
      <c r="CFF75" s="975"/>
      <c r="CFG75" s="975"/>
      <c r="CFH75" s="975"/>
      <c r="CFI75" s="975"/>
      <c r="CFJ75" s="975"/>
      <c r="CFK75" s="975"/>
      <c r="CFL75" s="975"/>
      <c r="CFM75" s="975"/>
      <c r="CFN75" s="975"/>
      <c r="CFO75" s="975"/>
      <c r="CFP75" s="975"/>
      <c r="CFQ75" s="975"/>
      <c r="CFR75" s="975"/>
      <c r="CFS75" s="975"/>
      <c r="CFT75" s="975"/>
      <c r="CFU75" s="975"/>
      <c r="CFV75" s="975"/>
      <c r="CFW75" s="975"/>
      <c r="CFX75" s="975"/>
      <c r="CFY75" s="975"/>
      <c r="CFZ75" s="975"/>
      <c r="CGA75" s="975"/>
      <c r="CGB75" s="975"/>
      <c r="CGC75" s="975"/>
      <c r="CGD75" s="975"/>
      <c r="CGE75" s="975"/>
      <c r="CGF75" s="975"/>
      <c r="CGG75" s="975"/>
      <c r="CGH75" s="975"/>
      <c r="CGI75" s="975"/>
      <c r="CGJ75" s="975"/>
      <c r="CGK75" s="975"/>
      <c r="CGL75" s="975"/>
      <c r="CGM75" s="975"/>
      <c r="CGN75" s="975"/>
      <c r="CGO75" s="975"/>
      <c r="CGP75" s="975"/>
      <c r="CGQ75" s="975"/>
      <c r="CGR75" s="975"/>
      <c r="CGS75" s="975"/>
      <c r="CGT75" s="975"/>
      <c r="CGU75" s="975"/>
      <c r="CGV75" s="975"/>
      <c r="CGW75" s="975"/>
      <c r="CGX75" s="975"/>
      <c r="CGY75" s="975"/>
      <c r="CGZ75" s="975"/>
      <c r="CHA75" s="975"/>
      <c r="CHB75" s="975"/>
      <c r="CHC75" s="975"/>
      <c r="CHD75" s="975"/>
      <c r="CHE75" s="975"/>
      <c r="CHF75" s="975"/>
      <c r="CHG75" s="975"/>
      <c r="CHH75" s="975"/>
      <c r="CHI75" s="975"/>
      <c r="CHJ75" s="975"/>
      <c r="CHK75" s="975"/>
      <c r="CHL75" s="975"/>
      <c r="CHM75" s="975"/>
      <c r="CHN75" s="975"/>
      <c r="CHO75" s="975"/>
      <c r="CHP75" s="975"/>
      <c r="CHQ75" s="975"/>
      <c r="CHR75" s="975"/>
      <c r="CHS75" s="975"/>
      <c r="CHT75" s="975"/>
      <c r="CHU75" s="975"/>
      <c r="CHV75" s="975"/>
      <c r="CHW75" s="975"/>
      <c r="CHX75" s="975"/>
      <c r="CHY75" s="975"/>
      <c r="CHZ75" s="975"/>
      <c r="CIA75" s="975"/>
      <c r="CIB75" s="975"/>
      <c r="CIC75" s="975"/>
      <c r="CID75" s="975"/>
      <c r="CIE75" s="975"/>
      <c r="CIF75" s="975"/>
      <c r="CIG75" s="975"/>
      <c r="CIH75" s="975"/>
      <c r="CII75" s="975"/>
      <c r="CIJ75" s="975"/>
      <c r="CIK75" s="975"/>
      <c r="CIL75" s="975"/>
      <c r="CIM75" s="975"/>
      <c r="CIN75" s="975"/>
      <c r="CIO75" s="975"/>
      <c r="CIP75" s="975"/>
      <c r="CIQ75" s="975"/>
      <c r="CIR75" s="975"/>
      <c r="CIS75" s="975"/>
      <c r="CIT75" s="975"/>
      <c r="CIU75" s="975"/>
      <c r="CIV75" s="975"/>
      <c r="CIW75" s="975"/>
      <c r="CIX75" s="975"/>
      <c r="CIY75" s="975"/>
      <c r="CIZ75" s="975"/>
      <c r="CJA75" s="975"/>
      <c r="CJB75" s="975"/>
      <c r="CJC75" s="975"/>
      <c r="CJD75" s="975"/>
      <c r="CJE75" s="975"/>
      <c r="CJF75" s="975"/>
      <c r="CJG75" s="975"/>
      <c r="CJH75" s="975"/>
      <c r="CJI75" s="975"/>
      <c r="CJJ75" s="975"/>
      <c r="CJK75" s="975"/>
      <c r="CJL75" s="975"/>
      <c r="CJM75" s="975"/>
      <c r="CJN75" s="975"/>
      <c r="CJO75" s="975"/>
      <c r="CJP75" s="975"/>
      <c r="CJQ75" s="975"/>
      <c r="CJR75" s="975"/>
      <c r="CJS75" s="975"/>
      <c r="CJT75" s="975"/>
      <c r="CJU75" s="975"/>
      <c r="CJV75" s="975"/>
      <c r="CJW75" s="975"/>
      <c r="CJX75" s="975"/>
      <c r="CJY75" s="975"/>
      <c r="CJZ75" s="975"/>
      <c r="CKA75" s="975"/>
      <c r="CKB75" s="975"/>
      <c r="CKC75" s="975"/>
      <c r="CKD75" s="975"/>
      <c r="CKE75" s="975"/>
      <c r="CKF75" s="975"/>
      <c r="CKG75" s="975"/>
      <c r="CKH75" s="975"/>
      <c r="CKI75" s="975"/>
      <c r="CKJ75" s="975"/>
      <c r="CKK75" s="975"/>
      <c r="CKL75" s="975"/>
      <c r="CKM75" s="975"/>
      <c r="CKN75" s="975"/>
      <c r="CKO75" s="975"/>
      <c r="CKP75" s="975"/>
      <c r="CKQ75" s="975"/>
      <c r="CKR75" s="975"/>
      <c r="CKS75" s="975"/>
      <c r="CKT75" s="975"/>
      <c r="CKU75" s="975"/>
      <c r="CKV75" s="975"/>
      <c r="CKW75" s="975"/>
      <c r="CKX75" s="975"/>
      <c r="CKY75" s="975"/>
      <c r="CKZ75" s="975"/>
      <c r="CLA75" s="975"/>
      <c r="CLB75" s="975"/>
      <c r="CLC75" s="975"/>
      <c r="CLD75" s="975"/>
      <c r="CLE75" s="975"/>
      <c r="CLF75" s="975"/>
      <c r="CLG75" s="975"/>
      <c r="CLH75" s="975"/>
      <c r="CLI75" s="975"/>
      <c r="CLJ75" s="975"/>
      <c r="CLK75" s="975"/>
      <c r="CLL75" s="975"/>
      <c r="CLM75" s="975"/>
      <c r="CLN75" s="975"/>
      <c r="CLO75" s="975"/>
      <c r="CLP75" s="975"/>
      <c r="CLQ75" s="975"/>
      <c r="CLR75" s="975"/>
      <c r="CLS75" s="975"/>
      <c r="CLT75" s="975"/>
      <c r="CLU75" s="975"/>
      <c r="CLV75" s="975"/>
      <c r="CLW75" s="975"/>
      <c r="CLX75" s="975"/>
      <c r="CLY75" s="975"/>
      <c r="CLZ75" s="975"/>
      <c r="CMA75" s="975"/>
      <c r="CMB75" s="975"/>
      <c r="CMC75" s="975"/>
      <c r="CMD75" s="975"/>
      <c r="CME75" s="975"/>
      <c r="CMF75" s="975"/>
      <c r="CMG75" s="975"/>
      <c r="CMH75" s="975"/>
      <c r="CMI75" s="975"/>
      <c r="CMJ75" s="975"/>
      <c r="CMK75" s="975"/>
      <c r="CML75" s="975"/>
      <c r="CMM75" s="975"/>
      <c r="CMN75" s="975"/>
      <c r="CMO75" s="975"/>
      <c r="CMP75" s="975"/>
      <c r="CMQ75" s="975"/>
      <c r="CMR75" s="975"/>
      <c r="CMS75" s="975"/>
      <c r="CMT75" s="975"/>
      <c r="CMU75" s="975"/>
      <c r="CMV75" s="975"/>
      <c r="CMW75" s="975"/>
      <c r="CMX75" s="975"/>
      <c r="CMY75" s="975"/>
      <c r="CMZ75" s="975"/>
      <c r="CNA75" s="975"/>
      <c r="CNB75" s="975"/>
      <c r="CNC75" s="975"/>
      <c r="CND75" s="975"/>
      <c r="CNE75" s="975"/>
      <c r="CNF75" s="975"/>
      <c r="CNG75" s="975"/>
      <c r="CNH75" s="975"/>
      <c r="CNI75" s="975"/>
      <c r="CNJ75" s="975"/>
      <c r="CNK75" s="975"/>
      <c r="CNL75" s="975"/>
      <c r="CNM75" s="975"/>
      <c r="CNN75" s="975"/>
      <c r="CNO75" s="975"/>
      <c r="CNP75" s="975"/>
      <c r="CNQ75" s="975"/>
      <c r="CNR75" s="975"/>
      <c r="CNS75" s="975"/>
      <c r="CNT75" s="975"/>
      <c r="CNU75" s="975"/>
      <c r="CNV75" s="975"/>
      <c r="CNW75" s="975"/>
      <c r="CNX75" s="975"/>
      <c r="CNY75" s="975"/>
      <c r="CNZ75" s="975"/>
      <c r="COA75" s="975"/>
      <c r="COB75" s="975"/>
      <c r="COC75" s="975"/>
      <c r="COD75" s="975"/>
      <c r="COE75" s="975"/>
      <c r="COF75" s="975"/>
      <c r="COG75" s="975"/>
      <c r="COH75" s="975"/>
      <c r="COI75" s="975"/>
      <c r="COJ75" s="975"/>
      <c r="COK75" s="975"/>
      <c r="COL75" s="975"/>
      <c r="COM75" s="975"/>
      <c r="CON75" s="975"/>
      <c r="COO75" s="975"/>
      <c r="COP75" s="975"/>
      <c r="COQ75" s="975"/>
      <c r="COR75" s="975"/>
      <c r="COS75" s="975"/>
      <c r="COT75" s="975"/>
      <c r="COU75" s="975"/>
      <c r="COV75" s="975"/>
      <c r="COW75" s="975"/>
      <c r="COX75" s="975"/>
      <c r="COY75" s="975"/>
      <c r="COZ75" s="975"/>
      <c r="CPA75" s="975"/>
      <c r="CPB75" s="975"/>
      <c r="CPC75" s="975"/>
      <c r="CPD75" s="975"/>
      <c r="CPE75" s="975"/>
      <c r="CPF75" s="975"/>
      <c r="CPG75" s="975"/>
      <c r="CPH75" s="975"/>
      <c r="CPI75" s="975"/>
      <c r="CPJ75" s="975"/>
      <c r="CPK75" s="975"/>
      <c r="CPL75" s="975"/>
      <c r="CPM75" s="975"/>
      <c r="CPN75" s="975"/>
      <c r="CPO75" s="975"/>
      <c r="CPP75" s="975"/>
      <c r="CPQ75" s="975"/>
      <c r="CPR75" s="975"/>
      <c r="CPS75" s="975"/>
      <c r="CPT75" s="975"/>
      <c r="CPU75" s="975"/>
      <c r="CPV75" s="975"/>
      <c r="CPW75" s="975"/>
      <c r="CPX75" s="975"/>
      <c r="CPY75" s="975"/>
      <c r="CPZ75" s="975"/>
      <c r="CQA75" s="975"/>
      <c r="CQB75" s="975"/>
      <c r="CQC75" s="975"/>
      <c r="CQD75" s="975"/>
      <c r="CQE75" s="975"/>
      <c r="CQF75" s="975"/>
      <c r="CQG75" s="975"/>
      <c r="CQH75" s="975"/>
      <c r="CQI75" s="975"/>
      <c r="CQJ75" s="975"/>
      <c r="CQK75" s="975"/>
      <c r="CQL75" s="975"/>
      <c r="CQM75" s="975"/>
      <c r="CQN75" s="975"/>
      <c r="CQO75" s="975"/>
      <c r="CQP75" s="975"/>
      <c r="CQQ75" s="975"/>
      <c r="CQR75" s="975"/>
      <c r="CQS75" s="975"/>
      <c r="CQT75" s="975"/>
      <c r="CQU75" s="975"/>
      <c r="CQV75" s="975"/>
      <c r="CQW75" s="975"/>
      <c r="CQX75" s="975"/>
      <c r="CQY75" s="975"/>
      <c r="CQZ75" s="975"/>
      <c r="CRA75" s="975"/>
      <c r="CRB75" s="975"/>
      <c r="CRC75" s="975"/>
      <c r="CRD75" s="975"/>
      <c r="CRE75" s="975"/>
      <c r="CRF75" s="975"/>
      <c r="CRG75" s="975"/>
      <c r="CRH75" s="975"/>
      <c r="CRI75" s="975"/>
      <c r="CRJ75" s="975"/>
      <c r="CRK75" s="975"/>
      <c r="CRL75" s="975"/>
      <c r="CRM75" s="975"/>
      <c r="CRN75" s="975"/>
      <c r="CRO75" s="975"/>
      <c r="CRP75" s="975"/>
      <c r="CRQ75" s="975"/>
      <c r="CRR75" s="975"/>
      <c r="CRS75" s="975"/>
      <c r="CRT75" s="975"/>
      <c r="CRU75" s="975"/>
      <c r="CRV75" s="975"/>
      <c r="CRW75" s="975"/>
      <c r="CRX75" s="975"/>
      <c r="CRY75" s="975"/>
      <c r="CRZ75" s="975"/>
      <c r="CSA75" s="975"/>
      <c r="CSB75" s="975"/>
      <c r="CSC75" s="975"/>
      <c r="CSD75" s="975"/>
      <c r="CSE75" s="975"/>
      <c r="CSF75" s="975"/>
      <c r="CSG75" s="975"/>
      <c r="CSH75" s="975"/>
      <c r="CSI75" s="975"/>
      <c r="CSJ75" s="975"/>
      <c r="CSK75" s="975"/>
      <c r="CSL75" s="975"/>
      <c r="CSM75" s="975"/>
      <c r="CSN75" s="975"/>
      <c r="CSO75" s="975"/>
      <c r="CSP75" s="975"/>
      <c r="CSQ75" s="975"/>
      <c r="CSR75" s="975"/>
      <c r="CSS75" s="975"/>
      <c r="CST75" s="975"/>
      <c r="CSU75" s="975"/>
      <c r="CSV75" s="975"/>
      <c r="CSW75" s="975"/>
      <c r="CSX75" s="975"/>
      <c r="CSY75" s="975"/>
      <c r="CSZ75" s="975"/>
      <c r="CTA75" s="975"/>
      <c r="CTB75" s="975"/>
      <c r="CTC75" s="975"/>
      <c r="CTD75" s="975"/>
      <c r="CTE75" s="975"/>
      <c r="CTF75" s="975"/>
      <c r="CTG75" s="975"/>
      <c r="CTH75" s="975"/>
      <c r="CTI75" s="975"/>
      <c r="CTJ75" s="975"/>
      <c r="CTK75" s="975"/>
      <c r="CTL75" s="975"/>
      <c r="CTM75" s="975"/>
      <c r="CTN75" s="975"/>
      <c r="CTO75" s="975"/>
      <c r="CTP75" s="975"/>
      <c r="CTQ75" s="975"/>
      <c r="CTR75" s="975"/>
      <c r="CTS75" s="975"/>
      <c r="CTT75" s="975"/>
      <c r="CTU75" s="975"/>
      <c r="CTV75" s="975"/>
      <c r="CTW75" s="975"/>
      <c r="CTX75" s="975"/>
      <c r="CTY75" s="975"/>
      <c r="CTZ75" s="975"/>
      <c r="CUA75" s="975"/>
      <c r="CUB75" s="975"/>
      <c r="CUC75" s="975"/>
      <c r="CUD75" s="975"/>
      <c r="CUE75" s="975"/>
      <c r="CUF75" s="975"/>
      <c r="CUG75" s="975"/>
      <c r="CUH75" s="975"/>
      <c r="CUI75" s="975"/>
      <c r="CUJ75" s="975"/>
      <c r="CUK75" s="975"/>
      <c r="CUL75" s="975"/>
      <c r="CUM75" s="975"/>
      <c r="CUN75" s="975"/>
      <c r="CUO75" s="975"/>
      <c r="CUP75" s="975"/>
      <c r="CUQ75" s="975"/>
      <c r="CUR75" s="975"/>
      <c r="CUS75" s="975"/>
      <c r="CUT75" s="975"/>
      <c r="CUU75" s="975"/>
      <c r="CUV75" s="975"/>
      <c r="CUW75" s="975"/>
      <c r="CUX75" s="975"/>
      <c r="CUY75" s="975"/>
      <c r="CUZ75" s="975"/>
      <c r="CVA75" s="975"/>
      <c r="CVB75" s="975"/>
      <c r="CVC75" s="975"/>
      <c r="CVD75" s="975"/>
      <c r="CVE75" s="975"/>
      <c r="CVF75" s="975"/>
      <c r="CVG75" s="975"/>
      <c r="CVH75" s="975"/>
      <c r="CVI75" s="975"/>
      <c r="CVJ75" s="975"/>
      <c r="CVK75" s="975"/>
      <c r="CVL75" s="975"/>
      <c r="CVM75" s="975"/>
      <c r="CVN75" s="975"/>
      <c r="CVO75" s="975"/>
      <c r="CVP75" s="975"/>
      <c r="CVQ75" s="975"/>
      <c r="CVR75" s="975"/>
      <c r="CVS75" s="975"/>
      <c r="CVT75" s="975"/>
      <c r="CVU75" s="975"/>
      <c r="CVV75" s="975"/>
      <c r="CVW75" s="975"/>
      <c r="CVX75" s="975"/>
      <c r="CVY75" s="975"/>
      <c r="CVZ75" s="975"/>
      <c r="CWA75" s="975"/>
      <c r="CWB75" s="975"/>
      <c r="CWC75" s="975"/>
      <c r="CWD75" s="975"/>
      <c r="CWE75" s="975"/>
      <c r="CWF75" s="975"/>
      <c r="CWG75" s="975"/>
      <c r="CWH75" s="975"/>
      <c r="CWI75" s="975"/>
      <c r="CWJ75" s="975"/>
      <c r="CWK75" s="975"/>
      <c r="CWL75" s="975"/>
      <c r="CWM75" s="975"/>
      <c r="CWN75" s="975"/>
      <c r="CWO75" s="975"/>
      <c r="CWP75" s="975"/>
      <c r="CWQ75" s="975"/>
      <c r="CWR75" s="975"/>
      <c r="CWS75" s="975"/>
      <c r="CWT75" s="975"/>
      <c r="CWU75" s="975"/>
      <c r="CWV75" s="975"/>
      <c r="CWW75" s="975"/>
      <c r="CWX75" s="975"/>
      <c r="CWY75" s="975"/>
      <c r="CWZ75" s="975"/>
      <c r="CXA75" s="975"/>
      <c r="CXB75" s="975"/>
      <c r="CXC75" s="975"/>
      <c r="CXD75" s="975"/>
      <c r="CXE75" s="975"/>
      <c r="CXF75" s="975"/>
      <c r="CXG75" s="975"/>
      <c r="CXH75" s="975"/>
      <c r="CXI75" s="975"/>
      <c r="CXJ75" s="975"/>
      <c r="CXK75" s="975"/>
      <c r="CXL75" s="975"/>
      <c r="CXM75" s="975"/>
      <c r="CXN75" s="975"/>
      <c r="CXO75" s="975"/>
      <c r="CXP75" s="975"/>
      <c r="CXQ75" s="975"/>
      <c r="CXR75" s="975"/>
      <c r="CXS75" s="975"/>
      <c r="CXT75" s="975"/>
      <c r="CXU75" s="975"/>
      <c r="CXV75" s="975"/>
      <c r="CXW75" s="975"/>
      <c r="CXX75" s="975"/>
      <c r="CXY75" s="975"/>
      <c r="CXZ75" s="975"/>
      <c r="CYA75" s="975"/>
      <c r="CYB75" s="975"/>
      <c r="CYC75" s="975"/>
      <c r="CYD75" s="975"/>
      <c r="CYE75" s="975"/>
      <c r="CYF75" s="975"/>
      <c r="CYG75" s="975"/>
      <c r="CYH75" s="975"/>
      <c r="CYI75" s="975"/>
      <c r="CYJ75" s="975"/>
      <c r="CYK75" s="975"/>
      <c r="CYL75" s="975"/>
      <c r="CYM75" s="975"/>
      <c r="CYN75" s="975"/>
      <c r="CYO75" s="975"/>
      <c r="CYP75" s="975"/>
      <c r="CYQ75" s="975"/>
      <c r="CYR75" s="975"/>
      <c r="CYS75" s="975"/>
      <c r="CYT75" s="975"/>
      <c r="CYU75" s="975"/>
      <c r="CYV75" s="975"/>
      <c r="CYW75" s="975"/>
      <c r="CYX75" s="975"/>
      <c r="CYY75" s="975"/>
      <c r="CYZ75" s="975"/>
      <c r="CZA75" s="975"/>
      <c r="CZB75" s="975"/>
      <c r="CZC75" s="975"/>
      <c r="CZD75" s="975"/>
      <c r="CZE75" s="975"/>
      <c r="CZF75" s="975"/>
      <c r="CZG75" s="975"/>
      <c r="CZH75" s="975"/>
      <c r="CZI75" s="975"/>
      <c r="CZJ75" s="975"/>
      <c r="CZK75" s="975"/>
      <c r="CZL75" s="975"/>
      <c r="CZM75" s="975"/>
      <c r="CZN75" s="975"/>
      <c r="CZO75" s="975"/>
      <c r="CZP75" s="975"/>
      <c r="CZQ75" s="975"/>
      <c r="CZR75" s="975"/>
      <c r="CZS75" s="975"/>
      <c r="CZT75" s="975"/>
      <c r="CZU75" s="975"/>
      <c r="CZV75" s="975"/>
      <c r="CZW75" s="975"/>
      <c r="CZX75" s="975"/>
      <c r="CZY75" s="975"/>
      <c r="CZZ75" s="975"/>
      <c r="DAA75" s="975"/>
      <c r="DAB75" s="975"/>
      <c r="DAC75" s="975"/>
      <c r="DAD75" s="975"/>
      <c r="DAE75" s="975"/>
      <c r="DAF75" s="975"/>
      <c r="DAG75" s="975"/>
      <c r="DAH75" s="975"/>
      <c r="DAI75" s="975"/>
      <c r="DAJ75" s="975"/>
      <c r="DAK75" s="975"/>
      <c r="DAL75" s="975"/>
      <c r="DAM75" s="975"/>
      <c r="DAN75" s="975"/>
      <c r="DAO75" s="975"/>
      <c r="DAP75" s="975"/>
      <c r="DAQ75" s="975"/>
      <c r="DAR75" s="975"/>
      <c r="DAS75" s="975"/>
      <c r="DAT75" s="975"/>
      <c r="DAU75" s="975"/>
      <c r="DAV75" s="975"/>
      <c r="DAW75" s="975"/>
      <c r="DAX75" s="975"/>
      <c r="DAY75" s="975"/>
      <c r="DAZ75" s="975"/>
      <c r="DBA75" s="975"/>
      <c r="DBB75" s="975"/>
      <c r="DBC75" s="975"/>
      <c r="DBD75" s="975"/>
      <c r="DBE75" s="975"/>
      <c r="DBF75" s="975"/>
      <c r="DBG75" s="975"/>
      <c r="DBH75" s="975"/>
      <c r="DBI75" s="975"/>
      <c r="DBJ75" s="975"/>
      <c r="DBK75" s="975"/>
      <c r="DBL75" s="975"/>
      <c r="DBM75" s="975"/>
      <c r="DBN75" s="975"/>
      <c r="DBO75" s="975"/>
      <c r="DBP75" s="975"/>
      <c r="DBQ75" s="975"/>
      <c r="DBR75" s="975"/>
      <c r="DBS75" s="975"/>
      <c r="DBT75" s="975"/>
      <c r="DBU75" s="975"/>
      <c r="DBV75" s="975"/>
      <c r="DBW75" s="975"/>
      <c r="DBX75" s="975"/>
      <c r="DBY75" s="975"/>
      <c r="DBZ75" s="975"/>
      <c r="DCA75" s="975"/>
      <c r="DCB75" s="975"/>
      <c r="DCC75" s="975"/>
      <c r="DCD75" s="975"/>
      <c r="DCE75" s="975"/>
      <c r="DCF75" s="975"/>
      <c r="DCG75" s="975"/>
      <c r="DCH75" s="975"/>
      <c r="DCI75" s="975"/>
      <c r="DCJ75" s="975"/>
      <c r="DCK75" s="975"/>
      <c r="DCL75" s="975"/>
      <c r="DCM75" s="975"/>
      <c r="DCN75" s="975"/>
      <c r="DCO75" s="975"/>
      <c r="DCP75" s="975"/>
      <c r="DCQ75" s="975"/>
      <c r="DCR75" s="975"/>
      <c r="DCS75" s="975"/>
      <c r="DCT75" s="975"/>
      <c r="DCU75" s="975"/>
      <c r="DCV75" s="975"/>
      <c r="DCW75" s="975"/>
      <c r="DCX75" s="975"/>
      <c r="DCY75" s="975"/>
      <c r="DCZ75" s="975"/>
      <c r="DDA75" s="975"/>
      <c r="DDB75" s="975"/>
      <c r="DDC75" s="975"/>
      <c r="DDD75" s="975"/>
      <c r="DDE75" s="975"/>
      <c r="DDF75" s="975"/>
      <c r="DDG75" s="975"/>
      <c r="DDH75" s="975"/>
      <c r="DDI75" s="975"/>
      <c r="DDJ75" s="975"/>
      <c r="DDK75" s="975"/>
      <c r="DDL75" s="975"/>
      <c r="DDM75" s="975"/>
      <c r="DDN75" s="975"/>
      <c r="DDO75" s="975"/>
      <c r="DDP75" s="975"/>
      <c r="DDQ75" s="975"/>
      <c r="DDR75" s="975"/>
      <c r="DDS75" s="975"/>
      <c r="DDT75" s="975"/>
      <c r="DDU75" s="975"/>
      <c r="DDV75" s="975"/>
      <c r="DDW75" s="975"/>
      <c r="DDX75" s="975"/>
      <c r="DDY75" s="975"/>
      <c r="DDZ75" s="975"/>
      <c r="DEA75" s="975"/>
      <c r="DEB75" s="975"/>
      <c r="DEC75" s="975"/>
      <c r="DED75" s="975"/>
      <c r="DEE75" s="975"/>
      <c r="DEF75" s="975"/>
      <c r="DEG75" s="975"/>
      <c r="DEH75" s="975"/>
      <c r="DEI75" s="975"/>
      <c r="DEJ75" s="975"/>
      <c r="DEK75" s="975"/>
      <c r="DEL75" s="975"/>
      <c r="DEM75" s="975"/>
      <c r="DEN75" s="975"/>
      <c r="DEO75" s="975"/>
      <c r="DEP75" s="975"/>
      <c r="DEQ75" s="975"/>
      <c r="DER75" s="975"/>
      <c r="DES75" s="975"/>
      <c r="DET75" s="975"/>
      <c r="DEU75" s="975"/>
      <c r="DEV75" s="975"/>
      <c r="DEW75" s="975"/>
      <c r="DEX75" s="975"/>
      <c r="DEY75" s="975"/>
      <c r="DEZ75" s="975"/>
      <c r="DFA75" s="975"/>
      <c r="DFB75" s="975"/>
      <c r="DFC75" s="975"/>
      <c r="DFD75" s="975"/>
      <c r="DFE75" s="975"/>
      <c r="DFF75" s="975"/>
      <c r="DFG75" s="975"/>
      <c r="DFH75" s="975"/>
      <c r="DFI75" s="975"/>
      <c r="DFJ75" s="975"/>
      <c r="DFK75" s="975"/>
      <c r="DFL75" s="975"/>
      <c r="DFM75" s="975"/>
      <c r="DFN75" s="975"/>
      <c r="DFO75" s="975"/>
      <c r="DFP75" s="975"/>
      <c r="DFQ75" s="975"/>
      <c r="DFR75" s="975"/>
      <c r="DFS75" s="975"/>
      <c r="DFT75" s="975"/>
      <c r="DFU75" s="975"/>
      <c r="DFV75" s="975"/>
      <c r="DFW75" s="975"/>
      <c r="DFX75" s="975"/>
      <c r="DFY75" s="975"/>
      <c r="DFZ75" s="975"/>
      <c r="DGA75" s="975"/>
      <c r="DGB75" s="975"/>
      <c r="DGC75" s="975"/>
      <c r="DGD75" s="975"/>
      <c r="DGE75" s="975"/>
      <c r="DGF75" s="975"/>
      <c r="DGG75" s="975"/>
      <c r="DGH75" s="975"/>
      <c r="DGI75" s="975"/>
      <c r="DGJ75" s="975"/>
      <c r="DGK75" s="975"/>
      <c r="DGL75" s="975"/>
      <c r="DGM75" s="975"/>
      <c r="DGN75" s="975"/>
      <c r="DGO75" s="975"/>
      <c r="DGP75" s="975"/>
      <c r="DGQ75" s="975"/>
      <c r="DGR75" s="975"/>
      <c r="DGS75" s="975"/>
      <c r="DGT75" s="975"/>
      <c r="DGU75" s="975"/>
      <c r="DGV75" s="975"/>
      <c r="DGW75" s="975"/>
      <c r="DGX75" s="975"/>
      <c r="DGY75" s="975"/>
      <c r="DGZ75" s="975"/>
      <c r="DHA75" s="975"/>
      <c r="DHB75" s="975"/>
      <c r="DHC75" s="975"/>
      <c r="DHD75" s="975"/>
      <c r="DHE75" s="975"/>
      <c r="DHF75" s="975"/>
      <c r="DHG75" s="975"/>
      <c r="DHH75" s="975"/>
      <c r="DHI75" s="975"/>
      <c r="DHJ75" s="975"/>
      <c r="DHK75" s="975"/>
      <c r="DHL75" s="975"/>
      <c r="DHM75" s="975"/>
      <c r="DHN75" s="975"/>
      <c r="DHO75" s="975"/>
      <c r="DHP75" s="975"/>
      <c r="DHQ75" s="975"/>
      <c r="DHR75" s="975"/>
      <c r="DHS75" s="975"/>
      <c r="DHT75" s="975"/>
      <c r="DHU75" s="975"/>
      <c r="DHV75" s="975"/>
      <c r="DHW75" s="975"/>
      <c r="DHX75" s="975"/>
      <c r="DHY75" s="975"/>
      <c r="DHZ75" s="975"/>
      <c r="DIA75" s="975"/>
      <c r="DIB75" s="975"/>
      <c r="DIC75" s="975"/>
      <c r="DID75" s="975"/>
      <c r="DIE75" s="975"/>
      <c r="DIF75" s="975"/>
      <c r="DIG75" s="975"/>
      <c r="DIH75" s="975"/>
      <c r="DII75" s="975"/>
      <c r="DIJ75" s="975"/>
      <c r="DIK75" s="975"/>
      <c r="DIL75" s="975"/>
      <c r="DIM75" s="975"/>
      <c r="DIN75" s="975"/>
      <c r="DIO75" s="975"/>
      <c r="DIP75" s="975"/>
      <c r="DIQ75" s="975"/>
      <c r="DIR75" s="975"/>
      <c r="DIS75" s="975"/>
      <c r="DIT75" s="975"/>
      <c r="DIU75" s="975"/>
      <c r="DIV75" s="975"/>
      <c r="DIW75" s="975"/>
      <c r="DIX75" s="975"/>
      <c r="DIY75" s="975"/>
      <c r="DIZ75" s="975"/>
      <c r="DJA75" s="975"/>
      <c r="DJB75" s="975"/>
      <c r="DJC75" s="975"/>
      <c r="DJD75" s="975"/>
      <c r="DJE75" s="975"/>
      <c r="DJF75" s="975"/>
      <c r="DJG75" s="975"/>
      <c r="DJH75" s="975"/>
      <c r="DJI75" s="975"/>
      <c r="DJJ75" s="975"/>
      <c r="DJK75" s="975"/>
      <c r="DJL75" s="975"/>
      <c r="DJM75" s="975"/>
      <c r="DJN75" s="975"/>
      <c r="DJO75" s="975"/>
      <c r="DJP75" s="975"/>
      <c r="DJQ75" s="975"/>
      <c r="DJR75" s="975"/>
      <c r="DJS75" s="975"/>
      <c r="DJT75" s="975"/>
      <c r="DJU75" s="975"/>
      <c r="DJV75" s="975"/>
      <c r="DJW75" s="975"/>
      <c r="DJX75" s="975"/>
      <c r="DJY75" s="975"/>
      <c r="DJZ75" s="975"/>
      <c r="DKA75" s="975"/>
      <c r="DKB75" s="975"/>
      <c r="DKC75" s="975"/>
      <c r="DKD75" s="975"/>
      <c r="DKE75" s="975"/>
      <c r="DKF75" s="975"/>
      <c r="DKG75" s="975"/>
      <c r="DKH75" s="975"/>
      <c r="DKI75" s="975"/>
      <c r="DKJ75" s="975"/>
      <c r="DKK75" s="975"/>
      <c r="DKL75" s="975"/>
      <c r="DKM75" s="975"/>
      <c r="DKN75" s="975"/>
      <c r="DKO75" s="975"/>
      <c r="DKP75" s="975"/>
      <c r="DKQ75" s="975"/>
      <c r="DKR75" s="975"/>
      <c r="DKS75" s="975"/>
      <c r="DKT75" s="975"/>
      <c r="DKU75" s="975"/>
      <c r="DKV75" s="975"/>
      <c r="DKW75" s="975"/>
      <c r="DKX75" s="975"/>
      <c r="DKY75" s="975"/>
      <c r="DKZ75" s="975"/>
      <c r="DLA75" s="975"/>
      <c r="DLB75" s="975"/>
      <c r="DLC75" s="975"/>
      <c r="DLD75" s="975"/>
      <c r="DLE75" s="975"/>
      <c r="DLF75" s="975"/>
      <c r="DLG75" s="975"/>
      <c r="DLH75" s="975"/>
      <c r="DLI75" s="975"/>
      <c r="DLJ75" s="975"/>
      <c r="DLK75" s="975"/>
      <c r="DLL75" s="975"/>
      <c r="DLM75" s="975"/>
      <c r="DLN75" s="975"/>
      <c r="DLO75" s="975"/>
      <c r="DLP75" s="975"/>
      <c r="DLQ75" s="975"/>
      <c r="DLR75" s="975"/>
      <c r="DLS75" s="975"/>
      <c r="DLT75" s="975"/>
      <c r="DLU75" s="975"/>
      <c r="DLV75" s="975"/>
      <c r="DLW75" s="975"/>
      <c r="DLX75" s="975"/>
      <c r="DLY75" s="975"/>
      <c r="DLZ75" s="975"/>
      <c r="DMA75" s="975"/>
      <c r="DMB75" s="975"/>
      <c r="DMC75" s="975"/>
      <c r="DMD75" s="975"/>
      <c r="DME75" s="975"/>
      <c r="DMF75" s="975"/>
      <c r="DMG75" s="975"/>
      <c r="DMH75" s="975"/>
      <c r="DMI75" s="975"/>
      <c r="DMJ75" s="975"/>
      <c r="DMK75" s="975"/>
      <c r="DML75" s="975"/>
      <c r="DMM75" s="975"/>
      <c r="DMN75" s="975"/>
      <c r="DMO75" s="975"/>
      <c r="DMP75" s="975"/>
      <c r="DMQ75" s="975"/>
      <c r="DMR75" s="975"/>
      <c r="DMS75" s="975"/>
      <c r="DMT75" s="975"/>
      <c r="DMU75" s="975"/>
      <c r="DMV75" s="975"/>
      <c r="DMW75" s="975"/>
      <c r="DMX75" s="975"/>
      <c r="DMY75" s="975"/>
      <c r="DMZ75" s="975"/>
      <c r="DNA75" s="975"/>
      <c r="DNB75" s="975"/>
      <c r="DNC75" s="975"/>
      <c r="DND75" s="975"/>
      <c r="DNE75" s="975"/>
      <c r="DNF75" s="975"/>
      <c r="DNG75" s="975"/>
      <c r="DNH75" s="975"/>
      <c r="DNI75" s="975"/>
      <c r="DNJ75" s="975"/>
      <c r="DNK75" s="975"/>
      <c r="DNL75" s="975"/>
      <c r="DNM75" s="975"/>
      <c r="DNN75" s="975"/>
      <c r="DNO75" s="975"/>
      <c r="DNP75" s="975"/>
      <c r="DNQ75" s="975"/>
      <c r="DNR75" s="975"/>
      <c r="DNS75" s="975"/>
      <c r="DNT75" s="975"/>
      <c r="DNU75" s="975"/>
      <c r="DNV75" s="975"/>
      <c r="DNW75" s="975"/>
      <c r="DNX75" s="975"/>
      <c r="DNY75" s="975"/>
      <c r="DNZ75" s="975"/>
      <c r="DOA75" s="975"/>
      <c r="DOB75" s="975"/>
      <c r="DOC75" s="975"/>
      <c r="DOD75" s="975"/>
      <c r="DOE75" s="975"/>
      <c r="DOF75" s="975"/>
      <c r="DOG75" s="975"/>
      <c r="DOH75" s="975"/>
      <c r="DOI75" s="975"/>
      <c r="DOJ75" s="975"/>
      <c r="DOK75" s="975"/>
      <c r="DOL75" s="975"/>
      <c r="DOM75" s="975"/>
      <c r="DON75" s="975"/>
      <c r="DOO75" s="975"/>
      <c r="DOP75" s="975"/>
      <c r="DOQ75" s="975"/>
      <c r="DOR75" s="975"/>
      <c r="DOS75" s="975"/>
      <c r="DOT75" s="975"/>
      <c r="DOU75" s="975"/>
      <c r="DOV75" s="975"/>
      <c r="DOW75" s="975"/>
      <c r="DOX75" s="975"/>
      <c r="DOY75" s="975"/>
      <c r="DOZ75" s="975"/>
      <c r="DPA75" s="975"/>
      <c r="DPB75" s="975"/>
      <c r="DPC75" s="975"/>
      <c r="DPD75" s="975"/>
      <c r="DPE75" s="975"/>
      <c r="DPF75" s="975"/>
      <c r="DPG75" s="975"/>
      <c r="DPH75" s="975"/>
      <c r="DPI75" s="975"/>
      <c r="DPJ75" s="975"/>
      <c r="DPK75" s="975"/>
      <c r="DPL75" s="975"/>
      <c r="DPM75" s="975"/>
      <c r="DPN75" s="975"/>
      <c r="DPO75" s="975"/>
      <c r="DPP75" s="975"/>
      <c r="DPQ75" s="975"/>
      <c r="DPR75" s="975"/>
      <c r="DPS75" s="975"/>
      <c r="DPT75" s="975"/>
      <c r="DPU75" s="975"/>
      <c r="DPV75" s="975"/>
      <c r="DPW75" s="975"/>
      <c r="DPX75" s="975"/>
      <c r="DPY75" s="975"/>
      <c r="DPZ75" s="975"/>
      <c r="DQA75" s="975"/>
      <c r="DQB75" s="975"/>
      <c r="DQC75" s="975"/>
      <c r="DQD75" s="975"/>
      <c r="DQE75" s="975"/>
      <c r="DQF75" s="975"/>
      <c r="DQG75" s="975"/>
      <c r="DQH75" s="975"/>
      <c r="DQI75" s="975"/>
      <c r="DQJ75" s="975"/>
      <c r="DQK75" s="975"/>
      <c r="DQL75" s="975"/>
      <c r="DQM75" s="975"/>
      <c r="DQN75" s="975"/>
      <c r="DQO75" s="975"/>
      <c r="DQP75" s="975"/>
      <c r="DQQ75" s="975"/>
      <c r="DQR75" s="975"/>
      <c r="DQS75" s="975"/>
      <c r="DQT75" s="975"/>
      <c r="DQU75" s="975"/>
      <c r="DQV75" s="975"/>
      <c r="DQW75" s="975"/>
      <c r="DQX75" s="975"/>
      <c r="DQY75" s="975"/>
      <c r="DQZ75" s="975"/>
      <c r="DRA75" s="975"/>
      <c r="DRB75" s="975"/>
      <c r="DRC75" s="975"/>
      <c r="DRD75" s="975"/>
      <c r="DRE75" s="975"/>
      <c r="DRF75" s="975"/>
      <c r="DRG75" s="975"/>
      <c r="DRH75" s="975"/>
      <c r="DRI75" s="975"/>
      <c r="DRJ75" s="975"/>
      <c r="DRK75" s="975"/>
      <c r="DRL75" s="975"/>
      <c r="DRM75" s="975"/>
      <c r="DRN75" s="975"/>
      <c r="DRO75" s="975"/>
      <c r="DRP75" s="975"/>
      <c r="DRQ75" s="975"/>
      <c r="DRR75" s="975"/>
      <c r="DRS75" s="975"/>
      <c r="DRT75" s="975"/>
      <c r="DRU75" s="975"/>
      <c r="DRV75" s="975"/>
      <c r="DRW75" s="975"/>
      <c r="DRX75" s="975"/>
      <c r="DRY75" s="975"/>
      <c r="DRZ75" s="975"/>
      <c r="DSA75" s="975"/>
      <c r="DSB75" s="975"/>
      <c r="DSC75" s="975"/>
      <c r="DSD75" s="975"/>
      <c r="DSE75" s="975"/>
      <c r="DSF75" s="975"/>
      <c r="DSG75" s="975"/>
      <c r="DSH75" s="975"/>
      <c r="DSI75" s="975"/>
      <c r="DSJ75" s="975"/>
      <c r="DSK75" s="975"/>
      <c r="DSL75" s="975"/>
      <c r="DSM75" s="975"/>
      <c r="DSN75" s="975"/>
      <c r="DSO75" s="975"/>
      <c r="DSP75" s="975"/>
      <c r="DSQ75" s="975"/>
      <c r="DSR75" s="975"/>
      <c r="DSS75" s="975"/>
      <c r="DST75" s="975"/>
      <c r="DSU75" s="975"/>
      <c r="DSV75" s="975"/>
      <c r="DSW75" s="975"/>
      <c r="DSX75" s="975"/>
      <c r="DSY75" s="975"/>
      <c r="DSZ75" s="975"/>
      <c r="DTA75" s="975"/>
      <c r="DTB75" s="975"/>
      <c r="DTC75" s="975"/>
      <c r="DTD75" s="975"/>
      <c r="DTE75" s="975"/>
      <c r="DTF75" s="975"/>
      <c r="DTG75" s="975"/>
      <c r="DTH75" s="975"/>
      <c r="DTI75" s="975"/>
      <c r="DTJ75" s="975"/>
      <c r="DTK75" s="975"/>
      <c r="DTL75" s="975"/>
      <c r="DTM75" s="975"/>
      <c r="DTN75" s="975"/>
      <c r="DTO75" s="975"/>
      <c r="DTP75" s="975"/>
      <c r="DTQ75" s="975"/>
      <c r="DTR75" s="975"/>
      <c r="DTS75" s="975"/>
      <c r="DTT75" s="975"/>
      <c r="DTU75" s="975"/>
      <c r="DTV75" s="975"/>
      <c r="DTW75" s="975"/>
      <c r="DTX75" s="975"/>
      <c r="DTY75" s="975"/>
      <c r="DTZ75" s="975"/>
      <c r="DUA75" s="975"/>
      <c r="DUB75" s="975"/>
      <c r="DUC75" s="975"/>
      <c r="DUD75" s="975"/>
      <c r="DUE75" s="975"/>
      <c r="DUF75" s="975"/>
      <c r="DUG75" s="975"/>
      <c r="DUH75" s="975"/>
      <c r="DUI75" s="975"/>
      <c r="DUJ75" s="975"/>
      <c r="DUK75" s="975"/>
      <c r="DUL75" s="975"/>
      <c r="DUM75" s="975"/>
      <c r="DUN75" s="975"/>
      <c r="DUO75" s="975"/>
      <c r="DUP75" s="975"/>
      <c r="DUQ75" s="975"/>
      <c r="DUR75" s="975"/>
      <c r="DUS75" s="975"/>
      <c r="DUT75" s="975"/>
      <c r="DUU75" s="975"/>
      <c r="DUV75" s="975"/>
      <c r="DUW75" s="975"/>
      <c r="DUX75" s="975"/>
      <c r="DUY75" s="975"/>
      <c r="DUZ75" s="975"/>
      <c r="DVA75" s="975"/>
      <c r="DVB75" s="975"/>
      <c r="DVC75" s="975"/>
      <c r="DVD75" s="975"/>
      <c r="DVE75" s="975"/>
      <c r="DVF75" s="975"/>
      <c r="DVG75" s="975"/>
      <c r="DVH75" s="975"/>
      <c r="DVI75" s="975"/>
      <c r="DVJ75" s="975"/>
      <c r="DVK75" s="975"/>
      <c r="DVL75" s="975"/>
      <c r="DVM75" s="975"/>
      <c r="DVN75" s="975"/>
      <c r="DVO75" s="975"/>
      <c r="DVP75" s="975"/>
      <c r="DVQ75" s="975"/>
      <c r="DVR75" s="975"/>
      <c r="DVS75" s="975"/>
      <c r="DVT75" s="975"/>
      <c r="DVU75" s="975"/>
      <c r="DVV75" s="975"/>
      <c r="DVW75" s="975"/>
      <c r="DVX75" s="975"/>
      <c r="DVY75" s="975"/>
      <c r="DVZ75" s="975"/>
      <c r="DWA75" s="975"/>
      <c r="DWB75" s="975"/>
      <c r="DWC75" s="975"/>
      <c r="DWD75" s="975"/>
      <c r="DWE75" s="975"/>
      <c r="DWF75" s="975"/>
      <c r="DWG75" s="975"/>
      <c r="DWH75" s="975"/>
      <c r="DWI75" s="975"/>
      <c r="DWJ75" s="975"/>
      <c r="DWK75" s="975"/>
      <c r="DWL75" s="975"/>
      <c r="DWM75" s="975"/>
      <c r="DWN75" s="975"/>
      <c r="DWO75" s="975"/>
      <c r="DWP75" s="975"/>
      <c r="DWQ75" s="975"/>
      <c r="DWR75" s="975"/>
      <c r="DWS75" s="975"/>
      <c r="DWT75" s="975"/>
      <c r="DWU75" s="975"/>
      <c r="DWV75" s="975"/>
      <c r="DWW75" s="975"/>
      <c r="DWX75" s="975"/>
      <c r="DWY75" s="975"/>
      <c r="DWZ75" s="975"/>
      <c r="DXA75" s="975"/>
      <c r="DXB75" s="975"/>
      <c r="DXC75" s="975"/>
      <c r="DXD75" s="975"/>
      <c r="DXE75" s="975"/>
      <c r="DXF75" s="975"/>
      <c r="DXG75" s="975"/>
      <c r="DXH75" s="975"/>
      <c r="DXI75" s="975"/>
      <c r="DXJ75" s="975"/>
      <c r="DXK75" s="975"/>
      <c r="DXL75" s="975"/>
      <c r="DXM75" s="975"/>
      <c r="DXN75" s="975"/>
      <c r="DXO75" s="975"/>
      <c r="DXP75" s="975"/>
      <c r="DXQ75" s="975"/>
      <c r="DXR75" s="975"/>
      <c r="DXS75" s="975"/>
      <c r="DXT75" s="975"/>
      <c r="DXU75" s="975"/>
      <c r="DXV75" s="975"/>
      <c r="DXW75" s="975"/>
      <c r="DXX75" s="975"/>
      <c r="DXY75" s="975"/>
      <c r="DXZ75" s="975"/>
      <c r="DYA75" s="975"/>
      <c r="DYB75" s="975"/>
      <c r="DYC75" s="975"/>
      <c r="DYD75" s="975"/>
      <c r="DYE75" s="975"/>
      <c r="DYF75" s="975"/>
      <c r="DYG75" s="975"/>
      <c r="DYH75" s="975"/>
      <c r="DYI75" s="975"/>
      <c r="DYJ75" s="975"/>
      <c r="DYK75" s="975"/>
      <c r="DYL75" s="975"/>
      <c r="DYM75" s="975"/>
      <c r="DYN75" s="975"/>
      <c r="DYO75" s="975"/>
      <c r="DYP75" s="975"/>
      <c r="DYQ75" s="975"/>
      <c r="DYR75" s="975"/>
      <c r="DYS75" s="975"/>
      <c r="DYT75" s="975"/>
      <c r="DYU75" s="975"/>
      <c r="DYV75" s="975"/>
      <c r="DYW75" s="975"/>
      <c r="DYX75" s="975"/>
      <c r="DYY75" s="975"/>
      <c r="DYZ75" s="975"/>
      <c r="DZA75" s="975"/>
      <c r="DZB75" s="975"/>
      <c r="DZC75" s="975"/>
      <c r="DZD75" s="975"/>
      <c r="DZE75" s="975"/>
      <c r="DZF75" s="975"/>
      <c r="DZG75" s="975"/>
      <c r="DZH75" s="975"/>
      <c r="DZI75" s="975"/>
      <c r="DZJ75" s="975"/>
      <c r="DZK75" s="975"/>
      <c r="DZL75" s="975"/>
      <c r="DZM75" s="975"/>
      <c r="DZN75" s="975"/>
      <c r="DZO75" s="975"/>
      <c r="DZP75" s="975"/>
      <c r="DZQ75" s="975"/>
      <c r="DZR75" s="975"/>
      <c r="DZS75" s="975"/>
      <c r="DZT75" s="975"/>
      <c r="DZU75" s="975"/>
      <c r="DZV75" s="975"/>
      <c r="DZW75" s="975"/>
      <c r="DZX75" s="975"/>
      <c r="DZY75" s="975"/>
      <c r="DZZ75" s="975"/>
      <c r="EAA75" s="975"/>
      <c r="EAB75" s="975"/>
      <c r="EAC75" s="975"/>
      <c r="EAD75" s="975"/>
      <c r="EAE75" s="975"/>
      <c r="EAF75" s="975"/>
      <c r="EAG75" s="975"/>
      <c r="EAH75" s="975"/>
      <c r="EAI75" s="975"/>
      <c r="EAJ75" s="975"/>
      <c r="EAK75" s="975"/>
      <c r="EAL75" s="975"/>
      <c r="EAM75" s="975"/>
      <c r="EAN75" s="975"/>
      <c r="EAO75" s="975"/>
      <c r="EAP75" s="975"/>
      <c r="EAQ75" s="975"/>
      <c r="EAR75" s="975"/>
      <c r="EAS75" s="975"/>
      <c r="EAT75" s="975"/>
      <c r="EAU75" s="975"/>
      <c r="EAV75" s="975"/>
      <c r="EAW75" s="975"/>
      <c r="EAX75" s="975"/>
      <c r="EAY75" s="975"/>
      <c r="EAZ75" s="975"/>
      <c r="EBA75" s="975"/>
      <c r="EBB75" s="975"/>
      <c r="EBC75" s="975"/>
      <c r="EBD75" s="975"/>
      <c r="EBE75" s="975"/>
      <c r="EBF75" s="975"/>
      <c r="EBG75" s="975"/>
      <c r="EBH75" s="975"/>
      <c r="EBI75" s="975"/>
      <c r="EBJ75" s="975"/>
      <c r="EBK75" s="975"/>
      <c r="EBL75" s="975"/>
      <c r="EBM75" s="975"/>
      <c r="EBN75" s="975"/>
      <c r="EBO75" s="975"/>
      <c r="EBP75" s="975"/>
      <c r="EBQ75" s="975"/>
      <c r="EBR75" s="975"/>
      <c r="EBS75" s="975"/>
      <c r="EBT75" s="975"/>
      <c r="EBU75" s="975"/>
      <c r="EBV75" s="975"/>
      <c r="EBW75" s="975"/>
      <c r="EBX75" s="975"/>
      <c r="EBY75" s="975"/>
      <c r="EBZ75" s="975"/>
      <c r="ECA75" s="975"/>
      <c r="ECB75" s="975"/>
      <c r="ECC75" s="975"/>
      <c r="ECD75" s="975"/>
      <c r="ECE75" s="975"/>
      <c r="ECF75" s="975"/>
      <c r="ECG75" s="975"/>
      <c r="ECH75" s="975"/>
      <c r="ECI75" s="975"/>
      <c r="ECJ75" s="975"/>
      <c r="ECK75" s="975"/>
      <c r="ECL75" s="975"/>
      <c r="ECM75" s="975"/>
      <c r="ECN75" s="975"/>
      <c r="ECO75" s="975"/>
      <c r="ECP75" s="975"/>
      <c r="ECQ75" s="975"/>
      <c r="ECR75" s="975"/>
      <c r="ECS75" s="975"/>
      <c r="ECT75" s="975"/>
      <c r="ECU75" s="975"/>
      <c r="ECV75" s="975"/>
      <c r="ECW75" s="975"/>
      <c r="ECX75" s="975"/>
      <c r="ECY75" s="975"/>
      <c r="ECZ75" s="975"/>
      <c r="EDA75" s="975"/>
      <c r="EDB75" s="975"/>
      <c r="EDC75" s="975"/>
      <c r="EDD75" s="975"/>
      <c r="EDE75" s="975"/>
      <c r="EDF75" s="975"/>
      <c r="EDG75" s="975"/>
      <c r="EDH75" s="975"/>
      <c r="EDI75" s="975"/>
      <c r="EDJ75" s="975"/>
      <c r="EDK75" s="975"/>
      <c r="EDL75" s="975"/>
      <c r="EDM75" s="975"/>
      <c r="EDN75" s="975"/>
      <c r="EDO75" s="975"/>
      <c r="EDP75" s="975"/>
      <c r="EDQ75" s="975"/>
      <c r="EDR75" s="975"/>
      <c r="EDS75" s="975"/>
      <c r="EDT75" s="975"/>
      <c r="EDU75" s="975"/>
      <c r="EDV75" s="975"/>
      <c r="EDW75" s="975"/>
      <c r="EDX75" s="975"/>
      <c r="EDY75" s="975"/>
      <c r="EDZ75" s="975"/>
      <c r="EEA75" s="975"/>
      <c r="EEB75" s="975"/>
      <c r="EEC75" s="975"/>
      <c r="EED75" s="975"/>
      <c r="EEE75" s="975"/>
      <c r="EEF75" s="975"/>
      <c r="EEG75" s="975"/>
      <c r="EEH75" s="975"/>
      <c r="EEI75" s="975"/>
      <c r="EEJ75" s="975"/>
      <c r="EEK75" s="975"/>
      <c r="EEL75" s="975"/>
      <c r="EEM75" s="975"/>
      <c r="EEN75" s="975"/>
      <c r="EEO75" s="975"/>
      <c r="EEP75" s="975"/>
      <c r="EEQ75" s="975"/>
      <c r="EER75" s="975"/>
      <c r="EES75" s="975"/>
      <c r="EET75" s="975"/>
      <c r="EEU75" s="975"/>
      <c r="EEV75" s="975"/>
      <c r="EEW75" s="975"/>
      <c r="EEX75" s="975"/>
      <c r="EEY75" s="975"/>
      <c r="EEZ75" s="975"/>
      <c r="EFA75" s="975"/>
      <c r="EFB75" s="975"/>
      <c r="EFC75" s="975"/>
      <c r="EFD75" s="975"/>
      <c r="EFE75" s="975"/>
      <c r="EFF75" s="975"/>
      <c r="EFG75" s="975"/>
      <c r="EFH75" s="975"/>
      <c r="EFI75" s="975"/>
      <c r="EFJ75" s="975"/>
      <c r="EFK75" s="975"/>
      <c r="EFL75" s="975"/>
      <c r="EFM75" s="975"/>
      <c r="EFN75" s="975"/>
      <c r="EFO75" s="975"/>
      <c r="EFP75" s="975"/>
      <c r="EFQ75" s="975"/>
      <c r="EFR75" s="975"/>
      <c r="EFS75" s="975"/>
      <c r="EFT75" s="975"/>
      <c r="EFU75" s="975"/>
      <c r="EFV75" s="975"/>
      <c r="EFW75" s="975"/>
      <c r="EFX75" s="975"/>
      <c r="EFY75" s="975"/>
      <c r="EFZ75" s="975"/>
      <c r="EGA75" s="975"/>
      <c r="EGB75" s="975"/>
      <c r="EGC75" s="975"/>
      <c r="EGD75" s="975"/>
      <c r="EGE75" s="975"/>
      <c r="EGF75" s="975"/>
      <c r="EGG75" s="975"/>
      <c r="EGH75" s="975"/>
      <c r="EGI75" s="975"/>
      <c r="EGJ75" s="975"/>
      <c r="EGK75" s="975"/>
      <c r="EGL75" s="975"/>
      <c r="EGM75" s="975"/>
      <c r="EGN75" s="975"/>
      <c r="EGO75" s="975"/>
      <c r="EGP75" s="975"/>
      <c r="EGQ75" s="975"/>
      <c r="EGR75" s="975"/>
      <c r="EGS75" s="975"/>
      <c r="EGT75" s="975"/>
      <c r="EGU75" s="975"/>
      <c r="EGV75" s="975"/>
      <c r="EGW75" s="975"/>
      <c r="EGX75" s="975"/>
      <c r="EGY75" s="975"/>
      <c r="EGZ75" s="975"/>
      <c r="EHA75" s="975"/>
      <c r="EHB75" s="975"/>
      <c r="EHC75" s="975"/>
      <c r="EHD75" s="975"/>
      <c r="EHE75" s="975"/>
      <c r="EHF75" s="975"/>
      <c r="EHG75" s="975"/>
      <c r="EHH75" s="975"/>
      <c r="EHI75" s="975"/>
      <c r="EHJ75" s="975"/>
      <c r="EHK75" s="975"/>
      <c r="EHL75" s="975"/>
      <c r="EHM75" s="975"/>
      <c r="EHN75" s="975"/>
      <c r="EHO75" s="975"/>
      <c r="EHP75" s="975"/>
      <c r="EHQ75" s="975"/>
      <c r="EHR75" s="975"/>
      <c r="EHS75" s="975"/>
      <c r="EHT75" s="975"/>
      <c r="EHU75" s="975"/>
      <c r="EHV75" s="975"/>
      <c r="EHW75" s="975"/>
      <c r="EHX75" s="975"/>
      <c r="EHY75" s="975"/>
      <c r="EHZ75" s="975"/>
      <c r="EIA75" s="975"/>
      <c r="EIB75" s="975"/>
      <c r="EIC75" s="975"/>
      <c r="EID75" s="975"/>
      <c r="EIE75" s="975"/>
      <c r="EIF75" s="975"/>
      <c r="EIG75" s="975"/>
      <c r="EIH75" s="975"/>
      <c r="EII75" s="975"/>
      <c r="EIJ75" s="975"/>
      <c r="EIK75" s="975"/>
      <c r="EIL75" s="975"/>
      <c r="EIM75" s="975"/>
      <c r="EIN75" s="975"/>
      <c r="EIO75" s="975"/>
      <c r="EIP75" s="975"/>
      <c r="EIQ75" s="975"/>
      <c r="EIR75" s="975"/>
      <c r="EIS75" s="975"/>
      <c r="EIT75" s="975"/>
      <c r="EIU75" s="975"/>
      <c r="EIV75" s="975"/>
      <c r="EIW75" s="975"/>
      <c r="EIX75" s="975"/>
      <c r="EIY75" s="975"/>
      <c r="EIZ75" s="975"/>
      <c r="EJA75" s="975"/>
      <c r="EJB75" s="975"/>
      <c r="EJC75" s="975"/>
      <c r="EJD75" s="975"/>
      <c r="EJE75" s="975"/>
      <c r="EJF75" s="975"/>
      <c r="EJG75" s="975"/>
      <c r="EJH75" s="975"/>
      <c r="EJI75" s="975"/>
      <c r="EJJ75" s="975"/>
      <c r="EJK75" s="975"/>
      <c r="EJL75" s="975"/>
      <c r="EJM75" s="975"/>
      <c r="EJN75" s="975"/>
      <c r="EJO75" s="975"/>
      <c r="EJP75" s="975"/>
      <c r="EJQ75" s="975"/>
      <c r="EJR75" s="975"/>
      <c r="EJS75" s="975"/>
      <c r="EJT75" s="975"/>
      <c r="EJU75" s="975"/>
      <c r="EJV75" s="975"/>
      <c r="EJW75" s="975"/>
      <c r="EJX75" s="975"/>
      <c r="EJY75" s="975"/>
      <c r="EJZ75" s="975"/>
      <c r="EKA75" s="975"/>
      <c r="EKB75" s="975"/>
      <c r="EKC75" s="975"/>
      <c r="EKD75" s="975"/>
      <c r="EKE75" s="975"/>
      <c r="EKF75" s="975"/>
      <c r="EKG75" s="975"/>
      <c r="EKH75" s="975"/>
      <c r="EKI75" s="975"/>
      <c r="EKJ75" s="975"/>
      <c r="EKK75" s="975"/>
      <c r="EKL75" s="975"/>
      <c r="EKM75" s="975"/>
      <c r="EKN75" s="975"/>
      <c r="EKO75" s="975"/>
      <c r="EKP75" s="975"/>
      <c r="EKQ75" s="975"/>
      <c r="EKR75" s="975"/>
      <c r="EKS75" s="975"/>
      <c r="EKT75" s="975"/>
      <c r="EKU75" s="975"/>
      <c r="EKV75" s="975"/>
      <c r="EKW75" s="975"/>
      <c r="EKX75" s="975"/>
      <c r="EKY75" s="975"/>
      <c r="EKZ75" s="975"/>
      <c r="ELA75" s="975"/>
      <c r="ELB75" s="975"/>
      <c r="ELC75" s="975"/>
      <c r="ELD75" s="975"/>
      <c r="ELE75" s="975"/>
      <c r="ELF75" s="975"/>
      <c r="ELG75" s="975"/>
      <c r="ELH75" s="975"/>
      <c r="ELI75" s="975"/>
      <c r="ELJ75" s="975"/>
      <c r="ELK75" s="975"/>
      <c r="ELL75" s="975"/>
      <c r="ELM75" s="975"/>
      <c r="ELN75" s="975"/>
      <c r="ELO75" s="975"/>
      <c r="ELP75" s="975"/>
      <c r="ELQ75" s="975"/>
      <c r="ELR75" s="975"/>
      <c r="ELS75" s="975"/>
      <c r="ELT75" s="975"/>
      <c r="ELU75" s="975"/>
      <c r="ELV75" s="975"/>
      <c r="ELW75" s="975"/>
      <c r="ELX75" s="975"/>
      <c r="ELY75" s="975"/>
      <c r="ELZ75" s="975"/>
      <c r="EMA75" s="975"/>
      <c r="EMB75" s="975"/>
      <c r="EMC75" s="975"/>
      <c r="EMD75" s="975"/>
      <c r="EME75" s="975"/>
      <c r="EMF75" s="975"/>
      <c r="EMG75" s="975"/>
      <c r="EMH75" s="975"/>
      <c r="EMI75" s="975"/>
      <c r="EMJ75" s="975"/>
      <c r="EMK75" s="975"/>
      <c r="EML75" s="975"/>
      <c r="EMM75" s="975"/>
      <c r="EMN75" s="975"/>
      <c r="EMO75" s="975"/>
      <c r="EMP75" s="975"/>
      <c r="EMQ75" s="975"/>
      <c r="EMR75" s="975"/>
      <c r="EMS75" s="975"/>
      <c r="EMT75" s="975"/>
      <c r="EMU75" s="975"/>
      <c r="EMV75" s="975"/>
      <c r="EMW75" s="975"/>
      <c r="EMX75" s="975"/>
      <c r="EMY75" s="975"/>
      <c r="EMZ75" s="975"/>
      <c r="ENA75" s="975"/>
      <c r="ENB75" s="975"/>
      <c r="ENC75" s="975"/>
      <c r="END75" s="975"/>
      <c r="ENE75" s="975"/>
      <c r="ENF75" s="975"/>
      <c r="ENG75" s="975"/>
      <c r="ENH75" s="975"/>
      <c r="ENI75" s="975"/>
      <c r="ENJ75" s="975"/>
      <c r="ENK75" s="975"/>
      <c r="ENL75" s="975"/>
      <c r="ENM75" s="975"/>
      <c r="ENN75" s="975"/>
      <c r="ENO75" s="975"/>
      <c r="ENP75" s="975"/>
      <c r="ENQ75" s="975"/>
      <c r="ENR75" s="975"/>
      <c r="ENS75" s="975"/>
      <c r="ENT75" s="975"/>
      <c r="ENU75" s="975"/>
      <c r="ENV75" s="975"/>
      <c r="ENW75" s="975"/>
      <c r="ENX75" s="975"/>
      <c r="ENY75" s="975"/>
      <c r="ENZ75" s="975"/>
      <c r="EOA75" s="975"/>
      <c r="EOB75" s="975"/>
      <c r="EOC75" s="975"/>
      <c r="EOD75" s="975"/>
      <c r="EOE75" s="975"/>
      <c r="EOF75" s="975"/>
      <c r="EOG75" s="975"/>
      <c r="EOH75" s="975"/>
      <c r="EOI75" s="975"/>
      <c r="EOJ75" s="975"/>
      <c r="EOK75" s="975"/>
      <c r="EOL75" s="975"/>
      <c r="EOM75" s="975"/>
      <c r="EON75" s="975"/>
      <c r="EOO75" s="975"/>
      <c r="EOP75" s="975"/>
      <c r="EOQ75" s="975"/>
      <c r="EOR75" s="975"/>
      <c r="EOS75" s="975"/>
      <c r="EOT75" s="975"/>
      <c r="EOU75" s="975"/>
      <c r="EOV75" s="975"/>
      <c r="EOW75" s="975"/>
      <c r="EOX75" s="975"/>
      <c r="EOY75" s="975"/>
      <c r="EOZ75" s="975"/>
      <c r="EPA75" s="975"/>
      <c r="EPB75" s="975"/>
      <c r="EPC75" s="975"/>
      <c r="EPD75" s="975"/>
      <c r="EPE75" s="975"/>
      <c r="EPF75" s="975"/>
      <c r="EPG75" s="975"/>
      <c r="EPH75" s="975"/>
      <c r="EPI75" s="975"/>
      <c r="EPJ75" s="975"/>
      <c r="EPK75" s="975"/>
      <c r="EPL75" s="975"/>
      <c r="EPM75" s="975"/>
      <c r="EPN75" s="975"/>
      <c r="EPO75" s="975"/>
      <c r="EPP75" s="975"/>
      <c r="EPQ75" s="975"/>
      <c r="EPR75" s="975"/>
      <c r="EPS75" s="975"/>
      <c r="EPT75" s="975"/>
      <c r="EPU75" s="975"/>
      <c r="EPV75" s="975"/>
      <c r="EPW75" s="975"/>
      <c r="EPX75" s="975"/>
      <c r="EPY75" s="975"/>
      <c r="EPZ75" s="975"/>
      <c r="EQA75" s="975"/>
      <c r="EQB75" s="975"/>
      <c r="EQC75" s="975"/>
      <c r="EQD75" s="975"/>
      <c r="EQE75" s="975"/>
      <c r="EQF75" s="975"/>
      <c r="EQG75" s="975"/>
      <c r="EQH75" s="975"/>
      <c r="EQI75" s="975"/>
      <c r="EQJ75" s="975"/>
      <c r="EQK75" s="975"/>
      <c r="EQL75" s="975"/>
      <c r="EQM75" s="975"/>
      <c r="EQN75" s="975"/>
      <c r="EQO75" s="975"/>
      <c r="EQP75" s="975"/>
      <c r="EQQ75" s="975"/>
      <c r="EQR75" s="975"/>
      <c r="EQS75" s="975"/>
      <c r="EQT75" s="975"/>
      <c r="EQU75" s="975"/>
      <c r="EQV75" s="975"/>
      <c r="EQW75" s="975"/>
      <c r="EQX75" s="975"/>
      <c r="EQY75" s="975"/>
      <c r="EQZ75" s="975"/>
      <c r="ERA75" s="975"/>
      <c r="ERB75" s="975"/>
      <c r="ERC75" s="975"/>
      <c r="ERD75" s="975"/>
      <c r="ERE75" s="975"/>
      <c r="ERF75" s="975"/>
      <c r="ERG75" s="975"/>
      <c r="ERH75" s="975"/>
      <c r="ERI75" s="975"/>
      <c r="ERJ75" s="975"/>
      <c r="ERK75" s="975"/>
      <c r="ERL75" s="975"/>
      <c r="ERM75" s="975"/>
      <c r="ERN75" s="975"/>
      <c r="ERO75" s="975"/>
      <c r="ERP75" s="975"/>
      <c r="ERQ75" s="975"/>
      <c r="ERR75" s="975"/>
      <c r="ERS75" s="975"/>
      <c r="ERT75" s="975"/>
      <c r="ERU75" s="975"/>
      <c r="ERV75" s="975"/>
      <c r="ERW75" s="975"/>
      <c r="ERX75" s="975"/>
      <c r="ERY75" s="975"/>
      <c r="ERZ75" s="975"/>
      <c r="ESA75" s="975"/>
      <c r="ESB75" s="975"/>
      <c r="ESC75" s="975"/>
      <c r="ESD75" s="975"/>
      <c r="ESE75" s="975"/>
      <c r="ESF75" s="975"/>
      <c r="ESG75" s="975"/>
      <c r="ESH75" s="975"/>
      <c r="ESI75" s="975"/>
      <c r="ESJ75" s="975"/>
      <c r="ESK75" s="975"/>
      <c r="ESL75" s="975"/>
      <c r="ESM75" s="975"/>
      <c r="ESN75" s="975"/>
      <c r="ESO75" s="975"/>
      <c r="ESP75" s="975"/>
      <c r="ESQ75" s="975"/>
      <c r="ESR75" s="975"/>
      <c r="ESS75" s="975"/>
      <c r="EST75" s="975"/>
      <c r="ESU75" s="975"/>
      <c r="ESV75" s="975"/>
      <c r="ESW75" s="975"/>
      <c r="ESX75" s="975"/>
      <c r="ESY75" s="975"/>
      <c r="ESZ75" s="975"/>
      <c r="ETA75" s="975"/>
      <c r="ETB75" s="975"/>
      <c r="ETC75" s="975"/>
      <c r="ETD75" s="975"/>
      <c r="ETE75" s="975"/>
      <c r="ETF75" s="975"/>
      <c r="ETG75" s="975"/>
      <c r="ETH75" s="975"/>
      <c r="ETI75" s="975"/>
      <c r="ETJ75" s="975"/>
      <c r="ETK75" s="975"/>
      <c r="ETL75" s="975"/>
      <c r="ETM75" s="975"/>
      <c r="ETN75" s="975"/>
      <c r="ETO75" s="975"/>
      <c r="ETP75" s="975"/>
      <c r="ETQ75" s="975"/>
      <c r="ETR75" s="975"/>
      <c r="ETS75" s="975"/>
      <c r="ETT75" s="975"/>
      <c r="ETU75" s="975"/>
      <c r="ETV75" s="975"/>
      <c r="ETW75" s="975"/>
      <c r="ETX75" s="975"/>
      <c r="ETY75" s="975"/>
      <c r="ETZ75" s="975"/>
      <c r="EUA75" s="975"/>
      <c r="EUB75" s="975"/>
      <c r="EUC75" s="975"/>
      <c r="EUD75" s="975"/>
      <c r="EUE75" s="975"/>
      <c r="EUF75" s="975"/>
      <c r="EUG75" s="975"/>
      <c r="EUH75" s="975"/>
      <c r="EUI75" s="975"/>
      <c r="EUJ75" s="975"/>
      <c r="EUK75" s="975"/>
      <c r="EUL75" s="975"/>
      <c r="EUM75" s="975"/>
      <c r="EUN75" s="975"/>
      <c r="EUO75" s="975"/>
      <c r="EUP75" s="975"/>
      <c r="EUQ75" s="975"/>
      <c r="EUR75" s="975"/>
      <c r="EUS75" s="975"/>
      <c r="EUT75" s="975"/>
      <c r="EUU75" s="975"/>
      <c r="EUV75" s="975"/>
      <c r="EUW75" s="975"/>
      <c r="EUX75" s="975"/>
      <c r="EUY75" s="975"/>
      <c r="EUZ75" s="975"/>
      <c r="EVA75" s="975"/>
      <c r="EVB75" s="975"/>
      <c r="EVC75" s="975"/>
      <c r="EVD75" s="975"/>
      <c r="EVE75" s="975"/>
      <c r="EVF75" s="975"/>
      <c r="EVG75" s="975"/>
      <c r="EVH75" s="975"/>
      <c r="EVI75" s="975"/>
      <c r="EVJ75" s="975"/>
      <c r="EVK75" s="975"/>
      <c r="EVL75" s="975"/>
      <c r="EVM75" s="975"/>
      <c r="EVN75" s="975"/>
      <c r="EVO75" s="975"/>
      <c r="EVP75" s="975"/>
      <c r="EVQ75" s="975"/>
      <c r="EVR75" s="975"/>
      <c r="EVS75" s="975"/>
      <c r="EVT75" s="975"/>
      <c r="EVU75" s="975"/>
      <c r="EVV75" s="975"/>
      <c r="EVW75" s="975"/>
      <c r="EVX75" s="975"/>
      <c r="EVY75" s="975"/>
      <c r="EVZ75" s="975"/>
      <c r="EWA75" s="975"/>
      <c r="EWB75" s="975"/>
      <c r="EWC75" s="975"/>
      <c r="EWD75" s="975"/>
      <c r="EWE75" s="975"/>
      <c r="EWF75" s="975"/>
      <c r="EWG75" s="975"/>
      <c r="EWH75" s="975"/>
      <c r="EWI75" s="975"/>
      <c r="EWJ75" s="975"/>
      <c r="EWK75" s="975"/>
      <c r="EWL75" s="975"/>
      <c r="EWM75" s="975"/>
      <c r="EWN75" s="975"/>
      <c r="EWO75" s="975"/>
      <c r="EWP75" s="975"/>
      <c r="EWQ75" s="975"/>
      <c r="EWR75" s="975"/>
      <c r="EWS75" s="975"/>
      <c r="EWT75" s="975"/>
      <c r="EWU75" s="975"/>
      <c r="EWV75" s="975"/>
      <c r="EWW75" s="975"/>
      <c r="EWX75" s="975"/>
      <c r="EWY75" s="975"/>
      <c r="EWZ75" s="975"/>
      <c r="EXA75" s="975"/>
      <c r="EXB75" s="975"/>
      <c r="EXC75" s="975"/>
      <c r="EXD75" s="975"/>
      <c r="EXE75" s="975"/>
      <c r="EXF75" s="975"/>
      <c r="EXG75" s="975"/>
      <c r="EXH75" s="975"/>
      <c r="EXI75" s="975"/>
      <c r="EXJ75" s="975"/>
      <c r="EXK75" s="975"/>
      <c r="EXL75" s="975"/>
      <c r="EXM75" s="975"/>
      <c r="EXN75" s="975"/>
      <c r="EXO75" s="975"/>
      <c r="EXP75" s="975"/>
      <c r="EXQ75" s="975"/>
      <c r="EXR75" s="975"/>
      <c r="EXS75" s="975"/>
      <c r="EXT75" s="975"/>
      <c r="EXU75" s="975"/>
      <c r="EXV75" s="975"/>
      <c r="EXW75" s="975"/>
      <c r="EXX75" s="975"/>
      <c r="EXY75" s="975"/>
      <c r="EXZ75" s="975"/>
      <c r="EYA75" s="975"/>
      <c r="EYB75" s="975"/>
      <c r="EYC75" s="975"/>
      <c r="EYD75" s="975"/>
      <c r="EYE75" s="975"/>
      <c r="EYF75" s="975"/>
      <c r="EYG75" s="975"/>
      <c r="EYH75" s="975"/>
      <c r="EYI75" s="975"/>
      <c r="EYJ75" s="975"/>
      <c r="EYK75" s="975"/>
      <c r="EYL75" s="975"/>
      <c r="EYM75" s="975"/>
      <c r="EYN75" s="975"/>
      <c r="EYO75" s="975"/>
      <c r="EYP75" s="975"/>
      <c r="EYQ75" s="975"/>
      <c r="EYR75" s="975"/>
      <c r="EYS75" s="975"/>
      <c r="EYT75" s="975"/>
      <c r="EYU75" s="975"/>
      <c r="EYV75" s="975"/>
      <c r="EYW75" s="975"/>
      <c r="EYX75" s="975"/>
      <c r="EYY75" s="975"/>
      <c r="EYZ75" s="975"/>
      <c r="EZA75" s="975"/>
      <c r="EZB75" s="975"/>
      <c r="EZC75" s="975"/>
      <c r="EZD75" s="975"/>
      <c r="EZE75" s="975"/>
      <c r="EZF75" s="975"/>
      <c r="EZG75" s="975"/>
      <c r="EZH75" s="975"/>
      <c r="EZI75" s="975"/>
      <c r="EZJ75" s="975"/>
      <c r="EZK75" s="975"/>
      <c r="EZL75" s="975"/>
      <c r="EZM75" s="975"/>
      <c r="EZN75" s="975"/>
      <c r="EZO75" s="975"/>
      <c r="EZP75" s="975"/>
      <c r="EZQ75" s="975"/>
      <c r="EZR75" s="975"/>
      <c r="EZS75" s="975"/>
      <c r="EZT75" s="975"/>
      <c r="EZU75" s="975"/>
      <c r="EZV75" s="975"/>
      <c r="EZW75" s="975"/>
      <c r="EZX75" s="975"/>
      <c r="EZY75" s="975"/>
      <c r="EZZ75" s="975"/>
      <c r="FAA75" s="975"/>
      <c r="FAB75" s="975"/>
      <c r="FAC75" s="975"/>
      <c r="FAD75" s="975"/>
      <c r="FAE75" s="975"/>
      <c r="FAF75" s="975"/>
      <c r="FAG75" s="975"/>
      <c r="FAH75" s="975"/>
      <c r="FAI75" s="975"/>
      <c r="FAJ75" s="975"/>
      <c r="FAK75" s="975"/>
      <c r="FAL75" s="975"/>
      <c r="FAM75" s="975"/>
      <c r="FAN75" s="975"/>
      <c r="FAO75" s="975"/>
      <c r="FAP75" s="975"/>
      <c r="FAQ75" s="975"/>
      <c r="FAR75" s="975"/>
      <c r="FAS75" s="975"/>
      <c r="FAT75" s="975"/>
      <c r="FAU75" s="975"/>
      <c r="FAV75" s="975"/>
      <c r="FAW75" s="975"/>
      <c r="FAX75" s="975"/>
      <c r="FAY75" s="975"/>
      <c r="FAZ75" s="975"/>
      <c r="FBA75" s="975"/>
      <c r="FBB75" s="975"/>
      <c r="FBC75" s="975"/>
      <c r="FBD75" s="975"/>
      <c r="FBE75" s="975"/>
      <c r="FBF75" s="975"/>
      <c r="FBG75" s="975"/>
      <c r="FBH75" s="975"/>
      <c r="FBI75" s="975"/>
      <c r="FBJ75" s="975"/>
      <c r="FBK75" s="975"/>
      <c r="FBL75" s="975"/>
      <c r="FBM75" s="975"/>
      <c r="FBN75" s="975"/>
      <c r="FBO75" s="975"/>
      <c r="FBP75" s="975"/>
      <c r="FBQ75" s="975"/>
      <c r="FBR75" s="975"/>
      <c r="FBS75" s="975"/>
      <c r="FBT75" s="975"/>
      <c r="FBU75" s="975"/>
      <c r="FBV75" s="975"/>
      <c r="FBW75" s="975"/>
      <c r="FBX75" s="975"/>
      <c r="FBY75" s="975"/>
      <c r="FBZ75" s="975"/>
      <c r="FCA75" s="975"/>
      <c r="FCB75" s="975"/>
      <c r="FCC75" s="975"/>
      <c r="FCD75" s="975"/>
      <c r="FCE75" s="975"/>
      <c r="FCF75" s="975"/>
      <c r="FCG75" s="975"/>
      <c r="FCH75" s="975"/>
      <c r="FCI75" s="975"/>
      <c r="FCJ75" s="975"/>
      <c r="FCK75" s="975"/>
      <c r="FCL75" s="975"/>
      <c r="FCM75" s="975"/>
      <c r="FCN75" s="975"/>
      <c r="FCO75" s="975"/>
      <c r="FCP75" s="975"/>
      <c r="FCQ75" s="975"/>
      <c r="FCR75" s="975"/>
      <c r="FCS75" s="975"/>
      <c r="FCT75" s="975"/>
      <c r="FCU75" s="975"/>
      <c r="FCV75" s="975"/>
      <c r="FCW75" s="975"/>
      <c r="FCX75" s="975"/>
      <c r="FCY75" s="975"/>
      <c r="FCZ75" s="975"/>
      <c r="FDA75" s="975"/>
      <c r="FDB75" s="975"/>
      <c r="FDC75" s="975"/>
      <c r="FDD75" s="975"/>
      <c r="FDE75" s="975"/>
      <c r="FDF75" s="975"/>
      <c r="FDG75" s="975"/>
      <c r="FDH75" s="975"/>
      <c r="FDI75" s="975"/>
      <c r="FDJ75" s="975"/>
      <c r="FDK75" s="975"/>
      <c r="FDL75" s="975"/>
      <c r="FDM75" s="975"/>
      <c r="FDN75" s="975"/>
      <c r="FDO75" s="975"/>
      <c r="FDP75" s="975"/>
      <c r="FDQ75" s="975"/>
      <c r="FDR75" s="975"/>
      <c r="FDS75" s="975"/>
      <c r="FDT75" s="975"/>
      <c r="FDU75" s="975"/>
      <c r="FDV75" s="975"/>
      <c r="FDW75" s="975"/>
      <c r="FDX75" s="975"/>
      <c r="FDY75" s="975"/>
      <c r="FDZ75" s="975"/>
      <c r="FEA75" s="975"/>
      <c r="FEB75" s="975"/>
      <c r="FEC75" s="975"/>
      <c r="FED75" s="975"/>
      <c r="FEE75" s="975"/>
      <c r="FEF75" s="975"/>
      <c r="FEG75" s="975"/>
      <c r="FEH75" s="975"/>
      <c r="FEI75" s="975"/>
      <c r="FEJ75" s="975"/>
      <c r="FEK75" s="975"/>
      <c r="FEL75" s="975"/>
      <c r="FEM75" s="975"/>
      <c r="FEN75" s="975"/>
      <c r="FEO75" s="975"/>
      <c r="FEP75" s="975"/>
      <c r="FEQ75" s="975"/>
      <c r="FER75" s="975"/>
      <c r="FES75" s="975"/>
      <c r="FET75" s="975"/>
      <c r="FEU75" s="975"/>
      <c r="FEV75" s="975"/>
      <c r="FEW75" s="975"/>
      <c r="FEX75" s="975"/>
      <c r="FEY75" s="975"/>
      <c r="FEZ75" s="975"/>
      <c r="FFA75" s="975"/>
      <c r="FFB75" s="975"/>
      <c r="FFC75" s="975"/>
      <c r="FFD75" s="975"/>
      <c r="FFE75" s="975"/>
      <c r="FFF75" s="975"/>
      <c r="FFG75" s="975"/>
      <c r="FFH75" s="975"/>
      <c r="FFI75" s="975"/>
      <c r="FFJ75" s="975"/>
      <c r="FFK75" s="975"/>
      <c r="FFL75" s="975"/>
      <c r="FFM75" s="975"/>
      <c r="FFN75" s="975"/>
      <c r="FFO75" s="975"/>
      <c r="FFP75" s="975"/>
      <c r="FFQ75" s="975"/>
      <c r="FFR75" s="975"/>
      <c r="FFS75" s="975"/>
      <c r="FFT75" s="975"/>
      <c r="FFU75" s="975"/>
      <c r="FFV75" s="975"/>
      <c r="FFW75" s="975"/>
      <c r="FFX75" s="975"/>
      <c r="FFY75" s="975"/>
      <c r="FFZ75" s="975"/>
      <c r="FGA75" s="975"/>
      <c r="FGB75" s="975"/>
      <c r="FGC75" s="975"/>
      <c r="FGD75" s="975"/>
      <c r="FGE75" s="975"/>
      <c r="FGF75" s="975"/>
      <c r="FGG75" s="975"/>
      <c r="FGH75" s="975"/>
      <c r="FGI75" s="975"/>
      <c r="FGJ75" s="975"/>
      <c r="FGK75" s="975"/>
      <c r="FGL75" s="975"/>
      <c r="FGM75" s="975"/>
      <c r="FGN75" s="975"/>
      <c r="FGO75" s="975"/>
      <c r="FGP75" s="975"/>
      <c r="FGQ75" s="975"/>
      <c r="FGR75" s="975"/>
      <c r="FGS75" s="975"/>
      <c r="FGT75" s="975"/>
      <c r="FGU75" s="975"/>
      <c r="FGV75" s="975"/>
      <c r="FGW75" s="975"/>
      <c r="FGX75" s="975"/>
      <c r="FGY75" s="975"/>
      <c r="FGZ75" s="975"/>
      <c r="FHA75" s="975"/>
      <c r="FHB75" s="975"/>
      <c r="FHC75" s="975"/>
      <c r="FHD75" s="975"/>
      <c r="FHE75" s="975"/>
      <c r="FHF75" s="975"/>
      <c r="FHG75" s="975"/>
      <c r="FHH75" s="975"/>
      <c r="FHI75" s="975"/>
      <c r="FHJ75" s="975"/>
      <c r="FHK75" s="975"/>
      <c r="FHL75" s="975"/>
      <c r="FHM75" s="975"/>
      <c r="FHN75" s="975"/>
      <c r="FHO75" s="975"/>
      <c r="FHP75" s="975"/>
      <c r="FHQ75" s="975"/>
      <c r="FHR75" s="975"/>
      <c r="FHS75" s="975"/>
      <c r="FHT75" s="975"/>
      <c r="FHU75" s="975"/>
      <c r="FHV75" s="975"/>
      <c r="FHW75" s="975"/>
      <c r="FHX75" s="975"/>
      <c r="FHY75" s="975"/>
      <c r="FHZ75" s="975"/>
      <c r="FIA75" s="975"/>
      <c r="FIB75" s="975"/>
      <c r="FIC75" s="975"/>
      <c r="FID75" s="975"/>
      <c r="FIE75" s="975"/>
      <c r="FIF75" s="975"/>
      <c r="FIG75" s="975"/>
      <c r="FIH75" s="975"/>
      <c r="FII75" s="975"/>
      <c r="FIJ75" s="975"/>
      <c r="FIK75" s="975"/>
      <c r="FIL75" s="975"/>
      <c r="FIM75" s="975"/>
      <c r="FIN75" s="975"/>
      <c r="FIO75" s="975"/>
      <c r="FIP75" s="975"/>
      <c r="FIQ75" s="975"/>
      <c r="FIR75" s="975"/>
      <c r="FIS75" s="975"/>
      <c r="FIT75" s="975"/>
      <c r="FIU75" s="975"/>
      <c r="FIV75" s="975"/>
      <c r="FIW75" s="975"/>
      <c r="FIX75" s="975"/>
      <c r="FIY75" s="975"/>
      <c r="FIZ75" s="975"/>
      <c r="FJA75" s="975"/>
      <c r="FJB75" s="975"/>
      <c r="FJC75" s="975"/>
      <c r="FJD75" s="975"/>
      <c r="FJE75" s="975"/>
      <c r="FJF75" s="975"/>
      <c r="FJG75" s="975"/>
      <c r="FJH75" s="975"/>
      <c r="FJI75" s="975"/>
      <c r="FJJ75" s="975"/>
      <c r="FJK75" s="975"/>
      <c r="FJL75" s="975"/>
      <c r="FJM75" s="975"/>
      <c r="FJN75" s="975"/>
      <c r="FJO75" s="975"/>
      <c r="FJP75" s="975"/>
      <c r="FJQ75" s="975"/>
      <c r="FJR75" s="975"/>
      <c r="FJS75" s="975"/>
      <c r="FJT75" s="975"/>
      <c r="FJU75" s="975"/>
      <c r="FJV75" s="975"/>
      <c r="FJW75" s="975"/>
      <c r="FJX75" s="975"/>
      <c r="FJY75" s="975"/>
      <c r="FJZ75" s="975"/>
      <c r="FKA75" s="975"/>
      <c r="FKB75" s="975"/>
      <c r="FKC75" s="975"/>
      <c r="FKD75" s="975"/>
      <c r="FKE75" s="975"/>
      <c r="FKF75" s="975"/>
      <c r="FKG75" s="975"/>
      <c r="FKH75" s="975"/>
      <c r="FKI75" s="975"/>
      <c r="FKJ75" s="975"/>
      <c r="FKK75" s="975"/>
      <c r="FKL75" s="975"/>
      <c r="FKM75" s="975"/>
      <c r="FKN75" s="975"/>
      <c r="FKO75" s="975"/>
      <c r="FKP75" s="975"/>
      <c r="FKQ75" s="975"/>
      <c r="FKR75" s="975"/>
      <c r="FKS75" s="975"/>
      <c r="FKT75" s="975"/>
      <c r="FKU75" s="975"/>
      <c r="FKV75" s="975"/>
      <c r="FKW75" s="975"/>
      <c r="FKX75" s="975"/>
      <c r="FKY75" s="975"/>
      <c r="FKZ75" s="975"/>
      <c r="FLA75" s="975"/>
      <c r="FLB75" s="975"/>
      <c r="FLC75" s="975"/>
      <c r="FLD75" s="975"/>
      <c r="FLE75" s="975"/>
      <c r="FLF75" s="975"/>
      <c r="FLG75" s="975"/>
      <c r="FLH75" s="975"/>
      <c r="FLI75" s="975"/>
      <c r="FLJ75" s="975"/>
      <c r="FLK75" s="975"/>
      <c r="FLL75" s="975"/>
      <c r="FLM75" s="975"/>
      <c r="FLN75" s="975"/>
      <c r="FLO75" s="975"/>
      <c r="FLP75" s="975"/>
      <c r="FLQ75" s="975"/>
      <c r="FLR75" s="975"/>
      <c r="FLS75" s="975"/>
      <c r="FLT75" s="975"/>
      <c r="FLU75" s="975"/>
      <c r="FLV75" s="975"/>
      <c r="FLW75" s="975"/>
      <c r="FLX75" s="975"/>
      <c r="FLY75" s="975"/>
      <c r="FLZ75" s="975"/>
      <c r="FMA75" s="975"/>
      <c r="FMB75" s="975"/>
      <c r="FMC75" s="975"/>
      <c r="FMD75" s="975"/>
      <c r="FME75" s="975"/>
      <c r="FMF75" s="975"/>
      <c r="FMG75" s="975"/>
      <c r="FMH75" s="975"/>
      <c r="FMI75" s="975"/>
      <c r="FMJ75" s="975"/>
      <c r="FMK75" s="975"/>
      <c r="FML75" s="975"/>
      <c r="FMM75" s="975"/>
      <c r="FMN75" s="975"/>
      <c r="FMO75" s="975"/>
      <c r="FMP75" s="975"/>
      <c r="FMQ75" s="975"/>
      <c r="FMR75" s="975"/>
      <c r="FMS75" s="975"/>
      <c r="FMT75" s="975"/>
      <c r="FMU75" s="975"/>
      <c r="FMV75" s="975"/>
      <c r="FMW75" s="975"/>
      <c r="FMX75" s="975"/>
      <c r="FMY75" s="975"/>
      <c r="FMZ75" s="975"/>
      <c r="FNA75" s="975"/>
      <c r="FNB75" s="975"/>
      <c r="FNC75" s="975"/>
      <c r="FND75" s="975"/>
      <c r="FNE75" s="975"/>
      <c r="FNF75" s="975"/>
      <c r="FNG75" s="975"/>
      <c r="FNH75" s="975"/>
      <c r="FNI75" s="975"/>
      <c r="FNJ75" s="975"/>
      <c r="FNK75" s="975"/>
      <c r="FNL75" s="975"/>
      <c r="FNM75" s="975"/>
      <c r="FNN75" s="975"/>
      <c r="FNO75" s="975"/>
      <c r="FNP75" s="975"/>
      <c r="FNQ75" s="975"/>
      <c r="FNR75" s="975"/>
      <c r="FNS75" s="975"/>
      <c r="FNT75" s="975"/>
      <c r="FNU75" s="975"/>
      <c r="FNV75" s="975"/>
      <c r="FNW75" s="975"/>
      <c r="FNX75" s="975"/>
      <c r="FNY75" s="975"/>
      <c r="FNZ75" s="975"/>
      <c r="FOA75" s="975"/>
      <c r="FOB75" s="975"/>
      <c r="FOC75" s="975"/>
      <c r="FOD75" s="975"/>
      <c r="FOE75" s="975"/>
      <c r="FOF75" s="975"/>
      <c r="FOG75" s="975"/>
      <c r="FOH75" s="975"/>
      <c r="FOI75" s="975"/>
      <c r="FOJ75" s="975"/>
      <c r="FOK75" s="975"/>
      <c r="FOL75" s="975"/>
      <c r="FOM75" s="975"/>
      <c r="FON75" s="975"/>
      <c r="FOO75" s="975"/>
      <c r="FOP75" s="975"/>
      <c r="FOQ75" s="975"/>
      <c r="FOR75" s="975"/>
      <c r="FOS75" s="975"/>
      <c r="FOT75" s="975"/>
      <c r="FOU75" s="975"/>
      <c r="FOV75" s="975"/>
      <c r="FOW75" s="975"/>
      <c r="FOX75" s="975"/>
      <c r="FOY75" s="975"/>
      <c r="FOZ75" s="975"/>
      <c r="FPA75" s="975"/>
      <c r="FPB75" s="975"/>
      <c r="FPC75" s="975"/>
      <c r="FPD75" s="975"/>
      <c r="FPE75" s="975"/>
      <c r="FPF75" s="975"/>
      <c r="FPG75" s="975"/>
      <c r="FPH75" s="975"/>
      <c r="FPI75" s="975"/>
      <c r="FPJ75" s="975"/>
      <c r="FPK75" s="975"/>
      <c r="FPL75" s="975"/>
      <c r="FPM75" s="975"/>
      <c r="FPN75" s="975"/>
      <c r="FPO75" s="975"/>
      <c r="FPP75" s="975"/>
      <c r="FPQ75" s="975"/>
      <c r="FPR75" s="975"/>
      <c r="FPS75" s="975"/>
      <c r="FPT75" s="975"/>
      <c r="FPU75" s="975"/>
      <c r="FPV75" s="975"/>
      <c r="FPW75" s="975"/>
      <c r="FPX75" s="975"/>
      <c r="FPY75" s="975"/>
      <c r="FPZ75" s="975"/>
      <c r="FQA75" s="975"/>
      <c r="FQB75" s="975"/>
      <c r="FQC75" s="975"/>
      <c r="FQD75" s="975"/>
      <c r="FQE75" s="975"/>
      <c r="FQF75" s="975"/>
      <c r="FQG75" s="975"/>
      <c r="FQH75" s="975"/>
      <c r="FQI75" s="975"/>
      <c r="FQJ75" s="975"/>
      <c r="FQK75" s="975"/>
      <c r="FQL75" s="975"/>
      <c r="FQM75" s="975"/>
      <c r="FQN75" s="975"/>
      <c r="FQO75" s="975"/>
      <c r="FQP75" s="975"/>
      <c r="FQQ75" s="975"/>
      <c r="FQR75" s="975"/>
      <c r="FQS75" s="975"/>
      <c r="FQT75" s="975"/>
      <c r="FQU75" s="975"/>
      <c r="FQV75" s="975"/>
      <c r="FQW75" s="975"/>
      <c r="FQX75" s="975"/>
      <c r="FQY75" s="975"/>
      <c r="FQZ75" s="975"/>
      <c r="FRA75" s="975"/>
      <c r="FRB75" s="975"/>
      <c r="FRC75" s="975"/>
      <c r="FRD75" s="975"/>
      <c r="FRE75" s="975"/>
      <c r="FRF75" s="975"/>
      <c r="FRG75" s="975"/>
      <c r="FRH75" s="975"/>
      <c r="FRI75" s="975"/>
      <c r="FRJ75" s="975"/>
      <c r="FRK75" s="975"/>
      <c r="FRL75" s="975"/>
      <c r="FRM75" s="975"/>
      <c r="FRN75" s="975"/>
      <c r="FRO75" s="975"/>
      <c r="FRP75" s="975"/>
      <c r="FRQ75" s="975"/>
      <c r="FRR75" s="975"/>
      <c r="FRS75" s="975"/>
      <c r="FRT75" s="975"/>
      <c r="FRU75" s="975"/>
      <c r="FRV75" s="975"/>
      <c r="FRW75" s="975"/>
      <c r="FRX75" s="975"/>
      <c r="FRY75" s="975"/>
      <c r="FRZ75" s="975"/>
      <c r="FSA75" s="975"/>
      <c r="FSB75" s="975"/>
      <c r="FSC75" s="975"/>
      <c r="FSD75" s="975"/>
      <c r="FSE75" s="975"/>
      <c r="FSF75" s="975"/>
      <c r="FSG75" s="975"/>
      <c r="FSH75" s="975"/>
      <c r="FSI75" s="975"/>
      <c r="FSJ75" s="975"/>
      <c r="FSK75" s="975"/>
      <c r="FSL75" s="975"/>
      <c r="FSM75" s="975"/>
      <c r="FSN75" s="975"/>
      <c r="FSO75" s="975"/>
      <c r="FSP75" s="975"/>
      <c r="FSQ75" s="975"/>
      <c r="FSR75" s="975"/>
      <c r="FSS75" s="975"/>
      <c r="FST75" s="975"/>
      <c r="FSU75" s="975"/>
      <c r="FSV75" s="975"/>
      <c r="FSW75" s="975"/>
      <c r="FSX75" s="975"/>
      <c r="FSY75" s="975"/>
      <c r="FSZ75" s="975"/>
      <c r="FTA75" s="975"/>
      <c r="FTB75" s="975"/>
      <c r="FTC75" s="975"/>
      <c r="FTD75" s="975"/>
      <c r="FTE75" s="975"/>
      <c r="FTF75" s="975"/>
      <c r="FTG75" s="975"/>
      <c r="FTH75" s="975"/>
      <c r="FTI75" s="975"/>
      <c r="FTJ75" s="975"/>
      <c r="FTK75" s="975"/>
      <c r="FTL75" s="975"/>
      <c r="FTM75" s="975"/>
      <c r="FTN75" s="975"/>
      <c r="FTO75" s="975"/>
      <c r="FTP75" s="975"/>
      <c r="FTQ75" s="975"/>
      <c r="FTR75" s="975"/>
      <c r="FTS75" s="975"/>
      <c r="FTT75" s="975"/>
      <c r="FTU75" s="975"/>
      <c r="FTV75" s="975"/>
      <c r="FTW75" s="975"/>
      <c r="FTX75" s="975"/>
      <c r="FTY75" s="975"/>
      <c r="FTZ75" s="975"/>
      <c r="FUA75" s="975"/>
      <c r="FUB75" s="975"/>
      <c r="FUC75" s="975"/>
      <c r="FUD75" s="975"/>
      <c r="FUE75" s="975"/>
      <c r="FUF75" s="975"/>
      <c r="FUG75" s="975"/>
      <c r="FUH75" s="975"/>
      <c r="FUI75" s="975"/>
      <c r="FUJ75" s="975"/>
      <c r="FUK75" s="975"/>
      <c r="FUL75" s="975"/>
      <c r="FUM75" s="975"/>
      <c r="FUN75" s="975"/>
      <c r="FUO75" s="975"/>
      <c r="FUP75" s="975"/>
      <c r="FUQ75" s="975"/>
      <c r="FUR75" s="975"/>
      <c r="FUS75" s="975"/>
      <c r="FUT75" s="975"/>
      <c r="FUU75" s="975"/>
      <c r="FUV75" s="975"/>
      <c r="FUW75" s="975"/>
      <c r="FUX75" s="975"/>
      <c r="FUY75" s="975"/>
      <c r="FUZ75" s="975"/>
      <c r="FVA75" s="975"/>
      <c r="FVB75" s="975"/>
      <c r="FVC75" s="975"/>
      <c r="FVD75" s="975"/>
      <c r="FVE75" s="975"/>
      <c r="FVF75" s="975"/>
      <c r="FVG75" s="975"/>
      <c r="FVH75" s="975"/>
      <c r="FVI75" s="975"/>
      <c r="FVJ75" s="975"/>
      <c r="FVK75" s="975"/>
      <c r="FVL75" s="975"/>
      <c r="FVM75" s="975"/>
      <c r="FVN75" s="975"/>
      <c r="FVO75" s="975"/>
      <c r="FVP75" s="975"/>
      <c r="FVQ75" s="975"/>
      <c r="FVR75" s="975"/>
      <c r="FVS75" s="975"/>
      <c r="FVT75" s="975"/>
      <c r="FVU75" s="975"/>
      <c r="FVV75" s="975"/>
      <c r="FVW75" s="975"/>
      <c r="FVX75" s="975"/>
      <c r="FVY75" s="975"/>
      <c r="FVZ75" s="975"/>
      <c r="FWA75" s="975"/>
      <c r="FWB75" s="975"/>
      <c r="FWC75" s="975"/>
      <c r="FWD75" s="975"/>
      <c r="FWE75" s="975"/>
      <c r="FWF75" s="975"/>
      <c r="FWG75" s="975"/>
      <c r="FWH75" s="975"/>
      <c r="FWI75" s="975"/>
      <c r="FWJ75" s="975"/>
      <c r="FWK75" s="975"/>
      <c r="FWL75" s="975"/>
      <c r="FWM75" s="975"/>
      <c r="FWN75" s="975"/>
      <c r="FWO75" s="975"/>
      <c r="FWP75" s="975"/>
      <c r="FWQ75" s="975"/>
      <c r="FWR75" s="975"/>
      <c r="FWS75" s="975"/>
      <c r="FWT75" s="975"/>
      <c r="FWU75" s="975"/>
      <c r="FWV75" s="975"/>
      <c r="FWW75" s="975"/>
      <c r="FWX75" s="975"/>
      <c r="FWY75" s="975"/>
      <c r="FWZ75" s="975"/>
      <c r="FXA75" s="975"/>
      <c r="FXB75" s="975"/>
      <c r="FXC75" s="975"/>
      <c r="FXD75" s="975"/>
      <c r="FXE75" s="975"/>
      <c r="FXF75" s="975"/>
      <c r="FXG75" s="975"/>
      <c r="FXH75" s="975"/>
      <c r="FXI75" s="975"/>
      <c r="FXJ75" s="975"/>
      <c r="FXK75" s="975"/>
      <c r="FXL75" s="975"/>
      <c r="FXM75" s="975"/>
      <c r="FXN75" s="975"/>
      <c r="FXO75" s="975"/>
      <c r="FXP75" s="975"/>
      <c r="FXQ75" s="975"/>
      <c r="FXR75" s="975"/>
      <c r="FXS75" s="975"/>
      <c r="FXT75" s="975"/>
      <c r="FXU75" s="975"/>
      <c r="FXV75" s="975"/>
      <c r="FXW75" s="975"/>
      <c r="FXX75" s="975"/>
      <c r="FXY75" s="975"/>
      <c r="FXZ75" s="975"/>
      <c r="FYA75" s="975"/>
      <c r="FYB75" s="975"/>
      <c r="FYC75" s="975"/>
      <c r="FYD75" s="975"/>
      <c r="FYE75" s="975"/>
      <c r="FYF75" s="975"/>
      <c r="FYG75" s="975"/>
      <c r="FYH75" s="975"/>
      <c r="FYI75" s="975"/>
      <c r="FYJ75" s="975"/>
      <c r="FYK75" s="975"/>
      <c r="FYL75" s="975"/>
      <c r="FYM75" s="975"/>
      <c r="FYN75" s="975"/>
      <c r="FYO75" s="975"/>
      <c r="FYP75" s="975"/>
      <c r="FYQ75" s="975"/>
      <c r="FYR75" s="975"/>
      <c r="FYS75" s="975"/>
      <c r="FYT75" s="975"/>
      <c r="FYU75" s="975"/>
      <c r="FYV75" s="975"/>
      <c r="FYW75" s="975"/>
      <c r="FYX75" s="975"/>
      <c r="FYY75" s="975"/>
      <c r="FYZ75" s="975"/>
      <c r="FZA75" s="975"/>
      <c r="FZB75" s="975"/>
      <c r="FZC75" s="975"/>
      <c r="FZD75" s="975"/>
      <c r="FZE75" s="975"/>
      <c r="FZF75" s="975"/>
      <c r="FZG75" s="975"/>
      <c r="FZH75" s="975"/>
      <c r="FZI75" s="975"/>
      <c r="FZJ75" s="975"/>
      <c r="FZK75" s="975"/>
      <c r="FZL75" s="975"/>
      <c r="FZM75" s="975"/>
      <c r="FZN75" s="975"/>
      <c r="FZO75" s="975"/>
      <c r="FZP75" s="975"/>
      <c r="FZQ75" s="975"/>
      <c r="FZR75" s="975"/>
      <c r="FZS75" s="975"/>
      <c r="FZT75" s="975"/>
      <c r="FZU75" s="975"/>
      <c r="FZV75" s="975"/>
      <c r="FZW75" s="975"/>
      <c r="FZX75" s="975"/>
      <c r="FZY75" s="975"/>
      <c r="FZZ75" s="975"/>
      <c r="GAA75" s="975"/>
      <c r="GAB75" s="975"/>
      <c r="GAC75" s="975"/>
      <c r="GAD75" s="975"/>
      <c r="GAE75" s="975"/>
      <c r="GAF75" s="975"/>
      <c r="GAG75" s="975"/>
      <c r="GAH75" s="975"/>
      <c r="GAI75" s="975"/>
      <c r="GAJ75" s="975"/>
      <c r="GAK75" s="975"/>
      <c r="GAL75" s="975"/>
      <c r="GAM75" s="975"/>
      <c r="GAN75" s="975"/>
      <c r="GAO75" s="975"/>
      <c r="GAP75" s="975"/>
      <c r="GAQ75" s="975"/>
      <c r="GAR75" s="975"/>
      <c r="GAS75" s="975"/>
      <c r="GAT75" s="975"/>
      <c r="GAU75" s="975"/>
      <c r="GAV75" s="975"/>
      <c r="GAW75" s="975"/>
      <c r="GAX75" s="975"/>
      <c r="GAY75" s="975"/>
      <c r="GAZ75" s="975"/>
      <c r="GBA75" s="975"/>
      <c r="GBB75" s="975"/>
      <c r="GBC75" s="975"/>
      <c r="GBD75" s="975"/>
      <c r="GBE75" s="975"/>
      <c r="GBF75" s="975"/>
      <c r="GBG75" s="975"/>
      <c r="GBH75" s="975"/>
      <c r="GBI75" s="975"/>
      <c r="GBJ75" s="975"/>
      <c r="GBK75" s="975"/>
      <c r="GBL75" s="975"/>
      <c r="GBM75" s="975"/>
      <c r="GBN75" s="975"/>
      <c r="GBO75" s="975"/>
      <c r="GBP75" s="975"/>
      <c r="GBQ75" s="975"/>
      <c r="GBR75" s="975"/>
      <c r="GBS75" s="975"/>
      <c r="GBT75" s="975"/>
      <c r="GBU75" s="975"/>
      <c r="GBV75" s="975"/>
      <c r="GBW75" s="975"/>
      <c r="GBX75" s="975"/>
      <c r="GBY75" s="975"/>
      <c r="GBZ75" s="975"/>
      <c r="GCA75" s="975"/>
      <c r="GCB75" s="975"/>
      <c r="GCC75" s="975"/>
      <c r="GCD75" s="975"/>
      <c r="GCE75" s="975"/>
      <c r="GCF75" s="975"/>
      <c r="GCG75" s="975"/>
      <c r="GCH75" s="975"/>
      <c r="GCI75" s="975"/>
      <c r="GCJ75" s="975"/>
      <c r="GCK75" s="975"/>
      <c r="GCL75" s="975"/>
      <c r="GCM75" s="975"/>
      <c r="GCN75" s="975"/>
      <c r="GCO75" s="975"/>
      <c r="GCP75" s="975"/>
      <c r="GCQ75" s="975"/>
      <c r="GCR75" s="975"/>
      <c r="GCS75" s="975"/>
      <c r="GCT75" s="975"/>
      <c r="GCU75" s="975"/>
      <c r="GCV75" s="975"/>
      <c r="GCW75" s="975"/>
      <c r="GCX75" s="975"/>
      <c r="GCY75" s="975"/>
      <c r="GCZ75" s="975"/>
      <c r="GDA75" s="975"/>
      <c r="GDB75" s="975"/>
      <c r="GDC75" s="975"/>
      <c r="GDD75" s="975"/>
      <c r="GDE75" s="975"/>
      <c r="GDF75" s="975"/>
      <c r="GDG75" s="975"/>
      <c r="GDH75" s="975"/>
      <c r="GDI75" s="975"/>
      <c r="GDJ75" s="975"/>
      <c r="GDK75" s="975"/>
      <c r="GDL75" s="975"/>
      <c r="GDM75" s="975"/>
      <c r="GDN75" s="975"/>
      <c r="GDO75" s="975"/>
      <c r="GDP75" s="975"/>
      <c r="GDQ75" s="975"/>
      <c r="GDR75" s="975"/>
      <c r="GDS75" s="975"/>
      <c r="GDT75" s="975"/>
      <c r="GDU75" s="975"/>
      <c r="GDV75" s="975"/>
      <c r="GDW75" s="975"/>
      <c r="GDX75" s="975"/>
      <c r="GDY75" s="975"/>
      <c r="GDZ75" s="975"/>
      <c r="GEA75" s="975"/>
      <c r="GEB75" s="975"/>
      <c r="GEC75" s="975"/>
      <c r="GED75" s="975"/>
      <c r="GEE75" s="975"/>
      <c r="GEF75" s="975"/>
      <c r="GEG75" s="975"/>
      <c r="GEH75" s="975"/>
      <c r="GEI75" s="975"/>
      <c r="GEJ75" s="975"/>
      <c r="GEK75" s="975"/>
      <c r="GEL75" s="975"/>
      <c r="GEM75" s="975"/>
      <c r="GEN75" s="975"/>
      <c r="GEO75" s="975"/>
      <c r="GEP75" s="975"/>
      <c r="GEQ75" s="975"/>
      <c r="GER75" s="975"/>
      <c r="GES75" s="975"/>
      <c r="GET75" s="975"/>
      <c r="GEU75" s="975"/>
      <c r="GEV75" s="975"/>
      <c r="GEW75" s="975"/>
      <c r="GEX75" s="975"/>
      <c r="GEY75" s="975"/>
      <c r="GEZ75" s="975"/>
      <c r="GFA75" s="975"/>
      <c r="GFB75" s="975"/>
      <c r="GFC75" s="975"/>
      <c r="GFD75" s="975"/>
      <c r="GFE75" s="975"/>
      <c r="GFF75" s="975"/>
      <c r="GFG75" s="975"/>
      <c r="GFH75" s="975"/>
      <c r="GFI75" s="975"/>
      <c r="GFJ75" s="975"/>
      <c r="GFK75" s="975"/>
      <c r="GFL75" s="975"/>
      <c r="GFM75" s="975"/>
      <c r="GFN75" s="975"/>
      <c r="GFO75" s="975"/>
      <c r="GFP75" s="975"/>
      <c r="GFQ75" s="975"/>
      <c r="GFR75" s="975"/>
      <c r="GFS75" s="975"/>
      <c r="GFT75" s="975"/>
      <c r="GFU75" s="975"/>
      <c r="GFV75" s="975"/>
      <c r="GFW75" s="975"/>
      <c r="GFX75" s="975"/>
      <c r="GFY75" s="975"/>
      <c r="GFZ75" s="975"/>
      <c r="GGA75" s="975"/>
      <c r="GGB75" s="975"/>
      <c r="GGC75" s="975"/>
      <c r="GGD75" s="975"/>
      <c r="GGE75" s="975"/>
      <c r="GGF75" s="975"/>
      <c r="GGG75" s="975"/>
      <c r="GGH75" s="975"/>
      <c r="GGI75" s="975"/>
      <c r="GGJ75" s="975"/>
      <c r="GGK75" s="975"/>
      <c r="GGL75" s="975"/>
      <c r="GGM75" s="975"/>
      <c r="GGN75" s="975"/>
      <c r="GGO75" s="975"/>
      <c r="GGP75" s="975"/>
      <c r="GGQ75" s="975"/>
      <c r="GGR75" s="975"/>
      <c r="GGS75" s="975"/>
      <c r="GGT75" s="975"/>
      <c r="GGU75" s="975"/>
      <c r="GGV75" s="975"/>
      <c r="GGW75" s="975"/>
      <c r="GGX75" s="975"/>
      <c r="GGY75" s="975"/>
      <c r="GGZ75" s="975"/>
      <c r="GHA75" s="975"/>
      <c r="GHB75" s="975"/>
      <c r="GHC75" s="975"/>
      <c r="GHD75" s="975"/>
      <c r="GHE75" s="975"/>
      <c r="GHF75" s="975"/>
      <c r="GHG75" s="975"/>
      <c r="GHH75" s="975"/>
      <c r="GHI75" s="975"/>
      <c r="GHJ75" s="975"/>
      <c r="GHK75" s="975"/>
      <c r="GHL75" s="975"/>
      <c r="GHM75" s="975"/>
      <c r="GHN75" s="975"/>
      <c r="GHO75" s="975"/>
      <c r="GHP75" s="975"/>
      <c r="GHQ75" s="975"/>
      <c r="GHR75" s="975"/>
      <c r="GHS75" s="975"/>
      <c r="GHT75" s="975"/>
      <c r="GHU75" s="975"/>
      <c r="GHV75" s="975"/>
      <c r="GHW75" s="975"/>
      <c r="GHX75" s="975"/>
      <c r="GHY75" s="975"/>
      <c r="GHZ75" s="975"/>
      <c r="GIA75" s="975"/>
      <c r="GIB75" s="975"/>
      <c r="GIC75" s="975"/>
      <c r="GID75" s="975"/>
      <c r="GIE75" s="975"/>
      <c r="GIF75" s="975"/>
      <c r="GIG75" s="975"/>
      <c r="GIH75" s="975"/>
      <c r="GII75" s="975"/>
      <c r="GIJ75" s="975"/>
      <c r="GIK75" s="975"/>
      <c r="GIL75" s="975"/>
      <c r="GIM75" s="975"/>
      <c r="GIN75" s="975"/>
      <c r="GIO75" s="975"/>
      <c r="GIP75" s="975"/>
      <c r="GIQ75" s="975"/>
      <c r="GIR75" s="975"/>
      <c r="GIS75" s="975"/>
      <c r="GIT75" s="975"/>
      <c r="GIU75" s="975"/>
      <c r="GIV75" s="975"/>
      <c r="GIW75" s="975"/>
      <c r="GIX75" s="975"/>
      <c r="GIY75" s="975"/>
      <c r="GIZ75" s="975"/>
      <c r="GJA75" s="975"/>
      <c r="GJB75" s="975"/>
      <c r="GJC75" s="975"/>
      <c r="GJD75" s="975"/>
      <c r="GJE75" s="975"/>
      <c r="GJF75" s="975"/>
      <c r="GJG75" s="975"/>
      <c r="GJH75" s="975"/>
      <c r="GJI75" s="975"/>
      <c r="GJJ75" s="975"/>
      <c r="GJK75" s="975"/>
      <c r="GJL75" s="975"/>
      <c r="GJM75" s="975"/>
      <c r="GJN75" s="975"/>
      <c r="GJO75" s="975"/>
      <c r="GJP75" s="975"/>
      <c r="GJQ75" s="975"/>
      <c r="GJR75" s="975"/>
      <c r="GJS75" s="975"/>
      <c r="GJT75" s="975"/>
      <c r="GJU75" s="975"/>
      <c r="GJV75" s="975"/>
      <c r="GJW75" s="975"/>
      <c r="GJX75" s="975"/>
      <c r="GJY75" s="975"/>
      <c r="GJZ75" s="975"/>
      <c r="GKA75" s="975"/>
      <c r="GKB75" s="975"/>
      <c r="GKC75" s="975"/>
      <c r="GKD75" s="975"/>
      <c r="GKE75" s="975"/>
      <c r="GKF75" s="975"/>
      <c r="GKG75" s="975"/>
      <c r="GKH75" s="975"/>
      <c r="GKI75" s="975"/>
      <c r="GKJ75" s="975"/>
      <c r="GKK75" s="975"/>
      <c r="GKL75" s="975"/>
      <c r="GKM75" s="975"/>
      <c r="GKN75" s="975"/>
      <c r="GKO75" s="975"/>
      <c r="GKP75" s="975"/>
      <c r="GKQ75" s="975"/>
      <c r="GKR75" s="975"/>
      <c r="GKS75" s="975"/>
      <c r="GKT75" s="975"/>
      <c r="GKU75" s="975"/>
      <c r="GKV75" s="975"/>
      <c r="GKW75" s="975"/>
      <c r="GKX75" s="975"/>
      <c r="GKY75" s="975"/>
      <c r="GKZ75" s="975"/>
      <c r="GLA75" s="975"/>
      <c r="GLB75" s="975"/>
      <c r="GLC75" s="975"/>
      <c r="GLD75" s="975"/>
      <c r="GLE75" s="975"/>
      <c r="GLF75" s="975"/>
      <c r="GLG75" s="975"/>
      <c r="GLH75" s="975"/>
      <c r="GLI75" s="975"/>
      <c r="GLJ75" s="975"/>
      <c r="GLK75" s="975"/>
      <c r="GLL75" s="975"/>
      <c r="GLM75" s="975"/>
      <c r="GLN75" s="975"/>
      <c r="GLO75" s="975"/>
      <c r="GLP75" s="975"/>
      <c r="GLQ75" s="975"/>
      <c r="GLR75" s="975"/>
      <c r="GLS75" s="975"/>
      <c r="GLT75" s="975"/>
      <c r="GLU75" s="975"/>
      <c r="GLV75" s="975"/>
      <c r="GLW75" s="975"/>
      <c r="GLX75" s="975"/>
      <c r="GLY75" s="975"/>
      <c r="GLZ75" s="975"/>
      <c r="GMA75" s="975"/>
      <c r="GMB75" s="975"/>
      <c r="GMC75" s="975"/>
      <c r="GMD75" s="975"/>
      <c r="GME75" s="975"/>
      <c r="GMF75" s="975"/>
      <c r="GMG75" s="975"/>
      <c r="GMH75" s="975"/>
      <c r="GMI75" s="975"/>
      <c r="GMJ75" s="975"/>
      <c r="GMK75" s="975"/>
      <c r="GML75" s="975"/>
      <c r="GMM75" s="975"/>
      <c r="GMN75" s="975"/>
      <c r="GMO75" s="975"/>
      <c r="GMP75" s="975"/>
      <c r="GMQ75" s="975"/>
      <c r="GMR75" s="975"/>
      <c r="GMS75" s="975"/>
      <c r="GMT75" s="975"/>
      <c r="GMU75" s="975"/>
      <c r="GMV75" s="975"/>
      <c r="GMW75" s="975"/>
      <c r="GMX75" s="975"/>
      <c r="GMY75" s="975"/>
      <c r="GMZ75" s="975"/>
      <c r="GNA75" s="975"/>
      <c r="GNB75" s="975"/>
      <c r="GNC75" s="975"/>
      <c r="GND75" s="975"/>
      <c r="GNE75" s="975"/>
      <c r="GNF75" s="975"/>
      <c r="GNG75" s="975"/>
      <c r="GNH75" s="975"/>
      <c r="GNI75" s="975"/>
      <c r="GNJ75" s="975"/>
      <c r="GNK75" s="975"/>
      <c r="GNL75" s="975"/>
      <c r="GNM75" s="975"/>
      <c r="GNN75" s="975"/>
      <c r="GNO75" s="975"/>
      <c r="GNP75" s="975"/>
      <c r="GNQ75" s="975"/>
      <c r="GNR75" s="975"/>
      <c r="GNS75" s="975"/>
      <c r="GNT75" s="975"/>
      <c r="GNU75" s="975"/>
      <c r="GNV75" s="975"/>
      <c r="GNW75" s="975"/>
      <c r="GNX75" s="975"/>
      <c r="GNY75" s="975"/>
      <c r="GNZ75" s="975"/>
      <c r="GOA75" s="975"/>
      <c r="GOB75" s="975"/>
      <c r="GOC75" s="975"/>
      <c r="GOD75" s="975"/>
      <c r="GOE75" s="975"/>
      <c r="GOF75" s="975"/>
      <c r="GOG75" s="975"/>
      <c r="GOH75" s="975"/>
      <c r="GOI75" s="975"/>
      <c r="GOJ75" s="975"/>
      <c r="GOK75" s="975"/>
      <c r="GOL75" s="975"/>
      <c r="GOM75" s="975"/>
      <c r="GON75" s="975"/>
      <c r="GOO75" s="975"/>
      <c r="GOP75" s="975"/>
      <c r="GOQ75" s="975"/>
      <c r="GOR75" s="975"/>
      <c r="GOS75" s="975"/>
      <c r="GOT75" s="975"/>
      <c r="GOU75" s="975"/>
      <c r="GOV75" s="975"/>
      <c r="GOW75" s="975"/>
      <c r="GOX75" s="975"/>
      <c r="GOY75" s="975"/>
      <c r="GOZ75" s="975"/>
      <c r="GPA75" s="975"/>
      <c r="GPB75" s="975"/>
      <c r="GPC75" s="975"/>
      <c r="GPD75" s="975"/>
      <c r="GPE75" s="975"/>
      <c r="GPF75" s="975"/>
      <c r="GPG75" s="975"/>
      <c r="GPH75" s="975"/>
      <c r="GPI75" s="975"/>
      <c r="GPJ75" s="975"/>
      <c r="GPK75" s="975"/>
      <c r="GPL75" s="975"/>
      <c r="GPM75" s="975"/>
      <c r="GPN75" s="975"/>
      <c r="GPO75" s="975"/>
      <c r="GPP75" s="975"/>
      <c r="GPQ75" s="975"/>
      <c r="GPR75" s="975"/>
      <c r="GPS75" s="975"/>
      <c r="GPT75" s="975"/>
      <c r="GPU75" s="975"/>
      <c r="GPV75" s="975"/>
      <c r="GPW75" s="975"/>
      <c r="GPX75" s="975"/>
      <c r="GPY75" s="975"/>
      <c r="GPZ75" s="975"/>
      <c r="GQA75" s="975"/>
      <c r="GQB75" s="975"/>
      <c r="GQC75" s="975"/>
      <c r="GQD75" s="975"/>
      <c r="GQE75" s="975"/>
      <c r="GQF75" s="975"/>
      <c r="GQG75" s="975"/>
      <c r="GQH75" s="975"/>
      <c r="GQI75" s="975"/>
      <c r="GQJ75" s="975"/>
      <c r="GQK75" s="975"/>
      <c r="GQL75" s="975"/>
      <c r="GQM75" s="975"/>
      <c r="GQN75" s="975"/>
      <c r="GQO75" s="975"/>
      <c r="GQP75" s="975"/>
      <c r="GQQ75" s="975"/>
      <c r="GQR75" s="975"/>
      <c r="GQS75" s="975"/>
      <c r="GQT75" s="975"/>
      <c r="GQU75" s="975"/>
      <c r="GQV75" s="975"/>
      <c r="GQW75" s="975"/>
      <c r="GQX75" s="975"/>
      <c r="GQY75" s="975"/>
      <c r="GQZ75" s="975"/>
      <c r="GRA75" s="975"/>
      <c r="GRB75" s="975"/>
      <c r="GRC75" s="975"/>
      <c r="GRD75" s="975"/>
      <c r="GRE75" s="975"/>
      <c r="GRF75" s="975"/>
      <c r="GRG75" s="975"/>
      <c r="GRH75" s="975"/>
      <c r="GRI75" s="975"/>
      <c r="GRJ75" s="975"/>
      <c r="GRK75" s="975"/>
      <c r="GRL75" s="975"/>
      <c r="GRM75" s="975"/>
      <c r="GRN75" s="975"/>
      <c r="GRO75" s="975"/>
      <c r="GRP75" s="975"/>
      <c r="GRQ75" s="975"/>
      <c r="GRR75" s="975"/>
      <c r="GRS75" s="975"/>
      <c r="GRT75" s="975"/>
      <c r="GRU75" s="975"/>
      <c r="GRV75" s="975"/>
      <c r="GRW75" s="975"/>
      <c r="GRX75" s="975"/>
      <c r="GRY75" s="975"/>
      <c r="GRZ75" s="975"/>
      <c r="GSA75" s="975"/>
      <c r="GSB75" s="975"/>
      <c r="GSC75" s="975"/>
      <c r="GSD75" s="975"/>
      <c r="GSE75" s="975"/>
      <c r="GSF75" s="975"/>
      <c r="GSG75" s="975"/>
      <c r="GSH75" s="975"/>
      <c r="GSI75" s="975"/>
      <c r="GSJ75" s="975"/>
      <c r="GSK75" s="975"/>
      <c r="GSL75" s="975"/>
      <c r="GSM75" s="975"/>
      <c r="GSN75" s="975"/>
      <c r="GSO75" s="975"/>
      <c r="GSP75" s="975"/>
      <c r="GSQ75" s="975"/>
      <c r="GSR75" s="975"/>
      <c r="GSS75" s="975"/>
      <c r="GST75" s="975"/>
      <c r="GSU75" s="975"/>
      <c r="GSV75" s="975"/>
      <c r="GSW75" s="975"/>
      <c r="GSX75" s="975"/>
      <c r="GSY75" s="975"/>
      <c r="GSZ75" s="975"/>
      <c r="GTA75" s="975"/>
      <c r="GTB75" s="975"/>
      <c r="GTC75" s="975"/>
      <c r="GTD75" s="975"/>
      <c r="GTE75" s="975"/>
      <c r="GTF75" s="975"/>
      <c r="GTG75" s="975"/>
      <c r="GTH75" s="975"/>
      <c r="GTI75" s="975"/>
      <c r="GTJ75" s="975"/>
      <c r="GTK75" s="975"/>
      <c r="GTL75" s="975"/>
      <c r="GTM75" s="975"/>
      <c r="GTN75" s="975"/>
      <c r="GTO75" s="975"/>
      <c r="GTP75" s="975"/>
      <c r="GTQ75" s="975"/>
      <c r="GTR75" s="975"/>
      <c r="GTS75" s="975"/>
      <c r="GTT75" s="975"/>
      <c r="GTU75" s="975"/>
      <c r="GTV75" s="975"/>
      <c r="GTW75" s="975"/>
      <c r="GTX75" s="975"/>
      <c r="GTY75" s="975"/>
      <c r="GTZ75" s="975"/>
      <c r="GUA75" s="975"/>
      <c r="GUB75" s="975"/>
      <c r="GUC75" s="975"/>
      <c r="GUD75" s="975"/>
      <c r="GUE75" s="975"/>
      <c r="GUF75" s="975"/>
      <c r="GUG75" s="975"/>
      <c r="GUH75" s="975"/>
      <c r="GUI75" s="975"/>
      <c r="GUJ75" s="975"/>
      <c r="GUK75" s="975"/>
      <c r="GUL75" s="975"/>
      <c r="GUM75" s="975"/>
      <c r="GUN75" s="975"/>
      <c r="GUO75" s="975"/>
      <c r="GUP75" s="975"/>
      <c r="GUQ75" s="975"/>
      <c r="GUR75" s="975"/>
      <c r="GUS75" s="975"/>
      <c r="GUT75" s="975"/>
      <c r="GUU75" s="975"/>
      <c r="GUV75" s="975"/>
      <c r="GUW75" s="975"/>
      <c r="GUX75" s="975"/>
      <c r="GUY75" s="975"/>
      <c r="GUZ75" s="975"/>
      <c r="GVA75" s="975"/>
      <c r="GVB75" s="975"/>
      <c r="GVC75" s="975"/>
      <c r="GVD75" s="975"/>
      <c r="GVE75" s="975"/>
      <c r="GVF75" s="975"/>
      <c r="GVG75" s="975"/>
      <c r="GVH75" s="975"/>
      <c r="GVI75" s="975"/>
      <c r="GVJ75" s="975"/>
      <c r="GVK75" s="975"/>
      <c r="GVL75" s="975"/>
      <c r="GVM75" s="975"/>
      <c r="GVN75" s="975"/>
      <c r="GVO75" s="975"/>
      <c r="GVP75" s="975"/>
      <c r="GVQ75" s="975"/>
      <c r="GVR75" s="975"/>
      <c r="GVS75" s="975"/>
      <c r="GVT75" s="975"/>
      <c r="GVU75" s="975"/>
      <c r="GVV75" s="975"/>
      <c r="GVW75" s="975"/>
      <c r="GVX75" s="975"/>
      <c r="GVY75" s="975"/>
      <c r="GVZ75" s="975"/>
      <c r="GWA75" s="975"/>
      <c r="GWB75" s="975"/>
      <c r="GWC75" s="975"/>
      <c r="GWD75" s="975"/>
      <c r="GWE75" s="975"/>
      <c r="GWF75" s="975"/>
      <c r="GWG75" s="975"/>
      <c r="GWH75" s="975"/>
      <c r="GWI75" s="975"/>
      <c r="GWJ75" s="975"/>
      <c r="GWK75" s="975"/>
      <c r="GWL75" s="975"/>
      <c r="GWM75" s="975"/>
      <c r="GWN75" s="975"/>
      <c r="GWO75" s="975"/>
      <c r="GWP75" s="975"/>
      <c r="GWQ75" s="975"/>
      <c r="GWR75" s="975"/>
      <c r="GWS75" s="975"/>
      <c r="GWT75" s="975"/>
      <c r="GWU75" s="975"/>
      <c r="GWV75" s="975"/>
      <c r="GWW75" s="975"/>
      <c r="GWX75" s="975"/>
      <c r="GWY75" s="975"/>
      <c r="GWZ75" s="975"/>
      <c r="GXA75" s="975"/>
      <c r="GXB75" s="975"/>
      <c r="GXC75" s="975"/>
      <c r="GXD75" s="975"/>
      <c r="GXE75" s="975"/>
      <c r="GXF75" s="975"/>
      <c r="GXG75" s="975"/>
      <c r="GXH75" s="975"/>
      <c r="GXI75" s="975"/>
      <c r="GXJ75" s="975"/>
      <c r="GXK75" s="975"/>
      <c r="GXL75" s="975"/>
      <c r="GXM75" s="975"/>
      <c r="GXN75" s="975"/>
      <c r="GXO75" s="975"/>
      <c r="GXP75" s="975"/>
      <c r="GXQ75" s="975"/>
      <c r="GXR75" s="975"/>
      <c r="GXS75" s="975"/>
      <c r="GXT75" s="975"/>
      <c r="GXU75" s="975"/>
      <c r="GXV75" s="975"/>
      <c r="GXW75" s="975"/>
      <c r="GXX75" s="975"/>
      <c r="GXY75" s="975"/>
      <c r="GXZ75" s="975"/>
      <c r="GYA75" s="975"/>
      <c r="GYB75" s="975"/>
      <c r="GYC75" s="975"/>
      <c r="GYD75" s="975"/>
      <c r="GYE75" s="975"/>
      <c r="GYF75" s="975"/>
      <c r="GYG75" s="975"/>
      <c r="GYH75" s="975"/>
      <c r="GYI75" s="975"/>
      <c r="GYJ75" s="975"/>
      <c r="GYK75" s="975"/>
      <c r="GYL75" s="975"/>
      <c r="GYM75" s="975"/>
      <c r="GYN75" s="975"/>
      <c r="GYO75" s="975"/>
      <c r="GYP75" s="975"/>
      <c r="GYQ75" s="975"/>
      <c r="GYR75" s="975"/>
      <c r="GYS75" s="975"/>
      <c r="GYT75" s="975"/>
      <c r="GYU75" s="975"/>
      <c r="GYV75" s="975"/>
      <c r="GYW75" s="975"/>
      <c r="GYX75" s="975"/>
      <c r="GYY75" s="975"/>
      <c r="GYZ75" s="975"/>
      <c r="GZA75" s="975"/>
      <c r="GZB75" s="975"/>
      <c r="GZC75" s="975"/>
      <c r="GZD75" s="975"/>
      <c r="GZE75" s="975"/>
      <c r="GZF75" s="975"/>
      <c r="GZG75" s="975"/>
      <c r="GZH75" s="975"/>
      <c r="GZI75" s="975"/>
      <c r="GZJ75" s="975"/>
      <c r="GZK75" s="975"/>
      <c r="GZL75" s="975"/>
      <c r="GZM75" s="975"/>
      <c r="GZN75" s="975"/>
      <c r="GZO75" s="975"/>
      <c r="GZP75" s="975"/>
      <c r="GZQ75" s="975"/>
      <c r="GZR75" s="975"/>
      <c r="GZS75" s="975"/>
      <c r="GZT75" s="975"/>
      <c r="GZU75" s="975"/>
      <c r="GZV75" s="975"/>
      <c r="GZW75" s="975"/>
      <c r="GZX75" s="975"/>
      <c r="GZY75" s="975"/>
      <c r="GZZ75" s="975"/>
      <c r="HAA75" s="975"/>
      <c r="HAB75" s="975"/>
      <c r="HAC75" s="975"/>
      <c r="HAD75" s="975"/>
      <c r="HAE75" s="975"/>
      <c r="HAF75" s="975"/>
      <c r="HAG75" s="975"/>
      <c r="HAH75" s="975"/>
      <c r="HAI75" s="975"/>
      <c r="HAJ75" s="975"/>
      <c r="HAK75" s="975"/>
      <c r="HAL75" s="975"/>
      <c r="HAM75" s="975"/>
      <c r="HAN75" s="975"/>
      <c r="HAO75" s="975"/>
      <c r="HAP75" s="975"/>
      <c r="HAQ75" s="975"/>
      <c r="HAR75" s="975"/>
      <c r="HAS75" s="975"/>
      <c r="HAT75" s="975"/>
      <c r="HAU75" s="975"/>
      <c r="HAV75" s="975"/>
      <c r="HAW75" s="975"/>
      <c r="HAX75" s="975"/>
      <c r="HAY75" s="975"/>
      <c r="HAZ75" s="975"/>
      <c r="HBA75" s="975"/>
      <c r="HBB75" s="975"/>
      <c r="HBC75" s="975"/>
      <c r="HBD75" s="975"/>
      <c r="HBE75" s="975"/>
      <c r="HBF75" s="975"/>
      <c r="HBG75" s="975"/>
      <c r="HBH75" s="975"/>
      <c r="HBI75" s="975"/>
      <c r="HBJ75" s="975"/>
      <c r="HBK75" s="975"/>
      <c r="HBL75" s="975"/>
      <c r="HBM75" s="975"/>
      <c r="HBN75" s="975"/>
      <c r="HBO75" s="975"/>
      <c r="HBP75" s="975"/>
      <c r="HBQ75" s="975"/>
      <c r="HBR75" s="975"/>
      <c r="HBS75" s="975"/>
      <c r="HBT75" s="975"/>
      <c r="HBU75" s="975"/>
      <c r="HBV75" s="975"/>
      <c r="HBW75" s="975"/>
      <c r="HBX75" s="975"/>
      <c r="HBY75" s="975"/>
      <c r="HBZ75" s="975"/>
      <c r="HCA75" s="975"/>
      <c r="HCB75" s="975"/>
      <c r="HCC75" s="975"/>
      <c r="HCD75" s="975"/>
      <c r="HCE75" s="975"/>
      <c r="HCF75" s="975"/>
      <c r="HCG75" s="975"/>
      <c r="HCH75" s="975"/>
      <c r="HCI75" s="975"/>
      <c r="HCJ75" s="975"/>
      <c r="HCK75" s="975"/>
      <c r="HCL75" s="975"/>
      <c r="HCM75" s="975"/>
      <c r="HCN75" s="975"/>
      <c r="HCO75" s="975"/>
      <c r="HCP75" s="975"/>
      <c r="HCQ75" s="975"/>
      <c r="HCR75" s="975"/>
      <c r="HCS75" s="975"/>
      <c r="HCT75" s="975"/>
      <c r="HCU75" s="975"/>
      <c r="HCV75" s="975"/>
      <c r="HCW75" s="975"/>
      <c r="HCX75" s="975"/>
      <c r="HCY75" s="975"/>
      <c r="HCZ75" s="975"/>
      <c r="HDA75" s="975"/>
      <c r="HDB75" s="975"/>
      <c r="HDC75" s="975"/>
      <c r="HDD75" s="975"/>
      <c r="HDE75" s="975"/>
      <c r="HDF75" s="975"/>
      <c r="HDG75" s="975"/>
      <c r="HDH75" s="975"/>
      <c r="HDI75" s="975"/>
      <c r="HDJ75" s="975"/>
      <c r="HDK75" s="975"/>
      <c r="HDL75" s="975"/>
      <c r="HDM75" s="975"/>
      <c r="HDN75" s="975"/>
      <c r="HDO75" s="975"/>
      <c r="HDP75" s="975"/>
      <c r="HDQ75" s="975"/>
      <c r="HDR75" s="975"/>
      <c r="HDS75" s="975"/>
      <c r="HDT75" s="975"/>
      <c r="HDU75" s="975"/>
      <c r="HDV75" s="975"/>
      <c r="HDW75" s="975"/>
      <c r="HDX75" s="975"/>
      <c r="HDY75" s="975"/>
      <c r="HDZ75" s="975"/>
      <c r="HEA75" s="975"/>
      <c r="HEB75" s="975"/>
      <c r="HEC75" s="975"/>
      <c r="HED75" s="975"/>
      <c r="HEE75" s="975"/>
      <c r="HEF75" s="975"/>
      <c r="HEG75" s="975"/>
      <c r="HEH75" s="975"/>
      <c r="HEI75" s="975"/>
      <c r="HEJ75" s="975"/>
      <c r="HEK75" s="975"/>
      <c r="HEL75" s="975"/>
      <c r="HEM75" s="975"/>
      <c r="HEN75" s="975"/>
      <c r="HEO75" s="975"/>
      <c r="HEP75" s="975"/>
      <c r="HEQ75" s="975"/>
      <c r="HER75" s="975"/>
      <c r="HES75" s="975"/>
      <c r="HET75" s="975"/>
      <c r="HEU75" s="975"/>
      <c r="HEV75" s="975"/>
      <c r="HEW75" s="975"/>
      <c r="HEX75" s="975"/>
      <c r="HEY75" s="975"/>
      <c r="HEZ75" s="975"/>
      <c r="HFA75" s="975"/>
      <c r="HFB75" s="975"/>
      <c r="HFC75" s="975"/>
      <c r="HFD75" s="975"/>
      <c r="HFE75" s="975"/>
      <c r="HFF75" s="975"/>
      <c r="HFG75" s="975"/>
      <c r="HFH75" s="975"/>
      <c r="HFI75" s="975"/>
      <c r="HFJ75" s="975"/>
      <c r="HFK75" s="975"/>
      <c r="HFL75" s="975"/>
      <c r="HFM75" s="975"/>
      <c r="HFN75" s="975"/>
      <c r="HFO75" s="975"/>
      <c r="HFP75" s="975"/>
      <c r="HFQ75" s="975"/>
      <c r="HFR75" s="975"/>
      <c r="HFS75" s="975"/>
      <c r="HFT75" s="975"/>
      <c r="HFU75" s="975"/>
      <c r="HFV75" s="975"/>
      <c r="HFW75" s="975"/>
      <c r="HFX75" s="975"/>
      <c r="HFY75" s="975"/>
      <c r="HFZ75" s="975"/>
      <c r="HGA75" s="975"/>
      <c r="HGB75" s="975"/>
      <c r="HGC75" s="975"/>
      <c r="HGD75" s="975"/>
      <c r="HGE75" s="975"/>
      <c r="HGF75" s="975"/>
      <c r="HGG75" s="975"/>
      <c r="HGH75" s="975"/>
      <c r="HGI75" s="975"/>
      <c r="HGJ75" s="975"/>
      <c r="HGK75" s="975"/>
      <c r="HGL75" s="975"/>
      <c r="HGM75" s="975"/>
      <c r="HGN75" s="975"/>
      <c r="HGO75" s="975"/>
      <c r="HGP75" s="975"/>
      <c r="HGQ75" s="975"/>
      <c r="HGR75" s="975"/>
      <c r="HGS75" s="975"/>
      <c r="HGT75" s="975"/>
      <c r="HGU75" s="975"/>
      <c r="HGV75" s="975"/>
      <c r="HGW75" s="975"/>
      <c r="HGX75" s="975"/>
      <c r="HGY75" s="975"/>
      <c r="HGZ75" s="975"/>
      <c r="HHA75" s="975"/>
      <c r="HHB75" s="975"/>
      <c r="HHC75" s="975"/>
      <c r="HHD75" s="975"/>
      <c r="HHE75" s="975"/>
      <c r="HHF75" s="975"/>
      <c r="HHG75" s="975"/>
      <c r="HHH75" s="975"/>
      <c r="HHI75" s="975"/>
      <c r="HHJ75" s="975"/>
      <c r="HHK75" s="975"/>
      <c r="HHL75" s="975"/>
      <c r="HHM75" s="975"/>
      <c r="HHN75" s="975"/>
      <c r="HHO75" s="975"/>
      <c r="HHP75" s="975"/>
      <c r="HHQ75" s="975"/>
      <c r="HHR75" s="975"/>
      <c r="HHS75" s="975"/>
      <c r="HHT75" s="975"/>
      <c r="HHU75" s="975"/>
      <c r="HHV75" s="975"/>
      <c r="HHW75" s="975"/>
      <c r="HHX75" s="975"/>
      <c r="HHY75" s="975"/>
      <c r="HHZ75" s="975"/>
      <c r="HIA75" s="975"/>
      <c r="HIB75" s="975"/>
      <c r="HIC75" s="975"/>
      <c r="HID75" s="975"/>
      <c r="HIE75" s="975"/>
      <c r="HIF75" s="975"/>
      <c r="HIG75" s="975"/>
      <c r="HIH75" s="975"/>
      <c r="HII75" s="975"/>
      <c r="HIJ75" s="975"/>
      <c r="HIK75" s="975"/>
      <c r="HIL75" s="975"/>
      <c r="HIM75" s="975"/>
      <c r="HIN75" s="975"/>
      <c r="HIO75" s="975"/>
      <c r="HIP75" s="975"/>
      <c r="HIQ75" s="975"/>
      <c r="HIR75" s="975"/>
      <c r="HIS75" s="975"/>
      <c r="HIT75" s="975"/>
      <c r="HIU75" s="975"/>
      <c r="HIV75" s="975"/>
      <c r="HIW75" s="975"/>
      <c r="HIX75" s="975"/>
      <c r="HIY75" s="975"/>
      <c r="HIZ75" s="975"/>
      <c r="HJA75" s="975"/>
      <c r="HJB75" s="975"/>
      <c r="HJC75" s="975"/>
      <c r="HJD75" s="975"/>
      <c r="HJE75" s="975"/>
      <c r="HJF75" s="975"/>
      <c r="HJG75" s="975"/>
      <c r="HJH75" s="975"/>
      <c r="HJI75" s="975"/>
      <c r="HJJ75" s="975"/>
      <c r="HJK75" s="975"/>
      <c r="HJL75" s="975"/>
      <c r="HJM75" s="975"/>
      <c r="HJN75" s="975"/>
      <c r="HJO75" s="975"/>
      <c r="HJP75" s="975"/>
      <c r="HJQ75" s="975"/>
      <c r="HJR75" s="975"/>
      <c r="HJS75" s="975"/>
      <c r="HJT75" s="975"/>
      <c r="HJU75" s="975"/>
      <c r="HJV75" s="975"/>
      <c r="HJW75" s="975"/>
      <c r="HJX75" s="975"/>
      <c r="HJY75" s="975"/>
      <c r="HJZ75" s="975"/>
      <c r="HKA75" s="975"/>
      <c r="HKB75" s="975"/>
      <c r="HKC75" s="975"/>
      <c r="HKD75" s="975"/>
      <c r="HKE75" s="975"/>
      <c r="HKF75" s="975"/>
      <c r="HKG75" s="975"/>
      <c r="HKH75" s="975"/>
      <c r="HKI75" s="975"/>
      <c r="HKJ75" s="975"/>
      <c r="HKK75" s="975"/>
      <c r="HKL75" s="975"/>
      <c r="HKM75" s="975"/>
      <c r="HKN75" s="975"/>
      <c r="HKO75" s="975"/>
      <c r="HKP75" s="975"/>
      <c r="HKQ75" s="975"/>
      <c r="HKR75" s="975"/>
      <c r="HKS75" s="975"/>
      <c r="HKT75" s="975"/>
      <c r="HKU75" s="975"/>
      <c r="HKV75" s="975"/>
      <c r="HKW75" s="975"/>
      <c r="HKX75" s="975"/>
      <c r="HKY75" s="975"/>
      <c r="HKZ75" s="975"/>
      <c r="HLA75" s="975"/>
      <c r="HLB75" s="975"/>
      <c r="HLC75" s="975"/>
      <c r="HLD75" s="975"/>
      <c r="HLE75" s="975"/>
      <c r="HLF75" s="975"/>
      <c r="HLG75" s="975"/>
      <c r="HLH75" s="975"/>
      <c r="HLI75" s="975"/>
      <c r="HLJ75" s="975"/>
      <c r="HLK75" s="975"/>
      <c r="HLL75" s="975"/>
      <c r="HLM75" s="975"/>
      <c r="HLN75" s="975"/>
      <c r="HLO75" s="975"/>
      <c r="HLP75" s="975"/>
      <c r="HLQ75" s="975"/>
      <c r="HLR75" s="975"/>
      <c r="HLS75" s="975"/>
      <c r="HLT75" s="975"/>
      <c r="HLU75" s="975"/>
      <c r="HLV75" s="975"/>
      <c r="HLW75" s="975"/>
      <c r="HLX75" s="975"/>
      <c r="HLY75" s="975"/>
      <c r="HLZ75" s="975"/>
      <c r="HMA75" s="975"/>
      <c r="HMB75" s="975"/>
      <c r="HMC75" s="975"/>
      <c r="HMD75" s="975"/>
      <c r="HME75" s="975"/>
      <c r="HMF75" s="975"/>
      <c r="HMG75" s="975"/>
      <c r="HMH75" s="975"/>
      <c r="HMI75" s="975"/>
      <c r="HMJ75" s="975"/>
      <c r="HMK75" s="975"/>
      <c r="HML75" s="975"/>
      <c r="HMM75" s="975"/>
      <c r="HMN75" s="975"/>
      <c r="HMO75" s="975"/>
      <c r="HMP75" s="975"/>
      <c r="HMQ75" s="975"/>
      <c r="HMR75" s="975"/>
      <c r="HMS75" s="975"/>
      <c r="HMT75" s="975"/>
      <c r="HMU75" s="975"/>
      <c r="HMV75" s="975"/>
      <c r="HMW75" s="975"/>
      <c r="HMX75" s="975"/>
      <c r="HMY75" s="975"/>
      <c r="HMZ75" s="975"/>
      <c r="HNA75" s="975"/>
      <c r="HNB75" s="975"/>
      <c r="HNC75" s="975"/>
      <c r="HND75" s="975"/>
      <c r="HNE75" s="975"/>
      <c r="HNF75" s="975"/>
      <c r="HNG75" s="975"/>
      <c r="HNH75" s="975"/>
      <c r="HNI75" s="975"/>
      <c r="HNJ75" s="975"/>
      <c r="HNK75" s="975"/>
      <c r="HNL75" s="975"/>
      <c r="HNM75" s="975"/>
      <c r="HNN75" s="975"/>
      <c r="HNO75" s="975"/>
      <c r="HNP75" s="975"/>
      <c r="HNQ75" s="975"/>
      <c r="HNR75" s="975"/>
      <c r="HNS75" s="975"/>
      <c r="HNT75" s="975"/>
      <c r="HNU75" s="975"/>
      <c r="HNV75" s="975"/>
      <c r="HNW75" s="975"/>
      <c r="HNX75" s="975"/>
      <c r="HNY75" s="975"/>
      <c r="HNZ75" s="975"/>
      <c r="HOA75" s="975"/>
      <c r="HOB75" s="975"/>
      <c r="HOC75" s="975"/>
      <c r="HOD75" s="975"/>
      <c r="HOE75" s="975"/>
      <c r="HOF75" s="975"/>
      <c r="HOG75" s="975"/>
      <c r="HOH75" s="975"/>
      <c r="HOI75" s="975"/>
      <c r="HOJ75" s="975"/>
      <c r="HOK75" s="975"/>
      <c r="HOL75" s="975"/>
      <c r="HOM75" s="975"/>
      <c r="HON75" s="975"/>
      <c r="HOO75" s="975"/>
      <c r="HOP75" s="975"/>
      <c r="HOQ75" s="975"/>
      <c r="HOR75" s="975"/>
      <c r="HOS75" s="975"/>
      <c r="HOT75" s="975"/>
      <c r="HOU75" s="975"/>
      <c r="HOV75" s="975"/>
      <c r="HOW75" s="975"/>
      <c r="HOX75" s="975"/>
      <c r="HOY75" s="975"/>
      <c r="HOZ75" s="975"/>
      <c r="HPA75" s="975"/>
      <c r="HPB75" s="975"/>
      <c r="HPC75" s="975"/>
      <c r="HPD75" s="975"/>
      <c r="HPE75" s="975"/>
      <c r="HPF75" s="975"/>
      <c r="HPG75" s="975"/>
      <c r="HPH75" s="975"/>
      <c r="HPI75" s="975"/>
      <c r="HPJ75" s="975"/>
      <c r="HPK75" s="975"/>
      <c r="HPL75" s="975"/>
      <c r="HPM75" s="975"/>
      <c r="HPN75" s="975"/>
      <c r="HPO75" s="975"/>
      <c r="HPP75" s="975"/>
      <c r="HPQ75" s="975"/>
      <c r="HPR75" s="975"/>
      <c r="HPS75" s="975"/>
      <c r="HPT75" s="975"/>
      <c r="HPU75" s="975"/>
      <c r="HPV75" s="975"/>
      <c r="HPW75" s="975"/>
      <c r="HPX75" s="975"/>
      <c r="HPY75" s="975"/>
      <c r="HPZ75" s="975"/>
      <c r="HQA75" s="975"/>
      <c r="HQB75" s="975"/>
      <c r="HQC75" s="975"/>
      <c r="HQD75" s="975"/>
      <c r="HQE75" s="975"/>
      <c r="HQF75" s="975"/>
      <c r="HQG75" s="975"/>
      <c r="HQH75" s="975"/>
      <c r="HQI75" s="975"/>
      <c r="HQJ75" s="975"/>
      <c r="HQK75" s="975"/>
      <c r="HQL75" s="975"/>
      <c r="HQM75" s="975"/>
      <c r="HQN75" s="975"/>
      <c r="HQO75" s="975"/>
      <c r="HQP75" s="975"/>
      <c r="HQQ75" s="975"/>
      <c r="HQR75" s="975"/>
      <c r="HQS75" s="975"/>
      <c r="HQT75" s="975"/>
      <c r="HQU75" s="975"/>
      <c r="HQV75" s="975"/>
      <c r="HQW75" s="975"/>
      <c r="HQX75" s="975"/>
      <c r="HQY75" s="975"/>
      <c r="HQZ75" s="975"/>
      <c r="HRA75" s="975"/>
      <c r="HRB75" s="975"/>
      <c r="HRC75" s="975"/>
      <c r="HRD75" s="975"/>
      <c r="HRE75" s="975"/>
      <c r="HRF75" s="975"/>
      <c r="HRG75" s="975"/>
      <c r="HRH75" s="975"/>
      <c r="HRI75" s="975"/>
      <c r="HRJ75" s="975"/>
      <c r="HRK75" s="975"/>
      <c r="HRL75" s="975"/>
      <c r="HRM75" s="975"/>
      <c r="HRN75" s="975"/>
      <c r="HRO75" s="975"/>
      <c r="HRP75" s="975"/>
      <c r="HRQ75" s="975"/>
      <c r="HRR75" s="975"/>
      <c r="HRS75" s="975"/>
      <c r="HRT75" s="975"/>
      <c r="HRU75" s="975"/>
      <c r="HRV75" s="975"/>
      <c r="HRW75" s="975"/>
      <c r="HRX75" s="975"/>
      <c r="HRY75" s="975"/>
      <c r="HRZ75" s="975"/>
      <c r="HSA75" s="975"/>
      <c r="HSB75" s="975"/>
      <c r="HSC75" s="975"/>
      <c r="HSD75" s="975"/>
      <c r="HSE75" s="975"/>
      <c r="HSF75" s="975"/>
      <c r="HSG75" s="975"/>
      <c r="HSH75" s="975"/>
      <c r="HSI75" s="975"/>
      <c r="HSJ75" s="975"/>
      <c r="HSK75" s="975"/>
      <c r="HSL75" s="975"/>
      <c r="HSM75" s="975"/>
      <c r="HSN75" s="975"/>
      <c r="HSO75" s="975"/>
      <c r="HSP75" s="975"/>
      <c r="HSQ75" s="975"/>
      <c r="HSR75" s="975"/>
      <c r="HSS75" s="975"/>
      <c r="HST75" s="975"/>
      <c r="HSU75" s="975"/>
      <c r="HSV75" s="975"/>
      <c r="HSW75" s="975"/>
      <c r="HSX75" s="975"/>
      <c r="HSY75" s="975"/>
      <c r="HSZ75" s="975"/>
      <c r="HTA75" s="975"/>
      <c r="HTB75" s="975"/>
      <c r="HTC75" s="975"/>
      <c r="HTD75" s="975"/>
      <c r="HTE75" s="975"/>
      <c r="HTF75" s="975"/>
      <c r="HTG75" s="975"/>
      <c r="HTH75" s="975"/>
      <c r="HTI75" s="975"/>
      <c r="HTJ75" s="975"/>
      <c r="HTK75" s="975"/>
      <c r="HTL75" s="975"/>
      <c r="HTM75" s="975"/>
      <c r="HTN75" s="975"/>
      <c r="HTO75" s="975"/>
      <c r="HTP75" s="975"/>
      <c r="HTQ75" s="975"/>
      <c r="HTR75" s="975"/>
      <c r="HTS75" s="975"/>
      <c r="HTT75" s="975"/>
      <c r="HTU75" s="975"/>
      <c r="HTV75" s="975"/>
      <c r="HTW75" s="975"/>
      <c r="HTX75" s="975"/>
      <c r="HTY75" s="975"/>
      <c r="HTZ75" s="975"/>
      <c r="HUA75" s="975"/>
      <c r="HUB75" s="975"/>
      <c r="HUC75" s="975"/>
      <c r="HUD75" s="975"/>
      <c r="HUE75" s="975"/>
      <c r="HUF75" s="975"/>
      <c r="HUG75" s="975"/>
      <c r="HUH75" s="975"/>
      <c r="HUI75" s="975"/>
      <c r="HUJ75" s="975"/>
      <c r="HUK75" s="975"/>
      <c r="HUL75" s="975"/>
      <c r="HUM75" s="975"/>
      <c r="HUN75" s="975"/>
      <c r="HUO75" s="975"/>
      <c r="HUP75" s="975"/>
      <c r="HUQ75" s="975"/>
      <c r="HUR75" s="975"/>
      <c r="HUS75" s="975"/>
      <c r="HUT75" s="975"/>
      <c r="HUU75" s="975"/>
      <c r="HUV75" s="975"/>
      <c r="HUW75" s="975"/>
      <c r="HUX75" s="975"/>
      <c r="HUY75" s="975"/>
      <c r="HUZ75" s="975"/>
      <c r="HVA75" s="975"/>
      <c r="HVB75" s="975"/>
      <c r="HVC75" s="975"/>
      <c r="HVD75" s="975"/>
      <c r="HVE75" s="975"/>
      <c r="HVF75" s="975"/>
      <c r="HVG75" s="975"/>
      <c r="HVH75" s="975"/>
      <c r="HVI75" s="975"/>
      <c r="HVJ75" s="975"/>
      <c r="HVK75" s="975"/>
      <c r="HVL75" s="975"/>
      <c r="HVM75" s="975"/>
      <c r="HVN75" s="975"/>
      <c r="HVO75" s="975"/>
      <c r="HVP75" s="975"/>
      <c r="HVQ75" s="975"/>
      <c r="HVR75" s="975"/>
      <c r="HVS75" s="975"/>
      <c r="HVT75" s="975"/>
      <c r="HVU75" s="975"/>
      <c r="HVV75" s="975"/>
      <c r="HVW75" s="975"/>
      <c r="HVX75" s="975"/>
      <c r="HVY75" s="975"/>
      <c r="HVZ75" s="975"/>
      <c r="HWA75" s="975"/>
      <c r="HWB75" s="975"/>
      <c r="HWC75" s="975"/>
      <c r="HWD75" s="975"/>
      <c r="HWE75" s="975"/>
      <c r="HWF75" s="975"/>
      <c r="HWG75" s="975"/>
      <c r="HWH75" s="975"/>
      <c r="HWI75" s="975"/>
      <c r="HWJ75" s="975"/>
      <c r="HWK75" s="975"/>
      <c r="HWL75" s="975"/>
      <c r="HWM75" s="975"/>
      <c r="HWN75" s="975"/>
      <c r="HWO75" s="975"/>
      <c r="HWP75" s="975"/>
      <c r="HWQ75" s="975"/>
      <c r="HWR75" s="975"/>
      <c r="HWS75" s="975"/>
      <c r="HWT75" s="975"/>
      <c r="HWU75" s="975"/>
      <c r="HWV75" s="975"/>
      <c r="HWW75" s="975"/>
      <c r="HWX75" s="975"/>
      <c r="HWY75" s="975"/>
      <c r="HWZ75" s="975"/>
      <c r="HXA75" s="975"/>
      <c r="HXB75" s="975"/>
      <c r="HXC75" s="975"/>
      <c r="HXD75" s="975"/>
      <c r="HXE75" s="975"/>
      <c r="HXF75" s="975"/>
      <c r="HXG75" s="975"/>
      <c r="HXH75" s="975"/>
      <c r="HXI75" s="975"/>
      <c r="HXJ75" s="975"/>
      <c r="HXK75" s="975"/>
      <c r="HXL75" s="975"/>
      <c r="HXM75" s="975"/>
      <c r="HXN75" s="975"/>
      <c r="HXO75" s="975"/>
      <c r="HXP75" s="975"/>
      <c r="HXQ75" s="975"/>
      <c r="HXR75" s="975"/>
      <c r="HXS75" s="975"/>
      <c r="HXT75" s="975"/>
      <c r="HXU75" s="975"/>
      <c r="HXV75" s="975"/>
      <c r="HXW75" s="975"/>
      <c r="HXX75" s="975"/>
      <c r="HXY75" s="975"/>
      <c r="HXZ75" s="975"/>
      <c r="HYA75" s="975"/>
      <c r="HYB75" s="975"/>
      <c r="HYC75" s="975"/>
      <c r="HYD75" s="975"/>
      <c r="HYE75" s="975"/>
      <c r="HYF75" s="975"/>
      <c r="HYG75" s="975"/>
      <c r="HYH75" s="975"/>
      <c r="HYI75" s="975"/>
      <c r="HYJ75" s="975"/>
      <c r="HYK75" s="975"/>
      <c r="HYL75" s="975"/>
      <c r="HYM75" s="975"/>
      <c r="HYN75" s="975"/>
      <c r="HYO75" s="975"/>
      <c r="HYP75" s="975"/>
      <c r="HYQ75" s="975"/>
      <c r="HYR75" s="975"/>
      <c r="HYS75" s="975"/>
      <c r="HYT75" s="975"/>
      <c r="HYU75" s="975"/>
      <c r="HYV75" s="975"/>
      <c r="HYW75" s="975"/>
      <c r="HYX75" s="975"/>
      <c r="HYY75" s="975"/>
      <c r="HYZ75" s="975"/>
      <c r="HZA75" s="975"/>
      <c r="HZB75" s="975"/>
      <c r="HZC75" s="975"/>
      <c r="HZD75" s="975"/>
      <c r="HZE75" s="975"/>
      <c r="HZF75" s="975"/>
      <c r="HZG75" s="975"/>
      <c r="HZH75" s="975"/>
      <c r="HZI75" s="975"/>
      <c r="HZJ75" s="975"/>
      <c r="HZK75" s="975"/>
      <c r="HZL75" s="975"/>
      <c r="HZM75" s="975"/>
      <c r="HZN75" s="975"/>
      <c r="HZO75" s="975"/>
      <c r="HZP75" s="975"/>
      <c r="HZQ75" s="975"/>
      <c r="HZR75" s="975"/>
      <c r="HZS75" s="975"/>
      <c r="HZT75" s="975"/>
      <c r="HZU75" s="975"/>
      <c r="HZV75" s="975"/>
      <c r="HZW75" s="975"/>
      <c r="HZX75" s="975"/>
      <c r="HZY75" s="975"/>
      <c r="HZZ75" s="975"/>
      <c r="IAA75" s="975"/>
      <c r="IAB75" s="975"/>
      <c r="IAC75" s="975"/>
      <c r="IAD75" s="975"/>
      <c r="IAE75" s="975"/>
      <c r="IAF75" s="975"/>
      <c r="IAG75" s="975"/>
      <c r="IAH75" s="975"/>
      <c r="IAI75" s="975"/>
      <c r="IAJ75" s="975"/>
      <c r="IAK75" s="975"/>
      <c r="IAL75" s="975"/>
      <c r="IAM75" s="975"/>
      <c r="IAN75" s="975"/>
      <c r="IAO75" s="975"/>
      <c r="IAP75" s="975"/>
      <c r="IAQ75" s="975"/>
      <c r="IAR75" s="975"/>
      <c r="IAS75" s="975"/>
      <c r="IAT75" s="975"/>
      <c r="IAU75" s="975"/>
      <c r="IAV75" s="975"/>
      <c r="IAW75" s="975"/>
      <c r="IAX75" s="975"/>
      <c r="IAY75" s="975"/>
      <c r="IAZ75" s="975"/>
      <c r="IBA75" s="975"/>
      <c r="IBB75" s="975"/>
      <c r="IBC75" s="975"/>
      <c r="IBD75" s="975"/>
      <c r="IBE75" s="975"/>
      <c r="IBF75" s="975"/>
      <c r="IBG75" s="975"/>
      <c r="IBH75" s="975"/>
      <c r="IBI75" s="975"/>
      <c r="IBJ75" s="975"/>
      <c r="IBK75" s="975"/>
      <c r="IBL75" s="975"/>
      <c r="IBM75" s="975"/>
      <c r="IBN75" s="975"/>
      <c r="IBO75" s="975"/>
      <c r="IBP75" s="975"/>
      <c r="IBQ75" s="975"/>
      <c r="IBR75" s="975"/>
      <c r="IBS75" s="975"/>
      <c r="IBT75" s="975"/>
      <c r="IBU75" s="975"/>
      <c r="IBV75" s="975"/>
      <c r="IBW75" s="975"/>
      <c r="IBX75" s="975"/>
      <c r="IBY75" s="975"/>
      <c r="IBZ75" s="975"/>
      <c r="ICA75" s="975"/>
      <c r="ICB75" s="975"/>
      <c r="ICC75" s="975"/>
      <c r="ICD75" s="975"/>
      <c r="ICE75" s="975"/>
      <c r="ICF75" s="975"/>
      <c r="ICG75" s="975"/>
      <c r="ICH75" s="975"/>
      <c r="ICI75" s="975"/>
      <c r="ICJ75" s="975"/>
      <c r="ICK75" s="975"/>
      <c r="ICL75" s="975"/>
      <c r="ICM75" s="975"/>
      <c r="ICN75" s="975"/>
      <c r="ICO75" s="975"/>
      <c r="ICP75" s="975"/>
      <c r="ICQ75" s="975"/>
      <c r="ICR75" s="975"/>
      <c r="ICS75" s="975"/>
      <c r="ICT75" s="975"/>
      <c r="ICU75" s="975"/>
      <c r="ICV75" s="975"/>
      <c r="ICW75" s="975"/>
      <c r="ICX75" s="975"/>
      <c r="ICY75" s="975"/>
      <c r="ICZ75" s="975"/>
      <c r="IDA75" s="975"/>
      <c r="IDB75" s="975"/>
      <c r="IDC75" s="975"/>
      <c r="IDD75" s="975"/>
      <c r="IDE75" s="975"/>
      <c r="IDF75" s="975"/>
      <c r="IDG75" s="975"/>
      <c r="IDH75" s="975"/>
      <c r="IDI75" s="975"/>
      <c r="IDJ75" s="975"/>
      <c r="IDK75" s="975"/>
      <c r="IDL75" s="975"/>
      <c r="IDM75" s="975"/>
      <c r="IDN75" s="975"/>
      <c r="IDO75" s="975"/>
      <c r="IDP75" s="975"/>
      <c r="IDQ75" s="975"/>
      <c r="IDR75" s="975"/>
      <c r="IDS75" s="975"/>
      <c r="IDT75" s="975"/>
      <c r="IDU75" s="975"/>
      <c r="IDV75" s="975"/>
      <c r="IDW75" s="975"/>
      <c r="IDX75" s="975"/>
      <c r="IDY75" s="975"/>
      <c r="IDZ75" s="975"/>
      <c r="IEA75" s="975"/>
      <c r="IEB75" s="975"/>
      <c r="IEC75" s="975"/>
      <c r="IED75" s="975"/>
      <c r="IEE75" s="975"/>
      <c r="IEF75" s="975"/>
      <c r="IEG75" s="975"/>
      <c r="IEH75" s="975"/>
      <c r="IEI75" s="975"/>
      <c r="IEJ75" s="975"/>
      <c r="IEK75" s="975"/>
      <c r="IEL75" s="975"/>
      <c r="IEM75" s="975"/>
      <c r="IEN75" s="975"/>
      <c r="IEO75" s="975"/>
      <c r="IEP75" s="975"/>
      <c r="IEQ75" s="975"/>
      <c r="IER75" s="975"/>
      <c r="IES75" s="975"/>
      <c r="IET75" s="975"/>
      <c r="IEU75" s="975"/>
      <c r="IEV75" s="975"/>
      <c r="IEW75" s="975"/>
      <c r="IEX75" s="975"/>
      <c r="IEY75" s="975"/>
      <c r="IEZ75" s="975"/>
      <c r="IFA75" s="975"/>
      <c r="IFB75" s="975"/>
      <c r="IFC75" s="975"/>
      <c r="IFD75" s="975"/>
      <c r="IFE75" s="975"/>
      <c r="IFF75" s="975"/>
      <c r="IFG75" s="975"/>
      <c r="IFH75" s="975"/>
      <c r="IFI75" s="975"/>
      <c r="IFJ75" s="975"/>
      <c r="IFK75" s="975"/>
      <c r="IFL75" s="975"/>
      <c r="IFM75" s="975"/>
      <c r="IFN75" s="975"/>
      <c r="IFO75" s="975"/>
      <c r="IFP75" s="975"/>
      <c r="IFQ75" s="975"/>
      <c r="IFR75" s="975"/>
      <c r="IFS75" s="975"/>
      <c r="IFT75" s="975"/>
      <c r="IFU75" s="975"/>
      <c r="IFV75" s="975"/>
      <c r="IFW75" s="975"/>
      <c r="IFX75" s="975"/>
      <c r="IFY75" s="975"/>
      <c r="IFZ75" s="975"/>
      <c r="IGA75" s="975"/>
      <c r="IGB75" s="975"/>
      <c r="IGC75" s="975"/>
      <c r="IGD75" s="975"/>
      <c r="IGE75" s="975"/>
      <c r="IGF75" s="975"/>
      <c r="IGG75" s="975"/>
      <c r="IGH75" s="975"/>
      <c r="IGI75" s="975"/>
      <c r="IGJ75" s="975"/>
      <c r="IGK75" s="975"/>
      <c r="IGL75" s="975"/>
      <c r="IGM75" s="975"/>
      <c r="IGN75" s="975"/>
      <c r="IGO75" s="975"/>
      <c r="IGP75" s="975"/>
      <c r="IGQ75" s="975"/>
      <c r="IGR75" s="975"/>
      <c r="IGS75" s="975"/>
      <c r="IGT75" s="975"/>
      <c r="IGU75" s="975"/>
      <c r="IGV75" s="975"/>
      <c r="IGW75" s="975"/>
      <c r="IGX75" s="975"/>
      <c r="IGY75" s="975"/>
      <c r="IGZ75" s="975"/>
      <c r="IHA75" s="975"/>
      <c r="IHB75" s="975"/>
      <c r="IHC75" s="975"/>
      <c r="IHD75" s="975"/>
      <c r="IHE75" s="975"/>
      <c r="IHF75" s="975"/>
      <c r="IHG75" s="975"/>
      <c r="IHH75" s="975"/>
      <c r="IHI75" s="975"/>
      <c r="IHJ75" s="975"/>
      <c r="IHK75" s="975"/>
      <c r="IHL75" s="975"/>
      <c r="IHM75" s="975"/>
      <c r="IHN75" s="975"/>
      <c r="IHO75" s="975"/>
      <c r="IHP75" s="975"/>
      <c r="IHQ75" s="975"/>
      <c r="IHR75" s="975"/>
      <c r="IHS75" s="975"/>
      <c r="IHT75" s="975"/>
      <c r="IHU75" s="975"/>
      <c r="IHV75" s="975"/>
      <c r="IHW75" s="975"/>
      <c r="IHX75" s="975"/>
      <c r="IHY75" s="975"/>
      <c r="IHZ75" s="975"/>
      <c r="IIA75" s="975"/>
      <c r="IIB75" s="975"/>
      <c r="IIC75" s="975"/>
      <c r="IID75" s="975"/>
      <c r="IIE75" s="975"/>
      <c r="IIF75" s="975"/>
      <c r="IIG75" s="975"/>
      <c r="IIH75" s="975"/>
      <c r="III75" s="975"/>
      <c r="IIJ75" s="975"/>
      <c r="IIK75" s="975"/>
      <c r="IIL75" s="975"/>
      <c r="IIM75" s="975"/>
      <c r="IIN75" s="975"/>
      <c r="IIO75" s="975"/>
      <c r="IIP75" s="975"/>
      <c r="IIQ75" s="975"/>
      <c r="IIR75" s="975"/>
      <c r="IIS75" s="975"/>
      <c r="IIT75" s="975"/>
      <c r="IIU75" s="975"/>
      <c r="IIV75" s="975"/>
      <c r="IIW75" s="975"/>
      <c r="IIX75" s="975"/>
      <c r="IIY75" s="975"/>
      <c r="IIZ75" s="975"/>
      <c r="IJA75" s="975"/>
      <c r="IJB75" s="975"/>
      <c r="IJC75" s="975"/>
      <c r="IJD75" s="975"/>
      <c r="IJE75" s="975"/>
      <c r="IJF75" s="975"/>
      <c r="IJG75" s="975"/>
      <c r="IJH75" s="975"/>
      <c r="IJI75" s="975"/>
      <c r="IJJ75" s="975"/>
      <c r="IJK75" s="975"/>
      <c r="IJL75" s="975"/>
      <c r="IJM75" s="975"/>
      <c r="IJN75" s="975"/>
      <c r="IJO75" s="975"/>
      <c r="IJP75" s="975"/>
      <c r="IJQ75" s="975"/>
      <c r="IJR75" s="975"/>
      <c r="IJS75" s="975"/>
      <c r="IJT75" s="975"/>
      <c r="IJU75" s="975"/>
      <c r="IJV75" s="975"/>
      <c r="IJW75" s="975"/>
      <c r="IJX75" s="975"/>
      <c r="IJY75" s="975"/>
      <c r="IJZ75" s="975"/>
      <c r="IKA75" s="975"/>
      <c r="IKB75" s="975"/>
      <c r="IKC75" s="975"/>
      <c r="IKD75" s="975"/>
      <c r="IKE75" s="975"/>
      <c r="IKF75" s="975"/>
      <c r="IKG75" s="975"/>
      <c r="IKH75" s="975"/>
      <c r="IKI75" s="975"/>
      <c r="IKJ75" s="975"/>
      <c r="IKK75" s="975"/>
      <c r="IKL75" s="975"/>
      <c r="IKM75" s="975"/>
      <c r="IKN75" s="975"/>
      <c r="IKO75" s="975"/>
      <c r="IKP75" s="975"/>
      <c r="IKQ75" s="975"/>
      <c r="IKR75" s="975"/>
      <c r="IKS75" s="975"/>
      <c r="IKT75" s="975"/>
      <c r="IKU75" s="975"/>
      <c r="IKV75" s="975"/>
      <c r="IKW75" s="975"/>
      <c r="IKX75" s="975"/>
      <c r="IKY75" s="975"/>
      <c r="IKZ75" s="975"/>
      <c r="ILA75" s="975"/>
      <c r="ILB75" s="975"/>
      <c r="ILC75" s="975"/>
      <c r="ILD75" s="975"/>
      <c r="ILE75" s="975"/>
      <c r="ILF75" s="975"/>
      <c r="ILG75" s="975"/>
      <c r="ILH75" s="975"/>
      <c r="ILI75" s="975"/>
      <c r="ILJ75" s="975"/>
      <c r="ILK75" s="975"/>
      <c r="ILL75" s="975"/>
      <c r="ILM75" s="975"/>
      <c r="ILN75" s="975"/>
      <c r="ILO75" s="975"/>
      <c r="ILP75" s="975"/>
      <c r="ILQ75" s="975"/>
      <c r="ILR75" s="975"/>
      <c r="ILS75" s="975"/>
      <c r="ILT75" s="975"/>
      <c r="ILU75" s="975"/>
      <c r="ILV75" s="975"/>
      <c r="ILW75" s="975"/>
      <c r="ILX75" s="975"/>
      <c r="ILY75" s="975"/>
      <c r="ILZ75" s="975"/>
      <c r="IMA75" s="975"/>
      <c r="IMB75" s="975"/>
      <c r="IMC75" s="975"/>
      <c r="IMD75" s="975"/>
      <c r="IME75" s="975"/>
      <c r="IMF75" s="975"/>
      <c r="IMG75" s="975"/>
      <c r="IMH75" s="975"/>
      <c r="IMI75" s="975"/>
      <c r="IMJ75" s="975"/>
      <c r="IMK75" s="975"/>
      <c r="IML75" s="975"/>
      <c r="IMM75" s="975"/>
      <c r="IMN75" s="975"/>
      <c r="IMO75" s="975"/>
      <c r="IMP75" s="975"/>
      <c r="IMQ75" s="975"/>
      <c r="IMR75" s="975"/>
      <c r="IMS75" s="975"/>
      <c r="IMT75" s="975"/>
      <c r="IMU75" s="975"/>
      <c r="IMV75" s="975"/>
      <c r="IMW75" s="975"/>
      <c r="IMX75" s="975"/>
      <c r="IMY75" s="975"/>
      <c r="IMZ75" s="975"/>
      <c r="INA75" s="975"/>
      <c r="INB75" s="975"/>
      <c r="INC75" s="975"/>
      <c r="IND75" s="975"/>
      <c r="INE75" s="975"/>
      <c r="INF75" s="975"/>
      <c r="ING75" s="975"/>
      <c r="INH75" s="975"/>
      <c r="INI75" s="975"/>
      <c r="INJ75" s="975"/>
      <c r="INK75" s="975"/>
      <c r="INL75" s="975"/>
      <c r="INM75" s="975"/>
      <c r="INN75" s="975"/>
      <c r="INO75" s="975"/>
      <c r="INP75" s="975"/>
      <c r="INQ75" s="975"/>
      <c r="INR75" s="975"/>
      <c r="INS75" s="975"/>
      <c r="INT75" s="975"/>
      <c r="INU75" s="975"/>
      <c r="INV75" s="975"/>
      <c r="INW75" s="975"/>
      <c r="INX75" s="975"/>
      <c r="INY75" s="975"/>
      <c r="INZ75" s="975"/>
      <c r="IOA75" s="975"/>
      <c r="IOB75" s="975"/>
      <c r="IOC75" s="975"/>
      <c r="IOD75" s="975"/>
      <c r="IOE75" s="975"/>
      <c r="IOF75" s="975"/>
      <c r="IOG75" s="975"/>
      <c r="IOH75" s="975"/>
      <c r="IOI75" s="975"/>
      <c r="IOJ75" s="975"/>
      <c r="IOK75" s="975"/>
      <c r="IOL75" s="975"/>
      <c r="IOM75" s="975"/>
      <c r="ION75" s="975"/>
      <c r="IOO75" s="975"/>
      <c r="IOP75" s="975"/>
      <c r="IOQ75" s="975"/>
      <c r="IOR75" s="975"/>
      <c r="IOS75" s="975"/>
      <c r="IOT75" s="975"/>
      <c r="IOU75" s="975"/>
      <c r="IOV75" s="975"/>
      <c r="IOW75" s="975"/>
      <c r="IOX75" s="975"/>
      <c r="IOY75" s="975"/>
      <c r="IOZ75" s="975"/>
      <c r="IPA75" s="975"/>
      <c r="IPB75" s="975"/>
      <c r="IPC75" s="975"/>
      <c r="IPD75" s="975"/>
      <c r="IPE75" s="975"/>
      <c r="IPF75" s="975"/>
      <c r="IPG75" s="975"/>
      <c r="IPH75" s="975"/>
      <c r="IPI75" s="975"/>
      <c r="IPJ75" s="975"/>
      <c r="IPK75" s="975"/>
      <c r="IPL75" s="975"/>
      <c r="IPM75" s="975"/>
      <c r="IPN75" s="975"/>
      <c r="IPO75" s="975"/>
      <c r="IPP75" s="975"/>
      <c r="IPQ75" s="975"/>
      <c r="IPR75" s="975"/>
      <c r="IPS75" s="975"/>
      <c r="IPT75" s="975"/>
      <c r="IPU75" s="975"/>
      <c r="IPV75" s="975"/>
      <c r="IPW75" s="975"/>
      <c r="IPX75" s="975"/>
      <c r="IPY75" s="975"/>
      <c r="IPZ75" s="975"/>
      <c r="IQA75" s="975"/>
      <c r="IQB75" s="975"/>
      <c r="IQC75" s="975"/>
      <c r="IQD75" s="975"/>
      <c r="IQE75" s="975"/>
      <c r="IQF75" s="975"/>
      <c r="IQG75" s="975"/>
      <c r="IQH75" s="975"/>
      <c r="IQI75" s="975"/>
      <c r="IQJ75" s="975"/>
      <c r="IQK75" s="975"/>
      <c r="IQL75" s="975"/>
      <c r="IQM75" s="975"/>
      <c r="IQN75" s="975"/>
      <c r="IQO75" s="975"/>
      <c r="IQP75" s="975"/>
      <c r="IQQ75" s="975"/>
      <c r="IQR75" s="975"/>
      <c r="IQS75" s="975"/>
      <c r="IQT75" s="975"/>
      <c r="IQU75" s="975"/>
      <c r="IQV75" s="975"/>
      <c r="IQW75" s="975"/>
      <c r="IQX75" s="975"/>
      <c r="IQY75" s="975"/>
      <c r="IQZ75" s="975"/>
      <c r="IRA75" s="975"/>
      <c r="IRB75" s="975"/>
      <c r="IRC75" s="975"/>
      <c r="IRD75" s="975"/>
      <c r="IRE75" s="975"/>
      <c r="IRF75" s="975"/>
      <c r="IRG75" s="975"/>
      <c r="IRH75" s="975"/>
      <c r="IRI75" s="975"/>
      <c r="IRJ75" s="975"/>
      <c r="IRK75" s="975"/>
      <c r="IRL75" s="975"/>
      <c r="IRM75" s="975"/>
      <c r="IRN75" s="975"/>
      <c r="IRO75" s="975"/>
      <c r="IRP75" s="975"/>
      <c r="IRQ75" s="975"/>
      <c r="IRR75" s="975"/>
      <c r="IRS75" s="975"/>
      <c r="IRT75" s="975"/>
      <c r="IRU75" s="975"/>
      <c r="IRV75" s="975"/>
      <c r="IRW75" s="975"/>
      <c r="IRX75" s="975"/>
      <c r="IRY75" s="975"/>
      <c r="IRZ75" s="975"/>
      <c r="ISA75" s="975"/>
      <c r="ISB75" s="975"/>
      <c r="ISC75" s="975"/>
      <c r="ISD75" s="975"/>
      <c r="ISE75" s="975"/>
      <c r="ISF75" s="975"/>
      <c r="ISG75" s="975"/>
      <c r="ISH75" s="975"/>
      <c r="ISI75" s="975"/>
      <c r="ISJ75" s="975"/>
      <c r="ISK75" s="975"/>
      <c r="ISL75" s="975"/>
      <c r="ISM75" s="975"/>
      <c r="ISN75" s="975"/>
      <c r="ISO75" s="975"/>
      <c r="ISP75" s="975"/>
      <c r="ISQ75" s="975"/>
      <c r="ISR75" s="975"/>
      <c r="ISS75" s="975"/>
      <c r="IST75" s="975"/>
      <c r="ISU75" s="975"/>
      <c r="ISV75" s="975"/>
      <c r="ISW75" s="975"/>
      <c r="ISX75" s="975"/>
      <c r="ISY75" s="975"/>
      <c r="ISZ75" s="975"/>
      <c r="ITA75" s="975"/>
      <c r="ITB75" s="975"/>
      <c r="ITC75" s="975"/>
      <c r="ITD75" s="975"/>
      <c r="ITE75" s="975"/>
      <c r="ITF75" s="975"/>
      <c r="ITG75" s="975"/>
      <c r="ITH75" s="975"/>
      <c r="ITI75" s="975"/>
      <c r="ITJ75" s="975"/>
      <c r="ITK75" s="975"/>
      <c r="ITL75" s="975"/>
      <c r="ITM75" s="975"/>
      <c r="ITN75" s="975"/>
      <c r="ITO75" s="975"/>
      <c r="ITP75" s="975"/>
      <c r="ITQ75" s="975"/>
      <c r="ITR75" s="975"/>
      <c r="ITS75" s="975"/>
      <c r="ITT75" s="975"/>
      <c r="ITU75" s="975"/>
      <c r="ITV75" s="975"/>
      <c r="ITW75" s="975"/>
      <c r="ITX75" s="975"/>
      <c r="ITY75" s="975"/>
      <c r="ITZ75" s="975"/>
      <c r="IUA75" s="975"/>
      <c r="IUB75" s="975"/>
      <c r="IUC75" s="975"/>
      <c r="IUD75" s="975"/>
      <c r="IUE75" s="975"/>
      <c r="IUF75" s="975"/>
      <c r="IUG75" s="975"/>
      <c r="IUH75" s="975"/>
      <c r="IUI75" s="975"/>
      <c r="IUJ75" s="975"/>
      <c r="IUK75" s="975"/>
      <c r="IUL75" s="975"/>
      <c r="IUM75" s="975"/>
      <c r="IUN75" s="975"/>
      <c r="IUO75" s="975"/>
      <c r="IUP75" s="975"/>
      <c r="IUQ75" s="975"/>
      <c r="IUR75" s="975"/>
      <c r="IUS75" s="975"/>
      <c r="IUT75" s="975"/>
      <c r="IUU75" s="975"/>
      <c r="IUV75" s="975"/>
      <c r="IUW75" s="975"/>
      <c r="IUX75" s="975"/>
      <c r="IUY75" s="975"/>
      <c r="IUZ75" s="975"/>
      <c r="IVA75" s="975"/>
      <c r="IVB75" s="975"/>
      <c r="IVC75" s="975"/>
      <c r="IVD75" s="975"/>
      <c r="IVE75" s="975"/>
      <c r="IVF75" s="975"/>
      <c r="IVG75" s="975"/>
      <c r="IVH75" s="975"/>
      <c r="IVI75" s="975"/>
      <c r="IVJ75" s="975"/>
      <c r="IVK75" s="975"/>
      <c r="IVL75" s="975"/>
      <c r="IVM75" s="975"/>
      <c r="IVN75" s="975"/>
      <c r="IVO75" s="975"/>
      <c r="IVP75" s="975"/>
      <c r="IVQ75" s="975"/>
      <c r="IVR75" s="975"/>
      <c r="IVS75" s="975"/>
      <c r="IVT75" s="975"/>
      <c r="IVU75" s="975"/>
      <c r="IVV75" s="975"/>
      <c r="IVW75" s="975"/>
      <c r="IVX75" s="975"/>
      <c r="IVY75" s="975"/>
      <c r="IVZ75" s="975"/>
      <c r="IWA75" s="975"/>
      <c r="IWB75" s="975"/>
      <c r="IWC75" s="975"/>
      <c r="IWD75" s="975"/>
      <c r="IWE75" s="975"/>
      <c r="IWF75" s="975"/>
      <c r="IWG75" s="975"/>
      <c r="IWH75" s="975"/>
      <c r="IWI75" s="975"/>
      <c r="IWJ75" s="975"/>
      <c r="IWK75" s="975"/>
      <c r="IWL75" s="975"/>
      <c r="IWM75" s="975"/>
      <c r="IWN75" s="975"/>
      <c r="IWO75" s="975"/>
      <c r="IWP75" s="975"/>
      <c r="IWQ75" s="975"/>
      <c r="IWR75" s="975"/>
      <c r="IWS75" s="975"/>
      <c r="IWT75" s="975"/>
      <c r="IWU75" s="975"/>
      <c r="IWV75" s="975"/>
      <c r="IWW75" s="975"/>
      <c r="IWX75" s="975"/>
      <c r="IWY75" s="975"/>
      <c r="IWZ75" s="975"/>
      <c r="IXA75" s="975"/>
      <c r="IXB75" s="975"/>
      <c r="IXC75" s="975"/>
      <c r="IXD75" s="975"/>
      <c r="IXE75" s="975"/>
      <c r="IXF75" s="975"/>
      <c r="IXG75" s="975"/>
      <c r="IXH75" s="975"/>
      <c r="IXI75" s="975"/>
      <c r="IXJ75" s="975"/>
      <c r="IXK75" s="975"/>
      <c r="IXL75" s="975"/>
      <c r="IXM75" s="975"/>
      <c r="IXN75" s="975"/>
      <c r="IXO75" s="975"/>
      <c r="IXP75" s="975"/>
      <c r="IXQ75" s="975"/>
      <c r="IXR75" s="975"/>
      <c r="IXS75" s="975"/>
      <c r="IXT75" s="975"/>
      <c r="IXU75" s="975"/>
      <c r="IXV75" s="975"/>
      <c r="IXW75" s="975"/>
      <c r="IXX75" s="975"/>
      <c r="IXY75" s="975"/>
      <c r="IXZ75" s="975"/>
      <c r="IYA75" s="975"/>
      <c r="IYB75" s="975"/>
      <c r="IYC75" s="975"/>
      <c r="IYD75" s="975"/>
      <c r="IYE75" s="975"/>
      <c r="IYF75" s="975"/>
      <c r="IYG75" s="975"/>
      <c r="IYH75" s="975"/>
      <c r="IYI75" s="975"/>
      <c r="IYJ75" s="975"/>
      <c r="IYK75" s="975"/>
      <c r="IYL75" s="975"/>
      <c r="IYM75" s="975"/>
      <c r="IYN75" s="975"/>
      <c r="IYO75" s="975"/>
      <c r="IYP75" s="975"/>
      <c r="IYQ75" s="975"/>
      <c r="IYR75" s="975"/>
      <c r="IYS75" s="975"/>
      <c r="IYT75" s="975"/>
      <c r="IYU75" s="975"/>
      <c r="IYV75" s="975"/>
      <c r="IYW75" s="975"/>
      <c r="IYX75" s="975"/>
      <c r="IYY75" s="975"/>
      <c r="IYZ75" s="975"/>
      <c r="IZA75" s="975"/>
      <c r="IZB75" s="975"/>
      <c r="IZC75" s="975"/>
      <c r="IZD75" s="975"/>
      <c r="IZE75" s="975"/>
      <c r="IZF75" s="975"/>
      <c r="IZG75" s="975"/>
      <c r="IZH75" s="975"/>
      <c r="IZI75" s="975"/>
      <c r="IZJ75" s="975"/>
      <c r="IZK75" s="975"/>
      <c r="IZL75" s="975"/>
      <c r="IZM75" s="975"/>
      <c r="IZN75" s="975"/>
      <c r="IZO75" s="975"/>
      <c r="IZP75" s="975"/>
      <c r="IZQ75" s="975"/>
      <c r="IZR75" s="975"/>
      <c r="IZS75" s="975"/>
      <c r="IZT75" s="975"/>
      <c r="IZU75" s="975"/>
      <c r="IZV75" s="975"/>
      <c r="IZW75" s="975"/>
      <c r="IZX75" s="975"/>
      <c r="IZY75" s="975"/>
      <c r="IZZ75" s="975"/>
      <c r="JAA75" s="975"/>
      <c r="JAB75" s="975"/>
      <c r="JAC75" s="975"/>
      <c r="JAD75" s="975"/>
      <c r="JAE75" s="975"/>
      <c r="JAF75" s="975"/>
      <c r="JAG75" s="975"/>
      <c r="JAH75" s="975"/>
      <c r="JAI75" s="975"/>
      <c r="JAJ75" s="975"/>
      <c r="JAK75" s="975"/>
      <c r="JAL75" s="975"/>
      <c r="JAM75" s="975"/>
      <c r="JAN75" s="975"/>
      <c r="JAO75" s="975"/>
      <c r="JAP75" s="975"/>
      <c r="JAQ75" s="975"/>
      <c r="JAR75" s="975"/>
      <c r="JAS75" s="975"/>
      <c r="JAT75" s="975"/>
      <c r="JAU75" s="975"/>
      <c r="JAV75" s="975"/>
      <c r="JAW75" s="975"/>
      <c r="JAX75" s="975"/>
      <c r="JAY75" s="975"/>
      <c r="JAZ75" s="975"/>
      <c r="JBA75" s="975"/>
      <c r="JBB75" s="975"/>
      <c r="JBC75" s="975"/>
      <c r="JBD75" s="975"/>
      <c r="JBE75" s="975"/>
      <c r="JBF75" s="975"/>
      <c r="JBG75" s="975"/>
      <c r="JBH75" s="975"/>
      <c r="JBI75" s="975"/>
      <c r="JBJ75" s="975"/>
      <c r="JBK75" s="975"/>
      <c r="JBL75" s="975"/>
      <c r="JBM75" s="975"/>
      <c r="JBN75" s="975"/>
      <c r="JBO75" s="975"/>
      <c r="JBP75" s="975"/>
      <c r="JBQ75" s="975"/>
      <c r="JBR75" s="975"/>
      <c r="JBS75" s="975"/>
      <c r="JBT75" s="975"/>
      <c r="JBU75" s="975"/>
      <c r="JBV75" s="975"/>
      <c r="JBW75" s="975"/>
      <c r="JBX75" s="975"/>
      <c r="JBY75" s="975"/>
      <c r="JBZ75" s="975"/>
      <c r="JCA75" s="975"/>
      <c r="JCB75" s="975"/>
      <c r="JCC75" s="975"/>
      <c r="JCD75" s="975"/>
      <c r="JCE75" s="975"/>
      <c r="JCF75" s="975"/>
      <c r="JCG75" s="975"/>
      <c r="JCH75" s="975"/>
      <c r="JCI75" s="975"/>
      <c r="JCJ75" s="975"/>
      <c r="JCK75" s="975"/>
      <c r="JCL75" s="975"/>
      <c r="JCM75" s="975"/>
      <c r="JCN75" s="975"/>
      <c r="JCO75" s="975"/>
      <c r="JCP75" s="975"/>
      <c r="JCQ75" s="975"/>
      <c r="JCR75" s="975"/>
      <c r="JCS75" s="975"/>
      <c r="JCT75" s="975"/>
      <c r="JCU75" s="975"/>
      <c r="JCV75" s="975"/>
      <c r="JCW75" s="975"/>
      <c r="JCX75" s="975"/>
      <c r="JCY75" s="975"/>
      <c r="JCZ75" s="975"/>
      <c r="JDA75" s="975"/>
      <c r="JDB75" s="975"/>
      <c r="JDC75" s="975"/>
      <c r="JDD75" s="975"/>
      <c r="JDE75" s="975"/>
      <c r="JDF75" s="975"/>
      <c r="JDG75" s="975"/>
      <c r="JDH75" s="975"/>
      <c r="JDI75" s="975"/>
      <c r="JDJ75" s="975"/>
      <c r="JDK75" s="975"/>
      <c r="JDL75" s="975"/>
      <c r="JDM75" s="975"/>
      <c r="JDN75" s="975"/>
      <c r="JDO75" s="975"/>
      <c r="JDP75" s="975"/>
      <c r="JDQ75" s="975"/>
      <c r="JDR75" s="975"/>
      <c r="JDS75" s="975"/>
      <c r="JDT75" s="975"/>
      <c r="JDU75" s="975"/>
      <c r="JDV75" s="975"/>
      <c r="JDW75" s="975"/>
      <c r="JDX75" s="975"/>
      <c r="JDY75" s="975"/>
      <c r="JDZ75" s="975"/>
      <c r="JEA75" s="975"/>
      <c r="JEB75" s="975"/>
      <c r="JEC75" s="975"/>
      <c r="JED75" s="975"/>
      <c r="JEE75" s="975"/>
      <c r="JEF75" s="975"/>
      <c r="JEG75" s="975"/>
      <c r="JEH75" s="975"/>
      <c r="JEI75" s="975"/>
      <c r="JEJ75" s="975"/>
      <c r="JEK75" s="975"/>
      <c r="JEL75" s="975"/>
      <c r="JEM75" s="975"/>
      <c r="JEN75" s="975"/>
      <c r="JEO75" s="975"/>
      <c r="JEP75" s="975"/>
      <c r="JEQ75" s="975"/>
      <c r="JER75" s="975"/>
      <c r="JES75" s="975"/>
      <c r="JET75" s="975"/>
      <c r="JEU75" s="975"/>
      <c r="JEV75" s="975"/>
      <c r="JEW75" s="975"/>
      <c r="JEX75" s="975"/>
      <c r="JEY75" s="975"/>
      <c r="JEZ75" s="975"/>
      <c r="JFA75" s="975"/>
      <c r="JFB75" s="975"/>
      <c r="JFC75" s="975"/>
      <c r="JFD75" s="975"/>
      <c r="JFE75" s="975"/>
      <c r="JFF75" s="975"/>
      <c r="JFG75" s="975"/>
      <c r="JFH75" s="975"/>
      <c r="JFI75" s="975"/>
      <c r="JFJ75" s="975"/>
      <c r="JFK75" s="975"/>
      <c r="JFL75" s="975"/>
      <c r="JFM75" s="975"/>
      <c r="JFN75" s="975"/>
      <c r="JFO75" s="975"/>
      <c r="JFP75" s="975"/>
      <c r="JFQ75" s="975"/>
      <c r="JFR75" s="975"/>
      <c r="JFS75" s="975"/>
      <c r="JFT75" s="975"/>
      <c r="JFU75" s="975"/>
      <c r="JFV75" s="975"/>
      <c r="JFW75" s="975"/>
      <c r="JFX75" s="975"/>
      <c r="JFY75" s="975"/>
      <c r="JFZ75" s="975"/>
      <c r="JGA75" s="975"/>
      <c r="JGB75" s="975"/>
      <c r="JGC75" s="975"/>
      <c r="JGD75" s="975"/>
      <c r="JGE75" s="975"/>
      <c r="JGF75" s="975"/>
      <c r="JGG75" s="975"/>
      <c r="JGH75" s="975"/>
      <c r="JGI75" s="975"/>
      <c r="JGJ75" s="975"/>
      <c r="JGK75" s="975"/>
      <c r="JGL75" s="975"/>
      <c r="JGM75" s="975"/>
      <c r="JGN75" s="975"/>
      <c r="JGO75" s="975"/>
      <c r="JGP75" s="975"/>
      <c r="JGQ75" s="975"/>
      <c r="JGR75" s="975"/>
      <c r="JGS75" s="975"/>
      <c r="JGT75" s="975"/>
      <c r="JGU75" s="975"/>
      <c r="JGV75" s="975"/>
      <c r="JGW75" s="975"/>
      <c r="JGX75" s="975"/>
      <c r="JGY75" s="975"/>
      <c r="JGZ75" s="975"/>
      <c r="JHA75" s="975"/>
      <c r="JHB75" s="975"/>
      <c r="JHC75" s="975"/>
      <c r="JHD75" s="975"/>
      <c r="JHE75" s="975"/>
      <c r="JHF75" s="975"/>
      <c r="JHG75" s="975"/>
      <c r="JHH75" s="975"/>
      <c r="JHI75" s="975"/>
      <c r="JHJ75" s="975"/>
      <c r="JHK75" s="975"/>
      <c r="JHL75" s="975"/>
      <c r="JHM75" s="975"/>
      <c r="JHN75" s="975"/>
      <c r="JHO75" s="975"/>
      <c r="JHP75" s="975"/>
      <c r="JHQ75" s="975"/>
      <c r="JHR75" s="975"/>
      <c r="JHS75" s="975"/>
      <c r="JHT75" s="975"/>
      <c r="JHU75" s="975"/>
      <c r="JHV75" s="975"/>
      <c r="JHW75" s="975"/>
      <c r="JHX75" s="975"/>
      <c r="JHY75" s="975"/>
      <c r="JHZ75" s="975"/>
      <c r="JIA75" s="975"/>
      <c r="JIB75" s="975"/>
      <c r="JIC75" s="975"/>
      <c r="JID75" s="975"/>
      <c r="JIE75" s="975"/>
      <c r="JIF75" s="975"/>
      <c r="JIG75" s="975"/>
      <c r="JIH75" s="975"/>
      <c r="JII75" s="975"/>
      <c r="JIJ75" s="975"/>
      <c r="JIK75" s="975"/>
      <c r="JIL75" s="975"/>
      <c r="JIM75" s="975"/>
      <c r="JIN75" s="975"/>
      <c r="JIO75" s="975"/>
      <c r="JIP75" s="975"/>
      <c r="JIQ75" s="975"/>
      <c r="JIR75" s="975"/>
      <c r="JIS75" s="975"/>
      <c r="JIT75" s="975"/>
      <c r="JIU75" s="975"/>
      <c r="JIV75" s="975"/>
      <c r="JIW75" s="975"/>
      <c r="JIX75" s="975"/>
      <c r="JIY75" s="975"/>
      <c r="JIZ75" s="975"/>
      <c r="JJA75" s="975"/>
      <c r="JJB75" s="975"/>
      <c r="JJC75" s="975"/>
      <c r="JJD75" s="975"/>
      <c r="JJE75" s="975"/>
      <c r="JJF75" s="975"/>
      <c r="JJG75" s="975"/>
      <c r="JJH75" s="975"/>
      <c r="JJI75" s="975"/>
      <c r="JJJ75" s="975"/>
      <c r="JJK75" s="975"/>
      <c r="JJL75" s="975"/>
      <c r="JJM75" s="975"/>
      <c r="JJN75" s="975"/>
      <c r="JJO75" s="975"/>
      <c r="JJP75" s="975"/>
      <c r="JJQ75" s="975"/>
      <c r="JJR75" s="975"/>
      <c r="JJS75" s="975"/>
      <c r="JJT75" s="975"/>
      <c r="JJU75" s="975"/>
      <c r="JJV75" s="975"/>
      <c r="JJW75" s="975"/>
      <c r="JJX75" s="975"/>
      <c r="JJY75" s="975"/>
      <c r="JJZ75" s="975"/>
      <c r="JKA75" s="975"/>
      <c r="JKB75" s="975"/>
      <c r="JKC75" s="975"/>
      <c r="JKD75" s="975"/>
      <c r="JKE75" s="975"/>
      <c r="JKF75" s="975"/>
      <c r="JKG75" s="975"/>
      <c r="JKH75" s="975"/>
      <c r="JKI75" s="975"/>
      <c r="JKJ75" s="975"/>
      <c r="JKK75" s="975"/>
      <c r="JKL75" s="975"/>
      <c r="JKM75" s="975"/>
      <c r="JKN75" s="975"/>
      <c r="JKO75" s="975"/>
      <c r="JKP75" s="975"/>
      <c r="JKQ75" s="975"/>
      <c r="JKR75" s="975"/>
      <c r="JKS75" s="975"/>
      <c r="JKT75" s="975"/>
      <c r="JKU75" s="975"/>
      <c r="JKV75" s="975"/>
      <c r="JKW75" s="975"/>
      <c r="JKX75" s="975"/>
      <c r="JKY75" s="975"/>
      <c r="JKZ75" s="975"/>
      <c r="JLA75" s="975"/>
      <c r="JLB75" s="975"/>
      <c r="JLC75" s="975"/>
      <c r="JLD75" s="975"/>
      <c r="JLE75" s="975"/>
      <c r="JLF75" s="975"/>
      <c r="JLG75" s="975"/>
      <c r="JLH75" s="975"/>
      <c r="JLI75" s="975"/>
      <c r="JLJ75" s="975"/>
      <c r="JLK75" s="975"/>
      <c r="JLL75" s="975"/>
      <c r="JLM75" s="975"/>
      <c r="JLN75" s="975"/>
      <c r="JLO75" s="975"/>
      <c r="JLP75" s="975"/>
      <c r="JLQ75" s="975"/>
      <c r="JLR75" s="975"/>
      <c r="JLS75" s="975"/>
      <c r="JLT75" s="975"/>
      <c r="JLU75" s="975"/>
      <c r="JLV75" s="975"/>
      <c r="JLW75" s="975"/>
      <c r="JLX75" s="975"/>
      <c r="JLY75" s="975"/>
      <c r="JLZ75" s="975"/>
      <c r="JMA75" s="975"/>
      <c r="JMB75" s="975"/>
      <c r="JMC75" s="975"/>
      <c r="JMD75" s="975"/>
      <c r="JME75" s="975"/>
      <c r="JMF75" s="975"/>
      <c r="JMG75" s="975"/>
      <c r="JMH75" s="975"/>
      <c r="JMI75" s="975"/>
      <c r="JMJ75" s="975"/>
      <c r="JMK75" s="975"/>
      <c r="JML75" s="975"/>
      <c r="JMM75" s="975"/>
      <c r="JMN75" s="975"/>
      <c r="JMO75" s="975"/>
      <c r="JMP75" s="975"/>
      <c r="JMQ75" s="975"/>
      <c r="JMR75" s="975"/>
      <c r="JMS75" s="975"/>
      <c r="JMT75" s="975"/>
      <c r="JMU75" s="975"/>
      <c r="JMV75" s="975"/>
      <c r="JMW75" s="975"/>
      <c r="JMX75" s="975"/>
      <c r="JMY75" s="975"/>
      <c r="JMZ75" s="975"/>
      <c r="JNA75" s="975"/>
      <c r="JNB75" s="975"/>
      <c r="JNC75" s="975"/>
      <c r="JND75" s="975"/>
      <c r="JNE75" s="975"/>
      <c r="JNF75" s="975"/>
      <c r="JNG75" s="975"/>
      <c r="JNH75" s="975"/>
      <c r="JNI75" s="975"/>
      <c r="JNJ75" s="975"/>
      <c r="JNK75" s="975"/>
      <c r="JNL75" s="975"/>
      <c r="JNM75" s="975"/>
      <c r="JNN75" s="975"/>
      <c r="JNO75" s="975"/>
      <c r="JNP75" s="975"/>
      <c r="JNQ75" s="975"/>
      <c r="JNR75" s="975"/>
      <c r="JNS75" s="975"/>
      <c r="JNT75" s="975"/>
      <c r="JNU75" s="975"/>
      <c r="JNV75" s="975"/>
      <c r="JNW75" s="975"/>
      <c r="JNX75" s="975"/>
      <c r="JNY75" s="975"/>
      <c r="JNZ75" s="975"/>
      <c r="JOA75" s="975"/>
      <c r="JOB75" s="975"/>
      <c r="JOC75" s="975"/>
      <c r="JOD75" s="975"/>
      <c r="JOE75" s="975"/>
      <c r="JOF75" s="975"/>
      <c r="JOG75" s="975"/>
      <c r="JOH75" s="975"/>
      <c r="JOI75" s="975"/>
      <c r="JOJ75" s="975"/>
      <c r="JOK75" s="975"/>
      <c r="JOL75" s="975"/>
      <c r="JOM75" s="975"/>
      <c r="JON75" s="975"/>
      <c r="JOO75" s="975"/>
      <c r="JOP75" s="975"/>
      <c r="JOQ75" s="975"/>
      <c r="JOR75" s="975"/>
      <c r="JOS75" s="975"/>
      <c r="JOT75" s="975"/>
      <c r="JOU75" s="975"/>
      <c r="JOV75" s="975"/>
      <c r="JOW75" s="975"/>
      <c r="JOX75" s="975"/>
      <c r="JOY75" s="975"/>
      <c r="JOZ75" s="975"/>
      <c r="JPA75" s="975"/>
      <c r="JPB75" s="975"/>
      <c r="JPC75" s="975"/>
      <c r="JPD75" s="975"/>
      <c r="JPE75" s="975"/>
      <c r="JPF75" s="975"/>
      <c r="JPG75" s="975"/>
      <c r="JPH75" s="975"/>
      <c r="JPI75" s="975"/>
      <c r="JPJ75" s="975"/>
      <c r="JPK75" s="975"/>
      <c r="JPL75" s="975"/>
      <c r="JPM75" s="975"/>
      <c r="JPN75" s="975"/>
      <c r="JPO75" s="975"/>
      <c r="JPP75" s="975"/>
      <c r="JPQ75" s="975"/>
      <c r="JPR75" s="975"/>
      <c r="JPS75" s="975"/>
      <c r="JPT75" s="975"/>
      <c r="JPU75" s="975"/>
      <c r="JPV75" s="975"/>
      <c r="JPW75" s="975"/>
      <c r="JPX75" s="975"/>
      <c r="JPY75" s="975"/>
      <c r="JPZ75" s="975"/>
      <c r="JQA75" s="975"/>
      <c r="JQB75" s="975"/>
      <c r="JQC75" s="975"/>
      <c r="JQD75" s="975"/>
      <c r="JQE75" s="975"/>
      <c r="JQF75" s="975"/>
      <c r="JQG75" s="975"/>
      <c r="JQH75" s="975"/>
      <c r="JQI75" s="975"/>
      <c r="JQJ75" s="975"/>
      <c r="JQK75" s="975"/>
      <c r="JQL75" s="975"/>
      <c r="JQM75" s="975"/>
      <c r="JQN75" s="975"/>
      <c r="JQO75" s="975"/>
      <c r="JQP75" s="975"/>
      <c r="JQQ75" s="975"/>
      <c r="JQR75" s="975"/>
      <c r="JQS75" s="975"/>
      <c r="JQT75" s="975"/>
      <c r="JQU75" s="975"/>
      <c r="JQV75" s="975"/>
      <c r="JQW75" s="975"/>
      <c r="JQX75" s="975"/>
      <c r="JQY75" s="975"/>
      <c r="JQZ75" s="975"/>
      <c r="JRA75" s="975"/>
      <c r="JRB75" s="975"/>
      <c r="JRC75" s="975"/>
      <c r="JRD75" s="975"/>
      <c r="JRE75" s="975"/>
      <c r="JRF75" s="975"/>
      <c r="JRG75" s="975"/>
      <c r="JRH75" s="975"/>
      <c r="JRI75" s="975"/>
      <c r="JRJ75" s="975"/>
      <c r="JRK75" s="975"/>
      <c r="JRL75" s="975"/>
      <c r="JRM75" s="975"/>
      <c r="JRN75" s="975"/>
      <c r="JRO75" s="975"/>
      <c r="JRP75" s="975"/>
      <c r="JRQ75" s="975"/>
      <c r="JRR75" s="975"/>
      <c r="JRS75" s="975"/>
      <c r="JRT75" s="975"/>
      <c r="JRU75" s="975"/>
      <c r="JRV75" s="975"/>
      <c r="JRW75" s="975"/>
      <c r="JRX75" s="975"/>
      <c r="JRY75" s="975"/>
      <c r="JRZ75" s="975"/>
      <c r="JSA75" s="975"/>
      <c r="JSB75" s="975"/>
      <c r="JSC75" s="975"/>
      <c r="JSD75" s="975"/>
      <c r="JSE75" s="975"/>
      <c r="JSF75" s="975"/>
      <c r="JSG75" s="975"/>
      <c r="JSH75" s="975"/>
      <c r="JSI75" s="975"/>
      <c r="JSJ75" s="975"/>
      <c r="JSK75" s="975"/>
      <c r="JSL75" s="975"/>
      <c r="JSM75" s="975"/>
      <c r="JSN75" s="975"/>
      <c r="JSO75" s="975"/>
      <c r="JSP75" s="975"/>
      <c r="JSQ75" s="975"/>
      <c r="JSR75" s="975"/>
      <c r="JSS75" s="975"/>
      <c r="JST75" s="975"/>
      <c r="JSU75" s="975"/>
      <c r="JSV75" s="975"/>
      <c r="JSW75" s="975"/>
      <c r="JSX75" s="975"/>
      <c r="JSY75" s="975"/>
      <c r="JSZ75" s="975"/>
      <c r="JTA75" s="975"/>
      <c r="JTB75" s="975"/>
      <c r="JTC75" s="975"/>
      <c r="JTD75" s="975"/>
      <c r="JTE75" s="975"/>
      <c r="JTF75" s="975"/>
      <c r="JTG75" s="975"/>
      <c r="JTH75" s="975"/>
      <c r="JTI75" s="975"/>
      <c r="JTJ75" s="975"/>
      <c r="JTK75" s="975"/>
      <c r="JTL75" s="975"/>
      <c r="JTM75" s="975"/>
      <c r="JTN75" s="975"/>
      <c r="JTO75" s="975"/>
      <c r="JTP75" s="975"/>
      <c r="JTQ75" s="975"/>
      <c r="JTR75" s="975"/>
      <c r="JTS75" s="975"/>
      <c r="JTT75" s="975"/>
      <c r="JTU75" s="975"/>
      <c r="JTV75" s="975"/>
      <c r="JTW75" s="975"/>
      <c r="JTX75" s="975"/>
      <c r="JTY75" s="975"/>
      <c r="JTZ75" s="975"/>
      <c r="JUA75" s="975"/>
      <c r="JUB75" s="975"/>
      <c r="JUC75" s="975"/>
      <c r="JUD75" s="975"/>
      <c r="JUE75" s="975"/>
      <c r="JUF75" s="975"/>
      <c r="JUG75" s="975"/>
      <c r="JUH75" s="975"/>
      <c r="JUI75" s="975"/>
      <c r="JUJ75" s="975"/>
      <c r="JUK75" s="975"/>
      <c r="JUL75" s="975"/>
      <c r="JUM75" s="975"/>
      <c r="JUN75" s="975"/>
      <c r="JUO75" s="975"/>
      <c r="JUP75" s="975"/>
      <c r="JUQ75" s="975"/>
      <c r="JUR75" s="975"/>
      <c r="JUS75" s="975"/>
      <c r="JUT75" s="975"/>
      <c r="JUU75" s="975"/>
      <c r="JUV75" s="975"/>
      <c r="JUW75" s="975"/>
      <c r="JUX75" s="975"/>
      <c r="JUY75" s="975"/>
      <c r="JUZ75" s="975"/>
      <c r="JVA75" s="975"/>
      <c r="JVB75" s="975"/>
      <c r="JVC75" s="975"/>
      <c r="JVD75" s="975"/>
      <c r="JVE75" s="975"/>
      <c r="JVF75" s="975"/>
      <c r="JVG75" s="975"/>
      <c r="JVH75" s="975"/>
      <c r="JVI75" s="975"/>
      <c r="JVJ75" s="975"/>
      <c r="JVK75" s="975"/>
      <c r="JVL75" s="975"/>
      <c r="JVM75" s="975"/>
      <c r="JVN75" s="975"/>
      <c r="JVO75" s="975"/>
      <c r="JVP75" s="975"/>
      <c r="JVQ75" s="975"/>
      <c r="JVR75" s="975"/>
      <c r="JVS75" s="975"/>
      <c r="JVT75" s="975"/>
      <c r="JVU75" s="975"/>
      <c r="JVV75" s="975"/>
      <c r="JVW75" s="975"/>
      <c r="JVX75" s="975"/>
      <c r="JVY75" s="975"/>
      <c r="JVZ75" s="975"/>
      <c r="JWA75" s="975"/>
      <c r="JWB75" s="975"/>
      <c r="JWC75" s="975"/>
      <c r="JWD75" s="975"/>
      <c r="JWE75" s="975"/>
      <c r="JWF75" s="975"/>
      <c r="JWG75" s="975"/>
      <c r="JWH75" s="975"/>
      <c r="JWI75" s="975"/>
      <c r="JWJ75" s="975"/>
      <c r="JWK75" s="975"/>
      <c r="JWL75" s="975"/>
      <c r="JWM75" s="975"/>
      <c r="JWN75" s="975"/>
      <c r="JWO75" s="975"/>
      <c r="JWP75" s="975"/>
      <c r="JWQ75" s="975"/>
      <c r="JWR75" s="975"/>
      <c r="JWS75" s="975"/>
      <c r="JWT75" s="975"/>
      <c r="JWU75" s="975"/>
      <c r="JWV75" s="975"/>
      <c r="JWW75" s="975"/>
      <c r="JWX75" s="975"/>
      <c r="JWY75" s="975"/>
      <c r="JWZ75" s="975"/>
      <c r="JXA75" s="975"/>
      <c r="JXB75" s="975"/>
      <c r="JXC75" s="975"/>
      <c r="JXD75" s="975"/>
      <c r="JXE75" s="975"/>
      <c r="JXF75" s="975"/>
      <c r="JXG75" s="975"/>
      <c r="JXH75" s="975"/>
      <c r="JXI75" s="975"/>
      <c r="JXJ75" s="975"/>
      <c r="JXK75" s="975"/>
      <c r="JXL75" s="975"/>
      <c r="JXM75" s="975"/>
      <c r="JXN75" s="975"/>
      <c r="JXO75" s="975"/>
      <c r="JXP75" s="975"/>
      <c r="JXQ75" s="975"/>
      <c r="JXR75" s="975"/>
      <c r="JXS75" s="975"/>
      <c r="JXT75" s="975"/>
      <c r="JXU75" s="975"/>
      <c r="JXV75" s="975"/>
      <c r="JXW75" s="975"/>
      <c r="JXX75" s="975"/>
      <c r="JXY75" s="975"/>
      <c r="JXZ75" s="975"/>
      <c r="JYA75" s="975"/>
      <c r="JYB75" s="975"/>
      <c r="JYC75" s="975"/>
      <c r="JYD75" s="975"/>
      <c r="JYE75" s="975"/>
      <c r="JYF75" s="975"/>
      <c r="JYG75" s="975"/>
      <c r="JYH75" s="975"/>
      <c r="JYI75" s="975"/>
      <c r="JYJ75" s="975"/>
      <c r="JYK75" s="975"/>
      <c r="JYL75" s="975"/>
      <c r="JYM75" s="975"/>
      <c r="JYN75" s="975"/>
      <c r="JYO75" s="975"/>
      <c r="JYP75" s="975"/>
      <c r="JYQ75" s="975"/>
      <c r="JYR75" s="975"/>
      <c r="JYS75" s="975"/>
      <c r="JYT75" s="975"/>
      <c r="JYU75" s="975"/>
      <c r="JYV75" s="975"/>
      <c r="JYW75" s="975"/>
      <c r="JYX75" s="975"/>
      <c r="JYY75" s="975"/>
      <c r="JYZ75" s="975"/>
      <c r="JZA75" s="975"/>
      <c r="JZB75" s="975"/>
      <c r="JZC75" s="975"/>
      <c r="JZD75" s="975"/>
      <c r="JZE75" s="975"/>
      <c r="JZF75" s="975"/>
      <c r="JZG75" s="975"/>
      <c r="JZH75" s="975"/>
      <c r="JZI75" s="975"/>
      <c r="JZJ75" s="975"/>
      <c r="JZK75" s="975"/>
      <c r="JZL75" s="975"/>
      <c r="JZM75" s="975"/>
      <c r="JZN75" s="975"/>
      <c r="JZO75" s="975"/>
      <c r="JZP75" s="975"/>
      <c r="JZQ75" s="975"/>
      <c r="JZR75" s="975"/>
      <c r="JZS75" s="975"/>
      <c r="JZT75" s="975"/>
      <c r="JZU75" s="975"/>
      <c r="JZV75" s="975"/>
      <c r="JZW75" s="975"/>
      <c r="JZX75" s="975"/>
      <c r="JZY75" s="975"/>
      <c r="JZZ75" s="975"/>
      <c r="KAA75" s="975"/>
      <c r="KAB75" s="975"/>
      <c r="KAC75" s="975"/>
      <c r="KAD75" s="975"/>
      <c r="KAE75" s="975"/>
      <c r="KAF75" s="975"/>
      <c r="KAG75" s="975"/>
      <c r="KAH75" s="975"/>
      <c r="KAI75" s="975"/>
      <c r="KAJ75" s="975"/>
      <c r="KAK75" s="975"/>
      <c r="KAL75" s="975"/>
      <c r="KAM75" s="975"/>
      <c r="KAN75" s="975"/>
      <c r="KAO75" s="975"/>
      <c r="KAP75" s="975"/>
      <c r="KAQ75" s="975"/>
      <c r="KAR75" s="975"/>
      <c r="KAS75" s="975"/>
      <c r="KAT75" s="975"/>
      <c r="KAU75" s="975"/>
      <c r="KAV75" s="975"/>
      <c r="KAW75" s="975"/>
      <c r="KAX75" s="975"/>
      <c r="KAY75" s="975"/>
      <c r="KAZ75" s="975"/>
      <c r="KBA75" s="975"/>
      <c r="KBB75" s="975"/>
      <c r="KBC75" s="975"/>
      <c r="KBD75" s="975"/>
      <c r="KBE75" s="975"/>
      <c r="KBF75" s="975"/>
      <c r="KBG75" s="975"/>
      <c r="KBH75" s="975"/>
      <c r="KBI75" s="975"/>
      <c r="KBJ75" s="975"/>
      <c r="KBK75" s="975"/>
      <c r="KBL75" s="975"/>
      <c r="KBM75" s="975"/>
      <c r="KBN75" s="975"/>
      <c r="KBO75" s="975"/>
      <c r="KBP75" s="975"/>
      <c r="KBQ75" s="975"/>
      <c r="KBR75" s="975"/>
      <c r="KBS75" s="975"/>
      <c r="KBT75" s="975"/>
      <c r="KBU75" s="975"/>
      <c r="KBV75" s="975"/>
      <c r="KBW75" s="975"/>
      <c r="KBX75" s="975"/>
      <c r="KBY75" s="975"/>
      <c r="KBZ75" s="975"/>
      <c r="KCA75" s="975"/>
      <c r="KCB75" s="975"/>
      <c r="KCC75" s="975"/>
      <c r="KCD75" s="975"/>
      <c r="KCE75" s="975"/>
      <c r="KCF75" s="975"/>
      <c r="KCG75" s="975"/>
      <c r="KCH75" s="975"/>
      <c r="KCI75" s="975"/>
      <c r="KCJ75" s="975"/>
      <c r="KCK75" s="975"/>
      <c r="KCL75" s="975"/>
      <c r="KCM75" s="975"/>
      <c r="KCN75" s="975"/>
      <c r="KCO75" s="975"/>
      <c r="KCP75" s="975"/>
      <c r="KCQ75" s="975"/>
      <c r="KCR75" s="975"/>
      <c r="KCS75" s="975"/>
      <c r="KCT75" s="975"/>
      <c r="KCU75" s="975"/>
      <c r="KCV75" s="975"/>
      <c r="KCW75" s="975"/>
      <c r="KCX75" s="975"/>
      <c r="KCY75" s="975"/>
      <c r="KCZ75" s="975"/>
      <c r="KDA75" s="975"/>
      <c r="KDB75" s="975"/>
      <c r="KDC75" s="975"/>
      <c r="KDD75" s="975"/>
      <c r="KDE75" s="975"/>
      <c r="KDF75" s="975"/>
      <c r="KDG75" s="975"/>
      <c r="KDH75" s="975"/>
      <c r="KDI75" s="975"/>
      <c r="KDJ75" s="975"/>
      <c r="KDK75" s="975"/>
      <c r="KDL75" s="975"/>
      <c r="KDM75" s="975"/>
      <c r="KDN75" s="975"/>
      <c r="KDO75" s="975"/>
      <c r="KDP75" s="975"/>
      <c r="KDQ75" s="975"/>
      <c r="KDR75" s="975"/>
      <c r="KDS75" s="975"/>
      <c r="KDT75" s="975"/>
      <c r="KDU75" s="975"/>
      <c r="KDV75" s="975"/>
      <c r="KDW75" s="975"/>
      <c r="KDX75" s="975"/>
      <c r="KDY75" s="975"/>
      <c r="KDZ75" s="975"/>
      <c r="KEA75" s="975"/>
      <c r="KEB75" s="975"/>
      <c r="KEC75" s="975"/>
      <c r="KED75" s="975"/>
      <c r="KEE75" s="975"/>
      <c r="KEF75" s="975"/>
      <c r="KEG75" s="975"/>
      <c r="KEH75" s="975"/>
      <c r="KEI75" s="975"/>
      <c r="KEJ75" s="975"/>
      <c r="KEK75" s="975"/>
      <c r="KEL75" s="975"/>
      <c r="KEM75" s="975"/>
      <c r="KEN75" s="975"/>
      <c r="KEO75" s="975"/>
      <c r="KEP75" s="975"/>
      <c r="KEQ75" s="975"/>
      <c r="KER75" s="975"/>
      <c r="KES75" s="975"/>
      <c r="KET75" s="975"/>
      <c r="KEU75" s="975"/>
      <c r="KEV75" s="975"/>
      <c r="KEW75" s="975"/>
      <c r="KEX75" s="975"/>
      <c r="KEY75" s="975"/>
      <c r="KEZ75" s="975"/>
      <c r="KFA75" s="975"/>
      <c r="KFB75" s="975"/>
      <c r="KFC75" s="975"/>
      <c r="KFD75" s="975"/>
      <c r="KFE75" s="975"/>
      <c r="KFF75" s="975"/>
      <c r="KFG75" s="975"/>
      <c r="KFH75" s="975"/>
      <c r="KFI75" s="975"/>
      <c r="KFJ75" s="975"/>
      <c r="KFK75" s="975"/>
      <c r="KFL75" s="975"/>
      <c r="KFM75" s="975"/>
      <c r="KFN75" s="975"/>
      <c r="KFO75" s="975"/>
      <c r="KFP75" s="975"/>
      <c r="KFQ75" s="975"/>
      <c r="KFR75" s="975"/>
      <c r="KFS75" s="975"/>
      <c r="KFT75" s="975"/>
      <c r="KFU75" s="975"/>
      <c r="KFV75" s="975"/>
      <c r="KFW75" s="975"/>
      <c r="KFX75" s="975"/>
      <c r="KFY75" s="975"/>
      <c r="KFZ75" s="975"/>
      <c r="KGA75" s="975"/>
      <c r="KGB75" s="975"/>
      <c r="KGC75" s="975"/>
      <c r="KGD75" s="975"/>
      <c r="KGE75" s="975"/>
      <c r="KGF75" s="975"/>
      <c r="KGG75" s="975"/>
      <c r="KGH75" s="975"/>
      <c r="KGI75" s="975"/>
      <c r="KGJ75" s="975"/>
      <c r="KGK75" s="975"/>
      <c r="KGL75" s="975"/>
      <c r="KGM75" s="975"/>
      <c r="KGN75" s="975"/>
      <c r="KGO75" s="975"/>
      <c r="KGP75" s="975"/>
      <c r="KGQ75" s="975"/>
      <c r="KGR75" s="975"/>
      <c r="KGS75" s="975"/>
      <c r="KGT75" s="975"/>
      <c r="KGU75" s="975"/>
      <c r="KGV75" s="975"/>
      <c r="KGW75" s="975"/>
      <c r="KGX75" s="975"/>
      <c r="KGY75" s="975"/>
      <c r="KGZ75" s="975"/>
      <c r="KHA75" s="975"/>
      <c r="KHB75" s="975"/>
      <c r="KHC75" s="975"/>
      <c r="KHD75" s="975"/>
      <c r="KHE75" s="975"/>
      <c r="KHF75" s="975"/>
      <c r="KHG75" s="975"/>
      <c r="KHH75" s="975"/>
      <c r="KHI75" s="975"/>
      <c r="KHJ75" s="975"/>
      <c r="KHK75" s="975"/>
      <c r="KHL75" s="975"/>
      <c r="KHM75" s="975"/>
      <c r="KHN75" s="975"/>
      <c r="KHO75" s="975"/>
      <c r="KHP75" s="975"/>
      <c r="KHQ75" s="975"/>
      <c r="KHR75" s="975"/>
      <c r="KHS75" s="975"/>
      <c r="KHT75" s="975"/>
      <c r="KHU75" s="975"/>
      <c r="KHV75" s="975"/>
      <c r="KHW75" s="975"/>
      <c r="KHX75" s="975"/>
      <c r="KHY75" s="975"/>
      <c r="KHZ75" s="975"/>
      <c r="KIA75" s="975"/>
      <c r="KIB75" s="975"/>
      <c r="KIC75" s="975"/>
      <c r="KID75" s="975"/>
      <c r="KIE75" s="975"/>
      <c r="KIF75" s="975"/>
      <c r="KIG75" s="975"/>
      <c r="KIH75" s="975"/>
      <c r="KII75" s="975"/>
      <c r="KIJ75" s="975"/>
      <c r="KIK75" s="975"/>
      <c r="KIL75" s="975"/>
      <c r="KIM75" s="975"/>
      <c r="KIN75" s="975"/>
      <c r="KIO75" s="975"/>
      <c r="KIP75" s="975"/>
      <c r="KIQ75" s="975"/>
      <c r="KIR75" s="975"/>
      <c r="KIS75" s="975"/>
      <c r="KIT75" s="975"/>
      <c r="KIU75" s="975"/>
      <c r="KIV75" s="975"/>
      <c r="KIW75" s="975"/>
      <c r="KIX75" s="975"/>
      <c r="KIY75" s="975"/>
      <c r="KIZ75" s="975"/>
      <c r="KJA75" s="975"/>
      <c r="KJB75" s="975"/>
      <c r="KJC75" s="975"/>
      <c r="KJD75" s="975"/>
      <c r="KJE75" s="975"/>
      <c r="KJF75" s="975"/>
      <c r="KJG75" s="975"/>
      <c r="KJH75" s="975"/>
      <c r="KJI75" s="975"/>
      <c r="KJJ75" s="975"/>
      <c r="KJK75" s="975"/>
      <c r="KJL75" s="975"/>
      <c r="KJM75" s="975"/>
      <c r="KJN75" s="975"/>
      <c r="KJO75" s="975"/>
      <c r="KJP75" s="975"/>
      <c r="KJQ75" s="975"/>
      <c r="KJR75" s="975"/>
      <c r="KJS75" s="975"/>
      <c r="KJT75" s="975"/>
      <c r="KJU75" s="975"/>
      <c r="KJV75" s="975"/>
      <c r="KJW75" s="975"/>
      <c r="KJX75" s="975"/>
      <c r="KJY75" s="975"/>
      <c r="KJZ75" s="975"/>
      <c r="KKA75" s="975"/>
      <c r="KKB75" s="975"/>
      <c r="KKC75" s="975"/>
      <c r="KKD75" s="975"/>
      <c r="KKE75" s="975"/>
      <c r="KKF75" s="975"/>
      <c r="KKG75" s="975"/>
      <c r="KKH75" s="975"/>
      <c r="KKI75" s="975"/>
      <c r="KKJ75" s="975"/>
      <c r="KKK75" s="975"/>
      <c r="KKL75" s="975"/>
      <c r="KKM75" s="975"/>
      <c r="KKN75" s="975"/>
      <c r="KKO75" s="975"/>
      <c r="KKP75" s="975"/>
      <c r="KKQ75" s="975"/>
      <c r="KKR75" s="975"/>
      <c r="KKS75" s="975"/>
      <c r="KKT75" s="975"/>
      <c r="KKU75" s="975"/>
      <c r="KKV75" s="975"/>
      <c r="KKW75" s="975"/>
      <c r="KKX75" s="975"/>
      <c r="KKY75" s="975"/>
      <c r="KKZ75" s="975"/>
      <c r="KLA75" s="975"/>
      <c r="KLB75" s="975"/>
      <c r="KLC75" s="975"/>
      <c r="KLD75" s="975"/>
      <c r="KLE75" s="975"/>
      <c r="KLF75" s="975"/>
      <c r="KLG75" s="975"/>
      <c r="KLH75" s="975"/>
      <c r="KLI75" s="975"/>
      <c r="KLJ75" s="975"/>
      <c r="KLK75" s="975"/>
      <c r="KLL75" s="975"/>
      <c r="KLM75" s="975"/>
      <c r="KLN75" s="975"/>
      <c r="KLO75" s="975"/>
      <c r="KLP75" s="975"/>
      <c r="KLQ75" s="975"/>
      <c r="KLR75" s="975"/>
      <c r="KLS75" s="975"/>
      <c r="KLT75" s="975"/>
      <c r="KLU75" s="975"/>
      <c r="KLV75" s="975"/>
      <c r="KLW75" s="975"/>
      <c r="KLX75" s="975"/>
      <c r="KLY75" s="975"/>
      <c r="KLZ75" s="975"/>
      <c r="KMA75" s="975"/>
      <c r="KMB75" s="975"/>
      <c r="KMC75" s="975"/>
      <c r="KMD75" s="975"/>
      <c r="KME75" s="975"/>
      <c r="KMF75" s="975"/>
      <c r="KMG75" s="975"/>
      <c r="KMH75" s="975"/>
      <c r="KMI75" s="975"/>
      <c r="KMJ75" s="975"/>
      <c r="KMK75" s="975"/>
      <c r="KML75" s="975"/>
      <c r="KMM75" s="975"/>
      <c r="KMN75" s="975"/>
      <c r="KMO75" s="975"/>
      <c r="KMP75" s="975"/>
      <c r="KMQ75" s="975"/>
      <c r="KMR75" s="975"/>
      <c r="KMS75" s="975"/>
      <c r="KMT75" s="975"/>
      <c r="KMU75" s="975"/>
      <c r="KMV75" s="975"/>
      <c r="KMW75" s="975"/>
      <c r="KMX75" s="975"/>
      <c r="KMY75" s="975"/>
      <c r="KMZ75" s="975"/>
      <c r="KNA75" s="975"/>
      <c r="KNB75" s="975"/>
      <c r="KNC75" s="975"/>
      <c r="KND75" s="975"/>
      <c r="KNE75" s="975"/>
      <c r="KNF75" s="975"/>
      <c r="KNG75" s="975"/>
      <c r="KNH75" s="975"/>
      <c r="KNI75" s="975"/>
      <c r="KNJ75" s="975"/>
      <c r="KNK75" s="975"/>
      <c r="KNL75" s="975"/>
      <c r="KNM75" s="975"/>
      <c r="KNN75" s="975"/>
      <c r="KNO75" s="975"/>
      <c r="KNP75" s="975"/>
      <c r="KNQ75" s="975"/>
      <c r="KNR75" s="975"/>
      <c r="KNS75" s="975"/>
      <c r="KNT75" s="975"/>
      <c r="KNU75" s="975"/>
      <c r="KNV75" s="975"/>
      <c r="KNW75" s="975"/>
      <c r="KNX75" s="975"/>
      <c r="KNY75" s="975"/>
      <c r="KNZ75" s="975"/>
      <c r="KOA75" s="975"/>
      <c r="KOB75" s="975"/>
      <c r="KOC75" s="975"/>
      <c r="KOD75" s="975"/>
      <c r="KOE75" s="975"/>
      <c r="KOF75" s="975"/>
      <c r="KOG75" s="975"/>
      <c r="KOH75" s="975"/>
      <c r="KOI75" s="975"/>
      <c r="KOJ75" s="975"/>
      <c r="KOK75" s="975"/>
      <c r="KOL75" s="975"/>
      <c r="KOM75" s="975"/>
      <c r="KON75" s="975"/>
      <c r="KOO75" s="975"/>
      <c r="KOP75" s="975"/>
      <c r="KOQ75" s="975"/>
      <c r="KOR75" s="975"/>
      <c r="KOS75" s="975"/>
      <c r="KOT75" s="975"/>
      <c r="KOU75" s="975"/>
      <c r="KOV75" s="975"/>
      <c r="KOW75" s="975"/>
      <c r="KOX75" s="975"/>
      <c r="KOY75" s="975"/>
      <c r="KOZ75" s="975"/>
      <c r="KPA75" s="975"/>
      <c r="KPB75" s="975"/>
      <c r="KPC75" s="975"/>
      <c r="KPD75" s="975"/>
      <c r="KPE75" s="975"/>
      <c r="KPF75" s="975"/>
      <c r="KPG75" s="975"/>
      <c r="KPH75" s="975"/>
      <c r="KPI75" s="975"/>
      <c r="KPJ75" s="975"/>
      <c r="KPK75" s="975"/>
      <c r="KPL75" s="975"/>
      <c r="KPM75" s="975"/>
      <c r="KPN75" s="975"/>
      <c r="KPO75" s="975"/>
      <c r="KPP75" s="975"/>
      <c r="KPQ75" s="975"/>
      <c r="KPR75" s="975"/>
      <c r="KPS75" s="975"/>
      <c r="KPT75" s="975"/>
      <c r="KPU75" s="975"/>
      <c r="KPV75" s="975"/>
      <c r="KPW75" s="975"/>
      <c r="KPX75" s="975"/>
      <c r="KPY75" s="975"/>
      <c r="KPZ75" s="975"/>
      <c r="KQA75" s="975"/>
      <c r="KQB75" s="975"/>
      <c r="KQC75" s="975"/>
      <c r="KQD75" s="975"/>
      <c r="KQE75" s="975"/>
      <c r="KQF75" s="975"/>
      <c r="KQG75" s="975"/>
      <c r="KQH75" s="975"/>
      <c r="KQI75" s="975"/>
      <c r="KQJ75" s="975"/>
      <c r="KQK75" s="975"/>
      <c r="KQL75" s="975"/>
      <c r="KQM75" s="975"/>
      <c r="KQN75" s="975"/>
      <c r="KQO75" s="975"/>
      <c r="KQP75" s="975"/>
      <c r="KQQ75" s="975"/>
      <c r="KQR75" s="975"/>
      <c r="KQS75" s="975"/>
      <c r="KQT75" s="975"/>
      <c r="KQU75" s="975"/>
      <c r="KQV75" s="975"/>
      <c r="KQW75" s="975"/>
      <c r="KQX75" s="975"/>
      <c r="KQY75" s="975"/>
      <c r="KQZ75" s="975"/>
      <c r="KRA75" s="975"/>
      <c r="KRB75" s="975"/>
      <c r="KRC75" s="975"/>
      <c r="KRD75" s="975"/>
      <c r="KRE75" s="975"/>
      <c r="KRF75" s="975"/>
      <c r="KRG75" s="975"/>
      <c r="KRH75" s="975"/>
      <c r="KRI75" s="975"/>
      <c r="KRJ75" s="975"/>
      <c r="KRK75" s="975"/>
      <c r="KRL75" s="975"/>
      <c r="KRM75" s="975"/>
      <c r="KRN75" s="975"/>
      <c r="KRO75" s="975"/>
      <c r="KRP75" s="975"/>
      <c r="KRQ75" s="975"/>
      <c r="KRR75" s="975"/>
      <c r="KRS75" s="975"/>
      <c r="KRT75" s="975"/>
      <c r="KRU75" s="975"/>
      <c r="KRV75" s="975"/>
      <c r="KRW75" s="975"/>
      <c r="KRX75" s="975"/>
      <c r="KRY75" s="975"/>
      <c r="KRZ75" s="975"/>
      <c r="KSA75" s="975"/>
      <c r="KSB75" s="975"/>
      <c r="KSC75" s="975"/>
      <c r="KSD75" s="975"/>
      <c r="KSE75" s="975"/>
      <c r="KSF75" s="975"/>
      <c r="KSG75" s="975"/>
      <c r="KSH75" s="975"/>
      <c r="KSI75" s="975"/>
      <c r="KSJ75" s="975"/>
      <c r="KSK75" s="975"/>
      <c r="KSL75" s="975"/>
      <c r="KSM75" s="975"/>
      <c r="KSN75" s="975"/>
      <c r="KSO75" s="975"/>
      <c r="KSP75" s="975"/>
      <c r="KSQ75" s="975"/>
      <c r="KSR75" s="975"/>
      <c r="KSS75" s="975"/>
      <c r="KST75" s="975"/>
      <c r="KSU75" s="975"/>
      <c r="KSV75" s="975"/>
      <c r="KSW75" s="975"/>
      <c r="KSX75" s="975"/>
      <c r="KSY75" s="975"/>
      <c r="KSZ75" s="975"/>
      <c r="KTA75" s="975"/>
      <c r="KTB75" s="975"/>
      <c r="KTC75" s="975"/>
      <c r="KTD75" s="975"/>
      <c r="KTE75" s="975"/>
      <c r="KTF75" s="975"/>
      <c r="KTG75" s="975"/>
      <c r="KTH75" s="975"/>
      <c r="KTI75" s="975"/>
      <c r="KTJ75" s="975"/>
      <c r="KTK75" s="975"/>
      <c r="KTL75" s="975"/>
      <c r="KTM75" s="975"/>
      <c r="KTN75" s="975"/>
      <c r="KTO75" s="975"/>
      <c r="KTP75" s="975"/>
      <c r="KTQ75" s="975"/>
      <c r="KTR75" s="975"/>
      <c r="KTS75" s="975"/>
      <c r="KTT75" s="975"/>
      <c r="KTU75" s="975"/>
      <c r="KTV75" s="975"/>
      <c r="KTW75" s="975"/>
      <c r="KTX75" s="975"/>
      <c r="KTY75" s="975"/>
      <c r="KTZ75" s="975"/>
      <c r="KUA75" s="975"/>
      <c r="KUB75" s="975"/>
      <c r="KUC75" s="975"/>
      <c r="KUD75" s="975"/>
      <c r="KUE75" s="975"/>
      <c r="KUF75" s="975"/>
      <c r="KUG75" s="975"/>
      <c r="KUH75" s="975"/>
      <c r="KUI75" s="975"/>
      <c r="KUJ75" s="975"/>
      <c r="KUK75" s="975"/>
      <c r="KUL75" s="975"/>
      <c r="KUM75" s="975"/>
      <c r="KUN75" s="975"/>
      <c r="KUO75" s="975"/>
      <c r="KUP75" s="975"/>
      <c r="KUQ75" s="975"/>
      <c r="KUR75" s="975"/>
      <c r="KUS75" s="975"/>
      <c r="KUT75" s="975"/>
      <c r="KUU75" s="975"/>
      <c r="KUV75" s="975"/>
      <c r="KUW75" s="975"/>
      <c r="KUX75" s="975"/>
      <c r="KUY75" s="975"/>
      <c r="KUZ75" s="975"/>
      <c r="KVA75" s="975"/>
      <c r="KVB75" s="975"/>
      <c r="KVC75" s="975"/>
      <c r="KVD75" s="975"/>
      <c r="KVE75" s="975"/>
      <c r="KVF75" s="975"/>
      <c r="KVG75" s="975"/>
      <c r="KVH75" s="975"/>
      <c r="KVI75" s="975"/>
      <c r="KVJ75" s="975"/>
      <c r="KVK75" s="975"/>
      <c r="KVL75" s="975"/>
      <c r="KVM75" s="975"/>
      <c r="KVN75" s="975"/>
      <c r="KVO75" s="975"/>
      <c r="KVP75" s="975"/>
      <c r="KVQ75" s="975"/>
      <c r="KVR75" s="975"/>
      <c r="KVS75" s="975"/>
      <c r="KVT75" s="975"/>
      <c r="KVU75" s="975"/>
      <c r="KVV75" s="975"/>
      <c r="KVW75" s="975"/>
      <c r="KVX75" s="975"/>
      <c r="KVY75" s="975"/>
      <c r="KVZ75" s="975"/>
      <c r="KWA75" s="975"/>
      <c r="KWB75" s="975"/>
      <c r="KWC75" s="975"/>
      <c r="KWD75" s="975"/>
      <c r="KWE75" s="975"/>
      <c r="KWF75" s="975"/>
      <c r="KWG75" s="975"/>
      <c r="KWH75" s="975"/>
      <c r="KWI75" s="975"/>
      <c r="KWJ75" s="975"/>
      <c r="KWK75" s="975"/>
      <c r="KWL75" s="975"/>
      <c r="KWM75" s="975"/>
      <c r="KWN75" s="975"/>
      <c r="KWO75" s="975"/>
      <c r="KWP75" s="975"/>
      <c r="KWQ75" s="975"/>
      <c r="KWR75" s="975"/>
      <c r="KWS75" s="975"/>
      <c r="KWT75" s="975"/>
      <c r="KWU75" s="975"/>
      <c r="KWV75" s="975"/>
      <c r="KWW75" s="975"/>
      <c r="KWX75" s="975"/>
      <c r="KWY75" s="975"/>
      <c r="KWZ75" s="975"/>
      <c r="KXA75" s="975"/>
      <c r="KXB75" s="975"/>
      <c r="KXC75" s="975"/>
      <c r="KXD75" s="975"/>
      <c r="KXE75" s="975"/>
      <c r="KXF75" s="975"/>
      <c r="KXG75" s="975"/>
      <c r="KXH75" s="975"/>
      <c r="KXI75" s="975"/>
      <c r="KXJ75" s="975"/>
      <c r="KXK75" s="975"/>
      <c r="KXL75" s="975"/>
      <c r="KXM75" s="975"/>
      <c r="KXN75" s="975"/>
      <c r="KXO75" s="975"/>
      <c r="KXP75" s="975"/>
      <c r="KXQ75" s="975"/>
      <c r="KXR75" s="975"/>
      <c r="KXS75" s="975"/>
      <c r="KXT75" s="975"/>
      <c r="KXU75" s="975"/>
      <c r="KXV75" s="975"/>
      <c r="KXW75" s="975"/>
      <c r="KXX75" s="975"/>
      <c r="KXY75" s="975"/>
      <c r="KXZ75" s="975"/>
      <c r="KYA75" s="975"/>
      <c r="KYB75" s="975"/>
      <c r="KYC75" s="975"/>
      <c r="KYD75" s="975"/>
      <c r="KYE75" s="975"/>
      <c r="KYF75" s="975"/>
      <c r="KYG75" s="975"/>
      <c r="KYH75" s="975"/>
      <c r="KYI75" s="975"/>
      <c r="KYJ75" s="975"/>
      <c r="KYK75" s="975"/>
      <c r="KYL75" s="975"/>
      <c r="KYM75" s="975"/>
      <c r="KYN75" s="975"/>
      <c r="KYO75" s="975"/>
      <c r="KYP75" s="975"/>
      <c r="KYQ75" s="975"/>
      <c r="KYR75" s="975"/>
      <c r="KYS75" s="975"/>
      <c r="KYT75" s="975"/>
      <c r="KYU75" s="975"/>
      <c r="KYV75" s="975"/>
      <c r="KYW75" s="975"/>
      <c r="KYX75" s="975"/>
      <c r="KYY75" s="975"/>
      <c r="KYZ75" s="975"/>
      <c r="KZA75" s="975"/>
      <c r="KZB75" s="975"/>
      <c r="KZC75" s="975"/>
      <c r="KZD75" s="975"/>
      <c r="KZE75" s="975"/>
      <c r="KZF75" s="975"/>
      <c r="KZG75" s="975"/>
      <c r="KZH75" s="975"/>
      <c r="KZI75" s="975"/>
      <c r="KZJ75" s="975"/>
      <c r="KZK75" s="975"/>
      <c r="KZL75" s="975"/>
      <c r="KZM75" s="975"/>
      <c r="KZN75" s="975"/>
      <c r="KZO75" s="975"/>
      <c r="KZP75" s="975"/>
      <c r="KZQ75" s="975"/>
      <c r="KZR75" s="975"/>
      <c r="KZS75" s="975"/>
      <c r="KZT75" s="975"/>
      <c r="KZU75" s="975"/>
      <c r="KZV75" s="975"/>
      <c r="KZW75" s="975"/>
      <c r="KZX75" s="975"/>
      <c r="KZY75" s="975"/>
      <c r="KZZ75" s="975"/>
      <c r="LAA75" s="975"/>
      <c r="LAB75" s="975"/>
      <c r="LAC75" s="975"/>
      <c r="LAD75" s="975"/>
      <c r="LAE75" s="975"/>
      <c r="LAF75" s="975"/>
      <c r="LAG75" s="975"/>
      <c r="LAH75" s="975"/>
      <c r="LAI75" s="975"/>
      <c r="LAJ75" s="975"/>
      <c r="LAK75" s="975"/>
      <c r="LAL75" s="975"/>
      <c r="LAM75" s="975"/>
      <c r="LAN75" s="975"/>
      <c r="LAO75" s="975"/>
      <c r="LAP75" s="975"/>
      <c r="LAQ75" s="975"/>
      <c r="LAR75" s="975"/>
      <c r="LAS75" s="975"/>
      <c r="LAT75" s="975"/>
      <c r="LAU75" s="975"/>
      <c r="LAV75" s="975"/>
      <c r="LAW75" s="975"/>
      <c r="LAX75" s="975"/>
      <c r="LAY75" s="975"/>
      <c r="LAZ75" s="975"/>
      <c r="LBA75" s="975"/>
      <c r="LBB75" s="975"/>
      <c r="LBC75" s="975"/>
      <c r="LBD75" s="975"/>
      <c r="LBE75" s="975"/>
      <c r="LBF75" s="975"/>
      <c r="LBG75" s="975"/>
      <c r="LBH75" s="975"/>
      <c r="LBI75" s="975"/>
      <c r="LBJ75" s="975"/>
      <c r="LBK75" s="975"/>
      <c r="LBL75" s="975"/>
      <c r="LBM75" s="975"/>
      <c r="LBN75" s="975"/>
      <c r="LBO75" s="975"/>
      <c r="LBP75" s="975"/>
      <c r="LBQ75" s="975"/>
      <c r="LBR75" s="975"/>
      <c r="LBS75" s="975"/>
      <c r="LBT75" s="975"/>
      <c r="LBU75" s="975"/>
      <c r="LBV75" s="975"/>
      <c r="LBW75" s="975"/>
      <c r="LBX75" s="975"/>
      <c r="LBY75" s="975"/>
      <c r="LBZ75" s="975"/>
      <c r="LCA75" s="975"/>
      <c r="LCB75" s="975"/>
      <c r="LCC75" s="975"/>
      <c r="LCD75" s="975"/>
      <c r="LCE75" s="975"/>
      <c r="LCF75" s="975"/>
      <c r="LCG75" s="975"/>
      <c r="LCH75" s="975"/>
      <c r="LCI75" s="975"/>
      <c r="LCJ75" s="975"/>
      <c r="LCK75" s="975"/>
      <c r="LCL75" s="975"/>
      <c r="LCM75" s="975"/>
      <c r="LCN75" s="975"/>
      <c r="LCO75" s="975"/>
      <c r="LCP75" s="975"/>
      <c r="LCQ75" s="975"/>
      <c r="LCR75" s="975"/>
      <c r="LCS75" s="975"/>
      <c r="LCT75" s="975"/>
      <c r="LCU75" s="975"/>
      <c r="LCV75" s="975"/>
      <c r="LCW75" s="975"/>
      <c r="LCX75" s="975"/>
      <c r="LCY75" s="975"/>
      <c r="LCZ75" s="975"/>
      <c r="LDA75" s="975"/>
      <c r="LDB75" s="975"/>
      <c r="LDC75" s="975"/>
      <c r="LDD75" s="975"/>
      <c r="LDE75" s="975"/>
      <c r="LDF75" s="975"/>
      <c r="LDG75" s="975"/>
      <c r="LDH75" s="975"/>
      <c r="LDI75" s="975"/>
      <c r="LDJ75" s="975"/>
      <c r="LDK75" s="975"/>
      <c r="LDL75" s="975"/>
      <c r="LDM75" s="975"/>
      <c r="LDN75" s="975"/>
      <c r="LDO75" s="975"/>
      <c r="LDP75" s="975"/>
      <c r="LDQ75" s="975"/>
      <c r="LDR75" s="975"/>
      <c r="LDS75" s="975"/>
      <c r="LDT75" s="975"/>
      <c r="LDU75" s="975"/>
      <c r="LDV75" s="975"/>
      <c r="LDW75" s="975"/>
      <c r="LDX75" s="975"/>
      <c r="LDY75" s="975"/>
      <c r="LDZ75" s="975"/>
      <c r="LEA75" s="975"/>
      <c r="LEB75" s="975"/>
      <c r="LEC75" s="975"/>
      <c r="LED75" s="975"/>
      <c r="LEE75" s="975"/>
      <c r="LEF75" s="975"/>
      <c r="LEG75" s="975"/>
      <c r="LEH75" s="975"/>
      <c r="LEI75" s="975"/>
      <c r="LEJ75" s="975"/>
      <c r="LEK75" s="975"/>
      <c r="LEL75" s="975"/>
      <c r="LEM75" s="975"/>
      <c r="LEN75" s="975"/>
      <c r="LEO75" s="975"/>
      <c r="LEP75" s="975"/>
      <c r="LEQ75" s="975"/>
      <c r="LER75" s="975"/>
      <c r="LES75" s="975"/>
      <c r="LET75" s="975"/>
      <c r="LEU75" s="975"/>
      <c r="LEV75" s="975"/>
      <c r="LEW75" s="975"/>
      <c r="LEX75" s="975"/>
      <c r="LEY75" s="975"/>
      <c r="LEZ75" s="975"/>
      <c r="LFA75" s="975"/>
      <c r="LFB75" s="975"/>
      <c r="LFC75" s="975"/>
      <c r="LFD75" s="975"/>
      <c r="LFE75" s="975"/>
      <c r="LFF75" s="975"/>
      <c r="LFG75" s="975"/>
      <c r="LFH75" s="975"/>
      <c r="LFI75" s="975"/>
      <c r="LFJ75" s="975"/>
      <c r="LFK75" s="975"/>
      <c r="LFL75" s="975"/>
      <c r="LFM75" s="975"/>
      <c r="LFN75" s="975"/>
      <c r="LFO75" s="975"/>
      <c r="LFP75" s="975"/>
      <c r="LFQ75" s="975"/>
      <c r="LFR75" s="975"/>
      <c r="LFS75" s="975"/>
      <c r="LFT75" s="975"/>
      <c r="LFU75" s="975"/>
      <c r="LFV75" s="975"/>
      <c r="LFW75" s="975"/>
      <c r="LFX75" s="975"/>
      <c r="LFY75" s="975"/>
      <c r="LFZ75" s="975"/>
      <c r="LGA75" s="975"/>
      <c r="LGB75" s="975"/>
      <c r="LGC75" s="975"/>
      <c r="LGD75" s="975"/>
      <c r="LGE75" s="975"/>
      <c r="LGF75" s="975"/>
      <c r="LGG75" s="975"/>
      <c r="LGH75" s="975"/>
      <c r="LGI75" s="975"/>
      <c r="LGJ75" s="975"/>
      <c r="LGK75" s="975"/>
      <c r="LGL75" s="975"/>
      <c r="LGM75" s="975"/>
      <c r="LGN75" s="975"/>
      <c r="LGO75" s="975"/>
      <c r="LGP75" s="975"/>
      <c r="LGQ75" s="975"/>
      <c r="LGR75" s="975"/>
      <c r="LGS75" s="975"/>
      <c r="LGT75" s="975"/>
      <c r="LGU75" s="975"/>
      <c r="LGV75" s="975"/>
      <c r="LGW75" s="975"/>
      <c r="LGX75" s="975"/>
      <c r="LGY75" s="975"/>
      <c r="LGZ75" s="975"/>
      <c r="LHA75" s="975"/>
      <c r="LHB75" s="975"/>
      <c r="LHC75" s="975"/>
      <c r="LHD75" s="975"/>
      <c r="LHE75" s="975"/>
      <c r="LHF75" s="975"/>
      <c r="LHG75" s="975"/>
      <c r="LHH75" s="975"/>
      <c r="LHI75" s="975"/>
      <c r="LHJ75" s="975"/>
      <c r="LHK75" s="975"/>
      <c r="LHL75" s="975"/>
      <c r="LHM75" s="975"/>
      <c r="LHN75" s="975"/>
      <c r="LHO75" s="975"/>
      <c r="LHP75" s="975"/>
      <c r="LHQ75" s="975"/>
      <c r="LHR75" s="975"/>
      <c r="LHS75" s="975"/>
      <c r="LHT75" s="975"/>
      <c r="LHU75" s="975"/>
      <c r="LHV75" s="975"/>
      <c r="LHW75" s="975"/>
      <c r="LHX75" s="975"/>
      <c r="LHY75" s="975"/>
      <c r="LHZ75" s="975"/>
      <c r="LIA75" s="975"/>
      <c r="LIB75" s="975"/>
      <c r="LIC75" s="975"/>
      <c r="LID75" s="975"/>
      <c r="LIE75" s="975"/>
      <c r="LIF75" s="975"/>
      <c r="LIG75" s="975"/>
      <c r="LIH75" s="975"/>
      <c r="LII75" s="975"/>
      <c r="LIJ75" s="975"/>
      <c r="LIK75" s="975"/>
      <c r="LIL75" s="975"/>
      <c r="LIM75" s="975"/>
      <c r="LIN75" s="975"/>
      <c r="LIO75" s="975"/>
      <c r="LIP75" s="975"/>
      <c r="LIQ75" s="975"/>
      <c r="LIR75" s="975"/>
      <c r="LIS75" s="975"/>
      <c r="LIT75" s="975"/>
      <c r="LIU75" s="975"/>
      <c r="LIV75" s="975"/>
      <c r="LIW75" s="975"/>
      <c r="LIX75" s="975"/>
      <c r="LIY75" s="975"/>
      <c r="LIZ75" s="975"/>
      <c r="LJA75" s="975"/>
      <c r="LJB75" s="975"/>
      <c r="LJC75" s="975"/>
      <c r="LJD75" s="975"/>
      <c r="LJE75" s="975"/>
      <c r="LJF75" s="975"/>
      <c r="LJG75" s="975"/>
      <c r="LJH75" s="975"/>
      <c r="LJI75" s="975"/>
      <c r="LJJ75" s="975"/>
      <c r="LJK75" s="975"/>
      <c r="LJL75" s="975"/>
      <c r="LJM75" s="975"/>
      <c r="LJN75" s="975"/>
      <c r="LJO75" s="975"/>
      <c r="LJP75" s="975"/>
      <c r="LJQ75" s="975"/>
      <c r="LJR75" s="975"/>
      <c r="LJS75" s="975"/>
      <c r="LJT75" s="975"/>
      <c r="LJU75" s="975"/>
      <c r="LJV75" s="975"/>
      <c r="LJW75" s="975"/>
      <c r="LJX75" s="975"/>
      <c r="LJY75" s="975"/>
      <c r="LJZ75" s="975"/>
      <c r="LKA75" s="975"/>
      <c r="LKB75" s="975"/>
      <c r="LKC75" s="975"/>
      <c r="LKD75" s="975"/>
      <c r="LKE75" s="975"/>
      <c r="LKF75" s="975"/>
      <c r="LKG75" s="975"/>
      <c r="LKH75" s="975"/>
      <c r="LKI75" s="975"/>
      <c r="LKJ75" s="975"/>
      <c r="LKK75" s="975"/>
      <c r="LKL75" s="975"/>
      <c r="LKM75" s="975"/>
      <c r="LKN75" s="975"/>
      <c r="LKO75" s="975"/>
      <c r="LKP75" s="975"/>
      <c r="LKQ75" s="975"/>
      <c r="LKR75" s="975"/>
      <c r="LKS75" s="975"/>
      <c r="LKT75" s="975"/>
      <c r="LKU75" s="975"/>
      <c r="LKV75" s="975"/>
      <c r="LKW75" s="975"/>
      <c r="LKX75" s="975"/>
      <c r="LKY75" s="975"/>
      <c r="LKZ75" s="975"/>
      <c r="LLA75" s="975"/>
      <c r="LLB75" s="975"/>
      <c r="LLC75" s="975"/>
      <c r="LLD75" s="975"/>
      <c r="LLE75" s="975"/>
      <c r="LLF75" s="975"/>
      <c r="LLG75" s="975"/>
      <c r="LLH75" s="975"/>
      <c r="LLI75" s="975"/>
      <c r="LLJ75" s="975"/>
      <c r="LLK75" s="975"/>
      <c r="LLL75" s="975"/>
      <c r="LLM75" s="975"/>
      <c r="LLN75" s="975"/>
      <c r="LLO75" s="975"/>
      <c r="LLP75" s="975"/>
      <c r="LLQ75" s="975"/>
      <c r="LLR75" s="975"/>
      <c r="LLS75" s="975"/>
      <c r="LLT75" s="975"/>
      <c r="LLU75" s="975"/>
      <c r="LLV75" s="975"/>
      <c r="LLW75" s="975"/>
      <c r="LLX75" s="975"/>
      <c r="LLY75" s="975"/>
      <c r="LLZ75" s="975"/>
      <c r="LMA75" s="975"/>
      <c r="LMB75" s="975"/>
      <c r="LMC75" s="975"/>
      <c r="LMD75" s="975"/>
      <c r="LME75" s="975"/>
      <c r="LMF75" s="975"/>
      <c r="LMG75" s="975"/>
      <c r="LMH75" s="975"/>
      <c r="LMI75" s="975"/>
      <c r="LMJ75" s="975"/>
      <c r="LMK75" s="975"/>
      <c r="LML75" s="975"/>
      <c r="LMM75" s="975"/>
      <c r="LMN75" s="975"/>
      <c r="LMO75" s="975"/>
      <c r="LMP75" s="975"/>
      <c r="LMQ75" s="975"/>
      <c r="LMR75" s="975"/>
      <c r="LMS75" s="975"/>
      <c r="LMT75" s="975"/>
      <c r="LMU75" s="975"/>
      <c r="LMV75" s="975"/>
      <c r="LMW75" s="975"/>
      <c r="LMX75" s="975"/>
      <c r="LMY75" s="975"/>
      <c r="LMZ75" s="975"/>
      <c r="LNA75" s="975"/>
      <c r="LNB75" s="975"/>
      <c r="LNC75" s="975"/>
      <c r="LND75" s="975"/>
      <c r="LNE75" s="975"/>
      <c r="LNF75" s="975"/>
      <c r="LNG75" s="975"/>
      <c r="LNH75" s="975"/>
      <c r="LNI75" s="975"/>
      <c r="LNJ75" s="975"/>
      <c r="LNK75" s="975"/>
      <c r="LNL75" s="975"/>
      <c r="LNM75" s="975"/>
      <c r="LNN75" s="975"/>
      <c r="LNO75" s="975"/>
      <c r="LNP75" s="975"/>
      <c r="LNQ75" s="975"/>
      <c r="LNR75" s="975"/>
      <c r="LNS75" s="975"/>
      <c r="LNT75" s="975"/>
      <c r="LNU75" s="975"/>
      <c r="LNV75" s="975"/>
      <c r="LNW75" s="975"/>
      <c r="LNX75" s="975"/>
      <c r="LNY75" s="975"/>
      <c r="LNZ75" s="975"/>
      <c r="LOA75" s="975"/>
      <c r="LOB75" s="975"/>
      <c r="LOC75" s="975"/>
      <c r="LOD75" s="975"/>
      <c r="LOE75" s="975"/>
      <c r="LOF75" s="975"/>
      <c r="LOG75" s="975"/>
      <c r="LOH75" s="975"/>
      <c r="LOI75" s="975"/>
      <c r="LOJ75" s="975"/>
      <c r="LOK75" s="975"/>
      <c r="LOL75" s="975"/>
      <c r="LOM75" s="975"/>
      <c r="LON75" s="975"/>
      <c r="LOO75" s="975"/>
      <c r="LOP75" s="975"/>
      <c r="LOQ75" s="975"/>
      <c r="LOR75" s="975"/>
      <c r="LOS75" s="975"/>
      <c r="LOT75" s="975"/>
      <c r="LOU75" s="975"/>
      <c r="LOV75" s="975"/>
      <c r="LOW75" s="975"/>
      <c r="LOX75" s="975"/>
      <c r="LOY75" s="975"/>
      <c r="LOZ75" s="975"/>
      <c r="LPA75" s="975"/>
      <c r="LPB75" s="975"/>
      <c r="LPC75" s="975"/>
      <c r="LPD75" s="975"/>
      <c r="LPE75" s="975"/>
      <c r="LPF75" s="975"/>
      <c r="LPG75" s="975"/>
      <c r="LPH75" s="975"/>
      <c r="LPI75" s="975"/>
      <c r="LPJ75" s="975"/>
      <c r="LPK75" s="975"/>
      <c r="LPL75" s="975"/>
      <c r="LPM75" s="975"/>
      <c r="LPN75" s="975"/>
      <c r="LPO75" s="975"/>
      <c r="LPP75" s="975"/>
      <c r="LPQ75" s="975"/>
      <c r="LPR75" s="975"/>
      <c r="LPS75" s="975"/>
      <c r="LPT75" s="975"/>
      <c r="LPU75" s="975"/>
      <c r="LPV75" s="975"/>
      <c r="LPW75" s="975"/>
      <c r="LPX75" s="975"/>
      <c r="LPY75" s="975"/>
      <c r="LPZ75" s="975"/>
      <c r="LQA75" s="975"/>
      <c r="LQB75" s="975"/>
      <c r="LQC75" s="975"/>
      <c r="LQD75" s="975"/>
      <c r="LQE75" s="975"/>
      <c r="LQF75" s="975"/>
      <c r="LQG75" s="975"/>
      <c r="LQH75" s="975"/>
      <c r="LQI75" s="975"/>
      <c r="LQJ75" s="975"/>
      <c r="LQK75" s="975"/>
      <c r="LQL75" s="975"/>
      <c r="LQM75" s="975"/>
      <c r="LQN75" s="975"/>
      <c r="LQO75" s="975"/>
      <c r="LQP75" s="975"/>
      <c r="LQQ75" s="975"/>
      <c r="LQR75" s="975"/>
      <c r="LQS75" s="975"/>
      <c r="LQT75" s="975"/>
      <c r="LQU75" s="975"/>
      <c r="LQV75" s="975"/>
      <c r="LQW75" s="975"/>
      <c r="LQX75" s="975"/>
      <c r="LQY75" s="975"/>
      <c r="LQZ75" s="975"/>
      <c r="LRA75" s="975"/>
      <c r="LRB75" s="975"/>
      <c r="LRC75" s="975"/>
      <c r="LRD75" s="975"/>
      <c r="LRE75" s="975"/>
      <c r="LRF75" s="975"/>
      <c r="LRG75" s="975"/>
      <c r="LRH75" s="975"/>
      <c r="LRI75" s="975"/>
      <c r="LRJ75" s="975"/>
      <c r="LRK75" s="975"/>
      <c r="LRL75" s="975"/>
      <c r="LRM75" s="975"/>
      <c r="LRN75" s="975"/>
      <c r="LRO75" s="975"/>
      <c r="LRP75" s="975"/>
      <c r="LRQ75" s="975"/>
      <c r="LRR75" s="975"/>
      <c r="LRS75" s="975"/>
      <c r="LRT75" s="975"/>
      <c r="LRU75" s="975"/>
      <c r="LRV75" s="975"/>
      <c r="LRW75" s="975"/>
      <c r="LRX75" s="975"/>
      <c r="LRY75" s="975"/>
      <c r="LRZ75" s="975"/>
      <c r="LSA75" s="975"/>
      <c r="LSB75" s="975"/>
      <c r="LSC75" s="975"/>
      <c r="LSD75" s="975"/>
      <c r="LSE75" s="975"/>
      <c r="LSF75" s="975"/>
      <c r="LSG75" s="975"/>
      <c r="LSH75" s="975"/>
      <c r="LSI75" s="975"/>
      <c r="LSJ75" s="975"/>
      <c r="LSK75" s="975"/>
      <c r="LSL75" s="975"/>
      <c r="LSM75" s="975"/>
      <c r="LSN75" s="975"/>
      <c r="LSO75" s="975"/>
      <c r="LSP75" s="975"/>
      <c r="LSQ75" s="975"/>
      <c r="LSR75" s="975"/>
      <c r="LSS75" s="975"/>
      <c r="LST75" s="975"/>
      <c r="LSU75" s="975"/>
      <c r="LSV75" s="975"/>
      <c r="LSW75" s="975"/>
      <c r="LSX75" s="975"/>
      <c r="LSY75" s="975"/>
      <c r="LSZ75" s="975"/>
      <c r="LTA75" s="975"/>
      <c r="LTB75" s="975"/>
      <c r="LTC75" s="975"/>
      <c r="LTD75" s="975"/>
      <c r="LTE75" s="975"/>
      <c r="LTF75" s="975"/>
      <c r="LTG75" s="975"/>
      <c r="LTH75" s="975"/>
      <c r="LTI75" s="975"/>
      <c r="LTJ75" s="975"/>
      <c r="LTK75" s="975"/>
      <c r="LTL75" s="975"/>
      <c r="LTM75" s="975"/>
      <c r="LTN75" s="975"/>
      <c r="LTO75" s="975"/>
      <c r="LTP75" s="975"/>
      <c r="LTQ75" s="975"/>
      <c r="LTR75" s="975"/>
      <c r="LTS75" s="975"/>
      <c r="LTT75" s="975"/>
      <c r="LTU75" s="975"/>
      <c r="LTV75" s="975"/>
      <c r="LTW75" s="975"/>
      <c r="LTX75" s="975"/>
      <c r="LTY75" s="975"/>
      <c r="LTZ75" s="975"/>
      <c r="LUA75" s="975"/>
      <c r="LUB75" s="975"/>
      <c r="LUC75" s="975"/>
      <c r="LUD75" s="975"/>
      <c r="LUE75" s="975"/>
      <c r="LUF75" s="975"/>
      <c r="LUG75" s="975"/>
      <c r="LUH75" s="975"/>
      <c r="LUI75" s="975"/>
      <c r="LUJ75" s="975"/>
      <c r="LUK75" s="975"/>
      <c r="LUL75" s="975"/>
      <c r="LUM75" s="975"/>
      <c r="LUN75" s="975"/>
      <c r="LUO75" s="975"/>
      <c r="LUP75" s="975"/>
      <c r="LUQ75" s="975"/>
      <c r="LUR75" s="975"/>
      <c r="LUS75" s="975"/>
      <c r="LUT75" s="975"/>
      <c r="LUU75" s="975"/>
      <c r="LUV75" s="975"/>
      <c r="LUW75" s="975"/>
      <c r="LUX75" s="975"/>
      <c r="LUY75" s="975"/>
      <c r="LUZ75" s="975"/>
      <c r="LVA75" s="975"/>
      <c r="LVB75" s="975"/>
      <c r="LVC75" s="975"/>
      <c r="LVD75" s="975"/>
      <c r="LVE75" s="975"/>
      <c r="LVF75" s="975"/>
      <c r="LVG75" s="975"/>
      <c r="LVH75" s="975"/>
      <c r="LVI75" s="975"/>
      <c r="LVJ75" s="975"/>
      <c r="LVK75" s="975"/>
      <c r="LVL75" s="975"/>
      <c r="LVM75" s="975"/>
      <c r="LVN75" s="975"/>
      <c r="LVO75" s="975"/>
      <c r="LVP75" s="975"/>
      <c r="LVQ75" s="975"/>
      <c r="LVR75" s="975"/>
      <c r="LVS75" s="975"/>
      <c r="LVT75" s="975"/>
      <c r="LVU75" s="975"/>
      <c r="LVV75" s="975"/>
      <c r="LVW75" s="975"/>
      <c r="LVX75" s="975"/>
      <c r="LVY75" s="975"/>
      <c r="LVZ75" s="975"/>
      <c r="LWA75" s="975"/>
      <c r="LWB75" s="975"/>
      <c r="LWC75" s="975"/>
      <c r="LWD75" s="975"/>
      <c r="LWE75" s="975"/>
      <c r="LWF75" s="975"/>
      <c r="LWG75" s="975"/>
      <c r="LWH75" s="975"/>
      <c r="LWI75" s="975"/>
      <c r="LWJ75" s="975"/>
      <c r="LWK75" s="975"/>
      <c r="LWL75" s="975"/>
      <c r="LWM75" s="975"/>
      <c r="LWN75" s="975"/>
      <c r="LWO75" s="975"/>
      <c r="LWP75" s="975"/>
      <c r="LWQ75" s="975"/>
      <c r="LWR75" s="975"/>
      <c r="LWS75" s="975"/>
      <c r="LWT75" s="975"/>
      <c r="LWU75" s="975"/>
      <c r="LWV75" s="975"/>
      <c r="LWW75" s="975"/>
      <c r="LWX75" s="975"/>
      <c r="LWY75" s="975"/>
      <c r="LWZ75" s="975"/>
      <c r="LXA75" s="975"/>
      <c r="LXB75" s="975"/>
      <c r="LXC75" s="975"/>
      <c r="LXD75" s="975"/>
      <c r="LXE75" s="975"/>
      <c r="LXF75" s="975"/>
      <c r="LXG75" s="975"/>
      <c r="LXH75" s="975"/>
      <c r="LXI75" s="975"/>
      <c r="LXJ75" s="975"/>
      <c r="LXK75" s="975"/>
      <c r="LXL75" s="975"/>
      <c r="LXM75" s="975"/>
      <c r="LXN75" s="975"/>
      <c r="LXO75" s="975"/>
      <c r="LXP75" s="975"/>
      <c r="LXQ75" s="975"/>
      <c r="LXR75" s="975"/>
      <c r="LXS75" s="975"/>
      <c r="LXT75" s="975"/>
      <c r="LXU75" s="975"/>
      <c r="LXV75" s="975"/>
      <c r="LXW75" s="975"/>
      <c r="LXX75" s="975"/>
      <c r="LXY75" s="975"/>
      <c r="LXZ75" s="975"/>
      <c r="LYA75" s="975"/>
      <c r="LYB75" s="975"/>
      <c r="LYC75" s="975"/>
      <c r="LYD75" s="975"/>
      <c r="LYE75" s="975"/>
      <c r="LYF75" s="975"/>
      <c r="LYG75" s="975"/>
      <c r="LYH75" s="975"/>
      <c r="LYI75" s="975"/>
      <c r="LYJ75" s="975"/>
      <c r="LYK75" s="975"/>
      <c r="LYL75" s="975"/>
      <c r="LYM75" s="975"/>
      <c r="LYN75" s="975"/>
      <c r="LYO75" s="975"/>
      <c r="LYP75" s="975"/>
      <c r="LYQ75" s="975"/>
      <c r="LYR75" s="975"/>
      <c r="LYS75" s="975"/>
      <c r="LYT75" s="975"/>
      <c r="LYU75" s="975"/>
      <c r="LYV75" s="975"/>
      <c r="LYW75" s="975"/>
      <c r="LYX75" s="975"/>
      <c r="LYY75" s="975"/>
      <c r="LYZ75" s="975"/>
      <c r="LZA75" s="975"/>
      <c r="LZB75" s="975"/>
      <c r="LZC75" s="975"/>
      <c r="LZD75" s="975"/>
      <c r="LZE75" s="975"/>
      <c r="LZF75" s="975"/>
      <c r="LZG75" s="975"/>
      <c r="LZH75" s="975"/>
      <c r="LZI75" s="975"/>
      <c r="LZJ75" s="975"/>
      <c r="LZK75" s="975"/>
      <c r="LZL75" s="975"/>
      <c r="LZM75" s="975"/>
      <c r="LZN75" s="975"/>
      <c r="LZO75" s="975"/>
      <c r="LZP75" s="975"/>
      <c r="LZQ75" s="975"/>
      <c r="LZR75" s="975"/>
      <c r="LZS75" s="975"/>
      <c r="LZT75" s="975"/>
      <c r="LZU75" s="975"/>
      <c r="LZV75" s="975"/>
      <c r="LZW75" s="975"/>
      <c r="LZX75" s="975"/>
      <c r="LZY75" s="975"/>
      <c r="LZZ75" s="975"/>
      <c r="MAA75" s="975"/>
      <c r="MAB75" s="975"/>
      <c r="MAC75" s="975"/>
      <c r="MAD75" s="975"/>
      <c r="MAE75" s="975"/>
      <c r="MAF75" s="975"/>
      <c r="MAG75" s="975"/>
      <c r="MAH75" s="975"/>
      <c r="MAI75" s="975"/>
      <c r="MAJ75" s="975"/>
      <c r="MAK75" s="975"/>
      <c r="MAL75" s="975"/>
      <c r="MAM75" s="975"/>
      <c r="MAN75" s="975"/>
      <c r="MAO75" s="975"/>
      <c r="MAP75" s="975"/>
      <c r="MAQ75" s="975"/>
      <c r="MAR75" s="975"/>
      <c r="MAS75" s="975"/>
      <c r="MAT75" s="975"/>
      <c r="MAU75" s="975"/>
      <c r="MAV75" s="975"/>
      <c r="MAW75" s="975"/>
      <c r="MAX75" s="975"/>
      <c r="MAY75" s="975"/>
      <c r="MAZ75" s="975"/>
      <c r="MBA75" s="975"/>
      <c r="MBB75" s="975"/>
      <c r="MBC75" s="975"/>
      <c r="MBD75" s="975"/>
      <c r="MBE75" s="975"/>
      <c r="MBF75" s="975"/>
      <c r="MBG75" s="975"/>
      <c r="MBH75" s="975"/>
      <c r="MBI75" s="975"/>
      <c r="MBJ75" s="975"/>
      <c r="MBK75" s="975"/>
      <c r="MBL75" s="975"/>
      <c r="MBM75" s="975"/>
      <c r="MBN75" s="975"/>
      <c r="MBO75" s="975"/>
      <c r="MBP75" s="975"/>
      <c r="MBQ75" s="975"/>
      <c r="MBR75" s="975"/>
      <c r="MBS75" s="975"/>
      <c r="MBT75" s="975"/>
      <c r="MBU75" s="975"/>
      <c r="MBV75" s="975"/>
      <c r="MBW75" s="975"/>
      <c r="MBX75" s="975"/>
      <c r="MBY75" s="975"/>
      <c r="MBZ75" s="975"/>
      <c r="MCA75" s="975"/>
      <c r="MCB75" s="975"/>
      <c r="MCC75" s="975"/>
      <c r="MCD75" s="975"/>
      <c r="MCE75" s="975"/>
      <c r="MCF75" s="975"/>
      <c r="MCG75" s="975"/>
      <c r="MCH75" s="975"/>
      <c r="MCI75" s="975"/>
      <c r="MCJ75" s="975"/>
      <c r="MCK75" s="975"/>
      <c r="MCL75" s="975"/>
      <c r="MCM75" s="975"/>
      <c r="MCN75" s="975"/>
      <c r="MCO75" s="975"/>
      <c r="MCP75" s="975"/>
      <c r="MCQ75" s="975"/>
      <c r="MCR75" s="975"/>
      <c r="MCS75" s="975"/>
      <c r="MCT75" s="975"/>
      <c r="MCU75" s="975"/>
      <c r="MCV75" s="975"/>
      <c r="MCW75" s="975"/>
      <c r="MCX75" s="975"/>
      <c r="MCY75" s="975"/>
      <c r="MCZ75" s="975"/>
      <c r="MDA75" s="975"/>
      <c r="MDB75" s="975"/>
      <c r="MDC75" s="975"/>
      <c r="MDD75" s="975"/>
      <c r="MDE75" s="975"/>
      <c r="MDF75" s="975"/>
      <c r="MDG75" s="975"/>
      <c r="MDH75" s="975"/>
      <c r="MDI75" s="975"/>
      <c r="MDJ75" s="975"/>
      <c r="MDK75" s="975"/>
      <c r="MDL75" s="975"/>
      <c r="MDM75" s="975"/>
      <c r="MDN75" s="975"/>
      <c r="MDO75" s="975"/>
      <c r="MDP75" s="975"/>
      <c r="MDQ75" s="975"/>
      <c r="MDR75" s="975"/>
      <c r="MDS75" s="975"/>
      <c r="MDT75" s="975"/>
      <c r="MDU75" s="975"/>
      <c r="MDV75" s="975"/>
      <c r="MDW75" s="975"/>
      <c r="MDX75" s="975"/>
      <c r="MDY75" s="975"/>
      <c r="MDZ75" s="975"/>
      <c r="MEA75" s="975"/>
      <c r="MEB75" s="975"/>
      <c r="MEC75" s="975"/>
      <c r="MED75" s="975"/>
      <c r="MEE75" s="975"/>
      <c r="MEF75" s="975"/>
      <c r="MEG75" s="975"/>
      <c r="MEH75" s="975"/>
      <c r="MEI75" s="975"/>
      <c r="MEJ75" s="975"/>
      <c r="MEK75" s="975"/>
      <c r="MEL75" s="975"/>
      <c r="MEM75" s="975"/>
      <c r="MEN75" s="975"/>
      <c r="MEO75" s="975"/>
      <c r="MEP75" s="975"/>
      <c r="MEQ75" s="975"/>
      <c r="MER75" s="975"/>
      <c r="MES75" s="975"/>
      <c r="MET75" s="975"/>
      <c r="MEU75" s="975"/>
      <c r="MEV75" s="975"/>
      <c r="MEW75" s="975"/>
      <c r="MEX75" s="975"/>
      <c r="MEY75" s="975"/>
      <c r="MEZ75" s="975"/>
      <c r="MFA75" s="975"/>
      <c r="MFB75" s="975"/>
      <c r="MFC75" s="975"/>
      <c r="MFD75" s="975"/>
      <c r="MFE75" s="975"/>
      <c r="MFF75" s="975"/>
      <c r="MFG75" s="975"/>
      <c r="MFH75" s="975"/>
      <c r="MFI75" s="975"/>
      <c r="MFJ75" s="975"/>
      <c r="MFK75" s="975"/>
      <c r="MFL75" s="975"/>
      <c r="MFM75" s="975"/>
      <c r="MFN75" s="975"/>
      <c r="MFO75" s="975"/>
      <c r="MFP75" s="975"/>
      <c r="MFQ75" s="975"/>
      <c r="MFR75" s="975"/>
      <c r="MFS75" s="975"/>
      <c r="MFT75" s="975"/>
      <c r="MFU75" s="975"/>
      <c r="MFV75" s="975"/>
      <c r="MFW75" s="975"/>
      <c r="MFX75" s="975"/>
      <c r="MFY75" s="975"/>
      <c r="MFZ75" s="975"/>
      <c r="MGA75" s="975"/>
      <c r="MGB75" s="975"/>
      <c r="MGC75" s="975"/>
      <c r="MGD75" s="975"/>
      <c r="MGE75" s="975"/>
      <c r="MGF75" s="975"/>
      <c r="MGG75" s="975"/>
      <c r="MGH75" s="975"/>
      <c r="MGI75" s="975"/>
      <c r="MGJ75" s="975"/>
      <c r="MGK75" s="975"/>
      <c r="MGL75" s="975"/>
      <c r="MGM75" s="975"/>
      <c r="MGN75" s="975"/>
      <c r="MGO75" s="975"/>
      <c r="MGP75" s="975"/>
      <c r="MGQ75" s="975"/>
      <c r="MGR75" s="975"/>
      <c r="MGS75" s="975"/>
      <c r="MGT75" s="975"/>
      <c r="MGU75" s="975"/>
      <c r="MGV75" s="975"/>
      <c r="MGW75" s="975"/>
      <c r="MGX75" s="975"/>
      <c r="MGY75" s="975"/>
      <c r="MGZ75" s="975"/>
      <c r="MHA75" s="975"/>
      <c r="MHB75" s="975"/>
      <c r="MHC75" s="975"/>
      <c r="MHD75" s="975"/>
      <c r="MHE75" s="975"/>
      <c r="MHF75" s="975"/>
      <c r="MHG75" s="975"/>
      <c r="MHH75" s="975"/>
      <c r="MHI75" s="975"/>
      <c r="MHJ75" s="975"/>
      <c r="MHK75" s="975"/>
      <c r="MHL75" s="975"/>
      <c r="MHM75" s="975"/>
      <c r="MHN75" s="975"/>
      <c r="MHO75" s="975"/>
      <c r="MHP75" s="975"/>
      <c r="MHQ75" s="975"/>
      <c r="MHR75" s="975"/>
      <c r="MHS75" s="975"/>
      <c r="MHT75" s="975"/>
      <c r="MHU75" s="975"/>
      <c r="MHV75" s="975"/>
      <c r="MHW75" s="975"/>
      <c r="MHX75" s="975"/>
      <c r="MHY75" s="975"/>
      <c r="MHZ75" s="975"/>
      <c r="MIA75" s="975"/>
      <c r="MIB75" s="975"/>
      <c r="MIC75" s="975"/>
      <c r="MID75" s="975"/>
      <c r="MIE75" s="975"/>
      <c r="MIF75" s="975"/>
      <c r="MIG75" s="975"/>
      <c r="MIH75" s="975"/>
      <c r="MII75" s="975"/>
      <c r="MIJ75" s="975"/>
      <c r="MIK75" s="975"/>
      <c r="MIL75" s="975"/>
      <c r="MIM75" s="975"/>
      <c r="MIN75" s="975"/>
      <c r="MIO75" s="975"/>
      <c r="MIP75" s="975"/>
      <c r="MIQ75" s="975"/>
      <c r="MIR75" s="975"/>
      <c r="MIS75" s="975"/>
      <c r="MIT75" s="975"/>
      <c r="MIU75" s="975"/>
      <c r="MIV75" s="975"/>
      <c r="MIW75" s="975"/>
      <c r="MIX75" s="975"/>
      <c r="MIY75" s="975"/>
      <c r="MIZ75" s="975"/>
      <c r="MJA75" s="975"/>
      <c r="MJB75" s="975"/>
      <c r="MJC75" s="975"/>
      <c r="MJD75" s="975"/>
      <c r="MJE75" s="975"/>
      <c r="MJF75" s="975"/>
      <c r="MJG75" s="975"/>
      <c r="MJH75" s="975"/>
      <c r="MJI75" s="975"/>
      <c r="MJJ75" s="975"/>
      <c r="MJK75" s="975"/>
      <c r="MJL75" s="975"/>
      <c r="MJM75" s="975"/>
      <c r="MJN75" s="975"/>
      <c r="MJO75" s="975"/>
      <c r="MJP75" s="975"/>
      <c r="MJQ75" s="975"/>
      <c r="MJR75" s="975"/>
      <c r="MJS75" s="975"/>
      <c r="MJT75" s="975"/>
      <c r="MJU75" s="975"/>
      <c r="MJV75" s="975"/>
      <c r="MJW75" s="975"/>
      <c r="MJX75" s="975"/>
      <c r="MJY75" s="975"/>
      <c r="MJZ75" s="975"/>
      <c r="MKA75" s="975"/>
      <c r="MKB75" s="975"/>
      <c r="MKC75" s="975"/>
      <c r="MKD75" s="975"/>
      <c r="MKE75" s="975"/>
      <c r="MKF75" s="975"/>
      <c r="MKG75" s="975"/>
      <c r="MKH75" s="975"/>
      <c r="MKI75" s="975"/>
      <c r="MKJ75" s="975"/>
      <c r="MKK75" s="975"/>
      <c r="MKL75" s="975"/>
      <c r="MKM75" s="975"/>
      <c r="MKN75" s="975"/>
      <c r="MKO75" s="975"/>
      <c r="MKP75" s="975"/>
      <c r="MKQ75" s="975"/>
      <c r="MKR75" s="975"/>
      <c r="MKS75" s="975"/>
      <c r="MKT75" s="975"/>
      <c r="MKU75" s="975"/>
      <c r="MKV75" s="975"/>
      <c r="MKW75" s="975"/>
      <c r="MKX75" s="975"/>
      <c r="MKY75" s="975"/>
      <c r="MKZ75" s="975"/>
      <c r="MLA75" s="975"/>
      <c r="MLB75" s="975"/>
      <c r="MLC75" s="975"/>
      <c r="MLD75" s="975"/>
      <c r="MLE75" s="975"/>
      <c r="MLF75" s="975"/>
      <c r="MLG75" s="975"/>
      <c r="MLH75" s="975"/>
      <c r="MLI75" s="975"/>
      <c r="MLJ75" s="975"/>
      <c r="MLK75" s="975"/>
      <c r="MLL75" s="975"/>
      <c r="MLM75" s="975"/>
      <c r="MLN75" s="975"/>
      <c r="MLO75" s="975"/>
      <c r="MLP75" s="975"/>
      <c r="MLQ75" s="975"/>
      <c r="MLR75" s="975"/>
      <c r="MLS75" s="975"/>
      <c r="MLT75" s="975"/>
      <c r="MLU75" s="975"/>
      <c r="MLV75" s="975"/>
      <c r="MLW75" s="975"/>
      <c r="MLX75" s="975"/>
      <c r="MLY75" s="975"/>
      <c r="MLZ75" s="975"/>
      <c r="MMA75" s="975"/>
      <c r="MMB75" s="975"/>
      <c r="MMC75" s="975"/>
      <c r="MMD75" s="975"/>
      <c r="MME75" s="975"/>
      <c r="MMF75" s="975"/>
      <c r="MMG75" s="975"/>
      <c r="MMH75" s="975"/>
      <c r="MMI75" s="975"/>
      <c r="MMJ75" s="975"/>
      <c r="MMK75" s="975"/>
      <c r="MML75" s="975"/>
      <c r="MMM75" s="975"/>
      <c r="MMN75" s="975"/>
      <c r="MMO75" s="975"/>
      <c r="MMP75" s="975"/>
      <c r="MMQ75" s="975"/>
      <c r="MMR75" s="975"/>
      <c r="MMS75" s="975"/>
      <c r="MMT75" s="975"/>
      <c r="MMU75" s="975"/>
      <c r="MMV75" s="975"/>
      <c r="MMW75" s="975"/>
      <c r="MMX75" s="975"/>
      <c r="MMY75" s="975"/>
      <c r="MMZ75" s="975"/>
      <c r="MNA75" s="975"/>
      <c r="MNB75" s="975"/>
      <c r="MNC75" s="975"/>
      <c r="MND75" s="975"/>
      <c r="MNE75" s="975"/>
      <c r="MNF75" s="975"/>
      <c r="MNG75" s="975"/>
      <c r="MNH75" s="975"/>
      <c r="MNI75" s="975"/>
      <c r="MNJ75" s="975"/>
      <c r="MNK75" s="975"/>
      <c r="MNL75" s="975"/>
      <c r="MNM75" s="975"/>
      <c r="MNN75" s="975"/>
      <c r="MNO75" s="975"/>
      <c r="MNP75" s="975"/>
      <c r="MNQ75" s="975"/>
      <c r="MNR75" s="975"/>
      <c r="MNS75" s="975"/>
      <c r="MNT75" s="975"/>
      <c r="MNU75" s="975"/>
      <c r="MNV75" s="975"/>
      <c r="MNW75" s="975"/>
      <c r="MNX75" s="975"/>
      <c r="MNY75" s="975"/>
      <c r="MNZ75" s="975"/>
      <c r="MOA75" s="975"/>
      <c r="MOB75" s="975"/>
      <c r="MOC75" s="975"/>
      <c r="MOD75" s="975"/>
      <c r="MOE75" s="975"/>
      <c r="MOF75" s="975"/>
      <c r="MOG75" s="975"/>
      <c r="MOH75" s="975"/>
      <c r="MOI75" s="975"/>
      <c r="MOJ75" s="975"/>
      <c r="MOK75" s="975"/>
      <c r="MOL75" s="975"/>
      <c r="MOM75" s="975"/>
      <c r="MON75" s="975"/>
      <c r="MOO75" s="975"/>
      <c r="MOP75" s="975"/>
      <c r="MOQ75" s="975"/>
      <c r="MOR75" s="975"/>
      <c r="MOS75" s="975"/>
      <c r="MOT75" s="975"/>
      <c r="MOU75" s="975"/>
      <c r="MOV75" s="975"/>
      <c r="MOW75" s="975"/>
      <c r="MOX75" s="975"/>
      <c r="MOY75" s="975"/>
      <c r="MOZ75" s="975"/>
      <c r="MPA75" s="975"/>
      <c r="MPB75" s="975"/>
      <c r="MPC75" s="975"/>
      <c r="MPD75" s="975"/>
      <c r="MPE75" s="975"/>
      <c r="MPF75" s="975"/>
      <c r="MPG75" s="975"/>
      <c r="MPH75" s="975"/>
      <c r="MPI75" s="975"/>
      <c r="MPJ75" s="975"/>
      <c r="MPK75" s="975"/>
      <c r="MPL75" s="975"/>
      <c r="MPM75" s="975"/>
      <c r="MPN75" s="975"/>
      <c r="MPO75" s="975"/>
      <c r="MPP75" s="975"/>
      <c r="MPQ75" s="975"/>
      <c r="MPR75" s="975"/>
      <c r="MPS75" s="975"/>
      <c r="MPT75" s="975"/>
      <c r="MPU75" s="975"/>
      <c r="MPV75" s="975"/>
      <c r="MPW75" s="975"/>
      <c r="MPX75" s="975"/>
      <c r="MPY75" s="975"/>
      <c r="MPZ75" s="975"/>
      <c r="MQA75" s="975"/>
      <c r="MQB75" s="975"/>
      <c r="MQC75" s="975"/>
      <c r="MQD75" s="975"/>
      <c r="MQE75" s="975"/>
      <c r="MQF75" s="975"/>
      <c r="MQG75" s="975"/>
      <c r="MQH75" s="975"/>
      <c r="MQI75" s="975"/>
      <c r="MQJ75" s="975"/>
      <c r="MQK75" s="975"/>
      <c r="MQL75" s="975"/>
      <c r="MQM75" s="975"/>
      <c r="MQN75" s="975"/>
      <c r="MQO75" s="975"/>
      <c r="MQP75" s="975"/>
      <c r="MQQ75" s="975"/>
      <c r="MQR75" s="975"/>
      <c r="MQS75" s="975"/>
      <c r="MQT75" s="975"/>
      <c r="MQU75" s="975"/>
      <c r="MQV75" s="975"/>
      <c r="MQW75" s="975"/>
      <c r="MQX75" s="975"/>
      <c r="MQY75" s="975"/>
      <c r="MQZ75" s="975"/>
      <c r="MRA75" s="975"/>
      <c r="MRB75" s="975"/>
      <c r="MRC75" s="975"/>
      <c r="MRD75" s="975"/>
      <c r="MRE75" s="975"/>
      <c r="MRF75" s="975"/>
      <c r="MRG75" s="975"/>
      <c r="MRH75" s="975"/>
      <c r="MRI75" s="975"/>
      <c r="MRJ75" s="975"/>
      <c r="MRK75" s="975"/>
      <c r="MRL75" s="975"/>
      <c r="MRM75" s="975"/>
      <c r="MRN75" s="975"/>
      <c r="MRO75" s="975"/>
      <c r="MRP75" s="975"/>
      <c r="MRQ75" s="975"/>
      <c r="MRR75" s="975"/>
      <c r="MRS75" s="975"/>
      <c r="MRT75" s="975"/>
      <c r="MRU75" s="975"/>
      <c r="MRV75" s="975"/>
      <c r="MRW75" s="975"/>
      <c r="MRX75" s="975"/>
      <c r="MRY75" s="975"/>
      <c r="MRZ75" s="975"/>
      <c r="MSA75" s="975"/>
      <c r="MSB75" s="975"/>
      <c r="MSC75" s="975"/>
      <c r="MSD75" s="975"/>
      <c r="MSE75" s="975"/>
      <c r="MSF75" s="975"/>
      <c r="MSG75" s="975"/>
      <c r="MSH75" s="975"/>
      <c r="MSI75" s="975"/>
      <c r="MSJ75" s="975"/>
      <c r="MSK75" s="975"/>
      <c r="MSL75" s="975"/>
      <c r="MSM75" s="975"/>
      <c r="MSN75" s="975"/>
      <c r="MSO75" s="975"/>
      <c r="MSP75" s="975"/>
      <c r="MSQ75" s="975"/>
      <c r="MSR75" s="975"/>
      <c r="MSS75" s="975"/>
      <c r="MST75" s="975"/>
      <c r="MSU75" s="975"/>
      <c r="MSV75" s="975"/>
      <c r="MSW75" s="975"/>
      <c r="MSX75" s="975"/>
      <c r="MSY75" s="975"/>
      <c r="MSZ75" s="975"/>
      <c r="MTA75" s="975"/>
      <c r="MTB75" s="975"/>
      <c r="MTC75" s="975"/>
      <c r="MTD75" s="975"/>
      <c r="MTE75" s="975"/>
      <c r="MTF75" s="975"/>
      <c r="MTG75" s="975"/>
      <c r="MTH75" s="975"/>
      <c r="MTI75" s="975"/>
      <c r="MTJ75" s="975"/>
      <c r="MTK75" s="975"/>
      <c r="MTL75" s="975"/>
      <c r="MTM75" s="975"/>
      <c r="MTN75" s="975"/>
      <c r="MTO75" s="975"/>
      <c r="MTP75" s="975"/>
      <c r="MTQ75" s="975"/>
      <c r="MTR75" s="975"/>
      <c r="MTS75" s="975"/>
      <c r="MTT75" s="975"/>
      <c r="MTU75" s="975"/>
      <c r="MTV75" s="975"/>
      <c r="MTW75" s="975"/>
      <c r="MTX75" s="975"/>
      <c r="MTY75" s="975"/>
      <c r="MTZ75" s="975"/>
      <c r="MUA75" s="975"/>
      <c r="MUB75" s="975"/>
      <c r="MUC75" s="975"/>
      <c r="MUD75" s="975"/>
      <c r="MUE75" s="975"/>
      <c r="MUF75" s="975"/>
      <c r="MUG75" s="975"/>
      <c r="MUH75" s="975"/>
      <c r="MUI75" s="975"/>
      <c r="MUJ75" s="975"/>
      <c r="MUK75" s="975"/>
      <c r="MUL75" s="975"/>
      <c r="MUM75" s="975"/>
      <c r="MUN75" s="975"/>
      <c r="MUO75" s="975"/>
      <c r="MUP75" s="975"/>
      <c r="MUQ75" s="975"/>
      <c r="MUR75" s="975"/>
      <c r="MUS75" s="975"/>
      <c r="MUT75" s="975"/>
      <c r="MUU75" s="975"/>
      <c r="MUV75" s="975"/>
      <c r="MUW75" s="975"/>
      <c r="MUX75" s="975"/>
      <c r="MUY75" s="975"/>
      <c r="MUZ75" s="975"/>
      <c r="MVA75" s="975"/>
      <c r="MVB75" s="975"/>
      <c r="MVC75" s="975"/>
      <c r="MVD75" s="975"/>
      <c r="MVE75" s="975"/>
      <c r="MVF75" s="975"/>
      <c r="MVG75" s="975"/>
      <c r="MVH75" s="975"/>
      <c r="MVI75" s="975"/>
      <c r="MVJ75" s="975"/>
      <c r="MVK75" s="975"/>
      <c r="MVL75" s="975"/>
      <c r="MVM75" s="975"/>
      <c r="MVN75" s="975"/>
      <c r="MVO75" s="975"/>
      <c r="MVP75" s="975"/>
      <c r="MVQ75" s="975"/>
      <c r="MVR75" s="975"/>
      <c r="MVS75" s="975"/>
      <c r="MVT75" s="975"/>
      <c r="MVU75" s="975"/>
      <c r="MVV75" s="975"/>
      <c r="MVW75" s="975"/>
      <c r="MVX75" s="975"/>
      <c r="MVY75" s="975"/>
      <c r="MVZ75" s="975"/>
      <c r="MWA75" s="975"/>
      <c r="MWB75" s="975"/>
      <c r="MWC75" s="975"/>
      <c r="MWD75" s="975"/>
      <c r="MWE75" s="975"/>
      <c r="MWF75" s="975"/>
      <c r="MWG75" s="975"/>
      <c r="MWH75" s="975"/>
      <c r="MWI75" s="975"/>
      <c r="MWJ75" s="975"/>
      <c r="MWK75" s="975"/>
      <c r="MWL75" s="975"/>
      <c r="MWM75" s="975"/>
      <c r="MWN75" s="975"/>
      <c r="MWO75" s="975"/>
      <c r="MWP75" s="975"/>
      <c r="MWQ75" s="975"/>
      <c r="MWR75" s="975"/>
      <c r="MWS75" s="975"/>
      <c r="MWT75" s="975"/>
      <c r="MWU75" s="975"/>
      <c r="MWV75" s="975"/>
      <c r="MWW75" s="975"/>
      <c r="MWX75" s="975"/>
      <c r="MWY75" s="975"/>
      <c r="MWZ75" s="975"/>
      <c r="MXA75" s="975"/>
      <c r="MXB75" s="975"/>
      <c r="MXC75" s="975"/>
      <c r="MXD75" s="975"/>
      <c r="MXE75" s="975"/>
      <c r="MXF75" s="975"/>
      <c r="MXG75" s="975"/>
      <c r="MXH75" s="975"/>
      <c r="MXI75" s="975"/>
      <c r="MXJ75" s="975"/>
      <c r="MXK75" s="975"/>
      <c r="MXL75" s="975"/>
      <c r="MXM75" s="975"/>
      <c r="MXN75" s="975"/>
      <c r="MXO75" s="975"/>
      <c r="MXP75" s="975"/>
      <c r="MXQ75" s="975"/>
      <c r="MXR75" s="975"/>
      <c r="MXS75" s="975"/>
      <c r="MXT75" s="975"/>
      <c r="MXU75" s="975"/>
      <c r="MXV75" s="975"/>
      <c r="MXW75" s="975"/>
      <c r="MXX75" s="975"/>
      <c r="MXY75" s="975"/>
      <c r="MXZ75" s="975"/>
      <c r="MYA75" s="975"/>
      <c r="MYB75" s="975"/>
      <c r="MYC75" s="975"/>
      <c r="MYD75" s="975"/>
      <c r="MYE75" s="975"/>
      <c r="MYF75" s="975"/>
      <c r="MYG75" s="975"/>
      <c r="MYH75" s="975"/>
      <c r="MYI75" s="975"/>
      <c r="MYJ75" s="975"/>
      <c r="MYK75" s="975"/>
      <c r="MYL75" s="975"/>
      <c r="MYM75" s="975"/>
      <c r="MYN75" s="975"/>
      <c r="MYO75" s="975"/>
      <c r="MYP75" s="975"/>
      <c r="MYQ75" s="975"/>
      <c r="MYR75" s="975"/>
      <c r="MYS75" s="975"/>
      <c r="MYT75" s="975"/>
      <c r="MYU75" s="975"/>
      <c r="MYV75" s="975"/>
      <c r="MYW75" s="975"/>
      <c r="MYX75" s="975"/>
      <c r="MYY75" s="975"/>
      <c r="MYZ75" s="975"/>
      <c r="MZA75" s="975"/>
      <c r="MZB75" s="975"/>
      <c r="MZC75" s="975"/>
      <c r="MZD75" s="975"/>
      <c r="MZE75" s="975"/>
      <c r="MZF75" s="975"/>
      <c r="MZG75" s="975"/>
      <c r="MZH75" s="975"/>
      <c r="MZI75" s="975"/>
      <c r="MZJ75" s="975"/>
      <c r="MZK75" s="975"/>
      <c r="MZL75" s="975"/>
      <c r="MZM75" s="975"/>
      <c r="MZN75" s="975"/>
      <c r="MZO75" s="975"/>
      <c r="MZP75" s="975"/>
      <c r="MZQ75" s="975"/>
      <c r="MZR75" s="975"/>
      <c r="MZS75" s="975"/>
      <c r="MZT75" s="975"/>
      <c r="MZU75" s="975"/>
      <c r="MZV75" s="975"/>
      <c r="MZW75" s="975"/>
      <c r="MZX75" s="975"/>
      <c r="MZY75" s="975"/>
      <c r="MZZ75" s="975"/>
      <c r="NAA75" s="975"/>
      <c r="NAB75" s="975"/>
      <c r="NAC75" s="975"/>
      <c r="NAD75" s="975"/>
      <c r="NAE75" s="975"/>
      <c r="NAF75" s="975"/>
      <c r="NAG75" s="975"/>
      <c r="NAH75" s="975"/>
      <c r="NAI75" s="975"/>
      <c r="NAJ75" s="975"/>
      <c r="NAK75" s="975"/>
      <c r="NAL75" s="975"/>
      <c r="NAM75" s="975"/>
      <c r="NAN75" s="975"/>
      <c r="NAO75" s="975"/>
      <c r="NAP75" s="975"/>
      <c r="NAQ75" s="975"/>
      <c r="NAR75" s="975"/>
      <c r="NAS75" s="975"/>
      <c r="NAT75" s="975"/>
      <c r="NAU75" s="975"/>
      <c r="NAV75" s="975"/>
      <c r="NAW75" s="975"/>
      <c r="NAX75" s="975"/>
      <c r="NAY75" s="975"/>
      <c r="NAZ75" s="975"/>
      <c r="NBA75" s="975"/>
      <c r="NBB75" s="975"/>
      <c r="NBC75" s="975"/>
      <c r="NBD75" s="975"/>
      <c r="NBE75" s="975"/>
      <c r="NBF75" s="975"/>
      <c r="NBG75" s="975"/>
      <c r="NBH75" s="975"/>
      <c r="NBI75" s="975"/>
      <c r="NBJ75" s="975"/>
      <c r="NBK75" s="975"/>
      <c r="NBL75" s="975"/>
      <c r="NBM75" s="975"/>
      <c r="NBN75" s="975"/>
      <c r="NBO75" s="975"/>
      <c r="NBP75" s="975"/>
      <c r="NBQ75" s="975"/>
      <c r="NBR75" s="975"/>
      <c r="NBS75" s="975"/>
      <c r="NBT75" s="975"/>
      <c r="NBU75" s="975"/>
      <c r="NBV75" s="975"/>
      <c r="NBW75" s="975"/>
      <c r="NBX75" s="975"/>
      <c r="NBY75" s="975"/>
      <c r="NBZ75" s="975"/>
      <c r="NCA75" s="975"/>
      <c r="NCB75" s="975"/>
      <c r="NCC75" s="975"/>
      <c r="NCD75" s="975"/>
      <c r="NCE75" s="975"/>
      <c r="NCF75" s="975"/>
      <c r="NCG75" s="975"/>
      <c r="NCH75" s="975"/>
      <c r="NCI75" s="975"/>
      <c r="NCJ75" s="975"/>
      <c r="NCK75" s="975"/>
      <c r="NCL75" s="975"/>
      <c r="NCM75" s="975"/>
      <c r="NCN75" s="975"/>
      <c r="NCO75" s="975"/>
      <c r="NCP75" s="975"/>
      <c r="NCQ75" s="975"/>
      <c r="NCR75" s="975"/>
      <c r="NCS75" s="975"/>
      <c r="NCT75" s="975"/>
      <c r="NCU75" s="975"/>
      <c r="NCV75" s="975"/>
      <c r="NCW75" s="975"/>
      <c r="NCX75" s="975"/>
      <c r="NCY75" s="975"/>
      <c r="NCZ75" s="975"/>
      <c r="NDA75" s="975"/>
      <c r="NDB75" s="975"/>
      <c r="NDC75" s="975"/>
      <c r="NDD75" s="975"/>
      <c r="NDE75" s="975"/>
      <c r="NDF75" s="975"/>
      <c r="NDG75" s="975"/>
      <c r="NDH75" s="975"/>
      <c r="NDI75" s="975"/>
      <c r="NDJ75" s="975"/>
      <c r="NDK75" s="975"/>
      <c r="NDL75" s="975"/>
      <c r="NDM75" s="975"/>
      <c r="NDN75" s="975"/>
      <c r="NDO75" s="975"/>
      <c r="NDP75" s="975"/>
      <c r="NDQ75" s="975"/>
      <c r="NDR75" s="975"/>
      <c r="NDS75" s="975"/>
      <c r="NDT75" s="975"/>
      <c r="NDU75" s="975"/>
      <c r="NDV75" s="975"/>
      <c r="NDW75" s="975"/>
      <c r="NDX75" s="975"/>
      <c r="NDY75" s="975"/>
      <c r="NDZ75" s="975"/>
      <c r="NEA75" s="975"/>
      <c r="NEB75" s="975"/>
      <c r="NEC75" s="975"/>
      <c r="NED75" s="975"/>
      <c r="NEE75" s="975"/>
      <c r="NEF75" s="975"/>
      <c r="NEG75" s="975"/>
      <c r="NEH75" s="975"/>
      <c r="NEI75" s="975"/>
      <c r="NEJ75" s="975"/>
      <c r="NEK75" s="975"/>
      <c r="NEL75" s="975"/>
      <c r="NEM75" s="975"/>
      <c r="NEN75" s="975"/>
      <c r="NEO75" s="975"/>
      <c r="NEP75" s="975"/>
      <c r="NEQ75" s="975"/>
      <c r="NER75" s="975"/>
      <c r="NES75" s="975"/>
      <c r="NET75" s="975"/>
      <c r="NEU75" s="975"/>
      <c r="NEV75" s="975"/>
      <c r="NEW75" s="975"/>
      <c r="NEX75" s="975"/>
      <c r="NEY75" s="975"/>
      <c r="NEZ75" s="975"/>
      <c r="NFA75" s="975"/>
      <c r="NFB75" s="975"/>
      <c r="NFC75" s="975"/>
      <c r="NFD75" s="975"/>
      <c r="NFE75" s="975"/>
      <c r="NFF75" s="975"/>
      <c r="NFG75" s="975"/>
      <c r="NFH75" s="975"/>
      <c r="NFI75" s="975"/>
      <c r="NFJ75" s="975"/>
      <c r="NFK75" s="975"/>
      <c r="NFL75" s="975"/>
      <c r="NFM75" s="975"/>
      <c r="NFN75" s="975"/>
      <c r="NFO75" s="975"/>
      <c r="NFP75" s="975"/>
      <c r="NFQ75" s="975"/>
      <c r="NFR75" s="975"/>
      <c r="NFS75" s="975"/>
      <c r="NFT75" s="975"/>
      <c r="NFU75" s="975"/>
      <c r="NFV75" s="975"/>
      <c r="NFW75" s="975"/>
      <c r="NFX75" s="975"/>
      <c r="NFY75" s="975"/>
      <c r="NFZ75" s="975"/>
      <c r="NGA75" s="975"/>
      <c r="NGB75" s="975"/>
      <c r="NGC75" s="975"/>
      <c r="NGD75" s="975"/>
      <c r="NGE75" s="975"/>
      <c r="NGF75" s="975"/>
      <c r="NGG75" s="975"/>
      <c r="NGH75" s="975"/>
      <c r="NGI75" s="975"/>
      <c r="NGJ75" s="975"/>
      <c r="NGK75" s="975"/>
      <c r="NGL75" s="975"/>
      <c r="NGM75" s="975"/>
      <c r="NGN75" s="975"/>
      <c r="NGO75" s="975"/>
      <c r="NGP75" s="975"/>
      <c r="NGQ75" s="975"/>
      <c r="NGR75" s="975"/>
      <c r="NGS75" s="975"/>
      <c r="NGT75" s="975"/>
      <c r="NGU75" s="975"/>
      <c r="NGV75" s="975"/>
      <c r="NGW75" s="975"/>
      <c r="NGX75" s="975"/>
      <c r="NGY75" s="975"/>
      <c r="NGZ75" s="975"/>
      <c r="NHA75" s="975"/>
      <c r="NHB75" s="975"/>
      <c r="NHC75" s="975"/>
      <c r="NHD75" s="975"/>
      <c r="NHE75" s="975"/>
      <c r="NHF75" s="975"/>
      <c r="NHG75" s="975"/>
      <c r="NHH75" s="975"/>
      <c r="NHI75" s="975"/>
      <c r="NHJ75" s="975"/>
      <c r="NHK75" s="975"/>
      <c r="NHL75" s="975"/>
      <c r="NHM75" s="975"/>
      <c r="NHN75" s="975"/>
      <c r="NHO75" s="975"/>
      <c r="NHP75" s="975"/>
      <c r="NHQ75" s="975"/>
      <c r="NHR75" s="975"/>
      <c r="NHS75" s="975"/>
      <c r="NHT75" s="975"/>
      <c r="NHU75" s="975"/>
      <c r="NHV75" s="975"/>
      <c r="NHW75" s="975"/>
      <c r="NHX75" s="975"/>
      <c r="NHY75" s="975"/>
      <c r="NHZ75" s="975"/>
      <c r="NIA75" s="975"/>
      <c r="NIB75" s="975"/>
      <c r="NIC75" s="975"/>
      <c r="NID75" s="975"/>
      <c r="NIE75" s="975"/>
      <c r="NIF75" s="975"/>
      <c r="NIG75" s="975"/>
      <c r="NIH75" s="975"/>
      <c r="NII75" s="975"/>
      <c r="NIJ75" s="975"/>
      <c r="NIK75" s="975"/>
      <c r="NIL75" s="975"/>
      <c r="NIM75" s="975"/>
      <c r="NIN75" s="975"/>
      <c r="NIO75" s="975"/>
      <c r="NIP75" s="975"/>
      <c r="NIQ75" s="975"/>
      <c r="NIR75" s="975"/>
      <c r="NIS75" s="975"/>
      <c r="NIT75" s="975"/>
      <c r="NIU75" s="975"/>
      <c r="NIV75" s="975"/>
      <c r="NIW75" s="975"/>
      <c r="NIX75" s="975"/>
      <c r="NIY75" s="975"/>
      <c r="NIZ75" s="975"/>
      <c r="NJA75" s="975"/>
      <c r="NJB75" s="975"/>
      <c r="NJC75" s="975"/>
      <c r="NJD75" s="975"/>
      <c r="NJE75" s="975"/>
      <c r="NJF75" s="975"/>
      <c r="NJG75" s="975"/>
      <c r="NJH75" s="975"/>
      <c r="NJI75" s="975"/>
      <c r="NJJ75" s="975"/>
      <c r="NJK75" s="975"/>
      <c r="NJL75" s="975"/>
      <c r="NJM75" s="975"/>
      <c r="NJN75" s="975"/>
      <c r="NJO75" s="975"/>
      <c r="NJP75" s="975"/>
      <c r="NJQ75" s="975"/>
      <c r="NJR75" s="975"/>
      <c r="NJS75" s="975"/>
      <c r="NJT75" s="975"/>
      <c r="NJU75" s="975"/>
      <c r="NJV75" s="975"/>
      <c r="NJW75" s="975"/>
      <c r="NJX75" s="975"/>
      <c r="NJY75" s="975"/>
      <c r="NJZ75" s="975"/>
      <c r="NKA75" s="975"/>
      <c r="NKB75" s="975"/>
      <c r="NKC75" s="975"/>
      <c r="NKD75" s="975"/>
      <c r="NKE75" s="975"/>
      <c r="NKF75" s="975"/>
      <c r="NKG75" s="975"/>
      <c r="NKH75" s="975"/>
      <c r="NKI75" s="975"/>
      <c r="NKJ75" s="975"/>
      <c r="NKK75" s="975"/>
      <c r="NKL75" s="975"/>
      <c r="NKM75" s="975"/>
      <c r="NKN75" s="975"/>
      <c r="NKO75" s="975"/>
      <c r="NKP75" s="975"/>
      <c r="NKQ75" s="975"/>
      <c r="NKR75" s="975"/>
      <c r="NKS75" s="975"/>
      <c r="NKT75" s="975"/>
      <c r="NKU75" s="975"/>
      <c r="NKV75" s="975"/>
      <c r="NKW75" s="975"/>
      <c r="NKX75" s="975"/>
      <c r="NKY75" s="975"/>
      <c r="NKZ75" s="975"/>
      <c r="NLA75" s="975"/>
      <c r="NLB75" s="975"/>
      <c r="NLC75" s="975"/>
      <c r="NLD75" s="975"/>
      <c r="NLE75" s="975"/>
      <c r="NLF75" s="975"/>
      <c r="NLG75" s="975"/>
      <c r="NLH75" s="975"/>
      <c r="NLI75" s="975"/>
      <c r="NLJ75" s="975"/>
      <c r="NLK75" s="975"/>
      <c r="NLL75" s="975"/>
      <c r="NLM75" s="975"/>
      <c r="NLN75" s="975"/>
      <c r="NLO75" s="975"/>
      <c r="NLP75" s="975"/>
      <c r="NLQ75" s="975"/>
      <c r="NLR75" s="975"/>
      <c r="NLS75" s="975"/>
      <c r="NLT75" s="975"/>
      <c r="NLU75" s="975"/>
      <c r="NLV75" s="975"/>
      <c r="NLW75" s="975"/>
      <c r="NLX75" s="975"/>
      <c r="NLY75" s="975"/>
      <c r="NLZ75" s="975"/>
      <c r="NMA75" s="975"/>
      <c r="NMB75" s="975"/>
      <c r="NMC75" s="975"/>
      <c r="NMD75" s="975"/>
      <c r="NME75" s="975"/>
      <c r="NMF75" s="975"/>
      <c r="NMG75" s="975"/>
      <c r="NMH75" s="975"/>
      <c r="NMI75" s="975"/>
      <c r="NMJ75" s="975"/>
      <c r="NMK75" s="975"/>
      <c r="NML75" s="975"/>
      <c r="NMM75" s="975"/>
      <c r="NMN75" s="975"/>
      <c r="NMO75" s="975"/>
      <c r="NMP75" s="975"/>
      <c r="NMQ75" s="975"/>
      <c r="NMR75" s="975"/>
      <c r="NMS75" s="975"/>
      <c r="NMT75" s="975"/>
      <c r="NMU75" s="975"/>
      <c r="NMV75" s="975"/>
      <c r="NMW75" s="975"/>
      <c r="NMX75" s="975"/>
      <c r="NMY75" s="975"/>
      <c r="NMZ75" s="975"/>
      <c r="NNA75" s="975"/>
      <c r="NNB75" s="975"/>
      <c r="NNC75" s="975"/>
      <c r="NND75" s="975"/>
      <c r="NNE75" s="975"/>
      <c r="NNF75" s="975"/>
      <c r="NNG75" s="975"/>
      <c r="NNH75" s="975"/>
      <c r="NNI75" s="975"/>
      <c r="NNJ75" s="975"/>
      <c r="NNK75" s="975"/>
      <c r="NNL75" s="975"/>
      <c r="NNM75" s="975"/>
      <c r="NNN75" s="975"/>
      <c r="NNO75" s="975"/>
      <c r="NNP75" s="975"/>
      <c r="NNQ75" s="975"/>
      <c r="NNR75" s="975"/>
      <c r="NNS75" s="975"/>
      <c r="NNT75" s="975"/>
      <c r="NNU75" s="975"/>
      <c r="NNV75" s="975"/>
      <c r="NNW75" s="975"/>
      <c r="NNX75" s="975"/>
      <c r="NNY75" s="975"/>
      <c r="NNZ75" s="975"/>
      <c r="NOA75" s="975"/>
      <c r="NOB75" s="975"/>
      <c r="NOC75" s="975"/>
      <c r="NOD75" s="975"/>
      <c r="NOE75" s="975"/>
      <c r="NOF75" s="975"/>
      <c r="NOG75" s="975"/>
      <c r="NOH75" s="975"/>
      <c r="NOI75" s="975"/>
      <c r="NOJ75" s="975"/>
      <c r="NOK75" s="975"/>
      <c r="NOL75" s="975"/>
      <c r="NOM75" s="975"/>
      <c r="NON75" s="975"/>
      <c r="NOO75" s="975"/>
      <c r="NOP75" s="975"/>
      <c r="NOQ75" s="975"/>
      <c r="NOR75" s="975"/>
      <c r="NOS75" s="975"/>
      <c r="NOT75" s="975"/>
      <c r="NOU75" s="975"/>
      <c r="NOV75" s="975"/>
      <c r="NOW75" s="975"/>
      <c r="NOX75" s="975"/>
      <c r="NOY75" s="975"/>
      <c r="NOZ75" s="975"/>
      <c r="NPA75" s="975"/>
      <c r="NPB75" s="975"/>
      <c r="NPC75" s="975"/>
      <c r="NPD75" s="975"/>
      <c r="NPE75" s="975"/>
      <c r="NPF75" s="975"/>
      <c r="NPG75" s="975"/>
      <c r="NPH75" s="975"/>
      <c r="NPI75" s="975"/>
      <c r="NPJ75" s="975"/>
      <c r="NPK75" s="975"/>
      <c r="NPL75" s="975"/>
      <c r="NPM75" s="975"/>
      <c r="NPN75" s="975"/>
      <c r="NPO75" s="975"/>
      <c r="NPP75" s="975"/>
      <c r="NPQ75" s="975"/>
      <c r="NPR75" s="975"/>
      <c r="NPS75" s="975"/>
      <c r="NPT75" s="975"/>
      <c r="NPU75" s="975"/>
      <c r="NPV75" s="975"/>
      <c r="NPW75" s="975"/>
      <c r="NPX75" s="975"/>
      <c r="NPY75" s="975"/>
      <c r="NPZ75" s="975"/>
      <c r="NQA75" s="975"/>
      <c r="NQB75" s="975"/>
      <c r="NQC75" s="975"/>
      <c r="NQD75" s="975"/>
      <c r="NQE75" s="975"/>
      <c r="NQF75" s="975"/>
      <c r="NQG75" s="975"/>
      <c r="NQH75" s="975"/>
      <c r="NQI75" s="975"/>
      <c r="NQJ75" s="975"/>
      <c r="NQK75" s="975"/>
      <c r="NQL75" s="975"/>
      <c r="NQM75" s="975"/>
      <c r="NQN75" s="975"/>
      <c r="NQO75" s="975"/>
      <c r="NQP75" s="975"/>
      <c r="NQQ75" s="975"/>
      <c r="NQR75" s="975"/>
      <c r="NQS75" s="975"/>
      <c r="NQT75" s="975"/>
      <c r="NQU75" s="975"/>
      <c r="NQV75" s="975"/>
      <c r="NQW75" s="975"/>
      <c r="NQX75" s="975"/>
      <c r="NQY75" s="975"/>
      <c r="NQZ75" s="975"/>
      <c r="NRA75" s="975"/>
      <c r="NRB75" s="975"/>
      <c r="NRC75" s="975"/>
      <c r="NRD75" s="975"/>
      <c r="NRE75" s="975"/>
      <c r="NRF75" s="975"/>
      <c r="NRG75" s="975"/>
      <c r="NRH75" s="975"/>
      <c r="NRI75" s="975"/>
      <c r="NRJ75" s="975"/>
      <c r="NRK75" s="975"/>
      <c r="NRL75" s="975"/>
      <c r="NRM75" s="975"/>
      <c r="NRN75" s="975"/>
      <c r="NRO75" s="975"/>
      <c r="NRP75" s="975"/>
      <c r="NRQ75" s="975"/>
      <c r="NRR75" s="975"/>
      <c r="NRS75" s="975"/>
      <c r="NRT75" s="975"/>
      <c r="NRU75" s="975"/>
      <c r="NRV75" s="975"/>
      <c r="NRW75" s="975"/>
      <c r="NRX75" s="975"/>
      <c r="NRY75" s="975"/>
      <c r="NRZ75" s="975"/>
      <c r="NSA75" s="975"/>
      <c r="NSB75" s="975"/>
      <c r="NSC75" s="975"/>
      <c r="NSD75" s="975"/>
      <c r="NSE75" s="975"/>
      <c r="NSF75" s="975"/>
      <c r="NSG75" s="975"/>
      <c r="NSH75" s="975"/>
      <c r="NSI75" s="975"/>
      <c r="NSJ75" s="975"/>
      <c r="NSK75" s="975"/>
      <c r="NSL75" s="975"/>
      <c r="NSM75" s="975"/>
      <c r="NSN75" s="975"/>
      <c r="NSO75" s="975"/>
      <c r="NSP75" s="975"/>
      <c r="NSQ75" s="975"/>
      <c r="NSR75" s="975"/>
      <c r="NSS75" s="975"/>
      <c r="NST75" s="975"/>
      <c r="NSU75" s="975"/>
      <c r="NSV75" s="975"/>
      <c r="NSW75" s="975"/>
      <c r="NSX75" s="975"/>
      <c r="NSY75" s="975"/>
      <c r="NSZ75" s="975"/>
      <c r="NTA75" s="975"/>
      <c r="NTB75" s="975"/>
      <c r="NTC75" s="975"/>
      <c r="NTD75" s="975"/>
      <c r="NTE75" s="975"/>
      <c r="NTF75" s="975"/>
      <c r="NTG75" s="975"/>
      <c r="NTH75" s="975"/>
      <c r="NTI75" s="975"/>
      <c r="NTJ75" s="975"/>
      <c r="NTK75" s="975"/>
      <c r="NTL75" s="975"/>
      <c r="NTM75" s="975"/>
      <c r="NTN75" s="975"/>
      <c r="NTO75" s="975"/>
      <c r="NTP75" s="975"/>
      <c r="NTQ75" s="975"/>
      <c r="NTR75" s="975"/>
      <c r="NTS75" s="975"/>
      <c r="NTT75" s="975"/>
      <c r="NTU75" s="975"/>
      <c r="NTV75" s="975"/>
      <c r="NTW75" s="975"/>
      <c r="NTX75" s="975"/>
      <c r="NTY75" s="975"/>
      <c r="NTZ75" s="975"/>
      <c r="NUA75" s="975"/>
      <c r="NUB75" s="975"/>
      <c r="NUC75" s="975"/>
      <c r="NUD75" s="975"/>
      <c r="NUE75" s="975"/>
      <c r="NUF75" s="975"/>
      <c r="NUG75" s="975"/>
      <c r="NUH75" s="975"/>
      <c r="NUI75" s="975"/>
      <c r="NUJ75" s="975"/>
      <c r="NUK75" s="975"/>
      <c r="NUL75" s="975"/>
      <c r="NUM75" s="975"/>
      <c r="NUN75" s="975"/>
      <c r="NUO75" s="975"/>
      <c r="NUP75" s="975"/>
      <c r="NUQ75" s="975"/>
      <c r="NUR75" s="975"/>
      <c r="NUS75" s="975"/>
      <c r="NUT75" s="975"/>
      <c r="NUU75" s="975"/>
      <c r="NUV75" s="975"/>
      <c r="NUW75" s="975"/>
      <c r="NUX75" s="975"/>
      <c r="NUY75" s="975"/>
      <c r="NUZ75" s="975"/>
      <c r="NVA75" s="975"/>
      <c r="NVB75" s="975"/>
      <c r="NVC75" s="975"/>
      <c r="NVD75" s="975"/>
      <c r="NVE75" s="975"/>
      <c r="NVF75" s="975"/>
      <c r="NVG75" s="975"/>
      <c r="NVH75" s="975"/>
      <c r="NVI75" s="975"/>
      <c r="NVJ75" s="975"/>
      <c r="NVK75" s="975"/>
      <c r="NVL75" s="975"/>
      <c r="NVM75" s="975"/>
      <c r="NVN75" s="975"/>
      <c r="NVO75" s="975"/>
      <c r="NVP75" s="975"/>
      <c r="NVQ75" s="975"/>
      <c r="NVR75" s="975"/>
      <c r="NVS75" s="975"/>
      <c r="NVT75" s="975"/>
      <c r="NVU75" s="975"/>
      <c r="NVV75" s="975"/>
      <c r="NVW75" s="975"/>
      <c r="NVX75" s="975"/>
      <c r="NVY75" s="975"/>
      <c r="NVZ75" s="975"/>
      <c r="NWA75" s="975"/>
      <c r="NWB75" s="975"/>
      <c r="NWC75" s="975"/>
      <c r="NWD75" s="975"/>
      <c r="NWE75" s="975"/>
      <c r="NWF75" s="975"/>
      <c r="NWG75" s="975"/>
      <c r="NWH75" s="975"/>
      <c r="NWI75" s="975"/>
      <c r="NWJ75" s="975"/>
      <c r="NWK75" s="975"/>
      <c r="NWL75" s="975"/>
      <c r="NWM75" s="975"/>
      <c r="NWN75" s="975"/>
      <c r="NWO75" s="975"/>
      <c r="NWP75" s="975"/>
      <c r="NWQ75" s="975"/>
      <c r="NWR75" s="975"/>
      <c r="NWS75" s="975"/>
      <c r="NWT75" s="975"/>
      <c r="NWU75" s="975"/>
      <c r="NWV75" s="975"/>
      <c r="NWW75" s="975"/>
      <c r="NWX75" s="975"/>
      <c r="NWY75" s="975"/>
      <c r="NWZ75" s="975"/>
      <c r="NXA75" s="975"/>
      <c r="NXB75" s="975"/>
      <c r="NXC75" s="975"/>
      <c r="NXD75" s="975"/>
      <c r="NXE75" s="975"/>
      <c r="NXF75" s="975"/>
      <c r="NXG75" s="975"/>
      <c r="NXH75" s="975"/>
      <c r="NXI75" s="975"/>
      <c r="NXJ75" s="975"/>
      <c r="NXK75" s="975"/>
      <c r="NXL75" s="975"/>
      <c r="NXM75" s="975"/>
      <c r="NXN75" s="975"/>
      <c r="NXO75" s="975"/>
      <c r="NXP75" s="975"/>
      <c r="NXQ75" s="975"/>
      <c r="NXR75" s="975"/>
      <c r="NXS75" s="975"/>
      <c r="NXT75" s="975"/>
      <c r="NXU75" s="975"/>
      <c r="NXV75" s="975"/>
      <c r="NXW75" s="975"/>
      <c r="NXX75" s="975"/>
      <c r="NXY75" s="975"/>
      <c r="NXZ75" s="975"/>
      <c r="NYA75" s="975"/>
      <c r="NYB75" s="975"/>
      <c r="NYC75" s="975"/>
      <c r="NYD75" s="975"/>
      <c r="NYE75" s="975"/>
      <c r="NYF75" s="975"/>
      <c r="NYG75" s="975"/>
      <c r="NYH75" s="975"/>
      <c r="NYI75" s="975"/>
      <c r="NYJ75" s="975"/>
      <c r="NYK75" s="975"/>
      <c r="NYL75" s="975"/>
      <c r="NYM75" s="975"/>
      <c r="NYN75" s="975"/>
      <c r="NYO75" s="975"/>
      <c r="NYP75" s="975"/>
      <c r="NYQ75" s="975"/>
      <c r="NYR75" s="975"/>
      <c r="NYS75" s="975"/>
      <c r="NYT75" s="975"/>
      <c r="NYU75" s="975"/>
      <c r="NYV75" s="975"/>
      <c r="NYW75" s="975"/>
      <c r="NYX75" s="975"/>
      <c r="NYY75" s="975"/>
      <c r="NYZ75" s="975"/>
      <c r="NZA75" s="975"/>
      <c r="NZB75" s="975"/>
      <c r="NZC75" s="975"/>
      <c r="NZD75" s="975"/>
      <c r="NZE75" s="975"/>
      <c r="NZF75" s="975"/>
      <c r="NZG75" s="975"/>
      <c r="NZH75" s="975"/>
      <c r="NZI75" s="975"/>
      <c r="NZJ75" s="975"/>
      <c r="NZK75" s="975"/>
      <c r="NZL75" s="975"/>
      <c r="NZM75" s="975"/>
      <c r="NZN75" s="975"/>
      <c r="NZO75" s="975"/>
      <c r="NZP75" s="975"/>
      <c r="NZQ75" s="975"/>
      <c r="NZR75" s="975"/>
      <c r="NZS75" s="975"/>
      <c r="NZT75" s="975"/>
      <c r="NZU75" s="975"/>
      <c r="NZV75" s="975"/>
      <c r="NZW75" s="975"/>
      <c r="NZX75" s="975"/>
      <c r="NZY75" s="975"/>
      <c r="NZZ75" s="975"/>
      <c r="OAA75" s="975"/>
      <c r="OAB75" s="975"/>
      <c r="OAC75" s="975"/>
      <c r="OAD75" s="975"/>
      <c r="OAE75" s="975"/>
      <c r="OAF75" s="975"/>
      <c r="OAG75" s="975"/>
      <c r="OAH75" s="975"/>
      <c r="OAI75" s="975"/>
      <c r="OAJ75" s="975"/>
      <c r="OAK75" s="975"/>
      <c r="OAL75" s="975"/>
      <c r="OAM75" s="975"/>
      <c r="OAN75" s="975"/>
      <c r="OAO75" s="975"/>
      <c r="OAP75" s="975"/>
      <c r="OAQ75" s="975"/>
      <c r="OAR75" s="975"/>
      <c r="OAS75" s="975"/>
      <c r="OAT75" s="975"/>
      <c r="OAU75" s="975"/>
      <c r="OAV75" s="975"/>
      <c r="OAW75" s="975"/>
      <c r="OAX75" s="975"/>
      <c r="OAY75" s="975"/>
      <c r="OAZ75" s="975"/>
      <c r="OBA75" s="975"/>
      <c r="OBB75" s="975"/>
      <c r="OBC75" s="975"/>
      <c r="OBD75" s="975"/>
      <c r="OBE75" s="975"/>
      <c r="OBF75" s="975"/>
      <c r="OBG75" s="975"/>
      <c r="OBH75" s="975"/>
      <c r="OBI75" s="975"/>
      <c r="OBJ75" s="975"/>
      <c r="OBK75" s="975"/>
      <c r="OBL75" s="975"/>
      <c r="OBM75" s="975"/>
      <c r="OBN75" s="975"/>
      <c r="OBO75" s="975"/>
      <c r="OBP75" s="975"/>
      <c r="OBQ75" s="975"/>
      <c r="OBR75" s="975"/>
      <c r="OBS75" s="975"/>
      <c r="OBT75" s="975"/>
      <c r="OBU75" s="975"/>
      <c r="OBV75" s="975"/>
      <c r="OBW75" s="975"/>
      <c r="OBX75" s="975"/>
      <c r="OBY75" s="975"/>
      <c r="OBZ75" s="975"/>
      <c r="OCA75" s="975"/>
      <c r="OCB75" s="975"/>
      <c r="OCC75" s="975"/>
      <c r="OCD75" s="975"/>
      <c r="OCE75" s="975"/>
      <c r="OCF75" s="975"/>
      <c r="OCG75" s="975"/>
      <c r="OCH75" s="975"/>
      <c r="OCI75" s="975"/>
      <c r="OCJ75" s="975"/>
      <c r="OCK75" s="975"/>
      <c r="OCL75" s="975"/>
      <c r="OCM75" s="975"/>
      <c r="OCN75" s="975"/>
      <c r="OCO75" s="975"/>
      <c r="OCP75" s="975"/>
      <c r="OCQ75" s="975"/>
      <c r="OCR75" s="975"/>
      <c r="OCS75" s="975"/>
      <c r="OCT75" s="975"/>
      <c r="OCU75" s="975"/>
      <c r="OCV75" s="975"/>
      <c r="OCW75" s="975"/>
      <c r="OCX75" s="975"/>
      <c r="OCY75" s="975"/>
      <c r="OCZ75" s="975"/>
      <c r="ODA75" s="975"/>
      <c r="ODB75" s="975"/>
      <c r="ODC75" s="975"/>
      <c r="ODD75" s="975"/>
      <c r="ODE75" s="975"/>
      <c r="ODF75" s="975"/>
      <c r="ODG75" s="975"/>
      <c r="ODH75" s="975"/>
      <c r="ODI75" s="975"/>
      <c r="ODJ75" s="975"/>
      <c r="ODK75" s="975"/>
      <c r="ODL75" s="975"/>
      <c r="ODM75" s="975"/>
      <c r="ODN75" s="975"/>
      <c r="ODO75" s="975"/>
      <c r="ODP75" s="975"/>
      <c r="ODQ75" s="975"/>
      <c r="ODR75" s="975"/>
      <c r="ODS75" s="975"/>
      <c r="ODT75" s="975"/>
      <c r="ODU75" s="975"/>
      <c r="ODV75" s="975"/>
      <c r="ODW75" s="975"/>
      <c r="ODX75" s="975"/>
      <c r="ODY75" s="975"/>
      <c r="ODZ75" s="975"/>
      <c r="OEA75" s="975"/>
      <c r="OEB75" s="975"/>
      <c r="OEC75" s="975"/>
      <c r="OED75" s="975"/>
      <c r="OEE75" s="975"/>
      <c r="OEF75" s="975"/>
      <c r="OEG75" s="975"/>
      <c r="OEH75" s="975"/>
      <c r="OEI75" s="975"/>
      <c r="OEJ75" s="975"/>
      <c r="OEK75" s="975"/>
      <c r="OEL75" s="975"/>
      <c r="OEM75" s="975"/>
      <c r="OEN75" s="975"/>
      <c r="OEO75" s="975"/>
      <c r="OEP75" s="975"/>
      <c r="OEQ75" s="975"/>
      <c r="OER75" s="975"/>
      <c r="OES75" s="975"/>
      <c r="OET75" s="975"/>
      <c r="OEU75" s="975"/>
      <c r="OEV75" s="975"/>
      <c r="OEW75" s="975"/>
      <c r="OEX75" s="975"/>
      <c r="OEY75" s="975"/>
      <c r="OEZ75" s="975"/>
      <c r="OFA75" s="975"/>
      <c r="OFB75" s="975"/>
      <c r="OFC75" s="975"/>
      <c r="OFD75" s="975"/>
      <c r="OFE75" s="975"/>
      <c r="OFF75" s="975"/>
      <c r="OFG75" s="975"/>
      <c r="OFH75" s="975"/>
      <c r="OFI75" s="975"/>
      <c r="OFJ75" s="975"/>
      <c r="OFK75" s="975"/>
      <c r="OFL75" s="975"/>
      <c r="OFM75" s="975"/>
      <c r="OFN75" s="975"/>
      <c r="OFO75" s="975"/>
      <c r="OFP75" s="975"/>
      <c r="OFQ75" s="975"/>
      <c r="OFR75" s="975"/>
      <c r="OFS75" s="975"/>
      <c r="OFT75" s="975"/>
      <c r="OFU75" s="975"/>
      <c r="OFV75" s="975"/>
      <c r="OFW75" s="975"/>
      <c r="OFX75" s="975"/>
      <c r="OFY75" s="975"/>
      <c r="OFZ75" s="975"/>
      <c r="OGA75" s="975"/>
      <c r="OGB75" s="975"/>
      <c r="OGC75" s="975"/>
      <c r="OGD75" s="975"/>
      <c r="OGE75" s="975"/>
      <c r="OGF75" s="975"/>
      <c r="OGG75" s="975"/>
      <c r="OGH75" s="975"/>
      <c r="OGI75" s="975"/>
      <c r="OGJ75" s="975"/>
      <c r="OGK75" s="975"/>
      <c r="OGL75" s="975"/>
      <c r="OGM75" s="975"/>
      <c r="OGN75" s="975"/>
      <c r="OGO75" s="975"/>
      <c r="OGP75" s="975"/>
      <c r="OGQ75" s="975"/>
      <c r="OGR75" s="975"/>
      <c r="OGS75" s="975"/>
      <c r="OGT75" s="975"/>
      <c r="OGU75" s="975"/>
      <c r="OGV75" s="975"/>
      <c r="OGW75" s="975"/>
      <c r="OGX75" s="975"/>
      <c r="OGY75" s="975"/>
      <c r="OGZ75" s="975"/>
      <c r="OHA75" s="975"/>
      <c r="OHB75" s="975"/>
      <c r="OHC75" s="975"/>
      <c r="OHD75" s="975"/>
      <c r="OHE75" s="975"/>
      <c r="OHF75" s="975"/>
      <c r="OHG75" s="975"/>
      <c r="OHH75" s="975"/>
      <c r="OHI75" s="975"/>
      <c r="OHJ75" s="975"/>
      <c r="OHK75" s="975"/>
      <c r="OHL75" s="975"/>
      <c r="OHM75" s="975"/>
      <c r="OHN75" s="975"/>
      <c r="OHO75" s="975"/>
      <c r="OHP75" s="975"/>
      <c r="OHQ75" s="975"/>
      <c r="OHR75" s="975"/>
      <c r="OHS75" s="975"/>
      <c r="OHT75" s="975"/>
      <c r="OHU75" s="975"/>
      <c r="OHV75" s="975"/>
      <c r="OHW75" s="975"/>
      <c r="OHX75" s="975"/>
      <c r="OHY75" s="975"/>
      <c r="OHZ75" s="975"/>
      <c r="OIA75" s="975"/>
      <c r="OIB75" s="975"/>
      <c r="OIC75" s="975"/>
      <c r="OID75" s="975"/>
      <c r="OIE75" s="975"/>
      <c r="OIF75" s="975"/>
      <c r="OIG75" s="975"/>
      <c r="OIH75" s="975"/>
      <c r="OII75" s="975"/>
      <c r="OIJ75" s="975"/>
      <c r="OIK75" s="975"/>
      <c r="OIL75" s="975"/>
      <c r="OIM75" s="975"/>
      <c r="OIN75" s="975"/>
      <c r="OIO75" s="975"/>
      <c r="OIP75" s="975"/>
      <c r="OIQ75" s="975"/>
      <c r="OIR75" s="975"/>
      <c r="OIS75" s="975"/>
      <c r="OIT75" s="975"/>
      <c r="OIU75" s="975"/>
      <c r="OIV75" s="975"/>
      <c r="OIW75" s="975"/>
      <c r="OIX75" s="975"/>
      <c r="OIY75" s="975"/>
      <c r="OIZ75" s="975"/>
      <c r="OJA75" s="975"/>
      <c r="OJB75" s="975"/>
      <c r="OJC75" s="975"/>
      <c r="OJD75" s="975"/>
      <c r="OJE75" s="975"/>
      <c r="OJF75" s="975"/>
      <c r="OJG75" s="975"/>
      <c r="OJH75" s="975"/>
      <c r="OJI75" s="975"/>
      <c r="OJJ75" s="975"/>
      <c r="OJK75" s="975"/>
      <c r="OJL75" s="975"/>
      <c r="OJM75" s="975"/>
      <c r="OJN75" s="975"/>
      <c r="OJO75" s="975"/>
      <c r="OJP75" s="975"/>
      <c r="OJQ75" s="975"/>
      <c r="OJR75" s="975"/>
      <c r="OJS75" s="975"/>
      <c r="OJT75" s="975"/>
      <c r="OJU75" s="975"/>
      <c r="OJV75" s="975"/>
      <c r="OJW75" s="975"/>
      <c r="OJX75" s="975"/>
      <c r="OJY75" s="975"/>
      <c r="OJZ75" s="975"/>
      <c r="OKA75" s="975"/>
      <c r="OKB75" s="975"/>
      <c r="OKC75" s="975"/>
      <c r="OKD75" s="975"/>
      <c r="OKE75" s="975"/>
      <c r="OKF75" s="975"/>
      <c r="OKG75" s="975"/>
      <c r="OKH75" s="975"/>
      <c r="OKI75" s="975"/>
      <c r="OKJ75" s="975"/>
      <c r="OKK75" s="975"/>
      <c r="OKL75" s="975"/>
      <c r="OKM75" s="975"/>
      <c r="OKN75" s="975"/>
      <c r="OKO75" s="975"/>
      <c r="OKP75" s="975"/>
      <c r="OKQ75" s="975"/>
      <c r="OKR75" s="975"/>
      <c r="OKS75" s="975"/>
      <c r="OKT75" s="975"/>
      <c r="OKU75" s="975"/>
      <c r="OKV75" s="975"/>
      <c r="OKW75" s="975"/>
      <c r="OKX75" s="975"/>
      <c r="OKY75" s="975"/>
      <c r="OKZ75" s="975"/>
      <c r="OLA75" s="975"/>
      <c r="OLB75" s="975"/>
      <c r="OLC75" s="975"/>
      <c r="OLD75" s="975"/>
      <c r="OLE75" s="975"/>
      <c r="OLF75" s="975"/>
      <c r="OLG75" s="975"/>
      <c r="OLH75" s="975"/>
      <c r="OLI75" s="975"/>
      <c r="OLJ75" s="975"/>
      <c r="OLK75" s="975"/>
      <c r="OLL75" s="975"/>
      <c r="OLM75" s="975"/>
      <c r="OLN75" s="975"/>
      <c r="OLO75" s="975"/>
      <c r="OLP75" s="975"/>
      <c r="OLQ75" s="975"/>
      <c r="OLR75" s="975"/>
      <c r="OLS75" s="975"/>
      <c r="OLT75" s="975"/>
      <c r="OLU75" s="975"/>
      <c r="OLV75" s="975"/>
      <c r="OLW75" s="975"/>
      <c r="OLX75" s="975"/>
      <c r="OLY75" s="975"/>
      <c r="OLZ75" s="975"/>
      <c r="OMA75" s="975"/>
      <c r="OMB75" s="975"/>
      <c r="OMC75" s="975"/>
      <c r="OMD75" s="975"/>
      <c r="OME75" s="975"/>
      <c r="OMF75" s="975"/>
      <c r="OMG75" s="975"/>
      <c r="OMH75" s="975"/>
      <c r="OMI75" s="975"/>
      <c r="OMJ75" s="975"/>
      <c r="OMK75" s="975"/>
      <c r="OML75" s="975"/>
      <c r="OMM75" s="975"/>
      <c r="OMN75" s="975"/>
      <c r="OMO75" s="975"/>
      <c r="OMP75" s="975"/>
      <c r="OMQ75" s="975"/>
      <c r="OMR75" s="975"/>
      <c r="OMS75" s="975"/>
      <c r="OMT75" s="975"/>
      <c r="OMU75" s="975"/>
      <c r="OMV75" s="975"/>
      <c r="OMW75" s="975"/>
      <c r="OMX75" s="975"/>
      <c r="OMY75" s="975"/>
      <c r="OMZ75" s="975"/>
      <c r="ONA75" s="975"/>
      <c r="ONB75" s="975"/>
      <c r="ONC75" s="975"/>
      <c r="OND75" s="975"/>
      <c r="ONE75" s="975"/>
      <c r="ONF75" s="975"/>
      <c r="ONG75" s="975"/>
      <c r="ONH75" s="975"/>
      <c r="ONI75" s="975"/>
      <c r="ONJ75" s="975"/>
      <c r="ONK75" s="975"/>
      <c r="ONL75" s="975"/>
      <c r="ONM75" s="975"/>
      <c r="ONN75" s="975"/>
      <c r="ONO75" s="975"/>
      <c r="ONP75" s="975"/>
      <c r="ONQ75" s="975"/>
      <c r="ONR75" s="975"/>
      <c r="ONS75" s="975"/>
      <c r="ONT75" s="975"/>
      <c r="ONU75" s="975"/>
      <c r="ONV75" s="975"/>
      <c r="ONW75" s="975"/>
      <c r="ONX75" s="975"/>
      <c r="ONY75" s="975"/>
      <c r="ONZ75" s="975"/>
      <c r="OOA75" s="975"/>
      <c r="OOB75" s="975"/>
      <c r="OOC75" s="975"/>
      <c r="OOD75" s="975"/>
      <c r="OOE75" s="975"/>
      <c r="OOF75" s="975"/>
      <c r="OOG75" s="975"/>
      <c r="OOH75" s="975"/>
      <c r="OOI75" s="975"/>
      <c r="OOJ75" s="975"/>
      <c r="OOK75" s="975"/>
      <c r="OOL75" s="975"/>
      <c r="OOM75" s="975"/>
      <c r="OON75" s="975"/>
      <c r="OOO75" s="975"/>
      <c r="OOP75" s="975"/>
      <c r="OOQ75" s="975"/>
      <c r="OOR75" s="975"/>
      <c r="OOS75" s="975"/>
      <c r="OOT75" s="975"/>
      <c r="OOU75" s="975"/>
      <c r="OOV75" s="975"/>
      <c r="OOW75" s="975"/>
      <c r="OOX75" s="975"/>
      <c r="OOY75" s="975"/>
      <c r="OOZ75" s="975"/>
      <c r="OPA75" s="975"/>
      <c r="OPB75" s="975"/>
      <c r="OPC75" s="975"/>
      <c r="OPD75" s="975"/>
      <c r="OPE75" s="975"/>
      <c r="OPF75" s="975"/>
      <c r="OPG75" s="975"/>
      <c r="OPH75" s="975"/>
      <c r="OPI75" s="975"/>
      <c r="OPJ75" s="975"/>
      <c r="OPK75" s="975"/>
      <c r="OPL75" s="975"/>
      <c r="OPM75" s="975"/>
      <c r="OPN75" s="975"/>
      <c r="OPO75" s="975"/>
      <c r="OPP75" s="975"/>
      <c r="OPQ75" s="975"/>
      <c r="OPR75" s="975"/>
      <c r="OPS75" s="975"/>
      <c r="OPT75" s="975"/>
      <c r="OPU75" s="975"/>
      <c r="OPV75" s="975"/>
      <c r="OPW75" s="975"/>
      <c r="OPX75" s="975"/>
      <c r="OPY75" s="975"/>
      <c r="OPZ75" s="975"/>
      <c r="OQA75" s="975"/>
      <c r="OQB75" s="975"/>
      <c r="OQC75" s="975"/>
      <c r="OQD75" s="975"/>
      <c r="OQE75" s="975"/>
      <c r="OQF75" s="975"/>
      <c r="OQG75" s="975"/>
      <c r="OQH75" s="975"/>
      <c r="OQI75" s="975"/>
      <c r="OQJ75" s="975"/>
      <c r="OQK75" s="975"/>
      <c r="OQL75" s="975"/>
      <c r="OQM75" s="975"/>
      <c r="OQN75" s="975"/>
      <c r="OQO75" s="975"/>
      <c r="OQP75" s="975"/>
      <c r="OQQ75" s="975"/>
      <c r="OQR75" s="975"/>
      <c r="OQS75" s="975"/>
      <c r="OQT75" s="975"/>
      <c r="OQU75" s="975"/>
      <c r="OQV75" s="975"/>
      <c r="OQW75" s="975"/>
      <c r="OQX75" s="975"/>
      <c r="OQY75" s="975"/>
      <c r="OQZ75" s="975"/>
      <c r="ORA75" s="975"/>
      <c r="ORB75" s="975"/>
      <c r="ORC75" s="975"/>
      <c r="ORD75" s="975"/>
      <c r="ORE75" s="975"/>
      <c r="ORF75" s="975"/>
      <c r="ORG75" s="975"/>
      <c r="ORH75" s="975"/>
      <c r="ORI75" s="975"/>
      <c r="ORJ75" s="975"/>
      <c r="ORK75" s="975"/>
      <c r="ORL75" s="975"/>
      <c r="ORM75" s="975"/>
      <c r="ORN75" s="975"/>
      <c r="ORO75" s="975"/>
      <c r="ORP75" s="975"/>
      <c r="ORQ75" s="975"/>
      <c r="ORR75" s="975"/>
      <c r="ORS75" s="975"/>
      <c r="ORT75" s="975"/>
      <c r="ORU75" s="975"/>
      <c r="ORV75" s="975"/>
      <c r="ORW75" s="975"/>
      <c r="ORX75" s="975"/>
      <c r="ORY75" s="975"/>
      <c r="ORZ75" s="975"/>
      <c r="OSA75" s="975"/>
      <c r="OSB75" s="975"/>
      <c r="OSC75" s="975"/>
      <c r="OSD75" s="975"/>
      <c r="OSE75" s="975"/>
      <c r="OSF75" s="975"/>
      <c r="OSG75" s="975"/>
      <c r="OSH75" s="975"/>
      <c r="OSI75" s="975"/>
      <c r="OSJ75" s="975"/>
      <c r="OSK75" s="975"/>
      <c r="OSL75" s="975"/>
      <c r="OSM75" s="975"/>
      <c r="OSN75" s="975"/>
      <c r="OSO75" s="975"/>
      <c r="OSP75" s="975"/>
      <c r="OSQ75" s="975"/>
      <c r="OSR75" s="975"/>
      <c r="OSS75" s="975"/>
      <c r="OST75" s="975"/>
      <c r="OSU75" s="975"/>
      <c r="OSV75" s="975"/>
      <c r="OSW75" s="975"/>
      <c r="OSX75" s="975"/>
      <c r="OSY75" s="975"/>
      <c r="OSZ75" s="975"/>
      <c r="OTA75" s="975"/>
      <c r="OTB75" s="975"/>
      <c r="OTC75" s="975"/>
      <c r="OTD75" s="975"/>
      <c r="OTE75" s="975"/>
      <c r="OTF75" s="975"/>
      <c r="OTG75" s="975"/>
      <c r="OTH75" s="975"/>
      <c r="OTI75" s="975"/>
      <c r="OTJ75" s="975"/>
      <c r="OTK75" s="975"/>
      <c r="OTL75" s="975"/>
      <c r="OTM75" s="975"/>
      <c r="OTN75" s="975"/>
      <c r="OTO75" s="975"/>
      <c r="OTP75" s="975"/>
      <c r="OTQ75" s="975"/>
      <c r="OTR75" s="975"/>
      <c r="OTS75" s="975"/>
      <c r="OTT75" s="975"/>
      <c r="OTU75" s="975"/>
      <c r="OTV75" s="975"/>
      <c r="OTW75" s="975"/>
      <c r="OTX75" s="975"/>
      <c r="OTY75" s="975"/>
      <c r="OTZ75" s="975"/>
      <c r="OUA75" s="975"/>
      <c r="OUB75" s="975"/>
      <c r="OUC75" s="975"/>
      <c r="OUD75" s="975"/>
      <c r="OUE75" s="975"/>
      <c r="OUF75" s="975"/>
      <c r="OUG75" s="975"/>
      <c r="OUH75" s="975"/>
      <c r="OUI75" s="975"/>
      <c r="OUJ75" s="975"/>
      <c r="OUK75" s="975"/>
      <c r="OUL75" s="975"/>
      <c r="OUM75" s="975"/>
      <c r="OUN75" s="975"/>
      <c r="OUO75" s="975"/>
      <c r="OUP75" s="975"/>
      <c r="OUQ75" s="975"/>
      <c r="OUR75" s="975"/>
      <c r="OUS75" s="975"/>
      <c r="OUT75" s="975"/>
      <c r="OUU75" s="975"/>
      <c r="OUV75" s="975"/>
      <c r="OUW75" s="975"/>
      <c r="OUX75" s="975"/>
      <c r="OUY75" s="975"/>
      <c r="OUZ75" s="975"/>
      <c r="OVA75" s="975"/>
      <c r="OVB75" s="975"/>
      <c r="OVC75" s="975"/>
      <c r="OVD75" s="975"/>
      <c r="OVE75" s="975"/>
      <c r="OVF75" s="975"/>
      <c r="OVG75" s="975"/>
      <c r="OVH75" s="975"/>
      <c r="OVI75" s="975"/>
      <c r="OVJ75" s="975"/>
      <c r="OVK75" s="975"/>
      <c r="OVL75" s="975"/>
      <c r="OVM75" s="975"/>
      <c r="OVN75" s="975"/>
      <c r="OVO75" s="975"/>
      <c r="OVP75" s="975"/>
      <c r="OVQ75" s="975"/>
      <c r="OVR75" s="975"/>
      <c r="OVS75" s="975"/>
      <c r="OVT75" s="975"/>
      <c r="OVU75" s="975"/>
      <c r="OVV75" s="975"/>
      <c r="OVW75" s="975"/>
      <c r="OVX75" s="975"/>
      <c r="OVY75" s="975"/>
      <c r="OVZ75" s="975"/>
      <c r="OWA75" s="975"/>
      <c r="OWB75" s="975"/>
      <c r="OWC75" s="975"/>
      <c r="OWD75" s="975"/>
      <c r="OWE75" s="975"/>
      <c r="OWF75" s="975"/>
      <c r="OWG75" s="975"/>
      <c r="OWH75" s="975"/>
      <c r="OWI75" s="975"/>
      <c r="OWJ75" s="975"/>
      <c r="OWK75" s="975"/>
      <c r="OWL75" s="975"/>
      <c r="OWM75" s="975"/>
      <c r="OWN75" s="975"/>
      <c r="OWO75" s="975"/>
      <c r="OWP75" s="975"/>
      <c r="OWQ75" s="975"/>
      <c r="OWR75" s="975"/>
      <c r="OWS75" s="975"/>
      <c r="OWT75" s="975"/>
      <c r="OWU75" s="975"/>
      <c r="OWV75" s="975"/>
      <c r="OWW75" s="975"/>
      <c r="OWX75" s="975"/>
      <c r="OWY75" s="975"/>
      <c r="OWZ75" s="975"/>
      <c r="OXA75" s="975"/>
      <c r="OXB75" s="975"/>
      <c r="OXC75" s="975"/>
      <c r="OXD75" s="975"/>
      <c r="OXE75" s="975"/>
      <c r="OXF75" s="975"/>
      <c r="OXG75" s="975"/>
      <c r="OXH75" s="975"/>
      <c r="OXI75" s="975"/>
      <c r="OXJ75" s="975"/>
      <c r="OXK75" s="975"/>
      <c r="OXL75" s="975"/>
      <c r="OXM75" s="975"/>
      <c r="OXN75" s="975"/>
      <c r="OXO75" s="975"/>
      <c r="OXP75" s="975"/>
      <c r="OXQ75" s="975"/>
      <c r="OXR75" s="975"/>
      <c r="OXS75" s="975"/>
      <c r="OXT75" s="975"/>
      <c r="OXU75" s="975"/>
      <c r="OXV75" s="975"/>
      <c r="OXW75" s="975"/>
      <c r="OXX75" s="975"/>
      <c r="OXY75" s="975"/>
      <c r="OXZ75" s="975"/>
      <c r="OYA75" s="975"/>
      <c r="OYB75" s="975"/>
      <c r="OYC75" s="975"/>
      <c r="OYD75" s="975"/>
      <c r="OYE75" s="975"/>
      <c r="OYF75" s="975"/>
      <c r="OYG75" s="975"/>
      <c r="OYH75" s="975"/>
      <c r="OYI75" s="975"/>
      <c r="OYJ75" s="975"/>
      <c r="OYK75" s="975"/>
      <c r="OYL75" s="975"/>
      <c r="OYM75" s="975"/>
      <c r="OYN75" s="975"/>
      <c r="OYO75" s="975"/>
      <c r="OYP75" s="975"/>
      <c r="OYQ75" s="975"/>
      <c r="OYR75" s="975"/>
      <c r="OYS75" s="975"/>
      <c r="OYT75" s="975"/>
      <c r="OYU75" s="975"/>
      <c r="OYV75" s="975"/>
      <c r="OYW75" s="975"/>
      <c r="OYX75" s="975"/>
      <c r="OYY75" s="975"/>
      <c r="OYZ75" s="975"/>
      <c r="OZA75" s="975"/>
      <c r="OZB75" s="975"/>
      <c r="OZC75" s="975"/>
      <c r="OZD75" s="975"/>
      <c r="OZE75" s="975"/>
      <c r="OZF75" s="975"/>
      <c r="OZG75" s="975"/>
      <c r="OZH75" s="975"/>
      <c r="OZI75" s="975"/>
      <c r="OZJ75" s="975"/>
      <c r="OZK75" s="975"/>
      <c r="OZL75" s="975"/>
      <c r="OZM75" s="975"/>
      <c r="OZN75" s="975"/>
      <c r="OZO75" s="975"/>
      <c r="OZP75" s="975"/>
      <c r="OZQ75" s="975"/>
      <c r="OZR75" s="975"/>
      <c r="OZS75" s="975"/>
      <c r="OZT75" s="975"/>
      <c r="OZU75" s="975"/>
      <c r="OZV75" s="975"/>
      <c r="OZW75" s="975"/>
      <c r="OZX75" s="975"/>
      <c r="OZY75" s="975"/>
      <c r="OZZ75" s="975"/>
      <c r="PAA75" s="975"/>
      <c r="PAB75" s="975"/>
      <c r="PAC75" s="975"/>
      <c r="PAD75" s="975"/>
      <c r="PAE75" s="975"/>
      <c r="PAF75" s="975"/>
      <c r="PAG75" s="975"/>
      <c r="PAH75" s="975"/>
      <c r="PAI75" s="975"/>
      <c r="PAJ75" s="975"/>
      <c r="PAK75" s="975"/>
      <c r="PAL75" s="975"/>
      <c r="PAM75" s="975"/>
      <c r="PAN75" s="975"/>
      <c r="PAO75" s="975"/>
      <c r="PAP75" s="975"/>
      <c r="PAQ75" s="975"/>
      <c r="PAR75" s="975"/>
      <c r="PAS75" s="975"/>
      <c r="PAT75" s="975"/>
      <c r="PAU75" s="975"/>
      <c r="PAV75" s="975"/>
      <c r="PAW75" s="975"/>
      <c r="PAX75" s="975"/>
      <c r="PAY75" s="975"/>
      <c r="PAZ75" s="975"/>
      <c r="PBA75" s="975"/>
      <c r="PBB75" s="975"/>
      <c r="PBC75" s="975"/>
      <c r="PBD75" s="975"/>
      <c r="PBE75" s="975"/>
      <c r="PBF75" s="975"/>
      <c r="PBG75" s="975"/>
      <c r="PBH75" s="975"/>
      <c r="PBI75" s="975"/>
      <c r="PBJ75" s="975"/>
      <c r="PBK75" s="975"/>
      <c r="PBL75" s="975"/>
      <c r="PBM75" s="975"/>
      <c r="PBN75" s="975"/>
      <c r="PBO75" s="975"/>
      <c r="PBP75" s="975"/>
      <c r="PBQ75" s="975"/>
      <c r="PBR75" s="975"/>
      <c r="PBS75" s="975"/>
      <c r="PBT75" s="975"/>
      <c r="PBU75" s="975"/>
      <c r="PBV75" s="975"/>
      <c r="PBW75" s="975"/>
      <c r="PBX75" s="975"/>
      <c r="PBY75" s="975"/>
      <c r="PBZ75" s="975"/>
      <c r="PCA75" s="975"/>
      <c r="PCB75" s="975"/>
      <c r="PCC75" s="975"/>
      <c r="PCD75" s="975"/>
      <c r="PCE75" s="975"/>
      <c r="PCF75" s="975"/>
      <c r="PCG75" s="975"/>
      <c r="PCH75" s="975"/>
      <c r="PCI75" s="975"/>
      <c r="PCJ75" s="975"/>
      <c r="PCK75" s="975"/>
      <c r="PCL75" s="975"/>
      <c r="PCM75" s="975"/>
      <c r="PCN75" s="975"/>
      <c r="PCO75" s="975"/>
      <c r="PCP75" s="975"/>
      <c r="PCQ75" s="975"/>
      <c r="PCR75" s="975"/>
      <c r="PCS75" s="975"/>
      <c r="PCT75" s="975"/>
      <c r="PCU75" s="975"/>
      <c r="PCV75" s="975"/>
      <c r="PCW75" s="975"/>
      <c r="PCX75" s="975"/>
      <c r="PCY75" s="975"/>
      <c r="PCZ75" s="975"/>
      <c r="PDA75" s="975"/>
      <c r="PDB75" s="975"/>
      <c r="PDC75" s="975"/>
      <c r="PDD75" s="975"/>
      <c r="PDE75" s="975"/>
      <c r="PDF75" s="975"/>
      <c r="PDG75" s="975"/>
      <c r="PDH75" s="975"/>
      <c r="PDI75" s="975"/>
      <c r="PDJ75" s="975"/>
      <c r="PDK75" s="975"/>
      <c r="PDL75" s="975"/>
      <c r="PDM75" s="975"/>
      <c r="PDN75" s="975"/>
      <c r="PDO75" s="975"/>
      <c r="PDP75" s="975"/>
      <c r="PDQ75" s="975"/>
      <c r="PDR75" s="975"/>
      <c r="PDS75" s="975"/>
      <c r="PDT75" s="975"/>
      <c r="PDU75" s="975"/>
      <c r="PDV75" s="975"/>
      <c r="PDW75" s="975"/>
      <c r="PDX75" s="975"/>
      <c r="PDY75" s="975"/>
      <c r="PDZ75" s="975"/>
      <c r="PEA75" s="975"/>
      <c r="PEB75" s="975"/>
      <c r="PEC75" s="975"/>
      <c r="PED75" s="975"/>
      <c r="PEE75" s="975"/>
      <c r="PEF75" s="975"/>
      <c r="PEG75" s="975"/>
      <c r="PEH75" s="975"/>
      <c r="PEI75" s="975"/>
      <c r="PEJ75" s="975"/>
      <c r="PEK75" s="975"/>
      <c r="PEL75" s="975"/>
      <c r="PEM75" s="975"/>
      <c r="PEN75" s="975"/>
      <c r="PEO75" s="975"/>
      <c r="PEP75" s="975"/>
      <c r="PEQ75" s="975"/>
      <c r="PER75" s="975"/>
      <c r="PES75" s="975"/>
      <c r="PET75" s="975"/>
      <c r="PEU75" s="975"/>
      <c r="PEV75" s="975"/>
      <c r="PEW75" s="975"/>
      <c r="PEX75" s="975"/>
      <c r="PEY75" s="975"/>
      <c r="PEZ75" s="975"/>
      <c r="PFA75" s="975"/>
      <c r="PFB75" s="975"/>
      <c r="PFC75" s="975"/>
      <c r="PFD75" s="975"/>
      <c r="PFE75" s="975"/>
      <c r="PFF75" s="975"/>
      <c r="PFG75" s="975"/>
      <c r="PFH75" s="975"/>
      <c r="PFI75" s="975"/>
      <c r="PFJ75" s="975"/>
      <c r="PFK75" s="975"/>
      <c r="PFL75" s="975"/>
      <c r="PFM75" s="975"/>
      <c r="PFN75" s="975"/>
      <c r="PFO75" s="975"/>
      <c r="PFP75" s="975"/>
      <c r="PFQ75" s="975"/>
      <c r="PFR75" s="975"/>
      <c r="PFS75" s="975"/>
      <c r="PFT75" s="975"/>
      <c r="PFU75" s="975"/>
      <c r="PFV75" s="975"/>
      <c r="PFW75" s="975"/>
      <c r="PFX75" s="975"/>
      <c r="PFY75" s="975"/>
      <c r="PFZ75" s="975"/>
      <c r="PGA75" s="975"/>
      <c r="PGB75" s="975"/>
      <c r="PGC75" s="975"/>
      <c r="PGD75" s="975"/>
      <c r="PGE75" s="975"/>
      <c r="PGF75" s="975"/>
      <c r="PGG75" s="975"/>
      <c r="PGH75" s="975"/>
      <c r="PGI75" s="975"/>
      <c r="PGJ75" s="975"/>
      <c r="PGK75" s="975"/>
      <c r="PGL75" s="975"/>
      <c r="PGM75" s="975"/>
      <c r="PGN75" s="975"/>
      <c r="PGO75" s="975"/>
      <c r="PGP75" s="975"/>
      <c r="PGQ75" s="975"/>
      <c r="PGR75" s="975"/>
      <c r="PGS75" s="975"/>
      <c r="PGT75" s="975"/>
      <c r="PGU75" s="975"/>
      <c r="PGV75" s="975"/>
      <c r="PGW75" s="975"/>
      <c r="PGX75" s="975"/>
      <c r="PGY75" s="975"/>
      <c r="PGZ75" s="975"/>
      <c r="PHA75" s="975"/>
      <c r="PHB75" s="975"/>
      <c r="PHC75" s="975"/>
      <c r="PHD75" s="975"/>
      <c r="PHE75" s="975"/>
      <c r="PHF75" s="975"/>
      <c r="PHG75" s="975"/>
      <c r="PHH75" s="975"/>
      <c r="PHI75" s="975"/>
      <c r="PHJ75" s="975"/>
      <c r="PHK75" s="975"/>
      <c r="PHL75" s="975"/>
      <c r="PHM75" s="975"/>
      <c r="PHN75" s="975"/>
      <c r="PHO75" s="975"/>
      <c r="PHP75" s="975"/>
      <c r="PHQ75" s="975"/>
      <c r="PHR75" s="975"/>
      <c r="PHS75" s="975"/>
      <c r="PHT75" s="975"/>
      <c r="PHU75" s="975"/>
      <c r="PHV75" s="975"/>
      <c r="PHW75" s="975"/>
      <c r="PHX75" s="975"/>
      <c r="PHY75" s="975"/>
      <c r="PHZ75" s="975"/>
      <c r="PIA75" s="975"/>
      <c r="PIB75" s="975"/>
      <c r="PIC75" s="975"/>
      <c r="PID75" s="975"/>
      <c r="PIE75" s="975"/>
      <c r="PIF75" s="975"/>
      <c r="PIG75" s="975"/>
      <c r="PIH75" s="975"/>
      <c r="PII75" s="975"/>
      <c r="PIJ75" s="975"/>
      <c r="PIK75" s="975"/>
      <c r="PIL75" s="975"/>
      <c r="PIM75" s="975"/>
      <c r="PIN75" s="975"/>
      <c r="PIO75" s="975"/>
      <c r="PIP75" s="975"/>
      <c r="PIQ75" s="975"/>
      <c r="PIR75" s="975"/>
      <c r="PIS75" s="975"/>
      <c r="PIT75" s="975"/>
      <c r="PIU75" s="975"/>
      <c r="PIV75" s="975"/>
      <c r="PIW75" s="975"/>
      <c r="PIX75" s="975"/>
      <c r="PIY75" s="975"/>
      <c r="PIZ75" s="975"/>
      <c r="PJA75" s="975"/>
      <c r="PJB75" s="975"/>
      <c r="PJC75" s="975"/>
      <c r="PJD75" s="975"/>
      <c r="PJE75" s="975"/>
      <c r="PJF75" s="975"/>
      <c r="PJG75" s="975"/>
      <c r="PJH75" s="975"/>
      <c r="PJI75" s="975"/>
      <c r="PJJ75" s="975"/>
      <c r="PJK75" s="975"/>
      <c r="PJL75" s="975"/>
      <c r="PJM75" s="975"/>
      <c r="PJN75" s="975"/>
      <c r="PJO75" s="975"/>
      <c r="PJP75" s="975"/>
      <c r="PJQ75" s="975"/>
      <c r="PJR75" s="975"/>
      <c r="PJS75" s="975"/>
      <c r="PJT75" s="975"/>
      <c r="PJU75" s="975"/>
      <c r="PJV75" s="975"/>
      <c r="PJW75" s="975"/>
      <c r="PJX75" s="975"/>
      <c r="PJY75" s="975"/>
      <c r="PJZ75" s="975"/>
      <c r="PKA75" s="975"/>
      <c r="PKB75" s="975"/>
      <c r="PKC75" s="975"/>
      <c r="PKD75" s="975"/>
      <c r="PKE75" s="975"/>
      <c r="PKF75" s="975"/>
      <c r="PKG75" s="975"/>
      <c r="PKH75" s="975"/>
      <c r="PKI75" s="975"/>
      <c r="PKJ75" s="975"/>
      <c r="PKK75" s="975"/>
      <c r="PKL75" s="975"/>
      <c r="PKM75" s="975"/>
      <c r="PKN75" s="975"/>
      <c r="PKO75" s="975"/>
      <c r="PKP75" s="975"/>
      <c r="PKQ75" s="975"/>
      <c r="PKR75" s="975"/>
      <c r="PKS75" s="975"/>
      <c r="PKT75" s="975"/>
      <c r="PKU75" s="975"/>
      <c r="PKV75" s="975"/>
      <c r="PKW75" s="975"/>
      <c r="PKX75" s="975"/>
      <c r="PKY75" s="975"/>
      <c r="PKZ75" s="975"/>
      <c r="PLA75" s="975"/>
      <c r="PLB75" s="975"/>
      <c r="PLC75" s="975"/>
      <c r="PLD75" s="975"/>
      <c r="PLE75" s="975"/>
      <c r="PLF75" s="975"/>
      <c r="PLG75" s="975"/>
      <c r="PLH75" s="975"/>
      <c r="PLI75" s="975"/>
      <c r="PLJ75" s="975"/>
      <c r="PLK75" s="975"/>
      <c r="PLL75" s="975"/>
      <c r="PLM75" s="975"/>
      <c r="PLN75" s="975"/>
      <c r="PLO75" s="975"/>
      <c r="PLP75" s="975"/>
      <c r="PLQ75" s="975"/>
      <c r="PLR75" s="975"/>
      <c r="PLS75" s="975"/>
      <c r="PLT75" s="975"/>
      <c r="PLU75" s="975"/>
      <c r="PLV75" s="975"/>
      <c r="PLW75" s="975"/>
      <c r="PLX75" s="975"/>
      <c r="PLY75" s="975"/>
      <c r="PLZ75" s="975"/>
      <c r="PMA75" s="975"/>
      <c r="PMB75" s="975"/>
      <c r="PMC75" s="975"/>
      <c r="PMD75" s="975"/>
      <c r="PME75" s="975"/>
      <c r="PMF75" s="975"/>
      <c r="PMG75" s="975"/>
      <c r="PMH75" s="975"/>
      <c r="PMI75" s="975"/>
      <c r="PMJ75" s="975"/>
      <c r="PMK75" s="975"/>
      <c r="PML75" s="975"/>
      <c r="PMM75" s="975"/>
      <c r="PMN75" s="975"/>
      <c r="PMO75" s="975"/>
      <c r="PMP75" s="975"/>
      <c r="PMQ75" s="975"/>
      <c r="PMR75" s="975"/>
      <c r="PMS75" s="975"/>
      <c r="PMT75" s="975"/>
      <c r="PMU75" s="975"/>
      <c r="PMV75" s="975"/>
      <c r="PMW75" s="975"/>
      <c r="PMX75" s="975"/>
      <c r="PMY75" s="975"/>
      <c r="PMZ75" s="975"/>
      <c r="PNA75" s="975"/>
      <c r="PNB75" s="975"/>
      <c r="PNC75" s="975"/>
      <c r="PND75" s="975"/>
      <c r="PNE75" s="975"/>
      <c r="PNF75" s="975"/>
      <c r="PNG75" s="975"/>
      <c r="PNH75" s="975"/>
      <c r="PNI75" s="975"/>
      <c r="PNJ75" s="975"/>
      <c r="PNK75" s="975"/>
      <c r="PNL75" s="975"/>
      <c r="PNM75" s="975"/>
      <c r="PNN75" s="975"/>
      <c r="PNO75" s="975"/>
      <c r="PNP75" s="975"/>
      <c r="PNQ75" s="975"/>
      <c r="PNR75" s="975"/>
      <c r="PNS75" s="975"/>
      <c r="PNT75" s="975"/>
      <c r="PNU75" s="975"/>
      <c r="PNV75" s="975"/>
      <c r="PNW75" s="975"/>
      <c r="PNX75" s="975"/>
      <c r="PNY75" s="975"/>
      <c r="PNZ75" s="975"/>
      <c r="POA75" s="975"/>
      <c r="POB75" s="975"/>
      <c r="POC75" s="975"/>
      <c r="POD75" s="975"/>
      <c r="POE75" s="975"/>
      <c r="POF75" s="975"/>
      <c r="POG75" s="975"/>
      <c r="POH75" s="975"/>
      <c r="POI75" s="975"/>
      <c r="POJ75" s="975"/>
      <c r="POK75" s="975"/>
      <c r="POL75" s="975"/>
      <c r="POM75" s="975"/>
      <c r="PON75" s="975"/>
      <c r="POO75" s="975"/>
      <c r="POP75" s="975"/>
      <c r="POQ75" s="975"/>
      <c r="POR75" s="975"/>
      <c r="POS75" s="975"/>
      <c r="POT75" s="975"/>
      <c r="POU75" s="975"/>
      <c r="POV75" s="975"/>
      <c r="POW75" s="975"/>
      <c r="POX75" s="975"/>
      <c r="POY75" s="975"/>
      <c r="POZ75" s="975"/>
      <c r="PPA75" s="975"/>
      <c r="PPB75" s="975"/>
      <c r="PPC75" s="975"/>
      <c r="PPD75" s="975"/>
      <c r="PPE75" s="975"/>
      <c r="PPF75" s="975"/>
      <c r="PPG75" s="975"/>
      <c r="PPH75" s="975"/>
      <c r="PPI75" s="975"/>
      <c r="PPJ75" s="975"/>
      <c r="PPK75" s="975"/>
      <c r="PPL75" s="975"/>
      <c r="PPM75" s="975"/>
      <c r="PPN75" s="975"/>
      <c r="PPO75" s="975"/>
      <c r="PPP75" s="975"/>
      <c r="PPQ75" s="975"/>
      <c r="PPR75" s="975"/>
      <c r="PPS75" s="975"/>
      <c r="PPT75" s="975"/>
      <c r="PPU75" s="975"/>
      <c r="PPV75" s="975"/>
      <c r="PPW75" s="975"/>
      <c r="PPX75" s="975"/>
      <c r="PPY75" s="975"/>
      <c r="PPZ75" s="975"/>
      <c r="PQA75" s="975"/>
      <c r="PQB75" s="975"/>
      <c r="PQC75" s="975"/>
      <c r="PQD75" s="975"/>
      <c r="PQE75" s="975"/>
      <c r="PQF75" s="975"/>
      <c r="PQG75" s="975"/>
      <c r="PQH75" s="975"/>
      <c r="PQI75" s="975"/>
      <c r="PQJ75" s="975"/>
      <c r="PQK75" s="975"/>
      <c r="PQL75" s="975"/>
      <c r="PQM75" s="975"/>
      <c r="PQN75" s="975"/>
      <c r="PQO75" s="975"/>
      <c r="PQP75" s="975"/>
      <c r="PQQ75" s="975"/>
      <c r="PQR75" s="975"/>
      <c r="PQS75" s="975"/>
      <c r="PQT75" s="975"/>
      <c r="PQU75" s="975"/>
      <c r="PQV75" s="975"/>
      <c r="PQW75" s="975"/>
      <c r="PQX75" s="975"/>
      <c r="PQY75" s="975"/>
      <c r="PQZ75" s="975"/>
      <c r="PRA75" s="975"/>
      <c r="PRB75" s="975"/>
      <c r="PRC75" s="975"/>
      <c r="PRD75" s="975"/>
      <c r="PRE75" s="975"/>
      <c r="PRF75" s="975"/>
      <c r="PRG75" s="975"/>
      <c r="PRH75" s="975"/>
      <c r="PRI75" s="975"/>
      <c r="PRJ75" s="975"/>
      <c r="PRK75" s="975"/>
      <c r="PRL75" s="975"/>
      <c r="PRM75" s="975"/>
      <c r="PRN75" s="975"/>
      <c r="PRO75" s="975"/>
      <c r="PRP75" s="975"/>
      <c r="PRQ75" s="975"/>
      <c r="PRR75" s="975"/>
      <c r="PRS75" s="975"/>
      <c r="PRT75" s="975"/>
      <c r="PRU75" s="975"/>
      <c r="PRV75" s="975"/>
      <c r="PRW75" s="975"/>
      <c r="PRX75" s="975"/>
      <c r="PRY75" s="975"/>
      <c r="PRZ75" s="975"/>
      <c r="PSA75" s="975"/>
      <c r="PSB75" s="975"/>
      <c r="PSC75" s="975"/>
      <c r="PSD75" s="975"/>
      <c r="PSE75" s="975"/>
      <c r="PSF75" s="975"/>
      <c r="PSG75" s="975"/>
      <c r="PSH75" s="975"/>
      <c r="PSI75" s="975"/>
      <c r="PSJ75" s="975"/>
      <c r="PSK75" s="975"/>
      <c r="PSL75" s="975"/>
      <c r="PSM75" s="975"/>
      <c r="PSN75" s="975"/>
      <c r="PSO75" s="975"/>
      <c r="PSP75" s="975"/>
      <c r="PSQ75" s="975"/>
      <c r="PSR75" s="975"/>
      <c r="PSS75" s="975"/>
      <c r="PST75" s="975"/>
      <c r="PSU75" s="975"/>
      <c r="PSV75" s="975"/>
      <c r="PSW75" s="975"/>
      <c r="PSX75" s="975"/>
      <c r="PSY75" s="975"/>
      <c r="PSZ75" s="975"/>
      <c r="PTA75" s="975"/>
      <c r="PTB75" s="975"/>
      <c r="PTC75" s="975"/>
      <c r="PTD75" s="975"/>
      <c r="PTE75" s="975"/>
      <c r="PTF75" s="975"/>
      <c r="PTG75" s="975"/>
      <c r="PTH75" s="975"/>
      <c r="PTI75" s="975"/>
      <c r="PTJ75" s="975"/>
      <c r="PTK75" s="975"/>
      <c r="PTL75" s="975"/>
      <c r="PTM75" s="975"/>
      <c r="PTN75" s="975"/>
      <c r="PTO75" s="975"/>
      <c r="PTP75" s="975"/>
      <c r="PTQ75" s="975"/>
      <c r="PTR75" s="975"/>
      <c r="PTS75" s="975"/>
      <c r="PTT75" s="975"/>
      <c r="PTU75" s="975"/>
      <c r="PTV75" s="975"/>
      <c r="PTW75" s="975"/>
      <c r="PTX75" s="975"/>
      <c r="PTY75" s="975"/>
      <c r="PTZ75" s="975"/>
      <c r="PUA75" s="975"/>
      <c r="PUB75" s="975"/>
      <c r="PUC75" s="975"/>
      <c r="PUD75" s="975"/>
      <c r="PUE75" s="975"/>
      <c r="PUF75" s="975"/>
      <c r="PUG75" s="975"/>
      <c r="PUH75" s="975"/>
      <c r="PUI75" s="975"/>
      <c r="PUJ75" s="975"/>
      <c r="PUK75" s="975"/>
      <c r="PUL75" s="975"/>
      <c r="PUM75" s="975"/>
      <c r="PUN75" s="975"/>
      <c r="PUO75" s="975"/>
      <c r="PUP75" s="975"/>
      <c r="PUQ75" s="975"/>
      <c r="PUR75" s="975"/>
      <c r="PUS75" s="975"/>
      <c r="PUT75" s="975"/>
      <c r="PUU75" s="975"/>
      <c r="PUV75" s="975"/>
      <c r="PUW75" s="975"/>
      <c r="PUX75" s="975"/>
      <c r="PUY75" s="975"/>
      <c r="PUZ75" s="975"/>
      <c r="PVA75" s="975"/>
      <c r="PVB75" s="975"/>
      <c r="PVC75" s="975"/>
      <c r="PVD75" s="975"/>
      <c r="PVE75" s="975"/>
      <c r="PVF75" s="975"/>
      <c r="PVG75" s="975"/>
      <c r="PVH75" s="975"/>
      <c r="PVI75" s="975"/>
      <c r="PVJ75" s="975"/>
      <c r="PVK75" s="975"/>
      <c r="PVL75" s="975"/>
      <c r="PVM75" s="975"/>
      <c r="PVN75" s="975"/>
      <c r="PVO75" s="975"/>
      <c r="PVP75" s="975"/>
      <c r="PVQ75" s="975"/>
      <c r="PVR75" s="975"/>
      <c r="PVS75" s="975"/>
      <c r="PVT75" s="975"/>
      <c r="PVU75" s="975"/>
      <c r="PVV75" s="975"/>
      <c r="PVW75" s="975"/>
      <c r="PVX75" s="975"/>
      <c r="PVY75" s="975"/>
      <c r="PVZ75" s="975"/>
      <c r="PWA75" s="975"/>
      <c r="PWB75" s="975"/>
      <c r="PWC75" s="975"/>
      <c r="PWD75" s="975"/>
      <c r="PWE75" s="975"/>
      <c r="PWF75" s="975"/>
      <c r="PWG75" s="975"/>
      <c r="PWH75" s="975"/>
      <c r="PWI75" s="975"/>
      <c r="PWJ75" s="975"/>
      <c r="PWK75" s="975"/>
      <c r="PWL75" s="975"/>
      <c r="PWM75" s="975"/>
      <c r="PWN75" s="975"/>
      <c r="PWO75" s="975"/>
      <c r="PWP75" s="975"/>
      <c r="PWQ75" s="975"/>
      <c r="PWR75" s="975"/>
      <c r="PWS75" s="975"/>
      <c r="PWT75" s="975"/>
      <c r="PWU75" s="975"/>
      <c r="PWV75" s="975"/>
      <c r="PWW75" s="975"/>
      <c r="PWX75" s="975"/>
      <c r="PWY75" s="975"/>
      <c r="PWZ75" s="975"/>
      <c r="PXA75" s="975"/>
      <c r="PXB75" s="975"/>
      <c r="PXC75" s="975"/>
      <c r="PXD75" s="975"/>
      <c r="PXE75" s="975"/>
      <c r="PXF75" s="975"/>
      <c r="PXG75" s="975"/>
      <c r="PXH75" s="975"/>
      <c r="PXI75" s="975"/>
      <c r="PXJ75" s="975"/>
      <c r="PXK75" s="975"/>
      <c r="PXL75" s="975"/>
      <c r="PXM75" s="975"/>
      <c r="PXN75" s="975"/>
      <c r="PXO75" s="975"/>
      <c r="PXP75" s="975"/>
      <c r="PXQ75" s="975"/>
      <c r="PXR75" s="975"/>
      <c r="PXS75" s="975"/>
      <c r="PXT75" s="975"/>
      <c r="PXU75" s="975"/>
      <c r="PXV75" s="975"/>
      <c r="PXW75" s="975"/>
      <c r="PXX75" s="975"/>
      <c r="PXY75" s="975"/>
      <c r="PXZ75" s="975"/>
      <c r="PYA75" s="975"/>
      <c r="PYB75" s="975"/>
      <c r="PYC75" s="975"/>
      <c r="PYD75" s="975"/>
      <c r="PYE75" s="975"/>
      <c r="PYF75" s="975"/>
      <c r="PYG75" s="975"/>
      <c r="PYH75" s="975"/>
      <c r="PYI75" s="975"/>
      <c r="PYJ75" s="975"/>
      <c r="PYK75" s="975"/>
      <c r="PYL75" s="975"/>
      <c r="PYM75" s="975"/>
      <c r="PYN75" s="975"/>
      <c r="PYO75" s="975"/>
      <c r="PYP75" s="975"/>
      <c r="PYQ75" s="975"/>
      <c r="PYR75" s="975"/>
      <c r="PYS75" s="975"/>
      <c r="PYT75" s="975"/>
      <c r="PYU75" s="975"/>
      <c r="PYV75" s="975"/>
      <c r="PYW75" s="975"/>
      <c r="PYX75" s="975"/>
      <c r="PYY75" s="975"/>
      <c r="PYZ75" s="975"/>
      <c r="PZA75" s="975"/>
      <c r="PZB75" s="975"/>
      <c r="PZC75" s="975"/>
      <c r="PZD75" s="975"/>
      <c r="PZE75" s="975"/>
      <c r="PZF75" s="975"/>
      <c r="PZG75" s="975"/>
      <c r="PZH75" s="975"/>
      <c r="PZI75" s="975"/>
      <c r="PZJ75" s="975"/>
      <c r="PZK75" s="975"/>
      <c r="PZL75" s="975"/>
      <c r="PZM75" s="975"/>
      <c r="PZN75" s="975"/>
      <c r="PZO75" s="975"/>
      <c r="PZP75" s="975"/>
      <c r="PZQ75" s="975"/>
      <c r="PZR75" s="975"/>
      <c r="PZS75" s="975"/>
      <c r="PZT75" s="975"/>
      <c r="PZU75" s="975"/>
      <c r="PZV75" s="975"/>
      <c r="PZW75" s="975"/>
      <c r="PZX75" s="975"/>
      <c r="PZY75" s="975"/>
      <c r="PZZ75" s="975"/>
      <c r="QAA75" s="975"/>
      <c r="QAB75" s="975"/>
      <c r="QAC75" s="975"/>
      <c r="QAD75" s="975"/>
      <c r="QAE75" s="975"/>
      <c r="QAF75" s="975"/>
      <c r="QAG75" s="975"/>
      <c r="QAH75" s="975"/>
      <c r="QAI75" s="975"/>
      <c r="QAJ75" s="975"/>
      <c r="QAK75" s="975"/>
      <c r="QAL75" s="975"/>
      <c r="QAM75" s="975"/>
      <c r="QAN75" s="975"/>
      <c r="QAO75" s="975"/>
      <c r="QAP75" s="975"/>
      <c r="QAQ75" s="975"/>
      <c r="QAR75" s="975"/>
      <c r="QAS75" s="975"/>
      <c r="QAT75" s="975"/>
      <c r="QAU75" s="975"/>
      <c r="QAV75" s="975"/>
      <c r="QAW75" s="975"/>
      <c r="QAX75" s="975"/>
      <c r="QAY75" s="975"/>
      <c r="QAZ75" s="975"/>
      <c r="QBA75" s="975"/>
      <c r="QBB75" s="975"/>
      <c r="QBC75" s="975"/>
      <c r="QBD75" s="975"/>
      <c r="QBE75" s="975"/>
      <c r="QBF75" s="975"/>
      <c r="QBG75" s="975"/>
      <c r="QBH75" s="975"/>
      <c r="QBI75" s="975"/>
      <c r="QBJ75" s="975"/>
      <c r="QBK75" s="975"/>
      <c r="QBL75" s="975"/>
      <c r="QBM75" s="975"/>
      <c r="QBN75" s="975"/>
      <c r="QBO75" s="975"/>
      <c r="QBP75" s="975"/>
      <c r="QBQ75" s="975"/>
      <c r="QBR75" s="975"/>
      <c r="QBS75" s="975"/>
      <c r="QBT75" s="975"/>
      <c r="QBU75" s="975"/>
      <c r="QBV75" s="975"/>
      <c r="QBW75" s="975"/>
      <c r="QBX75" s="975"/>
      <c r="QBY75" s="975"/>
      <c r="QBZ75" s="975"/>
      <c r="QCA75" s="975"/>
      <c r="QCB75" s="975"/>
      <c r="QCC75" s="975"/>
      <c r="QCD75" s="975"/>
      <c r="QCE75" s="975"/>
      <c r="QCF75" s="975"/>
      <c r="QCG75" s="975"/>
      <c r="QCH75" s="975"/>
      <c r="QCI75" s="975"/>
      <c r="QCJ75" s="975"/>
      <c r="QCK75" s="975"/>
      <c r="QCL75" s="975"/>
      <c r="QCM75" s="975"/>
      <c r="QCN75" s="975"/>
      <c r="QCO75" s="975"/>
      <c r="QCP75" s="975"/>
      <c r="QCQ75" s="975"/>
      <c r="QCR75" s="975"/>
      <c r="QCS75" s="975"/>
      <c r="QCT75" s="975"/>
      <c r="QCU75" s="975"/>
      <c r="QCV75" s="975"/>
      <c r="QCW75" s="975"/>
      <c r="QCX75" s="975"/>
      <c r="QCY75" s="975"/>
      <c r="QCZ75" s="975"/>
      <c r="QDA75" s="975"/>
      <c r="QDB75" s="975"/>
      <c r="QDC75" s="975"/>
      <c r="QDD75" s="975"/>
      <c r="QDE75" s="975"/>
      <c r="QDF75" s="975"/>
      <c r="QDG75" s="975"/>
      <c r="QDH75" s="975"/>
      <c r="QDI75" s="975"/>
      <c r="QDJ75" s="975"/>
      <c r="QDK75" s="975"/>
      <c r="QDL75" s="975"/>
      <c r="QDM75" s="975"/>
      <c r="QDN75" s="975"/>
      <c r="QDO75" s="975"/>
      <c r="QDP75" s="975"/>
      <c r="QDQ75" s="975"/>
      <c r="QDR75" s="975"/>
      <c r="QDS75" s="975"/>
      <c r="QDT75" s="975"/>
      <c r="QDU75" s="975"/>
      <c r="QDV75" s="975"/>
      <c r="QDW75" s="975"/>
      <c r="QDX75" s="975"/>
      <c r="QDY75" s="975"/>
      <c r="QDZ75" s="975"/>
      <c r="QEA75" s="975"/>
      <c r="QEB75" s="975"/>
      <c r="QEC75" s="975"/>
      <c r="QED75" s="975"/>
      <c r="QEE75" s="975"/>
      <c r="QEF75" s="975"/>
      <c r="QEG75" s="975"/>
      <c r="QEH75" s="975"/>
      <c r="QEI75" s="975"/>
      <c r="QEJ75" s="975"/>
      <c r="QEK75" s="975"/>
      <c r="QEL75" s="975"/>
      <c r="QEM75" s="975"/>
      <c r="QEN75" s="975"/>
      <c r="QEO75" s="975"/>
      <c r="QEP75" s="975"/>
      <c r="QEQ75" s="975"/>
      <c r="QER75" s="975"/>
      <c r="QES75" s="975"/>
      <c r="QET75" s="975"/>
      <c r="QEU75" s="975"/>
      <c r="QEV75" s="975"/>
      <c r="QEW75" s="975"/>
      <c r="QEX75" s="975"/>
      <c r="QEY75" s="975"/>
      <c r="QEZ75" s="975"/>
      <c r="QFA75" s="975"/>
      <c r="QFB75" s="975"/>
      <c r="QFC75" s="975"/>
      <c r="QFD75" s="975"/>
      <c r="QFE75" s="975"/>
      <c r="QFF75" s="975"/>
      <c r="QFG75" s="975"/>
      <c r="QFH75" s="975"/>
      <c r="QFI75" s="975"/>
      <c r="QFJ75" s="975"/>
      <c r="QFK75" s="975"/>
      <c r="QFL75" s="975"/>
      <c r="QFM75" s="975"/>
      <c r="QFN75" s="975"/>
      <c r="QFO75" s="975"/>
      <c r="QFP75" s="975"/>
      <c r="QFQ75" s="975"/>
      <c r="QFR75" s="975"/>
      <c r="QFS75" s="975"/>
      <c r="QFT75" s="975"/>
      <c r="QFU75" s="975"/>
      <c r="QFV75" s="975"/>
      <c r="QFW75" s="975"/>
      <c r="QFX75" s="975"/>
      <c r="QFY75" s="975"/>
      <c r="QFZ75" s="975"/>
      <c r="QGA75" s="975"/>
      <c r="QGB75" s="975"/>
      <c r="QGC75" s="975"/>
      <c r="QGD75" s="975"/>
      <c r="QGE75" s="975"/>
      <c r="QGF75" s="975"/>
      <c r="QGG75" s="975"/>
      <c r="QGH75" s="975"/>
      <c r="QGI75" s="975"/>
      <c r="QGJ75" s="975"/>
      <c r="QGK75" s="975"/>
      <c r="QGL75" s="975"/>
      <c r="QGM75" s="975"/>
      <c r="QGN75" s="975"/>
      <c r="QGO75" s="975"/>
      <c r="QGP75" s="975"/>
      <c r="QGQ75" s="975"/>
      <c r="QGR75" s="975"/>
      <c r="QGS75" s="975"/>
      <c r="QGT75" s="975"/>
      <c r="QGU75" s="975"/>
      <c r="QGV75" s="975"/>
      <c r="QGW75" s="975"/>
      <c r="QGX75" s="975"/>
      <c r="QGY75" s="975"/>
      <c r="QGZ75" s="975"/>
      <c r="QHA75" s="975"/>
      <c r="QHB75" s="975"/>
      <c r="QHC75" s="975"/>
      <c r="QHD75" s="975"/>
      <c r="QHE75" s="975"/>
      <c r="QHF75" s="975"/>
      <c r="QHG75" s="975"/>
      <c r="QHH75" s="975"/>
      <c r="QHI75" s="975"/>
      <c r="QHJ75" s="975"/>
      <c r="QHK75" s="975"/>
      <c r="QHL75" s="975"/>
      <c r="QHM75" s="975"/>
      <c r="QHN75" s="975"/>
      <c r="QHO75" s="975"/>
      <c r="QHP75" s="975"/>
      <c r="QHQ75" s="975"/>
      <c r="QHR75" s="975"/>
      <c r="QHS75" s="975"/>
      <c r="QHT75" s="975"/>
      <c r="QHU75" s="975"/>
      <c r="QHV75" s="975"/>
      <c r="QHW75" s="975"/>
      <c r="QHX75" s="975"/>
      <c r="QHY75" s="975"/>
      <c r="QHZ75" s="975"/>
      <c r="QIA75" s="975"/>
      <c r="QIB75" s="975"/>
      <c r="QIC75" s="975"/>
      <c r="QID75" s="975"/>
      <c r="QIE75" s="975"/>
      <c r="QIF75" s="975"/>
      <c r="QIG75" s="975"/>
      <c r="QIH75" s="975"/>
      <c r="QII75" s="975"/>
      <c r="QIJ75" s="975"/>
      <c r="QIK75" s="975"/>
      <c r="QIL75" s="975"/>
      <c r="QIM75" s="975"/>
      <c r="QIN75" s="975"/>
      <c r="QIO75" s="975"/>
      <c r="QIP75" s="975"/>
      <c r="QIQ75" s="975"/>
      <c r="QIR75" s="975"/>
      <c r="QIS75" s="975"/>
      <c r="QIT75" s="975"/>
      <c r="QIU75" s="975"/>
      <c r="QIV75" s="975"/>
      <c r="QIW75" s="975"/>
      <c r="QIX75" s="975"/>
      <c r="QIY75" s="975"/>
      <c r="QIZ75" s="975"/>
      <c r="QJA75" s="975"/>
      <c r="QJB75" s="975"/>
      <c r="QJC75" s="975"/>
      <c r="QJD75" s="975"/>
      <c r="QJE75" s="975"/>
      <c r="QJF75" s="975"/>
      <c r="QJG75" s="975"/>
      <c r="QJH75" s="975"/>
      <c r="QJI75" s="975"/>
      <c r="QJJ75" s="975"/>
      <c r="QJK75" s="975"/>
      <c r="QJL75" s="975"/>
      <c r="QJM75" s="975"/>
      <c r="QJN75" s="975"/>
      <c r="QJO75" s="975"/>
      <c r="QJP75" s="975"/>
      <c r="QJQ75" s="975"/>
      <c r="QJR75" s="975"/>
      <c r="QJS75" s="975"/>
      <c r="QJT75" s="975"/>
      <c r="QJU75" s="975"/>
      <c r="QJV75" s="975"/>
      <c r="QJW75" s="975"/>
      <c r="QJX75" s="975"/>
      <c r="QJY75" s="975"/>
      <c r="QJZ75" s="975"/>
      <c r="QKA75" s="975"/>
      <c r="QKB75" s="975"/>
      <c r="QKC75" s="975"/>
      <c r="QKD75" s="975"/>
      <c r="QKE75" s="975"/>
      <c r="QKF75" s="975"/>
      <c r="QKG75" s="975"/>
      <c r="QKH75" s="975"/>
      <c r="QKI75" s="975"/>
      <c r="QKJ75" s="975"/>
      <c r="QKK75" s="975"/>
      <c r="QKL75" s="975"/>
      <c r="QKM75" s="975"/>
      <c r="QKN75" s="975"/>
      <c r="QKO75" s="975"/>
      <c r="QKP75" s="975"/>
      <c r="QKQ75" s="975"/>
      <c r="QKR75" s="975"/>
      <c r="QKS75" s="975"/>
      <c r="QKT75" s="975"/>
      <c r="QKU75" s="975"/>
      <c r="QKV75" s="975"/>
      <c r="QKW75" s="975"/>
      <c r="QKX75" s="975"/>
      <c r="QKY75" s="975"/>
      <c r="QKZ75" s="975"/>
      <c r="QLA75" s="975"/>
      <c r="QLB75" s="975"/>
      <c r="QLC75" s="975"/>
      <c r="QLD75" s="975"/>
      <c r="QLE75" s="975"/>
      <c r="QLF75" s="975"/>
      <c r="QLG75" s="975"/>
      <c r="QLH75" s="975"/>
      <c r="QLI75" s="975"/>
      <c r="QLJ75" s="975"/>
      <c r="QLK75" s="975"/>
      <c r="QLL75" s="975"/>
      <c r="QLM75" s="975"/>
      <c r="QLN75" s="975"/>
      <c r="QLO75" s="975"/>
      <c r="QLP75" s="975"/>
      <c r="QLQ75" s="975"/>
      <c r="QLR75" s="975"/>
      <c r="QLS75" s="975"/>
      <c r="QLT75" s="975"/>
      <c r="QLU75" s="975"/>
      <c r="QLV75" s="975"/>
      <c r="QLW75" s="975"/>
      <c r="QLX75" s="975"/>
      <c r="QLY75" s="975"/>
      <c r="QLZ75" s="975"/>
      <c r="QMA75" s="975"/>
      <c r="QMB75" s="975"/>
      <c r="QMC75" s="975"/>
      <c r="QMD75" s="975"/>
      <c r="QME75" s="975"/>
      <c r="QMF75" s="975"/>
      <c r="QMG75" s="975"/>
      <c r="QMH75" s="975"/>
      <c r="QMI75" s="975"/>
      <c r="QMJ75" s="975"/>
      <c r="QMK75" s="975"/>
      <c r="QML75" s="975"/>
      <c r="QMM75" s="975"/>
      <c r="QMN75" s="975"/>
      <c r="QMO75" s="975"/>
      <c r="QMP75" s="975"/>
      <c r="QMQ75" s="975"/>
      <c r="QMR75" s="975"/>
      <c r="QMS75" s="975"/>
      <c r="QMT75" s="975"/>
      <c r="QMU75" s="975"/>
      <c r="QMV75" s="975"/>
      <c r="QMW75" s="975"/>
      <c r="QMX75" s="975"/>
      <c r="QMY75" s="975"/>
      <c r="QMZ75" s="975"/>
      <c r="QNA75" s="975"/>
      <c r="QNB75" s="975"/>
      <c r="QNC75" s="975"/>
      <c r="QND75" s="975"/>
      <c r="QNE75" s="975"/>
      <c r="QNF75" s="975"/>
      <c r="QNG75" s="975"/>
      <c r="QNH75" s="975"/>
      <c r="QNI75" s="975"/>
      <c r="QNJ75" s="975"/>
      <c r="QNK75" s="975"/>
      <c r="QNL75" s="975"/>
      <c r="QNM75" s="975"/>
      <c r="QNN75" s="975"/>
      <c r="QNO75" s="975"/>
      <c r="QNP75" s="975"/>
      <c r="QNQ75" s="975"/>
      <c r="QNR75" s="975"/>
      <c r="QNS75" s="975"/>
      <c r="QNT75" s="975"/>
      <c r="QNU75" s="975"/>
      <c r="QNV75" s="975"/>
      <c r="QNW75" s="975"/>
      <c r="QNX75" s="975"/>
      <c r="QNY75" s="975"/>
      <c r="QNZ75" s="975"/>
      <c r="QOA75" s="975"/>
      <c r="QOB75" s="975"/>
      <c r="QOC75" s="975"/>
      <c r="QOD75" s="975"/>
      <c r="QOE75" s="975"/>
      <c r="QOF75" s="975"/>
      <c r="QOG75" s="975"/>
      <c r="QOH75" s="975"/>
      <c r="QOI75" s="975"/>
      <c r="QOJ75" s="975"/>
      <c r="QOK75" s="975"/>
      <c r="QOL75" s="975"/>
      <c r="QOM75" s="975"/>
      <c r="QON75" s="975"/>
      <c r="QOO75" s="975"/>
      <c r="QOP75" s="975"/>
      <c r="QOQ75" s="975"/>
      <c r="QOR75" s="975"/>
      <c r="QOS75" s="975"/>
      <c r="QOT75" s="975"/>
      <c r="QOU75" s="975"/>
      <c r="QOV75" s="975"/>
      <c r="QOW75" s="975"/>
      <c r="QOX75" s="975"/>
      <c r="QOY75" s="975"/>
      <c r="QOZ75" s="975"/>
      <c r="QPA75" s="975"/>
      <c r="QPB75" s="975"/>
      <c r="QPC75" s="975"/>
      <c r="QPD75" s="975"/>
      <c r="QPE75" s="975"/>
      <c r="QPF75" s="975"/>
      <c r="QPG75" s="975"/>
      <c r="QPH75" s="975"/>
      <c r="QPI75" s="975"/>
      <c r="QPJ75" s="975"/>
      <c r="QPK75" s="975"/>
      <c r="QPL75" s="975"/>
      <c r="QPM75" s="975"/>
      <c r="QPN75" s="975"/>
      <c r="QPO75" s="975"/>
      <c r="QPP75" s="975"/>
      <c r="QPQ75" s="975"/>
      <c r="QPR75" s="975"/>
      <c r="QPS75" s="975"/>
      <c r="QPT75" s="975"/>
      <c r="QPU75" s="975"/>
      <c r="QPV75" s="975"/>
      <c r="QPW75" s="975"/>
      <c r="QPX75" s="975"/>
      <c r="QPY75" s="975"/>
      <c r="QPZ75" s="975"/>
      <c r="QQA75" s="975"/>
      <c r="QQB75" s="975"/>
      <c r="QQC75" s="975"/>
      <c r="QQD75" s="975"/>
      <c r="QQE75" s="975"/>
      <c r="QQF75" s="975"/>
      <c r="QQG75" s="975"/>
      <c r="QQH75" s="975"/>
      <c r="QQI75" s="975"/>
      <c r="QQJ75" s="975"/>
      <c r="QQK75" s="975"/>
      <c r="QQL75" s="975"/>
      <c r="QQM75" s="975"/>
      <c r="QQN75" s="975"/>
      <c r="QQO75" s="975"/>
      <c r="QQP75" s="975"/>
      <c r="QQQ75" s="975"/>
      <c r="QQR75" s="975"/>
      <c r="QQS75" s="975"/>
      <c r="QQT75" s="975"/>
      <c r="QQU75" s="975"/>
      <c r="QQV75" s="975"/>
      <c r="QQW75" s="975"/>
      <c r="QQX75" s="975"/>
      <c r="QQY75" s="975"/>
      <c r="QQZ75" s="975"/>
      <c r="QRA75" s="975"/>
      <c r="QRB75" s="975"/>
      <c r="QRC75" s="975"/>
      <c r="QRD75" s="975"/>
      <c r="QRE75" s="975"/>
      <c r="QRF75" s="975"/>
      <c r="QRG75" s="975"/>
      <c r="QRH75" s="975"/>
      <c r="QRI75" s="975"/>
      <c r="QRJ75" s="975"/>
      <c r="QRK75" s="975"/>
      <c r="QRL75" s="975"/>
      <c r="QRM75" s="975"/>
      <c r="QRN75" s="975"/>
      <c r="QRO75" s="975"/>
      <c r="QRP75" s="975"/>
      <c r="QRQ75" s="975"/>
      <c r="QRR75" s="975"/>
      <c r="QRS75" s="975"/>
      <c r="QRT75" s="975"/>
      <c r="QRU75" s="975"/>
      <c r="QRV75" s="975"/>
      <c r="QRW75" s="975"/>
      <c r="QRX75" s="975"/>
      <c r="QRY75" s="975"/>
      <c r="QRZ75" s="975"/>
      <c r="QSA75" s="975"/>
      <c r="QSB75" s="975"/>
      <c r="QSC75" s="975"/>
      <c r="QSD75" s="975"/>
      <c r="QSE75" s="975"/>
      <c r="QSF75" s="975"/>
      <c r="QSG75" s="975"/>
      <c r="QSH75" s="975"/>
      <c r="QSI75" s="975"/>
      <c r="QSJ75" s="975"/>
      <c r="QSK75" s="975"/>
      <c r="QSL75" s="975"/>
      <c r="QSM75" s="975"/>
      <c r="QSN75" s="975"/>
      <c r="QSO75" s="975"/>
      <c r="QSP75" s="975"/>
      <c r="QSQ75" s="975"/>
      <c r="QSR75" s="975"/>
      <c r="QSS75" s="975"/>
      <c r="QST75" s="975"/>
      <c r="QSU75" s="975"/>
      <c r="QSV75" s="975"/>
      <c r="QSW75" s="975"/>
      <c r="QSX75" s="975"/>
      <c r="QSY75" s="975"/>
      <c r="QSZ75" s="975"/>
      <c r="QTA75" s="975"/>
      <c r="QTB75" s="975"/>
      <c r="QTC75" s="975"/>
      <c r="QTD75" s="975"/>
      <c r="QTE75" s="975"/>
      <c r="QTF75" s="975"/>
      <c r="QTG75" s="975"/>
      <c r="QTH75" s="975"/>
      <c r="QTI75" s="975"/>
      <c r="QTJ75" s="975"/>
      <c r="QTK75" s="975"/>
      <c r="QTL75" s="975"/>
      <c r="QTM75" s="975"/>
      <c r="QTN75" s="975"/>
      <c r="QTO75" s="975"/>
      <c r="QTP75" s="975"/>
      <c r="QTQ75" s="975"/>
      <c r="QTR75" s="975"/>
      <c r="QTS75" s="975"/>
      <c r="QTT75" s="975"/>
      <c r="QTU75" s="975"/>
      <c r="QTV75" s="975"/>
      <c r="QTW75" s="975"/>
      <c r="QTX75" s="975"/>
      <c r="QTY75" s="975"/>
      <c r="QTZ75" s="975"/>
      <c r="QUA75" s="975"/>
      <c r="QUB75" s="975"/>
      <c r="QUC75" s="975"/>
      <c r="QUD75" s="975"/>
      <c r="QUE75" s="975"/>
      <c r="QUF75" s="975"/>
      <c r="QUG75" s="975"/>
      <c r="QUH75" s="975"/>
      <c r="QUI75" s="975"/>
      <c r="QUJ75" s="975"/>
      <c r="QUK75" s="975"/>
      <c r="QUL75" s="975"/>
      <c r="QUM75" s="975"/>
      <c r="QUN75" s="975"/>
      <c r="QUO75" s="975"/>
      <c r="QUP75" s="975"/>
      <c r="QUQ75" s="975"/>
      <c r="QUR75" s="975"/>
      <c r="QUS75" s="975"/>
      <c r="QUT75" s="975"/>
      <c r="QUU75" s="975"/>
      <c r="QUV75" s="975"/>
      <c r="QUW75" s="975"/>
      <c r="QUX75" s="975"/>
      <c r="QUY75" s="975"/>
      <c r="QUZ75" s="975"/>
      <c r="QVA75" s="975"/>
      <c r="QVB75" s="975"/>
      <c r="QVC75" s="975"/>
      <c r="QVD75" s="975"/>
      <c r="QVE75" s="975"/>
      <c r="QVF75" s="975"/>
      <c r="QVG75" s="975"/>
      <c r="QVH75" s="975"/>
      <c r="QVI75" s="975"/>
      <c r="QVJ75" s="975"/>
      <c r="QVK75" s="975"/>
      <c r="QVL75" s="975"/>
      <c r="QVM75" s="975"/>
      <c r="QVN75" s="975"/>
      <c r="QVO75" s="975"/>
      <c r="QVP75" s="975"/>
      <c r="QVQ75" s="975"/>
      <c r="QVR75" s="975"/>
      <c r="QVS75" s="975"/>
      <c r="QVT75" s="975"/>
      <c r="QVU75" s="975"/>
      <c r="QVV75" s="975"/>
      <c r="QVW75" s="975"/>
      <c r="QVX75" s="975"/>
      <c r="QVY75" s="975"/>
      <c r="QVZ75" s="975"/>
      <c r="QWA75" s="975"/>
      <c r="QWB75" s="975"/>
      <c r="QWC75" s="975"/>
      <c r="QWD75" s="975"/>
      <c r="QWE75" s="975"/>
      <c r="QWF75" s="975"/>
      <c r="QWG75" s="975"/>
      <c r="QWH75" s="975"/>
      <c r="QWI75" s="975"/>
      <c r="QWJ75" s="975"/>
      <c r="QWK75" s="975"/>
      <c r="QWL75" s="975"/>
      <c r="QWM75" s="975"/>
      <c r="QWN75" s="975"/>
      <c r="QWO75" s="975"/>
      <c r="QWP75" s="975"/>
      <c r="QWQ75" s="975"/>
      <c r="QWR75" s="975"/>
      <c r="QWS75" s="975"/>
      <c r="QWT75" s="975"/>
      <c r="QWU75" s="975"/>
      <c r="QWV75" s="975"/>
      <c r="QWW75" s="975"/>
      <c r="QWX75" s="975"/>
      <c r="QWY75" s="975"/>
      <c r="QWZ75" s="975"/>
      <c r="QXA75" s="975"/>
      <c r="QXB75" s="975"/>
      <c r="QXC75" s="975"/>
      <c r="QXD75" s="975"/>
      <c r="QXE75" s="975"/>
      <c r="QXF75" s="975"/>
      <c r="QXG75" s="975"/>
      <c r="QXH75" s="975"/>
      <c r="QXI75" s="975"/>
      <c r="QXJ75" s="975"/>
      <c r="QXK75" s="975"/>
      <c r="QXL75" s="975"/>
      <c r="QXM75" s="975"/>
      <c r="QXN75" s="975"/>
      <c r="QXO75" s="975"/>
      <c r="QXP75" s="975"/>
      <c r="QXQ75" s="975"/>
      <c r="QXR75" s="975"/>
      <c r="QXS75" s="975"/>
      <c r="QXT75" s="975"/>
      <c r="QXU75" s="975"/>
      <c r="QXV75" s="975"/>
      <c r="QXW75" s="975"/>
      <c r="QXX75" s="975"/>
      <c r="QXY75" s="975"/>
      <c r="QXZ75" s="975"/>
      <c r="QYA75" s="975"/>
      <c r="QYB75" s="975"/>
      <c r="QYC75" s="975"/>
      <c r="QYD75" s="975"/>
      <c r="QYE75" s="975"/>
      <c r="QYF75" s="975"/>
      <c r="QYG75" s="975"/>
      <c r="QYH75" s="975"/>
      <c r="QYI75" s="975"/>
      <c r="QYJ75" s="975"/>
      <c r="QYK75" s="975"/>
      <c r="QYL75" s="975"/>
      <c r="QYM75" s="975"/>
      <c r="QYN75" s="975"/>
      <c r="QYO75" s="975"/>
      <c r="QYP75" s="975"/>
      <c r="QYQ75" s="975"/>
      <c r="QYR75" s="975"/>
      <c r="QYS75" s="975"/>
      <c r="QYT75" s="975"/>
      <c r="QYU75" s="975"/>
      <c r="QYV75" s="975"/>
      <c r="QYW75" s="975"/>
      <c r="QYX75" s="975"/>
      <c r="QYY75" s="975"/>
      <c r="QYZ75" s="975"/>
      <c r="QZA75" s="975"/>
      <c r="QZB75" s="975"/>
      <c r="QZC75" s="975"/>
      <c r="QZD75" s="975"/>
      <c r="QZE75" s="975"/>
      <c r="QZF75" s="975"/>
      <c r="QZG75" s="975"/>
      <c r="QZH75" s="975"/>
      <c r="QZI75" s="975"/>
      <c r="QZJ75" s="975"/>
      <c r="QZK75" s="975"/>
      <c r="QZL75" s="975"/>
      <c r="QZM75" s="975"/>
      <c r="QZN75" s="975"/>
      <c r="QZO75" s="975"/>
      <c r="QZP75" s="975"/>
      <c r="QZQ75" s="975"/>
      <c r="QZR75" s="975"/>
      <c r="QZS75" s="975"/>
      <c r="QZT75" s="975"/>
      <c r="QZU75" s="975"/>
      <c r="QZV75" s="975"/>
      <c r="QZW75" s="975"/>
      <c r="QZX75" s="975"/>
      <c r="QZY75" s="975"/>
      <c r="QZZ75" s="975"/>
      <c r="RAA75" s="975"/>
      <c r="RAB75" s="975"/>
      <c r="RAC75" s="975"/>
      <c r="RAD75" s="975"/>
      <c r="RAE75" s="975"/>
      <c r="RAF75" s="975"/>
      <c r="RAG75" s="975"/>
      <c r="RAH75" s="975"/>
      <c r="RAI75" s="975"/>
      <c r="RAJ75" s="975"/>
      <c r="RAK75" s="975"/>
      <c r="RAL75" s="975"/>
      <c r="RAM75" s="975"/>
      <c r="RAN75" s="975"/>
      <c r="RAO75" s="975"/>
      <c r="RAP75" s="975"/>
      <c r="RAQ75" s="975"/>
      <c r="RAR75" s="975"/>
      <c r="RAS75" s="975"/>
      <c r="RAT75" s="975"/>
      <c r="RAU75" s="975"/>
      <c r="RAV75" s="975"/>
      <c r="RAW75" s="975"/>
      <c r="RAX75" s="975"/>
      <c r="RAY75" s="975"/>
      <c r="RAZ75" s="975"/>
      <c r="RBA75" s="975"/>
      <c r="RBB75" s="975"/>
      <c r="RBC75" s="975"/>
      <c r="RBD75" s="975"/>
      <c r="RBE75" s="975"/>
      <c r="RBF75" s="975"/>
      <c r="RBG75" s="975"/>
      <c r="RBH75" s="975"/>
      <c r="RBI75" s="975"/>
      <c r="RBJ75" s="975"/>
      <c r="RBK75" s="975"/>
      <c r="RBL75" s="975"/>
      <c r="RBM75" s="975"/>
      <c r="RBN75" s="975"/>
      <c r="RBO75" s="975"/>
      <c r="RBP75" s="975"/>
      <c r="RBQ75" s="975"/>
      <c r="RBR75" s="975"/>
      <c r="RBS75" s="975"/>
      <c r="RBT75" s="975"/>
      <c r="RBU75" s="975"/>
      <c r="RBV75" s="975"/>
      <c r="RBW75" s="975"/>
      <c r="RBX75" s="975"/>
      <c r="RBY75" s="975"/>
      <c r="RBZ75" s="975"/>
      <c r="RCA75" s="975"/>
      <c r="RCB75" s="975"/>
      <c r="RCC75" s="975"/>
      <c r="RCD75" s="975"/>
      <c r="RCE75" s="975"/>
      <c r="RCF75" s="975"/>
      <c r="RCG75" s="975"/>
      <c r="RCH75" s="975"/>
      <c r="RCI75" s="975"/>
      <c r="RCJ75" s="975"/>
      <c r="RCK75" s="975"/>
      <c r="RCL75" s="975"/>
      <c r="RCM75" s="975"/>
      <c r="RCN75" s="975"/>
      <c r="RCO75" s="975"/>
      <c r="RCP75" s="975"/>
      <c r="RCQ75" s="975"/>
      <c r="RCR75" s="975"/>
      <c r="RCS75" s="975"/>
      <c r="RCT75" s="975"/>
      <c r="RCU75" s="975"/>
      <c r="RCV75" s="975"/>
      <c r="RCW75" s="975"/>
      <c r="RCX75" s="975"/>
      <c r="RCY75" s="975"/>
      <c r="RCZ75" s="975"/>
      <c r="RDA75" s="975"/>
      <c r="RDB75" s="975"/>
      <c r="RDC75" s="975"/>
      <c r="RDD75" s="975"/>
      <c r="RDE75" s="975"/>
      <c r="RDF75" s="975"/>
      <c r="RDG75" s="975"/>
      <c r="RDH75" s="975"/>
      <c r="RDI75" s="975"/>
      <c r="RDJ75" s="975"/>
      <c r="RDK75" s="975"/>
      <c r="RDL75" s="975"/>
      <c r="RDM75" s="975"/>
      <c r="RDN75" s="975"/>
      <c r="RDO75" s="975"/>
      <c r="RDP75" s="975"/>
      <c r="RDQ75" s="975"/>
      <c r="RDR75" s="975"/>
      <c r="RDS75" s="975"/>
      <c r="RDT75" s="975"/>
      <c r="RDU75" s="975"/>
      <c r="RDV75" s="975"/>
      <c r="RDW75" s="975"/>
      <c r="RDX75" s="975"/>
      <c r="RDY75" s="975"/>
      <c r="RDZ75" s="975"/>
      <c r="REA75" s="975"/>
      <c r="REB75" s="975"/>
      <c r="REC75" s="975"/>
      <c r="RED75" s="975"/>
      <c r="REE75" s="975"/>
      <c r="REF75" s="975"/>
      <c r="REG75" s="975"/>
      <c r="REH75" s="975"/>
      <c r="REI75" s="975"/>
      <c r="REJ75" s="975"/>
      <c r="REK75" s="975"/>
      <c r="REL75" s="975"/>
      <c r="REM75" s="975"/>
      <c r="REN75" s="975"/>
      <c r="REO75" s="975"/>
      <c r="REP75" s="975"/>
      <c r="REQ75" s="975"/>
      <c r="RER75" s="975"/>
      <c r="RES75" s="975"/>
      <c r="RET75" s="975"/>
      <c r="REU75" s="975"/>
      <c r="REV75" s="975"/>
      <c r="REW75" s="975"/>
      <c r="REX75" s="975"/>
      <c r="REY75" s="975"/>
      <c r="REZ75" s="975"/>
      <c r="RFA75" s="975"/>
      <c r="RFB75" s="975"/>
      <c r="RFC75" s="975"/>
      <c r="RFD75" s="975"/>
      <c r="RFE75" s="975"/>
      <c r="RFF75" s="975"/>
      <c r="RFG75" s="975"/>
      <c r="RFH75" s="975"/>
      <c r="RFI75" s="975"/>
      <c r="RFJ75" s="975"/>
      <c r="RFK75" s="975"/>
      <c r="RFL75" s="975"/>
      <c r="RFM75" s="975"/>
      <c r="RFN75" s="975"/>
      <c r="RFO75" s="975"/>
      <c r="RFP75" s="975"/>
      <c r="RFQ75" s="975"/>
      <c r="RFR75" s="975"/>
      <c r="RFS75" s="975"/>
      <c r="RFT75" s="975"/>
      <c r="RFU75" s="975"/>
      <c r="RFV75" s="975"/>
      <c r="RFW75" s="975"/>
      <c r="RFX75" s="975"/>
      <c r="RFY75" s="975"/>
      <c r="RFZ75" s="975"/>
      <c r="RGA75" s="975"/>
      <c r="RGB75" s="975"/>
      <c r="RGC75" s="975"/>
      <c r="RGD75" s="975"/>
      <c r="RGE75" s="975"/>
      <c r="RGF75" s="975"/>
      <c r="RGG75" s="975"/>
      <c r="RGH75" s="975"/>
      <c r="RGI75" s="975"/>
      <c r="RGJ75" s="975"/>
      <c r="RGK75" s="975"/>
      <c r="RGL75" s="975"/>
      <c r="RGM75" s="975"/>
      <c r="RGN75" s="975"/>
      <c r="RGO75" s="975"/>
      <c r="RGP75" s="975"/>
      <c r="RGQ75" s="975"/>
      <c r="RGR75" s="975"/>
      <c r="RGS75" s="975"/>
      <c r="RGT75" s="975"/>
      <c r="RGU75" s="975"/>
      <c r="RGV75" s="975"/>
      <c r="RGW75" s="975"/>
      <c r="RGX75" s="975"/>
      <c r="RGY75" s="975"/>
      <c r="RGZ75" s="975"/>
      <c r="RHA75" s="975"/>
      <c r="RHB75" s="975"/>
      <c r="RHC75" s="975"/>
      <c r="RHD75" s="975"/>
      <c r="RHE75" s="975"/>
      <c r="RHF75" s="975"/>
      <c r="RHG75" s="975"/>
      <c r="RHH75" s="975"/>
      <c r="RHI75" s="975"/>
      <c r="RHJ75" s="975"/>
      <c r="RHK75" s="975"/>
      <c r="RHL75" s="975"/>
      <c r="RHM75" s="975"/>
      <c r="RHN75" s="975"/>
      <c r="RHO75" s="975"/>
      <c r="RHP75" s="975"/>
      <c r="RHQ75" s="975"/>
      <c r="RHR75" s="975"/>
      <c r="RHS75" s="975"/>
      <c r="RHT75" s="975"/>
      <c r="RHU75" s="975"/>
      <c r="RHV75" s="975"/>
      <c r="RHW75" s="975"/>
      <c r="RHX75" s="975"/>
      <c r="RHY75" s="975"/>
      <c r="RHZ75" s="975"/>
      <c r="RIA75" s="975"/>
      <c r="RIB75" s="975"/>
      <c r="RIC75" s="975"/>
      <c r="RID75" s="975"/>
      <c r="RIE75" s="975"/>
      <c r="RIF75" s="975"/>
      <c r="RIG75" s="975"/>
      <c r="RIH75" s="975"/>
      <c r="RII75" s="975"/>
      <c r="RIJ75" s="975"/>
      <c r="RIK75" s="975"/>
      <c r="RIL75" s="975"/>
      <c r="RIM75" s="975"/>
      <c r="RIN75" s="975"/>
      <c r="RIO75" s="975"/>
      <c r="RIP75" s="975"/>
      <c r="RIQ75" s="975"/>
      <c r="RIR75" s="975"/>
      <c r="RIS75" s="975"/>
      <c r="RIT75" s="975"/>
      <c r="RIU75" s="975"/>
      <c r="RIV75" s="975"/>
      <c r="RIW75" s="975"/>
      <c r="RIX75" s="975"/>
      <c r="RIY75" s="975"/>
      <c r="RIZ75" s="975"/>
      <c r="RJA75" s="975"/>
      <c r="RJB75" s="975"/>
      <c r="RJC75" s="975"/>
      <c r="RJD75" s="975"/>
      <c r="RJE75" s="975"/>
      <c r="RJF75" s="975"/>
      <c r="RJG75" s="975"/>
      <c r="RJH75" s="975"/>
      <c r="RJI75" s="975"/>
      <c r="RJJ75" s="975"/>
      <c r="RJK75" s="975"/>
      <c r="RJL75" s="975"/>
      <c r="RJM75" s="975"/>
      <c r="RJN75" s="975"/>
      <c r="RJO75" s="975"/>
      <c r="RJP75" s="975"/>
      <c r="RJQ75" s="975"/>
      <c r="RJR75" s="975"/>
      <c r="RJS75" s="975"/>
      <c r="RJT75" s="975"/>
      <c r="RJU75" s="975"/>
      <c r="RJV75" s="975"/>
      <c r="RJW75" s="975"/>
      <c r="RJX75" s="975"/>
      <c r="RJY75" s="975"/>
      <c r="RJZ75" s="975"/>
      <c r="RKA75" s="975"/>
      <c r="RKB75" s="975"/>
      <c r="RKC75" s="975"/>
      <c r="RKD75" s="975"/>
      <c r="RKE75" s="975"/>
      <c r="RKF75" s="975"/>
      <c r="RKG75" s="975"/>
      <c r="RKH75" s="975"/>
      <c r="RKI75" s="975"/>
      <c r="RKJ75" s="975"/>
      <c r="RKK75" s="975"/>
      <c r="RKL75" s="975"/>
      <c r="RKM75" s="975"/>
      <c r="RKN75" s="975"/>
      <c r="RKO75" s="975"/>
      <c r="RKP75" s="975"/>
      <c r="RKQ75" s="975"/>
      <c r="RKR75" s="975"/>
      <c r="RKS75" s="975"/>
      <c r="RKT75" s="975"/>
      <c r="RKU75" s="975"/>
      <c r="RKV75" s="975"/>
      <c r="RKW75" s="975"/>
      <c r="RKX75" s="975"/>
      <c r="RKY75" s="975"/>
      <c r="RKZ75" s="975"/>
      <c r="RLA75" s="975"/>
      <c r="RLB75" s="975"/>
      <c r="RLC75" s="975"/>
      <c r="RLD75" s="975"/>
      <c r="RLE75" s="975"/>
      <c r="RLF75" s="975"/>
      <c r="RLG75" s="975"/>
      <c r="RLH75" s="975"/>
      <c r="RLI75" s="975"/>
      <c r="RLJ75" s="975"/>
      <c r="RLK75" s="975"/>
      <c r="RLL75" s="975"/>
      <c r="RLM75" s="975"/>
      <c r="RLN75" s="975"/>
      <c r="RLO75" s="975"/>
      <c r="RLP75" s="975"/>
      <c r="RLQ75" s="975"/>
      <c r="RLR75" s="975"/>
      <c r="RLS75" s="975"/>
      <c r="RLT75" s="975"/>
      <c r="RLU75" s="975"/>
      <c r="RLV75" s="975"/>
      <c r="RLW75" s="975"/>
      <c r="RLX75" s="975"/>
      <c r="RLY75" s="975"/>
      <c r="RLZ75" s="975"/>
      <c r="RMA75" s="975"/>
      <c r="RMB75" s="975"/>
      <c r="RMC75" s="975"/>
      <c r="RMD75" s="975"/>
      <c r="RME75" s="975"/>
      <c r="RMF75" s="975"/>
      <c r="RMG75" s="975"/>
      <c r="RMH75" s="975"/>
      <c r="RMI75" s="975"/>
      <c r="RMJ75" s="975"/>
      <c r="RMK75" s="975"/>
      <c r="RML75" s="975"/>
      <c r="RMM75" s="975"/>
      <c r="RMN75" s="975"/>
      <c r="RMO75" s="975"/>
      <c r="RMP75" s="975"/>
      <c r="RMQ75" s="975"/>
      <c r="RMR75" s="975"/>
      <c r="RMS75" s="975"/>
      <c r="RMT75" s="975"/>
      <c r="RMU75" s="975"/>
      <c r="RMV75" s="975"/>
      <c r="RMW75" s="975"/>
      <c r="RMX75" s="975"/>
      <c r="RMY75" s="975"/>
      <c r="RMZ75" s="975"/>
      <c r="RNA75" s="975"/>
      <c r="RNB75" s="975"/>
      <c r="RNC75" s="975"/>
      <c r="RND75" s="975"/>
      <c r="RNE75" s="975"/>
      <c r="RNF75" s="975"/>
      <c r="RNG75" s="975"/>
      <c r="RNH75" s="975"/>
      <c r="RNI75" s="975"/>
      <c r="RNJ75" s="975"/>
      <c r="RNK75" s="975"/>
      <c r="RNL75" s="975"/>
      <c r="RNM75" s="975"/>
      <c r="RNN75" s="975"/>
      <c r="RNO75" s="975"/>
      <c r="RNP75" s="975"/>
      <c r="RNQ75" s="975"/>
      <c r="RNR75" s="975"/>
      <c r="RNS75" s="975"/>
      <c r="RNT75" s="975"/>
      <c r="RNU75" s="975"/>
      <c r="RNV75" s="975"/>
      <c r="RNW75" s="975"/>
      <c r="RNX75" s="975"/>
      <c r="RNY75" s="975"/>
      <c r="RNZ75" s="975"/>
      <c r="ROA75" s="975"/>
      <c r="ROB75" s="975"/>
      <c r="ROC75" s="975"/>
      <c r="ROD75" s="975"/>
      <c r="ROE75" s="975"/>
      <c r="ROF75" s="975"/>
      <c r="ROG75" s="975"/>
      <c r="ROH75" s="975"/>
      <c r="ROI75" s="975"/>
      <c r="ROJ75" s="975"/>
      <c r="ROK75" s="975"/>
      <c r="ROL75" s="975"/>
      <c r="ROM75" s="975"/>
      <c r="RON75" s="975"/>
      <c r="ROO75" s="975"/>
      <c r="ROP75" s="975"/>
      <c r="ROQ75" s="975"/>
      <c r="ROR75" s="975"/>
      <c r="ROS75" s="975"/>
      <c r="ROT75" s="975"/>
      <c r="ROU75" s="975"/>
      <c r="ROV75" s="975"/>
      <c r="ROW75" s="975"/>
      <c r="ROX75" s="975"/>
      <c r="ROY75" s="975"/>
      <c r="ROZ75" s="975"/>
      <c r="RPA75" s="975"/>
      <c r="RPB75" s="975"/>
      <c r="RPC75" s="975"/>
      <c r="RPD75" s="975"/>
      <c r="RPE75" s="975"/>
      <c r="RPF75" s="975"/>
      <c r="RPG75" s="975"/>
      <c r="RPH75" s="975"/>
      <c r="RPI75" s="975"/>
      <c r="RPJ75" s="975"/>
      <c r="RPK75" s="975"/>
      <c r="RPL75" s="975"/>
      <c r="RPM75" s="975"/>
      <c r="RPN75" s="975"/>
      <c r="RPO75" s="975"/>
      <c r="RPP75" s="975"/>
      <c r="RPQ75" s="975"/>
      <c r="RPR75" s="975"/>
      <c r="RPS75" s="975"/>
      <c r="RPT75" s="975"/>
      <c r="RPU75" s="975"/>
      <c r="RPV75" s="975"/>
      <c r="RPW75" s="975"/>
      <c r="RPX75" s="975"/>
      <c r="RPY75" s="975"/>
      <c r="RPZ75" s="975"/>
      <c r="RQA75" s="975"/>
      <c r="RQB75" s="975"/>
      <c r="RQC75" s="975"/>
      <c r="RQD75" s="975"/>
      <c r="RQE75" s="975"/>
      <c r="RQF75" s="975"/>
      <c r="RQG75" s="975"/>
      <c r="RQH75" s="975"/>
      <c r="RQI75" s="975"/>
      <c r="RQJ75" s="975"/>
      <c r="RQK75" s="975"/>
      <c r="RQL75" s="975"/>
      <c r="RQM75" s="975"/>
      <c r="RQN75" s="975"/>
      <c r="RQO75" s="975"/>
      <c r="RQP75" s="975"/>
      <c r="RQQ75" s="975"/>
      <c r="RQR75" s="975"/>
      <c r="RQS75" s="975"/>
      <c r="RQT75" s="975"/>
      <c r="RQU75" s="975"/>
      <c r="RQV75" s="975"/>
      <c r="RQW75" s="975"/>
      <c r="RQX75" s="975"/>
      <c r="RQY75" s="975"/>
      <c r="RQZ75" s="975"/>
      <c r="RRA75" s="975"/>
      <c r="RRB75" s="975"/>
      <c r="RRC75" s="975"/>
      <c r="RRD75" s="975"/>
      <c r="RRE75" s="975"/>
      <c r="RRF75" s="975"/>
      <c r="RRG75" s="975"/>
      <c r="RRH75" s="975"/>
      <c r="RRI75" s="975"/>
      <c r="RRJ75" s="975"/>
      <c r="RRK75" s="975"/>
      <c r="RRL75" s="975"/>
      <c r="RRM75" s="975"/>
      <c r="RRN75" s="975"/>
      <c r="RRO75" s="975"/>
      <c r="RRP75" s="975"/>
      <c r="RRQ75" s="975"/>
      <c r="RRR75" s="975"/>
      <c r="RRS75" s="975"/>
      <c r="RRT75" s="975"/>
      <c r="RRU75" s="975"/>
      <c r="RRV75" s="975"/>
      <c r="RRW75" s="975"/>
      <c r="RRX75" s="975"/>
      <c r="RRY75" s="975"/>
      <c r="RRZ75" s="975"/>
      <c r="RSA75" s="975"/>
      <c r="RSB75" s="975"/>
      <c r="RSC75" s="975"/>
      <c r="RSD75" s="975"/>
      <c r="RSE75" s="975"/>
      <c r="RSF75" s="975"/>
      <c r="RSG75" s="975"/>
      <c r="RSH75" s="975"/>
      <c r="RSI75" s="975"/>
      <c r="RSJ75" s="975"/>
      <c r="RSK75" s="975"/>
      <c r="RSL75" s="975"/>
      <c r="RSM75" s="975"/>
      <c r="RSN75" s="975"/>
      <c r="RSO75" s="975"/>
      <c r="RSP75" s="975"/>
      <c r="RSQ75" s="975"/>
      <c r="RSR75" s="975"/>
      <c r="RSS75" s="975"/>
      <c r="RST75" s="975"/>
      <c r="RSU75" s="975"/>
      <c r="RSV75" s="975"/>
      <c r="RSW75" s="975"/>
      <c r="RSX75" s="975"/>
      <c r="RSY75" s="975"/>
      <c r="RSZ75" s="975"/>
      <c r="RTA75" s="975"/>
      <c r="RTB75" s="975"/>
      <c r="RTC75" s="975"/>
      <c r="RTD75" s="975"/>
      <c r="RTE75" s="975"/>
      <c r="RTF75" s="975"/>
      <c r="RTG75" s="975"/>
      <c r="RTH75" s="975"/>
      <c r="RTI75" s="975"/>
      <c r="RTJ75" s="975"/>
      <c r="RTK75" s="975"/>
      <c r="RTL75" s="975"/>
      <c r="RTM75" s="975"/>
      <c r="RTN75" s="975"/>
      <c r="RTO75" s="975"/>
      <c r="RTP75" s="975"/>
      <c r="RTQ75" s="975"/>
      <c r="RTR75" s="975"/>
      <c r="RTS75" s="975"/>
      <c r="RTT75" s="975"/>
      <c r="RTU75" s="975"/>
      <c r="RTV75" s="975"/>
      <c r="RTW75" s="975"/>
      <c r="RTX75" s="975"/>
      <c r="RTY75" s="975"/>
      <c r="RTZ75" s="975"/>
      <c r="RUA75" s="975"/>
      <c r="RUB75" s="975"/>
      <c r="RUC75" s="975"/>
      <c r="RUD75" s="975"/>
      <c r="RUE75" s="975"/>
      <c r="RUF75" s="975"/>
      <c r="RUG75" s="975"/>
      <c r="RUH75" s="975"/>
      <c r="RUI75" s="975"/>
      <c r="RUJ75" s="975"/>
      <c r="RUK75" s="975"/>
      <c r="RUL75" s="975"/>
      <c r="RUM75" s="975"/>
      <c r="RUN75" s="975"/>
      <c r="RUO75" s="975"/>
      <c r="RUP75" s="975"/>
      <c r="RUQ75" s="975"/>
      <c r="RUR75" s="975"/>
      <c r="RUS75" s="975"/>
      <c r="RUT75" s="975"/>
      <c r="RUU75" s="975"/>
      <c r="RUV75" s="975"/>
      <c r="RUW75" s="975"/>
      <c r="RUX75" s="975"/>
      <c r="RUY75" s="975"/>
      <c r="RUZ75" s="975"/>
      <c r="RVA75" s="975"/>
      <c r="RVB75" s="975"/>
      <c r="RVC75" s="975"/>
      <c r="RVD75" s="975"/>
      <c r="RVE75" s="975"/>
      <c r="RVF75" s="975"/>
      <c r="RVG75" s="975"/>
      <c r="RVH75" s="975"/>
      <c r="RVI75" s="975"/>
      <c r="RVJ75" s="975"/>
      <c r="RVK75" s="975"/>
      <c r="RVL75" s="975"/>
      <c r="RVM75" s="975"/>
      <c r="RVN75" s="975"/>
      <c r="RVO75" s="975"/>
      <c r="RVP75" s="975"/>
      <c r="RVQ75" s="975"/>
      <c r="RVR75" s="975"/>
      <c r="RVS75" s="975"/>
      <c r="RVT75" s="975"/>
      <c r="RVU75" s="975"/>
      <c r="RVV75" s="975"/>
      <c r="RVW75" s="975"/>
      <c r="RVX75" s="975"/>
      <c r="RVY75" s="975"/>
      <c r="RVZ75" s="975"/>
      <c r="RWA75" s="975"/>
      <c r="RWB75" s="975"/>
      <c r="RWC75" s="975"/>
      <c r="RWD75" s="975"/>
      <c r="RWE75" s="975"/>
      <c r="RWF75" s="975"/>
      <c r="RWG75" s="975"/>
      <c r="RWH75" s="975"/>
      <c r="RWI75" s="975"/>
      <c r="RWJ75" s="975"/>
      <c r="RWK75" s="975"/>
      <c r="RWL75" s="975"/>
      <c r="RWM75" s="975"/>
      <c r="RWN75" s="975"/>
      <c r="RWO75" s="975"/>
      <c r="RWP75" s="975"/>
      <c r="RWQ75" s="975"/>
      <c r="RWR75" s="975"/>
      <c r="RWS75" s="975"/>
      <c r="RWT75" s="975"/>
      <c r="RWU75" s="975"/>
      <c r="RWV75" s="975"/>
      <c r="RWW75" s="975"/>
      <c r="RWX75" s="975"/>
      <c r="RWY75" s="975"/>
      <c r="RWZ75" s="975"/>
      <c r="RXA75" s="975"/>
      <c r="RXB75" s="975"/>
      <c r="RXC75" s="975"/>
      <c r="RXD75" s="975"/>
      <c r="RXE75" s="975"/>
      <c r="RXF75" s="975"/>
      <c r="RXG75" s="975"/>
      <c r="RXH75" s="975"/>
      <c r="RXI75" s="975"/>
      <c r="RXJ75" s="975"/>
      <c r="RXK75" s="975"/>
      <c r="RXL75" s="975"/>
      <c r="RXM75" s="975"/>
      <c r="RXN75" s="975"/>
      <c r="RXO75" s="975"/>
      <c r="RXP75" s="975"/>
      <c r="RXQ75" s="975"/>
      <c r="RXR75" s="975"/>
      <c r="RXS75" s="975"/>
      <c r="RXT75" s="975"/>
      <c r="RXU75" s="975"/>
      <c r="RXV75" s="975"/>
      <c r="RXW75" s="975"/>
      <c r="RXX75" s="975"/>
      <c r="RXY75" s="975"/>
      <c r="RXZ75" s="975"/>
      <c r="RYA75" s="975"/>
      <c r="RYB75" s="975"/>
      <c r="RYC75" s="975"/>
      <c r="RYD75" s="975"/>
      <c r="RYE75" s="975"/>
      <c r="RYF75" s="975"/>
      <c r="RYG75" s="975"/>
      <c r="RYH75" s="975"/>
      <c r="RYI75" s="975"/>
      <c r="RYJ75" s="975"/>
      <c r="RYK75" s="975"/>
      <c r="RYL75" s="975"/>
      <c r="RYM75" s="975"/>
      <c r="RYN75" s="975"/>
      <c r="RYO75" s="975"/>
      <c r="RYP75" s="975"/>
      <c r="RYQ75" s="975"/>
      <c r="RYR75" s="975"/>
      <c r="RYS75" s="975"/>
      <c r="RYT75" s="975"/>
      <c r="RYU75" s="975"/>
      <c r="RYV75" s="975"/>
      <c r="RYW75" s="975"/>
      <c r="RYX75" s="975"/>
      <c r="RYY75" s="975"/>
      <c r="RYZ75" s="975"/>
      <c r="RZA75" s="975"/>
      <c r="RZB75" s="975"/>
      <c r="RZC75" s="975"/>
      <c r="RZD75" s="975"/>
      <c r="RZE75" s="975"/>
      <c r="RZF75" s="975"/>
      <c r="RZG75" s="975"/>
      <c r="RZH75" s="975"/>
      <c r="RZI75" s="975"/>
      <c r="RZJ75" s="975"/>
      <c r="RZK75" s="975"/>
      <c r="RZL75" s="975"/>
      <c r="RZM75" s="975"/>
      <c r="RZN75" s="975"/>
      <c r="RZO75" s="975"/>
      <c r="RZP75" s="975"/>
      <c r="RZQ75" s="975"/>
      <c r="RZR75" s="975"/>
      <c r="RZS75" s="975"/>
      <c r="RZT75" s="975"/>
      <c r="RZU75" s="975"/>
      <c r="RZV75" s="975"/>
      <c r="RZW75" s="975"/>
      <c r="RZX75" s="975"/>
      <c r="RZY75" s="975"/>
      <c r="RZZ75" s="975"/>
      <c r="SAA75" s="975"/>
      <c r="SAB75" s="975"/>
      <c r="SAC75" s="975"/>
      <c r="SAD75" s="975"/>
      <c r="SAE75" s="975"/>
      <c r="SAF75" s="975"/>
      <c r="SAG75" s="975"/>
      <c r="SAH75" s="975"/>
      <c r="SAI75" s="975"/>
      <c r="SAJ75" s="975"/>
      <c r="SAK75" s="975"/>
      <c r="SAL75" s="975"/>
      <c r="SAM75" s="975"/>
      <c r="SAN75" s="975"/>
      <c r="SAO75" s="975"/>
      <c r="SAP75" s="975"/>
      <c r="SAQ75" s="975"/>
      <c r="SAR75" s="975"/>
      <c r="SAS75" s="975"/>
      <c r="SAT75" s="975"/>
      <c r="SAU75" s="975"/>
      <c r="SAV75" s="975"/>
      <c r="SAW75" s="975"/>
      <c r="SAX75" s="975"/>
      <c r="SAY75" s="975"/>
      <c r="SAZ75" s="975"/>
      <c r="SBA75" s="975"/>
      <c r="SBB75" s="975"/>
      <c r="SBC75" s="975"/>
      <c r="SBD75" s="975"/>
      <c r="SBE75" s="975"/>
      <c r="SBF75" s="975"/>
      <c r="SBG75" s="975"/>
      <c r="SBH75" s="975"/>
      <c r="SBI75" s="975"/>
      <c r="SBJ75" s="975"/>
      <c r="SBK75" s="975"/>
      <c r="SBL75" s="975"/>
      <c r="SBM75" s="975"/>
      <c r="SBN75" s="975"/>
      <c r="SBO75" s="975"/>
      <c r="SBP75" s="975"/>
      <c r="SBQ75" s="975"/>
      <c r="SBR75" s="975"/>
      <c r="SBS75" s="975"/>
      <c r="SBT75" s="975"/>
      <c r="SBU75" s="975"/>
      <c r="SBV75" s="975"/>
      <c r="SBW75" s="975"/>
      <c r="SBX75" s="975"/>
      <c r="SBY75" s="975"/>
      <c r="SBZ75" s="975"/>
      <c r="SCA75" s="975"/>
      <c r="SCB75" s="975"/>
      <c r="SCC75" s="975"/>
      <c r="SCD75" s="975"/>
      <c r="SCE75" s="975"/>
      <c r="SCF75" s="975"/>
      <c r="SCG75" s="975"/>
      <c r="SCH75" s="975"/>
      <c r="SCI75" s="975"/>
      <c r="SCJ75" s="975"/>
      <c r="SCK75" s="975"/>
      <c r="SCL75" s="975"/>
      <c r="SCM75" s="975"/>
      <c r="SCN75" s="975"/>
      <c r="SCO75" s="975"/>
      <c r="SCP75" s="975"/>
      <c r="SCQ75" s="975"/>
      <c r="SCR75" s="975"/>
      <c r="SCS75" s="975"/>
      <c r="SCT75" s="975"/>
      <c r="SCU75" s="975"/>
      <c r="SCV75" s="975"/>
      <c r="SCW75" s="975"/>
      <c r="SCX75" s="975"/>
      <c r="SCY75" s="975"/>
      <c r="SCZ75" s="975"/>
      <c r="SDA75" s="975"/>
      <c r="SDB75" s="975"/>
      <c r="SDC75" s="975"/>
      <c r="SDD75" s="975"/>
      <c r="SDE75" s="975"/>
      <c r="SDF75" s="975"/>
      <c r="SDG75" s="975"/>
      <c r="SDH75" s="975"/>
      <c r="SDI75" s="975"/>
      <c r="SDJ75" s="975"/>
      <c r="SDK75" s="975"/>
      <c r="SDL75" s="975"/>
      <c r="SDM75" s="975"/>
      <c r="SDN75" s="975"/>
      <c r="SDO75" s="975"/>
      <c r="SDP75" s="975"/>
      <c r="SDQ75" s="975"/>
      <c r="SDR75" s="975"/>
      <c r="SDS75" s="975"/>
      <c r="SDT75" s="975"/>
      <c r="SDU75" s="975"/>
      <c r="SDV75" s="975"/>
      <c r="SDW75" s="975"/>
      <c r="SDX75" s="975"/>
      <c r="SDY75" s="975"/>
      <c r="SDZ75" s="975"/>
      <c r="SEA75" s="975"/>
      <c r="SEB75" s="975"/>
      <c r="SEC75" s="975"/>
      <c r="SED75" s="975"/>
      <c r="SEE75" s="975"/>
      <c r="SEF75" s="975"/>
      <c r="SEG75" s="975"/>
      <c r="SEH75" s="975"/>
      <c r="SEI75" s="975"/>
      <c r="SEJ75" s="975"/>
      <c r="SEK75" s="975"/>
      <c r="SEL75" s="975"/>
      <c r="SEM75" s="975"/>
      <c r="SEN75" s="975"/>
      <c r="SEO75" s="975"/>
      <c r="SEP75" s="975"/>
      <c r="SEQ75" s="975"/>
      <c r="SER75" s="975"/>
      <c r="SES75" s="975"/>
      <c r="SET75" s="975"/>
      <c r="SEU75" s="975"/>
      <c r="SEV75" s="975"/>
      <c r="SEW75" s="975"/>
      <c r="SEX75" s="975"/>
      <c r="SEY75" s="975"/>
      <c r="SEZ75" s="975"/>
      <c r="SFA75" s="975"/>
      <c r="SFB75" s="975"/>
      <c r="SFC75" s="975"/>
      <c r="SFD75" s="975"/>
      <c r="SFE75" s="975"/>
      <c r="SFF75" s="975"/>
      <c r="SFG75" s="975"/>
      <c r="SFH75" s="975"/>
      <c r="SFI75" s="975"/>
      <c r="SFJ75" s="975"/>
      <c r="SFK75" s="975"/>
      <c r="SFL75" s="975"/>
      <c r="SFM75" s="975"/>
      <c r="SFN75" s="975"/>
      <c r="SFO75" s="975"/>
      <c r="SFP75" s="975"/>
      <c r="SFQ75" s="975"/>
      <c r="SFR75" s="975"/>
      <c r="SFS75" s="975"/>
      <c r="SFT75" s="975"/>
      <c r="SFU75" s="975"/>
      <c r="SFV75" s="975"/>
      <c r="SFW75" s="975"/>
      <c r="SFX75" s="975"/>
      <c r="SFY75" s="975"/>
      <c r="SFZ75" s="975"/>
      <c r="SGA75" s="975"/>
      <c r="SGB75" s="975"/>
      <c r="SGC75" s="975"/>
      <c r="SGD75" s="975"/>
      <c r="SGE75" s="975"/>
      <c r="SGF75" s="975"/>
      <c r="SGG75" s="975"/>
      <c r="SGH75" s="975"/>
      <c r="SGI75" s="975"/>
      <c r="SGJ75" s="975"/>
      <c r="SGK75" s="975"/>
      <c r="SGL75" s="975"/>
      <c r="SGM75" s="975"/>
      <c r="SGN75" s="975"/>
      <c r="SGO75" s="975"/>
      <c r="SGP75" s="975"/>
      <c r="SGQ75" s="975"/>
      <c r="SGR75" s="975"/>
      <c r="SGS75" s="975"/>
      <c r="SGT75" s="975"/>
      <c r="SGU75" s="975"/>
      <c r="SGV75" s="975"/>
      <c r="SGW75" s="975"/>
      <c r="SGX75" s="975"/>
      <c r="SGY75" s="975"/>
      <c r="SGZ75" s="975"/>
      <c r="SHA75" s="975"/>
      <c r="SHB75" s="975"/>
      <c r="SHC75" s="975"/>
      <c r="SHD75" s="975"/>
      <c r="SHE75" s="975"/>
      <c r="SHF75" s="975"/>
      <c r="SHG75" s="975"/>
      <c r="SHH75" s="975"/>
      <c r="SHI75" s="975"/>
      <c r="SHJ75" s="975"/>
      <c r="SHK75" s="975"/>
      <c r="SHL75" s="975"/>
      <c r="SHM75" s="975"/>
      <c r="SHN75" s="975"/>
      <c r="SHO75" s="975"/>
      <c r="SHP75" s="975"/>
      <c r="SHQ75" s="975"/>
      <c r="SHR75" s="975"/>
      <c r="SHS75" s="975"/>
      <c r="SHT75" s="975"/>
      <c r="SHU75" s="975"/>
      <c r="SHV75" s="975"/>
      <c r="SHW75" s="975"/>
      <c r="SHX75" s="975"/>
      <c r="SHY75" s="975"/>
      <c r="SHZ75" s="975"/>
      <c r="SIA75" s="975"/>
      <c r="SIB75" s="975"/>
      <c r="SIC75" s="975"/>
      <c r="SID75" s="975"/>
      <c r="SIE75" s="975"/>
      <c r="SIF75" s="975"/>
      <c r="SIG75" s="975"/>
      <c r="SIH75" s="975"/>
      <c r="SII75" s="975"/>
      <c r="SIJ75" s="975"/>
      <c r="SIK75" s="975"/>
      <c r="SIL75" s="975"/>
      <c r="SIM75" s="975"/>
      <c r="SIN75" s="975"/>
      <c r="SIO75" s="975"/>
      <c r="SIP75" s="975"/>
      <c r="SIQ75" s="975"/>
      <c r="SIR75" s="975"/>
      <c r="SIS75" s="975"/>
      <c r="SIT75" s="975"/>
      <c r="SIU75" s="975"/>
      <c r="SIV75" s="975"/>
      <c r="SIW75" s="975"/>
      <c r="SIX75" s="975"/>
      <c r="SIY75" s="975"/>
      <c r="SIZ75" s="975"/>
      <c r="SJA75" s="975"/>
      <c r="SJB75" s="975"/>
      <c r="SJC75" s="975"/>
      <c r="SJD75" s="975"/>
      <c r="SJE75" s="975"/>
      <c r="SJF75" s="975"/>
      <c r="SJG75" s="975"/>
      <c r="SJH75" s="975"/>
      <c r="SJI75" s="975"/>
      <c r="SJJ75" s="975"/>
      <c r="SJK75" s="975"/>
      <c r="SJL75" s="975"/>
      <c r="SJM75" s="975"/>
      <c r="SJN75" s="975"/>
      <c r="SJO75" s="975"/>
      <c r="SJP75" s="975"/>
      <c r="SJQ75" s="975"/>
      <c r="SJR75" s="975"/>
      <c r="SJS75" s="975"/>
      <c r="SJT75" s="975"/>
      <c r="SJU75" s="975"/>
      <c r="SJV75" s="975"/>
      <c r="SJW75" s="975"/>
      <c r="SJX75" s="975"/>
      <c r="SJY75" s="975"/>
      <c r="SJZ75" s="975"/>
      <c r="SKA75" s="975"/>
      <c r="SKB75" s="975"/>
      <c r="SKC75" s="975"/>
      <c r="SKD75" s="975"/>
      <c r="SKE75" s="975"/>
      <c r="SKF75" s="975"/>
      <c r="SKG75" s="975"/>
      <c r="SKH75" s="975"/>
      <c r="SKI75" s="975"/>
      <c r="SKJ75" s="975"/>
      <c r="SKK75" s="975"/>
      <c r="SKL75" s="975"/>
      <c r="SKM75" s="975"/>
      <c r="SKN75" s="975"/>
      <c r="SKO75" s="975"/>
      <c r="SKP75" s="975"/>
      <c r="SKQ75" s="975"/>
      <c r="SKR75" s="975"/>
      <c r="SKS75" s="975"/>
      <c r="SKT75" s="975"/>
      <c r="SKU75" s="975"/>
      <c r="SKV75" s="975"/>
      <c r="SKW75" s="975"/>
      <c r="SKX75" s="975"/>
      <c r="SKY75" s="975"/>
      <c r="SKZ75" s="975"/>
      <c r="SLA75" s="975"/>
      <c r="SLB75" s="975"/>
      <c r="SLC75" s="975"/>
      <c r="SLD75" s="975"/>
      <c r="SLE75" s="975"/>
      <c r="SLF75" s="975"/>
      <c r="SLG75" s="975"/>
      <c r="SLH75" s="975"/>
      <c r="SLI75" s="975"/>
      <c r="SLJ75" s="975"/>
      <c r="SLK75" s="975"/>
      <c r="SLL75" s="975"/>
      <c r="SLM75" s="975"/>
      <c r="SLN75" s="975"/>
      <c r="SLO75" s="975"/>
      <c r="SLP75" s="975"/>
      <c r="SLQ75" s="975"/>
      <c r="SLR75" s="975"/>
      <c r="SLS75" s="975"/>
      <c r="SLT75" s="975"/>
      <c r="SLU75" s="975"/>
      <c r="SLV75" s="975"/>
      <c r="SLW75" s="975"/>
      <c r="SLX75" s="975"/>
      <c r="SLY75" s="975"/>
      <c r="SLZ75" s="975"/>
      <c r="SMA75" s="975"/>
      <c r="SMB75" s="975"/>
      <c r="SMC75" s="975"/>
      <c r="SMD75" s="975"/>
      <c r="SME75" s="975"/>
      <c r="SMF75" s="975"/>
      <c r="SMG75" s="975"/>
      <c r="SMH75" s="975"/>
      <c r="SMI75" s="975"/>
      <c r="SMJ75" s="975"/>
      <c r="SMK75" s="975"/>
      <c r="SML75" s="975"/>
      <c r="SMM75" s="975"/>
      <c r="SMN75" s="975"/>
      <c r="SMO75" s="975"/>
      <c r="SMP75" s="975"/>
      <c r="SMQ75" s="975"/>
      <c r="SMR75" s="975"/>
      <c r="SMS75" s="975"/>
      <c r="SMT75" s="975"/>
      <c r="SMU75" s="975"/>
      <c r="SMV75" s="975"/>
      <c r="SMW75" s="975"/>
      <c r="SMX75" s="975"/>
      <c r="SMY75" s="975"/>
      <c r="SMZ75" s="975"/>
      <c r="SNA75" s="975"/>
      <c r="SNB75" s="975"/>
      <c r="SNC75" s="975"/>
      <c r="SND75" s="975"/>
      <c r="SNE75" s="975"/>
      <c r="SNF75" s="975"/>
      <c r="SNG75" s="975"/>
      <c r="SNH75" s="975"/>
      <c r="SNI75" s="975"/>
      <c r="SNJ75" s="975"/>
      <c r="SNK75" s="975"/>
      <c r="SNL75" s="975"/>
      <c r="SNM75" s="975"/>
      <c r="SNN75" s="975"/>
      <c r="SNO75" s="975"/>
      <c r="SNP75" s="975"/>
      <c r="SNQ75" s="975"/>
      <c r="SNR75" s="975"/>
      <c r="SNS75" s="975"/>
      <c r="SNT75" s="975"/>
      <c r="SNU75" s="975"/>
      <c r="SNV75" s="975"/>
      <c r="SNW75" s="975"/>
      <c r="SNX75" s="975"/>
      <c r="SNY75" s="975"/>
      <c r="SNZ75" s="975"/>
      <c r="SOA75" s="975"/>
      <c r="SOB75" s="975"/>
      <c r="SOC75" s="975"/>
      <c r="SOD75" s="975"/>
      <c r="SOE75" s="975"/>
      <c r="SOF75" s="975"/>
      <c r="SOG75" s="975"/>
      <c r="SOH75" s="975"/>
      <c r="SOI75" s="975"/>
      <c r="SOJ75" s="975"/>
      <c r="SOK75" s="975"/>
      <c r="SOL75" s="975"/>
      <c r="SOM75" s="975"/>
      <c r="SON75" s="975"/>
      <c r="SOO75" s="975"/>
      <c r="SOP75" s="975"/>
      <c r="SOQ75" s="975"/>
      <c r="SOR75" s="975"/>
      <c r="SOS75" s="975"/>
      <c r="SOT75" s="975"/>
      <c r="SOU75" s="975"/>
      <c r="SOV75" s="975"/>
      <c r="SOW75" s="975"/>
      <c r="SOX75" s="975"/>
      <c r="SOY75" s="975"/>
      <c r="SOZ75" s="975"/>
      <c r="SPA75" s="975"/>
      <c r="SPB75" s="975"/>
      <c r="SPC75" s="975"/>
      <c r="SPD75" s="975"/>
      <c r="SPE75" s="975"/>
      <c r="SPF75" s="975"/>
      <c r="SPG75" s="975"/>
      <c r="SPH75" s="975"/>
      <c r="SPI75" s="975"/>
      <c r="SPJ75" s="975"/>
      <c r="SPK75" s="975"/>
      <c r="SPL75" s="975"/>
      <c r="SPM75" s="975"/>
      <c r="SPN75" s="975"/>
      <c r="SPO75" s="975"/>
      <c r="SPP75" s="975"/>
      <c r="SPQ75" s="975"/>
      <c r="SPR75" s="975"/>
      <c r="SPS75" s="975"/>
      <c r="SPT75" s="975"/>
      <c r="SPU75" s="975"/>
      <c r="SPV75" s="975"/>
      <c r="SPW75" s="975"/>
      <c r="SPX75" s="975"/>
      <c r="SPY75" s="975"/>
      <c r="SPZ75" s="975"/>
      <c r="SQA75" s="975"/>
      <c r="SQB75" s="975"/>
      <c r="SQC75" s="975"/>
      <c r="SQD75" s="975"/>
      <c r="SQE75" s="975"/>
      <c r="SQF75" s="975"/>
      <c r="SQG75" s="975"/>
      <c r="SQH75" s="975"/>
      <c r="SQI75" s="975"/>
      <c r="SQJ75" s="975"/>
      <c r="SQK75" s="975"/>
      <c r="SQL75" s="975"/>
      <c r="SQM75" s="975"/>
      <c r="SQN75" s="975"/>
      <c r="SQO75" s="975"/>
      <c r="SQP75" s="975"/>
      <c r="SQQ75" s="975"/>
      <c r="SQR75" s="975"/>
      <c r="SQS75" s="975"/>
      <c r="SQT75" s="975"/>
      <c r="SQU75" s="975"/>
      <c r="SQV75" s="975"/>
      <c r="SQW75" s="975"/>
      <c r="SQX75" s="975"/>
      <c r="SQY75" s="975"/>
      <c r="SQZ75" s="975"/>
      <c r="SRA75" s="975"/>
      <c r="SRB75" s="975"/>
      <c r="SRC75" s="975"/>
      <c r="SRD75" s="975"/>
      <c r="SRE75" s="975"/>
      <c r="SRF75" s="975"/>
      <c r="SRG75" s="975"/>
      <c r="SRH75" s="975"/>
      <c r="SRI75" s="975"/>
      <c r="SRJ75" s="975"/>
      <c r="SRK75" s="975"/>
      <c r="SRL75" s="975"/>
      <c r="SRM75" s="975"/>
      <c r="SRN75" s="975"/>
      <c r="SRO75" s="975"/>
      <c r="SRP75" s="975"/>
      <c r="SRQ75" s="975"/>
      <c r="SRR75" s="975"/>
      <c r="SRS75" s="975"/>
      <c r="SRT75" s="975"/>
      <c r="SRU75" s="975"/>
      <c r="SRV75" s="975"/>
      <c r="SRW75" s="975"/>
      <c r="SRX75" s="975"/>
      <c r="SRY75" s="975"/>
      <c r="SRZ75" s="975"/>
      <c r="SSA75" s="975"/>
      <c r="SSB75" s="975"/>
      <c r="SSC75" s="975"/>
      <c r="SSD75" s="975"/>
      <c r="SSE75" s="975"/>
      <c r="SSF75" s="975"/>
      <c r="SSG75" s="975"/>
      <c r="SSH75" s="975"/>
      <c r="SSI75" s="975"/>
      <c r="SSJ75" s="975"/>
      <c r="SSK75" s="975"/>
      <c r="SSL75" s="975"/>
      <c r="SSM75" s="975"/>
      <c r="SSN75" s="975"/>
      <c r="SSO75" s="975"/>
      <c r="SSP75" s="975"/>
      <c r="SSQ75" s="975"/>
      <c r="SSR75" s="975"/>
      <c r="SSS75" s="975"/>
      <c r="SST75" s="975"/>
      <c r="SSU75" s="975"/>
      <c r="SSV75" s="975"/>
      <c r="SSW75" s="975"/>
      <c r="SSX75" s="975"/>
      <c r="SSY75" s="975"/>
      <c r="SSZ75" s="975"/>
      <c r="STA75" s="975"/>
      <c r="STB75" s="975"/>
      <c r="STC75" s="975"/>
      <c r="STD75" s="975"/>
      <c r="STE75" s="975"/>
      <c r="STF75" s="975"/>
      <c r="STG75" s="975"/>
      <c r="STH75" s="975"/>
      <c r="STI75" s="975"/>
      <c r="STJ75" s="975"/>
      <c r="STK75" s="975"/>
      <c r="STL75" s="975"/>
      <c r="STM75" s="975"/>
      <c r="STN75" s="975"/>
      <c r="STO75" s="975"/>
      <c r="STP75" s="975"/>
      <c r="STQ75" s="975"/>
      <c r="STR75" s="975"/>
      <c r="STS75" s="975"/>
      <c r="STT75" s="975"/>
      <c r="STU75" s="975"/>
      <c r="STV75" s="975"/>
      <c r="STW75" s="975"/>
      <c r="STX75" s="975"/>
      <c r="STY75" s="975"/>
      <c r="STZ75" s="975"/>
      <c r="SUA75" s="975"/>
      <c r="SUB75" s="975"/>
      <c r="SUC75" s="975"/>
      <c r="SUD75" s="975"/>
      <c r="SUE75" s="975"/>
      <c r="SUF75" s="975"/>
      <c r="SUG75" s="975"/>
      <c r="SUH75" s="975"/>
      <c r="SUI75" s="975"/>
      <c r="SUJ75" s="975"/>
      <c r="SUK75" s="975"/>
      <c r="SUL75" s="975"/>
      <c r="SUM75" s="975"/>
      <c r="SUN75" s="975"/>
      <c r="SUO75" s="975"/>
      <c r="SUP75" s="975"/>
      <c r="SUQ75" s="975"/>
      <c r="SUR75" s="975"/>
      <c r="SUS75" s="975"/>
      <c r="SUT75" s="975"/>
      <c r="SUU75" s="975"/>
      <c r="SUV75" s="975"/>
      <c r="SUW75" s="975"/>
      <c r="SUX75" s="975"/>
      <c r="SUY75" s="975"/>
      <c r="SUZ75" s="975"/>
      <c r="SVA75" s="975"/>
      <c r="SVB75" s="975"/>
      <c r="SVC75" s="975"/>
      <c r="SVD75" s="975"/>
      <c r="SVE75" s="975"/>
      <c r="SVF75" s="975"/>
      <c r="SVG75" s="975"/>
      <c r="SVH75" s="975"/>
      <c r="SVI75" s="975"/>
      <c r="SVJ75" s="975"/>
      <c r="SVK75" s="975"/>
      <c r="SVL75" s="975"/>
      <c r="SVM75" s="975"/>
      <c r="SVN75" s="975"/>
      <c r="SVO75" s="975"/>
      <c r="SVP75" s="975"/>
      <c r="SVQ75" s="975"/>
      <c r="SVR75" s="975"/>
      <c r="SVS75" s="975"/>
      <c r="SVT75" s="975"/>
      <c r="SVU75" s="975"/>
      <c r="SVV75" s="975"/>
      <c r="SVW75" s="975"/>
      <c r="SVX75" s="975"/>
      <c r="SVY75" s="975"/>
      <c r="SVZ75" s="975"/>
      <c r="SWA75" s="975"/>
      <c r="SWB75" s="975"/>
      <c r="SWC75" s="975"/>
      <c r="SWD75" s="975"/>
      <c r="SWE75" s="975"/>
      <c r="SWF75" s="975"/>
      <c r="SWG75" s="975"/>
      <c r="SWH75" s="975"/>
      <c r="SWI75" s="975"/>
      <c r="SWJ75" s="975"/>
      <c r="SWK75" s="975"/>
      <c r="SWL75" s="975"/>
      <c r="SWM75" s="975"/>
      <c r="SWN75" s="975"/>
      <c r="SWO75" s="975"/>
      <c r="SWP75" s="975"/>
      <c r="SWQ75" s="975"/>
      <c r="SWR75" s="975"/>
      <c r="SWS75" s="975"/>
      <c r="SWT75" s="975"/>
      <c r="SWU75" s="975"/>
      <c r="SWV75" s="975"/>
      <c r="SWW75" s="975"/>
      <c r="SWX75" s="975"/>
      <c r="SWY75" s="975"/>
      <c r="SWZ75" s="975"/>
      <c r="SXA75" s="975"/>
      <c r="SXB75" s="975"/>
      <c r="SXC75" s="975"/>
      <c r="SXD75" s="975"/>
      <c r="SXE75" s="975"/>
      <c r="SXF75" s="975"/>
      <c r="SXG75" s="975"/>
      <c r="SXH75" s="975"/>
      <c r="SXI75" s="975"/>
      <c r="SXJ75" s="975"/>
      <c r="SXK75" s="975"/>
      <c r="SXL75" s="975"/>
      <c r="SXM75" s="975"/>
      <c r="SXN75" s="975"/>
      <c r="SXO75" s="975"/>
      <c r="SXP75" s="975"/>
      <c r="SXQ75" s="975"/>
      <c r="SXR75" s="975"/>
      <c r="SXS75" s="975"/>
      <c r="SXT75" s="975"/>
      <c r="SXU75" s="975"/>
      <c r="SXV75" s="975"/>
      <c r="SXW75" s="975"/>
      <c r="SXX75" s="975"/>
      <c r="SXY75" s="975"/>
      <c r="SXZ75" s="975"/>
      <c r="SYA75" s="975"/>
      <c r="SYB75" s="975"/>
      <c r="SYC75" s="975"/>
      <c r="SYD75" s="975"/>
      <c r="SYE75" s="975"/>
      <c r="SYF75" s="975"/>
      <c r="SYG75" s="975"/>
      <c r="SYH75" s="975"/>
      <c r="SYI75" s="975"/>
      <c r="SYJ75" s="975"/>
      <c r="SYK75" s="975"/>
      <c r="SYL75" s="975"/>
      <c r="SYM75" s="975"/>
      <c r="SYN75" s="975"/>
      <c r="SYO75" s="975"/>
      <c r="SYP75" s="975"/>
      <c r="SYQ75" s="975"/>
      <c r="SYR75" s="975"/>
      <c r="SYS75" s="975"/>
      <c r="SYT75" s="975"/>
      <c r="SYU75" s="975"/>
      <c r="SYV75" s="975"/>
      <c r="SYW75" s="975"/>
      <c r="SYX75" s="975"/>
      <c r="SYY75" s="975"/>
      <c r="SYZ75" s="975"/>
      <c r="SZA75" s="975"/>
      <c r="SZB75" s="975"/>
      <c r="SZC75" s="975"/>
      <c r="SZD75" s="975"/>
      <c r="SZE75" s="975"/>
      <c r="SZF75" s="975"/>
      <c r="SZG75" s="975"/>
      <c r="SZH75" s="975"/>
      <c r="SZI75" s="975"/>
      <c r="SZJ75" s="975"/>
      <c r="SZK75" s="975"/>
      <c r="SZL75" s="975"/>
      <c r="SZM75" s="975"/>
      <c r="SZN75" s="975"/>
      <c r="SZO75" s="975"/>
      <c r="SZP75" s="975"/>
      <c r="SZQ75" s="975"/>
      <c r="SZR75" s="975"/>
      <c r="SZS75" s="975"/>
      <c r="SZT75" s="975"/>
      <c r="SZU75" s="975"/>
      <c r="SZV75" s="975"/>
      <c r="SZW75" s="975"/>
      <c r="SZX75" s="975"/>
      <c r="SZY75" s="975"/>
      <c r="SZZ75" s="975"/>
      <c r="TAA75" s="975"/>
      <c r="TAB75" s="975"/>
      <c r="TAC75" s="975"/>
      <c r="TAD75" s="975"/>
      <c r="TAE75" s="975"/>
      <c r="TAF75" s="975"/>
      <c r="TAG75" s="975"/>
      <c r="TAH75" s="975"/>
      <c r="TAI75" s="975"/>
      <c r="TAJ75" s="975"/>
      <c r="TAK75" s="975"/>
      <c r="TAL75" s="975"/>
      <c r="TAM75" s="975"/>
      <c r="TAN75" s="975"/>
      <c r="TAO75" s="975"/>
      <c r="TAP75" s="975"/>
      <c r="TAQ75" s="975"/>
      <c r="TAR75" s="975"/>
      <c r="TAS75" s="975"/>
      <c r="TAT75" s="975"/>
      <c r="TAU75" s="975"/>
      <c r="TAV75" s="975"/>
      <c r="TAW75" s="975"/>
      <c r="TAX75" s="975"/>
      <c r="TAY75" s="975"/>
      <c r="TAZ75" s="975"/>
      <c r="TBA75" s="975"/>
      <c r="TBB75" s="975"/>
      <c r="TBC75" s="975"/>
      <c r="TBD75" s="975"/>
      <c r="TBE75" s="975"/>
      <c r="TBF75" s="975"/>
      <c r="TBG75" s="975"/>
      <c r="TBH75" s="975"/>
      <c r="TBI75" s="975"/>
      <c r="TBJ75" s="975"/>
      <c r="TBK75" s="975"/>
      <c r="TBL75" s="975"/>
      <c r="TBM75" s="975"/>
      <c r="TBN75" s="975"/>
      <c r="TBO75" s="975"/>
      <c r="TBP75" s="975"/>
      <c r="TBQ75" s="975"/>
      <c r="TBR75" s="975"/>
      <c r="TBS75" s="975"/>
      <c r="TBT75" s="975"/>
      <c r="TBU75" s="975"/>
      <c r="TBV75" s="975"/>
      <c r="TBW75" s="975"/>
      <c r="TBX75" s="975"/>
      <c r="TBY75" s="975"/>
      <c r="TBZ75" s="975"/>
      <c r="TCA75" s="975"/>
      <c r="TCB75" s="975"/>
      <c r="TCC75" s="975"/>
      <c r="TCD75" s="975"/>
      <c r="TCE75" s="975"/>
      <c r="TCF75" s="975"/>
      <c r="TCG75" s="975"/>
      <c r="TCH75" s="975"/>
      <c r="TCI75" s="975"/>
      <c r="TCJ75" s="975"/>
      <c r="TCK75" s="975"/>
      <c r="TCL75" s="975"/>
      <c r="TCM75" s="975"/>
      <c r="TCN75" s="975"/>
      <c r="TCO75" s="975"/>
      <c r="TCP75" s="975"/>
      <c r="TCQ75" s="975"/>
      <c r="TCR75" s="975"/>
      <c r="TCS75" s="975"/>
      <c r="TCT75" s="975"/>
      <c r="TCU75" s="975"/>
      <c r="TCV75" s="975"/>
      <c r="TCW75" s="975"/>
      <c r="TCX75" s="975"/>
      <c r="TCY75" s="975"/>
      <c r="TCZ75" s="975"/>
      <c r="TDA75" s="975"/>
      <c r="TDB75" s="975"/>
      <c r="TDC75" s="975"/>
      <c r="TDD75" s="975"/>
      <c r="TDE75" s="975"/>
      <c r="TDF75" s="975"/>
      <c r="TDG75" s="975"/>
      <c r="TDH75" s="975"/>
      <c r="TDI75" s="975"/>
      <c r="TDJ75" s="975"/>
      <c r="TDK75" s="975"/>
      <c r="TDL75" s="975"/>
      <c r="TDM75" s="975"/>
      <c r="TDN75" s="975"/>
      <c r="TDO75" s="975"/>
      <c r="TDP75" s="975"/>
      <c r="TDQ75" s="975"/>
      <c r="TDR75" s="975"/>
      <c r="TDS75" s="975"/>
      <c r="TDT75" s="975"/>
      <c r="TDU75" s="975"/>
      <c r="TDV75" s="975"/>
      <c r="TDW75" s="975"/>
      <c r="TDX75" s="975"/>
      <c r="TDY75" s="975"/>
      <c r="TDZ75" s="975"/>
      <c r="TEA75" s="975"/>
      <c r="TEB75" s="975"/>
      <c r="TEC75" s="975"/>
      <c r="TED75" s="975"/>
      <c r="TEE75" s="975"/>
      <c r="TEF75" s="975"/>
      <c r="TEG75" s="975"/>
      <c r="TEH75" s="975"/>
      <c r="TEI75" s="975"/>
      <c r="TEJ75" s="975"/>
      <c r="TEK75" s="975"/>
      <c r="TEL75" s="975"/>
      <c r="TEM75" s="975"/>
      <c r="TEN75" s="975"/>
      <c r="TEO75" s="975"/>
      <c r="TEP75" s="975"/>
      <c r="TEQ75" s="975"/>
      <c r="TER75" s="975"/>
      <c r="TES75" s="975"/>
      <c r="TET75" s="975"/>
      <c r="TEU75" s="975"/>
      <c r="TEV75" s="975"/>
      <c r="TEW75" s="975"/>
      <c r="TEX75" s="975"/>
      <c r="TEY75" s="975"/>
      <c r="TEZ75" s="975"/>
      <c r="TFA75" s="975"/>
      <c r="TFB75" s="975"/>
      <c r="TFC75" s="975"/>
      <c r="TFD75" s="975"/>
      <c r="TFE75" s="975"/>
      <c r="TFF75" s="975"/>
      <c r="TFG75" s="975"/>
      <c r="TFH75" s="975"/>
      <c r="TFI75" s="975"/>
      <c r="TFJ75" s="975"/>
      <c r="TFK75" s="975"/>
      <c r="TFL75" s="975"/>
      <c r="TFM75" s="975"/>
      <c r="TFN75" s="975"/>
      <c r="TFO75" s="975"/>
      <c r="TFP75" s="975"/>
      <c r="TFQ75" s="975"/>
      <c r="TFR75" s="975"/>
      <c r="TFS75" s="975"/>
      <c r="TFT75" s="975"/>
      <c r="TFU75" s="975"/>
      <c r="TFV75" s="975"/>
      <c r="TFW75" s="975"/>
      <c r="TFX75" s="975"/>
      <c r="TFY75" s="975"/>
      <c r="TFZ75" s="975"/>
      <c r="TGA75" s="975"/>
      <c r="TGB75" s="975"/>
      <c r="TGC75" s="975"/>
      <c r="TGD75" s="975"/>
      <c r="TGE75" s="975"/>
      <c r="TGF75" s="975"/>
      <c r="TGG75" s="975"/>
      <c r="TGH75" s="975"/>
      <c r="TGI75" s="975"/>
      <c r="TGJ75" s="975"/>
      <c r="TGK75" s="975"/>
      <c r="TGL75" s="975"/>
      <c r="TGM75" s="975"/>
      <c r="TGN75" s="975"/>
      <c r="TGO75" s="975"/>
      <c r="TGP75" s="975"/>
      <c r="TGQ75" s="975"/>
      <c r="TGR75" s="975"/>
      <c r="TGS75" s="975"/>
      <c r="TGT75" s="975"/>
      <c r="TGU75" s="975"/>
      <c r="TGV75" s="975"/>
      <c r="TGW75" s="975"/>
      <c r="TGX75" s="975"/>
      <c r="TGY75" s="975"/>
      <c r="TGZ75" s="975"/>
      <c r="THA75" s="975"/>
      <c r="THB75" s="975"/>
      <c r="THC75" s="975"/>
      <c r="THD75" s="975"/>
      <c r="THE75" s="975"/>
      <c r="THF75" s="975"/>
      <c r="THG75" s="975"/>
      <c r="THH75" s="975"/>
      <c r="THI75" s="975"/>
      <c r="THJ75" s="975"/>
      <c r="THK75" s="975"/>
      <c r="THL75" s="975"/>
      <c r="THM75" s="975"/>
      <c r="THN75" s="975"/>
      <c r="THO75" s="975"/>
      <c r="THP75" s="975"/>
      <c r="THQ75" s="975"/>
      <c r="THR75" s="975"/>
      <c r="THS75" s="975"/>
      <c r="THT75" s="975"/>
      <c r="THU75" s="975"/>
      <c r="THV75" s="975"/>
      <c r="THW75" s="975"/>
      <c r="THX75" s="975"/>
      <c r="THY75" s="975"/>
      <c r="THZ75" s="975"/>
      <c r="TIA75" s="975"/>
      <c r="TIB75" s="975"/>
      <c r="TIC75" s="975"/>
      <c r="TID75" s="975"/>
      <c r="TIE75" s="975"/>
      <c r="TIF75" s="975"/>
      <c r="TIG75" s="975"/>
      <c r="TIH75" s="975"/>
      <c r="TII75" s="975"/>
      <c r="TIJ75" s="975"/>
      <c r="TIK75" s="975"/>
      <c r="TIL75" s="975"/>
      <c r="TIM75" s="975"/>
      <c r="TIN75" s="975"/>
      <c r="TIO75" s="975"/>
      <c r="TIP75" s="975"/>
      <c r="TIQ75" s="975"/>
      <c r="TIR75" s="975"/>
      <c r="TIS75" s="975"/>
      <c r="TIT75" s="975"/>
      <c r="TIU75" s="975"/>
      <c r="TIV75" s="975"/>
      <c r="TIW75" s="975"/>
      <c r="TIX75" s="975"/>
      <c r="TIY75" s="975"/>
      <c r="TIZ75" s="975"/>
      <c r="TJA75" s="975"/>
      <c r="TJB75" s="975"/>
      <c r="TJC75" s="975"/>
      <c r="TJD75" s="975"/>
      <c r="TJE75" s="975"/>
      <c r="TJF75" s="975"/>
      <c r="TJG75" s="975"/>
      <c r="TJH75" s="975"/>
      <c r="TJI75" s="975"/>
      <c r="TJJ75" s="975"/>
      <c r="TJK75" s="975"/>
      <c r="TJL75" s="975"/>
      <c r="TJM75" s="975"/>
      <c r="TJN75" s="975"/>
      <c r="TJO75" s="975"/>
      <c r="TJP75" s="975"/>
      <c r="TJQ75" s="975"/>
      <c r="TJR75" s="975"/>
      <c r="TJS75" s="975"/>
      <c r="TJT75" s="975"/>
      <c r="TJU75" s="975"/>
      <c r="TJV75" s="975"/>
      <c r="TJW75" s="975"/>
      <c r="TJX75" s="975"/>
      <c r="TJY75" s="975"/>
      <c r="TJZ75" s="975"/>
      <c r="TKA75" s="975"/>
      <c r="TKB75" s="975"/>
      <c r="TKC75" s="975"/>
      <c r="TKD75" s="975"/>
      <c r="TKE75" s="975"/>
      <c r="TKF75" s="975"/>
      <c r="TKG75" s="975"/>
      <c r="TKH75" s="975"/>
      <c r="TKI75" s="975"/>
      <c r="TKJ75" s="975"/>
      <c r="TKK75" s="975"/>
      <c r="TKL75" s="975"/>
      <c r="TKM75" s="975"/>
      <c r="TKN75" s="975"/>
      <c r="TKO75" s="975"/>
      <c r="TKP75" s="975"/>
      <c r="TKQ75" s="975"/>
      <c r="TKR75" s="975"/>
      <c r="TKS75" s="975"/>
      <c r="TKT75" s="975"/>
      <c r="TKU75" s="975"/>
      <c r="TKV75" s="975"/>
      <c r="TKW75" s="975"/>
      <c r="TKX75" s="975"/>
      <c r="TKY75" s="975"/>
      <c r="TKZ75" s="975"/>
      <c r="TLA75" s="975"/>
      <c r="TLB75" s="975"/>
      <c r="TLC75" s="975"/>
      <c r="TLD75" s="975"/>
      <c r="TLE75" s="975"/>
      <c r="TLF75" s="975"/>
      <c r="TLG75" s="975"/>
      <c r="TLH75" s="975"/>
      <c r="TLI75" s="975"/>
      <c r="TLJ75" s="975"/>
      <c r="TLK75" s="975"/>
      <c r="TLL75" s="975"/>
      <c r="TLM75" s="975"/>
      <c r="TLN75" s="975"/>
      <c r="TLO75" s="975"/>
      <c r="TLP75" s="975"/>
      <c r="TLQ75" s="975"/>
      <c r="TLR75" s="975"/>
      <c r="TLS75" s="975"/>
      <c r="TLT75" s="975"/>
      <c r="TLU75" s="975"/>
      <c r="TLV75" s="975"/>
      <c r="TLW75" s="975"/>
      <c r="TLX75" s="975"/>
      <c r="TLY75" s="975"/>
      <c r="TLZ75" s="975"/>
      <c r="TMA75" s="975"/>
      <c r="TMB75" s="975"/>
      <c r="TMC75" s="975"/>
      <c r="TMD75" s="975"/>
      <c r="TME75" s="975"/>
      <c r="TMF75" s="975"/>
      <c r="TMG75" s="975"/>
      <c r="TMH75" s="975"/>
      <c r="TMI75" s="975"/>
      <c r="TMJ75" s="975"/>
      <c r="TMK75" s="975"/>
      <c r="TML75" s="975"/>
      <c r="TMM75" s="975"/>
      <c r="TMN75" s="975"/>
      <c r="TMO75" s="975"/>
      <c r="TMP75" s="975"/>
      <c r="TMQ75" s="975"/>
      <c r="TMR75" s="975"/>
      <c r="TMS75" s="975"/>
      <c r="TMT75" s="975"/>
      <c r="TMU75" s="975"/>
      <c r="TMV75" s="975"/>
      <c r="TMW75" s="975"/>
      <c r="TMX75" s="975"/>
      <c r="TMY75" s="975"/>
      <c r="TMZ75" s="975"/>
      <c r="TNA75" s="975"/>
      <c r="TNB75" s="975"/>
      <c r="TNC75" s="975"/>
      <c r="TND75" s="975"/>
      <c r="TNE75" s="975"/>
      <c r="TNF75" s="975"/>
      <c r="TNG75" s="975"/>
      <c r="TNH75" s="975"/>
      <c r="TNI75" s="975"/>
      <c r="TNJ75" s="975"/>
      <c r="TNK75" s="975"/>
      <c r="TNL75" s="975"/>
      <c r="TNM75" s="975"/>
      <c r="TNN75" s="975"/>
      <c r="TNO75" s="975"/>
      <c r="TNP75" s="975"/>
      <c r="TNQ75" s="975"/>
      <c r="TNR75" s="975"/>
      <c r="TNS75" s="975"/>
      <c r="TNT75" s="975"/>
      <c r="TNU75" s="975"/>
      <c r="TNV75" s="975"/>
      <c r="TNW75" s="975"/>
      <c r="TNX75" s="975"/>
      <c r="TNY75" s="975"/>
      <c r="TNZ75" s="975"/>
      <c r="TOA75" s="975"/>
      <c r="TOB75" s="975"/>
      <c r="TOC75" s="975"/>
      <c r="TOD75" s="975"/>
      <c r="TOE75" s="975"/>
      <c r="TOF75" s="975"/>
      <c r="TOG75" s="975"/>
      <c r="TOH75" s="975"/>
      <c r="TOI75" s="975"/>
      <c r="TOJ75" s="975"/>
      <c r="TOK75" s="975"/>
      <c r="TOL75" s="975"/>
      <c r="TOM75" s="975"/>
      <c r="TON75" s="975"/>
      <c r="TOO75" s="975"/>
      <c r="TOP75" s="975"/>
      <c r="TOQ75" s="975"/>
      <c r="TOR75" s="975"/>
      <c r="TOS75" s="975"/>
      <c r="TOT75" s="975"/>
      <c r="TOU75" s="975"/>
      <c r="TOV75" s="975"/>
      <c r="TOW75" s="975"/>
      <c r="TOX75" s="975"/>
      <c r="TOY75" s="975"/>
      <c r="TOZ75" s="975"/>
      <c r="TPA75" s="975"/>
      <c r="TPB75" s="975"/>
      <c r="TPC75" s="975"/>
      <c r="TPD75" s="975"/>
      <c r="TPE75" s="975"/>
      <c r="TPF75" s="975"/>
      <c r="TPG75" s="975"/>
      <c r="TPH75" s="975"/>
      <c r="TPI75" s="975"/>
      <c r="TPJ75" s="975"/>
      <c r="TPK75" s="975"/>
      <c r="TPL75" s="975"/>
      <c r="TPM75" s="975"/>
      <c r="TPN75" s="975"/>
      <c r="TPO75" s="975"/>
      <c r="TPP75" s="975"/>
      <c r="TPQ75" s="975"/>
      <c r="TPR75" s="975"/>
      <c r="TPS75" s="975"/>
      <c r="TPT75" s="975"/>
      <c r="TPU75" s="975"/>
      <c r="TPV75" s="975"/>
      <c r="TPW75" s="975"/>
      <c r="TPX75" s="975"/>
      <c r="TPY75" s="975"/>
      <c r="TPZ75" s="975"/>
      <c r="TQA75" s="975"/>
      <c r="TQB75" s="975"/>
      <c r="TQC75" s="975"/>
      <c r="TQD75" s="975"/>
      <c r="TQE75" s="975"/>
      <c r="TQF75" s="975"/>
      <c r="TQG75" s="975"/>
      <c r="TQH75" s="975"/>
      <c r="TQI75" s="975"/>
      <c r="TQJ75" s="975"/>
      <c r="TQK75" s="975"/>
      <c r="TQL75" s="975"/>
      <c r="TQM75" s="975"/>
      <c r="TQN75" s="975"/>
      <c r="TQO75" s="975"/>
      <c r="TQP75" s="975"/>
      <c r="TQQ75" s="975"/>
      <c r="TQR75" s="975"/>
      <c r="TQS75" s="975"/>
      <c r="TQT75" s="975"/>
      <c r="TQU75" s="975"/>
      <c r="TQV75" s="975"/>
      <c r="TQW75" s="975"/>
      <c r="TQX75" s="975"/>
      <c r="TQY75" s="975"/>
      <c r="TQZ75" s="975"/>
      <c r="TRA75" s="975"/>
      <c r="TRB75" s="975"/>
      <c r="TRC75" s="975"/>
      <c r="TRD75" s="975"/>
      <c r="TRE75" s="975"/>
      <c r="TRF75" s="975"/>
      <c r="TRG75" s="975"/>
      <c r="TRH75" s="975"/>
      <c r="TRI75" s="975"/>
      <c r="TRJ75" s="975"/>
      <c r="TRK75" s="975"/>
      <c r="TRL75" s="975"/>
      <c r="TRM75" s="975"/>
      <c r="TRN75" s="975"/>
      <c r="TRO75" s="975"/>
      <c r="TRP75" s="975"/>
      <c r="TRQ75" s="975"/>
      <c r="TRR75" s="975"/>
      <c r="TRS75" s="975"/>
      <c r="TRT75" s="975"/>
      <c r="TRU75" s="975"/>
      <c r="TRV75" s="975"/>
      <c r="TRW75" s="975"/>
      <c r="TRX75" s="975"/>
      <c r="TRY75" s="975"/>
      <c r="TRZ75" s="975"/>
      <c r="TSA75" s="975"/>
      <c r="TSB75" s="975"/>
      <c r="TSC75" s="975"/>
      <c r="TSD75" s="975"/>
      <c r="TSE75" s="975"/>
      <c r="TSF75" s="975"/>
      <c r="TSG75" s="975"/>
      <c r="TSH75" s="975"/>
      <c r="TSI75" s="975"/>
      <c r="TSJ75" s="975"/>
      <c r="TSK75" s="975"/>
      <c r="TSL75" s="975"/>
      <c r="TSM75" s="975"/>
      <c r="TSN75" s="975"/>
      <c r="TSO75" s="975"/>
      <c r="TSP75" s="975"/>
      <c r="TSQ75" s="975"/>
      <c r="TSR75" s="975"/>
      <c r="TSS75" s="975"/>
      <c r="TST75" s="975"/>
      <c r="TSU75" s="975"/>
      <c r="TSV75" s="975"/>
      <c r="TSW75" s="975"/>
      <c r="TSX75" s="975"/>
      <c r="TSY75" s="975"/>
      <c r="TSZ75" s="975"/>
      <c r="TTA75" s="975"/>
      <c r="TTB75" s="975"/>
      <c r="TTC75" s="975"/>
      <c r="TTD75" s="975"/>
      <c r="TTE75" s="975"/>
      <c r="TTF75" s="975"/>
      <c r="TTG75" s="975"/>
      <c r="TTH75" s="975"/>
      <c r="TTI75" s="975"/>
      <c r="TTJ75" s="975"/>
      <c r="TTK75" s="975"/>
      <c r="TTL75" s="975"/>
      <c r="TTM75" s="975"/>
      <c r="TTN75" s="975"/>
      <c r="TTO75" s="975"/>
      <c r="TTP75" s="975"/>
      <c r="TTQ75" s="975"/>
      <c r="TTR75" s="975"/>
      <c r="TTS75" s="975"/>
      <c r="TTT75" s="975"/>
      <c r="TTU75" s="975"/>
      <c r="TTV75" s="975"/>
      <c r="TTW75" s="975"/>
      <c r="TTX75" s="975"/>
      <c r="TTY75" s="975"/>
      <c r="TTZ75" s="975"/>
      <c r="TUA75" s="975"/>
      <c r="TUB75" s="975"/>
      <c r="TUC75" s="975"/>
      <c r="TUD75" s="975"/>
      <c r="TUE75" s="975"/>
      <c r="TUF75" s="975"/>
      <c r="TUG75" s="975"/>
      <c r="TUH75" s="975"/>
      <c r="TUI75" s="975"/>
      <c r="TUJ75" s="975"/>
      <c r="TUK75" s="975"/>
      <c r="TUL75" s="975"/>
      <c r="TUM75" s="975"/>
      <c r="TUN75" s="975"/>
      <c r="TUO75" s="975"/>
      <c r="TUP75" s="975"/>
      <c r="TUQ75" s="975"/>
      <c r="TUR75" s="975"/>
      <c r="TUS75" s="975"/>
      <c r="TUT75" s="975"/>
      <c r="TUU75" s="975"/>
      <c r="TUV75" s="975"/>
      <c r="TUW75" s="975"/>
      <c r="TUX75" s="975"/>
      <c r="TUY75" s="975"/>
      <c r="TUZ75" s="975"/>
      <c r="TVA75" s="975"/>
      <c r="TVB75" s="975"/>
      <c r="TVC75" s="975"/>
      <c r="TVD75" s="975"/>
      <c r="TVE75" s="975"/>
      <c r="TVF75" s="975"/>
      <c r="TVG75" s="975"/>
      <c r="TVH75" s="975"/>
      <c r="TVI75" s="975"/>
      <c r="TVJ75" s="975"/>
      <c r="TVK75" s="975"/>
      <c r="TVL75" s="975"/>
      <c r="TVM75" s="975"/>
      <c r="TVN75" s="975"/>
      <c r="TVO75" s="975"/>
      <c r="TVP75" s="975"/>
      <c r="TVQ75" s="975"/>
      <c r="TVR75" s="975"/>
      <c r="TVS75" s="975"/>
      <c r="TVT75" s="975"/>
      <c r="TVU75" s="975"/>
      <c r="TVV75" s="975"/>
      <c r="TVW75" s="975"/>
      <c r="TVX75" s="975"/>
      <c r="TVY75" s="975"/>
      <c r="TVZ75" s="975"/>
      <c r="TWA75" s="975"/>
      <c r="TWB75" s="975"/>
      <c r="TWC75" s="975"/>
      <c r="TWD75" s="975"/>
      <c r="TWE75" s="975"/>
      <c r="TWF75" s="975"/>
      <c r="TWG75" s="975"/>
      <c r="TWH75" s="975"/>
      <c r="TWI75" s="975"/>
      <c r="TWJ75" s="975"/>
      <c r="TWK75" s="975"/>
      <c r="TWL75" s="975"/>
      <c r="TWM75" s="975"/>
      <c r="TWN75" s="975"/>
      <c r="TWO75" s="975"/>
      <c r="TWP75" s="975"/>
      <c r="TWQ75" s="975"/>
      <c r="TWR75" s="975"/>
      <c r="TWS75" s="975"/>
      <c r="TWT75" s="975"/>
      <c r="TWU75" s="975"/>
      <c r="TWV75" s="975"/>
      <c r="TWW75" s="975"/>
      <c r="TWX75" s="975"/>
      <c r="TWY75" s="975"/>
      <c r="TWZ75" s="975"/>
      <c r="TXA75" s="975"/>
      <c r="TXB75" s="975"/>
      <c r="TXC75" s="975"/>
      <c r="TXD75" s="975"/>
      <c r="TXE75" s="975"/>
      <c r="TXF75" s="975"/>
      <c r="TXG75" s="975"/>
      <c r="TXH75" s="975"/>
      <c r="TXI75" s="975"/>
      <c r="TXJ75" s="975"/>
      <c r="TXK75" s="975"/>
      <c r="TXL75" s="975"/>
      <c r="TXM75" s="975"/>
      <c r="TXN75" s="975"/>
      <c r="TXO75" s="975"/>
      <c r="TXP75" s="975"/>
      <c r="TXQ75" s="975"/>
      <c r="TXR75" s="975"/>
      <c r="TXS75" s="975"/>
      <c r="TXT75" s="975"/>
      <c r="TXU75" s="975"/>
      <c r="TXV75" s="975"/>
      <c r="TXW75" s="975"/>
      <c r="TXX75" s="975"/>
      <c r="TXY75" s="975"/>
      <c r="TXZ75" s="975"/>
      <c r="TYA75" s="975"/>
      <c r="TYB75" s="975"/>
      <c r="TYC75" s="975"/>
      <c r="TYD75" s="975"/>
      <c r="TYE75" s="975"/>
      <c r="TYF75" s="975"/>
      <c r="TYG75" s="975"/>
      <c r="TYH75" s="975"/>
      <c r="TYI75" s="975"/>
      <c r="TYJ75" s="975"/>
      <c r="TYK75" s="975"/>
      <c r="TYL75" s="975"/>
      <c r="TYM75" s="975"/>
      <c r="TYN75" s="975"/>
      <c r="TYO75" s="975"/>
      <c r="TYP75" s="975"/>
      <c r="TYQ75" s="975"/>
      <c r="TYR75" s="975"/>
      <c r="TYS75" s="975"/>
      <c r="TYT75" s="975"/>
      <c r="TYU75" s="975"/>
      <c r="TYV75" s="975"/>
      <c r="TYW75" s="975"/>
      <c r="TYX75" s="975"/>
      <c r="TYY75" s="975"/>
      <c r="TYZ75" s="975"/>
      <c r="TZA75" s="975"/>
      <c r="TZB75" s="975"/>
      <c r="TZC75" s="975"/>
      <c r="TZD75" s="975"/>
      <c r="TZE75" s="975"/>
      <c r="TZF75" s="975"/>
      <c r="TZG75" s="975"/>
      <c r="TZH75" s="975"/>
      <c r="TZI75" s="975"/>
      <c r="TZJ75" s="975"/>
      <c r="TZK75" s="975"/>
      <c r="TZL75" s="975"/>
      <c r="TZM75" s="975"/>
      <c r="TZN75" s="975"/>
      <c r="TZO75" s="975"/>
      <c r="TZP75" s="975"/>
      <c r="TZQ75" s="975"/>
      <c r="TZR75" s="975"/>
      <c r="TZS75" s="975"/>
      <c r="TZT75" s="975"/>
      <c r="TZU75" s="975"/>
      <c r="TZV75" s="975"/>
      <c r="TZW75" s="975"/>
      <c r="TZX75" s="975"/>
      <c r="TZY75" s="975"/>
      <c r="TZZ75" s="975"/>
      <c r="UAA75" s="975"/>
      <c r="UAB75" s="975"/>
      <c r="UAC75" s="975"/>
      <c r="UAD75" s="975"/>
      <c r="UAE75" s="975"/>
      <c r="UAF75" s="975"/>
      <c r="UAG75" s="975"/>
      <c r="UAH75" s="975"/>
      <c r="UAI75" s="975"/>
      <c r="UAJ75" s="975"/>
      <c r="UAK75" s="975"/>
      <c r="UAL75" s="975"/>
      <c r="UAM75" s="975"/>
      <c r="UAN75" s="975"/>
      <c r="UAO75" s="975"/>
      <c r="UAP75" s="975"/>
      <c r="UAQ75" s="975"/>
      <c r="UAR75" s="975"/>
      <c r="UAS75" s="975"/>
      <c r="UAT75" s="975"/>
      <c r="UAU75" s="975"/>
      <c r="UAV75" s="975"/>
      <c r="UAW75" s="975"/>
      <c r="UAX75" s="975"/>
      <c r="UAY75" s="975"/>
      <c r="UAZ75" s="975"/>
      <c r="UBA75" s="975"/>
      <c r="UBB75" s="975"/>
      <c r="UBC75" s="975"/>
      <c r="UBD75" s="975"/>
      <c r="UBE75" s="975"/>
      <c r="UBF75" s="975"/>
      <c r="UBG75" s="975"/>
      <c r="UBH75" s="975"/>
      <c r="UBI75" s="975"/>
      <c r="UBJ75" s="975"/>
      <c r="UBK75" s="975"/>
      <c r="UBL75" s="975"/>
      <c r="UBM75" s="975"/>
      <c r="UBN75" s="975"/>
      <c r="UBO75" s="975"/>
      <c r="UBP75" s="975"/>
      <c r="UBQ75" s="975"/>
      <c r="UBR75" s="975"/>
      <c r="UBS75" s="975"/>
      <c r="UBT75" s="975"/>
      <c r="UBU75" s="975"/>
      <c r="UBV75" s="975"/>
      <c r="UBW75" s="975"/>
      <c r="UBX75" s="975"/>
      <c r="UBY75" s="975"/>
      <c r="UBZ75" s="975"/>
      <c r="UCA75" s="975"/>
      <c r="UCB75" s="975"/>
      <c r="UCC75" s="975"/>
      <c r="UCD75" s="975"/>
      <c r="UCE75" s="975"/>
      <c r="UCF75" s="975"/>
      <c r="UCG75" s="975"/>
      <c r="UCH75" s="975"/>
      <c r="UCI75" s="975"/>
      <c r="UCJ75" s="975"/>
      <c r="UCK75" s="975"/>
      <c r="UCL75" s="975"/>
      <c r="UCM75" s="975"/>
      <c r="UCN75" s="975"/>
      <c r="UCO75" s="975"/>
      <c r="UCP75" s="975"/>
      <c r="UCQ75" s="975"/>
      <c r="UCR75" s="975"/>
      <c r="UCS75" s="975"/>
      <c r="UCT75" s="975"/>
      <c r="UCU75" s="975"/>
      <c r="UCV75" s="975"/>
      <c r="UCW75" s="975"/>
      <c r="UCX75" s="975"/>
      <c r="UCY75" s="975"/>
      <c r="UCZ75" s="975"/>
      <c r="UDA75" s="975"/>
      <c r="UDB75" s="975"/>
      <c r="UDC75" s="975"/>
      <c r="UDD75" s="975"/>
      <c r="UDE75" s="975"/>
      <c r="UDF75" s="975"/>
      <c r="UDG75" s="975"/>
      <c r="UDH75" s="975"/>
      <c r="UDI75" s="975"/>
      <c r="UDJ75" s="975"/>
      <c r="UDK75" s="975"/>
      <c r="UDL75" s="975"/>
      <c r="UDM75" s="975"/>
      <c r="UDN75" s="975"/>
      <c r="UDO75" s="975"/>
      <c r="UDP75" s="975"/>
      <c r="UDQ75" s="975"/>
      <c r="UDR75" s="975"/>
      <c r="UDS75" s="975"/>
      <c r="UDT75" s="975"/>
      <c r="UDU75" s="975"/>
      <c r="UDV75" s="975"/>
      <c r="UDW75" s="975"/>
      <c r="UDX75" s="975"/>
      <c r="UDY75" s="975"/>
      <c r="UDZ75" s="975"/>
      <c r="UEA75" s="975"/>
      <c r="UEB75" s="975"/>
      <c r="UEC75" s="975"/>
      <c r="UED75" s="975"/>
      <c r="UEE75" s="975"/>
      <c r="UEF75" s="975"/>
      <c r="UEG75" s="975"/>
      <c r="UEH75" s="975"/>
      <c r="UEI75" s="975"/>
      <c r="UEJ75" s="975"/>
      <c r="UEK75" s="975"/>
      <c r="UEL75" s="975"/>
      <c r="UEM75" s="975"/>
      <c r="UEN75" s="975"/>
      <c r="UEO75" s="975"/>
      <c r="UEP75" s="975"/>
      <c r="UEQ75" s="975"/>
      <c r="UER75" s="975"/>
      <c r="UES75" s="975"/>
      <c r="UET75" s="975"/>
      <c r="UEU75" s="975"/>
      <c r="UEV75" s="975"/>
      <c r="UEW75" s="975"/>
      <c r="UEX75" s="975"/>
      <c r="UEY75" s="975"/>
      <c r="UEZ75" s="975"/>
      <c r="UFA75" s="975"/>
      <c r="UFB75" s="975"/>
      <c r="UFC75" s="975"/>
      <c r="UFD75" s="975"/>
      <c r="UFE75" s="975"/>
      <c r="UFF75" s="975"/>
      <c r="UFG75" s="975"/>
      <c r="UFH75" s="975"/>
      <c r="UFI75" s="975"/>
      <c r="UFJ75" s="975"/>
      <c r="UFK75" s="975"/>
      <c r="UFL75" s="975"/>
      <c r="UFM75" s="975"/>
      <c r="UFN75" s="975"/>
      <c r="UFO75" s="975"/>
      <c r="UFP75" s="975"/>
      <c r="UFQ75" s="975"/>
      <c r="UFR75" s="975"/>
      <c r="UFS75" s="975"/>
      <c r="UFT75" s="975"/>
      <c r="UFU75" s="975"/>
      <c r="UFV75" s="975"/>
      <c r="UFW75" s="975"/>
      <c r="UFX75" s="975"/>
      <c r="UFY75" s="975"/>
      <c r="UFZ75" s="975"/>
      <c r="UGA75" s="975"/>
      <c r="UGB75" s="975"/>
      <c r="UGC75" s="975"/>
      <c r="UGD75" s="975"/>
      <c r="UGE75" s="975"/>
      <c r="UGF75" s="975"/>
      <c r="UGG75" s="975"/>
      <c r="UGH75" s="975"/>
      <c r="UGI75" s="975"/>
      <c r="UGJ75" s="975"/>
      <c r="UGK75" s="975"/>
      <c r="UGL75" s="975"/>
      <c r="UGM75" s="975"/>
      <c r="UGN75" s="975"/>
      <c r="UGO75" s="975"/>
      <c r="UGP75" s="975"/>
      <c r="UGQ75" s="975"/>
      <c r="UGR75" s="975"/>
      <c r="UGS75" s="975"/>
      <c r="UGT75" s="975"/>
      <c r="UGU75" s="975"/>
      <c r="UGV75" s="975"/>
      <c r="UGW75" s="975"/>
      <c r="UGX75" s="975"/>
      <c r="UGY75" s="975"/>
      <c r="UGZ75" s="975"/>
      <c r="UHA75" s="975"/>
      <c r="UHB75" s="975"/>
      <c r="UHC75" s="975"/>
      <c r="UHD75" s="975"/>
      <c r="UHE75" s="975"/>
      <c r="UHF75" s="975"/>
      <c r="UHG75" s="975"/>
      <c r="UHH75" s="975"/>
      <c r="UHI75" s="975"/>
      <c r="UHJ75" s="975"/>
      <c r="UHK75" s="975"/>
      <c r="UHL75" s="975"/>
      <c r="UHM75" s="975"/>
      <c r="UHN75" s="975"/>
      <c r="UHO75" s="975"/>
      <c r="UHP75" s="975"/>
      <c r="UHQ75" s="975"/>
      <c r="UHR75" s="975"/>
      <c r="UHS75" s="975"/>
      <c r="UHT75" s="975"/>
      <c r="UHU75" s="975"/>
      <c r="UHV75" s="975"/>
      <c r="UHW75" s="975"/>
      <c r="UHX75" s="975"/>
      <c r="UHY75" s="975"/>
      <c r="UHZ75" s="975"/>
      <c r="UIA75" s="975"/>
      <c r="UIB75" s="975"/>
      <c r="UIC75" s="975"/>
      <c r="UID75" s="975"/>
      <c r="UIE75" s="975"/>
      <c r="UIF75" s="975"/>
      <c r="UIG75" s="975"/>
      <c r="UIH75" s="975"/>
      <c r="UII75" s="975"/>
      <c r="UIJ75" s="975"/>
      <c r="UIK75" s="975"/>
      <c r="UIL75" s="975"/>
      <c r="UIM75" s="975"/>
      <c r="UIN75" s="975"/>
      <c r="UIO75" s="975"/>
      <c r="UIP75" s="975"/>
      <c r="UIQ75" s="975"/>
      <c r="UIR75" s="975"/>
      <c r="UIS75" s="975"/>
      <c r="UIT75" s="975"/>
      <c r="UIU75" s="975"/>
      <c r="UIV75" s="975"/>
      <c r="UIW75" s="975"/>
      <c r="UIX75" s="975"/>
      <c r="UIY75" s="975"/>
      <c r="UIZ75" s="975"/>
      <c r="UJA75" s="975"/>
      <c r="UJB75" s="975"/>
      <c r="UJC75" s="975"/>
      <c r="UJD75" s="975"/>
      <c r="UJE75" s="975"/>
      <c r="UJF75" s="975"/>
      <c r="UJG75" s="975"/>
      <c r="UJH75" s="975"/>
      <c r="UJI75" s="975"/>
      <c r="UJJ75" s="975"/>
      <c r="UJK75" s="975"/>
      <c r="UJL75" s="975"/>
      <c r="UJM75" s="975"/>
      <c r="UJN75" s="975"/>
      <c r="UJO75" s="975"/>
      <c r="UJP75" s="975"/>
      <c r="UJQ75" s="975"/>
      <c r="UJR75" s="975"/>
      <c r="UJS75" s="975"/>
      <c r="UJT75" s="975"/>
      <c r="UJU75" s="975"/>
      <c r="UJV75" s="975"/>
      <c r="UJW75" s="975"/>
      <c r="UJX75" s="975"/>
      <c r="UJY75" s="975"/>
      <c r="UJZ75" s="975"/>
      <c r="UKA75" s="975"/>
      <c r="UKB75" s="975"/>
      <c r="UKC75" s="975"/>
      <c r="UKD75" s="975"/>
      <c r="UKE75" s="975"/>
      <c r="UKF75" s="975"/>
      <c r="UKG75" s="975"/>
      <c r="UKH75" s="975"/>
      <c r="UKI75" s="975"/>
      <c r="UKJ75" s="975"/>
      <c r="UKK75" s="975"/>
      <c r="UKL75" s="975"/>
      <c r="UKM75" s="975"/>
      <c r="UKN75" s="975"/>
      <c r="UKO75" s="975"/>
      <c r="UKP75" s="975"/>
      <c r="UKQ75" s="975"/>
      <c r="UKR75" s="975"/>
      <c r="UKS75" s="975"/>
      <c r="UKT75" s="975"/>
      <c r="UKU75" s="975"/>
      <c r="UKV75" s="975"/>
      <c r="UKW75" s="975"/>
      <c r="UKX75" s="975"/>
      <c r="UKY75" s="975"/>
      <c r="UKZ75" s="975"/>
      <c r="ULA75" s="975"/>
      <c r="ULB75" s="975"/>
      <c r="ULC75" s="975"/>
      <c r="ULD75" s="975"/>
      <c r="ULE75" s="975"/>
      <c r="ULF75" s="975"/>
      <c r="ULG75" s="975"/>
      <c r="ULH75" s="975"/>
      <c r="ULI75" s="975"/>
      <c r="ULJ75" s="975"/>
      <c r="ULK75" s="975"/>
      <c r="ULL75" s="975"/>
      <c r="ULM75" s="975"/>
      <c r="ULN75" s="975"/>
      <c r="ULO75" s="975"/>
      <c r="ULP75" s="975"/>
      <c r="ULQ75" s="975"/>
      <c r="ULR75" s="975"/>
      <c r="ULS75" s="975"/>
      <c r="ULT75" s="975"/>
      <c r="ULU75" s="975"/>
      <c r="ULV75" s="975"/>
      <c r="ULW75" s="975"/>
      <c r="ULX75" s="975"/>
      <c r="ULY75" s="975"/>
      <c r="ULZ75" s="975"/>
      <c r="UMA75" s="975"/>
      <c r="UMB75" s="975"/>
      <c r="UMC75" s="975"/>
      <c r="UMD75" s="975"/>
      <c r="UME75" s="975"/>
      <c r="UMF75" s="975"/>
      <c r="UMG75" s="975"/>
      <c r="UMH75" s="975"/>
      <c r="UMI75" s="975"/>
      <c r="UMJ75" s="975"/>
      <c r="UMK75" s="975"/>
      <c r="UML75" s="975"/>
      <c r="UMM75" s="975"/>
      <c r="UMN75" s="975"/>
      <c r="UMO75" s="975"/>
      <c r="UMP75" s="975"/>
      <c r="UMQ75" s="975"/>
      <c r="UMR75" s="975"/>
      <c r="UMS75" s="975"/>
      <c r="UMT75" s="975"/>
      <c r="UMU75" s="975"/>
      <c r="UMV75" s="975"/>
      <c r="UMW75" s="975"/>
      <c r="UMX75" s="975"/>
      <c r="UMY75" s="975"/>
      <c r="UMZ75" s="975"/>
      <c r="UNA75" s="975"/>
      <c r="UNB75" s="975"/>
      <c r="UNC75" s="975"/>
      <c r="UND75" s="975"/>
      <c r="UNE75" s="975"/>
      <c r="UNF75" s="975"/>
      <c r="UNG75" s="975"/>
      <c r="UNH75" s="975"/>
      <c r="UNI75" s="975"/>
      <c r="UNJ75" s="975"/>
      <c r="UNK75" s="975"/>
      <c r="UNL75" s="975"/>
      <c r="UNM75" s="975"/>
      <c r="UNN75" s="975"/>
      <c r="UNO75" s="975"/>
      <c r="UNP75" s="975"/>
      <c r="UNQ75" s="975"/>
      <c r="UNR75" s="975"/>
      <c r="UNS75" s="975"/>
      <c r="UNT75" s="975"/>
      <c r="UNU75" s="975"/>
      <c r="UNV75" s="975"/>
      <c r="UNW75" s="975"/>
      <c r="UNX75" s="975"/>
      <c r="UNY75" s="975"/>
      <c r="UNZ75" s="975"/>
      <c r="UOA75" s="975"/>
      <c r="UOB75" s="975"/>
      <c r="UOC75" s="975"/>
      <c r="UOD75" s="975"/>
      <c r="UOE75" s="975"/>
      <c r="UOF75" s="975"/>
      <c r="UOG75" s="975"/>
      <c r="UOH75" s="975"/>
      <c r="UOI75" s="975"/>
      <c r="UOJ75" s="975"/>
      <c r="UOK75" s="975"/>
      <c r="UOL75" s="975"/>
      <c r="UOM75" s="975"/>
      <c r="UON75" s="975"/>
      <c r="UOO75" s="975"/>
      <c r="UOP75" s="975"/>
      <c r="UOQ75" s="975"/>
      <c r="UOR75" s="975"/>
      <c r="UOS75" s="975"/>
      <c r="UOT75" s="975"/>
      <c r="UOU75" s="975"/>
      <c r="UOV75" s="975"/>
      <c r="UOW75" s="975"/>
      <c r="UOX75" s="975"/>
      <c r="UOY75" s="975"/>
      <c r="UOZ75" s="975"/>
      <c r="UPA75" s="975"/>
      <c r="UPB75" s="975"/>
      <c r="UPC75" s="975"/>
      <c r="UPD75" s="975"/>
      <c r="UPE75" s="975"/>
      <c r="UPF75" s="975"/>
      <c r="UPG75" s="975"/>
      <c r="UPH75" s="975"/>
      <c r="UPI75" s="975"/>
      <c r="UPJ75" s="975"/>
      <c r="UPK75" s="975"/>
      <c r="UPL75" s="975"/>
      <c r="UPM75" s="975"/>
      <c r="UPN75" s="975"/>
      <c r="UPO75" s="975"/>
      <c r="UPP75" s="975"/>
      <c r="UPQ75" s="975"/>
      <c r="UPR75" s="975"/>
      <c r="UPS75" s="975"/>
      <c r="UPT75" s="975"/>
      <c r="UPU75" s="975"/>
      <c r="UPV75" s="975"/>
      <c r="UPW75" s="975"/>
      <c r="UPX75" s="975"/>
      <c r="UPY75" s="975"/>
      <c r="UPZ75" s="975"/>
      <c r="UQA75" s="975"/>
      <c r="UQB75" s="975"/>
      <c r="UQC75" s="975"/>
      <c r="UQD75" s="975"/>
      <c r="UQE75" s="975"/>
      <c r="UQF75" s="975"/>
      <c r="UQG75" s="975"/>
      <c r="UQH75" s="975"/>
      <c r="UQI75" s="975"/>
      <c r="UQJ75" s="975"/>
      <c r="UQK75" s="975"/>
      <c r="UQL75" s="975"/>
      <c r="UQM75" s="975"/>
      <c r="UQN75" s="975"/>
      <c r="UQO75" s="975"/>
      <c r="UQP75" s="975"/>
      <c r="UQQ75" s="975"/>
      <c r="UQR75" s="975"/>
      <c r="UQS75" s="975"/>
      <c r="UQT75" s="975"/>
      <c r="UQU75" s="975"/>
      <c r="UQV75" s="975"/>
      <c r="UQW75" s="975"/>
      <c r="UQX75" s="975"/>
      <c r="UQY75" s="975"/>
      <c r="UQZ75" s="975"/>
      <c r="URA75" s="975"/>
      <c r="URB75" s="975"/>
      <c r="URC75" s="975"/>
      <c r="URD75" s="975"/>
      <c r="URE75" s="975"/>
      <c r="URF75" s="975"/>
      <c r="URG75" s="975"/>
      <c r="URH75" s="975"/>
      <c r="URI75" s="975"/>
      <c r="URJ75" s="975"/>
      <c r="URK75" s="975"/>
      <c r="URL75" s="975"/>
      <c r="URM75" s="975"/>
      <c r="URN75" s="975"/>
      <c r="URO75" s="975"/>
      <c r="URP75" s="975"/>
      <c r="URQ75" s="975"/>
      <c r="URR75" s="975"/>
      <c r="URS75" s="975"/>
      <c r="URT75" s="975"/>
      <c r="URU75" s="975"/>
      <c r="URV75" s="975"/>
      <c r="URW75" s="975"/>
      <c r="URX75" s="975"/>
      <c r="URY75" s="975"/>
      <c r="URZ75" s="975"/>
      <c r="USA75" s="975"/>
      <c r="USB75" s="975"/>
      <c r="USC75" s="975"/>
      <c r="USD75" s="975"/>
      <c r="USE75" s="975"/>
      <c r="USF75" s="975"/>
      <c r="USG75" s="975"/>
      <c r="USH75" s="975"/>
      <c r="USI75" s="975"/>
      <c r="USJ75" s="975"/>
      <c r="USK75" s="975"/>
      <c r="USL75" s="975"/>
      <c r="USM75" s="975"/>
      <c r="USN75" s="975"/>
      <c r="USO75" s="975"/>
      <c r="USP75" s="975"/>
      <c r="USQ75" s="975"/>
      <c r="USR75" s="975"/>
      <c r="USS75" s="975"/>
      <c r="UST75" s="975"/>
      <c r="USU75" s="975"/>
      <c r="USV75" s="975"/>
      <c r="USW75" s="975"/>
      <c r="USX75" s="975"/>
      <c r="USY75" s="975"/>
      <c r="USZ75" s="975"/>
      <c r="UTA75" s="975"/>
      <c r="UTB75" s="975"/>
      <c r="UTC75" s="975"/>
      <c r="UTD75" s="975"/>
      <c r="UTE75" s="975"/>
      <c r="UTF75" s="975"/>
      <c r="UTG75" s="975"/>
      <c r="UTH75" s="975"/>
      <c r="UTI75" s="975"/>
      <c r="UTJ75" s="975"/>
      <c r="UTK75" s="975"/>
      <c r="UTL75" s="975"/>
      <c r="UTM75" s="975"/>
      <c r="UTN75" s="975"/>
      <c r="UTO75" s="975"/>
      <c r="UTP75" s="975"/>
      <c r="UTQ75" s="975"/>
      <c r="UTR75" s="975"/>
      <c r="UTS75" s="975"/>
      <c r="UTT75" s="975"/>
      <c r="UTU75" s="975"/>
      <c r="UTV75" s="975"/>
      <c r="UTW75" s="975"/>
      <c r="UTX75" s="975"/>
      <c r="UTY75" s="975"/>
      <c r="UTZ75" s="975"/>
      <c r="UUA75" s="975"/>
      <c r="UUB75" s="975"/>
      <c r="UUC75" s="975"/>
      <c r="UUD75" s="975"/>
      <c r="UUE75" s="975"/>
      <c r="UUF75" s="975"/>
      <c r="UUG75" s="975"/>
      <c r="UUH75" s="975"/>
      <c r="UUI75" s="975"/>
      <c r="UUJ75" s="975"/>
      <c r="UUK75" s="975"/>
      <c r="UUL75" s="975"/>
      <c r="UUM75" s="975"/>
      <c r="UUN75" s="975"/>
      <c r="UUO75" s="975"/>
      <c r="UUP75" s="975"/>
      <c r="UUQ75" s="975"/>
      <c r="UUR75" s="975"/>
      <c r="UUS75" s="975"/>
      <c r="UUT75" s="975"/>
      <c r="UUU75" s="975"/>
      <c r="UUV75" s="975"/>
      <c r="UUW75" s="975"/>
      <c r="UUX75" s="975"/>
      <c r="UUY75" s="975"/>
      <c r="UUZ75" s="975"/>
      <c r="UVA75" s="975"/>
      <c r="UVB75" s="975"/>
      <c r="UVC75" s="975"/>
      <c r="UVD75" s="975"/>
      <c r="UVE75" s="975"/>
      <c r="UVF75" s="975"/>
      <c r="UVG75" s="975"/>
      <c r="UVH75" s="975"/>
      <c r="UVI75" s="975"/>
      <c r="UVJ75" s="975"/>
      <c r="UVK75" s="975"/>
      <c r="UVL75" s="975"/>
      <c r="UVM75" s="975"/>
      <c r="UVN75" s="975"/>
      <c r="UVO75" s="975"/>
      <c r="UVP75" s="975"/>
      <c r="UVQ75" s="975"/>
      <c r="UVR75" s="975"/>
      <c r="UVS75" s="975"/>
      <c r="UVT75" s="975"/>
      <c r="UVU75" s="975"/>
      <c r="UVV75" s="975"/>
      <c r="UVW75" s="975"/>
      <c r="UVX75" s="975"/>
      <c r="UVY75" s="975"/>
      <c r="UVZ75" s="975"/>
      <c r="UWA75" s="975"/>
      <c r="UWB75" s="975"/>
      <c r="UWC75" s="975"/>
      <c r="UWD75" s="975"/>
      <c r="UWE75" s="975"/>
      <c r="UWF75" s="975"/>
      <c r="UWG75" s="975"/>
      <c r="UWH75" s="975"/>
      <c r="UWI75" s="975"/>
      <c r="UWJ75" s="975"/>
      <c r="UWK75" s="975"/>
      <c r="UWL75" s="975"/>
      <c r="UWM75" s="975"/>
      <c r="UWN75" s="975"/>
      <c r="UWO75" s="975"/>
      <c r="UWP75" s="975"/>
      <c r="UWQ75" s="975"/>
      <c r="UWR75" s="975"/>
      <c r="UWS75" s="975"/>
      <c r="UWT75" s="975"/>
      <c r="UWU75" s="975"/>
      <c r="UWV75" s="975"/>
      <c r="UWW75" s="975"/>
      <c r="UWX75" s="975"/>
      <c r="UWY75" s="975"/>
      <c r="UWZ75" s="975"/>
      <c r="UXA75" s="975"/>
      <c r="UXB75" s="975"/>
      <c r="UXC75" s="975"/>
      <c r="UXD75" s="975"/>
      <c r="UXE75" s="975"/>
      <c r="UXF75" s="975"/>
      <c r="UXG75" s="975"/>
      <c r="UXH75" s="975"/>
      <c r="UXI75" s="975"/>
      <c r="UXJ75" s="975"/>
      <c r="UXK75" s="975"/>
      <c r="UXL75" s="975"/>
      <c r="UXM75" s="975"/>
      <c r="UXN75" s="975"/>
      <c r="UXO75" s="975"/>
      <c r="UXP75" s="975"/>
      <c r="UXQ75" s="975"/>
      <c r="UXR75" s="975"/>
      <c r="UXS75" s="975"/>
      <c r="UXT75" s="975"/>
      <c r="UXU75" s="975"/>
      <c r="UXV75" s="975"/>
      <c r="UXW75" s="975"/>
      <c r="UXX75" s="975"/>
      <c r="UXY75" s="975"/>
      <c r="UXZ75" s="975"/>
      <c r="UYA75" s="975"/>
      <c r="UYB75" s="975"/>
      <c r="UYC75" s="975"/>
      <c r="UYD75" s="975"/>
      <c r="UYE75" s="975"/>
      <c r="UYF75" s="975"/>
      <c r="UYG75" s="975"/>
      <c r="UYH75" s="975"/>
      <c r="UYI75" s="975"/>
      <c r="UYJ75" s="975"/>
      <c r="UYK75" s="975"/>
      <c r="UYL75" s="975"/>
      <c r="UYM75" s="975"/>
      <c r="UYN75" s="975"/>
      <c r="UYO75" s="975"/>
      <c r="UYP75" s="975"/>
      <c r="UYQ75" s="975"/>
      <c r="UYR75" s="975"/>
      <c r="UYS75" s="975"/>
      <c r="UYT75" s="975"/>
      <c r="UYU75" s="975"/>
      <c r="UYV75" s="975"/>
      <c r="UYW75" s="975"/>
      <c r="UYX75" s="975"/>
      <c r="UYY75" s="975"/>
      <c r="UYZ75" s="975"/>
      <c r="UZA75" s="975"/>
      <c r="UZB75" s="975"/>
      <c r="UZC75" s="975"/>
      <c r="UZD75" s="975"/>
      <c r="UZE75" s="975"/>
      <c r="UZF75" s="975"/>
      <c r="UZG75" s="975"/>
      <c r="UZH75" s="975"/>
      <c r="UZI75" s="975"/>
      <c r="UZJ75" s="975"/>
      <c r="UZK75" s="975"/>
      <c r="UZL75" s="975"/>
      <c r="UZM75" s="975"/>
      <c r="UZN75" s="975"/>
      <c r="UZO75" s="975"/>
      <c r="UZP75" s="975"/>
      <c r="UZQ75" s="975"/>
      <c r="UZR75" s="975"/>
      <c r="UZS75" s="975"/>
      <c r="UZT75" s="975"/>
      <c r="UZU75" s="975"/>
      <c r="UZV75" s="975"/>
      <c r="UZW75" s="975"/>
      <c r="UZX75" s="975"/>
      <c r="UZY75" s="975"/>
      <c r="UZZ75" s="975"/>
      <c r="VAA75" s="975"/>
      <c r="VAB75" s="975"/>
      <c r="VAC75" s="975"/>
      <c r="VAD75" s="975"/>
      <c r="VAE75" s="975"/>
      <c r="VAF75" s="975"/>
      <c r="VAG75" s="975"/>
      <c r="VAH75" s="975"/>
      <c r="VAI75" s="975"/>
      <c r="VAJ75" s="975"/>
      <c r="VAK75" s="975"/>
      <c r="VAL75" s="975"/>
      <c r="VAM75" s="975"/>
      <c r="VAN75" s="975"/>
      <c r="VAO75" s="975"/>
      <c r="VAP75" s="975"/>
      <c r="VAQ75" s="975"/>
      <c r="VAR75" s="975"/>
      <c r="VAS75" s="975"/>
      <c r="VAT75" s="975"/>
      <c r="VAU75" s="975"/>
      <c r="VAV75" s="975"/>
      <c r="VAW75" s="975"/>
      <c r="VAX75" s="975"/>
      <c r="VAY75" s="975"/>
      <c r="VAZ75" s="975"/>
      <c r="VBA75" s="975"/>
      <c r="VBB75" s="975"/>
      <c r="VBC75" s="975"/>
      <c r="VBD75" s="975"/>
      <c r="VBE75" s="975"/>
      <c r="VBF75" s="975"/>
      <c r="VBG75" s="975"/>
      <c r="VBH75" s="975"/>
      <c r="VBI75" s="975"/>
      <c r="VBJ75" s="975"/>
      <c r="VBK75" s="975"/>
      <c r="VBL75" s="975"/>
      <c r="VBM75" s="975"/>
      <c r="VBN75" s="975"/>
      <c r="VBO75" s="975"/>
      <c r="VBP75" s="975"/>
      <c r="VBQ75" s="975"/>
      <c r="VBR75" s="975"/>
      <c r="VBS75" s="975"/>
      <c r="VBT75" s="975"/>
      <c r="VBU75" s="975"/>
      <c r="VBV75" s="975"/>
      <c r="VBW75" s="975"/>
      <c r="VBX75" s="975"/>
      <c r="VBY75" s="975"/>
      <c r="VBZ75" s="975"/>
      <c r="VCA75" s="975"/>
      <c r="VCB75" s="975"/>
      <c r="VCC75" s="975"/>
      <c r="VCD75" s="975"/>
      <c r="VCE75" s="975"/>
      <c r="VCF75" s="975"/>
      <c r="VCG75" s="975"/>
      <c r="VCH75" s="975"/>
      <c r="VCI75" s="975"/>
      <c r="VCJ75" s="975"/>
      <c r="VCK75" s="975"/>
      <c r="VCL75" s="975"/>
      <c r="VCM75" s="975"/>
      <c r="VCN75" s="975"/>
      <c r="VCO75" s="975"/>
      <c r="VCP75" s="975"/>
      <c r="VCQ75" s="975"/>
      <c r="VCR75" s="975"/>
      <c r="VCS75" s="975"/>
      <c r="VCT75" s="975"/>
      <c r="VCU75" s="975"/>
      <c r="VCV75" s="975"/>
      <c r="VCW75" s="975"/>
      <c r="VCX75" s="975"/>
      <c r="VCY75" s="975"/>
      <c r="VCZ75" s="975"/>
      <c r="VDA75" s="975"/>
      <c r="VDB75" s="975"/>
      <c r="VDC75" s="975"/>
      <c r="VDD75" s="975"/>
      <c r="VDE75" s="975"/>
      <c r="VDF75" s="975"/>
      <c r="VDG75" s="975"/>
      <c r="VDH75" s="975"/>
      <c r="VDI75" s="975"/>
      <c r="VDJ75" s="975"/>
      <c r="VDK75" s="975"/>
      <c r="VDL75" s="975"/>
      <c r="VDM75" s="975"/>
      <c r="VDN75" s="975"/>
      <c r="VDO75" s="975"/>
      <c r="VDP75" s="975"/>
      <c r="VDQ75" s="975"/>
      <c r="VDR75" s="975"/>
      <c r="VDS75" s="975"/>
      <c r="VDT75" s="975"/>
      <c r="VDU75" s="975"/>
      <c r="VDV75" s="975"/>
      <c r="VDW75" s="975"/>
      <c r="VDX75" s="975"/>
      <c r="VDY75" s="975"/>
      <c r="VDZ75" s="975"/>
      <c r="VEA75" s="975"/>
      <c r="VEB75" s="975"/>
      <c r="VEC75" s="975"/>
      <c r="VED75" s="975"/>
      <c r="VEE75" s="975"/>
      <c r="VEF75" s="975"/>
      <c r="VEG75" s="975"/>
      <c r="VEH75" s="975"/>
      <c r="VEI75" s="975"/>
      <c r="VEJ75" s="975"/>
      <c r="VEK75" s="975"/>
      <c r="VEL75" s="975"/>
      <c r="VEM75" s="975"/>
      <c r="VEN75" s="975"/>
      <c r="VEO75" s="975"/>
      <c r="VEP75" s="975"/>
      <c r="VEQ75" s="975"/>
      <c r="VER75" s="975"/>
      <c r="VES75" s="975"/>
      <c r="VET75" s="975"/>
      <c r="VEU75" s="975"/>
      <c r="VEV75" s="975"/>
      <c r="VEW75" s="975"/>
      <c r="VEX75" s="975"/>
      <c r="VEY75" s="975"/>
      <c r="VEZ75" s="975"/>
      <c r="VFA75" s="975"/>
      <c r="VFB75" s="975"/>
      <c r="VFC75" s="975"/>
      <c r="VFD75" s="975"/>
      <c r="VFE75" s="975"/>
      <c r="VFF75" s="975"/>
      <c r="VFG75" s="975"/>
      <c r="VFH75" s="975"/>
      <c r="VFI75" s="975"/>
      <c r="VFJ75" s="975"/>
      <c r="VFK75" s="975"/>
      <c r="VFL75" s="975"/>
      <c r="VFM75" s="975"/>
      <c r="VFN75" s="975"/>
      <c r="VFO75" s="975"/>
      <c r="VFP75" s="975"/>
      <c r="VFQ75" s="975"/>
      <c r="VFR75" s="975"/>
      <c r="VFS75" s="975"/>
      <c r="VFT75" s="975"/>
      <c r="VFU75" s="975"/>
      <c r="VFV75" s="975"/>
      <c r="VFW75" s="975"/>
      <c r="VFX75" s="975"/>
      <c r="VFY75" s="975"/>
      <c r="VFZ75" s="975"/>
      <c r="VGA75" s="975"/>
      <c r="VGB75" s="975"/>
      <c r="VGC75" s="975"/>
      <c r="VGD75" s="975"/>
      <c r="VGE75" s="975"/>
      <c r="VGF75" s="975"/>
      <c r="VGG75" s="975"/>
      <c r="VGH75" s="975"/>
      <c r="VGI75" s="975"/>
      <c r="VGJ75" s="975"/>
      <c r="VGK75" s="975"/>
      <c r="VGL75" s="975"/>
      <c r="VGM75" s="975"/>
      <c r="VGN75" s="975"/>
      <c r="VGO75" s="975"/>
      <c r="VGP75" s="975"/>
      <c r="VGQ75" s="975"/>
      <c r="VGR75" s="975"/>
      <c r="VGS75" s="975"/>
      <c r="VGT75" s="975"/>
      <c r="VGU75" s="975"/>
      <c r="VGV75" s="975"/>
      <c r="VGW75" s="975"/>
      <c r="VGX75" s="975"/>
      <c r="VGY75" s="975"/>
      <c r="VGZ75" s="975"/>
      <c r="VHA75" s="975"/>
      <c r="VHB75" s="975"/>
      <c r="VHC75" s="975"/>
      <c r="VHD75" s="975"/>
      <c r="VHE75" s="975"/>
      <c r="VHF75" s="975"/>
      <c r="VHG75" s="975"/>
      <c r="VHH75" s="975"/>
      <c r="VHI75" s="975"/>
      <c r="VHJ75" s="975"/>
      <c r="VHK75" s="975"/>
      <c r="VHL75" s="975"/>
      <c r="VHM75" s="975"/>
      <c r="VHN75" s="975"/>
      <c r="VHO75" s="975"/>
      <c r="VHP75" s="975"/>
      <c r="VHQ75" s="975"/>
      <c r="VHR75" s="975"/>
      <c r="VHS75" s="975"/>
      <c r="VHT75" s="975"/>
      <c r="VHU75" s="975"/>
      <c r="VHV75" s="975"/>
      <c r="VHW75" s="975"/>
      <c r="VHX75" s="975"/>
      <c r="VHY75" s="975"/>
      <c r="VHZ75" s="975"/>
      <c r="VIA75" s="975"/>
      <c r="VIB75" s="975"/>
      <c r="VIC75" s="975"/>
      <c r="VID75" s="975"/>
      <c r="VIE75" s="975"/>
      <c r="VIF75" s="975"/>
      <c r="VIG75" s="975"/>
      <c r="VIH75" s="975"/>
      <c r="VII75" s="975"/>
      <c r="VIJ75" s="975"/>
      <c r="VIK75" s="975"/>
      <c r="VIL75" s="975"/>
      <c r="VIM75" s="975"/>
      <c r="VIN75" s="975"/>
      <c r="VIO75" s="975"/>
      <c r="VIP75" s="975"/>
      <c r="VIQ75" s="975"/>
      <c r="VIR75" s="975"/>
      <c r="VIS75" s="975"/>
      <c r="VIT75" s="975"/>
      <c r="VIU75" s="975"/>
      <c r="VIV75" s="975"/>
      <c r="VIW75" s="975"/>
      <c r="VIX75" s="975"/>
      <c r="VIY75" s="975"/>
      <c r="VIZ75" s="975"/>
      <c r="VJA75" s="975"/>
      <c r="VJB75" s="975"/>
      <c r="VJC75" s="975"/>
      <c r="VJD75" s="975"/>
      <c r="VJE75" s="975"/>
      <c r="VJF75" s="975"/>
      <c r="VJG75" s="975"/>
      <c r="VJH75" s="975"/>
      <c r="VJI75" s="975"/>
      <c r="VJJ75" s="975"/>
      <c r="VJK75" s="975"/>
      <c r="VJL75" s="975"/>
      <c r="VJM75" s="975"/>
      <c r="VJN75" s="975"/>
      <c r="VJO75" s="975"/>
      <c r="VJP75" s="975"/>
      <c r="VJQ75" s="975"/>
      <c r="VJR75" s="975"/>
      <c r="VJS75" s="975"/>
      <c r="VJT75" s="975"/>
      <c r="VJU75" s="975"/>
      <c r="VJV75" s="975"/>
      <c r="VJW75" s="975"/>
      <c r="VJX75" s="975"/>
      <c r="VJY75" s="975"/>
      <c r="VJZ75" s="975"/>
      <c r="VKA75" s="975"/>
      <c r="VKB75" s="975"/>
      <c r="VKC75" s="975"/>
      <c r="VKD75" s="975"/>
      <c r="VKE75" s="975"/>
      <c r="VKF75" s="975"/>
      <c r="VKG75" s="975"/>
      <c r="VKH75" s="975"/>
      <c r="VKI75" s="975"/>
      <c r="VKJ75" s="975"/>
      <c r="VKK75" s="975"/>
      <c r="VKL75" s="975"/>
      <c r="VKM75" s="975"/>
      <c r="VKN75" s="975"/>
      <c r="VKO75" s="975"/>
      <c r="VKP75" s="975"/>
      <c r="VKQ75" s="975"/>
      <c r="VKR75" s="975"/>
      <c r="VKS75" s="975"/>
      <c r="VKT75" s="975"/>
      <c r="VKU75" s="975"/>
      <c r="VKV75" s="975"/>
      <c r="VKW75" s="975"/>
      <c r="VKX75" s="975"/>
      <c r="VKY75" s="975"/>
      <c r="VKZ75" s="975"/>
      <c r="VLA75" s="975"/>
      <c r="VLB75" s="975"/>
      <c r="VLC75" s="975"/>
      <c r="VLD75" s="975"/>
      <c r="VLE75" s="975"/>
      <c r="VLF75" s="975"/>
      <c r="VLG75" s="975"/>
      <c r="VLH75" s="975"/>
      <c r="VLI75" s="975"/>
      <c r="VLJ75" s="975"/>
      <c r="VLK75" s="975"/>
      <c r="VLL75" s="975"/>
      <c r="VLM75" s="975"/>
      <c r="VLN75" s="975"/>
      <c r="VLO75" s="975"/>
      <c r="VLP75" s="975"/>
      <c r="VLQ75" s="975"/>
      <c r="VLR75" s="975"/>
      <c r="VLS75" s="975"/>
      <c r="VLT75" s="975"/>
      <c r="VLU75" s="975"/>
      <c r="VLV75" s="975"/>
      <c r="VLW75" s="975"/>
      <c r="VLX75" s="975"/>
      <c r="VLY75" s="975"/>
      <c r="VLZ75" s="975"/>
      <c r="VMA75" s="975"/>
      <c r="VMB75" s="975"/>
      <c r="VMC75" s="975"/>
      <c r="VMD75" s="975"/>
      <c r="VME75" s="975"/>
      <c r="VMF75" s="975"/>
      <c r="VMG75" s="975"/>
      <c r="VMH75" s="975"/>
      <c r="VMI75" s="975"/>
      <c r="VMJ75" s="975"/>
      <c r="VMK75" s="975"/>
      <c r="VML75" s="975"/>
      <c r="VMM75" s="975"/>
      <c r="VMN75" s="975"/>
      <c r="VMO75" s="975"/>
      <c r="VMP75" s="975"/>
      <c r="VMQ75" s="975"/>
      <c r="VMR75" s="975"/>
      <c r="VMS75" s="975"/>
      <c r="VMT75" s="975"/>
      <c r="VMU75" s="975"/>
      <c r="VMV75" s="975"/>
      <c r="VMW75" s="975"/>
      <c r="VMX75" s="975"/>
      <c r="VMY75" s="975"/>
      <c r="VMZ75" s="975"/>
      <c r="VNA75" s="975"/>
      <c r="VNB75" s="975"/>
      <c r="VNC75" s="975"/>
      <c r="VND75" s="975"/>
      <c r="VNE75" s="975"/>
      <c r="VNF75" s="975"/>
      <c r="VNG75" s="975"/>
      <c r="VNH75" s="975"/>
      <c r="VNI75" s="975"/>
      <c r="VNJ75" s="975"/>
      <c r="VNK75" s="975"/>
      <c r="VNL75" s="975"/>
      <c r="VNM75" s="975"/>
      <c r="VNN75" s="975"/>
      <c r="VNO75" s="975"/>
      <c r="VNP75" s="975"/>
      <c r="VNQ75" s="975"/>
      <c r="VNR75" s="975"/>
      <c r="VNS75" s="975"/>
      <c r="VNT75" s="975"/>
      <c r="VNU75" s="975"/>
      <c r="VNV75" s="975"/>
      <c r="VNW75" s="975"/>
      <c r="VNX75" s="975"/>
      <c r="VNY75" s="975"/>
      <c r="VNZ75" s="975"/>
      <c r="VOA75" s="975"/>
      <c r="VOB75" s="975"/>
      <c r="VOC75" s="975"/>
      <c r="VOD75" s="975"/>
      <c r="VOE75" s="975"/>
      <c r="VOF75" s="975"/>
      <c r="VOG75" s="975"/>
      <c r="VOH75" s="975"/>
      <c r="VOI75" s="975"/>
      <c r="VOJ75" s="975"/>
      <c r="VOK75" s="975"/>
      <c r="VOL75" s="975"/>
      <c r="VOM75" s="975"/>
      <c r="VON75" s="975"/>
      <c r="VOO75" s="975"/>
      <c r="VOP75" s="975"/>
      <c r="VOQ75" s="975"/>
      <c r="VOR75" s="975"/>
      <c r="VOS75" s="975"/>
      <c r="VOT75" s="975"/>
      <c r="VOU75" s="975"/>
      <c r="VOV75" s="975"/>
      <c r="VOW75" s="975"/>
      <c r="VOX75" s="975"/>
      <c r="VOY75" s="975"/>
      <c r="VOZ75" s="975"/>
      <c r="VPA75" s="975"/>
      <c r="VPB75" s="975"/>
      <c r="VPC75" s="975"/>
      <c r="VPD75" s="975"/>
      <c r="VPE75" s="975"/>
      <c r="VPF75" s="975"/>
      <c r="VPG75" s="975"/>
      <c r="VPH75" s="975"/>
      <c r="VPI75" s="975"/>
      <c r="VPJ75" s="975"/>
      <c r="VPK75" s="975"/>
      <c r="VPL75" s="975"/>
      <c r="VPM75" s="975"/>
      <c r="VPN75" s="975"/>
      <c r="VPO75" s="975"/>
      <c r="VPP75" s="975"/>
      <c r="VPQ75" s="975"/>
      <c r="VPR75" s="975"/>
      <c r="VPS75" s="975"/>
      <c r="VPT75" s="975"/>
      <c r="VPU75" s="975"/>
      <c r="VPV75" s="975"/>
      <c r="VPW75" s="975"/>
      <c r="VPX75" s="975"/>
      <c r="VPY75" s="975"/>
      <c r="VPZ75" s="975"/>
      <c r="VQA75" s="975"/>
      <c r="VQB75" s="975"/>
      <c r="VQC75" s="975"/>
      <c r="VQD75" s="975"/>
      <c r="VQE75" s="975"/>
      <c r="VQF75" s="975"/>
      <c r="VQG75" s="975"/>
      <c r="VQH75" s="975"/>
      <c r="VQI75" s="975"/>
      <c r="VQJ75" s="975"/>
      <c r="VQK75" s="975"/>
      <c r="VQL75" s="975"/>
      <c r="VQM75" s="975"/>
      <c r="VQN75" s="975"/>
      <c r="VQO75" s="975"/>
      <c r="VQP75" s="975"/>
      <c r="VQQ75" s="975"/>
      <c r="VQR75" s="975"/>
      <c r="VQS75" s="975"/>
      <c r="VQT75" s="975"/>
      <c r="VQU75" s="975"/>
      <c r="VQV75" s="975"/>
      <c r="VQW75" s="975"/>
      <c r="VQX75" s="975"/>
      <c r="VQY75" s="975"/>
      <c r="VQZ75" s="975"/>
      <c r="VRA75" s="975"/>
      <c r="VRB75" s="975"/>
      <c r="VRC75" s="975"/>
      <c r="VRD75" s="975"/>
      <c r="VRE75" s="975"/>
      <c r="VRF75" s="975"/>
      <c r="VRG75" s="975"/>
      <c r="VRH75" s="975"/>
      <c r="VRI75" s="975"/>
      <c r="VRJ75" s="975"/>
      <c r="VRK75" s="975"/>
      <c r="VRL75" s="975"/>
      <c r="VRM75" s="975"/>
      <c r="VRN75" s="975"/>
      <c r="VRO75" s="975"/>
      <c r="VRP75" s="975"/>
      <c r="VRQ75" s="975"/>
      <c r="VRR75" s="975"/>
      <c r="VRS75" s="975"/>
      <c r="VRT75" s="975"/>
      <c r="VRU75" s="975"/>
      <c r="VRV75" s="975"/>
      <c r="VRW75" s="975"/>
      <c r="VRX75" s="975"/>
      <c r="VRY75" s="975"/>
      <c r="VRZ75" s="975"/>
      <c r="VSA75" s="975"/>
      <c r="VSB75" s="975"/>
      <c r="VSC75" s="975"/>
      <c r="VSD75" s="975"/>
      <c r="VSE75" s="975"/>
      <c r="VSF75" s="975"/>
      <c r="VSG75" s="975"/>
      <c r="VSH75" s="975"/>
      <c r="VSI75" s="975"/>
      <c r="VSJ75" s="975"/>
      <c r="VSK75" s="975"/>
      <c r="VSL75" s="975"/>
      <c r="VSM75" s="975"/>
      <c r="VSN75" s="975"/>
      <c r="VSO75" s="975"/>
      <c r="VSP75" s="975"/>
      <c r="VSQ75" s="975"/>
      <c r="VSR75" s="975"/>
      <c r="VSS75" s="975"/>
      <c r="VST75" s="975"/>
      <c r="VSU75" s="975"/>
      <c r="VSV75" s="975"/>
      <c r="VSW75" s="975"/>
      <c r="VSX75" s="975"/>
      <c r="VSY75" s="975"/>
      <c r="VSZ75" s="975"/>
      <c r="VTA75" s="975"/>
      <c r="VTB75" s="975"/>
      <c r="VTC75" s="975"/>
      <c r="VTD75" s="975"/>
      <c r="VTE75" s="975"/>
      <c r="VTF75" s="975"/>
      <c r="VTG75" s="975"/>
      <c r="VTH75" s="975"/>
      <c r="VTI75" s="975"/>
      <c r="VTJ75" s="975"/>
      <c r="VTK75" s="975"/>
      <c r="VTL75" s="975"/>
      <c r="VTM75" s="975"/>
      <c r="VTN75" s="975"/>
      <c r="VTO75" s="975"/>
      <c r="VTP75" s="975"/>
      <c r="VTQ75" s="975"/>
      <c r="VTR75" s="975"/>
      <c r="VTS75" s="975"/>
      <c r="VTT75" s="975"/>
      <c r="VTU75" s="975"/>
      <c r="VTV75" s="975"/>
      <c r="VTW75" s="975"/>
      <c r="VTX75" s="975"/>
      <c r="VTY75" s="975"/>
      <c r="VTZ75" s="975"/>
      <c r="VUA75" s="975"/>
      <c r="VUB75" s="975"/>
      <c r="VUC75" s="975"/>
      <c r="VUD75" s="975"/>
      <c r="VUE75" s="975"/>
      <c r="VUF75" s="975"/>
      <c r="VUG75" s="975"/>
      <c r="VUH75" s="975"/>
      <c r="VUI75" s="975"/>
      <c r="VUJ75" s="975"/>
      <c r="VUK75" s="975"/>
      <c r="VUL75" s="975"/>
      <c r="VUM75" s="975"/>
      <c r="VUN75" s="975"/>
      <c r="VUO75" s="975"/>
      <c r="VUP75" s="975"/>
      <c r="VUQ75" s="975"/>
      <c r="VUR75" s="975"/>
      <c r="VUS75" s="975"/>
      <c r="VUT75" s="975"/>
      <c r="VUU75" s="975"/>
      <c r="VUV75" s="975"/>
      <c r="VUW75" s="975"/>
      <c r="VUX75" s="975"/>
      <c r="VUY75" s="975"/>
      <c r="VUZ75" s="975"/>
      <c r="VVA75" s="975"/>
      <c r="VVB75" s="975"/>
      <c r="VVC75" s="975"/>
      <c r="VVD75" s="975"/>
      <c r="VVE75" s="975"/>
      <c r="VVF75" s="975"/>
      <c r="VVG75" s="975"/>
      <c r="VVH75" s="975"/>
      <c r="VVI75" s="975"/>
      <c r="VVJ75" s="975"/>
      <c r="VVK75" s="975"/>
      <c r="VVL75" s="975"/>
      <c r="VVM75" s="975"/>
      <c r="VVN75" s="975"/>
      <c r="VVO75" s="975"/>
      <c r="VVP75" s="975"/>
      <c r="VVQ75" s="975"/>
      <c r="VVR75" s="975"/>
      <c r="VVS75" s="975"/>
      <c r="VVT75" s="975"/>
      <c r="VVU75" s="975"/>
      <c r="VVV75" s="975"/>
      <c r="VVW75" s="975"/>
      <c r="VVX75" s="975"/>
      <c r="VVY75" s="975"/>
      <c r="VVZ75" s="975"/>
      <c r="VWA75" s="975"/>
      <c r="VWB75" s="975"/>
      <c r="VWC75" s="975"/>
      <c r="VWD75" s="975"/>
      <c r="VWE75" s="975"/>
      <c r="VWF75" s="975"/>
      <c r="VWG75" s="975"/>
      <c r="VWH75" s="975"/>
      <c r="VWI75" s="975"/>
      <c r="VWJ75" s="975"/>
      <c r="VWK75" s="975"/>
      <c r="VWL75" s="975"/>
      <c r="VWM75" s="975"/>
      <c r="VWN75" s="975"/>
      <c r="VWO75" s="975"/>
      <c r="VWP75" s="975"/>
      <c r="VWQ75" s="975"/>
      <c r="VWR75" s="975"/>
      <c r="VWS75" s="975"/>
      <c r="VWT75" s="975"/>
      <c r="VWU75" s="975"/>
      <c r="VWV75" s="975"/>
      <c r="VWW75" s="975"/>
      <c r="VWX75" s="975"/>
      <c r="VWY75" s="975"/>
      <c r="VWZ75" s="975"/>
      <c r="VXA75" s="975"/>
      <c r="VXB75" s="975"/>
      <c r="VXC75" s="975"/>
      <c r="VXD75" s="975"/>
      <c r="VXE75" s="975"/>
      <c r="VXF75" s="975"/>
      <c r="VXG75" s="975"/>
      <c r="VXH75" s="975"/>
      <c r="VXI75" s="975"/>
      <c r="VXJ75" s="975"/>
      <c r="VXK75" s="975"/>
      <c r="VXL75" s="975"/>
      <c r="VXM75" s="975"/>
      <c r="VXN75" s="975"/>
      <c r="VXO75" s="975"/>
      <c r="VXP75" s="975"/>
      <c r="VXQ75" s="975"/>
      <c r="VXR75" s="975"/>
      <c r="VXS75" s="975"/>
      <c r="VXT75" s="975"/>
      <c r="VXU75" s="975"/>
      <c r="VXV75" s="975"/>
      <c r="VXW75" s="975"/>
      <c r="VXX75" s="975"/>
      <c r="VXY75" s="975"/>
      <c r="VXZ75" s="975"/>
      <c r="VYA75" s="975"/>
      <c r="VYB75" s="975"/>
      <c r="VYC75" s="975"/>
      <c r="VYD75" s="975"/>
      <c r="VYE75" s="975"/>
      <c r="VYF75" s="975"/>
      <c r="VYG75" s="975"/>
      <c r="VYH75" s="975"/>
      <c r="VYI75" s="975"/>
      <c r="VYJ75" s="975"/>
      <c r="VYK75" s="975"/>
      <c r="VYL75" s="975"/>
      <c r="VYM75" s="975"/>
      <c r="VYN75" s="975"/>
      <c r="VYO75" s="975"/>
      <c r="VYP75" s="975"/>
      <c r="VYQ75" s="975"/>
      <c r="VYR75" s="975"/>
      <c r="VYS75" s="975"/>
      <c r="VYT75" s="975"/>
      <c r="VYU75" s="975"/>
      <c r="VYV75" s="975"/>
      <c r="VYW75" s="975"/>
      <c r="VYX75" s="975"/>
      <c r="VYY75" s="975"/>
      <c r="VYZ75" s="975"/>
      <c r="VZA75" s="975"/>
      <c r="VZB75" s="975"/>
      <c r="VZC75" s="975"/>
      <c r="VZD75" s="975"/>
      <c r="VZE75" s="975"/>
      <c r="VZF75" s="975"/>
      <c r="VZG75" s="975"/>
      <c r="VZH75" s="975"/>
      <c r="VZI75" s="975"/>
      <c r="VZJ75" s="975"/>
      <c r="VZK75" s="975"/>
      <c r="VZL75" s="975"/>
      <c r="VZM75" s="975"/>
      <c r="VZN75" s="975"/>
      <c r="VZO75" s="975"/>
      <c r="VZP75" s="975"/>
      <c r="VZQ75" s="975"/>
      <c r="VZR75" s="975"/>
      <c r="VZS75" s="975"/>
      <c r="VZT75" s="975"/>
      <c r="VZU75" s="975"/>
      <c r="VZV75" s="975"/>
      <c r="VZW75" s="975"/>
      <c r="VZX75" s="975"/>
      <c r="VZY75" s="975"/>
      <c r="VZZ75" s="975"/>
      <c r="WAA75" s="975"/>
      <c r="WAB75" s="975"/>
      <c r="WAC75" s="975"/>
      <c r="WAD75" s="975"/>
      <c r="WAE75" s="975"/>
      <c r="WAF75" s="975"/>
      <c r="WAG75" s="975"/>
      <c r="WAH75" s="975"/>
      <c r="WAI75" s="975"/>
      <c r="WAJ75" s="975"/>
      <c r="WAK75" s="975"/>
      <c r="WAL75" s="975"/>
      <c r="WAM75" s="975"/>
      <c r="WAN75" s="975"/>
      <c r="WAO75" s="975"/>
      <c r="WAP75" s="975"/>
      <c r="WAQ75" s="975"/>
      <c r="WAR75" s="975"/>
      <c r="WAS75" s="975"/>
      <c r="WAT75" s="975"/>
      <c r="WAU75" s="975"/>
      <c r="WAV75" s="975"/>
      <c r="WAW75" s="975"/>
      <c r="WAX75" s="975"/>
      <c r="WAY75" s="975"/>
      <c r="WAZ75" s="975"/>
      <c r="WBA75" s="975"/>
      <c r="WBB75" s="975"/>
      <c r="WBC75" s="975"/>
      <c r="WBD75" s="975"/>
      <c r="WBE75" s="975"/>
      <c r="WBF75" s="975"/>
      <c r="WBG75" s="975"/>
      <c r="WBH75" s="975"/>
      <c r="WBI75" s="975"/>
      <c r="WBJ75" s="975"/>
      <c r="WBK75" s="975"/>
      <c r="WBL75" s="975"/>
      <c r="WBM75" s="975"/>
      <c r="WBN75" s="975"/>
      <c r="WBO75" s="975"/>
      <c r="WBP75" s="975"/>
      <c r="WBQ75" s="975"/>
      <c r="WBR75" s="975"/>
      <c r="WBS75" s="975"/>
      <c r="WBT75" s="975"/>
      <c r="WBU75" s="975"/>
      <c r="WBV75" s="975"/>
      <c r="WBW75" s="975"/>
      <c r="WBX75" s="975"/>
      <c r="WBY75" s="975"/>
      <c r="WBZ75" s="975"/>
      <c r="WCA75" s="975"/>
      <c r="WCB75" s="975"/>
      <c r="WCC75" s="975"/>
      <c r="WCD75" s="975"/>
      <c r="WCE75" s="975"/>
      <c r="WCF75" s="975"/>
      <c r="WCG75" s="975"/>
      <c r="WCH75" s="975"/>
      <c r="WCI75" s="975"/>
      <c r="WCJ75" s="975"/>
      <c r="WCK75" s="975"/>
      <c r="WCL75" s="975"/>
      <c r="WCM75" s="975"/>
      <c r="WCN75" s="975"/>
      <c r="WCO75" s="975"/>
      <c r="WCP75" s="975"/>
      <c r="WCQ75" s="975"/>
      <c r="WCR75" s="975"/>
      <c r="WCS75" s="975"/>
      <c r="WCT75" s="975"/>
      <c r="WCU75" s="975"/>
      <c r="WCV75" s="975"/>
      <c r="WCW75" s="975"/>
      <c r="WCX75" s="975"/>
      <c r="WCY75" s="975"/>
      <c r="WCZ75" s="975"/>
      <c r="WDA75" s="975"/>
      <c r="WDB75" s="975"/>
      <c r="WDC75" s="975"/>
      <c r="WDD75" s="975"/>
      <c r="WDE75" s="975"/>
      <c r="WDF75" s="975"/>
      <c r="WDG75" s="975"/>
      <c r="WDH75" s="975"/>
      <c r="WDI75" s="975"/>
      <c r="WDJ75" s="975"/>
      <c r="WDK75" s="975"/>
      <c r="WDL75" s="975"/>
      <c r="WDM75" s="975"/>
      <c r="WDN75" s="975"/>
      <c r="WDO75" s="975"/>
      <c r="WDP75" s="975"/>
      <c r="WDQ75" s="975"/>
      <c r="WDR75" s="975"/>
      <c r="WDS75" s="975"/>
      <c r="WDT75" s="975"/>
      <c r="WDU75" s="975"/>
      <c r="WDV75" s="975"/>
      <c r="WDW75" s="975"/>
      <c r="WDX75" s="975"/>
      <c r="WDY75" s="975"/>
      <c r="WDZ75" s="975"/>
      <c r="WEA75" s="975"/>
      <c r="WEB75" s="975"/>
      <c r="WEC75" s="975"/>
      <c r="WED75" s="975"/>
      <c r="WEE75" s="975"/>
      <c r="WEF75" s="975"/>
      <c r="WEG75" s="975"/>
      <c r="WEH75" s="975"/>
      <c r="WEI75" s="975"/>
      <c r="WEJ75" s="975"/>
      <c r="WEK75" s="975"/>
      <c r="WEL75" s="975"/>
      <c r="WEM75" s="975"/>
      <c r="WEN75" s="975"/>
      <c r="WEO75" s="975"/>
      <c r="WEP75" s="975"/>
      <c r="WEQ75" s="975"/>
      <c r="WER75" s="975"/>
      <c r="WES75" s="975"/>
      <c r="WET75" s="975"/>
      <c r="WEU75" s="975"/>
      <c r="WEV75" s="975"/>
      <c r="WEW75" s="975"/>
      <c r="WEX75" s="975"/>
      <c r="WEY75" s="975"/>
      <c r="WEZ75" s="975"/>
      <c r="WFA75" s="975"/>
      <c r="WFB75" s="975"/>
      <c r="WFC75" s="975"/>
      <c r="WFD75" s="975"/>
      <c r="WFE75" s="975"/>
      <c r="WFF75" s="975"/>
      <c r="WFG75" s="975"/>
      <c r="WFH75" s="975"/>
      <c r="WFI75" s="975"/>
      <c r="WFJ75" s="975"/>
      <c r="WFK75" s="975"/>
      <c r="WFL75" s="975"/>
      <c r="WFM75" s="975"/>
      <c r="WFN75" s="975"/>
      <c r="WFO75" s="975"/>
      <c r="WFP75" s="975"/>
      <c r="WFQ75" s="975"/>
      <c r="WFR75" s="975"/>
      <c r="WFS75" s="975"/>
      <c r="WFT75" s="975"/>
      <c r="WFU75" s="975"/>
      <c r="WFV75" s="975"/>
      <c r="WFW75" s="975"/>
      <c r="WFX75" s="975"/>
      <c r="WFY75" s="975"/>
      <c r="WFZ75" s="975"/>
      <c r="WGA75" s="975"/>
      <c r="WGB75" s="975"/>
      <c r="WGC75" s="975"/>
      <c r="WGD75" s="975"/>
      <c r="WGE75" s="975"/>
      <c r="WGF75" s="975"/>
      <c r="WGG75" s="975"/>
      <c r="WGH75" s="975"/>
      <c r="WGI75" s="975"/>
      <c r="WGJ75" s="975"/>
      <c r="WGK75" s="975"/>
      <c r="WGL75" s="975"/>
      <c r="WGM75" s="975"/>
      <c r="WGN75" s="975"/>
      <c r="WGO75" s="975"/>
      <c r="WGP75" s="975"/>
      <c r="WGQ75" s="975"/>
      <c r="WGR75" s="975"/>
      <c r="WGS75" s="975"/>
      <c r="WGT75" s="975"/>
      <c r="WGU75" s="975"/>
      <c r="WGV75" s="975"/>
      <c r="WGW75" s="975"/>
      <c r="WGX75" s="975"/>
      <c r="WGY75" s="975"/>
      <c r="WGZ75" s="975"/>
      <c r="WHA75" s="975"/>
      <c r="WHB75" s="975"/>
      <c r="WHC75" s="975"/>
      <c r="WHD75" s="975"/>
      <c r="WHE75" s="975"/>
      <c r="WHF75" s="975"/>
      <c r="WHG75" s="975"/>
      <c r="WHH75" s="975"/>
      <c r="WHI75" s="975"/>
      <c r="WHJ75" s="975"/>
      <c r="WHK75" s="975"/>
      <c r="WHL75" s="975"/>
      <c r="WHM75" s="975"/>
      <c r="WHN75" s="975"/>
      <c r="WHO75" s="975"/>
      <c r="WHP75" s="975"/>
      <c r="WHQ75" s="975"/>
      <c r="WHR75" s="975"/>
      <c r="WHS75" s="975"/>
      <c r="WHT75" s="975"/>
      <c r="WHU75" s="975"/>
      <c r="WHV75" s="975"/>
      <c r="WHW75" s="975"/>
      <c r="WHX75" s="975"/>
      <c r="WHY75" s="975"/>
      <c r="WHZ75" s="975"/>
      <c r="WIA75" s="975"/>
      <c r="WIB75" s="975"/>
      <c r="WIC75" s="975"/>
      <c r="WID75" s="975"/>
      <c r="WIE75" s="975"/>
      <c r="WIF75" s="975"/>
      <c r="WIG75" s="975"/>
      <c r="WIH75" s="975"/>
      <c r="WII75" s="975"/>
      <c r="WIJ75" s="975"/>
      <c r="WIK75" s="975"/>
      <c r="WIL75" s="975"/>
      <c r="WIM75" s="975"/>
      <c r="WIN75" s="975"/>
      <c r="WIO75" s="975"/>
      <c r="WIP75" s="975"/>
      <c r="WIQ75" s="975"/>
      <c r="WIR75" s="975"/>
      <c r="WIS75" s="975"/>
      <c r="WIT75" s="975"/>
      <c r="WIU75" s="975"/>
      <c r="WIV75" s="975"/>
      <c r="WIW75" s="975"/>
      <c r="WIX75" s="975"/>
      <c r="WIY75" s="975"/>
      <c r="WIZ75" s="975"/>
      <c r="WJA75" s="975"/>
      <c r="WJB75" s="975"/>
      <c r="WJC75" s="975"/>
      <c r="WJD75" s="975"/>
      <c r="WJE75" s="975"/>
      <c r="WJF75" s="975"/>
      <c r="WJG75" s="975"/>
      <c r="WJH75" s="975"/>
      <c r="WJI75" s="975"/>
      <c r="WJJ75" s="975"/>
      <c r="WJK75" s="975"/>
      <c r="WJL75" s="975"/>
      <c r="WJM75" s="975"/>
      <c r="WJN75" s="975"/>
      <c r="WJO75" s="975"/>
      <c r="WJP75" s="975"/>
      <c r="WJQ75" s="975"/>
      <c r="WJR75" s="975"/>
      <c r="WJS75" s="975"/>
      <c r="WJT75" s="975"/>
      <c r="WJU75" s="975"/>
      <c r="WJV75" s="975"/>
      <c r="WJW75" s="975"/>
      <c r="WJX75" s="975"/>
      <c r="WJY75" s="975"/>
      <c r="WJZ75" s="975"/>
      <c r="WKA75" s="975"/>
      <c r="WKB75" s="975"/>
      <c r="WKC75" s="975"/>
      <c r="WKD75" s="975"/>
      <c r="WKE75" s="975"/>
      <c r="WKF75" s="975"/>
      <c r="WKG75" s="975"/>
      <c r="WKH75" s="975"/>
      <c r="WKI75" s="975"/>
      <c r="WKJ75" s="975"/>
      <c r="WKK75" s="975"/>
      <c r="WKL75" s="975"/>
      <c r="WKM75" s="975"/>
      <c r="WKN75" s="975"/>
      <c r="WKO75" s="975"/>
      <c r="WKP75" s="975"/>
      <c r="WKQ75" s="975"/>
      <c r="WKR75" s="975"/>
      <c r="WKS75" s="975"/>
      <c r="WKT75" s="975"/>
      <c r="WKU75" s="975"/>
      <c r="WKV75" s="975"/>
      <c r="WKW75" s="975"/>
      <c r="WKX75" s="975"/>
      <c r="WKY75" s="975"/>
      <c r="WKZ75" s="975"/>
      <c r="WLA75" s="975"/>
      <c r="WLB75" s="975"/>
      <c r="WLC75" s="975"/>
      <c r="WLD75" s="975"/>
      <c r="WLE75" s="975"/>
      <c r="WLF75" s="975"/>
      <c r="WLG75" s="975"/>
      <c r="WLH75" s="975"/>
      <c r="WLI75" s="975"/>
      <c r="WLJ75" s="975"/>
      <c r="WLK75" s="975"/>
      <c r="WLL75" s="975"/>
      <c r="WLM75" s="975"/>
      <c r="WLN75" s="975"/>
      <c r="WLO75" s="975"/>
      <c r="WLP75" s="975"/>
      <c r="WLQ75" s="975"/>
      <c r="WLR75" s="975"/>
      <c r="WLS75" s="975"/>
      <c r="WLT75" s="975"/>
      <c r="WLU75" s="975"/>
      <c r="WLV75" s="975"/>
      <c r="WLW75" s="975"/>
      <c r="WLX75" s="975"/>
      <c r="WLY75" s="975"/>
      <c r="WLZ75" s="975"/>
      <c r="WMA75" s="975"/>
      <c r="WMB75" s="975"/>
      <c r="WMC75" s="975"/>
      <c r="WMD75" s="975"/>
      <c r="WME75" s="975"/>
      <c r="WMF75" s="975"/>
      <c r="WMG75" s="975"/>
      <c r="WMH75" s="975"/>
      <c r="WMI75" s="975"/>
      <c r="WMJ75" s="975"/>
      <c r="WMK75" s="975"/>
      <c r="WML75" s="975"/>
      <c r="WMM75" s="975"/>
      <c r="WMN75" s="975"/>
      <c r="WMO75" s="975"/>
      <c r="WMP75" s="975"/>
      <c r="WMQ75" s="975"/>
      <c r="WMR75" s="975"/>
      <c r="WMS75" s="975"/>
      <c r="WMT75" s="975"/>
      <c r="WMU75" s="975"/>
      <c r="WMV75" s="975"/>
      <c r="WMW75" s="975"/>
      <c r="WMX75" s="975"/>
      <c r="WMY75" s="975"/>
      <c r="WMZ75" s="975"/>
      <c r="WNA75" s="975"/>
      <c r="WNB75" s="975"/>
      <c r="WNC75" s="975"/>
      <c r="WND75" s="975"/>
      <c r="WNE75" s="975"/>
      <c r="WNF75" s="975"/>
      <c r="WNG75" s="975"/>
      <c r="WNH75" s="975"/>
      <c r="WNI75" s="975"/>
      <c r="WNJ75" s="975"/>
      <c r="WNK75" s="975"/>
      <c r="WNL75" s="975"/>
      <c r="WNM75" s="975"/>
      <c r="WNN75" s="975"/>
      <c r="WNO75" s="975"/>
      <c r="WNP75" s="975"/>
      <c r="WNQ75" s="975"/>
      <c r="WNR75" s="975"/>
      <c r="WNS75" s="975"/>
      <c r="WNT75" s="975"/>
      <c r="WNU75" s="975"/>
      <c r="WNV75" s="975"/>
      <c r="WNW75" s="975"/>
      <c r="WNX75" s="975"/>
      <c r="WNY75" s="975"/>
      <c r="WNZ75" s="975"/>
      <c r="WOA75" s="975"/>
      <c r="WOB75" s="975"/>
      <c r="WOC75" s="975"/>
      <c r="WOD75" s="975"/>
      <c r="WOE75" s="975"/>
      <c r="WOF75" s="975"/>
      <c r="WOG75" s="975"/>
      <c r="WOH75" s="975"/>
      <c r="WOI75" s="975"/>
      <c r="WOJ75" s="975"/>
      <c r="WOK75" s="975"/>
      <c r="WOL75" s="975"/>
      <c r="WOM75" s="975"/>
      <c r="WON75" s="975"/>
      <c r="WOO75" s="975"/>
      <c r="WOP75" s="975"/>
      <c r="WOQ75" s="975"/>
      <c r="WOR75" s="975"/>
      <c r="WOS75" s="975"/>
      <c r="WOT75" s="975"/>
      <c r="WOU75" s="975"/>
      <c r="WOV75" s="975"/>
      <c r="WOW75" s="975"/>
      <c r="WOX75" s="975"/>
      <c r="WOY75" s="975"/>
      <c r="WOZ75" s="975"/>
      <c r="WPA75" s="975"/>
      <c r="WPB75" s="975"/>
      <c r="WPC75" s="975"/>
      <c r="WPD75" s="975"/>
      <c r="WPE75" s="975"/>
      <c r="WPF75" s="975"/>
      <c r="WPG75" s="975"/>
      <c r="WPH75" s="975"/>
      <c r="WPI75" s="975"/>
      <c r="WPJ75" s="975"/>
      <c r="WPK75" s="975"/>
      <c r="WPL75" s="975"/>
      <c r="WPM75" s="975"/>
      <c r="WPN75" s="975"/>
      <c r="WPO75" s="975"/>
      <c r="WPP75" s="975"/>
      <c r="WPQ75" s="975"/>
      <c r="WPR75" s="975"/>
      <c r="WPS75" s="975"/>
      <c r="WPT75" s="975"/>
      <c r="WPU75" s="975"/>
      <c r="WPV75" s="975"/>
      <c r="WPW75" s="975"/>
      <c r="WPX75" s="975"/>
      <c r="WPY75" s="975"/>
      <c r="WPZ75" s="975"/>
      <c r="WQA75" s="975"/>
      <c r="WQB75" s="975"/>
      <c r="WQC75" s="975"/>
      <c r="WQD75" s="975"/>
      <c r="WQE75" s="975"/>
      <c r="WQF75" s="975"/>
      <c r="WQG75" s="975"/>
      <c r="WQH75" s="975"/>
      <c r="WQI75" s="975"/>
      <c r="WQJ75" s="975"/>
      <c r="WQK75" s="975"/>
      <c r="WQL75" s="975"/>
      <c r="WQM75" s="975"/>
      <c r="WQN75" s="975"/>
      <c r="WQO75" s="975"/>
      <c r="WQP75" s="975"/>
      <c r="WQQ75" s="975"/>
      <c r="WQR75" s="975"/>
      <c r="WQS75" s="975"/>
      <c r="WQT75" s="975"/>
      <c r="WQU75" s="975"/>
      <c r="WQV75" s="975"/>
      <c r="WQW75" s="975"/>
      <c r="WQX75" s="975"/>
      <c r="WQY75" s="975"/>
      <c r="WQZ75" s="975"/>
      <c r="WRA75" s="975"/>
      <c r="WRB75" s="975"/>
      <c r="WRC75" s="975"/>
      <c r="WRD75" s="975"/>
      <c r="WRE75" s="975"/>
      <c r="WRF75" s="975"/>
      <c r="WRG75" s="975"/>
      <c r="WRH75" s="975"/>
      <c r="WRI75" s="975"/>
      <c r="WRJ75" s="975"/>
      <c r="WRK75" s="975"/>
      <c r="WRL75" s="975"/>
      <c r="WRM75" s="975"/>
      <c r="WRN75" s="975"/>
      <c r="WRO75" s="975"/>
      <c r="WRP75" s="975"/>
      <c r="WRQ75" s="975"/>
      <c r="WRR75" s="975"/>
      <c r="WRS75" s="975"/>
      <c r="WRT75" s="975"/>
      <c r="WRU75" s="975"/>
      <c r="WRV75" s="975"/>
      <c r="WRW75" s="975"/>
      <c r="WRX75" s="975"/>
      <c r="WRY75" s="975"/>
      <c r="WRZ75" s="975"/>
      <c r="WSA75" s="975"/>
      <c r="WSB75" s="975"/>
      <c r="WSC75" s="975"/>
      <c r="WSD75" s="975"/>
      <c r="WSE75" s="975"/>
      <c r="WSF75" s="975"/>
      <c r="WSG75" s="975"/>
      <c r="WSH75" s="975"/>
      <c r="WSI75" s="975"/>
      <c r="WSJ75" s="975"/>
      <c r="WSK75" s="975"/>
      <c r="WSL75" s="975"/>
      <c r="WSM75" s="975"/>
      <c r="WSN75" s="975"/>
      <c r="WSO75" s="975"/>
      <c r="WSP75" s="975"/>
      <c r="WSQ75" s="975"/>
      <c r="WSR75" s="975"/>
      <c r="WSS75" s="975"/>
      <c r="WST75" s="975"/>
      <c r="WSU75" s="975"/>
      <c r="WSV75" s="975"/>
      <c r="WSW75" s="975"/>
      <c r="WSX75" s="975"/>
      <c r="WSY75" s="975"/>
      <c r="WSZ75" s="975"/>
      <c r="WTA75" s="975"/>
      <c r="WTB75" s="975"/>
      <c r="WTC75" s="975"/>
      <c r="WTD75" s="975"/>
      <c r="WTE75" s="975"/>
      <c r="WTF75" s="975"/>
      <c r="WTG75" s="975"/>
      <c r="WTH75" s="975"/>
      <c r="WTI75" s="975"/>
      <c r="WTJ75" s="975"/>
      <c r="WTK75" s="975"/>
      <c r="WTL75" s="975"/>
      <c r="WTM75" s="975"/>
      <c r="WTN75" s="975"/>
      <c r="WTO75" s="975"/>
      <c r="WTP75" s="975"/>
      <c r="WTQ75" s="975"/>
      <c r="WTR75" s="975"/>
      <c r="WTS75" s="975"/>
      <c r="WTT75" s="975"/>
      <c r="WTU75" s="975"/>
      <c r="WTV75" s="975"/>
      <c r="WTW75" s="975"/>
      <c r="WTX75" s="975"/>
      <c r="WTY75" s="975"/>
      <c r="WTZ75" s="975"/>
      <c r="WUA75" s="975"/>
      <c r="WUB75" s="975"/>
      <c r="WUC75" s="975"/>
      <c r="WUD75" s="975"/>
      <c r="WUE75" s="975"/>
      <c r="WUF75" s="975"/>
      <c r="WUG75" s="975"/>
      <c r="WUH75" s="975"/>
      <c r="WUI75" s="975"/>
      <c r="WUJ75" s="975"/>
      <c r="WUK75" s="975"/>
      <c r="WUL75" s="975"/>
      <c r="WUM75" s="975"/>
      <c r="WUN75" s="975"/>
      <c r="WUO75" s="975"/>
      <c r="WUP75" s="975"/>
      <c r="WUQ75" s="975"/>
      <c r="WUR75" s="975"/>
      <c r="WUS75" s="975"/>
      <c r="WUT75" s="975"/>
      <c r="WUU75" s="975"/>
      <c r="WUV75" s="975"/>
      <c r="WUW75" s="975"/>
      <c r="WUX75" s="975"/>
      <c r="WUY75" s="975"/>
      <c r="WUZ75" s="975"/>
      <c r="WVA75" s="975"/>
      <c r="WVB75" s="975"/>
      <c r="WVC75" s="975"/>
      <c r="WVD75" s="975"/>
      <c r="WVE75" s="975"/>
      <c r="WVF75" s="975"/>
      <c r="WVG75" s="975"/>
      <c r="WVH75" s="975"/>
      <c r="WVI75" s="975"/>
      <c r="WVJ75" s="975"/>
      <c r="WVK75" s="975"/>
      <c r="WVL75" s="975"/>
      <c r="WVM75" s="975"/>
      <c r="WVN75" s="975"/>
      <c r="WVO75" s="975"/>
      <c r="WVP75" s="975"/>
      <c r="WVQ75" s="975"/>
      <c r="WVR75" s="975"/>
      <c r="WVS75" s="975"/>
      <c r="WVT75" s="975"/>
      <c r="WVU75" s="975"/>
      <c r="WVV75" s="975"/>
      <c r="WVW75" s="975"/>
      <c r="WVX75" s="975"/>
      <c r="WVY75" s="975"/>
      <c r="WVZ75" s="975"/>
      <c r="WWA75" s="975"/>
      <c r="WWB75" s="975"/>
      <c r="WWC75" s="975"/>
      <c r="WWD75" s="975"/>
      <c r="WWE75" s="975"/>
      <c r="WWF75" s="975"/>
      <c r="WWG75" s="975"/>
      <c r="WWH75" s="975"/>
      <c r="WWI75" s="975"/>
      <c r="WWJ75" s="975"/>
      <c r="WWK75" s="975"/>
      <c r="WWL75" s="975"/>
      <c r="WWM75" s="975"/>
      <c r="WWN75" s="975"/>
      <c r="WWO75" s="975"/>
      <c r="WWP75" s="975"/>
      <c r="WWQ75" s="975"/>
      <c r="WWR75" s="975"/>
      <c r="WWS75" s="975"/>
      <c r="WWT75" s="975"/>
      <c r="WWU75" s="975"/>
      <c r="WWV75" s="975"/>
      <c r="WWW75" s="975"/>
      <c r="WWX75" s="975"/>
      <c r="WWY75" s="975"/>
      <c r="WWZ75" s="975"/>
      <c r="WXA75" s="975"/>
      <c r="WXB75" s="975"/>
      <c r="WXC75" s="975"/>
      <c r="WXD75" s="975"/>
      <c r="WXE75" s="975"/>
      <c r="WXF75" s="975"/>
      <c r="WXG75" s="975"/>
      <c r="WXH75" s="975"/>
      <c r="WXI75" s="975"/>
      <c r="WXJ75" s="975"/>
    </row>
    <row r="76" spans="1:16384" s="978" customFormat="1" x14ac:dyDescent="0.35">
      <c r="A76" s="904"/>
      <c r="B76" s="945"/>
      <c r="C76" s="928" t="s">
        <v>156</v>
      </c>
      <c r="D76" s="928"/>
      <c r="E76" s="928"/>
      <c r="F76" s="928"/>
      <c r="G76" s="928"/>
      <c r="H76" s="924"/>
      <c r="I76" s="924"/>
      <c r="J76" s="924"/>
      <c r="K76" s="924"/>
      <c r="L76" s="924"/>
      <c r="M76" s="924"/>
      <c r="N76" s="924"/>
      <c r="O76" s="924"/>
      <c r="P76" s="924"/>
      <c r="Q76" s="924"/>
      <c r="R76" s="924"/>
      <c r="S76" s="924"/>
      <c r="T76" s="924"/>
      <c r="U76" s="924"/>
      <c r="V76" s="924"/>
      <c r="W76" s="924"/>
      <c r="X76" s="924"/>
      <c r="Y76" s="924"/>
      <c r="Z76" s="924"/>
      <c r="AA76" s="924"/>
      <c r="AB76" s="924"/>
      <c r="AC76" s="924"/>
      <c r="AD76" s="924"/>
      <c r="AE76" s="924"/>
      <c r="AF76" s="924"/>
      <c r="AG76" s="924"/>
      <c r="AH76" s="924"/>
      <c r="AI76" s="924"/>
      <c r="AJ76" s="924"/>
      <c r="AK76" s="924"/>
      <c r="AL76" s="924"/>
      <c r="AM76" s="924"/>
      <c r="AN76" s="924"/>
      <c r="AO76" s="924"/>
      <c r="AP76" s="924"/>
      <c r="AQ76" s="924"/>
      <c r="AR76" s="924"/>
      <c r="AS76" s="924"/>
      <c r="AT76" s="924"/>
      <c r="AU76" s="924"/>
      <c r="AV76" s="924"/>
      <c r="AW76" s="924"/>
      <c r="AX76" s="924"/>
      <c r="AY76" s="924"/>
      <c r="AZ76" s="924"/>
      <c r="BA76" s="924"/>
      <c r="BB76" s="924"/>
      <c r="BC76" s="924"/>
      <c r="BD76" s="924"/>
      <c r="BE76" s="924"/>
      <c r="BF76" s="924"/>
      <c r="BG76" s="924"/>
      <c r="BH76" s="924"/>
      <c r="BI76" s="924"/>
      <c r="BJ76" s="924"/>
      <c r="BK76" s="924"/>
      <c r="BL76" s="924"/>
      <c r="BM76" s="924"/>
      <c r="BN76" s="924"/>
      <c r="BO76" s="924"/>
      <c r="BP76" s="924"/>
      <c r="BQ76" s="924"/>
      <c r="BR76" s="924"/>
      <c r="BS76" s="924"/>
      <c r="BT76" s="924"/>
      <c r="BU76" s="924"/>
      <c r="BV76" s="924"/>
      <c r="BW76" s="924"/>
      <c r="BX76" s="924"/>
      <c r="BY76" s="924"/>
      <c r="BZ76" s="924"/>
      <c r="CA76" s="924"/>
      <c r="CB76" s="924"/>
      <c r="CC76" s="924"/>
    </row>
    <row r="77" spans="1:16384" s="978" customFormat="1" x14ac:dyDescent="0.35">
      <c r="A77" s="904"/>
      <c r="B77" s="945"/>
      <c r="C77" s="927"/>
      <c r="D77" s="929" t="s">
        <v>104</v>
      </c>
      <c r="E77" s="929"/>
      <c r="F77" s="929"/>
      <c r="G77" s="929"/>
      <c r="H77" s="925"/>
      <c r="I77" s="925"/>
      <c r="J77" s="925"/>
      <c r="K77" s="925"/>
      <c r="L77" s="925"/>
      <c r="M77" s="925"/>
      <c r="N77" s="925"/>
      <c r="O77" s="925"/>
      <c r="P77" s="925"/>
      <c r="Q77" s="925"/>
      <c r="R77" s="925"/>
      <c r="S77" s="925"/>
      <c r="T77" s="925"/>
      <c r="U77" s="925"/>
      <c r="V77" s="925"/>
      <c r="W77" s="925"/>
      <c r="X77" s="925"/>
      <c r="Y77" s="925"/>
      <c r="Z77" s="925"/>
      <c r="AA77" s="925"/>
      <c r="AB77" s="925"/>
      <c r="AC77" s="925"/>
      <c r="AD77" s="925"/>
      <c r="AE77" s="925"/>
      <c r="AF77" s="925"/>
      <c r="AG77" s="925"/>
      <c r="AH77" s="925"/>
      <c r="AI77" s="925"/>
      <c r="AJ77" s="925"/>
      <c r="AK77" s="925"/>
      <c r="AL77" s="925"/>
      <c r="AM77" s="925"/>
      <c r="AN77" s="925"/>
      <c r="AO77" s="925"/>
      <c r="AP77" s="925"/>
      <c r="AQ77" s="925"/>
      <c r="AR77" s="925"/>
      <c r="AS77" s="925"/>
      <c r="AT77" s="925"/>
      <c r="AU77" s="925"/>
      <c r="AV77" s="925"/>
      <c r="AW77" s="925"/>
      <c r="AX77" s="925"/>
      <c r="AY77" s="925"/>
      <c r="AZ77" s="925"/>
      <c r="BA77" s="925"/>
      <c r="BB77" s="925"/>
      <c r="BC77" s="925"/>
      <c r="BD77" s="925"/>
      <c r="BE77" s="925"/>
      <c r="BF77" s="925"/>
      <c r="BG77" s="925"/>
      <c r="BH77" s="925"/>
      <c r="BI77" s="925"/>
      <c r="BJ77" s="925"/>
      <c r="BK77" s="925"/>
      <c r="BL77" s="925"/>
      <c r="BM77" s="925"/>
      <c r="BN77" s="925"/>
      <c r="BO77" s="925"/>
      <c r="BP77" s="925"/>
      <c r="BQ77" s="925"/>
      <c r="BR77" s="925"/>
      <c r="BS77" s="925"/>
      <c r="BT77" s="925"/>
      <c r="BU77" s="925"/>
      <c r="BV77" s="925"/>
      <c r="BW77" s="925"/>
      <c r="BX77" s="925"/>
      <c r="BY77" s="925"/>
      <c r="BZ77" s="925"/>
      <c r="CA77" s="925"/>
      <c r="CB77" s="925"/>
      <c r="CC77" s="925"/>
    </row>
    <row r="78" spans="1:16384" x14ac:dyDescent="0.35">
      <c r="B78" s="945"/>
      <c r="C78" s="945"/>
      <c r="D78" s="945"/>
      <c r="E78" s="981" t="s">
        <v>122</v>
      </c>
      <c r="F78" s="981"/>
      <c r="G78" s="981"/>
      <c r="H78" s="982"/>
      <c r="I78" s="982"/>
      <c r="J78" s="982"/>
      <c r="K78" s="982"/>
      <c r="L78" s="982"/>
      <c r="M78" s="982"/>
      <c r="N78" s="982"/>
      <c r="O78" s="982"/>
      <c r="P78" s="982"/>
      <c r="Q78" s="982"/>
      <c r="R78" s="982"/>
      <c r="S78" s="910"/>
      <c r="T78" s="910"/>
      <c r="U78" s="910"/>
      <c r="V78" s="910"/>
      <c r="W78" s="910"/>
      <c r="X78" s="910"/>
      <c r="Y78" s="910"/>
      <c r="Z78" s="910"/>
      <c r="AA78" s="910"/>
      <c r="AB78" s="910"/>
      <c r="AC78" s="910"/>
      <c r="AD78" s="910"/>
      <c r="AE78" s="910"/>
      <c r="AF78" s="910"/>
      <c r="AG78" s="910"/>
      <c r="AH78" s="910"/>
      <c r="AI78" s="910"/>
      <c r="AJ78" s="910"/>
      <c r="AK78" s="910"/>
      <c r="AL78" s="910"/>
      <c r="AM78" s="910"/>
      <c r="AN78" s="910"/>
      <c r="AO78" s="910"/>
      <c r="AP78" s="910"/>
      <c r="AQ78" s="910"/>
      <c r="AR78" s="910"/>
      <c r="AS78" s="910"/>
      <c r="AT78" s="910"/>
      <c r="AU78" s="910"/>
      <c r="AV78" s="910"/>
      <c r="AW78" s="910"/>
      <c r="AX78" s="910"/>
      <c r="AY78" s="910"/>
      <c r="AZ78" s="910"/>
      <c r="BA78" s="910"/>
      <c r="BB78" s="910"/>
      <c r="BC78" s="910"/>
      <c r="BD78" s="910"/>
      <c r="BE78" s="910"/>
      <c r="BF78" s="910"/>
      <c r="BG78" s="910"/>
      <c r="BH78" s="910"/>
      <c r="BI78" s="910"/>
      <c r="BJ78" s="910"/>
      <c r="BK78" s="910"/>
      <c r="BL78" s="910"/>
      <c r="BM78" s="910"/>
      <c r="BN78" s="910"/>
      <c r="BO78" s="910"/>
      <c r="BP78" s="910"/>
      <c r="BQ78" s="910"/>
      <c r="BR78" s="910"/>
      <c r="BS78" s="910"/>
      <c r="BT78" s="910"/>
      <c r="BU78" s="910"/>
      <c r="BV78" s="910"/>
      <c r="BW78" s="910"/>
      <c r="BX78" s="910"/>
      <c r="BY78" s="910"/>
      <c r="BZ78" s="910"/>
      <c r="CA78" s="910"/>
      <c r="CB78" s="910"/>
      <c r="CC78" s="910"/>
    </row>
    <row r="79" spans="1:16384" x14ac:dyDescent="0.35">
      <c r="B79" s="946"/>
      <c r="F79" s="980" t="s">
        <v>122</v>
      </c>
      <c r="H79" s="980">
        <v>10166.129999999999</v>
      </c>
      <c r="I79" s="980">
        <v>127466.18</v>
      </c>
      <c r="J79" s="980">
        <v>117600.45000000001</v>
      </c>
      <c r="K79" s="980">
        <v>137742.41999999998</v>
      </c>
      <c r="L79" s="980">
        <v>154613.62</v>
      </c>
      <c r="M79" s="980">
        <v>141940.87</v>
      </c>
      <c r="N79" s="980">
        <v>295779.82</v>
      </c>
      <c r="O79" s="980">
        <v>150972.02000000002</v>
      </c>
      <c r="P79" s="980">
        <v>149805.26</v>
      </c>
      <c r="Q79" s="980">
        <v>61495.99</v>
      </c>
      <c r="R79" s="980">
        <v>76277.840000000011</v>
      </c>
      <c r="S79" s="908">
        <v>44856.979999999996</v>
      </c>
      <c r="T79" s="908">
        <v>244320.17</v>
      </c>
      <c r="U79" s="908">
        <v>114346.3</v>
      </c>
      <c r="V79" s="908">
        <v>150397.99</v>
      </c>
      <c r="W79" s="908">
        <v>249877.71</v>
      </c>
      <c r="X79" s="908">
        <v>188670.67</v>
      </c>
      <c r="Y79" s="908">
        <v>209251.75</v>
      </c>
      <c r="Z79" s="908">
        <v>115568.56</v>
      </c>
      <c r="AA79" s="908">
        <v>92513.37</v>
      </c>
      <c r="AB79" s="908">
        <v>194947.13</v>
      </c>
      <c r="AC79" s="908">
        <v>206551.45</v>
      </c>
      <c r="AD79" s="908">
        <v>239669.88</v>
      </c>
      <c r="AE79" s="908">
        <v>150453.07999999999</v>
      </c>
      <c r="AF79" s="908">
        <v>217494.95</v>
      </c>
      <c r="AG79" s="908">
        <v>322892.3</v>
      </c>
    </row>
    <row r="80" spans="1:16384" x14ac:dyDescent="0.35">
      <c r="B80" s="946"/>
      <c r="E80" s="934" t="s">
        <v>157</v>
      </c>
      <c r="F80" s="934"/>
      <c r="G80" s="934"/>
      <c r="H80" s="957">
        <f>SUM(H79)</f>
        <v>10166.129999999999</v>
      </c>
      <c r="I80" s="957">
        <f>SUM(I79)</f>
        <v>127466.18</v>
      </c>
      <c r="J80" s="957">
        <f t="shared" ref="J80:T80" si="15">SUM(J79)</f>
        <v>117600.45000000001</v>
      </c>
      <c r="K80" s="957">
        <f t="shared" si="15"/>
        <v>137742.41999999998</v>
      </c>
      <c r="L80" s="957">
        <f t="shared" si="15"/>
        <v>154613.62</v>
      </c>
      <c r="M80" s="957">
        <f t="shared" si="15"/>
        <v>141940.87</v>
      </c>
      <c r="N80" s="957">
        <f t="shared" si="15"/>
        <v>295779.82</v>
      </c>
      <c r="O80" s="957">
        <f t="shared" si="15"/>
        <v>150972.02000000002</v>
      </c>
      <c r="P80" s="957">
        <f t="shared" si="15"/>
        <v>149805.26</v>
      </c>
      <c r="Q80" s="957">
        <f t="shared" si="15"/>
        <v>61495.99</v>
      </c>
      <c r="R80" s="957">
        <f t="shared" si="15"/>
        <v>76277.840000000011</v>
      </c>
      <c r="S80" s="957">
        <f t="shared" si="15"/>
        <v>44856.979999999996</v>
      </c>
      <c r="T80" s="957">
        <f t="shared" si="15"/>
        <v>244320.17</v>
      </c>
      <c r="U80" s="957">
        <f t="shared" ref="U80:AG80" si="16">SUM(U79)</f>
        <v>114346.3</v>
      </c>
      <c r="V80" s="957">
        <f t="shared" si="16"/>
        <v>150397.99</v>
      </c>
      <c r="W80" s="957">
        <f t="shared" si="16"/>
        <v>249877.71</v>
      </c>
      <c r="X80" s="957">
        <f t="shared" si="16"/>
        <v>188670.67</v>
      </c>
      <c r="Y80" s="957">
        <f t="shared" si="16"/>
        <v>209251.75</v>
      </c>
      <c r="Z80" s="957">
        <f t="shared" si="16"/>
        <v>115568.56</v>
      </c>
      <c r="AA80" s="957">
        <f t="shared" si="16"/>
        <v>92513.37</v>
      </c>
      <c r="AB80" s="957">
        <f t="shared" si="16"/>
        <v>194947.13</v>
      </c>
      <c r="AC80" s="957">
        <f t="shared" si="16"/>
        <v>206551.45</v>
      </c>
      <c r="AD80" s="957">
        <f t="shared" si="16"/>
        <v>239669.88</v>
      </c>
      <c r="AE80" s="957">
        <f t="shared" si="16"/>
        <v>150453.07999999999</v>
      </c>
      <c r="AF80" s="957">
        <f t="shared" si="16"/>
        <v>217494.95</v>
      </c>
      <c r="AG80" s="957">
        <f t="shared" si="16"/>
        <v>322892.3</v>
      </c>
      <c r="AH80" s="965"/>
      <c r="AI80" s="965"/>
      <c r="AJ80" s="965"/>
      <c r="AK80" s="965"/>
      <c r="AL80" s="965"/>
      <c r="AM80" s="965"/>
      <c r="AN80" s="965"/>
      <c r="AO80" s="965"/>
      <c r="AP80" s="965"/>
      <c r="AQ80" s="965"/>
      <c r="AR80" s="965"/>
      <c r="AS80" s="965"/>
      <c r="AT80" s="965"/>
      <c r="AU80" s="965"/>
      <c r="AV80" s="965"/>
      <c r="AW80" s="965"/>
      <c r="AX80" s="965"/>
      <c r="AY80" s="965"/>
      <c r="AZ80" s="965"/>
      <c r="BA80" s="965"/>
      <c r="BB80" s="965"/>
      <c r="BC80" s="965"/>
      <c r="BD80" s="965"/>
      <c r="BE80" s="965"/>
      <c r="BF80" s="965"/>
      <c r="BG80" s="965"/>
      <c r="BH80" s="965"/>
      <c r="BI80" s="965"/>
      <c r="BJ80" s="965"/>
      <c r="BK80" s="965"/>
      <c r="BL80" s="965"/>
      <c r="BM80" s="965"/>
      <c r="BN80" s="965"/>
      <c r="BO80" s="965"/>
      <c r="BP80" s="965"/>
      <c r="BQ80" s="965"/>
      <c r="BR80" s="965"/>
      <c r="BS80" s="965"/>
      <c r="BT80" s="965"/>
      <c r="BU80" s="965"/>
      <c r="BV80" s="965"/>
      <c r="BW80" s="965"/>
      <c r="BX80" s="965"/>
      <c r="BY80" s="965"/>
      <c r="BZ80" s="965"/>
      <c r="CA80" s="965"/>
      <c r="CB80" s="965"/>
      <c r="CC80" s="965"/>
      <c r="CD80" s="974"/>
      <c r="CE80" s="974"/>
      <c r="CF80" s="974"/>
      <c r="CG80" s="974"/>
      <c r="CH80" s="974"/>
      <c r="CI80" s="974"/>
      <c r="CJ80" s="974"/>
      <c r="CK80" s="974"/>
      <c r="CL80" s="974"/>
      <c r="CM80" s="974"/>
      <c r="CN80" s="974"/>
      <c r="CO80" s="974"/>
      <c r="CP80" s="974"/>
      <c r="CQ80" s="974"/>
      <c r="CR80" s="974"/>
      <c r="CS80" s="974"/>
      <c r="CT80" s="974"/>
      <c r="CU80" s="974"/>
      <c r="CV80" s="974"/>
      <c r="CW80" s="974"/>
      <c r="CX80" s="974"/>
      <c r="CY80" s="974"/>
      <c r="CZ80" s="974"/>
      <c r="DA80" s="974"/>
      <c r="DB80" s="974"/>
      <c r="DC80" s="974"/>
      <c r="DD80" s="974"/>
      <c r="DE80" s="974"/>
      <c r="DF80" s="974"/>
      <c r="DG80" s="974"/>
      <c r="DH80" s="974"/>
      <c r="DI80" s="974"/>
      <c r="DJ80" s="974"/>
      <c r="DK80" s="974"/>
      <c r="DL80" s="974"/>
      <c r="DM80" s="974"/>
      <c r="DN80" s="974"/>
      <c r="DO80" s="974"/>
      <c r="DP80" s="974"/>
      <c r="DQ80" s="974"/>
      <c r="DR80" s="974"/>
      <c r="DS80" s="974"/>
      <c r="DT80" s="974"/>
      <c r="DU80" s="974"/>
      <c r="DV80" s="974"/>
      <c r="DW80" s="974"/>
      <c r="DX80" s="974"/>
      <c r="DY80" s="974"/>
      <c r="DZ80" s="974"/>
      <c r="EA80" s="974"/>
      <c r="EB80" s="974"/>
      <c r="EC80" s="974"/>
      <c r="ED80" s="974"/>
      <c r="EE80" s="974"/>
      <c r="EF80" s="974"/>
      <c r="EG80" s="974"/>
      <c r="EH80" s="974"/>
      <c r="EI80" s="974"/>
      <c r="EJ80" s="974"/>
      <c r="EK80" s="974"/>
      <c r="EL80" s="974"/>
      <c r="EM80" s="974"/>
      <c r="EN80" s="974"/>
      <c r="EO80" s="974"/>
      <c r="EP80" s="974"/>
      <c r="EQ80" s="974"/>
      <c r="ER80" s="974"/>
      <c r="ES80" s="974"/>
      <c r="ET80" s="974"/>
      <c r="EU80" s="974"/>
      <c r="EV80" s="974"/>
      <c r="EW80" s="974"/>
      <c r="EX80" s="974"/>
      <c r="EY80" s="974"/>
      <c r="EZ80" s="974"/>
      <c r="FA80" s="974"/>
      <c r="FB80" s="974"/>
      <c r="FC80" s="974"/>
      <c r="FD80" s="974"/>
      <c r="FE80" s="974"/>
      <c r="FF80" s="974"/>
      <c r="FG80" s="974"/>
      <c r="FH80" s="974"/>
      <c r="FI80" s="974"/>
      <c r="FJ80" s="974"/>
      <c r="FK80" s="974"/>
      <c r="FL80" s="974"/>
      <c r="FM80" s="974"/>
      <c r="FN80" s="974"/>
      <c r="FO80" s="974"/>
      <c r="FP80" s="974"/>
      <c r="FQ80" s="974"/>
      <c r="FR80" s="974"/>
      <c r="FS80" s="974"/>
      <c r="FT80" s="974"/>
      <c r="FU80" s="974"/>
      <c r="FV80" s="974"/>
      <c r="FW80" s="974"/>
      <c r="FX80" s="974"/>
      <c r="FY80" s="974"/>
      <c r="FZ80" s="974"/>
      <c r="GA80" s="974"/>
      <c r="GB80" s="974"/>
      <c r="GC80" s="974"/>
      <c r="GD80" s="974"/>
      <c r="GE80" s="974"/>
      <c r="GF80" s="974"/>
      <c r="GG80" s="974"/>
      <c r="GH80" s="974"/>
      <c r="GI80" s="974"/>
      <c r="GJ80" s="974"/>
      <c r="GK80" s="974"/>
      <c r="GL80" s="974"/>
      <c r="GM80" s="974"/>
      <c r="GN80" s="974"/>
      <c r="GO80" s="974"/>
      <c r="GP80" s="974"/>
      <c r="GQ80" s="974"/>
      <c r="GR80" s="974"/>
      <c r="GS80" s="974"/>
      <c r="GT80" s="974"/>
      <c r="GU80" s="974"/>
      <c r="GV80" s="974"/>
      <c r="GW80" s="974"/>
      <c r="GX80" s="974"/>
      <c r="GY80" s="974"/>
      <c r="GZ80" s="974"/>
      <c r="HA80" s="974"/>
      <c r="HB80" s="974"/>
      <c r="HC80" s="974"/>
      <c r="HD80" s="974"/>
      <c r="HE80" s="974"/>
      <c r="HF80" s="974"/>
      <c r="HG80" s="974"/>
      <c r="HH80" s="974"/>
      <c r="HI80" s="974"/>
      <c r="HJ80" s="974"/>
      <c r="HK80" s="974"/>
      <c r="HL80" s="974"/>
      <c r="HM80" s="974"/>
      <c r="HN80" s="974"/>
      <c r="HO80" s="974"/>
      <c r="HP80" s="974"/>
      <c r="HQ80" s="974"/>
      <c r="HR80" s="974"/>
      <c r="HS80" s="974"/>
      <c r="HT80" s="974"/>
      <c r="HU80" s="974"/>
      <c r="HV80" s="974"/>
      <c r="HW80" s="974"/>
      <c r="HX80" s="974"/>
      <c r="HY80" s="974"/>
      <c r="HZ80" s="974"/>
      <c r="IA80" s="974"/>
      <c r="IB80" s="974"/>
      <c r="IC80" s="974"/>
      <c r="ID80" s="974"/>
      <c r="IE80" s="974"/>
      <c r="IF80" s="974"/>
      <c r="IG80" s="974"/>
      <c r="IH80" s="974"/>
      <c r="II80" s="974"/>
      <c r="IJ80" s="974"/>
      <c r="IK80" s="974"/>
      <c r="IL80" s="974"/>
      <c r="IM80" s="974"/>
      <c r="IN80" s="974"/>
      <c r="IO80" s="974"/>
      <c r="IP80" s="974"/>
      <c r="IQ80" s="974"/>
      <c r="IR80" s="974"/>
      <c r="IS80" s="974"/>
      <c r="IT80" s="974"/>
      <c r="IU80" s="974"/>
      <c r="IV80" s="974"/>
      <c r="IW80" s="974"/>
      <c r="IX80" s="974"/>
      <c r="IY80" s="974"/>
      <c r="IZ80" s="974"/>
      <c r="JA80" s="974"/>
      <c r="JB80" s="974"/>
      <c r="JC80" s="974"/>
      <c r="JD80" s="974"/>
      <c r="JE80" s="974"/>
      <c r="JF80" s="974"/>
      <c r="JG80" s="974"/>
      <c r="JH80" s="974"/>
      <c r="JI80" s="974"/>
      <c r="JJ80" s="974"/>
      <c r="JK80" s="974"/>
      <c r="JL80" s="974"/>
      <c r="JM80" s="974"/>
      <c r="JN80" s="974"/>
      <c r="JO80" s="974"/>
      <c r="JP80" s="974"/>
      <c r="JQ80" s="974"/>
      <c r="JR80" s="974"/>
      <c r="JS80" s="974"/>
      <c r="JT80" s="974"/>
      <c r="JU80" s="974"/>
      <c r="JV80" s="974"/>
      <c r="JW80" s="974"/>
      <c r="JX80" s="974"/>
      <c r="JY80" s="974"/>
      <c r="JZ80" s="974"/>
      <c r="KA80" s="974"/>
      <c r="KB80" s="974"/>
      <c r="KC80" s="974"/>
      <c r="KD80" s="974"/>
      <c r="KE80" s="974"/>
      <c r="KF80" s="974"/>
      <c r="KG80" s="974"/>
      <c r="KH80" s="974"/>
      <c r="KI80" s="974"/>
      <c r="KJ80" s="974"/>
      <c r="KK80" s="974"/>
      <c r="KL80" s="974"/>
      <c r="KM80" s="974"/>
      <c r="KN80" s="974"/>
      <c r="KO80" s="974"/>
      <c r="KP80" s="974"/>
      <c r="KQ80" s="974"/>
      <c r="KR80" s="974"/>
      <c r="KS80" s="974"/>
      <c r="KT80" s="974"/>
      <c r="KU80" s="974"/>
      <c r="KV80" s="974"/>
      <c r="KW80" s="974"/>
      <c r="KX80" s="974"/>
      <c r="KY80" s="974"/>
      <c r="KZ80" s="974"/>
      <c r="LA80" s="974"/>
      <c r="LB80" s="974"/>
      <c r="LC80" s="974"/>
      <c r="LD80" s="974"/>
      <c r="LE80" s="974"/>
      <c r="LF80" s="974"/>
      <c r="LG80" s="974"/>
      <c r="LH80" s="974"/>
      <c r="LI80" s="974"/>
      <c r="LJ80" s="974"/>
      <c r="LK80" s="974"/>
      <c r="LL80" s="974"/>
      <c r="LM80" s="974"/>
      <c r="LN80" s="974"/>
      <c r="LO80" s="974"/>
      <c r="LP80" s="974"/>
      <c r="LQ80" s="974"/>
      <c r="LR80" s="974"/>
      <c r="LS80" s="974"/>
      <c r="LT80" s="974"/>
      <c r="LU80" s="974"/>
      <c r="LV80" s="974"/>
      <c r="LW80" s="974"/>
      <c r="LX80" s="974"/>
      <c r="LY80" s="974"/>
      <c r="LZ80" s="974"/>
      <c r="MA80" s="974"/>
      <c r="MB80" s="974"/>
      <c r="MC80" s="974"/>
      <c r="MD80" s="974"/>
      <c r="ME80" s="974"/>
      <c r="MF80" s="974"/>
      <c r="MG80" s="974"/>
      <c r="MH80" s="974"/>
      <c r="MI80" s="974"/>
      <c r="MJ80" s="974"/>
      <c r="MK80" s="974"/>
      <c r="ML80" s="974"/>
      <c r="MM80" s="974"/>
      <c r="MN80" s="974"/>
      <c r="MO80" s="974"/>
      <c r="MP80" s="974"/>
      <c r="MQ80" s="974"/>
      <c r="MR80" s="974"/>
      <c r="MS80" s="974"/>
      <c r="MT80" s="974"/>
      <c r="MU80" s="974"/>
      <c r="MV80" s="974"/>
      <c r="MW80" s="974"/>
      <c r="MX80" s="974"/>
      <c r="MY80" s="974"/>
      <c r="MZ80" s="974"/>
      <c r="NA80" s="974"/>
      <c r="NB80" s="974"/>
      <c r="NC80" s="974"/>
      <c r="ND80" s="974"/>
      <c r="NE80" s="974"/>
      <c r="NF80" s="974"/>
      <c r="NG80" s="974"/>
      <c r="NH80" s="974"/>
      <c r="NI80" s="974"/>
      <c r="NJ80" s="974"/>
      <c r="NK80" s="974"/>
      <c r="NL80" s="974"/>
      <c r="NM80" s="974"/>
      <c r="NN80" s="974"/>
      <c r="NO80" s="974"/>
      <c r="NP80" s="974"/>
      <c r="NQ80" s="974"/>
      <c r="NR80" s="974"/>
      <c r="NS80" s="974"/>
      <c r="NT80" s="974"/>
      <c r="NU80" s="974"/>
      <c r="NV80" s="974"/>
      <c r="NW80" s="974"/>
      <c r="NX80" s="974"/>
      <c r="NY80" s="974"/>
      <c r="NZ80" s="974"/>
      <c r="OA80" s="974"/>
      <c r="OB80" s="974"/>
      <c r="OC80" s="974"/>
      <c r="OD80" s="974"/>
      <c r="OE80" s="974"/>
      <c r="OF80" s="974"/>
      <c r="OG80" s="974"/>
      <c r="OH80" s="974"/>
      <c r="OI80" s="974"/>
      <c r="OJ80" s="974"/>
      <c r="OK80" s="974"/>
      <c r="OL80" s="974"/>
      <c r="OM80" s="974"/>
      <c r="ON80" s="974"/>
      <c r="OO80" s="974"/>
      <c r="OP80" s="974"/>
      <c r="OQ80" s="974"/>
      <c r="OR80" s="974"/>
      <c r="OS80" s="974"/>
      <c r="OT80" s="974"/>
      <c r="OU80" s="974"/>
      <c r="OV80" s="974"/>
      <c r="OW80" s="974"/>
      <c r="OX80" s="974"/>
      <c r="OY80" s="974"/>
      <c r="OZ80" s="974"/>
      <c r="PA80" s="974"/>
      <c r="PB80" s="974"/>
      <c r="PC80" s="974"/>
      <c r="PD80" s="974"/>
      <c r="PE80" s="974"/>
      <c r="PF80" s="974"/>
      <c r="PG80" s="974"/>
      <c r="PH80" s="974"/>
      <c r="PI80" s="974"/>
      <c r="PJ80" s="974"/>
      <c r="PK80" s="974"/>
      <c r="PL80" s="974"/>
      <c r="PM80" s="974"/>
      <c r="PN80" s="974"/>
      <c r="PO80" s="974"/>
      <c r="PP80" s="974"/>
      <c r="PQ80" s="974"/>
      <c r="PR80" s="974"/>
      <c r="PS80" s="974"/>
      <c r="PT80" s="974"/>
      <c r="PU80" s="974"/>
      <c r="PV80" s="974"/>
      <c r="PW80" s="974"/>
      <c r="PX80" s="974"/>
      <c r="PY80" s="974"/>
      <c r="PZ80" s="974"/>
      <c r="QA80" s="974"/>
      <c r="QB80" s="974"/>
      <c r="QC80" s="974"/>
      <c r="QD80" s="974"/>
      <c r="QE80" s="974"/>
      <c r="QF80" s="974"/>
      <c r="QG80" s="974"/>
      <c r="QH80" s="974"/>
      <c r="QI80" s="974"/>
      <c r="QJ80" s="974"/>
      <c r="QK80" s="974"/>
      <c r="QL80" s="974"/>
      <c r="QM80" s="974"/>
      <c r="QN80" s="974"/>
      <c r="QO80" s="974"/>
      <c r="QP80" s="974"/>
      <c r="QQ80" s="974"/>
      <c r="QR80" s="974"/>
      <c r="QS80" s="974"/>
      <c r="QT80" s="974"/>
      <c r="QU80" s="974"/>
      <c r="QV80" s="974"/>
      <c r="QW80" s="974"/>
      <c r="QX80" s="974"/>
      <c r="QY80" s="974"/>
      <c r="QZ80" s="974"/>
      <c r="RA80" s="974"/>
      <c r="RB80" s="974"/>
      <c r="RC80" s="974"/>
      <c r="RD80" s="974"/>
      <c r="RE80" s="974"/>
      <c r="RF80" s="974"/>
      <c r="RG80" s="974"/>
      <c r="RH80" s="974"/>
      <c r="RI80" s="974"/>
      <c r="RJ80" s="974"/>
      <c r="RK80" s="974"/>
      <c r="RL80" s="974"/>
      <c r="RM80" s="974"/>
      <c r="RN80" s="974"/>
      <c r="RO80" s="974"/>
      <c r="RP80" s="974"/>
      <c r="RQ80" s="974"/>
      <c r="RR80" s="974"/>
      <c r="RS80" s="974"/>
      <c r="RT80" s="974"/>
      <c r="RU80" s="974"/>
      <c r="RV80" s="974"/>
      <c r="RW80" s="974"/>
      <c r="RX80" s="974"/>
      <c r="RY80" s="974"/>
      <c r="RZ80" s="974"/>
      <c r="SA80" s="974"/>
      <c r="SB80" s="974"/>
      <c r="SC80" s="974"/>
      <c r="SD80" s="974"/>
      <c r="SE80" s="974"/>
      <c r="SF80" s="974"/>
      <c r="SG80" s="974"/>
      <c r="SH80" s="974"/>
      <c r="SI80" s="974"/>
      <c r="SJ80" s="974"/>
      <c r="SK80" s="974"/>
      <c r="SL80" s="974"/>
      <c r="SM80" s="974"/>
      <c r="SN80" s="974"/>
      <c r="SO80" s="974"/>
      <c r="SP80" s="974"/>
      <c r="SQ80" s="974"/>
      <c r="SR80" s="974"/>
      <c r="SS80" s="974"/>
      <c r="ST80" s="974"/>
      <c r="SU80" s="974"/>
      <c r="SV80" s="974"/>
      <c r="SW80" s="974"/>
      <c r="SX80" s="974"/>
      <c r="SY80" s="974"/>
      <c r="SZ80" s="974"/>
      <c r="TA80" s="974"/>
      <c r="TB80" s="974"/>
      <c r="TC80" s="974"/>
      <c r="TD80" s="974"/>
      <c r="TE80" s="974"/>
      <c r="TF80" s="974"/>
      <c r="TG80" s="974"/>
      <c r="TH80" s="974"/>
      <c r="TI80" s="974"/>
      <c r="TJ80" s="974"/>
      <c r="TK80" s="974"/>
      <c r="TL80" s="974"/>
      <c r="TM80" s="974"/>
      <c r="TN80" s="974"/>
      <c r="TO80" s="974"/>
      <c r="TP80" s="974"/>
      <c r="TQ80" s="974"/>
      <c r="TR80" s="974"/>
      <c r="TS80" s="974"/>
      <c r="TT80" s="974"/>
      <c r="TU80" s="974"/>
      <c r="TV80" s="974"/>
      <c r="TW80" s="974"/>
      <c r="TX80" s="974"/>
      <c r="TY80" s="974"/>
      <c r="TZ80" s="974"/>
      <c r="UA80" s="974"/>
      <c r="UB80" s="974"/>
      <c r="UC80" s="974"/>
      <c r="UD80" s="974"/>
      <c r="UE80" s="974"/>
      <c r="UF80" s="974"/>
      <c r="UG80" s="974"/>
      <c r="UH80" s="974"/>
      <c r="UI80" s="974"/>
      <c r="UJ80" s="974"/>
      <c r="UK80" s="974"/>
      <c r="UL80" s="974"/>
      <c r="UM80" s="974"/>
      <c r="UN80" s="974"/>
      <c r="UO80" s="974"/>
      <c r="UP80" s="974"/>
      <c r="UQ80" s="974"/>
      <c r="UR80" s="974"/>
      <c r="US80" s="974"/>
      <c r="UT80" s="974"/>
      <c r="UU80" s="974"/>
      <c r="UV80" s="974"/>
      <c r="UW80" s="974"/>
      <c r="UX80" s="974"/>
      <c r="UY80" s="974"/>
      <c r="UZ80" s="974"/>
      <c r="VA80" s="974"/>
      <c r="VB80" s="974"/>
      <c r="VC80" s="974"/>
      <c r="VD80" s="974"/>
      <c r="VE80" s="974"/>
      <c r="VF80" s="974"/>
      <c r="VG80" s="974"/>
      <c r="VH80" s="974"/>
      <c r="VI80" s="974"/>
      <c r="VJ80" s="974"/>
      <c r="VK80" s="974"/>
      <c r="VL80" s="974"/>
      <c r="VM80" s="974"/>
      <c r="VN80" s="974"/>
      <c r="VO80" s="974"/>
      <c r="VP80" s="974"/>
      <c r="VQ80" s="974"/>
      <c r="VR80" s="974"/>
      <c r="VS80" s="974"/>
      <c r="VT80" s="974"/>
      <c r="VU80" s="974"/>
      <c r="VV80" s="974"/>
      <c r="VW80" s="974"/>
      <c r="VX80" s="974"/>
      <c r="VY80" s="974"/>
      <c r="VZ80" s="974"/>
      <c r="WA80" s="974"/>
      <c r="WB80" s="974"/>
      <c r="WC80" s="974"/>
      <c r="WD80" s="974"/>
      <c r="WE80" s="974"/>
      <c r="WF80" s="974"/>
      <c r="WG80" s="974"/>
      <c r="WH80" s="974"/>
      <c r="WI80" s="974"/>
      <c r="WJ80" s="974"/>
      <c r="WK80" s="974"/>
      <c r="WL80" s="974"/>
      <c r="WM80" s="974"/>
      <c r="WN80" s="974"/>
      <c r="WO80" s="974"/>
      <c r="WP80" s="974"/>
      <c r="WQ80" s="974"/>
      <c r="WR80" s="974"/>
      <c r="WS80" s="974"/>
      <c r="WT80" s="974"/>
      <c r="WU80" s="974"/>
      <c r="WV80" s="974"/>
      <c r="WW80" s="974"/>
      <c r="WX80" s="974"/>
      <c r="WY80" s="974"/>
      <c r="WZ80" s="974"/>
      <c r="XA80" s="974"/>
      <c r="XB80" s="974"/>
      <c r="XC80" s="974"/>
      <c r="XD80" s="974"/>
      <c r="XE80" s="974"/>
      <c r="XF80" s="974"/>
      <c r="XG80" s="974"/>
      <c r="XH80" s="974"/>
      <c r="XI80" s="974"/>
      <c r="XJ80" s="974"/>
      <c r="XK80" s="974"/>
      <c r="XL80" s="974"/>
      <c r="XM80" s="974"/>
      <c r="XN80" s="974"/>
      <c r="XO80" s="974"/>
      <c r="XP80" s="974"/>
      <c r="XQ80" s="974"/>
      <c r="XR80" s="974"/>
      <c r="XS80" s="974"/>
      <c r="XT80" s="974"/>
      <c r="XU80" s="974"/>
      <c r="XV80" s="974"/>
      <c r="XW80" s="974"/>
      <c r="XX80" s="974"/>
      <c r="XY80" s="974"/>
      <c r="XZ80" s="974"/>
      <c r="YA80" s="974"/>
      <c r="YB80" s="974"/>
      <c r="YC80" s="974"/>
      <c r="YD80" s="974"/>
      <c r="YE80" s="974"/>
      <c r="YF80" s="974"/>
      <c r="YG80" s="974"/>
      <c r="YH80" s="974"/>
      <c r="YI80" s="974"/>
      <c r="YJ80" s="974"/>
      <c r="YK80" s="974"/>
      <c r="YL80" s="974"/>
      <c r="YM80" s="974"/>
      <c r="YN80" s="974"/>
      <c r="YO80" s="974"/>
      <c r="YP80" s="974"/>
      <c r="YQ80" s="974"/>
      <c r="YR80" s="974"/>
      <c r="YS80" s="974"/>
      <c r="YT80" s="974"/>
      <c r="YU80" s="974"/>
      <c r="YV80" s="974"/>
      <c r="YW80" s="974"/>
      <c r="YX80" s="974"/>
      <c r="YY80" s="974"/>
      <c r="YZ80" s="974"/>
      <c r="ZA80" s="974"/>
      <c r="ZB80" s="974"/>
      <c r="ZC80" s="974"/>
      <c r="ZD80" s="974"/>
      <c r="ZE80" s="974"/>
      <c r="ZF80" s="974"/>
      <c r="ZG80" s="974"/>
      <c r="ZH80" s="974"/>
      <c r="ZI80" s="974"/>
      <c r="ZJ80" s="974"/>
      <c r="ZK80" s="974"/>
      <c r="ZL80" s="974"/>
      <c r="ZM80" s="974"/>
      <c r="ZN80" s="974"/>
      <c r="ZO80" s="974"/>
      <c r="ZP80" s="974"/>
      <c r="ZQ80" s="974"/>
      <c r="ZR80" s="974"/>
      <c r="ZS80" s="974"/>
      <c r="ZT80" s="974"/>
      <c r="ZU80" s="974"/>
      <c r="ZV80" s="974"/>
      <c r="ZW80" s="974"/>
      <c r="ZX80" s="974"/>
      <c r="ZY80" s="974"/>
      <c r="ZZ80" s="974"/>
      <c r="AAA80" s="974"/>
      <c r="AAB80" s="974"/>
      <c r="AAC80" s="974"/>
      <c r="AAD80" s="974"/>
      <c r="AAE80" s="974"/>
      <c r="AAF80" s="974"/>
      <c r="AAG80" s="974"/>
      <c r="AAH80" s="974"/>
      <c r="AAI80" s="974"/>
      <c r="AAJ80" s="974"/>
      <c r="AAK80" s="974"/>
      <c r="AAL80" s="974"/>
      <c r="AAM80" s="974"/>
      <c r="AAN80" s="974"/>
      <c r="AAO80" s="974"/>
      <c r="AAP80" s="974"/>
      <c r="AAQ80" s="974"/>
      <c r="AAR80" s="974"/>
      <c r="AAS80" s="974"/>
      <c r="AAT80" s="974"/>
      <c r="AAU80" s="974"/>
      <c r="AAV80" s="974"/>
      <c r="AAW80" s="974"/>
      <c r="AAX80" s="974"/>
      <c r="AAY80" s="974"/>
      <c r="AAZ80" s="974"/>
      <c r="ABA80" s="974"/>
      <c r="ABB80" s="974"/>
      <c r="ABC80" s="974"/>
      <c r="ABD80" s="974"/>
      <c r="ABE80" s="974"/>
      <c r="ABF80" s="974"/>
      <c r="ABG80" s="974"/>
      <c r="ABH80" s="974"/>
      <c r="ABI80" s="974"/>
      <c r="ABJ80" s="974"/>
      <c r="ABK80" s="974"/>
      <c r="ABL80" s="974"/>
      <c r="ABM80" s="974"/>
      <c r="ABN80" s="974"/>
      <c r="ABO80" s="974"/>
      <c r="ABP80" s="974"/>
      <c r="ABQ80" s="974"/>
      <c r="ABR80" s="974"/>
      <c r="ABS80" s="974"/>
      <c r="ABT80" s="974"/>
      <c r="ABU80" s="974"/>
      <c r="ABV80" s="974"/>
      <c r="ABW80" s="974"/>
      <c r="ABX80" s="974"/>
      <c r="ABY80" s="974"/>
      <c r="ABZ80" s="974"/>
      <c r="ACA80" s="974"/>
      <c r="ACB80" s="974"/>
      <c r="ACC80" s="974"/>
      <c r="ACD80" s="974"/>
      <c r="ACE80" s="974"/>
      <c r="ACF80" s="974"/>
      <c r="ACG80" s="974"/>
      <c r="ACH80" s="974"/>
      <c r="ACI80" s="974"/>
      <c r="ACJ80" s="974"/>
      <c r="ACK80" s="974"/>
      <c r="ACL80" s="974"/>
      <c r="ACM80" s="974"/>
      <c r="ACN80" s="974"/>
      <c r="ACO80" s="974"/>
      <c r="ACP80" s="974"/>
      <c r="ACQ80" s="974"/>
      <c r="ACR80" s="974"/>
      <c r="ACS80" s="974"/>
      <c r="ACT80" s="974"/>
      <c r="ACU80" s="974"/>
      <c r="ACV80" s="974"/>
      <c r="ACW80" s="974"/>
      <c r="ACX80" s="974"/>
      <c r="ACY80" s="974"/>
      <c r="ACZ80" s="974"/>
      <c r="ADA80" s="974"/>
      <c r="ADB80" s="974"/>
      <c r="ADC80" s="974"/>
      <c r="ADD80" s="974"/>
      <c r="ADE80" s="974"/>
      <c r="ADF80" s="974"/>
      <c r="ADG80" s="974"/>
      <c r="ADH80" s="974"/>
      <c r="ADI80" s="974"/>
      <c r="ADJ80" s="974"/>
      <c r="ADK80" s="974"/>
      <c r="ADL80" s="974"/>
      <c r="ADM80" s="974"/>
      <c r="ADN80" s="974"/>
      <c r="ADO80" s="974"/>
      <c r="ADP80" s="974"/>
      <c r="ADQ80" s="974"/>
      <c r="ADR80" s="974"/>
      <c r="ADS80" s="974"/>
      <c r="ADT80" s="974"/>
      <c r="ADU80" s="974"/>
      <c r="ADV80" s="974"/>
      <c r="ADW80" s="974"/>
      <c r="ADX80" s="974"/>
      <c r="ADY80" s="974"/>
      <c r="ADZ80" s="974"/>
      <c r="AEA80" s="974"/>
      <c r="AEB80" s="974"/>
      <c r="AEC80" s="974"/>
      <c r="AED80" s="974"/>
      <c r="AEE80" s="974"/>
      <c r="AEF80" s="974"/>
      <c r="AEG80" s="974"/>
      <c r="AEH80" s="974"/>
      <c r="AEI80" s="974"/>
      <c r="AEJ80" s="974"/>
      <c r="AEK80" s="974"/>
      <c r="AEL80" s="974"/>
      <c r="AEM80" s="974"/>
      <c r="AEN80" s="974"/>
      <c r="AEO80" s="974"/>
      <c r="AEP80" s="974"/>
      <c r="AEQ80" s="974"/>
      <c r="AER80" s="974"/>
      <c r="AES80" s="974"/>
      <c r="AET80" s="974"/>
      <c r="AEU80" s="974"/>
      <c r="AEV80" s="974"/>
      <c r="AEW80" s="974"/>
      <c r="AEX80" s="974"/>
      <c r="AEY80" s="974"/>
      <c r="AEZ80" s="974"/>
      <c r="AFA80" s="974"/>
      <c r="AFB80" s="974"/>
      <c r="AFC80" s="974"/>
      <c r="AFD80" s="974"/>
      <c r="AFE80" s="974"/>
      <c r="AFF80" s="974"/>
      <c r="AFG80" s="974"/>
      <c r="AFH80" s="974"/>
      <c r="AFI80" s="974"/>
      <c r="AFJ80" s="974"/>
      <c r="AFK80" s="974"/>
      <c r="AFL80" s="974"/>
      <c r="AFM80" s="974"/>
      <c r="AFN80" s="974"/>
      <c r="AFO80" s="974"/>
      <c r="AFP80" s="974"/>
      <c r="AFQ80" s="974"/>
      <c r="AFR80" s="974"/>
      <c r="AFS80" s="974"/>
      <c r="AFT80" s="974"/>
      <c r="AFU80" s="974"/>
      <c r="AFV80" s="974"/>
      <c r="AFW80" s="974"/>
      <c r="AFX80" s="974"/>
      <c r="AFY80" s="974"/>
      <c r="AFZ80" s="974"/>
      <c r="AGA80" s="974"/>
      <c r="AGB80" s="974"/>
      <c r="AGC80" s="974"/>
      <c r="AGD80" s="974"/>
      <c r="AGE80" s="974"/>
      <c r="AGF80" s="974"/>
      <c r="AGG80" s="974"/>
      <c r="AGH80" s="974"/>
      <c r="AGI80" s="974"/>
      <c r="AGJ80" s="974"/>
      <c r="AGK80" s="974"/>
      <c r="AGL80" s="974"/>
      <c r="AGM80" s="974"/>
      <c r="AGN80" s="974"/>
      <c r="AGO80" s="974"/>
      <c r="AGP80" s="974"/>
      <c r="AGQ80" s="974"/>
      <c r="AGR80" s="974"/>
      <c r="AGS80" s="974"/>
      <c r="AGT80" s="974"/>
      <c r="AGU80" s="974"/>
      <c r="AGV80" s="974"/>
      <c r="AGW80" s="974"/>
      <c r="AGX80" s="974"/>
      <c r="AGY80" s="974"/>
      <c r="AGZ80" s="974"/>
      <c r="AHA80" s="974"/>
      <c r="AHB80" s="974"/>
      <c r="AHC80" s="974"/>
      <c r="AHD80" s="974"/>
      <c r="AHE80" s="974"/>
      <c r="AHF80" s="974"/>
      <c r="AHG80" s="974"/>
      <c r="AHH80" s="974"/>
      <c r="AHI80" s="974"/>
      <c r="AHJ80" s="974"/>
      <c r="AHK80" s="974"/>
      <c r="AHL80" s="974"/>
      <c r="AHM80" s="974"/>
      <c r="AHN80" s="974"/>
      <c r="AHO80" s="974"/>
      <c r="AHP80" s="974"/>
      <c r="AHQ80" s="974"/>
      <c r="AHR80" s="974"/>
      <c r="AHS80" s="974"/>
      <c r="AHT80" s="974"/>
      <c r="AHU80" s="974"/>
      <c r="AHV80" s="974"/>
      <c r="AHW80" s="974"/>
      <c r="AHX80" s="974"/>
      <c r="AHY80" s="974"/>
      <c r="AHZ80" s="974"/>
      <c r="AIA80" s="974"/>
      <c r="AIB80" s="974"/>
      <c r="AIC80" s="974"/>
      <c r="AID80" s="974"/>
      <c r="AIE80" s="974"/>
      <c r="AIF80" s="974"/>
      <c r="AIG80" s="974"/>
      <c r="AIH80" s="974"/>
      <c r="AII80" s="974"/>
      <c r="AIJ80" s="974"/>
      <c r="AIK80" s="974"/>
      <c r="AIL80" s="974"/>
      <c r="AIM80" s="974"/>
      <c r="AIN80" s="974"/>
      <c r="AIO80" s="974"/>
      <c r="AIP80" s="974"/>
      <c r="AIQ80" s="974"/>
      <c r="AIR80" s="974"/>
      <c r="AIS80" s="974"/>
      <c r="AIT80" s="974"/>
      <c r="AIU80" s="974"/>
      <c r="AIV80" s="974"/>
      <c r="AIW80" s="974"/>
      <c r="AIX80" s="974"/>
      <c r="AIY80" s="974"/>
      <c r="AIZ80" s="974"/>
      <c r="AJA80" s="974"/>
      <c r="AJB80" s="974"/>
      <c r="AJC80" s="974"/>
      <c r="AJD80" s="974"/>
      <c r="AJE80" s="974"/>
      <c r="AJF80" s="974"/>
      <c r="AJG80" s="974"/>
      <c r="AJH80" s="974"/>
      <c r="AJI80" s="974"/>
      <c r="AJJ80" s="974"/>
      <c r="AJK80" s="974"/>
      <c r="AJL80" s="974"/>
      <c r="AJM80" s="974"/>
      <c r="AJN80" s="974"/>
      <c r="AJO80" s="974"/>
      <c r="AJP80" s="974"/>
      <c r="AJQ80" s="974"/>
      <c r="AJR80" s="974"/>
      <c r="AJS80" s="974"/>
      <c r="AJT80" s="974"/>
      <c r="AJU80" s="974"/>
      <c r="AJV80" s="974"/>
      <c r="AJW80" s="974"/>
      <c r="AJX80" s="974"/>
      <c r="AJY80" s="974"/>
      <c r="AJZ80" s="974"/>
      <c r="AKA80" s="974"/>
      <c r="AKB80" s="974"/>
      <c r="AKC80" s="974"/>
      <c r="AKD80" s="974"/>
      <c r="AKE80" s="974"/>
      <c r="AKF80" s="974"/>
      <c r="AKG80" s="974"/>
      <c r="AKH80" s="974"/>
      <c r="AKI80" s="974"/>
      <c r="AKJ80" s="974"/>
      <c r="AKK80" s="974"/>
      <c r="AKL80" s="974"/>
      <c r="AKM80" s="974"/>
      <c r="AKN80" s="974"/>
      <c r="AKO80" s="974"/>
      <c r="AKP80" s="974"/>
      <c r="AKQ80" s="974"/>
      <c r="AKR80" s="974"/>
      <c r="AKS80" s="974"/>
      <c r="AKT80" s="974"/>
      <c r="AKU80" s="974"/>
      <c r="AKV80" s="974"/>
      <c r="AKW80" s="974"/>
      <c r="AKX80" s="974"/>
      <c r="AKY80" s="974"/>
      <c r="AKZ80" s="974"/>
      <c r="ALA80" s="974"/>
      <c r="ALB80" s="974"/>
      <c r="ALC80" s="974"/>
      <c r="ALD80" s="974"/>
      <c r="ALE80" s="974"/>
      <c r="ALF80" s="974"/>
      <c r="ALG80" s="974"/>
      <c r="ALH80" s="974"/>
      <c r="ALI80" s="974"/>
      <c r="ALJ80" s="974"/>
      <c r="ALK80" s="974"/>
      <c r="ALL80" s="974"/>
      <c r="ALM80" s="974"/>
      <c r="ALN80" s="974"/>
      <c r="ALO80" s="974"/>
      <c r="ALP80" s="974"/>
      <c r="ALQ80" s="974"/>
      <c r="ALR80" s="974"/>
      <c r="ALS80" s="974"/>
      <c r="ALT80" s="974"/>
      <c r="ALU80" s="974"/>
      <c r="ALV80" s="974"/>
      <c r="ALW80" s="974"/>
      <c r="ALX80" s="974"/>
      <c r="ALY80" s="974"/>
      <c r="ALZ80" s="974"/>
      <c r="AMA80" s="974"/>
      <c r="AMB80" s="974"/>
      <c r="AMC80" s="974"/>
      <c r="AMD80" s="974"/>
      <c r="AME80" s="974"/>
      <c r="AMF80" s="974"/>
      <c r="AMG80" s="974"/>
      <c r="AMH80" s="974"/>
      <c r="AMI80" s="974"/>
      <c r="AMJ80" s="974"/>
      <c r="AMK80" s="974"/>
      <c r="AML80" s="974"/>
      <c r="AMM80" s="974"/>
      <c r="AMN80" s="974"/>
      <c r="AMO80" s="974"/>
      <c r="AMP80" s="974"/>
      <c r="AMQ80" s="974"/>
      <c r="AMR80" s="974"/>
      <c r="AMS80" s="974"/>
      <c r="AMT80" s="974"/>
      <c r="AMU80" s="974"/>
      <c r="AMV80" s="974"/>
      <c r="AMW80" s="974"/>
      <c r="AMX80" s="974"/>
      <c r="AMY80" s="974"/>
      <c r="AMZ80" s="974"/>
      <c r="ANA80" s="974"/>
      <c r="ANB80" s="974"/>
      <c r="ANC80" s="974"/>
      <c r="AND80" s="974"/>
      <c r="ANE80" s="974"/>
      <c r="ANF80" s="974"/>
      <c r="ANG80" s="974"/>
      <c r="ANH80" s="974"/>
      <c r="ANI80" s="974"/>
      <c r="ANJ80" s="974"/>
      <c r="ANK80" s="974"/>
      <c r="ANL80" s="974"/>
      <c r="ANM80" s="974"/>
      <c r="ANN80" s="974"/>
      <c r="ANO80" s="974"/>
      <c r="ANP80" s="974"/>
      <c r="ANQ80" s="974"/>
      <c r="ANR80" s="974"/>
      <c r="ANS80" s="974"/>
      <c r="ANT80" s="974"/>
      <c r="ANU80" s="974"/>
      <c r="ANV80" s="974"/>
      <c r="ANW80" s="974"/>
      <c r="ANX80" s="974"/>
      <c r="ANY80" s="974"/>
      <c r="ANZ80" s="974"/>
      <c r="AOA80" s="974"/>
      <c r="AOB80" s="974"/>
      <c r="AOC80" s="974"/>
      <c r="AOD80" s="974"/>
      <c r="AOE80" s="974"/>
      <c r="AOF80" s="974"/>
      <c r="AOG80" s="974"/>
      <c r="AOH80" s="974"/>
      <c r="AOI80" s="974"/>
      <c r="AOJ80" s="974"/>
      <c r="AOK80" s="974"/>
      <c r="AOL80" s="974"/>
      <c r="AOM80" s="974"/>
      <c r="AON80" s="974"/>
      <c r="AOO80" s="974"/>
      <c r="AOP80" s="974"/>
      <c r="AOQ80" s="974"/>
      <c r="AOR80" s="974"/>
      <c r="AOS80" s="974"/>
      <c r="AOT80" s="974"/>
      <c r="AOU80" s="974"/>
      <c r="AOV80" s="974"/>
      <c r="AOW80" s="974"/>
      <c r="AOX80" s="974"/>
      <c r="AOY80" s="974"/>
      <c r="AOZ80" s="974"/>
      <c r="APA80" s="974"/>
      <c r="APB80" s="974"/>
      <c r="APC80" s="974"/>
      <c r="APD80" s="974"/>
      <c r="APE80" s="974"/>
      <c r="APF80" s="974"/>
      <c r="APG80" s="974"/>
      <c r="APH80" s="974"/>
      <c r="API80" s="974"/>
      <c r="APJ80" s="974"/>
      <c r="APK80" s="974"/>
      <c r="APL80" s="974"/>
      <c r="APM80" s="974"/>
      <c r="APN80" s="974"/>
      <c r="APO80" s="974"/>
      <c r="APP80" s="974"/>
      <c r="APQ80" s="974"/>
      <c r="APR80" s="974"/>
      <c r="APS80" s="974"/>
      <c r="APT80" s="974"/>
      <c r="APU80" s="974"/>
      <c r="APV80" s="974"/>
      <c r="APW80" s="974"/>
      <c r="APX80" s="974"/>
      <c r="APY80" s="974"/>
      <c r="APZ80" s="974"/>
      <c r="AQA80" s="974"/>
      <c r="AQB80" s="974"/>
      <c r="AQC80" s="974"/>
      <c r="AQD80" s="974"/>
      <c r="AQE80" s="974"/>
      <c r="AQF80" s="974"/>
      <c r="AQG80" s="974"/>
      <c r="AQH80" s="974"/>
      <c r="AQI80" s="974"/>
      <c r="AQJ80" s="974"/>
      <c r="AQK80" s="974"/>
      <c r="AQL80" s="974"/>
      <c r="AQM80" s="974"/>
      <c r="AQN80" s="974"/>
      <c r="AQO80" s="974"/>
      <c r="AQP80" s="974"/>
      <c r="AQQ80" s="974"/>
      <c r="AQR80" s="974"/>
      <c r="AQS80" s="974"/>
      <c r="AQT80" s="974"/>
      <c r="AQU80" s="974"/>
      <c r="AQV80" s="974"/>
      <c r="AQW80" s="974"/>
      <c r="AQX80" s="974"/>
      <c r="AQY80" s="974"/>
      <c r="AQZ80" s="974"/>
      <c r="ARA80" s="974"/>
      <c r="ARB80" s="974"/>
      <c r="ARC80" s="974"/>
      <c r="ARD80" s="974"/>
      <c r="ARE80" s="974"/>
      <c r="ARF80" s="974"/>
      <c r="ARG80" s="974"/>
      <c r="ARH80" s="974"/>
      <c r="ARI80" s="974"/>
      <c r="ARJ80" s="974"/>
      <c r="ARK80" s="974"/>
      <c r="ARL80" s="974"/>
      <c r="ARM80" s="974"/>
      <c r="ARN80" s="974"/>
      <c r="ARO80" s="974"/>
      <c r="ARP80" s="974"/>
      <c r="ARQ80" s="974"/>
      <c r="ARR80" s="974"/>
      <c r="ARS80" s="974"/>
      <c r="ART80" s="974"/>
      <c r="ARU80" s="974"/>
      <c r="ARV80" s="974"/>
      <c r="ARW80" s="974"/>
      <c r="ARX80" s="974"/>
      <c r="ARY80" s="974"/>
      <c r="ARZ80" s="974"/>
      <c r="ASA80" s="974"/>
      <c r="ASB80" s="974"/>
      <c r="ASC80" s="974"/>
      <c r="ASD80" s="974"/>
      <c r="ASE80" s="974"/>
      <c r="ASF80" s="974"/>
      <c r="ASG80" s="974"/>
      <c r="ASH80" s="974"/>
      <c r="ASI80" s="974"/>
      <c r="ASJ80" s="974"/>
      <c r="ASK80" s="974"/>
      <c r="ASL80" s="974"/>
      <c r="ASM80" s="974"/>
      <c r="ASN80" s="974"/>
      <c r="ASO80" s="974"/>
      <c r="ASP80" s="974"/>
      <c r="ASQ80" s="974"/>
      <c r="ASR80" s="974"/>
      <c r="ASS80" s="974"/>
      <c r="AST80" s="974"/>
      <c r="ASU80" s="974"/>
      <c r="ASV80" s="974"/>
      <c r="ASW80" s="974"/>
      <c r="ASX80" s="974"/>
      <c r="ASY80" s="974"/>
      <c r="ASZ80" s="974"/>
      <c r="ATA80" s="974"/>
      <c r="ATB80" s="974"/>
      <c r="ATC80" s="974"/>
      <c r="ATD80" s="974"/>
      <c r="ATE80" s="974"/>
      <c r="ATF80" s="974"/>
      <c r="ATG80" s="974"/>
      <c r="ATH80" s="974"/>
      <c r="ATI80" s="974"/>
      <c r="ATJ80" s="974"/>
      <c r="ATK80" s="974"/>
      <c r="ATL80" s="974"/>
      <c r="ATM80" s="974"/>
      <c r="ATN80" s="974"/>
      <c r="ATO80" s="974"/>
      <c r="ATP80" s="974"/>
      <c r="ATQ80" s="974"/>
      <c r="ATR80" s="974"/>
      <c r="ATS80" s="974"/>
      <c r="ATT80" s="974"/>
      <c r="ATU80" s="974"/>
      <c r="ATV80" s="974"/>
      <c r="ATW80" s="974"/>
      <c r="ATX80" s="974"/>
      <c r="ATY80" s="974"/>
      <c r="ATZ80" s="974"/>
      <c r="AUA80" s="974"/>
      <c r="AUB80" s="974"/>
      <c r="AUC80" s="974"/>
      <c r="AUD80" s="974"/>
      <c r="AUE80" s="974"/>
      <c r="AUF80" s="974"/>
      <c r="AUG80" s="974"/>
      <c r="AUH80" s="974"/>
      <c r="AUI80" s="974"/>
      <c r="AUJ80" s="974"/>
      <c r="AUK80" s="974"/>
      <c r="AUL80" s="974"/>
      <c r="AUM80" s="974"/>
      <c r="AUN80" s="974"/>
      <c r="AUO80" s="974"/>
      <c r="AUP80" s="974"/>
      <c r="AUQ80" s="974"/>
      <c r="AUR80" s="974"/>
      <c r="AUS80" s="974"/>
      <c r="AUT80" s="974"/>
      <c r="AUU80" s="974"/>
      <c r="AUV80" s="974"/>
      <c r="AUW80" s="974"/>
      <c r="AUX80" s="974"/>
      <c r="AUY80" s="974"/>
      <c r="AUZ80" s="974"/>
      <c r="AVA80" s="974"/>
      <c r="AVB80" s="974"/>
      <c r="AVC80" s="974"/>
      <c r="AVD80" s="974"/>
      <c r="AVE80" s="974"/>
      <c r="AVF80" s="974"/>
      <c r="AVG80" s="974"/>
      <c r="AVH80" s="974"/>
      <c r="AVI80" s="974"/>
      <c r="AVJ80" s="974"/>
      <c r="AVK80" s="974"/>
      <c r="AVL80" s="974"/>
      <c r="AVM80" s="974"/>
      <c r="AVN80" s="974"/>
      <c r="AVO80" s="974"/>
      <c r="AVP80" s="974"/>
      <c r="AVQ80" s="974"/>
      <c r="AVR80" s="974"/>
      <c r="AVS80" s="974"/>
      <c r="AVT80" s="974"/>
      <c r="AVU80" s="974"/>
      <c r="AVV80" s="974"/>
      <c r="AVW80" s="974"/>
      <c r="AVX80" s="974"/>
      <c r="AVY80" s="974"/>
      <c r="AVZ80" s="974"/>
      <c r="AWA80" s="974"/>
      <c r="AWB80" s="974"/>
      <c r="AWC80" s="974"/>
      <c r="AWD80" s="974"/>
      <c r="AWE80" s="974"/>
      <c r="AWF80" s="974"/>
      <c r="AWG80" s="974"/>
      <c r="AWH80" s="974"/>
      <c r="AWI80" s="974"/>
      <c r="AWJ80" s="974"/>
      <c r="AWK80" s="974"/>
      <c r="AWL80" s="974"/>
      <c r="AWM80" s="974"/>
      <c r="AWN80" s="974"/>
      <c r="AWO80" s="974"/>
      <c r="AWP80" s="974"/>
      <c r="AWQ80" s="974"/>
      <c r="AWR80" s="974"/>
      <c r="AWS80" s="974"/>
      <c r="AWT80" s="974"/>
      <c r="AWU80" s="974"/>
      <c r="AWV80" s="974"/>
      <c r="AWW80" s="974"/>
      <c r="AWX80" s="974"/>
      <c r="AWY80" s="974"/>
      <c r="AWZ80" s="974"/>
      <c r="AXA80" s="974"/>
      <c r="AXB80" s="974"/>
      <c r="AXC80" s="974"/>
      <c r="AXD80" s="974"/>
      <c r="AXE80" s="974"/>
      <c r="AXF80" s="974"/>
      <c r="AXG80" s="974"/>
      <c r="AXH80" s="974"/>
      <c r="AXI80" s="974"/>
      <c r="AXJ80" s="974"/>
      <c r="AXK80" s="974"/>
      <c r="AXL80" s="974"/>
      <c r="AXM80" s="974"/>
      <c r="AXN80" s="974"/>
      <c r="AXO80" s="974"/>
      <c r="AXP80" s="974"/>
      <c r="AXQ80" s="974"/>
      <c r="AXR80" s="974"/>
      <c r="AXS80" s="974"/>
      <c r="AXT80" s="974"/>
      <c r="AXU80" s="974"/>
      <c r="AXV80" s="974"/>
      <c r="AXW80" s="974"/>
      <c r="AXX80" s="974"/>
      <c r="AXY80" s="974"/>
      <c r="AXZ80" s="974"/>
      <c r="AYA80" s="974"/>
      <c r="AYB80" s="974"/>
      <c r="AYC80" s="974"/>
      <c r="AYD80" s="974"/>
      <c r="AYE80" s="974"/>
      <c r="AYF80" s="974"/>
      <c r="AYG80" s="974"/>
      <c r="AYH80" s="974"/>
      <c r="AYI80" s="974"/>
      <c r="AYJ80" s="974"/>
      <c r="AYK80" s="974"/>
      <c r="AYL80" s="974"/>
      <c r="AYM80" s="974"/>
      <c r="AYN80" s="974"/>
      <c r="AYO80" s="974"/>
      <c r="AYP80" s="974"/>
      <c r="AYQ80" s="974"/>
      <c r="AYR80" s="974"/>
      <c r="AYS80" s="974"/>
      <c r="AYT80" s="974"/>
      <c r="AYU80" s="974"/>
      <c r="AYV80" s="974"/>
      <c r="AYW80" s="974"/>
      <c r="AYX80" s="974"/>
      <c r="AYY80" s="974"/>
      <c r="AYZ80" s="974"/>
      <c r="AZA80" s="974"/>
      <c r="AZB80" s="974"/>
      <c r="AZC80" s="974"/>
      <c r="AZD80" s="974"/>
      <c r="AZE80" s="974"/>
      <c r="AZF80" s="974"/>
      <c r="AZG80" s="974"/>
      <c r="AZH80" s="974"/>
      <c r="AZI80" s="974"/>
      <c r="AZJ80" s="974"/>
      <c r="AZK80" s="974"/>
      <c r="AZL80" s="974"/>
      <c r="AZM80" s="974"/>
      <c r="AZN80" s="974"/>
      <c r="AZO80" s="974"/>
      <c r="AZP80" s="974"/>
      <c r="AZQ80" s="974"/>
      <c r="AZR80" s="974"/>
      <c r="AZS80" s="974"/>
      <c r="AZT80" s="974"/>
      <c r="AZU80" s="974"/>
      <c r="AZV80" s="974"/>
      <c r="AZW80" s="974"/>
      <c r="AZX80" s="974"/>
      <c r="AZY80" s="974"/>
      <c r="AZZ80" s="974"/>
      <c r="BAA80" s="974"/>
      <c r="BAB80" s="974"/>
      <c r="BAC80" s="974"/>
      <c r="BAD80" s="974"/>
      <c r="BAE80" s="974"/>
      <c r="BAF80" s="974"/>
      <c r="BAG80" s="974"/>
      <c r="BAH80" s="974"/>
      <c r="BAI80" s="974"/>
      <c r="BAJ80" s="974"/>
      <c r="BAK80" s="974"/>
      <c r="BAL80" s="974"/>
      <c r="BAM80" s="974"/>
      <c r="BAN80" s="974"/>
      <c r="BAO80" s="974"/>
      <c r="BAP80" s="974"/>
      <c r="BAQ80" s="974"/>
      <c r="BAR80" s="974"/>
      <c r="BAS80" s="974"/>
      <c r="BAT80" s="974"/>
      <c r="BAU80" s="974"/>
      <c r="BAV80" s="974"/>
      <c r="BAW80" s="974"/>
      <c r="BAX80" s="974"/>
      <c r="BAY80" s="974"/>
      <c r="BAZ80" s="974"/>
      <c r="BBA80" s="974"/>
      <c r="BBB80" s="974"/>
      <c r="BBC80" s="974"/>
      <c r="BBD80" s="974"/>
      <c r="BBE80" s="974"/>
      <c r="BBF80" s="974"/>
      <c r="BBG80" s="974"/>
      <c r="BBH80" s="974"/>
      <c r="BBI80" s="974"/>
      <c r="BBJ80" s="974"/>
      <c r="BBK80" s="974"/>
      <c r="BBL80" s="974"/>
      <c r="BBM80" s="974"/>
      <c r="BBN80" s="974"/>
      <c r="BBO80" s="974"/>
      <c r="BBP80" s="974"/>
      <c r="BBQ80" s="974"/>
      <c r="BBR80" s="974"/>
      <c r="BBS80" s="974"/>
      <c r="BBT80" s="974"/>
      <c r="BBU80" s="974"/>
      <c r="BBV80" s="974"/>
      <c r="BBW80" s="974"/>
      <c r="BBX80" s="974"/>
      <c r="BBY80" s="974"/>
      <c r="BBZ80" s="974"/>
      <c r="BCA80" s="974"/>
      <c r="BCB80" s="974"/>
      <c r="BCC80" s="974"/>
      <c r="BCD80" s="974"/>
      <c r="BCE80" s="974"/>
      <c r="BCF80" s="974"/>
      <c r="BCG80" s="974"/>
      <c r="BCH80" s="974"/>
      <c r="BCI80" s="974"/>
      <c r="BCJ80" s="974"/>
      <c r="BCK80" s="974"/>
      <c r="BCL80" s="974"/>
      <c r="BCM80" s="974"/>
      <c r="BCN80" s="974"/>
      <c r="BCO80" s="974"/>
      <c r="BCP80" s="974"/>
      <c r="BCQ80" s="974"/>
      <c r="BCR80" s="974"/>
      <c r="BCS80" s="974"/>
      <c r="BCT80" s="974"/>
      <c r="BCU80" s="974"/>
      <c r="BCV80" s="974"/>
      <c r="BCW80" s="974"/>
      <c r="BCX80" s="974"/>
      <c r="BCY80" s="974"/>
      <c r="BCZ80" s="974"/>
      <c r="BDA80" s="974"/>
      <c r="BDB80" s="974"/>
      <c r="BDC80" s="974"/>
      <c r="BDD80" s="974"/>
      <c r="BDE80" s="974"/>
      <c r="BDF80" s="974"/>
      <c r="BDG80" s="974"/>
      <c r="BDH80" s="974"/>
      <c r="BDI80" s="974"/>
      <c r="BDJ80" s="974"/>
      <c r="BDK80" s="974"/>
      <c r="BDL80" s="974"/>
      <c r="BDM80" s="974"/>
      <c r="BDN80" s="974"/>
      <c r="BDO80" s="974"/>
      <c r="BDP80" s="974"/>
      <c r="BDQ80" s="974"/>
      <c r="BDR80" s="974"/>
      <c r="BDS80" s="974"/>
      <c r="BDT80" s="974"/>
      <c r="BDU80" s="974"/>
      <c r="BDV80" s="974"/>
      <c r="BDW80" s="974"/>
      <c r="BDX80" s="974"/>
      <c r="BDY80" s="974"/>
      <c r="BDZ80" s="974"/>
      <c r="BEA80" s="974"/>
      <c r="BEB80" s="974"/>
      <c r="BEC80" s="974"/>
      <c r="BED80" s="974"/>
      <c r="BEE80" s="974"/>
      <c r="BEF80" s="974"/>
      <c r="BEG80" s="974"/>
      <c r="BEH80" s="974"/>
      <c r="BEI80" s="974"/>
      <c r="BEJ80" s="974"/>
      <c r="BEK80" s="974"/>
      <c r="BEL80" s="974"/>
      <c r="BEM80" s="974"/>
      <c r="BEN80" s="974"/>
      <c r="BEO80" s="974"/>
      <c r="BEP80" s="974"/>
      <c r="BEQ80" s="974"/>
      <c r="BER80" s="974"/>
      <c r="BES80" s="974"/>
      <c r="BET80" s="974"/>
      <c r="BEU80" s="974"/>
      <c r="BEV80" s="974"/>
      <c r="BEW80" s="974"/>
      <c r="BEX80" s="974"/>
      <c r="BEY80" s="974"/>
      <c r="BEZ80" s="974"/>
      <c r="BFA80" s="974"/>
      <c r="BFB80" s="974"/>
      <c r="BFC80" s="974"/>
      <c r="BFD80" s="974"/>
      <c r="BFE80" s="974"/>
      <c r="BFF80" s="974"/>
      <c r="BFG80" s="974"/>
      <c r="BFH80" s="974"/>
      <c r="BFI80" s="974"/>
      <c r="BFJ80" s="974"/>
      <c r="BFK80" s="974"/>
      <c r="BFL80" s="974"/>
      <c r="BFM80" s="974"/>
      <c r="BFN80" s="974"/>
      <c r="BFO80" s="974"/>
      <c r="BFP80" s="974"/>
      <c r="BFQ80" s="974"/>
      <c r="BFR80" s="974"/>
      <c r="BFS80" s="974"/>
      <c r="BFT80" s="974"/>
      <c r="BFU80" s="974"/>
      <c r="BFV80" s="974"/>
      <c r="BFW80" s="974"/>
      <c r="BFX80" s="974"/>
      <c r="BFY80" s="974"/>
      <c r="BFZ80" s="974"/>
      <c r="BGA80" s="974"/>
      <c r="BGB80" s="974"/>
      <c r="BGC80" s="974"/>
      <c r="BGD80" s="974"/>
      <c r="BGE80" s="974"/>
      <c r="BGF80" s="974"/>
      <c r="BGG80" s="974"/>
      <c r="BGH80" s="974"/>
      <c r="BGI80" s="974"/>
      <c r="BGJ80" s="974"/>
      <c r="BGK80" s="974"/>
      <c r="BGL80" s="974"/>
      <c r="BGM80" s="974"/>
      <c r="BGN80" s="974"/>
      <c r="BGO80" s="974"/>
      <c r="BGP80" s="974"/>
      <c r="BGQ80" s="974"/>
      <c r="BGR80" s="974"/>
      <c r="BGS80" s="974"/>
      <c r="BGT80" s="974"/>
      <c r="BGU80" s="974"/>
      <c r="BGV80" s="974"/>
      <c r="BGW80" s="974"/>
      <c r="BGX80" s="974"/>
      <c r="BGY80" s="974"/>
      <c r="BGZ80" s="974"/>
      <c r="BHA80" s="974"/>
      <c r="BHB80" s="974"/>
      <c r="BHC80" s="974"/>
      <c r="BHD80" s="974"/>
      <c r="BHE80" s="974"/>
      <c r="BHF80" s="974"/>
      <c r="BHG80" s="974"/>
      <c r="BHH80" s="974"/>
      <c r="BHI80" s="974"/>
      <c r="BHJ80" s="974"/>
      <c r="BHK80" s="974"/>
      <c r="BHL80" s="974"/>
      <c r="BHM80" s="974"/>
      <c r="BHN80" s="974"/>
      <c r="BHO80" s="974"/>
      <c r="BHP80" s="974"/>
      <c r="BHQ80" s="974"/>
      <c r="BHR80" s="974"/>
      <c r="BHS80" s="974"/>
      <c r="BHT80" s="974"/>
      <c r="BHU80" s="974"/>
      <c r="BHV80" s="974"/>
      <c r="BHW80" s="974"/>
      <c r="BHX80" s="974"/>
      <c r="BHY80" s="974"/>
      <c r="BHZ80" s="974"/>
      <c r="BIA80" s="974"/>
      <c r="BIB80" s="974"/>
      <c r="BIC80" s="974"/>
      <c r="BID80" s="974"/>
      <c r="BIE80" s="974"/>
      <c r="BIF80" s="974"/>
      <c r="BIG80" s="974"/>
      <c r="BIH80" s="974"/>
      <c r="BII80" s="974"/>
      <c r="BIJ80" s="974"/>
      <c r="BIK80" s="974"/>
      <c r="BIL80" s="974"/>
      <c r="BIM80" s="974"/>
      <c r="BIN80" s="974"/>
      <c r="BIO80" s="974"/>
      <c r="BIP80" s="974"/>
      <c r="BIQ80" s="974"/>
      <c r="BIR80" s="974"/>
      <c r="BIS80" s="974"/>
      <c r="BIT80" s="974"/>
      <c r="BIU80" s="974"/>
      <c r="BIV80" s="974"/>
      <c r="BIW80" s="974"/>
      <c r="BIX80" s="974"/>
      <c r="BIY80" s="974"/>
      <c r="BIZ80" s="974"/>
      <c r="BJA80" s="974"/>
      <c r="BJB80" s="974"/>
      <c r="BJC80" s="974"/>
      <c r="BJD80" s="974"/>
      <c r="BJE80" s="974"/>
      <c r="BJF80" s="974"/>
      <c r="BJG80" s="974"/>
      <c r="BJH80" s="974"/>
      <c r="BJI80" s="974"/>
      <c r="BJJ80" s="974"/>
      <c r="BJK80" s="974"/>
      <c r="BJL80" s="974"/>
      <c r="BJM80" s="974"/>
      <c r="BJN80" s="974"/>
      <c r="BJO80" s="974"/>
      <c r="BJP80" s="974"/>
      <c r="BJQ80" s="974"/>
      <c r="BJR80" s="974"/>
      <c r="BJS80" s="974"/>
      <c r="BJT80" s="974"/>
      <c r="BJU80" s="974"/>
      <c r="BJV80" s="974"/>
      <c r="BJW80" s="974"/>
      <c r="BJX80" s="974"/>
      <c r="BJY80" s="974"/>
      <c r="BJZ80" s="974"/>
      <c r="BKA80" s="974"/>
      <c r="BKB80" s="974"/>
      <c r="BKC80" s="974"/>
      <c r="BKD80" s="974"/>
      <c r="BKE80" s="974"/>
      <c r="BKF80" s="974"/>
      <c r="BKG80" s="974"/>
      <c r="BKH80" s="974"/>
      <c r="BKI80" s="974"/>
      <c r="BKJ80" s="974"/>
      <c r="BKK80" s="974"/>
      <c r="BKL80" s="974"/>
      <c r="BKM80" s="974"/>
      <c r="BKN80" s="974"/>
      <c r="BKO80" s="974"/>
      <c r="BKP80" s="974"/>
      <c r="BKQ80" s="974"/>
      <c r="BKR80" s="974"/>
      <c r="BKS80" s="974"/>
      <c r="BKT80" s="974"/>
      <c r="BKU80" s="974"/>
      <c r="BKV80" s="974"/>
      <c r="BKW80" s="974"/>
      <c r="BKX80" s="974"/>
      <c r="BKY80" s="974"/>
      <c r="BKZ80" s="974"/>
      <c r="BLA80" s="974"/>
      <c r="BLB80" s="974"/>
      <c r="BLC80" s="974"/>
      <c r="BLD80" s="974"/>
      <c r="BLE80" s="974"/>
      <c r="BLF80" s="974"/>
      <c r="BLG80" s="974"/>
      <c r="BLH80" s="974"/>
      <c r="BLI80" s="974"/>
      <c r="BLJ80" s="974"/>
      <c r="BLK80" s="974"/>
      <c r="BLL80" s="974"/>
      <c r="BLM80" s="974"/>
      <c r="BLN80" s="974"/>
      <c r="BLO80" s="974"/>
      <c r="BLP80" s="974"/>
      <c r="BLQ80" s="974"/>
      <c r="BLR80" s="974"/>
      <c r="BLS80" s="974"/>
      <c r="BLT80" s="974"/>
      <c r="BLU80" s="974"/>
      <c r="BLV80" s="974"/>
      <c r="BLW80" s="974"/>
      <c r="BLX80" s="974"/>
      <c r="BLY80" s="974"/>
      <c r="BLZ80" s="974"/>
      <c r="BMA80" s="974"/>
      <c r="BMB80" s="974"/>
      <c r="BMC80" s="974"/>
      <c r="BMD80" s="974"/>
      <c r="BME80" s="974"/>
      <c r="BMF80" s="974"/>
      <c r="BMG80" s="974"/>
      <c r="BMH80" s="974"/>
      <c r="BMI80" s="974"/>
      <c r="BMJ80" s="974"/>
      <c r="BMK80" s="974"/>
      <c r="BML80" s="974"/>
      <c r="BMM80" s="974"/>
      <c r="BMN80" s="974"/>
      <c r="BMO80" s="974"/>
      <c r="BMP80" s="974"/>
      <c r="BMQ80" s="974"/>
      <c r="BMR80" s="974"/>
      <c r="BMS80" s="974"/>
      <c r="BMT80" s="974"/>
      <c r="BMU80" s="974"/>
      <c r="BMV80" s="974"/>
      <c r="BMW80" s="974"/>
      <c r="BMX80" s="974"/>
      <c r="BMY80" s="974"/>
      <c r="BMZ80" s="974"/>
      <c r="BNA80" s="974"/>
      <c r="BNB80" s="974"/>
      <c r="BNC80" s="974"/>
      <c r="BND80" s="974"/>
      <c r="BNE80" s="974"/>
      <c r="BNF80" s="974"/>
      <c r="BNG80" s="974"/>
      <c r="BNH80" s="974"/>
      <c r="BNI80" s="974"/>
      <c r="BNJ80" s="974"/>
      <c r="BNK80" s="974"/>
      <c r="BNL80" s="974"/>
      <c r="BNM80" s="974"/>
      <c r="BNN80" s="974"/>
      <c r="BNO80" s="974"/>
      <c r="BNP80" s="974"/>
      <c r="BNQ80" s="974"/>
      <c r="BNR80" s="974"/>
      <c r="BNS80" s="974"/>
      <c r="BNT80" s="974"/>
      <c r="BNU80" s="974"/>
      <c r="BNV80" s="974"/>
      <c r="BNW80" s="974"/>
      <c r="BNX80" s="974"/>
      <c r="BNY80" s="974"/>
      <c r="BNZ80" s="974"/>
      <c r="BOA80" s="974"/>
      <c r="BOB80" s="974"/>
      <c r="BOC80" s="974"/>
      <c r="BOD80" s="974"/>
      <c r="BOE80" s="974"/>
      <c r="BOF80" s="974"/>
      <c r="BOG80" s="974"/>
      <c r="BOH80" s="974"/>
      <c r="BOI80" s="974"/>
      <c r="BOJ80" s="974"/>
      <c r="BOK80" s="974"/>
      <c r="BOL80" s="974"/>
      <c r="BOM80" s="974"/>
      <c r="BON80" s="974"/>
      <c r="BOO80" s="974"/>
      <c r="BOP80" s="974"/>
      <c r="BOQ80" s="974"/>
      <c r="BOR80" s="974"/>
      <c r="BOS80" s="974"/>
      <c r="BOT80" s="974"/>
      <c r="BOU80" s="974"/>
      <c r="BOV80" s="974"/>
      <c r="BOW80" s="974"/>
      <c r="BOX80" s="974"/>
      <c r="BOY80" s="974"/>
      <c r="BOZ80" s="974"/>
      <c r="BPA80" s="974"/>
      <c r="BPB80" s="974"/>
      <c r="BPC80" s="974"/>
      <c r="BPD80" s="974"/>
      <c r="BPE80" s="974"/>
      <c r="BPF80" s="974"/>
      <c r="BPG80" s="974"/>
      <c r="BPH80" s="974"/>
      <c r="BPI80" s="974"/>
      <c r="BPJ80" s="974"/>
      <c r="BPK80" s="974"/>
      <c r="BPL80" s="974"/>
      <c r="BPM80" s="974"/>
      <c r="BPN80" s="974"/>
      <c r="BPO80" s="974"/>
      <c r="BPP80" s="974"/>
      <c r="BPQ80" s="974"/>
      <c r="BPR80" s="974"/>
      <c r="BPS80" s="974"/>
      <c r="BPT80" s="974"/>
      <c r="BPU80" s="974"/>
      <c r="BPV80" s="974"/>
      <c r="BPW80" s="974"/>
      <c r="BPX80" s="974"/>
      <c r="BPY80" s="974"/>
      <c r="BPZ80" s="974"/>
      <c r="BQA80" s="974"/>
      <c r="BQB80" s="974"/>
      <c r="BQC80" s="974"/>
      <c r="BQD80" s="974"/>
      <c r="BQE80" s="974"/>
      <c r="BQF80" s="974"/>
      <c r="BQG80" s="974"/>
      <c r="BQH80" s="974"/>
      <c r="BQI80" s="974"/>
      <c r="BQJ80" s="974"/>
      <c r="BQK80" s="974"/>
      <c r="BQL80" s="974"/>
      <c r="BQM80" s="974"/>
      <c r="BQN80" s="974"/>
      <c r="BQO80" s="974"/>
      <c r="BQP80" s="974"/>
      <c r="BQQ80" s="974"/>
      <c r="BQR80" s="974"/>
      <c r="BQS80" s="974"/>
      <c r="BQT80" s="974"/>
      <c r="BQU80" s="974"/>
      <c r="BQV80" s="974"/>
      <c r="BQW80" s="974"/>
      <c r="BQX80" s="974"/>
      <c r="BQY80" s="974"/>
      <c r="BQZ80" s="974"/>
      <c r="BRA80" s="974"/>
      <c r="BRB80" s="974"/>
      <c r="BRC80" s="974"/>
      <c r="BRD80" s="974"/>
      <c r="BRE80" s="974"/>
      <c r="BRF80" s="974"/>
      <c r="BRG80" s="974"/>
      <c r="BRH80" s="974"/>
      <c r="BRI80" s="974"/>
      <c r="BRJ80" s="974"/>
      <c r="BRK80" s="974"/>
      <c r="BRL80" s="974"/>
      <c r="BRM80" s="974"/>
      <c r="BRN80" s="974"/>
      <c r="BRO80" s="974"/>
      <c r="BRP80" s="974"/>
      <c r="BRQ80" s="974"/>
      <c r="BRR80" s="974"/>
      <c r="BRS80" s="974"/>
      <c r="BRT80" s="974"/>
      <c r="BRU80" s="974"/>
      <c r="BRV80" s="974"/>
      <c r="BRW80" s="974"/>
      <c r="BRX80" s="974"/>
      <c r="BRY80" s="974"/>
      <c r="BRZ80" s="974"/>
      <c r="BSA80" s="974"/>
      <c r="BSB80" s="974"/>
      <c r="BSC80" s="974"/>
      <c r="BSD80" s="974"/>
      <c r="BSE80" s="974"/>
      <c r="BSF80" s="974"/>
      <c r="BSG80" s="974"/>
      <c r="BSH80" s="974"/>
      <c r="BSI80" s="974"/>
      <c r="BSJ80" s="974"/>
      <c r="BSK80" s="974"/>
      <c r="BSL80" s="974"/>
      <c r="BSM80" s="974"/>
      <c r="BSN80" s="974"/>
      <c r="BSO80" s="974"/>
      <c r="BSP80" s="974"/>
      <c r="BSQ80" s="974"/>
      <c r="BSR80" s="974"/>
      <c r="BSS80" s="974"/>
      <c r="BST80" s="974"/>
      <c r="BSU80" s="974"/>
      <c r="BSV80" s="974"/>
      <c r="BSW80" s="974"/>
      <c r="BSX80" s="974"/>
      <c r="BSY80" s="974"/>
      <c r="BSZ80" s="974"/>
      <c r="BTA80" s="974"/>
      <c r="BTB80" s="974"/>
      <c r="BTC80" s="974"/>
      <c r="BTD80" s="974"/>
      <c r="BTE80" s="974"/>
      <c r="BTF80" s="974"/>
      <c r="BTG80" s="974"/>
      <c r="BTH80" s="974"/>
      <c r="BTI80" s="974"/>
      <c r="BTJ80" s="974"/>
      <c r="BTK80" s="974"/>
      <c r="BTL80" s="974"/>
      <c r="BTM80" s="974"/>
      <c r="BTN80" s="974"/>
      <c r="BTO80" s="974"/>
      <c r="BTP80" s="974"/>
      <c r="BTQ80" s="974"/>
      <c r="BTR80" s="974"/>
      <c r="BTS80" s="974"/>
      <c r="BTT80" s="974"/>
      <c r="BTU80" s="974"/>
      <c r="BTV80" s="974"/>
      <c r="BTW80" s="974"/>
      <c r="BTX80" s="974"/>
      <c r="BTY80" s="974"/>
      <c r="BTZ80" s="974"/>
      <c r="BUA80" s="974"/>
      <c r="BUB80" s="974"/>
      <c r="BUC80" s="974"/>
      <c r="BUD80" s="974"/>
      <c r="BUE80" s="974"/>
      <c r="BUF80" s="974"/>
      <c r="BUG80" s="974"/>
      <c r="BUH80" s="974"/>
      <c r="BUI80" s="974"/>
      <c r="BUJ80" s="974"/>
      <c r="BUK80" s="974"/>
      <c r="BUL80" s="974"/>
      <c r="BUM80" s="974"/>
      <c r="BUN80" s="974"/>
      <c r="BUO80" s="974"/>
      <c r="BUP80" s="974"/>
      <c r="BUQ80" s="974"/>
      <c r="BUR80" s="974"/>
      <c r="BUS80" s="974"/>
      <c r="BUT80" s="974"/>
      <c r="BUU80" s="974"/>
      <c r="BUV80" s="974"/>
      <c r="BUW80" s="974"/>
      <c r="BUX80" s="974"/>
      <c r="BUY80" s="974"/>
      <c r="BUZ80" s="974"/>
      <c r="BVA80" s="974"/>
      <c r="BVB80" s="974"/>
      <c r="BVC80" s="974"/>
      <c r="BVD80" s="974"/>
      <c r="BVE80" s="974"/>
      <c r="BVF80" s="974"/>
      <c r="BVG80" s="974"/>
      <c r="BVH80" s="974"/>
      <c r="BVI80" s="974"/>
      <c r="BVJ80" s="974"/>
      <c r="BVK80" s="974"/>
      <c r="BVL80" s="974"/>
      <c r="BVM80" s="974"/>
      <c r="BVN80" s="974"/>
      <c r="BVO80" s="974"/>
      <c r="BVP80" s="974"/>
      <c r="BVQ80" s="974"/>
      <c r="BVR80" s="974"/>
      <c r="BVS80" s="974"/>
      <c r="BVT80" s="974"/>
      <c r="BVU80" s="974"/>
      <c r="BVV80" s="974"/>
      <c r="BVW80" s="974"/>
      <c r="BVX80" s="974"/>
      <c r="BVY80" s="974"/>
      <c r="BVZ80" s="974"/>
      <c r="BWA80" s="974"/>
      <c r="BWB80" s="974"/>
      <c r="BWC80" s="974"/>
      <c r="BWD80" s="974"/>
      <c r="BWE80" s="974"/>
      <c r="BWF80" s="974"/>
      <c r="BWG80" s="974"/>
      <c r="BWH80" s="974"/>
      <c r="BWI80" s="974"/>
      <c r="BWJ80" s="974"/>
      <c r="BWK80" s="974"/>
      <c r="BWL80" s="974"/>
      <c r="BWM80" s="974"/>
      <c r="BWN80" s="974"/>
      <c r="BWO80" s="974"/>
      <c r="BWP80" s="974"/>
      <c r="BWQ80" s="974"/>
      <c r="BWR80" s="974"/>
      <c r="BWS80" s="974"/>
      <c r="BWT80" s="974"/>
      <c r="BWU80" s="974"/>
      <c r="BWV80" s="974"/>
      <c r="BWW80" s="974"/>
      <c r="BWX80" s="974"/>
      <c r="BWY80" s="974"/>
      <c r="BWZ80" s="974"/>
      <c r="BXA80" s="974"/>
      <c r="BXB80" s="974"/>
      <c r="BXC80" s="974"/>
      <c r="BXD80" s="974"/>
      <c r="BXE80" s="974"/>
      <c r="BXF80" s="974"/>
      <c r="BXG80" s="974"/>
      <c r="BXH80" s="974"/>
      <c r="BXI80" s="974"/>
      <c r="BXJ80" s="974"/>
      <c r="BXK80" s="974"/>
      <c r="BXL80" s="974"/>
      <c r="BXM80" s="974"/>
      <c r="BXN80" s="974"/>
      <c r="BXO80" s="974"/>
      <c r="BXP80" s="974"/>
      <c r="BXQ80" s="974"/>
      <c r="BXR80" s="974"/>
      <c r="BXS80" s="974"/>
      <c r="BXT80" s="974"/>
      <c r="BXU80" s="974"/>
      <c r="BXV80" s="974"/>
      <c r="BXW80" s="974"/>
      <c r="BXX80" s="974"/>
      <c r="BXY80" s="974"/>
      <c r="BXZ80" s="974"/>
      <c r="BYA80" s="974"/>
      <c r="BYB80" s="974"/>
      <c r="BYC80" s="974"/>
      <c r="BYD80" s="974"/>
      <c r="BYE80" s="974"/>
      <c r="BYF80" s="974"/>
      <c r="BYG80" s="974"/>
      <c r="BYH80" s="974"/>
      <c r="BYI80" s="974"/>
      <c r="BYJ80" s="974"/>
      <c r="BYK80" s="974"/>
      <c r="BYL80" s="974"/>
      <c r="BYM80" s="974"/>
      <c r="BYN80" s="974"/>
      <c r="BYO80" s="974"/>
      <c r="BYP80" s="974"/>
      <c r="BYQ80" s="974"/>
      <c r="BYR80" s="974"/>
      <c r="BYS80" s="974"/>
      <c r="BYT80" s="974"/>
      <c r="BYU80" s="974"/>
      <c r="BYV80" s="974"/>
      <c r="BYW80" s="974"/>
      <c r="BYX80" s="974"/>
      <c r="BYY80" s="974"/>
      <c r="BYZ80" s="974"/>
      <c r="BZA80" s="974"/>
      <c r="BZB80" s="974"/>
      <c r="BZC80" s="974"/>
      <c r="BZD80" s="974"/>
      <c r="BZE80" s="974"/>
      <c r="BZF80" s="974"/>
      <c r="BZG80" s="974"/>
      <c r="BZH80" s="974"/>
      <c r="BZI80" s="974"/>
      <c r="BZJ80" s="974"/>
      <c r="BZK80" s="974"/>
      <c r="BZL80" s="974"/>
      <c r="BZM80" s="974"/>
      <c r="BZN80" s="974"/>
      <c r="BZO80" s="974"/>
      <c r="BZP80" s="974"/>
      <c r="BZQ80" s="974"/>
      <c r="BZR80" s="974"/>
      <c r="BZS80" s="974"/>
      <c r="BZT80" s="974"/>
      <c r="BZU80" s="974"/>
      <c r="BZV80" s="974"/>
      <c r="BZW80" s="974"/>
      <c r="BZX80" s="974"/>
      <c r="BZY80" s="974"/>
      <c r="BZZ80" s="974"/>
      <c r="CAA80" s="974"/>
      <c r="CAB80" s="974"/>
      <c r="CAC80" s="974"/>
      <c r="CAD80" s="974"/>
      <c r="CAE80" s="974"/>
      <c r="CAF80" s="974"/>
      <c r="CAG80" s="974"/>
      <c r="CAH80" s="974"/>
      <c r="CAI80" s="974"/>
      <c r="CAJ80" s="974"/>
      <c r="CAK80" s="974"/>
      <c r="CAL80" s="974"/>
      <c r="CAM80" s="974"/>
      <c r="CAN80" s="974"/>
      <c r="CAO80" s="974"/>
      <c r="CAP80" s="974"/>
      <c r="CAQ80" s="974"/>
      <c r="CAR80" s="974"/>
      <c r="CAS80" s="974"/>
      <c r="CAT80" s="974"/>
      <c r="CAU80" s="974"/>
      <c r="CAV80" s="974"/>
      <c r="CAW80" s="974"/>
      <c r="CAX80" s="974"/>
      <c r="CAY80" s="974"/>
      <c r="CAZ80" s="974"/>
      <c r="CBA80" s="974"/>
      <c r="CBB80" s="974"/>
      <c r="CBC80" s="974"/>
      <c r="CBD80" s="974"/>
      <c r="CBE80" s="974"/>
      <c r="CBF80" s="974"/>
      <c r="CBG80" s="974"/>
      <c r="CBH80" s="974"/>
      <c r="CBI80" s="974"/>
      <c r="CBJ80" s="974"/>
      <c r="CBK80" s="974"/>
      <c r="CBL80" s="974"/>
      <c r="CBM80" s="974"/>
      <c r="CBN80" s="974"/>
      <c r="CBO80" s="974"/>
      <c r="CBP80" s="974"/>
      <c r="CBQ80" s="974"/>
      <c r="CBR80" s="974"/>
      <c r="CBS80" s="974"/>
      <c r="CBT80" s="974"/>
      <c r="CBU80" s="974"/>
      <c r="CBV80" s="974"/>
      <c r="CBW80" s="974"/>
      <c r="CBX80" s="974"/>
      <c r="CBY80" s="974"/>
      <c r="CBZ80" s="974"/>
      <c r="CCA80" s="974"/>
      <c r="CCB80" s="974"/>
      <c r="CCC80" s="974"/>
      <c r="CCD80" s="974"/>
      <c r="CCE80" s="974"/>
      <c r="CCF80" s="974"/>
      <c r="CCG80" s="974"/>
      <c r="CCH80" s="974"/>
      <c r="CCI80" s="974"/>
      <c r="CCJ80" s="974"/>
      <c r="CCK80" s="974"/>
      <c r="CCL80" s="974"/>
      <c r="CCM80" s="974"/>
      <c r="CCN80" s="974"/>
      <c r="CCO80" s="974"/>
      <c r="CCP80" s="974"/>
      <c r="CCQ80" s="974"/>
      <c r="CCR80" s="974"/>
      <c r="CCS80" s="974"/>
      <c r="CCT80" s="974"/>
      <c r="CCU80" s="974"/>
      <c r="CCV80" s="974"/>
      <c r="CCW80" s="974"/>
      <c r="CCX80" s="974"/>
      <c r="CCY80" s="974"/>
      <c r="CCZ80" s="974"/>
      <c r="CDA80" s="974"/>
      <c r="CDB80" s="974"/>
      <c r="CDC80" s="974"/>
      <c r="CDD80" s="974"/>
      <c r="CDE80" s="974"/>
      <c r="CDF80" s="974"/>
      <c r="CDG80" s="974"/>
      <c r="CDH80" s="974"/>
      <c r="CDI80" s="974"/>
      <c r="CDJ80" s="974"/>
      <c r="CDK80" s="974"/>
      <c r="CDL80" s="974"/>
      <c r="CDM80" s="974"/>
      <c r="CDN80" s="974"/>
      <c r="CDO80" s="974"/>
      <c r="CDP80" s="974"/>
      <c r="CDQ80" s="974"/>
      <c r="CDR80" s="974"/>
      <c r="CDS80" s="974"/>
      <c r="CDT80" s="974"/>
      <c r="CDU80" s="974"/>
      <c r="CDV80" s="974"/>
      <c r="CDW80" s="974"/>
      <c r="CDX80" s="974"/>
      <c r="CDY80" s="974"/>
      <c r="CDZ80" s="974"/>
      <c r="CEA80" s="974"/>
      <c r="CEB80" s="974"/>
      <c r="CEC80" s="974"/>
      <c r="CED80" s="974"/>
      <c r="CEE80" s="974"/>
      <c r="CEF80" s="974"/>
      <c r="CEG80" s="974"/>
      <c r="CEH80" s="974"/>
      <c r="CEI80" s="974"/>
      <c r="CEJ80" s="974"/>
      <c r="CEK80" s="974"/>
      <c r="CEL80" s="974"/>
      <c r="CEM80" s="974"/>
      <c r="CEN80" s="974"/>
      <c r="CEO80" s="974"/>
      <c r="CEP80" s="974"/>
      <c r="CEQ80" s="974"/>
      <c r="CER80" s="974"/>
      <c r="CES80" s="974"/>
      <c r="CET80" s="974"/>
      <c r="CEU80" s="974"/>
      <c r="CEV80" s="974"/>
      <c r="CEW80" s="974"/>
      <c r="CEX80" s="974"/>
      <c r="CEY80" s="974"/>
      <c r="CEZ80" s="974"/>
      <c r="CFA80" s="974"/>
      <c r="CFB80" s="974"/>
      <c r="CFC80" s="974"/>
      <c r="CFD80" s="974"/>
      <c r="CFE80" s="974"/>
      <c r="CFF80" s="974"/>
      <c r="CFG80" s="974"/>
      <c r="CFH80" s="974"/>
      <c r="CFI80" s="974"/>
      <c r="CFJ80" s="974"/>
      <c r="CFK80" s="974"/>
      <c r="CFL80" s="974"/>
      <c r="CFM80" s="974"/>
      <c r="CFN80" s="974"/>
      <c r="CFO80" s="974"/>
      <c r="CFP80" s="974"/>
      <c r="CFQ80" s="974"/>
      <c r="CFR80" s="974"/>
      <c r="CFS80" s="974"/>
      <c r="CFT80" s="974"/>
      <c r="CFU80" s="974"/>
      <c r="CFV80" s="974"/>
      <c r="CFW80" s="974"/>
      <c r="CFX80" s="974"/>
      <c r="CFY80" s="974"/>
      <c r="CFZ80" s="974"/>
      <c r="CGA80" s="974"/>
      <c r="CGB80" s="974"/>
      <c r="CGC80" s="974"/>
      <c r="CGD80" s="974"/>
      <c r="CGE80" s="974"/>
      <c r="CGF80" s="974"/>
      <c r="CGG80" s="974"/>
      <c r="CGH80" s="974"/>
      <c r="CGI80" s="974"/>
      <c r="CGJ80" s="974"/>
      <c r="CGK80" s="974"/>
      <c r="CGL80" s="974"/>
      <c r="CGM80" s="974"/>
      <c r="CGN80" s="974"/>
      <c r="CGO80" s="974"/>
      <c r="CGP80" s="974"/>
      <c r="CGQ80" s="974"/>
      <c r="CGR80" s="974"/>
      <c r="CGS80" s="974"/>
      <c r="CGT80" s="974"/>
      <c r="CGU80" s="974"/>
      <c r="CGV80" s="974"/>
      <c r="CGW80" s="974"/>
      <c r="CGX80" s="974"/>
      <c r="CGY80" s="974"/>
      <c r="CGZ80" s="974"/>
      <c r="CHA80" s="974"/>
      <c r="CHB80" s="974"/>
      <c r="CHC80" s="974"/>
      <c r="CHD80" s="974"/>
      <c r="CHE80" s="974"/>
      <c r="CHF80" s="974"/>
      <c r="CHG80" s="974"/>
      <c r="CHH80" s="974"/>
      <c r="CHI80" s="974"/>
      <c r="CHJ80" s="974"/>
      <c r="CHK80" s="974"/>
      <c r="CHL80" s="974"/>
      <c r="CHM80" s="974"/>
      <c r="CHN80" s="974"/>
      <c r="CHO80" s="974"/>
      <c r="CHP80" s="974"/>
      <c r="CHQ80" s="974"/>
      <c r="CHR80" s="974"/>
      <c r="CHS80" s="974"/>
      <c r="CHT80" s="974"/>
      <c r="CHU80" s="974"/>
      <c r="CHV80" s="974"/>
      <c r="CHW80" s="974"/>
      <c r="CHX80" s="974"/>
      <c r="CHY80" s="974"/>
      <c r="CHZ80" s="974"/>
      <c r="CIA80" s="974"/>
      <c r="CIB80" s="974"/>
      <c r="CIC80" s="974"/>
      <c r="CID80" s="974"/>
      <c r="CIE80" s="974"/>
      <c r="CIF80" s="974"/>
      <c r="CIG80" s="974"/>
      <c r="CIH80" s="974"/>
      <c r="CII80" s="974"/>
      <c r="CIJ80" s="974"/>
      <c r="CIK80" s="974"/>
      <c r="CIL80" s="974"/>
      <c r="CIM80" s="974"/>
      <c r="CIN80" s="974"/>
      <c r="CIO80" s="974"/>
      <c r="CIP80" s="974"/>
      <c r="CIQ80" s="974"/>
      <c r="CIR80" s="974"/>
      <c r="CIS80" s="974"/>
      <c r="CIT80" s="974"/>
      <c r="CIU80" s="974"/>
      <c r="CIV80" s="974"/>
      <c r="CIW80" s="974"/>
      <c r="CIX80" s="974"/>
      <c r="CIY80" s="974"/>
      <c r="CIZ80" s="974"/>
      <c r="CJA80" s="974"/>
      <c r="CJB80" s="974"/>
      <c r="CJC80" s="974"/>
      <c r="CJD80" s="974"/>
      <c r="CJE80" s="974"/>
      <c r="CJF80" s="974"/>
      <c r="CJG80" s="974"/>
      <c r="CJH80" s="974"/>
      <c r="CJI80" s="974"/>
      <c r="CJJ80" s="974"/>
      <c r="CJK80" s="974"/>
      <c r="CJL80" s="974"/>
      <c r="CJM80" s="974"/>
      <c r="CJN80" s="974"/>
      <c r="CJO80" s="974"/>
      <c r="CJP80" s="974"/>
      <c r="CJQ80" s="974"/>
      <c r="CJR80" s="974"/>
      <c r="CJS80" s="974"/>
      <c r="CJT80" s="974"/>
      <c r="CJU80" s="974"/>
      <c r="CJV80" s="974"/>
      <c r="CJW80" s="974"/>
      <c r="CJX80" s="974"/>
      <c r="CJY80" s="974"/>
      <c r="CJZ80" s="974"/>
      <c r="CKA80" s="974"/>
      <c r="CKB80" s="974"/>
      <c r="CKC80" s="974"/>
      <c r="CKD80" s="974"/>
      <c r="CKE80" s="974"/>
      <c r="CKF80" s="974"/>
      <c r="CKG80" s="974"/>
      <c r="CKH80" s="974"/>
      <c r="CKI80" s="974"/>
      <c r="CKJ80" s="974"/>
      <c r="CKK80" s="974"/>
      <c r="CKL80" s="974"/>
      <c r="CKM80" s="974"/>
      <c r="CKN80" s="974"/>
      <c r="CKO80" s="974"/>
      <c r="CKP80" s="974"/>
      <c r="CKQ80" s="974"/>
      <c r="CKR80" s="974"/>
      <c r="CKS80" s="974"/>
      <c r="CKT80" s="974"/>
      <c r="CKU80" s="974"/>
      <c r="CKV80" s="974"/>
      <c r="CKW80" s="974"/>
      <c r="CKX80" s="974"/>
      <c r="CKY80" s="974"/>
      <c r="CKZ80" s="974"/>
      <c r="CLA80" s="974"/>
      <c r="CLB80" s="974"/>
      <c r="CLC80" s="974"/>
      <c r="CLD80" s="974"/>
      <c r="CLE80" s="974"/>
      <c r="CLF80" s="974"/>
      <c r="CLG80" s="974"/>
      <c r="CLH80" s="974"/>
      <c r="CLI80" s="974"/>
      <c r="CLJ80" s="974"/>
      <c r="CLK80" s="974"/>
      <c r="CLL80" s="974"/>
      <c r="CLM80" s="974"/>
      <c r="CLN80" s="974"/>
      <c r="CLO80" s="974"/>
      <c r="CLP80" s="974"/>
      <c r="CLQ80" s="974"/>
      <c r="CLR80" s="974"/>
      <c r="CLS80" s="974"/>
      <c r="CLT80" s="974"/>
      <c r="CLU80" s="974"/>
      <c r="CLV80" s="974"/>
      <c r="CLW80" s="974"/>
      <c r="CLX80" s="974"/>
      <c r="CLY80" s="974"/>
      <c r="CLZ80" s="974"/>
      <c r="CMA80" s="974"/>
      <c r="CMB80" s="974"/>
      <c r="CMC80" s="974"/>
      <c r="CMD80" s="974"/>
      <c r="CME80" s="974"/>
      <c r="CMF80" s="974"/>
      <c r="CMG80" s="974"/>
      <c r="CMH80" s="974"/>
      <c r="CMI80" s="974"/>
      <c r="CMJ80" s="974"/>
      <c r="CMK80" s="974"/>
      <c r="CML80" s="974"/>
      <c r="CMM80" s="974"/>
      <c r="CMN80" s="974"/>
      <c r="CMO80" s="974"/>
      <c r="CMP80" s="974"/>
      <c r="CMQ80" s="974"/>
      <c r="CMR80" s="974"/>
      <c r="CMS80" s="974"/>
      <c r="CMT80" s="974"/>
      <c r="CMU80" s="974"/>
      <c r="CMV80" s="974"/>
      <c r="CMW80" s="974"/>
      <c r="CMX80" s="974"/>
      <c r="CMY80" s="974"/>
      <c r="CMZ80" s="974"/>
      <c r="CNA80" s="974"/>
      <c r="CNB80" s="974"/>
      <c r="CNC80" s="974"/>
      <c r="CND80" s="974"/>
      <c r="CNE80" s="974"/>
      <c r="CNF80" s="974"/>
      <c r="CNG80" s="974"/>
      <c r="CNH80" s="974"/>
      <c r="CNI80" s="974"/>
      <c r="CNJ80" s="974"/>
      <c r="CNK80" s="974"/>
      <c r="CNL80" s="974"/>
      <c r="CNM80" s="974"/>
      <c r="CNN80" s="974"/>
      <c r="CNO80" s="974"/>
      <c r="CNP80" s="974"/>
      <c r="CNQ80" s="974"/>
      <c r="CNR80" s="974"/>
      <c r="CNS80" s="974"/>
      <c r="CNT80" s="974"/>
      <c r="CNU80" s="974"/>
      <c r="CNV80" s="974"/>
      <c r="CNW80" s="974"/>
      <c r="CNX80" s="974"/>
      <c r="CNY80" s="974"/>
      <c r="CNZ80" s="974"/>
      <c r="COA80" s="974"/>
      <c r="COB80" s="974"/>
      <c r="COC80" s="974"/>
      <c r="COD80" s="974"/>
      <c r="COE80" s="974"/>
      <c r="COF80" s="974"/>
      <c r="COG80" s="974"/>
      <c r="COH80" s="974"/>
      <c r="COI80" s="974"/>
      <c r="COJ80" s="974"/>
      <c r="COK80" s="974"/>
      <c r="COL80" s="974"/>
      <c r="COM80" s="974"/>
      <c r="CON80" s="974"/>
      <c r="COO80" s="974"/>
      <c r="COP80" s="974"/>
      <c r="COQ80" s="974"/>
      <c r="COR80" s="974"/>
      <c r="COS80" s="974"/>
      <c r="COT80" s="974"/>
      <c r="COU80" s="974"/>
      <c r="COV80" s="974"/>
      <c r="COW80" s="974"/>
      <c r="COX80" s="974"/>
      <c r="COY80" s="974"/>
      <c r="COZ80" s="974"/>
      <c r="CPA80" s="974"/>
      <c r="CPB80" s="974"/>
      <c r="CPC80" s="974"/>
      <c r="CPD80" s="974"/>
      <c r="CPE80" s="974"/>
      <c r="CPF80" s="974"/>
      <c r="CPG80" s="974"/>
      <c r="CPH80" s="974"/>
      <c r="CPI80" s="974"/>
      <c r="CPJ80" s="974"/>
      <c r="CPK80" s="974"/>
      <c r="CPL80" s="974"/>
      <c r="CPM80" s="974"/>
      <c r="CPN80" s="974"/>
      <c r="CPO80" s="974"/>
      <c r="CPP80" s="974"/>
      <c r="CPQ80" s="974"/>
      <c r="CPR80" s="974"/>
      <c r="CPS80" s="974"/>
      <c r="CPT80" s="974"/>
      <c r="CPU80" s="974"/>
      <c r="CPV80" s="974"/>
      <c r="CPW80" s="974"/>
      <c r="CPX80" s="974"/>
      <c r="CPY80" s="974"/>
      <c r="CPZ80" s="974"/>
      <c r="CQA80" s="974"/>
      <c r="CQB80" s="974"/>
      <c r="CQC80" s="974"/>
      <c r="CQD80" s="974"/>
      <c r="CQE80" s="974"/>
      <c r="CQF80" s="974"/>
      <c r="CQG80" s="974"/>
      <c r="CQH80" s="974"/>
      <c r="CQI80" s="974"/>
      <c r="CQJ80" s="974"/>
      <c r="CQK80" s="974"/>
      <c r="CQL80" s="974"/>
      <c r="CQM80" s="974"/>
      <c r="CQN80" s="974"/>
      <c r="CQO80" s="974"/>
      <c r="CQP80" s="974"/>
      <c r="CQQ80" s="974"/>
      <c r="CQR80" s="974"/>
      <c r="CQS80" s="974"/>
      <c r="CQT80" s="974"/>
      <c r="CQU80" s="974"/>
      <c r="CQV80" s="974"/>
      <c r="CQW80" s="974"/>
      <c r="CQX80" s="974"/>
      <c r="CQY80" s="974"/>
      <c r="CQZ80" s="974"/>
      <c r="CRA80" s="974"/>
      <c r="CRB80" s="974"/>
      <c r="CRC80" s="974"/>
      <c r="CRD80" s="974"/>
      <c r="CRE80" s="974"/>
      <c r="CRF80" s="974"/>
      <c r="CRG80" s="974"/>
      <c r="CRH80" s="974"/>
      <c r="CRI80" s="974"/>
      <c r="CRJ80" s="974"/>
      <c r="CRK80" s="974"/>
      <c r="CRL80" s="974"/>
      <c r="CRM80" s="974"/>
      <c r="CRN80" s="974"/>
      <c r="CRO80" s="974"/>
      <c r="CRP80" s="974"/>
      <c r="CRQ80" s="974"/>
      <c r="CRR80" s="974"/>
      <c r="CRS80" s="974"/>
      <c r="CRT80" s="974"/>
      <c r="CRU80" s="974"/>
      <c r="CRV80" s="974"/>
      <c r="CRW80" s="974"/>
      <c r="CRX80" s="974"/>
      <c r="CRY80" s="974"/>
      <c r="CRZ80" s="974"/>
      <c r="CSA80" s="974"/>
      <c r="CSB80" s="974"/>
      <c r="CSC80" s="974"/>
      <c r="CSD80" s="974"/>
      <c r="CSE80" s="974"/>
      <c r="CSF80" s="974"/>
      <c r="CSG80" s="974"/>
      <c r="CSH80" s="974"/>
      <c r="CSI80" s="974"/>
      <c r="CSJ80" s="974"/>
      <c r="CSK80" s="974"/>
      <c r="CSL80" s="974"/>
      <c r="CSM80" s="974"/>
      <c r="CSN80" s="974"/>
      <c r="CSO80" s="974"/>
      <c r="CSP80" s="974"/>
      <c r="CSQ80" s="974"/>
      <c r="CSR80" s="974"/>
      <c r="CSS80" s="974"/>
      <c r="CST80" s="974"/>
      <c r="CSU80" s="974"/>
      <c r="CSV80" s="974"/>
      <c r="CSW80" s="974"/>
      <c r="CSX80" s="974"/>
      <c r="CSY80" s="974"/>
      <c r="CSZ80" s="974"/>
      <c r="CTA80" s="974"/>
      <c r="CTB80" s="974"/>
      <c r="CTC80" s="974"/>
      <c r="CTD80" s="974"/>
      <c r="CTE80" s="974"/>
      <c r="CTF80" s="974"/>
      <c r="CTG80" s="974"/>
      <c r="CTH80" s="974"/>
      <c r="CTI80" s="974"/>
      <c r="CTJ80" s="974"/>
      <c r="CTK80" s="974"/>
      <c r="CTL80" s="974"/>
      <c r="CTM80" s="974"/>
      <c r="CTN80" s="974"/>
      <c r="CTO80" s="974"/>
      <c r="CTP80" s="974"/>
      <c r="CTQ80" s="974"/>
      <c r="CTR80" s="974"/>
      <c r="CTS80" s="974"/>
      <c r="CTT80" s="974"/>
      <c r="CTU80" s="974"/>
      <c r="CTV80" s="974"/>
      <c r="CTW80" s="974"/>
      <c r="CTX80" s="974"/>
      <c r="CTY80" s="974"/>
      <c r="CTZ80" s="974"/>
      <c r="CUA80" s="974"/>
      <c r="CUB80" s="974"/>
      <c r="CUC80" s="974"/>
      <c r="CUD80" s="974"/>
      <c r="CUE80" s="974"/>
      <c r="CUF80" s="974"/>
      <c r="CUG80" s="974"/>
      <c r="CUH80" s="974"/>
      <c r="CUI80" s="974"/>
      <c r="CUJ80" s="974"/>
      <c r="CUK80" s="974"/>
      <c r="CUL80" s="974"/>
      <c r="CUM80" s="974"/>
      <c r="CUN80" s="974"/>
      <c r="CUO80" s="974"/>
      <c r="CUP80" s="974"/>
      <c r="CUQ80" s="974"/>
      <c r="CUR80" s="974"/>
      <c r="CUS80" s="974"/>
      <c r="CUT80" s="974"/>
      <c r="CUU80" s="974"/>
      <c r="CUV80" s="974"/>
      <c r="CUW80" s="974"/>
      <c r="CUX80" s="974"/>
      <c r="CUY80" s="974"/>
      <c r="CUZ80" s="974"/>
      <c r="CVA80" s="974"/>
      <c r="CVB80" s="974"/>
      <c r="CVC80" s="974"/>
      <c r="CVD80" s="974"/>
      <c r="CVE80" s="974"/>
      <c r="CVF80" s="974"/>
      <c r="CVG80" s="974"/>
      <c r="CVH80" s="974"/>
      <c r="CVI80" s="974"/>
      <c r="CVJ80" s="974"/>
      <c r="CVK80" s="974"/>
      <c r="CVL80" s="974"/>
      <c r="CVM80" s="974"/>
      <c r="CVN80" s="974"/>
      <c r="CVO80" s="974"/>
      <c r="CVP80" s="974"/>
      <c r="CVQ80" s="974"/>
      <c r="CVR80" s="974"/>
      <c r="CVS80" s="974"/>
      <c r="CVT80" s="974"/>
      <c r="CVU80" s="974"/>
      <c r="CVV80" s="974"/>
      <c r="CVW80" s="974"/>
      <c r="CVX80" s="974"/>
      <c r="CVY80" s="974"/>
      <c r="CVZ80" s="974"/>
      <c r="CWA80" s="974"/>
      <c r="CWB80" s="974"/>
      <c r="CWC80" s="974"/>
      <c r="CWD80" s="974"/>
      <c r="CWE80" s="974"/>
      <c r="CWF80" s="974"/>
      <c r="CWG80" s="974"/>
      <c r="CWH80" s="974"/>
      <c r="CWI80" s="974"/>
      <c r="CWJ80" s="974"/>
      <c r="CWK80" s="974"/>
      <c r="CWL80" s="974"/>
      <c r="CWM80" s="974"/>
      <c r="CWN80" s="974"/>
      <c r="CWO80" s="974"/>
      <c r="CWP80" s="974"/>
      <c r="CWQ80" s="974"/>
      <c r="CWR80" s="974"/>
      <c r="CWS80" s="974"/>
      <c r="CWT80" s="974"/>
      <c r="CWU80" s="974"/>
      <c r="CWV80" s="974"/>
      <c r="CWW80" s="974"/>
      <c r="CWX80" s="974"/>
      <c r="CWY80" s="974"/>
      <c r="CWZ80" s="974"/>
      <c r="CXA80" s="974"/>
      <c r="CXB80" s="974"/>
      <c r="CXC80" s="974"/>
      <c r="CXD80" s="974"/>
      <c r="CXE80" s="974"/>
      <c r="CXF80" s="974"/>
      <c r="CXG80" s="974"/>
      <c r="CXH80" s="974"/>
      <c r="CXI80" s="974"/>
      <c r="CXJ80" s="974"/>
      <c r="CXK80" s="974"/>
      <c r="CXL80" s="974"/>
      <c r="CXM80" s="974"/>
      <c r="CXN80" s="974"/>
      <c r="CXO80" s="974"/>
      <c r="CXP80" s="974"/>
      <c r="CXQ80" s="974"/>
      <c r="CXR80" s="974"/>
      <c r="CXS80" s="974"/>
      <c r="CXT80" s="974"/>
      <c r="CXU80" s="974"/>
      <c r="CXV80" s="974"/>
      <c r="CXW80" s="974"/>
      <c r="CXX80" s="974"/>
      <c r="CXY80" s="974"/>
      <c r="CXZ80" s="974"/>
      <c r="CYA80" s="974"/>
      <c r="CYB80" s="974"/>
      <c r="CYC80" s="974"/>
      <c r="CYD80" s="974"/>
      <c r="CYE80" s="974"/>
      <c r="CYF80" s="974"/>
      <c r="CYG80" s="974"/>
      <c r="CYH80" s="974"/>
      <c r="CYI80" s="974"/>
      <c r="CYJ80" s="974"/>
      <c r="CYK80" s="974"/>
      <c r="CYL80" s="974"/>
      <c r="CYM80" s="974"/>
      <c r="CYN80" s="974"/>
      <c r="CYO80" s="974"/>
      <c r="CYP80" s="974"/>
      <c r="CYQ80" s="974"/>
      <c r="CYR80" s="974"/>
      <c r="CYS80" s="974"/>
      <c r="CYT80" s="974"/>
      <c r="CYU80" s="974"/>
      <c r="CYV80" s="974"/>
      <c r="CYW80" s="974"/>
      <c r="CYX80" s="974"/>
      <c r="CYY80" s="974"/>
      <c r="CYZ80" s="974"/>
      <c r="CZA80" s="974"/>
      <c r="CZB80" s="974"/>
      <c r="CZC80" s="974"/>
      <c r="CZD80" s="974"/>
      <c r="CZE80" s="974"/>
      <c r="CZF80" s="974"/>
      <c r="CZG80" s="974"/>
      <c r="CZH80" s="974"/>
      <c r="CZI80" s="974"/>
      <c r="CZJ80" s="974"/>
      <c r="CZK80" s="974"/>
      <c r="CZL80" s="974"/>
      <c r="CZM80" s="974"/>
      <c r="CZN80" s="974"/>
      <c r="CZO80" s="974"/>
      <c r="CZP80" s="974"/>
      <c r="CZQ80" s="974"/>
      <c r="CZR80" s="974"/>
      <c r="CZS80" s="974"/>
      <c r="CZT80" s="974"/>
      <c r="CZU80" s="974"/>
      <c r="CZV80" s="974"/>
      <c r="CZW80" s="974"/>
      <c r="CZX80" s="974"/>
      <c r="CZY80" s="974"/>
      <c r="CZZ80" s="974"/>
      <c r="DAA80" s="974"/>
      <c r="DAB80" s="974"/>
      <c r="DAC80" s="974"/>
      <c r="DAD80" s="974"/>
      <c r="DAE80" s="974"/>
      <c r="DAF80" s="974"/>
      <c r="DAG80" s="974"/>
      <c r="DAH80" s="974"/>
      <c r="DAI80" s="974"/>
      <c r="DAJ80" s="974"/>
      <c r="DAK80" s="974"/>
      <c r="DAL80" s="974"/>
      <c r="DAM80" s="974"/>
      <c r="DAN80" s="974"/>
      <c r="DAO80" s="974"/>
      <c r="DAP80" s="974"/>
      <c r="DAQ80" s="974"/>
      <c r="DAR80" s="974"/>
      <c r="DAS80" s="974"/>
      <c r="DAT80" s="974"/>
      <c r="DAU80" s="974"/>
      <c r="DAV80" s="974"/>
      <c r="DAW80" s="974"/>
      <c r="DAX80" s="974"/>
      <c r="DAY80" s="974"/>
      <c r="DAZ80" s="974"/>
      <c r="DBA80" s="974"/>
      <c r="DBB80" s="974"/>
      <c r="DBC80" s="974"/>
      <c r="DBD80" s="974"/>
      <c r="DBE80" s="974"/>
      <c r="DBF80" s="974"/>
      <c r="DBG80" s="974"/>
      <c r="DBH80" s="974"/>
      <c r="DBI80" s="974"/>
      <c r="DBJ80" s="974"/>
      <c r="DBK80" s="974"/>
      <c r="DBL80" s="974"/>
      <c r="DBM80" s="974"/>
      <c r="DBN80" s="974"/>
      <c r="DBO80" s="974"/>
      <c r="DBP80" s="974"/>
      <c r="DBQ80" s="974"/>
      <c r="DBR80" s="974"/>
      <c r="DBS80" s="974"/>
      <c r="DBT80" s="974"/>
      <c r="DBU80" s="974"/>
      <c r="DBV80" s="974"/>
      <c r="DBW80" s="974"/>
      <c r="DBX80" s="974"/>
      <c r="DBY80" s="974"/>
      <c r="DBZ80" s="974"/>
      <c r="DCA80" s="974"/>
      <c r="DCB80" s="974"/>
      <c r="DCC80" s="974"/>
      <c r="DCD80" s="974"/>
      <c r="DCE80" s="974"/>
      <c r="DCF80" s="974"/>
      <c r="DCG80" s="974"/>
      <c r="DCH80" s="974"/>
      <c r="DCI80" s="974"/>
      <c r="DCJ80" s="974"/>
      <c r="DCK80" s="974"/>
      <c r="DCL80" s="974"/>
      <c r="DCM80" s="974"/>
      <c r="DCN80" s="974"/>
      <c r="DCO80" s="974"/>
      <c r="DCP80" s="974"/>
      <c r="DCQ80" s="974"/>
      <c r="DCR80" s="974"/>
      <c r="DCS80" s="974"/>
      <c r="DCT80" s="974"/>
      <c r="DCU80" s="974"/>
      <c r="DCV80" s="974"/>
      <c r="DCW80" s="974"/>
      <c r="DCX80" s="974"/>
      <c r="DCY80" s="974"/>
      <c r="DCZ80" s="974"/>
      <c r="DDA80" s="974"/>
      <c r="DDB80" s="974"/>
      <c r="DDC80" s="974"/>
      <c r="DDD80" s="974"/>
      <c r="DDE80" s="974"/>
      <c r="DDF80" s="974"/>
      <c r="DDG80" s="974"/>
      <c r="DDH80" s="974"/>
      <c r="DDI80" s="974"/>
      <c r="DDJ80" s="974"/>
      <c r="DDK80" s="974"/>
      <c r="DDL80" s="974"/>
      <c r="DDM80" s="974"/>
      <c r="DDN80" s="974"/>
      <c r="DDO80" s="974"/>
      <c r="DDP80" s="974"/>
      <c r="DDQ80" s="974"/>
      <c r="DDR80" s="974"/>
      <c r="DDS80" s="974"/>
      <c r="DDT80" s="974"/>
      <c r="DDU80" s="974"/>
      <c r="DDV80" s="974"/>
      <c r="DDW80" s="974"/>
      <c r="DDX80" s="974"/>
      <c r="DDY80" s="974"/>
      <c r="DDZ80" s="974"/>
      <c r="DEA80" s="974"/>
      <c r="DEB80" s="974"/>
      <c r="DEC80" s="974"/>
      <c r="DED80" s="974"/>
      <c r="DEE80" s="974"/>
      <c r="DEF80" s="974"/>
      <c r="DEG80" s="974"/>
      <c r="DEH80" s="974"/>
      <c r="DEI80" s="974"/>
      <c r="DEJ80" s="974"/>
      <c r="DEK80" s="974"/>
      <c r="DEL80" s="974"/>
      <c r="DEM80" s="974"/>
      <c r="DEN80" s="974"/>
      <c r="DEO80" s="974"/>
      <c r="DEP80" s="974"/>
      <c r="DEQ80" s="974"/>
      <c r="DER80" s="974"/>
      <c r="DES80" s="974"/>
      <c r="DET80" s="974"/>
      <c r="DEU80" s="974"/>
      <c r="DEV80" s="974"/>
      <c r="DEW80" s="974"/>
      <c r="DEX80" s="974"/>
      <c r="DEY80" s="974"/>
      <c r="DEZ80" s="974"/>
      <c r="DFA80" s="974"/>
      <c r="DFB80" s="974"/>
      <c r="DFC80" s="974"/>
      <c r="DFD80" s="974"/>
      <c r="DFE80" s="974"/>
      <c r="DFF80" s="974"/>
      <c r="DFG80" s="974"/>
      <c r="DFH80" s="974"/>
      <c r="DFI80" s="974"/>
      <c r="DFJ80" s="974"/>
      <c r="DFK80" s="974"/>
      <c r="DFL80" s="974"/>
      <c r="DFM80" s="974"/>
      <c r="DFN80" s="974"/>
      <c r="DFO80" s="974"/>
      <c r="DFP80" s="974"/>
      <c r="DFQ80" s="974"/>
      <c r="DFR80" s="974"/>
      <c r="DFS80" s="974"/>
      <c r="DFT80" s="974"/>
      <c r="DFU80" s="974"/>
      <c r="DFV80" s="974"/>
      <c r="DFW80" s="974"/>
      <c r="DFX80" s="974"/>
      <c r="DFY80" s="974"/>
      <c r="DFZ80" s="974"/>
      <c r="DGA80" s="974"/>
      <c r="DGB80" s="974"/>
      <c r="DGC80" s="974"/>
      <c r="DGD80" s="974"/>
      <c r="DGE80" s="974"/>
      <c r="DGF80" s="974"/>
      <c r="DGG80" s="974"/>
      <c r="DGH80" s="974"/>
      <c r="DGI80" s="974"/>
      <c r="DGJ80" s="974"/>
      <c r="DGK80" s="974"/>
      <c r="DGL80" s="974"/>
      <c r="DGM80" s="974"/>
      <c r="DGN80" s="974"/>
      <c r="DGO80" s="974"/>
      <c r="DGP80" s="974"/>
      <c r="DGQ80" s="974"/>
      <c r="DGR80" s="974"/>
      <c r="DGS80" s="974"/>
      <c r="DGT80" s="974"/>
      <c r="DGU80" s="974"/>
      <c r="DGV80" s="974"/>
      <c r="DGW80" s="974"/>
      <c r="DGX80" s="974"/>
      <c r="DGY80" s="974"/>
      <c r="DGZ80" s="974"/>
      <c r="DHA80" s="974"/>
      <c r="DHB80" s="974"/>
      <c r="DHC80" s="974"/>
      <c r="DHD80" s="974"/>
      <c r="DHE80" s="974"/>
      <c r="DHF80" s="974"/>
      <c r="DHG80" s="974"/>
      <c r="DHH80" s="974"/>
      <c r="DHI80" s="974"/>
      <c r="DHJ80" s="974"/>
      <c r="DHK80" s="974"/>
      <c r="DHL80" s="974"/>
      <c r="DHM80" s="974"/>
      <c r="DHN80" s="974"/>
      <c r="DHO80" s="974"/>
      <c r="DHP80" s="974"/>
      <c r="DHQ80" s="974"/>
      <c r="DHR80" s="974"/>
      <c r="DHS80" s="974"/>
      <c r="DHT80" s="974"/>
      <c r="DHU80" s="974"/>
      <c r="DHV80" s="974"/>
      <c r="DHW80" s="974"/>
      <c r="DHX80" s="974"/>
      <c r="DHY80" s="974"/>
      <c r="DHZ80" s="974"/>
      <c r="DIA80" s="974"/>
      <c r="DIB80" s="974"/>
      <c r="DIC80" s="974"/>
      <c r="DID80" s="974"/>
      <c r="DIE80" s="974"/>
      <c r="DIF80" s="974"/>
      <c r="DIG80" s="974"/>
      <c r="DIH80" s="974"/>
      <c r="DII80" s="974"/>
      <c r="DIJ80" s="974"/>
      <c r="DIK80" s="974"/>
      <c r="DIL80" s="974"/>
      <c r="DIM80" s="974"/>
      <c r="DIN80" s="974"/>
      <c r="DIO80" s="974"/>
      <c r="DIP80" s="974"/>
      <c r="DIQ80" s="974"/>
      <c r="DIR80" s="974"/>
      <c r="DIS80" s="974"/>
      <c r="DIT80" s="974"/>
      <c r="DIU80" s="974"/>
      <c r="DIV80" s="974"/>
      <c r="DIW80" s="974"/>
      <c r="DIX80" s="974"/>
      <c r="DIY80" s="974"/>
      <c r="DIZ80" s="974"/>
      <c r="DJA80" s="974"/>
      <c r="DJB80" s="974"/>
      <c r="DJC80" s="974"/>
      <c r="DJD80" s="974"/>
      <c r="DJE80" s="974"/>
      <c r="DJF80" s="974"/>
      <c r="DJG80" s="974"/>
      <c r="DJH80" s="974"/>
      <c r="DJI80" s="974"/>
      <c r="DJJ80" s="974"/>
      <c r="DJK80" s="974"/>
      <c r="DJL80" s="974"/>
      <c r="DJM80" s="974"/>
      <c r="DJN80" s="974"/>
      <c r="DJO80" s="974"/>
      <c r="DJP80" s="974"/>
      <c r="DJQ80" s="974"/>
      <c r="DJR80" s="974"/>
      <c r="DJS80" s="974"/>
      <c r="DJT80" s="974"/>
      <c r="DJU80" s="974"/>
      <c r="DJV80" s="974"/>
      <c r="DJW80" s="974"/>
      <c r="DJX80" s="974"/>
      <c r="DJY80" s="974"/>
      <c r="DJZ80" s="974"/>
      <c r="DKA80" s="974"/>
      <c r="DKB80" s="974"/>
      <c r="DKC80" s="974"/>
      <c r="DKD80" s="974"/>
      <c r="DKE80" s="974"/>
      <c r="DKF80" s="974"/>
      <c r="DKG80" s="974"/>
      <c r="DKH80" s="974"/>
      <c r="DKI80" s="974"/>
      <c r="DKJ80" s="974"/>
      <c r="DKK80" s="974"/>
      <c r="DKL80" s="974"/>
      <c r="DKM80" s="974"/>
      <c r="DKN80" s="974"/>
      <c r="DKO80" s="974"/>
      <c r="DKP80" s="974"/>
      <c r="DKQ80" s="974"/>
      <c r="DKR80" s="974"/>
      <c r="DKS80" s="974"/>
      <c r="DKT80" s="974"/>
      <c r="DKU80" s="974"/>
      <c r="DKV80" s="974"/>
      <c r="DKW80" s="974"/>
      <c r="DKX80" s="974"/>
      <c r="DKY80" s="974"/>
      <c r="DKZ80" s="974"/>
      <c r="DLA80" s="974"/>
      <c r="DLB80" s="974"/>
      <c r="DLC80" s="974"/>
      <c r="DLD80" s="974"/>
      <c r="DLE80" s="974"/>
      <c r="DLF80" s="974"/>
      <c r="DLG80" s="974"/>
      <c r="DLH80" s="974"/>
      <c r="DLI80" s="974"/>
      <c r="DLJ80" s="974"/>
      <c r="DLK80" s="974"/>
      <c r="DLL80" s="974"/>
      <c r="DLM80" s="974"/>
      <c r="DLN80" s="974"/>
      <c r="DLO80" s="974"/>
      <c r="DLP80" s="974"/>
      <c r="DLQ80" s="974"/>
      <c r="DLR80" s="974"/>
      <c r="DLS80" s="974"/>
      <c r="DLT80" s="974"/>
      <c r="DLU80" s="974"/>
      <c r="DLV80" s="974"/>
      <c r="DLW80" s="974"/>
      <c r="DLX80" s="974"/>
      <c r="DLY80" s="974"/>
      <c r="DLZ80" s="974"/>
      <c r="DMA80" s="974"/>
      <c r="DMB80" s="974"/>
      <c r="DMC80" s="974"/>
      <c r="DMD80" s="974"/>
      <c r="DME80" s="974"/>
      <c r="DMF80" s="974"/>
      <c r="DMG80" s="974"/>
      <c r="DMH80" s="974"/>
      <c r="DMI80" s="974"/>
      <c r="DMJ80" s="974"/>
      <c r="DMK80" s="974"/>
      <c r="DML80" s="974"/>
      <c r="DMM80" s="974"/>
      <c r="DMN80" s="974"/>
      <c r="DMO80" s="974"/>
      <c r="DMP80" s="974"/>
      <c r="DMQ80" s="974"/>
      <c r="DMR80" s="974"/>
      <c r="DMS80" s="974"/>
      <c r="DMT80" s="974"/>
      <c r="DMU80" s="974"/>
      <c r="DMV80" s="974"/>
      <c r="DMW80" s="974"/>
      <c r="DMX80" s="974"/>
      <c r="DMY80" s="974"/>
      <c r="DMZ80" s="974"/>
      <c r="DNA80" s="974"/>
      <c r="DNB80" s="974"/>
      <c r="DNC80" s="974"/>
      <c r="DND80" s="974"/>
      <c r="DNE80" s="974"/>
      <c r="DNF80" s="974"/>
      <c r="DNG80" s="974"/>
      <c r="DNH80" s="974"/>
      <c r="DNI80" s="974"/>
      <c r="DNJ80" s="974"/>
      <c r="DNK80" s="974"/>
      <c r="DNL80" s="974"/>
      <c r="DNM80" s="974"/>
      <c r="DNN80" s="974"/>
      <c r="DNO80" s="974"/>
      <c r="DNP80" s="974"/>
      <c r="DNQ80" s="974"/>
      <c r="DNR80" s="974"/>
      <c r="DNS80" s="974"/>
      <c r="DNT80" s="974"/>
      <c r="DNU80" s="974"/>
      <c r="DNV80" s="974"/>
      <c r="DNW80" s="974"/>
      <c r="DNX80" s="974"/>
      <c r="DNY80" s="974"/>
      <c r="DNZ80" s="974"/>
      <c r="DOA80" s="974"/>
      <c r="DOB80" s="974"/>
      <c r="DOC80" s="974"/>
      <c r="DOD80" s="974"/>
      <c r="DOE80" s="974"/>
      <c r="DOF80" s="974"/>
      <c r="DOG80" s="974"/>
      <c r="DOH80" s="974"/>
      <c r="DOI80" s="974"/>
      <c r="DOJ80" s="974"/>
      <c r="DOK80" s="974"/>
      <c r="DOL80" s="974"/>
      <c r="DOM80" s="974"/>
      <c r="DON80" s="974"/>
      <c r="DOO80" s="974"/>
      <c r="DOP80" s="974"/>
      <c r="DOQ80" s="974"/>
      <c r="DOR80" s="974"/>
      <c r="DOS80" s="974"/>
      <c r="DOT80" s="974"/>
      <c r="DOU80" s="974"/>
      <c r="DOV80" s="974"/>
      <c r="DOW80" s="974"/>
      <c r="DOX80" s="974"/>
      <c r="DOY80" s="974"/>
      <c r="DOZ80" s="974"/>
      <c r="DPA80" s="974"/>
      <c r="DPB80" s="974"/>
      <c r="DPC80" s="974"/>
      <c r="DPD80" s="974"/>
      <c r="DPE80" s="974"/>
      <c r="DPF80" s="974"/>
      <c r="DPG80" s="974"/>
      <c r="DPH80" s="974"/>
      <c r="DPI80" s="974"/>
      <c r="DPJ80" s="974"/>
      <c r="DPK80" s="974"/>
      <c r="DPL80" s="974"/>
      <c r="DPM80" s="974"/>
      <c r="DPN80" s="974"/>
      <c r="DPO80" s="974"/>
      <c r="DPP80" s="974"/>
      <c r="DPQ80" s="974"/>
      <c r="DPR80" s="974"/>
      <c r="DPS80" s="974"/>
      <c r="DPT80" s="974"/>
      <c r="DPU80" s="974"/>
      <c r="DPV80" s="974"/>
      <c r="DPW80" s="974"/>
      <c r="DPX80" s="974"/>
      <c r="DPY80" s="974"/>
      <c r="DPZ80" s="974"/>
      <c r="DQA80" s="974"/>
      <c r="DQB80" s="974"/>
      <c r="DQC80" s="974"/>
      <c r="DQD80" s="974"/>
      <c r="DQE80" s="974"/>
      <c r="DQF80" s="974"/>
      <c r="DQG80" s="974"/>
      <c r="DQH80" s="974"/>
      <c r="DQI80" s="974"/>
      <c r="DQJ80" s="974"/>
      <c r="DQK80" s="974"/>
      <c r="DQL80" s="974"/>
      <c r="DQM80" s="974"/>
      <c r="DQN80" s="974"/>
      <c r="DQO80" s="974"/>
      <c r="DQP80" s="974"/>
      <c r="DQQ80" s="974"/>
      <c r="DQR80" s="974"/>
      <c r="DQS80" s="974"/>
      <c r="DQT80" s="974"/>
      <c r="DQU80" s="974"/>
      <c r="DQV80" s="974"/>
      <c r="DQW80" s="974"/>
      <c r="DQX80" s="974"/>
      <c r="DQY80" s="974"/>
      <c r="DQZ80" s="974"/>
      <c r="DRA80" s="974"/>
      <c r="DRB80" s="974"/>
      <c r="DRC80" s="974"/>
      <c r="DRD80" s="974"/>
      <c r="DRE80" s="974"/>
      <c r="DRF80" s="974"/>
      <c r="DRG80" s="974"/>
      <c r="DRH80" s="974"/>
      <c r="DRI80" s="974"/>
      <c r="DRJ80" s="974"/>
      <c r="DRK80" s="974"/>
      <c r="DRL80" s="974"/>
      <c r="DRM80" s="974"/>
      <c r="DRN80" s="974"/>
      <c r="DRO80" s="974"/>
      <c r="DRP80" s="974"/>
      <c r="DRQ80" s="974"/>
      <c r="DRR80" s="974"/>
      <c r="DRS80" s="974"/>
      <c r="DRT80" s="974"/>
      <c r="DRU80" s="974"/>
      <c r="DRV80" s="974"/>
      <c r="DRW80" s="974"/>
      <c r="DRX80" s="974"/>
      <c r="DRY80" s="974"/>
      <c r="DRZ80" s="974"/>
      <c r="DSA80" s="974"/>
      <c r="DSB80" s="974"/>
      <c r="DSC80" s="974"/>
      <c r="DSD80" s="974"/>
      <c r="DSE80" s="974"/>
      <c r="DSF80" s="974"/>
      <c r="DSG80" s="974"/>
      <c r="DSH80" s="974"/>
      <c r="DSI80" s="974"/>
      <c r="DSJ80" s="974"/>
      <c r="DSK80" s="974"/>
      <c r="DSL80" s="974"/>
      <c r="DSM80" s="974"/>
      <c r="DSN80" s="974"/>
      <c r="DSO80" s="974"/>
      <c r="DSP80" s="974"/>
      <c r="DSQ80" s="974"/>
      <c r="DSR80" s="974"/>
      <c r="DSS80" s="974"/>
      <c r="DST80" s="974"/>
      <c r="DSU80" s="974"/>
      <c r="DSV80" s="974"/>
      <c r="DSW80" s="974"/>
      <c r="DSX80" s="974"/>
      <c r="DSY80" s="974"/>
      <c r="DSZ80" s="974"/>
      <c r="DTA80" s="974"/>
      <c r="DTB80" s="974"/>
      <c r="DTC80" s="974"/>
      <c r="DTD80" s="974"/>
      <c r="DTE80" s="974"/>
      <c r="DTF80" s="974"/>
      <c r="DTG80" s="974"/>
      <c r="DTH80" s="974"/>
      <c r="DTI80" s="974"/>
      <c r="DTJ80" s="974"/>
      <c r="DTK80" s="974"/>
      <c r="DTL80" s="974"/>
      <c r="DTM80" s="974"/>
      <c r="DTN80" s="974"/>
      <c r="DTO80" s="974"/>
      <c r="DTP80" s="974"/>
      <c r="DTQ80" s="974"/>
      <c r="DTR80" s="974"/>
      <c r="DTS80" s="974"/>
      <c r="DTT80" s="974"/>
      <c r="DTU80" s="974"/>
      <c r="DTV80" s="974"/>
      <c r="DTW80" s="974"/>
      <c r="DTX80" s="974"/>
      <c r="DTY80" s="974"/>
      <c r="DTZ80" s="974"/>
      <c r="DUA80" s="974"/>
      <c r="DUB80" s="974"/>
      <c r="DUC80" s="974"/>
      <c r="DUD80" s="974"/>
      <c r="DUE80" s="974"/>
      <c r="DUF80" s="974"/>
      <c r="DUG80" s="974"/>
      <c r="DUH80" s="974"/>
      <c r="DUI80" s="974"/>
      <c r="DUJ80" s="974"/>
      <c r="DUK80" s="974"/>
      <c r="DUL80" s="974"/>
      <c r="DUM80" s="974"/>
      <c r="DUN80" s="974"/>
      <c r="DUO80" s="974"/>
      <c r="DUP80" s="974"/>
      <c r="DUQ80" s="974"/>
      <c r="DUR80" s="974"/>
      <c r="DUS80" s="974"/>
      <c r="DUT80" s="974"/>
      <c r="DUU80" s="974"/>
      <c r="DUV80" s="974"/>
      <c r="DUW80" s="974"/>
      <c r="DUX80" s="974"/>
      <c r="DUY80" s="974"/>
      <c r="DUZ80" s="974"/>
      <c r="DVA80" s="974"/>
      <c r="DVB80" s="974"/>
      <c r="DVC80" s="974"/>
      <c r="DVD80" s="974"/>
      <c r="DVE80" s="974"/>
      <c r="DVF80" s="974"/>
      <c r="DVG80" s="974"/>
      <c r="DVH80" s="974"/>
      <c r="DVI80" s="974"/>
      <c r="DVJ80" s="974"/>
      <c r="DVK80" s="974"/>
      <c r="DVL80" s="974"/>
      <c r="DVM80" s="974"/>
      <c r="DVN80" s="974"/>
      <c r="DVO80" s="974"/>
      <c r="DVP80" s="974"/>
      <c r="DVQ80" s="974"/>
      <c r="DVR80" s="974"/>
      <c r="DVS80" s="974"/>
      <c r="DVT80" s="974"/>
      <c r="DVU80" s="974"/>
      <c r="DVV80" s="974"/>
      <c r="DVW80" s="974"/>
      <c r="DVX80" s="974"/>
      <c r="DVY80" s="974"/>
      <c r="DVZ80" s="974"/>
      <c r="DWA80" s="974"/>
      <c r="DWB80" s="974"/>
      <c r="DWC80" s="974"/>
      <c r="DWD80" s="974"/>
      <c r="DWE80" s="974"/>
      <c r="DWF80" s="974"/>
      <c r="DWG80" s="974"/>
      <c r="DWH80" s="974"/>
      <c r="DWI80" s="974"/>
      <c r="DWJ80" s="974"/>
      <c r="DWK80" s="974"/>
      <c r="DWL80" s="974"/>
      <c r="DWM80" s="974"/>
      <c r="DWN80" s="974"/>
      <c r="DWO80" s="974"/>
      <c r="DWP80" s="974"/>
      <c r="DWQ80" s="974"/>
      <c r="DWR80" s="974"/>
      <c r="DWS80" s="974"/>
      <c r="DWT80" s="974"/>
      <c r="DWU80" s="974"/>
      <c r="DWV80" s="974"/>
      <c r="DWW80" s="974"/>
      <c r="DWX80" s="974"/>
      <c r="DWY80" s="974"/>
      <c r="DWZ80" s="974"/>
      <c r="DXA80" s="974"/>
      <c r="DXB80" s="974"/>
      <c r="DXC80" s="974"/>
      <c r="DXD80" s="974"/>
      <c r="DXE80" s="974"/>
      <c r="DXF80" s="974"/>
      <c r="DXG80" s="974"/>
      <c r="DXH80" s="974"/>
      <c r="DXI80" s="974"/>
      <c r="DXJ80" s="974"/>
      <c r="DXK80" s="974"/>
      <c r="DXL80" s="974"/>
      <c r="DXM80" s="974"/>
      <c r="DXN80" s="974"/>
      <c r="DXO80" s="974"/>
      <c r="DXP80" s="974"/>
      <c r="DXQ80" s="974"/>
      <c r="DXR80" s="974"/>
      <c r="DXS80" s="974"/>
      <c r="DXT80" s="974"/>
      <c r="DXU80" s="974"/>
      <c r="DXV80" s="974"/>
      <c r="DXW80" s="974"/>
      <c r="DXX80" s="974"/>
      <c r="DXY80" s="974"/>
      <c r="DXZ80" s="974"/>
      <c r="DYA80" s="974"/>
      <c r="DYB80" s="974"/>
      <c r="DYC80" s="974"/>
      <c r="DYD80" s="974"/>
      <c r="DYE80" s="974"/>
      <c r="DYF80" s="974"/>
      <c r="DYG80" s="974"/>
      <c r="DYH80" s="974"/>
      <c r="DYI80" s="974"/>
      <c r="DYJ80" s="974"/>
      <c r="DYK80" s="974"/>
      <c r="DYL80" s="974"/>
      <c r="DYM80" s="974"/>
      <c r="DYN80" s="974"/>
      <c r="DYO80" s="974"/>
      <c r="DYP80" s="974"/>
      <c r="DYQ80" s="974"/>
      <c r="DYR80" s="974"/>
      <c r="DYS80" s="974"/>
      <c r="DYT80" s="974"/>
      <c r="DYU80" s="974"/>
      <c r="DYV80" s="974"/>
      <c r="DYW80" s="974"/>
      <c r="DYX80" s="974"/>
      <c r="DYY80" s="974"/>
      <c r="DYZ80" s="974"/>
      <c r="DZA80" s="974"/>
      <c r="DZB80" s="974"/>
      <c r="DZC80" s="974"/>
      <c r="DZD80" s="974"/>
      <c r="DZE80" s="974"/>
      <c r="DZF80" s="974"/>
      <c r="DZG80" s="974"/>
      <c r="DZH80" s="974"/>
      <c r="DZI80" s="974"/>
      <c r="DZJ80" s="974"/>
      <c r="DZK80" s="974"/>
      <c r="DZL80" s="974"/>
      <c r="DZM80" s="974"/>
      <c r="DZN80" s="974"/>
      <c r="DZO80" s="974"/>
      <c r="DZP80" s="974"/>
      <c r="DZQ80" s="974"/>
      <c r="DZR80" s="974"/>
      <c r="DZS80" s="974"/>
      <c r="DZT80" s="974"/>
      <c r="DZU80" s="974"/>
      <c r="DZV80" s="974"/>
      <c r="DZW80" s="974"/>
      <c r="DZX80" s="974"/>
      <c r="DZY80" s="974"/>
      <c r="DZZ80" s="974"/>
      <c r="EAA80" s="974"/>
      <c r="EAB80" s="974"/>
      <c r="EAC80" s="974"/>
      <c r="EAD80" s="974"/>
      <c r="EAE80" s="974"/>
      <c r="EAF80" s="974"/>
      <c r="EAG80" s="974"/>
      <c r="EAH80" s="974"/>
      <c r="EAI80" s="974"/>
      <c r="EAJ80" s="974"/>
      <c r="EAK80" s="974"/>
      <c r="EAL80" s="974"/>
      <c r="EAM80" s="974"/>
      <c r="EAN80" s="974"/>
      <c r="EAO80" s="974"/>
      <c r="EAP80" s="974"/>
      <c r="EAQ80" s="974"/>
      <c r="EAR80" s="974"/>
      <c r="EAS80" s="974"/>
      <c r="EAT80" s="974"/>
      <c r="EAU80" s="974"/>
      <c r="EAV80" s="974"/>
      <c r="EAW80" s="974"/>
      <c r="EAX80" s="974"/>
      <c r="EAY80" s="974"/>
      <c r="EAZ80" s="974"/>
      <c r="EBA80" s="974"/>
      <c r="EBB80" s="974"/>
      <c r="EBC80" s="974"/>
      <c r="EBD80" s="974"/>
      <c r="EBE80" s="974"/>
      <c r="EBF80" s="974"/>
      <c r="EBG80" s="974"/>
      <c r="EBH80" s="974"/>
      <c r="EBI80" s="974"/>
      <c r="EBJ80" s="974"/>
      <c r="EBK80" s="974"/>
      <c r="EBL80" s="974"/>
      <c r="EBM80" s="974"/>
      <c r="EBN80" s="974"/>
      <c r="EBO80" s="974"/>
      <c r="EBP80" s="974"/>
      <c r="EBQ80" s="974"/>
      <c r="EBR80" s="974"/>
      <c r="EBS80" s="974"/>
      <c r="EBT80" s="974"/>
      <c r="EBU80" s="974"/>
      <c r="EBV80" s="974"/>
      <c r="EBW80" s="974"/>
      <c r="EBX80" s="974"/>
      <c r="EBY80" s="974"/>
      <c r="EBZ80" s="974"/>
      <c r="ECA80" s="974"/>
      <c r="ECB80" s="974"/>
      <c r="ECC80" s="974"/>
      <c r="ECD80" s="974"/>
      <c r="ECE80" s="974"/>
      <c r="ECF80" s="974"/>
      <c r="ECG80" s="974"/>
      <c r="ECH80" s="974"/>
      <c r="ECI80" s="974"/>
      <c r="ECJ80" s="974"/>
      <c r="ECK80" s="974"/>
      <c r="ECL80" s="974"/>
      <c r="ECM80" s="974"/>
      <c r="ECN80" s="974"/>
      <c r="ECO80" s="974"/>
      <c r="ECP80" s="974"/>
      <c r="ECQ80" s="974"/>
      <c r="ECR80" s="974"/>
      <c r="ECS80" s="974"/>
      <c r="ECT80" s="974"/>
      <c r="ECU80" s="974"/>
      <c r="ECV80" s="974"/>
      <c r="ECW80" s="974"/>
      <c r="ECX80" s="974"/>
      <c r="ECY80" s="974"/>
      <c r="ECZ80" s="974"/>
      <c r="EDA80" s="974"/>
      <c r="EDB80" s="974"/>
      <c r="EDC80" s="974"/>
      <c r="EDD80" s="974"/>
      <c r="EDE80" s="974"/>
      <c r="EDF80" s="974"/>
      <c r="EDG80" s="974"/>
      <c r="EDH80" s="974"/>
      <c r="EDI80" s="974"/>
      <c r="EDJ80" s="974"/>
      <c r="EDK80" s="974"/>
      <c r="EDL80" s="974"/>
      <c r="EDM80" s="974"/>
      <c r="EDN80" s="974"/>
      <c r="EDO80" s="974"/>
      <c r="EDP80" s="974"/>
      <c r="EDQ80" s="974"/>
      <c r="EDR80" s="974"/>
      <c r="EDS80" s="974"/>
      <c r="EDT80" s="974"/>
      <c r="EDU80" s="974"/>
      <c r="EDV80" s="974"/>
      <c r="EDW80" s="974"/>
      <c r="EDX80" s="974"/>
      <c r="EDY80" s="974"/>
      <c r="EDZ80" s="974"/>
      <c r="EEA80" s="974"/>
      <c r="EEB80" s="974"/>
      <c r="EEC80" s="974"/>
      <c r="EED80" s="974"/>
      <c r="EEE80" s="974"/>
      <c r="EEF80" s="974"/>
      <c r="EEG80" s="974"/>
      <c r="EEH80" s="974"/>
      <c r="EEI80" s="974"/>
      <c r="EEJ80" s="974"/>
      <c r="EEK80" s="974"/>
      <c r="EEL80" s="974"/>
      <c r="EEM80" s="974"/>
      <c r="EEN80" s="974"/>
      <c r="EEO80" s="974"/>
      <c r="EEP80" s="974"/>
      <c r="EEQ80" s="974"/>
      <c r="EER80" s="974"/>
      <c r="EES80" s="974"/>
      <c r="EET80" s="974"/>
      <c r="EEU80" s="974"/>
      <c r="EEV80" s="974"/>
      <c r="EEW80" s="974"/>
      <c r="EEX80" s="974"/>
      <c r="EEY80" s="974"/>
      <c r="EEZ80" s="974"/>
      <c r="EFA80" s="974"/>
      <c r="EFB80" s="974"/>
      <c r="EFC80" s="974"/>
      <c r="EFD80" s="974"/>
      <c r="EFE80" s="974"/>
      <c r="EFF80" s="974"/>
      <c r="EFG80" s="974"/>
      <c r="EFH80" s="974"/>
      <c r="EFI80" s="974"/>
      <c r="EFJ80" s="974"/>
      <c r="EFK80" s="974"/>
      <c r="EFL80" s="974"/>
      <c r="EFM80" s="974"/>
      <c r="EFN80" s="974"/>
      <c r="EFO80" s="974"/>
      <c r="EFP80" s="974"/>
      <c r="EFQ80" s="974"/>
      <c r="EFR80" s="974"/>
      <c r="EFS80" s="974"/>
      <c r="EFT80" s="974"/>
      <c r="EFU80" s="974"/>
      <c r="EFV80" s="974"/>
      <c r="EFW80" s="974"/>
      <c r="EFX80" s="974"/>
      <c r="EFY80" s="974"/>
      <c r="EFZ80" s="974"/>
      <c r="EGA80" s="974"/>
      <c r="EGB80" s="974"/>
      <c r="EGC80" s="974"/>
      <c r="EGD80" s="974"/>
      <c r="EGE80" s="974"/>
      <c r="EGF80" s="974"/>
      <c r="EGG80" s="974"/>
      <c r="EGH80" s="974"/>
      <c r="EGI80" s="974"/>
      <c r="EGJ80" s="974"/>
      <c r="EGK80" s="974"/>
      <c r="EGL80" s="974"/>
      <c r="EGM80" s="974"/>
      <c r="EGN80" s="974"/>
      <c r="EGO80" s="974"/>
      <c r="EGP80" s="974"/>
      <c r="EGQ80" s="974"/>
      <c r="EGR80" s="974"/>
      <c r="EGS80" s="974"/>
      <c r="EGT80" s="974"/>
      <c r="EGU80" s="974"/>
      <c r="EGV80" s="974"/>
      <c r="EGW80" s="974"/>
      <c r="EGX80" s="974"/>
      <c r="EGY80" s="974"/>
      <c r="EGZ80" s="974"/>
      <c r="EHA80" s="974"/>
      <c r="EHB80" s="974"/>
      <c r="EHC80" s="974"/>
      <c r="EHD80" s="974"/>
      <c r="EHE80" s="974"/>
      <c r="EHF80" s="974"/>
      <c r="EHG80" s="974"/>
      <c r="EHH80" s="974"/>
      <c r="EHI80" s="974"/>
      <c r="EHJ80" s="974"/>
      <c r="EHK80" s="974"/>
      <c r="EHL80" s="974"/>
      <c r="EHM80" s="974"/>
      <c r="EHN80" s="974"/>
      <c r="EHO80" s="974"/>
      <c r="EHP80" s="974"/>
      <c r="EHQ80" s="974"/>
      <c r="EHR80" s="974"/>
      <c r="EHS80" s="974"/>
      <c r="EHT80" s="974"/>
      <c r="EHU80" s="974"/>
      <c r="EHV80" s="974"/>
      <c r="EHW80" s="974"/>
      <c r="EHX80" s="974"/>
      <c r="EHY80" s="974"/>
      <c r="EHZ80" s="974"/>
      <c r="EIA80" s="974"/>
      <c r="EIB80" s="974"/>
      <c r="EIC80" s="974"/>
      <c r="EID80" s="974"/>
      <c r="EIE80" s="974"/>
      <c r="EIF80" s="974"/>
      <c r="EIG80" s="974"/>
      <c r="EIH80" s="974"/>
      <c r="EII80" s="974"/>
      <c r="EIJ80" s="974"/>
      <c r="EIK80" s="974"/>
      <c r="EIL80" s="974"/>
      <c r="EIM80" s="974"/>
      <c r="EIN80" s="974"/>
      <c r="EIO80" s="974"/>
      <c r="EIP80" s="974"/>
      <c r="EIQ80" s="974"/>
      <c r="EIR80" s="974"/>
      <c r="EIS80" s="974"/>
      <c r="EIT80" s="974"/>
      <c r="EIU80" s="974"/>
      <c r="EIV80" s="974"/>
      <c r="EIW80" s="974"/>
      <c r="EIX80" s="974"/>
      <c r="EIY80" s="974"/>
      <c r="EIZ80" s="974"/>
      <c r="EJA80" s="974"/>
      <c r="EJB80" s="974"/>
      <c r="EJC80" s="974"/>
      <c r="EJD80" s="974"/>
      <c r="EJE80" s="974"/>
      <c r="EJF80" s="974"/>
      <c r="EJG80" s="974"/>
      <c r="EJH80" s="974"/>
      <c r="EJI80" s="974"/>
      <c r="EJJ80" s="974"/>
      <c r="EJK80" s="974"/>
      <c r="EJL80" s="974"/>
      <c r="EJM80" s="974"/>
      <c r="EJN80" s="974"/>
      <c r="EJO80" s="974"/>
      <c r="EJP80" s="974"/>
      <c r="EJQ80" s="974"/>
      <c r="EJR80" s="974"/>
      <c r="EJS80" s="974"/>
      <c r="EJT80" s="974"/>
      <c r="EJU80" s="974"/>
      <c r="EJV80" s="974"/>
      <c r="EJW80" s="974"/>
      <c r="EJX80" s="974"/>
      <c r="EJY80" s="974"/>
      <c r="EJZ80" s="974"/>
      <c r="EKA80" s="974"/>
      <c r="EKB80" s="974"/>
      <c r="EKC80" s="974"/>
      <c r="EKD80" s="974"/>
      <c r="EKE80" s="974"/>
      <c r="EKF80" s="974"/>
      <c r="EKG80" s="974"/>
      <c r="EKH80" s="974"/>
      <c r="EKI80" s="974"/>
      <c r="EKJ80" s="974"/>
      <c r="EKK80" s="974"/>
      <c r="EKL80" s="974"/>
      <c r="EKM80" s="974"/>
      <c r="EKN80" s="974"/>
      <c r="EKO80" s="974"/>
      <c r="EKP80" s="974"/>
      <c r="EKQ80" s="974"/>
      <c r="EKR80" s="974"/>
      <c r="EKS80" s="974"/>
      <c r="EKT80" s="974"/>
      <c r="EKU80" s="974"/>
      <c r="EKV80" s="974"/>
      <c r="EKW80" s="974"/>
      <c r="EKX80" s="974"/>
      <c r="EKY80" s="974"/>
      <c r="EKZ80" s="974"/>
      <c r="ELA80" s="974"/>
      <c r="ELB80" s="974"/>
      <c r="ELC80" s="974"/>
      <c r="ELD80" s="974"/>
      <c r="ELE80" s="974"/>
      <c r="ELF80" s="974"/>
      <c r="ELG80" s="974"/>
      <c r="ELH80" s="974"/>
      <c r="ELI80" s="974"/>
      <c r="ELJ80" s="974"/>
      <c r="ELK80" s="974"/>
      <c r="ELL80" s="974"/>
      <c r="ELM80" s="974"/>
      <c r="ELN80" s="974"/>
      <c r="ELO80" s="974"/>
      <c r="ELP80" s="974"/>
      <c r="ELQ80" s="974"/>
      <c r="ELR80" s="974"/>
      <c r="ELS80" s="974"/>
      <c r="ELT80" s="974"/>
      <c r="ELU80" s="974"/>
      <c r="ELV80" s="974"/>
      <c r="ELW80" s="974"/>
      <c r="ELX80" s="974"/>
      <c r="ELY80" s="974"/>
      <c r="ELZ80" s="974"/>
      <c r="EMA80" s="974"/>
      <c r="EMB80" s="974"/>
      <c r="EMC80" s="974"/>
      <c r="EMD80" s="974"/>
      <c r="EME80" s="974"/>
      <c r="EMF80" s="974"/>
      <c r="EMG80" s="974"/>
      <c r="EMH80" s="974"/>
      <c r="EMI80" s="974"/>
      <c r="EMJ80" s="974"/>
      <c r="EMK80" s="974"/>
      <c r="EML80" s="974"/>
      <c r="EMM80" s="974"/>
      <c r="EMN80" s="974"/>
      <c r="EMO80" s="974"/>
      <c r="EMP80" s="974"/>
      <c r="EMQ80" s="974"/>
      <c r="EMR80" s="974"/>
      <c r="EMS80" s="974"/>
      <c r="EMT80" s="974"/>
      <c r="EMU80" s="974"/>
      <c r="EMV80" s="974"/>
      <c r="EMW80" s="974"/>
      <c r="EMX80" s="974"/>
      <c r="EMY80" s="974"/>
      <c r="EMZ80" s="974"/>
      <c r="ENA80" s="974"/>
      <c r="ENB80" s="974"/>
      <c r="ENC80" s="974"/>
      <c r="END80" s="974"/>
      <c r="ENE80" s="974"/>
      <c r="ENF80" s="974"/>
      <c r="ENG80" s="974"/>
      <c r="ENH80" s="974"/>
      <c r="ENI80" s="974"/>
      <c r="ENJ80" s="974"/>
      <c r="ENK80" s="974"/>
      <c r="ENL80" s="974"/>
      <c r="ENM80" s="974"/>
      <c r="ENN80" s="974"/>
      <c r="ENO80" s="974"/>
      <c r="ENP80" s="974"/>
      <c r="ENQ80" s="974"/>
      <c r="ENR80" s="974"/>
      <c r="ENS80" s="974"/>
      <c r="ENT80" s="974"/>
      <c r="ENU80" s="974"/>
      <c r="ENV80" s="974"/>
      <c r="ENW80" s="974"/>
      <c r="ENX80" s="974"/>
      <c r="ENY80" s="974"/>
      <c r="ENZ80" s="974"/>
      <c r="EOA80" s="974"/>
      <c r="EOB80" s="974"/>
      <c r="EOC80" s="974"/>
      <c r="EOD80" s="974"/>
      <c r="EOE80" s="974"/>
      <c r="EOF80" s="974"/>
      <c r="EOG80" s="974"/>
      <c r="EOH80" s="974"/>
      <c r="EOI80" s="974"/>
      <c r="EOJ80" s="974"/>
      <c r="EOK80" s="974"/>
      <c r="EOL80" s="974"/>
      <c r="EOM80" s="974"/>
      <c r="EON80" s="974"/>
      <c r="EOO80" s="974"/>
      <c r="EOP80" s="974"/>
      <c r="EOQ80" s="974"/>
      <c r="EOR80" s="974"/>
      <c r="EOS80" s="974"/>
      <c r="EOT80" s="974"/>
      <c r="EOU80" s="974"/>
      <c r="EOV80" s="974"/>
      <c r="EOW80" s="974"/>
      <c r="EOX80" s="974"/>
      <c r="EOY80" s="974"/>
      <c r="EOZ80" s="974"/>
      <c r="EPA80" s="974"/>
      <c r="EPB80" s="974"/>
      <c r="EPC80" s="974"/>
      <c r="EPD80" s="974"/>
      <c r="EPE80" s="974"/>
      <c r="EPF80" s="974"/>
      <c r="EPG80" s="974"/>
      <c r="EPH80" s="974"/>
      <c r="EPI80" s="974"/>
      <c r="EPJ80" s="974"/>
      <c r="EPK80" s="974"/>
      <c r="EPL80" s="974"/>
      <c r="EPM80" s="974"/>
      <c r="EPN80" s="974"/>
      <c r="EPO80" s="974"/>
      <c r="EPP80" s="974"/>
      <c r="EPQ80" s="974"/>
      <c r="EPR80" s="974"/>
      <c r="EPS80" s="974"/>
      <c r="EPT80" s="974"/>
      <c r="EPU80" s="974"/>
      <c r="EPV80" s="974"/>
      <c r="EPW80" s="974"/>
      <c r="EPX80" s="974"/>
      <c r="EPY80" s="974"/>
      <c r="EPZ80" s="974"/>
      <c r="EQA80" s="974"/>
      <c r="EQB80" s="974"/>
      <c r="EQC80" s="974"/>
      <c r="EQD80" s="974"/>
      <c r="EQE80" s="974"/>
      <c r="EQF80" s="974"/>
      <c r="EQG80" s="974"/>
      <c r="EQH80" s="974"/>
      <c r="EQI80" s="974"/>
      <c r="EQJ80" s="974"/>
      <c r="EQK80" s="974"/>
      <c r="EQL80" s="974"/>
      <c r="EQM80" s="974"/>
      <c r="EQN80" s="974"/>
      <c r="EQO80" s="974"/>
      <c r="EQP80" s="974"/>
      <c r="EQQ80" s="974"/>
      <c r="EQR80" s="974"/>
      <c r="EQS80" s="974"/>
      <c r="EQT80" s="974"/>
      <c r="EQU80" s="974"/>
      <c r="EQV80" s="974"/>
      <c r="EQW80" s="974"/>
      <c r="EQX80" s="974"/>
      <c r="EQY80" s="974"/>
      <c r="EQZ80" s="974"/>
      <c r="ERA80" s="974"/>
      <c r="ERB80" s="974"/>
      <c r="ERC80" s="974"/>
      <c r="ERD80" s="974"/>
      <c r="ERE80" s="974"/>
      <c r="ERF80" s="974"/>
      <c r="ERG80" s="974"/>
      <c r="ERH80" s="974"/>
      <c r="ERI80" s="974"/>
      <c r="ERJ80" s="974"/>
      <c r="ERK80" s="974"/>
      <c r="ERL80" s="974"/>
      <c r="ERM80" s="974"/>
      <c r="ERN80" s="974"/>
      <c r="ERO80" s="974"/>
      <c r="ERP80" s="974"/>
      <c r="ERQ80" s="974"/>
      <c r="ERR80" s="974"/>
      <c r="ERS80" s="974"/>
      <c r="ERT80" s="974"/>
      <c r="ERU80" s="974"/>
      <c r="ERV80" s="974"/>
      <c r="ERW80" s="974"/>
      <c r="ERX80" s="974"/>
      <c r="ERY80" s="974"/>
      <c r="ERZ80" s="974"/>
      <c r="ESA80" s="974"/>
      <c r="ESB80" s="974"/>
      <c r="ESC80" s="974"/>
      <c r="ESD80" s="974"/>
      <c r="ESE80" s="974"/>
      <c r="ESF80" s="974"/>
      <c r="ESG80" s="974"/>
      <c r="ESH80" s="974"/>
      <c r="ESI80" s="974"/>
      <c r="ESJ80" s="974"/>
      <c r="ESK80" s="974"/>
      <c r="ESL80" s="974"/>
      <c r="ESM80" s="974"/>
      <c r="ESN80" s="974"/>
      <c r="ESO80" s="974"/>
      <c r="ESP80" s="974"/>
      <c r="ESQ80" s="974"/>
      <c r="ESR80" s="974"/>
      <c r="ESS80" s="974"/>
      <c r="EST80" s="974"/>
      <c r="ESU80" s="974"/>
      <c r="ESV80" s="974"/>
      <c r="ESW80" s="974"/>
      <c r="ESX80" s="974"/>
      <c r="ESY80" s="974"/>
      <c r="ESZ80" s="974"/>
      <c r="ETA80" s="974"/>
      <c r="ETB80" s="974"/>
      <c r="ETC80" s="974"/>
      <c r="ETD80" s="974"/>
      <c r="ETE80" s="974"/>
      <c r="ETF80" s="974"/>
      <c r="ETG80" s="974"/>
      <c r="ETH80" s="974"/>
      <c r="ETI80" s="974"/>
      <c r="ETJ80" s="974"/>
      <c r="ETK80" s="974"/>
      <c r="ETL80" s="974"/>
      <c r="ETM80" s="974"/>
      <c r="ETN80" s="974"/>
      <c r="ETO80" s="974"/>
      <c r="ETP80" s="974"/>
      <c r="ETQ80" s="974"/>
      <c r="ETR80" s="974"/>
      <c r="ETS80" s="974"/>
      <c r="ETT80" s="974"/>
      <c r="ETU80" s="974"/>
      <c r="ETV80" s="974"/>
      <c r="ETW80" s="974"/>
      <c r="ETX80" s="974"/>
      <c r="ETY80" s="974"/>
      <c r="ETZ80" s="974"/>
      <c r="EUA80" s="974"/>
      <c r="EUB80" s="974"/>
      <c r="EUC80" s="974"/>
      <c r="EUD80" s="974"/>
      <c r="EUE80" s="974"/>
      <c r="EUF80" s="974"/>
      <c r="EUG80" s="974"/>
      <c r="EUH80" s="974"/>
      <c r="EUI80" s="974"/>
      <c r="EUJ80" s="974"/>
      <c r="EUK80" s="974"/>
      <c r="EUL80" s="974"/>
      <c r="EUM80" s="974"/>
      <c r="EUN80" s="974"/>
      <c r="EUO80" s="974"/>
      <c r="EUP80" s="974"/>
      <c r="EUQ80" s="974"/>
      <c r="EUR80" s="974"/>
      <c r="EUS80" s="974"/>
      <c r="EUT80" s="974"/>
      <c r="EUU80" s="974"/>
      <c r="EUV80" s="974"/>
      <c r="EUW80" s="974"/>
      <c r="EUX80" s="974"/>
      <c r="EUY80" s="974"/>
      <c r="EUZ80" s="974"/>
      <c r="EVA80" s="974"/>
      <c r="EVB80" s="974"/>
      <c r="EVC80" s="974"/>
      <c r="EVD80" s="974"/>
      <c r="EVE80" s="974"/>
      <c r="EVF80" s="974"/>
      <c r="EVG80" s="974"/>
      <c r="EVH80" s="974"/>
      <c r="EVI80" s="974"/>
      <c r="EVJ80" s="974"/>
      <c r="EVK80" s="974"/>
      <c r="EVL80" s="974"/>
      <c r="EVM80" s="974"/>
      <c r="EVN80" s="974"/>
      <c r="EVO80" s="974"/>
      <c r="EVP80" s="974"/>
      <c r="EVQ80" s="974"/>
      <c r="EVR80" s="974"/>
      <c r="EVS80" s="974"/>
      <c r="EVT80" s="974"/>
      <c r="EVU80" s="974"/>
      <c r="EVV80" s="974"/>
      <c r="EVW80" s="974"/>
      <c r="EVX80" s="974"/>
      <c r="EVY80" s="974"/>
      <c r="EVZ80" s="974"/>
      <c r="EWA80" s="974"/>
      <c r="EWB80" s="974"/>
      <c r="EWC80" s="974"/>
      <c r="EWD80" s="974"/>
      <c r="EWE80" s="974"/>
      <c r="EWF80" s="974"/>
      <c r="EWG80" s="974"/>
      <c r="EWH80" s="974"/>
      <c r="EWI80" s="974"/>
      <c r="EWJ80" s="974"/>
      <c r="EWK80" s="974"/>
      <c r="EWL80" s="974"/>
      <c r="EWM80" s="974"/>
      <c r="EWN80" s="974"/>
      <c r="EWO80" s="974"/>
      <c r="EWP80" s="974"/>
      <c r="EWQ80" s="974"/>
      <c r="EWR80" s="974"/>
      <c r="EWS80" s="974"/>
      <c r="EWT80" s="974"/>
      <c r="EWU80" s="974"/>
      <c r="EWV80" s="974"/>
      <c r="EWW80" s="974"/>
      <c r="EWX80" s="974"/>
      <c r="EWY80" s="974"/>
      <c r="EWZ80" s="974"/>
      <c r="EXA80" s="974"/>
      <c r="EXB80" s="974"/>
      <c r="EXC80" s="974"/>
      <c r="EXD80" s="974"/>
      <c r="EXE80" s="974"/>
      <c r="EXF80" s="974"/>
      <c r="EXG80" s="974"/>
      <c r="EXH80" s="974"/>
      <c r="EXI80" s="974"/>
      <c r="EXJ80" s="974"/>
      <c r="EXK80" s="974"/>
      <c r="EXL80" s="974"/>
      <c r="EXM80" s="974"/>
      <c r="EXN80" s="974"/>
      <c r="EXO80" s="974"/>
      <c r="EXP80" s="974"/>
      <c r="EXQ80" s="974"/>
      <c r="EXR80" s="974"/>
      <c r="EXS80" s="974"/>
      <c r="EXT80" s="974"/>
      <c r="EXU80" s="974"/>
      <c r="EXV80" s="974"/>
      <c r="EXW80" s="974"/>
      <c r="EXX80" s="974"/>
      <c r="EXY80" s="974"/>
      <c r="EXZ80" s="974"/>
      <c r="EYA80" s="974"/>
      <c r="EYB80" s="974"/>
      <c r="EYC80" s="974"/>
      <c r="EYD80" s="974"/>
      <c r="EYE80" s="974"/>
      <c r="EYF80" s="974"/>
      <c r="EYG80" s="974"/>
      <c r="EYH80" s="974"/>
      <c r="EYI80" s="974"/>
      <c r="EYJ80" s="974"/>
      <c r="EYK80" s="974"/>
      <c r="EYL80" s="974"/>
      <c r="EYM80" s="974"/>
      <c r="EYN80" s="974"/>
      <c r="EYO80" s="974"/>
      <c r="EYP80" s="974"/>
      <c r="EYQ80" s="974"/>
      <c r="EYR80" s="974"/>
      <c r="EYS80" s="974"/>
      <c r="EYT80" s="974"/>
      <c r="EYU80" s="974"/>
      <c r="EYV80" s="974"/>
      <c r="EYW80" s="974"/>
      <c r="EYX80" s="974"/>
      <c r="EYY80" s="974"/>
      <c r="EYZ80" s="974"/>
      <c r="EZA80" s="974"/>
      <c r="EZB80" s="974"/>
      <c r="EZC80" s="974"/>
      <c r="EZD80" s="974"/>
      <c r="EZE80" s="974"/>
      <c r="EZF80" s="974"/>
      <c r="EZG80" s="974"/>
      <c r="EZH80" s="974"/>
      <c r="EZI80" s="974"/>
      <c r="EZJ80" s="974"/>
      <c r="EZK80" s="974"/>
      <c r="EZL80" s="974"/>
      <c r="EZM80" s="974"/>
      <c r="EZN80" s="974"/>
      <c r="EZO80" s="974"/>
      <c r="EZP80" s="974"/>
      <c r="EZQ80" s="974"/>
      <c r="EZR80" s="974"/>
      <c r="EZS80" s="974"/>
      <c r="EZT80" s="974"/>
      <c r="EZU80" s="974"/>
      <c r="EZV80" s="974"/>
      <c r="EZW80" s="974"/>
      <c r="EZX80" s="974"/>
      <c r="EZY80" s="974"/>
      <c r="EZZ80" s="974"/>
      <c r="FAA80" s="974"/>
      <c r="FAB80" s="974"/>
      <c r="FAC80" s="974"/>
      <c r="FAD80" s="974"/>
      <c r="FAE80" s="974"/>
      <c r="FAF80" s="974"/>
      <c r="FAG80" s="974"/>
      <c r="FAH80" s="974"/>
      <c r="FAI80" s="974"/>
      <c r="FAJ80" s="974"/>
      <c r="FAK80" s="974"/>
      <c r="FAL80" s="974"/>
      <c r="FAM80" s="974"/>
      <c r="FAN80" s="974"/>
      <c r="FAO80" s="974"/>
      <c r="FAP80" s="974"/>
      <c r="FAQ80" s="974"/>
      <c r="FAR80" s="974"/>
      <c r="FAS80" s="974"/>
      <c r="FAT80" s="974"/>
      <c r="FAU80" s="974"/>
      <c r="FAV80" s="974"/>
      <c r="FAW80" s="974"/>
      <c r="FAX80" s="974"/>
      <c r="FAY80" s="974"/>
      <c r="FAZ80" s="974"/>
      <c r="FBA80" s="974"/>
      <c r="FBB80" s="974"/>
      <c r="FBC80" s="974"/>
      <c r="FBD80" s="974"/>
      <c r="FBE80" s="974"/>
      <c r="FBF80" s="974"/>
      <c r="FBG80" s="974"/>
      <c r="FBH80" s="974"/>
      <c r="FBI80" s="974"/>
      <c r="FBJ80" s="974"/>
      <c r="FBK80" s="974"/>
      <c r="FBL80" s="974"/>
      <c r="FBM80" s="974"/>
      <c r="FBN80" s="974"/>
      <c r="FBO80" s="974"/>
      <c r="FBP80" s="974"/>
      <c r="FBQ80" s="974"/>
      <c r="FBR80" s="974"/>
      <c r="FBS80" s="974"/>
      <c r="FBT80" s="974"/>
      <c r="FBU80" s="974"/>
      <c r="FBV80" s="974"/>
      <c r="FBW80" s="974"/>
      <c r="FBX80" s="974"/>
      <c r="FBY80" s="974"/>
      <c r="FBZ80" s="974"/>
      <c r="FCA80" s="974"/>
      <c r="FCB80" s="974"/>
      <c r="FCC80" s="974"/>
      <c r="FCD80" s="974"/>
      <c r="FCE80" s="974"/>
      <c r="FCF80" s="974"/>
      <c r="FCG80" s="974"/>
      <c r="FCH80" s="974"/>
      <c r="FCI80" s="974"/>
      <c r="FCJ80" s="974"/>
      <c r="FCK80" s="974"/>
      <c r="FCL80" s="974"/>
      <c r="FCM80" s="974"/>
      <c r="FCN80" s="974"/>
      <c r="FCO80" s="974"/>
      <c r="FCP80" s="974"/>
      <c r="FCQ80" s="974"/>
      <c r="FCR80" s="974"/>
      <c r="FCS80" s="974"/>
      <c r="FCT80" s="974"/>
      <c r="FCU80" s="974"/>
      <c r="FCV80" s="974"/>
      <c r="FCW80" s="974"/>
      <c r="FCX80" s="974"/>
      <c r="FCY80" s="974"/>
      <c r="FCZ80" s="974"/>
      <c r="FDA80" s="974"/>
      <c r="FDB80" s="974"/>
      <c r="FDC80" s="974"/>
      <c r="FDD80" s="974"/>
      <c r="FDE80" s="974"/>
      <c r="FDF80" s="974"/>
      <c r="FDG80" s="974"/>
      <c r="FDH80" s="974"/>
      <c r="FDI80" s="974"/>
      <c r="FDJ80" s="974"/>
      <c r="FDK80" s="974"/>
      <c r="FDL80" s="974"/>
      <c r="FDM80" s="974"/>
      <c r="FDN80" s="974"/>
      <c r="FDO80" s="974"/>
      <c r="FDP80" s="974"/>
      <c r="FDQ80" s="974"/>
      <c r="FDR80" s="974"/>
      <c r="FDS80" s="974"/>
      <c r="FDT80" s="974"/>
      <c r="FDU80" s="974"/>
      <c r="FDV80" s="974"/>
      <c r="FDW80" s="974"/>
      <c r="FDX80" s="974"/>
      <c r="FDY80" s="974"/>
      <c r="FDZ80" s="974"/>
      <c r="FEA80" s="974"/>
      <c r="FEB80" s="974"/>
      <c r="FEC80" s="974"/>
      <c r="FED80" s="974"/>
      <c r="FEE80" s="974"/>
      <c r="FEF80" s="974"/>
      <c r="FEG80" s="974"/>
      <c r="FEH80" s="974"/>
      <c r="FEI80" s="974"/>
      <c r="FEJ80" s="974"/>
      <c r="FEK80" s="974"/>
      <c r="FEL80" s="974"/>
      <c r="FEM80" s="974"/>
      <c r="FEN80" s="974"/>
      <c r="FEO80" s="974"/>
      <c r="FEP80" s="974"/>
      <c r="FEQ80" s="974"/>
      <c r="FER80" s="974"/>
      <c r="FES80" s="974"/>
      <c r="FET80" s="974"/>
      <c r="FEU80" s="974"/>
      <c r="FEV80" s="974"/>
      <c r="FEW80" s="974"/>
      <c r="FEX80" s="974"/>
      <c r="FEY80" s="974"/>
      <c r="FEZ80" s="974"/>
      <c r="FFA80" s="974"/>
      <c r="FFB80" s="974"/>
      <c r="FFC80" s="974"/>
      <c r="FFD80" s="974"/>
      <c r="FFE80" s="974"/>
      <c r="FFF80" s="974"/>
      <c r="FFG80" s="974"/>
      <c r="FFH80" s="974"/>
      <c r="FFI80" s="974"/>
      <c r="FFJ80" s="974"/>
      <c r="FFK80" s="974"/>
      <c r="FFL80" s="974"/>
      <c r="FFM80" s="974"/>
      <c r="FFN80" s="974"/>
      <c r="FFO80" s="974"/>
      <c r="FFP80" s="974"/>
      <c r="FFQ80" s="974"/>
      <c r="FFR80" s="974"/>
      <c r="FFS80" s="974"/>
      <c r="FFT80" s="974"/>
      <c r="FFU80" s="974"/>
      <c r="FFV80" s="974"/>
      <c r="FFW80" s="974"/>
      <c r="FFX80" s="974"/>
      <c r="FFY80" s="974"/>
      <c r="FFZ80" s="974"/>
      <c r="FGA80" s="974"/>
      <c r="FGB80" s="974"/>
      <c r="FGC80" s="974"/>
      <c r="FGD80" s="974"/>
      <c r="FGE80" s="974"/>
      <c r="FGF80" s="974"/>
      <c r="FGG80" s="974"/>
      <c r="FGH80" s="974"/>
      <c r="FGI80" s="974"/>
      <c r="FGJ80" s="974"/>
      <c r="FGK80" s="974"/>
      <c r="FGL80" s="974"/>
      <c r="FGM80" s="974"/>
      <c r="FGN80" s="974"/>
      <c r="FGO80" s="974"/>
      <c r="FGP80" s="974"/>
      <c r="FGQ80" s="974"/>
      <c r="FGR80" s="974"/>
      <c r="FGS80" s="974"/>
      <c r="FGT80" s="974"/>
      <c r="FGU80" s="974"/>
      <c r="FGV80" s="974"/>
      <c r="FGW80" s="974"/>
      <c r="FGX80" s="974"/>
      <c r="FGY80" s="974"/>
      <c r="FGZ80" s="974"/>
      <c r="FHA80" s="974"/>
      <c r="FHB80" s="974"/>
      <c r="FHC80" s="974"/>
      <c r="FHD80" s="974"/>
      <c r="FHE80" s="974"/>
      <c r="FHF80" s="974"/>
      <c r="FHG80" s="974"/>
      <c r="FHH80" s="974"/>
      <c r="FHI80" s="974"/>
      <c r="FHJ80" s="974"/>
      <c r="FHK80" s="974"/>
      <c r="FHL80" s="974"/>
      <c r="FHM80" s="974"/>
      <c r="FHN80" s="974"/>
      <c r="FHO80" s="974"/>
      <c r="FHP80" s="974"/>
      <c r="FHQ80" s="974"/>
      <c r="FHR80" s="974"/>
      <c r="FHS80" s="974"/>
      <c r="FHT80" s="974"/>
      <c r="FHU80" s="974"/>
      <c r="FHV80" s="974"/>
      <c r="FHW80" s="974"/>
      <c r="FHX80" s="974"/>
      <c r="FHY80" s="974"/>
      <c r="FHZ80" s="974"/>
      <c r="FIA80" s="974"/>
      <c r="FIB80" s="974"/>
      <c r="FIC80" s="974"/>
      <c r="FID80" s="974"/>
      <c r="FIE80" s="974"/>
      <c r="FIF80" s="974"/>
      <c r="FIG80" s="974"/>
      <c r="FIH80" s="974"/>
      <c r="FII80" s="974"/>
      <c r="FIJ80" s="974"/>
      <c r="FIK80" s="974"/>
      <c r="FIL80" s="974"/>
      <c r="FIM80" s="974"/>
      <c r="FIN80" s="974"/>
      <c r="FIO80" s="974"/>
      <c r="FIP80" s="974"/>
      <c r="FIQ80" s="974"/>
      <c r="FIR80" s="974"/>
      <c r="FIS80" s="974"/>
      <c r="FIT80" s="974"/>
      <c r="FIU80" s="974"/>
      <c r="FIV80" s="974"/>
      <c r="FIW80" s="974"/>
      <c r="FIX80" s="974"/>
      <c r="FIY80" s="974"/>
      <c r="FIZ80" s="974"/>
      <c r="FJA80" s="974"/>
      <c r="FJB80" s="974"/>
      <c r="FJC80" s="974"/>
      <c r="FJD80" s="974"/>
      <c r="FJE80" s="974"/>
      <c r="FJF80" s="974"/>
      <c r="FJG80" s="974"/>
      <c r="FJH80" s="974"/>
      <c r="FJI80" s="974"/>
      <c r="FJJ80" s="974"/>
      <c r="FJK80" s="974"/>
      <c r="FJL80" s="974"/>
      <c r="FJM80" s="974"/>
      <c r="FJN80" s="974"/>
      <c r="FJO80" s="974"/>
      <c r="FJP80" s="974"/>
      <c r="FJQ80" s="974"/>
      <c r="FJR80" s="974"/>
      <c r="FJS80" s="974"/>
      <c r="FJT80" s="974"/>
      <c r="FJU80" s="974"/>
      <c r="FJV80" s="974"/>
      <c r="FJW80" s="974"/>
      <c r="FJX80" s="974"/>
      <c r="FJY80" s="974"/>
      <c r="FJZ80" s="974"/>
      <c r="FKA80" s="974"/>
      <c r="FKB80" s="974"/>
      <c r="FKC80" s="974"/>
      <c r="FKD80" s="974"/>
      <c r="FKE80" s="974"/>
      <c r="FKF80" s="974"/>
      <c r="FKG80" s="974"/>
      <c r="FKH80" s="974"/>
      <c r="FKI80" s="974"/>
      <c r="FKJ80" s="974"/>
      <c r="FKK80" s="974"/>
      <c r="FKL80" s="974"/>
      <c r="FKM80" s="974"/>
      <c r="FKN80" s="974"/>
      <c r="FKO80" s="974"/>
      <c r="FKP80" s="974"/>
      <c r="FKQ80" s="974"/>
      <c r="FKR80" s="974"/>
      <c r="FKS80" s="974"/>
      <c r="FKT80" s="974"/>
      <c r="FKU80" s="974"/>
      <c r="FKV80" s="974"/>
      <c r="FKW80" s="974"/>
      <c r="FKX80" s="974"/>
      <c r="FKY80" s="974"/>
      <c r="FKZ80" s="974"/>
      <c r="FLA80" s="974"/>
      <c r="FLB80" s="974"/>
      <c r="FLC80" s="974"/>
      <c r="FLD80" s="974"/>
      <c r="FLE80" s="974"/>
      <c r="FLF80" s="974"/>
      <c r="FLG80" s="974"/>
      <c r="FLH80" s="974"/>
      <c r="FLI80" s="974"/>
      <c r="FLJ80" s="974"/>
      <c r="FLK80" s="974"/>
      <c r="FLL80" s="974"/>
      <c r="FLM80" s="974"/>
      <c r="FLN80" s="974"/>
      <c r="FLO80" s="974"/>
      <c r="FLP80" s="974"/>
      <c r="FLQ80" s="974"/>
      <c r="FLR80" s="974"/>
      <c r="FLS80" s="974"/>
      <c r="FLT80" s="974"/>
      <c r="FLU80" s="974"/>
      <c r="FLV80" s="974"/>
      <c r="FLW80" s="974"/>
      <c r="FLX80" s="974"/>
      <c r="FLY80" s="974"/>
      <c r="FLZ80" s="974"/>
      <c r="FMA80" s="974"/>
      <c r="FMB80" s="974"/>
      <c r="FMC80" s="974"/>
      <c r="FMD80" s="974"/>
      <c r="FME80" s="974"/>
      <c r="FMF80" s="974"/>
      <c r="FMG80" s="974"/>
      <c r="FMH80" s="974"/>
      <c r="FMI80" s="974"/>
      <c r="FMJ80" s="974"/>
      <c r="FMK80" s="974"/>
      <c r="FML80" s="974"/>
      <c r="FMM80" s="974"/>
      <c r="FMN80" s="974"/>
      <c r="FMO80" s="974"/>
      <c r="FMP80" s="974"/>
      <c r="FMQ80" s="974"/>
      <c r="FMR80" s="974"/>
      <c r="FMS80" s="974"/>
      <c r="FMT80" s="974"/>
      <c r="FMU80" s="974"/>
      <c r="FMV80" s="974"/>
      <c r="FMW80" s="974"/>
      <c r="FMX80" s="974"/>
      <c r="FMY80" s="974"/>
      <c r="FMZ80" s="974"/>
      <c r="FNA80" s="974"/>
      <c r="FNB80" s="974"/>
      <c r="FNC80" s="974"/>
      <c r="FND80" s="974"/>
      <c r="FNE80" s="974"/>
      <c r="FNF80" s="974"/>
      <c r="FNG80" s="974"/>
      <c r="FNH80" s="974"/>
      <c r="FNI80" s="974"/>
      <c r="FNJ80" s="974"/>
      <c r="FNK80" s="974"/>
      <c r="FNL80" s="974"/>
      <c r="FNM80" s="974"/>
      <c r="FNN80" s="974"/>
      <c r="FNO80" s="974"/>
      <c r="FNP80" s="974"/>
      <c r="FNQ80" s="974"/>
      <c r="FNR80" s="974"/>
      <c r="FNS80" s="974"/>
      <c r="FNT80" s="974"/>
      <c r="FNU80" s="974"/>
      <c r="FNV80" s="974"/>
      <c r="FNW80" s="974"/>
      <c r="FNX80" s="974"/>
      <c r="FNY80" s="974"/>
      <c r="FNZ80" s="974"/>
      <c r="FOA80" s="974"/>
      <c r="FOB80" s="974"/>
      <c r="FOC80" s="974"/>
      <c r="FOD80" s="974"/>
      <c r="FOE80" s="974"/>
      <c r="FOF80" s="974"/>
      <c r="FOG80" s="974"/>
      <c r="FOH80" s="974"/>
      <c r="FOI80" s="974"/>
      <c r="FOJ80" s="974"/>
      <c r="FOK80" s="974"/>
      <c r="FOL80" s="974"/>
      <c r="FOM80" s="974"/>
      <c r="FON80" s="974"/>
      <c r="FOO80" s="974"/>
      <c r="FOP80" s="974"/>
      <c r="FOQ80" s="974"/>
      <c r="FOR80" s="974"/>
      <c r="FOS80" s="974"/>
      <c r="FOT80" s="974"/>
      <c r="FOU80" s="974"/>
      <c r="FOV80" s="974"/>
      <c r="FOW80" s="974"/>
      <c r="FOX80" s="974"/>
      <c r="FOY80" s="974"/>
      <c r="FOZ80" s="974"/>
      <c r="FPA80" s="974"/>
      <c r="FPB80" s="974"/>
      <c r="FPC80" s="974"/>
      <c r="FPD80" s="974"/>
      <c r="FPE80" s="974"/>
      <c r="FPF80" s="974"/>
      <c r="FPG80" s="974"/>
      <c r="FPH80" s="974"/>
      <c r="FPI80" s="974"/>
      <c r="FPJ80" s="974"/>
      <c r="FPK80" s="974"/>
      <c r="FPL80" s="974"/>
      <c r="FPM80" s="974"/>
      <c r="FPN80" s="974"/>
      <c r="FPO80" s="974"/>
      <c r="FPP80" s="974"/>
      <c r="FPQ80" s="974"/>
      <c r="FPR80" s="974"/>
      <c r="FPS80" s="974"/>
      <c r="FPT80" s="974"/>
      <c r="FPU80" s="974"/>
      <c r="FPV80" s="974"/>
      <c r="FPW80" s="974"/>
      <c r="FPX80" s="974"/>
      <c r="FPY80" s="974"/>
      <c r="FPZ80" s="974"/>
      <c r="FQA80" s="974"/>
      <c r="FQB80" s="974"/>
      <c r="FQC80" s="974"/>
      <c r="FQD80" s="974"/>
      <c r="FQE80" s="974"/>
      <c r="FQF80" s="974"/>
      <c r="FQG80" s="974"/>
      <c r="FQH80" s="974"/>
      <c r="FQI80" s="974"/>
      <c r="FQJ80" s="974"/>
      <c r="FQK80" s="974"/>
      <c r="FQL80" s="974"/>
      <c r="FQM80" s="974"/>
      <c r="FQN80" s="974"/>
      <c r="FQO80" s="974"/>
      <c r="FQP80" s="974"/>
      <c r="FQQ80" s="974"/>
      <c r="FQR80" s="974"/>
      <c r="FQS80" s="974"/>
      <c r="FQT80" s="974"/>
      <c r="FQU80" s="974"/>
      <c r="FQV80" s="974"/>
      <c r="FQW80" s="974"/>
      <c r="FQX80" s="974"/>
      <c r="FQY80" s="974"/>
      <c r="FQZ80" s="974"/>
      <c r="FRA80" s="974"/>
      <c r="FRB80" s="974"/>
      <c r="FRC80" s="974"/>
      <c r="FRD80" s="974"/>
      <c r="FRE80" s="974"/>
      <c r="FRF80" s="974"/>
      <c r="FRG80" s="974"/>
      <c r="FRH80" s="974"/>
      <c r="FRI80" s="974"/>
      <c r="FRJ80" s="974"/>
      <c r="FRK80" s="974"/>
      <c r="FRL80" s="974"/>
      <c r="FRM80" s="974"/>
      <c r="FRN80" s="974"/>
      <c r="FRO80" s="974"/>
      <c r="FRP80" s="974"/>
      <c r="FRQ80" s="974"/>
      <c r="FRR80" s="974"/>
      <c r="FRS80" s="974"/>
      <c r="FRT80" s="974"/>
      <c r="FRU80" s="974"/>
      <c r="FRV80" s="974"/>
      <c r="FRW80" s="974"/>
      <c r="FRX80" s="974"/>
      <c r="FRY80" s="974"/>
      <c r="FRZ80" s="974"/>
      <c r="FSA80" s="974"/>
      <c r="FSB80" s="974"/>
      <c r="FSC80" s="974"/>
      <c r="FSD80" s="974"/>
      <c r="FSE80" s="974"/>
      <c r="FSF80" s="974"/>
      <c r="FSG80" s="974"/>
      <c r="FSH80" s="974"/>
      <c r="FSI80" s="974"/>
      <c r="FSJ80" s="974"/>
      <c r="FSK80" s="974"/>
      <c r="FSL80" s="974"/>
      <c r="FSM80" s="974"/>
      <c r="FSN80" s="974"/>
      <c r="FSO80" s="974"/>
      <c r="FSP80" s="974"/>
      <c r="FSQ80" s="974"/>
      <c r="FSR80" s="974"/>
      <c r="FSS80" s="974"/>
      <c r="FST80" s="974"/>
      <c r="FSU80" s="974"/>
      <c r="FSV80" s="974"/>
      <c r="FSW80" s="974"/>
      <c r="FSX80" s="974"/>
      <c r="FSY80" s="974"/>
      <c r="FSZ80" s="974"/>
      <c r="FTA80" s="974"/>
      <c r="FTB80" s="974"/>
      <c r="FTC80" s="974"/>
      <c r="FTD80" s="974"/>
      <c r="FTE80" s="974"/>
      <c r="FTF80" s="974"/>
      <c r="FTG80" s="974"/>
      <c r="FTH80" s="974"/>
      <c r="FTI80" s="974"/>
      <c r="FTJ80" s="974"/>
      <c r="FTK80" s="974"/>
      <c r="FTL80" s="974"/>
      <c r="FTM80" s="974"/>
      <c r="FTN80" s="974"/>
      <c r="FTO80" s="974"/>
      <c r="FTP80" s="974"/>
      <c r="FTQ80" s="974"/>
      <c r="FTR80" s="974"/>
      <c r="FTS80" s="974"/>
      <c r="FTT80" s="974"/>
      <c r="FTU80" s="974"/>
      <c r="FTV80" s="974"/>
      <c r="FTW80" s="974"/>
      <c r="FTX80" s="974"/>
      <c r="FTY80" s="974"/>
      <c r="FTZ80" s="974"/>
      <c r="FUA80" s="974"/>
      <c r="FUB80" s="974"/>
      <c r="FUC80" s="974"/>
      <c r="FUD80" s="974"/>
      <c r="FUE80" s="974"/>
      <c r="FUF80" s="974"/>
      <c r="FUG80" s="974"/>
      <c r="FUH80" s="974"/>
      <c r="FUI80" s="974"/>
      <c r="FUJ80" s="974"/>
      <c r="FUK80" s="974"/>
      <c r="FUL80" s="974"/>
      <c r="FUM80" s="974"/>
      <c r="FUN80" s="974"/>
      <c r="FUO80" s="974"/>
      <c r="FUP80" s="974"/>
      <c r="FUQ80" s="974"/>
      <c r="FUR80" s="974"/>
      <c r="FUS80" s="974"/>
      <c r="FUT80" s="974"/>
      <c r="FUU80" s="974"/>
      <c r="FUV80" s="974"/>
      <c r="FUW80" s="974"/>
      <c r="FUX80" s="974"/>
      <c r="FUY80" s="974"/>
      <c r="FUZ80" s="974"/>
      <c r="FVA80" s="974"/>
      <c r="FVB80" s="974"/>
      <c r="FVC80" s="974"/>
      <c r="FVD80" s="974"/>
      <c r="FVE80" s="974"/>
      <c r="FVF80" s="974"/>
      <c r="FVG80" s="974"/>
      <c r="FVH80" s="974"/>
      <c r="FVI80" s="974"/>
      <c r="FVJ80" s="974"/>
      <c r="FVK80" s="974"/>
      <c r="FVL80" s="974"/>
      <c r="FVM80" s="974"/>
      <c r="FVN80" s="974"/>
      <c r="FVO80" s="974"/>
      <c r="FVP80" s="974"/>
      <c r="FVQ80" s="974"/>
      <c r="FVR80" s="974"/>
      <c r="FVS80" s="974"/>
      <c r="FVT80" s="974"/>
      <c r="FVU80" s="974"/>
      <c r="FVV80" s="974"/>
      <c r="FVW80" s="974"/>
      <c r="FVX80" s="974"/>
      <c r="FVY80" s="974"/>
      <c r="FVZ80" s="974"/>
      <c r="FWA80" s="974"/>
      <c r="FWB80" s="974"/>
      <c r="FWC80" s="974"/>
      <c r="FWD80" s="974"/>
      <c r="FWE80" s="974"/>
      <c r="FWF80" s="974"/>
      <c r="FWG80" s="974"/>
      <c r="FWH80" s="974"/>
      <c r="FWI80" s="974"/>
      <c r="FWJ80" s="974"/>
      <c r="FWK80" s="974"/>
      <c r="FWL80" s="974"/>
      <c r="FWM80" s="974"/>
      <c r="FWN80" s="974"/>
      <c r="FWO80" s="974"/>
      <c r="FWP80" s="974"/>
      <c r="FWQ80" s="974"/>
      <c r="FWR80" s="974"/>
      <c r="FWS80" s="974"/>
      <c r="FWT80" s="974"/>
      <c r="FWU80" s="974"/>
      <c r="FWV80" s="974"/>
      <c r="FWW80" s="974"/>
      <c r="FWX80" s="974"/>
      <c r="FWY80" s="974"/>
      <c r="FWZ80" s="974"/>
      <c r="FXA80" s="974"/>
      <c r="FXB80" s="974"/>
      <c r="FXC80" s="974"/>
      <c r="FXD80" s="974"/>
      <c r="FXE80" s="974"/>
      <c r="FXF80" s="974"/>
      <c r="FXG80" s="974"/>
      <c r="FXH80" s="974"/>
      <c r="FXI80" s="974"/>
      <c r="FXJ80" s="974"/>
      <c r="FXK80" s="974"/>
      <c r="FXL80" s="974"/>
      <c r="FXM80" s="974"/>
      <c r="FXN80" s="974"/>
      <c r="FXO80" s="974"/>
      <c r="FXP80" s="974"/>
      <c r="FXQ80" s="974"/>
      <c r="FXR80" s="974"/>
      <c r="FXS80" s="974"/>
      <c r="FXT80" s="974"/>
      <c r="FXU80" s="974"/>
      <c r="FXV80" s="974"/>
      <c r="FXW80" s="974"/>
      <c r="FXX80" s="974"/>
      <c r="FXY80" s="974"/>
      <c r="FXZ80" s="974"/>
      <c r="FYA80" s="974"/>
      <c r="FYB80" s="974"/>
      <c r="FYC80" s="974"/>
      <c r="FYD80" s="974"/>
      <c r="FYE80" s="974"/>
      <c r="FYF80" s="974"/>
      <c r="FYG80" s="974"/>
      <c r="FYH80" s="974"/>
      <c r="FYI80" s="974"/>
      <c r="FYJ80" s="974"/>
      <c r="FYK80" s="974"/>
      <c r="FYL80" s="974"/>
      <c r="FYM80" s="974"/>
      <c r="FYN80" s="974"/>
      <c r="FYO80" s="974"/>
      <c r="FYP80" s="974"/>
      <c r="FYQ80" s="974"/>
      <c r="FYR80" s="974"/>
      <c r="FYS80" s="974"/>
      <c r="FYT80" s="974"/>
      <c r="FYU80" s="974"/>
      <c r="FYV80" s="974"/>
      <c r="FYW80" s="974"/>
      <c r="FYX80" s="974"/>
      <c r="FYY80" s="974"/>
      <c r="FYZ80" s="974"/>
      <c r="FZA80" s="974"/>
      <c r="FZB80" s="974"/>
      <c r="FZC80" s="974"/>
      <c r="FZD80" s="974"/>
      <c r="FZE80" s="974"/>
      <c r="FZF80" s="974"/>
      <c r="FZG80" s="974"/>
      <c r="FZH80" s="974"/>
      <c r="FZI80" s="974"/>
      <c r="FZJ80" s="974"/>
      <c r="FZK80" s="974"/>
      <c r="FZL80" s="974"/>
      <c r="FZM80" s="974"/>
      <c r="FZN80" s="974"/>
      <c r="FZO80" s="974"/>
      <c r="FZP80" s="974"/>
      <c r="FZQ80" s="974"/>
      <c r="FZR80" s="974"/>
      <c r="FZS80" s="974"/>
      <c r="FZT80" s="974"/>
      <c r="FZU80" s="974"/>
      <c r="FZV80" s="974"/>
      <c r="FZW80" s="974"/>
      <c r="FZX80" s="974"/>
      <c r="FZY80" s="974"/>
      <c r="FZZ80" s="974"/>
      <c r="GAA80" s="974"/>
      <c r="GAB80" s="974"/>
      <c r="GAC80" s="974"/>
      <c r="GAD80" s="974"/>
      <c r="GAE80" s="974"/>
      <c r="GAF80" s="974"/>
      <c r="GAG80" s="974"/>
      <c r="GAH80" s="974"/>
      <c r="GAI80" s="974"/>
      <c r="GAJ80" s="974"/>
      <c r="GAK80" s="974"/>
      <c r="GAL80" s="974"/>
      <c r="GAM80" s="974"/>
      <c r="GAN80" s="974"/>
      <c r="GAO80" s="974"/>
      <c r="GAP80" s="974"/>
      <c r="GAQ80" s="974"/>
      <c r="GAR80" s="974"/>
      <c r="GAS80" s="974"/>
      <c r="GAT80" s="974"/>
      <c r="GAU80" s="974"/>
      <c r="GAV80" s="974"/>
      <c r="GAW80" s="974"/>
      <c r="GAX80" s="974"/>
      <c r="GAY80" s="974"/>
      <c r="GAZ80" s="974"/>
      <c r="GBA80" s="974"/>
      <c r="GBB80" s="974"/>
      <c r="GBC80" s="974"/>
      <c r="GBD80" s="974"/>
      <c r="GBE80" s="974"/>
      <c r="GBF80" s="974"/>
      <c r="GBG80" s="974"/>
      <c r="GBH80" s="974"/>
      <c r="GBI80" s="974"/>
      <c r="GBJ80" s="974"/>
      <c r="GBK80" s="974"/>
      <c r="GBL80" s="974"/>
      <c r="GBM80" s="974"/>
      <c r="GBN80" s="974"/>
      <c r="GBO80" s="974"/>
      <c r="GBP80" s="974"/>
      <c r="GBQ80" s="974"/>
      <c r="GBR80" s="974"/>
      <c r="GBS80" s="974"/>
      <c r="GBT80" s="974"/>
      <c r="GBU80" s="974"/>
      <c r="GBV80" s="974"/>
      <c r="GBW80" s="974"/>
      <c r="GBX80" s="974"/>
      <c r="GBY80" s="974"/>
      <c r="GBZ80" s="974"/>
      <c r="GCA80" s="974"/>
      <c r="GCB80" s="974"/>
      <c r="GCC80" s="974"/>
      <c r="GCD80" s="974"/>
      <c r="GCE80" s="974"/>
      <c r="GCF80" s="974"/>
      <c r="GCG80" s="974"/>
      <c r="GCH80" s="974"/>
      <c r="GCI80" s="974"/>
      <c r="GCJ80" s="974"/>
      <c r="GCK80" s="974"/>
      <c r="GCL80" s="974"/>
      <c r="GCM80" s="974"/>
      <c r="GCN80" s="974"/>
      <c r="GCO80" s="974"/>
      <c r="GCP80" s="974"/>
      <c r="GCQ80" s="974"/>
      <c r="GCR80" s="974"/>
      <c r="GCS80" s="974"/>
      <c r="GCT80" s="974"/>
      <c r="GCU80" s="974"/>
      <c r="GCV80" s="974"/>
      <c r="GCW80" s="974"/>
      <c r="GCX80" s="974"/>
      <c r="GCY80" s="974"/>
      <c r="GCZ80" s="974"/>
      <c r="GDA80" s="974"/>
      <c r="GDB80" s="974"/>
      <c r="GDC80" s="974"/>
      <c r="GDD80" s="974"/>
      <c r="GDE80" s="974"/>
      <c r="GDF80" s="974"/>
      <c r="GDG80" s="974"/>
      <c r="GDH80" s="974"/>
      <c r="GDI80" s="974"/>
      <c r="GDJ80" s="974"/>
      <c r="GDK80" s="974"/>
      <c r="GDL80" s="974"/>
      <c r="GDM80" s="974"/>
      <c r="GDN80" s="974"/>
      <c r="GDO80" s="974"/>
      <c r="GDP80" s="974"/>
      <c r="GDQ80" s="974"/>
      <c r="GDR80" s="974"/>
      <c r="GDS80" s="974"/>
      <c r="GDT80" s="974"/>
      <c r="GDU80" s="974"/>
      <c r="GDV80" s="974"/>
      <c r="GDW80" s="974"/>
      <c r="GDX80" s="974"/>
      <c r="GDY80" s="974"/>
      <c r="GDZ80" s="974"/>
      <c r="GEA80" s="974"/>
      <c r="GEB80" s="974"/>
      <c r="GEC80" s="974"/>
      <c r="GED80" s="974"/>
      <c r="GEE80" s="974"/>
      <c r="GEF80" s="974"/>
      <c r="GEG80" s="974"/>
      <c r="GEH80" s="974"/>
      <c r="GEI80" s="974"/>
      <c r="GEJ80" s="974"/>
      <c r="GEK80" s="974"/>
      <c r="GEL80" s="974"/>
      <c r="GEM80" s="974"/>
      <c r="GEN80" s="974"/>
      <c r="GEO80" s="974"/>
      <c r="GEP80" s="974"/>
      <c r="GEQ80" s="974"/>
      <c r="GER80" s="974"/>
      <c r="GES80" s="974"/>
      <c r="GET80" s="974"/>
      <c r="GEU80" s="974"/>
      <c r="GEV80" s="974"/>
      <c r="GEW80" s="974"/>
      <c r="GEX80" s="974"/>
      <c r="GEY80" s="974"/>
      <c r="GEZ80" s="974"/>
      <c r="GFA80" s="974"/>
      <c r="GFB80" s="974"/>
      <c r="GFC80" s="974"/>
      <c r="GFD80" s="974"/>
      <c r="GFE80" s="974"/>
      <c r="GFF80" s="974"/>
      <c r="GFG80" s="974"/>
      <c r="GFH80" s="974"/>
      <c r="GFI80" s="974"/>
      <c r="GFJ80" s="974"/>
      <c r="GFK80" s="974"/>
      <c r="GFL80" s="974"/>
      <c r="GFM80" s="974"/>
      <c r="GFN80" s="974"/>
      <c r="GFO80" s="974"/>
      <c r="GFP80" s="974"/>
      <c r="GFQ80" s="974"/>
      <c r="GFR80" s="974"/>
      <c r="GFS80" s="974"/>
      <c r="GFT80" s="974"/>
      <c r="GFU80" s="974"/>
      <c r="GFV80" s="974"/>
      <c r="GFW80" s="974"/>
      <c r="GFX80" s="974"/>
      <c r="GFY80" s="974"/>
      <c r="GFZ80" s="974"/>
      <c r="GGA80" s="974"/>
      <c r="GGB80" s="974"/>
      <c r="GGC80" s="974"/>
      <c r="GGD80" s="974"/>
      <c r="GGE80" s="974"/>
      <c r="GGF80" s="974"/>
      <c r="GGG80" s="974"/>
      <c r="GGH80" s="974"/>
      <c r="GGI80" s="974"/>
      <c r="GGJ80" s="974"/>
      <c r="GGK80" s="974"/>
      <c r="GGL80" s="974"/>
      <c r="GGM80" s="974"/>
      <c r="GGN80" s="974"/>
      <c r="GGO80" s="974"/>
      <c r="GGP80" s="974"/>
      <c r="GGQ80" s="974"/>
      <c r="GGR80" s="974"/>
      <c r="GGS80" s="974"/>
      <c r="GGT80" s="974"/>
      <c r="GGU80" s="974"/>
      <c r="GGV80" s="974"/>
      <c r="GGW80" s="974"/>
      <c r="GGX80" s="974"/>
      <c r="GGY80" s="974"/>
      <c r="GGZ80" s="974"/>
      <c r="GHA80" s="974"/>
      <c r="GHB80" s="974"/>
      <c r="GHC80" s="974"/>
      <c r="GHD80" s="974"/>
      <c r="GHE80" s="974"/>
      <c r="GHF80" s="974"/>
      <c r="GHG80" s="974"/>
      <c r="GHH80" s="974"/>
      <c r="GHI80" s="974"/>
      <c r="GHJ80" s="974"/>
      <c r="GHK80" s="974"/>
      <c r="GHL80" s="974"/>
      <c r="GHM80" s="974"/>
      <c r="GHN80" s="974"/>
      <c r="GHO80" s="974"/>
      <c r="GHP80" s="974"/>
      <c r="GHQ80" s="974"/>
      <c r="GHR80" s="974"/>
      <c r="GHS80" s="974"/>
      <c r="GHT80" s="974"/>
      <c r="GHU80" s="974"/>
      <c r="GHV80" s="974"/>
      <c r="GHW80" s="974"/>
      <c r="GHX80" s="974"/>
      <c r="GHY80" s="974"/>
      <c r="GHZ80" s="974"/>
      <c r="GIA80" s="974"/>
      <c r="GIB80" s="974"/>
      <c r="GIC80" s="974"/>
      <c r="GID80" s="974"/>
      <c r="GIE80" s="974"/>
      <c r="GIF80" s="974"/>
      <c r="GIG80" s="974"/>
      <c r="GIH80" s="974"/>
      <c r="GII80" s="974"/>
      <c r="GIJ80" s="974"/>
      <c r="GIK80" s="974"/>
      <c r="GIL80" s="974"/>
      <c r="GIM80" s="974"/>
      <c r="GIN80" s="974"/>
      <c r="GIO80" s="974"/>
      <c r="GIP80" s="974"/>
      <c r="GIQ80" s="974"/>
      <c r="GIR80" s="974"/>
      <c r="GIS80" s="974"/>
      <c r="GIT80" s="974"/>
      <c r="GIU80" s="974"/>
      <c r="GIV80" s="974"/>
      <c r="GIW80" s="974"/>
      <c r="GIX80" s="974"/>
      <c r="GIY80" s="974"/>
      <c r="GIZ80" s="974"/>
      <c r="GJA80" s="974"/>
      <c r="GJB80" s="974"/>
      <c r="GJC80" s="974"/>
      <c r="GJD80" s="974"/>
      <c r="GJE80" s="974"/>
      <c r="GJF80" s="974"/>
      <c r="GJG80" s="974"/>
      <c r="GJH80" s="974"/>
      <c r="GJI80" s="974"/>
      <c r="GJJ80" s="974"/>
      <c r="GJK80" s="974"/>
      <c r="GJL80" s="974"/>
      <c r="GJM80" s="974"/>
      <c r="GJN80" s="974"/>
      <c r="GJO80" s="974"/>
      <c r="GJP80" s="974"/>
      <c r="GJQ80" s="974"/>
      <c r="GJR80" s="974"/>
      <c r="GJS80" s="974"/>
      <c r="GJT80" s="974"/>
      <c r="GJU80" s="974"/>
      <c r="GJV80" s="974"/>
      <c r="GJW80" s="974"/>
      <c r="GJX80" s="974"/>
      <c r="GJY80" s="974"/>
      <c r="GJZ80" s="974"/>
      <c r="GKA80" s="974"/>
      <c r="GKB80" s="974"/>
      <c r="GKC80" s="974"/>
      <c r="GKD80" s="974"/>
      <c r="GKE80" s="974"/>
      <c r="GKF80" s="974"/>
      <c r="GKG80" s="974"/>
      <c r="GKH80" s="974"/>
      <c r="GKI80" s="974"/>
      <c r="GKJ80" s="974"/>
      <c r="GKK80" s="974"/>
      <c r="GKL80" s="974"/>
      <c r="GKM80" s="974"/>
      <c r="GKN80" s="974"/>
      <c r="GKO80" s="974"/>
      <c r="GKP80" s="974"/>
      <c r="GKQ80" s="974"/>
      <c r="GKR80" s="974"/>
      <c r="GKS80" s="974"/>
      <c r="GKT80" s="974"/>
      <c r="GKU80" s="974"/>
      <c r="GKV80" s="974"/>
      <c r="GKW80" s="974"/>
      <c r="GKX80" s="974"/>
      <c r="GKY80" s="974"/>
      <c r="GKZ80" s="974"/>
      <c r="GLA80" s="974"/>
      <c r="GLB80" s="974"/>
      <c r="GLC80" s="974"/>
      <c r="GLD80" s="974"/>
      <c r="GLE80" s="974"/>
      <c r="GLF80" s="974"/>
      <c r="GLG80" s="974"/>
      <c r="GLH80" s="974"/>
      <c r="GLI80" s="974"/>
      <c r="GLJ80" s="974"/>
      <c r="GLK80" s="974"/>
      <c r="GLL80" s="974"/>
      <c r="GLM80" s="974"/>
      <c r="GLN80" s="974"/>
      <c r="GLO80" s="974"/>
      <c r="GLP80" s="974"/>
      <c r="GLQ80" s="974"/>
      <c r="GLR80" s="974"/>
      <c r="GLS80" s="974"/>
      <c r="GLT80" s="974"/>
      <c r="GLU80" s="974"/>
      <c r="GLV80" s="974"/>
      <c r="GLW80" s="974"/>
      <c r="GLX80" s="974"/>
      <c r="GLY80" s="974"/>
      <c r="GLZ80" s="974"/>
      <c r="GMA80" s="974"/>
      <c r="GMB80" s="974"/>
      <c r="GMC80" s="974"/>
      <c r="GMD80" s="974"/>
      <c r="GME80" s="974"/>
      <c r="GMF80" s="974"/>
      <c r="GMG80" s="974"/>
      <c r="GMH80" s="974"/>
      <c r="GMI80" s="974"/>
      <c r="GMJ80" s="974"/>
      <c r="GMK80" s="974"/>
      <c r="GML80" s="974"/>
      <c r="GMM80" s="974"/>
      <c r="GMN80" s="974"/>
      <c r="GMO80" s="974"/>
      <c r="GMP80" s="974"/>
      <c r="GMQ80" s="974"/>
      <c r="GMR80" s="974"/>
      <c r="GMS80" s="974"/>
      <c r="GMT80" s="974"/>
      <c r="GMU80" s="974"/>
      <c r="GMV80" s="974"/>
      <c r="GMW80" s="974"/>
      <c r="GMX80" s="974"/>
      <c r="GMY80" s="974"/>
      <c r="GMZ80" s="974"/>
      <c r="GNA80" s="974"/>
      <c r="GNB80" s="974"/>
      <c r="GNC80" s="974"/>
      <c r="GND80" s="974"/>
      <c r="GNE80" s="974"/>
      <c r="GNF80" s="974"/>
      <c r="GNG80" s="974"/>
      <c r="GNH80" s="974"/>
      <c r="GNI80" s="974"/>
      <c r="GNJ80" s="974"/>
      <c r="GNK80" s="974"/>
      <c r="GNL80" s="974"/>
      <c r="GNM80" s="974"/>
      <c r="GNN80" s="974"/>
      <c r="GNO80" s="974"/>
      <c r="GNP80" s="974"/>
      <c r="GNQ80" s="974"/>
      <c r="GNR80" s="974"/>
      <c r="GNS80" s="974"/>
      <c r="GNT80" s="974"/>
      <c r="GNU80" s="974"/>
      <c r="GNV80" s="974"/>
      <c r="GNW80" s="974"/>
      <c r="GNX80" s="974"/>
      <c r="GNY80" s="974"/>
      <c r="GNZ80" s="974"/>
      <c r="GOA80" s="974"/>
      <c r="GOB80" s="974"/>
      <c r="GOC80" s="974"/>
      <c r="GOD80" s="974"/>
      <c r="GOE80" s="974"/>
      <c r="GOF80" s="974"/>
      <c r="GOG80" s="974"/>
      <c r="GOH80" s="974"/>
      <c r="GOI80" s="974"/>
      <c r="GOJ80" s="974"/>
      <c r="GOK80" s="974"/>
      <c r="GOL80" s="974"/>
      <c r="GOM80" s="974"/>
      <c r="GON80" s="974"/>
      <c r="GOO80" s="974"/>
      <c r="GOP80" s="974"/>
      <c r="GOQ80" s="974"/>
      <c r="GOR80" s="974"/>
      <c r="GOS80" s="974"/>
      <c r="GOT80" s="974"/>
      <c r="GOU80" s="974"/>
      <c r="GOV80" s="974"/>
      <c r="GOW80" s="974"/>
      <c r="GOX80" s="974"/>
      <c r="GOY80" s="974"/>
      <c r="GOZ80" s="974"/>
      <c r="GPA80" s="974"/>
      <c r="GPB80" s="974"/>
      <c r="GPC80" s="974"/>
      <c r="GPD80" s="974"/>
      <c r="GPE80" s="974"/>
      <c r="GPF80" s="974"/>
      <c r="GPG80" s="974"/>
      <c r="GPH80" s="974"/>
      <c r="GPI80" s="974"/>
      <c r="GPJ80" s="974"/>
      <c r="GPK80" s="974"/>
      <c r="GPL80" s="974"/>
      <c r="GPM80" s="974"/>
      <c r="GPN80" s="974"/>
      <c r="GPO80" s="974"/>
      <c r="GPP80" s="974"/>
      <c r="GPQ80" s="974"/>
      <c r="GPR80" s="974"/>
      <c r="GPS80" s="974"/>
      <c r="GPT80" s="974"/>
      <c r="GPU80" s="974"/>
      <c r="GPV80" s="974"/>
      <c r="GPW80" s="974"/>
      <c r="GPX80" s="974"/>
      <c r="GPY80" s="974"/>
      <c r="GPZ80" s="974"/>
      <c r="GQA80" s="974"/>
      <c r="GQB80" s="974"/>
      <c r="GQC80" s="974"/>
      <c r="GQD80" s="974"/>
      <c r="GQE80" s="974"/>
      <c r="GQF80" s="974"/>
      <c r="GQG80" s="974"/>
      <c r="GQH80" s="974"/>
      <c r="GQI80" s="974"/>
      <c r="GQJ80" s="974"/>
      <c r="GQK80" s="974"/>
      <c r="GQL80" s="974"/>
      <c r="GQM80" s="974"/>
      <c r="GQN80" s="974"/>
      <c r="GQO80" s="974"/>
      <c r="GQP80" s="974"/>
      <c r="GQQ80" s="974"/>
      <c r="GQR80" s="974"/>
      <c r="GQS80" s="974"/>
      <c r="GQT80" s="974"/>
      <c r="GQU80" s="974"/>
      <c r="GQV80" s="974"/>
      <c r="GQW80" s="974"/>
      <c r="GQX80" s="974"/>
      <c r="GQY80" s="974"/>
      <c r="GQZ80" s="974"/>
      <c r="GRA80" s="974"/>
      <c r="GRB80" s="974"/>
      <c r="GRC80" s="974"/>
      <c r="GRD80" s="974"/>
      <c r="GRE80" s="974"/>
      <c r="GRF80" s="974"/>
      <c r="GRG80" s="974"/>
      <c r="GRH80" s="974"/>
      <c r="GRI80" s="974"/>
      <c r="GRJ80" s="974"/>
      <c r="GRK80" s="974"/>
      <c r="GRL80" s="974"/>
      <c r="GRM80" s="974"/>
      <c r="GRN80" s="974"/>
      <c r="GRO80" s="974"/>
      <c r="GRP80" s="974"/>
      <c r="GRQ80" s="974"/>
      <c r="GRR80" s="974"/>
      <c r="GRS80" s="974"/>
      <c r="GRT80" s="974"/>
      <c r="GRU80" s="974"/>
      <c r="GRV80" s="974"/>
      <c r="GRW80" s="974"/>
      <c r="GRX80" s="974"/>
      <c r="GRY80" s="974"/>
      <c r="GRZ80" s="974"/>
      <c r="GSA80" s="974"/>
      <c r="GSB80" s="974"/>
      <c r="GSC80" s="974"/>
      <c r="GSD80" s="974"/>
      <c r="GSE80" s="974"/>
      <c r="GSF80" s="974"/>
      <c r="GSG80" s="974"/>
      <c r="GSH80" s="974"/>
      <c r="GSI80" s="974"/>
      <c r="GSJ80" s="974"/>
      <c r="GSK80" s="974"/>
      <c r="GSL80" s="974"/>
      <c r="GSM80" s="974"/>
      <c r="GSN80" s="974"/>
      <c r="GSO80" s="974"/>
      <c r="GSP80" s="974"/>
      <c r="GSQ80" s="974"/>
      <c r="GSR80" s="974"/>
      <c r="GSS80" s="974"/>
      <c r="GST80" s="974"/>
      <c r="GSU80" s="974"/>
      <c r="GSV80" s="974"/>
      <c r="GSW80" s="974"/>
      <c r="GSX80" s="974"/>
      <c r="GSY80" s="974"/>
      <c r="GSZ80" s="974"/>
      <c r="GTA80" s="974"/>
      <c r="GTB80" s="974"/>
      <c r="GTC80" s="974"/>
      <c r="GTD80" s="974"/>
      <c r="GTE80" s="974"/>
      <c r="GTF80" s="974"/>
      <c r="GTG80" s="974"/>
      <c r="GTH80" s="974"/>
      <c r="GTI80" s="974"/>
      <c r="GTJ80" s="974"/>
      <c r="GTK80" s="974"/>
      <c r="GTL80" s="974"/>
      <c r="GTM80" s="974"/>
      <c r="GTN80" s="974"/>
      <c r="GTO80" s="974"/>
      <c r="GTP80" s="974"/>
      <c r="GTQ80" s="974"/>
      <c r="GTR80" s="974"/>
      <c r="GTS80" s="974"/>
      <c r="GTT80" s="974"/>
      <c r="GTU80" s="974"/>
      <c r="GTV80" s="974"/>
      <c r="GTW80" s="974"/>
      <c r="GTX80" s="974"/>
      <c r="GTY80" s="974"/>
      <c r="GTZ80" s="974"/>
      <c r="GUA80" s="974"/>
      <c r="GUB80" s="974"/>
      <c r="GUC80" s="974"/>
      <c r="GUD80" s="974"/>
      <c r="GUE80" s="974"/>
      <c r="GUF80" s="974"/>
      <c r="GUG80" s="974"/>
      <c r="GUH80" s="974"/>
      <c r="GUI80" s="974"/>
      <c r="GUJ80" s="974"/>
      <c r="GUK80" s="974"/>
      <c r="GUL80" s="974"/>
      <c r="GUM80" s="974"/>
      <c r="GUN80" s="974"/>
      <c r="GUO80" s="974"/>
      <c r="GUP80" s="974"/>
      <c r="GUQ80" s="974"/>
      <c r="GUR80" s="974"/>
      <c r="GUS80" s="974"/>
      <c r="GUT80" s="974"/>
      <c r="GUU80" s="974"/>
      <c r="GUV80" s="974"/>
      <c r="GUW80" s="974"/>
      <c r="GUX80" s="974"/>
      <c r="GUY80" s="974"/>
      <c r="GUZ80" s="974"/>
      <c r="GVA80" s="974"/>
      <c r="GVB80" s="974"/>
      <c r="GVC80" s="974"/>
      <c r="GVD80" s="974"/>
      <c r="GVE80" s="974"/>
      <c r="GVF80" s="974"/>
      <c r="GVG80" s="974"/>
      <c r="GVH80" s="974"/>
      <c r="GVI80" s="974"/>
      <c r="GVJ80" s="974"/>
      <c r="GVK80" s="974"/>
      <c r="GVL80" s="974"/>
      <c r="GVM80" s="974"/>
      <c r="GVN80" s="974"/>
      <c r="GVO80" s="974"/>
      <c r="GVP80" s="974"/>
      <c r="GVQ80" s="974"/>
      <c r="GVR80" s="974"/>
      <c r="GVS80" s="974"/>
      <c r="GVT80" s="974"/>
      <c r="GVU80" s="974"/>
      <c r="GVV80" s="974"/>
      <c r="GVW80" s="974"/>
      <c r="GVX80" s="974"/>
      <c r="GVY80" s="974"/>
      <c r="GVZ80" s="974"/>
      <c r="GWA80" s="974"/>
      <c r="GWB80" s="974"/>
      <c r="GWC80" s="974"/>
      <c r="GWD80" s="974"/>
      <c r="GWE80" s="974"/>
      <c r="GWF80" s="974"/>
      <c r="GWG80" s="974"/>
      <c r="GWH80" s="974"/>
      <c r="GWI80" s="974"/>
      <c r="GWJ80" s="974"/>
      <c r="GWK80" s="974"/>
      <c r="GWL80" s="974"/>
      <c r="GWM80" s="974"/>
      <c r="GWN80" s="974"/>
      <c r="GWO80" s="974"/>
      <c r="GWP80" s="974"/>
      <c r="GWQ80" s="974"/>
      <c r="GWR80" s="974"/>
      <c r="GWS80" s="974"/>
      <c r="GWT80" s="974"/>
      <c r="GWU80" s="974"/>
      <c r="GWV80" s="974"/>
      <c r="GWW80" s="974"/>
      <c r="GWX80" s="974"/>
      <c r="GWY80" s="974"/>
      <c r="GWZ80" s="974"/>
      <c r="GXA80" s="974"/>
      <c r="GXB80" s="974"/>
      <c r="GXC80" s="974"/>
      <c r="GXD80" s="974"/>
      <c r="GXE80" s="974"/>
      <c r="GXF80" s="974"/>
      <c r="GXG80" s="974"/>
      <c r="GXH80" s="974"/>
      <c r="GXI80" s="974"/>
      <c r="GXJ80" s="974"/>
      <c r="GXK80" s="974"/>
      <c r="GXL80" s="974"/>
      <c r="GXM80" s="974"/>
      <c r="GXN80" s="974"/>
      <c r="GXO80" s="974"/>
      <c r="GXP80" s="974"/>
      <c r="GXQ80" s="974"/>
      <c r="GXR80" s="974"/>
      <c r="GXS80" s="974"/>
      <c r="GXT80" s="974"/>
      <c r="GXU80" s="974"/>
      <c r="GXV80" s="974"/>
      <c r="GXW80" s="974"/>
      <c r="GXX80" s="974"/>
      <c r="GXY80" s="974"/>
      <c r="GXZ80" s="974"/>
      <c r="GYA80" s="974"/>
      <c r="GYB80" s="974"/>
      <c r="GYC80" s="974"/>
      <c r="GYD80" s="974"/>
      <c r="GYE80" s="974"/>
      <c r="GYF80" s="974"/>
      <c r="GYG80" s="974"/>
      <c r="GYH80" s="974"/>
      <c r="GYI80" s="974"/>
      <c r="GYJ80" s="974"/>
      <c r="GYK80" s="974"/>
      <c r="GYL80" s="974"/>
      <c r="GYM80" s="974"/>
      <c r="GYN80" s="974"/>
      <c r="GYO80" s="974"/>
      <c r="GYP80" s="974"/>
      <c r="GYQ80" s="974"/>
      <c r="GYR80" s="974"/>
      <c r="GYS80" s="974"/>
      <c r="GYT80" s="974"/>
      <c r="GYU80" s="974"/>
      <c r="GYV80" s="974"/>
      <c r="GYW80" s="974"/>
      <c r="GYX80" s="974"/>
      <c r="GYY80" s="974"/>
      <c r="GYZ80" s="974"/>
      <c r="GZA80" s="974"/>
      <c r="GZB80" s="974"/>
      <c r="GZC80" s="974"/>
      <c r="GZD80" s="974"/>
      <c r="GZE80" s="974"/>
      <c r="GZF80" s="974"/>
      <c r="GZG80" s="974"/>
      <c r="GZH80" s="974"/>
      <c r="GZI80" s="974"/>
      <c r="GZJ80" s="974"/>
      <c r="GZK80" s="974"/>
      <c r="GZL80" s="974"/>
      <c r="GZM80" s="974"/>
      <c r="GZN80" s="974"/>
      <c r="GZO80" s="974"/>
      <c r="GZP80" s="974"/>
      <c r="GZQ80" s="974"/>
      <c r="GZR80" s="974"/>
      <c r="GZS80" s="974"/>
      <c r="GZT80" s="974"/>
      <c r="GZU80" s="974"/>
      <c r="GZV80" s="974"/>
      <c r="GZW80" s="974"/>
      <c r="GZX80" s="974"/>
      <c r="GZY80" s="974"/>
      <c r="GZZ80" s="974"/>
      <c r="HAA80" s="974"/>
      <c r="HAB80" s="974"/>
      <c r="HAC80" s="974"/>
      <c r="HAD80" s="974"/>
      <c r="HAE80" s="974"/>
      <c r="HAF80" s="974"/>
      <c r="HAG80" s="974"/>
      <c r="HAH80" s="974"/>
      <c r="HAI80" s="974"/>
      <c r="HAJ80" s="974"/>
      <c r="HAK80" s="974"/>
      <c r="HAL80" s="974"/>
      <c r="HAM80" s="974"/>
      <c r="HAN80" s="974"/>
      <c r="HAO80" s="974"/>
      <c r="HAP80" s="974"/>
      <c r="HAQ80" s="974"/>
      <c r="HAR80" s="974"/>
      <c r="HAS80" s="974"/>
      <c r="HAT80" s="974"/>
      <c r="HAU80" s="974"/>
      <c r="HAV80" s="974"/>
      <c r="HAW80" s="974"/>
      <c r="HAX80" s="974"/>
      <c r="HAY80" s="974"/>
      <c r="HAZ80" s="974"/>
      <c r="HBA80" s="974"/>
      <c r="HBB80" s="974"/>
      <c r="HBC80" s="974"/>
      <c r="HBD80" s="974"/>
      <c r="HBE80" s="974"/>
      <c r="HBF80" s="974"/>
      <c r="HBG80" s="974"/>
      <c r="HBH80" s="974"/>
      <c r="HBI80" s="974"/>
      <c r="HBJ80" s="974"/>
      <c r="HBK80" s="974"/>
      <c r="HBL80" s="974"/>
      <c r="HBM80" s="974"/>
      <c r="HBN80" s="974"/>
      <c r="HBO80" s="974"/>
      <c r="HBP80" s="974"/>
      <c r="HBQ80" s="974"/>
      <c r="HBR80" s="974"/>
      <c r="HBS80" s="974"/>
      <c r="HBT80" s="974"/>
      <c r="HBU80" s="974"/>
      <c r="HBV80" s="974"/>
      <c r="HBW80" s="974"/>
      <c r="HBX80" s="974"/>
      <c r="HBY80" s="974"/>
      <c r="HBZ80" s="974"/>
      <c r="HCA80" s="974"/>
      <c r="HCB80" s="974"/>
      <c r="HCC80" s="974"/>
      <c r="HCD80" s="974"/>
      <c r="HCE80" s="974"/>
      <c r="HCF80" s="974"/>
      <c r="HCG80" s="974"/>
      <c r="HCH80" s="974"/>
      <c r="HCI80" s="974"/>
      <c r="HCJ80" s="974"/>
      <c r="HCK80" s="974"/>
      <c r="HCL80" s="974"/>
      <c r="HCM80" s="974"/>
      <c r="HCN80" s="974"/>
      <c r="HCO80" s="974"/>
      <c r="HCP80" s="974"/>
      <c r="HCQ80" s="974"/>
      <c r="HCR80" s="974"/>
      <c r="HCS80" s="974"/>
      <c r="HCT80" s="974"/>
      <c r="HCU80" s="974"/>
      <c r="HCV80" s="974"/>
      <c r="HCW80" s="974"/>
      <c r="HCX80" s="974"/>
      <c r="HCY80" s="974"/>
      <c r="HCZ80" s="974"/>
      <c r="HDA80" s="974"/>
      <c r="HDB80" s="974"/>
      <c r="HDC80" s="974"/>
      <c r="HDD80" s="974"/>
      <c r="HDE80" s="974"/>
      <c r="HDF80" s="974"/>
      <c r="HDG80" s="974"/>
      <c r="HDH80" s="974"/>
      <c r="HDI80" s="974"/>
      <c r="HDJ80" s="974"/>
      <c r="HDK80" s="974"/>
      <c r="HDL80" s="974"/>
      <c r="HDM80" s="974"/>
      <c r="HDN80" s="974"/>
      <c r="HDO80" s="974"/>
      <c r="HDP80" s="974"/>
      <c r="HDQ80" s="974"/>
      <c r="HDR80" s="974"/>
      <c r="HDS80" s="974"/>
      <c r="HDT80" s="974"/>
      <c r="HDU80" s="974"/>
      <c r="HDV80" s="974"/>
      <c r="HDW80" s="974"/>
      <c r="HDX80" s="974"/>
      <c r="HDY80" s="974"/>
      <c r="HDZ80" s="974"/>
      <c r="HEA80" s="974"/>
      <c r="HEB80" s="974"/>
      <c r="HEC80" s="974"/>
      <c r="HED80" s="974"/>
      <c r="HEE80" s="974"/>
      <c r="HEF80" s="974"/>
      <c r="HEG80" s="974"/>
      <c r="HEH80" s="974"/>
      <c r="HEI80" s="974"/>
      <c r="HEJ80" s="974"/>
      <c r="HEK80" s="974"/>
      <c r="HEL80" s="974"/>
      <c r="HEM80" s="974"/>
      <c r="HEN80" s="974"/>
      <c r="HEO80" s="974"/>
      <c r="HEP80" s="974"/>
      <c r="HEQ80" s="974"/>
      <c r="HER80" s="974"/>
      <c r="HES80" s="974"/>
      <c r="HET80" s="974"/>
      <c r="HEU80" s="974"/>
      <c r="HEV80" s="974"/>
      <c r="HEW80" s="974"/>
      <c r="HEX80" s="974"/>
      <c r="HEY80" s="974"/>
      <c r="HEZ80" s="974"/>
      <c r="HFA80" s="974"/>
      <c r="HFB80" s="974"/>
      <c r="HFC80" s="974"/>
      <c r="HFD80" s="974"/>
      <c r="HFE80" s="974"/>
      <c r="HFF80" s="974"/>
      <c r="HFG80" s="974"/>
      <c r="HFH80" s="974"/>
      <c r="HFI80" s="974"/>
      <c r="HFJ80" s="974"/>
      <c r="HFK80" s="974"/>
      <c r="HFL80" s="974"/>
      <c r="HFM80" s="974"/>
      <c r="HFN80" s="974"/>
      <c r="HFO80" s="974"/>
      <c r="HFP80" s="974"/>
      <c r="HFQ80" s="974"/>
      <c r="HFR80" s="974"/>
      <c r="HFS80" s="974"/>
      <c r="HFT80" s="974"/>
      <c r="HFU80" s="974"/>
      <c r="HFV80" s="974"/>
      <c r="HFW80" s="974"/>
      <c r="HFX80" s="974"/>
      <c r="HFY80" s="974"/>
      <c r="HFZ80" s="974"/>
      <c r="HGA80" s="974"/>
      <c r="HGB80" s="974"/>
      <c r="HGC80" s="974"/>
      <c r="HGD80" s="974"/>
      <c r="HGE80" s="974"/>
      <c r="HGF80" s="974"/>
      <c r="HGG80" s="974"/>
      <c r="HGH80" s="974"/>
      <c r="HGI80" s="974"/>
      <c r="HGJ80" s="974"/>
      <c r="HGK80" s="974"/>
      <c r="HGL80" s="974"/>
      <c r="HGM80" s="974"/>
      <c r="HGN80" s="974"/>
      <c r="HGO80" s="974"/>
      <c r="HGP80" s="974"/>
      <c r="HGQ80" s="974"/>
      <c r="HGR80" s="974"/>
      <c r="HGS80" s="974"/>
      <c r="HGT80" s="974"/>
      <c r="HGU80" s="974"/>
      <c r="HGV80" s="974"/>
      <c r="HGW80" s="974"/>
      <c r="HGX80" s="974"/>
      <c r="HGY80" s="974"/>
      <c r="HGZ80" s="974"/>
      <c r="HHA80" s="974"/>
      <c r="HHB80" s="974"/>
      <c r="HHC80" s="974"/>
      <c r="HHD80" s="974"/>
      <c r="HHE80" s="974"/>
      <c r="HHF80" s="974"/>
      <c r="HHG80" s="974"/>
      <c r="HHH80" s="974"/>
      <c r="HHI80" s="974"/>
      <c r="HHJ80" s="974"/>
      <c r="HHK80" s="974"/>
      <c r="HHL80" s="974"/>
      <c r="HHM80" s="974"/>
      <c r="HHN80" s="974"/>
      <c r="HHO80" s="974"/>
      <c r="HHP80" s="974"/>
      <c r="HHQ80" s="974"/>
      <c r="HHR80" s="974"/>
      <c r="HHS80" s="974"/>
      <c r="HHT80" s="974"/>
      <c r="HHU80" s="974"/>
      <c r="HHV80" s="974"/>
      <c r="HHW80" s="974"/>
      <c r="HHX80" s="974"/>
      <c r="HHY80" s="974"/>
      <c r="HHZ80" s="974"/>
      <c r="HIA80" s="974"/>
      <c r="HIB80" s="974"/>
      <c r="HIC80" s="974"/>
      <c r="HID80" s="974"/>
      <c r="HIE80" s="974"/>
      <c r="HIF80" s="974"/>
      <c r="HIG80" s="974"/>
      <c r="HIH80" s="974"/>
      <c r="HII80" s="974"/>
      <c r="HIJ80" s="974"/>
      <c r="HIK80" s="974"/>
      <c r="HIL80" s="974"/>
      <c r="HIM80" s="974"/>
      <c r="HIN80" s="974"/>
      <c r="HIO80" s="974"/>
      <c r="HIP80" s="974"/>
      <c r="HIQ80" s="974"/>
      <c r="HIR80" s="974"/>
      <c r="HIS80" s="974"/>
      <c r="HIT80" s="974"/>
      <c r="HIU80" s="974"/>
      <c r="HIV80" s="974"/>
      <c r="HIW80" s="974"/>
      <c r="HIX80" s="974"/>
      <c r="HIY80" s="974"/>
      <c r="HIZ80" s="974"/>
      <c r="HJA80" s="974"/>
      <c r="HJB80" s="974"/>
      <c r="HJC80" s="974"/>
      <c r="HJD80" s="974"/>
      <c r="HJE80" s="974"/>
      <c r="HJF80" s="974"/>
      <c r="HJG80" s="974"/>
      <c r="HJH80" s="974"/>
      <c r="HJI80" s="974"/>
      <c r="HJJ80" s="974"/>
      <c r="HJK80" s="974"/>
      <c r="HJL80" s="974"/>
      <c r="HJM80" s="974"/>
      <c r="HJN80" s="974"/>
      <c r="HJO80" s="974"/>
      <c r="HJP80" s="974"/>
      <c r="HJQ80" s="974"/>
      <c r="HJR80" s="974"/>
      <c r="HJS80" s="974"/>
      <c r="HJT80" s="974"/>
      <c r="HJU80" s="974"/>
      <c r="HJV80" s="974"/>
      <c r="HJW80" s="974"/>
      <c r="HJX80" s="974"/>
      <c r="HJY80" s="974"/>
      <c r="HJZ80" s="974"/>
      <c r="HKA80" s="974"/>
      <c r="HKB80" s="974"/>
      <c r="HKC80" s="974"/>
      <c r="HKD80" s="974"/>
      <c r="HKE80" s="974"/>
      <c r="HKF80" s="974"/>
      <c r="HKG80" s="974"/>
      <c r="HKH80" s="974"/>
      <c r="HKI80" s="974"/>
      <c r="HKJ80" s="974"/>
      <c r="HKK80" s="974"/>
      <c r="HKL80" s="974"/>
      <c r="HKM80" s="974"/>
      <c r="HKN80" s="974"/>
      <c r="HKO80" s="974"/>
      <c r="HKP80" s="974"/>
      <c r="HKQ80" s="974"/>
      <c r="HKR80" s="974"/>
      <c r="HKS80" s="974"/>
      <c r="HKT80" s="974"/>
      <c r="HKU80" s="974"/>
      <c r="HKV80" s="974"/>
      <c r="HKW80" s="974"/>
      <c r="HKX80" s="974"/>
      <c r="HKY80" s="974"/>
      <c r="HKZ80" s="974"/>
      <c r="HLA80" s="974"/>
      <c r="HLB80" s="974"/>
      <c r="HLC80" s="974"/>
      <c r="HLD80" s="974"/>
      <c r="HLE80" s="974"/>
      <c r="HLF80" s="974"/>
      <c r="HLG80" s="974"/>
      <c r="HLH80" s="974"/>
      <c r="HLI80" s="974"/>
      <c r="HLJ80" s="974"/>
      <c r="HLK80" s="974"/>
      <c r="HLL80" s="974"/>
      <c r="HLM80" s="974"/>
      <c r="HLN80" s="974"/>
      <c r="HLO80" s="974"/>
      <c r="HLP80" s="974"/>
      <c r="HLQ80" s="974"/>
      <c r="HLR80" s="974"/>
      <c r="HLS80" s="974"/>
      <c r="HLT80" s="974"/>
      <c r="HLU80" s="974"/>
      <c r="HLV80" s="974"/>
      <c r="HLW80" s="974"/>
      <c r="HLX80" s="974"/>
      <c r="HLY80" s="974"/>
      <c r="HLZ80" s="974"/>
      <c r="HMA80" s="974"/>
      <c r="HMB80" s="974"/>
      <c r="HMC80" s="974"/>
      <c r="HMD80" s="974"/>
      <c r="HME80" s="974"/>
      <c r="HMF80" s="974"/>
      <c r="HMG80" s="974"/>
      <c r="HMH80" s="974"/>
      <c r="HMI80" s="974"/>
      <c r="HMJ80" s="974"/>
      <c r="HMK80" s="974"/>
      <c r="HML80" s="974"/>
      <c r="HMM80" s="974"/>
      <c r="HMN80" s="974"/>
      <c r="HMO80" s="974"/>
      <c r="HMP80" s="974"/>
      <c r="HMQ80" s="974"/>
      <c r="HMR80" s="974"/>
      <c r="HMS80" s="974"/>
      <c r="HMT80" s="974"/>
      <c r="HMU80" s="974"/>
      <c r="HMV80" s="974"/>
      <c r="HMW80" s="974"/>
      <c r="HMX80" s="974"/>
      <c r="HMY80" s="974"/>
      <c r="HMZ80" s="974"/>
      <c r="HNA80" s="974"/>
      <c r="HNB80" s="974"/>
      <c r="HNC80" s="974"/>
      <c r="HND80" s="974"/>
      <c r="HNE80" s="974"/>
      <c r="HNF80" s="974"/>
      <c r="HNG80" s="974"/>
      <c r="HNH80" s="974"/>
      <c r="HNI80" s="974"/>
      <c r="HNJ80" s="974"/>
      <c r="HNK80" s="974"/>
      <c r="HNL80" s="974"/>
      <c r="HNM80" s="974"/>
      <c r="HNN80" s="974"/>
      <c r="HNO80" s="974"/>
      <c r="HNP80" s="974"/>
      <c r="HNQ80" s="974"/>
      <c r="HNR80" s="974"/>
      <c r="HNS80" s="974"/>
      <c r="HNT80" s="974"/>
      <c r="HNU80" s="974"/>
      <c r="HNV80" s="974"/>
      <c r="HNW80" s="974"/>
      <c r="HNX80" s="974"/>
      <c r="HNY80" s="974"/>
      <c r="HNZ80" s="974"/>
      <c r="HOA80" s="974"/>
      <c r="HOB80" s="974"/>
      <c r="HOC80" s="974"/>
      <c r="HOD80" s="974"/>
      <c r="HOE80" s="974"/>
      <c r="HOF80" s="974"/>
      <c r="HOG80" s="974"/>
      <c r="HOH80" s="974"/>
      <c r="HOI80" s="974"/>
      <c r="HOJ80" s="974"/>
      <c r="HOK80" s="974"/>
      <c r="HOL80" s="974"/>
      <c r="HOM80" s="974"/>
      <c r="HON80" s="974"/>
      <c r="HOO80" s="974"/>
      <c r="HOP80" s="974"/>
      <c r="HOQ80" s="974"/>
      <c r="HOR80" s="974"/>
      <c r="HOS80" s="974"/>
      <c r="HOT80" s="974"/>
      <c r="HOU80" s="974"/>
      <c r="HOV80" s="974"/>
      <c r="HOW80" s="974"/>
      <c r="HOX80" s="974"/>
      <c r="HOY80" s="974"/>
      <c r="HOZ80" s="974"/>
      <c r="HPA80" s="974"/>
      <c r="HPB80" s="974"/>
      <c r="HPC80" s="974"/>
      <c r="HPD80" s="974"/>
      <c r="HPE80" s="974"/>
      <c r="HPF80" s="974"/>
      <c r="HPG80" s="974"/>
      <c r="HPH80" s="974"/>
      <c r="HPI80" s="974"/>
      <c r="HPJ80" s="974"/>
      <c r="HPK80" s="974"/>
      <c r="HPL80" s="974"/>
      <c r="HPM80" s="974"/>
      <c r="HPN80" s="974"/>
      <c r="HPO80" s="974"/>
      <c r="HPP80" s="974"/>
      <c r="HPQ80" s="974"/>
      <c r="HPR80" s="974"/>
      <c r="HPS80" s="974"/>
      <c r="HPT80" s="974"/>
      <c r="HPU80" s="974"/>
      <c r="HPV80" s="974"/>
      <c r="HPW80" s="974"/>
      <c r="HPX80" s="974"/>
      <c r="HPY80" s="974"/>
      <c r="HPZ80" s="974"/>
      <c r="HQA80" s="974"/>
      <c r="HQB80" s="974"/>
      <c r="HQC80" s="974"/>
      <c r="HQD80" s="974"/>
      <c r="HQE80" s="974"/>
      <c r="HQF80" s="974"/>
      <c r="HQG80" s="974"/>
      <c r="HQH80" s="974"/>
      <c r="HQI80" s="974"/>
      <c r="HQJ80" s="974"/>
      <c r="HQK80" s="974"/>
      <c r="HQL80" s="974"/>
      <c r="HQM80" s="974"/>
      <c r="HQN80" s="974"/>
      <c r="HQO80" s="974"/>
      <c r="HQP80" s="974"/>
      <c r="HQQ80" s="974"/>
      <c r="HQR80" s="974"/>
      <c r="HQS80" s="974"/>
      <c r="HQT80" s="974"/>
      <c r="HQU80" s="974"/>
      <c r="HQV80" s="974"/>
      <c r="HQW80" s="974"/>
      <c r="HQX80" s="974"/>
      <c r="HQY80" s="974"/>
      <c r="HQZ80" s="974"/>
      <c r="HRA80" s="974"/>
      <c r="HRB80" s="974"/>
      <c r="HRC80" s="974"/>
      <c r="HRD80" s="974"/>
      <c r="HRE80" s="974"/>
      <c r="HRF80" s="974"/>
      <c r="HRG80" s="974"/>
      <c r="HRH80" s="974"/>
      <c r="HRI80" s="974"/>
      <c r="HRJ80" s="974"/>
      <c r="HRK80" s="974"/>
      <c r="HRL80" s="974"/>
      <c r="HRM80" s="974"/>
      <c r="HRN80" s="974"/>
      <c r="HRO80" s="974"/>
      <c r="HRP80" s="974"/>
      <c r="HRQ80" s="974"/>
      <c r="HRR80" s="974"/>
      <c r="HRS80" s="974"/>
      <c r="HRT80" s="974"/>
      <c r="HRU80" s="974"/>
      <c r="HRV80" s="974"/>
      <c r="HRW80" s="974"/>
      <c r="HRX80" s="974"/>
      <c r="HRY80" s="974"/>
      <c r="HRZ80" s="974"/>
      <c r="HSA80" s="974"/>
      <c r="HSB80" s="974"/>
      <c r="HSC80" s="974"/>
      <c r="HSD80" s="974"/>
      <c r="HSE80" s="974"/>
      <c r="HSF80" s="974"/>
      <c r="HSG80" s="974"/>
      <c r="HSH80" s="974"/>
      <c r="HSI80" s="974"/>
      <c r="HSJ80" s="974"/>
      <c r="HSK80" s="974"/>
      <c r="HSL80" s="974"/>
      <c r="HSM80" s="974"/>
      <c r="HSN80" s="974"/>
      <c r="HSO80" s="974"/>
      <c r="HSP80" s="974"/>
      <c r="HSQ80" s="974"/>
      <c r="HSR80" s="974"/>
      <c r="HSS80" s="974"/>
      <c r="HST80" s="974"/>
      <c r="HSU80" s="974"/>
      <c r="HSV80" s="974"/>
      <c r="HSW80" s="974"/>
      <c r="HSX80" s="974"/>
      <c r="HSY80" s="974"/>
      <c r="HSZ80" s="974"/>
      <c r="HTA80" s="974"/>
      <c r="HTB80" s="974"/>
      <c r="HTC80" s="974"/>
      <c r="HTD80" s="974"/>
      <c r="HTE80" s="974"/>
      <c r="HTF80" s="974"/>
      <c r="HTG80" s="974"/>
      <c r="HTH80" s="974"/>
      <c r="HTI80" s="974"/>
      <c r="HTJ80" s="974"/>
      <c r="HTK80" s="974"/>
      <c r="HTL80" s="974"/>
      <c r="HTM80" s="974"/>
      <c r="HTN80" s="974"/>
      <c r="HTO80" s="974"/>
      <c r="HTP80" s="974"/>
      <c r="HTQ80" s="974"/>
      <c r="HTR80" s="974"/>
      <c r="HTS80" s="974"/>
      <c r="HTT80" s="974"/>
      <c r="HTU80" s="974"/>
      <c r="HTV80" s="974"/>
      <c r="HTW80" s="974"/>
      <c r="HTX80" s="974"/>
      <c r="HTY80" s="974"/>
      <c r="HTZ80" s="974"/>
      <c r="HUA80" s="974"/>
      <c r="HUB80" s="974"/>
      <c r="HUC80" s="974"/>
      <c r="HUD80" s="974"/>
      <c r="HUE80" s="974"/>
      <c r="HUF80" s="974"/>
      <c r="HUG80" s="974"/>
      <c r="HUH80" s="974"/>
      <c r="HUI80" s="974"/>
      <c r="HUJ80" s="974"/>
      <c r="HUK80" s="974"/>
      <c r="HUL80" s="974"/>
      <c r="HUM80" s="974"/>
      <c r="HUN80" s="974"/>
      <c r="HUO80" s="974"/>
      <c r="HUP80" s="974"/>
      <c r="HUQ80" s="974"/>
      <c r="HUR80" s="974"/>
      <c r="HUS80" s="974"/>
      <c r="HUT80" s="974"/>
      <c r="HUU80" s="974"/>
      <c r="HUV80" s="974"/>
      <c r="HUW80" s="974"/>
      <c r="HUX80" s="974"/>
      <c r="HUY80" s="974"/>
      <c r="HUZ80" s="974"/>
      <c r="HVA80" s="974"/>
      <c r="HVB80" s="974"/>
      <c r="HVC80" s="974"/>
      <c r="HVD80" s="974"/>
      <c r="HVE80" s="974"/>
      <c r="HVF80" s="974"/>
      <c r="HVG80" s="974"/>
      <c r="HVH80" s="974"/>
      <c r="HVI80" s="974"/>
      <c r="HVJ80" s="974"/>
      <c r="HVK80" s="974"/>
      <c r="HVL80" s="974"/>
      <c r="HVM80" s="974"/>
      <c r="HVN80" s="974"/>
      <c r="HVO80" s="974"/>
      <c r="HVP80" s="974"/>
      <c r="HVQ80" s="974"/>
      <c r="HVR80" s="974"/>
      <c r="HVS80" s="974"/>
      <c r="HVT80" s="974"/>
      <c r="HVU80" s="974"/>
      <c r="HVV80" s="974"/>
      <c r="HVW80" s="974"/>
      <c r="HVX80" s="974"/>
      <c r="HVY80" s="974"/>
      <c r="HVZ80" s="974"/>
      <c r="HWA80" s="974"/>
      <c r="HWB80" s="974"/>
      <c r="HWC80" s="974"/>
      <c r="HWD80" s="974"/>
      <c r="HWE80" s="974"/>
      <c r="HWF80" s="974"/>
      <c r="HWG80" s="974"/>
      <c r="HWH80" s="974"/>
      <c r="HWI80" s="974"/>
      <c r="HWJ80" s="974"/>
      <c r="HWK80" s="974"/>
      <c r="HWL80" s="974"/>
      <c r="HWM80" s="974"/>
      <c r="HWN80" s="974"/>
      <c r="HWO80" s="974"/>
      <c r="HWP80" s="974"/>
      <c r="HWQ80" s="974"/>
      <c r="HWR80" s="974"/>
      <c r="HWS80" s="974"/>
      <c r="HWT80" s="974"/>
      <c r="HWU80" s="974"/>
      <c r="HWV80" s="974"/>
      <c r="HWW80" s="974"/>
      <c r="HWX80" s="974"/>
      <c r="HWY80" s="974"/>
      <c r="HWZ80" s="974"/>
      <c r="HXA80" s="974"/>
      <c r="HXB80" s="974"/>
      <c r="HXC80" s="974"/>
      <c r="HXD80" s="974"/>
      <c r="HXE80" s="974"/>
      <c r="HXF80" s="974"/>
      <c r="HXG80" s="974"/>
      <c r="HXH80" s="974"/>
      <c r="HXI80" s="974"/>
      <c r="HXJ80" s="974"/>
      <c r="HXK80" s="974"/>
      <c r="HXL80" s="974"/>
      <c r="HXM80" s="974"/>
      <c r="HXN80" s="974"/>
      <c r="HXO80" s="974"/>
      <c r="HXP80" s="974"/>
      <c r="HXQ80" s="974"/>
      <c r="HXR80" s="974"/>
      <c r="HXS80" s="974"/>
      <c r="HXT80" s="974"/>
      <c r="HXU80" s="974"/>
      <c r="HXV80" s="974"/>
      <c r="HXW80" s="974"/>
      <c r="HXX80" s="974"/>
      <c r="HXY80" s="974"/>
      <c r="HXZ80" s="974"/>
      <c r="HYA80" s="974"/>
      <c r="HYB80" s="974"/>
      <c r="HYC80" s="974"/>
      <c r="HYD80" s="974"/>
      <c r="HYE80" s="974"/>
      <c r="HYF80" s="974"/>
      <c r="HYG80" s="974"/>
      <c r="HYH80" s="974"/>
      <c r="HYI80" s="974"/>
      <c r="HYJ80" s="974"/>
      <c r="HYK80" s="974"/>
      <c r="HYL80" s="974"/>
      <c r="HYM80" s="974"/>
      <c r="HYN80" s="974"/>
      <c r="HYO80" s="974"/>
      <c r="HYP80" s="974"/>
      <c r="HYQ80" s="974"/>
      <c r="HYR80" s="974"/>
      <c r="HYS80" s="974"/>
      <c r="HYT80" s="974"/>
      <c r="HYU80" s="974"/>
      <c r="HYV80" s="974"/>
      <c r="HYW80" s="974"/>
      <c r="HYX80" s="974"/>
      <c r="HYY80" s="974"/>
      <c r="HYZ80" s="974"/>
      <c r="HZA80" s="974"/>
      <c r="HZB80" s="974"/>
      <c r="HZC80" s="974"/>
      <c r="HZD80" s="974"/>
      <c r="HZE80" s="974"/>
      <c r="HZF80" s="974"/>
      <c r="HZG80" s="974"/>
      <c r="HZH80" s="974"/>
      <c r="HZI80" s="974"/>
      <c r="HZJ80" s="974"/>
      <c r="HZK80" s="974"/>
      <c r="HZL80" s="974"/>
      <c r="HZM80" s="974"/>
      <c r="HZN80" s="974"/>
      <c r="HZO80" s="974"/>
      <c r="HZP80" s="974"/>
      <c r="HZQ80" s="974"/>
      <c r="HZR80" s="974"/>
      <c r="HZS80" s="974"/>
      <c r="HZT80" s="974"/>
      <c r="HZU80" s="974"/>
      <c r="HZV80" s="974"/>
      <c r="HZW80" s="974"/>
      <c r="HZX80" s="974"/>
      <c r="HZY80" s="974"/>
      <c r="HZZ80" s="974"/>
      <c r="IAA80" s="974"/>
      <c r="IAB80" s="974"/>
      <c r="IAC80" s="974"/>
      <c r="IAD80" s="974"/>
      <c r="IAE80" s="974"/>
      <c r="IAF80" s="974"/>
      <c r="IAG80" s="974"/>
      <c r="IAH80" s="974"/>
      <c r="IAI80" s="974"/>
      <c r="IAJ80" s="974"/>
      <c r="IAK80" s="974"/>
      <c r="IAL80" s="974"/>
      <c r="IAM80" s="974"/>
      <c r="IAN80" s="974"/>
      <c r="IAO80" s="974"/>
      <c r="IAP80" s="974"/>
      <c r="IAQ80" s="974"/>
      <c r="IAR80" s="974"/>
      <c r="IAS80" s="974"/>
      <c r="IAT80" s="974"/>
      <c r="IAU80" s="974"/>
      <c r="IAV80" s="974"/>
      <c r="IAW80" s="974"/>
      <c r="IAX80" s="974"/>
      <c r="IAY80" s="974"/>
      <c r="IAZ80" s="974"/>
      <c r="IBA80" s="974"/>
      <c r="IBB80" s="974"/>
      <c r="IBC80" s="974"/>
      <c r="IBD80" s="974"/>
      <c r="IBE80" s="974"/>
      <c r="IBF80" s="974"/>
      <c r="IBG80" s="974"/>
      <c r="IBH80" s="974"/>
      <c r="IBI80" s="974"/>
      <c r="IBJ80" s="974"/>
      <c r="IBK80" s="974"/>
      <c r="IBL80" s="974"/>
      <c r="IBM80" s="974"/>
      <c r="IBN80" s="974"/>
      <c r="IBO80" s="974"/>
      <c r="IBP80" s="974"/>
      <c r="IBQ80" s="974"/>
      <c r="IBR80" s="974"/>
      <c r="IBS80" s="974"/>
      <c r="IBT80" s="974"/>
      <c r="IBU80" s="974"/>
      <c r="IBV80" s="974"/>
      <c r="IBW80" s="974"/>
      <c r="IBX80" s="974"/>
      <c r="IBY80" s="974"/>
      <c r="IBZ80" s="974"/>
      <c r="ICA80" s="974"/>
      <c r="ICB80" s="974"/>
      <c r="ICC80" s="974"/>
      <c r="ICD80" s="974"/>
      <c r="ICE80" s="974"/>
      <c r="ICF80" s="974"/>
      <c r="ICG80" s="974"/>
      <c r="ICH80" s="974"/>
      <c r="ICI80" s="974"/>
      <c r="ICJ80" s="974"/>
      <c r="ICK80" s="974"/>
      <c r="ICL80" s="974"/>
      <c r="ICM80" s="974"/>
      <c r="ICN80" s="974"/>
      <c r="ICO80" s="974"/>
      <c r="ICP80" s="974"/>
      <c r="ICQ80" s="974"/>
      <c r="ICR80" s="974"/>
      <c r="ICS80" s="974"/>
      <c r="ICT80" s="974"/>
      <c r="ICU80" s="974"/>
      <c r="ICV80" s="974"/>
      <c r="ICW80" s="974"/>
      <c r="ICX80" s="974"/>
      <c r="ICY80" s="974"/>
      <c r="ICZ80" s="974"/>
      <c r="IDA80" s="974"/>
      <c r="IDB80" s="974"/>
      <c r="IDC80" s="974"/>
      <c r="IDD80" s="974"/>
      <c r="IDE80" s="974"/>
      <c r="IDF80" s="974"/>
      <c r="IDG80" s="974"/>
      <c r="IDH80" s="974"/>
      <c r="IDI80" s="974"/>
      <c r="IDJ80" s="974"/>
      <c r="IDK80" s="974"/>
      <c r="IDL80" s="974"/>
      <c r="IDM80" s="974"/>
      <c r="IDN80" s="974"/>
      <c r="IDO80" s="974"/>
      <c r="IDP80" s="974"/>
      <c r="IDQ80" s="974"/>
      <c r="IDR80" s="974"/>
      <c r="IDS80" s="974"/>
      <c r="IDT80" s="974"/>
      <c r="IDU80" s="974"/>
      <c r="IDV80" s="974"/>
      <c r="IDW80" s="974"/>
      <c r="IDX80" s="974"/>
      <c r="IDY80" s="974"/>
      <c r="IDZ80" s="974"/>
      <c r="IEA80" s="974"/>
      <c r="IEB80" s="974"/>
      <c r="IEC80" s="974"/>
      <c r="IED80" s="974"/>
      <c r="IEE80" s="974"/>
      <c r="IEF80" s="974"/>
      <c r="IEG80" s="974"/>
      <c r="IEH80" s="974"/>
      <c r="IEI80" s="974"/>
      <c r="IEJ80" s="974"/>
      <c r="IEK80" s="974"/>
      <c r="IEL80" s="974"/>
      <c r="IEM80" s="974"/>
      <c r="IEN80" s="974"/>
      <c r="IEO80" s="974"/>
      <c r="IEP80" s="974"/>
      <c r="IEQ80" s="974"/>
      <c r="IER80" s="974"/>
      <c r="IES80" s="974"/>
      <c r="IET80" s="974"/>
      <c r="IEU80" s="974"/>
      <c r="IEV80" s="974"/>
      <c r="IEW80" s="974"/>
      <c r="IEX80" s="974"/>
      <c r="IEY80" s="974"/>
      <c r="IEZ80" s="974"/>
      <c r="IFA80" s="974"/>
      <c r="IFB80" s="974"/>
      <c r="IFC80" s="974"/>
      <c r="IFD80" s="974"/>
      <c r="IFE80" s="974"/>
      <c r="IFF80" s="974"/>
      <c r="IFG80" s="974"/>
      <c r="IFH80" s="974"/>
      <c r="IFI80" s="974"/>
      <c r="IFJ80" s="974"/>
      <c r="IFK80" s="974"/>
      <c r="IFL80" s="974"/>
      <c r="IFM80" s="974"/>
      <c r="IFN80" s="974"/>
      <c r="IFO80" s="974"/>
      <c r="IFP80" s="974"/>
      <c r="IFQ80" s="974"/>
      <c r="IFR80" s="974"/>
      <c r="IFS80" s="974"/>
      <c r="IFT80" s="974"/>
      <c r="IFU80" s="974"/>
      <c r="IFV80" s="974"/>
      <c r="IFW80" s="974"/>
      <c r="IFX80" s="974"/>
      <c r="IFY80" s="974"/>
      <c r="IFZ80" s="974"/>
      <c r="IGA80" s="974"/>
      <c r="IGB80" s="974"/>
      <c r="IGC80" s="974"/>
      <c r="IGD80" s="974"/>
      <c r="IGE80" s="974"/>
      <c r="IGF80" s="974"/>
      <c r="IGG80" s="974"/>
      <c r="IGH80" s="974"/>
      <c r="IGI80" s="974"/>
      <c r="IGJ80" s="974"/>
      <c r="IGK80" s="974"/>
      <c r="IGL80" s="974"/>
      <c r="IGM80" s="974"/>
      <c r="IGN80" s="974"/>
      <c r="IGO80" s="974"/>
      <c r="IGP80" s="974"/>
      <c r="IGQ80" s="974"/>
      <c r="IGR80" s="974"/>
      <c r="IGS80" s="974"/>
      <c r="IGT80" s="974"/>
      <c r="IGU80" s="974"/>
      <c r="IGV80" s="974"/>
      <c r="IGW80" s="974"/>
      <c r="IGX80" s="974"/>
      <c r="IGY80" s="974"/>
      <c r="IGZ80" s="974"/>
      <c r="IHA80" s="974"/>
      <c r="IHB80" s="974"/>
      <c r="IHC80" s="974"/>
      <c r="IHD80" s="974"/>
      <c r="IHE80" s="974"/>
      <c r="IHF80" s="974"/>
      <c r="IHG80" s="974"/>
      <c r="IHH80" s="974"/>
      <c r="IHI80" s="974"/>
      <c r="IHJ80" s="974"/>
      <c r="IHK80" s="974"/>
      <c r="IHL80" s="974"/>
      <c r="IHM80" s="974"/>
      <c r="IHN80" s="974"/>
      <c r="IHO80" s="974"/>
      <c r="IHP80" s="974"/>
      <c r="IHQ80" s="974"/>
      <c r="IHR80" s="974"/>
      <c r="IHS80" s="974"/>
      <c r="IHT80" s="974"/>
      <c r="IHU80" s="974"/>
      <c r="IHV80" s="974"/>
      <c r="IHW80" s="974"/>
      <c r="IHX80" s="974"/>
      <c r="IHY80" s="974"/>
      <c r="IHZ80" s="974"/>
      <c r="IIA80" s="974"/>
      <c r="IIB80" s="974"/>
      <c r="IIC80" s="974"/>
      <c r="IID80" s="974"/>
      <c r="IIE80" s="974"/>
      <c r="IIF80" s="974"/>
      <c r="IIG80" s="974"/>
      <c r="IIH80" s="974"/>
      <c r="III80" s="974"/>
      <c r="IIJ80" s="974"/>
      <c r="IIK80" s="974"/>
      <c r="IIL80" s="974"/>
      <c r="IIM80" s="974"/>
      <c r="IIN80" s="974"/>
      <c r="IIO80" s="974"/>
      <c r="IIP80" s="974"/>
      <c r="IIQ80" s="974"/>
      <c r="IIR80" s="974"/>
      <c r="IIS80" s="974"/>
      <c r="IIT80" s="974"/>
      <c r="IIU80" s="974"/>
      <c r="IIV80" s="974"/>
      <c r="IIW80" s="974"/>
      <c r="IIX80" s="974"/>
      <c r="IIY80" s="974"/>
      <c r="IIZ80" s="974"/>
      <c r="IJA80" s="974"/>
      <c r="IJB80" s="974"/>
      <c r="IJC80" s="974"/>
      <c r="IJD80" s="974"/>
      <c r="IJE80" s="974"/>
      <c r="IJF80" s="974"/>
      <c r="IJG80" s="974"/>
      <c r="IJH80" s="974"/>
      <c r="IJI80" s="974"/>
      <c r="IJJ80" s="974"/>
      <c r="IJK80" s="974"/>
      <c r="IJL80" s="974"/>
      <c r="IJM80" s="974"/>
      <c r="IJN80" s="974"/>
      <c r="IJO80" s="974"/>
      <c r="IJP80" s="974"/>
      <c r="IJQ80" s="974"/>
      <c r="IJR80" s="974"/>
      <c r="IJS80" s="974"/>
      <c r="IJT80" s="974"/>
      <c r="IJU80" s="974"/>
      <c r="IJV80" s="974"/>
      <c r="IJW80" s="974"/>
      <c r="IJX80" s="974"/>
      <c r="IJY80" s="974"/>
      <c r="IJZ80" s="974"/>
      <c r="IKA80" s="974"/>
      <c r="IKB80" s="974"/>
      <c r="IKC80" s="974"/>
      <c r="IKD80" s="974"/>
      <c r="IKE80" s="974"/>
      <c r="IKF80" s="974"/>
      <c r="IKG80" s="974"/>
      <c r="IKH80" s="974"/>
      <c r="IKI80" s="974"/>
      <c r="IKJ80" s="974"/>
      <c r="IKK80" s="974"/>
      <c r="IKL80" s="974"/>
      <c r="IKM80" s="974"/>
      <c r="IKN80" s="974"/>
      <c r="IKO80" s="974"/>
      <c r="IKP80" s="974"/>
      <c r="IKQ80" s="974"/>
      <c r="IKR80" s="974"/>
      <c r="IKS80" s="974"/>
      <c r="IKT80" s="974"/>
      <c r="IKU80" s="974"/>
      <c r="IKV80" s="974"/>
      <c r="IKW80" s="974"/>
      <c r="IKX80" s="974"/>
      <c r="IKY80" s="974"/>
      <c r="IKZ80" s="974"/>
      <c r="ILA80" s="974"/>
      <c r="ILB80" s="974"/>
      <c r="ILC80" s="974"/>
      <c r="ILD80" s="974"/>
      <c r="ILE80" s="974"/>
      <c r="ILF80" s="974"/>
      <c r="ILG80" s="974"/>
      <c r="ILH80" s="974"/>
      <c r="ILI80" s="974"/>
      <c r="ILJ80" s="974"/>
      <c r="ILK80" s="974"/>
      <c r="ILL80" s="974"/>
      <c r="ILM80" s="974"/>
      <c r="ILN80" s="974"/>
      <c r="ILO80" s="974"/>
      <c r="ILP80" s="974"/>
      <c r="ILQ80" s="974"/>
      <c r="ILR80" s="974"/>
      <c r="ILS80" s="974"/>
      <c r="ILT80" s="974"/>
      <c r="ILU80" s="974"/>
      <c r="ILV80" s="974"/>
      <c r="ILW80" s="974"/>
      <c r="ILX80" s="974"/>
      <c r="ILY80" s="974"/>
      <c r="ILZ80" s="974"/>
      <c r="IMA80" s="974"/>
      <c r="IMB80" s="974"/>
      <c r="IMC80" s="974"/>
      <c r="IMD80" s="974"/>
      <c r="IME80" s="974"/>
      <c r="IMF80" s="974"/>
      <c r="IMG80" s="974"/>
      <c r="IMH80" s="974"/>
      <c r="IMI80" s="974"/>
      <c r="IMJ80" s="974"/>
      <c r="IMK80" s="974"/>
      <c r="IML80" s="974"/>
      <c r="IMM80" s="974"/>
      <c r="IMN80" s="974"/>
      <c r="IMO80" s="974"/>
      <c r="IMP80" s="974"/>
      <c r="IMQ80" s="974"/>
      <c r="IMR80" s="974"/>
      <c r="IMS80" s="974"/>
      <c r="IMT80" s="974"/>
      <c r="IMU80" s="974"/>
      <c r="IMV80" s="974"/>
      <c r="IMW80" s="974"/>
      <c r="IMX80" s="974"/>
      <c r="IMY80" s="974"/>
      <c r="IMZ80" s="974"/>
      <c r="INA80" s="974"/>
      <c r="INB80" s="974"/>
      <c r="INC80" s="974"/>
      <c r="IND80" s="974"/>
      <c r="INE80" s="974"/>
      <c r="INF80" s="974"/>
      <c r="ING80" s="974"/>
      <c r="INH80" s="974"/>
      <c r="INI80" s="974"/>
      <c r="INJ80" s="974"/>
      <c r="INK80" s="974"/>
      <c r="INL80" s="974"/>
      <c r="INM80" s="974"/>
      <c r="INN80" s="974"/>
      <c r="INO80" s="974"/>
      <c r="INP80" s="974"/>
      <c r="INQ80" s="974"/>
      <c r="INR80" s="974"/>
      <c r="INS80" s="974"/>
      <c r="INT80" s="974"/>
      <c r="INU80" s="974"/>
      <c r="INV80" s="974"/>
      <c r="INW80" s="974"/>
      <c r="INX80" s="974"/>
      <c r="INY80" s="974"/>
      <c r="INZ80" s="974"/>
      <c r="IOA80" s="974"/>
      <c r="IOB80" s="974"/>
      <c r="IOC80" s="974"/>
      <c r="IOD80" s="974"/>
      <c r="IOE80" s="974"/>
      <c r="IOF80" s="974"/>
      <c r="IOG80" s="974"/>
      <c r="IOH80" s="974"/>
      <c r="IOI80" s="974"/>
      <c r="IOJ80" s="974"/>
      <c r="IOK80" s="974"/>
      <c r="IOL80" s="974"/>
      <c r="IOM80" s="974"/>
      <c r="ION80" s="974"/>
      <c r="IOO80" s="974"/>
      <c r="IOP80" s="974"/>
      <c r="IOQ80" s="974"/>
      <c r="IOR80" s="974"/>
      <c r="IOS80" s="974"/>
      <c r="IOT80" s="974"/>
      <c r="IOU80" s="974"/>
      <c r="IOV80" s="974"/>
      <c r="IOW80" s="974"/>
      <c r="IOX80" s="974"/>
      <c r="IOY80" s="974"/>
      <c r="IOZ80" s="974"/>
      <c r="IPA80" s="974"/>
      <c r="IPB80" s="974"/>
      <c r="IPC80" s="974"/>
      <c r="IPD80" s="974"/>
      <c r="IPE80" s="974"/>
      <c r="IPF80" s="974"/>
      <c r="IPG80" s="974"/>
      <c r="IPH80" s="974"/>
      <c r="IPI80" s="974"/>
      <c r="IPJ80" s="974"/>
      <c r="IPK80" s="974"/>
      <c r="IPL80" s="974"/>
      <c r="IPM80" s="974"/>
      <c r="IPN80" s="974"/>
      <c r="IPO80" s="974"/>
      <c r="IPP80" s="974"/>
      <c r="IPQ80" s="974"/>
      <c r="IPR80" s="974"/>
      <c r="IPS80" s="974"/>
      <c r="IPT80" s="974"/>
      <c r="IPU80" s="974"/>
      <c r="IPV80" s="974"/>
      <c r="IPW80" s="974"/>
      <c r="IPX80" s="974"/>
      <c r="IPY80" s="974"/>
      <c r="IPZ80" s="974"/>
      <c r="IQA80" s="974"/>
      <c r="IQB80" s="974"/>
      <c r="IQC80" s="974"/>
      <c r="IQD80" s="974"/>
      <c r="IQE80" s="974"/>
      <c r="IQF80" s="974"/>
      <c r="IQG80" s="974"/>
      <c r="IQH80" s="974"/>
      <c r="IQI80" s="974"/>
      <c r="IQJ80" s="974"/>
      <c r="IQK80" s="974"/>
      <c r="IQL80" s="974"/>
      <c r="IQM80" s="974"/>
      <c r="IQN80" s="974"/>
      <c r="IQO80" s="974"/>
      <c r="IQP80" s="974"/>
      <c r="IQQ80" s="974"/>
      <c r="IQR80" s="974"/>
      <c r="IQS80" s="974"/>
      <c r="IQT80" s="974"/>
      <c r="IQU80" s="974"/>
      <c r="IQV80" s="974"/>
      <c r="IQW80" s="974"/>
      <c r="IQX80" s="974"/>
      <c r="IQY80" s="974"/>
      <c r="IQZ80" s="974"/>
      <c r="IRA80" s="974"/>
      <c r="IRB80" s="974"/>
      <c r="IRC80" s="974"/>
      <c r="IRD80" s="974"/>
      <c r="IRE80" s="974"/>
      <c r="IRF80" s="974"/>
      <c r="IRG80" s="974"/>
      <c r="IRH80" s="974"/>
      <c r="IRI80" s="974"/>
      <c r="IRJ80" s="974"/>
      <c r="IRK80" s="974"/>
      <c r="IRL80" s="974"/>
      <c r="IRM80" s="974"/>
      <c r="IRN80" s="974"/>
      <c r="IRO80" s="974"/>
      <c r="IRP80" s="974"/>
      <c r="IRQ80" s="974"/>
      <c r="IRR80" s="974"/>
      <c r="IRS80" s="974"/>
      <c r="IRT80" s="974"/>
      <c r="IRU80" s="974"/>
      <c r="IRV80" s="974"/>
      <c r="IRW80" s="974"/>
      <c r="IRX80" s="974"/>
      <c r="IRY80" s="974"/>
      <c r="IRZ80" s="974"/>
      <c r="ISA80" s="974"/>
      <c r="ISB80" s="974"/>
      <c r="ISC80" s="974"/>
      <c r="ISD80" s="974"/>
      <c r="ISE80" s="974"/>
      <c r="ISF80" s="974"/>
      <c r="ISG80" s="974"/>
      <c r="ISH80" s="974"/>
      <c r="ISI80" s="974"/>
      <c r="ISJ80" s="974"/>
      <c r="ISK80" s="974"/>
      <c r="ISL80" s="974"/>
      <c r="ISM80" s="974"/>
      <c r="ISN80" s="974"/>
      <c r="ISO80" s="974"/>
      <c r="ISP80" s="974"/>
      <c r="ISQ80" s="974"/>
      <c r="ISR80" s="974"/>
      <c r="ISS80" s="974"/>
      <c r="IST80" s="974"/>
      <c r="ISU80" s="974"/>
      <c r="ISV80" s="974"/>
      <c r="ISW80" s="974"/>
      <c r="ISX80" s="974"/>
      <c r="ISY80" s="974"/>
      <c r="ISZ80" s="974"/>
      <c r="ITA80" s="974"/>
      <c r="ITB80" s="974"/>
      <c r="ITC80" s="974"/>
      <c r="ITD80" s="974"/>
      <c r="ITE80" s="974"/>
      <c r="ITF80" s="974"/>
      <c r="ITG80" s="974"/>
      <c r="ITH80" s="974"/>
      <c r="ITI80" s="974"/>
      <c r="ITJ80" s="974"/>
      <c r="ITK80" s="974"/>
      <c r="ITL80" s="974"/>
      <c r="ITM80" s="974"/>
      <c r="ITN80" s="974"/>
      <c r="ITO80" s="974"/>
      <c r="ITP80" s="974"/>
      <c r="ITQ80" s="974"/>
      <c r="ITR80" s="974"/>
      <c r="ITS80" s="974"/>
      <c r="ITT80" s="974"/>
      <c r="ITU80" s="974"/>
      <c r="ITV80" s="974"/>
      <c r="ITW80" s="974"/>
      <c r="ITX80" s="974"/>
      <c r="ITY80" s="974"/>
      <c r="ITZ80" s="974"/>
      <c r="IUA80" s="974"/>
      <c r="IUB80" s="974"/>
      <c r="IUC80" s="974"/>
      <c r="IUD80" s="974"/>
      <c r="IUE80" s="974"/>
      <c r="IUF80" s="974"/>
      <c r="IUG80" s="974"/>
      <c r="IUH80" s="974"/>
      <c r="IUI80" s="974"/>
      <c r="IUJ80" s="974"/>
      <c r="IUK80" s="974"/>
      <c r="IUL80" s="974"/>
      <c r="IUM80" s="974"/>
      <c r="IUN80" s="974"/>
      <c r="IUO80" s="974"/>
      <c r="IUP80" s="974"/>
      <c r="IUQ80" s="974"/>
      <c r="IUR80" s="974"/>
      <c r="IUS80" s="974"/>
      <c r="IUT80" s="974"/>
      <c r="IUU80" s="974"/>
      <c r="IUV80" s="974"/>
      <c r="IUW80" s="974"/>
      <c r="IUX80" s="974"/>
      <c r="IUY80" s="974"/>
      <c r="IUZ80" s="974"/>
      <c r="IVA80" s="974"/>
      <c r="IVB80" s="974"/>
      <c r="IVC80" s="974"/>
      <c r="IVD80" s="974"/>
      <c r="IVE80" s="974"/>
      <c r="IVF80" s="974"/>
      <c r="IVG80" s="974"/>
      <c r="IVH80" s="974"/>
      <c r="IVI80" s="974"/>
      <c r="IVJ80" s="974"/>
      <c r="IVK80" s="974"/>
      <c r="IVL80" s="974"/>
      <c r="IVM80" s="974"/>
      <c r="IVN80" s="974"/>
      <c r="IVO80" s="974"/>
      <c r="IVP80" s="974"/>
      <c r="IVQ80" s="974"/>
      <c r="IVR80" s="974"/>
      <c r="IVS80" s="974"/>
      <c r="IVT80" s="974"/>
      <c r="IVU80" s="974"/>
      <c r="IVV80" s="974"/>
      <c r="IVW80" s="974"/>
      <c r="IVX80" s="974"/>
      <c r="IVY80" s="974"/>
      <c r="IVZ80" s="974"/>
      <c r="IWA80" s="974"/>
      <c r="IWB80" s="974"/>
      <c r="IWC80" s="974"/>
      <c r="IWD80" s="974"/>
      <c r="IWE80" s="974"/>
      <c r="IWF80" s="974"/>
      <c r="IWG80" s="974"/>
      <c r="IWH80" s="974"/>
      <c r="IWI80" s="974"/>
      <c r="IWJ80" s="974"/>
      <c r="IWK80" s="974"/>
      <c r="IWL80" s="974"/>
      <c r="IWM80" s="974"/>
      <c r="IWN80" s="974"/>
      <c r="IWO80" s="974"/>
      <c r="IWP80" s="974"/>
      <c r="IWQ80" s="974"/>
      <c r="IWR80" s="974"/>
      <c r="IWS80" s="974"/>
      <c r="IWT80" s="974"/>
      <c r="IWU80" s="974"/>
      <c r="IWV80" s="974"/>
      <c r="IWW80" s="974"/>
      <c r="IWX80" s="974"/>
      <c r="IWY80" s="974"/>
      <c r="IWZ80" s="974"/>
      <c r="IXA80" s="974"/>
      <c r="IXB80" s="974"/>
      <c r="IXC80" s="974"/>
      <c r="IXD80" s="974"/>
      <c r="IXE80" s="974"/>
      <c r="IXF80" s="974"/>
      <c r="IXG80" s="974"/>
      <c r="IXH80" s="974"/>
      <c r="IXI80" s="974"/>
      <c r="IXJ80" s="974"/>
      <c r="IXK80" s="974"/>
      <c r="IXL80" s="974"/>
      <c r="IXM80" s="974"/>
      <c r="IXN80" s="974"/>
      <c r="IXO80" s="974"/>
      <c r="IXP80" s="974"/>
      <c r="IXQ80" s="974"/>
      <c r="IXR80" s="974"/>
      <c r="IXS80" s="974"/>
      <c r="IXT80" s="974"/>
      <c r="IXU80" s="974"/>
      <c r="IXV80" s="974"/>
      <c r="IXW80" s="974"/>
      <c r="IXX80" s="974"/>
      <c r="IXY80" s="974"/>
      <c r="IXZ80" s="974"/>
      <c r="IYA80" s="974"/>
      <c r="IYB80" s="974"/>
      <c r="IYC80" s="974"/>
      <c r="IYD80" s="974"/>
      <c r="IYE80" s="974"/>
      <c r="IYF80" s="974"/>
      <c r="IYG80" s="974"/>
      <c r="IYH80" s="974"/>
      <c r="IYI80" s="974"/>
      <c r="IYJ80" s="974"/>
      <c r="IYK80" s="974"/>
      <c r="IYL80" s="974"/>
      <c r="IYM80" s="974"/>
      <c r="IYN80" s="974"/>
      <c r="IYO80" s="974"/>
      <c r="IYP80" s="974"/>
      <c r="IYQ80" s="974"/>
      <c r="IYR80" s="974"/>
      <c r="IYS80" s="974"/>
      <c r="IYT80" s="974"/>
      <c r="IYU80" s="974"/>
      <c r="IYV80" s="974"/>
      <c r="IYW80" s="974"/>
      <c r="IYX80" s="974"/>
      <c r="IYY80" s="974"/>
      <c r="IYZ80" s="974"/>
      <c r="IZA80" s="974"/>
      <c r="IZB80" s="974"/>
      <c r="IZC80" s="974"/>
      <c r="IZD80" s="974"/>
      <c r="IZE80" s="974"/>
      <c r="IZF80" s="974"/>
      <c r="IZG80" s="974"/>
      <c r="IZH80" s="974"/>
      <c r="IZI80" s="974"/>
      <c r="IZJ80" s="974"/>
      <c r="IZK80" s="974"/>
      <c r="IZL80" s="974"/>
      <c r="IZM80" s="974"/>
      <c r="IZN80" s="974"/>
      <c r="IZO80" s="974"/>
      <c r="IZP80" s="974"/>
      <c r="IZQ80" s="974"/>
      <c r="IZR80" s="974"/>
      <c r="IZS80" s="974"/>
      <c r="IZT80" s="974"/>
      <c r="IZU80" s="974"/>
      <c r="IZV80" s="974"/>
      <c r="IZW80" s="974"/>
      <c r="IZX80" s="974"/>
      <c r="IZY80" s="974"/>
      <c r="IZZ80" s="974"/>
      <c r="JAA80" s="974"/>
      <c r="JAB80" s="974"/>
      <c r="JAC80" s="974"/>
      <c r="JAD80" s="974"/>
      <c r="JAE80" s="974"/>
      <c r="JAF80" s="974"/>
      <c r="JAG80" s="974"/>
      <c r="JAH80" s="974"/>
      <c r="JAI80" s="974"/>
      <c r="JAJ80" s="974"/>
      <c r="JAK80" s="974"/>
      <c r="JAL80" s="974"/>
      <c r="JAM80" s="974"/>
      <c r="JAN80" s="974"/>
      <c r="JAO80" s="974"/>
      <c r="JAP80" s="974"/>
      <c r="JAQ80" s="974"/>
      <c r="JAR80" s="974"/>
      <c r="JAS80" s="974"/>
      <c r="JAT80" s="974"/>
      <c r="JAU80" s="974"/>
      <c r="JAV80" s="974"/>
      <c r="JAW80" s="974"/>
      <c r="JAX80" s="974"/>
      <c r="JAY80" s="974"/>
      <c r="JAZ80" s="974"/>
      <c r="JBA80" s="974"/>
      <c r="JBB80" s="974"/>
      <c r="JBC80" s="974"/>
      <c r="JBD80" s="974"/>
      <c r="JBE80" s="974"/>
      <c r="JBF80" s="974"/>
      <c r="JBG80" s="974"/>
      <c r="JBH80" s="974"/>
      <c r="JBI80" s="974"/>
      <c r="JBJ80" s="974"/>
      <c r="JBK80" s="974"/>
      <c r="JBL80" s="974"/>
      <c r="JBM80" s="974"/>
      <c r="JBN80" s="974"/>
      <c r="JBO80" s="974"/>
      <c r="JBP80" s="974"/>
      <c r="JBQ80" s="974"/>
      <c r="JBR80" s="974"/>
      <c r="JBS80" s="974"/>
      <c r="JBT80" s="974"/>
      <c r="JBU80" s="974"/>
      <c r="JBV80" s="974"/>
      <c r="JBW80" s="974"/>
      <c r="JBX80" s="974"/>
      <c r="JBY80" s="974"/>
      <c r="JBZ80" s="974"/>
      <c r="JCA80" s="974"/>
      <c r="JCB80" s="974"/>
      <c r="JCC80" s="974"/>
      <c r="JCD80" s="974"/>
      <c r="JCE80" s="974"/>
      <c r="JCF80" s="974"/>
      <c r="JCG80" s="974"/>
      <c r="JCH80" s="974"/>
      <c r="JCI80" s="974"/>
      <c r="JCJ80" s="974"/>
      <c r="JCK80" s="974"/>
      <c r="JCL80" s="974"/>
      <c r="JCM80" s="974"/>
      <c r="JCN80" s="974"/>
      <c r="JCO80" s="974"/>
      <c r="JCP80" s="974"/>
      <c r="JCQ80" s="974"/>
      <c r="JCR80" s="974"/>
      <c r="JCS80" s="974"/>
      <c r="JCT80" s="974"/>
      <c r="JCU80" s="974"/>
      <c r="JCV80" s="974"/>
      <c r="JCW80" s="974"/>
      <c r="JCX80" s="974"/>
      <c r="JCY80" s="974"/>
      <c r="JCZ80" s="974"/>
      <c r="JDA80" s="974"/>
      <c r="JDB80" s="974"/>
      <c r="JDC80" s="974"/>
      <c r="JDD80" s="974"/>
      <c r="JDE80" s="974"/>
      <c r="JDF80" s="974"/>
      <c r="JDG80" s="974"/>
      <c r="JDH80" s="974"/>
      <c r="JDI80" s="974"/>
      <c r="JDJ80" s="974"/>
      <c r="JDK80" s="974"/>
      <c r="JDL80" s="974"/>
      <c r="JDM80" s="974"/>
      <c r="JDN80" s="974"/>
      <c r="JDO80" s="974"/>
      <c r="JDP80" s="974"/>
      <c r="JDQ80" s="974"/>
      <c r="JDR80" s="974"/>
      <c r="JDS80" s="974"/>
      <c r="JDT80" s="974"/>
      <c r="JDU80" s="974"/>
      <c r="JDV80" s="974"/>
      <c r="JDW80" s="974"/>
      <c r="JDX80" s="974"/>
      <c r="JDY80" s="974"/>
      <c r="JDZ80" s="974"/>
      <c r="JEA80" s="974"/>
      <c r="JEB80" s="974"/>
      <c r="JEC80" s="974"/>
      <c r="JED80" s="974"/>
      <c r="JEE80" s="974"/>
      <c r="JEF80" s="974"/>
      <c r="JEG80" s="974"/>
      <c r="JEH80" s="974"/>
      <c r="JEI80" s="974"/>
      <c r="JEJ80" s="974"/>
      <c r="JEK80" s="974"/>
      <c r="JEL80" s="974"/>
      <c r="JEM80" s="974"/>
      <c r="JEN80" s="974"/>
      <c r="JEO80" s="974"/>
      <c r="JEP80" s="974"/>
      <c r="JEQ80" s="974"/>
      <c r="JER80" s="974"/>
      <c r="JES80" s="974"/>
      <c r="JET80" s="974"/>
      <c r="JEU80" s="974"/>
      <c r="JEV80" s="974"/>
      <c r="JEW80" s="974"/>
      <c r="JEX80" s="974"/>
      <c r="JEY80" s="974"/>
      <c r="JEZ80" s="974"/>
      <c r="JFA80" s="974"/>
      <c r="JFB80" s="974"/>
      <c r="JFC80" s="974"/>
      <c r="JFD80" s="974"/>
      <c r="JFE80" s="974"/>
      <c r="JFF80" s="974"/>
      <c r="JFG80" s="974"/>
      <c r="JFH80" s="974"/>
      <c r="JFI80" s="974"/>
      <c r="JFJ80" s="974"/>
      <c r="JFK80" s="974"/>
      <c r="JFL80" s="974"/>
      <c r="JFM80" s="974"/>
      <c r="JFN80" s="974"/>
      <c r="JFO80" s="974"/>
      <c r="JFP80" s="974"/>
      <c r="JFQ80" s="974"/>
      <c r="JFR80" s="974"/>
      <c r="JFS80" s="974"/>
      <c r="JFT80" s="974"/>
      <c r="JFU80" s="974"/>
      <c r="JFV80" s="974"/>
      <c r="JFW80" s="974"/>
      <c r="JFX80" s="974"/>
      <c r="JFY80" s="974"/>
      <c r="JFZ80" s="974"/>
      <c r="JGA80" s="974"/>
      <c r="JGB80" s="974"/>
      <c r="JGC80" s="974"/>
      <c r="JGD80" s="974"/>
      <c r="JGE80" s="974"/>
      <c r="JGF80" s="974"/>
      <c r="JGG80" s="974"/>
      <c r="JGH80" s="974"/>
      <c r="JGI80" s="974"/>
      <c r="JGJ80" s="974"/>
      <c r="JGK80" s="974"/>
      <c r="JGL80" s="974"/>
      <c r="JGM80" s="974"/>
      <c r="JGN80" s="974"/>
      <c r="JGO80" s="974"/>
      <c r="JGP80" s="974"/>
      <c r="JGQ80" s="974"/>
      <c r="JGR80" s="974"/>
      <c r="JGS80" s="974"/>
      <c r="JGT80" s="974"/>
      <c r="JGU80" s="974"/>
      <c r="JGV80" s="974"/>
      <c r="JGW80" s="974"/>
      <c r="JGX80" s="974"/>
      <c r="JGY80" s="974"/>
      <c r="JGZ80" s="974"/>
      <c r="JHA80" s="974"/>
      <c r="JHB80" s="974"/>
      <c r="JHC80" s="974"/>
      <c r="JHD80" s="974"/>
      <c r="JHE80" s="974"/>
      <c r="JHF80" s="974"/>
      <c r="JHG80" s="974"/>
      <c r="JHH80" s="974"/>
      <c r="JHI80" s="974"/>
      <c r="JHJ80" s="974"/>
      <c r="JHK80" s="974"/>
      <c r="JHL80" s="974"/>
      <c r="JHM80" s="974"/>
      <c r="JHN80" s="974"/>
      <c r="JHO80" s="974"/>
      <c r="JHP80" s="974"/>
      <c r="JHQ80" s="974"/>
      <c r="JHR80" s="974"/>
      <c r="JHS80" s="974"/>
      <c r="JHT80" s="974"/>
      <c r="JHU80" s="974"/>
      <c r="JHV80" s="974"/>
      <c r="JHW80" s="974"/>
      <c r="JHX80" s="974"/>
      <c r="JHY80" s="974"/>
      <c r="JHZ80" s="974"/>
      <c r="JIA80" s="974"/>
      <c r="JIB80" s="974"/>
      <c r="JIC80" s="974"/>
      <c r="JID80" s="974"/>
      <c r="JIE80" s="974"/>
      <c r="JIF80" s="974"/>
      <c r="JIG80" s="974"/>
      <c r="JIH80" s="974"/>
      <c r="JII80" s="974"/>
      <c r="JIJ80" s="974"/>
      <c r="JIK80" s="974"/>
      <c r="JIL80" s="974"/>
      <c r="JIM80" s="974"/>
      <c r="JIN80" s="974"/>
      <c r="JIO80" s="974"/>
      <c r="JIP80" s="974"/>
      <c r="JIQ80" s="974"/>
      <c r="JIR80" s="974"/>
      <c r="JIS80" s="974"/>
      <c r="JIT80" s="974"/>
      <c r="JIU80" s="974"/>
      <c r="JIV80" s="974"/>
      <c r="JIW80" s="974"/>
      <c r="JIX80" s="974"/>
      <c r="JIY80" s="974"/>
      <c r="JIZ80" s="974"/>
      <c r="JJA80" s="974"/>
      <c r="JJB80" s="974"/>
      <c r="JJC80" s="974"/>
      <c r="JJD80" s="974"/>
      <c r="JJE80" s="974"/>
      <c r="JJF80" s="974"/>
      <c r="JJG80" s="974"/>
      <c r="JJH80" s="974"/>
      <c r="JJI80" s="974"/>
      <c r="JJJ80" s="974"/>
      <c r="JJK80" s="974"/>
      <c r="JJL80" s="974"/>
      <c r="JJM80" s="974"/>
      <c r="JJN80" s="974"/>
      <c r="JJO80" s="974"/>
      <c r="JJP80" s="974"/>
      <c r="JJQ80" s="974"/>
      <c r="JJR80" s="974"/>
      <c r="JJS80" s="974"/>
      <c r="JJT80" s="974"/>
      <c r="JJU80" s="974"/>
      <c r="JJV80" s="974"/>
      <c r="JJW80" s="974"/>
      <c r="JJX80" s="974"/>
      <c r="JJY80" s="974"/>
      <c r="JJZ80" s="974"/>
      <c r="JKA80" s="974"/>
      <c r="JKB80" s="974"/>
      <c r="JKC80" s="974"/>
      <c r="JKD80" s="974"/>
      <c r="JKE80" s="974"/>
      <c r="JKF80" s="974"/>
      <c r="JKG80" s="974"/>
      <c r="JKH80" s="974"/>
      <c r="JKI80" s="974"/>
      <c r="JKJ80" s="974"/>
      <c r="JKK80" s="974"/>
      <c r="JKL80" s="974"/>
      <c r="JKM80" s="974"/>
      <c r="JKN80" s="974"/>
      <c r="JKO80" s="974"/>
      <c r="JKP80" s="974"/>
      <c r="JKQ80" s="974"/>
      <c r="JKR80" s="974"/>
      <c r="JKS80" s="974"/>
      <c r="JKT80" s="974"/>
      <c r="JKU80" s="974"/>
      <c r="JKV80" s="974"/>
      <c r="JKW80" s="974"/>
      <c r="JKX80" s="974"/>
      <c r="JKY80" s="974"/>
      <c r="JKZ80" s="974"/>
      <c r="JLA80" s="974"/>
      <c r="JLB80" s="974"/>
      <c r="JLC80" s="974"/>
      <c r="JLD80" s="974"/>
      <c r="JLE80" s="974"/>
      <c r="JLF80" s="974"/>
      <c r="JLG80" s="974"/>
      <c r="JLH80" s="974"/>
      <c r="JLI80" s="974"/>
      <c r="JLJ80" s="974"/>
      <c r="JLK80" s="974"/>
      <c r="JLL80" s="974"/>
      <c r="JLM80" s="974"/>
      <c r="JLN80" s="974"/>
      <c r="JLO80" s="974"/>
      <c r="JLP80" s="974"/>
      <c r="JLQ80" s="974"/>
      <c r="JLR80" s="974"/>
      <c r="JLS80" s="974"/>
      <c r="JLT80" s="974"/>
      <c r="JLU80" s="974"/>
      <c r="JLV80" s="974"/>
      <c r="JLW80" s="974"/>
      <c r="JLX80" s="974"/>
      <c r="JLY80" s="974"/>
      <c r="JLZ80" s="974"/>
      <c r="JMA80" s="974"/>
      <c r="JMB80" s="974"/>
      <c r="JMC80" s="974"/>
      <c r="JMD80" s="974"/>
      <c r="JME80" s="974"/>
      <c r="JMF80" s="974"/>
      <c r="JMG80" s="974"/>
      <c r="JMH80" s="974"/>
      <c r="JMI80" s="974"/>
      <c r="JMJ80" s="974"/>
      <c r="JMK80" s="974"/>
      <c r="JML80" s="974"/>
      <c r="JMM80" s="974"/>
      <c r="JMN80" s="974"/>
      <c r="JMO80" s="974"/>
      <c r="JMP80" s="974"/>
      <c r="JMQ80" s="974"/>
      <c r="JMR80" s="974"/>
      <c r="JMS80" s="974"/>
      <c r="JMT80" s="974"/>
      <c r="JMU80" s="974"/>
      <c r="JMV80" s="974"/>
      <c r="JMW80" s="974"/>
      <c r="JMX80" s="974"/>
      <c r="JMY80" s="974"/>
      <c r="JMZ80" s="974"/>
      <c r="JNA80" s="974"/>
      <c r="JNB80" s="974"/>
      <c r="JNC80" s="974"/>
      <c r="JND80" s="974"/>
      <c r="JNE80" s="974"/>
      <c r="JNF80" s="974"/>
      <c r="JNG80" s="974"/>
      <c r="JNH80" s="974"/>
      <c r="JNI80" s="974"/>
      <c r="JNJ80" s="974"/>
      <c r="JNK80" s="974"/>
      <c r="JNL80" s="974"/>
      <c r="JNM80" s="974"/>
      <c r="JNN80" s="974"/>
      <c r="JNO80" s="974"/>
      <c r="JNP80" s="974"/>
      <c r="JNQ80" s="974"/>
      <c r="JNR80" s="974"/>
      <c r="JNS80" s="974"/>
      <c r="JNT80" s="974"/>
      <c r="JNU80" s="974"/>
      <c r="JNV80" s="974"/>
      <c r="JNW80" s="974"/>
      <c r="JNX80" s="974"/>
      <c r="JNY80" s="974"/>
      <c r="JNZ80" s="974"/>
      <c r="JOA80" s="974"/>
      <c r="JOB80" s="974"/>
      <c r="JOC80" s="974"/>
      <c r="JOD80" s="974"/>
      <c r="JOE80" s="974"/>
      <c r="JOF80" s="974"/>
      <c r="JOG80" s="974"/>
      <c r="JOH80" s="974"/>
      <c r="JOI80" s="974"/>
      <c r="JOJ80" s="974"/>
      <c r="JOK80" s="974"/>
      <c r="JOL80" s="974"/>
      <c r="JOM80" s="974"/>
      <c r="JON80" s="974"/>
      <c r="JOO80" s="974"/>
      <c r="JOP80" s="974"/>
      <c r="JOQ80" s="974"/>
      <c r="JOR80" s="974"/>
      <c r="JOS80" s="974"/>
      <c r="JOT80" s="974"/>
      <c r="JOU80" s="974"/>
      <c r="JOV80" s="974"/>
      <c r="JOW80" s="974"/>
      <c r="JOX80" s="974"/>
      <c r="JOY80" s="974"/>
      <c r="JOZ80" s="974"/>
      <c r="JPA80" s="974"/>
      <c r="JPB80" s="974"/>
      <c r="JPC80" s="974"/>
      <c r="JPD80" s="974"/>
      <c r="JPE80" s="974"/>
      <c r="JPF80" s="974"/>
      <c r="JPG80" s="974"/>
      <c r="JPH80" s="974"/>
      <c r="JPI80" s="974"/>
      <c r="JPJ80" s="974"/>
      <c r="JPK80" s="974"/>
      <c r="JPL80" s="974"/>
      <c r="JPM80" s="974"/>
      <c r="JPN80" s="974"/>
      <c r="JPO80" s="974"/>
      <c r="JPP80" s="974"/>
      <c r="JPQ80" s="974"/>
      <c r="JPR80" s="974"/>
      <c r="JPS80" s="974"/>
      <c r="JPT80" s="974"/>
      <c r="JPU80" s="974"/>
      <c r="JPV80" s="974"/>
      <c r="JPW80" s="974"/>
      <c r="JPX80" s="974"/>
      <c r="JPY80" s="974"/>
      <c r="JPZ80" s="974"/>
      <c r="JQA80" s="974"/>
      <c r="JQB80" s="974"/>
      <c r="JQC80" s="974"/>
      <c r="JQD80" s="974"/>
      <c r="JQE80" s="974"/>
      <c r="JQF80" s="974"/>
      <c r="JQG80" s="974"/>
      <c r="JQH80" s="974"/>
      <c r="JQI80" s="974"/>
      <c r="JQJ80" s="974"/>
      <c r="JQK80" s="974"/>
      <c r="JQL80" s="974"/>
      <c r="JQM80" s="974"/>
      <c r="JQN80" s="974"/>
      <c r="JQO80" s="974"/>
      <c r="JQP80" s="974"/>
      <c r="JQQ80" s="974"/>
      <c r="JQR80" s="974"/>
      <c r="JQS80" s="974"/>
      <c r="JQT80" s="974"/>
      <c r="JQU80" s="974"/>
      <c r="JQV80" s="974"/>
      <c r="JQW80" s="974"/>
      <c r="JQX80" s="974"/>
      <c r="JQY80" s="974"/>
      <c r="JQZ80" s="974"/>
      <c r="JRA80" s="974"/>
      <c r="JRB80" s="974"/>
      <c r="JRC80" s="974"/>
      <c r="JRD80" s="974"/>
      <c r="JRE80" s="974"/>
      <c r="JRF80" s="974"/>
      <c r="JRG80" s="974"/>
      <c r="JRH80" s="974"/>
      <c r="JRI80" s="974"/>
      <c r="JRJ80" s="974"/>
      <c r="JRK80" s="974"/>
      <c r="JRL80" s="974"/>
      <c r="JRM80" s="974"/>
      <c r="JRN80" s="974"/>
      <c r="JRO80" s="974"/>
      <c r="JRP80" s="974"/>
      <c r="JRQ80" s="974"/>
      <c r="JRR80" s="974"/>
      <c r="JRS80" s="974"/>
      <c r="JRT80" s="974"/>
      <c r="JRU80" s="974"/>
      <c r="JRV80" s="974"/>
      <c r="JRW80" s="974"/>
      <c r="JRX80" s="974"/>
      <c r="JRY80" s="974"/>
      <c r="JRZ80" s="974"/>
      <c r="JSA80" s="974"/>
      <c r="JSB80" s="974"/>
      <c r="JSC80" s="974"/>
      <c r="JSD80" s="974"/>
      <c r="JSE80" s="974"/>
      <c r="JSF80" s="974"/>
      <c r="JSG80" s="974"/>
      <c r="JSH80" s="974"/>
      <c r="JSI80" s="974"/>
      <c r="JSJ80" s="974"/>
      <c r="JSK80" s="974"/>
      <c r="JSL80" s="974"/>
      <c r="JSM80" s="974"/>
      <c r="JSN80" s="974"/>
      <c r="JSO80" s="974"/>
      <c r="JSP80" s="974"/>
      <c r="JSQ80" s="974"/>
      <c r="JSR80" s="974"/>
      <c r="JSS80" s="974"/>
      <c r="JST80" s="974"/>
      <c r="JSU80" s="974"/>
      <c r="JSV80" s="974"/>
      <c r="JSW80" s="974"/>
      <c r="JSX80" s="974"/>
      <c r="JSY80" s="974"/>
      <c r="JSZ80" s="974"/>
      <c r="JTA80" s="974"/>
      <c r="JTB80" s="974"/>
      <c r="JTC80" s="974"/>
      <c r="JTD80" s="974"/>
      <c r="JTE80" s="974"/>
      <c r="JTF80" s="974"/>
      <c r="JTG80" s="974"/>
      <c r="JTH80" s="974"/>
      <c r="JTI80" s="974"/>
      <c r="JTJ80" s="974"/>
      <c r="JTK80" s="974"/>
      <c r="JTL80" s="974"/>
      <c r="JTM80" s="974"/>
      <c r="JTN80" s="974"/>
      <c r="JTO80" s="974"/>
      <c r="JTP80" s="974"/>
      <c r="JTQ80" s="974"/>
      <c r="JTR80" s="974"/>
      <c r="JTS80" s="974"/>
      <c r="JTT80" s="974"/>
      <c r="JTU80" s="974"/>
      <c r="JTV80" s="974"/>
      <c r="JTW80" s="974"/>
      <c r="JTX80" s="974"/>
      <c r="JTY80" s="974"/>
      <c r="JTZ80" s="974"/>
      <c r="JUA80" s="974"/>
      <c r="JUB80" s="974"/>
      <c r="JUC80" s="974"/>
      <c r="JUD80" s="974"/>
      <c r="JUE80" s="974"/>
      <c r="JUF80" s="974"/>
      <c r="JUG80" s="974"/>
      <c r="JUH80" s="974"/>
      <c r="JUI80" s="974"/>
      <c r="JUJ80" s="974"/>
      <c r="JUK80" s="974"/>
      <c r="JUL80" s="974"/>
      <c r="JUM80" s="974"/>
      <c r="JUN80" s="974"/>
      <c r="JUO80" s="974"/>
      <c r="JUP80" s="974"/>
      <c r="JUQ80" s="974"/>
      <c r="JUR80" s="974"/>
      <c r="JUS80" s="974"/>
      <c r="JUT80" s="974"/>
      <c r="JUU80" s="974"/>
      <c r="JUV80" s="974"/>
      <c r="JUW80" s="974"/>
      <c r="JUX80" s="974"/>
      <c r="JUY80" s="974"/>
      <c r="JUZ80" s="974"/>
      <c r="JVA80" s="974"/>
      <c r="JVB80" s="974"/>
      <c r="JVC80" s="974"/>
      <c r="JVD80" s="974"/>
      <c r="JVE80" s="974"/>
      <c r="JVF80" s="974"/>
      <c r="JVG80" s="974"/>
      <c r="JVH80" s="974"/>
      <c r="JVI80" s="974"/>
      <c r="JVJ80" s="974"/>
      <c r="JVK80" s="974"/>
      <c r="JVL80" s="974"/>
      <c r="JVM80" s="974"/>
      <c r="JVN80" s="974"/>
      <c r="JVO80" s="974"/>
      <c r="JVP80" s="974"/>
      <c r="JVQ80" s="974"/>
      <c r="JVR80" s="974"/>
      <c r="JVS80" s="974"/>
      <c r="JVT80" s="974"/>
      <c r="JVU80" s="974"/>
      <c r="JVV80" s="974"/>
      <c r="JVW80" s="974"/>
      <c r="JVX80" s="974"/>
      <c r="JVY80" s="974"/>
      <c r="JVZ80" s="974"/>
      <c r="JWA80" s="974"/>
      <c r="JWB80" s="974"/>
      <c r="JWC80" s="974"/>
      <c r="JWD80" s="974"/>
      <c r="JWE80" s="974"/>
      <c r="JWF80" s="974"/>
      <c r="JWG80" s="974"/>
      <c r="JWH80" s="974"/>
      <c r="JWI80" s="974"/>
      <c r="JWJ80" s="974"/>
      <c r="JWK80" s="974"/>
      <c r="JWL80" s="974"/>
      <c r="JWM80" s="974"/>
      <c r="JWN80" s="974"/>
      <c r="JWO80" s="974"/>
      <c r="JWP80" s="974"/>
      <c r="JWQ80" s="974"/>
      <c r="JWR80" s="974"/>
      <c r="JWS80" s="974"/>
      <c r="JWT80" s="974"/>
      <c r="JWU80" s="974"/>
      <c r="JWV80" s="974"/>
      <c r="JWW80" s="974"/>
      <c r="JWX80" s="974"/>
      <c r="JWY80" s="974"/>
      <c r="JWZ80" s="974"/>
      <c r="JXA80" s="974"/>
      <c r="JXB80" s="974"/>
      <c r="JXC80" s="974"/>
      <c r="JXD80" s="974"/>
      <c r="JXE80" s="974"/>
      <c r="JXF80" s="974"/>
      <c r="JXG80" s="974"/>
      <c r="JXH80" s="974"/>
      <c r="JXI80" s="974"/>
      <c r="JXJ80" s="974"/>
      <c r="JXK80" s="974"/>
      <c r="JXL80" s="974"/>
      <c r="JXM80" s="974"/>
      <c r="JXN80" s="974"/>
      <c r="JXO80" s="974"/>
      <c r="JXP80" s="974"/>
      <c r="JXQ80" s="974"/>
      <c r="JXR80" s="974"/>
      <c r="JXS80" s="974"/>
      <c r="JXT80" s="974"/>
      <c r="JXU80" s="974"/>
      <c r="JXV80" s="974"/>
      <c r="JXW80" s="974"/>
      <c r="JXX80" s="974"/>
      <c r="JXY80" s="974"/>
      <c r="JXZ80" s="974"/>
      <c r="JYA80" s="974"/>
      <c r="JYB80" s="974"/>
      <c r="JYC80" s="974"/>
      <c r="JYD80" s="974"/>
      <c r="JYE80" s="974"/>
      <c r="JYF80" s="974"/>
      <c r="JYG80" s="974"/>
      <c r="JYH80" s="974"/>
      <c r="JYI80" s="974"/>
      <c r="JYJ80" s="974"/>
      <c r="JYK80" s="974"/>
      <c r="JYL80" s="974"/>
      <c r="JYM80" s="974"/>
      <c r="JYN80" s="974"/>
      <c r="JYO80" s="974"/>
      <c r="JYP80" s="974"/>
      <c r="JYQ80" s="974"/>
      <c r="JYR80" s="974"/>
      <c r="JYS80" s="974"/>
      <c r="JYT80" s="974"/>
      <c r="JYU80" s="974"/>
      <c r="JYV80" s="974"/>
      <c r="JYW80" s="974"/>
      <c r="JYX80" s="974"/>
      <c r="JYY80" s="974"/>
      <c r="JYZ80" s="974"/>
      <c r="JZA80" s="974"/>
      <c r="JZB80" s="974"/>
      <c r="JZC80" s="974"/>
      <c r="JZD80" s="974"/>
      <c r="JZE80" s="974"/>
      <c r="JZF80" s="974"/>
      <c r="JZG80" s="974"/>
      <c r="JZH80" s="974"/>
      <c r="JZI80" s="974"/>
      <c r="JZJ80" s="974"/>
      <c r="JZK80" s="974"/>
      <c r="JZL80" s="974"/>
      <c r="JZM80" s="974"/>
      <c r="JZN80" s="974"/>
      <c r="JZO80" s="974"/>
      <c r="JZP80" s="974"/>
      <c r="JZQ80" s="974"/>
      <c r="JZR80" s="974"/>
      <c r="JZS80" s="974"/>
      <c r="JZT80" s="974"/>
      <c r="JZU80" s="974"/>
      <c r="JZV80" s="974"/>
      <c r="JZW80" s="974"/>
      <c r="JZX80" s="974"/>
      <c r="JZY80" s="974"/>
      <c r="JZZ80" s="974"/>
      <c r="KAA80" s="974"/>
      <c r="KAB80" s="974"/>
      <c r="KAC80" s="974"/>
      <c r="KAD80" s="974"/>
      <c r="KAE80" s="974"/>
      <c r="KAF80" s="974"/>
      <c r="KAG80" s="974"/>
      <c r="KAH80" s="974"/>
      <c r="KAI80" s="974"/>
      <c r="KAJ80" s="974"/>
      <c r="KAK80" s="974"/>
      <c r="KAL80" s="974"/>
      <c r="KAM80" s="974"/>
      <c r="KAN80" s="974"/>
      <c r="KAO80" s="974"/>
      <c r="KAP80" s="974"/>
      <c r="KAQ80" s="974"/>
      <c r="KAR80" s="974"/>
      <c r="KAS80" s="974"/>
      <c r="KAT80" s="974"/>
      <c r="KAU80" s="974"/>
      <c r="KAV80" s="974"/>
      <c r="KAW80" s="974"/>
      <c r="KAX80" s="974"/>
      <c r="KAY80" s="974"/>
      <c r="KAZ80" s="974"/>
      <c r="KBA80" s="974"/>
      <c r="KBB80" s="974"/>
      <c r="KBC80" s="974"/>
      <c r="KBD80" s="974"/>
      <c r="KBE80" s="974"/>
      <c r="KBF80" s="974"/>
      <c r="KBG80" s="974"/>
      <c r="KBH80" s="974"/>
      <c r="KBI80" s="974"/>
      <c r="KBJ80" s="974"/>
      <c r="KBK80" s="974"/>
      <c r="KBL80" s="974"/>
      <c r="KBM80" s="974"/>
      <c r="KBN80" s="974"/>
      <c r="KBO80" s="974"/>
      <c r="KBP80" s="974"/>
      <c r="KBQ80" s="974"/>
      <c r="KBR80" s="974"/>
      <c r="KBS80" s="974"/>
      <c r="KBT80" s="974"/>
      <c r="KBU80" s="974"/>
      <c r="KBV80" s="974"/>
      <c r="KBW80" s="974"/>
      <c r="KBX80" s="974"/>
      <c r="KBY80" s="974"/>
      <c r="KBZ80" s="974"/>
      <c r="KCA80" s="974"/>
      <c r="KCB80" s="974"/>
      <c r="KCC80" s="974"/>
      <c r="KCD80" s="974"/>
      <c r="KCE80" s="974"/>
      <c r="KCF80" s="974"/>
      <c r="KCG80" s="974"/>
      <c r="KCH80" s="974"/>
      <c r="KCI80" s="974"/>
      <c r="KCJ80" s="974"/>
      <c r="KCK80" s="974"/>
      <c r="KCL80" s="974"/>
      <c r="KCM80" s="974"/>
      <c r="KCN80" s="974"/>
      <c r="KCO80" s="974"/>
      <c r="KCP80" s="974"/>
      <c r="KCQ80" s="974"/>
      <c r="KCR80" s="974"/>
      <c r="KCS80" s="974"/>
      <c r="KCT80" s="974"/>
      <c r="KCU80" s="974"/>
      <c r="KCV80" s="974"/>
      <c r="KCW80" s="974"/>
      <c r="KCX80" s="974"/>
      <c r="KCY80" s="974"/>
      <c r="KCZ80" s="974"/>
      <c r="KDA80" s="974"/>
      <c r="KDB80" s="974"/>
      <c r="KDC80" s="974"/>
      <c r="KDD80" s="974"/>
      <c r="KDE80" s="974"/>
      <c r="KDF80" s="974"/>
      <c r="KDG80" s="974"/>
      <c r="KDH80" s="974"/>
      <c r="KDI80" s="974"/>
      <c r="KDJ80" s="974"/>
      <c r="KDK80" s="974"/>
      <c r="KDL80" s="974"/>
      <c r="KDM80" s="974"/>
      <c r="KDN80" s="974"/>
      <c r="KDO80" s="974"/>
      <c r="KDP80" s="974"/>
      <c r="KDQ80" s="974"/>
      <c r="KDR80" s="974"/>
      <c r="KDS80" s="974"/>
      <c r="KDT80" s="974"/>
      <c r="KDU80" s="974"/>
      <c r="KDV80" s="974"/>
      <c r="KDW80" s="974"/>
      <c r="KDX80" s="974"/>
      <c r="KDY80" s="974"/>
      <c r="KDZ80" s="974"/>
      <c r="KEA80" s="974"/>
      <c r="KEB80" s="974"/>
      <c r="KEC80" s="974"/>
      <c r="KED80" s="974"/>
      <c r="KEE80" s="974"/>
      <c r="KEF80" s="974"/>
      <c r="KEG80" s="974"/>
      <c r="KEH80" s="974"/>
      <c r="KEI80" s="974"/>
      <c r="KEJ80" s="974"/>
      <c r="KEK80" s="974"/>
      <c r="KEL80" s="974"/>
      <c r="KEM80" s="974"/>
      <c r="KEN80" s="974"/>
      <c r="KEO80" s="974"/>
      <c r="KEP80" s="974"/>
      <c r="KEQ80" s="974"/>
      <c r="KER80" s="974"/>
      <c r="KES80" s="974"/>
      <c r="KET80" s="974"/>
      <c r="KEU80" s="974"/>
      <c r="KEV80" s="974"/>
      <c r="KEW80" s="974"/>
      <c r="KEX80" s="974"/>
      <c r="KEY80" s="974"/>
      <c r="KEZ80" s="974"/>
      <c r="KFA80" s="974"/>
      <c r="KFB80" s="974"/>
      <c r="KFC80" s="974"/>
      <c r="KFD80" s="974"/>
      <c r="KFE80" s="974"/>
      <c r="KFF80" s="974"/>
      <c r="KFG80" s="974"/>
      <c r="KFH80" s="974"/>
      <c r="KFI80" s="974"/>
      <c r="KFJ80" s="974"/>
      <c r="KFK80" s="974"/>
      <c r="KFL80" s="974"/>
      <c r="KFM80" s="974"/>
      <c r="KFN80" s="974"/>
      <c r="KFO80" s="974"/>
      <c r="KFP80" s="974"/>
      <c r="KFQ80" s="974"/>
      <c r="KFR80" s="974"/>
      <c r="KFS80" s="974"/>
      <c r="KFT80" s="974"/>
      <c r="KFU80" s="974"/>
      <c r="KFV80" s="974"/>
      <c r="KFW80" s="974"/>
      <c r="KFX80" s="974"/>
      <c r="KFY80" s="974"/>
      <c r="KFZ80" s="974"/>
      <c r="KGA80" s="974"/>
      <c r="KGB80" s="974"/>
      <c r="KGC80" s="974"/>
      <c r="KGD80" s="974"/>
      <c r="KGE80" s="974"/>
      <c r="KGF80" s="974"/>
      <c r="KGG80" s="974"/>
      <c r="KGH80" s="974"/>
      <c r="KGI80" s="974"/>
      <c r="KGJ80" s="974"/>
      <c r="KGK80" s="974"/>
      <c r="KGL80" s="974"/>
      <c r="KGM80" s="974"/>
      <c r="KGN80" s="974"/>
      <c r="KGO80" s="974"/>
      <c r="KGP80" s="974"/>
      <c r="KGQ80" s="974"/>
      <c r="KGR80" s="974"/>
      <c r="KGS80" s="974"/>
      <c r="KGT80" s="974"/>
      <c r="KGU80" s="974"/>
      <c r="KGV80" s="974"/>
      <c r="KGW80" s="974"/>
      <c r="KGX80" s="974"/>
      <c r="KGY80" s="974"/>
      <c r="KGZ80" s="974"/>
      <c r="KHA80" s="974"/>
      <c r="KHB80" s="974"/>
      <c r="KHC80" s="974"/>
      <c r="KHD80" s="974"/>
      <c r="KHE80" s="974"/>
      <c r="KHF80" s="974"/>
      <c r="KHG80" s="974"/>
      <c r="KHH80" s="974"/>
      <c r="KHI80" s="974"/>
      <c r="KHJ80" s="974"/>
      <c r="KHK80" s="974"/>
      <c r="KHL80" s="974"/>
      <c r="KHM80" s="974"/>
      <c r="KHN80" s="974"/>
      <c r="KHO80" s="974"/>
      <c r="KHP80" s="974"/>
      <c r="KHQ80" s="974"/>
      <c r="KHR80" s="974"/>
      <c r="KHS80" s="974"/>
      <c r="KHT80" s="974"/>
      <c r="KHU80" s="974"/>
      <c r="KHV80" s="974"/>
      <c r="KHW80" s="974"/>
      <c r="KHX80" s="974"/>
      <c r="KHY80" s="974"/>
      <c r="KHZ80" s="974"/>
      <c r="KIA80" s="974"/>
      <c r="KIB80" s="974"/>
      <c r="KIC80" s="974"/>
      <c r="KID80" s="974"/>
      <c r="KIE80" s="974"/>
      <c r="KIF80" s="974"/>
      <c r="KIG80" s="974"/>
      <c r="KIH80" s="974"/>
      <c r="KII80" s="974"/>
      <c r="KIJ80" s="974"/>
      <c r="KIK80" s="974"/>
      <c r="KIL80" s="974"/>
      <c r="KIM80" s="974"/>
      <c r="KIN80" s="974"/>
      <c r="KIO80" s="974"/>
      <c r="KIP80" s="974"/>
      <c r="KIQ80" s="974"/>
      <c r="KIR80" s="974"/>
      <c r="KIS80" s="974"/>
      <c r="KIT80" s="974"/>
      <c r="KIU80" s="974"/>
      <c r="KIV80" s="974"/>
      <c r="KIW80" s="974"/>
      <c r="KIX80" s="974"/>
      <c r="KIY80" s="974"/>
      <c r="KIZ80" s="974"/>
      <c r="KJA80" s="974"/>
      <c r="KJB80" s="974"/>
      <c r="KJC80" s="974"/>
      <c r="KJD80" s="974"/>
      <c r="KJE80" s="974"/>
      <c r="KJF80" s="974"/>
      <c r="KJG80" s="974"/>
      <c r="KJH80" s="974"/>
      <c r="KJI80" s="974"/>
      <c r="KJJ80" s="974"/>
      <c r="KJK80" s="974"/>
      <c r="KJL80" s="974"/>
      <c r="KJM80" s="974"/>
      <c r="KJN80" s="974"/>
      <c r="KJO80" s="974"/>
      <c r="KJP80" s="974"/>
      <c r="KJQ80" s="974"/>
      <c r="KJR80" s="974"/>
      <c r="KJS80" s="974"/>
      <c r="KJT80" s="974"/>
      <c r="KJU80" s="974"/>
      <c r="KJV80" s="974"/>
      <c r="KJW80" s="974"/>
      <c r="KJX80" s="974"/>
      <c r="KJY80" s="974"/>
      <c r="KJZ80" s="974"/>
      <c r="KKA80" s="974"/>
      <c r="KKB80" s="974"/>
      <c r="KKC80" s="974"/>
      <c r="KKD80" s="974"/>
      <c r="KKE80" s="974"/>
      <c r="KKF80" s="974"/>
      <c r="KKG80" s="974"/>
      <c r="KKH80" s="974"/>
      <c r="KKI80" s="974"/>
      <c r="KKJ80" s="974"/>
      <c r="KKK80" s="974"/>
      <c r="KKL80" s="974"/>
      <c r="KKM80" s="974"/>
      <c r="KKN80" s="974"/>
      <c r="KKO80" s="974"/>
      <c r="KKP80" s="974"/>
      <c r="KKQ80" s="974"/>
      <c r="KKR80" s="974"/>
      <c r="KKS80" s="974"/>
      <c r="KKT80" s="974"/>
      <c r="KKU80" s="974"/>
      <c r="KKV80" s="974"/>
      <c r="KKW80" s="974"/>
      <c r="KKX80" s="974"/>
      <c r="KKY80" s="974"/>
      <c r="KKZ80" s="974"/>
      <c r="KLA80" s="974"/>
      <c r="KLB80" s="974"/>
      <c r="KLC80" s="974"/>
      <c r="KLD80" s="974"/>
      <c r="KLE80" s="974"/>
      <c r="KLF80" s="974"/>
      <c r="KLG80" s="974"/>
      <c r="KLH80" s="974"/>
      <c r="KLI80" s="974"/>
      <c r="KLJ80" s="974"/>
      <c r="KLK80" s="974"/>
      <c r="KLL80" s="974"/>
      <c r="KLM80" s="974"/>
      <c r="KLN80" s="974"/>
      <c r="KLO80" s="974"/>
      <c r="KLP80" s="974"/>
      <c r="KLQ80" s="974"/>
      <c r="KLR80" s="974"/>
      <c r="KLS80" s="974"/>
      <c r="KLT80" s="974"/>
      <c r="KLU80" s="974"/>
      <c r="KLV80" s="974"/>
      <c r="KLW80" s="974"/>
      <c r="KLX80" s="974"/>
      <c r="KLY80" s="974"/>
      <c r="KLZ80" s="974"/>
      <c r="KMA80" s="974"/>
      <c r="KMB80" s="974"/>
      <c r="KMC80" s="974"/>
      <c r="KMD80" s="974"/>
      <c r="KME80" s="974"/>
      <c r="KMF80" s="974"/>
      <c r="KMG80" s="974"/>
      <c r="KMH80" s="974"/>
      <c r="KMI80" s="974"/>
      <c r="KMJ80" s="974"/>
      <c r="KMK80" s="974"/>
      <c r="KML80" s="974"/>
      <c r="KMM80" s="974"/>
      <c r="KMN80" s="974"/>
      <c r="KMO80" s="974"/>
      <c r="KMP80" s="974"/>
      <c r="KMQ80" s="974"/>
      <c r="KMR80" s="974"/>
      <c r="KMS80" s="974"/>
      <c r="KMT80" s="974"/>
      <c r="KMU80" s="974"/>
      <c r="KMV80" s="974"/>
      <c r="KMW80" s="974"/>
      <c r="KMX80" s="974"/>
      <c r="KMY80" s="974"/>
      <c r="KMZ80" s="974"/>
      <c r="KNA80" s="974"/>
      <c r="KNB80" s="974"/>
      <c r="KNC80" s="974"/>
      <c r="KND80" s="974"/>
      <c r="KNE80" s="974"/>
      <c r="KNF80" s="974"/>
      <c r="KNG80" s="974"/>
      <c r="KNH80" s="974"/>
      <c r="KNI80" s="974"/>
      <c r="KNJ80" s="974"/>
      <c r="KNK80" s="974"/>
      <c r="KNL80" s="974"/>
      <c r="KNM80" s="974"/>
      <c r="KNN80" s="974"/>
      <c r="KNO80" s="974"/>
      <c r="KNP80" s="974"/>
      <c r="KNQ80" s="974"/>
      <c r="KNR80" s="974"/>
      <c r="KNS80" s="974"/>
      <c r="KNT80" s="974"/>
      <c r="KNU80" s="974"/>
      <c r="KNV80" s="974"/>
      <c r="KNW80" s="974"/>
      <c r="KNX80" s="974"/>
      <c r="KNY80" s="974"/>
      <c r="KNZ80" s="974"/>
      <c r="KOA80" s="974"/>
      <c r="KOB80" s="974"/>
      <c r="KOC80" s="974"/>
      <c r="KOD80" s="974"/>
      <c r="KOE80" s="974"/>
      <c r="KOF80" s="974"/>
      <c r="KOG80" s="974"/>
      <c r="KOH80" s="974"/>
      <c r="KOI80" s="974"/>
      <c r="KOJ80" s="974"/>
      <c r="KOK80" s="974"/>
      <c r="KOL80" s="974"/>
      <c r="KOM80" s="974"/>
      <c r="KON80" s="974"/>
      <c r="KOO80" s="974"/>
      <c r="KOP80" s="974"/>
      <c r="KOQ80" s="974"/>
      <c r="KOR80" s="974"/>
      <c r="KOS80" s="974"/>
      <c r="KOT80" s="974"/>
      <c r="KOU80" s="974"/>
      <c r="KOV80" s="974"/>
      <c r="KOW80" s="974"/>
      <c r="KOX80" s="974"/>
      <c r="KOY80" s="974"/>
      <c r="KOZ80" s="974"/>
      <c r="KPA80" s="974"/>
      <c r="KPB80" s="974"/>
      <c r="KPC80" s="974"/>
      <c r="KPD80" s="974"/>
      <c r="KPE80" s="974"/>
      <c r="KPF80" s="974"/>
      <c r="KPG80" s="974"/>
      <c r="KPH80" s="974"/>
      <c r="KPI80" s="974"/>
      <c r="KPJ80" s="974"/>
      <c r="KPK80" s="974"/>
      <c r="KPL80" s="974"/>
      <c r="KPM80" s="974"/>
      <c r="KPN80" s="974"/>
      <c r="KPO80" s="974"/>
      <c r="KPP80" s="974"/>
      <c r="KPQ80" s="974"/>
      <c r="KPR80" s="974"/>
      <c r="KPS80" s="974"/>
      <c r="KPT80" s="974"/>
      <c r="KPU80" s="974"/>
      <c r="KPV80" s="974"/>
      <c r="KPW80" s="974"/>
      <c r="KPX80" s="974"/>
      <c r="KPY80" s="974"/>
      <c r="KPZ80" s="974"/>
      <c r="KQA80" s="974"/>
      <c r="KQB80" s="974"/>
      <c r="KQC80" s="974"/>
      <c r="KQD80" s="974"/>
      <c r="KQE80" s="974"/>
      <c r="KQF80" s="974"/>
      <c r="KQG80" s="974"/>
      <c r="KQH80" s="974"/>
      <c r="KQI80" s="974"/>
      <c r="KQJ80" s="974"/>
      <c r="KQK80" s="974"/>
      <c r="KQL80" s="974"/>
      <c r="KQM80" s="974"/>
      <c r="KQN80" s="974"/>
      <c r="KQO80" s="974"/>
      <c r="KQP80" s="974"/>
      <c r="KQQ80" s="974"/>
      <c r="KQR80" s="974"/>
      <c r="KQS80" s="974"/>
      <c r="KQT80" s="974"/>
      <c r="KQU80" s="974"/>
      <c r="KQV80" s="974"/>
      <c r="KQW80" s="974"/>
      <c r="KQX80" s="974"/>
      <c r="KQY80" s="974"/>
      <c r="KQZ80" s="974"/>
      <c r="KRA80" s="974"/>
      <c r="KRB80" s="974"/>
      <c r="KRC80" s="974"/>
      <c r="KRD80" s="974"/>
      <c r="KRE80" s="974"/>
      <c r="KRF80" s="974"/>
      <c r="KRG80" s="974"/>
      <c r="KRH80" s="974"/>
      <c r="KRI80" s="974"/>
      <c r="KRJ80" s="974"/>
      <c r="KRK80" s="974"/>
      <c r="KRL80" s="974"/>
      <c r="KRM80" s="974"/>
      <c r="KRN80" s="974"/>
      <c r="KRO80" s="974"/>
      <c r="KRP80" s="974"/>
      <c r="KRQ80" s="974"/>
      <c r="KRR80" s="974"/>
      <c r="KRS80" s="974"/>
      <c r="KRT80" s="974"/>
      <c r="KRU80" s="974"/>
      <c r="KRV80" s="974"/>
      <c r="KRW80" s="974"/>
      <c r="KRX80" s="974"/>
      <c r="KRY80" s="974"/>
      <c r="KRZ80" s="974"/>
      <c r="KSA80" s="974"/>
      <c r="KSB80" s="974"/>
      <c r="KSC80" s="974"/>
      <c r="KSD80" s="974"/>
      <c r="KSE80" s="974"/>
      <c r="KSF80" s="974"/>
      <c r="KSG80" s="974"/>
      <c r="KSH80" s="974"/>
      <c r="KSI80" s="974"/>
      <c r="KSJ80" s="974"/>
      <c r="KSK80" s="974"/>
      <c r="KSL80" s="974"/>
      <c r="KSM80" s="974"/>
      <c r="KSN80" s="974"/>
      <c r="KSO80" s="974"/>
      <c r="KSP80" s="974"/>
      <c r="KSQ80" s="974"/>
      <c r="KSR80" s="974"/>
      <c r="KSS80" s="974"/>
      <c r="KST80" s="974"/>
      <c r="KSU80" s="974"/>
      <c r="KSV80" s="974"/>
      <c r="KSW80" s="974"/>
      <c r="KSX80" s="974"/>
      <c r="KSY80" s="974"/>
      <c r="KSZ80" s="974"/>
      <c r="KTA80" s="974"/>
      <c r="KTB80" s="974"/>
      <c r="KTC80" s="974"/>
      <c r="KTD80" s="974"/>
      <c r="KTE80" s="974"/>
      <c r="KTF80" s="974"/>
      <c r="KTG80" s="974"/>
      <c r="KTH80" s="974"/>
      <c r="KTI80" s="974"/>
      <c r="KTJ80" s="974"/>
      <c r="KTK80" s="974"/>
      <c r="KTL80" s="974"/>
      <c r="KTM80" s="974"/>
      <c r="KTN80" s="974"/>
      <c r="KTO80" s="974"/>
      <c r="KTP80" s="974"/>
      <c r="KTQ80" s="974"/>
      <c r="KTR80" s="974"/>
      <c r="KTS80" s="974"/>
      <c r="KTT80" s="974"/>
      <c r="KTU80" s="974"/>
      <c r="KTV80" s="974"/>
      <c r="KTW80" s="974"/>
      <c r="KTX80" s="974"/>
      <c r="KTY80" s="974"/>
      <c r="KTZ80" s="974"/>
      <c r="KUA80" s="974"/>
      <c r="KUB80" s="974"/>
      <c r="KUC80" s="974"/>
      <c r="KUD80" s="974"/>
      <c r="KUE80" s="974"/>
      <c r="KUF80" s="974"/>
      <c r="KUG80" s="974"/>
      <c r="KUH80" s="974"/>
      <c r="KUI80" s="974"/>
      <c r="KUJ80" s="974"/>
      <c r="KUK80" s="974"/>
      <c r="KUL80" s="974"/>
      <c r="KUM80" s="974"/>
      <c r="KUN80" s="974"/>
      <c r="KUO80" s="974"/>
      <c r="KUP80" s="974"/>
      <c r="KUQ80" s="974"/>
      <c r="KUR80" s="974"/>
      <c r="KUS80" s="974"/>
      <c r="KUT80" s="974"/>
      <c r="KUU80" s="974"/>
      <c r="KUV80" s="974"/>
      <c r="KUW80" s="974"/>
      <c r="KUX80" s="974"/>
      <c r="KUY80" s="974"/>
      <c r="KUZ80" s="974"/>
      <c r="KVA80" s="974"/>
      <c r="KVB80" s="974"/>
      <c r="KVC80" s="974"/>
      <c r="KVD80" s="974"/>
      <c r="KVE80" s="974"/>
      <c r="KVF80" s="974"/>
      <c r="KVG80" s="974"/>
      <c r="KVH80" s="974"/>
      <c r="KVI80" s="974"/>
      <c r="KVJ80" s="974"/>
      <c r="KVK80" s="974"/>
      <c r="KVL80" s="974"/>
      <c r="KVM80" s="974"/>
      <c r="KVN80" s="974"/>
      <c r="KVO80" s="974"/>
      <c r="KVP80" s="974"/>
      <c r="KVQ80" s="974"/>
      <c r="KVR80" s="974"/>
      <c r="KVS80" s="974"/>
      <c r="KVT80" s="974"/>
      <c r="KVU80" s="974"/>
      <c r="KVV80" s="974"/>
      <c r="KVW80" s="974"/>
      <c r="KVX80" s="974"/>
      <c r="KVY80" s="974"/>
      <c r="KVZ80" s="974"/>
      <c r="KWA80" s="974"/>
      <c r="KWB80" s="974"/>
      <c r="KWC80" s="974"/>
      <c r="KWD80" s="974"/>
      <c r="KWE80" s="974"/>
      <c r="KWF80" s="974"/>
      <c r="KWG80" s="974"/>
      <c r="KWH80" s="974"/>
      <c r="KWI80" s="974"/>
      <c r="KWJ80" s="974"/>
      <c r="KWK80" s="974"/>
      <c r="KWL80" s="974"/>
      <c r="KWM80" s="974"/>
      <c r="KWN80" s="974"/>
      <c r="KWO80" s="974"/>
      <c r="KWP80" s="974"/>
      <c r="KWQ80" s="974"/>
      <c r="KWR80" s="974"/>
      <c r="KWS80" s="974"/>
      <c r="KWT80" s="974"/>
      <c r="KWU80" s="974"/>
      <c r="KWV80" s="974"/>
      <c r="KWW80" s="974"/>
      <c r="KWX80" s="974"/>
      <c r="KWY80" s="974"/>
      <c r="KWZ80" s="974"/>
      <c r="KXA80" s="974"/>
      <c r="KXB80" s="974"/>
      <c r="KXC80" s="974"/>
      <c r="KXD80" s="974"/>
      <c r="KXE80" s="974"/>
      <c r="KXF80" s="974"/>
      <c r="KXG80" s="974"/>
      <c r="KXH80" s="974"/>
      <c r="KXI80" s="974"/>
      <c r="KXJ80" s="974"/>
      <c r="KXK80" s="974"/>
      <c r="KXL80" s="974"/>
      <c r="KXM80" s="974"/>
      <c r="KXN80" s="974"/>
      <c r="KXO80" s="974"/>
      <c r="KXP80" s="974"/>
      <c r="KXQ80" s="974"/>
      <c r="KXR80" s="974"/>
      <c r="KXS80" s="974"/>
      <c r="KXT80" s="974"/>
      <c r="KXU80" s="974"/>
      <c r="KXV80" s="974"/>
      <c r="KXW80" s="974"/>
      <c r="KXX80" s="974"/>
      <c r="KXY80" s="974"/>
      <c r="KXZ80" s="974"/>
      <c r="KYA80" s="974"/>
      <c r="KYB80" s="974"/>
      <c r="KYC80" s="974"/>
      <c r="KYD80" s="974"/>
      <c r="KYE80" s="974"/>
      <c r="KYF80" s="974"/>
      <c r="KYG80" s="974"/>
      <c r="KYH80" s="974"/>
      <c r="KYI80" s="974"/>
      <c r="KYJ80" s="974"/>
      <c r="KYK80" s="974"/>
      <c r="KYL80" s="974"/>
      <c r="KYM80" s="974"/>
      <c r="KYN80" s="974"/>
      <c r="KYO80" s="974"/>
      <c r="KYP80" s="974"/>
      <c r="KYQ80" s="974"/>
      <c r="KYR80" s="974"/>
      <c r="KYS80" s="974"/>
      <c r="KYT80" s="974"/>
      <c r="KYU80" s="974"/>
      <c r="KYV80" s="974"/>
      <c r="KYW80" s="974"/>
      <c r="KYX80" s="974"/>
      <c r="KYY80" s="974"/>
      <c r="KYZ80" s="974"/>
      <c r="KZA80" s="974"/>
      <c r="KZB80" s="974"/>
      <c r="KZC80" s="974"/>
      <c r="KZD80" s="974"/>
      <c r="KZE80" s="974"/>
      <c r="KZF80" s="974"/>
      <c r="KZG80" s="974"/>
      <c r="KZH80" s="974"/>
      <c r="KZI80" s="974"/>
      <c r="KZJ80" s="974"/>
      <c r="KZK80" s="974"/>
      <c r="KZL80" s="974"/>
      <c r="KZM80" s="974"/>
      <c r="KZN80" s="974"/>
      <c r="KZO80" s="974"/>
      <c r="KZP80" s="974"/>
      <c r="KZQ80" s="974"/>
      <c r="KZR80" s="974"/>
      <c r="KZS80" s="974"/>
      <c r="KZT80" s="974"/>
      <c r="KZU80" s="974"/>
      <c r="KZV80" s="974"/>
      <c r="KZW80" s="974"/>
      <c r="KZX80" s="974"/>
      <c r="KZY80" s="974"/>
      <c r="KZZ80" s="974"/>
      <c r="LAA80" s="974"/>
      <c r="LAB80" s="974"/>
      <c r="LAC80" s="974"/>
      <c r="LAD80" s="974"/>
      <c r="LAE80" s="974"/>
      <c r="LAF80" s="974"/>
      <c r="LAG80" s="974"/>
      <c r="LAH80" s="974"/>
      <c r="LAI80" s="974"/>
      <c r="LAJ80" s="974"/>
      <c r="LAK80" s="974"/>
      <c r="LAL80" s="974"/>
      <c r="LAM80" s="974"/>
      <c r="LAN80" s="974"/>
      <c r="LAO80" s="974"/>
      <c r="LAP80" s="974"/>
      <c r="LAQ80" s="974"/>
      <c r="LAR80" s="974"/>
      <c r="LAS80" s="974"/>
      <c r="LAT80" s="974"/>
      <c r="LAU80" s="974"/>
      <c r="LAV80" s="974"/>
      <c r="LAW80" s="974"/>
      <c r="LAX80" s="974"/>
      <c r="LAY80" s="974"/>
      <c r="LAZ80" s="974"/>
      <c r="LBA80" s="974"/>
      <c r="LBB80" s="974"/>
      <c r="LBC80" s="974"/>
      <c r="LBD80" s="974"/>
      <c r="LBE80" s="974"/>
      <c r="LBF80" s="974"/>
      <c r="LBG80" s="974"/>
      <c r="LBH80" s="974"/>
      <c r="LBI80" s="974"/>
      <c r="LBJ80" s="974"/>
      <c r="LBK80" s="974"/>
      <c r="LBL80" s="974"/>
      <c r="LBM80" s="974"/>
      <c r="LBN80" s="974"/>
      <c r="LBO80" s="974"/>
      <c r="LBP80" s="974"/>
      <c r="LBQ80" s="974"/>
      <c r="LBR80" s="974"/>
      <c r="LBS80" s="974"/>
      <c r="LBT80" s="974"/>
      <c r="LBU80" s="974"/>
      <c r="LBV80" s="974"/>
      <c r="LBW80" s="974"/>
      <c r="LBX80" s="974"/>
      <c r="LBY80" s="974"/>
      <c r="LBZ80" s="974"/>
      <c r="LCA80" s="974"/>
      <c r="LCB80" s="974"/>
      <c r="LCC80" s="974"/>
      <c r="LCD80" s="974"/>
      <c r="LCE80" s="974"/>
      <c r="LCF80" s="974"/>
      <c r="LCG80" s="974"/>
      <c r="LCH80" s="974"/>
      <c r="LCI80" s="974"/>
      <c r="LCJ80" s="974"/>
      <c r="LCK80" s="974"/>
      <c r="LCL80" s="974"/>
      <c r="LCM80" s="974"/>
      <c r="LCN80" s="974"/>
      <c r="LCO80" s="974"/>
      <c r="LCP80" s="974"/>
      <c r="LCQ80" s="974"/>
      <c r="LCR80" s="974"/>
      <c r="LCS80" s="974"/>
      <c r="LCT80" s="974"/>
      <c r="LCU80" s="974"/>
      <c r="LCV80" s="974"/>
      <c r="LCW80" s="974"/>
      <c r="LCX80" s="974"/>
      <c r="LCY80" s="974"/>
      <c r="LCZ80" s="974"/>
      <c r="LDA80" s="974"/>
      <c r="LDB80" s="974"/>
      <c r="LDC80" s="974"/>
      <c r="LDD80" s="974"/>
      <c r="LDE80" s="974"/>
      <c r="LDF80" s="974"/>
      <c r="LDG80" s="974"/>
      <c r="LDH80" s="974"/>
      <c r="LDI80" s="974"/>
      <c r="LDJ80" s="974"/>
      <c r="LDK80" s="974"/>
      <c r="LDL80" s="974"/>
      <c r="LDM80" s="974"/>
      <c r="LDN80" s="974"/>
      <c r="LDO80" s="974"/>
      <c r="LDP80" s="974"/>
      <c r="LDQ80" s="974"/>
      <c r="LDR80" s="974"/>
      <c r="LDS80" s="974"/>
      <c r="LDT80" s="974"/>
      <c r="LDU80" s="974"/>
      <c r="LDV80" s="974"/>
      <c r="LDW80" s="974"/>
      <c r="LDX80" s="974"/>
      <c r="LDY80" s="974"/>
      <c r="LDZ80" s="974"/>
      <c r="LEA80" s="974"/>
      <c r="LEB80" s="974"/>
      <c r="LEC80" s="974"/>
      <c r="LED80" s="974"/>
      <c r="LEE80" s="974"/>
      <c r="LEF80" s="974"/>
      <c r="LEG80" s="974"/>
      <c r="LEH80" s="974"/>
      <c r="LEI80" s="974"/>
      <c r="LEJ80" s="974"/>
      <c r="LEK80" s="974"/>
      <c r="LEL80" s="974"/>
      <c r="LEM80" s="974"/>
      <c r="LEN80" s="974"/>
      <c r="LEO80" s="974"/>
      <c r="LEP80" s="974"/>
      <c r="LEQ80" s="974"/>
      <c r="LER80" s="974"/>
      <c r="LES80" s="974"/>
      <c r="LET80" s="974"/>
      <c r="LEU80" s="974"/>
      <c r="LEV80" s="974"/>
      <c r="LEW80" s="974"/>
      <c r="LEX80" s="974"/>
      <c r="LEY80" s="974"/>
      <c r="LEZ80" s="974"/>
      <c r="LFA80" s="974"/>
      <c r="LFB80" s="974"/>
      <c r="LFC80" s="974"/>
      <c r="LFD80" s="974"/>
      <c r="LFE80" s="974"/>
      <c r="LFF80" s="974"/>
      <c r="LFG80" s="974"/>
      <c r="LFH80" s="974"/>
      <c r="LFI80" s="974"/>
      <c r="LFJ80" s="974"/>
      <c r="LFK80" s="974"/>
      <c r="LFL80" s="974"/>
      <c r="LFM80" s="974"/>
      <c r="LFN80" s="974"/>
      <c r="LFO80" s="974"/>
      <c r="LFP80" s="974"/>
      <c r="LFQ80" s="974"/>
      <c r="LFR80" s="974"/>
      <c r="LFS80" s="974"/>
      <c r="LFT80" s="974"/>
      <c r="LFU80" s="974"/>
      <c r="LFV80" s="974"/>
      <c r="LFW80" s="974"/>
      <c r="LFX80" s="974"/>
      <c r="LFY80" s="974"/>
      <c r="LFZ80" s="974"/>
      <c r="LGA80" s="974"/>
      <c r="LGB80" s="974"/>
      <c r="LGC80" s="974"/>
      <c r="LGD80" s="974"/>
      <c r="LGE80" s="974"/>
      <c r="LGF80" s="974"/>
      <c r="LGG80" s="974"/>
      <c r="LGH80" s="974"/>
      <c r="LGI80" s="974"/>
      <c r="LGJ80" s="974"/>
      <c r="LGK80" s="974"/>
      <c r="LGL80" s="974"/>
      <c r="LGM80" s="974"/>
      <c r="LGN80" s="974"/>
      <c r="LGO80" s="974"/>
      <c r="LGP80" s="974"/>
      <c r="LGQ80" s="974"/>
      <c r="LGR80" s="974"/>
      <c r="LGS80" s="974"/>
      <c r="LGT80" s="974"/>
      <c r="LGU80" s="974"/>
      <c r="LGV80" s="974"/>
      <c r="LGW80" s="974"/>
      <c r="LGX80" s="974"/>
      <c r="LGY80" s="974"/>
      <c r="LGZ80" s="974"/>
      <c r="LHA80" s="974"/>
      <c r="LHB80" s="974"/>
      <c r="LHC80" s="974"/>
      <c r="LHD80" s="974"/>
      <c r="LHE80" s="974"/>
      <c r="LHF80" s="974"/>
      <c r="LHG80" s="974"/>
      <c r="LHH80" s="974"/>
      <c r="LHI80" s="974"/>
      <c r="LHJ80" s="974"/>
      <c r="LHK80" s="974"/>
      <c r="LHL80" s="974"/>
      <c r="LHM80" s="974"/>
      <c r="LHN80" s="974"/>
      <c r="LHO80" s="974"/>
      <c r="LHP80" s="974"/>
      <c r="LHQ80" s="974"/>
      <c r="LHR80" s="974"/>
      <c r="LHS80" s="974"/>
      <c r="LHT80" s="974"/>
      <c r="LHU80" s="974"/>
      <c r="LHV80" s="974"/>
      <c r="LHW80" s="974"/>
      <c r="LHX80" s="974"/>
      <c r="LHY80" s="974"/>
      <c r="LHZ80" s="974"/>
      <c r="LIA80" s="974"/>
      <c r="LIB80" s="974"/>
      <c r="LIC80" s="974"/>
      <c r="LID80" s="974"/>
      <c r="LIE80" s="974"/>
      <c r="LIF80" s="974"/>
      <c r="LIG80" s="974"/>
      <c r="LIH80" s="974"/>
      <c r="LII80" s="974"/>
      <c r="LIJ80" s="974"/>
      <c r="LIK80" s="974"/>
      <c r="LIL80" s="974"/>
      <c r="LIM80" s="974"/>
      <c r="LIN80" s="974"/>
      <c r="LIO80" s="974"/>
      <c r="LIP80" s="974"/>
      <c r="LIQ80" s="974"/>
      <c r="LIR80" s="974"/>
      <c r="LIS80" s="974"/>
      <c r="LIT80" s="974"/>
      <c r="LIU80" s="974"/>
      <c r="LIV80" s="974"/>
      <c r="LIW80" s="974"/>
      <c r="LIX80" s="974"/>
      <c r="LIY80" s="974"/>
      <c r="LIZ80" s="974"/>
      <c r="LJA80" s="974"/>
      <c r="LJB80" s="974"/>
      <c r="LJC80" s="974"/>
      <c r="LJD80" s="974"/>
      <c r="LJE80" s="974"/>
      <c r="LJF80" s="974"/>
      <c r="LJG80" s="974"/>
      <c r="LJH80" s="974"/>
      <c r="LJI80" s="974"/>
      <c r="LJJ80" s="974"/>
      <c r="LJK80" s="974"/>
      <c r="LJL80" s="974"/>
      <c r="LJM80" s="974"/>
      <c r="LJN80" s="974"/>
      <c r="LJO80" s="974"/>
      <c r="LJP80" s="974"/>
      <c r="LJQ80" s="974"/>
      <c r="LJR80" s="974"/>
      <c r="LJS80" s="974"/>
      <c r="LJT80" s="974"/>
      <c r="LJU80" s="974"/>
      <c r="LJV80" s="974"/>
      <c r="LJW80" s="974"/>
      <c r="LJX80" s="974"/>
      <c r="LJY80" s="974"/>
      <c r="LJZ80" s="974"/>
      <c r="LKA80" s="974"/>
      <c r="LKB80" s="974"/>
      <c r="LKC80" s="974"/>
      <c r="LKD80" s="974"/>
      <c r="LKE80" s="974"/>
      <c r="LKF80" s="974"/>
      <c r="LKG80" s="974"/>
      <c r="LKH80" s="974"/>
      <c r="LKI80" s="974"/>
      <c r="LKJ80" s="974"/>
      <c r="LKK80" s="974"/>
      <c r="LKL80" s="974"/>
      <c r="LKM80" s="974"/>
      <c r="LKN80" s="974"/>
      <c r="LKO80" s="974"/>
      <c r="LKP80" s="974"/>
      <c r="LKQ80" s="974"/>
      <c r="LKR80" s="974"/>
      <c r="LKS80" s="974"/>
      <c r="LKT80" s="974"/>
      <c r="LKU80" s="974"/>
      <c r="LKV80" s="974"/>
      <c r="LKW80" s="974"/>
      <c r="LKX80" s="974"/>
      <c r="LKY80" s="974"/>
      <c r="LKZ80" s="974"/>
      <c r="LLA80" s="974"/>
      <c r="LLB80" s="974"/>
      <c r="LLC80" s="974"/>
      <c r="LLD80" s="974"/>
      <c r="LLE80" s="974"/>
      <c r="LLF80" s="974"/>
      <c r="LLG80" s="974"/>
      <c r="LLH80" s="974"/>
      <c r="LLI80" s="974"/>
      <c r="LLJ80" s="974"/>
      <c r="LLK80" s="974"/>
      <c r="LLL80" s="974"/>
      <c r="LLM80" s="974"/>
      <c r="LLN80" s="974"/>
      <c r="LLO80" s="974"/>
      <c r="LLP80" s="974"/>
      <c r="LLQ80" s="974"/>
      <c r="LLR80" s="974"/>
      <c r="LLS80" s="974"/>
      <c r="LLT80" s="974"/>
      <c r="LLU80" s="974"/>
      <c r="LLV80" s="974"/>
      <c r="LLW80" s="974"/>
      <c r="LLX80" s="974"/>
      <c r="LLY80" s="974"/>
      <c r="LLZ80" s="974"/>
      <c r="LMA80" s="974"/>
      <c r="LMB80" s="974"/>
      <c r="LMC80" s="974"/>
      <c r="LMD80" s="974"/>
      <c r="LME80" s="974"/>
      <c r="LMF80" s="974"/>
      <c r="LMG80" s="974"/>
      <c r="LMH80" s="974"/>
      <c r="LMI80" s="974"/>
      <c r="LMJ80" s="974"/>
      <c r="LMK80" s="974"/>
      <c r="LML80" s="974"/>
      <c r="LMM80" s="974"/>
      <c r="LMN80" s="974"/>
      <c r="LMO80" s="974"/>
      <c r="LMP80" s="974"/>
      <c r="LMQ80" s="974"/>
      <c r="LMR80" s="974"/>
      <c r="LMS80" s="974"/>
      <c r="LMT80" s="974"/>
      <c r="LMU80" s="974"/>
      <c r="LMV80" s="974"/>
      <c r="LMW80" s="974"/>
      <c r="LMX80" s="974"/>
      <c r="LMY80" s="974"/>
      <c r="LMZ80" s="974"/>
      <c r="LNA80" s="974"/>
      <c r="LNB80" s="974"/>
      <c r="LNC80" s="974"/>
      <c r="LND80" s="974"/>
      <c r="LNE80" s="974"/>
      <c r="LNF80" s="974"/>
      <c r="LNG80" s="974"/>
      <c r="LNH80" s="974"/>
      <c r="LNI80" s="974"/>
      <c r="LNJ80" s="974"/>
      <c r="LNK80" s="974"/>
      <c r="LNL80" s="974"/>
      <c r="LNM80" s="974"/>
      <c r="LNN80" s="974"/>
      <c r="LNO80" s="974"/>
      <c r="LNP80" s="974"/>
      <c r="LNQ80" s="974"/>
      <c r="LNR80" s="974"/>
      <c r="LNS80" s="974"/>
      <c r="LNT80" s="974"/>
      <c r="LNU80" s="974"/>
      <c r="LNV80" s="974"/>
      <c r="LNW80" s="974"/>
      <c r="LNX80" s="974"/>
      <c r="LNY80" s="974"/>
      <c r="LNZ80" s="974"/>
      <c r="LOA80" s="974"/>
      <c r="LOB80" s="974"/>
      <c r="LOC80" s="974"/>
      <c r="LOD80" s="974"/>
      <c r="LOE80" s="974"/>
      <c r="LOF80" s="974"/>
      <c r="LOG80" s="974"/>
      <c r="LOH80" s="974"/>
      <c r="LOI80" s="974"/>
      <c r="LOJ80" s="974"/>
      <c r="LOK80" s="974"/>
      <c r="LOL80" s="974"/>
      <c r="LOM80" s="974"/>
      <c r="LON80" s="974"/>
      <c r="LOO80" s="974"/>
      <c r="LOP80" s="974"/>
      <c r="LOQ80" s="974"/>
      <c r="LOR80" s="974"/>
      <c r="LOS80" s="974"/>
      <c r="LOT80" s="974"/>
      <c r="LOU80" s="974"/>
      <c r="LOV80" s="974"/>
      <c r="LOW80" s="974"/>
      <c r="LOX80" s="974"/>
      <c r="LOY80" s="974"/>
      <c r="LOZ80" s="974"/>
      <c r="LPA80" s="974"/>
      <c r="LPB80" s="974"/>
      <c r="LPC80" s="974"/>
      <c r="LPD80" s="974"/>
      <c r="LPE80" s="974"/>
      <c r="LPF80" s="974"/>
      <c r="LPG80" s="974"/>
      <c r="LPH80" s="974"/>
      <c r="LPI80" s="974"/>
      <c r="LPJ80" s="974"/>
      <c r="LPK80" s="974"/>
      <c r="LPL80" s="974"/>
      <c r="LPM80" s="974"/>
      <c r="LPN80" s="974"/>
      <c r="LPO80" s="974"/>
      <c r="LPP80" s="974"/>
      <c r="LPQ80" s="974"/>
      <c r="LPR80" s="974"/>
      <c r="LPS80" s="974"/>
      <c r="LPT80" s="974"/>
      <c r="LPU80" s="974"/>
      <c r="LPV80" s="974"/>
      <c r="LPW80" s="974"/>
      <c r="LPX80" s="974"/>
      <c r="LPY80" s="974"/>
      <c r="LPZ80" s="974"/>
      <c r="LQA80" s="974"/>
      <c r="LQB80" s="974"/>
      <c r="LQC80" s="974"/>
      <c r="LQD80" s="974"/>
      <c r="LQE80" s="974"/>
      <c r="LQF80" s="974"/>
      <c r="LQG80" s="974"/>
      <c r="LQH80" s="974"/>
      <c r="LQI80" s="974"/>
      <c r="LQJ80" s="974"/>
      <c r="LQK80" s="974"/>
      <c r="LQL80" s="974"/>
      <c r="LQM80" s="974"/>
      <c r="LQN80" s="974"/>
      <c r="LQO80" s="974"/>
      <c r="LQP80" s="974"/>
      <c r="LQQ80" s="974"/>
      <c r="LQR80" s="974"/>
      <c r="LQS80" s="974"/>
      <c r="LQT80" s="974"/>
      <c r="LQU80" s="974"/>
      <c r="LQV80" s="974"/>
      <c r="LQW80" s="974"/>
      <c r="LQX80" s="974"/>
      <c r="LQY80" s="974"/>
      <c r="LQZ80" s="974"/>
      <c r="LRA80" s="974"/>
      <c r="LRB80" s="974"/>
      <c r="LRC80" s="974"/>
      <c r="LRD80" s="974"/>
      <c r="LRE80" s="974"/>
      <c r="LRF80" s="974"/>
      <c r="LRG80" s="974"/>
      <c r="LRH80" s="974"/>
      <c r="LRI80" s="974"/>
      <c r="LRJ80" s="974"/>
      <c r="LRK80" s="974"/>
      <c r="LRL80" s="974"/>
      <c r="LRM80" s="974"/>
      <c r="LRN80" s="974"/>
      <c r="LRO80" s="974"/>
      <c r="LRP80" s="974"/>
      <c r="LRQ80" s="974"/>
      <c r="LRR80" s="974"/>
      <c r="LRS80" s="974"/>
      <c r="LRT80" s="974"/>
      <c r="LRU80" s="974"/>
      <c r="LRV80" s="974"/>
      <c r="LRW80" s="974"/>
      <c r="LRX80" s="974"/>
      <c r="LRY80" s="974"/>
      <c r="LRZ80" s="974"/>
      <c r="LSA80" s="974"/>
      <c r="LSB80" s="974"/>
      <c r="LSC80" s="974"/>
      <c r="LSD80" s="974"/>
      <c r="LSE80" s="974"/>
      <c r="LSF80" s="974"/>
      <c r="LSG80" s="974"/>
      <c r="LSH80" s="974"/>
      <c r="LSI80" s="974"/>
      <c r="LSJ80" s="974"/>
      <c r="LSK80" s="974"/>
      <c r="LSL80" s="974"/>
      <c r="LSM80" s="974"/>
      <c r="LSN80" s="974"/>
      <c r="LSO80" s="974"/>
      <c r="LSP80" s="974"/>
      <c r="LSQ80" s="974"/>
      <c r="LSR80" s="974"/>
      <c r="LSS80" s="974"/>
      <c r="LST80" s="974"/>
      <c r="LSU80" s="974"/>
      <c r="LSV80" s="974"/>
      <c r="LSW80" s="974"/>
      <c r="LSX80" s="974"/>
      <c r="LSY80" s="974"/>
      <c r="LSZ80" s="974"/>
      <c r="LTA80" s="974"/>
      <c r="LTB80" s="974"/>
      <c r="LTC80" s="974"/>
      <c r="LTD80" s="974"/>
      <c r="LTE80" s="974"/>
      <c r="LTF80" s="974"/>
      <c r="LTG80" s="974"/>
      <c r="LTH80" s="974"/>
      <c r="LTI80" s="974"/>
      <c r="LTJ80" s="974"/>
      <c r="LTK80" s="974"/>
      <c r="LTL80" s="974"/>
      <c r="LTM80" s="974"/>
      <c r="LTN80" s="974"/>
      <c r="LTO80" s="974"/>
      <c r="LTP80" s="974"/>
      <c r="LTQ80" s="974"/>
      <c r="LTR80" s="974"/>
      <c r="LTS80" s="974"/>
      <c r="LTT80" s="974"/>
      <c r="LTU80" s="974"/>
      <c r="LTV80" s="974"/>
      <c r="LTW80" s="974"/>
      <c r="LTX80" s="974"/>
      <c r="LTY80" s="974"/>
      <c r="LTZ80" s="974"/>
      <c r="LUA80" s="974"/>
      <c r="LUB80" s="974"/>
      <c r="LUC80" s="974"/>
      <c r="LUD80" s="974"/>
      <c r="LUE80" s="974"/>
      <c r="LUF80" s="974"/>
      <c r="LUG80" s="974"/>
      <c r="LUH80" s="974"/>
      <c r="LUI80" s="974"/>
      <c r="LUJ80" s="974"/>
      <c r="LUK80" s="974"/>
      <c r="LUL80" s="974"/>
      <c r="LUM80" s="974"/>
      <c r="LUN80" s="974"/>
      <c r="LUO80" s="974"/>
      <c r="LUP80" s="974"/>
      <c r="LUQ80" s="974"/>
      <c r="LUR80" s="974"/>
      <c r="LUS80" s="974"/>
      <c r="LUT80" s="974"/>
      <c r="LUU80" s="974"/>
      <c r="LUV80" s="974"/>
      <c r="LUW80" s="974"/>
      <c r="LUX80" s="974"/>
      <c r="LUY80" s="974"/>
      <c r="LUZ80" s="974"/>
      <c r="LVA80" s="974"/>
      <c r="LVB80" s="974"/>
      <c r="LVC80" s="974"/>
      <c r="LVD80" s="974"/>
      <c r="LVE80" s="974"/>
      <c r="LVF80" s="974"/>
      <c r="LVG80" s="974"/>
      <c r="LVH80" s="974"/>
      <c r="LVI80" s="974"/>
      <c r="LVJ80" s="974"/>
      <c r="LVK80" s="974"/>
      <c r="LVL80" s="974"/>
      <c r="LVM80" s="974"/>
      <c r="LVN80" s="974"/>
      <c r="LVO80" s="974"/>
      <c r="LVP80" s="974"/>
      <c r="LVQ80" s="974"/>
      <c r="LVR80" s="974"/>
      <c r="LVS80" s="974"/>
      <c r="LVT80" s="974"/>
      <c r="LVU80" s="974"/>
      <c r="LVV80" s="974"/>
      <c r="LVW80" s="974"/>
      <c r="LVX80" s="974"/>
      <c r="LVY80" s="974"/>
      <c r="LVZ80" s="974"/>
      <c r="LWA80" s="974"/>
      <c r="LWB80" s="974"/>
      <c r="LWC80" s="974"/>
      <c r="LWD80" s="974"/>
      <c r="LWE80" s="974"/>
      <c r="LWF80" s="974"/>
      <c r="LWG80" s="974"/>
      <c r="LWH80" s="974"/>
      <c r="LWI80" s="974"/>
      <c r="LWJ80" s="974"/>
      <c r="LWK80" s="974"/>
      <c r="LWL80" s="974"/>
      <c r="LWM80" s="974"/>
      <c r="LWN80" s="974"/>
      <c r="LWO80" s="974"/>
      <c r="LWP80" s="974"/>
      <c r="LWQ80" s="974"/>
      <c r="LWR80" s="974"/>
      <c r="LWS80" s="974"/>
      <c r="LWT80" s="974"/>
      <c r="LWU80" s="974"/>
      <c r="LWV80" s="974"/>
      <c r="LWW80" s="974"/>
      <c r="LWX80" s="974"/>
      <c r="LWY80" s="974"/>
      <c r="LWZ80" s="974"/>
      <c r="LXA80" s="974"/>
      <c r="LXB80" s="974"/>
      <c r="LXC80" s="974"/>
      <c r="LXD80" s="974"/>
      <c r="LXE80" s="974"/>
      <c r="LXF80" s="974"/>
      <c r="LXG80" s="974"/>
      <c r="LXH80" s="974"/>
      <c r="LXI80" s="974"/>
      <c r="LXJ80" s="974"/>
      <c r="LXK80" s="974"/>
      <c r="LXL80" s="974"/>
      <c r="LXM80" s="974"/>
      <c r="LXN80" s="974"/>
      <c r="LXO80" s="974"/>
      <c r="LXP80" s="974"/>
      <c r="LXQ80" s="974"/>
      <c r="LXR80" s="974"/>
      <c r="LXS80" s="974"/>
      <c r="LXT80" s="974"/>
      <c r="LXU80" s="974"/>
      <c r="LXV80" s="974"/>
      <c r="LXW80" s="974"/>
      <c r="LXX80" s="974"/>
      <c r="LXY80" s="974"/>
      <c r="LXZ80" s="974"/>
      <c r="LYA80" s="974"/>
      <c r="LYB80" s="974"/>
      <c r="LYC80" s="974"/>
      <c r="LYD80" s="974"/>
      <c r="LYE80" s="974"/>
      <c r="LYF80" s="974"/>
      <c r="LYG80" s="974"/>
      <c r="LYH80" s="974"/>
      <c r="LYI80" s="974"/>
      <c r="LYJ80" s="974"/>
      <c r="LYK80" s="974"/>
      <c r="LYL80" s="974"/>
      <c r="LYM80" s="974"/>
      <c r="LYN80" s="974"/>
      <c r="LYO80" s="974"/>
      <c r="LYP80" s="974"/>
      <c r="LYQ80" s="974"/>
      <c r="LYR80" s="974"/>
      <c r="LYS80" s="974"/>
      <c r="LYT80" s="974"/>
      <c r="LYU80" s="974"/>
      <c r="LYV80" s="974"/>
      <c r="LYW80" s="974"/>
      <c r="LYX80" s="974"/>
      <c r="LYY80" s="974"/>
      <c r="LYZ80" s="974"/>
      <c r="LZA80" s="974"/>
      <c r="LZB80" s="974"/>
      <c r="LZC80" s="974"/>
      <c r="LZD80" s="974"/>
      <c r="LZE80" s="974"/>
      <c r="LZF80" s="974"/>
      <c r="LZG80" s="974"/>
      <c r="LZH80" s="974"/>
      <c r="LZI80" s="974"/>
      <c r="LZJ80" s="974"/>
      <c r="LZK80" s="974"/>
      <c r="LZL80" s="974"/>
      <c r="LZM80" s="974"/>
      <c r="LZN80" s="974"/>
      <c r="LZO80" s="974"/>
      <c r="LZP80" s="974"/>
      <c r="LZQ80" s="974"/>
      <c r="LZR80" s="974"/>
      <c r="LZS80" s="974"/>
      <c r="LZT80" s="974"/>
      <c r="LZU80" s="974"/>
      <c r="LZV80" s="974"/>
      <c r="LZW80" s="974"/>
      <c r="LZX80" s="974"/>
      <c r="LZY80" s="974"/>
      <c r="LZZ80" s="974"/>
      <c r="MAA80" s="974"/>
      <c r="MAB80" s="974"/>
      <c r="MAC80" s="974"/>
      <c r="MAD80" s="974"/>
      <c r="MAE80" s="974"/>
      <c r="MAF80" s="974"/>
      <c r="MAG80" s="974"/>
      <c r="MAH80" s="974"/>
      <c r="MAI80" s="974"/>
      <c r="MAJ80" s="974"/>
      <c r="MAK80" s="974"/>
      <c r="MAL80" s="974"/>
      <c r="MAM80" s="974"/>
      <c r="MAN80" s="974"/>
      <c r="MAO80" s="974"/>
      <c r="MAP80" s="974"/>
      <c r="MAQ80" s="974"/>
      <c r="MAR80" s="974"/>
      <c r="MAS80" s="974"/>
      <c r="MAT80" s="974"/>
      <c r="MAU80" s="974"/>
      <c r="MAV80" s="974"/>
      <c r="MAW80" s="974"/>
      <c r="MAX80" s="974"/>
      <c r="MAY80" s="974"/>
      <c r="MAZ80" s="974"/>
      <c r="MBA80" s="974"/>
      <c r="MBB80" s="974"/>
      <c r="MBC80" s="974"/>
      <c r="MBD80" s="974"/>
      <c r="MBE80" s="974"/>
      <c r="MBF80" s="974"/>
      <c r="MBG80" s="974"/>
      <c r="MBH80" s="974"/>
      <c r="MBI80" s="974"/>
      <c r="MBJ80" s="974"/>
      <c r="MBK80" s="974"/>
      <c r="MBL80" s="974"/>
      <c r="MBM80" s="974"/>
      <c r="MBN80" s="974"/>
      <c r="MBO80" s="974"/>
      <c r="MBP80" s="974"/>
      <c r="MBQ80" s="974"/>
      <c r="MBR80" s="974"/>
      <c r="MBS80" s="974"/>
      <c r="MBT80" s="974"/>
      <c r="MBU80" s="974"/>
      <c r="MBV80" s="974"/>
      <c r="MBW80" s="974"/>
      <c r="MBX80" s="974"/>
      <c r="MBY80" s="974"/>
      <c r="MBZ80" s="974"/>
      <c r="MCA80" s="974"/>
      <c r="MCB80" s="974"/>
      <c r="MCC80" s="974"/>
      <c r="MCD80" s="974"/>
      <c r="MCE80" s="974"/>
      <c r="MCF80" s="974"/>
      <c r="MCG80" s="974"/>
      <c r="MCH80" s="974"/>
      <c r="MCI80" s="974"/>
      <c r="MCJ80" s="974"/>
      <c r="MCK80" s="974"/>
      <c r="MCL80" s="974"/>
      <c r="MCM80" s="974"/>
      <c r="MCN80" s="974"/>
      <c r="MCO80" s="974"/>
      <c r="MCP80" s="974"/>
      <c r="MCQ80" s="974"/>
      <c r="MCR80" s="974"/>
      <c r="MCS80" s="974"/>
      <c r="MCT80" s="974"/>
      <c r="MCU80" s="974"/>
      <c r="MCV80" s="974"/>
      <c r="MCW80" s="974"/>
      <c r="MCX80" s="974"/>
      <c r="MCY80" s="974"/>
      <c r="MCZ80" s="974"/>
      <c r="MDA80" s="974"/>
      <c r="MDB80" s="974"/>
      <c r="MDC80" s="974"/>
      <c r="MDD80" s="974"/>
      <c r="MDE80" s="974"/>
      <c r="MDF80" s="974"/>
      <c r="MDG80" s="974"/>
      <c r="MDH80" s="974"/>
      <c r="MDI80" s="974"/>
      <c r="MDJ80" s="974"/>
      <c r="MDK80" s="974"/>
      <c r="MDL80" s="974"/>
      <c r="MDM80" s="974"/>
      <c r="MDN80" s="974"/>
      <c r="MDO80" s="974"/>
      <c r="MDP80" s="974"/>
      <c r="MDQ80" s="974"/>
      <c r="MDR80" s="974"/>
      <c r="MDS80" s="974"/>
      <c r="MDT80" s="974"/>
      <c r="MDU80" s="974"/>
      <c r="MDV80" s="974"/>
      <c r="MDW80" s="974"/>
      <c r="MDX80" s="974"/>
      <c r="MDY80" s="974"/>
      <c r="MDZ80" s="974"/>
      <c r="MEA80" s="974"/>
      <c r="MEB80" s="974"/>
      <c r="MEC80" s="974"/>
      <c r="MED80" s="974"/>
      <c r="MEE80" s="974"/>
      <c r="MEF80" s="974"/>
      <c r="MEG80" s="974"/>
      <c r="MEH80" s="974"/>
      <c r="MEI80" s="974"/>
      <c r="MEJ80" s="974"/>
      <c r="MEK80" s="974"/>
      <c r="MEL80" s="974"/>
      <c r="MEM80" s="974"/>
      <c r="MEN80" s="974"/>
      <c r="MEO80" s="974"/>
      <c r="MEP80" s="974"/>
      <c r="MEQ80" s="974"/>
      <c r="MER80" s="974"/>
      <c r="MES80" s="974"/>
      <c r="MET80" s="974"/>
      <c r="MEU80" s="974"/>
      <c r="MEV80" s="974"/>
      <c r="MEW80" s="974"/>
      <c r="MEX80" s="974"/>
      <c r="MEY80" s="974"/>
      <c r="MEZ80" s="974"/>
      <c r="MFA80" s="974"/>
      <c r="MFB80" s="974"/>
      <c r="MFC80" s="974"/>
      <c r="MFD80" s="974"/>
      <c r="MFE80" s="974"/>
      <c r="MFF80" s="974"/>
      <c r="MFG80" s="974"/>
      <c r="MFH80" s="974"/>
      <c r="MFI80" s="974"/>
      <c r="MFJ80" s="974"/>
      <c r="MFK80" s="974"/>
      <c r="MFL80" s="974"/>
      <c r="MFM80" s="974"/>
      <c r="MFN80" s="974"/>
      <c r="MFO80" s="974"/>
      <c r="MFP80" s="974"/>
      <c r="MFQ80" s="974"/>
      <c r="MFR80" s="974"/>
      <c r="MFS80" s="974"/>
      <c r="MFT80" s="974"/>
      <c r="MFU80" s="974"/>
      <c r="MFV80" s="974"/>
      <c r="MFW80" s="974"/>
      <c r="MFX80" s="974"/>
      <c r="MFY80" s="974"/>
      <c r="MFZ80" s="974"/>
      <c r="MGA80" s="974"/>
      <c r="MGB80" s="974"/>
      <c r="MGC80" s="974"/>
      <c r="MGD80" s="974"/>
      <c r="MGE80" s="974"/>
      <c r="MGF80" s="974"/>
      <c r="MGG80" s="974"/>
      <c r="MGH80" s="974"/>
      <c r="MGI80" s="974"/>
      <c r="MGJ80" s="974"/>
      <c r="MGK80" s="974"/>
      <c r="MGL80" s="974"/>
      <c r="MGM80" s="974"/>
      <c r="MGN80" s="974"/>
      <c r="MGO80" s="974"/>
      <c r="MGP80" s="974"/>
      <c r="MGQ80" s="974"/>
      <c r="MGR80" s="974"/>
      <c r="MGS80" s="974"/>
      <c r="MGT80" s="974"/>
      <c r="MGU80" s="974"/>
      <c r="MGV80" s="974"/>
      <c r="MGW80" s="974"/>
      <c r="MGX80" s="974"/>
      <c r="MGY80" s="974"/>
      <c r="MGZ80" s="974"/>
      <c r="MHA80" s="974"/>
      <c r="MHB80" s="974"/>
      <c r="MHC80" s="974"/>
      <c r="MHD80" s="974"/>
      <c r="MHE80" s="974"/>
      <c r="MHF80" s="974"/>
      <c r="MHG80" s="974"/>
      <c r="MHH80" s="974"/>
      <c r="MHI80" s="974"/>
      <c r="MHJ80" s="974"/>
      <c r="MHK80" s="974"/>
      <c r="MHL80" s="974"/>
      <c r="MHM80" s="974"/>
      <c r="MHN80" s="974"/>
      <c r="MHO80" s="974"/>
      <c r="MHP80" s="974"/>
      <c r="MHQ80" s="974"/>
      <c r="MHR80" s="974"/>
      <c r="MHS80" s="974"/>
      <c r="MHT80" s="974"/>
      <c r="MHU80" s="974"/>
      <c r="MHV80" s="974"/>
      <c r="MHW80" s="974"/>
      <c r="MHX80" s="974"/>
      <c r="MHY80" s="974"/>
      <c r="MHZ80" s="974"/>
      <c r="MIA80" s="974"/>
      <c r="MIB80" s="974"/>
      <c r="MIC80" s="974"/>
      <c r="MID80" s="974"/>
      <c r="MIE80" s="974"/>
      <c r="MIF80" s="974"/>
      <c r="MIG80" s="974"/>
      <c r="MIH80" s="974"/>
      <c r="MII80" s="974"/>
      <c r="MIJ80" s="974"/>
      <c r="MIK80" s="974"/>
      <c r="MIL80" s="974"/>
      <c r="MIM80" s="974"/>
      <c r="MIN80" s="974"/>
      <c r="MIO80" s="974"/>
      <c r="MIP80" s="974"/>
      <c r="MIQ80" s="974"/>
      <c r="MIR80" s="974"/>
      <c r="MIS80" s="974"/>
      <c r="MIT80" s="974"/>
      <c r="MIU80" s="974"/>
      <c r="MIV80" s="974"/>
      <c r="MIW80" s="974"/>
      <c r="MIX80" s="974"/>
      <c r="MIY80" s="974"/>
      <c r="MIZ80" s="974"/>
      <c r="MJA80" s="974"/>
      <c r="MJB80" s="974"/>
      <c r="MJC80" s="974"/>
      <c r="MJD80" s="974"/>
      <c r="MJE80" s="974"/>
      <c r="MJF80" s="974"/>
      <c r="MJG80" s="974"/>
      <c r="MJH80" s="974"/>
      <c r="MJI80" s="974"/>
      <c r="MJJ80" s="974"/>
      <c r="MJK80" s="974"/>
      <c r="MJL80" s="974"/>
      <c r="MJM80" s="974"/>
      <c r="MJN80" s="974"/>
      <c r="MJO80" s="974"/>
      <c r="MJP80" s="974"/>
      <c r="MJQ80" s="974"/>
      <c r="MJR80" s="974"/>
      <c r="MJS80" s="974"/>
      <c r="MJT80" s="974"/>
      <c r="MJU80" s="974"/>
      <c r="MJV80" s="974"/>
      <c r="MJW80" s="974"/>
      <c r="MJX80" s="974"/>
      <c r="MJY80" s="974"/>
      <c r="MJZ80" s="974"/>
      <c r="MKA80" s="974"/>
      <c r="MKB80" s="974"/>
      <c r="MKC80" s="974"/>
      <c r="MKD80" s="974"/>
      <c r="MKE80" s="974"/>
      <c r="MKF80" s="974"/>
      <c r="MKG80" s="974"/>
      <c r="MKH80" s="974"/>
      <c r="MKI80" s="974"/>
      <c r="MKJ80" s="974"/>
      <c r="MKK80" s="974"/>
      <c r="MKL80" s="974"/>
      <c r="MKM80" s="974"/>
      <c r="MKN80" s="974"/>
      <c r="MKO80" s="974"/>
      <c r="MKP80" s="974"/>
      <c r="MKQ80" s="974"/>
      <c r="MKR80" s="974"/>
      <c r="MKS80" s="974"/>
      <c r="MKT80" s="974"/>
      <c r="MKU80" s="974"/>
      <c r="MKV80" s="974"/>
      <c r="MKW80" s="974"/>
      <c r="MKX80" s="974"/>
      <c r="MKY80" s="974"/>
      <c r="MKZ80" s="974"/>
      <c r="MLA80" s="974"/>
      <c r="MLB80" s="974"/>
      <c r="MLC80" s="974"/>
      <c r="MLD80" s="974"/>
      <c r="MLE80" s="974"/>
      <c r="MLF80" s="974"/>
      <c r="MLG80" s="974"/>
      <c r="MLH80" s="974"/>
      <c r="MLI80" s="974"/>
      <c r="MLJ80" s="974"/>
      <c r="MLK80" s="974"/>
      <c r="MLL80" s="974"/>
      <c r="MLM80" s="974"/>
      <c r="MLN80" s="974"/>
      <c r="MLO80" s="974"/>
      <c r="MLP80" s="974"/>
      <c r="MLQ80" s="974"/>
      <c r="MLR80" s="974"/>
      <c r="MLS80" s="974"/>
      <c r="MLT80" s="974"/>
      <c r="MLU80" s="974"/>
      <c r="MLV80" s="974"/>
      <c r="MLW80" s="974"/>
      <c r="MLX80" s="974"/>
      <c r="MLY80" s="974"/>
      <c r="MLZ80" s="974"/>
      <c r="MMA80" s="974"/>
      <c r="MMB80" s="974"/>
      <c r="MMC80" s="974"/>
      <c r="MMD80" s="974"/>
      <c r="MME80" s="974"/>
      <c r="MMF80" s="974"/>
      <c r="MMG80" s="974"/>
      <c r="MMH80" s="974"/>
      <c r="MMI80" s="974"/>
      <c r="MMJ80" s="974"/>
      <c r="MMK80" s="974"/>
      <c r="MML80" s="974"/>
      <c r="MMM80" s="974"/>
      <c r="MMN80" s="974"/>
      <c r="MMO80" s="974"/>
      <c r="MMP80" s="974"/>
      <c r="MMQ80" s="974"/>
      <c r="MMR80" s="974"/>
      <c r="MMS80" s="974"/>
      <c r="MMT80" s="974"/>
      <c r="MMU80" s="974"/>
      <c r="MMV80" s="974"/>
      <c r="MMW80" s="974"/>
      <c r="MMX80" s="974"/>
      <c r="MMY80" s="974"/>
      <c r="MMZ80" s="974"/>
      <c r="MNA80" s="974"/>
      <c r="MNB80" s="974"/>
      <c r="MNC80" s="974"/>
      <c r="MND80" s="974"/>
      <c r="MNE80" s="974"/>
      <c r="MNF80" s="974"/>
      <c r="MNG80" s="974"/>
      <c r="MNH80" s="974"/>
      <c r="MNI80" s="974"/>
      <c r="MNJ80" s="974"/>
      <c r="MNK80" s="974"/>
      <c r="MNL80" s="974"/>
      <c r="MNM80" s="974"/>
      <c r="MNN80" s="974"/>
      <c r="MNO80" s="974"/>
      <c r="MNP80" s="974"/>
      <c r="MNQ80" s="974"/>
      <c r="MNR80" s="974"/>
      <c r="MNS80" s="974"/>
      <c r="MNT80" s="974"/>
      <c r="MNU80" s="974"/>
      <c r="MNV80" s="974"/>
      <c r="MNW80" s="974"/>
      <c r="MNX80" s="974"/>
      <c r="MNY80" s="974"/>
      <c r="MNZ80" s="974"/>
      <c r="MOA80" s="974"/>
      <c r="MOB80" s="974"/>
      <c r="MOC80" s="974"/>
      <c r="MOD80" s="974"/>
      <c r="MOE80" s="974"/>
      <c r="MOF80" s="974"/>
      <c r="MOG80" s="974"/>
      <c r="MOH80" s="974"/>
      <c r="MOI80" s="974"/>
      <c r="MOJ80" s="974"/>
      <c r="MOK80" s="974"/>
      <c r="MOL80" s="974"/>
      <c r="MOM80" s="974"/>
      <c r="MON80" s="974"/>
      <c r="MOO80" s="974"/>
      <c r="MOP80" s="974"/>
      <c r="MOQ80" s="974"/>
      <c r="MOR80" s="974"/>
      <c r="MOS80" s="974"/>
      <c r="MOT80" s="974"/>
      <c r="MOU80" s="974"/>
      <c r="MOV80" s="974"/>
      <c r="MOW80" s="974"/>
      <c r="MOX80" s="974"/>
      <c r="MOY80" s="974"/>
      <c r="MOZ80" s="974"/>
      <c r="MPA80" s="974"/>
      <c r="MPB80" s="974"/>
      <c r="MPC80" s="974"/>
      <c r="MPD80" s="974"/>
      <c r="MPE80" s="974"/>
      <c r="MPF80" s="974"/>
      <c r="MPG80" s="974"/>
      <c r="MPH80" s="974"/>
      <c r="MPI80" s="974"/>
      <c r="MPJ80" s="974"/>
      <c r="MPK80" s="974"/>
      <c r="MPL80" s="974"/>
      <c r="MPM80" s="974"/>
      <c r="MPN80" s="974"/>
      <c r="MPO80" s="974"/>
      <c r="MPP80" s="974"/>
      <c r="MPQ80" s="974"/>
      <c r="MPR80" s="974"/>
      <c r="MPS80" s="974"/>
      <c r="MPT80" s="974"/>
      <c r="MPU80" s="974"/>
      <c r="MPV80" s="974"/>
      <c r="MPW80" s="974"/>
      <c r="MPX80" s="974"/>
      <c r="MPY80" s="974"/>
      <c r="MPZ80" s="974"/>
      <c r="MQA80" s="974"/>
      <c r="MQB80" s="974"/>
      <c r="MQC80" s="974"/>
      <c r="MQD80" s="974"/>
      <c r="MQE80" s="974"/>
      <c r="MQF80" s="974"/>
      <c r="MQG80" s="974"/>
      <c r="MQH80" s="974"/>
      <c r="MQI80" s="974"/>
      <c r="MQJ80" s="974"/>
      <c r="MQK80" s="974"/>
      <c r="MQL80" s="974"/>
      <c r="MQM80" s="974"/>
      <c r="MQN80" s="974"/>
      <c r="MQO80" s="974"/>
      <c r="MQP80" s="974"/>
      <c r="MQQ80" s="974"/>
      <c r="MQR80" s="974"/>
      <c r="MQS80" s="974"/>
      <c r="MQT80" s="974"/>
      <c r="MQU80" s="974"/>
      <c r="MQV80" s="974"/>
      <c r="MQW80" s="974"/>
      <c r="MQX80" s="974"/>
      <c r="MQY80" s="974"/>
      <c r="MQZ80" s="974"/>
      <c r="MRA80" s="974"/>
      <c r="MRB80" s="974"/>
      <c r="MRC80" s="974"/>
      <c r="MRD80" s="974"/>
      <c r="MRE80" s="974"/>
      <c r="MRF80" s="974"/>
      <c r="MRG80" s="974"/>
      <c r="MRH80" s="974"/>
      <c r="MRI80" s="974"/>
      <c r="MRJ80" s="974"/>
      <c r="MRK80" s="974"/>
      <c r="MRL80" s="974"/>
      <c r="MRM80" s="974"/>
      <c r="MRN80" s="974"/>
      <c r="MRO80" s="974"/>
      <c r="MRP80" s="974"/>
      <c r="MRQ80" s="974"/>
      <c r="MRR80" s="974"/>
      <c r="MRS80" s="974"/>
      <c r="MRT80" s="974"/>
      <c r="MRU80" s="974"/>
      <c r="MRV80" s="974"/>
      <c r="MRW80" s="974"/>
      <c r="MRX80" s="974"/>
      <c r="MRY80" s="974"/>
      <c r="MRZ80" s="974"/>
      <c r="MSA80" s="974"/>
      <c r="MSB80" s="974"/>
      <c r="MSC80" s="974"/>
      <c r="MSD80" s="974"/>
      <c r="MSE80" s="974"/>
      <c r="MSF80" s="974"/>
      <c r="MSG80" s="974"/>
      <c r="MSH80" s="974"/>
      <c r="MSI80" s="974"/>
      <c r="MSJ80" s="974"/>
      <c r="MSK80" s="974"/>
      <c r="MSL80" s="974"/>
      <c r="MSM80" s="974"/>
      <c r="MSN80" s="974"/>
      <c r="MSO80" s="974"/>
      <c r="MSP80" s="974"/>
      <c r="MSQ80" s="974"/>
      <c r="MSR80" s="974"/>
      <c r="MSS80" s="974"/>
      <c r="MST80" s="974"/>
      <c r="MSU80" s="974"/>
      <c r="MSV80" s="974"/>
      <c r="MSW80" s="974"/>
      <c r="MSX80" s="974"/>
      <c r="MSY80" s="974"/>
      <c r="MSZ80" s="974"/>
      <c r="MTA80" s="974"/>
      <c r="MTB80" s="974"/>
      <c r="MTC80" s="974"/>
      <c r="MTD80" s="974"/>
      <c r="MTE80" s="974"/>
      <c r="MTF80" s="974"/>
      <c r="MTG80" s="974"/>
      <c r="MTH80" s="974"/>
      <c r="MTI80" s="974"/>
      <c r="MTJ80" s="974"/>
      <c r="MTK80" s="974"/>
      <c r="MTL80" s="974"/>
      <c r="MTM80" s="974"/>
      <c r="MTN80" s="974"/>
      <c r="MTO80" s="974"/>
      <c r="MTP80" s="974"/>
      <c r="MTQ80" s="974"/>
      <c r="MTR80" s="974"/>
      <c r="MTS80" s="974"/>
      <c r="MTT80" s="974"/>
      <c r="MTU80" s="974"/>
      <c r="MTV80" s="974"/>
      <c r="MTW80" s="974"/>
      <c r="MTX80" s="974"/>
      <c r="MTY80" s="974"/>
      <c r="MTZ80" s="974"/>
      <c r="MUA80" s="974"/>
      <c r="MUB80" s="974"/>
      <c r="MUC80" s="974"/>
      <c r="MUD80" s="974"/>
      <c r="MUE80" s="974"/>
      <c r="MUF80" s="974"/>
      <c r="MUG80" s="974"/>
      <c r="MUH80" s="974"/>
      <c r="MUI80" s="974"/>
      <c r="MUJ80" s="974"/>
      <c r="MUK80" s="974"/>
      <c r="MUL80" s="974"/>
      <c r="MUM80" s="974"/>
      <c r="MUN80" s="974"/>
      <c r="MUO80" s="974"/>
      <c r="MUP80" s="974"/>
      <c r="MUQ80" s="974"/>
      <c r="MUR80" s="974"/>
      <c r="MUS80" s="974"/>
      <c r="MUT80" s="974"/>
      <c r="MUU80" s="974"/>
      <c r="MUV80" s="974"/>
      <c r="MUW80" s="974"/>
      <c r="MUX80" s="974"/>
      <c r="MUY80" s="974"/>
      <c r="MUZ80" s="974"/>
      <c r="MVA80" s="974"/>
      <c r="MVB80" s="974"/>
      <c r="MVC80" s="974"/>
      <c r="MVD80" s="974"/>
      <c r="MVE80" s="974"/>
      <c r="MVF80" s="974"/>
      <c r="MVG80" s="974"/>
      <c r="MVH80" s="974"/>
      <c r="MVI80" s="974"/>
      <c r="MVJ80" s="974"/>
      <c r="MVK80" s="974"/>
      <c r="MVL80" s="974"/>
      <c r="MVM80" s="974"/>
      <c r="MVN80" s="974"/>
      <c r="MVO80" s="974"/>
      <c r="MVP80" s="974"/>
      <c r="MVQ80" s="974"/>
      <c r="MVR80" s="974"/>
      <c r="MVS80" s="974"/>
      <c r="MVT80" s="974"/>
      <c r="MVU80" s="974"/>
      <c r="MVV80" s="974"/>
      <c r="MVW80" s="974"/>
      <c r="MVX80" s="974"/>
      <c r="MVY80" s="974"/>
      <c r="MVZ80" s="974"/>
      <c r="MWA80" s="974"/>
      <c r="MWB80" s="974"/>
      <c r="MWC80" s="974"/>
      <c r="MWD80" s="974"/>
      <c r="MWE80" s="974"/>
      <c r="MWF80" s="974"/>
      <c r="MWG80" s="974"/>
      <c r="MWH80" s="974"/>
      <c r="MWI80" s="974"/>
      <c r="MWJ80" s="974"/>
      <c r="MWK80" s="974"/>
      <c r="MWL80" s="974"/>
      <c r="MWM80" s="974"/>
      <c r="MWN80" s="974"/>
      <c r="MWO80" s="974"/>
      <c r="MWP80" s="974"/>
      <c r="MWQ80" s="974"/>
      <c r="MWR80" s="974"/>
      <c r="MWS80" s="974"/>
      <c r="MWT80" s="974"/>
      <c r="MWU80" s="974"/>
      <c r="MWV80" s="974"/>
      <c r="MWW80" s="974"/>
      <c r="MWX80" s="974"/>
      <c r="MWY80" s="974"/>
      <c r="MWZ80" s="974"/>
      <c r="MXA80" s="974"/>
      <c r="MXB80" s="974"/>
      <c r="MXC80" s="974"/>
      <c r="MXD80" s="974"/>
      <c r="MXE80" s="974"/>
      <c r="MXF80" s="974"/>
      <c r="MXG80" s="974"/>
      <c r="MXH80" s="974"/>
      <c r="MXI80" s="974"/>
      <c r="MXJ80" s="974"/>
      <c r="MXK80" s="974"/>
      <c r="MXL80" s="974"/>
      <c r="MXM80" s="974"/>
      <c r="MXN80" s="974"/>
      <c r="MXO80" s="974"/>
      <c r="MXP80" s="974"/>
      <c r="MXQ80" s="974"/>
      <c r="MXR80" s="974"/>
      <c r="MXS80" s="974"/>
      <c r="MXT80" s="974"/>
      <c r="MXU80" s="974"/>
      <c r="MXV80" s="974"/>
      <c r="MXW80" s="974"/>
      <c r="MXX80" s="974"/>
      <c r="MXY80" s="974"/>
      <c r="MXZ80" s="974"/>
      <c r="MYA80" s="974"/>
      <c r="MYB80" s="974"/>
      <c r="MYC80" s="974"/>
      <c r="MYD80" s="974"/>
      <c r="MYE80" s="974"/>
      <c r="MYF80" s="974"/>
      <c r="MYG80" s="974"/>
      <c r="MYH80" s="974"/>
      <c r="MYI80" s="974"/>
      <c r="MYJ80" s="974"/>
      <c r="MYK80" s="974"/>
      <c r="MYL80" s="974"/>
      <c r="MYM80" s="974"/>
      <c r="MYN80" s="974"/>
      <c r="MYO80" s="974"/>
      <c r="MYP80" s="974"/>
      <c r="MYQ80" s="974"/>
      <c r="MYR80" s="974"/>
      <c r="MYS80" s="974"/>
      <c r="MYT80" s="974"/>
      <c r="MYU80" s="974"/>
      <c r="MYV80" s="974"/>
      <c r="MYW80" s="974"/>
      <c r="MYX80" s="974"/>
      <c r="MYY80" s="974"/>
      <c r="MYZ80" s="974"/>
      <c r="MZA80" s="974"/>
      <c r="MZB80" s="974"/>
      <c r="MZC80" s="974"/>
      <c r="MZD80" s="974"/>
      <c r="MZE80" s="974"/>
      <c r="MZF80" s="974"/>
      <c r="MZG80" s="974"/>
      <c r="MZH80" s="974"/>
      <c r="MZI80" s="974"/>
      <c r="MZJ80" s="974"/>
      <c r="MZK80" s="974"/>
      <c r="MZL80" s="974"/>
      <c r="MZM80" s="974"/>
      <c r="MZN80" s="974"/>
      <c r="MZO80" s="974"/>
      <c r="MZP80" s="974"/>
      <c r="MZQ80" s="974"/>
      <c r="MZR80" s="974"/>
      <c r="MZS80" s="974"/>
      <c r="MZT80" s="974"/>
      <c r="MZU80" s="974"/>
      <c r="MZV80" s="974"/>
      <c r="MZW80" s="974"/>
      <c r="MZX80" s="974"/>
      <c r="MZY80" s="974"/>
      <c r="MZZ80" s="974"/>
      <c r="NAA80" s="974"/>
      <c r="NAB80" s="974"/>
      <c r="NAC80" s="974"/>
      <c r="NAD80" s="974"/>
      <c r="NAE80" s="974"/>
      <c r="NAF80" s="974"/>
      <c r="NAG80" s="974"/>
      <c r="NAH80" s="974"/>
      <c r="NAI80" s="974"/>
      <c r="NAJ80" s="974"/>
      <c r="NAK80" s="974"/>
      <c r="NAL80" s="974"/>
      <c r="NAM80" s="974"/>
      <c r="NAN80" s="974"/>
      <c r="NAO80" s="974"/>
      <c r="NAP80" s="974"/>
      <c r="NAQ80" s="974"/>
      <c r="NAR80" s="974"/>
      <c r="NAS80" s="974"/>
      <c r="NAT80" s="974"/>
      <c r="NAU80" s="974"/>
      <c r="NAV80" s="974"/>
      <c r="NAW80" s="974"/>
      <c r="NAX80" s="974"/>
      <c r="NAY80" s="974"/>
      <c r="NAZ80" s="974"/>
      <c r="NBA80" s="974"/>
      <c r="NBB80" s="974"/>
      <c r="NBC80" s="974"/>
      <c r="NBD80" s="974"/>
      <c r="NBE80" s="974"/>
      <c r="NBF80" s="974"/>
      <c r="NBG80" s="974"/>
      <c r="NBH80" s="974"/>
      <c r="NBI80" s="974"/>
      <c r="NBJ80" s="974"/>
      <c r="NBK80" s="974"/>
      <c r="NBL80" s="974"/>
      <c r="NBM80" s="974"/>
      <c r="NBN80" s="974"/>
      <c r="NBO80" s="974"/>
      <c r="NBP80" s="974"/>
      <c r="NBQ80" s="974"/>
      <c r="NBR80" s="974"/>
      <c r="NBS80" s="974"/>
      <c r="NBT80" s="974"/>
      <c r="NBU80" s="974"/>
      <c r="NBV80" s="974"/>
      <c r="NBW80" s="974"/>
      <c r="NBX80" s="974"/>
      <c r="NBY80" s="974"/>
      <c r="NBZ80" s="974"/>
      <c r="NCA80" s="974"/>
      <c r="NCB80" s="974"/>
      <c r="NCC80" s="974"/>
      <c r="NCD80" s="974"/>
      <c r="NCE80" s="974"/>
      <c r="NCF80" s="974"/>
      <c r="NCG80" s="974"/>
      <c r="NCH80" s="974"/>
      <c r="NCI80" s="974"/>
      <c r="NCJ80" s="974"/>
      <c r="NCK80" s="974"/>
      <c r="NCL80" s="974"/>
      <c r="NCM80" s="974"/>
      <c r="NCN80" s="974"/>
      <c r="NCO80" s="974"/>
      <c r="NCP80" s="974"/>
      <c r="NCQ80" s="974"/>
      <c r="NCR80" s="974"/>
      <c r="NCS80" s="974"/>
      <c r="NCT80" s="974"/>
      <c r="NCU80" s="974"/>
      <c r="NCV80" s="974"/>
      <c r="NCW80" s="974"/>
      <c r="NCX80" s="974"/>
      <c r="NCY80" s="974"/>
      <c r="NCZ80" s="974"/>
      <c r="NDA80" s="974"/>
      <c r="NDB80" s="974"/>
      <c r="NDC80" s="974"/>
      <c r="NDD80" s="974"/>
      <c r="NDE80" s="974"/>
      <c r="NDF80" s="974"/>
      <c r="NDG80" s="974"/>
      <c r="NDH80" s="974"/>
      <c r="NDI80" s="974"/>
      <c r="NDJ80" s="974"/>
      <c r="NDK80" s="974"/>
      <c r="NDL80" s="974"/>
      <c r="NDM80" s="974"/>
      <c r="NDN80" s="974"/>
      <c r="NDO80" s="974"/>
      <c r="NDP80" s="974"/>
      <c r="NDQ80" s="974"/>
      <c r="NDR80" s="974"/>
      <c r="NDS80" s="974"/>
      <c r="NDT80" s="974"/>
      <c r="NDU80" s="974"/>
      <c r="NDV80" s="974"/>
      <c r="NDW80" s="974"/>
      <c r="NDX80" s="974"/>
      <c r="NDY80" s="974"/>
      <c r="NDZ80" s="974"/>
      <c r="NEA80" s="974"/>
      <c r="NEB80" s="974"/>
      <c r="NEC80" s="974"/>
      <c r="NED80" s="974"/>
      <c r="NEE80" s="974"/>
      <c r="NEF80" s="974"/>
      <c r="NEG80" s="974"/>
      <c r="NEH80" s="974"/>
      <c r="NEI80" s="974"/>
      <c r="NEJ80" s="974"/>
      <c r="NEK80" s="974"/>
      <c r="NEL80" s="974"/>
      <c r="NEM80" s="974"/>
      <c r="NEN80" s="974"/>
      <c r="NEO80" s="974"/>
      <c r="NEP80" s="974"/>
      <c r="NEQ80" s="974"/>
      <c r="NER80" s="974"/>
      <c r="NES80" s="974"/>
      <c r="NET80" s="974"/>
      <c r="NEU80" s="974"/>
      <c r="NEV80" s="974"/>
      <c r="NEW80" s="974"/>
      <c r="NEX80" s="974"/>
      <c r="NEY80" s="974"/>
      <c r="NEZ80" s="974"/>
      <c r="NFA80" s="974"/>
      <c r="NFB80" s="974"/>
      <c r="NFC80" s="974"/>
      <c r="NFD80" s="974"/>
      <c r="NFE80" s="974"/>
      <c r="NFF80" s="974"/>
      <c r="NFG80" s="974"/>
      <c r="NFH80" s="974"/>
      <c r="NFI80" s="974"/>
      <c r="NFJ80" s="974"/>
      <c r="NFK80" s="974"/>
      <c r="NFL80" s="974"/>
      <c r="NFM80" s="974"/>
      <c r="NFN80" s="974"/>
      <c r="NFO80" s="974"/>
      <c r="NFP80" s="974"/>
      <c r="NFQ80" s="974"/>
      <c r="NFR80" s="974"/>
      <c r="NFS80" s="974"/>
      <c r="NFT80" s="974"/>
      <c r="NFU80" s="974"/>
      <c r="NFV80" s="974"/>
      <c r="NFW80" s="974"/>
      <c r="NFX80" s="974"/>
      <c r="NFY80" s="974"/>
      <c r="NFZ80" s="974"/>
      <c r="NGA80" s="974"/>
      <c r="NGB80" s="974"/>
      <c r="NGC80" s="974"/>
      <c r="NGD80" s="974"/>
      <c r="NGE80" s="974"/>
      <c r="NGF80" s="974"/>
      <c r="NGG80" s="974"/>
      <c r="NGH80" s="974"/>
      <c r="NGI80" s="974"/>
      <c r="NGJ80" s="974"/>
      <c r="NGK80" s="974"/>
      <c r="NGL80" s="974"/>
      <c r="NGM80" s="974"/>
      <c r="NGN80" s="974"/>
      <c r="NGO80" s="974"/>
      <c r="NGP80" s="974"/>
      <c r="NGQ80" s="974"/>
      <c r="NGR80" s="974"/>
      <c r="NGS80" s="974"/>
      <c r="NGT80" s="974"/>
      <c r="NGU80" s="974"/>
      <c r="NGV80" s="974"/>
      <c r="NGW80" s="974"/>
      <c r="NGX80" s="974"/>
      <c r="NGY80" s="974"/>
      <c r="NGZ80" s="974"/>
      <c r="NHA80" s="974"/>
      <c r="NHB80" s="974"/>
      <c r="NHC80" s="974"/>
      <c r="NHD80" s="974"/>
      <c r="NHE80" s="974"/>
      <c r="NHF80" s="974"/>
      <c r="NHG80" s="974"/>
      <c r="NHH80" s="974"/>
      <c r="NHI80" s="974"/>
      <c r="NHJ80" s="974"/>
      <c r="NHK80" s="974"/>
      <c r="NHL80" s="974"/>
      <c r="NHM80" s="974"/>
      <c r="NHN80" s="974"/>
      <c r="NHO80" s="974"/>
      <c r="NHP80" s="974"/>
      <c r="NHQ80" s="974"/>
      <c r="NHR80" s="974"/>
      <c r="NHS80" s="974"/>
      <c r="NHT80" s="974"/>
      <c r="NHU80" s="974"/>
      <c r="NHV80" s="974"/>
      <c r="NHW80" s="974"/>
      <c r="NHX80" s="974"/>
      <c r="NHY80" s="974"/>
      <c r="NHZ80" s="974"/>
      <c r="NIA80" s="974"/>
      <c r="NIB80" s="974"/>
      <c r="NIC80" s="974"/>
      <c r="NID80" s="974"/>
      <c r="NIE80" s="974"/>
      <c r="NIF80" s="974"/>
      <c r="NIG80" s="974"/>
      <c r="NIH80" s="974"/>
      <c r="NII80" s="974"/>
      <c r="NIJ80" s="974"/>
      <c r="NIK80" s="974"/>
      <c r="NIL80" s="974"/>
      <c r="NIM80" s="974"/>
      <c r="NIN80" s="974"/>
      <c r="NIO80" s="974"/>
      <c r="NIP80" s="974"/>
      <c r="NIQ80" s="974"/>
      <c r="NIR80" s="974"/>
      <c r="NIS80" s="974"/>
      <c r="NIT80" s="974"/>
      <c r="NIU80" s="974"/>
      <c r="NIV80" s="974"/>
      <c r="NIW80" s="974"/>
      <c r="NIX80" s="974"/>
      <c r="NIY80" s="974"/>
      <c r="NIZ80" s="974"/>
      <c r="NJA80" s="974"/>
      <c r="NJB80" s="974"/>
      <c r="NJC80" s="974"/>
      <c r="NJD80" s="974"/>
      <c r="NJE80" s="974"/>
      <c r="NJF80" s="974"/>
      <c r="NJG80" s="974"/>
      <c r="NJH80" s="974"/>
      <c r="NJI80" s="974"/>
      <c r="NJJ80" s="974"/>
      <c r="NJK80" s="974"/>
      <c r="NJL80" s="974"/>
      <c r="NJM80" s="974"/>
      <c r="NJN80" s="974"/>
      <c r="NJO80" s="974"/>
      <c r="NJP80" s="974"/>
      <c r="NJQ80" s="974"/>
      <c r="NJR80" s="974"/>
      <c r="NJS80" s="974"/>
      <c r="NJT80" s="974"/>
      <c r="NJU80" s="974"/>
      <c r="NJV80" s="974"/>
      <c r="NJW80" s="974"/>
      <c r="NJX80" s="974"/>
      <c r="NJY80" s="974"/>
      <c r="NJZ80" s="974"/>
      <c r="NKA80" s="974"/>
      <c r="NKB80" s="974"/>
      <c r="NKC80" s="974"/>
      <c r="NKD80" s="974"/>
      <c r="NKE80" s="974"/>
      <c r="NKF80" s="974"/>
      <c r="NKG80" s="974"/>
      <c r="NKH80" s="974"/>
      <c r="NKI80" s="974"/>
      <c r="NKJ80" s="974"/>
      <c r="NKK80" s="974"/>
      <c r="NKL80" s="974"/>
      <c r="NKM80" s="974"/>
      <c r="NKN80" s="974"/>
      <c r="NKO80" s="974"/>
      <c r="NKP80" s="974"/>
      <c r="NKQ80" s="974"/>
      <c r="NKR80" s="974"/>
      <c r="NKS80" s="974"/>
      <c r="NKT80" s="974"/>
      <c r="NKU80" s="974"/>
      <c r="NKV80" s="974"/>
      <c r="NKW80" s="974"/>
      <c r="NKX80" s="974"/>
      <c r="NKY80" s="974"/>
      <c r="NKZ80" s="974"/>
      <c r="NLA80" s="974"/>
      <c r="NLB80" s="974"/>
      <c r="NLC80" s="974"/>
      <c r="NLD80" s="974"/>
      <c r="NLE80" s="974"/>
      <c r="NLF80" s="974"/>
      <c r="NLG80" s="974"/>
      <c r="NLH80" s="974"/>
      <c r="NLI80" s="974"/>
      <c r="NLJ80" s="974"/>
      <c r="NLK80" s="974"/>
      <c r="NLL80" s="974"/>
      <c r="NLM80" s="974"/>
      <c r="NLN80" s="974"/>
      <c r="NLO80" s="974"/>
      <c r="NLP80" s="974"/>
      <c r="NLQ80" s="974"/>
      <c r="NLR80" s="974"/>
      <c r="NLS80" s="974"/>
      <c r="NLT80" s="974"/>
      <c r="NLU80" s="974"/>
      <c r="NLV80" s="974"/>
      <c r="NLW80" s="974"/>
      <c r="NLX80" s="974"/>
      <c r="NLY80" s="974"/>
      <c r="NLZ80" s="974"/>
      <c r="NMA80" s="974"/>
      <c r="NMB80" s="974"/>
      <c r="NMC80" s="974"/>
      <c r="NMD80" s="974"/>
      <c r="NME80" s="974"/>
      <c r="NMF80" s="974"/>
      <c r="NMG80" s="974"/>
      <c r="NMH80" s="974"/>
      <c r="NMI80" s="974"/>
      <c r="NMJ80" s="974"/>
      <c r="NMK80" s="974"/>
      <c r="NML80" s="974"/>
      <c r="NMM80" s="974"/>
      <c r="NMN80" s="974"/>
      <c r="NMO80" s="974"/>
      <c r="NMP80" s="974"/>
      <c r="NMQ80" s="974"/>
      <c r="NMR80" s="974"/>
      <c r="NMS80" s="974"/>
      <c r="NMT80" s="974"/>
      <c r="NMU80" s="974"/>
      <c r="NMV80" s="974"/>
      <c r="NMW80" s="974"/>
      <c r="NMX80" s="974"/>
      <c r="NMY80" s="974"/>
      <c r="NMZ80" s="974"/>
      <c r="NNA80" s="974"/>
      <c r="NNB80" s="974"/>
      <c r="NNC80" s="974"/>
      <c r="NND80" s="974"/>
      <c r="NNE80" s="974"/>
      <c r="NNF80" s="974"/>
      <c r="NNG80" s="974"/>
      <c r="NNH80" s="974"/>
      <c r="NNI80" s="974"/>
      <c r="NNJ80" s="974"/>
      <c r="NNK80" s="974"/>
      <c r="NNL80" s="974"/>
      <c r="NNM80" s="974"/>
      <c r="NNN80" s="974"/>
      <c r="NNO80" s="974"/>
      <c r="NNP80" s="974"/>
      <c r="NNQ80" s="974"/>
      <c r="NNR80" s="974"/>
      <c r="NNS80" s="974"/>
      <c r="NNT80" s="974"/>
      <c r="NNU80" s="974"/>
      <c r="NNV80" s="974"/>
      <c r="NNW80" s="974"/>
      <c r="NNX80" s="974"/>
      <c r="NNY80" s="974"/>
      <c r="NNZ80" s="974"/>
      <c r="NOA80" s="974"/>
      <c r="NOB80" s="974"/>
      <c r="NOC80" s="974"/>
      <c r="NOD80" s="974"/>
      <c r="NOE80" s="974"/>
      <c r="NOF80" s="974"/>
      <c r="NOG80" s="974"/>
      <c r="NOH80" s="974"/>
      <c r="NOI80" s="974"/>
      <c r="NOJ80" s="974"/>
      <c r="NOK80" s="974"/>
      <c r="NOL80" s="974"/>
      <c r="NOM80" s="974"/>
      <c r="NON80" s="974"/>
      <c r="NOO80" s="974"/>
      <c r="NOP80" s="974"/>
      <c r="NOQ80" s="974"/>
      <c r="NOR80" s="974"/>
      <c r="NOS80" s="974"/>
      <c r="NOT80" s="974"/>
      <c r="NOU80" s="974"/>
      <c r="NOV80" s="974"/>
      <c r="NOW80" s="974"/>
      <c r="NOX80" s="974"/>
      <c r="NOY80" s="974"/>
      <c r="NOZ80" s="974"/>
      <c r="NPA80" s="974"/>
      <c r="NPB80" s="974"/>
      <c r="NPC80" s="974"/>
      <c r="NPD80" s="974"/>
      <c r="NPE80" s="974"/>
      <c r="NPF80" s="974"/>
      <c r="NPG80" s="974"/>
      <c r="NPH80" s="974"/>
      <c r="NPI80" s="974"/>
      <c r="NPJ80" s="974"/>
      <c r="NPK80" s="974"/>
      <c r="NPL80" s="974"/>
      <c r="NPM80" s="974"/>
      <c r="NPN80" s="974"/>
      <c r="NPO80" s="974"/>
      <c r="NPP80" s="974"/>
      <c r="NPQ80" s="974"/>
      <c r="NPR80" s="974"/>
      <c r="NPS80" s="974"/>
      <c r="NPT80" s="974"/>
      <c r="NPU80" s="974"/>
      <c r="NPV80" s="974"/>
      <c r="NPW80" s="974"/>
      <c r="NPX80" s="974"/>
      <c r="NPY80" s="974"/>
      <c r="NPZ80" s="974"/>
      <c r="NQA80" s="974"/>
      <c r="NQB80" s="974"/>
      <c r="NQC80" s="974"/>
      <c r="NQD80" s="974"/>
      <c r="NQE80" s="974"/>
      <c r="NQF80" s="974"/>
      <c r="NQG80" s="974"/>
      <c r="NQH80" s="974"/>
      <c r="NQI80" s="974"/>
      <c r="NQJ80" s="974"/>
      <c r="NQK80" s="974"/>
      <c r="NQL80" s="974"/>
      <c r="NQM80" s="974"/>
      <c r="NQN80" s="974"/>
      <c r="NQO80" s="974"/>
      <c r="NQP80" s="974"/>
      <c r="NQQ80" s="974"/>
      <c r="NQR80" s="974"/>
      <c r="NQS80" s="974"/>
      <c r="NQT80" s="974"/>
      <c r="NQU80" s="974"/>
      <c r="NQV80" s="974"/>
      <c r="NQW80" s="974"/>
      <c r="NQX80" s="974"/>
      <c r="NQY80" s="974"/>
      <c r="NQZ80" s="974"/>
      <c r="NRA80" s="974"/>
      <c r="NRB80" s="974"/>
      <c r="NRC80" s="974"/>
      <c r="NRD80" s="974"/>
      <c r="NRE80" s="974"/>
      <c r="NRF80" s="974"/>
      <c r="NRG80" s="974"/>
      <c r="NRH80" s="974"/>
      <c r="NRI80" s="974"/>
      <c r="NRJ80" s="974"/>
      <c r="NRK80" s="974"/>
      <c r="NRL80" s="974"/>
      <c r="NRM80" s="974"/>
      <c r="NRN80" s="974"/>
      <c r="NRO80" s="974"/>
      <c r="NRP80" s="974"/>
      <c r="NRQ80" s="974"/>
      <c r="NRR80" s="974"/>
      <c r="NRS80" s="974"/>
      <c r="NRT80" s="974"/>
      <c r="NRU80" s="974"/>
      <c r="NRV80" s="974"/>
      <c r="NRW80" s="974"/>
      <c r="NRX80" s="974"/>
      <c r="NRY80" s="974"/>
      <c r="NRZ80" s="974"/>
      <c r="NSA80" s="974"/>
      <c r="NSB80" s="974"/>
      <c r="NSC80" s="974"/>
      <c r="NSD80" s="974"/>
      <c r="NSE80" s="974"/>
      <c r="NSF80" s="974"/>
      <c r="NSG80" s="974"/>
      <c r="NSH80" s="974"/>
      <c r="NSI80" s="974"/>
      <c r="NSJ80" s="974"/>
      <c r="NSK80" s="974"/>
      <c r="NSL80" s="974"/>
      <c r="NSM80" s="974"/>
      <c r="NSN80" s="974"/>
      <c r="NSO80" s="974"/>
      <c r="NSP80" s="974"/>
      <c r="NSQ80" s="974"/>
      <c r="NSR80" s="974"/>
      <c r="NSS80" s="974"/>
      <c r="NST80" s="974"/>
      <c r="NSU80" s="974"/>
      <c r="NSV80" s="974"/>
      <c r="NSW80" s="974"/>
      <c r="NSX80" s="974"/>
      <c r="NSY80" s="974"/>
      <c r="NSZ80" s="974"/>
      <c r="NTA80" s="974"/>
      <c r="NTB80" s="974"/>
      <c r="NTC80" s="974"/>
      <c r="NTD80" s="974"/>
      <c r="NTE80" s="974"/>
      <c r="NTF80" s="974"/>
      <c r="NTG80" s="974"/>
      <c r="NTH80" s="974"/>
      <c r="NTI80" s="974"/>
      <c r="NTJ80" s="974"/>
      <c r="NTK80" s="974"/>
      <c r="NTL80" s="974"/>
      <c r="NTM80" s="974"/>
      <c r="NTN80" s="974"/>
      <c r="NTO80" s="974"/>
      <c r="NTP80" s="974"/>
      <c r="NTQ80" s="974"/>
      <c r="NTR80" s="974"/>
      <c r="NTS80" s="974"/>
      <c r="NTT80" s="974"/>
      <c r="NTU80" s="974"/>
      <c r="NTV80" s="974"/>
      <c r="NTW80" s="974"/>
      <c r="NTX80" s="974"/>
      <c r="NTY80" s="974"/>
      <c r="NTZ80" s="974"/>
      <c r="NUA80" s="974"/>
      <c r="NUB80" s="974"/>
      <c r="NUC80" s="974"/>
      <c r="NUD80" s="974"/>
      <c r="NUE80" s="974"/>
      <c r="NUF80" s="974"/>
      <c r="NUG80" s="974"/>
      <c r="NUH80" s="974"/>
      <c r="NUI80" s="974"/>
      <c r="NUJ80" s="974"/>
      <c r="NUK80" s="974"/>
      <c r="NUL80" s="974"/>
      <c r="NUM80" s="974"/>
      <c r="NUN80" s="974"/>
      <c r="NUO80" s="974"/>
      <c r="NUP80" s="974"/>
      <c r="NUQ80" s="974"/>
      <c r="NUR80" s="974"/>
      <c r="NUS80" s="974"/>
      <c r="NUT80" s="974"/>
      <c r="NUU80" s="974"/>
      <c r="NUV80" s="974"/>
      <c r="NUW80" s="974"/>
      <c r="NUX80" s="974"/>
      <c r="NUY80" s="974"/>
      <c r="NUZ80" s="974"/>
      <c r="NVA80" s="974"/>
      <c r="NVB80" s="974"/>
      <c r="NVC80" s="974"/>
      <c r="NVD80" s="974"/>
      <c r="NVE80" s="974"/>
      <c r="NVF80" s="974"/>
      <c r="NVG80" s="974"/>
      <c r="NVH80" s="974"/>
      <c r="NVI80" s="974"/>
      <c r="NVJ80" s="974"/>
      <c r="NVK80" s="974"/>
      <c r="NVL80" s="974"/>
      <c r="NVM80" s="974"/>
      <c r="NVN80" s="974"/>
      <c r="NVO80" s="974"/>
      <c r="NVP80" s="974"/>
      <c r="NVQ80" s="974"/>
      <c r="NVR80" s="974"/>
      <c r="NVS80" s="974"/>
      <c r="NVT80" s="974"/>
      <c r="NVU80" s="974"/>
      <c r="NVV80" s="974"/>
      <c r="NVW80" s="974"/>
      <c r="NVX80" s="974"/>
      <c r="NVY80" s="974"/>
      <c r="NVZ80" s="974"/>
      <c r="NWA80" s="974"/>
      <c r="NWB80" s="974"/>
      <c r="NWC80" s="974"/>
      <c r="NWD80" s="974"/>
      <c r="NWE80" s="974"/>
      <c r="NWF80" s="974"/>
      <c r="NWG80" s="974"/>
      <c r="NWH80" s="974"/>
      <c r="NWI80" s="974"/>
      <c r="NWJ80" s="974"/>
      <c r="NWK80" s="974"/>
      <c r="NWL80" s="974"/>
      <c r="NWM80" s="974"/>
      <c r="NWN80" s="974"/>
      <c r="NWO80" s="974"/>
      <c r="NWP80" s="974"/>
      <c r="NWQ80" s="974"/>
      <c r="NWR80" s="974"/>
      <c r="NWS80" s="974"/>
      <c r="NWT80" s="974"/>
      <c r="NWU80" s="974"/>
      <c r="NWV80" s="974"/>
      <c r="NWW80" s="974"/>
      <c r="NWX80" s="974"/>
      <c r="NWY80" s="974"/>
      <c r="NWZ80" s="974"/>
      <c r="NXA80" s="974"/>
      <c r="NXB80" s="974"/>
      <c r="NXC80" s="974"/>
      <c r="NXD80" s="974"/>
      <c r="NXE80" s="974"/>
      <c r="NXF80" s="974"/>
      <c r="NXG80" s="974"/>
      <c r="NXH80" s="974"/>
      <c r="NXI80" s="974"/>
      <c r="NXJ80" s="974"/>
      <c r="NXK80" s="974"/>
      <c r="NXL80" s="974"/>
      <c r="NXM80" s="974"/>
      <c r="NXN80" s="974"/>
      <c r="NXO80" s="974"/>
      <c r="NXP80" s="974"/>
      <c r="NXQ80" s="974"/>
      <c r="NXR80" s="974"/>
      <c r="NXS80" s="974"/>
      <c r="NXT80" s="974"/>
      <c r="NXU80" s="974"/>
      <c r="NXV80" s="974"/>
      <c r="NXW80" s="974"/>
      <c r="NXX80" s="974"/>
      <c r="NXY80" s="974"/>
      <c r="NXZ80" s="974"/>
      <c r="NYA80" s="974"/>
      <c r="NYB80" s="974"/>
      <c r="NYC80" s="974"/>
      <c r="NYD80" s="974"/>
      <c r="NYE80" s="974"/>
      <c r="NYF80" s="974"/>
      <c r="NYG80" s="974"/>
      <c r="NYH80" s="974"/>
      <c r="NYI80" s="974"/>
      <c r="NYJ80" s="974"/>
      <c r="NYK80" s="974"/>
      <c r="NYL80" s="974"/>
      <c r="NYM80" s="974"/>
      <c r="NYN80" s="974"/>
      <c r="NYO80" s="974"/>
      <c r="NYP80" s="974"/>
      <c r="NYQ80" s="974"/>
      <c r="NYR80" s="974"/>
      <c r="NYS80" s="974"/>
      <c r="NYT80" s="974"/>
      <c r="NYU80" s="974"/>
      <c r="NYV80" s="974"/>
      <c r="NYW80" s="974"/>
      <c r="NYX80" s="974"/>
      <c r="NYY80" s="974"/>
      <c r="NYZ80" s="974"/>
      <c r="NZA80" s="974"/>
      <c r="NZB80" s="974"/>
      <c r="NZC80" s="974"/>
      <c r="NZD80" s="974"/>
      <c r="NZE80" s="974"/>
      <c r="NZF80" s="974"/>
      <c r="NZG80" s="974"/>
      <c r="NZH80" s="974"/>
      <c r="NZI80" s="974"/>
      <c r="NZJ80" s="974"/>
      <c r="NZK80" s="974"/>
      <c r="NZL80" s="974"/>
      <c r="NZM80" s="974"/>
      <c r="NZN80" s="974"/>
      <c r="NZO80" s="974"/>
      <c r="NZP80" s="974"/>
      <c r="NZQ80" s="974"/>
      <c r="NZR80" s="974"/>
      <c r="NZS80" s="974"/>
      <c r="NZT80" s="974"/>
      <c r="NZU80" s="974"/>
      <c r="NZV80" s="974"/>
      <c r="NZW80" s="974"/>
      <c r="NZX80" s="974"/>
      <c r="NZY80" s="974"/>
      <c r="NZZ80" s="974"/>
      <c r="OAA80" s="974"/>
      <c r="OAB80" s="974"/>
      <c r="OAC80" s="974"/>
      <c r="OAD80" s="974"/>
      <c r="OAE80" s="974"/>
      <c r="OAF80" s="974"/>
      <c r="OAG80" s="974"/>
      <c r="OAH80" s="974"/>
      <c r="OAI80" s="974"/>
      <c r="OAJ80" s="974"/>
      <c r="OAK80" s="974"/>
      <c r="OAL80" s="974"/>
      <c r="OAM80" s="974"/>
      <c r="OAN80" s="974"/>
      <c r="OAO80" s="974"/>
      <c r="OAP80" s="974"/>
      <c r="OAQ80" s="974"/>
      <c r="OAR80" s="974"/>
      <c r="OAS80" s="974"/>
      <c r="OAT80" s="974"/>
      <c r="OAU80" s="974"/>
      <c r="OAV80" s="974"/>
      <c r="OAW80" s="974"/>
      <c r="OAX80" s="974"/>
      <c r="OAY80" s="974"/>
      <c r="OAZ80" s="974"/>
      <c r="OBA80" s="974"/>
      <c r="OBB80" s="974"/>
      <c r="OBC80" s="974"/>
      <c r="OBD80" s="974"/>
      <c r="OBE80" s="974"/>
      <c r="OBF80" s="974"/>
      <c r="OBG80" s="974"/>
      <c r="OBH80" s="974"/>
      <c r="OBI80" s="974"/>
      <c r="OBJ80" s="974"/>
      <c r="OBK80" s="974"/>
      <c r="OBL80" s="974"/>
      <c r="OBM80" s="974"/>
      <c r="OBN80" s="974"/>
      <c r="OBO80" s="974"/>
      <c r="OBP80" s="974"/>
      <c r="OBQ80" s="974"/>
      <c r="OBR80" s="974"/>
      <c r="OBS80" s="974"/>
      <c r="OBT80" s="974"/>
      <c r="OBU80" s="974"/>
      <c r="OBV80" s="974"/>
      <c r="OBW80" s="974"/>
      <c r="OBX80" s="974"/>
      <c r="OBY80" s="974"/>
      <c r="OBZ80" s="974"/>
      <c r="OCA80" s="974"/>
      <c r="OCB80" s="974"/>
      <c r="OCC80" s="974"/>
      <c r="OCD80" s="974"/>
      <c r="OCE80" s="974"/>
      <c r="OCF80" s="974"/>
      <c r="OCG80" s="974"/>
      <c r="OCH80" s="974"/>
      <c r="OCI80" s="974"/>
      <c r="OCJ80" s="974"/>
      <c r="OCK80" s="974"/>
      <c r="OCL80" s="974"/>
      <c r="OCM80" s="974"/>
      <c r="OCN80" s="974"/>
      <c r="OCO80" s="974"/>
      <c r="OCP80" s="974"/>
      <c r="OCQ80" s="974"/>
      <c r="OCR80" s="974"/>
      <c r="OCS80" s="974"/>
      <c r="OCT80" s="974"/>
      <c r="OCU80" s="974"/>
      <c r="OCV80" s="974"/>
      <c r="OCW80" s="974"/>
      <c r="OCX80" s="974"/>
      <c r="OCY80" s="974"/>
      <c r="OCZ80" s="974"/>
      <c r="ODA80" s="974"/>
      <c r="ODB80" s="974"/>
      <c r="ODC80" s="974"/>
      <c r="ODD80" s="974"/>
      <c r="ODE80" s="974"/>
      <c r="ODF80" s="974"/>
      <c r="ODG80" s="974"/>
      <c r="ODH80" s="974"/>
      <c r="ODI80" s="974"/>
      <c r="ODJ80" s="974"/>
      <c r="ODK80" s="974"/>
      <c r="ODL80" s="974"/>
      <c r="ODM80" s="974"/>
      <c r="ODN80" s="974"/>
      <c r="ODO80" s="974"/>
      <c r="ODP80" s="974"/>
      <c r="ODQ80" s="974"/>
      <c r="ODR80" s="974"/>
      <c r="ODS80" s="974"/>
      <c r="ODT80" s="974"/>
      <c r="ODU80" s="974"/>
      <c r="ODV80" s="974"/>
      <c r="ODW80" s="974"/>
      <c r="ODX80" s="974"/>
      <c r="ODY80" s="974"/>
      <c r="ODZ80" s="974"/>
      <c r="OEA80" s="974"/>
      <c r="OEB80" s="974"/>
      <c r="OEC80" s="974"/>
      <c r="OED80" s="974"/>
      <c r="OEE80" s="974"/>
      <c r="OEF80" s="974"/>
      <c r="OEG80" s="974"/>
      <c r="OEH80" s="974"/>
      <c r="OEI80" s="974"/>
      <c r="OEJ80" s="974"/>
      <c r="OEK80" s="974"/>
      <c r="OEL80" s="974"/>
      <c r="OEM80" s="974"/>
      <c r="OEN80" s="974"/>
      <c r="OEO80" s="974"/>
      <c r="OEP80" s="974"/>
      <c r="OEQ80" s="974"/>
      <c r="OER80" s="974"/>
      <c r="OES80" s="974"/>
      <c r="OET80" s="974"/>
      <c r="OEU80" s="974"/>
      <c r="OEV80" s="974"/>
      <c r="OEW80" s="974"/>
      <c r="OEX80" s="974"/>
      <c r="OEY80" s="974"/>
      <c r="OEZ80" s="974"/>
      <c r="OFA80" s="974"/>
      <c r="OFB80" s="974"/>
      <c r="OFC80" s="974"/>
      <c r="OFD80" s="974"/>
      <c r="OFE80" s="974"/>
      <c r="OFF80" s="974"/>
      <c r="OFG80" s="974"/>
      <c r="OFH80" s="974"/>
      <c r="OFI80" s="974"/>
      <c r="OFJ80" s="974"/>
      <c r="OFK80" s="974"/>
      <c r="OFL80" s="974"/>
      <c r="OFM80" s="974"/>
      <c r="OFN80" s="974"/>
      <c r="OFO80" s="974"/>
      <c r="OFP80" s="974"/>
      <c r="OFQ80" s="974"/>
      <c r="OFR80" s="974"/>
      <c r="OFS80" s="974"/>
      <c r="OFT80" s="974"/>
      <c r="OFU80" s="974"/>
      <c r="OFV80" s="974"/>
      <c r="OFW80" s="974"/>
      <c r="OFX80" s="974"/>
      <c r="OFY80" s="974"/>
      <c r="OFZ80" s="974"/>
      <c r="OGA80" s="974"/>
      <c r="OGB80" s="974"/>
      <c r="OGC80" s="974"/>
      <c r="OGD80" s="974"/>
      <c r="OGE80" s="974"/>
      <c r="OGF80" s="974"/>
      <c r="OGG80" s="974"/>
      <c r="OGH80" s="974"/>
      <c r="OGI80" s="974"/>
      <c r="OGJ80" s="974"/>
      <c r="OGK80" s="974"/>
      <c r="OGL80" s="974"/>
      <c r="OGM80" s="974"/>
      <c r="OGN80" s="974"/>
      <c r="OGO80" s="974"/>
      <c r="OGP80" s="974"/>
      <c r="OGQ80" s="974"/>
      <c r="OGR80" s="974"/>
      <c r="OGS80" s="974"/>
      <c r="OGT80" s="974"/>
      <c r="OGU80" s="974"/>
      <c r="OGV80" s="974"/>
      <c r="OGW80" s="974"/>
      <c r="OGX80" s="974"/>
      <c r="OGY80" s="974"/>
      <c r="OGZ80" s="974"/>
      <c r="OHA80" s="974"/>
      <c r="OHB80" s="974"/>
      <c r="OHC80" s="974"/>
      <c r="OHD80" s="974"/>
      <c r="OHE80" s="974"/>
      <c r="OHF80" s="974"/>
      <c r="OHG80" s="974"/>
      <c r="OHH80" s="974"/>
      <c r="OHI80" s="974"/>
      <c r="OHJ80" s="974"/>
      <c r="OHK80" s="974"/>
      <c r="OHL80" s="974"/>
      <c r="OHM80" s="974"/>
      <c r="OHN80" s="974"/>
      <c r="OHO80" s="974"/>
      <c r="OHP80" s="974"/>
      <c r="OHQ80" s="974"/>
      <c r="OHR80" s="974"/>
      <c r="OHS80" s="974"/>
      <c r="OHT80" s="974"/>
      <c r="OHU80" s="974"/>
      <c r="OHV80" s="974"/>
      <c r="OHW80" s="974"/>
      <c r="OHX80" s="974"/>
      <c r="OHY80" s="974"/>
      <c r="OHZ80" s="974"/>
      <c r="OIA80" s="974"/>
      <c r="OIB80" s="974"/>
      <c r="OIC80" s="974"/>
      <c r="OID80" s="974"/>
      <c r="OIE80" s="974"/>
      <c r="OIF80" s="974"/>
      <c r="OIG80" s="974"/>
      <c r="OIH80" s="974"/>
      <c r="OII80" s="974"/>
      <c r="OIJ80" s="974"/>
      <c r="OIK80" s="974"/>
      <c r="OIL80" s="974"/>
      <c r="OIM80" s="974"/>
      <c r="OIN80" s="974"/>
      <c r="OIO80" s="974"/>
      <c r="OIP80" s="974"/>
      <c r="OIQ80" s="974"/>
      <c r="OIR80" s="974"/>
      <c r="OIS80" s="974"/>
      <c r="OIT80" s="974"/>
      <c r="OIU80" s="974"/>
      <c r="OIV80" s="974"/>
      <c r="OIW80" s="974"/>
      <c r="OIX80" s="974"/>
      <c r="OIY80" s="974"/>
      <c r="OIZ80" s="974"/>
      <c r="OJA80" s="974"/>
      <c r="OJB80" s="974"/>
      <c r="OJC80" s="974"/>
      <c r="OJD80" s="974"/>
      <c r="OJE80" s="974"/>
      <c r="OJF80" s="974"/>
      <c r="OJG80" s="974"/>
      <c r="OJH80" s="974"/>
      <c r="OJI80" s="974"/>
      <c r="OJJ80" s="974"/>
      <c r="OJK80" s="974"/>
      <c r="OJL80" s="974"/>
      <c r="OJM80" s="974"/>
      <c r="OJN80" s="974"/>
      <c r="OJO80" s="974"/>
      <c r="OJP80" s="974"/>
      <c r="OJQ80" s="974"/>
      <c r="OJR80" s="974"/>
      <c r="OJS80" s="974"/>
      <c r="OJT80" s="974"/>
      <c r="OJU80" s="974"/>
      <c r="OJV80" s="974"/>
      <c r="OJW80" s="974"/>
      <c r="OJX80" s="974"/>
      <c r="OJY80" s="974"/>
      <c r="OJZ80" s="974"/>
      <c r="OKA80" s="974"/>
      <c r="OKB80" s="974"/>
      <c r="OKC80" s="974"/>
      <c r="OKD80" s="974"/>
      <c r="OKE80" s="974"/>
      <c r="OKF80" s="974"/>
      <c r="OKG80" s="974"/>
      <c r="OKH80" s="974"/>
      <c r="OKI80" s="974"/>
      <c r="OKJ80" s="974"/>
      <c r="OKK80" s="974"/>
      <c r="OKL80" s="974"/>
      <c r="OKM80" s="974"/>
      <c r="OKN80" s="974"/>
      <c r="OKO80" s="974"/>
      <c r="OKP80" s="974"/>
      <c r="OKQ80" s="974"/>
      <c r="OKR80" s="974"/>
      <c r="OKS80" s="974"/>
      <c r="OKT80" s="974"/>
      <c r="OKU80" s="974"/>
      <c r="OKV80" s="974"/>
      <c r="OKW80" s="974"/>
      <c r="OKX80" s="974"/>
      <c r="OKY80" s="974"/>
      <c r="OKZ80" s="974"/>
      <c r="OLA80" s="974"/>
      <c r="OLB80" s="974"/>
      <c r="OLC80" s="974"/>
      <c r="OLD80" s="974"/>
      <c r="OLE80" s="974"/>
      <c r="OLF80" s="974"/>
      <c r="OLG80" s="974"/>
      <c r="OLH80" s="974"/>
      <c r="OLI80" s="974"/>
      <c r="OLJ80" s="974"/>
      <c r="OLK80" s="974"/>
      <c r="OLL80" s="974"/>
      <c r="OLM80" s="974"/>
      <c r="OLN80" s="974"/>
      <c r="OLO80" s="974"/>
      <c r="OLP80" s="974"/>
      <c r="OLQ80" s="974"/>
      <c r="OLR80" s="974"/>
      <c r="OLS80" s="974"/>
      <c r="OLT80" s="974"/>
      <c r="OLU80" s="974"/>
      <c r="OLV80" s="974"/>
      <c r="OLW80" s="974"/>
      <c r="OLX80" s="974"/>
      <c r="OLY80" s="974"/>
      <c r="OLZ80" s="974"/>
      <c r="OMA80" s="974"/>
      <c r="OMB80" s="974"/>
      <c r="OMC80" s="974"/>
      <c r="OMD80" s="974"/>
      <c r="OME80" s="974"/>
      <c r="OMF80" s="974"/>
      <c r="OMG80" s="974"/>
      <c r="OMH80" s="974"/>
      <c r="OMI80" s="974"/>
      <c r="OMJ80" s="974"/>
      <c r="OMK80" s="974"/>
      <c r="OML80" s="974"/>
      <c r="OMM80" s="974"/>
      <c r="OMN80" s="974"/>
      <c r="OMO80" s="974"/>
      <c r="OMP80" s="974"/>
      <c r="OMQ80" s="974"/>
      <c r="OMR80" s="974"/>
      <c r="OMS80" s="974"/>
      <c r="OMT80" s="974"/>
      <c r="OMU80" s="974"/>
      <c r="OMV80" s="974"/>
      <c r="OMW80" s="974"/>
      <c r="OMX80" s="974"/>
      <c r="OMY80" s="974"/>
      <c r="OMZ80" s="974"/>
      <c r="ONA80" s="974"/>
      <c r="ONB80" s="974"/>
      <c r="ONC80" s="974"/>
      <c r="OND80" s="974"/>
      <c r="ONE80" s="974"/>
      <c r="ONF80" s="974"/>
      <c r="ONG80" s="974"/>
      <c r="ONH80" s="974"/>
      <c r="ONI80" s="974"/>
      <c r="ONJ80" s="974"/>
      <c r="ONK80" s="974"/>
      <c r="ONL80" s="974"/>
      <c r="ONM80" s="974"/>
      <c r="ONN80" s="974"/>
      <c r="ONO80" s="974"/>
      <c r="ONP80" s="974"/>
      <c r="ONQ80" s="974"/>
      <c r="ONR80" s="974"/>
      <c r="ONS80" s="974"/>
      <c r="ONT80" s="974"/>
      <c r="ONU80" s="974"/>
      <c r="ONV80" s="974"/>
      <c r="ONW80" s="974"/>
      <c r="ONX80" s="974"/>
      <c r="ONY80" s="974"/>
      <c r="ONZ80" s="974"/>
      <c r="OOA80" s="974"/>
      <c r="OOB80" s="974"/>
      <c r="OOC80" s="974"/>
      <c r="OOD80" s="974"/>
      <c r="OOE80" s="974"/>
      <c r="OOF80" s="974"/>
      <c r="OOG80" s="974"/>
      <c r="OOH80" s="974"/>
      <c r="OOI80" s="974"/>
      <c r="OOJ80" s="974"/>
      <c r="OOK80" s="974"/>
      <c r="OOL80" s="974"/>
      <c r="OOM80" s="974"/>
      <c r="OON80" s="974"/>
      <c r="OOO80" s="974"/>
      <c r="OOP80" s="974"/>
      <c r="OOQ80" s="974"/>
      <c r="OOR80" s="974"/>
      <c r="OOS80" s="974"/>
      <c r="OOT80" s="974"/>
      <c r="OOU80" s="974"/>
      <c r="OOV80" s="974"/>
      <c r="OOW80" s="974"/>
      <c r="OOX80" s="974"/>
      <c r="OOY80" s="974"/>
      <c r="OOZ80" s="974"/>
      <c r="OPA80" s="974"/>
      <c r="OPB80" s="974"/>
      <c r="OPC80" s="974"/>
      <c r="OPD80" s="974"/>
      <c r="OPE80" s="974"/>
      <c r="OPF80" s="974"/>
      <c r="OPG80" s="974"/>
      <c r="OPH80" s="974"/>
      <c r="OPI80" s="974"/>
      <c r="OPJ80" s="974"/>
      <c r="OPK80" s="974"/>
      <c r="OPL80" s="974"/>
      <c r="OPM80" s="974"/>
      <c r="OPN80" s="974"/>
      <c r="OPO80" s="974"/>
      <c r="OPP80" s="974"/>
      <c r="OPQ80" s="974"/>
      <c r="OPR80" s="974"/>
      <c r="OPS80" s="974"/>
      <c r="OPT80" s="974"/>
      <c r="OPU80" s="974"/>
      <c r="OPV80" s="974"/>
      <c r="OPW80" s="974"/>
      <c r="OPX80" s="974"/>
      <c r="OPY80" s="974"/>
      <c r="OPZ80" s="974"/>
      <c r="OQA80" s="974"/>
      <c r="OQB80" s="974"/>
      <c r="OQC80" s="974"/>
      <c r="OQD80" s="974"/>
      <c r="OQE80" s="974"/>
      <c r="OQF80" s="974"/>
      <c r="OQG80" s="974"/>
      <c r="OQH80" s="974"/>
      <c r="OQI80" s="974"/>
      <c r="OQJ80" s="974"/>
      <c r="OQK80" s="974"/>
      <c r="OQL80" s="974"/>
      <c r="OQM80" s="974"/>
      <c r="OQN80" s="974"/>
      <c r="OQO80" s="974"/>
      <c r="OQP80" s="974"/>
      <c r="OQQ80" s="974"/>
      <c r="OQR80" s="974"/>
      <c r="OQS80" s="974"/>
      <c r="OQT80" s="974"/>
      <c r="OQU80" s="974"/>
      <c r="OQV80" s="974"/>
      <c r="OQW80" s="974"/>
      <c r="OQX80" s="974"/>
      <c r="OQY80" s="974"/>
      <c r="OQZ80" s="974"/>
      <c r="ORA80" s="974"/>
      <c r="ORB80" s="974"/>
      <c r="ORC80" s="974"/>
      <c r="ORD80" s="974"/>
      <c r="ORE80" s="974"/>
      <c r="ORF80" s="974"/>
      <c r="ORG80" s="974"/>
      <c r="ORH80" s="974"/>
      <c r="ORI80" s="974"/>
      <c r="ORJ80" s="974"/>
      <c r="ORK80" s="974"/>
      <c r="ORL80" s="974"/>
      <c r="ORM80" s="974"/>
      <c r="ORN80" s="974"/>
      <c r="ORO80" s="974"/>
      <c r="ORP80" s="974"/>
      <c r="ORQ80" s="974"/>
      <c r="ORR80" s="974"/>
      <c r="ORS80" s="974"/>
      <c r="ORT80" s="974"/>
      <c r="ORU80" s="974"/>
      <c r="ORV80" s="974"/>
      <c r="ORW80" s="974"/>
      <c r="ORX80" s="974"/>
      <c r="ORY80" s="974"/>
      <c r="ORZ80" s="974"/>
      <c r="OSA80" s="974"/>
      <c r="OSB80" s="974"/>
      <c r="OSC80" s="974"/>
      <c r="OSD80" s="974"/>
      <c r="OSE80" s="974"/>
      <c r="OSF80" s="974"/>
      <c r="OSG80" s="974"/>
      <c r="OSH80" s="974"/>
      <c r="OSI80" s="974"/>
      <c r="OSJ80" s="974"/>
      <c r="OSK80" s="974"/>
      <c r="OSL80" s="974"/>
      <c r="OSM80" s="974"/>
      <c r="OSN80" s="974"/>
      <c r="OSO80" s="974"/>
      <c r="OSP80" s="974"/>
      <c r="OSQ80" s="974"/>
      <c r="OSR80" s="974"/>
      <c r="OSS80" s="974"/>
      <c r="OST80" s="974"/>
      <c r="OSU80" s="974"/>
      <c r="OSV80" s="974"/>
      <c r="OSW80" s="974"/>
      <c r="OSX80" s="974"/>
      <c r="OSY80" s="974"/>
      <c r="OSZ80" s="974"/>
      <c r="OTA80" s="974"/>
      <c r="OTB80" s="974"/>
      <c r="OTC80" s="974"/>
      <c r="OTD80" s="974"/>
      <c r="OTE80" s="974"/>
      <c r="OTF80" s="974"/>
      <c r="OTG80" s="974"/>
      <c r="OTH80" s="974"/>
      <c r="OTI80" s="974"/>
      <c r="OTJ80" s="974"/>
      <c r="OTK80" s="974"/>
      <c r="OTL80" s="974"/>
      <c r="OTM80" s="974"/>
      <c r="OTN80" s="974"/>
      <c r="OTO80" s="974"/>
      <c r="OTP80" s="974"/>
      <c r="OTQ80" s="974"/>
      <c r="OTR80" s="974"/>
      <c r="OTS80" s="974"/>
      <c r="OTT80" s="974"/>
      <c r="OTU80" s="974"/>
      <c r="OTV80" s="974"/>
      <c r="OTW80" s="974"/>
      <c r="OTX80" s="974"/>
      <c r="OTY80" s="974"/>
      <c r="OTZ80" s="974"/>
      <c r="OUA80" s="974"/>
      <c r="OUB80" s="974"/>
      <c r="OUC80" s="974"/>
      <c r="OUD80" s="974"/>
      <c r="OUE80" s="974"/>
      <c r="OUF80" s="974"/>
      <c r="OUG80" s="974"/>
      <c r="OUH80" s="974"/>
      <c r="OUI80" s="974"/>
      <c r="OUJ80" s="974"/>
      <c r="OUK80" s="974"/>
      <c r="OUL80" s="974"/>
      <c r="OUM80" s="974"/>
      <c r="OUN80" s="974"/>
      <c r="OUO80" s="974"/>
      <c r="OUP80" s="974"/>
      <c r="OUQ80" s="974"/>
      <c r="OUR80" s="974"/>
      <c r="OUS80" s="974"/>
      <c r="OUT80" s="974"/>
      <c r="OUU80" s="974"/>
      <c r="OUV80" s="974"/>
      <c r="OUW80" s="974"/>
      <c r="OUX80" s="974"/>
      <c r="OUY80" s="974"/>
      <c r="OUZ80" s="974"/>
      <c r="OVA80" s="974"/>
      <c r="OVB80" s="974"/>
      <c r="OVC80" s="974"/>
      <c r="OVD80" s="974"/>
      <c r="OVE80" s="974"/>
      <c r="OVF80" s="974"/>
      <c r="OVG80" s="974"/>
      <c r="OVH80" s="974"/>
      <c r="OVI80" s="974"/>
      <c r="OVJ80" s="974"/>
      <c r="OVK80" s="974"/>
      <c r="OVL80" s="974"/>
      <c r="OVM80" s="974"/>
      <c r="OVN80" s="974"/>
      <c r="OVO80" s="974"/>
      <c r="OVP80" s="974"/>
      <c r="OVQ80" s="974"/>
      <c r="OVR80" s="974"/>
      <c r="OVS80" s="974"/>
      <c r="OVT80" s="974"/>
      <c r="OVU80" s="974"/>
      <c r="OVV80" s="974"/>
      <c r="OVW80" s="974"/>
      <c r="OVX80" s="974"/>
      <c r="OVY80" s="974"/>
      <c r="OVZ80" s="974"/>
      <c r="OWA80" s="974"/>
      <c r="OWB80" s="974"/>
      <c r="OWC80" s="974"/>
      <c r="OWD80" s="974"/>
      <c r="OWE80" s="974"/>
      <c r="OWF80" s="974"/>
      <c r="OWG80" s="974"/>
      <c r="OWH80" s="974"/>
      <c r="OWI80" s="974"/>
      <c r="OWJ80" s="974"/>
      <c r="OWK80" s="974"/>
      <c r="OWL80" s="974"/>
      <c r="OWM80" s="974"/>
      <c r="OWN80" s="974"/>
      <c r="OWO80" s="974"/>
      <c r="OWP80" s="974"/>
      <c r="OWQ80" s="974"/>
      <c r="OWR80" s="974"/>
      <c r="OWS80" s="974"/>
      <c r="OWT80" s="974"/>
      <c r="OWU80" s="974"/>
      <c r="OWV80" s="974"/>
      <c r="OWW80" s="974"/>
      <c r="OWX80" s="974"/>
      <c r="OWY80" s="974"/>
      <c r="OWZ80" s="974"/>
      <c r="OXA80" s="974"/>
      <c r="OXB80" s="974"/>
      <c r="OXC80" s="974"/>
      <c r="OXD80" s="974"/>
      <c r="OXE80" s="974"/>
      <c r="OXF80" s="974"/>
      <c r="OXG80" s="974"/>
      <c r="OXH80" s="974"/>
      <c r="OXI80" s="974"/>
      <c r="OXJ80" s="974"/>
      <c r="OXK80" s="974"/>
      <c r="OXL80" s="974"/>
      <c r="OXM80" s="974"/>
      <c r="OXN80" s="974"/>
      <c r="OXO80" s="974"/>
      <c r="OXP80" s="974"/>
      <c r="OXQ80" s="974"/>
      <c r="OXR80" s="974"/>
      <c r="OXS80" s="974"/>
      <c r="OXT80" s="974"/>
      <c r="OXU80" s="974"/>
      <c r="OXV80" s="974"/>
      <c r="OXW80" s="974"/>
      <c r="OXX80" s="974"/>
      <c r="OXY80" s="974"/>
      <c r="OXZ80" s="974"/>
      <c r="OYA80" s="974"/>
      <c r="OYB80" s="974"/>
      <c r="OYC80" s="974"/>
      <c r="OYD80" s="974"/>
      <c r="OYE80" s="974"/>
      <c r="OYF80" s="974"/>
      <c r="OYG80" s="974"/>
      <c r="OYH80" s="974"/>
      <c r="OYI80" s="974"/>
      <c r="OYJ80" s="974"/>
      <c r="OYK80" s="974"/>
      <c r="OYL80" s="974"/>
      <c r="OYM80" s="974"/>
      <c r="OYN80" s="974"/>
      <c r="OYO80" s="974"/>
      <c r="OYP80" s="974"/>
      <c r="OYQ80" s="974"/>
      <c r="OYR80" s="974"/>
      <c r="OYS80" s="974"/>
      <c r="OYT80" s="974"/>
      <c r="OYU80" s="974"/>
      <c r="OYV80" s="974"/>
      <c r="OYW80" s="974"/>
      <c r="OYX80" s="974"/>
      <c r="OYY80" s="974"/>
      <c r="OYZ80" s="974"/>
      <c r="OZA80" s="974"/>
      <c r="OZB80" s="974"/>
      <c r="OZC80" s="974"/>
      <c r="OZD80" s="974"/>
      <c r="OZE80" s="974"/>
      <c r="OZF80" s="974"/>
      <c r="OZG80" s="974"/>
      <c r="OZH80" s="974"/>
      <c r="OZI80" s="974"/>
      <c r="OZJ80" s="974"/>
      <c r="OZK80" s="974"/>
      <c r="OZL80" s="974"/>
      <c r="OZM80" s="974"/>
      <c r="OZN80" s="974"/>
      <c r="OZO80" s="974"/>
      <c r="OZP80" s="974"/>
      <c r="OZQ80" s="974"/>
      <c r="OZR80" s="974"/>
      <c r="OZS80" s="974"/>
      <c r="OZT80" s="974"/>
      <c r="OZU80" s="974"/>
      <c r="OZV80" s="974"/>
      <c r="OZW80" s="974"/>
      <c r="OZX80" s="974"/>
      <c r="OZY80" s="974"/>
      <c r="OZZ80" s="974"/>
      <c r="PAA80" s="974"/>
      <c r="PAB80" s="974"/>
      <c r="PAC80" s="974"/>
      <c r="PAD80" s="974"/>
      <c r="PAE80" s="974"/>
      <c r="PAF80" s="974"/>
      <c r="PAG80" s="974"/>
      <c r="PAH80" s="974"/>
      <c r="PAI80" s="974"/>
      <c r="PAJ80" s="974"/>
      <c r="PAK80" s="974"/>
      <c r="PAL80" s="974"/>
      <c r="PAM80" s="974"/>
      <c r="PAN80" s="974"/>
      <c r="PAO80" s="974"/>
      <c r="PAP80" s="974"/>
      <c r="PAQ80" s="974"/>
      <c r="PAR80" s="974"/>
      <c r="PAS80" s="974"/>
      <c r="PAT80" s="974"/>
      <c r="PAU80" s="974"/>
      <c r="PAV80" s="974"/>
      <c r="PAW80" s="974"/>
      <c r="PAX80" s="974"/>
      <c r="PAY80" s="974"/>
      <c r="PAZ80" s="974"/>
      <c r="PBA80" s="974"/>
      <c r="PBB80" s="974"/>
      <c r="PBC80" s="974"/>
      <c r="PBD80" s="974"/>
      <c r="PBE80" s="974"/>
      <c r="PBF80" s="974"/>
      <c r="PBG80" s="974"/>
      <c r="PBH80" s="974"/>
      <c r="PBI80" s="974"/>
      <c r="PBJ80" s="974"/>
      <c r="PBK80" s="974"/>
      <c r="PBL80" s="974"/>
      <c r="PBM80" s="974"/>
      <c r="PBN80" s="974"/>
      <c r="PBO80" s="974"/>
      <c r="PBP80" s="974"/>
      <c r="PBQ80" s="974"/>
      <c r="PBR80" s="974"/>
      <c r="PBS80" s="974"/>
      <c r="PBT80" s="974"/>
      <c r="PBU80" s="974"/>
      <c r="PBV80" s="974"/>
      <c r="PBW80" s="974"/>
      <c r="PBX80" s="974"/>
      <c r="PBY80" s="974"/>
      <c r="PBZ80" s="974"/>
      <c r="PCA80" s="974"/>
      <c r="PCB80" s="974"/>
      <c r="PCC80" s="974"/>
      <c r="PCD80" s="974"/>
      <c r="PCE80" s="974"/>
      <c r="PCF80" s="974"/>
      <c r="PCG80" s="974"/>
      <c r="PCH80" s="974"/>
      <c r="PCI80" s="974"/>
      <c r="PCJ80" s="974"/>
      <c r="PCK80" s="974"/>
      <c r="PCL80" s="974"/>
      <c r="PCM80" s="974"/>
      <c r="PCN80" s="974"/>
      <c r="PCO80" s="974"/>
      <c r="PCP80" s="974"/>
      <c r="PCQ80" s="974"/>
      <c r="PCR80" s="974"/>
      <c r="PCS80" s="974"/>
      <c r="PCT80" s="974"/>
      <c r="PCU80" s="974"/>
      <c r="PCV80" s="974"/>
      <c r="PCW80" s="974"/>
      <c r="PCX80" s="974"/>
      <c r="PCY80" s="974"/>
      <c r="PCZ80" s="974"/>
      <c r="PDA80" s="974"/>
      <c r="PDB80" s="974"/>
      <c r="PDC80" s="974"/>
      <c r="PDD80" s="974"/>
      <c r="PDE80" s="974"/>
      <c r="PDF80" s="974"/>
      <c r="PDG80" s="974"/>
      <c r="PDH80" s="974"/>
      <c r="PDI80" s="974"/>
      <c r="PDJ80" s="974"/>
      <c r="PDK80" s="974"/>
      <c r="PDL80" s="974"/>
      <c r="PDM80" s="974"/>
      <c r="PDN80" s="974"/>
      <c r="PDO80" s="974"/>
      <c r="PDP80" s="974"/>
      <c r="PDQ80" s="974"/>
      <c r="PDR80" s="974"/>
      <c r="PDS80" s="974"/>
      <c r="PDT80" s="974"/>
      <c r="PDU80" s="974"/>
      <c r="PDV80" s="974"/>
      <c r="PDW80" s="974"/>
      <c r="PDX80" s="974"/>
      <c r="PDY80" s="974"/>
      <c r="PDZ80" s="974"/>
      <c r="PEA80" s="974"/>
      <c r="PEB80" s="974"/>
      <c r="PEC80" s="974"/>
      <c r="PED80" s="974"/>
      <c r="PEE80" s="974"/>
      <c r="PEF80" s="974"/>
      <c r="PEG80" s="974"/>
      <c r="PEH80" s="974"/>
      <c r="PEI80" s="974"/>
      <c r="PEJ80" s="974"/>
      <c r="PEK80" s="974"/>
      <c r="PEL80" s="974"/>
      <c r="PEM80" s="974"/>
      <c r="PEN80" s="974"/>
      <c r="PEO80" s="974"/>
      <c r="PEP80" s="974"/>
      <c r="PEQ80" s="974"/>
      <c r="PER80" s="974"/>
      <c r="PES80" s="974"/>
      <c r="PET80" s="974"/>
      <c r="PEU80" s="974"/>
      <c r="PEV80" s="974"/>
      <c r="PEW80" s="974"/>
      <c r="PEX80" s="974"/>
      <c r="PEY80" s="974"/>
      <c r="PEZ80" s="974"/>
      <c r="PFA80" s="974"/>
      <c r="PFB80" s="974"/>
      <c r="PFC80" s="974"/>
      <c r="PFD80" s="974"/>
      <c r="PFE80" s="974"/>
      <c r="PFF80" s="974"/>
      <c r="PFG80" s="974"/>
      <c r="PFH80" s="974"/>
      <c r="PFI80" s="974"/>
      <c r="PFJ80" s="974"/>
      <c r="PFK80" s="974"/>
      <c r="PFL80" s="974"/>
      <c r="PFM80" s="974"/>
      <c r="PFN80" s="974"/>
      <c r="PFO80" s="974"/>
      <c r="PFP80" s="974"/>
      <c r="PFQ80" s="974"/>
      <c r="PFR80" s="974"/>
      <c r="PFS80" s="974"/>
      <c r="PFT80" s="974"/>
      <c r="PFU80" s="974"/>
      <c r="PFV80" s="974"/>
      <c r="PFW80" s="974"/>
      <c r="PFX80" s="974"/>
      <c r="PFY80" s="974"/>
      <c r="PFZ80" s="974"/>
      <c r="PGA80" s="974"/>
      <c r="PGB80" s="974"/>
      <c r="PGC80" s="974"/>
      <c r="PGD80" s="974"/>
      <c r="PGE80" s="974"/>
      <c r="PGF80" s="974"/>
      <c r="PGG80" s="974"/>
      <c r="PGH80" s="974"/>
      <c r="PGI80" s="974"/>
      <c r="PGJ80" s="974"/>
      <c r="PGK80" s="974"/>
      <c r="PGL80" s="974"/>
      <c r="PGM80" s="974"/>
      <c r="PGN80" s="974"/>
      <c r="PGO80" s="974"/>
      <c r="PGP80" s="974"/>
      <c r="PGQ80" s="974"/>
      <c r="PGR80" s="974"/>
      <c r="PGS80" s="974"/>
      <c r="PGT80" s="974"/>
      <c r="PGU80" s="974"/>
      <c r="PGV80" s="974"/>
      <c r="PGW80" s="974"/>
      <c r="PGX80" s="974"/>
      <c r="PGY80" s="974"/>
      <c r="PGZ80" s="974"/>
      <c r="PHA80" s="974"/>
      <c r="PHB80" s="974"/>
      <c r="PHC80" s="974"/>
      <c r="PHD80" s="974"/>
      <c r="PHE80" s="974"/>
      <c r="PHF80" s="974"/>
      <c r="PHG80" s="974"/>
      <c r="PHH80" s="974"/>
      <c r="PHI80" s="974"/>
      <c r="PHJ80" s="974"/>
      <c r="PHK80" s="974"/>
      <c r="PHL80" s="974"/>
      <c r="PHM80" s="974"/>
      <c r="PHN80" s="974"/>
      <c r="PHO80" s="974"/>
      <c r="PHP80" s="974"/>
      <c r="PHQ80" s="974"/>
      <c r="PHR80" s="974"/>
      <c r="PHS80" s="974"/>
      <c r="PHT80" s="974"/>
      <c r="PHU80" s="974"/>
      <c r="PHV80" s="974"/>
      <c r="PHW80" s="974"/>
      <c r="PHX80" s="974"/>
      <c r="PHY80" s="974"/>
      <c r="PHZ80" s="974"/>
      <c r="PIA80" s="974"/>
      <c r="PIB80" s="974"/>
      <c r="PIC80" s="974"/>
      <c r="PID80" s="974"/>
      <c r="PIE80" s="974"/>
      <c r="PIF80" s="974"/>
      <c r="PIG80" s="974"/>
      <c r="PIH80" s="974"/>
      <c r="PII80" s="974"/>
      <c r="PIJ80" s="974"/>
      <c r="PIK80" s="974"/>
      <c r="PIL80" s="974"/>
      <c r="PIM80" s="974"/>
      <c r="PIN80" s="974"/>
      <c r="PIO80" s="974"/>
      <c r="PIP80" s="974"/>
      <c r="PIQ80" s="974"/>
      <c r="PIR80" s="974"/>
      <c r="PIS80" s="974"/>
      <c r="PIT80" s="974"/>
      <c r="PIU80" s="974"/>
      <c r="PIV80" s="974"/>
      <c r="PIW80" s="974"/>
      <c r="PIX80" s="974"/>
      <c r="PIY80" s="974"/>
      <c r="PIZ80" s="974"/>
      <c r="PJA80" s="974"/>
      <c r="PJB80" s="974"/>
      <c r="PJC80" s="974"/>
      <c r="PJD80" s="974"/>
      <c r="PJE80" s="974"/>
      <c r="PJF80" s="974"/>
      <c r="PJG80" s="974"/>
      <c r="PJH80" s="974"/>
      <c r="PJI80" s="974"/>
      <c r="PJJ80" s="974"/>
      <c r="PJK80" s="974"/>
      <c r="PJL80" s="974"/>
      <c r="PJM80" s="974"/>
      <c r="PJN80" s="974"/>
      <c r="PJO80" s="974"/>
      <c r="PJP80" s="974"/>
      <c r="PJQ80" s="974"/>
      <c r="PJR80" s="974"/>
      <c r="PJS80" s="974"/>
      <c r="PJT80" s="974"/>
      <c r="PJU80" s="974"/>
      <c r="PJV80" s="974"/>
      <c r="PJW80" s="974"/>
      <c r="PJX80" s="974"/>
      <c r="PJY80" s="974"/>
      <c r="PJZ80" s="974"/>
      <c r="PKA80" s="974"/>
      <c r="PKB80" s="974"/>
      <c r="PKC80" s="974"/>
      <c r="PKD80" s="974"/>
      <c r="PKE80" s="974"/>
      <c r="PKF80" s="974"/>
      <c r="PKG80" s="974"/>
      <c r="PKH80" s="974"/>
      <c r="PKI80" s="974"/>
      <c r="PKJ80" s="974"/>
      <c r="PKK80" s="974"/>
      <c r="PKL80" s="974"/>
      <c r="PKM80" s="974"/>
      <c r="PKN80" s="974"/>
      <c r="PKO80" s="974"/>
      <c r="PKP80" s="974"/>
      <c r="PKQ80" s="974"/>
      <c r="PKR80" s="974"/>
      <c r="PKS80" s="974"/>
      <c r="PKT80" s="974"/>
      <c r="PKU80" s="974"/>
      <c r="PKV80" s="974"/>
      <c r="PKW80" s="974"/>
      <c r="PKX80" s="974"/>
      <c r="PKY80" s="974"/>
      <c r="PKZ80" s="974"/>
      <c r="PLA80" s="974"/>
      <c r="PLB80" s="974"/>
      <c r="PLC80" s="974"/>
      <c r="PLD80" s="974"/>
      <c r="PLE80" s="974"/>
      <c r="PLF80" s="974"/>
      <c r="PLG80" s="974"/>
      <c r="PLH80" s="974"/>
      <c r="PLI80" s="974"/>
      <c r="PLJ80" s="974"/>
      <c r="PLK80" s="974"/>
      <c r="PLL80" s="974"/>
      <c r="PLM80" s="974"/>
      <c r="PLN80" s="974"/>
      <c r="PLO80" s="974"/>
      <c r="PLP80" s="974"/>
      <c r="PLQ80" s="974"/>
      <c r="PLR80" s="974"/>
      <c r="PLS80" s="974"/>
      <c r="PLT80" s="974"/>
      <c r="PLU80" s="974"/>
      <c r="PLV80" s="974"/>
      <c r="PLW80" s="974"/>
      <c r="PLX80" s="974"/>
      <c r="PLY80" s="974"/>
      <c r="PLZ80" s="974"/>
      <c r="PMA80" s="974"/>
      <c r="PMB80" s="974"/>
      <c r="PMC80" s="974"/>
      <c r="PMD80" s="974"/>
      <c r="PME80" s="974"/>
      <c r="PMF80" s="974"/>
      <c r="PMG80" s="974"/>
      <c r="PMH80" s="974"/>
      <c r="PMI80" s="974"/>
      <c r="PMJ80" s="974"/>
      <c r="PMK80" s="974"/>
      <c r="PML80" s="974"/>
      <c r="PMM80" s="974"/>
      <c r="PMN80" s="974"/>
      <c r="PMO80" s="974"/>
      <c r="PMP80" s="974"/>
      <c r="PMQ80" s="974"/>
      <c r="PMR80" s="974"/>
      <c r="PMS80" s="974"/>
      <c r="PMT80" s="974"/>
      <c r="PMU80" s="974"/>
      <c r="PMV80" s="974"/>
      <c r="PMW80" s="974"/>
      <c r="PMX80" s="974"/>
      <c r="PMY80" s="974"/>
      <c r="PMZ80" s="974"/>
      <c r="PNA80" s="974"/>
      <c r="PNB80" s="974"/>
      <c r="PNC80" s="974"/>
      <c r="PND80" s="974"/>
      <c r="PNE80" s="974"/>
      <c r="PNF80" s="974"/>
      <c r="PNG80" s="974"/>
      <c r="PNH80" s="974"/>
      <c r="PNI80" s="974"/>
      <c r="PNJ80" s="974"/>
      <c r="PNK80" s="974"/>
      <c r="PNL80" s="974"/>
      <c r="PNM80" s="974"/>
      <c r="PNN80" s="974"/>
      <c r="PNO80" s="974"/>
      <c r="PNP80" s="974"/>
      <c r="PNQ80" s="974"/>
      <c r="PNR80" s="974"/>
      <c r="PNS80" s="974"/>
      <c r="PNT80" s="974"/>
      <c r="PNU80" s="974"/>
      <c r="PNV80" s="974"/>
      <c r="PNW80" s="974"/>
      <c r="PNX80" s="974"/>
      <c r="PNY80" s="974"/>
      <c r="PNZ80" s="974"/>
      <c r="POA80" s="974"/>
      <c r="POB80" s="974"/>
      <c r="POC80" s="974"/>
      <c r="POD80" s="974"/>
      <c r="POE80" s="974"/>
      <c r="POF80" s="974"/>
      <c r="POG80" s="974"/>
      <c r="POH80" s="974"/>
      <c r="POI80" s="974"/>
      <c r="POJ80" s="974"/>
      <c r="POK80" s="974"/>
      <c r="POL80" s="974"/>
      <c r="POM80" s="974"/>
      <c r="PON80" s="974"/>
      <c r="POO80" s="974"/>
      <c r="POP80" s="974"/>
      <c r="POQ80" s="974"/>
      <c r="POR80" s="974"/>
      <c r="POS80" s="974"/>
      <c r="POT80" s="974"/>
      <c r="POU80" s="974"/>
      <c r="POV80" s="974"/>
      <c r="POW80" s="974"/>
      <c r="POX80" s="974"/>
      <c r="POY80" s="974"/>
      <c r="POZ80" s="974"/>
      <c r="PPA80" s="974"/>
      <c r="PPB80" s="974"/>
      <c r="PPC80" s="974"/>
      <c r="PPD80" s="974"/>
      <c r="PPE80" s="974"/>
      <c r="PPF80" s="974"/>
      <c r="PPG80" s="974"/>
      <c r="PPH80" s="974"/>
      <c r="PPI80" s="974"/>
      <c r="PPJ80" s="974"/>
      <c r="PPK80" s="974"/>
      <c r="PPL80" s="974"/>
      <c r="PPM80" s="974"/>
      <c r="PPN80" s="974"/>
      <c r="PPO80" s="974"/>
      <c r="PPP80" s="974"/>
      <c r="PPQ80" s="974"/>
      <c r="PPR80" s="974"/>
      <c r="PPS80" s="974"/>
      <c r="PPT80" s="974"/>
      <c r="PPU80" s="974"/>
      <c r="PPV80" s="974"/>
      <c r="PPW80" s="974"/>
      <c r="PPX80" s="974"/>
      <c r="PPY80" s="974"/>
      <c r="PPZ80" s="974"/>
      <c r="PQA80" s="974"/>
      <c r="PQB80" s="974"/>
      <c r="PQC80" s="974"/>
      <c r="PQD80" s="974"/>
      <c r="PQE80" s="974"/>
      <c r="PQF80" s="974"/>
      <c r="PQG80" s="974"/>
      <c r="PQH80" s="974"/>
      <c r="PQI80" s="974"/>
      <c r="PQJ80" s="974"/>
      <c r="PQK80" s="974"/>
      <c r="PQL80" s="974"/>
      <c r="PQM80" s="974"/>
      <c r="PQN80" s="974"/>
      <c r="PQO80" s="974"/>
      <c r="PQP80" s="974"/>
      <c r="PQQ80" s="974"/>
      <c r="PQR80" s="974"/>
      <c r="PQS80" s="974"/>
      <c r="PQT80" s="974"/>
      <c r="PQU80" s="974"/>
      <c r="PQV80" s="974"/>
      <c r="PQW80" s="974"/>
      <c r="PQX80" s="974"/>
      <c r="PQY80" s="974"/>
      <c r="PQZ80" s="974"/>
      <c r="PRA80" s="974"/>
      <c r="PRB80" s="974"/>
      <c r="PRC80" s="974"/>
      <c r="PRD80" s="974"/>
      <c r="PRE80" s="974"/>
      <c r="PRF80" s="974"/>
      <c r="PRG80" s="974"/>
      <c r="PRH80" s="974"/>
      <c r="PRI80" s="974"/>
      <c r="PRJ80" s="974"/>
      <c r="PRK80" s="974"/>
      <c r="PRL80" s="974"/>
      <c r="PRM80" s="974"/>
      <c r="PRN80" s="974"/>
      <c r="PRO80" s="974"/>
      <c r="PRP80" s="974"/>
      <c r="PRQ80" s="974"/>
      <c r="PRR80" s="974"/>
      <c r="PRS80" s="974"/>
      <c r="PRT80" s="974"/>
      <c r="PRU80" s="974"/>
      <c r="PRV80" s="974"/>
      <c r="PRW80" s="974"/>
      <c r="PRX80" s="974"/>
      <c r="PRY80" s="974"/>
      <c r="PRZ80" s="974"/>
      <c r="PSA80" s="974"/>
      <c r="PSB80" s="974"/>
      <c r="PSC80" s="974"/>
      <c r="PSD80" s="974"/>
      <c r="PSE80" s="974"/>
      <c r="PSF80" s="974"/>
      <c r="PSG80" s="974"/>
      <c r="PSH80" s="974"/>
      <c r="PSI80" s="974"/>
      <c r="PSJ80" s="974"/>
      <c r="PSK80" s="974"/>
      <c r="PSL80" s="974"/>
      <c r="PSM80" s="974"/>
      <c r="PSN80" s="974"/>
      <c r="PSO80" s="974"/>
      <c r="PSP80" s="974"/>
      <c r="PSQ80" s="974"/>
      <c r="PSR80" s="974"/>
      <c r="PSS80" s="974"/>
      <c r="PST80" s="974"/>
      <c r="PSU80" s="974"/>
      <c r="PSV80" s="974"/>
      <c r="PSW80" s="974"/>
      <c r="PSX80" s="974"/>
      <c r="PSY80" s="974"/>
      <c r="PSZ80" s="974"/>
      <c r="PTA80" s="974"/>
      <c r="PTB80" s="974"/>
      <c r="PTC80" s="974"/>
      <c r="PTD80" s="974"/>
      <c r="PTE80" s="974"/>
      <c r="PTF80" s="974"/>
      <c r="PTG80" s="974"/>
      <c r="PTH80" s="974"/>
      <c r="PTI80" s="974"/>
      <c r="PTJ80" s="974"/>
      <c r="PTK80" s="974"/>
      <c r="PTL80" s="974"/>
      <c r="PTM80" s="974"/>
      <c r="PTN80" s="974"/>
      <c r="PTO80" s="974"/>
      <c r="PTP80" s="974"/>
      <c r="PTQ80" s="974"/>
      <c r="PTR80" s="974"/>
      <c r="PTS80" s="974"/>
      <c r="PTT80" s="974"/>
      <c r="PTU80" s="974"/>
      <c r="PTV80" s="974"/>
      <c r="PTW80" s="974"/>
      <c r="PTX80" s="974"/>
      <c r="PTY80" s="974"/>
      <c r="PTZ80" s="974"/>
      <c r="PUA80" s="974"/>
      <c r="PUB80" s="974"/>
      <c r="PUC80" s="974"/>
      <c r="PUD80" s="974"/>
      <c r="PUE80" s="974"/>
      <c r="PUF80" s="974"/>
      <c r="PUG80" s="974"/>
      <c r="PUH80" s="974"/>
      <c r="PUI80" s="974"/>
      <c r="PUJ80" s="974"/>
      <c r="PUK80" s="974"/>
      <c r="PUL80" s="974"/>
      <c r="PUM80" s="974"/>
      <c r="PUN80" s="974"/>
      <c r="PUO80" s="974"/>
      <c r="PUP80" s="974"/>
      <c r="PUQ80" s="974"/>
      <c r="PUR80" s="974"/>
      <c r="PUS80" s="974"/>
      <c r="PUT80" s="974"/>
      <c r="PUU80" s="974"/>
      <c r="PUV80" s="974"/>
      <c r="PUW80" s="974"/>
      <c r="PUX80" s="974"/>
      <c r="PUY80" s="974"/>
      <c r="PUZ80" s="974"/>
      <c r="PVA80" s="974"/>
      <c r="PVB80" s="974"/>
      <c r="PVC80" s="974"/>
      <c r="PVD80" s="974"/>
      <c r="PVE80" s="974"/>
      <c r="PVF80" s="974"/>
      <c r="PVG80" s="974"/>
      <c r="PVH80" s="974"/>
      <c r="PVI80" s="974"/>
      <c r="PVJ80" s="974"/>
      <c r="PVK80" s="974"/>
      <c r="PVL80" s="974"/>
      <c r="PVM80" s="974"/>
      <c r="PVN80" s="974"/>
      <c r="PVO80" s="974"/>
      <c r="PVP80" s="974"/>
      <c r="PVQ80" s="974"/>
      <c r="PVR80" s="974"/>
      <c r="PVS80" s="974"/>
      <c r="PVT80" s="974"/>
      <c r="PVU80" s="974"/>
      <c r="PVV80" s="974"/>
      <c r="PVW80" s="974"/>
      <c r="PVX80" s="974"/>
      <c r="PVY80" s="974"/>
      <c r="PVZ80" s="974"/>
      <c r="PWA80" s="974"/>
      <c r="PWB80" s="974"/>
      <c r="PWC80" s="974"/>
      <c r="PWD80" s="974"/>
      <c r="PWE80" s="974"/>
      <c r="PWF80" s="974"/>
      <c r="PWG80" s="974"/>
      <c r="PWH80" s="974"/>
      <c r="PWI80" s="974"/>
      <c r="PWJ80" s="974"/>
      <c r="PWK80" s="974"/>
      <c r="PWL80" s="974"/>
      <c r="PWM80" s="974"/>
      <c r="PWN80" s="974"/>
      <c r="PWO80" s="974"/>
      <c r="PWP80" s="974"/>
      <c r="PWQ80" s="974"/>
      <c r="PWR80" s="974"/>
      <c r="PWS80" s="974"/>
      <c r="PWT80" s="974"/>
      <c r="PWU80" s="974"/>
      <c r="PWV80" s="974"/>
      <c r="PWW80" s="974"/>
      <c r="PWX80" s="974"/>
      <c r="PWY80" s="974"/>
      <c r="PWZ80" s="974"/>
      <c r="PXA80" s="974"/>
      <c r="PXB80" s="974"/>
      <c r="PXC80" s="974"/>
      <c r="PXD80" s="974"/>
      <c r="PXE80" s="974"/>
      <c r="PXF80" s="974"/>
      <c r="PXG80" s="974"/>
      <c r="PXH80" s="974"/>
      <c r="PXI80" s="974"/>
      <c r="PXJ80" s="974"/>
      <c r="PXK80" s="974"/>
      <c r="PXL80" s="974"/>
      <c r="PXM80" s="974"/>
      <c r="PXN80" s="974"/>
      <c r="PXO80" s="974"/>
      <c r="PXP80" s="974"/>
      <c r="PXQ80" s="974"/>
      <c r="PXR80" s="974"/>
      <c r="PXS80" s="974"/>
      <c r="PXT80" s="974"/>
      <c r="PXU80" s="974"/>
      <c r="PXV80" s="974"/>
      <c r="PXW80" s="974"/>
      <c r="PXX80" s="974"/>
      <c r="PXY80" s="974"/>
      <c r="PXZ80" s="974"/>
      <c r="PYA80" s="974"/>
      <c r="PYB80" s="974"/>
      <c r="PYC80" s="974"/>
      <c r="PYD80" s="974"/>
      <c r="PYE80" s="974"/>
      <c r="PYF80" s="974"/>
      <c r="PYG80" s="974"/>
      <c r="PYH80" s="974"/>
      <c r="PYI80" s="974"/>
      <c r="PYJ80" s="974"/>
      <c r="PYK80" s="974"/>
      <c r="PYL80" s="974"/>
      <c r="PYM80" s="974"/>
      <c r="PYN80" s="974"/>
      <c r="PYO80" s="974"/>
      <c r="PYP80" s="974"/>
      <c r="PYQ80" s="974"/>
      <c r="PYR80" s="974"/>
      <c r="PYS80" s="974"/>
      <c r="PYT80" s="974"/>
      <c r="PYU80" s="974"/>
      <c r="PYV80" s="974"/>
      <c r="PYW80" s="974"/>
      <c r="PYX80" s="974"/>
      <c r="PYY80" s="974"/>
      <c r="PYZ80" s="974"/>
      <c r="PZA80" s="974"/>
      <c r="PZB80" s="974"/>
      <c r="PZC80" s="974"/>
      <c r="PZD80" s="974"/>
      <c r="PZE80" s="974"/>
      <c r="PZF80" s="974"/>
      <c r="PZG80" s="974"/>
      <c r="PZH80" s="974"/>
      <c r="PZI80" s="974"/>
      <c r="PZJ80" s="974"/>
      <c r="PZK80" s="974"/>
      <c r="PZL80" s="974"/>
      <c r="PZM80" s="974"/>
      <c r="PZN80" s="974"/>
      <c r="PZO80" s="974"/>
      <c r="PZP80" s="974"/>
      <c r="PZQ80" s="974"/>
      <c r="PZR80" s="974"/>
      <c r="PZS80" s="974"/>
      <c r="PZT80" s="974"/>
      <c r="PZU80" s="974"/>
      <c r="PZV80" s="974"/>
      <c r="PZW80" s="974"/>
      <c r="PZX80" s="974"/>
      <c r="PZY80" s="974"/>
      <c r="PZZ80" s="974"/>
      <c r="QAA80" s="974"/>
      <c r="QAB80" s="974"/>
      <c r="QAC80" s="974"/>
      <c r="QAD80" s="974"/>
      <c r="QAE80" s="974"/>
      <c r="QAF80" s="974"/>
      <c r="QAG80" s="974"/>
      <c r="QAH80" s="974"/>
      <c r="QAI80" s="974"/>
      <c r="QAJ80" s="974"/>
      <c r="QAK80" s="974"/>
      <c r="QAL80" s="974"/>
      <c r="QAM80" s="974"/>
      <c r="QAN80" s="974"/>
      <c r="QAO80" s="974"/>
      <c r="QAP80" s="974"/>
      <c r="QAQ80" s="974"/>
      <c r="QAR80" s="974"/>
      <c r="QAS80" s="974"/>
      <c r="QAT80" s="974"/>
      <c r="QAU80" s="974"/>
      <c r="QAV80" s="974"/>
      <c r="QAW80" s="974"/>
      <c r="QAX80" s="974"/>
      <c r="QAY80" s="974"/>
      <c r="QAZ80" s="974"/>
      <c r="QBA80" s="974"/>
      <c r="QBB80" s="974"/>
      <c r="QBC80" s="974"/>
      <c r="QBD80" s="974"/>
      <c r="QBE80" s="974"/>
      <c r="QBF80" s="974"/>
      <c r="QBG80" s="974"/>
      <c r="QBH80" s="974"/>
      <c r="QBI80" s="974"/>
      <c r="QBJ80" s="974"/>
      <c r="QBK80" s="974"/>
      <c r="QBL80" s="974"/>
      <c r="QBM80" s="974"/>
      <c r="QBN80" s="974"/>
      <c r="QBO80" s="974"/>
      <c r="QBP80" s="974"/>
      <c r="QBQ80" s="974"/>
      <c r="QBR80" s="974"/>
      <c r="QBS80" s="974"/>
      <c r="QBT80" s="974"/>
      <c r="QBU80" s="974"/>
      <c r="QBV80" s="974"/>
      <c r="QBW80" s="974"/>
      <c r="QBX80" s="974"/>
      <c r="QBY80" s="974"/>
      <c r="QBZ80" s="974"/>
      <c r="QCA80" s="974"/>
      <c r="QCB80" s="974"/>
      <c r="QCC80" s="974"/>
      <c r="QCD80" s="974"/>
      <c r="QCE80" s="974"/>
      <c r="QCF80" s="974"/>
      <c r="QCG80" s="974"/>
      <c r="QCH80" s="974"/>
      <c r="QCI80" s="974"/>
      <c r="QCJ80" s="974"/>
      <c r="QCK80" s="974"/>
      <c r="QCL80" s="974"/>
      <c r="QCM80" s="974"/>
      <c r="QCN80" s="974"/>
      <c r="QCO80" s="974"/>
      <c r="QCP80" s="974"/>
      <c r="QCQ80" s="974"/>
      <c r="QCR80" s="974"/>
      <c r="QCS80" s="974"/>
      <c r="QCT80" s="974"/>
      <c r="QCU80" s="974"/>
      <c r="QCV80" s="974"/>
      <c r="QCW80" s="974"/>
      <c r="QCX80" s="974"/>
      <c r="QCY80" s="974"/>
      <c r="QCZ80" s="974"/>
      <c r="QDA80" s="974"/>
      <c r="QDB80" s="974"/>
      <c r="QDC80" s="974"/>
      <c r="QDD80" s="974"/>
      <c r="QDE80" s="974"/>
      <c r="QDF80" s="974"/>
      <c r="QDG80" s="974"/>
      <c r="QDH80" s="974"/>
      <c r="QDI80" s="974"/>
      <c r="QDJ80" s="974"/>
      <c r="QDK80" s="974"/>
      <c r="QDL80" s="974"/>
      <c r="QDM80" s="974"/>
      <c r="QDN80" s="974"/>
      <c r="QDO80" s="974"/>
      <c r="QDP80" s="974"/>
      <c r="QDQ80" s="974"/>
      <c r="QDR80" s="974"/>
      <c r="QDS80" s="974"/>
      <c r="QDT80" s="974"/>
      <c r="QDU80" s="974"/>
      <c r="QDV80" s="974"/>
      <c r="QDW80" s="974"/>
      <c r="QDX80" s="974"/>
      <c r="QDY80" s="974"/>
      <c r="QDZ80" s="974"/>
      <c r="QEA80" s="974"/>
      <c r="QEB80" s="974"/>
      <c r="QEC80" s="974"/>
      <c r="QED80" s="974"/>
      <c r="QEE80" s="974"/>
      <c r="QEF80" s="974"/>
      <c r="QEG80" s="974"/>
      <c r="QEH80" s="974"/>
      <c r="QEI80" s="974"/>
      <c r="QEJ80" s="974"/>
      <c r="QEK80" s="974"/>
      <c r="QEL80" s="974"/>
      <c r="QEM80" s="974"/>
      <c r="QEN80" s="974"/>
      <c r="QEO80" s="974"/>
      <c r="QEP80" s="974"/>
      <c r="QEQ80" s="974"/>
      <c r="QER80" s="974"/>
      <c r="QES80" s="974"/>
      <c r="QET80" s="974"/>
      <c r="QEU80" s="974"/>
      <c r="QEV80" s="974"/>
      <c r="QEW80" s="974"/>
      <c r="QEX80" s="974"/>
      <c r="QEY80" s="974"/>
      <c r="QEZ80" s="974"/>
      <c r="QFA80" s="974"/>
      <c r="QFB80" s="974"/>
      <c r="QFC80" s="974"/>
      <c r="QFD80" s="974"/>
      <c r="QFE80" s="974"/>
      <c r="QFF80" s="974"/>
      <c r="QFG80" s="974"/>
      <c r="QFH80" s="974"/>
      <c r="QFI80" s="974"/>
      <c r="QFJ80" s="974"/>
      <c r="QFK80" s="974"/>
      <c r="QFL80" s="974"/>
      <c r="QFM80" s="974"/>
      <c r="QFN80" s="974"/>
      <c r="QFO80" s="974"/>
      <c r="QFP80" s="974"/>
      <c r="QFQ80" s="974"/>
      <c r="QFR80" s="974"/>
      <c r="QFS80" s="974"/>
      <c r="QFT80" s="974"/>
      <c r="QFU80" s="974"/>
      <c r="QFV80" s="974"/>
      <c r="QFW80" s="974"/>
      <c r="QFX80" s="974"/>
      <c r="QFY80" s="974"/>
      <c r="QFZ80" s="974"/>
      <c r="QGA80" s="974"/>
      <c r="QGB80" s="974"/>
      <c r="QGC80" s="974"/>
      <c r="QGD80" s="974"/>
      <c r="QGE80" s="974"/>
      <c r="QGF80" s="974"/>
      <c r="QGG80" s="974"/>
      <c r="QGH80" s="974"/>
      <c r="QGI80" s="974"/>
      <c r="QGJ80" s="974"/>
      <c r="QGK80" s="974"/>
      <c r="QGL80" s="974"/>
      <c r="QGM80" s="974"/>
      <c r="QGN80" s="974"/>
      <c r="QGO80" s="974"/>
      <c r="QGP80" s="974"/>
      <c r="QGQ80" s="974"/>
      <c r="QGR80" s="974"/>
      <c r="QGS80" s="974"/>
      <c r="QGT80" s="974"/>
      <c r="QGU80" s="974"/>
      <c r="QGV80" s="974"/>
      <c r="QGW80" s="974"/>
      <c r="QGX80" s="974"/>
      <c r="QGY80" s="974"/>
      <c r="QGZ80" s="974"/>
      <c r="QHA80" s="974"/>
      <c r="QHB80" s="974"/>
      <c r="QHC80" s="974"/>
      <c r="QHD80" s="974"/>
      <c r="QHE80" s="974"/>
      <c r="QHF80" s="974"/>
      <c r="QHG80" s="974"/>
      <c r="QHH80" s="974"/>
      <c r="QHI80" s="974"/>
      <c r="QHJ80" s="974"/>
      <c r="QHK80" s="974"/>
      <c r="QHL80" s="974"/>
      <c r="QHM80" s="974"/>
      <c r="QHN80" s="974"/>
      <c r="QHO80" s="974"/>
      <c r="QHP80" s="974"/>
      <c r="QHQ80" s="974"/>
      <c r="QHR80" s="974"/>
      <c r="QHS80" s="974"/>
      <c r="QHT80" s="974"/>
      <c r="QHU80" s="974"/>
      <c r="QHV80" s="974"/>
      <c r="QHW80" s="974"/>
      <c r="QHX80" s="974"/>
      <c r="QHY80" s="974"/>
      <c r="QHZ80" s="974"/>
      <c r="QIA80" s="974"/>
      <c r="QIB80" s="974"/>
      <c r="QIC80" s="974"/>
      <c r="QID80" s="974"/>
      <c r="QIE80" s="974"/>
      <c r="QIF80" s="974"/>
      <c r="QIG80" s="974"/>
      <c r="QIH80" s="974"/>
      <c r="QII80" s="974"/>
      <c r="QIJ80" s="974"/>
      <c r="QIK80" s="974"/>
      <c r="QIL80" s="974"/>
      <c r="QIM80" s="974"/>
      <c r="QIN80" s="974"/>
      <c r="QIO80" s="974"/>
      <c r="QIP80" s="974"/>
      <c r="QIQ80" s="974"/>
      <c r="QIR80" s="974"/>
      <c r="QIS80" s="974"/>
      <c r="QIT80" s="974"/>
      <c r="QIU80" s="974"/>
      <c r="QIV80" s="974"/>
      <c r="QIW80" s="974"/>
      <c r="QIX80" s="974"/>
      <c r="QIY80" s="974"/>
      <c r="QIZ80" s="974"/>
      <c r="QJA80" s="974"/>
      <c r="QJB80" s="974"/>
      <c r="QJC80" s="974"/>
      <c r="QJD80" s="974"/>
      <c r="QJE80" s="974"/>
      <c r="QJF80" s="974"/>
      <c r="QJG80" s="974"/>
      <c r="QJH80" s="974"/>
      <c r="QJI80" s="974"/>
      <c r="QJJ80" s="974"/>
      <c r="QJK80" s="974"/>
      <c r="QJL80" s="974"/>
      <c r="QJM80" s="974"/>
      <c r="QJN80" s="974"/>
      <c r="QJO80" s="974"/>
      <c r="QJP80" s="974"/>
      <c r="QJQ80" s="974"/>
      <c r="QJR80" s="974"/>
      <c r="QJS80" s="974"/>
      <c r="QJT80" s="974"/>
      <c r="QJU80" s="974"/>
      <c r="QJV80" s="974"/>
      <c r="QJW80" s="974"/>
      <c r="QJX80" s="974"/>
      <c r="QJY80" s="974"/>
      <c r="QJZ80" s="974"/>
      <c r="QKA80" s="974"/>
      <c r="QKB80" s="974"/>
      <c r="QKC80" s="974"/>
      <c r="QKD80" s="974"/>
      <c r="QKE80" s="974"/>
      <c r="QKF80" s="974"/>
      <c r="QKG80" s="974"/>
      <c r="QKH80" s="974"/>
      <c r="QKI80" s="974"/>
      <c r="QKJ80" s="974"/>
      <c r="QKK80" s="974"/>
      <c r="QKL80" s="974"/>
      <c r="QKM80" s="974"/>
      <c r="QKN80" s="974"/>
      <c r="QKO80" s="974"/>
      <c r="QKP80" s="974"/>
      <c r="QKQ80" s="974"/>
      <c r="QKR80" s="974"/>
      <c r="QKS80" s="974"/>
      <c r="QKT80" s="974"/>
      <c r="QKU80" s="974"/>
      <c r="QKV80" s="974"/>
      <c r="QKW80" s="974"/>
      <c r="QKX80" s="974"/>
      <c r="QKY80" s="974"/>
      <c r="QKZ80" s="974"/>
      <c r="QLA80" s="974"/>
      <c r="QLB80" s="974"/>
      <c r="QLC80" s="974"/>
      <c r="QLD80" s="974"/>
      <c r="QLE80" s="974"/>
      <c r="QLF80" s="974"/>
      <c r="QLG80" s="974"/>
      <c r="QLH80" s="974"/>
      <c r="QLI80" s="974"/>
      <c r="QLJ80" s="974"/>
      <c r="QLK80" s="974"/>
      <c r="QLL80" s="974"/>
      <c r="QLM80" s="974"/>
      <c r="QLN80" s="974"/>
      <c r="QLO80" s="974"/>
      <c r="QLP80" s="974"/>
      <c r="QLQ80" s="974"/>
      <c r="QLR80" s="974"/>
      <c r="QLS80" s="974"/>
      <c r="QLT80" s="974"/>
      <c r="QLU80" s="974"/>
      <c r="QLV80" s="974"/>
      <c r="QLW80" s="974"/>
      <c r="QLX80" s="974"/>
      <c r="QLY80" s="974"/>
      <c r="QLZ80" s="974"/>
      <c r="QMA80" s="974"/>
      <c r="QMB80" s="974"/>
      <c r="QMC80" s="974"/>
      <c r="QMD80" s="974"/>
      <c r="QME80" s="974"/>
      <c r="QMF80" s="974"/>
      <c r="QMG80" s="974"/>
      <c r="QMH80" s="974"/>
      <c r="QMI80" s="974"/>
      <c r="QMJ80" s="974"/>
      <c r="QMK80" s="974"/>
      <c r="QML80" s="974"/>
      <c r="QMM80" s="974"/>
      <c r="QMN80" s="974"/>
      <c r="QMO80" s="974"/>
      <c r="QMP80" s="974"/>
      <c r="QMQ80" s="974"/>
      <c r="QMR80" s="974"/>
      <c r="QMS80" s="974"/>
      <c r="QMT80" s="974"/>
      <c r="QMU80" s="974"/>
      <c r="QMV80" s="974"/>
      <c r="QMW80" s="974"/>
      <c r="QMX80" s="974"/>
      <c r="QMY80" s="974"/>
      <c r="QMZ80" s="974"/>
      <c r="QNA80" s="974"/>
      <c r="QNB80" s="974"/>
      <c r="QNC80" s="974"/>
      <c r="QND80" s="974"/>
      <c r="QNE80" s="974"/>
      <c r="QNF80" s="974"/>
      <c r="QNG80" s="974"/>
      <c r="QNH80" s="974"/>
      <c r="QNI80" s="974"/>
      <c r="QNJ80" s="974"/>
      <c r="QNK80" s="974"/>
      <c r="QNL80" s="974"/>
      <c r="QNM80" s="974"/>
      <c r="QNN80" s="974"/>
      <c r="QNO80" s="974"/>
      <c r="QNP80" s="974"/>
      <c r="QNQ80" s="974"/>
      <c r="QNR80" s="974"/>
      <c r="QNS80" s="974"/>
      <c r="QNT80" s="974"/>
      <c r="QNU80" s="974"/>
      <c r="QNV80" s="974"/>
      <c r="QNW80" s="974"/>
      <c r="QNX80" s="974"/>
      <c r="QNY80" s="974"/>
      <c r="QNZ80" s="974"/>
      <c r="QOA80" s="974"/>
      <c r="QOB80" s="974"/>
      <c r="QOC80" s="974"/>
      <c r="QOD80" s="974"/>
      <c r="QOE80" s="974"/>
      <c r="QOF80" s="974"/>
      <c r="QOG80" s="974"/>
      <c r="QOH80" s="974"/>
      <c r="QOI80" s="974"/>
      <c r="QOJ80" s="974"/>
      <c r="QOK80" s="974"/>
      <c r="QOL80" s="974"/>
      <c r="QOM80" s="974"/>
      <c r="QON80" s="974"/>
      <c r="QOO80" s="974"/>
      <c r="QOP80" s="974"/>
      <c r="QOQ80" s="974"/>
      <c r="QOR80" s="974"/>
      <c r="QOS80" s="974"/>
      <c r="QOT80" s="974"/>
      <c r="QOU80" s="974"/>
      <c r="QOV80" s="974"/>
      <c r="QOW80" s="974"/>
      <c r="QOX80" s="974"/>
      <c r="QOY80" s="974"/>
      <c r="QOZ80" s="974"/>
      <c r="QPA80" s="974"/>
      <c r="QPB80" s="974"/>
      <c r="QPC80" s="974"/>
      <c r="QPD80" s="974"/>
      <c r="QPE80" s="974"/>
      <c r="QPF80" s="974"/>
      <c r="QPG80" s="974"/>
      <c r="QPH80" s="974"/>
      <c r="QPI80" s="974"/>
      <c r="QPJ80" s="974"/>
      <c r="QPK80" s="974"/>
      <c r="QPL80" s="974"/>
      <c r="QPM80" s="974"/>
      <c r="QPN80" s="974"/>
      <c r="QPO80" s="974"/>
      <c r="QPP80" s="974"/>
      <c r="QPQ80" s="974"/>
      <c r="QPR80" s="974"/>
      <c r="QPS80" s="974"/>
      <c r="QPT80" s="974"/>
      <c r="QPU80" s="974"/>
      <c r="QPV80" s="974"/>
      <c r="QPW80" s="974"/>
      <c r="QPX80" s="974"/>
      <c r="QPY80" s="974"/>
      <c r="QPZ80" s="974"/>
      <c r="QQA80" s="974"/>
      <c r="QQB80" s="974"/>
      <c r="QQC80" s="974"/>
      <c r="QQD80" s="974"/>
      <c r="QQE80" s="974"/>
      <c r="QQF80" s="974"/>
      <c r="QQG80" s="974"/>
      <c r="QQH80" s="974"/>
      <c r="QQI80" s="974"/>
      <c r="QQJ80" s="974"/>
      <c r="QQK80" s="974"/>
      <c r="QQL80" s="974"/>
      <c r="QQM80" s="974"/>
      <c r="QQN80" s="974"/>
      <c r="QQO80" s="974"/>
      <c r="QQP80" s="974"/>
      <c r="QQQ80" s="974"/>
      <c r="QQR80" s="974"/>
      <c r="QQS80" s="974"/>
      <c r="QQT80" s="974"/>
      <c r="QQU80" s="974"/>
      <c r="QQV80" s="974"/>
      <c r="QQW80" s="974"/>
      <c r="QQX80" s="974"/>
      <c r="QQY80" s="974"/>
      <c r="QQZ80" s="974"/>
      <c r="QRA80" s="974"/>
      <c r="QRB80" s="974"/>
      <c r="QRC80" s="974"/>
      <c r="QRD80" s="974"/>
      <c r="QRE80" s="974"/>
      <c r="QRF80" s="974"/>
      <c r="QRG80" s="974"/>
      <c r="QRH80" s="974"/>
      <c r="QRI80" s="974"/>
      <c r="QRJ80" s="974"/>
      <c r="QRK80" s="974"/>
      <c r="QRL80" s="974"/>
      <c r="QRM80" s="974"/>
      <c r="QRN80" s="974"/>
      <c r="QRO80" s="974"/>
      <c r="QRP80" s="974"/>
      <c r="QRQ80" s="974"/>
      <c r="QRR80" s="974"/>
      <c r="QRS80" s="974"/>
      <c r="QRT80" s="974"/>
      <c r="QRU80" s="974"/>
      <c r="QRV80" s="974"/>
      <c r="QRW80" s="974"/>
      <c r="QRX80" s="974"/>
      <c r="QRY80" s="974"/>
      <c r="QRZ80" s="974"/>
      <c r="QSA80" s="974"/>
      <c r="QSB80" s="974"/>
      <c r="QSC80" s="974"/>
      <c r="QSD80" s="974"/>
      <c r="QSE80" s="974"/>
      <c r="QSF80" s="974"/>
      <c r="QSG80" s="974"/>
      <c r="QSH80" s="974"/>
      <c r="QSI80" s="974"/>
      <c r="QSJ80" s="974"/>
      <c r="QSK80" s="974"/>
      <c r="QSL80" s="974"/>
      <c r="QSM80" s="974"/>
      <c r="QSN80" s="974"/>
      <c r="QSO80" s="974"/>
      <c r="QSP80" s="974"/>
      <c r="QSQ80" s="974"/>
      <c r="QSR80" s="974"/>
      <c r="QSS80" s="974"/>
      <c r="QST80" s="974"/>
      <c r="QSU80" s="974"/>
      <c r="QSV80" s="974"/>
      <c r="QSW80" s="974"/>
      <c r="QSX80" s="974"/>
      <c r="QSY80" s="974"/>
      <c r="QSZ80" s="974"/>
      <c r="QTA80" s="974"/>
      <c r="QTB80" s="974"/>
      <c r="QTC80" s="974"/>
      <c r="QTD80" s="974"/>
      <c r="QTE80" s="974"/>
      <c r="QTF80" s="974"/>
      <c r="QTG80" s="974"/>
      <c r="QTH80" s="974"/>
      <c r="QTI80" s="974"/>
      <c r="QTJ80" s="974"/>
      <c r="QTK80" s="974"/>
      <c r="QTL80" s="974"/>
      <c r="QTM80" s="974"/>
      <c r="QTN80" s="974"/>
      <c r="QTO80" s="974"/>
      <c r="QTP80" s="974"/>
      <c r="QTQ80" s="974"/>
      <c r="QTR80" s="974"/>
      <c r="QTS80" s="974"/>
      <c r="QTT80" s="974"/>
      <c r="QTU80" s="974"/>
      <c r="QTV80" s="974"/>
      <c r="QTW80" s="974"/>
      <c r="QTX80" s="974"/>
      <c r="QTY80" s="974"/>
      <c r="QTZ80" s="974"/>
      <c r="QUA80" s="974"/>
      <c r="QUB80" s="974"/>
      <c r="QUC80" s="974"/>
      <c r="QUD80" s="974"/>
      <c r="QUE80" s="974"/>
      <c r="QUF80" s="974"/>
      <c r="QUG80" s="974"/>
      <c r="QUH80" s="974"/>
      <c r="QUI80" s="974"/>
      <c r="QUJ80" s="974"/>
      <c r="QUK80" s="974"/>
      <c r="QUL80" s="974"/>
      <c r="QUM80" s="974"/>
      <c r="QUN80" s="974"/>
      <c r="QUO80" s="974"/>
      <c r="QUP80" s="974"/>
      <c r="QUQ80" s="974"/>
      <c r="QUR80" s="974"/>
      <c r="QUS80" s="974"/>
      <c r="QUT80" s="974"/>
      <c r="QUU80" s="974"/>
      <c r="QUV80" s="974"/>
      <c r="QUW80" s="974"/>
      <c r="QUX80" s="974"/>
      <c r="QUY80" s="974"/>
      <c r="QUZ80" s="974"/>
      <c r="QVA80" s="974"/>
      <c r="QVB80" s="974"/>
      <c r="QVC80" s="974"/>
      <c r="QVD80" s="974"/>
      <c r="QVE80" s="974"/>
      <c r="QVF80" s="974"/>
      <c r="QVG80" s="974"/>
      <c r="QVH80" s="974"/>
      <c r="QVI80" s="974"/>
      <c r="QVJ80" s="974"/>
      <c r="QVK80" s="974"/>
      <c r="QVL80" s="974"/>
      <c r="QVM80" s="974"/>
      <c r="QVN80" s="974"/>
      <c r="QVO80" s="974"/>
      <c r="QVP80" s="974"/>
      <c r="QVQ80" s="974"/>
      <c r="QVR80" s="974"/>
      <c r="QVS80" s="974"/>
      <c r="QVT80" s="974"/>
      <c r="QVU80" s="974"/>
      <c r="QVV80" s="974"/>
      <c r="QVW80" s="974"/>
      <c r="QVX80" s="974"/>
      <c r="QVY80" s="974"/>
      <c r="QVZ80" s="974"/>
      <c r="QWA80" s="974"/>
      <c r="QWB80" s="974"/>
      <c r="QWC80" s="974"/>
      <c r="QWD80" s="974"/>
      <c r="QWE80" s="974"/>
      <c r="QWF80" s="974"/>
      <c r="QWG80" s="974"/>
      <c r="QWH80" s="974"/>
      <c r="QWI80" s="974"/>
      <c r="QWJ80" s="974"/>
      <c r="QWK80" s="974"/>
      <c r="QWL80" s="974"/>
      <c r="QWM80" s="974"/>
      <c r="QWN80" s="974"/>
      <c r="QWO80" s="974"/>
      <c r="QWP80" s="974"/>
      <c r="QWQ80" s="974"/>
      <c r="QWR80" s="974"/>
      <c r="QWS80" s="974"/>
      <c r="QWT80" s="974"/>
      <c r="QWU80" s="974"/>
      <c r="QWV80" s="974"/>
      <c r="QWW80" s="974"/>
      <c r="QWX80" s="974"/>
      <c r="QWY80" s="974"/>
      <c r="QWZ80" s="974"/>
      <c r="QXA80" s="974"/>
      <c r="QXB80" s="974"/>
      <c r="QXC80" s="974"/>
      <c r="QXD80" s="974"/>
      <c r="QXE80" s="974"/>
      <c r="QXF80" s="974"/>
      <c r="QXG80" s="974"/>
      <c r="QXH80" s="974"/>
      <c r="QXI80" s="974"/>
      <c r="QXJ80" s="974"/>
      <c r="QXK80" s="974"/>
      <c r="QXL80" s="974"/>
      <c r="QXM80" s="974"/>
      <c r="QXN80" s="974"/>
      <c r="QXO80" s="974"/>
      <c r="QXP80" s="974"/>
      <c r="QXQ80" s="974"/>
      <c r="QXR80" s="974"/>
      <c r="QXS80" s="974"/>
      <c r="QXT80" s="974"/>
      <c r="QXU80" s="974"/>
      <c r="QXV80" s="974"/>
      <c r="QXW80" s="974"/>
      <c r="QXX80" s="974"/>
      <c r="QXY80" s="974"/>
      <c r="QXZ80" s="974"/>
      <c r="QYA80" s="974"/>
      <c r="QYB80" s="974"/>
      <c r="QYC80" s="974"/>
      <c r="QYD80" s="974"/>
      <c r="QYE80" s="974"/>
      <c r="QYF80" s="974"/>
      <c r="QYG80" s="974"/>
      <c r="QYH80" s="974"/>
      <c r="QYI80" s="974"/>
      <c r="QYJ80" s="974"/>
      <c r="QYK80" s="974"/>
      <c r="QYL80" s="974"/>
      <c r="QYM80" s="974"/>
      <c r="QYN80" s="974"/>
      <c r="QYO80" s="974"/>
      <c r="QYP80" s="974"/>
      <c r="QYQ80" s="974"/>
      <c r="QYR80" s="974"/>
      <c r="QYS80" s="974"/>
      <c r="QYT80" s="974"/>
      <c r="QYU80" s="974"/>
      <c r="QYV80" s="974"/>
      <c r="QYW80" s="974"/>
      <c r="QYX80" s="974"/>
      <c r="QYY80" s="974"/>
      <c r="QYZ80" s="974"/>
      <c r="QZA80" s="974"/>
      <c r="QZB80" s="974"/>
      <c r="QZC80" s="974"/>
      <c r="QZD80" s="974"/>
      <c r="QZE80" s="974"/>
      <c r="QZF80" s="974"/>
      <c r="QZG80" s="974"/>
      <c r="QZH80" s="974"/>
      <c r="QZI80" s="974"/>
      <c r="QZJ80" s="974"/>
      <c r="QZK80" s="974"/>
      <c r="QZL80" s="974"/>
      <c r="QZM80" s="974"/>
      <c r="QZN80" s="974"/>
      <c r="QZO80" s="974"/>
      <c r="QZP80" s="974"/>
      <c r="QZQ80" s="974"/>
      <c r="QZR80" s="974"/>
      <c r="QZS80" s="974"/>
      <c r="QZT80" s="974"/>
      <c r="QZU80" s="974"/>
      <c r="QZV80" s="974"/>
      <c r="QZW80" s="974"/>
      <c r="QZX80" s="974"/>
      <c r="QZY80" s="974"/>
      <c r="QZZ80" s="974"/>
      <c r="RAA80" s="974"/>
      <c r="RAB80" s="974"/>
      <c r="RAC80" s="974"/>
      <c r="RAD80" s="974"/>
      <c r="RAE80" s="974"/>
      <c r="RAF80" s="974"/>
      <c r="RAG80" s="974"/>
      <c r="RAH80" s="974"/>
      <c r="RAI80" s="974"/>
      <c r="RAJ80" s="974"/>
      <c r="RAK80" s="974"/>
      <c r="RAL80" s="974"/>
      <c r="RAM80" s="974"/>
      <c r="RAN80" s="974"/>
      <c r="RAO80" s="974"/>
      <c r="RAP80" s="974"/>
      <c r="RAQ80" s="974"/>
      <c r="RAR80" s="974"/>
      <c r="RAS80" s="974"/>
      <c r="RAT80" s="974"/>
      <c r="RAU80" s="974"/>
      <c r="RAV80" s="974"/>
      <c r="RAW80" s="974"/>
      <c r="RAX80" s="974"/>
      <c r="RAY80" s="974"/>
      <c r="RAZ80" s="974"/>
      <c r="RBA80" s="974"/>
      <c r="RBB80" s="974"/>
      <c r="RBC80" s="974"/>
      <c r="RBD80" s="974"/>
      <c r="RBE80" s="974"/>
      <c r="RBF80" s="974"/>
      <c r="RBG80" s="974"/>
      <c r="RBH80" s="974"/>
      <c r="RBI80" s="974"/>
      <c r="RBJ80" s="974"/>
      <c r="RBK80" s="974"/>
      <c r="RBL80" s="974"/>
      <c r="RBM80" s="974"/>
      <c r="RBN80" s="974"/>
      <c r="RBO80" s="974"/>
      <c r="RBP80" s="974"/>
      <c r="RBQ80" s="974"/>
      <c r="RBR80" s="974"/>
      <c r="RBS80" s="974"/>
      <c r="RBT80" s="974"/>
      <c r="RBU80" s="974"/>
      <c r="RBV80" s="974"/>
      <c r="RBW80" s="974"/>
      <c r="RBX80" s="974"/>
      <c r="RBY80" s="974"/>
      <c r="RBZ80" s="974"/>
      <c r="RCA80" s="974"/>
      <c r="RCB80" s="974"/>
      <c r="RCC80" s="974"/>
      <c r="RCD80" s="974"/>
      <c r="RCE80" s="974"/>
      <c r="RCF80" s="974"/>
      <c r="RCG80" s="974"/>
      <c r="RCH80" s="974"/>
      <c r="RCI80" s="974"/>
      <c r="RCJ80" s="974"/>
      <c r="RCK80" s="974"/>
      <c r="RCL80" s="974"/>
      <c r="RCM80" s="974"/>
      <c r="RCN80" s="974"/>
      <c r="RCO80" s="974"/>
      <c r="RCP80" s="974"/>
      <c r="RCQ80" s="974"/>
      <c r="RCR80" s="974"/>
      <c r="RCS80" s="974"/>
      <c r="RCT80" s="974"/>
      <c r="RCU80" s="974"/>
      <c r="RCV80" s="974"/>
      <c r="RCW80" s="974"/>
      <c r="RCX80" s="974"/>
      <c r="RCY80" s="974"/>
      <c r="RCZ80" s="974"/>
      <c r="RDA80" s="974"/>
      <c r="RDB80" s="974"/>
      <c r="RDC80" s="974"/>
      <c r="RDD80" s="974"/>
      <c r="RDE80" s="974"/>
      <c r="RDF80" s="974"/>
      <c r="RDG80" s="974"/>
      <c r="RDH80" s="974"/>
      <c r="RDI80" s="974"/>
      <c r="RDJ80" s="974"/>
      <c r="RDK80" s="974"/>
      <c r="RDL80" s="974"/>
      <c r="RDM80" s="974"/>
      <c r="RDN80" s="974"/>
      <c r="RDO80" s="974"/>
      <c r="RDP80" s="974"/>
      <c r="RDQ80" s="974"/>
      <c r="RDR80" s="974"/>
      <c r="RDS80" s="974"/>
      <c r="RDT80" s="974"/>
      <c r="RDU80" s="974"/>
      <c r="RDV80" s="974"/>
      <c r="RDW80" s="974"/>
      <c r="RDX80" s="974"/>
      <c r="RDY80" s="974"/>
      <c r="RDZ80" s="974"/>
      <c r="REA80" s="974"/>
      <c r="REB80" s="974"/>
      <c r="REC80" s="974"/>
      <c r="RED80" s="974"/>
      <c r="REE80" s="974"/>
      <c r="REF80" s="974"/>
      <c r="REG80" s="974"/>
      <c r="REH80" s="974"/>
      <c r="REI80" s="974"/>
      <c r="REJ80" s="974"/>
      <c r="REK80" s="974"/>
      <c r="REL80" s="974"/>
      <c r="REM80" s="974"/>
      <c r="REN80" s="974"/>
      <c r="REO80" s="974"/>
      <c r="REP80" s="974"/>
      <c r="REQ80" s="974"/>
      <c r="RER80" s="974"/>
      <c r="RES80" s="974"/>
      <c r="RET80" s="974"/>
      <c r="REU80" s="974"/>
      <c r="REV80" s="974"/>
      <c r="REW80" s="974"/>
      <c r="REX80" s="974"/>
      <c r="REY80" s="974"/>
      <c r="REZ80" s="974"/>
      <c r="RFA80" s="974"/>
      <c r="RFB80" s="974"/>
      <c r="RFC80" s="974"/>
      <c r="RFD80" s="974"/>
      <c r="RFE80" s="974"/>
      <c r="RFF80" s="974"/>
      <c r="RFG80" s="974"/>
      <c r="RFH80" s="974"/>
      <c r="RFI80" s="974"/>
      <c r="RFJ80" s="974"/>
      <c r="RFK80" s="974"/>
      <c r="RFL80" s="974"/>
      <c r="RFM80" s="974"/>
      <c r="RFN80" s="974"/>
      <c r="RFO80" s="974"/>
      <c r="RFP80" s="974"/>
      <c r="RFQ80" s="974"/>
      <c r="RFR80" s="974"/>
      <c r="RFS80" s="974"/>
      <c r="RFT80" s="974"/>
      <c r="RFU80" s="974"/>
      <c r="RFV80" s="974"/>
      <c r="RFW80" s="974"/>
      <c r="RFX80" s="974"/>
      <c r="RFY80" s="974"/>
      <c r="RFZ80" s="974"/>
      <c r="RGA80" s="974"/>
      <c r="RGB80" s="974"/>
      <c r="RGC80" s="974"/>
      <c r="RGD80" s="974"/>
      <c r="RGE80" s="974"/>
      <c r="RGF80" s="974"/>
      <c r="RGG80" s="974"/>
      <c r="RGH80" s="974"/>
      <c r="RGI80" s="974"/>
      <c r="RGJ80" s="974"/>
      <c r="RGK80" s="974"/>
      <c r="RGL80" s="974"/>
      <c r="RGM80" s="974"/>
      <c r="RGN80" s="974"/>
      <c r="RGO80" s="974"/>
      <c r="RGP80" s="974"/>
      <c r="RGQ80" s="974"/>
      <c r="RGR80" s="974"/>
      <c r="RGS80" s="974"/>
      <c r="RGT80" s="974"/>
      <c r="RGU80" s="974"/>
      <c r="RGV80" s="974"/>
      <c r="RGW80" s="974"/>
      <c r="RGX80" s="974"/>
      <c r="RGY80" s="974"/>
      <c r="RGZ80" s="974"/>
      <c r="RHA80" s="974"/>
      <c r="RHB80" s="974"/>
      <c r="RHC80" s="974"/>
      <c r="RHD80" s="974"/>
      <c r="RHE80" s="974"/>
      <c r="RHF80" s="974"/>
      <c r="RHG80" s="974"/>
      <c r="RHH80" s="974"/>
      <c r="RHI80" s="974"/>
      <c r="RHJ80" s="974"/>
      <c r="RHK80" s="974"/>
      <c r="RHL80" s="974"/>
      <c r="RHM80" s="974"/>
      <c r="RHN80" s="974"/>
      <c r="RHO80" s="974"/>
      <c r="RHP80" s="974"/>
      <c r="RHQ80" s="974"/>
      <c r="RHR80" s="974"/>
      <c r="RHS80" s="974"/>
      <c r="RHT80" s="974"/>
      <c r="RHU80" s="974"/>
      <c r="RHV80" s="974"/>
      <c r="RHW80" s="974"/>
      <c r="RHX80" s="974"/>
      <c r="RHY80" s="974"/>
      <c r="RHZ80" s="974"/>
      <c r="RIA80" s="974"/>
      <c r="RIB80" s="974"/>
      <c r="RIC80" s="974"/>
      <c r="RID80" s="974"/>
      <c r="RIE80" s="974"/>
      <c r="RIF80" s="974"/>
      <c r="RIG80" s="974"/>
      <c r="RIH80" s="974"/>
      <c r="RII80" s="974"/>
      <c r="RIJ80" s="974"/>
      <c r="RIK80" s="974"/>
      <c r="RIL80" s="974"/>
      <c r="RIM80" s="974"/>
      <c r="RIN80" s="974"/>
      <c r="RIO80" s="974"/>
      <c r="RIP80" s="974"/>
      <c r="RIQ80" s="974"/>
      <c r="RIR80" s="974"/>
      <c r="RIS80" s="974"/>
      <c r="RIT80" s="974"/>
      <c r="RIU80" s="974"/>
      <c r="RIV80" s="974"/>
      <c r="RIW80" s="974"/>
      <c r="RIX80" s="974"/>
      <c r="RIY80" s="974"/>
      <c r="RIZ80" s="974"/>
      <c r="RJA80" s="974"/>
      <c r="RJB80" s="974"/>
      <c r="RJC80" s="974"/>
      <c r="RJD80" s="974"/>
      <c r="RJE80" s="974"/>
      <c r="RJF80" s="974"/>
      <c r="RJG80" s="974"/>
      <c r="RJH80" s="974"/>
      <c r="RJI80" s="974"/>
      <c r="RJJ80" s="974"/>
      <c r="RJK80" s="974"/>
      <c r="RJL80" s="974"/>
      <c r="RJM80" s="974"/>
      <c r="RJN80" s="974"/>
      <c r="RJO80" s="974"/>
      <c r="RJP80" s="974"/>
      <c r="RJQ80" s="974"/>
      <c r="RJR80" s="974"/>
      <c r="RJS80" s="974"/>
      <c r="RJT80" s="974"/>
      <c r="RJU80" s="974"/>
      <c r="RJV80" s="974"/>
      <c r="RJW80" s="974"/>
      <c r="RJX80" s="974"/>
      <c r="RJY80" s="974"/>
      <c r="RJZ80" s="974"/>
      <c r="RKA80" s="974"/>
      <c r="RKB80" s="974"/>
      <c r="RKC80" s="974"/>
      <c r="RKD80" s="974"/>
      <c r="RKE80" s="974"/>
      <c r="RKF80" s="974"/>
      <c r="RKG80" s="974"/>
      <c r="RKH80" s="974"/>
      <c r="RKI80" s="974"/>
      <c r="RKJ80" s="974"/>
      <c r="RKK80" s="974"/>
      <c r="RKL80" s="974"/>
      <c r="RKM80" s="974"/>
      <c r="RKN80" s="974"/>
      <c r="RKO80" s="974"/>
      <c r="RKP80" s="974"/>
      <c r="RKQ80" s="974"/>
      <c r="RKR80" s="974"/>
      <c r="RKS80" s="974"/>
      <c r="RKT80" s="974"/>
      <c r="RKU80" s="974"/>
      <c r="RKV80" s="974"/>
      <c r="RKW80" s="974"/>
      <c r="RKX80" s="974"/>
      <c r="RKY80" s="974"/>
      <c r="RKZ80" s="974"/>
      <c r="RLA80" s="974"/>
      <c r="RLB80" s="974"/>
      <c r="RLC80" s="974"/>
      <c r="RLD80" s="974"/>
      <c r="RLE80" s="974"/>
      <c r="RLF80" s="974"/>
      <c r="RLG80" s="974"/>
      <c r="RLH80" s="974"/>
      <c r="RLI80" s="974"/>
      <c r="RLJ80" s="974"/>
      <c r="RLK80" s="974"/>
      <c r="RLL80" s="974"/>
      <c r="RLM80" s="974"/>
      <c r="RLN80" s="974"/>
      <c r="RLO80" s="974"/>
      <c r="RLP80" s="974"/>
      <c r="RLQ80" s="974"/>
      <c r="RLR80" s="974"/>
      <c r="RLS80" s="974"/>
      <c r="RLT80" s="974"/>
      <c r="RLU80" s="974"/>
      <c r="RLV80" s="974"/>
      <c r="RLW80" s="974"/>
      <c r="RLX80" s="974"/>
      <c r="RLY80" s="974"/>
      <c r="RLZ80" s="974"/>
      <c r="RMA80" s="974"/>
      <c r="RMB80" s="974"/>
      <c r="RMC80" s="974"/>
      <c r="RMD80" s="974"/>
      <c r="RME80" s="974"/>
      <c r="RMF80" s="974"/>
      <c r="RMG80" s="974"/>
      <c r="RMH80" s="974"/>
      <c r="RMI80" s="974"/>
      <c r="RMJ80" s="974"/>
      <c r="RMK80" s="974"/>
      <c r="RML80" s="974"/>
      <c r="RMM80" s="974"/>
      <c r="RMN80" s="974"/>
      <c r="RMO80" s="974"/>
      <c r="RMP80" s="974"/>
      <c r="RMQ80" s="974"/>
      <c r="RMR80" s="974"/>
      <c r="RMS80" s="974"/>
      <c r="RMT80" s="974"/>
      <c r="RMU80" s="974"/>
      <c r="RMV80" s="974"/>
      <c r="RMW80" s="974"/>
      <c r="RMX80" s="974"/>
      <c r="RMY80" s="974"/>
      <c r="RMZ80" s="974"/>
      <c r="RNA80" s="974"/>
      <c r="RNB80" s="974"/>
      <c r="RNC80" s="974"/>
      <c r="RND80" s="974"/>
      <c r="RNE80" s="974"/>
      <c r="RNF80" s="974"/>
      <c r="RNG80" s="974"/>
      <c r="RNH80" s="974"/>
      <c r="RNI80" s="974"/>
      <c r="RNJ80" s="974"/>
      <c r="RNK80" s="974"/>
      <c r="RNL80" s="974"/>
      <c r="RNM80" s="974"/>
      <c r="RNN80" s="974"/>
      <c r="RNO80" s="974"/>
      <c r="RNP80" s="974"/>
      <c r="RNQ80" s="974"/>
      <c r="RNR80" s="974"/>
      <c r="RNS80" s="974"/>
      <c r="RNT80" s="974"/>
      <c r="RNU80" s="974"/>
      <c r="RNV80" s="974"/>
      <c r="RNW80" s="974"/>
      <c r="RNX80" s="974"/>
      <c r="RNY80" s="974"/>
      <c r="RNZ80" s="974"/>
      <c r="ROA80" s="974"/>
      <c r="ROB80" s="974"/>
      <c r="ROC80" s="974"/>
      <c r="ROD80" s="974"/>
      <c r="ROE80" s="974"/>
      <c r="ROF80" s="974"/>
      <c r="ROG80" s="974"/>
      <c r="ROH80" s="974"/>
      <c r="ROI80" s="974"/>
      <c r="ROJ80" s="974"/>
      <c r="ROK80" s="974"/>
      <c r="ROL80" s="974"/>
      <c r="ROM80" s="974"/>
      <c r="RON80" s="974"/>
      <c r="ROO80" s="974"/>
      <c r="ROP80" s="974"/>
      <c r="ROQ80" s="974"/>
      <c r="ROR80" s="974"/>
      <c r="ROS80" s="974"/>
      <c r="ROT80" s="974"/>
      <c r="ROU80" s="974"/>
      <c r="ROV80" s="974"/>
      <c r="ROW80" s="974"/>
      <c r="ROX80" s="974"/>
      <c r="ROY80" s="974"/>
      <c r="ROZ80" s="974"/>
      <c r="RPA80" s="974"/>
      <c r="RPB80" s="974"/>
      <c r="RPC80" s="974"/>
      <c r="RPD80" s="974"/>
      <c r="RPE80" s="974"/>
      <c r="RPF80" s="974"/>
      <c r="RPG80" s="974"/>
      <c r="RPH80" s="974"/>
      <c r="RPI80" s="974"/>
      <c r="RPJ80" s="974"/>
      <c r="RPK80" s="974"/>
      <c r="RPL80" s="974"/>
      <c r="RPM80" s="974"/>
      <c r="RPN80" s="974"/>
      <c r="RPO80" s="974"/>
      <c r="RPP80" s="974"/>
      <c r="RPQ80" s="974"/>
      <c r="RPR80" s="974"/>
      <c r="RPS80" s="974"/>
      <c r="RPT80" s="974"/>
      <c r="RPU80" s="974"/>
      <c r="RPV80" s="974"/>
      <c r="RPW80" s="974"/>
      <c r="RPX80" s="974"/>
      <c r="RPY80" s="974"/>
      <c r="RPZ80" s="974"/>
      <c r="RQA80" s="974"/>
      <c r="RQB80" s="974"/>
      <c r="RQC80" s="974"/>
      <c r="RQD80" s="974"/>
      <c r="RQE80" s="974"/>
      <c r="RQF80" s="974"/>
      <c r="RQG80" s="974"/>
      <c r="RQH80" s="974"/>
      <c r="RQI80" s="974"/>
      <c r="RQJ80" s="974"/>
      <c r="RQK80" s="974"/>
      <c r="RQL80" s="974"/>
      <c r="RQM80" s="974"/>
      <c r="RQN80" s="974"/>
      <c r="RQO80" s="974"/>
      <c r="RQP80" s="974"/>
      <c r="RQQ80" s="974"/>
      <c r="RQR80" s="974"/>
      <c r="RQS80" s="974"/>
      <c r="RQT80" s="974"/>
      <c r="RQU80" s="974"/>
      <c r="RQV80" s="974"/>
      <c r="RQW80" s="974"/>
      <c r="RQX80" s="974"/>
      <c r="RQY80" s="974"/>
      <c r="RQZ80" s="974"/>
      <c r="RRA80" s="974"/>
      <c r="RRB80" s="974"/>
      <c r="RRC80" s="974"/>
      <c r="RRD80" s="974"/>
      <c r="RRE80" s="974"/>
      <c r="RRF80" s="974"/>
      <c r="RRG80" s="974"/>
      <c r="RRH80" s="974"/>
      <c r="RRI80" s="974"/>
      <c r="RRJ80" s="974"/>
      <c r="RRK80" s="974"/>
      <c r="RRL80" s="974"/>
      <c r="RRM80" s="974"/>
      <c r="RRN80" s="974"/>
      <c r="RRO80" s="974"/>
      <c r="RRP80" s="974"/>
      <c r="RRQ80" s="974"/>
      <c r="RRR80" s="974"/>
      <c r="RRS80" s="974"/>
      <c r="RRT80" s="974"/>
      <c r="RRU80" s="974"/>
      <c r="RRV80" s="974"/>
      <c r="RRW80" s="974"/>
      <c r="RRX80" s="974"/>
      <c r="RRY80" s="974"/>
      <c r="RRZ80" s="974"/>
      <c r="RSA80" s="974"/>
      <c r="RSB80" s="974"/>
      <c r="RSC80" s="974"/>
      <c r="RSD80" s="974"/>
      <c r="RSE80" s="974"/>
      <c r="RSF80" s="974"/>
      <c r="RSG80" s="974"/>
      <c r="RSH80" s="974"/>
      <c r="RSI80" s="974"/>
      <c r="RSJ80" s="974"/>
      <c r="RSK80" s="974"/>
      <c r="RSL80" s="974"/>
      <c r="RSM80" s="974"/>
      <c r="RSN80" s="974"/>
      <c r="RSO80" s="974"/>
      <c r="RSP80" s="974"/>
      <c r="RSQ80" s="974"/>
      <c r="RSR80" s="974"/>
      <c r="RSS80" s="974"/>
      <c r="RST80" s="974"/>
      <c r="RSU80" s="974"/>
      <c r="RSV80" s="974"/>
      <c r="RSW80" s="974"/>
      <c r="RSX80" s="974"/>
      <c r="RSY80" s="974"/>
      <c r="RSZ80" s="974"/>
      <c r="RTA80" s="974"/>
      <c r="RTB80" s="974"/>
      <c r="RTC80" s="974"/>
      <c r="RTD80" s="974"/>
      <c r="RTE80" s="974"/>
      <c r="RTF80" s="974"/>
      <c r="RTG80" s="974"/>
      <c r="RTH80" s="974"/>
      <c r="RTI80" s="974"/>
      <c r="RTJ80" s="974"/>
      <c r="RTK80" s="974"/>
      <c r="RTL80" s="974"/>
      <c r="RTM80" s="974"/>
      <c r="RTN80" s="974"/>
      <c r="RTO80" s="974"/>
      <c r="RTP80" s="974"/>
      <c r="RTQ80" s="974"/>
      <c r="RTR80" s="974"/>
      <c r="RTS80" s="974"/>
      <c r="RTT80" s="974"/>
      <c r="RTU80" s="974"/>
      <c r="RTV80" s="974"/>
      <c r="RTW80" s="974"/>
      <c r="RTX80" s="974"/>
      <c r="RTY80" s="974"/>
      <c r="RTZ80" s="974"/>
      <c r="RUA80" s="974"/>
      <c r="RUB80" s="974"/>
      <c r="RUC80" s="974"/>
      <c r="RUD80" s="974"/>
      <c r="RUE80" s="974"/>
      <c r="RUF80" s="974"/>
      <c r="RUG80" s="974"/>
      <c r="RUH80" s="974"/>
      <c r="RUI80" s="974"/>
      <c r="RUJ80" s="974"/>
      <c r="RUK80" s="974"/>
      <c r="RUL80" s="974"/>
      <c r="RUM80" s="974"/>
      <c r="RUN80" s="974"/>
      <c r="RUO80" s="974"/>
      <c r="RUP80" s="974"/>
      <c r="RUQ80" s="974"/>
      <c r="RUR80" s="974"/>
      <c r="RUS80" s="974"/>
      <c r="RUT80" s="974"/>
      <c r="RUU80" s="974"/>
      <c r="RUV80" s="974"/>
      <c r="RUW80" s="974"/>
      <c r="RUX80" s="974"/>
      <c r="RUY80" s="974"/>
      <c r="RUZ80" s="974"/>
      <c r="RVA80" s="974"/>
      <c r="RVB80" s="974"/>
      <c r="RVC80" s="974"/>
      <c r="RVD80" s="974"/>
      <c r="RVE80" s="974"/>
      <c r="RVF80" s="974"/>
      <c r="RVG80" s="974"/>
      <c r="RVH80" s="974"/>
      <c r="RVI80" s="974"/>
      <c r="RVJ80" s="974"/>
      <c r="RVK80" s="974"/>
      <c r="RVL80" s="974"/>
      <c r="RVM80" s="974"/>
      <c r="RVN80" s="974"/>
      <c r="RVO80" s="974"/>
      <c r="RVP80" s="974"/>
      <c r="RVQ80" s="974"/>
      <c r="RVR80" s="974"/>
      <c r="RVS80" s="974"/>
      <c r="RVT80" s="974"/>
      <c r="RVU80" s="974"/>
      <c r="RVV80" s="974"/>
      <c r="RVW80" s="974"/>
      <c r="RVX80" s="974"/>
      <c r="RVY80" s="974"/>
      <c r="RVZ80" s="974"/>
      <c r="RWA80" s="974"/>
      <c r="RWB80" s="974"/>
      <c r="RWC80" s="974"/>
      <c r="RWD80" s="974"/>
      <c r="RWE80" s="974"/>
      <c r="RWF80" s="974"/>
      <c r="RWG80" s="974"/>
      <c r="RWH80" s="974"/>
      <c r="RWI80" s="974"/>
      <c r="RWJ80" s="974"/>
      <c r="RWK80" s="974"/>
      <c r="RWL80" s="974"/>
      <c r="RWM80" s="974"/>
      <c r="RWN80" s="974"/>
      <c r="RWO80" s="974"/>
      <c r="RWP80" s="974"/>
      <c r="RWQ80" s="974"/>
      <c r="RWR80" s="974"/>
      <c r="RWS80" s="974"/>
      <c r="RWT80" s="974"/>
      <c r="RWU80" s="974"/>
      <c r="RWV80" s="974"/>
      <c r="RWW80" s="974"/>
      <c r="RWX80" s="974"/>
      <c r="RWY80" s="974"/>
      <c r="RWZ80" s="974"/>
      <c r="RXA80" s="974"/>
      <c r="RXB80" s="974"/>
      <c r="RXC80" s="974"/>
      <c r="RXD80" s="974"/>
      <c r="RXE80" s="974"/>
      <c r="RXF80" s="974"/>
      <c r="RXG80" s="974"/>
      <c r="RXH80" s="974"/>
      <c r="RXI80" s="974"/>
      <c r="RXJ80" s="974"/>
      <c r="RXK80" s="974"/>
      <c r="RXL80" s="974"/>
      <c r="RXM80" s="974"/>
      <c r="RXN80" s="974"/>
      <c r="RXO80" s="974"/>
      <c r="RXP80" s="974"/>
      <c r="RXQ80" s="974"/>
      <c r="RXR80" s="974"/>
      <c r="RXS80" s="974"/>
      <c r="RXT80" s="974"/>
      <c r="RXU80" s="974"/>
      <c r="RXV80" s="974"/>
      <c r="RXW80" s="974"/>
      <c r="RXX80" s="974"/>
      <c r="RXY80" s="974"/>
      <c r="RXZ80" s="974"/>
      <c r="RYA80" s="974"/>
      <c r="RYB80" s="974"/>
      <c r="RYC80" s="974"/>
      <c r="RYD80" s="974"/>
      <c r="RYE80" s="974"/>
      <c r="RYF80" s="974"/>
      <c r="RYG80" s="974"/>
      <c r="RYH80" s="974"/>
      <c r="RYI80" s="974"/>
      <c r="RYJ80" s="974"/>
      <c r="RYK80" s="974"/>
      <c r="RYL80" s="974"/>
      <c r="RYM80" s="974"/>
      <c r="RYN80" s="974"/>
      <c r="RYO80" s="974"/>
      <c r="RYP80" s="974"/>
      <c r="RYQ80" s="974"/>
      <c r="RYR80" s="974"/>
      <c r="RYS80" s="974"/>
      <c r="RYT80" s="974"/>
      <c r="RYU80" s="974"/>
      <c r="RYV80" s="974"/>
      <c r="RYW80" s="974"/>
      <c r="RYX80" s="974"/>
      <c r="RYY80" s="974"/>
      <c r="RYZ80" s="974"/>
      <c r="RZA80" s="974"/>
      <c r="RZB80" s="974"/>
      <c r="RZC80" s="974"/>
      <c r="RZD80" s="974"/>
      <c r="RZE80" s="974"/>
      <c r="RZF80" s="974"/>
      <c r="RZG80" s="974"/>
      <c r="RZH80" s="974"/>
      <c r="RZI80" s="974"/>
      <c r="RZJ80" s="974"/>
      <c r="RZK80" s="974"/>
      <c r="RZL80" s="974"/>
      <c r="RZM80" s="974"/>
      <c r="RZN80" s="974"/>
      <c r="RZO80" s="974"/>
      <c r="RZP80" s="974"/>
      <c r="RZQ80" s="974"/>
      <c r="RZR80" s="974"/>
      <c r="RZS80" s="974"/>
      <c r="RZT80" s="974"/>
      <c r="RZU80" s="974"/>
      <c r="RZV80" s="974"/>
      <c r="RZW80" s="974"/>
      <c r="RZX80" s="974"/>
      <c r="RZY80" s="974"/>
      <c r="RZZ80" s="974"/>
      <c r="SAA80" s="974"/>
      <c r="SAB80" s="974"/>
      <c r="SAC80" s="974"/>
      <c r="SAD80" s="974"/>
      <c r="SAE80" s="974"/>
      <c r="SAF80" s="974"/>
      <c r="SAG80" s="974"/>
      <c r="SAH80" s="974"/>
      <c r="SAI80" s="974"/>
      <c r="SAJ80" s="974"/>
      <c r="SAK80" s="974"/>
      <c r="SAL80" s="974"/>
      <c r="SAM80" s="974"/>
      <c r="SAN80" s="974"/>
      <c r="SAO80" s="974"/>
      <c r="SAP80" s="974"/>
      <c r="SAQ80" s="974"/>
      <c r="SAR80" s="974"/>
      <c r="SAS80" s="974"/>
      <c r="SAT80" s="974"/>
      <c r="SAU80" s="974"/>
      <c r="SAV80" s="974"/>
      <c r="SAW80" s="974"/>
      <c r="SAX80" s="974"/>
      <c r="SAY80" s="974"/>
      <c r="SAZ80" s="974"/>
      <c r="SBA80" s="974"/>
      <c r="SBB80" s="974"/>
      <c r="SBC80" s="974"/>
      <c r="SBD80" s="974"/>
      <c r="SBE80" s="974"/>
      <c r="SBF80" s="974"/>
      <c r="SBG80" s="974"/>
      <c r="SBH80" s="974"/>
      <c r="SBI80" s="974"/>
      <c r="SBJ80" s="974"/>
      <c r="SBK80" s="974"/>
      <c r="SBL80" s="974"/>
      <c r="SBM80" s="974"/>
      <c r="SBN80" s="974"/>
      <c r="SBO80" s="974"/>
      <c r="SBP80" s="974"/>
      <c r="SBQ80" s="974"/>
      <c r="SBR80" s="974"/>
      <c r="SBS80" s="974"/>
      <c r="SBT80" s="974"/>
      <c r="SBU80" s="974"/>
      <c r="SBV80" s="974"/>
      <c r="SBW80" s="974"/>
      <c r="SBX80" s="974"/>
      <c r="SBY80" s="974"/>
      <c r="SBZ80" s="974"/>
      <c r="SCA80" s="974"/>
      <c r="SCB80" s="974"/>
      <c r="SCC80" s="974"/>
      <c r="SCD80" s="974"/>
      <c r="SCE80" s="974"/>
      <c r="SCF80" s="974"/>
      <c r="SCG80" s="974"/>
      <c r="SCH80" s="974"/>
      <c r="SCI80" s="974"/>
      <c r="SCJ80" s="974"/>
      <c r="SCK80" s="974"/>
      <c r="SCL80" s="974"/>
      <c r="SCM80" s="974"/>
      <c r="SCN80" s="974"/>
      <c r="SCO80" s="974"/>
      <c r="SCP80" s="974"/>
      <c r="SCQ80" s="974"/>
      <c r="SCR80" s="974"/>
      <c r="SCS80" s="974"/>
      <c r="SCT80" s="974"/>
      <c r="SCU80" s="974"/>
      <c r="SCV80" s="974"/>
      <c r="SCW80" s="974"/>
      <c r="SCX80" s="974"/>
      <c r="SCY80" s="974"/>
      <c r="SCZ80" s="974"/>
      <c r="SDA80" s="974"/>
      <c r="SDB80" s="974"/>
      <c r="SDC80" s="974"/>
      <c r="SDD80" s="974"/>
      <c r="SDE80" s="974"/>
      <c r="SDF80" s="974"/>
      <c r="SDG80" s="974"/>
      <c r="SDH80" s="974"/>
      <c r="SDI80" s="974"/>
      <c r="SDJ80" s="974"/>
      <c r="SDK80" s="974"/>
      <c r="SDL80" s="974"/>
      <c r="SDM80" s="974"/>
      <c r="SDN80" s="974"/>
      <c r="SDO80" s="974"/>
      <c r="SDP80" s="974"/>
      <c r="SDQ80" s="974"/>
      <c r="SDR80" s="974"/>
      <c r="SDS80" s="974"/>
      <c r="SDT80" s="974"/>
      <c r="SDU80" s="974"/>
      <c r="SDV80" s="974"/>
      <c r="SDW80" s="974"/>
      <c r="SDX80" s="974"/>
      <c r="SDY80" s="974"/>
      <c r="SDZ80" s="974"/>
      <c r="SEA80" s="974"/>
      <c r="SEB80" s="974"/>
      <c r="SEC80" s="974"/>
      <c r="SED80" s="974"/>
      <c r="SEE80" s="974"/>
      <c r="SEF80" s="974"/>
      <c r="SEG80" s="974"/>
      <c r="SEH80" s="974"/>
      <c r="SEI80" s="974"/>
      <c r="SEJ80" s="974"/>
      <c r="SEK80" s="974"/>
      <c r="SEL80" s="974"/>
      <c r="SEM80" s="974"/>
      <c r="SEN80" s="974"/>
      <c r="SEO80" s="974"/>
      <c r="SEP80" s="974"/>
      <c r="SEQ80" s="974"/>
      <c r="SER80" s="974"/>
      <c r="SES80" s="974"/>
      <c r="SET80" s="974"/>
      <c r="SEU80" s="974"/>
      <c r="SEV80" s="974"/>
      <c r="SEW80" s="974"/>
      <c r="SEX80" s="974"/>
      <c r="SEY80" s="974"/>
      <c r="SEZ80" s="974"/>
      <c r="SFA80" s="974"/>
      <c r="SFB80" s="974"/>
      <c r="SFC80" s="974"/>
      <c r="SFD80" s="974"/>
      <c r="SFE80" s="974"/>
      <c r="SFF80" s="974"/>
      <c r="SFG80" s="974"/>
      <c r="SFH80" s="974"/>
      <c r="SFI80" s="974"/>
      <c r="SFJ80" s="974"/>
      <c r="SFK80" s="974"/>
      <c r="SFL80" s="974"/>
      <c r="SFM80" s="974"/>
      <c r="SFN80" s="974"/>
      <c r="SFO80" s="974"/>
      <c r="SFP80" s="974"/>
      <c r="SFQ80" s="974"/>
      <c r="SFR80" s="974"/>
      <c r="SFS80" s="974"/>
      <c r="SFT80" s="974"/>
      <c r="SFU80" s="974"/>
      <c r="SFV80" s="974"/>
      <c r="SFW80" s="974"/>
      <c r="SFX80" s="974"/>
      <c r="SFY80" s="974"/>
      <c r="SFZ80" s="974"/>
      <c r="SGA80" s="974"/>
      <c r="SGB80" s="974"/>
      <c r="SGC80" s="974"/>
      <c r="SGD80" s="974"/>
      <c r="SGE80" s="974"/>
      <c r="SGF80" s="974"/>
      <c r="SGG80" s="974"/>
      <c r="SGH80" s="974"/>
      <c r="SGI80" s="974"/>
      <c r="SGJ80" s="974"/>
      <c r="SGK80" s="974"/>
      <c r="SGL80" s="974"/>
      <c r="SGM80" s="974"/>
      <c r="SGN80" s="974"/>
      <c r="SGO80" s="974"/>
      <c r="SGP80" s="974"/>
      <c r="SGQ80" s="974"/>
      <c r="SGR80" s="974"/>
      <c r="SGS80" s="974"/>
      <c r="SGT80" s="974"/>
      <c r="SGU80" s="974"/>
      <c r="SGV80" s="974"/>
      <c r="SGW80" s="974"/>
      <c r="SGX80" s="974"/>
      <c r="SGY80" s="974"/>
      <c r="SGZ80" s="974"/>
      <c r="SHA80" s="974"/>
      <c r="SHB80" s="974"/>
      <c r="SHC80" s="974"/>
      <c r="SHD80" s="974"/>
      <c r="SHE80" s="974"/>
      <c r="SHF80" s="974"/>
      <c r="SHG80" s="974"/>
      <c r="SHH80" s="974"/>
      <c r="SHI80" s="974"/>
      <c r="SHJ80" s="974"/>
      <c r="SHK80" s="974"/>
      <c r="SHL80" s="974"/>
      <c r="SHM80" s="974"/>
      <c r="SHN80" s="974"/>
      <c r="SHO80" s="974"/>
      <c r="SHP80" s="974"/>
      <c r="SHQ80" s="974"/>
      <c r="SHR80" s="974"/>
      <c r="SHS80" s="974"/>
      <c r="SHT80" s="974"/>
      <c r="SHU80" s="974"/>
      <c r="SHV80" s="974"/>
      <c r="SHW80" s="974"/>
      <c r="SHX80" s="974"/>
      <c r="SHY80" s="974"/>
      <c r="SHZ80" s="974"/>
      <c r="SIA80" s="974"/>
      <c r="SIB80" s="974"/>
      <c r="SIC80" s="974"/>
      <c r="SID80" s="974"/>
      <c r="SIE80" s="974"/>
      <c r="SIF80" s="974"/>
      <c r="SIG80" s="974"/>
      <c r="SIH80" s="974"/>
      <c r="SII80" s="974"/>
      <c r="SIJ80" s="974"/>
      <c r="SIK80" s="974"/>
      <c r="SIL80" s="974"/>
      <c r="SIM80" s="974"/>
      <c r="SIN80" s="974"/>
      <c r="SIO80" s="974"/>
      <c r="SIP80" s="974"/>
      <c r="SIQ80" s="974"/>
      <c r="SIR80" s="974"/>
      <c r="SIS80" s="974"/>
      <c r="SIT80" s="974"/>
      <c r="SIU80" s="974"/>
      <c r="SIV80" s="974"/>
      <c r="SIW80" s="974"/>
      <c r="SIX80" s="974"/>
      <c r="SIY80" s="974"/>
      <c r="SIZ80" s="974"/>
      <c r="SJA80" s="974"/>
      <c r="SJB80" s="974"/>
      <c r="SJC80" s="974"/>
      <c r="SJD80" s="974"/>
      <c r="SJE80" s="974"/>
      <c r="SJF80" s="974"/>
      <c r="SJG80" s="974"/>
      <c r="SJH80" s="974"/>
      <c r="SJI80" s="974"/>
      <c r="SJJ80" s="974"/>
      <c r="SJK80" s="974"/>
      <c r="SJL80" s="974"/>
      <c r="SJM80" s="974"/>
      <c r="SJN80" s="974"/>
      <c r="SJO80" s="974"/>
      <c r="SJP80" s="974"/>
      <c r="SJQ80" s="974"/>
      <c r="SJR80" s="974"/>
      <c r="SJS80" s="974"/>
      <c r="SJT80" s="974"/>
      <c r="SJU80" s="974"/>
      <c r="SJV80" s="974"/>
      <c r="SJW80" s="974"/>
      <c r="SJX80" s="974"/>
      <c r="SJY80" s="974"/>
      <c r="SJZ80" s="974"/>
      <c r="SKA80" s="974"/>
      <c r="SKB80" s="974"/>
      <c r="SKC80" s="974"/>
      <c r="SKD80" s="974"/>
      <c r="SKE80" s="974"/>
      <c r="SKF80" s="974"/>
      <c r="SKG80" s="974"/>
      <c r="SKH80" s="974"/>
      <c r="SKI80" s="974"/>
      <c r="SKJ80" s="974"/>
      <c r="SKK80" s="974"/>
      <c r="SKL80" s="974"/>
      <c r="SKM80" s="974"/>
      <c r="SKN80" s="974"/>
      <c r="SKO80" s="974"/>
      <c r="SKP80" s="974"/>
      <c r="SKQ80" s="974"/>
      <c r="SKR80" s="974"/>
      <c r="SKS80" s="974"/>
      <c r="SKT80" s="974"/>
      <c r="SKU80" s="974"/>
      <c r="SKV80" s="974"/>
      <c r="SKW80" s="974"/>
      <c r="SKX80" s="974"/>
      <c r="SKY80" s="974"/>
      <c r="SKZ80" s="974"/>
      <c r="SLA80" s="974"/>
      <c r="SLB80" s="974"/>
      <c r="SLC80" s="974"/>
      <c r="SLD80" s="974"/>
      <c r="SLE80" s="974"/>
      <c r="SLF80" s="974"/>
      <c r="SLG80" s="974"/>
      <c r="SLH80" s="974"/>
      <c r="SLI80" s="974"/>
      <c r="SLJ80" s="974"/>
      <c r="SLK80" s="974"/>
      <c r="SLL80" s="974"/>
      <c r="SLM80" s="974"/>
      <c r="SLN80" s="974"/>
      <c r="SLO80" s="974"/>
      <c r="SLP80" s="974"/>
      <c r="SLQ80" s="974"/>
      <c r="SLR80" s="974"/>
      <c r="SLS80" s="974"/>
      <c r="SLT80" s="974"/>
      <c r="SLU80" s="974"/>
      <c r="SLV80" s="974"/>
      <c r="SLW80" s="974"/>
      <c r="SLX80" s="974"/>
      <c r="SLY80" s="974"/>
      <c r="SLZ80" s="974"/>
      <c r="SMA80" s="974"/>
      <c r="SMB80" s="974"/>
      <c r="SMC80" s="974"/>
      <c r="SMD80" s="974"/>
      <c r="SME80" s="974"/>
      <c r="SMF80" s="974"/>
      <c r="SMG80" s="974"/>
      <c r="SMH80" s="974"/>
      <c r="SMI80" s="974"/>
      <c r="SMJ80" s="974"/>
      <c r="SMK80" s="974"/>
      <c r="SML80" s="974"/>
      <c r="SMM80" s="974"/>
      <c r="SMN80" s="974"/>
      <c r="SMO80" s="974"/>
      <c r="SMP80" s="974"/>
      <c r="SMQ80" s="974"/>
      <c r="SMR80" s="974"/>
      <c r="SMS80" s="974"/>
      <c r="SMT80" s="974"/>
      <c r="SMU80" s="974"/>
      <c r="SMV80" s="974"/>
      <c r="SMW80" s="974"/>
      <c r="SMX80" s="974"/>
      <c r="SMY80" s="974"/>
      <c r="SMZ80" s="974"/>
      <c r="SNA80" s="974"/>
      <c r="SNB80" s="974"/>
      <c r="SNC80" s="974"/>
      <c r="SND80" s="974"/>
      <c r="SNE80" s="974"/>
      <c r="SNF80" s="974"/>
      <c r="SNG80" s="974"/>
      <c r="SNH80" s="974"/>
      <c r="SNI80" s="974"/>
      <c r="SNJ80" s="974"/>
      <c r="SNK80" s="974"/>
      <c r="SNL80" s="974"/>
      <c r="SNM80" s="974"/>
      <c r="SNN80" s="974"/>
      <c r="SNO80" s="974"/>
      <c r="SNP80" s="974"/>
      <c r="SNQ80" s="974"/>
      <c r="SNR80" s="974"/>
      <c r="SNS80" s="974"/>
      <c r="SNT80" s="974"/>
      <c r="SNU80" s="974"/>
      <c r="SNV80" s="974"/>
      <c r="SNW80" s="974"/>
      <c r="SNX80" s="974"/>
      <c r="SNY80" s="974"/>
      <c r="SNZ80" s="974"/>
      <c r="SOA80" s="974"/>
      <c r="SOB80" s="974"/>
      <c r="SOC80" s="974"/>
      <c r="SOD80" s="974"/>
      <c r="SOE80" s="974"/>
      <c r="SOF80" s="974"/>
      <c r="SOG80" s="974"/>
      <c r="SOH80" s="974"/>
      <c r="SOI80" s="974"/>
      <c r="SOJ80" s="974"/>
      <c r="SOK80" s="974"/>
      <c r="SOL80" s="974"/>
      <c r="SOM80" s="974"/>
      <c r="SON80" s="974"/>
      <c r="SOO80" s="974"/>
      <c r="SOP80" s="974"/>
      <c r="SOQ80" s="974"/>
      <c r="SOR80" s="974"/>
      <c r="SOS80" s="974"/>
      <c r="SOT80" s="974"/>
      <c r="SOU80" s="974"/>
      <c r="SOV80" s="974"/>
      <c r="SOW80" s="974"/>
      <c r="SOX80" s="974"/>
      <c r="SOY80" s="974"/>
      <c r="SOZ80" s="974"/>
      <c r="SPA80" s="974"/>
      <c r="SPB80" s="974"/>
      <c r="SPC80" s="974"/>
      <c r="SPD80" s="974"/>
      <c r="SPE80" s="974"/>
      <c r="SPF80" s="974"/>
      <c r="SPG80" s="974"/>
      <c r="SPH80" s="974"/>
      <c r="SPI80" s="974"/>
      <c r="SPJ80" s="974"/>
      <c r="SPK80" s="974"/>
      <c r="SPL80" s="974"/>
      <c r="SPM80" s="974"/>
      <c r="SPN80" s="974"/>
      <c r="SPO80" s="974"/>
      <c r="SPP80" s="974"/>
      <c r="SPQ80" s="974"/>
      <c r="SPR80" s="974"/>
      <c r="SPS80" s="974"/>
      <c r="SPT80" s="974"/>
      <c r="SPU80" s="974"/>
      <c r="SPV80" s="974"/>
      <c r="SPW80" s="974"/>
      <c r="SPX80" s="974"/>
      <c r="SPY80" s="974"/>
      <c r="SPZ80" s="974"/>
      <c r="SQA80" s="974"/>
      <c r="SQB80" s="974"/>
      <c r="SQC80" s="974"/>
      <c r="SQD80" s="974"/>
      <c r="SQE80" s="974"/>
      <c r="SQF80" s="974"/>
      <c r="SQG80" s="974"/>
      <c r="SQH80" s="974"/>
      <c r="SQI80" s="974"/>
      <c r="SQJ80" s="974"/>
      <c r="SQK80" s="974"/>
      <c r="SQL80" s="974"/>
      <c r="SQM80" s="974"/>
      <c r="SQN80" s="974"/>
      <c r="SQO80" s="974"/>
      <c r="SQP80" s="974"/>
      <c r="SQQ80" s="974"/>
      <c r="SQR80" s="974"/>
      <c r="SQS80" s="974"/>
      <c r="SQT80" s="974"/>
      <c r="SQU80" s="974"/>
      <c r="SQV80" s="974"/>
      <c r="SQW80" s="974"/>
      <c r="SQX80" s="974"/>
      <c r="SQY80" s="974"/>
      <c r="SQZ80" s="974"/>
      <c r="SRA80" s="974"/>
      <c r="SRB80" s="974"/>
      <c r="SRC80" s="974"/>
      <c r="SRD80" s="974"/>
      <c r="SRE80" s="974"/>
      <c r="SRF80" s="974"/>
      <c r="SRG80" s="974"/>
      <c r="SRH80" s="974"/>
      <c r="SRI80" s="974"/>
      <c r="SRJ80" s="974"/>
      <c r="SRK80" s="974"/>
      <c r="SRL80" s="974"/>
      <c r="SRM80" s="974"/>
      <c r="SRN80" s="974"/>
      <c r="SRO80" s="974"/>
      <c r="SRP80" s="974"/>
      <c r="SRQ80" s="974"/>
      <c r="SRR80" s="974"/>
      <c r="SRS80" s="974"/>
      <c r="SRT80" s="974"/>
      <c r="SRU80" s="974"/>
      <c r="SRV80" s="974"/>
      <c r="SRW80" s="974"/>
      <c r="SRX80" s="974"/>
      <c r="SRY80" s="974"/>
      <c r="SRZ80" s="974"/>
      <c r="SSA80" s="974"/>
      <c r="SSB80" s="974"/>
      <c r="SSC80" s="974"/>
      <c r="SSD80" s="974"/>
      <c r="SSE80" s="974"/>
      <c r="SSF80" s="974"/>
      <c r="SSG80" s="974"/>
      <c r="SSH80" s="974"/>
      <c r="SSI80" s="974"/>
      <c r="SSJ80" s="974"/>
      <c r="SSK80" s="974"/>
      <c r="SSL80" s="974"/>
      <c r="SSM80" s="974"/>
      <c r="SSN80" s="974"/>
      <c r="SSO80" s="974"/>
      <c r="SSP80" s="974"/>
      <c r="SSQ80" s="974"/>
      <c r="SSR80" s="974"/>
      <c r="SSS80" s="974"/>
      <c r="SST80" s="974"/>
      <c r="SSU80" s="974"/>
      <c r="SSV80" s="974"/>
      <c r="SSW80" s="974"/>
      <c r="SSX80" s="974"/>
      <c r="SSY80" s="974"/>
      <c r="SSZ80" s="974"/>
      <c r="STA80" s="974"/>
      <c r="STB80" s="974"/>
      <c r="STC80" s="974"/>
      <c r="STD80" s="974"/>
      <c r="STE80" s="974"/>
      <c r="STF80" s="974"/>
      <c r="STG80" s="974"/>
      <c r="STH80" s="974"/>
      <c r="STI80" s="974"/>
      <c r="STJ80" s="974"/>
      <c r="STK80" s="974"/>
      <c r="STL80" s="974"/>
      <c r="STM80" s="974"/>
      <c r="STN80" s="974"/>
      <c r="STO80" s="974"/>
      <c r="STP80" s="974"/>
      <c r="STQ80" s="974"/>
      <c r="STR80" s="974"/>
      <c r="STS80" s="974"/>
      <c r="STT80" s="974"/>
      <c r="STU80" s="974"/>
      <c r="STV80" s="974"/>
      <c r="STW80" s="974"/>
      <c r="STX80" s="974"/>
      <c r="STY80" s="974"/>
      <c r="STZ80" s="974"/>
      <c r="SUA80" s="974"/>
      <c r="SUB80" s="974"/>
      <c r="SUC80" s="974"/>
      <c r="SUD80" s="974"/>
      <c r="SUE80" s="974"/>
      <c r="SUF80" s="974"/>
      <c r="SUG80" s="974"/>
      <c r="SUH80" s="974"/>
      <c r="SUI80" s="974"/>
      <c r="SUJ80" s="974"/>
      <c r="SUK80" s="974"/>
      <c r="SUL80" s="974"/>
      <c r="SUM80" s="974"/>
      <c r="SUN80" s="974"/>
      <c r="SUO80" s="974"/>
      <c r="SUP80" s="974"/>
      <c r="SUQ80" s="974"/>
      <c r="SUR80" s="974"/>
      <c r="SUS80" s="974"/>
      <c r="SUT80" s="974"/>
      <c r="SUU80" s="974"/>
      <c r="SUV80" s="974"/>
      <c r="SUW80" s="974"/>
      <c r="SUX80" s="974"/>
      <c r="SUY80" s="974"/>
      <c r="SUZ80" s="974"/>
      <c r="SVA80" s="974"/>
      <c r="SVB80" s="974"/>
      <c r="SVC80" s="974"/>
      <c r="SVD80" s="974"/>
      <c r="SVE80" s="974"/>
      <c r="SVF80" s="974"/>
      <c r="SVG80" s="974"/>
      <c r="SVH80" s="974"/>
      <c r="SVI80" s="974"/>
      <c r="SVJ80" s="974"/>
      <c r="SVK80" s="974"/>
      <c r="SVL80" s="974"/>
      <c r="SVM80" s="974"/>
      <c r="SVN80" s="974"/>
      <c r="SVO80" s="974"/>
      <c r="SVP80" s="974"/>
      <c r="SVQ80" s="974"/>
      <c r="SVR80" s="974"/>
      <c r="SVS80" s="974"/>
      <c r="SVT80" s="974"/>
      <c r="SVU80" s="974"/>
      <c r="SVV80" s="974"/>
      <c r="SVW80" s="974"/>
      <c r="SVX80" s="974"/>
      <c r="SVY80" s="974"/>
      <c r="SVZ80" s="974"/>
      <c r="SWA80" s="974"/>
      <c r="SWB80" s="974"/>
      <c r="SWC80" s="974"/>
      <c r="SWD80" s="974"/>
      <c r="SWE80" s="974"/>
      <c r="SWF80" s="974"/>
      <c r="SWG80" s="974"/>
      <c r="SWH80" s="974"/>
      <c r="SWI80" s="974"/>
      <c r="SWJ80" s="974"/>
      <c r="SWK80" s="974"/>
      <c r="SWL80" s="974"/>
      <c r="SWM80" s="974"/>
      <c r="SWN80" s="974"/>
      <c r="SWO80" s="974"/>
      <c r="SWP80" s="974"/>
      <c r="SWQ80" s="974"/>
      <c r="SWR80" s="974"/>
      <c r="SWS80" s="974"/>
      <c r="SWT80" s="974"/>
      <c r="SWU80" s="974"/>
      <c r="SWV80" s="974"/>
      <c r="SWW80" s="974"/>
      <c r="SWX80" s="974"/>
      <c r="SWY80" s="974"/>
      <c r="SWZ80" s="974"/>
      <c r="SXA80" s="974"/>
      <c r="SXB80" s="974"/>
      <c r="SXC80" s="974"/>
      <c r="SXD80" s="974"/>
      <c r="SXE80" s="974"/>
      <c r="SXF80" s="974"/>
      <c r="SXG80" s="974"/>
      <c r="SXH80" s="974"/>
      <c r="SXI80" s="974"/>
      <c r="SXJ80" s="974"/>
      <c r="SXK80" s="974"/>
      <c r="SXL80" s="974"/>
      <c r="SXM80" s="974"/>
      <c r="SXN80" s="974"/>
      <c r="SXO80" s="974"/>
      <c r="SXP80" s="974"/>
      <c r="SXQ80" s="974"/>
      <c r="SXR80" s="974"/>
      <c r="SXS80" s="974"/>
      <c r="SXT80" s="974"/>
      <c r="SXU80" s="974"/>
      <c r="SXV80" s="974"/>
      <c r="SXW80" s="974"/>
      <c r="SXX80" s="974"/>
      <c r="SXY80" s="974"/>
      <c r="SXZ80" s="974"/>
      <c r="SYA80" s="974"/>
      <c r="SYB80" s="974"/>
      <c r="SYC80" s="974"/>
      <c r="SYD80" s="974"/>
      <c r="SYE80" s="974"/>
      <c r="SYF80" s="974"/>
      <c r="SYG80" s="974"/>
      <c r="SYH80" s="974"/>
      <c r="SYI80" s="974"/>
      <c r="SYJ80" s="974"/>
      <c r="SYK80" s="974"/>
      <c r="SYL80" s="974"/>
      <c r="SYM80" s="974"/>
      <c r="SYN80" s="974"/>
      <c r="SYO80" s="974"/>
      <c r="SYP80" s="974"/>
      <c r="SYQ80" s="974"/>
      <c r="SYR80" s="974"/>
      <c r="SYS80" s="974"/>
      <c r="SYT80" s="974"/>
      <c r="SYU80" s="974"/>
      <c r="SYV80" s="974"/>
      <c r="SYW80" s="974"/>
      <c r="SYX80" s="974"/>
      <c r="SYY80" s="974"/>
      <c r="SYZ80" s="974"/>
      <c r="SZA80" s="974"/>
      <c r="SZB80" s="974"/>
      <c r="SZC80" s="974"/>
      <c r="SZD80" s="974"/>
      <c r="SZE80" s="974"/>
      <c r="SZF80" s="974"/>
      <c r="SZG80" s="974"/>
      <c r="SZH80" s="974"/>
      <c r="SZI80" s="974"/>
      <c r="SZJ80" s="974"/>
      <c r="SZK80" s="974"/>
      <c r="SZL80" s="974"/>
      <c r="SZM80" s="974"/>
      <c r="SZN80" s="974"/>
      <c r="SZO80" s="974"/>
      <c r="SZP80" s="974"/>
      <c r="SZQ80" s="974"/>
      <c r="SZR80" s="974"/>
      <c r="SZS80" s="974"/>
      <c r="SZT80" s="974"/>
      <c r="SZU80" s="974"/>
      <c r="SZV80" s="974"/>
      <c r="SZW80" s="974"/>
      <c r="SZX80" s="974"/>
      <c r="SZY80" s="974"/>
      <c r="SZZ80" s="974"/>
      <c r="TAA80" s="974"/>
      <c r="TAB80" s="974"/>
      <c r="TAC80" s="974"/>
      <c r="TAD80" s="974"/>
      <c r="TAE80" s="974"/>
      <c r="TAF80" s="974"/>
      <c r="TAG80" s="974"/>
      <c r="TAH80" s="974"/>
      <c r="TAI80" s="974"/>
      <c r="TAJ80" s="974"/>
      <c r="TAK80" s="974"/>
      <c r="TAL80" s="974"/>
      <c r="TAM80" s="974"/>
      <c r="TAN80" s="974"/>
      <c r="TAO80" s="974"/>
      <c r="TAP80" s="974"/>
      <c r="TAQ80" s="974"/>
      <c r="TAR80" s="974"/>
      <c r="TAS80" s="974"/>
      <c r="TAT80" s="974"/>
      <c r="TAU80" s="974"/>
      <c r="TAV80" s="974"/>
      <c r="TAW80" s="974"/>
      <c r="TAX80" s="974"/>
      <c r="TAY80" s="974"/>
      <c r="TAZ80" s="974"/>
      <c r="TBA80" s="974"/>
      <c r="TBB80" s="974"/>
      <c r="TBC80" s="974"/>
      <c r="TBD80" s="974"/>
      <c r="TBE80" s="974"/>
      <c r="TBF80" s="974"/>
      <c r="TBG80" s="974"/>
      <c r="TBH80" s="974"/>
      <c r="TBI80" s="974"/>
      <c r="TBJ80" s="974"/>
      <c r="TBK80" s="974"/>
      <c r="TBL80" s="974"/>
      <c r="TBM80" s="974"/>
      <c r="TBN80" s="974"/>
      <c r="TBO80" s="974"/>
      <c r="TBP80" s="974"/>
      <c r="TBQ80" s="974"/>
      <c r="TBR80" s="974"/>
      <c r="TBS80" s="974"/>
      <c r="TBT80" s="974"/>
      <c r="TBU80" s="974"/>
      <c r="TBV80" s="974"/>
      <c r="TBW80" s="974"/>
      <c r="TBX80" s="974"/>
      <c r="TBY80" s="974"/>
      <c r="TBZ80" s="974"/>
      <c r="TCA80" s="974"/>
      <c r="TCB80" s="974"/>
      <c r="TCC80" s="974"/>
      <c r="TCD80" s="974"/>
      <c r="TCE80" s="974"/>
      <c r="TCF80" s="974"/>
      <c r="TCG80" s="974"/>
      <c r="TCH80" s="974"/>
      <c r="TCI80" s="974"/>
      <c r="TCJ80" s="974"/>
      <c r="TCK80" s="974"/>
      <c r="TCL80" s="974"/>
      <c r="TCM80" s="974"/>
      <c r="TCN80" s="974"/>
      <c r="TCO80" s="974"/>
      <c r="TCP80" s="974"/>
      <c r="TCQ80" s="974"/>
      <c r="TCR80" s="974"/>
      <c r="TCS80" s="974"/>
      <c r="TCT80" s="974"/>
      <c r="TCU80" s="974"/>
      <c r="TCV80" s="974"/>
      <c r="TCW80" s="974"/>
      <c r="TCX80" s="974"/>
      <c r="TCY80" s="974"/>
      <c r="TCZ80" s="974"/>
      <c r="TDA80" s="974"/>
      <c r="TDB80" s="974"/>
      <c r="TDC80" s="974"/>
      <c r="TDD80" s="974"/>
      <c r="TDE80" s="974"/>
      <c r="TDF80" s="974"/>
      <c r="TDG80" s="974"/>
      <c r="TDH80" s="974"/>
      <c r="TDI80" s="974"/>
      <c r="TDJ80" s="974"/>
      <c r="TDK80" s="974"/>
      <c r="TDL80" s="974"/>
      <c r="TDM80" s="974"/>
      <c r="TDN80" s="974"/>
      <c r="TDO80" s="974"/>
      <c r="TDP80" s="974"/>
      <c r="TDQ80" s="974"/>
      <c r="TDR80" s="974"/>
      <c r="TDS80" s="974"/>
      <c r="TDT80" s="974"/>
      <c r="TDU80" s="974"/>
      <c r="TDV80" s="974"/>
      <c r="TDW80" s="974"/>
      <c r="TDX80" s="974"/>
      <c r="TDY80" s="974"/>
      <c r="TDZ80" s="974"/>
      <c r="TEA80" s="974"/>
      <c r="TEB80" s="974"/>
      <c r="TEC80" s="974"/>
      <c r="TED80" s="974"/>
      <c r="TEE80" s="974"/>
      <c r="TEF80" s="974"/>
      <c r="TEG80" s="974"/>
      <c r="TEH80" s="974"/>
      <c r="TEI80" s="974"/>
      <c r="TEJ80" s="974"/>
      <c r="TEK80" s="974"/>
      <c r="TEL80" s="974"/>
      <c r="TEM80" s="974"/>
      <c r="TEN80" s="974"/>
      <c r="TEO80" s="974"/>
      <c r="TEP80" s="974"/>
      <c r="TEQ80" s="974"/>
      <c r="TER80" s="974"/>
      <c r="TES80" s="974"/>
      <c r="TET80" s="974"/>
      <c r="TEU80" s="974"/>
      <c r="TEV80" s="974"/>
      <c r="TEW80" s="974"/>
      <c r="TEX80" s="974"/>
      <c r="TEY80" s="974"/>
      <c r="TEZ80" s="974"/>
      <c r="TFA80" s="974"/>
      <c r="TFB80" s="974"/>
      <c r="TFC80" s="974"/>
      <c r="TFD80" s="974"/>
      <c r="TFE80" s="974"/>
      <c r="TFF80" s="974"/>
      <c r="TFG80" s="974"/>
      <c r="TFH80" s="974"/>
      <c r="TFI80" s="974"/>
      <c r="TFJ80" s="974"/>
      <c r="TFK80" s="974"/>
      <c r="TFL80" s="974"/>
      <c r="TFM80" s="974"/>
      <c r="TFN80" s="974"/>
      <c r="TFO80" s="974"/>
      <c r="TFP80" s="974"/>
      <c r="TFQ80" s="974"/>
      <c r="TFR80" s="974"/>
      <c r="TFS80" s="974"/>
      <c r="TFT80" s="974"/>
      <c r="TFU80" s="974"/>
      <c r="TFV80" s="974"/>
      <c r="TFW80" s="974"/>
      <c r="TFX80" s="974"/>
      <c r="TFY80" s="974"/>
      <c r="TFZ80" s="974"/>
      <c r="TGA80" s="974"/>
      <c r="TGB80" s="974"/>
      <c r="TGC80" s="974"/>
      <c r="TGD80" s="974"/>
      <c r="TGE80" s="974"/>
      <c r="TGF80" s="974"/>
      <c r="TGG80" s="974"/>
      <c r="TGH80" s="974"/>
      <c r="TGI80" s="974"/>
      <c r="TGJ80" s="974"/>
      <c r="TGK80" s="974"/>
      <c r="TGL80" s="974"/>
      <c r="TGM80" s="974"/>
      <c r="TGN80" s="974"/>
      <c r="TGO80" s="974"/>
      <c r="TGP80" s="974"/>
      <c r="TGQ80" s="974"/>
      <c r="TGR80" s="974"/>
      <c r="TGS80" s="974"/>
      <c r="TGT80" s="974"/>
      <c r="TGU80" s="974"/>
      <c r="TGV80" s="974"/>
      <c r="TGW80" s="974"/>
      <c r="TGX80" s="974"/>
      <c r="TGY80" s="974"/>
      <c r="TGZ80" s="974"/>
      <c r="THA80" s="974"/>
      <c r="THB80" s="974"/>
      <c r="THC80" s="974"/>
      <c r="THD80" s="974"/>
      <c r="THE80" s="974"/>
      <c r="THF80" s="974"/>
      <c r="THG80" s="974"/>
      <c r="THH80" s="974"/>
      <c r="THI80" s="974"/>
      <c r="THJ80" s="974"/>
      <c r="THK80" s="974"/>
      <c r="THL80" s="974"/>
      <c r="THM80" s="974"/>
      <c r="THN80" s="974"/>
      <c r="THO80" s="974"/>
      <c r="THP80" s="974"/>
      <c r="THQ80" s="974"/>
      <c r="THR80" s="974"/>
      <c r="THS80" s="974"/>
      <c r="THT80" s="974"/>
      <c r="THU80" s="974"/>
      <c r="THV80" s="974"/>
      <c r="THW80" s="974"/>
      <c r="THX80" s="974"/>
      <c r="THY80" s="974"/>
      <c r="THZ80" s="974"/>
      <c r="TIA80" s="974"/>
      <c r="TIB80" s="974"/>
      <c r="TIC80" s="974"/>
      <c r="TID80" s="974"/>
      <c r="TIE80" s="974"/>
      <c r="TIF80" s="974"/>
      <c r="TIG80" s="974"/>
      <c r="TIH80" s="974"/>
      <c r="TII80" s="974"/>
      <c r="TIJ80" s="974"/>
      <c r="TIK80" s="974"/>
      <c r="TIL80" s="974"/>
      <c r="TIM80" s="974"/>
      <c r="TIN80" s="974"/>
      <c r="TIO80" s="974"/>
      <c r="TIP80" s="974"/>
      <c r="TIQ80" s="974"/>
      <c r="TIR80" s="974"/>
      <c r="TIS80" s="974"/>
      <c r="TIT80" s="974"/>
      <c r="TIU80" s="974"/>
      <c r="TIV80" s="974"/>
      <c r="TIW80" s="974"/>
      <c r="TIX80" s="974"/>
      <c r="TIY80" s="974"/>
      <c r="TIZ80" s="974"/>
      <c r="TJA80" s="974"/>
      <c r="TJB80" s="974"/>
      <c r="TJC80" s="974"/>
      <c r="TJD80" s="974"/>
      <c r="TJE80" s="974"/>
      <c r="TJF80" s="974"/>
      <c r="TJG80" s="974"/>
      <c r="TJH80" s="974"/>
      <c r="TJI80" s="974"/>
      <c r="TJJ80" s="974"/>
      <c r="TJK80" s="974"/>
      <c r="TJL80" s="974"/>
      <c r="TJM80" s="974"/>
      <c r="TJN80" s="974"/>
      <c r="TJO80" s="974"/>
      <c r="TJP80" s="974"/>
      <c r="TJQ80" s="974"/>
      <c r="TJR80" s="974"/>
      <c r="TJS80" s="974"/>
      <c r="TJT80" s="974"/>
      <c r="TJU80" s="974"/>
      <c r="TJV80" s="974"/>
      <c r="TJW80" s="974"/>
      <c r="TJX80" s="974"/>
      <c r="TJY80" s="974"/>
      <c r="TJZ80" s="974"/>
      <c r="TKA80" s="974"/>
      <c r="TKB80" s="974"/>
      <c r="TKC80" s="974"/>
      <c r="TKD80" s="974"/>
      <c r="TKE80" s="974"/>
      <c r="TKF80" s="974"/>
      <c r="TKG80" s="974"/>
      <c r="TKH80" s="974"/>
      <c r="TKI80" s="974"/>
      <c r="TKJ80" s="974"/>
      <c r="TKK80" s="974"/>
      <c r="TKL80" s="974"/>
      <c r="TKM80" s="974"/>
      <c r="TKN80" s="974"/>
      <c r="TKO80" s="974"/>
      <c r="TKP80" s="974"/>
      <c r="TKQ80" s="974"/>
      <c r="TKR80" s="974"/>
      <c r="TKS80" s="974"/>
      <c r="TKT80" s="974"/>
      <c r="TKU80" s="974"/>
      <c r="TKV80" s="974"/>
      <c r="TKW80" s="974"/>
      <c r="TKX80" s="974"/>
      <c r="TKY80" s="974"/>
      <c r="TKZ80" s="974"/>
      <c r="TLA80" s="974"/>
      <c r="TLB80" s="974"/>
      <c r="TLC80" s="974"/>
      <c r="TLD80" s="974"/>
      <c r="TLE80" s="974"/>
      <c r="TLF80" s="974"/>
      <c r="TLG80" s="974"/>
      <c r="TLH80" s="974"/>
      <c r="TLI80" s="974"/>
      <c r="TLJ80" s="974"/>
      <c r="TLK80" s="974"/>
      <c r="TLL80" s="974"/>
      <c r="TLM80" s="974"/>
      <c r="TLN80" s="974"/>
      <c r="TLO80" s="974"/>
      <c r="TLP80" s="974"/>
      <c r="TLQ80" s="974"/>
      <c r="TLR80" s="974"/>
      <c r="TLS80" s="974"/>
      <c r="TLT80" s="974"/>
      <c r="TLU80" s="974"/>
      <c r="TLV80" s="974"/>
      <c r="TLW80" s="974"/>
      <c r="TLX80" s="974"/>
      <c r="TLY80" s="974"/>
      <c r="TLZ80" s="974"/>
      <c r="TMA80" s="974"/>
      <c r="TMB80" s="974"/>
      <c r="TMC80" s="974"/>
      <c r="TMD80" s="974"/>
      <c r="TME80" s="974"/>
      <c r="TMF80" s="974"/>
      <c r="TMG80" s="974"/>
      <c r="TMH80" s="974"/>
      <c r="TMI80" s="974"/>
      <c r="TMJ80" s="974"/>
      <c r="TMK80" s="974"/>
      <c r="TML80" s="974"/>
      <c r="TMM80" s="974"/>
      <c r="TMN80" s="974"/>
      <c r="TMO80" s="974"/>
      <c r="TMP80" s="974"/>
      <c r="TMQ80" s="974"/>
      <c r="TMR80" s="974"/>
      <c r="TMS80" s="974"/>
      <c r="TMT80" s="974"/>
      <c r="TMU80" s="974"/>
      <c r="TMV80" s="974"/>
      <c r="TMW80" s="974"/>
      <c r="TMX80" s="974"/>
      <c r="TMY80" s="974"/>
      <c r="TMZ80" s="974"/>
      <c r="TNA80" s="974"/>
      <c r="TNB80" s="974"/>
      <c r="TNC80" s="974"/>
      <c r="TND80" s="974"/>
      <c r="TNE80" s="974"/>
      <c r="TNF80" s="974"/>
      <c r="TNG80" s="974"/>
      <c r="TNH80" s="974"/>
      <c r="TNI80" s="974"/>
      <c r="TNJ80" s="974"/>
      <c r="TNK80" s="974"/>
      <c r="TNL80" s="974"/>
      <c r="TNM80" s="974"/>
      <c r="TNN80" s="974"/>
      <c r="TNO80" s="974"/>
      <c r="TNP80" s="974"/>
      <c r="TNQ80" s="974"/>
      <c r="TNR80" s="974"/>
      <c r="TNS80" s="974"/>
      <c r="TNT80" s="974"/>
      <c r="TNU80" s="974"/>
      <c r="TNV80" s="974"/>
      <c r="TNW80" s="974"/>
      <c r="TNX80" s="974"/>
      <c r="TNY80" s="974"/>
      <c r="TNZ80" s="974"/>
      <c r="TOA80" s="974"/>
      <c r="TOB80" s="974"/>
      <c r="TOC80" s="974"/>
      <c r="TOD80" s="974"/>
      <c r="TOE80" s="974"/>
      <c r="TOF80" s="974"/>
      <c r="TOG80" s="974"/>
      <c r="TOH80" s="974"/>
      <c r="TOI80" s="974"/>
      <c r="TOJ80" s="974"/>
      <c r="TOK80" s="974"/>
      <c r="TOL80" s="974"/>
      <c r="TOM80" s="974"/>
      <c r="TON80" s="974"/>
      <c r="TOO80" s="974"/>
      <c r="TOP80" s="974"/>
      <c r="TOQ80" s="974"/>
      <c r="TOR80" s="974"/>
      <c r="TOS80" s="974"/>
      <c r="TOT80" s="974"/>
      <c r="TOU80" s="974"/>
      <c r="TOV80" s="974"/>
      <c r="TOW80" s="974"/>
      <c r="TOX80" s="974"/>
      <c r="TOY80" s="974"/>
      <c r="TOZ80" s="974"/>
      <c r="TPA80" s="974"/>
      <c r="TPB80" s="974"/>
      <c r="TPC80" s="974"/>
      <c r="TPD80" s="974"/>
      <c r="TPE80" s="974"/>
      <c r="TPF80" s="974"/>
      <c r="TPG80" s="974"/>
      <c r="TPH80" s="974"/>
      <c r="TPI80" s="974"/>
      <c r="TPJ80" s="974"/>
      <c r="TPK80" s="974"/>
      <c r="TPL80" s="974"/>
      <c r="TPM80" s="974"/>
      <c r="TPN80" s="974"/>
      <c r="TPO80" s="974"/>
      <c r="TPP80" s="974"/>
      <c r="TPQ80" s="974"/>
      <c r="TPR80" s="974"/>
      <c r="TPS80" s="974"/>
      <c r="TPT80" s="974"/>
      <c r="TPU80" s="974"/>
      <c r="TPV80" s="974"/>
      <c r="TPW80" s="974"/>
      <c r="TPX80" s="974"/>
      <c r="TPY80" s="974"/>
      <c r="TPZ80" s="974"/>
      <c r="TQA80" s="974"/>
      <c r="TQB80" s="974"/>
      <c r="TQC80" s="974"/>
      <c r="TQD80" s="974"/>
      <c r="TQE80" s="974"/>
      <c r="TQF80" s="974"/>
      <c r="TQG80" s="974"/>
      <c r="TQH80" s="974"/>
      <c r="TQI80" s="974"/>
      <c r="TQJ80" s="974"/>
      <c r="TQK80" s="974"/>
      <c r="TQL80" s="974"/>
      <c r="TQM80" s="974"/>
      <c r="TQN80" s="974"/>
      <c r="TQO80" s="974"/>
      <c r="TQP80" s="974"/>
      <c r="TQQ80" s="974"/>
      <c r="TQR80" s="974"/>
      <c r="TQS80" s="974"/>
      <c r="TQT80" s="974"/>
      <c r="TQU80" s="974"/>
      <c r="TQV80" s="974"/>
      <c r="TQW80" s="974"/>
      <c r="TQX80" s="974"/>
      <c r="TQY80" s="974"/>
      <c r="TQZ80" s="974"/>
      <c r="TRA80" s="974"/>
      <c r="TRB80" s="974"/>
      <c r="TRC80" s="974"/>
      <c r="TRD80" s="974"/>
      <c r="TRE80" s="974"/>
      <c r="TRF80" s="974"/>
      <c r="TRG80" s="974"/>
      <c r="TRH80" s="974"/>
      <c r="TRI80" s="974"/>
      <c r="TRJ80" s="974"/>
      <c r="TRK80" s="974"/>
      <c r="TRL80" s="974"/>
      <c r="TRM80" s="974"/>
      <c r="TRN80" s="974"/>
      <c r="TRO80" s="974"/>
      <c r="TRP80" s="974"/>
      <c r="TRQ80" s="974"/>
      <c r="TRR80" s="974"/>
      <c r="TRS80" s="974"/>
      <c r="TRT80" s="974"/>
      <c r="TRU80" s="974"/>
      <c r="TRV80" s="974"/>
      <c r="TRW80" s="974"/>
      <c r="TRX80" s="974"/>
      <c r="TRY80" s="974"/>
      <c r="TRZ80" s="974"/>
      <c r="TSA80" s="974"/>
      <c r="TSB80" s="974"/>
      <c r="TSC80" s="974"/>
      <c r="TSD80" s="974"/>
      <c r="TSE80" s="974"/>
      <c r="TSF80" s="974"/>
      <c r="TSG80" s="974"/>
      <c r="TSH80" s="974"/>
      <c r="TSI80" s="974"/>
      <c r="TSJ80" s="974"/>
      <c r="TSK80" s="974"/>
      <c r="TSL80" s="974"/>
      <c r="TSM80" s="974"/>
      <c r="TSN80" s="974"/>
      <c r="TSO80" s="974"/>
      <c r="TSP80" s="974"/>
      <c r="TSQ80" s="974"/>
      <c r="TSR80" s="974"/>
      <c r="TSS80" s="974"/>
      <c r="TST80" s="974"/>
      <c r="TSU80" s="974"/>
      <c r="TSV80" s="974"/>
      <c r="TSW80" s="974"/>
      <c r="TSX80" s="974"/>
      <c r="TSY80" s="974"/>
      <c r="TSZ80" s="974"/>
      <c r="TTA80" s="974"/>
      <c r="TTB80" s="974"/>
      <c r="TTC80" s="974"/>
      <c r="TTD80" s="974"/>
      <c r="TTE80" s="974"/>
      <c r="TTF80" s="974"/>
      <c r="TTG80" s="974"/>
      <c r="TTH80" s="974"/>
      <c r="TTI80" s="974"/>
      <c r="TTJ80" s="974"/>
      <c r="TTK80" s="974"/>
      <c r="TTL80" s="974"/>
      <c r="TTM80" s="974"/>
      <c r="TTN80" s="974"/>
      <c r="TTO80" s="974"/>
      <c r="TTP80" s="974"/>
      <c r="TTQ80" s="974"/>
      <c r="TTR80" s="974"/>
      <c r="TTS80" s="974"/>
      <c r="TTT80" s="974"/>
      <c r="TTU80" s="974"/>
      <c r="TTV80" s="974"/>
      <c r="TTW80" s="974"/>
      <c r="TTX80" s="974"/>
      <c r="TTY80" s="974"/>
      <c r="TTZ80" s="974"/>
      <c r="TUA80" s="974"/>
      <c r="TUB80" s="974"/>
      <c r="TUC80" s="974"/>
      <c r="TUD80" s="974"/>
      <c r="TUE80" s="974"/>
      <c r="TUF80" s="974"/>
      <c r="TUG80" s="974"/>
      <c r="TUH80" s="974"/>
      <c r="TUI80" s="974"/>
      <c r="TUJ80" s="974"/>
      <c r="TUK80" s="974"/>
      <c r="TUL80" s="974"/>
      <c r="TUM80" s="974"/>
      <c r="TUN80" s="974"/>
      <c r="TUO80" s="974"/>
      <c r="TUP80" s="974"/>
      <c r="TUQ80" s="974"/>
      <c r="TUR80" s="974"/>
      <c r="TUS80" s="974"/>
      <c r="TUT80" s="974"/>
      <c r="TUU80" s="974"/>
      <c r="TUV80" s="974"/>
      <c r="TUW80" s="974"/>
      <c r="TUX80" s="974"/>
      <c r="TUY80" s="974"/>
      <c r="TUZ80" s="974"/>
      <c r="TVA80" s="974"/>
      <c r="TVB80" s="974"/>
      <c r="TVC80" s="974"/>
      <c r="TVD80" s="974"/>
      <c r="TVE80" s="974"/>
      <c r="TVF80" s="974"/>
      <c r="TVG80" s="974"/>
      <c r="TVH80" s="974"/>
      <c r="TVI80" s="974"/>
      <c r="TVJ80" s="974"/>
      <c r="TVK80" s="974"/>
      <c r="TVL80" s="974"/>
      <c r="TVM80" s="974"/>
      <c r="TVN80" s="974"/>
      <c r="TVO80" s="974"/>
      <c r="TVP80" s="974"/>
      <c r="TVQ80" s="974"/>
      <c r="TVR80" s="974"/>
      <c r="TVS80" s="974"/>
      <c r="TVT80" s="974"/>
      <c r="TVU80" s="974"/>
      <c r="TVV80" s="974"/>
      <c r="TVW80" s="974"/>
      <c r="TVX80" s="974"/>
      <c r="TVY80" s="974"/>
      <c r="TVZ80" s="974"/>
      <c r="TWA80" s="974"/>
      <c r="TWB80" s="974"/>
      <c r="TWC80" s="974"/>
      <c r="TWD80" s="974"/>
      <c r="TWE80" s="974"/>
      <c r="TWF80" s="974"/>
      <c r="TWG80" s="974"/>
      <c r="TWH80" s="974"/>
      <c r="TWI80" s="974"/>
      <c r="TWJ80" s="974"/>
      <c r="TWK80" s="974"/>
      <c r="TWL80" s="974"/>
      <c r="TWM80" s="974"/>
      <c r="TWN80" s="974"/>
      <c r="TWO80" s="974"/>
      <c r="TWP80" s="974"/>
      <c r="TWQ80" s="974"/>
      <c r="TWR80" s="974"/>
      <c r="TWS80" s="974"/>
      <c r="TWT80" s="974"/>
      <c r="TWU80" s="974"/>
      <c r="TWV80" s="974"/>
      <c r="TWW80" s="974"/>
      <c r="TWX80" s="974"/>
      <c r="TWY80" s="974"/>
      <c r="TWZ80" s="974"/>
      <c r="TXA80" s="974"/>
      <c r="TXB80" s="974"/>
      <c r="TXC80" s="974"/>
      <c r="TXD80" s="974"/>
      <c r="TXE80" s="974"/>
      <c r="TXF80" s="974"/>
      <c r="TXG80" s="974"/>
      <c r="TXH80" s="974"/>
      <c r="TXI80" s="974"/>
      <c r="TXJ80" s="974"/>
      <c r="TXK80" s="974"/>
      <c r="TXL80" s="974"/>
      <c r="TXM80" s="974"/>
      <c r="TXN80" s="974"/>
      <c r="TXO80" s="974"/>
      <c r="TXP80" s="974"/>
      <c r="TXQ80" s="974"/>
      <c r="TXR80" s="974"/>
      <c r="TXS80" s="974"/>
      <c r="TXT80" s="974"/>
      <c r="TXU80" s="974"/>
      <c r="TXV80" s="974"/>
      <c r="TXW80" s="974"/>
      <c r="TXX80" s="974"/>
      <c r="TXY80" s="974"/>
      <c r="TXZ80" s="974"/>
      <c r="TYA80" s="974"/>
      <c r="TYB80" s="974"/>
      <c r="TYC80" s="974"/>
      <c r="TYD80" s="974"/>
      <c r="TYE80" s="974"/>
      <c r="TYF80" s="974"/>
      <c r="TYG80" s="974"/>
      <c r="TYH80" s="974"/>
      <c r="TYI80" s="974"/>
      <c r="TYJ80" s="974"/>
      <c r="TYK80" s="974"/>
      <c r="TYL80" s="974"/>
      <c r="TYM80" s="974"/>
      <c r="TYN80" s="974"/>
      <c r="TYO80" s="974"/>
      <c r="TYP80" s="974"/>
      <c r="TYQ80" s="974"/>
      <c r="TYR80" s="974"/>
      <c r="TYS80" s="974"/>
      <c r="TYT80" s="974"/>
      <c r="TYU80" s="974"/>
      <c r="TYV80" s="974"/>
      <c r="TYW80" s="974"/>
      <c r="TYX80" s="974"/>
      <c r="TYY80" s="974"/>
      <c r="TYZ80" s="974"/>
      <c r="TZA80" s="974"/>
      <c r="TZB80" s="974"/>
      <c r="TZC80" s="974"/>
      <c r="TZD80" s="974"/>
      <c r="TZE80" s="974"/>
      <c r="TZF80" s="974"/>
      <c r="TZG80" s="974"/>
      <c r="TZH80" s="974"/>
      <c r="TZI80" s="974"/>
      <c r="TZJ80" s="974"/>
      <c r="TZK80" s="974"/>
      <c r="TZL80" s="974"/>
      <c r="TZM80" s="974"/>
      <c r="TZN80" s="974"/>
      <c r="TZO80" s="974"/>
      <c r="TZP80" s="974"/>
      <c r="TZQ80" s="974"/>
      <c r="TZR80" s="974"/>
      <c r="TZS80" s="974"/>
      <c r="TZT80" s="974"/>
      <c r="TZU80" s="974"/>
      <c r="TZV80" s="974"/>
      <c r="TZW80" s="974"/>
      <c r="TZX80" s="974"/>
      <c r="TZY80" s="974"/>
      <c r="TZZ80" s="974"/>
      <c r="UAA80" s="974"/>
      <c r="UAB80" s="974"/>
      <c r="UAC80" s="974"/>
      <c r="UAD80" s="974"/>
      <c r="UAE80" s="974"/>
      <c r="UAF80" s="974"/>
      <c r="UAG80" s="974"/>
      <c r="UAH80" s="974"/>
      <c r="UAI80" s="974"/>
      <c r="UAJ80" s="974"/>
      <c r="UAK80" s="974"/>
      <c r="UAL80" s="974"/>
      <c r="UAM80" s="974"/>
      <c r="UAN80" s="974"/>
      <c r="UAO80" s="974"/>
      <c r="UAP80" s="974"/>
      <c r="UAQ80" s="974"/>
      <c r="UAR80" s="974"/>
      <c r="UAS80" s="974"/>
      <c r="UAT80" s="974"/>
      <c r="UAU80" s="974"/>
      <c r="UAV80" s="974"/>
      <c r="UAW80" s="974"/>
      <c r="UAX80" s="974"/>
      <c r="UAY80" s="974"/>
      <c r="UAZ80" s="974"/>
      <c r="UBA80" s="974"/>
      <c r="UBB80" s="974"/>
      <c r="UBC80" s="974"/>
      <c r="UBD80" s="974"/>
      <c r="UBE80" s="974"/>
      <c r="UBF80" s="974"/>
      <c r="UBG80" s="974"/>
      <c r="UBH80" s="974"/>
      <c r="UBI80" s="974"/>
      <c r="UBJ80" s="974"/>
      <c r="UBK80" s="974"/>
      <c r="UBL80" s="974"/>
      <c r="UBM80" s="974"/>
      <c r="UBN80" s="974"/>
      <c r="UBO80" s="974"/>
      <c r="UBP80" s="974"/>
      <c r="UBQ80" s="974"/>
      <c r="UBR80" s="974"/>
      <c r="UBS80" s="974"/>
      <c r="UBT80" s="974"/>
      <c r="UBU80" s="974"/>
      <c r="UBV80" s="974"/>
      <c r="UBW80" s="974"/>
      <c r="UBX80" s="974"/>
      <c r="UBY80" s="974"/>
      <c r="UBZ80" s="974"/>
      <c r="UCA80" s="974"/>
      <c r="UCB80" s="974"/>
      <c r="UCC80" s="974"/>
      <c r="UCD80" s="974"/>
      <c r="UCE80" s="974"/>
      <c r="UCF80" s="974"/>
      <c r="UCG80" s="974"/>
      <c r="UCH80" s="974"/>
      <c r="UCI80" s="974"/>
      <c r="UCJ80" s="974"/>
      <c r="UCK80" s="974"/>
      <c r="UCL80" s="974"/>
      <c r="UCM80" s="974"/>
      <c r="UCN80" s="974"/>
      <c r="UCO80" s="974"/>
      <c r="UCP80" s="974"/>
      <c r="UCQ80" s="974"/>
      <c r="UCR80" s="974"/>
      <c r="UCS80" s="974"/>
      <c r="UCT80" s="974"/>
      <c r="UCU80" s="974"/>
      <c r="UCV80" s="974"/>
      <c r="UCW80" s="974"/>
      <c r="UCX80" s="974"/>
      <c r="UCY80" s="974"/>
      <c r="UCZ80" s="974"/>
      <c r="UDA80" s="974"/>
      <c r="UDB80" s="974"/>
      <c r="UDC80" s="974"/>
      <c r="UDD80" s="974"/>
      <c r="UDE80" s="974"/>
      <c r="UDF80" s="974"/>
      <c r="UDG80" s="974"/>
      <c r="UDH80" s="974"/>
      <c r="UDI80" s="974"/>
      <c r="UDJ80" s="974"/>
      <c r="UDK80" s="974"/>
      <c r="UDL80" s="974"/>
      <c r="UDM80" s="974"/>
      <c r="UDN80" s="974"/>
      <c r="UDO80" s="974"/>
      <c r="UDP80" s="974"/>
      <c r="UDQ80" s="974"/>
      <c r="UDR80" s="974"/>
      <c r="UDS80" s="974"/>
      <c r="UDT80" s="974"/>
      <c r="UDU80" s="974"/>
      <c r="UDV80" s="974"/>
      <c r="UDW80" s="974"/>
      <c r="UDX80" s="974"/>
      <c r="UDY80" s="974"/>
      <c r="UDZ80" s="974"/>
      <c r="UEA80" s="974"/>
      <c r="UEB80" s="974"/>
      <c r="UEC80" s="974"/>
      <c r="UED80" s="974"/>
      <c r="UEE80" s="974"/>
      <c r="UEF80" s="974"/>
      <c r="UEG80" s="974"/>
      <c r="UEH80" s="974"/>
      <c r="UEI80" s="974"/>
      <c r="UEJ80" s="974"/>
      <c r="UEK80" s="974"/>
      <c r="UEL80" s="974"/>
      <c r="UEM80" s="974"/>
      <c r="UEN80" s="974"/>
      <c r="UEO80" s="974"/>
      <c r="UEP80" s="974"/>
      <c r="UEQ80" s="974"/>
      <c r="UER80" s="974"/>
      <c r="UES80" s="974"/>
      <c r="UET80" s="974"/>
      <c r="UEU80" s="974"/>
      <c r="UEV80" s="974"/>
      <c r="UEW80" s="974"/>
      <c r="UEX80" s="974"/>
      <c r="UEY80" s="974"/>
      <c r="UEZ80" s="974"/>
      <c r="UFA80" s="974"/>
      <c r="UFB80" s="974"/>
      <c r="UFC80" s="974"/>
      <c r="UFD80" s="974"/>
      <c r="UFE80" s="974"/>
      <c r="UFF80" s="974"/>
      <c r="UFG80" s="974"/>
      <c r="UFH80" s="974"/>
      <c r="UFI80" s="974"/>
      <c r="UFJ80" s="974"/>
      <c r="UFK80" s="974"/>
      <c r="UFL80" s="974"/>
      <c r="UFM80" s="974"/>
      <c r="UFN80" s="974"/>
      <c r="UFO80" s="974"/>
      <c r="UFP80" s="974"/>
      <c r="UFQ80" s="974"/>
      <c r="UFR80" s="974"/>
      <c r="UFS80" s="974"/>
      <c r="UFT80" s="974"/>
      <c r="UFU80" s="974"/>
      <c r="UFV80" s="974"/>
      <c r="UFW80" s="974"/>
      <c r="UFX80" s="974"/>
      <c r="UFY80" s="974"/>
      <c r="UFZ80" s="974"/>
      <c r="UGA80" s="974"/>
      <c r="UGB80" s="974"/>
      <c r="UGC80" s="974"/>
      <c r="UGD80" s="974"/>
      <c r="UGE80" s="974"/>
      <c r="UGF80" s="974"/>
      <c r="UGG80" s="974"/>
      <c r="UGH80" s="974"/>
      <c r="UGI80" s="974"/>
      <c r="UGJ80" s="974"/>
      <c r="UGK80" s="974"/>
      <c r="UGL80" s="974"/>
      <c r="UGM80" s="974"/>
      <c r="UGN80" s="974"/>
      <c r="UGO80" s="974"/>
      <c r="UGP80" s="974"/>
      <c r="UGQ80" s="974"/>
      <c r="UGR80" s="974"/>
      <c r="UGS80" s="974"/>
      <c r="UGT80" s="974"/>
      <c r="UGU80" s="974"/>
      <c r="UGV80" s="974"/>
      <c r="UGW80" s="974"/>
      <c r="UGX80" s="974"/>
      <c r="UGY80" s="974"/>
      <c r="UGZ80" s="974"/>
      <c r="UHA80" s="974"/>
      <c r="UHB80" s="974"/>
      <c r="UHC80" s="974"/>
      <c r="UHD80" s="974"/>
      <c r="UHE80" s="974"/>
      <c r="UHF80" s="974"/>
      <c r="UHG80" s="974"/>
      <c r="UHH80" s="974"/>
      <c r="UHI80" s="974"/>
      <c r="UHJ80" s="974"/>
      <c r="UHK80" s="974"/>
      <c r="UHL80" s="974"/>
      <c r="UHM80" s="974"/>
      <c r="UHN80" s="974"/>
      <c r="UHO80" s="974"/>
      <c r="UHP80" s="974"/>
      <c r="UHQ80" s="974"/>
      <c r="UHR80" s="974"/>
      <c r="UHS80" s="974"/>
      <c r="UHT80" s="974"/>
      <c r="UHU80" s="974"/>
      <c r="UHV80" s="974"/>
      <c r="UHW80" s="974"/>
      <c r="UHX80" s="974"/>
      <c r="UHY80" s="974"/>
      <c r="UHZ80" s="974"/>
      <c r="UIA80" s="974"/>
      <c r="UIB80" s="974"/>
      <c r="UIC80" s="974"/>
      <c r="UID80" s="974"/>
      <c r="UIE80" s="974"/>
      <c r="UIF80" s="974"/>
      <c r="UIG80" s="974"/>
      <c r="UIH80" s="974"/>
      <c r="UII80" s="974"/>
      <c r="UIJ80" s="974"/>
      <c r="UIK80" s="974"/>
      <c r="UIL80" s="974"/>
      <c r="UIM80" s="974"/>
      <c r="UIN80" s="974"/>
      <c r="UIO80" s="974"/>
      <c r="UIP80" s="974"/>
      <c r="UIQ80" s="974"/>
      <c r="UIR80" s="974"/>
      <c r="UIS80" s="974"/>
      <c r="UIT80" s="974"/>
      <c r="UIU80" s="974"/>
      <c r="UIV80" s="974"/>
      <c r="UIW80" s="974"/>
      <c r="UIX80" s="974"/>
      <c r="UIY80" s="974"/>
      <c r="UIZ80" s="974"/>
      <c r="UJA80" s="974"/>
      <c r="UJB80" s="974"/>
      <c r="UJC80" s="974"/>
      <c r="UJD80" s="974"/>
      <c r="UJE80" s="974"/>
      <c r="UJF80" s="974"/>
      <c r="UJG80" s="974"/>
      <c r="UJH80" s="974"/>
      <c r="UJI80" s="974"/>
      <c r="UJJ80" s="974"/>
      <c r="UJK80" s="974"/>
      <c r="UJL80" s="974"/>
      <c r="UJM80" s="974"/>
      <c r="UJN80" s="974"/>
      <c r="UJO80" s="974"/>
      <c r="UJP80" s="974"/>
      <c r="UJQ80" s="974"/>
      <c r="UJR80" s="974"/>
      <c r="UJS80" s="974"/>
      <c r="UJT80" s="974"/>
      <c r="UJU80" s="974"/>
      <c r="UJV80" s="974"/>
      <c r="UJW80" s="974"/>
      <c r="UJX80" s="974"/>
      <c r="UJY80" s="974"/>
      <c r="UJZ80" s="974"/>
      <c r="UKA80" s="974"/>
      <c r="UKB80" s="974"/>
      <c r="UKC80" s="974"/>
      <c r="UKD80" s="974"/>
      <c r="UKE80" s="974"/>
      <c r="UKF80" s="974"/>
      <c r="UKG80" s="974"/>
      <c r="UKH80" s="974"/>
      <c r="UKI80" s="974"/>
      <c r="UKJ80" s="974"/>
      <c r="UKK80" s="974"/>
      <c r="UKL80" s="974"/>
      <c r="UKM80" s="974"/>
      <c r="UKN80" s="974"/>
      <c r="UKO80" s="974"/>
      <c r="UKP80" s="974"/>
      <c r="UKQ80" s="974"/>
      <c r="UKR80" s="974"/>
      <c r="UKS80" s="974"/>
      <c r="UKT80" s="974"/>
      <c r="UKU80" s="974"/>
      <c r="UKV80" s="974"/>
      <c r="UKW80" s="974"/>
      <c r="UKX80" s="974"/>
      <c r="UKY80" s="974"/>
      <c r="UKZ80" s="974"/>
      <c r="ULA80" s="974"/>
      <c r="ULB80" s="974"/>
      <c r="ULC80" s="974"/>
      <c r="ULD80" s="974"/>
      <c r="ULE80" s="974"/>
      <c r="ULF80" s="974"/>
      <c r="ULG80" s="974"/>
      <c r="ULH80" s="974"/>
      <c r="ULI80" s="974"/>
      <c r="ULJ80" s="974"/>
      <c r="ULK80" s="974"/>
      <c r="ULL80" s="974"/>
      <c r="ULM80" s="974"/>
      <c r="ULN80" s="974"/>
      <c r="ULO80" s="974"/>
      <c r="ULP80" s="974"/>
      <c r="ULQ80" s="974"/>
      <c r="ULR80" s="974"/>
      <c r="ULS80" s="974"/>
      <c r="ULT80" s="974"/>
      <c r="ULU80" s="974"/>
      <c r="ULV80" s="974"/>
      <c r="ULW80" s="974"/>
      <c r="ULX80" s="974"/>
      <c r="ULY80" s="974"/>
      <c r="ULZ80" s="974"/>
      <c r="UMA80" s="974"/>
      <c r="UMB80" s="974"/>
      <c r="UMC80" s="974"/>
      <c r="UMD80" s="974"/>
      <c r="UME80" s="974"/>
      <c r="UMF80" s="974"/>
      <c r="UMG80" s="974"/>
      <c r="UMH80" s="974"/>
      <c r="UMI80" s="974"/>
      <c r="UMJ80" s="974"/>
      <c r="UMK80" s="974"/>
      <c r="UML80" s="974"/>
      <c r="UMM80" s="974"/>
      <c r="UMN80" s="974"/>
      <c r="UMO80" s="974"/>
      <c r="UMP80" s="974"/>
      <c r="UMQ80" s="974"/>
      <c r="UMR80" s="974"/>
      <c r="UMS80" s="974"/>
      <c r="UMT80" s="974"/>
      <c r="UMU80" s="974"/>
      <c r="UMV80" s="974"/>
      <c r="UMW80" s="974"/>
      <c r="UMX80" s="974"/>
      <c r="UMY80" s="974"/>
      <c r="UMZ80" s="974"/>
      <c r="UNA80" s="974"/>
      <c r="UNB80" s="974"/>
      <c r="UNC80" s="974"/>
      <c r="UND80" s="974"/>
      <c r="UNE80" s="974"/>
      <c r="UNF80" s="974"/>
      <c r="UNG80" s="974"/>
      <c r="UNH80" s="974"/>
      <c r="UNI80" s="974"/>
      <c r="UNJ80" s="974"/>
      <c r="UNK80" s="974"/>
      <c r="UNL80" s="974"/>
      <c r="UNM80" s="974"/>
      <c r="UNN80" s="974"/>
      <c r="UNO80" s="974"/>
      <c r="UNP80" s="974"/>
      <c r="UNQ80" s="974"/>
      <c r="UNR80" s="974"/>
      <c r="UNS80" s="974"/>
      <c r="UNT80" s="974"/>
      <c r="UNU80" s="974"/>
      <c r="UNV80" s="974"/>
      <c r="UNW80" s="974"/>
      <c r="UNX80" s="974"/>
      <c r="UNY80" s="974"/>
      <c r="UNZ80" s="974"/>
      <c r="UOA80" s="974"/>
      <c r="UOB80" s="974"/>
      <c r="UOC80" s="974"/>
      <c r="UOD80" s="974"/>
      <c r="UOE80" s="974"/>
      <c r="UOF80" s="974"/>
      <c r="UOG80" s="974"/>
      <c r="UOH80" s="974"/>
      <c r="UOI80" s="974"/>
      <c r="UOJ80" s="974"/>
      <c r="UOK80" s="974"/>
      <c r="UOL80" s="974"/>
      <c r="UOM80" s="974"/>
      <c r="UON80" s="974"/>
      <c r="UOO80" s="974"/>
      <c r="UOP80" s="974"/>
      <c r="UOQ80" s="974"/>
      <c r="UOR80" s="974"/>
      <c r="UOS80" s="974"/>
      <c r="UOT80" s="974"/>
      <c r="UOU80" s="974"/>
      <c r="UOV80" s="974"/>
      <c r="UOW80" s="974"/>
      <c r="UOX80" s="974"/>
      <c r="UOY80" s="974"/>
      <c r="UOZ80" s="974"/>
      <c r="UPA80" s="974"/>
      <c r="UPB80" s="974"/>
      <c r="UPC80" s="974"/>
      <c r="UPD80" s="974"/>
      <c r="UPE80" s="974"/>
      <c r="UPF80" s="974"/>
      <c r="UPG80" s="974"/>
      <c r="UPH80" s="974"/>
      <c r="UPI80" s="974"/>
      <c r="UPJ80" s="974"/>
      <c r="UPK80" s="974"/>
      <c r="UPL80" s="974"/>
      <c r="UPM80" s="974"/>
      <c r="UPN80" s="974"/>
      <c r="UPO80" s="974"/>
      <c r="UPP80" s="974"/>
      <c r="UPQ80" s="974"/>
      <c r="UPR80" s="974"/>
      <c r="UPS80" s="974"/>
      <c r="UPT80" s="974"/>
      <c r="UPU80" s="974"/>
      <c r="UPV80" s="974"/>
      <c r="UPW80" s="974"/>
      <c r="UPX80" s="974"/>
      <c r="UPY80" s="974"/>
      <c r="UPZ80" s="974"/>
      <c r="UQA80" s="974"/>
      <c r="UQB80" s="974"/>
      <c r="UQC80" s="974"/>
      <c r="UQD80" s="974"/>
      <c r="UQE80" s="974"/>
      <c r="UQF80" s="974"/>
      <c r="UQG80" s="974"/>
      <c r="UQH80" s="974"/>
      <c r="UQI80" s="974"/>
      <c r="UQJ80" s="974"/>
      <c r="UQK80" s="974"/>
      <c r="UQL80" s="974"/>
      <c r="UQM80" s="974"/>
      <c r="UQN80" s="974"/>
      <c r="UQO80" s="974"/>
      <c r="UQP80" s="974"/>
      <c r="UQQ80" s="974"/>
      <c r="UQR80" s="974"/>
      <c r="UQS80" s="974"/>
      <c r="UQT80" s="974"/>
      <c r="UQU80" s="974"/>
      <c r="UQV80" s="974"/>
      <c r="UQW80" s="974"/>
      <c r="UQX80" s="974"/>
      <c r="UQY80" s="974"/>
      <c r="UQZ80" s="974"/>
      <c r="URA80" s="974"/>
      <c r="URB80" s="974"/>
      <c r="URC80" s="974"/>
      <c r="URD80" s="974"/>
      <c r="URE80" s="974"/>
      <c r="URF80" s="974"/>
      <c r="URG80" s="974"/>
      <c r="URH80" s="974"/>
      <c r="URI80" s="974"/>
      <c r="URJ80" s="974"/>
      <c r="URK80" s="974"/>
      <c r="URL80" s="974"/>
      <c r="URM80" s="974"/>
      <c r="URN80" s="974"/>
      <c r="URO80" s="974"/>
      <c r="URP80" s="974"/>
      <c r="URQ80" s="974"/>
      <c r="URR80" s="974"/>
      <c r="URS80" s="974"/>
      <c r="URT80" s="974"/>
      <c r="URU80" s="974"/>
      <c r="URV80" s="974"/>
      <c r="URW80" s="974"/>
      <c r="URX80" s="974"/>
      <c r="URY80" s="974"/>
      <c r="URZ80" s="974"/>
      <c r="USA80" s="974"/>
      <c r="USB80" s="974"/>
      <c r="USC80" s="974"/>
      <c r="USD80" s="974"/>
      <c r="USE80" s="974"/>
      <c r="USF80" s="974"/>
      <c r="USG80" s="974"/>
      <c r="USH80" s="974"/>
      <c r="USI80" s="974"/>
      <c r="USJ80" s="974"/>
      <c r="USK80" s="974"/>
      <c r="USL80" s="974"/>
      <c r="USM80" s="974"/>
      <c r="USN80" s="974"/>
      <c r="USO80" s="974"/>
      <c r="USP80" s="974"/>
      <c r="USQ80" s="974"/>
      <c r="USR80" s="974"/>
      <c r="USS80" s="974"/>
      <c r="UST80" s="974"/>
      <c r="USU80" s="974"/>
      <c r="USV80" s="974"/>
      <c r="USW80" s="974"/>
      <c r="USX80" s="974"/>
      <c r="USY80" s="974"/>
      <c r="USZ80" s="974"/>
      <c r="UTA80" s="974"/>
      <c r="UTB80" s="974"/>
      <c r="UTC80" s="974"/>
      <c r="UTD80" s="974"/>
      <c r="UTE80" s="974"/>
      <c r="UTF80" s="974"/>
      <c r="UTG80" s="974"/>
      <c r="UTH80" s="974"/>
      <c r="UTI80" s="974"/>
      <c r="UTJ80" s="974"/>
      <c r="UTK80" s="974"/>
      <c r="UTL80" s="974"/>
      <c r="UTM80" s="974"/>
      <c r="UTN80" s="974"/>
      <c r="UTO80" s="974"/>
      <c r="UTP80" s="974"/>
      <c r="UTQ80" s="974"/>
      <c r="UTR80" s="974"/>
      <c r="UTS80" s="974"/>
      <c r="UTT80" s="974"/>
      <c r="UTU80" s="974"/>
      <c r="UTV80" s="974"/>
      <c r="UTW80" s="974"/>
      <c r="UTX80" s="974"/>
      <c r="UTY80" s="974"/>
      <c r="UTZ80" s="974"/>
      <c r="UUA80" s="974"/>
      <c r="UUB80" s="974"/>
      <c r="UUC80" s="974"/>
      <c r="UUD80" s="974"/>
      <c r="UUE80" s="974"/>
      <c r="UUF80" s="974"/>
      <c r="UUG80" s="974"/>
      <c r="UUH80" s="974"/>
      <c r="UUI80" s="974"/>
      <c r="UUJ80" s="974"/>
      <c r="UUK80" s="974"/>
      <c r="UUL80" s="974"/>
      <c r="UUM80" s="974"/>
      <c r="UUN80" s="974"/>
      <c r="UUO80" s="974"/>
      <c r="UUP80" s="974"/>
      <c r="UUQ80" s="974"/>
      <c r="UUR80" s="974"/>
      <c r="UUS80" s="974"/>
      <c r="UUT80" s="974"/>
      <c r="UUU80" s="974"/>
      <c r="UUV80" s="974"/>
      <c r="UUW80" s="974"/>
      <c r="UUX80" s="974"/>
      <c r="UUY80" s="974"/>
      <c r="UUZ80" s="974"/>
      <c r="UVA80" s="974"/>
      <c r="UVB80" s="974"/>
      <c r="UVC80" s="974"/>
      <c r="UVD80" s="974"/>
      <c r="UVE80" s="974"/>
      <c r="UVF80" s="974"/>
      <c r="UVG80" s="974"/>
      <c r="UVH80" s="974"/>
      <c r="UVI80" s="974"/>
      <c r="UVJ80" s="974"/>
      <c r="UVK80" s="974"/>
      <c r="UVL80" s="974"/>
      <c r="UVM80" s="974"/>
      <c r="UVN80" s="974"/>
      <c r="UVO80" s="974"/>
      <c r="UVP80" s="974"/>
      <c r="UVQ80" s="974"/>
      <c r="UVR80" s="974"/>
      <c r="UVS80" s="974"/>
      <c r="UVT80" s="974"/>
      <c r="UVU80" s="974"/>
      <c r="UVV80" s="974"/>
      <c r="UVW80" s="974"/>
      <c r="UVX80" s="974"/>
      <c r="UVY80" s="974"/>
      <c r="UVZ80" s="974"/>
      <c r="UWA80" s="974"/>
      <c r="UWB80" s="974"/>
      <c r="UWC80" s="974"/>
      <c r="UWD80" s="974"/>
      <c r="UWE80" s="974"/>
      <c r="UWF80" s="974"/>
      <c r="UWG80" s="974"/>
      <c r="UWH80" s="974"/>
      <c r="UWI80" s="974"/>
      <c r="UWJ80" s="974"/>
      <c r="UWK80" s="974"/>
      <c r="UWL80" s="974"/>
      <c r="UWM80" s="974"/>
      <c r="UWN80" s="974"/>
      <c r="UWO80" s="974"/>
      <c r="UWP80" s="974"/>
      <c r="UWQ80" s="974"/>
      <c r="UWR80" s="974"/>
      <c r="UWS80" s="974"/>
      <c r="UWT80" s="974"/>
      <c r="UWU80" s="974"/>
      <c r="UWV80" s="974"/>
      <c r="UWW80" s="974"/>
      <c r="UWX80" s="974"/>
      <c r="UWY80" s="974"/>
      <c r="UWZ80" s="974"/>
      <c r="UXA80" s="974"/>
      <c r="UXB80" s="974"/>
      <c r="UXC80" s="974"/>
      <c r="UXD80" s="974"/>
      <c r="UXE80" s="974"/>
      <c r="UXF80" s="974"/>
      <c r="UXG80" s="974"/>
      <c r="UXH80" s="974"/>
      <c r="UXI80" s="974"/>
      <c r="UXJ80" s="974"/>
      <c r="UXK80" s="974"/>
      <c r="UXL80" s="974"/>
      <c r="UXM80" s="974"/>
      <c r="UXN80" s="974"/>
      <c r="UXO80" s="974"/>
      <c r="UXP80" s="974"/>
      <c r="UXQ80" s="974"/>
      <c r="UXR80" s="974"/>
      <c r="UXS80" s="974"/>
      <c r="UXT80" s="974"/>
      <c r="UXU80" s="974"/>
      <c r="UXV80" s="974"/>
      <c r="UXW80" s="974"/>
      <c r="UXX80" s="974"/>
      <c r="UXY80" s="974"/>
      <c r="UXZ80" s="974"/>
      <c r="UYA80" s="974"/>
      <c r="UYB80" s="974"/>
      <c r="UYC80" s="974"/>
      <c r="UYD80" s="974"/>
      <c r="UYE80" s="974"/>
      <c r="UYF80" s="974"/>
      <c r="UYG80" s="974"/>
      <c r="UYH80" s="974"/>
      <c r="UYI80" s="974"/>
      <c r="UYJ80" s="974"/>
      <c r="UYK80" s="974"/>
      <c r="UYL80" s="974"/>
      <c r="UYM80" s="974"/>
      <c r="UYN80" s="974"/>
      <c r="UYO80" s="974"/>
      <c r="UYP80" s="974"/>
      <c r="UYQ80" s="974"/>
      <c r="UYR80" s="974"/>
      <c r="UYS80" s="974"/>
      <c r="UYT80" s="974"/>
      <c r="UYU80" s="974"/>
      <c r="UYV80" s="974"/>
      <c r="UYW80" s="974"/>
      <c r="UYX80" s="974"/>
      <c r="UYY80" s="974"/>
      <c r="UYZ80" s="974"/>
      <c r="UZA80" s="974"/>
      <c r="UZB80" s="974"/>
      <c r="UZC80" s="974"/>
      <c r="UZD80" s="974"/>
      <c r="UZE80" s="974"/>
      <c r="UZF80" s="974"/>
      <c r="UZG80" s="974"/>
      <c r="UZH80" s="974"/>
      <c r="UZI80" s="974"/>
      <c r="UZJ80" s="974"/>
      <c r="UZK80" s="974"/>
      <c r="UZL80" s="974"/>
      <c r="UZM80" s="974"/>
      <c r="UZN80" s="974"/>
      <c r="UZO80" s="974"/>
      <c r="UZP80" s="974"/>
      <c r="UZQ80" s="974"/>
      <c r="UZR80" s="974"/>
      <c r="UZS80" s="974"/>
      <c r="UZT80" s="974"/>
      <c r="UZU80" s="974"/>
      <c r="UZV80" s="974"/>
      <c r="UZW80" s="974"/>
      <c r="UZX80" s="974"/>
      <c r="UZY80" s="974"/>
      <c r="UZZ80" s="974"/>
      <c r="VAA80" s="974"/>
      <c r="VAB80" s="974"/>
      <c r="VAC80" s="974"/>
      <c r="VAD80" s="974"/>
      <c r="VAE80" s="974"/>
      <c r="VAF80" s="974"/>
      <c r="VAG80" s="974"/>
      <c r="VAH80" s="974"/>
      <c r="VAI80" s="974"/>
      <c r="VAJ80" s="974"/>
      <c r="VAK80" s="974"/>
      <c r="VAL80" s="974"/>
      <c r="VAM80" s="974"/>
      <c r="VAN80" s="974"/>
      <c r="VAO80" s="974"/>
      <c r="VAP80" s="974"/>
      <c r="VAQ80" s="974"/>
      <c r="VAR80" s="974"/>
      <c r="VAS80" s="974"/>
      <c r="VAT80" s="974"/>
      <c r="VAU80" s="974"/>
      <c r="VAV80" s="974"/>
      <c r="VAW80" s="974"/>
      <c r="VAX80" s="974"/>
      <c r="VAY80" s="974"/>
      <c r="VAZ80" s="974"/>
      <c r="VBA80" s="974"/>
      <c r="VBB80" s="974"/>
      <c r="VBC80" s="974"/>
      <c r="VBD80" s="974"/>
      <c r="VBE80" s="974"/>
      <c r="VBF80" s="974"/>
      <c r="VBG80" s="974"/>
      <c r="VBH80" s="974"/>
      <c r="VBI80" s="974"/>
      <c r="VBJ80" s="974"/>
      <c r="VBK80" s="974"/>
      <c r="VBL80" s="974"/>
      <c r="VBM80" s="974"/>
      <c r="VBN80" s="974"/>
      <c r="VBO80" s="974"/>
      <c r="VBP80" s="974"/>
      <c r="VBQ80" s="974"/>
      <c r="VBR80" s="974"/>
      <c r="VBS80" s="974"/>
      <c r="VBT80" s="974"/>
      <c r="VBU80" s="974"/>
      <c r="VBV80" s="974"/>
      <c r="VBW80" s="974"/>
      <c r="VBX80" s="974"/>
      <c r="VBY80" s="974"/>
      <c r="VBZ80" s="974"/>
      <c r="VCA80" s="974"/>
      <c r="VCB80" s="974"/>
      <c r="VCC80" s="974"/>
      <c r="VCD80" s="974"/>
      <c r="VCE80" s="974"/>
      <c r="VCF80" s="974"/>
      <c r="VCG80" s="974"/>
      <c r="VCH80" s="974"/>
      <c r="VCI80" s="974"/>
      <c r="VCJ80" s="974"/>
      <c r="VCK80" s="974"/>
      <c r="VCL80" s="974"/>
      <c r="VCM80" s="974"/>
      <c r="VCN80" s="974"/>
      <c r="VCO80" s="974"/>
      <c r="VCP80" s="974"/>
      <c r="VCQ80" s="974"/>
      <c r="VCR80" s="974"/>
      <c r="VCS80" s="974"/>
      <c r="VCT80" s="974"/>
      <c r="VCU80" s="974"/>
      <c r="VCV80" s="974"/>
      <c r="VCW80" s="974"/>
      <c r="VCX80" s="974"/>
      <c r="VCY80" s="974"/>
      <c r="VCZ80" s="974"/>
      <c r="VDA80" s="974"/>
      <c r="VDB80" s="974"/>
      <c r="VDC80" s="974"/>
      <c r="VDD80" s="974"/>
      <c r="VDE80" s="974"/>
      <c r="VDF80" s="974"/>
      <c r="VDG80" s="974"/>
      <c r="VDH80" s="974"/>
      <c r="VDI80" s="974"/>
      <c r="VDJ80" s="974"/>
      <c r="VDK80" s="974"/>
      <c r="VDL80" s="974"/>
      <c r="VDM80" s="974"/>
      <c r="VDN80" s="974"/>
      <c r="VDO80" s="974"/>
      <c r="VDP80" s="974"/>
      <c r="VDQ80" s="974"/>
      <c r="VDR80" s="974"/>
      <c r="VDS80" s="974"/>
      <c r="VDT80" s="974"/>
      <c r="VDU80" s="974"/>
      <c r="VDV80" s="974"/>
      <c r="VDW80" s="974"/>
      <c r="VDX80" s="974"/>
      <c r="VDY80" s="974"/>
      <c r="VDZ80" s="974"/>
      <c r="VEA80" s="974"/>
      <c r="VEB80" s="974"/>
      <c r="VEC80" s="974"/>
      <c r="VED80" s="974"/>
      <c r="VEE80" s="974"/>
      <c r="VEF80" s="974"/>
      <c r="VEG80" s="974"/>
      <c r="VEH80" s="974"/>
      <c r="VEI80" s="974"/>
      <c r="VEJ80" s="974"/>
      <c r="VEK80" s="974"/>
      <c r="VEL80" s="974"/>
      <c r="VEM80" s="974"/>
      <c r="VEN80" s="974"/>
      <c r="VEO80" s="974"/>
      <c r="VEP80" s="974"/>
      <c r="VEQ80" s="974"/>
      <c r="VER80" s="974"/>
      <c r="VES80" s="974"/>
      <c r="VET80" s="974"/>
      <c r="VEU80" s="974"/>
      <c r="VEV80" s="974"/>
      <c r="VEW80" s="974"/>
      <c r="VEX80" s="974"/>
      <c r="VEY80" s="974"/>
      <c r="VEZ80" s="974"/>
      <c r="VFA80" s="974"/>
      <c r="VFB80" s="974"/>
      <c r="VFC80" s="974"/>
      <c r="VFD80" s="974"/>
      <c r="VFE80" s="974"/>
      <c r="VFF80" s="974"/>
      <c r="VFG80" s="974"/>
      <c r="VFH80" s="974"/>
      <c r="VFI80" s="974"/>
      <c r="VFJ80" s="974"/>
      <c r="VFK80" s="974"/>
      <c r="VFL80" s="974"/>
      <c r="VFM80" s="974"/>
      <c r="VFN80" s="974"/>
      <c r="VFO80" s="974"/>
      <c r="VFP80" s="974"/>
      <c r="VFQ80" s="974"/>
      <c r="VFR80" s="974"/>
      <c r="VFS80" s="974"/>
      <c r="VFT80" s="974"/>
      <c r="VFU80" s="974"/>
      <c r="VFV80" s="974"/>
      <c r="VFW80" s="974"/>
      <c r="VFX80" s="974"/>
      <c r="VFY80" s="974"/>
      <c r="VFZ80" s="974"/>
      <c r="VGA80" s="974"/>
      <c r="VGB80" s="974"/>
      <c r="VGC80" s="974"/>
      <c r="VGD80" s="974"/>
      <c r="VGE80" s="974"/>
      <c r="VGF80" s="974"/>
      <c r="VGG80" s="974"/>
      <c r="VGH80" s="974"/>
      <c r="VGI80" s="974"/>
      <c r="VGJ80" s="974"/>
      <c r="VGK80" s="974"/>
      <c r="VGL80" s="974"/>
      <c r="VGM80" s="974"/>
      <c r="VGN80" s="974"/>
      <c r="VGO80" s="974"/>
      <c r="VGP80" s="974"/>
      <c r="VGQ80" s="974"/>
      <c r="VGR80" s="974"/>
      <c r="VGS80" s="974"/>
      <c r="VGT80" s="974"/>
      <c r="VGU80" s="974"/>
      <c r="VGV80" s="974"/>
      <c r="VGW80" s="974"/>
      <c r="VGX80" s="974"/>
      <c r="VGY80" s="974"/>
      <c r="VGZ80" s="974"/>
      <c r="VHA80" s="974"/>
      <c r="VHB80" s="974"/>
      <c r="VHC80" s="974"/>
      <c r="VHD80" s="974"/>
      <c r="VHE80" s="974"/>
      <c r="VHF80" s="974"/>
      <c r="VHG80" s="974"/>
      <c r="VHH80" s="974"/>
      <c r="VHI80" s="974"/>
      <c r="VHJ80" s="974"/>
      <c r="VHK80" s="974"/>
      <c r="VHL80" s="974"/>
      <c r="VHM80" s="974"/>
      <c r="VHN80" s="974"/>
      <c r="VHO80" s="974"/>
      <c r="VHP80" s="974"/>
      <c r="VHQ80" s="974"/>
      <c r="VHR80" s="974"/>
      <c r="VHS80" s="974"/>
      <c r="VHT80" s="974"/>
      <c r="VHU80" s="974"/>
      <c r="VHV80" s="974"/>
      <c r="VHW80" s="974"/>
      <c r="VHX80" s="974"/>
      <c r="VHY80" s="974"/>
      <c r="VHZ80" s="974"/>
      <c r="VIA80" s="974"/>
      <c r="VIB80" s="974"/>
      <c r="VIC80" s="974"/>
      <c r="VID80" s="974"/>
      <c r="VIE80" s="974"/>
      <c r="VIF80" s="974"/>
      <c r="VIG80" s="974"/>
      <c r="VIH80" s="974"/>
      <c r="VII80" s="974"/>
      <c r="VIJ80" s="974"/>
      <c r="VIK80" s="974"/>
      <c r="VIL80" s="974"/>
      <c r="VIM80" s="974"/>
      <c r="VIN80" s="974"/>
      <c r="VIO80" s="974"/>
      <c r="VIP80" s="974"/>
      <c r="VIQ80" s="974"/>
      <c r="VIR80" s="974"/>
      <c r="VIS80" s="974"/>
      <c r="VIT80" s="974"/>
      <c r="VIU80" s="974"/>
      <c r="VIV80" s="974"/>
      <c r="VIW80" s="974"/>
      <c r="VIX80" s="974"/>
      <c r="VIY80" s="974"/>
      <c r="VIZ80" s="974"/>
      <c r="VJA80" s="974"/>
      <c r="VJB80" s="974"/>
      <c r="VJC80" s="974"/>
      <c r="VJD80" s="974"/>
      <c r="VJE80" s="974"/>
      <c r="VJF80" s="974"/>
      <c r="VJG80" s="974"/>
      <c r="VJH80" s="974"/>
      <c r="VJI80" s="974"/>
      <c r="VJJ80" s="974"/>
      <c r="VJK80" s="974"/>
      <c r="VJL80" s="974"/>
      <c r="VJM80" s="974"/>
      <c r="VJN80" s="974"/>
      <c r="VJO80" s="974"/>
      <c r="VJP80" s="974"/>
      <c r="VJQ80" s="974"/>
      <c r="VJR80" s="974"/>
      <c r="VJS80" s="974"/>
      <c r="VJT80" s="974"/>
      <c r="VJU80" s="974"/>
      <c r="VJV80" s="974"/>
      <c r="VJW80" s="974"/>
      <c r="VJX80" s="974"/>
      <c r="VJY80" s="974"/>
      <c r="VJZ80" s="974"/>
      <c r="VKA80" s="974"/>
      <c r="VKB80" s="974"/>
      <c r="VKC80" s="974"/>
      <c r="VKD80" s="974"/>
      <c r="VKE80" s="974"/>
      <c r="VKF80" s="974"/>
      <c r="VKG80" s="974"/>
      <c r="VKH80" s="974"/>
      <c r="VKI80" s="974"/>
      <c r="VKJ80" s="974"/>
      <c r="VKK80" s="974"/>
      <c r="VKL80" s="974"/>
      <c r="VKM80" s="974"/>
      <c r="VKN80" s="974"/>
      <c r="VKO80" s="974"/>
      <c r="VKP80" s="974"/>
      <c r="VKQ80" s="974"/>
      <c r="VKR80" s="974"/>
      <c r="VKS80" s="974"/>
      <c r="VKT80" s="974"/>
      <c r="VKU80" s="974"/>
      <c r="VKV80" s="974"/>
      <c r="VKW80" s="974"/>
      <c r="VKX80" s="974"/>
      <c r="VKY80" s="974"/>
      <c r="VKZ80" s="974"/>
      <c r="VLA80" s="974"/>
      <c r="VLB80" s="974"/>
      <c r="VLC80" s="974"/>
      <c r="VLD80" s="974"/>
      <c r="VLE80" s="974"/>
      <c r="VLF80" s="974"/>
      <c r="VLG80" s="974"/>
      <c r="VLH80" s="974"/>
      <c r="VLI80" s="974"/>
      <c r="VLJ80" s="974"/>
      <c r="VLK80" s="974"/>
      <c r="VLL80" s="974"/>
      <c r="VLM80" s="974"/>
      <c r="VLN80" s="974"/>
      <c r="VLO80" s="974"/>
      <c r="VLP80" s="974"/>
      <c r="VLQ80" s="974"/>
      <c r="VLR80" s="974"/>
      <c r="VLS80" s="974"/>
      <c r="VLT80" s="974"/>
      <c r="VLU80" s="974"/>
      <c r="VLV80" s="974"/>
      <c r="VLW80" s="974"/>
      <c r="VLX80" s="974"/>
      <c r="VLY80" s="974"/>
      <c r="VLZ80" s="974"/>
      <c r="VMA80" s="974"/>
      <c r="VMB80" s="974"/>
      <c r="VMC80" s="974"/>
      <c r="VMD80" s="974"/>
      <c r="VME80" s="974"/>
      <c r="VMF80" s="974"/>
      <c r="VMG80" s="974"/>
      <c r="VMH80" s="974"/>
      <c r="VMI80" s="974"/>
      <c r="VMJ80" s="974"/>
      <c r="VMK80" s="974"/>
      <c r="VML80" s="974"/>
      <c r="VMM80" s="974"/>
      <c r="VMN80" s="974"/>
      <c r="VMO80" s="974"/>
      <c r="VMP80" s="974"/>
      <c r="VMQ80" s="974"/>
      <c r="VMR80" s="974"/>
      <c r="VMS80" s="974"/>
      <c r="VMT80" s="974"/>
      <c r="VMU80" s="974"/>
      <c r="VMV80" s="974"/>
      <c r="VMW80" s="974"/>
      <c r="VMX80" s="974"/>
      <c r="VMY80" s="974"/>
      <c r="VMZ80" s="974"/>
      <c r="VNA80" s="974"/>
      <c r="VNB80" s="974"/>
      <c r="VNC80" s="974"/>
      <c r="VND80" s="974"/>
      <c r="VNE80" s="974"/>
      <c r="VNF80" s="974"/>
      <c r="VNG80" s="974"/>
      <c r="VNH80" s="974"/>
      <c r="VNI80" s="974"/>
      <c r="VNJ80" s="974"/>
      <c r="VNK80" s="974"/>
      <c r="VNL80" s="974"/>
      <c r="VNM80" s="974"/>
      <c r="VNN80" s="974"/>
      <c r="VNO80" s="974"/>
      <c r="VNP80" s="974"/>
      <c r="VNQ80" s="974"/>
      <c r="VNR80" s="974"/>
      <c r="VNS80" s="974"/>
      <c r="VNT80" s="974"/>
      <c r="VNU80" s="974"/>
      <c r="VNV80" s="974"/>
      <c r="VNW80" s="974"/>
      <c r="VNX80" s="974"/>
      <c r="VNY80" s="974"/>
      <c r="VNZ80" s="974"/>
      <c r="VOA80" s="974"/>
      <c r="VOB80" s="974"/>
      <c r="VOC80" s="974"/>
      <c r="VOD80" s="974"/>
      <c r="VOE80" s="974"/>
      <c r="VOF80" s="974"/>
      <c r="VOG80" s="974"/>
      <c r="VOH80" s="974"/>
      <c r="VOI80" s="974"/>
      <c r="VOJ80" s="974"/>
      <c r="VOK80" s="974"/>
      <c r="VOL80" s="974"/>
      <c r="VOM80" s="974"/>
      <c r="VON80" s="974"/>
      <c r="VOO80" s="974"/>
      <c r="VOP80" s="974"/>
      <c r="VOQ80" s="974"/>
      <c r="VOR80" s="974"/>
      <c r="VOS80" s="974"/>
      <c r="VOT80" s="974"/>
      <c r="VOU80" s="974"/>
      <c r="VOV80" s="974"/>
      <c r="VOW80" s="974"/>
      <c r="VOX80" s="974"/>
      <c r="VOY80" s="974"/>
      <c r="VOZ80" s="974"/>
      <c r="VPA80" s="974"/>
      <c r="VPB80" s="974"/>
      <c r="VPC80" s="974"/>
      <c r="VPD80" s="974"/>
      <c r="VPE80" s="974"/>
      <c r="VPF80" s="974"/>
      <c r="VPG80" s="974"/>
      <c r="VPH80" s="974"/>
      <c r="VPI80" s="974"/>
      <c r="VPJ80" s="974"/>
      <c r="VPK80" s="974"/>
      <c r="VPL80" s="974"/>
      <c r="VPM80" s="974"/>
      <c r="VPN80" s="974"/>
      <c r="VPO80" s="974"/>
      <c r="VPP80" s="974"/>
      <c r="VPQ80" s="974"/>
      <c r="VPR80" s="974"/>
      <c r="VPS80" s="974"/>
      <c r="VPT80" s="974"/>
      <c r="VPU80" s="974"/>
      <c r="VPV80" s="974"/>
      <c r="VPW80" s="974"/>
      <c r="VPX80" s="974"/>
      <c r="VPY80" s="974"/>
      <c r="VPZ80" s="974"/>
      <c r="VQA80" s="974"/>
      <c r="VQB80" s="974"/>
      <c r="VQC80" s="974"/>
      <c r="VQD80" s="974"/>
      <c r="VQE80" s="974"/>
      <c r="VQF80" s="974"/>
      <c r="VQG80" s="974"/>
      <c r="VQH80" s="974"/>
      <c r="VQI80" s="974"/>
      <c r="VQJ80" s="974"/>
      <c r="VQK80" s="974"/>
      <c r="VQL80" s="974"/>
      <c r="VQM80" s="974"/>
      <c r="VQN80" s="974"/>
      <c r="VQO80" s="974"/>
      <c r="VQP80" s="974"/>
      <c r="VQQ80" s="974"/>
      <c r="VQR80" s="974"/>
      <c r="VQS80" s="974"/>
      <c r="VQT80" s="974"/>
      <c r="VQU80" s="974"/>
      <c r="VQV80" s="974"/>
      <c r="VQW80" s="974"/>
      <c r="VQX80" s="974"/>
      <c r="VQY80" s="974"/>
      <c r="VQZ80" s="974"/>
      <c r="VRA80" s="974"/>
      <c r="VRB80" s="974"/>
      <c r="VRC80" s="974"/>
      <c r="VRD80" s="974"/>
      <c r="VRE80" s="974"/>
      <c r="VRF80" s="974"/>
      <c r="VRG80" s="974"/>
      <c r="VRH80" s="974"/>
      <c r="VRI80" s="974"/>
      <c r="VRJ80" s="974"/>
      <c r="VRK80" s="974"/>
      <c r="VRL80" s="974"/>
      <c r="VRM80" s="974"/>
      <c r="VRN80" s="974"/>
      <c r="VRO80" s="974"/>
      <c r="VRP80" s="974"/>
      <c r="VRQ80" s="974"/>
      <c r="VRR80" s="974"/>
      <c r="VRS80" s="974"/>
      <c r="VRT80" s="974"/>
      <c r="VRU80" s="974"/>
      <c r="VRV80" s="974"/>
      <c r="VRW80" s="974"/>
      <c r="VRX80" s="974"/>
      <c r="VRY80" s="974"/>
      <c r="VRZ80" s="974"/>
      <c r="VSA80" s="974"/>
      <c r="VSB80" s="974"/>
      <c r="VSC80" s="974"/>
      <c r="VSD80" s="974"/>
      <c r="VSE80" s="974"/>
      <c r="VSF80" s="974"/>
      <c r="VSG80" s="974"/>
      <c r="VSH80" s="974"/>
      <c r="VSI80" s="974"/>
      <c r="VSJ80" s="974"/>
      <c r="VSK80" s="974"/>
      <c r="VSL80" s="974"/>
      <c r="VSM80" s="974"/>
      <c r="VSN80" s="974"/>
      <c r="VSO80" s="974"/>
      <c r="VSP80" s="974"/>
      <c r="VSQ80" s="974"/>
      <c r="VSR80" s="974"/>
      <c r="VSS80" s="974"/>
      <c r="VST80" s="974"/>
      <c r="VSU80" s="974"/>
      <c r="VSV80" s="974"/>
      <c r="VSW80" s="974"/>
      <c r="VSX80" s="974"/>
      <c r="VSY80" s="974"/>
      <c r="VSZ80" s="974"/>
      <c r="VTA80" s="974"/>
      <c r="VTB80" s="974"/>
      <c r="VTC80" s="974"/>
      <c r="VTD80" s="974"/>
      <c r="VTE80" s="974"/>
      <c r="VTF80" s="974"/>
      <c r="VTG80" s="974"/>
      <c r="VTH80" s="974"/>
      <c r="VTI80" s="974"/>
      <c r="VTJ80" s="974"/>
      <c r="VTK80" s="974"/>
      <c r="VTL80" s="974"/>
      <c r="VTM80" s="974"/>
      <c r="VTN80" s="974"/>
      <c r="VTO80" s="974"/>
      <c r="VTP80" s="974"/>
      <c r="VTQ80" s="974"/>
      <c r="VTR80" s="974"/>
      <c r="VTS80" s="974"/>
      <c r="VTT80" s="974"/>
      <c r="VTU80" s="974"/>
      <c r="VTV80" s="974"/>
      <c r="VTW80" s="974"/>
      <c r="VTX80" s="974"/>
      <c r="VTY80" s="974"/>
      <c r="VTZ80" s="974"/>
      <c r="VUA80" s="974"/>
      <c r="VUB80" s="974"/>
      <c r="VUC80" s="974"/>
      <c r="VUD80" s="974"/>
      <c r="VUE80" s="974"/>
      <c r="VUF80" s="974"/>
      <c r="VUG80" s="974"/>
      <c r="VUH80" s="974"/>
      <c r="VUI80" s="974"/>
      <c r="VUJ80" s="974"/>
      <c r="VUK80" s="974"/>
      <c r="VUL80" s="974"/>
      <c r="VUM80" s="974"/>
      <c r="VUN80" s="974"/>
      <c r="VUO80" s="974"/>
      <c r="VUP80" s="974"/>
      <c r="VUQ80" s="974"/>
      <c r="VUR80" s="974"/>
      <c r="VUS80" s="974"/>
      <c r="VUT80" s="974"/>
      <c r="VUU80" s="974"/>
      <c r="VUV80" s="974"/>
      <c r="VUW80" s="974"/>
      <c r="VUX80" s="974"/>
      <c r="VUY80" s="974"/>
      <c r="VUZ80" s="974"/>
      <c r="VVA80" s="974"/>
      <c r="VVB80" s="974"/>
      <c r="VVC80" s="974"/>
      <c r="VVD80" s="974"/>
      <c r="VVE80" s="974"/>
      <c r="VVF80" s="974"/>
      <c r="VVG80" s="974"/>
      <c r="VVH80" s="974"/>
      <c r="VVI80" s="974"/>
      <c r="VVJ80" s="974"/>
      <c r="VVK80" s="974"/>
      <c r="VVL80" s="974"/>
      <c r="VVM80" s="974"/>
      <c r="VVN80" s="974"/>
      <c r="VVO80" s="974"/>
      <c r="VVP80" s="974"/>
      <c r="VVQ80" s="974"/>
      <c r="VVR80" s="974"/>
      <c r="VVS80" s="974"/>
      <c r="VVT80" s="974"/>
      <c r="VVU80" s="974"/>
      <c r="VVV80" s="974"/>
      <c r="VVW80" s="974"/>
      <c r="VVX80" s="974"/>
      <c r="VVY80" s="974"/>
      <c r="VVZ80" s="974"/>
      <c r="VWA80" s="974"/>
      <c r="VWB80" s="974"/>
      <c r="VWC80" s="974"/>
      <c r="VWD80" s="974"/>
      <c r="VWE80" s="974"/>
      <c r="VWF80" s="974"/>
      <c r="VWG80" s="974"/>
      <c r="VWH80" s="974"/>
      <c r="VWI80" s="974"/>
      <c r="VWJ80" s="974"/>
      <c r="VWK80" s="974"/>
      <c r="VWL80" s="974"/>
      <c r="VWM80" s="974"/>
      <c r="VWN80" s="974"/>
      <c r="VWO80" s="974"/>
      <c r="VWP80" s="974"/>
      <c r="VWQ80" s="974"/>
      <c r="VWR80" s="974"/>
      <c r="VWS80" s="974"/>
      <c r="VWT80" s="974"/>
      <c r="VWU80" s="974"/>
      <c r="VWV80" s="974"/>
      <c r="VWW80" s="974"/>
      <c r="VWX80" s="974"/>
      <c r="VWY80" s="974"/>
      <c r="VWZ80" s="974"/>
      <c r="VXA80" s="974"/>
      <c r="VXB80" s="974"/>
      <c r="VXC80" s="974"/>
      <c r="VXD80" s="974"/>
      <c r="VXE80" s="974"/>
      <c r="VXF80" s="974"/>
      <c r="VXG80" s="974"/>
      <c r="VXH80" s="974"/>
      <c r="VXI80" s="974"/>
      <c r="VXJ80" s="974"/>
      <c r="VXK80" s="974"/>
      <c r="VXL80" s="974"/>
      <c r="VXM80" s="974"/>
      <c r="VXN80" s="974"/>
      <c r="VXO80" s="974"/>
      <c r="VXP80" s="974"/>
      <c r="VXQ80" s="974"/>
      <c r="VXR80" s="974"/>
      <c r="VXS80" s="974"/>
      <c r="VXT80" s="974"/>
      <c r="VXU80" s="974"/>
      <c r="VXV80" s="974"/>
      <c r="VXW80" s="974"/>
      <c r="VXX80" s="974"/>
      <c r="VXY80" s="974"/>
      <c r="VXZ80" s="974"/>
      <c r="VYA80" s="974"/>
      <c r="VYB80" s="974"/>
      <c r="VYC80" s="974"/>
      <c r="VYD80" s="974"/>
      <c r="VYE80" s="974"/>
      <c r="VYF80" s="974"/>
      <c r="VYG80" s="974"/>
      <c r="VYH80" s="974"/>
      <c r="VYI80" s="974"/>
      <c r="VYJ80" s="974"/>
      <c r="VYK80" s="974"/>
      <c r="VYL80" s="974"/>
      <c r="VYM80" s="974"/>
      <c r="VYN80" s="974"/>
      <c r="VYO80" s="974"/>
      <c r="VYP80" s="974"/>
      <c r="VYQ80" s="974"/>
      <c r="VYR80" s="974"/>
      <c r="VYS80" s="974"/>
      <c r="VYT80" s="974"/>
      <c r="VYU80" s="974"/>
      <c r="VYV80" s="974"/>
      <c r="VYW80" s="974"/>
      <c r="VYX80" s="974"/>
      <c r="VYY80" s="974"/>
      <c r="VYZ80" s="974"/>
      <c r="VZA80" s="974"/>
      <c r="VZB80" s="974"/>
      <c r="VZC80" s="974"/>
      <c r="VZD80" s="974"/>
      <c r="VZE80" s="974"/>
      <c r="VZF80" s="974"/>
      <c r="VZG80" s="974"/>
      <c r="VZH80" s="974"/>
      <c r="VZI80" s="974"/>
      <c r="VZJ80" s="974"/>
      <c r="VZK80" s="974"/>
      <c r="VZL80" s="974"/>
      <c r="VZM80" s="974"/>
      <c r="VZN80" s="974"/>
      <c r="VZO80" s="974"/>
      <c r="VZP80" s="974"/>
      <c r="VZQ80" s="974"/>
      <c r="VZR80" s="974"/>
      <c r="VZS80" s="974"/>
      <c r="VZT80" s="974"/>
      <c r="VZU80" s="974"/>
      <c r="VZV80" s="974"/>
      <c r="VZW80" s="974"/>
      <c r="VZX80" s="974"/>
      <c r="VZY80" s="974"/>
      <c r="VZZ80" s="974"/>
      <c r="WAA80" s="974"/>
      <c r="WAB80" s="974"/>
      <c r="WAC80" s="974"/>
      <c r="WAD80" s="974"/>
      <c r="WAE80" s="974"/>
      <c r="WAF80" s="974"/>
      <c r="WAG80" s="974"/>
      <c r="WAH80" s="974"/>
      <c r="WAI80" s="974"/>
      <c r="WAJ80" s="974"/>
      <c r="WAK80" s="974"/>
      <c r="WAL80" s="974"/>
      <c r="WAM80" s="974"/>
      <c r="WAN80" s="974"/>
      <c r="WAO80" s="974"/>
      <c r="WAP80" s="974"/>
      <c r="WAQ80" s="974"/>
      <c r="WAR80" s="974"/>
      <c r="WAS80" s="974"/>
      <c r="WAT80" s="974"/>
      <c r="WAU80" s="974"/>
      <c r="WAV80" s="974"/>
      <c r="WAW80" s="974"/>
      <c r="WAX80" s="974"/>
      <c r="WAY80" s="974"/>
      <c r="WAZ80" s="974"/>
      <c r="WBA80" s="974"/>
      <c r="WBB80" s="974"/>
      <c r="WBC80" s="974"/>
      <c r="WBD80" s="974"/>
      <c r="WBE80" s="974"/>
      <c r="WBF80" s="974"/>
      <c r="WBG80" s="974"/>
      <c r="WBH80" s="974"/>
      <c r="WBI80" s="974"/>
      <c r="WBJ80" s="974"/>
      <c r="WBK80" s="974"/>
      <c r="WBL80" s="974"/>
      <c r="WBM80" s="974"/>
      <c r="WBN80" s="974"/>
      <c r="WBO80" s="974"/>
      <c r="WBP80" s="974"/>
      <c r="WBQ80" s="974"/>
      <c r="WBR80" s="974"/>
      <c r="WBS80" s="974"/>
      <c r="WBT80" s="974"/>
      <c r="WBU80" s="974"/>
      <c r="WBV80" s="974"/>
      <c r="WBW80" s="974"/>
      <c r="WBX80" s="974"/>
      <c r="WBY80" s="974"/>
      <c r="WBZ80" s="974"/>
      <c r="WCA80" s="974"/>
      <c r="WCB80" s="974"/>
      <c r="WCC80" s="974"/>
      <c r="WCD80" s="974"/>
      <c r="WCE80" s="974"/>
      <c r="WCF80" s="974"/>
      <c r="WCG80" s="974"/>
      <c r="WCH80" s="974"/>
      <c r="WCI80" s="974"/>
      <c r="WCJ80" s="974"/>
      <c r="WCK80" s="974"/>
      <c r="WCL80" s="974"/>
      <c r="WCM80" s="974"/>
      <c r="WCN80" s="974"/>
      <c r="WCO80" s="974"/>
      <c r="WCP80" s="974"/>
      <c r="WCQ80" s="974"/>
      <c r="WCR80" s="974"/>
      <c r="WCS80" s="974"/>
      <c r="WCT80" s="974"/>
      <c r="WCU80" s="974"/>
      <c r="WCV80" s="974"/>
      <c r="WCW80" s="974"/>
      <c r="WCX80" s="974"/>
      <c r="WCY80" s="974"/>
      <c r="WCZ80" s="974"/>
      <c r="WDA80" s="974"/>
      <c r="WDB80" s="974"/>
      <c r="WDC80" s="974"/>
      <c r="WDD80" s="974"/>
      <c r="WDE80" s="974"/>
      <c r="WDF80" s="974"/>
      <c r="WDG80" s="974"/>
      <c r="WDH80" s="974"/>
      <c r="WDI80" s="974"/>
      <c r="WDJ80" s="974"/>
      <c r="WDK80" s="974"/>
      <c r="WDL80" s="974"/>
      <c r="WDM80" s="974"/>
      <c r="WDN80" s="974"/>
      <c r="WDO80" s="974"/>
      <c r="WDP80" s="974"/>
      <c r="WDQ80" s="974"/>
      <c r="WDR80" s="974"/>
      <c r="WDS80" s="974"/>
      <c r="WDT80" s="974"/>
      <c r="WDU80" s="974"/>
      <c r="WDV80" s="974"/>
      <c r="WDW80" s="974"/>
      <c r="WDX80" s="974"/>
      <c r="WDY80" s="974"/>
      <c r="WDZ80" s="974"/>
      <c r="WEA80" s="974"/>
      <c r="WEB80" s="974"/>
      <c r="WEC80" s="974"/>
      <c r="WED80" s="974"/>
      <c r="WEE80" s="974"/>
      <c r="WEF80" s="974"/>
      <c r="WEG80" s="974"/>
      <c r="WEH80" s="974"/>
      <c r="WEI80" s="974"/>
      <c r="WEJ80" s="974"/>
      <c r="WEK80" s="974"/>
      <c r="WEL80" s="974"/>
      <c r="WEM80" s="974"/>
      <c r="WEN80" s="974"/>
      <c r="WEO80" s="974"/>
      <c r="WEP80" s="974"/>
      <c r="WEQ80" s="974"/>
      <c r="WER80" s="974"/>
      <c r="WES80" s="974"/>
      <c r="WET80" s="974"/>
      <c r="WEU80" s="974"/>
      <c r="WEV80" s="974"/>
      <c r="WEW80" s="974"/>
      <c r="WEX80" s="974"/>
      <c r="WEY80" s="974"/>
      <c r="WEZ80" s="974"/>
      <c r="WFA80" s="974"/>
      <c r="WFB80" s="974"/>
      <c r="WFC80" s="974"/>
      <c r="WFD80" s="974"/>
      <c r="WFE80" s="974"/>
      <c r="WFF80" s="974"/>
      <c r="WFG80" s="974"/>
      <c r="WFH80" s="974"/>
      <c r="WFI80" s="974"/>
      <c r="WFJ80" s="974"/>
      <c r="WFK80" s="974"/>
      <c r="WFL80" s="974"/>
      <c r="WFM80" s="974"/>
      <c r="WFN80" s="974"/>
      <c r="WFO80" s="974"/>
      <c r="WFP80" s="974"/>
      <c r="WFQ80" s="974"/>
      <c r="WFR80" s="974"/>
      <c r="WFS80" s="974"/>
      <c r="WFT80" s="974"/>
      <c r="WFU80" s="974"/>
      <c r="WFV80" s="974"/>
      <c r="WFW80" s="974"/>
      <c r="WFX80" s="974"/>
      <c r="WFY80" s="974"/>
      <c r="WFZ80" s="974"/>
      <c r="WGA80" s="974"/>
      <c r="WGB80" s="974"/>
      <c r="WGC80" s="974"/>
      <c r="WGD80" s="974"/>
      <c r="WGE80" s="974"/>
      <c r="WGF80" s="974"/>
      <c r="WGG80" s="974"/>
      <c r="WGH80" s="974"/>
      <c r="WGI80" s="974"/>
      <c r="WGJ80" s="974"/>
      <c r="WGK80" s="974"/>
      <c r="WGL80" s="974"/>
      <c r="WGM80" s="974"/>
      <c r="WGN80" s="974"/>
      <c r="WGO80" s="974"/>
      <c r="WGP80" s="974"/>
      <c r="WGQ80" s="974"/>
      <c r="WGR80" s="974"/>
      <c r="WGS80" s="974"/>
      <c r="WGT80" s="974"/>
      <c r="WGU80" s="974"/>
      <c r="WGV80" s="974"/>
      <c r="WGW80" s="974"/>
      <c r="WGX80" s="974"/>
      <c r="WGY80" s="974"/>
      <c r="WGZ80" s="974"/>
      <c r="WHA80" s="974"/>
      <c r="WHB80" s="974"/>
      <c r="WHC80" s="974"/>
      <c r="WHD80" s="974"/>
      <c r="WHE80" s="974"/>
      <c r="WHF80" s="974"/>
      <c r="WHG80" s="974"/>
      <c r="WHH80" s="974"/>
      <c r="WHI80" s="974"/>
      <c r="WHJ80" s="974"/>
      <c r="WHK80" s="974"/>
      <c r="WHL80" s="974"/>
      <c r="WHM80" s="974"/>
      <c r="WHN80" s="974"/>
      <c r="WHO80" s="974"/>
      <c r="WHP80" s="974"/>
      <c r="WHQ80" s="974"/>
      <c r="WHR80" s="974"/>
      <c r="WHS80" s="974"/>
      <c r="WHT80" s="974"/>
      <c r="WHU80" s="974"/>
      <c r="WHV80" s="974"/>
      <c r="WHW80" s="974"/>
      <c r="WHX80" s="974"/>
      <c r="WHY80" s="974"/>
      <c r="WHZ80" s="974"/>
      <c r="WIA80" s="974"/>
      <c r="WIB80" s="974"/>
      <c r="WIC80" s="974"/>
      <c r="WID80" s="974"/>
      <c r="WIE80" s="974"/>
      <c r="WIF80" s="974"/>
      <c r="WIG80" s="974"/>
      <c r="WIH80" s="974"/>
      <c r="WII80" s="974"/>
      <c r="WIJ80" s="974"/>
      <c r="WIK80" s="974"/>
      <c r="WIL80" s="974"/>
      <c r="WIM80" s="974"/>
      <c r="WIN80" s="974"/>
      <c r="WIO80" s="974"/>
      <c r="WIP80" s="974"/>
      <c r="WIQ80" s="974"/>
      <c r="WIR80" s="974"/>
      <c r="WIS80" s="974"/>
      <c r="WIT80" s="974"/>
      <c r="WIU80" s="974"/>
      <c r="WIV80" s="974"/>
      <c r="WIW80" s="974"/>
      <c r="WIX80" s="974"/>
      <c r="WIY80" s="974"/>
      <c r="WIZ80" s="974"/>
      <c r="WJA80" s="974"/>
      <c r="WJB80" s="974"/>
      <c r="WJC80" s="974"/>
      <c r="WJD80" s="974"/>
      <c r="WJE80" s="974"/>
      <c r="WJF80" s="974"/>
      <c r="WJG80" s="974"/>
      <c r="WJH80" s="974"/>
      <c r="WJI80" s="974"/>
      <c r="WJJ80" s="974"/>
      <c r="WJK80" s="974"/>
      <c r="WJL80" s="974"/>
      <c r="WJM80" s="974"/>
      <c r="WJN80" s="974"/>
      <c r="WJO80" s="974"/>
      <c r="WJP80" s="974"/>
      <c r="WJQ80" s="974"/>
      <c r="WJR80" s="974"/>
      <c r="WJS80" s="974"/>
      <c r="WJT80" s="974"/>
      <c r="WJU80" s="974"/>
      <c r="WJV80" s="974"/>
      <c r="WJW80" s="974"/>
      <c r="WJX80" s="974"/>
      <c r="WJY80" s="974"/>
      <c r="WJZ80" s="974"/>
      <c r="WKA80" s="974"/>
      <c r="WKB80" s="974"/>
      <c r="WKC80" s="974"/>
      <c r="WKD80" s="974"/>
      <c r="WKE80" s="974"/>
      <c r="WKF80" s="974"/>
      <c r="WKG80" s="974"/>
      <c r="WKH80" s="974"/>
      <c r="WKI80" s="974"/>
      <c r="WKJ80" s="974"/>
      <c r="WKK80" s="974"/>
      <c r="WKL80" s="974"/>
      <c r="WKM80" s="974"/>
      <c r="WKN80" s="974"/>
      <c r="WKO80" s="974"/>
      <c r="WKP80" s="974"/>
      <c r="WKQ80" s="974"/>
      <c r="WKR80" s="974"/>
      <c r="WKS80" s="974"/>
      <c r="WKT80" s="974"/>
      <c r="WKU80" s="974"/>
      <c r="WKV80" s="974"/>
      <c r="WKW80" s="974"/>
      <c r="WKX80" s="974"/>
      <c r="WKY80" s="974"/>
      <c r="WKZ80" s="974"/>
      <c r="WLA80" s="974"/>
      <c r="WLB80" s="974"/>
      <c r="WLC80" s="974"/>
      <c r="WLD80" s="974"/>
      <c r="WLE80" s="974"/>
      <c r="WLF80" s="974"/>
      <c r="WLG80" s="974"/>
      <c r="WLH80" s="974"/>
      <c r="WLI80" s="974"/>
      <c r="WLJ80" s="974"/>
      <c r="WLK80" s="974"/>
      <c r="WLL80" s="974"/>
      <c r="WLM80" s="974"/>
      <c r="WLN80" s="974"/>
      <c r="WLO80" s="974"/>
      <c r="WLP80" s="974"/>
      <c r="WLQ80" s="974"/>
      <c r="WLR80" s="974"/>
      <c r="WLS80" s="974"/>
      <c r="WLT80" s="974"/>
      <c r="WLU80" s="974"/>
      <c r="WLV80" s="974"/>
      <c r="WLW80" s="974"/>
      <c r="WLX80" s="974"/>
      <c r="WLY80" s="974"/>
      <c r="WLZ80" s="974"/>
      <c r="WMA80" s="974"/>
      <c r="WMB80" s="974"/>
      <c r="WMC80" s="974"/>
      <c r="WMD80" s="974"/>
      <c r="WME80" s="974"/>
      <c r="WMF80" s="974"/>
      <c r="WMG80" s="974"/>
      <c r="WMH80" s="974"/>
      <c r="WMI80" s="974"/>
      <c r="WMJ80" s="974"/>
      <c r="WMK80" s="974"/>
      <c r="WML80" s="974"/>
      <c r="WMM80" s="974"/>
      <c r="WMN80" s="974"/>
      <c r="WMO80" s="974"/>
      <c r="WMP80" s="974"/>
      <c r="WMQ80" s="974"/>
      <c r="WMR80" s="974"/>
      <c r="WMS80" s="974"/>
      <c r="WMT80" s="974"/>
      <c r="WMU80" s="974"/>
      <c r="WMV80" s="974"/>
      <c r="WMW80" s="974"/>
      <c r="WMX80" s="974"/>
      <c r="WMY80" s="974"/>
      <c r="WMZ80" s="974"/>
      <c r="WNA80" s="974"/>
      <c r="WNB80" s="974"/>
      <c r="WNC80" s="974"/>
      <c r="WND80" s="974"/>
      <c r="WNE80" s="974"/>
      <c r="WNF80" s="974"/>
      <c r="WNG80" s="974"/>
      <c r="WNH80" s="974"/>
      <c r="WNI80" s="974"/>
      <c r="WNJ80" s="974"/>
      <c r="WNK80" s="974"/>
      <c r="WNL80" s="974"/>
      <c r="WNM80" s="974"/>
      <c r="WNN80" s="974"/>
      <c r="WNO80" s="974"/>
      <c r="WNP80" s="974"/>
      <c r="WNQ80" s="974"/>
      <c r="WNR80" s="974"/>
      <c r="WNS80" s="974"/>
      <c r="WNT80" s="974"/>
      <c r="WNU80" s="974"/>
      <c r="WNV80" s="974"/>
      <c r="WNW80" s="974"/>
      <c r="WNX80" s="974"/>
      <c r="WNY80" s="974"/>
      <c r="WNZ80" s="974"/>
      <c r="WOA80" s="974"/>
      <c r="WOB80" s="974"/>
      <c r="WOC80" s="974"/>
      <c r="WOD80" s="974"/>
      <c r="WOE80" s="974"/>
      <c r="WOF80" s="974"/>
      <c r="WOG80" s="974"/>
      <c r="WOH80" s="974"/>
      <c r="WOI80" s="974"/>
      <c r="WOJ80" s="974"/>
      <c r="WOK80" s="974"/>
      <c r="WOL80" s="974"/>
      <c r="WOM80" s="974"/>
      <c r="WON80" s="974"/>
      <c r="WOO80" s="974"/>
      <c r="WOP80" s="974"/>
      <c r="WOQ80" s="974"/>
      <c r="WOR80" s="974"/>
      <c r="WOS80" s="974"/>
      <c r="WOT80" s="974"/>
      <c r="WOU80" s="974"/>
      <c r="WOV80" s="974"/>
      <c r="WOW80" s="974"/>
      <c r="WOX80" s="974"/>
      <c r="WOY80" s="974"/>
      <c r="WOZ80" s="974"/>
      <c r="WPA80" s="974"/>
      <c r="WPB80" s="974"/>
      <c r="WPC80" s="974"/>
      <c r="WPD80" s="974"/>
      <c r="WPE80" s="974"/>
      <c r="WPF80" s="974"/>
      <c r="WPG80" s="974"/>
      <c r="WPH80" s="974"/>
      <c r="WPI80" s="974"/>
      <c r="WPJ80" s="974"/>
      <c r="WPK80" s="974"/>
      <c r="WPL80" s="974"/>
      <c r="WPM80" s="974"/>
      <c r="WPN80" s="974"/>
      <c r="WPO80" s="974"/>
      <c r="WPP80" s="974"/>
      <c r="WPQ80" s="974"/>
      <c r="WPR80" s="974"/>
      <c r="WPS80" s="974"/>
      <c r="WPT80" s="974"/>
      <c r="WPU80" s="974"/>
      <c r="WPV80" s="974"/>
      <c r="WPW80" s="974"/>
      <c r="WPX80" s="974"/>
      <c r="WPY80" s="974"/>
      <c r="WPZ80" s="974"/>
      <c r="WQA80" s="974"/>
      <c r="WQB80" s="974"/>
      <c r="WQC80" s="974"/>
      <c r="WQD80" s="974"/>
      <c r="WQE80" s="974"/>
      <c r="WQF80" s="974"/>
      <c r="WQG80" s="974"/>
      <c r="WQH80" s="974"/>
      <c r="WQI80" s="974"/>
      <c r="WQJ80" s="974"/>
      <c r="WQK80" s="974"/>
      <c r="WQL80" s="974"/>
      <c r="WQM80" s="974"/>
      <c r="WQN80" s="974"/>
      <c r="WQO80" s="974"/>
      <c r="WQP80" s="974"/>
      <c r="WQQ80" s="974"/>
      <c r="WQR80" s="974"/>
      <c r="WQS80" s="974"/>
      <c r="WQT80" s="974"/>
      <c r="WQU80" s="974"/>
      <c r="WQV80" s="974"/>
      <c r="WQW80" s="974"/>
      <c r="WQX80" s="974"/>
      <c r="WQY80" s="974"/>
      <c r="WQZ80" s="974"/>
      <c r="WRA80" s="974"/>
      <c r="WRB80" s="974"/>
      <c r="WRC80" s="974"/>
      <c r="WRD80" s="974"/>
      <c r="WRE80" s="974"/>
      <c r="WRF80" s="974"/>
      <c r="WRG80" s="974"/>
      <c r="WRH80" s="974"/>
      <c r="WRI80" s="974"/>
      <c r="WRJ80" s="974"/>
      <c r="WRK80" s="974"/>
      <c r="WRL80" s="974"/>
      <c r="WRM80" s="974"/>
      <c r="WRN80" s="974"/>
      <c r="WRO80" s="974"/>
      <c r="WRP80" s="974"/>
      <c r="WRQ80" s="974"/>
      <c r="WRR80" s="974"/>
      <c r="WRS80" s="974"/>
      <c r="WRT80" s="974"/>
      <c r="WRU80" s="974"/>
      <c r="WRV80" s="974"/>
      <c r="WRW80" s="974"/>
      <c r="WRX80" s="974"/>
      <c r="WRY80" s="974"/>
      <c r="WRZ80" s="974"/>
      <c r="WSA80" s="974"/>
      <c r="WSB80" s="974"/>
      <c r="WSC80" s="974"/>
      <c r="WSD80" s="974"/>
      <c r="WSE80" s="974"/>
      <c r="WSF80" s="974"/>
      <c r="WSG80" s="974"/>
      <c r="WSH80" s="974"/>
      <c r="WSI80" s="974"/>
      <c r="WSJ80" s="974"/>
      <c r="WSK80" s="974"/>
      <c r="WSL80" s="974"/>
      <c r="WSM80" s="974"/>
      <c r="WSN80" s="974"/>
      <c r="WSO80" s="974"/>
      <c r="WSP80" s="974"/>
      <c r="WSQ80" s="974"/>
      <c r="WSR80" s="974"/>
      <c r="WSS80" s="974"/>
      <c r="WST80" s="974"/>
      <c r="WSU80" s="974"/>
      <c r="WSV80" s="974"/>
      <c r="WSW80" s="974"/>
      <c r="WSX80" s="974"/>
      <c r="WSY80" s="974"/>
      <c r="WSZ80" s="974"/>
      <c r="WTA80" s="974"/>
      <c r="WTB80" s="974"/>
      <c r="WTC80" s="974"/>
      <c r="WTD80" s="974"/>
      <c r="WTE80" s="974"/>
      <c r="WTF80" s="974"/>
      <c r="WTG80" s="974"/>
      <c r="WTH80" s="974"/>
      <c r="WTI80" s="974"/>
      <c r="WTJ80" s="974"/>
      <c r="WTK80" s="974"/>
      <c r="WTL80" s="974"/>
      <c r="WTM80" s="974"/>
      <c r="WTN80" s="974"/>
      <c r="WTO80" s="974"/>
      <c r="WTP80" s="974"/>
      <c r="WTQ80" s="974"/>
      <c r="WTR80" s="974"/>
      <c r="WTS80" s="974"/>
      <c r="WTT80" s="974"/>
      <c r="WTU80" s="974"/>
      <c r="WTV80" s="974"/>
      <c r="WTW80" s="974"/>
      <c r="WTX80" s="974"/>
      <c r="WTY80" s="974"/>
      <c r="WTZ80" s="974"/>
      <c r="WUA80" s="974"/>
      <c r="WUB80" s="974"/>
      <c r="WUC80" s="974"/>
      <c r="WUD80" s="974"/>
      <c r="WUE80" s="974"/>
      <c r="WUF80" s="974"/>
      <c r="WUG80" s="974"/>
      <c r="WUH80" s="974"/>
      <c r="WUI80" s="974"/>
      <c r="WUJ80" s="974"/>
      <c r="WUK80" s="974"/>
      <c r="WUL80" s="974"/>
      <c r="WUM80" s="974"/>
      <c r="WUN80" s="974"/>
      <c r="WUO80" s="974"/>
      <c r="WUP80" s="974"/>
      <c r="WUQ80" s="974"/>
      <c r="WUR80" s="974"/>
      <c r="WUS80" s="974"/>
      <c r="WUT80" s="974"/>
      <c r="WUU80" s="974"/>
      <c r="WUV80" s="974"/>
      <c r="WUW80" s="974"/>
      <c r="WUX80" s="974"/>
      <c r="WUY80" s="974"/>
      <c r="WUZ80" s="974"/>
      <c r="WVA80" s="974"/>
      <c r="WVB80" s="974"/>
      <c r="WVC80" s="974"/>
      <c r="WVD80" s="974"/>
      <c r="WVE80" s="974"/>
      <c r="WVF80" s="974"/>
      <c r="WVG80" s="974"/>
      <c r="WVH80" s="974"/>
      <c r="WVI80" s="974"/>
      <c r="WVJ80" s="974"/>
      <c r="WVK80" s="974"/>
      <c r="WVL80" s="974"/>
      <c r="WVM80" s="974"/>
      <c r="WVN80" s="974"/>
      <c r="WVO80" s="974"/>
      <c r="WVP80" s="974"/>
      <c r="WVQ80" s="974"/>
      <c r="WVR80" s="974"/>
      <c r="WVS80" s="974"/>
      <c r="WVT80" s="974"/>
      <c r="WVU80" s="974"/>
      <c r="WVV80" s="974"/>
      <c r="WVW80" s="974"/>
      <c r="WVX80" s="974"/>
      <c r="WVY80" s="974"/>
      <c r="WVZ80" s="974"/>
      <c r="WWA80" s="974"/>
      <c r="WWB80" s="974"/>
      <c r="WWC80" s="974"/>
      <c r="WWD80" s="974"/>
      <c r="WWE80" s="974"/>
      <c r="WWF80" s="974"/>
      <c r="WWG80" s="974"/>
      <c r="WWH80" s="974"/>
      <c r="WWI80" s="974"/>
      <c r="WWJ80" s="974"/>
      <c r="WWK80" s="974"/>
      <c r="WWL80" s="974"/>
      <c r="WWM80" s="974"/>
      <c r="WWN80" s="974"/>
      <c r="WWO80" s="974"/>
      <c r="WWP80" s="974"/>
      <c r="WWQ80" s="974"/>
      <c r="WWR80" s="974"/>
      <c r="WWS80" s="974"/>
      <c r="WWT80" s="974"/>
      <c r="WWU80" s="974"/>
      <c r="WWV80" s="974"/>
      <c r="WWW80" s="974"/>
      <c r="WWX80" s="974"/>
      <c r="WWY80" s="974"/>
      <c r="WWZ80" s="974"/>
      <c r="WXA80" s="974"/>
      <c r="WXB80" s="974"/>
      <c r="WXC80" s="974"/>
      <c r="WXD80" s="974"/>
      <c r="WXE80" s="974"/>
      <c r="WXF80" s="974"/>
      <c r="WXG80" s="974"/>
      <c r="WXH80" s="974"/>
      <c r="WXI80" s="974"/>
      <c r="WXJ80" s="974"/>
      <c r="WXK80" s="974"/>
      <c r="WXL80" s="974"/>
      <c r="WXM80" s="974"/>
      <c r="WXN80" s="974"/>
      <c r="WXO80" s="974"/>
      <c r="WXP80" s="974"/>
      <c r="WXQ80" s="974"/>
      <c r="WXR80" s="974"/>
      <c r="WXS80" s="974"/>
      <c r="WXT80" s="974"/>
      <c r="WXU80" s="974"/>
      <c r="WXV80" s="974"/>
      <c r="WXW80" s="974"/>
      <c r="WXX80" s="974"/>
      <c r="WXY80" s="974"/>
      <c r="WXZ80" s="974"/>
      <c r="WYA80" s="974"/>
      <c r="WYB80" s="974"/>
      <c r="WYC80" s="974"/>
      <c r="WYD80" s="974"/>
      <c r="WYE80" s="974"/>
      <c r="WYF80" s="974"/>
      <c r="WYG80" s="974"/>
      <c r="WYH80" s="974"/>
      <c r="WYI80" s="974"/>
      <c r="WYJ80" s="974"/>
      <c r="WYK80" s="974"/>
      <c r="WYL80" s="974"/>
      <c r="WYM80" s="974"/>
      <c r="WYN80" s="974"/>
      <c r="WYO80" s="974"/>
      <c r="WYP80" s="974"/>
      <c r="WYQ80" s="974"/>
      <c r="WYR80" s="974"/>
      <c r="WYS80" s="974"/>
      <c r="WYT80" s="974"/>
      <c r="WYU80" s="974"/>
      <c r="WYV80" s="974"/>
      <c r="WYW80" s="974"/>
      <c r="WYX80" s="974"/>
      <c r="WYY80" s="974"/>
      <c r="WYZ80" s="974"/>
      <c r="WZA80" s="974"/>
      <c r="WZB80" s="974"/>
      <c r="WZC80" s="974"/>
      <c r="WZD80" s="974"/>
      <c r="WZE80" s="974"/>
      <c r="WZF80" s="974"/>
      <c r="WZG80" s="974"/>
      <c r="WZH80" s="974"/>
      <c r="WZI80" s="974"/>
      <c r="WZJ80" s="974"/>
      <c r="WZK80" s="974"/>
      <c r="WZL80" s="974"/>
      <c r="WZM80" s="974"/>
      <c r="WZN80" s="974"/>
      <c r="WZO80" s="974"/>
      <c r="WZP80" s="974"/>
      <c r="WZQ80" s="974"/>
      <c r="WZR80" s="974"/>
      <c r="WZS80" s="974"/>
      <c r="WZT80" s="974"/>
      <c r="WZU80" s="974"/>
      <c r="WZV80" s="974"/>
      <c r="WZW80" s="974"/>
      <c r="WZX80" s="974"/>
      <c r="WZY80" s="974"/>
      <c r="WZZ80" s="974"/>
      <c r="XAA80" s="974"/>
      <c r="XAB80" s="974"/>
      <c r="XAC80" s="974"/>
      <c r="XAD80" s="974"/>
      <c r="XAE80" s="974"/>
      <c r="XAF80" s="974"/>
      <c r="XAG80" s="974"/>
      <c r="XAH80" s="974"/>
      <c r="XAI80" s="974"/>
      <c r="XAJ80" s="974"/>
      <c r="XAK80" s="974"/>
      <c r="XAL80" s="974"/>
      <c r="XAM80" s="974"/>
      <c r="XAN80" s="974"/>
      <c r="XAO80" s="974"/>
      <c r="XAP80" s="974"/>
      <c r="XAQ80" s="974"/>
      <c r="XAR80" s="974"/>
      <c r="XAS80" s="974"/>
      <c r="XAT80" s="974"/>
      <c r="XAU80" s="974"/>
      <c r="XAV80" s="974"/>
      <c r="XAW80" s="974"/>
      <c r="XAX80" s="974"/>
      <c r="XAY80" s="974"/>
      <c r="XAZ80" s="974"/>
      <c r="XBA80" s="974"/>
      <c r="XBB80" s="974"/>
      <c r="XBC80" s="974"/>
      <c r="XBD80" s="974"/>
      <c r="XBE80" s="974"/>
      <c r="XBF80" s="974"/>
      <c r="XBG80" s="974"/>
      <c r="XBH80" s="974"/>
      <c r="XBI80" s="974"/>
      <c r="XBJ80" s="974"/>
      <c r="XBK80" s="974"/>
      <c r="XBL80" s="974"/>
      <c r="XBM80" s="974"/>
      <c r="XBN80" s="974"/>
      <c r="XBO80" s="974"/>
      <c r="XBP80" s="974"/>
      <c r="XBQ80" s="974"/>
      <c r="XBR80" s="974"/>
      <c r="XBS80" s="974"/>
      <c r="XBT80" s="974"/>
      <c r="XBU80" s="974"/>
      <c r="XBV80" s="974"/>
      <c r="XBW80" s="974"/>
      <c r="XBX80" s="974"/>
      <c r="XBY80" s="974"/>
      <c r="XBZ80" s="974"/>
      <c r="XCA80" s="974"/>
      <c r="XCB80" s="974"/>
      <c r="XCC80" s="974"/>
      <c r="XCD80" s="974"/>
      <c r="XCE80" s="974"/>
      <c r="XCF80" s="974"/>
      <c r="XCG80" s="974"/>
      <c r="XCH80" s="974"/>
      <c r="XCI80" s="974"/>
      <c r="XCJ80" s="974"/>
      <c r="XCK80" s="974"/>
      <c r="XCL80" s="974"/>
      <c r="XCM80" s="974"/>
      <c r="XCN80" s="974"/>
      <c r="XCO80" s="974"/>
      <c r="XCP80" s="974"/>
      <c r="XCQ80" s="974"/>
      <c r="XCR80" s="974"/>
      <c r="XCS80" s="974"/>
      <c r="XCT80" s="974"/>
      <c r="XCU80" s="974"/>
      <c r="XCV80" s="974"/>
      <c r="XCW80" s="974"/>
      <c r="XCX80" s="974"/>
      <c r="XCY80" s="974"/>
      <c r="XCZ80" s="974"/>
      <c r="XDA80" s="974"/>
      <c r="XDB80" s="974"/>
      <c r="XDC80" s="974"/>
      <c r="XDD80" s="974"/>
      <c r="XDE80" s="974"/>
      <c r="XDF80" s="974"/>
      <c r="XDG80" s="974"/>
      <c r="XDH80" s="974"/>
      <c r="XDI80" s="974"/>
      <c r="XDJ80" s="974"/>
      <c r="XDK80" s="974"/>
      <c r="XDL80" s="974"/>
      <c r="XDM80" s="974"/>
      <c r="XDN80" s="974"/>
      <c r="XDO80" s="974"/>
      <c r="XDP80" s="974"/>
      <c r="XDQ80" s="974"/>
      <c r="XDR80" s="974"/>
      <c r="XDS80" s="974"/>
      <c r="XDT80" s="974"/>
      <c r="XDU80" s="974"/>
      <c r="XDV80" s="974"/>
      <c r="XDW80" s="974"/>
      <c r="XDX80" s="974"/>
      <c r="XDY80" s="974"/>
      <c r="XDZ80" s="974"/>
      <c r="XEA80" s="974"/>
      <c r="XEB80" s="974"/>
      <c r="XEC80" s="974"/>
      <c r="XED80" s="974"/>
      <c r="XEE80" s="974"/>
      <c r="XEF80" s="974"/>
      <c r="XEG80" s="974"/>
      <c r="XEH80" s="974"/>
      <c r="XEI80" s="974"/>
      <c r="XEJ80" s="974"/>
      <c r="XEK80" s="974"/>
      <c r="XEL80" s="974"/>
      <c r="XEM80" s="974"/>
      <c r="XEN80" s="974"/>
      <c r="XEO80" s="974"/>
      <c r="XEP80" s="974"/>
      <c r="XEQ80" s="974"/>
      <c r="XER80" s="974"/>
      <c r="XES80" s="974"/>
      <c r="XET80" s="974"/>
      <c r="XEU80" s="974"/>
      <c r="XEV80" s="974"/>
      <c r="XEW80" s="974"/>
      <c r="XEX80" s="974"/>
      <c r="XEY80" s="974"/>
      <c r="XEZ80" s="974"/>
      <c r="XFA80" s="974"/>
      <c r="XFB80" s="974"/>
      <c r="XFC80" s="974"/>
      <c r="XFD80" s="974"/>
    </row>
    <row r="81" spans="1:16384" x14ac:dyDescent="0.35">
      <c r="B81" s="946"/>
      <c r="F81" s="980" t="s">
        <v>422</v>
      </c>
      <c r="G81" s="980"/>
      <c r="H81" s="908">
        <v>37127.94</v>
      </c>
      <c r="I81" s="908">
        <v>70544.759999999995</v>
      </c>
      <c r="J81" s="908">
        <v>35650.589999999997</v>
      </c>
      <c r="K81" s="908">
        <v>62277.94</v>
      </c>
      <c r="L81" s="908">
        <v>91068.800000000003</v>
      </c>
      <c r="M81" s="908">
        <v>246391.55</v>
      </c>
      <c r="N81" s="908">
        <v>80187.600000000006</v>
      </c>
      <c r="O81" s="908">
        <v>90159.97</v>
      </c>
      <c r="P81" s="908">
        <v>92666.42</v>
      </c>
      <c r="Q81" s="908">
        <v>92544.59</v>
      </c>
      <c r="R81" s="908">
        <v>198454.8</v>
      </c>
      <c r="S81" s="908">
        <v>124583.08</v>
      </c>
      <c r="T81" s="908">
        <v>-90.64</v>
      </c>
      <c r="U81" s="908">
        <v>267347.57</v>
      </c>
      <c r="V81" s="908">
        <v>153021.45000000001</v>
      </c>
      <c r="W81" s="908">
        <v>133768.19</v>
      </c>
      <c r="X81" s="908">
        <v>330602.46999999997</v>
      </c>
      <c r="Y81" s="908">
        <v>296341.90000000002</v>
      </c>
      <c r="Z81" s="908">
        <v>318258.96999999997</v>
      </c>
      <c r="AA81" s="908">
        <v>408278.51</v>
      </c>
      <c r="AB81" s="908">
        <v>292391.63</v>
      </c>
      <c r="AC81" s="908">
        <v>135885.4</v>
      </c>
      <c r="AD81" s="908">
        <v>250209.3</v>
      </c>
      <c r="AE81" s="908">
        <v>212835.44</v>
      </c>
      <c r="AF81" s="908">
        <v>318198.21000000002</v>
      </c>
      <c r="AG81" s="908">
        <v>387571.88</v>
      </c>
    </row>
    <row r="82" spans="1:16384" x14ac:dyDescent="0.35">
      <c r="B82" s="946"/>
      <c r="F82" s="980"/>
      <c r="G82" s="980" t="s">
        <v>746</v>
      </c>
    </row>
    <row r="83" spans="1:16384" x14ac:dyDescent="0.35">
      <c r="B83" s="946"/>
      <c r="F83" s="980"/>
      <c r="G83" s="980" t="s">
        <v>747</v>
      </c>
    </row>
    <row r="84" spans="1:16384" x14ac:dyDescent="0.35">
      <c r="B84" s="946"/>
      <c r="G84" s="985" t="s">
        <v>748</v>
      </c>
      <c r="H84" s="986"/>
      <c r="I84" s="986"/>
      <c r="J84" s="986"/>
      <c r="K84" s="986"/>
      <c r="L84" s="986"/>
      <c r="M84" s="986"/>
      <c r="N84" s="986"/>
      <c r="O84" s="986"/>
      <c r="P84" s="986"/>
      <c r="Q84" s="986"/>
      <c r="R84" s="986"/>
      <c r="S84" s="986"/>
      <c r="T84" s="986"/>
      <c r="U84" s="986"/>
      <c r="V84" s="986"/>
      <c r="W84" s="986"/>
      <c r="X84" s="986"/>
      <c r="Y84" s="986"/>
      <c r="Z84" s="986"/>
      <c r="AA84" s="986"/>
      <c r="AB84" s="986"/>
      <c r="AC84" s="986"/>
      <c r="AD84" s="986"/>
      <c r="AE84" s="986"/>
      <c r="AF84" s="986"/>
      <c r="AG84" s="986"/>
      <c r="AH84" s="986"/>
      <c r="AI84" s="986"/>
      <c r="AJ84" s="986"/>
      <c r="AK84" s="986"/>
      <c r="AL84" s="986"/>
      <c r="AM84" s="986"/>
      <c r="AN84" s="986"/>
      <c r="AO84" s="986"/>
      <c r="AP84" s="986"/>
      <c r="AQ84" s="986"/>
      <c r="AR84" s="986"/>
      <c r="AS84" s="986"/>
      <c r="AT84" s="986"/>
      <c r="AU84" s="986"/>
      <c r="AV84" s="986"/>
      <c r="AW84" s="986"/>
      <c r="AX84" s="986"/>
      <c r="AY84" s="986"/>
      <c r="AZ84" s="986"/>
      <c r="BA84" s="986"/>
      <c r="BB84" s="986"/>
      <c r="BC84" s="986"/>
      <c r="BD84" s="986"/>
      <c r="BE84" s="986"/>
      <c r="BF84" s="986"/>
      <c r="BG84" s="986"/>
      <c r="BH84" s="986"/>
      <c r="BI84" s="986"/>
      <c r="BJ84" s="986"/>
      <c r="BK84" s="986"/>
      <c r="BL84" s="986"/>
      <c r="BM84" s="986"/>
      <c r="BN84" s="986"/>
      <c r="BO84" s="986"/>
      <c r="BP84" s="986"/>
      <c r="BQ84" s="986"/>
      <c r="BR84" s="986"/>
      <c r="BS84" s="986"/>
      <c r="BT84" s="986"/>
      <c r="BU84" s="986"/>
      <c r="BV84" s="986"/>
      <c r="BW84" s="986"/>
      <c r="BX84" s="986"/>
      <c r="BY84" s="986"/>
      <c r="BZ84" s="986"/>
      <c r="CA84" s="986"/>
      <c r="CB84" s="986"/>
      <c r="CC84" s="986"/>
    </row>
    <row r="85" spans="1:16384" x14ac:dyDescent="0.35">
      <c r="B85" s="945"/>
      <c r="C85" s="945"/>
      <c r="D85" s="945"/>
      <c r="E85" s="990" t="s">
        <v>106</v>
      </c>
      <c r="F85" s="990"/>
      <c r="G85" s="990"/>
      <c r="H85" s="991"/>
      <c r="I85" s="991"/>
      <c r="J85" s="991"/>
      <c r="K85" s="991"/>
      <c r="L85" s="991"/>
      <c r="M85" s="991"/>
      <c r="N85" s="991"/>
      <c r="O85" s="991"/>
      <c r="P85" s="991"/>
      <c r="Q85" s="991"/>
      <c r="R85" s="991"/>
      <c r="S85" s="991"/>
      <c r="T85" s="991"/>
      <c r="U85" s="991"/>
      <c r="V85" s="991"/>
      <c r="W85" s="991"/>
      <c r="X85" s="991"/>
      <c r="Y85" s="991"/>
      <c r="Z85" s="991"/>
      <c r="AA85" s="991"/>
      <c r="AB85" s="991"/>
      <c r="AC85" s="991"/>
      <c r="AD85" s="991"/>
      <c r="AE85" s="991"/>
      <c r="AF85" s="991"/>
      <c r="AG85" s="991"/>
      <c r="AH85" s="992"/>
      <c r="AI85" s="992"/>
      <c r="AJ85" s="992"/>
      <c r="AK85" s="992"/>
      <c r="AL85" s="992"/>
      <c r="AM85" s="992"/>
      <c r="AN85" s="992"/>
      <c r="AO85" s="992"/>
      <c r="AP85" s="992"/>
      <c r="AQ85" s="992"/>
      <c r="AR85" s="992"/>
      <c r="AS85" s="992"/>
      <c r="AT85" s="992"/>
      <c r="AU85" s="992"/>
      <c r="AV85" s="992"/>
      <c r="AW85" s="992"/>
      <c r="AX85" s="992"/>
      <c r="AY85" s="992"/>
      <c r="AZ85" s="992"/>
      <c r="BA85" s="992"/>
      <c r="BB85" s="992"/>
      <c r="BC85" s="992"/>
      <c r="BD85" s="992"/>
      <c r="BE85" s="992"/>
      <c r="BF85" s="992"/>
      <c r="BG85" s="992"/>
      <c r="BH85" s="992"/>
      <c r="BI85" s="992"/>
      <c r="BJ85" s="992"/>
      <c r="BK85" s="992"/>
      <c r="BL85" s="992"/>
      <c r="BM85" s="992"/>
      <c r="BN85" s="992"/>
      <c r="BO85" s="992"/>
      <c r="BP85" s="992"/>
      <c r="BQ85" s="992"/>
      <c r="BR85" s="992"/>
      <c r="BS85" s="992"/>
      <c r="BT85" s="992"/>
      <c r="BU85" s="992"/>
      <c r="BV85" s="992"/>
      <c r="BW85" s="992"/>
      <c r="BX85" s="992"/>
      <c r="BY85" s="992"/>
      <c r="BZ85" s="992"/>
      <c r="CA85" s="992"/>
      <c r="CB85" s="992"/>
      <c r="CC85" s="992"/>
      <c r="CD85" s="974"/>
      <c r="CE85" s="974"/>
      <c r="CF85" s="974"/>
      <c r="CG85" s="974"/>
      <c r="CH85" s="974"/>
      <c r="CI85" s="974"/>
      <c r="CJ85" s="974"/>
      <c r="CK85" s="974"/>
      <c r="CL85" s="974"/>
      <c r="CM85" s="974"/>
      <c r="CN85" s="974"/>
      <c r="CO85" s="974"/>
      <c r="CP85" s="974"/>
      <c r="CQ85" s="974"/>
      <c r="CR85" s="974"/>
      <c r="CS85" s="974"/>
      <c r="CT85" s="974"/>
      <c r="CU85" s="974"/>
      <c r="CV85" s="974"/>
      <c r="CW85" s="974"/>
      <c r="CX85" s="974"/>
      <c r="CY85" s="974"/>
      <c r="CZ85" s="974"/>
      <c r="DA85" s="974"/>
      <c r="DB85" s="974"/>
      <c r="DC85" s="974"/>
      <c r="DD85" s="974"/>
      <c r="DE85" s="974"/>
      <c r="DF85" s="974"/>
      <c r="DG85" s="974"/>
      <c r="DH85" s="974"/>
      <c r="DI85" s="974"/>
      <c r="DJ85" s="974"/>
      <c r="DK85" s="974"/>
      <c r="DL85" s="974"/>
      <c r="DM85" s="974"/>
      <c r="DN85" s="974"/>
      <c r="DO85" s="974"/>
      <c r="DP85" s="974"/>
      <c r="DQ85" s="974"/>
      <c r="DR85" s="974"/>
      <c r="DS85" s="974"/>
      <c r="DT85" s="974"/>
      <c r="DU85" s="974"/>
      <c r="DV85" s="974"/>
      <c r="DW85" s="974"/>
      <c r="DX85" s="974"/>
      <c r="DY85" s="974"/>
      <c r="DZ85" s="974"/>
      <c r="EA85" s="974"/>
      <c r="EB85" s="974"/>
      <c r="EC85" s="974"/>
      <c r="ED85" s="974"/>
      <c r="EE85" s="974"/>
      <c r="EF85" s="974"/>
      <c r="EG85" s="974"/>
      <c r="EH85" s="974"/>
      <c r="EI85" s="974"/>
      <c r="EJ85" s="974"/>
      <c r="EK85" s="974"/>
      <c r="EL85" s="974"/>
      <c r="EM85" s="974"/>
      <c r="EN85" s="974"/>
      <c r="EO85" s="974"/>
      <c r="EP85" s="974"/>
      <c r="EQ85" s="974"/>
      <c r="ER85" s="974"/>
      <c r="ES85" s="974"/>
      <c r="ET85" s="974"/>
      <c r="EU85" s="974"/>
      <c r="EV85" s="974"/>
      <c r="EW85" s="974"/>
      <c r="EX85" s="974"/>
      <c r="EY85" s="974"/>
      <c r="EZ85" s="974"/>
      <c r="FA85" s="974"/>
      <c r="FB85" s="974"/>
      <c r="FC85" s="974"/>
      <c r="FD85" s="974"/>
      <c r="FE85" s="974"/>
      <c r="FF85" s="974"/>
      <c r="FG85" s="974"/>
      <c r="FH85" s="974"/>
      <c r="FI85" s="974"/>
      <c r="FJ85" s="974"/>
      <c r="FK85" s="974"/>
      <c r="FL85" s="974"/>
      <c r="FM85" s="974"/>
      <c r="FN85" s="974"/>
      <c r="FO85" s="974"/>
      <c r="FP85" s="974"/>
      <c r="FQ85" s="974"/>
      <c r="FR85" s="974"/>
      <c r="FS85" s="974"/>
      <c r="FT85" s="974"/>
      <c r="FU85" s="974"/>
      <c r="FV85" s="974"/>
      <c r="FW85" s="974"/>
      <c r="FX85" s="974"/>
      <c r="FY85" s="974"/>
      <c r="FZ85" s="974"/>
      <c r="GA85" s="974"/>
      <c r="GB85" s="974"/>
      <c r="GC85" s="974"/>
      <c r="GD85" s="974"/>
      <c r="GE85" s="974"/>
      <c r="GF85" s="974"/>
      <c r="GG85" s="974"/>
      <c r="GH85" s="974"/>
      <c r="GI85" s="974"/>
      <c r="GJ85" s="974"/>
      <c r="GK85" s="974"/>
      <c r="GL85" s="974"/>
      <c r="GM85" s="974"/>
      <c r="GN85" s="974"/>
      <c r="GO85" s="974"/>
      <c r="GP85" s="974"/>
      <c r="GQ85" s="974"/>
      <c r="GR85" s="974"/>
      <c r="GS85" s="974"/>
      <c r="GT85" s="974"/>
      <c r="GU85" s="974"/>
      <c r="GV85" s="974"/>
      <c r="GW85" s="974"/>
      <c r="GX85" s="974"/>
      <c r="GY85" s="974"/>
      <c r="GZ85" s="974"/>
      <c r="HA85" s="974"/>
      <c r="HB85" s="974"/>
      <c r="HC85" s="974"/>
      <c r="HD85" s="974"/>
      <c r="HE85" s="974"/>
      <c r="HF85" s="974"/>
      <c r="HG85" s="974"/>
      <c r="HH85" s="974"/>
      <c r="HI85" s="974"/>
      <c r="HJ85" s="974"/>
      <c r="HK85" s="974"/>
      <c r="HL85" s="974"/>
      <c r="HM85" s="974"/>
      <c r="HN85" s="974"/>
      <c r="HO85" s="974"/>
      <c r="HP85" s="974"/>
      <c r="HQ85" s="974"/>
      <c r="HR85" s="974"/>
      <c r="HS85" s="974"/>
      <c r="HT85" s="974"/>
      <c r="HU85" s="974"/>
      <c r="HV85" s="974"/>
      <c r="HW85" s="974"/>
      <c r="HX85" s="974"/>
      <c r="HY85" s="974"/>
      <c r="HZ85" s="974"/>
      <c r="IA85" s="974"/>
      <c r="IB85" s="974"/>
      <c r="IC85" s="974"/>
      <c r="ID85" s="974"/>
      <c r="IE85" s="974"/>
      <c r="IF85" s="974"/>
      <c r="IG85" s="974"/>
      <c r="IH85" s="974"/>
      <c r="II85" s="974"/>
      <c r="IJ85" s="974"/>
      <c r="IK85" s="974"/>
      <c r="IL85" s="974"/>
      <c r="IM85" s="974"/>
      <c r="IN85" s="974"/>
      <c r="IO85" s="974"/>
      <c r="IP85" s="974"/>
      <c r="IQ85" s="974"/>
      <c r="IR85" s="974"/>
      <c r="IS85" s="974"/>
      <c r="IT85" s="974"/>
      <c r="IU85" s="974"/>
      <c r="IV85" s="974"/>
      <c r="IW85" s="974"/>
      <c r="IX85" s="974"/>
      <c r="IY85" s="974"/>
      <c r="IZ85" s="974"/>
      <c r="JA85" s="974"/>
      <c r="JB85" s="974"/>
      <c r="JC85" s="974"/>
      <c r="JD85" s="974"/>
      <c r="JE85" s="974"/>
      <c r="JF85" s="974"/>
      <c r="JG85" s="974"/>
      <c r="JH85" s="974"/>
      <c r="JI85" s="974"/>
      <c r="JJ85" s="974"/>
      <c r="JK85" s="974"/>
      <c r="JL85" s="974"/>
      <c r="JM85" s="974"/>
      <c r="JN85" s="974"/>
      <c r="JO85" s="974"/>
      <c r="JP85" s="974"/>
      <c r="JQ85" s="974"/>
      <c r="JR85" s="974"/>
      <c r="JS85" s="974"/>
      <c r="JT85" s="974"/>
      <c r="JU85" s="974"/>
      <c r="JV85" s="974"/>
      <c r="JW85" s="974"/>
      <c r="JX85" s="974"/>
      <c r="JY85" s="974"/>
      <c r="JZ85" s="974"/>
      <c r="KA85" s="974"/>
      <c r="KB85" s="974"/>
      <c r="KC85" s="974"/>
      <c r="KD85" s="974"/>
      <c r="KE85" s="974"/>
      <c r="KF85" s="974"/>
      <c r="KG85" s="974"/>
      <c r="KH85" s="974"/>
      <c r="KI85" s="974"/>
      <c r="KJ85" s="974"/>
      <c r="KK85" s="974"/>
      <c r="KL85" s="974"/>
      <c r="KM85" s="974"/>
      <c r="KN85" s="974"/>
      <c r="KO85" s="974"/>
      <c r="KP85" s="974"/>
      <c r="KQ85" s="974"/>
      <c r="KR85" s="974"/>
      <c r="KS85" s="974"/>
      <c r="KT85" s="974"/>
      <c r="KU85" s="974"/>
      <c r="KV85" s="974"/>
      <c r="KW85" s="974"/>
      <c r="KX85" s="974"/>
      <c r="KY85" s="974"/>
      <c r="KZ85" s="974"/>
      <c r="LA85" s="974"/>
      <c r="LB85" s="974"/>
      <c r="LC85" s="974"/>
      <c r="LD85" s="974"/>
      <c r="LE85" s="974"/>
      <c r="LF85" s="974"/>
      <c r="LG85" s="974"/>
      <c r="LH85" s="974"/>
      <c r="LI85" s="974"/>
      <c r="LJ85" s="974"/>
      <c r="LK85" s="974"/>
      <c r="LL85" s="974"/>
      <c r="LM85" s="974"/>
      <c r="LN85" s="974"/>
      <c r="LO85" s="974"/>
      <c r="LP85" s="974"/>
      <c r="LQ85" s="974"/>
      <c r="LR85" s="974"/>
      <c r="LS85" s="974"/>
      <c r="LT85" s="974"/>
      <c r="LU85" s="974"/>
      <c r="LV85" s="974"/>
      <c r="LW85" s="974"/>
      <c r="LX85" s="974"/>
      <c r="LY85" s="974"/>
      <c r="LZ85" s="974"/>
      <c r="MA85" s="974"/>
      <c r="MB85" s="974"/>
      <c r="MC85" s="974"/>
      <c r="MD85" s="974"/>
      <c r="ME85" s="974"/>
      <c r="MF85" s="974"/>
      <c r="MG85" s="974"/>
      <c r="MH85" s="974"/>
      <c r="MI85" s="974"/>
      <c r="MJ85" s="974"/>
      <c r="MK85" s="974"/>
      <c r="ML85" s="974"/>
      <c r="MM85" s="974"/>
      <c r="MN85" s="974"/>
      <c r="MO85" s="974"/>
      <c r="MP85" s="974"/>
      <c r="MQ85" s="974"/>
      <c r="MR85" s="974"/>
      <c r="MS85" s="974"/>
      <c r="MT85" s="974"/>
      <c r="MU85" s="974"/>
      <c r="MV85" s="974"/>
      <c r="MW85" s="974"/>
      <c r="MX85" s="974"/>
      <c r="MY85" s="974"/>
      <c r="MZ85" s="974"/>
      <c r="NA85" s="974"/>
      <c r="NB85" s="974"/>
      <c r="NC85" s="974"/>
      <c r="ND85" s="974"/>
      <c r="NE85" s="974"/>
      <c r="NF85" s="974"/>
      <c r="NG85" s="974"/>
      <c r="NH85" s="974"/>
      <c r="NI85" s="974"/>
      <c r="NJ85" s="974"/>
      <c r="NK85" s="974"/>
      <c r="NL85" s="974"/>
      <c r="NM85" s="974"/>
      <c r="NN85" s="974"/>
      <c r="NO85" s="974"/>
      <c r="NP85" s="974"/>
      <c r="NQ85" s="974"/>
      <c r="NR85" s="974"/>
      <c r="NS85" s="974"/>
      <c r="NT85" s="974"/>
      <c r="NU85" s="974"/>
      <c r="NV85" s="974"/>
      <c r="NW85" s="974"/>
      <c r="NX85" s="974"/>
      <c r="NY85" s="974"/>
      <c r="NZ85" s="974"/>
      <c r="OA85" s="974"/>
      <c r="OB85" s="974"/>
      <c r="OC85" s="974"/>
      <c r="OD85" s="974"/>
      <c r="OE85" s="974"/>
      <c r="OF85" s="974"/>
      <c r="OG85" s="974"/>
      <c r="OH85" s="974"/>
      <c r="OI85" s="974"/>
      <c r="OJ85" s="974"/>
      <c r="OK85" s="974"/>
      <c r="OL85" s="974"/>
      <c r="OM85" s="974"/>
      <c r="ON85" s="974"/>
      <c r="OO85" s="974"/>
      <c r="OP85" s="974"/>
      <c r="OQ85" s="974"/>
      <c r="OR85" s="974"/>
      <c r="OS85" s="974"/>
      <c r="OT85" s="974"/>
      <c r="OU85" s="974"/>
      <c r="OV85" s="974"/>
      <c r="OW85" s="974"/>
      <c r="OX85" s="974"/>
      <c r="OY85" s="974"/>
      <c r="OZ85" s="974"/>
      <c r="PA85" s="974"/>
      <c r="PB85" s="974"/>
      <c r="PC85" s="974"/>
      <c r="PD85" s="974"/>
      <c r="PE85" s="974"/>
      <c r="PF85" s="974"/>
      <c r="PG85" s="974"/>
      <c r="PH85" s="974"/>
      <c r="PI85" s="974"/>
      <c r="PJ85" s="974"/>
      <c r="PK85" s="974"/>
      <c r="PL85" s="974"/>
      <c r="PM85" s="974"/>
      <c r="PN85" s="974"/>
      <c r="PO85" s="974"/>
      <c r="PP85" s="974"/>
      <c r="PQ85" s="974"/>
      <c r="PR85" s="974"/>
      <c r="PS85" s="974"/>
      <c r="PT85" s="974"/>
      <c r="PU85" s="974"/>
      <c r="PV85" s="974"/>
      <c r="PW85" s="974"/>
      <c r="PX85" s="974"/>
      <c r="PY85" s="974"/>
      <c r="PZ85" s="974"/>
      <c r="QA85" s="974"/>
      <c r="QB85" s="974"/>
      <c r="QC85" s="974"/>
      <c r="QD85" s="974"/>
      <c r="QE85" s="974"/>
      <c r="QF85" s="974"/>
      <c r="QG85" s="974"/>
      <c r="QH85" s="974"/>
      <c r="QI85" s="974"/>
      <c r="QJ85" s="974"/>
      <c r="QK85" s="974"/>
      <c r="QL85" s="974"/>
      <c r="QM85" s="974"/>
      <c r="QN85" s="974"/>
      <c r="QO85" s="974"/>
      <c r="QP85" s="974"/>
      <c r="QQ85" s="974"/>
      <c r="QR85" s="974"/>
      <c r="QS85" s="974"/>
      <c r="QT85" s="974"/>
      <c r="QU85" s="974"/>
      <c r="QV85" s="974"/>
      <c r="QW85" s="974"/>
      <c r="QX85" s="974"/>
      <c r="QY85" s="974"/>
      <c r="QZ85" s="974"/>
      <c r="RA85" s="974"/>
      <c r="RB85" s="974"/>
      <c r="RC85" s="974"/>
      <c r="RD85" s="974"/>
      <c r="RE85" s="974"/>
      <c r="RF85" s="974"/>
      <c r="RG85" s="974"/>
      <c r="RH85" s="974"/>
      <c r="RI85" s="974"/>
      <c r="RJ85" s="974"/>
      <c r="RK85" s="974"/>
      <c r="RL85" s="974"/>
      <c r="RM85" s="974"/>
      <c r="RN85" s="974"/>
      <c r="RO85" s="974"/>
      <c r="RP85" s="974"/>
      <c r="RQ85" s="974"/>
      <c r="RR85" s="974"/>
      <c r="RS85" s="974"/>
      <c r="RT85" s="974"/>
      <c r="RU85" s="974"/>
      <c r="RV85" s="974"/>
      <c r="RW85" s="974"/>
      <c r="RX85" s="974"/>
      <c r="RY85" s="974"/>
      <c r="RZ85" s="974"/>
      <c r="SA85" s="974"/>
      <c r="SB85" s="974"/>
      <c r="SC85" s="974"/>
      <c r="SD85" s="974"/>
      <c r="SE85" s="974"/>
      <c r="SF85" s="974"/>
      <c r="SG85" s="974"/>
      <c r="SH85" s="974"/>
      <c r="SI85" s="974"/>
      <c r="SJ85" s="974"/>
      <c r="SK85" s="974"/>
      <c r="SL85" s="974"/>
      <c r="SM85" s="974"/>
      <c r="SN85" s="974"/>
      <c r="SO85" s="974"/>
      <c r="SP85" s="974"/>
      <c r="SQ85" s="974"/>
      <c r="SR85" s="974"/>
      <c r="SS85" s="974"/>
      <c r="ST85" s="974"/>
      <c r="SU85" s="974"/>
      <c r="SV85" s="974"/>
      <c r="SW85" s="974"/>
      <c r="SX85" s="974"/>
      <c r="SY85" s="974"/>
      <c r="SZ85" s="974"/>
      <c r="TA85" s="974"/>
      <c r="TB85" s="974"/>
      <c r="TC85" s="974"/>
      <c r="TD85" s="974"/>
      <c r="TE85" s="974"/>
      <c r="TF85" s="974"/>
      <c r="TG85" s="974"/>
      <c r="TH85" s="974"/>
      <c r="TI85" s="974"/>
      <c r="TJ85" s="974"/>
      <c r="TK85" s="974"/>
      <c r="TL85" s="974"/>
      <c r="TM85" s="974"/>
      <c r="TN85" s="974"/>
      <c r="TO85" s="974"/>
      <c r="TP85" s="974"/>
      <c r="TQ85" s="974"/>
      <c r="TR85" s="974"/>
      <c r="TS85" s="974"/>
      <c r="TT85" s="974"/>
      <c r="TU85" s="974"/>
      <c r="TV85" s="974"/>
      <c r="TW85" s="974"/>
      <c r="TX85" s="974"/>
      <c r="TY85" s="974"/>
      <c r="TZ85" s="974"/>
      <c r="UA85" s="974"/>
      <c r="UB85" s="974"/>
      <c r="UC85" s="974"/>
      <c r="UD85" s="974"/>
      <c r="UE85" s="974"/>
      <c r="UF85" s="974"/>
      <c r="UG85" s="974"/>
      <c r="UH85" s="974"/>
      <c r="UI85" s="974"/>
      <c r="UJ85" s="974"/>
      <c r="UK85" s="974"/>
      <c r="UL85" s="974"/>
      <c r="UM85" s="974"/>
      <c r="UN85" s="974"/>
      <c r="UO85" s="974"/>
      <c r="UP85" s="974"/>
      <c r="UQ85" s="974"/>
      <c r="UR85" s="974"/>
      <c r="US85" s="974"/>
      <c r="UT85" s="974"/>
      <c r="UU85" s="974"/>
      <c r="UV85" s="974"/>
      <c r="UW85" s="974"/>
      <c r="UX85" s="974"/>
      <c r="UY85" s="974"/>
      <c r="UZ85" s="974"/>
      <c r="VA85" s="974"/>
      <c r="VB85" s="974"/>
      <c r="VC85" s="974"/>
      <c r="VD85" s="974"/>
      <c r="VE85" s="974"/>
      <c r="VF85" s="974"/>
      <c r="VG85" s="974"/>
      <c r="VH85" s="974"/>
      <c r="VI85" s="974"/>
      <c r="VJ85" s="974"/>
      <c r="VK85" s="974"/>
      <c r="VL85" s="974"/>
      <c r="VM85" s="974"/>
      <c r="VN85" s="974"/>
      <c r="VO85" s="974"/>
      <c r="VP85" s="974"/>
      <c r="VQ85" s="974"/>
      <c r="VR85" s="974"/>
      <c r="VS85" s="974"/>
      <c r="VT85" s="974"/>
      <c r="VU85" s="974"/>
      <c r="VV85" s="974"/>
      <c r="VW85" s="974"/>
      <c r="VX85" s="974"/>
      <c r="VY85" s="974"/>
      <c r="VZ85" s="974"/>
      <c r="WA85" s="974"/>
      <c r="WB85" s="974"/>
      <c r="WC85" s="974"/>
      <c r="WD85" s="974"/>
      <c r="WE85" s="974"/>
      <c r="WF85" s="974"/>
      <c r="WG85" s="974"/>
      <c r="WH85" s="974"/>
      <c r="WI85" s="974"/>
      <c r="WJ85" s="974"/>
      <c r="WK85" s="974"/>
      <c r="WL85" s="974"/>
      <c r="WM85" s="974"/>
      <c r="WN85" s="974"/>
      <c r="WO85" s="974"/>
      <c r="WP85" s="974"/>
      <c r="WQ85" s="974"/>
      <c r="WR85" s="974"/>
      <c r="WS85" s="974"/>
      <c r="WT85" s="974"/>
      <c r="WU85" s="974"/>
      <c r="WV85" s="974"/>
      <c r="WW85" s="974"/>
      <c r="WX85" s="974"/>
      <c r="WY85" s="974"/>
      <c r="WZ85" s="974"/>
      <c r="XA85" s="974"/>
      <c r="XB85" s="974"/>
      <c r="XC85" s="974"/>
      <c r="XD85" s="974"/>
      <c r="XE85" s="974"/>
      <c r="XF85" s="974"/>
      <c r="XG85" s="974"/>
      <c r="XH85" s="974"/>
      <c r="XI85" s="974"/>
      <c r="XJ85" s="974"/>
      <c r="XK85" s="974"/>
      <c r="XL85" s="974"/>
      <c r="XM85" s="974"/>
      <c r="XN85" s="974"/>
      <c r="XO85" s="974"/>
      <c r="XP85" s="974"/>
      <c r="XQ85" s="974"/>
      <c r="XR85" s="974"/>
      <c r="XS85" s="974"/>
      <c r="XT85" s="974"/>
      <c r="XU85" s="974"/>
      <c r="XV85" s="974"/>
      <c r="XW85" s="974"/>
      <c r="XX85" s="974"/>
      <c r="XY85" s="974"/>
      <c r="XZ85" s="974"/>
      <c r="YA85" s="974"/>
      <c r="YB85" s="974"/>
      <c r="YC85" s="974"/>
      <c r="YD85" s="974"/>
      <c r="YE85" s="974"/>
      <c r="YF85" s="974"/>
      <c r="YG85" s="974"/>
      <c r="YH85" s="974"/>
      <c r="YI85" s="974"/>
      <c r="YJ85" s="974"/>
      <c r="YK85" s="974"/>
      <c r="YL85" s="974"/>
      <c r="YM85" s="974"/>
      <c r="YN85" s="974"/>
      <c r="YO85" s="974"/>
      <c r="YP85" s="974"/>
      <c r="YQ85" s="974"/>
      <c r="YR85" s="974"/>
      <c r="YS85" s="974"/>
      <c r="YT85" s="974"/>
      <c r="YU85" s="974"/>
      <c r="YV85" s="974"/>
      <c r="YW85" s="974"/>
      <c r="YX85" s="974"/>
      <c r="YY85" s="974"/>
      <c r="YZ85" s="974"/>
      <c r="ZA85" s="974"/>
      <c r="ZB85" s="974"/>
      <c r="ZC85" s="974"/>
      <c r="ZD85" s="974"/>
      <c r="ZE85" s="974"/>
      <c r="ZF85" s="974"/>
      <c r="ZG85" s="974"/>
      <c r="ZH85" s="974"/>
      <c r="ZI85" s="974"/>
      <c r="ZJ85" s="974"/>
      <c r="ZK85" s="974"/>
      <c r="ZL85" s="974"/>
      <c r="ZM85" s="974"/>
      <c r="ZN85" s="974"/>
      <c r="ZO85" s="974"/>
      <c r="ZP85" s="974"/>
      <c r="ZQ85" s="974"/>
      <c r="ZR85" s="974"/>
      <c r="ZS85" s="974"/>
      <c r="ZT85" s="974"/>
      <c r="ZU85" s="974"/>
      <c r="ZV85" s="974"/>
      <c r="ZW85" s="974"/>
      <c r="ZX85" s="974"/>
      <c r="ZY85" s="974"/>
      <c r="ZZ85" s="974"/>
      <c r="AAA85" s="974"/>
      <c r="AAB85" s="974"/>
      <c r="AAC85" s="974"/>
      <c r="AAD85" s="974"/>
      <c r="AAE85" s="974"/>
      <c r="AAF85" s="974"/>
      <c r="AAG85" s="974"/>
      <c r="AAH85" s="974"/>
      <c r="AAI85" s="974"/>
      <c r="AAJ85" s="974"/>
      <c r="AAK85" s="974"/>
      <c r="AAL85" s="974"/>
      <c r="AAM85" s="974"/>
      <c r="AAN85" s="974"/>
      <c r="AAO85" s="974"/>
      <c r="AAP85" s="974"/>
      <c r="AAQ85" s="974"/>
      <c r="AAR85" s="974"/>
      <c r="AAS85" s="974"/>
      <c r="AAT85" s="974"/>
      <c r="AAU85" s="974"/>
      <c r="AAV85" s="974"/>
      <c r="AAW85" s="974"/>
      <c r="AAX85" s="974"/>
      <c r="AAY85" s="974"/>
      <c r="AAZ85" s="974"/>
      <c r="ABA85" s="974"/>
      <c r="ABB85" s="974"/>
      <c r="ABC85" s="974"/>
      <c r="ABD85" s="974"/>
      <c r="ABE85" s="974"/>
      <c r="ABF85" s="974"/>
      <c r="ABG85" s="974"/>
      <c r="ABH85" s="974"/>
      <c r="ABI85" s="974"/>
      <c r="ABJ85" s="974"/>
      <c r="ABK85" s="974"/>
      <c r="ABL85" s="974"/>
      <c r="ABM85" s="974"/>
      <c r="ABN85" s="974"/>
      <c r="ABO85" s="974"/>
      <c r="ABP85" s="974"/>
      <c r="ABQ85" s="974"/>
      <c r="ABR85" s="974"/>
      <c r="ABS85" s="974"/>
      <c r="ABT85" s="974"/>
      <c r="ABU85" s="974"/>
      <c r="ABV85" s="974"/>
      <c r="ABW85" s="974"/>
      <c r="ABX85" s="974"/>
      <c r="ABY85" s="974"/>
      <c r="ABZ85" s="974"/>
      <c r="ACA85" s="974"/>
      <c r="ACB85" s="974"/>
      <c r="ACC85" s="974"/>
      <c r="ACD85" s="974"/>
      <c r="ACE85" s="974"/>
      <c r="ACF85" s="974"/>
      <c r="ACG85" s="974"/>
      <c r="ACH85" s="974"/>
      <c r="ACI85" s="974"/>
      <c r="ACJ85" s="974"/>
      <c r="ACK85" s="974"/>
      <c r="ACL85" s="974"/>
      <c r="ACM85" s="974"/>
      <c r="ACN85" s="974"/>
      <c r="ACO85" s="974"/>
      <c r="ACP85" s="974"/>
      <c r="ACQ85" s="974"/>
      <c r="ACR85" s="974"/>
      <c r="ACS85" s="974"/>
      <c r="ACT85" s="974"/>
      <c r="ACU85" s="974"/>
      <c r="ACV85" s="974"/>
      <c r="ACW85" s="974"/>
      <c r="ACX85" s="974"/>
      <c r="ACY85" s="974"/>
      <c r="ACZ85" s="974"/>
      <c r="ADA85" s="974"/>
      <c r="ADB85" s="974"/>
      <c r="ADC85" s="974"/>
      <c r="ADD85" s="974"/>
      <c r="ADE85" s="974"/>
      <c r="ADF85" s="974"/>
      <c r="ADG85" s="974"/>
      <c r="ADH85" s="974"/>
      <c r="ADI85" s="974"/>
      <c r="ADJ85" s="974"/>
      <c r="ADK85" s="974"/>
      <c r="ADL85" s="974"/>
      <c r="ADM85" s="974"/>
      <c r="ADN85" s="974"/>
      <c r="ADO85" s="974"/>
      <c r="ADP85" s="974"/>
      <c r="ADQ85" s="974"/>
      <c r="ADR85" s="974"/>
      <c r="ADS85" s="974"/>
      <c r="ADT85" s="974"/>
      <c r="ADU85" s="974"/>
      <c r="ADV85" s="974"/>
      <c r="ADW85" s="974"/>
      <c r="ADX85" s="974"/>
      <c r="ADY85" s="974"/>
      <c r="ADZ85" s="974"/>
      <c r="AEA85" s="974"/>
      <c r="AEB85" s="974"/>
      <c r="AEC85" s="974"/>
      <c r="AED85" s="974"/>
      <c r="AEE85" s="974"/>
      <c r="AEF85" s="974"/>
      <c r="AEG85" s="974"/>
      <c r="AEH85" s="974"/>
      <c r="AEI85" s="974"/>
      <c r="AEJ85" s="974"/>
      <c r="AEK85" s="974"/>
      <c r="AEL85" s="974"/>
      <c r="AEM85" s="974"/>
      <c r="AEN85" s="974"/>
      <c r="AEO85" s="974"/>
      <c r="AEP85" s="974"/>
      <c r="AEQ85" s="974"/>
      <c r="AER85" s="974"/>
      <c r="AES85" s="974"/>
      <c r="AET85" s="974"/>
      <c r="AEU85" s="974"/>
      <c r="AEV85" s="974"/>
      <c r="AEW85" s="974"/>
      <c r="AEX85" s="974"/>
      <c r="AEY85" s="974"/>
      <c r="AEZ85" s="974"/>
      <c r="AFA85" s="974"/>
      <c r="AFB85" s="974"/>
      <c r="AFC85" s="974"/>
      <c r="AFD85" s="974"/>
      <c r="AFE85" s="974"/>
      <c r="AFF85" s="974"/>
      <c r="AFG85" s="974"/>
      <c r="AFH85" s="974"/>
      <c r="AFI85" s="974"/>
      <c r="AFJ85" s="974"/>
      <c r="AFK85" s="974"/>
      <c r="AFL85" s="974"/>
      <c r="AFM85" s="974"/>
      <c r="AFN85" s="974"/>
      <c r="AFO85" s="974"/>
      <c r="AFP85" s="974"/>
      <c r="AFQ85" s="974"/>
      <c r="AFR85" s="974"/>
      <c r="AFS85" s="974"/>
      <c r="AFT85" s="974"/>
      <c r="AFU85" s="974"/>
      <c r="AFV85" s="974"/>
      <c r="AFW85" s="974"/>
      <c r="AFX85" s="974"/>
      <c r="AFY85" s="974"/>
      <c r="AFZ85" s="974"/>
      <c r="AGA85" s="974"/>
      <c r="AGB85" s="974"/>
      <c r="AGC85" s="974"/>
      <c r="AGD85" s="974"/>
      <c r="AGE85" s="974"/>
      <c r="AGF85" s="974"/>
      <c r="AGG85" s="974"/>
      <c r="AGH85" s="974"/>
      <c r="AGI85" s="974"/>
      <c r="AGJ85" s="974"/>
      <c r="AGK85" s="974"/>
      <c r="AGL85" s="974"/>
      <c r="AGM85" s="974"/>
      <c r="AGN85" s="974"/>
      <c r="AGO85" s="974"/>
      <c r="AGP85" s="974"/>
      <c r="AGQ85" s="974"/>
      <c r="AGR85" s="974"/>
      <c r="AGS85" s="974"/>
      <c r="AGT85" s="974"/>
      <c r="AGU85" s="974"/>
      <c r="AGV85" s="974"/>
      <c r="AGW85" s="974"/>
      <c r="AGX85" s="974"/>
      <c r="AGY85" s="974"/>
      <c r="AGZ85" s="974"/>
      <c r="AHA85" s="974"/>
      <c r="AHB85" s="974"/>
      <c r="AHC85" s="974"/>
      <c r="AHD85" s="974"/>
      <c r="AHE85" s="974"/>
      <c r="AHF85" s="974"/>
      <c r="AHG85" s="974"/>
      <c r="AHH85" s="974"/>
      <c r="AHI85" s="974"/>
      <c r="AHJ85" s="974"/>
      <c r="AHK85" s="974"/>
      <c r="AHL85" s="974"/>
      <c r="AHM85" s="974"/>
      <c r="AHN85" s="974"/>
      <c r="AHO85" s="974"/>
      <c r="AHP85" s="974"/>
      <c r="AHQ85" s="974"/>
      <c r="AHR85" s="974"/>
      <c r="AHS85" s="974"/>
      <c r="AHT85" s="974"/>
      <c r="AHU85" s="974"/>
      <c r="AHV85" s="974"/>
      <c r="AHW85" s="974"/>
      <c r="AHX85" s="974"/>
      <c r="AHY85" s="974"/>
      <c r="AHZ85" s="974"/>
      <c r="AIA85" s="974"/>
      <c r="AIB85" s="974"/>
      <c r="AIC85" s="974"/>
      <c r="AID85" s="974"/>
      <c r="AIE85" s="974"/>
      <c r="AIF85" s="974"/>
      <c r="AIG85" s="974"/>
      <c r="AIH85" s="974"/>
      <c r="AII85" s="974"/>
      <c r="AIJ85" s="974"/>
      <c r="AIK85" s="974"/>
      <c r="AIL85" s="974"/>
      <c r="AIM85" s="974"/>
      <c r="AIN85" s="974"/>
      <c r="AIO85" s="974"/>
      <c r="AIP85" s="974"/>
      <c r="AIQ85" s="974"/>
      <c r="AIR85" s="974"/>
      <c r="AIS85" s="974"/>
      <c r="AIT85" s="974"/>
      <c r="AIU85" s="974"/>
      <c r="AIV85" s="974"/>
      <c r="AIW85" s="974"/>
      <c r="AIX85" s="974"/>
      <c r="AIY85" s="974"/>
      <c r="AIZ85" s="974"/>
      <c r="AJA85" s="974"/>
      <c r="AJB85" s="974"/>
      <c r="AJC85" s="974"/>
      <c r="AJD85" s="974"/>
      <c r="AJE85" s="974"/>
      <c r="AJF85" s="974"/>
      <c r="AJG85" s="974"/>
      <c r="AJH85" s="974"/>
      <c r="AJI85" s="974"/>
      <c r="AJJ85" s="974"/>
      <c r="AJK85" s="974"/>
      <c r="AJL85" s="974"/>
      <c r="AJM85" s="974"/>
      <c r="AJN85" s="974"/>
      <c r="AJO85" s="974"/>
      <c r="AJP85" s="974"/>
      <c r="AJQ85" s="974"/>
      <c r="AJR85" s="974"/>
      <c r="AJS85" s="974"/>
      <c r="AJT85" s="974"/>
      <c r="AJU85" s="974"/>
      <c r="AJV85" s="974"/>
      <c r="AJW85" s="974"/>
      <c r="AJX85" s="974"/>
      <c r="AJY85" s="974"/>
      <c r="AJZ85" s="974"/>
      <c r="AKA85" s="974"/>
      <c r="AKB85" s="974"/>
      <c r="AKC85" s="974"/>
      <c r="AKD85" s="974"/>
      <c r="AKE85" s="974"/>
      <c r="AKF85" s="974"/>
      <c r="AKG85" s="974"/>
      <c r="AKH85" s="974"/>
      <c r="AKI85" s="974"/>
      <c r="AKJ85" s="974"/>
      <c r="AKK85" s="974"/>
      <c r="AKL85" s="974"/>
      <c r="AKM85" s="974"/>
      <c r="AKN85" s="974"/>
      <c r="AKO85" s="974"/>
      <c r="AKP85" s="974"/>
      <c r="AKQ85" s="974"/>
      <c r="AKR85" s="974"/>
      <c r="AKS85" s="974"/>
      <c r="AKT85" s="974"/>
      <c r="AKU85" s="974"/>
      <c r="AKV85" s="974"/>
      <c r="AKW85" s="974"/>
      <c r="AKX85" s="974"/>
      <c r="AKY85" s="974"/>
      <c r="AKZ85" s="974"/>
      <c r="ALA85" s="974"/>
      <c r="ALB85" s="974"/>
      <c r="ALC85" s="974"/>
      <c r="ALD85" s="974"/>
      <c r="ALE85" s="974"/>
      <c r="ALF85" s="974"/>
      <c r="ALG85" s="974"/>
      <c r="ALH85" s="974"/>
      <c r="ALI85" s="974"/>
      <c r="ALJ85" s="974"/>
      <c r="ALK85" s="974"/>
      <c r="ALL85" s="974"/>
      <c r="ALM85" s="974"/>
      <c r="ALN85" s="974"/>
      <c r="ALO85" s="974"/>
      <c r="ALP85" s="974"/>
      <c r="ALQ85" s="974"/>
      <c r="ALR85" s="974"/>
      <c r="ALS85" s="974"/>
      <c r="ALT85" s="974"/>
      <c r="ALU85" s="974"/>
      <c r="ALV85" s="974"/>
      <c r="ALW85" s="974"/>
      <c r="ALX85" s="974"/>
      <c r="ALY85" s="974"/>
      <c r="ALZ85" s="974"/>
      <c r="AMA85" s="974"/>
      <c r="AMB85" s="974"/>
      <c r="AMC85" s="974"/>
      <c r="AMD85" s="974"/>
      <c r="AME85" s="974"/>
      <c r="AMF85" s="974"/>
      <c r="AMG85" s="974"/>
      <c r="AMH85" s="974"/>
      <c r="AMI85" s="974"/>
      <c r="AMJ85" s="974"/>
      <c r="AMK85" s="974"/>
      <c r="AML85" s="974"/>
      <c r="AMM85" s="974"/>
      <c r="AMN85" s="974"/>
      <c r="AMO85" s="974"/>
      <c r="AMP85" s="974"/>
      <c r="AMQ85" s="974"/>
      <c r="AMR85" s="974"/>
      <c r="AMS85" s="974"/>
      <c r="AMT85" s="974"/>
      <c r="AMU85" s="974"/>
      <c r="AMV85" s="974"/>
      <c r="AMW85" s="974"/>
      <c r="AMX85" s="974"/>
      <c r="AMY85" s="974"/>
      <c r="AMZ85" s="974"/>
      <c r="ANA85" s="974"/>
      <c r="ANB85" s="974"/>
      <c r="ANC85" s="974"/>
      <c r="AND85" s="974"/>
      <c r="ANE85" s="974"/>
      <c r="ANF85" s="974"/>
      <c r="ANG85" s="974"/>
      <c r="ANH85" s="974"/>
      <c r="ANI85" s="974"/>
      <c r="ANJ85" s="974"/>
      <c r="ANK85" s="974"/>
      <c r="ANL85" s="974"/>
      <c r="ANM85" s="974"/>
      <c r="ANN85" s="974"/>
      <c r="ANO85" s="974"/>
      <c r="ANP85" s="974"/>
      <c r="ANQ85" s="974"/>
      <c r="ANR85" s="974"/>
      <c r="ANS85" s="974"/>
      <c r="ANT85" s="974"/>
      <c r="ANU85" s="974"/>
      <c r="ANV85" s="974"/>
      <c r="ANW85" s="974"/>
      <c r="ANX85" s="974"/>
      <c r="ANY85" s="974"/>
      <c r="ANZ85" s="974"/>
      <c r="AOA85" s="974"/>
      <c r="AOB85" s="974"/>
      <c r="AOC85" s="974"/>
      <c r="AOD85" s="974"/>
      <c r="AOE85" s="974"/>
      <c r="AOF85" s="974"/>
      <c r="AOG85" s="974"/>
      <c r="AOH85" s="974"/>
      <c r="AOI85" s="974"/>
      <c r="AOJ85" s="974"/>
      <c r="AOK85" s="974"/>
      <c r="AOL85" s="974"/>
      <c r="AOM85" s="974"/>
      <c r="AON85" s="974"/>
      <c r="AOO85" s="974"/>
      <c r="AOP85" s="974"/>
      <c r="AOQ85" s="974"/>
      <c r="AOR85" s="974"/>
      <c r="AOS85" s="974"/>
      <c r="AOT85" s="974"/>
      <c r="AOU85" s="974"/>
      <c r="AOV85" s="974"/>
      <c r="AOW85" s="974"/>
      <c r="AOX85" s="974"/>
      <c r="AOY85" s="974"/>
      <c r="AOZ85" s="974"/>
      <c r="APA85" s="974"/>
      <c r="APB85" s="974"/>
      <c r="APC85" s="974"/>
      <c r="APD85" s="974"/>
      <c r="APE85" s="974"/>
      <c r="APF85" s="974"/>
      <c r="APG85" s="974"/>
      <c r="APH85" s="974"/>
      <c r="API85" s="974"/>
      <c r="APJ85" s="974"/>
      <c r="APK85" s="974"/>
      <c r="APL85" s="974"/>
      <c r="APM85" s="974"/>
      <c r="APN85" s="974"/>
      <c r="APO85" s="974"/>
      <c r="APP85" s="974"/>
      <c r="APQ85" s="974"/>
      <c r="APR85" s="974"/>
      <c r="APS85" s="974"/>
      <c r="APT85" s="974"/>
      <c r="APU85" s="974"/>
      <c r="APV85" s="974"/>
      <c r="APW85" s="974"/>
      <c r="APX85" s="974"/>
      <c r="APY85" s="974"/>
      <c r="APZ85" s="974"/>
      <c r="AQA85" s="974"/>
      <c r="AQB85" s="974"/>
      <c r="AQC85" s="974"/>
      <c r="AQD85" s="974"/>
      <c r="AQE85" s="974"/>
      <c r="AQF85" s="974"/>
      <c r="AQG85" s="974"/>
      <c r="AQH85" s="974"/>
      <c r="AQI85" s="974"/>
      <c r="AQJ85" s="974"/>
      <c r="AQK85" s="974"/>
      <c r="AQL85" s="974"/>
      <c r="AQM85" s="974"/>
      <c r="AQN85" s="974"/>
      <c r="AQO85" s="974"/>
      <c r="AQP85" s="974"/>
      <c r="AQQ85" s="974"/>
      <c r="AQR85" s="974"/>
      <c r="AQS85" s="974"/>
      <c r="AQT85" s="974"/>
      <c r="AQU85" s="974"/>
      <c r="AQV85" s="974"/>
      <c r="AQW85" s="974"/>
      <c r="AQX85" s="974"/>
      <c r="AQY85" s="974"/>
      <c r="AQZ85" s="974"/>
      <c r="ARA85" s="974"/>
      <c r="ARB85" s="974"/>
      <c r="ARC85" s="974"/>
      <c r="ARD85" s="974"/>
      <c r="ARE85" s="974"/>
      <c r="ARF85" s="974"/>
      <c r="ARG85" s="974"/>
      <c r="ARH85" s="974"/>
      <c r="ARI85" s="974"/>
      <c r="ARJ85" s="974"/>
      <c r="ARK85" s="974"/>
      <c r="ARL85" s="974"/>
      <c r="ARM85" s="974"/>
      <c r="ARN85" s="974"/>
      <c r="ARO85" s="974"/>
      <c r="ARP85" s="974"/>
      <c r="ARQ85" s="974"/>
      <c r="ARR85" s="974"/>
      <c r="ARS85" s="974"/>
      <c r="ART85" s="974"/>
      <c r="ARU85" s="974"/>
      <c r="ARV85" s="974"/>
      <c r="ARW85" s="974"/>
      <c r="ARX85" s="974"/>
      <c r="ARY85" s="974"/>
      <c r="ARZ85" s="974"/>
      <c r="ASA85" s="974"/>
      <c r="ASB85" s="974"/>
      <c r="ASC85" s="974"/>
      <c r="ASD85" s="974"/>
      <c r="ASE85" s="974"/>
      <c r="ASF85" s="974"/>
      <c r="ASG85" s="974"/>
      <c r="ASH85" s="974"/>
      <c r="ASI85" s="974"/>
      <c r="ASJ85" s="974"/>
      <c r="ASK85" s="974"/>
      <c r="ASL85" s="974"/>
      <c r="ASM85" s="974"/>
      <c r="ASN85" s="974"/>
      <c r="ASO85" s="974"/>
      <c r="ASP85" s="974"/>
      <c r="ASQ85" s="974"/>
      <c r="ASR85" s="974"/>
      <c r="ASS85" s="974"/>
      <c r="AST85" s="974"/>
      <c r="ASU85" s="974"/>
      <c r="ASV85" s="974"/>
      <c r="ASW85" s="974"/>
      <c r="ASX85" s="974"/>
      <c r="ASY85" s="974"/>
      <c r="ASZ85" s="974"/>
      <c r="ATA85" s="974"/>
      <c r="ATB85" s="974"/>
      <c r="ATC85" s="974"/>
      <c r="ATD85" s="974"/>
      <c r="ATE85" s="974"/>
      <c r="ATF85" s="974"/>
      <c r="ATG85" s="974"/>
      <c r="ATH85" s="974"/>
      <c r="ATI85" s="974"/>
      <c r="ATJ85" s="974"/>
      <c r="ATK85" s="974"/>
      <c r="ATL85" s="974"/>
      <c r="ATM85" s="974"/>
      <c r="ATN85" s="974"/>
      <c r="ATO85" s="974"/>
      <c r="ATP85" s="974"/>
      <c r="ATQ85" s="974"/>
      <c r="ATR85" s="974"/>
      <c r="ATS85" s="974"/>
      <c r="ATT85" s="974"/>
      <c r="ATU85" s="974"/>
      <c r="ATV85" s="974"/>
      <c r="ATW85" s="974"/>
      <c r="ATX85" s="974"/>
      <c r="ATY85" s="974"/>
      <c r="ATZ85" s="974"/>
      <c r="AUA85" s="974"/>
      <c r="AUB85" s="974"/>
      <c r="AUC85" s="974"/>
      <c r="AUD85" s="974"/>
      <c r="AUE85" s="974"/>
      <c r="AUF85" s="974"/>
      <c r="AUG85" s="974"/>
      <c r="AUH85" s="974"/>
      <c r="AUI85" s="974"/>
      <c r="AUJ85" s="974"/>
      <c r="AUK85" s="974"/>
      <c r="AUL85" s="974"/>
      <c r="AUM85" s="974"/>
      <c r="AUN85" s="974"/>
      <c r="AUO85" s="974"/>
      <c r="AUP85" s="974"/>
      <c r="AUQ85" s="974"/>
      <c r="AUR85" s="974"/>
      <c r="AUS85" s="974"/>
      <c r="AUT85" s="974"/>
      <c r="AUU85" s="974"/>
      <c r="AUV85" s="974"/>
      <c r="AUW85" s="974"/>
      <c r="AUX85" s="974"/>
      <c r="AUY85" s="974"/>
      <c r="AUZ85" s="974"/>
      <c r="AVA85" s="974"/>
      <c r="AVB85" s="974"/>
      <c r="AVC85" s="974"/>
      <c r="AVD85" s="974"/>
      <c r="AVE85" s="974"/>
      <c r="AVF85" s="974"/>
      <c r="AVG85" s="974"/>
      <c r="AVH85" s="974"/>
      <c r="AVI85" s="974"/>
      <c r="AVJ85" s="974"/>
      <c r="AVK85" s="974"/>
      <c r="AVL85" s="974"/>
      <c r="AVM85" s="974"/>
      <c r="AVN85" s="974"/>
      <c r="AVO85" s="974"/>
      <c r="AVP85" s="974"/>
      <c r="AVQ85" s="974"/>
      <c r="AVR85" s="974"/>
      <c r="AVS85" s="974"/>
      <c r="AVT85" s="974"/>
      <c r="AVU85" s="974"/>
      <c r="AVV85" s="974"/>
      <c r="AVW85" s="974"/>
      <c r="AVX85" s="974"/>
      <c r="AVY85" s="974"/>
      <c r="AVZ85" s="974"/>
      <c r="AWA85" s="974"/>
      <c r="AWB85" s="974"/>
      <c r="AWC85" s="974"/>
      <c r="AWD85" s="974"/>
      <c r="AWE85" s="974"/>
      <c r="AWF85" s="974"/>
      <c r="AWG85" s="974"/>
      <c r="AWH85" s="974"/>
      <c r="AWI85" s="974"/>
      <c r="AWJ85" s="974"/>
      <c r="AWK85" s="974"/>
      <c r="AWL85" s="974"/>
      <c r="AWM85" s="974"/>
      <c r="AWN85" s="974"/>
      <c r="AWO85" s="974"/>
      <c r="AWP85" s="974"/>
      <c r="AWQ85" s="974"/>
      <c r="AWR85" s="974"/>
      <c r="AWS85" s="974"/>
      <c r="AWT85" s="974"/>
      <c r="AWU85" s="974"/>
      <c r="AWV85" s="974"/>
      <c r="AWW85" s="974"/>
      <c r="AWX85" s="974"/>
      <c r="AWY85" s="974"/>
      <c r="AWZ85" s="974"/>
      <c r="AXA85" s="974"/>
      <c r="AXB85" s="974"/>
      <c r="AXC85" s="974"/>
      <c r="AXD85" s="974"/>
      <c r="AXE85" s="974"/>
      <c r="AXF85" s="974"/>
      <c r="AXG85" s="974"/>
      <c r="AXH85" s="974"/>
      <c r="AXI85" s="974"/>
      <c r="AXJ85" s="974"/>
      <c r="AXK85" s="974"/>
      <c r="AXL85" s="974"/>
      <c r="AXM85" s="974"/>
      <c r="AXN85" s="974"/>
      <c r="AXO85" s="974"/>
      <c r="AXP85" s="974"/>
      <c r="AXQ85" s="974"/>
      <c r="AXR85" s="974"/>
      <c r="AXS85" s="974"/>
      <c r="AXT85" s="974"/>
      <c r="AXU85" s="974"/>
      <c r="AXV85" s="974"/>
      <c r="AXW85" s="974"/>
      <c r="AXX85" s="974"/>
      <c r="AXY85" s="974"/>
      <c r="AXZ85" s="974"/>
      <c r="AYA85" s="974"/>
      <c r="AYB85" s="974"/>
      <c r="AYC85" s="974"/>
      <c r="AYD85" s="974"/>
      <c r="AYE85" s="974"/>
      <c r="AYF85" s="974"/>
      <c r="AYG85" s="974"/>
      <c r="AYH85" s="974"/>
      <c r="AYI85" s="974"/>
      <c r="AYJ85" s="974"/>
      <c r="AYK85" s="974"/>
      <c r="AYL85" s="974"/>
      <c r="AYM85" s="974"/>
      <c r="AYN85" s="974"/>
      <c r="AYO85" s="974"/>
      <c r="AYP85" s="974"/>
      <c r="AYQ85" s="974"/>
      <c r="AYR85" s="974"/>
      <c r="AYS85" s="974"/>
      <c r="AYT85" s="974"/>
      <c r="AYU85" s="974"/>
      <c r="AYV85" s="974"/>
      <c r="AYW85" s="974"/>
      <c r="AYX85" s="974"/>
      <c r="AYY85" s="974"/>
      <c r="AYZ85" s="974"/>
      <c r="AZA85" s="974"/>
      <c r="AZB85" s="974"/>
      <c r="AZC85" s="974"/>
      <c r="AZD85" s="974"/>
      <c r="AZE85" s="974"/>
      <c r="AZF85" s="974"/>
      <c r="AZG85" s="974"/>
      <c r="AZH85" s="974"/>
      <c r="AZI85" s="974"/>
      <c r="AZJ85" s="974"/>
      <c r="AZK85" s="974"/>
      <c r="AZL85" s="974"/>
      <c r="AZM85" s="974"/>
      <c r="AZN85" s="974"/>
      <c r="AZO85" s="974"/>
      <c r="AZP85" s="974"/>
      <c r="AZQ85" s="974"/>
      <c r="AZR85" s="974"/>
      <c r="AZS85" s="974"/>
      <c r="AZT85" s="974"/>
      <c r="AZU85" s="974"/>
      <c r="AZV85" s="974"/>
      <c r="AZW85" s="974"/>
      <c r="AZX85" s="974"/>
      <c r="AZY85" s="974"/>
      <c r="AZZ85" s="974"/>
      <c r="BAA85" s="974"/>
      <c r="BAB85" s="974"/>
      <c r="BAC85" s="974"/>
      <c r="BAD85" s="974"/>
      <c r="BAE85" s="974"/>
      <c r="BAF85" s="974"/>
      <c r="BAG85" s="974"/>
      <c r="BAH85" s="974"/>
      <c r="BAI85" s="974"/>
      <c r="BAJ85" s="974"/>
      <c r="BAK85" s="974"/>
      <c r="BAL85" s="974"/>
      <c r="BAM85" s="974"/>
      <c r="BAN85" s="974"/>
      <c r="BAO85" s="974"/>
      <c r="BAP85" s="974"/>
      <c r="BAQ85" s="974"/>
      <c r="BAR85" s="974"/>
      <c r="BAS85" s="974"/>
      <c r="BAT85" s="974"/>
      <c r="BAU85" s="974"/>
      <c r="BAV85" s="974"/>
      <c r="BAW85" s="974"/>
      <c r="BAX85" s="974"/>
      <c r="BAY85" s="974"/>
      <c r="BAZ85" s="974"/>
      <c r="BBA85" s="974"/>
      <c r="BBB85" s="974"/>
      <c r="BBC85" s="974"/>
      <c r="BBD85" s="974"/>
      <c r="BBE85" s="974"/>
      <c r="BBF85" s="974"/>
      <c r="BBG85" s="974"/>
      <c r="BBH85" s="974"/>
      <c r="BBI85" s="974"/>
      <c r="BBJ85" s="974"/>
      <c r="BBK85" s="974"/>
      <c r="BBL85" s="974"/>
      <c r="BBM85" s="974"/>
      <c r="BBN85" s="974"/>
      <c r="BBO85" s="974"/>
      <c r="BBP85" s="974"/>
      <c r="BBQ85" s="974"/>
      <c r="BBR85" s="974"/>
      <c r="BBS85" s="974"/>
      <c r="BBT85" s="974"/>
      <c r="BBU85" s="974"/>
      <c r="BBV85" s="974"/>
      <c r="BBW85" s="974"/>
      <c r="BBX85" s="974"/>
      <c r="BBY85" s="974"/>
      <c r="BBZ85" s="974"/>
      <c r="BCA85" s="974"/>
      <c r="BCB85" s="974"/>
      <c r="BCC85" s="974"/>
      <c r="BCD85" s="974"/>
      <c r="BCE85" s="974"/>
      <c r="BCF85" s="974"/>
      <c r="BCG85" s="974"/>
      <c r="BCH85" s="974"/>
      <c r="BCI85" s="974"/>
      <c r="BCJ85" s="974"/>
      <c r="BCK85" s="974"/>
      <c r="BCL85" s="974"/>
      <c r="BCM85" s="974"/>
      <c r="BCN85" s="974"/>
      <c r="BCO85" s="974"/>
      <c r="BCP85" s="974"/>
      <c r="BCQ85" s="974"/>
      <c r="BCR85" s="974"/>
      <c r="BCS85" s="974"/>
      <c r="BCT85" s="974"/>
      <c r="BCU85" s="974"/>
      <c r="BCV85" s="974"/>
      <c r="BCW85" s="974"/>
      <c r="BCX85" s="974"/>
      <c r="BCY85" s="974"/>
      <c r="BCZ85" s="974"/>
      <c r="BDA85" s="974"/>
      <c r="BDB85" s="974"/>
      <c r="BDC85" s="974"/>
      <c r="BDD85" s="974"/>
      <c r="BDE85" s="974"/>
      <c r="BDF85" s="974"/>
      <c r="BDG85" s="974"/>
      <c r="BDH85" s="974"/>
      <c r="BDI85" s="974"/>
      <c r="BDJ85" s="974"/>
      <c r="BDK85" s="974"/>
      <c r="BDL85" s="974"/>
      <c r="BDM85" s="974"/>
      <c r="BDN85" s="974"/>
      <c r="BDO85" s="974"/>
      <c r="BDP85" s="974"/>
      <c r="BDQ85" s="974"/>
      <c r="BDR85" s="974"/>
      <c r="BDS85" s="974"/>
      <c r="BDT85" s="974"/>
      <c r="BDU85" s="974"/>
      <c r="BDV85" s="974"/>
      <c r="BDW85" s="974"/>
      <c r="BDX85" s="974"/>
      <c r="BDY85" s="974"/>
      <c r="BDZ85" s="974"/>
      <c r="BEA85" s="974"/>
      <c r="BEB85" s="974"/>
      <c r="BEC85" s="974"/>
      <c r="BED85" s="974"/>
      <c r="BEE85" s="974"/>
      <c r="BEF85" s="974"/>
      <c r="BEG85" s="974"/>
      <c r="BEH85" s="974"/>
      <c r="BEI85" s="974"/>
      <c r="BEJ85" s="974"/>
      <c r="BEK85" s="974"/>
      <c r="BEL85" s="974"/>
      <c r="BEM85" s="974"/>
      <c r="BEN85" s="974"/>
      <c r="BEO85" s="974"/>
      <c r="BEP85" s="974"/>
      <c r="BEQ85" s="974"/>
      <c r="BER85" s="974"/>
      <c r="BES85" s="974"/>
      <c r="BET85" s="974"/>
      <c r="BEU85" s="974"/>
      <c r="BEV85" s="974"/>
      <c r="BEW85" s="974"/>
      <c r="BEX85" s="974"/>
      <c r="BEY85" s="974"/>
      <c r="BEZ85" s="974"/>
      <c r="BFA85" s="974"/>
      <c r="BFB85" s="974"/>
      <c r="BFC85" s="974"/>
      <c r="BFD85" s="974"/>
      <c r="BFE85" s="974"/>
      <c r="BFF85" s="974"/>
      <c r="BFG85" s="974"/>
      <c r="BFH85" s="974"/>
      <c r="BFI85" s="974"/>
      <c r="BFJ85" s="974"/>
      <c r="BFK85" s="974"/>
      <c r="BFL85" s="974"/>
      <c r="BFM85" s="974"/>
      <c r="BFN85" s="974"/>
      <c r="BFO85" s="974"/>
      <c r="BFP85" s="974"/>
      <c r="BFQ85" s="974"/>
      <c r="BFR85" s="974"/>
      <c r="BFS85" s="974"/>
      <c r="BFT85" s="974"/>
      <c r="BFU85" s="974"/>
      <c r="BFV85" s="974"/>
      <c r="BFW85" s="974"/>
      <c r="BFX85" s="974"/>
      <c r="BFY85" s="974"/>
      <c r="BFZ85" s="974"/>
      <c r="BGA85" s="974"/>
      <c r="BGB85" s="974"/>
      <c r="BGC85" s="974"/>
      <c r="BGD85" s="974"/>
      <c r="BGE85" s="974"/>
      <c r="BGF85" s="974"/>
      <c r="BGG85" s="974"/>
      <c r="BGH85" s="974"/>
      <c r="BGI85" s="974"/>
      <c r="BGJ85" s="974"/>
      <c r="BGK85" s="974"/>
      <c r="BGL85" s="974"/>
      <c r="BGM85" s="974"/>
      <c r="BGN85" s="974"/>
      <c r="BGO85" s="974"/>
      <c r="BGP85" s="974"/>
      <c r="BGQ85" s="974"/>
      <c r="BGR85" s="974"/>
      <c r="BGS85" s="974"/>
      <c r="BGT85" s="974"/>
      <c r="BGU85" s="974"/>
      <c r="BGV85" s="974"/>
      <c r="BGW85" s="974"/>
      <c r="BGX85" s="974"/>
      <c r="BGY85" s="974"/>
      <c r="BGZ85" s="974"/>
      <c r="BHA85" s="974"/>
      <c r="BHB85" s="974"/>
      <c r="BHC85" s="974"/>
      <c r="BHD85" s="974"/>
      <c r="BHE85" s="974"/>
      <c r="BHF85" s="974"/>
      <c r="BHG85" s="974"/>
      <c r="BHH85" s="974"/>
      <c r="BHI85" s="974"/>
      <c r="BHJ85" s="974"/>
      <c r="BHK85" s="974"/>
      <c r="BHL85" s="974"/>
      <c r="BHM85" s="974"/>
      <c r="BHN85" s="974"/>
      <c r="BHO85" s="974"/>
      <c r="BHP85" s="974"/>
      <c r="BHQ85" s="974"/>
      <c r="BHR85" s="974"/>
      <c r="BHS85" s="974"/>
      <c r="BHT85" s="974"/>
      <c r="BHU85" s="974"/>
      <c r="BHV85" s="974"/>
      <c r="BHW85" s="974"/>
      <c r="BHX85" s="974"/>
      <c r="BHY85" s="974"/>
      <c r="BHZ85" s="974"/>
      <c r="BIA85" s="974"/>
      <c r="BIB85" s="974"/>
      <c r="BIC85" s="974"/>
      <c r="BID85" s="974"/>
      <c r="BIE85" s="974"/>
      <c r="BIF85" s="974"/>
      <c r="BIG85" s="974"/>
      <c r="BIH85" s="974"/>
      <c r="BII85" s="974"/>
      <c r="BIJ85" s="974"/>
      <c r="BIK85" s="974"/>
      <c r="BIL85" s="974"/>
      <c r="BIM85" s="974"/>
      <c r="BIN85" s="974"/>
      <c r="BIO85" s="974"/>
      <c r="BIP85" s="974"/>
      <c r="BIQ85" s="974"/>
      <c r="BIR85" s="974"/>
      <c r="BIS85" s="974"/>
      <c r="BIT85" s="974"/>
      <c r="BIU85" s="974"/>
      <c r="BIV85" s="974"/>
      <c r="BIW85" s="974"/>
      <c r="BIX85" s="974"/>
      <c r="BIY85" s="974"/>
      <c r="BIZ85" s="974"/>
      <c r="BJA85" s="974"/>
      <c r="BJB85" s="974"/>
      <c r="BJC85" s="974"/>
      <c r="BJD85" s="974"/>
      <c r="BJE85" s="974"/>
      <c r="BJF85" s="974"/>
      <c r="BJG85" s="974"/>
      <c r="BJH85" s="974"/>
      <c r="BJI85" s="974"/>
      <c r="BJJ85" s="974"/>
      <c r="BJK85" s="974"/>
      <c r="BJL85" s="974"/>
      <c r="BJM85" s="974"/>
      <c r="BJN85" s="974"/>
      <c r="BJO85" s="974"/>
      <c r="BJP85" s="974"/>
      <c r="BJQ85" s="974"/>
      <c r="BJR85" s="974"/>
      <c r="BJS85" s="974"/>
      <c r="BJT85" s="974"/>
      <c r="BJU85" s="974"/>
      <c r="BJV85" s="974"/>
      <c r="BJW85" s="974"/>
      <c r="BJX85" s="974"/>
      <c r="BJY85" s="974"/>
      <c r="BJZ85" s="974"/>
      <c r="BKA85" s="974"/>
      <c r="BKB85" s="974"/>
      <c r="BKC85" s="974"/>
      <c r="BKD85" s="974"/>
      <c r="BKE85" s="974"/>
      <c r="BKF85" s="974"/>
      <c r="BKG85" s="974"/>
      <c r="BKH85" s="974"/>
      <c r="BKI85" s="974"/>
      <c r="BKJ85" s="974"/>
      <c r="BKK85" s="974"/>
      <c r="BKL85" s="974"/>
      <c r="BKM85" s="974"/>
      <c r="BKN85" s="974"/>
      <c r="BKO85" s="974"/>
      <c r="BKP85" s="974"/>
      <c r="BKQ85" s="974"/>
      <c r="BKR85" s="974"/>
      <c r="BKS85" s="974"/>
      <c r="BKT85" s="974"/>
      <c r="BKU85" s="974"/>
      <c r="BKV85" s="974"/>
      <c r="BKW85" s="974"/>
      <c r="BKX85" s="974"/>
      <c r="BKY85" s="974"/>
      <c r="BKZ85" s="974"/>
      <c r="BLA85" s="974"/>
      <c r="BLB85" s="974"/>
      <c r="BLC85" s="974"/>
      <c r="BLD85" s="974"/>
      <c r="BLE85" s="974"/>
      <c r="BLF85" s="974"/>
      <c r="BLG85" s="974"/>
      <c r="BLH85" s="974"/>
      <c r="BLI85" s="974"/>
      <c r="BLJ85" s="974"/>
      <c r="BLK85" s="974"/>
      <c r="BLL85" s="974"/>
      <c r="BLM85" s="974"/>
      <c r="BLN85" s="974"/>
      <c r="BLO85" s="974"/>
      <c r="BLP85" s="974"/>
      <c r="BLQ85" s="974"/>
      <c r="BLR85" s="974"/>
      <c r="BLS85" s="974"/>
      <c r="BLT85" s="974"/>
      <c r="BLU85" s="974"/>
      <c r="BLV85" s="974"/>
      <c r="BLW85" s="974"/>
      <c r="BLX85" s="974"/>
      <c r="BLY85" s="974"/>
      <c r="BLZ85" s="974"/>
      <c r="BMA85" s="974"/>
      <c r="BMB85" s="974"/>
      <c r="BMC85" s="974"/>
      <c r="BMD85" s="974"/>
      <c r="BME85" s="974"/>
      <c r="BMF85" s="974"/>
      <c r="BMG85" s="974"/>
      <c r="BMH85" s="974"/>
      <c r="BMI85" s="974"/>
      <c r="BMJ85" s="974"/>
      <c r="BMK85" s="974"/>
      <c r="BML85" s="974"/>
      <c r="BMM85" s="974"/>
      <c r="BMN85" s="974"/>
      <c r="BMO85" s="974"/>
      <c r="BMP85" s="974"/>
      <c r="BMQ85" s="974"/>
      <c r="BMR85" s="974"/>
      <c r="BMS85" s="974"/>
      <c r="BMT85" s="974"/>
      <c r="BMU85" s="974"/>
      <c r="BMV85" s="974"/>
      <c r="BMW85" s="974"/>
      <c r="BMX85" s="974"/>
      <c r="BMY85" s="974"/>
      <c r="BMZ85" s="974"/>
      <c r="BNA85" s="974"/>
      <c r="BNB85" s="974"/>
      <c r="BNC85" s="974"/>
      <c r="BND85" s="974"/>
      <c r="BNE85" s="974"/>
      <c r="BNF85" s="974"/>
      <c r="BNG85" s="974"/>
      <c r="BNH85" s="974"/>
      <c r="BNI85" s="974"/>
      <c r="BNJ85" s="974"/>
      <c r="BNK85" s="974"/>
      <c r="BNL85" s="974"/>
      <c r="BNM85" s="974"/>
      <c r="BNN85" s="974"/>
      <c r="BNO85" s="974"/>
      <c r="BNP85" s="974"/>
      <c r="BNQ85" s="974"/>
      <c r="BNR85" s="974"/>
      <c r="BNS85" s="974"/>
      <c r="BNT85" s="974"/>
      <c r="BNU85" s="974"/>
      <c r="BNV85" s="974"/>
      <c r="BNW85" s="974"/>
      <c r="BNX85" s="974"/>
      <c r="BNY85" s="974"/>
      <c r="BNZ85" s="974"/>
      <c r="BOA85" s="974"/>
      <c r="BOB85" s="974"/>
      <c r="BOC85" s="974"/>
      <c r="BOD85" s="974"/>
      <c r="BOE85" s="974"/>
      <c r="BOF85" s="974"/>
      <c r="BOG85" s="974"/>
      <c r="BOH85" s="974"/>
      <c r="BOI85" s="974"/>
      <c r="BOJ85" s="974"/>
      <c r="BOK85" s="974"/>
      <c r="BOL85" s="974"/>
      <c r="BOM85" s="974"/>
      <c r="BON85" s="974"/>
      <c r="BOO85" s="974"/>
      <c r="BOP85" s="974"/>
      <c r="BOQ85" s="974"/>
      <c r="BOR85" s="974"/>
      <c r="BOS85" s="974"/>
      <c r="BOT85" s="974"/>
      <c r="BOU85" s="974"/>
      <c r="BOV85" s="974"/>
      <c r="BOW85" s="974"/>
      <c r="BOX85" s="974"/>
      <c r="BOY85" s="974"/>
      <c r="BOZ85" s="974"/>
      <c r="BPA85" s="974"/>
      <c r="BPB85" s="974"/>
      <c r="BPC85" s="974"/>
      <c r="BPD85" s="974"/>
      <c r="BPE85" s="974"/>
      <c r="BPF85" s="974"/>
      <c r="BPG85" s="974"/>
      <c r="BPH85" s="974"/>
      <c r="BPI85" s="974"/>
      <c r="BPJ85" s="974"/>
      <c r="BPK85" s="974"/>
      <c r="BPL85" s="974"/>
      <c r="BPM85" s="974"/>
      <c r="BPN85" s="974"/>
      <c r="BPO85" s="974"/>
      <c r="BPP85" s="974"/>
      <c r="BPQ85" s="974"/>
      <c r="BPR85" s="974"/>
      <c r="BPS85" s="974"/>
      <c r="BPT85" s="974"/>
      <c r="BPU85" s="974"/>
      <c r="BPV85" s="974"/>
      <c r="BPW85" s="974"/>
      <c r="BPX85" s="974"/>
      <c r="BPY85" s="974"/>
      <c r="BPZ85" s="974"/>
      <c r="BQA85" s="974"/>
      <c r="BQB85" s="974"/>
      <c r="BQC85" s="974"/>
      <c r="BQD85" s="974"/>
      <c r="BQE85" s="974"/>
      <c r="BQF85" s="974"/>
      <c r="BQG85" s="974"/>
      <c r="BQH85" s="974"/>
      <c r="BQI85" s="974"/>
      <c r="BQJ85" s="974"/>
      <c r="BQK85" s="974"/>
      <c r="BQL85" s="974"/>
      <c r="BQM85" s="974"/>
      <c r="BQN85" s="974"/>
      <c r="BQO85" s="974"/>
      <c r="BQP85" s="974"/>
      <c r="BQQ85" s="974"/>
      <c r="BQR85" s="974"/>
      <c r="BQS85" s="974"/>
      <c r="BQT85" s="974"/>
      <c r="BQU85" s="974"/>
      <c r="BQV85" s="974"/>
      <c r="BQW85" s="974"/>
      <c r="BQX85" s="974"/>
      <c r="BQY85" s="974"/>
      <c r="BQZ85" s="974"/>
      <c r="BRA85" s="974"/>
      <c r="BRB85" s="974"/>
      <c r="BRC85" s="974"/>
      <c r="BRD85" s="974"/>
      <c r="BRE85" s="974"/>
      <c r="BRF85" s="974"/>
      <c r="BRG85" s="974"/>
      <c r="BRH85" s="974"/>
      <c r="BRI85" s="974"/>
      <c r="BRJ85" s="974"/>
      <c r="BRK85" s="974"/>
      <c r="BRL85" s="974"/>
      <c r="BRM85" s="974"/>
      <c r="BRN85" s="974"/>
      <c r="BRO85" s="974"/>
      <c r="BRP85" s="974"/>
      <c r="BRQ85" s="974"/>
      <c r="BRR85" s="974"/>
      <c r="BRS85" s="974"/>
      <c r="BRT85" s="974"/>
      <c r="BRU85" s="974"/>
      <c r="BRV85" s="974"/>
      <c r="BRW85" s="974"/>
      <c r="BRX85" s="974"/>
      <c r="BRY85" s="974"/>
      <c r="BRZ85" s="974"/>
      <c r="BSA85" s="974"/>
      <c r="BSB85" s="974"/>
      <c r="BSC85" s="974"/>
      <c r="BSD85" s="974"/>
      <c r="BSE85" s="974"/>
      <c r="BSF85" s="974"/>
      <c r="BSG85" s="974"/>
      <c r="BSH85" s="974"/>
      <c r="BSI85" s="974"/>
      <c r="BSJ85" s="974"/>
      <c r="BSK85" s="974"/>
      <c r="BSL85" s="974"/>
      <c r="BSM85" s="974"/>
      <c r="BSN85" s="974"/>
      <c r="BSO85" s="974"/>
      <c r="BSP85" s="974"/>
      <c r="BSQ85" s="974"/>
      <c r="BSR85" s="974"/>
      <c r="BSS85" s="974"/>
      <c r="BST85" s="974"/>
      <c r="BSU85" s="974"/>
      <c r="BSV85" s="974"/>
      <c r="BSW85" s="974"/>
      <c r="BSX85" s="974"/>
      <c r="BSY85" s="974"/>
      <c r="BSZ85" s="974"/>
      <c r="BTA85" s="974"/>
      <c r="BTB85" s="974"/>
      <c r="BTC85" s="974"/>
      <c r="BTD85" s="974"/>
      <c r="BTE85" s="974"/>
      <c r="BTF85" s="974"/>
      <c r="BTG85" s="974"/>
      <c r="BTH85" s="974"/>
      <c r="BTI85" s="974"/>
      <c r="BTJ85" s="974"/>
      <c r="BTK85" s="974"/>
      <c r="BTL85" s="974"/>
      <c r="BTM85" s="974"/>
      <c r="BTN85" s="974"/>
      <c r="BTO85" s="974"/>
      <c r="BTP85" s="974"/>
      <c r="BTQ85" s="974"/>
      <c r="BTR85" s="974"/>
      <c r="BTS85" s="974"/>
      <c r="BTT85" s="974"/>
      <c r="BTU85" s="974"/>
      <c r="BTV85" s="974"/>
      <c r="BTW85" s="974"/>
      <c r="BTX85" s="974"/>
      <c r="BTY85" s="974"/>
      <c r="BTZ85" s="974"/>
      <c r="BUA85" s="974"/>
      <c r="BUB85" s="974"/>
      <c r="BUC85" s="974"/>
      <c r="BUD85" s="974"/>
      <c r="BUE85" s="974"/>
      <c r="BUF85" s="974"/>
      <c r="BUG85" s="974"/>
      <c r="BUH85" s="974"/>
      <c r="BUI85" s="974"/>
      <c r="BUJ85" s="974"/>
      <c r="BUK85" s="974"/>
      <c r="BUL85" s="974"/>
      <c r="BUM85" s="974"/>
      <c r="BUN85" s="974"/>
      <c r="BUO85" s="974"/>
      <c r="BUP85" s="974"/>
      <c r="BUQ85" s="974"/>
      <c r="BUR85" s="974"/>
      <c r="BUS85" s="974"/>
      <c r="BUT85" s="974"/>
      <c r="BUU85" s="974"/>
      <c r="BUV85" s="974"/>
      <c r="BUW85" s="974"/>
      <c r="BUX85" s="974"/>
      <c r="BUY85" s="974"/>
      <c r="BUZ85" s="974"/>
      <c r="BVA85" s="974"/>
      <c r="BVB85" s="974"/>
      <c r="BVC85" s="974"/>
      <c r="BVD85" s="974"/>
      <c r="BVE85" s="974"/>
      <c r="BVF85" s="974"/>
      <c r="BVG85" s="974"/>
      <c r="BVH85" s="974"/>
      <c r="BVI85" s="974"/>
      <c r="BVJ85" s="974"/>
      <c r="BVK85" s="974"/>
      <c r="BVL85" s="974"/>
      <c r="BVM85" s="974"/>
      <c r="BVN85" s="974"/>
      <c r="BVO85" s="974"/>
      <c r="BVP85" s="974"/>
      <c r="BVQ85" s="974"/>
      <c r="BVR85" s="974"/>
      <c r="BVS85" s="974"/>
      <c r="BVT85" s="974"/>
      <c r="BVU85" s="974"/>
      <c r="BVV85" s="974"/>
      <c r="BVW85" s="974"/>
      <c r="BVX85" s="974"/>
      <c r="BVY85" s="974"/>
      <c r="BVZ85" s="974"/>
      <c r="BWA85" s="974"/>
      <c r="BWB85" s="974"/>
      <c r="BWC85" s="974"/>
      <c r="BWD85" s="974"/>
      <c r="BWE85" s="974"/>
      <c r="BWF85" s="974"/>
      <c r="BWG85" s="974"/>
      <c r="BWH85" s="974"/>
      <c r="BWI85" s="974"/>
      <c r="BWJ85" s="974"/>
      <c r="BWK85" s="974"/>
      <c r="BWL85" s="974"/>
      <c r="BWM85" s="974"/>
      <c r="BWN85" s="974"/>
      <c r="BWO85" s="974"/>
      <c r="BWP85" s="974"/>
      <c r="BWQ85" s="974"/>
      <c r="BWR85" s="974"/>
      <c r="BWS85" s="974"/>
      <c r="BWT85" s="974"/>
      <c r="BWU85" s="974"/>
      <c r="BWV85" s="974"/>
      <c r="BWW85" s="974"/>
      <c r="BWX85" s="974"/>
      <c r="BWY85" s="974"/>
      <c r="BWZ85" s="974"/>
      <c r="BXA85" s="974"/>
      <c r="BXB85" s="974"/>
      <c r="BXC85" s="974"/>
      <c r="BXD85" s="974"/>
      <c r="BXE85" s="974"/>
      <c r="BXF85" s="974"/>
      <c r="BXG85" s="974"/>
      <c r="BXH85" s="974"/>
      <c r="BXI85" s="974"/>
      <c r="BXJ85" s="974"/>
      <c r="BXK85" s="974"/>
      <c r="BXL85" s="974"/>
      <c r="BXM85" s="974"/>
      <c r="BXN85" s="974"/>
      <c r="BXO85" s="974"/>
      <c r="BXP85" s="974"/>
      <c r="BXQ85" s="974"/>
      <c r="BXR85" s="974"/>
      <c r="BXS85" s="974"/>
      <c r="BXT85" s="974"/>
      <c r="BXU85" s="974"/>
      <c r="BXV85" s="974"/>
      <c r="BXW85" s="974"/>
      <c r="BXX85" s="974"/>
      <c r="BXY85" s="974"/>
      <c r="BXZ85" s="974"/>
      <c r="BYA85" s="974"/>
      <c r="BYB85" s="974"/>
      <c r="BYC85" s="974"/>
      <c r="BYD85" s="974"/>
      <c r="BYE85" s="974"/>
      <c r="BYF85" s="974"/>
      <c r="BYG85" s="974"/>
      <c r="BYH85" s="974"/>
      <c r="BYI85" s="974"/>
      <c r="BYJ85" s="974"/>
      <c r="BYK85" s="974"/>
      <c r="BYL85" s="974"/>
      <c r="BYM85" s="974"/>
      <c r="BYN85" s="974"/>
      <c r="BYO85" s="974"/>
      <c r="BYP85" s="974"/>
      <c r="BYQ85" s="974"/>
      <c r="BYR85" s="974"/>
      <c r="BYS85" s="974"/>
      <c r="BYT85" s="974"/>
      <c r="BYU85" s="974"/>
      <c r="BYV85" s="974"/>
      <c r="BYW85" s="974"/>
      <c r="BYX85" s="974"/>
      <c r="BYY85" s="974"/>
      <c r="BYZ85" s="974"/>
      <c r="BZA85" s="974"/>
      <c r="BZB85" s="974"/>
      <c r="BZC85" s="974"/>
      <c r="BZD85" s="974"/>
      <c r="BZE85" s="974"/>
      <c r="BZF85" s="974"/>
      <c r="BZG85" s="974"/>
      <c r="BZH85" s="974"/>
      <c r="BZI85" s="974"/>
      <c r="BZJ85" s="974"/>
      <c r="BZK85" s="974"/>
      <c r="BZL85" s="974"/>
      <c r="BZM85" s="974"/>
      <c r="BZN85" s="974"/>
      <c r="BZO85" s="974"/>
      <c r="BZP85" s="974"/>
      <c r="BZQ85" s="974"/>
      <c r="BZR85" s="974"/>
      <c r="BZS85" s="974"/>
      <c r="BZT85" s="974"/>
      <c r="BZU85" s="974"/>
      <c r="BZV85" s="974"/>
      <c r="BZW85" s="974"/>
      <c r="BZX85" s="974"/>
      <c r="BZY85" s="974"/>
      <c r="BZZ85" s="974"/>
      <c r="CAA85" s="974"/>
      <c r="CAB85" s="974"/>
      <c r="CAC85" s="974"/>
      <c r="CAD85" s="974"/>
      <c r="CAE85" s="974"/>
      <c r="CAF85" s="974"/>
      <c r="CAG85" s="974"/>
      <c r="CAH85" s="974"/>
      <c r="CAI85" s="974"/>
      <c r="CAJ85" s="974"/>
      <c r="CAK85" s="974"/>
      <c r="CAL85" s="974"/>
      <c r="CAM85" s="974"/>
      <c r="CAN85" s="974"/>
      <c r="CAO85" s="974"/>
      <c r="CAP85" s="974"/>
      <c r="CAQ85" s="974"/>
      <c r="CAR85" s="974"/>
      <c r="CAS85" s="974"/>
      <c r="CAT85" s="974"/>
      <c r="CAU85" s="974"/>
      <c r="CAV85" s="974"/>
      <c r="CAW85" s="974"/>
      <c r="CAX85" s="974"/>
      <c r="CAY85" s="974"/>
      <c r="CAZ85" s="974"/>
      <c r="CBA85" s="974"/>
      <c r="CBB85" s="974"/>
      <c r="CBC85" s="974"/>
      <c r="CBD85" s="974"/>
      <c r="CBE85" s="974"/>
      <c r="CBF85" s="974"/>
      <c r="CBG85" s="974"/>
      <c r="CBH85" s="974"/>
      <c r="CBI85" s="974"/>
      <c r="CBJ85" s="974"/>
      <c r="CBK85" s="974"/>
      <c r="CBL85" s="974"/>
      <c r="CBM85" s="974"/>
      <c r="CBN85" s="974"/>
      <c r="CBO85" s="974"/>
      <c r="CBP85" s="974"/>
      <c r="CBQ85" s="974"/>
      <c r="CBR85" s="974"/>
      <c r="CBS85" s="974"/>
      <c r="CBT85" s="974"/>
      <c r="CBU85" s="974"/>
      <c r="CBV85" s="974"/>
      <c r="CBW85" s="974"/>
      <c r="CBX85" s="974"/>
      <c r="CBY85" s="974"/>
      <c r="CBZ85" s="974"/>
      <c r="CCA85" s="974"/>
      <c r="CCB85" s="974"/>
      <c r="CCC85" s="974"/>
      <c r="CCD85" s="974"/>
      <c r="CCE85" s="974"/>
      <c r="CCF85" s="974"/>
      <c r="CCG85" s="974"/>
      <c r="CCH85" s="974"/>
      <c r="CCI85" s="974"/>
      <c r="CCJ85" s="974"/>
      <c r="CCK85" s="974"/>
      <c r="CCL85" s="974"/>
      <c r="CCM85" s="974"/>
      <c r="CCN85" s="974"/>
      <c r="CCO85" s="974"/>
      <c r="CCP85" s="974"/>
      <c r="CCQ85" s="974"/>
      <c r="CCR85" s="974"/>
      <c r="CCS85" s="974"/>
      <c r="CCT85" s="974"/>
      <c r="CCU85" s="974"/>
      <c r="CCV85" s="974"/>
      <c r="CCW85" s="974"/>
      <c r="CCX85" s="974"/>
      <c r="CCY85" s="974"/>
      <c r="CCZ85" s="974"/>
      <c r="CDA85" s="974"/>
      <c r="CDB85" s="974"/>
      <c r="CDC85" s="974"/>
      <c r="CDD85" s="974"/>
      <c r="CDE85" s="974"/>
      <c r="CDF85" s="974"/>
      <c r="CDG85" s="974"/>
      <c r="CDH85" s="974"/>
      <c r="CDI85" s="974"/>
      <c r="CDJ85" s="974"/>
      <c r="CDK85" s="974"/>
      <c r="CDL85" s="974"/>
      <c r="CDM85" s="974"/>
      <c r="CDN85" s="974"/>
      <c r="CDO85" s="974"/>
      <c r="CDP85" s="974"/>
      <c r="CDQ85" s="974"/>
      <c r="CDR85" s="974"/>
      <c r="CDS85" s="974"/>
      <c r="CDT85" s="974"/>
      <c r="CDU85" s="974"/>
      <c r="CDV85" s="974"/>
      <c r="CDW85" s="974"/>
      <c r="CDX85" s="974"/>
      <c r="CDY85" s="974"/>
      <c r="CDZ85" s="974"/>
      <c r="CEA85" s="974"/>
      <c r="CEB85" s="974"/>
      <c r="CEC85" s="974"/>
      <c r="CED85" s="974"/>
      <c r="CEE85" s="974"/>
      <c r="CEF85" s="974"/>
      <c r="CEG85" s="974"/>
      <c r="CEH85" s="974"/>
      <c r="CEI85" s="974"/>
      <c r="CEJ85" s="974"/>
      <c r="CEK85" s="974"/>
      <c r="CEL85" s="974"/>
      <c r="CEM85" s="974"/>
      <c r="CEN85" s="974"/>
      <c r="CEO85" s="974"/>
      <c r="CEP85" s="974"/>
      <c r="CEQ85" s="974"/>
      <c r="CER85" s="974"/>
      <c r="CES85" s="974"/>
      <c r="CET85" s="974"/>
      <c r="CEU85" s="974"/>
      <c r="CEV85" s="974"/>
      <c r="CEW85" s="974"/>
      <c r="CEX85" s="974"/>
      <c r="CEY85" s="974"/>
      <c r="CEZ85" s="974"/>
      <c r="CFA85" s="974"/>
      <c r="CFB85" s="974"/>
      <c r="CFC85" s="974"/>
      <c r="CFD85" s="974"/>
      <c r="CFE85" s="974"/>
      <c r="CFF85" s="974"/>
      <c r="CFG85" s="974"/>
      <c r="CFH85" s="974"/>
      <c r="CFI85" s="974"/>
      <c r="CFJ85" s="974"/>
      <c r="CFK85" s="974"/>
      <c r="CFL85" s="974"/>
      <c r="CFM85" s="974"/>
      <c r="CFN85" s="974"/>
      <c r="CFO85" s="974"/>
      <c r="CFP85" s="974"/>
      <c r="CFQ85" s="974"/>
      <c r="CFR85" s="974"/>
      <c r="CFS85" s="974"/>
      <c r="CFT85" s="974"/>
      <c r="CFU85" s="974"/>
      <c r="CFV85" s="974"/>
      <c r="CFW85" s="974"/>
      <c r="CFX85" s="974"/>
      <c r="CFY85" s="974"/>
      <c r="CFZ85" s="974"/>
      <c r="CGA85" s="974"/>
      <c r="CGB85" s="974"/>
      <c r="CGC85" s="974"/>
      <c r="CGD85" s="974"/>
      <c r="CGE85" s="974"/>
      <c r="CGF85" s="974"/>
      <c r="CGG85" s="974"/>
      <c r="CGH85" s="974"/>
      <c r="CGI85" s="974"/>
      <c r="CGJ85" s="974"/>
      <c r="CGK85" s="974"/>
      <c r="CGL85" s="974"/>
      <c r="CGM85" s="974"/>
      <c r="CGN85" s="974"/>
      <c r="CGO85" s="974"/>
      <c r="CGP85" s="974"/>
      <c r="CGQ85" s="974"/>
      <c r="CGR85" s="974"/>
      <c r="CGS85" s="974"/>
      <c r="CGT85" s="974"/>
      <c r="CGU85" s="974"/>
      <c r="CGV85" s="974"/>
      <c r="CGW85" s="974"/>
      <c r="CGX85" s="974"/>
      <c r="CGY85" s="974"/>
      <c r="CGZ85" s="974"/>
      <c r="CHA85" s="974"/>
      <c r="CHB85" s="974"/>
      <c r="CHC85" s="974"/>
      <c r="CHD85" s="974"/>
      <c r="CHE85" s="974"/>
      <c r="CHF85" s="974"/>
      <c r="CHG85" s="974"/>
      <c r="CHH85" s="974"/>
      <c r="CHI85" s="974"/>
      <c r="CHJ85" s="974"/>
      <c r="CHK85" s="974"/>
      <c r="CHL85" s="974"/>
      <c r="CHM85" s="974"/>
      <c r="CHN85" s="974"/>
      <c r="CHO85" s="974"/>
      <c r="CHP85" s="974"/>
      <c r="CHQ85" s="974"/>
      <c r="CHR85" s="974"/>
      <c r="CHS85" s="974"/>
      <c r="CHT85" s="974"/>
      <c r="CHU85" s="974"/>
      <c r="CHV85" s="974"/>
      <c r="CHW85" s="974"/>
      <c r="CHX85" s="974"/>
      <c r="CHY85" s="974"/>
      <c r="CHZ85" s="974"/>
      <c r="CIA85" s="974"/>
      <c r="CIB85" s="974"/>
      <c r="CIC85" s="974"/>
      <c r="CID85" s="974"/>
      <c r="CIE85" s="974"/>
      <c r="CIF85" s="974"/>
      <c r="CIG85" s="974"/>
      <c r="CIH85" s="974"/>
      <c r="CII85" s="974"/>
      <c r="CIJ85" s="974"/>
      <c r="CIK85" s="974"/>
      <c r="CIL85" s="974"/>
      <c r="CIM85" s="974"/>
      <c r="CIN85" s="974"/>
      <c r="CIO85" s="974"/>
      <c r="CIP85" s="974"/>
      <c r="CIQ85" s="974"/>
      <c r="CIR85" s="974"/>
      <c r="CIS85" s="974"/>
      <c r="CIT85" s="974"/>
      <c r="CIU85" s="974"/>
      <c r="CIV85" s="974"/>
      <c r="CIW85" s="974"/>
      <c r="CIX85" s="974"/>
      <c r="CIY85" s="974"/>
      <c r="CIZ85" s="974"/>
      <c r="CJA85" s="974"/>
      <c r="CJB85" s="974"/>
      <c r="CJC85" s="974"/>
      <c r="CJD85" s="974"/>
      <c r="CJE85" s="974"/>
      <c r="CJF85" s="974"/>
      <c r="CJG85" s="974"/>
      <c r="CJH85" s="974"/>
      <c r="CJI85" s="974"/>
      <c r="CJJ85" s="974"/>
      <c r="CJK85" s="974"/>
      <c r="CJL85" s="974"/>
      <c r="CJM85" s="974"/>
      <c r="CJN85" s="974"/>
      <c r="CJO85" s="974"/>
      <c r="CJP85" s="974"/>
      <c r="CJQ85" s="974"/>
      <c r="CJR85" s="974"/>
      <c r="CJS85" s="974"/>
      <c r="CJT85" s="974"/>
      <c r="CJU85" s="974"/>
      <c r="CJV85" s="974"/>
      <c r="CJW85" s="974"/>
      <c r="CJX85" s="974"/>
      <c r="CJY85" s="974"/>
      <c r="CJZ85" s="974"/>
      <c r="CKA85" s="974"/>
      <c r="CKB85" s="974"/>
      <c r="CKC85" s="974"/>
      <c r="CKD85" s="974"/>
      <c r="CKE85" s="974"/>
      <c r="CKF85" s="974"/>
      <c r="CKG85" s="974"/>
      <c r="CKH85" s="974"/>
      <c r="CKI85" s="974"/>
      <c r="CKJ85" s="974"/>
      <c r="CKK85" s="974"/>
      <c r="CKL85" s="974"/>
      <c r="CKM85" s="974"/>
      <c r="CKN85" s="974"/>
      <c r="CKO85" s="974"/>
      <c r="CKP85" s="974"/>
      <c r="CKQ85" s="974"/>
      <c r="CKR85" s="974"/>
      <c r="CKS85" s="974"/>
      <c r="CKT85" s="974"/>
      <c r="CKU85" s="974"/>
      <c r="CKV85" s="974"/>
      <c r="CKW85" s="974"/>
      <c r="CKX85" s="974"/>
      <c r="CKY85" s="974"/>
      <c r="CKZ85" s="974"/>
      <c r="CLA85" s="974"/>
      <c r="CLB85" s="974"/>
      <c r="CLC85" s="974"/>
      <c r="CLD85" s="974"/>
      <c r="CLE85" s="974"/>
      <c r="CLF85" s="974"/>
      <c r="CLG85" s="974"/>
      <c r="CLH85" s="974"/>
      <c r="CLI85" s="974"/>
      <c r="CLJ85" s="974"/>
      <c r="CLK85" s="974"/>
      <c r="CLL85" s="974"/>
      <c r="CLM85" s="974"/>
      <c r="CLN85" s="974"/>
      <c r="CLO85" s="974"/>
      <c r="CLP85" s="974"/>
      <c r="CLQ85" s="974"/>
      <c r="CLR85" s="974"/>
      <c r="CLS85" s="974"/>
      <c r="CLT85" s="974"/>
      <c r="CLU85" s="974"/>
      <c r="CLV85" s="974"/>
      <c r="CLW85" s="974"/>
      <c r="CLX85" s="974"/>
      <c r="CLY85" s="974"/>
      <c r="CLZ85" s="974"/>
      <c r="CMA85" s="974"/>
      <c r="CMB85" s="974"/>
      <c r="CMC85" s="974"/>
      <c r="CMD85" s="974"/>
      <c r="CME85" s="974"/>
      <c r="CMF85" s="974"/>
      <c r="CMG85" s="974"/>
      <c r="CMH85" s="974"/>
      <c r="CMI85" s="974"/>
      <c r="CMJ85" s="974"/>
      <c r="CMK85" s="974"/>
      <c r="CML85" s="974"/>
      <c r="CMM85" s="974"/>
      <c r="CMN85" s="974"/>
      <c r="CMO85" s="974"/>
      <c r="CMP85" s="974"/>
      <c r="CMQ85" s="974"/>
      <c r="CMR85" s="974"/>
      <c r="CMS85" s="974"/>
      <c r="CMT85" s="974"/>
      <c r="CMU85" s="974"/>
      <c r="CMV85" s="974"/>
      <c r="CMW85" s="974"/>
      <c r="CMX85" s="974"/>
      <c r="CMY85" s="974"/>
      <c r="CMZ85" s="974"/>
      <c r="CNA85" s="974"/>
      <c r="CNB85" s="974"/>
      <c r="CNC85" s="974"/>
      <c r="CND85" s="974"/>
      <c r="CNE85" s="974"/>
      <c r="CNF85" s="974"/>
      <c r="CNG85" s="974"/>
      <c r="CNH85" s="974"/>
      <c r="CNI85" s="974"/>
      <c r="CNJ85" s="974"/>
      <c r="CNK85" s="974"/>
      <c r="CNL85" s="974"/>
      <c r="CNM85" s="974"/>
      <c r="CNN85" s="974"/>
      <c r="CNO85" s="974"/>
      <c r="CNP85" s="974"/>
      <c r="CNQ85" s="974"/>
      <c r="CNR85" s="974"/>
      <c r="CNS85" s="974"/>
      <c r="CNT85" s="974"/>
      <c r="CNU85" s="974"/>
      <c r="CNV85" s="974"/>
      <c r="CNW85" s="974"/>
      <c r="CNX85" s="974"/>
      <c r="CNY85" s="974"/>
      <c r="CNZ85" s="974"/>
      <c r="COA85" s="974"/>
      <c r="COB85" s="974"/>
      <c r="COC85" s="974"/>
      <c r="COD85" s="974"/>
      <c r="COE85" s="974"/>
      <c r="COF85" s="974"/>
      <c r="COG85" s="974"/>
      <c r="COH85" s="974"/>
      <c r="COI85" s="974"/>
      <c r="COJ85" s="974"/>
      <c r="COK85" s="974"/>
      <c r="COL85" s="974"/>
      <c r="COM85" s="974"/>
      <c r="CON85" s="974"/>
      <c r="COO85" s="974"/>
      <c r="COP85" s="974"/>
      <c r="COQ85" s="974"/>
      <c r="COR85" s="974"/>
      <c r="COS85" s="974"/>
      <c r="COT85" s="974"/>
      <c r="COU85" s="974"/>
      <c r="COV85" s="974"/>
      <c r="COW85" s="974"/>
      <c r="COX85" s="974"/>
      <c r="COY85" s="974"/>
      <c r="COZ85" s="974"/>
      <c r="CPA85" s="974"/>
      <c r="CPB85" s="974"/>
      <c r="CPC85" s="974"/>
      <c r="CPD85" s="974"/>
      <c r="CPE85" s="974"/>
      <c r="CPF85" s="974"/>
      <c r="CPG85" s="974"/>
      <c r="CPH85" s="974"/>
      <c r="CPI85" s="974"/>
      <c r="CPJ85" s="974"/>
      <c r="CPK85" s="974"/>
      <c r="CPL85" s="974"/>
      <c r="CPM85" s="974"/>
      <c r="CPN85" s="974"/>
      <c r="CPO85" s="974"/>
      <c r="CPP85" s="974"/>
      <c r="CPQ85" s="974"/>
      <c r="CPR85" s="974"/>
      <c r="CPS85" s="974"/>
      <c r="CPT85" s="974"/>
      <c r="CPU85" s="974"/>
      <c r="CPV85" s="974"/>
      <c r="CPW85" s="974"/>
      <c r="CPX85" s="974"/>
      <c r="CPY85" s="974"/>
      <c r="CPZ85" s="974"/>
      <c r="CQA85" s="974"/>
      <c r="CQB85" s="974"/>
      <c r="CQC85" s="974"/>
      <c r="CQD85" s="974"/>
      <c r="CQE85" s="974"/>
      <c r="CQF85" s="974"/>
      <c r="CQG85" s="974"/>
      <c r="CQH85" s="974"/>
      <c r="CQI85" s="974"/>
      <c r="CQJ85" s="974"/>
      <c r="CQK85" s="974"/>
      <c r="CQL85" s="974"/>
      <c r="CQM85" s="974"/>
      <c r="CQN85" s="974"/>
      <c r="CQO85" s="974"/>
      <c r="CQP85" s="974"/>
      <c r="CQQ85" s="974"/>
      <c r="CQR85" s="974"/>
      <c r="CQS85" s="974"/>
      <c r="CQT85" s="974"/>
      <c r="CQU85" s="974"/>
      <c r="CQV85" s="974"/>
      <c r="CQW85" s="974"/>
      <c r="CQX85" s="974"/>
      <c r="CQY85" s="974"/>
      <c r="CQZ85" s="974"/>
      <c r="CRA85" s="974"/>
      <c r="CRB85" s="974"/>
      <c r="CRC85" s="974"/>
      <c r="CRD85" s="974"/>
      <c r="CRE85" s="974"/>
      <c r="CRF85" s="974"/>
      <c r="CRG85" s="974"/>
      <c r="CRH85" s="974"/>
      <c r="CRI85" s="974"/>
      <c r="CRJ85" s="974"/>
      <c r="CRK85" s="974"/>
      <c r="CRL85" s="974"/>
      <c r="CRM85" s="974"/>
      <c r="CRN85" s="974"/>
      <c r="CRO85" s="974"/>
      <c r="CRP85" s="974"/>
      <c r="CRQ85" s="974"/>
      <c r="CRR85" s="974"/>
      <c r="CRS85" s="974"/>
      <c r="CRT85" s="974"/>
      <c r="CRU85" s="974"/>
      <c r="CRV85" s="974"/>
      <c r="CRW85" s="974"/>
      <c r="CRX85" s="974"/>
      <c r="CRY85" s="974"/>
      <c r="CRZ85" s="974"/>
      <c r="CSA85" s="974"/>
      <c r="CSB85" s="974"/>
      <c r="CSC85" s="974"/>
      <c r="CSD85" s="974"/>
      <c r="CSE85" s="974"/>
      <c r="CSF85" s="974"/>
      <c r="CSG85" s="974"/>
      <c r="CSH85" s="974"/>
      <c r="CSI85" s="974"/>
      <c r="CSJ85" s="974"/>
      <c r="CSK85" s="974"/>
      <c r="CSL85" s="974"/>
      <c r="CSM85" s="974"/>
      <c r="CSN85" s="974"/>
      <c r="CSO85" s="974"/>
      <c r="CSP85" s="974"/>
      <c r="CSQ85" s="974"/>
      <c r="CSR85" s="974"/>
      <c r="CSS85" s="974"/>
      <c r="CST85" s="974"/>
      <c r="CSU85" s="974"/>
      <c r="CSV85" s="974"/>
      <c r="CSW85" s="974"/>
      <c r="CSX85" s="974"/>
      <c r="CSY85" s="974"/>
      <c r="CSZ85" s="974"/>
      <c r="CTA85" s="974"/>
      <c r="CTB85" s="974"/>
      <c r="CTC85" s="974"/>
      <c r="CTD85" s="974"/>
      <c r="CTE85" s="974"/>
      <c r="CTF85" s="974"/>
      <c r="CTG85" s="974"/>
      <c r="CTH85" s="974"/>
      <c r="CTI85" s="974"/>
      <c r="CTJ85" s="974"/>
      <c r="CTK85" s="974"/>
      <c r="CTL85" s="974"/>
      <c r="CTM85" s="974"/>
      <c r="CTN85" s="974"/>
      <c r="CTO85" s="974"/>
      <c r="CTP85" s="974"/>
      <c r="CTQ85" s="974"/>
      <c r="CTR85" s="974"/>
      <c r="CTS85" s="974"/>
      <c r="CTT85" s="974"/>
      <c r="CTU85" s="974"/>
      <c r="CTV85" s="974"/>
      <c r="CTW85" s="974"/>
      <c r="CTX85" s="974"/>
      <c r="CTY85" s="974"/>
      <c r="CTZ85" s="974"/>
      <c r="CUA85" s="974"/>
      <c r="CUB85" s="974"/>
      <c r="CUC85" s="974"/>
      <c r="CUD85" s="974"/>
      <c r="CUE85" s="974"/>
      <c r="CUF85" s="974"/>
      <c r="CUG85" s="974"/>
      <c r="CUH85" s="974"/>
      <c r="CUI85" s="974"/>
      <c r="CUJ85" s="974"/>
      <c r="CUK85" s="974"/>
      <c r="CUL85" s="974"/>
      <c r="CUM85" s="974"/>
      <c r="CUN85" s="974"/>
      <c r="CUO85" s="974"/>
      <c r="CUP85" s="974"/>
      <c r="CUQ85" s="974"/>
      <c r="CUR85" s="974"/>
      <c r="CUS85" s="974"/>
      <c r="CUT85" s="974"/>
      <c r="CUU85" s="974"/>
      <c r="CUV85" s="974"/>
      <c r="CUW85" s="974"/>
      <c r="CUX85" s="974"/>
      <c r="CUY85" s="974"/>
      <c r="CUZ85" s="974"/>
      <c r="CVA85" s="974"/>
      <c r="CVB85" s="974"/>
      <c r="CVC85" s="974"/>
      <c r="CVD85" s="974"/>
      <c r="CVE85" s="974"/>
      <c r="CVF85" s="974"/>
      <c r="CVG85" s="974"/>
      <c r="CVH85" s="974"/>
      <c r="CVI85" s="974"/>
      <c r="CVJ85" s="974"/>
      <c r="CVK85" s="974"/>
      <c r="CVL85" s="974"/>
      <c r="CVM85" s="974"/>
      <c r="CVN85" s="974"/>
      <c r="CVO85" s="974"/>
      <c r="CVP85" s="974"/>
      <c r="CVQ85" s="974"/>
      <c r="CVR85" s="974"/>
      <c r="CVS85" s="974"/>
      <c r="CVT85" s="974"/>
      <c r="CVU85" s="974"/>
      <c r="CVV85" s="974"/>
      <c r="CVW85" s="974"/>
      <c r="CVX85" s="974"/>
      <c r="CVY85" s="974"/>
      <c r="CVZ85" s="974"/>
      <c r="CWA85" s="974"/>
      <c r="CWB85" s="974"/>
      <c r="CWC85" s="974"/>
      <c r="CWD85" s="974"/>
      <c r="CWE85" s="974"/>
      <c r="CWF85" s="974"/>
      <c r="CWG85" s="974"/>
      <c r="CWH85" s="974"/>
      <c r="CWI85" s="974"/>
      <c r="CWJ85" s="974"/>
      <c r="CWK85" s="974"/>
      <c r="CWL85" s="974"/>
      <c r="CWM85" s="974"/>
      <c r="CWN85" s="974"/>
      <c r="CWO85" s="974"/>
      <c r="CWP85" s="974"/>
      <c r="CWQ85" s="974"/>
      <c r="CWR85" s="974"/>
      <c r="CWS85" s="974"/>
      <c r="CWT85" s="974"/>
      <c r="CWU85" s="974"/>
      <c r="CWV85" s="974"/>
      <c r="CWW85" s="974"/>
      <c r="CWX85" s="974"/>
      <c r="CWY85" s="974"/>
      <c r="CWZ85" s="974"/>
      <c r="CXA85" s="974"/>
      <c r="CXB85" s="974"/>
      <c r="CXC85" s="974"/>
      <c r="CXD85" s="974"/>
      <c r="CXE85" s="974"/>
      <c r="CXF85" s="974"/>
      <c r="CXG85" s="974"/>
      <c r="CXH85" s="974"/>
      <c r="CXI85" s="974"/>
      <c r="CXJ85" s="974"/>
      <c r="CXK85" s="974"/>
      <c r="CXL85" s="974"/>
      <c r="CXM85" s="974"/>
      <c r="CXN85" s="974"/>
      <c r="CXO85" s="974"/>
      <c r="CXP85" s="974"/>
      <c r="CXQ85" s="974"/>
      <c r="CXR85" s="974"/>
      <c r="CXS85" s="974"/>
      <c r="CXT85" s="974"/>
      <c r="CXU85" s="974"/>
      <c r="CXV85" s="974"/>
      <c r="CXW85" s="974"/>
      <c r="CXX85" s="974"/>
      <c r="CXY85" s="974"/>
      <c r="CXZ85" s="974"/>
      <c r="CYA85" s="974"/>
      <c r="CYB85" s="974"/>
      <c r="CYC85" s="974"/>
      <c r="CYD85" s="974"/>
      <c r="CYE85" s="974"/>
      <c r="CYF85" s="974"/>
      <c r="CYG85" s="974"/>
      <c r="CYH85" s="974"/>
      <c r="CYI85" s="974"/>
      <c r="CYJ85" s="974"/>
      <c r="CYK85" s="974"/>
      <c r="CYL85" s="974"/>
      <c r="CYM85" s="974"/>
      <c r="CYN85" s="974"/>
      <c r="CYO85" s="974"/>
      <c r="CYP85" s="974"/>
      <c r="CYQ85" s="974"/>
      <c r="CYR85" s="974"/>
      <c r="CYS85" s="974"/>
      <c r="CYT85" s="974"/>
      <c r="CYU85" s="974"/>
      <c r="CYV85" s="974"/>
      <c r="CYW85" s="974"/>
      <c r="CYX85" s="974"/>
      <c r="CYY85" s="974"/>
      <c r="CYZ85" s="974"/>
      <c r="CZA85" s="974"/>
      <c r="CZB85" s="974"/>
      <c r="CZC85" s="974"/>
      <c r="CZD85" s="974"/>
      <c r="CZE85" s="974"/>
      <c r="CZF85" s="974"/>
      <c r="CZG85" s="974"/>
      <c r="CZH85" s="974"/>
      <c r="CZI85" s="974"/>
      <c r="CZJ85" s="974"/>
      <c r="CZK85" s="974"/>
      <c r="CZL85" s="974"/>
      <c r="CZM85" s="974"/>
      <c r="CZN85" s="974"/>
      <c r="CZO85" s="974"/>
      <c r="CZP85" s="974"/>
      <c r="CZQ85" s="974"/>
      <c r="CZR85" s="974"/>
      <c r="CZS85" s="974"/>
      <c r="CZT85" s="974"/>
      <c r="CZU85" s="974"/>
      <c r="CZV85" s="974"/>
      <c r="CZW85" s="974"/>
      <c r="CZX85" s="974"/>
      <c r="CZY85" s="974"/>
      <c r="CZZ85" s="974"/>
      <c r="DAA85" s="974"/>
      <c r="DAB85" s="974"/>
      <c r="DAC85" s="974"/>
      <c r="DAD85" s="974"/>
      <c r="DAE85" s="974"/>
      <c r="DAF85" s="974"/>
      <c r="DAG85" s="974"/>
      <c r="DAH85" s="974"/>
      <c r="DAI85" s="974"/>
      <c r="DAJ85" s="974"/>
      <c r="DAK85" s="974"/>
      <c r="DAL85" s="974"/>
      <c r="DAM85" s="974"/>
      <c r="DAN85" s="974"/>
      <c r="DAO85" s="974"/>
      <c r="DAP85" s="974"/>
      <c r="DAQ85" s="974"/>
      <c r="DAR85" s="974"/>
      <c r="DAS85" s="974"/>
      <c r="DAT85" s="974"/>
      <c r="DAU85" s="974"/>
      <c r="DAV85" s="974"/>
      <c r="DAW85" s="974"/>
      <c r="DAX85" s="974"/>
      <c r="DAY85" s="974"/>
      <c r="DAZ85" s="974"/>
      <c r="DBA85" s="974"/>
      <c r="DBB85" s="974"/>
      <c r="DBC85" s="974"/>
      <c r="DBD85" s="974"/>
      <c r="DBE85" s="974"/>
      <c r="DBF85" s="974"/>
      <c r="DBG85" s="974"/>
      <c r="DBH85" s="974"/>
      <c r="DBI85" s="974"/>
      <c r="DBJ85" s="974"/>
      <c r="DBK85" s="974"/>
      <c r="DBL85" s="974"/>
      <c r="DBM85" s="974"/>
      <c r="DBN85" s="974"/>
      <c r="DBO85" s="974"/>
      <c r="DBP85" s="974"/>
      <c r="DBQ85" s="974"/>
      <c r="DBR85" s="974"/>
      <c r="DBS85" s="974"/>
      <c r="DBT85" s="974"/>
      <c r="DBU85" s="974"/>
      <c r="DBV85" s="974"/>
      <c r="DBW85" s="974"/>
      <c r="DBX85" s="974"/>
      <c r="DBY85" s="974"/>
      <c r="DBZ85" s="974"/>
      <c r="DCA85" s="974"/>
      <c r="DCB85" s="974"/>
      <c r="DCC85" s="974"/>
      <c r="DCD85" s="974"/>
      <c r="DCE85" s="974"/>
      <c r="DCF85" s="974"/>
      <c r="DCG85" s="974"/>
      <c r="DCH85" s="974"/>
      <c r="DCI85" s="974"/>
      <c r="DCJ85" s="974"/>
      <c r="DCK85" s="974"/>
      <c r="DCL85" s="974"/>
      <c r="DCM85" s="974"/>
      <c r="DCN85" s="974"/>
      <c r="DCO85" s="974"/>
      <c r="DCP85" s="974"/>
      <c r="DCQ85" s="974"/>
      <c r="DCR85" s="974"/>
      <c r="DCS85" s="974"/>
      <c r="DCT85" s="974"/>
      <c r="DCU85" s="974"/>
      <c r="DCV85" s="974"/>
      <c r="DCW85" s="974"/>
      <c r="DCX85" s="974"/>
      <c r="DCY85" s="974"/>
      <c r="DCZ85" s="974"/>
      <c r="DDA85" s="974"/>
      <c r="DDB85" s="974"/>
      <c r="DDC85" s="974"/>
      <c r="DDD85" s="974"/>
      <c r="DDE85" s="974"/>
      <c r="DDF85" s="974"/>
      <c r="DDG85" s="974"/>
      <c r="DDH85" s="974"/>
      <c r="DDI85" s="974"/>
      <c r="DDJ85" s="974"/>
      <c r="DDK85" s="974"/>
      <c r="DDL85" s="974"/>
      <c r="DDM85" s="974"/>
      <c r="DDN85" s="974"/>
      <c r="DDO85" s="974"/>
      <c r="DDP85" s="974"/>
      <c r="DDQ85" s="974"/>
      <c r="DDR85" s="974"/>
      <c r="DDS85" s="974"/>
      <c r="DDT85" s="974"/>
      <c r="DDU85" s="974"/>
      <c r="DDV85" s="974"/>
      <c r="DDW85" s="974"/>
      <c r="DDX85" s="974"/>
      <c r="DDY85" s="974"/>
      <c r="DDZ85" s="974"/>
      <c r="DEA85" s="974"/>
      <c r="DEB85" s="974"/>
      <c r="DEC85" s="974"/>
      <c r="DED85" s="974"/>
      <c r="DEE85" s="974"/>
      <c r="DEF85" s="974"/>
      <c r="DEG85" s="974"/>
      <c r="DEH85" s="974"/>
      <c r="DEI85" s="974"/>
      <c r="DEJ85" s="974"/>
      <c r="DEK85" s="974"/>
      <c r="DEL85" s="974"/>
      <c r="DEM85" s="974"/>
      <c r="DEN85" s="974"/>
      <c r="DEO85" s="974"/>
      <c r="DEP85" s="974"/>
      <c r="DEQ85" s="974"/>
      <c r="DER85" s="974"/>
      <c r="DES85" s="974"/>
      <c r="DET85" s="974"/>
      <c r="DEU85" s="974"/>
      <c r="DEV85" s="974"/>
      <c r="DEW85" s="974"/>
      <c r="DEX85" s="974"/>
      <c r="DEY85" s="974"/>
      <c r="DEZ85" s="974"/>
      <c r="DFA85" s="974"/>
      <c r="DFB85" s="974"/>
      <c r="DFC85" s="974"/>
      <c r="DFD85" s="974"/>
      <c r="DFE85" s="974"/>
      <c r="DFF85" s="974"/>
      <c r="DFG85" s="974"/>
      <c r="DFH85" s="974"/>
      <c r="DFI85" s="974"/>
      <c r="DFJ85" s="974"/>
      <c r="DFK85" s="974"/>
      <c r="DFL85" s="974"/>
      <c r="DFM85" s="974"/>
      <c r="DFN85" s="974"/>
      <c r="DFO85" s="974"/>
      <c r="DFP85" s="974"/>
      <c r="DFQ85" s="974"/>
      <c r="DFR85" s="974"/>
      <c r="DFS85" s="974"/>
      <c r="DFT85" s="974"/>
      <c r="DFU85" s="974"/>
      <c r="DFV85" s="974"/>
      <c r="DFW85" s="974"/>
      <c r="DFX85" s="974"/>
      <c r="DFY85" s="974"/>
      <c r="DFZ85" s="974"/>
      <c r="DGA85" s="974"/>
      <c r="DGB85" s="974"/>
      <c r="DGC85" s="974"/>
      <c r="DGD85" s="974"/>
      <c r="DGE85" s="974"/>
      <c r="DGF85" s="974"/>
      <c r="DGG85" s="974"/>
      <c r="DGH85" s="974"/>
      <c r="DGI85" s="974"/>
      <c r="DGJ85" s="974"/>
      <c r="DGK85" s="974"/>
      <c r="DGL85" s="974"/>
      <c r="DGM85" s="974"/>
      <c r="DGN85" s="974"/>
      <c r="DGO85" s="974"/>
      <c r="DGP85" s="974"/>
      <c r="DGQ85" s="974"/>
      <c r="DGR85" s="974"/>
      <c r="DGS85" s="974"/>
      <c r="DGT85" s="974"/>
      <c r="DGU85" s="974"/>
      <c r="DGV85" s="974"/>
      <c r="DGW85" s="974"/>
      <c r="DGX85" s="974"/>
      <c r="DGY85" s="974"/>
      <c r="DGZ85" s="974"/>
      <c r="DHA85" s="974"/>
      <c r="DHB85" s="974"/>
      <c r="DHC85" s="974"/>
      <c r="DHD85" s="974"/>
      <c r="DHE85" s="974"/>
      <c r="DHF85" s="974"/>
      <c r="DHG85" s="974"/>
      <c r="DHH85" s="974"/>
      <c r="DHI85" s="974"/>
      <c r="DHJ85" s="974"/>
      <c r="DHK85" s="974"/>
      <c r="DHL85" s="974"/>
      <c r="DHM85" s="974"/>
      <c r="DHN85" s="974"/>
      <c r="DHO85" s="974"/>
      <c r="DHP85" s="974"/>
      <c r="DHQ85" s="974"/>
      <c r="DHR85" s="974"/>
      <c r="DHS85" s="974"/>
      <c r="DHT85" s="974"/>
      <c r="DHU85" s="974"/>
      <c r="DHV85" s="974"/>
      <c r="DHW85" s="974"/>
      <c r="DHX85" s="974"/>
      <c r="DHY85" s="974"/>
      <c r="DHZ85" s="974"/>
      <c r="DIA85" s="974"/>
      <c r="DIB85" s="974"/>
      <c r="DIC85" s="974"/>
      <c r="DID85" s="974"/>
      <c r="DIE85" s="974"/>
      <c r="DIF85" s="974"/>
      <c r="DIG85" s="974"/>
      <c r="DIH85" s="974"/>
      <c r="DII85" s="974"/>
      <c r="DIJ85" s="974"/>
      <c r="DIK85" s="974"/>
      <c r="DIL85" s="974"/>
      <c r="DIM85" s="974"/>
      <c r="DIN85" s="974"/>
      <c r="DIO85" s="974"/>
      <c r="DIP85" s="974"/>
      <c r="DIQ85" s="974"/>
      <c r="DIR85" s="974"/>
      <c r="DIS85" s="974"/>
      <c r="DIT85" s="974"/>
      <c r="DIU85" s="974"/>
      <c r="DIV85" s="974"/>
      <c r="DIW85" s="974"/>
      <c r="DIX85" s="974"/>
      <c r="DIY85" s="974"/>
      <c r="DIZ85" s="974"/>
      <c r="DJA85" s="974"/>
      <c r="DJB85" s="974"/>
      <c r="DJC85" s="974"/>
      <c r="DJD85" s="974"/>
      <c r="DJE85" s="974"/>
      <c r="DJF85" s="974"/>
      <c r="DJG85" s="974"/>
      <c r="DJH85" s="974"/>
      <c r="DJI85" s="974"/>
      <c r="DJJ85" s="974"/>
      <c r="DJK85" s="974"/>
      <c r="DJL85" s="974"/>
      <c r="DJM85" s="974"/>
      <c r="DJN85" s="974"/>
      <c r="DJO85" s="974"/>
      <c r="DJP85" s="974"/>
      <c r="DJQ85" s="974"/>
      <c r="DJR85" s="974"/>
      <c r="DJS85" s="974"/>
      <c r="DJT85" s="974"/>
      <c r="DJU85" s="974"/>
      <c r="DJV85" s="974"/>
      <c r="DJW85" s="974"/>
      <c r="DJX85" s="974"/>
      <c r="DJY85" s="974"/>
      <c r="DJZ85" s="974"/>
      <c r="DKA85" s="974"/>
      <c r="DKB85" s="974"/>
      <c r="DKC85" s="974"/>
      <c r="DKD85" s="974"/>
      <c r="DKE85" s="974"/>
      <c r="DKF85" s="974"/>
      <c r="DKG85" s="974"/>
      <c r="DKH85" s="974"/>
      <c r="DKI85" s="974"/>
      <c r="DKJ85" s="974"/>
      <c r="DKK85" s="974"/>
      <c r="DKL85" s="974"/>
      <c r="DKM85" s="974"/>
      <c r="DKN85" s="974"/>
      <c r="DKO85" s="974"/>
      <c r="DKP85" s="974"/>
      <c r="DKQ85" s="974"/>
      <c r="DKR85" s="974"/>
      <c r="DKS85" s="974"/>
      <c r="DKT85" s="974"/>
      <c r="DKU85" s="974"/>
      <c r="DKV85" s="974"/>
      <c r="DKW85" s="974"/>
      <c r="DKX85" s="974"/>
      <c r="DKY85" s="974"/>
      <c r="DKZ85" s="974"/>
      <c r="DLA85" s="974"/>
      <c r="DLB85" s="974"/>
      <c r="DLC85" s="974"/>
      <c r="DLD85" s="974"/>
      <c r="DLE85" s="974"/>
      <c r="DLF85" s="974"/>
      <c r="DLG85" s="974"/>
      <c r="DLH85" s="974"/>
      <c r="DLI85" s="974"/>
      <c r="DLJ85" s="974"/>
      <c r="DLK85" s="974"/>
      <c r="DLL85" s="974"/>
      <c r="DLM85" s="974"/>
      <c r="DLN85" s="974"/>
      <c r="DLO85" s="974"/>
      <c r="DLP85" s="974"/>
      <c r="DLQ85" s="974"/>
      <c r="DLR85" s="974"/>
      <c r="DLS85" s="974"/>
      <c r="DLT85" s="974"/>
      <c r="DLU85" s="974"/>
      <c r="DLV85" s="974"/>
      <c r="DLW85" s="974"/>
      <c r="DLX85" s="974"/>
      <c r="DLY85" s="974"/>
      <c r="DLZ85" s="974"/>
      <c r="DMA85" s="974"/>
      <c r="DMB85" s="974"/>
      <c r="DMC85" s="974"/>
      <c r="DMD85" s="974"/>
      <c r="DME85" s="974"/>
      <c r="DMF85" s="974"/>
      <c r="DMG85" s="974"/>
      <c r="DMH85" s="974"/>
      <c r="DMI85" s="974"/>
      <c r="DMJ85" s="974"/>
      <c r="DMK85" s="974"/>
      <c r="DML85" s="974"/>
      <c r="DMM85" s="974"/>
      <c r="DMN85" s="974"/>
      <c r="DMO85" s="974"/>
      <c r="DMP85" s="974"/>
      <c r="DMQ85" s="974"/>
      <c r="DMR85" s="974"/>
      <c r="DMS85" s="974"/>
      <c r="DMT85" s="974"/>
      <c r="DMU85" s="974"/>
      <c r="DMV85" s="974"/>
      <c r="DMW85" s="974"/>
      <c r="DMX85" s="974"/>
      <c r="DMY85" s="974"/>
      <c r="DMZ85" s="974"/>
      <c r="DNA85" s="974"/>
      <c r="DNB85" s="974"/>
      <c r="DNC85" s="974"/>
      <c r="DND85" s="974"/>
      <c r="DNE85" s="974"/>
      <c r="DNF85" s="974"/>
      <c r="DNG85" s="974"/>
      <c r="DNH85" s="974"/>
      <c r="DNI85" s="974"/>
      <c r="DNJ85" s="974"/>
      <c r="DNK85" s="974"/>
      <c r="DNL85" s="974"/>
      <c r="DNM85" s="974"/>
      <c r="DNN85" s="974"/>
      <c r="DNO85" s="974"/>
      <c r="DNP85" s="974"/>
      <c r="DNQ85" s="974"/>
      <c r="DNR85" s="974"/>
      <c r="DNS85" s="974"/>
      <c r="DNT85" s="974"/>
      <c r="DNU85" s="974"/>
      <c r="DNV85" s="974"/>
      <c r="DNW85" s="974"/>
      <c r="DNX85" s="974"/>
      <c r="DNY85" s="974"/>
      <c r="DNZ85" s="974"/>
      <c r="DOA85" s="974"/>
      <c r="DOB85" s="974"/>
      <c r="DOC85" s="974"/>
      <c r="DOD85" s="974"/>
      <c r="DOE85" s="974"/>
      <c r="DOF85" s="974"/>
      <c r="DOG85" s="974"/>
      <c r="DOH85" s="974"/>
      <c r="DOI85" s="974"/>
      <c r="DOJ85" s="974"/>
      <c r="DOK85" s="974"/>
      <c r="DOL85" s="974"/>
      <c r="DOM85" s="974"/>
      <c r="DON85" s="974"/>
      <c r="DOO85" s="974"/>
      <c r="DOP85" s="974"/>
      <c r="DOQ85" s="974"/>
      <c r="DOR85" s="974"/>
      <c r="DOS85" s="974"/>
      <c r="DOT85" s="974"/>
      <c r="DOU85" s="974"/>
      <c r="DOV85" s="974"/>
      <c r="DOW85" s="974"/>
      <c r="DOX85" s="974"/>
      <c r="DOY85" s="974"/>
      <c r="DOZ85" s="974"/>
      <c r="DPA85" s="974"/>
      <c r="DPB85" s="974"/>
      <c r="DPC85" s="974"/>
      <c r="DPD85" s="974"/>
      <c r="DPE85" s="974"/>
      <c r="DPF85" s="974"/>
      <c r="DPG85" s="974"/>
      <c r="DPH85" s="974"/>
      <c r="DPI85" s="974"/>
      <c r="DPJ85" s="974"/>
      <c r="DPK85" s="974"/>
      <c r="DPL85" s="974"/>
      <c r="DPM85" s="974"/>
      <c r="DPN85" s="974"/>
      <c r="DPO85" s="974"/>
      <c r="DPP85" s="974"/>
      <c r="DPQ85" s="974"/>
      <c r="DPR85" s="974"/>
      <c r="DPS85" s="974"/>
      <c r="DPT85" s="974"/>
      <c r="DPU85" s="974"/>
      <c r="DPV85" s="974"/>
      <c r="DPW85" s="974"/>
      <c r="DPX85" s="974"/>
      <c r="DPY85" s="974"/>
      <c r="DPZ85" s="974"/>
      <c r="DQA85" s="974"/>
      <c r="DQB85" s="974"/>
      <c r="DQC85" s="974"/>
      <c r="DQD85" s="974"/>
      <c r="DQE85" s="974"/>
      <c r="DQF85" s="974"/>
      <c r="DQG85" s="974"/>
      <c r="DQH85" s="974"/>
      <c r="DQI85" s="974"/>
      <c r="DQJ85" s="974"/>
      <c r="DQK85" s="974"/>
      <c r="DQL85" s="974"/>
      <c r="DQM85" s="974"/>
      <c r="DQN85" s="974"/>
      <c r="DQO85" s="974"/>
      <c r="DQP85" s="974"/>
      <c r="DQQ85" s="974"/>
      <c r="DQR85" s="974"/>
      <c r="DQS85" s="974"/>
      <c r="DQT85" s="974"/>
      <c r="DQU85" s="974"/>
      <c r="DQV85" s="974"/>
      <c r="DQW85" s="974"/>
      <c r="DQX85" s="974"/>
      <c r="DQY85" s="974"/>
      <c r="DQZ85" s="974"/>
      <c r="DRA85" s="974"/>
      <c r="DRB85" s="974"/>
      <c r="DRC85" s="974"/>
      <c r="DRD85" s="974"/>
      <c r="DRE85" s="974"/>
      <c r="DRF85" s="974"/>
      <c r="DRG85" s="974"/>
      <c r="DRH85" s="974"/>
      <c r="DRI85" s="974"/>
      <c r="DRJ85" s="974"/>
      <c r="DRK85" s="974"/>
      <c r="DRL85" s="974"/>
      <c r="DRM85" s="974"/>
      <c r="DRN85" s="974"/>
      <c r="DRO85" s="974"/>
      <c r="DRP85" s="974"/>
      <c r="DRQ85" s="974"/>
      <c r="DRR85" s="974"/>
      <c r="DRS85" s="974"/>
      <c r="DRT85" s="974"/>
      <c r="DRU85" s="974"/>
      <c r="DRV85" s="974"/>
      <c r="DRW85" s="974"/>
      <c r="DRX85" s="974"/>
      <c r="DRY85" s="974"/>
      <c r="DRZ85" s="974"/>
      <c r="DSA85" s="974"/>
      <c r="DSB85" s="974"/>
      <c r="DSC85" s="974"/>
      <c r="DSD85" s="974"/>
      <c r="DSE85" s="974"/>
      <c r="DSF85" s="974"/>
      <c r="DSG85" s="974"/>
      <c r="DSH85" s="974"/>
      <c r="DSI85" s="974"/>
      <c r="DSJ85" s="974"/>
      <c r="DSK85" s="974"/>
      <c r="DSL85" s="974"/>
      <c r="DSM85" s="974"/>
      <c r="DSN85" s="974"/>
      <c r="DSO85" s="974"/>
      <c r="DSP85" s="974"/>
      <c r="DSQ85" s="974"/>
      <c r="DSR85" s="974"/>
      <c r="DSS85" s="974"/>
      <c r="DST85" s="974"/>
      <c r="DSU85" s="974"/>
      <c r="DSV85" s="974"/>
      <c r="DSW85" s="974"/>
      <c r="DSX85" s="974"/>
      <c r="DSY85" s="974"/>
      <c r="DSZ85" s="974"/>
      <c r="DTA85" s="974"/>
      <c r="DTB85" s="974"/>
      <c r="DTC85" s="974"/>
      <c r="DTD85" s="974"/>
      <c r="DTE85" s="974"/>
      <c r="DTF85" s="974"/>
      <c r="DTG85" s="974"/>
      <c r="DTH85" s="974"/>
      <c r="DTI85" s="974"/>
      <c r="DTJ85" s="974"/>
      <c r="DTK85" s="974"/>
      <c r="DTL85" s="974"/>
      <c r="DTM85" s="974"/>
      <c r="DTN85" s="974"/>
      <c r="DTO85" s="974"/>
      <c r="DTP85" s="974"/>
      <c r="DTQ85" s="974"/>
      <c r="DTR85" s="974"/>
      <c r="DTS85" s="974"/>
      <c r="DTT85" s="974"/>
      <c r="DTU85" s="974"/>
      <c r="DTV85" s="974"/>
      <c r="DTW85" s="974"/>
      <c r="DTX85" s="974"/>
      <c r="DTY85" s="974"/>
      <c r="DTZ85" s="974"/>
      <c r="DUA85" s="974"/>
      <c r="DUB85" s="974"/>
      <c r="DUC85" s="974"/>
      <c r="DUD85" s="974"/>
      <c r="DUE85" s="974"/>
      <c r="DUF85" s="974"/>
      <c r="DUG85" s="974"/>
      <c r="DUH85" s="974"/>
      <c r="DUI85" s="974"/>
      <c r="DUJ85" s="974"/>
      <c r="DUK85" s="974"/>
      <c r="DUL85" s="974"/>
      <c r="DUM85" s="974"/>
      <c r="DUN85" s="974"/>
      <c r="DUO85" s="974"/>
      <c r="DUP85" s="974"/>
      <c r="DUQ85" s="974"/>
      <c r="DUR85" s="974"/>
      <c r="DUS85" s="974"/>
      <c r="DUT85" s="974"/>
      <c r="DUU85" s="974"/>
      <c r="DUV85" s="974"/>
      <c r="DUW85" s="974"/>
      <c r="DUX85" s="974"/>
      <c r="DUY85" s="974"/>
      <c r="DUZ85" s="974"/>
      <c r="DVA85" s="974"/>
      <c r="DVB85" s="974"/>
      <c r="DVC85" s="974"/>
      <c r="DVD85" s="974"/>
      <c r="DVE85" s="974"/>
      <c r="DVF85" s="974"/>
      <c r="DVG85" s="974"/>
      <c r="DVH85" s="974"/>
      <c r="DVI85" s="974"/>
      <c r="DVJ85" s="974"/>
      <c r="DVK85" s="974"/>
      <c r="DVL85" s="974"/>
      <c r="DVM85" s="974"/>
      <c r="DVN85" s="974"/>
      <c r="DVO85" s="974"/>
      <c r="DVP85" s="974"/>
      <c r="DVQ85" s="974"/>
      <c r="DVR85" s="974"/>
      <c r="DVS85" s="974"/>
      <c r="DVT85" s="974"/>
      <c r="DVU85" s="974"/>
      <c r="DVV85" s="974"/>
      <c r="DVW85" s="974"/>
      <c r="DVX85" s="974"/>
      <c r="DVY85" s="974"/>
      <c r="DVZ85" s="974"/>
      <c r="DWA85" s="974"/>
      <c r="DWB85" s="974"/>
      <c r="DWC85" s="974"/>
      <c r="DWD85" s="974"/>
      <c r="DWE85" s="974"/>
      <c r="DWF85" s="974"/>
      <c r="DWG85" s="974"/>
      <c r="DWH85" s="974"/>
      <c r="DWI85" s="974"/>
      <c r="DWJ85" s="974"/>
      <c r="DWK85" s="974"/>
      <c r="DWL85" s="974"/>
      <c r="DWM85" s="974"/>
      <c r="DWN85" s="974"/>
      <c r="DWO85" s="974"/>
      <c r="DWP85" s="974"/>
      <c r="DWQ85" s="974"/>
      <c r="DWR85" s="974"/>
      <c r="DWS85" s="974"/>
      <c r="DWT85" s="974"/>
      <c r="DWU85" s="974"/>
      <c r="DWV85" s="974"/>
      <c r="DWW85" s="974"/>
      <c r="DWX85" s="974"/>
      <c r="DWY85" s="974"/>
      <c r="DWZ85" s="974"/>
      <c r="DXA85" s="974"/>
      <c r="DXB85" s="974"/>
      <c r="DXC85" s="974"/>
      <c r="DXD85" s="974"/>
      <c r="DXE85" s="974"/>
      <c r="DXF85" s="974"/>
      <c r="DXG85" s="974"/>
      <c r="DXH85" s="974"/>
      <c r="DXI85" s="974"/>
      <c r="DXJ85" s="974"/>
      <c r="DXK85" s="974"/>
      <c r="DXL85" s="974"/>
      <c r="DXM85" s="974"/>
      <c r="DXN85" s="974"/>
      <c r="DXO85" s="974"/>
      <c r="DXP85" s="974"/>
      <c r="DXQ85" s="974"/>
      <c r="DXR85" s="974"/>
      <c r="DXS85" s="974"/>
      <c r="DXT85" s="974"/>
      <c r="DXU85" s="974"/>
      <c r="DXV85" s="974"/>
      <c r="DXW85" s="974"/>
      <c r="DXX85" s="974"/>
      <c r="DXY85" s="974"/>
      <c r="DXZ85" s="974"/>
      <c r="DYA85" s="974"/>
      <c r="DYB85" s="974"/>
      <c r="DYC85" s="974"/>
      <c r="DYD85" s="974"/>
      <c r="DYE85" s="974"/>
      <c r="DYF85" s="974"/>
      <c r="DYG85" s="974"/>
      <c r="DYH85" s="974"/>
      <c r="DYI85" s="974"/>
      <c r="DYJ85" s="974"/>
      <c r="DYK85" s="974"/>
      <c r="DYL85" s="974"/>
      <c r="DYM85" s="974"/>
      <c r="DYN85" s="974"/>
      <c r="DYO85" s="974"/>
      <c r="DYP85" s="974"/>
      <c r="DYQ85" s="974"/>
      <c r="DYR85" s="974"/>
      <c r="DYS85" s="974"/>
      <c r="DYT85" s="974"/>
      <c r="DYU85" s="974"/>
      <c r="DYV85" s="974"/>
      <c r="DYW85" s="974"/>
      <c r="DYX85" s="974"/>
      <c r="DYY85" s="974"/>
      <c r="DYZ85" s="974"/>
      <c r="DZA85" s="974"/>
      <c r="DZB85" s="974"/>
      <c r="DZC85" s="974"/>
      <c r="DZD85" s="974"/>
      <c r="DZE85" s="974"/>
      <c r="DZF85" s="974"/>
      <c r="DZG85" s="974"/>
      <c r="DZH85" s="974"/>
      <c r="DZI85" s="974"/>
      <c r="DZJ85" s="974"/>
      <c r="DZK85" s="974"/>
      <c r="DZL85" s="974"/>
      <c r="DZM85" s="974"/>
      <c r="DZN85" s="974"/>
      <c r="DZO85" s="974"/>
      <c r="DZP85" s="974"/>
      <c r="DZQ85" s="974"/>
      <c r="DZR85" s="974"/>
      <c r="DZS85" s="974"/>
      <c r="DZT85" s="974"/>
      <c r="DZU85" s="974"/>
      <c r="DZV85" s="974"/>
      <c r="DZW85" s="974"/>
      <c r="DZX85" s="974"/>
      <c r="DZY85" s="974"/>
      <c r="DZZ85" s="974"/>
      <c r="EAA85" s="974"/>
      <c r="EAB85" s="974"/>
      <c r="EAC85" s="974"/>
      <c r="EAD85" s="974"/>
      <c r="EAE85" s="974"/>
      <c r="EAF85" s="974"/>
      <c r="EAG85" s="974"/>
      <c r="EAH85" s="974"/>
      <c r="EAI85" s="974"/>
      <c r="EAJ85" s="974"/>
      <c r="EAK85" s="974"/>
      <c r="EAL85" s="974"/>
      <c r="EAM85" s="974"/>
      <c r="EAN85" s="974"/>
      <c r="EAO85" s="974"/>
      <c r="EAP85" s="974"/>
      <c r="EAQ85" s="974"/>
      <c r="EAR85" s="974"/>
      <c r="EAS85" s="974"/>
      <c r="EAT85" s="974"/>
      <c r="EAU85" s="974"/>
      <c r="EAV85" s="974"/>
      <c r="EAW85" s="974"/>
      <c r="EAX85" s="974"/>
      <c r="EAY85" s="974"/>
      <c r="EAZ85" s="974"/>
      <c r="EBA85" s="974"/>
      <c r="EBB85" s="974"/>
      <c r="EBC85" s="974"/>
      <c r="EBD85" s="974"/>
      <c r="EBE85" s="974"/>
      <c r="EBF85" s="974"/>
      <c r="EBG85" s="974"/>
      <c r="EBH85" s="974"/>
      <c r="EBI85" s="974"/>
      <c r="EBJ85" s="974"/>
      <c r="EBK85" s="974"/>
      <c r="EBL85" s="974"/>
      <c r="EBM85" s="974"/>
      <c r="EBN85" s="974"/>
      <c r="EBO85" s="974"/>
      <c r="EBP85" s="974"/>
      <c r="EBQ85" s="974"/>
      <c r="EBR85" s="974"/>
      <c r="EBS85" s="974"/>
      <c r="EBT85" s="974"/>
      <c r="EBU85" s="974"/>
      <c r="EBV85" s="974"/>
      <c r="EBW85" s="974"/>
      <c r="EBX85" s="974"/>
      <c r="EBY85" s="974"/>
      <c r="EBZ85" s="974"/>
      <c r="ECA85" s="974"/>
      <c r="ECB85" s="974"/>
      <c r="ECC85" s="974"/>
      <c r="ECD85" s="974"/>
      <c r="ECE85" s="974"/>
      <c r="ECF85" s="974"/>
      <c r="ECG85" s="974"/>
      <c r="ECH85" s="974"/>
      <c r="ECI85" s="974"/>
      <c r="ECJ85" s="974"/>
      <c r="ECK85" s="974"/>
      <c r="ECL85" s="974"/>
      <c r="ECM85" s="974"/>
      <c r="ECN85" s="974"/>
      <c r="ECO85" s="974"/>
      <c r="ECP85" s="974"/>
      <c r="ECQ85" s="974"/>
      <c r="ECR85" s="974"/>
      <c r="ECS85" s="974"/>
      <c r="ECT85" s="974"/>
      <c r="ECU85" s="974"/>
      <c r="ECV85" s="974"/>
      <c r="ECW85" s="974"/>
      <c r="ECX85" s="974"/>
      <c r="ECY85" s="974"/>
      <c r="ECZ85" s="974"/>
      <c r="EDA85" s="974"/>
      <c r="EDB85" s="974"/>
      <c r="EDC85" s="974"/>
      <c r="EDD85" s="974"/>
      <c r="EDE85" s="974"/>
      <c r="EDF85" s="974"/>
      <c r="EDG85" s="974"/>
      <c r="EDH85" s="974"/>
      <c r="EDI85" s="974"/>
      <c r="EDJ85" s="974"/>
      <c r="EDK85" s="974"/>
      <c r="EDL85" s="974"/>
      <c r="EDM85" s="974"/>
      <c r="EDN85" s="974"/>
      <c r="EDO85" s="974"/>
      <c r="EDP85" s="974"/>
      <c r="EDQ85" s="974"/>
      <c r="EDR85" s="974"/>
      <c r="EDS85" s="974"/>
      <c r="EDT85" s="974"/>
      <c r="EDU85" s="974"/>
      <c r="EDV85" s="974"/>
      <c r="EDW85" s="974"/>
      <c r="EDX85" s="974"/>
      <c r="EDY85" s="974"/>
      <c r="EDZ85" s="974"/>
      <c r="EEA85" s="974"/>
      <c r="EEB85" s="974"/>
      <c r="EEC85" s="974"/>
      <c r="EED85" s="974"/>
      <c r="EEE85" s="974"/>
      <c r="EEF85" s="974"/>
      <c r="EEG85" s="974"/>
      <c r="EEH85" s="974"/>
      <c r="EEI85" s="974"/>
      <c r="EEJ85" s="974"/>
      <c r="EEK85" s="974"/>
      <c r="EEL85" s="974"/>
      <c r="EEM85" s="974"/>
      <c r="EEN85" s="974"/>
      <c r="EEO85" s="974"/>
      <c r="EEP85" s="974"/>
      <c r="EEQ85" s="974"/>
      <c r="EER85" s="974"/>
      <c r="EES85" s="974"/>
      <c r="EET85" s="974"/>
      <c r="EEU85" s="974"/>
      <c r="EEV85" s="974"/>
      <c r="EEW85" s="974"/>
      <c r="EEX85" s="974"/>
      <c r="EEY85" s="974"/>
      <c r="EEZ85" s="974"/>
      <c r="EFA85" s="974"/>
      <c r="EFB85" s="974"/>
      <c r="EFC85" s="974"/>
      <c r="EFD85" s="974"/>
      <c r="EFE85" s="974"/>
      <c r="EFF85" s="974"/>
      <c r="EFG85" s="974"/>
      <c r="EFH85" s="974"/>
      <c r="EFI85" s="974"/>
      <c r="EFJ85" s="974"/>
      <c r="EFK85" s="974"/>
      <c r="EFL85" s="974"/>
      <c r="EFM85" s="974"/>
      <c r="EFN85" s="974"/>
      <c r="EFO85" s="974"/>
      <c r="EFP85" s="974"/>
      <c r="EFQ85" s="974"/>
      <c r="EFR85" s="974"/>
      <c r="EFS85" s="974"/>
      <c r="EFT85" s="974"/>
      <c r="EFU85" s="974"/>
      <c r="EFV85" s="974"/>
      <c r="EFW85" s="974"/>
      <c r="EFX85" s="974"/>
      <c r="EFY85" s="974"/>
      <c r="EFZ85" s="974"/>
      <c r="EGA85" s="974"/>
      <c r="EGB85" s="974"/>
      <c r="EGC85" s="974"/>
      <c r="EGD85" s="974"/>
      <c r="EGE85" s="974"/>
      <c r="EGF85" s="974"/>
      <c r="EGG85" s="974"/>
      <c r="EGH85" s="974"/>
      <c r="EGI85" s="974"/>
      <c r="EGJ85" s="974"/>
      <c r="EGK85" s="974"/>
      <c r="EGL85" s="974"/>
      <c r="EGM85" s="974"/>
      <c r="EGN85" s="974"/>
      <c r="EGO85" s="974"/>
      <c r="EGP85" s="974"/>
      <c r="EGQ85" s="974"/>
      <c r="EGR85" s="974"/>
      <c r="EGS85" s="974"/>
      <c r="EGT85" s="974"/>
      <c r="EGU85" s="974"/>
      <c r="EGV85" s="974"/>
      <c r="EGW85" s="974"/>
      <c r="EGX85" s="974"/>
      <c r="EGY85" s="974"/>
      <c r="EGZ85" s="974"/>
      <c r="EHA85" s="974"/>
      <c r="EHB85" s="974"/>
      <c r="EHC85" s="974"/>
      <c r="EHD85" s="974"/>
      <c r="EHE85" s="974"/>
      <c r="EHF85" s="974"/>
      <c r="EHG85" s="974"/>
      <c r="EHH85" s="974"/>
      <c r="EHI85" s="974"/>
      <c r="EHJ85" s="974"/>
      <c r="EHK85" s="974"/>
      <c r="EHL85" s="974"/>
      <c r="EHM85" s="974"/>
      <c r="EHN85" s="974"/>
      <c r="EHO85" s="974"/>
      <c r="EHP85" s="974"/>
      <c r="EHQ85" s="974"/>
      <c r="EHR85" s="974"/>
      <c r="EHS85" s="974"/>
      <c r="EHT85" s="974"/>
      <c r="EHU85" s="974"/>
      <c r="EHV85" s="974"/>
      <c r="EHW85" s="974"/>
      <c r="EHX85" s="974"/>
      <c r="EHY85" s="974"/>
      <c r="EHZ85" s="974"/>
      <c r="EIA85" s="974"/>
      <c r="EIB85" s="974"/>
      <c r="EIC85" s="974"/>
      <c r="EID85" s="974"/>
      <c r="EIE85" s="974"/>
      <c r="EIF85" s="974"/>
      <c r="EIG85" s="974"/>
      <c r="EIH85" s="974"/>
      <c r="EII85" s="974"/>
      <c r="EIJ85" s="974"/>
      <c r="EIK85" s="974"/>
      <c r="EIL85" s="974"/>
      <c r="EIM85" s="974"/>
      <c r="EIN85" s="974"/>
      <c r="EIO85" s="974"/>
      <c r="EIP85" s="974"/>
      <c r="EIQ85" s="974"/>
      <c r="EIR85" s="974"/>
      <c r="EIS85" s="974"/>
      <c r="EIT85" s="974"/>
      <c r="EIU85" s="974"/>
      <c r="EIV85" s="974"/>
      <c r="EIW85" s="974"/>
      <c r="EIX85" s="974"/>
      <c r="EIY85" s="974"/>
      <c r="EIZ85" s="974"/>
      <c r="EJA85" s="974"/>
      <c r="EJB85" s="974"/>
      <c r="EJC85" s="974"/>
      <c r="EJD85" s="974"/>
      <c r="EJE85" s="974"/>
      <c r="EJF85" s="974"/>
      <c r="EJG85" s="974"/>
      <c r="EJH85" s="974"/>
      <c r="EJI85" s="974"/>
      <c r="EJJ85" s="974"/>
      <c r="EJK85" s="974"/>
      <c r="EJL85" s="974"/>
      <c r="EJM85" s="974"/>
      <c r="EJN85" s="974"/>
      <c r="EJO85" s="974"/>
      <c r="EJP85" s="974"/>
      <c r="EJQ85" s="974"/>
      <c r="EJR85" s="974"/>
      <c r="EJS85" s="974"/>
      <c r="EJT85" s="974"/>
      <c r="EJU85" s="974"/>
      <c r="EJV85" s="974"/>
      <c r="EJW85" s="974"/>
      <c r="EJX85" s="974"/>
      <c r="EJY85" s="974"/>
      <c r="EJZ85" s="974"/>
      <c r="EKA85" s="974"/>
      <c r="EKB85" s="974"/>
      <c r="EKC85" s="974"/>
      <c r="EKD85" s="974"/>
      <c r="EKE85" s="974"/>
      <c r="EKF85" s="974"/>
      <c r="EKG85" s="974"/>
      <c r="EKH85" s="974"/>
      <c r="EKI85" s="974"/>
      <c r="EKJ85" s="974"/>
      <c r="EKK85" s="974"/>
      <c r="EKL85" s="974"/>
      <c r="EKM85" s="974"/>
      <c r="EKN85" s="974"/>
      <c r="EKO85" s="974"/>
      <c r="EKP85" s="974"/>
      <c r="EKQ85" s="974"/>
      <c r="EKR85" s="974"/>
      <c r="EKS85" s="974"/>
      <c r="EKT85" s="974"/>
      <c r="EKU85" s="974"/>
      <c r="EKV85" s="974"/>
      <c r="EKW85" s="974"/>
      <c r="EKX85" s="974"/>
      <c r="EKY85" s="974"/>
      <c r="EKZ85" s="974"/>
      <c r="ELA85" s="974"/>
      <c r="ELB85" s="974"/>
      <c r="ELC85" s="974"/>
      <c r="ELD85" s="974"/>
      <c r="ELE85" s="974"/>
      <c r="ELF85" s="974"/>
      <c r="ELG85" s="974"/>
      <c r="ELH85" s="974"/>
      <c r="ELI85" s="974"/>
      <c r="ELJ85" s="974"/>
      <c r="ELK85" s="974"/>
      <c r="ELL85" s="974"/>
      <c r="ELM85" s="974"/>
      <c r="ELN85" s="974"/>
      <c r="ELO85" s="974"/>
      <c r="ELP85" s="974"/>
      <c r="ELQ85" s="974"/>
      <c r="ELR85" s="974"/>
      <c r="ELS85" s="974"/>
      <c r="ELT85" s="974"/>
      <c r="ELU85" s="974"/>
      <c r="ELV85" s="974"/>
      <c r="ELW85" s="974"/>
      <c r="ELX85" s="974"/>
      <c r="ELY85" s="974"/>
      <c r="ELZ85" s="974"/>
      <c r="EMA85" s="974"/>
      <c r="EMB85" s="974"/>
      <c r="EMC85" s="974"/>
      <c r="EMD85" s="974"/>
      <c r="EME85" s="974"/>
      <c r="EMF85" s="974"/>
      <c r="EMG85" s="974"/>
      <c r="EMH85" s="974"/>
      <c r="EMI85" s="974"/>
      <c r="EMJ85" s="974"/>
      <c r="EMK85" s="974"/>
      <c r="EML85" s="974"/>
      <c r="EMM85" s="974"/>
      <c r="EMN85" s="974"/>
      <c r="EMO85" s="974"/>
      <c r="EMP85" s="974"/>
      <c r="EMQ85" s="974"/>
      <c r="EMR85" s="974"/>
      <c r="EMS85" s="974"/>
      <c r="EMT85" s="974"/>
      <c r="EMU85" s="974"/>
      <c r="EMV85" s="974"/>
      <c r="EMW85" s="974"/>
      <c r="EMX85" s="974"/>
      <c r="EMY85" s="974"/>
      <c r="EMZ85" s="974"/>
      <c r="ENA85" s="974"/>
      <c r="ENB85" s="974"/>
      <c r="ENC85" s="974"/>
      <c r="END85" s="974"/>
      <c r="ENE85" s="974"/>
      <c r="ENF85" s="974"/>
      <c r="ENG85" s="974"/>
      <c r="ENH85" s="974"/>
      <c r="ENI85" s="974"/>
      <c r="ENJ85" s="974"/>
      <c r="ENK85" s="974"/>
      <c r="ENL85" s="974"/>
      <c r="ENM85" s="974"/>
      <c r="ENN85" s="974"/>
      <c r="ENO85" s="974"/>
      <c r="ENP85" s="974"/>
      <c r="ENQ85" s="974"/>
      <c r="ENR85" s="974"/>
      <c r="ENS85" s="974"/>
      <c r="ENT85" s="974"/>
      <c r="ENU85" s="974"/>
      <c r="ENV85" s="974"/>
      <c r="ENW85" s="974"/>
      <c r="ENX85" s="974"/>
      <c r="ENY85" s="974"/>
      <c r="ENZ85" s="974"/>
      <c r="EOA85" s="974"/>
      <c r="EOB85" s="974"/>
      <c r="EOC85" s="974"/>
      <c r="EOD85" s="974"/>
      <c r="EOE85" s="974"/>
      <c r="EOF85" s="974"/>
      <c r="EOG85" s="974"/>
      <c r="EOH85" s="974"/>
      <c r="EOI85" s="974"/>
      <c r="EOJ85" s="974"/>
      <c r="EOK85" s="974"/>
      <c r="EOL85" s="974"/>
      <c r="EOM85" s="974"/>
      <c r="EON85" s="974"/>
      <c r="EOO85" s="974"/>
      <c r="EOP85" s="974"/>
      <c r="EOQ85" s="974"/>
      <c r="EOR85" s="974"/>
      <c r="EOS85" s="974"/>
      <c r="EOT85" s="974"/>
      <c r="EOU85" s="974"/>
      <c r="EOV85" s="974"/>
      <c r="EOW85" s="974"/>
      <c r="EOX85" s="974"/>
      <c r="EOY85" s="974"/>
      <c r="EOZ85" s="974"/>
      <c r="EPA85" s="974"/>
      <c r="EPB85" s="974"/>
      <c r="EPC85" s="974"/>
      <c r="EPD85" s="974"/>
      <c r="EPE85" s="974"/>
      <c r="EPF85" s="974"/>
      <c r="EPG85" s="974"/>
      <c r="EPH85" s="974"/>
      <c r="EPI85" s="974"/>
      <c r="EPJ85" s="974"/>
      <c r="EPK85" s="974"/>
      <c r="EPL85" s="974"/>
      <c r="EPM85" s="974"/>
      <c r="EPN85" s="974"/>
      <c r="EPO85" s="974"/>
      <c r="EPP85" s="974"/>
      <c r="EPQ85" s="974"/>
      <c r="EPR85" s="974"/>
      <c r="EPS85" s="974"/>
      <c r="EPT85" s="974"/>
      <c r="EPU85" s="974"/>
      <c r="EPV85" s="974"/>
      <c r="EPW85" s="974"/>
      <c r="EPX85" s="974"/>
      <c r="EPY85" s="974"/>
      <c r="EPZ85" s="974"/>
      <c r="EQA85" s="974"/>
      <c r="EQB85" s="974"/>
      <c r="EQC85" s="974"/>
      <c r="EQD85" s="974"/>
      <c r="EQE85" s="974"/>
      <c r="EQF85" s="974"/>
      <c r="EQG85" s="974"/>
      <c r="EQH85" s="974"/>
      <c r="EQI85" s="974"/>
      <c r="EQJ85" s="974"/>
      <c r="EQK85" s="974"/>
      <c r="EQL85" s="974"/>
      <c r="EQM85" s="974"/>
      <c r="EQN85" s="974"/>
      <c r="EQO85" s="974"/>
      <c r="EQP85" s="974"/>
      <c r="EQQ85" s="974"/>
      <c r="EQR85" s="974"/>
      <c r="EQS85" s="974"/>
      <c r="EQT85" s="974"/>
      <c r="EQU85" s="974"/>
      <c r="EQV85" s="974"/>
      <c r="EQW85" s="974"/>
      <c r="EQX85" s="974"/>
      <c r="EQY85" s="974"/>
      <c r="EQZ85" s="974"/>
      <c r="ERA85" s="974"/>
      <c r="ERB85" s="974"/>
      <c r="ERC85" s="974"/>
      <c r="ERD85" s="974"/>
      <c r="ERE85" s="974"/>
      <c r="ERF85" s="974"/>
      <c r="ERG85" s="974"/>
      <c r="ERH85" s="974"/>
      <c r="ERI85" s="974"/>
      <c r="ERJ85" s="974"/>
      <c r="ERK85" s="974"/>
      <c r="ERL85" s="974"/>
      <c r="ERM85" s="974"/>
      <c r="ERN85" s="974"/>
      <c r="ERO85" s="974"/>
      <c r="ERP85" s="974"/>
      <c r="ERQ85" s="974"/>
      <c r="ERR85" s="974"/>
      <c r="ERS85" s="974"/>
      <c r="ERT85" s="974"/>
      <c r="ERU85" s="974"/>
      <c r="ERV85" s="974"/>
      <c r="ERW85" s="974"/>
      <c r="ERX85" s="974"/>
      <c r="ERY85" s="974"/>
      <c r="ERZ85" s="974"/>
      <c r="ESA85" s="974"/>
      <c r="ESB85" s="974"/>
      <c r="ESC85" s="974"/>
      <c r="ESD85" s="974"/>
      <c r="ESE85" s="974"/>
      <c r="ESF85" s="974"/>
      <c r="ESG85" s="974"/>
      <c r="ESH85" s="974"/>
      <c r="ESI85" s="974"/>
      <c r="ESJ85" s="974"/>
      <c r="ESK85" s="974"/>
      <c r="ESL85" s="974"/>
      <c r="ESM85" s="974"/>
      <c r="ESN85" s="974"/>
      <c r="ESO85" s="974"/>
      <c r="ESP85" s="974"/>
      <c r="ESQ85" s="974"/>
      <c r="ESR85" s="974"/>
      <c r="ESS85" s="974"/>
      <c r="EST85" s="974"/>
      <c r="ESU85" s="974"/>
      <c r="ESV85" s="974"/>
      <c r="ESW85" s="974"/>
      <c r="ESX85" s="974"/>
      <c r="ESY85" s="974"/>
      <c r="ESZ85" s="974"/>
      <c r="ETA85" s="974"/>
      <c r="ETB85" s="974"/>
      <c r="ETC85" s="974"/>
      <c r="ETD85" s="974"/>
      <c r="ETE85" s="974"/>
      <c r="ETF85" s="974"/>
      <c r="ETG85" s="974"/>
      <c r="ETH85" s="974"/>
      <c r="ETI85" s="974"/>
      <c r="ETJ85" s="974"/>
      <c r="ETK85" s="974"/>
      <c r="ETL85" s="974"/>
      <c r="ETM85" s="974"/>
      <c r="ETN85" s="974"/>
      <c r="ETO85" s="974"/>
      <c r="ETP85" s="974"/>
      <c r="ETQ85" s="974"/>
      <c r="ETR85" s="974"/>
      <c r="ETS85" s="974"/>
      <c r="ETT85" s="974"/>
      <c r="ETU85" s="974"/>
      <c r="ETV85" s="974"/>
      <c r="ETW85" s="974"/>
      <c r="ETX85" s="974"/>
      <c r="ETY85" s="974"/>
      <c r="ETZ85" s="974"/>
      <c r="EUA85" s="974"/>
      <c r="EUB85" s="974"/>
      <c r="EUC85" s="974"/>
      <c r="EUD85" s="974"/>
      <c r="EUE85" s="974"/>
      <c r="EUF85" s="974"/>
      <c r="EUG85" s="974"/>
      <c r="EUH85" s="974"/>
      <c r="EUI85" s="974"/>
      <c r="EUJ85" s="974"/>
      <c r="EUK85" s="974"/>
      <c r="EUL85" s="974"/>
      <c r="EUM85" s="974"/>
      <c r="EUN85" s="974"/>
      <c r="EUO85" s="974"/>
      <c r="EUP85" s="974"/>
      <c r="EUQ85" s="974"/>
      <c r="EUR85" s="974"/>
      <c r="EUS85" s="974"/>
      <c r="EUT85" s="974"/>
      <c r="EUU85" s="974"/>
      <c r="EUV85" s="974"/>
      <c r="EUW85" s="974"/>
      <c r="EUX85" s="974"/>
      <c r="EUY85" s="974"/>
      <c r="EUZ85" s="974"/>
      <c r="EVA85" s="974"/>
      <c r="EVB85" s="974"/>
      <c r="EVC85" s="974"/>
      <c r="EVD85" s="974"/>
      <c r="EVE85" s="974"/>
      <c r="EVF85" s="974"/>
      <c r="EVG85" s="974"/>
      <c r="EVH85" s="974"/>
      <c r="EVI85" s="974"/>
      <c r="EVJ85" s="974"/>
      <c r="EVK85" s="974"/>
      <c r="EVL85" s="974"/>
      <c r="EVM85" s="974"/>
      <c r="EVN85" s="974"/>
      <c r="EVO85" s="974"/>
      <c r="EVP85" s="974"/>
      <c r="EVQ85" s="974"/>
      <c r="EVR85" s="974"/>
      <c r="EVS85" s="974"/>
      <c r="EVT85" s="974"/>
      <c r="EVU85" s="974"/>
      <c r="EVV85" s="974"/>
      <c r="EVW85" s="974"/>
      <c r="EVX85" s="974"/>
      <c r="EVY85" s="974"/>
      <c r="EVZ85" s="974"/>
      <c r="EWA85" s="974"/>
      <c r="EWB85" s="974"/>
      <c r="EWC85" s="974"/>
      <c r="EWD85" s="974"/>
      <c r="EWE85" s="974"/>
      <c r="EWF85" s="974"/>
      <c r="EWG85" s="974"/>
      <c r="EWH85" s="974"/>
      <c r="EWI85" s="974"/>
      <c r="EWJ85" s="974"/>
      <c r="EWK85" s="974"/>
      <c r="EWL85" s="974"/>
      <c r="EWM85" s="974"/>
      <c r="EWN85" s="974"/>
      <c r="EWO85" s="974"/>
      <c r="EWP85" s="974"/>
      <c r="EWQ85" s="974"/>
      <c r="EWR85" s="974"/>
      <c r="EWS85" s="974"/>
      <c r="EWT85" s="974"/>
      <c r="EWU85" s="974"/>
      <c r="EWV85" s="974"/>
      <c r="EWW85" s="974"/>
      <c r="EWX85" s="974"/>
      <c r="EWY85" s="974"/>
      <c r="EWZ85" s="974"/>
      <c r="EXA85" s="974"/>
      <c r="EXB85" s="974"/>
      <c r="EXC85" s="974"/>
      <c r="EXD85" s="974"/>
      <c r="EXE85" s="974"/>
      <c r="EXF85" s="974"/>
      <c r="EXG85" s="974"/>
      <c r="EXH85" s="974"/>
      <c r="EXI85" s="974"/>
      <c r="EXJ85" s="974"/>
      <c r="EXK85" s="974"/>
      <c r="EXL85" s="974"/>
      <c r="EXM85" s="974"/>
      <c r="EXN85" s="974"/>
      <c r="EXO85" s="974"/>
      <c r="EXP85" s="974"/>
      <c r="EXQ85" s="974"/>
      <c r="EXR85" s="974"/>
      <c r="EXS85" s="974"/>
      <c r="EXT85" s="974"/>
      <c r="EXU85" s="974"/>
      <c r="EXV85" s="974"/>
      <c r="EXW85" s="974"/>
      <c r="EXX85" s="974"/>
      <c r="EXY85" s="974"/>
      <c r="EXZ85" s="974"/>
      <c r="EYA85" s="974"/>
      <c r="EYB85" s="974"/>
      <c r="EYC85" s="974"/>
      <c r="EYD85" s="974"/>
      <c r="EYE85" s="974"/>
      <c r="EYF85" s="974"/>
      <c r="EYG85" s="974"/>
      <c r="EYH85" s="974"/>
      <c r="EYI85" s="974"/>
      <c r="EYJ85" s="974"/>
      <c r="EYK85" s="974"/>
      <c r="EYL85" s="974"/>
      <c r="EYM85" s="974"/>
      <c r="EYN85" s="974"/>
      <c r="EYO85" s="974"/>
      <c r="EYP85" s="974"/>
      <c r="EYQ85" s="974"/>
      <c r="EYR85" s="974"/>
      <c r="EYS85" s="974"/>
      <c r="EYT85" s="974"/>
      <c r="EYU85" s="974"/>
      <c r="EYV85" s="974"/>
      <c r="EYW85" s="974"/>
      <c r="EYX85" s="974"/>
      <c r="EYY85" s="974"/>
      <c r="EYZ85" s="974"/>
      <c r="EZA85" s="974"/>
      <c r="EZB85" s="974"/>
      <c r="EZC85" s="974"/>
      <c r="EZD85" s="974"/>
      <c r="EZE85" s="974"/>
      <c r="EZF85" s="974"/>
      <c r="EZG85" s="974"/>
      <c r="EZH85" s="974"/>
      <c r="EZI85" s="974"/>
      <c r="EZJ85" s="974"/>
      <c r="EZK85" s="974"/>
      <c r="EZL85" s="974"/>
      <c r="EZM85" s="974"/>
      <c r="EZN85" s="974"/>
      <c r="EZO85" s="974"/>
      <c r="EZP85" s="974"/>
      <c r="EZQ85" s="974"/>
      <c r="EZR85" s="974"/>
      <c r="EZS85" s="974"/>
      <c r="EZT85" s="974"/>
      <c r="EZU85" s="974"/>
      <c r="EZV85" s="974"/>
      <c r="EZW85" s="974"/>
      <c r="EZX85" s="974"/>
      <c r="EZY85" s="974"/>
      <c r="EZZ85" s="974"/>
      <c r="FAA85" s="974"/>
      <c r="FAB85" s="974"/>
      <c r="FAC85" s="974"/>
      <c r="FAD85" s="974"/>
      <c r="FAE85" s="974"/>
      <c r="FAF85" s="974"/>
      <c r="FAG85" s="974"/>
      <c r="FAH85" s="974"/>
      <c r="FAI85" s="974"/>
      <c r="FAJ85" s="974"/>
      <c r="FAK85" s="974"/>
      <c r="FAL85" s="974"/>
      <c r="FAM85" s="974"/>
      <c r="FAN85" s="974"/>
      <c r="FAO85" s="974"/>
      <c r="FAP85" s="974"/>
      <c r="FAQ85" s="974"/>
      <c r="FAR85" s="974"/>
      <c r="FAS85" s="974"/>
      <c r="FAT85" s="974"/>
      <c r="FAU85" s="974"/>
      <c r="FAV85" s="974"/>
      <c r="FAW85" s="974"/>
      <c r="FAX85" s="974"/>
      <c r="FAY85" s="974"/>
      <c r="FAZ85" s="974"/>
      <c r="FBA85" s="974"/>
      <c r="FBB85" s="974"/>
      <c r="FBC85" s="974"/>
      <c r="FBD85" s="974"/>
      <c r="FBE85" s="974"/>
      <c r="FBF85" s="974"/>
      <c r="FBG85" s="974"/>
      <c r="FBH85" s="974"/>
      <c r="FBI85" s="974"/>
      <c r="FBJ85" s="974"/>
      <c r="FBK85" s="974"/>
      <c r="FBL85" s="974"/>
      <c r="FBM85" s="974"/>
      <c r="FBN85" s="974"/>
      <c r="FBO85" s="974"/>
      <c r="FBP85" s="974"/>
      <c r="FBQ85" s="974"/>
      <c r="FBR85" s="974"/>
      <c r="FBS85" s="974"/>
      <c r="FBT85" s="974"/>
      <c r="FBU85" s="974"/>
      <c r="FBV85" s="974"/>
      <c r="FBW85" s="974"/>
      <c r="FBX85" s="974"/>
      <c r="FBY85" s="974"/>
      <c r="FBZ85" s="974"/>
      <c r="FCA85" s="974"/>
      <c r="FCB85" s="974"/>
      <c r="FCC85" s="974"/>
      <c r="FCD85" s="974"/>
      <c r="FCE85" s="974"/>
      <c r="FCF85" s="974"/>
      <c r="FCG85" s="974"/>
      <c r="FCH85" s="974"/>
      <c r="FCI85" s="974"/>
      <c r="FCJ85" s="974"/>
      <c r="FCK85" s="974"/>
      <c r="FCL85" s="974"/>
      <c r="FCM85" s="974"/>
      <c r="FCN85" s="974"/>
      <c r="FCO85" s="974"/>
      <c r="FCP85" s="974"/>
      <c r="FCQ85" s="974"/>
      <c r="FCR85" s="974"/>
      <c r="FCS85" s="974"/>
      <c r="FCT85" s="974"/>
      <c r="FCU85" s="974"/>
      <c r="FCV85" s="974"/>
      <c r="FCW85" s="974"/>
      <c r="FCX85" s="974"/>
      <c r="FCY85" s="974"/>
      <c r="FCZ85" s="974"/>
      <c r="FDA85" s="974"/>
      <c r="FDB85" s="974"/>
      <c r="FDC85" s="974"/>
      <c r="FDD85" s="974"/>
      <c r="FDE85" s="974"/>
      <c r="FDF85" s="974"/>
      <c r="FDG85" s="974"/>
      <c r="FDH85" s="974"/>
      <c r="FDI85" s="974"/>
      <c r="FDJ85" s="974"/>
      <c r="FDK85" s="974"/>
      <c r="FDL85" s="974"/>
      <c r="FDM85" s="974"/>
      <c r="FDN85" s="974"/>
      <c r="FDO85" s="974"/>
      <c r="FDP85" s="974"/>
      <c r="FDQ85" s="974"/>
      <c r="FDR85" s="974"/>
      <c r="FDS85" s="974"/>
      <c r="FDT85" s="974"/>
      <c r="FDU85" s="974"/>
      <c r="FDV85" s="974"/>
      <c r="FDW85" s="974"/>
      <c r="FDX85" s="974"/>
      <c r="FDY85" s="974"/>
      <c r="FDZ85" s="974"/>
      <c r="FEA85" s="974"/>
      <c r="FEB85" s="974"/>
      <c r="FEC85" s="974"/>
      <c r="FED85" s="974"/>
      <c r="FEE85" s="974"/>
      <c r="FEF85" s="974"/>
      <c r="FEG85" s="974"/>
      <c r="FEH85" s="974"/>
      <c r="FEI85" s="974"/>
      <c r="FEJ85" s="974"/>
      <c r="FEK85" s="974"/>
      <c r="FEL85" s="974"/>
      <c r="FEM85" s="974"/>
      <c r="FEN85" s="974"/>
      <c r="FEO85" s="974"/>
      <c r="FEP85" s="974"/>
      <c r="FEQ85" s="974"/>
      <c r="FER85" s="974"/>
      <c r="FES85" s="974"/>
      <c r="FET85" s="974"/>
      <c r="FEU85" s="974"/>
      <c r="FEV85" s="974"/>
      <c r="FEW85" s="974"/>
      <c r="FEX85" s="974"/>
      <c r="FEY85" s="974"/>
      <c r="FEZ85" s="974"/>
      <c r="FFA85" s="974"/>
      <c r="FFB85" s="974"/>
      <c r="FFC85" s="974"/>
      <c r="FFD85" s="974"/>
      <c r="FFE85" s="974"/>
      <c r="FFF85" s="974"/>
      <c r="FFG85" s="974"/>
      <c r="FFH85" s="974"/>
      <c r="FFI85" s="974"/>
      <c r="FFJ85" s="974"/>
      <c r="FFK85" s="974"/>
      <c r="FFL85" s="974"/>
      <c r="FFM85" s="974"/>
      <c r="FFN85" s="974"/>
      <c r="FFO85" s="974"/>
      <c r="FFP85" s="974"/>
      <c r="FFQ85" s="974"/>
      <c r="FFR85" s="974"/>
      <c r="FFS85" s="974"/>
      <c r="FFT85" s="974"/>
      <c r="FFU85" s="974"/>
      <c r="FFV85" s="974"/>
      <c r="FFW85" s="974"/>
      <c r="FFX85" s="974"/>
      <c r="FFY85" s="974"/>
      <c r="FFZ85" s="974"/>
      <c r="FGA85" s="974"/>
      <c r="FGB85" s="974"/>
      <c r="FGC85" s="974"/>
      <c r="FGD85" s="974"/>
      <c r="FGE85" s="974"/>
      <c r="FGF85" s="974"/>
      <c r="FGG85" s="974"/>
      <c r="FGH85" s="974"/>
      <c r="FGI85" s="974"/>
      <c r="FGJ85" s="974"/>
      <c r="FGK85" s="974"/>
      <c r="FGL85" s="974"/>
      <c r="FGM85" s="974"/>
      <c r="FGN85" s="974"/>
      <c r="FGO85" s="974"/>
      <c r="FGP85" s="974"/>
      <c r="FGQ85" s="974"/>
      <c r="FGR85" s="974"/>
      <c r="FGS85" s="974"/>
      <c r="FGT85" s="974"/>
      <c r="FGU85" s="974"/>
      <c r="FGV85" s="974"/>
      <c r="FGW85" s="974"/>
      <c r="FGX85" s="974"/>
      <c r="FGY85" s="974"/>
      <c r="FGZ85" s="974"/>
      <c r="FHA85" s="974"/>
      <c r="FHB85" s="974"/>
      <c r="FHC85" s="974"/>
      <c r="FHD85" s="974"/>
      <c r="FHE85" s="974"/>
      <c r="FHF85" s="974"/>
      <c r="FHG85" s="974"/>
      <c r="FHH85" s="974"/>
      <c r="FHI85" s="974"/>
      <c r="FHJ85" s="974"/>
      <c r="FHK85" s="974"/>
      <c r="FHL85" s="974"/>
      <c r="FHM85" s="974"/>
      <c r="FHN85" s="974"/>
      <c r="FHO85" s="974"/>
      <c r="FHP85" s="974"/>
      <c r="FHQ85" s="974"/>
      <c r="FHR85" s="974"/>
      <c r="FHS85" s="974"/>
      <c r="FHT85" s="974"/>
      <c r="FHU85" s="974"/>
      <c r="FHV85" s="974"/>
      <c r="FHW85" s="974"/>
      <c r="FHX85" s="974"/>
      <c r="FHY85" s="974"/>
      <c r="FHZ85" s="974"/>
      <c r="FIA85" s="974"/>
      <c r="FIB85" s="974"/>
      <c r="FIC85" s="974"/>
      <c r="FID85" s="974"/>
      <c r="FIE85" s="974"/>
      <c r="FIF85" s="974"/>
      <c r="FIG85" s="974"/>
      <c r="FIH85" s="974"/>
      <c r="FII85" s="974"/>
      <c r="FIJ85" s="974"/>
      <c r="FIK85" s="974"/>
      <c r="FIL85" s="974"/>
      <c r="FIM85" s="974"/>
      <c r="FIN85" s="974"/>
      <c r="FIO85" s="974"/>
      <c r="FIP85" s="974"/>
      <c r="FIQ85" s="974"/>
      <c r="FIR85" s="974"/>
      <c r="FIS85" s="974"/>
      <c r="FIT85" s="974"/>
      <c r="FIU85" s="974"/>
      <c r="FIV85" s="974"/>
      <c r="FIW85" s="974"/>
      <c r="FIX85" s="974"/>
      <c r="FIY85" s="974"/>
      <c r="FIZ85" s="974"/>
      <c r="FJA85" s="974"/>
      <c r="FJB85" s="974"/>
      <c r="FJC85" s="974"/>
      <c r="FJD85" s="974"/>
      <c r="FJE85" s="974"/>
      <c r="FJF85" s="974"/>
      <c r="FJG85" s="974"/>
      <c r="FJH85" s="974"/>
      <c r="FJI85" s="974"/>
      <c r="FJJ85" s="974"/>
      <c r="FJK85" s="974"/>
      <c r="FJL85" s="974"/>
      <c r="FJM85" s="974"/>
      <c r="FJN85" s="974"/>
      <c r="FJO85" s="974"/>
      <c r="FJP85" s="974"/>
      <c r="FJQ85" s="974"/>
      <c r="FJR85" s="974"/>
      <c r="FJS85" s="974"/>
      <c r="FJT85" s="974"/>
      <c r="FJU85" s="974"/>
      <c r="FJV85" s="974"/>
      <c r="FJW85" s="974"/>
      <c r="FJX85" s="974"/>
      <c r="FJY85" s="974"/>
      <c r="FJZ85" s="974"/>
      <c r="FKA85" s="974"/>
      <c r="FKB85" s="974"/>
      <c r="FKC85" s="974"/>
      <c r="FKD85" s="974"/>
      <c r="FKE85" s="974"/>
      <c r="FKF85" s="974"/>
      <c r="FKG85" s="974"/>
      <c r="FKH85" s="974"/>
      <c r="FKI85" s="974"/>
      <c r="FKJ85" s="974"/>
      <c r="FKK85" s="974"/>
      <c r="FKL85" s="974"/>
      <c r="FKM85" s="974"/>
      <c r="FKN85" s="974"/>
      <c r="FKO85" s="974"/>
      <c r="FKP85" s="974"/>
      <c r="FKQ85" s="974"/>
      <c r="FKR85" s="974"/>
      <c r="FKS85" s="974"/>
      <c r="FKT85" s="974"/>
      <c r="FKU85" s="974"/>
      <c r="FKV85" s="974"/>
      <c r="FKW85" s="974"/>
      <c r="FKX85" s="974"/>
      <c r="FKY85" s="974"/>
      <c r="FKZ85" s="974"/>
      <c r="FLA85" s="974"/>
      <c r="FLB85" s="974"/>
      <c r="FLC85" s="974"/>
      <c r="FLD85" s="974"/>
      <c r="FLE85" s="974"/>
      <c r="FLF85" s="974"/>
      <c r="FLG85" s="974"/>
      <c r="FLH85" s="974"/>
      <c r="FLI85" s="974"/>
      <c r="FLJ85" s="974"/>
      <c r="FLK85" s="974"/>
      <c r="FLL85" s="974"/>
      <c r="FLM85" s="974"/>
      <c r="FLN85" s="974"/>
      <c r="FLO85" s="974"/>
      <c r="FLP85" s="974"/>
      <c r="FLQ85" s="974"/>
      <c r="FLR85" s="974"/>
      <c r="FLS85" s="974"/>
      <c r="FLT85" s="974"/>
      <c r="FLU85" s="974"/>
      <c r="FLV85" s="974"/>
      <c r="FLW85" s="974"/>
      <c r="FLX85" s="974"/>
      <c r="FLY85" s="974"/>
      <c r="FLZ85" s="974"/>
      <c r="FMA85" s="974"/>
      <c r="FMB85" s="974"/>
      <c r="FMC85" s="974"/>
      <c r="FMD85" s="974"/>
      <c r="FME85" s="974"/>
      <c r="FMF85" s="974"/>
      <c r="FMG85" s="974"/>
      <c r="FMH85" s="974"/>
      <c r="FMI85" s="974"/>
      <c r="FMJ85" s="974"/>
      <c r="FMK85" s="974"/>
      <c r="FML85" s="974"/>
      <c r="FMM85" s="974"/>
      <c r="FMN85" s="974"/>
      <c r="FMO85" s="974"/>
      <c r="FMP85" s="974"/>
      <c r="FMQ85" s="974"/>
      <c r="FMR85" s="974"/>
      <c r="FMS85" s="974"/>
      <c r="FMT85" s="974"/>
      <c r="FMU85" s="974"/>
      <c r="FMV85" s="974"/>
      <c r="FMW85" s="974"/>
      <c r="FMX85" s="974"/>
      <c r="FMY85" s="974"/>
      <c r="FMZ85" s="974"/>
      <c r="FNA85" s="974"/>
      <c r="FNB85" s="974"/>
      <c r="FNC85" s="974"/>
      <c r="FND85" s="974"/>
      <c r="FNE85" s="974"/>
      <c r="FNF85" s="974"/>
      <c r="FNG85" s="974"/>
      <c r="FNH85" s="974"/>
      <c r="FNI85" s="974"/>
      <c r="FNJ85" s="974"/>
      <c r="FNK85" s="974"/>
      <c r="FNL85" s="974"/>
      <c r="FNM85" s="974"/>
      <c r="FNN85" s="974"/>
      <c r="FNO85" s="974"/>
      <c r="FNP85" s="974"/>
      <c r="FNQ85" s="974"/>
      <c r="FNR85" s="974"/>
      <c r="FNS85" s="974"/>
      <c r="FNT85" s="974"/>
      <c r="FNU85" s="974"/>
      <c r="FNV85" s="974"/>
      <c r="FNW85" s="974"/>
      <c r="FNX85" s="974"/>
      <c r="FNY85" s="974"/>
      <c r="FNZ85" s="974"/>
      <c r="FOA85" s="974"/>
      <c r="FOB85" s="974"/>
      <c r="FOC85" s="974"/>
      <c r="FOD85" s="974"/>
      <c r="FOE85" s="974"/>
      <c r="FOF85" s="974"/>
      <c r="FOG85" s="974"/>
      <c r="FOH85" s="974"/>
      <c r="FOI85" s="974"/>
      <c r="FOJ85" s="974"/>
      <c r="FOK85" s="974"/>
      <c r="FOL85" s="974"/>
      <c r="FOM85" s="974"/>
      <c r="FON85" s="974"/>
      <c r="FOO85" s="974"/>
      <c r="FOP85" s="974"/>
      <c r="FOQ85" s="974"/>
      <c r="FOR85" s="974"/>
      <c r="FOS85" s="974"/>
      <c r="FOT85" s="974"/>
      <c r="FOU85" s="974"/>
      <c r="FOV85" s="974"/>
      <c r="FOW85" s="974"/>
      <c r="FOX85" s="974"/>
      <c r="FOY85" s="974"/>
      <c r="FOZ85" s="974"/>
      <c r="FPA85" s="974"/>
      <c r="FPB85" s="974"/>
      <c r="FPC85" s="974"/>
      <c r="FPD85" s="974"/>
      <c r="FPE85" s="974"/>
      <c r="FPF85" s="974"/>
      <c r="FPG85" s="974"/>
      <c r="FPH85" s="974"/>
      <c r="FPI85" s="974"/>
      <c r="FPJ85" s="974"/>
      <c r="FPK85" s="974"/>
      <c r="FPL85" s="974"/>
      <c r="FPM85" s="974"/>
      <c r="FPN85" s="974"/>
      <c r="FPO85" s="974"/>
      <c r="FPP85" s="974"/>
      <c r="FPQ85" s="974"/>
      <c r="FPR85" s="974"/>
      <c r="FPS85" s="974"/>
      <c r="FPT85" s="974"/>
      <c r="FPU85" s="974"/>
      <c r="FPV85" s="974"/>
      <c r="FPW85" s="974"/>
      <c r="FPX85" s="974"/>
      <c r="FPY85" s="974"/>
      <c r="FPZ85" s="974"/>
      <c r="FQA85" s="974"/>
      <c r="FQB85" s="974"/>
      <c r="FQC85" s="974"/>
      <c r="FQD85" s="974"/>
      <c r="FQE85" s="974"/>
      <c r="FQF85" s="974"/>
      <c r="FQG85" s="974"/>
      <c r="FQH85" s="974"/>
      <c r="FQI85" s="974"/>
      <c r="FQJ85" s="974"/>
      <c r="FQK85" s="974"/>
      <c r="FQL85" s="974"/>
      <c r="FQM85" s="974"/>
      <c r="FQN85" s="974"/>
      <c r="FQO85" s="974"/>
      <c r="FQP85" s="974"/>
      <c r="FQQ85" s="974"/>
      <c r="FQR85" s="974"/>
      <c r="FQS85" s="974"/>
      <c r="FQT85" s="974"/>
      <c r="FQU85" s="974"/>
      <c r="FQV85" s="974"/>
      <c r="FQW85" s="974"/>
      <c r="FQX85" s="974"/>
      <c r="FQY85" s="974"/>
      <c r="FQZ85" s="974"/>
      <c r="FRA85" s="974"/>
      <c r="FRB85" s="974"/>
      <c r="FRC85" s="974"/>
      <c r="FRD85" s="974"/>
      <c r="FRE85" s="974"/>
      <c r="FRF85" s="974"/>
      <c r="FRG85" s="974"/>
      <c r="FRH85" s="974"/>
      <c r="FRI85" s="974"/>
      <c r="FRJ85" s="974"/>
      <c r="FRK85" s="974"/>
      <c r="FRL85" s="974"/>
      <c r="FRM85" s="974"/>
      <c r="FRN85" s="974"/>
      <c r="FRO85" s="974"/>
      <c r="FRP85" s="974"/>
      <c r="FRQ85" s="974"/>
      <c r="FRR85" s="974"/>
      <c r="FRS85" s="974"/>
      <c r="FRT85" s="974"/>
      <c r="FRU85" s="974"/>
      <c r="FRV85" s="974"/>
      <c r="FRW85" s="974"/>
      <c r="FRX85" s="974"/>
      <c r="FRY85" s="974"/>
      <c r="FRZ85" s="974"/>
      <c r="FSA85" s="974"/>
      <c r="FSB85" s="974"/>
      <c r="FSC85" s="974"/>
      <c r="FSD85" s="974"/>
      <c r="FSE85" s="974"/>
      <c r="FSF85" s="974"/>
      <c r="FSG85" s="974"/>
      <c r="FSH85" s="974"/>
      <c r="FSI85" s="974"/>
      <c r="FSJ85" s="974"/>
      <c r="FSK85" s="974"/>
      <c r="FSL85" s="974"/>
      <c r="FSM85" s="974"/>
      <c r="FSN85" s="974"/>
      <c r="FSO85" s="974"/>
      <c r="FSP85" s="974"/>
      <c r="FSQ85" s="974"/>
      <c r="FSR85" s="974"/>
      <c r="FSS85" s="974"/>
      <c r="FST85" s="974"/>
      <c r="FSU85" s="974"/>
      <c r="FSV85" s="974"/>
      <c r="FSW85" s="974"/>
      <c r="FSX85" s="974"/>
      <c r="FSY85" s="974"/>
      <c r="FSZ85" s="974"/>
      <c r="FTA85" s="974"/>
      <c r="FTB85" s="974"/>
      <c r="FTC85" s="974"/>
      <c r="FTD85" s="974"/>
      <c r="FTE85" s="974"/>
      <c r="FTF85" s="974"/>
      <c r="FTG85" s="974"/>
      <c r="FTH85" s="974"/>
      <c r="FTI85" s="974"/>
      <c r="FTJ85" s="974"/>
      <c r="FTK85" s="974"/>
      <c r="FTL85" s="974"/>
      <c r="FTM85" s="974"/>
      <c r="FTN85" s="974"/>
      <c r="FTO85" s="974"/>
      <c r="FTP85" s="974"/>
      <c r="FTQ85" s="974"/>
      <c r="FTR85" s="974"/>
      <c r="FTS85" s="974"/>
      <c r="FTT85" s="974"/>
      <c r="FTU85" s="974"/>
      <c r="FTV85" s="974"/>
      <c r="FTW85" s="974"/>
      <c r="FTX85" s="974"/>
      <c r="FTY85" s="974"/>
      <c r="FTZ85" s="974"/>
      <c r="FUA85" s="974"/>
      <c r="FUB85" s="974"/>
      <c r="FUC85" s="974"/>
      <c r="FUD85" s="974"/>
      <c r="FUE85" s="974"/>
      <c r="FUF85" s="974"/>
      <c r="FUG85" s="974"/>
      <c r="FUH85" s="974"/>
      <c r="FUI85" s="974"/>
      <c r="FUJ85" s="974"/>
      <c r="FUK85" s="974"/>
      <c r="FUL85" s="974"/>
      <c r="FUM85" s="974"/>
      <c r="FUN85" s="974"/>
      <c r="FUO85" s="974"/>
      <c r="FUP85" s="974"/>
      <c r="FUQ85" s="974"/>
      <c r="FUR85" s="974"/>
      <c r="FUS85" s="974"/>
      <c r="FUT85" s="974"/>
      <c r="FUU85" s="974"/>
      <c r="FUV85" s="974"/>
      <c r="FUW85" s="974"/>
      <c r="FUX85" s="974"/>
      <c r="FUY85" s="974"/>
      <c r="FUZ85" s="974"/>
      <c r="FVA85" s="974"/>
      <c r="FVB85" s="974"/>
      <c r="FVC85" s="974"/>
      <c r="FVD85" s="974"/>
      <c r="FVE85" s="974"/>
      <c r="FVF85" s="974"/>
      <c r="FVG85" s="974"/>
      <c r="FVH85" s="974"/>
      <c r="FVI85" s="974"/>
      <c r="FVJ85" s="974"/>
      <c r="FVK85" s="974"/>
      <c r="FVL85" s="974"/>
      <c r="FVM85" s="974"/>
      <c r="FVN85" s="974"/>
      <c r="FVO85" s="974"/>
      <c r="FVP85" s="974"/>
      <c r="FVQ85" s="974"/>
      <c r="FVR85" s="974"/>
      <c r="FVS85" s="974"/>
      <c r="FVT85" s="974"/>
      <c r="FVU85" s="974"/>
      <c r="FVV85" s="974"/>
      <c r="FVW85" s="974"/>
      <c r="FVX85" s="974"/>
      <c r="FVY85" s="974"/>
      <c r="FVZ85" s="974"/>
      <c r="FWA85" s="974"/>
      <c r="FWB85" s="974"/>
      <c r="FWC85" s="974"/>
      <c r="FWD85" s="974"/>
      <c r="FWE85" s="974"/>
      <c r="FWF85" s="974"/>
      <c r="FWG85" s="974"/>
      <c r="FWH85" s="974"/>
      <c r="FWI85" s="974"/>
      <c r="FWJ85" s="974"/>
      <c r="FWK85" s="974"/>
      <c r="FWL85" s="974"/>
      <c r="FWM85" s="974"/>
      <c r="FWN85" s="974"/>
      <c r="FWO85" s="974"/>
      <c r="FWP85" s="974"/>
      <c r="FWQ85" s="974"/>
      <c r="FWR85" s="974"/>
      <c r="FWS85" s="974"/>
      <c r="FWT85" s="974"/>
      <c r="FWU85" s="974"/>
      <c r="FWV85" s="974"/>
      <c r="FWW85" s="974"/>
      <c r="FWX85" s="974"/>
      <c r="FWY85" s="974"/>
      <c r="FWZ85" s="974"/>
      <c r="FXA85" s="974"/>
      <c r="FXB85" s="974"/>
      <c r="FXC85" s="974"/>
      <c r="FXD85" s="974"/>
      <c r="FXE85" s="974"/>
      <c r="FXF85" s="974"/>
      <c r="FXG85" s="974"/>
      <c r="FXH85" s="974"/>
      <c r="FXI85" s="974"/>
      <c r="FXJ85" s="974"/>
      <c r="FXK85" s="974"/>
      <c r="FXL85" s="974"/>
      <c r="FXM85" s="974"/>
      <c r="FXN85" s="974"/>
      <c r="FXO85" s="974"/>
      <c r="FXP85" s="974"/>
      <c r="FXQ85" s="974"/>
      <c r="FXR85" s="974"/>
      <c r="FXS85" s="974"/>
      <c r="FXT85" s="974"/>
      <c r="FXU85" s="974"/>
      <c r="FXV85" s="974"/>
      <c r="FXW85" s="974"/>
      <c r="FXX85" s="974"/>
      <c r="FXY85" s="974"/>
      <c r="FXZ85" s="974"/>
      <c r="FYA85" s="974"/>
      <c r="FYB85" s="974"/>
      <c r="FYC85" s="974"/>
      <c r="FYD85" s="974"/>
      <c r="FYE85" s="974"/>
      <c r="FYF85" s="974"/>
      <c r="FYG85" s="974"/>
      <c r="FYH85" s="974"/>
      <c r="FYI85" s="974"/>
      <c r="FYJ85" s="974"/>
      <c r="FYK85" s="974"/>
      <c r="FYL85" s="974"/>
      <c r="FYM85" s="974"/>
      <c r="FYN85" s="974"/>
      <c r="FYO85" s="974"/>
      <c r="FYP85" s="974"/>
      <c r="FYQ85" s="974"/>
      <c r="FYR85" s="974"/>
      <c r="FYS85" s="974"/>
      <c r="FYT85" s="974"/>
      <c r="FYU85" s="974"/>
      <c r="FYV85" s="974"/>
      <c r="FYW85" s="974"/>
      <c r="FYX85" s="974"/>
      <c r="FYY85" s="974"/>
      <c r="FYZ85" s="974"/>
      <c r="FZA85" s="974"/>
      <c r="FZB85" s="974"/>
      <c r="FZC85" s="974"/>
      <c r="FZD85" s="974"/>
      <c r="FZE85" s="974"/>
      <c r="FZF85" s="974"/>
      <c r="FZG85" s="974"/>
      <c r="FZH85" s="974"/>
      <c r="FZI85" s="974"/>
      <c r="FZJ85" s="974"/>
      <c r="FZK85" s="974"/>
      <c r="FZL85" s="974"/>
      <c r="FZM85" s="974"/>
      <c r="FZN85" s="974"/>
      <c r="FZO85" s="974"/>
      <c r="FZP85" s="974"/>
      <c r="FZQ85" s="974"/>
      <c r="FZR85" s="974"/>
      <c r="FZS85" s="974"/>
      <c r="FZT85" s="974"/>
      <c r="FZU85" s="974"/>
      <c r="FZV85" s="974"/>
      <c r="FZW85" s="974"/>
      <c r="FZX85" s="974"/>
      <c r="FZY85" s="974"/>
      <c r="FZZ85" s="974"/>
      <c r="GAA85" s="974"/>
      <c r="GAB85" s="974"/>
      <c r="GAC85" s="974"/>
      <c r="GAD85" s="974"/>
      <c r="GAE85" s="974"/>
      <c r="GAF85" s="974"/>
      <c r="GAG85" s="974"/>
      <c r="GAH85" s="974"/>
      <c r="GAI85" s="974"/>
      <c r="GAJ85" s="974"/>
      <c r="GAK85" s="974"/>
      <c r="GAL85" s="974"/>
      <c r="GAM85" s="974"/>
      <c r="GAN85" s="974"/>
      <c r="GAO85" s="974"/>
      <c r="GAP85" s="974"/>
      <c r="GAQ85" s="974"/>
      <c r="GAR85" s="974"/>
      <c r="GAS85" s="974"/>
      <c r="GAT85" s="974"/>
      <c r="GAU85" s="974"/>
      <c r="GAV85" s="974"/>
      <c r="GAW85" s="974"/>
      <c r="GAX85" s="974"/>
      <c r="GAY85" s="974"/>
      <c r="GAZ85" s="974"/>
      <c r="GBA85" s="974"/>
      <c r="GBB85" s="974"/>
      <c r="GBC85" s="974"/>
      <c r="GBD85" s="974"/>
      <c r="GBE85" s="974"/>
      <c r="GBF85" s="974"/>
      <c r="GBG85" s="974"/>
      <c r="GBH85" s="974"/>
      <c r="GBI85" s="974"/>
      <c r="GBJ85" s="974"/>
      <c r="GBK85" s="974"/>
      <c r="GBL85" s="974"/>
      <c r="GBM85" s="974"/>
      <c r="GBN85" s="974"/>
      <c r="GBO85" s="974"/>
      <c r="GBP85" s="974"/>
      <c r="GBQ85" s="974"/>
      <c r="GBR85" s="974"/>
      <c r="GBS85" s="974"/>
      <c r="GBT85" s="974"/>
      <c r="GBU85" s="974"/>
      <c r="GBV85" s="974"/>
      <c r="GBW85" s="974"/>
      <c r="GBX85" s="974"/>
      <c r="GBY85" s="974"/>
      <c r="GBZ85" s="974"/>
      <c r="GCA85" s="974"/>
      <c r="GCB85" s="974"/>
      <c r="GCC85" s="974"/>
      <c r="GCD85" s="974"/>
      <c r="GCE85" s="974"/>
      <c r="GCF85" s="974"/>
      <c r="GCG85" s="974"/>
      <c r="GCH85" s="974"/>
      <c r="GCI85" s="974"/>
      <c r="GCJ85" s="974"/>
      <c r="GCK85" s="974"/>
      <c r="GCL85" s="974"/>
      <c r="GCM85" s="974"/>
      <c r="GCN85" s="974"/>
      <c r="GCO85" s="974"/>
      <c r="GCP85" s="974"/>
      <c r="GCQ85" s="974"/>
      <c r="GCR85" s="974"/>
      <c r="GCS85" s="974"/>
      <c r="GCT85" s="974"/>
      <c r="GCU85" s="974"/>
      <c r="GCV85" s="974"/>
      <c r="GCW85" s="974"/>
      <c r="GCX85" s="974"/>
      <c r="GCY85" s="974"/>
      <c r="GCZ85" s="974"/>
      <c r="GDA85" s="974"/>
      <c r="GDB85" s="974"/>
      <c r="GDC85" s="974"/>
      <c r="GDD85" s="974"/>
      <c r="GDE85" s="974"/>
      <c r="GDF85" s="974"/>
      <c r="GDG85" s="974"/>
      <c r="GDH85" s="974"/>
      <c r="GDI85" s="974"/>
      <c r="GDJ85" s="974"/>
      <c r="GDK85" s="974"/>
      <c r="GDL85" s="974"/>
      <c r="GDM85" s="974"/>
      <c r="GDN85" s="974"/>
      <c r="GDO85" s="974"/>
      <c r="GDP85" s="974"/>
      <c r="GDQ85" s="974"/>
      <c r="GDR85" s="974"/>
      <c r="GDS85" s="974"/>
      <c r="GDT85" s="974"/>
      <c r="GDU85" s="974"/>
      <c r="GDV85" s="974"/>
      <c r="GDW85" s="974"/>
      <c r="GDX85" s="974"/>
      <c r="GDY85" s="974"/>
      <c r="GDZ85" s="974"/>
      <c r="GEA85" s="974"/>
      <c r="GEB85" s="974"/>
      <c r="GEC85" s="974"/>
      <c r="GED85" s="974"/>
      <c r="GEE85" s="974"/>
      <c r="GEF85" s="974"/>
      <c r="GEG85" s="974"/>
      <c r="GEH85" s="974"/>
      <c r="GEI85" s="974"/>
      <c r="GEJ85" s="974"/>
      <c r="GEK85" s="974"/>
      <c r="GEL85" s="974"/>
      <c r="GEM85" s="974"/>
      <c r="GEN85" s="974"/>
      <c r="GEO85" s="974"/>
      <c r="GEP85" s="974"/>
      <c r="GEQ85" s="974"/>
      <c r="GER85" s="974"/>
      <c r="GES85" s="974"/>
      <c r="GET85" s="974"/>
      <c r="GEU85" s="974"/>
      <c r="GEV85" s="974"/>
      <c r="GEW85" s="974"/>
      <c r="GEX85" s="974"/>
      <c r="GEY85" s="974"/>
      <c r="GEZ85" s="974"/>
      <c r="GFA85" s="974"/>
      <c r="GFB85" s="974"/>
      <c r="GFC85" s="974"/>
      <c r="GFD85" s="974"/>
      <c r="GFE85" s="974"/>
      <c r="GFF85" s="974"/>
      <c r="GFG85" s="974"/>
      <c r="GFH85" s="974"/>
      <c r="GFI85" s="974"/>
      <c r="GFJ85" s="974"/>
      <c r="GFK85" s="974"/>
      <c r="GFL85" s="974"/>
      <c r="GFM85" s="974"/>
      <c r="GFN85" s="974"/>
      <c r="GFO85" s="974"/>
      <c r="GFP85" s="974"/>
      <c r="GFQ85" s="974"/>
      <c r="GFR85" s="974"/>
      <c r="GFS85" s="974"/>
      <c r="GFT85" s="974"/>
      <c r="GFU85" s="974"/>
      <c r="GFV85" s="974"/>
      <c r="GFW85" s="974"/>
      <c r="GFX85" s="974"/>
      <c r="GFY85" s="974"/>
      <c r="GFZ85" s="974"/>
      <c r="GGA85" s="974"/>
      <c r="GGB85" s="974"/>
      <c r="GGC85" s="974"/>
      <c r="GGD85" s="974"/>
      <c r="GGE85" s="974"/>
      <c r="GGF85" s="974"/>
      <c r="GGG85" s="974"/>
      <c r="GGH85" s="974"/>
      <c r="GGI85" s="974"/>
      <c r="GGJ85" s="974"/>
      <c r="GGK85" s="974"/>
      <c r="GGL85" s="974"/>
      <c r="GGM85" s="974"/>
      <c r="GGN85" s="974"/>
      <c r="GGO85" s="974"/>
      <c r="GGP85" s="974"/>
      <c r="GGQ85" s="974"/>
      <c r="GGR85" s="974"/>
      <c r="GGS85" s="974"/>
      <c r="GGT85" s="974"/>
      <c r="GGU85" s="974"/>
      <c r="GGV85" s="974"/>
      <c r="GGW85" s="974"/>
      <c r="GGX85" s="974"/>
      <c r="GGY85" s="974"/>
      <c r="GGZ85" s="974"/>
      <c r="GHA85" s="974"/>
      <c r="GHB85" s="974"/>
      <c r="GHC85" s="974"/>
      <c r="GHD85" s="974"/>
      <c r="GHE85" s="974"/>
      <c r="GHF85" s="974"/>
      <c r="GHG85" s="974"/>
      <c r="GHH85" s="974"/>
      <c r="GHI85" s="974"/>
      <c r="GHJ85" s="974"/>
      <c r="GHK85" s="974"/>
      <c r="GHL85" s="974"/>
      <c r="GHM85" s="974"/>
      <c r="GHN85" s="974"/>
      <c r="GHO85" s="974"/>
      <c r="GHP85" s="974"/>
      <c r="GHQ85" s="974"/>
      <c r="GHR85" s="974"/>
      <c r="GHS85" s="974"/>
      <c r="GHT85" s="974"/>
      <c r="GHU85" s="974"/>
      <c r="GHV85" s="974"/>
      <c r="GHW85" s="974"/>
      <c r="GHX85" s="974"/>
      <c r="GHY85" s="974"/>
      <c r="GHZ85" s="974"/>
      <c r="GIA85" s="974"/>
      <c r="GIB85" s="974"/>
      <c r="GIC85" s="974"/>
      <c r="GID85" s="974"/>
      <c r="GIE85" s="974"/>
      <c r="GIF85" s="974"/>
      <c r="GIG85" s="974"/>
      <c r="GIH85" s="974"/>
      <c r="GII85" s="974"/>
      <c r="GIJ85" s="974"/>
      <c r="GIK85" s="974"/>
      <c r="GIL85" s="974"/>
      <c r="GIM85" s="974"/>
      <c r="GIN85" s="974"/>
      <c r="GIO85" s="974"/>
      <c r="GIP85" s="974"/>
      <c r="GIQ85" s="974"/>
      <c r="GIR85" s="974"/>
      <c r="GIS85" s="974"/>
      <c r="GIT85" s="974"/>
      <c r="GIU85" s="974"/>
      <c r="GIV85" s="974"/>
      <c r="GIW85" s="974"/>
      <c r="GIX85" s="974"/>
      <c r="GIY85" s="974"/>
      <c r="GIZ85" s="974"/>
      <c r="GJA85" s="974"/>
      <c r="GJB85" s="974"/>
      <c r="GJC85" s="974"/>
      <c r="GJD85" s="974"/>
      <c r="GJE85" s="974"/>
      <c r="GJF85" s="974"/>
      <c r="GJG85" s="974"/>
      <c r="GJH85" s="974"/>
      <c r="GJI85" s="974"/>
      <c r="GJJ85" s="974"/>
      <c r="GJK85" s="974"/>
      <c r="GJL85" s="974"/>
      <c r="GJM85" s="974"/>
      <c r="GJN85" s="974"/>
      <c r="GJO85" s="974"/>
      <c r="GJP85" s="974"/>
      <c r="GJQ85" s="974"/>
      <c r="GJR85" s="974"/>
      <c r="GJS85" s="974"/>
      <c r="GJT85" s="974"/>
      <c r="GJU85" s="974"/>
      <c r="GJV85" s="974"/>
      <c r="GJW85" s="974"/>
      <c r="GJX85" s="974"/>
      <c r="GJY85" s="974"/>
      <c r="GJZ85" s="974"/>
      <c r="GKA85" s="974"/>
      <c r="GKB85" s="974"/>
      <c r="GKC85" s="974"/>
      <c r="GKD85" s="974"/>
      <c r="GKE85" s="974"/>
      <c r="GKF85" s="974"/>
      <c r="GKG85" s="974"/>
      <c r="GKH85" s="974"/>
      <c r="GKI85" s="974"/>
      <c r="GKJ85" s="974"/>
      <c r="GKK85" s="974"/>
      <c r="GKL85" s="974"/>
      <c r="GKM85" s="974"/>
      <c r="GKN85" s="974"/>
      <c r="GKO85" s="974"/>
      <c r="GKP85" s="974"/>
      <c r="GKQ85" s="974"/>
      <c r="GKR85" s="974"/>
      <c r="GKS85" s="974"/>
      <c r="GKT85" s="974"/>
      <c r="GKU85" s="974"/>
      <c r="GKV85" s="974"/>
      <c r="GKW85" s="974"/>
      <c r="GKX85" s="974"/>
      <c r="GKY85" s="974"/>
      <c r="GKZ85" s="974"/>
      <c r="GLA85" s="974"/>
      <c r="GLB85" s="974"/>
      <c r="GLC85" s="974"/>
      <c r="GLD85" s="974"/>
      <c r="GLE85" s="974"/>
      <c r="GLF85" s="974"/>
      <c r="GLG85" s="974"/>
      <c r="GLH85" s="974"/>
      <c r="GLI85" s="974"/>
      <c r="GLJ85" s="974"/>
      <c r="GLK85" s="974"/>
      <c r="GLL85" s="974"/>
      <c r="GLM85" s="974"/>
      <c r="GLN85" s="974"/>
      <c r="GLO85" s="974"/>
      <c r="GLP85" s="974"/>
      <c r="GLQ85" s="974"/>
      <c r="GLR85" s="974"/>
      <c r="GLS85" s="974"/>
      <c r="GLT85" s="974"/>
      <c r="GLU85" s="974"/>
      <c r="GLV85" s="974"/>
      <c r="GLW85" s="974"/>
      <c r="GLX85" s="974"/>
      <c r="GLY85" s="974"/>
      <c r="GLZ85" s="974"/>
      <c r="GMA85" s="974"/>
      <c r="GMB85" s="974"/>
      <c r="GMC85" s="974"/>
      <c r="GMD85" s="974"/>
      <c r="GME85" s="974"/>
      <c r="GMF85" s="974"/>
      <c r="GMG85" s="974"/>
      <c r="GMH85" s="974"/>
      <c r="GMI85" s="974"/>
      <c r="GMJ85" s="974"/>
      <c r="GMK85" s="974"/>
      <c r="GML85" s="974"/>
      <c r="GMM85" s="974"/>
      <c r="GMN85" s="974"/>
      <c r="GMO85" s="974"/>
      <c r="GMP85" s="974"/>
      <c r="GMQ85" s="974"/>
      <c r="GMR85" s="974"/>
      <c r="GMS85" s="974"/>
      <c r="GMT85" s="974"/>
      <c r="GMU85" s="974"/>
      <c r="GMV85" s="974"/>
      <c r="GMW85" s="974"/>
      <c r="GMX85" s="974"/>
      <c r="GMY85" s="974"/>
      <c r="GMZ85" s="974"/>
      <c r="GNA85" s="974"/>
      <c r="GNB85" s="974"/>
      <c r="GNC85" s="974"/>
      <c r="GND85" s="974"/>
      <c r="GNE85" s="974"/>
      <c r="GNF85" s="974"/>
      <c r="GNG85" s="974"/>
      <c r="GNH85" s="974"/>
      <c r="GNI85" s="974"/>
      <c r="GNJ85" s="974"/>
      <c r="GNK85" s="974"/>
      <c r="GNL85" s="974"/>
      <c r="GNM85" s="974"/>
      <c r="GNN85" s="974"/>
      <c r="GNO85" s="974"/>
      <c r="GNP85" s="974"/>
      <c r="GNQ85" s="974"/>
      <c r="GNR85" s="974"/>
      <c r="GNS85" s="974"/>
      <c r="GNT85" s="974"/>
      <c r="GNU85" s="974"/>
      <c r="GNV85" s="974"/>
      <c r="GNW85" s="974"/>
      <c r="GNX85" s="974"/>
      <c r="GNY85" s="974"/>
      <c r="GNZ85" s="974"/>
      <c r="GOA85" s="974"/>
      <c r="GOB85" s="974"/>
      <c r="GOC85" s="974"/>
      <c r="GOD85" s="974"/>
      <c r="GOE85" s="974"/>
      <c r="GOF85" s="974"/>
      <c r="GOG85" s="974"/>
      <c r="GOH85" s="974"/>
      <c r="GOI85" s="974"/>
      <c r="GOJ85" s="974"/>
      <c r="GOK85" s="974"/>
      <c r="GOL85" s="974"/>
      <c r="GOM85" s="974"/>
      <c r="GON85" s="974"/>
      <c r="GOO85" s="974"/>
      <c r="GOP85" s="974"/>
      <c r="GOQ85" s="974"/>
      <c r="GOR85" s="974"/>
      <c r="GOS85" s="974"/>
      <c r="GOT85" s="974"/>
      <c r="GOU85" s="974"/>
      <c r="GOV85" s="974"/>
      <c r="GOW85" s="974"/>
      <c r="GOX85" s="974"/>
      <c r="GOY85" s="974"/>
      <c r="GOZ85" s="974"/>
      <c r="GPA85" s="974"/>
      <c r="GPB85" s="974"/>
      <c r="GPC85" s="974"/>
      <c r="GPD85" s="974"/>
      <c r="GPE85" s="974"/>
      <c r="GPF85" s="974"/>
      <c r="GPG85" s="974"/>
      <c r="GPH85" s="974"/>
      <c r="GPI85" s="974"/>
      <c r="GPJ85" s="974"/>
      <c r="GPK85" s="974"/>
      <c r="GPL85" s="974"/>
      <c r="GPM85" s="974"/>
      <c r="GPN85" s="974"/>
      <c r="GPO85" s="974"/>
      <c r="GPP85" s="974"/>
      <c r="GPQ85" s="974"/>
      <c r="GPR85" s="974"/>
      <c r="GPS85" s="974"/>
      <c r="GPT85" s="974"/>
      <c r="GPU85" s="974"/>
      <c r="GPV85" s="974"/>
      <c r="GPW85" s="974"/>
      <c r="GPX85" s="974"/>
      <c r="GPY85" s="974"/>
      <c r="GPZ85" s="974"/>
      <c r="GQA85" s="974"/>
      <c r="GQB85" s="974"/>
      <c r="GQC85" s="974"/>
      <c r="GQD85" s="974"/>
      <c r="GQE85" s="974"/>
      <c r="GQF85" s="974"/>
      <c r="GQG85" s="974"/>
      <c r="GQH85" s="974"/>
      <c r="GQI85" s="974"/>
      <c r="GQJ85" s="974"/>
      <c r="GQK85" s="974"/>
      <c r="GQL85" s="974"/>
      <c r="GQM85" s="974"/>
      <c r="GQN85" s="974"/>
      <c r="GQO85" s="974"/>
      <c r="GQP85" s="974"/>
      <c r="GQQ85" s="974"/>
      <c r="GQR85" s="974"/>
      <c r="GQS85" s="974"/>
      <c r="GQT85" s="974"/>
      <c r="GQU85" s="974"/>
      <c r="GQV85" s="974"/>
      <c r="GQW85" s="974"/>
      <c r="GQX85" s="974"/>
      <c r="GQY85" s="974"/>
      <c r="GQZ85" s="974"/>
      <c r="GRA85" s="974"/>
      <c r="GRB85" s="974"/>
      <c r="GRC85" s="974"/>
      <c r="GRD85" s="974"/>
      <c r="GRE85" s="974"/>
      <c r="GRF85" s="974"/>
      <c r="GRG85" s="974"/>
      <c r="GRH85" s="974"/>
      <c r="GRI85" s="974"/>
      <c r="GRJ85" s="974"/>
      <c r="GRK85" s="974"/>
      <c r="GRL85" s="974"/>
      <c r="GRM85" s="974"/>
      <c r="GRN85" s="974"/>
      <c r="GRO85" s="974"/>
      <c r="GRP85" s="974"/>
      <c r="GRQ85" s="974"/>
      <c r="GRR85" s="974"/>
      <c r="GRS85" s="974"/>
      <c r="GRT85" s="974"/>
      <c r="GRU85" s="974"/>
      <c r="GRV85" s="974"/>
      <c r="GRW85" s="974"/>
      <c r="GRX85" s="974"/>
      <c r="GRY85" s="974"/>
      <c r="GRZ85" s="974"/>
      <c r="GSA85" s="974"/>
      <c r="GSB85" s="974"/>
      <c r="GSC85" s="974"/>
      <c r="GSD85" s="974"/>
      <c r="GSE85" s="974"/>
      <c r="GSF85" s="974"/>
      <c r="GSG85" s="974"/>
      <c r="GSH85" s="974"/>
      <c r="GSI85" s="974"/>
      <c r="GSJ85" s="974"/>
      <c r="GSK85" s="974"/>
      <c r="GSL85" s="974"/>
      <c r="GSM85" s="974"/>
      <c r="GSN85" s="974"/>
      <c r="GSO85" s="974"/>
      <c r="GSP85" s="974"/>
      <c r="GSQ85" s="974"/>
      <c r="GSR85" s="974"/>
      <c r="GSS85" s="974"/>
      <c r="GST85" s="974"/>
      <c r="GSU85" s="974"/>
      <c r="GSV85" s="974"/>
      <c r="GSW85" s="974"/>
      <c r="GSX85" s="974"/>
      <c r="GSY85" s="974"/>
      <c r="GSZ85" s="974"/>
      <c r="GTA85" s="974"/>
      <c r="GTB85" s="974"/>
      <c r="GTC85" s="974"/>
      <c r="GTD85" s="974"/>
      <c r="GTE85" s="974"/>
      <c r="GTF85" s="974"/>
      <c r="GTG85" s="974"/>
      <c r="GTH85" s="974"/>
      <c r="GTI85" s="974"/>
      <c r="GTJ85" s="974"/>
      <c r="GTK85" s="974"/>
      <c r="GTL85" s="974"/>
      <c r="GTM85" s="974"/>
      <c r="GTN85" s="974"/>
      <c r="GTO85" s="974"/>
      <c r="GTP85" s="974"/>
      <c r="GTQ85" s="974"/>
      <c r="GTR85" s="974"/>
      <c r="GTS85" s="974"/>
      <c r="GTT85" s="974"/>
      <c r="GTU85" s="974"/>
      <c r="GTV85" s="974"/>
      <c r="GTW85" s="974"/>
      <c r="GTX85" s="974"/>
      <c r="GTY85" s="974"/>
      <c r="GTZ85" s="974"/>
      <c r="GUA85" s="974"/>
      <c r="GUB85" s="974"/>
      <c r="GUC85" s="974"/>
      <c r="GUD85" s="974"/>
      <c r="GUE85" s="974"/>
      <c r="GUF85" s="974"/>
      <c r="GUG85" s="974"/>
      <c r="GUH85" s="974"/>
      <c r="GUI85" s="974"/>
      <c r="GUJ85" s="974"/>
      <c r="GUK85" s="974"/>
      <c r="GUL85" s="974"/>
      <c r="GUM85" s="974"/>
      <c r="GUN85" s="974"/>
      <c r="GUO85" s="974"/>
      <c r="GUP85" s="974"/>
      <c r="GUQ85" s="974"/>
      <c r="GUR85" s="974"/>
      <c r="GUS85" s="974"/>
      <c r="GUT85" s="974"/>
      <c r="GUU85" s="974"/>
      <c r="GUV85" s="974"/>
      <c r="GUW85" s="974"/>
      <c r="GUX85" s="974"/>
      <c r="GUY85" s="974"/>
      <c r="GUZ85" s="974"/>
      <c r="GVA85" s="974"/>
      <c r="GVB85" s="974"/>
      <c r="GVC85" s="974"/>
      <c r="GVD85" s="974"/>
      <c r="GVE85" s="974"/>
      <c r="GVF85" s="974"/>
      <c r="GVG85" s="974"/>
      <c r="GVH85" s="974"/>
      <c r="GVI85" s="974"/>
      <c r="GVJ85" s="974"/>
      <c r="GVK85" s="974"/>
      <c r="GVL85" s="974"/>
      <c r="GVM85" s="974"/>
      <c r="GVN85" s="974"/>
      <c r="GVO85" s="974"/>
      <c r="GVP85" s="974"/>
      <c r="GVQ85" s="974"/>
      <c r="GVR85" s="974"/>
      <c r="GVS85" s="974"/>
      <c r="GVT85" s="974"/>
      <c r="GVU85" s="974"/>
      <c r="GVV85" s="974"/>
      <c r="GVW85" s="974"/>
      <c r="GVX85" s="974"/>
      <c r="GVY85" s="974"/>
      <c r="GVZ85" s="974"/>
      <c r="GWA85" s="974"/>
      <c r="GWB85" s="974"/>
      <c r="GWC85" s="974"/>
      <c r="GWD85" s="974"/>
      <c r="GWE85" s="974"/>
      <c r="GWF85" s="974"/>
      <c r="GWG85" s="974"/>
      <c r="GWH85" s="974"/>
      <c r="GWI85" s="974"/>
      <c r="GWJ85" s="974"/>
      <c r="GWK85" s="974"/>
      <c r="GWL85" s="974"/>
      <c r="GWM85" s="974"/>
      <c r="GWN85" s="974"/>
      <c r="GWO85" s="974"/>
      <c r="GWP85" s="974"/>
      <c r="GWQ85" s="974"/>
      <c r="GWR85" s="974"/>
      <c r="GWS85" s="974"/>
      <c r="GWT85" s="974"/>
      <c r="GWU85" s="974"/>
      <c r="GWV85" s="974"/>
      <c r="GWW85" s="974"/>
      <c r="GWX85" s="974"/>
      <c r="GWY85" s="974"/>
      <c r="GWZ85" s="974"/>
      <c r="GXA85" s="974"/>
      <c r="GXB85" s="974"/>
      <c r="GXC85" s="974"/>
      <c r="GXD85" s="974"/>
      <c r="GXE85" s="974"/>
      <c r="GXF85" s="974"/>
      <c r="GXG85" s="974"/>
      <c r="GXH85" s="974"/>
      <c r="GXI85" s="974"/>
      <c r="GXJ85" s="974"/>
      <c r="GXK85" s="974"/>
      <c r="GXL85" s="974"/>
      <c r="GXM85" s="974"/>
      <c r="GXN85" s="974"/>
      <c r="GXO85" s="974"/>
      <c r="GXP85" s="974"/>
      <c r="GXQ85" s="974"/>
      <c r="GXR85" s="974"/>
      <c r="GXS85" s="974"/>
      <c r="GXT85" s="974"/>
      <c r="GXU85" s="974"/>
      <c r="GXV85" s="974"/>
      <c r="GXW85" s="974"/>
      <c r="GXX85" s="974"/>
      <c r="GXY85" s="974"/>
      <c r="GXZ85" s="974"/>
      <c r="GYA85" s="974"/>
      <c r="GYB85" s="974"/>
      <c r="GYC85" s="974"/>
      <c r="GYD85" s="974"/>
      <c r="GYE85" s="974"/>
      <c r="GYF85" s="974"/>
      <c r="GYG85" s="974"/>
      <c r="GYH85" s="974"/>
      <c r="GYI85" s="974"/>
      <c r="GYJ85" s="974"/>
      <c r="GYK85" s="974"/>
      <c r="GYL85" s="974"/>
      <c r="GYM85" s="974"/>
      <c r="GYN85" s="974"/>
      <c r="GYO85" s="974"/>
      <c r="GYP85" s="974"/>
      <c r="GYQ85" s="974"/>
      <c r="GYR85" s="974"/>
      <c r="GYS85" s="974"/>
      <c r="GYT85" s="974"/>
      <c r="GYU85" s="974"/>
      <c r="GYV85" s="974"/>
      <c r="GYW85" s="974"/>
      <c r="GYX85" s="974"/>
      <c r="GYY85" s="974"/>
      <c r="GYZ85" s="974"/>
      <c r="GZA85" s="974"/>
      <c r="GZB85" s="974"/>
      <c r="GZC85" s="974"/>
      <c r="GZD85" s="974"/>
      <c r="GZE85" s="974"/>
      <c r="GZF85" s="974"/>
      <c r="GZG85" s="974"/>
      <c r="GZH85" s="974"/>
      <c r="GZI85" s="974"/>
      <c r="GZJ85" s="974"/>
      <c r="GZK85" s="974"/>
      <c r="GZL85" s="974"/>
      <c r="GZM85" s="974"/>
      <c r="GZN85" s="974"/>
      <c r="GZO85" s="974"/>
      <c r="GZP85" s="974"/>
      <c r="GZQ85" s="974"/>
      <c r="GZR85" s="974"/>
      <c r="GZS85" s="974"/>
      <c r="GZT85" s="974"/>
      <c r="GZU85" s="974"/>
      <c r="GZV85" s="974"/>
      <c r="GZW85" s="974"/>
      <c r="GZX85" s="974"/>
      <c r="GZY85" s="974"/>
      <c r="GZZ85" s="974"/>
      <c r="HAA85" s="974"/>
      <c r="HAB85" s="974"/>
      <c r="HAC85" s="974"/>
      <c r="HAD85" s="974"/>
      <c r="HAE85" s="974"/>
      <c r="HAF85" s="974"/>
      <c r="HAG85" s="974"/>
      <c r="HAH85" s="974"/>
      <c r="HAI85" s="974"/>
      <c r="HAJ85" s="974"/>
      <c r="HAK85" s="974"/>
      <c r="HAL85" s="974"/>
      <c r="HAM85" s="974"/>
      <c r="HAN85" s="974"/>
      <c r="HAO85" s="974"/>
      <c r="HAP85" s="974"/>
      <c r="HAQ85" s="974"/>
      <c r="HAR85" s="974"/>
      <c r="HAS85" s="974"/>
      <c r="HAT85" s="974"/>
      <c r="HAU85" s="974"/>
      <c r="HAV85" s="974"/>
      <c r="HAW85" s="974"/>
      <c r="HAX85" s="974"/>
      <c r="HAY85" s="974"/>
      <c r="HAZ85" s="974"/>
      <c r="HBA85" s="974"/>
      <c r="HBB85" s="974"/>
      <c r="HBC85" s="974"/>
      <c r="HBD85" s="974"/>
      <c r="HBE85" s="974"/>
      <c r="HBF85" s="974"/>
      <c r="HBG85" s="974"/>
      <c r="HBH85" s="974"/>
      <c r="HBI85" s="974"/>
      <c r="HBJ85" s="974"/>
      <c r="HBK85" s="974"/>
      <c r="HBL85" s="974"/>
      <c r="HBM85" s="974"/>
      <c r="HBN85" s="974"/>
      <c r="HBO85" s="974"/>
      <c r="HBP85" s="974"/>
      <c r="HBQ85" s="974"/>
      <c r="HBR85" s="974"/>
      <c r="HBS85" s="974"/>
      <c r="HBT85" s="974"/>
      <c r="HBU85" s="974"/>
      <c r="HBV85" s="974"/>
      <c r="HBW85" s="974"/>
      <c r="HBX85" s="974"/>
      <c r="HBY85" s="974"/>
      <c r="HBZ85" s="974"/>
      <c r="HCA85" s="974"/>
      <c r="HCB85" s="974"/>
      <c r="HCC85" s="974"/>
      <c r="HCD85" s="974"/>
      <c r="HCE85" s="974"/>
      <c r="HCF85" s="974"/>
      <c r="HCG85" s="974"/>
      <c r="HCH85" s="974"/>
      <c r="HCI85" s="974"/>
      <c r="HCJ85" s="974"/>
      <c r="HCK85" s="974"/>
      <c r="HCL85" s="974"/>
      <c r="HCM85" s="974"/>
      <c r="HCN85" s="974"/>
      <c r="HCO85" s="974"/>
      <c r="HCP85" s="974"/>
      <c r="HCQ85" s="974"/>
      <c r="HCR85" s="974"/>
      <c r="HCS85" s="974"/>
      <c r="HCT85" s="974"/>
      <c r="HCU85" s="974"/>
      <c r="HCV85" s="974"/>
      <c r="HCW85" s="974"/>
      <c r="HCX85" s="974"/>
      <c r="HCY85" s="974"/>
      <c r="HCZ85" s="974"/>
      <c r="HDA85" s="974"/>
      <c r="HDB85" s="974"/>
      <c r="HDC85" s="974"/>
      <c r="HDD85" s="974"/>
      <c r="HDE85" s="974"/>
      <c r="HDF85" s="974"/>
      <c r="HDG85" s="974"/>
      <c r="HDH85" s="974"/>
      <c r="HDI85" s="974"/>
      <c r="HDJ85" s="974"/>
      <c r="HDK85" s="974"/>
      <c r="HDL85" s="974"/>
      <c r="HDM85" s="974"/>
      <c r="HDN85" s="974"/>
      <c r="HDO85" s="974"/>
      <c r="HDP85" s="974"/>
      <c r="HDQ85" s="974"/>
      <c r="HDR85" s="974"/>
      <c r="HDS85" s="974"/>
      <c r="HDT85" s="974"/>
      <c r="HDU85" s="974"/>
      <c r="HDV85" s="974"/>
      <c r="HDW85" s="974"/>
      <c r="HDX85" s="974"/>
      <c r="HDY85" s="974"/>
      <c r="HDZ85" s="974"/>
      <c r="HEA85" s="974"/>
      <c r="HEB85" s="974"/>
      <c r="HEC85" s="974"/>
      <c r="HED85" s="974"/>
      <c r="HEE85" s="974"/>
      <c r="HEF85" s="974"/>
      <c r="HEG85" s="974"/>
      <c r="HEH85" s="974"/>
      <c r="HEI85" s="974"/>
      <c r="HEJ85" s="974"/>
      <c r="HEK85" s="974"/>
      <c r="HEL85" s="974"/>
      <c r="HEM85" s="974"/>
      <c r="HEN85" s="974"/>
      <c r="HEO85" s="974"/>
      <c r="HEP85" s="974"/>
      <c r="HEQ85" s="974"/>
      <c r="HER85" s="974"/>
      <c r="HES85" s="974"/>
      <c r="HET85" s="974"/>
      <c r="HEU85" s="974"/>
      <c r="HEV85" s="974"/>
      <c r="HEW85" s="974"/>
      <c r="HEX85" s="974"/>
      <c r="HEY85" s="974"/>
      <c r="HEZ85" s="974"/>
      <c r="HFA85" s="974"/>
      <c r="HFB85" s="974"/>
      <c r="HFC85" s="974"/>
      <c r="HFD85" s="974"/>
      <c r="HFE85" s="974"/>
      <c r="HFF85" s="974"/>
      <c r="HFG85" s="974"/>
      <c r="HFH85" s="974"/>
      <c r="HFI85" s="974"/>
      <c r="HFJ85" s="974"/>
      <c r="HFK85" s="974"/>
      <c r="HFL85" s="974"/>
      <c r="HFM85" s="974"/>
      <c r="HFN85" s="974"/>
      <c r="HFO85" s="974"/>
      <c r="HFP85" s="974"/>
      <c r="HFQ85" s="974"/>
      <c r="HFR85" s="974"/>
      <c r="HFS85" s="974"/>
      <c r="HFT85" s="974"/>
      <c r="HFU85" s="974"/>
      <c r="HFV85" s="974"/>
      <c r="HFW85" s="974"/>
      <c r="HFX85" s="974"/>
      <c r="HFY85" s="974"/>
      <c r="HFZ85" s="974"/>
      <c r="HGA85" s="974"/>
      <c r="HGB85" s="974"/>
      <c r="HGC85" s="974"/>
      <c r="HGD85" s="974"/>
      <c r="HGE85" s="974"/>
      <c r="HGF85" s="974"/>
      <c r="HGG85" s="974"/>
      <c r="HGH85" s="974"/>
      <c r="HGI85" s="974"/>
      <c r="HGJ85" s="974"/>
      <c r="HGK85" s="974"/>
      <c r="HGL85" s="974"/>
      <c r="HGM85" s="974"/>
      <c r="HGN85" s="974"/>
      <c r="HGO85" s="974"/>
      <c r="HGP85" s="974"/>
      <c r="HGQ85" s="974"/>
      <c r="HGR85" s="974"/>
      <c r="HGS85" s="974"/>
      <c r="HGT85" s="974"/>
      <c r="HGU85" s="974"/>
      <c r="HGV85" s="974"/>
      <c r="HGW85" s="974"/>
      <c r="HGX85" s="974"/>
      <c r="HGY85" s="974"/>
      <c r="HGZ85" s="974"/>
      <c r="HHA85" s="974"/>
      <c r="HHB85" s="974"/>
      <c r="HHC85" s="974"/>
      <c r="HHD85" s="974"/>
      <c r="HHE85" s="974"/>
      <c r="HHF85" s="974"/>
      <c r="HHG85" s="974"/>
      <c r="HHH85" s="974"/>
      <c r="HHI85" s="974"/>
      <c r="HHJ85" s="974"/>
      <c r="HHK85" s="974"/>
      <c r="HHL85" s="974"/>
      <c r="HHM85" s="974"/>
      <c r="HHN85" s="974"/>
      <c r="HHO85" s="974"/>
      <c r="HHP85" s="974"/>
      <c r="HHQ85" s="974"/>
      <c r="HHR85" s="974"/>
      <c r="HHS85" s="974"/>
      <c r="HHT85" s="974"/>
      <c r="HHU85" s="974"/>
      <c r="HHV85" s="974"/>
      <c r="HHW85" s="974"/>
      <c r="HHX85" s="974"/>
      <c r="HHY85" s="974"/>
      <c r="HHZ85" s="974"/>
      <c r="HIA85" s="974"/>
      <c r="HIB85" s="974"/>
      <c r="HIC85" s="974"/>
      <c r="HID85" s="974"/>
      <c r="HIE85" s="974"/>
      <c r="HIF85" s="974"/>
      <c r="HIG85" s="974"/>
      <c r="HIH85" s="974"/>
      <c r="HII85" s="974"/>
      <c r="HIJ85" s="974"/>
      <c r="HIK85" s="974"/>
      <c r="HIL85" s="974"/>
      <c r="HIM85" s="974"/>
      <c r="HIN85" s="974"/>
      <c r="HIO85" s="974"/>
      <c r="HIP85" s="974"/>
      <c r="HIQ85" s="974"/>
      <c r="HIR85" s="974"/>
      <c r="HIS85" s="974"/>
      <c r="HIT85" s="974"/>
      <c r="HIU85" s="974"/>
      <c r="HIV85" s="974"/>
      <c r="HIW85" s="974"/>
      <c r="HIX85" s="974"/>
      <c r="HIY85" s="974"/>
      <c r="HIZ85" s="974"/>
      <c r="HJA85" s="974"/>
      <c r="HJB85" s="974"/>
      <c r="HJC85" s="974"/>
      <c r="HJD85" s="974"/>
      <c r="HJE85" s="974"/>
      <c r="HJF85" s="974"/>
      <c r="HJG85" s="974"/>
      <c r="HJH85" s="974"/>
      <c r="HJI85" s="974"/>
      <c r="HJJ85" s="974"/>
      <c r="HJK85" s="974"/>
      <c r="HJL85" s="974"/>
      <c r="HJM85" s="974"/>
      <c r="HJN85" s="974"/>
      <c r="HJO85" s="974"/>
      <c r="HJP85" s="974"/>
      <c r="HJQ85" s="974"/>
      <c r="HJR85" s="974"/>
      <c r="HJS85" s="974"/>
      <c r="HJT85" s="974"/>
      <c r="HJU85" s="974"/>
      <c r="HJV85" s="974"/>
      <c r="HJW85" s="974"/>
      <c r="HJX85" s="974"/>
      <c r="HJY85" s="974"/>
      <c r="HJZ85" s="974"/>
      <c r="HKA85" s="974"/>
      <c r="HKB85" s="974"/>
      <c r="HKC85" s="974"/>
      <c r="HKD85" s="974"/>
      <c r="HKE85" s="974"/>
      <c r="HKF85" s="974"/>
      <c r="HKG85" s="974"/>
      <c r="HKH85" s="974"/>
      <c r="HKI85" s="974"/>
      <c r="HKJ85" s="974"/>
      <c r="HKK85" s="974"/>
      <c r="HKL85" s="974"/>
      <c r="HKM85" s="974"/>
      <c r="HKN85" s="974"/>
      <c r="HKO85" s="974"/>
      <c r="HKP85" s="974"/>
      <c r="HKQ85" s="974"/>
      <c r="HKR85" s="974"/>
      <c r="HKS85" s="974"/>
      <c r="HKT85" s="974"/>
      <c r="HKU85" s="974"/>
      <c r="HKV85" s="974"/>
      <c r="HKW85" s="974"/>
      <c r="HKX85" s="974"/>
      <c r="HKY85" s="974"/>
      <c r="HKZ85" s="974"/>
      <c r="HLA85" s="974"/>
      <c r="HLB85" s="974"/>
      <c r="HLC85" s="974"/>
      <c r="HLD85" s="974"/>
      <c r="HLE85" s="974"/>
      <c r="HLF85" s="974"/>
      <c r="HLG85" s="974"/>
      <c r="HLH85" s="974"/>
      <c r="HLI85" s="974"/>
      <c r="HLJ85" s="974"/>
      <c r="HLK85" s="974"/>
      <c r="HLL85" s="974"/>
      <c r="HLM85" s="974"/>
      <c r="HLN85" s="974"/>
      <c r="HLO85" s="974"/>
      <c r="HLP85" s="974"/>
      <c r="HLQ85" s="974"/>
      <c r="HLR85" s="974"/>
      <c r="HLS85" s="974"/>
      <c r="HLT85" s="974"/>
      <c r="HLU85" s="974"/>
      <c r="HLV85" s="974"/>
      <c r="HLW85" s="974"/>
      <c r="HLX85" s="974"/>
      <c r="HLY85" s="974"/>
      <c r="HLZ85" s="974"/>
      <c r="HMA85" s="974"/>
      <c r="HMB85" s="974"/>
      <c r="HMC85" s="974"/>
      <c r="HMD85" s="974"/>
      <c r="HME85" s="974"/>
      <c r="HMF85" s="974"/>
      <c r="HMG85" s="974"/>
      <c r="HMH85" s="974"/>
      <c r="HMI85" s="974"/>
      <c r="HMJ85" s="974"/>
      <c r="HMK85" s="974"/>
      <c r="HML85" s="974"/>
      <c r="HMM85" s="974"/>
      <c r="HMN85" s="974"/>
      <c r="HMO85" s="974"/>
      <c r="HMP85" s="974"/>
      <c r="HMQ85" s="974"/>
      <c r="HMR85" s="974"/>
      <c r="HMS85" s="974"/>
      <c r="HMT85" s="974"/>
      <c r="HMU85" s="974"/>
      <c r="HMV85" s="974"/>
      <c r="HMW85" s="974"/>
      <c r="HMX85" s="974"/>
      <c r="HMY85" s="974"/>
      <c r="HMZ85" s="974"/>
      <c r="HNA85" s="974"/>
      <c r="HNB85" s="974"/>
      <c r="HNC85" s="974"/>
      <c r="HND85" s="974"/>
      <c r="HNE85" s="974"/>
      <c r="HNF85" s="974"/>
      <c r="HNG85" s="974"/>
      <c r="HNH85" s="974"/>
      <c r="HNI85" s="974"/>
      <c r="HNJ85" s="974"/>
      <c r="HNK85" s="974"/>
      <c r="HNL85" s="974"/>
      <c r="HNM85" s="974"/>
      <c r="HNN85" s="974"/>
      <c r="HNO85" s="974"/>
      <c r="HNP85" s="974"/>
      <c r="HNQ85" s="974"/>
      <c r="HNR85" s="974"/>
      <c r="HNS85" s="974"/>
      <c r="HNT85" s="974"/>
      <c r="HNU85" s="974"/>
      <c r="HNV85" s="974"/>
      <c r="HNW85" s="974"/>
      <c r="HNX85" s="974"/>
      <c r="HNY85" s="974"/>
      <c r="HNZ85" s="974"/>
      <c r="HOA85" s="974"/>
      <c r="HOB85" s="974"/>
      <c r="HOC85" s="974"/>
      <c r="HOD85" s="974"/>
      <c r="HOE85" s="974"/>
      <c r="HOF85" s="974"/>
      <c r="HOG85" s="974"/>
      <c r="HOH85" s="974"/>
      <c r="HOI85" s="974"/>
      <c r="HOJ85" s="974"/>
      <c r="HOK85" s="974"/>
      <c r="HOL85" s="974"/>
      <c r="HOM85" s="974"/>
      <c r="HON85" s="974"/>
      <c r="HOO85" s="974"/>
      <c r="HOP85" s="974"/>
      <c r="HOQ85" s="974"/>
      <c r="HOR85" s="974"/>
      <c r="HOS85" s="974"/>
      <c r="HOT85" s="974"/>
      <c r="HOU85" s="974"/>
      <c r="HOV85" s="974"/>
      <c r="HOW85" s="974"/>
      <c r="HOX85" s="974"/>
      <c r="HOY85" s="974"/>
      <c r="HOZ85" s="974"/>
      <c r="HPA85" s="974"/>
      <c r="HPB85" s="974"/>
      <c r="HPC85" s="974"/>
      <c r="HPD85" s="974"/>
      <c r="HPE85" s="974"/>
      <c r="HPF85" s="974"/>
      <c r="HPG85" s="974"/>
      <c r="HPH85" s="974"/>
      <c r="HPI85" s="974"/>
      <c r="HPJ85" s="974"/>
      <c r="HPK85" s="974"/>
      <c r="HPL85" s="974"/>
      <c r="HPM85" s="974"/>
      <c r="HPN85" s="974"/>
      <c r="HPO85" s="974"/>
      <c r="HPP85" s="974"/>
      <c r="HPQ85" s="974"/>
      <c r="HPR85" s="974"/>
      <c r="HPS85" s="974"/>
      <c r="HPT85" s="974"/>
      <c r="HPU85" s="974"/>
      <c r="HPV85" s="974"/>
      <c r="HPW85" s="974"/>
      <c r="HPX85" s="974"/>
      <c r="HPY85" s="974"/>
      <c r="HPZ85" s="974"/>
      <c r="HQA85" s="974"/>
      <c r="HQB85" s="974"/>
      <c r="HQC85" s="974"/>
      <c r="HQD85" s="974"/>
      <c r="HQE85" s="974"/>
      <c r="HQF85" s="974"/>
      <c r="HQG85" s="974"/>
      <c r="HQH85" s="974"/>
      <c r="HQI85" s="974"/>
      <c r="HQJ85" s="974"/>
      <c r="HQK85" s="974"/>
      <c r="HQL85" s="974"/>
      <c r="HQM85" s="974"/>
      <c r="HQN85" s="974"/>
      <c r="HQO85" s="974"/>
      <c r="HQP85" s="974"/>
      <c r="HQQ85" s="974"/>
      <c r="HQR85" s="974"/>
      <c r="HQS85" s="974"/>
      <c r="HQT85" s="974"/>
      <c r="HQU85" s="974"/>
      <c r="HQV85" s="974"/>
      <c r="HQW85" s="974"/>
      <c r="HQX85" s="974"/>
      <c r="HQY85" s="974"/>
      <c r="HQZ85" s="974"/>
      <c r="HRA85" s="974"/>
      <c r="HRB85" s="974"/>
      <c r="HRC85" s="974"/>
      <c r="HRD85" s="974"/>
      <c r="HRE85" s="974"/>
      <c r="HRF85" s="974"/>
      <c r="HRG85" s="974"/>
      <c r="HRH85" s="974"/>
      <c r="HRI85" s="974"/>
      <c r="HRJ85" s="974"/>
      <c r="HRK85" s="974"/>
      <c r="HRL85" s="974"/>
      <c r="HRM85" s="974"/>
      <c r="HRN85" s="974"/>
      <c r="HRO85" s="974"/>
      <c r="HRP85" s="974"/>
      <c r="HRQ85" s="974"/>
      <c r="HRR85" s="974"/>
      <c r="HRS85" s="974"/>
      <c r="HRT85" s="974"/>
      <c r="HRU85" s="974"/>
      <c r="HRV85" s="974"/>
      <c r="HRW85" s="974"/>
      <c r="HRX85" s="974"/>
      <c r="HRY85" s="974"/>
      <c r="HRZ85" s="974"/>
      <c r="HSA85" s="974"/>
      <c r="HSB85" s="974"/>
      <c r="HSC85" s="974"/>
      <c r="HSD85" s="974"/>
      <c r="HSE85" s="974"/>
      <c r="HSF85" s="974"/>
      <c r="HSG85" s="974"/>
      <c r="HSH85" s="974"/>
      <c r="HSI85" s="974"/>
      <c r="HSJ85" s="974"/>
      <c r="HSK85" s="974"/>
      <c r="HSL85" s="974"/>
      <c r="HSM85" s="974"/>
      <c r="HSN85" s="974"/>
      <c r="HSO85" s="974"/>
      <c r="HSP85" s="974"/>
      <c r="HSQ85" s="974"/>
      <c r="HSR85" s="974"/>
      <c r="HSS85" s="974"/>
      <c r="HST85" s="974"/>
      <c r="HSU85" s="974"/>
      <c r="HSV85" s="974"/>
      <c r="HSW85" s="974"/>
      <c r="HSX85" s="974"/>
      <c r="HSY85" s="974"/>
      <c r="HSZ85" s="974"/>
      <c r="HTA85" s="974"/>
      <c r="HTB85" s="974"/>
      <c r="HTC85" s="974"/>
      <c r="HTD85" s="974"/>
      <c r="HTE85" s="974"/>
      <c r="HTF85" s="974"/>
      <c r="HTG85" s="974"/>
      <c r="HTH85" s="974"/>
      <c r="HTI85" s="974"/>
      <c r="HTJ85" s="974"/>
      <c r="HTK85" s="974"/>
      <c r="HTL85" s="974"/>
      <c r="HTM85" s="974"/>
      <c r="HTN85" s="974"/>
      <c r="HTO85" s="974"/>
      <c r="HTP85" s="974"/>
      <c r="HTQ85" s="974"/>
      <c r="HTR85" s="974"/>
      <c r="HTS85" s="974"/>
      <c r="HTT85" s="974"/>
      <c r="HTU85" s="974"/>
      <c r="HTV85" s="974"/>
      <c r="HTW85" s="974"/>
      <c r="HTX85" s="974"/>
      <c r="HTY85" s="974"/>
      <c r="HTZ85" s="974"/>
      <c r="HUA85" s="974"/>
      <c r="HUB85" s="974"/>
      <c r="HUC85" s="974"/>
      <c r="HUD85" s="974"/>
      <c r="HUE85" s="974"/>
      <c r="HUF85" s="974"/>
      <c r="HUG85" s="974"/>
      <c r="HUH85" s="974"/>
      <c r="HUI85" s="974"/>
      <c r="HUJ85" s="974"/>
      <c r="HUK85" s="974"/>
      <c r="HUL85" s="974"/>
      <c r="HUM85" s="974"/>
      <c r="HUN85" s="974"/>
      <c r="HUO85" s="974"/>
      <c r="HUP85" s="974"/>
      <c r="HUQ85" s="974"/>
      <c r="HUR85" s="974"/>
      <c r="HUS85" s="974"/>
      <c r="HUT85" s="974"/>
      <c r="HUU85" s="974"/>
      <c r="HUV85" s="974"/>
      <c r="HUW85" s="974"/>
      <c r="HUX85" s="974"/>
      <c r="HUY85" s="974"/>
      <c r="HUZ85" s="974"/>
      <c r="HVA85" s="974"/>
      <c r="HVB85" s="974"/>
      <c r="HVC85" s="974"/>
      <c r="HVD85" s="974"/>
      <c r="HVE85" s="974"/>
      <c r="HVF85" s="974"/>
      <c r="HVG85" s="974"/>
      <c r="HVH85" s="974"/>
      <c r="HVI85" s="974"/>
      <c r="HVJ85" s="974"/>
      <c r="HVK85" s="974"/>
      <c r="HVL85" s="974"/>
      <c r="HVM85" s="974"/>
      <c r="HVN85" s="974"/>
      <c r="HVO85" s="974"/>
      <c r="HVP85" s="974"/>
      <c r="HVQ85" s="974"/>
      <c r="HVR85" s="974"/>
      <c r="HVS85" s="974"/>
      <c r="HVT85" s="974"/>
      <c r="HVU85" s="974"/>
      <c r="HVV85" s="974"/>
      <c r="HVW85" s="974"/>
      <c r="HVX85" s="974"/>
      <c r="HVY85" s="974"/>
      <c r="HVZ85" s="974"/>
      <c r="HWA85" s="974"/>
      <c r="HWB85" s="974"/>
      <c r="HWC85" s="974"/>
      <c r="HWD85" s="974"/>
      <c r="HWE85" s="974"/>
      <c r="HWF85" s="974"/>
      <c r="HWG85" s="974"/>
      <c r="HWH85" s="974"/>
      <c r="HWI85" s="974"/>
      <c r="HWJ85" s="974"/>
      <c r="HWK85" s="974"/>
      <c r="HWL85" s="974"/>
      <c r="HWM85" s="974"/>
      <c r="HWN85" s="974"/>
      <c r="HWO85" s="974"/>
      <c r="HWP85" s="974"/>
      <c r="HWQ85" s="974"/>
      <c r="HWR85" s="974"/>
      <c r="HWS85" s="974"/>
      <c r="HWT85" s="974"/>
      <c r="HWU85" s="974"/>
      <c r="HWV85" s="974"/>
      <c r="HWW85" s="974"/>
      <c r="HWX85" s="974"/>
      <c r="HWY85" s="974"/>
      <c r="HWZ85" s="974"/>
      <c r="HXA85" s="974"/>
      <c r="HXB85" s="974"/>
      <c r="HXC85" s="974"/>
      <c r="HXD85" s="974"/>
      <c r="HXE85" s="974"/>
      <c r="HXF85" s="974"/>
      <c r="HXG85" s="974"/>
      <c r="HXH85" s="974"/>
      <c r="HXI85" s="974"/>
      <c r="HXJ85" s="974"/>
      <c r="HXK85" s="974"/>
      <c r="HXL85" s="974"/>
      <c r="HXM85" s="974"/>
      <c r="HXN85" s="974"/>
      <c r="HXO85" s="974"/>
      <c r="HXP85" s="974"/>
      <c r="HXQ85" s="974"/>
      <c r="HXR85" s="974"/>
      <c r="HXS85" s="974"/>
      <c r="HXT85" s="974"/>
      <c r="HXU85" s="974"/>
      <c r="HXV85" s="974"/>
      <c r="HXW85" s="974"/>
      <c r="HXX85" s="974"/>
      <c r="HXY85" s="974"/>
      <c r="HXZ85" s="974"/>
      <c r="HYA85" s="974"/>
      <c r="HYB85" s="974"/>
      <c r="HYC85" s="974"/>
      <c r="HYD85" s="974"/>
      <c r="HYE85" s="974"/>
      <c r="HYF85" s="974"/>
      <c r="HYG85" s="974"/>
      <c r="HYH85" s="974"/>
      <c r="HYI85" s="974"/>
      <c r="HYJ85" s="974"/>
      <c r="HYK85" s="974"/>
      <c r="HYL85" s="974"/>
      <c r="HYM85" s="974"/>
      <c r="HYN85" s="974"/>
      <c r="HYO85" s="974"/>
      <c r="HYP85" s="974"/>
      <c r="HYQ85" s="974"/>
      <c r="HYR85" s="974"/>
      <c r="HYS85" s="974"/>
      <c r="HYT85" s="974"/>
      <c r="HYU85" s="974"/>
      <c r="HYV85" s="974"/>
      <c r="HYW85" s="974"/>
      <c r="HYX85" s="974"/>
      <c r="HYY85" s="974"/>
      <c r="HYZ85" s="974"/>
      <c r="HZA85" s="974"/>
      <c r="HZB85" s="974"/>
      <c r="HZC85" s="974"/>
      <c r="HZD85" s="974"/>
      <c r="HZE85" s="974"/>
      <c r="HZF85" s="974"/>
      <c r="HZG85" s="974"/>
      <c r="HZH85" s="974"/>
      <c r="HZI85" s="974"/>
      <c r="HZJ85" s="974"/>
      <c r="HZK85" s="974"/>
      <c r="HZL85" s="974"/>
      <c r="HZM85" s="974"/>
      <c r="HZN85" s="974"/>
      <c r="HZO85" s="974"/>
      <c r="HZP85" s="974"/>
      <c r="HZQ85" s="974"/>
      <c r="HZR85" s="974"/>
      <c r="HZS85" s="974"/>
      <c r="HZT85" s="974"/>
      <c r="HZU85" s="974"/>
      <c r="HZV85" s="974"/>
      <c r="HZW85" s="974"/>
      <c r="HZX85" s="974"/>
      <c r="HZY85" s="974"/>
      <c r="HZZ85" s="974"/>
      <c r="IAA85" s="974"/>
      <c r="IAB85" s="974"/>
      <c r="IAC85" s="974"/>
      <c r="IAD85" s="974"/>
      <c r="IAE85" s="974"/>
      <c r="IAF85" s="974"/>
      <c r="IAG85" s="974"/>
      <c r="IAH85" s="974"/>
      <c r="IAI85" s="974"/>
      <c r="IAJ85" s="974"/>
      <c r="IAK85" s="974"/>
      <c r="IAL85" s="974"/>
      <c r="IAM85" s="974"/>
      <c r="IAN85" s="974"/>
      <c r="IAO85" s="974"/>
      <c r="IAP85" s="974"/>
      <c r="IAQ85" s="974"/>
      <c r="IAR85" s="974"/>
      <c r="IAS85" s="974"/>
      <c r="IAT85" s="974"/>
      <c r="IAU85" s="974"/>
      <c r="IAV85" s="974"/>
      <c r="IAW85" s="974"/>
      <c r="IAX85" s="974"/>
      <c r="IAY85" s="974"/>
      <c r="IAZ85" s="974"/>
      <c r="IBA85" s="974"/>
      <c r="IBB85" s="974"/>
      <c r="IBC85" s="974"/>
      <c r="IBD85" s="974"/>
      <c r="IBE85" s="974"/>
      <c r="IBF85" s="974"/>
      <c r="IBG85" s="974"/>
      <c r="IBH85" s="974"/>
      <c r="IBI85" s="974"/>
      <c r="IBJ85" s="974"/>
      <c r="IBK85" s="974"/>
      <c r="IBL85" s="974"/>
      <c r="IBM85" s="974"/>
      <c r="IBN85" s="974"/>
      <c r="IBO85" s="974"/>
      <c r="IBP85" s="974"/>
      <c r="IBQ85" s="974"/>
      <c r="IBR85" s="974"/>
      <c r="IBS85" s="974"/>
      <c r="IBT85" s="974"/>
      <c r="IBU85" s="974"/>
      <c r="IBV85" s="974"/>
      <c r="IBW85" s="974"/>
      <c r="IBX85" s="974"/>
      <c r="IBY85" s="974"/>
      <c r="IBZ85" s="974"/>
      <c r="ICA85" s="974"/>
      <c r="ICB85" s="974"/>
      <c r="ICC85" s="974"/>
      <c r="ICD85" s="974"/>
      <c r="ICE85" s="974"/>
      <c r="ICF85" s="974"/>
      <c r="ICG85" s="974"/>
      <c r="ICH85" s="974"/>
      <c r="ICI85" s="974"/>
      <c r="ICJ85" s="974"/>
      <c r="ICK85" s="974"/>
      <c r="ICL85" s="974"/>
      <c r="ICM85" s="974"/>
      <c r="ICN85" s="974"/>
      <c r="ICO85" s="974"/>
      <c r="ICP85" s="974"/>
      <c r="ICQ85" s="974"/>
      <c r="ICR85" s="974"/>
      <c r="ICS85" s="974"/>
      <c r="ICT85" s="974"/>
      <c r="ICU85" s="974"/>
      <c r="ICV85" s="974"/>
      <c r="ICW85" s="974"/>
      <c r="ICX85" s="974"/>
      <c r="ICY85" s="974"/>
      <c r="ICZ85" s="974"/>
      <c r="IDA85" s="974"/>
      <c r="IDB85" s="974"/>
      <c r="IDC85" s="974"/>
      <c r="IDD85" s="974"/>
      <c r="IDE85" s="974"/>
      <c r="IDF85" s="974"/>
      <c r="IDG85" s="974"/>
      <c r="IDH85" s="974"/>
      <c r="IDI85" s="974"/>
      <c r="IDJ85" s="974"/>
      <c r="IDK85" s="974"/>
      <c r="IDL85" s="974"/>
      <c r="IDM85" s="974"/>
      <c r="IDN85" s="974"/>
      <c r="IDO85" s="974"/>
      <c r="IDP85" s="974"/>
      <c r="IDQ85" s="974"/>
      <c r="IDR85" s="974"/>
      <c r="IDS85" s="974"/>
      <c r="IDT85" s="974"/>
      <c r="IDU85" s="974"/>
      <c r="IDV85" s="974"/>
      <c r="IDW85" s="974"/>
      <c r="IDX85" s="974"/>
      <c r="IDY85" s="974"/>
      <c r="IDZ85" s="974"/>
      <c r="IEA85" s="974"/>
      <c r="IEB85" s="974"/>
      <c r="IEC85" s="974"/>
      <c r="IED85" s="974"/>
      <c r="IEE85" s="974"/>
      <c r="IEF85" s="974"/>
      <c r="IEG85" s="974"/>
      <c r="IEH85" s="974"/>
      <c r="IEI85" s="974"/>
      <c r="IEJ85" s="974"/>
      <c r="IEK85" s="974"/>
      <c r="IEL85" s="974"/>
      <c r="IEM85" s="974"/>
      <c r="IEN85" s="974"/>
      <c r="IEO85" s="974"/>
      <c r="IEP85" s="974"/>
      <c r="IEQ85" s="974"/>
      <c r="IER85" s="974"/>
      <c r="IES85" s="974"/>
      <c r="IET85" s="974"/>
      <c r="IEU85" s="974"/>
      <c r="IEV85" s="974"/>
      <c r="IEW85" s="974"/>
      <c r="IEX85" s="974"/>
      <c r="IEY85" s="974"/>
      <c r="IEZ85" s="974"/>
      <c r="IFA85" s="974"/>
      <c r="IFB85" s="974"/>
      <c r="IFC85" s="974"/>
      <c r="IFD85" s="974"/>
      <c r="IFE85" s="974"/>
      <c r="IFF85" s="974"/>
      <c r="IFG85" s="974"/>
      <c r="IFH85" s="974"/>
      <c r="IFI85" s="974"/>
      <c r="IFJ85" s="974"/>
      <c r="IFK85" s="974"/>
      <c r="IFL85" s="974"/>
      <c r="IFM85" s="974"/>
      <c r="IFN85" s="974"/>
      <c r="IFO85" s="974"/>
      <c r="IFP85" s="974"/>
      <c r="IFQ85" s="974"/>
      <c r="IFR85" s="974"/>
      <c r="IFS85" s="974"/>
      <c r="IFT85" s="974"/>
      <c r="IFU85" s="974"/>
      <c r="IFV85" s="974"/>
      <c r="IFW85" s="974"/>
      <c r="IFX85" s="974"/>
      <c r="IFY85" s="974"/>
      <c r="IFZ85" s="974"/>
      <c r="IGA85" s="974"/>
      <c r="IGB85" s="974"/>
      <c r="IGC85" s="974"/>
      <c r="IGD85" s="974"/>
      <c r="IGE85" s="974"/>
      <c r="IGF85" s="974"/>
      <c r="IGG85" s="974"/>
      <c r="IGH85" s="974"/>
      <c r="IGI85" s="974"/>
      <c r="IGJ85" s="974"/>
      <c r="IGK85" s="974"/>
      <c r="IGL85" s="974"/>
      <c r="IGM85" s="974"/>
      <c r="IGN85" s="974"/>
      <c r="IGO85" s="974"/>
      <c r="IGP85" s="974"/>
      <c r="IGQ85" s="974"/>
      <c r="IGR85" s="974"/>
      <c r="IGS85" s="974"/>
      <c r="IGT85" s="974"/>
      <c r="IGU85" s="974"/>
      <c r="IGV85" s="974"/>
      <c r="IGW85" s="974"/>
      <c r="IGX85" s="974"/>
      <c r="IGY85" s="974"/>
      <c r="IGZ85" s="974"/>
      <c r="IHA85" s="974"/>
      <c r="IHB85" s="974"/>
      <c r="IHC85" s="974"/>
      <c r="IHD85" s="974"/>
      <c r="IHE85" s="974"/>
      <c r="IHF85" s="974"/>
      <c r="IHG85" s="974"/>
      <c r="IHH85" s="974"/>
      <c r="IHI85" s="974"/>
      <c r="IHJ85" s="974"/>
      <c r="IHK85" s="974"/>
      <c r="IHL85" s="974"/>
      <c r="IHM85" s="974"/>
      <c r="IHN85" s="974"/>
      <c r="IHO85" s="974"/>
      <c r="IHP85" s="974"/>
      <c r="IHQ85" s="974"/>
      <c r="IHR85" s="974"/>
      <c r="IHS85" s="974"/>
      <c r="IHT85" s="974"/>
      <c r="IHU85" s="974"/>
      <c r="IHV85" s="974"/>
      <c r="IHW85" s="974"/>
      <c r="IHX85" s="974"/>
      <c r="IHY85" s="974"/>
      <c r="IHZ85" s="974"/>
      <c r="IIA85" s="974"/>
      <c r="IIB85" s="974"/>
      <c r="IIC85" s="974"/>
      <c r="IID85" s="974"/>
      <c r="IIE85" s="974"/>
      <c r="IIF85" s="974"/>
      <c r="IIG85" s="974"/>
      <c r="IIH85" s="974"/>
      <c r="III85" s="974"/>
      <c r="IIJ85" s="974"/>
      <c r="IIK85" s="974"/>
      <c r="IIL85" s="974"/>
      <c r="IIM85" s="974"/>
      <c r="IIN85" s="974"/>
      <c r="IIO85" s="974"/>
      <c r="IIP85" s="974"/>
      <c r="IIQ85" s="974"/>
      <c r="IIR85" s="974"/>
      <c r="IIS85" s="974"/>
      <c r="IIT85" s="974"/>
      <c r="IIU85" s="974"/>
      <c r="IIV85" s="974"/>
      <c r="IIW85" s="974"/>
      <c r="IIX85" s="974"/>
      <c r="IIY85" s="974"/>
      <c r="IIZ85" s="974"/>
      <c r="IJA85" s="974"/>
      <c r="IJB85" s="974"/>
      <c r="IJC85" s="974"/>
      <c r="IJD85" s="974"/>
      <c r="IJE85" s="974"/>
      <c r="IJF85" s="974"/>
      <c r="IJG85" s="974"/>
      <c r="IJH85" s="974"/>
      <c r="IJI85" s="974"/>
      <c r="IJJ85" s="974"/>
      <c r="IJK85" s="974"/>
      <c r="IJL85" s="974"/>
      <c r="IJM85" s="974"/>
      <c r="IJN85" s="974"/>
      <c r="IJO85" s="974"/>
      <c r="IJP85" s="974"/>
      <c r="IJQ85" s="974"/>
      <c r="IJR85" s="974"/>
      <c r="IJS85" s="974"/>
      <c r="IJT85" s="974"/>
      <c r="IJU85" s="974"/>
      <c r="IJV85" s="974"/>
      <c r="IJW85" s="974"/>
      <c r="IJX85" s="974"/>
      <c r="IJY85" s="974"/>
      <c r="IJZ85" s="974"/>
      <c r="IKA85" s="974"/>
      <c r="IKB85" s="974"/>
      <c r="IKC85" s="974"/>
      <c r="IKD85" s="974"/>
      <c r="IKE85" s="974"/>
      <c r="IKF85" s="974"/>
      <c r="IKG85" s="974"/>
      <c r="IKH85" s="974"/>
      <c r="IKI85" s="974"/>
      <c r="IKJ85" s="974"/>
      <c r="IKK85" s="974"/>
      <c r="IKL85" s="974"/>
      <c r="IKM85" s="974"/>
      <c r="IKN85" s="974"/>
      <c r="IKO85" s="974"/>
      <c r="IKP85" s="974"/>
      <c r="IKQ85" s="974"/>
      <c r="IKR85" s="974"/>
      <c r="IKS85" s="974"/>
      <c r="IKT85" s="974"/>
      <c r="IKU85" s="974"/>
      <c r="IKV85" s="974"/>
      <c r="IKW85" s="974"/>
      <c r="IKX85" s="974"/>
      <c r="IKY85" s="974"/>
      <c r="IKZ85" s="974"/>
      <c r="ILA85" s="974"/>
      <c r="ILB85" s="974"/>
      <c r="ILC85" s="974"/>
      <c r="ILD85" s="974"/>
      <c r="ILE85" s="974"/>
      <c r="ILF85" s="974"/>
      <c r="ILG85" s="974"/>
      <c r="ILH85" s="974"/>
      <c r="ILI85" s="974"/>
      <c r="ILJ85" s="974"/>
      <c r="ILK85" s="974"/>
      <c r="ILL85" s="974"/>
      <c r="ILM85" s="974"/>
      <c r="ILN85" s="974"/>
      <c r="ILO85" s="974"/>
      <c r="ILP85" s="974"/>
      <c r="ILQ85" s="974"/>
      <c r="ILR85" s="974"/>
      <c r="ILS85" s="974"/>
      <c r="ILT85" s="974"/>
      <c r="ILU85" s="974"/>
      <c r="ILV85" s="974"/>
      <c r="ILW85" s="974"/>
      <c r="ILX85" s="974"/>
      <c r="ILY85" s="974"/>
      <c r="ILZ85" s="974"/>
      <c r="IMA85" s="974"/>
      <c r="IMB85" s="974"/>
      <c r="IMC85" s="974"/>
      <c r="IMD85" s="974"/>
      <c r="IME85" s="974"/>
      <c r="IMF85" s="974"/>
      <c r="IMG85" s="974"/>
      <c r="IMH85" s="974"/>
      <c r="IMI85" s="974"/>
      <c r="IMJ85" s="974"/>
      <c r="IMK85" s="974"/>
      <c r="IML85" s="974"/>
      <c r="IMM85" s="974"/>
      <c r="IMN85" s="974"/>
      <c r="IMO85" s="974"/>
      <c r="IMP85" s="974"/>
      <c r="IMQ85" s="974"/>
      <c r="IMR85" s="974"/>
      <c r="IMS85" s="974"/>
      <c r="IMT85" s="974"/>
      <c r="IMU85" s="974"/>
      <c r="IMV85" s="974"/>
      <c r="IMW85" s="974"/>
      <c r="IMX85" s="974"/>
      <c r="IMY85" s="974"/>
      <c r="IMZ85" s="974"/>
      <c r="INA85" s="974"/>
      <c r="INB85" s="974"/>
      <c r="INC85" s="974"/>
      <c r="IND85" s="974"/>
      <c r="INE85" s="974"/>
      <c r="INF85" s="974"/>
      <c r="ING85" s="974"/>
      <c r="INH85" s="974"/>
      <c r="INI85" s="974"/>
      <c r="INJ85" s="974"/>
      <c r="INK85" s="974"/>
      <c r="INL85" s="974"/>
      <c r="INM85" s="974"/>
      <c r="INN85" s="974"/>
      <c r="INO85" s="974"/>
      <c r="INP85" s="974"/>
      <c r="INQ85" s="974"/>
      <c r="INR85" s="974"/>
      <c r="INS85" s="974"/>
      <c r="INT85" s="974"/>
      <c r="INU85" s="974"/>
      <c r="INV85" s="974"/>
      <c r="INW85" s="974"/>
      <c r="INX85" s="974"/>
      <c r="INY85" s="974"/>
      <c r="INZ85" s="974"/>
      <c r="IOA85" s="974"/>
      <c r="IOB85" s="974"/>
      <c r="IOC85" s="974"/>
      <c r="IOD85" s="974"/>
      <c r="IOE85" s="974"/>
      <c r="IOF85" s="974"/>
      <c r="IOG85" s="974"/>
      <c r="IOH85" s="974"/>
      <c r="IOI85" s="974"/>
      <c r="IOJ85" s="974"/>
      <c r="IOK85" s="974"/>
      <c r="IOL85" s="974"/>
      <c r="IOM85" s="974"/>
      <c r="ION85" s="974"/>
      <c r="IOO85" s="974"/>
      <c r="IOP85" s="974"/>
      <c r="IOQ85" s="974"/>
      <c r="IOR85" s="974"/>
      <c r="IOS85" s="974"/>
      <c r="IOT85" s="974"/>
      <c r="IOU85" s="974"/>
      <c r="IOV85" s="974"/>
      <c r="IOW85" s="974"/>
      <c r="IOX85" s="974"/>
      <c r="IOY85" s="974"/>
      <c r="IOZ85" s="974"/>
      <c r="IPA85" s="974"/>
      <c r="IPB85" s="974"/>
      <c r="IPC85" s="974"/>
      <c r="IPD85" s="974"/>
      <c r="IPE85" s="974"/>
      <c r="IPF85" s="974"/>
      <c r="IPG85" s="974"/>
      <c r="IPH85" s="974"/>
      <c r="IPI85" s="974"/>
      <c r="IPJ85" s="974"/>
      <c r="IPK85" s="974"/>
      <c r="IPL85" s="974"/>
      <c r="IPM85" s="974"/>
      <c r="IPN85" s="974"/>
      <c r="IPO85" s="974"/>
      <c r="IPP85" s="974"/>
      <c r="IPQ85" s="974"/>
      <c r="IPR85" s="974"/>
      <c r="IPS85" s="974"/>
      <c r="IPT85" s="974"/>
      <c r="IPU85" s="974"/>
      <c r="IPV85" s="974"/>
      <c r="IPW85" s="974"/>
      <c r="IPX85" s="974"/>
      <c r="IPY85" s="974"/>
      <c r="IPZ85" s="974"/>
      <c r="IQA85" s="974"/>
      <c r="IQB85" s="974"/>
      <c r="IQC85" s="974"/>
      <c r="IQD85" s="974"/>
      <c r="IQE85" s="974"/>
      <c r="IQF85" s="974"/>
      <c r="IQG85" s="974"/>
      <c r="IQH85" s="974"/>
      <c r="IQI85" s="974"/>
      <c r="IQJ85" s="974"/>
      <c r="IQK85" s="974"/>
      <c r="IQL85" s="974"/>
      <c r="IQM85" s="974"/>
      <c r="IQN85" s="974"/>
      <c r="IQO85" s="974"/>
      <c r="IQP85" s="974"/>
      <c r="IQQ85" s="974"/>
      <c r="IQR85" s="974"/>
      <c r="IQS85" s="974"/>
      <c r="IQT85" s="974"/>
      <c r="IQU85" s="974"/>
      <c r="IQV85" s="974"/>
      <c r="IQW85" s="974"/>
      <c r="IQX85" s="974"/>
      <c r="IQY85" s="974"/>
      <c r="IQZ85" s="974"/>
      <c r="IRA85" s="974"/>
      <c r="IRB85" s="974"/>
      <c r="IRC85" s="974"/>
      <c r="IRD85" s="974"/>
      <c r="IRE85" s="974"/>
      <c r="IRF85" s="974"/>
      <c r="IRG85" s="974"/>
      <c r="IRH85" s="974"/>
      <c r="IRI85" s="974"/>
      <c r="IRJ85" s="974"/>
      <c r="IRK85" s="974"/>
      <c r="IRL85" s="974"/>
      <c r="IRM85" s="974"/>
      <c r="IRN85" s="974"/>
      <c r="IRO85" s="974"/>
      <c r="IRP85" s="974"/>
      <c r="IRQ85" s="974"/>
      <c r="IRR85" s="974"/>
      <c r="IRS85" s="974"/>
      <c r="IRT85" s="974"/>
      <c r="IRU85" s="974"/>
      <c r="IRV85" s="974"/>
      <c r="IRW85" s="974"/>
      <c r="IRX85" s="974"/>
      <c r="IRY85" s="974"/>
      <c r="IRZ85" s="974"/>
      <c r="ISA85" s="974"/>
      <c r="ISB85" s="974"/>
      <c r="ISC85" s="974"/>
      <c r="ISD85" s="974"/>
      <c r="ISE85" s="974"/>
      <c r="ISF85" s="974"/>
      <c r="ISG85" s="974"/>
      <c r="ISH85" s="974"/>
      <c r="ISI85" s="974"/>
      <c r="ISJ85" s="974"/>
      <c r="ISK85" s="974"/>
      <c r="ISL85" s="974"/>
      <c r="ISM85" s="974"/>
      <c r="ISN85" s="974"/>
      <c r="ISO85" s="974"/>
      <c r="ISP85" s="974"/>
      <c r="ISQ85" s="974"/>
      <c r="ISR85" s="974"/>
      <c r="ISS85" s="974"/>
      <c r="IST85" s="974"/>
      <c r="ISU85" s="974"/>
      <c r="ISV85" s="974"/>
      <c r="ISW85" s="974"/>
      <c r="ISX85" s="974"/>
      <c r="ISY85" s="974"/>
      <c r="ISZ85" s="974"/>
      <c r="ITA85" s="974"/>
      <c r="ITB85" s="974"/>
      <c r="ITC85" s="974"/>
      <c r="ITD85" s="974"/>
      <c r="ITE85" s="974"/>
      <c r="ITF85" s="974"/>
      <c r="ITG85" s="974"/>
      <c r="ITH85" s="974"/>
      <c r="ITI85" s="974"/>
      <c r="ITJ85" s="974"/>
      <c r="ITK85" s="974"/>
      <c r="ITL85" s="974"/>
      <c r="ITM85" s="974"/>
      <c r="ITN85" s="974"/>
      <c r="ITO85" s="974"/>
      <c r="ITP85" s="974"/>
      <c r="ITQ85" s="974"/>
      <c r="ITR85" s="974"/>
      <c r="ITS85" s="974"/>
      <c r="ITT85" s="974"/>
      <c r="ITU85" s="974"/>
      <c r="ITV85" s="974"/>
      <c r="ITW85" s="974"/>
      <c r="ITX85" s="974"/>
      <c r="ITY85" s="974"/>
      <c r="ITZ85" s="974"/>
      <c r="IUA85" s="974"/>
      <c r="IUB85" s="974"/>
      <c r="IUC85" s="974"/>
      <c r="IUD85" s="974"/>
      <c r="IUE85" s="974"/>
      <c r="IUF85" s="974"/>
      <c r="IUG85" s="974"/>
      <c r="IUH85" s="974"/>
      <c r="IUI85" s="974"/>
      <c r="IUJ85" s="974"/>
      <c r="IUK85" s="974"/>
      <c r="IUL85" s="974"/>
      <c r="IUM85" s="974"/>
      <c r="IUN85" s="974"/>
      <c r="IUO85" s="974"/>
      <c r="IUP85" s="974"/>
      <c r="IUQ85" s="974"/>
      <c r="IUR85" s="974"/>
      <c r="IUS85" s="974"/>
      <c r="IUT85" s="974"/>
      <c r="IUU85" s="974"/>
      <c r="IUV85" s="974"/>
      <c r="IUW85" s="974"/>
      <c r="IUX85" s="974"/>
      <c r="IUY85" s="974"/>
      <c r="IUZ85" s="974"/>
      <c r="IVA85" s="974"/>
      <c r="IVB85" s="974"/>
      <c r="IVC85" s="974"/>
      <c r="IVD85" s="974"/>
      <c r="IVE85" s="974"/>
      <c r="IVF85" s="974"/>
      <c r="IVG85" s="974"/>
      <c r="IVH85" s="974"/>
      <c r="IVI85" s="974"/>
      <c r="IVJ85" s="974"/>
      <c r="IVK85" s="974"/>
      <c r="IVL85" s="974"/>
      <c r="IVM85" s="974"/>
      <c r="IVN85" s="974"/>
      <c r="IVO85" s="974"/>
      <c r="IVP85" s="974"/>
      <c r="IVQ85" s="974"/>
      <c r="IVR85" s="974"/>
      <c r="IVS85" s="974"/>
      <c r="IVT85" s="974"/>
      <c r="IVU85" s="974"/>
      <c r="IVV85" s="974"/>
      <c r="IVW85" s="974"/>
      <c r="IVX85" s="974"/>
      <c r="IVY85" s="974"/>
      <c r="IVZ85" s="974"/>
      <c r="IWA85" s="974"/>
      <c r="IWB85" s="974"/>
      <c r="IWC85" s="974"/>
      <c r="IWD85" s="974"/>
      <c r="IWE85" s="974"/>
      <c r="IWF85" s="974"/>
      <c r="IWG85" s="974"/>
      <c r="IWH85" s="974"/>
      <c r="IWI85" s="974"/>
      <c r="IWJ85" s="974"/>
      <c r="IWK85" s="974"/>
      <c r="IWL85" s="974"/>
      <c r="IWM85" s="974"/>
      <c r="IWN85" s="974"/>
      <c r="IWO85" s="974"/>
      <c r="IWP85" s="974"/>
      <c r="IWQ85" s="974"/>
      <c r="IWR85" s="974"/>
      <c r="IWS85" s="974"/>
      <c r="IWT85" s="974"/>
      <c r="IWU85" s="974"/>
      <c r="IWV85" s="974"/>
      <c r="IWW85" s="974"/>
      <c r="IWX85" s="974"/>
      <c r="IWY85" s="974"/>
      <c r="IWZ85" s="974"/>
      <c r="IXA85" s="974"/>
      <c r="IXB85" s="974"/>
      <c r="IXC85" s="974"/>
      <c r="IXD85" s="974"/>
      <c r="IXE85" s="974"/>
      <c r="IXF85" s="974"/>
      <c r="IXG85" s="974"/>
      <c r="IXH85" s="974"/>
      <c r="IXI85" s="974"/>
      <c r="IXJ85" s="974"/>
      <c r="IXK85" s="974"/>
      <c r="IXL85" s="974"/>
      <c r="IXM85" s="974"/>
      <c r="IXN85" s="974"/>
      <c r="IXO85" s="974"/>
      <c r="IXP85" s="974"/>
      <c r="IXQ85" s="974"/>
      <c r="IXR85" s="974"/>
      <c r="IXS85" s="974"/>
      <c r="IXT85" s="974"/>
      <c r="IXU85" s="974"/>
      <c r="IXV85" s="974"/>
      <c r="IXW85" s="974"/>
      <c r="IXX85" s="974"/>
      <c r="IXY85" s="974"/>
      <c r="IXZ85" s="974"/>
      <c r="IYA85" s="974"/>
      <c r="IYB85" s="974"/>
      <c r="IYC85" s="974"/>
      <c r="IYD85" s="974"/>
      <c r="IYE85" s="974"/>
      <c r="IYF85" s="974"/>
      <c r="IYG85" s="974"/>
      <c r="IYH85" s="974"/>
      <c r="IYI85" s="974"/>
      <c r="IYJ85" s="974"/>
      <c r="IYK85" s="974"/>
      <c r="IYL85" s="974"/>
      <c r="IYM85" s="974"/>
      <c r="IYN85" s="974"/>
      <c r="IYO85" s="974"/>
      <c r="IYP85" s="974"/>
      <c r="IYQ85" s="974"/>
      <c r="IYR85" s="974"/>
      <c r="IYS85" s="974"/>
      <c r="IYT85" s="974"/>
      <c r="IYU85" s="974"/>
      <c r="IYV85" s="974"/>
      <c r="IYW85" s="974"/>
      <c r="IYX85" s="974"/>
      <c r="IYY85" s="974"/>
      <c r="IYZ85" s="974"/>
      <c r="IZA85" s="974"/>
      <c r="IZB85" s="974"/>
      <c r="IZC85" s="974"/>
      <c r="IZD85" s="974"/>
      <c r="IZE85" s="974"/>
      <c r="IZF85" s="974"/>
      <c r="IZG85" s="974"/>
      <c r="IZH85" s="974"/>
      <c r="IZI85" s="974"/>
      <c r="IZJ85" s="974"/>
      <c r="IZK85" s="974"/>
      <c r="IZL85" s="974"/>
      <c r="IZM85" s="974"/>
      <c r="IZN85" s="974"/>
      <c r="IZO85" s="974"/>
      <c r="IZP85" s="974"/>
      <c r="IZQ85" s="974"/>
      <c r="IZR85" s="974"/>
      <c r="IZS85" s="974"/>
      <c r="IZT85" s="974"/>
      <c r="IZU85" s="974"/>
      <c r="IZV85" s="974"/>
      <c r="IZW85" s="974"/>
      <c r="IZX85" s="974"/>
      <c r="IZY85" s="974"/>
      <c r="IZZ85" s="974"/>
      <c r="JAA85" s="974"/>
      <c r="JAB85" s="974"/>
      <c r="JAC85" s="974"/>
      <c r="JAD85" s="974"/>
      <c r="JAE85" s="974"/>
      <c r="JAF85" s="974"/>
      <c r="JAG85" s="974"/>
      <c r="JAH85" s="974"/>
      <c r="JAI85" s="974"/>
      <c r="JAJ85" s="974"/>
      <c r="JAK85" s="974"/>
      <c r="JAL85" s="974"/>
      <c r="JAM85" s="974"/>
      <c r="JAN85" s="974"/>
      <c r="JAO85" s="974"/>
      <c r="JAP85" s="974"/>
      <c r="JAQ85" s="974"/>
      <c r="JAR85" s="974"/>
      <c r="JAS85" s="974"/>
      <c r="JAT85" s="974"/>
      <c r="JAU85" s="974"/>
      <c r="JAV85" s="974"/>
      <c r="JAW85" s="974"/>
      <c r="JAX85" s="974"/>
      <c r="JAY85" s="974"/>
      <c r="JAZ85" s="974"/>
      <c r="JBA85" s="974"/>
      <c r="JBB85" s="974"/>
      <c r="JBC85" s="974"/>
      <c r="JBD85" s="974"/>
      <c r="JBE85" s="974"/>
      <c r="JBF85" s="974"/>
      <c r="JBG85" s="974"/>
      <c r="JBH85" s="974"/>
      <c r="JBI85" s="974"/>
      <c r="JBJ85" s="974"/>
      <c r="JBK85" s="974"/>
      <c r="JBL85" s="974"/>
      <c r="JBM85" s="974"/>
      <c r="JBN85" s="974"/>
      <c r="JBO85" s="974"/>
      <c r="JBP85" s="974"/>
      <c r="JBQ85" s="974"/>
      <c r="JBR85" s="974"/>
      <c r="JBS85" s="974"/>
      <c r="JBT85" s="974"/>
      <c r="JBU85" s="974"/>
      <c r="JBV85" s="974"/>
      <c r="JBW85" s="974"/>
      <c r="JBX85" s="974"/>
      <c r="JBY85" s="974"/>
      <c r="JBZ85" s="974"/>
      <c r="JCA85" s="974"/>
      <c r="JCB85" s="974"/>
      <c r="JCC85" s="974"/>
      <c r="JCD85" s="974"/>
      <c r="JCE85" s="974"/>
      <c r="JCF85" s="974"/>
      <c r="JCG85" s="974"/>
      <c r="JCH85" s="974"/>
      <c r="JCI85" s="974"/>
      <c r="JCJ85" s="974"/>
      <c r="JCK85" s="974"/>
      <c r="JCL85" s="974"/>
      <c r="JCM85" s="974"/>
      <c r="JCN85" s="974"/>
      <c r="JCO85" s="974"/>
      <c r="JCP85" s="974"/>
      <c r="JCQ85" s="974"/>
      <c r="JCR85" s="974"/>
      <c r="JCS85" s="974"/>
      <c r="JCT85" s="974"/>
      <c r="JCU85" s="974"/>
      <c r="JCV85" s="974"/>
      <c r="JCW85" s="974"/>
      <c r="JCX85" s="974"/>
      <c r="JCY85" s="974"/>
      <c r="JCZ85" s="974"/>
      <c r="JDA85" s="974"/>
      <c r="JDB85" s="974"/>
      <c r="JDC85" s="974"/>
      <c r="JDD85" s="974"/>
      <c r="JDE85" s="974"/>
      <c r="JDF85" s="974"/>
      <c r="JDG85" s="974"/>
      <c r="JDH85" s="974"/>
      <c r="JDI85" s="974"/>
      <c r="JDJ85" s="974"/>
      <c r="JDK85" s="974"/>
      <c r="JDL85" s="974"/>
      <c r="JDM85" s="974"/>
      <c r="JDN85" s="974"/>
      <c r="JDO85" s="974"/>
      <c r="JDP85" s="974"/>
      <c r="JDQ85" s="974"/>
      <c r="JDR85" s="974"/>
      <c r="JDS85" s="974"/>
      <c r="JDT85" s="974"/>
      <c r="JDU85" s="974"/>
      <c r="JDV85" s="974"/>
      <c r="JDW85" s="974"/>
      <c r="JDX85" s="974"/>
      <c r="JDY85" s="974"/>
      <c r="JDZ85" s="974"/>
      <c r="JEA85" s="974"/>
      <c r="JEB85" s="974"/>
      <c r="JEC85" s="974"/>
      <c r="JED85" s="974"/>
      <c r="JEE85" s="974"/>
      <c r="JEF85" s="974"/>
      <c r="JEG85" s="974"/>
      <c r="JEH85" s="974"/>
      <c r="JEI85" s="974"/>
      <c r="JEJ85" s="974"/>
      <c r="JEK85" s="974"/>
      <c r="JEL85" s="974"/>
      <c r="JEM85" s="974"/>
      <c r="JEN85" s="974"/>
      <c r="JEO85" s="974"/>
      <c r="JEP85" s="974"/>
      <c r="JEQ85" s="974"/>
      <c r="JER85" s="974"/>
      <c r="JES85" s="974"/>
      <c r="JET85" s="974"/>
      <c r="JEU85" s="974"/>
      <c r="JEV85" s="974"/>
      <c r="JEW85" s="974"/>
      <c r="JEX85" s="974"/>
      <c r="JEY85" s="974"/>
      <c r="JEZ85" s="974"/>
      <c r="JFA85" s="974"/>
      <c r="JFB85" s="974"/>
      <c r="JFC85" s="974"/>
      <c r="JFD85" s="974"/>
      <c r="JFE85" s="974"/>
      <c r="JFF85" s="974"/>
      <c r="JFG85" s="974"/>
      <c r="JFH85" s="974"/>
      <c r="JFI85" s="974"/>
      <c r="JFJ85" s="974"/>
      <c r="JFK85" s="974"/>
      <c r="JFL85" s="974"/>
      <c r="JFM85" s="974"/>
      <c r="JFN85" s="974"/>
      <c r="JFO85" s="974"/>
      <c r="JFP85" s="974"/>
      <c r="JFQ85" s="974"/>
      <c r="JFR85" s="974"/>
      <c r="JFS85" s="974"/>
      <c r="JFT85" s="974"/>
      <c r="JFU85" s="974"/>
      <c r="JFV85" s="974"/>
      <c r="JFW85" s="974"/>
      <c r="JFX85" s="974"/>
      <c r="JFY85" s="974"/>
      <c r="JFZ85" s="974"/>
      <c r="JGA85" s="974"/>
      <c r="JGB85" s="974"/>
      <c r="JGC85" s="974"/>
      <c r="JGD85" s="974"/>
      <c r="JGE85" s="974"/>
      <c r="JGF85" s="974"/>
      <c r="JGG85" s="974"/>
      <c r="JGH85" s="974"/>
      <c r="JGI85" s="974"/>
      <c r="JGJ85" s="974"/>
      <c r="JGK85" s="974"/>
      <c r="JGL85" s="974"/>
      <c r="JGM85" s="974"/>
      <c r="JGN85" s="974"/>
      <c r="JGO85" s="974"/>
      <c r="JGP85" s="974"/>
      <c r="JGQ85" s="974"/>
      <c r="JGR85" s="974"/>
      <c r="JGS85" s="974"/>
      <c r="JGT85" s="974"/>
      <c r="JGU85" s="974"/>
      <c r="JGV85" s="974"/>
      <c r="JGW85" s="974"/>
      <c r="JGX85" s="974"/>
      <c r="JGY85" s="974"/>
      <c r="JGZ85" s="974"/>
      <c r="JHA85" s="974"/>
      <c r="JHB85" s="974"/>
      <c r="JHC85" s="974"/>
      <c r="JHD85" s="974"/>
      <c r="JHE85" s="974"/>
      <c r="JHF85" s="974"/>
      <c r="JHG85" s="974"/>
      <c r="JHH85" s="974"/>
      <c r="JHI85" s="974"/>
      <c r="JHJ85" s="974"/>
      <c r="JHK85" s="974"/>
      <c r="JHL85" s="974"/>
      <c r="JHM85" s="974"/>
      <c r="JHN85" s="974"/>
      <c r="JHO85" s="974"/>
      <c r="JHP85" s="974"/>
      <c r="JHQ85" s="974"/>
      <c r="JHR85" s="974"/>
      <c r="JHS85" s="974"/>
      <c r="JHT85" s="974"/>
      <c r="JHU85" s="974"/>
      <c r="JHV85" s="974"/>
      <c r="JHW85" s="974"/>
      <c r="JHX85" s="974"/>
      <c r="JHY85" s="974"/>
      <c r="JHZ85" s="974"/>
      <c r="JIA85" s="974"/>
      <c r="JIB85" s="974"/>
      <c r="JIC85" s="974"/>
      <c r="JID85" s="974"/>
      <c r="JIE85" s="974"/>
      <c r="JIF85" s="974"/>
      <c r="JIG85" s="974"/>
      <c r="JIH85" s="974"/>
      <c r="JII85" s="974"/>
      <c r="JIJ85" s="974"/>
      <c r="JIK85" s="974"/>
      <c r="JIL85" s="974"/>
      <c r="JIM85" s="974"/>
      <c r="JIN85" s="974"/>
      <c r="JIO85" s="974"/>
      <c r="JIP85" s="974"/>
      <c r="JIQ85" s="974"/>
      <c r="JIR85" s="974"/>
      <c r="JIS85" s="974"/>
      <c r="JIT85" s="974"/>
      <c r="JIU85" s="974"/>
      <c r="JIV85" s="974"/>
      <c r="JIW85" s="974"/>
      <c r="JIX85" s="974"/>
      <c r="JIY85" s="974"/>
      <c r="JIZ85" s="974"/>
      <c r="JJA85" s="974"/>
      <c r="JJB85" s="974"/>
      <c r="JJC85" s="974"/>
      <c r="JJD85" s="974"/>
      <c r="JJE85" s="974"/>
      <c r="JJF85" s="974"/>
      <c r="JJG85" s="974"/>
      <c r="JJH85" s="974"/>
      <c r="JJI85" s="974"/>
      <c r="JJJ85" s="974"/>
      <c r="JJK85" s="974"/>
      <c r="JJL85" s="974"/>
      <c r="JJM85" s="974"/>
      <c r="JJN85" s="974"/>
      <c r="JJO85" s="974"/>
      <c r="JJP85" s="974"/>
      <c r="JJQ85" s="974"/>
      <c r="JJR85" s="974"/>
      <c r="JJS85" s="974"/>
      <c r="JJT85" s="974"/>
      <c r="JJU85" s="974"/>
      <c r="JJV85" s="974"/>
      <c r="JJW85" s="974"/>
      <c r="JJX85" s="974"/>
      <c r="JJY85" s="974"/>
      <c r="JJZ85" s="974"/>
      <c r="JKA85" s="974"/>
      <c r="JKB85" s="974"/>
      <c r="JKC85" s="974"/>
      <c r="JKD85" s="974"/>
      <c r="JKE85" s="974"/>
      <c r="JKF85" s="974"/>
      <c r="JKG85" s="974"/>
      <c r="JKH85" s="974"/>
      <c r="JKI85" s="974"/>
      <c r="JKJ85" s="974"/>
      <c r="JKK85" s="974"/>
      <c r="JKL85" s="974"/>
      <c r="JKM85" s="974"/>
      <c r="JKN85" s="974"/>
      <c r="JKO85" s="974"/>
      <c r="JKP85" s="974"/>
      <c r="JKQ85" s="974"/>
      <c r="JKR85" s="974"/>
      <c r="JKS85" s="974"/>
      <c r="JKT85" s="974"/>
      <c r="JKU85" s="974"/>
      <c r="JKV85" s="974"/>
      <c r="JKW85" s="974"/>
      <c r="JKX85" s="974"/>
      <c r="JKY85" s="974"/>
      <c r="JKZ85" s="974"/>
      <c r="JLA85" s="974"/>
      <c r="JLB85" s="974"/>
      <c r="JLC85" s="974"/>
      <c r="JLD85" s="974"/>
      <c r="JLE85" s="974"/>
      <c r="JLF85" s="974"/>
      <c r="JLG85" s="974"/>
      <c r="JLH85" s="974"/>
      <c r="JLI85" s="974"/>
      <c r="JLJ85" s="974"/>
      <c r="JLK85" s="974"/>
      <c r="JLL85" s="974"/>
      <c r="JLM85" s="974"/>
      <c r="JLN85" s="974"/>
      <c r="JLO85" s="974"/>
      <c r="JLP85" s="974"/>
      <c r="JLQ85" s="974"/>
      <c r="JLR85" s="974"/>
      <c r="JLS85" s="974"/>
      <c r="JLT85" s="974"/>
      <c r="JLU85" s="974"/>
      <c r="JLV85" s="974"/>
      <c r="JLW85" s="974"/>
      <c r="JLX85" s="974"/>
      <c r="JLY85" s="974"/>
      <c r="JLZ85" s="974"/>
      <c r="JMA85" s="974"/>
      <c r="JMB85" s="974"/>
      <c r="JMC85" s="974"/>
      <c r="JMD85" s="974"/>
      <c r="JME85" s="974"/>
      <c r="JMF85" s="974"/>
      <c r="JMG85" s="974"/>
      <c r="JMH85" s="974"/>
      <c r="JMI85" s="974"/>
      <c r="JMJ85" s="974"/>
      <c r="JMK85" s="974"/>
      <c r="JML85" s="974"/>
      <c r="JMM85" s="974"/>
      <c r="JMN85" s="974"/>
      <c r="JMO85" s="974"/>
      <c r="JMP85" s="974"/>
      <c r="JMQ85" s="974"/>
      <c r="JMR85" s="974"/>
      <c r="JMS85" s="974"/>
      <c r="JMT85" s="974"/>
      <c r="JMU85" s="974"/>
      <c r="JMV85" s="974"/>
      <c r="JMW85" s="974"/>
      <c r="JMX85" s="974"/>
      <c r="JMY85" s="974"/>
      <c r="JMZ85" s="974"/>
      <c r="JNA85" s="974"/>
      <c r="JNB85" s="974"/>
      <c r="JNC85" s="974"/>
      <c r="JND85" s="974"/>
      <c r="JNE85" s="974"/>
      <c r="JNF85" s="974"/>
      <c r="JNG85" s="974"/>
      <c r="JNH85" s="974"/>
      <c r="JNI85" s="974"/>
      <c r="JNJ85" s="974"/>
      <c r="JNK85" s="974"/>
      <c r="JNL85" s="974"/>
      <c r="JNM85" s="974"/>
      <c r="JNN85" s="974"/>
      <c r="JNO85" s="974"/>
      <c r="JNP85" s="974"/>
      <c r="JNQ85" s="974"/>
      <c r="JNR85" s="974"/>
      <c r="JNS85" s="974"/>
      <c r="JNT85" s="974"/>
      <c r="JNU85" s="974"/>
      <c r="JNV85" s="974"/>
      <c r="JNW85" s="974"/>
      <c r="JNX85" s="974"/>
      <c r="JNY85" s="974"/>
      <c r="JNZ85" s="974"/>
      <c r="JOA85" s="974"/>
      <c r="JOB85" s="974"/>
      <c r="JOC85" s="974"/>
      <c r="JOD85" s="974"/>
      <c r="JOE85" s="974"/>
      <c r="JOF85" s="974"/>
      <c r="JOG85" s="974"/>
      <c r="JOH85" s="974"/>
      <c r="JOI85" s="974"/>
      <c r="JOJ85" s="974"/>
      <c r="JOK85" s="974"/>
      <c r="JOL85" s="974"/>
      <c r="JOM85" s="974"/>
      <c r="JON85" s="974"/>
      <c r="JOO85" s="974"/>
      <c r="JOP85" s="974"/>
      <c r="JOQ85" s="974"/>
      <c r="JOR85" s="974"/>
      <c r="JOS85" s="974"/>
      <c r="JOT85" s="974"/>
      <c r="JOU85" s="974"/>
      <c r="JOV85" s="974"/>
      <c r="JOW85" s="974"/>
      <c r="JOX85" s="974"/>
      <c r="JOY85" s="974"/>
      <c r="JOZ85" s="974"/>
      <c r="JPA85" s="974"/>
      <c r="JPB85" s="974"/>
      <c r="JPC85" s="974"/>
      <c r="JPD85" s="974"/>
      <c r="JPE85" s="974"/>
      <c r="JPF85" s="974"/>
      <c r="JPG85" s="974"/>
      <c r="JPH85" s="974"/>
      <c r="JPI85" s="974"/>
      <c r="JPJ85" s="974"/>
      <c r="JPK85" s="974"/>
      <c r="JPL85" s="974"/>
      <c r="JPM85" s="974"/>
      <c r="JPN85" s="974"/>
      <c r="JPO85" s="974"/>
      <c r="JPP85" s="974"/>
      <c r="JPQ85" s="974"/>
      <c r="JPR85" s="974"/>
      <c r="JPS85" s="974"/>
      <c r="JPT85" s="974"/>
      <c r="JPU85" s="974"/>
      <c r="JPV85" s="974"/>
      <c r="JPW85" s="974"/>
      <c r="JPX85" s="974"/>
      <c r="JPY85" s="974"/>
      <c r="JPZ85" s="974"/>
      <c r="JQA85" s="974"/>
      <c r="JQB85" s="974"/>
      <c r="JQC85" s="974"/>
      <c r="JQD85" s="974"/>
      <c r="JQE85" s="974"/>
      <c r="JQF85" s="974"/>
      <c r="JQG85" s="974"/>
      <c r="JQH85" s="974"/>
      <c r="JQI85" s="974"/>
      <c r="JQJ85" s="974"/>
      <c r="JQK85" s="974"/>
      <c r="JQL85" s="974"/>
      <c r="JQM85" s="974"/>
      <c r="JQN85" s="974"/>
      <c r="JQO85" s="974"/>
      <c r="JQP85" s="974"/>
      <c r="JQQ85" s="974"/>
      <c r="JQR85" s="974"/>
      <c r="JQS85" s="974"/>
      <c r="JQT85" s="974"/>
      <c r="JQU85" s="974"/>
      <c r="JQV85" s="974"/>
      <c r="JQW85" s="974"/>
      <c r="JQX85" s="974"/>
      <c r="JQY85" s="974"/>
      <c r="JQZ85" s="974"/>
      <c r="JRA85" s="974"/>
      <c r="JRB85" s="974"/>
      <c r="JRC85" s="974"/>
      <c r="JRD85" s="974"/>
      <c r="JRE85" s="974"/>
      <c r="JRF85" s="974"/>
      <c r="JRG85" s="974"/>
      <c r="JRH85" s="974"/>
      <c r="JRI85" s="974"/>
      <c r="JRJ85" s="974"/>
      <c r="JRK85" s="974"/>
      <c r="JRL85" s="974"/>
      <c r="JRM85" s="974"/>
      <c r="JRN85" s="974"/>
      <c r="JRO85" s="974"/>
      <c r="JRP85" s="974"/>
      <c r="JRQ85" s="974"/>
      <c r="JRR85" s="974"/>
      <c r="JRS85" s="974"/>
      <c r="JRT85" s="974"/>
      <c r="JRU85" s="974"/>
      <c r="JRV85" s="974"/>
      <c r="JRW85" s="974"/>
      <c r="JRX85" s="974"/>
      <c r="JRY85" s="974"/>
      <c r="JRZ85" s="974"/>
      <c r="JSA85" s="974"/>
      <c r="JSB85" s="974"/>
      <c r="JSC85" s="974"/>
      <c r="JSD85" s="974"/>
      <c r="JSE85" s="974"/>
      <c r="JSF85" s="974"/>
      <c r="JSG85" s="974"/>
      <c r="JSH85" s="974"/>
      <c r="JSI85" s="974"/>
      <c r="JSJ85" s="974"/>
      <c r="JSK85" s="974"/>
      <c r="JSL85" s="974"/>
      <c r="JSM85" s="974"/>
      <c r="JSN85" s="974"/>
      <c r="JSO85" s="974"/>
      <c r="JSP85" s="974"/>
      <c r="JSQ85" s="974"/>
      <c r="JSR85" s="974"/>
      <c r="JSS85" s="974"/>
      <c r="JST85" s="974"/>
      <c r="JSU85" s="974"/>
      <c r="JSV85" s="974"/>
      <c r="JSW85" s="974"/>
      <c r="JSX85" s="974"/>
      <c r="JSY85" s="974"/>
      <c r="JSZ85" s="974"/>
      <c r="JTA85" s="974"/>
      <c r="JTB85" s="974"/>
      <c r="JTC85" s="974"/>
      <c r="JTD85" s="974"/>
      <c r="JTE85" s="974"/>
      <c r="JTF85" s="974"/>
      <c r="JTG85" s="974"/>
      <c r="JTH85" s="974"/>
      <c r="JTI85" s="974"/>
      <c r="JTJ85" s="974"/>
      <c r="JTK85" s="974"/>
      <c r="JTL85" s="974"/>
      <c r="JTM85" s="974"/>
      <c r="JTN85" s="974"/>
      <c r="JTO85" s="974"/>
      <c r="JTP85" s="974"/>
      <c r="JTQ85" s="974"/>
      <c r="JTR85" s="974"/>
      <c r="JTS85" s="974"/>
      <c r="JTT85" s="974"/>
      <c r="JTU85" s="974"/>
      <c r="JTV85" s="974"/>
      <c r="JTW85" s="974"/>
      <c r="JTX85" s="974"/>
      <c r="JTY85" s="974"/>
      <c r="JTZ85" s="974"/>
      <c r="JUA85" s="974"/>
      <c r="JUB85" s="974"/>
      <c r="JUC85" s="974"/>
      <c r="JUD85" s="974"/>
      <c r="JUE85" s="974"/>
      <c r="JUF85" s="974"/>
      <c r="JUG85" s="974"/>
      <c r="JUH85" s="974"/>
      <c r="JUI85" s="974"/>
      <c r="JUJ85" s="974"/>
      <c r="JUK85" s="974"/>
      <c r="JUL85" s="974"/>
      <c r="JUM85" s="974"/>
      <c r="JUN85" s="974"/>
      <c r="JUO85" s="974"/>
      <c r="JUP85" s="974"/>
      <c r="JUQ85" s="974"/>
      <c r="JUR85" s="974"/>
      <c r="JUS85" s="974"/>
      <c r="JUT85" s="974"/>
      <c r="JUU85" s="974"/>
      <c r="JUV85" s="974"/>
      <c r="JUW85" s="974"/>
      <c r="JUX85" s="974"/>
      <c r="JUY85" s="974"/>
      <c r="JUZ85" s="974"/>
      <c r="JVA85" s="974"/>
      <c r="JVB85" s="974"/>
      <c r="JVC85" s="974"/>
      <c r="JVD85" s="974"/>
      <c r="JVE85" s="974"/>
      <c r="JVF85" s="974"/>
      <c r="JVG85" s="974"/>
      <c r="JVH85" s="974"/>
      <c r="JVI85" s="974"/>
      <c r="JVJ85" s="974"/>
      <c r="JVK85" s="974"/>
      <c r="JVL85" s="974"/>
      <c r="JVM85" s="974"/>
      <c r="JVN85" s="974"/>
      <c r="JVO85" s="974"/>
      <c r="JVP85" s="974"/>
      <c r="JVQ85" s="974"/>
      <c r="JVR85" s="974"/>
      <c r="JVS85" s="974"/>
      <c r="JVT85" s="974"/>
      <c r="JVU85" s="974"/>
      <c r="JVV85" s="974"/>
      <c r="JVW85" s="974"/>
      <c r="JVX85" s="974"/>
      <c r="JVY85" s="974"/>
      <c r="JVZ85" s="974"/>
      <c r="JWA85" s="974"/>
      <c r="JWB85" s="974"/>
      <c r="JWC85" s="974"/>
      <c r="JWD85" s="974"/>
      <c r="JWE85" s="974"/>
      <c r="JWF85" s="974"/>
      <c r="JWG85" s="974"/>
      <c r="JWH85" s="974"/>
      <c r="JWI85" s="974"/>
      <c r="JWJ85" s="974"/>
      <c r="JWK85" s="974"/>
      <c r="JWL85" s="974"/>
      <c r="JWM85" s="974"/>
      <c r="JWN85" s="974"/>
      <c r="JWO85" s="974"/>
      <c r="JWP85" s="974"/>
      <c r="JWQ85" s="974"/>
      <c r="JWR85" s="974"/>
      <c r="JWS85" s="974"/>
      <c r="JWT85" s="974"/>
      <c r="JWU85" s="974"/>
      <c r="JWV85" s="974"/>
      <c r="JWW85" s="974"/>
      <c r="JWX85" s="974"/>
      <c r="JWY85" s="974"/>
      <c r="JWZ85" s="974"/>
      <c r="JXA85" s="974"/>
      <c r="JXB85" s="974"/>
      <c r="JXC85" s="974"/>
      <c r="JXD85" s="974"/>
      <c r="JXE85" s="974"/>
      <c r="JXF85" s="974"/>
      <c r="JXG85" s="974"/>
      <c r="JXH85" s="974"/>
      <c r="JXI85" s="974"/>
      <c r="JXJ85" s="974"/>
      <c r="JXK85" s="974"/>
      <c r="JXL85" s="974"/>
      <c r="JXM85" s="974"/>
      <c r="JXN85" s="974"/>
      <c r="JXO85" s="974"/>
      <c r="JXP85" s="974"/>
      <c r="JXQ85" s="974"/>
      <c r="JXR85" s="974"/>
      <c r="JXS85" s="974"/>
      <c r="JXT85" s="974"/>
      <c r="JXU85" s="974"/>
      <c r="JXV85" s="974"/>
      <c r="JXW85" s="974"/>
      <c r="JXX85" s="974"/>
      <c r="JXY85" s="974"/>
      <c r="JXZ85" s="974"/>
      <c r="JYA85" s="974"/>
      <c r="JYB85" s="974"/>
      <c r="JYC85" s="974"/>
      <c r="JYD85" s="974"/>
      <c r="JYE85" s="974"/>
      <c r="JYF85" s="974"/>
      <c r="JYG85" s="974"/>
      <c r="JYH85" s="974"/>
      <c r="JYI85" s="974"/>
      <c r="JYJ85" s="974"/>
      <c r="JYK85" s="974"/>
      <c r="JYL85" s="974"/>
      <c r="JYM85" s="974"/>
      <c r="JYN85" s="974"/>
      <c r="JYO85" s="974"/>
      <c r="JYP85" s="974"/>
      <c r="JYQ85" s="974"/>
      <c r="JYR85" s="974"/>
      <c r="JYS85" s="974"/>
      <c r="JYT85" s="974"/>
      <c r="JYU85" s="974"/>
      <c r="JYV85" s="974"/>
      <c r="JYW85" s="974"/>
      <c r="JYX85" s="974"/>
      <c r="JYY85" s="974"/>
      <c r="JYZ85" s="974"/>
      <c r="JZA85" s="974"/>
      <c r="JZB85" s="974"/>
      <c r="JZC85" s="974"/>
      <c r="JZD85" s="974"/>
      <c r="JZE85" s="974"/>
      <c r="JZF85" s="974"/>
      <c r="JZG85" s="974"/>
      <c r="JZH85" s="974"/>
      <c r="JZI85" s="974"/>
      <c r="JZJ85" s="974"/>
      <c r="JZK85" s="974"/>
      <c r="JZL85" s="974"/>
      <c r="JZM85" s="974"/>
      <c r="JZN85" s="974"/>
      <c r="JZO85" s="974"/>
      <c r="JZP85" s="974"/>
      <c r="JZQ85" s="974"/>
      <c r="JZR85" s="974"/>
      <c r="JZS85" s="974"/>
      <c r="JZT85" s="974"/>
      <c r="JZU85" s="974"/>
      <c r="JZV85" s="974"/>
      <c r="JZW85" s="974"/>
      <c r="JZX85" s="974"/>
      <c r="JZY85" s="974"/>
      <c r="JZZ85" s="974"/>
      <c r="KAA85" s="974"/>
      <c r="KAB85" s="974"/>
      <c r="KAC85" s="974"/>
      <c r="KAD85" s="974"/>
      <c r="KAE85" s="974"/>
      <c r="KAF85" s="974"/>
      <c r="KAG85" s="974"/>
      <c r="KAH85" s="974"/>
      <c r="KAI85" s="974"/>
      <c r="KAJ85" s="974"/>
      <c r="KAK85" s="974"/>
      <c r="KAL85" s="974"/>
      <c r="KAM85" s="974"/>
      <c r="KAN85" s="974"/>
      <c r="KAO85" s="974"/>
      <c r="KAP85" s="974"/>
      <c r="KAQ85" s="974"/>
      <c r="KAR85" s="974"/>
      <c r="KAS85" s="974"/>
      <c r="KAT85" s="974"/>
      <c r="KAU85" s="974"/>
      <c r="KAV85" s="974"/>
      <c r="KAW85" s="974"/>
      <c r="KAX85" s="974"/>
      <c r="KAY85" s="974"/>
      <c r="KAZ85" s="974"/>
      <c r="KBA85" s="974"/>
      <c r="KBB85" s="974"/>
      <c r="KBC85" s="974"/>
      <c r="KBD85" s="974"/>
      <c r="KBE85" s="974"/>
      <c r="KBF85" s="974"/>
      <c r="KBG85" s="974"/>
      <c r="KBH85" s="974"/>
      <c r="KBI85" s="974"/>
      <c r="KBJ85" s="974"/>
      <c r="KBK85" s="974"/>
      <c r="KBL85" s="974"/>
      <c r="KBM85" s="974"/>
      <c r="KBN85" s="974"/>
      <c r="KBO85" s="974"/>
      <c r="KBP85" s="974"/>
      <c r="KBQ85" s="974"/>
      <c r="KBR85" s="974"/>
      <c r="KBS85" s="974"/>
      <c r="KBT85" s="974"/>
      <c r="KBU85" s="974"/>
      <c r="KBV85" s="974"/>
      <c r="KBW85" s="974"/>
      <c r="KBX85" s="974"/>
      <c r="KBY85" s="974"/>
      <c r="KBZ85" s="974"/>
      <c r="KCA85" s="974"/>
      <c r="KCB85" s="974"/>
      <c r="KCC85" s="974"/>
      <c r="KCD85" s="974"/>
      <c r="KCE85" s="974"/>
      <c r="KCF85" s="974"/>
      <c r="KCG85" s="974"/>
      <c r="KCH85" s="974"/>
      <c r="KCI85" s="974"/>
      <c r="KCJ85" s="974"/>
      <c r="KCK85" s="974"/>
      <c r="KCL85" s="974"/>
      <c r="KCM85" s="974"/>
      <c r="KCN85" s="974"/>
      <c r="KCO85" s="974"/>
      <c r="KCP85" s="974"/>
      <c r="KCQ85" s="974"/>
      <c r="KCR85" s="974"/>
      <c r="KCS85" s="974"/>
      <c r="KCT85" s="974"/>
      <c r="KCU85" s="974"/>
      <c r="KCV85" s="974"/>
      <c r="KCW85" s="974"/>
      <c r="KCX85" s="974"/>
      <c r="KCY85" s="974"/>
      <c r="KCZ85" s="974"/>
      <c r="KDA85" s="974"/>
      <c r="KDB85" s="974"/>
      <c r="KDC85" s="974"/>
      <c r="KDD85" s="974"/>
      <c r="KDE85" s="974"/>
      <c r="KDF85" s="974"/>
      <c r="KDG85" s="974"/>
      <c r="KDH85" s="974"/>
      <c r="KDI85" s="974"/>
      <c r="KDJ85" s="974"/>
      <c r="KDK85" s="974"/>
      <c r="KDL85" s="974"/>
      <c r="KDM85" s="974"/>
      <c r="KDN85" s="974"/>
      <c r="KDO85" s="974"/>
      <c r="KDP85" s="974"/>
      <c r="KDQ85" s="974"/>
      <c r="KDR85" s="974"/>
      <c r="KDS85" s="974"/>
      <c r="KDT85" s="974"/>
      <c r="KDU85" s="974"/>
      <c r="KDV85" s="974"/>
      <c r="KDW85" s="974"/>
      <c r="KDX85" s="974"/>
      <c r="KDY85" s="974"/>
      <c r="KDZ85" s="974"/>
      <c r="KEA85" s="974"/>
      <c r="KEB85" s="974"/>
      <c r="KEC85" s="974"/>
      <c r="KED85" s="974"/>
      <c r="KEE85" s="974"/>
      <c r="KEF85" s="974"/>
      <c r="KEG85" s="974"/>
      <c r="KEH85" s="974"/>
      <c r="KEI85" s="974"/>
      <c r="KEJ85" s="974"/>
      <c r="KEK85" s="974"/>
      <c r="KEL85" s="974"/>
      <c r="KEM85" s="974"/>
      <c r="KEN85" s="974"/>
      <c r="KEO85" s="974"/>
      <c r="KEP85" s="974"/>
      <c r="KEQ85" s="974"/>
      <c r="KER85" s="974"/>
      <c r="KES85" s="974"/>
      <c r="KET85" s="974"/>
      <c r="KEU85" s="974"/>
      <c r="KEV85" s="974"/>
      <c r="KEW85" s="974"/>
      <c r="KEX85" s="974"/>
      <c r="KEY85" s="974"/>
      <c r="KEZ85" s="974"/>
      <c r="KFA85" s="974"/>
      <c r="KFB85" s="974"/>
      <c r="KFC85" s="974"/>
      <c r="KFD85" s="974"/>
      <c r="KFE85" s="974"/>
      <c r="KFF85" s="974"/>
      <c r="KFG85" s="974"/>
      <c r="KFH85" s="974"/>
      <c r="KFI85" s="974"/>
      <c r="KFJ85" s="974"/>
      <c r="KFK85" s="974"/>
      <c r="KFL85" s="974"/>
      <c r="KFM85" s="974"/>
      <c r="KFN85" s="974"/>
      <c r="KFO85" s="974"/>
      <c r="KFP85" s="974"/>
      <c r="KFQ85" s="974"/>
      <c r="KFR85" s="974"/>
      <c r="KFS85" s="974"/>
      <c r="KFT85" s="974"/>
      <c r="KFU85" s="974"/>
      <c r="KFV85" s="974"/>
      <c r="KFW85" s="974"/>
      <c r="KFX85" s="974"/>
      <c r="KFY85" s="974"/>
      <c r="KFZ85" s="974"/>
      <c r="KGA85" s="974"/>
      <c r="KGB85" s="974"/>
      <c r="KGC85" s="974"/>
      <c r="KGD85" s="974"/>
      <c r="KGE85" s="974"/>
      <c r="KGF85" s="974"/>
      <c r="KGG85" s="974"/>
      <c r="KGH85" s="974"/>
      <c r="KGI85" s="974"/>
      <c r="KGJ85" s="974"/>
      <c r="KGK85" s="974"/>
      <c r="KGL85" s="974"/>
      <c r="KGM85" s="974"/>
      <c r="KGN85" s="974"/>
      <c r="KGO85" s="974"/>
      <c r="KGP85" s="974"/>
      <c r="KGQ85" s="974"/>
      <c r="KGR85" s="974"/>
      <c r="KGS85" s="974"/>
      <c r="KGT85" s="974"/>
      <c r="KGU85" s="974"/>
      <c r="KGV85" s="974"/>
      <c r="KGW85" s="974"/>
      <c r="KGX85" s="974"/>
      <c r="KGY85" s="974"/>
      <c r="KGZ85" s="974"/>
      <c r="KHA85" s="974"/>
      <c r="KHB85" s="974"/>
      <c r="KHC85" s="974"/>
      <c r="KHD85" s="974"/>
      <c r="KHE85" s="974"/>
      <c r="KHF85" s="974"/>
      <c r="KHG85" s="974"/>
      <c r="KHH85" s="974"/>
      <c r="KHI85" s="974"/>
      <c r="KHJ85" s="974"/>
      <c r="KHK85" s="974"/>
      <c r="KHL85" s="974"/>
      <c r="KHM85" s="974"/>
      <c r="KHN85" s="974"/>
      <c r="KHO85" s="974"/>
      <c r="KHP85" s="974"/>
      <c r="KHQ85" s="974"/>
      <c r="KHR85" s="974"/>
      <c r="KHS85" s="974"/>
      <c r="KHT85" s="974"/>
      <c r="KHU85" s="974"/>
      <c r="KHV85" s="974"/>
      <c r="KHW85" s="974"/>
      <c r="KHX85" s="974"/>
      <c r="KHY85" s="974"/>
      <c r="KHZ85" s="974"/>
      <c r="KIA85" s="974"/>
      <c r="KIB85" s="974"/>
      <c r="KIC85" s="974"/>
      <c r="KID85" s="974"/>
      <c r="KIE85" s="974"/>
      <c r="KIF85" s="974"/>
      <c r="KIG85" s="974"/>
      <c r="KIH85" s="974"/>
      <c r="KII85" s="974"/>
      <c r="KIJ85" s="974"/>
      <c r="KIK85" s="974"/>
      <c r="KIL85" s="974"/>
      <c r="KIM85" s="974"/>
      <c r="KIN85" s="974"/>
      <c r="KIO85" s="974"/>
      <c r="KIP85" s="974"/>
      <c r="KIQ85" s="974"/>
      <c r="KIR85" s="974"/>
      <c r="KIS85" s="974"/>
      <c r="KIT85" s="974"/>
      <c r="KIU85" s="974"/>
      <c r="KIV85" s="974"/>
      <c r="KIW85" s="974"/>
      <c r="KIX85" s="974"/>
      <c r="KIY85" s="974"/>
      <c r="KIZ85" s="974"/>
      <c r="KJA85" s="974"/>
      <c r="KJB85" s="974"/>
      <c r="KJC85" s="974"/>
      <c r="KJD85" s="974"/>
      <c r="KJE85" s="974"/>
      <c r="KJF85" s="974"/>
      <c r="KJG85" s="974"/>
      <c r="KJH85" s="974"/>
      <c r="KJI85" s="974"/>
      <c r="KJJ85" s="974"/>
      <c r="KJK85" s="974"/>
      <c r="KJL85" s="974"/>
      <c r="KJM85" s="974"/>
      <c r="KJN85" s="974"/>
      <c r="KJO85" s="974"/>
      <c r="KJP85" s="974"/>
      <c r="KJQ85" s="974"/>
      <c r="KJR85" s="974"/>
      <c r="KJS85" s="974"/>
      <c r="KJT85" s="974"/>
      <c r="KJU85" s="974"/>
      <c r="KJV85" s="974"/>
      <c r="KJW85" s="974"/>
      <c r="KJX85" s="974"/>
      <c r="KJY85" s="974"/>
      <c r="KJZ85" s="974"/>
      <c r="KKA85" s="974"/>
      <c r="KKB85" s="974"/>
      <c r="KKC85" s="974"/>
      <c r="KKD85" s="974"/>
      <c r="KKE85" s="974"/>
      <c r="KKF85" s="974"/>
      <c r="KKG85" s="974"/>
      <c r="KKH85" s="974"/>
      <c r="KKI85" s="974"/>
      <c r="KKJ85" s="974"/>
      <c r="KKK85" s="974"/>
      <c r="KKL85" s="974"/>
      <c r="KKM85" s="974"/>
      <c r="KKN85" s="974"/>
      <c r="KKO85" s="974"/>
      <c r="KKP85" s="974"/>
      <c r="KKQ85" s="974"/>
      <c r="KKR85" s="974"/>
      <c r="KKS85" s="974"/>
      <c r="KKT85" s="974"/>
      <c r="KKU85" s="974"/>
      <c r="KKV85" s="974"/>
      <c r="KKW85" s="974"/>
      <c r="KKX85" s="974"/>
      <c r="KKY85" s="974"/>
      <c r="KKZ85" s="974"/>
      <c r="KLA85" s="974"/>
      <c r="KLB85" s="974"/>
      <c r="KLC85" s="974"/>
      <c r="KLD85" s="974"/>
      <c r="KLE85" s="974"/>
      <c r="KLF85" s="974"/>
      <c r="KLG85" s="974"/>
      <c r="KLH85" s="974"/>
      <c r="KLI85" s="974"/>
      <c r="KLJ85" s="974"/>
      <c r="KLK85" s="974"/>
      <c r="KLL85" s="974"/>
      <c r="KLM85" s="974"/>
      <c r="KLN85" s="974"/>
      <c r="KLO85" s="974"/>
      <c r="KLP85" s="974"/>
      <c r="KLQ85" s="974"/>
      <c r="KLR85" s="974"/>
      <c r="KLS85" s="974"/>
      <c r="KLT85" s="974"/>
      <c r="KLU85" s="974"/>
      <c r="KLV85" s="974"/>
      <c r="KLW85" s="974"/>
      <c r="KLX85" s="974"/>
      <c r="KLY85" s="974"/>
      <c r="KLZ85" s="974"/>
      <c r="KMA85" s="974"/>
      <c r="KMB85" s="974"/>
      <c r="KMC85" s="974"/>
      <c r="KMD85" s="974"/>
      <c r="KME85" s="974"/>
      <c r="KMF85" s="974"/>
      <c r="KMG85" s="974"/>
      <c r="KMH85" s="974"/>
      <c r="KMI85" s="974"/>
      <c r="KMJ85" s="974"/>
      <c r="KMK85" s="974"/>
      <c r="KML85" s="974"/>
      <c r="KMM85" s="974"/>
      <c r="KMN85" s="974"/>
      <c r="KMO85" s="974"/>
      <c r="KMP85" s="974"/>
      <c r="KMQ85" s="974"/>
      <c r="KMR85" s="974"/>
      <c r="KMS85" s="974"/>
      <c r="KMT85" s="974"/>
      <c r="KMU85" s="974"/>
      <c r="KMV85" s="974"/>
      <c r="KMW85" s="974"/>
      <c r="KMX85" s="974"/>
      <c r="KMY85" s="974"/>
      <c r="KMZ85" s="974"/>
      <c r="KNA85" s="974"/>
      <c r="KNB85" s="974"/>
      <c r="KNC85" s="974"/>
      <c r="KND85" s="974"/>
      <c r="KNE85" s="974"/>
      <c r="KNF85" s="974"/>
      <c r="KNG85" s="974"/>
      <c r="KNH85" s="974"/>
      <c r="KNI85" s="974"/>
      <c r="KNJ85" s="974"/>
      <c r="KNK85" s="974"/>
      <c r="KNL85" s="974"/>
      <c r="KNM85" s="974"/>
      <c r="KNN85" s="974"/>
      <c r="KNO85" s="974"/>
      <c r="KNP85" s="974"/>
      <c r="KNQ85" s="974"/>
      <c r="KNR85" s="974"/>
      <c r="KNS85" s="974"/>
      <c r="KNT85" s="974"/>
      <c r="KNU85" s="974"/>
      <c r="KNV85" s="974"/>
      <c r="KNW85" s="974"/>
      <c r="KNX85" s="974"/>
      <c r="KNY85" s="974"/>
      <c r="KNZ85" s="974"/>
      <c r="KOA85" s="974"/>
      <c r="KOB85" s="974"/>
      <c r="KOC85" s="974"/>
      <c r="KOD85" s="974"/>
      <c r="KOE85" s="974"/>
      <c r="KOF85" s="974"/>
      <c r="KOG85" s="974"/>
      <c r="KOH85" s="974"/>
      <c r="KOI85" s="974"/>
      <c r="KOJ85" s="974"/>
      <c r="KOK85" s="974"/>
      <c r="KOL85" s="974"/>
      <c r="KOM85" s="974"/>
      <c r="KON85" s="974"/>
      <c r="KOO85" s="974"/>
      <c r="KOP85" s="974"/>
      <c r="KOQ85" s="974"/>
      <c r="KOR85" s="974"/>
      <c r="KOS85" s="974"/>
      <c r="KOT85" s="974"/>
      <c r="KOU85" s="974"/>
      <c r="KOV85" s="974"/>
      <c r="KOW85" s="974"/>
      <c r="KOX85" s="974"/>
      <c r="KOY85" s="974"/>
      <c r="KOZ85" s="974"/>
      <c r="KPA85" s="974"/>
      <c r="KPB85" s="974"/>
      <c r="KPC85" s="974"/>
      <c r="KPD85" s="974"/>
      <c r="KPE85" s="974"/>
      <c r="KPF85" s="974"/>
      <c r="KPG85" s="974"/>
      <c r="KPH85" s="974"/>
      <c r="KPI85" s="974"/>
      <c r="KPJ85" s="974"/>
      <c r="KPK85" s="974"/>
      <c r="KPL85" s="974"/>
      <c r="KPM85" s="974"/>
      <c r="KPN85" s="974"/>
      <c r="KPO85" s="974"/>
      <c r="KPP85" s="974"/>
      <c r="KPQ85" s="974"/>
      <c r="KPR85" s="974"/>
      <c r="KPS85" s="974"/>
      <c r="KPT85" s="974"/>
      <c r="KPU85" s="974"/>
      <c r="KPV85" s="974"/>
      <c r="KPW85" s="974"/>
      <c r="KPX85" s="974"/>
      <c r="KPY85" s="974"/>
      <c r="KPZ85" s="974"/>
      <c r="KQA85" s="974"/>
      <c r="KQB85" s="974"/>
      <c r="KQC85" s="974"/>
      <c r="KQD85" s="974"/>
      <c r="KQE85" s="974"/>
      <c r="KQF85" s="974"/>
      <c r="KQG85" s="974"/>
      <c r="KQH85" s="974"/>
      <c r="KQI85" s="974"/>
      <c r="KQJ85" s="974"/>
      <c r="KQK85" s="974"/>
      <c r="KQL85" s="974"/>
      <c r="KQM85" s="974"/>
      <c r="KQN85" s="974"/>
      <c r="KQO85" s="974"/>
      <c r="KQP85" s="974"/>
      <c r="KQQ85" s="974"/>
      <c r="KQR85" s="974"/>
      <c r="KQS85" s="974"/>
      <c r="KQT85" s="974"/>
      <c r="KQU85" s="974"/>
      <c r="KQV85" s="974"/>
      <c r="KQW85" s="974"/>
      <c r="KQX85" s="974"/>
      <c r="KQY85" s="974"/>
      <c r="KQZ85" s="974"/>
      <c r="KRA85" s="974"/>
      <c r="KRB85" s="974"/>
      <c r="KRC85" s="974"/>
      <c r="KRD85" s="974"/>
      <c r="KRE85" s="974"/>
      <c r="KRF85" s="974"/>
      <c r="KRG85" s="974"/>
      <c r="KRH85" s="974"/>
      <c r="KRI85" s="974"/>
      <c r="KRJ85" s="974"/>
      <c r="KRK85" s="974"/>
      <c r="KRL85" s="974"/>
      <c r="KRM85" s="974"/>
      <c r="KRN85" s="974"/>
      <c r="KRO85" s="974"/>
      <c r="KRP85" s="974"/>
      <c r="KRQ85" s="974"/>
      <c r="KRR85" s="974"/>
      <c r="KRS85" s="974"/>
      <c r="KRT85" s="974"/>
      <c r="KRU85" s="974"/>
      <c r="KRV85" s="974"/>
      <c r="KRW85" s="974"/>
      <c r="KRX85" s="974"/>
      <c r="KRY85" s="974"/>
      <c r="KRZ85" s="974"/>
      <c r="KSA85" s="974"/>
      <c r="KSB85" s="974"/>
      <c r="KSC85" s="974"/>
      <c r="KSD85" s="974"/>
      <c r="KSE85" s="974"/>
      <c r="KSF85" s="974"/>
      <c r="KSG85" s="974"/>
      <c r="KSH85" s="974"/>
      <c r="KSI85" s="974"/>
      <c r="KSJ85" s="974"/>
      <c r="KSK85" s="974"/>
      <c r="KSL85" s="974"/>
      <c r="KSM85" s="974"/>
      <c r="KSN85" s="974"/>
      <c r="KSO85" s="974"/>
      <c r="KSP85" s="974"/>
      <c r="KSQ85" s="974"/>
      <c r="KSR85" s="974"/>
      <c r="KSS85" s="974"/>
      <c r="KST85" s="974"/>
      <c r="KSU85" s="974"/>
      <c r="KSV85" s="974"/>
      <c r="KSW85" s="974"/>
      <c r="KSX85" s="974"/>
      <c r="KSY85" s="974"/>
      <c r="KSZ85" s="974"/>
      <c r="KTA85" s="974"/>
      <c r="KTB85" s="974"/>
      <c r="KTC85" s="974"/>
      <c r="KTD85" s="974"/>
      <c r="KTE85" s="974"/>
      <c r="KTF85" s="974"/>
      <c r="KTG85" s="974"/>
      <c r="KTH85" s="974"/>
      <c r="KTI85" s="974"/>
      <c r="KTJ85" s="974"/>
      <c r="KTK85" s="974"/>
      <c r="KTL85" s="974"/>
      <c r="KTM85" s="974"/>
      <c r="KTN85" s="974"/>
      <c r="KTO85" s="974"/>
      <c r="KTP85" s="974"/>
      <c r="KTQ85" s="974"/>
      <c r="KTR85" s="974"/>
      <c r="KTS85" s="974"/>
      <c r="KTT85" s="974"/>
      <c r="KTU85" s="974"/>
      <c r="KTV85" s="974"/>
      <c r="KTW85" s="974"/>
      <c r="KTX85" s="974"/>
      <c r="KTY85" s="974"/>
      <c r="KTZ85" s="974"/>
      <c r="KUA85" s="974"/>
      <c r="KUB85" s="974"/>
      <c r="KUC85" s="974"/>
      <c r="KUD85" s="974"/>
      <c r="KUE85" s="974"/>
      <c r="KUF85" s="974"/>
      <c r="KUG85" s="974"/>
      <c r="KUH85" s="974"/>
      <c r="KUI85" s="974"/>
      <c r="KUJ85" s="974"/>
      <c r="KUK85" s="974"/>
      <c r="KUL85" s="974"/>
      <c r="KUM85" s="974"/>
      <c r="KUN85" s="974"/>
      <c r="KUO85" s="974"/>
      <c r="KUP85" s="974"/>
      <c r="KUQ85" s="974"/>
      <c r="KUR85" s="974"/>
      <c r="KUS85" s="974"/>
      <c r="KUT85" s="974"/>
      <c r="KUU85" s="974"/>
      <c r="KUV85" s="974"/>
      <c r="KUW85" s="974"/>
      <c r="KUX85" s="974"/>
      <c r="KUY85" s="974"/>
      <c r="KUZ85" s="974"/>
      <c r="KVA85" s="974"/>
      <c r="KVB85" s="974"/>
      <c r="KVC85" s="974"/>
      <c r="KVD85" s="974"/>
      <c r="KVE85" s="974"/>
      <c r="KVF85" s="974"/>
      <c r="KVG85" s="974"/>
      <c r="KVH85" s="974"/>
      <c r="KVI85" s="974"/>
      <c r="KVJ85" s="974"/>
      <c r="KVK85" s="974"/>
      <c r="KVL85" s="974"/>
      <c r="KVM85" s="974"/>
      <c r="KVN85" s="974"/>
      <c r="KVO85" s="974"/>
      <c r="KVP85" s="974"/>
      <c r="KVQ85" s="974"/>
      <c r="KVR85" s="974"/>
      <c r="KVS85" s="974"/>
      <c r="KVT85" s="974"/>
      <c r="KVU85" s="974"/>
      <c r="KVV85" s="974"/>
      <c r="KVW85" s="974"/>
      <c r="KVX85" s="974"/>
      <c r="KVY85" s="974"/>
      <c r="KVZ85" s="974"/>
      <c r="KWA85" s="974"/>
      <c r="KWB85" s="974"/>
      <c r="KWC85" s="974"/>
      <c r="KWD85" s="974"/>
      <c r="KWE85" s="974"/>
      <c r="KWF85" s="974"/>
      <c r="KWG85" s="974"/>
      <c r="KWH85" s="974"/>
      <c r="KWI85" s="974"/>
      <c r="KWJ85" s="974"/>
      <c r="KWK85" s="974"/>
      <c r="KWL85" s="974"/>
      <c r="KWM85" s="974"/>
      <c r="KWN85" s="974"/>
      <c r="KWO85" s="974"/>
      <c r="KWP85" s="974"/>
      <c r="KWQ85" s="974"/>
      <c r="KWR85" s="974"/>
      <c r="KWS85" s="974"/>
      <c r="KWT85" s="974"/>
      <c r="KWU85" s="974"/>
      <c r="KWV85" s="974"/>
      <c r="KWW85" s="974"/>
      <c r="KWX85" s="974"/>
      <c r="KWY85" s="974"/>
      <c r="KWZ85" s="974"/>
      <c r="KXA85" s="974"/>
      <c r="KXB85" s="974"/>
      <c r="KXC85" s="974"/>
      <c r="KXD85" s="974"/>
      <c r="KXE85" s="974"/>
      <c r="KXF85" s="974"/>
      <c r="KXG85" s="974"/>
      <c r="KXH85" s="974"/>
      <c r="KXI85" s="974"/>
      <c r="KXJ85" s="974"/>
      <c r="KXK85" s="974"/>
      <c r="KXL85" s="974"/>
      <c r="KXM85" s="974"/>
      <c r="KXN85" s="974"/>
      <c r="KXO85" s="974"/>
      <c r="KXP85" s="974"/>
      <c r="KXQ85" s="974"/>
      <c r="KXR85" s="974"/>
      <c r="KXS85" s="974"/>
      <c r="KXT85" s="974"/>
      <c r="KXU85" s="974"/>
      <c r="KXV85" s="974"/>
      <c r="KXW85" s="974"/>
      <c r="KXX85" s="974"/>
      <c r="KXY85" s="974"/>
      <c r="KXZ85" s="974"/>
      <c r="KYA85" s="974"/>
      <c r="KYB85" s="974"/>
      <c r="KYC85" s="974"/>
      <c r="KYD85" s="974"/>
      <c r="KYE85" s="974"/>
      <c r="KYF85" s="974"/>
      <c r="KYG85" s="974"/>
      <c r="KYH85" s="974"/>
      <c r="KYI85" s="974"/>
      <c r="KYJ85" s="974"/>
      <c r="KYK85" s="974"/>
      <c r="KYL85" s="974"/>
      <c r="KYM85" s="974"/>
      <c r="KYN85" s="974"/>
      <c r="KYO85" s="974"/>
      <c r="KYP85" s="974"/>
      <c r="KYQ85" s="974"/>
      <c r="KYR85" s="974"/>
      <c r="KYS85" s="974"/>
      <c r="KYT85" s="974"/>
      <c r="KYU85" s="974"/>
      <c r="KYV85" s="974"/>
      <c r="KYW85" s="974"/>
      <c r="KYX85" s="974"/>
      <c r="KYY85" s="974"/>
      <c r="KYZ85" s="974"/>
      <c r="KZA85" s="974"/>
      <c r="KZB85" s="974"/>
      <c r="KZC85" s="974"/>
      <c r="KZD85" s="974"/>
      <c r="KZE85" s="974"/>
      <c r="KZF85" s="974"/>
      <c r="KZG85" s="974"/>
      <c r="KZH85" s="974"/>
      <c r="KZI85" s="974"/>
      <c r="KZJ85" s="974"/>
      <c r="KZK85" s="974"/>
      <c r="KZL85" s="974"/>
      <c r="KZM85" s="974"/>
      <c r="KZN85" s="974"/>
      <c r="KZO85" s="974"/>
      <c r="KZP85" s="974"/>
      <c r="KZQ85" s="974"/>
      <c r="KZR85" s="974"/>
      <c r="KZS85" s="974"/>
      <c r="KZT85" s="974"/>
      <c r="KZU85" s="974"/>
      <c r="KZV85" s="974"/>
      <c r="KZW85" s="974"/>
      <c r="KZX85" s="974"/>
      <c r="KZY85" s="974"/>
      <c r="KZZ85" s="974"/>
      <c r="LAA85" s="974"/>
      <c r="LAB85" s="974"/>
      <c r="LAC85" s="974"/>
      <c r="LAD85" s="974"/>
      <c r="LAE85" s="974"/>
      <c r="LAF85" s="974"/>
      <c r="LAG85" s="974"/>
      <c r="LAH85" s="974"/>
      <c r="LAI85" s="974"/>
      <c r="LAJ85" s="974"/>
      <c r="LAK85" s="974"/>
      <c r="LAL85" s="974"/>
      <c r="LAM85" s="974"/>
      <c r="LAN85" s="974"/>
      <c r="LAO85" s="974"/>
      <c r="LAP85" s="974"/>
      <c r="LAQ85" s="974"/>
      <c r="LAR85" s="974"/>
      <c r="LAS85" s="974"/>
      <c r="LAT85" s="974"/>
      <c r="LAU85" s="974"/>
      <c r="LAV85" s="974"/>
      <c r="LAW85" s="974"/>
      <c r="LAX85" s="974"/>
      <c r="LAY85" s="974"/>
      <c r="LAZ85" s="974"/>
      <c r="LBA85" s="974"/>
      <c r="LBB85" s="974"/>
      <c r="LBC85" s="974"/>
      <c r="LBD85" s="974"/>
      <c r="LBE85" s="974"/>
      <c r="LBF85" s="974"/>
      <c r="LBG85" s="974"/>
      <c r="LBH85" s="974"/>
      <c r="LBI85" s="974"/>
      <c r="LBJ85" s="974"/>
      <c r="LBK85" s="974"/>
      <c r="LBL85" s="974"/>
      <c r="LBM85" s="974"/>
      <c r="LBN85" s="974"/>
      <c r="LBO85" s="974"/>
      <c r="LBP85" s="974"/>
      <c r="LBQ85" s="974"/>
      <c r="LBR85" s="974"/>
      <c r="LBS85" s="974"/>
      <c r="LBT85" s="974"/>
      <c r="LBU85" s="974"/>
      <c r="LBV85" s="974"/>
      <c r="LBW85" s="974"/>
      <c r="LBX85" s="974"/>
      <c r="LBY85" s="974"/>
      <c r="LBZ85" s="974"/>
      <c r="LCA85" s="974"/>
      <c r="LCB85" s="974"/>
      <c r="LCC85" s="974"/>
      <c r="LCD85" s="974"/>
      <c r="LCE85" s="974"/>
      <c r="LCF85" s="974"/>
      <c r="LCG85" s="974"/>
      <c r="LCH85" s="974"/>
      <c r="LCI85" s="974"/>
      <c r="LCJ85" s="974"/>
      <c r="LCK85" s="974"/>
      <c r="LCL85" s="974"/>
      <c r="LCM85" s="974"/>
      <c r="LCN85" s="974"/>
      <c r="LCO85" s="974"/>
      <c r="LCP85" s="974"/>
      <c r="LCQ85" s="974"/>
      <c r="LCR85" s="974"/>
      <c r="LCS85" s="974"/>
      <c r="LCT85" s="974"/>
      <c r="LCU85" s="974"/>
      <c r="LCV85" s="974"/>
      <c r="LCW85" s="974"/>
      <c r="LCX85" s="974"/>
      <c r="LCY85" s="974"/>
      <c r="LCZ85" s="974"/>
      <c r="LDA85" s="974"/>
      <c r="LDB85" s="974"/>
      <c r="LDC85" s="974"/>
      <c r="LDD85" s="974"/>
      <c r="LDE85" s="974"/>
      <c r="LDF85" s="974"/>
      <c r="LDG85" s="974"/>
      <c r="LDH85" s="974"/>
      <c r="LDI85" s="974"/>
      <c r="LDJ85" s="974"/>
      <c r="LDK85" s="974"/>
      <c r="LDL85" s="974"/>
      <c r="LDM85" s="974"/>
      <c r="LDN85" s="974"/>
      <c r="LDO85" s="974"/>
      <c r="LDP85" s="974"/>
      <c r="LDQ85" s="974"/>
      <c r="LDR85" s="974"/>
      <c r="LDS85" s="974"/>
      <c r="LDT85" s="974"/>
      <c r="LDU85" s="974"/>
      <c r="LDV85" s="974"/>
      <c r="LDW85" s="974"/>
      <c r="LDX85" s="974"/>
      <c r="LDY85" s="974"/>
      <c r="LDZ85" s="974"/>
      <c r="LEA85" s="974"/>
      <c r="LEB85" s="974"/>
      <c r="LEC85" s="974"/>
      <c r="LED85" s="974"/>
      <c r="LEE85" s="974"/>
      <c r="LEF85" s="974"/>
      <c r="LEG85" s="974"/>
      <c r="LEH85" s="974"/>
      <c r="LEI85" s="974"/>
      <c r="LEJ85" s="974"/>
      <c r="LEK85" s="974"/>
      <c r="LEL85" s="974"/>
      <c r="LEM85" s="974"/>
      <c r="LEN85" s="974"/>
      <c r="LEO85" s="974"/>
      <c r="LEP85" s="974"/>
      <c r="LEQ85" s="974"/>
      <c r="LER85" s="974"/>
      <c r="LES85" s="974"/>
      <c r="LET85" s="974"/>
      <c r="LEU85" s="974"/>
      <c r="LEV85" s="974"/>
      <c r="LEW85" s="974"/>
      <c r="LEX85" s="974"/>
      <c r="LEY85" s="974"/>
      <c r="LEZ85" s="974"/>
      <c r="LFA85" s="974"/>
      <c r="LFB85" s="974"/>
      <c r="LFC85" s="974"/>
      <c r="LFD85" s="974"/>
      <c r="LFE85" s="974"/>
      <c r="LFF85" s="974"/>
      <c r="LFG85" s="974"/>
      <c r="LFH85" s="974"/>
      <c r="LFI85" s="974"/>
      <c r="LFJ85" s="974"/>
      <c r="LFK85" s="974"/>
      <c r="LFL85" s="974"/>
      <c r="LFM85" s="974"/>
      <c r="LFN85" s="974"/>
      <c r="LFO85" s="974"/>
      <c r="LFP85" s="974"/>
      <c r="LFQ85" s="974"/>
      <c r="LFR85" s="974"/>
      <c r="LFS85" s="974"/>
      <c r="LFT85" s="974"/>
      <c r="LFU85" s="974"/>
      <c r="LFV85" s="974"/>
      <c r="LFW85" s="974"/>
      <c r="LFX85" s="974"/>
      <c r="LFY85" s="974"/>
      <c r="LFZ85" s="974"/>
      <c r="LGA85" s="974"/>
      <c r="LGB85" s="974"/>
      <c r="LGC85" s="974"/>
      <c r="LGD85" s="974"/>
      <c r="LGE85" s="974"/>
      <c r="LGF85" s="974"/>
      <c r="LGG85" s="974"/>
      <c r="LGH85" s="974"/>
      <c r="LGI85" s="974"/>
      <c r="LGJ85" s="974"/>
      <c r="LGK85" s="974"/>
      <c r="LGL85" s="974"/>
      <c r="LGM85" s="974"/>
      <c r="LGN85" s="974"/>
      <c r="LGO85" s="974"/>
      <c r="LGP85" s="974"/>
      <c r="LGQ85" s="974"/>
      <c r="LGR85" s="974"/>
      <c r="LGS85" s="974"/>
      <c r="LGT85" s="974"/>
      <c r="LGU85" s="974"/>
      <c r="LGV85" s="974"/>
      <c r="LGW85" s="974"/>
      <c r="LGX85" s="974"/>
      <c r="LGY85" s="974"/>
      <c r="LGZ85" s="974"/>
      <c r="LHA85" s="974"/>
      <c r="LHB85" s="974"/>
      <c r="LHC85" s="974"/>
      <c r="LHD85" s="974"/>
      <c r="LHE85" s="974"/>
      <c r="LHF85" s="974"/>
      <c r="LHG85" s="974"/>
      <c r="LHH85" s="974"/>
      <c r="LHI85" s="974"/>
      <c r="LHJ85" s="974"/>
      <c r="LHK85" s="974"/>
      <c r="LHL85" s="974"/>
      <c r="LHM85" s="974"/>
      <c r="LHN85" s="974"/>
      <c r="LHO85" s="974"/>
      <c r="LHP85" s="974"/>
      <c r="LHQ85" s="974"/>
      <c r="LHR85" s="974"/>
      <c r="LHS85" s="974"/>
      <c r="LHT85" s="974"/>
      <c r="LHU85" s="974"/>
      <c r="LHV85" s="974"/>
      <c r="LHW85" s="974"/>
      <c r="LHX85" s="974"/>
      <c r="LHY85" s="974"/>
      <c r="LHZ85" s="974"/>
      <c r="LIA85" s="974"/>
      <c r="LIB85" s="974"/>
      <c r="LIC85" s="974"/>
      <c r="LID85" s="974"/>
      <c r="LIE85" s="974"/>
      <c r="LIF85" s="974"/>
      <c r="LIG85" s="974"/>
      <c r="LIH85" s="974"/>
      <c r="LII85" s="974"/>
      <c r="LIJ85" s="974"/>
      <c r="LIK85" s="974"/>
      <c r="LIL85" s="974"/>
      <c r="LIM85" s="974"/>
      <c r="LIN85" s="974"/>
      <c r="LIO85" s="974"/>
      <c r="LIP85" s="974"/>
      <c r="LIQ85" s="974"/>
      <c r="LIR85" s="974"/>
      <c r="LIS85" s="974"/>
      <c r="LIT85" s="974"/>
      <c r="LIU85" s="974"/>
      <c r="LIV85" s="974"/>
      <c r="LIW85" s="974"/>
      <c r="LIX85" s="974"/>
      <c r="LIY85" s="974"/>
      <c r="LIZ85" s="974"/>
      <c r="LJA85" s="974"/>
      <c r="LJB85" s="974"/>
      <c r="LJC85" s="974"/>
      <c r="LJD85" s="974"/>
      <c r="LJE85" s="974"/>
      <c r="LJF85" s="974"/>
      <c r="LJG85" s="974"/>
      <c r="LJH85" s="974"/>
      <c r="LJI85" s="974"/>
      <c r="LJJ85" s="974"/>
      <c r="LJK85" s="974"/>
      <c r="LJL85" s="974"/>
      <c r="LJM85" s="974"/>
      <c r="LJN85" s="974"/>
      <c r="LJO85" s="974"/>
      <c r="LJP85" s="974"/>
      <c r="LJQ85" s="974"/>
      <c r="LJR85" s="974"/>
      <c r="LJS85" s="974"/>
      <c r="LJT85" s="974"/>
      <c r="LJU85" s="974"/>
      <c r="LJV85" s="974"/>
      <c r="LJW85" s="974"/>
      <c r="LJX85" s="974"/>
      <c r="LJY85" s="974"/>
      <c r="LJZ85" s="974"/>
      <c r="LKA85" s="974"/>
      <c r="LKB85" s="974"/>
      <c r="LKC85" s="974"/>
      <c r="LKD85" s="974"/>
      <c r="LKE85" s="974"/>
      <c r="LKF85" s="974"/>
      <c r="LKG85" s="974"/>
      <c r="LKH85" s="974"/>
      <c r="LKI85" s="974"/>
      <c r="LKJ85" s="974"/>
      <c r="LKK85" s="974"/>
      <c r="LKL85" s="974"/>
      <c r="LKM85" s="974"/>
      <c r="LKN85" s="974"/>
      <c r="LKO85" s="974"/>
      <c r="LKP85" s="974"/>
      <c r="LKQ85" s="974"/>
      <c r="LKR85" s="974"/>
      <c r="LKS85" s="974"/>
      <c r="LKT85" s="974"/>
      <c r="LKU85" s="974"/>
      <c r="LKV85" s="974"/>
      <c r="LKW85" s="974"/>
      <c r="LKX85" s="974"/>
      <c r="LKY85" s="974"/>
      <c r="LKZ85" s="974"/>
      <c r="LLA85" s="974"/>
      <c r="LLB85" s="974"/>
      <c r="LLC85" s="974"/>
      <c r="LLD85" s="974"/>
      <c r="LLE85" s="974"/>
      <c r="LLF85" s="974"/>
      <c r="LLG85" s="974"/>
      <c r="LLH85" s="974"/>
      <c r="LLI85" s="974"/>
      <c r="LLJ85" s="974"/>
      <c r="LLK85" s="974"/>
      <c r="LLL85" s="974"/>
      <c r="LLM85" s="974"/>
      <c r="LLN85" s="974"/>
      <c r="LLO85" s="974"/>
      <c r="LLP85" s="974"/>
      <c r="LLQ85" s="974"/>
      <c r="LLR85" s="974"/>
      <c r="LLS85" s="974"/>
      <c r="LLT85" s="974"/>
      <c r="LLU85" s="974"/>
      <c r="LLV85" s="974"/>
      <c r="LLW85" s="974"/>
      <c r="LLX85" s="974"/>
      <c r="LLY85" s="974"/>
      <c r="LLZ85" s="974"/>
      <c r="LMA85" s="974"/>
      <c r="LMB85" s="974"/>
      <c r="LMC85" s="974"/>
      <c r="LMD85" s="974"/>
      <c r="LME85" s="974"/>
      <c r="LMF85" s="974"/>
      <c r="LMG85" s="974"/>
      <c r="LMH85" s="974"/>
      <c r="LMI85" s="974"/>
      <c r="LMJ85" s="974"/>
      <c r="LMK85" s="974"/>
      <c r="LML85" s="974"/>
      <c r="LMM85" s="974"/>
      <c r="LMN85" s="974"/>
      <c r="LMO85" s="974"/>
      <c r="LMP85" s="974"/>
      <c r="LMQ85" s="974"/>
      <c r="LMR85" s="974"/>
      <c r="LMS85" s="974"/>
      <c r="LMT85" s="974"/>
      <c r="LMU85" s="974"/>
      <c r="LMV85" s="974"/>
      <c r="LMW85" s="974"/>
      <c r="LMX85" s="974"/>
      <c r="LMY85" s="974"/>
      <c r="LMZ85" s="974"/>
      <c r="LNA85" s="974"/>
      <c r="LNB85" s="974"/>
      <c r="LNC85" s="974"/>
      <c r="LND85" s="974"/>
      <c r="LNE85" s="974"/>
      <c r="LNF85" s="974"/>
      <c r="LNG85" s="974"/>
      <c r="LNH85" s="974"/>
      <c r="LNI85" s="974"/>
      <c r="LNJ85" s="974"/>
      <c r="LNK85" s="974"/>
      <c r="LNL85" s="974"/>
      <c r="LNM85" s="974"/>
      <c r="LNN85" s="974"/>
      <c r="LNO85" s="974"/>
      <c r="LNP85" s="974"/>
      <c r="LNQ85" s="974"/>
      <c r="LNR85" s="974"/>
      <c r="LNS85" s="974"/>
      <c r="LNT85" s="974"/>
      <c r="LNU85" s="974"/>
      <c r="LNV85" s="974"/>
      <c r="LNW85" s="974"/>
      <c r="LNX85" s="974"/>
      <c r="LNY85" s="974"/>
      <c r="LNZ85" s="974"/>
      <c r="LOA85" s="974"/>
      <c r="LOB85" s="974"/>
      <c r="LOC85" s="974"/>
      <c r="LOD85" s="974"/>
      <c r="LOE85" s="974"/>
      <c r="LOF85" s="974"/>
      <c r="LOG85" s="974"/>
      <c r="LOH85" s="974"/>
      <c r="LOI85" s="974"/>
      <c r="LOJ85" s="974"/>
      <c r="LOK85" s="974"/>
      <c r="LOL85" s="974"/>
      <c r="LOM85" s="974"/>
      <c r="LON85" s="974"/>
      <c r="LOO85" s="974"/>
      <c r="LOP85" s="974"/>
      <c r="LOQ85" s="974"/>
      <c r="LOR85" s="974"/>
      <c r="LOS85" s="974"/>
      <c r="LOT85" s="974"/>
      <c r="LOU85" s="974"/>
      <c r="LOV85" s="974"/>
      <c r="LOW85" s="974"/>
      <c r="LOX85" s="974"/>
      <c r="LOY85" s="974"/>
      <c r="LOZ85" s="974"/>
      <c r="LPA85" s="974"/>
      <c r="LPB85" s="974"/>
      <c r="LPC85" s="974"/>
      <c r="LPD85" s="974"/>
      <c r="LPE85" s="974"/>
      <c r="LPF85" s="974"/>
      <c r="LPG85" s="974"/>
      <c r="LPH85" s="974"/>
      <c r="LPI85" s="974"/>
      <c r="LPJ85" s="974"/>
      <c r="LPK85" s="974"/>
      <c r="LPL85" s="974"/>
      <c r="LPM85" s="974"/>
      <c r="LPN85" s="974"/>
      <c r="LPO85" s="974"/>
      <c r="LPP85" s="974"/>
      <c r="LPQ85" s="974"/>
      <c r="LPR85" s="974"/>
      <c r="LPS85" s="974"/>
      <c r="LPT85" s="974"/>
      <c r="LPU85" s="974"/>
      <c r="LPV85" s="974"/>
      <c r="LPW85" s="974"/>
      <c r="LPX85" s="974"/>
      <c r="LPY85" s="974"/>
      <c r="LPZ85" s="974"/>
      <c r="LQA85" s="974"/>
      <c r="LQB85" s="974"/>
      <c r="LQC85" s="974"/>
      <c r="LQD85" s="974"/>
      <c r="LQE85" s="974"/>
      <c r="LQF85" s="974"/>
      <c r="LQG85" s="974"/>
      <c r="LQH85" s="974"/>
      <c r="LQI85" s="974"/>
      <c r="LQJ85" s="974"/>
      <c r="LQK85" s="974"/>
      <c r="LQL85" s="974"/>
      <c r="LQM85" s="974"/>
      <c r="LQN85" s="974"/>
      <c r="LQO85" s="974"/>
      <c r="LQP85" s="974"/>
      <c r="LQQ85" s="974"/>
      <c r="LQR85" s="974"/>
      <c r="LQS85" s="974"/>
      <c r="LQT85" s="974"/>
      <c r="LQU85" s="974"/>
      <c r="LQV85" s="974"/>
      <c r="LQW85" s="974"/>
      <c r="LQX85" s="974"/>
      <c r="LQY85" s="974"/>
      <c r="LQZ85" s="974"/>
      <c r="LRA85" s="974"/>
      <c r="LRB85" s="974"/>
      <c r="LRC85" s="974"/>
      <c r="LRD85" s="974"/>
      <c r="LRE85" s="974"/>
      <c r="LRF85" s="974"/>
      <c r="LRG85" s="974"/>
      <c r="LRH85" s="974"/>
      <c r="LRI85" s="974"/>
      <c r="LRJ85" s="974"/>
      <c r="LRK85" s="974"/>
      <c r="LRL85" s="974"/>
      <c r="LRM85" s="974"/>
      <c r="LRN85" s="974"/>
      <c r="LRO85" s="974"/>
      <c r="LRP85" s="974"/>
      <c r="LRQ85" s="974"/>
      <c r="LRR85" s="974"/>
      <c r="LRS85" s="974"/>
      <c r="LRT85" s="974"/>
      <c r="LRU85" s="974"/>
      <c r="LRV85" s="974"/>
      <c r="LRW85" s="974"/>
      <c r="LRX85" s="974"/>
      <c r="LRY85" s="974"/>
      <c r="LRZ85" s="974"/>
      <c r="LSA85" s="974"/>
      <c r="LSB85" s="974"/>
      <c r="LSC85" s="974"/>
      <c r="LSD85" s="974"/>
      <c r="LSE85" s="974"/>
      <c r="LSF85" s="974"/>
      <c r="LSG85" s="974"/>
      <c r="LSH85" s="974"/>
      <c r="LSI85" s="974"/>
      <c r="LSJ85" s="974"/>
      <c r="LSK85" s="974"/>
      <c r="LSL85" s="974"/>
      <c r="LSM85" s="974"/>
      <c r="LSN85" s="974"/>
      <c r="LSO85" s="974"/>
      <c r="LSP85" s="974"/>
      <c r="LSQ85" s="974"/>
      <c r="LSR85" s="974"/>
      <c r="LSS85" s="974"/>
      <c r="LST85" s="974"/>
      <c r="LSU85" s="974"/>
      <c r="LSV85" s="974"/>
      <c r="LSW85" s="974"/>
      <c r="LSX85" s="974"/>
      <c r="LSY85" s="974"/>
      <c r="LSZ85" s="974"/>
      <c r="LTA85" s="974"/>
      <c r="LTB85" s="974"/>
      <c r="LTC85" s="974"/>
      <c r="LTD85" s="974"/>
      <c r="LTE85" s="974"/>
      <c r="LTF85" s="974"/>
      <c r="LTG85" s="974"/>
      <c r="LTH85" s="974"/>
      <c r="LTI85" s="974"/>
      <c r="LTJ85" s="974"/>
      <c r="LTK85" s="974"/>
      <c r="LTL85" s="974"/>
      <c r="LTM85" s="974"/>
      <c r="LTN85" s="974"/>
      <c r="LTO85" s="974"/>
      <c r="LTP85" s="974"/>
      <c r="LTQ85" s="974"/>
      <c r="LTR85" s="974"/>
      <c r="LTS85" s="974"/>
      <c r="LTT85" s="974"/>
      <c r="LTU85" s="974"/>
      <c r="LTV85" s="974"/>
      <c r="LTW85" s="974"/>
      <c r="LTX85" s="974"/>
      <c r="LTY85" s="974"/>
      <c r="LTZ85" s="974"/>
      <c r="LUA85" s="974"/>
      <c r="LUB85" s="974"/>
      <c r="LUC85" s="974"/>
      <c r="LUD85" s="974"/>
      <c r="LUE85" s="974"/>
      <c r="LUF85" s="974"/>
      <c r="LUG85" s="974"/>
      <c r="LUH85" s="974"/>
      <c r="LUI85" s="974"/>
      <c r="LUJ85" s="974"/>
      <c r="LUK85" s="974"/>
      <c r="LUL85" s="974"/>
      <c r="LUM85" s="974"/>
      <c r="LUN85" s="974"/>
      <c r="LUO85" s="974"/>
      <c r="LUP85" s="974"/>
      <c r="LUQ85" s="974"/>
      <c r="LUR85" s="974"/>
      <c r="LUS85" s="974"/>
      <c r="LUT85" s="974"/>
      <c r="LUU85" s="974"/>
      <c r="LUV85" s="974"/>
      <c r="LUW85" s="974"/>
      <c r="LUX85" s="974"/>
      <c r="LUY85" s="974"/>
      <c r="LUZ85" s="974"/>
      <c r="LVA85" s="974"/>
      <c r="LVB85" s="974"/>
      <c r="LVC85" s="974"/>
      <c r="LVD85" s="974"/>
      <c r="LVE85" s="974"/>
      <c r="LVF85" s="974"/>
      <c r="LVG85" s="974"/>
      <c r="LVH85" s="974"/>
      <c r="LVI85" s="974"/>
      <c r="LVJ85" s="974"/>
      <c r="LVK85" s="974"/>
      <c r="LVL85" s="974"/>
      <c r="LVM85" s="974"/>
      <c r="LVN85" s="974"/>
      <c r="LVO85" s="974"/>
      <c r="LVP85" s="974"/>
      <c r="LVQ85" s="974"/>
      <c r="LVR85" s="974"/>
      <c r="LVS85" s="974"/>
      <c r="LVT85" s="974"/>
      <c r="LVU85" s="974"/>
      <c r="LVV85" s="974"/>
      <c r="LVW85" s="974"/>
      <c r="LVX85" s="974"/>
      <c r="LVY85" s="974"/>
      <c r="LVZ85" s="974"/>
      <c r="LWA85" s="974"/>
      <c r="LWB85" s="974"/>
      <c r="LWC85" s="974"/>
      <c r="LWD85" s="974"/>
      <c r="LWE85" s="974"/>
      <c r="LWF85" s="974"/>
      <c r="LWG85" s="974"/>
      <c r="LWH85" s="974"/>
      <c r="LWI85" s="974"/>
      <c r="LWJ85" s="974"/>
      <c r="LWK85" s="974"/>
      <c r="LWL85" s="974"/>
      <c r="LWM85" s="974"/>
      <c r="LWN85" s="974"/>
      <c r="LWO85" s="974"/>
      <c r="LWP85" s="974"/>
      <c r="LWQ85" s="974"/>
      <c r="LWR85" s="974"/>
      <c r="LWS85" s="974"/>
      <c r="LWT85" s="974"/>
      <c r="LWU85" s="974"/>
      <c r="LWV85" s="974"/>
      <c r="LWW85" s="974"/>
      <c r="LWX85" s="974"/>
      <c r="LWY85" s="974"/>
      <c r="LWZ85" s="974"/>
      <c r="LXA85" s="974"/>
      <c r="LXB85" s="974"/>
      <c r="LXC85" s="974"/>
      <c r="LXD85" s="974"/>
      <c r="LXE85" s="974"/>
      <c r="LXF85" s="974"/>
      <c r="LXG85" s="974"/>
      <c r="LXH85" s="974"/>
      <c r="LXI85" s="974"/>
      <c r="LXJ85" s="974"/>
      <c r="LXK85" s="974"/>
      <c r="LXL85" s="974"/>
      <c r="LXM85" s="974"/>
      <c r="LXN85" s="974"/>
      <c r="LXO85" s="974"/>
      <c r="LXP85" s="974"/>
      <c r="LXQ85" s="974"/>
      <c r="LXR85" s="974"/>
      <c r="LXS85" s="974"/>
      <c r="LXT85" s="974"/>
      <c r="LXU85" s="974"/>
      <c r="LXV85" s="974"/>
      <c r="LXW85" s="974"/>
      <c r="LXX85" s="974"/>
      <c r="LXY85" s="974"/>
      <c r="LXZ85" s="974"/>
      <c r="LYA85" s="974"/>
      <c r="LYB85" s="974"/>
      <c r="LYC85" s="974"/>
      <c r="LYD85" s="974"/>
      <c r="LYE85" s="974"/>
      <c r="LYF85" s="974"/>
      <c r="LYG85" s="974"/>
      <c r="LYH85" s="974"/>
      <c r="LYI85" s="974"/>
      <c r="LYJ85" s="974"/>
      <c r="LYK85" s="974"/>
      <c r="LYL85" s="974"/>
      <c r="LYM85" s="974"/>
      <c r="LYN85" s="974"/>
      <c r="LYO85" s="974"/>
      <c r="LYP85" s="974"/>
      <c r="LYQ85" s="974"/>
      <c r="LYR85" s="974"/>
      <c r="LYS85" s="974"/>
      <c r="LYT85" s="974"/>
      <c r="LYU85" s="974"/>
      <c r="LYV85" s="974"/>
      <c r="LYW85" s="974"/>
      <c r="LYX85" s="974"/>
      <c r="LYY85" s="974"/>
      <c r="LYZ85" s="974"/>
      <c r="LZA85" s="974"/>
      <c r="LZB85" s="974"/>
      <c r="LZC85" s="974"/>
      <c r="LZD85" s="974"/>
      <c r="LZE85" s="974"/>
      <c r="LZF85" s="974"/>
      <c r="LZG85" s="974"/>
      <c r="LZH85" s="974"/>
      <c r="LZI85" s="974"/>
      <c r="LZJ85" s="974"/>
      <c r="LZK85" s="974"/>
      <c r="LZL85" s="974"/>
      <c r="LZM85" s="974"/>
      <c r="LZN85" s="974"/>
      <c r="LZO85" s="974"/>
      <c r="LZP85" s="974"/>
      <c r="LZQ85" s="974"/>
      <c r="LZR85" s="974"/>
      <c r="LZS85" s="974"/>
      <c r="LZT85" s="974"/>
      <c r="LZU85" s="974"/>
      <c r="LZV85" s="974"/>
      <c r="LZW85" s="974"/>
      <c r="LZX85" s="974"/>
      <c r="LZY85" s="974"/>
      <c r="LZZ85" s="974"/>
      <c r="MAA85" s="974"/>
      <c r="MAB85" s="974"/>
      <c r="MAC85" s="974"/>
      <c r="MAD85" s="974"/>
      <c r="MAE85" s="974"/>
      <c r="MAF85" s="974"/>
      <c r="MAG85" s="974"/>
      <c r="MAH85" s="974"/>
      <c r="MAI85" s="974"/>
      <c r="MAJ85" s="974"/>
      <c r="MAK85" s="974"/>
      <c r="MAL85" s="974"/>
      <c r="MAM85" s="974"/>
      <c r="MAN85" s="974"/>
      <c r="MAO85" s="974"/>
      <c r="MAP85" s="974"/>
      <c r="MAQ85" s="974"/>
      <c r="MAR85" s="974"/>
      <c r="MAS85" s="974"/>
      <c r="MAT85" s="974"/>
      <c r="MAU85" s="974"/>
      <c r="MAV85" s="974"/>
      <c r="MAW85" s="974"/>
      <c r="MAX85" s="974"/>
      <c r="MAY85" s="974"/>
      <c r="MAZ85" s="974"/>
      <c r="MBA85" s="974"/>
      <c r="MBB85" s="974"/>
      <c r="MBC85" s="974"/>
      <c r="MBD85" s="974"/>
      <c r="MBE85" s="974"/>
      <c r="MBF85" s="974"/>
      <c r="MBG85" s="974"/>
      <c r="MBH85" s="974"/>
      <c r="MBI85" s="974"/>
      <c r="MBJ85" s="974"/>
      <c r="MBK85" s="974"/>
      <c r="MBL85" s="974"/>
      <c r="MBM85" s="974"/>
      <c r="MBN85" s="974"/>
      <c r="MBO85" s="974"/>
      <c r="MBP85" s="974"/>
      <c r="MBQ85" s="974"/>
      <c r="MBR85" s="974"/>
      <c r="MBS85" s="974"/>
      <c r="MBT85" s="974"/>
      <c r="MBU85" s="974"/>
      <c r="MBV85" s="974"/>
      <c r="MBW85" s="974"/>
      <c r="MBX85" s="974"/>
      <c r="MBY85" s="974"/>
      <c r="MBZ85" s="974"/>
      <c r="MCA85" s="974"/>
      <c r="MCB85" s="974"/>
      <c r="MCC85" s="974"/>
      <c r="MCD85" s="974"/>
      <c r="MCE85" s="974"/>
      <c r="MCF85" s="974"/>
      <c r="MCG85" s="974"/>
      <c r="MCH85" s="974"/>
      <c r="MCI85" s="974"/>
      <c r="MCJ85" s="974"/>
      <c r="MCK85" s="974"/>
      <c r="MCL85" s="974"/>
      <c r="MCM85" s="974"/>
      <c r="MCN85" s="974"/>
      <c r="MCO85" s="974"/>
      <c r="MCP85" s="974"/>
      <c r="MCQ85" s="974"/>
      <c r="MCR85" s="974"/>
      <c r="MCS85" s="974"/>
      <c r="MCT85" s="974"/>
      <c r="MCU85" s="974"/>
      <c r="MCV85" s="974"/>
      <c r="MCW85" s="974"/>
      <c r="MCX85" s="974"/>
      <c r="MCY85" s="974"/>
      <c r="MCZ85" s="974"/>
      <c r="MDA85" s="974"/>
      <c r="MDB85" s="974"/>
      <c r="MDC85" s="974"/>
      <c r="MDD85" s="974"/>
      <c r="MDE85" s="974"/>
      <c r="MDF85" s="974"/>
      <c r="MDG85" s="974"/>
      <c r="MDH85" s="974"/>
      <c r="MDI85" s="974"/>
      <c r="MDJ85" s="974"/>
      <c r="MDK85" s="974"/>
      <c r="MDL85" s="974"/>
      <c r="MDM85" s="974"/>
      <c r="MDN85" s="974"/>
      <c r="MDO85" s="974"/>
      <c r="MDP85" s="974"/>
      <c r="MDQ85" s="974"/>
      <c r="MDR85" s="974"/>
      <c r="MDS85" s="974"/>
      <c r="MDT85" s="974"/>
      <c r="MDU85" s="974"/>
      <c r="MDV85" s="974"/>
      <c r="MDW85" s="974"/>
      <c r="MDX85" s="974"/>
      <c r="MDY85" s="974"/>
      <c r="MDZ85" s="974"/>
      <c r="MEA85" s="974"/>
      <c r="MEB85" s="974"/>
      <c r="MEC85" s="974"/>
      <c r="MED85" s="974"/>
      <c r="MEE85" s="974"/>
      <c r="MEF85" s="974"/>
      <c r="MEG85" s="974"/>
      <c r="MEH85" s="974"/>
      <c r="MEI85" s="974"/>
      <c r="MEJ85" s="974"/>
      <c r="MEK85" s="974"/>
      <c r="MEL85" s="974"/>
      <c r="MEM85" s="974"/>
      <c r="MEN85" s="974"/>
      <c r="MEO85" s="974"/>
      <c r="MEP85" s="974"/>
      <c r="MEQ85" s="974"/>
      <c r="MER85" s="974"/>
      <c r="MES85" s="974"/>
      <c r="MET85" s="974"/>
      <c r="MEU85" s="974"/>
      <c r="MEV85" s="974"/>
      <c r="MEW85" s="974"/>
      <c r="MEX85" s="974"/>
      <c r="MEY85" s="974"/>
      <c r="MEZ85" s="974"/>
      <c r="MFA85" s="974"/>
      <c r="MFB85" s="974"/>
      <c r="MFC85" s="974"/>
      <c r="MFD85" s="974"/>
      <c r="MFE85" s="974"/>
      <c r="MFF85" s="974"/>
      <c r="MFG85" s="974"/>
      <c r="MFH85" s="974"/>
      <c r="MFI85" s="974"/>
      <c r="MFJ85" s="974"/>
      <c r="MFK85" s="974"/>
      <c r="MFL85" s="974"/>
      <c r="MFM85" s="974"/>
      <c r="MFN85" s="974"/>
      <c r="MFO85" s="974"/>
      <c r="MFP85" s="974"/>
      <c r="MFQ85" s="974"/>
      <c r="MFR85" s="974"/>
      <c r="MFS85" s="974"/>
      <c r="MFT85" s="974"/>
      <c r="MFU85" s="974"/>
      <c r="MFV85" s="974"/>
      <c r="MFW85" s="974"/>
      <c r="MFX85" s="974"/>
      <c r="MFY85" s="974"/>
      <c r="MFZ85" s="974"/>
      <c r="MGA85" s="974"/>
      <c r="MGB85" s="974"/>
      <c r="MGC85" s="974"/>
      <c r="MGD85" s="974"/>
      <c r="MGE85" s="974"/>
      <c r="MGF85" s="974"/>
      <c r="MGG85" s="974"/>
      <c r="MGH85" s="974"/>
      <c r="MGI85" s="974"/>
      <c r="MGJ85" s="974"/>
      <c r="MGK85" s="974"/>
      <c r="MGL85" s="974"/>
      <c r="MGM85" s="974"/>
      <c r="MGN85" s="974"/>
      <c r="MGO85" s="974"/>
      <c r="MGP85" s="974"/>
      <c r="MGQ85" s="974"/>
      <c r="MGR85" s="974"/>
      <c r="MGS85" s="974"/>
      <c r="MGT85" s="974"/>
      <c r="MGU85" s="974"/>
      <c r="MGV85" s="974"/>
      <c r="MGW85" s="974"/>
      <c r="MGX85" s="974"/>
      <c r="MGY85" s="974"/>
      <c r="MGZ85" s="974"/>
      <c r="MHA85" s="974"/>
      <c r="MHB85" s="974"/>
      <c r="MHC85" s="974"/>
      <c r="MHD85" s="974"/>
      <c r="MHE85" s="974"/>
      <c r="MHF85" s="974"/>
      <c r="MHG85" s="974"/>
      <c r="MHH85" s="974"/>
      <c r="MHI85" s="974"/>
      <c r="MHJ85" s="974"/>
      <c r="MHK85" s="974"/>
      <c r="MHL85" s="974"/>
      <c r="MHM85" s="974"/>
      <c r="MHN85" s="974"/>
      <c r="MHO85" s="974"/>
      <c r="MHP85" s="974"/>
      <c r="MHQ85" s="974"/>
      <c r="MHR85" s="974"/>
      <c r="MHS85" s="974"/>
      <c r="MHT85" s="974"/>
      <c r="MHU85" s="974"/>
      <c r="MHV85" s="974"/>
      <c r="MHW85" s="974"/>
      <c r="MHX85" s="974"/>
      <c r="MHY85" s="974"/>
      <c r="MHZ85" s="974"/>
      <c r="MIA85" s="974"/>
      <c r="MIB85" s="974"/>
      <c r="MIC85" s="974"/>
      <c r="MID85" s="974"/>
      <c r="MIE85" s="974"/>
      <c r="MIF85" s="974"/>
      <c r="MIG85" s="974"/>
      <c r="MIH85" s="974"/>
      <c r="MII85" s="974"/>
      <c r="MIJ85" s="974"/>
      <c r="MIK85" s="974"/>
      <c r="MIL85" s="974"/>
      <c r="MIM85" s="974"/>
      <c r="MIN85" s="974"/>
      <c r="MIO85" s="974"/>
      <c r="MIP85" s="974"/>
      <c r="MIQ85" s="974"/>
      <c r="MIR85" s="974"/>
      <c r="MIS85" s="974"/>
      <c r="MIT85" s="974"/>
      <c r="MIU85" s="974"/>
      <c r="MIV85" s="974"/>
      <c r="MIW85" s="974"/>
      <c r="MIX85" s="974"/>
      <c r="MIY85" s="974"/>
      <c r="MIZ85" s="974"/>
      <c r="MJA85" s="974"/>
      <c r="MJB85" s="974"/>
      <c r="MJC85" s="974"/>
      <c r="MJD85" s="974"/>
      <c r="MJE85" s="974"/>
      <c r="MJF85" s="974"/>
      <c r="MJG85" s="974"/>
      <c r="MJH85" s="974"/>
      <c r="MJI85" s="974"/>
      <c r="MJJ85" s="974"/>
      <c r="MJK85" s="974"/>
      <c r="MJL85" s="974"/>
      <c r="MJM85" s="974"/>
      <c r="MJN85" s="974"/>
      <c r="MJO85" s="974"/>
      <c r="MJP85" s="974"/>
      <c r="MJQ85" s="974"/>
      <c r="MJR85" s="974"/>
      <c r="MJS85" s="974"/>
      <c r="MJT85" s="974"/>
      <c r="MJU85" s="974"/>
      <c r="MJV85" s="974"/>
      <c r="MJW85" s="974"/>
      <c r="MJX85" s="974"/>
      <c r="MJY85" s="974"/>
      <c r="MJZ85" s="974"/>
      <c r="MKA85" s="974"/>
      <c r="MKB85" s="974"/>
      <c r="MKC85" s="974"/>
      <c r="MKD85" s="974"/>
      <c r="MKE85" s="974"/>
      <c r="MKF85" s="974"/>
      <c r="MKG85" s="974"/>
      <c r="MKH85" s="974"/>
      <c r="MKI85" s="974"/>
      <c r="MKJ85" s="974"/>
      <c r="MKK85" s="974"/>
      <c r="MKL85" s="974"/>
      <c r="MKM85" s="974"/>
      <c r="MKN85" s="974"/>
      <c r="MKO85" s="974"/>
      <c r="MKP85" s="974"/>
      <c r="MKQ85" s="974"/>
      <c r="MKR85" s="974"/>
      <c r="MKS85" s="974"/>
      <c r="MKT85" s="974"/>
      <c r="MKU85" s="974"/>
      <c r="MKV85" s="974"/>
      <c r="MKW85" s="974"/>
      <c r="MKX85" s="974"/>
      <c r="MKY85" s="974"/>
      <c r="MKZ85" s="974"/>
      <c r="MLA85" s="974"/>
      <c r="MLB85" s="974"/>
      <c r="MLC85" s="974"/>
      <c r="MLD85" s="974"/>
      <c r="MLE85" s="974"/>
      <c r="MLF85" s="974"/>
      <c r="MLG85" s="974"/>
      <c r="MLH85" s="974"/>
      <c r="MLI85" s="974"/>
      <c r="MLJ85" s="974"/>
      <c r="MLK85" s="974"/>
      <c r="MLL85" s="974"/>
      <c r="MLM85" s="974"/>
      <c r="MLN85" s="974"/>
      <c r="MLO85" s="974"/>
      <c r="MLP85" s="974"/>
      <c r="MLQ85" s="974"/>
      <c r="MLR85" s="974"/>
      <c r="MLS85" s="974"/>
      <c r="MLT85" s="974"/>
      <c r="MLU85" s="974"/>
      <c r="MLV85" s="974"/>
      <c r="MLW85" s="974"/>
      <c r="MLX85" s="974"/>
      <c r="MLY85" s="974"/>
      <c r="MLZ85" s="974"/>
      <c r="MMA85" s="974"/>
      <c r="MMB85" s="974"/>
      <c r="MMC85" s="974"/>
      <c r="MMD85" s="974"/>
      <c r="MME85" s="974"/>
      <c r="MMF85" s="974"/>
      <c r="MMG85" s="974"/>
      <c r="MMH85" s="974"/>
      <c r="MMI85" s="974"/>
      <c r="MMJ85" s="974"/>
      <c r="MMK85" s="974"/>
      <c r="MML85" s="974"/>
      <c r="MMM85" s="974"/>
      <c r="MMN85" s="974"/>
      <c r="MMO85" s="974"/>
      <c r="MMP85" s="974"/>
      <c r="MMQ85" s="974"/>
      <c r="MMR85" s="974"/>
      <c r="MMS85" s="974"/>
      <c r="MMT85" s="974"/>
      <c r="MMU85" s="974"/>
      <c r="MMV85" s="974"/>
      <c r="MMW85" s="974"/>
      <c r="MMX85" s="974"/>
      <c r="MMY85" s="974"/>
      <c r="MMZ85" s="974"/>
      <c r="MNA85" s="974"/>
      <c r="MNB85" s="974"/>
      <c r="MNC85" s="974"/>
      <c r="MND85" s="974"/>
      <c r="MNE85" s="974"/>
      <c r="MNF85" s="974"/>
      <c r="MNG85" s="974"/>
      <c r="MNH85" s="974"/>
      <c r="MNI85" s="974"/>
      <c r="MNJ85" s="974"/>
      <c r="MNK85" s="974"/>
      <c r="MNL85" s="974"/>
      <c r="MNM85" s="974"/>
      <c r="MNN85" s="974"/>
      <c r="MNO85" s="974"/>
      <c r="MNP85" s="974"/>
      <c r="MNQ85" s="974"/>
      <c r="MNR85" s="974"/>
      <c r="MNS85" s="974"/>
      <c r="MNT85" s="974"/>
      <c r="MNU85" s="974"/>
      <c r="MNV85" s="974"/>
      <c r="MNW85" s="974"/>
      <c r="MNX85" s="974"/>
      <c r="MNY85" s="974"/>
      <c r="MNZ85" s="974"/>
      <c r="MOA85" s="974"/>
      <c r="MOB85" s="974"/>
      <c r="MOC85" s="974"/>
      <c r="MOD85" s="974"/>
      <c r="MOE85" s="974"/>
      <c r="MOF85" s="974"/>
      <c r="MOG85" s="974"/>
      <c r="MOH85" s="974"/>
      <c r="MOI85" s="974"/>
      <c r="MOJ85" s="974"/>
      <c r="MOK85" s="974"/>
      <c r="MOL85" s="974"/>
      <c r="MOM85" s="974"/>
      <c r="MON85" s="974"/>
      <c r="MOO85" s="974"/>
      <c r="MOP85" s="974"/>
      <c r="MOQ85" s="974"/>
      <c r="MOR85" s="974"/>
      <c r="MOS85" s="974"/>
      <c r="MOT85" s="974"/>
      <c r="MOU85" s="974"/>
      <c r="MOV85" s="974"/>
      <c r="MOW85" s="974"/>
      <c r="MOX85" s="974"/>
      <c r="MOY85" s="974"/>
      <c r="MOZ85" s="974"/>
      <c r="MPA85" s="974"/>
      <c r="MPB85" s="974"/>
      <c r="MPC85" s="974"/>
      <c r="MPD85" s="974"/>
      <c r="MPE85" s="974"/>
      <c r="MPF85" s="974"/>
      <c r="MPG85" s="974"/>
      <c r="MPH85" s="974"/>
      <c r="MPI85" s="974"/>
      <c r="MPJ85" s="974"/>
      <c r="MPK85" s="974"/>
      <c r="MPL85" s="974"/>
      <c r="MPM85" s="974"/>
      <c r="MPN85" s="974"/>
      <c r="MPO85" s="974"/>
      <c r="MPP85" s="974"/>
      <c r="MPQ85" s="974"/>
      <c r="MPR85" s="974"/>
      <c r="MPS85" s="974"/>
      <c r="MPT85" s="974"/>
      <c r="MPU85" s="974"/>
      <c r="MPV85" s="974"/>
      <c r="MPW85" s="974"/>
      <c r="MPX85" s="974"/>
      <c r="MPY85" s="974"/>
      <c r="MPZ85" s="974"/>
      <c r="MQA85" s="974"/>
      <c r="MQB85" s="974"/>
      <c r="MQC85" s="974"/>
      <c r="MQD85" s="974"/>
      <c r="MQE85" s="974"/>
      <c r="MQF85" s="974"/>
      <c r="MQG85" s="974"/>
      <c r="MQH85" s="974"/>
      <c r="MQI85" s="974"/>
      <c r="MQJ85" s="974"/>
      <c r="MQK85" s="974"/>
      <c r="MQL85" s="974"/>
      <c r="MQM85" s="974"/>
      <c r="MQN85" s="974"/>
      <c r="MQO85" s="974"/>
      <c r="MQP85" s="974"/>
      <c r="MQQ85" s="974"/>
      <c r="MQR85" s="974"/>
      <c r="MQS85" s="974"/>
      <c r="MQT85" s="974"/>
      <c r="MQU85" s="974"/>
      <c r="MQV85" s="974"/>
      <c r="MQW85" s="974"/>
      <c r="MQX85" s="974"/>
      <c r="MQY85" s="974"/>
      <c r="MQZ85" s="974"/>
      <c r="MRA85" s="974"/>
      <c r="MRB85" s="974"/>
      <c r="MRC85" s="974"/>
      <c r="MRD85" s="974"/>
      <c r="MRE85" s="974"/>
      <c r="MRF85" s="974"/>
      <c r="MRG85" s="974"/>
      <c r="MRH85" s="974"/>
      <c r="MRI85" s="974"/>
      <c r="MRJ85" s="974"/>
      <c r="MRK85" s="974"/>
      <c r="MRL85" s="974"/>
      <c r="MRM85" s="974"/>
      <c r="MRN85" s="974"/>
      <c r="MRO85" s="974"/>
      <c r="MRP85" s="974"/>
      <c r="MRQ85" s="974"/>
      <c r="MRR85" s="974"/>
      <c r="MRS85" s="974"/>
      <c r="MRT85" s="974"/>
      <c r="MRU85" s="974"/>
      <c r="MRV85" s="974"/>
      <c r="MRW85" s="974"/>
      <c r="MRX85" s="974"/>
      <c r="MRY85" s="974"/>
      <c r="MRZ85" s="974"/>
      <c r="MSA85" s="974"/>
      <c r="MSB85" s="974"/>
      <c r="MSC85" s="974"/>
      <c r="MSD85" s="974"/>
      <c r="MSE85" s="974"/>
      <c r="MSF85" s="974"/>
      <c r="MSG85" s="974"/>
      <c r="MSH85" s="974"/>
      <c r="MSI85" s="974"/>
      <c r="MSJ85" s="974"/>
      <c r="MSK85" s="974"/>
      <c r="MSL85" s="974"/>
      <c r="MSM85" s="974"/>
      <c r="MSN85" s="974"/>
      <c r="MSO85" s="974"/>
      <c r="MSP85" s="974"/>
      <c r="MSQ85" s="974"/>
      <c r="MSR85" s="974"/>
      <c r="MSS85" s="974"/>
      <c r="MST85" s="974"/>
      <c r="MSU85" s="974"/>
      <c r="MSV85" s="974"/>
      <c r="MSW85" s="974"/>
      <c r="MSX85" s="974"/>
      <c r="MSY85" s="974"/>
      <c r="MSZ85" s="974"/>
      <c r="MTA85" s="974"/>
      <c r="MTB85" s="974"/>
      <c r="MTC85" s="974"/>
      <c r="MTD85" s="974"/>
      <c r="MTE85" s="974"/>
      <c r="MTF85" s="974"/>
      <c r="MTG85" s="974"/>
      <c r="MTH85" s="974"/>
      <c r="MTI85" s="974"/>
      <c r="MTJ85" s="974"/>
      <c r="MTK85" s="974"/>
      <c r="MTL85" s="974"/>
      <c r="MTM85" s="974"/>
      <c r="MTN85" s="974"/>
      <c r="MTO85" s="974"/>
      <c r="MTP85" s="974"/>
      <c r="MTQ85" s="974"/>
      <c r="MTR85" s="974"/>
      <c r="MTS85" s="974"/>
      <c r="MTT85" s="974"/>
      <c r="MTU85" s="974"/>
      <c r="MTV85" s="974"/>
      <c r="MTW85" s="974"/>
      <c r="MTX85" s="974"/>
      <c r="MTY85" s="974"/>
      <c r="MTZ85" s="974"/>
      <c r="MUA85" s="974"/>
      <c r="MUB85" s="974"/>
      <c r="MUC85" s="974"/>
      <c r="MUD85" s="974"/>
      <c r="MUE85" s="974"/>
      <c r="MUF85" s="974"/>
      <c r="MUG85" s="974"/>
      <c r="MUH85" s="974"/>
      <c r="MUI85" s="974"/>
      <c r="MUJ85" s="974"/>
      <c r="MUK85" s="974"/>
      <c r="MUL85" s="974"/>
      <c r="MUM85" s="974"/>
      <c r="MUN85" s="974"/>
      <c r="MUO85" s="974"/>
      <c r="MUP85" s="974"/>
      <c r="MUQ85" s="974"/>
      <c r="MUR85" s="974"/>
      <c r="MUS85" s="974"/>
      <c r="MUT85" s="974"/>
      <c r="MUU85" s="974"/>
      <c r="MUV85" s="974"/>
      <c r="MUW85" s="974"/>
      <c r="MUX85" s="974"/>
      <c r="MUY85" s="974"/>
      <c r="MUZ85" s="974"/>
      <c r="MVA85" s="974"/>
      <c r="MVB85" s="974"/>
      <c r="MVC85" s="974"/>
      <c r="MVD85" s="974"/>
      <c r="MVE85" s="974"/>
      <c r="MVF85" s="974"/>
      <c r="MVG85" s="974"/>
      <c r="MVH85" s="974"/>
      <c r="MVI85" s="974"/>
      <c r="MVJ85" s="974"/>
      <c r="MVK85" s="974"/>
      <c r="MVL85" s="974"/>
      <c r="MVM85" s="974"/>
      <c r="MVN85" s="974"/>
      <c r="MVO85" s="974"/>
      <c r="MVP85" s="974"/>
      <c r="MVQ85" s="974"/>
      <c r="MVR85" s="974"/>
      <c r="MVS85" s="974"/>
      <c r="MVT85" s="974"/>
      <c r="MVU85" s="974"/>
      <c r="MVV85" s="974"/>
      <c r="MVW85" s="974"/>
      <c r="MVX85" s="974"/>
      <c r="MVY85" s="974"/>
      <c r="MVZ85" s="974"/>
      <c r="MWA85" s="974"/>
      <c r="MWB85" s="974"/>
      <c r="MWC85" s="974"/>
      <c r="MWD85" s="974"/>
      <c r="MWE85" s="974"/>
      <c r="MWF85" s="974"/>
      <c r="MWG85" s="974"/>
      <c r="MWH85" s="974"/>
      <c r="MWI85" s="974"/>
      <c r="MWJ85" s="974"/>
      <c r="MWK85" s="974"/>
      <c r="MWL85" s="974"/>
      <c r="MWM85" s="974"/>
      <c r="MWN85" s="974"/>
      <c r="MWO85" s="974"/>
      <c r="MWP85" s="974"/>
      <c r="MWQ85" s="974"/>
      <c r="MWR85" s="974"/>
      <c r="MWS85" s="974"/>
      <c r="MWT85" s="974"/>
      <c r="MWU85" s="974"/>
      <c r="MWV85" s="974"/>
      <c r="MWW85" s="974"/>
      <c r="MWX85" s="974"/>
      <c r="MWY85" s="974"/>
      <c r="MWZ85" s="974"/>
      <c r="MXA85" s="974"/>
      <c r="MXB85" s="974"/>
      <c r="MXC85" s="974"/>
      <c r="MXD85" s="974"/>
      <c r="MXE85" s="974"/>
      <c r="MXF85" s="974"/>
      <c r="MXG85" s="974"/>
      <c r="MXH85" s="974"/>
      <c r="MXI85" s="974"/>
      <c r="MXJ85" s="974"/>
      <c r="MXK85" s="974"/>
      <c r="MXL85" s="974"/>
      <c r="MXM85" s="974"/>
      <c r="MXN85" s="974"/>
      <c r="MXO85" s="974"/>
      <c r="MXP85" s="974"/>
      <c r="MXQ85" s="974"/>
      <c r="MXR85" s="974"/>
      <c r="MXS85" s="974"/>
      <c r="MXT85" s="974"/>
      <c r="MXU85" s="974"/>
      <c r="MXV85" s="974"/>
      <c r="MXW85" s="974"/>
      <c r="MXX85" s="974"/>
      <c r="MXY85" s="974"/>
      <c r="MXZ85" s="974"/>
      <c r="MYA85" s="974"/>
      <c r="MYB85" s="974"/>
      <c r="MYC85" s="974"/>
      <c r="MYD85" s="974"/>
      <c r="MYE85" s="974"/>
      <c r="MYF85" s="974"/>
      <c r="MYG85" s="974"/>
      <c r="MYH85" s="974"/>
      <c r="MYI85" s="974"/>
      <c r="MYJ85" s="974"/>
      <c r="MYK85" s="974"/>
      <c r="MYL85" s="974"/>
      <c r="MYM85" s="974"/>
      <c r="MYN85" s="974"/>
      <c r="MYO85" s="974"/>
      <c r="MYP85" s="974"/>
      <c r="MYQ85" s="974"/>
      <c r="MYR85" s="974"/>
      <c r="MYS85" s="974"/>
      <c r="MYT85" s="974"/>
      <c r="MYU85" s="974"/>
      <c r="MYV85" s="974"/>
      <c r="MYW85" s="974"/>
      <c r="MYX85" s="974"/>
      <c r="MYY85" s="974"/>
      <c r="MYZ85" s="974"/>
      <c r="MZA85" s="974"/>
      <c r="MZB85" s="974"/>
      <c r="MZC85" s="974"/>
      <c r="MZD85" s="974"/>
      <c r="MZE85" s="974"/>
      <c r="MZF85" s="974"/>
      <c r="MZG85" s="974"/>
      <c r="MZH85" s="974"/>
      <c r="MZI85" s="974"/>
      <c r="MZJ85" s="974"/>
      <c r="MZK85" s="974"/>
      <c r="MZL85" s="974"/>
      <c r="MZM85" s="974"/>
      <c r="MZN85" s="974"/>
      <c r="MZO85" s="974"/>
      <c r="MZP85" s="974"/>
      <c r="MZQ85" s="974"/>
      <c r="MZR85" s="974"/>
      <c r="MZS85" s="974"/>
      <c r="MZT85" s="974"/>
      <c r="MZU85" s="974"/>
      <c r="MZV85" s="974"/>
      <c r="MZW85" s="974"/>
      <c r="MZX85" s="974"/>
      <c r="MZY85" s="974"/>
      <c r="MZZ85" s="974"/>
      <c r="NAA85" s="974"/>
      <c r="NAB85" s="974"/>
      <c r="NAC85" s="974"/>
      <c r="NAD85" s="974"/>
      <c r="NAE85" s="974"/>
      <c r="NAF85" s="974"/>
      <c r="NAG85" s="974"/>
      <c r="NAH85" s="974"/>
      <c r="NAI85" s="974"/>
      <c r="NAJ85" s="974"/>
      <c r="NAK85" s="974"/>
      <c r="NAL85" s="974"/>
      <c r="NAM85" s="974"/>
      <c r="NAN85" s="974"/>
      <c r="NAO85" s="974"/>
      <c r="NAP85" s="974"/>
      <c r="NAQ85" s="974"/>
      <c r="NAR85" s="974"/>
      <c r="NAS85" s="974"/>
      <c r="NAT85" s="974"/>
      <c r="NAU85" s="974"/>
      <c r="NAV85" s="974"/>
      <c r="NAW85" s="974"/>
      <c r="NAX85" s="974"/>
      <c r="NAY85" s="974"/>
      <c r="NAZ85" s="974"/>
      <c r="NBA85" s="974"/>
      <c r="NBB85" s="974"/>
      <c r="NBC85" s="974"/>
      <c r="NBD85" s="974"/>
      <c r="NBE85" s="974"/>
      <c r="NBF85" s="974"/>
      <c r="NBG85" s="974"/>
      <c r="NBH85" s="974"/>
      <c r="NBI85" s="974"/>
      <c r="NBJ85" s="974"/>
      <c r="NBK85" s="974"/>
      <c r="NBL85" s="974"/>
      <c r="NBM85" s="974"/>
      <c r="NBN85" s="974"/>
      <c r="NBO85" s="974"/>
      <c r="NBP85" s="974"/>
      <c r="NBQ85" s="974"/>
      <c r="NBR85" s="974"/>
      <c r="NBS85" s="974"/>
      <c r="NBT85" s="974"/>
      <c r="NBU85" s="974"/>
      <c r="NBV85" s="974"/>
      <c r="NBW85" s="974"/>
      <c r="NBX85" s="974"/>
      <c r="NBY85" s="974"/>
      <c r="NBZ85" s="974"/>
      <c r="NCA85" s="974"/>
      <c r="NCB85" s="974"/>
      <c r="NCC85" s="974"/>
      <c r="NCD85" s="974"/>
      <c r="NCE85" s="974"/>
      <c r="NCF85" s="974"/>
      <c r="NCG85" s="974"/>
      <c r="NCH85" s="974"/>
      <c r="NCI85" s="974"/>
      <c r="NCJ85" s="974"/>
      <c r="NCK85" s="974"/>
      <c r="NCL85" s="974"/>
      <c r="NCM85" s="974"/>
      <c r="NCN85" s="974"/>
      <c r="NCO85" s="974"/>
      <c r="NCP85" s="974"/>
      <c r="NCQ85" s="974"/>
      <c r="NCR85" s="974"/>
      <c r="NCS85" s="974"/>
      <c r="NCT85" s="974"/>
      <c r="NCU85" s="974"/>
      <c r="NCV85" s="974"/>
      <c r="NCW85" s="974"/>
      <c r="NCX85" s="974"/>
      <c r="NCY85" s="974"/>
      <c r="NCZ85" s="974"/>
      <c r="NDA85" s="974"/>
      <c r="NDB85" s="974"/>
      <c r="NDC85" s="974"/>
      <c r="NDD85" s="974"/>
      <c r="NDE85" s="974"/>
      <c r="NDF85" s="974"/>
      <c r="NDG85" s="974"/>
      <c r="NDH85" s="974"/>
      <c r="NDI85" s="974"/>
      <c r="NDJ85" s="974"/>
      <c r="NDK85" s="974"/>
      <c r="NDL85" s="974"/>
      <c r="NDM85" s="974"/>
      <c r="NDN85" s="974"/>
      <c r="NDO85" s="974"/>
      <c r="NDP85" s="974"/>
      <c r="NDQ85" s="974"/>
      <c r="NDR85" s="974"/>
      <c r="NDS85" s="974"/>
      <c r="NDT85" s="974"/>
      <c r="NDU85" s="974"/>
      <c r="NDV85" s="974"/>
      <c r="NDW85" s="974"/>
      <c r="NDX85" s="974"/>
      <c r="NDY85" s="974"/>
      <c r="NDZ85" s="974"/>
      <c r="NEA85" s="974"/>
      <c r="NEB85" s="974"/>
      <c r="NEC85" s="974"/>
      <c r="NED85" s="974"/>
      <c r="NEE85" s="974"/>
      <c r="NEF85" s="974"/>
      <c r="NEG85" s="974"/>
      <c r="NEH85" s="974"/>
      <c r="NEI85" s="974"/>
      <c r="NEJ85" s="974"/>
      <c r="NEK85" s="974"/>
      <c r="NEL85" s="974"/>
      <c r="NEM85" s="974"/>
      <c r="NEN85" s="974"/>
      <c r="NEO85" s="974"/>
      <c r="NEP85" s="974"/>
      <c r="NEQ85" s="974"/>
      <c r="NER85" s="974"/>
      <c r="NES85" s="974"/>
      <c r="NET85" s="974"/>
      <c r="NEU85" s="974"/>
      <c r="NEV85" s="974"/>
      <c r="NEW85" s="974"/>
      <c r="NEX85" s="974"/>
      <c r="NEY85" s="974"/>
      <c r="NEZ85" s="974"/>
      <c r="NFA85" s="974"/>
      <c r="NFB85" s="974"/>
      <c r="NFC85" s="974"/>
      <c r="NFD85" s="974"/>
      <c r="NFE85" s="974"/>
      <c r="NFF85" s="974"/>
      <c r="NFG85" s="974"/>
      <c r="NFH85" s="974"/>
      <c r="NFI85" s="974"/>
      <c r="NFJ85" s="974"/>
      <c r="NFK85" s="974"/>
      <c r="NFL85" s="974"/>
      <c r="NFM85" s="974"/>
      <c r="NFN85" s="974"/>
      <c r="NFO85" s="974"/>
      <c r="NFP85" s="974"/>
      <c r="NFQ85" s="974"/>
      <c r="NFR85" s="974"/>
      <c r="NFS85" s="974"/>
      <c r="NFT85" s="974"/>
      <c r="NFU85" s="974"/>
      <c r="NFV85" s="974"/>
      <c r="NFW85" s="974"/>
      <c r="NFX85" s="974"/>
      <c r="NFY85" s="974"/>
      <c r="NFZ85" s="974"/>
      <c r="NGA85" s="974"/>
      <c r="NGB85" s="974"/>
      <c r="NGC85" s="974"/>
      <c r="NGD85" s="974"/>
      <c r="NGE85" s="974"/>
      <c r="NGF85" s="974"/>
      <c r="NGG85" s="974"/>
      <c r="NGH85" s="974"/>
      <c r="NGI85" s="974"/>
      <c r="NGJ85" s="974"/>
      <c r="NGK85" s="974"/>
      <c r="NGL85" s="974"/>
      <c r="NGM85" s="974"/>
      <c r="NGN85" s="974"/>
      <c r="NGO85" s="974"/>
      <c r="NGP85" s="974"/>
      <c r="NGQ85" s="974"/>
      <c r="NGR85" s="974"/>
      <c r="NGS85" s="974"/>
      <c r="NGT85" s="974"/>
      <c r="NGU85" s="974"/>
      <c r="NGV85" s="974"/>
      <c r="NGW85" s="974"/>
      <c r="NGX85" s="974"/>
      <c r="NGY85" s="974"/>
      <c r="NGZ85" s="974"/>
      <c r="NHA85" s="974"/>
      <c r="NHB85" s="974"/>
      <c r="NHC85" s="974"/>
      <c r="NHD85" s="974"/>
      <c r="NHE85" s="974"/>
      <c r="NHF85" s="974"/>
      <c r="NHG85" s="974"/>
      <c r="NHH85" s="974"/>
      <c r="NHI85" s="974"/>
      <c r="NHJ85" s="974"/>
      <c r="NHK85" s="974"/>
      <c r="NHL85" s="974"/>
      <c r="NHM85" s="974"/>
      <c r="NHN85" s="974"/>
      <c r="NHO85" s="974"/>
      <c r="NHP85" s="974"/>
      <c r="NHQ85" s="974"/>
      <c r="NHR85" s="974"/>
      <c r="NHS85" s="974"/>
      <c r="NHT85" s="974"/>
      <c r="NHU85" s="974"/>
      <c r="NHV85" s="974"/>
      <c r="NHW85" s="974"/>
      <c r="NHX85" s="974"/>
      <c r="NHY85" s="974"/>
      <c r="NHZ85" s="974"/>
      <c r="NIA85" s="974"/>
      <c r="NIB85" s="974"/>
      <c r="NIC85" s="974"/>
      <c r="NID85" s="974"/>
      <c r="NIE85" s="974"/>
      <c r="NIF85" s="974"/>
      <c r="NIG85" s="974"/>
      <c r="NIH85" s="974"/>
      <c r="NII85" s="974"/>
      <c r="NIJ85" s="974"/>
      <c r="NIK85" s="974"/>
      <c r="NIL85" s="974"/>
      <c r="NIM85" s="974"/>
      <c r="NIN85" s="974"/>
      <c r="NIO85" s="974"/>
      <c r="NIP85" s="974"/>
      <c r="NIQ85" s="974"/>
      <c r="NIR85" s="974"/>
      <c r="NIS85" s="974"/>
      <c r="NIT85" s="974"/>
      <c r="NIU85" s="974"/>
      <c r="NIV85" s="974"/>
      <c r="NIW85" s="974"/>
      <c r="NIX85" s="974"/>
      <c r="NIY85" s="974"/>
      <c r="NIZ85" s="974"/>
      <c r="NJA85" s="974"/>
      <c r="NJB85" s="974"/>
      <c r="NJC85" s="974"/>
      <c r="NJD85" s="974"/>
      <c r="NJE85" s="974"/>
      <c r="NJF85" s="974"/>
      <c r="NJG85" s="974"/>
      <c r="NJH85" s="974"/>
      <c r="NJI85" s="974"/>
      <c r="NJJ85" s="974"/>
      <c r="NJK85" s="974"/>
      <c r="NJL85" s="974"/>
      <c r="NJM85" s="974"/>
      <c r="NJN85" s="974"/>
      <c r="NJO85" s="974"/>
      <c r="NJP85" s="974"/>
      <c r="NJQ85" s="974"/>
      <c r="NJR85" s="974"/>
      <c r="NJS85" s="974"/>
      <c r="NJT85" s="974"/>
      <c r="NJU85" s="974"/>
      <c r="NJV85" s="974"/>
      <c r="NJW85" s="974"/>
      <c r="NJX85" s="974"/>
      <c r="NJY85" s="974"/>
      <c r="NJZ85" s="974"/>
      <c r="NKA85" s="974"/>
      <c r="NKB85" s="974"/>
      <c r="NKC85" s="974"/>
      <c r="NKD85" s="974"/>
      <c r="NKE85" s="974"/>
      <c r="NKF85" s="974"/>
      <c r="NKG85" s="974"/>
      <c r="NKH85" s="974"/>
      <c r="NKI85" s="974"/>
      <c r="NKJ85" s="974"/>
      <c r="NKK85" s="974"/>
      <c r="NKL85" s="974"/>
      <c r="NKM85" s="974"/>
      <c r="NKN85" s="974"/>
      <c r="NKO85" s="974"/>
      <c r="NKP85" s="974"/>
      <c r="NKQ85" s="974"/>
      <c r="NKR85" s="974"/>
      <c r="NKS85" s="974"/>
      <c r="NKT85" s="974"/>
      <c r="NKU85" s="974"/>
      <c r="NKV85" s="974"/>
      <c r="NKW85" s="974"/>
      <c r="NKX85" s="974"/>
      <c r="NKY85" s="974"/>
      <c r="NKZ85" s="974"/>
      <c r="NLA85" s="974"/>
      <c r="NLB85" s="974"/>
      <c r="NLC85" s="974"/>
      <c r="NLD85" s="974"/>
      <c r="NLE85" s="974"/>
      <c r="NLF85" s="974"/>
      <c r="NLG85" s="974"/>
      <c r="NLH85" s="974"/>
      <c r="NLI85" s="974"/>
      <c r="NLJ85" s="974"/>
      <c r="NLK85" s="974"/>
      <c r="NLL85" s="974"/>
      <c r="NLM85" s="974"/>
      <c r="NLN85" s="974"/>
      <c r="NLO85" s="974"/>
      <c r="NLP85" s="974"/>
      <c r="NLQ85" s="974"/>
      <c r="NLR85" s="974"/>
      <c r="NLS85" s="974"/>
      <c r="NLT85" s="974"/>
      <c r="NLU85" s="974"/>
      <c r="NLV85" s="974"/>
      <c r="NLW85" s="974"/>
      <c r="NLX85" s="974"/>
      <c r="NLY85" s="974"/>
      <c r="NLZ85" s="974"/>
      <c r="NMA85" s="974"/>
      <c r="NMB85" s="974"/>
      <c r="NMC85" s="974"/>
      <c r="NMD85" s="974"/>
      <c r="NME85" s="974"/>
      <c r="NMF85" s="974"/>
      <c r="NMG85" s="974"/>
      <c r="NMH85" s="974"/>
      <c r="NMI85" s="974"/>
      <c r="NMJ85" s="974"/>
      <c r="NMK85" s="974"/>
      <c r="NML85" s="974"/>
      <c r="NMM85" s="974"/>
      <c r="NMN85" s="974"/>
      <c r="NMO85" s="974"/>
      <c r="NMP85" s="974"/>
      <c r="NMQ85" s="974"/>
      <c r="NMR85" s="974"/>
      <c r="NMS85" s="974"/>
      <c r="NMT85" s="974"/>
      <c r="NMU85" s="974"/>
      <c r="NMV85" s="974"/>
      <c r="NMW85" s="974"/>
      <c r="NMX85" s="974"/>
      <c r="NMY85" s="974"/>
      <c r="NMZ85" s="974"/>
      <c r="NNA85" s="974"/>
      <c r="NNB85" s="974"/>
      <c r="NNC85" s="974"/>
      <c r="NND85" s="974"/>
      <c r="NNE85" s="974"/>
      <c r="NNF85" s="974"/>
      <c r="NNG85" s="974"/>
      <c r="NNH85" s="974"/>
      <c r="NNI85" s="974"/>
      <c r="NNJ85" s="974"/>
      <c r="NNK85" s="974"/>
      <c r="NNL85" s="974"/>
      <c r="NNM85" s="974"/>
      <c r="NNN85" s="974"/>
      <c r="NNO85" s="974"/>
      <c r="NNP85" s="974"/>
      <c r="NNQ85" s="974"/>
      <c r="NNR85" s="974"/>
      <c r="NNS85" s="974"/>
      <c r="NNT85" s="974"/>
      <c r="NNU85" s="974"/>
      <c r="NNV85" s="974"/>
      <c r="NNW85" s="974"/>
      <c r="NNX85" s="974"/>
      <c r="NNY85" s="974"/>
      <c r="NNZ85" s="974"/>
      <c r="NOA85" s="974"/>
      <c r="NOB85" s="974"/>
      <c r="NOC85" s="974"/>
      <c r="NOD85" s="974"/>
      <c r="NOE85" s="974"/>
      <c r="NOF85" s="974"/>
      <c r="NOG85" s="974"/>
      <c r="NOH85" s="974"/>
      <c r="NOI85" s="974"/>
      <c r="NOJ85" s="974"/>
      <c r="NOK85" s="974"/>
      <c r="NOL85" s="974"/>
      <c r="NOM85" s="974"/>
      <c r="NON85" s="974"/>
      <c r="NOO85" s="974"/>
      <c r="NOP85" s="974"/>
      <c r="NOQ85" s="974"/>
      <c r="NOR85" s="974"/>
      <c r="NOS85" s="974"/>
      <c r="NOT85" s="974"/>
      <c r="NOU85" s="974"/>
      <c r="NOV85" s="974"/>
      <c r="NOW85" s="974"/>
      <c r="NOX85" s="974"/>
      <c r="NOY85" s="974"/>
      <c r="NOZ85" s="974"/>
      <c r="NPA85" s="974"/>
      <c r="NPB85" s="974"/>
      <c r="NPC85" s="974"/>
      <c r="NPD85" s="974"/>
      <c r="NPE85" s="974"/>
      <c r="NPF85" s="974"/>
      <c r="NPG85" s="974"/>
      <c r="NPH85" s="974"/>
      <c r="NPI85" s="974"/>
      <c r="NPJ85" s="974"/>
      <c r="NPK85" s="974"/>
      <c r="NPL85" s="974"/>
      <c r="NPM85" s="974"/>
      <c r="NPN85" s="974"/>
      <c r="NPO85" s="974"/>
      <c r="NPP85" s="974"/>
      <c r="NPQ85" s="974"/>
      <c r="NPR85" s="974"/>
      <c r="NPS85" s="974"/>
      <c r="NPT85" s="974"/>
      <c r="NPU85" s="974"/>
      <c r="NPV85" s="974"/>
      <c r="NPW85" s="974"/>
      <c r="NPX85" s="974"/>
      <c r="NPY85" s="974"/>
      <c r="NPZ85" s="974"/>
      <c r="NQA85" s="974"/>
      <c r="NQB85" s="974"/>
      <c r="NQC85" s="974"/>
      <c r="NQD85" s="974"/>
      <c r="NQE85" s="974"/>
      <c r="NQF85" s="974"/>
      <c r="NQG85" s="974"/>
      <c r="NQH85" s="974"/>
      <c r="NQI85" s="974"/>
      <c r="NQJ85" s="974"/>
      <c r="NQK85" s="974"/>
      <c r="NQL85" s="974"/>
      <c r="NQM85" s="974"/>
      <c r="NQN85" s="974"/>
      <c r="NQO85" s="974"/>
      <c r="NQP85" s="974"/>
      <c r="NQQ85" s="974"/>
      <c r="NQR85" s="974"/>
      <c r="NQS85" s="974"/>
      <c r="NQT85" s="974"/>
      <c r="NQU85" s="974"/>
      <c r="NQV85" s="974"/>
      <c r="NQW85" s="974"/>
      <c r="NQX85" s="974"/>
      <c r="NQY85" s="974"/>
      <c r="NQZ85" s="974"/>
      <c r="NRA85" s="974"/>
      <c r="NRB85" s="974"/>
      <c r="NRC85" s="974"/>
      <c r="NRD85" s="974"/>
      <c r="NRE85" s="974"/>
      <c r="NRF85" s="974"/>
      <c r="NRG85" s="974"/>
      <c r="NRH85" s="974"/>
      <c r="NRI85" s="974"/>
      <c r="NRJ85" s="974"/>
      <c r="NRK85" s="974"/>
      <c r="NRL85" s="974"/>
      <c r="NRM85" s="974"/>
      <c r="NRN85" s="974"/>
      <c r="NRO85" s="974"/>
      <c r="NRP85" s="974"/>
      <c r="NRQ85" s="974"/>
      <c r="NRR85" s="974"/>
      <c r="NRS85" s="974"/>
      <c r="NRT85" s="974"/>
      <c r="NRU85" s="974"/>
      <c r="NRV85" s="974"/>
      <c r="NRW85" s="974"/>
      <c r="NRX85" s="974"/>
      <c r="NRY85" s="974"/>
      <c r="NRZ85" s="974"/>
      <c r="NSA85" s="974"/>
      <c r="NSB85" s="974"/>
      <c r="NSC85" s="974"/>
      <c r="NSD85" s="974"/>
      <c r="NSE85" s="974"/>
      <c r="NSF85" s="974"/>
      <c r="NSG85" s="974"/>
      <c r="NSH85" s="974"/>
      <c r="NSI85" s="974"/>
      <c r="NSJ85" s="974"/>
      <c r="NSK85" s="974"/>
      <c r="NSL85" s="974"/>
      <c r="NSM85" s="974"/>
      <c r="NSN85" s="974"/>
      <c r="NSO85" s="974"/>
      <c r="NSP85" s="974"/>
      <c r="NSQ85" s="974"/>
      <c r="NSR85" s="974"/>
      <c r="NSS85" s="974"/>
      <c r="NST85" s="974"/>
      <c r="NSU85" s="974"/>
      <c r="NSV85" s="974"/>
      <c r="NSW85" s="974"/>
      <c r="NSX85" s="974"/>
      <c r="NSY85" s="974"/>
      <c r="NSZ85" s="974"/>
      <c r="NTA85" s="974"/>
      <c r="NTB85" s="974"/>
      <c r="NTC85" s="974"/>
      <c r="NTD85" s="974"/>
      <c r="NTE85" s="974"/>
      <c r="NTF85" s="974"/>
      <c r="NTG85" s="974"/>
      <c r="NTH85" s="974"/>
      <c r="NTI85" s="974"/>
      <c r="NTJ85" s="974"/>
      <c r="NTK85" s="974"/>
      <c r="NTL85" s="974"/>
      <c r="NTM85" s="974"/>
      <c r="NTN85" s="974"/>
      <c r="NTO85" s="974"/>
      <c r="NTP85" s="974"/>
      <c r="NTQ85" s="974"/>
      <c r="NTR85" s="974"/>
      <c r="NTS85" s="974"/>
      <c r="NTT85" s="974"/>
      <c r="NTU85" s="974"/>
      <c r="NTV85" s="974"/>
      <c r="NTW85" s="974"/>
      <c r="NTX85" s="974"/>
      <c r="NTY85" s="974"/>
      <c r="NTZ85" s="974"/>
      <c r="NUA85" s="974"/>
      <c r="NUB85" s="974"/>
      <c r="NUC85" s="974"/>
      <c r="NUD85" s="974"/>
      <c r="NUE85" s="974"/>
      <c r="NUF85" s="974"/>
      <c r="NUG85" s="974"/>
      <c r="NUH85" s="974"/>
      <c r="NUI85" s="974"/>
      <c r="NUJ85" s="974"/>
      <c r="NUK85" s="974"/>
      <c r="NUL85" s="974"/>
      <c r="NUM85" s="974"/>
      <c r="NUN85" s="974"/>
      <c r="NUO85" s="974"/>
      <c r="NUP85" s="974"/>
      <c r="NUQ85" s="974"/>
      <c r="NUR85" s="974"/>
      <c r="NUS85" s="974"/>
      <c r="NUT85" s="974"/>
      <c r="NUU85" s="974"/>
      <c r="NUV85" s="974"/>
      <c r="NUW85" s="974"/>
      <c r="NUX85" s="974"/>
      <c r="NUY85" s="974"/>
      <c r="NUZ85" s="974"/>
      <c r="NVA85" s="974"/>
      <c r="NVB85" s="974"/>
      <c r="NVC85" s="974"/>
      <c r="NVD85" s="974"/>
      <c r="NVE85" s="974"/>
      <c r="NVF85" s="974"/>
      <c r="NVG85" s="974"/>
      <c r="NVH85" s="974"/>
      <c r="NVI85" s="974"/>
      <c r="NVJ85" s="974"/>
      <c r="NVK85" s="974"/>
      <c r="NVL85" s="974"/>
      <c r="NVM85" s="974"/>
      <c r="NVN85" s="974"/>
      <c r="NVO85" s="974"/>
      <c r="NVP85" s="974"/>
      <c r="NVQ85" s="974"/>
      <c r="NVR85" s="974"/>
      <c r="NVS85" s="974"/>
      <c r="NVT85" s="974"/>
      <c r="NVU85" s="974"/>
      <c r="NVV85" s="974"/>
      <c r="NVW85" s="974"/>
      <c r="NVX85" s="974"/>
      <c r="NVY85" s="974"/>
      <c r="NVZ85" s="974"/>
      <c r="NWA85" s="974"/>
      <c r="NWB85" s="974"/>
      <c r="NWC85" s="974"/>
      <c r="NWD85" s="974"/>
      <c r="NWE85" s="974"/>
      <c r="NWF85" s="974"/>
      <c r="NWG85" s="974"/>
      <c r="NWH85" s="974"/>
      <c r="NWI85" s="974"/>
      <c r="NWJ85" s="974"/>
      <c r="NWK85" s="974"/>
      <c r="NWL85" s="974"/>
      <c r="NWM85" s="974"/>
      <c r="NWN85" s="974"/>
      <c r="NWO85" s="974"/>
      <c r="NWP85" s="974"/>
      <c r="NWQ85" s="974"/>
      <c r="NWR85" s="974"/>
      <c r="NWS85" s="974"/>
      <c r="NWT85" s="974"/>
      <c r="NWU85" s="974"/>
      <c r="NWV85" s="974"/>
      <c r="NWW85" s="974"/>
      <c r="NWX85" s="974"/>
      <c r="NWY85" s="974"/>
      <c r="NWZ85" s="974"/>
      <c r="NXA85" s="974"/>
      <c r="NXB85" s="974"/>
      <c r="NXC85" s="974"/>
      <c r="NXD85" s="974"/>
      <c r="NXE85" s="974"/>
      <c r="NXF85" s="974"/>
      <c r="NXG85" s="974"/>
      <c r="NXH85" s="974"/>
      <c r="NXI85" s="974"/>
      <c r="NXJ85" s="974"/>
      <c r="NXK85" s="974"/>
      <c r="NXL85" s="974"/>
      <c r="NXM85" s="974"/>
      <c r="NXN85" s="974"/>
      <c r="NXO85" s="974"/>
      <c r="NXP85" s="974"/>
      <c r="NXQ85" s="974"/>
      <c r="NXR85" s="974"/>
      <c r="NXS85" s="974"/>
      <c r="NXT85" s="974"/>
      <c r="NXU85" s="974"/>
      <c r="NXV85" s="974"/>
      <c r="NXW85" s="974"/>
      <c r="NXX85" s="974"/>
      <c r="NXY85" s="974"/>
      <c r="NXZ85" s="974"/>
      <c r="NYA85" s="974"/>
      <c r="NYB85" s="974"/>
      <c r="NYC85" s="974"/>
      <c r="NYD85" s="974"/>
      <c r="NYE85" s="974"/>
      <c r="NYF85" s="974"/>
      <c r="NYG85" s="974"/>
      <c r="NYH85" s="974"/>
      <c r="NYI85" s="974"/>
      <c r="NYJ85" s="974"/>
      <c r="NYK85" s="974"/>
      <c r="NYL85" s="974"/>
      <c r="NYM85" s="974"/>
      <c r="NYN85" s="974"/>
      <c r="NYO85" s="974"/>
      <c r="NYP85" s="974"/>
      <c r="NYQ85" s="974"/>
      <c r="NYR85" s="974"/>
      <c r="NYS85" s="974"/>
      <c r="NYT85" s="974"/>
      <c r="NYU85" s="974"/>
      <c r="NYV85" s="974"/>
      <c r="NYW85" s="974"/>
      <c r="NYX85" s="974"/>
      <c r="NYY85" s="974"/>
      <c r="NYZ85" s="974"/>
      <c r="NZA85" s="974"/>
      <c r="NZB85" s="974"/>
      <c r="NZC85" s="974"/>
      <c r="NZD85" s="974"/>
      <c r="NZE85" s="974"/>
      <c r="NZF85" s="974"/>
      <c r="NZG85" s="974"/>
      <c r="NZH85" s="974"/>
      <c r="NZI85" s="974"/>
      <c r="NZJ85" s="974"/>
      <c r="NZK85" s="974"/>
      <c r="NZL85" s="974"/>
      <c r="NZM85" s="974"/>
      <c r="NZN85" s="974"/>
      <c r="NZO85" s="974"/>
      <c r="NZP85" s="974"/>
      <c r="NZQ85" s="974"/>
      <c r="NZR85" s="974"/>
      <c r="NZS85" s="974"/>
      <c r="NZT85" s="974"/>
      <c r="NZU85" s="974"/>
      <c r="NZV85" s="974"/>
      <c r="NZW85" s="974"/>
      <c r="NZX85" s="974"/>
      <c r="NZY85" s="974"/>
      <c r="NZZ85" s="974"/>
      <c r="OAA85" s="974"/>
      <c r="OAB85" s="974"/>
      <c r="OAC85" s="974"/>
      <c r="OAD85" s="974"/>
      <c r="OAE85" s="974"/>
      <c r="OAF85" s="974"/>
      <c r="OAG85" s="974"/>
      <c r="OAH85" s="974"/>
      <c r="OAI85" s="974"/>
      <c r="OAJ85" s="974"/>
      <c r="OAK85" s="974"/>
      <c r="OAL85" s="974"/>
      <c r="OAM85" s="974"/>
      <c r="OAN85" s="974"/>
      <c r="OAO85" s="974"/>
      <c r="OAP85" s="974"/>
      <c r="OAQ85" s="974"/>
      <c r="OAR85" s="974"/>
      <c r="OAS85" s="974"/>
      <c r="OAT85" s="974"/>
      <c r="OAU85" s="974"/>
      <c r="OAV85" s="974"/>
      <c r="OAW85" s="974"/>
      <c r="OAX85" s="974"/>
      <c r="OAY85" s="974"/>
      <c r="OAZ85" s="974"/>
      <c r="OBA85" s="974"/>
      <c r="OBB85" s="974"/>
      <c r="OBC85" s="974"/>
      <c r="OBD85" s="974"/>
      <c r="OBE85" s="974"/>
      <c r="OBF85" s="974"/>
      <c r="OBG85" s="974"/>
      <c r="OBH85" s="974"/>
      <c r="OBI85" s="974"/>
      <c r="OBJ85" s="974"/>
      <c r="OBK85" s="974"/>
      <c r="OBL85" s="974"/>
      <c r="OBM85" s="974"/>
      <c r="OBN85" s="974"/>
      <c r="OBO85" s="974"/>
      <c r="OBP85" s="974"/>
      <c r="OBQ85" s="974"/>
      <c r="OBR85" s="974"/>
      <c r="OBS85" s="974"/>
      <c r="OBT85" s="974"/>
      <c r="OBU85" s="974"/>
      <c r="OBV85" s="974"/>
      <c r="OBW85" s="974"/>
      <c r="OBX85" s="974"/>
      <c r="OBY85" s="974"/>
      <c r="OBZ85" s="974"/>
      <c r="OCA85" s="974"/>
      <c r="OCB85" s="974"/>
      <c r="OCC85" s="974"/>
      <c r="OCD85" s="974"/>
      <c r="OCE85" s="974"/>
      <c r="OCF85" s="974"/>
      <c r="OCG85" s="974"/>
      <c r="OCH85" s="974"/>
      <c r="OCI85" s="974"/>
      <c r="OCJ85" s="974"/>
      <c r="OCK85" s="974"/>
      <c r="OCL85" s="974"/>
      <c r="OCM85" s="974"/>
      <c r="OCN85" s="974"/>
      <c r="OCO85" s="974"/>
      <c r="OCP85" s="974"/>
      <c r="OCQ85" s="974"/>
      <c r="OCR85" s="974"/>
      <c r="OCS85" s="974"/>
      <c r="OCT85" s="974"/>
      <c r="OCU85" s="974"/>
      <c r="OCV85" s="974"/>
      <c r="OCW85" s="974"/>
      <c r="OCX85" s="974"/>
      <c r="OCY85" s="974"/>
      <c r="OCZ85" s="974"/>
      <c r="ODA85" s="974"/>
      <c r="ODB85" s="974"/>
      <c r="ODC85" s="974"/>
      <c r="ODD85" s="974"/>
      <c r="ODE85" s="974"/>
      <c r="ODF85" s="974"/>
      <c r="ODG85" s="974"/>
      <c r="ODH85" s="974"/>
      <c r="ODI85" s="974"/>
      <c r="ODJ85" s="974"/>
      <c r="ODK85" s="974"/>
      <c r="ODL85" s="974"/>
      <c r="ODM85" s="974"/>
      <c r="ODN85" s="974"/>
      <c r="ODO85" s="974"/>
      <c r="ODP85" s="974"/>
      <c r="ODQ85" s="974"/>
      <c r="ODR85" s="974"/>
      <c r="ODS85" s="974"/>
      <c r="ODT85" s="974"/>
      <c r="ODU85" s="974"/>
      <c r="ODV85" s="974"/>
      <c r="ODW85" s="974"/>
      <c r="ODX85" s="974"/>
      <c r="ODY85" s="974"/>
      <c r="ODZ85" s="974"/>
      <c r="OEA85" s="974"/>
      <c r="OEB85" s="974"/>
      <c r="OEC85" s="974"/>
      <c r="OED85" s="974"/>
      <c r="OEE85" s="974"/>
      <c r="OEF85" s="974"/>
      <c r="OEG85" s="974"/>
      <c r="OEH85" s="974"/>
      <c r="OEI85" s="974"/>
      <c r="OEJ85" s="974"/>
      <c r="OEK85" s="974"/>
      <c r="OEL85" s="974"/>
      <c r="OEM85" s="974"/>
      <c r="OEN85" s="974"/>
      <c r="OEO85" s="974"/>
      <c r="OEP85" s="974"/>
      <c r="OEQ85" s="974"/>
      <c r="OER85" s="974"/>
      <c r="OES85" s="974"/>
      <c r="OET85" s="974"/>
      <c r="OEU85" s="974"/>
      <c r="OEV85" s="974"/>
      <c r="OEW85" s="974"/>
      <c r="OEX85" s="974"/>
      <c r="OEY85" s="974"/>
      <c r="OEZ85" s="974"/>
      <c r="OFA85" s="974"/>
      <c r="OFB85" s="974"/>
      <c r="OFC85" s="974"/>
      <c r="OFD85" s="974"/>
      <c r="OFE85" s="974"/>
      <c r="OFF85" s="974"/>
      <c r="OFG85" s="974"/>
      <c r="OFH85" s="974"/>
      <c r="OFI85" s="974"/>
      <c r="OFJ85" s="974"/>
      <c r="OFK85" s="974"/>
      <c r="OFL85" s="974"/>
      <c r="OFM85" s="974"/>
      <c r="OFN85" s="974"/>
      <c r="OFO85" s="974"/>
      <c r="OFP85" s="974"/>
      <c r="OFQ85" s="974"/>
      <c r="OFR85" s="974"/>
      <c r="OFS85" s="974"/>
      <c r="OFT85" s="974"/>
      <c r="OFU85" s="974"/>
      <c r="OFV85" s="974"/>
      <c r="OFW85" s="974"/>
      <c r="OFX85" s="974"/>
      <c r="OFY85" s="974"/>
      <c r="OFZ85" s="974"/>
      <c r="OGA85" s="974"/>
      <c r="OGB85" s="974"/>
      <c r="OGC85" s="974"/>
      <c r="OGD85" s="974"/>
      <c r="OGE85" s="974"/>
      <c r="OGF85" s="974"/>
      <c r="OGG85" s="974"/>
      <c r="OGH85" s="974"/>
      <c r="OGI85" s="974"/>
      <c r="OGJ85" s="974"/>
      <c r="OGK85" s="974"/>
      <c r="OGL85" s="974"/>
      <c r="OGM85" s="974"/>
      <c r="OGN85" s="974"/>
      <c r="OGO85" s="974"/>
      <c r="OGP85" s="974"/>
      <c r="OGQ85" s="974"/>
      <c r="OGR85" s="974"/>
      <c r="OGS85" s="974"/>
      <c r="OGT85" s="974"/>
      <c r="OGU85" s="974"/>
      <c r="OGV85" s="974"/>
      <c r="OGW85" s="974"/>
      <c r="OGX85" s="974"/>
      <c r="OGY85" s="974"/>
      <c r="OGZ85" s="974"/>
      <c r="OHA85" s="974"/>
      <c r="OHB85" s="974"/>
      <c r="OHC85" s="974"/>
      <c r="OHD85" s="974"/>
      <c r="OHE85" s="974"/>
      <c r="OHF85" s="974"/>
      <c r="OHG85" s="974"/>
      <c r="OHH85" s="974"/>
      <c r="OHI85" s="974"/>
      <c r="OHJ85" s="974"/>
      <c r="OHK85" s="974"/>
      <c r="OHL85" s="974"/>
      <c r="OHM85" s="974"/>
      <c r="OHN85" s="974"/>
      <c r="OHO85" s="974"/>
      <c r="OHP85" s="974"/>
      <c r="OHQ85" s="974"/>
      <c r="OHR85" s="974"/>
      <c r="OHS85" s="974"/>
      <c r="OHT85" s="974"/>
      <c r="OHU85" s="974"/>
      <c r="OHV85" s="974"/>
      <c r="OHW85" s="974"/>
      <c r="OHX85" s="974"/>
      <c r="OHY85" s="974"/>
      <c r="OHZ85" s="974"/>
      <c r="OIA85" s="974"/>
      <c r="OIB85" s="974"/>
      <c r="OIC85" s="974"/>
      <c r="OID85" s="974"/>
      <c r="OIE85" s="974"/>
      <c r="OIF85" s="974"/>
      <c r="OIG85" s="974"/>
      <c r="OIH85" s="974"/>
      <c r="OII85" s="974"/>
      <c r="OIJ85" s="974"/>
      <c r="OIK85" s="974"/>
      <c r="OIL85" s="974"/>
      <c r="OIM85" s="974"/>
      <c r="OIN85" s="974"/>
      <c r="OIO85" s="974"/>
      <c r="OIP85" s="974"/>
      <c r="OIQ85" s="974"/>
      <c r="OIR85" s="974"/>
      <c r="OIS85" s="974"/>
      <c r="OIT85" s="974"/>
      <c r="OIU85" s="974"/>
      <c r="OIV85" s="974"/>
      <c r="OIW85" s="974"/>
      <c r="OIX85" s="974"/>
      <c r="OIY85" s="974"/>
      <c r="OIZ85" s="974"/>
      <c r="OJA85" s="974"/>
      <c r="OJB85" s="974"/>
      <c r="OJC85" s="974"/>
      <c r="OJD85" s="974"/>
      <c r="OJE85" s="974"/>
      <c r="OJF85" s="974"/>
      <c r="OJG85" s="974"/>
      <c r="OJH85" s="974"/>
      <c r="OJI85" s="974"/>
      <c r="OJJ85" s="974"/>
      <c r="OJK85" s="974"/>
      <c r="OJL85" s="974"/>
      <c r="OJM85" s="974"/>
      <c r="OJN85" s="974"/>
      <c r="OJO85" s="974"/>
      <c r="OJP85" s="974"/>
      <c r="OJQ85" s="974"/>
      <c r="OJR85" s="974"/>
      <c r="OJS85" s="974"/>
      <c r="OJT85" s="974"/>
      <c r="OJU85" s="974"/>
      <c r="OJV85" s="974"/>
      <c r="OJW85" s="974"/>
      <c r="OJX85" s="974"/>
      <c r="OJY85" s="974"/>
      <c r="OJZ85" s="974"/>
      <c r="OKA85" s="974"/>
      <c r="OKB85" s="974"/>
      <c r="OKC85" s="974"/>
      <c r="OKD85" s="974"/>
      <c r="OKE85" s="974"/>
      <c r="OKF85" s="974"/>
      <c r="OKG85" s="974"/>
      <c r="OKH85" s="974"/>
      <c r="OKI85" s="974"/>
      <c r="OKJ85" s="974"/>
      <c r="OKK85" s="974"/>
      <c r="OKL85" s="974"/>
      <c r="OKM85" s="974"/>
      <c r="OKN85" s="974"/>
      <c r="OKO85" s="974"/>
      <c r="OKP85" s="974"/>
      <c r="OKQ85" s="974"/>
      <c r="OKR85" s="974"/>
      <c r="OKS85" s="974"/>
      <c r="OKT85" s="974"/>
      <c r="OKU85" s="974"/>
      <c r="OKV85" s="974"/>
      <c r="OKW85" s="974"/>
      <c r="OKX85" s="974"/>
      <c r="OKY85" s="974"/>
      <c r="OKZ85" s="974"/>
      <c r="OLA85" s="974"/>
      <c r="OLB85" s="974"/>
      <c r="OLC85" s="974"/>
      <c r="OLD85" s="974"/>
      <c r="OLE85" s="974"/>
      <c r="OLF85" s="974"/>
      <c r="OLG85" s="974"/>
      <c r="OLH85" s="974"/>
      <c r="OLI85" s="974"/>
      <c r="OLJ85" s="974"/>
      <c r="OLK85" s="974"/>
      <c r="OLL85" s="974"/>
      <c r="OLM85" s="974"/>
      <c r="OLN85" s="974"/>
      <c r="OLO85" s="974"/>
      <c r="OLP85" s="974"/>
      <c r="OLQ85" s="974"/>
      <c r="OLR85" s="974"/>
      <c r="OLS85" s="974"/>
      <c r="OLT85" s="974"/>
      <c r="OLU85" s="974"/>
      <c r="OLV85" s="974"/>
      <c r="OLW85" s="974"/>
      <c r="OLX85" s="974"/>
      <c r="OLY85" s="974"/>
      <c r="OLZ85" s="974"/>
      <c r="OMA85" s="974"/>
      <c r="OMB85" s="974"/>
      <c r="OMC85" s="974"/>
      <c r="OMD85" s="974"/>
      <c r="OME85" s="974"/>
      <c r="OMF85" s="974"/>
      <c r="OMG85" s="974"/>
      <c r="OMH85" s="974"/>
      <c r="OMI85" s="974"/>
      <c r="OMJ85" s="974"/>
      <c r="OMK85" s="974"/>
      <c r="OML85" s="974"/>
      <c r="OMM85" s="974"/>
      <c r="OMN85" s="974"/>
      <c r="OMO85" s="974"/>
      <c r="OMP85" s="974"/>
      <c r="OMQ85" s="974"/>
      <c r="OMR85" s="974"/>
      <c r="OMS85" s="974"/>
      <c r="OMT85" s="974"/>
      <c r="OMU85" s="974"/>
      <c r="OMV85" s="974"/>
      <c r="OMW85" s="974"/>
      <c r="OMX85" s="974"/>
      <c r="OMY85" s="974"/>
      <c r="OMZ85" s="974"/>
      <c r="ONA85" s="974"/>
      <c r="ONB85" s="974"/>
      <c r="ONC85" s="974"/>
      <c r="OND85" s="974"/>
      <c r="ONE85" s="974"/>
      <c r="ONF85" s="974"/>
      <c r="ONG85" s="974"/>
      <c r="ONH85" s="974"/>
      <c r="ONI85" s="974"/>
      <c r="ONJ85" s="974"/>
      <c r="ONK85" s="974"/>
      <c r="ONL85" s="974"/>
      <c r="ONM85" s="974"/>
      <c r="ONN85" s="974"/>
      <c r="ONO85" s="974"/>
      <c r="ONP85" s="974"/>
      <c r="ONQ85" s="974"/>
      <c r="ONR85" s="974"/>
      <c r="ONS85" s="974"/>
      <c r="ONT85" s="974"/>
      <c r="ONU85" s="974"/>
      <c r="ONV85" s="974"/>
      <c r="ONW85" s="974"/>
      <c r="ONX85" s="974"/>
      <c r="ONY85" s="974"/>
      <c r="ONZ85" s="974"/>
      <c r="OOA85" s="974"/>
      <c r="OOB85" s="974"/>
      <c r="OOC85" s="974"/>
      <c r="OOD85" s="974"/>
      <c r="OOE85" s="974"/>
      <c r="OOF85" s="974"/>
      <c r="OOG85" s="974"/>
      <c r="OOH85" s="974"/>
      <c r="OOI85" s="974"/>
      <c r="OOJ85" s="974"/>
      <c r="OOK85" s="974"/>
      <c r="OOL85" s="974"/>
      <c r="OOM85" s="974"/>
      <c r="OON85" s="974"/>
      <c r="OOO85" s="974"/>
      <c r="OOP85" s="974"/>
      <c r="OOQ85" s="974"/>
      <c r="OOR85" s="974"/>
      <c r="OOS85" s="974"/>
      <c r="OOT85" s="974"/>
      <c r="OOU85" s="974"/>
      <c r="OOV85" s="974"/>
      <c r="OOW85" s="974"/>
      <c r="OOX85" s="974"/>
      <c r="OOY85" s="974"/>
      <c r="OOZ85" s="974"/>
      <c r="OPA85" s="974"/>
      <c r="OPB85" s="974"/>
      <c r="OPC85" s="974"/>
      <c r="OPD85" s="974"/>
      <c r="OPE85" s="974"/>
      <c r="OPF85" s="974"/>
      <c r="OPG85" s="974"/>
      <c r="OPH85" s="974"/>
      <c r="OPI85" s="974"/>
      <c r="OPJ85" s="974"/>
      <c r="OPK85" s="974"/>
      <c r="OPL85" s="974"/>
      <c r="OPM85" s="974"/>
      <c r="OPN85" s="974"/>
      <c r="OPO85" s="974"/>
      <c r="OPP85" s="974"/>
      <c r="OPQ85" s="974"/>
      <c r="OPR85" s="974"/>
      <c r="OPS85" s="974"/>
      <c r="OPT85" s="974"/>
      <c r="OPU85" s="974"/>
      <c r="OPV85" s="974"/>
      <c r="OPW85" s="974"/>
      <c r="OPX85" s="974"/>
      <c r="OPY85" s="974"/>
      <c r="OPZ85" s="974"/>
      <c r="OQA85" s="974"/>
      <c r="OQB85" s="974"/>
      <c r="OQC85" s="974"/>
      <c r="OQD85" s="974"/>
      <c r="OQE85" s="974"/>
      <c r="OQF85" s="974"/>
      <c r="OQG85" s="974"/>
      <c r="OQH85" s="974"/>
      <c r="OQI85" s="974"/>
      <c r="OQJ85" s="974"/>
      <c r="OQK85" s="974"/>
      <c r="OQL85" s="974"/>
      <c r="OQM85" s="974"/>
      <c r="OQN85" s="974"/>
      <c r="OQO85" s="974"/>
      <c r="OQP85" s="974"/>
      <c r="OQQ85" s="974"/>
      <c r="OQR85" s="974"/>
      <c r="OQS85" s="974"/>
      <c r="OQT85" s="974"/>
      <c r="OQU85" s="974"/>
      <c r="OQV85" s="974"/>
      <c r="OQW85" s="974"/>
      <c r="OQX85" s="974"/>
      <c r="OQY85" s="974"/>
      <c r="OQZ85" s="974"/>
      <c r="ORA85" s="974"/>
      <c r="ORB85" s="974"/>
      <c r="ORC85" s="974"/>
      <c r="ORD85" s="974"/>
      <c r="ORE85" s="974"/>
      <c r="ORF85" s="974"/>
      <c r="ORG85" s="974"/>
      <c r="ORH85" s="974"/>
      <c r="ORI85" s="974"/>
      <c r="ORJ85" s="974"/>
      <c r="ORK85" s="974"/>
      <c r="ORL85" s="974"/>
      <c r="ORM85" s="974"/>
      <c r="ORN85" s="974"/>
      <c r="ORO85" s="974"/>
      <c r="ORP85" s="974"/>
      <c r="ORQ85" s="974"/>
      <c r="ORR85" s="974"/>
      <c r="ORS85" s="974"/>
      <c r="ORT85" s="974"/>
      <c r="ORU85" s="974"/>
      <c r="ORV85" s="974"/>
      <c r="ORW85" s="974"/>
      <c r="ORX85" s="974"/>
      <c r="ORY85" s="974"/>
      <c r="ORZ85" s="974"/>
      <c r="OSA85" s="974"/>
      <c r="OSB85" s="974"/>
      <c r="OSC85" s="974"/>
      <c r="OSD85" s="974"/>
      <c r="OSE85" s="974"/>
      <c r="OSF85" s="974"/>
      <c r="OSG85" s="974"/>
      <c r="OSH85" s="974"/>
      <c r="OSI85" s="974"/>
      <c r="OSJ85" s="974"/>
      <c r="OSK85" s="974"/>
      <c r="OSL85" s="974"/>
      <c r="OSM85" s="974"/>
      <c r="OSN85" s="974"/>
      <c r="OSO85" s="974"/>
      <c r="OSP85" s="974"/>
      <c r="OSQ85" s="974"/>
      <c r="OSR85" s="974"/>
      <c r="OSS85" s="974"/>
      <c r="OST85" s="974"/>
      <c r="OSU85" s="974"/>
      <c r="OSV85" s="974"/>
      <c r="OSW85" s="974"/>
      <c r="OSX85" s="974"/>
      <c r="OSY85" s="974"/>
      <c r="OSZ85" s="974"/>
      <c r="OTA85" s="974"/>
      <c r="OTB85" s="974"/>
      <c r="OTC85" s="974"/>
      <c r="OTD85" s="974"/>
      <c r="OTE85" s="974"/>
      <c r="OTF85" s="974"/>
      <c r="OTG85" s="974"/>
      <c r="OTH85" s="974"/>
      <c r="OTI85" s="974"/>
      <c r="OTJ85" s="974"/>
      <c r="OTK85" s="974"/>
      <c r="OTL85" s="974"/>
      <c r="OTM85" s="974"/>
      <c r="OTN85" s="974"/>
      <c r="OTO85" s="974"/>
      <c r="OTP85" s="974"/>
      <c r="OTQ85" s="974"/>
      <c r="OTR85" s="974"/>
      <c r="OTS85" s="974"/>
      <c r="OTT85" s="974"/>
      <c r="OTU85" s="974"/>
      <c r="OTV85" s="974"/>
      <c r="OTW85" s="974"/>
      <c r="OTX85" s="974"/>
      <c r="OTY85" s="974"/>
      <c r="OTZ85" s="974"/>
      <c r="OUA85" s="974"/>
      <c r="OUB85" s="974"/>
      <c r="OUC85" s="974"/>
      <c r="OUD85" s="974"/>
      <c r="OUE85" s="974"/>
      <c r="OUF85" s="974"/>
      <c r="OUG85" s="974"/>
      <c r="OUH85" s="974"/>
      <c r="OUI85" s="974"/>
      <c r="OUJ85" s="974"/>
      <c r="OUK85" s="974"/>
      <c r="OUL85" s="974"/>
      <c r="OUM85" s="974"/>
      <c r="OUN85" s="974"/>
      <c r="OUO85" s="974"/>
      <c r="OUP85" s="974"/>
      <c r="OUQ85" s="974"/>
      <c r="OUR85" s="974"/>
      <c r="OUS85" s="974"/>
      <c r="OUT85" s="974"/>
      <c r="OUU85" s="974"/>
      <c r="OUV85" s="974"/>
      <c r="OUW85" s="974"/>
      <c r="OUX85" s="974"/>
      <c r="OUY85" s="974"/>
      <c r="OUZ85" s="974"/>
      <c r="OVA85" s="974"/>
      <c r="OVB85" s="974"/>
      <c r="OVC85" s="974"/>
      <c r="OVD85" s="974"/>
      <c r="OVE85" s="974"/>
      <c r="OVF85" s="974"/>
      <c r="OVG85" s="974"/>
      <c r="OVH85" s="974"/>
      <c r="OVI85" s="974"/>
      <c r="OVJ85" s="974"/>
      <c r="OVK85" s="974"/>
      <c r="OVL85" s="974"/>
      <c r="OVM85" s="974"/>
      <c r="OVN85" s="974"/>
      <c r="OVO85" s="974"/>
      <c r="OVP85" s="974"/>
      <c r="OVQ85" s="974"/>
      <c r="OVR85" s="974"/>
      <c r="OVS85" s="974"/>
      <c r="OVT85" s="974"/>
      <c r="OVU85" s="974"/>
      <c r="OVV85" s="974"/>
      <c r="OVW85" s="974"/>
      <c r="OVX85" s="974"/>
      <c r="OVY85" s="974"/>
      <c r="OVZ85" s="974"/>
      <c r="OWA85" s="974"/>
      <c r="OWB85" s="974"/>
      <c r="OWC85" s="974"/>
      <c r="OWD85" s="974"/>
      <c r="OWE85" s="974"/>
      <c r="OWF85" s="974"/>
      <c r="OWG85" s="974"/>
      <c r="OWH85" s="974"/>
      <c r="OWI85" s="974"/>
      <c r="OWJ85" s="974"/>
      <c r="OWK85" s="974"/>
      <c r="OWL85" s="974"/>
      <c r="OWM85" s="974"/>
      <c r="OWN85" s="974"/>
      <c r="OWO85" s="974"/>
      <c r="OWP85" s="974"/>
      <c r="OWQ85" s="974"/>
      <c r="OWR85" s="974"/>
      <c r="OWS85" s="974"/>
      <c r="OWT85" s="974"/>
      <c r="OWU85" s="974"/>
      <c r="OWV85" s="974"/>
      <c r="OWW85" s="974"/>
      <c r="OWX85" s="974"/>
      <c r="OWY85" s="974"/>
      <c r="OWZ85" s="974"/>
      <c r="OXA85" s="974"/>
      <c r="OXB85" s="974"/>
      <c r="OXC85" s="974"/>
      <c r="OXD85" s="974"/>
      <c r="OXE85" s="974"/>
      <c r="OXF85" s="974"/>
      <c r="OXG85" s="974"/>
      <c r="OXH85" s="974"/>
      <c r="OXI85" s="974"/>
      <c r="OXJ85" s="974"/>
      <c r="OXK85" s="974"/>
      <c r="OXL85" s="974"/>
      <c r="OXM85" s="974"/>
      <c r="OXN85" s="974"/>
      <c r="OXO85" s="974"/>
      <c r="OXP85" s="974"/>
      <c r="OXQ85" s="974"/>
      <c r="OXR85" s="974"/>
      <c r="OXS85" s="974"/>
      <c r="OXT85" s="974"/>
      <c r="OXU85" s="974"/>
      <c r="OXV85" s="974"/>
      <c r="OXW85" s="974"/>
      <c r="OXX85" s="974"/>
      <c r="OXY85" s="974"/>
      <c r="OXZ85" s="974"/>
      <c r="OYA85" s="974"/>
      <c r="OYB85" s="974"/>
      <c r="OYC85" s="974"/>
      <c r="OYD85" s="974"/>
      <c r="OYE85" s="974"/>
      <c r="OYF85" s="974"/>
      <c r="OYG85" s="974"/>
      <c r="OYH85" s="974"/>
      <c r="OYI85" s="974"/>
      <c r="OYJ85" s="974"/>
      <c r="OYK85" s="974"/>
      <c r="OYL85" s="974"/>
      <c r="OYM85" s="974"/>
      <c r="OYN85" s="974"/>
      <c r="OYO85" s="974"/>
      <c r="OYP85" s="974"/>
      <c r="OYQ85" s="974"/>
      <c r="OYR85" s="974"/>
      <c r="OYS85" s="974"/>
      <c r="OYT85" s="974"/>
      <c r="OYU85" s="974"/>
      <c r="OYV85" s="974"/>
      <c r="OYW85" s="974"/>
      <c r="OYX85" s="974"/>
      <c r="OYY85" s="974"/>
      <c r="OYZ85" s="974"/>
      <c r="OZA85" s="974"/>
      <c r="OZB85" s="974"/>
      <c r="OZC85" s="974"/>
      <c r="OZD85" s="974"/>
      <c r="OZE85" s="974"/>
      <c r="OZF85" s="974"/>
      <c r="OZG85" s="974"/>
      <c r="OZH85" s="974"/>
      <c r="OZI85" s="974"/>
      <c r="OZJ85" s="974"/>
      <c r="OZK85" s="974"/>
      <c r="OZL85" s="974"/>
      <c r="OZM85" s="974"/>
      <c r="OZN85" s="974"/>
      <c r="OZO85" s="974"/>
      <c r="OZP85" s="974"/>
      <c r="OZQ85" s="974"/>
      <c r="OZR85" s="974"/>
      <c r="OZS85" s="974"/>
      <c r="OZT85" s="974"/>
      <c r="OZU85" s="974"/>
      <c r="OZV85" s="974"/>
      <c r="OZW85" s="974"/>
      <c r="OZX85" s="974"/>
      <c r="OZY85" s="974"/>
      <c r="OZZ85" s="974"/>
      <c r="PAA85" s="974"/>
      <c r="PAB85" s="974"/>
      <c r="PAC85" s="974"/>
      <c r="PAD85" s="974"/>
      <c r="PAE85" s="974"/>
      <c r="PAF85" s="974"/>
      <c r="PAG85" s="974"/>
      <c r="PAH85" s="974"/>
      <c r="PAI85" s="974"/>
      <c r="PAJ85" s="974"/>
      <c r="PAK85" s="974"/>
      <c r="PAL85" s="974"/>
      <c r="PAM85" s="974"/>
      <c r="PAN85" s="974"/>
      <c r="PAO85" s="974"/>
      <c r="PAP85" s="974"/>
      <c r="PAQ85" s="974"/>
      <c r="PAR85" s="974"/>
      <c r="PAS85" s="974"/>
      <c r="PAT85" s="974"/>
      <c r="PAU85" s="974"/>
      <c r="PAV85" s="974"/>
      <c r="PAW85" s="974"/>
      <c r="PAX85" s="974"/>
      <c r="PAY85" s="974"/>
      <c r="PAZ85" s="974"/>
      <c r="PBA85" s="974"/>
      <c r="PBB85" s="974"/>
      <c r="PBC85" s="974"/>
      <c r="PBD85" s="974"/>
      <c r="PBE85" s="974"/>
      <c r="PBF85" s="974"/>
      <c r="PBG85" s="974"/>
      <c r="PBH85" s="974"/>
      <c r="PBI85" s="974"/>
      <c r="PBJ85" s="974"/>
      <c r="PBK85" s="974"/>
      <c r="PBL85" s="974"/>
      <c r="PBM85" s="974"/>
      <c r="PBN85" s="974"/>
      <c r="PBO85" s="974"/>
      <c r="PBP85" s="974"/>
      <c r="PBQ85" s="974"/>
      <c r="PBR85" s="974"/>
      <c r="PBS85" s="974"/>
      <c r="PBT85" s="974"/>
      <c r="PBU85" s="974"/>
      <c r="PBV85" s="974"/>
      <c r="PBW85" s="974"/>
      <c r="PBX85" s="974"/>
      <c r="PBY85" s="974"/>
      <c r="PBZ85" s="974"/>
      <c r="PCA85" s="974"/>
      <c r="PCB85" s="974"/>
      <c r="PCC85" s="974"/>
      <c r="PCD85" s="974"/>
      <c r="PCE85" s="974"/>
      <c r="PCF85" s="974"/>
      <c r="PCG85" s="974"/>
      <c r="PCH85" s="974"/>
      <c r="PCI85" s="974"/>
      <c r="PCJ85" s="974"/>
      <c r="PCK85" s="974"/>
      <c r="PCL85" s="974"/>
      <c r="PCM85" s="974"/>
      <c r="PCN85" s="974"/>
      <c r="PCO85" s="974"/>
      <c r="PCP85" s="974"/>
      <c r="PCQ85" s="974"/>
      <c r="PCR85" s="974"/>
      <c r="PCS85" s="974"/>
      <c r="PCT85" s="974"/>
      <c r="PCU85" s="974"/>
      <c r="PCV85" s="974"/>
      <c r="PCW85" s="974"/>
      <c r="PCX85" s="974"/>
      <c r="PCY85" s="974"/>
      <c r="PCZ85" s="974"/>
      <c r="PDA85" s="974"/>
      <c r="PDB85" s="974"/>
      <c r="PDC85" s="974"/>
      <c r="PDD85" s="974"/>
      <c r="PDE85" s="974"/>
      <c r="PDF85" s="974"/>
      <c r="PDG85" s="974"/>
      <c r="PDH85" s="974"/>
      <c r="PDI85" s="974"/>
      <c r="PDJ85" s="974"/>
      <c r="PDK85" s="974"/>
      <c r="PDL85" s="974"/>
      <c r="PDM85" s="974"/>
      <c r="PDN85" s="974"/>
      <c r="PDO85" s="974"/>
      <c r="PDP85" s="974"/>
      <c r="PDQ85" s="974"/>
      <c r="PDR85" s="974"/>
      <c r="PDS85" s="974"/>
      <c r="PDT85" s="974"/>
      <c r="PDU85" s="974"/>
      <c r="PDV85" s="974"/>
      <c r="PDW85" s="974"/>
      <c r="PDX85" s="974"/>
      <c r="PDY85" s="974"/>
      <c r="PDZ85" s="974"/>
      <c r="PEA85" s="974"/>
      <c r="PEB85" s="974"/>
      <c r="PEC85" s="974"/>
      <c r="PED85" s="974"/>
      <c r="PEE85" s="974"/>
      <c r="PEF85" s="974"/>
      <c r="PEG85" s="974"/>
      <c r="PEH85" s="974"/>
      <c r="PEI85" s="974"/>
      <c r="PEJ85" s="974"/>
      <c r="PEK85" s="974"/>
      <c r="PEL85" s="974"/>
      <c r="PEM85" s="974"/>
      <c r="PEN85" s="974"/>
      <c r="PEO85" s="974"/>
      <c r="PEP85" s="974"/>
      <c r="PEQ85" s="974"/>
      <c r="PER85" s="974"/>
      <c r="PES85" s="974"/>
      <c r="PET85" s="974"/>
      <c r="PEU85" s="974"/>
      <c r="PEV85" s="974"/>
      <c r="PEW85" s="974"/>
      <c r="PEX85" s="974"/>
      <c r="PEY85" s="974"/>
      <c r="PEZ85" s="974"/>
      <c r="PFA85" s="974"/>
      <c r="PFB85" s="974"/>
      <c r="PFC85" s="974"/>
      <c r="PFD85" s="974"/>
      <c r="PFE85" s="974"/>
      <c r="PFF85" s="974"/>
      <c r="PFG85" s="974"/>
      <c r="PFH85" s="974"/>
      <c r="PFI85" s="974"/>
      <c r="PFJ85" s="974"/>
      <c r="PFK85" s="974"/>
      <c r="PFL85" s="974"/>
      <c r="PFM85" s="974"/>
      <c r="PFN85" s="974"/>
      <c r="PFO85" s="974"/>
      <c r="PFP85" s="974"/>
      <c r="PFQ85" s="974"/>
      <c r="PFR85" s="974"/>
      <c r="PFS85" s="974"/>
      <c r="PFT85" s="974"/>
      <c r="PFU85" s="974"/>
      <c r="PFV85" s="974"/>
      <c r="PFW85" s="974"/>
      <c r="PFX85" s="974"/>
      <c r="PFY85" s="974"/>
      <c r="PFZ85" s="974"/>
      <c r="PGA85" s="974"/>
      <c r="PGB85" s="974"/>
      <c r="PGC85" s="974"/>
      <c r="PGD85" s="974"/>
      <c r="PGE85" s="974"/>
      <c r="PGF85" s="974"/>
      <c r="PGG85" s="974"/>
      <c r="PGH85" s="974"/>
      <c r="PGI85" s="974"/>
      <c r="PGJ85" s="974"/>
      <c r="PGK85" s="974"/>
      <c r="PGL85" s="974"/>
      <c r="PGM85" s="974"/>
      <c r="PGN85" s="974"/>
      <c r="PGO85" s="974"/>
      <c r="PGP85" s="974"/>
      <c r="PGQ85" s="974"/>
      <c r="PGR85" s="974"/>
      <c r="PGS85" s="974"/>
      <c r="PGT85" s="974"/>
      <c r="PGU85" s="974"/>
      <c r="PGV85" s="974"/>
      <c r="PGW85" s="974"/>
      <c r="PGX85" s="974"/>
      <c r="PGY85" s="974"/>
      <c r="PGZ85" s="974"/>
      <c r="PHA85" s="974"/>
      <c r="PHB85" s="974"/>
      <c r="PHC85" s="974"/>
      <c r="PHD85" s="974"/>
      <c r="PHE85" s="974"/>
      <c r="PHF85" s="974"/>
      <c r="PHG85" s="974"/>
      <c r="PHH85" s="974"/>
      <c r="PHI85" s="974"/>
      <c r="PHJ85" s="974"/>
      <c r="PHK85" s="974"/>
      <c r="PHL85" s="974"/>
      <c r="PHM85" s="974"/>
      <c r="PHN85" s="974"/>
      <c r="PHO85" s="974"/>
      <c r="PHP85" s="974"/>
      <c r="PHQ85" s="974"/>
      <c r="PHR85" s="974"/>
      <c r="PHS85" s="974"/>
      <c r="PHT85" s="974"/>
      <c r="PHU85" s="974"/>
      <c r="PHV85" s="974"/>
      <c r="PHW85" s="974"/>
      <c r="PHX85" s="974"/>
      <c r="PHY85" s="974"/>
      <c r="PHZ85" s="974"/>
      <c r="PIA85" s="974"/>
      <c r="PIB85" s="974"/>
      <c r="PIC85" s="974"/>
      <c r="PID85" s="974"/>
      <c r="PIE85" s="974"/>
      <c r="PIF85" s="974"/>
      <c r="PIG85" s="974"/>
      <c r="PIH85" s="974"/>
      <c r="PII85" s="974"/>
      <c r="PIJ85" s="974"/>
      <c r="PIK85" s="974"/>
      <c r="PIL85" s="974"/>
      <c r="PIM85" s="974"/>
      <c r="PIN85" s="974"/>
      <c r="PIO85" s="974"/>
      <c r="PIP85" s="974"/>
      <c r="PIQ85" s="974"/>
      <c r="PIR85" s="974"/>
      <c r="PIS85" s="974"/>
      <c r="PIT85" s="974"/>
      <c r="PIU85" s="974"/>
      <c r="PIV85" s="974"/>
      <c r="PIW85" s="974"/>
      <c r="PIX85" s="974"/>
      <c r="PIY85" s="974"/>
      <c r="PIZ85" s="974"/>
      <c r="PJA85" s="974"/>
      <c r="PJB85" s="974"/>
      <c r="PJC85" s="974"/>
      <c r="PJD85" s="974"/>
      <c r="PJE85" s="974"/>
      <c r="PJF85" s="974"/>
      <c r="PJG85" s="974"/>
      <c r="PJH85" s="974"/>
      <c r="PJI85" s="974"/>
      <c r="PJJ85" s="974"/>
      <c r="PJK85" s="974"/>
      <c r="PJL85" s="974"/>
      <c r="PJM85" s="974"/>
      <c r="PJN85" s="974"/>
      <c r="PJO85" s="974"/>
      <c r="PJP85" s="974"/>
      <c r="PJQ85" s="974"/>
      <c r="PJR85" s="974"/>
      <c r="PJS85" s="974"/>
      <c r="PJT85" s="974"/>
      <c r="PJU85" s="974"/>
      <c r="PJV85" s="974"/>
      <c r="PJW85" s="974"/>
      <c r="PJX85" s="974"/>
      <c r="PJY85" s="974"/>
      <c r="PJZ85" s="974"/>
      <c r="PKA85" s="974"/>
      <c r="PKB85" s="974"/>
      <c r="PKC85" s="974"/>
      <c r="PKD85" s="974"/>
      <c r="PKE85" s="974"/>
      <c r="PKF85" s="974"/>
      <c r="PKG85" s="974"/>
      <c r="PKH85" s="974"/>
      <c r="PKI85" s="974"/>
      <c r="PKJ85" s="974"/>
      <c r="PKK85" s="974"/>
      <c r="PKL85" s="974"/>
      <c r="PKM85" s="974"/>
      <c r="PKN85" s="974"/>
      <c r="PKO85" s="974"/>
      <c r="PKP85" s="974"/>
      <c r="PKQ85" s="974"/>
      <c r="PKR85" s="974"/>
      <c r="PKS85" s="974"/>
      <c r="PKT85" s="974"/>
      <c r="PKU85" s="974"/>
      <c r="PKV85" s="974"/>
      <c r="PKW85" s="974"/>
      <c r="PKX85" s="974"/>
      <c r="PKY85" s="974"/>
      <c r="PKZ85" s="974"/>
      <c r="PLA85" s="974"/>
      <c r="PLB85" s="974"/>
      <c r="PLC85" s="974"/>
      <c r="PLD85" s="974"/>
      <c r="PLE85" s="974"/>
      <c r="PLF85" s="974"/>
      <c r="PLG85" s="974"/>
      <c r="PLH85" s="974"/>
      <c r="PLI85" s="974"/>
      <c r="PLJ85" s="974"/>
      <c r="PLK85" s="974"/>
      <c r="PLL85" s="974"/>
      <c r="PLM85" s="974"/>
      <c r="PLN85" s="974"/>
      <c r="PLO85" s="974"/>
      <c r="PLP85" s="974"/>
      <c r="PLQ85" s="974"/>
      <c r="PLR85" s="974"/>
      <c r="PLS85" s="974"/>
      <c r="PLT85" s="974"/>
      <c r="PLU85" s="974"/>
      <c r="PLV85" s="974"/>
      <c r="PLW85" s="974"/>
      <c r="PLX85" s="974"/>
      <c r="PLY85" s="974"/>
      <c r="PLZ85" s="974"/>
      <c r="PMA85" s="974"/>
      <c r="PMB85" s="974"/>
      <c r="PMC85" s="974"/>
      <c r="PMD85" s="974"/>
      <c r="PME85" s="974"/>
      <c r="PMF85" s="974"/>
      <c r="PMG85" s="974"/>
      <c r="PMH85" s="974"/>
      <c r="PMI85" s="974"/>
      <c r="PMJ85" s="974"/>
      <c r="PMK85" s="974"/>
      <c r="PML85" s="974"/>
      <c r="PMM85" s="974"/>
      <c r="PMN85" s="974"/>
      <c r="PMO85" s="974"/>
      <c r="PMP85" s="974"/>
      <c r="PMQ85" s="974"/>
      <c r="PMR85" s="974"/>
      <c r="PMS85" s="974"/>
      <c r="PMT85" s="974"/>
      <c r="PMU85" s="974"/>
      <c r="PMV85" s="974"/>
      <c r="PMW85" s="974"/>
      <c r="PMX85" s="974"/>
      <c r="PMY85" s="974"/>
      <c r="PMZ85" s="974"/>
      <c r="PNA85" s="974"/>
      <c r="PNB85" s="974"/>
      <c r="PNC85" s="974"/>
      <c r="PND85" s="974"/>
      <c r="PNE85" s="974"/>
      <c r="PNF85" s="974"/>
      <c r="PNG85" s="974"/>
      <c r="PNH85" s="974"/>
      <c r="PNI85" s="974"/>
      <c r="PNJ85" s="974"/>
      <c r="PNK85" s="974"/>
      <c r="PNL85" s="974"/>
      <c r="PNM85" s="974"/>
      <c r="PNN85" s="974"/>
      <c r="PNO85" s="974"/>
      <c r="PNP85" s="974"/>
      <c r="PNQ85" s="974"/>
      <c r="PNR85" s="974"/>
      <c r="PNS85" s="974"/>
      <c r="PNT85" s="974"/>
      <c r="PNU85" s="974"/>
      <c r="PNV85" s="974"/>
      <c r="PNW85" s="974"/>
      <c r="PNX85" s="974"/>
      <c r="PNY85" s="974"/>
      <c r="PNZ85" s="974"/>
      <c r="POA85" s="974"/>
      <c r="POB85" s="974"/>
      <c r="POC85" s="974"/>
      <c r="POD85" s="974"/>
      <c r="POE85" s="974"/>
      <c r="POF85" s="974"/>
      <c r="POG85" s="974"/>
      <c r="POH85" s="974"/>
      <c r="POI85" s="974"/>
      <c r="POJ85" s="974"/>
      <c r="POK85" s="974"/>
      <c r="POL85" s="974"/>
      <c r="POM85" s="974"/>
      <c r="PON85" s="974"/>
      <c r="POO85" s="974"/>
      <c r="POP85" s="974"/>
      <c r="POQ85" s="974"/>
      <c r="POR85" s="974"/>
      <c r="POS85" s="974"/>
      <c r="POT85" s="974"/>
      <c r="POU85" s="974"/>
      <c r="POV85" s="974"/>
      <c r="POW85" s="974"/>
      <c r="POX85" s="974"/>
      <c r="POY85" s="974"/>
      <c r="POZ85" s="974"/>
      <c r="PPA85" s="974"/>
      <c r="PPB85" s="974"/>
      <c r="PPC85" s="974"/>
      <c r="PPD85" s="974"/>
      <c r="PPE85" s="974"/>
      <c r="PPF85" s="974"/>
      <c r="PPG85" s="974"/>
      <c r="PPH85" s="974"/>
      <c r="PPI85" s="974"/>
      <c r="PPJ85" s="974"/>
      <c r="PPK85" s="974"/>
      <c r="PPL85" s="974"/>
      <c r="PPM85" s="974"/>
      <c r="PPN85" s="974"/>
      <c r="PPO85" s="974"/>
      <c r="PPP85" s="974"/>
      <c r="PPQ85" s="974"/>
      <c r="PPR85" s="974"/>
      <c r="PPS85" s="974"/>
      <c r="PPT85" s="974"/>
      <c r="PPU85" s="974"/>
      <c r="PPV85" s="974"/>
      <c r="PPW85" s="974"/>
      <c r="PPX85" s="974"/>
      <c r="PPY85" s="974"/>
      <c r="PPZ85" s="974"/>
      <c r="PQA85" s="974"/>
      <c r="PQB85" s="974"/>
      <c r="PQC85" s="974"/>
      <c r="PQD85" s="974"/>
      <c r="PQE85" s="974"/>
      <c r="PQF85" s="974"/>
      <c r="PQG85" s="974"/>
      <c r="PQH85" s="974"/>
      <c r="PQI85" s="974"/>
      <c r="PQJ85" s="974"/>
      <c r="PQK85" s="974"/>
      <c r="PQL85" s="974"/>
      <c r="PQM85" s="974"/>
      <c r="PQN85" s="974"/>
      <c r="PQO85" s="974"/>
      <c r="PQP85" s="974"/>
      <c r="PQQ85" s="974"/>
      <c r="PQR85" s="974"/>
      <c r="PQS85" s="974"/>
      <c r="PQT85" s="974"/>
      <c r="PQU85" s="974"/>
      <c r="PQV85" s="974"/>
      <c r="PQW85" s="974"/>
      <c r="PQX85" s="974"/>
      <c r="PQY85" s="974"/>
      <c r="PQZ85" s="974"/>
      <c r="PRA85" s="974"/>
      <c r="PRB85" s="974"/>
      <c r="PRC85" s="974"/>
      <c r="PRD85" s="974"/>
      <c r="PRE85" s="974"/>
      <c r="PRF85" s="974"/>
      <c r="PRG85" s="974"/>
      <c r="PRH85" s="974"/>
      <c r="PRI85" s="974"/>
      <c r="PRJ85" s="974"/>
      <c r="PRK85" s="974"/>
      <c r="PRL85" s="974"/>
      <c r="PRM85" s="974"/>
      <c r="PRN85" s="974"/>
      <c r="PRO85" s="974"/>
      <c r="PRP85" s="974"/>
      <c r="PRQ85" s="974"/>
      <c r="PRR85" s="974"/>
      <c r="PRS85" s="974"/>
      <c r="PRT85" s="974"/>
      <c r="PRU85" s="974"/>
      <c r="PRV85" s="974"/>
      <c r="PRW85" s="974"/>
      <c r="PRX85" s="974"/>
      <c r="PRY85" s="974"/>
      <c r="PRZ85" s="974"/>
      <c r="PSA85" s="974"/>
      <c r="PSB85" s="974"/>
      <c r="PSC85" s="974"/>
      <c r="PSD85" s="974"/>
      <c r="PSE85" s="974"/>
      <c r="PSF85" s="974"/>
      <c r="PSG85" s="974"/>
      <c r="PSH85" s="974"/>
      <c r="PSI85" s="974"/>
      <c r="PSJ85" s="974"/>
      <c r="PSK85" s="974"/>
      <c r="PSL85" s="974"/>
      <c r="PSM85" s="974"/>
      <c r="PSN85" s="974"/>
      <c r="PSO85" s="974"/>
      <c r="PSP85" s="974"/>
      <c r="PSQ85" s="974"/>
      <c r="PSR85" s="974"/>
      <c r="PSS85" s="974"/>
      <c r="PST85" s="974"/>
      <c r="PSU85" s="974"/>
      <c r="PSV85" s="974"/>
      <c r="PSW85" s="974"/>
      <c r="PSX85" s="974"/>
      <c r="PSY85" s="974"/>
      <c r="PSZ85" s="974"/>
      <c r="PTA85" s="974"/>
      <c r="PTB85" s="974"/>
      <c r="PTC85" s="974"/>
      <c r="PTD85" s="974"/>
      <c r="PTE85" s="974"/>
      <c r="PTF85" s="974"/>
      <c r="PTG85" s="974"/>
      <c r="PTH85" s="974"/>
      <c r="PTI85" s="974"/>
      <c r="PTJ85" s="974"/>
      <c r="PTK85" s="974"/>
      <c r="PTL85" s="974"/>
      <c r="PTM85" s="974"/>
      <c r="PTN85" s="974"/>
      <c r="PTO85" s="974"/>
      <c r="PTP85" s="974"/>
      <c r="PTQ85" s="974"/>
      <c r="PTR85" s="974"/>
      <c r="PTS85" s="974"/>
      <c r="PTT85" s="974"/>
      <c r="PTU85" s="974"/>
      <c r="PTV85" s="974"/>
      <c r="PTW85" s="974"/>
      <c r="PTX85" s="974"/>
      <c r="PTY85" s="974"/>
      <c r="PTZ85" s="974"/>
      <c r="PUA85" s="974"/>
      <c r="PUB85" s="974"/>
      <c r="PUC85" s="974"/>
      <c r="PUD85" s="974"/>
      <c r="PUE85" s="974"/>
      <c r="PUF85" s="974"/>
      <c r="PUG85" s="974"/>
      <c r="PUH85" s="974"/>
      <c r="PUI85" s="974"/>
      <c r="PUJ85" s="974"/>
      <c r="PUK85" s="974"/>
      <c r="PUL85" s="974"/>
      <c r="PUM85" s="974"/>
      <c r="PUN85" s="974"/>
      <c r="PUO85" s="974"/>
      <c r="PUP85" s="974"/>
      <c r="PUQ85" s="974"/>
      <c r="PUR85" s="974"/>
      <c r="PUS85" s="974"/>
      <c r="PUT85" s="974"/>
      <c r="PUU85" s="974"/>
      <c r="PUV85" s="974"/>
      <c r="PUW85" s="974"/>
      <c r="PUX85" s="974"/>
      <c r="PUY85" s="974"/>
      <c r="PUZ85" s="974"/>
      <c r="PVA85" s="974"/>
      <c r="PVB85" s="974"/>
      <c r="PVC85" s="974"/>
      <c r="PVD85" s="974"/>
      <c r="PVE85" s="974"/>
      <c r="PVF85" s="974"/>
      <c r="PVG85" s="974"/>
      <c r="PVH85" s="974"/>
      <c r="PVI85" s="974"/>
      <c r="PVJ85" s="974"/>
      <c r="PVK85" s="974"/>
      <c r="PVL85" s="974"/>
      <c r="PVM85" s="974"/>
      <c r="PVN85" s="974"/>
      <c r="PVO85" s="974"/>
      <c r="PVP85" s="974"/>
      <c r="PVQ85" s="974"/>
      <c r="PVR85" s="974"/>
      <c r="PVS85" s="974"/>
      <c r="PVT85" s="974"/>
      <c r="PVU85" s="974"/>
      <c r="PVV85" s="974"/>
      <c r="PVW85" s="974"/>
      <c r="PVX85" s="974"/>
      <c r="PVY85" s="974"/>
      <c r="PVZ85" s="974"/>
      <c r="PWA85" s="974"/>
      <c r="PWB85" s="974"/>
      <c r="PWC85" s="974"/>
      <c r="PWD85" s="974"/>
      <c r="PWE85" s="974"/>
      <c r="PWF85" s="974"/>
      <c r="PWG85" s="974"/>
      <c r="PWH85" s="974"/>
      <c r="PWI85" s="974"/>
      <c r="PWJ85" s="974"/>
      <c r="PWK85" s="974"/>
      <c r="PWL85" s="974"/>
      <c r="PWM85" s="974"/>
      <c r="PWN85" s="974"/>
      <c r="PWO85" s="974"/>
      <c r="PWP85" s="974"/>
      <c r="PWQ85" s="974"/>
      <c r="PWR85" s="974"/>
      <c r="PWS85" s="974"/>
      <c r="PWT85" s="974"/>
      <c r="PWU85" s="974"/>
      <c r="PWV85" s="974"/>
      <c r="PWW85" s="974"/>
      <c r="PWX85" s="974"/>
      <c r="PWY85" s="974"/>
      <c r="PWZ85" s="974"/>
      <c r="PXA85" s="974"/>
      <c r="PXB85" s="974"/>
      <c r="PXC85" s="974"/>
      <c r="PXD85" s="974"/>
      <c r="PXE85" s="974"/>
      <c r="PXF85" s="974"/>
      <c r="PXG85" s="974"/>
      <c r="PXH85" s="974"/>
      <c r="PXI85" s="974"/>
      <c r="PXJ85" s="974"/>
      <c r="PXK85" s="974"/>
      <c r="PXL85" s="974"/>
      <c r="PXM85" s="974"/>
      <c r="PXN85" s="974"/>
      <c r="PXO85" s="974"/>
      <c r="PXP85" s="974"/>
      <c r="PXQ85" s="974"/>
      <c r="PXR85" s="974"/>
      <c r="PXS85" s="974"/>
      <c r="PXT85" s="974"/>
      <c r="PXU85" s="974"/>
      <c r="PXV85" s="974"/>
      <c r="PXW85" s="974"/>
      <c r="PXX85" s="974"/>
      <c r="PXY85" s="974"/>
      <c r="PXZ85" s="974"/>
      <c r="PYA85" s="974"/>
      <c r="PYB85" s="974"/>
      <c r="PYC85" s="974"/>
      <c r="PYD85" s="974"/>
      <c r="PYE85" s="974"/>
      <c r="PYF85" s="974"/>
      <c r="PYG85" s="974"/>
      <c r="PYH85" s="974"/>
      <c r="PYI85" s="974"/>
      <c r="PYJ85" s="974"/>
      <c r="PYK85" s="974"/>
      <c r="PYL85" s="974"/>
      <c r="PYM85" s="974"/>
      <c r="PYN85" s="974"/>
      <c r="PYO85" s="974"/>
      <c r="PYP85" s="974"/>
      <c r="PYQ85" s="974"/>
      <c r="PYR85" s="974"/>
      <c r="PYS85" s="974"/>
      <c r="PYT85" s="974"/>
      <c r="PYU85" s="974"/>
      <c r="PYV85" s="974"/>
      <c r="PYW85" s="974"/>
      <c r="PYX85" s="974"/>
      <c r="PYY85" s="974"/>
      <c r="PYZ85" s="974"/>
      <c r="PZA85" s="974"/>
      <c r="PZB85" s="974"/>
      <c r="PZC85" s="974"/>
      <c r="PZD85" s="974"/>
      <c r="PZE85" s="974"/>
      <c r="PZF85" s="974"/>
      <c r="PZG85" s="974"/>
      <c r="PZH85" s="974"/>
      <c r="PZI85" s="974"/>
      <c r="PZJ85" s="974"/>
      <c r="PZK85" s="974"/>
      <c r="PZL85" s="974"/>
      <c r="PZM85" s="974"/>
      <c r="PZN85" s="974"/>
      <c r="PZO85" s="974"/>
      <c r="PZP85" s="974"/>
      <c r="PZQ85" s="974"/>
      <c r="PZR85" s="974"/>
      <c r="PZS85" s="974"/>
      <c r="PZT85" s="974"/>
      <c r="PZU85" s="974"/>
      <c r="PZV85" s="974"/>
      <c r="PZW85" s="974"/>
      <c r="PZX85" s="974"/>
      <c r="PZY85" s="974"/>
      <c r="PZZ85" s="974"/>
      <c r="QAA85" s="974"/>
      <c r="QAB85" s="974"/>
      <c r="QAC85" s="974"/>
      <c r="QAD85" s="974"/>
      <c r="QAE85" s="974"/>
      <c r="QAF85" s="974"/>
      <c r="QAG85" s="974"/>
      <c r="QAH85" s="974"/>
      <c r="QAI85" s="974"/>
      <c r="QAJ85" s="974"/>
      <c r="QAK85" s="974"/>
      <c r="QAL85" s="974"/>
      <c r="QAM85" s="974"/>
      <c r="QAN85" s="974"/>
      <c r="QAO85" s="974"/>
      <c r="QAP85" s="974"/>
      <c r="QAQ85" s="974"/>
      <c r="QAR85" s="974"/>
      <c r="QAS85" s="974"/>
      <c r="QAT85" s="974"/>
      <c r="QAU85" s="974"/>
      <c r="QAV85" s="974"/>
      <c r="QAW85" s="974"/>
      <c r="QAX85" s="974"/>
      <c r="QAY85" s="974"/>
      <c r="QAZ85" s="974"/>
      <c r="QBA85" s="974"/>
      <c r="QBB85" s="974"/>
      <c r="QBC85" s="974"/>
      <c r="QBD85" s="974"/>
      <c r="QBE85" s="974"/>
      <c r="QBF85" s="974"/>
      <c r="QBG85" s="974"/>
      <c r="QBH85" s="974"/>
      <c r="QBI85" s="974"/>
      <c r="QBJ85" s="974"/>
      <c r="QBK85" s="974"/>
      <c r="QBL85" s="974"/>
      <c r="QBM85" s="974"/>
      <c r="QBN85" s="974"/>
      <c r="QBO85" s="974"/>
      <c r="QBP85" s="974"/>
      <c r="QBQ85" s="974"/>
      <c r="QBR85" s="974"/>
      <c r="QBS85" s="974"/>
      <c r="QBT85" s="974"/>
      <c r="QBU85" s="974"/>
      <c r="QBV85" s="974"/>
      <c r="QBW85" s="974"/>
      <c r="QBX85" s="974"/>
      <c r="QBY85" s="974"/>
      <c r="QBZ85" s="974"/>
      <c r="QCA85" s="974"/>
      <c r="QCB85" s="974"/>
      <c r="QCC85" s="974"/>
      <c r="QCD85" s="974"/>
      <c r="QCE85" s="974"/>
      <c r="QCF85" s="974"/>
      <c r="QCG85" s="974"/>
      <c r="QCH85" s="974"/>
      <c r="QCI85" s="974"/>
      <c r="QCJ85" s="974"/>
      <c r="QCK85" s="974"/>
      <c r="QCL85" s="974"/>
      <c r="QCM85" s="974"/>
      <c r="QCN85" s="974"/>
      <c r="QCO85" s="974"/>
      <c r="QCP85" s="974"/>
      <c r="QCQ85" s="974"/>
      <c r="QCR85" s="974"/>
      <c r="QCS85" s="974"/>
      <c r="QCT85" s="974"/>
      <c r="QCU85" s="974"/>
      <c r="QCV85" s="974"/>
      <c r="QCW85" s="974"/>
      <c r="QCX85" s="974"/>
      <c r="QCY85" s="974"/>
      <c r="QCZ85" s="974"/>
      <c r="QDA85" s="974"/>
      <c r="QDB85" s="974"/>
      <c r="QDC85" s="974"/>
      <c r="QDD85" s="974"/>
      <c r="QDE85" s="974"/>
      <c r="QDF85" s="974"/>
      <c r="QDG85" s="974"/>
      <c r="QDH85" s="974"/>
      <c r="QDI85" s="974"/>
      <c r="QDJ85" s="974"/>
      <c r="QDK85" s="974"/>
      <c r="QDL85" s="974"/>
      <c r="QDM85" s="974"/>
      <c r="QDN85" s="974"/>
      <c r="QDO85" s="974"/>
      <c r="QDP85" s="974"/>
      <c r="QDQ85" s="974"/>
      <c r="QDR85" s="974"/>
      <c r="QDS85" s="974"/>
      <c r="QDT85" s="974"/>
      <c r="QDU85" s="974"/>
      <c r="QDV85" s="974"/>
      <c r="QDW85" s="974"/>
      <c r="QDX85" s="974"/>
      <c r="QDY85" s="974"/>
      <c r="QDZ85" s="974"/>
      <c r="QEA85" s="974"/>
      <c r="QEB85" s="974"/>
      <c r="QEC85" s="974"/>
      <c r="QED85" s="974"/>
      <c r="QEE85" s="974"/>
      <c r="QEF85" s="974"/>
      <c r="QEG85" s="974"/>
      <c r="QEH85" s="974"/>
      <c r="QEI85" s="974"/>
      <c r="QEJ85" s="974"/>
      <c r="QEK85" s="974"/>
      <c r="QEL85" s="974"/>
      <c r="QEM85" s="974"/>
      <c r="QEN85" s="974"/>
      <c r="QEO85" s="974"/>
      <c r="QEP85" s="974"/>
      <c r="QEQ85" s="974"/>
      <c r="QER85" s="974"/>
      <c r="QES85" s="974"/>
      <c r="QET85" s="974"/>
      <c r="QEU85" s="974"/>
      <c r="QEV85" s="974"/>
      <c r="QEW85" s="974"/>
      <c r="QEX85" s="974"/>
      <c r="QEY85" s="974"/>
      <c r="QEZ85" s="974"/>
      <c r="QFA85" s="974"/>
      <c r="QFB85" s="974"/>
      <c r="QFC85" s="974"/>
      <c r="QFD85" s="974"/>
      <c r="QFE85" s="974"/>
      <c r="QFF85" s="974"/>
      <c r="QFG85" s="974"/>
      <c r="QFH85" s="974"/>
      <c r="QFI85" s="974"/>
      <c r="QFJ85" s="974"/>
      <c r="QFK85" s="974"/>
      <c r="QFL85" s="974"/>
      <c r="QFM85" s="974"/>
      <c r="QFN85" s="974"/>
      <c r="QFO85" s="974"/>
      <c r="QFP85" s="974"/>
      <c r="QFQ85" s="974"/>
      <c r="QFR85" s="974"/>
      <c r="QFS85" s="974"/>
      <c r="QFT85" s="974"/>
      <c r="QFU85" s="974"/>
      <c r="QFV85" s="974"/>
      <c r="QFW85" s="974"/>
      <c r="QFX85" s="974"/>
      <c r="QFY85" s="974"/>
      <c r="QFZ85" s="974"/>
      <c r="QGA85" s="974"/>
      <c r="QGB85" s="974"/>
      <c r="QGC85" s="974"/>
      <c r="QGD85" s="974"/>
      <c r="QGE85" s="974"/>
      <c r="QGF85" s="974"/>
      <c r="QGG85" s="974"/>
      <c r="QGH85" s="974"/>
      <c r="QGI85" s="974"/>
      <c r="QGJ85" s="974"/>
      <c r="QGK85" s="974"/>
      <c r="QGL85" s="974"/>
      <c r="QGM85" s="974"/>
      <c r="QGN85" s="974"/>
      <c r="QGO85" s="974"/>
      <c r="QGP85" s="974"/>
      <c r="QGQ85" s="974"/>
      <c r="QGR85" s="974"/>
      <c r="QGS85" s="974"/>
      <c r="QGT85" s="974"/>
      <c r="QGU85" s="974"/>
      <c r="QGV85" s="974"/>
      <c r="QGW85" s="974"/>
      <c r="QGX85" s="974"/>
      <c r="QGY85" s="974"/>
      <c r="QGZ85" s="974"/>
      <c r="QHA85" s="974"/>
      <c r="QHB85" s="974"/>
      <c r="QHC85" s="974"/>
      <c r="QHD85" s="974"/>
      <c r="QHE85" s="974"/>
      <c r="QHF85" s="974"/>
      <c r="QHG85" s="974"/>
      <c r="QHH85" s="974"/>
      <c r="QHI85" s="974"/>
      <c r="QHJ85" s="974"/>
      <c r="QHK85" s="974"/>
      <c r="QHL85" s="974"/>
      <c r="QHM85" s="974"/>
      <c r="QHN85" s="974"/>
      <c r="QHO85" s="974"/>
      <c r="QHP85" s="974"/>
      <c r="QHQ85" s="974"/>
      <c r="QHR85" s="974"/>
      <c r="QHS85" s="974"/>
      <c r="QHT85" s="974"/>
      <c r="QHU85" s="974"/>
      <c r="QHV85" s="974"/>
      <c r="QHW85" s="974"/>
      <c r="QHX85" s="974"/>
      <c r="QHY85" s="974"/>
      <c r="QHZ85" s="974"/>
      <c r="QIA85" s="974"/>
      <c r="QIB85" s="974"/>
      <c r="QIC85" s="974"/>
      <c r="QID85" s="974"/>
      <c r="QIE85" s="974"/>
      <c r="QIF85" s="974"/>
      <c r="QIG85" s="974"/>
      <c r="QIH85" s="974"/>
      <c r="QII85" s="974"/>
      <c r="QIJ85" s="974"/>
      <c r="QIK85" s="974"/>
      <c r="QIL85" s="974"/>
      <c r="QIM85" s="974"/>
      <c r="QIN85" s="974"/>
      <c r="QIO85" s="974"/>
      <c r="QIP85" s="974"/>
      <c r="QIQ85" s="974"/>
      <c r="QIR85" s="974"/>
      <c r="QIS85" s="974"/>
      <c r="QIT85" s="974"/>
      <c r="QIU85" s="974"/>
      <c r="QIV85" s="974"/>
      <c r="QIW85" s="974"/>
      <c r="QIX85" s="974"/>
      <c r="QIY85" s="974"/>
      <c r="QIZ85" s="974"/>
      <c r="QJA85" s="974"/>
      <c r="QJB85" s="974"/>
      <c r="QJC85" s="974"/>
      <c r="QJD85" s="974"/>
      <c r="QJE85" s="974"/>
      <c r="QJF85" s="974"/>
      <c r="QJG85" s="974"/>
      <c r="QJH85" s="974"/>
      <c r="QJI85" s="974"/>
      <c r="QJJ85" s="974"/>
      <c r="QJK85" s="974"/>
      <c r="QJL85" s="974"/>
      <c r="QJM85" s="974"/>
      <c r="QJN85" s="974"/>
      <c r="QJO85" s="974"/>
      <c r="QJP85" s="974"/>
      <c r="QJQ85" s="974"/>
      <c r="QJR85" s="974"/>
      <c r="QJS85" s="974"/>
      <c r="QJT85" s="974"/>
      <c r="QJU85" s="974"/>
      <c r="QJV85" s="974"/>
      <c r="QJW85" s="974"/>
      <c r="QJX85" s="974"/>
      <c r="QJY85" s="974"/>
      <c r="QJZ85" s="974"/>
      <c r="QKA85" s="974"/>
      <c r="QKB85" s="974"/>
      <c r="QKC85" s="974"/>
      <c r="QKD85" s="974"/>
      <c r="QKE85" s="974"/>
      <c r="QKF85" s="974"/>
      <c r="QKG85" s="974"/>
      <c r="QKH85" s="974"/>
      <c r="QKI85" s="974"/>
      <c r="QKJ85" s="974"/>
      <c r="QKK85" s="974"/>
      <c r="QKL85" s="974"/>
      <c r="QKM85" s="974"/>
      <c r="QKN85" s="974"/>
      <c r="QKO85" s="974"/>
      <c r="QKP85" s="974"/>
      <c r="QKQ85" s="974"/>
      <c r="QKR85" s="974"/>
      <c r="QKS85" s="974"/>
      <c r="QKT85" s="974"/>
      <c r="QKU85" s="974"/>
      <c r="QKV85" s="974"/>
      <c r="QKW85" s="974"/>
      <c r="QKX85" s="974"/>
      <c r="QKY85" s="974"/>
      <c r="QKZ85" s="974"/>
      <c r="QLA85" s="974"/>
      <c r="QLB85" s="974"/>
      <c r="QLC85" s="974"/>
      <c r="QLD85" s="974"/>
      <c r="QLE85" s="974"/>
      <c r="QLF85" s="974"/>
      <c r="QLG85" s="974"/>
      <c r="QLH85" s="974"/>
      <c r="QLI85" s="974"/>
      <c r="QLJ85" s="974"/>
      <c r="QLK85" s="974"/>
      <c r="QLL85" s="974"/>
      <c r="QLM85" s="974"/>
      <c r="QLN85" s="974"/>
      <c r="QLO85" s="974"/>
      <c r="QLP85" s="974"/>
      <c r="QLQ85" s="974"/>
      <c r="QLR85" s="974"/>
      <c r="QLS85" s="974"/>
      <c r="QLT85" s="974"/>
      <c r="QLU85" s="974"/>
      <c r="QLV85" s="974"/>
      <c r="QLW85" s="974"/>
      <c r="QLX85" s="974"/>
      <c r="QLY85" s="974"/>
      <c r="QLZ85" s="974"/>
      <c r="QMA85" s="974"/>
      <c r="QMB85" s="974"/>
      <c r="QMC85" s="974"/>
      <c r="QMD85" s="974"/>
      <c r="QME85" s="974"/>
      <c r="QMF85" s="974"/>
      <c r="QMG85" s="974"/>
      <c r="QMH85" s="974"/>
      <c r="QMI85" s="974"/>
      <c r="QMJ85" s="974"/>
      <c r="QMK85" s="974"/>
      <c r="QML85" s="974"/>
      <c r="QMM85" s="974"/>
      <c r="QMN85" s="974"/>
      <c r="QMO85" s="974"/>
      <c r="QMP85" s="974"/>
      <c r="QMQ85" s="974"/>
      <c r="QMR85" s="974"/>
      <c r="QMS85" s="974"/>
      <c r="QMT85" s="974"/>
      <c r="QMU85" s="974"/>
      <c r="QMV85" s="974"/>
      <c r="QMW85" s="974"/>
      <c r="QMX85" s="974"/>
      <c r="QMY85" s="974"/>
      <c r="QMZ85" s="974"/>
      <c r="QNA85" s="974"/>
      <c r="QNB85" s="974"/>
      <c r="QNC85" s="974"/>
      <c r="QND85" s="974"/>
      <c r="QNE85" s="974"/>
      <c r="QNF85" s="974"/>
      <c r="QNG85" s="974"/>
      <c r="QNH85" s="974"/>
      <c r="QNI85" s="974"/>
      <c r="QNJ85" s="974"/>
      <c r="QNK85" s="974"/>
      <c r="QNL85" s="974"/>
      <c r="QNM85" s="974"/>
      <c r="QNN85" s="974"/>
      <c r="QNO85" s="974"/>
      <c r="QNP85" s="974"/>
      <c r="QNQ85" s="974"/>
      <c r="QNR85" s="974"/>
      <c r="QNS85" s="974"/>
      <c r="QNT85" s="974"/>
      <c r="QNU85" s="974"/>
      <c r="QNV85" s="974"/>
      <c r="QNW85" s="974"/>
      <c r="QNX85" s="974"/>
      <c r="QNY85" s="974"/>
      <c r="QNZ85" s="974"/>
      <c r="QOA85" s="974"/>
      <c r="QOB85" s="974"/>
      <c r="QOC85" s="974"/>
      <c r="QOD85" s="974"/>
      <c r="QOE85" s="974"/>
      <c r="QOF85" s="974"/>
      <c r="QOG85" s="974"/>
      <c r="QOH85" s="974"/>
      <c r="QOI85" s="974"/>
      <c r="QOJ85" s="974"/>
      <c r="QOK85" s="974"/>
      <c r="QOL85" s="974"/>
      <c r="QOM85" s="974"/>
      <c r="QON85" s="974"/>
      <c r="QOO85" s="974"/>
      <c r="QOP85" s="974"/>
      <c r="QOQ85" s="974"/>
      <c r="QOR85" s="974"/>
      <c r="QOS85" s="974"/>
      <c r="QOT85" s="974"/>
      <c r="QOU85" s="974"/>
      <c r="QOV85" s="974"/>
      <c r="QOW85" s="974"/>
      <c r="QOX85" s="974"/>
      <c r="QOY85" s="974"/>
      <c r="QOZ85" s="974"/>
      <c r="QPA85" s="974"/>
      <c r="QPB85" s="974"/>
      <c r="QPC85" s="974"/>
      <c r="QPD85" s="974"/>
      <c r="QPE85" s="974"/>
      <c r="QPF85" s="974"/>
      <c r="QPG85" s="974"/>
      <c r="QPH85" s="974"/>
      <c r="QPI85" s="974"/>
      <c r="QPJ85" s="974"/>
      <c r="QPK85" s="974"/>
      <c r="QPL85" s="974"/>
      <c r="QPM85" s="974"/>
      <c r="QPN85" s="974"/>
      <c r="QPO85" s="974"/>
      <c r="QPP85" s="974"/>
      <c r="QPQ85" s="974"/>
      <c r="QPR85" s="974"/>
      <c r="QPS85" s="974"/>
      <c r="QPT85" s="974"/>
      <c r="QPU85" s="974"/>
      <c r="QPV85" s="974"/>
      <c r="QPW85" s="974"/>
      <c r="QPX85" s="974"/>
      <c r="QPY85" s="974"/>
      <c r="QPZ85" s="974"/>
      <c r="QQA85" s="974"/>
      <c r="QQB85" s="974"/>
      <c r="QQC85" s="974"/>
      <c r="QQD85" s="974"/>
      <c r="QQE85" s="974"/>
      <c r="QQF85" s="974"/>
      <c r="QQG85" s="974"/>
      <c r="QQH85" s="974"/>
      <c r="QQI85" s="974"/>
      <c r="QQJ85" s="974"/>
      <c r="QQK85" s="974"/>
      <c r="QQL85" s="974"/>
      <c r="QQM85" s="974"/>
      <c r="QQN85" s="974"/>
      <c r="QQO85" s="974"/>
      <c r="QQP85" s="974"/>
      <c r="QQQ85" s="974"/>
      <c r="QQR85" s="974"/>
      <c r="QQS85" s="974"/>
      <c r="QQT85" s="974"/>
      <c r="QQU85" s="974"/>
      <c r="QQV85" s="974"/>
      <c r="QQW85" s="974"/>
      <c r="QQX85" s="974"/>
      <c r="QQY85" s="974"/>
      <c r="QQZ85" s="974"/>
      <c r="QRA85" s="974"/>
      <c r="QRB85" s="974"/>
      <c r="QRC85" s="974"/>
      <c r="QRD85" s="974"/>
      <c r="QRE85" s="974"/>
      <c r="QRF85" s="974"/>
      <c r="QRG85" s="974"/>
      <c r="QRH85" s="974"/>
      <c r="QRI85" s="974"/>
      <c r="QRJ85" s="974"/>
      <c r="QRK85" s="974"/>
      <c r="QRL85" s="974"/>
      <c r="QRM85" s="974"/>
      <c r="QRN85" s="974"/>
      <c r="QRO85" s="974"/>
      <c r="QRP85" s="974"/>
      <c r="QRQ85" s="974"/>
      <c r="QRR85" s="974"/>
      <c r="QRS85" s="974"/>
      <c r="QRT85" s="974"/>
      <c r="QRU85" s="974"/>
      <c r="QRV85" s="974"/>
      <c r="QRW85" s="974"/>
      <c r="QRX85" s="974"/>
      <c r="QRY85" s="974"/>
      <c r="QRZ85" s="974"/>
      <c r="QSA85" s="974"/>
      <c r="QSB85" s="974"/>
      <c r="QSC85" s="974"/>
      <c r="QSD85" s="974"/>
      <c r="QSE85" s="974"/>
      <c r="QSF85" s="974"/>
      <c r="QSG85" s="974"/>
      <c r="QSH85" s="974"/>
      <c r="QSI85" s="974"/>
      <c r="QSJ85" s="974"/>
      <c r="QSK85" s="974"/>
      <c r="QSL85" s="974"/>
      <c r="QSM85" s="974"/>
      <c r="QSN85" s="974"/>
      <c r="QSO85" s="974"/>
      <c r="QSP85" s="974"/>
      <c r="QSQ85" s="974"/>
      <c r="QSR85" s="974"/>
      <c r="QSS85" s="974"/>
      <c r="QST85" s="974"/>
      <c r="QSU85" s="974"/>
      <c r="QSV85" s="974"/>
      <c r="QSW85" s="974"/>
      <c r="QSX85" s="974"/>
      <c r="QSY85" s="974"/>
      <c r="QSZ85" s="974"/>
      <c r="QTA85" s="974"/>
      <c r="QTB85" s="974"/>
      <c r="QTC85" s="974"/>
      <c r="QTD85" s="974"/>
      <c r="QTE85" s="974"/>
      <c r="QTF85" s="974"/>
      <c r="QTG85" s="974"/>
      <c r="QTH85" s="974"/>
      <c r="QTI85" s="974"/>
      <c r="QTJ85" s="974"/>
      <c r="QTK85" s="974"/>
      <c r="QTL85" s="974"/>
      <c r="QTM85" s="974"/>
      <c r="QTN85" s="974"/>
      <c r="QTO85" s="974"/>
      <c r="QTP85" s="974"/>
      <c r="QTQ85" s="974"/>
      <c r="QTR85" s="974"/>
      <c r="QTS85" s="974"/>
      <c r="QTT85" s="974"/>
      <c r="QTU85" s="974"/>
      <c r="QTV85" s="974"/>
      <c r="QTW85" s="974"/>
      <c r="QTX85" s="974"/>
      <c r="QTY85" s="974"/>
      <c r="QTZ85" s="974"/>
      <c r="QUA85" s="974"/>
      <c r="QUB85" s="974"/>
      <c r="QUC85" s="974"/>
      <c r="QUD85" s="974"/>
      <c r="QUE85" s="974"/>
      <c r="QUF85" s="974"/>
      <c r="QUG85" s="974"/>
      <c r="QUH85" s="974"/>
      <c r="QUI85" s="974"/>
      <c r="QUJ85" s="974"/>
      <c r="QUK85" s="974"/>
      <c r="QUL85" s="974"/>
      <c r="QUM85" s="974"/>
      <c r="QUN85" s="974"/>
      <c r="QUO85" s="974"/>
      <c r="QUP85" s="974"/>
      <c r="QUQ85" s="974"/>
      <c r="QUR85" s="974"/>
      <c r="QUS85" s="974"/>
      <c r="QUT85" s="974"/>
      <c r="QUU85" s="974"/>
      <c r="QUV85" s="974"/>
      <c r="QUW85" s="974"/>
      <c r="QUX85" s="974"/>
      <c r="QUY85" s="974"/>
      <c r="QUZ85" s="974"/>
      <c r="QVA85" s="974"/>
      <c r="QVB85" s="974"/>
      <c r="QVC85" s="974"/>
      <c r="QVD85" s="974"/>
      <c r="QVE85" s="974"/>
      <c r="QVF85" s="974"/>
      <c r="QVG85" s="974"/>
      <c r="QVH85" s="974"/>
      <c r="QVI85" s="974"/>
      <c r="QVJ85" s="974"/>
      <c r="QVK85" s="974"/>
      <c r="QVL85" s="974"/>
      <c r="QVM85" s="974"/>
      <c r="QVN85" s="974"/>
      <c r="QVO85" s="974"/>
      <c r="QVP85" s="974"/>
      <c r="QVQ85" s="974"/>
      <c r="QVR85" s="974"/>
      <c r="QVS85" s="974"/>
      <c r="QVT85" s="974"/>
      <c r="QVU85" s="974"/>
      <c r="QVV85" s="974"/>
      <c r="QVW85" s="974"/>
      <c r="QVX85" s="974"/>
      <c r="QVY85" s="974"/>
      <c r="QVZ85" s="974"/>
      <c r="QWA85" s="974"/>
      <c r="QWB85" s="974"/>
      <c r="QWC85" s="974"/>
      <c r="QWD85" s="974"/>
      <c r="QWE85" s="974"/>
      <c r="QWF85" s="974"/>
      <c r="QWG85" s="974"/>
      <c r="QWH85" s="974"/>
      <c r="QWI85" s="974"/>
      <c r="QWJ85" s="974"/>
      <c r="QWK85" s="974"/>
      <c r="QWL85" s="974"/>
      <c r="QWM85" s="974"/>
      <c r="QWN85" s="974"/>
      <c r="QWO85" s="974"/>
      <c r="QWP85" s="974"/>
      <c r="QWQ85" s="974"/>
      <c r="QWR85" s="974"/>
      <c r="QWS85" s="974"/>
      <c r="QWT85" s="974"/>
      <c r="QWU85" s="974"/>
      <c r="QWV85" s="974"/>
      <c r="QWW85" s="974"/>
      <c r="QWX85" s="974"/>
      <c r="QWY85" s="974"/>
      <c r="QWZ85" s="974"/>
      <c r="QXA85" s="974"/>
      <c r="QXB85" s="974"/>
      <c r="QXC85" s="974"/>
      <c r="QXD85" s="974"/>
      <c r="QXE85" s="974"/>
      <c r="QXF85" s="974"/>
      <c r="QXG85" s="974"/>
      <c r="QXH85" s="974"/>
      <c r="QXI85" s="974"/>
      <c r="QXJ85" s="974"/>
      <c r="QXK85" s="974"/>
      <c r="QXL85" s="974"/>
      <c r="QXM85" s="974"/>
      <c r="QXN85" s="974"/>
      <c r="QXO85" s="974"/>
      <c r="QXP85" s="974"/>
      <c r="QXQ85" s="974"/>
      <c r="QXR85" s="974"/>
      <c r="QXS85" s="974"/>
      <c r="QXT85" s="974"/>
      <c r="QXU85" s="974"/>
      <c r="QXV85" s="974"/>
      <c r="QXW85" s="974"/>
      <c r="QXX85" s="974"/>
      <c r="QXY85" s="974"/>
      <c r="QXZ85" s="974"/>
      <c r="QYA85" s="974"/>
      <c r="QYB85" s="974"/>
      <c r="QYC85" s="974"/>
      <c r="QYD85" s="974"/>
      <c r="QYE85" s="974"/>
      <c r="QYF85" s="974"/>
      <c r="QYG85" s="974"/>
      <c r="QYH85" s="974"/>
      <c r="QYI85" s="974"/>
      <c r="QYJ85" s="974"/>
      <c r="QYK85" s="974"/>
      <c r="QYL85" s="974"/>
      <c r="QYM85" s="974"/>
      <c r="QYN85" s="974"/>
      <c r="QYO85" s="974"/>
      <c r="QYP85" s="974"/>
      <c r="QYQ85" s="974"/>
      <c r="QYR85" s="974"/>
      <c r="QYS85" s="974"/>
      <c r="QYT85" s="974"/>
      <c r="QYU85" s="974"/>
      <c r="QYV85" s="974"/>
      <c r="QYW85" s="974"/>
      <c r="QYX85" s="974"/>
      <c r="QYY85" s="974"/>
      <c r="QYZ85" s="974"/>
      <c r="QZA85" s="974"/>
      <c r="QZB85" s="974"/>
      <c r="QZC85" s="974"/>
      <c r="QZD85" s="974"/>
      <c r="QZE85" s="974"/>
      <c r="QZF85" s="974"/>
      <c r="QZG85" s="974"/>
      <c r="QZH85" s="974"/>
      <c r="QZI85" s="974"/>
      <c r="QZJ85" s="974"/>
      <c r="QZK85" s="974"/>
      <c r="QZL85" s="974"/>
      <c r="QZM85" s="974"/>
      <c r="QZN85" s="974"/>
      <c r="QZO85" s="974"/>
      <c r="QZP85" s="974"/>
      <c r="QZQ85" s="974"/>
      <c r="QZR85" s="974"/>
      <c r="QZS85" s="974"/>
      <c r="QZT85" s="974"/>
      <c r="QZU85" s="974"/>
      <c r="QZV85" s="974"/>
      <c r="QZW85" s="974"/>
      <c r="QZX85" s="974"/>
      <c r="QZY85" s="974"/>
      <c r="QZZ85" s="974"/>
      <c r="RAA85" s="974"/>
      <c r="RAB85" s="974"/>
      <c r="RAC85" s="974"/>
      <c r="RAD85" s="974"/>
      <c r="RAE85" s="974"/>
      <c r="RAF85" s="974"/>
      <c r="RAG85" s="974"/>
      <c r="RAH85" s="974"/>
      <c r="RAI85" s="974"/>
      <c r="RAJ85" s="974"/>
      <c r="RAK85" s="974"/>
      <c r="RAL85" s="974"/>
      <c r="RAM85" s="974"/>
      <c r="RAN85" s="974"/>
      <c r="RAO85" s="974"/>
      <c r="RAP85" s="974"/>
      <c r="RAQ85" s="974"/>
      <c r="RAR85" s="974"/>
      <c r="RAS85" s="974"/>
      <c r="RAT85" s="974"/>
      <c r="RAU85" s="974"/>
      <c r="RAV85" s="974"/>
      <c r="RAW85" s="974"/>
      <c r="RAX85" s="974"/>
      <c r="RAY85" s="974"/>
      <c r="RAZ85" s="974"/>
      <c r="RBA85" s="974"/>
      <c r="RBB85" s="974"/>
      <c r="RBC85" s="974"/>
      <c r="RBD85" s="974"/>
      <c r="RBE85" s="974"/>
      <c r="RBF85" s="974"/>
      <c r="RBG85" s="974"/>
      <c r="RBH85" s="974"/>
      <c r="RBI85" s="974"/>
      <c r="RBJ85" s="974"/>
      <c r="RBK85" s="974"/>
      <c r="RBL85" s="974"/>
      <c r="RBM85" s="974"/>
      <c r="RBN85" s="974"/>
      <c r="RBO85" s="974"/>
      <c r="RBP85" s="974"/>
      <c r="RBQ85" s="974"/>
      <c r="RBR85" s="974"/>
      <c r="RBS85" s="974"/>
      <c r="RBT85" s="974"/>
      <c r="RBU85" s="974"/>
      <c r="RBV85" s="974"/>
      <c r="RBW85" s="974"/>
      <c r="RBX85" s="974"/>
      <c r="RBY85" s="974"/>
      <c r="RBZ85" s="974"/>
      <c r="RCA85" s="974"/>
      <c r="RCB85" s="974"/>
      <c r="RCC85" s="974"/>
      <c r="RCD85" s="974"/>
      <c r="RCE85" s="974"/>
      <c r="RCF85" s="974"/>
      <c r="RCG85" s="974"/>
      <c r="RCH85" s="974"/>
      <c r="RCI85" s="974"/>
      <c r="RCJ85" s="974"/>
      <c r="RCK85" s="974"/>
      <c r="RCL85" s="974"/>
      <c r="RCM85" s="974"/>
      <c r="RCN85" s="974"/>
      <c r="RCO85" s="974"/>
      <c r="RCP85" s="974"/>
      <c r="RCQ85" s="974"/>
      <c r="RCR85" s="974"/>
      <c r="RCS85" s="974"/>
      <c r="RCT85" s="974"/>
      <c r="RCU85" s="974"/>
      <c r="RCV85" s="974"/>
      <c r="RCW85" s="974"/>
      <c r="RCX85" s="974"/>
      <c r="RCY85" s="974"/>
      <c r="RCZ85" s="974"/>
      <c r="RDA85" s="974"/>
      <c r="RDB85" s="974"/>
      <c r="RDC85" s="974"/>
      <c r="RDD85" s="974"/>
      <c r="RDE85" s="974"/>
      <c r="RDF85" s="974"/>
      <c r="RDG85" s="974"/>
      <c r="RDH85" s="974"/>
      <c r="RDI85" s="974"/>
      <c r="RDJ85" s="974"/>
      <c r="RDK85" s="974"/>
      <c r="RDL85" s="974"/>
      <c r="RDM85" s="974"/>
      <c r="RDN85" s="974"/>
      <c r="RDO85" s="974"/>
      <c r="RDP85" s="974"/>
      <c r="RDQ85" s="974"/>
      <c r="RDR85" s="974"/>
      <c r="RDS85" s="974"/>
      <c r="RDT85" s="974"/>
      <c r="RDU85" s="974"/>
      <c r="RDV85" s="974"/>
      <c r="RDW85" s="974"/>
      <c r="RDX85" s="974"/>
      <c r="RDY85" s="974"/>
      <c r="RDZ85" s="974"/>
      <c r="REA85" s="974"/>
      <c r="REB85" s="974"/>
      <c r="REC85" s="974"/>
      <c r="RED85" s="974"/>
      <c r="REE85" s="974"/>
      <c r="REF85" s="974"/>
      <c r="REG85" s="974"/>
      <c r="REH85" s="974"/>
      <c r="REI85" s="974"/>
      <c r="REJ85" s="974"/>
      <c r="REK85" s="974"/>
      <c r="REL85" s="974"/>
      <c r="REM85" s="974"/>
      <c r="REN85" s="974"/>
      <c r="REO85" s="974"/>
      <c r="REP85" s="974"/>
      <c r="REQ85" s="974"/>
      <c r="RER85" s="974"/>
      <c r="RES85" s="974"/>
      <c r="RET85" s="974"/>
      <c r="REU85" s="974"/>
      <c r="REV85" s="974"/>
      <c r="REW85" s="974"/>
      <c r="REX85" s="974"/>
      <c r="REY85" s="974"/>
      <c r="REZ85" s="974"/>
      <c r="RFA85" s="974"/>
      <c r="RFB85" s="974"/>
      <c r="RFC85" s="974"/>
      <c r="RFD85" s="974"/>
      <c r="RFE85" s="974"/>
      <c r="RFF85" s="974"/>
      <c r="RFG85" s="974"/>
      <c r="RFH85" s="974"/>
      <c r="RFI85" s="974"/>
      <c r="RFJ85" s="974"/>
      <c r="RFK85" s="974"/>
      <c r="RFL85" s="974"/>
      <c r="RFM85" s="974"/>
      <c r="RFN85" s="974"/>
      <c r="RFO85" s="974"/>
      <c r="RFP85" s="974"/>
      <c r="RFQ85" s="974"/>
      <c r="RFR85" s="974"/>
      <c r="RFS85" s="974"/>
      <c r="RFT85" s="974"/>
      <c r="RFU85" s="974"/>
      <c r="RFV85" s="974"/>
      <c r="RFW85" s="974"/>
      <c r="RFX85" s="974"/>
      <c r="RFY85" s="974"/>
      <c r="RFZ85" s="974"/>
      <c r="RGA85" s="974"/>
      <c r="RGB85" s="974"/>
      <c r="RGC85" s="974"/>
      <c r="RGD85" s="974"/>
      <c r="RGE85" s="974"/>
      <c r="RGF85" s="974"/>
      <c r="RGG85" s="974"/>
      <c r="RGH85" s="974"/>
      <c r="RGI85" s="974"/>
      <c r="RGJ85" s="974"/>
      <c r="RGK85" s="974"/>
      <c r="RGL85" s="974"/>
      <c r="RGM85" s="974"/>
      <c r="RGN85" s="974"/>
      <c r="RGO85" s="974"/>
      <c r="RGP85" s="974"/>
      <c r="RGQ85" s="974"/>
      <c r="RGR85" s="974"/>
      <c r="RGS85" s="974"/>
      <c r="RGT85" s="974"/>
      <c r="RGU85" s="974"/>
      <c r="RGV85" s="974"/>
      <c r="RGW85" s="974"/>
      <c r="RGX85" s="974"/>
      <c r="RGY85" s="974"/>
      <c r="RGZ85" s="974"/>
      <c r="RHA85" s="974"/>
      <c r="RHB85" s="974"/>
      <c r="RHC85" s="974"/>
      <c r="RHD85" s="974"/>
      <c r="RHE85" s="974"/>
      <c r="RHF85" s="974"/>
      <c r="RHG85" s="974"/>
      <c r="RHH85" s="974"/>
      <c r="RHI85" s="974"/>
      <c r="RHJ85" s="974"/>
      <c r="RHK85" s="974"/>
      <c r="RHL85" s="974"/>
      <c r="RHM85" s="974"/>
      <c r="RHN85" s="974"/>
      <c r="RHO85" s="974"/>
      <c r="RHP85" s="974"/>
      <c r="RHQ85" s="974"/>
      <c r="RHR85" s="974"/>
      <c r="RHS85" s="974"/>
      <c r="RHT85" s="974"/>
      <c r="RHU85" s="974"/>
      <c r="RHV85" s="974"/>
      <c r="RHW85" s="974"/>
      <c r="RHX85" s="974"/>
      <c r="RHY85" s="974"/>
      <c r="RHZ85" s="974"/>
      <c r="RIA85" s="974"/>
      <c r="RIB85" s="974"/>
      <c r="RIC85" s="974"/>
      <c r="RID85" s="974"/>
      <c r="RIE85" s="974"/>
      <c r="RIF85" s="974"/>
      <c r="RIG85" s="974"/>
      <c r="RIH85" s="974"/>
      <c r="RII85" s="974"/>
      <c r="RIJ85" s="974"/>
      <c r="RIK85" s="974"/>
      <c r="RIL85" s="974"/>
      <c r="RIM85" s="974"/>
      <c r="RIN85" s="974"/>
      <c r="RIO85" s="974"/>
      <c r="RIP85" s="974"/>
      <c r="RIQ85" s="974"/>
      <c r="RIR85" s="974"/>
      <c r="RIS85" s="974"/>
      <c r="RIT85" s="974"/>
      <c r="RIU85" s="974"/>
      <c r="RIV85" s="974"/>
      <c r="RIW85" s="974"/>
      <c r="RIX85" s="974"/>
      <c r="RIY85" s="974"/>
      <c r="RIZ85" s="974"/>
      <c r="RJA85" s="974"/>
      <c r="RJB85" s="974"/>
      <c r="RJC85" s="974"/>
      <c r="RJD85" s="974"/>
      <c r="RJE85" s="974"/>
      <c r="RJF85" s="974"/>
      <c r="RJG85" s="974"/>
      <c r="RJH85" s="974"/>
      <c r="RJI85" s="974"/>
      <c r="RJJ85" s="974"/>
      <c r="RJK85" s="974"/>
      <c r="RJL85" s="974"/>
      <c r="RJM85" s="974"/>
      <c r="RJN85" s="974"/>
      <c r="RJO85" s="974"/>
      <c r="RJP85" s="974"/>
      <c r="RJQ85" s="974"/>
      <c r="RJR85" s="974"/>
      <c r="RJS85" s="974"/>
      <c r="RJT85" s="974"/>
      <c r="RJU85" s="974"/>
      <c r="RJV85" s="974"/>
      <c r="RJW85" s="974"/>
      <c r="RJX85" s="974"/>
      <c r="RJY85" s="974"/>
      <c r="RJZ85" s="974"/>
      <c r="RKA85" s="974"/>
      <c r="RKB85" s="974"/>
      <c r="RKC85" s="974"/>
      <c r="RKD85" s="974"/>
      <c r="RKE85" s="974"/>
      <c r="RKF85" s="974"/>
      <c r="RKG85" s="974"/>
      <c r="RKH85" s="974"/>
      <c r="RKI85" s="974"/>
      <c r="RKJ85" s="974"/>
      <c r="RKK85" s="974"/>
      <c r="RKL85" s="974"/>
      <c r="RKM85" s="974"/>
      <c r="RKN85" s="974"/>
      <c r="RKO85" s="974"/>
      <c r="RKP85" s="974"/>
      <c r="RKQ85" s="974"/>
      <c r="RKR85" s="974"/>
      <c r="RKS85" s="974"/>
      <c r="RKT85" s="974"/>
      <c r="RKU85" s="974"/>
      <c r="RKV85" s="974"/>
      <c r="RKW85" s="974"/>
      <c r="RKX85" s="974"/>
      <c r="RKY85" s="974"/>
      <c r="RKZ85" s="974"/>
      <c r="RLA85" s="974"/>
      <c r="RLB85" s="974"/>
      <c r="RLC85" s="974"/>
      <c r="RLD85" s="974"/>
      <c r="RLE85" s="974"/>
      <c r="RLF85" s="974"/>
      <c r="RLG85" s="974"/>
      <c r="RLH85" s="974"/>
      <c r="RLI85" s="974"/>
      <c r="RLJ85" s="974"/>
      <c r="RLK85" s="974"/>
      <c r="RLL85" s="974"/>
      <c r="RLM85" s="974"/>
      <c r="RLN85" s="974"/>
      <c r="RLO85" s="974"/>
      <c r="RLP85" s="974"/>
      <c r="RLQ85" s="974"/>
      <c r="RLR85" s="974"/>
      <c r="RLS85" s="974"/>
      <c r="RLT85" s="974"/>
      <c r="RLU85" s="974"/>
      <c r="RLV85" s="974"/>
      <c r="RLW85" s="974"/>
      <c r="RLX85" s="974"/>
      <c r="RLY85" s="974"/>
      <c r="RLZ85" s="974"/>
      <c r="RMA85" s="974"/>
      <c r="RMB85" s="974"/>
      <c r="RMC85" s="974"/>
      <c r="RMD85" s="974"/>
      <c r="RME85" s="974"/>
      <c r="RMF85" s="974"/>
      <c r="RMG85" s="974"/>
      <c r="RMH85" s="974"/>
      <c r="RMI85" s="974"/>
      <c r="RMJ85" s="974"/>
      <c r="RMK85" s="974"/>
      <c r="RML85" s="974"/>
      <c r="RMM85" s="974"/>
      <c r="RMN85" s="974"/>
      <c r="RMO85" s="974"/>
      <c r="RMP85" s="974"/>
      <c r="RMQ85" s="974"/>
      <c r="RMR85" s="974"/>
      <c r="RMS85" s="974"/>
      <c r="RMT85" s="974"/>
      <c r="RMU85" s="974"/>
      <c r="RMV85" s="974"/>
      <c r="RMW85" s="974"/>
      <c r="RMX85" s="974"/>
      <c r="RMY85" s="974"/>
      <c r="RMZ85" s="974"/>
      <c r="RNA85" s="974"/>
      <c r="RNB85" s="974"/>
      <c r="RNC85" s="974"/>
      <c r="RND85" s="974"/>
      <c r="RNE85" s="974"/>
      <c r="RNF85" s="974"/>
      <c r="RNG85" s="974"/>
      <c r="RNH85" s="974"/>
      <c r="RNI85" s="974"/>
      <c r="RNJ85" s="974"/>
      <c r="RNK85" s="974"/>
      <c r="RNL85" s="974"/>
      <c r="RNM85" s="974"/>
      <c r="RNN85" s="974"/>
      <c r="RNO85" s="974"/>
      <c r="RNP85" s="974"/>
      <c r="RNQ85" s="974"/>
      <c r="RNR85" s="974"/>
      <c r="RNS85" s="974"/>
      <c r="RNT85" s="974"/>
      <c r="RNU85" s="974"/>
      <c r="RNV85" s="974"/>
      <c r="RNW85" s="974"/>
      <c r="RNX85" s="974"/>
      <c r="RNY85" s="974"/>
      <c r="RNZ85" s="974"/>
      <c r="ROA85" s="974"/>
      <c r="ROB85" s="974"/>
      <c r="ROC85" s="974"/>
      <c r="ROD85" s="974"/>
      <c r="ROE85" s="974"/>
      <c r="ROF85" s="974"/>
      <c r="ROG85" s="974"/>
      <c r="ROH85" s="974"/>
      <c r="ROI85" s="974"/>
      <c r="ROJ85" s="974"/>
      <c r="ROK85" s="974"/>
      <c r="ROL85" s="974"/>
      <c r="ROM85" s="974"/>
      <c r="RON85" s="974"/>
      <c r="ROO85" s="974"/>
      <c r="ROP85" s="974"/>
      <c r="ROQ85" s="974"/>
      <c r="ROR85" s="974"/>
      <c r="ROS85" s="974"/>
      <c r="ROT85" s="974"/>
      <c r="ROU85" s="974"/>
      <c r="ROV85" s="974"/>
      <c r="ROW85" s="974"/>
      <c r="ROX85" s="974"/>
      <c r="ROY85" s="974"/>
      <c r="ROZ85" s="974"/>
      <c r="RPA85" s="974"/>
      <c r="RPB85" s="974"/>
      <c r="RPC85" s="974"/>
      <c r="RPD85" s="974"/>
      <c r="RPE85" s="974"/>
      <c r="RPF85" s="974"/>
      <c r="RPG85" s="974"/>
      <c r="RPH85" s="974"/>
      <c r="RPI85" s="974"/>
      <c r="RPJ85" s="974"/>
      <c r="RPK85" s="974"/>
      <c r="RPL85" s="974"/>
      <c r="RPM85" s="974"/>
      <c r="RPN85" s="974"/>
      <c r="RPO85" s="974"/>
      <c r="RPP85" s="974"/>
      <c r="RPQ85" s="974"/>
      <c r="RPR85" s="974"/>
      <c r="RPS85" s="974"/>
      <c r="RPT85" s="974"/>
      <c r="RPU85" s="974"/>
      <c r="RPV85" s="974"/>
      <c r="RPW85" s="974"/>
      <c r="RPX85" s="974"/>
      <c r="RPY85" s="974"/>
      <c r="RPZ85" s="974"/>
      <c r="RQA85" s="974"/>
      <c r="RQB85" s="974"/>
      <c r="RQC85" s="974"/>
      <c r="RQD85" s="974"/>
      <c r="RQE85" s="974"/>
      <c r="RQF85" s="974"/>
      <c r="RQG85" s="974"/>
      <c r="RQH85" s="974"/>
      <c r="RQI85" s="974"/>
      <c r="RQJ85" s="974"/>
      <c r="RQK85" s="974"/>
      <c r="RQL85" s="974"/>
      <c r="RQM85" s="974"/>
      <c r="RQN85" s="974"/>
      <c r="RQO85" s="974"/>
      <c r="RQP85" s="974"/>
      <c r="RQQ85" s="974"/>
      <c r="RQR85" s="974"/>
      <c r="RQS85" s="974"/>
      <c r="RQT85" s="974"/>
      <c r="RQU85" s="974"/>
      <c r="RQV85" s="974"/>
      <c r="RQW85" s="974"/>
      <c r="RQX85" s="974"/>
      <c r="RQY85" s="974"/>
      <c r="RQZ85" s="974"/>
      <c r="RRA85" s="974"/>
      <c r="RRB85" s="974"/>
      <c r="RRC85" s="974"/>
      <c r="RRD85" s="974"/>
      <c r="RRE85" s="974"/>
      <c r="RRF85" s="974"/>
      <c r="RRG85" s="974"/>
      <c r="RRH85" s="974"/>
      <c r="RRI85" s="974"/>
      <c r="RRJ85" s="974"/>
      <c r="RRK85" s="974"/>
      <c r="RRL85" s="974"/>
      <c r="RRM85" s="974"/>
      <c r="RRN85" s="974"/>
      <c r="RRO85" s="974"/>
      <c r="RRP85" s="974"/>
      <c r="RRQ85" s="974"/>
      <c r="RRR85" s="974"/>
      <c r="RRS85" s="974"/>
      <c r="RRT85" s="974"/>
      <c r="RRU85" s="974"/>
      <c r="RRV85" s="974"/>
      <c r="RRW85" s="974"/>
      <c r="RRX85" s="974"/>
      <c r="RRY85" s="974"/>
      <c r="RRZ85" s="974"/>
      <c r="RSA85" s="974"/>
      <c r="RSB85" s="974"/>
      <c r="RSC85" s="974"/>
      <c r="RSD85" s="974"/>
      <c r="RSE85" s="974"/>
      <c r="RSF85" s="974"/>
      <c r="RSG85" s="974"/>
      <c r="RSH85" s="974"/>
      <c r="RSI85" s="974"/>
      <c r="RSJ85" s="974"/>
      <c r="RSK85" s="974"/>
      <c r="RSL85" s="974"/>
      <c r="RSM85" s="974"/>
      <c r="RSN85" s="974"/>
      <c r="RSO85" s="974"/>
      <c r="RSP85" s="974"/>
      <c r="RSQ85" s="974"/>
      <c r="RSR85" s="974"/>
      <c r="RSS85" s="974"/>
      <c r="RST85" s="974"/>
      <c r="RSU85" s="974"/>
      <c r="RSV85" s="974"/>
      <c r="RSW85" s="974"/>
      <c r="RSX85" s="974"/>
      <c r="RSY85" s="974"/>
      <c r="RSZ85" s="974"/>
      <c r="RTA85" s="974"/>
      <c r="RTB85" s="974"/>
      <c r="RTC85" s="974"/>
      <c r="RTD85" s="974"/>
      <c r="RTE85" s="974"/>
      <c r="RTF85" s="974"/>
      <c r="RTG85" s="974"/>
      <c r="RTH85" s="974"/>
      <c r="RTI85" s="974"/>
      <c r="RTJ85" s="974"/>
      <c r="RTK85" s="974"/>
      <c r="RTL85" s="974"/>
      <c r="RTM85" s="974"/>
      <c r="RTN85" s="974"/>
      <c r="RTO85" s="974"/>
      <c r="RTP85" s="974"/>
      <c r="RTQ85" s="974"/>
      <c r="RTR85" s="974"/>
      <c r="RTS85" s="974"/>
      <c r="RTT85" s="974"/>
      <c r="RTU85" s="974"/>
      <c r="RTV85" s="974"/>
      <c r="RTW85" s="974"/>
      <c r="RTX85" s="974"/>
      <c r="RTY85" s="974"/>
      <c r="RTZ85" s="974"/>
      <c r="RUA85" s="974"/>
      <c r="RUB85" s="974"/>
      <c r="RUC85" s="974"/>
      <c r="RUD85" s="974"/>
      <c r="RUE85" s="974"/>
      <c r="RUF85" s="974"/>
      <c r="RUG85" s="974"/>
      <c r="RUH85" s="974"/>
      <c r="RUI85" s="974"/>
      <c r="RUJ85" s="974"/>
      <c r="RUK85" s="974"/>
      <c r="RUL85" s="974"/>
      <c r="RUM85" s="974"/>
      <c r="RUN85" s="974"/>
      <c r="RUO85" s="974"/>
      <c r="RUP85" s="974"/>
      <c r="RUQ85" s="974"/>
      <c r="RUR85" s="974"/>
      <c r="RUS85" s="974"/>
      <c r="RUT85" s="974"/>
      <c r="RUU85" s="974"/>
      <c r="RUV85" s="974"/>
      <c r="RUW85" s="974"/>
      <c r="RUX85" s="974"/>
      <c r="RUY85" s="974"/>
      <c r="RUZ85" s="974"/>
      <c r="RVA85" s="974"/>
      <c r="RVB85" s="974"/>
      <c r="RVC85" s="974"/>
      <c r="RVD85" s="974"/>
      <c r="RVE85" s="974"/>
      <c r="RVF85" s="974"/>
      <c r="RVG85" s="974"/>
      <c r="RVH85" s="974"/>
      <c r="RVI85" s="974"/>
      <c r="RVJ85" s="974"/>
      <c r="RVK85" s="974"/>
      <c r="RVL85" s="974"/>
      <c r="RVM85" s="974"/>
      <c r="RVN85" s="974"/>
      <c r="RVO85" s="974"/>
      <c r="RVP85" s="974"/>
      <c r="RVQ85" s="974"/>
      <c r="RVR85" s="974"/>
      <c r="RVS85" s="974"/>
      <c r="RVT85" s="974"/>
      <c r="RVU85" s="974"/>
      <c r="RVV85" s="974"/>
      <c r="RVW85" s="974"/>
      <c r="RVX85" s="974"/>
      <c r="RVY85" s="974"/>
      <c r="RVZ85" s="974"/>
      <c r="RWA85" s="974"/>
      <c r="RWB85" s="974"/>
      <c r="RWC85" s="974"/>
      <c r="RWD85" s="974"/>
      <c r="RWE85" s="974"/>
      <c r="RWF85" s="974"/>
      <c r="RWG85" s="974"/>
      <c r="RWH85" s="974"/>
      <c r="RWI85" s="974"/>
      <c r="RWJ85" s="974"/>
      <c r="RWK85" s="974"/>
      <c r="RWL85" s="974"/>
      <c r="RWM85" s="974"/>
      <c r="RWN85" s="974"/>
      <c r="RWO85" s="974"/>
      <c r="RWP85" s="974"/>
      <c r="RWQ85" s="974"/>
      <c r="RWR85" s="974"/>
      <c r="RWS85" s="974"/>
      <c r="RWT85" s="974"/>
      <c r="RWU85" s="974"/>
      <c r="RWV85" s="974"/>
      <c r="RWW85" s="974"/>
      <c r="RWX85" s="974"/>
      <c r="RWY85" s="974"/>
      <c r="RWZ85" s="974"/>
      <c r="RXA85" s="974"/>
      <c r="RXB85" s="974"/>
      <c r="RXC85" s="974"/>
      <c r="RXD85" s="974"/>
      <c r="RXE85" s="974"/>
      <c r="RXF85" s="974"/>
      <c r="RXG85" s="974"/>
      <c r="RXH85" s="974"/>
      <c r="RXI85" s="974"/>
      <c r="RXJ85" s="974"/>
      <c r="RXK85" s="974"/>
      <c r="RXL85" s="974"/>
      <c r="RXM85" s="974"/>
      <c r="RXN85" s="974"/>
      <c r="RXO85" s="974"/>
      <c r="RXP85" s="974"/>
      <c r="RXQ85" s="974"/>
      <c r="RXR85" s="974"/>
      <c r="RXS85" s="974"/>
      <c r="RXT85" s="974"/>
      <c r="RXU85" s="974"/>
      <c r="RXV85" s="974"/>
      <c r="RXW85" s="974"/>
      <c r="RXX85" s="974"/>
      <c r="RXY85" s="974"/>
      <c r="RXZ85" s="974"/>
      <c r="RYA85" s="974"/>
      <c r="RYB85" s="974"/>
      <c r="RYC85" s="974"/>
      <c r="RYD85" s="974"/>
      <c r="RYE85" s="974"/>
      <c r="RYF85" s="974"/>
      <c r="RYG85" s="974"/>
      <c r="RYH85" s="974"/>
      <c r="RYI85" s="974"/>
      <c r="RYJ85" s="974"/>
      <c r="RYK85" s="974"/>
      <c r="RYL85" s="974"/>
      <c r="RYM85" s="974"/>
      <c r="RYN85" s="974"/>
      <c r="RYO85" s="974"/>
      <c r="RYP85" s="974"/>
      <c r="RYQ85" s="974"/>
      <c r="RYR85" s="974"/>
      <c r="RYS85" s="974"/>
      <c r="RYT85" s="974"/>
      <c r="RYU85" s="974"/>
      <c r="RYV85" s="974"/>
      <c r="RYW85" s="974"/>
      <c r="RYX85" s="974"/>
      <c r="RYY85" s="974"/>
      <c r="RYZ85" s="974"/>
      <c r="RZA85" s="974"/>
      <c r="RZB85" s="974"/>
      <c r="RZC85" s="974"/>
      <c r="RZD85" s="974"/>
      <c r="RZE85" s="974"/>
      <c r="RZF85" s="974"/>
      <c r="RZG85" s="974"/>
      <c r="RZH85" s="974"/>
      <c r="RZI85" s="974"/>
      <c r="RZJ85" s="974"/>
      <c r="RZK85" s="974"/>
      <c r="RZL85" s="974"/>
      <c r="RZM85" s="974"/>
      <c r="RZN85" s="974"/>
      <c r="RZO85" s="974"/>
      <c r="RZP85" s="974"/>
      <c r="RZQ85" s="974"/>
      <c r="RZR85" s="974"/>
      <c r="RZS85" s="974"/>
      <c r="RZT85" s="974"/>
      <c r="RZU85" s="974"/>
      <c r="RZV85" s="974"/>
      <c r="RZW85" s="974"/>
      <c r="RZX85" s="974"/>
      <c r="RZY85" s="974"/>
      <c r="RZZ85" s="974"/>
      <c r="SAA85" s="974"/>
      <c r="SAB85" s="974"/>
      <c r="SAC85" s="974"/>
      <c r="SAD85" s="974"/>
      <c r="SAE85" s="974"/>
      <c r="SAF85" s="974"/>
      <c r="SAG85" s="974"/>
      <c r="SAH85" s="974"/>
      <c r="SAI85" s="974"/>
      <c r="SAJ85" s="974"/>
      <c r="SAK85" s="974"/>
      <c r="SAL85" s="974"/>
      <c r="SAM85" s="974"/>
      <c r="SAN85" s="974"/>
      <c r="SAO85" s="974"/>
      <c r="SAP85" s="974"/>
      <c r="SAQ85" s="974"/>
      <c r="SAR85" s="974"/>
      <c r="SAS85" s="974"/>
      <c r="SAT85" s="974"/>
      <c r="SAU85" s="974"/>
      <c r="SAV85" s="974"/>
      <c r="SAW85" s="974"/>
      <c r="SAX85" s="974"/>
      <c r="SAY85" s="974"/>
      <c r="SAZ85" s="974"/>
      <c r="SBA85" s="974"/>
      <c r="SBB85" s="974"/>
      <c r="SBC85" s="974"/>
      <c r="SBD85" s="974"/>
      <c r="SBE85" s="974"/>
      <c r="SBF85" s="974"/>
      <c r="SBG85" s="974"/>
      <c r="SBH85" s="974"/>
      <c r="SBI85" s="974"/>
      <c r="SBJ85" s="974"/>
      <c r="SBK85" s="974"/>
      <c r="SBL85" s="974"/>
      <c r="SBM85" s="974"/>
      <c r="SBN85" s="974"/>
      <c r="SBO85" s="974"/>
      <c r="SBP85" s="974"/>
      <c r="SBQ85" s="974"/>
      <c r="SBR85" s="974"/>
      <c r="SBS85" s="974"/>
      <c r="SBT85" s="974"/>
      <c r="SBU85" s="974"/>
      <c r="SBV85" s="974"/>
      <c r="SBW85" s="974"/>
      <c r="SBX85" s="974"/>
      <c r="SBY85" s="974"/>
      <c r="SBZ85" s="974"/>
      <c r="SCA85" s="974"/>
      <c r="SCB85" s="974"/>
      <c r="SCC85" s="974"/>
      <c r="SCD85" s="974"/>
      <c r="SCE85" s="974"/>
      <c r="SCF85" s="974"/>
      <c r="SCG85" s="974"/>
      <c r="SCH85" s="974"/>
      <c r="SCI85" s="974"/>
      <c r="SCJ85" s="974"/>
      <c r="SCK85" s="974"/>
      <c r="SCL85" s="974"/>
      <c r="SCM85" s="974"/>
      <c r="SCN85" s="974"/>
      <c r="SCO85" s="974"/>
      <c r="SCP85" s="974"/>
      <c r="SCQ85" s="974"/>
      <c r="SCR85" s="974"/>
      <c r="SCS85" s="974"/>
      <c r="SCT85" s="974"/>
      <c r="SCU85" s="974"/>
      <c r="SCV85" s="974"/>
      <c r="SCW85" s="974"/>
      <c r="SCX85" s="974"/>
      <c r="SCY85" s="974"/>
      <c r="SCZ85" s="974"/>
      <c r="SDA85" s="974"/>
      <c r="SDB85" s="974"/>
      <c r="SDC85" s="974"/>
      <c r="SDD85" s="974"/>
      <c r="SDE85" s="974"/>
      <c r="SDF85" s="974"/>
      <c r="SDG85" s="974"/>
      <c r="SDH85" s="974"/>
      <c r="SDI85" s="974"/>
      <c r="SDJ85" s="974"/>
      <c r="SDK85" s="974"/>
      <c r="SDL85" s="974"/>
      <c r="SDM85" s="974"/>
      <c r="SDN85" s="974"/>
      <c r="SDO85" s="974"/>
      <c r="SDP85" s="974"/>
      <c r="SDQ85" s="974"/>
      <c r="SDR85" s="974"/>
      <c r="SDS85" s="974"/>
      <c r="SDT85" s="974"/>
      <c r="SDU85" s="974"/>
      <c r="SDV85" s="974"/>
      <c r="SDW85" s="974"/>
      <c r="SDX85" s="974"/>
      <c r="SDY85" s="974"/>
      <c r="SDZ85" s="974"/>
      <c r="SEA85" s="974"/>
      <c r="SEB85" s="974"/>
      <c r="SEC85" s="974"/>
      <c r="SED85" s="974"/>
      <c r="SEE85" s="974"/>
      <c r="SEF85" s="974"/>
      <c r="SEG85" s="974"/>
      <c r="SEH85" s="974"/>
      <c r="SEI85" s="974"/>
      <c r="SEJ85" s="974"/>
      <c r="SEK85" s="974"/>
      <c r="SEL85" s="974"/>
      <c r="SEM85" s="974"/>
      <c r="SEN85" s="974"/>
      <c r="SEO85" s="974"/>
      <c r="SEP85" s="974"/>
      <c r="SEQ85" s="974"/>
      <c r="SER85" s="974"/>
      <c r="SES85" s="974"/>
      <c r="SET85" s="974"/>
      <c r="SEU85" s="974"/>
      <c r="SEV85" s="974"/>
      <c r="SEW85" s="974"/>
      <c r="SEX85" s="974"/>
      <c r="SEY85" s="974"/>
      <c r="SEZ85" s="974"/>
      <c r="SFA85" s="974"/>
      <c r="SFB85" s="974"/>
      <c r="SFC85" s="974"/>
      <c r="SFD85" s="974"/>
      <c r="SFE85" s="974"/>
      <c r="SFF85" s="974"/>
      <c r="SFG85" s="974"/>
      <c r="SFH85" s="974"/>
      <c r="SFI85" s="974"/>
      <c r="SFJ85" s="974"/>
      <c r="SFK85" s="974"/>
      <c r="SFL85" s="974"/>
      <c r="SFM85" s="974"/>
      <c r="SFN85" s="974"/>
      <c r="SFO85" s="974"/>
      <c r="SFP85" s="974"/>
      <c r="SFQ85" s="974"/>
      <c r="SFR85" s="974"/>
      <c r="SFS85" s="974"/>
      <c r="SFT85" s="974"/>
      <c r="SFU85" s="974"/>
      <c r="SFV85" s="974"/>
      <c r="SFW85" s="974"/>
      <c r="SFX85" s="974"/>
      <c r="SFY85" s="974"/>
      <c r="SFZ85" s="974"/>
      <c r="SGA85" s="974"/>
      <c r="SGB85" s="974"/>
      <c r="SGC85" s="974"/>
      <c r="SGD85" s="974"/>
      <c r="SGE85" s="974"/>
      <c r="SGF85" s="974"/>
      <c r="SGG85" s="974"/>
      <c r="SGH85" s="974"/>
      <c r="SGI85" s="974"/>
      <c r="SGJ85" s="974"/>
      <c r="SGK85" s="974"/>
      <c r="SGL85" s="974"/>
      <c r="SGM85" s="974"/>
      <c r="SGN85" s="974"/>
      <c r="SGO85" s="974"/>
      <c r="SGP85" s="974"/>
      <c r="SGQ85" s="974"/>
      <c r="SGR85" s="974"/>
      <c r="SGS85" s="974"/>
      <c r="SGT85" s="974"/>
      <c r="SGU85" s="974"/>
      <c r="SGV85" s="974"/>
      <c r="SGW85" s="974"/>
      <c r="SGX85" s="974"/>
      <c r="SGY85" s="974"/>
      <c r="SGZ85" s="974"/>
      <c r="SHA85" s="974"/>
      <c r="SHB85" s="974"/>
      <c r="SHC85" s="974"/>
      <c r="SHD85" s="974"/>
      <c r="SHE85" s="974"/>
      <c r="SHF85" s="974"/>
      <c r="SHG85" s="974"/>
      <c r="SHH85" s="974"/>
      <c r="SHI85" s="974"/>
      <c r="SHJ85" s="974"/>
      <c r="SHK85" s="974"/>
      <c r="SHL85" s="974"/>
      <c r="SHM85" s="974"/>
      <c r="SHN85" s="974"/>
      <c r="SHO85" s="974"/>
      <c r="SHP85" s="974"/>
      <c r="SHQ85" s="974"/>
      <c r="SHR85" s="974"/>
      <c r="SHS85" s="974"/>
      <c r="SHT85" s="974"/>
      <c r="SHU85" s="974"/>
      <c r="SHV85" s="974"/>
      <c r="SHW85" s="974"/>
      <c r="SHX85" s="974"/>
      <c r="SHY85" s="974"/>
      <c r="SHZ85" s="974"/>
      <c r="SIA85" s="974"/>
      <c r="SIB85" s="974"/>
      <c r="SIC85" s="974"/>
      <c r="SID85" s="974"/>
      <c r="SIE85" s="974"/>
      <c r="SIF85" s="974"/>
      <c r="SIG85" s="974"/>
      <c r="SIH85" s="974"/>
      <c r="SII85" s="974"/>
      <c r="SIJ85" s="974"/>
      <c r="SIK85" s="974"/>
      <c r="SIL85" s="974"/>
      <c r="SIM85" s="974"/>
      <c r="SIN85" s="974"/>
      <c r="SIO85" s="974"/>
      <c r="SIP85" s="974"/>
      <c r="SIQ85" s="974"/>
      <c r="SIR85" s="974"/>
      <c r="SIS85" s="974"/>
      <c r="SIT85" s="974"/>
      <c r="SIU85" s="974"/>
      <c r="SIV85" s="974"/>
      <c r="SIW85" s="974"/>
      <c r="SIX85" s="974"/>
      <c r="SIY85" s="974"/>
      <c r="SIZ85" s="974"/>
      <c r="SJA85" s="974"/>
      <c r="SJB85" s="974"/>
      <c r="SJC85" s="974"/>
      <c r="SJD85" s="974"/>
      <c r="SJE85" s="974"/>
      <c r="SJF85" s="974"/>
      <c r="SJG85" s="974"/>
      <c r="SJH85" s="974"/>
      <c r="SJI85" s="974"/>
      <c r="SJJ85" s="974"/>
      <c r="SJK85" s="974"/>
      <c r="SJL85" s="974"/>
      <c r="SJM85" s="974"/>
      <c r="SJN85" s="974"/>
      <c r="SJO85" s="974"/>
      <c r="SJP85" s="974"/>
      <c r="SJQ85" s="974"/>
      <c r="SJR85" s="974"/>
      <c r="SJS85" s="974"/>
      <c r="SJT85" s="974"/>
      <c r="SJU85" s="974"/>
      <c r="SJV85" s="974"/>
      <c r="SJW85" s="974"/>
      <c r="SJX85" s="974"/>
      <c r="SJY85" s="974"/>
      <c r="SJZ85" s="974"/>
      <c r="SKA85" s="974"/>
      <c r="SKB85" s="974"/>
      <c r="SKC85" s="974"/>
      <c r="SKD85" s="974"/>
      <c r="SKE85" s="974"/>
      <c r="SKF85" s="974"/>
      <c r="SKG85" s="974"/>
      <c r="SKH85" s="974"/>
      <c r="SKI85" s="974"/>
      <c r="SKJ85" s="974"/>
      <c r="SKK85" s="974"/>
      <c r="SKL85" s="974"/>
      <c r="SKM85" s="974"/>
      <c r="SKN85" s="974"/>
      <c r="SKO85" s="974"/>
      <c r="SKP85" s="974"/>
      <c r="SKQ85" s="974"/>
      <c r="SKR85" s="974"/>
      <c r="SKS85" s="974"/>
      <c r="SKT85" s="974"/>
      <c r="SKU85" s="974"/>
      <c r="SKV85" s="974"/>
      <c r="SKW85" s="974"/>
      <c r="SKX85" s="974"/>
      <c r="SKY85" s="974"/>
      <c r="SKZ85" s="974"/>
      <c r="SLA85" s="974"/>
      <c r="SLB85" s="974"/>
      <c r="SLC85" s="974"/>
      <c r="SLD85" s="974"/>
      <c r="SLE85" s="974"/>
      <c r="SLF85" s="974"/>
      <c r="SLG85" s="974"/>
      <c r="SLH85" s="974"/>
      <c r="SLI85" s="974"/>
      <c r="SLJ85" s="974"/>
      <c r="SLK85" s="974"/>
      <c r="SLL85" s="974"/>
      <c r="SLM85" s="974"/>
      <c r="SLN85" s="974"/>
      <c r="SLO85" s="974"/>
      <c r="SLP85" s="974"/>
      <c r="SLQ85" s="974"/>
      <c r="SLR85" s="974"/>
      <c r="SLS85" s="974"/>
      <c r="SLT85" s="974"/>
      <c r="SLU85" s="974"/>
      <c r="SLV85" s="974"/>
      <c r="SLW85" s="974"/>
      <c r="SLX85" s="974"/>
      <c r="SLY85" s="974"/>
      <c r="SLZ85" s="974"/>
      <c r="SMA85" s="974"/>
      <c r="SMB85" s="974"/>
      <c r="SMC85" s="974"/>
      <c r="SMD85" s="974"/>
      <c r="SME85" s="974"/>
      <c r="SMF85" s="974"/>
      <c r="SMG85" s="974"/>
      <c r="SMH85" s="974"/>
      <c r="SMI85" s="974"/>
      <c r="SMJ85" s="974"/>
      <c r="SMK85" s="974"/>
      <c r="SML85" s="974"/>
      <c r="SMM85" s="974"/>
      <c r="SMN85" s="974"/>
      <c r="SMO85" s="974"/>
      <c r="SMP85" s="974"/>
      <c r="SMQ85" s="974"/>
      <c r="SMR85" s="974"/>
      <c r="SMS85" s="974"/>
      <c r="SMT85" s="974"/>
      <c r="SMU85" s="974"/>
      <c r="SMV85" s="974"/>
      <c r="SMW85" s="974"/>
      <c r="SMX85" s="974"/>
      <c r="SMY85" s="974"/>
      <c r="SMZ85" s="974"/>
      <c r="SNA85" s="974"/>
      <c r="SNB85" s="974"/>
      <c r="SNC85" s="974"/>
      <c r="SND85" s="974"/>
      <c r="SNE85" s="974"/>
      <c r="SNF85" s="974"/>
      <c r="SNG85" s="974"/>
      <c r="SNH85" s="974"/>
      <c r="SNI85" s="974"/>
      <c r="SNJ85" s="974"/>
      <c r="SNK85" s="974"/>
      <c r="SNL85" s="974"/>
      <c r="SNM85" s="974"/>
      <c r="SNN85" s="974"/>
      <c r="SNO85" s="974"/>
      <c r="SNP85" s="974"/>
      <c r="SNQ85" s="974"/>
      <c r="SNR85" s="974"/>
      <c r="SNS85" s="974"/>
      <c r="SNT85" s="974"/>
      <c r="SNU85" s="974"/>
      <c r="SNV85" s="974"/>
      <c r="SNW85" s="974"/>
      <c r="SNX85" s="974"/>
      <c r="SNY85" s="974"/>
      <c r="SNZ85" s="974"/>
      <c r="SOA85" s="974"/>
      <c r="SOB85" s="974"/>
      <c r="SOC85" s="974"/>
      <c r="SOD85" s="974"/>
      <c r="SOE85" s="974"/>
      <c r="SOF85" s="974"/>
      <c r="SOG85" s="974"/>
      <c r="SOH85" s="974"/>
      <c r="SOI85" s="974"/>
      <c r="SOJ85" s="974"/>
      <c r="SOK85" s="974"/>
      <c r="SOL85" s="974"/>
      <c r="SOM85" s="974"/>
      <c r="SON85" s="974"/>
      <c r="SOO85" s="974"/>
      <c r="SOP85" s="974"/>
      <c r="SOQ85" s="974"/>
      <c r="SOR85" s="974"/>
      <c r="SOS85" s="974"/>
      <c r="SOT85" s="974"/>
      <c r="SOU85" s="974"/>
      <c r="SOV85" s="974"/>
      <c r="SOW85" s="974"/>
      <c r="SOX85" s="974"/>
      <c r="SOY85" s="974"/>
      <c r="SOZ85" s="974"/>
      <c r="SPA85" s="974"/>
      <c r="SPB85" s="974"/>
      <c r="SPC85" s="974"/>
      <c r="SPD85" s="974"/>
      <c r="SPE85" s="974"/>
      <c r="SPF85" s="974"/>
      <c r="SPG85" s="974"/>
      <c r="SPH85" s="974"/>
      <c r="SPI85" s="974"/>
      <c r="SPJ85" s="974"/>
      <c r="SPK85" s="974"/>
      <c r="SPL85" s="974"/>
      <c r="SPM85" s="974"/>
      <c r="SPN85" s="974"/>
      <c r="SPO85" s="974"/>
      <c r="SPP85" s="974"/>
      <c r="SPQ85" s="974"/>
      <c r="SPR85" s="974"/>
      <c r="SPS85" s="974"/>
      <c r="SPT85" s="974"/>
      <c r="SPU85" s="974"/>
      <c r="SPV85" s="974"/>
      <c r="SPW85" s="974"/>
      <c r="SPX85" s="974"/>
      <c r="SPY85" s="974"/>
      <c r="SPZ85" s="974"/>
      <c r="SQA85" s="974"/>
      <c r="SQB85" s="974"/>
      <c r="SQC85" s="974"/>
      <c r="SQD85" s="974"/>
      <c r="SQE85" s="974"/>
      <c r="SQF85" s="974"/>
      <c r="SQG85" s="974"/>
      <c r="SQH85" s="974"/>
      <c r="SQI85" s="974"/>
      <c r="SQJ85" s="974"/>
      <c r="SQK85" s="974"/>
      <c r="SQL85" s="974"/>
      <c r="SQM85" s="974"/>
      <c r="SQN85" s="974"/>
      <c r="SQO85" s="974"/>
      <c r="SQP85" s="974"/>
      <c r="SQQ85" s="974"/>
      <c r="SQR85" s="974"/>
      <c r="SQS85" s="974"/>
      <c r="SQT85" s="974"/>
      <c r="SQU85" s="974"/>
      <c r="SQV85" s="974"/>
      <c r="SQW85" s="974"/>
      <c r="SQX85" s="974"/>
      <c r="SQY85" s="974"/>
      <c r="SQZ85" s="974"/>
      <c r="SRA85" s="974"/>
      <c r="SRB85" s="974"/>
      <c r="SRC85" s="974"/>
      <c r="SRD85" s="974"/>
      <c r="SRE85" s="974"/>
      <c r="SRF85" s="974"/>
      <c r="SRG85" s="974"/>
      <c r="SRH85" s="974"/>
      <c r="SRI85" s="974"/>
      <c r="SRJ85" s="974"/>
      <c r="SRK85" s="974"/>
      <c r="SRL85" s="974"/>
      <c r="SRM85" s="974"/>
      <c r="SRN85" s="974"/>
      <c r="SRO85" s="974"/>
      <c r="SRP85" s="974"/>
      <c r="SRQ85" s="974"/>
      <c r="SRR85" s="974"/>
      <c r="SRS85" s="974"/>
      <c r="SRT85" s="974"/>
      <c r="SRU85" s="974"/>
      <c r="SRV85" s="974"/>
      <c r="SRW85" s="974"/>
      <c r="SRX85" s="974"/>
      <c r="SRY85" s="974"/>
      <c r="SRZ85" s="974"/>
      <c r="SSA85" s="974"/>
      <c r="SSB85" s="974"/>
      <c r="SSC85" s="974"/>
      <c r="SSD85" s="974"/>
      <c r="SSE85" s="974"/>
      <c r="SSF85" s="974"/>
      <c r="SSG85" s="974"/>
      <c r="SSH85" s="974"/>
      <c r="SSI85" s="974"/>
      <c r="SSJ85" s="974"/>
      <c r="SSK85" s="974"/>
      <c r="SSL85" s="974"/>
      <c r="SSM85" s="974"/>
      <c r="SSN85" s="974"/>
      <c r="SSO85" s="974"/>
      <c r="SSP85" s="974"/>
      <c r="SSQ85" s="974"/>
      <c r="SSR85" s="974"/>
      <c r="SSS85" s="974"/>
      <c r="SST85" s="974"/>
      <c r="SSU85" s="974"/>
      <c r="SSV85" s="974"/>
      <c r="SSW85" s="974"/>
      <c r="SSX85" s="974"/>
      <c r="SSY85" s="974"/>
      <c r="SSZ85" s="974"/>
      <c r="STA85" s="974"/>
      <c r="STB85" s="974"/>
      <c r="STC85" s="974"/>
      <c r="STD85" s="974"/>
      <c r="STE85" s="974"/>
      <c r="STF85" s="974"/>
      <c r="STG85" s="974"/>
      <c r="STH85" s="974"/>
      <c r="STI85" s="974"/>
      <c r="STJ85" s="974"/>
      <c r="STK85" s="974"/>
      <c r="STL85" s="974"/>
      <c r="STM85" s="974"/>
      <c r="STN85" s="974"/>
      <c r="STO85" s="974"/>
      <c r="STP85" s="974"/>
      <c r="STQ85" s="974"/>
      <c r="STR85" s="974"/>
      <c r="STS85" s="974"/>
      <c r="STT85" s="974"/>
      <c r="STU85" s="974"/>
      <c r="STV85" s="974"/>
      <c r="STW85" s="974"/>
      <c r="STX85" s="974"/>
      <c r="STY85" s="974"/>
      <c r="STZ85" s="974"/>
      <c r="SUA85" s="974"/>
      <c r="SUB85" s="974"/>
      <c r="SUC85" s="974"/>
      <c r="SUD85" s="974"/>
      <c r="SUE85" s="974"/>
      <c r="SUF85" s="974"/>
      <c r="SUG85" s="974"/>
      <c r="SUH85" s="974"/>
      <c r="SUI85" s="974"/>
      <c r="SUJ85" s="974"/>
      <c r="SUK85" s="974"/>
      <c r="SUL85" s="974"/>
      <c r="SUM85" s="974"/>
      <c r="SUN85" s="974"/>
      <c r="SUO85" s="974"/>
      <c r="SUP85" s="974"/>
      <c r="SUQ85" s="974"/>
      <c r="SUR85" s="974"/>
      <c r="SUS85" s="974"/>
      <c r="SUT85" s="974"/>
      <c r="SUU85" s="974"/>
      <c r="SUV85" s="974"/>
      <c r="SUW85" s="974"/>
      <c r="SUX85" s="974"/>
      <c r="SUY85" s="974"/>
      <c r="SUZ85" s="974"/>
      <c r="SVA85" s="974"/>
      <c r="SVB85" s="974"/>
      <c r="SVC85" s="974"/>
      <c r="SVD85" s="974"/>
      <c r="SVE85" s="974"/>
      <c r="SVF85" s="974"/>
      <c r="SVG85" s="974"/>
      <c r="SVH85" s="974"/>
      <c r="SVI85" s="974"/>
      <c r="SVJ85" s="974"/>
      <c r="SVK85" s="974"/>
      <c r="SVL85" s="974"/>
      <c r="SVM85" s="974"/>
      <c r="SVN85" s="974"/>
      <c r="SVO85" s="974"/>
      <c r="SVP85" s="974"/>
      <c r="SVQ85" s="974"/>
      <c r="SVR85" s="974"/>
      <c r="SVS85" s="974"/>
      <c r="SVT85" s="974"/>
      <c r="SVU85" s="974"/>
      <c r="SVV85" s="974"/>
      <c r="SVW85" s="974"/>
      <c r="SVX85" s="974"/>
      <c r="SVY85" s="974"/>
      <c r="SVZ85" s="974"/>
      <c r="SWA85" s="974"/>
      <c r="SWB85" s="974"/>
      <c r="SWC85" s="974"/>
      <c r="SWD85" s="974"/>
      <c r="SWE85" s="974"/>
      <c r="SWF85" s="974"/>
      <c r="SWG85" s="974"/>
      <c r="SWH85" s="974"/>
      <c r="SWI85" s="974"/>
      <c r="SWJ85" s="974"/>
      <c r="SWK85" s="974"/>
      <c r="SWL85" s="974"/>
      <c r="SWM85" s="974"/>
      <c r="SWN85" s="974"/>
      <c r="SWO85" s="974"/>
      <c r="SWP85" s="974"/>
      <c r="SWQ85" s="974"/>
      <c r="SWR85" s="974"/>
      <c r="SWS85" s="974"/>
      <c r="SWT85" s="974"/>
      <c r="SWU85" s="974"/>
      <c r="SWV85" s="974"/>
      <c r="SWW85" s="974"/>
      <c r="SWX85" s="974"/>
      <c r="SWY85" s="974"/>
      <c r="SWZ85" s="974"/>
      <c r="SXA85" s="974"/>
      <c r="SXB85" s="974"/>
      <c r="SXC85" s="974"/>
      <c r="SXD85" s="974"/>
      <c r="SXE85" s="974"/>
      <c r="SXF85" s="974"/>
      <c r="SXG85" s="974"/>
      <c r="SXH85" s="974"/>
      <c r="SXI85" s="974"/>
      <c r="SXJ85" s="974"/>
      <c r="SXK85" s="974"/>
      <c r="SXL85" s="974"/>
      <c r="SXM85" s="974"/>
      <c r="SXN85" s="974"/>
      <c r="SXO85" s="974"/>
      <c r="SXP85" s="974"/>
      <c r="SXQ85" s="974"/>
      <c r="SXR85" s="974"/>
      <c r="SXS85" s="974"/>
      <c r="SXT85" s="974"/>
      <c r="SXU85" s="974"/>
      <c r="SXV85" s="974"/>
      <c r="SXW85" s="974"/>
      <c r="SXX85" s="974"/>
      <c r="SXY85" s="974"/>
      <c r="SXZ85" s="974"/>
      <c r="SYA85" s="974"/>
      <c r="SYB85" s="974"/>
      <c r="SYC85" s="974"/>
      <c r="SYD85" s="974"/>
      <c r="SYE85" s="974"/>
      <c r="SYF85" s="974"/>
      <c r="SYG85" s="974"/>
      <c r="SYH85" s="974"/>
      <c r="SYI85" s="974"/>
      <c r="SYJ85" s="974"/>
      <c r="SYK85" s="974"/>
      <c r="SYL85" s="974"/>
      <c r="SYM85" s="974"/>
      <c r="SYN85" s="974"/>
      <c r="SYO85" s="974"/>
      <c r="SYP85" s="974"/>
      <c r="SYQ85" s="974"/>
      <c r="SYR85" s="974"/>
      <c r="SYS85" s="974"/>
      <c r="SYT85" s="974"/>
      <c r="SYU85" s="974"/>
      <c r="SYV85" s="974"/>
      <c r="SYW85" s="974"/>
      <c r="SYX85" s="974"/>
      <c r="SYY85" s="974"/>
      <c r="SYZ85" s="974"/>
      <c r="SZA85" s="974"/>
      <c r="SZB85" s="974"/>
      <c r="SZC85" s="974"/>
      <c r="SZD85" s="974"/>
      <c r="SZE85" s="974"/>
      <c r="SZF85" s="974"/>
      <c r="SZG85" s="974"/>
      <c r="SZH85" s="974"/>
      <c r="SZI85" s="974"/>
      <c r="SZJ85" s="974"/>
      <c r="SZK85" s="974"/>
      <c r="SZL85" s="974"/>
      <c r="SZM85" s="974"/>
      <c r="SZN85" s="974"/>
      <c r="SZO85" s="974"/>
      <c r="SZP85" s="974"/>
      <c r="SZQ85" s="974"/>
      <c r="SZR85" s="974"/>
      <c r="SZS85" s="974"/>
      <c r="SZT85" s="974"/>
      <c r="SZU85" s="974"/>
      <c r="SZV85" s="974"/>
      <c r="SZW85" s="974"/>
      <c r="SZX85" s="974"/>
      <c r="SZY85" s="974"/>
      <c r="SZZ85" s="974"/>
      <c r="TAA85" s="974"/>
      <c r="TAB85" s="974"/>
      <c r="TAC85" s="974"/>
      <c r="TAD85" s="974"/>
      <c r="TAE85" s="974"/>
      <c r="TAF85" s="974"/>
      <c r="TAG85" s="974"/>
      <c r="TAH85" s="974"/>
      <c r="TAI85" s="974"/>
      <c r="TAJ85" s="974"/>
      <c r="TAK85" s="974"/>
      <c r="TAL85" s="974"/>
      <c r="TAM85" s="974"/>
      <c r="TAN85" s="974"/>
      <c r="TAO85" s="974"/>
      <c r="TAP85" s="974"/>
      <c r="TAQ85" s="974"/>
      <c r="TAR85" s="974"/>
      <c r="TAS85" s="974"/>
      <c r="TAT85" s="974"/>
      <c r="TAU85" s="974"/>
      <c r="TAV85" s="974"/>
      <c r="TAW85" s="974"/>
      <c r="TAX85" s="974"/>
      <c r="TAY85" s="974"/>
      <c r="TAZ85" s="974"/>
      <c r="TBA85" s="974"/>
      <c r="TBB85" s="974"/>
      <c r="TBC85" s="974"/>
      <c r="TBD85" s="974"/>
      <c r="TBE85" s="974"/>
      <c r="TBF85" s="974"/>
      <c r="TBG85" s="974"/>
      <c r="TBH85" s="974"/>
      <c r="TBI85" s="974"/>
      <c r="TBJ85" s="974"/>
      <c r="TBK85" s="974"/>
      <c r="TBL85" s="974"/>
      <c r="TBM85" s="974"/>
      <c r="TBN85" s="974"/>
      <c r="TBO85" s="974"/>
      <c r="TBP85" s="974"/>
      <c r="TBQ85" s="974"/>
      <c r="TBR85" s="974"/>
      <c r="TBS85" s="974"/>
      <c r="TBT85" s="974"/>
      <c r="TBU85" s="974"/>
      <c r="TBV85" s="974"/>
      <c r="TBW85" s="974"/>
      <c r="TBX85" s="974"/>
      <c r="TBY85" s="974"/>
      <c r="TBZ85" s="974"/>
      <c r="TCA85" s="974"/>
      <c r="TCB85" s="974"/>
      <c r="TCC85" s="974"/>
      <c r="TCD85" s="974"/>
      <c r="TCE85" s="974"/>
      <c r="TCF85" s="974"/>
      <c r="TCG85" s="974"/>
      <c r="TCH85" s="974"/>
      <c r="TCI85" s="974"/>
      <c r="TCJ85" s="974"/>
      <c r="TCK85" s="974"/>
      <c r="TCL85" s="974"/>
      <c r="TCM85" s="974"/>
      <c r="TCN85" s="974"/>
      <c r="TCO85" s="974"/>
      <c r="TCP85" s="974"/>
      <c r="TCQ85" s="974"/>
      <c r="TCR85" s="974"/>
      <c r="TCS85" s="974"/>
      <c r="TCT85" s="974"/>
      <c r="TCU85" s="974"/>
      <c r="TCV85" s="974"/>
      <c r="TCW85" s="974"/>
      <c r="TCX85" s="974"/>
      <c r="TCY85" s="974"/>
      <c r="TCZ85" s="974"/>
      <c r="TDA85" s="974"/>
      <c r="TDB85" s="974"/>
      <c r="TDC85" s="974"/>
      <c r="TDD85" s="974"/>
      <c r="TDE85" s="974"/>
      <c r="TDF85" s="974"/>
      <c r="TDG85" s="974"/>
      <c r="TDH85" s="974"/>
      <c r="TDI85" s="974"/>
      <c r="TDJ85" s="974"/>
      <c r="TDK85" s="974"/>
      <c r="TDL85" s="974"/>
      <c r="TDM85" s="974"/>
      <c r="TDN85" s="974"/>
      <c r="TDO85" s="974"/>
      <c r="TDP85" s="974"/>
      <c r="TDQ85" s="974"/>
      <c r="TDR85" s="974"/>
      <c r="TDS85" s="974"/>
      <c r="TDT85" s="974"/>
      <c r="TDU85" s="974"/>
      <c r="TDV85" s="974"/>
      <c r="TDW85" s="974"/>
      <c r="TDX85" s="974"/>
      <c r="TDY85" s="974"/>
      <c r="TDZ85" s="974"/>
      <c r="TEA85" s="974"/>
      <c r="TEB85" s="974"/>
      <c r="TEC85" s="974"/>
      <c r="TED85" s="974"/>
      <c r="TEE85" s="974"/>
      <c r="TEF85" s="974"/>
      <c r="TEG85" s="974"/>
      <c r="TEH85" s="974"/>
      <c r="TEI85" s="974"/>
      <c r="TEJ85" s="974"/>
      <c r="TEK85" s="974"/>
      <c r="TEL85" s="974"/>
      <c r="TEM85" s="974"/>
      <c r="TEN85" s="974"/>
      <c r="TEO85" s="974"/>
      <c r="TEP85" s="974"/>
      <c r="TEQ85" s="974"/>
      <c r="TER85" s="974"/>
      <c r="TES85" s="974"/>
      <c r="TET85" s="974"/>
      <c r="TEU85" s="974"/>
      <c r="TEV85" s="974"/>
      <c r="TEW85" s="974"/>
      <c r="TEX85" s="974"/>
      <c r="TEY85" s="974"/>
      <c r="TEZ85" s="974"/>
      <c r="TFA85" s="974"/>
      <c r="TFB85" s="974"/>
      <c r="TFC85" s="974"/>
      <c r="TFD85" s="974"/>
      <c r="TFE85" s="974"/>
      <c r="TFF85" s="974"/>
      <c r="TFG85" s="974"/>
      <c r="TFH85" s="974"/>
      <c r="TFI85" s="974"/>
      <c r="TFJ85" s="974"/>
      <c r="TFK85" s="974"/>
      <c r="TFL85" s="974"/>
      <c r="TFM85" s="974"/>
      <c r="TFN85" s="974"/>
      <c r="TFO85" s="974"/>
      <c r="TFP85" s="974"/>
      <c r="TFQ85" s="974"/>
      <c r="TFR85" s="974"/>
      <c r="TFS85" s="974"/>
      <c r="TFT85" s="974"/>
      <c r="TFU85" s="974"/>
      <c r="TFV85" s="974"/>
      <c r="TFW85" s="974"/>
      <c r="TFX85" s="974"/>
      <c r="TFY85" s="974"/>
      <c r="TFZ85" s="974"/>
      <c r="TGA85" s="974"/>
      <c r="TGB85" s="974"/>
      <c r="TGC85" s="974"/>
      <c r="TGD85" s="974"/>
      <c r="TGE85" s="974"/>
      <c r="TGF85" s="974"/>
      <c r="TGG85" s="974"/>
      <c r="TGH85" s="974"/>
      <c r="TGI85" s="974"/>
      <c r="TGJ85" s="974"/>
      <c r="TGK85" s="974"/>
      <c r="TGL85" s="974"/>
      <c r="TGM85" s="974"/>
      <c r="TGN85" s="974"/>
      <c r="TGO85" s="974"/>
      <c r="TGP85" s="974"/>
      <c r="TGQ85" s="974"/>
      <c r="TGR85" s="974"/>
      <c r="TGS85" s="974"/>
      <c r="TGT85" s="974"/>
      <c r="TGU85" s="974"/>
      <c r="TGV85" s="974"/>
      <c r="TGW85" s="974"/>
      <c r="TGX85" s="974"/>
      <c r="TGY85" s="974"/>
      <c r="TGZ85" s="974"/>
      <c r="THA85" s="974"/>
      <c r="THB85" s="974"/>
      <c r="THC85" s="974"/>
      <c r="THD85" s="974"/>
      <c r="THE85" s="974"/>
      <c r="THF85" s="974"/>
      <c r="THG85" s="974"/>
      <c r="THH85" s="974"/>
      <c r="THI85" s="974"/>
      <c r="THJ85" s="974"/>
      <c r="THK85" s="974"/>
      <c r="THL85" s="974"/>
      <c r="THM85" s="974"/>
      <c r="THN85" s="974"/>
      <c r="THO85" s="974"/>
      <c r="THP85" s="974"/>
      <c r="THQ85" s="974"/>
      <c r="THR85" s="974"/>
      <c r="THS85" s="974"/>
      <c r="THT85" s="974"/>
      <c r="THU85" s="974"/>
      <c r="THV85" s="974"/>
      <c r="THW85" s="974"/>
      <c r="THX85" s="974"/>
      <c r="THY85" s="974"/>
      <c r="THZ85" s="974"/>
      <c r="TIA85" s="974"/>
      <c r="TIB85" s="974"/>
      <c r="TIC85" s="974"/>
      <c r="TID85" s="974"/>
      <c r="TIE85" s="974"/>
      <c r="TIF85" s="974"/>
      <c r="TIG85" s="974"/>
      <c r="TIH85" s="974"/>
      <c r="TII85" s="974"/>
      <c r="TIJ85" s="974"/>
      <c r="TIK85" s="974"/>
      <c r="TIL85" s="974"/>
      <c r="TIM85" s="974"/>
      <c r="TIN85" s="974"/>
      <c r="TIO85" s="974"/>
      <c r="TIP85" s="974"/>
      <c r="TIQ85" s="974"/>
      <c r="TIR85" s="974"/>
      <c r="TIS85" s="974"/>
      <c r="TIT85" s="974"/>
      <c r="TIU85" s="974"/>
      <c r="TIV85" s="974"/>
      <c r="TIW85" s="974"/>
      <c r="TIX85" s="974"/>
      <c r="TIY85" s="974"/>
      <c r="TIZ85" s="974"/>
      <c r="TJA85" s="974"/>
      <c r="TJB85" s="974"/>
      <c r="TJC85" s="974"/>
      <c r="TJD85" s="974"/>
      <c r="TJE85" s="974"/>
      <c r="TJF85" s="974"/>
      <c r="TJG85" s="974"/>
      <c r="TJH85" s="974"/>
      <c r="TJI85" s="974"/>
      <c r="TJJ85" s="974"/>
      <c r="TJK85" s="974"/>
      <c r="TJL85" s="974"/>
      <c r="TJM85" s="974"/>
      <c r="TJN85" s="974"/>
      <c r="TJO85" s="974"/>
      <c r="TJP85" s="974"/>
      <c r="TJQ85" s="974"/>
      <c r="TJR85" s="974"/>
      <c r="TJS85" s="974"/>
      <c r="TJT85" s="974"/>
      <c r="TJU85" s="974"/>
      <c r="TJV85" s="974"/>
      <c r="TJW85" s="974"/>
      <c r="TJX85" s="974"/>
      <c r="TJY85" s="974"/>
      <c r="TJZ85" s="974"/>
      <c r="TKA85" s="974"/>
      <c r="TKB85" s="974"/>
      <c r="TKC85" s="974"/>
      <c r="TKD85" s="974"/>
      <c r="TKE85" s="974"/>
      <c r="TKF85" s="974"/>
      <c r="TKG85" s="974"/>
      <c r="TKH85" s="974"/>
      <c r="TKI85" s="974"/>
      <c r="TKJ85" s="974"/>
      <c r="TKK85" s="974"/>
      <c r="TKL85" s="974"/>
      <c r="TKM85" s="974"/>
      <c r="TKN85" s="974"/>
      <c r="TKO85" s="974"/>
      <c r="TKP85" s="974"/>
      <c r="TKQ85" s="974"/>
      <c r="TKR85" s="974"/>
      <c r="TKS85" s="974"/>
      <c r="TKT85" s="974"/>
      <c r="TKU85" s="974"/>
      <c r="TKV85" s="974"/>
      <c r="TKW85" s="974"/>
      <c r="TKX85" s="974"/>
      <c r="TKY85" s="974"/>
      <c r="TKZ85" s="974"/>
      <c r="TLA85" s="974"/>
      <c r="TLB85" s="974"/>
      <c r="TLC85" s="974"/>
      <c r="TLD85" s="974"/>
      <c r="TLE85" s="974"/>
      <c r="TLF85" s="974"/>
      <c r="TLG85" s="974"/>
      <c r="TLH85" s="974"/>
      <c r="TLI85" s="974"/>
      <c r="TLJ85" s="974"/>
      <c r="TLK85" s="974"/>
      <c r="TLL85" s="974"/>
      <c r="TLM85" s="974"/>
      <c r="TLN85" s="974"/>
      <c r="TLO85" s="974"/>
      <c r="TLP85" s="974"/>
      <c r="TLQ85" s="974"/>
      <c r="TLR85" s="974"/>
      <c r="TLS85" s="974"/>
      <c r="TLT85" s="974"/>
      <c r="TLU85" s="974"/>
      <c r="TLV85" s="974"/>
      <c r="TLW85" s="974"/>
      <c r="TLX85" s="974"/>
      <c r="TLY85" s="974"/>
      <c r="TLZ85" s="974"/>
      <c r="TMA85" s="974"/>
      <c r="TMB85" s="974"/>
      <c r="TMC85" s="974"/>
      <c r="TMD85" s="974"/>
      <c r="TME85" s="974"/>
      <c r="TMF85" s="974"/>
      <c r="TMG85" s="974"/>
      <c r="TMH85" s="974"/>
      <c r="TMI85" s="974"/>
      <c r="TMJ85" s="974"/>
      <c r="TMK85" s="974"/>
      <c r="TML85" s="974"/>
      <c r="TMM85" s="974"/>
      <c r="TMN85" s="974"/>
      <c r="TMO85" s="974"/>
      <c r="TMP85" s="974"/>
      <c r="TMQ85" s="974"/>
      <c r="TMR85" s="974"/>
      <c r="TMS85" s="974"/>
      <c r="TMT85" s="974"/>
      <c r="TMU85" s="974"/>
      <c r="TMV85" s="974"/>
      <c r="TMW85" s="974"/>
      <c r="TMX85" s="974"/>
      <c r="TMY85" s="974"/>
      <c r="TMZ85" s="974"/>
      <c r="TNA85" s="974"/>
      <c r="TNB85" s="974"/>
      <c r="TNC85" s="974"/>
      <c r="TND85" s="974"/>
      <c r="TNE85" s="974"/>
      <c r="TNF85" s="974"/>
      <c r="TNG85" s="974"/>
      <c r="TNH85" s="974"/>
      <c r="TNI85" s="974"/>
      <c r="TNJ85" s="974"/>
      <c r="TNK85" s="974"/>
      <c r="TNL85" s="974"/>
      <c r="TNM85" s="974"/>
      <c r="TNN85" s="974"/>
      <c r="TNO85" s="974"/>
      <c r="TNP85" s="974"/>
      <c r="TNQ85" s="974"/>
      <c r="TNR85" s="974"/>
      <c r="TNS85" s="974"/>
      <c r="TNT85" s="974"/>
      <c r="TNU85" s="974"/>
      <c r="TNV85" s="974"/>
      <c r="TNW85" s="974"/>
      <c r="TNX85" s="974"/>
      <c r="TNY85" s="974"/>
      <c r="TNZ85" s="974"/>
      <c r="TOA85" s="974"/>
      <c r="TOB85" s="974"/>
      <c r="TOC85" s="974"/>
      <c r="TOD85" s="974"/>
      <c r="TOE85" s="974"/>
      <c r="TOF85" s="974"/>
      <c r="TOG85" s="974"/>
      <c r="TOH85" s="974"/>
      <c r="TOI85" s="974"/>
      <c r="TOJ85" s="974"/>
      <c r="TOK85" s="974"/>
      <c r="TOL85" s="974"/>
      <c r="TOM85" s="974"/>
      <c r="TON85" s="974"/>
      <c r="TOO85" s="974"/>
      <c r="TOP85" s="974"/>
      <c r="TOQ85" s="974"/>
      <c r="TOR85" s="974"/>
      <c r="TOS85" s="974"/>
      <c r="TOT85" s="974"/>
      <c r="TOU85" s="974"/>
      <c r="TOV85" s="974"/>
      <c r="TOW85" s="974"/>
      <c r="TOX85" s="974"/>
      <c r="TOY85" s="974"/>
      <c r="TOZ85" s="974"/>
      <c r="TPA85" s="974"/>
      <c r="TPB85" s="974"/>
      <c r="TPC85" s="974"/>
      <c r="TPD85" s="974"/>
      <c r="TPE85" s="974"/>
      <c r="TPF85" s="974"/>
      <c r="TPG85" s="974"/>
      <c r="TPH85" s="974"/>
      <c r="TPI85" s="974"/>
      <c r="TPJ85" s="974"/>
      <c r="TPK85" s="974"/>
      <c r="TPL85" s="974"/>
      <c r="TPM85" s="974"/>
      <c r="TPN85" s="974"/>
      <c r="TPO85" s="974"/>
      <c r="TPP85" s="974"/>
      <c r="TPQ85" s="974"/>
      <c r="TPR85" s="974"/>
      <c r="TPS85" s="974"/>
      <c r="TPT85" s="974"/>
      <c r="TPU85" s="974"/>
      <c r="TPV85" s="974"/>
      <c r="TPW85" s="974"/>
      <c r="TPX85" s="974"/>
      <c r="TPY85" s="974"/>
      <c r="TPZ85" s="974"/>
      <c r="TQA85" s="974"/>
      <c r="TQB85" s="974"/>
      <c r="TQC85" s="974"/>
      <c r="TQD85" s="974"/>
      <c r="TQE85" s="974"/>
      <c r="TQF85" s="974"/>
      <c r="TQG85" s="974"/>
      <c r="TQH85" s="974"/>
      <c r="TQI85" s="974"/>
      <c r="TQJ85" s="974"/>
      <c r="TQK85" s="974"/>
      <c r="TQL85" s="974"/>
      <c r="TQM85" s="974"/>
      <c r="TQN85" s="974"/>
      <c r="TQO85" s="974"/>
      <c r="TQP85" s="974"/>
      <c r="TQQ85" s="974"/>
      <c r="TQR85" s="974"/>
      <c r="TQS85" s="974"/>
      <c r="TQT85" s="974"/>
      <c r="TQU85" s="974"/>
      <c r="TQV85" s="974"/>
      <c r="TQW85" s="974"/>
      <c r="TQX85" s="974"/>
      <c r="TQY85" s="974"/>
      <c r="TQZ85" s="974"/>
      <c r="TRA85" s="974"/>
      <c r="TRB85" s="974"/>
      <c r="TRC85" s="974"/>
      <c r="TRD85" s="974"/>
      <c r="TRE85" s="974"/>
      <c r="TRF85" s="974"/>
      <c r="TRG85" s="974"/>
      <c r="TRH85" s="974"/>
      <c r="TRI85" s="974"/>
      <c r="TRJ85" s="974"/>
      <c r="TRK85" s="974"/>
      <c r="TRL85" s="974"/>
      <c r="TRM85" s="974"/>
      <c r="TRN85" s="974"/>
      <c r="TRO85" s="974"/>
      <c r="TRP85" s="974"/>
      <c r="TRQ85" s="974"/>
      <c r="TRR85" s="974"/>
      <c r="TRS85" s="974"/>
      <c r="TRT85" s="974"/>
      <c r="TRU85" s="974"/>
      <c r="TRV85" s="974"/>
      <c r="TRW85" s="974"/>
      <c r="TRX85" s="974"/>
      <c r="TRY85" s="974"/>
      <c r="TRZ85" s="974"/>
      <c r="TSA85" s="974"/>
      <c r="TSB85" s="974"/>
      <c r="TSC85" s="974"/>
      <c r="TSD85" s="974"/>
      <c r="TSE85" s="974"/>
      <c r="TSF85" s="974"/>
      <c r="TSG85" s="974"/>
      <c r="TSH85" s="974"/>
      <c r="TSI85" s="974"/>
      <c r="TSJ85" s="974"/>
      <c r="TSK85" s="974"/>
      <c r="TSL85" s="974"/>
      <c r="TSM85" s="974"/>
      <c r="TSN85" s="974"/>
      <c r="TSO85" s="974"/>
      <c r="TSP85" s="974"/>
      <c r="TSQ85" s="974"/>
      <c r="TSR85" s="974"/>
      <c r="TSS85" s="974"/>
      <c r="TST85" s="974"/>
      <c r="TSU85" s="974"/>
      <c r="TSV85" s="974"/>
      <c r="TSW85" s="974"/>
      <c r="TSX85" s="974"/>
      <c r="TSY85" s="974"/>
      <c r="TSZ85" s="974"/>
      <c r="TTA85" s="974"/>
      <c r="TTB85" s="974"/>
      <c r="TTC85" s="974"/>
      <c r="TTD85" s="974"/>
      <c r="TTE85" s="974"/>
      <c r="TTF85" s="974"/>
      <c r="TTG85" s="974"/>
      <c r="TTH85" s="974"/>
      <c r="TTI85" s="974"/>
      <c r="TTJ85" s="974"/>
      <c r="TTK85" s="974"/>
      <c r="TTL85" s="974"/>
      <c r="TTM85" s="974"/>
      <c r="TTN85" s="974"/>
      <c r="TTO85" s="974"/>
      <c r="TTP85" s="974"/>
      <c r="TTQ85" s="974"/>
      <c r="TTR85" s="974"/>
      <c r="TTS85" s="974"/>
      <c r="TTT85" s="974"/>
      <c r="TTU85" s="974"/>
      <c r="TTV85" s="974"/>
      <c r="TTW85" s="974"/>
      <c r="TTX85" s="974"/>
      <c r="TTY85" s="974"/>
      <c r="TTZ85" s="974"/>
      <c r="TUA85" s="974"/>
      <c r="TUB85" s="974"/>
      <c r="TUC85" s="974"/>
      <c r="TUD85" s="974"/>
      <c r="TUE85" s="974"/>
      <c r="TUF85" s="974"/>
      <c r="TUG85" s="974"/>
      <c r="TUH85" s="974"/>
      <c r="TUI85" s="974"/>
      <c r="TUJ85" s="974"/>
      <c r="TUK85" s="974"/>
      <c r="TUL85" s="974"/>
      <c r="TUM85" s="974"/>
      <c r="TUN85" s="974"/>
      <c r="TUO85" s="974"/>
      <c r="TUP85" s="974"/>
      <c r="TUQ85" s="974"/>
      <c r="TUR85" s="974"/>
      <c r="TUS85" s="974"/>
      <c r="TUT85" s="974"/>
      <c r="TUU85" s="974"/>
      <c r="TUV85" s="974"/>
      <c r="TUW85" s="974"/>
      <c r="TUX85" s="974"/>
      <c r="TUY85" s="974"/>
      <c r="TUZ85" s="974"/>
      <c r="TVA85" s="974"/>
      <c r="TVB85" s="974"/>
      <c r="TVC85" s="974"/>
      <c r="TVD85" s="974"/>
      <c r="TVE85" s="974"/>
      <c r="TVF85" s="974"/>
      <c r="TVG85" s="974"/>
      <c r="TVH85" s="974"/>
      <c r="TVI85" s="974"/>
      <c r="TVJ85" s="974"/>
      <c r="TVK85" s="974"/>
      <c r="TVL85" s="974"/>
      <c r="TVM85" s="974"/>
      <c r="TVN85" s="974"/>
      <c r="TVO85" s="974"/>
      <c r="TVP85" s="974"/>
      <c r="TVQ85" s="974"/>
      <c r="TVR85" s="974"/>
      <c r="TVS85" s="974"/>
      <c r="TVT85" s="974"/>
      <c r="TVU85" s="974"/>
      <c r="TVV85" s="974"/>
      <c r="TVW85" s="974"/>
      <c r="TVX85" s="974"/>
      <c r="TVY85" s="974"/>
      <c r="TVZ85" s="974"/>
      <c r="TWA85" s="974"/>
      <c r="TWB85" s="974"/>
      <c r="TWC85" s="974"/>
      <c r="TWD85" s="974"/>
      <c r="TWE85" s="974"/>
      <c r="TWF85" s="974"/>
      <c r="TWG85" s="974"/>
      <c r="TWH85" s="974"/>
      <c r="TWI85" s="974"/>
      <c r="TWJ85" s="974"/>
      <c r="TWK85" s="974"/>
      <c r="TWL85" s="974"/>
      <c r="TWM85" s="974"/>
      <c r="TWN85" s="974"/>
      <c r="TWO85" s="974"/>
      <c r="TWP85" s="974"/>
      <c r="TWQ85" s="974"/>
      <c r="TWR85" s="974"/>
      <c r="TWS85" s="974"/>
      <c r="TWT85" s="974"/>
      <c r="TWU85" s="974"/>
      <c r="TWV85" s="974"/>
      <c r="TWW85" s="974"/>
      <c r="TWX85" s="974"/>
      <c r="TWY85" s="974"/>
      <c r="TWZ85" s="974"/>
      <c r="TXA85" s="974"/>
      <c r="TXB85" s="974"/>
      <c r="TXC85" s="974"/>
      <c r="TXD85" s="974"/>
      <c r="TXE85" s="974"/>
      <c r="TXF85" s="974"/>
      <c r="TXG85" s="974"/>
      <c r="TXH85" s="974"/>
      <c r="TXI85" s="974"/>
      <c r="TXJ85" s="974"/>
      <c r="TXK85" s="974"/>
      <c r="TXL85" s="974"/>
      <c r="TXM85" s="974"/>
      <c r="TXN85" s="974"/>
      <c r="TXO85" s="974"/>
      <c r="TXP85" s="974"/>
      <c r="TXQ85" s="974"/>
      <c r="TXR85" s="974"/>
      <c r="TXS85" s="974"/>
      <c r="TXT85" s="974"/>
      <c r="TXU85" s="974"/>
      <c r="TXV85" s="974"/>
      <c r="TXW85" s="974"/>
      <c r="TXX85" s="974"/>
      <c r="TXY85" s="974"/>
      <c r="TXZ85" s="974"/>
      <c r="TYA85" s="974"/>
      <c r="TYB85" s="974"/>
      <c r="TYC85" s="974"/>
      <c r="TYD85" s="974"/>
      <c r="TYE85" s="974"/>
      <c r="TYF85" s="974"/>
      <c r="TYG85" s="974"/>
      <c r="TYH85" s="974"/>
      <c r="TYI85" s="974"/>
      <c r="TYJ85" s="974"/>
      <c r="TYK85" s="974"/>
      <c r="TYL85" s="974"/>
      <c r="TYM85" s="974"/>
      <c r="TYN85" s="974"/>
      <c r="TYO85" s="974"/>
      <c r="TYP85" s="974"/>
      <c r="TYQ85" s="974"/>
      <c r="TYR85" s="974"/>
      <c r="TYS85" s="974"/>
      <c r="TYT85" s="974"/>
      <c r="TYU85" s="974"/>
      <c r="TYV85" s="974"/>
      <c r="TYW85" s="974"/>
      <c r="TYX85" s="974"/>
      <c r="TYY85" s="974"/>
      <c r="TYZ85" s="974"/>
      <c r="TZA85" s="974"/>
      <c r="TZB85" s="974"/>
      <c r="TZC85" s="974"/>
      <c r="TZD85" s="974"/>
      <c r="TZE85" s="974"/>
      <c r="TZF85" s="974"/>
      <c r="TZG85" s="974"/>
      <c r="TZH85" s="974"/>
      <c r="TZI85" s="974"/>
      <c r="TZJ85" s="974"/>
      <c r="TZK85" s="974"/>
      <c r="TZL85" s="974"/>
      <c r="TZM85" s="974"/>
      <c r="TZN85" s="974"/>
      <c r="TZO85" s="974"/>
      <c r="TZP85" s="974"/>
      <c r="TZQ85" s="974"/>
      <c r="TZR85" s="974"/>
      <c r="TZS85" s="974"/>
      <c r="TZT85" s="974"/>
      <c r="TZU85" s="974"/>
      <c r="TZV85" s="974"/>
      <c r="TZW85" s="974"/>
      <c r="TZX85" s="974"/>
      <c r="TZY85" s="974"/>
      <c r="TZZ85" s="974"/>
      <c r="UAA85" s="974"/>
      <c r="UAB85" s="974"/>
      <c r="UAC85" s="974"/>
      <c r="UAD85" s="974"/>
      <c r="UAE85" s="974"/>
      <c r="UAF85" s="974"/>
      <c r="UAG85" s="974"/>
      <c r="UAH85" s="974"/>
      <c r="UAI85" s="974"/>
      <c r="UAJ85" s="974"/>
      <c r="UAK85" s="974"/>
      <c r="UAL85" s="974"/>
      <c r="UAM85" s="974"/>
      <c r="UAN85" s="974"/>
      <c r="UAO85" s="974"/>
      <c r="UAP85" s="974"/>
      <c r="UAQ85" s="974"/>
      <c r="UAR85" s="974"/>
      <c r="UAS85" s="974"/>
      <c r="UAT85" s="974"/>
      <c r="UAU85" s="974"/>
      <c r="UAV85" s="974"/>
      <c r="UAW85" s="974"/>
      <c r="UAX85" s="974"/>
      <c r="UAY85" s="974"/>
      <c r="UAZ85" s="974"/>
      <c r="UBA85" s="974"/>
      <c r="UBB85" s="974"/>
      <c r="UBC85" s="974"/>
      <c r="UBD85" s="974"/>
      <c r="UBE85" s="974"/>
      <c r="UBF85" s="974"/>
      <c r="UBG85" s="974"/>
      <c r="UBH85" s="974"/>
      <c r="UBI85" s="974"/>
      <c r="UBJ85" s="974"/>
      <c r="UBK85" s="974"/>
      <c r="UBL85" s="974"/>
      <c r="UBM85" s="974"/>
      <c r="UBN85" s="974"/>
      <c r="UBO85" s="974"/>
      <c r="UBP85" s="974"/>
      <c r="UBQ85" s="974"/>
      <c r="UBR85" s="974"/>
      <c r="UBS85" s="974"/>
      <c r="UBT85" s="974"/>
      <c r="UBU85" s="974"/>
      <c r="UBV85" s="974"/>
      <c r="UBW85" s="974"/>
      <c r="UBX85" s="974"/>
      <c r="UBY85" s="974"/>
      <c r="UBZ85" s="974"/>
      <c r="UCA85" s="974"/>
      <c r="UCB85" s="974"/>
      <c r="UCC85" s="974"/>
      <c r="UCD85" s="974"/>
      <c r="UCE85" s="974"/>
      <c r="UCF85" s="974"/>
      <c r="UCG85" s="974"/>
      <c r="UCH85" s="974"/>
      <c r="UCI85" s="974"/>
      <c r="UCJ85" s="974"/>
      <c r="UCK85" s="974"/>
      <c r="UCL85" s="974"/>
      <c r="UCM85" s="974"/>
      <c r="UCN85" s="974"/>
      <c r="UCO85" s="974"/>
      <c r="UCP85" s="974"/>
      <c r="UCQ85" s="974"/>
      <c r="UCR85" s="974"/>
      <c r="UCS85" s="974"/>
      <c r="UCT85" s="974"/>
      <c r="UCU85" s="974"/>
      <c r="UCV85" s="974"/>
      <c r="UCW85" s="974"/>
      <c r="UCX85" s="974"/>
      <c r="UCY85" s="974"/>
      <c r="UCZ85" s="974"/>
      <c r="UDA85" s="974"/>
      <c r="UDB85" s="974"/>
      <c r="UDC85" s="974"/>
      <c r="UDD85" s="974"/>
      <c r="UDE85" s="974"/>
      <c r="UDF85" s="974"/>
      <c r="UDG85" s="974"/>
      <c r="UDH85" s="974"/>
      <c r="UDI85" s="974"/>
      <c r="UDJ85" s="974"/>
      <c r="UDK85" s="974"/>
      <c r="UDL85" s="974"/>
      <c r="UDM85" s="974"/>
      <c r="UDN85" s="974"/>
      <c r="UDO85" s="974"/>
      <c r="UDP85" s="974"/>
      <c r="UDQ85" s="974"/>
      <c r="UDR85" s="974"/>
      <c r="UDS85" s="974"/>
      <c r="UDT85" s="974"/>
      <c r="UDU85" s="974"/>
      <c r="UDV85" s="974"/>
      <c r="UDW85" s="974"/>
      <c r="UDX85" s="974"/>
      <c r="UDY85" s="974"/>
      <c r="UDZ85" s="974"/>
      <c r="UEA85" s="974"/>
      <c r="UEB85" s="974"/>
      <c r="UEC85" s="974"/>
      <c r="UED85" s="974"/>
      <c r="UEE85" s="974"/>
      <c r="UEF85" s="974"/>
      <c r="UEG85" s="974"/>
      <c r="UEH85" s="974"/>
      <c r="UEI85" s="974"/>
      <c r="UEJ85" s="974"/>
      <c r="UEK85" s="974"/>
      <c r="UEL85" s="974"/>
      <c r="UEM85" s="974"/>
      <c r="UEN85" s="974"/>
      <c r="UEO85" s="974"/>
      <c r="UEP85" s="974"/>
      <c r="UEQ85" s="974"/>
      <c r="UER85" s="974"/>
      <c r="UES85" s="974"/>
      <c r="UET85" s="974"/>
      <c r="UEU85" s="974"/>
      <c r="UEV85" s="974"/>
      <c r="UEW85" s="974"/>
      <c r="UEX85" s="974"/>
      <c r="UEY85" s="974"/>
      <c r="UEZ85" s="974"/>
      <c r="UFA85" s="974"/>
      <c r="UFB85" s="974"/>
      <c r="UFC85" s="974"/>
      <c r="UFD85" s="974"/>
      <c r="UFE85" s="974"/>
      <c r="UFF85" s="974"/>
      <c r="UFG85" s="974"/>
      <c r="UFH85" s="974"/>
      <c r="UFI85" s="974"/>
      <c r="UFJ85" s="974"/>
      <c r="UFK85" s="974"/>
      <c r="UFL85" s="974"/>
      <c r="UFM85" s="974"/>
      <c r="UFN85" s="974"/>
      <c r="UFO85" s="974"/>
      <c r="UFP85" s="974"/>
      <c r="UFQ85" s="974"/>
      <c r="UFR85" s="974"/>
      <c r="UFS85" s="974"/>
      <c r="UFT85" s="974"/>
      <c r="UFU85" s="974"/>
      <c r="UFV85" s="974"/>
      <c r="UFW85" s="974"/>
      <c r="UFX85" s="974"/>
      <c r="UFY85" s="974"/>
      <c r="UFZ85" s="974"/>
      <c r="UGA85" s="974"/>
      <c r="UGB85" s="974"/>
      <c r="UGC85" s="974"/>
      <c r="UGD85" s="974"/>
      <c r="UGE85" s="974"/>
      <c r="UGF85" s="974"/>
      <c r="UGG85" s="974"/>
      <c r="UGH85" s="974"/>
      <c r="UGI85" s="974"/>
      <c r="UGJ85" s="974"/>
      <c r="UGK85" s="974"/>
      <c r="UGL85" s="974"/>
      <c r="UGM85" s="974"/>
      <c r="UGN85" s="974"/>
      <c r="UGO85" s="974"/>
      <c r="UGP85" s="974"/>
      <c r="UGQ85" s="974"/>
      <c r="UGR85" s="974"/>
      <c r="UGS85" s="974"/>
      <c r="UGT85" s="974"/>
      <c r="UGU85" s="974"/>
      <c r="UGV85" s="974"/>
      <c r="UGW85" s="974"/>
      <c r="UGX85" s="974"/>
      <c r="UGY85" s="974"/>
      <c r="UGZ85" s="974"/>
      <c r="UHA85" s="974"/>
      <c r="UHB85" s="974"/>
      <c r="UHC85" s="974"/>
      <c r="UHD85" s="974"/>
      <c r="UHE85" s="974"/>
      <c r="UHF85" s="974"/>
      <c r="UHG85" s="974"/>
      <c r="UHH85" s="974"/>
      <c r="UHI85" s="974"/>
      <c r="UHJ85" s="974"/>
      <c r="UHK85" s="974"/>
      <c r="UHL85" s="974"/>
      <c r="UHM85" s="974"/>
      <c r="UHN85" s="974"/>
      <c r="UHO85" s="974"/>
      <c r="UHP85" s="974"/>
      <c r="UHQ85" s="974"/>
      <c r="UHR85" s="974"/>
      <c r="UHS85" s="974"/>
      <c r="UHT85" s="974"/>
      <c r="UHU85" s="974"/>
      <c r="UHV85" s="974"/>
      <c r="UHW85" s="974"/>
      <c r="UHX85" s="974"/>
      <c r="UHY85" s="974"/>
      <c r="UHZ85" s="974"/>
      <c r="UIA85" s="974"/>
      <c r="UIB85" s="974"/>
      <c r="UIC85" s="974"/>
      <c r="UID85" s="974"/>
      <c r="UIE85" s="974"/>
      <c r="UIF85" s="974"/>
      <c r="UIG85" s="974"/>
      <c r="UIH85" s="974"/>
      <c r="UII85" s="974"/>
      <c r="UIJ85" s="974"/>
      <c r="UIK85" s="974"/>
      <c r="UIL85" s="974"/>
      <c r="UIM85" s="974"/>
      <c r="UIN85" s="974"/>
      <c r="UIO85" s="974"/>
      <c r="UIP85" s="974"/>
      <c r="UIQ85" s="974"/>
      <c r="UIR85" s="974"/>
      <c r="UIS85" s="974"/>
      <c r="UIT85" s="974"/>
      <c r="UIU85" s="974"/>
      <c r="UIV85" s="974"/>
      <c r="UIW85" s="974"/>
      <c r="UIX85" s="974"/>
      <c r="UIY85" s="974"/>
      <c r="UIZ85" s="974"/>
      <c r="UJA85" s="974"/>
      <c r="UJB85" s="974"/>
      <c r="UJC85" s="974"/>
      <c r="UJD85" s="974"/>
      <c r="UJE85" s="974"/>
      <c r="UJF85" s="974"/>
      <c r="UJG85" s="974"/>
      <c r="UJH85" s="974"/>
      <c r="UJI85" s="974"/>
      <c r="UJJ85" s="974"/>
      <c r="UJK85" s="974"/>
      <c r="UJL85" s="974"/>
      <c r="UJM85" s="974"/>
      <c r="UJN85" s="974"/>
      <c r="UJO85" s="974"/>
      <c r="UJP85" s="974"/>
      <c r="UJQ85" s="974"/>
      <c r="UJR85" s="974"/>
      <c r="UJS85" s="974"/>
      <c r="UJT85" s="974"/>
      <c r="UJU85" s="974"/>
      <c r="UJV85" s="974"/>
      <c r="UJW85" s="974"/>
      <c r="UJX85" s="974"/>
      <c r="UJY85" s="974"/>
      <c r="UJZ85" s="974"/>
      <c r="UKA85" s="974"/>
      <c r="UKB85" s="974"/>
      <c r="UKC85" s="974"/>
      <c r="UKD85" s="974"/>
      <c r="UKE85" s="974"/>
      <c r="UKF85" s="974"/>
      <c r="UKG85" s="974"/>
      <c r="UKH85" s="974"/>
      <c r="UKI85" s="974"/>
      <c r="UKJ85" s="974"/>
      <c r="UKK85" s="974"/>
      <c r="UKL85" s="974"/>
      <c r="UKM85" s="974"/>
      <c r="UKN85" s="974"/>
      <c r="UKO85" s="974"/>
      <c r="UKP85" s="974"/>
      <c r="UKQ85" s="974"/>
      <c r="UKR85" s="974"/>
      <c r="UKS85" s="974"/>
      <c r="UKT85" s="974"/>
      <c r="UKU85" s="974"/>
      <c r="UKV85" s="974"/>
      <c r="UKW85" s="974"/>
      <c r="UKX85" s="974"/>
      <c r="UKY85" s="974"/>
      <c r="UKZ85" s="974"/>
      <c r="ULA85" s="974"/>
      <c r="ULB85" s="974"/>
      <c r="ULC85" s="974"/>
      <c r="ULD85" s="974"/>
      <c r="ULE85" s="974"/>
      <c r="ULF85" s="974"/>
      <c r="ULG85" s="974"/>
      <c r="ULH85" s="974"/>
      <c r="ULI85" s="974"/>
      <c r="ULJ85" s="974"/>
      <c r="ULK85" s="974"/>
      <c r="ULL85" s="974"/>
      <c r="ULM85" s="974"/>
      <c r="ULN85" s="974"/>
      <c r="ULO85" s="974"/>
      <c r="ULP85" s="974"/>
      <c r="ULQ85" s="974"/>
      <c r="ULR85" s="974"/>
      <c r="ULS85" s="974"/>
      <c r="ULT85" s="974"/>
      <c r="ULU85" s="974"/>
      <c r="ULV85" s="974"/>
      <c r="ULW85" s="974"/>
      <c r="ULX85" s="974"/>
      <c r="ULY85" s="974"/>
      <c r="ULZ85" s="974"/>
      <c r="UMA85" s="974"/>
      <c r="UMB85" s="974"/>
      <c r="UMC85" s="974"/>
      <c r="UMD85" s="974"/>
      <c r="UME85" s="974"/>
      <c r="UMF85" s="974"/>
      <c r="UMG85" s="974"/>
      <c r="UMH85" s="974"/>
      <c r="UMI85" s="974"/>
      <c r="UMJ85" s="974"/>
      <c r="UMK85" s="974"/>
      <c r="UML85" s="974"/>
      <c r="UMM85" s="974"/>
      <c r="UMN85" s="974"/>
      <c r="UMO85" s="974"/>
      <c r="UMP85" s="974"/>
      <c r="UMQ85" s="974"/>
      <c r="UMR85" s="974"/>
      <c r="UMS85" s="974"/>
      <c r="UMT85" s="974"/>
      <c r="UMU85" s="974"/>
      <c r="UMV85" s="974"/>
      <c r="UMW85" s="974"/>
      <c r="UMX85" s="974"/>
      <c r="UMY85" s="974"/>
      <c r="UMZ85" s="974"/>
      <c r="UNA85" s="974"/>
      <c r="UNB85" s="974"/>
      <c r="UNC85" s="974"/>
      <c r="UND85" s="974"/>
      <c r="UNE85" s="974"/>
      <c r="UNF85" s="974"/>
      <c r="UNG85" s="974"/>
      <c r="UNH85" s="974"/>
      <c r="UNI85" s="974"/>
      <c r="UNJ85" s="974"/>
      <c r="UNK85" s="974"/>
      <c r="UNL85" s="974"/>
      <c r="UNM85" s="974"/>
      <c r="UNN85" s="974"/>
      <c r="UNO85" s="974"/>
      <c r="UNP85" s="974"/>
      <c r="UNQ85" s="974"/>
      <c r="UNR85" s="974"/>
      <c r="UNS85" s="974"/>
      <c r="UNT85" s="974"/>
      <c r="UNU85" s="974"/>
      <c r="UNV85" s="974"/>
      <c r="UNW85" s="974"/>
      <c r="UNX85" s="974"/>
      <c r="UNY85" s="974"/>
      <c r="UNZ85" s="974"/>
      <c r="UOA85" s="974"/>
      <c r="UOB85" s="974"/>
      <c r="UOC85" s="974"/>
      <c r="UOD85" s="974"/>
      <c r="UOE85" s="974"/>
      <c r="UOF85" s="974"/>
      <c r="UOG85" s="974"/>
      <c r="UOH85" s="974"/>
      <c r="UOI85" s="974"/>
      <c r="UOJ85" s="974"/>
      <c r="UOK85" s="974"/>
      <c r="UOL85" s="974"/>
      <c r="UOM85" s="974"/>
      <c r="UON85" s="974"/>
      <c r="UOO85" s="974"/>
      <c r="UOP85" s="974"/>
      <c r="UOQ85" s="974"/>
      <c r="UOR85" s="974"/>
      <c r="UOS85" s="974"/>
      <c r="UOT85" s="974"/>
      <c r="UOU85" s="974"/>
      <c r="UOV85" s="974"/>
      <c r="UOW85" s="974"/>
      <c r="UOX85" s="974"/>
      <c r="UOY85" s="974"/>
      <c r="UOZ85" s="974"/>
      <c r="UPA85" s="974"/>
      <c r="UPB85" s="974"/>
      <c r="UPC85" s="974"/>
      <c r="UPD85" s="974"/>
      <c r="UPE85" s="974"/>
      <c r="UPF85" s="974"/>
      <c r="UPG85" s="974"/>
      <c r="UPH85" s="974"/>
      <c r="UPI85" s="974"/>
      <c r="UPJ85" s="974"/>
      <c r="UPK85" s="974"/>
      <c r="UPL85" s="974"/>
      <c r="UPM85" s="974"/>
      <c r="UPN85" s="974"/>
      <c r="UPO85" s="974"/>
      <c r="UPP85" s="974"/>
      <c r="UPQ85" s="974"/>
      <c r="UPR85" s="974"/>
      <c r="UPS85" s="974"/>
      <c r="UPT85" s="974"/>
      <c r="UPU85" s="974"/>
      <c r="UPV85" s="974"/>
      <c r="UPW85" s="974"/>
      <c r="UPX85" s="974"/>
      <c r="UPY85" s="974"/>
      <c r="UPZ85" s="974"/>
      <c r="UQA85" s="974"/>
      <c r="UQB85" s="974"/>
      <c r="UQC85" s="974"/>
      <c r="UQD85" s="974"/>
      <c r="UQE85" s="974"/>
      <c r="UQF85" s="974"/>
      <c r="UQG85" s="974"/>
      <c r="UQH85" s="974"/>
      <c r="UQI85" s="974"/>
      <c r="UQJ85" s="974"/>
      <c r="UQK85" s="974"/>
      <c r="UQL85" s="974"/>
      <c r="UQM85" s="974"/>
      <c r="UQN85" s="974"/>
      <c r="UQO85" s="974"/>
      <c r="UQP85" s="974"/>
      <c r="UQQ85" s="974"/>
      <c r="UQR85" s="974"/>
      <c r="UQS85" s="974"/>
      <c r="UQT85" s="974"/>
      <c r="UQU85" s="974"/>
      <c r="UQV85" s="974"/>
      <c r="UQW85" s="974"/>
      <c r="UQX85" s="974"/>
      <c r="UQY85" s="974"/>
      <c r="UQZ85" s="974"/>
      <c r="URA85" s="974"/>
      <c r="URB85" s="974"/>
      <c r="URC85" s="974"/>
      <c r="URD85" s="974"/>
      <c r="URE85" s="974"/>
      <c r="URF85" s="974"/>
      <c r="URG85" s="974"/>
      <c r="URH85" s="974"/>
      <c r="URI85" s="974"/>
      <c r="URJ85" s="974"/>
      <c r="URK85" s="974"/>
      <c r="URL85" s="974"/>
      <c r="URM85" s="974"/>
      <c r="URN85" s="974"/>
      <c r="URO85" s="974"/>
      <c r="URP85" s="974"/>
      <c r="URQ85" s="974"/>
      <c r="URR85" s="974"/>
      <c r="URS85" s="974"/>
      <c r="URT85" s="974"/>
      <c r="URU85" s="974"/>
      <c r="URV85" s="974"/>
      <c r="URW85" s="974"/>
      <c r="URX85" s="974"/>
      <c r="URY85" s="974"/>
      <c r="URZ85" s="974"/>
      <c r="USA85" s="974"/>
      <c r="USB85" s="974"/>
      <c r="USC85" s="974"/>
      <c r="USD85" s="974"/>
      <c r="USE85" s="974"/>
      <c r="USF85" s="974"/>
      <c r="USG85" s="974"/>
      <c r="USH85" s="974"/>
      <c r="USI85" s="974"/>
      <c r="USJ85" s="974"/>
      <c r="USK85" s="974"/>
      <c r="USL85" s="974"/>
      <c r="USM85" s="974"/>
      <c r="USN85" s="974"/>
      <c r="USO85" s="974"/>
      <c r="USP85" s="974"/>
      <c r="USQ85" s="974"/>
      <c r="USR85" s="974"/>
      <c r="USS85" s="974"/>
      <c r="UST85" s="974"/>
      <c r="USU85" s="974"/>
      <c r="USV85" s="974"/>
      <c r="USW85" s="974"/>
      <c r="USX85" s="974"/>
      <c r="USY85" s="974"/>
      <c r="USZ85" s="974"/>
      <c r="UTA85" s="974"/>
      <c r="UTB85" s="974"/>
      <c r="UTC85" s="974"/>
      <c r="UTD85" s="974"/>
      <c r="UTE85" s="974"/>
      <c r="UTF85" s="974"/>
      <c r="UTG85" s="974"/>
      <c r="UTH85" s="974"/>
      <c r="UTI85" s="974"/>
      <c r="UTJ85" s="974"/>
      <c r="UTK85" s="974"/>
      <c r="UTL85" s="974"/>
      <c r="UTM85" s="974"/>
      <c r="UTN85" s="974"/>
      <c r="UTO85" s="974"/>
      <c r="UTP85" s="974"/>
      <c r="UTQ85" s="974"/>
      <c r="UTR85" s="974"/>
      <c r="UTS85" s="974"/>
      <c r="UTT85" s="974"/>
      <c r="UTU85" s="974"/>
      <c r="UTV85" s="974"/>
      <c r="UTW85" s="974"/>
      <c r="UTX85" s="974"/>
      <c r="UTY85" s="974"/>
      <c r="UTZ85" s="974"/>
      <c r="UUA85" s="974"/>
      <c r="UUB85" s="974"/>
      <c r="UUC85" s="974"/>
      <c r="UUD85" s="974"/>
      <c r="UUE85" s="974"/>
      <c r="UUF85" s="974"/>
      <c r="UUG85" s="974"/>
      <c r="UUH85" s="974"/>
      <c r="UUI85" s="974"/>
      <c r="UUJ85" s="974"/>
      <c r="UUK85" s="974"/>
      <c r="UUL85" s="974"/>
      <c r="UUM85" s="974"/>
      <c r="UUN85" s="974"/>
      <c r="UUO85" s="974"/>
      <c r="UUP85" s="974"/>
      <c r="UUQ85" s="974"/>
      <c r="UUR85" s="974"/>
      <c r="UUS85" s="974"/>
      <c r="UUT85" s="974"/>
      <c r="UUU85" s="974"/>
      <c r="UUV85" s="974"/>
      <c r="UUW85" s="974"/>
      <c r="UUX85" s="974"/>
      <c r="UUY85" s="974"/>
      <c r="UUZ85" s="974"/>
      <c r="UVA85" s="974"/>
      <c r="UVB85" s="974"/>
      <c r="UVC85" s="974"/>
      <c r="UVD85" s="974"/>
      <c r="UVE85" s="974"/>
      <c r="UVF85" s="974"/>
      <c r="UVG85" s="974"/>
      <c r="UVH85" s="974"/>
      <c r="UVI85" s="974"/>
      <c r="UVJ85" s="974"/>
      <c r="UVK85" s="974"/>
      <c r="UVL85" s="974"/>
      <c r="UVM85" s="974"/>
      <c r="UVN85" s="974"/>
      <c r="UVO85" s="974"/>
      <c r="UVP85" s="974"/>
      <c r="UVQ85" s="974"/>
      <c r="UVR85" s="974"/>
      <c r="UVS85" s="974"/>
      <c r="UVT85" s="974"/>
      <c r="UVU85" s="974"/>
      <c r="UVV85" s="974"/>
      <c r="UVW85" s="974"/>
      <c r="UVX85" s="974"/>
      <c r="UVY85" s="974"/>
      <c r="UVZ85" s="974"/>
      <c r="UWA85" s="974"/>
      <c r="UWB85" s="974"/>
      <c r="UWC85" s="974"/>
      <c r="UWD85" s="974"/>
      <c r="UWE85" s="974"/>
      <c r="UWF85" s="974"/>
      <c r="UWG85" s="974"/>
      <c r="UWH85" s="974"/>
      <c r="UWI85" s="974"/>
      <c r="UWJ85" s="974"/>
      <c r="UWK85" s="974"/>
      <c r="UWL85" s="974"/>
      <c r="UWM85" s="974"/>
      <c r="UWN85" s="974"/>
      <c r="UWO85" s="974"/>
      <c r="UWP85" s="974"/>
      <c r="UWQ85" s="974"/>
      <c r="UWR85" s="974"/>
      <c r="UWS85" s="974"/>
      <c r="UWT85" s="974"/>
      <c r="UWU85" s="974"/>
      <c r="UWV85" s="974"/>
      <c r="UWW85" s="974"/>
      <c r="UWX85" s="974"/>
      <c r="UWY85" s="974"/>
      <c r="UWZ85" s="974"/>
      <c r="UXA85" s="974"/>
      <c r="UXB85" s="974"/>
      <c r="UXC85" s="974"/>
      <c r="UXD85" s="974"/>
      <c r="UXE85" s="974"/>
      <c r="UXF85" s="974"/>
      <c r="UXG85" s="974"/>
      <c r="UXH85" s="974"/>
      <c r="UXI85" s="974"/>
      <c r="UXJ85" s="974"/>
      <c r="UXK85" s="974"/>
      <c r="UXL85" s="974"/>
      <c r="UXM85" s="974"/>
      <c r="UXN85" s="974"/>
      <c r="UXO85" s="974"/>
      <c r="UXP85" s="974"/>
      <c r="UXQ85" s="974"/>
      <c r="UXR85" s="974"/>
      <c r="UXS85" s="974"/>
      <c r="UXT85" s="974"/>
      <c r="UXU85" s="974"/>
      <c r="UXV85" s="974"/>
      <c r="UXW85" s="974"/>
      <c r="UXX85" s="974"/>
      <c r="UXY85" s="974"/>
      <c r="UXZ85" s="974"/>
      <c r="UYA85" s="974"/>
      <c r="UYB85" s="974"/>
      <c r="UYC85" s="974"/>
      <c r="UYD85" s="974"/>
      <c r="UYE85" s="974"/>
      <c r="UYF85" s="974"/>
      <c r="UYG85" s="974"/>
      <c r="UYH85" s="974"/>
      <c r="UYI85" s="974"/>
      <c r="UYJ85" s="974"/>
      <c r="UYK85" s="974"/>
      <c r="UYL85" s="974"/>
      <c r="UYM85" s="974"/>
      <c r="UYN85" s="974"/>
      <c r="UYO85" s="974"/>
      <c r="UYP85" s="974"/>
      <c r="UYQ85" s="974"/>
      <c r="UYR85" s="974"/>
      <c r="UYS85" s="974"/>
      <c r="UYT85" s="974"/>
      <c r="UYU85" s="974"/>
      <c r="UYV85" s="974"/>
      <c r="UYW85" s="974"/>
      <c r="UYX85" s="974"/>
      <c r="UYY85" s="974"/>
      <c r="UYZ85" s="974"/>
      <c r="UZA85" s="974"/>
      <c r="UZB85" s="974"/>
      <c r="UZC85" s="974"/>
      <c r="UZD85" s="974"/>
      <c r="UZE85" s="974"/>
      <c r="UZF85" s="974"/>
      <c r="UZG85" s="974"/>
      <c r="UZH85" s="974"/>
      <c r="UZI85" s="974"/>
      <c r="UZJ85" s="974"/>
      <c r="UZK85" s="974"/>
      <c r="UZL85" s="974"/>
      <c r="UZM85" s="974"/>
      <c r="UZN85" s="974"/>
      <c r="UZO85" s="974"/>
      <c r="UZP85" s="974"/>
      <c r="UZQ85" s="974"/>
      <c r="UZR85" s="974"/>
      <c r="UZS85" s="974"/>
      <c r="UZT85" s="974"/>
      <c r="UZU85" s="974"/>
      <c r="UZV85" s="974"/>
      <c r="UZW85" s="974"/>
      <c r="UZX85" s="974"/>
      <c r="UZY85" s="974"/>
      <c r="UZZ85" s="974"/>
      <c r="VAA85" s="974"/>
      <c r="VAB85" s="974"/>
      <c r="VAC85" s="974"/>
      <c r="VAD85" s="974"/>
      <c r="VAE85" s="974"/>
      <c r="VAF85" s="974"/>
      <c r="VAG85" s="974"/>
      <c r="VAH85" s="974"/>
      <c r="VAI85" s="974"/>
      <c r="VAJ85" s="974"/>
      <c r="VAK85" s="974"/>
      <c r="VAL85" s="974"/>
      <c r="VAM85" s="974"/>
      <c r="VAN85" s="974"/>
      <c r="VAO85" s="974"/>
      <c r="VAP85" s="974"/>
      <c r="VAQ85" s="974"/>
      <c r="VAR85" s="974"/>
      <c r="VAS85" s="974"/>
      <c r="VAT85" s="974"/>
      <c r="VAU85" s="974"/>
      <c r="VAV85" s="974"/>
      <c r="VAW85" s="974"/>
      <c r="VAX85" s="974"/>
      <c r="VAY85" s="974"/>
      <c r="VAZ85" s="974"/>
      <c r="VBA85" s="974"/>
      <c r="VBB85" s="974"/>
      <c r="VBC85" s="974"/>
      <c r="VBD85" s="974"/>
      <c r="VBE85" s="974"/>
      <c r="VBF85" s="974"/>
      <c r="VBG85" s="974"/>
      <c r="VBH85" s="974"/>
      <c r="VBI85" s="974"/>
      <c r="VBJ85" s="974"/>
      <c r="VBK85" s="974"/>
      <c r="VBL85" s="974"/>
      <c r="VBM85" s="974"/>
      <c r="VBN85" s="974"/>
      <c r="VBO85" s="974"/>
      <c r="VBP85" s="974"/>
      <c r="VBQ85" s="974"/>
      <c r="VBR85" s="974"/>
      <c r="VBS85" s="974"/>
      <c r="VBT85" s="974"/>
      <c r="VBU85" s="974"/>
      <c r="VBV85" s="974"/>
      <c r="VBW85" s="974"/>
      <c r="VBX85" s="974"/>
      <c r="VBY85" s="974"/>
      <c r="VBZ85" s="974"/>
      <c r="VCA85" s="974"/>
      <c r="VCB85" s="974"/>
      <c r="VCC85" s="974"/>
      <c r="VCD85" s="974"/>
      <c r="VCE85" s="974"/>
      <c r="VCF85" s="974"/>
      <c r="VCG85" s="974"/>
      <c r="VCH85" s="974"/>
      <c r="VCI85" s="974"/>
      <c r="VCJ85" s="974"/>
      <c r="VCK85" s="974"/>
      <c r="VCL85" s="974"/>
      <c r="VCM85" s="974"/>
      <c r="VCN85" s="974"/>
      <c r="VCO85" s="974"/>
      <c r="VCP85" s="974"/>
      <c r="VCQ85" s="974"/>
      <c r="VCR85" s="974"/>
      <c r="VCS85" s="974"/>
      <c r="VCT85" s="974"/>
      <c r="VCU85" s="974"/>
      <c r="VCV85" s="974"/>
      <c r="VCW85" s="974"/>
      <c r="VCX85" s="974"/>
      <c r="VCY85" s="974"/>
      <c r="VCZ85" s="974"/>
      <c r="VDA85" s="974"/>
      <c r="VDB85" s="974"/>
      <c r="VDC85" s="974"/>
      <c r="VDD85" s="974"/>
      <c r="VDE85" s="974"/>
      <c r="VDF85" s="974"/>
      <c r="VDG85" s="974"/>
      <c r="VDH85" s="974"/>
      <c r="VDI85" s="974"/>
      <c r="VDJ85" s="974"/>
      <c r="VDK85" s="974"/>
      <c r="VDL85" s="974"/>
      <c r="VDM85" s="974"/>
      <c r="VDN85" s="974"/>
      <c r="VDO85" s="974"/>
      <c r="VDP85" s="974"/>
      <c r="VDQ85" s="974"/>
      <c r="VDR85" s="974"/>
      <c r="VDS85" s="974"/>
      <c r="VDT85" s="974"/>
      <c r="VDU85" s="974"/>
      <c r="VDV85" s="974"/>
      <c r="VDW85" s="974"/>
      <c r="VDX85" s="974"/>
      <c r="VDY85" s="974"/>
      <c r="VDZ85" s="974"/>
      <c r="VEA85" s="974"/>
      <c r="VEB85" s="974"/>
      <c r="VEC85" s="974"/>
      <c r="VED85" s="974"/>
      <c r="VEE85" s="974"/>
      <c r="VEF85" s="974"/>
      <c r="VEG85" s="974"/>
      <c r="VEH85" s="974"/>
      <c r="VEI85" s="974"/>
      <c r="VEJ85" s="974"/>
      <c r="VEK85" s="974"/>
      <c r="VEL85" s="974"/>
      <c r="VEM85" s="974"/>
      <c r="VEN85" s="974"/>
      <c r="VEO85" s="974"/>
      <c r="VEP85" s="974"/>
      <c r="VEQ85" s="974"/>
      <c r="VER85" s="974"/>
      <c r="VES85" s="974"/>
      <c r="VET85" s="974"/>
      <c r="VEU85" s="974"/>
      <c r="VEV85" s="974"/>
      <c r="VEW85" s="974"/>
      <c r="VEX85" s="974"/>
      <c r="VEY85" s="974"/>
      <c r="VEZ85" s="974"/>
      <c r="VFA85" s="974"/>
      <c r="VFB85" s="974"/>
      <c r="VFC85" s="974"/>
      <c r="VFD85" s="974"/>
      <c r="VFE85" s="974"/>
      <c r="VFF85" s="974"/>
      <c r="VFG85" s="974"/>
      <c r="VFH85" s="974"/>
      <c r="VFI85" s="974"/>
      <c r="VFJ85" s="974"/>
      <c r="VFK85" s="974"/>
      <c r="VFL85" s="974"/>
      <c r="VFM85" s="974"/>
      <c r="VFN85" s="974"/>
      <c r="VFO85" s="974"/>
      <c r="VFP85" s="974"/>
      <c r="VFQ85" s="974"/>
      <c r="VFR85" s="974"/>
      <c r="VFS85" s="974"/>
      <c r="VFT85" s="974"/>
      <c r="VFU85" s="974"/>
      <c r="VFV85" s="974"/>
      <c r="VFW85" s="974"/>
      <c r="VFX85" s="974"/>
      <c r="VFY85" s="974"/>
      <c r="VFZ85" s="974"/>
      <c r="VGA85" s="974"/>
      <c r="VGB85" s="974"/>
      <c r="VGC85" s="974"/>
      <c r="VGD85" s="974"/>
      <c r="VGE85" s="974"/>
      <c r="VGF85" s="974"/>
      <c r="VGG85" s="974"/>
      <c r="VGH85" s="974"/>
      <c r="VGI85" s="974"/>
      <c r="VGJ85" s="974"/>
      <c r="VGK85" s="974"/>
      <c r="VGL85" s="974"/>
      <c r="VGM85" s="974"/>
      <c r="VGN85" s="974"/>
      <c r="VGO85" s="974"/>
      <c r="VGP85" s="974"/>
      <c r="VGQ85" s="974"/>
      <c r="VGR85" s="974"/>
      <c r="VGS85" s="974"/>
      <c r="VGT85" s="974"/>
      <c r="VGU85" s="974"/>
      <c r="VGV85" s="974"/>
      <c r="VGW85" s="974"/>
      <c r="VGX85" s="974"/>
      <c r="VGY85" s="974"/>
      <c r="VGZ85" s="974"/>
      <c r="VHA85" s="974"/>
      <c r="VHB85" s="974"/>
      <c r="VHC85" s="974"/>
      <c r="VHD85" s="974"/>
      <c r="VHE85" s="974"/>
      <c r="VHF85" s="974"/>
      <c r="VHG85" s="974"/>
      <c r="VHH85" s="974"/>
      <c r="VHI85" s="974"/>
      <c r="VHJ85" s="974"/>
      <c r="VHK85" s="974"/>
      <c r="VHL85" s="974"/>
      <c r="VHM85" s="974"/>
      <c r="VHN85" s="974"/>
      <c r="VHO85" s="974"/>
      <c r="VHP85" s="974"/>
      <c r="VHQ85" s="974"/>
      <c r="VHR85" s="974"/>
      <c r="VHS85" s="974"/>
      <c r="VHT85" s="974"/>
      <c r="VHU85" s="974"/>
      <c r="VHV85" s="974"/>
      <c r="VHW85" s="974"/>
      <c r="VHX85" s="974"/>
      <c r="VHY85" s="974"/>
      <c r="VHZ85" s="974"/>
      <c r="VIA85" s="974"/>
      <c r="VIB85" s="974"/>
      <c r="VIC85" s="974"/>
      <c r="VID85" s="974"/>
      <c r="VIE85" s="974"/>
      <c r="VIF85" s="974"/>
      <c r="VIG85" s="974"/>
      <c r="VIH85" s="974"/>
      <c r="VII85" s="974"/>
      <c r="VIJ85" s="974"/>
      <c r="VIK85" s="974"/>
      <c r="VIL85" s="974"/>
      <c r="VIM85" s="974"/>
      <c r="VIN85" s="974"/>
      <c r="VIO85" s="974"/>
      <c r="VIP85" s="974"/>
      <c r="VIQ85" s="974"/>
      <c r="VIR85" s="974"/>
      <c r="VIS85" s="974"/>
      <c r="VIT85" s="974"/>
      <c r="VIU85" s="974"/>
      <c r="VIV85" s="974"/>
      <c r="VIW85" s="974"/>
      <c r="VIX85" s="974"/>
      <c r="VIY85" s="974"/>
      <c r="VIZ85" s="974"/>
      <c r="VJA85" s="974"/>
      <c r="VJB85" s="974"/>
      <c r="VJC85" s="974"/>
      <c r="VJD85" s="974"/>
      <c r="VJE85" s="974"/>
      <c r="VJF85" s="974"/>
      <c r="VJG85" s="974"/>
      <c r="VJH85" s="974"/>
      <c r="VJI85" s="974"/>
      <c r="VJJ85" s="974"/>
      <c r="VJK85" s="974"/>
      <c r="VJL85" s="974"/>
      <c r="VJM85" s="974"/>
      <c r="VJN85" s="974"/>
      <c r="VJO85" s="974"/>
      <c r="VJP85" s="974"/>
      <c r="VJQ85" s="974"/>
      <c r="VJR85" s="974"/>
      <c r="VJS85" s="974"/>
      <c r="VJT85" s="974"/>
      <c r="VJU85" s="974"/>
      <c r="VJV85" s="974"/>
      <c r="VJW85" s="974"/>
      <c r="VJX85" s="974"/>
      <c r="VJY85" s="974"/>
      <c r="VJZ85" s="974"/>
      <c r="VKA85" s="974"/>
      <c r="VKB85" s="974"/>
      <c r="VKC85" s="974"/>
      <c r="VKD85" s="974"/>
      <c r="VKE85" s="974"/>
      <c r="VKF85" s="974"/>
      <c r="VKG85" s="974"/>
      <c r="VKH85" s="974"/>
      <c r="VKI85" s="974"/>
      <c r="VKJ85" s="974"/>
      <c r="VKK85" s="974"/>
      <c r="VKL85" s="974"/>
      <c r="VKM85" s="974"/>
      <c r="VKN85" s="974"/>
      <c r="VKO85" s="974"/>
      <c r="VKP85" s="974"/>
      <c r="VKQ85" s="974"/>
      <c r="VKR85" s="974"/>
      <c r="VKS85" s="974"/>
      <c r="VKT85" s="974"/>
      <c r="VKU85" s="974"/>
      <c r="VKV85" s="974"/>
      <c r="VKW85" s="974"/>
      <c r="VKX85" s="974"/>
      <c r="VKY85" s="974"/>
      <c r="VKZ85" s="974"/>
      <c r="VLA85" s="974"/>
      <c r="VLB85" s="974"/>
      <c r="VLC85" s="974"/>
      <c r="VLD85" s="974"/>
      <c r="VLE85" s="974"/>
      <c r="VLF85" s="974"/>
      <c r="VLG85" s="974"/>
      <c r="VLH85" s="974"/>
      <c r="VLI85" s="974"/>
      <c r="VLJ85" s="974"/>
      <c r="VLK85" s="974"/>
      <c r="VLL85" s="974"/>
      <c r="VLM85" s="974"/>
      <c r="VLN85" s="974"/>
      <c r="VLO85" s="974"/>
      <c r="VLP85" s="974"/>
      <c r="VLQ85" s="974"/>
      <c r="VLR85" s="974"/>
      <c r="VLS85" s="974"/>
      <c r="VLT85" s="974"/>
      <c r="VLU85" s="974"/>
      <c r="VLV85" s="974"/>
      <c r="VLW85" s="974"/>
      <c r="VLX85" s="974"/>
      <c r="VLY85" s="974"/>
      <c r="VLZ85" s="974"/>
      <c r="VMA85" s="974"/>
      <c r="VMB85" s="974"/>
      <c r="VMC85" s="974"/>
      <c r="VMD85" s="974"/>
      <c r="VME85" s="974"/>
      <c r="VMF85" s="974"/>
      <c r="VMG85" s="974"/>
      <c r="VMH85" s="974"/>
      <c r="VMI85" s="974"/>
      <c r="VMJ85" s="974"/>
      <c r="VMK85" s="974"/>
      <c r="VML85" s="974"/>
      <c r="VMM85" s="974"/>
      <c r="VMN85" s="974"/>
      <c r="VMO85" s="974"/>
      <c r="VMP85" s="974"/>
      <c r="VMQ85" s="974"/>
      <c r="VMR85" s="974"/>
      <c r="VMS85" s="974"/>
      <c r="VMT85" s="974"/>
      <c r="VMU85" s="974"/>
      <c r="VMV85" s="974"/>
      <c r="VMW85" s="974"/>
      <c r="VMX85" s="974"/>
      <c r="VMY85" s="974"/>
      <c r="VMZ85" s="974"/>
      <c r="VNA85" s="974"/>
      <c r="VNB85" s="974"/>
      <c r="VNC85" s="974"/>
      <c r="VND85" s="974"/>
      <c r="VNE85" s="974"/>
      <c r="VNF85" s="974"/>
      <c r="VNG85" s="974"/>
      <c r="VNH85" s="974"/>
      <c r="VNI85" s="974"/>
      <c r="VNJ85" s="974"/>
      <c r="VNK85" s="974"/>
      <c r="VNL85" s="974"/>
      <c r="VNM85" s="974"/>
      <c r="VNN85" s="974"/>
      <c r="VNO85" s="974"/>
      <c r="VNP85" s="974"/>
      <c r="VNQ85" s="974"/>
      <c r="VNR85" s="974"/>
      <c r="VNS85" s="974"/>
      <c r="VNT85" s="974"/>
      <c r="VNU85" s="974"/>
      <c r="VNV85" s="974"/>
      <c r="VNW85" s="974"/>
      <c r="VNX85" s="974"/>
      <c r="VNY85" s="974"/>
      <c r="VNZ85" s="974"/>
      <c r="VOA85" s="974"/>
      <c r="VOB85" s="974"/>
      <c r="VOC85" s="974"/>
      <c r="VOD85" s="974"/>
      <c r="VOE85" s="974"/>
      <c r="VOF85" s="974"/>
      <c r="VOG85" s="974"/>
      <c r="VOH85" s="974"/>
      <c r="VOI85" s="974"/>
      <c r="VOJ85" s="974"/>
      <c r="VOK85" s="974"/>
      <c r="VOL85" s="974"/>
      <c r="VOM85" s="974"/>
      <c r="VON85" s="974"/>
      <c r="VOO85" s="974"/>
      <c r="VOP85" s="974"/>
      <c r="VOQ85" s="974"/>
      <c r="VOR85" s="974"/>
      <c r="VOS85" s="974"/>
      <c r="VOT85" s="974"/>
      <c r="VOU85" s="974"/>
      <c r="VOV85" s="974"/>
      <c r="VOW85" s="974"/>
      <c r="VOX85" s="974"/>
      <c r="VOY85" s="974"/>
      <c r="VOZ85" s="974"/>
      <c r="VPA85" s="974"/>
      <c r="VPB85" s="974"/>
      <c r="VPC85" s="974"/>
      <c r="VPD85" s="974"/>
      <c r="VPE85" s="974"/>
      <c r="VPF85" s="974"/>
      <c r="VPG85" s="974"/>
      <c r="VPH85" s="974"/>
      <c r="VPI85" s="974"/>
      <c r="VPJ85" s="974"/>
      <c r="VPK85" s="974"/>
      <c r="VPL85" s="974"/>
      <c r="VPM85" s="974"/>
      <c r="VPN85" s="974"/>
      <c r="VPO85" s="974"/>
      <c r="VPP85" s="974"/>
      <c r="VPQ85" s="974"/>
      <c r="VPR85" s="974"/>
      <c r="VPS85" s="974"/>
      <c r="VPT85" s="974"/>
      <c r="VPU85" s="974"/>
      <c r="VPV85" s="974"/>
      <c r="VPW85" s="974"/>
      <c r="VPX85" s="974"/>
      <c r="VPY85" s="974"/>
      <c r="VPZ85" s="974"/>
      <c r="VQA85" s="974"/>
      <c r="VQB85" s="974"/>
      <c r="VQC85" s="974"/>
      <c r="VQD85" s="974"/>
      <c r="VQE85" s="974"/>
      <c r="VQF85" s="974"/>
      <c r="VQG85" s="974"/>
      <c r="VQH85" s="974"/>
      <c r="VQI85" s="974"/>
      <c r="VQJ85" s="974"/>
      <c r="VQK85" s="974"/>
      <c r="VQL85" s="974"/>
      <c r="VQM85" s="974"/>
      <c r="VQN85" s="974"/>
      <c r="VQO85" s="974"/>
      <c r="VQP85" s="974"/>
      <c r="VQQ85" s="974"/>
      <c r="VQR85" s="974"/>
      <c r="VQS85" s="974"/>
      <c r="VQT85" s="974"/>
      <c r="VQU85" s="974"/>
      <c r="VQV85" s="974"/>
      <c r="VQW85" s="974"/>
      <c r="VQX85" s="974"/>
      <c r="VQY85" s="974"/>
      <c r="VQZ85" s="974"/>
      <c r="VRA85" s="974"/>
      <c r="VRB85" s="974"/>
      <c r="VRC85" s="974"/>
      <c r="VRD85" s="974"/>
      <c r="VRE85" s="974"/>
      <c r="VRF85" s="974"/>
      <c r="VRG85" s="974"/>
      <c r="VRH85" s="974"/>
      <c r="VRI85" s="974"/>
      <c r="VRJ85" s="974"/>
      <c r="VRK85" s="974"/>
      <c r="VRL85" s="974"/>
      <c r="VRM85" s="974"/>
      <c r="VRN85" s="974"/>
      <c r="VRO85" s="974"/>
      <c r="VRP85" s="974"/>
      <c r="VRQ85" s="974"/>
      <c r="VRR85" s="974"/>
      <c r="VRS85" s="974"/>
      <c r="VRT85" s="974"/>
      <c r="VRU85" s="974"/>
      <c r="VRV85" s="974"/>
      <c r="VRW85" s="974"/>
      <c r="VRX85" s="974"/>
      <c r="VRY85" s="974"/>
      <c r="VRZ85" s="974"/>
      <c r="VSA85" s="974"/>
      <c r="VSB85" s="974"/>
      <c r="VSC85" s="974"/>
      <c r="VSD85" s="974"/>
      <c r="VSE85" s="974"/>
      <c r="VSF85" s="974"/>
      <c r="VSG85" s="974"/>
      <c r="VSH85" s="974"/>
      <c r="VSI85" s="974"/>
      <c r="VSJ85" s="974"/>
      <c r="VSK85" s="974"/>
      <c r="VSL85" s="974"/>
      <c r="VSM85" s="974"/>
      <c r="VSN85" s="974"/>
      <c r="VSO85" s="974"/>
      <c r="VSP85" s="974"/>
      <c r="VSQ85" s="974"/>
      <c r="VSR85" s="974"/>
      <c r="VSS85" s="974"/>
      <c r="VST85" s="974"/>
      <c r="VSU85" s="974"/>
      <c r="VSV85" s="974"/>
      <c r="VSW85" s="974"/>
      <c r="VSX85" s="974"/>
      <c r="VSY85" s="974"/>
      <c r="VSZ85" s="974"/>
      <c r="VTA85" s="974"/>
      <c r="VTB85" s="974"/>
      <c r="VTC85" s="974"/>
      <c r="VTD85" s="974"/>
      <c r="VTE85" s="974"/>
      <c r="VTF85" s="974"/>
      <c r="VTG85" s="974"/>
      <c r="VTH85" s="974"/>
      <c r="VTI85" s="974"/>
      <c r="VTJ85" s="974"/>
      <c r="VTK85" s="974"/>
      <c r="VTL85" s="974"/>
      <c r="VTM85" s="974"/>
      <c r="VTN85" s="974"/>
      <c r="VTO85" s="974"/>
      <c r="VTP85" s="974"/>
      <c r="VTQ85" s="974"/>
      <c r="VTR85" s="974"/>
      <c r="VTS85" s="974"/>
      <c r="VTT85" s="974"/>
      <c r="VTU85" s="974"/>
      <c r="VTV85" s="974"/>
      <c r="VTW85" s="974"/>
      <c r="VTX85" s="974"/>
      <c r="VTY85" s="974"/>
      <c r="VTZ85" s="974"/>
      <c r="VUA85" s="974"/>
      <c r="VUB85" s="974"/>
      <c r="VUC85" s="974"/>
      <c r="VUD85" s="974"/>
      <c r="VUE85" s="974"/>
      <c r="VUF85" s="974"/>
      <c r="VUG85" s="974"/>
      <c r="VUH85" s="974"/>
      <c r="VUI85" s="974"/>
      <c r="VUJ85" s="974"/>
      <c r="VUK85" s="974"/>
      <c r="VUL85" s="974"/>
      <c r="VUM85" s="974"/>
      <c r="VUN85" s="974"/>
      <c r="VUO85" s="974"/>
      <c r="VUP85" s="974"/>
      <c r="VUQ85" s="974"/>
      <c r="VUR85" s="974"/>
      <c r="VUS85" s="974"/>
      <c r="VUT85" s="974"/>
      <c r="VUU85" s="974"/>
      <c r="VUV85" s="974"/>
      <c r="VUW85" s="974"/>
      <c r="VUX85" s="974"/>
      <c r="VUY85" s="974"/>
      <c r="VUZ85" s="974"/>
      <c r="VVA85" s="974"/>
      <c r="VVB85" s="974"/>
      <c r="VVC85" s="974"/>
      <c r="VVD85" s="974"/>
      <c r="VVE85" s="974"/>
      <c r="VVF85" s="974"/>
      <c r="VVG85" s="974"/>
      <c r="VVH85" s="974"/>
      <c r="VVI85" s="974"/>
      <c r="VVJ85" s="974"/>
      <c r="VVK85" s="974"/>
      <c r="VVL85" s="974"/>
      <c r="VVM85" s="974"/>
      <c r="VVN85" s="974"/>
      <c r="VVO85" s="974"/>
      <c r="VVP85" s="974"/>
      <c r="VVQ85" s="974"/>
      <c r="VVR85" s="974"/>
      <c r="VVS85" s="974"/>
      <c r="VVT85" s="974"/>
      <c r="VVU85" s="974"/>
      <c r="VVV85" s="974"/>
      <c r="VVW85" s="974"/>
      <c r="VVX85" s="974"/>
      <c r="VVY85" s="974"/>
      <c r="VVZ85" s="974"/>
      <c r="VWA85" s="974"/>
      <c r="VWB85" s="974"/>
      <c r="VWC85" s="974"/>
      <c r="VWD85" s="974"/>
      <c r="VWE85" s="974"/>
      <c r="VWF85" s="974"/>
      <c r="VWG85" s="974"/>
      <c r="VWH85" s="974"/>
      <c r="VWI85" s="974"/>
      <c r="VWJ85" s="974"/>
      <c r="VWK85" s="974"/>
      <c r="VWL85" s="974"/>
      <c r="VWM85" s="974"/>
      <c r="VWN85" s="974"/>
      <c r="VWO85" s="974"/>
      <c r="VWP85" s="974"/>
      <c r="VWQ85" s="974"/>
      <c r="VWR85" s="974"/>
      <c r="VWS85" s="974"/>
      <c r="VWT85" s="974"/>
      <c r="VWU85" s="974"/>
      <c r="VWV85" s="974"/>
      <c r="VWW85" s="974"/>
      <c r="VWX85" s="974"/>
      <c r="VWY85" s="974"/>
      <c r="VWZ85" s="974"/>
      <c r="VXA85" s="974"/>
      <c r="VXB85" s="974"/>
      <c r="VXC85" s="974"/>
      <c r="VXD85" s="974"/>
      <c r="VXE85" s="974"/>
      <c r="VXF85" s="974"/>
      <c r="VXG85" s="974"/>
      <c r="VXH85" s="974"/>
      <c r="VXI85" s="974"/>
      <c r="VXJ85" s="974"/>
      <c r="VXK85" s="974"/>
      <c r="VXL85" s="974"/>
      <c r="VXM85" s="974"/>
      <c r="VXN85" s="974"/>
      <c r="VXO85" s="974"/>
      <c r="VXP85" s="974"/>
      <c r="VXQ85" s="974"/>
      <c r="VXR85" s="974"/>
      <c r="VXS85" s="974"/>
      <c r="VXT85" s="974"/>
      <c r="VXU85" s="974"/>
      <c r="VXV85" s="974"/>
      <c r="VXW85" s="974"/>
      <c r="VXX85" s="974"/>
      <c r="VXY85" s="974"/>
      <c r="VXZ85" s="974"/>
      <c r="VYA85" s="974"/>
      <c r="VYB85" s="974"/>
      <c r="VYC85" s="974"/>
      <c r="VYD85" s="974"/>
      <c r="VYE85" s="974"/>
      <c r="VYF85" s="974"/>
      <c r="VYG85" s="974"/>
      <c r="VYH85" s="974"/>
      <c r="VYI85" s="974"/>
      <c r="VYJ85" s="974"/>
      <c r="VYK85" s="974"/>
      <c r="VYL85" s="974"/>
      <c r="VYM85" s="974"/>
      <c r="VYN85" s="974"/>
      <c r="VYO85" s="974"/>
      <c r="VYP85" s="974"/>
      <c r="VYQ85" s="974"/>
      <c r="VYR85" s="974"/>
      <c r="VYS85" s="974"/>
      <c r="VYT85" s="974"/>
      <c r="VYU85" s="974"/>
      <c r="VYV85" s="974"/>
      <c r="VYW85" s="974"/>
      <c r="VYX85" s="974"/>
      <c r="VYY85" s="974"/>
      <c r="VYZ85" s="974"/>
      <c r="VZA85" s="974"/>
      <c r="VZB85" s="974"/>
      <c r="VZC85" s="974"/>
      <c r="VZD85" s="974"/>
      <c r="VZE85" s="974"/>
      <c r="VZF85" s="974"/>
      <c r="VZG85" s="974"/>
      <c r="VZH85" s="974"/>
      <c r="VZI85" s="974"/>
      <c r="VZJ85" s="974"/>
      <c r="VZK85" s="974"/>
      <c r="VZL85" s="974"/>
      <c r="VZM85" s="974"/>
      <c r="VZN85" s="974"/>
      <c r="VZO85" s="974"/>
      <c r="VZP85" s="974"/>
      <c r="VZQ85" s="974"/>
      <c r="VZR85" s="974"/>
      <c r="VZS85" s="974"/>
      <c r="VZT85" s="974"/>
      <c r="VZU85" s="974"/>
      <c r="VZV85" s="974"/>
      <c r="VZW85" s="974"/>
      <c r="VZX85" s="974"/>
      <c r="VZY85" s="974"/>
      <c r="VZZ85" s="974"/>
      <c r="WAA85" s="974"/>
      <c r="WAB85" s="974"/>
      <c r="WAC85" s="974"/>
      <c r="WAD85" s="974"/>
      <c r="WAE85" s="974"/>
      <c r="WAF85" s="974"/>
      <c r="WAG85" s="974"/>
      <c r="WAH85" s="974"/>
      <c r="WAI85" s="974"/>
      <c r="WAJ85" s="974"/>
      <c r="WAK85" s="974"/>
      <c r="WAL85" s="974"/>
      <c r="WAM85" s="974"/>
      <c r="WAN85" s="974"/>
      <c r="WAO85" s="974"/>
      <c r="WAP85" s="974"/>
      <c r="WAQ85" s="974"/>
      <c r="WAR85" s="974"/>
      <c r="WAS85" s="974"/>
      <c r="WAT85" s="974"/>
      <c r="WAU85" s="974"/>
      <c r="WAV85" s="974"/>
      <c r="WAW85" s="974"/>
      <c r="WAX85" s="974"/>
      <c r="WAY85" s="974"/>
      <c r="WAZ85" s="974"/>
      <c r="WBA85" s="974"/>
      <c r="WBB85" s="974"/>
      <c r="WBC85" s="974"/>
      <c r="WBD85" s="974"/>
      <c r="WBE85" s="974"/>
      <c r="WBF85" s="974"/>
      <c r="WBG85" s="974"/>
      <c r="WBH85" s="974"/>
      <c r="WBI85" s="974"/>
      <c r="WBJ85" s="974"/>
      <c r="WBK85" s="974"/>
      <c r="WBL85" s="974"/>
      <c r="WBM85" s="974"/>
      <c r="WBN85" s="974"/>
      <c r="WBO85" s="974"/>
      <c r="WBP85" s="974"/>
      <c r="WBQ85" s="974"/>
      <c r="WBR85" s="974"/>
      <c r="WBS85" s="974"/>
      <c r="WBT85" s="974"/>
      <c r="WBU85" s="974"/>
      <c r="WBV85" s="974"/>
      <c r="WBW85" s="974"/>
      <c r="WBX85" s="974"/>
      <c r="WBY85" s="974"/>
      <c r="WBZ85" s="974"/>
      <c r="WCA85" s="974"/>
      <c r="WCB85" s="974"/>
      <c r="WCC85" s="974"/>
      <c r="WCD85" s="974"/>
      <c r="WCE85" s="974"/>
      <c r="WCF85" s="974"/>
      <c r="WCG85" s="974"/>
      <c r="WCH85" s="974"/>
      <c r="WCI85" s="974"/>
      <c r="WCJ85" s="974"/>
      <c r="WCK85" s="974"/>
      <c r="WCL85" s="974"/>
      <c r="WCM85" s="974"/>
      <c r="WCN85" s="974"/>
      <c r="WCO85" s="974"/>
      <c r="WCP85" s="974"/>
      <c r="WCQ85" s="974"/>
      <c r="WCR85" s="974"/>
      <c r="WCS85" s="974"/>
      <c r="WCT85" s="974"/>
      <c r="WCU85" s="974"/>
      <c r="WCV85" s="974"/>
      <c r="WCW85" s="974"/>
      <c r="WCX85" s="974"/>
      <c r="WCY85" s="974"/>
      <c r="WCZ85" s="974"/>
      <c r="WDA85" s="974"/>
      <c r="WDB85" s="974"/>
      <c r="WDC85" s="974"/>
      <c r="WDD85" s="974"/>
      <c r="WDE85" s="974"/>
      <c r="WDF85" s="974"/>
      <c r="WDG85" s="974"/>
      <c r="WDH85" s="974"/>
      <c r="WDI85" s="974"/>
      <c r="WDJ85" s="974"/>
      <c r="WDK85" s="974"/>
      <c r="WDL85" s="974"/>
      <c r="WDM85" s="974"/>
      <c r="WDN85" s="974"/>
      <c r="WDO85" s="974"/>
      <c r="WDP85" s="974"/>
      <c r="WDQ85" s="974"/>
      <c r="WDR85" s="974"/>
      <c r="WDS85" s="974"/>
      <c r="WDT85" s="974"/>
      <c r="WDU85" s="974"/>
      <c r="WDV85" s="974"/>
      <c r="WDW85" s="974"/>
      <c r="WDX85" s="974"/>
      <c r="WDY85" s="974"/>
      <c r="WDZ85" s="974"/>
      <c r="WEA85" s="974"/>
      <c r="WEB85" s="974"/>
      <c r="WEC85" s="974"/>
      <c r="WED85" s="974"/>
      <c r="WEE85" s="974"/>
      <c r="WEF85" s="974"/>
      <c r="WEG85" s="974"/>
      <c r="WEH85" s="974"/>
      <c r="WEI85" s="974"/>
      <c r="WEJ85" s="974"/>
      <c r="WEK85" s="974"/>
      <c r="WEL85" s="974"/>
      <c r="WEM85" s="974"/>
      <c r="WEN85" s="974"/>
      <c r="WEO85" s="974"/>
      <c r="WEP85" s="974"/>
      <c r="WEQ85" s="974"/>
      <c r="WER85" s="974"/>
      <c r="WES85" s="974"/>
      <c r="WET85" s="974"/>
      <c r="WEU85" s="974"/>
      <c r="WEV85" s="974"/>
      <c r="WEW85" s="974"/>
      <c r="WEX85" s="974"/>
      <c r="WEY85" s="974"/>
      <c r="WEZ85" s="974"/>
      <c r="WFA85" s="974"/>
      <c r="WFB85" s="974"/>
      <c r="WFC85" s="974"/>
      <c r="WFD85" s="974"/>
      <c r="WFE85" s="974"/>
      <c r="WFF85" s="974"/>
      <c r="WFG85" s="974"/>
      <c r="WFH85" s="974"/>
      <c r="WFI85" s="974"/>
      <c r="WFJ85" s="974"/>
      <c r="WFK85" s="974"/>
      <c r="WFL85" s="974"/>
      <c r="WFM85" s="974"/>
      <c r="WFN85" s="974"/>
      <c r="WFO85" s="974"/>
      <c r="WFP85" s="974"/>
      <c r="WFQ85" s="974"/>
      <c r="WFR85" s="974"/>
      <c r="WFS85" s="974"/>
      <c r="WFT85" s="974"/>
      <c r="WFU85" s="974"/>
      <c r="WFV85" s="974"/>
      <c r="WFW85" s="974"/>
      <c r="WFX85" s="974"/>
      <c r="WFY85" s="974"/>
      <c r="WFZ85" s="974"/>
      <c r="WGA85" s="974"/>
      <c r="WGB85" s="974"/>
      <c r="WGC85" s="974"/>
      <c r="WGD85" s="974"/>
      <c r="WGE85" s="974"/>
      <c r="WGF85" s="974"/>
      <c r="WGG85" s="974"/>
      <c r="WGH85" s="974"/>
      <c r="WGI85" s="974"/>
      <c r="WGJ85" s="974"/>
      <c r="WGK85" s="974"/>
      <c r="WGL85" s="974"/>
      <c r="WGM85" s="974"/>
      <c r="WGN85" s="974"/>
      <c r="WGO85" s="974"/>
      <c r="WGP85" s="974"/>
      <c r="WGQ85" s="974"/>
      <c r="WGR85" s="974"/>
      <c r="WGS85" s="974"/>
      <c r="WGT85" s="974"/>
      <c r="WGU85" s="974"/>
      <c r="WGV85" s="974"/>
      <c r="WGW85" s="974"/>
      <c r="WGX85" s="974"/>
      <c r="WGY85" s="974"/>
      <c r="WGZ85" s="974"/>
      <c r="WHA85" s="974"/>
      <c r="WHB85" s="974"/>
      <c r="WHC85" s="974"/>
      <c r="WHD85" s="974"/>
      <c r="WHE85" s="974"/>
      <c r="WHF85" s="974"/>
      <c r="WHG85" s="974"/>
      <c r="WHH85" s="974"/>
      <c r="WHI85" s="974"/>
      <c r="WHJ85" s="974"/>
      <c r="WHK85" s="974"/>
      <c r="WHL85" s="974"/>
      <c r="WHM85" s="974"/>
      <c r="WHN85" s="974"/>
      <c r="WHO85" s="974"/>
      <c r="WHP85" s="974"/>
      <c r="WHQ85" s="974"/>
      <c r="WHR85" s="974"/>
      <c r="WHS85" s="974"/>
      <c r="WHT85" s="974"/>
      <c r="WHU85" s="974"/>
      <c r="WHV85" s="974"/>
      <c r="WHW85" s="974"/>
      <c r="WHX85" s="974"/>
      <c r="WHY85" s="974"/>
      <c r="WHZ85" s="974"/>
      <c r="WIA85" s="974"/>
      <c r="WIB85" s="974"/>
      <c r="WIC85" s="974"/>
      <c r="WID85" s="974"/>
      <c r="WIE85" s="974"/>
      <c r="WIF85" s="974"/>
      <c r="WIG85" s="974"/>
      <c r="WIH85" s="974"/>
      <c r="WII85" s="974"/>
      <c r="WIJ85" s="974"/>
      <c r="WIK85" s="974"/>
      <c r="WIL85" s="974"/>
      <c r="WIM85" s="974"/>
      <c r="WIN85" s="974"/>
      <c r="WIO85" s="974"/>
      <c r="WIP85" s="974"/>
      <c r="WIQ85" s="974"/>
      <c r="WIR85" s="974"/>
      <c r="WIS85" s="974"/>
      <c r="WIT85" s="974"/>
      <c r="WIU85" s="974"/>
      <c r="WIV85" s="974"/>
      <c r="WIW85" s="974"/>
      <c r="WIX85" s="974"/>
      <c r="WIY85" s="974"/>
      <c r="WIZ85" s="974"/>
      <c r="WJA85" s="974"/>
      <c r="WJB85" s="974"/>
      <c r="WJC85" s="974"/>
      <c r="WJD85" s="974"/>
      <c r="WJE85" s="974"/>
      <c r="WJF85" s="974"/>
      <c r="WJG85" s="974"/>
      <c r="WJH85" s="974"/>
      <c r="WJI85" s="974"/>
      <c r="WJJ85" s="974"/>
      <c r="WJK85" s="974"/>
      <c r="WJL85" s="974"/>
      <c r="WJM85" s="974"/>
      <c r="WJN85" s="974"/>
      <c r="WJO85" s="974"/>
      <c r="WJP85" s="974"/>
      <c r="WJQ85" s="974"/>
      <c r="WJR85" s="974"/>
      <c r="WJS85" s="974"/>
      <c r="WJT85" s="974"/>
      <c r="WJU85" s="974"/>
      <c r="WJV85" s="974"/>
      <c r="WJW85" s="974"/>
      <c r="WJX85" s="974"/>
      <c r="WJY85" s="974"/>
      <c r="WJZ85" s="974"/>
      <c r="WKA85" s="974"/>
      <c r="WKB85" s="974"/>
      <c r="WKC85" s="974"/>
      <c r="WKD85" s="974"/>
      <c r="WKE85" s="974"/>
      <c r="WKF85" s="974"/>
      <c r="WKG85" s="974"/>
      <c r="WKH85" s="974"/>
      <c r="WKI85" s="974"/>
      <c r="WKJ85" s="974"/>
      <c r="WKK85" s="974"/>
      <c r="WKL85" s="974"/>
      <c r="WKM85" s="974"/>
      <c r="WKN85" s="974"/>
      <c r="WKO85" s="974"/>
      <c r="WKP85" s="974"/>
      <c r="WKQ85" s="974"/>
      <c r="WKR85" s="974"/>
      <c r="WKS85" s="974"/>
      <c r="WKT85" s="974"/>
      <c r="WKU85" s="974"/>
      <c r="WKV85" s="974"/>
      <c r="WKW85" s="974"/>
      <c r="WKX85" s="974"/>
      <c r="WKY85" s="974"/>
      <c r="WKZ85" s="974"/>
      <c r="WLA85" s="974"/>
      <c r="WLB85" s="974"/>
      <c r="WLC85" s="974"/>
      <c r="WLD85" s="974"/>
      <c r="WLE85" s="974"/>
      <c r="WLF85" s="974"/>
      <c r="WLG85" s="974"/>
      <c r="WLH85" s="974"/>
      <c r="WLI85" s="974"/>
      <c r="WLJ85" s="974"/>
      <c r="WLK85" s="974"/>
      <c r="WLL85" s="974"/>
      <c r="WLM85" s="974"/>
      <c r="WLN85" s="974"/>
      <c r="WLO85" s="974"/>
      <c r="WLP85" s="974"/>
      <c r="WLQ85" s="974"/>
      <c r="WLR85" s="974"/>
      <c r="WLS85" s="974"/>
      <c r="WLT85" s="974"/>
      <c r="WLU85" s="974"/>
      <c r="WLV85" s="974"/>
      <c r="WLW85" s="974"/>
      <c r="WLX85" s="974"/>
      <c r="WLY85" s="974"/>
      <c r="WLZ85" s="974"/>
      <c r="WMA85" s="974"/>
      <c r="WMB85" s="974"/>
      <c r="WMC85" s="974"/>
      <c r="WMD85" s="974"/>
      <c r="WME85" s="974"/>
      <c r="WMF85" s="974"/>
      <c r="WMG85" s="974"/>
      <c r="WMH85" s="974"/>
      <c r="WMI85" s="974"/>
      <c r="WMJ85" s="974"/>
      <c r="WMK85" s="974"/>
      <c r="WML85" s="974"/>
      <c r="WMM85" s="974"/>
      <c r="WMN85" s="974"/>
      <c r="WMO85" s="974"/>
      <c r="WMP85" s="974"/>
      <c r="WMQ85" s="974"/>
      <c r="WMR85" s="974"/>
      <c r="WMS85" s="974"/>
      <c r="WMT85" s="974"/>
      <c r="WMU85" s="974"/>
      <c r="WMV85" s="974"/>
      <c r="WMW85" s="974"/>
      <c r="WMX85" s="974"/>
      <c r="WMY85" s="974"/>
      <c r="WMZ85" s="974"/>
      <c r="WNA85" s="974"/>
      <c r="WNB85" s="974"/>
      <c r="WNC85" s="974"/>
      <c r="WND85" s="974"/>
      <c r="WNE85" s="974"/>
      <c r="WNF85" s="974"/>
      <c r="WNG85" s="974"/>
      <c r="WNH85" s="974"/>
      <c r="WNI85" s="974"/>
      <c r="WNJ85" s="974"/>
      <c r="WNK85" s="974"/>
      <c r="WNL85" s="974"/>
      <c r="WNM85" s="974"/>
      <c r="WNN85" s="974"/>
      <c r="WNO85" s="974"/>
      <c r="WNP85" s="974"/>
      <c r="WNQ85" s="974"/>
      <c r="WNR85" s="974"/>
      <c r="WNS85" s="974"/>
      <c r="WNT85" s="974"/>
      <c r="WNU85" s="974"/>
      <c r="WNV85" s="974"/>
      <c r="WNW85" s="974"/>
      <c r="WNX85" s="974"/>
      <c r="WNY85" s="974"/>
      <c r="WNZ85" s="974"/>
      <c r="WOA85" s="974"/>
      <c r="WOB85" s="974"/>
      <c r="WOC85" s="974"/>
      <c r="WOD85" s="974"/>
      <c r="WOE85" s="974"/>
      <c r="WOF85" s="974"/>
      <c r="WOG85" s="974"/>
      <c r="WOH85" s="974"/>
      <c r="WOI85" s="974"/>
      <c r="WOJ85" s="974"/>
      <c r="WOK85" s="974"/>
      <c r="WOL85" s="974"/>
      <c r="WOM85" s="974"/>
      <c r="WON85" s="974"/>
      <c r="WOO85" s="974"/>
      <c r="WOP85" s="974"/>
      <c r="WOQ85" s="974"/>
      <c r="WOR85" s="974"/>
      <c r="WOS85" s="974"/>
      <c r="WOT85" s="974"/>
      <c r="WOU85" s="974"/>
      <c r="WOV85" s="974"/>
      <c r="WOW85" s="974"/>
      <c r="WOX85" s="974"/>
      <c r="WOY85" s="974"/>
      <c r="WOZ85" s="974"/>
      <c r="WPA85" s="974"/>
      <c r="WPB85" s="974"/>
      <c r="WPC85" s="974"/>
      <c r="WPD85" s="974"/>
      <c r="WPE85" s="974"/>
      <c r="WPF85" s="974"/>
      <c r="WPG85" s="974"/>
      <c r="WPH85" s="974"/>
      <c r="WPI85" s="974"/>
      <c r="WPJ85" s="974"/>
      <c r="WPK85" s="974"/>
      <c r="WPL85" s="974"/>
      <c r="WPM85" s="974"/>
      <c r="WPN85" s="974"/>
      <c r="WPO85" s="974"/>
      <c r="WPP85" s="974"/>
      <c r="WPQ85" s="974"/>
      <c r="WPR85" s="974"/>
      <c r="WPS85" s="974"/>
      <c r="WPT85" s="974"/>
      <c r="WPU85" s="974"/>
      <c r="WPV85" s="974"/>
      <c r="WPW85" s="974"/>
      <c r="WPX85" s="974"/>
      <c r="WPY85" s="974"/>
      <c r="WPZ85" s="974"/>
      <c r="WQA85" s="974"/>
      <c r="WQB85" s="974"/>
      <c r="WQC85" s="974"/>
      <c r="WQD85" s="974"/>
      <c r="WQE85" s="974"/>
      <c r="WQF85" s="974"/>
      <c r="WQG85" s="974"/>
      <c r="WQH85" s="974"/>
      <c r="WQI85" s="974"/>
      <c r="WQJ85" s="974"/>
      <c r="WQK85" s="974"/>
      <c r="WQL85" s="974"/>
      <c r="WQM85" s="974"/>
      <c r="WQN85" s="974"/>
      <c r="WQO85" s="974"/>
      <c r="WQP85" s="974"/>
      <c r="WQQ85" s="974"/>
      <c r="WQR85" s="974"/>
      <c r="WQS85" s="974"/>
      <c r="WQT85" s="974"/>
      <c r="WQU85" s="974"/>
      <c r="WQV85" s="974"/>
      <c r="WQW85" s="974"/>
      <c r="WQX85" s="974"/>
      <c r="WQY85" s="974"/>
      <c r="WQZ85" s="974"/>
      <c r="WRA85" s="974"/>
      <c r="WRB85" s="974"/>
      <c r="WRC85" s="974"/>
      <c r="WRD85" s="974"/>
      <c r="WRE85" s="974"/>
      <c r="WRF85" s="974"/>
      <c r="WRG85" s="974"/>
      <c r="WRH85" s="974"/>
      <c r="WRI85" s="974"/>
      <c r="WRJ85" s="974"/>
      <c r="WRK85" s="974"/>
      <c r="WRL85" s="974"/>
      <c r="WRM85" s="974"/>
      <c r="WRN85" s="974"/>
      <c r="WRO85" s="974"/>
      <c r="WRP85" s="974"/>
      <c r="WRQ85" s="974"/>
      <c r="WRR85" s="974"/>
      <c r="WRS85" s="974"/>
      <c r="WRT85" s="974"/>
      <c r="WRU85" s="974"/>
      <c r="WRV85" s="974"/>
      <c r="WRW85" s="974"/>
      <c r="WRX85" s="974"/>
      <c r="WRY85" s="974"/>
      <c r="WRZ85" s="974"/>
      <c r="WSA85" s="974"/>
      <c r="WSB85" s="974"/>
      <c r="WSC85" s="974"/>
      <c r="WSD85" s="974"/>
      <c r="WSE85" s="974"/>
      <c r="WSF85" s="974"/>
      <c r="WSG85" s="974"/>
      <c r="WSH85" s="974"/>
      <c r="WSI85" s="974"/>
      <c r="WSJ85" s="974"/>
      <c r="WSK85" s="974"/>
      <c r="WSL85" s="974"/>
      <c r="WSM85" s="974"/>
      <c r="WSN85" s="974"/>
      <c r="WSO85" s="974"/>
      <c r="WSP85" s="974"/>
      <c r="WSQ85" s="974"/>
      <c r="WSR85" s="974"/>
      <c r="WSS85" s="974"/>
      <c r="WST85" s="974"/>
      <c r="WSU85" s="974"/>
      <c r="WSV85" s="974"/>
      <c r="WSW85" s="974"/>
      <c r="WSX85" s="974"/>
      <c r="WSY85" s="974"/>
      <c r="WSZ85" s="974"/>
      <c r="WTA85" s="974"/>
      <c r="WTB85" s="974"/>
      <c r="WTC85" s="974"/>
      <c r="WTD85" s="974"/>
      <c r="WTE85" s="974"/>
      <c r="WTF85" s="974"/>
      <c r="WTG85" s="974"/>
      <c r="WTH85" s="974"/>
      <c r="WTI85" s="974"/>
      <c r="WTJ85" s="974"/>
      <c r="WTK85" s="974"/>
      <c r="WTL85" s="974"/>
      <c r="WTM85" s="974"/>
      <c r="WTN85" s="974"/>
      <c r="WTO85" s="974"/>
      <c r="WTP85" s="974"/>
      <c r="WTQ85" s="974"/>
      <c r="WTR85" s="974"/>
      <c r="WTS85" s="974"/>
      <c r="WTT85" s="974"/>
      <c r="WTU85" s="974"/>
      <c r="WTV85" s="974"/>
      <c r="WTW85" s="974"/>
      <c r="WTX85" s="974"/>
      <c r="WTY85" s="974"/>
      <c r="WTZ85" s="974"/>
      <c r="WUA85" s="974"/>
      <c r="WUB85" s="974"/>
      <c r="WUC85" s="974"/>
      <c r="WUD85" s="974"/>
      <c r="WUE85" s="974"/>
      <c r="WUF85" s="974"/>
      <c r="WUG85" s="974"/>
      <c r="WUH85" s="974"/>
      <c r="WUI85" s="974"/>
      <c r="WUJ85" s="974"/>
      <c r="WUK85" s="974"/>
      <c r="WUL85" s="974"/>
      <c r="WUM85" s="974"/>
      <c r="WUN85" s="974"/>
      <c r="WUO85" s="974"/>
      <c r="WUP85" s="974"/>
      <c r="WUQ85" s="974"/>
      <c r="WUR85" s="974"/>
      <c r="WUS85" s="974"/>
      <c r="WUT85" s="974"/>
      <c r="WUU85" s="974"/>
      <c r="WUV85" s="974"/>
      <c r="WUW85" s="974"/>
      <c r="WUX85" s="974"/>
      <c r="WUY85" s="974"/>
      <c r="WUZ85" s="974"/>
      <c r="WVA85" s="974"/>
      <c r="WVB85" s="974"/>
      <c r="WVC85" s="974"/>
      <c r="WVD85" s="974"/>
      <c r="WVE85" s="974"/>
      <c r="WVF85" s="974"/>
      <c r="WVG85" s="974"/>
      <c r="WVH85" s="974"/>
      <c r="WVI85" s="974"/>
      <c r="WVJ85" s="974"/>
      <c r="WVK85" s="974"/>
      <c r="WVL85" s="974"/>
      <c r="WVM85" s="974"/>
      <c r="WVN85" s="974"/>
      <c r="WVO85" s="974"/>
      <c r="WVP85" s="974"/>
      <c r="WVQ85" s="974"/>
      <c r="WVR85" s="974"/>
      <c r="WVS85" s="974"/>
      <c r="WVT85" s="974"/>
      <c r="WVU85" s="974"/>
      <c r="WVV85" s="974"/>
      <c r="WVW85" s="974"/>
      <c r="WVX85" s="974"/>
      <c r="WVY85" s="974"/>
      <c r="WVZ85" s="974"/>
      <c r="WWA85" s="974"/>
      <c r="WWB85" s="974"/>
      <c r="WWC85" s="974"/>
      <c r="WWD85" s="974"/>
      <c r="WWE85" s="974"/>
      <c r="WWF85" s="974"/>
      <c r="WWG85" s="974"/>
      <c r="WWH85" s="974"/>
      <c r="WWI85" s="974"/>
      <c r="WWJ85" s="974"/>
      <c r="WWK85" s="974"/>
      <c r="WWL85" s="974"/>
      <c r="WWM85" s="974"/>
      <c r="WWN85" s="974"/>
      <c r="WWO85" s="974"/>
      <c r="WWP85" s="974"/>
      <c r="WWQ85" s="974"/>
      <c r="WWR85" s="974"/>
      <c r="WWS85" s="974"/>
      <c r="WWT85" s="974"/>
      <c r="WWU85" s="974"/>
      <c r="WWV85" s="974"/>
      <c r="WWW85" s="974"/>
      <c r="WWX85" s="974"/>
      <c r="WWY85" s="974"/>
      <c r="WWZ85" s="974"/>
      <c r="WXA85" s="974"/>
      <c r="WXB85" s="974"/>
      <c r="WXC85" s="974"/>
      <c r="WXD85" s="974"/>
      <c r="WXE85" s="974"/>
      <c r="WXF85" s="974"/>
      <c r="WXG85" s="974"/>
      <c r="WXH85" s="974"/>
      <c r="WXI85" s="974"/>
      <c r="WXJ85" s="974"/>
      <c r="WXK85" s="974"/>
      <c r="WXL85" s="974"/>
      <c r="WXM85" s="974"/>
      <c r="WXN85" s="974"/>
      <c r="WXO85" s="974"/>
      <c r="WXP85" s="974"/>
      <c r="WXQ85" s="974"/>
      <c r="WXR85" s="974"/>
      <c r="WXS85" s="974"/>
      <c r="WXT85" s="974"/>
      <c r="WXU85" s="974"/>
      <c r="WXV85" s="974"/>
      <c r="WXW85" s="974"/>
      <c r="WXX85" s="974"/>
      <c r="WXY85" s="974"/>
      <c r="WXZ85" s="974"/>
      <c r="WYA85" s="974"/>
      <c r="WYB85" s="974"/>
      <c r="WYC85" s="974"/>
      <c r="WYD85" s="974"/>
      <c r="WYE85" s="974"/>
      <c r="WYF85" s="974"/>
      <c r="WYG85" s="974"/>
      <c r="WYH85" s="974"/>
      <c r="WYI85" s="974"/>
      <c r="WYJ85" s="974"/>
      <c r="WYK85" s="974"/>
      <c r="WYL85" s="974"/>
      <c r="WYM85" s="974"/>
      <c r="WYN85" s="974"/>
      <c r="WYO85" s="974"/>
      <c r="WYP85" s="974"/>
      <c r="WYQ85" s="974"/>
      <c r="WYR85" s="974"/>
      <c r="WYS85" s="974"/>
      <c r="WYT85" s="974"/>
      <c r="WYU85" s="974"/>
      <c r="WYV85" s="974"/>
      <c r="WYW85" s="974"/>
      <c r="WYX85" s="974"/>
      <c r="WYY85" s="974"/>
      <c r="WYZ85" s="974"/>
      <c r="WZA85" s="974"/>
      <c r="WZB85" s="974"/>
      <c r="WZC85" s="974"/>
      <c r="WZD85" s="974"/>
      <c r="WZE85" s="974"/>
      <c r="WZF85" s="974"/>
      <c r="WZG85" s="974"/>
      <c r="WZH85" s="974"/>
      <c r="WZI85" s="974"/>
      <c r="WZJ85" s="974"/>
      <c r="WZK85" s="974"/>
      <c r="WZL85" s="974"/>
      <c r="WZM85" s="974"/>
      <c r="WZN85" s="974"/>
      <c r="WZO85" s="974"/>
      <c r="WZP85" s="974"/>
      <c r="WZQ85" s="974"/>
      <c r="WZR85" s="974"/>
      <c r="WZS85" s="974"/>
      <c r="WZT85" s="974"/>
      <c r="WZU85" s="974"/>
      <c r="WZV85" s="974"/>
      <c r="WZW85" s="974"/>
      <c r="WZX85" s="974"/>
      <c r="WZY85" s="974"/>
      <c r="WZZ85" s="974"/>
      <c r="XAA85" s="974"/>
      <c r="XAB85" s="974"/>
      <c r="XAC85" s="974"/>
      <c r="XAD85" s="974"/>
      <c r="XAE85" s="974"/>
      <c r="XAF85" s="974"/>
      <c r="XAG85" s="974"/>
      <c r="XAH85" s="974"/>
      <c r="XAI85" s="974"/>
      <c r="XAJ85" s="974"/>
      <c r="XAK85" s="974"/>
      <c r="XAL85" s="974"/>
      <c r="XAM85" s="974"/>
      <c r="XAN85" s="974"/>
      <c r="XAO85" s="974"/>
      <c r="XAP85" s="974"/>
      <c r="XAQ85" s="974"/>
      <c r="XAR85" s="974"/>
      <c r="XAS85" s="974"/>
      <c r="XAT85" s="974"/>
      <c r="XAU85" s="974"/>
      <c r="XAV85" s="974"/>
      <c r="XAW85" s="974"/>
      <c r="XAX85" s="974"/>
      <c r="XAY85" s="974"/>
      <c r="XAZ85" s="974"/>
      <c r="XBA85" s="974"/>
      <c r="XBB85" s="974"/>
      <c r="XBC85" s="974"/>
      <c r="XBD85" s="974"/>
      <c r="XBE85" s="974"/>
      <c r="XBF85" s="974"/>
      <c r="XBG85" s="974"/>
      <c r="XBH85" s="974"/>
      <c r="XBI85" s="974"/>
      <c r="XBJ85" s="974"/>
      <c r="XBK85" s="974"/>
      <c r="XBL85" s="974"/>
      <c r="XBM85" s="974"/>
      <c r="XBN85" s="974"/>
      <c r="XBO85" s="974"/>
      <c r="XBP85" s="974"/>
      <c r="XBQ85" s="974"/>
      <c r="XBR85" s="974"/>
      <c r="XBS85" s="974"/>
      <c r="XBT85" s="974"/>
      <c r="XBU85" s="974"/>
      <c r="XBV85" s="974"/>
      <c r="XBW85" s="974"/>
      <c r="XBX85" s="974"/>
      <c r="XBY85" s="974"/>
      <c r="XBZ85" s="974"/>
      <c r="XCA85" s="974"/>
      <c r="XCB85" s="974"/>
      <c r="XCC85" s="974"/>
      <c r="XCD85" s="974"/>
      <c r="XCE85" s="974"/>
      <c r="XCF85" s="974"/>
      <c r="XCG85" s="974"/>
      <c r="XCH85" s="974"/>
      <c r="XCI85" s="974"/>
      <c r="XCJ85" s="974"/>
      <c r="XCK85" s="974"/>
      <c r="XCL85" s="974"/>
      <c r="XCM85" s="974"/>
      <c r="XCN85" s="974"/>
      <c r="XCO85" s="974"/>
      <c r="XCP85" s="974"/>
      <c r="XCQ85" s="974"/>
      <c r="XCR85" s="974"/>
      <c r="XCS85" s="974"/>
      <c r="XCT85" s="974"/>
      <c r="XCU85" s="974"/>
      <c r="XCV85" s="974"/>
      <c r="XCW85" s="974"/>
      <c r="XCX85" s="974"/>
      <c r="XCY85" s="974"/>
      <c r="XCZ85" s="974"/>
      <c r="XDA85" s="974"/>
      <c r="XDB85" s="974"/>
      <c r="XDC85" s="974"/>
      <c r="XDD85" s="974"/>
      <c r="XDE85" s="974"/>
      <c r="XDF85" s="974"/>
      <c r="XDG85" s="974"/>
      <c r="XDH85" s="974"/>
      <c r="XDI85" s="974"/>
      <c r="XDJ85" s="974"/>
      <c r="XDK85" s="974"/>
      <c r="XDL85" s="974"/>
      <c r="XDM85" s="974"/>
      <c r="XDN85" s="974"/>
      <c r="XDO85" s="974"/>
      <c r="XDP85" s="974"/>
      <c r="XDQ85" s="974"/>
      <c r="XDR85" s="974"/>
      <c r="XDS85" s="974"/>
      <c r="XDT85" s="974"/>
      <c r="XDU85" s="974"/>
      <c r="XDV85" s="974"/>
      <c r="XDW85" s="974"/>
      <c r="XDX85" s="974"/>
      <c r="XDY85" s="974"/>
      <c r="XDZ85" s="974"/>
      <c r="XEA85" s="974"/>
      <c r="XEB85" s="974"/>
      <c r="XEC85" s="974"/>
      <c r="XED85" s="974"/>
      <c r="XEE85" s="974"/>
      <c r="XEF85" s="974"/>
      <c r="XEG85" s="974"/>
      <c r="XEH85" s="974"/>
      <c r="XEI85" s="974"/>
      <c r="XEJ85" s="974"/>
      <c r="XEK85" s="974"/>
      <c r="XEL85" s="974"/>
      <c r="XEM85" s="974"/>
      <c r="XEN85" s="974"/>
      <c r="XEO85" s="974"/>
      <c r="XEP85" s="974"/>
      <c r="XEQ85" s="974"/>
      <c r="XER85" s="974"/>
      <c r="XES85" s="974"/>
      <c r="XET85" s="974"/>
      <c r="XEU85" s="974"/>
      <c r="XEV85" s="974"/>
      <c r="XEW85" s="974"/>
      <c r="XEX85" s="974"/>
      <c r="XEY85" s="974"/>
      <c r="XEZ85" s="974"/>
      <c r="XFA85" s="974"/>
      <c r="XFB85" s="974"/>
      <c r="XFC85" s="974"/>
      <c r="XFD85" s="974"/>
    </row>
    <row r="86" spans="1:16384" x14ac:dyDescent="0.35">
      <c r="B86" s="946"/>
      <c r="C86" s="946"/>
      <c r="D86" s="946"/>
      <c r="E86" s="981"/>
      <c r="F86" s="982" t="s">
        <v>509</v>
      </c>
      <c r="G86" s="982"/>
      <c r="H86" s="982">
        <v>9649.16</v>
      </c>
      <c r="I86" s="982">
        <v>351.91</v>
      </c>
      <c r="J86" s="982">
        <v>2328.86</v>
      </c>
      <c r="K86" s="982">
        <v>4305.8100000000004</v>
      </c>
      <c r="L86" s="982">
        <v>3953.76</v>
      </c>
      <c r="M86" s="982">
        <v>-0.01</v>
      </c>
      <c r="N86" s="982">
        <v>-67104.2</v>
      </c>
      <c r="O86" s="982">
        <v>-0.16</v>
      </c>
      <c r="P86" s="982">
        <v>-0.16</v>
      </c>
      <c r="Q86" s="982">
        <v>-0.16</v>
      </c>
      <c r="R86" s="982">
        <v>-0.16</v>
      </c>
      <c r="S86" s="982">
        <v>-274.55</v>
      </c>
      <c r="T86" s="982">
        <v>-30.11</v>
      </c>
      <c r="U86" s="980">
        <v>15603.62</v>
      </c>
      <c r="V86" s="980">
        <v>17976.3</v>
      </c>
      <c r="W86" s="980">
        <v>-3015.78</v>
      </c>
      <c r="X86" s="980">
        <v>1670.34</v>
      </c>
      <c r="Y86" s="980">
        <v>462.88</v>
      </c>
      <c r="Z86" s="980">
        <v>7364.19</v>
      </c>
      <c r="AA86" s="980">
        <v>5955.15</v>
      </c>
      <c r="AB86" s="980">
        <v>5855.61</v>
      </c>
      <c r="AC86" s="908">
        <v>53639.34</v>
      </c>
      <c r="AD86" s="908">
        <v>452.93</v>
      </c>
      <c r="AE86" s="980">
        <v>4661.38</v>
      </c>
      <c r="AF86" s="980">
        <v>10779.23</v>
      </c>
      <c r="AG86" s="980">
        <v>9686.43</v>
      </c>
    </row>
    <row r="87" spans="1:16384" x14ac:dyDescent="0.35">
      <c r="B87" s="946"/>
      <c r="C87" s="946"/>
      <c r="D87" s="946"/>
      <c r="E87" s="981"/>
      <c r="F87" s="982"/>
      <c r="G87" s="982" t="s">
        <v>749</v>
      </c>
      <c r="H87" s="982"/>
      <c r="I87" s="982"/>
      <c r="J87" s="982"/>
      <c r="K87" s="982"/>
      <c r="L87" s="982"/>
      <c r="M87" s="982"/>
      <c r="N87" s="982"/>
      <c r="O87" s="982"/>
      <c r="P87" s="982"/>
      <c r="Q87" s="982"/>
      <c r="R87" s="982"/>
      <c r="S87" s="982"/>
      <c r="T87" s="982"/>
      <c r="U87" s="980"/>
      <c r="V87" s="980"/>
      <c r="W87" s="980"/>
      <c r="X87" s="980"/>
      <c r="Y87" s="980"/>
      <c r="Z87" s="980"/>
      <c r="AA87" s="980"/>
      <c r="AB87" s="980"/>
      <c r="AC87" s="980"/>
      <c r="AD87" s="980"/>
      <c r="AE87" s="980"/>
      <c r="AF87" s="980"/>
      <c r="AG87" s="980"/>
    </row>
    <row r="88" spans="1:16384" x14ac:dyDescent="0.35">
      <c r="B88" s="946"/>
      <c r="C88" s="946"/>
      <c r="D88" s="946"/>
      <c r="E88" s="981"/>
      <c r="F88" s="982"/>
      <c r="G88" s="982" t="s">
        <v>750</v>
      </c>
      <c r="H88" s="982"/>
      <c r="I88" s="982"/>
      <c r="J88" s="982"/>
      <c r="K88" s="982"/>
      <c r="L88" s="982"/>
      <c r="M88" s="982"/>
      <c r="N88" s="982"/>
      <c r="O88" s="982"/>
      <c r="P88" s="982"/>
      <c r="Q88" s="982"/>
      <c r="R88" s="982"/>
      <c r="S88" s="982"/>
      <c r="T88" s="982"/>
      <c r="U88" s="980"/>
      <c r="V88" s="980"/>
      <c r="W88" s="980"/>
      <c r="X88" s="980"/>
      <c r="Y88" s="980"/>
      <c r="Z88" s="980"/>
      <c r="AA88" s="980"/>
      <c r="AB88" s="980"/>
      <c r="AC88" s="980"/>
      <c r="AD88" s="980"/>
      <c r="AE88" s="980"/>
      <c r="AF88" s="980"/>
      <c r="AG88" s="980"/>
    </row>
    <row r="89" spans="1:16384" x14ac:dyDescent="0.35">
      <c r="B89" s="946"/>
      <c r="G89" s="985" t="s">
        <v>751</v>
      </c>
      <c r="H89" s="986"/>
      <c r="I89" s="986"/>
      <c r="J89" s="986"/>
      <c r="K89" s="986"/>
      <c r="L89" s="986"/>
      <c r="M89" s="986"/>
      <c r="N89" s="986"/>
      <c r="O89" s="986"/>
      <c r="P89" s="986"/>
      <c r="Q89" s="986"/>
      <c r="R89" s="986"/>
      <c r="S89" s="986"/>
      <c r="T89" s="986"/>
      <c r="U89" s="986"/>
      <c r="V89" s="986"/>
      <c r="W89" s="986"/>
      <c r="X89" s="986"/>
      <c r="Y89" s="986"/>
      <c r="Z89" s="986"/>
      <c r="AA89" s="986"/>
      <c r="AB89" s="986"/>
      <c r="AC89" s="986"/>
      <c r="AD89" s="986"/>
      <c r="AE89" s="986"/>
      <c r="AF89" s="986"/>
      <c r="AG89" s="986"/>
      <c r="AH89" s="986"/>
      <c r="AI89" s="986"/>
      <c r="AJ89" s="986"/>
      <c r="AK89" s="986"/>
      <c r="AL89" s="986"/>
      <c r="AM89" s="986"/>
      <c r="AN89" s="986"/>
      <c r="AO89" s="986"/>
      <c r="AP89" s="986"/>
      <c r="AQ89" s="986"/>
      <c r="AR89" s="986"/>
      <c r="AS89" s="986"/>
      <c r="AT89" s="986"/>
      <c r="AU89" s="986"/>
      <c r="AV89" s="986"/>
      <c r="AW89" s="986"/>
      <c r="AX89" s="986"/>
      <c r="AY89" s="986"/>
      <c r="AZ89" s="986"/>
      <c r="BA89" s="986"/>
      <c r="BB89" s="986"/>
      <c r="BC89" s="986"/>
      <c r="BD89" s="986"/>
      <c r="BE89" s="986"/>
      <c r="BF89" s="986"/>
      <c r="BG89" s="986"/>
      <c r="BH89" s="986"/>
      <c r="BI89" s="986"/>
      <c r="BJ89" s="986"/>
      <c r="BK89" s="986"/>
      <c r="BL89" s="986"/>
      <c r="BM89" s="986"/>
      <c r="BN89" s="986"/>
      <c r="BO89" s="986"/>
      <c r="BP89" s="986"/>
      <c r="BQ89" s="986"/>
      <c r="BR89" s="986"/>
      <c r="BS89" s="986"/>
      <c r="BT89" s="986"/>
      <c r="BU89" s="986"/>
      <c r="BV89" s="986"/>
      <c r="BW89" s="986"/>
      <c r="BX89" s="986"/>
      <c r="BY89" s="986"/>
      <c r="BZ89" s="986"/>
      <c r="CA89" s="986"/>
      <c r="CB89" s="986"/>
      <c r="CC89" s="986"/>
    </row>
    <row r="90" spans="1:16384" x14ac:dyDescent="0.35">
      <c r="B90" s="945"/>
      <c r="C90" s="945"/>
      <c r="D90" s="945"/>
      <c r="E90" s="981"/>
      <c r="F90" s="982" t="s">
        <v>355</v>
      </c>
      <c r="G90" s="982"/>
      <c r="H90" s="982"/>
      <c r="I90" s="982"/>
      <c r="J90" s="982"/>
      <c r="K90" s="982"/>
      <c r="L90" s="982"/>
      <c r="M90" s="982"/>
      <c r="N90" s="982"/>
      <c r="O90" s="982"/>
      <c r="P90" s="982"/>
      <c r="Q90" s="982"/>
      <c r="R90" s="982"/>
      <c r="S90" s="910"/>
      <c r="T90" s="910"/>
      <c r="U90" s="910"/>
      <c r="V90" s="910"/>
      <c r="W90" s="910"/>
      <c r="X90" s="910"/>
      <c r="Y90" s="910"/>
      <c r="Z90" s="910"/>
      <c r="AA90" s="910"/>
      <c r="AB90" s="910"/>
      <c r="AC90" s="910"/>
      <c r="AD90" s="910"/>
      <c r="AE90" s="910"/>
      <c r="AF90" s="910"/>
      <c r="AG90" s="910"/>
      <c r="AH90" s="910"/>
      <c r="AI90" s="910"/>
      <c r="AJ90" s="910"/>
      <c r="AK90" s="910"/>
      <c r="AL90" s="910"/>
      <c r="AM90" s="910"/>
      <c r="AN90" s="910"/>
      <c r="AO90" s="910"/>
      <c r="AP90" s="910"/>
      <c r="AQ90" s="910"/>
      <c r="AR90" s="910"/>
      <c r="AS90" s="910"/>
      <c r="AT90" s="910"/>
      <c r="AU90" s="910"/>
      <c r="AV90" s="910"/>
      <c r="AW90" s="910"/>
      <c r="AX90" s="910"/>
      <c r="AY90" s="910"/>
      <c r="AZ90" s="910"/>
      <c r="BA90" s="910"/>
      <c r="BB90" s="910"/>
      <c r="BC90" s="910"/>
      <c r="BD90" s="910"/>
      <c r="BE90" s="910"/>
      <c r="BF90" s="910"/>
      <c r="BG90" s="910"/>
      <c r="BH90" s="910"/>
      <c r="BI90" s="910"/>
      <c r="BJ90" s="910"/>
      <c r="BK90" s="910"/>
      <c r="BL90" s="910"/>
      <c r="BM90" s="910"/>
      <c r="BN90" s="910"/>
      <c r="BO90" s="910"/>
      <c r="BP90" s="910"/>
      <c r="BQ90" s="910"/>
      <c r="BR90" s="910"/>
      <c r="BS90" s="910"/>
      <c r="BT90" s="910"/>
      <c r="BU90" s="910"/>
      <c r="BV90" s="910"/>
      <c r="BW90" s="910"/>
      <c r="BX90" s="910"/>
      <c r="BY90" s="910"/>
      <c r="BZ90" s="910"/>
      <c r="CA90" s="910"/>
      <c r="CB90" s="910"/>
      <c r="CC90" s="910"/>
    </row>
    <row r="91" spans="1:16384" x14ac:dyDescent="0.35">
      <c r="A91" s="901"/>
      <c r="F91" s="980"/>
      <c r="G91" s="980" t="s">
        <v>357</v>
      </c>
      <c r="H91" s="909"/>
      <c r="I91" s="909"/>
      <c r="J91" s="909">
        <v>0</v>
      </c>
      <c r="K91" s="909">
        <v>0</v>
      </c>
      <c r="L91" s="909">
        <v>0</v>
      </c>
      <c r="M91" s="908">
        <v>0</v>
      </c>
      <c r="N91" s="908">
        <v>0</v>
      </c>
      <c r="O91" s="908">
        <v>0</v>
      </c>
      <c r="P91" s="908">
        <v>0</v>
      </c>
      <c r="Q91" s="908">
        <v>0</v>
      </c>
      <c r="R91" s="908">
        <v>0</v>
      </c>
      <c r="S91" s="908">
        <v>0</v>
      </c>
      <c r="T91" s="908">
        <v>0</v>
      </c>
      <c r="U91" s="908">
        <v>21864.46</v>
      </c>
      <c r="V91" s="908">
        <v>147992.04999999999</v>
      </c>
      <c r="W91" s="908">
        <v>227548.07</v>
      </c>
      <c r="X91" s="908">
        <v>342677.26</v>
      </c>
      <c r="Y91" s="908">
        <v>467806.56</v>
      </c>
      <c r="Z91" s="908">
        <v>386117.4</v>
      </c>
      <c r="AA91" s="908">
        <v>463340.88</v>
      </c>
      <c r="AB91" s="908">
        <v>631242.48</v>
      </c>
      <c r="AC91" s="908">
        <v>474998.43</v>
      </c>
      <c r="AD91" s="908">
        <v>575038.26</v>
      </c>
      <c r="AE91" s="908">
        <v>744844.14</v>
      </c>
      <c r="AF91" s="439">
        <v>603188.96</v>
      </c>
      <c r="AG91" s="439">
        <v>45577.49</v>
      </c>
      <c r="AH91" s="910"/>
      <c r="AI91" s="910"/>
      <c r="AJ91" s="910"/>
      <c r="AK91" s="910"/>
      <c r="AL91" s="910"/>
      <c r="AM91" s="910"/>
      <c r="AN91" s="910"/>
      <c r="AO91" s="910"/>
      <c r="AP91" s="910"/>
      <c r="AQ91" s="910"/>
      <c r="AR91" s="910"/>
      <c r="AS91" s="910"/>
      <c r="AT91" s="910"/>
      <c r="AU91" s="910"/>
      <c r="AV91" s="910"/>
      <c r="AW91" s="910"/>
      <c r="AX91" s="910"/>
      <c r="AY91" s="910"/>
      <c r="AZ91" s="910"/>
      <c r="BA91" s="910"/>
      <c r="BB91" s="910"/>
      <c r="BC91" s="910"/>
      <c r="BD91" s="910"/>
      <c r="BE91" s="910"/>
      <c r="BF91" s="910"/>
      <c r="BG91" s="910"/>
      <c r="BH91" s="910"/>
      <c r="BI91" s="910"/>
      <c r="BJ91" s="910"/>
      <c r="BK91" s="910"/>
      <c r="BL91" s="910"/>
      <c r="BM91" s="910"/>
      <c r="BN91" s="910"/>
      <c r="BO91" s="910"/>
      <c r="BP91" s="910"/>
      <c r="BQ91" s="910"/>
      <c r="BR91" s="910"/>
      <c r="BS91" s="910"/>
      <c r="BT91" s="910"/>
      <c r="BU91" s="910"/>
      <c r="BV91" s="910"/>
      <c r="BW91" s="910"/>
      <c r="BX91" s="910"/>
      <c r="BY91" s="910"/>
      <c r="BZ91" s="910"/>
      <c r="CA91" s="910"/>
      <c r="CB91" s="910"/>
      <c r="CC91" s="910"/>
    </row>
    <row r="92" spans="1:16384" x14ac:dyDescent="0.35">
      <c r="F92" s="980"/>
      <c r="G92" s="980" t="s">
        <v>356</v>
      </c>
      <c r="H92" s="980"/>
      <c r="I92" s="980"/>
      <c r="J92" s="980"/>
      <c r="K92" s="980"/>
      <c r="L92" s="980"/>
      <c r="U92" s="908">
        <v>142187.78</v>
      </c>
      <c r="V92" s="908">
        <v>153001.26999999999</v>
      </c>
      <c r="W92" s="908">
        <v>167998.36</v>
      </c>
      <c r="X92" s="908">
        <v>178782.71</v>
      </c>
      <c r="Y92" s="908">
        <v>187809.98</v>
      </c>
      <c r="Z92" s="908">
        <v>198149.42</v>
      </c>
      <c r="AA92" s="908">
        <v>211652.2</v>
      </c>
      <c r="AB92" s="908">
        <v>208163.94</v>
      </c>
      <c r="AC92" s="908">
        <v>202058.61</v>
      </c>
      <c r="AD92" s="908">
        <v>216923</v>
      </c>
      <c r="AE92" s="908">
        <v>229772.57</v>
      </c>
      <c r="AF92" s="439">
        <v>234814.38</v>
      </c>
      <c r="AG92" s="439">
        <v>245470.43</v>
      </c>
    </row>
    <row r="93" spans="1:16384" x14ac:dyDescent="0.35">
      <c r="F93" s="980"/>
      <c r="G93" s="980" t="s">
        <v>752</v>
      </c>
      <c r="H93" s="980"/>
      <c r="I93" s="980"/>
      <c r="J93" s="980"/>
      <c r="K93" s="980"/>
      <c r="L93" s="980"/>
      <c r="M93" s="980"/>
      <c r="N93" s="980"/>
      <c r="O93" s="980"/>
      <c r="P93" s="980"/>
    </row>
    <row r="94" spans="1:16384" x14ac:dyDescent="0.35">
      <c r="F94" s="980"/>
      <c r="G94" s="980" t="s">
        <v>510</v>
      </c>
      <c r="H94" s="980"/>
      <c r="I94" s="980"/>
      <c r="J94" s="980"/>
      <c r="K94" s="980"/>
      <c r="L94" s="980"/>
      <c r="M94" s="980"/>
      <c r="N94" s="980"/>
      <c r="O94" s="980"/>
      <c r="P94" s="980"/>
      <c r="U94" s="908">
        <f>15659.72+141038.12</f>
        <v>156697.84</v>
      </c>
      <c r="V94" s="908">
        <v>134409.97999999998</v>
      </c>
      <c r="W94" s="908">
        <v>118239.81</v>
      </c>
      <c r="X94" s="908">
        <v>125027.84</v>
      </c>
      <c r="Y94" s="908">
        <v>175135.82</v>
      </c>
      <c r="Z94" s="908">
        <v>210155.66</v>
      </c>
      <c r="AA94" s="908">
        <v>213750.77</v>
      </c>
      <c r="AB94" s="908">
        <v>387011.98</v>
      </c>
      <c r="AC94" s="908">
        <v>337413.69999999995</v>
      </c>
      <c r="AD94" s="908">
        <v>378216.85000000003</v>
      </c>
      <c r="AE94" s="908">
        <v>369730.92</v>
      </c>
      <c r="AF94" s="908">
        <v>321671.73000000004</v>
      </c>
      <c r="AG94" s="908">
        <v>388323.35000000003</v>
      </c>
    </row>
    <row r="95" spans="1:16384" x14ac:dyDescent="0.35">
      <c r="A95" s="901"/>
      <c r="F95" s="985" t="s">
        <v>358</v>
      </c>
      <c r="G95" s="986"/>
      <c r="H95" s="986"/>
      <c r="I95" s="986"/>
      <c r="J95" s="986">
        <f t="shared" ref="J95:T95" si="17">SUM(J92:J94)</f>
        <v>0</v>
      </c>
      <c r="K95" s="986">
        <f t="shared" si="17"/>
        <v>0</v>
      </c>
      <c r="L95" s="986">
        <f t="shared" si="17"/>
        <v>0</v>
      </c>
      <c r="M95" s="986">
        <f t="shared" si="17"/>
        <v>0</v>
      </c>
      <c r="N95" s="986">
        <f t="shared" si="17"/>
        <v>0</v>
      </c>
      <c r="O95" s="986">
        <f t="shared" si="17"/>
        <v>0</v>
      </c>
      <c r="P95" s="986">
        <f t="shared" si="17"/>
        <v>0</v>
      </c>
      <c r="Q95" s="986">
        <f t="shared" si="17"/>
        <v>0</v>
      </c>
      <c r="R95" s="986">
        <f t="shared" si="17"/>
        <v>0</v>
      </c>
      <c r="S95" s="986">
        <f t="shared" si="17"/>
        <v>0</v>
      </c>
      <c r="T95" s="986">
        <f t="shared" si="17"/>
        <v>0</v>
      </c>
      <c r="U95" s="986">
        <f>SUM(U91:U94)</f>
        <v>320750.07999999996</v>
      </c>
      <c r="V95" s="986">
        <f>SUM(V91:V94)</f>
        <v>435403.29999999993</v>
      </c>
      <c r="W95" s="986">
        <f t="shared" ref="W95:AG95" si="18">SUM(W91:W94)</f>
        <v>513786.24</v>
      </c>
      <c r="X95" s="986">
        <f t="shared" si="18"/>
        <v>646487.80999999994</v>
      </c>
      <c r="Y95" s="986">
        <f t="shared" si="18"/>
        <v>830752.3600000001</v>
      </c>
      <c r="Z95" s="986">
        <f t="shared" si="18"/>
        <v>794422.4800000001</v>
      </c>
      <c r="AA95" s="986">
        <f>SUM(AA91:AA94)</f>
        <v>888743.85000000009</v>
      </c>
      <c r="AB95" s="986">
        <f>SUM(AB91:AB94)</f>
        <v>1226418.3999999999</v>
      </c>
      <c r="AC95" s="986">
        <f>SUM(AC91:AC94)</f>
        <v>1014470.74</v>
      </c>
      <c r="AD95" s="986">
        <f t="shared" si="18"/>
        <v>1170178.1100000001</v>
      </c>
      <c r="AE95" s="986">
        <f t="shared" si="18"/>
        <v>1344347.63</v>
      </c>
      <c r="AF95" s="986">
        <f t="shared" si="18"/>
        <v>1159675.07</v>
      </c>
      <c r="AG95" s="986">
        <f t="shared" si="18"/>
        <v>679371.27</v>
      </c>
      <c r="AH95" s="986"/>
      <c r="AI95" s="986"/>
      <c r="AJ95" s="986"/>
      <c r="AK95" s="986"/>
      <c r="AL95" s="986"/>
      <c r="AM95" s="986"/>
      <c r="AN95" s="986"/>
      <c r="AO95" s="986"/>
      <c r="AP95" s="986"/>
      <c r="AQ95" s="986"/>
      <c r="AR95" s="986"/>
      <c r="AS95" s="986"/>
      <c r="AT95" s="986"/>
      <c r="AU95" s="986"/>
      <c r="AV95" s="986"/>
      <c r="AW95" s="986"/>
      <c r="AX95" s="986"/>
      <c r="AY95" s="986"/>
      <c r="AZ95" s="986"/>
      <c r="BA95" s="986"/>
      <c r="BB95" s="986"/>
      <c r="BC95" s="986"/>
      <c r="BD95" s="986"/>
      <c r="BE95" s="986"/>
      <c r="BF95" s="986"/>
      <c r="BG95" s="986"/>
      <c r="BH95" s="986"/>
      <c r="BI95" s="986"/>
      <c r="BJ95" s="986"/>
      <c r="BK95" s="986"/>
      <c r="BL95" s="986"/>
      <c r="BM95" s="986"/>
      <c r="BN95" s="986"/>
      <c r="BO95" s="986"/>
      <c r="BP95" s="986"/>
      <c r="BQ95" s="986"/>
      <c r="BR95" s="986"/>
      <c r="BS95" s="986"/>
      <c r="BT95" s="986"/>
      <c r="BU95" s="986"/>
      <c r="BV95" s="986"/>
      <c r="BW95" s="986"/>
      <c r="BX95" s="986"/>
      <c r="BY95" s="986"/>
      <c r="BZ95" s="986"/>
      <c r="CA95" s="986"/>
      <c r="CB95" s="986"/>
      <c r="CC95" s="977"/>
    </row>
    <row r="96" spans="1:16384" x14ac:dyDescent="0.35">
      <c r="B96" s="946"/>
      <c r="F96" s="980" t="s">
        <v>753</v>
      </c>
    </row>
    <row r="97" spans="1:16384" ht="13.9" customHeight="1" x14ac:dyDescent="0.35">
      <c r="B97" s="946"/>
      <c r="F97" s="980" t="s">
        <v>354</v>
      </c>
      <c r="H97" s="980"/>
      <c r="I97" s="980"/>
      <c r="J97" s="980"/>
      <c r="K97" s="980"/>
      <c r="L97" s="980"/>
      <c r="M97" s="980"/>
      <c r="N97" s="980"/>
      <c r="O97" s="980"/>
      <c r="P97" s="980"/>
      <c r="Q97" s="980"/>
      <c r="R97" s="980"/>
      <c r="U97" s="980">
        <v>29816.6</v>
      </c>
      <c r="V97" s="980">
        <v>30329.53</v>
      </c>
      <c r="W97" s="980">
        <v>30842.46</v>
      </c>
      <c r="X97" s="980">
        <v>30886.39</v>
      </c>
      <c r="Y97" s="980">
        <v>32555.72</v>
      </c>
      <c r="Z97" s="980">
        <v>31465.32</v>
      </c>
      <c r="AA97" s="980">
        <v>30355.35</v>
      </c>
      <c r="AB97" s="980">
        <v>29245.38</v>
      </c>
      <c r="AC97" s="908">
        <v>28135.41</v>
      </c>
      <c r="AD97" s="908">
        <v>27025.439999999999</v>
      </c>
      <c r="AE97" s="908">
        <v>25915.47</v>
      </c>
      <c r="AF97" s="908">
        <v>24527.4</v>
      </c>
      <c r="AG97" s="908">
        <v>37523.160000000003</v>
      </c>
    </row>
    <row r="98" spans="1:16384" ht="13.9" customHeight="1" x14ac:dyDescent="0.35">
      <c r="B98" s="946"/>
      <c r="G98" s="985" t="s">
        <v>754</v>
      </c>
      <c r="H98" s="986"/>
      <c r="I98" s="986"/>
      <c r="J98" s="986"/>
      <c r="K98" s="986"/>
      <c r="L98" s="986"/>
      <c r="M98" s="986"/>
      <c r="N98" s="986"/>
      <c r="O98" s="986"/>
      <c r="P98" s="986"/>
      <c r="Q98" s="986"/>
      <c r="R98" s="986"/>
      <c r="S98" s="986"/>
      <c r="T98" s="986"/>
      <c r="U98" s="986"/>
      <c r="V98" s="986"/>
      <c r="W98" s="986"/>
      <c r="X98" s="986"/>
      <c r="Y98" s="986"/>
      <c r="Z98" s="986"/>
      <c r="AA98" s="986"/>
      <c r="AB98" s="986"/>
      <c r="AC98" s="986"/>
      <c r="AD98" s="986"/>
      <c r="AE98" s="986"/>
      <c r="AF98" s="986"/>
      <c r="AG98" s="986"/>
      <c r="AH98" s="986"/>
      <c r="AI98" s="986"/>
      <c r="AJ98" s="986"/>
      <c r="AK98" s="986"/>
      <c r="AL98" s="986"/>
      <c r="AM98" s="986"/>
      <c r="AN98" s="986"/>
      <c r="AO98" s="986"/>
      <c r="AP98" s="986"/>
      <c r="AQ98" s="986"/>
      <c r="AR98" s="986"/>
      <c r="AS98" s="986"/>
      <c r="AT98" s="986"/>
      <c r="AU98" s="986"/>
      <c r="AV98" s="986"/>
      <c r="AW98" s="986"/>
      <c r="AX98" s="986"/>
      <c r="AY98" s="986"/>
      <c r="AZ98" s="986"/>
      <c r="BA98" s="986"/>
      <c r="BB98" s="986"/>
      <c r="BC98" s="986"/>
      <c r="BD98" s="986"/>
      <c r="BE98" s="986"/>
      <c r="BF98" s="986"/>
      <c r="BG98" s="986"/>
      <c r="BH98" s="986"/>
      <c r="BI98" s="986"/>
      <c r="BJ98" s="986"/>
      <c r="BK98" s="986"/>
      <c r="BL98" s="986"/>
      <c r="BM98" s="986"/>
      <c r="BN98" s="986"/>
      <c r="BO98" s="986"/>
      <c r="BP98" s="986"/>
      <c r="BQ98" s="986"/>
      <c r="BR98" s="986"/>
      <c r="BS98" s="986"/>
      <c r="BT98" s="986"/>
      <c r="BU98" s="986"/>
      <c r="BV98" s="986"/>
      <c r="BW98" s="986"/>
      <c r="BX98" s="986"/>
      <c r="BY98" s="986"/>
      <c r="BZ98" s="986"/>
      <c r="CA98" s="986"/>
      <c r="CB98" s="986"/>
      <c r="CC98" s="986"/>
    </row>
    <row r="99" spans="1:16384" x14ac:dyDescent="0.35">
      <c r="B99" s="946"/>
      <c r="F99" s="980" t="s">
        <v>511</v>
      </c>
      <c r="H99" s="908">
        <v>1465072.79</v>
      </c>
      <c r="I99" s="908">
        <v>2448176.83</v>
      </c>
      <c r="J99" s="908">
        <v>2451443.6811143844</v>
      </c>
      <c r="K99" s="908">
        <v>2411815.7549593886</v>
      </c>
      <c r="L99" s="908">
        <v>2359010.9015557361</v>
      </c>
      <c r="M99" s="908">
        <v>3303695.0664396943</v>
      </c>
      <c r="N99" s="908">
        <v>3565567.1843792517</v>
      </c>
      <c r="O99" s="908">
        <v>3497235.7020452945</v>
      </c>
      <c r="P99" s="908">
        <v>3504387.7004646901</v>
      </c>
      <c r="Q99" s="908">
        <v>3457435.0925441496</v>
      </c>
      <c r="R99" s="908">
        <v>3411836.1159384376</v>
      </c>
      <c r="S99" s="908">
        <v>3608558.6505331378</v>
      </c>
      <c r="T99" s="908">
        <v>3389939.2191822021</v>
      </c>
      <c r="U99" s="908">
        <v>2110394.37</v>
      </c>
      <c r="V99" s="980">
        <v>3091002.33</v>
      </c>
      <c r="W99" s="980">
        <v>2766690.83</v>
      </c>
      <c r="X99" s="980">
        <v>2602389.7799999998</v>
      </c>
      <c r="Y99" s="980">
        <v>2431390.27</v>
      </c>
      <c r="Z99" s="980">
        <v>2374179.9500000002</v>
      </c>
      <c r="AA99" s="980">
        <v>2484153.2799999998</v>
      </c>
      <c r="AB99" s="980">
        <v>2312820.5499999998</v>
      </c>
      <c r="AC99" s="908">
        <v>2351706.7000000002</v>
      </c>
      <c r="AD99" s="908">
        <v>2702980.32</v>
      </c>
      <c r="AE99" s="980">
        <v>2390645.64</v>
      </c>
      <c r="AF99" s="980">
        <v>2326548.5499999998</v>
      </c>
      <c r="AG99" s="980">
        <v>2310875.7400000002</v>
      </c>
    </row>
    <row r="100" spans="1:16384" x14ac:dyDescent="0.35">
      <c r="E100" s="934" t="s">
        <v>158</v>
      </c>
      <c r="F100" s="934"/>
      <c r="G100" s="934"/>
      <c r="H100" s="957">
        <f>SUM(H81:H99)</f>
        <v>1511849.8900000001</v>
      </c>
      <c r="I100" s="957">
        <f>SUM(I81:I99)</f>
        <v>2519073.5</v>
      </c>
      <c r="J100" s="957">
        <f t="shared" ref="J100:AG100" si="19">J95+J86+J99+J97+J81</f>
        <v>2489423.1311143842</v>
      </c>
      <c r="K100" s="957">
        <f t="shared" si="19"/>
        <v>2478399.5049593886</v>
      </c>
      <c r="L100" s="957">
        <f t="shared" si="19"/>
        <v>2454033.4615557357</v>
      </c>
      <c r="M100" s="957">
        <f t="shared" si="19"/>
        <v>3550086.6064396943</v>
      </c>
      <c r="N100" s="957">
        <f t="shared" si="19"/>
        <v>3578650.5843792516</v>
      </c>
      <c r="O100" s="957">
        <f t="shared" si="19"/>
        <v>3587395.5120452945</v>
      </c>
      <c r="P100" s="957">
        <f t="shared" si="19"/>
        <v>3597053.9604646899</v>
      </c>
      <c r="Q100" s="957">
        <f t="shared" si="19"/>
        <v>3549979.5225441493</v>
      </c>
      <c r="R100" s="957">
        <f t="shared" si="19"/>
        <v>3610290.7559384373</v>
      </c>
      <c r="S100" s="957">
        <f t="shared" si="19"/>
        <v>3732867.1805331381</v>
      </c>
      <c r="T100" s="957">
        <f t="shared" si="19"/>
        <v>3389818.4691822021</v>
      </c>
      <c r="U100" s="957">
        <f t="shared" si="19"/>
        <v>2743912.24</v>
      </c>
      <c r="V100" s="957">
        <f t="shared" si="19"/>
        <v>3727732.91</v>
      </c>
      <c r="W100" s="957">
        <f t="shared" si="19"/>
        <v>3442071.94</v>
      </c>
      <c r="X100" s="957">
        <f t="shared" si="19"/>
        <v>3612036.79</v>
      </c>
      <c r="Y100" s="957">
        <f t="shared" si="19"/>
        <v>3591503.1300000004</v>
      </c>
      <c r="Z100" s="957">
        <f t="shared" si="19"/>
        <v>3525690.91</v>
      </c>
      <c r="AA100" s="957">
        <f t="shared" si="19"/>
        <v>3817486.1399999997</v>
      </c>
      <c r="AB100" s="957">
        <f t="shared" si="19"/>
        <v>3866731.5699999994</v>
      </c>
      <c r="AC100" s="957">
        <f t="shared" si="19"/>
        <v>3583837.5900000003</v>
      </c>
      <c r="AD100" s="957">
        <f t="shared" si="19"/>
        <v>4150846.0999999996</v>
      </c>
      <c r="AE100" s="957">
        <f t="shared" si="19"/>
        <v>3978405.56</v>
      </c>
      <c r="AF100" s="957">
        <f t="shared" si="19"/>
        <v>3839728.4599999995</v>
      </c>
      <c r="AG100" s="957">
        <f t="shared" si="19"/>
        <v>3425028.4800000004</v>
      </c>
      <c r="AH100" s="965"/>
      <c r="AI100" s="965"/>
      <c r="AJ100" s="965"/>
      <c r="AK100" s="965"/>
      <c r="AL100" s="965"/>
      <c r="AM100" s="965"/>
      <c r="AN100" s="965"/>
      <c r="AO100" s="965"/>
      <c r="AP100" s="965"/>
      <c r="AQ100" s="965"/>
      <c r="AR100" s="965"/>
      <c r="AS100" s="965"/>
      <c r="AT100" s="965"/>
      <c r="AU100" s="965"/>
      <c r="AV100" s="965"/>
      <c r="AW100" s="965"/>
      <c r="AX100" s="965"/>
      <c r="AY100" s="965"/>
      <c r="AZ100" s="965"/>
      <c r="BA100" s="965"/>
      <c r="BB100" s="965"/>
      <c r="BC100" s="965"/>
      <c r="BD100" s="965"/>
      <c r="BE100" s="965"/>
      <c r="BF100" s="965"/>
      <c r="BG100" s="965"/>
      <c r="BH100" s="965"/>
      <c r="BI100" s="965"/>
      <c r="BJ100" s="965"/>
      <c r="BK100" s="965"/>
      <c r="BL100" s="965"/>
      <c r="BM100" s="965"/>
      <c r="BN100" s="965"/>
      <c r="BO100" s="965"/>
      <c r="BP100" s="965"/>
      <c r="BQ100" s="965"/>
      <c r="BR100" s="965"/>
      <c r="BS100" s="965"/>
      <c r="BT100" s="965"/>
      <c r="BU100" s="965"/>
      <c r="BV100" s="965"/>
      <c r="BW100" s="965"/>
      <c r="BX100" s="965"/>
      <c r="BY100" s="965"/>
      <c r="BZ100" s="965"/>
      <c r="CA100" s="965"/>
      <c r="CB100" s="965"/>
      <c r="CC100" s="965"/>
      <c r="CD100" s="974"/>
      <c r="CE100" s="974"/>
      <c r="CF100" s="974"/>
      <c r="CG100" s="974"/>
      <c r="CH100" s="974"/>
      <c r="CI100" s="974"/>
      <c r="CJ100" s="974"/>
      <c r="CK100" s="974"/>
      <c r="CL100" s="974"/>
      <c r="CM100" s="974"/>
      <c r="CN100" s="974"/>
      <c r="CO100" s="974"/>
      <c r="CP100" s="974"/>
      <c r="CQ100" s="974"/>
      <c r="CR100" s="974"/>
      <c r="CS100" s="974"/>
      <c r="CT100" s="974"/>
      <c r="CU100" s="974"/>
      <c r="CV100" s="974"/>
      <c r="CW100" s="974"/>
      <c r="CX100" s="974"/>
      <c r="CY100" s="974"/>
      <c r="CZ100" s="974"/>
      <c r="DA100" s="974"/>
      <c r="DB100" s="974"/>
      <c r="DC100" s="974"/>
      <c r="DD100" s="974"/>
      <c r="DE100" s="974"/>
      <c r="DF100" s="974"/>
      <c r="DG100" s="974"/>
      <c r="DH100" s="974"/>
      <c r="DI100" s="974"/>
      <c r="DJ100" s="974"/>
      <c r="DK100" s="974"/>
      <c r="DL100" s="974"/>
      <c r="DM100" s="974"/>
      <c r="DN100" s="974"/>
      <c r="DO100" s="974"/>
      <c r="DP100" s="974"/>
      <c r="DQ100" s="974"/>
      <c r="DR100" s="974"/>
      <c r="DS100" s="974"/>
      <c r="DT100" s="974"/>
      <c r="DU100" s="974"/>
      <c r="DV100" s="974"/>
      <c r="DW100" s="974"/>
      <c r="DX100" s="974"/>
      <c r="DY100" s="974"/>
      <c r="DZ100" s="974"/>
      <c r="EA100" s="974"/>
      <c r="EB100" s="974"/>
      <c r="EC100" s="974"/>
      <c r="ED100" s="974"/>
      <c r="EE100" s="974"/>
      <c r="EF100" s="974"/>
      <c r="EG100" s="974"/>
      <c r="EH100" s="974"/>
      <c r="EI100" s="974"/>
      <c r="EJ100" s="974"/>
      <c r="EK100" s="974"/>
      <c r="EL100" s="974"/>
      <c r="EM100" s="974"/>
      <c r="EN100" s="974"/>
      <c r="EO100" s="974"/>
      <c r="EP100" s="974"/>
      <c r="EQ100" s="974"/>
      <c r="ER100" s="974"/>
      <c r="ES100" s="974"/>
      <c r="ET100" s="974"/>
      <c r="EU100" s="974"/>
      <c r="EV100" s="974"/>
      <c r="EW100" s="974"/>
      <c r="EX100" s="974"/>
      <c r="EY100" s="974"/>
      <c r="EZ100" s="974"/>
      <c r="FA100" s="974"/>
      <c r="FB100" s="974"/>
      <c r="FC100" s="974"/>
      <c r="FD100" s="974"/>
      <c r="FE100" s="974"/>
      <c r="FF100" s="974"/>
      <c r="FG100" s="974"/>
      <c r="FH100" s="974"/>
      <c r="FI100" s="974"/>
      <c r="FJ100" s="974"/>
      <c r="FK100" s="974"/>
      <c r="FL100" s="974"/>
      <c r="FM100" s="974"/>
      <c r="FN100" s="974"/>
      <c r="FO100" s="974"/>
      <c r="FP100" s="974"/>
      <c r="FQ100" s="974"/>
      <c r="FR100" s="974"/>
      <c r="FS100" s="974"/>
      <c r="FT100" s="974"/>
      <c r="FU100" s="974"/>
      <c r="FV100" s="974"/>
      <c r="FW100" s="974"/>
      <c r="FX100" s="974"/>
      <c r="FY100" s="974"/>
      <c r="FZ100" s="974"/>
      <c r="GA100" s="974"/>
      <c r="GB100" s="974"/>
      <c r="GC100" s="974"/>
      <c r="GD100" s="974"/>
      <c r="GE100" s="974"/>
      <c r="GF100" s="974"/>
      <c r="GG100" s="974"/>
      <c r="GH100" s="974"/>
      <c r="GI100" s="974"/>
      <c r="GJ100" s="974"/>
      <c r="GK100" s="974"/>
      <c r="GL100" s="974"/>
      <c r="GM100" s="974"/>
      <c r="GN100" s="974"/>
      <c r="GO100" s="974"/>
      <c r="GP100" s="974"/>
      <c r="GQ100" s="974"/>
      <c r="GR100" s="974"/>
      <c r="GS100" s="974"/>
      <c r="GT100" s="974"/>
      <c r="GU100" s="974"/>
      <c r="GV100" s="974"/>
      <c r="GW100" s="974"/>
      <c r="GX100" s="974"/>
      <c r="GY100" s="974"/>
      <c r="GZ100" s="974"/>
      <c r="HA100" s="974"/>
      <c r="HB100" s="974"/>
      <c r="HC100" s="974"/>
      <c r="HD100" s="974"/>
      <c r="HE100" s="974"/>
      <c r="HF100" s="974"/>
      <c r="HG100" s="974"/>
      <c r="HH100" s="974"/>
      <c r="HI100" s="974"/>
      <c r="HJ100" s="974"/>
      <c r="HK100" s="974"/>
      <c r="HL100" s="974"/>
      <c r="HM100" s="974"/>
      <c r="HN100" s="974"/>
      <c r="HO100" s="974"/>
      <c r="HP100" s="974"/>
      <c r="HQ100" s="974"/>
      <c r="HR100" s="974"/>
      <c r="HS100" s="974"/>
      <c r="HT100" s="974"/>
      <c r="HU100" s="974"/>
      <c r="HV100" s="974"/>
      <c r="HW100" s="974"/>
      <c r="HX100" s="974"/>
      <c r="HY100" s="974"/>
      <c r="HZ100" s="974"/>
      <c r="IA100" s="974"/>
      <c r="IB100" s="974"/>
      <c r="IC100" s="974"/>
      <c r="ID100" s="974"/>
      <c r="IE100" s="974"/>
      <c r="IF100" s="974"/>
      <c r="IG100" s="974"/>
      <c r="IH100" s="974"/>
      <c r="II100" s="974"/>
      <c r="IJ100" s="974"/>
      <c r="IK100" s="974"/>
      <c r="IL100" s="974"/>
      <c r="IM100" s="974"/>
      <c r="IN100" s="974"/>
      <c r="IO100" s="974"/>
      <c r="IP100" s="974"/>
      <c r="IQ100" s="974"/>
      <c r="IR100" s="974"/>
      <c r="IS100" s="974"/>
      <c r="IT100" s="974"/>
      <c r="IU100" s="974"/>
      <c r="IV100" s="974"/>
      <c r="IW100" s="974"/>
      <c r="IX100" s="974"/>
      <c r="IY100" s="974"/>
      <c r="IZ100" s="974"/>
      <c r="JA100" s="974"/>
      <c r="JB100" s="974"/>
      <c r="JC100" s="974"/>
      <c r="JD100" s="974"/>
      <c r="JE100" s="974"/>
      <c r="JF100" s="974"/>
      <c r="JG100" s="974"/>
      <c r="JH100" s="974"/>
      <c r="JI100" s="974"/>
      <c r="JJ100" s="974"/>
      <c r="JK100" s="974"/>
      <c r="JL100" s="974"/>
      <c r="JM100" s="974"/>
      <c r="JN100" s="974"/>
      <c r="JO100" s="974"/>
      <c r="JP100" s="974"/>
      <c r="JQ100" s="974"/>
      <c r="JR100" s="974"/>
      <c r="JS100" s="974"/>
      <c r="JT100" s="974"/>
      <c r="JU100" s="974"/>
      <c r="JV100" s="974"/>
      <c r="JW100" s="974"/>
      <c r="JX100" s="974"/>
      <c r="JY100" s="974"/>
      <c r="JZ100" s="974"/>
      <c r="KA100" s="974"/>
      <c r="KB100" s="974"/>
      <c r="KC100" s="974"/>
      <c r="KD100" s="974"/>
      <c r="KE100" s="974"/>
      <c r="KF100" s="974"/>
      <c r="KG100" s="974"/>
      <c r="KH100" s="974"/>
      <c r="KI100" s="974"/>
      <c r="KJ100" s="974"/>
      <c r="KK100" s="974"/>
      <c r="KL100" s="974"/>
      <c r="KM100" s="974"/>
      <c r="KN100" s="974"/>
      <c r="KO100" s="974"/>
      <c r="KP100" s="974"/>
      <c r="KQ100" s="974"/>
      <c r="KR100" s="974"/>
      <c r="KS100" s="974"/>
      <c r="KT100" s="974"/>
      <c r="KU100" s="974"/>
      <c r="KV100" s="974"/>
      <c r="KW100" s="974"/>
      <c r="KX100" s="974"/>
      <c r="KY100" s="974"/>
      <c r="KZ100" s="974"/>
      <c r="LA100" s="974"/>
      <c r="LB100" s="974"/>
      <c r="LC100" s="974"/>
      <c r="LD100" s="974"/>
      <c r="LE100" s="974"/>
      <c r="LF100" s="974"/>
      <c r="LG100" s="974"/>
      <c r="LH100" s="974"/>
      <c r="LI100" s="974"/>
      <c r="LJ100" s="974"/>
      <c r="LK100" s="974"/>
      <c r="LL100" s="974"/>
      <c r="LM100" s="974"/>
      <c r="LN100" s="974"/>
      <c r="LO100" s="974"/>
      <c r="LP100" s="974"/>
      <c r="LQ100" s="974"/>
      <c r="LR100" s="974"/>
      <c r="LS100" s="974"/>
      <c r="LT100" s="974"/>
      <c r="LU100" s="974"/>
      <c r="LV100" s="974"/>
      <c r="LW100" s="974"/>
      <c r="LX100" s="974"/>
      <c r="LY100" s="974"/>
      <c r="LZ100" s="974"/>
      <c r="MA100" s="974"/>
      <c r="MB100" s="974"/>
      <c r="MC100" s="974"/>
      <c r="MD100" s="974"/>
      <c r="ME100" s="974"/>
      <c r="MF100" s="974"/>
      <c r="MG100" s="974"/>
      <c r="MH100" s="974"/>
      <c r="MI100" s="974"/>
      <c r="MJ100" s="974"/>
      <c r="MK100" s="974"/>
      <c r="ML100" s="974"/>
      <c r="MM100" s="974"/>
      <c r="MN100" s="974"/>
      <c r="MO100" s="974"/>
      <c r="MP100" s="974"/>
      <c r="MQ100" s="974"/>
      <c r="MR100" s="974"/>
      <c r="MS100" s="974"/>
      <c r="MT100" s="974"/>
      <c r="MU100" s="974"/>
      <c r="MV100" s="974"/>
      <c r="MW100" s="974"/>
      <c r="MX100" s="974"/>
      <c r="MY100" s="974"/>
      <c r="MZ100" s="974"/>
      <c r="NA100" s="974"/>
      <c r="NB100" s="974"/>
      <c r="NC100" s="974"/>
      <c r="ND100" s="974"/>
      <c r="NE100" s="974"/>
      <c r="NF100" s="974"/>
      <c r="NG100" s="974"/>
      <c r="NH100" s="974"/>
      <c r="NI100" s="974"/>
      <c r="NJ100" s="974"/>
      <c r="NK100" s="974"/>
      <c r="NL100" s="974"/>
      <c r="NM100" s="974"/>
      <c r="NN100" s="974"/>
      <c r="NO100" s="974"/>
      <c r="NP100" s="974"/>
      <c r="NQ100" s="974"/>
      <c r="NR100" s="974"/>
      <c r="NS100" s="974"/>
      <c r="NT100" s="974"/>
      <c r="NU100" s="974"/>
      <c r="NV100" s="974"/>
      <c r="NW100" s="974"/>
      <c r="NX100" s="974"/>
      <c r="NY100" s="974"/>
      <c r="NZ100" s="974"/>
      <c r="OA100" s="974"/>
      <c r="OB100" s="974"/>
      <c r="OC100" s="974"/>
      <c r="OD100" s="974"/>
      <c r="OE100" s="974"/>
      <c r="OF100" s="974"/>
      <c r="OG100" s="974"/>
      <c r="OH100" s="974"/>
      <c r="OI100" s="974"/>
      <c r="OJ100" s="974"/>
      <c r="OK100" s="974"/>
      <c r="OL100" s="974"/>
      <c r="OM100" s="974"/>
      <c r="ON100" s="974"/>
      <c r="OO100" s="974"/>
      <c r="OP100" s="974"/>
      <c r="OQ100" s="974"/>
      <c r="OR100" s="974"/>
      <c r="OS100" s="974"/>
      <c r="OT100" s="974"/>
      <c r="OU100" s="974"/>
      <c r="OV100" s="974"/>
      <c r="OW100" s="974"/>
      <c r="OX100" s="974"/>
      <c r="OY100" s="974"/>
      <c r="OZ100" s="974"/>
      <c r="PA100" s="974"/>
      <c r="PB100" s="974"/>
      <c r="PC100" s="974"/>
      <c r="PD100" s="974"/>
      <c r="PE100" s="974"/>
      <c r="PF100" s="974"/>
      <c r="PG100" s="974"/>
      <c r="PH100" s="974"/>
      <c r="PI100" s="974"/>
      <c r="PJ100" s="974"/>
      <c r="PK100" s="974"/>
      <c r="PL100" s="974"/>
      <c r="PM100" s="974"/>
      <c r="PN100" s="974"/>
      <c r="PO100" s="974"/>
      <c r="PP100" s="974"/>
      <c r="PQ100" s="974"/>
      <c r="PR100" s="974"/>
      <c r="PS100" s="974"/>
      <c r="PT100" s="974"/>
      <c r="PU100" s="974"/>
      <c r="PV100" s="974"/>
      <c r="PW100" s="974"/>
      <c r="PX100" s="974"/>
      <c r="PY100" s="974"/>
      <c r="PZ100" s="974"/>
      <c r="QA100" s="974"/>
      <c r="QB100" s="974"/>
      <c r="QC100" s="974"/>
      <c r="QD100" s="974"/>
      <c r="QE100" s="974"/>
      <c r="QF100" s="974"/>
      <c r="QG100" s="974"/>
      <c r="QH100" s="974"/>
      <c r="QI100" s="974"/>
      <c r="QJ100" s="974"/>
      <c r="QK100" s="974"/>
      <c r="QL100" s="974"/>
      <c r="QM100" s="974"/>
      <c r="QN100" s="974"/>
      <c r="QO100" s="974"/>
      <c r="QP100" s="974"/>
      <c r="QQ100" s="974"/>
      <c r="QR100" s="974"/>
      <c r="QS100" s="974"/>
      <c r="QT100" s="974"/>
      <c r="QU100" s="974"/>
      <c r="QV100" s="974"/>
      <c r="QW100" s="974"/>
      <c r="QX100" s="974"/>
      <c r="QY100" s="974"/>
      <c r="QZ100" s="974"/>
      <c r="RA100" s="974"/>
      <c r="RB100" s="974"/>
      <c r="RC100" s="974"/>
      <c r="RD100" s="974"/>
      <c r="RE100" s="974"/>
      <c r="RF100" s="974"/>
      <c r="RG100" s="974"/>
      <c r="RH100" s="974"/>
      <c r="RI100" s="974"/>
      <c r="RJ100" s="974"/>
      <c r="RK100" s="974"/>
      <c r="RL100" s="974"/>
      <c r="RM100" s="974"/>
      <c r="RN100" s="974"/>
      <c r="RO100" s="974"/>
      <c r="RP100" s="974"/>
      <c r="RQ100" s="974"/>
      <c r="RR100" s="974"/>
      <c r="RS100" s="974"/>
      <c r="RT100" s="974"/>
      <c r="RU100" s="974"/>
      <c r="RV100" s="974"/>
      <c r="RW100" s="974"/>
      <c r="RX100" s="974"/>
      <c r="RY100" s="974"/>
      <c r="RZ100" s="974"/>
      <c r="SA100" s="974"/>
      <c r="SB100" s="974"/>
      <c r="SC100" s="974"/>
      <c r="SD100" s="974"/>
      <c r="SE100" s="974"/>
      <c r="SF100" s="974"/>
      <c r="SG100" s="974"/>
      <c r="SH100" s="974"/>
      <c r="SI100" s="974"/>
      <c r="SJ100" s="974"/>
      <c r="SK100" s="974"/>
      <c r="SL100" s="974"/>
      <c r="SM100" s="974"/>
      <c r="SN100" s="974"/>
      <c r="SO100" s="974"/>
      <c r="SP100" s="974"/>
      <c r="SQ100" s="974"/>
      <c r="SR100" s="974"/>
      <c r="SS100" s="974"/>
      <c r="ST100" s="974"/>
      <c r="SU100" s="974"/>
      <c r="SV100" s="974"/>
      <c r="SW100" s="974"/>
      <c r="SX100" s="974"/>
      <c r="SY100" s="974"/>
      <c r="SZ100" s="974"/>
      <c r="TA100" s="974"/>
      <c r="TB100" s="974"/>
      <c r="TC100" s="974"/>
      <c r="TD100" s="974"/>
      <c r="TE100" s="974"/>
      <c r="TF100" s="974"/>
      <c r="TG100" s="974"/>
      <c r="TH100" s="974"/>
      <c r="TI100" s="974"/>
      <c r="TJ100" s="974"/>
      <c r="TK100" s="974"/>
      <c r="TL100" s="974"/>
      <c r="TM100" s="974"/>
      <c r="TN100" s="974"/>
      <c r="TO100" s="974"/>
      <c r="TP100" s="974"/>
      <c r="TQ100" s="974"/>
      <c r="TR100" s="974"/>
      <c r="TS100" s="974"/>
      <c r="TT100" s="974"/>
      <c r="TU100" s="974"/>
      <c r="TV100" s="974"/>
      <c r="TW100" s="974"/>
      <c r="TX100" s="974"/>
      <c r="TY100" s="974"/>
      <c r="TZ100" s="974"/>
      <c r="UA100" s="974"/>
      <c r="UB100" s="974"/>
      <c r="UC100" s="974"/>
      <c r="UD100" s="974"/>
      <c r="UE100" s="974"/>
      <c r="UF100" s="974"/>
      <c r="UG100" s="974"/>
      <c r="UH100" s="974"/>
      <c r="UI100" s="974"/>
      <c r="UJ100" s="974"/>
      <c r="UK100" s="974"/>
      <c r="UL100" s="974"/>
      <c r="UM100" s="974"/>
      <c r="UN100" s="974"/>
      <c r="UO100" s="974"/>
      <c r="UP100" s="974"/>
      <c r="UQ100" s="974"/>
      <c r="UR100" s="974"/>
      <c r="US100" s="974"/>
      <c r="UT100" s="974"/>
      <c r="UU100" s="974"/>
      <c r="UV100" s="974"/>
      <c r="UW100" s="974"/>
      <c r="UX100" s="974"/>
      <c r="UY100" s="974"/>
      <c r="UZ100" s="974"/>
      <c r="VA100" s="974"/>
      <c r="VB100" s="974"/>
      <c r="VC100" s="974"/>
      <c r="VD100" s="974"/>
      <c r="VE100" s="974"/>
      <c r="VF100" s="974"/>
      <c r="VG100" s="974"/>
      <c r="VH100" s="974"/>
      <c r="VI100" s="974"/>
      <c r="VJ100" s="974"/>
      <c r="VK100" s="974"/>
      <c r="VL100" s="974"/>
      <c r="VM100" s="974"/>
      <c r="VN100" s="974"/>
      <c r="VO100" s="974"/>
      <c r="VP100" s="974"/>
      <c r="VQ100" s="974"/>
      <c r="VR100" s="974"/>
      <c r="VS100" s="974"/>
      <c r="VT100" s="974"/>
      <c r="VU100" s="974"/>
      <c r="VV100" s="974"/>
      <c r="VW100" s="974"/>
      <c r="VX100" s="974"/>
      <c r="VY100" s="974"/>
      <c r="VZ100" s="974"/>
      <c r="WA100" s="974"/>
      <c r="WB100" s="974"/>
      <c r="WC100" s="974"/>
      <c r="WD100" s="974"/>
      <c r="WE100" s="974"/>
      <c r="WF100" s="974"/>
      <c r="WG100" s="974"/>
      <c r="WH100" s="974"/>
      <c r="WI100" s="974"/>
      <c r="WJ100" s="974"/>
      <c r="WK100" s="974"/>
      <c r="WL100" s="974"/>
      <c r="WM100" s="974"/>
      <c r="WN100" s="974"/>
      <c r="WO100" s="974"/>
      <c r="WP100" s="974"/>
      <c r="WQ100" s="974"/>
      <c r="WR100" s="974"/>
      <c r="WS100" s="974"/>
      <c r="WT100" s="974"/>
      <c r="WU100" s="974"/>
      <c r="WV100" s="974"/>
      <c r="WW100" s="974"/>
      <c r="WX100" s="974"/>
      <c r="WY100" s="974"/>
      <c r="WZ100" s="974"/>
      <c r="XA100" s="974"/>
      <c r="XB100" s="974"/>
      <c r="XC100" s="974"/>
      <c r="XD100" s="974"/>
      <c r="XE100" s="974"/>
      <c r="XF100" s="974"/>
      <c r="XG100" s="974"/>
      <c r="XH100" s="974"/>
      <c r="XI100" s="974"/>
      <c r="XJ100" s="974"/>
      <c r="XK100" s="974"/>
      <c r="XL100" s="974"/>
      <c r="XM100" s="974"/>
      <c r="XN100" s="974"/>
      <c r="XO100" s="974"/>
      <c r="XP100" s="974"/>
      <c r="XQ100" s="974"/>
      <c r="XR100" s="974"/>
      <c r="XS100" s="974"/>
      <c r="XT100" s="974"/>
      <c r="XU100" s="974"/>
      <c r="XV100" s="974"/>
      <c r="XW100" s="974"/>
      <c r="XX100" s="974"/>
      <c r="XY100" s="974"/>
      <c r="XZ100" s="974"/>
      <c r="YA100" s="974"/>
      <c r="YB100" s="974"/>
      <c r="YC100" s="974"/>
      <c r="YD100" s="974"/>
      <c r="YE100" s="974"/>
      <c r="YF100" s="974"/>
      <c r="YG100" s="974"/>
      <c r="YH100" s="974"/>
      <c r="YI100" s="974"/>
      <c r="YJ100" s="974"/>
      <c r="YK100" s="974"/>
      <c r="YL100" s="974"/>
      <c r="YM100" s="974"/>
      <c r="YN100" s="974"/>
      <c r="YO100" s="974"/>
      <c r="YP100" s="974"/>
      <c r="YQ100" s="974"/>
      <c r="YR100" s="974"/>
      <c r="YS100" s="974"/>
      <c r="YT100" s="974"/>
      <c r="YU100" s="974"/>
      <c r="YV100" s="974"/>
      <c r="YW100" s="974"/>
      <c r="YX100" s="974"/>
      <c r="YY100" s="974"/>
      <c r="YZ100" s="974"/>
      <c r="ZA100" s="974"/>
      <c r="ZB100" s="974"/>
      <c r="ZC100" s="974"/>
      <c r="ZD100" s="974"/>
      <c r="ZE100" s="974"/>
      <c r="ZF100" s="974"/>
      <c r="ZG100" s="974"/>
      <c r="ZH100" s="974"/>
      <c r="ZI100" s="974"/>
      <c r="ZJ100" s="974"/>
      <c r="ZK100" s="974"/>
      <c r="ZL100" s="974"/>
      <c r="ZM100" s="974"/>
      <c r="ZN100" s="974"/>
      <c r="ZO100" s="974"/>
      <c r="ZP100" s="974"/>
      <c r="ZQ100" s="974"/>
      <c r="ZR100" s="974"/>
      <c r="ZS100" s="974"/>
      <c r="ZT100" s="974"/>
      <c r="ZU100" s="974"/>
      <c r="ZV100" s="974"/>
      <c r="ZW100" s="974"/>
      <c r="ZX100" s="974"/>
      <c r="ZY100" s="974"/>
      <c r="ZZ100" s="974"/>
      <c r="AAA100" s="974"/>
      <c r="AAB100" s="974"/>
      <c r="AAC100" s="974"/>
      <c r="AAD100" s="974"/>
      <c r="AAE100" s="974"/>
      <c r="AAF100" s="974"/>
      <c r="AAG100" s="974"/>
      <c r="AAH100" s="974"/>
      <c r="AAI100" s="974"/>
      <c r="AAJ100" s="974"/>
      <c r="AAK100" s="974"/>
      <c r="AAL100" s="974"/>
      <c r="AAM100" s="974"/>
      <c r="AAN100" s="974"/>
      <c r="AAO100" s="974"/>
      <c r="AAP100" s="974"/>
      <c r="AAQ100" s="974"/>
      <c r="AAR100" s="974"/>
      <c r="AAS100" s="974"/>
      <c r="AAT100" s="974"/>
      <c r="AAU100" s="974"/>
      <c r="AAV100" s="974"/>
      <c r="AAW100" s="974"/>
      <c r="AAX100" s="974"/>
      <c r="AAY100" s="974"/>
      <c r="AAZ100" s="974"/>
      <c r="ABA100" s="974"/>
      <c r="ABB100" s="974"/>
      <c r="ABC100" s="974"/>
      <c r="ABD100" s="974"/>
      <c r="ABE100" s="974"/>
      <c r="ABF100" s="974"/>
      <c r="ABG100" s="974"/>
      <c r="ABH100" s="974"/>
      <c r="ABI100" s="974"/>
      <c r="ABJ100" s="974"/>
      <c r="ABK100" s="974"/>
      <c r="ABL100" s="974"/>
      <c r="ABM100" s="974"/>
      <c r="ABN100" s="974"/>
      <c r="ABO100" s="974"/>
      <c r="ABP100" s="974"/>
      <c r="ABQ100" s="974"/>
      <c r="ABR100" s="974"/>
      <c r="ABS100" s="974"/>
      <c r="ABT100" s="974"/>
      <c r="ABU100" s="974"/>
      <c r="ABV100" s="974"/>
      <c r="ABW100" s="974"/>
      <c r="ABX100" s="974"/>
      <c r="ABY100" s="974"/>
      <c r="ABZ100" s="974"/>
      <c r="ACA100" s="974"/>
      <c r="ACB100" s="974"/>
      <c r="ACC100" s="974"/>
      <c r="ACD100" s="974"/>
      <c r="ACE100" s="974"/>
      <c r="ACF100" s="974"/>
      <c r="ACG100" s="974"/>
      <c r="ACH100" s="974"/>
      <c r="ACI100" s="974"/>
      <c r="ACJ100" s="974"/>
      <c r="ACK100" s="974"/>
      <c r="ACL100" s="974"/>
      <c r="ACM100" s="974"/>
      <c r="ACN100" s="974"/>
      <c r="ACO100" s="974"/>
      <c r="ACP100" s="974"/>
      <c r="ACQ100" s="974"/>
      <c r="ACR100" s="974"/>
      <c r="ACS100" s="974"/>
      <c r="ACT100" s="974"/>
      <c r="ACU100" s="974"/>
      <c r="ACV100" s="974"/>
      <c r="ACW100" s="974"/>
      <c r="ACX100" s="974"/>
      <c r="ACY100" s="974"/>
      <c r="ACZ100" s="974"/>
      <c r="ADA100" s="974"/>
      <c r="ADB100" s="974"/>
      <c r="ADC100" s="974"/>
      <c r="ADD100" s="974"/>
      <c r="ADE100" s="974"/>
      <c r="ADF100" s="974"/>
      <c r="ADG100" s="974"/>
      <c r="ADH100" s="974"/>
      <c r="ADI100" s="974"/>
      <c r="ADJ100" s="974"/>
      <c r="ADK100" s="974"/>
      <c r="ADL100" s="974"/>
      <c r="ADM100" s="974"/>
      <c r="ADN100" s="974"/>
      <c r="ADO100" s="974"/>
      <c r="ADP100" s="974"/>
      <c r="ADQ100" s="974"/>
      <c r="ADR100" s="974"/>
      <c r="ADS100" s="974"/>
      <c r="ADT100" s="974"/>
      <c r="ADU100" s="974"/>
      <c r="ADV100" s="974"/>
      <c r="ADW100" s="974"/>
      <c r="ADX100" s="974"/>
      <c r="ADY100" s="974"/>
      <c r="ADZ100" s="974"/>
      <c r="AEA100" s="974"/>
      <c r="AEB100" s="974"/>
      <c r="AEC100" s="974"/>
      <c r="AED100" s="974"/>
      <c r="AEE100" s="974"/>
      <c r="AEF100" s="974"/>
      <c r="AEG100" s="974"/>
      <c r="AEH100" s="974"/>
      <c r="AEI100" s="974"/>
      <c r="AEJ100" s="974"/>
      <c r="AEK100" s="974"/>
      <c r="AEL100" s="974"/>
      <c r="AEM100" s="974"/>
      <c r="AEN100" s="974"/>
      <c r="AEO100" s="974"/>
      <c r="AEP100" s="974"/>
      <c r="AEQ100" s="974"/>
      <c r="AER100" s="974"/>
      <c r="AES100" s="974"/>
      <c r="AET100" s="974"/>
      <c r="AEU100" s="974"/>
      <c r="AEV100" s="974"/>
      <c r="AEW100" s="974"/>
      <c r="AEX100" s="974"/>
      <c r="AEY100" s="974"/>
      <c r="AEZ100" s="974"/>
      <c r="AFA100" s="974"/>
      <c r="AFB100" s="974"/>
      <c r="AFC100" s="974"/>
      <c r="AFD100" s="974"/>
      <c r="AFE100" s="974"/>
      <c r="AFF100" s="974"/>
      <c r="AFG100" s="974"/>
      <c r="AFH100" s="974"/>
      <c r="AFI100" s="974"/>
      <c r="AFJ100" s="974"/>
      <c r="AFK100" s="974"/>
      <c r="AFL100" s="974"/>
      <c r="AFM100" s="974"/>
      <c r="AFN100" s="974"/>
      <c r="AFO100" s="974"/>
      <c r="AFP100" s="974"/>
      <c r="AFQ100" s="974"/>
      <c r="AFR100" s="974"/>
      <c r="AFS100" s="974"/>
      <c r="AFT100" s="974"/>
      <c r="AFU100" s="974"/>
      <c r="AFV100" s="974"/>
      <c r="AFW100" s="974"/>
      <c r="AFX100" s="974"/>
      <c r="AFY100" s="974"/>
      <c r="AFZ100" s="974"/>
      <c r="AGA100" s="974"/>
      <c r="AGB100" s="974"/>
      <c r="AGC100" s="974"/>
      <c r="AGD100" s="974"/>
      <c r="AGE100" s="974"/>
      <c r="AGF100" s="974"/>
      <c r="AGG100" s="974"/>
      <c r="AGH100" s="974"/>
      <c r="AGI100" s="974"/>
      <c r="AGJ100" s="974"/>
      <c r="AGK100" s="974"/>
      <c r="AGL100" s="974"/>
      <c r="AGM100" s="974"/>
      <c r="AGN100" s="974"/>
      <c r="AGO100" s="974"/>
      <c r="AGP100" s="974"/>
      <c r="AGQ100" s="974"/>
      <c r="AGR100" s="974"/>
      <c r="AGS100" s="974"/>
      <c r="AGT100" s="974"/>
      <c r="AGU100" s="974"/>
      <c r="AGV100" s="974"/>
      <c r="AGW100" s="974"/>
      <c r="AGX100" s="974"/>
      <c r="AGY100" s="974"/>
      <c r="AGZ100" s="974"/>
      <c r="AHA100" s="974"/>
      <c r="AHB100" s="974"/>
      <c r="AHC100" s="974"/>
      <c r="AHD100" s="974"/>
      <c r="AHE100" s="974"/>
      <c r="AHF100" s="974"/>
      <c r="AHG100" s="974"/>
      <c r="AHH100" s="974"/>
      <c r="AHI100" s="974"/>
      <c r="AHJ100" s="974"/>
      <c r="AHK100" s="974"/>
      <c r="AHL100" s="974"/>
      <c r="AHM100" s="974"/>
      <c r="AHN100" s="974"/>
      <c r="AHO100" s="974"/>
      <c r="AHP100" s="974"/>
      <c r="AHQ100" s="974"/>
      <c r="AHR100" s="974"/>
      <c r="AHS100" s="974"/>
      <c r="AHT100" s="974"/>
      <c r="AHU100" s="974"/>
      <c r="AHV100" s="974"/>
      <c r="AHW100" s="974"/>
      <c r="AHX100" s="974"/>
      <c r="AHY100" s="974"/>
      <c r="AHZ100" s="974"/>
      <c r="AIA100" s="974"/>
      <c r="AIB100" s="974"/>
      <c r="AIC100" s="974"/>
      <c r="AID100" s="974"/>
      <c r="AIE100" s="974"/>
      <c r="AIF100" s="974"/>
      <c r="AIG100" s="974"/>
      <c r="AIH100" s="974"/>
      <c r="AII100" s="974"/>
      <c r="AIJ100" s="974"/>
      <c r="AIK100" s="974"/>
      <c r="AIL100" s="974"/>
      <c r="AIM100" s="974"/>
      <c r="AIN100" s="974"/>
      <c r="AIO100" s="974"/>
      <c r="AIP100" s="974"/>
      <c r="AIQ100" s="974"/>
      <c r="AIR100" s="974"/>
      <c r="AIS100" s="974"/>
      <c r="AIT100" s="974"/>
      <c r="AIU100" s="974"/>
      <c r="AIV100" s="974"/>
      <c r="AIW100" s="974"/>
      <c r="AIX100" s="974"/>
      <c r="AIY100" s="974"/>
      <c r="AIZ100" s="974"/>
      <c r="AJA100" s="974"/>
      <c r="AJB100" s="974"/>
      <c r="AJC100" s="974"/>
      <c r="AJD100" s="974"/>
      <c r="AJE100" s="974"/>
      <c r="AJF100" s="974"/>
      <c r="AJG100" s="974"/>
      <c r="AJH100" s="974"/>
      <c r="AJI100" s="974"/>
      <c r="AJJ100" s="974"/>
      <c r="AJK100" s="974"/>
      <c r="AJL100" s="974"/>
      <c r="AJM100" s="974"/>
      <c r="AJN100" s="974"/>
      <c r="AJO100" s="974"/>
      <c r="AJP100" s="974"/>
      <c r="AJQ100" s="974"/>
      <c r="AJR100" s="974"/>
      <c r="AJS100" s="974"/>
      <c r="AJT100" s="974"/>
      <c r="AJU100" s="974"/>
      <c r="AJV100" s="974"/>
      <c r="AJW100" s="974"/>
      <c r="AJX100" s="974"/>
      <c r="AJY100" s="974"/>
      <c r="AJZ100" s="974"/>
      <c r="AKA100" s="974"/>
      <c r="AKB100" s="974"/>
      <c r="AKC100" s="974"/>
      <c r="AKD100" s="974"/>
      <c r="AKE100" s="974"/>
      <c r="AKF100" s="974"/>
      <c r="AKG100" s="974"/>
      <c r="AKH100" s="974"/>
      <c r="AKI100" s="974"/>
      <c r="AKJ100" s="974"/>
      <c r="AKK100" s="974"/>
      <c r="AKL100" s="974"/>
      <c r="AKM100" s="974"/>
      <c r="AKN100" s="974"/>
      <c r="AKO100" s="974"/>
      <c r="AKP100" s="974"/>
      <c r="AKQ100" s="974"/>
      <c r="AKR100" s="974"/>
      <c r="AKS100" s="974"/>
      <c r="AKT100" s="974"/>
      <c r="AKU100" s="974"/>
      <c r="AKV100" s="974"/>
      <c r="AKW100" s="974"/>
      <c r="AKX100" s="974"/>
      <c r="AKY100" s="974"/>
      <c r="AKZ100" s="974"/>
      <c r="ALA100" s="974"/>
      <c r="ALB100" s="974"/>
      <c r="ALC100" s="974"/>
      <c r="ALD100" s="974"/>
      <c r="ALE100" s="974"/>
      <c r="ALF100" s="974"/>
      <c r="ALG100" s="974"/>
      <c r="ALH100" s="974"/>
      <c r="ALI100" s="974"/>
      <c r="ALJ100" s="974"/>
      <c r="ALK100" s="974"/>
      <c r="ALL100" s="974"/>
      <c r="ALM100" s="974"/>
      <c r="ALN100" s="974"/>
      <c r="ALO100" s="974"/>
      <c r="ALP100" s="974"/>
      <c r="ALQ100" s="974"/>
      <c r="ALR100" s="974"/>
      <c r="ALS100" s="974"/>
      <c r="ALT100" s="974"/>
      <c r="ALU100" s="974"/>
      <c r="ALV100" s="974"/>
      <c r="ALW100" s="974"/>
      <c r="ALX100" s="974"/>
      <c r="ALY100" s="974"/>
      <c r="ALZ100" s="974"/>
      <c r="AMA100" s="974"/>
      <c r="AMB100" s="974"/>
      <c r="AMC100" s="974"/>
      <c r="AMD100" s="974"/>
      <c r="AME100" s="974"/>
      <c r="AMF100" s="974"/>
      <c r="AMG100" s="974"/>
      <c r="AMH100" s="974"/>
      <c r="AMI100" s="974"/>
      <c r="AMJ100" s="974"/>
      <c r="AMK100" s="974"/>
      <c r="AML100" s="974"/>
      <c r="AMM100" s="974"/>
      <c r="AMN100" s="974"/>
      <c r="AMO100" s="974"/>
      <c r="AMP100" s="974"/>
      <c r="AMQ100" s="974"/>
      <c r="AMR100" s="974"/>
      <c r="AMS100" s="974"/>
      <c r="AMT100" s="974"/>
      <c r="AMU100" s="974"/>
      <c r="AMV100" s="974"/>
      <c r="AMW100" s="974"/>
      <c r="AMX100" s="974"/>
      <c r="AMY100" s="974"/>
      <c r="AMZ100" s="974"/>
      <c r="ANA100" s="974"/>
      <c r="ANB100" s="974"/>
      <c r="ANC100" s="974"/>
      <c r="AND100" s="974"/>
      <c r="ANE100" s="974"/>
      <c r="ANF100" s="974"/>
      <c r="ANG100" s="974"/>
      <c r="ANH100" s="974"/>
      <c r="ANI100" s="974"/>
      <c r="ANJ100" s="974"/>
      <c r="ANK100" s="974"/>
      <c r="ANL100" s="974"/>
      <c r="ANM100" s="974"/>
      <c r="ANN100" s="974"/>
      <c r="ANO100" s="974"/>
      <c r="ANP100" s="974"/>
      <c r="ANQ100" s="974"/>
      <c r="ANR100" s="974"/>
      <c r="ANS100" s="974"/>
      <c r="ANT100" s="974"/>
      <c r="ANU100" s="974"/>
      <c r="ANV100" s="974"/>
      <c r="ANW100" s="974"/>
      <c r="ANX100" s="974"/>
      <c r="ANY100" s="974"/>
      <c r="ANZ100" s="974"/>
      <c r="AOA100" s="974"/>
      <c r="AOB100" s="974"/>
      <c r="AOC100" s="974"/>
      <c r="AOD100" s="974"/>
      <c r="AOE100" s="974"/>
      <c r="AOF100" s="974"/>
      <c r="AOG100" s="974"/>
      <c r="AOH100" s="974"/>
      <c r="AOI100" s="974"/>
      <c r="AOJ100" s="974"/>
      <c r="AOK100" s="974"/>
      <c r="AOL100" s="974"/>
      <c r="AOM100" s="974"/>
      <c r="AON100" s="974"/>
      <c r="AOO100" s="974"/>
      <c r="AOP100" s="974"/>
      <c r="AOQ100" s="974"/>
      <c r="AOR100" s="974"/>
      <c r="AOS100" s="974"/>
      <c r="AOT100" s="974"/>
      <c r="AOU100" s="974"/>
      <c r="AOV100" s="974"/>
      <c r="AOW100" s="974"/>
      <c r="AOX100" s="974"/>
      <c r="AOY100" s="974"/>
      <c r="AOZ100" s="974"/>
      <c r="APA100" s="974"/>
      <c r="APB100" s="974"/>
      <c r="APC100" s="974"/>
      <c r="APD100" s="974"/>
      <c r="APE100" s="974"/>
      <c r="APF100" s="974"/>
      <c r="APG100" s="974"/>
      <c r="APH100" s="974"/>
      <c r="API100" s="974"/>
      <c r="APJ100" s="974"/>
      <c r="APK100" s="974"/>
      <c r="APL100" s="974"/>
      <c r="APM100" s="974"/>
      <c r="APN100" s="974"/>
      <c r="APO100" s="974"/>
      <c r="APP100" s="974"/>
      <c r="APQ100" s="974"/>
      <c r="APR100" s="974"/>
      <c r="APS100" s="974"/>
      <c r="APT100" s="974"/>
      <c r="APU100" s="974"/>
      <c r="APV100" s="974"/>
      <c r="APW100" s="974"/>
      <c r="APX100" s="974"/>
      <c r="APY100" s="974"/>
      <c r="APZ100" s="974"/>
      <c r="AQA100" s="974"/>
      <c r="AQB100" s="974"/>
      <c r="AQC100" s="974"/>
      <c r="AQD100" s="974"/>
      <c r="AQE100" s="974"/>
      <c r="AQF100" s="974"/>
      <c r="AQG100" s="974"/>
      <c r="AQH100" s="974"/>
      <c r="AQI100" s="974"/>
      <c r="AQJ100" s="974"/>
      <c r="AQK100" s="974"/>
      <c r="AQL100" s="974"/>
      <c r="AQM100" s="974"/>
      <c r="AQN100" s="974"/>
      <c r="AQO100" s="974"/>
      <c r="AQP100" s="974"/>
      <c r="AQQ100" s="974"/>
      <c r="AQR100" s="974"/>
      <c r="AQS100" s="974"/>
      <c r="AQT100" s="974"/>
      <c r="AQU100" s="974"/>
      <c r="AQV100" s="974"/>
      <c r="AQW100" s="974"/>
      <c r="AQX100" s="974"/>
      <c r="AQY100" s="974"/>
      <c r="AQZ100" s="974"/>
      <c r="ARA100" s="974"/>
      <c r="ARB100" s="974"/>
      <c r="ARC100" s="974"/>
      <c r="ARD100" s="974"/>
      <c r="ARE100" s="974"/>
      <c r="ARF100" s="974"/>
      <c r="ARG100" s="974"/>
      <c r="ARH100" s="974"/>
      <c r="ARI100" s="974"/>
      <c r="ARJ100" s="974"/>
      <c r="ARK100" s="974"/>
      <c r="ARL100" s="974"/>
      <c r="ARM100" s="974"/>
      <c r="ARN100" s="974"/>
      <c r="ARO100" s="974"/>
      <c r="ARP100" s="974"/>
      <c r="ARQ100" s="974"/>
      <c r="ARR100" s="974"/>
      <c r="ARS100" s="974"/>
      <c r="ART100" s="974"/>
      <c r="ARU100" s="974"/>
      <c r="ARV100" s="974"/>
      <c r="ARW100" s="974"/>
      <c r="ARX100" s="974"/>
      <c r="ARY100" s="974"/>
      <c r="ARZ100" s="974"/>
      <c r="ASA100" s="974"/>
      <c r="ASB100" s="974"/>
      <c r="ASC100" s="974"/>
      <c r="ASD100" s="974"/>
      <c r="ASE100" s="974"/>
      <c r="ASF100" s="974"/>
      <c r="ASG100" s="974"/>
      <c r="ASH100" s="974"/>
      <c r="ASI100" s="974"/>
      <c r="ASJ100" s="974"/>
      <c r="ASK100" s="974"/>
      <c r="ASL100" s="974"/>
      <c r="ASM100" s="974"/>
      <c r="ASN100" s="974"/>
      <c r="ASO100" s="974"/>
      <c r="ASP100" s="974"/>
      <c r="ASQ100" s="974"/>
      <c r="ASR100" s="974"/>
      <c r="ASS100" s="974"/>
      <c r="AST100" s="974"/>
      <c r="ASU100" s="974"/>
      <c r="ASV100" s="974"/>
      <c r="ASW100" s="974"/>
      <c r="ASX100" s="974"/>
      <c r="ASY100" s="974"/>
      <c r="ASZ100" s="974"/>
      <c r="ATA100" s="974"/>
      <c r="ATB100" s="974"/>
      <c r="ATC100" s="974"/>
      <c r="ATD100" s="974"/>
      <c r="ATE100" s="974"/>
      <c r="ATF100" s="974"/>
      <c r="ATG100" s="974"/>
      <c r="ATH100" s="974"/>
      <c r="ATI100" s="974"/>
      <c r="ATJ100" s="974"/>
      <c r="ATK100" s="974"/>
      <c r="ATL100" s="974"/>
      <c r="ATM100" s="974"/>
      <c r="ATN100" s="974"/>
      <c r="ATO100" s="974"/>
      <c r="ATP100" s="974"/>
      <c r="ATQ100" s="974"/>
      <c r="ATR100" s="974"/>
      <c r="ATS100" s="974"/>
      <c r="ATT100" s="974"/>
      <c r="ATU100" s="974"/>
      <c r="ATV100" s="974"/>
      <c r="ATW100" s="974"/>
      <c r="ATX100" s="974"/>
      <c r="ATY100" s="974"/>
      <c r="ATZ100" s="974"/>
      <c r="AUA100" s="974"/>
      <c r="AUB100" s="974"/>
      <c r="AUC100" s="974"/>
      <c r="AUD100" s="974"/>
      <c r="AUE100" s="974"/>
      <c r="AUF100" s="974"/>
      <c r="AUG100" s="974"/>
      <c r="AUH100" s="974"/>
      <c r="AUI100" s="974"/>
      <c r="AUJ100" s="974"/>
      <c r="AUK100" s="974"/>
      <c r="AUL100" s="974"/>
      <c r="AUM100" s="974"/>
      <c r="AUN100" s="974"/>
      <c r="AUO100" s="974"/>
      <c r="AUP100" s="974"/>
      <c r="AUQ100" s="974"/>
      <c r="AUR100" s="974"/>
      <c r="AUS100" s="974"/>
      <c r="AUT100" s="974"/>
      <c r="AUU100" s="974"/>
      <c r="AUV100" s="974"/>
      <c r="AUW100" s="974"/>
      <c r="AUX100" s="974"/>
      <c r="AUY100" s="974"/>
      <c r="AUZ100" s="974"/>
      <c r="AVA100" s="974"/>
      <c r="AVB100" s="974"/>
      <c r="AVC100" s="974"/>
      <c r="AVD100" s="974"/>
      <c r="AVE100" s="974"/>
      <c r="AVF100" s="974"/>
      <c r="AVG100" s="974"/>
      <c r="AVH100" s="974"/>
      <c r="AVI100" s="974"/>
      <c r="AVJ100" s="974"/>
      <c r="AVK100" s="974"/>
      <c r="AVL100" s="974"/>
      <c r="AVM100" s="974"/>
      <c r="AVN100" s="974"/>
      <c r="AVO100" s="974"/>
      <c r="AVP100" s="974"/>
      <c r="AVQ100" s="974"/>
      <c r="AVR100" s="974"/>
      <c r="AVS100" s="974"/>
      <c r="AVT100" s="974"/>
      <c r="AVU100" s="974"/>
      <c r="AVV100" s="974"/>
      <c r="AVW100" s="974"/>
      <c r="AVX100" s="974"/>
      <c r="AVY100" s="974"/>
      <c r="AVZ100" s="974"/>
      <c r="AWA100" s="974"/>
      <c r="AWB100" s="974"/>
      <c r="AWC100" s="974"/>
      <c r="AWD100" s="974"/>
      <c r="AWE100" s="974"/>
      <c r="AWF100" s="974"/>
      <c r="AWG100" s="974"/>
      <c r="AWH100" s="974"/>
      <c r="AWI100" s="974"/>
      <c r="AWJ100" s="974"/>
      <c r="AWK100" s="974"/>
      <c r="AWL100" s="974"/>
      <c r="AWM100" s="974"/>
      <c r="AWN100" s="974"/>
      <c r="AWO100" s="974"/>
      <c r="AWP100" s="974"/>
      <c r="AWQ100" s="974"/>
      <c r="AWR100" s="974"/>
      <c r="AWS100" s="974"/>
      <c r="AWT100" s="974"/>
      <c r="AWU100" s="974"/>
      <c r="AWV100" s="974"/>
      <c r="AWW100" s="974"/>
      <c r="AWX100" s="974"/>
      <c r="AWY100" s="974"/>
      <c r="AWZ100" s="974"/>
      <c r="AXA100" s="974"/>
      <c r="AXB100" s="974"/>
      <c r="AXC100" s="974"/>
      <c r="AXD100" s="974"/>
      <c r="AXE100" s="974"/>
      <c r="AXF100" s="974"/>
      <c r="AXG100" s="974"/>
      <c r="AXH100" s="974"/>
      <c r="AXI100" s="974"/>
      <c r="AXJ100" s="974"/>
      <c r="AXK100" s="974"/>
      <c r="AXL100" s="974"/>
      <c r="AXM100" s="974"/>
      <c r="AXN100" s="974"/>
      <c r="AXO100" s="974"/>
      <c r="AXP100" s="974"/>
      <c r="AXQ100" s="974"/>
      <c r="AXR100" s="974"/>
      <c r="AXS100" s="974"/>
      <c r="AXT100" s="974"/>
      <c r="AXU100" s="974"/>
      <c r="AXV100" s="974"/>
      <c r="AXW100" s="974"/>
      <c r="AXX100" s="974"/>
      <c r="AXY100" s="974"/>
      <c r="AXZ100" s="974"/>
      <c r="AYA100" s="974"/>
      <c r="AYB100" s="974"/>
      <c r="AYC100" s="974"/>
      <c r="AYD100" s="974"/>
      <c r="AYE100" s="974"/>
      <c r="AYF100" s="974"/>
      <c r="AYG100" s="974"/>
      <c r="AYH100" s="974"/>
      <c r="AYI100" s="974"/>
      <c r="AYJ100" s="974"/>
      <c r="AYK100" s="974"/>
      <c r="AYL100" s="974"/>
      <c r="AYM100" s="974"/>
      <c r="AYN100" s="974"/>
      <c r="AYO100" s="974"/>
      <c r="AYP100" s="974"/>
      <c r="AYQ100" s="974"/>
      <c r="AYR100" s="974"/>
      <c r="AYS100" s="974"/>
      <c r="AYT100" s="974"/>
      <c r="AYU100" s="974"/>
      <c r="AYV100" s="974"/>
      <c r="AYW100" s="974"/>
      <c r="AYX100" s="974"/>
      <c r="AYY100" s="974"/>
      <c r="AYZ100" s="974"/>
      <c r="AZA100" s="974"/>
      <c r="AZB100" s="974"/>
      <c r="AZC100" s="974"/>
      <c r="AZD100" s="974"/>
      <c r="AZE100" s="974"/>
      <c r="AZF100" s="974"/>
      <c r="AZG100" s="974"/>
      <c r="AZH100" s="974"/>
      <c r="AZI100" s="974"/>
      <c r="AZJ100" s="974"/>
      <c r="AZK100" s="974"/>
      <c r="AZL100" s="974"/>
      <c r="AZM100" s="974"/>
      <c r="AZN100" s="974"/>
      <c r="AZO100" s="974"/>
      <c r="AZP100" s="974"/>
      <c r="AZQ100" s="974"/>
      <c r="AZR100" s="974"/>
      <c r="AZS100" s="974"/>
      <c r="AZT100" s="974"/>
      <c r="AZU100" s="974"/>
      <c r="AZV100" s="974"/>
      <c r="AZW100" s="974"/>
      <c r="AZX100" s="974"/>
      <c r="AZY100" s="974"/>
      <c r="AZZ100" s="974"/>
      <c r="BAA100" s="974"/>
      <c r="BAB100" s="974"/>
      <c r="BAC100" s="974"/>
      <c r="BAD100" s="974"/>
      <c r="BAE100" s="974"/>
      <c r="BAF100" s="974"/>
      <c r="BAG100" s="974"/>
      <c r="BAH100" s="974"/>
      <c r="BAI100" s="974"/>
      <c r="BAJ100" s="974"/>
      <c r="BAK100" s="974"/>
      <c r="BAL100" s="974"/>
      <c r="BAM100" s="974"/>
      <c r="BAN100" s="974"/>
      <c r="BAO100" s="974"/>
      <c r="BAP100" s="974"/>
      <c r="BAQ100" s="974"/>
      <c r="BAR100" s="974"/>
      <c r="BAS100" s="974"/>
      <c r="BAT100" s="974"/>
      <c r="BAU100" s="974"/>
      <c r="BAV100" s="974"/>
      <c r="BAW100" s="974"/>
      <c r="BAX100" s="974"/>
      <c r="BAY100" s="974"/>
      <c r="BAZ100" s="974"/>
      <c r="BBA100" s="974"/>
      <c r="BBB100" s="974"/>
      <c r="BBC100" s="974"/>
      <c r="BBD100" s="974"/>
      <c r="BBE100" s="974"/>
      <c r="BBF100" s="974"/>
      <c r="BBG100" s="974"/>
      <c r="BBH100" s="974"/>
      <c r="BBI100" s="974"/>
      <c r="BBJ100" s="974"/>
      <c r="BBK100" s="974"/>
      <c r="BBL100" s="974"/>
      <c r="BBM100" s="974"/>
      <c r="BBN100" s="974"/>
      <c r="BBO100" s="974"/>
      <c r="BBP100" s="974"/>
      <c r="BBQ100" s="974"/>
      <c r="BBR100" s="974"/>
      <c r="BBS100" s="974"/>
      <c r="BBT100" s="974"/>
      <c r="BBU100" s="974"/>
      <c r="BBV100" s="974"/>
      <c r="BBW100" s="974"/>
      <c r="BBX100" s="974"/>
      <c r="BBY100" s="974"/>
      <c r="BBZ100" s="974"/>
      <c r="BCA100" s="974"/>
      <c r="BCB100" s="974"/>
      <c r="BCC100" s="974"/>
      <c r="BCD100" s="974"/>
      <c r="BCE100" s="974"/>
      <c r="BCF100" s="974"/>
      <c r="BCG100" s="974"/>
      <c r="BCH100" s="974"/>
      <c r="BCI100" s="974"/>
      <c r="BCJ100" s="974"/>
      <c r="BCK100" s="974"/>
      <c r="BCL100" s="974"/>
      <c r="BCM100" s="974"/>
      <c r="BCN100" s="974"/>
      <c r="BCO100" s="974"/>
      <c r="BCP100" s="974"/>
      <c r="BCQ100" s="974"/>
      <c r="BCR100" s="974"/>
      <c r="BCS100" s="974"/>
      <c r="BCT100" s="974"/>
      <c r="BCU100" s="974"/>
      <c r="BCV100" s="974"/>
      <c r="BCW100" s="974"/>
      <c r="BCX100" s="974"/>
      <c r="BCY100" s="974"/>
      <c r="BCZ100" s="974"/>
      <c r="BDA100" s="974"/>
      <c r="BDB100" s="974"/>
      <c r="BDC100" s="974"/>
      <c r="BDD100" s="974"/>
      <c r="BDE100" s="974"/>
      <c r="BDF100" s="974"/>
      <c r="BDG100" s="974"/>
      <c r="BDH100" s="974"/>
      <c r="BDI100" s="974"/>
      <c r="BDJ100" s="974"/>
      <c r="BDK100" s="974"/>
      <c r="BDL100" s="974"/>
      <c r="BDM100" s="974"/>
      <c r="BDN100" s="974"/>
      <c r="BDO100" s="974"/>
      <c r="BDP100" s="974"/>
      <c r="BDQ100" s="974"/>
      <c r="BDR100" s="974"/>
      <c r="BDS100" s="974"/>
      <c r="BDT100" s="974"/>
      <c r="BDU100" s="974"/>
      <c r="BDV100" s="974"/>
      <c r="BDW100" s="974"/>
      <c r="BDX100" s="974"/>
      <c r="BDY100" s="974"/>
      <c r="BDZ100" s="974"/>
      <c r="BEA100" s="974"/>
      <c r="BEB100" s="974"/>
      <c r="BEC100" s="974"/>
      <c r="BED100" s="974"/>
      <c r="BEE100" s="974"/>
      <c r="BEF100" s="974"/>
      <c r="BEG100" s="974"/>
      <c r="BEH100" s="974"/>
      <c r="BEI100" s="974"/>
      <c r="BEJ100" s="974"/>
      <c r="BEK100" s="974"/>
      <c r="BEL100" s="974"/>
      <c r="BEM100" s="974"/>
      <c r="BEN100" s="974"/>
      <c r="BEO100" s="974"/>
      <c r="BEP100" s="974"/>
      <c r="BEQ100" s="974"/>
      <c r="BER100" s="974"/>
      <c r="BES100" s="974"/>
      <c r="BET100" s="974"/>
      <c r="BEU100" s="974"/>
      <c r="BEV100" s="974"/>
      <c r="BEW100" s="974"/>
      <c r="BEX100" s="974"/>
      <c r="BEY100" s="974"/>
      <c r="BEZ100" s="974"/>
      <c r="BFA100" s="974"/>
      <c r="BFB100" s="974"/>
      <c r="BFC100" s="974"/>
      <c r="BFD100" s="974"/>
      <c r="BFE100" s="974"/>
      <c r="BFF100" s="974"/>
      <c r="BFG100" s="974"/>
      <c r="BFH100" s="974"/>
      <c r="BFI100" s="974"/>
      <c r="BFJ100" s="974"/>
      <c r="BFK100" s="974"/>
      <c r="BFL100" s="974"/>
      <c r="BFM100" s="974"/>
      <c r="BFN100" s="974"/>
      <c r="BFO100" s="974"/>
      <c r="BFP100" s="974"/>
      <c r="BFQ100" s="974"/>
      <c r="BFR100" s="974"/>
      <c r="BFS100" s="974"/>
      <c r="BFT100" s="974"/>
      <c r="BFU100" s="974"/>
      <c r="BFV100" s="974"/>
      <c r="BFW100" s="974"/>
      <c r="BFX100" s="974"/>
      <c r="BFY100" s="974"/>
      <c r="BFZ100" s="974"/>
      <c r="BGA100" s="974"/>
      <c r="BGB100" s="974"/>
      <c r="BGC100" s="974"/>
      <c r="BGD100" s="974"/>
      <c r="BGE100" s="974"/>
      <c r="BGF100" s="974"/>
      <c r="BGG100" s="974"/>
      <c r="BGH100" s="974"/>
      <c r="BGI100" s="974"/>
      <c r="BGJ100" s="974"/>
      <c r="BGK100" s="974"/>
      <c r="BGL100" s="974"/>
      <c r="BGM100" s="974"/>
      <c r="BGN100" s="974"/>
      <c r="BGO100" s="974"/>
      <c r="BGP100" s="974"/>
      <c r="BGQ100" s="974"/>
      <c r="BGR100" s="974"/>
      <c r="BGS100" s="974"/>
      <c r="BGT100" s="974"/>
      <c r="BGU100" s="974"/>
      <c r="BGV100" s="974"/>
      <c r="BGW100" s="974"/>
      <c r="BGX100" s="974"/>
      <c r="BGY100" s="974"/>
      <c r="BGZ100" s="974"/>
      <c r="BHA100" s="974"/>
      <c r="BHB100" s="974"/>
      <c r="BHC100" s="974"/>
      <c r="BHD100" s="974"/>
      <c r="BHE100" s="974"/>
      <c r="BHF100" s="974"/>
      <c r="BHG100" s="974"/>
      <c r="BHH100" s="974"/>
      <c r="BHI100" s="974"/>
      <c r="BHJ100" s="974"/>
      <c r="BHK100" s="974"/>
      <c r="BHL100" s="974"/>
      <c r="BHM100" s="974"/>
      <c r="BHN100" s="974"/>
      <c r="BHO100" s="974"/>
      <c r="BHP100" s="974"/>
      <c r="BHQ100" s="974"/>
      <c r="BHR100" s="974"/>
      <c r="BHS100" s="974"/>
      <c r="BHT100" s="974"/>
      <c r="BHU100" s="974"/>
      <c r="BHV100" s="974"/>
      <c r="BHW100" s="974"/>
      <c r="BHX100" s="974"/>
      <c r="BHY100" s="974"/>
      <c r="BHZ100" s="974"/>
      <c r="BIA100" s="974"/>
      <c r="BIB100" s="974"/>
      <c r="BIC100" s="974"/>
      <c r="BID100" s="974"/>
      <c r="BIE100" s="974"/>
      <c r="BIF100" s="974"/>
      <c r="BIG100" s="974"/>
      <c r="BIH100" s="974"/>
      <c r="BII100" s="974"/>
      <c r="BIJ100" s="974"/>
      <c r="BIK100" s="974"/>
      <c r="BIL100" s="974"/>
      <c r="BIM100" s="974"/>
      <c r="BIN100" s="974"/>
      <c r="BIO100" s="974"/>
      <c r="BIP100" s="974"/>
      <c r="BIQ100" s="974"/>
      <c r="BIR100" s="974"/>
      <c r="BIS100" s="974"/>
      <c r="BIT100" s="974"/>
      <c r="BIU100" s="974"/>
      <c r="BIV100" s="974"/>
      <c r="BIW100" s="974"/>
      <c r="BIX100" s="974"/>
      <c r="BIY100" s="974"/>
      <c r="BIZ100" s="974"/>
      <c r="BJA100" s="974"/>
      <c r="BJB100" s="974"/>
      <c r="BJC100" s="974"/>
      <c r="BJD100" s="974"/>
      <c r="BJE100" s="974"/>
      <c r="BJF100" s="974"/>
      <c r="BJG100" s="974"/>
      <c r="BJH100" s="974"/>
      <c r="BJI100" s="974"/>
      <c r="BJJ100" s="974"/>
      <c r="BJK100" s="974"/>
      <c r="BJL100" s="974"/>
      <c r="BJM100" s="974"/>
      <c r="BJN100" s="974"/>
      <c r="BJO100" s="974"/>
      <c r="BJP100" s="974"/>
      <c r="BJQ100" s="974"/>
      <c r="BJR100" s="974"/>
      <c r="BJS100" s="974"/>
      <c r="BJT100" s="974"/>
      <c r="BJU100" s="974"/>
      <c r="BJV100" s="974"/>
      <c r="BJW100" s="974"/>
      <c r="BJX100" s="974"/>
      <c r="BJY100" s="974"/>
      <c r="BJZ100" s="974"/>
      <c r="BKA100" s="974"/>
      <c r="BKB100" s="974"/>
      <c r="BKC100" s="974"/>
      <c r="BKD100" s="974"/>
      <c r="BKE100" s="974"/>
      <c r="BKF100" s="974"/>
      <c r="BKG100" s="974"/>
      <c r="BKH100" s="974"/>
      <c r="BKI100" s="974"/>
      <c r="BKJ100" s="974"/>
      <c r="BKK100" s="974"/>
      <c r="BKL100" s="974"/>
      <c r="BKM100" s="974"/>
      <c r="BKN100" s="974"/>
      <c r="BKO100" s="974"/>
      <c r="BKP100" s="974"/>
      <c r="BKQ100" s="974"/>
      <c r="BKR100" s="974"/>
      <c r="BKS100" s="974"/>
      <c r="BKT100" s="974"/>
      <c r="BKU100" s="974"/>
      <c r="BKV100" s="974"/>
      <c r="BKW100" s="974"/>
      <c r="BKX100" s="974"/>
      <c r="BKY100" s="974"/>
      <c r="BKZ100" s="974"/>
      <c r="BLA100" s="974"/>
      <c r="BLB100" s="974"/>
      <c r="BLC100" s="974"/>
      <c r="BLD100" s="974"/>
      <c r="BLE100" s="974"/>
      <c r="BLF100" s="974"/>
      <c r="BLG100" s="974"/>
      <c r="BLH100" s="974"/>
      <c r="BLI100" s="974"/>
      <c r="BLJ100" s="974"/>
      <c r="BLK100" s="974"/>
      <c r="BLL100" s="974"/>
      <c r="BLM100" s="974"/>
      <c r="BLN100" s="974"/>
      <c r="BLO100" s="974"/>
      <c r="BLP100" s="974"/>
      <c r="BLQ100" s="974"/>
      <c r="BLR100" s="974"/>
      <c r="BLS100" s="974"/>
      <c r="BLT100" s="974"/>
      <c r="BLU100" s="974"/>
      <c r="BLV100" s="974"/>
      <c r="BLW100" s="974"/>
      <c r="BLX100" s="974"/>
      <c r="BLY100" s="974"/>
      <c r="BLZ100" s="974"/>
      <c r="BMA100" s="974"/>
      <c r="BMB100" s="974"/>
      <c r="BMC100" s="974"/>
      <c r="BMD100" s="974"/>
      <c r="BME100" s="974"/>
      <c r="BMF100" s="974"/>
      <c r="BMG100" s="974"/>
      <c r="BMH100" s="974"/>
      <c r="BMI100" s="974"/>
      <c r="BMJ100" s="974"/>
      <c r="BMK100" s="974"/>
      <c r="BML100" s="974"/>
      <c r="BMM100" s="974"/>
      <c r="BMN100" s="974"/>
      <c r="BMO100" s="974"/>
      <c r="BMP100" s="974"/>
      <c r="BMQ100" s="974"/>
      <c r="BMR100" s="974"/>
      <c r="BMS100" s="974"/>
      <c r="BMT100" s="974"/>
      <c r="BMU100" s="974"/>
      <c r="BMV100" s="974"/>
      <c r="BMW100" s="974"/>
      <c r="BMX100" s="974"/>
      <c r="BMY100" s="974"/>
      <c r="BMZ100" s="974"/>
      <c r="BNA100" s="974"/>
      <c r="BNB100" s="974"/>
      <c r="BNC100" s="974"/>
      <c r="BND100" s="974"/>
      <c r="BNE100" s="974"/>
      <c r="BNF100" s="974"/>
      <c r="BNG100" s="974"/>
      <c r="BNH100" s="974"/>
      <c r="BNI100" s="974"/>
      <c r="BNJ100" s="974"/>
      <c r="BNK100" s="974"/>
      <c r="BNL100" s="974"/>
      <c r="BNM100" s="974"/>
      <c r="BNN100" s="974"/>
      <c r="BNO100" s="974"/>
      <c r="BNP100" s="974"/>
      <c r="BNQ100" s="974"/>
      <c r="BNR100" s="974"/>
      <c r="BNS100" s="974"/>
      <c r="BNT100" s="974"/>
      <c r="BNU100" s="974"/>
      <c r="BNV100" s="974"/>
      <c r="BNW100" s="974"/>
      <c r="BNX100" s="974"/>
      <c r="BNY100" s="974"/>
      <c r="BNZ100" s="974"/>
      <c r="BOA100" s="974"/>
      <c r="BOB100" s="974"/>
      <c r="BOC100" s="974"/>
      <c r="BOD100" s="974"/>
      <c r="BOE100" s="974"/>
      <c r="BOF100" s="974"/>
      <c r="BOG100" s="974"/>
      <c r="BOH100" s="974"/>
      <c r="BOI100" s="974"/>
      <c r="BOJ100" s="974"/>
      <c r="BOK100" s="974"/>
      <c r="BOL100" s="974"/>
      <c r="BOM100" s="974"/>
      <c r="BON100" s="974"/>
      <c r="BOO100" s="974"/>
      <c r="BOP100" s="974"/>
      <c r="BOQ100" s="974"/>
      <c r="BOR100" s="974"/>
      <c r="BOS100" s="974"/>
      <c r="BOT100" s="974"/>
      <c r="BOU100" s="974"/>
      <c r="BOV100" s="974"/>
      <c r="BOW100" s="974"/>
      <c r="BOX100" s="974"/>
      <c r="BOY100" s="974"/>
      <c r="BOZ100" s="974"/>
      <c r="BPA100" s="974"/>
      <c r="BPB100" s="974"/>
      <c r="BPC100" s="974"/>
      <c r="BPD100" s="974"/>
      <c r="BPE100" s="974"/>
      <c r="BPF100" s="974"/>
      <c r="BPG100" s="974"/>
      <c r="BPH100" s="974"/>
      <c r="BPI100" s="974"/>
      <c r="BPJ100" s="974"/>
      <c r="BPK100" s="974"/>
      <c r="BPL100" s="974"/>
      <c r="BPM100" s="974"/>
      <c r="BPN100" s="974"/>
      <c r="BPO100" s="974"/>
      <c r="BPP100" s="974"/>
      <c r="BPQ100" s="974"/>
      <c r="BPR100" s="974"/>
      <c r="BPS100" s="974"/>
      <c r="BPT100" s="974"/>
      <c r="BPU100" s="974"/>
      <c r="BPV100" s="974"/>
      <c r="BPW100" s="974"/>
      <c r="BPX100" s="974"/>
      <c r="BPY100" s="974"/>
      <c r="BPZ100" s="974"/>
      <c r="BQA100" s="974"/>
      <c r="BQB100" s="974"/>
      <c r="BQC100" s="974"/>
      <c r="BQD100" s="974"/>
      <c r="BQE100" s="974"/>
      <c r="BQF100" s="974"/>
      <c r="BQG100" s="974"/>
      <c r="BQH100" s="974"/>
      <c r="BQI100" s="974"/>
      <c r="BQJ100" s="974"/>
      <c r="BQK100" s="974"/>
      <c r="BQL100" s="974"/>
      <c r="BQM100" s="974"/>
      <c r="BQN100" s="974"/>
      <c r="BQO100" s="974"/>
      <c r="BQP100" s="974"/>
      <c r="BQQ100" s="974"/>
      <c r="BQR100" s="974"/>
      <c r="BQS100" s="974"/>
      <c r="BQT100" s="974"/>
      <c r="BQU100" s="974"/>
      <c r="BQV100" s="974"/>
      <c r="BQW100" s="974"/>
      <c r="BQX100" s="974"/>
      <c r="BQY100" s="974"/>
      <c r="BQZ100" s="974"/>
      <c r="BRA100" s="974"/>
      <c r="BRB100" s="974"/>
      <c r="BRC100" s="974"/>
      <c r="BRD100" s="974"/>
      <c r="BRE100" s="974"/>
      <c r="BRF100" s="974"/>
      <c r="BRG100" s="974"/>
      <c r="BRH100" s="974"/>
      <c r="BRI100" s="974"/>
      <c r="BRJ100" s="974"/>
      <c r="BRK100" s="974"/>
      <c r="BRL100" s="974"/>
      <c r="BRM100" s="974"/>
      <c r="BRN100" s="974"/>
      <c r="BRO100" s="974"/>
      <c r="BRP100" s="974"/>
      <c r="BRQ100" s="974"/>
      <c r="BRR100" s="974"/>
      <c r="BRS100" s="974"/>
      <c r="BRT100" s="974"/>
      <c r="BRU100" s="974"/>
      <c r="BRV100" s="974"/>
      <c r="BRW100" s="974"/>
      <c r="BRX100" s="974"/>
      <c r="BRY100" s="974"/>
      <c r="BRZ100" s="974"/>
      <c r="BSA100" s="974"/>
      <c r="BSB100" s="974"/>
      <c r="BSC100" s="974"/>
      <c r="BSD100" s="974"/>
      <c r="BSE100" s="974"/>
      <c r="BSF100" s="974"/>
      <c r="BSG100" s="974"/>
      <c r="BSH100" s="974"/>
      <c r="BSI100" s="974"/>
      <c r="BSJ100" s="974"/>
      <c r="BSK100" s="974"/>
      <c r="BSL100" s="974"/>
      <c r="BSM100" s="974"/>
      <c r="BSN100" s="974"/>
      <c r="BSO100" s="974"/>
      <c r="BSP100" s="974"/>
      <c r="BSQ100" s="974"/>
      <c r="BSR100" s="974"/>
      <c r="BSS100" s="974"/>
      <c r="BST100" s="974"/>
      <c r="BSU100" s="974"/>
      <c r="BSV100" s="974"/>
      <c r="BSW100" s="974"/>
      <c r="BSX100" s="974"/>
      <c r="BSY100" s="974"/>
      <c r="BSZ100" s="974"/>
      <c r="BTA100" s="974"/>
      <c r="BTB100" s="974"/>
      <c r="BTC100" s="974"/>
      <c r="BTD100" s="974"/>
      <c r="BTE100" s="974"/>
      <c r="BTF100" s="974"/>
      <c r="BTG100" s="974"/>
      <c r="BTH100" s="974"/>
      <c r="BTI100" s="974"/>
      <c r="BTJ100" s="974"/>
      <c r="BTK100" s="974"/>
      <c r="BTL100" s="974"/>
      <c r="BTM100" s="974"/>
      <c r="BTN100" s="974"/>
      <c r="BTO100" s="974"/>
      <c r="BTP100" s="974"/>
      <c r="BTQ100" s="974"/>
      <c r="BTR100" s="974"/>
      <c r="BTS100" s="974"/>
      <c r="BTT100" s="974"/>
      <c r="BTU100" s="974"/>
      <c r="BTV100" s="974"/>
      <c r="BTW100" s="974"/>
      <c r="BTX100" s="974"/>
      <c r="BTY100" s="974"/>
      <c r="BTZ100" s="974"/>
      <c r="BUA100" s="974"/>
      <c r="BUB100" s="974"/>
      <c r="BUC100" s="974"/>
      <c r="BUD100" s="974"/>
      <c r="BUE100" s="974"/>
      <c r="BUF100" s="974"/>
      <c r="BUG100" s="974"/>
      <c r="BUH100" s="974"/>
      <c r="BUI100" s="974"/>
      <c r="BUJ100" s="974"/>
      <c r="BUK100" s="974"/>
      <c r="BUL100" s="974"/>
      <c r="BUM100" s="974"/>
      <c r="BUN100" s="974"/>
      <c r="BUO100" s="974"/>
      <c r="BUP100" s="974"/>
      <c r="BUQ100" s="974"/>
      <c r="BUR100" s="974"/>
      <c r="BUS100" s="974"/>
      <c r="BUT100" s="974"/>
      <c r="BUU100" s="974"/>
      <c r="BUV100" s="974"/>
      <c r="BUW100" s="974"/>
      <c r="BUX100" s="974"/>
      <c r="BUY100" s="974"/>
      <c r="BUZ100" s="974"/>
      <c r="BVA100" s="974"/>
      <c r="BVB100" s="974"/>
      <c r="BVC100" s="974"/>
      <c r="BVD100" s="974"/>
      <c r="BVE100" s="974"/>
      <c r="BVF100" s="974"/>
      <c r="BVG100" s="974"/>
      <c r="BVH100" s="974"/>
      <c r="BVI100" s="974"/>
      <c r="BVJ100" s="974"/>
      <c r="BVK100" s="974"/>
      <c r="BVL100" s="974"/>
      <c r="BVM100" s="974"/>
      <c r="BVN100" s="974"/>
      <c r="BVO100" s="974"/>
      <c r="BVP100" s="974"/>
      <c r="BVQ100" s="974"/>
      <c r="BVR100" s="974"/>
      <c r="BVS100" s="974"/>
      <c r="BVT100" s="974"/>
      <c r="BVU100" s="974"/>
      <c r="BVV100" s="974"/>
      <c r="BVW100" s="974"/>
      <c r="BVX100" s="974"/>
      <c r="BVY100" s="974"/>
      <c r="BVZ100" s="974"/>
      <c r="BWA100" s="974"/>
      <c r="BWB100" s="974"/>
      <c r="BWC100" s="974"/>
      <c r="BWD100" s="974"/>
      <c r="BWE100" s="974"/>
      <c r="BWF100" s="974"/>
      <c r="BWG100" s="974"/>
      <c r="BWH100" s="974"/>
      <c r="BWI100" s="974"/>
      <c r="BWJ100" s="974"/>
      <c r="BWK100" s="974"/>
      <c r="BWL100" s="974"/>
      <c r="BWM100" s="974"/>
      <c r="BWN100" s="974"/>
      <c r="BWO100" s="974"/>
      <c r="BWP100" s="974"/>
      <c r="BWQ100" s="974"/>
      <c r="BWR100" s="974"/>
      <c r="BWS100" s="974"/>
      <c r="BWT100" s="974"/>
      <c r="BWU100" s="974"/>
      <c r="BWV100" s="974"/>
      <c r="BWW100" s="974"/>
      <c r="BWX100" s="974"/>
      <c r="BWY100" s="974"/>
      <c r="BWZ100" s="974"/>
      <c r="BXA100" s="974"/>
      <c r="BXB100" s="974"/>
      <c r="BXC100" s="974"/>
      <c r="BXD100" s="974"/>
      <c r="BXE100" s="974"/>
      <c r="BXF100" s="974"/>
      <c r="BXG100" s="974"/>
      <c r="BXH100" s="974"/>
      <c r="BXI100" s="974"/>
      <c r="BXJ100" s="974"/>
      <c r="BXK100" s="974"/>
      <c r="BXL100" s="974"/>
      <c r="BXM100" s="974"/>
      <c r="BXN100" s="974"/>
      <c r="BXO100" s="974"/>
      <c r="BXP100" s="974"/>
      <c r="BXQ100" s="974"/>
      <c r="BXR100" s="974"/>
      <c r="BXS100" s="974"/>
      <c r="BXT100" s="974"/>
      <c r="BXU100" s="974"/>
      <c r="BXV100" s="974"/>
      <c r="BXW100" s="974"/>
      <c r="BXX100" s="974"/>
      <c r="BXY100" s="974"/>
      <c r="BXZ100" s="974"/>
      <c r="BYA100" s="974"/>
      <c r="BYB100" s="974"/>
      <c r="BYC100" s="974"/>
      <c r="BYD100" s="974"/>
      <c r="BYE100" s="974"/>
      <c r="BYF100" s="974"/>
      <c r="BYG100" s="974"/>
      <c r="BYH100" s="974"/>
      <c r="BYI100" s="974"/>
      <c r="BYJ100" s="974"/>
      <c r="BYK100" s="974"/>
      <c r="BYL100" s="974"/>
      <c r="BYM100" s="974"/>
      <c r="BYN100" s="974"/>
      <c r="BYO100" s="974"/>
      <c r="BYP100" s="974"/>
      <c r="BYQ100" s="974"/>
      <c r="BYR100" s="974"/>
      <c r="BYS100" s="974"/>
      <c r="BYT100" s="974"/>
      <c r="BYU100" s="974"/>
      <c r="BYV100" s="974"/>
      <c r="BYW100" s="974"/>
      <c r="BYX100" s="974"/>
      <c r="BYY100" s="974"/>
      <c r="BYZ100" s="974"/>
      <c r="BZA100" s="974"/>
      <c r="BZB100" s="974"/>
      <c r="BZC100" s="974"/>
      <c r="BZD100" s="974"/>
      <c r="BZE100" s="974"/>
      <c r="BZF100" s="974"/>
      <c r="BZG100" s="974"/>
      <c r="BZH100" s="974"/>
      <c r="BZI100" s="974"/>
      <c r="BZJ100" s="974"/>
      <c r="BZK100" s="974"/>
      <c r="BZL100" s="974"/>
      <c r="BZM100" s="974"/>
      <c r="BZN100" s="974"/>
      <c r="BZO100" s="974"/>
      <c r="BZP100" s="974"/>
      <c r="BZQ100" s="974"/>
      <c r="BZR100" s="974"/>
      <c r="BZS100" s="974"/>
      <c r="BZT100" s="974"/>
      <c r="BZU100" s="974"/>
      <c r="BZV100" s="974"/>
      <c r="BZW100" s="974"/>
      <c r="BZX100" s="974"/>
      <c r="BZY100" s="974"/>
      <c r="BZZ100" s="974"/>
      <c r="CAA100" s="974"/>
      <c r="CAB100" s="974"/>
      <c r="CAC100" s="974"/>
      <c r="CAD100" s="974"/>
      <c r="CAE100" s="974"/>
      <c r="CAF100" s="974"/>
      <c r="CAG100" s="974"/>
      <c r="CAH100" s="974"/>
      <c r="CAI100" s="974"/>
      <c r="CAJ100" s="974"/>
      <c r="CAK100" s="974"/>
      <c r="CAL100" s="974"/>
      <c r="CAM100" s="974"/>
      <c r="CAN100" s="974"/>
      <c r="CAO100" s="974"/>
      <c r="CAP100" s="974"/>
      <c r="CAQ100" s="974"/>
      <c r="CAR100" s="974"/>
      <c r="CAS100" s="974"/>
      <c r="CAT100" s="974"/>
      <c r="CAU100" s="974"/>
      <c r="CAV100" s="974"/>
      <c r="CAW100" s="974"/>
      <c r="CAX100" s="974"/>
      <c r="CAY100" s="974"/>
      <c r="CAZ100" s="974"/>
      <c r="CBA100" s="974"/>
      <c r="CBB100" s="974"/>
      <c r="CBC100" s="974"/>
      <c r="CBD100" s="974"/>
      <c r="CBE100" s="974"/>
      <c r="CBF100" s="974"/>
      <c r="CBG100" s="974"/>
      <c r="CBH100" s="974"/>
      <c r="CBI100" s="974"/>
      <c r="CBJ100" s="974"/>
      <c r="CBK100" s="974"/>
      <c r="CBL100" s="974"/>
      <c r="CBM100" s="974"/>
      <c r="CBN100" s="974"/>
      <c r="CBO100" s="974"/>
      <c r="CBP100" s="974"/>
      <c r="CBQ100" s="974"/>
      <c r="CBR100" s="974"/>
      <c r="CBS100" s="974"/>
      <c r="CBT100" s="974"/>
      <c r="CBU100" s="974"/>
      <c r="CBV100" s="974"/>
      <c r="CBW100" s="974"/>
      <c r="CBX100" s="974"/>
      <c r="CBY100" s="974"/>
      <c r="CBZ100" s="974"/>
      <c r="CCA100" s="974"/>
      <c r="CCB100" s="974"/>
      <c r="CCC100" s="974"/>
      <c r="CCD100" s="974"/>
      <c r="CCE100" s="974"/>
      <c r="CCF100" s="974"/>
      <c r="CCG100" s="974"/>
      <c r="CCH100" s="974"/>
      <c r="CCI100" s="974"/>
      <c r="CCJ100" s="974"/>
      <c r="CCK100" s="974"/>
      <c r="CCL100" s="974"/>
      <c r="CCM100" s="974"/>
      <c r="CCN100" s="974"/>
      <c r="CCO100" s="974"/>
      <c r="CCP100" s="974"/>
      <c r="CCQ100" s="974"/>
      <c r="CCR100" s="974"/>
      <c r="CCS100" s="974"/>
      <c r="CCT100" s="974"/>
      <c r="CCU100" s="974"/>
      <c r="CCV100" s="974"/>
      <c r="CCW100" s="974"/>
      <c r="CCX100" s="974"/>
      <c r="CCY100" s="974"/>
      <c r="CCZ100" s="974"/>
      <c r="CDA100" s="974"/>
      <c r="CDB100" s="974"/>
      <c r="CDC100" s="974"/>
      <c r="CDD100" s="974"/>
      <c r="CDE100" s="974"/>
      <c r="CDF100" s="974"/>
      <c r="CDG100" s="974"/>
      <c r="CDH100" s="974"/>
      <c r="CDI100" s="974"/>
      <c r="CDJ100" s="974"/>
      <c r="CDK100" s="974"/>
      <c r="CDL100" s="974"/>
      <c r="CDM100" s="974"/>
      <c r="CDN100" s="974"/>
      <c r="CDO100" s="974"/>
      <c r="CDP100" s="974"/>
      <c r="CDQ100" s="974"/>
      <c r="CDR100" s="974"/>
      <c r="CDS100" s="974"/>
      <c r="CDT100" s="974"/>
      <c r="CDU100" s="974"/>
      <c r="CDV100" s="974"/>
      <c r="CDW100" s="974"/>
      <c r="CDX100" s="974"/>
      <c r="CDY100" s="974"/>
      <c r="CDZ100" s="974"/>
      <c r="CEA100" s="974"/>
      <c r="CEB100" s="974"/>
      <c r="CEC100" s="974"/>
      <c r="CED100" s="974"/>
      <c r="CEE100" s="974"/>
      <c r="CEF100" s="974"/>
      <c r="CEG100" s="974"/>
      <c r="CEH100" s="974"/>
      <c r="CEI100" s="974"/>
      <c r="CEJ100" s="974"/>
      <c r="CEK100" s="974"/>
      <c r="CEL100" s="974"/>
      <c r="CEM100" s="974"/>
      <c r="CEN100" s="974"/>
      <c r="CEO100" s="974"/>
      <c r="CEP100" s="974"/>
      <c r="CEQ100" s="974"/>
      <c r="CER100" s="974"/>
      <c r="CES100" s="974"/>
      <c r="CET100" s="974"/>
      <c r="CEU100" s="974"/>
      <c r="CEV100" s="974"/>
      <c r="CEW100" s="974"/>
      <c r="CEX100" s="974"/>
      <c r="CEY100" s="974"/>
      <c r="CEZ100" s="974"/>
      <c r="CFA100" s="974"/>
      <c r="CFB100" s="974"/>
      <c r="CFC100" s="974"/>
      <c r="CFD100" s="974"/>
      <c r="CFE100" s="974"/>
      <c r="CFF100" s="974"/>
      <c r="CFG100" s="974"/>
      <c r="CFH100" s="974"/>
      <c r="CFI100" s="974"/>
      <c r="CFJ100" s="974"/>
      <c r="CFK100" s="974"/>
      <c r="CFL100" s="974"/>
      <c r="CFM100" s="974"/>
      <c r="CFN100" s="974"/>
      <c r="CFO100" s="974"/>
      <c r="CFP100" s="974"/>
      <c r="CFQ100" s="974"/>
      <c r="CFR100" s="974"/>
      <c r="CFS100" s="974"/>
      <c r="CFT100" s="974"/>
      <c r="CFU100" s="974"/>
      <c r="CFV100" s="974"/>
      <c r="CFW100" s="974"/>
      <c r="CFX100" s="974"/>
      <c r="CFY100" s="974"/>
      <c r="CFZ100" s="974"/>
      <c r="CGA100" s="974"/>
      <c r="CGB100" s="974"/>
      <c r="CGC100" s="974"/>
      <c r="CGD100" s="974"/>
      <c r="CGE100" s="974"/>
      <c r="CGF100" s="974"/>
      <c r="CGG100" s="974"/>
      <c r="CGH100" s="974"/>
      <c r="CGI100" s="974"/>
      <c r="CGJ100" s="974"/>
      <c r="CGK100" s="974"/>
      <c r="CGL100" s="974"/>
      <c r="CGM100" s="974"/>
      <c r="CGN100" s="974"/>
      <c r="CGO100" s="974"/>
      <c r="CGP100" s="974"/>
      <c r="CGQ100" s="974"/>
      <c r="CGR100" s="974"/>
      <c r="CGS100" s="974"/>
      <c r="CGT100" s="974"/>
      <c r="CGU100" s="974"/>
      <c r="CGV100" s="974"/>
      <c r="CGW100" s="974"/>
      <c r="CGX100" s="974"/>
      <c r="CGY100" s="974"/>
      <c r="CGZ100" s="974"/>
      <c r="CHA100" s="974"/>
      <c r="CHB100" s="974"/>
      <c r="CHC100" s="974"/>
      <c r="CHD100" s="974"/>
      <c r="CHE100" s="974"/>
      <c r="CHF100" s="974"/>
      <c r="CHG100" s="974"/>
      <c r="CHH100" s="974"/>
      <c r="CHI100" s="974"/>
      <c r="CHJ100" s="974"/>
      <c r="CHK100" s="974"/>
      <c r="CHL100" s="974"/>
      <c r="CHM100" s="974"/>
      <c r="CHN100" s="974"/>
      <c r="CHO100" s="974"/>
      <c r="CHP100" s="974"/>
      <c r="CHQ100" s="974"/>
      <c r="CHR100" s="974"/>
      <c r="CHS100" s="974"/>
      <c r="CHT100" s="974"/>
      <c r="CHU100" s="974"/>
      <c r="CHV100" s="974"/>
      <c r="CHW100" s="974"/>
      <c r="CHX100" s="974"/>
      <c r="CHY100" s="974"/>
      <c r="CHZ100" s="974"/>
      <c r="CIA100" s="974"/>
      <c r="CIB100" s="974"/>
      <c r="CIC100" s="974"/>
      <c r="CID100" s="974"/>
      <c r="CIE100" s="974"/>
      <c r="CIF100" s="974"/>
      <c r="CIG100" s="974"/>
      <c r="CIH100" s="974"/>
      <c r="CII100" s="974"/>
      <c r="CIJ100" s="974"/>
      <c r="CIK100" s="974"/>
      <c r="CIL100" s="974"/>
      <c r="CIM100" s="974"/>
      <c r="CIN100" s="974"/>
      <c r="CIO100" s="974"/>
      <c r="CIP100" s="974"/>
      <c r="CIQ100" s="974"/>
      <c r="CIR100" s="974"/>
      <c r="CIS100" s="974"/>
      <c r="CIT100" s="974"/>
      <c r="CIU100" s="974"/>
      <c r="CIV100" s="974"/>
      <c r="CIW100" s="974"/>
      <c r="CIX100" s="974"/>
      <c r="CIY100" s="974"/>
      <c r="CIZ100" s="974"/>
      <c r="CJA100" s="974"/>
      <c r="CJB100" s="974"/>
      <c r="CJC100" s="974"/>
      <c r="CJD100" s="974"/>
      <c r="CJE100" s="974"/>
      <c r="CJF100" s="974"/>
      <c r="CJG100" s="974"/>
      <c r="CJH100" s="974"/>
      <c r="CJI100" s="974"/>
      <c r="CJJ100" s="974"/>
      <c r="CJK100" s="974"/>
      <c r="CJL100" s="974"/>
      <c r="CJM100" s="974"/>
      <c r="CJN100" s="974"/>
      <c r="CJO100" s="974"/>
      <c r="CJP100" s="974"/>
      <c r="CJQ100" s="974"/>
      <c r="CJR100" s="974"/>
      <c r="CJS100" s="974"/>
      <c r="CJT100" s="974"/>
      <c r="CJU100" s="974"/>
      <c r="CJV100" s="974"/>
      <c r="CJW100" s="974"/>
      <c r="CJX100" s="974"/>
      <c r="CJY100" s="974"/>
      <c r="CJZ100" s="974"/>
      <c r="CKA100" s="974"/>
      <c r="CKB100" s="974"/>
      <c r="CKC100" s="974"/>
      <c r="CKD100" s="974"/>
      <c r="CKE100" s="974"/>
      <c r="CKF100" s="974"/>
      <c r="CKG100" s="974"/>
      <c r="CKH100" s="974"/>
      <c r="CKI100" s="974"/>
      <c r="CKJ100" s="974"/>
      <c r="CKK100" s="974"/>
      <c r="CKL100" s="974"/>
      <c r="CKM100" s="974"/>
      <c r="CKN100" s="974"/>
      <c r="CKO100" s="974"/>
      <c r="CKP100" s="974"/>
      <c r="CKQ100" s="974"/>
      <c r="CKR100" s="974"/>
      <c r="CKS100" s="974"/>
      <c r="CKT100" s="974"/>
      <c r="CKU100" s="974"/>
      <c r="CKV100" s="974"/>
      <c r="CKW100" s="974"/>
      <c r="CKX100" s="974"/>
      <c r="CKY100" s="974"/>
      <c r="CKZ100" s="974"/>
      <c r="CLA100" s="974"/>
      <c r="CLB100" s="974"/>
      <c r="CLC100" s="974"/>
      <c r="CLD100" s="974"/>
      <c r="CLE100" s="974"/>
      <c r="CLF100" s="974"/>
      <c r="CLG100" s="974"/>
      <c r="CLH100" s="974"/>
      <c r="CLI100" s="974"/>
      <c r="CLJ100" s="974"/>
      <c r="CLK100" s="974"/>
      <c r="CLL100" s="974"/>
      <c r="CLM100" s="974"/>
      <c r="CLN100" s="974"/>
      <c r="CLO100" s="974"/>
      <c r="CLP100" s="974"/>
      <c r="CLQ100" s="974"/>
      <c r="CLR100" s="974"/>
      <c r="CLS100" s="974"/>
      <c r="CLT100" s="974"/>
      <c r="CLU100" s="974"/>
      <c r="CLV100" s="974"/>
      <c r="CLW100" s="974"/>
      <c r="CLX100" s="974"/>
      <c r="CLY100" s="974"/>
      <c r="CLZ100" s="974"/>
      <c r="CMA100" s="974"/>
      <c r="CMB100" s="974"/>
      <c r="CMC100" s="974"/>
      <c r="CMD100" s="974"/>
      <c r="CME100" s="974"/>
      <c r="CMF100" s="974"/>
      <c r="CMG100" s="974"/>
      <c r="CMH100" s="974"/>
      <c r="CMI100" s="974"/>
      <c r="CMJ100" s="974"/>
      <c r="CMK100" s="974"/>
      <c r="CML100" s="974"/>
      <c r="CMM100" s="974"/>
      <c r="CMN100" s="974"/>
      <c r="CMO100" s="974"/>
      <c r="CMP100" s="974"/>
      <c r="CMQ100" s="974"/>
      <c r="CMR100" s="974"/>
      <c r="CMS100" s="974"/>
      <c r="CMT100" s="974"/>
      <c r="CMU100" s="974"/>
      <c r="CMV100" s="974"/>
      <c r="CMW100" s="974"/>
      <c r="CMX100" s="974"/>
      <c r="CMY100" s="974"/>
      <c r="CMZ100" s="974"/>
      <c r="CNA100" s="974"/>
      <c r="CNB100" s="974"/>
      <c r="CNC100" s="974"/>
      <c r="CND100" s="974"/>
      <c r="CNE100" s="974"/>
      <c r="CNF100" s="974"/>
      <c r="CNG100" s="974"/>
      <c r="CNH100" s="974"/>
      <c r="CNI100" s="974"/>
      <c r="CNJ100" s="974"/>
      <c r="CNK100" s="974"/>
      <c r="CNL100" s="974"/>
      <c r="CNM100" s="974"/>
      <c r="CNN100" s="974"/>
      <c r="CNO100" s="974"/>
      <c r="CNP100" s="974"/>
      <c r="CNQ100" s="974"/>
      <c r="CNR100" s="974"/>
      <c r="CNS100" s="974"/>
      <c r="CNT100" s="974"/>
      <c r="CNU100" s="974"/>
      <c r="CNV100" s="974"/>
      <c r="CNW100" s="974"/>
      <c r="CNX100" s="974"/>
      <c r="CNY100" s="974"/>
      <c r="CNZ100" s="974"/>
      <c r="COA100" s="974"/>
      <c r="COB100" s="974"/>
      <c r="COC100" s="974"/>
      <c r="COD100" s="974"/>
      <c r="COE100" s="974"/>
      <c r="COF100" s="974"/>
      <c r="COG100" s="974"/>
      <c r="COH100" s="974"/>
      <c r="COI100" s="974"/>
      <c r="COJ100" s="974"/>
      <c r="COK100" s="974"/>
      <c r="COL100" s="974"/>
      <c r="COM100" s="974"/>
      <c r="CON100" s="974"/>
      <c r="COO100" s="974"/>
      <c r="COP100" s="974"/>
      <c r="COQ100" s="974"/>
      <c r="COR100" s="974"/>
      <c r="COS100" s="974"/>
      <c r="COT100" s="974"/>
      <c r="COU100" s="974"/>
      <c r="COV100" s="974"/>
      <c r="COW100" s="974"/>
      <c r="COX100" s="974"/>
      <c r="COY100" s="974"/>
      <c r="COZ100" s="974"/>
      <c r="CPA100" s="974"/>
      <c r="CPB100" s="974"/>
      <c r="CPC100" s="974"/>
      <c r="CPD100" s="974"/>
      <c r="CPE100" s="974"/>
      <c r="CPF100" s="974"/>
      <c r="CPG100" s="974"/>
      <c r="CPH100" s="974"/>
      <c r="CPI100" s="974"/>
      <c r="CPJ100" s="974"/>
      <c r="CPK100" s="974"/>
      <c r="CPL100" s="974"/>
      <c r="CPM100" s="974"/>
      <c r="CPN100" s="974"/>
      <c r="CPO100" s="974"/>
      <c r="CPP100" s="974"/>
      <c r="CPQ100" s="974"/>
      <c r="CPR100" s="974"/>
      <c r="CPS100" s="974"/>
      <c r="CPT100" s="974"/>
      <c r="CPU100" s="974"/>
      <c r="CPV100" s="974"/>
      <c r="CPW100" s="974"/>
      <c r="CPX100" s="974"/>
      <c r="CPY100" s="974"/>
      <c r="CPZ100" s="974"/>
      <c r="CQA100" s="974"/>
      <c r="CQB100" s="974"/>
      <c r="CQC100" s="974"/>
      <c r="CQD100" s="974"/>
      <c r="CQE100" s="974"/>
      <c r="CQF100" s="974"/>
      <c r="CQG100" s="974"/>
      <c r="CQH100" s="974"/>
      <c r="CQI100" s="974"/>
      <c r="CQJ100" s="974"/>
      <c r="CQK100" s="974"/>
      <c r="CQL100" s="974"/>
      <c r="CQM100" s="974"/>
      <c r="CQN100" s="974"/>
      <c r="CQO100" s="974"/>
      <c r="CQP100" s="974"/>
      <c r="CQQ100" s="974"/>
      <c r="CQR100" s="974"/>
      <c r="CQS100" s="974"/>
      <c r="CQT100" s="974"/>
      <c r="CQU100" s="974"/>
      <c r="CQV100" s="974"/>
      <c r="CQW100" s="974"/>
      <c r="CQX100" s="974"/>
      <c r="CQY100" s="974"/>
      <c r="CQZ100" s="974"/>
      <c r="CRA100" s="974"/>
      <c r="CRB100" s="974"/>
      <c r="CRC100" s="974"/>
      <c r="CRD100" s="974"/>
      <c r="CRE100" s="974"/>
      <c r="CRF100" s="974"/>
      <c r="CRG100" s="974"/>
      <c r="CRH100" s="974"/>
      <c r="CRI100" s="974"/>
      <c r="CRJ100" s="974"/>
      <c r="CRK100" s="974"/>
      <c r="CRL100" s="974"/>
      <c r="CRM100" s="974"/>
      <c r="CRN100" s="974"/>
      <c r="CRO100" s="974"/>
      <c r="CRP100" s="974"/>
      <c r="CRQ100" s="974"/>
      <c r="CRR100" s="974"/>
      <c r="CRS100" s="974"/>
      <c r="CRT100" s="974"/>
      <c r="CRU100" s="974"/>
      <c r="CRV100" s="974"/>
      <c r="CRW100" s="974"/>
      <c r="CRX100" s="974"/>
      <c r="CRY100" s="974"/>
      <c r="CRZ100" s="974"/>
      <c r="CSA100" s="974"/>
      <c r="CSB100" s="974"/>
      <c r="CSC100" s="974"/>
      <c r="CSD100" s="974"/>
      <c r="CSE100" s="974"/>
      <c r="CSF100" s="974"/>
      <c r="CSG100" s="974"/>
      <c r="CSH100" s="974"/>
      <c r="CSI100" s="974"/>
      <c r="CSJ100" s="974"/>
      <c r="CSK100" s="974"/>
      <c r="CSL100" s="974"/>
      <c r="CSM100" s="974"/>
      <c r="CSN100" s="974"/>
      <c r="CSO100" s="974"/>
      <c r="CSP100" s="974"/>
      <c r="CSQ100" s="974"/>
      <c r="CSR100" s="974"/>
      <c r="CSS100" s="974"/>
      <c r="CST100" s="974"/>
      <c r="CSU100" s="974"/>
      <c r="CSV100" s="974"/>
      <c r="CSW100" s="974"/>
      <c r="CSX100" s="974"/>
      <c r="CSY100" s="974"/>
      <c r="CSZ100" s="974"/>
      <c r="CTA100" s="974"/>
      <c r="CTB100" s="974"/>
      <c r="CTC100" s="974"/>
      <c r="CTD100" s="974"/>
      <c r="CTE100" s="974"/>
      <c r="CTF100" s="974"/>
      <c r="CTG100" s="974"/>
      <c r="CTH100" s="974"/>
      <c r="CTI100" s="974"/>
      <c r="CTJ100" s="974"/>
      <c r="CTK100" s="974"/>
      <c r="CTL100" s="974"/>
      <c r="CTM100" s="974"/>
      <c r="CTN100" s="974"/>
      <c r="CTO100" s="974"/>
      <c r="CTP100" s="974"/>
      <c r="CTQ100" s="974"/>
      <c r="CTR100" s="974"/>
      <c r="CTS100" s="974"/>
      <c r="CTT100" s="974"/>
      <c r="CTU100" s="974"/>
      <c r="CTV100" s="974"/>
      <c r="CTW100" s="974"/>
      <c r="CTX100" s="974"/>
      <c r="CTY100" s="974"/>
      <c r="CTZ100" s="974"/>
      <c r="CUA100" s="974"/>
      <c r="CUB100" s="974"/>
      <c r="CUC100" s="974"/>
      <c r="CUD100" s="974"/>
      <c r="CUE100" s="974"/>
      <c r="CUF100" s="974"/>
      <c r="CUG100" s="974"/>
      <c r="CUH100" s="974"/>
      <c r="CUI100" s="974"/>
      <c r="CUJ100" s="974"/>
      <c r="CUK100" s="974"/>
      <c r="CUL100" s="974"/>
      <c r="CUM100" s="974"/>
      <c r="CUN100" s="974"/>
      <c r="CUO100" s="974"/>
      <c r="CUP100" s="974"/>
      <c r="CUQ100" s="974"/>
      <c r="CUR100" s="974"/>
      <c r="CUS100" s="974"/>
      <c r="CUT100" s="974"/>
      <c r="CUU100" s="974"/>
      <c r="CUV100" s="974"/>
      <c r="CUW100" s="974"/>
      <c r="CUX100" s="974"/>
      <c r="CUY100" s="974"/>
      <c r="CUZ100" s="974"/>
      <c r="CVA100" s="974"/>
      <c r="CVB100" s="974"/>
      <c r="CVC100" s="974"/>
      <c r="CVD100" s="974"/>
      <c r="CVE100" s="974"/>
      <c r="CVF100" s="974"/>
      <c r="CVG100" s="974"/>
      <c r="CVH100" s="974"/>
      <c r="CVI100" s="974"/>
      <c r="CVJ100" s="974"/>
      <c r="CVK100" s="974"/>
      <c r="CVL100" s="974"/>
      <c r="CVM100" s="974"/>
      <c r="CVN100" s="974"/>
      <c r="CVO100" s="974"/>
      <c r="CVP100" s="974"/>
      <c r="CVQ100" s="974"/>
      <c r="CVR100" s="974"/>
      <c r="CVS100" s="974"/>
      <c r="CVT100" s="974"/>
      <c r="CVU100" s="974"/>
      <c r="CVV100" s="974"/>
      <c r="CVW100" s="974"/>
      <c r="CVX100" s="974"/>
      <c r="CVY100" s="974"/>
      <c r="CVZ100" s="974"/>
      <c r="CWA100" s="974"/>
      <c r="CWB100" s="974"/>
      <c r="CWC100" s="974"/>
      <c r="CWD100" s="974"/>
      <c r="CWE100" s="974"/>
      <c r="CWF100" s="974"/>
      <c r="CWG100" s="974"/>
      <c r="CWH100" s="974"/>
      <c r="CWI100" s="974"/>
      <c r="CWJ100" s="974"/>
      <c r="CWK100" s="974"/>
      <c r="CWL100" s="974"/>
      <c r="CWM100" s="974"/>
      <c r="CWN100" s="974"/>
      <c r="CWO100" s="974"/>
      <c r="CWP100" s="974"/>
      <c r="CWQ100" s="974"/>
      <c r="CWR100" s="974"/>
      <c r="CWS100" s="974"/>
      <c r="CWT100" s="974"/>
      <c r="CWU100" s="974"/>
      <c r="CWV100" s="974"/>
      <c r="CWW100" s="974"/>
      <c r="CWX100" s="974"/>
      <c r="CWY100" s="974"/>
      <c r="CWZ100" s="974"/>
      <c r="CXA100" s="974"/>
      <c r="CXB100" s="974"/>
      <c r="CXC100" s="974"/>
      <c r="CXD100" s="974"/>
      <c r="CXE100" s="974"/>
      <c r="CXF100" s="974"/>
      <c r="CXG100" s="974"/>
      <c r="CXH100" s="974"/>
      <c r="CXI100" s="974"/>
      <c r="CXJ100" s="974"/>
      <c r="CXK100" s="974"/>
      <c r="CXL100" s="974"/>
      <c r="CXM100" s="974"/>
      <c r="CXN100" s="974"/>
      <c r="CXO100" s="974"/>
      <c r="CXP100" s="974"/>
      <c r="CXQ100" s="974"/>
      <c r="CXR100" s="974"/>
      <c r="CXS100" s="974"/>
      <c r="CXT100" s="974"/>
      <c r="CXU100" s="974"/>
      <c r="CXV100" s="974"/>
      <c r="CXW100" s="974"/>
      <c r="CXX100" s="974"/>
      <c r="CXY100" s="974"/>
      <c r="CXZ100" s="974"/>
      <c r="CYA100" s="974"/>
      <c r="CYB100" s="974"/>
      <c r="CYC100" s="974"/>
      <c r="CYD100" s="974"/>
      <c r="CYE100" s="974"/>
      <c r="CYF100" s="974"/>
      <c r="CYG100" s="974"/>
      <c r="CYH100" s="974"/>
      <c r="CYI100" s="974"/>
      <c r="CYJ100" s="974"/>
      <c r="CYK100" s="974"/>
      <c r="CYL100" s="974"/>
      <c r="CYM100" s="974"/>
      <c r="CYN100" s="974"/>
      <c r="CYO100" s="974"/>
      <c r="CYP100" s="974"/>
      <c r="CYQ100" s="974"/>
      <c r="CYR100" s="974"/>
      <c r="CYS100" s="974"/>
      <c r="CYT100" s="974"/>
      <c r="CYU100" s="974"/>
      <c r="CYV100" s="974"/>
      <c r="CYW100" s="974"/>
      <c r="CYX100" s="974"/>
      <c r="CYY100" s="974"/>
      <c r="CYZ100" s="974"/>
      <c r="CZA100" s="974"/>
      <c r="CZB100" s="974"/>
      <c r="CZC100" s="974"/>
      <c r="CZD100" s="974"/>
      <c r="CZE100" s="974"/>
      <c r="CZF100" s="974"/>
      <c r="CZG100" s="974"/>
      <c r="CZH100" s="974"/>
      <c r="CZI100" s="974"/>
      <c r="CZJ100" s="974"/>
      <c r="CZK100" s="974"/>
      <c r="CZL100" s="974"/>
      <c r="CZM100" s="974"/>
      <c r="CZN100" s="974"/>
      <c r="CZO100" s="974"/>
      <c r="CZP100" s="974"/>
      <c r="CZQ100" s="974"/>
      <c r="CZR100" s="974"/>
      <c r="CZS100" s="974"/>
      <c r="CZT100" s="974"/>
      <c r="CZU100" s="974"/>
      <c r="CZV100" s="974"/>
      <c r="CZW100" s="974"/>
      <c r="CZX100" s="974"/>
      <c r="CZY100" s="974"/>
      <c r="CZZ100" s="974"/>
      <c r="DAA100" s="974"/>
      <c r="DAB100" s="974"/>
      <c r="DAC100" s="974"/>
      <c r="DAD100" s="974"/>
      <c r="DAE100" s="974"/>
      <c r="DAF100" s="974"/>
      <c r="DAG100" s="974"/>
      <c r="DAH100" s="974"/>
      <c r="DAI100" s="974"/>
      <c r="DAJ100" s="974"/>
      <c r="DAK100" s="974"/>
      <c r="DAL100" s="974"/>
      <c r="DAM100" s="974"/>
      <c r="DAN100" s="974"/>
      <c r="DAO100" s="974"/>
      <c r="DAP100" s="974"/>
      <c r="DAQ100" s="974"/>
      <c r="DAR100" s="974"/>
      <c r="DAS100" s="974"/>
      <c r="DAT100" s="974"/>
      <c r="DAU100" s="974"/>
      <c r="DAV100" s="974"/>
      <c r="DAW100" s="974"/>
      <c r="DAX100" s="974"/>
      <c r="DAY100" s="974"/>
      <c r="DAZ100" s="974"/>
      <c r="DBA100" s="974"/>
      <c r="DBB100" s="974"/>
      <c r="DBC100" s="974"/>
      <c r="DBD100" s="974"/>
      <c r="DBE100" s="974"/>
      <c r="DBF100" s="974"/>
      <c r="DBG100" s="974"/>
      <c r="DBH100" s="974"/>
      <c r="DBI100" s="974"/>
      <c r="DBJ100" s="974"/>
      <c r="DBK100" s="974"/>
      <c r="DBL100" s="974"/>
      <c r="DBM100" s="974"/>
      <c r="DBN100" s="974"/>
      <c r="DBO100" s="974"/>
      <c r="DBP100" s="974"/>
      <c r="DBQ100" s="974"/>
      <c r="DBR100" s="974"/>
      <c r="DBS100" s="974"/>
      <c r="DBT100" s="974"/>
      <c r="DBU100" s="974"/>
      <c r="DBV100" s="974"/>
      <c r="DBW100" s="974"/>
      <c r="DBX100" s="974"/>
      <c r="DBY100" s="974"/>
      <c r="DBZ100" s="974"/>
      <c r="DCA100" s="974"/>
      <c r="DCB100" s="974"/>
      <c r="DCC100" s="974"/>
      <c r="DCD100" s="974"/>
      <c r="DCE100" s="974"/>
      <c r="DCF100" s="974"/>
      <c r="DCG100" s="974"/>
      <c r="DCH100" s="974"/>
      <c r="DCI100" s="974"/>
      <c r="DCJ100" s="974"/>
      <c r="DCK100" s="974"/>
      <c r="DCL100" s="974"/>
      <c r="DCM100" s="974"/>
      <c r="DCN100" s="974"/>
      <c r="DCO100" s="974"/>
      <c r="DCP100" s="974"/>
      <c r="DCQ100" s="974"/>
      <c r="DCR100" s="974"/>
      <c r="DCS100" s="974"/>
      <c r="DCT100" s="974"/>
      <c r="DCU100" s="974"/>
      <c r="DCV100" s="974"/>
      <c r="DCW100" s="974"/>
      <c r="DCX100" s="974"/>
      <c r="DCY100" s="974"/>
      <c r="DCZ100" s="974"/>
      <c r="DDA100" s="974"/>
      <c r="DDB100" s="974"/>
      <c r="DDC100" s="974"/>
      <c r="DDD100" s="974"/>
      <c r="DDE100" s="974"/>
      <c r="DDF100" s="974"/>
      <c r="DDG100" s="974"/>
      <c r="DDH100" s="974"/>
      <c r="DDI100" s="974"/>
      <c r="DDJ100" s="974"/>
      <c r="DDK100" s="974"/>
      <c r="DDL100" s="974"/>
      <c r="DDM100" s="974"/>
      <c r="DDN100" s="974"/>
      <c r="DDO100" s="974"/>
      <c r="DDP100" s="974"/>
      <c r="DDQ100" s="974"/>
      <c r="DDR100" s="974"/>
      <c r="DDS100" s="974"/>
      <c r="DDT100" s="974"/>
      <c r="DDU100" s="974"/>
      <c r="DDV100" s="974"/>
      <c r="DDW100" s="974"/>
      <c r="DDX100" s="974"/>
      <c r="DDY100" s="974"/>
      <c r="DDZ100" s="974"/>
      <c r="DEA100" s="974"/>
      <c r="DEB100" s="974"/>
      <c r="DEC100" s="974"/>
      <c r="DED100" s="974"/>
      <c r="DEE100" s="974"/>
      <c r="DEF100" s="974"/>
      <c r="DEG100" s="974"/>
      <c r="DEH100" s="974"/>
      <c r="DEI100" s="974"/>
      <c r="DEJ100" s="974"/>
      <c r="DEK100" s="974"/>
      <c r="DEL100" s="974"/>
      <c r="DEM100" s="974"/>
      <c r="DEN100" s="974"/>
      <c r="DEO100" s="974"/>
      <c r="DEP100" s="974"/>
      <c r="DEQ100" s="974"/>
      <c r="DER100" s="974"/>
      <c r="DES100" s="974"/>
      <c r="DET100" s="974"/>
      <c r="DEU100" s="974"/>
      <c r="DEV100" s="974"/>
      <c r="DEW100" s="974"/>
      <c r="DEX100" s="974"/>
      <c r="DEY100" s="974"/>
      <c r="DEZ100" s="974"/>
      <c r="DFA100" s="974"/>
      <c r="DFB100" s="974"/>
      <c r="DFC100" s="974"/>
      <c r="DFD100" s="974"/>
      <c r="DFE100" s="974"/>
      <c r="DFF100" s="974"/>
      <c r="DFG100" s="974"/>
      <c r="DFH100" s="974"/>
      <c r="DFI100" s="974"/>
      <c r="DFJ100" s="974"/>
      <c r="DFK100" s="974"/>
      <c r="DFL100" s="974"/>
      <c r="DFM100" s="974"/>
      <c r="DFN100" s="974"/>
      <c r="DFO100" s="974"/>
      <c r="DFP100" s="974"/>
      <c r="DFQ100" s="974"/>
      <c r="DFR100" s="974"/>
      <c r="DFS100" s="974"/>
      <c r="DFT100" s="974"/>
      <c r="DFU100" s="974"/>
      <c r="DFV100" s="974"/>
      <c r="DFW100" s="974"/>
      <c r="DFX100" s="974"/>
      <c r="DFY100" s="974"/>
      <c r="DFZ100" s="974"/>
      <c r="DGA100" s="974"/>
      <c r="DGB100" s="974"/>
      <c r="DGC100" s="974"/>
      <c r="DGD100" s="974"/>
      <c r="DGE100" s="974"/>
      <c r="DGF100" s="974"/>
      <c r="DGG100" s="974"/>
      <c r="DGH100" s="974"/>
      <c r="DGI100" s="974"/>
      <c r="DGJ100" s="974"/>
      <c r="DGK100" s="974"/>
      <c r="DGL100" s="974"/>
      <c r="DGM100" s="974"/>
      <c r="DGN100" s="974"/>
      <c r="DGO100" s="974"/>
      <c r="DGP100" s="974"/>
      <c r="DGQ100" s="974"/>
      <c r="DGR100" s="974"/>
      <c r="DGS100" s="974"/>
      <c r="DGT100" s="974"/>
      <c r="DGU100" s="974"/>
      <c r="DGV100" s="974"/>
      <c r="DGW100" s="974"/>
      <c r="DGX100" s="974"/>
      <c r="DGY100" s="974"/>
      <c r="DGZ100" s="974"/>
      <c r="DHA100" s="974"/>
      <c r="DHB100" s="974"/>
      <c r="DHC100" s="974"/>
      <c r="DHD100" s="974"/>
      <c r="DHE100" s="974"/>
      <c r="DHF100" s="974"/>
      <c r="DHG100" s="974"/>
      <c r="DHH100" s="974"/>
      <c r="DHI100" s="974"/>
      <c r="DHJ100" s="974"/>
      <c r="DHK100" s="974"/>
      <c r="DHL100" s="974"/>
      <c r="DHM100" s="974"/>
      <c r="DHN100" s="974"/>
      <c r="DHO100" s="974"/>
      <c r="DHP100" s="974"/>
      <c r="DHQ100" s="974"/>
      <c r="DHR100" s="974"/>
      <c r="DHS100" s="974"/>
      <c r="DHT100" s="974"/>
      <c r="DHU100" s="974"/>
      <c r="DHV100" s="974"/>
      <c r="DHW100" s="974"/>
      <c r="DHX100" s="974"/>
      <c r="DHY100" s="974"/>
      <c r="DHZ100" s="974"/>
      <c r="DIA100" s="974"/>
      <c r="DIB100" s="974"/>
      <c r="DIC100" s="974"/>
      <c r="DID100" s="974"/>
      <c r="DIE100" s="974"/>
      <c r="DIF100" s="974"/>
      <c r="DIG100" s="974"/>
      <c r="DIH100" s="974"/>
      <c r="DII100" s="974"/>
      <c r="DIJ100" s="974"/>
      <c r="DIK100" s="974"/>
      <c r="DIL100" s="974"/>
      <c r="DIM100" s="974"/>
      <c r="DIN100" s="974"/>
      <c r="DIO100" s="974"/>
      <c r="DIP100" s="974"/>
      <c r="DIQ100" s="974"/>
      <c r="DIR100" s="974"/>
      <c r="DIS100" s="974"/>
      <c r="DIT100" s="974"/>
      <c r="DIU100" s="974"/>
      <c r="DIV100" s="974"/>
      <c r="DIW100" s="974"/>
      <c r="DIX100" s="974"/>
      <c r="DIY100" s="974"/>
      <c r="DIZ100" s="974"/>
      <c r="DJA100" s="974"/>
      <c r="DJB100" s="974"/>
      <c r="DJC100" s="974"/>
      <c r="DJD100" s="974"/>
      <c r="DJE100" s="974"/>
      <c r="DJF100" s="974"/>
      <c r="DJG100" s="974"/>
      <c r="DJH100" s="974"/>
      <c r="DJI100" s="974"/>
      <c r="DJJ100" s="974"/>
      <c r="DJK100" s="974"/>
      <c r="DJL100" s="974"/>
      <c r="DJM100" s="974"/>
      <c r="DJN100" s="974"/>
      <c r="DJO100" s="974"/>
      <c r="DJP100" s="974"/>
      <c r="DJQ100" s="974"/>
      <c r="DJR100" s="974"/>
      <c r="DJS100" s="974"/>
      <c r="DJT100" s="974"/>
      <c r="DJU100" s="974"/>
      <c r="DJV100" s="974"/>
      <c r="DJW100" s="974"/>
      <c r="DJX100" s="974"/>
      <c r="DJY100" s="974"/>
      <c r="DJZ100" s="974"/>
      <c r="DKA100" s="974"/>
      <c r="DKB100" s="974"/>
      <c r="DKC100" s="974"/>
      <c r="DKD100" s="974"/>
      <c r="DKE100" s="974"/>
      <c r="DKF100" s="974"/>
      <c r="DKG100" s="974"/>
      <c r="DKH100" s="974"/>
      <c r="DKI100" s="974"/>
      <c r="DKJ100" s="974"/>
      <c r="DKK100" s="974"/>
      <c r="DKL100" s="974"/>
      <c r="DKM100" s="974"/>
      <c r="DKN100" s="974"/>
      <c r="DKO100" s="974"/>
      <c r="DKP100" s="974"/>
      <c r="DKQ100" s="974"/>
      <c r="DKR100" s="974"/>
      <c r="DKS100" s="974"/>
      <c r="DKT100" s="974"/>
      <c r="DKU100" s="974"/>
      <c r="DKV100" s="974"/>
      <c r="DKW100" s="974"/>
      <c r="DKX100" s="974"/>
      <c r="DKY100" s="974"/>
      <c r="DKZ100" s="974"/>
      <c r="DLA100" s="974"/>
      <c r="DLB100" s="974"/>
      <c r="DLC100" s="974"/>
      <c r="DLD100" s="974"/>
      <c r="DLE100" s="974"/>
      <c r="DLF100" s="974"/>
      <c r="DLG100" s="974"/>
      <c r="DLH100" s="974"/>
      <c r="DLI100" s="974"/>
      <c r="DLJ100" s="974"/>
      <c r="DLK100" s="974"/>
      <c r="DLL100" s="974"/>
      <c r="DLM100" s="974"/>
      <c r="DLN100" s="974"/>
      <c r="DLO100" s="974"/>
      <c r="DLP100" s="974"/>
      <c r="DLQ100" s="974"/>
      <c r="DLR100" s="974"/>
      <c r="DLS100" s="974"/>
      <c r="DLT100" s="974"/>
      <c r="DLU100" s="974"/>
      <c r="DLV100" s="974"/>
      <c r="DLW100" s="974"/>
      <c r="DLX100" s="974"/>
      <c r="DLY100" s="974"/>
      <c r="DLZ100" s="974"/>
      <c r="DMA100" s="974"/>
      <c r="DMB100" s="974"/>
      <c r="DMC100" s="974"/>
      <c r="DMD100" s="974"/>
      <c r="DME100" s="974"/>
      <c r="DMF100" s="974"/>
      <c r="DMG100" s="974"/>
      <c r="DMH100" s="974"/>
      <c r="DMI100" s="974"/>
      <c r="DMJ100" s="974"/>
      <c r="DMK100" s="974"/>
      <c r="DML100" s="974"/>
      <c r="DMM100" s="974"/>
      <c r="DMN100" s="974"/>
      <c r="DMO100" s="974"/>
      <c r="DMP100" s="974"/>
      <c r="DMQ100" s="974"/>
      <c r="DMR100" s="974"/>
      <c r="DMS100" s="974"/>
      <c r="DMT100" s="974"/>
      <c r="DMU100" s="974"/>
      <c r="DMV100" s="974"/>
      <c r="DMW100" s="974"/>
      <c r="DMX100" s="974"/>
      <c r="DMY100" s="974"/>
      <c r="DMZ100" s="974"/>
      <c r="DNA100" s="974"/>
      <c r="DNB100" s="974"/>
      <c r="DNC100" s="974"/>
      <c r="DND100" s="974"/>
      <c r="DNE100" s="974"/>
      <c r="DNF100" s="974"/>
      <c r="DNG100" s="974"/>
      <c r="DNH100" s="974"/>
      <c r="DNI100" s="974"/>
      <c r="DNJ100" s="974"/>
      <c r="DNK100" s="974"/>
      <c r="DNL100" s="974"/>
      <c r="DNM100" s="974"/>
      <c r="DNN100" s="974"/>
      <c r="DNO100" s="974"/>
      <c r="DNP100" s="974"/>
      <c r="DNQ100" s="974"/>
      <c r="DNR100" s="974"/>
      <c r="DNS100" s="974"/>
      <c r="DNT100" s="974"/>
      <c r="DNU100" s="974"/>
      <c r="DNV100" s="974"/>
      <c r="DNW100" s="974"/>
      <c r="DNX100" s="974"/>
      <c r="DNY100" s="974"/>
      <c r="DNZ100" s="974"/>
      <c r="DOA100" s="974"/>
      <c r="DOB100" s="974"/>
      <c r="DOC100" s="974"/>
      <c r="DOD100" s="974"/>
      <c r="DOE100" s="974"/>
      <c r="DOF100" s="974"/>
      <c r="DOG100" s="974"/>
      <c r="DOH100" s="974"/>
      <c r="DOI100" s="974"/>
      <c r="DOJ100" s="974"/>
      <c r="DOK100" s="974"/>
      <c r="DOL100" s="974"/>
      <c r="DOM100" s="974"/>
      <c r="DON100" s="974"/>
      <c r="DOO100" s="974"/>
      <c r="DOP100" s="974"/>
      <c r="DOQ100" s="974"/>
      <c r="DOR100" s="974"/>
      <c r="DOS100" s="974"/>
      <c r="DOT100" s="974"/>
      <c r="DOU100" s="974"/>
      <c r="DOV100" s="974"/>
      <c r="DOW100" s="974"/>
      <c r="DOX100" s="974"/>
      <c r="DOY100" s="974"/>
      <c r="DOZ100" s="974"/>
      <c r="DPA100" s="974"/>
      <c r="DPB100" s="974"/>
      <c r="DPC100" s="974"/>
      <c r="DPD100" s="974"/>
      <c r="DPE100" s="974"/>
      <c r="DPF100" s="974"/>
      <c r="DPG100" s="974"/>
      <c r="DPH100" s="974"/>
      <c r="DPI100" s="974"/>
      <c r="DPJ100" s="974"/>
      <c r="DPK100" s="974"/>
      <c r="DPL100" s="974"/>
      <c r="DPM100" s="974"/>
      <c r="DPN100" s="974"/>
      <c r="DPO100" s="974"/>
      <c r="DPP100" s="974"/>
      <c r="DPQ100" s="974"/>
      <c r="DPR100" s="974"/>
      <c r="DPS100" s="974"/>
      <c r="DPT100" s="974"/>
      <c r="DPU100" s="974"/>
      <c r="DPV100" s="974"/>
      <c r="DPW100" s="974"/>
      <c r="DPX100" s="974"/>
      <c r="DPY100" s="974"/>
      <c r="DPZ100" s="974"/>
      <c r="DQA100" s="974"/>
      <c r="DQB100" s="974"/>
      <c r="DQC100" s="974"/>
      <c r="DQD100" s="974"/>
      <c r="DQE100" s="974"/>
      <c r="DQF100" s="974"/>
      <c r="DQG100" s="974"/>
      <c r="DQH100" s="974"/>
      <c r="DQI100" s="974"/>
      <c r="DQJ100" s="974"/>
      <c r="DQK100" s="974"/>
      <c r="DQL100" s="974"/>
      <c r="DQM100" s="974"/>
      <c r="DQN100" s="974"/>
      <c r="DQO100" s="974"/>
      <c r="DQP100" s="974"/>
      <c r="DQQ100" s="974"/>
      <c r="DQR100" s="974"/>
      <c r="DQS100" s="974"/>
      <c r="DQT100" s="974"/>
      <c r="DQU100" s="974"/>
      <c r="DQV100" s="974"/>
      <c r="DQW100" s="974"/>
      <c r="DQX100" s="974"/>
      <c r="DQY100" s="974"/>
      <c r="DQZ100" s="974"/>
      <c r="DRA100" s="974"/>
      <c r="DRB100" s="974"/>
      <c r="DRC100" s="974"/>
      <c r="DRD100" s="974"/>
      <c r="DRE100" s="974"/>
      <c r="DRF100" s="974"/>
      <c r="DRG100" s="974"/>
      <c r="DRH100" s="974"/>
      <c r="DRI100" s="974"/>
      <c r="DRJ100" s="974"/>
      <c r="DRK100" s="974"/>
      <c r="DRL100" s="974"/>
      <c r="DRM100" s="974"/>
      <c r="DRN100" s="974"/>
      <c r="DRO100" s="974"/>
      <c r="DRP100" s="974"/>
      <c r="DRQ100" s="974"/>
      <c r="DRR100" s="974"/>
      <c r="DRS100" s="974"/>
      <c r="DRT100" s="974"/>
      <c r="DRU100" s="974"/>
      <c r="DRV100" s="974"/>
      <c r="DRW100" s="974"/>
      <c r="DRX100" s="974"/>
      <c r="DRY100" s="974"/>
      <c r="DRZ100" s="974"/>
      <c r="DSA100" s="974"/>
      <c r="DSB100" s="974"/>
      <c r="DSC100" s="974"/>
      <c r="DSD100" s="974"/>
      <c r="DSE100" s="974"/>
      <c r="DSF100" s="974"/>
      <c r="DSG100" s="974"/>
      <c r="DSH100" s="974"/>
      <c r="DSI100" s="974"/>
      <c r="DSJ100" s="974"/>
      <c r="DSK100" s="974"/>
      <c r="DSL100" s="974"/>
      <c r="DSM100" s="974"/>
      <c r="DSN100" s="974"/>
      <c r="DSO100" s="974"/>
      <c r="DSP100" s="974"/>
      <c r="DSQ100" s="974"/>
      <c r="DSR100" s="974"/>
      <c r="DSS100" s="974"/>
      <c r="DST100" s="974"/>
      <c r="DSU100" s="974"/>
      <c r="DSV100" s="974"/>
      <c r="DSW100" s="974"/>
      <c r="DSX100" s="974"/>
      <c r="DSY100" s="974"/>
      <c r="DSZ100" s="974"/>
      <c r="DTA100" s="974"/>
      <c r="DTB100" s="974"/>
      <c r="DTC100" s="974"/>
      <c r="DTD100" s="974"/>
      <c r="DTE100" s="974"/>
      <c r="DTF100" s="974"/>
      <c r="DTG100" s="974"/>
      <c r="DTH100" s="974"/>
      <c r="DTI100" s="974"/>
      <c r="DTJ100" s="974"/>
      <c r="DTK100" s="974"/>
      <c r="DTL100" s="974"/>
      <c r="DTM100" s="974"/>
      <c r="DTN100" s="974"/>
      <c r="DTO100" s="974"/>
      <c r="DTP100" s="974"/>
      <c r="DTQ100" s="974"/>
      <c r="DTR100" s="974"/>
      <c r="DTS100" s="974"/>
      <c r="DTT100" s="974"/>
      <c r="DTU100" s="974"/>
      <c r="DTV100" s="974"/>
      <c r="DTW100" s="974"/>
      <c r="DTX100" s="974"/>
      <c r="DTY100" s="974"/>
      <c r="DTZ100" s="974"/>
      <c r="DUA100" s="974"/>
      <c r="DUB100" s="974"/>
      <c r="DUC100" s="974"/>
      <c r="DUD100" s="974"/>
      <c r="DUE100" s="974"/>
      <c r="DUF100" s="974"/>
      <c r="DUG100" s="974"/>
      <c r="DUH100" s="974"/>
      <c r="DUI100" s="974"/>
      <c r="DUJ100" s="974"/>
      <c r="DUK100" s="974"/>
      <c r="DUL100" s="974"/>
      <c r="DUM100" s="974"/>
      <c r="DUN100" s="974"/>
      <c r="DUO100" s="974"/>
      <c r="DUP100" s="974"/>
      <c r="DUQ100" s="974"/>
      <c r="DUR100" s="974"/>
      <c r="DUS100" s="974"/>
      <c r="DUT100" s="974"/>
      <c r="DUU100" s="974"/>
      <c r="DUV100" s="974"/>
      <c r="DUW100" s="974"/>
      <c r="DUX100" s="974"/>
      <c r="DUY100" s="974"/>
      <c r="DUZ100" s="974"/>
      <c r="DVA100" s="974"/>
      <c r="DVB100" s="974"/>
      <c r="DVC100" s="974"/>
      <c r="DVD100" s="974"/>
      <c r="DVE100" s="974"/>
      <c r="DVF100" s="974"/>
      <c r="DVG100" s="974"/>
      <c r="DVH100" s="974"/>
      <c r="DVI100" s="974"/>
      <c r="DVJ100" s="974"/>
      <c r="DVK100" s="974"/>
      <c r="DVL100" s="974"/>
      <c r="DVM100" s="974"/>
      <c r="DVN100" s="974"/>
      <c r="DVO100" s="974"/>
      <c r="DVP100" s="974"/>
      <c r="DVQ100" s="974"/>
      <c r="DVR100" s="974"/>
      <c r="DVS100" s="974"/>
      <c r="DVT100" s="974"/>
      <c r="DVU100" s="974"/>
      <c r="DVV100" s="974"/>
      <c r="DVW100" s="974"/>
      <c r="DVX100" s="974"/>
      <c r="DVY100" s="974"/>
      <c r="DVZ100" s="974"/>
      <c r="DWA100" s="974"/>
      <c r="DWB100" s="974"/>
      <c r="DWC100" s="974"/>
      <c r="DWD100" s="974"/>
      <c r="DWE100" s="974"/>
      <c r="DWF100" s="974"/>
      <c r="DWG100" s="974"/>
      <c r="DWH100" s="974"/>
      <c r="DWI100" s="974"/>
      <c r="DWJ100" s="974"/>
      <c r="DWK100" s="974"/>
      <c r="DWL100" s="974"/>
      <c r="DWM100" s="974"/>
      <c r="DWN100" s="974"/>
      <c r="DWO100" s="974"/>
      <c r="DWP100" s="974"/>
      <c r="DWQ100" s="974"/>
      <c r="DWR100" s="974"/>
      <c r="DWS100" s="974"/>
      <c r="DWT100" s="974"/>
      <c r="DWU100" s="974"/>
      <c r="DWV100" s="974"/>
      <c r="DWW100" s="974"/>
      <c r="DWX100" s="974"/>
      <c r="DWY100" s="974"/>
      <c r="DWZ100" s="974"/>
      <c r="DXA100" s="974"/>
      <c r="DXB100" s="974"/>
      <c r="DXC100" s="974"/>
      <c r="DXD100" s="974"/>
      <c r="DXE100" s="974"/>
      <c r="DXF100" s="974"/>
      <c r="DXG100" s="974"/>
      <c r="DXH100" s="974"/>
      <c r="DXI100" s="974"/>
      <c r="DXJ100" s="974"/>
      <c r="DXK100" s="974"/>
      <c r="DXL100" s="974"/>
      <c r="DXM100" s="974"/>
      <c r="DXN100" s="974"/>
      <c r="DXO100" s="974"/>
      <c r="DXP100" s="974"/>
      <c r="DXQ100" s="974"/>
      <c r="DXR100" s="974"/>
      <c r="DXS100" s="974"/>
      <c r="DXT100" s="974"/>
      <c r="DXU100" s="974"/>
      <c r="DXV100" s="974"/>
      <c r="DXW100" s="974"/>
      <c r="DXX100" s="974"/>
      <c r="DXY100" s="974"/>
      <c r="DXZ100" s="974"/>
      <c r="DYA100" s="974"/>
      <c r="DYB100" s="974"/>
      <c r="DYC100" s="974"/>
      <c r="DYD100" s="974"/>
      <c r="DYE100" s="974"/>
      <c r="DYF100" s="974"/>
      <c r="DYG100" s="974"/>
      <c r="DYH100" s="974"/>
      <c r="DYI100" s="974"/>
      <c r="DYJ100" s="974"/>
      <c r="DYK100" s="974"/>
      <c r="DYL100" s="974"/>
      <c r="DYM100" s="974"/>
      <c r="DYN100" s="974"/>
      <c r="DYO100" s="974"/>
      <c r="DYP100" s="974"/>
      <c r="DYQ100" s="974"/>
      <c r="DYR100" s="974"/>
      <c r="DYS100" s="974"/>
      <c r="DYT100" s="974"/>
      <c r="DYU100" s="974"/>
      <c r="DYV100" s="974"/>
      <c r="DYW100" s="974"/>
      <c r="DYX100" s="974"/>
      <c r="DYY100" s="974"/>
      <c r="DYZ100" s="974"/>
      <c r="DZA100" s="974"/>
      <c r="DZB100" s="974"/>
      <c r="DZC100" s="974"/>
      <c r="DZD100" s="974"/>
      <c r="DZE100" s="974"/>
      <c r="DZF100" s="974"/>
      <c r="DZG100" s="974"/>
      <c r="DZH100" s="974"/>
      <c r="DZI100" s="974"/>
      <c r="DZJ100" s="974"/>
      <c r="DZK100" s="974"/>
      <c r="DZL100" s="974"/>
      <c r="DZM100" s="974"/>
      <c r="DZN100" s="974"/>
      <c r="DZO100" s="974"/>
      <c r="DZP100" s="974"/>
      <c r="DZQ100" s="974"/>
      <c r="DZR100" s="974"/>
      <c r="DZS100" s="974"/>
      <c r="DZT100" s="974"/>
      <c r="DZU100" s="974"/>
      <c r="DZV100" s="974"/>
      <c r="DZW100" s="974"/>
      <c r="DZX100" s="974"/>
      <c r="DZY100" s="974"/>
      <c r="DZZ100" s="974"/>
      <c r="EAA100" s="974"/>
      <c r="EAB100" s="974"/>
      <c r="EAC100" s="974"/>
      <c r="EAD100" s="974"/>
      <c r="EAE100" s="974"/>
      <c r="EAF100" s="974"/>
      <c r="EAG100" s="974"/>
      <c r="EAH100" s="974"/>
      <c r="EAI100" s="974"/>
      <c r="EAJ100" s="974"/>
      <c r="EAK100" s="974"/>
      <c r="EAL100" s="974"/>
      <c r="EAM100" s="974"/>
      <c r="EAN100" s="974"/>
      <c r="EAO100" s="974"/>
      <c r="EAP100" s="974"/>
      <c r="EAQ100" s="974"/>
      <c r="EAR100" s="974"/>
      <c r="EAS100" s="974"/>
      <c r="EAT100" s="974"/>
      <c r="EAU100" s="974"/>
      <c r="EAV100" s="974"/>
      <c r="EAW100" s="974"/>
      <c r="EAX100" s="974"/>
      <c r="EAY100" s="974"/>
      <c r="EAZ100" s="974"/>
      <c r="EBA100" s="974"/>
      <c r="EBB100" s="974"/>
      <c r="EBC100" s="974"/>
      <c r="EBD100" s="974"/>
      <c r="EBE100" s="974"/>
      <c r="EBF100" s="974"/>
      <c r="EBG100" s="974"/>
      <c r="EBH100" s="974"/>
      <c r="EBI100" s="974"/>
      <c r="EBJ100" s="974"/>
      <c r="EBK100" s="974"/>
      <c r="EBL100" s="974"/>
      <c r="EBM100" s="974"/>
      <c r="EBN100" s="974"/>
      <c r="EBO100" s="974"/>
      <c r="EBP100" s="974"/>
      <c r="EBQ100" s="974"/>
      <c r="EBR100" s="974"/>
      <c r="EBS100" s="974"/>
      <c r="EBT100" s="974"/>
      <c r="EBU100" s="974"/>
      <c r="EBV100" s="974"/>
      <c r="EBW100" s="974"/>
      <c r="EBX100" s="974"/>
      <c r="EBY100" s="974"/>
      <c r="EBZ100" s="974"/>
      <c r="ECA100" s="974"/>
      <c r="ECB100" s="974"/>
      <c r="ECC100" s="974"/>
      <c r="ECD100" s="974"/>
      <c r="ECE100" s="974"/>
      <c r="ECF100" s="974"/>
      <c r="ECG100" s="974"/>
      <c r="ECH100" s="974"/>
      <c r="ECI100" s="974"/>
      <c r="ECJ100" s="974"/>
      <c r="ECK100" s="974"/>
      <c r="ECL100" s="974"/>
      <c r="ECM100" s="974"/>
      <c r="ECN100" s="974"/>
      <c r="ECO100" s="974"/>
      <c r="ECP100" s="974"/>
      <c r="ECQ100" s="974"/>
      <c r="ECR100" s="974"/>
      <c r="ECS100" s="974"/>
      <c r="ECT100" s="974"/>
      <c r="ECU100" s="974"/>
      <c r="ECV100" s="974"/>
      <c r="ECW100" s="974"/>
      <c r="ECX100" s="974"/>
      <c r="ECY100" s="974"/>
      <c r="ECZ100" s="974"/>
      <c r="EDA100" s="974"/>
      <c r="EDB100" s="974"/>
      <c r="EDC100" s="974"/>
      <c r="EDD100" s="974"/>
      <c r="EDE100" s="974"/>
      <c r="EDF100" s="974"/>
      <c r="EDG100" s="974"/>
      <c r="EDH100" s="974"/>
      <c r="EDI100" s="974"/>
      <c r="EDJ100" s="974"/>
      <c r="EDK100" s="974"/>
      <c r="EDL100" s="974"/>
      <c r="EDM100" s="974"/>
      <c r="EDN100" s="974"/>
      <c r="EDO100" s="974"/>
      <c r="EDP100" s="974"/>
      <c r="EDQ100" s="974"/>
      <c r="EDR100" s="974"/>
      <c r="EDS100" s="974"/>
      <c r="EDT100" s="974"/>
      <c r="EDU100" s="974"/>
      <c r="EDV100" s="974"/>
      <c r="EDW100" s="974"/>
      <c r="EDX100" s="974"/>
      <c r="EDY100" s="974"/>
      <c r="EDZ100" s="974"/>
      <c r="EEA100" s="974"/>
      <c r="EEB100" s="974"/>
      <c r="EEC100" s="974"/>
      <c r="EED100" s="974"/>
      <c r="EEE100" s="974"/>
      <c r="EEF100" s="974"/>
      <c r="EEG100" s="974"/>
      <c r="EEH100" s="974"/>
      <c r="EEI100" s="974"/>
      <c r="EEJ100" s="974"/>
      <c r="EEK100" s="974"/>
      <c r="EEL100" s="974"/>
      <c r="EEM100" s="974"/>
      <c r="EEN100" s="974"/>
      <c r="EEO100" s="974"/>
      <c r="EEP100" s="974"/>
      <c r="EEQ100" s="974"/>
      <c r="EER100" s="974"/>
      <c r="EES100" s="974"/>
      <c r="EET100" s="974"/>
      <c r="EEU100" s="974"/>
      <c r="EEV100" s="974"/>
      <c r="EEW100" s="974"/>
      <c r="EEX100" s="974"/>
      <c r="EEY100" s="974"/>
      <c r="EEZ100" s="974"/>
      <c r="EFA100" s="974"/>
      <c r="EFB100" s="974"/>
      <c r="EFC100" s="974"/>
      <c r="EFD100" s="974"/>
      <c r="EFE100" s="974"/>
      <c r="EFF100" s="974"/>
      <c r="EFG100" s="974"/>
      <c r="EFH100" s="974"/>
      <c r="EFI100" s="974"/>
      <c r="EFJ100" s="974"/>
      <c r="EFK100" s="974"/>
      <c r="EFL100" s="974"/>
      <c r="EFM100" s="974"/>
      <c r="EFN100" s="974"/>
      <c r="EFO100" s="974"/>
      <c r="EFP100" s="974"/>
      <c r="EFQ100" s="974"/>
      <c r="EFR100" s="974"/>
      <c r="EFS100" s="974"/>
      <c r="EFT100" s="974"/>
      <c r="EFU100" s="974"/>
      <c r="EFV100" s="974"/>
      <c r="EFW100" s="974"/>
      <c r="EFX100" s="974"/>
      <c r="EFY100" s="974"/>
      <c r="EFZ100" s="974"/>
      <c r="EGA100" s="974"/>
      <c r="EGB100" s="974"/>
      <c r="EGC100" s="974"/>
      <c r="EGD100" s="974"/>
      <c r="EGE100" s="974"/>
      <c r="EGF100" s="974"/>
      <c r="EGG100" s="974"/>
      <c r="EGH100" s="974"/>
      <c r="EGI100" s="974"/>
      <c r="EGJ100" s="974"/>
      <c r="EGK100" s="974"/>
      <c r="EGL100" s="974"/>
      <c r="EGM100" s="974"/>
      <c r="EGN100" s="974"/>
      <c r="EGO100" s="974"/>
      <c r="EGP100" s="974"/>
      <c r="EGQ100" s="974"/>
      <c r="EGR100" s="974"/>
      <c r="EGS100" s="974"/>
      <c r="EGT100" s="974"/>
      <c r="EGU100" s="974"/>
      <c r="EGV100" s="974"/>
      <c r="EGW100" s="974"/>
      <c r="EGX100" s="974"/>
      <c r="EGY100" s="974"/>
      <c r="EGZ100" s="974"/>
      <c r="EHA100" s="974"/>
      <c r="EHB100" s="974"/>
      <c r="EHC100" s="974"/>
      <c r="EHD100" s="974"/>
      <c r="EHE100" s="974"/>
      <c r="EHF100" s="974"/>
      <c r="EHG100" s="974"/>
      <c r="EHH100" s="974"/>
      <c r="EHI100" s="974"/>
      <c r="EHJ100" s="974"/>
      <c r="EHK100" s="974"/>
      <c r="EHL100" s="974"/>
      <c r="EHM100" s="974"/>
      <c r="EHN100" s="974"/>
      <c r="EHO100" s="974"/>
      <c r="EHP100" s="974"/>
      <c r="EHQ100" s="974"/>
      <c r="EHR100" s="974"/>
      <c r="EHS100" s="974"/>
      <c r="EHT100" s="974"/>
      <c r="EHU100" s="974"/>
      <c r="EHV100" s="974"/>
      <c r="EHW100" s="974"/>
      <c r="EHX100" s="974"/>
      <c r="EHY100" s="974"/>
      <c r="EHZ100" s="974"/>
      <c r="EIA100" s="974"/>
      <c r="EIB100" s="974"/>
      <c r="EIC100" s="974"/>
      <c r="EID100" s="974"/>
      <c r="EIE100" s="974"/>
      <c r="EIF100" s="974"/>
      <c r="EIG100" s="974"/>
      <c r="EIH100" s="974"/>
      <c r="EII100" s="974"/>
      <c r="EIJ100" s="974"/>
      <c r="EIK100" s="974"/>
      <c r="EIL100" s="974"/>
      <c r="EIM100" s="974"/>
      <c r="EIN100" s="974"/>
      <c r="EIO100" s="974"/>
      <c r="EIP100" s="974"/>
      <c r="EIQ100" s="974"/>
      <c r="EIR100" s="974"/>
      <c r="EIS100" s="974"/>
      <c r="EIT100" s="974"/>
      <c r="EIU100" s="974"/>
      <c r="EIV100" s="974"/>
      <c r="EIW100" s="974"/>
      <c r="EIX100" s="974"/>
      <c r="EIY100" s="974"/>
      <c r="EIZ100" s="974"/>
      <c r="EJA100" s="974"/>
      <c r="EJB100" s="974"/>
      <c r="EJC100" s="974"/>
      <c r="EJD100" s="974"/>
      <c r="EJE100" s="974"/>
      <c r="EJF100" s="974"/>
      <c r="EJG100" s="974"/>
      <c r="EJH100" s="974"/>
      <c r="EJI100" s="974"/>
      <c r="EJJ100" s="974"/>
      <c r="EJK100" s="974"/>
      <c r="EJL100" s="974"/>
      <c r="EJM100" s="974"/>
      <c r="EJN100" s="974"/>
      <c r="EJO100" s="974"/>
      <c r="EJP100" s="974"/>
      <c r="EJQ100" s="974"/>
      <c r="EJR100" s="974"/>
      <c r="EJS100" s="974"/>
      <c r="EJT100" s="974"/>
      <c r="EJU100" s="974"/>
      <c r="EJV100" s="974"/>
      <c r="EJW100" s="974"/>
      <c r="EJX100" s="974"/>
      <c r="EJY100" s="974"/>
      <c r="EJZ100" s="974"/>
      <c r="EKA100" s="974"/>
      <c r="EKB100" s="974"/>
      <c r="EKC100" s="974"/>
      <c r="EKD100" s="974"/>
      <c r="EKE100" s="974"/>
      <c r="EKF100" s="974"/>
      <c r="EKG100" s="974"/>
      <c r="EKH100" s="974"/>
      <c r="EKI100" s="974"/>
      <c r="EKJ100" s="974"/>
      <c r="EKK100" s="974"/>
      <c r="EKL100" s="974"/>
      <c r="EKM100" s="974"/>
      <c r="EKN100" s="974"/>
      <c r="EKO100" s="974"/>
      <c r="EKP100" s="974"/>
      <c r="EKQ100" s="974"/>
      <c r="EKR100" s="974"/>
      <c r="EKS100" s="974"/>
      <c r="EKT100" s="974"/>
      <c r="EKU100" s="974"/>
      <c r="EKV100" s="974"/>
      <c r="EKW100" s="974"/>
      <c r="EKX100" s="974"/>
      <c r="EKY100" s="974"/>
      <c r="EKZ100" s="974"/>
      <c r="ELA100" s="974"/>
      <c r="ELB100" s="974"/>
      <c r="ELC100" s="974"/>
      <c r="ELD100" s="974"/>
      <c r="ELE100" s="974"/>
      <c r="ELF100" s="974"/>
      <c r="ELG100" s="974"/>
      <c r="ELH100" s="974"/>
      <c r="ELI100" s="974"/>
      <c r="ELJ100" s="974"/>
      <c r="ELK100" s="974"/>
      <c r="ELL100" s="974"/>
      <c r="ELM100" s="974"/>
      <c r="ELN100" s="974"/>
      <c r="ELO100" s="974"/>
      <c r="ELP100" s="974"/>
      <c r="ELQ100" s="974"/>
      <c r="ELR100" s="974"/>
      <c r="ELS100" s="974"/>
      <c r="ELT100" s="974"/>
      <c r="ELU100" s="974"/>
      <c r="ELV100" s="974"/>
      <c r="ELW100" s="974"/>
      <c r="ELX100" s="974"/>
      <c r="ELY100" s="974"/>
      <c r="ELZ100" s="974"/>
      <c r="EMA100" s="974"/>
      <c r="EMB100" s="974"/>
      <c r="EMC100" s="974"/>
      <c r="EMD100" s="974"/>
      <c r="EME100" s="974"/>
      <c r="EMF100" s="974"/>
      <c r="EMG100" s="974"/>
      <c r="EMH100" s="974"/>
      <c r="EMI100" s="974"/>
      <c r="EMJ100" s="974"/>
      <c r="EMK100" s="974"/>
      <c r="EML100" s="974"/>
      <c r="EMM100" s="974"/>
      <c r="EMN100" s="974"/>
      <c r="EMO100" s="974"/>
      <c r="EMP100" s="974"/>
      <c r="EMQ100" s="974"/>
      <c r="EMR100" s="974"/>
      <c r="EMS100" s="974"/>
      <c r="EMT100" s="974"/>
      <c r="EMU100" s="974"/>
      <c r="EMV100" s="974"/>
      <c r="EMW100" s="974"/>
      <c r="EMX100" s="974"/>
      <c r="EMY100" s="974"/>
      <c r="EMZ100" s="974"/>
      <c r="ENA100" s="974"/>
      <c r="ENB100" s="974"/>
      <c r="ENC100" s="974"/>
      <c r="END100" s="974"/>
      <c r="ENE100" s="974"/>
      <c r="ENF100" s="974"/>
      <c r="ENG100" s="974"/>
      <c r="ENH100" s="974"/>
      <c r="ENI100" s="974"/>
      <c r="ENJ100" s="974"/>
      <c r="ENK100" s="974"/>
      <c r="ENL100" s="974"/>
      <c r="ENM100" s="974"/>
      <c r="ENN100" s="974"/>
      <c r="ENO100" s="974"/>
      <c r="ENP100" s="974"/>
      <c r="ENQ100" s="974"/>
      <c r="ENR100" s="974"/>
      <c r="ENS100" s="974"/>
      <c r="ENT100" s="974"/>
      <c r="ENU100" s="974"/>
      <c r="ENV100" s="974"/>
      <c r="ENW100" s="974"/>
      <c r="ENX100" s="974"/>
      <c r="ENY100" s="974"/>
      <c r="ENZ100" s="974"/>
      <c r="EOA100" s="974"/>
      <c r="EOB100" s="974"/>
      <c r="EOC100" s="974"/>
      <c r="EOD100" s="974"/>
      <c r="EOE100" s="974"/>
      <c r="EOF100" s="974"/>
      <c r="EOG100" s="974"/>
      <c r="EOH100" s="974"/>
      <c r="EOI100" s="974"/>
      <c r="EOJ100" s="974"/>
      <c r="EOK100" s="974"/>
      <c r="EOL100" s="974"/>
      <c r="EOM100" s="974"/>
      <c r="EON100" s="974"/>
      <c r="EOO100" s="974"/>
      <c r="EOP100" s="974"/>
      <c r="EOQ100" s="974"/>
      <c r="EOR100" s="974"/>
      <c r="EOS100" s="974"/>
      <c r="EOT100" s="974"/>
      <c r="EOU100" s="974"/>
      <c r="EOV100" s="974"/>
      <c r="EOW100" s="974"/>
      <c r="EOX100" s="974"/>
      <c r="EOY100" s="974"/>
      <c r="EOZ100" s="974"/>
      <c r="EPA100" s="974"/>
      <c r="EPB100" s="974"/>
      <c r="EPC100" s="974"/>
      <c r="EPD100" s="974"/>
      <c r="EPE100" s="974"/>
      <c r="EPF100" s="974"/>
      <c r="EPG100" s="974"/>
      <c r="EPH100" s="974"/>
      <c r="EPI100" s="974"/>
      <c r="EPJ100" s="974"/>
      <c r="EPK100" s="974"/>
      <c r="EPL100" s="974"/>
      <c r="EPM100" s="974"/>
      <c r="EPN100" s="974"/>
      <c r="EPO100" s="974"/>
      <c r="EPP100" s="974"/>
      <c r="EPQ100" s="974"/>
      <c r="EPR100" s="974"/>
      <c r="EPS100" s="974"/>
      <c r="EPT100" s="974"/>
      <c r="EPU100" s="974"/>
      <c r="EPV100" s="974"/>
      <c r="EPW100" s="974"/>
      <c r="EPX100" s="974"/>
      <c r="EPY100" s="974"/>
      <c r="EPZ100" s="974"/>
      <c r="EQA100" s="974"/>
      <c r="EQB100" s="974"/>
      <c r="EQC100" s="974"/>
      <c r="EQD100" s="974"/>
      <c r="EQE100" s="974"/>
      <c r="EQF100" s="974"/>
      <c r="EQG100" s="974"/>
      <c r="EQH100" s="974"/>
      <c r="EQI100" s="974"/>
      <c r="EQJ100" s="974"/>
      <c r="EQK100" s="974"/>
      <c r="EQL100" s="974"/>
      <c r="EQM100" s="974"/>
      <c r="EQN100" s="974"/>
      <c r="EQO100" s="974"/>
      <c r="EQP100" s="974"/>
      <c r="EQQ100" s="974"/>
      <c r="EQR100" s="974"/>
      <c r="EQS100" s="974"/>
      <c r="EQT100" s="974"/>
      <c r="EQU100" s="974"/>
      <c r="EQV100" s="974"/>
      <c r="EQW100" s="974"/>
      <c r="EQX100" s="974"/>
      <c r="EQY100" s="974"/>
      <c r="EQZ100" s="974"/>
      <c r="ERA100" s="974"/>
      <c r="ERB100" s="974"/>
      <c r="ERC100" s="974"/>
      <c r="ERD100" s="974"/>
      <c r="ERE100" s="974"/>
      <c r="ERF100" s="974"/>
      <c r="ERG100" s="974"/>
      <c r="ERH100" s="974"/>
      <c r="ERI100" s="974"/>
      <c r="ERJ100" s="974"/>
      <c r="ERK100" s="974"/>
      <c r="ERL100" s="974"/>
      <c r="ERM100" s="974"/>
      <c r="ERN100" s="974"/>
      <c r="ERO100" s="974"/>
      <c r="ERP100" s="974"/>
      <c r="ERQ100" s="974"/>
      <c r="ERR100" s="974"/>
      <c r="ERS100" s="974"/>
      <c r="ERT100" s="974"/>
      <c r="ERU100" s="974"/>
      <c r="ERV100" s="974"/>
      <c r="ERW100" s="974"/>
      <c r="ERX100" s="974"/>
      <c r="ERY100" s="974"/>
      <c r="ERZ100" s="974"/>
      <c r="ESA100" s="974"/>
      <c r="ESB100" s="974"/>
      <c r="ESC100" s="974"/>
      <c r="ESD100" s="974"/>
      <c r="ESE100" s="974"/>
      <c r="ESF100" s="974"/>
      <c r="ESG100" s="974"/>
      <c r="ESH100" s="974"/>
      <c r="ESI100" s="974"/>
      <c r="ESJ100" s="974"/>
      <c r="ESK100" s="974"/>
      <c r="ESL100" s="974"/>
      <c r="ESM100" s="974"/>
      <c r="ESN100" s="974"/>
      <c r="ESO100" s="974"/>
      <c r="ESP100" s="974"/>
      <c r="ESQ100" s="974"/>
      <c r="ESR100" s="974"/>
      <c r="ESS100" s="974"/>
      <c r="EST100" s="974"/>
      <c r="ESU100" s="974"/>
      <c r="ESV100" s="974"/>
      <c r="ESW100" s="974"/>
      <c r="ESX100" s="974"/>
      <c r="ESY100" s="974"/>
      <c r="ESZ100" s="974"/>
      <c r="ETA100" s="974"/>
      <c r="ETB100" s="974"/>
      <c r="ETC100" s="974"/>
      <c r="ETD100" s="974"/>
      <c r="ETE100" s="974"/>
      <c r="ETF100" s="974"/>
      <c r="ETG100" s="974"/>
      <c r="ETH100" s="974"/>
      <c r="ETI100" s="974"/>
      <c r="ETJ100" s="974"/>
      <c r="ETK100" s="974"/>
      <c r="ETL100" s="974"/>
      <c r="ETM100" s="974"/>
      <c r="ETN100" s="974"/>
      <c r="ETO100" s="974"/>
      <c r="ETP100" s="974"/>
      <c r="ETQ100" s="974"/>
      <c r="ETR100" s="974"/>
      <c r="ETS100" s="974"/>
      <c r="ETT100" s="974"/>
      <c r="ETU100" s="974"/>
      <c r="ETV100" s="974"/>
      <c r="ETW100" s="974"/>
      <c r="ETX100" s="974"/>
      <c r="ETY100" s="974"/>
      <c r="ETZ100" s="974"/>
      <c r="EUA100" s="974"/>
      <c r="EUB100" s="974"/>
      <c r="EUC100" s="974"/>
      <c r="EUD100" s="974"/>
      <c r="EUE100" s="974"/>
      <c r="EUF100" s="974"/>
      <c r="EUG100" s="974"/>
      <c r="EUH100" s="974"/>
      <c r="EUI100" s="974"/>
      <c r="EUJ100" s="974"/>
      <c r="EUK100" s="974"/>
      <c r="EUL100" s="974"/>
      <c r="EUM100" s="974"/>
      <c r="EUN100" s="974"/>
      <c r="EUO100" s="974"/>
      <c r="EUP100" s="974"/>
      <c r="EUQ100" s="974"/>
      <c r="EUR100" s="974"/>
      <c r="EUS100" s="974"/>
      <c r="EUT100" s="974"/>
      <c r="EUU100" s="974"/>
      <c r="EUV100" s="974"/>
      <c r="EUW100" s="974"/>
      <c r="EUX100" s="974"/>
      <c r="EUY100" s="974"/>
      <c r="EUZ100" s="974"/>
      <c r="EVA100" s="974"/>
      <c r="EVB100" s="974"/>
      <c r="EVC100" s="974"/>
      <c r="EVD100" s="974"/>
      <c r="EVE100" s="974"/>
      <c r="EVF100" s="974"/>
      <c r="EVG100" s="974"/>
      <c r="EVH100" s="974"/>
      <c r="EVI100" s="974"/>
      <c r="EVJ100" s="974"/>
      <c r="EVK100" s="974"/>
      <c r="EVL100" s="974"/>
      <c r="EVM100" s="974"/>
      <c r="EVN100" s="974"/>
      <c r="EVO100" s="974"/>
      <c r="EVP100" s="974"/>
      <c r="EVQ100" s="974"/>
      <c r="EVR100" s="974"/>
      <c r="EVS100" s="974"/>
      <c r="EVT100" s="974"/>
      <c r="EVU100" s="974"/>
      <c r="EVV100" s="974"/>
      <c r="EVW100" s="974"/>
      <c r="EVX100" s="974"/>
      <c r="EVY100" s="974"/>
      <c r="EVZ100" s="974"/>
      <c r="EWA100" s="974"/>
      <c r="EWB100" s="974"/>
      <c r="EWC100" s="974"/>
      <c r="EWD100" s="974"/>
      <c r="EWE100" s="974"/>
      <c r="EWF100" s="974"/>
      <c r="EWG100" s="974"/>
      <c r="EWH100" s="974"/>
      <c r="EWI100" s="974"/>
      <c r="EWJ100" s="974"/>
      <c r="EWK100" s="974"/>
      <c r="EWL100" s="974"/>
      <c r="EWM100" s="974"/>
      <c r="EWN100" s="974"/>
      <c r="EWO100" s="974"/>
      <c r="EWP100" s="974"/>
      <c r="EWQ100" s="974"/>
      <c r="EWR100" s="974"/>
      <c r="EWS100" s="974"/>
      <c r="EWT100" s="974"/>
      <c r="EWU100" s="974"/>
      <c r="EWV100" s="974"/>
      <c r="EWW100" s="974"/>
      <c r="EWX100" s="974"/>
      <c r="EWY100" s="974"/>
      <c r="EWZ100" s="974"/>
      <c r="EXA100" s="974"/>
      <c r="EXB100" s="974"/>
      <c r="EXC100" s="974"/>
      <c r="EXD100" s="974"/>
      <c r="EXE100" s="974"/>
      <c r="EXF100" s="974"/>
      <c r="EXG100" s="974"/>
      <c r="EXH100" s="974"/>
      <c r="EXI100" s="974"/>
      <c r="EXJ100" s="974"/>
      <c r="EXK100" s="974"/>
      <c r="EXL100" s="974"/>
      <c r="EXM100" s="974"/>
      <c r="EXN100" s="974"/>
      <c r="EXO100" s="974"/>
      <c r="EXP100" s="974"/>
      <c r="EXQ100" s="974"/>
      <c r="EXR100" s="974"/>
      <c r="EXS100" s="974"/>
      <c r="EXT100" s="974"/>
      <c r="EXU100" s="974"/>
      <c r="EXV100" s="974"/>
      <c r="EXW100" s="974"/>
      <c r="EXX100" s="974"/>
      <c r="EXY100" s="974"/>
      <c r="EXZ100" s="974"/>
      <c r="EYA100" s="974"/>
      <c r="EYB100" s="974"/>
      <c r="EYC100" s="974"/>
      <c r="EYD100" s="974"/>
      <c r="EYE100" s="974"/>
      <c r="EYF100" s="974"/>
      <c r="EYG100" s="974"/>
      <c r="EYH100" s="974"/>
      <c r="EYI100" s="974"/>
      <c r="EYJ100" s="974"/>
      <c r="EYK100" s="974"/>
      <c r="EYL100" s="974"/>
      <c r="EYM100" s="974"/>
      <c r="EYN100" s="974"/>
      <c r="EYO100" s="974"/>
      <c r="EYP100" s="974"/>
      <c r="EYQ100" s="974"/>
      <c r="EYR100" s="974"/>
      <c r="EYS100" s="974"/>
      <c r="EYT100" s="974"/>
      <c r="EYU100" s="974"/>
      <c r="EYV100" s="974"/>
      <c r="EYW100" s="974"/>
      <c r="EYX100" s="974"/>
      <c r="EYY100" s="974"/>
      <c r="EYZ100" s="974"/>
      <c r="EZA100" s="974"/>
      <c r="EZB100" s="974"/>
      <c r="EZC100" s="974"/>
      <c r="EZD100" s="974"/>
      <c r="EZE100" s="974"/>
      <c r="EZF100" s="974"/>
      <c r="EZG100" s="974"/>
      <c r="EZH100" s="974"/>
      <c r="EZI100" s="974"/>
      <c r="EZJ100" s="974"/>
      <c r="EZK100" s="974"/>
      <c r="EZL100" s="974"/>
      <c r="EZM100" s="974"/>
      <c r="EZN100" s="974"/>
      <c r="EZO100" s="974"/>
      <c r="EZP100" s="974"/>
      <c r="EZQ100" s="974"/>
      <c r="EZR100" s="974"/>
      <c r="EZS100" s="974"/>
      <c r="EZT100" s="974"/>
      <c r="EZU100" s="974"/>
      <c r="EZV100" s="974"/>
      <c r="EZW100" s="974"/>
      <c r="EZX100" s="974"/>
      <c r="EZY100" s="974"/>
      <c r="EZZ100" s="974"/>
      <c r="FAA100" s="974"/>
      <c r="FAB100" s="974"/>
      <c r="FAC100" s="974"/>
      <c r="FAD100" s="974"/>
      <c r="FAE100" s="974"/>
      <c r="FAF100" s="974"/>
      <c r="FAG100" s="974"/>
      <c r="FAH100" s="974"/>
      <c r="FAI100" s="974"/>
      <c r="FAJ100" s="974"/>
      <c r="FAK100" s="974"/>
      <c r="FAL100" s="974"/>
      <c r="FAM100" s="974"/>
      <c r="FAN100" s="974"/>
      <c r="FAO100" s="974"/>
      <c r="FAP100" s="974"/>
      <c r="FAQ100" s="974"/>
      <c r="FAR100" s="974"/>
      <c r="FAS100" s="974"/>
      <c r="FAT100" s="974"/>
      <c r="FAU100" s="974"/>
      <c r="FAV100" s="974"/>
      <c r="FAW100" s="974"/>
      <c r="FAX100" s="974"/>
      <c r="FAY100" s="974"/>
      <c r="FAZ100" s="974"/>
      <c r="FBA100" s="974"/>
      <c r="FBB100" s="974"/>
      <c r="FBC100" s="974"/>
      <c r="FBD100" s="974"/>
      <c r="FBE100" s="974"/>
      <c r="FBF100" s="974"/>
      <c r="FBG100" s="974"/>
      <c r="FBH100" s="974"/>
      <c r="FBI100" s="974"/>
      <c r="FBJ100" s="974"/>
      <c r="FBK100" s="974"/>
      <c r="FBL100" s="974"/>
      <c r="FBM100" s="974"/>
      <c r="FBN100" s="974"/>
      <c r="FBO100" s="974"/>
      <c r="FBP100" s="974"/>
      <c r="FBQ100" s="974"/>
      <c r="FBR100" s="974"/>
      <c r="FBS100" s="974"/>
      <c r="FBT100" s="974"/>
      <c r="FBU100" s="974"/>
      <c r="FBV100" s="974"/>
      <c r="FBW100" s="974"/>
      <c r="FBX100" s="974"/>
      <c r="FBY100" s="974"/>
      <c r="FBZ100" s="974"/>
      <c r="FCA100" s="974"/>
      <c r="FCB100" s="974"/>
      <c r="FCC100" s="974"/>
      <c r="FCD100" s="974"/>
      <c r="FCE100" s="974"/>
      <c r="FCF100" s="974"/>
      <c r="FCG100" s="974"/>
      <c r="FCH100" s="974"/>
      <c r="FCI100" s="974"/>
      <c r="FCJ100" s="974"/>
      <c r="FCK100" s="974"/>
      <c r="FCL100" s="974"/>
      <c r="FCM100" s="974"/>
      <c r="FCN100" s="974"/>
      <c r="FCO100" s="974"/>
      <c r="FCP100" s="974"/>
      <c r="FCQ100" s="974"/>
      <c r="FCR100" s="974"/>
      <c r="FCS100" s="974"/>
      <c r="FCT100" s="974"/>
      <c r="FCU100" s="974"/>
      <c r="FCV100" s="974"/>
      <c r="FCW100" s="974"/>
      <c r="FCX100" s="974"/>
      <c r="FCY100" s="974"/>
      <c r="FCZ100" s="974"/>
      <c r="FDA100" s="974"/>
      <c r="FDB100" s="974"/>
      <c r="FDC100" s="974"/>
      <c r="FDD100" s="974"/>
      <c r="FDE100" s="974"/>
      <c r="FDF100" s="974"/>
      <c r="FDG100" s="974"/>
      <c r="FDH100" s="974"/>
      <c r="FDI100" s="974"/>
      <c r="FDJ100" s="974"/>
      <c r="FDK100" s="974"/>
      <c r="FDL100" s="974"/>
      <c r="FDM100" s="974"/>
      <c r="FDN100" s="974"/>
      <c r="FDO100" s="974"/>
      <c r="FDP100" s="974"/>
      <c r="FDQ100" s="974"/>
      <c r="FDR100" s="974"/>
      <c r="FDS100" s="974"/>
      <c r="FDT100" s="974"/>
      <c r="FDU100" s="974"/>
      <c r="FDV100" s="974"/>
      <c r="FDW100" s="974"/>
      <c r="FDX100" s="974"/>
      <c r="FDY100" s="974"/>
      <c r="FDZ100" s="974"/>
      <c r="FEA100" s="974"/>
      <c r="FEB100" s="974"/>
      <c r="FEC100" s="974"/>
      <c r="FED100" s="974"/>
      <c r="FEE100" s="974"/>
      <c r="FEF100" s="974"/>
      <c r="FEG100" s="974"/>
      <c r="FEH100" s="974"/>
      <c r="FEI100" s="974"/>
      <c r="FEJ100" s="974"/>
      <c r="FEK100" s="974"/>
      <c r="FEL100" s="974"/>
      <c r="FEM100" s="974"/>
      <c r="FEN100" s="974"/>
      <c r="FEO100" s="974"/>
      <c r="FEP100" s="974"/>
      <c r="FEQ100" s="974"/>
      <c r="FER100" s="974"/>
      <c r="FES100" s="974"/>
      <c r="FET100" s="974"/>
      <c r="FEU100" s="974"/>
      <c r="FEV100" s="974"/>
      <c r="FEW100" s="974"/>
      <c r="FEX100" s="974"/>
      <c r="FEY100" s="974"/>
      <c r="FEZ100" s="974"/>
      <c r="FFA100" s="974"/>
      <c r="FFB100" s="974"/>
      <c r="FFC100" s="974"/>
      <c r="FFD100" s="974"/>
      <c r="FFE100" s="974"/>
      <c r="FFF100" s="974"/>
      <c r="FFG100" s="974"/>
      <c r="FFH100" s="974"/>
      <c r="FFI100" s="974"/>
      <c r="FFJ100" s="974"/>
      <c r="FFK100" s="974"/>
      <c r="FFL100" s="974"/>
      <c r="FFM100" s="974"/>
      <c r="FFN100" s="974"/>
      <c r="FFO100" s="974"/>
      <c r="FFP100" s="974"/>
      <c r="FFQ100" s="974"/>
      <c r="FFR100" s="974"/>
      <c r="FFS100" s="974"/>
      <c r="FFT100" s="974"/>
      <c r="FFU100" s="974"/>
      <c r="FFV100" s="974"/>
      <c r="FFW100" s="974"/>
      <c r="FFX100" s="974"/>
      <c r="FFY100" s="974"/>
      <c r="FFZ100" s="974"/>
      <c r="FGA100" s="974"/>
      <c r="FGB100" s="974"/>
      <c r="FGC100" s="974"/>
      <c r="FGD100" s="974"/>
      <c r="FGE100" s="974"/>
      <c r="FGF100" s="974"/>
      <c r="FGG100" s="974"/>
      <c r="FGH100" s="974"/>
      <c r="FGI100" s="974"/>
      <c r="FGJ100" s="974"/>
      <c r="FGK100" s="974"/>
      <c r="FGL100" s="974"/>
      <c r="FGM100" s="974"/>
      <c r="FGN100" s="974"/>
      <c r="FGO100" s="974"/>
      <c r="FGP100" s="974"/>
      <c r="FGQ100" s="974"/>
      <c r="FGR100" s="974"/>
      <c r="FGS100" s="974"/>
      <c r="FGT100" s="974"/>
      <c r="FGU100" s="974"/>
      <c r="FGV100" s="974"/>
      <c r="FGW100" s="974"/>
      <c r="FGX100" s="974"/>
      <c r="FGY100" s="974"/>
      <c r="FGZ100" s="974"/>
      <c r="FHA100" s="974"/>
      <c r="FHB100" s="974"/>
      <c r="FHC100" s="974"/>
      <c r="FHD100" s="974"/>
      <c r="FHE100" s="974"/>
      <c r="FHF100" s="974"/>
      <c r="FHG100" s="974"/>
      <c r="FHH100" s="974"/>
      <c r="FHI100" s="974"/>
      <c r="FHJ100" s="974"/>
      <c r="FHK100" s="974"/>
      <c r="FHL100" s="974"/>
      <c r="FHM100" s="974"/>
      <c r="FHN100" s="974"/>
      <c r="FHO100" s="974"/>
      <c r="FHP100" s="974"/>
      <c r="FHQ100" s="974"/>
      <c r="FHR100" s="974"/>
      <c r="FHS100" s="974"/>
      <c r="FHT100" s="974"/>
      <c r="FHU100" s="974"/>
      <c r="FHV100" s="974"/>
      <c r="FHW100" s="974"/>
      <c r="FHX100" s="974"/>
      <c r="FHY100" s="974"/>
      <c r="FHZ100" s="974"/>
      <c r="FIA100" s="974"/>
      <c r="FIB100" s="974"/>
      <c r="FIC100" s="974"/>
      <c r="FID100" s="974"/>
      <c r="FIE100" s="974"/>
      <c r="FIF100" s="974"/>
      <c r="FIG100" s="974"/>
      <c r="FIH100" s="974"/>
      <c r="FII100" s="974"/>
      <c r="FIJ100" s="974"/>
      <c r="FIK100" s="974"/>
      <c r="FIL100" s="974"/>
      <c r="FIM100" s="974"/>
      <c r="FIN100" s="974"/>
      <c r="FIO100" s="974"/>
      <c r="FIP100" s="974"/>
      <c r="FIQ100" s="974"/>
      <c r="FIR100" s="974"/>
      <c r="FIS100" s="974"/>
      <c r="FIT100" s="974"/>
      <c r="FIU100" s="974"/>
      <c r="FIV100" s="974"/>
      <c r="FIW100" s="974"/>
      <c r="FIX100" s="974"/>
      <c r="FIY100" s="974"/>
      <c r="FIZ100" s="974"/>
      <c r="FJA100" s="974"/>
      <c r="FJB100" s="974"/>
      <c r="FJC100" s="974"/>
      <c r="FJD100" s="974"/>
      <c r="FJE100" s="974"/>
      <c r="FJF100" s="974"/>
      <c r="FJG100" s="974"/>
      <c r="FJH100" s="974"/>
      <c r="FJI100" s="974"/>
      <c r="FJJ100" s="974"/>
      <c r="FJK100" s="974"/>
      <c r="FJL100" s="974"/>
      <c r="FJM100" s="974"/>
      <c r="FJN100" s="974"/>
      <c r="FJO100" s="974"/>
      <c r="FJP100" s="974"/>
      <c r="FJQ100" s="974"/>
      <c r="FJR100" s="974"/>
      <c r="FJS100" s="974"/>
      <c r="FJT100" s="974"/>
      <c r="FJU100" s="974"/>
      <c r="FJV100" s="974"/>
      <c r="FJW100" s="974"/>
      <c r="FJX100" s="974"/>
      <c r="FJY100" s="974"/>
      <c r="FJZ100" s="974"/>
      <c r="FKA100" s="974"/>
      <c r="FKB100" s="974"/>
      <c r="FKC100" s="974"/>
      <c r="FKD100" s="974"/>
      <c r="FKE100" s="974"/>
      <c r="FKF100" s="974"/>
      <c r="FKG100" s="974"/>
      <c r="FKH100" s="974"/>
      <c r="FKI100" s="974"/>
      <c r="FKJ100" s="974"/>
      <c r="FKK100" s="974"/>
      <c r="FKL100" s="974"/>
      <c r="FKM100" s="974"/>
      <c r="FKN100" s="974"/>
      <c r="FKO100" s="974"/>
      <c r="FKP100" s="974"/>
      <c r="FKQ100" s="974"/>
      <c r="FKR100" s="974"/>
      <c r="FKS100" s="974"/>
      <c r="FKT100" s="974"/>
      <c r="FKU100" s="974"/>
      <c r="FKV100" s="974"/>
      <c r="FKW100" s="974"/>
      <c r="FKX100" s="974"/>
      <c r="FKY100" s="974"/>
      <c r="FKZ100" s="974"/>
      <c r="FLA100" s="974"/>
      <c r="FLB100" s="974"/>
      <c r="FLC100" s="974"/>
      <c r="FLD100" s="974"/>
      <c r="FLE100" s="974"/>
      <c r="FLF100" s="974"/>
      <c r="FLG100" s="974"/>
      <c r="FLH100" s="974"/>
      <c r="FLI100" s="974"/>
      <c r="FLJ100" s="974"/>
      <c r="FLK100" s="974"/>
      <c r="FLL100" s="974"/>
      <c r="FLM100" s="974"/>
      <c r="FLN100" s="974"/>
      <c r="FLO100" s="974"/>
      <c r="FLP100" s="974"/>
      <c r="FLQ100" s="974"/>
      <c r="FLR100" s="974"/>
      <c r="FLS100" s="974"/>
      <c r="FLT100" s="974"/>
      <c r="FLU100" s="974"/>
      <c r="FLV100" s="974"/>
      <c r="FLW100" s="974"/>
      <c r="FLX100" s="974"/>
      <c r="FLY100" s="974"/>
      <c r="FLZ100" s="974"/>
      <c r="FMA100" s="974"/>
      <c r="FMB100" s="974"/>
      <c r="FMC100" s="974"/>
      <c r="FMD100" s="974"/>
      <c r="FME100" s="974"/>
      <c r="FMF100" s="974"/>
      <c r="FMG100" s="974"/>
      <c r="FMH100" s="974"/>
      <c r="FMI100" s="974"/>
      <c r="FMJ100" s="974"/>
      <c r="FMK100" s="974"/>
      <c r="FML100" s="974"/>
      <c r="FMM100" s="974"/>
      <c r="FMN100" s="974"/>
      <c r="FMO100" s="974"/>
      <c r="FMP100" s="974"/>
      <c r="FMQ100" s="974"/>
      <c r="FMR100" s="974"/>
      <c r="FMS100" s="974"/>
      <c r="FMT100" s="974"/>
      <c r="FMU100" s="974"/>
      <c r="FMV100" s="974"/>
      <c r="FMW100" s="974"/>
      <c r="FMX100" s="974"/>
      <c r="FMY100" s="974"/>
      <c r="FMZ100" s="974"/>
      <c r="FNA100" s="974"/>
      <c r="FNB100" s="974"/>
      <c r="FNC100" s="974"/>
      <c r="FND100" s="974"/>
      <c r="FNE100" s="974"/>
      <c r="FNF100" s="974"/>
      <c r="FNG100" s="974"/>
      <c r="FNH100" s="974"/>
      <c r="FNI100" s="974"/>
      <c r="FNJ100" s="974"/>
      <c r="FNK100" s="974"/>
      <c r="FNL100" s="974"/>
      <c r="FNM100" s="974"/>
      <c r="FNN100" s="974"/>
      <c r="FNO100" s="974"/>
      <c r="FNP100" s="974"/>
      <c r="FNQ100" s="974"/>
      <c r="FNR100" s="974"/>
      <c r="FNS100" s="974"/>
      <c r="FNT100" s="974"/>
      <c r="FNU100" s="974"/>
      <c r="FNV100" s="974"/>
      <c r="FNW100" s="974"/>
      <c r="FNX100" s="974"/>
      <c r="FNY100" s="974"/>
      <c r="FNZ100" s="974"/>
      <c r="FOA100" s="974"/>
      <c r="FOB100" s="974"/>
      <c r="FOC100" s="974"/>
      <c r="FOD100" s="974"/>
      <c r="FOE100" s="974"/>
      <c r="FOF100" s="974"/>
      <c r="FOG100" s="974"/>
      <c r="FOH100" s="974"/>
      <c r="FOI100" s="974"/>
      <c r="FOJ100" s="974"/>
      <c r="FOK100" s="974"/>
      <c r="FOL100" s="974"/>
      <c r="FOM100" s="974"/>
      <c r="FON100" s="974"/>
      <c r="FOO100" s="974"/>
      <c r="FOP100" s="974"/>
      <c r="FOQ100" s="974"/>
      <c r="FOR100" s="974"/>
      <c r="FOS100" s="974"/>
      <c r="FOT100" s="974"/>
      <c r="FOU100" s="974"/>
      <c r="FOV100" s="974"/>
      <c r="FOW100" s="974"/>
      <c r="FOX100" s="974"/>
      <c r="FOY100" s="974"/>
      <c r="FOZ100" s="974"/>
      <c r="FPA100" s="974"/>
      <c r="FPB100" s="974"/>
      <c r="FPC100" s="974"/>
      <c r="FPD100" s="974"/>
      <c r="FPE100" s="974"/>
      <c r="FPF100" s="974"/>
      <c r="FPG100" s="974"/>
      <c r="FPH100" s="974"/>
      <c r="FPI100" s="974"/>
      <c r="FPJ100" s="974"/>
      <c r="FPK100" s="974"/>
      <c r="FPL100" s="974"/>
      <c r="FPM100" s="974"/>
      <c r="FPN100" s="974"/>
      <c r="FPO100" s="974"/>
      <c r="FPP100" s="974"/>
      <c r="FPQ100" s="974"/>
      <c r="FPR100" s="974"/>
      <c r="FPS100" s="974"/>
      <c r="FPT100" s="974"/>
      <c r="FPU100" s="974"/>
      <c r="FPV100" s="974"/>
      <c r="FPW100" s="974"/>
      <c r="FPX100" s="974"/>
      <c r="FPY100" s="974"/>
      <c r="FPZ100" s="974"/>
      <c r="FQA100" s="974"/>
      <c r="FQB100" s="974"/>
      <c r="FQC100" s="974"/>
      <c r="FQD100" s="974"/>
      <c r="FQE100" s="974"/>
      <c r="FQF100" s="974"/>
      <c r="FQG100" s="974"/>
      <c r="FQH100" s="974"/>
      <c r="FQI100" s="974"/>
      <c r="FQJ100" s="974"/>
      <c r="FQK100" s="974"/>
      <c r="FQL100" s="974"/>
      <c r="FQM100" s="974"/>
      <c r="FQN100" s="974"/>
      <c r="FQO100" s="974"/>
      <c r="FQP100" s="974"/>
      <c r="FQQ100" s="974"/>
      <c r="FQR100" s="974"/>
      <c r="FQS100" s="974"/>
      <c r="FQT100" s="974"/>
      <c r="FQU100" s="974"/>
      <c r="FQV100" s="974"/>
      <c r="FQW100" s="974"/>
      <c r="FQX100" s="974"/>
      <c r="FQY100" s="974"/>
      <c r="FQZ100" s="974"/>
      <c r="FRA100" s="974"/>
      <c r="FRB100" s="974"/>
      <c r="FRC100" s="974"/>
      <c r="FRD100" s="974"/>
      <c r="FRE100" s="974"/>
      <c r="FRF100" s="974"/>
      <c r="FRG100" s="974"/>
      <c r="FRH100" s="974"/>
      <c r="FRI100" s="974"/>
      <c r="FRJ100" s="974"/>
      <c r="FRK100" s="974"/>
      <c r="FRL100" s="974"/>
      <c r="FRM100" s="974"/>
      <c r="FRN100" s="974"/>
      <c r="FRO100" s="974"/>
      <c r="FRP100" s="974"/>
      <c r="FRQ100" s="974"/>
      <c r="FRR100" s="974"/>
      <c r="FRS100" s="974"/>
      <c r="FRT100" s="974"/>
      <c r="FRU100" s="974"/>
      <c r="FRV100" s="974"/>
      <c r="FRW100" s="974"/>
      <c r="FRX100" s="974"/>
      <c r="FRY100" s="974"/>
      <c r="FRZ100" s="974"/>
      <c r="FSA100" s="974"/>
      <c r="FSB100" s="974"/>
      <c r="FSC100" s="974"/>
      <c r="FSD100" s="974"/>
      <c r="FSE100" s="974"/>
      <c r="FSF100" s="974"/>
      <c r="FSG100" s="974"/>
      <c r="FSH100" s="974"/>
      <c r="FSI100" s="974"/>
      <c r="FSJ100" s="974"/>
      <c r="FSK100" s="974"/>
      <c r="FSL100" s="974"/>
      <c r="FSM100" s="974"/>
      <c r="FSN100" s="974"/>
      <c r="FSO100" s="974"/>
      <c r="FSP100" s="974"/>
      <c r="FSQ100" s="974"/>
      <c r="FSR100" s="974"/>
      <c r="FSS100" s="974"/>
      <c r="FST100" s="974"/>
      <c r="FSU100" s="974"/>
      <c r="FSV100" s="974"/>
      <c r="FSW100" s="974"/>
      <c r="FSX100" s="974"/>
      <c r="FSY100" s="974"/>
      <c r="FSZ100" s="974"/>
      <c r="FTA100" s="974"/>
      <c r="FTB100" s="974"/>
      <c r="FTC100" s="974"/>
      <c r="FTD100" s="974"/>
      <c r="FTE100" s="974"/>
      <c r="FTF100" s="974"/>
      <c r="FTG100" s="974"/>
      <c r="FTH100" s="974"/>
      <c r="FTI100" s="974"/>
      <c r="FTJ100" s="974"/>
      <c r="FTK100" s="974"/>
      <c r="FTL100" s="974"/>
      <c r="FTM100" s="974"/>
      <c r="FTN100" s="974"/>
      <c r="FTO100" s="974"/>
      <c r="FTP100" s="974"/>
      <c r="FTQ100" s="974"/>
      <c r="FTR100" s="974"/>
      <c r="FTS100" s="974"/>
      <c r="FTT100" s="974"/>
      <c r="FTU100" s="974"/>
      <c r="FTV100" s="974"/>
      <c r="FTW100" s="974"/>
      <c r="FTX100" s="974"/>
      <c r="FTY100" s="974"/>
      <c r="FTZ100" s="974"/>
      <c r="FUA100" s="974"/>
      <c r="FUB100" s="974"/>
      <c r="FUC100" s="974"/>
      <c r="FUD100" s="974"/>
      <c r="FUE100" s="974"/>
      <c r="FUF100" s="974"/>
      <c r="FUG100" s="974"/>
      <c r="FUH100" s="974"/>
      <c r="FUI100" s="974"/>
      <c r="FUJ100" s="974"/>
      <c r="FUK100" s="974"/>
      <c r="FUL100" s="974"/>
      <c r="FUM100" s="974"/>
      <c r="FUN100" s="974"/>
      <c r="FUO100" s="974"/>
      <c r="FUP100" s="974"/>
      <c r="FUQ100" s="974"/>
      <c r="FUR100" s="974"/>
      <c r="FUS100" s="974"/>
      <c r="FUT100" s="974"/>
      <c r="FUU100" s="974"/>
      <c r="FUV100" s="974"/>
      <c r="FUW100" s="974"/>
      <c r="FUX100" s="974"/>
      <c r="FUY100" s="974"/>
      <c r="FUZ100" s="974"/>
      <c r="FVA100" s="974"/>
      <c r="FVB100" s="974"/>
      <c r="FVC100" s="974"/>
      <c r="FVD100" s="974"/>
      <c r="FVE100" s="974"/>
      <c r="FVF100" s="974"/>
      <c r="FVG100" s="974"/>
      <c r="FVH100" s="974"/>
      <c r="FVI100" s="974"/>
      <c r="FVJ100" s="974"/>
      <c r="FVK100" s="974"/>
      <c r="FVL100" s="974"/>
      <c r="FVM100" s="974"/>
      <c r="FVN100" s="974"/>
      <c r="FVO100" s="974"/>
      <c r="FVP100" s="974"/>
      <c r="FVQ100" s="974"/>
      <c r="FVR100" s="974"/>
      <c r="FVS100" s="974"/>
      <c r="FVT100" s="974"/>
      <c r="FVU100" s="974"/>
      <c r="FVV100" s="974"/>
      <c r="FVW100" s="974"/>
      <c r="FVX100" s="974"/>
      <c r="FVY100" s="974"/>
      <c r="FVZ100" s="974"/>
      <c r="FWA100" s="974"/>
      <c r="FWB100" s="974"/>
      <c r="FWC100" s="974"/>
      <c r="FWD100" s="974"/>
      <c r="FWE100" s="974"/>
      <c r="FWF100" s="974"/>
      <c r="FWG100" s="974"/>
      <c r="FWH100" s="974"/>
      <c r="FWI100" s="974"/>
      <c r="FWJ100" s="974"/>
      <c r="FWK100" s="974"/>
      <c r="FWL100" s="974"/>
      <c r="FWM100" s="974"/>
      <c r="FWN100" s="974"/>
      <c r="FWO100" s="974"/>
      <c r="FWP100" s="974"/>
      <c r="FWQ100" s="974"/>
      <c r="FWR100" s="974"/>
      <c r="FWS100" s="974"/>
      <c r="FWT100" s="974"/>
      <c r="FWU100" s="974"/>
      <c r="FWV100" s="974"/>
      <c r="FWW100" s="974"/>
      <c r="FWX100" s="974"/>
      <c r="FWY100" s="974"/>
      <c r="FWZ100" s="974"/>
      <c r="FXA100" s="974"/>
      <c r="FXB100" s="974"/>
      <c r="FXC100" s="974"/>
      <c r="FXD100" s="974"/>
      <c r="FXE100" s="974"/>
      <c r="FXF100" s="974"/>
      <c r="FXG100" s="974"/>
      <c r="FXH100" s="974"/>
      <c r="FXI100" s="974"/>
      <c r="FXJ100" s="974"/>
      <c r="FXK100" s="974"/>
      <c r="FXL100" s="974"/>
      <c r="FXM100" s="974"/>
      <c r="FXN100" s="974"/>
      <c r="FXO100" s="974"/>
      <c r="FXP100" s="974"/>
      <c r="FXQ100" s="974"/>
      <c r="FXR100" s="974"/>
      <c r="FXS100" s="974"/>
      <c r="FXT100" s="974"/>
      <c r="FXU100" s="974"/>
      <c r="FXV100" s="974"/>
      <c r="FXW100" s="974"/>
      <c r="FXX100" s="974"/>
      <c r="FXY100" s="974"/>
      <c r="FXZ100" s="974"/>
      <c r="FYA100" s="974"/>
      <c r="FYB100" s="974"/>
      <c r="FYC100" s="974"/>
      <c r="FYD100" s="974"/>
      <c r="FYE100" s="974"/>
      <c r="FYF100" s="974"/>
      <c r="FYG100" s="974"/>
      <c r="FYH100" s="974"/>
      <c r="FYI100" s="974"/>
      <c r="FYJ100" s="974"/>
      <c r="FYK100" s="974"/>
      <c r="FYL100" s="974"/>
      <c r="FYM100" s="974"/>
      <c r="FYN100" s="974"/>
      <c r="FYO100" s="974"/>
      <c r="FYP100" s="974"/>
      <c r="FYQ100" s="974"/>
      <c r="FYR100" s="974"/>
      <c r="FYS100" s="974"/>
      <c r="FYT100" s="974"/>
      <c r="FYU100" s="974"/>
      <c r="FYV100" s="974"/>
      <c r="FYW100" s="974"/>
      <c r="FYX100" s="974"/>
      <c r="FYY100" s="974"/>
      <c r="FYZ100" s="974"/>
      <c r="FZA100" s="974"/>
      <c r="FZB100" s="974"/>
      <c r="FZC100" s="974"/>
      <c r="FZD100" s="974"/>
      <c r="FZE100" s="974"/>
      <c r="FZF100" s="974"/>
      <c r="FZG100" s="974"/>
      <c r="FZH100" s="974"/>
      <c r="FZI100" s="974"/>
      <c r="FZJ100" s="974"/>
      <c r="FZK100" s="974"/>
      <c r="FZL100" s="974"/>
      <c r="FZM100" s="974"/>
      <c r="FZN100" s="974"/>
      <c r="FZO100" s="974"/>
      <c r="FZP100" s="974"/>
      <c r="FZQ100" s="974"/>
      <c r="FZR100" s="974"/>
      <c r="FZS100" s="974"/>
      <c r="FZT100" s="974"/>
      <c r="FZU100" s="974"/>
      <c r="FZV100" s="974"/>
      <c r="FZW100" s="974"/>
      <c r="FZX100" s="974"/>
      <c r="FZY100" s="974"/>
      <c r="FZZ100" s="974"/>
      <c r="GAA100" s="974"/>
      <c r="GAB100" s="974"/>
      <c r="GAC100" s="974"/>
      <c r="GAD100" s="974"/>
      <c r="GAE100" s="974"/>
      <c r="GAF100" s="974"/>
      <c r="GAG100" s="974"/>
      <c r="GAH100" s="974"/>
      <c r="GAI100" s="974"/>
      <c r="GAJ100" s="974"/>
      <c r="GAK100" s="974"/>
      <c r="GAL100" s="974"/>
      <c r="GAM100" s="974"/>
      <c r="GAN100" s="974"/>
      <c r="GAO100" s="974"/>
      <c r="GAP100" s="974"/>
      <c r="GAQ100" s="974"/>
      <c r="GAR100" s="974"/>
      <c r="GAS100" s="974"/>
      <c r="GAT100" s="974"/>
      <c r="GAU100" s="974"/>
      <c r="GAV100" s="974"/>
      <c r="GAW100" s="974"/>
      <c r="GAX100" s="974"/>
      <c r="GAY100" s="974"/>
      <c r="GAZ100" s="974"/>
      <c r="GBA100" s="974"/>
      <c r="GBB100" s="974"/>
      <c r="GBC100" s="974"/>
      <c r="GBD100" s="974"/>
      <c r="GBE100" s="974"/>
      <c r="GBF100" s="974"/>
      <c r="GBG100" s="974"/>
      <c r="GBH100" s="974"/>
      <c r="GBI100" s="974"/>
      <c r="GBJ100" s="974"/>
      <c r="GBK100" s="974"/>
      <c r="GBL100" s="974"/>
      <c r="GBM100" s="974"/>
      <c r="GBN100" s="974"/>
      <c r="GBO100" s="974"/>
      <c r="GBP100" s="974"/>
      <c r="GBQ100" s="974"/>
      <c r="GBR100" s="974"/>
      <c r="GBS100" s="974"/>
      <c r="GBT100" s="974"/>
      <c r="GBU100" s="974"/>
      <c r="GBV100" s="974"/>
      <c r="GBW100" s="974"/>
      <c r="GBX100" s="974"/>
      <c r="GBY100" s="974"/>
      <c r="GBZ100" s="974"/>
      <c r="GCA100" s="974"/>
      <c r="GCB100" s="974"/>
      <c r="GCC100" s="974"/>
      <c r="GCD100" s="974"/>
      <c r="GCE100" s="974"/>
      <c r="GCF100" s="974"/>
      <c r="GCG100" s="974"/>
      <c r="GCH100" s="974"/>
      <c r="GCI100" s="974"/>
      <c r="GCJ100" s="974"/>
      <c r="GCK100" s="974"/>
      <c r="GCL100" s="974"/>
      <c r="GCM100" s="974"/>
      <c r="GCN100" s="974"/>
      <c r="GCO100" s="974"/>
      <c r="GCP100" s="974"/>
      <c r="GCQ100" s="974"/>
      <c r="GCR100" s="974"/>
      <c r="GCS100" s="974"/>
      <c r="GCT100" s="974"/>
      <c r="GCU100" s="974"/>
      <c r="GCV100" s="974"/>
      <c r="GCW100" s="974"/>
      <c r="GCX100" s="974"/>
      <c r="GCY100" s="974"/>
      <c r="GCZ100" s="974"/>
      <c r="GDA100" s="974"/>
      <c r="GDB100" s="974"/>
      <c r="GDC100" s="974"/>
      <c r="GDD100" s="974"/>
      <c r="GDE100" s="974"/>
      <c r="GDF100" s="974"/>
      <c r="GDG100" s="974"/>
      <c r="GDH100" s="974"/>
      <c r="GDI100" s="974"/>
      <c r="GDJ100" s="974"/>
      <c r="GDK100" s="974"/>
      <c r="GDL100" s="974"/>
      <c r="GDM100" s="974"/>
      <c r="GDN100" s="974"/>
      <c r="GDO100" s="974"/>
      <c r="GDP100" s="974"/>
      <c r="GDQ100" s="974"/>
      <c r="GDR100" s="974"/>
      <c r="GDS100" s="974"/>
      <c r="GDT100" s="974"/>
      <c r="GDU100" s="974"/>
      <c r="GDV100" s="974"/>
      <c r="GDW100" s="974"/>
      <c r="GDX100" s="974"/>
      <c r="GDY100" s="974"/>
      <c r="GDZ100" s="974"/>
      <c r="GEA100" s="974"/>
      <c r="GEB100" s="974"/>
      <c r="GEC100" s="974"/>
      <c r="GED100" s="974"/>
      <c r="GEE100" s="974"/>
      <c r="GEF100" s="974"/>
      <c r="GEG100" s="974"/>
      <c r="GEH100" s="974"/>
      <c r="GEI100" s="974"/>
      <c r="GEJ100" s="974"/>
      <c r="GEK100" s="974"/>
      <c r="GEL100" s="974"/>
      <c r="GEM100" s="974"/>
      <c r="GEN100" s="974"/>
      <c r="GEO100" s="974"/>
      <c r="GEP100" s="974"/>
      <c r="GEQ100" s="974"/>
      <c r="GER100" s="974"/>
      <c r="GES100" s="974"/>
      <c r="GET100" s="974"/>
      <c r="GEU100" s="974"/>
      <c r="GEV100" s="974"/>
      <c r="GEW100" s="974"/>
      <c r="GEX100" s="974"/>
      <c r="GEY100" s="974"/>
      <c r="GEZ100" s="974"/>
      <c r="GFA100" s="974"/>
      <c r="GFB100" s="974"/>
      <c r="GFC100" s="974"/>
      <c r="GFD100" s="974"/>
      <c r="GFE100" s="974"/>
      <c r="GFF100" s="974"/>
      <c r="GFG100" s="974"/>
      <c r="GFH100" s="974"/>
      <c r="GFI100" s="974"/>
      <c r="GFJ100" s="974"/>
      <c r="GFK100" s="974"/>
      <c r="GFL100" s="974"/>
      <c r="GFM100" s="974"/>
      <c r="GFN100" s="974"/>
      <c r="GFO100" s="974"/>
      <c r="GFP100" s="974"/>
      <c r="GFQ100" s="974"/>
      <c r="GFR100" s="974"/>
      <c r="GFS100" s="974"/>
      <c r="GFT100" s="974"/>
      <c r="GFU100" s="974"/>
      <c r="GFV100" s="974"/>
      <c r="GFW100" s="974"/>
      <c r="GFX100" s="974"/>
      <c r="GFY100" s="974"/>
      <c r="GFZ100" s="974"/>
      <c r="GGA100" s="974"/>
      <c r="GGB100" s="974"/>
      <c r="GGC100" s="974"/>
      <c r="GGD100" s="974"/>
      <c r="GGE100" s="974"/>
      <c r="GGF100" s="974"/>
      <c r="GGG100" s="974"/>
      <c r="GGH100" s="974"/>
      <c r="GGI100" s="974"/>
      <c r="GGJ100" s="974"/>
      <c r="GGK100" s="974"/>
      <c r="GGL100" s="974"/>
      <c r="GGM100" s="974"/>
      <c r="GGN100" s="974"/>
      <c r="GGO100" s="974"/>
      <c r="GGP100" s="974"/>
      <c r="GGQ100" s="974"/>
      <c r="GGR100" s="974"/>
      <c r="GGS100" s="974"/>
      <c r="GGT100" s="974"/>
      <c r="GGU100" s="974"/>
      <c r="GGV100" s="974"/>
      <c r="GGW100" s="974"/>
      <c r="GGX100" s="974"/>
      <c r="GGY100" s="974"/>
      <c r="GGZ100" s="974"/>
      <c r="GHA100" s="974"/>
      <c r="GHB100" s="974"/>
      <c r="GHC100" s="974"/>
      <c r="GHD100" s="974"/>
      <c r="GHE100" s="974"/>
      <c r="GHF100" s="974"/>
      <c r="GHG100" s="974"/>
      <c r="GHH100" s="974"/>
      <c r="GHI100" s="974"/>
      <c r="GHJ100" s="974"/>
      <c r="GHK100" s="974"/>
      <c r="GHL100" s="974"/>
      <c r="GHM100" s="974"/>
      <c r="GHN100" s="974"/>
      <c r="GHO100" s="974"/>
      <c r="GHP100" s="974"/>
      <c r="GHQ100" s="974"/>
      <c r="GHR100" s="974"/>
      <c r="GHS100" s="974"/>
      <c r="GHT100" s="974"/>
      <c r="GHU100" s="974"/>
      <c r="GHV100" s="974"/>
      <c r="GHW100" s="974"/>
      <c r="GHX100" s="974"/>
      <c r="GHY100" s="974"/>
      <c r="GHZ100" s="974"/>
      <c r="GIA100" s="974"/>
      <c r="GIB100" s="974"/>
      <c r="GIC100" s="974"/>
      <c r="GID100" s="974"/>
      <c r="GIE100" s="974"/>
      <c r="GIF100" s="974"/>
      <c r="GIG100" s="974"/>
      <c r="GIH100" s="974"/>
      <c r="GII100" s="974"/>
      <c r="GIJ100" s="974"/>
      <c r="GIK100" s="974"/>
      <c r="GIL100" s="974"/>
      <c r="GIM100" s="974"/>
      <c r="GIN100" s="974"/>
      <c r="GIO100" s="974"/>
      <c r="GIP100" s="974"/>
      <c r="GIQ100" s="974"/>
      <c r="GIR100" s="974"/>
      <c r="GIS100" s="974"/>
      <c r="GIT100" s="974"/>
      <c r="GIU100" s="974"/>
      <c r="GIV100" s="974"/>
      <c r="GIW100" s="974"/>
      <c r="GIX100" s="974"/>
      <c r="GIY100" s="974"/>
      <c r="GIZ100" s="974"/>
      <c r="GJA100" s="974"/>
      <c r="GJB100" s="974"/>
      <c r="GJC100" s="974"/>
      <c r="GJD100" s="974"/>
      <c r="GJE100" s="974"/>
      <c r="GJF100" s="974"/>
      <c r="GJG100" s="974"/>
      <c r="GJH100" s="974"/>
      <c r="GJI100" s="974"/>
      <c r="GJJ100" s="974"/>
      <c r="GJK100" s="974"/>
      <c r="GJL100" s="974"/>
      <c r="GJM100" s="974"/>
      <c r="GJN100" s="974"/>
      <c r="GJO100" s="974"/>
      <c r="GJP100" s="974"/>
      <c r="GJQ100" s="974"/>
      <c r="GJR100" s="974"/>
      <c r="GJS100" s="974"/>
      <c r="GJT100" s="974"/>
      <c r="GJU100" s="974"/>
      <c r="GJV100" s="974"/>
      <c r="GJW100" s="974"/>
      <c r="GJX100" s="974"/>
      <c r="GJY100" s="974"/>
      <c r="GJZ100" s="974"/>
      <c r="GKA100" s="974"/>
      <c r="GKB100" s="974"/>
      <c r="GKC100" s="974"/>
      <c r="GKD100" s="974"/>
      <c r="GKE100" s="974"/>
      <c r="GKF100" s="974"/>
      <c r="GKG100" s="974"/>
      <c r="GKH100" s="974"/>
      <c r="GKI100" s="974"/>
      <c r="GKJ100" s="974"/>
      <c r="GKK100" s="974"/>
      <c r="GKL100" s="974"/>
      <c r="GKM100" s="974"/>
      <c r="GKN100" s="974"/>
      <c r="GKO100" s="974"/>
      <c r="GKP100" s="974"/>
      <c r="GKQ100" s="974"/>
      <c r="GKR100" s="974"/>
      <c r="GKS100" s="974"/>
      <c r="GKT100" s="974"/>
      <c r="GKU100" s="974"/>
      <c r="GKV100" s="974"/>
      <c r="GKW100" s="974"/>
      <c r="GKX100" s="974"/>
      <c r="GKY100" s="974"/>
      <c r="GKZ100" s="974"/>
      <c r="GLA100" s="974"/>
      <c r="GLB100" s="974"/>
      <c r="GLC100" s="974"/>
      <c r="GLD100" s="974"/>
      <c r="GLE100" s="974"/>
      <c r="GLF100" s="974"/>
      <c r="GLG100" s="974"/>
      <c r="GLH100" s="974"/>
      <c r="GLI100" s="974"/>
      <c r="GLJ100" s="974"/>
      <c r="GLK100" s="974"/>
      <c r="GLL100" s="974"/>
      <c r="GLM100" s="974"/>
      <c r="GLN100" s="974"/>
      <c r="GLO100" s="974"/>
      <c r="GLP100" s="974"/>
      <c r="GLQ100" s="974"/>
      <c r="GLR100" s="974"/>
      <c r="GLS100" s="974"/>
      <c r="GLT100" s="974"/>
      <c r="GLU100" s="974"/>
      <c r="GLV100" s="974"/>
      <c r="GLW100" s="974"/>
      <c r="GLX100" s="974"/>
      <c r="GLY100" s="974"/>
      <c r="GLZ100" s="974"/>
      <c r="GMA100" s="974"/>
      <c r="GMB100" s="974"/>
      <c r="GMC100" s="974"/>
      <c r="GMD100" s="974"/>
      <c r="GME100" s="974"/>
      <c r="GMF100" s="974"/>
      <c r="GMG100" s="974"/>
      <c r="GMH100" s="974"/>
      <c r="GMI100" s="974"/>
      <c r="GMJ100" s="974"/>
      <c r="GMK100" s="974"/>
      <c r="GML100" s="974"/>
      <c r="GMM100" s="974"/>
      <c r="GMN100" s="974"/>
      <c r="GMO100" s="974"/>
      <c r="GMP100" s="974"/>
      <c r="GMQ100" s="974"/>
      <c r="GMR100" s="974"/>
      <c r="GMS100" s="974"/>
      <c r="GMT100" s="974"/>
      <c r="GMU100" s="974"/>
      <c r="GMV100" s="974"/>
      <c r="GMW100" s="974"/>
      <c r="GMX100" s="974"/>
      <c r="GMY100" s="974"/>
      <c r="GMZ100" s="974"/>
      <c r="GNA100" s="974"/>
      <c r="GNB100" s="974"/>
      <c r="GNC100" s="974"/>
      <c r="GND100" s="974"/>
      <c r="GNE100" s="974"/>
      <c r="GNF100" s="974"/>
      <c r="GNG100" s="974"/>
      <c r="GNH100" s="974"/>
      <c r="GNI100" s="974"/>
      <c r="GNJ100" s="974"/>
      <c r="GNK100" s="974"/>
      <c r="GNL100" s="974"/>
      <c r="GNM100" s="974"/>
      <c r="GNN100" s="974"/>
      <c r="GNO100" s="974"/>
      <c r="GNP100" s="974"/>
      <c r="GNQ100" s="974"/>
      <c r="GNR100" s="974"/>
      <c r="GNS100" s="974"/>
      <c r="GNT100" s="974"/>
      <c r="GNU100" s="974"/>
      <c r="GNV100" s="974"/>
      <c r="GNW100" s="974"/>
      <c r="GNX100" s="974"/>
      <c r="GNY100" s="974"/>
      <c r="GNZ100" s="974"/>
      <c r="GOA100" s="974"/>
      <c r="GOB100" s="974"/>
      <c r="GOC100" s="974"/>
      <c r="GOD100" s="974"/>
      <c r="GOE100" s="974"/>
      <c r="GOF100" s="974"/>
      <c r="GOG100" s="974"/>
      <c r="GOH100" s="974"/>
      <c r="GOI100" s="974"/>
      <c r="GOJ100" s="974"/>
      <c r="GOK100" s="974"/>
      <c r="GOL100" s="974"/>
      <c r="GOM100" s="974"/>
      <c r="GON100" s="974"/>
      <c r="GOO100" s="974"/>
      <c r="GOP100" s="974"/>
      <c r="GOQ100" s="974"/>
      <c r="GOR100" s="974"/>
      <c r="GOS100" s="974"/>
      <c r="GOT100" s="974"/>
      <c r="GOU100" s="974"/>
      <c r="GOV100" s="974"/>
      <c r="GOW100" s="974"/>
      <c r="GOX100" s="974"/>
      <c r="GOY100" s="974"/>
      <c r="GOZ100" s="974"/>
      <c r="GPA100" s="974"/>
      <c r="GPB100" s="974"/>
      <c r="GPC100" s="974"/>
      <c r="GPD100" s="974"/>
      <c r="GPE100" s="974"/>
      <c r="GPF100" s="974"/>
      <c r="GPG100" s="974"/>
      <c r="GPH100" s="974"/>
      <c r="GPI100" s="974"/>
      <c r="GPJ100" s="974"/>
      <c r="GPK100" s="974"/>
      <c r="GPL100" s="974"/>
      <c r="GPM100" s="974"/>
      <c r="GPN100" s="974"/>
      <c r="GPO100" s="974"/>
      <c r="GPP100" s="974"/>
      <c r="GPQ100" s="974"/>
      <c r="GPR100" s="974"/>
      <c r="GPS100" s="974"/>
      <c r="GPT100" s="974"/>
      <c r="GPU100" s="974"/>
      <c r="GPV100" s="974"/>
      <c r="GPW100" s="974"/>
      <c r="GPX100" s="974"/>
      <c r="GPY100" s="974"/>
      <c r="GPZ100" s="974"/>
      <c r="GQA100" s="974"/>
      <c r="GQB100" s="974"/>
      <c r="GQC100" s="974"/>
      <c r="GQD100" s="974"/>
      <c r="GQE100" s="974"/>
      <c r="GQF100" s="974"/>
      <c r="GQG100" s="974"/>
      <c r="GQH100" s="974"/>
      <c r="GQI100" s="974"/>
      <c r="GQJ100" s="974"/>
      <c r="GQK100" s="974"/>
      <c r="GQL100" s="974"/>
      <c r="GQM100" s="974"/>
      <c r="GQN100" s="974"/>
      <c r="GQO100" s="974"/>
      <c r="GQP100" s="974"/>
      <c r="GQQ100" s="974"/>
      <c r="GQR100" s="974"/>
      <c r="GQS100" s="974"/>
      <c r="GQT100" s="974"/>
      <c r="GQU100" s="974"/>
      <c r="GQV100" s="974"/>
      <c r="GQW100" s="974"/>
      <c r="GQX100" s="974"/>
      <c r="GQY100" s="974"/>
      <c r="GQZ100" s="974"/>
      <c r="GRA100" s="974"/>
      <c r="GRB100" s="974"/>
      <c r="GRC100" s="974"/>
      <c r="GRD100" s="974"/>
      <c r="GRE100" s="974"/>
      <c r="GRF100" s="974"/>
      <c r="GRG100" s="974"/>
      <c r="GRH100" s="974"/>
      <c r="GRI100" s="974"/>
      <c r="GRJ100" s="974"/>
      <c r="GRK100" s="974"/>
      <c r="GRL100" s="974"/>
      <c r="GRM100" s="974"/>
      <c r="GRN100" s="974"/>
      <c r="GRO100" s="974"/>
      <c r="GRP100" s="974"/>
      <c r="GRQ100" s="974"/>
      <c r="GRR100" s="974"/>
      <c r="GRS100" s="974"/>
      <c r="GRT100" s="974"/>
      <c r="GRU100" s="974"/>
      <c r="GRV100" s="974"/>
      <c r="GRW100" s="974"/>
      <c r="GRX100" s="974"/>
      <c r="GRY100" s="974"/>
      <c r="GRZ100" s="974"/>
      <c r="GSA100" s="974"/>
      <c r="GSB100" s="974"/>
      <c r="GSC100" s="974"/>
      <c r="GSD100" s="974"/>
      <c r="GSE100" s="974"/>
      <c r="GSF100" s="974"/>
      <c r="GSG100" s="974"/>
      <c r="GSH100" s="974"/>
      <c r="GSI100" s="974"/>
      <c r="GSJ100" s="974"/>
      <c r="GSK100" s="974"/>
      <c r="GSL100" s="974"/>
      <c r="GSM100" s="974"/>
      <c r="GSN100" s="974"/>
      <c r="GSO100" s="974"/>
      <c r="GSP100" s="974"/>
      <c r="GSQ100" s="974"/>
      <c r="GSR100" s="974"/>
      <c r="GSS100" s="974"/>
      <c r="GST100" s="974"/>
      <c r="GSU100" s="974"/>
      <c r="GSV100" s="974"/>
      <c r="GSW100" s="974"/>
      <c r="GSX100" s="974"/>
      <c r="GSY100" s="974"/>
      <c r="GSZ100" s="974"/>
      <c r="GTA100" s="974"/>
      <c r="GTB100" s="974"/>
      <c r="GTC100" s="974"/>
      <c r="GTD100" s="974"/>
      <c r="GTE100" s="974"/>
      <c r="GTF100" s="974"/>
      <c r="GTG100" s="974"/>
      <c r="GTH100" s="974"/>
      <c r="GTI100" s="974"/>
      <c r="GTJ100" s="974"/>
      <c r="GTK100" s="974"/>
      <c r="GTL100" s="974"/>
      <c r="GTM100" s="974"/>
      <c r="GTN100" s="974"/>
      <c r="GTO100" s="974"/>
      <c r="GTP100" s="974"/>
      <c r="GTQ100" s="974"/>
      <c r="GTR100" s="974"/>
      <c r="GTS100" s="974"/>
      <c r="GTT100" s="974"/>
      <c r="GTU100" s="974"/>
      <c r="GTV100" s="974"/>
      <c r="GTW100" s="974"/>
      <c r="GTX100" s="974"/>
      <c r="GTY100" s="974"/>
      <c r="GTZ100" s="974"/>
      <c r="GUA100" s="974"/>
      <c r="GUB100" s="974"/>
      <c r="GUC100" s="974"/>
      <c r="GUD100" s="974"/>
      <c r="GUE100" s="974"/>
      <c r="GUF100" s="974"/>
      <c r="GUG100" s="974"/>
      <c r="GUH100" s="974"/>
      <c r="GUI100" s="974"/>
      <c r="GUJ100" s="974"/>
      <c r="GUK100" s="974"/>
      <c r="GUL100" s="974"/>
      <c r="GUM100" s="974"/>
      <c r="GUN100" s="974"/>
      <c r="GUO100" s="974"/>
      <c r="GUP100" s="974"/>
      <c r="GUQ100" s="974"/>
      <c r="GUR100" s="974"/>
      <c r="GUS100" s="974"/>
      <c r="GUT100" s="974"/>
      <c r="GUU100" s="974"/>
      <c r="GUV100" s="974"/>
      <c r="GUW100" s="974"/>
      <c r="GUX100" s="974"/>
      <c r="GUY100" s="974"/>
      <c r="GUZ100" s="974"/>
      <c r="GVA100" s="974"/>
      <c r="GVB100" s="974"/>
      <c r="GVC100" s="974"/>
      <c r="GVD100" s="974"/>
      <c r="GVE100" s="974"/>
      <c r="GVF100" s="974"/>
      <c r="GVG100" s="974"/>
      <c r="GVH100" s="974"/>
      <c r="GVI100" s="974"/>
      <c r="GVJ100" s="974"/>
      <c r="GVK100" s="974"/>
      <c r="GVL100" s="974"/>
      <c r="GVM100" s="974"/>
      <c r="GVN100" s="974"/>
      <c r="GVO100" s="974"/>
      <c r="GVP100" s="974"/>
      <c r="GVQ100" s="974"/>
      <c r="GVR100" s="974"/>
      <c r="GVS100" s="974"/>
      <c r="GVT100" s="974"/>
      <c r="GVU100" s="974"/>
      <c r="GVV100" s="974"/>
      <c r="GVW100" s="974"/>
      <c r="GVX100" s="974"/>
      <c r="GVY100" s="974"/>
      <c r="GVZ100" s="974"/>
      <c r="GWA100" s="974"/>
      <c r="GWB100" s="974"/>
      <c r="GWC100" s="974"/>
      <c r="GWD100" s="974"/>
      <c r="GWE100" s="974"/>
      <c r="GWF100" s="974"/>
      <c r="GWG100" s="974"/>
      <c r="GWH100" s="974"/>
      <c r="GWI100" s="974"/>
      <c r="GWJ100" s="974"/>
      <c r="GWK100" s="974"/>
      <c r="GWL100" s="974"/>
      <c r="GWM100" s="974"/>
      <c r="GWN100" s="974"/>
      <c r="GWO100" s="974"/>
      <c r="GWP100" s="974"/>
      <c r="GWQ100" s="974"/>
      <c r="GWR100" s="974"/>
      <c r="GWS100" s="974"/>
      <c r="GWT100" s="974"/>
      <c r="GWU100" s="974"/>
      <c r="GWV100" s="974"/>
      <c r="GWW100" s="974"/>
      <c r="GWX100" s="974"/>
      <c r="GWY100" s="974"/>
      <c r="GWZ100" s="974"/>
      <c r="GXA100" s="974"/>
      <c r="GXB100" s="974"/>
      <c r="GXC100" s="974"/>
      <c r="GXD100" s="974"/>
      <c r="GXE100" s="974"/>
      <c r="GXF100" s="974"/>
      <c r="GXG100" s="974"/>
      <c r="GXH100" s="974"/>
      <c r="GXI100" s="974"/>
      <c r="GXJ100" s="974"/>
      <c r="GXK100" s="974"/>
      <c r="GXL100" s="974"/>
      <c r="GXM100" s="974"/>
      <c r="GXN100" s="974"/>
      <c r="GXO100" s="974"/>
      <c r="GXP100" s="974"/>
      <c r="GXQ100" s="974"/>
      <c r="GXR100" s="974"/>
      <c r="GXS100" s="974"/>
      <c r="GXT100" s="974"/>
      <c r="GXU100" s="974"/>
      <c r="GXV100" s="974"/>
      <c r="GXW100" s="974"/>
      <c r="GXX100" s="974"/>
      <c r="GXY100" s="974"/>
      <c r="GXZ100" s="974"/>
      <c r="GYA100" s="974"/>
      <c r="GYB100" s="974"/>
      <c r="GYC100" s="974"/>
      <c r="GYD100" s="974"/>
      <c r="GYE100" s="974"/>
      <c r="GYF100" s="974"/>
      <c r="GYG100" s="974"/>
      <c r="GYH100" s="974"/>
      <c r="GYI100" s="974"/>
      <c r="GYJ100" s="974"/>
      <c r="GYK100" s="974"/>
      <c r="GYL100" s="974"/>
      <c r="GYM100" s="974"/>
      <c r="GYN100" s="974"/>
      <c r="GYO100" s="974"/>
      <c r="GYP100" s="974"/>
      <c r="GYQ100" s="974"/>
      <c r="GYR100" s="974"/>
      <c r="GYS100" s="974"/>
      <c r="GYT100" s="974"/>
      <c r="GYU100" s="974"/>
      <c r="GYV100" s="974"/>
      <c r="GYW100" s="974"/>
      <c r="GYX100" s="974"/>
      <c r="GYY100" s="974"/>
      <c r="GYZ100" s="974"/>
      <c r="GZA100" s="974"/>
      <c r="GZB100" s="974"/>
      <c r="GZC100" s="974"/>
      <c r="GZD100" s="974"/>
      <c r="GZE100" s="974"/>
      <c r="GZF100" s="974"/>
      <c r="GZG100" s="974"/>
      <c r="GZH100" s="974"/>
      <c r="GZI100" s="974"/>
      <c r="GZJ100" s="974"/>
      <c r="GZK100" s="974"/>
      <c r="GZL100" s="974"/>
      <c r="GZM100" s="974"/>
      <c r="GZN100" s="974"/>
      <c r="GZO100" s="974"/>
      <c r="GZP100" s="974"/>
      <c r="GZQ100" s="974"/>
      <c r="GZR100" s="974"/>
      <c r="GZS100" s="974"/>
      <c r="GZT100" s="974"/>
      <c r="GZU100" s="974"/>
      <c r="GZV100" s="974"/>
      <c r="GZW100" s="974"/>
      <c r="GZX100" s="974"/>
      <c r="GZY100" s="974"/>
      <c r="GZZ100" s="974"/>
      <c r="HAA100" s="974"/>
      <c r="HAB100" s="974"/>
      <c r="HAC100" s="974"/>
      <c r="HAD100" s="974"/>
      <c r="HAE100" s="974"/>
      <c r="HAF100" s="974"/>
      <c r="HAG100" s="974"/>
      <c r="HAH100" s="974"/>
      <c r="HAI100" s="974"/>
      <c r="HAJ100" s="974"/>
      <c r="HAK100" s="974"/>
      <c r="HAL100" s="974"/>
      <c r="HAM100" s="974"/>
      <c r="HAN100" s="974"/>
      <c r="HAO100" s="974"/>
      <c r="HAP100" s="974"/>
      <c r="HAQ100" s="974"/>
      <c r="HAR100" s="974"/>
      <c r="HAS100" s="974"/>
      <c r="HAT100" s="974"/>
      <c r="HAU100" s="974"/>
      <c r="HAV100" s="974"/>
      <c r="HAW100" s="974"/>
      <c r="HAX100" s="974"/>
      <c r="HAY100" s="974"/>
      <c r="HAZ100" s="974"/>
      <c r="HBA100" s="974"/>
      <c r="HBB100" s="974"/>
      <c r="HBC100" s="974"/>
      <c r="HBD100" s="974"/>
      <c r="HBE100" s="974"/>
      <c r="HBF100" s="974"/>
      <c r="HBG100" s="974"/>
      <c r="HBH100" s="974"/>
      <c r="HBI100" s="974"/>
      <c r="HBJ100" s="974"/>
      <c r="HBK100" s="974"/>
      <c r="HBL100" s="974"/>
      <c r="HBM100" s="974"/>
      <c r="HBN100" s="974"/>
      <c r="HBO100" s="974"/>
      <c r="HBP100" s="974"/>
      <c r="HBQ100" s="974"/>
      <c r="HBR100" s="974"/>
      <c r="HBS100" s="974"/>
      <c r="HBT100" s="974"/>
      <c r="HBU100" s="974"/>
      <c r="HBV100" s="974"/>
      <c r="HBW100" s="974"/>
      <c r="HBX100" s="974"/>
      <c r="HBY100" s="974"/>
      <c r="HBZ100" s="974"/>
      <c r="HCA100" s="974"/>
      <c r="HCB100" s="974"/>
      <c r="HCC100" s="974"/>
      <c r="HCD100" s="974"/>
      <c r="HCE100" s="974"/>
      <c r="HCF100" s="974"/>
      <c r="HCG100" s="974"/>
      <c r="HCH100" s="974"/>
      <c r="HCI100" s="974"/>
      <c r="HCJ100" s="974"/>
      <c r="HCK100" s="974"/>
      <c r="HCL100" s="974"/>
      <c r="HCM100" s="974"/>
      <c r="HCN100" s="974"/>
      <c r="HCO100" s="974"/>
      <c r="HCP100" s="974"/>
      <c r="HCQ100" s="974"/>
      <c r="HCR100" s="974"/>
      <c r="HCS100" s="974"/>
      <c r="HCT100" s="974"/>
      <c r="HCU100" s="974"/>
      <c r="HCV100" s="974"/>
      <c r="HCW100" s="974"/>
      <c r="HCX100" s="974"/>
      <c r="HCY100" s="974"/>
      <c r="HCZ100" s="974"/>
      <c r="HDA100" s="974"/>
      <c r="HDB100" s="974"/>
      <c r="HDC100" s="974"/>
      <c r="HDD100" s="974"/>
      <c r="HDE100" s="974"/>
      <c r="HDF100" s="974"/>
      <c r="HDG100" s="974"/>
      <c r="HDH100" s="974"/>
      <c r="HDI100" s="974"/>
      <c r="HDJ100" s="974"/>
      <c r="HDK100" s="974"/>
      <c r="HDL100" s="974"/>
      <c r="HDM100" s="974"/>
      <c r="HDN100" s="974"/>
      <c r="HDO100" s="974"/>
      <c r="HDP100" s="974"/>
      <c r="HDQ100" s="974"/>
      <c r="HDR100" s="974"/>
      <c r="HDS100" s="974"/>
      <c r="HDT100" s="974"/>
      <c r="HDU100" s="974"/>
      <c r="HDV100" s="974"/>
      <c r="HDW100" s="974"/>
      <c r="HDX100" s="974"/>
      <c r="HDY100" s="974"/>
      <c r="HDZ100" s="974"/>
      <c r="HEA100" s="974"/>
      <c r="HEB100" s="974"/>
      <c r="HEC100" s="974"/>
      <c r="HED100" s="974"/>
      <c r="HEE100" s="974"/>
      <c r="HEF100" s="974"/>
      <c r="HEG100" s="974"/>
      <c r="HEH100" s="974"/>
      <c r="HEI100" s="974"/>
      <c r="HEJ100" s="974"/>
      <c r="HEK100" s="974"/>
      <c r="HEL100" s="974"/>
      <c r="HEM100" s="974"/>
      <c r="HEN100" s="974"/>
      <c r="HEO100" s="974"/>
      <c r="HEP100" s="974"/>
      <c r="HEQ100" s="974"/>
      <c r="HER100" s="974"/>
      <c r="HES100" s="974"/>
      <c r="HET100" s="974"/>
      <c r="HEU100" s="974"/>
      <c r="HEV100" s="974"/>
      <c r="HEW100" s="974"/>
      <c r="HEX100" s="974"/>
      <c r="HEY100" s="974"/>
      <c r="HEZ100" s="974"/>
      <c r="HFA100" s="974"/>
      <c r="HFB100" s="974"/>
      <c r="HFC100" s="974"/>
      <c r="HFD100" s="974"/>
      <c r="HFE100" s="974"/>
      <c r="HFF100" s="974"/>
      <c r="HFG100" s="974"/>
      <c r="HFH100" s="974"/>
      <c r="HFI100" s="974"/>
      <c r="HFJ100" s="974"/>
      <c r="HFK100" s="974"/>
      <c r="HFL100" s="974"/>
      <c r="HFM100" s="974"/>
      <c r="HFN100" s="974"/>
      <c r="HFO100" s="974"/>
      <c r="HFP100" s="974"/>
      <c r="HFQ100" s="974"/>
      <c r="HFR100" s="974"/>
      <c r="HFS100" s="974"/>
      <c r="HFT100" s="974"/>
      <c r="HFU100" s="974"/>
      <c r="HFV100" s="974"/>
      <c r="HFW100" s="974"/>
      <c r="HFX100" s="974"/>
      <c r="HFY100" s="974"/>
      <c r="HFZ100" s="974"/>
      <c r="HGA100" s="974"/>
      <c r="HGB100" s="974"/>
      <c r="HGC100" s="974"/>
      <c r="HGD100" s="974"/>
      <c r="HGE100" s="974"/>
      <c r="HGF100" s="974"/>
      <c r="HGG100" s="974"/>
      <c r="HGH100" s="974"/>
      <c r="HGI100" s="974"/>
      <c r="HGJ100" s="974"/>
      <c r="HGK100" s="974"/>
      <c r="HGL100" s="974"/>
      <c r="HGM100" s="974"/>
      <c r="HGN100" s="974"/>
      <c r="HGO100" s="974"/>
      <c r="HGP100" s="974"/>
      <c r="HGQ100" s="974"/>
      <c r="HGR100" s="974"/>
      <c r="HGS100" s="974"/>
      <c r="HGT100" s="974"/>
      <c r="HGU100" s="974"/>
      <c r="HGV100" s="974"/>
      <c r="HGW100" s="974"/>
      <c r="HGX100" s="974"/>
      <c r="HGY100" s="974"/>
      <c r="HGZ100" s="974"/>
      <c r="HHA100" s="974"/>
      <c r="HHB100" s="974"/>
      <c r="HHC100" s="974"/>
      <c r="HHD100" s="974"/>
      <c r="HHE100" s="974"/>
      <c r="HHF100" s="974"/>
      <c r="HHG100" s="974"/>
      <c r="HHH100" s="974"/>
      <c r="HHI100" s="974"/>
      <c r="HHJ100" s="974"/>
      <c r="HHK100" s="974"/>
      <c r="HHL100" s="974"/>
      <c r="HHM100" s="974"/>
      <c r="HHN100" s="974"/>
      <c r="HHO100" s="974"/>
      <c r="HHP100" s="974"/>
      <c r="HHQ100" s="974"/>
      <c r="HHR100" s="974"/>
      <c r="HHS100" s="974"/>
      <c r="HHT100" s="974"/>
      <c r="HHU100" s="974"/>
      <c r="HHV100" s="974"/>
      <c r="HHW100" s="974"/>
      <c r="HHX100" s="974"/>
      <c r="HHY100" s="974"/>
      <c r="HHZ100" s="974"/>
      <c r="HIA100" s="974"/>
      <c r="HIB100" s="974"/>
      <c r="HIC100" s="974"/>
      <c r="HID100" s="974"/>
      <c r="HIE100" s="974"/>
      <c r="HIF100" s="974"/>
      <c r="HIG100" s="974"/>
      <c r="HIH100" s="974"/>
      <c r="HII100" s="974"/>
      <c r="HIJ100" s="974"/>
      <c r="HIK100" s="974"/>
      <c r="HIL100" s="974"/>
      <c r="HIM100" s="974"/>
      <c r="HIN100" s="974"/>
      <c r="HIO100" s="974"/>
      <c r="HIP100" s="974"/>
      <c r="HIQ100" s="974"/>
      <c r="HIR100" s="974"/>
      <c r="HIS100" s="974"/>
      <c r="HIT100" s="974"/>
      <c r="HIU100" s="974"/>
      <c r="HIV100" s="974"/>
      <c r="HIW100" s="974"/>
      <c r="HIX100" s="974"/>
      <c r="HIY100" s="974"/>
      <c r="HIZ100" s="974"/>
      <c r="HJA100" s="974"/>
      <c r="HJB100" s="974"/>
      <c r="HJC100" s="974"/>
      <c r="HJD100" s="974"/>
      <c r="HJE100" s="974"/>
      <c r="HJF100" s="974"/>
      <c r="HJG100" s="974"/>
      <c r="HJH100" s="974"/>
      <c r="HJI100" s="974"/>
      <c r="HJJ100" s="974"/>
      <c r="HJK100" s="974"/>
      <c r="HJL100" s="974"/>
      <c r="HJM100" s="974"/>
      <c r="HJN100" s="974"/>
      <c r="HJO100" s="974"/>
      <c r="HJP100" s="974"/>
      <c r="HJQ100" s="974"/>
      <c r="HJR100" s="974"/>
      <c r="HJS100" s="974"/>
      <c r="HJT100" s="974"/>
      <c r="HJU100" s="974"/>
      <c r="HJV100" s="974"/>
      <c r="HJW100" s="974"/>
      <c r="HJX100" s="974"/>
      <c r="HJY100" s="974"/>
      <c r="HJZ100" s="974"/>
      <c r="HKA100" s="974"/>
      <c r="HKB100" s="974"/>
      <c r="HKC100" s="974"/>
      <c r="HKD100" s="974"/>
      <c r="HKE100" s="974"/>
      <c r="HKF100" s="974"/>
      <c r="HKG100" s="974"/>
      <c r="HKH100" s="974"/>
      <c r="HKI100" s="974"/>
      <c r="HKJ100" s="974"/>
      <c r="HKK100" s="974"/>
      <c r="HKL100" s="974"/>
      <c r="HKM100" s="974"/>
      <c r="HKN100" s="974"/>
      <c r="HKO100" s="974"/>
      <c r="HKP100" s="974"/>
      <c r="HKQ100" s="974"/>
      <c r="HKR100" s="974"/>
      <c r="HKS100" s="974"/>
      <c r="HKT100" s="974"/>
      <c r="HKU100" s="974"/>
      <c r="HKV100" s="974"/>
      <c r="HKW100" s="974"/>
      <c r="HKX100" s="974"/>
      <c r="HKY100" s="974"/>
      <c r="HKZ100" s="974"/>
      <c r="HLA100" s="974"/>
      <c r="HLB100" s="974"/>
      <c r="HLC100" s="974"/>
      <c r="HLD100" s="974"/>
      <c r="HLE100" s="974"/>
      <c r="HLF100" s="974"/>
      <c r="HLG100" s="974"/>
      <c r="HLH100" s="974"/>
      <c r="HLI100" s="974"/>
      <c r="HLJ100" s="974"/>
      <c r="HLK100" s="974"/>
      <c r="HLL100" s="974"/>
      <c r="HLM100" s="974"/>
      <c r="HLN100" s="974"/>
      <c r="HLO100" s="974"/>
      <c r="HLP100" s="974"/>
      <c r="HLQ100" s="974"/>
      <c r="HLR100" s="974"/>
      <c r="HLS100" s="974"/>
      <c r="HLT100" s="974"/>
      <c r="HLU100" s="974"/>
      <c r="HLV100" s="974"/>
      <c r="HLW100" s="974"/>
      <c r="HLX100" s="974"/>
      <c r="HLY100" s="974"/>
      <c r="HLZ100" s="974"/>
      <c r="HMA100" s="974"/>
      <c r="HMB100" s="974"/>
      <c r="HMC100" s="974"/>
      <c r="HMD100" s="974"/>
      <c r="HME100" s="974"/>
      <c r="HMF100" s="974"/>
      <c r="HMG100" s="974"/>
      <c r="HMH100" s="974"/>
      <c r="HMI100" s="974"/>
      <c r="HMJ100" s="974"/>
      <c r="HMK100" s="974"/>
      <c r="HML100" s="974"/>
      <c r="HMM100" s="974"/>
      <c r="HMN100" s="974"/>
      <c r="HMO100" s="974"/>
      <c r="HMP100" s="974"/>
      <c r="HMQ100" s="974"/>
      <c r="HMR100" s="974"/>
      <c r="HMS100" s="974"/>
      <c r="HMT100" s="974"/>
      <c r="HMU100" s="974"/>
      <c r="HMV100" s="974"/>
      <c r="HMW100" s="974"/>
      <c r="HMX100" s="974"/>
      <c r="HMY100" s="974"/>
      <c r="HMZ100" s="974"/>
      <c r="HNA100" s="974"/>
      <c r="HNB100" s="974"/>
      <c r="HNC100" s="974"/>
      <c r="HND100" s="974"/>
      <c r="HNE100" s="974"/>
      <c r="HNF100" s="974"/>
      <c r="HNG100" s="974"/>
      <c r="HNH100" s="974"/>
      <c r="HNI100" s="974"/>
      <c r="HNJ100" s="974"/>
      <c r="HNK100" s="974"/>
      <c r="HNL100" s="974"/>
      <c r="HNM100" s="974"/>
      <c r="HNN100" s="974"/>
      <c r="HNO100" s="974"/>
      <c r="HNP100" s="974"/>
      <c r="HNQ100" s="974"/>
      <c r="HNR100" s="974"/>
      <c r="HNS100" s="974"/>
      <c r="HNT100" s="974"/>
      <c r="HNU100" s="974"/>
      <c r="HNV100" s="974"/>
      <c r="HNW100" s="974"/>
      <c r="HNX100" s="974"/>
      <c r="HNY100" s="974"/>
      <c r="HNZ100" s="974"/>
      <c r="HOA100" s="974"/>
      <c r="HOB100" s="974"/>
      <c r="HOC100" s="974"/>
      <c r="HOD100" s="974"/>
      <c r="HOE100" s="974"/>
      <c r="HOF100" s="974"/>
      <c r="HOG100" s="974"/>
      <c r="HOH100" s="974"/>
      <c r="HOI100" s="974"/>
      <c r="HOJ100" s="974"/>
      <c r="HOK100" s="974"/>
      <c r="HOL100" s="974"/>
      <c r="HOM100" s="974"/>
      <c r="HON100" s="974"/>
      <c r="HOO100" s="974"/>
      <c r="HOP100" s="974"/>
      <c r="HOQ100" s="974"/>
      <c r="HOR100" s="974"/>
      <c r="HOS100" s="974"/>
      <c r="HOT100" s="974"/>
      <c r="HOU100" s="974"/>
      <c r="HOV100" s="974"/>
      <c r="HOW100" s="974"/>
      <c r="HOX100" s="974"/>
      <c r="HOY100" s="974"/>
      <c r="HOZ100" s="974"/>
      <c r="HPA100" s="974"/>
      <c r="HPB100" s="974"/>
      <c r="HPC100" s="974"/>
      <c r="HPD100" s="974"/>
      <c r="HPE100" s="974"/>
      <c r="HPF100" s="974"/>
      <c r="HPG100" s="974"/>
      <c r="HPH100" s="974"/>
      <c r="HPI100" s="974"/>
      <c r="HPJ100" s="974"/>
      <c r="HPK100" s="974"/>
      <c r="HPL100" s="974"/>
      <c r="HPM100" s="974"/>
      <c r="HPN100" s="974"/>
      <c r="HPO100" s="974"/>
      <c r="HPP100" s="974"/>
      <c r="HPQ100" s="974"/>
      <c r="HPR100" s="974"/>
      <c r="HPS100" s="974"/>
      <c r="HPT100" s="974"/>
      <c r="HPU100" s="974"/>
      <c r="HPV100" s="974"/>
      <c r="HPW100" s="974"/>
      <c r="HPX100" s="974"/>
      <c r="HPY100" s="974"/>
      <c r="HPZ100" s="974"/>
      <c r="HQA100" s="974"/>
      <c r="HQB100" s="974"/>
      <c r="HQC100" s="974"/>
      <c r="HQD100" s="974"/>
      <c r="HQE100" s="974"/>
      <c r="HQF100" s="974"/>
      <c r="HQG100" s="974"/>
      <c r="HQH100" s="974"/>
      <c r="HQI100" s="974"/>
      <c r="HQJ100" s="974"/>
      <c r="HQK100" s="974"/>
      <c r="HQL100" s="974"/>
      <c r="HQM100" s="974"/>
      <c r="HQN100" s="974"/>
      <c r="HQO100" s="974"/>
      <c r="HQP100" s="974"/>
      <c r="HQQ100" s="974"/>
      <c r="HQR100" s="974"/>
      <c r="HQS100" s="974"/>
      <c r="HQT100" s="974"/>
      <c r="HQU100" s="974"/>
      <c r="HQV100" s="974"/>
      <c r="HQW100" s="974"/>
      <c r="HQX100" s="974"/>
      <c r="HQY100" s="974"/>
      <c r="HQZ100" s="974"/>
      <c r="HRA100" s="974"/>
      <c r="HRB100" s="974"/>
      <c r="HRC100" s="974"/>
      <c r="HRD100" s="974"/>
      <c r="HRE100" s="974"/>
      <c r="HRF100" s="974"/>
      <c r="HRG100" s="974"/>
      <c r="HRH100" s="974"/>
      <c r="HRI100" s="974"/>
      <c r="HRJ100" s="974"/>
      <c r="HRK100" s="974"/>
      <c r="HRL100" s="974"/>
      <c r="HRM100" s="974"/>
      <c r="HRN100" s="974"/>
      <c r="HRO100" s="974"/>
      <c r="HRP100" s="974"/>
      <c r="HRQ100" s="974"/>
      <c r="HRR100" s="974"/>
      <c r="HRS100" s="974"/>
      <c r="HRT100" s="974"/>
      <c r="HRU100" s="974"/>
      <c r="HRV100" s="974"/>
      <c r="HRW100" s="974"/>
      <c r="HRX100" s="974"/>
      <c r="HRY100" s="974"/>
      <c r="HRZ100" s="974"/>
      <c r="HSA100" s="974"/>
      <c r="HSB100" s="974"/>
      <c r="HSC100" s="974"/>
      <c r="HSD100" s="974"/>
      <c r="HSE100" s="974"/>
      <c r="HSF100" s="974"/>
      <c r="HSG100" s="974"/>
      <c r="HSH100" s="974"/>
      <c r="HSI100" s="974"/>
      <c r="HSJ100" s="974"/>
      <c r="HSK100" s="974"/>
      <c r="HSL100" s="974"/>
      <c r="HSM100" s="974"/>
      <c r="HSN100" s="974"/>
      <c r="HSO100" s="974"/>
      <c r="HSP100" s="974"/>
      <c r="HSQ100" s="974"/>
      <c r="HSR100" s="974"/>
      <c r="HSS100" s="974"/>
      <c r="HST100" s="974"/>
      <c r="HSU100" s="974"/>
      <c r="HSV100" s="974"/>
      <c r="HSW100" s="974"/>
      <c r="HSX100" s="974"/>
      <c r="HSY100" s="974"/>
      <c r="HSZ100" s="974"/>
      <c r="HTA100" s="974"/>
      <c r="HTB100" s="974"/>
      <c r="HTC100" s="974"/>
      <c r="HTD100" s="974"/>
      <c r="HTE100" s="974"/>
      <c r="HTF100" s="974"/>
      <c r="HTG100" s="974"/>
      <c r="HTH100" s="974"/>
      <c r="HTI100" s="974"/>
      <c r="HTJ100" s="974"/>
      <c r="HTK100" s="974"/>
      <c r="HTL100" s="974"/>
      <c r="HTM100" s="974"/>
      <c r="HTN100" s="974"/>
      <c r="HTO100" s="974"/>
      <c r="HTP100" s="974"/>
      <c r="HTQ100" s="974"/>
      <c r="HTR100" s="974"/>
      <c r="HTS100" s="974"/>
      <c r="HTT100" s="974"/>
      <c r="HTU100" s="974"/>
      <c r="HTV100" s="974"/>
      <c r="HTW100" s="974"/>
      <c r="HTX100" s="974"/>
      <c r="HTY100" s="974"/>
      <c r="HTZ100" s="974"/>
      <c r="HUA100" s="974"/>
      <c r="HUB100" s="974"/>
      <c r="HUC100" s="974"/>
      <c r="HUD100" s="974"/>
      <c r="HUE100" s="974"/>
      <c r="HUF100" s="974"/>
      <c r="HUG100" s="974"/>
      <c r="HUH100" s="974"/>
      <c r="HUI100" s="974"/>
      <c r="HUJ100" s="974"/>
      <c r="HUK100" s="974"/>
      <c r="HUL100" s="974"/>
      <c r="HUM100" s="974"/>
      <c r="HUN100" s="974"/>
      <c r="HUO100" s="974"/>
      <c r="HUP100" s="974"/>
      <c r="HUQ100" s="974"/>
      <c r="HUR100" s="974"/>
      <c r="HUS100" s="974"/>
      <c r="HUT100" s="974"/>
      <c r="HUU100" s="974"/>
      <c r="HUV100" s="974"/>
      <c r="HUW100" s="974"/>
      <c r="HUX100" s="974"/>
      <c r="HUY100" s="974"/>
      <c r="HUZ100" s="974"/>
      <c r="HVA100" s="974"/>
      <c r="HVB100" s="974"/>
      <c r="HVC100" s="974"/>
      <c r="HVD100" s="974"/>
      <c r="HVE100" s="974"/>
      <c r="HVF100" s="974"/>
      <c r="HVG100" s="974"/>
      <c r="HVH100" s="974"/>
      <c r="HVI100" s="974"/>
      <c r="HVJ100" s="974"/>
      <c r="HVK100" s="974"/>
      <c r="HVL100" s="974"/>
      <c r="HVM100" s="974"/>
      <c r="HVN100" s="974"/>
      <c r="HVO100" s="974"/>
      <c r="HVP100" s="974"/>
      <c r="HVQ100" s="974"/>
      <c r="HVR100" s="974"/>
      <c r="HVS100" s="974"/>
      <c r="HVT100" s="974"/>
      <c r="HVU100" s="974"/>
      <c r="HVV100" s="974"/>
      <c r="HVW100" s="974"/>
      <c r="HVX100" s="974"/>
      <c r="HVY100" s="974"/>
      <c r="HVZ100" s="974"/>
      <c r="HWA100" s="974"/>
      <c r="HWB100" s="974"/>
      <c r="HWC100" s="974"/>
      <c r="HWD100" s="974"/>
      <c r="HWE100" s="974"/>
      <c r="HWF100" s="974"/>
      <c r="HWG100" s="974"/>
      <c r="HWH100" s="974"/>
      <c r="HWI100" s="974"/>
      <c r="HWJ100" s="974"/>
      <c r="HWK100" s="974"/>
      <c r="HWL100" s="974"/>
      <c r="HWM100" s="974"/>
      <c r="HWN100" s="974"/>
      <c r="HWO100" s="974"/>
      <c r="HWP100" s="974"/>
      <c r="HWQ100" s="974"/>
      <c r="HWR100" s="974"/>
      <c r="HWS100" s="974"/>
      <c r="HWT100" s="974"/>
      <c r="HWU100" s="974"/>
      <c r="HWV100" s="974"/>
      <c r="HWW100" s="974"/>
      <c r="HWX100" s="974"/>
      <c r="HWY100" s="974"/>
      <c r="HWZ100" s="974"/>
      <c r="HXA100" s="974"/>
      <c r="HXB100" s="974"/>
      <c r="HXC100" s="974"/>
      <c r="HXD100" s="974"/>
      <c r="HXE100" s="974"/>
      <c r="HXF100" s="974"/>
      <c r="HXG100" s="974"/>
      <c r="HXH100" s="974"/>
      <c r="HXI100" s="974"/>
      <c r="HXJ100" s="974"/>
      <c r="HXK100" s="974"/>
      <c r="HXL100" s="974"/>
      <c r="HXM100" s="974"/>
      <c r="HXN100" s="974"/>
      <c r="HXO100" s="974"/>
      <c r="HXP100" s="974"/>
      <c r="HXQ100" s="974"/>
      <c r="HXR100" s="974"/>
      <c r="HXS100" s="974"/>
      <c r="HXT100" s="974"/>
      <c r="HXU100" s="974"/>
      <c r="HXV100" s="974"/>
      <c r="HXW100" s="974"/>
      <c r="HXX100" s="974"/>
      <c r="HXY100" s="974"/>
      <c r="HXZ100" s="974"/>
      <c r="HYA100" s="974"/>
      <c r="HYB100" s="974"/>
      <c r="HYC100" s="974"/>
      <c r="HYD100" s="974"/>
      <c r="HYE100" s="974"/>
      <c r="HYF100" s="974"/>
      <c r="HYG100" s="974"/>
      <c r="HYH100" s="974"/>
      <c r="HYI100" s="974"/>
      <c r="HYJ100" s="974"/>
      <c r="HYK100" s="974"/>
      <c r="HYL100" s="974"/>
      <c r="HYM100" s="974"/>
      <c r="HYN100" s="974"/>
      <c r="HYO100" s="974"/>
      <c r="HYP100" s="974"/>
      <c r="HYQ100" s="974"/>
      <c r="HYR100" s="974"/>
      <c r="HYS100" s="974"/>
      <c r="HYT100" s="974"/>
      <c r="HYU100" s="974"/>
      <c r="HYV100" s="974"/>
      <c r="HYW100" s="974"/>
      <c r="HYX100" s="974"/>
      <c r="HYY100" s="974"/>
      <c r="HYZ100" s="974"/>
      <c r="HZA100" s="974"/>
      <c r="HZB100" s="974"/>
      <c r="HZC100" s="974"/>
      <c r="HZD100" s="974"/>
      <c r="HZE100" s="974"/>
      <c r="HZF100" s="974"/>
      <c r="HZG100" s="974"/>
      <c r="HZH100" s="974"/>
      <c r="HZI100" s="974"/>
      <c r="HZJ100" s="974"/>
      <c r="HZK100" s="974"/>
      <c r="HZL100" s="974"/>
      <c r="HZM100" s="974"/>
      <c r="HZN100" s="974"/>
      <c r="HZO100" s="974"/>
      <c r="HZP100" s="974"/>
      <c r="HZQ100" s="974"/>
      <c r="HZR100" s="974"/>
      <c r="HZS100" s="974"/>
      <c r="HZT100" s="974"/>
      <c r="HZU100" s="974"/>
      <c r="HZV100" s="974"/>
      <c r="HZW100" s="974"/>
      <c r="HZX100" s="974"/>
      <c r="HZY100" s="974"/>
      <c r="HZZ100" s="974"/>
      <c r="IAA100" s="974"/>
      <c r="IAB100" s="974"/>
      <c r="IAC100" s="974"/>
      <c r="IAD100" s="974"/>
      <c r="IAE100" s="974"/>
      <c r="IAF100" s="974"/>
      <c r="IAG100" s="974"/>
      <c r="IAH100" s="974"/>
      <c r="IAI100" s="974"/>
      <c r="IAJ100" s="974"/>
      <c r="IAK100" s="974"/>
      <c r="IAL100" s="974"/>
      <c r="IAM100" s="974"/>
      <c r="IAN100" s="974"/>
      <c r="IAO100" s="974"/>
      <c r="IAP100" s="974"/>
      <c r="IAQ100" s="974"/>
      <c r="IAR100" s="974"/>
      <c r="IAS100" s="974"/>
      <c r="IAT100" s="974"/>
      <c r="IAU100" s="974"/>
      <c r="IAV100" s="974"/>
      <c r="IAW100" s="974"/>
      <c r="IAX100" s="974"/>
      <c r="IAY100" s="974"/>
      <c r="IAZ100" s="974"/>
      <c r="IBA100" s="974"/>
      <c r="IBB100" s="974"/>
      <c r="IBC100" s="974"/>
      <c r="IBD100" s="974"/>
      <c r="IBE100" s="974"/>
      <c r="IBF100" s="974"/>
      <c r="IBG100" s="974"/>
      <c r="IBH100" s="974"/>
      <c r="IBI100" s="974"/>
      <c r="IBJ100" s="974"/>
      <c r="IBK100" s="974"/>
      <c r="IBL100" s="974"/>
      <c r="IBM100" s="974"/>
      <c r="IBN100" s="974"/>
      <c r="IBO100" s="974"/>
      <c r="IBP100" s="974"/>
      <c r="IBQ100" s="974"/>
      <c r="IBR100" s="974"/>
      <c r="IBS100" s="974"/>
      <c r="IBT100" s="974"/>
      <c r="IBU100" s="974"/>
      <c r="IBV100" s="974"/>
      <c r="IBW100" s="974"/>
      <c r="IBX100" s="974"/>
      <c r="IBY100" s="974"/>
      <c r="IBZ100" s="974"/>
      <c r="ICA100" s="974"/>
      <c r="ICB100" s="974"/>
      <c r="ICC100" s="974"/>
      <c r="ICD100" s="974"/>
      <c r="ICE100" s="974"/>
      <c r="ICF100" s="974"/>
      <c r="ICG100" s="974"/>
      <c r="ICH100" s="974"/>
      <c r="ICI100" s="974"/>
      <c r="ICJ100" s="974"/>
      <c r="ICK100" s="974"/>
      <c r="ICL100" s="974"/>
      <c r="ICM100" s="974"/>
      <c r="ICN100" s="974"/>
      <c r="ICO100" s="974"/>
      <c r="ICP100" s="974"/>
      <c r="ICQ100" s="974"/>
      <c r="ICR100" s="974"/>
      <c r="ICS100" s="974"/>
      <c r="ICT100" s="974"/>
      <c r="ICU100" s="974"/>
      <c r="ICV100" s="974"/>
      <c r="ICW100" s="974"/>
      <c r="ICX100" s="974"/>
      <c r="ICY100" s="974"/>
      <c r="ICZ100" s="974"/>
      <c r="IDA100" s="974"/>
      <c r="IDB100" s="974"/>
      <c r="IDC100" s="974"/>
      <c r="IDD100" s="974"/>
      <c r="IDE100" s="974"/>
      <c r="IDF100" s="974"/>
      <c r="IDG100" s="974"/>
      <c r="IDH100" s="974"/>
      <c r="IDI100" s="974"/>
      <c r="IDJ100" s="974"/>
      <c r="IDK100" s="974"/>
      <c r="IDL100" s="974"/>
      <c r="IDM100" s="974"/>
      <c r="IDN100" s="974"/>
      <c r="IDO100" s="974"/>
      <c r="IDP100" s="974"/>
      <c r="IDQ100" s="974"/>
      <c r="IDR100" s="974"/>
      <c r="IDS100" s="974"/>
      <c r="IDT100" s="974"/>
      <c r="IDU100" s="974"/>
      <c r="IDV100" s="974"/>
      <c r="IDW100" s="974"/>
      <c r="IDX100" s="974"/>
      <c r="IDY100" s="974"/>
      <c r="IDZ100" s="974"/>
      <c r="IEA100" s="974"/>
      <c r="IEB100" s="974"/>
      <c r="IEC100" s="974"/>
      <c r="IED100" s="974"/>
      <c r="IEE100" s="974"/>
      <c r="IEF100" s="974"/>
      <c r="IEG100" s="974"/>
      <c r="IEH100" s="974"/>
      <c r="IEI100" s="974"/>
      <c r="IEJ100" s="974"/>
      <c r="IEK100" s="974"/>
      <c r="IEL100" s="974"/>
      <c r="IEM100" s="974"/>
      <c r="IEN100" s="974"/>
      <c r="IEO100" s="974"/>
      <c r="IEP100" s="974"/>
      <c r="IEQ100" s="974"/>
      <c r="IER100" s="974"/>
      <c r="IES100" s="974"/>
      <c r="IET100" s="974"/>
      <c r="IEU100" s="974"/>
      <c r="IEV100" s="974"/>
      <c r="IEW100" s="974"/>
      <c r="IEX100" s="974"/>
      <c r="IEY100" s="974"/>
      <c r="IEZ100" s="974"/>
      <c r="IFA100" s="974"/>
      <c r="IFB100" s="974"/>
      <c r="IFC100" s="974"/>
      <c r="IFD100" s="974"/>
      <c r="IFE100" s="974"/>
      <c r="IFF100" s="974"/>
      <c r="IFG100" s="974"/>
      <c r="IFH100" s="974"/>
      <c r="IFI100" s="974"/>
      <c r="IFJ100" s="974"/>
      <c r="IFK100" s="974"/>
      <c r="IFL100" s="974"/>
      <c r="IFM100" s="974"/>
      <c r="IFN100" s="974"/>
      <c r="IFO100" s="974"/>
      <c r="IFP100" s="974"/>
      <c r="IFQ100" s="974"/>
      <c r="IFR100" s="974"/>
      <c r="IFS100" s="974"/>
      <c r="IFT100" s="974"/>
      <c r="IFU100" s="974"/>
      <c r="IFV100" s="974"/>
      <c r="IFW100" s="974"/>
      <c r="IFX100" s="974"/>
      <c r="IFY100" s="974"/>
      <c r="IFZ100" s="974"/>
      <c r="IGA100" s="974"/>
      <c r="IGB100" s="974"/>
      <c r="IGC100" s="974"/>
      <c r="IGD100" s="974"/>
      <c r="IGE100" s="974"/>
      <c r="IGF100" s="974"/>
      <c r="IGG100" s="974"/>
      <c r="IGH100" s="974"/>
      <c r="IGI100" s="974"/>
      <c r="IGJ100" s="974"/>
      <c r="IGK100" s="974"/>
      <c r="IGL100" s="974"/>
      <c r="IGM100" s="974"/>
      <c r="IGN100" s="974"/>
      <c r="IGO100" s="974"/>
      <c r="IGP100" s="974"/>
      <c r="IGQ100" s="974"/>
      <c r="IGR100" s="974"/>
      <c r="IGS100" s="974"/>
      <c r="IGT100" s="974"/>
      <c r="IGU100" s="974"/>
      <c r="IGV100" s="974"/>
      <c r="IGW100" s="974"/>
      <c r="IGX100" s="974"/>
      <c r="IGY100" s="974"/>
      <c r="IGZ100" s="974"/>
      <c r="IHA100" s="974"/>
      <c r="IHB100" s="974"/>
      <c r="IHC100" s="974"/>
      <c r="IHD100" s="974"/>
      <c r="IHE100" s="974"/>
      <c r="IHF100" s="974"/>
      <c r="IHG100" s="974"/>
      <c r="IHH100" s="974"/>
      <c r="IHI100" s="974"/>
      <c r="IHJ100" s="974"/>
      <c r="IHK100" s="974"/>
      <c r="IHL100" s="974"/>
      <c r="IHM100" s="974"/>
      <c r="IHN100" s="974"/>
      <c r="IHO100" s="974"/>
      <c r="IHP100" s="974"/>
      <c r="IHQ100" s="974"/>
      <c r="IHR100" s="974"/>
      <c r="IHS100" s="974"/>
      <c r="IHT100" s="974"/>
      <c r="IHU100" s="974"/>
      <c r="IHV100" s="974"/>
      <c r="IHW100" s="974"/>
      <c r="IHX100" s="974"/>
      <c r="IHY100" s="974"/>
      <c r="IHZ100" s="974"/>
      <c r="IIA100" s="974"/>
      <c r="IIB100" s="974"/>
      <c r="IIC100" s="974"/>
      <c r="IID100" s="974"/>
      <c r="IIE100" s="974"/>
      <c r="IIF100" s="974"/>
      <c r="IIG100" s="974"/>
      <c r="IIH100" s="974"/>
      <c r="III100" s="974"/>
      <c r="IIJ100" s="974"/>
      <c r="IIK100" s="974"/>
      <c r="IIL100" s="974"/>
      <c r="IIM100" s="974"/>
      <c r="IIN100" s="974"/>
      <c r="IIO100" s="974"/>
      <c r="IIP100" s="974"/>
      <c r="IIQ100" s="974"/>
      <c r="IIR100" s="974"/>
      <c r="IIS100" s="974"/>
      <c r="IIT100" s="974"/>
      <c r="IIU100" s="974"/>
      <c r="IIV100" s="974"/>
      <c r="IIW100" s="974"/>
      <c r="IIX100" s="974"/>
      <c r="IIY100" s="974"/>
      <c r="IIZ100" s="974"/>
      <c r="IJA100" s="974"/>
      <c r="IJB100" s="974"/>
      <c r="IJC100" s="974"/>
      <c r="IJD100" s="974"/>
      <c r="IJE100" s="974"/>
      <c r="IJF100" s="974"/>
      <c r="IJG100" s="974"/>
      <c r="IJH100" s="974"/>
      <c r="IJI100" s="974"/>
      <c r="IJJ100" s="974"/>
      <c r="IJK100" s="974"/>
      <c r="IJL100" s="974"/>
      <c r="IJM100" s="974"/>
      <c r="IJN100" s="974"/>
      <c r="IJO100" s="974"/>
      <c r="IJP100" s="974"/>
      <c r="IJQ100" s="974"/>
      <c r="IJR100" s="974"/>
      <c r="IJS100" s="974"/>
      <c r="IJT100" s="974"/>
      <c r="IJU100" s="974"/>
      <c r="IJV100" s="974"/>
      <c r="IJW100" s="974"/>
      <c r="IJX100" s="974"/>
      <c r="IJY100" s="974"/>
      <c r="IJZ100" s="974"/>
      <c r="IKA100" s="974"/>
      <c r="IKB100" s="974"/>
      <c r="IKC100" s="974"/>
      <c r="IKD100" s="974"/>
      <c r="IKE100" s="974"/>
      <c r="IKF100" s="974"/>
      <c r="IKG100" s="974"/>
      <c r="IKH100" s="974"/>
      <c r="IKI100" s="974"/>
      <c r="IKJ100" s="974"/>
      <c r="IKK100" s="974"/>
      <c r="IKL100" s="974"/>
      <c r="IKM100" s="974"/>
      <c r="IKN100" s="974"/>
      <c r="IKO100" s="974"/>
      <c r="IKP100" s="974"/>
      <c r="IKQ100" s="974"/>
      <c r="IKR100" s="974"/>
      <c r="IKS100" s="974"/>
      <c r="IKT100" s="974"/>
      <c r="IKU100" s="974"/>
      <c r="IKV100" s="974"/>
      <c r="IKW100" s="974"/>
      <c r="IKX100" s="974"/>
      <c r="IKY100" s="974"/>
      <c r="IKZ100" s="974"/>
      <c r="ILA100" s="974"/>
      <c r="ILB100" s="974"/>
      <c r="ILC100" s="974"/>
      <c r="ILD100" s="974"/>
      <c r="ILE100" s="974"/>
      <c r="ILF100" s="974"/>
      <c r="ILG100" s="974"/>
      <c r="ILH100" s="974"/>
      <c r="ILI100" s="974"/>
      <c r="ILJ100" s="974"/>
      <c r="ILK100" s="974"/>
      <c r="ILL100" s="974"/>
      <c r="ILM100" s="974"/>
      <c r="ILN100" s="974"/>
      <c r="ILO100" s="974"/>
      <c r="ILP100" s="974"/>
      <c r="ILQ100" s="974"/>
      <c r="ILR100" s="974"/>
      <c r="ILS100" s="974"/>
      <c r="ILT100" s="974"/>
      <c r="ILU100" s="974"/>
      <c r="ILV100" s="974"/>
      <c r="ILW100" s="974"/>
      <c r="ILX100" s="974"/>
      <c r="ILY100" s="974"/>
      <c r="ILZ100" s="974"/>
      <c r="IMA100" s="974"/>
      <c r="IMB100" s="974"/>
      <c r="IMC100" s="974"/>
      <c r="IMD100" s="974"/>
      <c r="IME100" s="974"/>
      <c r="IMF100" s="974"/>
      <c r="IMG100" s="974"/>
      <c r="IMH100" s="974"/>
      <c r="IMI100" s="974"/>
      <c r="IMJ100" s="974"/>
      <c r="IMK100" s="974"/>
      <c r="IML100" s="974"/>
      <c r="IMM100" s="974"/>
      <c r="IMN100" s="974"/>
      <c r="IMO100" s="974"/>
      <c r="IMP100" s="974"/>
      <c r="IMQ100" s="974"/>
      <c r="IMR100" s="974"/>
      <c r="IMS100" s="974"/>
      <c r="IMT100" s="974"/>
      <c r="IMU100" s="974"/>
      <c r="IMV100" s="974"/>
      <c r="IMW100" s="974"/>
      <c r="IMX100" s="974"/>
      <c r="IMY100" s="974"/>
      <c r="IMZ100" s="974"/>
      <c r="INA100" s="974"/>
      <c r="INB100" s="974"/>
      <c r="INC100" s="974"/>
      <c r="IND100" s="974"/>
      <c r="INE100" s="974"/>
      <c r="INF100" s="974"/>
      <c r="ING100" s="974"/>
      <c r="INH100" s="974"/>
      <c r="INI100" s="974"/>
      <c r="INJ100" s="974"/>
      <c r="INK100" s="974"/>
      <c r="INL100" s="974"/>
      <c r="INM100" s="974"/>
      <c r="INN100" s="974"/>
      <c r="INO100" s="974"/>
      <c r="INP100" s="974"/>
      <c r="INQ100" s="974"/>
      <c r="INR100" s="974"/>
      <c r="INS100" s="974"/>
      <c r="INT100" s="974"/>
      <c r="INU100" s="974"/>
      <c r="INV100" s="974"/>
      <c r="INW100" s="974"/>
      <c r="INX100" s="974"/>
      <c r="INY100" s="974"/>
      <c r="INZ100" s="974"/>
      <c r="IOA100" s="974"/>
      <c r="IOB100" s="974"/>
      <c r="IOC100" s="974"/>
      <c r="IOD100" s="974"/>
      <c r="IOE100" s="974"/>
      <c r="IOF100" s="974"/>
      <c r="IOG100" s="974"/>
      <c r="IOH100" s="974"/>
      <c r="IOI100" s="974"/>
      <c r="IOJ100" s="974"/>
      <c r="IOK100" s="974"/>
      <c r="IOL100" s="974"/>
      <c r="IOM100" s="974"/>
      <c r="ION100" s="974"/>
      <c r="IOO100" s="974"/>
      <c r="IOP100" s="974"/>
      <c r="IOQ100" s="974"/>
      <c r="IOR100" s="974"/>
      <c r="IOS100" s="974"/>
      <c r="IOT100" s="974"/>
      <c r="IOU100" s="974"/>
      <c r="IOV100" s="974"/>
      <c r="IOW100" s="974"/>
      <c r="IOX100" s="974"/>
      <c r="IOY100" s="974"/>
      <c r="IOZ100" s="974"/>
      <c r="IPA100" s="974"/>
      <c r="IPB100" s="974"/>
      <c r="IPC100" s="974"/>
      <c r="IPD100" s="974"/>
      <c r="IPE100" s="974"/>
      <c r="IPF100" s="974"/>
      <c r="IPG100" s="974"/>
      <c r="IPH100" s="974"/>
      <c r="IPI100" s="974"/>
      <c r="IPJ100" s="974"/>
      <c r="IPK100" s="974"/>
      <c r="IPL100" s="974"/>
      <c r="IPM100" s="974"/>
      <c r="IPN100" s="974"/>
      <c r="IPO100" s="974"/>
      <c r="IPP100" s="974"/>
      <c r="IPQ100" s="974"/>
      <c r="IPR100" s="974"/>
      <c r="IPS100" s="974"/>
      <c r="IPT100" s="974"/>
      <c r="IPU100" s="974"/>
      <c r="IPV100" s="974"/>
      <c r="IPW100" s="974"/>
      <c r="IPX100" s="974"/>
      <c r="IPY100" s="974"/>
      <c r="IPZ100" s="974"/>
      <c r="IQA100" s="974"/>
      <c r="IQB100" s="974"/>
      <c r="IQC100" s="974"/>
      <c r="IQD100" s="974"/>
      <c r="IQE100" s="974"/>
      <c r="IQF100" s="974"/>
      <c r="IQG100" s="974"/>
      <c r="IQH100" s="974"/>
      <c r="IQI100" s="974"/>
      <c r="IQJ100" s="974"/>
      <c r="IQK100" s="974"/>
      <c r="IQL100" s="974"/>
      <c r="IQM100" s="974"/>
      <c r="IQN100" s="974"/>
      <c r="IQO100" s="974"/>
      <c r="IQP100" s="974"/>
      <c r="IQQ100" s="974"/>
      <c r="IQR100" s="974"/>
      <c r="IQS100" s="974"/>
      <c r="IQT100" s="974"/>
      <c r="IQU100" s="974"/>
      <c r="IQV100" s="974"/>
      <c r="IQW100" s="974"/>
      <c r="IQX100" s="974"/>
      <c r="IQY100" s="974"/>
      <c r="IQZ100" s="974"/>
      <c r="IRA100" s="974"/>
      <c r="IRB100" s="974"/>
      <c r="IRC100" s="974"/>
      <c r="IRD100" s="974"/>
      <c r="IRE100" s="974"/>
      <c r="IRF100" s="974"/>
      <c r="IRG100" s="974"/>
      <c r="IRH100" s="974"/>
      <c r="IRI100" s="974"/>
      <c r="IRJ100" s="974"/>
      <c r="IRK100" s="974"/>
      <c r="IRL100" s="974"/>
      <c r="IRM100" s="974"/>
      <c r="IRN100" s="974"/>
      <c r="IRO100" s="974"/>
      <c r="IRP100" s="974"/>
      <c r="IRQ100" s="974"/>
      <c r="IRR100" s="974"/>
      <c r="IRS100" s="974"/>
      <c r="IRT100" s="974"/>
      <c r="IRU100" s="974"/>
      <c r="IRV100" s="974"/>
      <c r="IRW100" s="974"/>
      <c r="IRX100" s="974"/>
      <c r="IRY100" s="974"/>
      <c r="IRZ100" s="974"/>
      <c r="ISA100" s="974"/>
      <c r="ISB100" s="974"/>
      <c r="ISC100" s="974"/>
      <c r="ISD100" s="974"/>
      <c r="ISE100" s="974"/>
      <c r="ISF100" s="974"/>
      <c r="ISG100" s="974"/>
      <c r="ISH100" s="974"/>
      <c r="ISI100" s="974"/>
      <c r="ISJ100" s="974"/>
      <c r="ISK100" s="974"/>
      <c r="ISL100" s="974"/>
      <c r="ISM100" s="974"/>
      <c r="ISN100" s="974"/>
      <c r="ISO100" s="974"/>
      <c r="ISP100" s="974"/>
      <c r="ISQ100" s="974"/>
      <c r="ISR100" s="974"/>
      <c r="ISS100" s="974"/>
      <c r="IST100" s="974"/>
      <c r="ISU100" s="974"/>
      <c r="ISV100" s="974"/>
      <c r="ISW100" s="974"/>
      <c r="ISX100" s="974"/>
      <c r="ISY100" s="974"/>
      <c r="ISZ100" s="974"/>
      <c r="ITA100" s="974"/>
      <c r="ITB100" s="974"/>
      <c r="ITC100" s="974"/>
      <c r="ITD100" s="974"/>
      <c r="ITE100" s="974"/>
      <c r="ITF100" s="974"/>
      <c r="ITG100" s="974"/>
      <c r="ITH100" s="974"/>
      <c r="ITI100" s="974"/>
      <c r="ITJ100" s="974"/>
      <c r="ITK100" s="974"/>
      <c r="ITL100" s="974"/>
      <c r="ITM100" s="974"/>
      <c r="ITN100" s="974"/>
      <c r="ITO100" s="974"/>
      <c r="ITP100" s="974"/>
      <c r="ITQ100" s="974"/>
      <c r="ITR100" s="974"/>
      <c r="ITS100" s="974"/>
      <c r="ITT100" s="974"/>
      <c r="ITU100" s="974"/>
      <c r="ITV100" s="974"/>
      <c r="ITW100" s="974"/>
      <c r="ITX100" s="974"/>
      <c r="ITY100" s="974"/>
      <c r="ITZ100" s="974"/>
      <c r="IUA100" s="974"/>
      <c r="IUB100" s="974"/>
      <c r="IUC100" s="974"/>
      <c r="IUD100" s="974"/>
      <c r="IUE100" s="974"/>
      <c r="IUF100" s="974"/>
      <c r="IUG100" s="974"/>
      <c r="IUH100" s="974"/>
      <c r="IUI100" s="974"/>
      <c r="IUJ100" s="974"/>
      <c r="IUK100" s="974"/>
      <c r="IUL100" s="974"/>
      <c r="IUM100" s="974"/>
      <c r="IUN100" s="974"/>
      <c r="IUO100" s="974"/>
      <c r="IUP100" s="974"/>
      <c r="IUQ100" s="974"/>
      <c r="IUR100" s="974"/>
      <c r="IUS100" s="974"/>
      <c r="IUT100" s="974"/>
      <c r="IUU100" s="974"/>
      <c r="IUV100" s="974"/>
      <c r="IUW100" s="974"/>
      <c r="IUX100" s="974"/>
      <c r="IUY100" s="974"/>
      <c r="IUZ100" s="974"/>
      <c r="IVA100" s="974"/>
      <c r="IVB100" s="974"/>
      <c r="IVC100" s="974"/>
      <c r="IVD100" s="974"/>
      <c r="IVE100" s="974"/>
      <c r="IVF100" s="974"/>
      <c r="IVG100" s="974"/>
      <c r="IVH100" s="974"/>
      <c r="IVI100" s="974"/>
      <c r="IVJ100" s="974"/>
      <c r="IVK100" s="974"/>
      <c r="IVL100" s="974"/>
      <c r="IVM100" s="974"/>
      <c r="IVN100" s="974"/>
      <c r="IVO100" s="974"/>
      <c r="IVP100" s="974"/>
      <c r="IVQ100" s="974"/>
      <c r="IVR100" s="974"/>
      <c r="IVS100" s="974"/>
      <c r="IVT100" s="974"/>
      <c r="IVU100" s="974"/>
      <c r="IVV100" s="974"/>
      <c r="IVW100" s="974"/>
      <c r="IVX100" s="974"/>
      <c r="IVY100" s="974"/>
      <c r="IVZ100" s="974"/>
      <c r="IWA100" s="974"/>
      <c r="IWB100" s="974"/>
      <c r="IWC100" s="974"/>
      <c r="IWD100" s="974"/>
      <c r="IWE100" s="974"/>
      <c r="IWF100" s="974"/>
      <c r="IWG100" s="974"/>
      <c r="IWH100" s="974"/>
      <c r="IWI100" s="974"/>
      <c r="IWJ100" s="974"/>
      <c r="IWK100" s="974"/>
      <c r="IWL100" s="974"/>
      <c r="IWM100" s="974"/>
      <c r="IWN100" s="974"/>
      <c r="IWO100" s="974"/>
      <c r="IWP100" s="974"/>
      <c r="IWQ100" s="974"/>
      <c r="IWR100" s="974"/>
      <c r="IWS100" s="974"/>
      <c r="IWT100" s="974"/>
      <c r="IWU100" s="974"/>
      <c r="IWV100" s="974"/>
      <c r="IWW100" s="974"/>
      <c r="IWX100" s="974"/>
      <c r="IWY100" s="974"/>
      <c r="IWZ100" s="974"/>
      <c r="IXA100" s="974"/>
      <c r="IXB100" s="974"/>
      <c r="IXC100" s="974"/>
      <c r="IXD100" s="974"/>
      <c r="IXE100" s="974"/>
      <c r="IXF100" s="974"/>
      <c r="IXG100" s="974"/>
      <c r="IXH100" s="974"/>
      <c r="IXI100" s="974"/>
      <c r="IXJ100" s="974"/>
      <c r="IXK100" s="974"/>
      <c r="IXL100" s="974"/>
      <c r="IXM100" s="974"/>
      <c r="IXN100" s="974"/>
      <c r="IXO100" s="974"/>
      <c r="IXP100" s="974"/>
      <c r="IXQ100" s="974"/>
      <c r="IXR100" s="974"/>
      <c r="IXS100" s="974"/>
      <c r="IXT100" s="974"/>
      <c r="IXU100" s="974"/>
      <c r="IXV100" s="974"/>
      <c r="IXW100" s="974"/>
      <c r="IXX100" s="974"/>
      <c r="IXY100" s="974"/>
      <c r="IXZ100" s="974"/>
      <c r="IYA100" s="974"/>
      <c r="IYB100" s="974"/>
      <c r="IYC100" s="974"/>
      <c r="IYD100" s="974"/>
      <c r="IYE100" s="974"/>
      <c r="IYF100" s="974"/>
      <c r="IYG100" s="974"/>
      <c r="IYH100" s="974"/>
      <c r="IYI100" s="974"/>
      <c r="IYJ100" s="974"/>
      <c r="IYK100" s="974"/>
      <c r="IYL100" s="974"/>
      <c r="IYM100" s="974"/>
      <c r="IYN100" s="974"/>
      <c r="IYO100" s="974"/>
      <c r="IYP100" s="974"/>
      <c r="IYQ100" s="974"/>
      <c r="IYR100" s="974"/>
      <c r="IYS100" s="974"/>
      <c r="IYT100" s="974"/>
      <c r="IYU100" s="974"/>
      <c r="IYV100" s="974"/>
      <c r="IYW100" s="974"/>
      <c r="IYX100" s="974"/>
      <c r="IYY100" s="974"/>
      <c r="IYZ100" s="974"/>
      <c r="IZA100" s="974"/>
      <c r="IZB100" s="974"/>
      <c r="IZC100" s="974"/>
      <c r="IZD100" s="974"/>
      <c r="IZE100" s="974"/>
      <c r="IZF100" s="974"/>
      <c r="IZG100" s="974"/>
      <c r="IZH100" s="974"/>
      <c r="IZI100" s="974"/>
      <c r="IZJ100" s="974"/>
      <c r="IZK100" s="974"/>
      <c r="IZL100" s="974"/>
      <c r="IZM100" s="974"/>
      <c r="IZN100" s="974"/>
      <c r="IZO100" s="974"/>
      <c r="IZP100" s="974"/>
      <c r="IZQ100" s="974"/>
      <c r="IZR100" s="974"/>
      <c r="IZS100" s="974"/>
      <c r="IZT100" s="974"/>
      <c r="IZU100" s="974"/>
      <c r="IZV100" s="974"/>
      <c r="IZW100" s="974"/>
      <c r="IZX100" s="974"/>
      <c r="IZY100" s="974"/>
      <c r="IZZ100" s="974"/>
      <c r="JAA100" s="974"/>
      <c r="JAB100" s="974"/>
      <c r="JAC100" s="974"/>
      <c r="JAD100" s="974"/>
      <c r="JAE100" s="974"/>
      <c r="JAF100" s="974"/>
      <c r="JAG100" s="974"/>
      <c r="JAH100" s="974"/>
      <c r="JAI100" s="974"/>
      <c r="JAJ100" s="974"/>
      <c r="JAK100" s="974"/>
      <c r="JAL100" s="974"/>
      <c r="JAM100" s="974"/>
      <c r="JAN100" s="974"/>
      <c r="JAO100" s="974"/>
      <c r="JAP100" s="974"/>
      <c r="JAQ100" s="974"/>
      <c r="JAR100" s="974"/>
      <c r="JAS100" s="974"/>
      <c r="JAT100" s="974"/>
      <c r="JAU100" s="974"/>
      <c r="JAV100" s="974"/>
      <c r="JAW100" s="974"/>
      <c r="JAX100" s="974"/>
      <c r="JAY100" s="974"/>
      <c r="JAZ100" s="974"/>
      <c r="JBA100" s="974"/>
      <c r="JBB100" s="974"/>
      <c r="JBC100" s="974"/>
      <c r="JBD100" s="974"/>
      <c r="JBE100" s="974"/>
      <c r="JBF100" s="974"/>
      <c r="JBG100" s="974"/>
      <c r="JBH100" s="974"/>
      <c r="JBI100" s="974"/>
      <c r="JBJ100" s="974"/>
      <c r="JBK100" s="974"/>
      <c r="JBL100" s="974"/>
      <c r="JBM100" s="974"/>
      <c r="JBN100" s="974"/>
      <c r="JBO100" s="974"/>
      <c r="JBP100" s="974"/>
      <c r="JBQ100" s="974"/>
      <c r="JBR100" s="974"/>
      <c r="JBS100" s="974"/>
      <c r="JBT100" s="974"/>
      <c r="JBU100" s="974"/>
      <c r="JBV100" s="974"/>
      <c r="JBW100" s="974"/>
      <c r="JBX100" s="974"/>
      <c r="JBY100" s="974"/>
      <c r="JBZ100" s="974"/>
      <c r="JCA100" s="974"/>
      <c r="JCB100" s="974"/>
      <c r="JCC100" s="974"/>
      <c r="JCD100" s="974"/>
      <c r="JCE100" s="974"/>
      <c r="JCF100" s="974"/>
      <c r="JCG100" s="974"/>
      <c r="JCH100" s="974"/>
      <c r="JCI100" s="974"/>
      <c r="JCJ100" s="974"/>
      <c r="JCK100" s="974"/>
      <c r="JCL100" s="974"/>
      <c r="JCM100" s="974"/>
      <c r="JCN100" s="974"/>
      <c r="JCO100" s="974"/>
      <c r="JCP100" s="974"/>
      <c r="JCQ100" s="974"/>
      <c r="JCR100" s="974"/>
      <c r="JCS100" s="974"/>
      <c r="JCT100" s="974"/>
      <c r="JCU100" s="974"/>
      <c r="JCV100" s="974"/>
      <c r="JCW100" s="974"/>
      <c r="JCX100" s="974"/>
      <c r="JCY100" s="974"/>
      <c r="JCZ100" s="974"/>
      <c r="JDA100" s="974"/>
      <c r="JDB100" s="974"/>
      <c r="JDC100" s="974"/>
      <c r="JDD100" s="974"/>
      <c r="JDE100" s="974"/>
      <c r="JDF100" s="974"/>
      <c r="JDG100" s="974"/>
      <c r="JDH100" s="974"/>
      <c r="JDI100" s="974"/>
      <c r="JDJ100" s="974"/>
      <c r="JDK100" s="974"/>
      <c r="JDL100" s="974"/>
      <c r="JDM100" s="974"/>
      <c r="JDN100" s="974"/>
      <c r="JDO100" s="974"/>
      <c r="JDP100" s="974"/>
      <c r="JDQ100" s="974"/>
      <c r="JDR100" s="974"/>
      <c r="JDS100" s="974"/>
      <c r="JDT100" s="974"/>
      <c r="JDU100" s="974"/>
      <c r="JDV100" s="974"/>
      <c r="JDW100" s="974"/>
      <c r="JDX100" s="974"/>
      <c r="JDY100" s="974"/>
      <c r="JDZ100" s="974"/>
      <c r="JEA100" s="974"/>
      <c r="JEB100" s="974"/>
      <c r="JEC100" s="974"/>
      <c r="JED100" s="974"/>
      <c r="JEE100" s="974"/>
      <c r="JEF100" s="974"/>
      <c r="JEG100" s="974"/>
      <c r="JEH100" s="974"/>
      <c r="JEI100" s="974"/>
      <c r="JEJ100" s="974"/>
      <c r="JEK100" s="974"/>
      <c r="JEL100" s="974"/>
      <c r="JEM100" s="974"/>
      <c r="JEN100" s="974"/>
      <c r="JEO100" s="974"/>
      <c r="JEP100" s="974"/>
      <c r="JEQ100" s="974"/>
      <c r="JER100" s="974"/>
      <c r="JES100" s="974"/>
      <c r="JET100" s="974"/>
      <c r="JEU100" s="974"/>
      <c r="JEV100" s="974"/>
      <c r="JEW100" s="974"/>
      <c r="JEX100" s="974"/>
      <c r="JEY100" s="974"/>
      <c r="JEZ100" s="974"/>
      <c r="JFA100" s="974"/>
      <c r="JFB100" s="974"/>
      <c r="JFC100" s="974"/>
      <c r="JFD100" s="974"/>
      <c r="JFE100" s="974"/>
      <c r="JFF100" s="974"/>
      <c r="JFG100" s="974"/>
      <c r="JFH100" s="974"/>
      <c r="JFI100" s="974"/>
      <c r="JFJ100" s="974"/>
      <c r="JFK100" s="974"/>
      <c r="JFL100" s="974"/>
      <c r="JFM100" s="974"/>
      <c r="JFN100" s="974"/>
      <c r="JFO100" s="974"/>
      <c r="JFP100" s="974"/>
      <c r="JFQ100" s="974"/>
      <c r="JFR100" s="974"/>
      <c r="JFS100" s="974"/>
      <c r="JFT100" s="974"/>
      <c r="JFU100" s="974"/>
      <c r="JFV100" s="974"/>
      <c r="JFW100" s="974"/>
      <c r="JFX100" s="974"/>
      <c r="JFY100" s="974"/>
      <c r="JFZ100" s="974"/>
      <c r="JGA100" s="974"/>
      <c r="JGB100" s="974"/>
      <c r="JGC100" s="974"/>
      <c r="JGD100" s="974"/>
      <c r="JGE100" s="974"/>
      <c r="JGF100" s="974"/>
      <c r="JGG100" s="974"/>
      <c r="JGH100" s="974"/>
      <c r="JGI100" s="974"/>
      <c r="JGJ100" s="974"/>
      <c r="JGK100" s="974"/>
      <c r="JGL100" s="974"/>
      <c r="JGM100" s="974"/>
      <c r="JGN100" s="974"/>
      <c r="JGO100" s="974"/>
      <c r="JGP100" s="974"/>
      <c r="JGQ100" s="974"/>
      <c r="JGR100" s="974"/>
      <c r="JGS100" s="974"/>
      <c r="JGT100" s="974"/>
      <c r="JGU100" s="974"/>
      <c r="JGV100" s="974"/>
      <c r="JGW100" s="974"/>
      <c r="JGX100" s="974"/>
      <c r="JGY100" s="974"/>
      <c r="JGZ100" s="974"/>
      <c r="JHA100" s="974"/>
      <c r="JHB100" s="974"/>
      <c r="JHC100" s="974"/>
      <c r="JHD100" s="974"/>
      <c r="JHE100" s="974"/>
      <c r="JHF100" s="974"/>
      <c r="JHG100" s="974"/>
      <c r="JHH100" s="974"/>
      <c r="JHI100" s="974"/>
      <c r="JHJ100" s="974"/>
      <c r="JHK100" s="974"/>
      <c r="JHL100" s="974"/>
      <c r="JHM100" s="974"/>
      <c r="JHN100" s="974"/>
      <c r="JHO100" s="974"/>
      <c r="JHP100" s="974"/>
      <c r="JHQ100" s="974"/>
      <c r="JHR100" s="974"/>
      <c r="JHS100" s="974"/>
      <c r="JHT100" s="974"/>
      <c r="JHU100" s="974"/>
      <c r="JHV100" s="974"/>
      <c r="JHW100" s="974"/>
      <c r="JHX100" s="974"/>
      <c r="JHY100" s="974"/>
      <c r="JHZ100" s="974"/>
      <c r="JIA100" s="974"/>
      <c r="JIB100" s="974"/>
      <c r="JIC100" s="974"/>
      <c r="JID100" s="974"/>
      <c r="JIE100" s="974"/>
      <c r="JIF100" s="974"/>
      <c r="JIG100" s="974"/>
      <c r="JIH100" s="974"/>
      <c r="JII100" s="974"/>
      <c r="JIJ100" s="974"/>
      <c r="JIK100" s="974"/>
      <c r="JIL100" s="974"/>
      <c r="JIM100" s="974"/>
      <c r="JIN100" s="974"/>
      <c r="JIO100" s="974"/>
      <c r="JIP100" s="974"/>
      <c r="JIQ100" s="974"/>
      <c r="JIR100" s="974"/>
      <c r="JIS100" s="974"/>
      <c r="JIT100" s="974"/>
      <c r="JIU100" s="974"/>
      <c r="JIV100" s="974"/>
      <c r="JIW100" s="974"/>
      <c r="JIX100" s="974"/>
      <c r="JIY100" s="974"/>
      <c r="JIZ100" s="974"/>
      <c r="JJA100" s="974"/>
      <c r="JJB100" s="974"/>
      <c r="JJC100" s="974"/>
      <c r="JJD100" s="974"/>
      <c r="JJE100" s="974"/>
      <c r="JJF100" s="974"/>
      <c r="JJG100" s="974"/>
      <c r="JJH100" s="974"/>
      <c r="JJI100" s="974"/>
      <c r="JJJ100" s="974"/>
      <c r="JJK100" s="974"/>
      <c r="JJL100" s="974"/>
      <c r="JJM100" s="974"/>
      <c r="JJN100" s="974"/>
      <c r="JJO100" s="974"/>
      <c r="JJP100" s="974"/>
      <c r="JJQ100" s="974"/>
      <c r="JJR100" s="974"/>
      <c r="JJS100" s="974"/>
      <c r="JJT100" s="974"/>
      <c r="JJU100" s="974"/>
      <c r="JJV100" s="974"/>
      <c r="JJW100" s="974"/>
      <c r="JJX100" s="974"/>
      <c r="JJY100" s="974"/>
      <c r="JJZ100" s="974"/>
      <c r="JKA100" s="974"/>
      <c r="JKB100" s="974"/>
      <c r="JKC100" s="974"/>
      <c r="JKD100" s="974"/>
      <c r="JKE100" s="974"/>
      <c r="JKF100" s="974"/>
      <c r="JKG100" s="974"/>
      <c r="JKH100" s="974"/>
      <c r="JKI100" s="974"/>
      <c r="JKJ100" s="974"/>
      <c r="JKK100" s="974"/>
      <c r="JKL100" s="974"/>
      <c r="JKM100" s="974"/>
      <c r="JKN100" s="974"/>
      <c r="JKO100" s="974"/>
      <c r="JKP100" s="974"/>
      <c r="JKQ100" s="974"/>
      <c r="JKR100" s="974"/>
      <c r="JKS100" s="974"/>
      <c r="JKT100" s="974"/>
      <c r="JKU100" s="974"/>
      <c r="JKV100" s="974"/>
      <c r="JKW100" s="974"/>
      <c r="JKX100" s="974"/>
      <c r="JKY100" s="974"/>
      <c r="JKZ100" s="974"/>
      <c r="JLA100" s="974"/>
      <c r="JLB100" s="974"/>
      <c r="JLC100" s="974"/>
      <c r="JLD100" s="974"/>
      <c r="JLE100" s="974"/>
      <c r="JLF100" s="974"/>
      <c r="JLG100" s="974"/>
      <c r="JLH100" s="974"/>
      <c r="JLI100" s="974"/>
      <c r="JLJ100" s="974"/>
      <c r="JLK100" s="974"/>
      <c r="JLL100" s="974"/>
      <c r="JLM100" s="974"/>
      <c r="JLN100" s="974"/>
      <c r="JLO100" s="974"/>
      <c r="JLP100" s="974"/>
      <c r="JLQ100" s="974"/>
      <c r="JLR100" s="974"/>
      <c r="JLS100" s="974"/>
      <c r="JLT100" s="974"/>
      <c r="JLU100" s="974"/>
      <c r="JLV100" s="974"/>
      <c r="JLW100" s="974"/>
      <c r="JLX100" s="974"/>
      <c r="JLY100" s="974"/>
      <c r="JLZ100" s="974"/>
      <c r="JMA100" s="974"/>
      <c r="JMB100" s="974"/>
      <c r="JMC100" s="974"/>
      <c r="JMD100" s="974"/>
      <c r="JME100" s="974"/>
      <c r="JMF100" s="974"/>
      <c r="JMG100" s="974"/>
      <c r="JMH100" s="974"/>
      <c r="JMI100" s="974"/>
      <c r="JMJ100" s="974"/>
      <c r="JMK100" s="974"/>
      <c r="JML100" s="974"/>
      <c r="JMM100" s="974"/>
      <c r="JMN100" s="974"/>
      <c r="JMO100" s="974"/>
      <c r="JMP100" s="974"/>
      <c r="JMQ100" s="974"/>
      <c r="JMR100" s="974"/>
      <c r="JMS100" s="974"/>
      <c r="JMT100" s="974"/>
      <c r="JMU100" s="974"/>
      <c r="JMV100" s="974"/>
      <c r="JMW100" s="974"/>
      <c r="JMX100" s="974"/>
      <c r="JMY100" s="974"/>
      <c r="JMZ100" s="974"/>
      <c r="JNA100" s="974"/>
      <c r="JNB100" s="974"/>
      <c r="JNC100" s="974"/>
      <c r="JND100" s="974"/>
      <c r="JNE100" s="974"/>
      <c r="JNF100" s="974"/>
      <c r="JNG100" s="974"/>
      <c r="JNH100" s="974"/>
      <c r="JNI100" s="974"/>
      <c r="JNJ100" s="974"/>
      <c r="JNK100" s="974"/>
      <c r="JNL100" s="974"/>
      <c r="JNM100" s="974"/>
      <c r="JNN100" s="974"/>
      <c r="JNO100" s="974"/>
      <c r="JNP100" s="974"/>
      <c r="JNQ100" s="974"/>
      <c r="JNR100" s="974"/>
      <c r="JNS100" s="974"/>
      <c r="JNT100" s="974"/>
      <c r="JNU100" s="974"/>
      <c r="JNV100" s="974"/>
      <c r="JNW100" s="974"/>
      <c r="JNX100" s="974"/>
      <c r="JNY100" s="974"/>
      <c r="JNZ100" s="974"/>
      <c r="JOA100" s="974"/>
      <c r="JOB100" s="974"/>
      <c r="JOC100" s="974"/>
      <c r="JOD100" s="974"/>
      <c r="JOE100" s="974"/>
      <c r="JOF100" s="974"/>
      <c r="JOG100" s="974"/>
      <c r="JOH100" s="974"/>
      <c r="JOI100" s="974"/>
      <c r="JOJ100" s="974"/>
      <c r="JOK100" s="974"/>
      <c r="JOL100" s="974"/>
      <c r="JOM100" s="974"/>
      <c r="JON100" s="974"/>
      <c r="JOO100" s="974"/>
      <c r="JOP100" s="974"/>
      <c r="JOQ100" s="974"/>
      <c r="JOR100" s="974"/>
      <c r="JOS100" s="974"/>
      <c r="JOT100" s="974"/>
      <c r="JOU100" s="974"/>
      <c r="JOV100" s="974"/>
      <c r="JOW100" s="974"/>
      <c r="JOX100" s="974"/>
      <c r="JOY100" s="974"/>
      <c r="JOZ100" s="974"/>
      <c r="JPA100" s="974"/>
      <c r="JPB100" s="974"/>
      <c r="JPC100" s="974"/>
      <c r="JPD100" s="974"/>
      <c r="JPE100" s="974"/>
      <c r="JPF100" s="974"/>
      <c r="JPG100" s="974"/>
      <c r="JPH100" s="974"/>
      <c r="JPI100" s="974"/>
      <c r="JPJ100" s="974"/>
      <c r="JPK100" s="974"/>
      <c r="JPL100" s="974"/>
      <c r="JPM100" s="974"/>
      <c r="JPN100" s="974"/>
      <c r="JPO100" s="974"/>
      <c r="JPP100" s="974"/>
      <c r="JPQ100" s="974"/>
      <c r="JPR100" s="974"/>
      <c r="JPS100" s="974"/>
      <c r="JPT100" s="974"/>
      <c r="JPU100" s="974"/>
      <c r="JPV100" s="974"/>
      <c r="JPW100" s="974"/>
      <c r="JPX100" s="974"/>
      <c r="JPY100" s="974"/>
      <c r="JPZ100" s="974"/>
      <c r="JQA100" s="974"/>
      <c r="JQB100" s="974"/>
      <c r="JQC100" s="974"/>
      <c r="JQD100" s="974"/>
      <c r="JQE100" s="974"/>
      <c r="JQF100" s="974"/>
      <c r="JQG100" s="974"/>
      <c r="JQH100" s="974"/>
      <c r="JQI100" s="974"/>
      <c r="JQJ100" s="974"/>
      <c r="JQK100" s="974"/>
      <c r="JQL100" s="974"/>
      <c r="JQM100" s="974"/>
      <c r="JQN100" s="974"/>
      <c r="JQO100" s="974"/>
      <c r="JQP100" s="974"/>
      <c r="JQQ100" s="974"/>
      <c r="JQR100" s="974"/>
      <c r="JQS100" s="974"/>
      <c r="JQT100" s="974"/>
      <c r="JQU100" s="974"/>
      <c r="JQV100" s="974"/>
      <c r="JQW100" s="974"/>
      <c r="JQX100" s="974"/>
      <c r="JQY100" s="974"/>
      <c r="JQZ100" s="974"/>
      <c r="JRA100" s="974"/>
      <c r="JRB100" s="974"/>
      <c r="JRC100" s="974"/>
      <c r="JRD100" s="974"/>
      <c r="JRE100" s="974"/>
      <c r="JRF100" s="974"/>
      <c r="JRG100" s="974"/>
      <c r="JRH100" s="974"/>
      <c r="JRI100" s="974"/>
      <c r="JRJ100" s="974"/>
      <c r="JRK100" s="974"/>
      <c r="JRL100" s="974"/>
      <c r="JRM100" s="974"/>
      <c r="JRN100" s="974"/>
      <c r="JRO100" s="974"/>
      <c r="JRP100" s="974"/>
      <c r="JRQ100" s="974"/>
      <c r="JRR100" s="974"/>
      <c r="JRS100" s="974"/>
      <c r="JRT100" s="974"/>
      <c r="JRU100" s="974"/>
      <c r="JRV100" s="974"/>
      <c r="JRW100" s="974"/>
      <c r="JRX100" s="974"/>
      <c r="JRY100" s="974"/>
      <c r="JRZ100" s="974"/>
      <c r="JSA100" s="974"/>
      <c r="JSB100" s="974"/>
      <c r="JSC100" s="974"/>
      <c r="JSD100" s="974"/>
      <c r="JSE100" s="974"/>
      <c r="JSF100" s="974"/>
      <c r="JSG100" s="974"/>
      <c r="JSH100" s="974"/>
      <c r="JSI100" s="974"/>
      <c r="JSJ100" s="974"/>
      <c r="JSK100" s="974"/>
      <c r="JSL100" s="974"/>
      <c r="JSM100" s="974"/>
      <c r="JSN100" s="974"/>
      <c r="JSO100" s="974"/>
      <c r="JSP100" s="974"/>
      <c r="JSQ100" s="974"/>
      <c r="JSR100" s="974"/>
      <c r="JSS100" s="974"/>
      <c r="JST100" s="974"/>
      <c r="JSU100" s="974"/>
      <c r="JSV100" s="974"/>
      <c r="JSW100" s="974"/>
      <c r="JSX100" s="974"/>
      <c r="JSY100" s="974"/>
      <c r="JSZ100" s="974"/>
      <c r="JTA100" s="974"/>
      <c r="JTB100" s="974"/>
      <c r="JTC100" s="974"/>
      <c r="JTD100" s="974"/>
      <c r="JTE100" s="974"/>
      <c r="JTF100" s="974"/>
      <c r="JTG100" s="974"/>
      <c r="JTH100" s="974"/>
      <c r="JTI100" s="974"/>
      <c r="JTJ100" s="974"/>
      <c r="JTK100" s="974"/>
      <c r="JTL100" s="974"/>
      <c r="JTM100" s="974"/>
      <c r="JTN100" s="974"/>
      <c r="JTO100" s="974"/>
      <c r="JTP100" s="974"/>
      <c r="JTQ100" s="974"/>
      <c r="JTR100" s="974"/>
      <c r="JTS100" s="974"/>
      <c r="JTT100" s="974"/>
      <c r="JTU100" s="974"/>
      <c r="JTV100" s="974"/>
      <c r="JTW100" s="974"/>
      <c r="JTX100" s="974"/>
      <c r="JTY100" s="974"/>
      <c r="JTZ100" s="974"/>
      <c r="JUA100" s="974"/>
      <c r="JUB100" s="974"/>
      <c r="JUC100" s="974"/>
      <c r="JUD100" s="974"/>
      <c r="JUE100" s="974"/>
      <c r="JUF100" s="974"/>
      <c r="JUG100" s="974"/>
      <c r="JUH100" s="974"/>
      <c r="JUI100" s="974"/>
      <c r="JUJ100" s="974"/>
      <c r="JUK100" s="974"/>
      <c r="JUL100" s="974"/>
      <c r="JUM100" s="974"/>
      <c r="JUN100" s="974"/>
      <c r="JUO100" s="974"/>
      <c r="JUP100" s="974"/>
      <c r="JUQ100" s="974"/>
      <c r="JUR100" s="974"/>
      <c r="JUS100" s="974"/>
      <c r="JUT100" s="974"/>
      <c r="JUU100" s="974"/>
      <c r="JUV100" s="974"/>
      <c r="JUW100" s="974"/>
      <c r="JUX100" s="974"/>
      <c r="JUY100" s="974"/>
      <c r="JUZ100" s="974"/>
      <c r="JVA100" s="974"/>
      <c r="JVB100" s="974"/>
      <c r="JVC100" s="974"/>
      <c r="JVD100" s="974"/>
      <c r="JVE100" s="974"/>
      <c r="JVF100" s="974"/>
      <c r="JVG100" s="974"/>
      <c r="JVH100" s="974"/>
      <c r="JVI100" s="974"/>
      <c r="JVJ100" s="974"/>
      <c r="JVK100" s="974"/>
      <c r="JVL100" s="974"/>
      <c r="JVM100" s="974"/>
      <c r="JVN100" s="974"/>
      <c r="JVO100" s="974"/>
      <c r="JVP100" s="974"/>
      <c r="JVQ100" s="974"/>
      <c r="JVR100" s="974"/>
      <c r="JVS100" s="974"/>
      <c r="JVT100" s="974"/>
      <c r="JVU100" s="974"/>
      <c r="JVV100" s="974"/>
      <c r="JVW100" s="974"/>
      <c r="JVX100" s="974"/>
      <c r="JVY100" s="974"/>
      <c r="JVZ100" s="974"/>
      <c r="JWA100" s="974"/>
      <c r="JWB100" s="974"/>
      <c r="JWC100" s="974"/>
      <c r="JWD100" s="974"/>
      <c r="JWE100" s="974"/>
      <c r="JWF100" s="974"/>
      <c r="JWG100" s="974"/>
      <c r="JWH100" s="974"/>
      <c r="JWI100" s="974"/>
      <c r="JWJ100" s="974"/>
      <c r="JWK100" s="974"/>
      <c r="JWL100" s="974"/>
      <c r="JWM100" s="974"/>
      <c r="JWN100" s="974"/>
      <c r="JWO100" s="974"/>
      <c r="JWP100" s="974"/>
      <c r="JWQ100" s="974"/>
      <c r="JWR100" s="974"/>
      <c r="JWS100" s="974"/>
      <c r="JWT100" s="974"/>
      <c r="JWU100" s="974"/>
      <c r="JWV100" s="974"/>
      <c r="JWW100" s="974"/>
      <c r="JWX100" s="974"/>
      <c r="JWY100" s="974"/>
      <c r="JWZ100" s="974"/>
      <c r="JXA100" s="974"/>
      <c r="JXB100" s="974"/>
      <c r="JXC100" s="974"/>
      <c r="JXD100" s="974"/>
      <c r="JXE100" s="974"/>
      <c r="JXF100" s="974"/>
      <c r="JXG100" s="974"/>
      <c r="JXH100" s="974"/>
      <c r="JXI100" s="974"/>
      <c r="JXJ100" s="974"/>
      <c r="JXK100" s="974"/>
      <c r="JXL100" s="974"/>
      <c r="JXM100" s="974"/>
      <c r="JXN100" s="974"/>
      <c r="JXO100" s="974"/>
      <c r="JXP100" s="974"/>
      <c r="JXQ100" s="974"/>
      <c r="JXR100" s="974"/>
      <c r="JXS100" s="974"/>
      <c r="JXT100" s="974"/>
      <c r="JXU100" s="974"/>
      <c r="JXV100" s="974"/>
      <c r="JXW100" s="974"/>
      <c r="JXX100" s="974"/>
      <c r="JXY100" s="974"/>
      <c r="JXZ100" s="974"/>
      <c r="JYA100" s="974"/>
      <c r="JYB100" s="974"/>
      <c r="JYC100" s="974"/>
      <c r="JYD100" s="974"/>
      <c r="JYE100" s="974"/>
      <c r="JYF100" s="974"/>
      <c r="JYG100" s="974"/>
      <c r="JYH100" s="974"/>
      <c r="JYI100" s="974"/>
      <c r="JYJ100" s="974"/>
      <c r="JYK100" s="974"/>
      <c r="JYL100" s="974"/>
      <c r="JYM100" s="974"/>
      <c r="JYN100" s="974"/>
      <c r="JYO100" s="974"/>
      <c r="JYP100" s="974"/>
      <c r="JYQ100" s="974"/>
      <c r="JYR100" s="974"/>
      <c r="JYS100" s="974"/>
      <c r="JYT100" s="974"/>
      <c r="JYU100" s="974"/>
      <c r="JYV100" s="974"/>
      <c r="JYW100" s="974"/>
      <c r="JYX100" s="974"/>
      <c r="JYY100" s="974"/>
      <c r="JYZ100" s="974"/>
      <c r="JZA100" s="974"/>
      <c r="JZB100" s="974"/>
      <c r="JZC100" s="974"/>
      <c r="JZD100" s="974"/>
      <c r="JZE100" s="974"/>
      <c r="JZF100" s="974"/>
      <c r="JZG100" s="974"/>
      <c r="JZH100" s="974"/>
      <c r="JZI100" s="974"/>
      <c r="JZJ100" s="974"/>
      <c r="JZK100" s="974"/>
      <c r="JZL100" s="974"/>
      <c r="JZM100" s="974"/>
      <c r="JZN100" s="974"/>
      <c r="JZO100" s="974"/>
      <c r="JZP100" s="974"/>
      <c r="JZQ100" s="974"/>
      <c r="JZR100" s="974"/>
      <c r="JZS100" s="974"/>
      <c r="JZT100" s="974"/>
      <c r="JZU100" s="974"/>
      <c r="JZV100" s="974"/>
      <c r="JZW100" s="974"/>
      <c r="JZX100" s="974"/>
      <c r="JZY100" s="974"/>
      <c r="JZZ100" s="974"/>
      <c r="KAA100" s="974"/>
      <c r="KAB100" s="974"/>
      <c r="KAC100" s="974"/>
      <c r="KAD100" s="974"/>
      <c r="KAE100" s="974"/>
      <c r="KAF100" s="974"/>
      <c r="KAG100" s="974"/>
      <c r="KAH100" s="974"/>
      <c r="KAI100" s="974"/>
      <c r="KAJ100" s="974"/>
      <c r="KAK100" s="974"/>
      <c r="KAL100" s="974"/>
      <c r="KAM100" s="974"/>
      <c r="KAN100" s="974"/>
      <c r="KAO100" s="974"/>
      <c r="KAP100" s="974"/>
      <c r="KAQ100" s="974"/>
      <c r="KAR100" s="974"/>
      <c r="KAS100" s="974"/>
      <c r="KAT100" s="974"/>
      <c r="KAU100" s="974"/>
      <c r="KAV100" s="974"/>
      <c r="KAW100" s="974"/>
      <c r="KAX100" s="974"/>
      <c r="KAY100" s="974"/>
      <c r="KAZ100" s="974"/>
      <c r="KBA100" s="974"/>
      <c r="KBB100" s="974"/>
      <c r="KBC100" s="974"/>
      <c r="KBD100" s="974"/>
      <c r="KBE100" s="974"/>
      <c r="KBF100" s="974"/>
      <c r="KBG100" s="974"/>
      <c r="KBH100" s="974"/>
      <c r="KBI100" s="974"/>
      <c r="KBJ100" s="974"/>
      <c r="KBK100" s="974"/>
      <c r="KBL100" s="974"/>
      <c r="KBM100" s="974"/>
      <c r="KBN100" s="974"/>
      <c r="KBO100" s="974"/>
      <c r="KBP100" s="974"/>
      <c r="KBQ100" s="974"/>
      <c r="KBR100" s="974"/>
      <c r="KBS100" s="974"/>
      <c r="KBT100" s="974"/>
      <c r="KBU100" s="974"/>
      <c r="KBV100" s="974"/>
      <c r="KBW100" s="974"/>
      <c r="KBX100" s="974"/>
      <c r="KBY100" s="974"/>
      <c r="KBZ100" s="974"/>
      <c r="KCA100" s="974"/>
      <c r="KCB100" s="974"/>
      <c r="KCC100" s="974"/>
      <c r="KCD100" s="974"/>
      <c r="KCE100" s="974"/>
      <c r="KCF100" s="974"/>
      <c r="KCG100" s="974"/>
      <c r="KCH100" s="974"/>
      <c r="KCI100" s="974"/>
      <c r="KCJ100" s="974"/>
      <c r="KCK100" s="974"/>
      <c r="KCL100" s="974"/>
      <c r="KCM100" s="974"/>
      <c r="KCN100" s="974"/>
      <c r="KCO100" s="974"/>
      <c r="KCP100" s="974"/>
      <c r="KCQ100" s="974"/>
      <c r="KCR100" s="974"/>
      <c r="KCS100" s="974"/>
      <c r="KCT100" s="974"/>
      <c r="KCU100" s="974"/>
      <c r="KCV100" s="974"/>
      <c r="KCW100" s="974"/>
      <c r="KCX100" s="974"/>
      <c r="KCY100" s="974"/>
      <c r="KCZ100" s="974"/>
      <c r="KDA100" s="974"/>
      <c r="KDB100" s="974"/>
      <c r="KDC100" s="974"/>
      <c r="KDD100" s="974"/>
      <c r="KDE100" s="974"/>
      <c r="KDF100" s="974"/>
      <c r="KDG100" s="974"/>
      <c r="KDH100" s="974"/>
      <c r="KDI100" s="974"/>
      <c r="KDJ100" s="974"/>
      <c r="KDK100" s="974"/>
      <c r="KDL100" s="974"/>
      <c r="KDM100" s="974"/>
      <c r="KDN100" s="974"/>
      <c r="KDO100" s="974"/>
      <c r="KDP100" s="974"/>
      <c r="KDQ100" s="974"/>
      <c r="KDR100" s="974"/>
      <c r="KDS100" s="974"/>
      <c r="KDT100" s="974"/>
      <c r="KDU100" s="974"/>
      <c r="KDV100" s="974"/>
      <c r="KDW100" s="974"/>
      <c r="KDX100" s="974"/>
      <c r="KDY100" s="974"/>
      <c r="KDZ100" s="974"/>
      <c r="KEA100" s="974"/>
      <c r="KEB100" s="974"/>
      <c r="KEC100" s="974"/>
      <c r="KED100" s="974"/>
      <c r="KEE100" s="974"/>
      <c r="KEF100" s="974"/>
      <c r="KEG100" s="974"/>
      <c r="KEH100" s="974"/>
      <c r="KEI100" s="974"/>
      <c r="KEJ100" s="974"/>
      <c r="KEK100" s="974"/>
      <c r="KEL100" s="974"/>
      <c r="KEM100" s="974"/>
      <c r="KEN100" s="974"/>
      <c r="KEO100" s="974"/>
      <c r="KEP100" s="974"/>
      <c r="KEQ100" s="974"/>
      <c r="KER100" s="974"/>
      <c r="KES100" s="974"/>
      <c r="KET100" s="974"/>
      <c r="KEU100" s="974"/>
      <c r="KEV100" s="974"/>
      <c r="KEW100" s="974"/>
      <c r="KEX100" s="974"/>
      <c r="KEY100" s="974"/>
      <c r="KEZ100" s="974"/>
      <c r="KFA100" s="974"/>
      <c r="KFB100" s="974"/>
      <c r="KFC100" s="974"/>
      <c r="KFD100" s="974"/>
      <c r="KFE100" s="974"/>
      <c r="KFF100" s="974"/>
      <c r="KFG100" s="974"/>
      <c r="KFH100" s="974"/>
      <c r="KFI100" s="974"/>
      <c r="KFJ100" s="974"/>
      <c r="KFK100" s="974"/>
      <c r="KFL100" s="974"/>
      <c r="KFM100" s="974"/>
      <c r="KFN100" s="974"/>
      <c r="KFO100" s="974"/>
      <c r="KFP100" s="974"/>
      <c r="KFQ100" s="974"/>
      <c r="KFR100" s="974"/>
      <c r="KFS100" s="974"/>
      <c r="KFT100" s="974"/>
      <c r="KFU100" s="974"/>
      <c r="KFV100" s="974"/>
      <c r="KFW100" s="974"/>
      <c r="KFX100" s="974"/>
      <c r="KFY100" s="974"/>
      <c r="KFZ100" s="974"/>
      <c r="KGA100" s="974"/>
      <c r="KGB100" s="974"/>
      <c r="KGC100" s="974"/>
      <c r="KGD100" s="974"/>
      <c r="KGE100" s="974"/>
      <c r="KGF100" s="974"/>
      <c r="KGG100" s="974"/>
      <c r="KGH100" s="974"/>
      <c r="KGI100" s="974"/>
      <c r="KGJ100" s="974"/>
      <c r="KGK100" s="974"/>
      <c r="KGL100" s="974"/>
      <c r="KGM100" s="974"/>
      <c r="KGN100" s="974"/>
      <c r="KGO100" s="974"/>
      <c r="KGP100" s="974"/>
      <c r="KGQ100" s="974"/>
      <c r="KGR100" s="974"/>
      <c r="KGS100" s="974"/>
      <c r="KGT100" s="974"/>
      <c r="KGU100" s="974"/>
      <c r="KGV100" s="974"/>
      <c r="KGW100" s="974"/>
      <c r="KGX100" s="974"/>
      <c r="KGY100" s="974"/>
      <c r="KGZ100" s="974"/>
      <c r="KHA100" s="974"/>
      <c r="KHB100" s="974"/>
      <c r="KHC100" s="974"/>
      <c r="KHD100" s="974"/>
      <c r="KHE100" s="974"/>
      <c r="KHF100" s="974"/>
      <c r="KHG100" s="974"/>
      <c r="KHH100" s="974"/>
      <c r="KHI100" s="974"/>
      <c r="KHJ100" s="974"/>
      <c r="KHK100" s="974"/>
      <c r="KHL100" s="974"/>
      <c r="KHM100" s="974"/>
      <c r="KHN100" s="974"/>
      <c r="KHO100" s="974"/>
      <c r="KHP100" s="974"/>
      <c r="KHQ100" s="974"/>
      <c r="KHR100" s="974"/>
      <c r="KHS100" s="974"/>
      <c r="KHT100" s="974"/>
      <c r="KHU100" s="974"/>
      <c r="KHV100" s="974"/>
      <c r="KHW100" s="974"/>
      <c r="KHX100" s="974"/>
      <c r="KHY100" s="974"/>
      <c r="KHZ100" s="974"/>
      <c r="KIA100" s="974"/>
      <c r="KIB100" s="974"/>
      <c r="KIC100" s="974"/>
      <c r="KID100" s="974"/>
      <c r="KIE100" s="974"/>
      <c r="KIF100" s="974"/>
      <c r="KIG100" s="974"/>
      <c r="KIH100" s="974"/>
      <c r="KII100" s="974"/>
      <c r="KIJ100" s="974"/>
      <c r="KIK100" s="974"/>
      <c r="KIL100" s="974"/>
      <c r="KIM100" s="974"/>
      <c r="KIN100" s="974"/>
      <c r="KIO100" s="974"/>
      <c r="KIP100" s="974"/>
      <c r="KIQ100" s="974"/>
      <c r="KIR100" s="974"/>
      <c r="KIS100" s="974"/>
      <c r="KIT100" s="974"/>
      <c r="KIU100" s="974"/>
      <c r="KIV100" s="974"/>
      <c r="KIW100" s="974"/>
      <c r="KIX100" s="974"/>
      <c r="KIY100" s="974"/>
      <c r="KIZ100" s="974"/>
      <c r="KJA100" s="974"/>
      <c r="KJB100" s="974"/>
      <c r="KJC100" s="974"/>
      <c r="KJD100" s="974"/>
      <c r="KJE100" s="974"/>
      <c r="KJF100" s="974"/>
      <c r="KJG100" s="974"/>
      <c r="KJH100" s="974"/>
      <c r="KJI100" s="974"/>
      <c r="KJJ100" s="974"/>
      <c r="KJK100" s="974"/>
      <c r="KJL100" s="974"/>
      <c r="KJM100" s="974"/>
      <c r="KJN100" s="974"/>
      <c r="KJO100" s="974"/>
      <c r="KJP100" s="974"/>
      <c r="KJQ100" s="974"/>
      <c r="KJR100" s="974"/>
      <c r="KJS100" s="974"/>
      <c r="KJT100" s="974"/>
      <c r="KJU100" s="974"/>
      <c r="KJV100" s="974"/>
      <c r="KJW100" s="974"/>
      <c r="KJX100" s="974"/>
      <c r="KJY100" s="974"/>
      <c r="KJZ100" s="974"/>
      <c r="KKA100" s="974"/>
      <c r="KKB100" s="974"/>
      <c r="KKC100" s="974"/>
      <c r="KKD100" s="974"/>
      <c r="KKE100" s="974"/>
      <c r="KKF100" s="974"/>
      <c r="KKG100" s="974"/>
      <c r="KKH100" s="974"/>
      <c r="KKI100" s="974"/>
      <c r="KKJ100" s="974"/>
      <c r="KKK100" s="974"/>
      <c r="KKL100" s="974"/>
      <c r="KKM100" s="974"/>
      <c r="KKN100" s="974"/>
      <c r="KKO100" s="974"/>
      <c r="KKP100" s="974"/>
      <c r="KKQ100" s="974"/>
      <c r="KKR100" s="974"/>
      <c r="KKS100" s="974"/>
      <c r="KKT100" s="974"/>
      <c r="KKU100" s="974"/>
      <c r="KKV100" s="974"/>
      <c r="KKW100" s="974"/>
      <c r="KKX100" s="974"/>
      <c r="KKY100" s="974"/>
      <c r="KKZ100" s="974"/>
      <c r="KLA100" s="974"/>
      <c r="KLB100" s="974"/>
      <c r="KLC100" s="974"/>
      <c r="KLD100" s="974"/>
      <c r="KLE100" s="974"/>
      <c r="KLF100" s="974"/>
      <c r="KLG100" s="974"/>
      <c r="KLH100" s="974"/>
      <c r="KLI100" s="974"/>
      <c r="KLJ100" s="974"/>
      <c r="KLK100" s="974"/>
      <c r="KLL100" s="974"/>
      <c r="KLM100" s="974"/>
      <c r="KLN100" s="974"/>
      <c r="KLO100" s="974"/>
      <c r="KLP100" s="974"/>
      <c r="KLQ100" s="974"/>
      <c r="KLR100" s="974"/>
      <c r="KLS100" s="974"/>
      <c r="KLT100" s="974"/>
      <c r="KLU100" s="974"/>
      <c r="KLV100" s="974"/>
      <c r="KLW100" s="974"/>
      <c r="KLX100" s="974"/>
      <c r="KLY100" s="974"/>
      <c r="KLZ100" s="974"/>
      <c r="KMA100" s="974"/>
      <c r="KMB100" s="974"/>
      <c r="KMC100" s="974"/>
      <c r="KMD100" s="974"/>
      <c r="KME100" s="974"/>
      <c r="KMF100" s="974"/>
      <c r="KMG100" s="974"/>
      <c r="KMH100" s="974"/>
      <c r="KMI100" s="974"/>
      <c r="KMJ100" s="974"/>
      <c r="KMK100" s="974"/>
      <c r="KML100" s="974"/>
      <c r="KMM100" s="974"/>
      <c r="KMN100" s="974"/>
      <c r="KMO100" s="974"/>
      <c r="KMP100" s="974"/>
      <c r="KMQ100" s="974"/>
      <c r="KMR100" s="974"/>
      <c r="KMS100" s="974"/>
      <c r="KMT100" s="974"/>
      <c r="KMU100" s="974"/>
      <c r="KMV100" s="974"/>
      <c r="KMW100" s="974"/>
      <c r="KMX100" s="974"/>
      <c r="KMY100" s="974"/>
      <c r="KMZ100" s="974"/>
      <c r="KNA100" s="974"/>
      <c r="KNB100" s="974"/>
      <c r="KNC100" s="974"/>
      <c r="KND100" s="974"/>
      <c r="KNE100" s="974"/>
      <c r="KNF100" s="974"/>
      <c r="KNG100" s="974"/>
      <c r="KNH100" s="974"/>
      <c r="KNI100" s="974"/>
      <c r="KNJ100" s="974"/>
      <c r="KNK100" s="974"/>
      <c r="KNL100" s="974"/>
      <c r="KNM100" s="974"/>
      <c r="KNN100" s="974"/>
      <c r="KNO100" s="974"/>
      <c r="KNP100" s="974"/>
      <c r="KNQ100" s="974"/>
      <c r="KNR100" s="974"/>
      <c r="KNS100" s="974"/>
      <c r="KNT100" s="974"/>
      <c r="KNU100" s="974"/>
      <c r="KNV100" s="974"/>
      <c r="KNW100" s="974"/>
      <c r="KNX100" s="974"/>
      <c r="KNY100" s="974"/>
      <c r="KNZ100" s="974"/>
      <c r="KOA100" s="974"/>
      <c r="KOB100" s="974"/>
      <c r="KOC100" s="974"/>
      <c r="KOD100" s="974"/>
      <c r="KOE100" s="974"/>
      <c r="KOF100" s="974"/>
      <c r="KOG100" s="974"/>
      <c r="KOH100" s="974"/>
      <c r="KOI100" s="974"/>
      <c r="KOJ100" s="974"/>
      <c r="KOK100" s="974"/>
      <c r="KOL100" s="974"/>
      <c r="KOM100" s="974"/>
      <c r="KON100" s="974"/>
      <c r="KOO100" s="974"/>
      <c r="KOP100" s="974"/>
      <c r="KOQ100" s="974"/>
      <c r="KOR100" s="974"/>
      <c r="KOS100" s="974"/>
      <c r="KOT100" s="974"/>
      <c r="KOU100" s="974"/>
      <c r="KOV100" s="974"/>
      <c r="KOW100" s="974"/>
      <c r="KOX100" s="974"/>
      <c r="KOY100" s="974"/>
      <c r="KOZ100" s="974"/>
      <c r="KPA100" s="974"/>
      <c r="KPB100" s="974"/>
      <c r="KPC100" s="974"/>
      <c r="KPD100" s="974"/>
      <c r="KPE100" s="974"/>
      <c r="KPF100" s="974"/>
      <c r="KPG100" s="974"/>
      <c r="KPH100" s="974"/>
      <c r="KPI100" s="974"/>
      <c r="KPJ100" s="974"/>
      <c r="KPK100" s="974"/>
      <c r="KPL100" s="974"/>
      <c r="KPM100" s="974"/>
      <c r="KPN100" s="974"/>
      <c r="KPO100" s="974"/>
      <c r="KPP100" s="974"/>
      <c r="KPQ100" s="974"/>
      <c r="KPR100" s="974"/>
      <c r="KPS100" s="974"/>
      <c r="KPT100" s="974"/>
      <c r="KPU100" s="974"/>
      <c r="KPV100" s="974"/>
      <c r="KPW100" s="974"/>
      <c r="KPX100" s="974"/>
      <c r="KPY100" s="974"/>
      <c r="KPZ100" s="974"/>
      <c r="KQA100" s="974"/>
      <c r="KQB100" s="974"/>
      <c r="KQC100" s="974"/>
      <c r="KQD100" s="974"/>
      <c r="KQE100" s="974"/>
      <c r="KQF100" s="974"/>
      <c r="KQG100" s="974"/>
      <c r="KQH100" s="974"/>
      <c r="KQI100" s="974"/>
      <c r="KQJ100" s="974"/>
      <c r="KQK100" s="974"/>
      <c r="KQL100" s="974"/>
      <c r="KQM100" s="974"/>
      <c r="KQN100" s="974"/>
      <c r="KQO100" s="974"/>
      <c r="KQP100" s="974"/>
      <c r="KQQ100" s="974"/>
      <c r="KQR100" s="974"/>
      <c r="KQS100" s="974"/>
      <c r="KQT100" s="974"/>
      <c r="KQU100" s="974"/>
      <c r="KQV100" s="974"/>
      <c r="KQW100" s="974"/>
      <c r="KQX100" s="974"/>
      <c r="KQY100" s="974"/>
      <c r="KQZ100" s="974"/>
      <c r="KRA100" s="974"/>
      <c r="KRB100" s="974"/>
      <c r="KRC100" s="974"/>
      <c r="KRD100" s="974"/>
      <c r="KRE100" s="974"/>
      <c r="KRF100" s="974"/>
      <c r="KRG100" s="974"/>
      <c r="KRH100" s="974"/>
      <c r="KRI100" s="974"/>
      <c r="KRJ100" s="974"/>
      <c r="KRK100" s="974"/>
      <c r="KRL100" s="974"/>
      <c r="KRM100" s="974"/>
      <c r="KRN100" s="974"/>
      <c r="KRO100" s="974"/>
      <c r="KRP100" s="974"/>
      <c r="KRQ100" s="974"/>
      <c r="KRR100" s="974"/>
      <c r="KRS100" s="974"/>
      <c r="KRT100" s="974"/>
      <c r="KRU100" s="974"/>
      <c r="KRV100" s="974"/>
      <c r="KRW100" s="974"/>
      <c r="KRX100" s="974"/>
      <c r="KRY100" s="974"/>
      <c r="KRZ100" s="974"/>
      <c r="KSA100" s="974"/>
      <c r="KSB100" s="974"/>
      <c r="KSC100" s="974"/>
      <c r="KSD100" s="974"/>
      <c r="KSE100" s="974"/>
      <c r="KSF100" s="974"/>
      <c r="KSG100" s="974"/>
      <c r="KSH100" s="974"/>
      <c r="KSI100" s="974"/>
      <c r="KSJ100" s="974"/>
      <c r="KSK100" s="974"/>
      <c r="KSL100" s="974"/>
      <c r="KSM100" s="974"/>
      <c r="KSN100" s="974"/>
      <c r="KSO100" s="974"/>
      <c r="KSP100" s="974"/>
      <c r="KSQ100" s="974"/>
      <c r="KSR100" s="974"/>
      <c r="KSS100" s="974"/>
      <c r="KST100" s="974"/>
      <c r="KSU100" s="974"/>
      <c r="KSV100" s="974"/>
      <c r="KSW100" s="974"/>
      <c r="KSX100" s="974"/>
      <c r="KSY100" s="974"/>
      <c r="KSZ100" s="974"/>
      <c r="KTA100" s="974"/>
      <c r="KTB100" s="974"/>
      <c r="KTC100" s="974"/>
      <c r="KTD100" s="974"/>
      <c r="KTE100" s="974"/>
      <c r="KTF100" s="974"/>
      <c r="KTG100" s="974"/>
      <c r="KTH100" s="974"/>
      <c r="KTI100" s="974"/>
      <c r="KTJ100" s="974"/>
      <c r="KTK100" s="974"/>
      <c r="KTL100" s="974"/>
      <c r="KTM100" s="974"/>
      <c r="KTN100" s="974"/>
      <c r="KTO100" s="974"/>
      <c r="KTP100" s="974"/>
      <c r="KTQ100" s="974"/>
      <c r="KTR100" s="974"/>
      <c r="KTS100" s="974"/>
      <c r="KTT100" s="974"/>
      <c r="KTU100" s="974"/>
      <c r="KTV100" s="974"/>
      <c r="KTW100" s="974"/>
      <c r="KTX100" s="974"/>
      <c r="KTY100" s="974"/>
      <c r="KTZ100" s="974"/>
      <c r="KUA100" s="974"/>
      <c r="KUB100" s="974"/>
      <c r="KUC100" s="974"/>
      <c r="KUD100" s="974"/>
      <c r="KUE100" s="974"/>
      <c r="KUF100" s="974"/>
      <c r="KUG100" s="974"/>
      <c r="KUH100" s="974"/>
      <c r="KUI100" s="974"/>
      <c r="KUJ100" s="974"/>
      <c r="KUK100" s="974"/>
      <c r="KUL100" s="974"/>
      <c r="KUM100" s="974"/>
      <c r="KUN100" s="974"/>
      <c r="KUO100" s="974"/>
      <c r="KUP100" s="974"/>
      <c r="KUQ100" s="974"/>
      <c r="KUR100" s="974"/>
      <c r="KUS100" s="974"/>
      <c r="KUT100" s="974"/>
      <c r="KUU100" s="974"/>
      <c r="KUV100" s="974"/>
      <c r="KUW100" s="974"/>
      <c r="KUX100" s="974"/>
      <c r="KUY100" s="974"/>
      <c r="KUZ100" s="974"/>
      <c r="KVA100" s="974"/>
      <c r="KVB100" s="974"/>
      <c r="KVC100" s="974"/>
      <c r="KVD100" s="974"/>
      <c r="KVE100" s="974"/>
      <c r="KVF100" s="974"/>
      <c r="KVG100" s="974"/>
      <c r="KVH100" s="974"/>
      <c r="KVI100" s="974"/>
      <c r="KVJ100" s="974"/>
      <c r="KVK100" s="974"/>
      <c r="KVL100" s="974"/>
      <c r="KVM100" s="974"/>
      <c r="KVN100" s="974"/>
      <c r="KVO100" s="974"/>
      <c r="KVP100" s="974"/>
      <c r="KVQ100" s="974"/>
      <c r="KVR100" s="974"/>
      <c r="KVS100" s="974"/>
      <c r="KVT100" s="974"/>
      <c r="KVU100" s="974"/>
      <c r="KVV100" s="974"/>
      <c r="KVW100" s="974"/>
      <c r="KVX100" s="974"/>
      <c r="KVY100" s="974"/>
      <c r="KVZ100" s="974"/>
      <c r="KWA100" s="974"/>
      <c r="KWB100" s="974"/>
      <c r="KWC100" s="974"/>
      <c r="KWD100" s="974"/>
      <c r="KWE100" s="974"/>
      <c r="KWF100" s="974"/>
      <c r="KWG100" s="974"/>
      <c r="KWH100" s="974"/>
      <c r="KWI100" s="974"/>
      <c r="KWJ100" s="974"/>
      <c r="KWK100" s="974"/>
      <c r="KWL100" s="974"/>
      <c r="KWM100" s="974"/>
      <c r="KWN100" s="974"/>
      <c r="KWO100" s="974"/>
      <c r="KWP100" s="974"/>
      <c r="KWQ100" s="974"/>
      <c r="KWR100" s="974"/>
      <c r="KWS100" s="974"/>
      <c r="KWT100" s="974"/>
      <c r="KWU100" s="974"/>
      <c r="KWV100" s="974"/>
      <c r="KWW100" s="974"/>
      <c r="KWX100" s="974"/>
      <c r="KWY100" s="974"/>
      <c r="KWZ100" s="974"/>
      <c r="KXA100" s="974"/>
      <c r="KXB100" s="974"/>
      <c r="KXC100" s="974"/>
      <c r="KXD100" s="974"/>
      <c r="KXE100" s="974"/>
      <c r="KXF100" s="974"/>
      <c r="KXG100" s="974"/>
      <c r="KXH100" s="974"/>
      <c r="KXI100" s="974"/>
      <c r="KXJ100" s="974"/>
      <c r="KXK100" s="974"/>
      <c r="KXL100" s="974"/>
      <c r="KXM100" s="974"/>
      <c r="KXN100" s="974"/>
      <c r="KXO100" s="974"/>
      <c r="KXP100" s="974"/>
      <c r="KXQ100" s="974"/>
      <c r="KXR100" s="974"/>
      <c r="KXS100" s="974"/>
      <c r="KXT100" s="974"/>
      <c r="KXU100" s="974"/>
      <c r="KXV100" s="974"/>
      <c r="KXW100" s="974"/>
      <c r="KXX100" s="974"/>
      <c r="KXY100" s="974"/>
      <c r="KXZ100" s="974"/>
      <c r="KYA100" s="974"/>
      <c r="KYB100" s="974"/>
      <c r="KYC100" s="974"/>
      <c r="KYD100" s="974"/>
      <c r="KYE100" s="974"/>
      <c r="KYF100" s="974"/>
      <c r="KYG100" s="974"/>
      <c r="KYH100" s="974"/>
      <c r="KYI100" s="974"/>
      <c r="KYJ100" s="974"/>
      <c r="KYK100" s="974"/>
      <c r="KYL100" s="974"/>
      <c r="KYM100" s="974"/>
      <c r="KYN100" s="974"/>
      <c r="KYO100" s="974"/>
      <c r="KYP100" s="974"/>
      <c r="KYQ100" s="974"/>
      <c r="KYR100" s="974"/>
      <c r="KYS100" s="974"/>
      <c r="KYT100" s="974"/>
      <c r="KYU100" s="974"/>
      <c r="KYV100" s="974"/>
      <c r="KYW100" s="974"/>
      <c r="KYX100" s="974"/>
      <c r="KYY100" s="974"/>
      <c r="KYZ100" s="974"/>
      <c r="KZA100" s="974"/>
      <c r="KZB100" s="974"/>
      <c r="KZC100" s="974"/>
      <c r="KZD100" s="974"/>
      <c r="KZE100" s="974"/>
      <c r="KZF100" s="974"/>
      <c r="KZG100" s="974"/>
      <c r="KZH100" s="974"/>
      <c r="KZI100" s="974"/>
      <c r="KZJ100" s="974"/>
      <c r="KZK100" s="974"/>
      <c r="KZL100" s="974"/>
      <c r="KZM100" s="974"/>
      <c r="KZN100" s="974"/>
      <c r="KZO100" s="974"/>
      <c r="KZP100" s="974"/>
      <c r="KZQ100" s="974"/>
      <c r="KZR100" s="974"/>
      <c r="KZS100" s="974"/>
      <c r="KZT100" s="974"/>
      <c r="KZU100" s="974"/>
      <c r="KZV100" s="974"/>
      <c r="KZW100" s="974"/>
      <c r="KZX100" s="974"/>
      <c r="KZY100" s="974"/>
      <c r="KZZ100" s="974"/>
      <c r="LAA100" s="974"/>
      <c r="LAB100" s="974"/>
      <c r="LAC100" s="974"/>
      <c r="LAD100" s="974"/>
      <c r="LAE100" s="974"/>
      <c r="LAF100" s="974"/>
      <c r="LAG100" s="974"/>
      <c r="LAH100" s="974"/>
      <c r="LAI100" s="974"/>
      <c r="LAJ100" s="974"/>
      <c r="LAK100" s="974"/>
      <c r="LAL100" s="974"/>
      <c r="LAM100" s="974"/>
      <c r="LAN100" s="974"/>
      <c r="LAO100" s="974"/>
      <c r="LAP100" s="974"/>
      <c r="LAQ100" s="974"/>
      <c r="LAR100" s="974"/>
      <c r="LAS100" s="974"/>
      <c r="LAT100" s="974"/>
      <c r="LAU100" s="974"/>
      <c r="LAV100" s="974"/>
      <c r="LAW100" s="974"/>
      <c r="LAX100" s="974"/>
      <c r="LAY100" s="974"/>
      <c r="LAZ100" s="974"/>
      <c r="LBA100" s="974"/>
      <c r="LBB100" s="974"/>
      <c r="LBC100" s="974"/>
      <c r="LBD100" s="974"/>
      <c r="LBE100" s="974"/>
      <c r="LBF100" s="974"/>
      <c r="LBG100" s="974"/>
      <c r="LBH100" s="974"/>
      <c r="LBI100" s="974"/>
      <c r="LBJ100" s="974"/>
      <c r="LBK100" s="974"/>
      <c r="LBL100" s="974"/>
      <c r="LBM100" s="974"/>
      <c r="LBN100" s="974"/>
      <c r="LBO100" s="974"/>
      <c r="LBP100" s="974"/>
      <c r="LBQ100" s="974"/>
      <c r="LBR100" s="974"/>
      <c r="LBS100" s="974"/>
      <c r="LBT100" s="974"/>
      <c r="LBU100" s="974"/>
      <c r="LBV100" s="974"/>
      <c r="LBW100" s="974"/>
      <c r="LBX100" s="974"/>
      <c r="LBY100" s="974"/>
      <c r="LBZ100" s="974"/>
      <c r="LCA100" s="974"/>
      <c r="LCB100" s="974"/>
      <c r="LCC100" s="974"/>
      <c r="LCD100" s="974"/>
      <c r="LCE100" s="974"/>
      <c r="LCF100" s="974"/>
      <c r="LCG100" s="974"/>
      <c r="LCH100" s="974"/>
      <c r="LCI100" s="974"/>
      <c r="LCJ100" s="974"/>
      <c r="LCK100" s="974"/>
      <c r="LCL100" s="974"/>
      <c r="LCM100" s="974"/>
      <c r="LCN100" s="974"/>
      <c r="LCO100" s="974"/>
      <c r="LCP100" s="974"/>
      <c r="LCQ100" s="974"/>
      <c r="LCR100" s="974"/>
      <c r="LCS100" s="974"/>
      <c r="LCT100" s="974"/>
      <c r="LCU100" s="974"/>
      <c r="LCV100" s="974"/>
      <c r="LCW100" s="974"/>
      <c r="LCX100" s="974"/>
      <c r="LCY100" s="974"/>
      <c r="LCZ100" s="974"/>
      <c r="LDA100" s="974"/>
      <c r="LDB100" s="974"/>
      <c r="LDC100" s="974"/>
      <c r="LDD100" s="974"/>
      <c r="LDE100" s="974"/>
      <c r="LDF100" s="974"/>
      <c r="LDG100" s="974"/>
      <c r="LDH100" s="974"/>
      <c r="LDI100" s="974"/>
      <c r="LDJ100" s="974"/>
      <c r="LDK100" s="974"/>
      <c r="LDL100" s="974"/>
      <c r="LDM100" s="974"/>
      <c r="LDN100" s="974"/>
      <c r="LDO100" s="974"/>
      <c r="LDP100" s="974"/>
      <c r="LDQ100" s="974"/>
      <c r="LDR100" s="974"/>
      <c r="LDS100" s="974"/>
      <c r="LDT100" s="974"/>
      <c r="LDU100" s="974"/>
      <c r="LDV100" s="974"/>
      <c r="LDW100" s="974"/>
      <c r="LDX100" s="974"/>
      <c r="LDY100" s="974"/>
      <c r="LDZ100" s="974"/>
      <c r="LEA100" s="974"/>
      <c r="LEB100" s="974"/>
      <c r="LEC100" s="974"/>
      <c r="LED100" s="974"/>
      <c r="LEE100" s="974"/>
      <c r="LEF100" s="974"/>
      <c r="LEG100" s="974"/>
      <c r="LEH100" s="974"/>
      <c r="LEI100" s="974"/>
      <c r="LEJ100" s="974"/>
      <c r="LEK100" s="974"/>
      <c r="LEL100" s="974"/>
      <c r="LEM100" s="974"/>
      <c r="LEN100" s="974"/>
      <c r="LEO100" s="974"/>
      <c r="LEP100" s="974"/>
      <c r="LEQ100" s="974"/>
      <c r="LER100" s="974"/>
      <c r="LES100" s="974"/>
      <c r="LET100" s="974"/>
      <c r="LEU100" s="974"/>
      <c r="LEV100" s="974"/>
      <c r="LEW100" s="974"/>
      <c r="LEX100" s="974"/>
      <c r="LEY100" s="974"/>
      <c r="LEZ100" s="974"/>
      <c r="LFA100" s="974"/>
      <c r="LFB100" s="974"/>
      <c r="LFC100" s="974"/>
      <c r="LFD100" s="974"/>
      <c r="LFE100" s="974"/>
      <c r="LFF100" s="974"/>
      <c r="LFG100" s="974"/>
      <c r="LFH100" s="974"/>
      <c r="LFI100" s="974"/>
      <c r="LFJ100" s="974"/>
      <c r="LFK100" s="974"/>
      <c r="LFL100" s="974"/>
      <c r="LFM100" s="974"/>
      <c r="LFN100" s="974"/>
      <c r="LFO100" s="974"/>
      <c r="LFP100" s="974"/>
      <c r="LFQ100" s="974"/>
      <c r="LFR100" s="974"/>
      <c r="LFS100" s="974"/>
      <c r="LFT100" s="974"/>
      <c r="LFU100" s="974"/>
      <c r="LFV100" s="974"/>
      <c r="LFW100" s="974"/>
      <c r="LFX100" s="974"/>
      <c r="LFY100" s="974"/>
      <c r="LFZ100" s="974"/>
      <c r="LGA100" s="974"/>
      <c r="LGB100" s="974"/>
      <c r="LGC100" s="974"/>
      <c r="LGD100" s="974"/>
      <c r="LGE100" s="974"/>
      <c r="LGF100" s="974"/>
      <c r="LGG100" s="974"/>
      <c r="LGH100" s="974"/>
      <c r="LGI100" s="974"/>
      <c r="LGJ100" s="974"/>
      <c r="LGK100" s="974"/>
      <c r="LGL100" s="974"/>
      <c r="LGM100" s="974"/>
      <c r="LGN100" s="974"/>
      <c r="LGO100" s="974"/>
      <c r="LGP100" s="974"/>
      <c r="LGQ100" s="974"/>
      <c r="LGR100" s="974"/>
      <c r="LGS100" s="974"/>
      <c r="LGT100" s="974"/>
      <c r="LGU100" s="974"/>
      <c r="LGV100" s="974"/>
      <c r="LGW100" s="974"/>
      <c r="LGX100" s="974"/>
      <c r="LGY100" s="974"/>
      <c r="LGZ100" s="974"/>
      <c r="LHA100" s="974"/>
      <c r="LHB100" s="974"/>
      <c r="LHC100" s="974"/>
      <c r="LHD100" s="974"/>
      <c r="LHE100" s="974"/>
      <c r="LHF100" s="974"/>
      <c r="LHG100" s="974"/>
      <c r="LHH100" s="974"/>
      <c r="LHI100" s="974"/>
      <c r="LHJ100" s="974"/>
      <c r="LHK100" s="974"/>
      <c r="LHL100" s="974"/>
      <c r="LHM100" s="974"/>
      <c r="LHN100" s="974"/>
      <c r="LHO100" s="974"/>
      <c r="LHP100" s="974"/>
      <c r="LHQ100" s="974"/>
      <c r="LHR100" s="974"/>
      <c r="LHS100" s="974"/>
      <c r="LHT100" s="974"/>
      <c r="LHU100" s="974"/>
      <c r="LHV100" s="974"/>
      <c r="LHW100" s="974"/>
      <c r="LHX100" s="974"/>
      <c r="LHY100" s="974"/>
      <c r="LHZ100" s="974"/>
      <c r="LIA100" s="974"/>
      <c r="LIB100" s="974"/>
      <c r="LIC100" s="974"/>
      <c r="LID100" s="974"/>
      <c r="LIE100" s="974"/>
      <c r="LIF100" s="974"/>
      <c r="LIG100" s="974"/>
      <c r="LIH100" s="974"/>
      <c r="LII100" s="974"/>
      <c r="LIJ100" s="974"/>
      <c r="LIK100" s="974"/>
      <c r="LIL100" s="974"/>
      <c r="LIM100" s="974"/>
      <c r="LIN100" s="974"/>
      <c r="LIO100" s="974"/>
      <c r="LIP100" s="974"/>
      <c r="LIQ100" s="974"/>
      <c r="LIR100" s="974"/>
      <c r="LIS100" s="974"/>
      <c r="LIT100" s="974"/>
      <c r="LIU100" s="974"/>
      <c r="LIV100" s="974"/>
      <c r="LIW100" s="974"/>
      <c r="LIX100" s="974"/>
      <c r="LIY100" s="974"/>
      <c r="LIZ100" s="974"/>
      <c r="LJA100" s="974"/>
      <c r="LJB100" s="974"/>
      <c r="LJC100" s="974"/>
      <c r="LJD100" s="974"/>
      <c r="LJE100" s="974"/>
      <c r="LJF100" s="974"/>
      <c r="LJG100" s="974"/>
      <c r="LJH100" s="974"/>
      <c r="LJI100" s="974"/>
      <c r="LJJ100" s="974"/>
      <c r="LJK100" s="974"/>
      <c r="LJL100" s="974"/>
      <c r="LJM100" s="974"/>
      <c r="LJN100" s="974"/>
      <c r="LJO100" s="974"/>
      <c r="LJP100" s="974"/>
      <c r="LJQ100" s="974"/>
      <c r="LJR100" s="974"/>
      <c r="LJS100" s="974"/>
      <c r="LJT100" s="974"/>
      <c r="LJU100" s="974"/>
      <c r="LJV100" s="974"/>
      <c r="LJW100" s="974"/>
      <c r="LJX100" s="974"/>
      <c r="LJY100" s="974"/>
      <c r="LJZ100" s="974"/>
      <c r="LKA100" s="974"/>
      <c r="LKB100" s="974"/>
      <c r="LKC100" s="974"/>
      <c r="LKD100" s="974"/>
      <c r="LKE100" s="974"/>
      <c r="LKF100" s="974"/>
      <c r="LKG100" s="974"/>
      <c r="LKH100" s="974"/>
      <c r="LKI100" s="974"/>
      <c r="LKJ100" s="974"/>
      <c r="LKK100" s="974"/>
      <c r="LKL100" s="974"/>
      <c r="LKM100" s="974"/>
      <c r="LKN100" s="974"/>
      <c r="LKO100" s="974"/>
      <c r="LKP100" s="974"/>
      <c r="LKQ100" s="974"/>
      <c r="LKR100" s="974"/>
      <c r="LKS100" s="974"/>
      <c r="LKT100" s="974"/>
      <c r="LKU100" s="974"/>
      <c r="LKV100" s="974"/>
      <c r="LKW100" s="974"/>
      <c r="LKX100" s="974"/>
      <c r="LKY100" s="974"/>
      <c r="LKZ100" s="974"/>
      <c r="LLA100" s="974"/>
      <c r="LLB100" s="974"/>
      <c r="LLC100" s="974"/>
      <c r="LLD100" s="974"/>
      <c r="LLE100" s="974"/>
      <c r="LLF100" s="974"/>
      <c r="LLG100" s="974"/>
      <c r="LLH100" s="974"/>
      <c r="LLI100" s="974"/>
      <c r="LLJ100" s="974"/>
      <c r="LLK100" s="974"/>
      <c r="LLL100" s="974"/>
      <c r="LLM100" s="974"/>
      <c r="LLN100" s="974"/>
      <c r="LLO100" s="974"/>
      <c r="LLP100" s="974"/>
      <c r="LLQ100" s="974"/>
      <c r="LLR100" s="974"/>
      <c r="LLS100" s="974"/>
      <c r="LLT100" s="974"/>
      <c r="LLU100" s="974"/>
      <c r="LLV100" s="974"/>
      <c r="LLW100" s="974"/>
      <c r="LLX100" s="974"/>
      <c r="LLY100" s="974"/>
      <c r="LLZ100" s="974"/>
      <c r="LMA100" s="974"/>
      <c r="LMB100" s="974"/>
      <c r="LMC100" s="974"/>
      <c r="LMD100" s="974"/>
      <c r="LME100" s="974"/>
      <c r="LMF100" s="974"/>
      <c r="LMG100" s="974"/>
      <c r="LMH100" s="974"/>
      <c r="LMI100" s="974"/>
      <c r="LMJ100" s="974"/>
      <c r="LMK100" s="974"/>
      <c r="LML100" s="974"/>
      <c r="LMM100" s="974"/>
      <c r="LMN100" s="974"/>
      <c r="LMO100" s="974"/>
      <c r="LMP100" s="974"/>
      <c r="LMQ100" s="974"/>
      <c r="LMR100" s="974"/>
      <c r="LMS100" s="974"/>
      <c r="LMT100" s="974"/>
      <c r="LMU100" s="974"/>
      <c r="LMV100" s="974"/>
      <c r="LMW100" s="974"/>
      <c r="LMX100" s="974"/>
      <c r="LMY100" s="974"/>
      <c r="LMZ100" s="974"/>
      <c r="LNA100" s="974"/>
      <c r="LNB100" s="974"/>
      <c r="LNC100" s="974"/>
      <c r="LND100" s="974"/>
      <c r="LNE100" s="974"/>
      <c r="LNF100" s="974"/>
      <c r="LNG100" s="974"/>
      <c r="LNH100" s="974"/>
      <c r="LNI100" s="974"/>
      <c r="LNJ100" s="974"/>
      <c r="LNK100" s="974"/>
      <c r="LNL100" s="974"/>
      <c r="LNM100" s="974"/>
      <c r="LNN100" s="974"/>
      <c r="LNO100" s="974"/>
      <c r="LNP100" s="974"/>
      <c r="LNQ100" s="974"/>
      <c r="LNR100" s="974"/>
      <c r="LNS100" s="974"/>
      <c r="LNT100" s="974"/>
      <c r="LNU100" s="974"/>
      <c r="LNV100" s="974"/>
      <c r="LNW100" s="974"/>
      <c r="LNX100" s="974"/>
      <c r="LNY100" s="974"/>
      <c r="LNZ100" s="974"/>
      <c r="LOA100" s="974"/>
      <c r="LOB100" s="974"/>
      <c r="LOC100" s="974"/>
      <c r="LOD100" s="974"/>
      <c r="LOE100" s="974"/>
      <c r="LOF100" s="974"/>
      <c r="LOG100" s="974"/>
      <c r="LOH100" s="974"/>
      <c r="LOI100" s="974"/>
      <c r="LOJ100" s="974"/>
      <c r="LOK100" s="974"/>
      <c r="LOL100" s="974"/>
      <c r="LOM100" s="974"/>
      <c r="LON100" s="974"/>
      <c r="LOO100" s="974"/>
      <c r="LOP100" s="974"/>
      <c r="LOQ100" s="974"/>
      <c r="LOR100" s="974"/>
      <c r="LOS100" s="974"/>
      <c r="LOT100" s="974"/>
      <c r="LOU100" s="974"/>
      <c r="LOV100" s="974"/>
      <c r="LOW100" s="974"/>
      <c r="LOX100" s="974"/>
      <c r="LOY100" s="974"/>
      <c r="LOZ100" s="974"/>
      <c r="LPA100" s="974"/>
      <c r="LPB100" s="974"/>
      <c r="LPC100" s="974"/>
      <c r="LPD100" s="974"/>
      <c r="LPE100" s="974"/>
      <c r="LPF100" s="974"/>
      <c r="LPG100" s="974"/>
      <c r="LPH100" s="974"/>
      <c r="LPI100" s="974"/>
      <c r="LPJ100" s="974"/>
      <c r="LPK100" s="974"/>
      <c r="LPL100" s="974"/>
      <c r="LPM100" s="974"/>
      <c r="LPN100" s="974"/>
      <c r="LPO100" s="974"/>
      <c r="LPP100" s="974"/>
      <c r="LPQ100" s="974"/>
      <c r="LPR100" s="974"/>
      <c r="LPS100" s="974"/>
      <c r="LPT100" s="974"/>
      <c r="LPU100" s="974"/>
      <c r="LPV100" s="974"/>
      <c r="LPW100" s="974"/>
      <c r="LPX100" s="974"/>
      <c r="LPY100" s="974"/>
      <c r="LPZ100" s="974"/>
      <c r="LQA100" s="974"/>
      <c r="LQB100" s="974"/>
      <c r="LQC100" s="974"/>
      <c r="LQD100" s="974"/>
      <c r="LQE100" s="974"/>
      <c r="LQF100" s="974"/>
      <c r="LQG100" s="974"/>
      <c r="LQH100" s="974"/>
      <c r="LQI100" s="974"/>
      <c r="LQJ100" s="974"/>
      <c r="LQK100" s="974"/>
      <c r="LQL100" s="974"/>
      <c r="LQM100" s="974"/>
      <c r="LQN100" s="974"/>
      <c r="LQO100" s="974"/>
      <c r="LQP100" s="974"/>
      <c r="LQQ100" s="974"/>
      <c r="LQR100" s="974"/>
      <c r="LQS100" s="974"/>
      <c r="LQT100" s="974"/>
      <c r="LQU100" s="974"/>
      <c r="LQV100" s="974"/>
      <c r="LQW100" s="974"/>
      <c r="LQX100" s="974"/>
      <c r="LQY100" s="974"/>
      <c r="LQZ100" s="974"/>
      <c r="LRA100" s="974"/>
      <c r="LRB100" s="974"/>
      <c r="LRC100" s="974"/>
      <c r="LRD100" s="974"/>
      <c r="LRE100" s="974"/>
      <c r="LRF100" s="974"/>
      <c r="LRG100" s="974"/>
      <c r="LRH100" s="974"/>
      <c r="LRI100" s="974"/>
      <c r="LRJ100" s="974"/>
      <c r="LRK100" s="974"/>
      <c r="LRL100" s="974"/>
      <c r="LRM100" s="974"/>
      <c r="LRN100" s="974"/>
      <c r="LRO100" s="974"/>
      <c r="LRP100" s="974"/>
      <c r="LRQ100" s="974"/>
      <c r="LRR100" s="974"/>
      <c r="LRS100" s="974"/>
      <c r="LRT100" s="974"/>
      <c r="LRU100" s="974"/>
      <c r="LRV100" s="974"/>
      <c r="LRW100" s="974"/>
      <c r="LRX100" s="974"/>
      <c r="LRY100" s="974"/>
      <c r="LRZ100" s="974"/>
      <c r="LSA100" s="974"/>
      <c r="LSB100" s="974"/>
      <c r="LSC100" s="974"/>
      <c r="LSD100" s="974"/>
      <c r="LSE100" s="974"/>
      <c r="LSF100" s="974"/>
      <c r="LSG100" s="974"/>
      <c r="LSH100" s="974"/>
      <c r="LSI100" s="974"/>
      <c r="LSJ100" s="974"/>
      <c r="LSK100" s="974"/>
      <c r="LSL100" s="974"/>
      <c r="LSM100" s="974"/>
      <c r="LSN100" s="974"/>
      <c r="LSO100" s="974"/>
      <c r="LSP100" s="974"/>
      <c r="LSQ100" s="974"/>
      <c r="LSR100" s="974"/>
      <c r="LSS100" s="974"/>
      <c r="LST100" s="974"/>
      <c r="LSU100" s="974"/>
      <c r="LSV100" s="974"/>
      <c r="LSW100" s="974"/>
      <c r="LSX100" s="974"/>
      <c r="LSY100" s="974"/>
      <c r="LSZ100" s="974"/>
      <c r="LTA100" s="974"/>
      <c r="LTB100" s="974"/>
      <c r="LTC100" s="974"/>
      <c r="LTD100" s="974"/>
      <c r="LTE100" s="974"/>
      <c r="LTF100" s="974"/>
      <c r="LTG100" s="974"/>
      <c r="LTH100" s="974"/>
      <c r="LTI100" s="974"/>
      <c r="LTJ100" s="974"/>
      <c r="LTK100" s="974"/>
      <c r="LTL100" s="974"/>
      <c r="LTM100" s="974"/>
      <c r="LTN100" s="974"/>
      <c r="LTO100" s="974"/>
      <c r="LTP100" s="974"/>
      <c r="LTQ100" s="974"/>
      <c r="LTR100" s="974"/>
      <c r="LTS100" s="974"/>
      <c r="LTT100" s="974"/>
      <c r="LTU100" s="974"/>
      <c r="LTV100" s="974"/>
      <c r="LTW100" s="974"/>
      <c r="LTX100" s="974"/>
      <c r="LTY100" s="974"/>
      <c r="LTZ100" s="974"/>
      <c r="LUA100" s="974"/>
      <c r="LUB100" s="974"/>
      <c r="LUC100" s="974"/>
      <c r="LUD100" s="974"/>
      <c r="LUE100" s="974"/>
      <c r="LUF100" s="974"/>
      <c r="LUG100" s="974"/>
      <c r="LUH100" s="974"/>
      <c r="LUI100" s="974"/>
      <c r="LUJ100" s="974"/>
      <c r="LUK100" s="974"/>
      <c r="LUL100" s="974"/>
      <c r="LUM100" s="974"/>
      <c r="LUN100" s="974"/>
      <c r="LUO100" s="974"/>
      <c r="LUP100" s="974"/>
      <c r="LUQ100" s="974"/>
      <c r="LUR100" s="974"/>
      <c r="LUS100" s="974"/>
      <c r="LUT100" s="974"/>
      <c r="LUU100" s="974"/>
      <c r="LUV100" s="974"/>
      <c r="LUW100" s="974"/>
      <c r="LUX100" s="974"/>
      <c r="LUY100" s="974"/>
      <c r="LUZ100" s="974"/>
      <c r="LVA100" s="974"/>
      <c r="LVB100" s="974"/>
      <c r="LVC100" s="974"/>
      <c r="LVD100" s="974"/>
      <c r="LVE100" s="974"/>
      <c r="LVF100" s="974"/>
      <c r="LVG100" s="974"/>
      <c r="LVH100" s="974"/>
      <c r="LVI100" s="974"/>
      <c r="LVJ100" s="974"/>
      <c r="LVK100" s="974"/>
      <c r="LVL100" s="974"/>
      <c r="LVM100" s="974"/>
      <c r="LVN100" s="974"/>
      <c r="LVO100" s="974"/>
      <c r="LVP100" s="974"/>
      <c r="LVQ100" s="974"/>
      <c r="LVR100" s="974"/>
      <c r="LVS100" s="974"/>
      <c r="LVT100" s="974"/>
      <c r="LVU100" s="974"/>
      <c r="LVV100" s="974"/>
      <c r="LVW100" s="974"/>
      <c r="LVX100" s="974"/>
      <c r="LVY100" s="974"/>
      <c r="LVZ100" s="974"/>
      <c r="LWA100" s="974"/>
      <c r="LWB100" s="974"/>
      <c r="LWC100" s="974"/>
      <c r="LWD100" s="974"/>
      <c r="LWE100" s="974"/>
      <c r="LWF100" s="974"/>
      <c r="LWG100" s="974"/>
      <c r="LWH100" s="974"/>
      <c r="LWI100" s="974"/>
      <c r="LWJ100" s="974"/>
      <c r="LWK100" s="974"/>
      <c r="LWL100" s="974"/>
      <c r="LWM100" s="974"/>
      <c r="LWN100" s="974"/>
      <c r="LWO100" s="974"/>
      <c r="LWP100" s="974"/>
      <c r="LWQ100" s="974"/>
      <c r="LWR100" s="974"/>
      <c r="LWS100" s="974"/>
      <c r="LWT100" s="974"/>
      <c r="LWU100" s="974"/>
      <c r="LWV100" s="974"/>
      <c r="LWW100" s="974"/>
      <c r="LWX100" s="974"/>
      <c r="LWY100" s="974"/>
      <c r="LWZ100" s="974"/>
      <c r="LXA100" s="974"/>
      <c r="LXB100" s="974"/>
      <c r="LXC100" s="974"/>
      <c r="LXD100" s="974"/>
      <c r="LXE100" s="974"/>
      <c r="LXF100" s="974"/>
      <c r="LXG100" s="974"/>
      <c r="LXH100" s="974"/>
      <c r="LXI100" s="974"/>
      <c r="LXJ100" s="974"/>
      <c r="LXK100" s="974"/>
      <c r="LXL100" s="974"/>
      <c r="LXM100" s="974"/>
      <c r="LXN100" s="974"/>
      <c r="LXO100" s="974"/>
      <c r="LXP100" s="974"/>
      <c r="LXQ100" s="974"/>
      <c r="LXR100" s="974"/>
      <c r="LXS100" s="974"/>
      <c r="LXT100" s="974"/>
      <c r="LXU100" s="974"/>
      <c r="LXV100" s="974"/>
      <c r="LXW100" s="974"/>
      <c r="LXX100" s="974"/>
      <c r="LXY100" s="974"/>
      <c r="LXZ100" s="974"/>
      <c r="LYA100" s="974"/>
      <c r="LYB100" s="974"/>
      <c r="LYC100" s="974"/>
      <c r="LYD100" s="974"/>
      <c r="LYE100" s="974"/>
      <c r="LYF100" s="974"/>
      <c r="LYG100" s="974"/>
      <c r="LYH100" s="974"/>
      <c r="LYI100" s="974"/>
      <c r="LYJ100" s="974"/>
      <c r="LYK100" s="974"/>
      <c r="LYL100" s="974"/>
      <c r="LYM100" s="974"/>
      <c r="LYN100" s="974"/>
      <c r="LYO100" s="974"/>
      <c r="LYP100" s="974"/>
      <c r="LYQ100" s="974"/>
      <c r="LYR100" s="974"/>
      <c r="LYS100" s="974"/>
      <c r="LYT100" s="974"/>
      <c r="LYU100" s="974"/>
      <c r="LYV100" s="974"/>
      <c r="LYW100" s="974"/>
      <c r="LYX100" s="974"/>
      <c r="LYY100" s="974"/>
      <c r="LYZ100" s="974"/>
      <c r="LZA100" s="974"/>
      <c r="LZB100" s="974"/>
      <c r="LZC100" s="974"/>
      <c r="LZD100" s="974"/>
      <c r="LZE100" s="974"/>
      <c r="LZF100" s="974"/>
      <c r="LZG100" s="974"/>
      <c r="LZH100" s="974"/>
      <c r="LZI100" s="974"/>
      <c r="LZJ100" s="974"/>
      <c r="LZK100" s="974"/>
      <c r="LZL100" s="974"/>
      <c r="LZM100" s="974"/>
      <c r="LZN100" s="974"/>
      <c r="LZO100" s="974"/>
      <c r="LZP100" s="974"/>
      <c r="LZQ100" s="974"/>
      <c r="LZR100" s="974"/>
      <c r="LZS100" s="974"/>
      <c r="LZT100" s="974"/>
      <c r="LZU100" s="974"/>
      <c r="LZV100" s="974"/>
      <c r="LZW100" s="974"/>
      <c r="LZX100" s="974"/>
      <c r="LZY100" s="974"/>
      <c r="LZZ100" s="974"/>
      <c r="MAA100" s="974"/>
      <c r="MAB100" s="974"/>
      <c r="MAC100" s="974"/>
      <c r="MAD100" s="974"/>
      <c r="MAE100" s="974"/>
      <c r="MAF100" s="974"/>
      <c r="MAG100" s="974"/>
      <c r="MAH100" s="974"/>
      <c r="MAI100" s="974"/>
      <c r="MAJ100" s="974"/>
      <c r="MAK100" s="974"/>
      <c r="MAL100" s="974"/>
      <c r="MAM100" s="974"/>
      <c r="MAN100" s="974"/>
      <c r="MAO100" s="974"/>
      <c r="MAP100" s="974"/>
      <c r="MAQ100" s="974"/>
      <c r="MAR100" s="974"/>
      <c r="MAS100" s="974"/>
      <c r="MAT100" s="974"/>
      <c r="MAU100" s="974"/>
      <c r="MAV100" s="974"/>
      <c r="MAW100" s="974"/>
      <c r="MAX100" s="974"/>
      <c r="MAY100" s="974"/>
      <c r="MAZ100" s="974"/>
      <c r="MBA100" s="974"/>
      <c r="MBB100" s="974"/>
      <c r="MBC100" s="974"/>
      <c r="MBD100" s="974"/>
      <c r="MBE100" s="974"/>
      <c r="MBF100" s="974"/>
      <c r="MBG100" s="974"/>
      <c r="MBH100" s="974"/>
      <c r="MBI100" s="974"/>
      <c r="MBJ100" s="974"/>
      <c r="MBK100" s="974"/>
      <c r="MBL100" s="974"/>
      <c r="MBM100" s="974"/>
      <c r="MBN100" s="974"/>
      <c r="MBO100" s="974"/>
      <c r="MBP100" s="974"/>
      <c r="MBQ100" s="974"/>
      <c r="MBR100" s="974"/>
      <c r="MBS100" s="974"/>
      <c r="MBT100" s="974"/>
      <c r="MBU100" s="974"/>
      <c r="MBV100" s="974"/>
      <c r="MBW100" s="974"/>
      <c r="MBX100" s="974"/>
      <c r="MBY100" s="974"/>
      <c r="MBZ100" s="974"/>
      <c r="MCA100" s="974"/>
      <c r="MCB100" s="974"/>
      <c r="MCC100" s="974"/>
      <c r="MCD100" s="974"/>
      <c r="MCE100" s="974"/>
      <c r="MCF100" s="974"/>
      <c r="MCG100" s="974"/>
      <c r="MCH100" s="974"/>
      <c r="MCI100" s="974"/>
      <c r="MCJ100" s="974"/>
      <c r="MCK100" s="974"/>
      <c r="MCL100" s="974"/>
      <c r="MCM100" s="974"/>
      <c r="MCN100" s="974"/>
      <c r="MCO100" s="974"/>
      <c r="MCP100" s="974"/>
      <c r="MCQ100" s="974"/>
      <c r="MCR100" s="974"/>
      <c r="MCS100" s="974"/>
      <c r="MCT100" s="974"/>
      <c r="MCU100" s="974"/>
      <c r="MCV100" s="974"/>
      <c r="MCW100" s="974"/>
      <c r="MCX100" s="974"/>
      <c r="MCY100" s="974"/>
      <c r="MCZ100" s="974"/>
      <c r="MDA100" s="974"/>
      <c r="MDB100" s="974"/>
      <c r="MDC100" s="974"/>
      <c r="MDD100" s="974"/>
      <c r="MDE100" s="974"/>
      <c r="MDF100" s="974"/>
      <c r="MDG100" s="974"/>
      <c r="MDH100" s="974"/>
      <c r="MDI100" s="974"/>
      <c r="MDJ100" s="974"/>
      <c r="MDK100" s="974"/>
      <c r="MDL100" s="974"/>
      <c r="MDM100" s="974"/>
      <c r="MDN100" s="974"/>
      <c r="MDO100" s="974"/>
      <c r="MDP100" s="974"/>
      <c r="MDQ100" s="974"/>
      <c r="MDR100" s="974"/>
      <c r="MDS100" s="974"/>
      <c r="MDT100" s="974"/>
      <c r="MDU100" s="974"/>
      <c r="MDV100" s="974"/>
      <c r="MDW100" s="974"/>
      <c r="MDX100" s="974"/>
      <c r="MDY100" s="974"/>
      <c r="MDZ100" s="974"/>
      <c r="MEA100" s="974"/>
      <c r="MEB100" s="974"/>
      <c r="MEC100" s="974"/>
      <c r="MED100" s="974"/>
      <c r="MEE100" s="974"/>
      <c r="MEF100" s="974"/>
      <c r="MEG100" s="974"/>
      <c r="MEH100" s="974"/>
      <c r="MEI100" s="974"/>
      <c r="MEJ100" s="974"/>
      <c r="MEK100" s="974"/>
      <c r="MEL100" s="974"/>
      <c r="MEM100" s="974"/>
      <c r="MEN100" s="974"/>
      <c r="MEO100" s="974"/>
      <c r="MEP100" s="974"/>
      <c r="MEQ100" s="974"/>
      <c r="MER100" s="974"/>
      <c r="MES100" s="974"/>
      <c r="MET100" s="974"/>
      <c r="MEU100" s="974"/>
      <c r="MEV100" s="974"/>
      <c r="MEW100" s="974"/>
      <c r="MEX100" s="974"/>
      <c r="MEY100" s="974"/>
      <c r="MEZ100" s="974"/>
      <c r="MFA100" s="974"/>
      <c r="MFB100" s="974"/>
      <c r="MFC100" s="974"/>
      <c r="MFD100" s="974"/>
      <c r="MFE100" s="974"/>
      <c r="MFF100" s="974"/>
      <c r="MFG100" s="974"/>
      <c r="MFH100" s="974"/>
      <c r="MFI100" s="974"/>
      <c r="MFJ100" s="974"/>
      <c r="MFK100" s="974"/>
      <c r="MFL100" s="974"/>
      <c r="MFM100" s="974"/>
      <c r="MFN100" s="974"/>
      <c r="MFO100" s="974"/>
      <c r="MFP100" s="974"/>
      <c r="MFQ100" s="974"/>
      <c r="MFR100" s="974"/>
      <c r="MFS100" s="974"/>
      <c r="MFT100" s="974"/>
      <c r="MFU100" s="974"/>
      <c r="MFV100" s="974"/>
      <c r="MFW100" s="974"/>
      <c r="MFX100" s="974"/>
      <c r="MFY100" s="974"/>
      <c r="MFZ100" s="974"/>
      <c r="MGA100" s="974"/>
      <c r="MGB100" s="974"/>
      <c r="MGC100" s="974"/>
      <c r="MGD100" s="974"/>
      <c r="MGE100" s="974"/>
      <c r="MGF100" s="974"/>
      <c r="MGG100" s="974"/>
      <c r="MGH100" s="974"/>
      <c r="MGI100" s="974"/>
      <c r="MGJ100" s="974"/>
      <c r="MGK100" s="974"/>
      <c r="MGL100" s="974"/>
      <c r="MGM100" s="974"/>
      <c r="MGN100" s="974"/>
      <c r="MGO100" s="974"/>
      <c r="MGP100" s="974"/>
      <c r="MGQ100" s="974"/>
      <c r="MGR100" s="974"/>
      <c r="MGS100" s="974"/>
      <c r="MGT100" s="974"/>
      <c r="MGU100" s="974"/>
      <c r="MGV100" s="974"/>
      <c r="MGW100" s="974"/>
      <c r="MGX100" s="974"/>
      <c r="MGY100" s="974"/>
      <c r="MGZ100" s="974"/>
      <c r="MHA100" s="974"/>
      <c r="MHB100" s="974"/>
      <c r="MHC100" s="974"/>
      <c r="MHD100" s="974"/>
      <c r="MHE100" s="974"/>
      <c r="MHF100" s="974"/>
      <c r="MHG100" s="974"/>
      <c r="MHH100" s="974"/>
      <c r="MHI100" s="974"/>
      <c r="MHJ100" s="974"/>
      <c r="MHK100" s="974"/>
      <c r="MHL100" s="974"/>
      <c r="MHM100" s="974"/>
      <c r="MHN100" s="974"/>
      <c r="MHO100" s="974"/>
      <c r="MHP100" s="974"/>
      <c r="MHQ100" s="974"/>
      <c r="MHR100" s="974"/>
      <c r="MHS100" s="974"/>
      <c r="MHT100" s="974"/>
      <c r="MHU100" s="974"/>
      <c r="MHV100" s="974"/>
      <c r="MHW100" s="974"/>
      <c r="MHX100" s="974"/>
      <c r="MHY100" s="974"/>
      <c r="MHZ100" s="974"/>
      <c r="MIA100" s="974"/>
      <c r="MIB100" s="974"/>
      <c r="MIC100" s="974"/>
      <c r="MID100" s="974"/>
      <c r="MIE100" s="974"/>
      <c r="MIF100" s="974"/>
      <c r="MIG100" s="974"/>
      <c r="MIH100" s="974"/>
      <c r="MII100" s="974"/>
      <c r="MIJ100" s="974"/>
      <c r="MIK100" s="974"/>
      <c r="MIL100" s="974"/>
      <c r="MIM100" s="974"/>
      <c r="MIN100" s="974"/>
      <c r="MIO100" s="974"/>
      <c r="MIP100" s="974"/>
      <c r="MIQ100" s="974"/>
      <c r="MIR100" s="974"/>
      <c r="MIS100" s="974"/>
      <c r="MIT100" s="974"/>
      <c r="MIU100" s="974"/>
      <c r="MIV100" s="974"/>
      <c r="MIW100" s="974"/>
      <c r="MIX100" s="974"/>
      <c r="MIY100" s="974"/>
      <c r="MIZ100" s="974"/>
      <c r="MJA100" s="974"/>
      <c r="MJB100" s="974"/>
      <c r="MJC100" s="974"/>
      <c r="MJD100" s="974"/>
      <c r="MJE100" s="974"/>
      <c r="MJF100" s="974"/>
      <c r="MJG100" s="974"/>
      <c r="MJH100" s="974"/>
      <c r="MJI100" s="974"/>
      <c r="MJJ100" s="974"/>
      <c r="MJK100" s="974"/>
      <c r="MJL100" s="974"/>
      <c r="MJM100" s="974"/>
      <c r="MJN100" s="974"/>
      <c r="MJO100" s="974"/>
      <c r="MJP100" s="974"/>
      <c r="MJQ100" s="974"/>
      <c r="MJR100" s="974"/>
      <c r="MJS100" s="974"/>
      <c r="MJT100" s="974"/>
      <c r="MJU100" s="974"/>
      <c r="MJV100" s="974"/>
      <c r="MJW100" s="974"/>
      <c r="MJX100" s="974"/>
      <c r="MJY100" s="974"/>
      <c r="MJZ100" s="974"/>
      <c r="MKA100" s="974"/>
      <c r="MKB100" s="974"/>
      <c r="MKC100" s="974"/>
      <c r="MKD100" s="974"/>
      <c r="MKE100" s="974"/>
      <c r="MKF100" s="974"/>
      <c r="MKG100" s="974"/>
      <c r="MKH100" s="974"/>
      <c r="MKI100" s="974"/>
      <c r="MKJ100" s="974"/>
      <c r="MKK100" s="974"/>
      <c r="MKL100" s="974"/>
      <c r="MKM100" s="974"/>
      <c r="MKN100" s="974"/>
      <c r="MKO100" s="974"/>
      <c r="MKP100" s="974"/>
      <c r="MKQ100" s="974"/>
      <c r="MKR100" s="974"/>
      <c r="MKS100" s="974"/>
      <c r="MKT100" s="974"/>
      <c r="MKU100" s="974"/>
      <c r="MKV100" s="974"/>
      <c r="MKW100" s="974"/>
      <c r="MKX100" s="974"/>
      <c r="MKY100" s="974"/>
      <c r="MKZ100" s="974"/>
      <c r="MLA100" s="974"/>
      <c r="MLB100" s="974"/>
      <c r="MLC100" s="974"/>
      <c r="MLD100" s="974"/>
      <c r="MLE100" s="974"/>
      <c r="MLF100" s="974"/>
      <c r="MLG100" s="974"/>
      <c r="MLH100" s="974"/>
      <c r="MLI100" s="974"/>
      <c r="MLJ100" s="974"/>
      <c r="MLK100" s="974"/>
      <c r="MLL100" s="974"/>
      <c r="MLM100" s="974"/>
      <c r="MLN100" s="974"/>
      <c r="MLO100" s="974"/>
      <c r="MLP100" s="974"/>
      <c r="MLQ100" s="974"/>
      <c r="MLR100" s="974"/>
      <c r="MLS100" s="974"/>
      <c r="MLT100" s="974"/>
      <c r="MLU100" s="974"/>
      <c r="MLV100" s="974"/>
      <c r="MLW100" s="974"/>
      <c r="MLX100" s="974"/>
      <c r="MLY100" s="974"/>
      <c r="MLZ100" s="974"/>
      <c r="MMA100" s="974"/>
      <c r="MMB100" s="974"/>
      <c r="MMC100" s="974"/>
      <c r="MMD100" s="974"/>
      <c r="MME100" s="974"/>
      <c r="MMF100" s="974"/>
      <c r="MMG100" s="974"/>
      <c r="MMH100" s="974"/>
      <c r="MMI100" s="974"/>
      <c r="MMJ100" s="974"/>
      <c r="MMK100" s="974"/>
      <c r="MML100" s="974"/>
      <c r="MMM100" s="974"/>
      <c r="MMN100" s="974"/>
      <c r="MMO100" s="974"/>
      <c r="MMP100" s="974"/>
      <c r="MMQ100" s="974"/>
      <c r="MMR100" s="974"/>
      <c r="MMS100" s="974"/>
      <c r="MMT100" s="974"/>
      <c r="MMU100" s="974"/>
      <c r="MMV100" s="974"/>
      <c r="MMW100" s="974"/>
      <c r="MMX100" s="974"/>
      <c r="MMY100" s="974"/>
      <c r="MMZ100" s="974"/>
      <c r="MNA100" s="974"/>
      <c r="MNB100" s="974"/>
      <c r="MNC100" s="974"/>
      <c r="MND100" s="974"/>
      <c r="MNE100" s="974"/>
      <c r="MNF100" s="974"/>
      <c r="MNG100" s="974"/>
      <c r="MNH100" s="974"/>
      <c r="MNI100" s="974"/>
      <c r="MNJ100" s="974"/>
      <c r="MNK100" s="974"/>
      <c r="MNL100" s="974"/>
      <c r="MNM100" s="974"/>
      <c r="MNN100" s="974"/>
      <c r="MNO100" s="974"/>
      <c r="MNP100" s="974"/>
      <c r="MNQ100" s="974"/>
      <c r="MNR100" s="974"/>
      <c r="MNS100" s="974"/>
      <c r="MNT100" s="974"/>
      <c r="MNU100" s="974"/>
      <c r="MNV100" s="974"/>
      <c r="MNW100" s="974"/>
      <c r="MNX100" s="974"/>
      <c r="MNY100" s="974"/>
      <c r="MNZ100" s="974"/>
      <c r="MOA100" s="974"/>
      <c r="MOB100" s="974"/>
      <c r="MOC100" s="974"/>
      <c r="MOD100" s="974"/>
      <c r="MOE100" s="974"/>
      <c r="MOF100" s="974"/>
      <c r="MOG100" s="974"/>
      <c r="MOH100" s="974"/>
      <c r="MOI100" s="974"/>
      <c r="MOJ100" s="974"/>
      <c r="MOK100" s="974"/>
      <c r="MOL100" s="974"/>
      <c r="MOM100" s="974"/>
      <c r="MON100" s="974"/>
      <c r="MOO100" s="974"/>
      <c r="MOP100" s="974"/>
      <c r="MOQ100" s="974"/>
      <c r="MOR100" s="974"/>
      <c r="MOS100" s="974"/>
      <c r="MOT100" s="974"/>
      <c r="MOU100" s="974"/>
      <c r="MOV100" s="974"/>
      <c r="MOW100" s="974"/>
      <c r="MOX100" s="974"/>
      <c r="MOY100" s="974"/>
      <c r="MOZ100" s="974"/>
      <c r="MPA100" s="974"/>
      <c r="MPB100" s="974"/>
      <c r="MPC100" s="974"/>
      <c r="MPD100" s="974"/>
      <c r="MPE100" s="974"/>
      <c r="MPF100" s="974"/>
      <c r="MPG100" s="974"/>
      <c r="MPH100" s="974"/>
      <c r="MPI100" s="974"/>
      <c r="MPJ100" s="974"/>
      <c r="MPK100" s="974"/>
      <c r="MPL100" s="974"/>
      <c r="MPM100" s="974"/>
      <c r="MPN100" s="974"/>
      <c r="MPO100" s="974"/>
      <c r="MPP100" s="974"/>
      <c r="MPQ100" s="974"/>
      <c r="MPR100" s="974"/>
      <c r="MPS100" s="974"/>
      <c r="MPT100" s="974"/>
      <c r="MPU100" s="974"/>
      <c r="MPV100" s="974"/>
      <c r="MPW100" s="974"/>
      <c r="MPX100" s="974"/>
      <c r="MPY100" s="974"/>
      <c r="MPZ100" s="974"/>
      <c r="MQA100" s="974"/>
      <c r="MQB100" s="974"/>
      <c r="MQC100" s="974"/>
      <c r="MQD100" s="974"/>
      <c r="MQE100" s="974"/>
      <c r="MQF100" s="974"/>
      <c r="MQG100" s="974"/>
      <c r="MQH100" s="974"/>
      <c r="MQI100" s="974"/>
      <c r="MQJ100" s="974"/>
      <c r="MQK100" s="974"/>
      <c r="MQL100" s="974"/>
      <c r="MQM100" s="974"/>
      <c r="MQN100" s="974"/>
      <c r="MQO100" s="974"/>
      <c r="MQP100" s="974"/>
      <c r="MQQ100" s="974"/>
      <c r="MQR100" s="974"/>
      <c r="MQS100" s="974"/>
      <c r="MQT100" s="974"/>
      <c r="MQU100" s="974"/>
      <c r="MQV100" s="974"/>
      <c r="MQW100" s="974"/>
      <c r="MQX100" s="974"/>
      <c r="MQY100" s="974"/>
      <c r="MQZ100" s="974"/>
      <c r="MRA100" s="974"/>
      <c r="MRB100" s="974"/>
      <c r="MRC100" s="974"/>
      <c r="MRD100" s="974"/>
      <c r="MRE100" s="974"/>
      <c r="MRF100" s="974"/>
      <c r="MRG100" s="974"/>
      <c r="MRH100" s="974"/>
      <c r="MRI100" s="974"/>
      <c r="MRJ100" s="974"/>
      <c r="MRK100" s="974"/>
      <c r="MRL100" s="974"/>
      <c r="MRM100" s="974"/>
      <c r="MRN100" s="974"/>
      <c r="MRO100" s="974"/>
      <c r="MRP100" s="974"/>
      <c r="MRQ100" s="974"/>
      <c r="MRR100" s="974"/>
      <c r="MRS100" s="974"/>
      <c r="MRT100" s="974"/>
      <c r="MRU100" s="974"/>
      <c r="MRV100" s="974"/>
      <c r="MRW100" s="974"/>
      <c r="MRX100" s="974"/>
      <c r="MRY100" s="974"/>
      <c r="MRZ100" s="974"/>
      <c r="MSA100" s="974"/>
      <c r="MSB100" s="974"/>
      <c r="MSC100" s="974"/>
      <c r="MSD100" s="974"/>
      <c r="MSE100" s="974"/>
      <c r="MSF100" s="974"/>
      <c r="MSG100" s="974"/>
      <c r="MSH100" s="974"/>
      <c r="MSI100" s="974"/>
      <c r="MSJ100" s="974"/>
      <c r="MSK100" s="974"/>
      <c r="MSL100" s="974"/>
      <c r="MSM100" s="974"/>
      <c r="MSN100" s="974"/>
      <c r="MSO100" s="974"/>
      <c r="MSP100" s="974"/>
      <c r="MSQ100" s="974"/>
      <c r="MSR100" s="974"/>
      <c r="MSS100" s="974"/>
      <c r="MST100" s="974"/>
      <c r="MSU100" s="974"/>
      <c r="MSV100" s="974"/>
      <c r="MSW100" s="974"/>
      <c r="MSX100" s="974"/>
      <c r="MSY100" s="974"/>
      <c r="MSZ100" s="974"/>
      <c r="MTA100" s="974"/>
      <c r="MTB100" s="974"/>
      <c r="MTC100" s="974"/>
      <c r="MTD100" s="974"/>
      <c r="MTE100" s="974"/>
      <c r="MTF100" s="974"/>
      <c r="MTG100" s="974"/>
      <c r="MTH100" s="974"/>
      <c r="MTI100" s="974"/>
      <c r="MTJ100" s="974"/>
      <c r="MTK100" s="974"/>
      <c r="MTL100" s="974"/>
      <c r="MTM100" s="974"/>
      <c r="MTN100" s="974"/>
      <c r="MTO100" s="974"/>
      <c r="MTP100" s="974"/>
      <c r="MTQ100" s="974"/>
      <c r="MTR100" s="974"/>
      <c r="MTS100" s="974"/>
      <c r="MTT100" s="974"/>
      <c r="MTU100" s="974"/>
      <c r="MTV100" s="974"/>
      <c r="MTW100" s="974"/>
      <c r="MTX100" s="974"/>
      <c r="MTY100" s="974"/>
      <c r="MTZ100" s="974"/>
      <c r="MUA100" s="974"/>
      <c r="MUB100" s="974"/>
      <c r="MUC100" s="974"/>
      <c r="MUD100" s="974"/>
      <c r="MUE100" s="974"/>
      <c r="MUF100" s="974"/>
      <c r="MUG100" s="974"/>
      <c r="MUH100" s="974"/>
      <c r="MUI100" s="974"/>
      <c r="MUJ100" s="974"/>
      <c r="MUK100" s="974"/>
      <c r="MUL100" s="974"/>
      <c r="MUM100" s="974"/>
      <c r="MUN100" s="974"/>
      <c r="MUO100" s="974"/>
      <c r="MUP100" s="974"/>
      <c r="MUQ100" s="974"/>
      <c r="MUR100" s="974"/>
      <c r="MUS100" s="974"/>
      <c r="MUT100" s="974"/>
      <c r="MUU100" s="974"/>
      <c r="MUV100" s="974"/>
      <c r="MUW100" s="974"/>
      <c r="MUX100" s="974"/>
      <c r="MUY100" s="974"/>
      <c r="MUZ100" s="974"/>
      <c r="MVA100" s="974"/>
      <c r="MVB100" s="974"/>
      <c r="MVC100" s="974"/>
      <c r="MVD100" s="974"/>
      <c r="MVE100" s="974"/>
      <c r="MVF100" s="974"/>
      <c r="MVG100" s="974"/>
      <c r="MVH100" s="974"/>
      <c r="MVI100" s="974"/>
      <c r="MVJ100" s="974"/>
      <c r="MVK100" s="974"/>
      <c r="MVL100" s="974"/>
      <c r="MVM100" s="974"/>
      <c r="MVN100" s="974"/>
      <c r="MVO100" s="974"/>
      <c r="MVP100" s="974"/>
      <c r="MVQ100" s="974"/>
      <c r="MVR100" s="974"/>
      <c r="MVS100" s="974"/>
      <c r="MVT100" s="974"/>
      <c r="MVU100" s="974"/>
      <c r="MVV100" s="974"/>
      <c r="MVW100" s="974"/>
      <c r="MVX100" s="974"/>
      <c r="MVY100" s="974"/>
      <c r="MVZ100" s="974"/>
      <c r="MWA100" s="974"/>
      <c r="MWB100" s="974"/>
      <c r="MWC100" s="974"/>
      <c r="MWD100" s="974"/>
      <c r="MWE100" s="974"/>
      <c r="MWF100" s="974"/>
      <c r="MWG100" s="974"/>
      <c r="MWH100" s="974"/>
      <c r="MWI100" s="974"/>
      <c r="MWJ100" s="974"/>
      <c r="MWK100" s="974"/>
      <c r="MWL100" s="974"/>
      <c r="MWM100" s="974"/>
      <c r="MWN100" s="974"/>
      <c r="MWO100" s="974"/>
      <c r="MWP100" s="974"/>
      <c r="MWQ100" s="974"/>
      <c r="MWR100" s="974"/>
      <c r="MWS100" s="974"/>
      <c r="MWT100" s="974"/>
      <c r="MWU100" s="974"/>
      <c r="MWV100" s="974"/>
      <c r="MWW100" s="974"/>
      <c r="MWX100" s="974"/>
      <c r="MWY100" s="974"/>
      <c r="MWZ100" s="974"/>
      <c r="MXA100" s="974"/>
      <c r="MXB100" s="974"/>
      <c r="MXC100" s="974"/>
      <c r="MXD100" s="974"/>
      <c r="MXE100" s="974"/>
      <c r="MXF100" s="974"/>
      <c r="MXG100" s="974"/>
      <c r="MXH100" s="974"/>
      <c r="MXI100" s="974"/>
      <c r="MXJ100" s="974"/>
      <c r="MXK100" s="974"/>
      <c r="MXL100" s="974"/>
      <c r="MXM100" s="974"/>
      <c r="MXN100" s="974"/>
      <c r="MXO100" s="974"/>
      <c r="MXP100" s="974"/>
      <c r="MXQ100" s="974"/>
      <c r="MXR100" s="974"/>
      <c r="MXS100" s="974"/>
      <c r="MXT100" s="974"/>
      <c r="MXU100" s="974"/>
      <c r="MXV100" s="974"/>
      <c r="MXW100" s="974"/>
      <c r="MXX100" s="974"/>
      <c r="MXY100" s="974"/>
      <c r="MXZ100" s="974"/>
      <c r="MYA100" s="974"/>
      <c r="MYB100" s="974"/>
      <c r="MYC100" s="974"/>
      <c r="MYD100" s="974"/>
      <c r="MYE100" s="974"/>
      <c r="MYF100" s="974"/>
      <c r="MYG100" s="974"/>
      <c r="MYH100" s="974"/>
      <c r="MYI100" s="974"/>
      <c r="MYJ100" s="974"/>
      <c r="MYK100" s="974"/>
      <c r="MYL100" s="974"/>
      <c r="MYM100" s="974"/>
      <c r="MYN100" s="974"/>
      <c r="MYO100" s="974"/>
      <c r="MYP100" s="974"/>
      <c r="MYQ100" s="974"/>
      <c r="MYR100" s="974"/>
      <c r="MYS100" s="974"/>
      <c r="MYT100" s="974"/>
      <c r="MYU100" s="974"/>
      <c r="MYV100" s="974"/>
      <c r="MYW100" s="974"/>
      <c r="MYX100" s="974"/>
      <c r="MYY100" s="974"/>
      <c r="MYZ100" s="974"/>
      <c r="MZA100" s="974"/>
      <c r="MZB100" s="974"/>
      <c r="MZC100" s="974"/>
      <c r="MZD100" s="974"/>
      <c r="MZE100" s="974"/>
      <c r="MZF100" s="974"/>
      <c r="MZG100" s="974"/>
      <c r="MZH100" s="974"/>
      <c r="MZI100" s="974"/>
      <c r="MZJ100" s="974"/>
      <c r="MZK100" s="974"/>
      <c r="MZL100" s="974"/>
      <c r="MZM100" s="974"/>
      <c r="MZN100" s="974"/>
      <c r="MZO100" s="974"/>
      <c r="MZP100" s="974"/>
      <c r="MZQ100" s="974"/>
      <c r="MZR100" s="974"/>
      <c r="MZS100" s="974"/>
      <c r="MZT100" s="974"/>
      <c r="MZU100" s="974"/>
      <c r="MZV100" s="974"/>
      <c r="MZW100" s="974"/>
      <c r="MZX100" s="974"/>
      <c r="MZY100" s="974"/>
      <c r="MZZ100" s="974"/>
      <c r="NAA100" s="974"/>
      <c r="NAB100" s="974"/>
      <c r="NAC100" s="974"/>
      <c r="NAD100" s="974"/>
      <c r="NAE100" s="974"/>
      <c r="NAF100" s="974"/>
      <c r="NAG100" s="974"/>
      <c r="NAH100" s="974"/>
      <c r="NAI100" s="974"/>
      <c r="NAJ100" s="974"/>
      <c r="NAK100" s="974"/>
      <c r="NAL100" s="974"/>
      <c r="NAM100" s="974"/>
      <c r="NAN100" s="974"/>
      <c r="NAO100" s="974"/>
      <c r="NAP100" s="974"/>
      <c r="NAQ100" s="974"/>
      <c r="NAR100" s="974"/>
      <c r="NAS100" s="974"/>
      <c r="NAT100" s="974"/>
      <c r="NAU100" s="974"/>
      <c r="NAV100" s="974"/>
      <c r="NAW100" s="974"/>
      <c r="NAX100" s="974"/>
      <c r="NAY100" s="974"/>
      <c r="NAZ100" s="974"/>
      <c r="NBA100" s="974"/>
      <c r="NBB100" s="974"/>
      <c r="NBC100" s="974"/>
      <c r="NBD100" s="974"/>
      <c r="NBE100" s="974"/>
      <c r="NBF100" s="974"/>
      <c r="NBG100" s="974"/>
      <c r="NBH100" s="974"/>
      <c r="NBI100" s="974"/>
      <c r="NBJ100" s="974"/>
      <c r="NBK100" s="974"/>
      <c r="NBL100" s="974"/>
      <c r="NBM100" s="974"/>
      <c r="NBN100" s="974"/>
      <c r="NBO100" s="974"/>
      <c r="NBP100" s="974"/>
      <c r="NBQ100" s="974"/>
      <c r="NBR100" s="974"/>
      <c r="NBS100" s="974"/>
      <c r="NBT100" s="974"/>
      <c r="NBU100" s="974"/>
      <c r="NBV100" s="974"/>
      <c r="NBW100" s="974"/>
      <c r="NBX100" s="974"/>
      <c r="NBY100" s="974"/>
      <c r="NBZ100" s="974"/>
      <c r="NCA100" s="974"/>
      <c r="NCB100" s="974"/>
      <c r="NCC100" s="974"/>
      <c r="NCD100" s="974"/>
      <c r="NCE100" s="974"/>
      <c r="NCF100" s="974"/>
      <c r="NCG100" s="974"/>
      <c r="NCH100" s="974"/>
      <c r="NCI100" s="974"/>
      <c r="NCJ100" s="974"/>
      <c r="NCK100" s="974"/>
      <c r="NCL100" s="974"/>
      <c r="NCM100" s="974"/>
      <c r="NCN100" s="974"/>
      <c r="NCO100" s="974"/>
      <c r="NCP100" s="974"/>
      <c r="NCQ100" s="974"/>
      <c r="NCR100" s="974"/>
      <c r="NCS100" s="974"/>
      <c r="NCT100" s="974"/>
      <c r="NCU100" s="974"/>
      <c r="NCV100" s="974"/>
      <c r="NCW100" s="974"/>
      <c r="NCX100" s="974"/>
      <c r="NCY100" s="974"/>
      <c r="NCZ100" s="974"/>
      <c r="NDA100" s="974"/>
      <c r="NDB100" s="974"/>
      <c r="NDC100" s="974"/>
      <c r="NDD100" s="974"/>
      <c r="NDE100" s="974"/>
      <c r="NDF100" s="974"/>
      <c r="NDG100" s="974"/>
      <c r="NDH100" s="974"/>
      <c r="NDI100" s="974"/>
      <c r="NDJ100" s="974"/>
      <c r="NDK100" s="974"/>
      <c r="NDL100" s="974"/>
      <c r="NDM100" s="974"/>
      <c r="NDN100" s="974"/>
      <c r="NDO100" s="974"/>
      <c r="NDP100" s="974"/>
      <c r="NDQ100" s="974"/>
      <c r="NDR100" s="974"/>
      <c r="NDS100" s="974"/>
      <c r="NDT100" s="974"/>
      <c r="NDU100" s="974"/>
      <c r="NDV100" s="974"/>
      <c r="NDW100" s="974"/>
      <c r="NDX100" s="974"/>
      <c r="NDY100" s="974"/>
      <c r="NDZ100" s="974"/>
      <c r="NEA100" s="974"/>
      <c r="NEB100" s="974"/>
      <c r="NEC100" s="974"/>
      <c r="NED100" s="974"/>
      <c r="NEE100" s="974"/>
      <c r="NEF100" s="974"/>
      <c r="NEG100" s="974"/>
      <c r="NEH100" s="974"/>
      <c r="NEI100" s="974"/>
      <c r="NEJ100" s="974"/>
      <c r="NEK100" s="974"/>
      <c r="NEL100" s="974"/>
      <c r="NEM100" s="974"/>
      <c r="NEN100" s="974"/>
      <c r="NEO100" s="974"/>
      <c r="NEP100" s="974"/>
      <c r="NEQ100" s="974"/>
      <c r="NER100" s="974"/>
      <c r="NES100" s="974"/>
      <c r="NET100" s="974"/>
      <c r="NEU100" s="974"/>
      <c r="NEV100" s="974"/>
      <c r="NEW100" s="974"/>
      <c r="NEX100" s="974"/>
      <c r="NEY100" s="974"/>
      <c r="NEZ100" s="974"/>
      <c r="NFA100" s="974"/>
      <c r="NFB100" s="974"/>
      <c r="NFC100" s="974"/>
      <c r="NFD100" s="974"/>
      <c r="NFE100" s="974"/>
      <c r="NFF100" s="974"/>
      <c r="NFG100" s="974"/>
      <c r="NFH100" s="974"/>
      <c r="NFI100" s="974"/>
      <c r="NFJ100" s="974"/>
      <c r="NFK100" s="974"/>
      <c r="NFL100" s="974"/>
      <c r="NFM100" s="974"/>
      <c r="NFN100" s="974"/>
      <c r="NFO100" s="974"/>
      <c r="NFP100" s="974"/>
      <c r="NFQ100" s="974"/>
      <c r="NFR100" s="974"/>
      <c r="NFS100" s="974"/>
      <c r="NFT100" s="974"/>
      <c r="NFU100" s="974"/>
      <c r="NFV100" s="974"/>
      <c r="NFW100" s="974"/>
      <c r="NFX100" s="974"/>
      <c r="NFY100" s="974"/>
      <c r="NFZ100" s="974"/>
      <c r="NGA100" s="974"/>
      <c r="NGB100" s="974"/>
      <c r="NGC100" s="974"/>
      <c r="NGD100" s="974"/>
      <c r="NGE100" s="974"/>
      <c r="NGF100" s="974"/>
      <c r="NGG100" s="974"/>
      <c r="NGH100" s="974"/>
      <c r="NGI100" s="974"/>
      <c r="NGJ100" s="974"/>
      <c r="NGK100" s="974"/>
      <c r="NGL100" s="974"/>
      <c r="NGM100" s="974"/>
      <c r="NGN100" s="974"/>
      <c r="NGO100" s="974"/>
      <c r="NGP100" s="974"/>
      <c r="NGQ100" s="974"/>
      <c r="NGR100" s="974"/>
      <c r="NGS100" s="974"/>
      <c r="NGT100" s="974"/>
      <c r="NGU100" s="974"/>
      <c r="NGV100" s="974"/>
      <c r="NGW100" s="974"/>
      <c r="NGX100" s="974"/>
      <c r="NGY100" s="974"/>
      <c r="NGZ100" s="974"/>
      <c r="NHA100" s="974"/>
      <c r="NHB100" s="974"/>
      <c r="NHC100" s="974"/>
      <c r="NHD100" s="974"/>
      <c r="NHE100" s="974"/>
      <c r="NHF100" s="974"/>
      <c r="NHG100" s="974"/>
      <c r="NHH100" s="974"/>
      <c r="NHI100" s="974"/>
      <c r="NHJ100" s="974"/>
      <c r="NHK100" s="974"/>
      <c r="NHL100" s="974"/>
      <c r="NHM100" s="974"/>
      <c r="NHN100" s="974"/>
      <c r="NHO100" s="974"/>
      <c r="NHP100" s="974"/>
      <c r="NHQ100" s="974"/>
      <c r="NHR100" s="974"/>
      <c r="NHS100" s="974"/>
      <c r="NHT100" s="974"/>
      <c r="NHU100" s="974"/>
      <c r="NHV100" s="974"/>
      <c r="NHW100" s="974"/>
      <c r="NHX100" s="974"/>
      <c r="NHY100" s="974"/>
      <c r="NHZ100" s="974"/>
      <c r="NIA100" s="974"/>
      <c r="NIB100" s="974"/>
      <c r="NIC100" s="974"/>
      <c r="NID100" s="974"/>
      <c r="NIE100" s="974"/>
      <c r="NIF100" s="974"/>
      <c r="NIG100" s="974"/>
      <c r="NIH100" s="974"/>
      <c r="NII100" s="974"/>
      <c r="NIJ100" s="974"/>
      <c r="NIK100" s="974"/>
      <c r="NIL100" s="974"/>
      <c r="NIM100" s="974"/>
      <c r="NIN100" s="974"/>
      <c r="NIO100" s="974"/>
      <c r="NIP100" s="974"/>
      <c r="NIQ100" s="974"/>
      <c r="NIR100" s="974"/>
      <c r="NIS100" s="974"/>
      <c r="NIT100" s="974"/>
      <c r="NIU100" s="974"/>
      <c r="NIV100" s="974"/>
      <c r="NIW100" s="974"/>
      <c r="NIX100" s="974"/>
      <c r="NIY100" s="974"/>
      <c r="NIZ100" s="974"/>
      <c r="NJA100" s="974"/>
      <c r="NJB100" s="974"/>
      <c r="NJC100" s="974"/>
      <c r="NJD100" s="974"/>
      <c r="NJE100" s="974"/>
      <c r="NJF100" s="974"/>
      <c r="NJG100" s="974"/>
      <c r="NJH100" s="974"/>
      <c r="NJI100" s="974"/>
      <c r="NJJ100" s="974"/>
      <c r="NJK100" s="974"/>
      <c r="NJL100" s="974"/>
      <c r="NJM100" s="974"/>
      <c r="NJN100" s="974"/>
      <c r="NJO100" s="974"/>
      <c r="NJP100" s="974"/>
      <c r="NJQ100" s="974"/>
      <c r="NJR100" s="974"/>
      <c r="NJS100" s="974"/>
      <c r="NJT100" s="974"/>
      <c r="NJU100" s="974"/>
      <c r="NJV100" s="974"/>
      <c r="NJW100" s="974"/>
      <c r="NJX100" s="974"/>
      <c r="NJY100" s="974"/>
      <c r="NJZ100" s="974"/>
      <c r="NKA100" s="974"/>
      <c r="NKB100" s="974"/>
      <c r="NKC100" s="974"/>
      <c r="NKD100" s="974"/>
      <c r="NKE100" s="974"/>
      <c r="NKF100" s="974"/>
      <c r="NKG100" s="974"/>
      <c r="NKH100" s="974"/>
      <c r="NKI100" s="974"/>
      <c r="NKJ100" s="974"/>
      <c r="NKK100" s="974"/>
      <c r="NKL100" s="974"/>
      <c r="NKM100" s="974"/>
      <c r="NKN100" s="974"/>
      <c r="NKO100" s="974"/>
      <c r="NKP100" s="974"/>
      <c r="NKQ100" s="974"/>
      <c r="NKR100" s="974"/>
      <c r="NKS100" s="974"/>
      <c r="NKT100" s="974"/>
      <c r="NKU100" s="974"/>
      <c r="NKV100" s="974"/>
      <c r="NKW100" s="974"/>
      <c r="NKX100" s="974"/>
      <c r="NKY100" s="974"/>
      <c r="NKZ100" s="974"/>
      <c r="NLA100" s="974"/>
      <c r="NLB100" s="974"/>
      <c r="NLC100" s="974"/>
      <c r="NLD100" s="974"/>
      <c r="NLE100" s="974"/>
      <c r="NLF100" s="974"/>
      <c r="NLG100" s="974"/>
      <c r="NLH100" s="974"/>
      <c r="NLI100" s="974"/>
      <c r="NLJ100" s="974"/>
      <c r="NLK100" s="974"/>
      <c r="NLL100" s="974"/>
      <c r="NLM100" s="974"/>
      <c r="NLN100" s="974"/>
      <c r="NLO100" s="974"/>
      <c r="NLP100" s="974"/>
      <c r="NLQ100" s="974"/>
      <c r="NLR100" s="974"/>
      <c r="NLS100" s="974"/>
      <c r="NLT100" s="974"/>
      <c r="NLU100" s="974"/>
      <c r="NLV100" s="974"/>
      <c r="NLW100" s="974"/>
      <c r="NLX100" s="974"/>
      <c r="NLY100" s="974"/>
      <c r="NLZ100" s="974"/>
      <c r="NMA100" s="974"/>
      <c r="NMB100" s="974"/>
      <c r="NMC100" s="974"/>
      <c r="NMD100" s="974"/>
      <c r="NME100" s="974"/>
      <c r="NMF100" s="974"/>
      <c r="NMG100" s="974"/>
      <c r="NMH100" s="974"/>
      <c r="NMI100" s="974"/>
      <c r="NMJ100" s="974"/>
      <c r="NMK100" s="974"/>
      <c r="NML100" s="974"/>
      <c r="NMM100" s="974"/>
      <c r="NMN100" s="974"/>
      <c r="NMO100" s="974"/>
      <c r="NMP100" s="974"/>
      <c r="NMQ100" s="974"/>
      <c r="NMR100" s="974"/>
      <c r="NMS100" s="974"/>
      <c r="NMT100" s="974"/>
      <c r="NMU100" s="974"/>
      <c r="NMV100" s="974"/>
      <c r="NMW100" s="974"/>
      <c r="NMX100" s="974"/>
      <c r="NMY100" s="974"/>
      <c r="NMZ100" s="974"/>
      <c r="NNA100" s="974"/>
      <c r="NNB100" s="974"/>
      <c r="NNC100" s="974"/>
      <c r="NND100" s="974"/>
      <c r="NNE100" s="974"/>
      <c r="NNF100" s="974"/>
      <c r="NNG100" s="974"/>
      <c r="NNH100" s="974"/>
      <c r="NNI100" s="974"/>
      <c r="NNJ100" s="974"/>
      <c r="NNK100" s="974"/>
      <c r="NNL100" s="974"/>
      <c r="NNM100" s="974"/>
      <c r="NNN100" s="974"/>
      <c r="NNO100" s="974"/>
      <c r="NNP100" s="974"/>
      <c r="NNQ100" s="974"/>
      <c r="NNR100" s="974"/>
      <c r="NNS100" s="974"/>
      <c r="NNT100" s="974"/>
      <c r="NNU100" s="974"/>
      <c r="NNV100" s="974"/>
      <c r="NNW100" s="974"/>
      <c r="NNX100" s="974"/>
      <c r="NNY100" s="974"/>
      <c r="NNZ100" s="974"/>
      <c r="NOA100" s="974"/>
      <c r="NOB100" s="974"/>
      <c r="NOC100" s="974"/>
      <c r="NOD100" s="974"/>
      <c r="NOE100" s="974"/>
      <c r="NOF100" s="974"/>
      <c r="NOG100" s="974"/>
      <c r="NOH100" s="974"/>
      <c r="NOI100" s="974"/>
      <c r="NOJ100" s="974"/>
      <c r="NOK100" s="974"/>
      <c r="NOL100" s="974"/>
      <c r="NOM100" s="974"/>
      <c r="NON100" s="974"/>
      <c r="NOO100" s="974"/>
      <c r="NOP100" s="974"/>
      <c r="NOQ100" s="974"/>
      <c r="NOR100" s="974"/>
      <c r="NOS100" s="974"/>
      <c r="NOT100" s="974"/>
      <c r="NOU100" s="974"/>
      <c r="NOV100" s="974"/>
      <c r="NOW100" s="974"/>
      <c r="NOX100" s="974"/>
      <c r="NOY100" s="974"/>
      <c r="NOZ100" s="974"/>
      <c r="NPA100" s="974"/>
      <c r="NPB100" s="974"/>
      <c r="NPC100" s="974"/>
      <c r="NPD100" s="974"/>
      <c r="NPE100" s="974"/>
      <c r="NPF100" s="974"/>
      <c r="NPG100" s="974"/>
      <c r="NPH100" s="974"/>
      <c r="NPI100" s="974"/>
      <c r="NPJ100" s="974"/>
      <c r="NPK100" s="974"/>
      <c r="NPL100" s="974"/>
      <c r="NPM100" s="974"/>
      <c r="NPN100" s="974"/>
      <c r="NPO100" s="974"/>
      <c r="NPP100" s="974"/>
      <c r="NPQ100" s="974"/>
      <c r="NPR100" s="974"/>
      <c r="NPS100" s="974"/>
      <c r="NPT100" s="974"/>
      <c r="NPU100" s="974"/>
      <c r="NPV100" s="974"/>
      <c r="NPW100" s="974"/>
      <c r="NPX100" s="974"/>
      <c r="NPY100" s="974"/>
      <c r="NPZ100" s="974"/>
      <c r="NQA100" s="974"/>
      <c r="NQB100" s="974"/>
      <c r="NQC100" s="974"/>
      <c r="NQD100" s="974"/>
      <c r="NQE100" s="974"/>
      <c r="NQF100" s="974"/>
      <c r="NQG100" s="974"/>
      <c r="NQH100" s="974"/>
      <c r="NQI100" s="974"/>
      <c r="NQJ100" s="974"/>
      <c r="NQK100" s="974"/>
      <c r="NQL100" s="974"/>
      <c r="NQM100" s="974"/>
      <c r="NQN100" s="974"/>
      <c r="NQO100" s="974"/>
      <c r="NQP100" s="974"/>
      <c r="NQQ100" s="974"/>
      <c r="NQR100" s="974"/>
      <c r="NQS100" s="974"/>
      <c r="NQT100" s="974"/>
      <c r="NQU100" s="974"/>
      <c r="NQV100" s="974"/>
      <c r="NQW100" s="974"/>
      <c r="NQX100" s="974"/>
      <c r="NQY100" s="974"/>
      <c r="NQZ100" s="974"/>
      <c r="NRA100" s="974"/>
      <c r="NRB100" s="974"/>
      <c r="NRC100" s="974"/>
      <c r="NRD100" s="974"/>
      <c r="NRE100" s="974"/>
      <c r="NRF100" s="974"/>
      <c r="NRG100" s="974"/>
      <c r="NRH100" s="974"/>
      <c r="NRI100" s="974"/>
      <c r="NRJ100" s="974"/>
      <c r="NRK100" s="974"/>
      <c r="NRL100" s="974"/>
      <c r="NRM100" s="974"/>
      <c r="NRN100" s="974"/>
      <c r="NRO100" s="974"/>
      <c r="NRP100" s="974"/>
      <c r="NRQ100" s="974"/>
      <c r="NRR100" s="974"/>
      <c r="NRS100" s="974"/>
      <c r="NRT100" s="974"/>
      <c r="NRU100" s="974"/>
      <c r="NRV100" s="974"/>
      <c r="NRW100" s="974"/>
      <c r="NRX100" s="974"/>
      <c r="NRY100" s="974"/>
      <c r="NRZ100" s="974"/>
      <c r="NSA100" s="974"/>
      <c r="NSB100" s="974"/>
      <c r="NSC100" s="974"/>
      <c r="NSD100" s="974"/>
      <c r="NSE100" s="974"/>
      <c r="NSF100" s="974"/>
      <c r="NSG100" s="974"/>
      <c r="NSH100" s="974"/>
      <c r="NSI100" s="974"/>
      <c r="NSJ100" s="974"/>
      <c r="NSK100" s="974"/>
      <c r="NSL100" s="974"/>
      <c r="NSM100" s="974"/>
      <c r="NSN100" s="974"/>
      <c r="NSO100" s="974"/>
      <c r="NSP100" s="974"/>
      <c r="NSQ100" s="974"/>
      <c r="NSR100" s="974"/>
      <c r="NSS100" s="974"/>
      <c r="NST100" s="974"/>
      <c r="NSU100" s="974"/>
      <c r="NSV100" s="974"/>
      <c r="NSW100" s="974"/>
      <c r="NSX100" s="974"/>
      <c r="NSY100" s="974"/>
      <c r="NSZ100" s="974"/>
      <c r="NTA100" s="974"/>
      <c r="NTB100" s="974"/>
      <c r="NTC100" s="974"/>
      <c r="NTD100" s="974"/>
      <c r="NTE100" s="974"/>
      <c r="NTF100" s="974"/>
      <c r="NTG100" s="974"/>
      <c r="NTH100" s="974"/>
      <c r="NTI100" s="974"/>
      <c r="NTJ100" s="974"/>
      <c r="NTK100" s="974"/>
      <c r="NTL100" s="974"/>
      <c r="NTM100" s="974"/>
      <c r="NTN100" s="974"/>
      <c r="NTO100" s="974"/>
      <c r="NTP100" s="974"/>
      <c r="NTQ100" s="974"/>
      <c r="NTR100" s="974"/>
      <c r="NTS100" s="974"/>
      <c r="NTT100" s="974"/>
      <c r="NTU100" s="974"/>
      <c r="NTV100" s="974"/>
      <c r="NTW100" s="974"/>
      <c r="NTX100" s="974"/>
      <c r="NTY100" s="974"/>
      <c r="NTZ100" s="974"/>
      <c r="NUA100" s="974"/>
      <c r="NUB100" s="974"/>
      <c r="NUC100" s="974"/>
      <c r="NUD100" s="974"/>
      <c r="NUE100" s="974"/>
      <c r="NUF100" s="974"/>
      <c r="NUG100" s="974"/>
      <c r="NUH100" s="974"/>
      <c r="NUI100" s="974"/>
      <c r="NUJ100" s="974"/>
      <c r="NUK100" s="974"/>
      <c r="NUL100" s="974"/>
      <c r="NUM100" s="974"/>
      <c r="NUN100" s="974"/>
      <c r="NUO100" s="974"/>
      <c r="NUP100" s="974"/>
      <c r="NUQ100" s="974"/>
      <c r="NUR100" s="974"/>
      <c r="NUS100" s="974"/>
      <c r="NUT100" s="974"/>
      <c r="NUU100" s="974"/>
      <c r="NUV100" s="974"/>
      <c r="NUW100" s="974"/>
      <c r="NUX100" s="974"/>
      <c r="NUY100" s="974"/>
      <c r="NUZ100" s="974"/>
      <c r="NVA100" s="974"/>
      <c r="NVB100" s="974"/>
      <c r="NVC100" s="974"/>
      <c r="NVD100" s="974"/>
      <c r="NVE100" s="974"/>
      <c r="NVF100" s="974"/>
      <c r="NVG100" s="974"/>
      <c r="NVH100" s="974"/>
      <c r="NVI100" s="974"/>
      <c r="NVJ100" s="974"/>
      <c r="NVK100" s="974"/>
      <c r="NVL100" s="974"/>
      <c r="NVM100" s="974"/>
      <c r="NVN100" s="974"/>
      <c r="NVO100" s="974"/>
      <c r="NVP100" s="974"/>
      <c r="NVQ100" s="974"/>
      <c r="NVR100" s="974"/>
      <c r="NVS100" s="974"/>
      <c r="NVT100" s="974"/>
      <c r="NVU100" s="974"/>
      <c r="NVV100" s="974"/>
      <c r="NVW100" s="974"/>
      <c r="NVX100" s="974"/>
      <c r="NVY100" s="974"/>
      <c r="NVZ100" s="974"/>
      <c r="NWA100" s="974"/>
      <c r="NWB100" s="974"/>
      <c r="NWC100" s="974"/>
      <c r="NWD100" s="974"/>
      <c r="NWE100" s="974"/>
      <c r="NWF100" s="974"/>
      <c r="NWG100" s="974"/>
      <c r="NWH100" s="974"/>
      <c r="NWI100" s="974"/>
      <c r="NWJ100" s="974"/>
      <c r="NWK100" s="974"/>
      <c r="NWL100" s="974"/>
      <c r="NWM100" s="974"/>
      <c r="NWN100" s="974"/>
      <c r="NWO100" s="974"/>
      <c r="NWP100" s="974"/>
      <c r="NWQ100" s="974"/>
      <c r="NWR100" s="974"/>
      <c r="NWS100" s="974"/>
      <c r="NWT100" s="974"/>
      <c r="NWU100" s="974"/>
      <c r="NWV100" s="974"/>
      <c r="NWW100" s="974"/>
      <c r="NWX100" s="974"/>
      <c r="NWY100" s="974"/>
      <c r="NWZ100" s="974"/>
      <c r="NXA100" s="974"/>
      <c r="NXB100" s="974"/>
      <c r="NXC100" s="974"/>
      <c r="NXD100" s="974"/>
      <c r="NXE100" s="974"/>
      <c r="NXF100" s="974"/>
      <c r="NXG100" s="974"/>
      <c r="NXH100" s="974"/>
      <c r="NXI100" s="974"/>
      <c r="NXJ100" s="974"/>
      <c r="NXK100" s="974"/>
      <c r="NXL100" s="974"/>
      <c r="NXM100" s="974"/>
      <c r="NXN100" s="974"/>
      <c r="NXO100" s="974"/>
      <c r="NXP100" s="974"/>
      <c r="NXQ100" s="974"/>
      <c r="NXR100" s="974"/>
      <c r="NXS100" s="974"/>
      <c r="NXT100" s="974"/>
      <c r="NXU100" s="974"/>
      <c r="NXV100" s="974"/>
      <c r="NXW100" s="974"/>
      <c r="NXX100" s="974"/>
      <c r="NXY100" s="974"/>
      <c r="NXZ100" s="974"/>
      <c r="NYA100" s="974"/>
      <c r="NYB100" s="974"/>
      <c r="NYC100" s="974"/>
      <c r="NYD100" s="974"/>
      <c r="NYE100" s="974"/>
      <c r="NYF100" s="974"/>
      <c r="NYG100" s="974"/>
      <c r="NYH100" s="974"/>
      <c r="NYI100" s="974"/>
      <c r="NYJ100" s="974"/>
      <c r="NYK100" s="974"/>
      <c r="NYL100" s="974"/>
      <c r="NYM100" s="974"/>
      <c r="NYN100" s="974"/>
      <c r="NYO100" s="974"/>
      <c r="NYP100" s="974"/>
      <c r="NYQ100" s="974"/>
      <c r="NYR100" s="974"/>
      <c r="NYS100" s="974"/>
      <c r="NYT100" s="974"/>
      <c r="NYU100" s="974"/>
      <c r="NYV100" s="974"/>
      <c r="NYW100" s="974"/>
      <c r="NYX100" s="974"/>
      <c r="NYY100" s="974"/>
      <c r="NYZ100" s="974"/>
      <c r="NZA100" s="974"/>
      <c r="NZB100" s="974"/>
      <c r="NZC100" s="974"/>
      <c r="NZD100" s="974"/>
      <c r="NZE100" s="974"/>
      <c r="NZF100" s="974"/>
      <c r="NZG100" s="974"/>
      <c r="NZH100" s="974"/>
      <c r="NZI100" s="974"/>
      <c r="NZJ100" s="974"/>
      <c r="NZK100" s="974"/>
      <c r="NZL100" s="974"/>
      <c r="NZM100" s="974"/>
      <c r="NZN100" s="974"/>
      <c r="NZO100" s="974"/>
      <c r="NZP100" s="974"/>
      <c r="NZQ100" s="974"/>
      <c r="NZR100" s="974"/>
      <c r="NZS100" s="974"/>
      <c r="NZT100" s="974"/>
      <c r="NZU100" s="974"/>
      <c r="NZV100" s="974"/>
      <c r="NZW100" s="974"/>
      <c r="NZX100" s="974"/>
      <c r="NZY100" s="974"/>
      <c r="NZZ100" s="974"/>
      <c r="OAA100" s="974"/>
      <c r="OAB100" s="974"/>
      <c r="OAC100" s="974"/>
      <c r="OAD100" s="974"/>
      <c r="OAE100" s="974"/>
      <c r="OAF100" s="974"/>
      <c r="OAG100" s="974"/>
      <c r="OAH100" s="974"/>
      <c r="OAI100" s="974"/>
      <c r="OAJ100" s="974"/>
      <c r="OAK100" s="974"/>
      <c r="OAL100" s="974"/>
      <c r="OAM100" s="974"/>
      <c r="OAN100" s="974"/>
      <c r="OAO100" s="974"/>
      <c r="OAP100" s="974"/>
      <c r="OAQ100" s="974"/>
      <c r="OAR100" s="974"/>
      <c r="OAS100" s="974"/>
      <c r="OAT100" s="974"/>
      <c r="OAU100" s="974"/>
      <c r="OAV100" s="974"/>
      <c r="OAW100" s="974"/>
      <c r="OAX100" s="974"/>
      <c r="OAY100" s="974"/>
      <c r="OAZ100" s="974"/>
      <c r="OBA100" s="974"/>
      <c r="OBB100" s="974"/>
      <c r="OBC100" s="974"/>
      <c r="OBD100" s="974"/>
      <c r="OBE100" s="974"/>
      <c r="OBF100" s="974"/>
      <c r="OBG100" s="974"/>
      <c r="OBH100" s="974"/>
      <c r="OBI100" s="974"/>
      <c r="OBJ100" s="974"/>
      <c r="OBK100" s="974"/>
      <c r="OBL100" s="974"/>
      <c r="OBM100" s="974"/>
      <c r="OBN100" s="974"/>
      <c r="OBO100" s="974"/>
      <c r="OBP100" s="974"/>
      <c r="OBQ100" s="974"/>
      <c r="OBR100" s="974"/>
      <c r="OBS100" s="974"/>
      <c r="OBT100" s="974"/>
      <c r="OBU100" s="974"/>
      <c r="OBV100" s="974"/>
      <c r="OBW100" s="974"/>
      <c r="OBX100" s="974"/>
      <c r="OBY100" s="974"/>
      <c r="OBZ100" s="974"/>
      <c r="OCA100" s="974"/>
      <c r="OCB100" s="974"/>
      <c r="OCC100" s="974"/>
      <c r="OCD100" s="974"/>
      <c r="OCE100" s="974"/>
      <c r="OCF100" s="974"/>
      <c r="OCG100" s="974"/>
      <c r="OCH100" s="974"/>
      <c r="OCI100" s="974"/>
      <c r="OCJ100" s="974"/>
      <c r="OCK100" s="974"/>
      <c r="OCL100" s="974"/>
      <c r="OCM100" s="974"/>
      <c r="OCN100" s="974"/>
      <c r="OCO100" s="974"/>
      <c r="OCP100" s="974"/>
      <c r="OCQ100" s="974"/>
      <c r="OCR100" s="974"/>
      <c r="OCS100" s="974"/>
      <c r="OCT100" s="974"/>
      <c r="OCU100" s="974"/>
      <c r="OCV100" s="974"/>
      <c r="OCW100" s="974"/>
      <c r="OCX100" s="974"/>
      <c r="OCY100" s="974"/>
      <c r="OCZ100" s="974"/>
      <c r="ODA100" s="974"/>
      <c r="ODB100" s="974"/>
      <c r="ODC100" s="974"/>
      <c r="ODD100" s="974"/>
      <c r="ODE100" s="974"/>
      <c r="ODF100" s="974"/>
      <c r="ODG100" s="974"/>
      <c r="ODH100" s="974"/>
      <c r="ODI100" s="974"/>
      <c r="ODJ100" s="974"/>
      <c r="ODK100" s="974"/>
      <c r="ODL100" s="974"/>
      <c r="ODM100" s="974"/>
      <c r="ODN100" s="974"/>
      <c r="ODO100" s="974"/>
      <c r="ODP100" s="974"/>
      <c r="ODQ100" s="974"/>
      <c r="ODR100" s="974"/>
      <c r="ODS100" s="974"/>
      <c r="ODT100" s="974"/>
      <c r="ODU100" s="974"/>
      <c r="ODV100" s="974"/>
      <c r="ODW100" s="974"/>
      <c r="ODX100" s="974"/>
      <c r="ODY100" s="974"/>
      <c r="ODZ100" s="974"/>
      <c r="OEA100" s="974"/>
      <c r="OEB100" s="974"/>
      <c r="OEC100" s="974"/>
      <c r="OED100" s="974"/>
      <c r="OEE100" s="974"/>
      <c r="OEF100" s="974"/>
      <c r="OEG100" s="974"/>
      <c r="OEH100" s="974"/>
      <c r="OEI100" s="974"/>
      <c r="OEJ100" s="974"/>
      <c r="OEK100" s="974"/>
      <c r="OEL100" s="974"/>
      <c r="OEM100" s="974"/>
      <c r="OEN100" s="974"/>
      <c r="OEO100" s="974"/>
      <c r="OEP100" s="974"/>
      <c r="OEQ100" s="974"/>
      <c r="OER100" s="974"/>
      <c r="OES100" s="974"/>
      <c r="OET100" s="974"/>
      <c r="OEU100" s="974"/>
      <c r="OEV100" s="974"/>
      <c r="OEW100" s="974"/>
      <c r="OEX100" s="974"/>
      <c r="OEY100" s="974"/>
      <c r="OEZ100" s="974"/>
      <c r="OFA100" s="974"/>
      <c r="OFB100" s="974"/>
      <c r="OFC100" s="974"/>
      <c r="OFD100" s="974"/>
      <c r="OFE100" s="974"/>
      <c r="OFF100" s="974"/>
      <c r="OFG100" s="974"/>
      <c r="OFH100" s="974"/>
      <c r="OFI100" s="974"/>
      <c r="OFJ100" s="974"/>
      <c r="OFK100" s="974"/>
      <c r="OFL100" s="974"/>
      <c r="OFM100" s="974"/>
      <c r="OFN100" s="974"/>
      <c r="OFO100" s="974"/>
      <c r="OFP100" s="974"/>
      <c r="OFQ100" s="974"/>
      <c r="OFR100" s="974"/>
      <c r="OFS100" s="974"/>
      <c r="OFT100" s="974"/>
      <c r="OFU100" s="974"/>
      <c r="OFV100" s="974"/>
      <c r="OFW100" s="974"/>
      <c r="OFX100" s="974"/>
      <c r="OFY100" s="974"/>
      <c r="OFZ100" s="974"/>
      <c r="OGA100" s="974"/>
      <c r="OGB100" s="974"/>
      <c r="OGC100" s="974"/>
      <c r="OGD100" s="974"/>
      <c r="OGE100" s="974"/>
      <c r="OGF100" s="974"/>
      <c r="OGG100" s="974"/>
      <c r="OGH100" s="974"/>
      <c r="OGI100" s="974"/>
      <c r="OGJ100" s="974"/>
      <c r="OGK100" s="974"/>
      <c r="OGL100" s="974"/>
      <c r="OGM100" s="974"/>
      <c r="OGN100" s="974"/>
      <c r="OGO100" s="974"/>
      <c r="OGP100" s="974"/>
      <c r="OGQ100" s="974"/>
      <c r="OGR100" s="974"/>
      <c r="OGS100" s="974"/>
      <c r="OGT100" s="974"/>
      <c r="OGU100" s="974"/>
      <c r="OGV100" s="974"/>
      <c r="OGW100" s="974"/>
      <c r="OGX100" s="974"/>
      <c r="OGY100" s="974"/>
      <c r="OGZ100" s="974"/>
      <c r="OHA100" s="974"/>
      <c r="OHB100" s="974"/>
      <c r="OHC100" s="974"/>
      <c r="OHD100" s="974"/>
      <c r="OHE100" s="974"/>
      <c r="OHF100" s="974"/>
      <c r="OHG100" s="974"/>
      <c r="OHH100" s="974"/>
      <c r="OHI100" s="974"/>
      <c r="OHJ100" s="974"/>
      <c r="OHK100" s="974"/>
      <c r="OHL100" s="974"/>
      <c r="OHM100" s="974"/>
      <c r="OHN100" s="974"/>
      <c r="OHO100" s="974"/>
      <c r="OHP100" s="974"/>
      <c r="OHQ100" s="974"/>
      <c r="OHR100" s="974"/>
      <c r="OHS100" s="974"/>
      <c r="OHT100" s="974"/>
      <c r="OHU100" s="974"/>
      <c r="OHV100" s="974"/>
      <c r="OHW100" s="974"/>
      <c r="OHX100" s="974"/>
      <c r="OHY100" s="974"/>
      <c r="OHZ100" s="974"/>
      <c r="OIA100" s="974"/>
      <c r="OIB100" s="974"/>
      <c r="OIC100" s="974"/>
      <c r="OID100" s="974"/>
      <c r="OIE100" s="974"/>
      <c r="OIF100" s="974"/>
      <c r="OIG100" s="974"/>
      <c r="OIH100" s="974"/>
      <c r="OII100" s="974"/>
      <c r="OIJ100" s="974"/>
      <c r="OIK100" s="974"/>
      <c r="OIL100" s="974"/>
      <c r="OIM100" s="974"/>
      <c r="OIN100" s="974"/>
      <c r="OIO100" s="974"/>
      <c r="OIP100" s="974"/>
      <c r="OIQ100" s="974"/>
      <c r="OIR100" s="974"/>
      <c r="OIS100" s="974"/>
      <c r="OIT100" s="974"/>
      <c r="OIU100" s="974"/>
      <c r="OIV100" s="974"/>
      <c r="OIW100" s="974"/>
      <c r="OIX100" s="974"/>
      <c r="OIY100" s="974"/>
      <c r="OIZ100" s="974"/>
      <c r="OJA100" s="974"/>
      <c r="OJB100" s="974"/>
      <c r="OJC100" s="974"/>
      <c r="OJD100" s="974"/>
      <c r="OJE100" s="974"/>
      <c r="OJF100" s="974"/>
      <c r="OJG100" s="974"/>
      <c r="OJH100" s="974"/>
      <c r="OJI100" s="974"/>
      <c r="OJJ100" s="974"/>
      <c r="OJK100" s="974"/>
      <c r="OJL100" s="974"/>
      <c r="OJM100" s="974"/>
      <c r="OJN100" s="974"/>
      <c r="OJO100" s="974"/>
      <c r="OJP100" s="974"/>
      <c r="OJQ100" s="974"/>
      <c r="OJR100" s="974"/>
      <c r="OJS100" s="974"/>
      <c r="OJT100" s="974"/>
      <c r="OJU100" s="974"/>
      <c r="OJV100" s="974"/>
      <c r="OJW100" s="974"/>
      <c r="OJX100" s="974"/>
      <c r="OJY100" s="974"/>
      <c r="OJZ100" s="974"/>
      <c r="OKA100" s="974"/>
      <c r="OKB100" s="974"/>
      <c r="OKC100" s="974"/>
      <c r="OKD100" s="974"/>
      <c r="OKE100" s="974"/>
      <c r="OKF100" s="974"/>
      <c r="OKG100" s="974"/>
      <c r="OKH100" s="974"/>
      <c r="OKI100" s="974"/>
      <c r="OKJ100" s="974"/>
      <c r="OKK100" s="974"/>
      <c r="OKL100" s="974"/>
      <c r="OKM100" s="974"/>
      <c r="OKN100" s="974"/>
      <c r="OKO100" s="974"/>
      <c r="OKP100" s="974"/>
      <c r="OKQ100" s="974"/>
      <c r="OKR100" s="974"/>
      <c r="OKS100" s="974"/>
      <c r="OKT100" s="974"/>
      <c r="OKU100" s="974"/>
      <c r="OKV100" s="974"/>
      <c r="OKW100" s="974"/>
      <c r="OKX100" s="974"/>
      <c r="OKY100" s="974"/>
      <c r="OKZ100" s="974"/>
      <c r="OLA100" s="974"/>
      <c r="OLB100" s="974"/>
      <c r="OLC100" s="974"/>
      <c r="OLD100" s="974"/>
      <c r="OLE100" s="974"/>
      <c r="OLF100" s="974"/>
      <c r="OLG100" s="974"/>
      <c r="OLH100" s="974"/>
      <c r="OLI100" s="974"/>
      <c r="OLJ100" s="974"/>
      <c r="OLK100" s="974"/>
      <c r="OLL100" s="974"/>
      <c r="OLM100" s="974"/>
      <c r="OLN100" s="974"/>
      <c r="OLO100" s="974"/>
      <c r="OLP100" s="974"/>
      <c r="OLQ100" s="974"/>
      <c r="OLR100" s="974"/>
      <c r="OLS100" s="974"/>
      <c r="OLT100" s="974"/>
      <c r="OLU100" s="974"/>
      <c r="OLV100" s="974"/>
      <c r="OLW100" s="974"/>
      <c r="OLX100" s="974"/>
      <c r="OLY100" s="974"/>
      <c r="OLZ100" s="974"/>
      <c r="OMA100" s="974"/>
      <c r="OMB100" s="974"/>
      <c r="OMC100" s="974"/>
      <c r="OMD100" s="974"/>
      <c r="OME100" s="974"/>
      <c r="OMF100" s="974"/>
      <c r="OMG100" s="974"/>
      <c r="OMH100" s="974"/>
      <c r="OMI100" s="974"/>
      <c r="OMJ100" s="974"/>
      <c r="OMK100" s="974"/>
      <c r="OML100" s="974"/>
      <c r="OMM100" s="974"/>
      <c r="OMN100" s="974"/>
      <c r="OMO100" s="974"/>
      <c r="OMP100" s="974"/>
      <c r="OMQ100" s="974"/>
      <c r="OMR100" s="974"/>
      <c r="OMS100" s="974"/>
      <c r="OMT100" s="974"/>
      <c r="OMU100" s="974"/>
      <c r="OMV100" s="974"/>
      <c r="OMW100" s="974"/>
      <c r="OMX100" s="974"/>
      <c r="OMY100" s="974"/>
      <c r="OMZ100" s="974"/>
      <c r="ONA100" s="974"/>
      <c r="ONB100" s="974"/>
      <c r="ONC100" s="974"/>
      <c r="OND100" s="974"/>
      <c r="ONE100" s="974"/>
      <c r="ONF100" s="974"/>
      <c r="ONG100" s="974"/>
      <c r="ONH100" s="974"/>
      <c r="ONI100" s="974"/>
      <c r="ONJ100" s="974"/>
      <c r="ONK100" s="974"/>
      <c r="ONL100" s="974"/>
      <c r="ONM100" s="974"/>
      <c r="ONN100" s="974"/>
      <c r="ONO100" s="974"/>
      <c r="ONP100" s="974"/>
      <c r="ONQ100" s="974"/>
      <c r="ONR100" s="974"/>
      <c r="ONS100" s="974"/>
      <c r="ONT100" s="974"/>
      <c r="ONU100" s="974"/>
      <c r="ONV100" s="974"/>
      <c r="ONW100" s="974"/>
      <c r="ONX100" s="974"/>
      <c r="ONY100" s="974"/>
      <c r="ONZ100" s="974"/>
      <c r="OOA100" s="974"/>
      <c r="OOB100" s="974"/>
      <c r="OOC100" s="974"/>
      <c r="OOD100" s="974"/>
      <c r="OOE100" s="974"/>
      <c r="OOF100" s="974"/>
      <c r="OOG100" s="974"/>
      <c r="OOH100" s="974"/>
      <c r="OOI100" s="974"/>
      <c r="OOJ100" s="974"/>
      <c r="OOK100" s="974"/>
      <c r="OOL100" s="974"/>
      <c r="OOM100" s="974"/>
      <c r="OON100" s="974"/>
      <c r="OOO100" s="974"/>
      <c r="OOP100" s="974"/>
      <c r="OOQ100" s="974"/>
      <c r="OOR100" s="974"/>
      <c r="OOS100" s="974"/>
      <c r="OOT100" s="974"/>
      <c r="OOU100" s="974"/>
      <c r="OOV100" s="974"/>
      <c r="OOW100" s="974"/>
      <c r="OOX100" s="974"/>
      <c r="OOY100" s="974"/>
      <c r="OOZ100" s="974"/>
      <c r="OPA100" s="974"/>
      <c r="OPB100" s="974"/>
      <c r="OPC100" s="974"/>
      <c r="OPD100" s="974"/>
      <c r="OPE100" s="974"/>
      <c r="OPF100" s="974"/>
      <c r="OPG100" s="974"/>
      <c r="OPH100" s="974"/>
      <c r="OPI100" s="974"/>
      <c r="OPJ100" s="974"/>
      <c r="OPK100" s="974"/>
      <c r="OPL100" s="974"/>
      <c r="OPM100" s="974"/>
      <c r="OPN100" s="974"/>
      <c r="OPO100" s="974"/>
      <c r="OPP100" s="974"/>
      <c r="OPQ100" s="974"/>
      <c r="OPR100" s="974"/>
      <c r="OPS100" s="974"/>
      <c r="OPT100" s="974"/>
      <c r="OPU100" s="974"/>
      <c r="OPV100" s="974"/>
      <c r="OPW100" s="974"/>
      <c r="OPX100" s="974"/>
      <c r="OPY100" s="974"/>
      <c r="OPZ100" s="974"/>
      <c r="OQA100" s="974"/>
      <c r="OQB100" s="974"/>
      <c r="OQC100" s="974"/>
      <c r="OQD100" s="974"/>
      <c r="OQE100" s="974"/>
      <c r="OQF100" s="974"/>
      <c r="OQG100" s="974"/>
      <c r="OQH100" s="974"/>
      <c r="OQI100" s="974"/>
      <c r="OQJ100" s="974"/>
      <c r="OQK100" s="974"/>
      <c r="OQL100" s="974"/>
      <c r="OQM100" s="974"/>
      <c r="OQN100" s="974"/>
      <c r="OQO100" s="974"/>
      <c r="OQP100" s="974"/>
      <c r="OQQ100" s="974"/>
      <c r="OQR100" s="974"/>
      <c r="OQS100" s="974"/>
      <c r="OQT100" s="974"/>
      <c r="OQU100" s="974"/>
      <c r="OQV100" s="974"/>
      <c r="OQW100" s="974"/>
      <c r="OQX100" s="974"/>
      <c r="OQY100" s="974"/>
      <c r="OQZ100" s="974"/>
      <c r="ORA100" s="974"/>
      <c r="ORB100" s="974"/>
      <c r="ORC100" s="974"/>
      <c r="ORD100" s="974"/>
      <c r="ORE100" s="974"/>
      <c r="ORF100" s="974"/>
      <c r="ORG100" s="974"/>
      <c r="ORH100" s="974"/>
      <c r="ORI100" s="974"/>
      <c r="ORJ100" s="974"/>
      <c r="ORK100" s="974"/>
      <c r="ORL100" s="974"/>
      <c r="ORM100" s="974"/>
      <c r="ORN100" s="974"/>
      <c r="ORO100" s="974"/>
      <c r="ORP100" s="974"/>
      <c r="ORQ100" s="974"/>
      <c r="ORR100" s="974"/>
      <c r="ORS100" s="974"/>
      <c r="ORT100" s="974"/>
      <c r="ORU100" s="974"/>
      <c r="ORV100" s="974"/>
      <c r="ORW100" s="974"/>
      <c r="ORX100" s="974"/>
      <c r="ORY100" s="974"/>
      <c r="ORZ100" s="974"/>
      <c r="OSA100" s="974"/>
      <c r="OSB100" s="974"/>
      <c r="OSC100" s="974"/>
      <c r="OSD100" s="974"/>
      <c r="OSE100" s="974"/>
      <c r="OSF100" s="974"/>
      <c r="OSG100" s="974"/>
      <c r="OSH100" s="974"/>
      <c r="OSI100" s="974"/>
      <c r="OSJ100" s="974"/>
      <c r="OSK100" s="974"/>
      <c r="OSL100" s="974"/>
      <c r="OSM100" s="974"/>
      <c r="OSN100" s="974"/>
      <c r="OSO100" s="974"/>
      <c r="OSP100" s="974"/>
      <c r="OSQ100" s="974"/>
      <c r="OSR100" s="974"/>
      <c r="OSS100" s="974"/>
      <c r="OST100" s="974"/>
      <c r="OSU100" s="974"/>
      <c r="OSV100" s="974"/>
      <c r="OSW100" s="974"/>
      <c r="OSX100" s="974"/>
      <c r="OSY100" s="974"/>
      <c r="OSZ100" s="974"/>
      <c r="OTA100" s="974"/>
      <c r="OTB100" s="974"/>
      <c r="OTC100" s="974"/>
      <c r="OTD100" s="974"/>
      <c r="OTE100" s="974"/>
      <c r="OTF100" s="974"/>
      <c r="OTG100" s="974"/>
      <c r="OTH100" s="974"/>
      <c r="OTI100" s="974"/>
      <c r="OTJ100" s="974"/>
      <c r="OTK100" s="974"/>
      <c r="OTL100" s="974"/>
      <c r="OTM100" s="974"/>
      <c r="OTN100" s="974"/>
      <c r="OTO100" s="974"/>
      <c r="OTP100" s="974"/>
      <c r="OTQ100" s="974"/>
      <c r="OTR100" s="974"/>
      <c r="OTS100" s="974"/>
      <c r="OTT100" s="974"/>
      <c r="OTU100" s="974"/>
      <c r="OTV100" s="974"/>
      <c r="OTW100" s="974"/>
      <c r="OTX100" s="974"/>
      <c r="OTY100" s="974"/>
      <c r="OTZ100" s="974"/>
      <c r="OUA100" s="974"/>
      <c r="OUB100" s="974"/>
      <c r="OUC100" s="974"/>
      <c r="OUD100" s="974"/>
      <c r="OUE100" s="974"/>
      <c r="OUF100" s="974"/>
      <c r="OUG100" s="974"/>
      <c r="OUH100" s="974"/>
      <c r="OUI100" s="974"/>
      <c r="OUJ100" s="974"/>
      <c r="OUK100" s="974"/>
      <c r="OUL100" s="974"/>
      <c r="OUM100" s="974"/>
      <c r="OUN100" s="974"/>
      <c r="OUO100" s="974"/>
      <c r="OUP100" s="974"/>
      <c r="OUQ100" s="974"/>
      <c r="OUR100" s="974"/>
      <c r="OUS100" s="974"/>
      <c r="OUT100" s="974"/>
      <c r="OUU100" s="974"/>
      <c r="OUV100" s="974"/>
      <c r="OUW100" s="974"/>
      <c r="OUX100" s="974"/>
      <c r="OUY100" s="974"/>
      <c r="OUZ100" s="974"/>
      <c r="OVA100" s="974"/>
      <c r="OVB100" s="974"/>
      <c r="OVC100" s="974"/>
      <c r="OVD100" s="974"/>
      <c r="OVE100" s="974"/>
      <c r="OVF100" s="974"/>
      <c r="OVG100" s="974"/>
      <c r="OVH100" s="974"/>
      <c r="OVI100" s="974"/>
      <c r="OVJ100" s="974"/>
      <c r="OVK100" s="974"/>
      <c r="OVL100" s="974"/>
      <c r="OVM100" s="974"/>
      <c r="OVN100" s="974"/>
      <c r="OVO100" s="974"/>
      <c r="OVP100" s="974"/>
      <c r="OVQ100" s="974"/>
      <c r="OVR100" s="974"/>
      <c r="OVS100" s="974"/>
      <c r="OVT100" s="974"/>
      <c r="OVU100" s="974"/>
      <c r="OVV100" s="974"/>
      <c r="OVW100" s="974"/>
      <c r="OVX100" s="974"/>
      <c r="OVY100" s="974"/>
      <c r="OVZ100" s="974"/>
      <c r="OWA100" s="974"/>
      <c r="OWB100" s="974"/>
      <c r="OWC100" s="974"/>
      <c r="OWD100" s="974"/>
      <c r="OWE100" s="974"/>
      <c r="OWF100" s="974"/>
      <c r="OWG100" s="974"/>
      <c r="OWH100" s="974"/>
      <c r="OWI100" s="974"/>
      <c r="OWJ100" s="974"/>
      <c r="OWK100" s="974"/>
      <c r="OWL100" s="974"/>
      <c r="OWM100" s="974"/>
      <c r="OWN100" s="974"/>
      <c r="OWO100" s="974"/>
      <c r="OWP100" s="974"/>
      <c r="OWQ100" s="974"/>
      <c r="OWR100" s="974"/>
      <c r="OWS100" s="974"/>
      <c r="OWT100" s="974"/>
      <c r="OWU100" s="974"/>
      <c r="OWV100" s="974"/>
      <c r="OWW100" s="974"/>
      <c r="OWX100" s="974"/>
      <c r="OWY100" s="974"/>
      <c r="OWZ100" s="974"/>
      <c r="OXA100" s="974"/>
      <c r="OXB100" s="974"/>
      <c r="OXC100" s="974"/>
      <c r="OXD100" s="974"/>
      <c r="OXE100" s="974"/>
      <c r="OXF100" s="974"/>
      <c r="OXG100" s="974"/>
      <c r="OXH100" s="974"/>
      <c r="OXI100" s="974"/>
      <c r="OXJ100" s="974"/>
      <c r="OXK100" s="974"/>
      <c r="OXL100" s="974"/>
      <c r="OXM100" s="974"/>
      <c r="OXN100" s="974"/>
      <c r="OXO100" s="974"/>
      <c r="OXP100" s="974"/>
      <c r="OXQ100" s="974"/>
      <c r="OXR100" s="974"/>
      <c r="OXS100" s="974"/>
      <c r="OXT100" s="974"/>
      <c r="OXU100" s="974"/>
      <c r="OXV100" s="974"/>
      <c r="OXW100" s="974"/>
      <c r="OXX100" s="974"/>
      <c r="OXY100" s="974"/>
      <c r="OXZ100" s="974"/>
      <c r="OYA100" s="974"/>
      <c r="OYB100" s="974"/>
      <c r="OYC100" s="974"/>
      <c r="OYD100" s="974"/>
      <c r="OYE100" s="974"/>
      <c r="OYF100" s="974"/>
      <c r="OYG100" s="974"/>
      <c r="OYH100" s="974"/>
      <c r="OYI100" s="974"/>
      <c r="OYJ100" s="974"/>
      <c r="OYK100" s="974"/>
      <c r="OYL100" s="974"/>
      <c r="OYM100" s="974"/>
      <c r="OYN100" s="974"/>
      <c r="OYO100" s="974"/>
      <c r="OYP100" s="974"/>
      <c r="OYQ100" s="974"/>
      <c r="OYR100" s="974"/>
      <c r="OYS100" s="974"/>
      <c r="OYT100" s="974"/>
      <c r="OYU100" s="974"/>
      <c r="OYV100" s="974"/>
      <c r="OYW100" s="974"/>
      <c r="OYX100" s="974"/>
      <c r="OYY100" s="974"/>
      <c r="OYZ100" s="974"/>
      <c r="OZA100" s="974"/>
      <c r="OZB100" s="974"/>
      <c r="OZC100" s="974"/>
      <c r="OZD100" s="974"/>
      <c r="OZE100" s="974"/>
      <c r="OZF100" s="974"/>
      <c r="OZG100" s="974"/>
      <c r="OZH100" s="974"/>
      <c r="OZI100" s="974"/>
      <c r="OZJ100" s="974"/>
      <c r="OZK100" s="974"/>
      <c r="OZL100" s="974"/>
      <c r="OZM100" s="974"/>
      <c r="OZN100" s="974"/>
      <c r="OZO100" s="974"/>
      <c r="OZP100" s="974"/>
      <c r="OZQ100" s="974"/>
      <c r="OZR100" s="974"/>
      <c r="OZS100" s="974"/>
      <c r="OZT100" s="974"/>
      <c r="OZU100" s="974"/>
      <c r="OZV100" s="974"/>
      <c r="OZW100" s="974"/>
      <c r="OZX100" s="974"/>
      <c r="OZY100" s="974"/>
      <c r="OZZ100" s="974"/>
      <c r="PAA100" s="974"/>
      <c r="PAB100" s="974"/>
      <c r="PAC100" s="974"/>
      <c r="PAD100" s="974"/>
      <c r="PAE100" s="974"/>
      <c r="PAF100" s="974"/>
      <c r="PAG100" s="974"/>
      <c r="PAH100" s="974"/>
      <c r="PAI100" s="974"/>
      <c r="PAJ100" s="974"/>
      <c r="PAK100" s="974"/>
      <c r="PAL100" s="974"/>
      <c r="PAM100" s="974"/>
      <c r="PAN100" s="974"/>
      <c r="PAO100" s="974"/>
      <c r="PAP100" s="974"/>
      <c r="PAQ100" s="974"/>
      <c r="PAR100" s="974"/>
      <c r="PAS100" s="974"/>
      <c r="PAT100" s="974"/>
      <c r="PAU100" s="974"/>
      <c r="PAV100" s="974"/>
      <c r="PAW100" s="974"/>
      <c r="PAX100" s="974"/>
      <c r="PAY100" s="974"/>
      <c r="PAZ100" s="974"/>
      <c r="PBA100" s="974"/>
      <c r="PBB100" s="974"/>
      <c r="PBC100" s="974"/>
      <c r="PBD100" s="974"/>
      <c r="PBE100" s="974"/>
      <c r="PBF100" s="974"/>
      <c r="PBG100" s="974"/>
      <c r="PBH100" s="974"/>
      <c r="PBI100" s="974"/>
      <c r="PBJ100" s="974"/>
      <c r="PBK100" s="974"/>
      <c r="PBL100" s="974"/>
      <c r="PBM100" s="974"/>
      <c r="PBN100" s="974"/>
      <c r="PBO100" s="974"/>
      <c r="PBP100" s="974"/>
      <c r="PBQ100" s="974"/>
      <c r="PBR100" s="974"/>
      <c r="PBS100" s="974"/>
      <c r="PBT100" s="974"/>
      <c r="PBU100" s="974"/>
      <c r="PBV100" s="974"/>
      <c r="PBW100" s="974"/>
      <c r="PBX100" s="974"/>
      <c r="PBY100" s="974"/>
      <c r="PBZ100" s="974"/>
      <c r="PCA100" s="974"/>
      <c r="PCB100" s="974"/>
      <c r="PCC100" s="974"/>
      <c r="PCD100" s="974"/>
      <c r="PCE100" s="974"/>
      <c r="PCF100" s="974"/>
      <c r="PCG100" s="974"/>
      <c r="PCH100" s="974"/>
      <c r="PCI100" s="974"/>
      <c r="PCJ100" s="974"/>
      <c r="PCK100" s="974"/>
      <c r="PCL100" s="974"/>
      <c r="PCM100" s="974"/>
      <c r="PCN100" s="974"/>
      <c r="PCO100" s="974"/>
      <c r="PCP100" s="974"/>
      <c r="PCQ100" s="974"/>
      <c r="PCR100" s="974"/>
      <c r="PCS100" s="974"/>
      <c r="PCT100" s="974"/>
      <c r="PCU100" s="974"/>
      <c r="PCV100" s="974"/>
      <c r="PCW100" s="974"/>
      <c r="PCX100" s="974"/>
      <c r="PCY100" s="974"/>
      <c r="PCZ100" s="974"/>
      <c r="PDA100" s="974"/>
      <c r="PDB100" s="974"/>
      <c r="PDC100" s="974"/>
      <c r="PDD100" s="974"/>
      <c r="PDE100" s="974"/>
      <c r="PDF100" s="974"/>
      <c r="PDG100" s="974"/>
      <c r="PDH100" s="974"/>
      <c r="PDI100" s="974"/>
      <c r="PDJ100" s="974"/>
      <c r="PDK100" s="974"/>
      <c r="PDL100" s="974"/>
      <c r="PDM100" s="974"/>
      <c r="PDN100" s="974"/>
      <c r="PDO100" s="974"/>
      <c r="PDP100" s="974"/>
      <c r="PDQ100" s="974"/>
      <c r="PDR100" s="974"/>
      <c r="PDS100" s="974"/>
      <c r="PDT100" s="974"/>
      <c r="PDU100" s="974"/>
      <c r="PDV100" s="974"/>
      <c r="PDW100" s="974"/>
      <c r="PDX100" s="974"/>
      <c r="PDY100" s="974"/>
      <c r="PDZ100" s="974"/>
      <c r="PEA100" s="974"/>
      <c r="PEB100" s="974"/>
      <c r="PEC100" s="974"/>
      <c r="PED100" s="974"/>
      <c r="PEE100" s="974"/>
      <c r="PEF100" s="974"/>
      <c r="PEG100" s="974"/>
      <c r="PEH100" s="974"/>
      <c r="PEI100" s="974"/>
      <c r="PEJ100" s="974"/>
      <c r="PEK100" s="974"/>
      <c r="PEL100" s="974"/>
      <c r="PEM100" s="974"/>
      <c r="PEN100" s="974"/>
      <c r="PEO100" s="974"/>
      <c r="PEP100" s="974"/>
      <c r="PEQ100" s="974"/>
      <c r="PER100" s="974"/>
      <c r="PES100" s="974"/>
      <c r="PET100" s="974"/>
      <c r="PEU100" s="974"/>
      <c r="PEV100" s="974"/>
      <c r="PEW100" s="974"/>
      <c r="PEX100" s="974"/>
      <c r="PEY100" s="974"/>
      <c r="PEZ100" s="974"/>
      <c r="PFA100" s="974"/>
      <c r="PFB100" s="974"/>
      <c r="PFC100" s="974"/>
      <c r="PFD100" s="974"/>
      <c r="PFE100" s="974"/>
      <c r="PFF100" s="974"/>
      <c r="PFG100" s="974"/>
      <c r="PFH100" s="974"/>
      <c r="PFI100" s="974"/>
      <c r="PFJ100" s="974"/>
      <c r="PFK100" s="974"/>
      <c r="PFL100" s="974"/>
      <c r="PFM100" s="974"/>
      <c r="PFN100" s="974"/>
      <c r="PFO100" s="974"/>
      <c r="PFP100" s="974"/>
      <c r="PFQ100" s="974"/>
      <c r="PFR100" s="974"/>
      <c r="PFS100" s="974"/>
      <c r="PFT100" s="974"/>
      <c r="PFU100" s="974"/>
      <c r="PFV100" s="974"/>
      <c r="PFW100" s="974"/>
      <c r="PFX100" s="974"/>
      <c r="PFY100" s="974"/>
      <c r="PFZ100" s="974"/>
      <c r="PGA100" s="974"/>
      <c r="PGB100" s="974"/>
      <c r="PGC100" s="974"/>
      <c r="PGD100" s="974"/>
      <c r="PGE100" s="974"/>
      <c r="PGF100" s="974"/>
      <c r="PGG100" s="974"/>
      <c r="PGH100" s="974"/>
      <c r="PGI100" s="974"/>
      <c r="PGJ100" s="974"/>
      <c r="PGK100" s="974"/>
      <c r="PGL100" s="974"/>
      <c r="PGM100" s="974"/>
      <c r="PGN100" s="974"/>
      <c r="PGO100" s="974"/>
      <c r="PGP100" s="974"/>
      <c r="PGQ100" s="974"/>
      <c r="PGR100" s="974"/>
      <c r="PGS100" s="974"/>
      <c r="PGT100" s="974"/>
      <c r="PGU100" s="974"/>
      <c r="PGV100" s="974"/>
      <c r="PGW100" s="974"/>
      <c r="PGX100" s="974"/>
      <c r="PGY100" s="974"/>
      <c r="PGZ100" s="974"/>
      <c r="PHA100" s="974"/>
      <c r="PHB100" s="974"/>
      <c r="PHC100" s="974"/>
      <c r="PHD100" s="974"/>
      <c r="PHE100" s="974"/>
      <c r="PHF100" s="974"/>
      <c r="PHG100" s="974"/>
      <c r="PHH100" s="974"/>
      <c r="PHI100" s="974"/>
      <c r="PHJ100" s="974"/>
      <c r="PHK100" s="974"/>
      <c r="PHL100" s="974"/>
      <c r="PHM100" s="974"/>
      <c r="PHN100" s="974"/>
      <c r="PHO100" s="974"/>
      <c r="PHP100" s="974"/>
      <c r="PHQ100" s="974"/>
      <c r="PHR100" s="974"/>
      <c r="PHS100" s="974"/>
      <c r="PHT100" s="974"/>
      <c r="PHU100" s="974"/>
      <c r="PHV100" s="974"/>
      <c r="PHW100" s="974"/>
      <c r="PHX100" s="974"/>
      <c r="PHY100" s="974"/>
      <c r="PHZ100" s="974"/>
      <c r="PIA100" s="974"/>
      <c r="PIB100" s="974"/>
      <c r="PIC100" s="974"/>
      <c r="PID100" s="974"/>
      <c r="PIE100" s="974"/>
      <c r="PIF100" s="974"/>
      <c r="PIG100" s="974"/>
      <c r="PIH100" s="974"/>
      <c r="PII100" s="974"/>
      <c r="PIJ100" s="974"/>
      <c r="PIK100" s="974"/>
      <c r="PIL100" s="974"/>
      <c r="PIM100" s="974"/>
      <c r="PIN100" s="974"/>
      <c r="PIO100" s="974"/>
      <c r="PIP100" s="974"/>
      <c r="PIQ100" s="974"/>
      <c r="PIR100" s="974"/>
      <c r="PIS100" s="974"/>
      <c r="PIT100" s="974"/>
      <c r="PIU100" s="974"/>
      <c r="PIV100" s="974"/>
      <c r="PIW100" s="974"/>
      <c r="PIX100" s="974"/>
      <c r="PIY100" s="974"/>
      <c r="PIZ100" s="974"/>
      <c r="PJA100" s="974"/>
      <c r="PJB100" s="974"/>
      <c r="PJC100" s="974"/>
      <c r="PJD100" s="974"/>
      <c r="PJE100" s="974"/>
      <c r="PJF100" s="974"/>
      <c r="PJG100" s="974"/>
      <c r="PJH100" s="974"/>
      <c r="PJI100" s="974"/>
      <c r="PJJ100" s="974"/>
      <c r="PJK100" s="974"/>
      <c r="PJL100" s="974"/>
      <c r="PJM100" s="974"/>
      <c r="PJN100" s="974"/>
      <c r="PJO100" s="974"/>
      <c r="PJP100" s="974"/>
      <c r="PJQ100" s="974"/>
      <c r="PJR100" s="974"/>
      <c r="PJS100" s="974"/>
      <c r="PJT100" s="974"/>
      <c r="PJU100" s="974"/>
      <c r="PJV100" s="974"/>
      <c r="PJW100" s="974"/>
      <c r="PJX100" s="974"/>
      <c r="PJY100" s="974"/>
      <c r="PJZ100" s="974"/>
      <c r="PKA100" s="974"/>
      <c r="PKB100" s="974"/>
      <c r="PKC100" s="974"/>
      <c r="PKD100" s="974"/>
      <c r="PKE100" s="974"/>
      <c r="PKF100" s="974"/>
      <c r="PKG100" s="974"/>
      <c r="PKH100" s="974"/>
      <c r="PKI100" s="974"/>
      <c r="PKJ100" s="974"/>
      <c r="PKK100" s="974"/>
      <c r="PKL100" s="974"/>
      <c r="PKM100" s="974"/>
      <c r="PKN100" s="974"/>
      <c r="PKO100" s="974"/>
      <c r="PKP100" s="974"/>
      <c r="PKQ100" s="974"/>
      <c r="PKR100" s="974"/>
      <c r="PKS100" s="974"/>
      <c r="PKT100" s="974"/>
      <c r="PKU100" s="974"/>
      <c r="PKV100" s="974"/>
      <c r="PKW100" s="974"/>
      <c r="PKX100" s="974"/>
      <c r="PKY100" s="974"/>
      <c r="PKZ100" s="974"/>
      <c r="PLA100" s="974"/>
      <c r="PLB100" s="974"/>
      <c r="PLC100" s="974"/>
      <c r="PLD100" s="974"/>
      <c r="PLE100" s="974"/>
      <c r="PLF100" s="974"/>
      <c r="PLG100" s="974"/>
      <c r="PLH100" s="974"/>
      <c r="PLI100" s="974"/>
      <c r="PLJ100" s="974"/>
      <c r="PLK100" s="974"/>
      <c r="PLL100" s="974"/>
      <c r="PLM100" s="974"/>
      <c r="PLN100" s="974"/>
      <c r="PLO100" s="974"/>
      <c r="PLP100" s="974"/>
      <c r="PLQ100" s="974"/>
      <c r="PLR100" s="974"/>
      <c r="PLS100" s="974"/>
      <c r="PLT100" s="974"/>
      <c r="PLU100" s="974"/>
      <c r="PLV100" s="974"/>
      <c r="PLW100" s="974"/>
      <c r="PLX100" s="974"/>
      <c r="PLY100" s="974"/>
      <c r="PLZ100" s="974"/>
      <c r="PMA100" s="974"/>
      <c r="PMB100" s="974"/>
      <c r="PMC100" s="974"/>
      <c r="PMD100" s="974"/>
      <c r="PME100" s="974"/>
      <c r="PMF100" s="974"/>
      <c r="PMG100" s="974"/>
      <c r="PMH100" s="974"/>
      <c r="PMI100" s="974"/>
      <c r="PMJ100" s="974"/>
      <c r="PMK100" s="974"/>
      <c r="PML100" s="974"/>
      <c r="PMM100" s="974"/>
      <c r="PMN100" s="974"/>
      <c r="PMO100" s="974"/>
      <c r="PMP100" s="974"/>
      <c r="PMQ100" s="974"/>
      <c r="PMR100" s="974"/>
      <c r="PMS100" s="974"/>
      <c r="PMT100" s="974"/>
      <c r="PMU100" s="974"/>
      <c r="PMV100" s="974"/>
      <c r="PMW100" s="974"/>
      <c r="PMX100" s="974"/>
      <c r="PMY100" s="974"/>
      <c r="PMZ100" s="974"/>
      <c r="PNA100" s="974"/>
      <c r="PNB100" s="974"/>
      <c r="PNC100" s="974"/>
      <c r="PND100" s="974"/>
      <c r="PNE100" s="974"/>
      <c r="PNF100" s="974"/>
      <c r="PNG100" s="974"/>
      <c r="PNH100" s="974"/>
      <c r="PNI100" s="974"/>
      <c r="PNJ100" s="974"/>
      <c r="PNK100" s="974"/>
      <c r="PNL100" s="974"/>
      <c r="PNM100" s="974"/>
      <c r="PNN100" s="974"/>
      <c r="PNO100" s="974"/>
      <c r="PNP100" s="974"/>
      <c r="PNQ100" s="974"/>
      <c r="PNR100" s="974"/>
      <c r="PNS100" s="974"/>
      <c r="PNT100" s="974"/>
      <c r="PNU100" s="974"/>
      <c r="PNV100" s="974"/>
      <c r="PNW100" s="974"/>
      <c r="PNX100" s="974"/>
      <c r="PNY100" s="974"/>
      <c r="PNZ100" s="974"/>
      <c r="POA100" s="974"/>
      <c r="POB100" s="974"/>
      <c r="POC100" s="974"/>
      <c r="POD100" s="974"/>
      <c r="POE100" s="974"/>
      <c r="POF100" s="974"/>
      <c r="POG100" s="974"/>
      <c r="POH100" s="974"/>
      <c r="POI100" s="974"/>
      <c r="POJ100" s="974"/>
      <c r="POK100" s="974"/>
      <c r="POL100" s="974"/>
      <c r="POM100" s="974"/>
      <c r="PON100" s="974"/>
      <c r="POO100" s="974"/>
      <c r="POP100" s="974"/>
      <c r="POQ100" s="974"/>
      <c r="POR100" s="974"/>
      <c r="POS100" s="974"/>
      <c r="POT100" s="974"/>
      <c r="POU100" s="974"/>
      <c r="POV100" s="974"/>
      <c r="POW100" s="974"/>
      <c r="POX100" s="974"/>
      <c r="POY100" s="974"/>
      <c r="POZ100" s="974"/>
      <c r="PPA100" s="974"/>
      <c r="PPB100" s="974"/>
      <c r="PPC100" s="974"/>
      <c r="PPD100" s="974"/>
      <c r="PPE100" s="974"/>
      <c r="PPF100" s="974"/>
      <c r="PPG100" s="974"/>
      <c r="PPH100" s="974"/>
      <c r="PPI100" s="974"/>
      <c r="PPJ100" s="974"/>
      <c r="PPK100" s="974"/>
      <c r="PPL100" s="974"/>
      <c r="PPM100" s="974"/>
      <c r="PPN100" s="974"/>
      <c r="PPO100" s="974"/>
      <c r="PPP100" s="974"/>
      <c r="PPQ100" s="974"/>
      <c r="PPR100" s="974"/>
      <c r="PPS100" s="974"/>
      <c r="PPT100" s="974"/>
      <c r="PPU100" s="974"/>
      <c r="PPV100" s="974"/>
      <c r="PPW100" s="974"/>
      <c r="PPX100" s="974"/>
      <c r="PPY100" s="974"/>
      <c r="PPZ100" s="974"/>
      <c r="PQA100" s="974"/>
      <c r="PQB100" s="974"/>
      <c r="PQC100" s="974"/>
      <c r="PQD100" s="974"/>
      <c r="PQE100" s="974"/>
      <c r="PQF100" s="974"/>
      <c r="PQG100" s="974"/>
      <c r="PQH100" s="974"/>
      <c r="PQI100" s="974"/>
      <c r="PQJ100" s="974"/>
      <c r="PQK100" s="974"/>
      <c r="PQL100" s="974"/>
      <c r="PQM100" s="974"/>
      <c r="PQN100" s="974"/>
      <c r="PQO100" s="974"/>
      <c r="PQP100" s="974"/>
      <c r="PQQ100" s="974"/>
      <c r="PQR100" s="974"/>
      <c r="PQS100" s="974"/>
      <c r="PQT100" s="974"/>
      <c r="PQU100" s="974"/>
      <c r="PQV100" s="974"/>
      <c r="PQW100" s="974"/>
      <c r="PQX100" s="974"/>
      <c r="PQY100" s="974"/>
      <c r="PQZ100" s="974"/>
      <c r="PRA100" s="974"/>
      <c r="PRB100" s="974"/>
      <c r="PRC100" s="974"/>
      <c r="PRD100" s="974"/>
      <c r="PRE100" s="974"/>
      <c r="PRF100" s="974"/>
      <c r="PRG100" s="974"/>
      <c r="PRH100" s="974"/>
      <c r="PRI100" s="974"/>
      <c r="PRJ100" s="974"/>
      <c r="PRK100" s="974"/>
      <c r="PRL100" s="974"/>
      <c r="PRM100" s="974"/>
      <c r="PRN100" s="974"/>
      <c r="PRO100" s="974"/>
      <c r="PRP100" s="974"/>
      <c r="PRQ100" s="974"/>
      <c r="PRR100" s="974"/>
      <c r="PRS100" s="974"/>
      <c r="PRT100" s="974"/>
      <c r="PRU100" s="974"/>
      <c r="PRV100" s="974"/>
      <c r="PRW100" s="974"/>
      <c r="PRX100" s="974"/>
      <c r="PRY100" s="974"/>
      <c r="PRZ100" s="974"/>
      <c r="PSA100" s="974"/>
      <c r="PSB100" s="974"/>
      <c r="PSC100" s="974"/>
      <c r="PSD100" s="974"/>
      <c r="PSE100" s="974"/>
      <c r="PSF100" s="974"/>
      <c r="PSG100" s="974"/>
      <c r="PSH100" s="974"/>
      <c r="PSI100" s="974"/>
      <c r="PSJ100" s="974"/>
      <c r="PSK100" s="974"/>
      <c r="PSL100" s="974"/>
      <c r="PSM100" s="974"/>
      <c r="PSN100" s="974"/>
      <c r="PSO100" s="974"/>
      <c r="PSP100" s="974"/>
      <c r="PSQ100" s="974"/>
      <c r="PSR100" s="974"/>
      <c r="PSS100" s="974"/>
      <c r="PST100" s="974"/>
      <c r="PSU100" s="974"/>
      <c r="PSV100" s="974"/>
      <c r="PSW100" s="974"/>
      <c r="PSX100" s="974"/>
      <c r="PSY100" s="974"/>
      <c r="PSZ100" s="974"/>
      <c r="PTA100" s="974"/>
      <c r="PTB100" s="974"/>
      <c r="PTC100" s="974"/>
      <c r="PTD100" s="974"/>
      <c r="PTE100" s="974"/>
      <c r="PTF100" s="974"/>
      <c r="PTG100" s="974"/>
      <c r="PTH100" s="974"/>
      <c r="PTI100" s="974"/>
      <c r="PTJ100" s="974"/>
      <c r="PTK100" s="974"/>
      <c r="PTL100" s="974"/>
      <c r="PTM100" s="974"/>
      <c r="PTN100" s="974"/>
      <c r="PTO100" s="974"/>
      <c r="PTP100" s="974"/>
      <c r="PTQ100" s="974"/>
      <c r="PTR100" s="974"/>
      <c r="PTS100" s="974"/>
      <c r="PTT100" s="974"/>
      <c r="PTU100" s="974"/>
      <c r="PTV100" s="974"/>
      <c r="PTW100" s="974"/>
      <c r="PTX100" s="974"/>
      <c r="PTY100" s="974"/>
      <c r="PTZ100" s="974"/>
      <c r="PUA100" s="974"/>
      <c r="PUB100" s="974"/>
      <c r="PUC100" s="974"/>
      <c r="PUD100" s="974"/>
      <c r="PUE100" s="974"/>
      <c r="PUF100" s="974"/>
      <c r="PUG100" s="974"/>
      <c r="PUH100" s="974"/>
      <c r="PUI100" s="974"/>
      <c r="PUJ100" s="974"/>
      <c r="PUK100" s="974"/>
      <c r="PUL100" s="974"/>
      <c r="PUM100" s="974"/>
      <c r="PUN100" s="974"/>
      <c r="PUO100" s="974"/>
      <c r="PUP100" s="974"/>
      <c r="PUQ100" s="974"/>
      <c r="PUR100" s="974"/>
      <c r="PUS100" s="974"/>
      <c r="PUT100" s="974"/>
      <c r="PUU100" s="974"/>
      <c r="PUV100" s="974"/>
      <c r="PUW100" s="974"/>
      <c r="PUX100" s="974"/>
      <c r="PUY100" s="974"/>
      <c r="PUZ100" s="974"/>
      <c r="PVA100" s="974"/>
      <c r="PVB100" s="974"/>
      <c r="PVC100" s="974"/>
      <c r="PVD100" s="974"/>
      <c r="PVE100" s="974"/>
      <c r="PVF100" s="974"/>
      <c r="PVG100" s="974"/>
      <c r="PVH100" s="974"/>
      <c r="PVI100" s="974"/>
      <c r="PVJ100" s="974"/>
      <c r="PVK100" s="974"/>
      <c r="PVL100" s="974"/>
      <c r="PVM100" s="974"/>
      <c r="PVN100" s="974"/>
      <c r="PVO100" s="974"/>
      <c r="PVP100" s="974"/>
      <c r="PVQ100" s="974"/>
      <c r="PVR100" s="974"/>
      <c r="PVS100" s="974"/>
      <c r="PVT100" s="974"/>
      <c r="PVU100" s="974"/>
      <c r="PVV100" s="974"/>
      <c r="PVW100" s="974"/>
      <c r="PVX100" s="974"/>
      <c r="PVY100" s="974"/>
      <c r="PVZ100" s="974"/>
      <c r="PWA100" s="974"/>
      <c r="PWB100" s="974"/>
      <c r="PWC100" s="974"/>
      <c r="PWD100" s="974"/>
      <c r="PWE100" s="974"/>
      <c r="PWF100" s="974"/>
      <c r="PWG100" s="974"/>
      <c r="PWH100" s="974"/>
      <c r="PWI100" s="974"/>
      <c r="PWJ100" s="974"/>
      <c r="PWK100" s="974"/>
      <c r="PWL100" s="974"/>
      <c r="PWM100" s="974"/>
      <c r="PWN100" s="974"/>
      <c r="PWO100" s="974"/>
      <c r="PWP100" s="974"/>
      <c r="PWQ100" s="974"/>
      <c r="PWR100" s="974"/>
      <c r="PWS100" s="974"/>
      <c r="PWT100" s="974"/>
      <c r="PWU100" s="974"/>
      <c r="PWV100" s="974"/>
      <c r="PWW100" s="974"/>
      <c r="PWX100" s="974"/>
      <c r="PWY100" s="974"/>
      <c r="PWZ100" s="974"/>
      <c r="PXA100" s="974"/>
      <c r="PXB100" s="974"/>
      <c r="PXC100" s="974"/>
      <c r="PXD100" s="974"/>
      <c r="PXE100" s="974"/>
      <c r="PXF100" s="974"/>
      <c r="PXG100" s="974"/>
      <c r="PXH100" s="974"/>
      <c r="PXI100" s="974"/>
      <c r="PXJ100" s="974"/>
      <c r="PXK100" s="974"/>
      <c r="PXL100" s="974"/>
      <c r="PXM100" s="974"/>
      <c r="PXN100" s="974"/>
      <c r="PXO100" s="974"/>
      <c r="PXP100" s="974"/>
      <c r="PXQ100" s="974"/>
      <c r="PXR100" s="974"/>
      <c r="PXS100" s="974"/>
      <c r="PXT100" s="974"/>
      <c r="PXU100" s="974"/>
      <c r="PXV100" s="974"/>
      <c r="PXW100" s="974"/>
      <c r="PXX100" s="974"/>
      <c r="PXY100" s="974"/>
      <c r="PXZ100" s="974"/>
      <c r="PYA100" s="974"/>
      <c r="PYB100" s="974"/>
      <c r="PYC100" s="974"/>
      <c r="PYD100" s="974"/>
      <c r="PYE100" s="974"/>
      <c r="PYF100" s="974"/>
      <c r="PYG100" s="974"/>
      <c r="PYH100" s="974"/>
      <c r="PYI100" s="974"/>
      <c r="PYJ100" s="974"/>
      <c r="PYK100" s="974"/>
      <c r="PYL100" s="974"/>
      <c r="PYM100" s="974"/>
      <c r="PYN100" s="974"/>
      <c r="PYO100" s="974"/>
      <c r="PYP100" s="974"/>
      <c r="PYQ100" s="974"/>
      <c r="PYR100" s="974"/>
      <c r="PYS100" s="974"/>
      <c r="PYT100" s="974"/>
      <c r="PYU100" s="974"/>
      <c r="PYV100" s="974"/>
      <c r="PYW100" s="974"/>
      <c r="PYX100" s="974"/>
      <c r="PYY100" s="974"/>
      <c r="PYZ100" s="974"/>
      <c r="PZA100" s="974"/>
      <c r="PZB100" s="974"/>
      <c r="PZC100" s="974"/>
      <c r="PZD100" s="974"/>
      <c r="PZE100" s="974"/>
      <c r="PZF100" s="974"/>
      <c r="PZG100" s="974"/>
      <c r="PZH100" s="974"/>
      <c r="PZI100" s="974"/>
      <c r="PZJ100" s="974"/>
      <c r="PZK100" s="974"/>
      <c r="PZL100" s="974"/>
      <c r="PZM100" s="974"/>
      <c r="PZN100" s="974"/>
      <c r="PZO100" s="974"/>
      <c r="PZP100" s="974"/>
      <c r="PZQ100" s="974"/>
      <c r="PZR100" s="974"/>
      <c r="PZS100" s="974"/>
      <c r="PZT100" s="974"/>
      <c r="PZU100" s="974"/>
      <c r="PZV100" s="974"/>
      <c r="PZW100" s="974"/>
      <c r="PZX100" s="974"/>
      <c r="PZY100" s="974"/>
      <c r="PZZ100" s="974"/>
      <c r="QAA100" s="974"/>
      <c r="QAB100" s="974"/>
      <c r="QAC100" s="974"/>
      <c r="QAD100" s="974"/>
      <c r="QAE100" s="974"/>
      <c r="QAF100" s="974"/>
      <c r="QAG100" s="974"/>
      <c r="QAH100" s="974"/>
      <c r="QAI100" s="974"/>
      <c r="QAJ100" s="974"/>
      <c r="QAK100" s="974"/>
      <c r="QAL100" s="974"/>
      <c r="QAM100" s="974"/>
      <c r="QAN100" s="974"/>
      <c r="QAO100" s="974"/>
      <c r="QAP100" s="974"/>
      <c r="QAQ100" s="974"/>
      <c r="QAR100" s="974"/>
      <c r="QAS100" s="974"/>
      <c r="QAT100" s="974"/>
      <c r="QAU100" s="974"/>
      <c r="QAV100" s="974"/>
      <c r="QAW100" s="974"/>
      <c r="QAX100" s="974"/>
      <c r="QAY100" s="974"/>
      <c r="QAZ100" s="974"/>
      <c r="QBA100" s="974"/>
      <c r="QBB100" s="974"/>
      <c r="QBC100" s="974"/>
      <c r="QBD100" s="974"/>
      <c r="QBE100" s="974"/>
      <c r="QBF100" s="974"/>
      <c r="QBG100" s="974"/>
      <c r="QBH100" s="974"/>
      <c r="QBI100" s="974"/>
      <c r="QBJ100" s="974"/>
      <c r="QBK100" s="974"/>
      <c r="QBL100" s="974"/>
      <c r="QBM100" s="974"/>
      <c r="QBN100" s="974"/>
      <c r="QBO100" s="974"/>
      <c r="QBP100" s="974"/>
      <c r="QBQ100" s="974"/>
      <c r="QBR100" s="974"/>
      <c r="QBS100" s="974"/>
      <c r="QBT100" s="974"/>
      <c r="QBU100" s="974"/>
      <c r="QBV100" s="974"/>
      <c r="QBW100" s="974"/>
      <c r="QBX100" s="974"/>
      <c r="QBY100" s="974"/>
      <c r="QBZ100" s="974"/>
      <c r="QCA100" s="974"/>
      <c r="QCB100" s="974"/>
      <c r="QCC100" s="974"/>
      <c r="QCD100" s="974"/>
      <c r="QCE100" s="974"/>
      <c r="QCF100" s="974"/>
      <c r="QCG100" s="974"/>
      <c r="QCH100" s="974"/>
      <c r="QCI100" s="974"/>
      <c r="QCJ100" s="974"/>
      <c r="QCK100" s="974"/>
      <c r="QCL100" s="974"/>
      <c r="QCM100" s="974"/>
      <c r="QCN100" s="974"/>
      <c r="QCO100" s="974"/>
      <c r="QCP100" s="974"/>
      <c r="QCQ100" s="974"/>
      <c r="QCR100" s="974"/>
      <c r="QCS100" s="974"/>
      <c r="QCT100" s="974"/>
      <c r="QCU100" s="974"/>
      <c r="QCV100" s="974"/>
      <c r="QCW100" s="974"/>
      <c r="QCX100" s="974"/>
      <c r="QCY100" s="974"/>
      <c r="QCZ100" s="974"/>
      <c r="QDA100" s="974"/>
      <c r="QDB100" s="974"/>
      <c r="QDC100" s="974"/>
      <c r="QDD100" s="974"/>
      <c r="QDE100" s="974"/>
      <c r="QDF100" s="974"/>
      <c r="QDG100" s="974"/>
      <c r="QDH100" s="974"/>
      <c r="QDI100" s="974"/>
      <c r="QDJ100" s="974"/>
      <c r="QDK100" s="974"/>
      <c r="QDL100" s="974"/>
      <c r="QDM100" s="974"/>
      <c r="QDN100" s="974"/>
      <c r="QDO100" s="974"/>
      <c r="QDP100" s="974"/>
      <c r="QDQ100" s="974"/>
      <c r="QDR100" s="974"/>
      <c r="QDS100" s="974"/>
      <c r="QDT100" s="974"/>
      <c r="QDU100" s="974"/>
      <c r="QDV100" s="974"/>
      <c r="QDW100" s="974"/>
      <c r="QDX100" s="974"/>
      <c r="QDY100" s="974"/>
      <c r="QDZ100" s="974"/>
      <c r="QEA100" s="974"/>
      <c r="QEB100" s="974"/>
      <c r="QEC100" s="974"/>
      <c r="QED100" s="974"/>
      <c r="QEE100" s="974"/>
      <c r="QEF100" s="974"/>
      <c r="QEG100" s="974"/>
      <c r="QEH100" s="974"/>
      <c r="QEI100" s="974"/>
      <c r="QEJ100" s="974"/>
      <c r="QEK100" s="974"/>
      <c r="QEL100" s="974"/>
      <c r="QEM100" s="974"/>
      <c r="QEN100" s="974"/>
      <c r="QEO100" s="974"/>
      <c r="QEP100" s="974"/>
      <c r="QEQ100" s="974"/>
      <c r="QER100" s="974"/>
      <c r="QES100" s="974"/>
      <c r="QET100" s="974"/>
      <c r="QEU100" s="974"/>
      <c r="QEV100" s="974"/>
      <c r="QEW100" s="974"/>
      <c r="QEX100" s="974"/>
      <c r="QEY100" s="974"/>
      <c r="QEZ100" s="974"/>
      <c r="QFA100" s="974"/>
      <c r="QFB100" s="974"/>
      <c r="QFC100" s="974"/>
      <c r="QFD100" s="974"/>
      <c r="QFE100" s="974"/>
      <c r="QFF100" s="974"/>
      <c r="QFG100" s="974"/>
      <c r="QFH100" s="974"/>
      <c r="QFI100" s="974"/>
      <c r="QFJ100" s="974"/>
      <c r="QFK100" s="974"/>
      <c r="QFL100" s="974"/>
      <c r="QFM100" s="974"/>
      <c r="QFN100" s="974"/>
      <c r="QFO100" s="974"/>
      <c r="QFP100" s="974"/>
      <c r="QFQ100" s="974"/>
      <c r="QFR100" s="974"/>
      <c r="QFS100" s="974"/>
      <c r="QFT100" s="974"/>
      <c r="QFU100" s="974"/>
      <c r="QFV100" s="974"/>
      <c r="QFW100" s="974"/>
      <c r="QFX100" s="974"/>
      <c r="QFY100" s="974"/>
      <c r="QFZ100" s="974"/>
      <c r="QGA100" s="974"/>
      <c r="QGB100" s="974"/>
      <c r="QGC100" s="974"/>
      <c r="QGD100" s="974"/>
      <c r="QGE100" s="974"/>
      <c r="QGF100" s="974"/>
      <c r="QGG100" s="974"/>
      <c r="QGH100" s="974"/>
      <c r="QGI100" s="974"/>
      <c r="QGJ100" s="974"/>
      <c r="QGK100" s="974"/>
      <c r="QGL100" s="974"/>
      <c r="QGM100" s="974"/>
      <c r="QGN100" s="974"/>
      <c r="QGO100" s="974"/>
      <c r="QGP100" s="974"/>
      <c r="QGQ100" s="974"/>
      <c r="QGR100" s="974"/>
      <c r="QGS100" s="974"/>
      <c r="QGT100" s="974"/>
      <c r="QGU100" s="974"/>
      <c r="QGV100" s="974"/>
      <c r="QGW100" s="974"/>
      <c r="QGX100" s="974"/>
      <c r="QGY100" s="974"/>
      <c r="QGZ100" s="974"/>
      <c r="QHA100" s="974"/>
      <c r="QHB100" s="974"/>
      <c r="QHC100" s="974"/>
      <c r="QHD100" s="974"/>
      <c r="QHE100" s="974"/>
      <c r="QHF100" s="974"/>
      <c r="QHG100" s="974"/>
      <c r="QHH100" s="974"/>
      <c r="QHI100" s="974"/>
      <c r="QHJ100" s="974"/>
      <c r="QHK100" s="974"/>
      <c r="QHL100" s="974"/>
      <c r="QHM100" s="974"/>
      <c r="QHN100" s="974"/>
      <c r="QHO100" s="974"/>
      <c r="QHP100" s="974"/>
      <c r="QHQ100" s="974"/>
      <c r="QHR100" s="974"/>
      <c r="QHS100" s="974"/>
      <c r="QHT100" s="974"/>
      <c r="QHU100" s="974"/>
      <c r="QHV100" s="974"/>
      <c r="QHW100" s="974"/>
      <c r="QHX100" s="974"/>
      <c r="QHY100" s="974"/>
      <c r="QHZ100" s="974"/>
      <c r="QIA100" s="974"/>
      <c r="QIB100" s="974"/>
      <c r="QIC100" s="974"/>
      <c r="QID100" s="974"/>
      <c r="QIE100" s="974"/>
      <c r="QIF100" s="974"/>
      <c r="QIG100" s="974"/>
      <c r="QIH100" s="974"/>
      <c r="QII100" s="974"/>
      <c r="QIJ100" s="974"/>
      <c r="QIK100" s="974"/>
      <c r="QIL100" s="974"/>
      <c r="QIM100" s="974"/>
      <c r="QIN100" s="974"/>
      <c r="QIO100" s="974"/>
      <c r="QIP100" s="974"/>
      <c r="QIQ100" s="974"/>
      <c r="QIR100" s="974"/>
      <c r="QIS100" s="974"/>
      <c r="QIT100" s="974"/>
      <c r="QIU100" s="974"/>
      <c r="QIV100" s="974"/>
      <c r="QIW100" s="974"/>
      <c r="QIX100" s="974"/>
      <c r="QIY100" s="974"/>
      <c r="QIZ100" s="974"/>
      <c r="QJA100" s="974"/>
      <c r="QJB100" s="974"/>
      <c r="QJC100" s="974"/>
      <c r="QJD100" s="974"/>
      <c r="QJE100" s="974"/>
      <c r="QJF100" s="974"/>
      <c r="QJG100" s="974"/>
      <c r="QJH100" s="974"/>
      <c r="QJI100" s="974"/>
      <c r="QJJ100" s="974"/>
      <c r="QJK100" s="974"/>
      <c r="QJL100" s="974"/>
      <c r="QJM100" s="974"/>
      <c r="QJN100" s="974"/>
      <c r="QJO100" s="974"/>
      <c r="QJP100" s="974"/>
      <c r="QJQ100" s="974"/>
      <c r="QJR100" s="974"/>
      <c r="QJS100" s="974"/>
      <c r="QJT100" s="974"/>
      <c r="QJU100" s="974"/>
      <c r="QJV100" s="974"/>
      <c r="QJW100" s="974"/>
      <c r="QJX100" s="974"/>
      <c r="QJY100" s="974"/>
      <c r="QJZ100" s="974"/>
      <c r="QKA100" s="974"/>
      <c r="QKB100" s="974"/>
      <c r="QKC100" s="974"/>
      <c r="QKD100" s="974"/>
      <c r="QKE100" s="974"/>
      <c r="QKF100" s="974"/>
      <c r="QKG100" s="974"/>
      <c r="QKH100" s="974"/>
      <c r="QKI100" s="974"/>
      <c r="QKJ100" s="974"/>
      <c r="QKK100" s="974"/>
      <c r="QKL100" s="974"/>
      <c r="QKM100" s="974"/>
      <c r="QKN100" s="974"/>
      <c r="QKO100" s="974"/>
      <c r="QKP100" s="974"/>
      <c r="QKQ100" s="974"/>
      <c r="QKR100" s="974"/>
      <c r="QKS100" s="974"/>
      <c r="QKT100" s="974"/>
      <c r="QKU100" s="974"/>
      <c r="QKV100" s="974"/>
      <c r="QKW100" s="974"/>
      <c r="QKX100" s="974"/>
      <c r="QKY100" s="974"/>
      <c r="QKZ100" s="974"/>
      <c r="QLA100" s="974"/>
      <c r="QLB100" s="974"/>
      <c r="QLC100" s="974"/>
      <c r="QLD100" s="974"/>
      <c r="QLE100" s="974"/>
      <c r="QLF100" s="974"/>
      <c r="QLG100" s="974"/>
      <c r="QLH100" s="974"/>
      <c r="QLI100" s="974"/>
      <c r="QLJ100" s="974"/>
      <c r="QLK100" s="974"/>
      <c r="QLL100" s="974"/>
      <c r="QLM100" s="974"/>
      <c r="QLN100" s="974"/>
      <c r="QLO100" s="974"/>
      <c r="QLP100" s="974"/>
      <c r="QLQ100" s="974"/>
      <c r="QLR100" s="974"/>
      <c r="QLS100" s="974"/>
      <c r="QLT100" s="974"/>
      <c r="QLU100" s="974"/>
      <c r="QLV100" s="974"/>
      <c r="QLW100" s="974"/>
      <c r="QLX100" s="974"/>
      <c r="QLY100" s="974"/>
      <c r="QLZ100" s="974"/>
      <c r="QMA100" s="974"/>
      <c r="QMB100" s="974"/>
      <c r="QMC100" s="974"/>
      <c r="QMD100" s="974"/>
      <c r="QME100" s="974"/>
      <c r="QMF100" s="974"/>
      <c r="QMG100" s="974"/>
      <c r="QMH100" s="974"/>
      <c r="QMI100" s="974"/>
      <c r="QMJ100" s="974"/>
      <c r="QMK100" s="974"/>
      <c r="QML100" s="974"/>
      <c r="QMM100" s="974"/>
      <c r="QMN100" s="974"/>
      <c r="QMO100" s="974"/>
      <c r="QMP100" s="974"/>
      <c r="QMQ100" s="974"/>
      <c r="QMR100" s="974"/>
      <c r="QMS100" s="974"/>
      <c r="QMT100" s="974"/>
      <c r="QMU100" s="974"/>
      <c r="QMV100" s="974"/>
      <c r="QMW100" s="974"/>
      <c r="QMX100" s="974"/>
      <c r="QMY100" s="974"/>
      <c r="QMZ100" s="974"/>
      <c r="QNA100" s="974"/>
      <c r="QNB100" s="974"/>
      <c r="QNC100" s="974"/>
      <c r="QND100" s="974"/>
      <c r="QNE100" s="974"/>
      <c r="QNF100" s="974"/>
      <c r="QNG100" s="974"/>
      <c r="QNH100" s="974"/>
      <c r="QNI100" s="974"/>
      <c r="QNJ100" s="974"/>
      <c r="QNK100" s="974"/>
      <c r="QNL100" s="974"/>
      <c r="QNM100" s="974"/>
      <c r="QNN100" s="974"/>
      <c r="QNO100" s="974"/>
      <c r="QNP100" s="974"/>
      <c r="QNQ100" s="974"/>
      <c r="QNR100" s="974"/>
      <c r="QNS100" s="974"/>
      <c r="QNT100" s="974"/>
      <c r="QNU100" s="974"/>
      <c r="QNV100" s="974"/>
      <c r="QNW100" s="974"/>
      <c r="QNX100" s="974"/>
      <c r="QNY100" s="974"/>
      <c r="QNZ100" s="974"/>
      <c r="QOA100" s="974"/>
      <c r="QOB100" s="974"/>
      <c r="QOC100" s="974"/>
      <c r="QOD100" s="974"/>
      <c r="QOE100" s="974"/>
      <c r="QOF100" s="974"/>
      <c r="QOG100" s="974"/>
      <c r="QOH100" s="974"/>
      <c r="QOI100" s="974"/>
      <c r="QOJ100" s="974"/>
      <c r="QOK100" s="974"/>
      <c r="QOL100" s="974"/>
      <c r="QOM100" s="974"/>
      <c r="QON100" s="974"/>
      <c r="QOO100" s="974"/>
      <c r="QOP100" s="974"/>
      <c r="QOQ100" s="974"/>
      <c r="QOR100" s="974"/>
      <c r="QOS100" s="974"/>
      <c r="QOT100" s="974"/>
      <c r="QOU100" s="974"/>
      <c r="QOV100" s="974"/>
      <c r="QOW100" s="974"/>
      <c r="QOX100" s="974"/>
      <c r="QOY100" s="974"/>
      <c r="QOZ100" s="974"/>
      <c r="QPA100" s="974"/>
      <c r="QPB100" s="974"/>
      <c r="QPC100" s="974"/>
      <c r="QPD100" s="974"/>
      <c r="QPE100" s="974"/>
      <c r="QPF100" s="974"/>
      <c r="QPG100" s="974"/>
      <c r="QPH100" s="974"/>
      <c r="QPI100" s="974"/>
      <c r="QPJ100" s="974"/>
      <c r="QPK100" s="974"/>
      <c r="QPL100" s="974"/>
      <c r="QPM100" s="974"/>
      <c r="QPN100" s="974"/>
      <c r="QPO100" s="974"/>
      <c r="QPP100" s="974"/>
      <c r="QPQ100" s="974"/>
      <c r="QPR100" s="974"/>
      <c r="QPS100" s="974"/>
      <c r="QPT100" s="974"/>
      <c r="QPU100" s="974"/>
      <c r="QPV100" s="974"/>
      <c r="QPW100" s="974"/>
      <c r="QPX100" s="974"/>
      <c r="QPY100" s="974"/>
      <c r="QPZ100" s="974"/>
      <c r="QQA100" s="974"/>
      <c r="QQB100" s="974"/>
      <c r="QQC100" s="974"/>
      <c r="QQD100" s="974"/>
      <c r="QQE100" s="974"/>
      <c r="QQF100" s="974"/>
      <c r="QQG100" s="974"/>
      <c r="QQH100" s="974"/>
      <c r="QQI100" s="974"/>
      <c r="QQJ100" s="974"/>
      <c r="QQK100" s="974"/>
      <c r="QQL100" s="974"/>
      <c r="QQM100" s="974"/>
      <c r="QQN100" s="974"/>
      <c r="QQO100" s="974"/>
      <c r="QQP100" s="974"/>
      <c r="QQQ100" s="974"/>
      <c r="QQR100" s="974"/>
      <c r="QQS100" s="974"/>
      <c r="QQT100" s="974"/>
      <c r="QQU100" s="974"/>
      <c r="QQV100" s="974"/>
      <c r="QQW100" s="974"/>
      <c r="QQX100" s="974"/>
      <c r="QQY100" s="974"/>
      <c r="QQZ100" s="974"/>
      <c r="QRA100" s="974"/>
      <c r="QRB100" s="974"/>
      <c r="QRC100" s="974"/>
      <c r="QRD100" s="974"/>
      <c r="QRE100" s="974"/>
      <c r="QRF100" s="974"/>
      <c r="QRG100" s="974"/>
      <c r="QRH100" s="974"/>
      <c r="QRI100" s="974"/>
      <c r="QRJ100" s="974"/>
      <c r="QRK100" s="974"/>
      <c r="QRL100" s="974"/>
      <c r="QRM100" s="974"/>
      <c r="QRN100" s="974"/>
      <c r="QRO100" s="974"/>
      <c r="QRP100" s="974"/>
      <c r="QRQ100" s="974"/>
      <c r="QRR100" s="974"/>
      <c r="QRS100" s="974"/>
      <c r="QRT100" s="974"/>
      <c r="QRU100" s="974"/>
      <c r="QRV100" s="974"/>
      <c r="QRW100" s="974"/>
      <c r="QRX100" s="974"/>
      <c r="QRY100" s="974"/>
      <c r="QRZ100" s="974"/>
      <c r="QSA100" s="974"/>
      <c r="QSB100" s="974"/>
      <c r="QSC100" s="974"/>
      <c r="QSD100" s="974"/>
      <c r="QSE100" s="974"/>
      <c r="QSF100" s="974"/>
      <c r="QSG100" s="974"/>
      <c r="QSH100" s="974"/>
      <c r="QSI100" s="974"/>
      <c r="QSJ100" s="974"/>
      <c r="QSK100" s="974"/>
      <c r="QSL100" s="974"/>
      <c r="QSM100" s="974"/>
      <c r="QSN100" s="974"/>
      <c r="QSO100" s="974"/>
      <c r="QSP100" s="974"/>
      <c r="QSQ100" s="974"/>
      <c r="QSR100" s="974"/>
      <c r="QSS100" s="974"/>
      <c r="QST100" s="974"/>
      <c r="QSU100" s="974"/>
      <c r="QSV100" s="974"/>
      <c r="QSW100" s="974"/>
      <c r="QSX100" s="974"/>
      <c r="QSY100" s="974"/>
      <c r="QSZ100" s="974"/>
      <c r="QTA100" s="974"/>
      <c r="QTB100" s="974"/>
      <c r="QTC100" s="974"/>
      <c r="QTD100" s="974"/>
      <c r="QTE100" s="974"/>
      <c r="QTF100" s="974"/>
      <c r="QTG100" s="974"/>
      <c r="QTH100" s="974"/>
      <c r="QTI100" s="974"/>
      <c r="QTJ100" s="974"/>
      <c r="QTK100" s="974"/>
      <c r="QTL100" s="974"/>
      <c r="QTM100" s="974"/>
      <c r="QTN100" s="974"/>
      <c r="QTO100" s="974"/>
      <c r="QTP100" s="974"/>
      <c r="QTQ100" s="974"/>
      <c r="QTR100" s="974"/>
      <c r="QTS100" s="974"/>
      <c r="QTT100" s="974"/>
      <c r="QTU100" s="974"/>
      <c r="QTV100" s="974"/>
      <c r="QTW100" s="974"/>
      <c r="QTX100" s="974"/>
      <c r="QTY100" s="974"/>
      <c r="QTZ100" s="974"/>
      <c r="QUA100" s="974"/>
      <c r="QUB100" s="974"/>
      <c r="QUC100" s="974"/>
      <c r="QUD100" s="974"/>
      <c r="QUE100" s="974"/>
      <c r="QUF100" s="974"/>
      <c r="QUG100" s="974"/>
      <c r="QUH100" s="974"/>
      <c r="QUI100" s="974"/>
      <c r="QUJ100" s="974"/>
      <c r="QUK100" s="974"/>
      <c r="QUL100" s="974"/>
      <c r="QUM100" s="974"/>
      <c r="QUN100" s="974"/>
      <c r="QUO100" s="974"/>
      <c r="QUP100" s="974"/>
      <c r="QUQ100" s="974"/>
      <c r="QUR100" s="974"/>
      <c r="QUS100" s="974"/>
      <c r="QUT100" s="974"/>
      <c r="QUU100" s="974"/>
      <c r="QUV100" s="974"/>
      <c r="QUW100" s="974"/>
      <c r="QUX100" s="974"/>
      <c r="QUY100" s="974"/>
      <c r="QUZ100" s="974"/>
      <c r="QVA100" s="974"/>
      <c r="QVB100" s="974"/>
      <c r="QVC100" s="974"/>
      <c r="QVD100" s="974"/>
      <c r="QVE100" s="974"/>
      <c r="QVF100" s="974"/>
      <c r="QVG100" s="974"/>
      <c r="QVH100" s="974"/>
      <c r="QVI100" s="974"/>
      <c r="QVJ100" s="974"/>
      <c r="QVK100" s="974"/>
      <c r="QVL100" s="974"/>
      <c r="QVM100" s="974"/>
      <c r="QVN100" s="974"/>
      <c r="QVO100" s="974"/>
      <c r="QVP100" s="974"/>
      <c r="QVQ100" s="974"/>
      <c r="QVR100" s="974"/>
      <c r="QVS100" s="974"/>
      <c r="QVT100" s="974"/>
      <c r="QVU100" s="974"/>
      <c r="QVV100" s="974"/>
      <c r="QVW100" s="974"/>
      <c r="QVX100" s="974"/>
      <c r="QVY100" s="974"/>
      <c r="QVZ100" s="974"/>
      <c r="QWA100" s="974"/>
      <c r="QWB100" s="974"/>
      <c r="QWC100" s="974"/>
      <c r="QWD100" s="974"/>
      <c r="QWE100" s="974"/>
      <c r="QWF100" s="974"/>
      <c r="QWG100" s="974"/>
      <c r="QWH100" s="974"/>
      <c r="QWI100" s="974"/>
      <c r="QWJ100" s="974"/>
      <c r="QWK100" s="974"/>
      <c r="QWL100" s="974"/>
      <c r="QWM100" s="974"/>
      <c r="QWN100" s="974"/>
      <c r="QWO100" s="974"/>
      <c r="QWP100" s="974"/>
      <c r="QWQ100" s="974"/>
      <c r="QWR100" s="974"/>
      <c r="QWS100" s="974"/>
      <c r="QWT100" s="974"/>
      <c r="QWU100" s="974"/>
      <c r="QWV100" s="974"/>
      <c r="QWW100" s="974"/>
      <c r="QWX100" s="974"/>
      <c r="QWY100" s="974"/>
      <c r="QWZ100" s="974"/>
      <c r="QXA100" s="974"/>
      <c r="QXB100" s="974"/>
      <c r="QXC100" s="974"/>
      <c r="QXD100" s="974"/>
      <c r="QXE100" s="974"/>
      <c r="QXF100" s="974"/>
      <c r="QXG100" s="974"/>
      <c r="QXH100" s="974"/>
      <c r="QXI100" s="974"/>
      <c r="QXJ100" s="974"/>
      <c r="QXK100" s="974"/>
      <c r="QXL100" s="974"/>
      <c r="QXM100" s="974"/>
      <c r="QXN100" s="974"/>
      <c r="QXO100" s="974"/>
      <c r="QXP100" s="974"/>
      <c r="QXQ100" s="974"/>
      <c r="QXR100" s="974"/>
      <c r="QXS100" s="974"/>
      <c r="QXT100" s="974"/>
      <c r="QXU100" s="974"/>
      <c r="QXV100" s="974"/>
      <c r="QXW100" s="974"/>
      <c r="QXX100" s="974"/>
      <c r="QXY100" s="974"/>
      <c r="QXZ100" s="974"/>
      <c r="QYA100" s="974"/>
      <c r="QYB100" s="974"/>
      <c r="QYC100" s="974"/>
      <c r="QYD100" s="974"/>
      <c r="QYE100" s="974"/>
      <c r="QYF100" s="974"/>
      <c r="QYG100" s="974"/>
      <c r="QYH100" s="974"/>
      <c r="QYI100" s="974"/>
      <c r="QYJ100" s="974"/>
      <c r="QYK100" s="974"/>
      <c r="QYL100" s="974"/>
      <c r="QYM100" s="974"/>
      <c r="QYN100" s="974"/>
      <c r="QYO100" s="974"/>
      <c r="QYP100" s="974"/>
      <c r="QYQ100" s="974"/>
      <c r="QYR100" s="974"/>
      <c r="QYS100" s="974"/>
      <c r="QYT100" s="974"/>
      <c r="QYU100" s="974"/>
      <c r="QYV100" s="974"/>
      <c r="QYW100" s="974"/>
      <c r="QYX100" s="974"/>
      <c r="QYY100" s="974"/>
      <c r="QYZ100" s="974"/>
      <c r="QZA100" s="974"/>
      <c r="QZB100" s="974"/>
      <c r="QZC100" s="974"/>
      <c r="QZD100" s="974"/>
      <c r="QZE100" s="974"/>
      <c r="QZF100" s="974"/>
      <c r="QZG100" s="974"/>
      <c r="QZH100" s="974"/>
      <c r="QZI100" s="974"/>
      <c r="QZJ100" s="974"/>
      <c r="QZK100" s="974"/>
      <c r="QZL100" s="974"/>
      <c r="QZM100" s="974"/>
      <c r="QZN100" s="974"/>
      <c r="QZO100" s="974"/>
      <c r="QZP100" s="974"/>
      <c r="QZQ100" s="974"/>
      <c r="QZR100" s="974"/>
      <c r="QZS100" s="974"/>
      <c r="QZT100" s="974"/>
      <c r="QZU100" s="974"/>
      <c r="QZV100" s="974"/>
      <c r="QZW100" s="974"/>
      <c r="QZX100" s="974"/>
      <c r="QZY100" s="974"/>
      <c r="QZZ100" s="974"/>
      <c r="RAA100" s="974"/>
      <c r="RAB100" s="974"/>
      <c r="RAC100" s="974"/>
      <c r="RAD100" s="974"/>
      <c r="RAE100" s="974"/>
      <c r="RAF100" s="974"/>
      <c r="RAG100" s="974"/>
      <c r="RAH100" s="974"/>
      <c r="RAI100" s="974"/>
      <c r="RAJ100" s="974"/>
      <c r="RAK100" s="974"/>
      <c r="RAL100" s="974"/>
      <c r="RAM100" s="974"/>
      <c r="RAN100" s="974"/>
      <c r="RAO100" s="974"/>
      <c r="RAP100" s="974"/>
      <c r="RAQ100" s="974"/>
      <c r="RAR100" s="974"/>
      <c r="RAS100" s="974"/>
      <c r="RAT100" s="974"/>
      <c r="RAU100" s="974"/>
      <c r="RAV100" s="974"/>
      <c r="RAW100" s="974"/>
      <c r="RAX100" s="974"/>
      <c r="RAY100" s="974"/>
      <c r="RAZ100" s="974"/>
      <c r="RBA100" s="974"/>
      <c r="RBB100" s="974"/>
      <c r="RBC100" s="974"/>
      <c r="RBD100" s="974"/>
      <c r="RBE100" s="974"/>
      <c r="RBF100" s="974"/>
      <c r="RBG100" s="974"/>
      <c r="RBH100" s="974"/>
      <c r="RBI100" s="974"/>
      <c r="RBJ100" s="974"/>
      <c r="RBK100" s="974"/>
      <c r="RBL100" s="974"/>
      <c r="RBM100" s="974"/>
      <c r="RBN100" s="974"/>
      <c r="RBO100" s="974"/>
      <c r="RBP100" s="974"/>
      <c r="RBQ100" s="974"/>
      <c r="RBR100" s="974"/>
      <c r="RBS100" s="974"/>
      <c r="RBT100" s="974"/>
      <c r="RBU100" s="974"/>
      <c r="RBV100" s="974"/>
      <c r="RBW100" s="974"/>
      <c r="RBX100" s="974"/>
      <c r="RBY100" s="974"/>
      <c r="RBZ100" s="974"/>
      <c r="RCA100" s="974"/>
      <c r="RCB100" s="974"/>
      <c r="RCC100" s="974"/>
      <c r="RCD100" s="974"/>
      <c r="RCE100" s="974"/>
      <c r="RCF100" s="974"/>
      <c r="RCG100" s="974"/>
      <c r="RCH100" s="974"/>
      <c r="RCI100" s="974"/>
      <c r="RCJ100" s="974"/>
      <c r="RCK100" s="974"/>
      <c r="RCL100" s="974"/>
      <c r="RCM100" s="974"/>
      <c r="RCN100" s="974"/>
      <c r="RCO100" s="974"/>
      <c r="RCP100" s="974"/>
      <c r="RCQ100" s="974"/>
      <c r="RCR100" s="974"/>
      <c r="RCS100" s="974"/>
      <c r="RCT100" s="974"/>
      <c r="RCU100" s="974"/>
      <c r="RCV100" s="974"/>
      <c r="RCW100" s="974"/>
      <c r="RCX100" s="974"/>
      <c r="RCY100" s="974"/>
      <c r="RCZ100" s="974"/>
      <c r="RDA100" s="974"/>
      <c r="RDB100" s="974"/>
      <c r="RDC100" s="974"/>
      <c r="RDD100" s="974"/>
      <c r="RDE100" s="974"/>
      <c r="RDF100" s="974"/>
      <c r="RDG100" s="974"/>
      <c r="RDH100" s="974"/>
      <c r="RDI100" s="974"/>
      <c r="RDJ100" s="974"/>
      <c r="RDK100" s="974"/>
      <c r="RDL100" s="974"/>
      <c r="RDM100" s="974"/>
      <c r="RDN100" s="974"/>
      <c r="RDO100" s="974"/>
      <c r="RDP100" s="974"/>
      <c r="RDQ100" s="974"/>
      <c r="RDR100" s="974"/>
      <c r="RDS100" s="974"/>
      <c r="RDT100" s="974"/>
      <c r="RDU100" s="974"/>
      <c r="RDV100" s="974"/>
      <c r="RDW100" s="974"/>
      <c r="RDX100" s="974"/>
      <c r="RDY100" s="974"/>
      <c r="RDZ100" s="974"/>
      <c r="REA100" s="974"/>
      <c r="REB100" s="974"/>
      <c r="REC100" s="974"/>
      <c r="RED100" s="974"/>
      <c r="REE100" s="974"/>
      <c r="REF100" s="974"/>
      <c r="REG100" s="974"/>
      <c r="REH100" s="974"/>
      <c r="REI100" s="974"/>
      <c r="REJ100" s="974"/>
      <c r="REK100" s="974"/>
      <c r="REL100" s="974"/>
      <c r="REM100" s="974"/>
      <c r="REN100" s="974"/>
      <c r="REO100" s="974"/>
      <c r="REP100" s="974"/>
      <c r="REQ100" s="974"/>
      <c r="RER100" s="974"/>
      <c r="RES100" s="974"/>
      <c r="RET100" s="974"/>
      <c r="REU100" s="974"/>
      <c r="REV100" s="974"/>
      <c r="REW100" s="974"/>
      <c r="REX100" s="974"/>
      <c r="REY100" s="974"/>
      <c r="REZ100" s="974"/>
      <c r="RFA100" s="974"/>
      <c r="RFB100" s="974"/>
      <c r="RFC100" s="974"/>
      <c r="RFD100" s="974"/>
      <c r="RFE100" s="974"/>
      <c r="RFF100" s="974"/>
      <c r="RFG100" s="974"/>
      <c r="RFH100" s="974"/>
      <c r="RFI100" s="974"/>
      <c r="RFJ100" s="974"/>
      <c r="RFK100" s="974"/>
      <c r="RFL100" s="974"/>
      <c r="RFM100" s="974"/>
      <c r="RFN100" s="974"/>
      <c r="RFO100" s="974"/>
      <c r="RFP100" s="974"/>
      <c r="RFQ100" s="974"/>
      <c r="RFR100" s="974"/>
      <c r="RFS100" s="974"/>
      <c r="RFT100" s="974"/>
      <c r="RFU100" s="974"/>
      <c r="RFV100" s="974"/>
      <c r="RFW100" s="974"/>
      <c r="RFX100" s="974"/>
      <c r="RFY100" s="974"/>
      <c r="RFZ100" s="974"/>
      <c r="RGA100" s="974"/>
      <c r="RGB100" s="974"/>
      <c r="RGC100" s="974"/>
      <c r="RGD100" s="974"/>
      <c r="RGE100" s="974"/>
      <c r="RGF100" s="974"/>
      <c r="RGG100" s="974"/>
      <c r="RGH100" s="974"/>
      <c r="RGI100" s="974"/>
      <c r="RGJ100" s="974"/>
      <c r="RGK100" s="974"/>
      <c r="RGL100" s="974"/>
      <c r="RGM100" s="974"/>
      <c r="RGN100" s="974"/>
      <c r="RGO100" s="974"/>
      <c r="RGP100" s="974"/>
      <c r="RGQ100" s="974"/>
      <c r="RGR100" s="974"/>
      <c r="RGS100" s="974"/>
      <c r="RGT100" s="974"/>
      <c r="RGU100" s="974"/>
      <c r="RGV100" s="974"/>
      <c r="RGW100" s="974"/>
      <c r="RGX100" s="974"/>
      <c r="RGY100" s="974"/>
      <c r="RGZ100" s="974"/>
      <c r="RHA100" s="974"/>
      <c r="RHB100" s="974"/>
      <c r="RHC100" s="974"/>
      <c r="RHD100" s="974"/>
      <c r="RHE100" s="974"/>
      <c r="RHF100" s="974"/>
      <c r="RHG100" s="974"/>
      <c r="RHH100" s="974"/>
      <c r="RHI100" s="974"/>
      <c r="RHJ100" s="974"/>
      <c r="RHK100" s="974"/>
      <c r="RHL100" s="974"/>
      <c r="RHM100" s="974"/>
      <c r="RHN100" s="974"/>
      <c r="RHO100" s="974"/>
      <c r="RHP100" s="974"/>
      <c r="RHQ100" s="974"/>
      <c r="RHR100" s="974"/>
      <c r="RHS100" s="974"/>
      <c r="RHT100" s="974"/>
      <c r="RHU100" s="974"/>
      <c r="RHV100" s="974"/>
      <c r="RHW100" s="974"/>
      <c r="RHX100" s="974"/>
      <c r="RHY100" s="974"/>
      <c r="RHZ100" s="974"/>
      <c r="RIA100" s="974"/>
      <c r="RIB100" s="974"/>
      <c r="RIC100" s="974"/>
      <c r="RID100" s="974"/>
      <c r="RIE100" s="974"/>
      <c r="RIF100" s="974"/>
      <c r="RIG100" s="974"/>
      <c r="RIH100" s="974"/>
      <c r="RII100" s="974"/>
      <c r="RIJ100" s="974"/>
      <c r="RIK100" s="974"/>
      <c r="RIL100" s="974"/>
      <c r="RIM100" s="974"/>
      <c r="RIN100" s="974"/>
      <c r="RIO100" s="974"/>
      <c r="RIP100" s="974"/>
      <c r="RIQ100" s="974"/>
      <c r="RIR100" s="974"/>
      <c r="RIS100" s="974"/>
      <c r="RIT100" s="974"/>
      <c r="RIU100" s="974"/>
      <c r="RIV100" s="974"/>
      <c r="RIW100" s="974"/>
      <c r="RIX100" s="974"/>
      <c r="RIY100" s="974"/>
      <c r="RIZ100" s="974"/>
      <c r="RJA100" s="974"/>
      <c r="RJB100" s="974"/>
      <c r="RJC100" s="974"/>
      <c r="RJD100" s="974"/>
      <c r="RJE100" s="974"/>
      <c r="RJF100" s="974"/>
      <c r="RJG100" s="974"/>
      <c r="RJH100" s="974"/>
      <c r="RJI100" s="974"/>
      <c r="RJJ100" s="974"/>
      <c r="RJK100" s="974"/>
      <c r="RJL100" s="974"/>
      <c r="RJM100" s="974"/>
      <c r="RJN100" s="974"/>
      <c r="RJO100" s="974"/>
      <c r="RJP100" s="974"/>
      <c r="RJQ100" s="974"/>
      <c r="RJR100" s="974"/>
      <c r="RJS100" s="974"/>
      <c r="RJT100" s="974"/>
      <c r="RJU100" s="974"/>
      <c r="RJV100" s="974"/>
      <c r="RJW100" s="974"/>
      <c r="RJX100" s="974"/>
      <c r="RJY100" s="974"/>
      <c r="RJZ100" s="974"/>
      <c r="RKA100" s="974"/>
      <c r="RKB100" s="974"/>
      <c r="RKC100" s="974"/>
      <c r="RKD100" s="974"/>
      <c r="RKE100" s="974"/>
      <c r="RKF100" s="974"/>
      <c r="RKG100" s="974"/>
      <c r="RKH100" s="974"/>
      <c r="RKI100" s="974"/>
      <c r="RKJ100" s="974"/>
      <c r="RKK100" s="974"/>
      <c r="RKL100" s="974"/>
      <c r="RKM100" s="974"/>
      <c r="RKN100" s="974"/>
      <c r="RKO100" s="974"/>
      <c r="RKP100" s="974"/>
      <c r="RKQ100" s="974"/>
      <c r="RKR100" s="974"/>
      <c r="RKS100" s="974"/>
      <c r="RKT100" s="974"/>
      <c r="RKU100" s="974"/>
      <c r="RKV100" s="974"/>
      <c r="RKW100" s="974"/>
      <c r="RKX100" s="974"/>
      <c r="RKY100" s="974"/>
      <c r="RKZ100" s="974"/>
      <c r="RLA100" s="974"/>
      <c r="RLB100" s="974"/>
      <c r="RLC100" s="974"/>
      <c r="RLD100" s="974"/>
      <c r="RLE100" s="974"/>
      <c r="RLF100" s="974"/>
      <c r="RLG100" s="974"/>
      <c r="RLH100" s="974"/>
      <c r="RLI100" s="974"/>
      <c r="RLJ100" s="974"/>
      <c r="RLK100" s="974"/>
      <c r="RLL100" s="974"/>
      <c r="RLM100" s="974"/>
      <c r="RLN100" s="974"/>
      <c r="RLO100" s="974"/>
      <c r="RLP100" s="974"/>
      <c r="RLQ100" s="974"/>
      <c r="RLR100" s="974"/>
      <c r="RLS100" s="974"/>
      <c r="RLT100" s="974"/>
      <c r="RLU100" s="974"/>
      <c r="RLV100" s="974"/>
      <c r="RLW100" s="974"/>
      <c r="RLX100" s="974"/>
      <c r="RLY100" s="974"/>
      <c r="RLZ100" s="974"/>
      <c r="RMA100" s="974"/>
      <c r="RMB100" s="974"/>
      <c r="RMC100" s="974"/>
      <c r="RMD100" s="974"/>
      <c r="RME100" s="974"/>
      <c r="RMF100" s="974"/>
      <c r="RMG100" s="974"/>
      <c r="RMH100" s="974"/>
      <c r="RMI100" s="974"/>
      <c r="RMJ100" s="974"/>
      <c r="RMK100" s="974"/>
      <c r="RML100" s="974"/>
      <c r="RMM100" s="974"/>
      <c r="RMN100" s="974"/>
      <c r="RMO100" s="974"/>
      <c r="RMP100" s="974"/>
      <c r="RMQ100" s="974"/>
      <c r="RMR100" s="974"/>
      <c r="RMS100" s="974"/>
      <c r="RMT100" s="974"/>
      <c r="RMU100" s="974"/>
      <c r="RMV100" s="974"/>
      <c r="RMW100" s="974"/>
      <c r="RMX100" s="974"/>
      <c r="RMY100" s="974"/>
      <c r="RMZ100" s="974"/>
      <c r="RNA100" s="974"/>
      <c r="RNB100" s="974"/>
      <c r="RNC100" s="974"/>
      <c r="RND100" s="974"/>
      <c r="RNE100" s="974"/>
      <c r="RNF100" s="974"/>
      <c r="RNG100" s="974"/>
      <c r="RNH100" s="974"/>
      <c r="RNI100" s="974"/>
      <c r="RNJ100" s="974"/>
      <c r="RNK100" s="974"/>
      <c r="RNL100" s="974"/>
      <c r="RNM100" s="974"/>
      <c r="RNN100" s="974"/>
      <c r="RNO100" s="974"/>
      <c r="RNP100" s="974"/>
      <c r="RNQ100" s="974"/>
      <c r="RNR100" s="974"/>
      <c r="RNS100" s="974"/>
      <c r="RNT100" s="974"/>
      <c r="RNU100" s="974"/>
      <c r="RNV100" s="974"/>
      <c r="RNW100" s="974"/>
      <c r="RNX100" s="974"/>
      <c r="RNY100" s="974"/>
      <c r="RNZ100" s="974"/>
      <c r="ROA100" s="974"/>
      <c r="ROB100" s="974"/>
      <c r="ROC100" s="974"/>
      <c r="ROD100" s="974"/>
      <c r="ROE100" s="974"/>
      <c r="ROF100" s="974"/>
      <c r="ROG100" s="974"/>
      <c r="ROH100" s="974"/>
      <c r="ROI100" s="974"/>
      <c r="ROJ100" s="974"/>
      <c r="ROK100" s="974"/>
      <c r="ROL100" s="974"/>
      <c r="ROM100" s="974"/>
      <c r="RON100" s="974"/>
      <c r="ROO100" s="974"/>
      <c r="ROP100" s="974"/>
      <c r="ROQ100" s="974"/>
      <c r="ROR100" s="974"/>
      <c r="ROS100" s="974"/>
      <c r="ROT100" s="974"/>
      <c r="ROU100" s="974"/>
      <c r="ROV100" s="974"/>
      <c r="ROW100" s="974"/>
      <c r="ROX100" s="974"/>
      <c r="ROY100" s="974"/>
      <c r="ROZ100" s="974"/>
      <c r="RPA100" s="974"/>
      <c r="RPB100" s="974"/>
      <c r="RPC100" s="974"/>
      <c r="RPD100" s="974"/>
      <c r="RPE100" s="974"/>
      <c r="RPF100" s="974"/>
      <c r="RPG100" s="974"/>
      <c r="RPH100" s="974"/>
      <c r="RPI100" s="974"/>
      <c r="RPJ100" s="974"/>
      <c r="RPK100" s="974"/>
      <c r="RPL100" s="974"/>
      <c r="RPM100" s="974"/>
      <c r="RPN100" s="974"/>
      <c r="RPO100" s="974"/>
      <c r="RPP100" s="974"/>
      <c r="RPQ100" s="974"/>
      <c r="RPR100" s="974"/>
      <c r="RPS100" s="974"/>
      <c r="RPT100" s="974"/>
      <c r="RPU100" s="974"/>
      <c r="RPV100" s="974"/>
      <c r="RPW100" s="974"/>
      <c r="RPX100" s="974"/>
      <c r="RPY100" s="974"/>
      <c r="RPZ100" s="974"/>
      <c r="RQA100" s="974"/>
      <c r="RQB100" s="974"/>
      <c r="RQC100" s="974"/>
      <c r="RQD100" s="974"/>
      <c r="RQE100" s="974"/>
      <c r="RQF100" s="974"/>
      <c r="RQG100" s="974"/>
      <c r="RQH100" s="974"/>
      <c r="RQI100" s="974"/>
      <c r="RQJ100" s="974"/>
      <c r="RQK100" s="974"/>
      <c r="RQL100" s="974"/>
      <c r="RQM100" s="974"/>
      <c r="RQN100" s="974"/>
      <c r="RQO100" s="974"/>
      <c r="RQP100" s="974"/>
      <c r="RQQ100" s="974"/>
      <c r="RQR100" s="974"/>
      <c r="RQS100" s="974"/>
      <c r="RQT100" s="974"/>
      <c r="RQU100" s="974"/>
      <c r="RQV100" s="974"/>
      <c r="RQW100" s="974"/>
      <c r="RQX100" s="974"/>
      <c r="RQY100" s="974"/>
      <c r="RQZ100" s="974"/>
      <c r="RRA100" s="974"/>
      <c r="RRB100" s="974"/>
      <c r="RRC100" s="974"/>
      <c r="RRD100" s="974"/>
      <c r="RRE100" s="974"/>
      <c r="RRF100" s="974"/>
      <c r="RRG100" s="974"/>
      <c r="RRH100" s="974"/>
      <c r="RRI100" s="974"/>
      <c r="RRJ100" s="974"/>
      <c r="RRK100" s="974"/>
      <c r="RRL100" s="974"/>
      <c r="RRM100" s="974"/>
      <c r="RRN100" s="974"/>
      <c r="RRO100" s="974"/>
      <c r="RRP100" s="974"/>
      <c r="RRQ100" s="974"/>
      <c r="RRR100" s="974"/>
      <c r="RRS100" s="974"/>
      <c r="RRT100" s="974"/>
      <c r="RRU100" s="974"/>
      <c r="RRV100" s="974"/>
      <c r="RRW100" s="974"/>
      <c r="RRX100" s="974"/>
      <c r="RRY100" s="974"/>
      <c r="RRZ100" s="974"/>
      <c r="RSA100" s="974"/>
      <c r="RSB100" s="974"/>
      <c r="RSC100" s="974"/>
      <c r="RSD100" s="974"/>
      <c r="RSE100" s="974"/>
      <c r="RSF100" s="974"/>
      <c r="RSG100" s="974"/>
      <c r="RSH100" s="974"/>
      <c r="RSI100" s="974"/>
      <c r="RSJ100" s="974"/>
      <c r="RSK100" s="974"/>
      <c r="RSL100" s="974"/>
      <c r="RSM100" s="974"/>
      <c r="RSN100" s="974"/>
      <c r="RSO100" s="974"/>
      <c r="RSP100" s="974"/>
      <c r="RSQ100" s="974"/>
      <c r="RSR100" s="974"/>
      <c r="RSS100" s="974"/>
      <c r="RST100" s="974"/>
      <c r="RSU100" s="974"/>
      <c r="RSV100" s="974"/>
      <c r="RSW100" s="974"/>
      <c r="RSX100" s="974"/>
      <c r="RSY100" s="974"/>
      <c r="RSZ100" s="974"/>
      <c r="RTA100" s="974"/>
      <c r="RTB100" s="974"/>
      <c r="RTC100" s="974"/>
      <c r="RTD100" s="974"/>
      <c r="RTE100" s="974"/>
      <c r="RTF100" s="974"/>
      <c r="RTG100" s="974"/>
      <c r="RTH100" s="974"/>
      <c r="RTI100" s="974"/>
      <c r="RTJ100" s="974"/>
      <c r="RTK100" s="974"/>
      <c r="RTL100" s="974"/>
      <c r="RTM100" s="974"/>
      <c r="RTN100" s="974"/>
      <c r="RTO100" s="974"/>
      <c r="RTP100" s="974"/>
      <c r="RTQ100" s="974"/>
      <c r="RTR100" s="974"/>
      <c r="RTS100" s="974"/>
      <c r="RTT100" s="974"/>
      <c r="RTU100" s="974"/>
      <c r="RTV100" s="974"/>
      <c r="RTW100" s="974"/>
      <c r="RTX100" s="974"/>
      <c r="RTY100" s="974"/>
      <c r="RTZ100" s="974"/>
      <c r="RUA100" s="974"/>
      <c r="RUB100" s="974"/>
      <c r="RUC100" s="974"/>
      <c r="RUD100" s="974"/>
      <c r="RUE100" s="974"/>
      <c r="RUF100" s="974"/>
      <c r="RUG100" s="974"/>
      <c r="RUH100" s="974"/>
      <c r="RUI100" s="974"/>
      <c r="RUJ100" s="974"/>
      <c r="RUK100" s="974"/>
      <c r="RUL100" s="974"/>
      <c r="RUM100" s="974"/>
      <c r="RUN100" s="974"/>
      <c r="RUO100" s="974"/>
      <c r="RUP100" s="974"/>
      <c r="RUQ100" s="974"/>
      <c r="RUR100" s="974"/>
      <c r="RUS100" s="974"/>
      <c r="RUT100" s="974"/>
      <c r="RUU100" s="974"/>
      <c r="RUV100" s="974"/>
      <c r="RUW100" s="974"/>
      <c r="RUX100" s="974"/>
      <c r="RUY100" s="974"/>
      <c r="RUZ100" s="974"/>
      <c r="RVA100" s="974"/>
      <c r="RVB100" s="974"/>
      <c r="RVC100" s="974"/>
      <c r="RVD100" s="974"/>
      <c r="RVE100" s="974"/>
      <c r="RVF100" s="974"/>
      <c r="RVG100" s="974"/>
      <c r="RVH100" s="974"/>
      <c r="RVI100" s="974"/>
      <c r="RVJ100" s="974"/>
      <c r="RVK100" s="974"/>
      <c r="RVL100" s="974"/>
      <c r="RVM100" s="974"/>
      <c r="RVN100" s="974"/>
      <c r="RVO100" s="974"/>
      <c r="RVP100" s="974"/>
      <c r="RVQ100" s="974"/>
      <c r="RVR100" s="974"/>
      <c r="RVS100" s="974"/>
      <c r="RVT100" s="974"/>
      <c r="RVU100" s="974"/>
      <c r="RVV100" s="974"/>
      <c r="RVW100" s="974"/>
      <c r="RVX100" s="974"/>
      <c r="RVY100" s="974"/>
      <c r="RVZ100" s="974"/>
      <c r="RWA100" s="974"/>
      <c r="RWB100" s="974"/>
      <c r="RWC100" s="974"/>
      <c r="RWD100" s="974"/>
      <c r="RWE100" s="974"/>
      <c r="RWF100" s="974"/>
      <c r="RWG100" s="974"/>
      <c r="RWH100" s="974"/>
      <c r="RWI100" s="974"/>
      <c r="RWJ100" s="974"/>
      <c r="RWK100" s="974"/>
      <c r="RWL100" s="974"/>
      <c r="RWM100" s="974"/>
      <c r="RWN100" s="974"/>
      <c r="RWO100" s="974"/>
      <c r="RWP100" s="974"/>
      <c r="RWQ100" s="974"/>
      <c r="RWR100" s="974"/>
      <c r="RWS100" s="974"/>
      <c r="RWT100" s="974"/>
      <c r="RWU100" s="974"/>
      <c r="RWV100" s="974"/>
      <c r="RWW100" s="974"/>
      <c r="RWX100" s="974"/>
      <c r="RWY100" s="974"/>
      <c r="RWZ100" s="974"/>
      <c r="RXA100" s="974"/>
      <c r="RXB100" s="974"/>
      <c r="RXC100" s="974"/>
      <c r="RXD100" s="974"/>
      <c r="RXE100" s="974"/>
      <c r="RXF100" s="974"/>
      <c r="RXG100" s="974"/>
      <c r="RXH100" s="974"/>
      <c r="RXI100" s="974"/>
      <c r="RXJ100" s="974"/>
      <c r="RXK100" s="974"/>
      <c r="RXL100" s="974"/>
      <c r="RXM100" s="974"/>
      <c r="RXN100" s="974"/>
      <c r="RXO100" s="974"/>
      <c r="RXP100" s="974"/>
      <c r="RXQ100" s="974"/>
      <c r="RXR100" s="974"/>
      <c r="RXS100" s="974"/>
      <c r="RXT100" s="974"/>
      <c r="RXU100" s="974"/>
      <c r="RXV100" s="974"/>
      <c r="RXW100" s="974"/>
      <c r="RXX100" s="974"/>
      <c r="RXY100" s="974"/>
      <c r="RXZ100" s="974"/>
      <c r="RYA100" s="974"/>
      <c r="RYB100" s="974"/>
      <c r="RYC100" s="974"/>
      <c r="RYD100" s="974"/>
      <c r="RYE100" s="974"/>
      <c r="RYF100" s="974"/>
      <c r="RYG100" s="974"/>
      <c r="RYH100" s="974"/>
      <c r="RYI100" s="974"/>
      <c r="RYJ100" s="974"/>
      <c r="RYK100" s="974"/>
      <c r="RYL100" s="974"/>
      <c r="RYM100" s="974"/>
      <c r="RYN100" s="974"/>
      <c r="RYO100" s="974"/>
      <c r="RYP100" s="974"/>
      <c r="RYQ100" s="974"/>
      <c r="RYR100" s="974"/>
      <c r="RYS100" s="974"/>
      <c r="RYT100" s="974"/>
      <c r="RYU100" s="974"/>
      <c r="RYV100" s="974"/>
      <c r="RYW100" s="974"/>
      <c r="RYX100" s="974"/>
      <c r="RYY100" s="974"/>
      <c r="RYZ100" s="974"/>
      <c r="RZA100" s="974"/>
      <c r="RZB100" s="974"/>
      <c r="RZC100" s="974"/>
      <c r="RZD100" s="974"/>
      <c r="RZE100" s="974"/>
      <c r="RZF100" s="974"/>
      <c r="RZG100" s="974"/>
      <c r="RZH100" s="974"/>
      <c r="RZI100" s="974"/>
      <c r="RZJ100" s="974"/>
      <c r="RZK100" s="974"/>
      <c r="RZL100" s="974"/>
      <c r="RZM100" s="974"/>
      <c r="RZN100" s="974"/>
      <c r="RZO100" s="974"/>
      <c r="RZP100" s="974"/>
      <c r="RZQ100" s="974"/>
      <c r="RZR100" s="974"/>
      <c r="RZS100" s="974"/>
      <c r="RZT100" s="974"/>
      <c r="RZU100" s="974"/>
      <c r="RZV100" s="974"/>
      <c r="RZW100" s="974"/>
      <c r="RZX100" s="974"/>
      <c r="RZY100" s="974"/>
      <c r="RZZ100" s="974"/>
      <c r="SAA100" s="974"/>
      <c r="SAB100" s="974"/>
      <c r="SAC100" s="974"/>
      <c r="SAD100" s="974"/>
      <c r="SAE100" s="974"/>
      <c r="SAF100" s="974"/>
      <c r="SAG100" s="974"/>
      <c r="SAH100" s="974"/>
      <c r="SAI100" s="974"/>
      <c r="SAJ100" s="974"/>
      <c r="SAK100" s="974"/>
      <c r="SAL100" s="974"/>
      <c r="SAM100" s="974"/>
      <c r="SAN100" s="974"/>
      <c r="SAO100" s="974"/>
      <c r="SAP100" s="974"/>
      <c r="SAQ100" s="974"/>
      <c r="SAR100" s="974"/>
      <c r="SAS100" s="974"/>
      <c r="SAT100" s="974"/>
      <c r="SAU100" s="974"/>
      <c r="SAV100" s="974"/>
      <c r="SAW100" s="974"/>
      <c r="SAX100" s="974"/>
      <c r="SAY100" s="974"/>
      <c r="SAZ100" s="974"/>
      <c r="SBA100" s="974"/>
      <c r="SBB100" s="974"/>
      <c r="SBC100" s="974"/>
      <c r="SBD100" s="974"/>
      <c r="SBE100" s="974"/>
      <c r="SBF100" s="974"/>
      <c r="SBG100" s="974"/>
      <c r="SBH100" s="974"/>
      <c r="SBI100" s="974"/>
      <c r="SBJ100" s="974"/>
      <c r="SBK100" s="974"/>
      <c r="SBL100" s="974"/>
      <c r="SBM100" s="974"/>
      <c r="SBN100" s="974"/>
      <c r="SBO100" s="974"/>
      <c r="SBP100" s="974"/>
      <c r="SBQ100" s="974"/>
      <c r="SBR100" s="974"/>
      <c r="SBS100" s="974"/>
      <c r="SBT100" s="974"/>
      <c r="SBU100" s="974"/>
      <c r="SBV100" s="974"/>
      <c r="SBW100" s="974"/>
      <c r="SBX100" s="974"/>
      <c r="SBY100" s="974"/>
      <c r="SBZ100" s="974"/>
      <c r="SCA100" s="974"/>
      <c r="SCB100" s="974"/>
      <c r="SCC100" s="974"/>
      <c r="SCD100" s="974"/>
      <c r="SCE100" s="974"/>
      <c r="SCF100" s="974"/>
      <c r="SCG100" s="974"/>
      <c r="SCH100" s="974"/>
      <c r="SCI100" s="974"/>
      <c r="SCJ100" s="974"/>
      <c r="SCK100" s="974"/>
      <c r="SCL100" s="974"/>
      <c r="SCM100" s="974"/>
      <c r="SCN100" s="974"/>
      <c r="SCO100" s="974"/>
      <c r="SCP100" s="974"/>
      <c r="SCQ100" s="974"/>
      <c r="SCR100" s="974"/>
      <c r="SCS100" s="974"/>
      <c r="SCT100" s="974"/>
      <c r="SCU100" s="974"/>
      <c r="SCV100" s="974"/>
      <c r="SCW100" s="974"/>
      <c r="SCX100" s="974"/>
      <c r="SCY100" s="974"/>
      <c r="SCZ100" s="974"/>
      <c r="SDA100" s="974"/>
      <c r="SDB100" s="974"/>
      <c r="SDC100" s="974"/>
      <c r="SDD100" s="974"/>
      <c r="SDE100" s="974"/>
      <c r="SDF100" s="974"/>
      <c r="SDG100" s="974"/>
      <c r="SDH100" s="974"/>
      <c r="SDI100" s="974"/>
      <c r="SDJ100" s="974"/>
      <c r="SDK100" s="974"/>
      <c r="SDL100" s="974"/>
      <c r="SDM100" s="974"/>
      <c r="SDN100" s="974"/>
      <c r="SDO100" s="974"/>
      <c r="SDP100" s="974"/>
      <c r="SDQ100" s="974"/>
      <c r="SDR100" s="974"/>
      <c r="SDS100" s="974"/>
      <c r="SDT100" s="974"/>
      <c r="SDU100" s="974"/>
      <c r="SDV100" s="974"/>
      <c r="SDW100" s="974"/>
      <c r="SDX100" s="974"/>
      <c r="SDY100" s="974"/>
      <c r="SDZ100" s="974"/>
      <c r="SEA100" s="974"/>
      <c r="SEB100" s="974"/>
      <c r="SEC100" s="974"/>
      <c r="SED100" s="974"/>
      <c r="SEE100" s="974"/>
      <c r="SEF100" s="974"/>
      <c r="SEG100" s="974"/>
      <c r="SEH100" s="974"/>
      <c r="SEI100" s="974"/>
      <c r="SEJ100" s="974"/>
      <c r="SEK100" s="974"/>
      <c r="SEL100" s="974"/>
      <c r="SEM100" s="974"/>
      <c r="SEN100" s="974"/>
      <c r="SEO100" s="974"/>
      <c r="SEP100" s="974"/>
      <c r="SEQ100" s="974"/>
      <c r="SER100" s="974"/>
      <c r="SES100" s="974"/>
      <c r="SET100" s="974"/>
      <c r="SEU100" s="974"/>
      <c r="SEV100" s="974"/>
      <c r="SEW100" s="974"/>
      <c r="SEX100" s="974"/>
      <c r="SEY100" s="974"/>
      <c r="SEZ100" s="974"/>
      <c r="SFA100" s="974"/>
      <c r="SFB100" s="974"/>
      <c r="SFC100" s="974"/>
      <c r="SFD100" s="974"/>
      <c r="SFE100" s="974"/>
      <c r="SFF100" s="974"/>
      <c r="SFG100" s="974"/>
      <c r="SFH100" s="974"/>
      <c r="SFI100" s="974"/>
      <c r="SFJ100" s="974"/>
      <c r="SFK100" s="974"/>
      <c r="SFL100" s="974"/>
      <c r="SFM100" s="974"/>
      <c r="SFN100" s="974"/>
      <c r="SFO100" s="974"/>
      <c r="SFP100" s="974"/>
      <c r="SFQ100" s="974"/>
      <c r="SFR100" s="974"/>
      <c r="SFS100" s="974"/>
      <c r="SFT100" s="974"/>
      <c r="SFU100" s="974"/>
      <c r="SFV100" s="974"/>
      <c r="SFW100" s="974"/>
      <c r="SFX100" s="974"/>
      <c r="SFY100" s="974"/>
      <c r="SFZ100" s="974"/>
      <c r="SGA100" s="974"/>
      <c r="SGB100" s="974"/>
      <c r="SGC100" s="974"/>
      <c r="SGD100" s="974"/>
      <c r="SGE100" s="974"/>
      <c r="SGF100" s="974"/>
      <c r="SGG100" s="974"/>
      <c r="SGH100" s="974"/>
      <c r="SGI100" s="974"/>
      <c r="SGJ100" s="974"/>
      <c r="SGK100" s="974"/>
      <c r="SGL100" s="974"/>
      <c r="SGM100" s="974"/>
      <c r="SGN100" s="974"/>
      <c r="SGO100" s="974"/>
      <c r="SGP100" s="974"/>
      <c r="SGQ100" s="974"/>
      <c r="SGR100" s="974"/>
      <c r="SGS100" s="974"/>
      <c r="SGT100" s="974"/>
      <c r="SGU100" s="974"/>
      <c r="SGV100" s="974"/>
      <c r="SGW100" s="974"/>
      <c r="SGX100" s="974"/>
      <c r="SGY100" s="974"/>
      <c r="SGZ100" s="974"/>
      <c r="SHA100" s="974"/>
      <c r="SHB100" s="974"/>
      <c r="SHC100" s="974"/>
      <c r="SHD100" s="974"/>
      <c r="SHE100" s="974"/>
      <c r="SHF100" s="974"/>
      <c r="SHG100" s="974"/>
      <c r="SHH100" s="974"/>
      <c r="SHI100" s="974"/>
      <c r="SHJ100" s="974"/>
      <c r="SHK100" s="974"/>
      <c r="SHL100" s="974"/>
      <c r="SHM100" s="974"/>
      <c r="SHN100" s="974"/>
      <c r="SHO100" s="974"/>
      <c r="SHP100" s="974"/>
      <c r="SHQ100" s="974"/>
      <c r="SHR100" s="974"/>
      <c r="SHS100" s="974"/>
      <c r="SHT100" s="974"/>
      <c r="SHU100" s="974"/>
      <c r="SHV100" s="974"/>
      <c r="SHW100" s="974"/>
      <c r="SHX100" s="974"/>
      <c r="SHY100" s="974"/>
      <c r="SHZ100" s="974"/>
      <c r="SIA100" s="974"/>
      <c r="SIB100" s="974"/>
      <c r="SIC100" s="974"/>
      <c r="SID100" s="974"/>
      <c r="SIE100" s="974"/>
      <c r="SIF100" s="974"/>
      <c r="SIG100" s="974"/>
      <c r="SIH100" s="974"/>
      <c r="SII100" s="974"/>
      <c r="SIJ100" s="974"/>
      <c r="SIK100" s="974"/>
      <c r="SIL100" s="974"/>
      <c r="SIM100" s="974"/>
      <c r="SIN100" s="974"/>
      <c r="SIO100" s="974"/>
      <c r="SIP100" s="974"/>
      <c r="SIQ100" s="974"/>
      <c r="SIR100" s="974"/>
      <c r="SIS100" s="974"/>
      <c r="SIT100" s="974"/>
      <c r="SIU100" s="974"/>
      <c r="SIV100" s="974"/>
      <c r="SIW100" s="974"/>
      <c r="SIX100" s="974"/>
      <c r="SIY100" s="974"/>
      <c r="SIZ100" s="974"/>
      <c r="SJA100" s="974"/>
      <c r="SJB100" s="974"/>
      <c r="SJC100" s="974"/>
      <c r="SJD100" s="974"/>
      <c r="SJE100" s="974"/>
      <c r="SJF100" s="974"/>
      <c r="SJG100" s="974"/>
      <c r="SJH100" s="974"/>
      <c r="SJI100" s="974"/>
      <c r="SJJ100" s="974"/>
      <c r="SJK100" s="974"/>
      <c r="SJL100" s="974"/>
      <c r="SJM100" s="974"/>
      <c r="SJN100" s="974"/>
      <c r="SJO100" s="974"/>
      <c r="SJP100" s="974"/>
      <c r="SJQ100" s="974"/>
      <c r="SJR100" s="974"/>
      <c r="SJS100" s="974"/>
      <c r="SJT100" s="974"/>
      <c r="SJU100" s="974"/>
      <c r="SJV100" s="974"/>
      <c r="SJW100" s="974"/>
      <c r="SJX100" s="974"/>
      <c r="SJY100" s="974"/>
      <c r="SJZ100" s="974"/>
      <c r="SKA100" s="974"/>
      <c r="SKB100" s="974"/>
      <c r="SKC100" s="974"/>
      <c r="SKD100" s="974"/>
      <c r="SKE100" s="974"/>
      <c r="SKF100" s="974"/>
      <c r="SKG100" s="974"/>
      <c r="SKH100" s="974"/>
      <c r="SKI100" s="974"/>
      <c r="SKJ100" s="974"/>
      <c r="SKK100" s="974"/>
      <c r="SKL100" s="974"/>
      <c r="SKM100" s="974"/>
      <c r="SKN100" s="974"/>
      <c r="SKO100" s="974"/>
      <c r="SKP100" s="974"/>
      <c r="SKQ100" s="974"/>
      <c r="SKR100" s="974"/>
      <c r="SKS100" s="974"/>
      <c r="SKT100" s="974"/>
      <c r="SKU100" s="974"/>
      <c r="SKV100" s="974"/>
      <c r="SKW100" s="974"/>
      <c r="SKX100" s="974"/>
      <c r="SKY100" s="974"/>
      <c r="SKZ100" s="974"/>
      <c r="SLA100" s="974"/>
      <c r="SLB100" s="974"/>
      <c r="SLC100" s="974"/>
      <c r="SLD100" s="974"/>
      <c r="SLE100" s="974"/>
      <c r="SLF100" s="974"/>
      <c r="SLG100" s="974"/>
      <c r="SLH100" s="974"/>
      <c r="SLI100" s="974"/>
      <c r="SLJ100" s="974"/>
      <c r="SLK100" s="974"/>
      <c r="SLL100" s="974"/>
      <c r="SLM100" s="974"/>
      <c r="SLN100" s="974"/>
      <c r="SLO100" s="974"/>
      <c r="SLP100" s="974"/>
      <c r="SLQ100" s="974"/>
      <c r="SLR100" s="974"/>
      <c r="SLS100" s="974"/>
      <c r="SLT100" s="974"/>
      <c r="SLU100" s="974"/>
      <c r="SLV100" s="974"/>
      <c r="SLW100" s="974"/>
      <c r="SLX100" s="974"/>
      <c r="SLY100" s="974"/>
      <c r="SLZ100" s="974"/>
      <c r="SMA100" s="974"/>
      <c r="SMB100" s="974"/>
      <c r="SMC100" s="974"/>
      <c r="SMD100" s="974"/>
      <c r="SME100" s="974"/>
      <c r="SMF100" s="974"/>
      <c r="SMG100" s="974"/>
      <c r="SMH100" s="974"/>
      <c r="SMI100" s="974"/>
      <c r="SMJ100" s="974"/>
      <c r="SMK100" s="974"/>
      <c r="SML100" s="974"/>
      <c r="SMM100" s="974"/>
      <c r="SMN100" s="974"/>
      <c r="SMO100" s="974"/>
      <c r="SMP100" s="974"/>
      <c r="SMQ100" s="974"/>
      <c r="SMR100" s="974"/>
      <c r="SMS100" s="974"/>
      <c r="SMT100" s="974"/>
      <c r="SMU100" s="974"/>
      <c r="SMV100" s="974"/>
      <c r="SMW100" s="974"/>
      <c r="SMX100" s="974"/>
      <c r="SMY100" s="974"/>
      <c r="SMZ100" s="974"/>
      <c r="SNA100" s="974"/>
      <c r="SNB100" s="974"/>
      <c r="SNC100" s="974"/>
      <c r="SND100" s="974"/>
      <c r="SNE100" s="974"/>
      <c r="SNF100" s="974"/>
      <c r="SNG100" s="974"/>
      <c r="SNH100" s="974"/>
      <c r="SNI100" s="974"/>
      <c r="SNJ100" s="974"/>
      <c r="SNK100" s="974"/>
      <c r="SNL100" s="974"/>
      <c r="SNM100" s="974"/>
      <c r="SNN100" s="974"/>
      <c r="SNO100" s="974"/>
      <c r="SNP100" s="974"/>
      <c r="SNQ100" s="974"/>
      <c r="SNR100" s="974"/>
      <c r="SNS100" s="974"/>
      <c r="SNT100" s="974"/>
      <c r="SNU100" s="974"/>
      <c r="SNV100" s="974"/>
      <c r="SNW100" s="974"/>
      <c r="SNX100" s="974"/>
      <c r="SNY100" s="974"/>
      <c r="SNZ100" s="974"/>
      <c r="SOA100" s="974"/>
      <c r="SOB100" s="974"/>
      <c r="SOC100" s="974"/>
      <c r="SOD100" s="974"/>
      <c r="SOE100" s="974"/>
      <c r="SOF100" s="974"/>
      <c r="SOG100" s="974"/>
      <c r="SOH100" s="974"/>
      <c r="SOI100" s="974"/>
      <c r="SOJ100" s="974"/>
      <c r="SOK100" s="974"/>
      <c r="SOL100" s="974"/>
      <c r="SOM100" s="974"/>
      <c r="SON100" s="974"/>
      <c r="SOO100" s="974"/>
      <c r="SOP100" s="974"/>
      <c r="SOQ100" s="974"/>
      <c r="SOR100" s="974"/>
      <c r="SOS100" s="974"/>
      <c r="SOT100" s="974"/>
      <c r="SOU100" s="974"/>
      <c r="SOV100" s="974"/>
      <c r="SOW100" s="974"/>
      <c r="SOX100" s="974"/>
      <c r="SOY100" s="974"/>
      <c r="SOZ100" s="974"/>
      <c r="SPA100" s="974"/>
      <c r="SPB100" s="974"/>
      <c r="SPC100" s="974"/>
      <c r="SPD100" s="974"/>
      <c r="SPE100" s="974"/>
      <c r="SPF100" s="974"/>
      <c r="SPG100" s="974"/>
      <c r="SPH100" s="974"/>
      <c r="SPI100" s="974"/>
      <c r="SPJ100" s="974"/>
      <c r="SPK100" s="974"/>
      <c r="SPL100" s="974"/>
      <c r="SPM100" s="974"/>
      <c r="SPN100" s="974"/>
      <c r="SPO100" s="974"/>
      <c r="SPP100" s="974"/>
      <c r="SPQ100" s="974"/>
      <c r="SPR100" s="974"/>
      <c r="SPS100" s="974"/>
      <c r="SPT100" s="974"/>
      <c r="SPU100" s="974"/>
      <c r="SPV100" s="974"/>
      <c r="SPW100" s="974"/>
      <c r="SPX100" s="974"/>
      <c r="SPY100" s="974"/>
      <c r="SPZ100" s="974"/>
      <c r="SQA100" s="974"/>
      <c r="SQB100" s="974"/>
      <c r="SQC100" s="974"/>
      <c r="SQD100" s="974"/>
      <c r="SQE100" s="974"/>
      <c r="SQF100" s="974"/>
      <c r="SQG100" s="974"/>
      <c r="SQH100" s="974"/>
      <c r="SQI100" s="974"/>
      <c r="SQJ100" s="974"/>
      <c r="SQK100" s="974"/>
      <c r="SQL100" s="974"/>
      <c r="SQM100" s="974"/>
      <c r="SQN100" s="974"/>
      <c r="SQO100" s="974"/>
      <c r="SQP100" s="974"/>
      <c r="SQQ100" s="974"/>
      <c r="SQR100" s="974"/>
      <c r="SQS100" s="974"/>
      <c r="SQT100" s="974"/>
      <c r="SQU100" s="974"/>
      <c r="SQV100" s="974"/>
      <c r="SQW100" s="974"/>
      <c r="SQX100" s="974"/>
      <c r="SQY100" s="974"/>
      <c r="SQZ100" s="974"/>
      <c r="SRA100" s="974"/>
      <c r="SRB100" s="974"/>
      <c r="SRC100" s="974"/>
      <c r="SRD100" s="974"/>
      <c r="SRE100" s="974"/>
      <c r="SRF100" s="974"/>
      <c r="SRG100" s="974"/>
      <c r="SRH100" s="974"/>
      <c r="SRI100" s="974"/>
      <c r="SRJ100" s="974"/>
      <c r="SRK100" s="974"/>
      <c r="SRL100" s="974"/>
      <c r="SRM100" s="974"/>
      <c r="SRN100" s="974"/>
      <c r="SRO100" s="974"/>
      <c r="SRP100" s="974"/>
      <c r="SRQ100" s="974"/>
      <c r="SRR100" s="974"/>
      <c r="SRS100" s="974"/>
      <c r="SRT100" s="974"/>
      <c r="SRU100" s="974"/>
      <c r="SRV100" s="974"/>
      <c r="SRW100" s="974"/>
      <c r="SRX100" s="974"/>
      <c r="SRY100" s="974"/>
      <c r="SRZ100" s="974"/>
      <c r="SSA100" s="974"/>
      <c r="SSB100" s="974"/>
      <c r="SSC100" s="974"/>
      <c r="SSD100" s="974"/>
      <c r="SSE100" s="974"/>
      <c r="SSF100" s="974"/>
      <c r="SSG100" s="974"/>
      <c r="SSH100" s="974"/>
      <c r="SSI100" s="974"/>
      <c r="SSJ100" s="974"/>
      <c r="SSK100" s="974"/>
      <c r="SSL100" s="974"/>
      <c r="SSM100" s="974"/>
      <c r="SSN100" s="974"/>
      <c r="SSO100" s="974"/>
      <c r="SSP100" s="974"/>
      <c r="SSQ100" s="974"/>
      <c r="SSR100" s="974"/>
      <c r="SSS100" s="974"/>
      <c r="SST100" s="974"/>
      <c r="SSU100" s="974"/>
      <c r="SSV100" s="974"/>
      <c r="SSW100" s="974"/>
      <c r="SSX100" s="974"/>
      <c r="SSY100" s="974"/>
      <c r="SSZ100" s="974"/>
      <c r="STA100" s="974"/>
      <c r="STB100" s="974"/>
      <c r="STC100" s="974"/>
      <c r="STD100" s="974"/>
      <c r="STE100" s="974"/>
      <c r="STF100" s="974"/>
      <c r="STG100" s="974"/>
      <c r="STH100" s="974"/>
      <c r="STI100" s="974"/>
      <c r="STJ100" s="974"/>
      <c r="STK100" s="974"/>
      <c r="STL100" s="974"/>
      <c r="STM100" s="974"/>
      <c r="STN100" s="974"/>
      <c r="STO100" s="974"/>
      <c r="STP100" s="974"/>
      <c r="STQ100" s="974"/>
      <c r="STR100" s="974"/>
      <c r="STS100" s="974"/>
      <c r="STT100" s="974"/>
      <c r="STU100" s="974"/>
      <c r="STV100" s="974"/>
      <c r="STW100" s="974"/>
      <c r="STX100" s="974"/>
      <c r="STY100" s="974"/>
      <c r="STZ100" s="974"/>
      <c r="SUA100" s="974"/>
      <c r="SUB100" s="974"/>
      <c r="SUC100" s="974"/>
      <c r="SUD100" s="974"/>
      <c r="SUE100" s="974"/>
      <c r="SUF100" s="974"/>
      <c r="SUG100" s="974"/>
      <c r="SUH100" s="974"/>
      <c r="SUI100" s="974"/>
      <c r="SUJ100" s="974"/>
      <c r="SUK100" s="974"/>
      <c r="SUL100" s="974"/>
      <c r="SUM100" s="974"/>
      <c r="SUN100" s="974"/>
      <c r="SUO100" s="974"/>
      <c r="SUP100" s="974"/>
      <c r="SUQ100" s="974"/>
      <c r="SUR100" s="974"/>
      <c r="SUS100" s="974"/>
      <c r="SUT100" s="974"/>
      <c r="SUU100" s="974"/>
      <c r="SUV100" s="974"/>
      <c r="SUW100" s="974"/>
      <c r="SUX100" s="974"/>
      <c r="SUY100" s="974"/>
      <c r="SUZ100" s="974"/>
      <c r="SVA100" s="974"/>
      <c r="SVB100" s="974"/>
      <c r="SVC100" s="974"/>
      <c r="SVD100" s="974"/>
      <c r="SVE100" s="974"/>
      <c r="SVF100" s="974"/>
      <c r="SVG100" s="974"/>
      <c r="SVH100" s="974"/>
      <c r="SVI100" s="974"/>
      <c r="SVJ100" s="974"/>
      <c r="SVK100" s="974"/>
      <c r="SVL100" s="974"/>
      <c r="SVM100" s="974"/>
      <c r="SVN100" s="974"/>
      <c r="SVO100" s="974"/>
      <c r="SVP100" s="974"/>
      <c r="SVQ100" s="974"/>
      <c r="SVR100" s="974"/>
      <c r="SVS100" s="974"/>
      <c r="SVT100" s="974"/>
      <c r="SVU100" s="974"/>
      <c r="SVV100" s="974"/>
      <c r="SVW100" s="974"/>
      <c r="SVX100" s="974"/>
      <c r="SVY100" s="974"/>
      <c r="SVZ100" s="974"/>
      <c r="SWA100" s="974"/>
      <c r="SWB100" s="974"/>
      <c r="SWC100" s="974"/>
      <c r="SWD100" s="974"/>
      <c r="SWE100" s="974"/>
      <c r="SWF100" s="974"/>
      <c r="SWG100" s="974"/>
      <c r="SWH100" s="974"/>
      <c r="SWI100" s="974"/>
      <c r="SWJ100" s="974"/>
      <c r="SWK100" s="974"/>
      <c r="SWL100" s="974"/>
      <c r="SWM100" s="974"/>
      <c r="SWN100" s="974"/>
      <c r="SWO100" s="974"/>
      <c r="SWP100" s="974"/>
      <c r="SWQ100" s="974"/>
      <c r="SWR100" s="974"/>
      <c r="SWS100" s="974"/>
      <c r="SWT100" s="974"/>
      <c r="SWU100" s="974"/>
      <c r="SWV100" s="974"/>
      <c r="SWW100" s="974"/>
      <c r="SWX100" s="974"/>
      <c r="SWY100" s="974"/>
      <c r="SWZ100" s="974"/>
      <c r="SXA100" s="974"/>
      <c r="SXB100" s="974"/>
      <c r="SXC100" s="974"/>
      <c r="SXD100" s="974"/>
      <c r="SXE100" s="974"/>
      <c r="SXF100" s="974"/>
      <c r="SXG100" s="974"/>
      <c r="SXH100" s="974"/>
      <c r="SXI100" s="974"/>
      <c r="SXJ100" s="974"/>
      <c r="SXK100" s="974"/>
      <c r="SXL100" s="974"/>
      <c r="SXM100" s="974"/>
      <c r="SXN100" s="974"/>
      <c r="SXO100" s="974"/>
      <c r="SXP100" s="974"/>
      <c r="SXQ100" s="974"/>
      <c r="SXR100" s="974"/>
      <c r="SXS100" s="974"/>
      <c r="SXT100" s="974"/>
      <c r="SXU100" s="974"/>
      <c r="SXV100" s="974"/>
      <c r="SXW100" s="974"/>
      <c r="SXX100" s="974"/>
      <c r="SXY100" s="974"/>
      <c r="SXZ100" s="974"/>
      <c r="SYA100" s="974"/>
      <c r="SYB100" s="974"/>
      <c r="SYC100" s="974"/>
      <c r="SYD100" s="974"/>
      <c r="SYE100" s="974"/>
      <c r="SYF100" s="974"/>
      <c r="SYG100" s="974"/>
      <c r="SYH100" s="974"/>
      <c r="SYI100" s="974"/>
      <c r="SYJ100" s="974"/>
      <c r="SYK100" s="974"/>
      <c r="SYL100" s="974"/>
      <c r="SYM100" s="974"/>
      <c r="SYN100" s="974"/>
      <c r="SYO100" s="974"/>
      <c r="SYP100" s="974"/>
      <c r="SYQ100" s="974"/>
      <c r="SYR100" s="974"/>
      <c r="SYS100" s="974"/>
      <c r="SYT100" s="974"/>
      <c r="SYU100" s="974"/>
      <c r="SYV100" s="974"/>
      <c r="SYW100" s="974"/>
      <c r="SYX100" s="974"/>
      <c r="SYY100" s="974"/>
      <c r="SYZ100" s="974"/>
      <c r="SZA100" s="974"/>
      <c r="SZB100" s="974"/>
      <c r="SZC100" s="974"/>
      <c r="SZD100" s="974"/>
      <c r="SZE100" s="974"/>
      <c r="SZF100" s="974"/>
      <c r="SZG100" s="974"/>
      <c r="SZH100" s="974"/>
      <c r="SZI100" s="974"/>
      <c r="SZJ100" s="974"/>
      <c r="SZK100" s="974"/>
      <c r="SZL100" s="974"/>
      <c r="SZM100" s="974"/>
      <c r="SZN100" s="974"/>
      <c r="SZO100" s="974"/>
      <c r="SZP100" s="974"/>
      <c r="SZQ100" s="974"/>
      <c r="SZR100" s="974"/>
      <c r="SZS100" s="974"/>
      <c r="SZT100" s="974"/>
      <c r="SZU100" s="974"/>
      <c r="SZV100" s="974"/>
      <c r="SZW100" s="974"/>
      <c r="SZX100" s="974"/>
      <c r="SZY100" s="974"/>
      <c r="SZZ100" s="974"/>
      <c r="TAA100" s="974"/>
      <c r="TAB100" s="974"/>
      <c r="TAC100" s="974"/>
      <c r="TAD100" s="974"/>
      <c r="TAE100" s="974"/>
      <c r="TAF100" s="974"/>
      <c r="TAG100" s="974"/>
      <c r="TAH100" s="974"/>
      <c r="TAI100" s="974"/>
      <c r="TAJ100" s="974"/>
      <c r="TAK100" s="974"/>
      <c r="TAL100" s="974"/>
      <c r="TAM100" s="974"/>
      <c r="TAN100" s="974"/>
      <c r="TAO100" s="974"/>
      <c r="TAP100" s="974"/>
      <c r="TAQ100" s="974"/>
      <c r="TAR100" s="974"/>
      <c r="TAS100" s="974"/>
      <c r="TAT100" s="974"/>
      <c r="TAU100" s="974"/>
      <c r="TAV100" s="974"/>
      <c r="TAW100" s="974"/>
      <c r="TAX100" s="974"/>
      <c r="TAY100" s="974"/>
      <c r="TAZ100" s="974"/>
      <c r="TBA100" s="974"/>
      <c r="TBB100" s="974"/>
      <c r="TBC100" s="974"/>
      <c r="TBD100" s="974"/>
      <c r="TBE100" s="974"/>
      <c r="TBF100" s="974"/>
      <c r="TBG100" s="974"/>
      <c r="TBH100" s="974"/>
      <c r="TBI100" s="974"/>
      <c r="TBJ100" s="974"/>
      <c r="TBK100" s="974"/>
      <c r="TBL100" s="974"/>
      <c r="TBM100" s="974"/>
      <c r="TBN100" s="974"/>
      <c r="TBO100" s="974"/>
      <c r="TBP100" s="974"/>
      <c r="TBQ100" s="974"/>
      <c r="TBR100" s="974"/>
      <c r="TBS100" s="974"/>
      <c r="TBT100" s="974"/>
      <c r="TBU100" s="974"/>
      <c r="TBV100" s="974"/>
      <c r="TBW100" s="974"/>
      <c r="TBX100" s="974"/>
      <c r="TBY100" s="974"/>
      <c r="TBZ100" s="974"/>
      <c r="TCA100" s="974"/>
      <c r="TCB100" s="974"/>
      <c r="TCC100" s="974"/>
      <c r="TCD100" s="974"/>
      <c r="TCE100" s="974"/>
      <c r="TCF100" s="974"/>
      <c r="TCG100" s="974"/>
      <c r="TCH100" s="974"/>
      <c r="TCI100" s="974"/>
      <c r="TCJ100" s="974"/>
      <c r="TCK100" s="974"/>
      <c r="TCL100" s="974"/>
      <c r="TCM100" s="974"/>
      <c r="TCN100" s="974"/>
      <c r="TCO100" s="974"/>
      <c r="TCP100" s="974"/>
      <c r="TCQ100" s="974"/>
      <c r="TCR100" s="974"/>
      <c r="TCS100" s="974"/>
      <c r="TCT100" s="974"/>
      <c r="TCU100" s="974"/>
      <c r="TCV100" s="974"/>
      <c r="TCW100" s="974"/>
      <c r="TCX100" s="974"/>
      <c r="TCY100" s="974"/>
      <c r="TCZ100" s="974"/>
      <c r="TDA100" s="974"/>
      <c r="TDB100" s="974"/>
      <c r="TDC100" s="974"/>
      <c r="TDD100" s="974"/>
      <c r="TDE100" s="974"/>
      <c r="TDF100" s="974"/>
      <c r="TDG100" s="974"/>
      <c r="TDH100" s="974"/>
      <c r="TDI100" s="974"/>
      <c r="TDJ100" s="974"/>
      <c r="TDK100" s="974"/>
      <c r="TDL100" s="974"/>
      <c r="TDM100" s="974"/>
      <c r="TDN100" s="974"/>
      <c r="TDO100" s="974"/>
      <c r="TDP100" s="974"/>
      <c r="TDQ100" s="974"/>
      <c r="TDR100" s="974"/>
      <c r="TDS100" s="974"/>
      <c r="TDT100" s="974"/>
      <c r="TDU100" s="974"/>
      <c r="TDV100" s="974"/>
      <c r="TDW100" s="974"/>
      <c r="TDX100" s="974"/>
      <c r="TDY100" s="974"/>
      <c r="TDZ100" s="974"/>
      <c r="TEA100" s="974"/>
      <c r="TEB100" s="974"/>
      <c r="TEC100" s="974"/>
      <c r="TED100" s="974"/>
      <c r="TEE100" s="974"/>
      <c r="TEF100" s="974"/>
      <c r="TEG100" s="974"/>
      <c r="TEH100" s="974"/>
      <c r="TEI100" s="974"/>
      <c r="TEJ100" s="974"/>
      <c r="TEK100" s="974"/>
      <c r="TEL100" s="974"/>
      <c r="TEM100" s="974"/>
      <c r="TEN100" s="974"/>
      <c r="TEO100" s="974"/>
      <c r="TEP100" s="974"/>
      <c r="TEQ100" s="974"/>
      <c r="TER100" s="974"/>
      <c r="TES100" s="974"/>
      <c r="TET100" s="974"/>
      <c r="TEU100" s="974"/>
      <c r="TEV100" s="974"/>
      <c r="TEW100" s="974"/>
      <c r="TEX100" s="974"/>
      <c r="TEY100" s="974"/>
      <c r="TEZ100" s="974"/>
      <c r="TFA100" s="974"/>
      <c r="TFB100" s="974"/>
      <c r="TFC100" s="974"/>
      <c r="TFD100" s="974"/>
      <c r="TFE100" s="974"/>
      <c r="TFF100" s="974"/>
      <c r="TFG100" s="974"/>
      <c r="TFH100" s="974"/>
      <c r="TFI100" s="974"/>
      <c r="TFJ100" s="974"/>
      <c r="TFK100" s="974"/>
      <c r="TFL100" s="974"/>
      <c r="TFM100" s="974"/>
      <c r="TFN100" s="974"/>
      <c r="TFO100" s="974"/>
      <c r="TFP100" s="974"/>
      <c r="TFQ100" s="974"/>
      <c r="TFR100" s="974"/>
      <c r="TFS100" s="974"/>
      <c r="TFT100" s="974"/>
      <c r="TFU100" s="974"/>
      <c r="TFV100" s="974"/>
      <c r="TFW100" s="974"/>
      <c r="TFX100" s="974"/>
      <c r="TFY100" s="974"/>
      <c r="TFZ100" s="974"/>
      <c r="TGA100" s="974"/>
      <c r="TGB100" s="974"/>
      <c r="TGC100" s="974"/>
      <c r="TGD100" s="974"/>
      <c r="TGE100" s="974"/>
      <c r="TGF100" s="974"/>
      <c r="TGG100" s="974"/>
      <c r="TGH100" s="974"/>
      <c r="TGI100" s="974"/>
      <c r="TGJ100" s="974"/>
      <c r="TGK100" s="974"/>
      <c r="TGL100" s="974"/>
      <c r="TGM100" s="974"/>
      <c r="TGN100" s="974"/>
      <c r="TGO100" s="974"/>
      <c r="TGP100" s="974"/>
      <c r="TGQ100" s="974"/>
      <c r="TGR100" s="974"/>
      <c r="TGS100" s="974"/>
      <c r="TGT100" s="974"/>
      <c r="TGU100" s="974"/>
      <c r="TGV100" s="974"/>
      <c r="TGW100" s="974"/>
      <c r="TGX100" s="974"/>
      <c r="TGY100" s="974"/>
      <c r="TGZ100" s="974"/>
      <c r="THA100" s="974"/>
      <c r="THB100" s="974"/>
      <c r="THC100" s="974"/>
      <c r="THD100" s="974"/>
      <c r="THE100" s="974"/>
      <c r="THF100" s="974"/>
      <c r="THG100" s="974"/>
      <c r="THH100" s="974"/>
      <c r="THI100" s="974"/>
      <c r="THJ100" s="974"/>
      <c r="THK100" s="974"/>
      <c r="THL100" s="974"/>
      <c r="THM100" s="974"/>
      <c r="THN100" s="974"/>
      <c r="THO100" s="974"/>
      <c r="THP100" s="974"/>
      <c r="THQ100" s="974"/>
      <c r="THR100" s="974"/>
      <c r="THS100" s="974"/>
      <c r="THT100" s="974"/>
      <c r="THU100" s="974"/>
      <c r="THV100" s="974"/>
      <c r="THW100" s="974"/>
      <c r="THX100" s="974"/>
      <c r="THY100" s="974"/>
      <c r="THZ100" s="974"/>
      <c r="TIA100" s="974"/>
      <c r="TIB100" s="974"/>
      <c r="TIC100" s="974"/>
      <c r="TID100" s="974"/>
      <c r="TIE100" s="974"/>
      <c r="TIF100" s="974"/>
      <c r="TIG100" s="974"/>
      <c r="TIH100" s="974"/>
      <c r="TII100" s="974"/>
      <c r="TIJ100" s="974"/>
      <c r="TIK100" s="974"/>
      <c r="TIL100" s="974"/>
      <c r="TIM100" s="974"/>
      <c r="TIN100" s="974"/>
      <c r="TIO100" s="974"/>
      <c r="TIP100" s="974"/>
      <c r="TIQ100" s="974"/>
      <c r="TIR100" s="974"/>
      <c r="TIS100" s="974"/>
      <c r="TIT100" s="974"/>
      <c r="TIU100" s="974"/>
      <c r="TIV100" s="974"/>
      <c r="TIW100" s="974"/>
      <c r="TIX100" s="974"/>
      <c r="TIY100" s="974"/>
      <c r="TIZ100" s="974"/>
      <c r="TJA100" s="974"/>
      <c r="TJB100" s="974"/>
      <c r="TJC100" s="974"/>
      <c r="TJD100" s="974"/>
      <c r="TJE100" s="974"/>
      <c r="TJF100" s="974"/>
      <c r="TJG100" s="974"/>
      <c r="TJH100" s="974"/>
      <c r="TJI100" s="974"/>
      <c r="TJJ100" s="974"/>
      <c r="TJK100" s="974"/>
      <c r="TJL100" s="974"/>
      <c r="TJM100" s="974"/>
      <c r="TJN100" s="974"/>
      <c r="TJO100" s="974"/>
      <c r="TJP100" s="974"/>
      <c r="TJQ100" s="974"/>
      <c r="TJR100" s="974"/>
      <c r="TJS100" s="974"/>
      <c r="TJT100" s="974"/>
      <c r="TJU100" s="974"/>
      <c r="TJV100" s="974"/>
      <c r="TJW100" s="974"/>
      <c r="TJX100" s="974"/>
      <c r="TJY100" s="974"/>
      <c r="TJZ100" s="974"/>
      <c r="TKA100" s="974"/>
      <c r="TKB100" s="974"/>
      <c r="TKC100" s="974"/>
      <c r="TKD100" s="974"/>
      <c r="TKE100" s="974"/>
      <c r="TKF100" s="974"/>
      <c r="TKG100" s="974"/>
      <c r="TKH100" s="974"/>
      <c r="TKI100" s="974"/>
      <c r="TKJ100" s="974"/>
      <c r="TKK100" s="974"/>
      <c r="TKL100" s="974"/>
      <c r="TKM100" s="974"/>
      <c r="TKN100" s="974"/>
      <c r="TKO100" s="974"/>
      <c r="TKP100" s="974"/>
      <c r="TKQ100" s="974"/>
      <c r="TKR100" s="974"/>
      <c r="TKS100" s="974"/>
      <c r="TKT100" s="974"/>
      <c r="TKU100" s="974"/>
      <c r="TKV100" s="974"/>
      <c r="TKW100" s="974"/>
      <c r="TKX100" s="974"/>
      <c r="TKY100" s="974"/>
      <c r="TKZ100" s="974"/>
      <c r="TLA100" s="974"/>
      <c r="TLB100" s="974"/>
      <c r="TLC100" s="974"/>
      <c r="TLD100" s="974"/>
      <c r="TLE100" s="974"/>
      <c r="TLF100" s="974"/>
      <c r="TLG100" s="974"/>
      <c r="TLH100" s="974"/>
      <c r="TLI100" s="974"/>
      <c r="TLJ100" s="974"/>
      <c r="TLK100" s="974"/>
      <c r="TLL100" s="974"/>
      <c r="TLM100" s="974"/>
      <c r="TLN100" s="974"/>
      <c r="TLO100" s="974"/>
      <c r="TLP100" s="974"/>
      <c r="TLQ100" s="974"/>
      <c r="TLR100" s="974"/>
      <c r="TLS100" s="974"/>
      <c r="TLT100" s="974"/>
      <c r="TLU100" s="974"/>
      <c r="TLV100" s="974"/>
      <c r="TLW100" s="974"/>
      <c r="TLX100" s="974"/>
      <c r="TLY100" s="974"/>
      <c r="TLZ100" s="974"/>
      <c r="TMA100" s="974"/>
      <c r="TMB100" s="974"/>
      <c r="TMC100" s="974"/>
      <c r="TMD100" s="974"/>
      <c r="TME100" s="974"/>
      <c r="TMF100" s="974"/>
      <c r="TMG100" s="974"/>
      <c r="TMH100" s="974"/>
      <c r="TMI100" s="974"/>
      <c r="TMJ100" s="974"/>
      <c r="TMK100" s="974"/>
      <c r="TML100" s="974"/>
      <c r="TMM100" s="974"/>
      <c r="TMN100" s="974"/>
      <c r="TMO100" s="974"/>
      <c r="TMP100" s="974"/>
      <c r="TMQ100" s="974"/>
      <c r="TMR100" s="974"/>
      <c r="TMS100" s="974"/>
      <c r="TMT100" s="974"/>
      <c r="TMU100" s="974"/>
      <c r="TMV100" s="974"/>
      <c r="TMW100" s="974"/>
      <c r="TMX100" s="974"/>
      <c r="TMY100" s="974"/>
      <c r="TMZ100" s="974"/>
      <c r="TNA100" s="974"/>
      <c r="TNB100" s="974"/>
      <c r="TNC100" s="974"/>
      <c r="TND100" s="974"/>
      <c r="TNE100" s="974"/>
      <c r="TNF100" s="974"/>
      <c r="TNG100" s="974"/>
      <c r="TNH100" s="974"/>
      <c r="TNI100" s="974"/>
      <c r="TNJ100" s="974"/>
      <c r="TNK100" s="974"/>
      <c r="TNL100" s="974"/>
      <c r="TNM100" s="974"/>
      <c r="TNN100" s="974"/>
      <c r="TNO100" s="974"/>
      <c r="TNP100" s="974"/>
      <c r="TNQ100" s="974"/>
      <c r="TNR100" s="974"/>
      <c r="TNS100" s="974"/>
      <c r="TNT100" s="974"/>
      <c r="TNU100" s="974"/>
      <c r="TNV100" s="974"/>
      <c r="TNW100" s="974"/>
      <c r="TNX100" s="974"/>
      <c r="TNY100" s="974"/>
      <c r="TNZ100" s="974"/>
      <c r="TOA100" s="974"/>
      <c r="TOB100" s="974"/>
      <c r="TOC100" s="974"/>
      <c r="TOD100" s="974"/>
      <c r="TOE100" s="974"/>
      <c r="TOF100" s="974"/>
      <c r="TOG100" s="974"/>
      <c r="TOH100" s="974"/>
      <c r="TOI100" s="974"/>
      <c r="TOJ100" s="974"/>
      <c r="TOK100" s="974"/>
      <c r="TOL100" s="974"/>
      <c r="TOM100" s="974"/>
      <c r="TON100" s="974"/>
      <c r="TOO100" s="974"/>
      <c r="TOP100" s="974"/>
      <c r="TOQ100" s="974"/>
      <c r="TOR100" s="974"/>
      <c r="TOS100" s="974"/>
      <c r="TOT100" s="974"/>
      <c r="TOU100" s="974"/>
      <c r="TOV100" s="974"/>
      <c r="TOW100" s="974"/>
      <c r="TOX100" s="974"/>
      <c r="TOY100" s="974"/>
      <c r="TOZ100" s="974"/>
      <c r="TPA100" s="974"/>
      <c r="TPB100" s="974"/>
      <c r="TPC100" s="974"/>
      <c r="TPD100" s="974"/>
      <c r="TPE100" s="974"/>
      <c r="TPF100" s="974"/>
      <c r="TPG100" s="974"/>
      <c r="TPH100" s="974"/>
      <c r="TPI100" s="974"/>
      <c r="TPJ100" s="974"/>
      <c r="TPK100" s="974"/>
      <c r="TPL100" s="974"/>
      <c r="TPM100" s="974"/>
      <c r="TPN100" s="974"/>
      <c r="TPO100" s="974"/>
      <c r="TPP100" s="974"/>
      <c r="TPQ100" s="974"/>
      <c r="TPR100" s="974"/>
      <c r="TPS100" s="974"/>
      <c r="TPT100" s="974"/>
      <c r="TPU100" s="974"/>
      <c r="TPV100" s="974"/>
      <c r="TPW100" s="974"/>
      <c r="TPX100" s="974"/>
      <c r="TPY100" s="974"/>
      <c r="TPZ100" s="974"/>
      <c r="TQA100" s="974"/>
      <c r="TQB100" s="974"/>
      <c r="TQC100" s="974"/>
      <c r="TQD100" s="974"/>
      <c r="TQE100" s="974"/>
      <c r="TQF100" s="974"/>
      <c r="TQG100" s="974"/>
      <c r="TQH100" s="974"/>
      <c r="TQI100" s="974"/>
      <c r="TQJ100" s="974"/>
      <c r="TQK100" s="974"/>
      <c r="TQL100" s="974"/>
      <c r="TQM100" s="974"/>
      <c r="TQN100" s="974"/>
      <c r="TQO100" s="974"/>
      <c r="TQP100" s="974"/>
      <c r="TQQ100" s="974"/>
      <c r="TQR100" s="974"/>
      <c r="TQS100" s="974"/>
      <c r="TQT100" s="974"/>
      <c r="TQU100" s="974"/>
      <c r="TQV100" s="974"/>
      <c r="TQW100" s="974"/>
      <c r="TQX100" s="974"/>
      <c r="TQY100" s="974"/>
      <c r="TQZ100" s="974"/>
      <c r="TRA100" s="974"/>
      <c r="TRB100" s="974"/>
      <c r="TRC100" s="974"/>
      <c r="TRD100" s="974"/>
      <c r="TRE100" s="974"/>
      <c r="TRF100" s="974"/>
      <c r="TRG100" s="974"/>
      <c r="TRH100" s="974"/>
      <c r="TRI100" s="974"/>
      <c r="TRJ100" s="974"/>
      <c r="TRK100" s="974"/>
      <c r="TRL100" s="974"/>
      <c r="TRM100" s="974"/>
      <c r="TRN100" s="974"/>
      <c r="TRO100" s="974"/>
      <c r="TRP100" s="974"/>
      <c r="TRQ100" s="974"/>
      <c r="TRR100" s="974"/>
      <c r="TRS100" s="974"/>
      <c r="TRT100" s="974"/>
      <c r="TRU100" s="974"/>
      <c r="TRV100" s="974"/>
      <c r="TRW100" s="974"/>
      <c r="TRX100" s="974"/>
      <c r="TRY100" s="974"/>
      <c r="TRZ100" s="974"/>
      <c r="TSA100" s="974"/>
      <c r="TSB100" s="974"/>
      <c r="TSC100" s="974"/>
      <c r="TSD100" s="974"/>
      <c r="TSE100" s="974"/>
      <c r="TSF100" s="974"/>
      <c r="TSG100" s="974"/>
      <c r="TSH100" s="974"/>
      <c r="TSI100" s="974"/>
      <c r="TSJ100" s="974"/>
      <c r="TSK100" s="974"/>
      <c r="TSL100" s="974"/>
      <c r="TSM100" s="974"/>
      <c r="TSN100" s="974"/>
      <c r="TSO100" s="974"/>
      <c r="TSP100" s="974"/>
      <c r="TSQ100" s="974"/>
      <c r="TSR100" s="974"/>
      <c r="TSS100" s="974"/>
      <c r="TST100" s="974"/>
      <c r="TSU100" s="974"/>
      <c r="TSV100" s="974"/>
      <c r="TSW100" s="974"/>
      <c r="TSX100" s="974"/>
      <c r="TSY100" s="974"/>
      <c r="TSZ100" s="974"/>
      <c r="TTA100" s="974"/>
      <c r="TTB100" s="974"/>
      <c r="TTC100" s="974"/>
      <c r="TTD100" s="974"/>
      <c r="TTE100" s="974"/>
      <c r="TTF100" s="974"/>
      <c r="TTG100" s="974"/>
      <c r="TTH100" s="974"/>
      <c r="TTI100" s="974"/>
      <c r="TTJ100" s="974"/>
      <c r="TTK100" s="974"/>
      <c r="TTL100" s="974"/>
      <c r="TTM100" s="974"/>
      <c r="TTN100" s="974"/>
      <c r="TTO100" s="974"/>
      <c r="TTP100" s="974"/>
      <c r="TTQ100" s="974"/>
      <c r="TTR100" s="974"/>
      <c r="TTS100" s="974"/>
      <c r="TTT100" s="974"/>
      <c r="TTU100" s="974"/>
      <c r="TTV100" s="974"/>
      <c r="TTW100" s="974"/>
      <c r="TTX100" s="974"/>
      <c r="TTY100" s="974"/>
      <c r="TTZ100" s="974"/>
      <c r="TUA100" s="974"/>
      <c r="TUB100" s="974"/>
      <c r="TUC100" s="974"/>
      <c r="TUD100" s="974"/>
      <c r="TUE100" s="974"/>
      <c r="TUF100" s="974"/>
      <c r="TUG100" s="974"/>
      <c r="TUH100" s="974"/>
      <c r="TUI100" s="974"/>
      <c r="TUJ100" s="974"/>
      <c r="TUK100" s="974"/>
      <c r="TUL100" s="974"/>
      <c r="TUM100" s="974"/>
      <c r="TUN100" s="974"/>
      <c r="TUO100" s="974"/>
      <c r="TUP100" s="974"/>
      <c r="TUQ100" s="974"/>
      <c r="TUR100" s="974"/>
      <c r="TUS100" s="974"/>
      <c r="TUT100" s="974"/>
      <c r="TUU100" s="974"/>
      <c r="TUV100" s="974"/>
      <c r="TUW100" s="974"/>
      <c r="TUX100" s="974"/>
      <c r="TUY100" s="974"/>
      <c r="TUZ100" s="974"/>
      <c r="TVA100" s="974"/>
      <c r="TVB100" s="974"/>
      <c r="TVC100" s="974"/>
      <c r="TVD100" s="974"/>
      <c r="TVE100" s="974"/>
      <c r="TVF100" s="974"/>
      <c r="TVG100" s="974"/>
      <c r="TVH100" s="974"/>
      <c r="TVI100" s="974"/>
      <c r="TVJ100" s="974"/>
      <c r="TVK100" s="974"/>
      <c r="TVL100" s="974"/>
      <c r="TVM100" s="974"/>
      <c r="TVN100" s="974"/>
      <c r="TVO100" s="974"/>
      <c r="TVP100" s="974"/>
      <c r="TVQ100" s="974"/>
      <c r="TVR100" s="974"/>
      <c r="TVS100" s="974"/>
      <c r="TVT100" s="974"/>
      <c r="TVU100" s="974"/>
      <c r="TVV100" s="974"/>
      <c r="TVW100" s="974"/>
      <c r="TVX100" s="974"/>
      <c r="TVY100" s="974"/>
      <c r="TVZ100" s="974"/>
      <c r="TWA100" s="974"/>
      <c r="TWB100" s="974"/>
      <c r="TWC100" s="974"/>
      <c r="TWD100" s="974"/>
      <c r="TWE100" s="974"/>
      <c r="TWF100" s="974"/>
      <c r="TWG100" s="974"/>
      <c r="TWH100" s="974"/>
      <c r="TWI100" s="974"/>
      <c r="TWJ100" s="974"/>
      <c r="TWK100" s="974"/>
      <c r="TWL100" s="974"/>
      <c r="TWM100" s="974"/>
      <c r="TWN100" s="974"/>
      <c r="TWO100" s="974"/>
      <c r="TWP100" s="974"/>
      <c r="TWQ100" s="974"/>
      <c r="TWR100" s="974"/>
      <c r="TWS100" s="974"/>
      <c r="TWT100" s="974"/>
      <c r="TWU100" s="974"/>
      <c r="TWV100" s="974"/>
      <c r="TWW100" s="974"/>
      <c r="TWX100" s="974"/>
      <c r="TWY100" s="974"/>
      <c r="TWZ100" s="974"/>
      <c r="TXA100" s="974"/>
      <c r="TXB100" s="974"/>
      <c r="TXC100" s="974"/>
      <c r="TXD100" s="974"/>
      <c r="TXE100" s="974"/>
      <c r="TXF100" s="974"/>
      <c r="TXG100" s="974"/>
      <c r="TXH100" s="974"/>
      <c r="TXI100" s="974"/>
      <c r="TXJ100" s="974"/>
      <c r="TXK100" s="974"/>
      <c r="TXL100" s="974"/>
      <c r="TXM100" s="974"/>
      <c r="TXN100" s="974"/>
      <c r="TXO100" s="974"/>
      <c r="TXP100" s="974"/>
      <c r="TXQ100" s="974"/>
      <c r="TXR100" s="974"/>
      <c r="TXS100" s="974"/>
      <c r="TXT100" s="974"/>
      <c r="TXU100" s="974"/>
      <c r="TXV100" s="974"/>
      <c r="TXW100" s="974"/>
      <c r="TXX100" s="974"/>
      <c r="TXY100" s="974"/>
      <c r="TXZ100" s="974"/>
      <c r="TYA100" s="974"/>
      <c r="TYB100" s="974"/>
      <c r="TYC100" s="974"/>
      <c r="TYD100" s="974"/>
      <c r="TYE100" s="974"/>
      <c r="TYF100" s="974"/>
      <c r="TYG100" s="974"/>
      <c r="TYH100" s="974"/>
      <c r="TYI100" s="974"/>
      <c r="TYJ100" s="974"/>
      <c r="TYK100" s="974"/>
      <c r="TYL100" s="974"/>
      <c r="TYM100" s="974"/>
      <c r="TYN100" s="974"/>
      <c r="TYO100" s="974"/>
      <c r="TYP100" s="974"/>
      <c r="TYQ100" s="974"/>
      <c r="TYR100" s="974"/>
      <c r="TYS100" s="974"/>
      <c r="TYT100" s="974"/>
      <c r="TYU100" s="974"/>
      <c r="TYV100" s="974"/>
      <c r="TYW100" s="974"/>
      <c r="TYX100" s="974"/>
      <c r="TYY100" s="974"/>
      <c r="TYZ100" s="974"/>
      <c r="TZA100" s="974"/>
      <c r="TZB100" s="974"/>
      <c r="TZC100" s="974"/>
      <c r="TZD100" s="974"/>
      <c r="TZE100" s="974"/>
      <c r="TZF100" s="974"/>
      <c r="TZG100" s="974"/>
      <c r="TZH100" s="974"/>
      <c r="TZI100" s="974"/>
      <c r="TZJ100" s="974"/>
      <c r="TZK100" s="974"/>
      <c r="TZL100" s="974"/>
      <c r="TZM100" s="974"/>
      <c r="TZN100" s="974"/>
      <c r="TZO100" s="974"/>
      <c r="TZP100" s="974"/>
      <c r="TZQ100" s="974"/>
      <c r="TZR100" s="974"/>
      <c r="TZS100" s="974"/>
      <c r="TZT100" s="974"/>
      <c r="TZU100" s="974"/>
      <c r="TZV100" s="974"/>
      <c r="TZW100" s="974"/>
      <c r="TZX100" s="974"/>
      <c r="TZY100" s="974"/>
      <c r="TZZ100" s="974"/>
      <c r="UAA100" s="974"/>
      <c r="UAB100" s="974"/>
      <c r="UAC100" s="974"/>
      <c r="UAD100" s="974"/>
      <c r="UAE100" s="974"/>
      <c r="UAF100" s="974"/>
      <c r="UAG100" s="974"/>
      <c r="UAH100" s="974"/>
      <c r="UAI100" s="974"/>
      <c r="UAJ100" s="974"/>
      <c r="UAK100" s="974"/>
      <c r="UAL100" s="974"/>
      <c r="UAM100" s="974"/>
      <c r="UAN100" s="974"/>
      <c r="UAO100" s="974"/>
      <c r="UAP100" s="974"/>
      <c r="UAQ100" s="974"/>
      <c r="UAR100" s="974"/>
      <c r="UAS100" s="974"/>
      <c r="UAT100" s="974"/>
      <c r="UAU100" s="974"/>
      <c r="UAV100" s="974"/>
      <c r="UAW100" s="974"/>
      <c r="UAX100" s="974"/>
      <c r="UAY100" s="974"/>
      <c r="UAZ100" s="974"/>
      <c r="UBA100" s="974"/>
      <c r="UBB100" s="974"/>
      <c r="UBC100" s="974"/>
      <c r="UBD100" s="974"/>
      <c r="UBE100" s="974"/>
      <c r="UBF100" s="974"/>
      <c r="UBG100" s="974"/>
      <c r="UBH100" s="974"/>
      <c r="UBI100" s="974"/>
      <c r="UBJ100" s="974"/>
      <c r="UBK100" s="974"/>
      <c r="UBL100" s="974"/>
      <c r="UBM100" s="974"/>
      <c r="UBN100" s="974"/>
      <c r="UBO100" s="974"/>
      <c r="UBP100" s="974"/>
      <c r="UBQ100" s="974"/>
      <c r="UBR100" s="974"/>
      <c r="UBS100" s="974"/>
      <c r="UBT100" s="974"/>
      <c r="UBU100" s="974"/>
      <c r="UBV100" s="974"/>
      <c r="UBW100" s="974"/>
      <c r="UBX100" s="974"/>
      <c r="UBY100" s="974"/>
      <c r="UBZ100" s="974"/>
      <c r="UCA100" s="974"/>
      <c r="UCB100" s="974"/>
      <c r="UCC100" s="974"/>
      <c r="UCD100" s="974"/>
      <c r="UCE100" s="974"/>
      <c r="UCF100" s="974"/>
      <c r="UCG100" s="974"/>
      <c r="UCH100" s="974"/>
      <c r="UCI100" s="974"/>
      <c r="UCJ100" s="974"/>
      <c r="UCK100" s="974"/>
      <c r="UCL100" s="974"/>
      <c r="UCM100" s="974"/>
      <c r="UCN100" s="974"/>
      <c r="UCO100" s="974"/>
      <c r="UCP100" s="974"/>
      <c r="UCQ100" s="974"/>
      <c r="UCR100" s="974"/>
      <c r="UCS100" s="974"/>
      <c r="UCT100" s="974"/>
      <c r="UCU100" s="974"/>
      <c r="UCV100" s="974"/>
      <c r="UCW100" s="974"/>
      <c r="UCX100" s="974"/>
      <c r="UCY100" s="974"/>
      <c r="UCZ100" s="974"/>
      <c r="UDA100" s="974"/>
      <c r="UDB100" s="974"/>
      <c r="UDC100" s="974"/>
      <c r="UDD100" s="974"/>
      <c r="UDE100" s="974"/>
      <c r="UDF100" s="974"/>
      <c r="UDG100" s="974"/>
      <c r="UDH100" s="974"/>
      <c r="UDI100" s="974"/>
      <c r="UDJ100" s="974"/>
      <c r="UDK100" s="974"/>
      <c r="UDL100" s="974"/>
      <c r="UDM100" s="974"/>
      <c r="UDN100" s="974"/>
      <c r="UDO100" s="974"/>
      <c r="UDP100" s="974"/>
      <c r="UDQ100" s="974"/>
      <c r="UDR100" s="974"/>
      <c r="UDS100" s="974"/>
      <c r="UDT100" s="974"/>
      <c r="UDU100" s="974"/>
      <c r="UDV100" s="974"/>
      <c r="UDW100" s="974"/>
      <c r="UDX100" s="974"/>
      <c r="UDY100" s="974"/>
      <c r="UDZ100" s="974"/>
      <c r="UEA100" s="974"/>
      <c r="UEB100" s="974"/>
      <c r="UEC100" s="974"/>
      <c r="UED100" s="974"/>
      <c r="UEE100" s="974"/>
      <c r="UEF100" s="974"/>
      <c r="UEG100" s="974"/>
      <c r="UEH100" s="974"/>
      <c r="UEI100" s="974"/>
      <c r="UEJ100" s="974"/>
      <c r="UEK100" s="974"/>
      <c r="UEL100" s="974"/>
      <c r="UEM100" s="974"/>
      <c r="UEN100" s="974"/>
      <c r="UEO100" s="974"/>
      <c r="UEP100" s="974"/>
      <c r="UEQ100" s="974"/>
      <c r="UER100" s="974"/>
      <c r="UES100" s="974"/>
      <c r="UET100" s="974"/>
      <c r="UEU100" s="974"/>
      <c r="UEV100" s="974"/>
      <c r="UEW100" s="974"/>
      <c r="UEX100" s="974"/>
      <c r="UEY100" s="974"/>
      <c r="UEZ100" s="974"/>
      <c r="UFA100" s="974"/>
      <c r="UFB100" s="974"/>
      <c r="UFC100" s="974"/>
      <c r="UFD100" s="974"/>
      <c r="UFE100" s="974"/>
      <c r="UFF100" s="974"/>
      <c r="UFG100" s="974"/>
      <c r="UFH100" s="974"/>
      <c r="UFI100" s="974"/>
      <c r="UFJ100" s="974"/>
      <c r="UFK100" s="974"/>
      <c r="UFL100" s="974"/>
      <c r="UFM100" s="974"/>
      <c r="UFN100" s="974"/>
      <c r="UFO100" s="974"/>
      <c r="UFP100" s="974"/>
      <c r="UFQ100" s="974"/>
      <c r="UFR100" s="974"/>
      <c r="UFS100" s="974"/>
      <c r="UFT100" s="974"/>
      <c r="UFU100" s="974"/>
      <c r="UFV100" s="974"/>
      <c r="UFW100" s="974"/>
      <c r="UFX100" s="974"/>
      <c r="UFY100" s="974"/>
      <c r="UFZ100" s="974"/>
      <c r="UGA100" s="974"/>
      <c r="UGB100" s="974"/>
      <c r="UGC100" s="974"/>
      <c r="UGD100" s="974"/>
      <c r="UGE100" s="974"/>
      <c r="UGF100" s="974"/>
      <c r="UGG100" s="974"/>
      <c r="UGH100" s="974"/>
      <c r="UGI100" s="974"/>
      <c r="UGJ100" s="974"/>
      <c r="UGK100" s="974"/>
      <c r="UGL100" s="974"/>
      <c r="UGM100" s="974"/>
      <c r="UGN100" s="974"/>
      <c r="UGO100" s="974"/>
      <c r="UGP100" s="974"/>
      <c r="UGQ100" s="974"/>
      <c r="UGR100" s="974"/>
      <c r="UGS100" s="974"/>
      <c r="UGT100" s="974"/>
      <c r="UGU100" s="974"/>
      <c r="UGV100" s="974"/>
      <c r="UGW100" s="974"/>
      <c r="UGX100" s="974"/>
      <c r="UGY100" s="974"/>
      <c r="UGZ100" s="974"/>
      <c r="UHA100" s="974"/>
      <c r="UHB100" s="974"/>
      <c r="UHC100" s="974"/>
      <c r="UHD100" s="974"/>
      <c r="UHE100" s="974"/>
      <c r="UHF100" s="974"/>
      <c r="UHG100" s="974"/>
      <c r="UHH100" s="974"/>
      <c r="UHI100" s="974"/>
      <c r="UHJ100" s="974"/>
      <c r="UHK100" s="974"/>
      <c r="UHL100" s="974"/>
      <c r="UHM100" s="974"/>
      <c r="UHN100" s="974"/>
      <c r="UHO100" s="974"/>
      <c r="UHP100" s="974"/>
      <c r="UHQ100" s="974"/>
      <c r="UHR100" s="974"/>
      <c r="UHS100" s="974"/>
      <c r="UHT100" s="974"/>
      <c r="UHU100" s="974"/>
      <c r="UHV100" s="974"/>
      <c r="UHW100" s="974"/>
      <c r="UHX100" s="974"/>
      <c r="UHY100" s="974"/>
      <c r="UHZ100" s="974"/>
      <c r="UIA100" s="974"/>
      <c r="UIB100" s="974"/>
      <c r="UIC100" s="974"/>
      <c r="UID100" s="974"/>
      <c r="UIE100" s="974"/>
      <c r="UIF100" s="974"/>
      <c r="UIG100" s="974"/>
      <c r="UIH100" s="974"/>
      <c r="UII100" s="974"/>
      <c r="UIJ100" s="974"/>
      <c r="UIK100" s="974"/>
      <c r="UIL100" s="974"/>
      <c r="UIM100" s="974"/>
      <c r="UIN100" s="974"/>
      <c r="UIO100" s="974"/>
      <c r="UIP100" s="974"/>
      <c r="UIQ100" s="974"/>
      <c r="UIR100" s="974"/>
      <c r="UIS100" s="974"/>
      <c r="UIT100" s="974"/>
      <c r="UIU100" s="974"/>
      <c r="UIV100" s="974"/>
      <c r="UIW100" s="974"/>
      <c r="UIX100" s="974"/>
      <c r="UIY100" s="974"/>
      <c r="UIZ100" s="974"/>
      <c r="UJA100" s="974"/>
      <c r="UJB100" s="974"/>
      <c r="UJC100" s="974"/>
      <c r="UJD100" s="974"/>
      <c r="UJE100" s="974"/>
      <c r="UJF100" s="974"/>
      <c r="UJG100" s="974"/>
      <c r="UJH100" s="974"/>
      <c r="UJI100" s="974"/>
      <c r="UJJ100" s="974"/>
      <c r="UJK100" s="974"/>
      <c r="UJL100" s="974"/>
      <c r="UJM100" s="974"/>
      <c r="UJN100" s="974"/>
      <c r="UJO100" s="974"/>
      <c r="UJP100" s="974"/>
      <c r="UJQ100" s="974"/>
      <c r="UJR100" s="974"/>
      <c r="UJS100" s="974"/>
      <c r="UJT100" s="974"/>
      <c r="UJU100" s="974"/>
      <c r="UJV100" s="974"/>
      <c r="UJW100" s="974"/>
      <c r="UJX100" s="974"/>
      <c r="UJY100" s="974"/>
      <c r="UJZ100" s="974"/>
      <c r="UKA100" s="974"/>
      <c r="UKB100" s="974"/>
      <c r="UKC100" s="974"/>
      <c r="UKD100" s="974"/>
      <c r="UKE100" s="974"/>
      <c r="UKF100" s="974"/>
      <c r="UKG100" s="974"/>
      <c r="UKH100" s="974"/>
      <c r="UKI100" s="974"/>
      <c r="UKJ100" s="974"/>
      <c r="UKK100" s="974"/>
      <c r="UKL100" s="974"/>
      <c r="UKM100" s="974"/>
      <c r="UKN100" s="974"/>
      <c r="UKO100" s="974"/>
      <c r="UKP100" s="974"/>
      <c r="UKQ100" s="974"/>
      <c r="UKR100" s="974"/>
      <c r="UKS100" s="974"/>
      <c r="UKT100" s="974"/>
      <c r="UKU100" s="974"/>
      <c r="UKV100" s="974"/>
      <c r="UKW100" s="974"/>
      <c r="UKX100" s="974"/>
      <c r="UKY100" s="974"/>
      <c r="UKZ100" s="974"/>
      <c r="ULA100" s="974"/>
      <c r="ULB100" s="974"/>
      <c r="ULC100" s="974"/>
      <c r="ULD100" s="974"/>
      <c r="ULE100" s="974"/>
      <c r="ULF100" s="974"/>
      <c r="ULG100" s="974"/>
      <c r="ULH100" s="974"/>
      <c r="ULI100" s="974"/>
      <c r="ULJ100" s="974"/>
      <c r="ULK100" s="974"/>
      <c r="ULL100" s="974"/>
      <c r="ULM100" s="974"/>
      <c r="ULN100" s="974"/>
      <c r="ULO100" s="974"/>
      <c r="ULP100" s="974"/>
      <c r="ULQ100" s="974"/>
      <c r="ULR100" s="974"/>
      <c r="ULS100" s="974"/>
      <c r="ULT100" s="974"/>
      <c r="ULU100" s="974"/>
      <c r="ULV100" s="974"/>
      <c r="ULW100" s="974"/>
      <c r="ULX100" s="974"/>
      <c r="ULY100" s="974"/>
      <c r="ULZ100" s="974"/>
      <c r="UMA100" s="974"/>
      <c r="UMB100" s="974"/>
      <c r="UMC100" s="974"/>
      <c r="UMD100" s="974"/>
      <c r="UME100" s="974"/>
      <c r="UMF100" s="974"/>
      <c r="UMG100" s="974"/>
      <c r="UMH100" s="974"/>
      <c r="UMI100" s="974"/>
      <c r="UMJ100" s="974"/>
      <c r="UMK100" s="974"/>
      <c r="UML100" s="974"/>
      <c r="UMM100" s="974"/>
      <c r="UMN100" s="974"/>
      <c r="UMO100" s="974"/>
      <c r="UMP100" s="974"/>
      <c r="UMQ100" s="974"/>
      <c r="UMR100" s="974"/>
      <c r="UMS100" s="974"/>
      <c r="UMT100" s="974"/>
      <c r="UMU100" s="974"/>
      <c r="UMV100" s="974"/>
      <c r="UMW100" s="974"/>
      <c r="UMX100" s="974"/>
      <c r="UMY100" s="974"/>
      <c r="UMZ100" s="974"/>
      <c r="UNA100" s="974"/>
      <c r="UNB100" s="974"/>
      <c r="UNC100" s="974"/>
      <c r="UND100" s="974"/>
      <c r="UNE100" s="974"/>
      <c r="UNF100" s="974"/>
      <c r="UNG100" s="974"/>
      <c r="UNH100" s="974"/>
      <c r="UNI100" s="974"/>
      <c r="UNJ100" s="974"/>
      <c r="UNK100" s="974"/>
      <c r="UNL100" s="974"/>
      <c r="UNM100" s="974"/>
      <c r="UNN100" s="974"/>
      <c r="UNO100" s="974"/>
      <c r="UNP100" s="974"/>
      <c r="UNQ100" s="974"/>
      <c r="UNR100" s="974"/>
      <c r="UNS100" s="974"/>
      <c r="UNT100" s="974"/>
      <c r="UNU100" s="974"/>
      <c r="UNV100" s="974"/>
      <c r="UNW100" s="974"/>
      <c r="UNX100" s="974"/>
      <c r="UNY100" s="974"/>
      <c r="UNZ100" s="974"/>
      <c r="UOA100" s="974"/>
      <c r="UOB100" s="974"/>
      <c r="UOC100" s="974"/>
      <c r="UOD100" s="974"/>
      <c r="UOE100" s="974"/>
      <c r="UOF100" s="974"/>
      <c r="UOG100" s="974"/>
      <c r="UOH100" s="974"/>
      <c r="UOI100" s="974"/>
      <c r="UOJ100" s="974"/>
      <c r="UOK100" s="974"/>
      <c r="UOL100" s="974"/>
      <c r="UOM100" s="974"/>
      <c r="UON100" s="974"/>
      <c r="UOO100" s="974"/>
      <c r="UOP100" s="974"/>
      <c r="UOQ100" s="974"/>
      <c r="UOR100" s="974"/>
      <c r="UOS100" s="974"/>
      <c r="UOT100" s="974"/>
      <c r="UOU100" s="974"/>
      <c r="UOV100" s="974"/>
      <c r="UOW100" s="974"/>
      <c r="UOX100" s="974"/>
      <c r="UOY100" s="974"/>
      <c r="UOZ100" s="974"/>
      <c r="UPA100" s="974"/>
      <c r="UPB100" s="974"/>
      <c r="UPC100" s="974"/>
      <c r="UPD100" s="974"/>
      <c r="UPE100" s="974"/>
      <c r="UPF100" s="974"/>
      <c r="UPG100" s="974"/>
      <c r="UPH100" s="974"/>
      <c r="UPI100" s="974"/>
      <c r="UPJ100" s="974"/>
      <c r="UPK100" s="974"/>
      <c r="UPL100" s="974"/>
      <c r="UPM100" s="974"/>
      <c r="UPN100" s="974"/>
      <c r="UPO100" s="974"/>
      <c r="UPP100" s="974"/>
      <c r="UPQ100" s="974"/>
      <c r="UPR100" s="974"/>
      <c r="UPS100" s="974"/>
      <c r="UPT100" s="974"/>
      <c r="UPU100" s="974"/>
      <c r="UPV100" s="974"/>
      <c r="UPW100" s="974"/>
      <c r="UPX100" s="974"/>
      <c r="UPY100" s="974"/>
      <c r="UPZ100" s="974"/>
      <c r="UQA100" s="974"/>
      <c r="UQB100" s="974"/>
      <c r="UQC100" s="974"/>
      <c r="UQD100" s="974"/>
      <c r="UQE100" s="974"/>
      <c r="UQF100" s="974"/>
      <c r="UQG100" s="974"/>
      <c r="UQH100" s="974"/>
      <c r="UQI100" s="974"/>
      <c r="UQJ100" s="974"/>
      <c r="UQK100" s="974"/>
      <c r="UQL100" s="974"/>
      <c r="UQM100" s="974"/>
      <c r="UQN100" s="974"/>
      <c r="UQO100" s="974"/>
      <c r="UQP100" s="974"/>
      <c r="UQQ100" s="974"/>
      <c r="UQR100" s="974"/>
      <c r="UQS100" s="974"/>
      <c r="UQT100" s="974"/>
      <c r="UQU100" s="974"/>
      <c r="UQV100" s="974"/>
      <c r="UQW100" s="974"/>
      <c r="UQX100" s="974"/>
      <c r="UQY100" s="974"/>
      <c r="UQZ100" s="974"/>
      <c r="URA100" s="974"/>
      <c r="URB100" s="974"/>
      <c r="URC100" s="974"/>
      <c r="URD100" s="974"/>
      <c r="URE100" s="974"/>
      <c r="URF100" s="974"/>
      <c r="URG100" s="974"/>
      <c r="URH100" s="974"/>
      <c r="URI100" s="974"/>
      <c r="URJ100" s="974"/>
      <c r="URK100" s="974"/>
      <c r="URL100" s="974"/>
      <c r="URM100" s="974"/>
      <c r="URN100" s="974"/>
      <c r="URO100" s="974"/>
      <c r="URP100" s="974"/>
      <c r="URQ100" s="974"/>
      <c r="URR100" s="974"/>
      <c r="URS100" s="974"/>
      <c r="URT100" s="974"/>
      <c r="URU100" s="974"/>
      <c r="URV100" s="974"/>
      <c r="URW100" s="974"/>
      <c r="URX100" s="974"/>
      <c r="URY100" s="974"/>
      <c r="URZ100" s="974"/>
      <c r="USA100" s="974"/>
      <c r="USB100" s="974"/>
      <c r="USC100" s="974"/>
      <c r="USD100" s="974"/>
      <c r="USE100" s="974"/>
      <c r="USF100" s="974"/>
      <c r="USG100" s="974"/>
      <c r="USH100" s="974"/>
      <c r="USI100" s="974"/>
      <c r="USJ100" s="974"/>
      <c r="USK100" s="974"/>
      <c r="USL100" s="974"/>
      <c r="USM100" s="974"/>
      <c r="USN100" s="974"/>
      <c r="USO100" s="974"/>
      <c r="USP100" s="974"/>
      <c r="USQ100" s="974"/>
      <c r="USR100" s="974"/>
      <c r="USS100" s="974"/>
      <c r="UST100" s="974"/>
      <c r="USU100" s="974"/>
      <c r="USV100" s="974"/>
      <c r="USW100" s="974"/>
      <c r="USX100" s="974"/>
      <c r="USY100" s="974"/>
      <c r="USZ100" s="974"/>
      <c r="UTA100" s="974"/>
      <c r="UTB100" s="974"/>
      <c r="UTC100" s="974"/>
      <c r="UTD100" s="974"/>
      <c r="UTE100" s="974"/>
      <c r="UTF100" s="974"/>
      <c r="UTG100" s="974"/>
      <c r="UTH100" s="974"/>
      <c r="UTI100" s="974"/>
      <c r="UTJ100" s="974"/>
      <c r="UTK100" s="974"/>
      <c r="UTL100" s="974"/>
      <c r="UTM100" s="974"/>
      <c r="UTN100" s="974"/>
      <c r="UTO100" s="974"/>
      <c r="UTP100" s="974"/>
      <c r="UTQ100" s="974"/>
      <c r="UTR100" s="974"/>
      <c r="UTS100" s="974"/>
      <c r="UTT100" s="974"/>
      <c r="UTU100" s="974"/>
      <c r="UTV100" s="974"/>
      <c r="UTW100" s="974"/>
      <c r="UTX100" s="974"/>
      <c r="UTY100" s="974"/>
      <c r="UTZ100" s="974"/>
      <c r="UUA100" s="974"/>
      <c r="UUB100" s="974"/>
      <c r="UUC100" s="974"/>
      <c r="UUD100" s="974"/>
      <c r="UUE100" s="974"/>
      <c r="UUF100" s="974"/>
      <c r="UUG100" s="974"/>
      <c r="UUH100" s="974"/>
      <c r="UUI100" s="974"/>
      <c r="UUJ100" s="974"/>
      <c r="UUK100" s="974"/>
      <c r="UUL100" s="974"/>
      <c r="UUM100" s="974"/>
      <c r="UUN100" s="974"/>
      <c r="UUO100" s="974"/>
      <c r="UUP100" s="974"/>
      <c r="UUQ100" s="974"/>
      <c r="UUR100" s="974"/>
      <c r="UUS100" s="974"/>
      <c r="UUT100" s="974"/>
      <c r="UUU100" s="974"/>
      <c r="UUV100" s="974"/>
      <c r="UUW100" s="974"/>
      <c r="UUX100" s="974"/>
      <c r="UUY100" s="974"/>
      <c r="UUZ100" s="974"/>
      <c r="UVA100" s="974"/>
      <c r="UVB100" s="974"/>
      <c r="UVC100" s="974"/>
      <c r="UVD100" s="974"/>
      <c r="UVE100" s="974"/>
      <c r="UVF100" s="974"/>
      <c r="UVG100" s="974"/>
      <c r="UVH100" s="974"/>
      <c r="UVI100" s="974"/>
      <c r="UVJ100" s="974"/>
      <c r="UVK100" s="974"/>
      <c r="UVL100" s="974"/>
      <c r="UVM100" s="974"/>
      <c r="UVN100" s="974"/>
      <c r="UVO100" s="974"/>
      <c r="UVP100" s="974"/>
      <c r="UVQ100" s="974"/>
      <c r="UVR100" s="974"/>
      <c r="UVS100" s="974"/>
      <c r="UVT100" s="974"/>
      <c r="UVU100" s="974"/>
      <c r="UVV100" s="974"/>
      <c r="UVW100" s="974"/>
      <c r="UVX100" s="974"/>
      <c r="UVY100" s="974"/>
      <c r="UVZ100" s="974"/>
      <c r="UWA100" s="974"/>
      <c r="UWB100" s="974"/>
      <c r="UWC100" s="974"/>
      <c r="UWD100" s="974"/>
      <c r="UWE100" s="974"/>
      <c r="UWF100" s="974"/>
      <c r="UWG100" s="974"/>
      <c r="UWH100" s="974"/>
      <c r="UWI100" s="974"/>
      <c r="UWJ100" s="974"/>
      <c r="UWK100" s="974"/>
      <c r="UWL100" s="974"/>
      <c r="UWM100" s="974"/>
      <c r="UWN100" s="974"/>
      <c r="UWO100" s="974"/>
      <c r="UWP100" s="974"/>
      <c r="UWQ100" s="974"/>
      <c r="UWR100" s="974"/>
      <c r="UWS100" s="974"/>
      <c r="UWT100" s="974"/>
      <c r="UWU100" s="974"/>
      <c r="UWV100" s="974"/>
      <c r="UWW100" s="974"/>
      <c r="UWX100" s="974"/>
      <c r="UWY100" s="974"/>
      <c r="UWZ100" s="974"/>
      <c r="UXA100" s="974"/>
      <c r="UXB100" s="974"/>
      <c r="UXC100" s="974"/>
      <c r="UXD100" s="974"/>
      <c r="UXE100" s="974"/>
      <c r="UXF100" s="974"/>
      <c r="UXG100" s="974"/>
      <c r="UXH100" s="974"/>
      <c r="UXI100" s="974"/>
      <c r="UXJ100" s="974"/>
      <c r="UXK100" s="974"/>
      <c r="UXL100" s="974"/>
      <c r="UXM100" s="974"/>
      <c r="UXN100" s="974"/>
      <c r="UXO100" s="974"/>
      <c r="UXP100" s="974"/>
      <c r="UXQ100" s="974"/>
      <c r="UXR100" s="974"/>
      <c r="UXS100" s="974"/>
      <c r="UXT100" s="974"/>
      <c r="UXU100" s="974"/>
      <c r="UXV100" s="974"/>
      <c r="UXW100" s="974"/>
      <c r="UXX100" s="974"/>
      <c r="UXY100" s="974"/>
      <c r="UXZ100" s="974"/>
      <c r="UYA100" s="974"/>
      <c r="UYB100" s="974"/>
      <c r="UYC100" s="974"/>
      <c r="UYD100" s="974"/>
      <c r="UYE100" s="974"/>
      <c r="UYF100" s="974"/>
      <c r="UYG100" s="974"/>
      <c r="UYH100" s="974"/>
      <c r="UYI100" s="974"/>
      <c r="UYJ100" s="974"/>
      <c r="UYK100" s="974"/>
      <c r="UYL100" s="974"/>
      <c r="UYM100" s="974"/>
      <c r="UYN100" s="974"/>
      <c r="UYO100" s="974"/>
      <c r="UYP100" s="974"/>
      <c r="UYQ100" s="974"/>
      <c r="UYR100" s="974"/>
      <c r="UYS100" s="974"/>
      <c r="UYT100" s="974"/>
      <c r="UYU100" s="974"/>
      <c r="UYV100" s="974"/>
      <c r="UYW100" s="974"/>
      <c r="UYX100" s="974"/>
      <c r="UYY100" s="974"/>
      <c r="UYZ100" s="974"/>
      <c r="UZA100" s="974"/>
      <c r="UZB100" s="974"/>
      <c r="UZC100" s="974"/>
      <c r="UZD100" s="974"/>
      <c r="UZE100" s="974"/>
      <c r="UZF100" s="974"/>
      <c r="UZG100" s="974"/>
      <c r="UZH100" s="974"/>
      <c r="UZI100" s="974"/>
      <c r="UZJ100" s="974"/>
      <c r="UZK100" s="974"/>
      <c r="UZL100" s="974"/>
      <c r="UZM100" s="974"/>
      <c r="UZN100" s="974"/>
      <c r="UZO100" s="974"/>
      <c r="UZP100" s="974"/>
      <c r="UZQ100" s="974"/>
      <c r="UZR100" s="974"/>
      <c r="UZS100" s="974"/>
      <c r="UZT100" s="974"/>
      <c r="UZU100" s="974"/>
      <c r="UZV100" s="974"/>
      <c r="UZW100" s="974"/>
      <c r="UZX100" s="974"/>
      <c r="UZY100" s="974"/>
      <c r="UZZ100" s="974"/>
      <c r="VAA100" s="974"/>
      <c r="VAB100" s="974"/>
      <c r="VAC100" s="974"/>
      <c r="VAD100" s="974"/>
      <c r="VAE100" s="974"/>
      <c r="VAF100" s="974"/>
      <c r="VAG100" s="974"/>
      <c r="VAH100" s="974"/>
      <c r="VAI100" s="974"/>
      <c r="VAJ100" s="974"/>
      <c r="VAK100" s="974"/>
      <c r="VAL100" s="974"/>
      <c r="VAM100" s="974"/>
      <c r="VAN100" s="974"/>
      <c r="VAO100" s="974"/>
      <c r="VAP100" s="974"/>
      <c r="VAQ100" s="974"/>
      <c r="VAR100" s="974"/>
      <c r="VAS100" s="974"/>
      <c r="VAT100" s="974"/>
      <c r="VAU100" s="974"/>
      <c r="VAV100" s="974"/>
      <c r="VAW100" s="974"/>
      <c r="VAX100" s="974"/>
      <c r="VAY100" s="974"/>
      <c r="VAZ100" s="974"/>
      <c r="VBA100" s="974"/>
      <c r="VBB100" s="974"/>
      <c r="VBC100" s="974"/>
      <c r="VBD100" s="974"/>
      <c r="VBE100" s="974"/>
      <c r="VBF100" s="974"/>
      <c r="VBG100" s="974"/>
      <c r="VBH100" s="974"/>
      <c r="VBI100" s="974"/>
      <c r="VBJ100" s="974"/>
      <c r="VBK100" s="974"/>
      <c r="VBL100" s="974"/>
      <c r="VBM100" s="974"/>
      <c r="VBN100" s="974"/>
      <c r="VBO100" s="974"/>
      <c r="VBP100" s="974"/>
      <c r="VBQ100" s="974"/>
      <c r="VBR100" s="974"/>
      <c r="VBS100" s="974"/>
      <c r="VBT100" s="974"/>
      <c r="VBU100" s="974"/>
      <c r="VBV100" s="974"/>
      <c r="VBW100" s="974"/>
      <c r="VBX100" s="974"/>
      <c r="VBY100" s="974"/>
      <c r="VBZ100" s="974"/>
      <c r="VCA100" s="974"/>
      <c r="VCB100" s="974"/>
      <c r="VCC100" s="974"/>
      <c r="VCD100" s="974"/>
      <c r="VCE100" s="974"/>
      <c r="VCF100" s="974"/>
      <c r="VCG100" s="974"/>
      <c r="VCH100" s="974"/>
      <c r="VCI100" s="974"/>
      <c r="VCJ100" s="974"/>
      <c r="VCK100" s="974"/>
      <c r="VCL100" s="974"/>
      <c r="VCM100" s="974"/>
      <c r="VCN100" s="974"/>
      <c r="VCO100" s="974"/>
      <c r="VCP100" s="974"/>
      <c r="VCQ100" s="974"/>
      <c r="VCR100" s="974"/>
      <c r="VCS100" s="974"/>
      <c r="VCT100" s="974"/>
      <c r="VCU100" s="974"/>
      <c r="VCV100" s="974"/>
      <c r="VCW100" s="974"/>
      <c r="VCX100" s="974"/>
      <c r="VCY100" s="974"/>
      <c r="VCZ100" s="974"/>
      <c r="VDA100" s="974"/>
      <c r="VDB100" s="974"/>
      <c r="VDC100" s="974"/>
      <c r="VDD100" s="974"/>
      <c r="VDE100" s="974"/>
      <c r="VDF100" s="974"/>
      <c r="VDG100" s="974"/>
      <c r="VDH100" s="974"/>
      <c r="VDI100" s="974"/>
      <c r="VDJ100" s="974"/>
      <c r="VDK100" s="974"/>
      <c r="VDL100" s="974"/>
      <c r="VDM100" s="974"/>
      <c r="VDN100" s="974"/>
      <c r="VDO100" s="974"/>
      <c r="VDP100" s="974"/>
      <c r="VDQ100" s="974"/>
      <c r="VDR100" s="974"/>
      <c r="VDS100" s="974"/>
      <c r="VDT100" s="974"/>
      <c r="VDU100" s="974"/>
      <c r="VDV100" s="974"/>
      <c r="VDW100" s="974"/>
      <c r="VDX100" s="974"/>
      <c r="VDY100" s="974"/>
      <c r="VDZ100" s="974"/>
      <c r="VEA100" s="974"/>
      <c r="VEB100" s="974"/>
      <c r="VEC100" s="974"/>
      <c r="VED100" s="974"/>
      <c r="VEE100" s="974"/>
      <c r="VEF100" s="974"/>
      <c r="VEG100" s="974"/>
      <c r="VEH100" s="974"/>
      <c r="VEI100" s="974"/>
      <c r="VEJ100" s="974"/>
      <c r="VEK100" s="974"/>
      <c r="VEL100" s="974"/>
      <c r="VEM100" s="974"/>
      <c r="VEN100" s="974"/>
      <c r="VEO100" s="974"/>
      <c r="VEP100" s="974"/>
      <c r="VEQ100" s="974"/>
      <c r="VER100" s="974"/>
      <c r="VES100" s="974"/>
      <c r="VET100" s="974"/>
      <c r="VEU100" s="974"/>
      <c r="VEV100" s="974"/>
      <c r="VEW100" s="974"/>
      <c r="VEX100" s="974"/>
      <c r="VEY100" s="974"/>
      <c r="VEZ100" s="974"/>
      <c r="VFA100" s="974"/>
      <c r="VFB100" s="974"/>
      <c r="VFC100" s="974"/>
      <c r="VFD100" s="974"/>
      <c r="VFE100" s="974"/>
      <c r="VFF100" s="974"/>
      <c r="VFG100" s="974"/>
      <c r="VFH100" s="974"/>
      <c r="VFI100" s="974"/>
      <c r="VFJ100" s="974"/>
      <c r="VFK100" s="974"/>
      <c r="VFL100" s="974"/>
      <c r="VFM100" s="974"/>
      <c r="VFN100" s="974"/>
      <c r="VFO100" s="974"/>
      <c r="VFP100" s="974"/>
      <c r="VFQ100" s="974"/>
      <c r="VFR100" s="974"/>
      <c r="VFS100" s="974"/>
      <c r="VFT100" s="974"/>
      <c r="VFU100" s="974"/>
      <c r="VFV100" s="974"/>
      <c r="VFW100" s="974"/>
      <c r="VFX100" s="974"/>
      <c r="VFY100" s="974"/>
      <c r="VFZ100" s="974"/>
      <c r="VGA100" s="974"/>
      <c r="VGB100" s="974"/>
      <c r="VGC100" s="974"/>
      <c r="VGD100" s="974"/>
      <c r="VGE100" s="974"/>
      <c r="VGF100" s="974"/>
      <c r="VGG100" s="974"/>
      <c r="VGH100" s="974"/>
      <c r="VGI100" s="974"/>
      <c r="VGJ100" s="974"/>
      <c r="VGK100" s="974"/>
      <c r="VGL100" s="974"/>
      <c r="VGM100" s="974"/>
      <c r="VGN100" s="974"/>
      <c r="VGO100" s="974"/>
      <c r="VGP100" s="974"/>
      <c r="VGQ100" s="974"/>
      <c r="VGR100" s="974"/>
      <c r="VGS100" s="974"/>
      <c r="VGT100" s="974"/>
      <c r="VGU100" s="974"/>
      <c r="VGV100" s="974"/>
      <c r="VGW100" s="974"/>
      <c r="VGX100" s="974"/>
      <c r="VGY100" s="974"/>
      <c r="VGZ100" s="974"/>
      <c r="VHA100" s="974"/>
      <c r="VHB100" s="974"/>
      <c r="VHC100" s="974"/>
      <c r="VHD100" s="974"/>
      <c r="VHE100" s="974"/>
      <c r="VHF100" s="974"/>
      <c r="VHG100" s="974"/>
      <c r="VHH100" s="974"/>
      <c r="VHI100" s="974"/>
      <c r="VHJ100" s="974"/>
      <c r="VHK100" s="974"/>
      <c r="VHL100" s="974"/>
      <c r="VHM100" s="974"/>
      <c r="VHN100" s="974"/>
      <c r="VHO100" s="974"/>
      <c r="VHP100" s="974"/>
      <c r="VHQ100" s="974"/>
      <c r="VHR100" s="974"/>
      <c r="VHS100" s="974"/>
      <c r="VHT100" s="974"/>
      <c r="VHU100" s="974"/>
      <c r="VHV100" s="974"/>
      <c r="VHW100" s="974"/>
      <c r="VHX100" s="974"/>
      <c r="VHY100" s="974"/>
      <c r="VHZ100" s="974"/>
      <c r="VIA100" s="974"/>
      <c r="VIB100" s="974"/>
      <c r="VIC100" s="974"/>
      <c r="VID100" s="974"/>
      <c r="VIE100" s="974"/>
      <c r="VIF100" s="974"/>
      <c r="VIG100" s="974"/>
      <c r="VIH100" s="974"/>
      <c r="VII100" s="974"/>
      <c r="VIJ100" s="974"/>
      <c r="VIK100" s="974"/>
      <c r="VIL100" s="974"/>
      <c r="VIM100" s="974"/>
      <c r="VIN100" s="974"/>
      <c r="VIO100" s="974"/>
      <c r="VIP100" s="974"/>
      <c r="VIQ100" s="974"/>
      <c r="VIR100" s="974"/>
      <c r="VIS100" s="974"/>
      <c r="VIT100" s="974"/>
      <c r="VIU100" s="974"/>
      <c r="VIV100" s="974"/>
      <c r="VIW100" s="974"/>
      <c r="VIX100" s="974"/>
      <c r="VIY100" s="974"/>
      <c r="VIZ100" s="974"/>
      <c r="VJA100" s="974"/>
      <c r="VJB100" s="974"/>
      <c r="VJC100" s="974"/>
      <c r="VJD100" s="974"/>
      <c r="VJE100" s="974"/>
      <c r="VJF100" s="974"/>
      <c r="VJG100" s="974"/>
      <c r="VJH100" s="974"/>
      <c r="VJI100" s="974"/>
      <c r="VJJ100" s="974"/>
      <c r="VJK100" s="974"/>
      <c r="VJL100" s="974"/>
      <c r="VJM100" s="974"/>
      <c r="VJN100" s="974"/>
      <c r="VJO100" s="974"/>
      <c r="VJP100" s="974"/>
      <c r="VJQ100" s="974"/>
      <c r="VJR100" s="974"/>
      <c r="VJS100" s="974"/>
      <c r="VJT100" s="974"/>
      <c r="VJU100" s="974"/>
      <c r="VJV100" s="974"/>
      <c r="VJW100" s="974"/>
      <c r="VJX100" s="974"/>
      <c r="VJY100" s="974"/>
      <c r="VJZ100" s="974"/>
      <c r="VKA100" s="974"/>
      <c r="VKB100" s="974"/>
      <c r="VKC100" s="974"/>
      <c r="VKD100" s="974"/>
      <c r="VKE100" s="974"/>
      <c r="VKF100" s="974"/>
      <c r="VKG100" s="974"/>
      <c r="VKH100" s="974"/>
      <c r="VKI100" s="974"/>
      <c r="VKJ100" s="974"/>
      <c r="VKK100" s="974"/>
      <c r="VKL100" s="974"/>
      <c r="VKM100" s="974"/>
      <c r="VKN100" s="974"/>
      <c r="VKO100" s="974"/>
      <c r="VKP100" s="974"/>
      <c r="VKQ100" s="974"/>
      <c r="VKR100" s="974"/>
      <c r="VKS100" s="974"/>
      <c r="VKT100" s="974"/>
      <c r="VKU100" s="974"/>
      <c r="VKV100" s="974"/>
      <c r="VKW100" s="974"/>
      <c r="VKX100" s="974"/>
      <c r="VKY100" s="974"/>
      <c r="VKZ100" s="974"/>
      <c r="VLA100" s="974"/>
      <c r="VLB100" s="974"/>
      <c r="VLC100" s="974"/>
      <c r="VLD100" s="974"/>
      <c r="VLE100" s="974"/>
      <c r="VLF100" s="974"/>
      <c r="VLG100" s="974"/>
      <c r="VLH100" s="974"/>
      <c r="VLI100" s="974"/>
      <c r="VLJ100" s="974"/>
      <c r="VLK100" s="974"/>
      <c r="VLL100" s="974"/>
      <c r="VLM100" s="974"/>
      <c r="VLN100" s="974"/>
      <c r="VLO100" s="974"/>
      <c r="VLP100" s="974"/>
      <c r="VLQ100" s="974"/>
      <c r="VLR100" s="974"/>
      <c r="VLS100" s="974"/>
      <c r="VLT100" s="974"/>
      <c r="VLU100" s="974"/>
      <c r="VLV100" s="974"/>
      <c r="VLW100" s="974"/>
      <c r="VLX100" s="974"/>
      <c r="VLY100" s="974"/>
      <c r="VLZ100" s="974"/>
      <c r="VMA100" s="974"/>
      <c r="VMB100" s="974"/>
      <c r="VMC100" s="974"/>
      <c r="VMD100" s="974"/>
      <c r="VME100" s="974"/>
      <c r="VMF100" s="974"/>
      <c r="VMG100" s="974"/>
      <c r="VMH100" s="974"/>
      <c r="VMI100" s="974"/>
      <c r="VMJ100" s="974"/>
      <c r="VMK100" s="974"/>
      <c r="VML100" s="974"/>
      <c r="VMM100" s="974"/>
      <c r="VMN100" s="974"/>
      <c r="VMO100" s="974"/>
      <c r="VMP100" s="974"/>
      <c r="VMQ100" s="974"/>
      <c r="VMR100" s="974"/>
      <c r="VMS100" s="974"/>
      <c r="VMT100" s="974"/>
      <c r="VMU100" s="974"/>
      <c r="VMV100" s="974"/>
      <c r="VMW100" s="974"/>
      <c r="VMX100" s="974"/>
      <c r="VMY100" s="974"/>
      <c r="VMZ100" s="974"/>
      <c r="VNA100" s="974"/>
      <c r="VNB100" s="974"/>
      <c r="VNC100" s="974"/>
      <c r="VND100" s="974"/>
      <c r="VNE100" s="974"/>
      <c r="VNF100" s="974"/>
      <c r="VNG100" s="974"/>
      <c r="VNH100" s="974"/>
      <c r="VNI100" s="974"/>
      <c r="VNJ100" s="974"/>
      <c r="VNK100" s="974"/>
      <c r="VNL100" s="974"/>
      <c r="VNM100" s="974"/>
      <c r="VNN100" s="974"/>
      <c r="VNO100" s="974"/>
      <c r="VNP100" s="974"/>
      <c r="VNQ100" s="974"/>
      <c r="VNR100" s="974"/>
      <c r="VNS100" s="974"/>
      <c r="VNT100" s="974"/>
      <c r="VNU100" s="974"/>
      <c r="VNV100" s="974"/>
      <c r="VNW100" s="974"/>
      <c r="VNX100" s="974"/>
      <c r="VNY100" s="974"/>
      <c r="VNZ100" s="974"/>
      <c r="VOA100" s="974"/>
      <c r="VOB100" s="974"/>
      <c r="VOC100" s="974"/>
      <c r="VOD100" s="974"/>
      <c r="VOE100" s="974"/>
      <c r="VOF100" s="974"/>
      <c r="VOG100" s="974"/>
      <c r="VOH100" s="974"/>
      <c r="VOI100" s="974"/>
      <c r="VOJ100" s="974"/>
      <c r="VOK100" s="974"/>
      <c r="VOL100" s="974"/>
      <c r="VOM100" s="974"/>
      <c r="VON100" s="974"/>
      <c r="VOO100" s="974"/>
      <c r="VOP100" s="974"/>
      <c r="VOQ100" s="974"/>
      <c r="VOR100" s="974"/>
      <c r="VOS100" s="974"/>
      <c r="VOT100" s="974"/>
      <c r="VOU100" s="974"/>
      <c r="VOV100" s="974"/>
      <c r="VOW100" s="974"/>
      <c r="VOX100" s="974"/>
      <c r="VOY100" s="974"/>
      <c r="VOZ100" s="974"/>
      <c r="VPA100" s="974"/>
      <c r="VPB100" s="974"/>
      <c r="VPC100" s="974"/>
      <c r="VPD100" s="974"/>
      <c r="VPE100" s="974"/>
      <c r="VPF100" s="974"/>
      <c r="VPG100" s="974"/>
      <c r="VPH100" s="974"/>
      <c r="VPI100" s="974"/>
      <c r="VPJ100" s="974"/>
      <c r="VPK100" s="974"/>
      <c r="VPL100" s="974"/>
      <c r="VPM100" s="974"/>
      <c r="VPN100" s="974"/>
      <c r="VPO100" s="974"/>
      <c r="VPP100" s="974"/>
      <c r="VPQ100" s="974"/>
      <c r="VPR100" s="974"/>
      <c r="VPS100" s="974"/>
      <c r="VPT100" s="974"/>
      <c r="VPU100" s="974"/>
      <c r="VPV100" s="974"/>
      <c r="VPW100" s="974"/>
      <c r="VPX100" s="974"/>
      <c r="VPY100" s="974"/>
      <c r="VPZ100" s="974"/>
      <c r="VQA100" s="974"/>
      <c r="VQB100" s="974"/>
      <c r="VQC100" s="974"/>
      <c r="VQD100" s="974"/>
      <c r="VQE100" s="974"/>
      <c r="VQF100" s="974"/>
      <c r="VQG100" s="974"/>
      <c r="VQH100" s="974"/>
      <c r="VQI100" s="974"/>
      <c r="VQJ100" s="974"/>
      <c r="VQK100" s="974"/>
      <c r="VQL100" s="974"/>
      <c r="VQM100" s="974"/>
      <c r="VQN100" s="974"/>
      <c r="VQO100" s="974"/>
      <c r="VQP100" s="974"/>
      <c r="VQQ100" s="974"/>
      <c r="VQR100" s="974"/>
      <c r="VQS100" s="974"/>
      <c r="VQT100" s="974"/>
      <c r="VQU100" s="974"/>
      <c r="VQV100" s="974"/>
      <c r="VQW100" s="974"/>
      <c r="VQX100" s="974"/>
      <c r="VQY100" s="974"/>
      <c r="VQZ100" s="974"/>
      <c r="VRA100" s="974"/>
      <c r="VRB100" s="974"/>
      <c r="VRC100" s="974"/>
      <c r="VRD100" s="974"/>
      <c r="VRE100" s="974"/>
      <c r="VRF100" s="974"/>
      <c r="VRG100" s="974"/>
      <c r="VRH100" s="974"/>
      <c r="VRI100" s="974"/>
      <c r="VRJ100" s="974"/>
      <c r="VRK100" s="974"/>
      <c r="VRL100" s="974"/>
      <c r="VRM100" s="974"/>
      <c r="VRN100" s="974"/>
      <c r="VRO100" s="974"/>
      <c r="VRP100" s="974"/>
      <c r="VRQ100" s="974"/>
      <c r="VRR100" s="974"/>
      <c r="VRS100" s="974"/>
      <c r="VRT100" s="974"/>
      <c r="VRU100" s="974"/>
      <c r="VRV100" s="974"/>
      <c r="VRW100" s="974"/>
      <c r="VRX100" s="974"/>
      <c r="VRY100" s="974"/>
      <c r="VRZ100" s="974"/>
      <c r="VSA100" s="974"/>
      <c r="VSB100" s="974"/>
      <c r="VSC100" s="974"/>
      <c r="VSD100" s="974"/>
      <c r="VSE100" s="974"/>
      <c r="VSF100" s="974"/>
      <c r="VSG100" s="974"/>
      <c r="VSH100" s="974"/>
      <c r="VSI100" s="974"/>
      <c r="VSJ100" s="974"/>
      <c r="VSK100" s="974"/>
      <c r="VSL100" s="974"/>
      <c r="VSM100" s="974"/>
      <c r="VSN100" s="974"/>
      <c r="VSO100" s="974"/>
      <c r="VSP100" s="974"/>
      <c r="VSQ100" s="974"/>
      <c r="VSR100" s="974"/>
      <c r="VSS100" s="974"/>
      <c r="VST100" s="974"/>
      <c r="VSU100" s="974"/>
      <c r="VSV100" s="974"/>
      <c r="VSW100" s="974"/>
      <c r="VSX100" s="974"/>
      <c r="VSY100" s="974"/>
      <c r="VSZ100" s="974"/>
      <c r="VTA100" s="974"/>
      <c r="VTB100" s="974"/>
      <c r="VTC100" s="974"/>
      <c r="VTD100" s="974"/>
      <c r="VTE100" s="974"/>
      <c r="VTF100" s="974"/>
      <c r="VTG100" s="974"/>
      <c r="VTH100" s="974"/>
      <c r="VTI100" s="974"/>
      <c r="VTJ100" s="974"/>
      <c r="VTK100" s="974"/>
      <c r="VTL100" s="974"/>
      <c r="VTM100" s="974"/>
      <c r="VTN100" s="974"/>
      <c r="VTO100" s="974"/>
      <c r="VTP100" s="974"/>
      <c r="VTQ100" s="974"/>
      <c r="VTR100" s="974"/>
      <c r="VTS100" s="974"/>
      <c r="VTT100" s="974"/>
      <c r="VTU100" s="974"/>
      <c r="VTV100" s="974"/>
      <c r="VTW100" s="974"/>
      <c r="VTX100" s="974"/>
      <c r="VTY100" s="974"/>
      <c r="VTZ100" s="974"/>
      <c r="VUA100" s="974"/>
      <c r="VUB100" s="974"/>
      <c r="VUC100" s="974"/>
      <c r="VUD100" s="974"/>
      <c r="VUE100" s="974"/>
      <c r="VUF100" s="974"/>
      <c r="VUG100" s="974"/>
      <c r="VUH100" s="974"/>
      <c r="VUI100" s="974"/>
      <c r="VUJ100" s="974"/>
      <c r="VUK100" s="974"/>
      <c r="VUL100" s="974"/>
      <c r="VUM100" s="974"/>
      <c r="VUN100" s="974"/>
      <c r="VUO100" s="974"/>
      <c r="VUP100" s="974"/>
      <c r="VUQ100" s="974"/>
      <c r="VUR100" s="974"/>
      <c r="VUS100" s="974"/>
      <c r="VUT100" s="974"/>
      <c r="VUU100" s="974"/>
      <c r="VUV100" s="974"/>
      <c r="VUW100" s="974"/>
      <c r="VUX100" s="974"/>
      <c r="VUY100" s="974"/>
      <c r="VUZ100" s="974"/>
      <c r="VVA100" s="974"/>
      <c r="VVB100" s="974"/>
      <c r="VVC100" s="974"/>
      <c r="VVD100" s="974"/>
      <c r="VVE100" s="974"/>
      <c r="VVF100" s="974"/>
      <c r="VVG100" s="974"/>
      <c r="VVH100" s="974"/>
      <c r="VVI100" s="974"/>
      <c r="VVJ100" s="974"/>
      <c r="VVK100" s="974"/>
      <c r="VVL100" s="974"/>
      <c r="VVM100" s="974"/>
      <c r="VVN100" s="974"/>
      <c r="VVO100" s="974"/>
      <c r="VVP100" s="974"/>
      <c r="VVQ100" s="974"/>
      <c r="VVR100" s="974"/>
      <c r="VVS100" s="974"/>
      <c r="VVT100" s="974"/>
      <c r="VVU100" s="974"/>
      <c r="VVV100" s="974"/>
      <c r="VVW100" s="974"/>
      <c r="VVX100" s="974"/>
      <c r="VVY100" s="974"/>
      <c r="VVZ100" s="974"/>
      <c r="VWA100" s="974"/>
      <c r="VWB100" s="974"/>
      <c r="VWC100" s="974"/>
      <c r="VWD100" s="974"/>
      <c r="VWE100" s="974"/>
      <c r="VWF100" s="974"/>
      <c r="VWG100" s="974"/>
      <c r="VWH100" s="974"/>
      <c r="VWI100" s="974"/>
      <c r="VWJ100" s="974"/>
      <c r="VWK100" s="974"/>
      <c r="VWL100" s="974"/>
      <c r="VWM100" s="974"/>
      <c r="VWN100" s="974"/>
      <c r="VWO100" s="974"/>
      <c r="VWP100" s="974"/>
      <c r="VWQ100" s="974"/>
      <c r="VWR100" s="974"/>
      <c r="VWS100" s="974"/>
      <c r="VWT100" s="974"/>
      <c r="VWU100" s="974"/>
      <c r="VWV100" s="974"/>
      <c r="VWW100" s="974"/>
      <c r="VWX100" s="974"/>
      <c r="VWY100" s="974"/>
      <c r="VWZ100" s="974"/>
      <c r="VXA100" s="974"/>
      <c r="VXB100" s="974"/>
      <c r="VXC100" s="974"/>
      <c r="VXD100" s="974"/>
      <c r="VXE100" s="974"/>
      <c r="VXF100" s="974"/>
      <c r="VXG100" s="974"/>
      <c r="VXH100" s="974"/>
      <c r="VXI100" s="974"/>
      <c r="VXJ100" s="974"/>
      <c r="VXK100" s="974"/>
      <c r="VXL100" s="974"/>
      <c r="VXM100" s="974"/>
      <c r="VXN100" s="974"/>
      <c r="VXO100" s="974"/>
      <c r="VXP100" s="974"/>
      <c r="VXQ100" s="974"/>
      <c r="VXR100" s="974"/>
      <c r="VXS100" s="974"/>
      <c r="VXT100" s="974"/>
      <c r="VXU100" s="974"/>
      <c r="VXV100" s="974"/>
      <c r="VXW100" s="974"/>
      <c r="VXX100" s="974"/>
      <c r="VXY100" s="974"/>
      <c r="VXZ100" s="974"/>
      <c r="VYA100" s="974"/>
      <c r="VYB100" s="974"/>
      <c r="VYC100" s="974"/>
      <c r="VYD100" s="974"/>
      <c r="VYE100" s="974"/>
      <c r="VYF100" s="974"/>
      <c r="VYG100" s="974"/>
      <c r="VYH100" s="974"/>
      <c r="VYI100" s="974"/>
      <c r="VYJ100" s="974"/>
      <c r="VYK100" s="974"/>
      <c r="VYL100" s="974"/>
      <c r="VYM100" s="974"/>
      <c r="VYN100" s="974"/>
      <c r="VYO100" s="974"/>
      <c r="VYP100" s="974"/>
      <c r="VYQ100" s="974"/>
      <c r="VYR100" s="974"/>
      <c r="VYS100" s="974"/>
      <c r="VYT100" s="974"/>
      <c r="VYU100" s="974"/>
      <c r="VYV100" s="974"/>
      <c r="VYW100" s="974"/>
      <c r="VYX100" s="974"/>
      <c r="VYY100" s="974"/>
      <c r="VYZ100" s="974"/>
      <c r="VZA100" s="974"/>
      <c r="VZB100" s="974"/>
      <c r="VZC100" s="974"/>
      <c r="VZD100" s="974"/>
      <c r="VZE100" s="974"/>
      <c r="VZF100" s="974"/>
      <c r="VZG100" s="974"/>
      <c r="VZH100" s="974"/>
      <c r="VZI100" s="974"/>
      <c r="VZJ100" s="974"/>
      <c r="VZK100" s="974"/>
      <c r="VZL100" s="974"/>
      <c r="VZM100" s="974"/>
      <c r="VZN100" s="974"/>
      <c r="VZO100" s="974"/>
      <c r="VZP100" s="974"/>
      <c r="VZQ100" s="974"/>
      <c r="VZR100" s="974"/>
      <c r="VZS100" s="974"/>
      <c r="VZT100" s="974"/>
      <c r="VZU100" s="974"/>
      <c r="VZV100" s="974"/>
      <c r="VZW100" s="974"/>
      <c r="VZX100" s="974"/>
      <c r="VZY100" s="974"/>
      <c r="VZZ100" s="974"/>
      <c r="WAA100" s="974"/>
      <c r="WAB100" s="974"/>
      <c r="WAC100" s="974"/>
      <c r="WAD100" s="974"/>
      <c r="WAE100" s="974"/>
      <c r="WAF100" s="974"/>
      <c r="WAG100" s="974"/>
      <c r="WAH100" s="974"/>
      <c r="WAI100" s="974"/>
      <c r="WAJ100" s="974"/>
      <c r="WAK100" s="974"/>
      <c r="WAL100" s="974"/>
      <c r="WAM100" s="974"/>
      <c r="WAN100" s="974"/>
      <c r="WAO100" s="974"/>
      <c r="WAP100" s="974"/>
      <c r="WAQ100" s="974"/>
      <c r="WAR100" s="974"/>
      <c r="WAS100" s="974"/>
      <c r="WAT100" s="974"/>
      <c r="WAU100" s="974"/>
      <c r="WAV100" s="974"/>
      <c r="WAW100" s="974"/>
      <c r="WAX100" s="974"/>
      <c r="WAY100" s="974"/>
      <c r="WAZ100" s="974"/>
      <c r="WBA100" s="974"/>
      <c r="WBB100" s="974"/>
      <c r="WBC100" s="974"/>
      <c r="WBD100" s="974"/>
      <c r="WBE100" s="974"/>
      <c r="WBF100" s="974"/>
      <c r="WBG100" s="974"/>
      <c r="WBH100" s="974"/>
      <c r="WBI100" s="974"/>
      <c r="WBJ100" s="974"/>
      <c r="WBK100" s="974"/>
      <c r="WBL100" s="974"/>
      <c r="WBM100" s="974"/>
      <c r="WBN100" s="974"/>
      <c r="WBO100" s="974"/>
      <c r="WBP100" s="974"/>
      <c r="WBQ100" s="974"/>
      <c r="WBR100" s="974"/>
      <c r="WBS100" s="974"/>
      <c r="WBT100" s="974"/>
      <c r="WBU100" s="974"/>
      <c r="WBV100" s="974"/>
      <c r="WBW100" s="974"/>
      <c r="WBX100" s="974"/>
      <c r="WBY100" s="974"/>
      <c r="WBZ100" s="974"/>
      <c r="WCA100" s="974"/>
      <c r="WCB100" s="974"/>
      <c r="WCC100" s="974"/>
      <c r="WCD100" s="974"/>
      <c r="WCE100" s="974"/>
      <c r="WCF100" s="974"/>
      <c r="WCG100" s="974"/>
      <c r="WCH100" s="974"/>
      <c r="WCI100" s="974"/>
      <c r="WCJ100" s="974"/>
      <c r="WCK100" s="974"/>
      <c r="WCL100" s="974"/>
      <c r="WCM100" s="974"/>
      <c r="WCN100" s="974"/>
      <c r="WCO100" s="974"/>
      <c r="WCP100" s="974"/>
      <c r="WCQ100" s="974"/>
      <c r="WCR100" s="974"/>
      <c r="WCS100" s="974"/>
      <c r="WCT100" s="974"/>
      <c r="WCU100" s="974"/>
      <c r="WCV100" s="974"/>
      <c r="WCW100" s="974"/>
      <c r="WCX100" s="974"/>
      <c r="WCY100" s="974"/>
      <c r="WCZ100" s="974"/>
      <c r="WDA100" s="974"/>
      <c r="WDB100" s="974"/>
      <c r="WDC100" s="974"/>
      <c r="WDD100" s="974"/>
      <c r="WDE100" s="974"/>
      <c r="WDF100" s="974"/>
      <c r="WDG100" s="974"/>
      <c r="WDH100" s="974"/>
      <c r="WDI100" s="974"/>
      <c r="WDJ100" s="974"/>
      <c r="WDK100" s="974"/>
      <c r="WDL100" s="974"/>
      <c r="WDM100" s="974"/>
      <c r="WDN100" s="974"/>
      <c r="WDO100" s="974"/>
      <c r="WDP100" s="974"/>
      <c r="WDQ100" s="974"/>
      <c r="WDR100" s="974"/>
      <c r="WDS100" s="974"/>
      <c r="WDT100" s="974"/>
      <c r="WDU100" s="974"/>
      <c r="WDV100" s="974"/>
      <c r="WDW100" s="974"/>
      <c r="WDX100" s="974"/>
      <c r="WDY100" s="974"/>
      <c r="WDZ100" s="974"/>
      <c r="WEA100" s="974"/>
      <c r="WEB100" s="974"/>
      <c r="WEC100" s="974"/>
      <c r="WED100" s="974"/>
      <c r="WEE100" s="974"/>
      <c r="WEF100" s="974"/>
      <c r="WEG100" s="974"/>
      <c r="WEH100" s="974"/>
      <c r="WEI100" s="974"/>
      <c r="WEJ100" s="974"/>
      <c r="WEK100" s="974"/>
      <c r="WEL100" s="974"/>
      <c r="WEM100" s="974"/>
      <c r="WEN100" s="974"/>
      <c r="WEO100" s="974"/>
      <c r="WEP100" s="974"/>
      <c r="WEQ100" s="974"/>
      <c r="WER100" s="974"/>
      <c r="WES100" s="974"/>
      <c r="WET100" s="974"/>
      <c r="WEU100" s="974"/>
      <c r="WEV100" s="974"/>
      <c r="WEW100" s="974"/>
      <c r="WEX100" s="974"/>
      <c r="WEY100" s="974"/>
      <c r="WEZ100" s="974"/>
      <c r="WFA100" s="974"/>
      <c r="WFB100" s="974"/>
      <c r="WFC100" s="974"/>
      <c r="WFD100" s="974"/>
      <c r="WFE100" s="974"/>
      <c r="WFF100" s="974"/>
      <c r="WFG100" s="974"/>
      <c r="WFH100" s="974"/>
      <c r="WFI100" s="974"/>
      <c r="WFJ100" s="974"/>
      <c r="WFK100" s="974"/>
      <c r="WFL100" s="974"/>
      <c r="WFM100" s="974"/>
      <c r="WFN100" s="974"/>
      <c r="WFO100" s="974"/>
      <c r="WFP100" s="974"/>
      <c r="WFQ100" s="974"/>
      <c r="WFR100" s="974"/>
      <c r="WFS100" s="974"/>
      <c r="WFT100" s="974"/>
      <c r="WFU100" s="974"/>
      <c r="WFV100" s="974"/>
      <c r="WFW100" s="974"/>
      <c r="WFX100" s="974"/>
      <c r="WFY100" s="974"/>
      <c r="WFZ100" s="974"/>
      <c r="WGA100" s="974"/>
      <c r="WGB100" s="974"/>
      <c r="WGC100" s="974"/>
      <c r="WGD100" s="974"/>
      <c r="WGE100" s="974"/>
      <c r="WGF100" s="974"/>
      <c r="WGG100" s="974"/>
      <c r="WGH100" s="974"/>
      <c r="WGI100" s="974"/>
      <c r="WGJ100" s="974"/>
      <c r="WGK100" s="974"/>
      <c r="WGL100" s="974"/>
      <c r="WGM100" s="974"/>
      <c r="WGN100" s="974"/>
      <c r="WGO100" s="974"/>
      <c r="WGP100" s="974"/>
      <c r="WGQ100" s="974"/>
      <c r="WGR100" s="974"/>
      <c r="WGS100" s="974"/>
      <c r="WGT100" s="974"/>
      <c r="WGU100" s="974"/>
      <c r="WGV100" s="974"/>
      <c r="WGW100" s="974"/>
      <c r="WGX100" s="974"/>
      <c r="WGY100" s="974"/>
      <c r="WGZ100" s="974"/>
      <c r="WHA100" s="974"/>
      <c r="WHB100" s="974"/>
      <c r="WHC100" s="974"/>
      <c r="WHD100" s="974"/>
      <c r="WHE100" s="974"/>
      <c r="WHF100" s="974"/>
      <c r="WHG100" s="974"/>
      <c r="WHH100" s="974"/>
      <c r="WHI100" s="974"/>
      <c r="WHJ100" s="974"/>
      <c r="WHK100" s="974"/>
      <c r="WHL100" s="974"/>
      <c r="WHM100" s="974"/>
      <c r="WHN100" s="974"/>
      <c r="WHO100" s="974"/>
      <c r="WHP100" s="974"/>
      <c r="WHQ100" s="974"/>
      <c r="WHR100" s="974"/>
      <c r="WHS100" s="974"/>
      <c r="WHT100" s="974"/>
      <c r="WHU100" s="974"/>
      <c r="WHV100" s="974"/>
      <c r="WHW100" s="974"/>
      <c r="WHX100" s="974"/>
      <c r="WHY100" s="974"/>
      <c r="WHZ100" s="974"/>
      <c r="WIA100" s="974"/>
      <c r="WIB100" s="974"/>
      <c r="WIC100" s="974"/>
      <c r="WID100" s="974"/>
      <c r="WIE100" s="974"/>
      <c r="WIF100" s="974"/>
      <c r="WIG100" s="974"/>
      <c r="WIH100" s="974"/>
      <c r="WII100" s="974"/>
      <c r="WIJ100" s="974"/>
      <c r="WIK100" s="974"/>
      <c r="WIL100" s="974"/>
      <c r="WIM100" s="974"/>
      <c r="WIN100" s="974"/>
      <c r="WIO100" s="974"/>
      <c r="WIP100" s="974"/>
      <c r="WIQ100" s="974"/>
      <c r="WIR100" s="974"/>
      <c r="WIS100" s="974"/>
      <c r="WIT100" s="974"/>
      <c r="WIU100" s="974"/>
      <c r="WIV100" s="974"/>
      <c r="WIW100" s="974"/>
      <c r="WIX100" s="974"/>
      <c r="WIY100" s="974"/>
      <c r="WIZ100" s="974"/>
      <c r="WJA100" s="974"/>
      <c r="WJB100" s="974"/>
      <c r="WJC100" s="974"/>
      <c r="WJD100" s="974"/>
      <c r="WJE100" s="974"/>
      <c r="WJF100" s="974"/>
      <c r="WJG100" s="974"/>
      <c r="WJH100" s="974"/>
      <c r="WJI100" s="974"/>
      <c r="WJJ100" s="974"/>
      <c r="WJK100" s="974"/>
      <c r="WJL100" s="974"/>
      <c r="WJM100" s="974"/>
      <c r="WJN100" s="974"/>
      <c r="WJO100" s="974"/>
      <c r="WJP100" s="974"/>
      <c r="WJQ100" s="974"/>
      <c r="WJR100" s="974"/>
      <c r="WJS100" s="974"/>
      <c r="WJT100" s="974"/>
      <c r="WJU100" s="974"/>
      <c r="WJV100" s="974"/>
      <c r="WJW100" s="974"/>
      <c r="WJX100" s="974"/>
      <c r="WJY100" s="974"/>
      <c r="WJZ100" s="974"/>
      <c r="WKA100" s="974"/>
      <c r="WKB100" s="974"/>
      <c r="WKC100" s="974"/>
      <c r="WKD100" s="974"/>
      <c r="WKE100" s="974"/>
      <c r="WKF100" s="974"/>
      <c r="WKG100" s="974"/>
      <c r="WKH100" s="974"/>
      <c r="WKI100" s="974"/>
      <c r="WKJ100" s="974"/>
      <c r="WKK100" s="974"/>
      <c r="WKL100" s="974"/>
      <c r="WKM100" s="974"/>
      <c r="WKN100" s="974"/>
      <c r="WKO100" s="974"/>
      <c r="WKP100" s="974"/>
      <c r="WKQ100" s="974"/>
      <c r="WKR100" s="974"/>
      <c r="WKS100" s="974"/>
      <c r="WKT100" s="974"/>
      <c r="WKU100" s="974"/>
      <c r="WKV100" s="974"/>
      <c r="WKW100" s="974"/>
      <c r="WKX100" s="974"/>
      <c r="WKY100" s="974"/>
      <c r="WKZ100" s="974"/>
      <c r="WLA100" s="974"/>
      <c r="WLB100" s="974"/>
      <c r="WLC100" s="974"/>
      <c r="WLD100" s="974"/>
      <c r="WLE100" s="974"/>
      <c r="WLF100" s="974"/>
      <c r="WLG100" s="974"/>
      <c r="WLH100" s="974"/>
      <c r="WLI100" s="974"/>
      <c r="WLJ100" s="974"/>
      <c r="WLK100" s="974"/>
      <c r="WLL100" s="974"/>
      <c r="WLM100" s="974"/>
      <c r="WLN100" s="974"/>
      <c r="WLO100" s="974"/>
      <c r="WLP100" s="974"/>
      <c r="WLQ100" s="974"/>
      <c r="WLR100" s="974"/>
      <c r="WLS100" s="974"/>
      <c r="WLT100" s="974"/>
      <c r="WLU100" s="974"/>
      <c r="WLV100" s="974"/>
      <c r="WLW100" s="974"/>
      <c r="WLX100" s="974"/>
      <c r="WLY100" s="974"/>
      <c r="WLZ100" s="974"/>
      <c r="WMA100" s="974"/>
      <c r="WMB100" s="974"/>
      <c r="WMC100" s="974"/>
      <c r="WMD100" s="974"/>
      <c r="WME100" s="974"/>
      <c r="WMF100" s="974"/>
      <c r="WMG100" s="974"/>
      <c r="WMH100" s="974"/>
      <c r="WMI100" s="974"/>
      <c r="WMJ100" s="974"/>
      <c r="WMK100" s="974"/>
      <c r="WML100" s="974"/>
      <c r="WMM100" s="974"/>
      <c r="WMN100" s="974"/>
      <c r="WMO100" s="974"/>
      <c r="WMP100" s="974"/>
      <c r="WMQ100" s="974"/>
      <c r="WMR100" s="974"/>
      <c r="WMS100" s="974"/>
      <c r="WMT100" s="974"/>
      <c r="WMU100" s="974"/>
      <c r="WMV100" s="974"/>
      <c r="WMW100" s="974"/>
      <c r="WMX100" s="974"/>
      <c r="WMY100" s="974"/>
      <c r="WMZ100" s="974"/>
      <c r="WNA100" s="974"/>
      <c r="WNB100" s="974"/>
      <c r="WNC100" s="974"/>
      <c r="WND100" s="974"/>
      <c r="WNE100" s="974"/>
      <c r="WNF100" s="974"/>
      <c r="WNG100" s="974"/>
      <c r="WNH100" s="974"/>
      <c r="WNI100" s="974"/>
      <c r="WNJ100" s="974"/>
      <c r="WNK100" s="974"/>
      <c r="WNL100" s="974"/>
      <c r="WNM100" s="974"/>
      <c r="WNN100" s="974"/>
      <c r="WNO100" s="974"/>
      <c r="WNP100" s="974"/>
      <c r="WNQ100" s="974"/>
      <c r="WNR100" s="974"/>
      <c r="WNS100" s="974"/>
      <c r="WNT100" s="974"/>
      <c r="WNU100" s="974"/>
      <c r="WNV100" s="974"/>
      <c r="WNW100" s="974"/>
      <c r="WNX100" s="974"/>
      <c r="WNY100" s="974"/>
      <c r="WNZ100" s="974"/>
      <c r="WOA100" s="974"/>
      <c r="WOB100" s="974"/>
      <c r="WOC100" s="974"/>
      <c r="WOD100" s="974"/>
      <c r="WOE100" s="974"/>
      <c r="WOF100" s="974"/>
      <c r="WOG100" s="974"/>
      <c r="WOH100" s="974"/>
      <c r="WOI100" s="974"/>
      <c r="WOJ100" s="974"/>
      <c r="WOK100" s="974"/>
      <c r="WOL100" s="974"/>
      <c r="WOM100" s="974"/>
      <c r="WON100" s="974"/>
      <c r="WOO100" s="974"/>
      <c r="WOP100" s="974"/>
      <c r="WOQ100" s="974"/>
      <c r="WOR100" s="974"/>
      <c r="WOS100" s="974"/>
      <c r="WOT100" s="974"/>
      <c r="WOU100" s="974"/>
      <c r="WOV100" s="974"/>
      <c r="WOW100" s="974"/>
      <c r="WOX100" s="974"/>
      <c r="WOY100" s="974"/>
      <c r="WOZ100" s="974"/>
      <c r="WPA100" s="974"/>
      <c r="WPB100" s="974"/>
      <c r="WPC100" s="974"/>
      <c r="WPD100" s="974"/>
      <c r="WPE100" s="974"/>
      <c r="WPF100" s="974"/>
      <c r="WPG100" s="974"/>
      <c r="WPH100" s="974"/>
      <c r="WPI100" s="974"/>
      <c r="WPJ100" s="974"/>
      <c r="WPK100" s="974"/>
      <c r="WPL100" s="974"/>
      <c r="WPM100" s="974"/>
      <c r="WPN100" s="974"/>
      <c r="WPO100" s="974"/>
      <c r="WPP100" s="974"/>
      <c r="WPQ100" s="974"/>
      <c r="WPR100" s="974"/>
      <c r="WPS100" s="974"/>
      <c r="WPT100" s="974"/>
      <c r="WPU100" s="974"/>
      <c r="WPV100" s="974"/>
      <c r="WPW100" s="974"/>
      <c r="WPX100" s="974"/>
      <c r="WPY100" s="974"/>
      <c r="WPZ100" s="974"/>
      <c r="WQA100" s="974"/>
      <c r="WQB100" s="974"/>
      <c r="WQC100" s="974"/>
      <c r="WQD100" s="974"/>
      <c r="WQE100" s="974"/>
      <c r="WQF100" s="974"/>
      <c r="WQG100" s="974"/>
      <c r="WQH100" s="974"/>
      <c r="WQI100" s="974"/>
      <c r="WQJ100" s="974"/>
      <c r="WQK100" s="974"/>
      <c r="WQL100" s="974"/>
      <c r="WQM100" s="974"/>
      <c r="WQN100" s="974"/>
      <c r="WQO100" s="974"/>
      <c r="WQP100" s="974"/>
      <c r="WQQ100" s="974"/>
      <c r="WQR100" s="974"/>
      <c r="WQS100" s="974"/>
      <c r="WQT100" s="974"/>
      <c r="WQU100" s="974"/>
      <c r="WQV100" s="974"/>
      <c r="WQW100" s="974"/>
      <c r="WQX100" s="974"/>
      <c r="WQY100" s="974"/>
      <c r="WQZ100" s="974"/>
      <c r="WRA100" s="974"/>
      <c r="WRB100" s="974"/>
      <c r="WRC100" s="974"/>
      <c r="WRD100" s="974"/>
      <c r="WRE100" s="974"/>
      <c r="WRF100" s="974"/>
      <c r="WRG100" s="974"/>
      <c r="WRH100" s="974"/>
      <c r="WRI100" s="974"/>
      <c r="WRJ100" s="974"/>
      <c r="WRK100" s="974"/>
      <c r="WRL100" s="974"/>
      <c r="WRM100" s="974"/>
      <c r="WRN100" s="974"/>
      <c r="WRO100" s="974"/>
      <c r="WRP100" s="974"/>
      <c r="WRQ100" s="974"/>
      <c r="WRR100" s="974"/>
      <c r="WRS100" s="974"/>
      <c r="WRT100" s="974"/>
      <c r="WRU100" s="974"/>
      <c r="WRV100" s="974"/>
      <c r="WRW100" s="974"/>
      <c r="WRX100" s="974"/>
      <c r="WRY100" s="974"/>
      <c r="WRZ100" s="974"/>
      <c r="WSA100" s="974"/>
      <c r="WSB100" s="974"/>
      <c r="WSC100" s="974"/>
      <c r="WSD100" s="974"/>
      <c r="WSE100" s="974"/>
      <c r="WSF100" s="974"/>
      <c r="WSG100" s="974"/>
      <c r="WSH100" s="974"/>
      <c r="WSI100" s="974"/>
      <c r="WSJ100" s="974"/>
      <c r="WSK100" s="974"/>
      <c r="WSL100" s="974"/>
      <c r="WSM100" s="974"/>
      <c r="WSN100" s="974"/>
      <c r="WSO100" s="974"/>
      <c r="WSP100" s="974"/>
      <c r="WSQ100" s="974"/>
      <c r="WSR100" s="974"/>
      <c r="WSS100" s="974"/>
      <c r="WST100" s="974"/>
      <c r="WSU100" s="974"/>
      <c r="WSV100" s="974"/>
      <c r="WSW100" s="974"/>
      <c r="WSX100" s="974"/>
      <c r="WSY100" s="974"/>
      <c r="WSZ100" s="974"/>
      <c r="WTA100" s="974"/>
      <c r="WTB100" s="974"/>
      <c r="WTC100" s="974"/>
      <c r="WTD100" s="974"/>
      <c r="WTE100" s="974"/>
      <c r="WTF100" s="974"/>
      <c r="WTG100" s="974"/>
      <c r="WTH100" s="974"/>
      <c r="WTI100" s="974"/>
      <c r="WTJ100" s="974"/>
      <c r="WTK100" s="974"/>
      <c r="WTL100" s="974"/>
      <c r="WTM100" s="974"/>
      <c r="WTN100" s="974"/>
      <c r="WTO100" s="974"/>
      <c r="WTP100" s="974"/>
      <c r="WTQ100" s="974"/>
      <c r="WTR100" s="974"/>
      <c r="WTS100" s="974"/>
      <c r="WTT100" s="974"/>
      <c r="WTU100" s="974"/>
      <c r="WTV100" s="974"/>
      <c r="WTW100" s="974"/>
      <c r="WTX100" s="974"/>
      <c r="WTY100" s="974"/>
      <c r="WTZ100" s="974"/>
      <c r="WUA100" s="974"/>
      <c r="WUB100" s="974"/>
      <c r="WUC100" s="974"/>
      <c r="WUD100" s="974"/>
      <c r="WUE100" s="974"/>
      <c r="WUF100" s="974"/>
      <c r="WUG100" s="974"/>
      <c r="WUH100" s="974"/>
      <c r="WUI100" s="974"/>
      <c r="WUJ100" s="974"/>
      <c r="WUK100" s="974"/>
      <c r="WUL100" s="974"/>
      <c r="WUM100" s="974"/>
      <c r="WUN100" s="974"/>
      <c r="WUO100" s="974"/>
      <c r="WUP100" s="974"/>
      <c r="WUQ100" s="974"/>
      <c r="WUR100" s="974"/>
      <c r="WUS100" s="974"/>
      <c r="WUT100" s="974"/>
      <c r="WUU100" s="974"/>
      <c r="WUV100" s="974"/>
      <c r="WUW100" s="974"/>
      <c r="WUX100" s="974"/>
      <c r="WUY100" s="974"/>
      <c r="WUZ100" s="974"/>
      <c r="WVA100" s="974"/>
      <c r="WVB100" s="974"/>
      <c r="WVC100" s="974"/>
      <c r="WVD100" s="974"/>
      <c r="WVE100" s="974"/>
      <c r="WVF100" s="974"/>
      <c r="WVG100" s="974"/>
      <c r="WVH100" s="974"/>
      <c r="WVI100" s="974"/>
      <c r="WVJ100" s="974"/>
      <c r="WVK100" s="974"/>
      <c r="WVL100" s="974"/>
      <c r="WVM100" s="974"/>
      <c r="WVN100" s="974"/>
      <c r="WVO100" s="974"/>
      <c r="WVP100" s="974"/>
      <c r="WVQ100" s="974"/>
      <c r="WVR100" s="974"/>
      <c r="WVS100" s="974"/>
      <c r="WVT100" s="974"/>
      <c r="WVU100" s="974"/>
      <c r="WVV100" s="974"/>
      <c r="WVW100" s="974"/>
      <c r="WVX100" s="974"/>
      <c r="WVY100" s="974"/>
      <c r="WVZ100" s="974"/>
      <c r="WWA100" s="974"/>
      <c r="WWB100" s="974"/>
      <c r="WWC100" s="974"/>
      <c r="WWD100" s="974"/>
      <c r="WWE100" s="974"/>
      <c r="WWF100" s="974"/>
      <c r="WWG100" s="974"/>
      <c r="WWH100" s="974"/>
      <c r="WWI100" s="974"/>
      <c r="WWJ100" s="974"/>
      <c r="WWK100" s="974"/>
      <c r="WWL100" s="974"/>
      <c r="WWM100" s="974"/>
      <c r="WWN100" s="974"/>
      <c r="WWO100" s="974"/>
      <c r="WWP100" s="974"/>
      <c r="WWQ100" s="974"/>
      <c r="WWR100" s="974"/>
      <c r="WWS100" s="974"/>
      <c r="WWT100" s="974"/>
      <c r="WWU100" s="974"/>
      <c r="WWV100" s="974"/>
      <c r="WWW100" s="974"/>
      <c r="WWX100" s="974"/>
      <c r="WWY100" s="974"/>
      <c r="WWZ100" s="974"/>
      <c r="WXA100" s="974"/>
      <c r="WXB100" s="974"/>
      <c r="WXC100" s="974"/>
      <c r="WXD100" s="974"/>
      <c r="WXE100" s="974"/>
      <c r="WXF100" s="974"/>
      <c r="WXG100" s="974"/>
      <c r="WXH100" s="974"/>
      <c r="WXI100" s="974"/>
      <c r="WXJ100" s="974"/>
      <c r="WXK100" s="974"/>
      <c r="WXL100" s="974"/>
      <c r="WXM100" s="974"/>
      <c r="WXN100" s="974"/>
      <c r="WXO100" s="974"/>
      <c r="WXP100" s="974"/>
      <c r="WXQ100" s="974"/>
      <c r="WXR100" s="974"/>
      <c r="WXS100" s="974"/>
      <c r="WXT100" s="974"/>
      <c r="WXU100" s="974"/>
      <c r="WXV100" s="974"/>
      <c r="WXW100" s="974"/>
      <c r="WXX100" s="974"/>
      <c r="WXY100" s="974"/>
      <c r="WXZ100" s="974"/>
      <c r="WYA100" s="974"/>
      <c r="WYB100" s="974"/>
      <c r="WYC100" s="974"/>
      <c r="WYD100" s="974"/>
      <c r="WYE100" s="974"/>
      <c r="WYF100" s="974"/>
      <c r="WYG100" s="974"/>
      <c r="WYH100" s="974"/>
      <c r="WYI100" s="974"/>
      <c r="WYJ100" s="974"/>
      <c r="WYK100" s="974"/>
      <c r="WYL100" s="974"/>
      <c r="WYM100" s="974"/>
      <c r="WYN100" s="974"/>
      <c r="WYO100" s="974"/>
      <c r="WYP100" s="974"/>
      <c r="WYQ100" s="974"/>
      <c r="WYR100" s="974"/>
      <c r="WYS100" s="974"/>
      <c r="WYT100" s="974"/>
      <c r="WYU100" s="974"/>
      <c r="WYV100" s="974"/>
      <c r="WYW100" s="974"/>
      <c r="WYX100" s="974"/>
      <c r="WYY100" s="974"/>
      <c r="WYZ100" s="974"/>
      <c r="WZA100" s="974"/>
      <c r="WZB100" s="974"/>
      <c r="WZC100" s="974"/>
      <c r="WZD100" s="974"/>
      <c r="WZE100" s="974"/>
      <c r="WZF100" s="974"/>
      <c r="WZG100" s="974"/>
      <c r="WZH100" s="974"/>
      <c r="WZI100" s="974"/>
      <c r="WZJ100" s="974"/>
      <c r="WZK100" s="974"/>
      <c r="WZL100" s="974"/>
      <c r="WZM100" s="974"/>
      <c r="WZN100" s="974"/>
      <c r="WZO100" s="974"/>
      <c r="WZP100" s="974"/>
      <c r="WZQ100" s="974"/>
      <c r="WZR100" s="974"/>
      <c r="WZS100" s="974"/>
      <c r="WZT100" s="974"/>
      <c r="WZU100" s="974"/>
      <c r="WZV100" s="974"/>
      <c r="WZW100" s="974"/>
      <c r="WZX100" s="974"/>
      <c r="WZY100" s="974"/>
      <c r="WZZ100" s="974"/>
      <c r="XAA100" s="974"/>
      <c r="XAB100" s="974"/>
      <c r="XAC100" s="974"/>
      <c r="XAD100" s="974"/>
      <c r="XAE100" s="974"/>
      <c r="XAF100" s="974"/>
      <c r="XAG100" s="974"/>
      <c r="XAH100" s="974"/>
      <c r="XAI100" s="974"/>
      <c r="XAJ100" s="974"/>
      <c r="XAK100" s="974"/>
      <c r="XAL100" s="974"/>
      <c r="XAM100" s="974"/>
      <c r="XAN100" s="974"/>
      <c r="XAO100" s="974"/>
      <c r="XAP100" s="974"/>
      <c r="XAQ100" s="974"/>
      <c r="XAR100" s="974"/>
      <c r="XAS100" s="974"/>
      <c r="XAT100" s="974"/>
      <c r="XAU100" s="974"/>
      <c r="XAV100" s="974"/>
      <c r="XAW100" s="974"/>
      <c r="XAX100" s="974"/>
      <c r="XAY100" s="974"/>
      <c r="XAZ100" s="974"/>
      <c r="XBA100" s="974"/>
      <c r="XBB100" s="974"/>
      <c r="XBC100" s="974"/>
      <c r="XBD100" s="974"/>
      <c r="XBE100" s="974"/>
      <c r="XBF100" s="974"/>
      <c r="XBG100" s="974"/>
      <c r="XBH100" s="974"/>
      <c r="XBI100" s="974"/>
      <c r="XBJ100" s="974"/>
      <c r="XBK100" s="974"/>
      <c r="XBL100" s="974"/>
      <c r="XBM100" s="974"/>
      <c r="XBN100" s="974"/>
      <c r="XBO100" s="974"/>
      <c r="XBP100" s="974"/>
      <c r="XBQ100" s="974"/>
      <c r="XBR100" s="974"/>
      <c r="XBS100" s="974"/>
      <c r="XBT100" s="974"/>
      <c r="XBU100" s="974"/>
      <c r="XBV100" s="974"/>
      <c r="XBW100" s="974"/>
      <c r="XBX100" s="974"/>
      <c r="XBY100" s="974"/>
      <c r="XBZ100" s="974"/>
      <c r="XCA100" s="974"/>
      <c r="XCB100" s="974"/>
      <c r="XCC100" s="974"/>
      <c r="XCD100" s="974"/>
      <c r="XCE100" s="974"/>
      <c r="XCF100" s="974"/>
      <c r="XCG100" s="974"/>
      <c r="XCH100" s="974"/>
      <c r="XCI100" s="974"/>
      <c r="XCJ100" s="974"/>
      <c r="XCK100" s="974"/>
      <c r="XCL100" s="974"/>
      <c r="XCM100" s="974"/>
      <c r="XCN100" s="974"/>
      <c r="XCO100" s="974"/>
      <c r="XCP100" s="974"/>
      <c r="XCQ100" s="974"/>
      <c r="XCR100" s="974"/>
      <c r="XCS100" s="974"/>
      <c r="XCT100" s="974"/>
      <c r="XCU100" s="974"/>
      <c r="XCV100" s="974"/>
      <c r="XCW100" s="974"/>
      <c r="XCX100" s="974"/>
      <c r="XCY100" s="974"/>
      <c r="XCZ100" s="974"/>
      <c r="XDA100" s="974"/>
      <c r="XDB100" s="974"/>
      <c r="XDC100" s="974"/>
      <c r="XDD100" s="974"/>
      <c r="XDE100" s="974"/>
      <c r="XDF100" s="974"/>
      <c r="XDG100" s="974"/>
      <c r="XDH100" s="974"/>
      <c r="XDI100" s="974"/>
      <c r="XDJ100" s="974"/>
      <c r="XDK100" s="974"/>
      <c r="XDL100" s="974"/>
      <c r="XDM100" s="974"/>
      <c r="XDN100" s="974"/>
      <c r="XDO100" s="974"/>
      <c r="XDP100" s="974"/>
      <c r="XDQ100" s="974"/>
      <c r="XDR100" s="974"/>
      <c r="XDS100" s="974"/>
      <c r="XDT100" s="974"/>
      <c r="XDU100" s="974"/>
      <c r="XDV100" s="974"/>
      <c r="XDW100" s="974"/>
      <c r="XDX100" s="974"/>
      <c r="XDY100" s="974"/>
      <c r="XDZ100" s="974"/>
      <c r="XEA100" s="974"/>
      <c r="XEB100" s="974"/>
      <c r="XEC100" s="974"/>
      <c r="XED100" s="974"/>
      <c r="XEE100" s="974"/>
      <c r="XEF100" s="974"/>
      <c r="XEG100" s="974"/>
      <c r="XEH100" s="974"/>
      <c r="XEI100" s="974"/>
      <c r="XEJ100" s="974"/>
      <c r="XEK100" s="974"/>
      <c r="XEL100" s="974"/>
      <c r="XEM100" s="974"/>
      <c r="XEN100" s="974"/>
      <c r="XEO100" s="974"/>
      <c r="XEP100" s="974"/>
      <c r="XEQ100" s="974"/>
      <c r="XER100" s="974"/>
      <c r="XES100" s="974"/>
      <c r="XET100" s="974"/>
      <c r="XEU100" s="974"/>
      <c r="XEV100" s="974"/>
      <c r="XEW100" s="974"/>
      <c r="XEX100" s="974"/>
      <c r="XEY100" s="974"/>
      <c r="XEZ100" s="974"/>
      <c r="XFA100" s="974"/>
      <c r="XFB100" s="974"/>
      <c r="XFC100" s="974"/>
      <c r="XFD100" s="974"/>
    </row>
    <row r="101" spans="1:16384" s="987" customFormat="1" x14ac:dyDescent="0.35">
      <c r="A101" s="904"/>
      <c r="B101" s="943"/>
      <c r="C101" s="943"/>
      <c r="D101" s="934" t="s">
        <v>107</v>
      </c>
      <c r="E101" s="934"/>
      <c r="F101" s="934"/>
      <c r="G101" s="934"/>
      <c r="H101" s="988">
        <f t="shared" ref="H101:W101" si="20">H100+H80</f>
        <v>1522016.02</v>
      </c>
      <c r="I101" s="988">
        <f t="shared" si="20"/>
        <v>2646539.6800000002</v>
      </c>
      <c r="J101" s="988">
        <f t="shared" si="20"/>
        <v>2607023.5811143843</v>
      </c>
      <c r="K101" s="988">
        <f t="shared" si="20"/>
        <v>2616141.9249593886</v>
      </c>
      <c r="L101" s="988">
        <f t="shared" si="20"/>
        <v>2608647.0815557358</v>
      </c>
      <c r="M101" s="988">
        <f t="shared" si="20"/>
        <v>3692027.4764396944</v>
      </c>
      <c r="N101" s="988">
        <f t="shared" si="20"/>
        <v>3874430.4043792514</v>
      </c>
      <c r="O101" s="988">
        <f t="shared" si="20"/>
        <v>3738367.5320452945</v>
      </c>
      <c r="P101" s="988">
        <f t="shared" si="20"/>
        <v>3746859.2204646897</v>
      </c>
      <c r="Q101" s="988">
        <f t="shared" si="20"/>
        <v>3611475.5125441495</v>
      </c>
      <c r="R101" s="988">
        <f t="shared" si="20"/>
        <v>3686568.5959384372</v>
      </c>
      <c r="S101" s="965">
        <f t="shared" si="20"/>
        <v>3777724.1605331381</v>
      </c>
      <c r="T101" s="965">
        <f t="shared" si="20"/>
        <v>3634138.6391822021</v>
      </c>
      <c r="U101" s="965">
        <f t="shared" si="20"/>
        <v>2858258.54</v>
      </c>
      <c r="V101" s="965">
        <f t="shared" si="20"/>
        <v>3878130.9000000004</v>
      </c>
      <c r="W101" s="965">
        <f t="shared" si="20"/>
        <v>3691949.65</v>
      </c>
      <c r="X101" s="965">
        <f>+X100+X80</f>
        <v>3800707.46</v>
      </c>
      <c r="Y101" s="965">
        <f>+Y100+Y80</f>
        <v>3800754.8800000004</v>
      </c>
      <c r="Z101" s="965">
        <f>+Z100+Z80</f>
        <v>3641259.47</v>
      </c>
      <c r="AA101" s="965">
        <f t="shared" ref="AA101:AG101" si="21">AA100+AA80</f>
        <v>3909999.51</v>
      </c>
      <c r="AB101" s="965">
        <f t="shared" si="21"/>
        <v>4061678.6999999993</v>
      </c>
      <c r="AC101" s="965">
        <f t="shared" si="21"/>
        <v>3790389.0400000005</v>
      </c>
      <c r="AD101" s="965">
        <f t="shared" si="21"/>
        <v>4390515.9799999995</v>
      </c>
      <c r="AE101" s="965">
        <f t="shared" si="21"/>
        <v>4128858.64</v>
      </c>
      <c r="AF101" s="965">
        <f t="shared" si="21"/>
        <v>4057223.4099999997</v>
      </c>
      <c r="AG101" s="965">
        <f t="shared" si="21"/>
        <v>3747920.7800000003</v>
      </c>
      <c r="AH101" s="965"/>
      <c r="AI101" s="965"/>
      <c r="AJ101" s="965"/>
      <c r="AK101" s="965"/>
      <c r="AL101" s="965"/>
      <c r="AM101" s="965"/>
      <c r="AN101" s="965"/>
      <c r="AO101" s="965"/>
      <c r="AP101" s="965"/>
      <c r="AQ101" s="965"/>
      <c r="AR101" s="965"/>
      <c r="AS101" s="965"/>
      <c r="AT101" s="965"/>
      <c r="AU101" s="965"/>
      <c r="AV101" s="965"/>
      <c r="AW101" s="965"/>
      <c r="AX101" s="965"/>
      <c r="AY101" s="965"/>
      <c r="AZ101" s="965"/>
      <c r="BA101" s="965"/>
      <c r="BB101" s="965"/>
      <c r="BC101" s="965"/>
      <c r="BD101" s="965"/>
      <c r="BE101" s="965"/>
      <c r="BF101" s="965"/>
      <c r="BG101" s="965"/>
      <c r="BH101" s="965"/>
      <c r="BI101" s="965"/>
      <c r="BJ101" s="965"/>
      <c r="BK101" s="965"/>
      <c r="BL101" s="965"/>
      <c r="BM101" s="965"/>
      <c r="BN101" s="965"/>
      <c r="BO101" s="965"/>
      <c r="BP101" s="965"/>
      <c r="BQ101" s="965"/>
      <c r="BR101" s="965"/>
      <c r="BS101" s="965"/>
      <c r="BT101" s="965"/>
      <c r="BU101" s="965"/>
      <c r="BV101" s="965"/>
      <c r="BW101" s="965"/>
      <c r="BX101" s="965"/>
      <c r="BY101" s="965"/>
      <c r="BZ101" s="965"/>
      <c r="CA101" s="965"/>
      <c r="CB101" s="965"/>
      <c r="CC101" s="965"/>
      <c r="CD101" s="973"/>
      <c r="CE101" s="973"/>
      <c r="CF101" s="973"/>
      <c r="CG101" s="973"/>
      <c r="CH101" s="973"/>
      <c r="CI101" s="973"/>
      <c r="CJ101" s="973"/>
      <c r="CK101" s="973"/>
      <c r="CL101" s="973"/>
      <c r="CM101" s="973"/>
      <c r="CN101" s="973"/>
      <c r="CO101" s="973"/>
      <c r="CP101" s="973"/>
      <c r="CQ101" s="973"/>
      <c r="CR101" s="973"/>
      <c r="CS101" s="973"/>
      <c r="CT101" s="973"/>
      <c r="CU101" s="973"/>
      <c r="CV101" s="973"/>
      <c r="CW101" s="973"/>
      <c r="CX101" s="973"/>
      <c r="CY101" s="973"/>
      <c r="CZ101" s="973"/>
      <c r="DA101" s="973"/>
      <c r="DB101" s="973"/>
      <c r="DC101" s="973"/>
      <c r="DD101" s="973"/>
      <c r="DE101" s="973"/>
      <c r="DF101" s="973"/>
      <c r="DG101" s="973"/>
      <c r="DH101" s="973"/>
      <c r="DI101" s="973"/>
      <c r="DJ101" s="973"/>
      <c r="DK101" s="973"/>
      <c r="DL101" s="973"/>
      <c r="DM101" s="973"/>
      <c r="DN101" s="973"/>
      <c r="DO101" s="973"/>
      <c r="DP101" s="973"/>
      <c r="DQ101" s="973"/>
      <c r="DR101" s="973"/>
      <c r="DS101" s="973"/>
      <c r="DT101" s="973"/>
      <c r="DU101" s="973"/>
      <c r="DV101" s="973"/>
      <c r="DW101" s="973"/>
      <c r="DX101" s="973"/>
      <c r="DY101" s="973"/>
      <c r="DZ101" s="973"/>
      <c r="EA101" s="973"/>
      <c r="EB101" s="973"/>
      <c r="EC101" s="973"/>
      <c r="ED101" s="973"/>
      <c r="EE101" s="973"/>
      <c r="EF101" s="973"/>
      <c r="EG101" s="973"/>
      <c r="EH101" s="973"/>
      <c r="EI101" s="973"/>
      <c r="EJ101" s="973"/>
      <c r="EK101" s="973"/>
      <c r="EL101" s="973"/>
      <c r="EM101" s="973"/>
      <c r="EN101" s="973"/>
      <c r="EO101" s="973"/>
      <c r="EP101" s="973"/>
      <c r="EQ101" s="973"/>
      <c r="ER101" s="973"/>
      <c r="ES101" s="973"/>
      <c r="ET101" s="973"/>
      <c r="EU101" s="973"/>
      <c r="EV101" s="973"/>
      <c r="EW101" s="973"/>
      <c r="EX101" s="973"/>
      <c r="EY101" s="973"/>
      <c r="EZ101" s="973"/>
      <c r="FA101" s="973"/>
      <c r="FB101" s="973"/>
      <c r="FC101" s="973"/>
      <c r="FD101" s="973"/>
      <c r="FE101" s="973"/>
      <c r="FF101" s="973"/>
      <c r="FG101" s="973"/>
      <c r="FH101" s="973"/>
      <c r="FI101" s="973"/>
      <c r="FJ101" s="973"/>
      <c r="FK101" s="973"/>
      <c r="FL101" s="973"/>
      <c r="FM101" s="973"/>
      <c r="FN101" s="973"/>
      <c r="FO101" s="973"/>
      <c r="FP101" s="973"/>
      <c r="FQ101" s="973"/>
      <c r="FR101" s="973"/>
      <c r="FS101" s="973"/>
      <c r="FT101" s="973"/>
      <c r="FU101" s="973"/>
      <c r="FV101" s="973"/>
      <c r="FW101" s="973"/>
      <c r="FX101" s="973"/>
      <c r="FY101" s="973"/>
      <c r="FZ101" s="973"/>
      <c r="GA101" s="973"/>
      <c r="GB101" s="973"/>
      <c r="GC101" s="973"/>
      <c r="GD101" s="973"/>
      <c r="GE101" s="973"/>
      <c r="GF101" s="973"/>
      <c r="GG101" s="973"/>
      <c r="GH101" s="973"/>
      <c r="GI101" s="973"/>
      <c r="GJ101" s="973"/>
      <c r="GK101" s="973"/>
      <c r="GL101" s="973"/>
      <c r="GM101" s="973"/>
      <c r="GN101" s="973"/>
      <c r="GO101" s="973"/>
      <c r="GP101" s="973"/>
      <c r="GQ101" s="973"/>
      <c r="GR101" s="973"/>
      <c r="GS101" s="973"/>
      <c r="GT101" s="973"/>
      <c r="GU101" s="973"/>
      <c r="GV101" s="973"/>
      <c r="GW101" s="973"/>
      <c r="GX101" s="973"/>
      <c r="GY101" s="973"/>
      <c r="GZ101" s="973"/>
      <c r="HA101" s="973"/>
      <c r="HB101" s="973"/>
      <c r="HC101" s="973"/>
      <c r="HD101" s="973"/>
      <c r="HE101" s="973"/>
      <c r="HF101" s="973"/>
      <c r="HG101" s="973"/>
      <c r="HH101" s="973"/>
      <c r="HI101" s="973"/>
      <c r="HJ101" s="973"/>
      <c r="HK101" s="973"/>
      <c r="HL101" s="973"/>
      <c r="HM101" s="973"/>
      <c r="HN101" s="973"/>
      <c r="HO101" s="973"/>
      <c r="HP101" s="973"/>
      <c r="HQ101" s="973"/>
      <c r="HR101" s="973"/>
      <c r="HS101" s="973"/>
      <c r="HT101" s="973"/>
      <c r="HU101" s="973"/>
      <c r="HV101" s="973"/>
      <c r="HW101" s="973"/>
      <c r="HX101" s="973"/>
      <c r="HY101" s="973"/>
      <c r="HZ101" s="973"/>
      <c r="IA101" s="973"/>
      <c r="IB101" s="973"/>
      <c r="IC101" s="973"/>
      <c r="ID101" s="973"/>
      <c r="IE101" s="973"/>
      <c r="IF101" s="973"/>
      <c r="IG101" s="973"/>
      <c r="IH101" s="973"/>
      <c r="II101" s="973"/>
      <c r="IJ101" s="973"/>
      <c r="IK101" s="973"/>
      <c r="IL101" s="973"/>
      <c r="IM101" s="973"/>
      <c r="IN101" s="973"/>
      <c r="IO101" s="973"/>
      <c r="IP101" s="973"/>
      <c r="IQ101" s="973"/>
      <c r="IR101" s="973"/>
      <c r="IS101" s="973"/>
      <c r="IT101" s="973"/>
      <c r="IU101" s="973"/>
      <c r="IV101" s="973"/>
      <c r="IW101" s="973"/>
      <c r="IX101" s="973"/>
      <c r="IY101" s="973"/>
      <c r="IZ101" s="973"/>
      <c r="JA101" s="973"/>
      <c r="JB101" s="973"/>
      <c r="JC101" s="973"/>
      <c r="JD101" s="973"/>
      <c r="JE101" s="973"/>
      <c r="JF101" s="973"/>
      <c r="JG101" s="973"/>
      <c r="JH101" s="973"/>
      <c r="JI101" s="973"/>
      <c r="JJ101" s="973"/>
      <c r="JK101" s="973"/>
      <c r="JL101" s="973"/>
      <c r="JM101" s="973"/>
      <c r="JN101" s="973"/>
      <c r="JO101" s="973"/>
      <c r="JP101" s="973"/>
      <c r="JQ101" s="973"/>
      <c r="JR101" s="973"/>
      <c r="JS101" s="973"/>
      <c r="JT101" s="973"/>
      <c r="JU101" s="973"/>
      <c r="JV101" s="973"/>
      <c r="JW101" s="973"/>
      <c r="JX101" s="973"/>
      <c r="JY101" s="973"/>
      <c r="JZ101" s="973"/>
      <c r="KA101" s="973"/>
      <c r="KB101" s="973"/>
      <c r="KC101" s="973"/>
      <c r="KD101" s="973"/>
      <c r="KE101" s="973"/>
      <c r="KF101" s="973"/>
      <c r="KG101" s="973"/>
      <c r="KH101" s="973"/>
      <c r="KI101" s="973"/>
      <c r="KJ101" s="973"/>
      <c r="KK101" s="973"/>
      <c r="KL101" s="973"/>
      <c r="KM101" s="973"/>
      <c r="KN101" s="973"/>
      <c r="KO101" s="973"/>
      <c r="KP101" s="973"/>
      <c r="KQ101" s="973"/>
      <c r="KR101" s="973"/>
      <c r="KS101" s="973"/>
      <c r="KT101" s="973"/>
      <c r="KU101" s="973"/>
      <c r="KV101" s="973"/>
      <c r="KW101" s="973"/>
      <c r="KX101" s="973"/>
      <c r="KY101" s="973"/>
      <c r="KZ101" s="973"/>
      <c r="LA101" s="973"/>
      <c r="LB101" s="973"/>
      <c r="LC101" s="973"/>
      <c r="LD101" s="973"/>
      <c r="LE101" s="973"/>
      <c r="LF101" s="973"/>
      <c r="LG101" s="973"/>
      <c r="LH101" s="973"/>
      <c r="LI101" s="973"/>
      <c r="LJ101" s="973"/>
      <c r="LK101" s="973"/>
      <c r="LL101" s="973"/>
      <c r="LM101" s="973"/>
      <c r="LN101" s="973"/>
      <c r="LO101" s="973"/>
      <c r="LP101" s="973"/>
      <c r="LQ101" s="973"/>
      <c r="LR101" s="973"/>
      <c r="LS101" s="973"/>
      <c r="LT101" s="973"/>
      <c r="LU101" s="973"/>
      <c r="LV101" s="973"/>
      <c r="LW101" s="973"/>
      <c r="LX101" s="973"/>
      <c r="LY101" s="973"/>
      <c r="LZ101" s="973"/>
      <c r="MA101" s="973"/>
      <c r="MB101" s="973"/>
      <c r="MC101" s="973"/>
      <c r="MD101" s="973"/>
      <c r="ME101" s="973"/>
      <c r="MF101" s="973"/>
      <c r="MG101" s="973"/>
      <c r="MH101" s="973"/>
      <c r="MI101" s="973"/>
      <c r="MJ101" s="973"/>
      <c r="MK101" s="973"/>
      <c r="ML101" s="973"/>
      <c r="MM101" s="973"/>
      <c r="MN101" s="973"/>
      <c r="MO101" s="973"/>
      <c r="MP101" s="973"/>
      <c r="MQ101" s="973"/>
      <c r="MR101" s="973"/>
      <c r="MS101" s="973"/>
      <c r="MT101" s="973"/>
      <c r="MU101" s="973"/>
      <c r="MV101" s="973"/>
      <c r="MW101" s="973"/>
      <c r="MX101" s="973"/>
      <c r="MY101" s="973"/>
      <c r="MZ101" s="973"/>
      <c r="NA101" s="973"/>
      <c r="NB101" s="973"/>
      <c r="NC101" s="973"/>
      <c r="ND101" s="973"/>
      <c r="NE101" s="973"/>
      <c r="NF101" s="973"/>
      <c r="NG101" s="973"/>
      <c r="NH101" s="973"/>
      <c r="NI101" s="973"/>
      <c r="NJ101" s="973"/>
      <c r="NK101" s="973"/>
      <c r="NL101" s="973"/>
      <c r="NM101" s="973"/>
      <c r="NN101" s="973"/>
      <c r="NO101" s="973"/>
      <c r="NP101" s="973"/>
      <c r="NQ101" s="973"/>
      <c r="NR101" s="973"/>
      <c r="NS101" s="973"/>
      <c r="NT101" s="973"/>
      <c r="NU101" s="973"/>
      <c r="NV101" s="973"/>
      <c r="NW101" s="973"/>
      <c r="NX101" s="973"/>
      <c r="NY101" s="973"/>
      <c r="NZ101" s="973"/>
      <c r="OA101" s="973"/>
      <c r="OB101" s="973"/>
      <c r="OC101" s="973"/>
      <c r="OD101" s="973"/>
      <c r="OE101" s="973"/>
      <c r="OF101" s="973"/>
      <c r="OG101" s="973"/>
      <c r="OH101" s="973"/>
      <c r="OI101" s="973"/>
      <c r="OJ101" s="973"/>
      <c r="OK101" s="973"/>
      <c r="OL101" s="973"/>
      <c r="OM101" s="973"/>
      <c r="ON101" s="973"/>
      <c r="OO101" s="973"/>
      <c r="OP101" s="973"/>
      <c r="OQ101" s="973"/>
      <c r="OR101" s="973"/>
      <c r="OS101" s="973"/>
      <c r="OT101" s="973"/>
      <c r="OU101" s="973"/>
      <c r="OV101" s="973"/>
      <c r="OW101" s="973"/>
      <c r="OX101" s="973"/>
      <c r="OY101" s="973"/>
      <c r="OZ101" s="973"/>
      <c r="PA101" s="973"/>
      <c r="PB101" s="973"/>
      <c r="PC101" s="973"/>
      <c r="PD101" s="973"/>
      <c r="PE101" s="973"/>
      <c r="PF101" s="973"/>
      <c r="PG101" s="973"/>
      <c r="PH101" s="973"/>
      <c r="PI101" s="973"/>
      <c r="PJ101" s="973"/>
      <c r="PK101" s="973"/>
      <c r="PL101" s="973"/>
      <c r="PM101" s="973"/>
      <c r="PN101" s="973"/>
      <c r="PO101" s="973"/>
      <c r="PP101" s="973"/>
      <c r="PQ101" s="973"/>
      <c r="PR101" s="973"/>
      <c r="PS101" s="973"/>
      <c r="PT101" s="973"/>
      <c r="PU101" s="973"/>
      <c r="PV101" s="973"/>
      <c r="PW101" s="973"/>
      <c r="PX101" s="973"/>
      <c r="PY101" s="973"/>
      <c r="PZ101" s="973"/>
      <c r="QA101" s="973"/>
      <c r="QB101" s="973"/>
      <c r="QC101" s="973"/>
      <c r="QD101" s="973"/>
      <c r="QE101" s="973"/>
      <c r="QF101" s="973"/>
      <c r="QG101" s="973"/>
      <c r="QH101" s="973"/>
      <c r="QI101" s="973"/>
      <c r="QJ101" s="973"/>
      <c r="QK101" s="973"/>
      <c r="QL101" s="973"/>
      <c r="QM101" s="973"/>
      <c r="QN101" s="973"/>
      <c r="QO101" s="973"/>
      <c r="QP101" s="973"/>
      <c r="QQ101" s="973"/>
      <c r="QR101" s="973"/>
      <c r="QS101" s="973"/>
      <c r="QT101" s="973"/>
      <c r="QU101" s="973"/>
      <c r="QV101" s="973"/>
      <c r="QW101" s="973"/>
      <c r="QX101" s="973"/>
      <c r="QY101" s="973"/>
      <c r="QZ101" s="973"/>
      <c r="RA101" s="973"/>
      <c r="RB101" s="973"/>
      <c r="RC101" s="973"/>
      <c r="RD101" s="973"/>
      <c r="RE101" s="973"/>
      <c r="RF101" s="973"/>
      <c r="RG101" s="973"/>
      <c r="RH101" s="973"/>
      <c r="RI101" s="973"/>
      <c r="RJ101" s="973"/>
      <c r="RK101" s="973"/>
      <c r="RL101" s="973"/>
      <c r="RM101" s="973"/>
      <c r="RN101" s="973"/>
      <c r="RO101" s="973"/>
      <c r="RP101" s="973"/>
      <c r="RQ101" s="973"/>
      <c r="RR101" s="973"/>
      <c r="RS101" s="973"/>
      <c r="RT101" s="973"/>
      <c r="RU101" s="973"/>
      <c r="RV101" s="973"/>
      <c r="RW101" s="973"/>
      <c r="RX101" s="973"/>
      <c r="RY101" s="973"/>
      <c r="RZ101" s="973"/>
      <c r="SA101" s="973"/>
      <c r="SB101" s="973"/>
      <c r="SC101" s="973"/>
      <c r="SD101" s="973"/>
      <c r="SE101" s="973"/>
      <c r="SF101" s="973"/>
      <c r="SG101" s="973"/>
      <c r="SH101" s="973"/>
      <c r="SI101" s="973"/>
      <c r="SJ101" s="973"/>
      <c r="SK101" s="973"/>
      <c r="SL101" s="973"/>
      <c r="SM101" s="973"/>
      <c r="SN101" s="973"/>
      <c r="SO101" s="973"/>
      <c r="SP101" s="973"/>
      <c r="SQ101" s="973"/>
      <c r="SR101" s="973"/>
      <c r="SS101" s="973"/>
      <c r="ST101" s="973"/>
      <c r="SU101" s="973"/>
      <c r="SV101" s="973"/>
      <c r="SW101" s="973"/>
      <c r="SX101" s="973"/>
      <c r="SY101" s="973"/>
      <c r="SZ101" s="973"/>
      <c r="TA101" s="973"/>
      <c r="TB101" s="973"/>
      <c r="TC101" s="973"/>
      <c r="TD101" s="973"/>
      <c r="TE101" s="973"/>
      <c r="TF101" s="973"/>
      <c r="TG101" s="973"/>
      <c r="TH101" s="973"/>
      <c r="TI101" s="973"/>
      <c r="TJ101" s="973"/>
      <c r="TK101" s="973"/>
      <c r="TL101" s="973"/>
      <c r="TM101" s="973"/>
      <c r="TN101" s="973"/>
      <c r="TO101" s="973"/>
      <c r="TP101" s="973"/>
      <c r="TQ101" s="973"/>
      <c r="TR101" s="973"/>
      <c r="TS101" s="973"/>
      <c r="TT101" s="973"/>
      <c r="TU101" s="973"/>
      <c r="TV101" s="973"/>
      <c r="TW101" s="973"/>
      <c r="TX101" s="973"/>
      <c r="TY101" s="973"/>
      <c r="TZ101" s="973"/>
      <c r="UA101" s="973"/>
      <c r="UB101" s="973"/>
      <c r="UC101" s="973"/>
      <c r="UD101" s="973"/>
      <c r="UE101" s="973"/>
      <c r="UF101" s="973"/>
      <c r="UG101" s="973"/>
      <c r="UH101" s="973"/>
      <c r="UI101" s="973"/>
      <c r="UJ101" s="973"/>
      <c r="UK101" s="973"/>
      <c r="UL101" s="973"/>
      <c r="UM101" s="973"/>
      <c r="UN101" s="973"/>
      <c r="UO101" s="973"/>
      <c r="UP101" s="973"/>
      <c r="UQ101" s="973"/>
      <c r="UR101" s="973"/>
      <c r="US101" s="973"/>
      <c r="UT101" s="973"/>
      <c r="UU101" s="973"/>
      <c r="UV101" s="973"/>
      <c r="UW101" s="973"/>
      <c r="UX101" s="973"/>
      <c r="UY101" s="973"/>
      <c r="UZ101" s="973"/>
      <c r="VA101" s="973"/>
      <c r="VB101" s="973"/>
      <c r="VC101" s="973"/>
      <c r="VD101" s="973"/>
      <c r="VE101" s="973"/>
      <c r="VF101" s="973"/>
      <c r="VG101" s="973"/>
      <c r="VH101" s="973"/>
      <c r="VI101" s="973"/>
      <c r="VJ101" s="973"/>
      <c r="VK101" s="973"/>
      <c r="VL101" s="973"/>
      <c r="VM101" s="973"/>
      <c r="VN101" s="973"/>
      <c r="VO101" s="973"/>
      <c r="VP101" s="973"/>
      <c r="VQ101" s="973"/>
      <c r="VR101" s="973"/>
      <c r="VS101" s="973"/>
      <c r="VT101" s="973"/>
      <c r="VU101" s="973"/>
      <c r="VV101" s="973"/>
      <c r="VW101" s="973"/>
      <c r="VX101" s="973"/>
      <c r="VY101" s="973"/>
      <c r="VZ101" s="973"/>
      <c r="WA101" s="973"/>
      <c r="WB101" s="973"/>
      <c r="WC101" s="973"/>
      <c r="WD101" s="973"/>
      <c r="WE101" s="973"/>
      <c r="WF101" s="973"/>
      <c r="WG101" s="973"/>
      <c r="WH101" s="973"/>
      <c r="WI101" s="973"/>
      <c r="WJ101" s="973"/>
      <c r="WK101" s="973"/>
      <c r="WL101" s="973"/>
      <c r="WM101" s="973"/>
      <c r="WN101" s="973"/>
      <c r="WO101" s="973"/>
      <c r="WP101" s="973"/>
      <c r="WQ101" s="973"/>
      <c r="WR101" s="973"/>
      <c r="WS101" s="973"/>
      <c r="WT101" s="973"/>
      <c r="WU101" s="973"/>
      <c r="WV101" s="973"/>
      <c r="WW101" s="973"/>
      <c r="WX101" s="973"/>
      <c r="WY101" s="973"/>
      <c r="WZ101" s="973"/>
      <c r="XA101" s="973"/>
      <c r="XB101" s="973"/>
      <c r="XC101" s="973"/>
      <c r="XD101" s="973"/>
      <c r="XE101" s="973"/>
      <c r="XF101" s="973"/>
      <c r="XG101" s="973"/>
      <c r="XH101" s="973"/>
      <c r="XI101" s="973"/>
      <c r="XJ101" s="973"/>
      <c r="XK101" s="973"/>
      <c r="XL101" s="973"/>
      <c r="XM101" s="973"/>
      <c r="XN101" s="973"/>
      <c r="XO101" s="973"/>
      <c r="XP101" s="973"/>
      <c r="XQ101" s="973"/>
      <c r="XR101" s="973"/>
      <c r="XS101" s="973"/>
      <c r="XT101" s="973"/>
      <c r="XU101" s="973"/>
      <c r="XV101" s="973"/>
      <c r="XW101" s="973"/>
      <c r="XX101" s="973"/>
      <c r="XY101" s="973"/>
      <c r="XZ101" s="973"/>
      <c r="YA101" s="973"/>
      <c r="YB101" s="973"/>
      <c r="YC101" s="973"/>
      <c r="YD101" s="973"/>
      <c r="YE101" s="973"/>
      <c r="YF101" s="973"/>
      <c r="YG101" s="973"/>
      <c r="YH101" s="973"/>
      <c r="YI101" s="973"/>
      <c r="YJ101" s="973"/>
      <c r="YK101" s="973"/>
      <c r="YL101" s="973"/>
      <c r="YM101" s="973"/>
      <c r="YN101" s="973"/>
      <c r="YO101" s="973"/>
      <c r="YP101" s="973"/>
      <c r="YQ101" s="973"/>
      <c r="YR101" s="973"/>
      <c r="YS101" s="973"/>
      <c r="YT101" s="973"/>
      <c r="YU101" s="973"/>
      <c r="YV101" s="973"/>
      <c r="YW101" s="973"/>
      <c r="YX101" s="973"/>
      <c r="YY101" s="973"/>
      <c r="YZ101" s="973"/>
      <c r="ZA101" s="973"/>
      <c r="ZB101" s="973"/>
      <c r="ZC101" s="973"/>
      <c r="ZD101" s="973"/>
      <c r="ZE101" s="973"/>
      <c r="ZF101" s="973"/>
      <c r="ZG101" s="973"/>
      <c r="ZH101" s="973"/>
      <c r="ZI101" s="973"/>
      <c r="ZJ101" s="973"/>
      <c r="ZK101" s="973"/>
      <c r="ZL101" s="973"/>
      <c r="ZM101" s="973"/>
      <c r="ZN101" s="973"/>
      <c r="ZO101" s="973"/>
      <c r="ZP101" s="973"/>
      <c r="ZQ101" s="973"/>
      <c r="ZR101" s="973"/>
      <c r="ZS101" s="973"/>
      <c r="ZT101" s="973"/>
      <c r="ZU101" s="973"/>
      <c r="ZV101" s="973"/>
      <c r="ZW101" s="973"/>
      <c r="ZX101" s="973"/>
      <c r="ZY101" s="973"/>
      <c r="ZZ101" s="973"/>
      <c r="AAA101" s="973"/>
      <c r="AAB101" s="973"/>
      <c r="AAC101" s="973"/>
      <c r="AAD101" s="973"/>
      <c r="AAE101" s="973"/>
      <c r="AAF101" s="973"/>
      <c r="AAG101" s="973"/>
      <c r="AAH101" s="973"/>
      <c r="AAI101" s="973"/>
      <c r="AAJ101" s="973"/>
      <c r="AAK101" s="973"/>
      <c r="AAL101" s="973"/>
      <c r="AAM101" s="973"/>
      <c r="AAN101" s="973"/>
      <c r="AAO101" s="973"/>
      <c r="AAP101" s="973"/>
      <c r="AAQ101" s="973"/>
      <c r="AAR101" s="973"/>
      <c r="AAS101" s="973"/>
      <c r="AAT101" s="973"/>
      <c r="AAU101" s="973"/>
      <c r="AAV101" s="973"/>
      <c r="AAW101" s="973"/>
      <c r="AAX101" s="973"/>
      <c r="AAY101" s="973"/>
      <c r="AAZ101" s="973"/>
      <c r="ABA101" s="973"/>
      <c r="ABB101" s="973"/>
      <c r="ABC101" s="973"/>
      <c r="ABD101" s="973"/>
      <c r="ABE101" s="973"/>
      <c r="ABF101" s="973"/>
      <c r="ABG101" s="973"/>
      <c r="ABH101" s="973"/>
      <c r="ABI101" s="973"/>
      <c r="ABJ101" s="973"/>
      <c r="ABK101" s="973"/>
      <c r="ABL101" s="973"/>
      <c r="ABM101" s="973"/>
      <c r="ABN101" s="973"/>
      <c r="ABO101" s="973"/>
      <c r="ABP101" s="973"/>
      <c r="ABQ101" s="973"/>
      <c r="ABR101" s="973"/>
      <c r="ABS101" s="973"/>
      <c r="ABT101" s="973"/>
      <c r="ABU101" s="973"/>
      <c r="ABV101" s="973"/>
      <c r="ABW101" s="973"/>
      <c r="ABX101" s="973"/>
      <c r="ABY101" s="973"/>
      <c r="ABZ101" s="973"/>
      <c r="ACA101" s="973"/>
      <c r="ACB101" s="973"/>
      <c r="ACC101" s="973"/>
      <c r="ACD101" s="973"/>
      <c r="ACE101" s="973"/>
      <c r="ACF101" s="973"/>
      <c r="ACG101" s="973"/>
      <c r="ACH101" s="973"/>
      <c r="ACI101" s="973"/>
      <c r="ACJ101" s="973"/>
      <c r="ACK101" s="973"/>
      <c r="ACL101" s="973"/>
      <c r="ACM101" s="973"/>
      <c r="ACN101" s="973"/>
      <c r="ACO101" s="973"/>
      <c r="ACP101" s="973"/>
      <c r="ACQ101" s="973"/>
      <c r="ACR101" s="973"/>
      <c r="ACS101" s="973"/>
      <c r="ACT101" s="973"/>
      <c r="ACU101" s="973"/>
      <c r="ACV101" s="973"/>
      <c r="ACW101" s="973"/>
      <c r="ACX101" s="973"/>
      <c r="ACY101" s="973"/>
      <c r="ACZ101" s="973"/>
      <c r="ADA101" s="973"/>
      <c r="ADB101" s="973"/>
      <c r="ADC101" s="973"/>
      <c r="ADD101" s="973"/>
      <c r="ADE101" s="973"/>
      <c r="ADF101" s="973"/>
      <c r="ADG101" s="973"/>
      <c r="ADH101" s="973"/>
      <c r="ADI101" s="973"/>
      <c r="ADJ101" s="973"/>
      <c r="ADK101" s="973"/>
      <c r="ADL101" s="973"/>
      <c r="ADM101" s="973"/>
      <c r="ADN101" s="973"/>
      <c r="ADO101" s="973"/>
      <c r="ADP101" s="973"/>
      <c r="ADQ101" s="973"/>
      <c r="ADR101" s="973"/>
      <c r="ADS101" s="973"/>
      <c r="ADT101" s="973"/>
      <c r="ADU101" s="973"/>
      <c r="ADV101" s="973"/>
      <c r="ADW101" s="973"/>
      <c r="ADX101" s="973"/>
      <c r="ADY101" s="973"/>
      <c r="ADZ101" s="973"/>
      <c r="AEA101" s="973"/>
      <c r="AEB101" s="973"/>
      <c r="AEC101" s="973"/>
      <c r="AED101" s="973"/>
      <c r="AEE101" s="973"/>
      <c r="AEF101" s="973"/>
      <c r="AEG101" s="973"/>
      <c r="AEH101" s="973"/>
      <c r="AEI101" s="973"/>
      <c r="AEJ101" s="973"/>
      <c r="AEK101" s="973"/>
      <c r="AEL101" s="973"/>
      <c r="AEM101" s="973"/>
      <c r="AEN101" s="973"/>
      <c r="AEO101" s="973"/>
      <c r="AEP101" s="973"/>
      <c r="AEQ101" s="973"/>
      <c r="AER101" s="973"/>
      <c r="AES101" s="973"/>
      <c r="AET101" s="973"/>
      <c r="AEU101" s="973"/>
      <c r="AEV101" s="973"/>
      <c r="AEW101" s="973"/>
      <c r="AEX101" s="973"/>
      <c r="AEY101" s="973"/>
      <c r="AEZ101" s="973"/>
      <c r="AFA101" s="973"/>
      <c r="AFB101" s="973"/>
      <c r="AFC101" s="973"/>
      <c r="AFD101" s="973"/>
      <c r="AFE101" s="973"/>
      <c r="AFF101" s="973"/>
      <c r="AFG101" s="973"/>
      <c r="AFH101" s="973"/>
      <c r="AFI101" s="973"/>
      <c r="AFJ101" s="973"/>
      <c r="AFK101" s="973"/>
      <c r="AFL101" s="973"/>
      <c r="AFM101" s="973"/>
      <c r="AFN101" s="973"/>
      <c r="AFO101" s="973"/>
      <c r="AFP101" s="973"/>
      <c r="AFQ101" s="973"/>
      <c r="AFR101" s="973"/>
      <c r="AFS101" s="973"/>
      <c r="AFT101" s="973"/>
      <c r="AFU101" s="973"/>
      <c r="AFV101" s="973"/>
      <c r="AFW101" s="973"/>
      <c r="AFX101" s="973"/>
      <c r="AFY101" s="973"/>
      <c r="AFZ101" s="973"/>
      <c r="AGA101" s="973"/>
      <c r="AGB101" s="973"/>
      <c r="AGC101" s="973"/>
      <c r="AGD101" s="973"/>
      <c r="AGE101" s="973"/>
      <c r="AGF101" s="973"/>
      <c r="AGG101" s="973"/>
      <c r="AGH101" s="973"/>
      <c r="AGI101" s="973"/>
      <c r="AGJ101" s="973"/>
      <c r="AGK101" s="973"/>
      <c r="AGL101" s="973"/>
      <c r="AGM101" s="973"/>
      <c r="AGN101" s="973"/>
      <c r="AGO101" s="973"/>
      <c r="AGP101" s="973"/>
      <c r="AGQ101" s="973"/>
      <c r="AGR101" s="973"/>
      <c r="AGS101" s="973"/>
      <c r="AGT101" s="973"/>
      <c r="AGU101" s="973"/>
      <c r="AGV101" s="973"/>
      <c r="AGW101" s="973"/>
      <c r="AGX101" s="973"/>
      <c r="AGY101" s="973"/>
      <c r="AGZ101" s="973"/>
      <c r="AHA101" s="973"/>
      <c r="AHB101" s="973"/>
      <c r="AHC101" s="973"/>
      <c r="AHD101" s="973"/>
      <c r="AHE101" s="973"/>
      <c r="AHF101" s="973"/>
      <c r="AHG101" s="973"/>
      <c r="AHH101" s="973"/>
      <c r="AHI101" s="973"/>
      <c r="AHJ101" s="973"/>
      <c r="AHK101" s="973"/>
      <c r="AHL101" s="973"/>
      <c r="AHM101" s="973"/>
      <c r="AHN101" s="973"/>
      <c r="AHO101" s="973"/>
      <c r="AHP101" s="973"/>
      <c r="AHQ101" s="973"/>
      <c r="AHR101" s="973"/>
      <c r="AHS101" s="973"/>
      <c r="AHT101" s="973"/>
      <c r="AHU101" s="973"/>
      <c r="AHV101" s="973"/>
      <c r="AHW101" s="973"/>
      <c r="AHX101" s="973"/>
      <c r="AHY101" s="973"/>
      <c r="AHZ101" s="973"/>
      <c r="AIA101" s="973"/>
      <c r="AIB101" s="973"/>
      <c r="AIC101" s="973"/>
      <c r="AID101" s="973"/>
      <c r="AIE101" s="973"/>
      <c r="AIF101" s="973"/>
      <c r="AIG101" s="973"/>
      <c r="AIH101" s="973"/>
      <c r="AII101" s="973"/>
      <c r="AIJ101" s="973"/>
      <c r="AIK101" s="973"/>
      <c r="AIL101" s="973"/>
      <c r="AIM101" s="973"/>
      <c r="AIN101" s="973"/>
      <c r="AIO101" s="973"/>
      <c r="AIP101" s="973"/>
      <c r="AIQ101" s="973"/>
      <c r="AIR101" s="973"/>
      <c r="AIS101" s="973"/>
      <c r="AIT101" s="973"/>
      <c r="AIU101" s="973"/>
      <c r="AIV101" s="973"/>
      <c r="AIW101" s="973"/>
      <c r="AIX101" s="973"/>
      <c r="AIY101" s="973"/>
      <c r="AIZ101" s="973"/>
      <c r="AJA101" s="973"/>
      <c r="AJB101" s="973"/>
      <c r="AJC101" s="973"/>
      <c r="AJD101" s="973"/>
      <c r="AJE101" s="973"/>
      <c r="AJF101" s="973"/>
      <c r="AJG101" s="973"/>
      <c r="AJH101" s="973"/>
      <c r="AJI101" s="973"/>
      <c r="AJJ101" s="973"/>
      <c r="AJK101" s="973"/>
      <c r="AJL101" s="973"/>
      <c r="AJM101" s="973"/>
      <c r="AJN101" s="973"/>
      <c r="AJO101" s="973"/>
      <c r="AJP101" s="973"/>
      <c r="AJQ101" s="973"/>
      <c r="AJR101" s="973"/>
      <c r="AJS101" s="973"/>
      <c r="AJT101" s="973"/>
      <c r="AJU101" s="973"/>
      <c r="AJV101" s="973"/>
      <c r="AJW101" s="973"/>
      <c r="AJX101" s="973"/>
      <c r="AJY101" s="973"/>
      <c r="AJZ101" s="973"/>
      <c r="AKA101" s="973"/>
      <c r="AKB101" s="973"/>
      <c r="AKC101" s="973"/>
      <c r="AKD101" s="973"/>
      <c r="AKE101" s="973"/>
      <c r="AKF101" s="973"/>
      <c r="AKG101" s="973"/>
      <c r="AKH101" s="973"/>
      <c r="AKI101" s="973"/>
      <c r="AKJ101" s="973"/>
      <c r="AKK101" s="973"/>
      <c r="AKL101" s="973"/>
      <c r="AKM101" s="973"/>
      <c r="AKN101" s="973"/>
      <c r="AKO101" s="973"/>
      <c r="AKP101" s="973"/>
      <c r="AKQ101" s="973"/>
      <c r="AKR101" s="973"/>
      <c r="AKS101" s="973"/>
      <c r="AKT101" s="973"/>
      <c r="AKU101" s="973"/>
      <c r="AKV101" s="973"/>
      <c r="AKW101" s="973"/>
      <c r="AKX101" s="973"/>
      <c r="AKY101" s="973"/>
      <c r="AKZ101" s="973"/>
      <c r="ALA101" s="973"/>
      <c r="ALB101" s="973"/>
      <c r="ALC101" s="973"/>
      <c r="ALD101" s="973"/>
      <c r="ALE101" s="973"/>
      <c r="ALF101" s="973"/>
      <c r="ALG101" s="973"/>
      <c r="ALH101" s="973"/>
      <c r="ALI101" s="973"/>
      <c r="ALJ101" s="973"/>
      <c r="ALK101" s="973"/>
      <c r="ALL101" s="973"/>
      <c r="ALM101" s="973"/>
      <c r="ALN101" s="973"/>
      <c r="ALO101" s="973"/>
      <c r="ALP101" s="973"/>
      <c r="ALQ101" s="973"/>
      <c r="ALR101" s="973"/>
      <c r="ALS101" s="973"/>
      <c r="ALT101" s="973"/>
      <c r="ALU101" s="973"/>
      <c r="ALV101" s="973"/>
      <c r="ALW101" s="973"/>
      <c r="ALX101" s="973"/>
      <c r="ALY101" s="973"/>
      <c r="ALZ101" s="973"/>
      <c r="AMA101" s="973"/>
      <c r="AMB101" s="973"/>
      <c r="AMC101" s="973"/>
      <c r="AMD101" s="973"/>
      <c r="AME101" s="973"/>
      <c r="AMF101" s="973"/>
      <c r="AMG101" s="973"/>
      <c r="AMH101" s="973"/>
      <c r="AMI101" s="973"/>
      <c r="AMJ101" s="973"/>
      <c r="AMK101" s="973"/>
      <c r="AML101" s="973"/>
      <c r="AMM101" s="973"/>
      <c r="AMN101" s="973"/>
      <c r="AMO101" s="973"/>
      <c r="AMP101" s="973"/>
      <c r="AMQ101" s="973"/>
      <c r="AMR101" s="973"/>
      <c r="AMS101" s="973"/>
      <c r="AMT101" s="973"/>
      <c r="AMU101" s="973"/>
      <c r="AMV101" s="973"/>
      <c r="AMW101" s="973"/>
      <c r="AMX101" s="973"/>
      <c r="AMY101" s="973"/>
      <c r="AMZ101" s="973"/>
      <c r="ANA101" s="973"/>
      <c r="ANB101" s="973"/>
      <c r="ANC101" s="973"/>
      <c r="AND101" s="973"/>
      <c r="ANE101" s="973"/>
      <c r="ANF101" s="973"/>
      <c r="ANG101" s="973"/>
      <c r="ANH101" s="973"/>
      <c r="ANI101" s="973"/>
      <c r="ANJ101" s="973"/>
      <c r="ANK101" s="973"/>
      <c r="ANL101" s="973"/>
      <c r="ANM101" s="973"/>
      <c r="ANN101" s="973"/>
      <c r="ANO101" s="973"/>
      <c r="ANP101" s="973"/>
      <c r="ANQ101" s="973"/>
      <c r="ANR101" s="973"/>
      <c r="ANS101" s="973"/>
      <c r="ANT101" s="973"/>
      <c r="ANU101" s="973"/>
      <c r="ANV101" s="973"/>
      <c r="ANW101" s="973"/>
      <c r="ANX101" s="973"/>
      <c r="ANY101" s="973"/>
      <c r="ANZ101" s="973"/>
      <c r="AOA101" s="973"/>
      <c r="AOB101" s="973"/>
      <c r="AOC101" s="973"/>
      <c r="AOD101" s="973"/>
      <c r="AOE101" s="973"/>
      <c r="AOF101" s="973"/>
      <c r="AOG101" s="973"/>
      <c r="AOH101" s="973"/>
      <c r="AOI101" s="973"/>
      <c r="AOJ101" s="973"/>
      <c r="AOK101" s="973"/>
      <c r="AOL101" s="973"/>
      <c r="AOM101" s="973"/>
      <c r="AON101" s="973"/>
      <c r="AOO101" s="973"/>
      <c r="AOP101" s="973"/>
      <c r="AOQ101" s="973"/>
      <c r="AOR101" s="973"/>
      <c r="AOS101" s="973"/>
      <c r="AOT101" s="973"/>
      <c r="AOU101" s="973"/>
      <c r="AOV101" s="973"/>
      <c r="AOW101" s="973"/>
      <c r="AOX101" s="973"/>
      <c r="AOY101" s="973"/>
      <c r="AOZ101" s="973"/>
      <c r="APA101" s="973"/>
      <c r="APB101" s="973"/>
      <c r="APC101" s="973"/>
      <c r="APD101" s="973"/>
      <c r="APE101" s="973"/>
      <c r="APF101" s="973"/>
      <c r="APG101" s="973"/>
      <c r="APH101" s="973"/>
      <c r="API101" s="973"/>
      <c r="APJ101" s="973"/>
      <c r="APK101" s="973"/>
      <c r="APL101" s="973"/>
      <c r="APM101" s="973"/>
      <c r="APN101" s="973"/>
      <c r="APO101" s="973"/>
      <c r="APP101" s="973"/>
      <c r="APQ101" s="973"/>
      <c r="APR101" s="973"/>
      <c r="APS101" s="973"/>
      <c r="APT101" s="973"/>
      <c r="APU101" s="973"/>
      <c r="APV101" s="973"/>
      <c r="APW101" s="973"/>
      <c r="APX101" s="973"/>
      <c r="APY101" s="973"/>
      <c r="APZ101" s="973"/>
      <c r="AQA101" s="973"/>
      <c r="AQB101" s="973"/>
      <c r="AQC101" s="973"/>
      <c r="AQD101" s="973"/>
      <c r="AQE101" s="973"/>
      <c r="AQF101" s="973"/>
      <c r="AQG101" s="973"/>
      <c r="AQH101" s="973"/>
      <c r="AQI101" s="973"/>
      <c r="AQJ101" s="973"/>
      <c r="AQK101" s="973"/>
      <c r="AQL101" s="973"/>
      <c r="AQM101" s="973"/>
      <c r="AQN101" s="973"/>
      <c r="AQO101" s="973"/>
      <c r="AQP101" s="973"/>
      <c r="AQQ101" s="973"/>
      <c r="AQR101" s="973"/>
      <c r="AQS101" s="973"/>
      <c r="AQT101" s="973"/>
      <c r="AQU101" s="973"/>
      <c r="AQV101" s="973"/>
      <c r="AQW101" s="973"/>
      <c r="AQX101" s="973"/>
      <c r="AQY101" s="973"/>
      <c r="AQZ101" s="973"/>
      <c r="ARA101" s="973"/>
      <c r="ARB101" s="973"/>
      <c r="ARC101" s="973"/>
      <c r="ARD101" s="973"/>
      <c r="ARE101" s="973"/>
      <c r="ARF101" s="973"/>
      <c r="ARG101" s="973"/>
      <c r="ARH101" s="973"/>
      <c r="ARI101" s="973"/>
      <c r="ARJ101" s="973"/>
      <c r="ARK101" s="973"/>
      <c r="ARL101" s="973"/>
      <c r="ARM101" s="973"/>
      <c r="ARN101" s="973"/>
      <c r="ARO101" s="973"/>
      <c r="ARP101" s="973"/>
      <c r="ARQ101" s="973"/>
      <c r="ARR101" s="973"/>
      <c r="ARS101" s="973"/>
      <c r="ART101" s="973"/>
      <c r="ARU101" s="973"/>
      <c r="ARV101" s="973"/>
      <c r="ARW101" s="973"/>
      <c r="ARX101" s="973"/>
      <c r="ARY101" s="973"/>
      <c r="ARZ101" s="973"/>
      <c r="ASA101" s="973"/>
      <c r="ASB101" s="973"/>
      <c r="ASC101" s="973"/>
      <c r="ASD101" s="973"/>
      <c r="ASE101" s="973"/>
      <c r="ASF101" s="973"/>
      <c r="ASG101" s="973"/>
      <c r="ASH101" s="973"/>
      <c r="ASI101" s="973"/>
      <c r="ASJ101" s="973"/>
      <c r="ASK101" s="973"/>
      <c r="ASL101" s="973"/>
      <c r="ASM101" s="973"/>
      <c r="ASN101" s="973"/>
      <c r="ASO101" s="973"/>
      <c r="ASP101" s="973"/>
      <c r="ASQ101" s="973"/>
      <c r="ASR101" s="973"/>
      <c r="ASS101" s="973"/>
      <c r="AST101" s="973"/>
      <c r="ASU101" s="973"/>
      <c r="ASV101" s="973"/>
      <c r="ASW101" s="973"/>
      <c r="ASX101" s="973"/>
      <c r="ASY101" s="973"/>
      <c r="ASZ101" s="973"/>
      <c r="ATA101" s="973"/>
      <c r="ATB101" s="973"/>
      <c r="ATC101" s="973"/>
      <c r="ATD101" s="973"/>
      <c r="ATE101" s="973"/>
      <c r="ATF101" s="973"/>
      <c r="ATG101" s="973"/>
      <c r="ATH101" s="973"/>
      <c r="ATI101" s="973"/>
      <c r="ATJ101" s="973"/>
      <c r="ATK101" s="973"/>
      <c r="ATL101" s="973"/>
      <c r="ATM101" s="973"/>
      <c r="ATN101" s="973"/>
      <c r="ATO101" s="973"/>
      <c r="ATP101" s="973"/>
      <c r="ATQ101" s="973"/>
      <c r="ATR101" s="973"/>
      <c r="ATS101" s="973"/>
      <c r="ATT101" s="973"/>
      <c r="ATU101" s="973"/>
      <c r="ATV101" s="973"/>
      <c r="ATW101" s="973"/>
      <c r="ATX101" s="973"/>
      <c r="ATY101" s="973"/>
      <c r="ATZ101" s="973"/>
      <c r="AUA101" s="973"/>
      <c r="AUB101" s="973"/>
      <c r="AUC101" s="973"/>
      <c r="AUD101" s="973"/>
      <c r="AUE101" s="973"/>
      <c r="AUF101" s="973"/>
      <c r="AUG101" s="973"/>
      <c r="AUH101" s="973"/>
      <c r="AUI101" s="973"/>
      <c r="AUJ101" s="973"/>
      <c r="AUK101" s="973"/>
      <c r="AUL101" s="973"/>
      <c r="AUM101" s="973"/>
      <c r="AUN101" s="973"/>
      <c r="AUO101" s="973"/>
      <c r="AUP101" s="973"/>
      <c r="AUQ101" s="973"/>
      <c r="AUR101" s="973"/>
      <c r="AUS101" s="973"/>
      <c r="AUT101" s="973"/>
      <c r="AUU101" s="973"/>
      <c r="AUV101" s="973"/>
      <c r="AUW101" s="973"/>
      <c r="AUX101" s="973"/>
      <c r="AUY101" s="973"/>
      <c r="AUZ101" s="973"/>
      <c r="AVA101" s="973"/>
      <c r="AVB101" s="973"/>
      <c r="AVC101" s="973"/>
      <c r="AVD101" s="973"/>
      <c r="AVE101" s="973"/>
      <c r="AVF101" s="973"/>
      <c r="AVG101" s="973"/>
      <c r="AVH101" s="973"/>
      <c r="AVI101" s="973"/>
      <c r="AVJ101" s="973"/>
      <c r="AVK101" s="973"/>
      <c r="AVL101" s="973"/>
      <c r="AVM101" s="973"/>
      <c r="AVN101" s="973"/>
      <c r="AVO101" s="973"/>
      <c r="AVP101" s="973"/>
      <c r="AVQ101" s="973"/>
      <c r="AVR101" s="973"/>
      <c r="AVS101" s="973"/>
      <c r="AVT101" s="973"/>
      <c r="AVU101" s="973"/>
      <c r="AVV101" s="973"/>
      <c r="AVW101" s="973"/>
      <c r="AVX101" s="973"/>
      <c r="AVY101" s="973"/>
      <c r="AVZ101" s="973"/>
      <c r="AWA101" s="973"/>
      <c r="AWB101" s="973"/>
      <c r="AWC101" s="973"/>
      <c r="AWD101" s="973"/>
      <c r="AWE101" s="973"/>
      <c r="AWF101" s="973"/>
      <c r="AWG101" s="973"/>
      <c r="AWH101" s="973"/>
      <c r="AWI101" s="973"/>
      <c r="AWJ101" s="973"/>
      <c r="AWK101" s="973"/>
      <c r="AWL101" s="973"/>
      <c r="AWM101" s="973"/>
      <c r="AWN101" s="973"/>
      <c r="AWO101" s="973"/>
      <c r="AWP101" s="973"/>
      <c r="AWQ101" s="973"/>
      <c r="AWR101" s="973"/>
      <c r="AWS101" s="973"/>
      <c r="AWT101" s="973"/>
      <c r="AWU101" s="973"/>
      <c r="AWV101" s="973"/>
      <c r="AWW101" s="973"/>
      <c r="AWX101" s="973"/>
      <c r="AWY101" s="973"/>
      <c r="AWZ101" s="973"/>
      <c r="AXA101" s="973"/>
      <c r="AXB101" s="973"/>
      <c r="AXC101" s="973"/>
      <c r="AXD101" s="973"/>
      <c r="AXE101" s="973"/>
      <c r="AXF101" s="973"/>
      <c r="AXG101" s="973"/>
      <c r="AXH101" s="973"/>
      <c r="AXI101" s="973"/>
      <c r="AXJ101" s="973"/>
      <c r="AXK101" s="973"/>
      <c r="AXL101" s="973"/>
      <c r="AXM101" s="973"/>
      <c r="AXN101" s="973"/>
      <c r="AXO101" s="973"/>
      <c r="AXP101" s="973"/>
      <c r="AXQ101" s="973"/>
      <c r="AXR101" s="973"/>
      <c r="AXS101" s="973"/>
      <c r="AXT101" s="973"/>
      <c r="AXU101" s="973"/>
      <c r="AXV101" s="973"/>
      <c r="AXW101" s="973"/>
      <c r="AXX101" s="973"/>
      <c r="AXY101" s="973"/>
      <c r="AXZ101" s="973"/>
      <c r="AYA101" s="973"/>
      <c r="AYB101" s="973"/>
      <c r="AYC101" s="973"/>
      <c r="AYD101" s="973"/>
      <c r="AYE101" s="973"/>
      <c r="AYF101" s="973"/>
      <c r="AYG101" s="973"/>
      <c r="AYH101" s="973"/>
      <c r="AYI101" s="973"/>
      <c r="AYJ101" s="973"/>
      <c r="AYK101" s="973"/>
      <c r="AYL101" s="973"/>
      <c r="AYM101" s="973"/>
      <c r="AYN101" s="973"/>
      <c r="AYO101" s="973"/>
      <c r="AYP101" s="973"/>
      <c r="AYQ101" s="973"/>
      <c r="AYR101" s="973"/>
      <c r="AYS101" s="973"/>
      <c r="AYT101" s="973"/>
      <c r="AYU101" s="973"/>
      <c r="AYV101" s="973"/>
      <c r="AYW101" s="973"/>
      <c r="AYX101" s="973"/>
      <c r="AYY101" s="973"/>
      <c r="AYZ101" s="973"/>
      <c r="AZA101" s="973"/>
      <c r="AZB101" s="973"/>
      <c r="AZC101" s="973"/>
      <c r="AZD101" s="973"/>
      <c r="AZE101" s="973"/>
      <c r="AZF101" s="973"/>
      <c r="AZG101" s="973"/>
      <c r="AZH101" s="973"/>
      <c r="AZI101" s="973"/>
      <c r="AZJ101" s="973"/>
      <c r="AZK101" s="973"/>
      <c r="AZL101" s="973"/>
      <c r="AZM101" s="973"/>
      <c r="AZN101" s="973"/>
      <c r="AZO101" s="973"/>
      <c r="AZP101" s="973"/>
      <c r="AZQ101" s="973"/>
      <c r="AZR101" s="973"/>
      <c r="AZS101" s="973"/>
      <c r="AZT101" s="973"/>
      <c r="AZU101" s="973"/>
      <c r="AZV101" s="973"/>
      <c r="AZW101" s="973"/>
      <c r="AZX101" s="973"/>
      <c r="AZY101" s="973"/>
      <c r="AZZ101" s="973"/>
      <c r="BAA101" s="973"/>
      <c r="BAB101" s="973"/>
      <c r="BAC101" s="973"/>
      <c r="BAD101" s="973"/>
      <c r="BAE101" s="973"/>
      <c r="BAF101" s="973"/>
      <c r="BAG101" s="973"/>
      <c r="BAH101" s="973"/>
      <c r="BAI101" s="973"/>
      <c r="BAJ101" s="973"/>
      <c r="BAK101" s="973"/>
      <c r="BAL101" s="973"/>
      <c r="BAM101" s="973"/>
      <c r="BAN101" s="973"/>
      <c r="BAO101" s="973"/>
      <c r="BAP101" s="973"/>
      <c r="BAQ101" s="973"/>
      <c r="BAR101" s="973"/>
      <c r="BAS101" s="973"/>
      <c r="BAT101" s="973"/>
      <c r="BAU101" s="973"/>
      <c r="BAV101" s="973"/>
      <c r="BAW101" s="973"/>
      <c r="BAX101" s="973"/>
      <c r="BAY101" s="973"/>
      <c r="BAZ101" s="973"/>
      <c r="BBA101" s="973"/>
      <c r="BBB101" s="973"/>
      <c r="BBC101" s="973"/>
      <c r="BBD101" s="973"/>
      <c r="BBE101" s="973"/>
      <c r="BBF101" s="973"/>
      <c r="BBG101" s="973"/>
      <c r="BBH101" s="973"/>
      <c r="BBI101" s="973"/>
      <c r="BBJ101" s="973"/>
      <c r="BBK101" s="973"/>
      <c r="BBL101" s="973"/>
      <c r="BBM101" s="973"/>
      <c r="BBN101" s="973"/>
      <c r="BBO101" s="973"/>
      <c r="BBP101" s="973"/>
      <c r="BBQ101" s="973"/>
      <c r="BBR101" s="973"/>
      <c r="BBS101" s="973"/>
      <c r="BBT101" s="973"/>
      <c r="BBU101" s="973"/>
      <c r="BBV101" s="973"/>
      <c r="BBW101" s="973"/>
      <c r="BBX101" s="973"/>
      <c r="BBY101" s="973"/>
      <c r="BBZ101" s="973"/>
      <c r="BCA101" s="973"/>
      <c r="BCB101" s="973"/>
      <c r="BCC101" s="973"/>
      <c r="BCD101" s="973"/>
      <c r="BCE101" s="973"/>
      <c r="BCF101" s="973"/>
      <c r="BCG101" s="973"/>
      <c r="BCH101" s="973"/>
      <c r="BCI101" s="973"/>
      <c r="BCJ101" s="973"/>
      <c r="BCK101" s="973"/>
      <c r="BCL101" s="973"/>
      <c r="BCM101" s="973"/>
      <c r="BCN101" s="973"/>
      <c r="BCO101" s="973"/>
      <c r="BCP101" s="973"/>
      <c r="BCQ101" s="973"/>
      <c r="BCR101" s="973"/>
      <c r="BCS101" s="973"/>
      <c r="BCT101" s="973"/>
      <c r="BCU101" s="973"/>
      <c r="BCV101" s="973"/>
      <c r="BCW101" s="973"/>
      <c r="BCX101" s="973"/>
      <c r="BCY101" s="973"/>
      <c r="BCZ101" s="973"/>
      <c r="BDA101" s="973"/>
      <c r="BDB101" s="973"/>
      <c r="BDC101" s="973"/>
      <c r="BDD101" s="973"/>
      <c r="BDE101" s="973"/>
      <c r="BDF101" s="973"/>
      <c r="BDG101" s="973"/>
      <c r="BDH101" s="973"/>
      <c r="BDI101" s="973"/>
      <c r="BDJ101" s="973"/>
      <c r="BDK101" s="973"/>
      <c r="BDL101" s="973"/>
      <c r="BDM101" s="973"/>
      <c r="BDN101" s="973"/>
      <c r="BDO101" s="973"/>
      <c r="BDP101" s="973"/>
      <c r="BDQ101" s="973"/>
      <c r="BDR101" s="973"/>
      <c r="BDS101" s="973"/>
      <c r="BDT101" s="973"/>
      <c r="BDU101" s="973"/>
      <c r="BDV101" s="973"/>
      <c r="BDW101" s="973"/>
      <c r="BDX101" s="973"/>
      <c r="BDY101" s="973"/>
      <c r="BDZ101" s="973"/>
      <c r="BEA101" s="973"/>
      <c r="BEB101" s="973"/>
      <c r="BEC101" s="973"/>
      <c r="BED101" s="973"/>
      <c r="BEE101" s="973"/>
      <c r="BEF101" s="973"/>
      <c r="BEG101" s="973"/>
      <c r="BEH101" s="973"/>
      <c r="BEI101" s="973"/>
      <c r="BEJ101" s="973"/>
      <c r="BEK101" s="973"/>
      <c r="BEL101" s="973"/>
      <c r="BEM101" s="973"/>
      <c r="BEN101" s="973"/>
      <c r="BEO101" s="973"/>
      <c r="BEP101" s="973"/>
      <c r="BEQ101" s="973"/>
      <c r="BER101" s="973"/>
      <c r="BES101" s="973"/>
      <c r="BET101" s="973"/>
      <c r="BEU101" s="973"/>
      <c r="BEV101" s="973"/>
      <c r="BEW101" s="973"/>
      <c r="BEX101" s="973"/>
      <c r="BEY101" s="973"/>
      <c r="BEZ101" s="973"/>
      <c r="BFA101" s="973"/>
      <c r="BFB101" s="973"/>
      <c r="BFC101" s="973"/>
      <c r="BFD101" s="973"/>
      <c r="BFE101" s="973"/>
      <c r="BFF101" s="973"/>
      <c r="BFG101" s="973"/>
      <c r="BFH101" s="973"/>
      <c r="BFI101" s="973"/>
      <c r="BFJ101" s="973"/>
      <c r="BFK101" s="973"/>
      <c r="BFL101" s="973"/>
      <c r="BFM101" s="973"/>
      <c r="BFN101" s="973"/>
      <c r="BFO101" s="973"/>
      <c r="BFP101" s="973"/>
      <c r="BFQ101" s="973"/>
      <c r="BFR101" s="973"/>
      <c r="BFS101" s="973"/>
      <c r="BFT101" s="973"/>
      <c r="BFU101" s="973"/>
      <c r="BFV101" s="973"/>
      <c r="BFW101" s="973"/>
      <c r="BFX101" s="973"/>
      <c r="BFY101" s="973"/>
      <c r="BFZ101" s="973"/>
      <c r="BGA101" s="973"/>
      <c r="BGB101" s="973"/>
      <c r="BGC101" s="973"/>
      <c r="BGD101" s="973"/>
      <c r="BGE101" s="973"/>
      <c r="BGF101" s="973"/>
      <c r="BGG101" s="973"/>
      <c r="BGH101" s="973"/>
      <c r="BGI101" s="973"/>
      <c r="BGJ101" s="973"/>
      <c r="BGK101" s="973"/>
      <c r="BGL101" s="973"/>
      <c r="BGM101" s="973"/>
      <c r="BGN101" s="973"/>
      <c r="BGO101" s="973"/>
      <c r="BGP101" s="973"/>
      <c r="BGQ101" s="973"/>
      <c r="BGR101" s="973"/>
      <c r="BGS101" s="973"/>
      <c r="BGT101" s="973"/>
      <c r="BGU101" s="973"/>
      <c r="BGV101" s="973"/>
      <c r="BGW101" s="973"/>
      <c r="BGX101" s="973"/>
      <c r="BGY101" s="973"/>
      <c r="BGZ101" s="973"/>
      <c r="BHA101" s="973"/>
      <c r="BHB101" s="973"/>
      <c r="BHC101" s="973"/>
      <c r="BHD101" s="973"/>
      <c r="BHE101" s="973"/>
      <c r="BHF101" s="973"/>
      <c r="BHG101" s="973"/>
      <c r="BHH101" s="973"/>
      <c r="BHI101" s="973"/>
      <c r="BHJ101" s="973"/>
      <c r="BHK101" s="973"/>
      <c r="BHL101" s="973"/>
      <c r="BHM101" s="973"/>
      <c r="BHN101" s="973"/>
      <c r="BHO101" s="973"/>
      <c r="BHP101" s="973"/>
      <c r="BHQ101" s="973"/>
      <c r="BHR101" s="973"/>
      <c r="BHS101" s="973"/>
      <c r="BHT101" s="973"/>
      <c r="BHU101" s="973"/>
      <c r="BHV101" s="973"/>
      <c r="BHW101" s="973"/>
      <c r="BHX101" s="973"/>
      <c r="BHY101" s="973"/>
      <c r="BHZ101" s="973"/>
      <c r="BIA101" s="973"/>
      <c r="BIB101" s="973"/>
      <c r="BIC101" s="973"/>
      <c r="BID101" s="973"/>
      <c r="BIE101" s="973"/>
      <c r="BIF101" s="973"/>
      <c r="BIG101" s="973"/>
      <c r="BIH101" s="973"/>
      <c r="BII101" s="973"/>
      <c r="BIJ101" s="973"/>
      <c r="BIK101" s="973"/>
      <c r="BIL101" s="973"/>
      <c r="BIM101" s="973"/>
      <c r="BIN101" s="973"/>
      <c r="BIO101" s="973"/>
      <c r="BIP101" s="973"/>
      <c r="BIQ101" s="973"/>
      <c r="BIR101" s="973"/>
      <c r="BIS101" s="973"/>
      <c r="BIT101" s="973"/>
      <c r="BIU101" s="973"/>
      <c r="BIV101" s="973"/>
      <c r="BIW101" s="973"/>
      <c r="BIX101" s="973"/>
      <c r="BIY101" s="973"/>
      <c r="BIZ101" s="973"/>
      <c r="BJA101" s="973"/>
      <c r="BJB101" s="973"/>
      <c r="BJC101" s="973"/>
      <c r="BJD101" s="973"/>
      <c r="BJE101" s="973"/>
      <c r="BJF101" s="973"/>
      <c r="BJG101" s="973"/>
      <c r="BJH101" s="973"/>
      <c r="BJI101" s="973"/>
      <c r="BJJ101" s="973"/>
      <c r="BJK101" s="973"/>
      <c r="BJL101" s="973"/>
      <c r="BJM101" s="973"/>
      <c r="BJN101" s="973"/>
      <c r="BJO101" s="973"/>
      <c r="BJP101" s="973"/>
      <c r="BJQ101" s="973"/>
      <c r="BJR101" s="973"/>
      <c r="BJS101" s="973"/>
      <c r="BJT101" s="973"/>
      <c r="BJU101" s="973"/>
      <c r="BJV101" s="973"/>
      <c r="BJW101" s="973"/>
      <c r="BJX101" s="973"/>
      <c r="BJY101" s="973"/>
      <c r="BJZ101" s="973"/>
      <c r="BKA101" s="973"/>
      <c r="BKB101" s="973"/>
      <c r="BKC101" s="973"/>
      <c r="BKD101" s="973"/>
      <c r="BKE101" s="973"/>
      <c r="BKF101" s="973"/>
      <c r="BKG101" s="973"/>
      <c r="BKH101" s="973"/>
      <c r="BKI101" s="973"/>
      <c r="BKJ101" s="973"/>
      <c r="BKK101" s="973"/>
      <c r="BKL101" s="973"/>
      <c r="BKM101" s="973"/>
      <c r="BKN101" s="973"/>
      <c r="BKO101" s="973"/>
      <c r="BKP101" s="973"/>
      <c r="BKQ101" s="973"/>
      <c r="BKR101" s="973"/>
      <c r="BKS101" s="973"/>
      <c r="BKT101" s="973"/>
      <c r="BKU101" s="973"/>
      <c r="BKV101" s="973"/>
      <c r="BKW101" s="973"/>
      <c r="BKX101" s="973"/>
      <c r="BKY101" s="973"/>
      <c r="BKZ101" s="973"/>
      <c r="BLA101" s="973"/>
      <c r="BLB101" s="973"/>
      <c r="BLC101" s="973"/>
      <c r="BLD101" s="973"/>
      <c r="BLE101" s="973"/>
      <c r="BLF101" s="973"/>
      <c r="BLG101" s="973"/>
      <c r="BLH101" s="973"/>
      <c r="BLI101" s="973"/>
      <c r="BLJ101" s="973"/>
      <c r="BLK101" s="973"/>
      <c r="BLL101" s="973"/>
      <c r="BLM101" s="973"/>
      <c r="BLN101" s="973"/>
      <c r="BLO101" s="973"/>
      <c r="BLP101" s="973"/>
      <c r="BLQ101" s="973"/>
      <c r="BLR101" s="973"/>
      <c r="BLS101" s="973"/>
      <c r="BLT101" s="973"/>
      <c r="BLU101" s="973"/>
      <c r="BLV101" s="973"/>
      <c r="BLW101" s="973"/>
      <c r="BLX101" s="973"/>
      <c r="BLY101" s="973"/>
      <c r="BLZ101" s="973"/>
      <c r="BMA101" s="973"/>
      <c r="BMB101" s="973"/>
      <c r="BMC101" s="973"/>
      <c r="BMD101" s="973"/>
      <c r="BME101" s="973"/>
      <c r="BMF101" s="973"/>
      <c r="BMG101" s="973"/>
      <c r="BMH101" s="973"/>
      <c r="BMI101" s="973"/>
      <c r="BMJ101" s="973"/>
      <c r="BMK101" s="973"/>
      <c r="BML101" s="973"/>
      <c r="BMM101" s="973"/>
      <c r="BMN101" s="973"/>
      <c r="BMO101" s="973"/>
      <c r="BMP101" s="973"/>
      <c r="BMQ101" s="973"/>
      <c r="BMR101" s="973"/>
      <c r="BMS101" s="973"/>
      <c r="BMT101" s="973"/>
      <c r="BMU101" s="973"/>
      <c r="BMV101" s="973"/>
      <c r="BMW101" s="973"/>
      <c r="BMX101" s="973"/>
      <c r="BMY101" s="973"/>
      <c r="BMZ101" s="973"/>
      <c r="BNA101" s="973"/>
      <c r="BNB101" s="973"/>
      <c r="BNC101" s="973"/>
      <c r="BND101" s="973"/>
      <c r="BNE101" s="973"/>
      <c r="BNF101" s="973"/>
      <c r="BNG101" s="973"/>
      <c r="BNH101" s="973"/>
      <c r="BNI101" s="973"/>
      <c r="BNJ101" s="973"/>
      <c r="BNK101" s="973"/>
      <c r="BNL101" s="973"/>
      <c r="BNM101" s="973"/>
      <c r="BNN101" s="973"/>
      <c r="BNO101" s="973"/>
      <c r="BNP101" s="973"/>
      <c r="BNQ101" s="973"/>
      <c r="BNR101" s="973"/>
      <c r="BNS101" s="973"/>
      <c r="BNT101" s="973"/>
      <c r="BNU101" s="973"/>
      <c r="BNV101" s="973"/>
      <c r="BNW101" s="973"/>
      <c r="BNX101" s="973"/>
      <c r="BNY101" s="973"/>
      <c r="BNZ101" s="973"/>
      <c r="BOA101" s="973"/>
      <c r="BOB101" s="973"/>
      <c r="BOC101" s="973"/>
      <c r="BOD101" s="973"/>
      <c r="BOE101" s="973"/>
      <c r="BOF101" s="973"/>
      <c r="BOG101" s="973"/>
      <c r="BOH101" s="973"/>
      <c r="BOI101" s="973"/>
      <c r="BOJ101" s="973"/>
      <c r="BOK101" s="973"/>
      <c r="BOL101" s="973"/>
      <c r="BOM101" s="973"/>
      <c r="BON101" s="973"/>
      <c r="BOO101" s="973"/>
      <c r="BOP101" s="973"/>
      <c r="BOQ101" s="973"/>
      <c r="BOR101" s="973"/>
      <c r="BOS101" s="973"/>
      <c r="BOT101" s="973"/>
      <c r="BOU101" s="973"/>
      <c r="BOV101" s="973"/>
      <c r="BOW101" s="973"/>
      <c r="BOX101" s="973"/>
      <c r="BOY101" s="973"/>
      <c r="BOZ101" s="973"/>
      <c r="BPA101" s="973"/>
      <c r="BPB101" s="973"/>
      <c r="BPC101" s="973"/>
      <c r="BPD101" s="973"/>
      <c r="BPE101" s="973"/>
      <c r="BPF101" s="973"/>
      <c r="BPG101" s="973"/>
      <c r="BPH101" s="973"/>
      <c r="BPI101" s="973"/>
      <c r="BPJ101" s="973"/>
      <c r="BPK101" s="973"/>
      <c r="BPL101" s="973"/>
      <c r="BPM101" s="973"/>
      <c r="BPN101" s="973"/>
      <c r="BPO101" s="973"/>
      <c r="BPP101" s="973"/>
      <c r="BPQ101" s="973"/>
      <c r="BPR101" s="973"/>
      <c r="BPS101" s="973"/>
      <c r="BPT101" s="973"/>
      <c r="BPU101" s="973"/>
      <c r="BPV101" s="973"/>
      <c r="BPW101" s="973"/>
      <c r="BPX101" s="973"/>
      <c r="BPY101" s="973"/>
      <c r="BPZ101" s="973"/>
      <c r="BQA101" s="973"/>
      <c r="BQB101" s="973"/>
      <c r="BQC101" s="973"/>
      <c r="BQD101" s="973"/>
      <c r="BQE101" s="973"/>
      <c r="BQF101" s="973"/>
      <c r="BQG101" s="973"/>
      <c r="BQH101" s="973"/>
      <c r="BQI101" s="973"/>
      <c r="BQJ101" s="973"/>
      <c r="BQK101" s="973"/>
      <c r="BQL101" s="973"/>
      <c r="BQM101" s="973"/>
      <c r="BQN101" s="973"/>
      <c r="BQO101" s="973"/>
      <c r="BQP101" s="973"/>
      <c r="BQQ101" s="973"/>
      <c r="BQR101" s="973"/>
      <c r="BQS101" s="973"/>
      <c r="BQT101" s="973"/>
      <c r="BQU101" s="973"/>
      <c r="BQV101" s="973"/>
      <c r="BQW101" s="973"/>
      <c r="BQX101" s="973"/>
      <c r="BQY101" s="973"/>
      <c r="BQZ101" s="973"/>
      <c r="BRA101" s="973"/>
      <c r="BRB101" s="973"/>
      <c r="BRC101" s="973"/>
      <c r="BRD101" s="973"/>
      <c r="BRE101" s="973"/>
      <c r="BRF101" s="973"/>
      <c r="BRG101" s="973"/>
      <c r="BRH101" s="973"/>
      <c r="BRI101" s="973"/>
      <c r="BRJ101" s="973"/>
      <c r="BRK101" s="973"/>
      <c r="BRL101" s="973"/>
      <c r="BRM101" s="973"/>
      <c r="BRN101" s="973"/>
      <c r="BRO101" s="973"/>
      <c r="BRP101" s="973"/>
      <c r="BRQ101" s="973"/>
      <c r="BRR101" s="973"/>
      <c r="BRS101" s="973"/>
      <c r="BRT101" s="973"/>
      <c r="BRU101" s="973"/>
      <c r="BRV101" s="973"/>
      <c r="BRW101" s="973"/>
      <c r="BRX101" s="973"/>
      <c r="BRY101" s="973"/>
      <c r="BRZ101" s="973"/>
      <c r="BSA101" s="973"/>
      <c r="BSB101" s="973"/>
      <c r="BSC101" s="973"/>
      <c r="BSD101" s="973"/>
      <c r="BSE101" s="973"/>
      <c r="BSF101" s="973"/>
      <c r="BSG101" s="973"/>
      <c r="BSH101" s="973"/>
      <c r="BSI101" s="973"/>
      <c r="BSJ101" s="973"/>
      <c r="BSK101" s="973"/>
      <c r="BSL101" s="973"/>
      <c r="BSM101" s="973"/>
      <c r="BSN101" s="973"/>
      <c r="BSO101" s="973"/>
      <c r="BSP101" s="973"/>
      <c r="BSQ101" s="973"/>
      <c r="BSR101" s="973"/>
      <c r="BSS101" s="973"/>
      <c r="BST101" s="973"/>
      <c r="BSU101" s="973"/>
      <c r="BSV101" s="973"/>
      <c r="BSW101" s="973"/>
      <c r="BSX101" s="973"/>
      <c r="BSY101" s="973"/>
      <c r="BSZ101" s="973"/>
      <c r="BTA101" s="973"/>
      <c r="BTB101" s="973"/>
      <c r="BTC101" s="973"/>
      <c r="BTD101" s="973"/>
      <c r="BTE101" s="973"/>
      <c r="BTF101" s="973"/>
      <c r="BTG101" s="973"/>
      <c r="BTH101" s="973"/>
      <c r="BTI101" s="973"/>
      <c r="BTJ101" s="973"/>
      <c r="BTK101" s="973"/>
      <c r="BTL101" s="973"/>
      <c r="BTM101" s="973"/>
      <c r="BTN101" s="973"/>
      <c r="BTO101" s="973"/>
      <c r="BTP101" s="973"/>
      <c r="BTQ101" s="973"/>
      <c r="BTR101" s="973"/>
      <c r="BTS101" s="973"/>
      <c r="BTT101" s="973"/>
      <c r="BTU101" s="973"/>
      <c r="BTV101" s="973"/>
      <c r="BTW101" s="973"/>
      <c r="BTX101" s="973"/>
      <c r="BTY101" s="973"/>
      <c r="BTZ101" s="973"/>
      <c r="BUA101" s="973"/>
      <c r="BUB101" s="973"/>
      <c r="BUC101" s="973"/>
      <c r="BUD101" s="973"/>
      <c r="BUE101" s="973"/>
      <c r="BUF101" s="973"/>
      <c r="BUG101" s="973"/>
      <c r="BUH101" s="973"/>
      <c r="BUI101" s="973"/>
      <c r="BUJ101" s="973"/>
      <c r="BUK101" s="973"/>
      <c r="BUL101" s="973"/>
      <c r="BUM101" s="973"/>
      <c r="BUN101" s="973"/>
      <c r="BUO101" s="973"/>
      <c r="BUP101" s="973"/>
      <c r="BUQ101" s="973"/>
      <c r="BUR101" s="973"/>
      <c r="BUS101" s="973"/>
      <c r="BUT101" s="973"/>
      <c r="BUU101" s="973"/>
      <c r="BUV101" s="973"/>
      <c r="BUW101" s="973"/>
      <c r="BUX101" s="973"/>
      <c r="BUY101" s="973"/>
      <c r="BUZ101" s="973"/>
      <c r="BVA101" s="973"/>
      <c r="BVB101" s="973"/>
      <c r="BVC101" s="973"/>
      <c r="BVD101" s="973"/>
      <c r="BVE101" s="973"/>
      <c r="BVF101" s="973"/>
      <c r="BVG101" s="973"/>
      <c r="BVH101" s="973"/>
      <c r="BVI101" s="973"/>
      <c r="BVJ101" s="973"/>
      <c r="BVK101" s="973"/>
      <c r="BVL101" s="973"/>
      <c r="BVM101" s="973"/>
      <c r="BVN101" s="973"/>
      <c r="BVO101" s="973"/>
      <c r="BVP101" s="973"/>
      <c r="BVQ101" s="973"/>
      <c r="BVR101" s="973"/>
      <c r="BVS101" s="973"/>
      <c r="BVT101" s="973"/>
      <c r="BVU101" s="973"/>
      <c r="BVV101" s="973"/>
      <c r="BVW101" s="973"/>
      <c r="BVX101" s="973"/>
      <c r="BVY101" s="973"/>
      <c r="BVZ101" s="973"/>
      <c r="BWA101" s="973"/>
      <c r="BWB101" s="973"/>
      <c r="BWC101" s="973"/>
      <c r="BWD101" s="973"/>
      <c r="BWE101" s="973"/>
      <c r="BWF101" s="973"/>
      <c r="BWG101" s="973"/>
      <c r="BWH101" s="973"/>
      <c r="BWI101" s="973"/>
      <c r="BWJ101" s="973"/>
      <c r="BWK101" s="973"/>
      <c r="BWL101" s="973"/>
      <c r="BWM101" s="973"/>
      <c r="BWN101" s="973"/>
      <c r="BWO101" s="973"/>
      <c r="BWP101" s="973"/>
      <c r="BWQ101" s="973"/>
      <c r="BWR101" s="973"/>
      <c r="BWS101" s="973"/>
      <c r="BWT101" s="973"/>
      <c r="BWU101" s="973"/>
      <c r="BWV101" s="973"/>
      <c r="BWW101" s="973"/>
      <c r="BWX101" s="973"/>
      <c r="BWY101" s="973"/>
      <c r="BWZ101" s="973"/>
      <c r="BXA101" s="973"/>
      <c r="BXB101" s="973"/>
      <c r="BXC101" s="973"/>
      <c r="BXD101" s="973"/>
      <c r="BXE101" s="973"/>
      <c r="BXF101" s="973"/>
      <c r="BXG101" s="973"/>
      <c r="BXH101" s="973"/>
      <c r="BXI101" s="973"/>
      <c r="BXJ101" s="973"/>
      <c r="BXK101" s="973"/>
      <c r="BXL101" s="973"/>
      <c r="BXM101" s="973"/>
      <c r="BXN101" s="973"/>
      <c r="BXO101" s="973"/>
      <c r="BXP101" s="973"/>
      <c r="BXQ101" s="973"/>
      <c r="BXR101" s="973"/>
      <c r="BXS101" s="973"/>
      <c r="BXT101" s="973"/>
      <c r="BXU101" s="973"/>
      <c r="BXV101" s="973"/>
      <c r="BXW101" s="973"/>
      <c r="BXX101" s="973"/>
      <c r="BXY101" s="973"/>
      <c r="BXZ101" s="973"/>
      <c r="BYA101" s="973"/>
      <c r="BYB101" s="973"/>
      <c r="BYC101" s="973"/>
      <c r="BYD101" s="973"/>
      <c r="BYE101" s="973"/>
      <c r="BYF101" s="973"/>
      <c r="BYG101" s="973"/>
      <c r="BYH101" s="973"/>
      <c r="BYI101" s="973"/>
      <c r="BYJ101" s="973"/>
      <c r="BYK101" s="973"/>
      <c r="BYL101" s="973"/>
      <c r="BYM101" s="973"/>
      <c r="BYN101" s="973"/>
      <c r="BYO101" s="973"/>
      <c r="BYP101" s="973"/>
      <c r="BYQ101" s="973"/>
      <c r="BYR101" s="973"/>
      <c r="BYS101" s="973"/>
      <c r="BYT101" s="973"/>
      <c r="BYU101" s="973"/>
      <c r="BYV101" s="973"/>
      <c r="BYW101" s="973"/>
      <c r="BYX101" s="973"/>
      <c r="BYY101" s="973"/>
      <c r="BYZ101" s="973"/>
      <c r="BZA101" s="973"/>
      <c r="BZB101" s="973"/>
      <c r="BZC101" s="973"/>
      <c r="BZD101" s="973"/>
      <c r="BZE101" s="973"/>
      <c r="BZF101" s="973"/>
      <c r="BZG101" s="973"/>
      <c r="BZH101" s="973"/>
      <c r="BZI101" s="973"/>
      <c r="BZJ101" s="973"/>
      <c r="BZK101" s="973"/>
      <c r="BZL101" s="973"/>
      <c r="BZM101" s="973"/>
      <c r="BZN101" s="973"/>
      <c r="BZO101" s="973"/>
      <c r="BZP101" s="973"/>
      <c r="BZQ101" s="973"/>
      <c r="BZR101" s="973"/>
      <c r="BZS101" s="973"/>
      <c r="BZT101" s="973"/>
      <c r="BZU101" s="973"/>
      <c r="BZV101" s="973"/>
      <c r="BZW101" s="973"/>
      <c r="BZX101" s="973"/>
      <c r="BZY101" s="973"/>
      <c r="BZZ101" s="973"/>
      <c r="CAA101" s="973"/>
      <c r="CAB101" s="973"/>
      <c r="CAC101" s="973"/>
      <c r="CAD101" s="973"/>
      <c r="CAE101" s="973"/>
      <c r="CAF101" s="973"/>
      <c r="CAG101" s="973"/>
      <c r="CAH101" s="973"/>
      <c r="CAI101" s="973"/>
      <c r="CAJ101" s="973"/>
      <c r="CAK101" s="973"/>
      <c r="CAL101" s="973"/>
      <c r="CAM101" s="973"/>
      <c r="CAN101" s="973"/>
      <c r="CAO101" s="973"/>
      <c r="CAP101" s="973"/>
      <c r="CAQ101" s="973"/>
      <c r="CAR101" s="973"/>
      <c r="CAS101" s="973"/>
      <c r="CAT101" s="973"/>
      <c r="CAU101" s="973"/>
      <c r="CAV101" s="973"/>
      <c r="CAW101" s="973"/>
      <c r="CAX101" s="973"/>
      <c r="CAY101" s="973"/>
      <c r="CAZ101" s="973"/>
      <c r="CBA101" s="973"/>
      <c r="CBB101" s="973"/>
      <c r="CBC101" s="973"/>
      <c r="CBD101" s="973"/>
      <c r="CBE101" s="973"/>
      <c r="CBF101" s="973"/>
      <c r="CBG101" s="973"/>
      <c r="CBH101" s="973"/>
      <c r="CBI101" s="973"/>
      <c r="CBJ101" s="973"/>
      <c r="CBK101" s="973"/>
      <c r="CBL101" s="973"/>
      <c r="CBM101" s="973"/>
      <c r="CBN101" s="973"/>
      <c r="CBO101" s="973"/>
      <c r="CBP101" s="973"/>
      <c r="CBQ101" s="973"/>
      <c r="CBR101" s="973"/>
      <c r="CBS101" s="973"/>
      <c r="CBT101" s="973"/>
      <c r="CBU101" s="973"/>
      <c r="CBV101" s="973"/>
      <c r="CBW101" s="973"/>
      <c r="CBX101" s="973"/>
      <c r="CBY101" s="973"/>
      <c r="CBZ101" s="973"/>
      <c r="CCA101" s="973"/>
      <c r="CCB101" s="973"/>
      <c r="CCC101" s="973"/>
      <c r="CCD101" s="973"/>
      <c r="CCE101" s="973"/>
      <c r="CCF101" s="973"/>
      <c r="CCG101" s="973"/>
      <c r="CCH101" s="973"/>
      <c r="CCI101" s="973"/>
      <c r="CCJ101" s="973"/>
      <c r="CCK101" s="973"/>
      <c r="CCL101" s="973"/>
      <c r="CCM101" s="973"/>
      <c r="CCN101" s="973"/>
      <c r="CCO101" s="973"/>
      <c r="CCP101" s="973"/>
      <c r="CCQ101" s="973"/>
      <c r="CCR101" s="973"/>
      <c r="CCS101" s="973"/>
      <c r="CCT101" s="973"/>
      <c r="CCU101" s="973"/>
      <c r="CCV101" s="973"/>
      <c r="CCW101" s="973"/>
      <c r="CCX101" s="973"/>
      <c r="CCY101" s="973"/>
      <c r="CCZ101" s="973"/>
      <c r="CDA101" s="973"/>
      <c r="CDB101" s="973"/>
      <c r="CDC101" s="973"/>
      <c r="CDD101" s="973"/>
      <c r="CDE101" s="973"/>
      <c r="CDF101" s="973"/>
      <c r="CDG101" s="973"/>
      <c r="CDH101" s="973"/>
      <c r="CDI101" s="973"/>
      <c r="CDJ101" s="973"/>
      <c r="CDK101" s="973"/>
      <c r="CDL101" s="973"/>
      <c r="CDM101" s="973"/>
      <c r="CDN101" s="973"/>
      <c r="CDO101" s="973"/>
      <c r="CDP101" s="973"/>
      <c r="CDQ101" s="973"/>
      <c r="CDR101" s="973"/>
      <c r="CDS101" s="973"/>
      <c r="CDT101" s="973"/>
      <c r="CDU101" s="973"/>
      <c r="CDV101" s="973"/>
      <c r="CDW101" s="973"/>
      <c r="CDX101" s="973"/>
      <c r="CDY101" s="973"/>
      <c r="CDZ101" s="973"/>
      <c r="CEA101" s="973"/>
      <c r="CEB101" s="973"/>
      <c r="CEC101" s="973"/>
      <c r="CED101" s="973"/>
      <c r="CEE101" s="973"/>
      <c r="CEF101" s="973"/>
      <c r="CEG101" s="973"/>
      <c r="CEH101" s="973"/>
      <c r="CEI101" s="973"/>
      <c r="CEJ101" s="973"/>
      <c r="CEK101" s="973"/>
      <c r="CEL101" s="973"/>
      <c r="CEM101" s="973"/>
      <c r="CEN101" s="973"/>
      <c r="CEO101" s="973"/>
      <c r="CEP101" s="973"/>
      <c r="CEQ101" s="973"/>
      <c r="CER101" s="973"/>
      <c r="CES101" s="973"/>
      <c r="CET101" s="973"/>
      <c r="CEU101" s="973"/>
      <c r="CEV101" s="973"/>
      <c r="CEW101" s="973"/>
      <c r="CEX101" s="973"/>
      <c r="CEY101" s="973"/>
      <c r="CEZ101" s="973"/>
      <c r="CFA101" s="973"/>
      <c r="CFB101" s="973"/>
      <c r="CFC101" s="973"/>
      <c r="CFD101" s="973"/>
      <c r="CFE101" s="973"/>
      <c r="CFF101" s="973"/>
      <c r="CFG101" s="973"/>
      <c r="CFH101" s="973"/>
      <c r="CFI101" s="973"/>
      <c r="CFJ101" s="973"/>
      <c r="CFK101" s="973"/>
      <c r="CFL101" s="973"/>
      <c r="CFM101" s="973"/>
      <c r="CFN101" s="973"/>
      <c r="CFO101" s="973"/>
      <c r="CFP101" s="973"/>
      <c r="CFQ101" s="973"/>
      <c r="CFR101" s="973"/>
      <c r="CFS101" s="973"/>
      <c r="CFT101" s="973"/>
      <c r="CFU101" s="973"/>
      <c r="CFV101" s="973"/>
      <c r="CFW101" s="973"/>
      <c r="CFX101" s="973"/>
      <c r="CFY101" s="973"/>
      <c r="CFZ101" s="973"/>
      <c r="CGA101" s="973"/>
      <c r="CGB101" s="973"/>
      <c r="CGC101" s="973"/>
      <c r="CGD101" s="973"/>
      <c r="CGE101" s="973"/>
      <c r="CGF101" s="973"/>
      <c r="CGG101" s="973"/>
      <c r="CGH101" s="973"/>
      <c r="CGI101" s="973"/>
      <c r="CGJ101" s="973"/>
      <c r="CGK101" s="973"/>
      <c r="CGL101" s="973"/>
      <c r="CGM101" s="973"/>
      <c r="CGN101" s="973"/>
      <c r="CGO101" s="973"/>
      <c r="CGP101" s="973"/>
      <c r="CGQ101" s="973"/>
      <c r="CGR101" s="973"/>
      <c r="CGS101" s="973"/>
      <c r="CGT101" s="973"/>
      <c r="CGU101" s="973"/>
      <c r="CGV101" s="973"/>
      <c r="CGW101" s="973"/>
      <c r="CGX101" s="973"/>
      <c r="CGY101" s="973"/>
      <c r="CGZ101" s="973"/>
      <c r="CHA101" s="973"/>
      <c r="CHB101" s="973"/>
      <c r="CHC101" s="973"/>
      <c r="CHD101" s="973"/>
      <c r="CHE101" s="973"/>
      <c r="CHF101" s="973"/>
      <c r="CHG101" s="973"/>
      <c r="CHH101" s="973"/>
      <c r="CHI101" s="973"/>
      <c r="CHJ101" s="973"/>
      <c r="CHK101" s="973"/>
      <c r="CHL101" s="973"/>
      <c r="CHM101" s="973"/>
      <c r="CHN101" s="973"/>
      <c r="CHO101" s="973"/>
      <c r="CHP101" s="973"/>
      <c r="CHQ101" s="973"/>
      <c r="CHR101" s="973"/>
      <c r="CHS101" s="973"/>
      <c r="CHT101" s="973"/>
      <c r="CHU101" s="973"/>
      <c r="CHV101" s="973"/>
      <c r="CHW101" s="973"/>
      <c r="CHX101" s="973"/>
      <c r="CHY101" s="973"/>
      <c r="CHZ101" s="973"/>
      <c r="CIA101" s="973"/>
      <c r="CIB101" s="973"/>
      <c r="CIC101" s="973"/>
      <c r="CID101" s="973"/>
      <c r="CIE101" s="973"/>
      <c r="CIF101" s="973"/>
      <c r="CIG101" s="973"/>
      <c r="CIH101" s="973"/>
      <c r="CII101" s="973"/>
      <c r="CIJ101" s="973"/>
      <c r="CIK101" s="973"/>
      <c r="CIL101" s="973"/>
      <c r="CIM101" s="973"/>
      <c r="CIN101" s="973"/>
      <c r="CIO101" s="973"/>
      <c r="CIP101" s="973"/>
      <c r="CIQ101" s="973"/>
      <c r="CIR101" s="973"/>
      <c r="CIS101" s="973"/>
      <c r="CIT101" s="973"/>
      <c r="CIU101" s="973"/>
      <c r="CIV101" s="973"/>
      <c r="CIW101" s="973"/>
      <c r="CIX101" s="973"/>
      <c r="CIY101" s="973"/>
      <c r="CIZ101" s="973"/>
      <c r="CJA101" s="973"/>
      <c r="CJB101" s="973"/>
      <c r="CJC101" s="973"/>
      <c r="CJD101" s="973"/>
      <c r="CJE101" s="973"/>
      <c r="CJF101" s="973"/>
      <c r="CJG101" s="973"/>
      <c r="CJH101" s="973"/>
      <c r="CJI101" s="973"/>
      <c r="CJJ101" s="973"/>
      <c r="CJK101" s="973"/>
      <c r="CJL101" s="973"/>
      <c r="CJM101" s="973"/>
      <c r="CJN101" s="973"/>
      <c r="CJO101" s="973"/>
      <c r="CJP101" s="973"/>
      <c r="CJQ101" s="973"/>
      <c r="CJR101" s="973"/>
      <c r="CJS101" s="973"/>
      <c r="CJT101" s="973"/>
      <c r="CJU101" s="973"/>
      <c r="CJV101" s="973"/>
      <c r="CJW101" s="973"/>
      <c r="CJX101" s="973"/>
      <c r="CJY101" s="973"/>
      <c r="CJZ101" s="973"/>
      <c r="CKA101" s="973"/>
      <c r="CKB101" s="973"/>
      <c r="CKC101" s="973"/>
      <c r="CKD101" s="973"/>
      <c r="CKE101" s="973"/>
      <c r="CKF101" s="973"/>
      <c r="CKG101" s="973"/>
      <c r="CKH101" s="973"/>
      <c r="CKI101" s="973"/>
      <c r="CKJ101" s="973"/>
      <c r="CKK101" s="973"/>
      <c r="CKL101" s="973"/>
      <c r="CKM101" s="973"/>
      <c r="CKN101" s="973"/>
      <c r="CKO101" s="973"/>
      <c r="CKP101" s="973"/>
      <c r="CKQ101" s="973"/>
      <c r="CKR101" s="973"/>
      <c r="CKS101" s="973"/>
      <c r="CKT101" s="973"/>
      <c r="CKU101" s="973"/>
      <c r="CKV101" s="973"/>
      <c r="CKW101" s="973"/>
      <c r="CKX101" s="973"/>
      <c r="CKY101" s="973"/>
      <c r="CKZ101" s="973"/>
      <c r="CLA101" s="973"/>
      <c r="CLB101" s="973"/>
      <c r="CLC101" s="973"/>
      <c r="CLD101" s="973"/>
      <c r="CLE101" s="973"/>
      <c r="CLF101" s="973"/>
      <c r="CLG101" s="973"/>
      <c r="CLH101" s="973"/>
      <c r="CLI101" s="973"/>
      <c r="CLJ101" s="973"/>
      <c r="CLK101" s="973"/>
      <c r="CLL101" s="973"/>
      <c r="CLM101" s="973"/>
      <c r="CLN101" s="973"/>
      <c r="CLO101" s="973"/>
      <c r="CLP101" s="973"/>
      <c r="CLQ101" s="973"/>
      <c r="CLR101" s="973"/>
      <c r="CLS101" s="973"/>
      <c r="CLT101" s="973"/>
      <c r="CLU101" s="973"/>
      <c r="CLV101" s="973"/>
      <c r="CLW101" s="973"/>
      <c r="CLX101" s="973"/>
      <c r="CLY101" s="973"/>
      <c r="CLZ101" s="973"/>
      <c r="CMA101" s="973"/>
      <c r="CMB101" s="973"/>
      <c r="CMC101" s="973"/>
      <c r="CMD101" s="973"/>
      <c r="CME101" s="973"/>
      <c r="CMF101" s="973"/>
      <c r="CMG101" s="973"/>
      <c r="CMH101" s="973"/>
      <c r="CMI101" s="973"/>
      <c r="CMJ101" s="973"/>
      <c r="CMK101" s="973"/>
      <c r="CML101" s="973"/>
      <c r="CMM101" s="973"/>
      <c r="CMN101" s="973"/>
      <c r="CMO101" s="973"/>
      <c r="CMP101" s="973"/>
      <c r="CMQ101" s="973"/>
      <c r="CMR101" s="973"/>
      <c r="CMS101" s="973"/>
      <c r="CMT101" s="973"/>
      <c r="CMU101" s="973"/>
      <c r="CMV101" s="973"/>
      <c r="CMW101" s="973"/>
      <c r="CMX101" s="973"/>
      <c r="CMY101" s="973"/>
      <c r="CMZ101" s="973"/>
      <c r="CNA101" s="973"/>
      <c r="CNB101" s="973"/>
      <c r="CNC101" s="973"/>
      <c r="CND101" s="973"/>
      <c r="CNE101" s="973"/>
      <c r="CNF101" s="973"/>
      <c r="CNG101" s="973"/>
      <c r="CNH101" s="973"/>
      <c r="CNI101" s="973"/>
      <c r="CNJ101" s="973"/>
      <c r="CNK101" s="973"/>
      <c r="CNL101" s="973"/>
      <c r="CNM101" s="973"/>
      <c r="CNN101" s="973"/>
      <c r="CNO101" s="973"/>
      <c r="CNP101" s="973"/>
      <c r="CNQ101" s="973"/>
      <c r="CNR101" s="973"/>
      <c r="CNS101" s="973"/>
      <c r="CNT101" s="973"/>
      <c r="CNU101" s="973"/>
      <c r="CNV101" s="973"/>
      <c r="CNW101" s="973"/>
      <c r="CNX101" s="973"/>
      <c r="CNY101" s="973"/>
      <c r="CNZ101" s="973"/>
      <c r="COA101" s="973"/>
      <c r="COB101" s="973"/>
      <c r="COC101" s="973"/>
      <c r="COD101" s="973"/>
      <c r="COE101" s="973"/>
      <c r="COF101" s="973"/>
      <c r="COG101" s="973"/>
      <c r="COH101" s="973"/>
      <c r="COI101" s="973"/>
      <c r="COJ101" s="973"/>
      <c r="COK101" s="973"/>
      <c r="COL101" s="973"/>
      <c r="COM101" s="973"/>
      <c r="CON101" s="973"/>
      <c r="COO101" s="973"/>
      <c r="COP101" s="973"/>
      <c r="COQ101" s="973"/>
      <c r="COR101" s="973"/>
      <c r="COS101" s="973"/>
      <c r="COT101" s="973"/>
      <c r="COU101" s="973"/>
      <c r="COV101" s="973"/>
      <c r="COW101" s="973"/>
      <c r="COX101" s="973"/>
      <c r="COY101" s="973"/>
      <c r="COZ101" s="973"/>
      <c r="CPA101" s="973"/>
      <c r="CPB101" s="973"/>
      <c r="CPC101" s="973"/>
      <c r="CPD101" s="973"/>
      <c r="CPE101" s="973"/>
      <c r="CPF101" s="973"/>
      <c r="CPG101" s="973"/>
      <c r="CPH101" s="973"/>
      <c r="CPI101" s="973"/>
      <c r="CPJ101" s="973"/>
      <c r="CPK101" s="973"/>
      <c r="CPL101" s="973"/>
      <c r="CPM101" s="973"/>
      <c r="CPN101" s="973"/>
      <c r="CPO101" s="973"/>
      <c r="CPP101" s="973"/>
      <c r="CPQ101" s="973"/>
      <c r="CPR101" s="973"/>
      <c r="CPS101" s="973"/>
      <c r="CPT101" s="973"/>
      <c r="CPU101" s="973"/>
      <c r="CPV101" s="973"/>
      <c r="CPW101" s="973"/>
      <c r="CPX101" s="973"/>
      <c r="CPY101" s="973"/>
      <c r="CPZ101" s="973"/>
      <c r="CQA101" s="973"/>
      <c r="CQB101" s="973"/>
      <c r="CQC101" s="973"/>
      <c r="CQD101" s="973"/>
      <c r="CQE101" s="973"/>
      <c r="CQF101" s="973"/>
      <c r="CQG101" s="973"/>
      <c r="CQH101" s="973"/>
      <c r="CQI101" s="973"/>
      <c r="CQJ101" s="973"/>
      <c r="CQK101" s="973"/>
      <c r="CQL101" s="973"/>
      <c r="CQM101" s="973"/>
      <c r="CQN101" s="973"/>
      <c r="CQO101" s="973"/>
      <c r="CQP101" s="973"/>
      <c r="CQQ101" s="973"/>
      <c r="CQR101" s="973"/>
      <c r="CQS101" s="973"/>
      <c r="CQT101" s="973"/>
      <c r="CQU101" s="973"/>
      <c r="CQV101" s="973"/>
      <c r="CQW101" s="973"/>
      <c r="CQX101" s="973"/>
      <c r="CQY101" s="973"/>
      <c r="CQZ101" s="973"/>
      <c r="CRA101" s="973"/>
      <c r="CRB101" s="973"/>
      <c r="CRC101" s="973"/>
      <c r="CRD101" s="973"/>
      <c r="CRE101" s="973"/>
      <c r="CRF101" s="973"/>
      <c r="CRG101" s="973"/>
      <c r="CRH101" s="973"/>
      <c r="CRI101" s="973"/>
      <c r="CRJ101" s="973"/>
      <c r="CRK101" s="973"/>
      <c r="CRL101" s="973"/>
      <c r="CRM101" s="973"/>
      <c r="CRN101" s="973"/>
      <c r="CRO101" s="973"/>
      <c r="CRP101" s="973"/>
      <c r="CRQ101" s="973"/>
      <c r="CRR101" s="973"/>
      <c r="CRS101" s="973"/>
      <c r="CRT101" s="973"/>
      <c r="CRU101" s="973"/>
      <c r="CRV101" s="973"/>
      <c r="CRW101" s="973"/>
      <c r="CRX101" s="973"/>
      <c r="CRY101" s="973"/>
      <c r="CRZ101" s="973"/>
      <c r="CSA101" s="973"/>
      <c r="CSB101" s="973"/>
      <c r="CSC101" s="973"/>
      <c r="CSD101" s="973"/>
      <c r="CSE101" s="973"/>
      <c r="CSF101" s="973"/>
      <c r="CSG101" s="973"/>
      <c r="CSH101" s="973"/>
      <c r="CSI101" s="973"/>
      <c r="CSJ101" s="973"/>
      <c r="CSK101" s="973"/>
      <c r="CSL101" s="973"/>
      <c r="CSM101" s="973"/>
      <c r="CSN101" s="973"/>
      <c r="CSO101" s="973"/>
      <c r="CSP101" s="973"/>
      <c r="CSQ101" s="973"/>
      <c r="CSR101" s="973"/>
      <c r="CSS101" s="973"/>
      <c r="CST101" s="973"/>
      <c r="CSU101" s="973"/>
      <c r="CSV101" s="973"/>
      <c r="CSW101" s="973"/>
      <c r="CSX101" s="973"/>
      <c r="CSY101" s="973"/>
      <c r="CSZ101" s="973"/>
      <c r="CTA101" s="973"/>
      <c r="CTB101" s="973"/>
      <c r="CTC101" s="973"/>
      <c r="CTD101" s="973"/>
      <c r="CTE101" s="973"/>
      <c r="CTF101" s="973"/>
      <c r="CTG101" s="973"/>
      <c r="CTH101" s="973"/>
      <c r="CTI101" s="973"/>
      <c r="CTJ101" s="973"/>
      <c r="CTK101" s="973"/>
      <c r="CTL101" s="973"/>
      <c r="CTM101" s="973"/>
      <c r="CTN101" s="973"/>
      <c r="CTO101" s="973"/>
      <c r="CTP101" s="973"/>
      <c r="CTQ101" s="973"/>
      <c r="CTR101" s="973"/>
      <c r="CTS101" s="973"/>
      <c r="CTT101" s="973"/>
      <c r="CTU101" s="973"/>
      <c r="CTV101" s="973"/>
      <c r="CTW101" s="973"/>
      <c r="CTX101" s="973"/>
      <c r="CTY101" s="973"/>
      <c r="CTZ101" s="973"/>
      <c r="CUA101" s="973"/>
      <c r="CUB101" s="973"/>
      <c r="CUC101" s="973"/>
      <c r="CUD101" s="973"/>
      <c r="CUE101" s="973"/>
      <c r="CUF101" s="973"/>
      <c r="CUG101" s="973"/>
      <c r="CUH101" s="973"/>
      <c r="CUI101" s="973"/>
      <c r="CUJ101" s="973"/>
      <c r="CUK101" s="973"/>
      <c r="CUL101" s="973"/>
      <c r="CUM101" s="973"/>
      <c r="CUN101" s="973"/>
      <c r="CUO101" s="973"/>
      <c r="CUP101" s="973"/>
      <c r="CUQ101" s="973"/>
      <c r="CUR101" s="973"/>
      <c r="CUS101" s="973"/>
      <c r="CUT101" s="973"/>
      <c r="CUU101" s="973"/>
      <c r="CUV101" s="973"/>
      <c r="CUW101" s="973"/>
      <c r="CUX101" s="973"/>
      <c r="CUY101" s="973"/>
      <c r="CUZ101" s="973"/>
      <c r="CVA101" s="973"/>
      <c r="CVB101" s="973"/>
      <c r="CVC101" s="973"/>
      <c r="CVD101" s="973"/>
      <c r="CVE101" s="973"/>
      <c r="CVF101" s="973"/>
      <c r="CVG101" s="973"/>
      <c r="CVH101" s="973"/>
      <c r="CVI101" s="973"/>
      <c r="CVJ101" s="973"/>
      <c r="CVK101" s="973"/>
      <c r="CVL101" s="973"/>
      <c r="CVM101" s="973"/>
      <c r="CVN101" s="973"/>
      <c r="CVO101" s="973"/>
      <c r="CVP101" s="973"/>
      <c r="CVQ101" s="973"/>
      <c r="CVR101" s="973"/>
      <c r="CVS101" s="973"/>
      <c r="CVT101" s="973"/>
      <c r="CVU101" s="973"/>
      <c r="CVV101" s="973"/>
      <c r="CVW101" s="973"/>
      <c r="CVX101" s="973"/>
      <c r="CVY101" s="973"/>
      <c r="CVZ101" s="973"/>
      <c r="CWA101" s="973"/>
      <c r="CWB101" s="973"/>
      <c r="CWC101" s="973"/>
      <c r="CWD101" s="973"/>
      <c r="CWE101" s="973"/>
      <c r="CWF101" s="973"/>
      <c r="CWG101" s="973"/>
      <c r="CWH101" s="973"/>
      <c r="CWI101" s="973"/>
      <c r="CWJ101" s="973"/>
      <c r="CWK101" s="973"/>
      <c r="CWL101" s="973"/>
      <c r="CWM101" s="973"/>
      <c r="CWN101" s="973"/>
      <c r="CWO101" s="973"/>
      <c r="CWP101" s="973"/>
      <c r="CWQ101" s="973"/>
      <c r="CWR101" s="973"/>
      <c r="CWS101" s="973"/>
      <c r="CWT101" s="973"/>
      <c r="CWU101" s="973"/>
      <c r="CWV101" s="973"/>
      <c r="CWW101" s="973"/>
      <c r="CWX101" s="973"/>
      <c r="CWY101" s="973"/>
      <c r="CWZ101" s="973"/>
      <c r="CXA101" s="973"/>
      <c r="CXB101" s="973"/>
      <c r="CXC101" s="973"/>
      <c r="CXD101" s="973"/>
      <c r="CXE101" s="973"/>
      <c r="CXF101" s="973"/>
      <c r="CXG101" s="973"/>
      <c r="CXH101" s="973"/>
      <c r="CXI101" s="973"/>
      <c r="CXJ101" s="973"/>
      <c r="CXK101" s="973"/>
      <c r="CXL101" s="973"/>
      <c r="CXM101" s="973"/>
      <c r="CXN101" s="973"/>
      <c r="CXO101" s="973"/>
      <c r="CXP101" s="973"/>
      <c r="CXQ101" s="973"/>
      <c r="CXR101" s="973"/>
      <c r="CXS101" s="973"/>
      <c r="CXT101" s="973"/>
      <c r="CXU101" s="973"/>
      <c r="CXV101" s="973"/>
      <c r="CXW101" s="973"/>
      <c r="CXX101" s="973"/>
      <c r="CXY101" s="973"/>
      <c r="CXZ101" s="973"/>
      <c r="CYA101" s="973"/>
      <c r="CYB101" s="973"/>
      <c r="CYC101" s="973"/>
      <c r="CYD101" s="973"/>
      <c r="CYE101" s="973"/>
      <c r="CYF101" s="973"/>
      <c r="CYG101" s="973"/>
      <c r="CYH101" s="973"/>
      <c r="CYI101" s="973"/>
      <c r="CYJ101" s="973"/>
      <c r="CYK101" s="973"/>
      <c r="CYL101" s="973"/>
      <c r="CYM101" s="973"/>
      <c r="CYN101" s="973"/>
      <c r="CYO101" s="973"/>
      <c r="CYP101" s="973"/>
      <c r="CYQ101" s="973"/>
      <c r="CYR101" s="973"/>
      <c r="CYS101" s="973"/>
      <c r="CYT101" s="973"/>
      <c r="CYU101" s="973"/>
      <c r="CYV101" s="973"/>
      <c r="CYW101" s="973"/>
      <c r="CYX101" s="973"/>
      <c r="CYY101" s="973"/>
      <c r="CYZ101" s="973"/>
      <c r="CZA101" s="973"/>
      <c r="CZB101" s="973"/>
      <c r="CZC101" s="973"/>
      <c r="CZD101" s="973"/>
      <c r="CZE101" s="973"/>
      <c r="CZF101" s="973"/>
      <c r="CZG101" s="973"/>
      <c r="CZH101" s="973"/>
      <c r="CZI101" s="973"/>
      <c r="CZJ101" s="973"/>
      <c r="CZK101" s="973"/>
      <c r="CZL101" s="973"/>
      <c r="CZM101" s="973"/>
      <c r="CZN101" s="973"/>
      <c r="CZO101" s="973"/>
      <c r="CZP101" s="973"/>
      <c r="CZQ101" s="973"/>
      <c r="CZR101" s="973"/>
      <c r="CZS101" s="973"/>
      <c r="CZT101" s="973"/>
      <c r="CZU101" s="973"/>
      <c r="CZV101" s="973"/>
      <c r="CZW101" s="973"/>
      <c r="CZX101" s="973"/>
      <c r="CZY101" s="973"/>
      <c r="CZZ101" s="973"/>
      <c r="DAA101" s="973"/>
      <c r="DAB101" s="973"/>
      <c r="DAC101" s="973"/>
      <c r="DAD101" s="973"/>
      <c r="DAE101" s="973"/>
      <c r="DAF101" s="973"/>
      <c r="DAG101" s="973"/>
      <c r="DAH101" s="973"/>
      <c r="DAI101" s="973"/>
      <c r="DAJ101" s="973"/>
      <c r="DAK101" s="973"/>
      <c r="DAL101" s="973"/>
      <c r="DAM101" s="973"/>
      <c r="DAN101" s="973"/>
      <c r="DAO101" s="973"/>
      <c r="DAP101" s="973"/>
      <c r="DAQ101" s="973"/>
      <c r="DAR101" s="973"/>
      <c r="DAS101" s="973"/>
      <c r="DAT101" s="973"/>
      <c r="DAU101" s="973"/>
      <c r="DAV101" s="973"/>
      <c r="DAW101" s="973"/>
      <c r="DAX101" s="973"/>
      <c r="DAY101" s="973"/>
      <c r="DAZ101" s="973"/>
      <c r="DBA101" s="973"/>
      <c r="DBB101" s="973"/>
      <c r="DBC101" s="973"/>
      <c r="DBD101" s="973"/>
      <c r="DBE101" s="973"/>
      <c r="DBF101" s="973"/>
      <c r="DBG101" s="973"/>
      <c r="DBH101" s="973"/>
      <c r="DBI101" s="973"/>
      <c r="DBJ101" s="973"/>
      <c r="DBK101" s="973"/>
      <c r="DBL101" s="973"/>
      <c r="DBM101" s="973"/>
      <c r="DBN101" s="973"/>
      <c r="DBO101" s="973"/>
      <c r="DBP101" s="973"/>
      <c r="DBQ101" s="973"/>
      <c r="DBR101" s="973"/>
      <c r="DBS101" s="973"/>
      <c r="DBT101" s="973"/>
      <c r="DBU101" s="973"/>
      <c r="DBV101" s="973"/>
      <c r="DBW101" s="973"/>
      <c r="DBX101" s="973"/>
      <c r="DBY101" s="973"/>
      <c r="DBZ101" s="973"/>
      <c r="DCA101" s="973"/>
      <c r="DCB101" s="973"/>
      <c r="DCC101" s="973"/>
      <c r="DCD101" s="973"/>
      <c r="DCE101" s="973"/>
      <c r="DCF101" s="973"/>
      <c r="DCG101" s="973"/>
      <c r="DCH101" s="973"/>
      <c r="DCI101" s="973"/>
      <c r="DCJ101" s="973"/>
      <c r="DCK101" s="973"/>
      <c r="DCL101" s="973"/>
      <c r="DCM101" s="973"/>
      <c r="DCN101" s="973"/>
      <c r="DCO101" s="973"/>
      <c r="DCP101" s="973"/>
      <c r="DCQ101" s="973"/>
      <c r="DCR101" s="973"/>
      <c r="DCS101" s="973"/>
      <c r="DCT101" s="973"/>
      <c r="DCU101" s="973"/>
      <c r="DCV101" s="973"/>
      <c r="DCW101" s="973"/>
      <c r="DCX101" s="973"/>
      <c r="DCY101" s="973"/>
      <c r="DCZ101" s="973"/>
      <c r="DDA101" s="973"/>
      <c r="DDB101" s="973"/>
      <c r="DDC101" s="973"/>
      <c r="DDD101" s="973"/>
      <c r="DDE101" s="973"/>
      <c r="DDF101" s="973"/>
      <c r="DDG101" s="973"/>
      <c r="DDH101" s="973"/>
      <c r="DDI101" s="973"/>
      <c r="DDJ101" s="973"/>
      <c r="DDK101" s="973"/>
      <c r="DDL101" s="973"/>
      <c r="DDM101" s="973"/>
      <c r="DDN101" s="973"/>
      <c r="DDO101" s="973"/>
      <c r="DDP101" s="973"/>
      <c r="DDQ101" s="973"/>
      <c r="DDR101" s="973"/>
      <c r="DDS101" s="973"/>
      <c r="DDT101" s="973"/>
      <c r="DDU101" s="973"/>
      <c r="DDV101" s="973"/>
      <c r="DDW101" s="973"/>
      <c r="DDX101" s="973"/>
      <c r="DDY101" s="973"/>
      <c r="DDZ101" s="973"/>
      <c r="DEA101" s="973"/>
      <c r="DEB101" s="973"/>
      <c r="DEC101" s="973"/>
      <c r="DED101" s="973"/>
      <c r="DEE101" s="973"/>
      <c r="DEF101" s="973"/>
      <c r="DEG101" s="973"/>
      <c r="DEH101" s="973"/>
      <c r="DEI101" s="973"/>
      <c r="DEJ101" s="973"/>
      <c r="DEK101" s="973"/>
      <c r="DEL101" s="973"/>
      <c r="DEM101" s="973"/>
      <c r="DEN101" s="973"/>
      <c r="DEO101" s="973"/>
      <c r="DEP101" s="973"/>
      <c r="DEQ101" s="973"/>
      <c r="DER101" s="973"/>
      <c r="DES101" s="973"/>
      <c r="DET101" s="973"/>
      <c r="DEU101" s="973"/>
      <c r="DEV101" s="973"/>
      <c r="DEW101" s="973"/>
      <c r="DEX101" s="973"/>
      <c r="DEY101" s="973"/>
      <c r="DEZ101" s="973"/>
      <c r="DFA101" s="973"/>
      <c r="DFB101" s="973"/>
      <c r="DFC101" s="973"/>
      <c r="DFD101" s="973"/>
      <c r="DFE101" s="973"/>
      <c r="DFF101" s="973"/>
      <c r="DFG101" s="973"/>
      <c r="DFH101" s="973"/>
      <c r="DFI101" s="973"/>
      <c r="DFJ101" s="973"/>
      <c r="DFK101" s="973"/>
      <c r="DFL101" s="973"/>
      <c r="DFM101" s="973"/>
      <c r="DFN101" s="973"/>
      <c r="DFO101" s="973"/>
      <c r="DFP101" s="973"/>
      <c r="DFQ101" s="973"/>
      <c r="DFR101" s="973"/>
      <c r="DFS101" s="973"/>
      <c r="DFT101" s="973"/>
      <c r="DFU101" s="973"/>
      <c r="DFV101" s="973"/>
      <c r="DFW101" s="973"/>
      <c r="DFX101" s="973"/>
      <c r="DFY101" s="973"/>
      <c r="DFZ101" s="973"/>
      <c r="DGA101" s="973"/>
      <c r="DGB101" s="973"/>
      <c r="DGC101" s="973"/>
      <c r="DGD101" s="973"/>
      <c r="DGE101" s="973"/>
      <c r="DGF101" s="973"/>
      <c r="DGG101" s="973"/>
      <c r="DGH101" s="973"/>
      <c r="DGI101" s="973"/>
      <c r="DGJ101" s="973"/>
      <c r="DGK101" s="973"/>
      <c r="DGL101" s="973"/>
      <c r="DGM101" s="973"/>
      <c r="DGN101" s="973"/>
      <c r="DGO101" s="973"/>
      <c r="DGP101" s="973"/>
      <c r="DGQ101" s="973"/>
      <c r="DGR101" s="973"/>
      <c r="DGS101" s="973"/>
      <c r="DGT101" s="973"/>
      <c r="DGU101" s="973"/>
      <c r="DGV101" s="973"/>
      <c r="DGW101" s="973"/>
      <c r="DGX101" s="973"/>
      <c r="DGY101" s="973"/>
      <c r="DGZ101" s="973"/>
      <c r="DHA101" s="973"/>
      <c r="DHB101" s="973"/>
      <c r="DHC101" s="973"/>
      <c r="DHD101" s="973"/>
      <c r="DHE101" s="973"/>
      <c r="DHF101" s="973"/>
      <c r="DHG101" s="973"/>
      <c r="DHH101" s="973"/>
      <c r="DHI101" s="973"/>
      <c r="DHJ101" s="973"/>
      <c r="DHK101" s="973"/>
      <c r="DHL101" s="973"/>
      <c r="DHM101" s="973"/>
      <c r="DHN101" s="973"/>
      <c r="DHO101" s="973"/>
      <c r="DHP101" s="973"/>
      <c r="DHQ101" s="973"/>
      <c r="DHR101" s="973"/>
      <c r="DHS101" s="973"/>
      <c r="DHT101" s="973"/>
      <c r="DHU101" s="973"/>
      <c r="DHV101" s="973"/>
      <c r="DHW101" s="973"/>
      <c r="DHX101" s="973"/>
      <c r="DHY101" s="973"/>
      <c r="DHZ101" s="973"/>
      <c r="DIA101" s="973"/>
      <c r="DIB101" s="973"/>
      <c r="DIC101" s="973"/>
      <c r="DID101" s="973"/>
      <c r="DIE101" s="973"/>
      <c r="DIF101" s="973"/>
      <c r="DIG101" s="973"/>
      <c r="DIH101" s="973"/>
      <c r="DII101" s="973"/>
      <c r="DIJ101" s="973"/>
      <c r="DIK101" s="973"/>
      <c r="DIL101" s="973"/>
      <c r="DIM101" s="973"/>
      <c r="DIN101" s="973"/>
      <c r="DIO101" s="973"/>
      <c r="DIP101" s="973"/>
      <c r="DIQ101" s="973"/>
      <c r="DIR101" s="973"/>
      <c r="DIS101" s="973"/>
      <c r="DIT101" s="973"/>
      <c r="DIU101" s="973"/>
      <c r="DIV101" s="973"/>
      <c r="DIW101" s="973"/>
      <c r="DIX101" s="973"/>
      <c r="DIY101" s="973"/>
      <c r="DIZ101" s="973"/>
      <c r="DJA101" s="973"/>
      <c r="DJB101" s="973"/>
      <c r="DJC101" s="973"/>
      <c r="DJD101" s="973"/>
      <c r="DJE101" s="973"/>
      <c r="DJF101" s="973"/>
      <c r="DJG101" s="973"/>
      <c r="DJH101" s="973"/>
      <c r="DJI101" s="973"/>
      <c r="DJJ101" s="973"/>
      <c r="DJK101" s="973"/>
      <c r="DJL101" s="973"/>
      <c r="DJM101" s="973"/>
      <c r="DJN101" s="973"/>
      <c r="DJO101" s="973"/>
      <c r="DJP101" s="973"/>
      <c r="DJQ101" s="973"/>
      <c r="DJR101" s="973"/>
      <c r="DJS101" s="973"/>
      <c r="DJT101" s="973"/>
      <c r="DJU101" s="973"/>
      <c r="DJV101" s="973"/>
      <c r="DJW101" s="973"/>
      <c r="DJX101" s="973"/>
      <c r="DJY101" s="973"/>
      <c r="DJZ101" s="973"/>
      <c r="DKA101" s="973"/>
      <c r="DKB101" s="973"/>
      <c r="DKC101" s="973"/>
      <c r="DKD101" s="973"/>
      <c r="DKE101" s="973"/>
      <c r="DKF101" s="973"/>
      <c r="DKG101" s="973"/>
      <c r="DKH101" s="973"/>
      <c r="DKI101" s="973"/>
      <c r="DKJ101" s="973"/>
      <c r="DKK101" s="973"/>
      <c r="DKL101" s="973"/>
      <c r="DKM101" s="973"/>
      <c r="DKN101" s="973"/>
      <c r="DKO101" s="973"/>
      <c r="DKP101" s="973"/>
      <c r="DKQ101" s="973"/>
      <c r="DKR101" s="973"/>
      <c r="DKS101" s="973"/>
      <c r="DKT101" s="973"/>
      <c r="DKU101" s="973"/>
      <c r="DKV101" s="973"/>
      <c r="DKW101" s="973"/>
      <c r="DKX101" s="973"/>
      <c r="DKY101" s="973"/>
      <c r="DKZ101" s="973"/>
      <c r="DLA101" s="973"/>
      <c r="DLB101" s="973"/>
      <c r="DLC101" s="973"/>
      <c r="DLD101" s="973"/>
      <c r="DLE101" s="973"/>
      <c r="DLF101" s="973"/>
      <c r="DLG101" s="973"/>
      <c r="DLH101" s="973"/>
      <c r="DLI101" s="973"/>
      <c r="DLJ101" s="973"/>
      <c r="DLK101" s="973"/>
      <c r="DLL101" s="973"/>
      <c r="DLM101" s="973"/>
      <c r="DLN101" s="973"/>
      <c r="DLO101" s="973"/>
      <c r="DLP101" s="973"/>
      <c r="DLQ101" s="973"/>
      <c r="DLR101" s="973"/>
      <c r="DLS101" s="973"/>
      <c r="DLT101" s="973"/>
      <c r="DLU101" s="973"/>
      <c r="DLV101" s="973"/>
      <c r="DLW101" s="973"/>
      <c r="DLX101" s="973"/>
      <c r="DLY101" s="973"/>
      <c r="DLZ101" s="973"/>
      <c r="DMA101" s="973"/>
      <c r="DMB101" s="973"/>
      <c r="DMC101" s="973"/>
      <c r="DMD101" s="973"/>
      <c r="DME101" s="973"/>
      <c r="DMF101" s="973"/>
      <c r="DMG101" s="973"/>
      <c r="DMH101" s="973"/>
      <c r="DMI101" s="973"/>
      <c r="DMJ101" s="973"/>
      <c r="DMK101" s="973"/>
      <c r="DML101" s="973"/>
      <c r="DMM101" s="973"/>
      <c r="DMN101" s="973"/>
      <c r="DMO101" s="973"/>
      <c r="DMP101" s="973"/>
      <c r="DMQ101" s="973"/>
      <c r="DMR101" s="973"/>
      <c r="DMS101" s="973"/>
      <c r="DMT101" s="973"/>
      <c r="DMU101" s="973"/>
      <c r="DMV101" s="973"/>
      <c r="DMW101" s="973"/>
      <c r="DMX101" s="973"/>
      <c r="DMY101" s="973"/>
      <c r="DMZ101" s="973"/>
      <c r="DNA101" s="973"/>
      <c r="DNB101" s="973"/>
      <c r="DNC101" s="973"/>
      <c r="DND101" s="973"/>
      <c r="DNE101" s="973"/>
      <c r="DNF101" s="973"/>
      <c r="DNG101" s="973"/>
      <c r="DNH101" s="973"/>
      <c r="DNI101" s="973"/>
      <c r="DNJ101" s="973"/>
      <c r="DNK101" s="973"/>
      <c r="DNL101" s="973"/>
      <c r="DNM101" s="973"/>
      <c r="DNN101" s="973"/>
      <c r="DNO101" s="973"/>
      <c r="DNP101" s="973"/>
      <c r="DNQ101" s="973"/>
      <c r="DNR101" s="973"/>
      <c r="DNS101" s="973"/>
      <c r="DNT101" s="973"/>
      <c r="DNU101" s="973"/>
      <c r="DNV101" s="973"/>
      <c r="DNW101" s="973"/>
      <c r="DNX101" s="973"/>
      <c r="DNY101" s="973"/>
      <c r="DNZ101" s="973"/>
      <c r="DOA101" s="973"/>
      <c r="DOB101" s="973"/>
      <c r="DOC101" s="973"/>
      <c r="DOD101" s="973"/>
      <c r="DOE101" s="973"/>
      <c r="DOF101" s="973"/>
      <c r="DOG101" s="973"/>
      <c r="DOH101" s="973"/>
      <c r="DOI101" s="973"/>
      <c r="DOJ101" s="973"/>
      <c r="DOK101" s="973"/>
      <c r="DOL101" s="973"/>
      <c r="DOM101" s="973"/>
      <c r="DON101" s="973"/>
      <c r="DOO101" s="973"/>
      <c r="DOP101" s="973"/>
      <c r="DOQ101" s="973"/>
      <c r="DOR101" s="973"/>
      <c r="DOS101" s="973"/>
      <c r="DOT101" s="973"/>
      <c r="DOU101" s="973"/>
      <c r="DOV101" s="973"/>
      <c r="DOW101" s="973"/>
      <c r="DOX101" s="973"/>
      <c r="DOY101" s="973"/>
      <c r="DOZ101" s="973"/>
      <c r="DPA101" s="973"/>
      <c r="DPB101" s="973"/>
      <c r="DPC101" s="973"/>
      <c r="DPD101" s="973"/>
      <c r="DPE101" s="973"/>
      <c r="DPF101" s="973"/>
      <c r="DPG101" s="973"/>
      <c r="DPH101" s="973"/>
      <c r="DPI101" s="973"/>
      <c r="DPJ101" s="973"/>
      <c r="DPK101" s="973"/>
      <c r="DPL101" s="973"/>
      <c r="DPM101" s="973"/>
      <c r="DPN101" s="973"/>
      <c r="DPO101" s="973"/>
      <c r="DPP101" s="973"/>
      <c r="DPQ101" s="973"/>
      <c r="DPR101" s="973"/>
      <c r="DPS101" s="973"/>
      <c r="DPT101" s="973"/>
      <c r="DPU101" s="973"/>
      <c r="DPV101" s="973"/>
      <c r="DPW101" s="973"/>
      <c r="DPX101" s="973"/>
      <c r="DPY101" s="973"/>
      <c r="DPZ101" s="973"/>
      <c r="DQA101" s="973"/>
      <c r="DQB101" s="973"/>
      <c r="DQC101" s="973"/>
      <c r="DQD101" s="973"/>
      <c r="DQE101" s="973"/>
      <c r="DQF101" s="973"/>
      <c r="DQG101" s="973"/>
      <c r="DQH101" s="973"/>
      <c r="DQI101" s="973"/>
      <c r="DQJ101" s="973"/>
      <c r="DQK101" s="973"/>
      <c r="DQL101" s="973"/>
      <c r="DQM101" s="973"/>
      <c r="DQN101" s="973"/>
      <c r="DQO101" s="973"/>
      <c r="DQP101" s="973"/>
      <c r="DQQ101" s="973"/>
      <c r="DQR101" s="973"/>
      <c r="DQS101" s="973"/>
      <c r="DQT101" s="973"/>
      <c r="DQU101" s="973"/>
      <c r="DQV101" s="973"/>
      <c r="DQW101" s="973"/>
      <c r="DQX101" s="973"/>
      <c r="DQY101" s="973"/>
      <c r="DQZ101" s="973"/>
      <c r="DRA101" s="973"/>
      <c r="DRB101" s="973"/>
      <c r="DRC101" s="973"/>
      <c r="DRD101" s="973"/>
      <c r="DRE101" s="973"/>
      <c r="DRF101" s="973"/>
      <c r="DRG101" s="973"/>
      <c r="DRH101" s="973"/>
      <c r="DRI101" s="973"/>
      <c r="DRJ101" s="973"/>
      <c r="DRK101" s="973"/>
      <c r="DRL101" s="973"/>
      <c r="DRM101" s="973"/>
      <c r="DRN101" s="973"/>
      <c r="DRO101" s="973"/>
      <c r="DRP101" s="973"/>
      <c r="DRQ101" s="973"/>
      <c r="DRR101" s="973"/>
      <c r="DRS101" s="973"/>
      <c r="DRT101" s="973"/>
      <c r="DRU101" s="973"/>
      <c r="DRV101" s="973"/>
      <c r="DRW101" s="973"/>
      <c r="DRX101" s="973"/>
      <c r="DRY101" s="973"/>
      <c r="DRZ101" s="973"/>
      <c r="DSA101" s="973"/>
      <c r="DSB101" s="973"/>
      <c r="DSC101" s="973"/>
      <c r="DSD101" s="973"/>
      <c r="DSE101" s="973"/>
      <c r="DSF101" s="973"/>
      <c r="DSG101" s="973"/>
      <c r="DSH101" s="973"/>
      <c r="DSI101" s="973"/>
      <c r="DSJ101" s="973"/>
      <c r="DSK101" s="973"/>
      <c r="DSL101" s="973"/>
      <c r="DSM101" s="973"/>
      <c r="DSN101" s="973"/>
      <c r="DSO101" s="973"/>
      <c r="DSP101" s="973"/>
      <c r="DSQ101" s="973"/>
      <c r="DSR101" s="973"/>
      <c r="DSS101" s="973"/>
      <c r="DST101" s="973"/>
      <c r="DSU101" s="973"/>
      <c r="DSV101" s="973"/>
      <c r="DSW101" s="973"/>
      <c r="DSX101" s="973"/>
      <c r="DSY101" s="973"/>
      <c r="DSZ101" s="973"/>
      <c r="DTA101" s="973"/>
      <c r="DTB101" s="973"/>
      <c r="DTC101" s="973"/>
      <c r="DTD101" s="973"/>
      <c r="DTE101" s="973"/>
      <c r="DTF101" s="973"/>
      <c r="DTG101" s="973"/>
      <c r="DTH101" s="973"/>
      <c r="DTI101" s="973"/>
      <c r="DTJ101" s="973"/>
      <c r="DTK101" s="973"/>
      <c r="DTL101" s="973"/>
      <c r="DTM101" s="973"/>
      <c r="DTN101" s="973"/>
      <c r="DTO101" s="973"/>
      <c r="DTP101" s="973"/>
      <c r="DTQ101" s="973"/>
      <c r="DTR101" s="973"/>
      <c r="DTS101" s="973"/>
      <c r="DTT101" s="973"/>
      <c r="DTU101" s="973"/>
      <c r="DTV101" s="973"/>
      <c r="DTW101" s="973"/>
      <c r="DTX101" s="973"/>
      <c r="DTY101" s="973"/>
      <c r="DTZ101" s="973"/>
      <c r="DUA101" s="973"/>
      <c r="DUB101" s="973"/>
      <c r="DUC101" s="973"/>
      <c r="DUD101" s="973"/>
      <c r="DUE101" s="973"/>
      <c r="DUF101" s="973"/>
      <c r="DUG101" s="973"/>
      <c r="DUH101" s="973"/>
      <c r="DUI101" s="973"/>
      <c r="DUJ101" s="973"/>
      <c r="DUK101" s="973"/>
      <c r="DUL101" s="973"/>
      <c r="DUM101" s="973"/>
      <c r="DUN101" s="973"/>
      <c r="DUO101" s="973"/>
      <c r="DUP101" s="973"/>
      <c r="DUQ101" s="973"/>
      <c r="DUR101" s="973"/>
      <c r="DUS101" s="973"/>
      <c r="DUT101" s="973"/>
      <c r="DUU101" s="973"/>
      <c r="DUV101" s="973"/>
      <c r="DUW101" s="973"/>
      <c r="DUX101" s="973"/>
      <c r="DUY101" s="973"/>
      <c r="DUZ101" s="973"/>
      <c r="DVA101" s="973"/>
      <c r="DVB101" s="973"/>
      <c r="DVC101" s="973"/>
      <c r="DVD101" s="973"/>
      <c r="DVE101" s="973"/>
      <c r="DVF101" s="973"/>
      <c r="DVG101" s="973"/>
      <c r="DVH101" s="973"/>
      <c r="DVI101" s="973"/>
      <c r="DVJ101" s="973"/>
      <c r="DVK101" s="973"/>
      <c r="DVL101" s="973"/>
      <c r="DVM101" s="973"/>
      <c r="DVN101" s="973"/>
      <c r="DVO101" s="973"/>
      <c r="DVP101" s="973"/>
      <c r="DVQ101" s="973"/>
      <c r="DVR101" s="973"/>
      <c r="DVS101" s="973"/>
      <c r="DVT101" s="973"/>
      <c r="DVU101" s="973"/>
      <c r="DVV101" s="973"/>
      <c r="DVW101" s="973"/>
      <c r="DVX101" s="973"/>
      <c r="DVY101" s="973"/>
      <c r="DVZ101" s="973"/>
      <c r="DWA101" s="973"/>
      <c r="DWB101" s="973"/>
      <c r="DWC101" s="973"/>
      <c r="DWD101" s="973"/>
      <c r="DWE101" s="973"/>
      <c r="DWF101" s="973"/>
      <c r="DWG101" s="973"/>
      <c r="DWH101" s="973"/>
      <c r="DWI101" s="973"/>
      <c r="DWJ101" s="973"/>
      <c r="DWK101" s="973"/>
      <c r="DWL101" s="973"/>
      <c r="DWM101" s="973"/>
      <c r="DWN101" s="973"/>
      <c r="DWO101" s="973"/>
      <c r="DWP101" s="973"/>
      <c r="DWQ101" s="973"/>
      <c r="DWR101" s="973"/>
      <c r="DWS101" s="973"/>
      <c r="DWT101" s="973"/>
      <c r="DWU101" s="973"/>
      <c r="DWV101" s="973"/>
      <c r="DWW101" s="973"/>
      <c r="DWX101" s="973"/>
      <c r="DWY101" s="973"/>
      <c r="DWZ101" s="973"/>
      <c r="DXA101" s="973"/>
      <c r="DXB101" s="973"/>
      <c r="DXC101" s="973"/>
      <c r="DXD101" s="973"/>
      <c r="DXE101" s="973"/>
      <c r="DXF101" s="973"/>
      <c r="DXG101" s="973"/>
      <c r="DXH101" s="973"/>
      <c r="DXI101" s="973"/>
      <c r="DXJ101" s="973"/>
      <c r="DXK101" s="973"/>
      <c r="DXL101" s="973"/>
      <c r="DXM101" s="973"/>
      <c r="DXN101" s="973"/>
      <c r="DXO101" s="973"/>
      <c r="DXP101" s="973"/>
      <c r="DXQ101" s="973"/>
      <c r="DXR101" s="973"/>
      <c r="DXS101" s="973"/>
      <c r="DXT101" s="973"/>
      <c r="DXU101" s="973"/>
      <c r="DXV101" s="973"/>
      <c r="DXW101" s="973"/>
      <c r="DXX101" s="973"/>
      <c r="DXY101" s="973"/>
      <c r="DXZ101" s="973"/>
      <c r="DYA101" s="973"/>
      <c r="DYB101" s="973"/>
      <c r="DYC101" s="973"/>
      <c r="DYD101" s="973"/>
      <c r="DYE101" s="973"/>
      <c r="DYF101" s="973"/>
      <c r="DYG101" s="973"/>
      <c r="DYH101" s="973"/>
      <c r="DYI101" s="973"/>
      <c r="DYJ101" s="973"/>
      <c r="DYK101" s="973"/>
      <c r="DYL101" s="973"/>
      <c r="DYM101" s="973"/>
      <c r="DYN101" s="973"/>
      <c r="DYO101" s="973"/>
      <c r="DYP101" s="973"/>
      <c r="DYQ101" s="973"/>
      <c r="DYR101" s="973"/>
      <c r="DYS101" s="973"/>
      <c r="DYT101" s="973"/>
      <c r="DYU101" s="973"/>
      <c r="DYV101" s="973"/>
      <c r="DYW101" s="973"/>
      <c r="DYX101" s="973"/>
      <c r="DYY101" s="973"/>
      <c r="DYZ101" s="973"/>
      <c r="DZA101" s="973"/>
      <c r="DZB101" s="973"/>
      <c r="DZC101" s="973"/>
      <c r="DZD101" s="973"/>
      <c r="DZE101" s="973"/>
      <c r="DZF101" s="973"/>
      <c r="DZG101" s="973"/>
      <c r="DZH101" s="973"/>
      <c r="DZI101" s="973"/>
      <c r="DZJ101" s="973"/>
      <c r="DZK101" s="973"/>
      <c r="DZL101" s="973"/>
      <c r="DZM101" s="973"/>
      <c r="DZN101" s="973"/>
      <c r="DZO101" s="973"/>
      <c r="DZP101" s="973"/>
      <c r="DZQ101" s="973"/>
      <c r="DZR101" s="973"/>
      <c r="DZS101" s="973"/>
      <c r="DZT101" s="973"/>
      <c r="DZU101" s="973"/>
      <c r="DZV101" s="973"/>
      <c r="DZW101" s="973"/>
      <c r="DZX101" s="973"/>
      <c r="DZY101" s="973"/>
      <c r="DZZ101" s="973"/>
      <c r="EAA101" s="973"/>
      <c r="EAB101" s="973"/>
      <c r="EAC101" s="973"/>
      <c r="EAD101" s="973"/>
      <c r="EAE101" s="973"/>
      <c r="EAF101" s="973"/>
      <c r="EAG101" s="973"/>
      <c r="EAH101" s="973"/>
      <c r="EAI101" s="973"/>
      <c r="EAJ101" s="973"/>
      <c r="EAK101" s="973"/>
      <c r="EAL101" s="973"/>
      <c r="EAM101" s="973"/>
      <c r="EAN101" s="973"/>
      <c r="EAO101" s="973"/>
      <c r="EAP101" s="973"/>
      <c r="EAQ101" s="973"/>
      <c r="EAR101" s="973"/>
      <c r="EAS101" s="973"/>
      <c r="EAT101" s="973"/>
      <c r="EAU101" s="973"/>
      <c r="EAV101" s="973"/>
      <c r="EAW101" s="973"/>
      <c r="EAX101" s="973"/>
      <c r="EAY101" s="973"/>
      <c r="EAZ101" s="973"/>
      <c r="EBA101" s="973"/>
      <c r="EBB101" s="973"/>
      <c r="EBC101" s="973"/>
      <c r="EBD101" s="973"/>
      <c r="EBE101" s="973"/>
      <c r="EBF101" s="973"/>
      <c r="EBG101" s="973"/>
      <c r="EBH101" s="973"/>
      <c r="EBI101" s="973"/>
      <c r="EBJ101" s="973"/>
      <c r="EBK101" s="973"/>
      <c r="EBL101" s="973"/>
      <c r="EBM101" s="973"/>
      <c r="EBN101" s="973"/>
      <c r="EBO101" s="973"/>
      <c r="EBP101" s="973"/>
      <c r="EBQ101" s="973"/>
      <c r="EBR101" s="973"/>
      <c r="EBS101" s="973"/>
      <c r="EBT101" s="973"/>
      <c r="EBU101" s="973"/>
      <c r="EBV101" s="973"/>
      <c r="EBW101" s="973"/>
      <c r="EBX101" s="973"/>
      <c r="EBY101" s="973"/>
      <c r="EBZ101" s="973"/>
      <c r="ECA101" s="973"/>
      <c r="ECB101" s="973"/>
      <c r="ECC101" s="973"/>
      <c r="ECD101" s="973"/>
      <c r="ECE101" s="973"/>
      <c r="ECF101" s="973"/>
      <c r="ECG101" s="973"/>
      <c r="ECH101" s="973"/>
      <c r="ECI101" s="973"/>
      <c r="ECJ101" s="973"/>
      <c r="ECK101" s="973"/>
      <c r="ECL101" s="973"/>
      <c r="ECM101" s="973"/>
      <c r="ECN101" s="973"/>
      <c r="ECO101" s="973"/>
      <c r="ECP101" s="973"/>
      <c r="ECQ101" s="973"/>
      <c r="ECR101" s="973"/>
      <c r="ECS101" s="973"/>
      <c r="ECT101" s="973"/>
      <c r="ECU101" s="973"/>
      <c r="ECV101" s="973"/>
      <c r="ECW101" s="973"/>
      <c r="ECX101" s="973"/>
      <c r="ECY101" s="973"/>
      <c r="ECZ101" s="973"/>
      <c r="EDA101" s="973"/>
      <c r="EDB101" s="973"/>
      <c r="EDC101" s="973"/>
      <c r="EDD101" s="973"/>
      <c r="EDE101" s="973"/>
      <c r="EDF101" s="973"/>
      <c r="EDG101" s="973"/>
      <c r="EDH101" s="973"/>
      <c r="EDI101" s="973"/>
      <c r="EDJ101" s="973"/>
      <c r="EDK101" s="973"/>
      <c r="EDL101" s="973"/>
      <c r="EDM101" s="973"/>
      <c r="EDN101" s="973"/>
      <c r="EDO101" s="973"/>
      <c r="EDP101" s="973"/>
      <c r="EDQ101" s="973"/>
      <c r="EDR101" s="973"/>
      <c r="EDS101" s="973"/>
      <c r="EDT101" s="973"/>
      <c r="EDU101" s="973"/>
      <c r="EDV101" s="973"/>
      <c r="EDW101" s="973"/>
      <c r="EDX101" s="973"/>
      <c r="EDY101" s="973"/>
      <c r="EDZ101" s="973"/>
      <c r="EEA101" s="973"/>
      <c r="EEB101" s="973"/>
      <c r="EEC101" s="973"/>
      <c r="EED101" s="973"/>
      <c r="EEE101" s="973"/>
      <c r="EEF101" s="973"/>
      <c r="EEG101" s="973"/>
      <c r="EEH101" s="973"/>
      <c r="EEI101" s="973"/>
      <c r="EEJ101" s="973"/>
      <c r="EEK101" s="973"/>
      <c r="EEL101" s="973"/>
      <c r="EEM101" s="973"/>
      <c r="EEN101" s="973"/>
      <c r="EEO101" s="973"/>
      <c r="EEP101" s="973"/>
      <c r="EEQ101" s="973"/>
      <c r="EER101" s="973"/>
      <c r="EES101" s="973"/>
      <c r="EET101" s="973"/>
      <c r="EEU101" s="973"/>
      <c r="EEV101" s="973"/>
      <c r="EEW101" s="973"/>
      <c r="EEX101" s="973"/>
      <c r="EEY101" s="973"/>
      <c r="EEZ101" s="973"/>
      <c r="EFA101" s="973"/>
      <c r="EFB101" s="973"/>
      <c r="EFC101" s="973"/>
      <c r="EFD101" s="973"/>
      <c r="EFE101" s="973"/>
      <c r="EFF101" s="973"/>
      <c r="EFG101" s="973"/>
      <c r="EFH101" s="973"/>
      <c r="EFI101" s="973"/>
      <c r="EFJ101" s="973"/>
      <c r="EFK101" s="973"/>
      <c r="EFL101" s="973"/>
      <c r="EFM101" s="973"/>
      <c r="EFN101" s="973"/>
      <c r="EFO101" s="973"/>
      <c r="EFP101" s="973"/>
      <c r="EFQ101" s="973"/>
      <c r="EFR101" s="973"/>
      <c r="EFS101" s="973"/>
      <c r="EFT101" s="973"/>
      <c r="EFU101" s="973"/>
      <c r="EFV101" s="973"/>
      <c r="EFW101" s="973"/>
      <c r="EFX101" s="973"/>
      <c r="EFY101" s="973"/>
      <c r="EFZ101" s="973"/>
      <c r="EGA101" s="973"/>
      <c r="EGB101" s="973"/>
      <c r="EGC101" s="973"/>
      <c r="EGD101" s="973"/>
      <c r="EGE101" s="973"/>
      <c r="EGF101" s="973"/>
      <c r="EGG101" s="973"/>
      <c r="EGH101" s="973"/>
      <c r="EGI101" s="973"/>
      <c r="EGJ101" s="973"/>
      <c r="EGK101" s="973"/>
      <c r="EGL101" s="973"/>
      <c r="EGM101" s="973"/>
      <c r="EGN101" s="973"/>
      <c r="EGO101" s="973"/>
      <c r="EGP101" s="973"/>
      <c r="EGQ101" s="973"/>
      <c r="EGR101" s="973"/>
      <c r="EGS101" s="973"/>
      <c r="EGT101" s="973"/>
      <c r="EGU101" s="973"/>
      <c r="EGV101" s="973"/>
      <c r="EGW101" s="973"/>
      <c r="EGX101" s="973"/>
      <c r="EGY101" s="973"/>
      <c r="EGZ101" s="973"/>
      <c r="EHA101" s="973"/>
      <c r="EHB101" s="973"/>
      <c r="EHC101" s="973"/>
      <c r="EHD101" s="973"/>
      <c r="EHE101" s="973"/>
      <c r="EHF101" s="973"/>
      <c r="EHG101" s="973"/>
      <c r="EHH101" s="973"/>
      <c r="EHI101" s="973"/>
      <c r="EHJ101" s="973"/>
      <c r="EHK101" s="973"/>
      <c r="EHL101" s="973"/>
      <c r="EHM101" s="973"/>
      <c r="EHN101" s="973"/>
      <c r="EHO101" s="973"/>
      <c r="EHP101" s="973"/>
      <c r="EHQ101" s="973"/>
      <c r="EHR101" s="973"/>
      <c r="EHS101" s="973"/>
      <c r="EHT101" s="973"/>
      <c r="EHU101" s="973"/>
      <c r="EHV101" s="973"/>
      <c r="EHW101" s="973"/>
      <c r="EHX101" s="973"/>
      <c r="EHY101" s="973"/>
      <c r="EHZ101" s="973"/>
      <c r="EIA101" s="973"/>
      <c r="EIB101" s="973"/>
      <c r="EIC101" s="973"/>
      <c r="EID101" s="973"/>
      <c r="EIE101" s="973"/>
      <c r="EIF101" s="973"/>
      <c r="EIG101" s="973"/>
      <c r="EIH101" s="973"/>
      <c r="EII101" s="973"/>
      <c r="EIJ101" s="973"/>
      <c r="EIK101" s="973"/>
      <c r="EIL101" s="973"/>
      <c r="EIM101" s="973"/>
      <c r="EIN101" s="973"/>
      <c r="EIO101" s="973"/>
      <c r="EIP101" s="973"/>
      <c r="EIQ101" s="973"/>
      <c r="EIR101" s="973"/>
      <c r="EIS101" s="973"/>
      <c r="EIT101" s="973"/>
      <c r="EIU101" s="973"/>
      <c r="EIV101" s="973"/>
      <c r="EIW101" s="973"/>
      <c r="EIX101" s="973"/>
      <c r="EIY101" s="973"/>
      <c r="EIZ101" s="973"/>
      <c r="EJA101" s="973"/>
      <c r="EJB101" s="973"/>
      <c r="EJC101" s="973"/>
      <c r="EJD101" s="973"/>
      <c r="EJE101" s="973"/>
      <c r="EJF101" s="973"/>
      <c r="EJG101" s="973"/>
      <c r="EJH101" s="973"/>
      <c r="EJI101" s="973"/>
      <c r="EJJ101" s="973"/>
      <c r="EJK101" s="973"/>
      <c r="EJL101" s="973"/>
      <c r="EJM101" s="973"/>
      <c r="EJN101" s="973"/>
      <c r="EJO101" s="973"/>
      <c r="EJP101" s="973"/>
      <c r="EJQ101" s="973"/>
      <c r="EJR101" s="973"/>
      <c r="EJS101" s="973"/>
      <c r="EJT101" s="973"/>
      <c r="EJU101" s="973"/>
      <c r="EJV101" s="973"/>
      <c r="EJW101" s="973"/>
      <c r="EJX101" s="973"/>
      <c r="EJY101" s="973"/>
      <c r="EJZ101" s="973"/>
      <c r="EKA101" s="973"/>
      <c r="EKB101" s="973"/>
      <c r="EKC101" s="973"/>
      <c r="EKD101" s="973"/>
      <c r="EKE101" s="973"/>
      <c r="EKF101" s="973"/>
      <c r="EKG101" s="973"/>
      <c r="EKH101" s="973"/>
      <c r="EKI101" s="973"/>
      <c r="EKJ101" s="973"/>
      <c r="EKK101" s="973"/>
      <c r="EKL101" s="973"/>
      <c r="EKM101" s="973"/>
      <c r="EKN101" s="973"/>
      <c r="EKO101" s="973"/>
      <c r="EKP101" s="973"/>
      <c r="EKQ101" s="973"/>
      <c r="EKR101" s="973"/>
      <c r="EKS101" s="973"/>
      <c r="EKT101" s="973"/>
      <c r="EKU101" s="973"/>
      <c r="EKV101" s="973"/>
      <c r="EKW101" s="973"/>
      <c r="EKX101" s="973"/>
      <c r="EKY101" s="973"/>
      <c r="EKZ101" s="973"/>
      <c r="ELA101" s="973"/>
      <c r="ELB101" s="973"/>
      <c r="ELC101" s="973"/>
      <c r="ELD101" s="973"/>
      <c r="ELE101" s="973"/>
      <c r="ELF101" s="973"/>
      <c r="ELG101" s="973"/>
      <c r="ELH101" s="973"/>
      <c r="ELI101" s="973"/>
      <c r="ELJ101" s="973"/>
      <c r="ELK101" s="973"/>
      <c r="ELL101" s="973"/>
      <c r="ELM101" s="973"/>
      <c r="ELN101" s="973"/>
      <c r="ELO101" s="973"/>
      <c r="ELP101" s="973"/>
      <c r="ELQ101" s="973"/>
      <c r="ELR101" s="973"/>
      <c r="ELS101" s="973"/>
      <c r="ELT101" s="973"/>
      <c r="ELU101" s="973"/>
      <c r="ELV101" s="973"/>
      <c r="ELW101" s="973"/>
      <c r="ELX101" s="973"/>
      <c r="ELY101" s="973"/>
      <c r="ELZ101" s="973"/>
      <c r="EMA101" s="973"/>
      <c r="EMB101" s="973"/>
      <c r="EMC101" s="973"/>
      <c r="EMD101" s="973"/>
      <c r="EME101" s="973"/>
      <c r="EMF101" s="973"/>
      <c r="EMG101" s="973"/>
      <c r="EMH101" s="973"/>
      <c r="EMI101" s="973"/>
      <c r="EMJ101" s="973"/>
      <c r="EMK101" s="973"/>
      <c r="EML101" s="973"/>
      <c r="EMM101" s="973"/>
      <c r="EMN101" s="973"/>
      <c r="EMO101" s="973"/>
      <c r="EMP101" s="973"/>
      <c r="EMQ101" s="973"/>
      <c r="EMR101" s="973"/>
      <c r="EMS101" s="973"/>
      <c r="EMT101" s="973"/>
      <c r="EMU101" s="973"/>
      <c r="EMV101" s="973"/>
      <c r="EMW101" s="973"/>
      <c r="EMX101" s="973"/>
      <c r="EMY101" s="973"/>
      <c r="EMZ101" s="973"/>
      <c r="ENA101" s="973"/>
      <c r="ENB101" s="973"/>
      <c r="ENC101" s="973"/>
      <c r="END101" s="973"/>
      <c r="ENE101" s="973"/>
      <c r="ENF101" s="973"/>
      <c r="ENG101" s="973"/>
      <c r="ENH101" s="973"/>
      <c r="ENI101" s="973"/>
      <c r="ENJ101" s="973"/>
      <c r="ENK101" s="973"/>
      <c r="ENL101" s="973"/>
      <c r="ENM101" s="973"/>
      <c r="ENN101" s="973"/>
      <c r="ENO101" s="973"/>
      <c r="ENP101" s="973"/>
      <c r="ENQ101" s="973"/>
      <c r="ENR101" s="973"/>
      <c r="ENS101" s="973"/>
      <c r="ENT101" s="973"/>
      <c r="ENU101" s="973"/>
      <c r="ENV101" s="973"/>
      <c r="ENW101" s="973"/>
      <c r="ENX101" s="973"/>
      <c r="ENY101" s="973"/>
      <c r="ENZ101" s="973"/>
      <c r="EOA101" s="973"/>
      <c r="EOB101" s="973"/>
      <c r="EOC101" s="973"/>
      <c r="EOD101" s="973"/>
      <c r="EOE101" s="973"/>
      <c r="EOF101" s="973"/>
      <c r="EOG101" s="973"/>
      <c r="EOH101" s="973"/>
      <c r="EOI101" s="973"/>
      <c r="EOJ101" s="973"/>
      <c r="EOK101" s="973"/>
      <c r="EOL101" s="973"/>
      <c r="EOM101" s="973"/>
      <c r="EON101" s="973"/>
      <c r="EOO101" s="973"/>
      <c r="EOP101" s="973"/>
      <c r="EOQ101" s="973"/>
      <c r="EOR101" s="973"/>
      <c r="EOS101" s="973"/>
      <c r="EOT101" s="973"/>
      <c r="EOU101" s="973"/>
      <c r="EOV101" s="973"/>
      <c r="EOW101" s="973"/>
      <c r="EOX101" s="973"/>
      <c r="EOY101" s="973"/>
      <c r="EOZ101" s="973"/>
      <c r="EPA101" s="973"/>
      <c r="EPB101" s="973"/>
      <c r="EPC101" s="973"/>
      <c r="EPD101" s="973"/>
      <c r="EPE101" s="973"/>
      <c r="EPF101" s="973"/>
      <c r="EPG101" s="973"/>
      <c r="EPH101" s="973"/>
      <c r="EPI101" s="973"/>
      <c r="EPJ101" s="973"/>
      <c r="EPK101" s="973"/>
      <c r="EPL101" s="973"/>
      <c r="EPM101" s="973"/>
      <c r="EPN101" s="973"/>
      <c r="EPO101" s="973"/>
      <c r="EPP101" s="973"/>
      <c r="EPQ101" s="973"/>
      <c r="EPR101" s="973"/>
      <c r="EPS101" s="973"/>
      <c r="EPT101" s="973"/>
      <c r="EPU101" s="973"/>
      <c r="EPV101" s="973"/>
      <c r="EPW101" s="973"/>
      <c r="EPX101" s="973"/>
      <c r="EPY101" s="973"/>
      <c r="EPZ101" s="973"/>
      <c r="EQA101" s="973"/>
      <c r="EQB101" s="973"/>
      <c r="EQC101" s="973"/>
      <c r="EQD101" s="973"/>
      <c r="EQE101" s="973"/>
      <c r="EQF101" s="973"/>
      <c r="EQG101" s="973"/>
      <c r="EQH101" s="973"/>
      <c r="EQI101" s="973"/>
      <c r="EQJ101" s="973"/>
      <c r="EQK101" s="973"/>
      <c r="EQL101" s="973"/>
      <c r="EQM101" s="973"/>
      <c r="EQN101" s="973"/>
      <c r="EQO101" s="973"/>
      <c r="EQP101" s="973"/>
      <c r="EQQ101" s="973"/>
      <c r="EQR101" s="973"/>
      <c r="EQS101" s="973"/>
      <c r="EQT101" s="973"/>
      <c r="EQU101" s="973"/>
      <c r="EQV101" s="973"/>
      <c r="EQW101" s="973"/>
      <c r="EQX101" s="973"/>
      <c r="EQY101" s="973"/>
      <c r="EQZ101" s="973"/>
      <c r="ERA101" s="973"/>
      <c r="ERB101" s="973"/>
      <c r="ERC101" s="973"/>
      <c r="ERD101" s="973"/>
      <c r="ERE101" s="973"/>
      <c r="ERF101" s="973"/>
      <c r="ERG101" s="973"/>
      <c r="ERH101" s="973"/>
      <c r="ERI101" s="973"/>
      <c r="ERJ101" s="973"/>
      <c r="ERK101" s="973"/>
      <c r="ERL101" s="973"/>
      <c r="ERM101" s="973"/>
      <c r="ERN101" s="973"/>
      <c r="ERO101" s="973"/>
      <c r="ERP101" s="973"/>
      <c r="ERQ101" s="973"/>
      <c r="ERR101" s="973"/>
      <c r="ERS101" s="973"/>
      <c r="ERT101" s="973"/>
      <c r="ERU101" s="973"/>
      <c r="ERV101" s="973"/>
      <c r="ERW101" s="973"/>
      <c r="ERX101" s="973"/>
      <c r="ERY101" s="973"/>
      <c r="ERZ101" s="973"/>
      <c r="ESA101" s="973"/>
      <c r="ESB101" s="973"/>
      <c r="ESC101" s="973"/>
      <c r="ESD101" s="973"/>
      <c r="ESE101" s="973"/>
      <c r="ESF101" s="973"/>
      <c r="ESG101" s="973"/>
      <c r="ESH101" s="973"/>
      <c r="ESI101" s="973"/>
      <c r="ESJ101" s="973"/>
      <c r="ESK101" s="973"/>
      <c r="ESL101" s="973"/>
      <c r="ESM101" s="973"/>
      <c r="ESN101" s="973"/>
      <c r="ESO101" s="973"/>
      <c r="ESP101" s="973"/>
      <c r="ESQ101" s="973"/>
      <c r="ESR101" s="973"/>
      <c r="ESS101" s="973"/>
      <c r="EST101" s="973"/>
      <c r="ESU101" s="973"/>
      <c r="ESV101" s="973"/>
      <c r="ESW101" s="973"/>
      <c r="ESX101" s="973"/>
      <c r="ESY101" s="973"/>
      <c r="ESZ101" s="973"/>
      <c r="ETA101" s="973"/>
      <c r="ETB101" s="973"/>
      <c r="ETC101" s="973"/>
      <c r="ETD101" s="973"/>
      <c r="ETE101" s="973"/>
      <c r="ETF101" s="973"/>
      <c r="ETG101" s="973"/>
      <c r="ETH101" s="973"/>
      <c r="ETI101" s="973"/>
      <c r="ETJ101" s="973"/>
      <c r="ETK101" s="973"/>
      <c r="ETL101" s="973"/>
      <c r="ETM101" s="973"/>
      <c r="ETN101" s="973"/>
      <c r="ETO101" s="973"/>
      <c r="ETP101" s="973"/>
      <c r="ETQ101" s="973"/>
      <c r="ETR101" s="973"/>
      <c r="ETS101" s="973"/>
      <c r="ETT101" s="973"/>
      <c r="ETU101" s="973"/>
      <c r="ETV101" s="973"/>
      <c r="ETW101" s="973"/>
      <c r="ETX101" s="973"/>
      <c r="ETY101" s="973"/>
      <c r="ETZ101" s="973"/>
      <c r="EUA101" s="973"/>
      <c r="EUB101" s="973"/>
      <c r="EUC101" s="973"/>
      <c r="EUD101" s="973"/>
      <c r="EUE101" s="973"/>
      <c r="EUF101" s="973"/>
      <c r="EUG101" s="973"/>
      <c r="EUH101" s="973"/>
      <c r="EUI101" s="973"/>
      <c r="EUJ101" s="973"/>
      <c r="EUK101" s="973"/>
      <c r="EUL101" s="973"/>
      <c r="EUM101" s="973"/>
      <c r="EUN101" s="973"/>
      <c r="EUO101" s="973"/>
      <c r="EUP101" s="973"/>
      <c r="EUQ101" s="973"/>
      <c r="EUR101" s="973"/>
      <c r="EUS101" s="973"/>
      <c r="EUT101" s="973"/>
      <c r="EUU101" s="973"/>
      <c r="EUV101" s="973"/>
      <c r="EUW101" s="973"/>
      <c r="EUX101" s="973"/>
      <c r="EUY101" s="973"/>
      <c r="EUZ101" s="973"/>
      <c r="EVA101" s="973"/>
      <c r="EVB101" s="973"/>
      <c r="EVC101" s="973"/>
      <c r="EVD101" s="973"/>
      <c r="EVE101" s="973"/>
      <c r="EVF101" s="973"/>
      <c r="EVG101" s="973"/>
      <c r="EVH101" s="973"/>
      <c r="EVI101" s="973"/>
      <c r="EVJ101" s="973"/>
      <c r="EVK101" s="973"/>
      <c r="EVL101" s="973"/>
      <c r="EVM101" s="973"/>
      <c r="EVN101" s="973"/>
      <c r="EVO101" s="973"/>
      <c r="EVP101" s="973"/>
      <c r="EVQ101" s="973"/>
      <c r="EVR101" s="973"/>
      <c r="EVS101" s="973"/>
      <c r="EVT101" s="973"/>
      <c r="EVU101" s="973"/>
      <c r="EVV101" s="973"/>
      <c r="EVW101" s="973"/>
      <c r="EVX101" s="973"/>
      <c r="EVY101" s="973"/>
      <c r="EVZ101" s="973"/>
      <c r="EWA101" s="973"/>
      <c r="EWB101" s="973"/>
      <c r="EWC101" s="973"/>
      <c r="EWD101" s="973"/>
      <c r="EWE101" s="973"/>
      <c r="EWF101" s="973"/>
      <c r="EWG101" s="973"/>
      <c r="EWH101" s="973"/>
      <c r="EWI101" s="973"/>
      <c r="EWJ101" s="973"/>
      <c r="EWK101" s="973"/>
      <c r="EWL101" s="973"/>
      <c r="EWM101" s="973"/>
      <c r="EWN101" s="973"/>
      <c r="EWO101" s="973"/>
      <c r="EWP101" s="973"/>
      <c r="EWQ101" s="973"/>
      <c r="EWR101" s="973"/>
      <c r="EWS101" s="973"/>
      <c r="EWT101" s="973"/>
      <c r="EWU101" s="973"/>
      <c r="EWV101" s="973"/>
      <c r="EWW101" s="973"/>
      <c r="EWX101" s="973"/>
      <c r="EWY101" s="973"/>
      <c r="EWZ101" s="973"/>
      <c r="EXA101" s="973"/>
      <c r="EXB101" s="973"/>
      <c r="EXC101" s="973"/>
      <c r="EXD101" s="973"/>
      <c r="EXE101" s="973"/>
      <c r="EXF101" s="973"/>
      <c r="EXG101" s="973"/>
      <c r="EXH101" s="973"/>
      <c r="EXI101" s="973"/>
      <c r="EXJ101" s="973"/>
      <c r="EXK101" s="973"/>
      <c r="EXL101" s="973"/>
      <c r="EXM101" s="973"/>
      <c r="EXN101" s="973"/>
      <c r="EXO101" s="973"/>
      <c r="EXP101" s="973"/>
      <c r="EXQ101" s="973"/>
      <c r="EXR101" s="973"/>
      <c r="EXS101" s="973"/>
      <c r="EXT101" s="973"/>
      <c r="EXU101" s="973"/>
      <c r="EXV101" s="973"/>
      <c r="EXW101" s="973"/>
      <c r="EXX101" s="973"/>
      <c r="EXY101" s="973"/>
      <c r="EXZ101" s="973"/>
      <c r="EYA101" s="973"/>
      <c r="EYB101" s="973"/>
      <c r="EYC101" s="973"/>
      <c r="EYD101" s="973"/>
      <c r="EYE101" s="973"/>
      <c r="EYF101" s="973"/>
      <c r="EYG101" s="973"/>
      <c r="EYH101" s="973"/>
      <c r="EYI101" s="973"/>
      <c r="EYJ101" s="973"/>
      <c r="EYK101" s="973"/>
      <c r="EYL101" s="973"/>
      <c r="EYM101" s="973"/>
      <c r="EYN101" s="973"/>
      <c r="EYO101" s="973"/>
      <c r="EYP101" s="973"/>
      <c r="EYQ101" s="973"/>
      <c r="EYR101" s="973"/>
      <c r="EYS101" s="973"/>
      <c r="EYT101" s="973"/>
      <c r="EYU101" s="973"/>
      <c r="EYV101" s="973"/>
      <c r="EYW101" s="973"/>
      <c r="EYX101" s="973"/>
      <c r="EYY101" s="973"/>
      <c r="EYZ101" s="973"/>
      <c r="EZA101" s="973"/>
      <c r="EZB101" s="973"/>
      <c r="EZC101" s="973"/>
      <c r="EZD101" s="973"/>
      <c r="EZE101" s="973"/>
      <c r="EZF101" s="973"/>
      <c r="EZG101" s="973"/>
      <c r="EZH101" s="973"/>
      <c r="EZI101" s="973"/>
      <c r="EZJ101" s="973"/>
      <c r="EZK101" s="973"/>
      <c r="EZL101" s="973"/>
      <c r="EZM101" s="973"/>
      <c r="EZN101" s="973"/>
      <c r="EZO101" s="973"/>
      <c r="EZP101" s="973"/>
      <c r="EZQ101" s="973"/>
      <c r="EZR101" s="973"/>
      <c r="EZS101" s="973"/>
      <c r="EZT101" s="973"/>
      <c r="EZU101" s="973"/>
      <c r="EZV101" s="973"/>
      <c r="EZW101" s="973"/>
      <c r="EZX101" s="973"/>
      <c r="EZY101" s="973"/>
      <c r="EZZ101" s="973"/>
      <c r="FAA101" s="973"/>
      <c r="FAB101" s="973"/>
      <c r="FAC101" s="973"/>
      <c r="FAD101" s="973"/>
      <c r="FAE101" s="973"/>
      <c r="FAF101" s="973"/>
      <c r="FAG101" s="973"/>
      <c r="FAH101" s="973"/>
      <c r="FAI101" s="973"/>
      <c r="FAJ101" s="973"/>
      <c r="FAK101" s="973"/>
      <c r="FAL101" s="973"/>
      <c r="FAM101" s="973"/>
      <c r="FAN101" s="973"/>
      <c r="FAO101" s="973"/>
      <c r="FAP101" s="973"/>
      <c r="FAQ101" s="973"/>
      <c r="FAR101" s="973"/>
      <c r="FAS101" s="973"/>
      <c r="FAT101" s="973"/>
      <c r="FAU101" s="973"/>
      <c r="FAV101" s="973"/>
      <c r="FAW101" s="973"/>
      <c r="FAX101" s="973"/>
      <c r="FAY101" s="973"/>
      <c r="FAZ101" s="973"/>
      <c r="FBA101" s="973"/>
      <c r="FBB101" s="973"/>
      <c r="FBC101" s="973"/>
      <c r="FBD101" s="973"/>
      <c r="FBE101" s="973"/>
      <c r="FBF101" s="973"/>
      <c r="FBG101" s="973"/>
      <c r="FBH101" s="973"/>
      <c r="FBI101" s="973"/>
      <c r="FBJ101" s="973"/>
      <c r="FBK101" s="973"/>
      <c r="FBL101" s="973"/>
      <c r="FBM101" s="973"/>
      <c r="FBN101" s="973"/>
      <c r="FBO101" s="973"/>
      <c r="FBP101" s="973"/>
      <c r="FBQ101" s="973"/>
      <c r="FBR101" s="973"/>
      <c r="FBS101" s="973"/>
      <c r="FBT101" s="973"/>
      <c r="FBU101" s="973"/>
      <c r="FBV101" s="973"/>
      <c r="FBW101" s="973"/>
      <c r="FBX101" s="973"/>
      <c r="FBY101" s="973"/>
      <c r="FBZ101" s="973"/>
      <c r="FCA101" s="973"/>
      <c r="FCB101" s="973"/>
      <c r="FCC101" s="973"/>
      <c r="FCD101" s="973"/>
      <c r="FCE101" s="973"/>
      <c r="FCF101" s="973"/>
      <c r="FCG101" s="973"/>
      <c r="FCH101" s="973"/>
      <c r="FCI101" s="973"/>
      <c r="FCJ101" s="973"/>
      <c r="FCK101" s="973"/>
      <c r="FCL101" s="973"/>
      <c r="FCM101" s="973"/>
      <c r="FCN101" s="973"/>
      <c r="FCO101" s="973"/>
      <c r="FCP101" s="973"/>
      <c r="FCQ101" s="973"/>
      <c r="FCR101" s="973"/>
      <c r="FCS101" s="973"/>
      <c r="FCT101" s="973"/>
      <c r="FCU101" s="973"/>
      <c r="FCV101" s="973"/>
      <c r="FCW101" s="973"/>
      <c r="FCX101" s="973"/>
      <c r="FCY101" s="973"/>
      <c r="FCZ101" s="973"/>
      <c r="FDA101" s="973"/>
      <c r="FDB101" s="973"/>
      <c r="FDC101" s="973"/>
      <c r="FDD101" s="973"/>
      <c r="FDE101" s="973"/>
      <c r="FDF101" s="973"/>
      <c r="FDG101" s="973"/>
      <c r="FDH101" s="973"/>
      <c r="FDI101" s="973"/>
      <c r="FDJ101" s="973"/>
      <c r="FDK101" s="973"/>
      <c r="FDL101" s="973"/>
      <c r="FDM101" s="973"/>
      <c r="FDN101" s="973"/>
      <c r="FDO101" s="973"/>
      <c r="FDP101" s="973"/>
      <c r="FDQ101" s="973"/>
      <c r="FDR101" s="973"/>
      <c r="FDS101" s="973"/>
      <c r="FDT101" s="973"/>
      <c r="FDU101" s="973"/>
      <c r="FDV101" s="973"/>
      <c r="FDW101" s="973"/>
      <c r="FDX101" s="973"/>
      <c r="FDY101" s="973"/>
      <c r="FDZ101" s="973"/>
      <c r="FEA101" s="973"/>
      <c r="FEB101" s="973"/>
      <c r="FEC101" s="973"/>
      <c r="FED101" s="973"/>
      <c r="FEE101" s="973"/>
      <c r="FEF101" s="973"/>
      <c r="FEG101" s="973"/>
      <c r="FEH101" s="973"/>
      <c r="FEI101" s="973"/>
      <c r="FEJ101" s="973"/>
      <c r="FEK101" s="973"/>
      <c r="FEL101" s="973"/>
      <c r="FEM101" s="973"/>
      <c r="FEN101" s="973"/>
      <c r="FEO101" s="973"/>
      <c r="FEP101" s="973"/>
      <c r="FEQ101" s="973"/>
      <c r="FER101" s="973"/>
      <c r="FES101" s="973"/>
      <c r="FET101" s="973"/>
      <c r="FEU101" s="973"/>
      <c r="FEV101" s="973"/>
      <c r="FEW101" s="973"/>
      <c r="FEX101" s="973"/>
      <c r="FEY101" s="973"/>
      <c r="FEZ101" s="973"/>
      <c r="FFA101" s="973"/>
      <c r="FFB101" s="973"/>
      <c r="FFC101" s="973"/>
      <c r="FFD101" s="973"/>
      <c r="FFE101" s="973"/>
      <c r="FFF101" s="973"/>
      <c r="FFG101" s="973"/>
      <c r="FFH101" s="973"/>
      <c r="FFI101" s="973"/>
      <c r="FFJ101" s="973"/>
      <c r="FFK101" s="973"/>
      <c r="FFL101" s="973"/>
      <c r="FFM101" s="973"/>
      <c r="FFN101" s="973"/>
      <c r="FFO101" s="973"/>
      <c r="FFP101" s="973"/>
      <c r="FFQ101" s="973"/>
      <c r="FFR101" s="973"/>
      <c r="FFS101" s="973"/>
      <c r="FFT101" s="973"/>
      <c r="FFU101" s="973"/>
      <c r="FFV101" s="973"/>
      <c r="FFW101" s="973"/>
      <c r="FFX101" s="973"/>
      <c r="FFY101" s="973"/>
      <c r="FFZ101" s="973"/>
      <c r="FGA101" s="973"/>
      <c r="FGB101" s="973"/>
      <c r="FGC101" s="973"/>
      <c r="FGD101" s="973"/>
      <c r="FGE101" s="973"/>
      <c r="FGF101" s="973"/>
      <c r="FGG101" s="973"/>
      <c r="FGH101" s="973"/>
      <c r="FGI101" s="973"/>
      <c r="FGJ101" s="973"/>
      <c r="FGK101" s="973"/>
      <c r="FGL101" s="973"/>
      <c r="FGM101" s="973"/>
      <c r="FGN101" s="973"/>
      <c r="FGO101" s="973"/>
      <c r="FGP101" s="973"/>
      <c r="FGQ101" s="973"/>
      <c r="FGR101" s="973"/>
      <c r="FGS101" s="973"/>
      <c r="FGT101" s="973"/>
      <c r="FGU101" s="973"/>
      <c r="FGV101" s="973"/>
      <c r="FGW101" s="973"/>
      <c r="FGX101" s="973"/>
      <c r="FGY101" s="973"/>
      <c r="FGZ101" s="973"/>
      <c r="FHA101" s="973"/>
      <c r="FHB101" s="973"/>
      <c r="FHC101" s="973"/>
      <c r="FHD101" s="973"/>
      <c r="FHE101" s="973"/>
      <c r="FHF101" s="973"/>
      <c r="FHG101" s="973"/>
      <c r="FHH101" s="973"/>
      <c r="FHI101" s="973"/>
      <c r="FHJ101" s="973"/>
      <c r="FHK101" s="973"/>
      <c r="FHL101" s="973"/>
      <c r="FHM101" s="973"/>
      <c r="FHN101" s="973"/>
      <c r="FHO101" s="973"/>
      <c r="FHP101" s="973"/>
      <c r="FHQ101" s="973"/>
      <c r="FHR101" s="973"/>
      <c r="FHS101" s="973"/>
      <c r="FHT101" s="973"/>
      <c r="FHU101" s="973"/>
      <c r="FHV101" s="973"/>
      <c r="FHW101" s="973"/>
      <c r="FHX101" s="973"/>
      <c r="FHY101" s="973"/>
      <c r="FHZ101" s="973"/>
      <c r="FIA101" s="973"/>
      <c r="FIB101" s="973"/>
      <c r="FIC101" s="973"/>
      <c r="FID101" s="973"/>
      <c r="FIE101" s="973"/>
      <c r="FIF101" s="973"/>
      <c r="FIG101" s="973"/>
      <c r="FIH101" s="973"/>
      <c r="FII101" s="973"/>
      <c r="FIJ101" s="973"/>
      <c r="FIK101" s="973"/>
      <c r="FIL101" s="973"/>
      <c r="FIM101" s="973"/>
      <c r="FIN101" s="973"/>
      <c r="FIO101" s="973"/>
      <c r="FIP101" s="973"/>
      <c r="FIQ101" s="973"/>
      <c r="FIR101" s="973"/>
      <c r="FIS101" s="973"/>
      <c r="FIT101" s="973"/>
      <c r="FIU101" s="973"/>
      <c r="FIV101" s="973"/>
      <c r="FIW101" s="973"/>
      <c r="FIX101" s="973"/>
      <c r="FIY101" s="973"/>
      <c r="FIZ101" s="973"/>
      <c r="FJA101" s="973"/>
      <c r="FJB101" s="973"/>
      <c r="FJC101" s="973"/>
      <c r="FJD101" s="973"/>
      <c r="FJE101" s="973"/>
      <c r="FJF101" s="973"/>
      <c r="FJG101" s="973"/>
      <c r="FJH101" s="973"/>
      <c r="FJI101" s="973"/>
      <c r="FJJ101" s="973"/>
      <c r="FJK101" s="973"/>
      <c r="FJL101" s="973"/>
      <c r="FJM101" s="973"/>
      <c r="FJN101" s="973"/>
      <c r="FJO101" s="973"/>
      <c r="FJP101" s="973"/>
      <c r="FJQ101" s="973"/>
      <c r="FJR101" s="973"/>
      <c r="FJS101" s="973"/>
      <c r="FJT101" s="973"/>
      <c r="FJU101" s="973"/>
      <c r="FJV101" s="973"/>
      <c r="FJW101" s="973"/>
      <c r="FJX101" s="973"/>
      <c r="FJY101" s="973"/>
      <c r="FJZ101" s="973"/>
      <c r="FKA101" s="973"/>
      <c r="FKB101" s="973"/>
      <c r="FKC101" s="973"/>
      <c r="FKD101" s="973"/>
      <c r="FKE101" s="973"/>
      <c r="FKF101" s="973"/>
      <c r="FKG101" s="973"/>
      <c r="FKH101" s="973"/>
      <c r="FKI101" s="973"/>
      <c r="FKJ101" s="973"/>
      <c r="FKK101" s="973"/>
      <c r="FKL101" s="973"/>
      <c r="FKM101" s="973"/>
      <c r="FKN101" s="973"/>
      <c r="FKO101" s="973"/>
      <c r="FKP101" s="973"/>
      <c r="FKQ101" s="973"/>
      <c r="FKR101" s="973"/>
      <c r="FKS101" s="973"/>
      <c r="FKT101" s="973"/>
      <c r="FKU101" s="973"/>
      <c r="FKV101" s="973"/>
      <c r="FKW101" s="973"/>
      <c r="FKX101" s="973"/>
      <c r="FKY101" s="973"/>
      <c r="FKZ101" s="973"/>
      <c r="FLA101" s="973"/>
      <c r="FLB101" s="973"/>
      <c r="FLC101" s="973"/>
      <c r="FLD101" s="973"/>
      <c r="FLE101" s="973"/>
      <c r="FLF101" s="973"/>
      <c r="FLG101" s="973"/>
      <c r="FLH101" s="973"/>
      <c r="FLI101" s="973"/>
      <c r="FLJ101" s="973"/>
      <c r="FLK101" s="973"/>
      <c r="FLL101" s="973"/>
      <c r="FLM101" s="973"/>
      <c r="FLN101" s="973"/>
      <c r="FLO101" s="973"/>
      <c r="FLP101" s="973"/>
      <c r="FLQ101" s="973"/>
      <c r="FLR101" s="973"/>
      <c r="FLS101" s="973"/>
      <c r="FLT101" s="973"/>
      <c r="FLU101" s="973"/>
      <c r="FLV101" s="973"/>
      <c r="FLW101" s="973"/>
      <c r="FLX101" s="973"/>
      <c r="FLY101" s="973"/>
      <c r="FLZ101" s="973"/>
      <c r="FMA101" s="973"/>
      <c r="FMB101" s="973"/>
      <c r="FMC101" s="973"/>
      <c r="FMD101" s="973"/>
      <c r="FME101" s="973"/>
      <c r="FMF101" s="973"/>
      <c r="FMG101" s="973"/>
      <c r="FMH101" s="973"/>
      <c r="FMI101" s="973"/>
      <c r="FMJ101" s="973"/>
      <c r="FMK101" s="973"/>
      <c r="FML101" s="973"/>
      <c r="FMM101" s="973"/>
      <c r="FMN101" s="973"/>
      <c r="FMO101" s="973"/>
      <c r="FMP101" s="973"/>
      <c r="FMQ101" s="973"/>
      <c r="FMR101" s="973"/>
      <c r="FMS101" s="973"/>
      <c r="FMT101" s="973"/>
      <c r="FMU101" s="973"/>
      <c r="FMV101" s="973"/>
      <c r="FMW101" s="973"/>
      <c r="FMX101" s="973"/>
      <c r="FMY101" s="973"/>
      <c r="FMZ101" s="973"/>
      <c r="FNA101" s="973"/>
      <c r="FNB101" s="973"/>
      <c r="FNC101" s="973"/>
      <c r="FND101" s="973"/>
      <c r="FNE101" s="973"/>
      <c r="FNF101" s="973"/>
      <c r="FNG101" s="973"/>
      <c r="FNH101" s="973"/>
      <c r="FNI101" s="973"/>
      <c r="FNJ101" s="973"/>
      <c r="FNK101" s="973"/>
      <c r="FNL101" s="973"/>
      <c r="FNM101" s="973"/>
      <c r="FNN101" s="973"/>
      <c r="FNO101" s="973"/>
      <c r="FNP101" s="973"/>
      <c r="FNQ101" s="973"/>
      <c r="FNR101" s="973"/>
      <c r="FNS101" s="973"/>
      <c r="FNT101" s="973"/>
      <c r="FNU101" s="973"/>
      <c r="FNV101" s="973"/>
      <c r="FNW101" s="973"/>
      <c r="FNX101" s="973"/>
      <c r="FNY101" s="973"/>
      <c r="FNZ101" s="973"/>
      <c r="FOA101" s="973"/>
      <c r="FOB101" s="973"/>
      <c r="FOC101" s="973"/>
      <c r="FOD101" s="973"/>
      <c r="FOE101" s="973"/>
      <c r="FOF101" s="973"/>
      <c r="FOG101" s="973"/>
      <c r="FOH101" s="973"/>
      <c r="FOI101" s="973"/>
      <c r="FOJ101" s="973"/>
      <c r="FOK101" s="973"/>
      <c r="FOL101" s="973"/>
      <c r="FOM101" s="973"/>
      <c r="FON101" s="973"/>
      <c r="FOO101" s="973"/>
      <c r="FOP101" s="973"/>
      <c r="FOQ101" s="973"/>
      <c r="FOR101" s="973"/>
      <c r="FOS101" s="973"/>
      <c r="FOT101" s="973"/>
      <c r="FOU101" s="973"/>
      <c r="FOV101" s="973"/>
      <c r="FOW101" s="973"/>
      <c r="FOX101" s="973"/>
      <c r="FOY101" s="973"/>
      <c r="FOZ101" s="973"/>
      <c r="FPA101" s="973"/>
      <c r="FPB101" s="973"/>
      <c r="FPC101" s="973"/>
      <c r="FPD101" s="973"/>
      <c r="FPE101" s="973"/>
      <c r="FPF101" s="973"/>
      <c r="FPG101" s="973"/>
      <c r="FPH101" s="973"/>
      <c r="FPI101" s="973"/>
      <c r="FPJ101" s="973"/>
      <c r="FPK101" s="973"/>
      <c r="FPL101" s="973"/>
      <c r="FPM101" s="973"/>
      <c r="FPN101" s="973"/>
      <c r="FPO101" s="973"/>
      <c r="FPP101" s="973"/>
      <c r="FPQ101" s="973"/>
      <c r="FPR101" s="973"/>
      <c r="FPS101" s="973"/>
      <c r="FPT101" s="973"/>
      <c r="FPU101" s="973"/>
      <c r="FPV101" s="973"/>
      <c r="FPW101" s="973"/>
      <c r="FPX101" s="973"/>
      <c r="FPY101" s="973"/>
      <c r="FPZ101" s="973"/>
      <c r="FQA101" s="973"/>
      <c r="FQB101" s="973"/>
      <c r="FQC101" s="973"/>
      <c r="FQD101" s="973"/>
      <c r="FQE101" s="973"/>
      <c r="FQF101" s="973"/>
      <c r="FQG101" s="973"/>
      <c r="FQH101" s="973"/>
      <c r="FQI101" s="973"/>
      <c r="FQJ101" s="973"/>
      <c r="FQK101" s="973"/>
      <c r="FQL101" s="973"/>
      <c r="FQM101" s="973"/>
      <c r="FQN101" s="973"/>
      <c r="FQO101" s="973"/>
      <c r="FQP101" s="973"/>
      <c r="FQQ101" s="973"/>
      <c r="FQR101" s="973"/>
      <c r="FQS101" s="973"/>
      <c r="FQT101" s="973"/>
      <c r="FQU101" s="973"/>
      <c r="FQV101" s="973"/>
      <c r="FQW101" s="973"/>
      <c r="FQX101" s="973"/>
      <c r="FQY101" s="973"/>
      <c r="FQZ101" s="973"/>
      <c r="FRA101" s="973"/>
      <c r="FRB101" s="973"/>
      <c r="FRC101" s="973"/>
      <c r="FRD101" s="973"/>
      <c r="FRE101" s="973"/>
      <c r="FRF101" s="973"/>
      <c r="FRG101" s="973"/>
      <c r="FRH101" s="973"/>
      <c r="FRI101" s="973"/>
      <c r="FRJ101" s="973"/>
      <c r="FRK101" s="973"/>
      <c r="FRL101" s="973"/>
      <c r="FRM101" s="973"/>
      <c r="FRN101" s="973"/>
      <c r="FRO101" s="973"/>
      <c r="FRP101" s="973"/>
      <c r="FRQ101" s="973"/>
      <c r="FRR101" s="973"/>
      <c r="FRS101" s="973"/>
      <c r="FRT101" s="973"/>
      <c r="FRU101" s="973"/>
      <c r="FRV101" s="973"/>
      <c r="FRW101" s="973"/>
      <c r="FRX101" s="973"/>
      <c r="FRY101" s="973"/>
      <c r="FRZ101" s="973"/>
      <c r="FSA101" s="973"/>
      <c r="FSB101" s="973"/>
      <c r="FSC101" s="973"/>
      <c r="FSD101" s="973"/>
      <c r="FSE101" s="973"/>
      <c r="FSF101" s="973"/>
      <c r="FSG101" s="973"/>
      <c r="FSH101" s="973"/>
      <c r="FSI101" s="973"/>
      <c r="FSJ101" s="973"/>
      <c r="FSK101" s="973"/>
      <c r="FSL101" s="973"/>
      <c r="FSM101" s="973"/>
      <c r="FSN101" s="973"/>
      <c r="FSO101" s="973"/>
      <c r="FSP101" s="973"/>
      <c r="FSQ101" s="973"/>
      <c r="FSR101" s="973"/>
      <c r="FSS101" s="973"/>
      <c r="FST101" s="973"/>
      <c r="FSU101" s="973"/>
      <c r="FSV101" s="973"/>
      <c r="FSW101" s="973"/>
      <c r="FSX101" s="973"/>
      <c r="FSY101" s="973"/>
      <c r="FSZ101" s="973"/>
      <c r="FTA101" s="973"/>
      <c r="FTB101" s="973"/>
      <c r="FTC101" s="973"/>
      <c r="FTD101" s="973"/>
      <c r="FTE101" s="973"/>
      <c r="FTF101" s="973"/>
      <c r="FTG101" s="973"/>
      <c r="FTH101" s="973"/>
      <c r="FTI101" s="973"/>
      <c r="FTJ101" s="973"/>
      <c r="FTK101" s="973"/>
      <c r="FTL101" s="973"/>
      <c r="FTM101" s="973"/>
      <c r="FTN101" s="973"/>
      <c r="FTO101" s="973"/>
      <c r="FTP101" s="973"/>
      <c r="FTQ101" s="973"/>
      <c r="FTR101" s="973"/>
      <c r="FTS101" s="973"/>
      <c r="FTT101" s="973"/>
      <c r="FTU101" s="973"/>
      <c r="FTV101" s="973"/>
      <c r="FTW101" s="973"/>
      <c r="FTX101" s="973"/>
      <c r="FTY101" s="973"/>
      <c r="FTZ101" s="973"/>
      <c r="FUA101" s="973"/>
      <c r="FUB101" s="973"/>
      <c r="FUC101" s="973"/>
      <c r="FUD101" s="973"/>
      <c r="FUE101" s="973"/>
      <c r="FUF101" s="973"/>
      <c r="FUG101" s="973"/>
      <c r="FUH101" s="973"/>
      <c r="FUI101" s="973"/>
      <c r="FUJ101" s="973"/>
      <c r="FUK101" s="973"/>
      <c r="FUL101" s="973"/>
      <c r="FUM101" s="973"/>
      <c r="FUN101" s="973"/>
      <c r="FUO101" s="973"/>
      <c r="FUP101" s="973"/>
      <c r="FUQ101" s="973"/>
      <c r="FUR101" s="973"/>
      <c r="FUS101" s="973"/>
      <c r="FUT101" s="973"/>
      <c r="FUU101" s="973"/>
      <c r="FUV101" s="973"/>
      <c r="FUW101" s="973"/>
      <c r="FUX101" s="973"/>
      <c r="FUY101" s="973"/>
      <c r="FUZ101" s="973"/>
      <c r="FVA101" s="973"/>
      <c r="FVB101" s="973"/>
      <c r="FVC101" s="973"/>
      <c r="FVD101" s="973"/>
      <c r="FVE101" s="973"/>
      <c r="FVF101" s="973"/>
      <c r="FVG101" s="973"/>
      <c r="FVH101" s="973"/>
      <c r="FVI101" s="973"/>
      <c r="FVJ101" s="973"/>
      <c r="FVK101" s="973"/>
      <c r="FVL101" s="973"/>
      <c r="FVM101" s="973"/>
      <c r="FVN101" s="973"/>
      <c r="FVO101" s="973"/>
      <c r="FVP101" s="973"/>
      <c r="FVQ101" s="973"/>
      <c r="FVR101" s="973"/>
      <c r="FVS101" s="973"/>
      <c r="FVT101" s="973"/>
      <c r="FVU101" s="973"/>
      <c r="FVV101" s="973"/>
      <c r="FVW101" s="973"/>
      <c r="FVX101" s="973"/>
      <c r="FVY101" s="973"/>
      <c r="FVZ101" s="973"/>
      <c r="FWA101" s="973"/>
      <c r="FWB101" s="973"/>
      <c r="FWC101" s="973"/>
      <c r="FWD101" s="973"/>
      <c r="FWE101" s="973"/>
      <c r="FWF101" s="973"/>
      <c r="FWG101" s="973"/>
      <c r="FWH101" s="973"/>
      <c r="FWI101" s="973"/>
      <c r="FWJ101" s="973"/>
      <c r="FWK101" s="973"/>
      <c r="FWL101" s="973"/>
      <c r="FWM101" s="973"/>
      <c r="FWN101" s="973"/>
      <c r="FWO101" s="973"/>
      <c r="FWP101" s="973"/>
      <c r="FWQ101" s="973"/>
      <c r="FWR101" s="973"/>
      <c r="FWS101" s="973"/>
      <c r="FWT101" s="973"/>
      <c r="FWU101" s="973"/>
      <c r="FWV101" s="973"/>
      <c r="FWW101" s="973"/>
      <c r="FWX101" s="973"/>
      <c r="FWY101" s="973"/>
      <c r="FWZ101" s="973"/>
      <c r="FXA101" s="973"/>
      <c r="FXB101" s="973"/>
      <c r="FXC101" s="973"/>
      <c r="FXD101" s="973"/>
      <c r="FXE101" s="973"/>
      <c r="FXF101" s="973"/>
      <c r="FXG101" s="973"/>
      <c r="FXH101" s="973"/>
      <c r="FXI101" s="973"/>
      <c r="FXJ101" s="973"/>
      <c r="FXK101" s="973"/>
      <c r="FXL101" s="973"/>
      <c r="FXM101" s="973"/>
      <c r="FXN101" s="973"/>
      <c r="FXO101" s="973"/>
      <c r="FXP101" s="973"/>
      <c r="FXQ101" s="973"/>
      <c r="FXR101" s="973"/>
      <c r="FXS101" s="973"/>
      <c r="FXT101" s="973"/>
      <c r="FXU101" s="973"/>
      <c r="FXV101" s="973"/>
      <c r="FXW101" s="973"/>
      <c r="FXX101" s="973"/>
      <c r="FXY101" s="973"/>
      <c r="FXZ101" s="973"/>
      <c r="FYA101" s="973"/>
      <c r="FYB101" s="973"/>
      <c r="FYC101" s="973"/>
      <c r="FYD101" s="973"/>
      <c r="FYE101" s="973"/>
      <c r="FYF101" s="973"/>
      <c r="FYG101" s="973"/>
      <c r="FYH101" s="973"/>
      <c r="FYI101" s="973"/>
      <c r="FYJ101" s="973"/>
      <c r="FYK101" s="973"/>
      <c r="FYL101" s="973"/>
      <c r="FYM101" s="973"/>
      <c r="FYN101" s="973"/>
      <c r="FYO101" s="973"/>
      <c r="FYP101" s="973"/>
      <c r="FYQ101" s="973"/>
      <c r="FYR101" s="973"/>
      <c r="FYS101" s="973"/>
      <c r="FYT101" s="973"/>
      <c r="FYU101" s="973"/>
      <c r="FYV101" s="973"/>
      <c r="FYW101" s="973"/>
      <c r="FYX101" s="973"/>
      <c r="FYY101" s="973"/>
      <c r="FYZ101" s="973"/>
      <c r="FZA101" s="973"/>
      <c r="FZB101" s="973"/>
      <c r="FZC101" s="973"/>
      <c r="FZD101" s="973"/>
      <c r="FZE101" s="973"/>
      <c r="FZF101" s="973"/>
      <c r="FZG101" s="973"/>
      <c r="FZH101" s="973"/>
      <c r="FZI101" s="973"/>
      <c r="FZJ101" s="973"/>
      <c r="FZK101" s="973"/>
      <c r="FZL101" s="973"/>
      <c r="FZM101" s="973"/>
      <c r="FZN101" s="973"/>
      <c r="FZO101" s="973"/>
      <c r="FZP101" s="973"/>
      <c r="FZQ101" s="973"/>
      <c r="FZR101" s="973"/>
      <c r="FZS101" s="973"/>
      <c r="FZT101" s="973"/>
      <c r="FZU101" s="973"/>
      <c r="FZV101" s="973"/>
      <c r="FZW101" s="973"/>
      <c r="FZX101" s="973"/>
      <c r="FZY101" s="973"/>
      <c r="FZZ101" s="973"/>
      <c r="GAA101" s="973"/>
      <c r="GAB101" s="973"/>
      <c r="GAC101" s="973"/>
      <c r="GAD101" s="973"/>
      <c r="GAE101" s="973"/>
      <c r="GAF101" s="973"/>
      <c r="GAG101" s="973"/>
      <c r="GAH101" s="973"/>
      <c r="GAI101" s="973"/>
      <c r="GAJ101" s="973"/>
      <c r="GAK101" s="973"/>
      <c r="GAL101" s="973"/>
      <c r="GAM101" s="973"/>
      <c r="GAN101" s="973"/>
      <c r="GAO101" s="973"/>
      <c r="GAP101" s="973"/>
      <c r="GAQ101" s="973"/>
      <c r="GAR101" s="973"/>
      <c r="GAS101" s="973"/>
      <c r="GAT101" s="973"/>
      <c r="GAU101" s="973"/>
      <c r="GAV101" s="973"/>
      <c r="GAW101" s="973"/>
      <c r="GAX101" s="973"/>
      <c r="GAY101" s="973"/>
      <c r="GAZ101" s="973"/>
      <c r="GBA101" s="973"/>
      <c r="GBB101" s="973"/>
      <c r="GBC101" s="973"/>
      <c r="GBD101" s="973"/>
      <c r="GBE101" s="973"/>
      <c r="GBF101" s="973"/>
      <c r="GBG101" s="973"/>
      <c r="GBH101" s="973"/>
      <c r="GBI101" s="973"/>
      <c r="GBJ101" s="973"/>
      <c r="GBK101" s="973"/>
      <c r="GBL101" s="973"/>
      <c r="GBM101" s="973"/>
      <c r="GBN101" s="973"/>
      <c r="GBO101" s="973"/>
      <c r="GBP101" s="973"/>
      <c r="GBQ101" s="973"/>
      <c r="GBR101" s="973"/>
      <c r="GBS101" s="973"/>
      <c r="GBT101" s="973"/>
      <c r="GBU101" s="973"/>
      <c r="GBV101" s="973"/>
      <c r="GBW101" s="973"/>
      <c r="GBX101" s="973"/>
      <c r="GBY101" s="973"/>
      <c r="GBZ101" s="973"/>
      <c r="GCA101" s="973"/>
      <c r="GCB101" s="973"/>
      <c r="GCC101" s="973"/>
      <c r="GCD101" s="973"/>
      <c r="GCE101" s="973"/>
      <c r="GCF101" s="973"/>
      <c r="GCG101" s="973"/>
      <c r="GCH101" s="973"/>
      <c r="GCI101" s="973"/>
      <c r="GCJ101" s="973"/>
      <c r="GCK101" s="973"/>
      <c r="GCL101" s="973"/>
      <c r="GCM101" s="973"/>
      <c r="GCN101" s="973"/>
      <c r="GCO101" s="973"/>
      <c r="GCP101" s="973"/>
      <c r="GCQ101" s="973"/>
      <c r="GCR101" s="973"/>
      <c r="GCS101" s="973"/>
      <c r="GCT101" s="973"/>
      <c r="GCU101" s="973"/>
      <c r="GCV101" s="973"/>
      <c r="GCW101" s="973"/>
      <c r="GCX101" s="973"/>
      <c r="GCY101" s="973"/>
      <c r="GCZ101" s="973"/>
      <c r="GDA101" s="973"/>
      <c r="GDB101" s="973"/>
      <c r="GDC101" s="973"/>
      <c r="GDD101" s="973"/>
      <c r="GDE101" s="973"/>
      <c r="GDF101" s="973"/>
      <c r="GDG101" s="973"/>
      <c r="GDH101" s="973"/>
      <c r="GDI101" s="973"/>
      <c r="GDJ101" s="973"/>
      <c r="GDK101" s="973"/>
      <c r="GDL101" s="973"/>
      <c r="GDM101" s="973"/>
      <c r="GDN101" s="973"/>
      <c r="GDO101" s="973"/>
      <c r="GDP101" s="973"/>
      <c r="GDQ101" s="973"/>
      <c r="GDR101" s="973"/>
      <c r="GDS101" s="973"/>
      <c r="GDT101" s="973"/>
      <c r="GDU101" s="973"/>
      <c r="GDV101" s="973"/>
      <c r="GDW101" s="973"/>
      <c r="GDX101" s="973"/>
      <c r="GDY101" s="973"/>
      <c r="GDZ101" s="973"/>
      <c r="GEA101" s="973"/>
      <c r="GEB101" s="973"/>
      <c r="GEC101" s="973"/>
      <c r="GED101" s="973"/>
      <c r="GEE101" s="973"/>
      <c r="GEF101" s="973"/>
      <c r="GEG101" s="973"/>
      <c r="GEH101" s="973"/>
      <c r="GEI101" s="973"/>
      <c r="GEJ101" s="973"/>
      <c r="GEK101" s="973"/>
      <c r="GEL101" s="973"/>
      <c r="GEM101" s="973"/>
      <c r="GEN101" s="973"/>
      <c r="GEO101" s="973"/>
      <c r="GEP101" s="973"/>
      <c r="GEQ101" s="973"/>
      <c r="GER101" s="973"/>
      <c r="GES101" s="973"/>
      <c r="GET101" s="973"/>
      <c r="GEU101" s="973"/>
      <c r="GEV101" s="973"/>
      <c r="GEW101" s="973"/>
      <c r="GEX101" s="973"/>
      <c r="GEY101" s="973"/>
      <c r="GEZ101" s="973"/>
      <c r="GFA101" s="973"/>
      <c r="GFB101" s="973"/>
      <c r="GFC101" s="973"/>
      <c r="GFD101" s="973"/>
      <c r="GFE101" s="973"/>
      <c r="GFF101" s="973"/>
      <c r="GFG101" s="973"/>
      <c r="GFH101" s="973"/>
      <c r="GFI101" s="973"/>
      <c r="GFJ101" s="973"/>
      <c r="GFK101" s="973"/>
      <c r="GFL101" s="973"/>
      <c r="GFM101" s="973"/>
      <c r="GFN101" s="973"/>
      <c r="GFO101" s="973"/>
      <c r="GFP101" s="973"/>
      <c r="GFQ101" s="973"/>
      <c r="GFR101" s="973"/>
      <c r="GFS101" s="973"/>
      <c r="GFT101" s="973"/>
      <c r="GFU101" s="973"/>
      <c r="GFV101" s="973"/>
      <c r="GFW101" s="973"/>
      <c r="GFX101" s="973"/>
      <c r="GFY101" s="973"/>
      <c r="GFZ101" s="973"/>
      <c r="GGA101" s="973"/>
      <c r="GGB101" s="973"/>
      <c r="GGC101" s="973"/>
      <c r="GGD101" s="973"/>
      <c r="GGE101" s="973"/>
      <c r="GGF101" s="973"/>
      <c r="GGG101" s="973"/>
      <c r="GGH101" s="973"/>
      <c r="GGI101" s="973"/>
      <c r="GGJ101" s="973"/>
      <c r="GGK101" s="973"/>
      <c r="GGL101" s="973"/>
      <c r="GGM101" s="973"/>
      <c r="GGN101" s="973"/>
      <c r="GGO101" s="973"/>
      <c r="GGP101" s="973"/>
      <c r="GGQ101" s="973"/>
      <c r="GGR101" s="973"/>
      <c r="GGS101" s="973"/>
      <c r="GGT101" s="973"/>
      <c r="GGU101" s="973"/>
      <c r="GGV101" s="973"/>
      <c r="GGW101" s="973"/>
      <c r="GGX101" s="973"/>
      <c r="GGY101" s="973"/>
      <c r="GGZ101" s="973"/>
      <c r="GHA101" s="973"/>
      <c r="GHB101" s="973"/>
      <c r="GHC101" s="973"/>
      <c r="GHD101" s="973"/>
      <c r="GHE101" s="973"/>
      <c r="GHF101" s="973"/>
      <c r="GHG101" s="973"/>
      <c r="GHH101" s="973"/>
      <c r="GHI101" s="973"/>
      <c r="GHJ101" s="973"/>
      <c r="GHK101" s="973"/>
      <c r="GHL101" s="973"/>
      <c r="GHM101" s="973"/>
      <c r="GHN101" s="973"/>
      <c r="GHO101" s="973"/>
      <c r="GHP101" s="973"/>
      <c r="GHQ101" s="973"/>
      <c r="GHR101" s="973"/>
      <c r="GHS101" s="973"/>
      <c r="GHT101" s="973"/>
      <c r="GHU101" s="973"/>
      <c r="GHV101" s="973"/>
      <c r="GHW101" s="973"/>
      <c r="GHX101" s="973"/>
      <c r="GHY101" s="973"/>
      <c r="GHZ101" s="973"/>
      <c r="GIA101" s="973"/>
      <c r="GIB101" s="973"/>
      <c r="GIC101" s="973"/>
      <c r="GID101" s="973"/>
      <c r="GIE101" s="973"/>
      <c r="GIF101" s="973"/>
      <c r="GIG101" s="973"/>
      <c r="GIH101" s="973"/>
      <c r="GII101" s="973"/>
      <c r="GIJ101" s="973"/>
      <c r="GIK101" s="973"/>
      <c r="GIL101" s="973"/>
      <c r="GIM101" s="973"/>
      <c r="GIN101" s="973"/>
      <c r="GIO101" s="973"/>
      <c r="GIP101" s="973"/>
      <c r="GIQ101" s="973"/>
      <c r="GIR101" s="973"/>
      <c r="GIS101" s="973"/>
      <c r="GIT101" s="973"/>
      <c r="GIU101" s="973"/>
      <c r="GIV101" s="973"/>
      <c r="GIW101" s="973"/>
      <c r="GIX101" s="973"/>
      <c r="GIY101" s="973"/>
      <c r="GIZ101" s="973"/>
      <c r="GJA101" s="973"/>
      <c r="GJB101" s="973"/>
      <c r="GJC101" s="973"/>
      <c r="GJD101" s="973"/>
      <c r="GJE101" s="973"/>
      <c r="GJF101" s="973"/>
      <c r="GJG101" s="973"/>
      <c r="GJH101" s="973"/>
      <c r="GJI101" s="973"/>
      <c r="GJJ101" s="973"/>
      <c r="GJK101" s="973"/>
      <c r="GJL101" s="973"/>
      <c r="GJM101" s="973"/>
      <c r="GJN101" s="973"/>
      <c r="GJO101" s="973"/>
      <c r="GJP101" s="973"/>
      <c r="GJQ101" s="973"/>
      <c r="GJR101" s="973"/>
      <c r="GJS101" s="973"/>
      <c r="GJT101" s="973"/>
      <c r="GJU101" s="973"/>
      <c r="GJV101" s="973"/>
      <c r="GJW101" s="973"/>
      <c r="GJX101" s="973"/>
      <c r="GJY101" s="973"/>
      <c r="GJZ101" s="973"/>
      <c r="GKA101" s="973"/>
      <c r="GKB101" s="973"/>
      <c r="GKC101" s="973"/>
      <c r="GKD101" s="973"/>
      <c r="GKE101" s="973"/>
      <c r="GKF101" s="973"/>
      <c r="GKG101" s="973"/>
      <c r="GKH101" s="973"/>
      <c r="GKI101" s="973"/>
      <c r="GKJ101" s="973"/>
      <c r="GKK101" s="973"/>
      <c r="GKL101" s="973"/>
      <c r="GKM101" s="973"/>
      <c r="GKN101" s="973"/>
      <c r="GKO101" s="973"/>
      <c r="GKP101" s="973"/>
      <c r="GKQ101" s="973"/>
      <c r="GKR101" s="973"/>
      <c r="GKS101" s="973"/>
      <c r="GKT101" s="973"/>
      <c r="GKU101" s="973"/>
      <c r="GKV101" s="973"/>
      <c r="GKW101" s="973"/>
      <c r="GKX101" s="973"/>
      <c r="GKY101" s="973"/>
      <c r="GKZ101" s="973"/>
      <c r="GLA101" s="973"/>
      <c r="GLB101" s="973"/>
      <c r="GLC101" s="973"/>
      <c r="GLD101" s="973"/>
      <c r="GLE101" s="973"/>
      <c r="GLF101" s="973"/>
      <c r="GLG101" s="973"/>
      <c r="GLH101" s="973"/>
      <c r="GLI101" s="973"/>
      <c r="GLJ101" s="973"/>
      <c r="GLK101" s="973"/>
      <c r="GLL101" s="973"/>
      <c r="GLM101" s="973"/>
      <c r="GLN101" s="973"/>
      <c r="GLO101" s="973"/>
      <c r="GLP101" s="973"/>
      <c r="GLQ101" s="973"/>
      <c r="GLR101" s="973"/>
      <c r="GLS101" s="973"/>
      <c r="GLT101" s="973"/>
      <c r="GLU101" s="973"/>
      <c r="GLV101" s="973"/>
      <c r="GLW101" s="973"/>
      <c r="GLX101" s="973"/>
      <c r="GLY101" s="973"/>
      <c r="GLZ101" s="973"/>
      <c r="GMA101" s="973"/>
      <c r="GMB101" s="973"/>
      <c r="GMC101" s="973"/>
      <c r="GMD101" s="973"/>
      <c r="GME101" s="973"/>
      <c r="GMF101" s="973"/>
      <c r="GMG101" s="973"/>
      <c r="GMH101" s="973"/>
      <c r="GMI101" s="973"/>
      <c r="GMJ101" s="973"/>
      <c r="GMK101" s="973"/>
      <c r="GML101" s="973"/>
      <c r="GMM101" s="973"/>
      <c r="GMN101" s="973"/>
      <c r="GMO101" s="973"/>
      <c r="GMP101" s="973"/>
      <c r="GMQ101" s="973"/>
      <c r="GMR101" s="973"/>
      <c r="GMS101" s="973"/>
      <c r="GMT101" s="973"/>
      <c r="GMU101" s="973"/>
      <c r="GMV101" s="973"/>
      <c r="GMW101" s="973"/>
      <c r="GMX101" s="973"/>
      <c r="GMY101" s="973"/>
      <c r="GMZ101" s="973"/>
      <c r="GNA101" s="973"/>
      <c r="GNB101" s="973"/>
      <c r="GNC101" s="973"/>
      <c r="GND101" s="973"/>
      <c r="GNE101" s="973"/>
      <c r="GNF101" s="973"/>
      <c r="GNG101" s="973"/>
      <c r="GNH101" s="973"/>
      <c r="GNI101" s="973"/>
      <c r="GNJ101" s="973"/>
      <c r="GNK101" s="973"/>
      <c r="GNL101" s="973"/>
      <c r="GNM101" s="973"/>
      <c r="GNN101" s="973"/>
      <c r="GNO101" s="973"/>
      <c r="GNP101" s="973"/>
      <c r="GNQ101" s="973"/>
      <c r="GNR101" s="973"/>
      <c r="GNS101" s="973"/>
      <c r="GNT101" s="973"/>
      <c r="GNU101" s="973"/>
      <c r="GNV101" s="973"/>
      <c r="GNW101" s="973"/>
      <c r="GNX101" s="973"/>
      <c r="GNY101" s="973"/>
      <c r="GNZ101" s="973"/>
      <c r="GOA101" s="973"/>
      <c r="GOB101" s="973"/>
      <c r="GOC101" s="973"/>
      <c r="GOD101" s="973"/>
      <c r="GOE101" s="973"/>
      <c r="GOF101" s="973"/>
      <c r="GOG101" s="973"/>
      <c r="GOH101" s="973"/>
      <c r="GOI101" s="973"/>
      <c r="GOJ101" s="973"/>
      <c r="GOK101" s="973"/>
      <c r="GOL101" s="973"/>
      <c r="GOM101" s="973"/>
      <c r="GON101" s="973"/>
      <c r="GOO101" s="973"/>
      <c r="GOP101" s="973"/>
      <c r="GOQ101" s="973"/>
      <c r="GOR101" s="973"/>
      <c r="GOS101" s="973"/>
      <c r="GOT101" s="973"/>
      <c r="GOU101" s="973"/>
      <c r="GOV101" s="973"/>
      <c r="GOW101" s="973"/>
      <c r="GOX101" s="973"/>
      <c r="GOY101" s="973"/>
      <c r="GOZ101" s="973"/>
      <c r="GPA101" s="973"/>
      <c r="GPB101" s="973"/>
      <c r="GPC101" s="973"/>
      <c r="GPD101" s="973"/>
      <c r="GPE101" s="973"/>
      <c r="GPF101" s="973"/>
      <c r="GPG101" s="973"/>
      <c r="GPH101" s="973"/>
      <c r="GPI101" s="973"/>
      <c r="GPJ101" s="973"/>
      <c r="GPK101" s="973"/>
      <c r="GPL101" s="973"/>
      <c r="GPM101" s="973"/>
      <c r="GPN101" s="973"/>
      <c r="GPO101" s="973"/>
      <c r="GPP101" s="973"/>
      <c r="GPQ101" s="973"/>
      <c r="GPR101" s="973"/>
      <c r="GPS101" s="973"/>
      <c r="GPT101" s="973"/>
      <c r="GPU101" s="973"/>
      <c r="GPV101" s="973"/>
      <c r="GPW101" s="973"/>
      <c r="GPX101" s="973"/>
      <c r="GPY101" s="973"/>
      <c r="GPZ101" s="973"/>
      <c r="GQA101" s="973"/>
      <c r="GQB101" s="973"/>
      <c r="GQC101" s="973"/>
      <c r="GQD101" s="973"/>
      <c r="GQE101" s="973"/>
      <c r="GQF101" s="973"/>
      <c r="GQG101" s="973"/>
      <c r="GQH101" s="973"/>
      <c r="GQI101" s="973"/>
      <c r="GQJ101" s="973"/>
      <c r="GQK101" s="973"/>
      <c r="GQL101" s="973"/>
      <c r="GQM101" s="973"/>
      <c r="GQN101" s="973"/>
      <c r="GQO101" s="973"/>
      <c r="GQP101" s="973"/>
      <c r="GQQ101" s="973"/>
      <c r="GQR101" s="973"/>
      <c r="GQS101" s="973"/>
      <c r="GQT101" s="973"/>
      <c r="GQU101" s="973"/>
      <c r="GQV101" s="973"/>
      <c r="GQW101" s="973"/>
      <c r="GQX101" s="973"/>
      <c r="GQY101" s="973"/>
      <c r="GQZ101" s="973"/>
      <c r="GRA101" s="973"/>
      <c r="GRB101" s="973"/>
      <c r="GRC101" s="973"/>
      <c r="GRD101" s="973"/>
      <c r="GRE101" s="973"/>
      <c r="GRF101" s="973"/>
      <c r="GRG101" s="973"/>
      <c r="GRH101" s="973"/>
      <c r="GRI101" s="973"/>
      <c r="GRJ101" s="973"/>
      <c r="GRK101" s="973"/>
      <c r="GRL101" s="973"/>
      <c r="GRM101" s="973"/>
      <c r="GRN101" s="973"/>
      <c r="GRO101" s="973"/>
      <c r="GRP101" s="973"/>
      <c r="GRQ101" s="973"/>
      <c r="GRR101" s="973"/>
      <c r="GRS101" s="973"/>
      <c r="GRT101" s="973"/>
      <c r="GRU101" s="973"/>
      <c r="GRV101" s="973"/>
      <c r="GRW101" s="973"/>
      <c r="GRX101" s="973"/>
      <c r="GRY101" s="973"/>
      <c r="GRZ101" s="973"/>
      <c r="GSA101" s="973"/>
      <c r="GSB101" s="973"/>
      <c r="GSC101" s="973"/>
      <c r="GSD101" s="973"/>
      <c r="GSE101" s="973"/>
      <c r="GSF101" s="973"/>
      <c r="GSG101" s="973"/>
      <c r="GSH101" s="973"/>
      <c r="GSI101" s="973"/>
      <c r="GSJ101" s="973"/>
      <c r="GSK101" s="973"/>
      <c r="GSL101" s="973"/>
      <c r="GSM101" s="973"/>
      <c r="GSN101" s="973"/>
      <c r="GSO101" s="973"/>
      <c r="GSP101" s="973"/>
      <c r="GSQ101" s="973"/>
      <c r="GSR101" s="973"/>
      <c r="GSS101" s="973"/>
      <c r="GST101" s="973"/>
      <c r="GSU101" s="973"/>
      <c r="GSV101" s="973"/>
      <c r="GSW101" s="973"/>
      <c r="GSX101" s="973"/>
      <c r="GSY101" s="973"/>
      <c r="GSZ101" s="973"/>
      <c r="GTA101" s="973"/>
      <c r="GTB101" s="973"/>
      <c r="GTC101" s="973"/>
      <c r="GTD101" s="973"/>
      <c r="GTE101" s="973"/>
      <c r="GTF101" s="973"/>
      <c r="GTG101" s="973"/>
      <c r="GTH101" s="973"/>
      <c r="GTI101" s="973"/>
      <c r="GTJ101" s="973"/>
      <c r="GTK101" s="973"/>
      <c r="GTL101" s="973"/>
      <c r="GTM101" s="973"/>
      <c r="GTN101" s="973"/>
      <c r="GTO101" s="973"/>
      <c r="GTP101" s="973"/>
      <c r="GTQ101" s="973"/>
      <c r="GTR101" s="973"/>
      <c r="GTS101" s="973"/>
      <c r="GTT101" s="973"/>
      <c r="GTU101" s="973"/>
      <c r="GTV101" s="973"/>
      <c r="GTW101" s="973"/>
      <c r="GTX101" s="973"/>
      <c r="GTY101" s="973"/>
      <c r="GTZ101" s="973"/>
      <c r="GUA101" s="973"/>
      <c r="GUB101" s="973"/>
      <c r="GUC101" s="973"/>
      <c r="GUD101" s="973"/>
      <c r="GUE101" s="973"/>
      <c r="GUF101" s="973"/>
      <c r="GUG101" s="973"/>
      <c r="GUH101" s="973"/>
      <c r="GUI101" s="973"/>
      <c r="GUJ101" s="973"/>
      <c r="GUK101" s="973"/>
      <c r="GUL101" s="973"/>
      <c r="GUM101" s="973"/>
      <c r="GUN101" s="973"/>
      <c r="GUO101" s="973"/>
      <c r="GUP101" s="973"/>
      <c r="GUQ101" s="973"/>
      <c r="GUR101" s="973"/>
      <c r="GUS101" s="973"/>
      <c r="GUT101" s="973"/>
      <c r="GUU101" s="973"/>
      <c r="GUV101" s="973"/>
      <c r="GUW101" s="973"/>
      <c r="GUX101" s="973"/>
      <c r="GUY101" s="973"/>
      <c r="GUZ101" s="973"/>
      <c r="GVA101" s="973"/>
      <c r="GVB101" s="973"/>
      <c r="GVC101" s="973"/>
      <c r="GVD101" s="973"/>
      <c r="GVE101" s="973"/>
      <c r="GVF101" s="973"/>
      <c r="GVG101" s="973"/>
      <c r="GVH101" s="973"/>
      <c r="GVI101" s="973"/>
      <c r="GVJ101" s="973"/>
      <c r="GVK101" s="973"/>
      <c r="GVL101" s="973"/>
      <c r="GVM101" s="973"/>
      <c r="GVN101" s="973"/>
      <c r="GVO101" s="973"/>
      <c r="GVP101" s="973"/>
      <c r="GVQ101" s="973"/>
      <c r="GVR101" s="973"/>
      <c r="GVS101" s="973"/>
      <c r="GVT101" s="973"/>
      <c r="GVU101" s="973"/>
      <c r="GVV101" s="973"/>
      <c r="GVW101" s="973"/>
      <c r="GVX101" s="973"/>
      <c r="GVY101" s="973"/>
      <c r="GVZ101" s="973"/>
      <c r="GWA101" s="973"/>
      <c r="GWB101" s="973"/>
      <c r="GWC101" s="973"/>
      <c r="GWD101" s="973"/>
      <c r="GWE101" s="973"/>
      <c r="GWF101" s="973"/>
      <c r="GWG101" s="973"/>
      <c r="GWH101" s="973"/>
      <c r="GWI101" s="973"/>
      <c r="GWJ101" s="973"/>
      <c r="GWK101" s="973"/>
      <c r="GWL101" s="973"/>
      <c r="GWM101" s="973"/>
      <c r="GWN101" s="973"/>
      <c r="GWO101" s="973"/>
      <c r="GWP101" s="973"/>
      <c r="GWQ101" s="973"/>
      <c r="GWR101" s="973"/>
      <c r="GWS101" s="973"/>
      <c r="GWT101" s="973"/>
      <c r="GWU101" s="973"/>
      <c r="GWV101" s="973"/>
      <c r="GWW101" s="973"/>
      <c r="GWX101" s="973"/>
      <c r="GWY101" s="973"/>
      <c r="GWZ101" s="973"/>
      <c r="GXA101" s="973"/>
      <c r="GXB101" s="973"/>
      <c r="GXC101" s="973"/>
      <c r="GXD101" s="973"/>
      <c r="GXE101" s="973"/>
      <c r="GXF101" s="973"/>
      <c r="GXG101" s="973"/>
      <c r="GXH101" s="973"/>
      <c r="GXI101" s="973"/>
      <c r="GXJ101" s="973"/>
      <c r="GXK101" s="973"/>
      <c r="GXL101" s="973"/>
      <c r="GXM101" s="973"/>
      <c r="GXN101" s="973"/>
      <c r="GXO101" s="973"/>
      <c r="GXP101" s="973"/>
      <c r="GXQ101" s="973"/>
      <c r="GXR101" s="973"/>
      <c r="GXS101" s="973"/>
      <c r="GXT101" s="973"/>
      <c r="GXU101" s="973"/>
      <c r="GXV101" s="973"/>
      <c r="GXW101" s="973"/>
      <c r="GXX101" s="973"/>
      <c r="GXY101" s="973"/>
      <c r="GXZ101" s="973"/>
      <c r="GYA101" s="973"/>
      <c r="GYB101" s="973"/>
      <c r="GYC101" s="973"/>
      <c r="GYD101" s="973"/>
      <c r="GYE101" s="973"/>
      <c r="GYF101" s="973"/>
      <c r="GYG101" s="973"/>
      <c r="GYH101" s="973"/>
      <c r="GYI101" s="973"/>
      <c r="GYJ101" s="973"/>
      <c r="GYK101" s="973"/>
      <c r="GYL101" s="973"/>
      <c r="GYM101" s="973"/>
      <c r="GYN101" s="973"/>
      <c r="GYO101" s="973"/>
      <c r="GYP101" s="973"/>
      <c r="GYQ101" s="973"/>
      <c r="GYR101" s="973"/>
      <c r="GYS101" s="973"/>
      <c r="GYT101" s="973"/>
      <c r="GYU101" s="973"/>
      <c r="GYV101" s="973"/>
      <c r="GYW101" s="973"/>
      <c r="GYX101" s="973"/>
      <c r="GYY101" s="973"/>
      <c r="GYZ101" s="973"/>
      <c r="GZA101" s="973"/>
      <c r="GZB101" s="973"/>
      <c r="GZC101" s="973"/>
      <c r="GZD101" s="973"/>
      <c r="GZE101" s="973"/>
      <c r="GZF101" s="973"/>
      <c r="GZG101" s="973"/>
      <c r="GZH101" s="973"/>
      <c r="GZI101" s="973"/>
      <c r="GZJ101" s="973"/>
      <c r="GZK101" s="973"/>
      <c r="GZL101" s="973"/>
      <c r="GZM101" s="973"/>
      <c r="GZN101" s="973"/>
      <c r="GZO101" s="973"/>
      <c r="GZP101" s="973"/>
      <c r="GZQ101" s="973"/>
      <c r="GZR101" s="973"/>
      <c r="GZS101" s="973"/>
      <c r="GZT101" s="973"/>
      <c r="GZU101" s="973"/>
      <c r="GZV101" s="973"/>
      <c r="GZW101" s="973"/>
      <c r="GZX101" s="973"/>
      <c r="GZY101" s="973"/>
      <c r="GZZ101" s="973"/>
      <c r="HAA101" s="973"/>
      <c r="HAB101" s="973"/>
      <c r="HAC101" s="973"/>
      <c r="HAD101" s="973"/>
      <c r="HAE101" s="973"/>
      <c r="HAF101" s="973"/>
      <c r="HAG101" s="973"/>
      <c r="HAH101" s="973"/>
      <c r="HAI101" s="973"/>
      <c r="HAJ101" s="973"/>
      <c r="HAK101" s="973"/>
      <c r="HAL101" s="973"/>
      <c r="HAM101" s="973"/>
      <c r="HAN101" s="973"/>
      <c r="HAO101" s="973"/>
      <c r="HAP101" s="973"/>
      <c r="HAQ101" s="973"/>
      <c r="HAR101" s="973"/>
      <c r="HAS101" s="973"/>
      <c r="HAT101" s="973"/>
      <c r="HAU101" s="973"/>
      <c r="HAV101" s="973"/>
      <c r="HAW101" s="973"/>
      <c r="HAX101" s="973"/>
      <c r="HAY101" s="973"/>
      <c r="HAZ101" s="973"/>
      <c r="HBA101" s="973"/>
      <c r="HBB101" s="973"/>
      <c r="HBC101" s="973"/>
      <c r="HBD101" s="973"/>
      <c r="HBE101" s="973"/>
      <c r="HBF101" s="973"/>
      <c r="HBG101" s="973"/>
      <c r="HBH101" s="973"/>
      <c r="HBI101" s="973"/>
      <c r="HBJ101" s="973"/>
      <c r="HBK101" s="973"/>
      <c r="HBL101" s="973"/>
      <c r="HBM101" s="973"/>
      <c r="HBN101" s="973"/>
      <c r="HBO101" s="973"/>
      <c r="HBP101" s="973"/>
      <c r="HBQ101" s="973"/>
      <c r="HBR101" s="973"/>
      <c r="HBS101" s="973"/>
      <c r="HBT101" s="973"/>
      <c r="HBU101" s="973"/>
      <c r="HBV101" s="973"/>
      <c r="HBW101" s="973"/>
      <c r="HBX101" s="973"/>
      <c r="HBY101" s="973"/>
      <c r="HBZ101" s="973"/>
      <c r="HCA101" s="973"/>
      <c r="HCB101" s="973"/>
      <c r="HCC101" s="973"/>
      <c r="HCD101" s="973"/>
      <c r="HCE101" s="973"/>
      <c r="HCF101" s="973"/>
      <c r="HCG101" s="973"/>
      <c r="HCH101" s="973"/>
      <c r="HCI101" s="973"/>
      <c r="HCJ101" s="973"/>
      <c r="HCK101" s="973"/>
      <c r="HCL101" s="973"/>
      <c r="HCM101" s="973"/>
      <c r="HCN101" s="973"/>
      <c r="HCO101" s="973"/>
      <c r="HCP101" s="973"/>
      <c r="HCQ101" s="973"/>
      <c r="HCR101" s="973"/>
      <c r="HCS101" s="973"/>
      <c r="HCT101" s="973"/>
      <c r="HCU101" s="973"/>
      <c r="HCV101" s="973"/>
      <c r="HCW101" s="973"/>
      <c r="HCX101" s="973"/>
      <c r="HCY101" s="973"/>
      <c r="HCZ101" s="973"/>
      <c r="HDA101" s="973"/>
      <c r="HDB101" s="973"/>
      <c r="HDC101" s="973"/>
      <c r="HDD101" s="973"/>
      <c r="HDE101" s="973"/>
      <c r="HDF101" s="973"/>
      <c r="HDG101" s="973"/>
      <c r="HDH101" s="973"/>
      <c r="HDI101" s="973"/>
      <c r="HDJ101" s="973"/>
      <c r="HDK101" s="973"/>
      <c r="HDL101" s="973"/>
      <c r="HDM101" s="973"/>
      <c r="HDN101" s="973"/>
      <c r="HDO101" s="973"/>
      <c r="HDP101" s="973"/>
      <c r="HDQ101" s="973"/>
      <c r="HDR101" s="973"/>
      <c r="HDS101" s="973"/>
      <c r="HDT101" s="973"/>
      <c r="HDU101" s="973"/>
      <c r="HDV101" s="973"/>
      <c r="HDW101" s="973"/>
      <c r="HDX101" s="973"/>
      <c r="HDY101" s="973"/>
      <c r="HDZ101" s="973"/>
      <c r="HEA101" s="973"/>
      <c r="HEB101" s="973"/>
      <c r="HEC101" s="973"/>
      <c r="HED101" s="973"/>
      <c r="HEE101" s="973"/>
      <c r="HEF101" s="973"/>
      <c r="HEG101" s="973"/>
      <c r="HEH101" s="973"/>
      <c r="HEI101" s="973"/>
      <c r="HEJ101" s="973"/>
      <c r="HEK101" s="973"/>
      <c r="HEL101" s="973"/>
      <c r="HEM101" s="973"/>
      <c r="HEN101" s="973"/>
      <c r="HEO101" s="973"/>
      <c r="HEP101" s="973"/>
      <c r="HEQ101" s="973"/>
      <c r="HER101" s="973"/>
      <c r="HES101" s="973"/>
      <c r="HET101" s="973"/>
      <c r="HEU101" s="973"/>
      <c r="HEV101" s="973"/>
      <c r="HEW101" s="973"/>
      <c r="HEX101" s="973"/>
      <c r="HEY101" s="973"/>
      <c r="HEZ101" s="973"/>
      <c r="HFA101" s="973"/>
      <c r="HFB101" s="973"/>
      <c r="HFC101" s="973"/>
      <c r="HFD101" s="973"/>
      <c r="HFE101" s="973"/>
      <c r="HFF101" s="973"/>
      <c r="HFG101" s="973"/>
      <c r="HFH101" s="973"/>
      <c r="HFI101" s="973"/>
      <c r="HFJ101" s="973"/>
      <c r="HFK101" s="973"/>
      <c r="HFL101" s="973"/>
      <c r="HFM101" s="973"/>
      <c r="HFN101" s="973"/>
      <c r="HFO101" s="973"/>
      <c r="HFP101" s="973"/>
      <c r="HFQ101" s="973"/>
      <c r="HFR101" s="973"/>
      <c r="HFS101" s="973"/>
      <c r="HFT101" s="973"/>
      <c r="HFU101" s="973"/>
      <c r="HFV101" s="973"/>
      <c r="HFW101" s="973"/>
      <c r="HFX101" s="973"/>
      <c r="HFY101" s="973"/>
      <c r="HFZ101" s="973"/>
      <c r="HGA101" s="973"/>
      <c r="HGB101" s="973"/>
      <c r="HGC101" s="973"/>
      <c r="HGD101" s="973"/>
      <c r="HGE101" s="973"/>
      <c r="HGF101" s="973"/>
      <c r="HGG101" s="973"/>
      <c r="HGH101" s="973"/>
      <c r="HGI101" s="973"/>
      <c r="HGJ101" s="973"/>
      <c r="HGK101" s="973"/>
      <c r="HGL101" s="973"/>
      <c r="HGM101" s="973"/>
      <c r="HGN101" s="973"/>
      <c r="HGO101" s="973"/>
      <c r="HGP101" s="973"/>
      <c r="HGQ101" s="973"/>
      <c r="HGR101" s="973"/>
      <c r="HGS101" s="973"/>
      <c r="HGT101" s="973"/>
      <c r="HGU101" s="973"/>
      <c r="HGV101" s="973"/>
      <c r="HGW101" s="973"/>
      <c r="HGX101" s="973"/>
      <c r="HGY101" s="973"/>
      <c r="HGZ101" s="973"/>
      <c r="HHA101" s="973"/>
      <c r="HHB101" s="973"/>
      <c r="HHC101" s="973"/>
      <c r="HHD101" s="973"/>
      <c r="HHE101" s="973"/>
      <c r="HHF101" s="973"/>
      <c r="HHG101" s="973"/>
      <c r="HHH101" s="973"/>
      <c r="HHI101" s="973"/>
      <c r="HHJ101" s="973"/>
      <c r="HHK101" s="973"/>
      <c r="HHL101" s="973"/>
      <c r="HHM101" s="973"/>
      <c r="HHN101" s="973"/>
      <c r="HHO101" s="973"/>
      <c r="HHP101" s="973"/>
      <c r="HHQ101" s="973"/>
      <c r="HHR101" s="973"/>
      <c r="HHS101" s="973"/>
      <c r="HHT101" s="973"/>
      <c r="HHU101" s="973"/>
      <c r="HHV101" s="973"/>
      <c r="HHW101" s="973"/>
      <c r="HHX101" s="973"/>
      <c r="HHY101" s="973"/>
      <c r="HHZ101" s="973"/>
      <c r="HIA101" s="973"/>
      <c r="HIB101" s="973"/>
      <c r="HIC101" s="973"/>
      <c r="HID101" s="973"/>
      <c r="HIE101" s="973"/>
      <c r="HIF101" s="973"/>
      <c r="HIG101" s="973"/>
      <c r="HIH101" s="973"/>
      <c r="HII101" s="973"/>
      <c r="HIJ101" s="973"/>
      <c r="HIK101" s="973"/>
      <c r="HIL101" s="973"/>
      <c r="HIM101" s="973"/>
      <c r="HIN101" s="973"/>
      <c r="HIO101" s="973"/>
      <c r="HIP101" s="973"/>
      <c r="HIQ101" s="973"/>
      <c r="HIR101" s="973"/>
      <c r="HIS101" s="973"/>
      <c r="HIT101" s="973"/>
      <c r="HIU101" s="973"/>
      <c r="HIV101" s="973"/>
      <c r="HIW101" s="973"/>
      <c r="HIX101" s="973"/>
      <c r="HIY101" s="973"/>
      <c r="HIZ101" s="973"/>
      <c r="HJA101" s="973"/>
      <c r="HJB101" s="973"/>
      <c r="HJC101" s="973"/>
      <c r="HJD101" s="973"/>
      <c r="HJE101" s="973"/>
      <c r="HJF101" s="973"/>
      <c r="HJG101" s="973"/>
      <c r="HJH101" s="973"/>
      <c r="HJI101" s="973"/>
      <c r="HJJ101" s="973"/>
      <c r="HJK101" s="973"/>
      <c r="HJL101" s="973"/>
      <c r="HJM101" s="973"/>
      <c r="HJN101" s="973"/>
      <c r="HJO101" s="973"/>
      <c r="HJP101" s="973"/>
      <c r="HJQ101" s="973"/>
      <c r="HJR101" s="973"/>
      <c r="HJS101" s="973"/>
      <c r="HJT101" s="973"/>
      <c r="HJU101" s="973"/>
      <c r="HJV101" s="973"/>
      <c r="HJW101" s="973"/>
      <c r="HJX101" s="973"/>
      <c r="HJY101" s="973"/>
      <c r="HJZ101" s="973"/>
      <c r="HKA101" s="973"/>
      <c r="HKB101" s="973"/>
      <c r="HKC101" s="973"/>
      <c r="HKD101" s="973"/>
      <c r="HKE101" s="973"/>
      <c r="HKF101" s="973"/>
      <c r="HKG101" s="973"/>
      <c r="HKH101" s="973"/>
      <c r="HKI101" s="973"/>
      <c r="HKJ101" s="973"/>
      <c r="HKK101" s="973"/>
      <c r="HKL101" s="973"/>
      <c r="HKM101" s="973"/>
      <c r="HKN101" s="973"/>
      <c r="HKO101" s="973"/>
      <c r="HKP101" s="973"/>
      <c r="HKQ101" s="973"/>
      <c r="HKR101" s="973"/>
      <c r="HKS101" s="973"/>
      <c r="HKT101" s="973"/>
      <c r="HKU101" s="973"/>
      <c r="HKV101" s="973"/>
      <c r="HKW101" s="973"/>
      <c r="HKX101" s="973"/>
      <c r="HKY101" s="973"/>
      <c r="HKZ101" s="973"/>
      <c r="HLA101" s="973"/>
      <c r="HLB101" s="973"/>
      <c r="HLC101" s="973"/>
      <c r="HLD101" s="973"/>
      <c r="HLE101" s="973"/>
      <c r="HLF101" s="973"/>
      <c r="HLG101" s="973"/>
      <c r="HLH101" s="973"/>
      <c r="HLI101" s="973"/>
      <c r="HLJ101" s="973"/>
      <c r="HLK101" s="973"/>
      <c r="HLL101" s="973"/>
      <c r="HLM101" s="973"/>
      <c r="HLN101" s="973"/>
      <c r="HLO101" s="973"/>
      <c r="HLP101" s="973"/>
      <c r="HLQ101" s="973"/>
      <c r="HLR101" s="973"/>
      <c r="HLS101" s="973"/>
      <c r="HLT101" s="973"/>
      <c r="HLU101" s="973"/>
      <c r="HLV101" s="973"/>
      <c r="HLW101" s="973"/>
      <c r="HLX101" s="973"/>
      <c r="HLY101" s="973"/>
      <c r="HLZ101" s="973"/>
      <c r="HMA101" s="973"/>
      <c r="HMB101" s="973"/>
      <c r="HMC101" s="973"/>
      <c r="HMD101" s="973"/>
      <c r="HME101" s="973"/>
      <c r="HMF101" s="973"/>
      <c r="HMG101" s="973"/>
      <c r="HMH101" s="973"/>
      <c r="HMI101" s="973"/>
      <c r="HMJ101" s="973"/>
      <c r="HMK101" s="973"/>
      <c r="HML101" s="973"/>
      <c r="HMM101" s="973"/>
      <c r="HMN101" s="973"/>
      <c r="HMO101" s="973"/>
      <c r="HMP101" s="973"/>
      <c r="HMQ101" s="973"/>
      <c r="HMR101" s="973"/>
      <c r="HMS101" s="973"/>
      <c r="HMT101" s="973"/>
      <c r="HMU101" s="973"/>
      <c r="HMV101" s="973"/>
      <c r="HMW101" s="973"/>
      <c r="HMX101" s="973"/>
      <c r="HMY101" s="973"/>
      <c r="HMZ101" s="973"/>
      <c r="HNA101" s="973"/>
      <c r="HNB101" s="973"/>
      <c r="HNC101" s="973"/>
      <c r="HND101" s="973"/>
      <c r="HNE101" s="973"/>
      <c r="HNF101" s="973"/>
      <c r="HNG101" s="973"/>
      <c r="HNH101" s="973"/>
      <c r="HNI101" s="973"/>
      <c r="HNJ101" s="973"/>
      <c r="HNK101" s="973"/>
      <c r="HNL101" s="973"/>
      <c r="HNM101" s="973"/>
      <c r="HNN101" s="973"/>
      <c r="HNO101" s="973"/>
      <c r="HNP101" s="973"/>
      <c r="HNQ101" s="973"/>
      <c r="HNR101" s="973"/>
      <c r="HNS101" s="973"/>
      <c r="HNT101" s="973"/>
      <c r="HNU101" s="973"/>
      <c r="HNV101" s="973"/>
      <c r="HNW101" s="973"/>
      <c r="HNX101" s="973"/>
      <c r="HNY101" s="973"/>
      <c r="HNZ101" s="973"/>
      <c r="HOA101" s="973"/>
      <c r="HOB101" s="973"/>
      <c r="HOC101" s="973"/>
      <c r="HOD101" s="973"/>
      <c r="HOE101" s="973"/>
      <c r="HOF101" s="973"/>
      <c r="HOG101" s="973"/>
      <c r="HOH101" s="973"/>
      <c r="HOI101" s="973"/>
      <c r="HOJ101" s="973"/>
      <c r="HOK101" s="973"/>
      <c r="HOL101" s="973"/>
      <c r="HOM101" s="973"/>
      <c r="HON101" s="973"/>
      <c r="HOO101" s="973"/>
      <c r="HOP101" s="973"/>
      <c r="HOQ101" s="973"/>
      <c r="HOR101" s="973"/>
      <c r="HOS101" s="973"/>
      <c r="HOT101" s="973"/>
      <c r="HOU101" s="973"/>
      <c r="HOV101" s="973"/>
      <c r="HOW101" s="973"/>
      <c r="HOX101" s="973"/>
      <c r="HOY101" s="973"/>
      <c r="HOZ101" s="973"/>
      <c r="HPA101" s="973"/>
      <c r="HPB101" s="973"/>
      <c r="HPC101" s="973"/>
      <c r="HPD101" s="973"/>
      <c r="HPE101" s="973"/>
      <c r="HPF101" s="973"/>
      <c r="HPG101" s="973"/>
      <c r="HPH101" s="973"/>
      <c r="HPI101" s="973"/>
      <c r="HPJ101" s="973"/>
      <c r="HPK101" s="973"/>
      <c r="HPL101" s="973"/>
      <c r="HPM101" s="973"/>
      <c r="HPN101" s="973"/>
      <c r="HPO101" s="973"/>
      <c r="HPP101" s="973"/>
      <c r="HPQ101" s="973"/>
      <c r="HPR101" s="973"/>
      <c r="HPS101" s="973"/>
      <c r="HPT101" s="973"/>
      <c r="HPU101" s="973"/>
      <c r="HPV101" s="973"/>
      <c r="HPW101" s="973"/>
      <c r="HPX101" s="973"/>
      <c r="HPY101" s="973"/>
      <c r="HPZ101" s="973"/>
      <c r="HQA101" s="973"/>
      <c r="HQB101" s="973"/>
      <c r="HQC101" s="973"/>
      <c r="HQD101" s="973"/>
      <c r="HQE101" s="973"/>
      <c r="HQF101" s="973"/>
      <c r="HQG101" s="973"/>
      <c r="HQH101" s="973"/>
      <c r="HQI101" s="973"/>
      <c r="HQJ101" s="973"/>
      <c r="HQK101" s="973"/>
      <c r="HQL101" s="973"/>
      <c r="HQM101" s="973"/>
      <c r="HQN101" s="973"/>
      <c r="HQO101" s="973"/>
      <c r="HQP101" s="973"/>
      <c r="HQQ101" s="973"/>
      <c r="HQR101" s="973"/>
      <c r="HQS101" s="973"/>
      <c r="HQT101" s="973"/>
      <c r="HQU101" s="973"/>
      <c r="HQV101" s="973"/>
      <c r="HQW101" s="973"/>
      <c r="HQX101" s="973"/>
      <c r="HQY101" s="973"/>
      <c r="HQZ101" s="973"/>
      <c r="HRA101" s="973"/>
      <c r="HRB101" s="973"/>
      <c r="HRC101" s="973"/>
      <c r="HRD101" s="973"/>
      <c r="HRE101" s="973"/>
      <c r="HRF101" s="973"/>
      <c r="HRG101" s="973"/>
      <c r="HRH101" s="973"/>
      <c r="HRI101" s="973"/>
      <c r="HRJ101" s="973"/>
      <c r="HRK101" s="973"/>
      <c r="HRL101" s="973"/>
      <c r="HRM101" s="973"/>
      <c r="HRN101" s="973"/>
      <c r="HRO101" s="973"/>
      <c r="HRP101" s="973"/>
      <c r="HRQ101" s="973"/>
      <c r="HRR101" s="973"/>
      <c r="HRS101" s="973"/>
      <c r="HRT101" s="973"/>
      <c r="HRU101" s="973"/>
      <c r="HRV101" s="973"/>
      <c r="HRW101" s="973"/>
      <c r="HRX101" s="973"/>
      <c r="HRY101" s="973"/>
      <c r="HRZ101" s="973"/>
      <c r="HSA101" s="973"/>
      <c r="HSB101" s="973"/>
      <c r="HSC101" s="973"/>
      <c r="HSD101" s="973"/>
      <c r="HSE101" s="973"/>
      <c r="HSF101" s="973"/>
      <c r="HSG101" s="973"/>
      <c r="HSH101" s="973"/>
      <c r="HSI101" s="973"/>
      <c r="HSJ101" s="973"/>
      <c r="HSK101" s="973"/>
      <c r="HSL101" s="973"/>
      <c r="HSM101" s="973"/>
      <c r="HSN101" s="973"/>
      <c r="HSO101" s="973"/>
      <c r="HSP101" s="973"/>
      <c r="HSQ101" s="973"/>
      <c r="HSR101" s="973"/>
      <c r="HSS101" s="973"/>
      <c r="HST101" s="973"/>
      <c r="HSU101" s="973"/>
      <c r="HSV101" s="973"/>
      <c r="HSW101" s="973"/>
      <c r="HSX101" s="973"/>
      <c r="HSY101" s="973"/>
      <c r="HSZ101" s="973"/>
      <c r="HTA101" s="973"/>
      <c r="HTB101" s="973"/>
      <c r="HTC101" s="973"/>
      <c r="HTD101" s="973"/>
      <c r="HTE101" s="973"/>
      <c r="HTF101" s="973"/>
      <c r="HTG101" s="973"/>
      <c r="HTH101" s="973"/>
      <c r="HTI101" s="973"/>
      <c r="HTJ101" s="973"/>
      <c r="HTK101" s="973"/>
      <c r="HTL101" s="973"/>
      <c r="HTM101" s="973"/>
      <c r="HTN101" s="973"/>
      <c r="HTO101" s="973"/>
      <c r="HTP101" s="973"/>
      <c r="HTQ101" s="973"/>
      <c r="HTR101" s="973"/>
      <c r="HTS101" s="973"/>
      <c r="HTT101" s="973"/>
      <c r="HTU101" s="973"/>
      <c r="HTV101" s="973"/>
      <c r="HTW101" s="973"/>
      <c r="HTX101" s="973"/>
      <c r="HTY101" s="973"/>
      <c r="HTZ101" s="973"/>
      <c r="HUA101" s="973"/>
      <c r="HUB101" s="973"/>
      <c r="HUC101" s="973"/>
      <c r="HUD101" s="973"/>
      <c r="HUE101" s="973"/>
      <c r="HUF101" s="973"/>
      <c r="HUG101" s="973"/>
      <c r="HUH101" s="973"/>
      <c r="HUI101" s="973"/>
      <c r="HUJ101" s="973"/>
      <c r="HUK101" s="973"/>
      <c r="HUL101" s="973"/>
      <c r="HUM101" s="973"/>
      <c r="HUN101" s="973"/>
      <c r="HUO101" s="973"/>
      <c r="HUP101" s="973"/>
      <c r="HUQ101" s="973"/>
      <c r="HUR101" s="973"/>
      <c r="HUS101" s="973"/>
      <c r="HUT101" s="973"/>
      <c r="HUU101" s="973"/>
      <c r="HUV101" s="973"/>
      <c r="HUW101" s="973"/>
      <c r="HUX101" s="973"/>
      <c r="HUY101" s="973"/>
      <c r="HUZ101" s="973"/>
      <c r="HVA101" s="973"/>
      <c r="HVB101" s="973"/>
      <c r="HVC101" s="973"/>
      <c r="HVD101" s="973"/>
      <c r="HVE101" s="973"/>
      <c r="HVF101" s="973"/>
      <c r="HVG101" s="973"/>
      <c r="HVH101" s="973"/>
      <c r="HVI101" s="973"/>
      <c r="HVJ101" s="973"/>
      <c r="HVK101" s="973"/>
      <c r="HVL101" s="973"/>
      <c r="HVM101" s="973"/>
      <c r="HVN101" s="973"/>
      <c r="HVO101" s="973"/>
      <c r="HVP101" s="973"/>
      <c r="HVQ101" s="973"/>
      <c r="HVR101" s="973"/>
      <c r="HVS101" s="973"/>
      <c r="HVT101" s="973"/>
      <c r="HVU101" s="973"/>
      <c r="HVV101" s="973"/>
      <c r="HVW101" s="973"/>
      <c r="HVX101" s="973"/>
      <c r="HVY101" s="973"/>
      <c r="HVZ101" s="973"/>
      <c r="HWA101" s="973"/>
      <c r="HWB101" s="973"/>
      <c r="HWC101" s="973"/>
      <c r="HWD101" s="973"/>
      <c r="HWE101" s="973"/>
      <c r="HWF101" s="973"/>
      <c r="HWG101" s="973"/>
      <c r="HWH101" s="973"/>
      <c r="HWI101" s="973"/>
      <c r="HWJ101" s="973"/>
      <c r="HWK101" s="973"/>
      <c r="HWL101" s="973"/>
      <c r="HWM101" s="973"/>
      <c r="HWN101" s="973"/>
      <c r="HWO101" s="973"/>
      <c r="HWP101" s="973"/>
      <c r="HWQ101" s="973"/>
      <c r="HWR101" s="973"/>
      <c r="HWS101" s="973"/>
      <c r="HWT101" s="973"/>
      <c r="HWU101" s="973"/>
      <c r="HWV101" s="973"/>
      <c r="HWW101" s="973"/>
      <c r="HWX101" s="973"/>
      <c r="HWY101" s="973"/>
      <c r="HWZ101" s="973"/>
      <c r="HXA101" s="973"/>
      <c r="HXB101" s="973"/>
      <c r="HXC101" s="973"/>
      <c r="HXD101" s="973"/>
      <c r="HXE101" s="973"/>
      <c r="HXF101" s="973"/>
      <c r="HXG101" s="973"/>
      <c r="HXH101" s="973"/>
      <c r="HXI101" s="973"/>
      <c r="HXJ101" s="973"/>
      <c r="HXK101" s="973"/>
      <c r="HXL101" s="973"/>
      <c r="HXM101" s="973"/>
      <c r="HXN101" s="973"/>
      <c r="HXO101" s="973"/>
      <c r="HXP101" s="973"/>
      <c r="HXQ101" s="973"/>
      <c r="HXR101" s="973"/>
      <c r="HXS101" s="973"/>
      <c r="HXT101" s="973"/>
      <c r="HXU101" s="973"/>
      <c r="HXV101" s="973"/>
      <c r="HXW101" s="973"/>
      <c r="HXX101" s="973"/>
      <c r="HXY101" s="973"/>
      <c r="HXZ101" s="973"/>
      <c r="HYA101" s="973"/>
      <c r="HYB101" s="973"/>
      <c r="HYC101" s="973"/>
      <c r="HYD101" s="973"/>
      <c r="HYE101" s="973"/>
      <c r="HYF101" s="973"/>
      <c r="HYG101" s="973"/>
      <c r="HYH101" s="973"/>
      <c r="HYI101" s="973"/>
      <c r="HYJ101" s="973"/>
      <c r="HYK101" s="973"/>
      <c r="HYL101" s="973"/>
      <c r="HYM101" s="973"/>
      <c r="HYN101" s="973"/>
      <c r="HYO101" s="973"/>
      <c r="HYP101" s="973"/>
      <c r="HYQ101" s="973"/>
      <c r="HYR101" s="973"/>
      <c r="HYS101" s="973"/>
      <c r="HYT101" s="973"/>
      <c r="HYU101" s="973"/>
      <c r="HYV101" s="973"/>
      <c r="HYW101" s="973"/>
      <c r="HYX101" s="973"/>
      <c r="HYY101" s="973"/>
      <c r="HYZ101" s="973"/>
      <c r="HZA101" s="973"/>
      <c r="HZB101" s="973"/>
      <c r="HZC101" s="973"/>
      <c r="HZD101" s="973"/>
      <c r="HZE101" s="973"/>
      <c r="HZF101" s="973"/>
      <c r="HZG101" s="973"/>
      <c r="HZH101" s="973"/>
      <c r="HZI101" s="973"/>
      <c r="HZJ101" s="973"/>
      <c r="HZK101" s="973"/>
      <c r="HZL101" s="973"/>
      <c r="HZM101" s="973"/>
      <c r="HZN101" s="973"/>
      <c r="HZO101" s="973"/>
      <c r="HZP101" s="973"/>
      <c r="HZQ101" s="973"/>
      <c r="HZR101" s="973"/>
      <c r="HZS101" s="973"/>
      <c r="HZT101" s="973"/>
      <c r="HZU101" s="973"/>
      <c r="HZV101" s="973"/>
      <c r="HZW101" s="973"/>
      <c r="HZX101" s="973"/>
      <c r="HZY101" s="973"/>
      <c r="HZZ101" s="973"/>
      <c r="IAA101" s="973"/>
      <c r="IAB101" s="973"/>
      <c r="IAC101" s="973"/>
      <c r="IAD101" s="973"/>
      <c r="IAE101" s="973"/>
      <c r="IAF101" s="973"/>
      <c r="IAG101" s="973"/>
      <c r="IAH101" s="973"/>
      <c r="IAI101" s="973"/>
      <c r="IAJ101" s="973"/>
      <c r="IAK101" s="973"/>
      <c r="IAL101" s="973"/>
      <c r="IAM101" s="973"/>
      <c r="IAN101" s="973"/>
      <c r="IAO101" s="973"/>
      <c r="IAP101" s="973"/>
      <c r="IAQ101" s="973"/>
      <c r="IAR101" s="973"/>
      <c r="IAS101" s="973"/>
      <c r="IAT101" s="973"/>
      <c r="IAU101" s="973"/>
      <c r="IAV101" s="973"/>
      <c r="IAW101" s="973"/>
      <c r="IAX101" s="973"/>
      <c r="IAY101" s="973"/>
      <c r="IAZ101" s="973"/>
      <c r="IBA101" s="973"/>
      <c r="IBB101" s="973"/>
      <c r="IBC101" s="973"/>
      <c r="IBD101" s="973"/>
      <c r="IBE101" s="973"/>
      <c r="IBF101" s="973"/>
      <c r="IBG101" s="973"/>
      <c r="IBH101" s="973"/>
      <c r="IBI101" s="973"/>
      <c r="IBJ101" s="973"/>
      <c r="IBK101" s="973"/>
      <c r="IBL101" s="973"/>
      <c r="IBM101" s="973"/>
      <c r="IBN101" s="973"/>
      <c r="IBO101" s="973"/>
      <c r="IBP101" s="973"/>
      <c r="IBQ101" s="973"/>
      <c r="IBR101" s="973"/>
      <c r="IBS101" s="973"/>
      <c r="IBT101" s="973"/>
      <c r="IBU101" s="973"/>
      <c r="IBV101" s="973"/>
      <c r="IBW101" s="973"/>
      <c r="IBX101" s="973"/>
      <c r="IBY101" s="973"/>
      <c r="IBZ101" s="973"/>
      <c r="ICA101" s="973"/>
      <c r="ICB101" s="973"/>
      <c r="ICC101" s="973"/>
      <c r="ICD101" s="973"/>
      <c r="ICE101" s="973"/>
      <c r="ICF101" s="973"/>
      <c r="ICG101" s="973"/>
      <c r="ICH101" s="973"/>
      <c r="ICI101" s="973"/>
      <c r="ICJ101" s="973"/>
      <c r="ICK101" s="973"/>
      <c r="ICL101" s="973"/>
      <c r="ICM101" s="973"/>
      <c r="ICN101" s="973"/>
      <c r="ICO101" s="973"/>
      <c r="ICP101" s="973"/>
      <c r="ICQ101" s="973"/>
      <c r="ICR101" s="973"/>
      <c r="ICS101" s="973"/>
      <c r="ICT101" s="973"/>
      <c r="ICU101" s="973"/>
      <c r="ICV101" s="973"/>
      <c r="ICW101" s="973"/>
      <c r="ICX101" s="973"/>
      <c r="ICY101" s="973"/>
      <c r="ICZ101" s="973"/>
      <c r="IDA101" s="973"/>
      <c r="IDB101" s="973"/>
      <c r="IDC101" s="973"/>
      <c r="IDD101" s="973"/>
      <c r="IDE101" s="973"/>
      <c r="IDF101" s="973"/>
      <c r="IDG101" s="973"/>
      <c r="IDH101" s="973"/>
      <c r="IDI101" s="973"/>
      <c r="IDJ101" s="973"/>
      <c r="IDK101" s="973"/>
      <c r="IDL101" s="973"/>
      <c r="IDM101" s="973"/>
      <c r="IDN101" s="973"/>
      <c r="IDO101" s="973"/>
      <c r="IDP101" s="973"/>
      <c r="IDQ101" s="973"/>
      <c r="IDR101" s="973"/>
      <c r="IDS101" s="973"/>
      <c r="IDT101" s="973"/>
      <c r="IDU101" s="973"/>
      <c r="IDV101" s="973"/>
      <c r="IDW101" s="973"/>
      <c r="IDX101" s="973"/>
      <c r="IDY101" s="973"/>
      <c r="IDZ101" s="973"/>
      <c r="IEA101" s="973"/>
      <c r="IEB101" s="973"/>
      <c r="IEC101" s="973"/>
      <c r="IED101" s="973"/>
      <c r="IEE101" s="973"/>
      <c r="IEF101" s="973"/>
      <c r="IEG101" s="973"/>
      <c r="IEH101" s="973"/>
      <c r="IEI101" s="973"/>
      <c r="IEJ101" s="973"/>
      <c r="IEK101" s="973"/>
      <c r="IEL101" s="973"/>
      <c r="IEM101" s="973"/>
      <c r="IEN101" s="973"/>
      <c r="IEO101" s="973"/>
      <c r="IEP101" s="973"/>
      <c r="IEQ101" s="973"/>
      <c r="IER101" s="973"/>
      <c r="IES101" s="973"/>
      <c r="IET101" s="973"/>
      <c r="IEU101" s="973"/>
      <c r="IEV101" s="973"/>
      <c r="IEW101" s="973"/>
      <c r="IEX101" s="973"/>
      <c r="IEY101" s="973"/>
      <c r="IEZ101" s="973"/>
      <c r="IFA101" s="973"/>
      <c r="IFB101" s="973"/>
      <c r="IFC101" s="973"/>
      <c r="IFD101" s="973"/>
      <c r="IFE101" s="973"/>
      <c r="IFF101" s="973"/>
      <c r="IFG101" s="973"/>
      <c r="IFH101" s="973"/>
      <c r="IFI101" s="973"/>
      <c r="IFJ101" s="973"/>
      <c r="IFK101" s="973"/>
      <c r="IFL101" s="973"/>
      <c r="IFM101" s="973"/>
      <c r="IFN101" s="973"/>
      <c r="IFO101" s="973"/>
      <c r="IFP101" s="973"/>
      <c r="IFQ101" s="973"/>
      <c r="IFR101" s="973"/>
      <c r="IFS101" s="973"/>
      <c r="IFT101" s="973"/>
      <c r="IFU101" s="973"/>
      <c r="IFV101" s="973"/>
      <c r="IFW101" s="973"/>
      <c r="IFX101" s="973"/>
      <c r="IFY101" s="973"/>
      <c r="IFZ101" s="973"/>
      <c r="IGA101" s="973"/>
      <c r="IGB101" s="973"/>
      <c r="IGC101" s="973"/>
      <c r="IGD101" s="973"/>
      <c r="IGE101" s="973"/>
      <c r="IGF101" s="973"/>
      <c r="IGG101" s="973"/>
      <c r="IGH101" s="973"/>
      <c r="IGI101" s="973"/>
      <c r="IGJ101" s="973"/>
      <c r="IGK101" s="973"/>
      <c r="IGL101" s="973"/>
      <c r="IGM101" s="973"/>
      <c r="IGN101" s="973"/>
      <c r="IGO101" s="973"/>
      <c r="IGP101" s="973"/>
      <c r="IGQ101" s="973"/>
      <c r="IGR101" s="973"/>
      <c r="IGS101" s="973"/>
      <c r="IGT101" s="973"/>
      <c r="IGU101" s="973"/>
      <c r="IGV101" s="973"/>
      <c r="IGW101" s="973"/>
      <c r="IGX101" s="973"/>
      <c r="IGY101" s="973"/>
      <c r="IGZ101" s="973"/>
      <c r="IHA101" s="973"/>
      <c r="IHB101" s="973"/>
      <c r="IHC101" s="973"/>
      <c r="IHD101" s="973"/>
      <c r="IHE101" s="973"/>
      <c r="IHF101" s="973"/>
      <c r="IHG101" s="973"/>
      <c r="IHH101" s="973"/>
      <c r="IHI101" s="973"/>
      <c r="IHJ101" s="973"/>
      <c r="IHK101" s="973"/>
      <c r="IHL101" s="973"/>
      <c r="IHM101" s="973"/>
      <c r="IHN101" s="973"/>
      <c r="IHO101" s="973"/>
      <c r="IHP101" s="973"/>
      <c r="IHQ101" s="973"/>
      <c r="IHR101" s="973"/>
      <c r="IHS101" s="973"/>
      <c r="IHT101" s="973"/>
      <c r="IHU101" s="973"/>
      <c r="IHV101" s="973"/>
      <c r="IHW101" s="973"/>
      <c r="IHX101" s="973"/>
      <c r="IHY101" s="973"/>
      <c r="IHZ101" s="973"/>
      <c r="IIA101" s="973"/>
      <c r="IIB101" s="973"/>
      <c r="IIC101" s="973"/>
      <c r="IID101" s="973"/>
      <c r="IIE101" s="973"/>
      <c r="IIF101" s="973"/>
      <c r="IIG101" s="973"/>
      <c r="IIH101" s="973"/>
      <c r="III101" s="973"/>
      <c r="IIJ101" s="973"/>
      <c r="IIK101" s="973"/>
      <c r="IIL101" s="973"/>
      <c r="IIM101" s="973"/>
      <c r="IIN101" s="973"/>
      <c r="IIO101" s="973"/>
      <c r="IIP101" s="973"/>
      <c r="IIQ101" s="973"/>
      <c r="IIR101" s="973"/>
      <c r="IIS101" s="973"/>
      <c r="IIT101" s="973"/>
      <c r="IIU101" s="973"/>
      <c r="IIV101" s="973"/>
      <c r="IIW101" s="973"/>
      <c r="IIX101" s="973"/>
      <c r="IIY101" s="973"/>
      <c r="IIZ101" s="973"/>
      <c r="IJA101" s="973"/>
      <c r="IJB101" s="973"/>
      <c r="IJC101" s="973"/>
      <c r="IJD101" s="973"/>
      <c r="IJE101" s="973"/>
      <c r="IJF101" s="973"/>
      <c r="IJG101" s="973"/>
      <c r="IJH101" s="973"/>
      <c r="IJI101" s="973"/>
      <c r="IJJ101" s="973"/>
      <c r="IJK101" s="973"/>
      <c r="IJL101" s="973"/>
      <c r="IJM101" s="973"/>
      <c r="IJN101" s="973"/>
      <c r="IJO101" s="973"/>
      <c r="IJP101" s="973"/>
      <c r="IJQ101" s="973"/>
      <c r="IJR101" s="973"/>
      <c r="IJS101" s="973"/>
      <c r="IJT101" s="973"/>
      <c r="IJU101" s="973"/>
      <c r="IJV101" s="973"/>
      <c r="IJW101" s="973"/>
      <c r="IJX101" s="973"/>
      <c r="IJY101" s="973"/>
      <c r="IJZ101" s="973"/>
      <c r="IKA101" s="973"/>
      <c r="IKB101" s="973"/>
      <c r="IKC101" s="973"/>
      <c r="IKD101" s="973"/>
      <c r="IKE101" s="973"/>
      <c r="IKF101" s="973"/>
      <c r="IKG101" s="973"/>
      <c r="IKH101" s="973"/>
      <c r="IKI101" s="973"/>
      <c r="IKJ101" s="973"/>
      <c r="IKK101" s="973"/>
      <c r="IKL101" s="973"/>
      <c r="IKM101" s="973"/>
      <c r="IKN101" s="973"/>
      <c r="IKO101" s="973"/>
      <c r="IKP101" s="973"/>
      <c r="IKQ101" s="973"/>
      <c r="IKR101" s="973"/>
      <c r="IKS101" s="973"/>
      <c r="IKT101" s="973"/>
      <c r="IKU101" s="973"/>
      <c r="IKV101" s="973"/>
      <c r="IKW101" s="973"/>
      <c r="IKX101" s="973"/>
      <c r="IKY101" s="973"/>
      <c r="IKZ101" s="973"/>
      <c r="ILA101" s="973"/>
      <c r="ILB101" s="973"/>
      <c r="ILC101" s="973"/>
      <c r="ILD101" s="973"/>
      <c r="ILE101" s="973"/>
      <c r="ILF101" s="973"/>
      <c r="ILG101" s="973"/>
      <c r="ILH101" s="973"/>
      <c r="ILI101" s="973"/>
      <c r="ILJ101" s="973"/>
      <c r="ILK101" s="973"/>
      <c r="ILL101" s="973"/>
      <c r="ILM101" s="973"/>
      <c r="ILN101" s="973"/>
      <c r="ILO101" s="973"/>
      <c r="ILP101" s="973"/>
      <c r="ILQ101" s="973"/>
      <c r="ILR101" s="973"/>
      <c r="ILS101" s="973"/>
      <c r="ILT101" s="973"/>
      <c r="ILU101" s="973"/>
      <c r="ILV101" s="973"/>
      <c r="ILW101" s="973"/>
      <c r="ILX101" s="973"/>
      <c r="ILY101" s="973"/>
      <c r="ILZ101" s="973"/>
      <c r="IMA101" s="973"/>
      <c r="IMB101" s="973"/>
      <c r="IMC101" s="973"/>
      <c r="IMD101" s="973"/>
      <c r="IME101" s="973"/>
      <c r="IMF101" s="973"/>
      <c r="IMG101" s="973"/>
      <c r="IMH101" s="973"/>
      <c r="IMI101" s="973"/>
      <c r="IMJ101" s="973"/>
      <c r="IMK101" s="973"/>
      <c r="IML101" s="973"/>
      <c r="IMM101" s="973"/>
      <c r="IMN101" s="973"/>
      <c r="IMO101" s="973"/>
      <c r="IMP101" s="973"/>
      <c r="IMQ101" s="973"/>
      <c r="IMR101" s="973"/>
      <c r="IMS101" s="973"/>
      <c r="IMT101" s="973"/>
      <c r="IMU101" s="973"/>
      <c r="IMV101" s="973"/>
      <c r="IMW101" s="973"/>
      <c r="IMX101" s="973"/>
      <c r="IMY101" s="973"/>
      <c r="IMZ101" s="973"/>
      <c r="INA101" s="973"/>
      <c r="INB101" s="973"/>
      <c r="INC101" s="973"/>
      <c r="IND101" s="973"/>
      <c r="INE101" s="973"/>
      <c r="INF101" s="973"/>
      <c r="ING101" s="973"/>
      <c r="INH101" s="973"/>
      <c r="INI101" s="973"/>
      <c r="INJ101" s="973"/>
      <c r="INK101" s="973"/>
      <c r="INL101" s="973"/>
      <c r="INM101" s="973"/>
      <c r="INN101" s="973"/>
      <c r="INO101" s="973"/>
      <c r="INP101" s="973"/>
      <c r="INQ101" s="973"/>
      <c r="INR101" s="973"/>
      <c r="INS101" s="973"/>
      <c r="INT101" s="973"/>
      <c r="INU101" s="973"/>
      <c r="INV101" s="973"/>
      <c r="INW101" s="973"/>
      <c r="INX101" s="973"/>
      <c r="INY101" s="973"/>
      <c r="INZ101" s="973"/>
      <c r="IOA101" s="973"/>
      <c r="IOB101" s="973"/>
      <c r="IOC101" s="973"/>
      <c r="IOD101" s="973"/>
      <c r="IOE101" s="973"/>
      <c r="IOF101" s="973"/>
      <c r="IOG101" s="973"/>
      <c r="IOH101" s="973"/>
      <c r="IOI101" s="973"/>
      <c r="IOJ101" s="973"/>
      <c r="IOK101" s="973"/>
      <c r="IOL101" s="973"/>
      <c r="IOM101" s="973"/>
      <c r="ION101" s="973"/>
      <c r="IOO101" s="973"/>
      <c r="IOP101" s="973"/>
      <c r="IOQ101" s="973"/>
      <c r="IOR101" s="973"/>
      <c r="IOS101" s="973"/>
      <c r="IOT101" s="973"/>
      <c r="IOU101" s="973"/>
      <c r="IOV101" s="973"/>
      <c r="IOW101" s="973"/>
      <c r="IOX101" s="973"/>
      <c r="IOY101" s="973"/>
      <c r="IOZ101" s="973"/>
      <c r="IPA101" s="973"/>
      <c r="IPB101" s="973"/>
      <c r="IPC101" s="973"/>
      <c r="IPD101" s="973"/>
      <c r="IPE101" s="973"/>
      <c r="IPF101" s="973"/>
      <c r="IPG101" s="973"/>
      <c r="IPH101" s="973"/>
      <c r="IPI101" s="973"/>
      <c r="IPJ101" s="973"/>
      <c r="IPK101" s="973"/>
      <c r="IPL101" s="973"/>
      <c r="IPM101" s="973"/>
      <c r="IPN101" s="973"/>
      <c r="IPO101" s="973"/>
      <c r="IPP101" s="973"/>
      <c r="IPQ101" s="973"/>
      <c r="IPR101" s="973"/>
      <c r="IPS101" s="973"/>
      <c r="IPT101" s="973"/>
      <c r="IPU101" s="973"/>
      <c r="IPV101" s="973"/>
      <c r="IPW101" s="973"/>
      <c r="IPX101" s="973"/>
      <c r="IPY101" s="973"/>
      <c r="IPZ101" s="973"/>
      <c r="IQA101" s="973"/>
      <c r="IQB101" s="973"/>
      <c r="IQC101" s="973"/>
      <c r="IQD101" s="973"/>
      <c r="IQE101" s="973"/>
      <c r="IQF101" s="973"/>
      <c r="IQG101" s="973"/>
      <c r="IQH101" s="973"/>
      <c r="IQI101" s="973"/>
      <c r="IQJ101" s="973"/>
      <c r="IQK101" s="973"/>
      <c r="IQL101" s="973"/>
      <c r="IQM101" s="973"/>
      <c r="IQN101" s="973"/>
      <c r="IQO101" s="973"/>
      <c r="IQP101" s="973"/>
      <c r="IQQ101" s="973"/>
      <c r="IQR101" s="973"/>
      <c r="IQS101" s="973"/>
      <c r="IQT101" s="973"/>
      <c r="IQU101" s="973"/>
      <c r="IQV101" s="973"/>
      <c r="IQW101" s="973"/>
      <c r="IQX101" s="973"/>
      <c r="IQY101" s="973"/>
      <c r="IQZ101" s="973"/>
      <c r="IRA101" s="973"/>
      <c r="IRB101" s="973"/>
      <c r="IRC101" s="973"/>
      <c r="IRD101" s="973"/>
      <c r="IRE101" s="973"/>
      <c r="IRF101" s="973"/>
      <c r="IRG101" s="973"/>
      <c r="IRH101" s="973"/>
      <c r="IRI101" s="973"/>
      <c r="IRJ101" s="973"/>
      <c r="IRK101" s="973"/>
      <c r="IRL101" s="973"/>
      <c r="IRM101" s="973"/>
      <c r="IRN101" s="973"/>
      <c r="IRO101" s="973"/>
      <c r="IRP101" s="973"/>
      <c r="IRQ101" s="973"/>
      <c r="IRR101" s="973"/>
      <c r="IRS101" s="973"/>
      <c r="IRT101" s="973"/>
      <c r="IRU101" s="973"/>
      <c r="IRV101" s="973"/>
      <c r="IRW101" s="973"/>
      <c r="IRX101" s="973"/>
      <c r="IRY101" s="973"/>
      <c r="IRZ101" s="973"/>
      <c r="ISA101" s="973"/>
      <c r="ISB101" s="973"/>
      <c r="ISC101" s="973"/>
      <c r="ISD101" s="973"/>
      <c r="ISE101" s="973"/>
      <c r="ISF101" s="973"/>
      <c r="ISG101" s="973"/>
      <c r="ISH101" s="973"/>
      <c r="ISI101" s="973"/>
      <c r="ISJ101" s="973"/>
      <c r="ISK101" s="973"/>
      <c r="ISL101" s="973"/>
      <c r="ISM101" s="973"/>
      <c r="ISN101" s="973"/>
      <c r="ISO101" s="973"/>
      <c r="ISP101" s="973"/>
      <c r="ISQ101" s="973"/>
      <c r="ISR101" s="973"/>
      <c r="ISS101" s="973"/>
      <c r="IST101" s="973"/>
      <c r="ISU101" s="973"/>
      <c r="ISV101" s="973"/>
      <c r="ISW101" s="973"/>
      <c r="ISX101" s="973"/>
      <c r="ISY101" s="973"/>
      <c r="ISZ101" s="973"/>
      <c r="ITA101" s="973"/>
      <c r="ITB101" s="973"/>
      <c r="ITC101" s="973"/>
      <c r="ITD101" s="973"/>
      <c r="ITE101" s="973"/>
      <c r="ITF101" s="973"/>
      <c r="ITG101" s="973"/>
      <c r="ITH101" s="973"/>
      <c r="ITI101" s="973"/>
      <c r="ITJ101" s="973"/>
      <c r="ITK101" s="973"/>
      <c r="ITL101" s="973"/>
      <c r="ITM101" s="973"/>
      <c r="ITN101" s="973"/>
      <c r="ITO101" s="973"/>
      <c r="ITP101" s="973"/>
      <c r="ITQ101" s="973"/>
      <c r="ITR101" s="973"/>
      <c r="ITS101" s="973"/>
      <c r="ITT101" s="973"/>
      <c r="ITU101" s="973"/>
      <c r="ITV101" s="973"/>
      <c r="ITW101" s="973"/>
      <c r="ITX101" s="973"/>
      <c r="ITY101" s="973"/>
      <c r="ITZ101" s="973"/>
      <c r="IUA101" s="973"/>
      <c r="IUB101" s="973"/>
      <c r="IUC101" s="973"/>
      <c r="IUD101" s="973"/>
      <c r="IUE101" s="973"/>
      <c r="IUF101" s="973"/>
      <c r="IUG101" s="973"/>
      <c r="IUH101" s="973"/>
      <c r="IUI101" s="973"/>
      <c r="IUJ101" s="973"/>
      <c r="IUK101" s="973"/>
      <c r="IUL101" s="973"/>
      <c r="IUM101" s="973"/>
      <c r="IUN101" s="973"/>
      <c r="IUO101" s="973"/>
      <c r="IUP101" s="973"/>
      <c r="IUQ101" s="973"/>
      <c r="IUR101" s="973"/>
      <c r="IUS101" s="973"/>
      <c r="IUT101" s="973"/>
      <c r="IUU101" s="973"/>
      <c r="IUV101" s="973"/>
      <c r="IUW101" s="973"/>
      <c r="IUX101" s="973"/>
      <c r="IUY101" s="973"/>
      <c r="IUZ101" s="973"/>
      <c r="IVA101" s="973"/>
      <c r="IVB101" s="973"/>
      <c r="IVC101" s="973"/>
      <c r="IVD101" s="973"/>
      <c r="IVE101" s="973"/>
      <c r="IVF101" s="973"/>
      <c r="IVG101" s="973"/>
      <c r="IVH101" s="973"/>
      <c r="IVI101" s="973"/>
      <c r="IVJ101" s="973"/>
      <c r="IVK101" s="973"/>
      <c r="IVL101" s="973"/>
      <c r="IVM101" s="973"/>
      <c r="IVN101" s="973"/>
      <c r="IVO101" s="973"/>
      <c r="IVP101" s="973"/>
      <c r="IVQ101" s="973"/>
      <c r="IVR101" s="973"/>
      <c r="IVS101" s="973"/>
      <c r="IVT101" s="973"/>
      <c r="IVU101" s="973"/>
      <c r="IVV101" s="973"/>
      <c r="IVW101" s="973"/>
      <c r="IVX101" s="973"/>
      <c r="IVY101" s="973"/>
      <c r="IVZ101" s="973"/>
      <c r="IWA101" s="973"/>
      <c r="IWB101" s="973"/>
      <c r="IWC101" s="973"/>
      <c r="IWD101" s="973"/>
      <c r="IWE101" s="973"/>
      <c r="IWF101" s="973"/>
      <c r="IWG101" s="973"/>
      <c r="IWH101" s="973"/>
      <c r="IWI101" s="973"/>
      <c r="IWJ101" s="973"/>
      <c r="IWK101" s="973"/>
      <c r="IWL101" s="973"/>
      <c r="IWM101" s="973"/>
      <c r="IWN101" s="973"/>
      <c r="IWO101" s="973"/>
      <c r="IWP101" s="973"/>
      <c r="IWQ101" s="973"/>
      <c r="IWR101" s="973"/>
      <c r="IWS101" s="973"/>
      <c r="IWT101" s="973"/>
      <c r="IWU101" s="973"/>
      <c r="IWV101" s="973"/>
      <c r="IWW101" s="973"/>
      <c r="IWX101" s="973"/>
      <c r="IWY101" s="973"/>
      <c r="IWZ101" s="973"/>
      <c r="IXA101" s="973"/>
      <c r="IXB101" s="973"/>
      <c r="IXC101" s="973"/>
      <c r="IXD101" s="973"/>
      <c r="IXE101" s="973"/>
      <c r="IXF101" s="973"/>
      <c r="IXG101" s="973"/>
      <c r="IXH101" s="973"/>
      <c r="IXI101" s="973"/>
      <c r="IXJ101" s="973"/>
      <c r="IXK101" s="973"/>
      <c r="IXL101" s="973"/>
      <c r="IXM101" s="973"/>
      <c r="IXN101" s="973"/>
      <c r="IXO101" s="973"/>
      <c r="IXP101" s="973"/>
      <c r="IXQ101" s="973"/>
      <c r="IXR101" s="973"/>
      <c r="IXS101" s="973"/>
      <c r="IXT101" s="973"/>
      <c r="IXU101" s="973"/>
      <c r="IXV101" s="973"/>
      <c r="IXW101" s="973"/>
      <c r="IXX101" s="973"/>
      <c r="IXY101" s="973"/>
      <c r="IXZ101" s="973"/>
      <c r="IYA101" s="973"/>
      <c r="IYB101" s="973"/>
      <c r="IYC101" s="973"/>
      <c r="IYD101" s="973"/>
      <c r="IYE101" s="973"/>
      <c r="IYF101" s="973"/>
      <c r="IYG101" s="973"/>
      <c r="IYH101" s="973"/>
      <c r="IYI101" s="973"/>
      <c r="IYJ101" s="973"/>
      <c r="IYK101" s="973"/>
      <c r="IYL101" s="973"/>
      <c r="IYM101" s="973"/>
      <c r="IYN101" s="973"/>
      <c r="IYO101" s="973"/>
      <c r="IYP101" s="973"/>
      <c r="IYQ101" s="973"/>
      <c r="IYR101" s="973"/>
      <c r="IYS101" s="973"/>
      <c r="IYT101" s="973"/>
      <c r="IYU101" s="973"/>
      <c r="IYV101" s="973"/>
      <c r="IYW101" s="973"/>
      <c r="IYX101" s="973"/>
      <c r="IYY101" s="973"/>
      <c r="IYZ101" s="973"/>
      <c r="IZA101" s="973"/>
      <c r="IZB101" s="973"/>
      <c r="IZC101" s="973"/>
      <c r="IZD101" s="973"/>
      <c r="IZE101" s="973"/>
      <c r="IZF101" s="973"/>
      <c r="IZG101" s="973"/>
      <c r="IZH101" s="973"/>
      <c r="IZI101" s="973"/>
      <c r="IZJ101" s="973"/>
      <c r="IZK101" s="973"/>
      <c r="IZL101" s="973"/>
      <c r="IZM101" s="973"/>
      <c r="IZN101" s="973"/>
      <c r="IZO101" s="973"/>
      <c r="IZP101" s="973"/>
      <c r="IZQ101" s="973"/>
      <c r="IZR101" s="973"/>
      <c r="IZS101" s="973"/>
      <c r="IZT101" s="973"/>
      <c r="IZU101" s="973"/>
      <c r="IZV101" s="973"/>
      <c r="IZW101" s="973"/>
      <c r="IZX101" s="973"/>
      <c r="IZY101" s="973"/>
      <c r="IZZ101" s="973"/>
      <c r="JAA101" s="973"/>
      <c r="JAB101" s="973"/>
      <c r="JAC101" s="973"/>
      <c r="JAD101" s="973"/>
      <c r="JAE101" s="973"/>
      <c r="JAF101" s="973"/>
      <c r="JAG101" s="973"/>
      <c r="JAH101" s="973"/>
      <c r="JAI101" s="973"/>
      <c r="JAJ101" s="973"/>
      <c r="JAK101" s="973"/>
      <c r="JAL101" s="973"/>
      <c r="JAM101" s="973"/>
      <c r="JAN101" s="973"/>
      <c r="JAO101" s="973"/>
      <c r="JAP101" s="973"/>
      <c r="JAQ101" s="973"/>
      <c r="JAR101" s="973"/>
      <c r="JAS101" s="973"/>
      <c r="JAT101" s="973"/>
      <c r="JAU101" s="973"/>
      <c r="JAV101" s="973"/>
      <c r="JAW101" s="973"/>
      <c r="JAX101" s="973"/>
      <c r="JAY101" s="973"/>
      <c r="JAZ101" s="973"/>
      <c r="JBA101" s="973"/>
      <c r="JBB101" s="973"/>
      <c r="JBC101" s="973"/>
      <c r="JBD101" s="973"/>
      <c r="JBE101" s="973"/>
      <c r="JBF101" s="973"/>
      <c r="JBG101" s="973"/>
      <c r="JBH101" s="973"/>
      <c r="JBI101" s="973"/>
      <c r="JBJ101" s="973"/>
      <c r="JBK101" s="973"/>
      <c r="JBL101" s="973"/>
      <c r="JBM101" s="973"/>
      <c r="JBN101" s="973"/>
      <c r="JBO101" s="973"/>
      <c r="JBP101" s="973"/>
      <c r="JBQ101" s="973"/>
      <c r="JBR101" s="973"/>
      <c r="JBS101" s="973"/>
      <c r="JBT101" s="973"/>
      <c r="JBU101" s="973"/>
      <c r="JBV101" s="973"/>
      <c r="JBW101" s="973"/>
      <c r="JBX101" s="973"/>
      <c r="JBY101" s="973"/>
      <c r="JBZ101" s="973"/>
      <c r="JCA101" s="973"/>
      <c r="JCB101" s="973"/>
      <c r="JCC101" s="973"/>
      <c r="JCD101" s="973"/>
      <c r="JCE101" s="973"/>
      <c r="JCF101" s="973"/>
      <c r="JCG101" s="973"/>
      <c r="JCH101" s="973"/>
      <c r="JCI101" s="973"/>
      <c r="JCJ101" s="973"/>
      <c r="JCK101" s="973"/>
      <c r="JCL101" s="973"/>
      <c r="JCM101" s="973"/>
      <c r="JCN101" s="973"/>
      <c r="JCO101" s="973"/>
      <c r="JCP101" s="973"/>
      <c r="JCQ101" s="973"/>
      <c r="JCR101" s="973"/>
      <c r="JCS101" s="973"/>
      <c r="JCT101" s="973"/>
      <c r="JCU101" s="973"/>
      <c r="JCV101" s="973"/>
      <c r="JCW101" s="973"/>
      <c r="JCX101" s="973"/>
      <c r="JCY101" s="973"/>
      <c r="JCZ101" s="973"/>
      <c r="JDA101" s="973"/>
      <c r="JDB101" s="973"/>
      <c r="JDC101" s="973"/>
      <c r="JDD101" s="973"/>
      <c r="JDE101" s="973"/>
      <c r="JDF101" s="973"/>
      <c r="JDG101" s="973"/>
      <c r="JDH101" s="973"/>
      <c r="JDI101" s="973"/>
      <c r="JDJ101" s="973"/>
      <c r="JDK101" s="973"/>
      <c r="JDL101" s="973"/>
      <c r="JDM101" s="973"/>
      <c r="JDN101" s="973"/>
      <c r="JDO101" s="973"/>
      <c r="JDP101" s="973"/>
      <c r="JDQ101" s="973"/>
      <c r="JDR101" s="973"/>
      <c r="JDS101" s="973"/>
      <c r="JDT101" s="973"/>
      <c r="JDU101" s="973"/>
      <c r="JDV101" s="973"/>
      <c r="JDW101" s="973"/>
      <c r="JDX101" s="973"/>
      <c r="JDY101" s="973"/>
      <c r="JDZ101" s="973"/>
      <c r="JEA101" s="973"/>
      <c r="JEB101" s="973"/>
      <c r="JEC101" s="973"/>
      <c r="JED101" s="973"/>
      <c r="JEE101" s="973"/>
      <c r="JEF101" s="973"/>
      <c r="JEG101" s="973"/>
      <c r="JEH101" s="973"/>
      <c r="JEI101" s="973"/>
      <c r="JEJ101" s="973"/>
      <c r="JEK101" s="973"/>
      <c r="JEL101" s="973"/>
      <c r="JEM101" s="973"/>
      <c r="JEN101" s="973"/>
      <c r="JEO101" s="973"/>
      <c r="JEP101" s="973"/>
      <c r="JEQ101" s="973"/>
      <c r="JER101" s="973"/>
      <c r="JES101" s="973"/>
      <c r="JET101" s="973"/>
      <c r="JEU101" s="973"/>
      <c r="JEV101" s="973"/>
      <c r="JEW101" s="973"/>
      <c r="JEX101" s="973"/>
      <c r="JEY101" s="973"/>
      <c r="JEZ101" s="973"/>
      <c r="JFA101" s="973"/>
      <c r="JFB101" s="973"/>
      <c r="JFC101" s="973"/>
      <c r="JFD101" s="973"/>
      <c r="JFE101" s="973"/>
      <c r="JFF101" s="973"/>
      <c r="JFG101" s="973"/>
      <c r="JFH101" s="973"/>
      <c r="JFI101" s="973"/>
      <c r="JFJ101" s="973"/>
      <c r="JFK101" s="973"/>
      <c r="JFL101" s="973"/>
      <c r="JFM101" s="973"/>
      <c r="JFN101" s="973"/>
      <c r="JFO101" s="973"/>
      <c r="JFP101" s="973"/>
      <c r="JFQ101" s="973"/>
      <c r="JFR101" s="973"/>
      <c r="JFS101" s="973"/>
      <c r="JFT101" s="973"/>
      <c r="JFU101" s="973"/>
      <c r="JFV101" s="973"/>
      <c r="JFW101" s="973"/>
      <c r="JFX101" s="973"/>
      <c r="JFY101" s="973"/>
      <c r="JFZ101" s="973"/>
      <c r="JGA101" s="973"/>
      <c r="JGB101" s="973"/>
      <c r="JGC101" s="973"/>
      <c r="JGD101" s="973"/>
      <c r="JGE101" s="973"/>
      <c r="JGF101" s="973"/>
      <c r="JGG101" s="973"/>
      <c r="JGH101" s="973"/>
      <c r="JGI101" s="973"/>
      <c r="JGJ101" s="973"/>
      <c r="JGK101" s="973"/>
      <c r="JGL101" s="973"/>
      <c r="JGM101" s="973"/>
      <c r="JGN101" s="973"/>
      <c r="JGO101" s="973"/>
      <c r="JGP101" s="973"/>
      <c r="JGQ101" s="973"/>
      <c r="JGR101" s="973"/>
      <c r="JGS101" s="973"/>
      <c r="JGT101" s="973"/>
      <c r="JGU101" s="973"/>
      <c r="JGV101" s="973"/>
      <c r="JGW101" s="973"/>
      <c r="JGX101" s="973"/>
      <c r="JGY101" s="973"/>
      <c r="JGZ101" s="973"/>
      <c r="JHA101" s="973"/>
      <c r="JHB101" s="973"/>
      <c r="JHC101" s="973"/>
      <c r="JHD101" s="973"/>
      <c r="JHE101" s="973"/>
      <c r="JHF101" s="973"/>
      <c r="JHG101" s="973"/>
      <c r="JHH101" s="973"/>
      <c r="JHI101" s="973"/>
      <c r="JHJ101" s="973"/>
      <c r="JHK101" s="973"/>
      <c r="JHL101" s="973"/>
      <c r="JHM101" s="973"/>
      <c r="JHN101" s="973"/>
      <c r="JHO101" s="973"/>
      <c r="JHP101" s="973"/>
      <c r="JHQ101" s="973"/>
      <c r="JHR101" s="973"/>
      <c r="JHS101" s="973"/>
      <c r="JHT101" s="973"/>
      <c r="JHU101" s="973"/>
      <c r="JHV101" s="973"/>
      <c r="JHW101" s="973"/>
      <c r="JHX101" s="973"/>
      <c r="JHY101" s="973"/>
      <c r="JHZ101" s="973"/>
      <c r="JIA101" s="973"/>
      <c r="JIB101" s="973"/>
      <c r="JIC101" s="973"/>
      <c r="JID101" s="973"/>
      <c r="JIE101" s="973"/>
      <c r="JIF101" s="973"/>
      <c r="JIG101" s="973"/>
      <c r="JIH101" s="973"/>
      <c r="JII101" s="973"/>
      <c r="JIJ101" s="973"/>
      <c r="JIK101" s="973"/>
      <c r="JIL101" s="973"/>
      <c r="JIM101" s="973"/>
      <c r="JIN101" s="973"/>
      <c r="JIO101" s="973"/>
      <c r="JIP101" s="973"/>
      <c r="JIQ101" s="973"/>
      <c r="JIR101" s="973"/>
      <c r="JIS101" s="973"/>
      <c r="JIT101" s="973"/>
      <c r="JIU101" s="973"/>
      <c r="JIV101" s="973"/>
      <c r="JIW101" s="973"/>
      <c r="JIX101" s="973"/>
      <c r="JIY101" s="973"/>
      <c r="JIZ101" s="973"/>
      <c r="JJA101" s="973"/>
      <c r="JJB101" s="973"/>
      <c r="JJC101" s="973"/>
      <c r="JJD101" s="973"/>
      <c r="JJE101" s="973"/>
      <c r="JJF101" s="973"/>
      <c r="JJG101" s="973"/>
      <c r="JJH101" s="973"/>
      <c r="JJI101" s="973"/>
      <c r="JJJ101" s="973"/>
      <c r="JJK101" s="973"/>
      <c r="JJL101" s="973"/>
      <c r="JJM101" s="973"/>
      <c r="JJN101" s="973"/>
      <c r="JJO101" s="973"/>
      <c r="JJP101" s="973"/>
      <c r="JJQ101" s="973"/>
      <c r="JJR101" s="973"/>
      <c r="JJS101" s="973"/>
      <c r="JJT101" s="973"/>
      <c r="JJU101" s="973"/>
      <c r="JJV101" s="973"/>
      <c r="JJW101" s="973"/>
      <c r="JJX101" s="973"/>
      <c r="JJY101" s="973"/>
      <c r="JJZ101" s="973"/>
      <c r="JKA101" s="973"/>
      <c r="JKB101" s="973"/>
      <c r="JKC101" s="973"/>
      <c r="JKD101" s="973"/>
      <c r="JKE101" s="973"/>
      <c r="JKF101" s="973"/>
      <c r="JKG101" s="973"/>
      <c r="JKH101" s="973"/>
      <c r="JKI101" s="973"/>
      <c r="JKJ101" s="973"/>
      <c r="JKK101" s="973"/>
      <c r="JKL101" s="973"/>
      <c r="JKM101" s="973"/>
      <c r="JKN101" s="973"/>
      <c r="JKO101" s="973"/>
      <c r="JKP101" s="973"/>
      <c r="JKQ101" s="973"/>
      <c r="JKR101" s="973"/>
      <c r="JKS101" s="973"/>
      <c r="JKT101" s="973"/>
      <c r="JKU101" s="973"/>
      <c r="JKV101" s="973"/>
      <c r="JKW101" s="973"/>
      <c r="JKX101" s="973"/>
      <c r="JKY101" s="973"/>
      <c r="JKZ101" s="973"/>
      <c r="JLA101" s="973"/>
      <c r="JLB101" s="973"/>
      <c r="JLC101" s="973"/>
      <c r="JLD101" s="973"/>
      <c r="JLE101" s="973"/>
      <c r="JLF101" s="973"/>
      <c r="JLG101" s="973"/>
      <c r="JLH101" s="973"/>
      <c r="JLI101" s="973"/>
      <c r="JLJ101" s="973"/>
      <c r="JLK101" s="973"/>
      <c r="JLL101" s="973"/>
      <c r="JLM101" s="973"/>
      <c r="JLN101" s="973"/>
      <c r="JLO101" s="973"/>
      <c r="JLP101" s="973"/>
      <c r="JLQ101" s="973"/>
      <c r="JLR101" s="973"/>
      <c r="JLS101" s="973"/>
      <c r="JLT101" s="973"/>
      <c r="JLU101" s="973"/>
      <c r="JLV101" s="973"/>
      <c r="JLW101" s="973"/>
      <c r="JLX101" s="973"/>
      <c r="JLY101" s="973"/>
      <c r="JLZ101" s="973"/>
      <c r="JMA101" s="973"/>
      <c r="JMB101" s="973"/>
      <c r="JMC101" s="973"/>
      <c r="JMD101" s="973"/>
      <c r="JME101" s="973"/>
      <c r="JMF101" s="973"/>
      <c r="JMG101" s="973"/>
      <c r="JMH101" s="973"/>
      <c r="JMI101" s="973"/>
      <c r="JMJ101" s="973"/>
      <c r="JMK101" s="973"/>
      <c r="JML101" s="973"/>
      <c r="JMM101" s="973"/>
      <c r="JMN101" s="973"/>
      <c r="JMO101" s="973"/>
      <c r="JMP101" s="973"/>
      <c r="JMQ101" s="973"/>
      <c r="JMR101" s="973"/>
      <c r="JMS101" s="973"/>
      <c r="JMT101" s="973"/>
      <c r="JMU101" s="973"/>
      <c r="JMV101" s="973"/>
      <c r="JMW101" s="973"/>
      <c r="JMX101" s="973"/>
      <c r="JMY101" s="973"/>
      <c r="JMZ101" s="973"/>
      <c r="JNA101" s="973"/>
      <c r="JNB101" s="973"/>
      <c r="JNC101" s="973"/>
      <c r="JND101" s="973"/>
      <c r="JNE101" s="973"/>
      <c r="JNF101" s="973"/>
      <c r="JNG101" s="973"/>
      <c r="JNH101" s="973"/>
      <c r="JNI101" s="973"/>
      <c r="JNJ101" s="973"/>
      <c r="JNK101" s="973"/>
      <c r="JNL101" s="973"/>
      <c r="JNM101" s="973"/>
      <c r="JNN101" s="973"/>
      <c r="JNO101" s="973"/>
      <c r="JNP101" s="973"/>
      <c r="JNQ101" s="973"/>
      <c r="JNR101" s="973"/>
      <c r="JNS101" s="973"/>
      <c r="JNT101" s="973"/>
      <c r="JNU101" s="973"/>
      <c r="JNV101" s="973"/>
      <c r="JNW101" s="973"/>
      <c r="JNX101" s="973"/>
      <c r="JNY101" s="973"/>
      <c r="JNZ101" s="973"/>
      <c r="JOA101" s="973"/>
      <c r="JOB101" s="973"/>
      <c r="JOC101" s="973"/>
      <c r="JOD101" s="973"/>
      <c r="JOE101" s="973"/>
      <c r="JOF101" s="973"/>
      <c r="JOG101" s="973"/>
      <c r="JOH101" s="973"/>
      <c r="JOI101" s="973"/>
      <c r="JOJ101" s="973"/>
      <c r="JOK101" s="973"/>
      <c r="JOL101" s="973"/>
      <c r="JOM101" s="973"/>
      <c r="JON101" s="973"/>
      <c r="JOO101" s="973"/>
      <c r="JOP101" s="973"/>
      <c r="JOQ101" s="973"/>
      <c r="JOR101" s="973"/>
      <c r="JOS101" s="973"/>
      <c r="JOT101" s="973"/>
      <c r="JOU101" s="973"/>
      <c r="JOV101" s="973"/>
      <c r="JOW101" s="973"/>
      <c r="JOX101" s="973"/>
      <c r="JOY101" s="973"/>
      <c r="JOZ101" s="973"/>
      <c r="JPA101" s="973"/>
      <c r="JPB101" s="973"/>
      <c r="JPC101" s="973"/>
      <c r="JPD101" s="973"/>
      <c r="JPE101" s="973"/>
      <c r="JPF101" s="973"/>
      <c r="JPG101" s="973"/>
      <c r="JPH101" s="973"/>
      <c r="JPI101" s="973"/>
      <c r="JPJ101" s="973"/>
      <c r="JPK101" s="973"/>
      <c r="JPL101" s="973"/>
      <c r="JPM101" s="973"/>
      <c r="JPN101" s="973"/>
      <c r="JPO101" s="973"/>
      <c r="JPP101" s="973"/>
      <c r="JPQ101" s="973"/>
      <c r="JPR101" s="973"/>
      <c r="JPS101" s="973"/>
      <c r="JPT101" s="973"/>
      <c r="JPU101" s="973"/>
      <c r="JPV101" s="973"/>
      <c r="JPW101" s="973"/>
      <c r="JPX101" s="973"/>
      <c r="JPY101" s="973"/>
      <c r="JPZ101" s="973"/>
      <c r="JQA101" s="973"/>
      <c r="JQB101" s="973"/>
      <c r="JQC101" s="973"/>
      <c r="JQD101" s="973"/>
      <c r="JQE101" s="973"/>
      <c r="JQF101" s="973"/>
      <c r="JQG101" s="973"/>
      <c r="JQH101" s="973"/>
      <c r="JQI101" s="973"/>
      <c r="JQJ101" s="973"/>
      <c r="JQK101" s="973"/>
      <c r="JQL101" s="973"/>
      <c r="JQM101" s="973"/>
      <c r="JQN101" s="973"/>
      <c r="JQO101" s="973"/>
      <c r="JQP101" s="973"/>
      <c r="JQQ101" s="973"/>
      <c r="JQR101" s="973"/>
      <c r="JQS101" s="973"/>
      <c r="JQT101" s="973"/>
      <c r="JQU101" s="973"/>
      <c r="JQV101" s="973"/>
      <c r="JQW101" s="973"/>
      <c r="JQX101" s="973"/>
      <c r="JQY101" s="973"/>
      <c r="JQZ101" s="973"/>
      <c r="JRA101" s="973"/>
      <c r="JRB101" s="973"/>
      <c r="JRC101" s="973"/>
      <c r="JRD101" s="973"/>
      <c r="JRE101" s="973"/>
      <c r="JRF101" s="973"/>
      <c r="JRG101" s="973"/>
      <c r="JRH101" s="973"/>
      <c r="JRI101" s="973"/>
      <c r="JRJ101" s="973"/>
      <c r="JRK101" s="973"/>
      <c r="JRL101" s="973"/>
      <c r="JRM101" s="973"/>
      <c r="JRN101" s="973"/>
      <c r="JRO101" s="973"/>
      <c r="JRP101" s="973"/>
      <c r="JRQ101" s="973"/>
      <c r="JRR101" s="973"/>
      <c r="JRS101" s="973"/>
      <c r="JRT101" s="973"/>
      <c r="JRU101" s="973"/>
      <c r="JRV101" s="973"/>
      <c r="JRW101" s="973"/>
      <c r="JRX101" s="973"/>
      <c r="JRY101" s="973"/>
      <c r="JRZ101" s="973"/>
      <c r="JSA101" s="973"/>
      <c r="JSB101" s="973"/>
      <c r="JSC101" s="973"/>
      <c r="JSD101" s="973"/>
      <c r="JSE101" s="973"/>
      <c r="JSF101" s="973"/>
      <c r="JSG101" s="973"/>
      <c r="JSH101" s="973"/>
      <c r="JSI101" s="973"/>
      <c r="JSJ101" s="973"/>
      <c r="JSK101" s="973"/>
      <c r="JSL101" s="973"/>
      <c r="JSM101" s="973"/>
      <c r="JSN101" s="973"/>
      <c r="JSO101" s="973"/>
      <c r="JSP101" s="973"/>
      <c r="JSQ101" s="973"/>
      <c r="JSR101" s="973"/>
      <c r="JSS101" s="973"/>
      <c r="JST101" s="973"/>
      <c r="JSU101" s="973"/>
      <c r="JSV101" s="973"/>
      <c r="JSW101" s="973"/>
      <c r="JSX101" s="973"/>
      <c r="JSY101" s="973"/>
      <c r="JSZ101" s="973"/>
      <c r="JTA101" s="973"/>
      <c r="JTB101" s="973"/>
      <c r="JTC101" s="973"/>
      <c r="JTD101" s="973"/>
      <c r="JTE101" s="973"/>
      <c r="JTF101" s="973"/>
      <c r="JTG101" s="973"/>
      <c r="JTH101" s="973"/>
      <c r="JTI101" s="973"/>
      <c r="JTJ101" s="973"/>
      <c r="JTK101" s="973"/>
      <c r="JTL101" s="973"/>
      <c r="JTM101" s="973"/>
      <c r="JTN101" s="973"/>
      <c r="JTO101" s="973"/>
      <c r="JTP101" s="973"/>
      <c r="JTQ101" s="973"/>
      <c r="JTR101" s="973"/>
      <c r="JTS101" s="973"/>
      <c r="JTT101" s="973"/>
      <c r="JTU101" s="973"/>
      <c r="JTV101" s="973"/>
      <c r="JTW101" s="973"/>
      <c r="JTX101" s="973"/>
      <c r="JTY101" s="973"/>
      <c r="JTZ101" s="973"/>
      <c r="JUA101" s="973"/>
      <c r="JUB101" s="973"/>
      <c r="JUC101" s="973"/>
      <c r="JUD101" s="973"/>
      <c r="JUE101" s="973"/>
      <c r="JUF101" s="973"/>
      <c r="JUG101" s="973"/>
      <c r="JUH101" s="973"/>
      <c r="JUI101" s="973"/>
      <c r="JUJ101" s="973"/>
      <c r="JUK101" s="973"/>
      <c r="JUL101" s="973"/>
      <c r="JUM101" s="973"/>
      <c r="JUN101" s="973"/>
      <c r="JUO101" s="973"/>
      <c r="JUP101" s="973"/>
      <c r="JUQ101" s="973"/>
      <c r="JUR101" s="973"/>
      <c r="JUS101" s="973"/>
      <c r="JUT101" s="973"/>
      <c r="JUU101" s="973"/>
      <c r="JUV101" s="973"/>
      <c r="JUW101" s="973"/>
      <c r="JUX101" s="973"/>
      <c r="JUY101" s="973"/>
      <c r="JUZ101" s="973"/>
      <c r="JVA101" s="973"/>
      <c r="JVB101" s="973"/>
      <c r="JVC101" s="973"/>
      <c r="JVD101" s="973"/>
      <c r="JVE101" s="973"/>
      <c r="JVF101" s="973"/>
      <c r="JVG101" s="973"/>
      <c r="JVH101" s="973"/>
      <c r="JVI101" s="973"/>
      <c r="JVJ101" s="973"/>
      <c r="JVK101" s="973"/>
      <c r="JVL101" s="973"/>
      <c r="JVM101" s="973"/>
      <c r="JVN101" s="973"/>
      <c r="JVO101" s="973"/>
      <c r="JVP101" s="973"/>
      <c r="JVQ101" s="973"/>
      <c r="JVR101" s="973"/>
      <c r="JVS101" s="973"/>
      <c r="JVT101" s="973"/>
      <c r="JVU101" s="973"/>
      <c r="JVV101" s="973"/>
      <c r="JVW101" s="973"/>
      <c r="JVX101" s="973"/>
      <c r="JVY101" s="973"/>
      <c r="JVZ101" s="973"/>
      <c r="JWA101" s="973"/>
      <c r="JWB101" s="973"/>
      <c r="JWC101" s="973"/>
      <c r="JWD101" s="973"/>
      <c r="JWE101" s="973"/>
      <c r="JWF101" s="973"/>
      <c r="JWG101" s="973"/>
      <c r="JWH101" s="973"/>
      <c r="JWI101" s="973"/>
      <c r="JWJ101" s="973"/>
      <c r="JWK101" s="973"/>
      <c r="JWL101" s="973"/>
      <c r="JWM101" s="973"/>
      <c r="JWN101" s="973"/>
      <c r="JWO101" s="973"/>
      <c r="JWP101" s="973"/>
      <c r="JWQ101" s="973"/>
      <c r="JWR101" s="973"/>
      <c r="JWS101" s="973"/>
      <c r="JWT101" s="973"/>
      <c r="JWU101" s="973"/>
      <c r="JWV101" s="973"/>
      <c r="JWW101" s="973"/>
      <c r="JWX101" s="973"/>
      <c r="JWY101" s="973"/>
      <c r="JWZ101" s="973"/>
      <c r="JXA101" s="973"/>
      <c r="JXB101" s="973"/>
      <c r="JXC101" s="973"/>
      <c r="JXD101" s="973"/>
      <c r="JXE101" s="973"/>
      <c r="JXF101" s="973"/>
      <c r="JXG101" s="973"/>
      <c r="JXH101" s="973"/>
      <c r="JXI101" s="973"/>
      <c r="JXJ101" s="973"/>
      <c r="JXK101" s="973"/>
      <c r="JXL101" s="973"/>
      <c r="JXM101" s="973"/>
      <c r="JXN101" s="973"/>
      <c r="JXO101" s="973"/>
      <c r="JXP101" s="973"/>
      <c r="JXQ101" s="973"/>
      <c r="JXR101" s="973"/>
      <c r="JXS101" s="973"/>
      <c r="JXT101" s="973"/>
      <c r="JXU101" s="973"/>
      <c r="JXV101" s="973"/>
      <c r="JXW101" s="973"/>
      <c r="JXX101" s="973"/>
      <c r="JXY101" s="973"/>
      <c r="JXZ101" s="973"/>
      <c r="JYA101" s="973"/>
      <c r="JYB101" s="973"/>
      <c r="JYC101" s="973"/>
      <c r="JYD101" s="973"/>
      <c r="JYE101" s="973"/>
      <c r="JYF101" s="973"/>
      <c r="JYG101" s="973"/>
      <c r="JYH101" s="973"/>
      <c r="JYI101" s="973"/>
      <c r="JYJ101" s="973"/>
      <c r="JYK101" s="973"/>
      <c r="JYL101" s="973"/>
      <c r="JYM101" s="973"/>
      <c r="JYN101" s="973"/>
      <c r="JYO101" s="973"/>
      <c r="JYP101" s="973"/>
      <c r="JYQ101" s="973"/>
      <c r="JYR101" s="973"/>
      <c r="JYS101" s="973"/>
      <c r="JYT101" s="973"/>
      <c r="JYU101" s="973"/>
      <c r="JYV101" s="973"/>
      <c r="JYW101" s="973"/>
      <c r="JYX101" s="973"/>
      <c r="JYY101" s="973"/>
      <c r="JYZ101" s="973"/>
      <c r="JZA101" s="973"/>
      <c r="JZB101" s="973"/>
      <c r="JZC101" s="973"/>
      <c r="JZD101" s="973"/>
      <c r="JZE101" s="973"/>
      <c r="JZF101" s="973"/>
      <c r="JZG101" s="973"/>
      <c r="JZH101" s="973"/>
      <c r="JZI101" s="973"/>
      <c r="JZJ101" s="973"/>
      <c r="JZK101" s="973"/>
      <c r="JZL101" s="973"/>
      <c r="JZM101" s="973"/>
      <c r="JZN101" s="973"/>
      <c r="JZO101" s="973"/>
      <c r="JZP101" s="973"/>
      <c r="JZQ101" s="973"/>
      <c r="JZR101" s="973"/>
      <c r="JZS101" s="973"/>
      <c r="JZT101" s="973"/>
      <c r="JZU101" s="973"/>
      <c r="JZV101" s="973"/>
      <c r="JZW101" s="973"/>
      <c r="JZX101" s="973"/>
      <c r="JZY101" s="973"/>
      <c r="JZZ101" s="973"/>
      <c r="KAA101" s="973"/>
      <c r="KAB101" s="973"/>
      <c r="KAC101" s="973"/>
      <c r="KAD101" s="973"/>
      <c r="KAE101" s="973"/>
      <c r="KAF101" s="973"/>
      <c r="KAG101" s="973"/>
      <c r="KAH101" s="973"/>
      <c r="KAI101" s="973"/>
      <c r="KAJ101" s="973"/>
      <c r="KAK101" s="973"/>
      <c r="KAL101" s="973"/>
      <c r="KAM101" s="973"/>
      <c r="KAN101" s="973"/>
      <c r="KAO101" s="973"/>
      <c r="KAP101" s="973"/>
      <c r="KAQ101" s="973"/>
      <c r="KAR101" s="973"/>
      <c r="KAS101" s="973"/>
      <c r="KAT101" s="973"/>
      <c r="KAU101" s="973"/>
      <c r="KAV101" s="973"/>
      <c r="KAW101" s="973"/>
      <c r="KAX101" s="973"/>
      <c r="KAY101" s="973"/>
      <c r="KAZ101" s="973"/>
      <c r="KBA101" s="973"/>
      <c r="KBB101" s="973"/>
      <c r="KBC101" s="973"/>
      <c r="KBD101" s="973"/>
      <c r="KBE101" s="973"/>
      <c r="KBF101" s="973"/>
      <c r="KBG101" s="973"/>
      <c r="KBH101" s="973"/>
      <c r="KBI101" s="973"/>
      <c r="KBJ101" s="973"/>
      <c r="KBK101" s="973"/>
      <c r="KBL101" s="973"/>
      <c r="KBM101" s="973"/>
      <c r="KBN101" s="973"/>
      <c r="KBO101" s="973"/>
      <c r="KBP101" s="973"/>
      <c r="KBQ101" s="973"/>
      <c r="KBR101" s="973"/>
      <c r="KBS101" s="973"/>
      <c r="KBT101" s="973"/>
      <c r="KBU101" s="973"/>
      <c r="KBV101" s="973"/>
      <c r="KBW101" s="973"/>
      <c r="KBX101" s="973"/>
      <c r="KBY101" s="973"/>
      <c r="KBZ101" s="973"/>
      <c r="KCA101" s="973"/>
      <c r="KCB101" s="973"/>
      <c r="KCC101" s="973"/>
      <c r="KCD101" s="973"/>
      <c r="KCE101" s="973"/>
      <c r="KCF101" s="973"/>
      <c r="KCG101" s="973"/>
      <c r="KCH101" s="973"/>
      <c r="KCI101" s="973"/>
      <c r="KCJ101" s="973"/>
      <c r="KCK101" s="973"/>
      <c r="KCL101" s="973"/>
      <c r="KCM101" s="973"/>
      <c r="KCN101" s="973"/>
      <c r="KCO101" s="973"/>
      <c r="KCP101" s="973"/>
      <c r="KCQ101" s="973"/>
      <c r="KCR101" s="973"/>
      <c r="KCS101" s="973"/>
      <c r="KCT101" s="973"/>
      <c r="KCU101" s="973"/>
      <c r="KCV101" s="973"/>
      <c r="KCW101" s="973"/>
      <c r="KCX101" s="973"/>
      <c r="KCY101" s="973"/>
      <c r="KCZ101" s="973"/>
      <c r="KDA101" s="973"/>
      <c r="KDB101" s="973"/>
      <c r="KDC101" s="973"/>
      <c r="KDD101" s="973"/>
      <c r="KDE101" s="973"/>
      <c r="KDF101" s="973"/>
      <c r="KDG101" s="973"/>
      <c r="KDH101" s="973"/>
      <c r="KDI101" s="973"/>
      <c r="KDJ101" s="973"/>
      <c r="KDK101" s="973"/>
      <c r="KDL101" s="973"/>
      <c r="KDM101" s="973"/>
      <c r="KDN101" s="973"/>
      <c r="KDO101" s="973"/>
      <c r="KDP101" s="973"/>
      <c r="KDQ101" s="973"/>
      <c r="KDR101" s="973"/>
      <c r="KDS101" s="973"/>
      <c r="KDT101" s="973"/>
      <c r="KDU101" s="973"/>
      <c r="KDV101" s="973"/>
      <c r="KDW101" s="973"/>
      <c r="KDX101" s="973"/>
      <c r="KDY101" s="973"/>
      <c r="KDZ101" s="973"/>
      <c r="KEA101" s="973"/>
      <c r="KEB101" s="973"/>
      <c r="KEC101" s="973"/>
      <c r="KED101" s="973"/>
      <c r="KEE101" s="973"/>
      <c r="KEF101" s="973"/>
      <c r="KEG101" s="973"/>
      <c r="KEH101" s="973"/>
      <c r="KEI101" s="973"/>
      <c r="KEJ101" s="973"/>
      <c r="KEK101" s="973"/>
      <c r="KEL101" s="973"/>
      <c r="KEM101" s="973"/>
      <c r="KEN101" s="973"/>
      <c r="KEO101" s="973"/>
      <c r="KEP101" s="973"/>
      <c r="KEQ101" s="973"/>
      <c r="KER101" s="973"/>
      <c r="KES101" s="973"/>
      <c r="KET101" s="973"/>
      <c r="KEU101" s="973"/>
      <c r="KEV101" s="973"/>
      <c r="KEW101" s="973"/>
      <c r="KEX101" s="973"/>
      <c r="KEY101" s="973"/>
      <c r="KEZ101" s="973"/>
      <c r="KFA101" s="973"/>
      <c r="KFB101" s="973"/>
      <c r="KFC101" s="973"/>
      <c r="KFD101" s="973"/>
      <c r="KFE101" s="973"/>
      <c r="KFF101" s="973"/>
      <c r="KFG101" s="973"/>
      <c r="KFH101" s="973"/>
      <c r="KFI101" s="973"/>
      <c r="KFJ101" s="973"/>
      <c r="KFK101" s="973"/>
      <c r="KFL101" s="973"/>
      <c r="KFM101" s="973"/>
      <c r="KFN101" s="973"/>
      <c r="KFO101" s="973"/>
      <c r="KFP101" s="973"/>
      <c r="KFQ101" s="973"/>
      <c r="KFR101" s="973"/>
      <c r="KFS101" s="973"/>
      <c r="KFT101" s="973"/>
      <c r="KFU101" s="973"/>
      <c r="KFV101" s="973"/>
      <c r="KFW101" s="973"/>
      <c r="KFX101" s="973"/>
      <c r="KFY101" s="973"/>
      <c r="KFZ101" s="973"/>
      <c r="KGA101" s="973"/>
      <c r="KGB101" s="973"/>
      <c r="KGC101" s="973"/>
      <c r="KGD101" s="973"/>
      <c r="KGE101" s="973"/>
      <c r="KGF101" s="973"/>
      <c r="KGG101" s="973"/>
      <c r="KGH101" s="973"/>
      <c r="KGI101" s="973"/>
      <c r="KGJ101" s="973"/>
      <c r="KGK101" s="973"/>
      <c r="KGL101" s="973"/>
      <c r="KGM101" s="973"/>
      <c r="KGN101" s="973"/>
      <c r="KGO101" s="973"/>
      <c r="KGP101" s="973"/>
      <c r="KGQ101" s="973"/>
      <c r="KGR101" s="973"/>
      <c r="KGS101" s="973"/>
      <c r="KGT101" s="973"/>
      <c r="KGU101" s="973"/>
      <c r="KGV101" s="973"/>
      <c r="KGW101" s="973"/>
      <c r="KGX101" s="973"/>
      <c r="KGY101" s="973"/>
      <c r="KGZ101" s="973"/>
      <c r="KHA101" s="973"/>
      <c r="KHB101" s="973"/>
      <c r="KHC101" s="973"/>
      <c r="KHD101" s="973"/>
      <c r="KHE101" s="973"/>
      <c r="KHF101" s="973"/>
      <c r="KHG101" s="973"/>
      <c r="KHH101" s="973"/>
      <c r="KHI101" s="973"/>
      <c r="KHJ101" s="973"/>
      <c r="KHK101" s="973"/>
      <c r="KHL101" s="973"/>
      <c r="KHM101" s="973"/>
      <c r="KHN101" s="973"/>
      <c r="KHO101" s="973"/>
      <c r="KHP101" s="973"/>
      <c r="KHQ101" s="973"/>
      <c r="KHR101" s="973"/>
      <c r="KHS101" s="973"/>
      <c r="KHT101" s="973"/>
      <c r="KHU101" s="973"/>
      <c r="KHV101" s="973"/>
      <c r="KHW101" s="973"/>
      <c r="KHX101" s="973"/>
      <c r="KHY101" s="973"/>
      <c r="KHZ101" s="973"/>
      <c r="KIA101" s="973"/>
      <c r="KIB101" s="973"/>
      <c r="KIC101" s="973"/>
      <c r="KID101" s="973"/>
      <c r="KIE101" s="973"/>
      <c r="KIF101" s="973"/>
      <c r="KIG101" s="973"/>
      <c r="KIH101" s="973"/>
      <c r="KII101" s="973"/>
      <c r="KIJ101" s="973"/>
      <c r="KIK101" s="973"/>
      <c r="KIL101" s="973"/>
      <c r="KIM101" s="973"/>
      <c r="KIN101" s="973"/>
      <c r="KIO101" s="973"/>
      <c r="KIP101" s="973"/>
      <c r="KIQ101" s="973"/>
      <c r="KIR101" s="973"/>
      <c r="KIS101" s="973"/>
      <c r="KIT101" s="973"/>
      <c r="KIU101" s="973"/>
      <c r="KIV101" s="973"/>
      <c r="KIW101" s="973"/>
      <c r="KIX101" s="973"/>
      <c r="KIY101" s="973"/>
      <c r="KIZ101" s="973"/>
      <c r="KJA101" s="973"/>
      <c r="KJB101" s="973"/>
      <c r="KJC101" s="973"/>
      <c r="KJD101" s="973"/>
      <c r="KJE101" s="973"/>
      <c r="KJF101" s="973"/>
      <c r="KJG101" s="973"/>
      <c r="KJH101" s="973"/>
      <c r="KJI101" s="973"/>
      <c r="KJJ101" s="973"/>
      <c r="KJK101" s="973"/>
      <c r="KJL101" s="973"/>
      <c r="KJM101" s="973"/>
      <c r="KJN101" s="973"/>
      <c r="KJO101" s="973"/>
      <c r="KJP101" s="973"/>
      <c r="KJQ101" s="973"/>
      <c r="KJR101" s="973"/>
      <c r="KJS101" s="973"/>
      <c r="KJT101" s="973"/>
      <c r="KJU101" s="973"/>
      <c r="KJV101" s="973"/>
      <c r="KJW101" s="973"/>
      <c r="KJX101" s="973"/>
      <c r="KJY101" s="973"/>
      <c r="KJZ101" s="973"/>
      <c r="KKA101" s="973"/>
      <c r="KKB101" s="973"/>
      <c r="KKC101" s="973"/>
      <c r="KKD101" s="973"/>
      <c r="KKE101" s="973"/>
      <c r="KKF101" s="973"/>
      <c r="KKG101" s="973"/>
      <c r="KKH101" s="973"/>
      <c r="KKI101" s="973"/>
      <c r="KKJ101" s="973"/>
      <c r="KKK101" s="973"/>
      <c r="KKL101" s="973"/>
      <c r="KKM101" s="973"/>
      <c r="KKN101" s="973"/>
      <c r="KKO101" s="973"/>
      <c r="KKP101" s="973"/>
      <c r="KKQ101" s="973"/>
      <c r="KKR101" s="973"/>
      <c r="KKS101" s="973"/>
      <c r="KKT101" s="973"/>
      <c r="KKU101" s="973"/>
      <c r="KKV101" s="973"/>
      <c r="KKW101" s="973"/>
      <c r="KKX101" s="973"/>
      <c r="KKY101" s="973"/>
      <c r="KKZ101" s="973"/>
      <c r="KLA101" s="973"/>
      <c r="KLB101" s="973"/>
      <c r="KLC101" s="973"/>
      <c r="KLD101" s="973"/>
      <c r="KLE101" s="973"/>
      <c r="KLF101" s="973"/>
      <c r="KLG101" s="973"/>
      <c r="KLH101" s="973"/>
      <c r="KLI101" s="973"/>
      <c r="KLJ101" s="973"/>
      <c r="KLK101" s="973"/>
      <c r="KLL101" s="973"/>
      <c r="KLM101" s="973"/>
      <c r="KLN101" s="973"/>
      <c r="KLO101" s="973"/>
      <c r="KLP101" s="973"/>
      <c r="KLQ101" s="973"/>
      <c r="KLR101" s="973"/>
      <c r="KLS101" s="973"/>
      <c r="KLT101" s="973"/>
      <c r="KLU101" s="973"/>
      <c r="KLV101" s="973"/>
      <c r="KLW101" s="973"/>
      <c r="KLX101" s="973"/>
      <c r="KLY101" s="973"/>
      <c r="KLZ101" s="973"/>
      <c r="KMA101" s="973"/>
      <c r="KMB101" s="973"/>
      <c r="KMC101" s="973"/>
      <c r="KMD101" s="973"/>
      <c r="KME101" s="973"/>
      <c r="KMF101" s="973"/>
      <c r="KMG101" s="973"/>
      <c r="KMH101" s="973"/>
      <c r="KMI101" s="973"/>
      <c r="KMJ101" s="973"/>
      <c r="KMK101" s="973"/>
      <c r="KML101" s="973"/>
      <c r="KMM101" s="973"/>
      <c r="KMN101" s="973"/>
      <c r="KMO101" s="973"/>
      <c r="KMP101" s="973"/>
      <c r="KMQ101" s="973"/>
      <c r="KMR101" s="973"/>
      <c r="KMS101" s="973"/>
      <c r="KMT101" s="973"/>
      <c r="KMU101" s="973"/>
      <c r="KMV101" s="973"/>
      <c r="KMW101" s="973"/>
      <c r="KMX101" s="973"/>
      <c r="KMY101" s="973"/>
      <c r="KMZ101" s="973"/>
      <c r="KNA101" s="973"/>
      <c r="KNB101" s="973"/>
      <c r="KNC101" s="973"/>
      <c r="KND101" s="973"/>
      <c r="KNE101" s="973"/>
      <c r="KNF101" s="973"/>
      <c r="KNG101" s="973"/>
      <c r="KNH101" s="973"/>
      <c r="KNI101" s="973"/>
      <c r="KNJ101" s="973"/>
      <c r="KNK101" s="973"/>
      <c r="KNL101" s="973"/>
      <c r="KNM101" s="973"/>
      <c r="KNN101" s="973"/>
      <c r="KNO101" s="973"/>
      <c r="KNP101" s="973"/>
      <c r="KNQ101" s="973"/>
      <c r="KNR101" s="973"/>
      <c r="KNS101" s="973"/>
      <c r="KNT101" s="973"/>
      <c r="KNU101" s="973"/>
      <c r="KNV101" s="973"/>
      <c r="KNW101" s="973"/>
      <c r="KNX101" s="973"/>
      <c r="KNY101" s="973"/>
      <c r="KNZ101" s="973"/>
      <c r="KOA101" s="973"/>
      <c r="KOB101" s="973"/>
      <c r="KOC101" s="973"/>
      <c r="KOD101" s="973"/>
      <c r="KOE101" s="973"/>
      <c r="KOF101" s="973"/>
      <c r="KOG101" s="973"/>
      <c r="KOH101" s="973"/>
      <c r="KOI101" s="973"/>
      <c r="KOJ101" s="973"/>
      <c r="KOK101" s="973"/>
      <c r="KOL101" s="973"/>
      <c r="KOM101" s="973"/>
      <c r="KON101" s="973"/>
      <c r="KOO101" s="973"/>
      <c r="KOP101" s="973"/>
      <c r="KOQ101" s="973"/>
      <c r="KOR101" s="973"/>
      <c r="KOS101" s="973"/>
      <c r="KOT101" s="973"/>
      <c r="KOU101" s="973"/>
      <c r="KOV101" s="973"/>
      <c r="KOW101" s="973"/>
      <c r="KOX101" s="973"/>
      <c r="KOY101" s="973"/>
      <c r="KOZ101" s="973"/>
      <c r="KPA101" s="973"/>
      <c r="KPB101" s="973"/>
      <c r="KPC101" s="973"/>
      <c r="KPD101" s="973"/>
      <c r="KPE101" s="973"/>
      <c r="KPF101" s="973"/>
      <c r="KPG101" s="973"/>
      <c r="KPH101" s="973"/>
      <c r="KPI101" s="973"/>
      <c r="KPJ101" s="973"/>
      <c r="KPK101" s="973"/>
      <c r="KPL101" s="973"/>
      <c r="KPM101" s="973"/>
      <c r="KPN101" s="973"/>
      <c r="KPO101" s="973"/>
      <c r="KPP101" s="973"/>
      <c r="KPQ101" s="973"/>
      <c r="KPR101" s="973"/>
      <c r="KPS101" s="973"/>
      <c r="KPT101" s="973"/>
      <c r="KPU101" s="973"/>
      <c r="KPV101" s="973"/>
      <c r="KPW101" s="973"/>
      <c r="KPX101" s="973"/>
      <c r="KPY101" s="973"/>
      <c r="KPZ101" s="973"/>
      <c r="KQA101" s="973"/>
      <c r="KQB101" s="973"/>
      <c r="KQC101" s="973"/>
      <c r="KQD101" s="973"/>
      <c r="KQE101" s="973"/>
      <c r="KQF101" s="973"/>
      <c r="KQG101" s="973"/>
      <c r="KQH101" s="973"/>
      <c r="KQI101" s="973"/>
      <c r="KQJ101" s="973"/>
      <c r="KQK101" s="973"/>
      <c r="KQL101" s="973"/>
      <c r="KQM101" s="973"/>
      <c r="KQN101" s="973"/>
      <c r="KQO101" s="973"/>
      <c r="KQP101" s="973"/>
      <c r="KQQ101" s="973"/>
      <c r="KQR101" s="973"/>
      <c r="KQS101" s="973"/>
      <c r="KQT101" s="973"/>
      <c r="KQU101" s="973"/>
      <c r="KQV101" s="973"/>
      <c r="KQW101" s="973"/>
      <c r="KQX101" s="973"/>
      <c r="KQY101" s="973"/>
      <c r="KQZ101" s="973"/>
      <c r="KRA101" s="973"/>
      <c r="KRB101" s="973"/>
      <c r="KRC101" s="973"/>
      <c r="KRD101" s="973"/>
      <c r="KRE101" s="973"/>
      <c r="KRF101" s="973"/>
      <c r="KRG101" s="973"/>
      <c r="KRH101" s="973"/>
      <c r="KRI101" s="973"/>
      <c r="KRJ101" s="973"/>
      <c r="KRK101" s="973"/>
      <c r="KRL101" s="973"/>
      <c r="KRM101" s="973"/>
      <c r="KRN101" s="973"/>
      <c r="KRO101" s="973"/>
      <c r="KRP101" s="973"/>
      <c r="KRQ101" s="973"/>
      <c r="KRR101" s="973"/>
      <c r="KRS101" s="973"/>
      <c r="KRT101" s="973"/>
      <c r="KRU101" s="973"/>
      <c r="KRV101" s="973"/>
      <c r="KRW101" s="973"/>
      <c r="KRX101" s="973"/>
      <c r="KRY101" s="973"/>
      <c r="KRZ101" s="973"/>
      <c r="KSA101" s="973"/>
      <c r="KSB101" s="973"/>
      <c r="KSC101" s="973"/>
      <c r="KSD101" s="973"/>
      <c r="KSE101" s="973"/>
      <c r="KSF101" s="973"/>
      <c r="KSG101" s="973"/>
      <c r="KSH101" s="973"/>
      <c r="KSI101" s="973"/>
      <c r="KSJ101" s="973"/>
      <c r="KSK101" s="973"/>
      <c r="KSL101" s="973"/>
      <c r="KSM101" s="973"/>
      <c r="KSN101" s="973"/>
      <c r="KSO101" s="973"/>
      <c r="KSP101" s="973"/>
      <c r="KSQ101" s="973"/>
      <c r="KSR101" s="973"/>
      <c r="KSS101" s="973"/>
      <c r="KST101" s="973"/>
      <c r="KSU101" s="973"/>
      <c r="KSV101" s="973"/>
      <c r="KSW101" s="973"/>
      <c r="KSX101" s="973"/>
      <c r="KSY101" s="973"/>
      <c r="KSZ101" s="973"/>
      <c r="KTA101" s="973"/>
      <c r="KTB101" s="973"/>
      <c r="KTC101" s="973"/>
      <c r="KTD101" s="973"/>
      <c r="KTE101" s="973"/>
      <c r="KTF101" s="973"/>
      <c r="KTG101" s="973"/>
      <c r="KTH101" s="973"/>
      <c r="KTI101" s="973"/>
      <c r="KTJ101" s="973"/>
      <c r="KTK101" s="973"/>
      <c r="KTL101" s="973"/>
      <c r="KTM101" s="973"/>
      <c r="KTN101" s="973"/>
      <c r="KTO101" s="973"/>
      <c r="KTP101" s="973"/>
      <c r="KTQ101" s="973"/>
      <c r="KTR101" s="973"/>
      <c r="KTS101" s="973"/>
      <c r="KTT101" s="973"/>
      <c r="KTU101" s="973"/>
      <c r="KTV101" s="973"/>
      <c r="KTW101" s="973"/>
      <c r="KTX101" s="973"/>
      <c r="KTY101" s="973"/>
      <c r="KTZ101" s="973"/>
      <c r="KUA101" s="973"/>
      <c r="KUB101" s="973"/>
      <c r="KUC101" s="973"/>
      <c r="KUD101" s="973"/>
      <c r="KUE101" s="973"/>
      <c r="KUF101" s="973"/>
      <c r="KUG101" s="973"/>
      <c r="KUH101" s="973"/>
      <c r="KUI101" s="973"/>
      <c r="KUJ101" s="973"/>
      <c r="KUK101" s="973"/>
      <c r="KUL101" s="973"/>
      <c r="KUM101" s="973"/>
      <c r="KUN101" s="973"/>
      <c r="KUO101" s="973"/>
      <c r="KUP101" s="973"/>
      <c r="KUQ101" s="973"/>
      <c r="KUR101" s="973"/>
      <c r="KUS101" s="973"/>
      <c r="KUT101" s="973"/>
      <c r="KUU101" s="973"/>
      <c r="KUV101" s="973"/>
      <c r="KUW101" s="973"/>
      <c r="KUX101" s="973"/>
      <c r="KUY101" s="973"/>
      <c r="KUZ101" s="973"/>
      <c r="KVA101" s="973"/>
      <c r="KVB101" s="973"/>
      <c r="KVC101" s="973"/>
      <c r="KVD101" s="973"/>
      <c r="KVE101" s="973"/>
      <c r="KVF101" s="973"/>
      <c r="KVG101" s="973"/>
      <c r="KVH101" s="973"/>
      <c r="KVI101" s="973"/>
      <c r="KVJ101" s="973"/>
      <c r="KVK101" s="973"/>
      <c r="KVL101" s="973"/>
      <c r="KVM101" s="973"/>
      <c r="KVN101" s="973"/>
      <c r="KVO101" s="973"/>
      <c r="KVP101" s="973"/>
      <c r="KVQ101" s="973"/>
      <c r="KVR101" s="973"/>
      <c r="KVS101" s="973"/>
      <c r="KVT101" s="973"/>
      <c r="KVU101" s="973"/>
      <c r="KVV101" s="973"/>
      <c r="KVW101" s="973"/>
      <c r="KVX101" s="973"/>
      <c r="KVY101" s="973"/>
      <c r="KVZ101" s="973"/>
      <c r="KWA101" s="973"/>
      <c r="KWB101" s="973"/>
      <c r="KWC101" s="973"/>
      <c r="KWD101" s="973"/>
      <c r="KWE101" s="973"/>
      <c r="KWF101" s="973"/>
      <c r="KWG101" s="973"/>
      <c r="KWH101" s="973"/>
      <c r="KWI101" s="973"/>
      <c r="KWJ101" s="973"/>
      <c r="KWK101" s="973"/>
      <c r="KWL101" s="973"/>
      <c r="KWM101" s="973"/>
      <c r="KWN101" s="973"/>
      <c r="KWO101" s="973"/>
      <c r="KWP101" s="973"/>
      <c r="KWQ101" s="973"/>
      <c r="KWR101" s="973"/>
      <c r="KWS101" s="973"/>
      <c r="KWT101" s="973"/>
      <c r="KWU101" s="973"/>
      <c r="KWV101" s="973"/>
      <c r="KWW101" s="973"/>
      <c r="KWX101" s="973"/>
      <c r="KWY101" s="973"/>
      <c r="KWZ101" s="973"/>
      <c r="KXA101" s="973"/>
      <c r="KXB101" s="973"/>
      <c r="KXC101" s="973"/>
      <c r="KXD101" s="973"/>
      <c r="KXE101" s="973"/>
      <c r="KXF101" s="973"/>
      <c r="KXG101" s="973"/>
      <c r="KXH101" s="973"/>
      <c r="KXI101" s="973"/>
      <c r="KXJ101" s="973"/>
      <c r="KXK101" s="973"/>
      <c r="KXL101" s="973"/>
      <c r="KXM101" s="973"/>
      <c r="KXN101" s="973"/>
      <c r="KXO101" s="973"/>
      <c r="KXP101" s="973"/>
      <c r="KXQ101" s="973"/>
      <c r="KXR101" s="973"/>
      <c r="KXS101" s="973"/>
      <c r="KXT101" s="973"/>
      <c r="KXU101" s="973"/>
      <c r="KXV101" s="973"/>
      <c r="KXW101" s="973"/>
      <c r="KXX101" s="973"/>
      <c r="KXY101" s="973"/>
      <c r="KXZ101" s="973"/>
      <c r="KYA101" s="973"/>
      <c r="KYB101" s="973"/>
      <c r="KYC101" s="973"/>
      <c r="KYD101" s="973"/>
      <c r="KYE101" s="973"/>
      <c r="KYF101" s="973"/>
      <c r="KYG101" s="973"/>
      <c r="KYH101" s="973"/>
      <c r="KYI101" s="973"/>
      <c r="KYJ101" s="973"/>
      <c r="KYK101" s="973"/>
      <c r="KYL101" s="973"/>
      <c r="KYM101" s="973"/>
      <c r="KYN101" s="973"/>
      <c r="KYO101" s="973"/>
      <c r="KYP101" s="973"/>
      <c r="KYQ101" s="973"/>
      <c r="KYR101" s="973"/>
      <c r="KYS101" s="973"/>
      <c r="KYT101" s="973"/>
      <c r="KYU101" s="973"/>
      <c r="KYV101" s="973"/>
      <c r="KYW101" s="973"/>
      <c r="KYX101" s="973"/>
      <c r="KYY101" s="973"/>
      <c r="KYZ101" s="973"/>
      <c r="KZA101" s="973"/>
      <c r="KZB101" s="973"/>
      <c r="KZC101" s="973"/>
      <c r="KZD101" s="973"/>
      <c r="KZE101" s="973"/>
      <c r="KZF101" s="973"/>
      <c r="KZG101" s="973"/>
      <c r="KZH101" s="973"/>
      <c r="KZI101" s="973"/>
      <c r="KZJ101" s="973"/>
      <c r="KZK101" s="973"/>
      <c r="KZL101" s="973"/>
      <c r="KZM101" s="973"/>
      <c r="KZN101" s="973"/>
      <c r="KZO101" s="973"/>
      <c r="KZP101" s="973"/>
      <c r="KZQ101" s="973"/>
      <c r="KZR101" s="973"/>
      <c r="KZS101" s="973"/>
      <c r="KZT101" s="973"/>
      <c r="KZU101" s="973"/>
      <c r="KZV101" s="973"/>
      <c r="KZW101" s="973"/>
      <c r="KZX101" s="973"/>
      <c r="KZY101" s="973"/>
      <c r="KZZ101" s="973"/>
      <c r="LAA101" s="973"/>
      <c r="LAB101" s="973"/>
      <c r="LAC101" s="973"/>
      <c r="LAD101" s="973"/>
      <c r="LAE101" s="973"/>
      <c r="LAF101" s="973"/>
      <c r="LAG101" s="973"/>
      <c r="LAH101" s="973"/>
      <c r="LAI101" s="973"/>
      <c r="LAJ101" s="973"/>
      <c r="LAK101" s="973"/>
      <c r="LAL101" s="973"/>
      <c r="LAM101" s="973"/>
      <c r="LAN101" s="973"/>
      <c r="LAO101" s="973"/>
      <c r="LAP101" s="973"/>
      <c r="LAQ101" s="973"/>
      <c r="LAR101" s="973"/>
      <c r="LAS101" s="973"/>
      <c r="LAT101" s="973"/>
      <c r="LAU101" s="973"/>
      <c r="LAV101" s="973"/>
      <c r="LAW101" s="973"/>
      <c r="LAX101" s="973"/>
      <c r="LAY101" s="973"/>
      <c r="LAZ101" s="973"/>
      <c r="LBA101" s="973"/>
      <c r="LBB101" s="973"/>
      <c r="LBC101" s="973"/>
      <c r="LBD101" s="973"/>
      <c r="LBE101" s="973"/>
      <c r="LBF101" s="973"/>
      <c r="LBG101" s="973"/>
      <c r="LBH101" s="973"/>
      <c r="LBI101" s="973"/>
      <c r="LBJ101" s="973"/>
      <c r="LBK101" s="973"/>
      <c r="LBL101" s="973"/>
      <c r="LBM101" s="973"/>
      <c r="LBN101" s="973"/>
      <c r="LBO101" s="973"/>
      <c r="LBP101" s="973"/>
      <c r="LBQ101" s="973"/>
      <c r="LBR101" s="973"/>
      <c r="LBS101" s="973"/>
      <c r="LBT101" s="973"/>
      <c r="LBU101" s="973"/>
      <c r="LBV101" s="973"/>
      <c r="LBW101" s="973"/>
      <c r="LBX101" s="973"/>
      <c r="LBY101" s="973"/>
      <c r="LBZ101" s="973"/>
      <c r="LCA101" s="973"/>
      <c r="LCB101" s="973"/>
      <c r="LCC101" s="973"/>
      <c r="LCD101" s="973"/>
      <c r="LCE101" s="973"/>
      <c r="LCF101" s="973"/>
      <c r="LCG101" s="973"/>
      <c r="LCH101" s="973"/>
      <c r="LCI101" s="973"/>
      <c r="LCJ101" s="973"/>
      <c r="LCK101" s="973"/>
      <c r="LCL101" s="973"/>
      <c r="LCM101" s="973"/>
      <c r="LCN101" s="973"/>
      <c r="LCO101" s="973"/>
      <c r="LCP101" s="973"/>
      <c r="LCQ101" s="973"/>
      <c r="LCR101" s="973"/>
      <c r="LCS101" s="973"/>
      <c r="LCT101" s="973"/>
      <c r="LCU101" s="973"/>
      <c r="LCV101" s="973"/>
      <c r="LCW101" s="973"/>
      <c r="LCX101" s="973"/>
      <c r="LCY101" s="973"/>
      <c r="LCZ101" s="973"/>
      <c r="LDA101" s="973"/>
      <c r="LDB101" s="973"/>
      <c r="LDC101" s="973"/>
      <c r="LDD101" s="973"/>
      <c r="LDE101" s="973"/>
      <c r="LDF101" s="973"/>
      <c r="LDG101" s="973"/>
      <c r="LDH101" s="973"/>
      <c r="LDI101" s="973"/>
      <c r="LDJ101" s="973"/>
      <c r="LDK101" s="973"/>
      <c r="LDL101" s="973"/>
      <c r="LDM101" s="973"/>
      <c r="LDN101" s="973"/>
      <c r="LDO101" s="973"/>
      <c r="LDP101" s="973"/>
      <c r="LDQ101" s="973"/>
      <c r="LDR101" s="973"/>
      <c r="LDS101" s="973"/>
      <c r="LDT101" s="973"/>
      <c r="LDU101" s="973"/>
      <c r="LDV101" s="973"/>
      <c r="LDW101" s="973"/>
      <c r="LDX101" s="973"/>
      <c r="LDY101" s="973"/>
      <c r="LDZ101" s="973"/>
      <c r="LEA101" s="973"/>
      <c r="LEB101" s="973"/>
      <c r="LEC101" s="973"/>
      <c r="LED101" s="973"/>
      <c r="LEE101" s="973"/>
      <c r="LEF101" s="973"/>
      <c r="LEG101" s="973"/>
      <c r="LEH101" s="973"/>
      <c r="LEI101" s="973"/>
      <c r="LEJ101" s="973"/>
      <c r="LEK101" s="973"/>
      <c r="LEL101" s="973"/>
      <c r="LEM101" s="973"/>
      <c r="LEN101" s="973"/>
      <c r="LEO101" s="973"/>
      <c r="LEP101" s="973"/>
      <c r="LEQ101" s="973"/>
      <c r="LER101" s="973"/>
      <c r="LES101" s="973"/>
      <c r="LET101" s="973"/>
      <c r="LEU101" s="973"/>
      <c r="LEV101" s="973"/>
      <c r="LEW101" s="973"/>
      <c r="LEX101" s="973"/>
      <c r="LEY101" s="973"/>
      <c r="LEZ101" s="973"/>
      <c r="LFA101" s="973"/>
      <c r="LFB101" s="973"/>
      <c r="LFC101" s="973"/>
      <c r="LFD101" s="973"/>
      <c r="LFE101" s="973"/>
      <c r="LFF101" s="973"/>
      <c r="LFG101" s="973"/>
      <c r="LFH101" s="973"/>
      <c r="LFI101" s="973"/>
      <c r="LFJ101" s="973"/>
      <c r="LFK101" s="973"/>
      <c r="LFL101" s="973"/>
      <c r="LFM101" s="973"/>
      <c r="LFN101" s="973"/>
      <c r="LFO101" s="973"/>
      <c r="LFP101" s="973"/>
      <c r="LFQ101" s="973"/>
      <c r="LFR101" s="973"/>
      <c r="LFS101" s="973"/>
      <c r="LFT101" s="973"/>
      <c r="LFU101" s="973"/>
      <c r="LFV101" s="973"/>
      <c r="LFW101" s="973"/>
      <c r="LFX101" s="973"/>
      <c r="LFY101" s="973"/>
      <c r="LFZ101" s="973"/>
      <c r="LGA101" s="973"/>
      <c r="LGB101" s="973"/>
      <c r="LGC101" s="973"/>
      <c r="LGD101" s="973"/>
      <c r="LGE101" s="973"/>
      <c r="LGF101" s="973"/>
      <c r="LGG101" s="973"/>
      <c r="LGH101" s="973"/>
      <c r="LGI101" s="973"/>
      <c r="LGJ101" s="973"/>
      <c r="LGK101" s="973"/>
      <c r="LGL101" s="973"/>
      <c r="LGM101" s="973"/>
      <c r="LGN101" s="973"/>
      <c r="LGO101" s="973"/>
      <c r="LGP101" s="973"/>
      <c r="LGQ101" s="973"/>
      <c r="LGR101" s="973"/>
      <c r="LGS101" s="973"/>
      <c r="LGT101" s="973"/>
      <c r="LGU101" s="973"/>
      <c r="LGV101" s="973"/>
      <c r="LGW101" s="973"/>
      <c r="LGX101" s="973"/>
      <c r="LGY101" s="973"/>
      <c r="LGZ101" s="973"/>
      <c r="LHA101" s="973"/>
      <c r="LHB101" s="973"/>
      <c r="LHC101" s="973"/>
      <c r="LHD101" s="973"/>
      <c r="LHE101" s="973"/>
      <c r="LHF101" s="973"/>
      <c r="LHG101" s="973"/>
      <c r="LHH101" s="973"/>
      <c r="LHI101" s="973"/>
      <c r="LHJ101" s="973"/>
      <c r="LHK101" s="973"/>
      <c r="LHL101" s="973"/>
      <c r="LHM101" s="973"/>
      <c r="LHN101" s="973"/>
      <c r="LHO101" s="973"/>
      <c r="LHP101" s="973"/>
      <c r="LHQ101" s="973"/>
      <c r="LHR101" s="973"/>
      <c r="LHS101" s="973"/>
      <c r="LHT101" s="973"/>
      <c r="LHU101" s="973"/>
      <c r="LHV101" s="973"/>
      <c r="LHW101" s="973"/>
      <c r="LHX101" s="973"/>
      <c r="LHY101" s="973"/>
      <c r="LHZ101" s="973"/>
      <c r="LIA101" s="973"/>
      <c r="LIB101" s="973"/>
      <c r="LIC101" s="973"/>
      <c r="LID101" s="973"/>
      <c r="LIE101" s="973"/>
      <c r="LIF101" s="973"/>
      <c r="LIG101" s="973"/>
      <c r="LIH101" s="973"/>
      <c r="LII101" s="973"/>
      <c r="LIJ101" s="973"/>
      <c r="LIK101" s="973"/>
      <c r="LIL101" s="973"/>
      <c r="LIM101" s="973"/>
      <c r="LIN101" s="973"/>
      <c r="LIO101" s="973"/>
      <c r="LIP101" s="973"/>
      <c r="LIQ101" s="973"/>
      <c r="LIR101" s="973"/>
      <c r="LIS101" s="973"/>
      <c r="LIT101" s="973"/>
      <c r="LIU101" s="973"/>
      <c r="LIV101" s="973"/>
      <c r="LIW101" s="973"/>
      <c r="LIX101" s="973"/>
      <c r="LIY101" s="973"/>
      <c r="LIZ101" s="973"/>
      <c r="LJA101" s="973"/>
      <c r="LJB101" s="973"/>
      <c r="LJC101" s="973"/>
      <c r="LJD101" s="973"/>
      <c r="LJE101" s="973"/>
      <c r="LJF101" s="973"/>
      <c r="LJG101" s="973"/>
      <c r="LJH101" s="973"/>
      <c r="LJI101" s="973"/>
      <c r="LJJ101" s="973"/>
      <c r="LJK101" s="973"/>
      <c r="LJL101" s="973"/>
      <c r="LJM101" s="973"/>
      <c r="LJN101" s="973"/>
      <c r="LJO101" s="973"/>
      <c r="LJP101" s="973"/>
      <c r="LJQ101" s="973"/>
      <c r="LJR101" s="973"/>
      <c r="LJS101" s="973"/>
      <c r="LJT101" s="973"/>
      <c r="LJU101" s="973"/>
      <c r="LJV101" s="973"/>
      <c r="LJW101" s="973"/>
      <c r="LJX101" s="973"/>
      <c r="LJY101" s="973"/>
      <c r="LJZ101" s="973"/>
      <c r="LKA101" s="973"/>
      <c r="LKB101" s="973"/>
      <c r="LKC101" s="973"/>
      <c r="LKD101" s="973"/>
      <c r="LKE101" s="973"/>
      <c r="LKF101" s="973"/>
      <c r="LKG101" s="973"/>
      <c r="LKH101" s="973"/>
      <c r="LKI101" s="973"/>
      <c r="LKJ101" s="973"/>
      <c r="LKK101" s="973"/>
      <c r="LKL101" s="973"/>
      <c r="LKM101" s="973"/>
      <c r="LKN101" s="973"/>
      <c r="LKO101" s="973"/>
      <c r="LKP101" s="973"/>
      <c r="LKQ101" s="973"/>
      <c r="LKR101" s="973"/>
      <c r="LKS101" s="973"/>
      <c r="LKT101" s="973"/>
      <c r="LKU101" s="973"/>
      <c r="LKV101" s="973"/>
      <c r="LKW101" s="973"/>
      <c r="LKX101" s="973"/>
      <c r="LKY101" s="973"/>
      <c r="LKZ101" s="973"/>
      <c r="LLA101" s="973"/>
      <c r="LLB101" s="973"/>
      <c r="LLC101" s="973"/>
      <c r="LLD101" s="973"/>
      <c r="LLE101" s="973"/>
      <c r="LLF101" s="973"/>
      <c r="LLG101" s="973"/>
      <c r="LLH101" s="973"/>
      <c r="LLI101" s="973"/>
      <c r="LLJ101" s="973"/>
      <c r="LLK101" s="973"/>
      <c r="LLL101" s="973"/>
      <c r="LLM101" s="973"/>
      <c r="LLN101" s="973"/>
      <c r="LLO101" s="973"/>
      <c r="LLP101" s="973"/>
      <c r="LLQ101" s="973"/>
      <c r="LLR101" s="973"/>
      <c r="LLS101" s="973"/>
      <c r="LLT101" s="973"/>
      <c r="LLU101" s="973"/>
      <c r="LLV101" s="973"/>
      <c r="LLW101" s="973"/>
      <c r="LLX101" s="973"/>
      <c r="LLY101" s="973"/>
      <c r="LLZ101" s="973"/>
      <c r="LMA101" s="973"/>
      <c r="LMB101" s="973"/>
      <c r="LMC101" s="973"/>
      <c r="LMD101" s="973"/>
      <c r="LME101" s="973"/>
      <c r="LMF101" s="973"/>
      <c r="LMG101" s="973"/>
      <c r="LMH101" s="973"/>
      <c r="LMI101" s="973"/>
      <c r="LMJ101" s="973"/>
      <c r="LMK101" s="973"/>
      <c r="LML101" s="973"/>
      <c r="LMM101" s="973"/>
      <c r="LMN101" s="973"/>
      <c r="LMO101" s="973"/>
      <c r="LMP101" s="973"/>
      <c r="LMQ101" s="973"/>
      <c r="LMR101" s="973"/>
      <c r="LMS101" s="973"/>
      <c r="LMT101" s="973"/>
      <c r="LMU101" s="973"/>
      <c r="LMV101" s="973"/>
      <c r="LMW101" s="973"/>
      <c r="LMX101" s="973"/>
      <c r="LMY101" s="973"/>
      <c r="LMZ101" s="973"/>
      <c r="LNA101" s="973"/>
      <c r="LNB101" s="973"/>
      <c r="LNC101" s="973"/>
      <c r="LND101" s="973"/>
      <c r="LNE101" s="973"/>
      <c r="LNF101" s="973"/>
      <c r="LNG101" s="973"/>
      <c r="LNH101" s="973"/>
      <c r="LNI101" s="973"/>
      <c r="LNJ101" s="973"/>
      <c r="LNK101" s="973"/>
      <c r="LNL101" s="973"/>
      <c r="LNM101" s="973"/>
      <c r="LNN101" s="973"/>
      <c r="LNO101" s="973"/>
      <c r="LNP101" s="973"/>
      <c r="LNQ101" s="973"/>
      <c r="LNR101" s="973"/>
      <c r="LNS101" s="973"/>
      <c r="LNT101" s="973"/>
      <c r="LNU101" s="973"/>
      <c r="LNV101" s="973"/>
      <c r="LNW101" s="973"/>
      <c r="LNX101" s="973"/>
      <c r="LNY101" s="973"/>
      <c r="LNZ101" s="973"/>
      <c r="LOA101" s="973"/>
      <c r="LOB101" s="973"/>
      <c r="LOC101" s="973"/>
      <c r="LOD101" s="973"/>
      <c r="LOE101" s="973"/>
      <c r="LOF101" s="973"/>
      <c r="LOG101" s="973"/>
      <c r="LOH101" s="973"/>
      <c r="LOI101" s="973"/>
      <c r="LOJ101" s="973"/>
      <c r="LOK101" s="973"/>
      <c r="LOL101" s="973"/>
      <c r="LOM101" s="973"/>
      <c r="LON101" s="973"/>
      <c r="LOO101" s="973"/>
      <c r="LOP101" s="973"/>
      <c r="LOQ101" s="973"/>
      <c r="LOR101" s="973"/>
      <c r="LOS101" s="973"/>
      <c r="LOT101" s="973"/>
      <c r="LOU101" s="973"/>
      <c r="LOV101" s="973"/>
      <c r="LOW101" s="973"/>
      <c r="LOX101" s="973"/>
      <c r="LOY101" s="973"/>
      <c r="LOZ101" s="973"/>
      <c r="LPA101" s="973"/>
      <c r="LPB101" s="973"/>
      <c r="LPC101" s="973"/>
      <c r="LPD101" s="973"/>
      <c r="LPE101" s="973"/>
      <c r="LPF101" s="973"/>
      <c r="LPG101" s="973"/>
      <c r="LPH101" s="973"/>
      <c r="LPI101" s="973"/>
      <c r="LPJ101" s="973"/>
      <c r="LPK101" s="973"/>
      <c r="LPL101" s="973"/>
      <c r="LPM101" s="973"/>
      <c r="LPN101" s="973"/>
      <c r="LPO101" s="973"/>
      <c r="LPP101" s="973"/>
      <c r="LPQ101" s="973"/>
      <c r="LPR101" s="973"/>
      <c r="LPS101" s="973"/>
      <c r="LPT101" s="973"/>
      <c r="LPU101" s="973"/>
      <c r="LPV101" s="973"/>
      <c r="LPW101" s="973"/>
      <c r="LPX101" s="973"/>
      <c r="LPY101" s="973"/>
      <c r="LPZ101" s="973"/>
      <c r="LQA101" s="973"/>
      <c r="LQB101" s="973"/>
      <c r="LQC101" s="973"/>
      <c r="LQD101" s="973"/>
      <c r="LQE101" s="973"/>
      <c r="LQF101" s="973"/>
      <c r="LQG101" s="973"/>
      <c r="LQH101" s="973"/>
      <c r="LQI101" s="973"/>
      <c r="LQJ101" s="973"/>
      <c r="LQK101" s="973"/>
      <c r="LQL101" s="973"/>
      <c r="LQM101" s="973"/>
      <c r="LQN101" s="973"/>
      <c r="LQO101" s="973"/>
      <c r="LQP101" s="973"/>
      <c r="LQQ101" s="973"/>
      <c r="LQR101" s="973"/>
      <c r="LQS101" s="973"/>
      <c r="LQT101" s="973"/>
      <c r="LQU101" s="973"/>
      <c r="LQV101" s="973"/>
      <c r="LQW101" s="973"/>
      <c r="LQX101" s="973"/>
      <c r="LQY101" s="973"/>
      <c r="LQZ101" s="973"/>
      <c r="LRA101" s="973"/>
      <c r="LRB101" s="973"/>
      <c r="LRC101" s="973"/>
      <c r="LRD101" s="973"/>
      <c r="LRE101" s="973"/>
      <c r="LRF101" s="973"/>
      <c r="LRG101" s="973"/>
      <c r="LRH101" s="973"/>
      <c r="LRI101" s="973"/>
      <c r="LRJ101" s="973"/>
      <c r="LRK101" s="973"/>
      <c r="LRL101" s="973"/>
      <c r="LRM101" s="973"/>
      <c r="LRN101" s="973"/>
      <c r="LRO101" s="973"/>
      <c r="LRP101" s="973"/>
      <c r="LRQ101" s="973"/>
      <c r="LRR101" s="973"/>
      <c r="LRS101" s="973"/>
      <c r="LRT101" s="973"/>
      <c r="LRU101" s="973"/>
      <c r="LRV101" s="973"/>
      <c r="LRW101" s="973"/>
      <c r="LRX101" s="973"/>
      <c r="LRY101" s="973"/>
      <c r="LRZ101" s="973"/>
      <c r="LSA101" s="973"/>
      <c r="LSB101" s="973"/>
      <c r="LSC101" s="973"/>
      <c r="LSD101" s="973"/>
      <c r="LSE101" s="973"/>
      <c r="LSF101" s="973"/>
      <c r="LSG101" s="973"/>
      <c r="LSH101" s="973"/>
      <c r="LSI101" s="973"/>
      <c r="LSJ101" s="973"/>
      <c r="LSK101" s="973"/>
      <c r="LSL101" s="973"/>
      <c r="LSM101" s="973"/>
      <c r="LSN101" s="973"/>
      <c r="LSO101" s="973"/>
      <c r="LSP101" s="973"/>
      <c r="LSQ101" s="973"/>
      <c r="LSR101" s="973"/>
      <c r="LSS101" s="973"/>
      <c r="LST101" s="973"/>
      <c r="LSU101" s="973"/>
      <c r="LSV101" s="973"/>
      <c r="LSW101" s="973"/>
      <c r="LSX101" s="973"/>
      <c r="LSY101" s="973"/>
      <c r="LSZ101" s="973"/>
      <c r="LTA101" s="973"/>
      <c r="LTB101" s="973"/>
      <c r="LTC101" s="973"/>
      <c r="LTD101" s="973"/>
      <c r="LTE101" s="973"/>
      <c r="LTF101" s="973"/>
      <c r="LTG101" s="973"/>
      <c r="LTH101" s="973"/>
      <c r="LTI101" s="973"/>
      <c r="LTJ101" s="973"/>
      <c r="LTK101" s="973"/>
      <c r="LTL101" s="973"/>
      <c r="LTM101" s="973"/>
      <c r="LTN101" s="973"/>
      <c r="LTO101" s="973"/>
      <c r="LTP101" s="973"/>
      <c r="LTQ101" s="973"/>
      <c r="LTR101" s="973"/>
      <c r="LTS101" s="973"/>
      <c r="LTT101" s="973"/>
      <c r="LTU101" s="973"/>
      <c r="LTV101" s="973"/>
      <c r="LTW101" s="973"/>
      <c r="LTX101" s="973"/>
      <c r="LTY101" s="973"/>
      <c r="LTZ101" s="973"/>
      <c r="LUA101" s="973"/>
      <c r="LUB101" s="973"/>
      <c r="LUC101" s="973"/>
      <c r="LUD101" s="973"/>
      <c r="LUE101" s="973"/>
      <c r="LUF101" s="973"/>
      <c r="LUG101" s="973"/>
      <c r="LUH101" s="973"/>
      <c r="LUI101" s="973"/>
      <c r="LUJ101" s="973"/>
      <c r="LUK101" s="973"/>
      <c r="LUL101" s="973"/>
      <c r="LUM101" s="973"/>
      <c r="LUN101" s="973"/>
      <c r="LUO101" s="973"/>
      <c r="LUP101" s="973"/>
      <c r="LUQ101" s="973"/>
      <c r="LUR101" s="973"/>
      <c r="LUS101" s="973"/>
      <c r="LUT101" s="973"/>
      <c r="LUU101" s="973"/>
      <c r="LUV101" s="973"/>
      <c r="LUW101" s="973"/>
      <c r="LUX101" s="973"/>
      <c r="LUY101" s="973"/>
      <c r="LUZ101" s="973"/>
      <c r="LVA101" s="973"/>
      <c r="LVB101" s="973"/>
      <c r="LVC101" s="973"/>
      <c r="LVD101" s="973"/>
      <c r="LVE101" s="973"/>
      <c r="LVF101" s="973"/>
      <c r="LVG101" s="973"/>
      <c r="LVH101" s="973"/>
      <c r="LVI101" s="973"/>
      <c r="LVJ101" s="973"/>
      <c r="LVK101" s="973"/>
      <c r="LVL101" s="973"/>
      <c r="LVM101" s="973"/>
      <c r="LVN101" s="973"/>
      <c r="LVO101" s="973"/>
      <c r="LVP101" s="973"/>
      <c r="LVQ101" s="973"/>
      <c r="LVR101" s="973"/>
      <c r="LVS101" s="973"/>
      <c r="LVT101" s="973"/>
      <c r="LVU101" s="973"/>
      <c r="LVV101" s="973"/>
      <c r="LVW101" s="973"/>
      <c r="LVX101" s="973"/>
      <c r="LVY101" s="973"/>
      <c r="LVZ101" s="973"/>
      <c r="LWA101" s="973"/>
      <c r="LWB101" s="973"/>
      <c r="LWC101" s="973"/>
      <c r="LWD101" s="973"/>
      <c r="LWE101" s="973"/>
      <c r="LWF101" s="973"/>
      <c r="LWG101" s="973"/>
      <c r="LWH101" s="973"/>
      <c r="LWI101" s="973"/>
      <c r="LWJ101" s="973"/>
      <c r="LWK101" s="973"/>
      <c r="LWL101" s="973"/>
      <c r="LWM101" s="973"/>
      <c r="LWN101" s="973"/>
      <c r="LWO101" s="973"/>
      <c r="LWP101" s="973"/>
      <c r="LWQ101" s="973"/>
      <c r="LWR101" s="973"/>
      <c r="LWS101" s="973"/>
      <c r="LWT101" s="973"/>
      <c r="LWU101" s="973"/>
      <c r="LWV101" s="973"/>
      <c r="LWW101" s="973"/>
      <c r="LWX101" s="973"/>
      <c r="LWY101" s="973"/>
      <c r="LWZ101" s="973"/>
      <c r="LXA101" s="973"/>
      <c r="LXB101" s="973"/>
      <c r="LXC101" s="973"/>
      <c r="LXD101" s="973"/>
      <c r="LXE101" s="973"/>
      <c r="LXF101" s="973"/>
      <c r="LXG101" s="973"/>
      <c r="LXH101" s="973"/>
      <c r="LXI101" s="973"/>
      <c r="LXJ101" s="973"/>
      <c r="LXK101" s="973"/>
      <c r="LXL101" s="973"/>
      <c r="LXM101" s="973"/>
      <c r="LXN101" s="973"/>
      <c r="LXO101" s="973"/>
      <c r="LXP101" s="973"/>
      <c r="LXQ101" s="973"/>
      <c r="LXR101" s="973"/>
      <c r="LXS101" s="973"/>
      <c r="LXT101" s="973"/>
      <c r="LXU101" s="973"/>
      <c r="LXV101" s="973"/>
      <c r="LXW101" s="973"/>
      <c r="LXX101" s="973"/>
      <c r="LXY101" s="973"/>
      <c r="LXZ101" s="973"/>
      <c r="LYA101" s="973"/>
      <c r="LYB101" s="973"/>
      <c r="LYC101" s="973"/>
      <c r="LYD101" s="973"/>
      <c r="LYE101" s="973"/>
      <c r="LYF101" s="973"/>
      <c r="LYG101" s="973"/>
      <c r="LYH101" s="973"/>
      <c r="LYI101" s="973"/>
      <c r="LYJ101" s="973"/>
      <c r="LYK101" s="973"/>
      <c r="LYL101" s="973"/>
      <c r="LYM101" s="973"/>
      <c r="LYN101" s="973"/>
      <c r="LYO101" s="973"/>
      <c r="LYP101" s="973"/>
      <c r="LYQ101" s="973"/>
      <c r="LYR101" s="973"/>
      <c r="LYS101" s="973"/>
      <c r="LYT101" s="973"/>
      <c r="LYU101" s="973"/>
      <c r="LYV101" s="973"/>
      <c r="LYW101" s="973"/>
      <c r="LYX101" s="973"/>
      <c r="LYY101" s="973"/>
      <c r="LYZ101" s="973"/>
      <c r="LZA101" s="973"/>
      <c r="LZB101" s="973"/>
      <c r="LZC101" s="973"/>
      <c r="LZD101" s="973"/>
      <c r="LZE101" s="973"/>
      <c r="LZF101" s="973"/>
      <c r="LZG101" s="973"/>
      <c r="LZH101" s="973"/>
      <c r="LZI101" s="973"/>
      <c r="LZJ101" s="973"/>
      <c r="LZK101" s="973"/>
      <c r="LZL101" s="973"/>
      <c r="LZM101" s="973"/>
      <c r="LZN101" s="973"/>
      <c r="LZO101" s="973"/>
      <c r="LZP101" s="973"/>
      <c r="LZQ101" s="973"/>
      <c r="LZR101" s="973"/>
      <c r="LZS101" s="973"/>
      <c r="LZT101" s="973"/>
      <c r="LZU101" s="973"/>
      <c r="LZV101" s="973"/>
      <c r="LZW101" s="973"/>
      <c r="LZX101" s="973"/>
      <c r="LZY101" s="973"/>
      <c r="LZZ101" s="973"/>
      <c r="MAA101" s="973"/>
      <c r="MAB101" s="973"/>
      <c r="MAC101" s="973"/>
      <c r="MAD101" s="973"/>
      <c r="MAE101" s="973"/>
      <c r="MAF101" s="973"/>
      <c r="MAG101" s="973"/>
      <c r="MAH101" s="973"/>
      <c r="MAI101" s="973"/>
      <c r="MAJ101" s="973"/>
      <c r="MAK101" s="973"/>
      <c r="MAL101" s="973"/>
      <c r="MAM101" s="973"/>
      <c r="MAN101" s="973"/>
      <c r="MAO101" s="973"/>
      <c r="MAP101" s="973"/>
      <c r="MAQ101" s="973"/>
      <c r="MAR101" s="973"/>
      <c r="MAS101" s="973"/>
      <c r="MAT101" s="973"/>
      <c r="MAU101" s="973"/>
      <c r="MAV101" s="973"/>
      <c r="MAW101" s="973"/>
      <c r="MAX101" s="973"/>
      <c r="MAY101" s="973"/>
      <c r="MAZ101" s="973"/>
      <c r="MBA101" s="973"/>
      <c r="MBB101" s="973"/>
      <c r="MBC101" s="973"/>
      <c r="MBD101" s="973"/>
      <c r="MBE101" s="973"/>
      <c r="MBF101" s="973"/>
      <c r="MBG101" s="973"/>
      <c r="MBH101" s="973"/>
      <c r="MBI101" s="973"/>
      <c r="MBJ101" s="973"/>
      <c r="MBK101" s="973"/>
      <c r="MBL101" s="973"/>
      <c r="MBM101" s="973"/>
      <c r="MBN101" s="973"/>
      <c r="MBO101" s="973"/>
      <c r="MBP101" s="973"/>
      <c r="MBQ101" s="973"/>
      <c r="MBR101" s="973"/>
      <c r="MBS101" s="973"/>
      <c r="MBT101" s="973"/>
      <c r="MBU101" s="973"/>
      <c r="MBV101" s="973"/>
      <c r="MBW101" s="973"/>
      <c r="MBX101" s="973"/>
      <c r="MBY101" s="973"/>
      <c r="MBZ101" s="973"/>
      <c r="MCA101" s="973"/>
      <c r="MCB101" s="973"/>
      <c r="MCC101" s="973"/>
      <c r="MCD101" s="973"/>
      <c r="MCE101" s="973"/>
      <c r="MCF101" s="973"/>
      <c r="MCG101" s="973"/>
      <c r="MCH101" s="973"/>
      <c r="MCI101" s="973"/>
      <c r="MCJ101" s="973"/>
      <c r="MCK101" s="973"/>
      <c r="MCL101" s="973"/>
      <c r="MCM101" s="973"/>
      <c r="MCN101" s="973"/>
      <c r="MCO101" s="973"/>
      <c r="MCP101" s="973"/>
      <c r="MCQ101" s="973"/>
      <c r="MCR101" s="973"/>
      <c r="MCS101" s="973"/>
      <c r="MCT101" s="973"/>
      <c r="MCU101" s="973"/>
      <c r="MCV101" s="973"/>
      <c r="MCW101" s="973"/>
      <c r="MCX101" s="973"/>
      <c r="MCY101" s="973"/>
      <c r="MCZ101" s="973"/>
      <c r="MDA101" s="973"/>
      <c r="MDB101" s="973"/>
      <c r="MDC101" s="973"/>
      <c r="MDD101" s="973"/>
      <c r="MDE101" s="973"/>
      <c r="MDF101" s="973"/>
      <c r="MDG101" s="973"/>
      <c r="MDH101" s="973"/>
      <c r="MDI101" s="973"/>
      <c r="MDJ101" s="973"/>
      <c r="MDK101" s="973"/>
      <c r="MDL101" s="973"/>
      <c r="MDM101" s="973"/>
      <c r="MDN101" s="973"/>
      <c r="MDO101" s="973"/>
      <c r="MDP101" s="973"/>
      <c r="MDQ101" s="973"/>
      <c r="MDR101" s="973"/>
      <c r="MDS101" s="973"/>
      <c r="MDT101" s="973"/>
      <c r="MDU101" s="973"/>
      <c r="MDV101" s="973"/>
      <c r="MDW101" s="973"/>
      <c r="MDX101" s="973"/>
      <c r="MDY101" s="973"/>
      <c r="MDZ101" s="973"/>
      <c r="MEA101" s="973"/>
      <c r="MEB101" s="973"/>
      <c r="MEC101" s="973"/>
      <c r="MED101" s="973"/>
      <c r="MEE101" s="973"/>
      <c r="MEF101" s="973"/>
      <c r="MEG101" s="973"/>
      <c r="MEH101" s="973"/>
      <c r="MEI101" s="973"/>
      <c r="MEJ101" s="973"/>
      <c r="MEK101" s="973"/>
      <c r="MEL101" s="973"/>
      <c r="MEM101" s="973"/>
      <c r="MEN101" s="973"/>
      <c r="MEO101" s="973"/>
      <c r="MEP101" s="973"/>
      <c r="MEQ101" s="973"/>
      <c r="MER101" s="973"/>
      <c r="MES101" s="973"/>
      <c r="MET101" s="973"/>
      <c r="MEU101" s="973"/>
      <c r="MEV101" s="973"/>
      <c r="MEW101" s="973"/>
      <c r="MEX101" s="973"/>
      <c r="MEY101" s="973"/>
      <c r="MEZ101" s="973"/>
      <c r="MFA101" s="973"/>
      <c r="MFB101" s="973"/>
      <c r="MFC101" s="973"/>
      <c r="MFD101" s="973"/>
      <c r="MFE101" s="973"/>
      <c r="MFF101" s="973"/>
      <c r="MFG101" s="973"/>
      <c r="MFH101" s="973"/>
      <c r="MFI101" s="973"/>
      <c r="MFJ101" s="973"/>
      <c r="MFK101" s="973"/>
      <c r="MFL101" s="973"/>
      <c r="MFM101" s="973"/>
      <c r="MFN101" s="973"/>
      <c r="MFO101" s="973"/>
      <c r="MFP101" s="973"/>
      <c r="MFQ101" s="973"/>
      <c r="MFR101" s="973"/>
      <c r="MFS101" s="973"/>
      <c r="MFT101" s="973"/>
      <c r="MFU101" s="973"/>
      <c r="MFV101" s="973"/>
      <c r="MFW101" s="973"/>
      <c r="MFX101" s="973"/>
      <c r="MFY101" s="973"/>
      <c r="MFZ101" s="973"/>
      <c r="MGA101" s="973"/>
      <c r="MGB101" s="973"/>
      <c r="MGC101" s="973"/>
      <c r="MGD101" s="973"/>
      <c r="MGE101" s="973"/>
      <c r="MGF101" s="973"/>
      <c r="MGG101" s="973"/>
      <c r="MGH101" s="973"/>
      <c r="MGI101" s="973"/>
      <c r="MGJ101" s="973"/>
      <c r="MGK101" s="973"/>
      <c r="MGL101" s="973"/>
      <c r="MGM101" s="973"/>
      <c r="MGN101" s="973"/>
      <c r="MGO101" s="973"/>
      <c r="MGP101" s="973"/>
      <c r="MGQ101" s="973"/>
      <c r="MGR101" s="973"/>
      <c r="MGS101" s="973"/>
      <c r="MGT101" s="973"/>
      <c r="MGU101" s="973"/>
      <c r="MGV101" s="973"/>
      <c r="MGW101" s="973"/>
      <c r="MGX101" s="973"/>
      <c r="MGY101" s="973"/>
      <c r="MGZ101" s="973"/>
      <c r="MHA101" s="973"/>
      <c r="MHB101" s="973"/>
      <c r="MHC101" s="973"/>
      <c r="MHD101" s="973"/>
      <c r="MHE101" s="973"/>
      <c r="MHF101" s="973"/>
      <c r="MHG101" s="973"/>
      <c r="MHH101" s="973"/>
      <c r="MHI101" s="973"/>
      <c r="MHJ101" s="973"/>
      <c r="MHK101" s="973"/>
      <c r="MHL101" s="973"/>
      <c r="MHM101" s="973"/>
      <c r="MHN101" s="973"/>
      <c r="MHO101" s="973"/>
      <c r="MHP101" s="973"/>
      <c r="MHQ101" s="973"/>
      <c r="MHR101" s="973"/>
      <c r="MHS101" s="973"/>
      <c r="MHT101" s="973"/>
      <c r="MHU101" s="973"/>
      <c r="MHV101" s="973"/>
      <c r="MHW101" s="973"/>
      <c r="MHX101" s="973"/>
      <c r="MHY101" s="973"/>
      <c r="MHZ101" s="973"/>
      <c r="MIA101" s="973"/>
      <c r="MIB101" s="973"/>
      <c r="MIC101" s="973"/>
      <c r="MID101" s="973"/>
      <c r="MIE101" s="973"/>
      <c r="MIF101" s="973"/>
      <c r="MIG101" s="973"/>
      <c r="MIH101" s="973"/>
      <c r="MII101" s="973"/>
      <c r="MIJ101" s="973"/>
      <c r="MIK101" s="973"/>
      <c r="MIL101" s="973"/>
      <c r="MIM101" s="973"/>
      <c r="MIN101" s="973"/>
      <c r="MIO101" s="973"/>
      <c r="MIP101" s="973"/>
      <c r="MIQ101" s="973"/>
      <c r="MIR101" s="973"/>
      <c r="MIS101" s="973"/>
      <c r="MIT101" s="973"/>
      <c r="MIU101" s="973"/>
      <c r="MIV101" s="973"/>
      <c r="MIW101" s="973"/>
      <c r="MIX101" s="973"/>
      <c r="MIY101" s="973"/>
      <c r="MIZ101" s="973"/>
      <c r="MJA101" s="973"/>
      <c r="MJB101" s="973"/>
      <c r="MJC101" s="973"/>
      <c r="MJD101" s="973"/>
      <c r="MJE101" s="973"/>
      <c r="MJF101" s="973"/>
      <c r="MJG101" s="973"/>
      <c r="MJH101" s="973"/>
      <c r="MJI101" s="973"/>
      <c r="MJJ101" s="973"/>
      <c r="MJK101" s="973"/>
      <c r="MJL101" s="973"/>
      <c r="MJM101" s="973"/>
      <c r="MJN101" s="973"/>
      <c r="MJO101" s="973"/>
      <c r="MJP101" s="973"/>
      <c r="MJQ101" s="973"/>
      <c r="MJR101" s="973"/>
      <c r="MJS101" s="973"/>
      <c r="MJT101" s="973"/>
      <c r="MJU101" s="973"/>
      <c r="MJV101" s="973"/>
      <c r="MJW101" s="973"/>
      <c r="MJX101" s="973"/>
      <c r="MJY101" s="973"/>
      <c r="MJZ101" s="973"/>
      <c r="MKA101" s="973"/>
      <c r="MKB101" s="973"/>
      <c r="MKC101" s="973"/>
      <c r="MKD101" s="973"/>
      <c r="MKE101" s="973"/>
      <c r="MKF101" s="973"/>
      <c r="MKG101" s="973"/>
      <c r="MKH101" s="973"/>
      <c r="MKI101" s="973"/>
      <c r="MKJ101" s="973"/>
      <c r="MKK101" s="973"/>
      <c r="MKL101" s="973"/>
      <c r="MKM101" s="973"/>
      <c r="MKN101" s="973"/>
      <c r="MKO101" s="973"/>
      <c r="MKP101" s="973"/>
      <c r="MKQ101" s="973"/>
      <c r="MKR101" s="973"/>
      <c r="MKS101" s="973"/>
      <c r="MKT101" s="973"/>
      <c r="MKU101" s="973"/>
      <c r="MKV101" s="973"/>
      <c r="MKW101" s="973"/>
      <c r="MKX101" s="973"/>
      <c r="MKY101" s="973"/>
      <c r="MKZ101" s="973"/>
      <c r="MLA101" s="973"/>
      <c r="MLB101" s="973"/>
      <c r="MLC101" s="973"/>
      <c r="MLD101" s="973"/>
      <c r="MLE101" s="973"/>
      <c r="MLF101" s="973"/>
      <c r="MLG101" s="973"/>
      <c r="MLH101" s="973"/>
      <c r="MLI101" s="973"/>
      <c r="MLJ101" s="973"/>
      <c r="MLK101" s="973"/>
      <c r="MLL101" s="973"/>
      <c r="MLM101" s="973"/>
      <c r="MLN101" s="973"/>
      <c r="MLO101" s="973"/>
      <c r="MLP101" s="973"/>
      <c r="MLQ101" s="973"/>
      <c r="MLR101" s="973"/>
      <c r="MLS101" s="973"/>
      <c r="MLT101" s="973"/>
      <c r="MLU101" s="973"/>
      <c r="MLV101" s="973"/>
      <c r="MLW101" s="973"/>
      <c r="MLX101" s="973"/>
      <c r="MLY101" s="973"/>
      <c r="MLZ101" s="973"/>
      <c r="MMA101" s="973"/>
      <c r="MMB101" s="973"/>
      <c r="MMC101" s="973"/>
      <c r="MMD101" s="973"/>
      <c r="MME101" s="973"/>
      <c r="MMF101" s="973"/>
      <c r="MMG101" s="973"/>
      <c r="MMH101" s="973"/>
      <c r="MMI101" s="973"/>
      <c r="MMJ101" s="973"/>
      <c r="MMK101" s="973"/>
      <c r="MML101" s="973"/>
      <c r="MMM101" s="973"/>
      <c r="MMN101" s="973"/>
      <c r="MMO101" s="973"/>
      <c r="MMP101" s="973"/>
      <c r="MMQ101" s="973"/>
      <c r="MMR101" s="973"/>
      <c r="MMS101" s="973"/>
      <c r="MMT101" s="973"/>
      <c r="MMU101" s="973"/>
      <c r="MMV101" s="973"/>
      <c r="MMW101" s="973"/>
      <c r="MMX101" s="973"/>
      <c r="MMY101" s="973"/>
      <c r="MMZ101" s="973"/>
      <c r="MNA101" s="973"/>
      <c r="MNB101" s="973"/>
      <c r="MNC101" s="973"/>
      <c r="MND101" s="973"/>
      <c r="MNE101" s="973"/>
      <c r="MNF101" s="973"/>
      <c r="MNG101" s="973"/>
      <c r="MNH101" s="973"/>
      <c r="MNI101" s="973"/>
      <c r="MNJ101" s="973"/>
      <c r="MNK101" s="973"/>
      <c r="MNL101" s="973"/>
      <c r="MNM101" s="973"/>
      <c r="MNN101" s="973"/>
      <c r="MNO101" s="973"/>
      <c r="MNP101" s="973"/>
      <c r="MNQ101" s="973"/>
      <c r="MNR101" s="973"/>
      <c r="MNS101" s="973"/>
      <c r="MNT101" s="973"/>
      <c r="MNU101" s="973"/>
      <c r="MNV101" s="973"/>
      <c r="MNW101" s="973"/>
      <c r="MNX101" s="973"/>
      <c r="MNY101" s="973"/>
      <c r="MNZ101" s="973"/>
      <c r="MOA101" s="973"/>
      <c r="MOB101" s="973"/>
      <c r="MOC101" s="973"/>
      <c r="MOD101" s="973"/>
      <c r="MOE101" s="973"/>
      <c r="MOF101" s="973"/>
      <c r="MOG101" s="973"/>
      <c r="MOH101" s="973"/>
      <c r="MOI101" s="973"/>
      <c r="MOJ101" s="973"/>
      <c r="MOK101" s="973"/>
      <c r="MOL101" s="973"/>
      <c r="MOM101" s="973"/>
      <c r="MON101" s="973"/>
      <c r="MOO101" s="973"/>
      <c r="MOP101" s="973"/>
      <c r="MOQ101" s="973"/>
      <c r="MOR101" s="973"/>
      <c r="MOS101" s="973"/>
      <c r="MOT101" s="973"/>
      <c r="MOU101" s="973"/>
      <c r="MOV101" s="973"/>
      <c r="MOW101" s="973"/>
      <c r="MOX101" s="973"/>
      <c r="MOY101" s="973"/>
      <c r="MOZ101" s="973"/>
      <c r="MPA101" s="973"/>
      <c r="MPB101" s="973"/>
      <c r="MPC101" s="973"/>
      <c r="MPD101" s="973"/>
      <c r="MPE101" s="973"/>
      <c r="MPF101" s="973"/>
      <c r="MPG101" s="973"/>
      <c r="MPH101" s="973"/>
      <c r="MPI101" s="973"/>
      <c r="MPJ101" s="973"/>
      <c r="MPK101" s="973"/>
      <c r="MPL101" s="973"/>
      <c r="MPM101" s="973"/>
      <c r="MPN101" s="973"/>
      <c r="MPO101" s="973"/>
      <c r="MPP101" s="973"/>
      <c r="MPQ101" s="973"/>
      <c r="MPR101" s="973"/>
      <c r="MPS101" s="973"/>
      <c r="MPT101" s="973"/>
      <c r="MPU101" s="973"/>
      <c r="MPV101" s="973"/>
      <c r="MPW101" s="973"/>
      <c r="MPX101" s="973"/>
      <c r="MPY101" s="973"/>
      <c r="MPZ101" s="973"/>
      <c r="MQA101" s="973"/>
      <c r="MQB101" s="973"/>
      <c r="MQC101" s="973"/>
      <c r="MQD101" s="973"/>
      <c r="MQE101" s="973"/>
      <c r="MQF101" s="973"/>
      <c r="MQG101" s="973"/>
      <c r="MQH101" s="973"/>
      <c r="MQI101" s="973"/>
      <c r="MQJ101" s="973"/>
      <c r="MQK101" s="973"/>
      <c r="MQL101" s="973"/>
      <c r="MQM101" s="973"/>
      <c r="MQN101" s="973"/>
      <c r="MQO101" s="973"/>
      <c r="MQP101" s="973"/>
      <c r="MQQ101" s="973"/>
      <c r="MQR101" s="973"/>
      <c r="MQS101" s="973"/>
      <c r="MQT101" s="973"/>
      <c r="MQU101" s="973"/>
      <c r="MQV101" s="973"/>
      <c r="MQW101" s="973"/>
      <c r="MQX101" s="973"/>
      <c r="MQY101" s="973"/>
      <c r="MQZ101" s="973"/>
      <c r="MRA101" s="973"/>
      <c r="MRB101" s="973"/>
      <c r="MRC101" s="973"/>
      <c r="MRD101" s="973"/>
      <c r="MRE101" s="973"/>
      <c r="MRF101" s="973"/>
      <c r="MRG101" s="973"/>
      <c r="MRH101" s="973"/>
      <c r="MRI101" s="973"/>
      <c r="MRJ101" s="973"/>
      <c r="MRK101" s="973"/>
      <c r="MRL101" s="973"/>
      <c r="MRM101" s="973"/>
      <c r="MRN101" s="973"/>
      <c r="MRO101" s="973"/>
      <c r="MRP101" s="973"/>
      <c r="MRQ101" s="973"/>
      <c r="MRR101" s="973"/>
      <c r="MRS101" s="973"/>
      <c r="MRT101" s="973"/>
      <c r="MRU101" s="973"/>
      <c r="MRV101" s="973"/>
      <c r="MRW101" s="973"/>
      <c r="MRX101" s="973"/>
      <c r="MRY101" s="973"/>
      <c r="MRZ101" s="973"/>
      <c r="MSA101" s="973"/>
      <c r="MSB101" s="973"/>
      <c r="MSC101" s="973"/>
      <c r="MSD101" s="973"/>
      <c r="MSE101" s="973"/>
      <c r="MSF101" s="973"/>
      <c r="MSG101" s="973"/>
      <c r="MSH101" s="973"/>
      <c r="MSI101" s="973"/>
      <c r="MSJ101" s="973"/>
      <c r="MSK101" s="973"/>
      <c r="MSL101" s="973"/>
      <c r="MSM101" s="973"/>
      <c r="MSN101" s="973"/>
      <c r="MSO101" s="973"/>
      <c r="MSP101" s="973"/>
      <c r="MSQ101" s="973"/>
      <c r="MSR101" s="973"/>
      <c r="MSS101" s="973"/>
      <c r="MST101" s="973"/>
      <c r="MSU101" s="973"/>
      <c r="MSV101" s="973"/>
      <c r="MSW101" s="973"/>
      <c r="MSX101" s="973"/>
      <c r="MSY101" s="973"/>
      <c r="MSZ101" s="973"/>
      <c r="MTA101" s="973"/>
      <c r="MTB101" s="973"/>
      <c r="MTC101" s="973"/>
      <c r="MTD101" s="973"/>
      <c r="MTE101" s="973"/>
      <c r="MTF101" s="973"/>
      <c r="MTG101" s="973"/>
      <c r="MTH101" s="973"/>
      <c r="MTI101" s="973"/>
      <c r="MTJ101" s="973"/>
      <c r="MTK101" s="973"/>
      <c r="MTL101" s="973"/>
      <c r="MTM101" s="973"/>
      <c r="MTN101" s="973"/>
      <c r="MTO101" s="973"/>
      <c r="MTP101" s="973"/>
      <c r="MTQ101" s="973"/>
      <c r="MTR101" s="973"/>
      <c r="MTS101" s="973"/>
      <c r="MTT101" s="973"/>
      <c r="MTU101" s="973"/>
      <c r="MTV101" s="973"/>
      <c r="MTW101" s="973"/>
      <c r="MTX101" s="973"/>
      <c r="MTY101" s="973"/>
      <c r="MTZ101" s="973"/>
      <c r="MUA101" s="973"/>
      <c r="MUB101" s="973"/>
      <c r="MUC101" s="973"/>
      <c r="MUD101" s="973"/>
      <c r="MUE101" s="973"/>
      <c r="MUF101" s="973"/>
      <c r="MUG101" s="973"/>
      <c r="MUH101" s="973"/>
      <c r="MUI101" s="973"/>
      <c r="MUJ101" s="973"/>
      <c r="MUK101" s="973"/>
      <c r="MUL101" s="973"/>
      <c r="MUM101" s="973"/>
      <c r="MUN101" s="973"/>
      <c r="MUO101" s="973"/>
      <c r="MUP101" s="973"/>
      <c r="MUQ101" s="973"/>
      <c r="MUR101" s="973"/>
      <c r="MUS101" s="973"/>
      <c r="MUT101" s="973"/>
      <c r="MUU101" s="973"/>
      <c r="MUV101" s="973"/>
      <c r="MUW101" s="973"/>
      <c r="MUX101" s="973"/>
      <c r="MUY101" s="973"/>
      <c r="MUZ101" s="973"/>
      <c r="MVA101" s="973"/>
      <c r="MVB101" s="973"/>
      <c r="MVC101" s="973"/>
      <c r="MVD101" s="973"/>
      <c r="MVE101" s="973"/>
      <c r="MVF101" s="973"/>
      <c r="MVG101" s="973"/>
      <c r="MVH101" s="973"/>
      <c r="MVI101" s="973"/>
      <c r="MVJ101" s="973"/>
      <c r="MVK101" s="973"/>
      <c r="MVL101" s="973"/>
      <c r="MVM101" s="973"/>
      <c r="MVN101" s="973"/>
      <c r="MVO101" s="973"/>
      <c r="MVP101" s="973"/>
      <c r="MVQ101" s="973"/>
      <c r="MVR101" s="973"/>
      <c r="MVS101" s="973"/>
      <c r="MVT101" s="973"/>
      <c r="MVU101" s="973"/>
      <c r="MVV101" s="973"/>
      <c r="MVW101" s="973"/>
      <c r="MVX101" s="973"/>
      <c r="MVY101" s="973"/>
      <c r="MVZ101" s="973"/>
      <c r="MWA101" s="973"/>
      <c r="MWB101" s="973"/>
      <c r="MWC101" s="973"/>
      <c r="MWD101" s="973"/>
      <c r="MWE101" s="973"/>
      <c r="MWF101" s="973"/>
      <c r="MWG101" s="973"/>
      <c r="MWH101" s="973"/>
      <c r="MWI101" s="973"/>
      <c r="MWJ101" s="973"/>
      <c r="MWK101" s="973"/>
      <c r="MWL101" s="973"/>
      <c r="MWM101" s="973"/>
      <c r="MWN101" s="973"/>
      <c r="MWO101" s="973"/>
      <c r="MWP101" s="973"/>
      <c r="MWQ101" s="973"/>
      <c r="MWR101" s="973"/>
      <c r="MWS101" s="973"/>
      <c r="MWT101" s="973"/>
      <c r="MWU101" s="973"/>
      <c r="MWV101" s="973"/>
      <c r="MWW101" s="973"/>
      <c r="MWX101" s="973"/>
      <c r="MWY101" s="973"/>
      <c r="MWZ101" s="973"/>
      <c r="MXA101" s="973"/>
      <c r="MXB101" s="973"/>
      <c r="MXC101" s="973"/>
      <c r="MXD101" s="973"/>
      <c r="MXE101" s="973"/>
      <c r="MXF101" s="973"/>
      <c r="MXG101" s="973"/>
      <c r="MXH101" s="973"/>
      <c r="MXI101" s="973"/>
      <c r="MXJ101" s="973"/>
      <c r="MXK101" s="973"/>
      <c r="MXL101" s="973"/>
      <c r="MXM101" s="973"/>
      <c r="MXN101" s="973"/>
      <c r="MXO101" s="973"/>
      <c r="MXP101" s="973"/>
      <c r="MXQ101" s="973"/>
      <c r="MXR101" s="973"/>
      <c r="MXS101" s="973"/>
      <c r="MXT101" s="973"/>
      <c r="MXU101" s="973"/>
      <c r="MXV101" s="973"/>
      <c r="MXW101" s="973"/>
      <c r="MXX101" s="973"/>
      <c r="MXY101" s="973"/>
      <c r="MXZ101" s="973"/>
      <c r="MYA101" s="973"/>
      <c r="MYB101" s="973"/>
      <c r="MYC101" s="973"/>
      <c r="MYD101" s="973"/>
      <c r="MYE101" s="973"/>
      <c r="MYF101" s="973"/>
      <c r="MYG101" s="973"/>
      <c r="MYH101" s="973"/>
      <c r="MYI101" s="973"/>
      <c r="MYJ101" s="973"/>
      <c r="MYK101" s="973"/>
      <c r="MYL101" s="973"/>
      <c r="MYM101" s="973"/>
      <c r="MYN101" s="973"/>
      <c r="MYO101" s="973"/>
      <c r="MYP101" s="973"/>
      <c r="MYQ101" s="973"/>
      <c r="MYR101" s="973"/>
      <c r="MYS101" s="973"/>
      <c r="MYT101" s="973"/>
      <c r="MYU101" s="973"/>
      <c r="MYV101" s="973"/>
      <c r="MYW101" s="973"/>
      <c r="MYX101" s="973"/>
      <c r="MYY101" s="973"/>
      <c r="MYZ101" s="973"/>
      <c r="MZA101" s="973"/>
      <c r="MZB101" s="973"/>
      <c r="MZC101" s="973"/>
      <c r="MZD101" s="973"/>
      <c r="MZE101" s="973"/>
      <c r="MZF101" s="973"/>
      <c r="MZG101" s="973"/>
      <c r="MZH101" s="973"/>
      <c r="MZI101" s="973"/>
      <c r="MZJ101" s="973"/>
      <c r="MZK101" s="973"/>
      <c r="MZL101" s="973"/>
      <c r="MZM101" s="973"/>
      <c r="MZN101" s="973"/>
      <c r="MZO101" s="973"/>
      <c r="MZP101" s="973"/>
      <c r="MZQ101" s="973"/>
      <c r="MZR101" s="973"/>
      <c r="MZS101" s="973"/>
      <c r="MZT101" s="973"/>
      <c r="MZU101" s="973"/>
      <c r="MZV101" s="973"/>
      <c r="MZW101" s="973"/>
      <c r="MZX101" s="973"/>
      <c r="MZY101" s="973"/>
      <c r="MZZ101" s="973"/>
      <c r="NAA101" s="973"/>
      <c r="NAB101" s="973"/>
      <c r="NAC101" s="973"/>
      <c r="NAD101" s="973"/>
      <c r="NAE101" s="973"/>
      <c r="NAF101" s="973"/>
      <c r="NAG101" s="973"/>
      <c r="NAH101" s="973"/>
      <c r="NAI101" s="973"/>
      <c r="NAJ101" s="973"/>
      <c r="NAK101" s="973"/>
      <c r="NAL101" s="973"/>
      <c r="NAM101" s="973"/>
      <c r="NAN101" s="973"/>
      <c r="NAO101" s="973"/>
      <c r="NAP101" s="973"/>
      <c r="NAQ101" s="973"/>
      <c r="NAR101" s="973"/>
      <c r="NAS101" s="973"/>
      <c r="NAT101" s="973"/>
      <c r="NAU101" s="973"/>
      <c r="NAV101" s="973"/>
      <c r="NAW101" s="973"/>
      <c r="NAX101" s="973"/>
      <c r="NAY101" s="973"/>
      <c r="NAZ101" s="973"/>
      <c r="NBA101" s="973"/>
      <c r="NBB101" s="973"/>
      <c r="NBC101" s="973"/>
      <c r="NBD101" s="973"/>
      <c r="NBE101" s="973"/>
      <c r="NBF101" s="973"/>
      <c r="NBG101" s="973"/>
      <c r="NBH101" s="973"/>
      <c r="NBI101" s="973"/>
      <c r="NBJ101" s="973"/>
      <c r="NBK101" s="973"/>
      <c r="NBL101" s="973"/>
      <c r="NBM101" s="973"/>
      <c r="NBN101" s="973"/>
      <c r="NBO101" s="973"/>
      <c r="NBP101" s="973"/>
      <c r="NBQ101" s="973"/>
      <c r="NBR101" s="973"/>
      <c r="NBS101" s="973"/>
      <c r="NBT101" s="973"/>
      <c r="NBU101" s="973"/>
      <c r="NBV101" s="973"/>
      <c r="NBW101" s="973"/>
      <c r="NBX101" s="973"/>
      <c r="NBY101" s="973"/>
      <c r="NBZ101" s="973"/>
      <c r="NCA101" s="973"/>
      <c r="NCB101" s="973"/>
      <c r="NCC101" s="973"/>
      <c r="NCD101" s="973"/>
      <c r="NCE101" s="973"/>
      <c r="NCF101" s="973"/>
      <c r="NCG101" s="973"/>
      <c r="NCH101" s="973"/>
      <c r="NCI101" s="973"/>
      <c r="NCJ101" s="973"/>
      <c r="NCK101" s="973"/>
      <c r="NCL101" s="973"/>
      <c r="NCM101" s="973"/>
      <c r="NCN101" s="973"/>
      <c r="NCO101" s="973"/>
      <c r="NCP101" s="973"/>
      <c r="NCQ101" s="973"/>
      <c r="NCR101" s="973"/>
      <c r="NCS101" s="973"/>
      <c r="NCT101" s="973"/>
      <c r="NCU101" s="973"/>
      <c r="NCV101" s="973"/>
      <c r="NCW101" s="973"/>
      <c r="NCX101" s="973"/>
      <c r="NCY101" s="973"/>
      <c r="NCZ101" s="973"/>
      <c r="NDA101" s="973"/>
      <c r="NDB101" s="973"/>
      <c r="NDC101" s="973"/>
      <c r="NDD101" s="973"/>
      <c r="NDE101" s="973"/>
      <c r="NDF101" s="973"/>
      <c r="NDG101" s="973"/>
      <c r="NDH101" s="973"/>
      <c r="NDI101" s="973"/>
      <c r="NDJ101" s="973"/>
      <c r="NDK101" s="973"/>
      <c r="NDL101" s="973"/>
      <c r="NDM101" s="973"/>
      <c r="NDN101" s="973"/>
      <c r="NDO101" s="973"/>
      <c r="NDP101" s="973"/>
      <c r="NDQ101" s="973"/>
      <c r="NDR101" s="973"/>
      <c r="NDS101" s="973"/>
      <c r="NDT101" s="973"/>
      <c r="NDU101" s="973"/>
      <c r="NDV101" s="973"/>
      <c r="NDW101" s="973"/>
      <c r="NDX101" s="973"/>
      <c r="NDY101" s="973"/>
      <c r="NDZ101" s="973"/>
      <c r="NEA101" s="973"/>
      <c r="NEB101" s="973"/>
      <c r="NEC101" s="973"/>
      <c r="NED101" s="973"/>
      <c r="NEE101" s="973"/>
      <c r="NEF101" s="973"/>
      <c r="NEG101" s="973"/>
      <c r="NEH101" s="973"/>
      <c r="NEI101" s="973"/>
      <c r="NEJ101" s="973"/>
      <c r="NEK101" s="973"/>
      <c r="NEL101" s="973"/>
      <c r="NEM101" s="973"/>
      <c r="NEN101" s="973"/>
      <c r="NEO101" s="973"/>
      <c r="NEP101" s="973"/>
      <c r="NEQ101" s="973"/>
      <c r="NER101" s="973"/>
      <c r="NES101" s="973"/>
      <c r="NET101" s="973"/>
      <c r="NEU101" s="973"/>
      <c r="NEV101" s="973"/>
      <c r="NEW101" s="973"/>
      <c r="NEX101" s="973"/>
      <c r="NEY101" s="973"/>
      <c r="NEZ101" s="973"/>
      <c r="NFA101" s="973"/>
      <c r="NFB101" s="973"/>
      <c r="NFC101" s="973"/>
      <c r="NFD101" s="973"/>
      <c r="NFE101" s="973"/>
      <c r="NFF101" s="973"/>
      <c r="NFG101" s="973"/>
      <c r="NFH101" s="973"/>
      <c r="NFI101" s="973"/>
      <c r="NFJ101" s="973"/>
      <c r="NFK101" s="973"/>
      <c r="NFL101" s="973"/>
      <c r="NFM101" s="973"/>
      <c r="NFN101" s="973"/>
      <c r="NFO101" s="973"/>
      <c r="NFP101" s="973"/>
      <c r="NFQ101" s="973"/>
      <c r="NFR101" s="973"/>
      <c r="NFS101" s="973"/>
      <c r="NFT101" s="973"/>
      <c r="NFU101" s="973"/>
      <c r="NFV101" s="973"/>
      <c r="NFW101" s="973"/>
      <c r="NFX101" s="973"/>
      <c r="NFY101" s="973"/>
      <c r="NFZ101" s="973"/>
      <c r="NGA101" s="973"/>
      <c r="NGB101" s="973"/>
      <c r="NGC101" s="973"/>
      <c r="NGD101" s="973"/>
      <c r="NGE101" s="973"/>
      <c r="NGF101" s="973"/>
      <c r="NGG101" s="973"/>
      <c r="NGH101" s="973"/>
      <c r="NGI101" s="973"/>
      <c r="NGJ101" s="973"/>
      <c r="NGK101" s="973"/>
      <c r="NGL101" s="973"/>
      <c r="NGM101" s="973"/>
      <c r="NGN101" s="973"/>
      <c r="NGO101" s="973"/>
      <c r="NGP101" s="973"/>
      <c r="NGQ101" s="973"/>
      <c r="NGR101" s="973"/>
      <c r="NGS101" s="973"/>
      <c r="NGT101" s="973"/>
      <c r="NGU101" s="973"/>
      <c r="NGV101" s="973"/>
      <c r="NGW101" s="973"/>
      <c r="NGX101" s="973"/>
      <c r="NGY101" s="973"/>
      <c r="NGZ101" s="973"/>
      <c r="NHA101" s="973"/>
      <c r="NHB101" s="973"/>
      <c r="NHC101" s="973"/>
      <c r="NHD101" s="973"/>
      <c r="NHE101" s="973"/>
      <c r="NHF101" s="973"/>
      <c r="NHG101" s="973"/>
      <c r="NHH101" s="973"/>
      <c r="NHI101" s="973"/>
      <c r="NHJ101" s="973"/>
      <c r="NHK101" s="973"/>
      <c r="NHL101" s="973"/>
      <c r="NHM101" s="973"/>
      <c r="NHN101" s="973"/>
      <c r="NHO101" s="973"/>
      <c r="NHP101" s="973"/>
      <c r="NHQ101" s="973"/>
      <c r="NHR101" s="973"/>
      <c r="NHS101" s="973"/>
      <c r="NHT101" s="973"/>
      <c r="NHU101" s="973"/>
      <c r="NHV101" s="973"/>
      <c r="NHW101" s="973"/>
      <c r="NHX101" s="973"/>
      <c r="NHY101" s="973"/>
      <c r="NHZ101" s="973"/>
      <c r="NIA101" s="973"/>
      <c r="NIB101" s="973"/>
      <c r="NIC101" s="973"/>
      <c r="NID101" s="973"/>
      <c r="NIE101" s="973"/>
      <c r="NIF101" s="973"/>
      <c r="NIG101" s="973"/>
      <c r="NIH101" s="973"/>
      <c r="NII101" s="973"/>
      <c r="NIJ101" s="973"/>
      <c r="NIK101" s="973"/>
      <c r="NIL101" s="973"/>
      <c r="NIM101" s="973"/>
      <c r="NIN101" s="973"/>
      <c r="NIO101" s="973"/>
      <c r="NIP101" s="973"/>
      <c r="NIQ101" s="973"/>
      <c r="NIR101" s="973"/>
      <c r="NIS101" s="973"/>
      <c r="NIT101" s="973"/>
      <c r="NIU101" s="973"/>
      <c r="NIV101" s="973"/>
      <c r="NIW101" s="973"/>
      <c r="NIX101" s="973"/>
      <c r="NIY101" s="973"/>
      <c r="NIZ101" s="973"/>
      <c r="NJA101" s="973"/>
      <c r="NJB101" s="973"/>
      <c r="NJC101" s="973"/>
      <c r="NJD101" s="973"/>
      <c r="NJE101" s="973"/>
      <c r="NJF101" s="973"/>
      <c r="NJG101" s="973"/>
      <c r="NJH101" s="973"/>
      <c r="NJI101" s="973"/>
      <c r="NJJ101" s="973"/>
      <c r="NJK101" s="973"/>
      <c r="NJL101" s="973"/>
      <c r="NJM101" s="973"/>
      <c r="NJN101" s="973"/>
      <c r="NJO101" s="973"/>
      <c r="NJP101" s="973"/>
      <c r="NJQ101" s="973"/>
      <c r="NJR101" s="973"/>
      <c r="NJS101" s="973"/>
      <c r="NJT101" s="973"/>
      <c r="NJU101" s="973"/>
      <c r="NJV101" s="973"/>
      <c r="NJW101" s="973"/>
      <c r="NJX101" s="973"/>
      <c r="NJY101" s="973"/>
      <c r="NJZ101" s="973"/>
      <c r="NKA101" s="973"/>
      <c r="NKB101" s="973"/>
      <c r="NKC101" s="973"/>
      <c r="NKD101" s="973"/>
      <c r="NKE101" s="973"/>
      <c r="NKF101" s="973"/>
      <c r="NKG101" s="973"/>
      <c r="NKH101" s="973"/>
      <c r="NKI101" s="973"/>
      <c r="NKJ101" s="973"/>
      <c r="NKK101" s="973"/>
      <c r="NKL101" s="973"/>
      <c r="NKM101" s="973"/>
      <c r="NKN101" s="973"/>
      <c r="NKO101" s="973"/>
      <c r="NKP101" s="973"/>
      <c r="NKQ101" s="973"/>
      <c r="NKR101" s="973"/>
      <c r="NKS101" s="973"/>
      <c r="NKT101" s="973"/>
      <c r="NKU101" s="973"/>
      <c r="NKV101" s="973"/>
      <c r="NKW101" s="973"/>
      <c r="NKX101" s="973"/>
      <c r="NKY101" s="973"/>
      <c r="NKZ101" s="973"/>
      <c r="NLA101" s="973"/>
      <c r="NLB101" s="973"/>
      <c r="NLC101" s="973"/>
      <c r="NLD101" s="973"/>
      <c r="NLE101" s="973"/>
      <c r="NLF101" s="973"/>
      <c r="NLG101" s="973"/>
      <c r="NLH101" s="973"/>
      <c r="NLI101" s="973"/>
      <c r="NLJ101" s="973"/>
      <c r="NLK101" s="973"/>
      <c r="NLL101" s="973"/>
      <c r="NLM101" s="973"/>
      <c r="NLN101" s="973"/>
      <c r="NLO101" s="973"/>
      <c r="NLP101" s="973"/>
      <c r="NLQ101" s="973"/>
      <c r="NLR101" s="973"/>
      <c r="NLS101" s="973"/>
      <c r="NLT101" s="973"/>
      <c r="NLU101" s="973"/>
      <c r="NLV101" s="973"/>
      <c r="NLW101" s="973"/>
      <c r="NLX101" s="973"/>
      <c r="NLY101" s="973"/>
      <c r="NLZ101" s="973"/>
      <c r="NMA101" s="973"/>
      <c r="NMB101" s="973"/>
      <c r="NMC101" s="973"/>
      <c r="NMD101" s="973"/>
      <c r="NME101" s="973"/>
      <c r="NMF101" s="973"/>
      <c r="NMG101" s="973"/>
      <c r="NMH101" s="973"/>
      <c r="NMI101" s="973"/>
      <c r="NMJ101" s="973"/>
      <c r="NMK101" s="973"/>
      <c r="NML101" s="973"/>
      <c r="NMM101" s="973"/>
      <c r="NMN101" s="973"/>
      <c r="NMO101" s="973"/>
      <c r="NMP101" s="973"/>
      <c r="NMQ101" s="973"/>
      <c r="NMR101" s="973"/>
      <c r="NMS101" s="973"/>
      <c r="NMT101" s="973"/>
      <c r="NMU101" s="973"/>
      <c r="NMV101" s="973"/>
      <c r="NMW101" s="973"/>
      <c r="NMX101" s="973"/>
      <c r="NMY101" s="973"/>
      <c r="NMZ101" s="973"/>
      <c r="NNA101" s="973"/>
      <c r="NNB101" s="973"/>
      <c r="NNC101" s="973"/>
      <c r="NND101" s="973"/>
      <c r="NNE101" s="973"/>
      <c r="NNF101" s="973"/>
      <c r="NNG101" s="973"/>
      <c r="NNH101" s="973"/>
      <c r="NNI101" s="973"/>
      <c r="NNJ101" s="973"/>
      <c r="NNK101" s="973"/>
      <c r="NNL101" s="973"/>
      <c r="NNM101" s="973"/>
      <c r="NNN101" s="973"/>
      <c r="NNO101" s="973"/>
      <c r="NNP101" s="973"/>
      <c r="NNQ101" s="973"/>
      <c r="NNR101" s="973"/>
      <c r="NNS101" s="973"/>
      <c r="NNT101" s="973"/>
      <c r="NNU101" s="973"/>
      <c r="NNV101" s="973"/>
      <c r="NNW101" s="973"/>
      <c r="NNX101" s="973"/>
      <c r="NNY101" s="973"/>
      <c r="NNZ101" s="973"/>
      <c r="NOA101" s="973"/>
      <c r="NOB101" s="973"/>
      <c r="NOC101" s="973"/>
      <c r="NOD101" s="973"/>
      <c r="NOE101" s="973"/>
      <c r="NOF101" s="973"/>
      <c r="NOG101" s="973"/>
      <c r="NOH101" s="973"/>
      <c r="NOI101" s="973"/>
      <c r="NOJ101" s="973"/>
      <c r="NOK101" s="973"/>
      <c r="NOL101" s="973"/>
      <c r="NOM101" s="973"/>
      <c r="NON101" s="973"/>
      <c r="NOO101" s="973"/>
      <c r="NOP101" s="973"/>
      <c r="NOQ101" s="973"/>
      <c r="NOR101" s="973"/>
      <c r="NOS101" s="973"/>
      <c r="NOT101" s="973"/>
      <c r="NOU101" s="973"/>
      <c r="NOV101" s="973"/>
      <c r="NOW101" s="973"/>
      <c r="NOX101" s="973"/>
      <c r="NOY101" s="973"/>
      <c r="NOZ101" s="973"/>
      <c r="NPA101" s="973"/>
      <c r="NPB101" s="973"/>
      <c r="NPC101" s="973"/>
      <c r="NPD101" s="973"/>
      <c r="NPE101" s="973"/>
      <c r="NPF101" s="973"/>
      <c r="NPG101" s="973"/>
      <c r="NPH101" s="973"/>
      <c r="NPI101" s="973"/>
      <c r="NPJ101" s="973"/>
      <c r="NPK101" s="973"/>
      <c r="NPL101" s="973"/>
      <c r="NPM101" s="973"/>
      <c r="NPN101" s="973"/>
      <c r="NPO101" s="973"/>
      <c r="NPP101" s="973"/>
      <c r="NPQ101" s="973"/>
      <c r="NPR101" s="973"/>
      <c r="NPS101" s="973"/>
      <c r="NPT101" s="973"/>
      <c r="NPU101" s="973"/>
      <c r="NPV101" s="973"/>
      <c r="NPW101" s="973"/>
      <c r="NPX101" s="973"/>
      <c r="NPY101" s="973"/>
      <c r="NPZ101" s="973"/>
      <c r="NQA101" s="973"/>
      <c r="NQB101" s="973"/>
      <c r="NQC101" s="973"/>
      <c r="NQD101" s="973"/>
      <c r="NQE101" s="973"/>
      <c r="NQF101" s="973"/>
      <c r="NQG101" s="973"/>
      <c r="NQH101" s="973"/>
      <c r="NQI101" s="973"/>
      <c r="NQJ101" s="973"/>
      <c r="NQK101" s="973"/>
      <c r="NQL101" s="973"/>
      <c r="NQM101" s="973"/>
      <c r="NQN101" s="973"/>
      <c r="NQO101" s="973"/>
      <c r="NQP101" s="973"/>
      <c r="NQQ101" s="973"/>
      <c r="NQR101" s="973"/>
      <c r="NQS101" s="973"/>
      <c r="NQT101" s="973"/>
      <c r="NQU101" s="973"/>
      <c r="NQV101" s="973"/>
      <c r="NQW101" s="973"/>
      <c r="NQX101" s="973"/>
      <c r="NQY101" s="973"/>
      <c r="NQZ101" s="973"/>
      <c r="NRA101" s="973"/>
      <c r="NRB101" s="973"/>
      <c r="NRC101" s="973"/>
      <c r="NRD101" s="973"/>
      <c r="NRE101" s="973"/>
      <c r="NRF101" s="973"/>
      <c r="NRG101" s="973"/>
      <c r="NRH101" s="973"/>
      <c r="NRI101" s="973"/>
      <c r="NRJ101" s="973"/>
      <c r="NRK101" s="973"/>
      <c r="NRL101" s="973"/>
      <c r="NRM101" s="973"/>
      <c r="NRN101" s="973"/>
      <c r="NRO101" s="973"/>
      <c r="NRP101" s="973"/>
      <c r="NRQ101" s="973"/>
      <c r="NRR101" s="973"/>
      <c r="NRS101" s="973"/>
      <c r="NRT101" s="973"/>
      <c r="NRU101" s="973"/>
      <c r="NRV101" s="973"/>
      <c r="NRW101" s="973"/>
      <c r="NRX101" s="973"/>
      <c r="NRY101" s="973"/>
      <c r="NRZ101" s="973"/>
      <c r="NSA101" s="973"/>
      <c r="NSB101" s="973"/>
      <c r="NSC101" s="973"/>
      <c r="NSD101" s="973"/>
      <c r="NSE101" s="973"/>
      <c r="NSF101" s="973"/>
      <c r="NSG101" s="973"/>
      <c r="NSH101" s="973"/>
      <c r="NSI101" s="973"/>
      <c r="NSJ101" s="973"/>
      <c r="NSK101" s="973"/>
      <c r="NSL101" s="973"/>
      <c r="NSM101" s="973"/>
      <c r="NSN101" s="973"/>
      <c r="NSO101" s="973"/>
      <c r="NSP101" s="973"/>
      <c r="NSQ101" s="973"/>
      <c r="NSR101" s="973"/>
      <c r="NSS101" s="973"/>
      <c r="NST101" s="973"/>
      <c r="NSU101" s="973"/>
      <c r="NSV101" s="973"/>
      <c r="NSW101" s="973"/>
      <c r="NSX101" s="973"/>
      <c r="NSY101" s="973"/>
      <c r="NSZ101" s="973"/>
      <c r="NTA101" s="973"/>
      <c r="NTB101" s="973"/>
      <c r="NTC101" s="973"/>
      <c r="NTD101" s="973"/>
      <c r="NTE101" s="973"/>
      <c r="NTF101" s="973"/>
      <c r="NTG101" s="973"/>
      <c r="NTH101" s="973"/>
      <c r="NTI101" s="973"/>
      <c r="NTJ101" s="973"/>
      <c r="NTK101" s="973"/>
      <c r="NTL101" s="973"/>
      <c r="NTM101" s="973"/>
      <c r="NTN101" s="973"/>
      <c r="NTO101" s="973"/>
      <c r="NTP101" s="973"/>
      <c r="NTQ101" s="973"/>
      <c r="NTR101" s="973"/>
      <c r="NTS101" s="973"/>
      <c r="NTT101" s="973"/>
      <c r="NTU101" s="973"/>
      <c r="NTV101" s="973"/>
      <c r="NTW101" s="973"/>
      <c r="NTX101" s="973"/>
      <c r="NTY101" s="973"/>
      <c r="NTZ101" s="973"/>
      <c r="NUA101" s="973"/>
      <c r="NUB101" s="973"/>
      <c r="NUC101" s="973"/>
      <c r="NUD101" s="973"/>
      <c r="NUE101" s="973"/>
      <c r="NUF101" s="973"/>
      <c r="NUG101" s="973"/>
      <c r="NUH101" s="973"/>
      <c r="NUI101" s="973"/>
      <c r="NUJ101" s="973"/>
      <c r="NUK101" s="973"/>
      <c r="NUL101" s="973"/>
      <c r="NUM101" s="973"/>
      <c r="NUN101" s="973"/>
      <c r="NUO101" s="973"/>
      <c r="NUP101" s="973"/>
      <c r="NUQ101" s="973"/>
      <c r="NUR101" s="973"/>
      <c r="NUS101" s="973"/>
      <c r="NUT101" s="973"/>
      <c r="NUU101" s="973"/>
      <c r="NUV101" s="973"/>
      <c r="NUW101" s="973"/>
      <c r="NUX101" s="973"/>
      <c r="NUY101" s="973"/>
      <c r="NUZ101" s="973"/>
      <c r="NVA101" s="973"/>
      <c r="NVB101" s="973"/>
      <c r="NVC101" s="973"/>
      <c r="NVD101" s="973"/>
      <c r="NVE101" s="973"/>
      <c r="NVF101" s="973"/>
      <c r="NVG101" s="973"/>
      <c r="NVH101" s="973"/>
      <c r="NVI101" s="973"/>
      <c r="NVJ101" s="973"/>
      <c r="NVK101" s="973"/>
      <c r="NVL101" s="973"/>
      <c r="NVM101" s="973"/>
      <c r="NVN101" s="973"/>
      <c r="NVO101" s="973"/>
      <c r="NVP101" s="973"/>
      <c r="NVQ101" s="973"/>
      <c r="NVR101" s="973"/>
      <c r="NVS101" s="973"/>
      <c r="NVT101" s="973"/>
      <c r="NVU101" s="973"/>
      <c r="NVV101" s="973"/>
      <c r="NVW101" s="973"/>
      <c r="NVX101" s="973"/>
      <c r="NVY101" s="973"/>
      <c r="NVZ101" s="973"/>
      <c r="NWA101" s="973"/>
      <c r="NWB101" s="973"/>
      <c r="NWC101" s="973"/>
      <c r="NWD101" s="973"/>
      <c r="NWE101" s="973"/>
      <c r="NWF101" s="973"/>
      <c r="NWG101" s="973"/>
      <c r="NWH101" s="973"/>
      <c r="NWI101" s="973"/>
      <c r="NWJ101" s="973"/>
      <c r="NWK101" s="973"/>
      <c r="NWL101" s="973"/>
      <c r="NWM101" s="973"/>
      <c r="NWN101" s="973"/>
      <c r="NWO101" s="973"/>
      <c r="NWP101" s="973"/>
      <c r="NWQ101" s="973"/>
      <c r="NWR101" s="973"/>
      <c r="NWS101" s="973"/>
      <c r="NWT101" s="973"/>
      <c r="NWU101" s="973"/>
      <c r="NWV101" s="973"/>
      <c r="NWW101" s="973"/>
      <c r="NWX101" s="973"/>
      <c r="NWY101" s="973"/>
      <c r="NWZ101" s="973"/>
      <c r="NXA101" s="973"/>
      <c r="NXB101" s="973"/>
      <c r="NXC101" s="973"/>
      <c r="NXD101" s="973"/>
      <c r="NXE101" s="973"/>
      <c r="NXF101" s="973"/>
      <c r="NXG101" s="973"/>
      <c r="NXH101" s="973"/>
      <c r="NXI101" s="973"/>
      <c r="NXJ101" s="973"/>
      <c r="NXK101" s="973"/>
      <c r="NXL101" s="973"/>
      <c r="NXM101" s="973"/>
      <c r="NXN101" s="973"/>
      <c r="NXO101" s="973"/>
      <c r="NXP101" s="973"/>
      <c r="NXQ101" s="973"/>
      <c r="NXR101" s="973"/>
      <c r="NXS101" s="973"/>
      <c r="NXT101" s="973"/>
      <c r="NXU101" s="973"/>
      <c r="NXV101" s="973"/>
      <c r="NXW101" s="973"/>
      <c r="NXX101" s="973"/>
      <c r="NXY101" s="973"/>
      <c r="NXZ101" s="973"/>
      <c r="NYA101" s="973"/>
      <c r="NYB101" s="973"/>
      <c r="NYC101" s="973"/>
      <c r="NYD101" s="973"/>
      <c r="NYE101" s="973"/>
      <c r="NYF101" s="973"/>
      <c r="NYG101" s="973"/>
      <c r="NYH101" s="973"/>
      <c r="NYI101" s="973"/>
      <c r="NYJ101" s="973"/>
      <c r="NYK101" s="973"/>
      <c r="NYL101" s="973"/>
      <c r="NYM101" s="973"/>
      <c r="NYN101" s="973"/>
      <c r="NYO101" s="973"/>
      <c r="NYP101" s="973"/>
      <c r="NYQ101" s="973"/>
      <c r="NYR101" s="973"/>
      <c r="NYS101" s="973"/>
      <c r="NYT101" s="973"/>
      <c r="NYU101" s="973"/>
      <c r="NYV101" s="973"/>
      <c r="NYW101" s="973"/>
      <c r="NYX101" s="973"/>
      <c r="NYY101" s="973"/>
      <c r="NYZ101" s="973"/>
      <c r="NZA101" s="973"/>
      <c r="NZB101" s="973"/>
      <c r="NZC101" s="973"/>
      <c r="NZD101" s="973"/>
      <c r="NZE101" s="973"/>
      <c r="NZF101" s="973"/>
      <c r="NZG101" s="973"/>
      <c r="NZH101" s="973"/>
      <c r="NZI101" s="973"/>
      <c r="NZJ101" s="973"/>
      <c r="NZK101" s="973"/>
      <c r="NZL101" s="973"/>
      <c r="NZM101" s="973"/>
      <c r="NZN101" s="973"/>
      <c r="NZO101" s="973"/>
      <c r="NZP101" s="973"/>
      <c r="NZQ101" s="973"/>
      <c r="NZR101" s="973"/>
      <c r="NZS101" s="973"/>
      <c r="NZT101" s="973"/>
      <c r="NZU101" s="973"/>
      <c r="NZV101" s="973"/>
      <c r="NZW101" s="973"/>
      <c r="NZX101" s="973"/>
      <c r="NZY101" s="973"/>
      <c r="NZZ101" s="973"/>
      <c r="OAA101" s="973"/>
      <c r="OAB101" s="973"/>
      <c r="OAC101" s="973"/>
      <c r="OAD101" s="973"/>
      <c r="OAE101" s="973"/>
      <c r="OAF101" s="973"/>
      <c r="OAG101" s="973"/>
      <c r="OAH101" s="973"/>
      <c r="OAI101" s="973"/>
      <c r="OAJ101" s="973"/>
      <c r="OAK101" s="973"/>
      <c r="OAL101" s="973"/>
      <c r="OAM101" s="973"/>
      <c r="OAN101" s="973"/>
      <c r="OAO101" s="973"/>
      <c r="OAP101" s="973"/>
      <c r="OAQ101" s="973"/>
      <c r="OAR101" s="973"/>
      <c r="OAS101" s="973"/>
      <c r="OAT101" s="973"/>
      <c r="OAU101" s="973"/>
      <c r="OAV101" s="973"/>
      <c r="OAW101" s="973"/>
      <c r="OAX101" s="973"/>
      <c r="OAY101" s="973"/>
      <c r="OAZ101" s="973"/>
      <c r="OBA101" s="973"/>
      <c r="OBB101" s="973"/>
      <c r="OBC101" s="973"/>
      <c r="OBD101" s="973"/>
      <c r="OBE101" s="973"/>
      <c r="OBF101" s="973"/>
      <c r="OBG101" s="973"/>
      <c r="OBH101" s="973"/>
      <c r="OBI101" s="973"/>
      <c r="OBJ101" s="973"/>
      <c r="OBK101" s="973"/>
      <c r="OBL101" s="973"/>
      <c r="OBM101" s="973"/>
      <c r="OBN101" s="973"/>
      <c r="OBO101" s="973"/>
      <c r="OBP101" s="973"/>
      <c r="OBQ101" s="973"/>
      <c r="OBR101" s="973"/>
      <c r="OBS101" s="973"/>
      <c r="OBT101" s="973"/>
      <c r="OBU101" s="973"/>
      <c r="OBV101" s="973"/>
      <c r="OBW101" s="973"/>
      <c r="OBX101" s="973"/>
      <c r="OBY101" s="973"/>
      <c r="OBZ101" s="973"/>
      <c r="OCA101" s="973"/>
      <c r="OCB101" s="973"/>
      <c r="OCC101" s="973"/>
      <c r="OCD101" s="973"/>
      <c r="OCE101" s="973"/>
      <c r="OCF101" s="973"/>
      <c r="OCG101" s="973"/>
      <c r="OCH101" s="973"/>
      <c r="OCI101" s="973"/>
      <c r="OCJ101" s="973"/>
      <c r="OCK101" s="973"/>
      <c r="OCL101" s="973"/>
      <c r="OCM101" s="973"/>
      <c r="OCN101" s="973"/>
      <c r="OCO101" s="973"/>
      <c r="OCP101" s="973"/>
      <c r="OCQ101" s="973"/>
      <c r="OCR101" s="973"/>
      <c r="OCS101" s="973"/>
      <c r="OCT101" s="973"/>
      <c r="OCU101" s="973"/>
      <c r="OCV101" s="973"/>
      <c r="OCW101" s="973"/>
      <c r="OCX101" s="973"/>
      <c r="OCY101" s="973"/>
      <c r="OCZ101" s="973"/>
      <c r="ODA101" s="973"/>
      <c r="ODB101" s="973"/>
      <c r="ODC101" s="973"/>
      <c r="ODD101" s="973"/>
      <c r="ODE101" s="973"/>
      <c r="ODF101" s="973"/>
      <c r="ODG101" s="973"/>
      <c r="ODH101" s="973"/>
      <c r="ODI101" s="973"/>
      <c r="ODJ101" s="973"/>
      <c r="ODK101" s="973"/>
      <c r="ODL101" s="973"/>
      <c r="ODM101" s="973"/>
      <c r="ODN101" s="973"/>
      <c r="ODO101" s="973"/>
      <c r="ODP101" s="973"/>
      <c r="ODQ101" s="973"/>
      <c r="ODR101" s="973"/>
      <c r="ODS101" s="973"/>
      <c r="ODT101" s="973"/>
      <c r="ODU101" s="973"/>
      <c r="ODV101" s="973"/>
      <c r="ODW101" s="973"/>
      <c r="ODX101" s="973"/>
      <c r="ODY101" s="973"/>
      <c r="ODZ101" s="973"/>
      <c r="OEA101" s="973"/>
      <c r="OEB101" s="973"/>
      <c r="OEC101" s="973"/>
      <c r="OED101" s="973"/>
      <c r="OEE101" s="973"/>
      <c r="OEF101" s="973"/>
      <c r="OEG101" s="973"/>
      <c r="OEH101" s="973"/>
      <c r="OEI101" s="973"/>
      <c r="OEJ101" s="973"/>
      <c r="OEK101" s="973"/>
      <c r="OEL101" s="973"/>
      <c r="OEM101" s="973"/>
      <c r="OEN101" s="973"/>
      <c r="OEO101" s="973"/>
      <c r="OEP101" s="973"/>
      <c r="OEQ101" s="973"/>
      <c r="OER101" s="973"/>
      <c r="OES101" s="973"/>
      <c r="OET101" s="973"/>
      <c r="OEU101" s="973"/>
      <c r="OEV101" s="973"/>
      <c r="OEW101" s="973"/>
      <c r="OEX101" s="973"/>
      <c r="OEY101" s="973"/>
      <c r="OEZ101" s="973"/>
      <c r="OFA101" s="973"/>
      <c r="OFB101" s="973"/>
      <c r="OFC101" s="973"/>
      <c r="OFD101" s="973"/>
      <c r="OFE101" s="973"/>
      <c r="OFF101" s="973"/>
      <c r="OFG101" s="973"/>
      <c r="OFH101" s="973"/>
      <c r="OFI101" s="973"/>
      <c r="OFJ101" s="973"/>
      <c r="OFK101" s="973"/>
      <c r="OFL101" s="973"/>
      <c r="OFM101" s="973"/>
      <c r="OFN101" s="973"/>
      <c r="OFO101" s="973"/>
      <c r="OFP101" s="973"/>
      <c r="OFQ101" s="973"/>
      <c r="OFR101" s="973"/>
      <c r="OFS101" s="973"/>
      <c r="OFT101" s="973"/>
      <c r="OFU101" s="973"/>
      <c r="OFV101" s="973"/>
      <c r="OFW101" s="973"/>
      <c r="OFX101" s="973"/>
      <c r="OFY101" s="973"/>
      <c r="OFZ101" s="973"/>
      <c r="OGA101" s="973"/>
      <c r="OGB101" s="973"/>
      <c r="OGC101" s="973"/>
      <c r="OGD101" s="973"/>
      <c r="OGE101" s="973"/>
      <c r="OGF101" s="973"/>
      <c r="OGG101" s="973"/>
      <c r="OGH101" s="973"/>
      <c r="OGI101" s="973"/>
      <c r="OGJ101" s="973"/>
      <c r="OGK101" s="973"/>
      <c r="OGL101" s="973"/>
      <c r="OGM101" s="973"/>
      <c r="OGN101" s="973"/>
      <c r="OGO101" s="973"/>
      <c r="OGP101" s="973"/>
      <c r="OGQ101" s="973"/>
      <c r="OGR101" s="973"/>
      <c r="OGS101" s="973"/>
      <c r="OGT101" s="973"/>
      <c r="OGU101" s="973"/>
      <c r="OGV101" s="973"/>
      <c r="OGW101" s="973"/>
      <c r="OGX101" s="973"/>
      <c r="OGY101" s="973"/>
      <c r="OGZ101" s="973"/>
      <c r="OHA101" s="973"/>
      <c r="OHB101" s="973"/>
      <c r="OHC101" s="973"/>
      <c r="OHD101" s="973"/>
      <c r="OHE101" s="973"/>
      <c r="OHF101" s="973"/>
      <c r="OHG101" s="973"/>
      <c r="OHH101" s="973"/>
      <c r="OHI101" s="973"/>
      <c r="OHJ101" s="973"/>
      <c r="OHK101" s="973"/>
      <c r="OHL101" s="973"/>
      <c r="OHM101" s="973"/>
      <c r="OHN101" s="973"/>
      <c r="OHO101" s="973"/>
      <c r="OHP101" s="973"/>
      <c r="OHQ101" s="973"/>
      <c r="OHR101" s="973"/>
      <c r="OHS101" s="973"/>
      <c r="OHT101" s="973"/>
      <c r="OHU101" s="973"/>
      <c r="OHV101" s="973"/>
      <c r="OHW101" s="973"/>
      <c r="OHX101" s="973"/>
      <c r="OHY101" s="973"/>
      <c r="OHZ101" s="973"/>
      <c r="OIA101" s="973"/>
      <c r="OIB101" s="973"/>
      <c r="OIC101" s="973"/>
      <c r="OID101" s="973"/>
      <c r="OIE101" s="973"/>
      <c r="OIF101" s="973"/>
      <c r="OIG101" s="973"/>
      <c r="OIH101" s="973"/>
      <c r="OII101" s="973"/>
      <c r="OIJ101" s="973"/>
      <c r="OIK101" s="973"/>
      <c r="OIL101" s="973"/>
      <c r="OIM101" s="973"/>
      <c r="OIN101" s="973"/>
      <c r="OIO101" s="973"/>
      <c r="OIP101" s="973"/>
      <c r="OIQ101" s="973"/>
      <c r="OIR101" s="973"/>
      <c r="OIS101" s="973"/>
      <c r="OIT101" s="973"/>
      <c r="OIU101" s="973"/>
      <c r="OIV101" s="973"/>
      <c r="OIW101" s="973"/>
      <c r="OIX101" s="973"/>
      <c r="OIY101" s="973"/>
      <c r="OIZ101" s="973"/>
      <c r="OJA101" s="973"/>
      <c r="OJB101" s="973"/>
      <c r="OJC101" s="973"/>
      <c r="OJD101" s="973"/>
      <c r="OJE101" s="973"/>
      <c r="OJF101" s="973"/>
      <c r="OJG101" s="973"/>
      <c r="OJH101" s="973"/>
      <c r="OJI101" s="973"/>
      <c r="OJJ101" s="973"/>
      <c r="OJK101" s="973"/>
      <c r="OJL101" s="973"/>
      <c r="OJM101" s="973"/>
      <c r="OJN101" s="973"/>
      <c r="OJO101" s="973"/>
      <c r="OJP101" s="973"/>
      <c r="OJQ101" s="973"/>
      <c r="OJR101" s="973"/>
      <c r="OJS101" s="973"/>
      <c r="OJT101" s="973"/>
      <c r="OJU101" s="973"/>
      <c r="OJV101" s="973"/>
      <c r="OJW101" s="973"/>
      <c r="OJX101" s="973"/>
      <c r="OJY101" s="973"/>
      <c r="OJZ101" s="973"/>
      <c r="OKA101" s="973"/>
      <c r="OKB101" s="973"/>
      <c r="OKC101" s="973"/>
      <c r="OKD101" s="973"/>
      <c r="OKE101" s="973"/>
      <c r="OKF101" s="973"/>
      <c r="OKG101" s="973"/>
      <c r="OKH101" s="973"/>
      <c r="OKI101" s="973"/>
      <c r="OKJ101" s="973"/>
      <c r="OKK101" s="973"/>
      <c r="OKL101" s="973"/>
      <c r="OKM101" s="973"/>
      <c r="OKN101" s="973"/>
      <c r="OKO101" s="973"/>
      <c r="OKP101" s="973"/>
      <c r="OKQ101" s="973"/>
      <c r="OKR101" s="973"/>
      <c r="OKS101" s="973"/>
      <c r="OKT101" s="973"/>
      <c r="OKU101" s="973"/>
      <c r="OKV101" s="973"/>
      <c r="OKW101" s="973"/>
      <c r="OKX101" s="973"/>
      <c r="OKY101" s="973"/>
      <c r="OKZ101" s="973"/>
      <c r="OLA101" s="973"/>
      <c r="OLB101" s="973"/>
      <c r="OLC101" s="973"/>
      <c r="OLD101" s="973"/>
      <c r="OLE101" s="973"/>
      <c r="OLF101" s="973"/>
      <c r="OLG101" s="973"/>
      <c r="OLH101" s="973"/>
      <c r="OLI101" s="973"/>
      <c r="OLJ101" s="973"/>
      <c r="OLK101" s="973"/>
      <c r="OLL101" s="973"/>
      <c r="OLM101" s="973"/>
      <c r="OLN101" s="973"/>
      <c r="OLO101" s="973"/>
      <c r="OLP101" s="973"/>
      <c r="OLQ101" s="973"/>
      <c r="OLR101" s="973"/>
      <c r="OLS101" s="973"/>
      <c r="OLT101" s="973"/>
      <c r="OLU101" s="973"/>
      <c r="OLV101" s="973"/>
      <c r="OLW101" s="973"/>
      <c r="OLX101" s="973"/>
      <c r="OLY101" s="973"/>
      <c r="OLZ101" s="973"/>
      <c r="OMA101" s="973"/>
      <c r="OMB101" s="973"/>
      <c r="OMC101" s="973"/>
      <c r="OMD101" s="973"/>
      <c r="OME101" s="973"/>
      <c r="OMF101" s="973"/>
      <c r="OMG101" s="973"/>
      <c r="OMH101" s="973"/>
      <c r="OMI101" s="973"/>
      <c r="OMJ101" s="973"/>
      <c r="OMK101" s="973"/>
      <c r="OML101" s="973"/>
      <c r="OMM101" s="973"/>
      <c r="OMN101" s="973"/>
      <c r="OMO101" s="973"/>
      <c r="OMP101" s="973"/>
      <c r="OMQ101" s="973"/>
      <c r="OMR101" s="973"/>
      <c r="OMS101" s="973"/>
      <c r="OMT101" s="973"/>
      <c r="OMU101" s="973"/>
      <c r="OMV101" s="973"/>
      <c r="OMW101" s="973"/>
      <c r="OMX101" s="973"/>
      <c r="OMY101" s="973"/>
      <c r="OMZ101" s="973"/>
      <c r="ONA101" s="973"/>
      <c r="ONB101" s="973"/>
      <c r="ONC101" s="973"/>
      <c r="OND101" s="973"/>
      <c r="ONE101" s="973"/>
      <c r="ONF101" s="973"/>
      <c r="ONG101" s="973"/>
      <c r="ONH101" s="973"/>
      <c r="ONI101" s="973"/>
      <c r="ONJ101" s="973"/>
      <c r="ONK101" s="973"/>
      <c r="ONL101" s="973"/>
      <c r="ONM101" s="973"/>
      <c r="ONN101" s="973"/>
      <c r="ONO101" s="973"/>
      <c r="ONP101" s="973"/>
      <c r="ONQ101" s="973"/>
      <c r="ONR101" s="973"/>
      <c r="ONS101" s="973"/>
      <c r="ONT101" s="973"/>
      <c r="ONU101" s="973"/>
      <c r="ONV101" s="973"/>
      <c r="ONW101" s="973"/>
      <c r="ONX101" s="973"/>
      <c r="ONY101" s="973"/>
      <c r="ONZ101" s="973"/>
      <c r="OOA101" s="973"/>
      <c r="OOB101" s="973"/>
      <c r="OOC101" s="973"/>
      <c r="OOD101" s="973"/>
      <c r="OOE101" s="973"/>
      <c r="OOF101" s="973"/>
      <c r="OOG101" s="973"/>
      <c r="OOH101" s="973"/>
      <c r="OOI101" s="973"/>
      <c r="OOJ101" s="973"/>
      <c r="OOK101" s="973"/>
      <c r="OOL101" s="973"/>
      <c r="OOM101" s="973"/>
      <c r="OON101" s="973"/>
      <c r="OOO101" s="973"/>
      <c r="OOP101" s="973"/>
      <c r="OOQ101" s="973"/>
      <c r="OOR101" s="973"/>
      <c r="OOS101" s="973"/>
      <c r="OOT101" s="973"/>
      <c r="OOU101" s="973"/>
      <c r="OOV101" s="973"/>
      <c r="OOW101" s="973"/>
      <c r="OOX101" s="973"/>
      <c r="OOY101" s="973"/>
      <c r="OOZ101" s="973"/>
      <c r="OPA101" s="973"/>
      <c r="OPB101" s="973"/>
      <c r="OPC101" s="973"/>
      <c r="OPD101" s="973"/>
      <c r="OPE101" s="973"/>
      <c r="OPF101" s="973"/>
      <c r="OPG101" s="973"/>
      <c r="OPH101" s="973"/>
      <c r="OPI101" s="973"/>
      <c r="OPJ101" s="973"/>
      <c r="OPK101" s="973"/>
      <c r="OPL101" s="973"/>
      <c r="OPM101" s="973"/>
      <c r="OPN101" s="973"/>
      <c r="OPO101" s="973"/>
      <c r="OPP101" s="973"/>
      <c r="OPQ101" s="973"/>
      <c r="OPR101" s="973"/>
      <c r="OPS101" s="973"/>
      <c r="OPT101" s="973"/>
      <c r="OPU101" s="973"/>
      <c r="OPV101" s="973"/>
      <c r="OPW101" s="973"/>
      <c r="OPX101" s="973"/>
      <c r="OPY101" s="973"/>
      <c r="OPZ101" s="973"/>
      <c r="OQA101" s="973"/>
      <c r="OQB101" s="973"/>
      <c r="OQC101" s="973"/>
      <c r="OQD101" s="973"/>
      <c r="OQE101" s="973"/>
      <c r="OQF101" s="973"/>
      <c r="OQG101" s="973"/>
      <c r="OQH101" s="973"/>
      <c r="OQI101" s="973"/>
      <c r="OQJ101" s="973"/>
      <c r="OQK101" s="973"/>
      <c r="OQL101" s="973"/>
      <c r="OQM101" s="973"/>
      <c r="OQN101" s="973"/>
      <c r="OQO101" s="973"/>
      <c r="OQP101" s="973"/>
      <c r="OQQ101" s="973"/>
      <c r="OQR101" s="973"/>
      <c r="OQS101" s="973"/>
      <c r="OQT101" s="973"/>
      <c r="OQU101" s="973"/>
      <c r="OQV101" s="973"/>
      <c r="OQW101" s="973"/>
      <c r="OQX101" s="973"/>
      <c r="OQY101" s="973"/>
      <c r="OQZ101" s="973"/>
      <c r="ORA101" s="973"/>
      <c r="ORB101" s="973"/>
      <c r="ORC101" s="973"/>
      <c r="ORD101" s="973"/>
      <c r="ORE101" s="973"/>
      <c r="ORF101" s="973"/>
      <c r="ORG101" s="973"/>
      <c r="ORH101" s="973"/>
      <c r="ORI101" s="973"/>
      <c r="ORJ101" s="973"/>
      <c r="ORK101" s="973"/>
      <c r="ORL101" s="973"/>
      <c r="ORM101" s="973"/>
      <c r="ORN101" s="973"/>
      <c r="ORO101" s="973"/>
      <c r="ORP101" s="973"/>
      <c r="ORQ101" s="973"/>
      <c r="ORR101" s="973"/>
      <c r="ORS101" s="973"/>
      <c r="ORT101" s="973"/>
      <c r="ORU101" s="973"/>
      <c r="ORV101" s="973"/>
      <c r="ORW101" s="973"/>
      <c r="ORX101" s="973"/>
      <c r="ORY101" s="973"/>
      <c r="ORZ101" s="973"/>
      <c r="OSA101" s="973"/>
      <c r="OSB101" s="973"/>
      <c r="OSC101" s="973"/>
      <c r="OSD101" s="973"/>
      <c r="OSE101" s="973"/>
      <c r="OSF101" s="973"/>
      <c r="OSG101" s="973"/>
      <c r="OSH101" s="973"/>
      <c r="OSI101" s="973"/>
      <c r="OSJ101" s="973"/>
      <c r="OSK101" s="973"/>
      <c r="OSL101" s="973"/>
      <c r="OSM101" s="973"/>
      <c r="OSN101" s="973"/>
      <c r="OSO101" s="973"/>
      <c r="OSP101" s="973"/>
      <c r="OSQ101" s="973"/>
      <c r="OSR101" s="973"/>
      <c r="OSS101" s="973"/>
      <c r="OST101" s="973"/>
      <c r="OSU101" s="973"/>
      <c r="OSV101" s="973"/>
      <c r="OSW101" s="973"/>
      <c r="OSX101" s="973"/>
      <c r="OSY101" s="973"/>
      <c r="OSZ101" s="973"/>
      <c r="OTA101" s="973"/>
      <c r="OTB101" s="973"/>
      <c r="OTC101" s="973"/>
      <c r="OTD101" s="973"/>
      <c r="OTE101" s="973"/>
      <c r="OTF101" s="973"/>
      <c r="OTG101" s="973"/>
      <c r="OTH101" s="973"/>
      <c r="OTI101" s="973"/>
      <c r="OTJ101" s="973"/>
      <c r="OTK101" s="973"/>
      <c r="OTL101" s="973"/>
      <c r="OTM101" s="973"/>
      <c r="OTN101" s="973"/>
      <c r="OTO101" s="973"/>
      <c r="OTP101" s="973"/>
      <c r="OTQ101" s="973"/>
      <c r="OTR101" s="973"/>
      <c r="OTS101" s="973"/>
      <c r="OTT101" s="973"/>
      <c r="OTU101" s="973"/>
      <c r="OTV101" s="973"/>
      <c r="OTW101" s="973"/>
      <c r="OTX101" s="973"/>
      <c r="OTY101" s="973"/>
      <c r="OTZ101" s="973"/>
      <c r="OUA101" s="973"/>
      <c r="OUB101" s="973"/>
      <c r="OUC101" s="973"/>
      <c r="OUD101" s="973"/>
      <c r="OUE101" s="973"/>
      <c r="OUF101" s="973"/>
      <c r="OUG101" s="973"/>
      <c r="OUH101" s="973"/>
      <c r="OUI101" s="973"/>
      <c r="OUJ101" s="973"/>
      <c r="OUK101" s="973"/>
      <c r="OUL101" s="973"/>
      <c r="OUM101" s="973"/>
      <c r="OUN101" s="973"/>
      <c r="OUO101" s="973"/>
      <c r="OUP101" s="973"/>
      <c r="OUQ101" s="973"/>
      <c r="OUR101" s="973"/>
      <c r="OUS101" s="973"/>
      <c r="OUT101" s="973"/>
      <c r="OUU101" s="973"/>
      <c r="OUV101" s="973"/>
      <c r="OUW101" s="973"/>
      <c r="OUX101" s="973"/>
      <c r="OUY101" s="973"/>
      <c r="OUZ101" s="973"/>
      <c r="OVA101" s="973"/>
      <c r="OVB101" s="973"/>
      <c r="OVC101" s="973"/>
      <c r="OVD101" s="973"/>
      <c r="OVE101" s="973"/>
      <c r="OVF101" s="973"/>
      <c r="OVG101" s="973"/>
      <c r="OVH101" s="973"/>
      <c r="OVI101" s="973"/>
      <c r="OVJ101" s="973"/>
      <c r="OVK101" s="973"/>
      <c r="OVL101" s="973"/>
      <c r="OVM101" s="973"/>
      <c r="OVN101" s="973"/>
      <c r="OVO101" s="973"/>
      <c r="OVP101" s="973"/>
      <c r="OVQ101" s="973"/>
      <c r="OVR101" s="973"/>
      <c r="OVS101" s="973"/>
      <c r="OVT101" s="973"/>
      <c r="OVU101" s="973"/>
      <c r="OVV101" s="973"/>
      <c r="OVW101" s="973"/>
      <c r="OVX101" s="973"/>
      <c r="OVY101" s="973"/>
      <c r="OVZ101" s="973"/>
      <c r="OWA101" s="973"/>
      <c r="OWB101" s="973"/>
      <c r="OWC101" s="973"/>
      <c r="OWD101" s="973"/>
      <c r="OWE101" s="973"/>
      <c r="OWF101" s="973"/>
      <c r="OWG101" s="973"/>
      <c r="OWH101" s="973"/>
      <c r="OWI101" s="973"/>
      <c r="OWJ101" s="973"/>
      <c r="OWK101" s="973"/>
      <c r="OWL101" s="973"/>
      <c r="OWM101" s="973"/>
      <c r="OWN101" s="973"/>
      <c r="OWO101" s="973"/>
      <c r="OWP101" s="973"/>
      <c r="OWQ101" s="973"/>
      <c r="OWR101" s="973"/>
      <c r="OWS101" s="973"/>
      <c r="OWT101" s="973"/>
      <c r="OWU101" s="973"/>
      <c r="OWV101" s="973"/>
      <c r="OWW101" s="973"/>
      <c r="OWX101" s="973"/>
      <c r="OWY101" s="973"/>
      <c r="OWZ101" s="973"/>
      <c r="OXA101" s="973"/>
      <c r="OXB101" s="973"/>
      <c r="OXC101" s="973"/>
      <c r="OXD101" s="973"/>
      <c r="OXE101" s="973"/>
      <c r="OXF101" s="973"/>
      <c r="OXG101" s="973"/>
      <c r="OXH101" s="973"/>
      <c r="OXI101" s="973"/>
      <c r="OXJ101" s="973"/>
      <c r="OXK101" s="973"/>
      <c r="OXL101" s="973"/>
      <c r="OXM101" s="973"/>
      <c r="OXN101" s="973"/>
      <c r="OXO101" s="973"/>
      <c r="OXP101" s="973"/>
      <c r="OXQ101" s="973"/>
      <c r="OXR101" s="973"/>
      <c r="OXS101" s="973"/>
      <c r="OXT101" s="973"/>
      <c r="OXU101" s="973"/>
      <c r="OXV101" s="973"/>
      <c r="OXW101" s="973"/>
      <c r="OXX101" s="973"/>
      <c r="OXY101" s="973"/>
      <c r="OXZ101" s="973"/>
      <c r="OYA101" s="973"/>
      <c r="OYB101" s="973"/>
      <c r="OYC101" s="973"/>
      <c r="OYD101" s="973"/>
      <c r="OYE101" s="973"/>
      <c r="OYF101" s="973"/>
      <c r="OYG101" s="973"/>
      <c r="OYH101" s="973"/>
      <c r="OYI101" s="973"/>
      <c r="OYJ101" s="973"/>
      <c r="OYK101" s="973"/>
      <c r="OYL101" s="973"/>
      <c r="OYM101" s="973"/>
      <c r="OYN101" s="973"/>
      <c r="OYO101" s="973"/>
      <c r="OYP101" s="973"/>
      <c r="OYQ101" s="973"/>
      <c r="OYR101" s="973"/>
      <c r="OYS101" s="973"/>
      <c r="OYT101" s="973"/>
      <c r="OYU101" s="973"/>
      <c r="OYV101" s="973"/>
      <c r="OYW101" s="973"/>
      <c r="OYX101" s="973"/>
      <c r="OYY101" s="973"/>
      <c r="OYZ101" s="973"/>
      <c r="OZA101" s="973"/>
      <c r="OZB101" s="973"/>
      <c r="OZC101" s="973"/>
      <c r="OZD101" s="973"/>
      <c r="OZE101" s="973"/>
      <c r="OZF101" s="973"/>
      <c r="OZG101" s="973"/>
      <c r="OZH101" s="973"/>
      <c r="OZI101" s="973"/>
      <c r="OZJ101" s="973"/>
      <c r="OZK101" s="973"/>
      <c r="OZL101" s="973"/>
      <c r="OZM101" s="973"/>
      <c r="OZN101" s="973"/>
      <c r="OZO101" s="973"/>
      <c r="OZP101" s="973"/>
      <c r="OZQ101" s="973"/>
      <c r="OZR101" s="973"/>
      <c r="OZS101" s="973"/>
      <c r="OZT101" s="973"/>
      <c r="OZU101" s="973"/>
      <c r="OZV101" s="973"/>
      <c r="OZW101" s="973"/>
      <c r="OZX101" s="973"/>
      <c r="OZY101" s="973"/>
      <c r="OZZ101" s="973"/>
      <c r="PAA101" s="973"/>
      <c r="PAB101" s="973"/>
      <c r="PAC101" s="973"/>
      <c r="PAD101" s="973"/>
      <c r="PAE101" s="973"/>
      <c r="PAF101" s="973"/>
      <c r="PAG101" s="973"/>
      <c r="PAH101" s="973"/>
      <c r="PAI101" s="973"/>
      <c r="PAJ101" s="973"/>
      <c r="PAK101" s="973"/>
      <c r="PAL101" s="973"/>
      <c r="PAM101" s="973"/>
      <c r="PAN101" s="973"/>
      <c r="PAO101" s="973"/>
      <c r="PAP101" s="973"/>
      <c r="PAQ101" s="973"/>
      <c r="PAR101" s="973"/>
      <c r="PAS101" s="973"/>
      <c r="PAT101" s="973"/>
      <c r="PAU101" s="973"/>
      <c r="PAV101" s="973"/>
      <c r="PAW101" s="973"/>
      <c r="PAX101" s="973"/>
      <c r="PAY101" s="973"/>
      <c r="PAZ101" s="973"/>
      <c r="PBA101" s="973"/>
      <c r="PBB101" s="973"/>
      <c r="PBC101" s="973"/>
      <c r="PBD101" s="973"/>
      <c r="PBE101" s="973"/>
      <c r="PBF101" s="973"/>
      <c r="PBG101" s="973"/>
      <c r="PBH101" s="973"/>
      <c r="PBI101" s="973"/>
      <c r="PBJ101" s="973"/>
      <c r="PBK101" s="973"/>
      <c r="PBL101" s="973"/>
      <c r="PBM101" s="973"/>
      <c r="PBN101" s="973"/>
      <c r="PBO101" s="973"/>
      <c r="PBP101" s="973"/>
      <c r="PBQ101" s="973"/>
      <c r="PBR101" s="973"/>
      <c r="PBS101" s="973"/>
      <c r="PBT101" s="973"/>
      <c r="PBU101" s="973"/>
      <c r="PBV101" s="973"/>
      <c r="PBW101" s="973"/>
      <c r="PBX101" s="973"/>
      <c r="PBY101" s="973"/>
      <c r="PBZ101" s="973"/>
      <c r="PCA101" s="973"/>
      <c r="PCB101" s="973"/>
      <c r="PCC101" s="973"/>
      <c r="PCD101" s="973"/>
      <c r="PCE101" s="973"/>
      <c r="PCF101" s="973"/>
      <c r="PCG101" s="973"/>
      <c r="PCH101" s="973"/>
      <c r="PCI101" s="973"/>
      <c r="PCJ101" s="973"/>
      <c r="PCK101" s="973"/>
      <c r="PCL101" s="973"/>
      <c r="PCM101" s="973"/>
      <c r="PCN101" s="973"/>
      <c r="PCO101" s="973"/>
      <c r="PCP101" s="973"/>
      <c r="PCQ101" s="973"/>
      <c r="PCR101" s="973"/>
      <c r="PCS101" s="973"/>
      <c r="PCT101" s="973"/>
      <c r="PCU101" s="973"/>
      <c r="PCV101" s="973"/>
      <c r="PCW101" s="973"/>
      <c r="PCX101" s="973"/>
      <c r="PCY101" s="973"/>
      <c r="PCZ101" s="973"/>
      <c r="PDA101" s="973"/>
      <c r="PDB101" s="973"/>
      <c r="PDC101" s="973"/>
      <c r="PDD101" s="973"/>
      <c r="PDE101" s="973"/>
      <c r="PDF101" s="973"/>
      <c r="PDG101" s="973"/>
      <c r="PDH101" s="973"/>
      <c r="PDI101" s="973"/>
      <c r="PDJ101" s="973"/>
      <c r="PDK101" s="973"/>
      <c r="PDL101" s="973"/>
      <c r="PDM101" s="973"/>
      <c r="PDN101" s="973"/>
      <c r="PDO101" s="973"/>
      <c r="PDP101" s="973"/>
      <c r="PDQ101" s="973"/>
      <c r="PDR101" s="973"/>
      <c r="PDS101" s="973"/>
      <c r="PDT101" s="973"/>
      <c r="PDU101" s="973"/>
      <c r="PDV101" s="973"/>
      <c r="PDW101" s="973"/>
      <c r="PDX101" s="973"/>
      <c r="PDY101" s="973"/>
      <c r="PDZ101" s="973"/>
      <c r="PEA101" s="973"/>
      <c r="PEB101" s="973"/>
      <c r="PEC101" s="973"/>
      <c r="PED101" s="973"/>
      <c r="PEE101" s="973"/>
      <c r="PEF101" s="973"/>
      <c r="PEG101" s="973"/>
      <c r="PEH101" s="973"/>
      <c r="PEI101" s="973"/>
      <c r="PEJ101" s="973"/>
      <c r="PEK101" s="973"/>
      <c r="PEL101" s="973"/>
      <c r="PEM101" s="973"/>
      <c r="PEN101" s="973"/>
      <c r="PEO101" s="973"/>
      <c r="PEP101" s="973"/>
      <c r="PEQ101" s="973"/>
      <c r="PER101" s="973"/>
      <c r="PES101" s="973"/>
      <c r="PET101" s="973"/>
      <c r="PEU101" s="973"/>
      <c r="PEV101" s="973"/>
      <c r="PEW101" s="973"/>
      <c r="PEX101" s="973"/>
      <c r="PEY101" s="973"/>
      <c r="PEZ101" s="973"/>
      <c r="PFA101" s="973"/>
      <c r="PFB101" s="973"/>
      <c r="PFC101" s="973"/>
      <c r="PFD101" s="973"/>
      <c r="PFE101" s="973"/>
      <c r="PFF101" s="973"/>
      <c r="PFG101" s="973"/>
      <c r="PFH101" s="973"/>
      <c r="PFI101" s="973"/>
      <c r="PFJ101" s="973"/>
      <c r="PFK101" s="973"/>
      <c r="PFL101" s="973"/>
      <c r="PFM101" s="973"/>
      <c r="PFN101" s="973"/>
      <c r="PFO101" s="973"/>
      <c r="PFP101" s="973"/>
      <c r="PFQ101" s="973"/>
      <c r="PFR101" s="973"/>
      <c r="PFS101" s="973"/>
      <c r="PFT101" s="973"/>
      <c r="PFU101" s="973"/>
      <c r="PFV101" s="973"/>
      <c r="PFW101" s="973"/>
      <c r="PFX101" s="973"/>
      <c r="PFY101" s="973"/>
      <c r="PFZ101" s="973"/>
      <c r="PGA101" s="973"/>
      <c r="PGB101" s="973"/>
      <c r="PGC101" s="973"/>
      <c r="PGD101" s="973"/>
      <c r="PGE101" s="973"/>
      <c r="PGF101" s="973"/>
      <c r="PGG101" s="973"/>
      <c r="PGH101" s="973"/>
      <c r="PGI101" s="973"/>
      <c r="PGJ101" s="973"/>
      <c r="PGK101" s="973"/>
      <c r="PGL101" s="973"/>
      <c r="PGM101" s="973"/>
      <c r="PGN101" s="973"/>
      <c r="PGO101" s="973"/>
      <c r="PGP101" s="973"/>
      <c r="PGQ101" s="973"/>
      <c r="PGR101" s="973"/>
      <c r="PGS101" s="973"/>
      <c r="PGT101" s="973"/>
      <c r="PGU101" s="973"/>
      <c r="PGV101" s="973"/>
      <c r="PGW101" s="973"/>
      <c r="PGX101" s="973"/>
      <c r="PGY101" s="973"/>
      <c r="PGZ101" s="973"/>
      <c r="PHA101" s="973"/>
      <c r="PHB101" s="973"/>
      <c r="PHC101" s="973"/>
      <c r="PHD101" s="973"/>
      <c r="PHE101" s="973"/>
      <c r="PHF101" s="973"/>
      <c r="PHG101" s="973"/>
      <c r="PHH101" s="973"/>
      <c r="PHI101" s="973"/>
      <c r="PHJ101" s="973"/>
      <c r="PHK101" s="973"/>
      <c r="PHL101" s="973"/>
      <c r="PHM101" s="973"/>
      <c r="PHN101" s="973"/>
      <c r="PHO101" s="973"/>
      <c r="PHP101" s="973"/>
      <c r="PHQ101" s="973"/>
      <c r="PHR101" s="973"/>
      <c r="PHS101" s="973"/>
      <c r="PHT101" s="973"/>
      <c r="PHU101" s="973"/>
      <c r="PHV101" s="973"/>
      <c r="PHW101" s="973"/>
      <c r="PHX101" s="973"/>
      <c r="PHY101" s="973"/>
      <c r="PHZ101" s="973"/>
      <c r="PIA101" s="973"/>
      <c r="PIB101" s="973"/>
      <c r="PIC101" s="973"/>
      <c r="PID101" s="973"/>
      <c r="PIE101" s="973"/>
      <c r="PIF101" s="973"/>
      <c r="PIG101" s="973"/>
      <c r="PIH101" s="973"/>
      <c r="PII101" s="973"/>
      <c r="PIJ101" s="973"/>
      <c r="PIK101" s="973"/>
      <c r="PIL101" s="973"/>
      <c r="PIM101" s="973"/>
      <c r="PIN101" s="973"/>
      <c r="PIO101" s="973"/>
      <c r="PIP101" s="973"/>
      <c r="PIQ101" s="973"/>
      <c r="PIR101" s="973"/>
      <c r="PIS101" s="973"/>
      <c r="PIT101" s="973"/>
      <c r="PIU101" s="973"/>
      <c r="PIV101" s="973"/>
      <c r="PIW101" s="973"/>
      <c r="PIX101" s="973"/>
      <c r="PIY101" s="973"/>
      <c r="PIZ101" s="973"/>
      <c r="PJA101" s="973"/>
      <c r="PJB101" s="973"/>
      <c r="PJC101" s="973"/>
      <c r="PJD101" s="973"/>
      <c r="PJE101" s="973"/>
      <c r="PJF101" s="973"/>
      <c r="PJG101" s="973"/>
      <c r="PJH101" s="973"/>
      <c r="PJI101" s="973"/>
      <c r="PJJ101" s="973"/>
      <c r="PJK101" s="973"/>
      <c r="PJL101" s="973"/>
      <c r="PJM101" s="973"/>
      <c r="PJN101" s="973"/>
      <c r="PJO101" s="973"/>
      <c r="PJP101" s="973"/>
      <c r="PJQ101" s="973"/>
      <c r="PJR101" s="973"/>
      <c r="PJS101" s="973"/>
      <c r="PJT101" s="973"/>
      <c r="PJU101" s="973"/>
      <c r="PJV101" s="973"/>
      <c r="PJW101" s="973"/>
      <c r="PJX101" s="973"/>
      <c r="PJY101" s="973"/>
      <c r="PJZ101" s="973"/>
      <c r="PKA101" s="973"/>
      <c r="PKB101" s="973"/>
      <c r="PKC101" s="973"/>
      <c r="PKD101" s="973"/>
      <c r="PKE101" s="973"/>
      <c r="PKF101" s="973"/>
      <c r="PKG101" s="973"/>
      <c r="PKH101" s="973"/>
      <c r="PKI101" s="973"/>
      <c r="PKJ101" s="973"/>
      <c r="PKK101" s="973"/>
      <c r="PKL101" s="973"/>
      <c r="PKM101" s="973"/>
      <c r="PKN101" s="973"/>
      <c r="PKO101" s="973"/>
      <c r="PKP101" s="973"/>
      <c r="PKQ101" s="973"/>
      <c r="PKR101" s="973"/>
      <c r="PKS101" s="973"/>
      <c r="PKT101" s="973"/>
      <c r="PKU101" s="973"/>
      <c r="PKV101" s="973"/>
      <c r="PKW101" s="973"/>
      <c r="PKX101" s="973"/>
      <c r="PKY101" s="973"/>
      <c r="PKZ101" s="973"/>
      <c r="PLA101" s="973"/>
      <c r="PLB101" s="973"/>
      <c r="PLC101" s="973"/>
      <c r="PLD101" s="973"/>
      <c r="PLE101" s="973"/>
      <c r="PLF101" s="973"/>
      <c r="PLG101" s="973"/>
      <c r="PLH101" s="973"/>
      <c r="PLI101" s="973"/>
      <c r="PLJ101" s="973"/>
      <c r="PLK101" s="973"/>
      <c r="PLL101" s="973"/>
      <c r="PLM101" s="973"/>
      <c r="PLN101" s="973"/>
      <c r="PLO101" s="973"/>
      <c r="PLP101" s="973"/>
      <c r="PLQ101" s="973"/>
      <c r="PLR101" s="973"/>
      <c r="PLS101" s="973"/>
      <c r="PLT101" s="973"/>
      <c r="PLU101" s="973"/>
      <c r="PLV101" s="973"/>
      <c r="PLW101" s="973"/>
      <c r="PLX101" s="973"/>
      <c r="PLY101" s="973"/>
      <c r="PLZ101" s="973"/>
      <c r="PMA101" s="973"/>
      <c r="PMB101" s="973"/>
      <c r="PMC101" s="973"/>
      <c r="PMD101" s="973"/>
      <c r="PME101" s="973"/>
      <c r="PMF101" s="973"/>
      <c r="PMG101" s="973"/>
      <c r="PMH101" s="973"/>
      <c r="PMI101" s="973"/>
      <c r="PMJ101" s="973"/>
      <c r="PMK101" s="973"/>
      <c r="PML101" s="973"/>
      <c r="PMM101" s="973"/>
      <c r="PMN101" s="973"/>
      <c r="PMO101" s="973"/>
      <c r="PMP101" s="973"/>
      <c r="PMQ101" s="973"/>
      <c r="PMR101" s="973"/>
      <c r="PMS101" s="973"/>
      <c r="PMT101" s="973"/>
      <c r="PMU101" s="973"/>
      <c r="PMV101" s="973"/>
      <c r="PMW101" s="973"/>
      <c r="PMX101" s="973"/>
      <c r="PMY101" s="973"/>
      <c r="PMZ101" s="973"/>
      <c r="PNA101" s="973"/>
      <c r="PNB101" s="973"/>
      <c r="PNC101" s="973"/>
      <c r="PND101" s="973"/>
      <c r="PNE101" s="973"/>
      <c r="PNF101" s="973"/>
      <c r="PNG101" s="973"/>
      <c r="PNH101" s="973"/>
      <c r="PNI101" s="973"/>
      <c r="PNJ101" s="973"/>
      <c r="PNK101" s="973"/>
      <c r="PNL101" s="973"/>
      <c r="PNM101" s="973"/>
      <c r="PNN101" s="973"/>
      <c r="PNO101" s="973"/>
      <c r="PNP101" s="973"/>
      <c r="PNQ101" s="973"/>
      <c r="PNR101" s="973"/>
      <c r="PNS101" s="973"/>
      <c r="PNT101" s="973"/>
      <c r="PNU101" s="973"/>
      <c r="PNV101" s="973"/>
      <c r="PNW101" s="973"/>
      <c r="PNX101" s="973"/>
      <c r="PNY101" s="973"/>
      <c r="PNZ101" s="973"/>
      <c r="POA101" s="973"/>
      <c r="POB101" s="973"/>
      <c r="POC101" s="973"/>
      <c r="POD101" s="973"/>
      <c r="POE101" s="973"/>
      <c r="POF101" s="973"/>
      <c r="POG101" s="973"/>
      <c r="POH101" s="973"/>
      <c r="POI101" s="973"/>
      <c r="POJ101" s="973"/>
      <c r="POK101" s="973"/>
      <c r="POL101" s="973"/>
      <c r="POM101" s="973"/>
      <c r="PON101" s="973"/>
      <c r="POO101" s="973"/>
      <c r="POP101" s="973"/>
      <c r="POQ101" s="973"/>
      <c r="POR101" s="973"/>
      <c r="POS101" s="973"/>
      <c r="POT101" s="973"/>
      <c r="POU101" s="973"/>
      <c r="POV101" s="973"/>
      <c r="POW101" s="973"/>
      <c r="POX101" s="973"/>
      <c r="POY101" s="973"/>
      <c r="POZ101" s="973"/>
      <c r="PPA101" s="973"/>
      <c r="PPB101" s="973"/>
      <c r="PPC101" s="973"/>
      <c r="PPD101" s="973"/>
      <c r="PPE101" s="973"/>
      <c r="PPF101" s="973"/>
      <c r="PPG101" s="973"/>
      <c r="PPH101" s="973"/>
      <c r="PPI101" s="973"/>
      <c r="PPJ101" s="973"/>
      <c r="PPK101" s="973"/>
      <c r="PPL101" s="973"/>
      <c r="PPM101" s="973"/>
      <c r="PPN101" s="973"/>
      <c r="PPO101" s="973"/>
      <c r="PPP101" s="973"/>
      <c r="PPQ101" s="973"/>
      <c r="PPR101" s="973"/>
      <c r="PPS101" s="973"/>
      <c r="PPT101" s="973"/>
      <c r="PPU101" s="973"/>
      <c r="PPV101" s="973"/>
      <c r="PPW101" s="973"/>
      <c r="PPX101" s="973"/>
      <c r="PPY101" s="973"/>
      <c r="PPZ101" s="973"/>
      <c r="PQA101" s="973"/>
      <c r="PQB101" s="973"/>
      <c r="PQC101" s="973"/>
      <c r="PQD101" s="973"/>
      <c r="PQE101" s="973"/>
      <c r="PQF101" s="973"/>
      <c r="PQG101" s="973"/>
      <c r="PQH101" s="973"/>
      <c r="PQI101" s="973"/>
      <c r="PQJ101" s="973"/>
      <c r="PQK101" s="973"/>
      <c r="PQL101" s="973"/>
      <c r="PQM101" s="973"/>
      <c r="PQN101" s="973"/>
      <c r="PQO101" s="973"/>
      <c r="PQP101" s="973"/>
      <c r="PQQ101" s="973"/>
      <c r="PQR101" s="973"/>
      <c r="PQS101" s="973"/>
      <c r="PQT101" s="973"/>
      <c r="PQU101" s="973"/>
      <c r="PQV101" s="973"/>
      <c r="PQW101" s="973"/>
      <c r="PQX101" s="973"/>
      <c r="PQY101" s="973"/>
      <c r="PQZ101" s="973"/>
      <c r="PRA101" s="973"/>
      <c r="PRB101" s="973"/>
      <c r="PRC101" s="973"/>
      <c r="PRD101" s="973"/>
      <c r="PRE101" s="973"/>
      <c r="PRF101" s="973"/>
      <c r="PRG101" s="973"/>
      <c r="PRH101" s="973"/>
      <c r="PRI101" s="973"/>
      <c r="PRJ101" s="973"/>
      <c r="PRK101" s="973"/>
      <c r="PRL101" s="973"/>
      <c r="PRM101" s="973"/>
      <c r="PRN101" s="973"/>
      <c r="PRO101" s="973"/>
      <c r="PRP101" s="973"/>
      <c r="PRQ101" s="973"/>
      <c r="PRR101" s="973"/>
      <c r="PRS101" s="973"/>
      <c r="PRT101" s="973"/>
      <c r="PRU101" s="973"/>
      <c r="PRV101" s="973"/>
      <c r="PRW101" s="973"/>
      <c r="PRX101" s="973"/>
      <c r="PRY101" s="973"/>
      <c r="PRZ101" s="973"/>
      <c r="PSA101" s="973"/>
      <c r="PSB101" s="973"/>
      <c r="PSC101" s="973"/>
      <c r="PSD101" s="973"/>
      <c r="PSE101" s="973"/>
      <c r="PSF101" s="973"/>
      <c r="PSG101" s="973"/>
      <c r="PSH101" s="973"/>
      <c r="PSI101" s="973"/>
      <c r="PSJ101" s="973"/>
      <c r="PSK101" s="973"/>
      <c r="PSL101" s="973"/>
      <c r="PSM101" s="973"/>
      <c r="PSN101" s="973"/>
      <c r="PSO101" s="973"/>
      <c r="PSP101" s="973"/>
      <c r="PSQ101" s="973"/>
      <c r="PSR101" s="973"/>
      <c r="PSS101" s="973"/>
      <c r="PST101" s="973"/>
      <c r="PSU101" s="973"/>
      <c r="PSV101" s="973"/>
      <c r="PSW101" s="973"/>
      <c r="PSX101" s="973"/>
      <c r="PSY101" s="973"/>
      <c r="PSZ101" s="973"/>
      <c r="PTA101" s="973"/>
      <c r="PTB101" s="973"/>
      <c r="PTC101" s="973"/>
      <c r="PTD101" s="973"/>
      <c r="PTE101" s="973"/>
      <c r="PTF101" s="973"/>
      <c r="PTG101" s="973"/>
      <c r="PTH101" s="973"/>
      <c r="PTI101" s="973"/>
      <c r="PTJ101" s="973"/>
      <c r="PTK101" s="973"/>
      <c r="PTL101" s="973"/>
      <c r="PTM101" s="973"/>
      <c r="PTN101" s="973"/>
      <c r="PTO101" s="973"/>
      <c r="PTP101" s="973"/>
      <c r="PTQ101" s="973"/>
      <c r="PTR101" s="973"/>
      <c r="PTS101" s="973"/>
      <c r="PTT101" s="973"/>
      <c r="PTU101" s="973"/>
      <c r="PTV101" s="973"/>
      <c r="PTW101" s="973"/>
      <c r="PTX101" s="973"/>
      <c r="PTY101" s="973"/>
      <c r="PTZ101" s="973"/>
      <c r="PUA101" s="973"/>
      <c r="PUB101" s="973"/>
      <c r="PUC101" s="973"/>
      <c r="PUD101" s="973"/>
      <c r="PUE101" s="973"/>
      <c r="PUF101" s="973"/>
      <c r="PUG101" s="973"/>
      <c r="PUH101" s="973"/>
      <c r="PUI101" s="973"/>
      <c r="PUJ101" s="973"/>
      <c r="PUK101" s="973"/>
      <c r="PUL101" s="973"/>
      <c r="PUM101" s="973"/>
      <c r="PUN101" s="973"/>
      <c r="PUO101" s="973"/>
      <c r="PUP101" s="973"/>
      <c r="PUQ101" s="973"/>
      <c r="PUR101" s="973"/>
      <c r="PUS101" s="973"/>
      <c r="PUT101" s="973"/>
      <c r="PUU101" s="973"/>
      <c r="PUV101" s="973"/>
      <c r="PUW101" s="973"/>
      <c r="PUX101" s="973"/>
      <c r="PUY101" s="973"/>
      <c r="PUZ101" s="973"/>
      <c r="PVA101" s="973"/>
      <c r="PVB101" s="973"/>
      <c r="PVC101" s="973"/>
      <c r="PVD101" s="973"/>
      <c r="PVE101" s="973"/>
      <c r="PVF101" s="973"/>
      <c r="PVG101" s="973"/>
      <c r="PVH101" s="973"/>
      <c r="PVI101" s="973"/>
      <c r="PVJ101" s="973"/>
      <c r="PVK101" s="973"/>
      <c r="PVL101" s="973"/>
      <c r="PVM101" s="973"/>
      <c r="PVN101" s="973"/>
      <c r="PVO101" s="973"/>
      <c r="PVP101" s="973"/>
      <c r="PVQ101" s="973"/>
      <c r="PVR101" s="973"/>
      <c r="PVS101" s="973"/>
      <c r="PVT101" s="973"/>
      <c r="PVU101" s="973"/>
      <c r="PVV101" s="973"/>
      <c r="PVW101" s="973"/>
      <c r="PVX101" s="973"/>
      <c r="PVY101" s="973"/>
      <c r="PVZ101" s="973"/>
      <c r="PWA101" s="973"/>
      <c r="PWB101" s="973"/>
      <c r="PWC101" s="973"/>
      <c r="PWD101" s="973"/>
      <c r="PWE101" s="973"/>
      <c r="PWF101" s="973"/>
      <c r="PWG101" s="973"/>
      <c r="PWH101" s="973"/>
      <c r="PWI101" s="973"/>
      <c r="PWJ101" s="973"/>
      <c r="PWK101" s="973"/>
      <c r="PWL101" s="973"/>
      <c r="PWM101" s="973"/>
      <c r="PWN101" s="973"/>
      <c r="PWO101" s="973"/>
      <c r="PWP101" s="973"/>
      <c r="PWQ101" s="973"/>
      <c r="PWR101" s="973"/>
      <c r="PWS101" s="973"/>
      <c r="PWT101" s="973"/>
      <c r="PWU101" s="973"/>
      <c r="PWV101" s="973"/>
      <c r="PWW101" s="973"/>
      <c r="PWX101" s="973"/>
      <c r="PWY101" s="973"/>
      <c r="PWZ101" s="973"/>
      <c r="PXA101" s="973"/>
      <c r="PXB101" s="973"/>
      <c r="PXC101" s="973"/>
      <c r="PXD101" s="973"/>
      <c r="PXE101" s="973"/>
      <c r="PXF101" s="973"/>
      <c r="PXG101" s="973"/>
      <c r="PXH101" s="973"/>
      <c r="PXI101" s="973"/>
      <c r="PXJ101" s="973"/>
      <c r="PXK101" s="973"/>
      <c r="PXL101" s="973"/>
      <c r="PXM101" s="973"/>
      <c r="PXN101" s="973"/>
      <c r="PXO101" s="973"/>
      <c r="PXP101" s="973"/>
      <c r="PXQ101" s="973"/>
      <c r="PXR101" s="973"/>
      <c r="PXS101" s="973"/>
      <c r="PXT101" s="973"/>
      <c r="PXU101" s="973"/>
      <c r="PXV101" s="973"/>
      <c r="PXW101" s="973"/>
      <c r="PXX101" s="973"/>
      <c r="PXY101" s="973"/>
      <c r="PXZ101" s="973"/>
      <c r="PYA101" s="973"/>
      <c r="PYB101" s="973"/>
      <c r="PYC101" s="973"/>
      <c r="PYD101" s="973"/>
      <c r="PYE101" s="973"/>
      <c r="PYF101" s="973"/>
      <c r="PYG101" s="973"/>
      <c r="PYH101" s="973"/>
      <c r="PYI101" s="973"/>
      <c r="PYJ101" s="973"/>
      <c r="PYK101" s="973"/>
      <c r="PYL101" s="973"/>
      <c r="PYM101" s="973"/>
      <c r="PYN101" s="973"/>
      <c r="PYO101" s="973"/>
      <c r="PYP101" s="973"/>
      <c r="PYQ101" s="973"/>
      <c r="PYR101" s="973"/>
      <c r="PYS101" s="973"/>
      <c r="PYT101" s="973"/>
      <c r="PYU101" s="973"/>
      <c r="PYV101" s="973"/>
      <c r="PYW101" s="973"/>
      <c r="PYX101" s="973"/>
      <c r="PYY101" s="973"/>
      <c r="PYZ101" s="973"/>
      <c r="PZA101" s="973"/>
      <c r="PZB101" s="973"/>
      <c r="PZC101" s="973"/>
      <c r="PZD101" s="973"/>
      <c r="PZE101" s="973"/>
      <c r="PZF101" s="973"/>
      <c r="PZG101" s="973"/>
      <c r="PZH101" s="973"/>
      <c r="PZI101" s="973"/>
      <c r="PZJ101" s="973"/>
      <c r="PZK101" s="973"/>
      <c r="PZL101" s="973"/>
      <c r="PZM101" s="973"/>
      <c r="PZN101" s="973"/>
      <c r="PZO101" s="973"/>
      <c r="PZP101" s="973"/>
      <c r="PZQ101" s="973"/>
      <c r="PZR101" s="973"/>
      <c r="PZS101" s="973"/>
      <c r="PZT101" s="973"/>
      <c r="PZU101" s="973"/>
      <c r="PZV101" s="973"/>
      <c r="PZW101" s="973"/>
      <c r="PZX101" s="973"/>
      <c r="PZY101" s="973"/>
      <c r="PZZ101" s="973"/>
      <c r="QAA101" s="973"/>
      <c r="QAB101" s="973"/>
      <c r="QAC101" s="973"/>
      <c r="QAD101" s="973"/>
      <c r="QAE101" s="973"/>
      <c r="QAF101" s="973"/>
      <c r="QAG101" s="973"/>
      <c r="QAH101" s="973"/>
      <c r="QAI101" s="973"/>
      <c r="QAJ101" s="973"/>
      <c r="QAK101" s="973"/>
      <c r="QAL101" s="973"/>
      <c r="QAM101" s="973"/>
      <c r="QAN101" s="973"/>
      <c r="QAO101" s="973"/>
      <c r="QAP101" s="973"/>
      <c r="QAQ101" s="973"/>
      <c r="QAR101" s="973"/>
      <c r="QAS101" s="973"/>
      <c r="QAT101" s="973"/>
      <c r="QAU101" s="973"/>
      <c r="QAV101" s="973"/>
      <c r="QAW101" s="973"/>
      <c r="QAX101" s="973"/>
      <c r="QAY101" s="973"/>
      <c r="QAZ101" s="973"/>
      <c r="QBA101" s="973"/>
      <c r="QBB101" s="973"/>
      <c r="QBC101" s="973"/>
      <c r="QBD101" s="973"/>
      <c r="QBE101" s="973"/>
      <c r="QBF101" s="973"/>
      <c r="QBG101" s="973"/>
      <c r="QBH101" s="973"/>
      <c r="QBI101" s="973"/>
      <c r="QBJ101" s="973"/>
      <c r="QBK101" s="973"/>
      <c r="QBL101" s="973"/>
      <c r="QBM101" s="973"/>
      <c r="QBN101" s="973"/>
      <c r="QBO101" s="973"/>
      <c r="QBP101" s="973"/>
      <c r="QBQ101" s="973"/>
      <c r="QBR101" s="973"/>
      <c r="QBS101" s="973"/>
      <c r="QBT101" s="973"/>
      <c r="QBU101" s="973"/>
      <c r="QBV101" s="973"/>
      <c r="QBW101" s="973"/>
      <c r="QBX101" s="973"/>
      <c r="QBY101" s="973"/>
      <c r="QBZ101" s="973"/>
      <c r="QCA101" s="973"/>
      <c r="QCB101" s="973"/>
      <c r="QCC101" s="973"/>
      <c r="QCD101" s="973"/>
      <c r="QCE101" s="973"/>
      <c r="QCF101" s="973"/>
      <c r="QCG101" s="973"/>
      <c r="QCH101" s="973"/>
      <c r="QCI101" s="973"/>
      <c r="QCJ101" s="973"/>
      <c r="QCK101" s="973"/>
      <c r="QCL101" s="973"/>
      <c r="QCM101" s="973"/>
      <c r="QCN101" s="973"/>
      <c r="QCO101" s="973"/>
      <c r="QCP101" s="973"/>
      <c r="QCQ101" s="973"/>
      <c r="QCR101" s="973"/>
      <c r="QCS101" s="973"/>
      <c r="QCT101" s="973"/>
      <c r="QCU101" s="973"/>
      <c r="QCV101" s="973"/>
      <c r="QCW101" s="973"/>
      <c r="QCX101" s="973"/>
      <c r="QCY101" s="973"/>
      <c r="QCZ101" s="973"/>
      <c r="QDA101" s="973"/>
      <c r="QDB101" s="973"/>
      <c r="QDC101" s="973"/>
      <c r="QDD101" s="973"/>
      <c r="QDE101" s="973"/>
      <c r="QDF101" s="973"/>
      <c r="QDG101" s="973"/>
      <c r="QDH101" s="973"/>
      <c r="QDI101" s="973"/>
      <c r="QDJ101" s="973"/>
      <c r="QDK101" s="973"/>
      <c r="QDL101" s="973"/>
      <c r="QDM101" s="973"/>
      <c r="QDN101" s="973"/>
      <c r="QDO101" s="973"/>
      <c r="QDP101" s="973"/>
      <c r="QDQ101" s="973"/>
      <c r="QDR101" s="973"/>
      <c r="QDS101" s="973"/>
      <c r="QDT101" s="973"/>
      <c r="QDU101" s="973"/>
      <c r="QDV101" s="973"/>
      <c r="QDW101" s="973"/>
      <c r="QDX101" s="973"/>
      <c r="QDY101" s="973"/>
      <c r="QDZ101" s="973"/>
      <c r="QEA101" s="973"/>
      <c r="QEB101" s="973"/>
      <c r="QEC101" s="973"/>
      <c r="QED101" s="973"/>
      <c r="QEE101" s="973"/>
      <c r="QEF101" s="973"/>
      <c r="QEG101" s="973"/>
      <c r="QEH101" s="973"/>
      <c r="QEI101" s="973"/>
      <c r="QEJ101" s="973"/>
      <c r="QEK101" s="973"/>
      <c r="QEL101" s="973"/>
      <c r="QEM101" s="973"/>
      <c r="QEN101" s="973"/>
      <c r="QEO101" s="973"/>
      <c r="QEP101" s="973"/>
      <c r="QEQ101" s="973"/>
      <c r="QER101" s="973"/>
      <c r="QES101" s="973"/>
      <c r="QET101" s="973"/>
      <c r="QEU101" s="973"/>
      <c r="QEV101" s="973"/>
      <c r="QEW101" s="973"/>
      <c r="QEX101" s="973"/>
      <c r="QEY101" s="973"/>
      <c r="QEZ101" s="973"/>
      <c r="QFA101" s="973"/>
      <c r="QFB101" s="973"/>
      <c r="QFC101" s="973"/>
      <c r="QFD101" s="973"/>
      <c r="QFE101" s="973"/>
      <c r="QFF101" s="973"/>
      <c r="QFG101" s="973"/>
      <c r="QFH101" s="973"/>
      <c r="QFI101" s="973"/>
      <c r="QFJ101" s="973"/>
      <c r="QFK101" s="973"/>
      <c r="QFL101" s="973"/>
      <c r="QFM101" s="973"/>
      <c r="QFN101" s="973"/>
      <c r="QFO101" s="973"/>
      <c r="QFP101" s="973"/>
      <c r="QFQ101" s="973"/>
      <c r="QFR101" s="973"/>
      <c r="QFS101" s="973"/>
      <c r="QFT101" s="973"/>
      <c r="QFU101" s="973"/>
      <c r="QFV101" s="973"/>
      <c r="QFW101" s="973"/>
      <c r="QFX101" s="973"/>
      <c r="QFY101" s="973"/>
      <c r="QFZ101" s="973"/>
      <c r="QGA101" s="973"/>
      <c r="QGB101" s="973"/>
      <c r="QGC101" s="973"/>
      <c r="QGD101" s="973"/>
      <c r="QGE101" s="973"/>
      <c r="QGF101" s="973"/>
      <c r="QGG101" s="973"/>
      <c r="QGH101" s="973"/>
      <c r="QGI101" s="973"/>
      <c r="QGJ101" s="973"/>
      <c r="QGK101" s="973"/>
      <c r="QGL101" s="973"/>
      <c r="QGM101" s="973"/>
      <c r="QGN101" s="973"/>
      <c r="QGO101" s="973"/>
      <c r="QGP101" s="973"/>
      <c r="QGQ101" s="973"/>
      <c r="QGR101" s="973"/>
      <c r="QGS101" s="973"/>
      <c r="QGT101" s="973"/>
      <c r="QGU101" s="973"/>
      <c r="QGV101" s="973"/>
      <c r="QGW101" s="973"/>
      <c r="QGX101" s="973"/>
      <c r="QGY101" s="973"/>
      <c r="QGZ101" s="973"/>
      <c r="QHA101" s="973"/>
      <c r="QHB101" s="973"/>
      <c r="QHC101" s="973"/>
      <c r="QHD101" s="973"/>
      <c r="QHE101" s="973"/>
      <c r="QHF101" s="973"/>
      <c r="QHG101" s="973"/>
      <c r="QHH101" s="973"/>
      <c r="QHI101" s="973"/>
      <c r="QHJ101" s="973"/>
      <c r="QHK101" s="973"/>
      <c r="QHL101" s="973"/>
      <c r="QHM101" s="973"/>
      <c r="QHN101" s="973"/>
      <c r="QHO101" s="973"/>
      <c r="QHP101" s="973"/>
      <c r="QHQ101" s="973"/>
      <c r="QHR101" s="973"/>
      <c r="QHS101" s="973"/>
      <c r="QHT101" s="973"/>
      <c r="QHU101" s="973"/>
      <c r="QHV101" s="973"/>
      <c r="QHW101" s="973"/>
      <c r="QHX101" s="973"/>
      <c r="QHY101" s="973"/>
      <c r="QHZ101" s="973"/>
      <c r="QIA101" s="973"/>
      <c r="QIB101" s="973"/>
      <c r="QIC101" s="973"/>
      <c r="QID101" s="973"/>
      <c r="QIE101" s="973"/>
      <c r="QIF101" s="973"/>
      <c r="QIG101" s="973"/>
      <c r="QIH101" s="973"/>
      <c r="QII101" s="973"/>
      <c r="QIJ101" s="973"/>
      <c r="QIK101" s="973"/>
      <c r="QIL101" s="973"/>
      <c r="QIM101" s="973"/>
      <c r="QIN101" s="973"/>
      <c r="QIO101" s="973"/>
      <c r="QIP101" s="973"/>
      <c r="QIQ101" s="973"/>
      <c r="QIR101" s="973"/>
      <c r="QIS101" s="973"/>
      <c r="QIT101" s="973"/>
      <c r="QIU101" s="973"/>
      <c r="QIV101" s="973"/>
      <c r="QIW101" s="973"/>
      <c r="QIX101" s="973"/>
      <c r="QIY101" s="973"/>
      <c r="QIZ101" s="973"/>
      <c r="QJA101" s="973"/>
      <c r="QJB101" s="973"/>
      <c r="QJC101" s="973"/>
      <c r="QJD101" s="973"/>
      <c r="QJE101" s="973"/>
      <c r="QJF101" s="973"/>
      <c r="QJG101" s="973"/>
      <c r="QJH101" s="973"/>
      <c r="QJI101" s="973"/>
      <c r="QJJ101" s="973"/>
      <c r="QJK101" s="973"/>
      <c r="QJL101" s="973"/>
      <c r="QJM101" s="973"/>
      <c r="QJN101" s="973"/>
      <c r="QJO101" s="973"/>
      <c r="QJP101" s="973"/>
      <c r="QJQ101" s="973"/>
      <c r="QJR101" s="973"/>
      <c r="QJS101" s="973"/>
      <c r="QJT101" s="973"/>
      <c r="QJU101" s="973"/>
      <c r="QJV101" s="973"/>
      <c r="QJW101" s="973"/>
      <c r="QJX101" s="973"/>
      <c r="QJY101" s="973"/>
      <c r="QJZ101" s="973"/>
      <c r="QKA101" s="973"/>
      <c r="QKB101" s="973"/>
      <c r="QKC101" s="973"/>
      <c r="QKD101" s="973"/>
      <c r="QKE101" s="973"/>
      <c r="QKF101" s="973"/>
      <c r="QKG101" s="973"/>
      <c r="QKH101" s="973"/>
      <c r="QKI101" s="973"/>
      <c r="QKJ101" s="973"/>
      <c r="QKK101" s="973"/>
      <c r="QKL101" s="973"/>
      <c r="QKM101" s="973"/>
      <c r="QKN101" s="973"/>
      <c r="QKO101" s="973"/>
      <c r="QKP101" s="973"/>
      <c r="QKQ101" s="973"/>
      <c r="QKR101" s="973"/>
      <c r="QKS101" s="973"/>
      <c r="QKT101" s="973"/>
      <c r="QKU101" s="973"/>
      <c r="QKV101" s="973"/>
      <c r="QKW101" s="973"/>
      <c r="QKX101" s="973"/>
      <c r="QKY101" s="973"/>
      <c r="QKZ101" s="973"/>
      <c r="QLA101" s="973"/>
      <c r="QLB101" s="973"/>
      <c r="QLC101" s="973"/>
      <c r="QLD101" s="973"/>
      <c r="QLE101" s="973"/>
      <c r="QLF101" s="973"/>
      <c r="QLG101" s="973"/>
      <c r="QLH101" s="973"/>
      <c r="QLI101" s="973"/>
      <c r="QLJ101" s="973"/>
      <c r="QLK101" s="973"/>
      <c r="QLL101" s="973"/>
      <c r="QLM101" s="973"/>
      <c r="QLN101" s="973"/>
      <c r="QLO101" s="973"/>
      <c r="QLP101" s="973"/>
      <c r="QLQ101" s="973"/>
      <c r="QLR101" s="973"/>
      <c r="QLS101" s="973"/>
      <c r="QLT101" s="973"/>
      <c r="QLU101" s="973"/>
      <c r="QLV101" s="973"/>
      <c r="QLW101" s="973"/>
      <c r="QLX101" s="973"/>
      <c r="QLY101" s="973"/>
      <c r="QLZ101" s="973"/>
      <c r="QMA101" s="973"/>
      <c r="QMB101" s="973"/>
      <c r="QMC101" s="973"/>
      <c r="QMD101" s="973"/>
      <c r="QME101" s="973"/>
      <c r="QMF101" s="973"/>
      <c r="QMG101" s="973"/>
      <c r="QMH101" s="973"/>
      <c r="QMI101" s="973"/>
      <c r="QMJ101" s="973"/>
      <c r="QMK101" s="973"/>
      <c r="QML101" s="973"/>
      <c r="QMM101" s="973"/>
      <c r="QMN101" s="973"/>
      <c r="QMO101" s="973"/>
      <c r="QMP101" s="973"/>
      <c r="QMQ101" s="973"/>
      <c r="QMR101" s="973"/>
      <c r="QMS101" s="973"/>
      <c r="QMT101" s="973"/>
      <c r="QMU101" s="973"/>
      <c r="QMV101" s="973"/>
      <c r="QMW101" s="973"/>
      <c r="QMX101" s="973"/>
      <c r="QMY101" s="973"/>
      <c r="QMZ101" s="973"/>
      <c r="QNA101" s="973"/>
      <c r="QNB101" s="973"/>
      <c r="QNC101" s="973"/>
      <c r="QND101" s="973"/>
      <c r="QNE101" s="973"/>
      <c r="QNF101" s="973"/>
      <c r="QNG101" s="973"/>
      <c r="QNH101" s="973"/>
      <c r="QNI101" s="973"/>
      <c r="QNJ101" s="973"/>
      <c r="QNK101" s="973"/>
      <c r="QNL101" s="973"/>
      <c r="QNM101" s="973"/>
      <c r="QNN101" s="973"/>
      <c r="QNO101" s="973"/>
      <c r="QNP101" s="973"/>
      <c r="QNQ101" s="973"/>
      <c r="QNR101" s="973"/>
      <c r="QNS101" s="973"/>
      <c r="QNT101" s="973"/>
      <c r="QNU101" s="973"/>
      <c r="QNV101" s="973"/>
      <c r="QNW101" s="973"/>
      <c r="QNX101" s="973"/>
      <c r="QNY101" s="973"/>
      <c r="QNZ101" s="973"/>
      <c r="QOA101" s="973"/>
      <c r="QOB101" s="973"/>
      <c r="QOC101" s="973"/>
      <c r="QOD101" s="973"/>
      <c r="QOE101" s="973"/>
      <c r="QOF101" s="973"/>
      <c r="QOG101" s="973"/>
      <c r="QOH101" s="973"/>
      <c r="QOI101" s="973"/>
      <c r="QOJ101" s="973"/>
      <c r="QOK101" s="973"/>
      <c r="QOL101" s="973"/>
      <c r="QOM101" s="973"/>
      <c r="QON101" s="973"/>
      <c r="QOO101" s="973"/>
      <c r="QOP101" s="973"/>
      <c r="QOQ101" s="973"/>
      <c r="QOR101" s="973"/>
      <c r="QOS101" s="973"/>
      <c r="QOT101" s="973"/>
      <c r="QOU101" s="973"/>
      <c r="QOV101" s="973"/>
      <c r="QOW101" s="973"/>
      <c r="QOX101" s="973"/>
      <c r="QOY101" s="973"/>
      <c r="QOZ101" s="973"/>
      <c r="QPA101" s="973"/>
      <c r="QPB101" s="973"/>
      <c r="QPC101" s="973"/>
      <c r="QPD101" s="973"/>
      <c r="QPE101" s="973"/>
      <c r="QPF101" s="973"/>
      <c r="QPG101" s="973"/>
      <c r="QPH101" s="973"/>
      <c r="QPI101" s="973"/>
      <c r="QPJ101" s="973"/>
      <c r="QPK101" s="973"/>
      <c r="QPL101" s="973"/>
      <c r="QPM101" s="973"/>
      <c r="QPN101" s="973"/>
      <c r="QPO101" s="973"/>
      <c r="QPP101" s="973"/>
      <c r="QPQ101" s="973"/>
      <c r="QPR101" s="973"/>
      <c r="QPS101" s="973"/>
      <c r="QPT101" s="973"/>
      <c r="QPU101" s="973"/>
      <c r="QPV101" s="973"/>
      <c r="QPW101" s="973"/>
      <c r="QPX101" s="973"/>
      <c r="QPY101" s="973"/>
      <c r="QPZ101" s="973"/>
      <c r="QQA101" s="973"/>
      <c r="QQB101" s="973"/>
      <c r="QQC101" s="973"/>
      <c r="QQD101" s="973"/>
      <c r="QQE101" s="973"/>
      <c r="QQF101" s="973"/>
      <c r="QQG101" s="973"/>
      <c r="QQH101" s="973"/>
      <c r="QQI101" s="973"/>
      <c r="QQJ101" s="973"/>
      <c r="QQK101" s="973"/>
      <c r="QQL101" s="973"/>
      <c r="QQM101" s="973"/>
      <c r="QQN101" s="973"/>
      <c r="QQO101" s="973"/>
      <c r="QQP101" s="973"/>
      <c r="QQQ101" s="973"/>
      <c r="QQR101" s="973"/>
      <c r="QQS101" s="973"/>
      <c r="QQT101" s="973"/>
      <c r="QQU101" s="973"/>
      <c r="QQV101" s="973"/>
      <c r="QQW101" s="973"/>
      <c r="QQX101" s="973"/>
      <c r="QQY101" s="973"/>
      <c r="QQZ101" s="973"/>
      <c r="QRA101" s="973"/>
      <c r="QRB101" s="973"/>
      <c r="QRC101" s="973"/>
      <c r="QRD101" s="973"/>
      <c r="QRE101" s="973"/>
      <c r="QRF101" s="973"/>
      <c r="QRG101" s="973"/>
      <c r="QRH101" s="973"/>
      <c r="QRI101" s="973"/>
      <c r="QRJ101" s="973"/>
      <c r="QRK101" s="973"/>
      <c r="QRL101" s="973"/>
      <c r="QRM101" s="973"/>
      <c r="QRN101" s="973"/>
      <c r="QRO101" s="973"/>
      <c r="QRP101" s="973"/>
      <c r="QRQ101" s="973"/>
      <c r="QRR101" s="973"/>
      <c r="QRS101" s="973"/>
      <c r="QRT101" s="973"/>
      <c r="QRU101" s="973"/>
      <c r="QRV101" s="973"/>
      <c r="QRW101" s="973"/>
      <c r="QRX101" s="973"/>
      <c r="QRY101" s="973"/>
      <c r="QRZ101" s="973"/>
      <c r="QSA101" s="973"/>
      <c r="QSB101" s="973"/>
      <c r="QSC101" s="973"/>
      <c r="QSD101" s="973"/>
      <c r="QSE101" s="973"/>
      <c r="QSF101" s="973"/>
      <c r="QSG101" s="973"/>
      <c r="QSH101" s="973"/>
      <c r="QSI101" s="973"/>
      <c r="QSJ101" s="973"/>
      <c r="QSK101" s="973"/>
      <c r="QSL101" s="973"/>
      <c r="QSM101" s="973"/>
      <c r="QSN101" s="973"/>
      <c r="QSO101" s="973"/>
      <c r="QSP101" s="973"/>
      <c r="QSQ101" s="973"/>
      <c r="QSR101" s="973"/>
      <c r="QSS101" s="973"/>
      <c r="QST101" s="973"/>
      <c r="QSU101" s="973"/>
      <c r="QSV101" s="973"/>
      <c r="QSW101" s="973"/>
      <c r="QSX101" s="973"/>
      <c r="QSY101" s="973"/>
      <c r="QSZ101" s="973"/>
      <c r="QTA101" s="973"/>
      <c r="QTB101" s="973"/>
      <c r="QTC101" s="973"/>
      <c r="QTD101" s="973"/>
      <c r="QTE101" s="973"/>
      <c r="QTF101" s="973"/>
      <c r="QTG101" s="973"/>
      <c r="QTH101" s="973"/>
      <c r="QTI101" s="973"/>
      <c r="QTJ101" s="973"/>
      <c r="QTK101" s="973"/>
      <c r="QTL101" s="973"/>
      <c r="QTM101" s="973"/>
      <c r="QTN101" s="973"/>
      <c r="QTO101" s="973"/>
      <c r="QTP101" s="973"/>
      <c r="QTQ101" s="973"/>
      <c r="QTR101" s="973"/>
      <c r="QTS101" s="973"/>
      <c r="QTT101" s="973"/>
      <c r="QTU101" s="973"/>
      <c r="QTV101" s="973"/>
      <c r="QTW101" s="973"/>
      <c r="QTX101" s="973"/>
      <c r="QTY101" s="973"/>
      <c r="QTZ101" s="973"/>
      <c r="QUA101" s="973"/>
      <c r="QUB101" s="973"/>
      <c r="QUC101" s="973"/>
      <c r="QUD101" s="973"/>
      <c r="QUE101" s="973"/>
      <c r="QUF101" s="973"/>
      <c r="QUG101" s="973"/>
      <c r="QUH101" s="973"/>
      <c r="QUI101" s="973"/>
      <c r="QUJ101" s="973"/>
      <c r="QUK101" s="973"/>
      <c r="QUL101" s="973"/>
      <c r="QUM101" s="973"/>
      <c r="QUN101" s="973"/>
      <c r="QUO101" s="973"/>
      <c r="QUP101" s="973"/>
      <c r="QUQ101" s="973"/>
      <c r="QUR101" s="973"/>
      <c r="QUS101" s="973"/>
      <c r="QUT101" s="973"/>
      <c r="QUU101" s="973"/>
      <c r="QUV101" s="973"/>
      <c r="QUW101" s="973"/>
      <c r="QUX101" s="973"/>
      <c r="QUY101" s="973"/>
      <c r="QUZ101" s="973"/>
      <c r="QVA101" s="973"/>
      <c r="QVB101" s="973"/>
      <c r="QVC101" s="973"/>
      <c r="QVD101" s="973"/>
      <c r="QVE101" s="973"/>
      <c r="QVF101" s="973"/>
      <c r="QVG101" s="973"/>
      <c r="QVH101" s="973"/>
      <c r="QVI101" s="973"/>
      <c r="QVJ101" s="973"/>
      <c r="QVK101" s="973"/>
      <c r="QVL101" s="973"/>
      <c r="QVM101" s="973"/>
      <c r="QVN101" s="973"/>
      <c r="QVO101" s="973"/>
      <c r="QVP101" s="973"/>
      <c r="QVQ101" s="973"/>
      <c r="QVR101" s="973"/>
      <c r="QVS101" s="973"/>
      <c r="QVT101" s="973"/>
      <c r="QVU101" s="973"/>
      <c r="QVV101" s="973"/>
      <c r="QVW101" s="973"/>
      <c r="QVX101" s="973"/>
      <c r="QVY101" s="973"/>
      <c r="QVZ101" s="973"/>
      <c r="QWA101" s="973"/>
      <c r="QWB101" s="973"/>
      <c r="QWC101" s="973"/>
      <c r="QWD101" s="973"/>
      <c r="QWE101" s="973"/>
      <c r="QWF101" s="973"/>
      <c r="QWG101" s="973"/>
      <c r="QWH101" s="973"/>
      <c r="QWI101" s="973"/>
      <c r="QWJ101" s="973"/>
      <c r="QWK101" s="973"/>
      <c r="QWL101" s="973"/>
      <c r="QWM101" s="973"/>
      <c r="QWN101" s="973"/>
      <c r="QWO101" s="973"/>
      <c r="QWP101" s="973"/>
      <c r="QWQ101" s="973"/>
      <c r="QWR101" s="973"/>
      <c r="QWS101" s="973"/>
      <c r="QWT101" s="973"/>
      <c r="QWU101" s="973"/>
      <c r="QWV101" s="973"/>
      <c r="QWW101" s="973"/>
      <c r="QWX101" s="973"/>
      <c r="QWY101" s="973"/>
      <c r="QWZ101" s="973"/>
      <c r="QXA101" s="973"/>
      <c r="QXB101" s="973"/>
      <c r="QXC101" s="973"/>
      <c r="QXD101" s="973"/>
      <c r="QXE101" s="973"/>
      <c r="QXF101" s="973"/>
      <c r="QXG101" s="973"/>
      <c r="QXH101" s="973"/>
      <c r="QXI101" s="973"/>
      <c r="QXJ101" s="973"/>
      <c r="QXK101" s="973"/>
      <c r="QXL101" s="973"/>
      <c r="QXM101" s="973"/>
      <c r="QXN101" s="973"/>
      <c r="QXO101" s="973"/>
      <c r="QXP101" s="973"/>
      <c r="QXQ101" s="973"/>
      <c r="QXR101" s="973"/>
      <c r="QXS101" s="973"/>
      <c r="QXT101" s="973"/>
      <c r="QXU101" s="973"/>
      <c r="QXV101" s="973"/>
      <c r="QXW101" s="973"/>
      <c r="QXX101" s="973"/>
      <c r="QXY101" s="973"/>
      <c r="QXZ101" s="973"/>
      <c r="QYA101" s="973"/>
      <c r="QYB101" s="973"/>
      <c r="QYC101" s="973"/>
      <c r="QYD101" s="973"/>
      <c r="QYE101" s="973"/>
      <c r="QYF101" s="973"/>
      <c r="QYG101" s="973"/>
      <c r="QYH101" s="973"/>
      <c r="QYI101" s="973"/>
      <c r="QYJ101" s="973"/>
      <c r="QYK101" s="973"/>
      <c r="QYL101" s="973"/>
      <c r="QYM101" s="973"/>
      <c r="QYN101" s="973"/>
      <c r="QYO101" s="973"/>
      <c r="QYP101" s="973"/>
      <c r="QYQ101" s="973"/>
      <c r="QYR101" s="973"/>
      <c r="QYS101" s="973"/>
      <c r="QYT101" s="973"/>
      <c r="QYU101" s="973"/>
      <c r="QYV101" s="973"/>
      <c r="QYW101" s="973"/>
      <c r="QYX101" s="973"/>
      <c r="QYY101" s="973"/>
      <c r="QYZ101" s="973"/>
      <c r="QZA101" s="973"/>
      <c r="QZB101" s="973"/>
      <c r="QZC101" s="973"/>
      <c r="QZD101" s="973"/>
      <c r="QZE101" s="973"/>
      <c r="QZF101" s="973"/>
      <c r="QZG101" s="973"/>
      <c r="QZH101" s="973"/>
      <c r="QZI101" s="973"/>
      <c r="QZJ101" s="973"/>
      <c r="QZK101" s="973"/>
      <c r="QZL101" s="973"/>
      <c r="QZM101" s="973"/>
      <c r="QZN101" s="973"/>
      <c r="QZO101" s="973"/>
      <c r="QZP101" s="973"/>
      <c r="QZQ101" s="973"/>
      <c r="QZR101" s="973"/>
      <c r="QZS101" s="973"/>
      <c r="QZT101" s="973"/>
      <c r="QZU101" s="973"/>
      <c r="QZV101" s="973"/>
      <c r="QZW101" s="973"/>
      <c r="QZX101" s="973"/>
      <c r="QZY101" s="973"/>
      <c r="QZZ101" s="973"/>
      <c r="RAA101" s="973"/>
      <c r="RAB101" s="973"/>
      <c r="RAC101" s="973"/>
      <c r="RAD101" s="973"/>
      <c r="RAE101" s="973"/>
      <c r="RAF101" s="973"/>
      <c r="RAG101" s="973"/>
      <c r="RAH101" s="973"/>
      <c r="RAI101" s="973"/>
      <c r="RAJ101" s="973"/>
      <c r="RAK101" s="973"/>
      <c r="RAL101" s="973"/>
      <c r="RAM101" s="973"/>
      <c r="RAN101" s="973"/>
      <c r="RAO101" s="973"/>
      <c r="RAP101" s="973"/>
      <c r="RAQ101" s="973"/>
      <c r="RAR101" s="973"/>
      <c r="RAS101" s="973"/>
      <c r="RAT101" s="973"/>
      <c r="RAU101" s="973"/>
      <c r="RAV101" s="973"/>
      <c r="RAW101" s="973"/>
      <c r="RAX101" s="973"/>
      <c r="RAY101" s="973"/>
      <c r="RAZ101" s="973"/>
      <c r="RBA101" s="973"/>
      <c r="RBB101" s="973"/>
      <c r="RBC101" s="973"/>
      <c r="RBD101" s="973"/>
      <c r="RBE101" s="973"/>
      <c r="RBF101" s="973"/>
      <c r="RBG101" s="973"/>
      <c r="RBH101" s="973"/>
      <c r="RBI101" s="973"/>
      <c r="RBJ101" s="973"/>
      <c r="RBK101" s="973"/>
      <c r="RBL101" s="973"/>
      <c r="RBM101" s="973"/>
      <c r="RBN101" s="973"/>
      <c r="RBO101" s="973"/>
      <c r="RBP101" s="973"/>
      <c r="RBQ101" s="973"/>
      <c r="RBR101" s="973"/>
      <c r="RBS101" s="973"/>
      <c r="RBT101" s="973"/>
      <c r="RBU101" s="973"/>
      <c r="RBV101" s="973"/>
      <c r="RBW101" s="973"/>
      <c r="RBX101" s="973"/>
      <c r="RBY101" s="973"/>
      <c r="RBZ101" s="973"/>
      <c r="RCA101" s="973"/>
      <c r="RCB101" s="973"/>
      <c r="RCC101" s="973"/>
      <c r="RCD101" s="973"/>
      <c r="RCE101" s="973"/>
      <c r="RCF101" s="973"/>
      <c r="RCG101" s="973"/>
      <c r="RCH101" s="973"/>
      <c r="RCI101" s="973"/>
      <c r="RCJ101" s="973"/>
      <c r="RCK101" s="973"/>
      <c r="RCL101" s="973"/>
      <c r="RCM101" s="973"/>
      <c r="RCN101" s="973"/>
      <c r="RCO101" s="973"/>
      <c r="RCP101" s="973"/>
      <c r="RCQ101" s="973"/>
      <c r="RCR101" s="973"/>
      <c r="RCS101" s="973"/>
      <c r="RCT101" s="973"/>
      <c r="RCU101" s="973"/>
      <c r="RCV101" s="973"/>
      <c r="RCW101" s="973"/>
      <c r="RCX101" s="973"/>
      <c r="RCY101" s="973"/>
      <c r="RCZ101" s="973"/>
      <c r="RDA101" s="973"/>
      <c r="RDB101" s="973"/>
      <c r="RDC101" s="973"/>
      <c r="RDD101" s="973"/>
      <c r="RDE101" s="973"/>
      <c r="RDF101" s="973"/>
      <c r="RDG101" s="973"/>
      <c r="RDH101" s="973"/>
      <c r="RDI101" s="973"/>
      <c r="RDJ101" s="973"/>
      <c r="RDK101" s="973"/>
      <c r="RDL101" s="973"/>
      <c r="RDM101" s="973"/>
      <c r="RDN101" s="973"/>
      <c r="RDO101" s="973"/>
      <c r="RDP101" s="973"/>
      <c r="RDQ101" s="973"/>
      <c r="RDR101" s="973"/>
      <c r="RDS101" s="973"/>
      <c r="RDT101" s="973"/>
      <c r="RDU101" s="973"/>
      <c r="RDV101" s="973"/>
      <c r="RDW101" s="973"/>
      <c r="RDX101" s="973"/>
      <c r="RDY101" s="973"/>
      <c r="RDZ101" s="973"/>
      <c r="REA101" s="973"/>
      <c r="REB101" s="973"/>
      <c r="REC101" s="973"/>
      <c r="RED101" s="973"/>
      <c r="REE101" s="973"/>
      <c r="REF101" s="973"/>
      <c r="REG101" s="973"/>
      <c r="REH101" s="973"/>
      <c r="REI101" s="973"/>
      <c r="REJ101" s="973"/>
      <c r="REK101" s="973"/>
      <c r="REL101" s="973"/>
      <c r="REM101" s="973"/>
      <c r="REN101" s="973"/>
      <c r="REO101" s="973"/>
      <c r="REP101" s="973"/>
      <c r="REQ101" s="973"/>
      <c r="RER101" s="973"/>
      <c r="RES101" s="973"/>
      <c r="RET101" s="973"/>
      <c r="REU101" s="973"/>
      <c r="REV101" s="973"/>
      <c r="REW101" s="973"/>
      <c r="REX101" s="973"/>
      <c r="REY101" s="973"/>
      <c r="REZ101" s="973"/>
      <c r="RFA101" s="973"/>
      <c r="RFB101" s="973"/>
      <c r="RFC101" s="973"/>
      <c r="RFD101" s="973"/>
      <c r="RFE101" s="973"/>
      <c r="RFF101" s="973"/>
      <c r="RFG101" s="973"/>
      <c r="RFH101" s="973"/>
      <c r="RFI101" s="973"/>
      <c r="RFJ101" s="973"/>
      <c r="RFK101" s="973"/>
      <c r="RFL101" s="973"/>
      <c r="RFM101" s="973"/>
      <c r="RFN101" s="973"/>
      <c r="RFO101" s="973"/>
      <c r="RFP101" s="973"/>
      <c r="RFQ101" s="973"/>
      <c r="RFR101" s="973"/>
      <c r="RFS101" s="973"/>
      <c r="RFT101" s="973"/>
      <c r="RFU101" s="973"/>
      <c r="RFV101" s="973"/>
      <c r="RFW101" s="973"/>
      <c r="RFX101" s="973"/>
      <c r="RFY101" s="973"/>
      <c r="RFZ101" s="973"/>
      <c r="RGA101" s="973"/>
      <c r="RGB101" s="973"/>
      <c r="RGC101" s="973"/>
      <c r="RGD101" s="973"/>
      <c r="RGE101" s="973"/>
      <c r="RGF101" s="973"/>
      <c r="RGG101" s="973"/>
      <c r="RGH101" s="973"/>
      <c r="RGI101" s="973"/>
      <c r="RGJ101" s="973"/>
      <c r="RGK101" s="973"/>
      <c r="RGL101" s="973"/>
      <c r="RGM101" s="973"/>
      <c r="RGN101" s="973"/>
      <c r="RGO101" s="973"/>
      <c r="RGP101" s="973"/>
      <c r="RGQ101" s="973"/>
      <c r="RGR101" s="973"/>
      <c r="RGS101" s="973"/>
      <c r="RGT101" s="973"/>
      <c r="RGU101" s="973"/>
      <c r="RGV101" s="973"/>
      <c r="RGW101" s="973"/>
      <c r="RGX101" s="973"/>
      <c r="RGY101" s="973"/>
      <c r="RGZ101" s="973"/>
      <c r="RHA101" s="973"/>
      <c r="RHB101" s="973"/>
      <c r="RHC101" s="973"/>
      <c r="RHD101" s="973"/>
      <c r="RHE101" s="973"/>
      <c r="RHF101" s="973"/>
      <c r="RHG101" s="973"/>
      <c r="RHH101" s="973"/>
      <c r="RHI101" s="973"/>
      <c r="RHJ101" s="973"/>
      <c r="RHK101" s="973"/>
      <c r="RHL101" s="973"/>
      <c r="RHM101" s="973"/>
      <c r="RHN101" s="973"/>
      <c r="RHO101" s="973"/>
      <c r="RHP101" s="973"/>
      <c r="RHQ101" s="973"/>
      <c r="RHR101" s="973"/>
      <c r="RHS101" s="973"/>
      <c r="RHT101" s="973"/>
      <c r="RHU101" s="973"/>
      <c r="RHV101" s="973"/>
      <c r="RHW101" s="973"/>
      <c r="RHX101" s="973"/>
      <c r="RHY101" s="973"/>
      <c r="RHZ101" s="973"/>
      <c r="RIA101" s="973"/>
      <c r="RIB101" s="973"/>
      <c r="RIC101" s="973"/>
      <c r="RID101" s="973"/>
      <c r="RIE101" s="973"/>
      <c r="RIF101" s="973"/>
      <c r="RIG101" s="973"/>
      <c r="RIH101" s="973"/>
      <c r="RII101" s="973"/>
      <c r="RIJ101" s="973"/>
      <c r="RIK101" s="973"/>
      <c r="RIL101" s="973"/>
      <c r="RIM101" s="973"/>
      <c r="RIN101" s="973"/>
      <c r="RIO101" s="973"/>
      <c r="RIP101" s="973"/>
      <c r="RIQ101" s="973"/>
      <c r="RIR101" s="973"/>
      <c r="RIS101" s="973"/>
      <c r="RIT101" s="973"/>
      <c r="RIU101" s="973"/>
      <c r="RIV101" s="973"/>
      <c r="RIW101" s="973"/>
      <c r="RIX101" s="973"/>
      <c r="RIY101" s="973"/>
      <c r="RIZ101" s="973"/>
      <c r="RJA101" s="973"/>
      <c r="RJB101" s="973"/>
      <c r="RJC101" s="973"/>
      <c r="RJD101" s="973"/>
      <c r="RJE101" s="973"/>
      <c r="RJF101" s="973"/>
      <c r="RJG101" s="973"/>
      <c r="RJH101" s="973"/>
      <c r="RJI101" s="973"/>
      <c r="RJJ101" s="973"/>
      <c r="RJK101" s="973"/>
      <c r="RJL101" s="973"/>
      <c r="RJM101" s="973"/>
      <c r="RJN101" s="973"/>
      <c r="RJO101" s="973"/>
      <c r="RJP101" s="973"/>
      <c r="RJQ101" s="973"/>
      <c r="RJR101" s="973"/>
      <c r="RJS101" s="973"/>
      <c r="RJT101" s="973"/>
      <c r="RJU101" s="973"/>
      <c r="RJV101" s="973"/>
      <c r="RJW101" s="973"/>
      <c r="RJX101" s="973"/>
      <c r="RJY101" s="973"/>
      <c r="RJZ101" s="973"/>
      <c r="RKA101" s="973"/>
      <c r="RKB101" s="973"/>
      <c r="RKC101" s="973"/>
      <c r="RKD101" s="973"/>
      <c r="RKE101" s="973"/>
      <c r="RKF101" s="973"/>
      <c r="RKG101" s="973"/>
      <c r="RKH101" s="973"/>
      <c r="RKI101" s="973"/>
      <c r="RKJ101" s="973"/>
      <c r="RKK101" s="973"/>
      <c r="RKL101" s="973"/>
      <c r="RKM101" s="973"/>
      <c r="RKN101" s="973"/>
      <c r="RKO101" s="973"/>
      <c r="RKP101" s="973"/>
      <c r="RKQ101" s="973"/>
      <c r="RKR101" s="973"/>
      <c r="RKS101" s="973"/>
      <c r="RKT101" s="973"/>
      <c r="RKU101" s="973"/>
      <c r="RKV101" s="973"/>
      <c r="RKW101" s="973"/>
      <c r="RKX101" s="973"/>
      <c r="RKY101" s="973"/>
      <c r="RKZ101" s="973"/>
      <c r="RLA101" s="973"/>
      <c r="RLB101" s="973"/>
      <c r="RLC101" s="973"/>
      <c r="RLD101" s="973"/>
      <c r="RLE101" s="973"/>
      <c r="RLF101" s="973"/>
      <c r="RLG101" s="973"/>
      <c r="RLH101" s="973"/>
      <c r="RLI101" s="973"/>
      <c r="RLJ101" s="973"/>
      <c r="RLK101" s="973"/>
      <c r="RLL101" s="973"/>
      <c r="RLM101" s="973"/>
      <c r="RLN101" s="973"/>
      <c r="RLO101" s="973"/>
      <c r="RLP101" s="973"/>
      <c r="RLQ101" s="973"/>
      <c r="RLR101" s="973"/>
      <c r="RLS101" s="973"/>
      <c r="RLT101" s="973"/>
      <c r="RLU101" s="973"/>
      <c r="RLV101" s="973"/>
      <c r="RLW101" s="973"/>
      <c r="RLX101" s="973"/>
      <c r="RLY101" s="973"/>
      <c r="RLZ101" s="973"/>
      <c r="RMA101" s="973"/>
      <c r="RMB101" s="973"/>
      <c r="RMC101" s="973"/>
      <c r="RMD101" s="973"/>
      <c r="RME101" s="973"/>
      <c r="RMF101" s="973"/>
      <c r="RMG101" s="973"/>
      <c r="RMH101" s="973"/>
      <c r="RMI101" s="973"/>
      <c r="RMJ101" s="973"/>
      <c r="RMK101" s="973"/>
      <c r="RML101" s="973"/>
      <c r="RMM101" s="973"/>
      <c r="RMN101" s="973"/>
      <c r="RMO101" s="973"/>
      <c r="RMP101" s="973"/>
      <c r="RMQ101" s="973"/>
      <c r="RMR101" s="973"/>
      <c r="RMS101" s="973"/>
      <c r="RMT101" s="973"/>
      <c r="RMU101" s="973"/>
      <c r="RMV101" s="973"/>
      <c r="RMW101" s="973"/>
      <c r="RMX101" s="973"/>
      <c r="RMY101" s="973"/>
      <c r="RMZ101" s="973"/>
      <c r="RNA101" s="973"/>
      <c r="RNB101" s="973"/>
      <c r="RNC101" s="973"/>
      <c r="RND101" s="973"/>
      <c r="RNE101" s="973"/>
      <c r="RNF101" s="973"/>
      <c r="RNG101" s="973"/>
      <c r="RNH101" s="973"/>
      <c r="RNI101" s="973"/>
      <c r="RNJ101" s="973"/>
      <c r="RNK101" s="973"/>
      <c r="RNL101" s="973"/>
      <c r="RNM101" s="973"/>
      <c r="RNN101" s="973"/>
      <c r="RNO101" s="973"/>
      <c r="RNP101" s="973"/>
      <c r="RNQ101" s="973"/>
      <c r="RNR101" s="973"/>
      <c r="RNS101" s="973"/>
      <c r="RNT101" s="973"/>
      <c r="RNU101" s="973"/>
      <c r="RNV101" s="973"/>
      <c r="RNW101" s="973"/>
      <c r="RNX101" s="973"/>
      <c r="RNY101" s="973"/>
      <c r="RNZ101" s="973"/>
      <c r="ROA101" s="973"/>
      <c r="ROB101" s="973"/>
      <c r="ROC101" s="973"/>
      <c r="ROD101" s="973"/>
      <c r="ROE101" s="973"/>
      <c r="ROF101" s="973"/>
      <c r="ROG101" s="973"/>
      <c r="ROH101" s="973"/>
      <c r="ROI101" s="973"/>
      <c r="ROJ101" s="973"/>
      <c r="ROK101" s="973"/>
      <c r="ROL101" s="973"/>
      <c r="ROM101" s="973"/>
      <c r="RON101" s="973"/>
      <c r="ROO101" s="973"/>
      <c r="ROP101" s="973"/>
      <c r="ROQ101" s="973"/>
      <c r="ROR101" s="973"/>
      <c r="ROS101" s="973"/>
      <c r="ROT101" s="973"/>
      <c r="ROU101" s="973"/>
      <c r="ROV101" s="973"/>
      <c r="ROW101" s="973"/>
      <c r="ROX101" s="973"/>
      <c r="ROY101" s="973"/>
      <c r="ROZ101" s="973"/>
      <c r="RPA101" s="973"/>
      <c r="RPB101" s="973"/>
      <c r="RPC101" s="973"/>
      <c r="RPD101" s="973"/>
      <c r="RPE101" s="973"/>
      <c r="RPF101" s="973"/>
      <c r="RPG101" s="973"/>
      <c r="RPH101" s="973"/>
      <c r="RPI101" s="973"/>
      <c r="RPJ101" s="973"/>
      <c r="RPK101" s="973"/>
      <c r="RPL101" s="973"/>
      <c r="RPM101" s="973"/>
      <c r="RPN101" s="973"/>
      <c r="RPO101" s="973"/>
      <c r="RPP101" s="973"/>
      <c r="RPQ101" s="973"/>
      <c r="RPR101" s="973"/>
      <c r="RPS101" s="973"/>
      <c r="RPT101" s="973"/>
      <c r="RPU101" s="973"/>
      <c r="RPV101" s="973"/>
      <c r="RPW101" s="973"/>
      <c r="RPX101" s="973"/>
      <c r="RPY101" s="973"/>
      <c r="RPZ101" s="973"/>
      <c r="RQA101" s="973"/>
      <c r="RQB101" s="973"/>
      <c r="RQC101" s="973"/>
      <c r="RQD101" s="973"/>
      <c r="RQE101" s="973"/>
      <c r="RQF101" s="973"/>
      <c r="RQG101" s="973"/>
      <c r="RQH101" s="973"/>
      <c r="RQI101" s="973"/>
      <c r="RQJ101" s="973"/>
      <c r="RQK101" s="973"/>
      <c r="RQL101" s="973"/>
      <c r="RQM101" s="973"/>
      <c r="RQN101" s="973"/>
      <c r="RQO101" s="973"/>
      <c r="RQP101" s="973"/>
      <c r="RQQ101" s="973"/>
      <c r="RQR101" s="973"/>
      <c r="RQS101" s="973"/>
      <c r="RQT101" s="973"/>
      <c r="RQU101" s="973"/>
      <c r="RQV101" s="973"/>
      <c r="RQW101" s="973"/>
      <c r="RQX101" s="973"/>
      <c r="RQY101" s="973"/>
      <c r="RQZ101" s="973"/>
      <c r="RRA101" s="973"/>
      <c r="RRB101" s="973"/>
      <c r="RRC101" s="973"/>
      <c r="RRD101" s="973"/>
      <c r="RRE101" s="973"/>
      <c r="RRF101" s="973"/>
      <c r="RRG101" s="973"/>
      <c r="RRH101" s="973"/>
      <c r="RRI101" s="973"/>
      <c r="RRJ101" s="973"/>
      <c r="RRK101" s="973"/>
      <c r="RRL101" s="973"/>
      <c r="RRM101" s="973"/>
      <c r="RRN101" s="973"/>
      <c r="RRO101" s="973"/>
      <c r="RRP101" s="973"/>
      <c r="RRQ101" s="973"/>
      <c r="RRR101" s="973"/>
      <c r="RRS101" s="973"/>
      <c r="RRT101" s="973"/>
      <c r="RRU101" s="973"/>
      <c r="RRV101" s="973"/>
      <c r="RRW101" s="973"/>
      <c r="RRX101" s="973"/>
      <c r="RRY101" s="973"/>
      <c r="RRZ101" s="973"/>
      <c r="RSA101" s="973"/>
      <c r="RSB101" s="973"/>
      <c r="RSC101" s="973"/>
      <c r="RSD101" s="973"/>
      <c r="RSE101" s="973"/>
      <c r="RSF101" s="973"/>
      <c r="RSG101" s="973"/>
      <c r="RSH101" s="973"/>
      <c r="RSI101" s="973"/>
      <c r="RSJ101" s="973"/>
      <c r="RSK101" s="973"/>
      <c r="RSL101" s="973"/>
      <c r="RSM101" s="973"/>
      <c r="RSN101" s="973"/>
      <c r="RSO101" s="973"/>
      <c r="RSP101" s="973"/>
      <c r="RSQ101" s="973"/>
      <c r="RSR101" s="973"/>
      <c r="RSS101" s="973"/>
      <c r="RST101" s="973"/>
      <c r="RSU101" s="973"/>
      <c r="RSV101" s="973"/>
      <c r="RSW101" s="973"/>
      <c r="RSX101" s="973"/>
      <c r="RSY101" s="973"/>
      <c r="RSZ101" s="973"/>
      <c r="RTA101" s="973"/>
      <c r="RTB101" s="973"/>
      <c r="RTC101" s="973"/>
      <c r="RTD101" s="973"/>
      <c r="RTE101" s="973"/>
      <c r="RTF101" s="973"/>
      <c r="RTG101" s="973"/>
      <c r="RTH101" s="973"/>
      <c r="RTI101" s="973"/>
      <c r="RTJ101" s="973"/>
      <c r="RTK101" s="973"/>
      <c r="RTL101" s="973"/>
      <c r="RTM101" s="973"/>
      <c r="RTN101" s="973"/>
      <c r="RTO101" s="973"/>
      <c r="RTP101" s="973"/>
      <c r="RTQ101" s="973"/>
      <c r="RTR101" s="973"/>
      <c r="RTS101" s="973"/>
      <c r="RTT101" s="973"/>
      <c r="RTU101" s="973"/>
      <c r="RTV101" s="973"/>
      <c r="RTW101" s="973"/>
      <c r="RTX101" s="973"/>
      <c r="RTY101" s="973"/>
      <c r="RTZ101" s="973"/>
      <c r="RUA101" s="973"/>
      <c r="RUB101" s="973"/>
      <c r="RUC101" s="973"/>
      <c r="RUD101" s="973"/>
      <c r="RUE101" s="973"/>
      <c r="RUF101" s="973"/>
      <c r="RUG101" s="973"/>
      <c r="RUH101" s="973"/>
      <c r="RUI101" s="973"/>
      <c r="RUJ101" s="973"/>
      <c r="RUK101" s="973"/>
      <c r="RUL101" s="973"/>
      <c r="RUM101" s="973"/>
      <c r="RUN101" s="973"/>
      <c r="RUO101" s="973"/>
      <c r="RUP101" s="973"/>
      <c r="RUQ101" s="973"/>
      <c r="RUR101" s="973"/>
      <c r="RUS101" s="973"/>
      <c r="RUT101" s="973"/>
      <c r="RUU101" s="973"/>
      <c r="RUV101" s="973"/>
      <c r="RUW101" s="973"/>
      <c r="RUX101" s="973"/>
      <c r="RUY101" s="973"/>
      <c r="RUZ101" s="973"/>
      <c r="RVA101" s="973"/>
      <c r="RVB101" s="973"/>
      <c r="RVC101" s="973"/>
      <c r="RVD101" s="973"/>
      <c r="RVE101" s="973"/>
      <c r="RVF101" s="973"/>
      <c r="RVG101" s="973"/>
      <c r="RVH101" s="973"/>
      <c r="RVI101" s="973"/>
      <c r="RVJ101" s="973"/>
      <c r="RVK101" s="973"/>
      <c r="RVL101" s="973"/>
      <c r="RVM101" s="973"/>
      <c r="RVN101" s="973"/>
      <c r="RVO101" s="973"/>
      <c r="RVP101" s="973"/>
      <c r="RVQ101" s="973"/>
      <c r="RVR101" s="973"/>
      <c r="RVS101" s="973"/>
      <c r="RVT101" s="973"/>
      <c r="RVU101" s="973"/>
      <c r="RVV101" s="973"/>
      <c r="RVW101" s="973"/>
      <c r="RVX101" s="973"/>
      <c r="RVY101" s="973"/>
      <c r="RVZ101" s="973"/>
      <c r="RWA101" s="973"/>
      <c r="RWB101" s="973"/>
      <c r="RWC101" s="973"/>
      <c r="RWD101" s="973"/>
      <c r="RWE101" s="973"/>
      <c r="RWF101" s="973"/>
      <c r="RWG101" s="973"/>
      <c r="RWH101" s="973"/>
      <c r="RWI101" s="973"/>
      <c r="RWJ101" s="973"/>
      <c r="RWK101" s="973"/>
      <c r="RWL101" s="973"/>
      <c r="RWM101" s="973"/>
      <c r="RWN101" s="973"/>
      <c r="RWO101" s="973"/>
      <c r="RWP101" s="973"/>
      <c r="RWQ101" s="973"/>
      <c r="RWR101" s="973"/>
      <c r="RWS101" s="973"/>
      <c r="RWT101" s="973"/>
      <c r="RWU101" s="973"/>
      <c r="RWV101" s="973"/>
      <c r="RWW101" s="973"/>
      <c r="RWX101" s="973"/>
      <c r="RWY101" s="973"/>
      <c r="RWZ101" s="973"/>
      <c r="RXA101" s="973"/>
      <c r="RXB101" s="973"/>
      <c r="RXC101" s="973"/>
      <c r="RXD101" s="973"/>
      <c r="RXE101" s="973"/>
      <c r="RXF101" s="973"/>
      <c r="RXG101" s="973"/>
      <c r="RXH101" s="973"/>
      <c r="RXI101" s="973"/>
      <c r="RXJ101" s="973"/>
      <c r="RXK101" s="973"/>
      <c r="RXL101" s="973"/>
      <c r="RXM101" s="973"/>
      <c r="RXN101" s="973"/>
      <c r="RXO101" s="973"/>
      <c r="RXP101" s="973"/>
      <c r="RXQ101" s="973"/>
      <c r="RXR101" s="973"/>
      <c r="RXS101" s="973"/>
      <c r="RXT101" s="973"/>
      <c r="RXU101" s="973"/>
      <c r="RXV101" s="973"/>
      <c r="RXW101" s="973"/>
      <c r="RXX101" s="973"/>
      <c r="RXY101" s="973"/>
      <c r="RXZ101" s="973"/>
      <c r="RYA101" s="973"/>
      <c r="RYB101" s="973"/>
      <c r="RYC101" s="973"/>
      <c r="RYD101" s="973"/>
      <c r="RYE101" s="973"/>
      <c r="RYF101" s="973"/>
      <c r="RYG101" s="973"/>
      <c r="RYH101" s="973"/>
      <c r="RYI101" s="973"/>
      <c r="RYJ101" s="973"/>
      <c r="RYK101" s="973"/>
      <c r="RYL101" s="973"/>
      <c r="RYM101" s="973"/>
      <c r="RYN101" s="973"/>
      <c r="RYO101" s="973"/>
      <c r="RYP101" s="973"/>
      <c r="RYQ101" s="973"/>
      <c r="RYR101" s="973"/>
      <c r="RYS101" s="973"/>
      <c r="RYT101" s="973"/>
      <c r="RYU101" s="973"/>
      <c r="RYV101" s="973"/>
      <c r="RYW101" s="973"/>
      <c r="RYX101" s="973"/>
      <c r="RYY101" s="973"/>
      <c r="RYZ101" s="973"/>
      <c r="RZA101" s="973"/>
      <c r="RZB101" s="973"/>
      <c r="RZC101" s="973"/>
      <c r="RZD101" s="973"/>
      <c r="RZE101" s="973"/>
      <c r="RZF101" s="973"/>
      <c r="RZG101" s="973"/>
      <c r="RZH101" s="973"/>
      <c r="RZI101" s="973"/>
      <c r="RZJ101" s="973"/>
      <c r="RZK101" s="973"/>
      <c r="RZL101" s="973"/>
      <c r="RZM101" s="973"/>
      <c r="RZN101" s="973"/>
      <c r="RZO101" s="973"/>
      <c r="RZP101" s="973"/>
      <c r="RZQ101" s="973"/>
      <c r="RZR101" s="973"/>
      <c r="RZS101" s="973"/>
      <c r="RZT101" s="973"/>
      <c r="RZU101" s="973"/>
      <c r="RZV101" s="973"/>
      <c r="RZW101" s="973"/>
      <c r="RZX101" s="973"/>
      <c r="RZY101" s="973"/>
      <c r="RZZ101" s="973"/>
      <c r="SAA101" s="973"/>
      <c r="SAB101" s="973"/>
      <c r="SAC101" s="973"/>
      <c r="SAD101" s="973"/>
      <c r="SAE101" s="973"/>
      <c r="SAF101" s="973"/>
      <c r="SAG101" s="973"/>
      <c r="SAH101" s="973"/>
      <c r="SAI101" s="973"/>
      <c r="SAJ101" s="973"/>
      <c r="SAK101" s="973"/>
      <c r="SAL101" s="973"/>
      <c r="SAM101" s="973"/>
      <c r="SAN101" s="973"/>
      <c r="SAO101" s="973"/>
      <c r="SAP101" s="973"/>
      <c r="SAQ101" s="973"/>
      <c r="SAR101" s="973"/>
      <c r="SAS101" s="973"/>
      <c r="SAT101" s="973"/>
      <c r="SAU101" s="973"/>
      <c r="SAV101" s="973"/>
      <c r="SAW101" s="973"/>
      <c r="SAX101" s="973"/>
      <c r="SAY101" s="973"/>
      <c r="SAZ101" s="973"/>
      <c r="SBA101" s="973"/>
      <c r="SBB101" s="973"/>
      <c r="SBC101" s="973"/>
      <c r="SBD101" s="973"/>
      <c r="SBE101" s="973"/>
      <c r="SBF101" s="973"/>
      <c r="SBG101" s="973"/>
      <c r="SBH101" s="973"/>
      <c r="SBI101" s="973"/>
      <c r="SBJ101" s="973"/>
      <c r="SBK101" s="973"/>
      <c r="SBL101" s="973"/>
      <c r="SBM101" s="973"/>
      <c r="SBN101" s="973"/>
      <c r="SBO101" s="973"/>
      <c r="SBP101" s="973"/>
      <c r="SBQ101" s="973"/>
      <c r="SBR101" s="973"/>
      <c r="SBS101" s="973"/>
      <c r="SBT101" s="973"/>
      <c r="SBU101" s="973"/>
      <c r="SBV101" s="973"/>
      <c r="SBW101" s="973"/>
      <c r="SBX101" s="973"/>
      <c r="SBY101" s="973"/>
      <c r="SBZ101" s="973"/>
      <c r="SCA101" s="973"/>
      <c r="SCB101" s="973"/>
      <c r="SCC101" s="973"/>
      <c r="SCD101" s="973"/>
      <c r="SCE101" s="973"/>
      <c r="SCF101" s="973"/>
      <c r="SCG101" s="973"/>
      <c r="SCH101" s="973"/>
      <c r="SCI101" s="973"/>
      <c r="SCJ101" s="973"/>
      <c r="SCK101" s="973"/>
      <c r="SCL101" s="973"/>
      <c r="SCM101" s="973"/>
      <c r="SCN101" s="973"/>
      <c r="SCO101" s="973"/>
      <c r="SCP101" s="973"/>
      <c r="SCQ101" s="973"/>
      <c r="SCR101" s="973"/>
      <c r="SCS101" s="973"/>
      <c r="SCT101" s="973"/>
      <c r="SCU101" s="973"/>
      <c r="SCV101" s="973"/>
      <c r="SCW101" s="973"/>
      <c r="SCX101" s="973"/>
      <c r="SCY101" s="973"/>
      <c r="SCZ101" s="973"/>
      <c r="SDA101" s="973"/>
      <c r="SDB101" s="973"/>
      <c r="SDC101" s="973"/>
      <c r="SDD101" s="973"/>
      <c r="SDE101" s="973"/>
      <c r="SDF101" s="973"/>
      <c r="SDG101" s="973"/>
      <c r="SDH101" s="973"/>
      <c r="SDI101" s="973"/>
      <c r="SDJ101" s="973"/>
      <c r="SDK101" s="973"/>
      <c r="SDL101" s="973"/>
      <c r="SDM101" s="973"/>
      <c r="SDN101" s="973"/>
      <c r="SDO101" s="973"/>
      <c r="SDP101" s="973"/>
      <c r="SDQ101" s="973"/>
      <c r="SDR101" s="973"/>
      <c r="SDS101" s="973"/>
      <c r="SDT101" s="973"/>
      <c r="SDU101" s="973"/>
      <c r="SDV101" s="973"/>
      <c r="SDW101" s="973"/>
      <c r="SDX101" s="973"/>
      <c r="SDY101" s="973"/>
      <c r="SDZ101" s="973"/>
      <c r="SEA101" s="973"/>
      <c r="SEB101" s="973"/>
      <c r="SEC101" s="973"/>
      <c r="SED101" s="973"/>
      <c r="SEE101" s="973"/>
      <c r="SEF101" s="973"/>
      <c r="SEG101" s="973"/>
      <c r="SEH101" s="973"/>
      <c r="SEI101" s="973"/>
      <c r="SEJ101" s="973"/>
      <c r="SEK101" s="973"/>
      <c r="SEL101" s="973"/>
      <c r="SEM101" s="973"/>
      <c r="SEN101" s="973"/>
      <c r="SEO101" s="973"/>
      <c r="SEP101" s="973"/>
      <c r="SEQ101" s="973"/>
      <c r="SER101" s="973"/>
      <c r="SES101" s="973"/>
      <c r="SET101" s="973"/>
      <c r="SEU101" s="973"/>
      <c r="SEV101" s="973"/>
      <c r="SEW101" s="973"/>
      <c r="SEX101" s="973"/>
      <c r="SEY101" s="973"/>
      <c r="SEZ101" s="973"/>
      <c r="SFA101" s="973"/>
      <c r="SFB101" s="973"/>
      <c r="SFC101" s="973"/>
      <c r="SFD101" s="973"/>
      <c r="SFE101" s="973"/>
      <c r="SFF101" s="973"/>
      <c r="SFG101" s="973"/>
      <c r="SFH101" s="973"/>
      <c r="SFI101" s="973"/>
      <c r="SFJ101" s="973"/>
      <c r="SFK101" s="973"/>
      <c r="SFL101" s="973"/>
      <c r="SFM101" s="973"/>
      <c r="SFN101" s="973"/>
      <c r="SFO101" s="973"/>
      <c r="SFP101" s="973"/>
      <c r="SFQ101" s="973"/>
      <c r="SFR101" s="973"/>
      <c r="SFS101" s="973"/>
      <c r="SFT101" s="973"/>
      <c r="SFU101" s="973"/>
      <c r="SFV101" s="973"/>
      <c r="SFW101" s="973"/>
      <c r="SFX101" s="973"/>
      <c r="SFY101" s="973"/>
      <c r="SFZ101" s="973"/>
      <c r="SGA101" s="973"/>
      <c r="SGB101" s="973"/>
      <c r="SGC101" s="973"/>
      <c r="SGD101" s="973"/>
      <c r="SGE101" s="973"/>
      <c r="SGF101" s="973"/>
      <c r="SGG101" s="973"/>
      <c r="SGH101" s="973"/>
      <c r="SGI101" s="973"/>
      <c r="SGJ101" s="973"/>
      <c r="SGK101" s="973"/>
      <c r="SGL101" s="973"/>
      <c r="SGM101" s="973"/>
      <c r="SGN101" s="973"/>
      <c r="SGO101" s="973"/>
      <c r="SGP101" s="973"/>
      <c r="SGQ101" s="973"/>
      <c r="SGR101" s="973"/>
      <c r="SGS101" s="973"/>
      <c r="SGT101" s="973"/>
      <c r="SGU101" s="973"/>
      <c r="SGV101" s="973"/>
      <c r="SGW101" s="973"/>
      <c r="SGX101" s="973"/>
      <c r="SGY101" s="973"/>
      <c r="SGZ101" s="973"/>
      <c r="SHA101" s="973"/>
      <c r="SHB101" s="973"/>
      <c r="SHC101" s="973"/>
      <c r="SHD101" s="973"/>
      <c r="SHE101" s="973"/>
      <c r="SHF101" s="973"/>
      <c r="SHG101" s="973"/>
      <c r="SHH101" s="973"/>
      <c r="SHI101" s="973"/>
      <c r="SHJ101" s="973"/>
      <c r="SHK101" s="973"/>
      <c r="SHL101" s="973"/>
      <c r="SHM101" s="973"/>
      <c r="SHN101" s="973"/>
      <c r="SHO101" s="973"/>
      <c r="SHP101" s="973"/>
      <c r="SHQ101" s="973"/>
      <c r="SHR101" s="973"/>
      <c r="SHS101" s="973"/>
      <c r="SHT101" s="973"/>
      <c r="SHU101" s="973"/>
      <c r="SHV101" s="973"/>
      <c r="SHW101" s="973"/>
      <c r="SHX101" s="973"/>
      <c r="SHY101" s="973"/>
      <c r="SHZ101" s="973"/>
      <c r="SIA101" s="973"/>
      <c r="SIB101" s="973"/>
      <c r="SIC101" s="973"/>
      <c r="SID101" s="973"/>
      <c r="SIE101" s="973"/>
      <c r="SIF101" s="973"/>
      <c r="SIG101" s="973"/>
      <c r="SIH101" s="973"/>
      <c r="SII101" s="973"/>
      <c r="SIJ101" s="973"/>
      <c r="SIK101" s="973"/>
      <c r="SIL101" s="973"/>
      <c r="SIM101" s="973"/>
      <c r="SIN101" s="973"/>
      <c r="SIO101" s="973"/>
      <c r="SIP101" s="973"/>
      <c r="SIQ101" s="973"/>
      <c r="SIR101" s="973"/>
      <c r="SIS101" s="973"/>
      <c r="SIT101" s="973"/>
      <c r="SIU101" s="973"/>
      <c r="SIV101" s="973"/>
      <c r="SIW101" s="973"/>
      <c r="SIX101" s="973"/>
      <c r="SIY101" s="973"/>
      <c r="SIZ101" s="973"/>
      <c r="SJA101" s="973"/>
      <c r="SJB101" s="973"/>
      <c r="SJC101" s="973"/>
      <c r="SJD101" s="973"/>
      <c r="SJE101" s="973"/>
      <c r="SJF101" s="973"/>
      <c r="SJG101" s="973"/>
      <c r="SJH101" s="973"/>
      <c r="SJI101" s="973"/>
      <c r="SJJ101" s="973"/>
      <c r="SJK101" s="973"/>
      <c r="SJL101" s="973"/>
      <c r="SJM101" s="973"/>
      <c r="SJN101" s="973"/>
      <c r="SJO101" s="973"/>
      <c r="SJP101" s="973"/>
      <c r="SJQ101" s="973"/>
      <c r="SJR101" s="973"/>
      <c r="SJS101" s="973"/>
      <c r="SJT101" s="973"/>
      <c r="SJU101" s="973"/>
      <c r="SJV101" s="973"/>
      <c r="SJW101" s="973"/>
      <c r="SJX101" s="973"/>
      <c r="SJY101" s="973"/>
      <c r="SJZ101" s="973"/>
      <c r="SKA101" s="973"/>
      <c r="SKB101" s="973"/>
      <c r="SKC101" s="973"/>
      <c r="SKD101" s="973"/>
      <c r="SKE101" s="973"/>
      <c r="SKF101" s="973"/>
      <c r="SKG101" s="973"/>
      <c r="SKH101" s="973"/>
      <c r="SKI101" s="973"/>
      <c r="SKJ101" s="973"/>
      <c r="SKK101" s="973"/>
      <c r="SKL101" s="973"/>
      <c r="SKM101" s="973"/>
      <c r="SKN101" s="973"/>
      <c r="SKO101" s="973"/>
      <c r="SKP101" s="973"/>
      <c r="SKQ101" s="973"/>
      <c r="SKR101" s="973"/>
      <c r="SKS101" s="973"/>
      <c r="SKT101" s="973"/>
      <c r="SKU101" s="973"/>
      <c r="SKV101" s="973"/>
      <c r="SKW101" s="973"/>
      <c r="SKX101" s="973"/>
      <c r="SKY101" s="973"/>
      <c r="SKZ101" s="973"/>
      <c r="SLA101" s="973"/>
      <c r="SLB101" s="973"/>
      <c r="SLC101" s="973"/>
      <c r="SLD101" s="973"/>
      <c r="SLE101" s="973"/>
      <c r="SLF101" s="973"/>
      <c r="SLG101" s="973"/>
      <c r="SLH101" s="973"/>
      <c r="SLI101" s="973"/>
      <c r="SLJ101" s="973"/>
      <c r="SLK101" s="973"/>
      <c r="SLL101" s="973"/>
      <c r="SLM101" s="973"/>
      <c r="SLN101" s="973"/>
      <c r="SLO101" s="973"/>
      <c r="SLP101" s="973"/>
      <c r="SLQ101" s="973"/>
      <c r="SLR101" s="973"/>
      <c r="SLS101" s="973"/>
      <c r="SLT101" s="973"/>
      <c r="SLU101" s="973"/>
      <c r="SLV101" s="973"/>
      <c r="SLW101" s="973"/>
      <c r="SLX101" s="973"/>
      <c r="SLY101" s="973"/>
      <c r="SLZ101" s="973"/>
      <c r="SMA101" s="973"/>
      <c r="SMB101" s="973"/>
      <c r="SMC101" s="973"/>
      <c r="SMD101" s="973"/>
      <c r="SME101" s="973"/>
      <c r="SMF101" s="973"/>
      <c r="SMG101" s="973"/>
      <c r="SMH101" s="973"/>
      <c r="SMI101" s="973"/>
      <c r="SMJ101" s="973"/>
      <c r="SMK101" s="973"/>
      <c r="SML101" s="973"/>
      <c r="SMM101" s="973"/>
      <c r="SMN101" s="973"/>
      <c r="SMO101" s="973"/>
      <c r="SMP101" s="973"/>
      <c r="SMQ101" s="973"/>
      <c r="SMR101" s="973"/>
      <c r="SMS101" s="973"/>
      <c r="SMT101" s="973"/>
      <c r="SMU101" s="973"/>
      <c r="SMV101" s="973"/>
      <c r="SMW101" s="973"/>
      <c r="SMX101" s="973"/>
      <c r="SMY101" s="973"/>
      <c r="SMZ101" s="973"/>
      <c r="SNA101" s="973"/>
      <c r="SNB101" s="973"/>
      <c r="SNC101" s="973"/>
      <c r="SND101" s="973"/>
      <c r="SNE101" s="973"/>
      <c r="SNF101" s="973"/>
      <c r="SNG101" s="973"/>
      <c r="SNH101" s="973"/>
      <c r="SNI101" s="973"/>
      <c r="SNJ101" s="973"/>
      <c r="SNK101" s="973"/>
      <c r="SNL101" s="973"/>
      <c r="SNM101" s="973"/>
      <c r="SNN101" s="973"/>
      <c r="SNO101" s="973"/>
      <c r="SNP101" s="973"/>
      <c r="SNQ101" s="973"/>
      <c r="SNR101" s="973"/>
      <c r="SNS101" s="973"/>
      <c r="SNT101" s="973"/>
      <c r="SNU101" s="973"/>
      <c r="SNV101" s="973"/>
      <c r="SNW101" s="973"/>
      <c r="SNX101" s="973"/>
      <c r="SNY101" s="973"/>
      <c r="SNZ101" s="973"/>
      <c r="SOA101" s="973"/>
      <c r="SOB101" s="973"/>
      <c r="SOC101" s="973"/>
      <c r="SOD101" s="973"/>
      <c r="SOE101" s="973"/>
      <c r="SOF101" s="973"/>
      <c r="SOG101" s="973"/>
      <c r="SOH101" s="973"/>
      <c r="SOI101" s="973"/>
      <c r="SOJ101" s="973"/>
      <c r="SOK101" s="973"/>
      <c r="SOL101" s="973"/>
      <c r="SOM101" s="973"/>
      <c r="SON101" s="973"/>
      <c r="SOO101" s="973"/>
      <c r="SOP101" s="973"/>
      <c r="SOQ101" s="973"/>
      <c r="SOR101" s="973"/>
      <c r="SOS101" s="973"/>
      <c r="SOT101" s="973"/>
      <c r="SOU101" s="973"/>
      <c r="SOV101" s="973"/>
      <c r="SOW101" s="973"/>
      <c r="SOX101" s="973"/>
      <c r="SOY101" s="973"/>
      <c r="SOZ101" s="973"/>
      <c r="SPA101" s="973"/>
      <c r="SPB101" s="973"/>
      <c r="SPC101" s="973"/>
      <c r="SPD101" s="973"/>
      <c r="SPE101" s="973"/>
      <c r="SPF101" s="973"/>
      <c r="SPG101" s="973"/>
      <c r="SPH101" s="973"/>
      <c r="SPI101" s="973"/>
      <c r="SPJ101" s="973"/>
      <c r="SPK101" s="973"/>
      <c r="SPL101" s="973"/>
      <c r="SPM101" s="973"/>
      <c r="SPN101" s="973"/>
      <c r="SPO101" s="973"/>
      <c r="SPP101" s="973"/>
      <c r="SPQ101" s="973"/>
      <c r="SPR101" s="973"/>
      <c r="SPS101" s="973"/>
      <c r="SPT101" s="973"/>
      <c r="SPU101" s="973"/>
      <c r="SPV101" s="973"/>
      <c r="SPW101" s="973"/>
      <c r="SPX101" s="973"/>
      <c r="SPY101" s="973"/>
      <c r="SPZ101" s="973"/>
      <c r="SQA101" s="973"/>
      <c r="SQB101" s="973"/>
      <c r="SQC101" s="973"/>
      <c r="SQD101" s="973"/>
      <c r="SQE101" s="973"/>
      <c r="SQF101" s="973"/>
      <c r="SQG101" s="973"/>
      <c r="SQH101" s="973"/>
      <c r="SQI101" s="973"/>
      <c r="SQJ101" s="973"/>
      <c r="SQK101" s="973"/>
      <c r="SQL101" s="973"/>
      <c r="SQM101" s="973"/>
      <c r="SQN101" s="973"/>
      <c r="SQO101" s="973"/>
      <c r="SQP101" s="973"/>
      <c r="SQQ101" s="973"/>
      <c r="SQR101" s="973"/>
      <c r="SQS101" s="973"/>
      <c r="SQT101" s="973"/>
      <c r="SQU101" s="973"/>
      <c r="SQV101" s="973"/>
      <c r="SQW101" s="973"/>
      <c r="SQX101" s="973"/>
      <c r="SQY101" s="973"/>
      <c r="SQZ101" s="973"/>
      <c r="SRA101" s="973"/>
      <c r="SRB101" s="973"/>
      <c r="SRC101" s="973"/>
      <c r="SRD101" s="973"/>
      <c r="SRE101" s="973"/>
      <c r="SRF101" s="973"/>
      <c r="SRG101" s="973"/>
      <c r="SRH101" s="973"/>
      <c r="SRI101" s="973"/>
      <c r="SRJ101" s="973"/>
      <c r="SRK101" s="973"/>
      <c r="SRL101" s="973"/>
      <c r="SRM101" s="973"/>
      <c r="SRN101" s="973"/>
      <c r="SRO101" s="973"/>
      <c r="SRP101" s="973"/>
      <c r="SRQ101" s="973"/>
      <c r="SRR101" s="973"/>
      <c r="SRS101" s="973"/>
      <c r="SRT101" s="973"/>
      <c r="SRU101" s="973"/>
      <c r="SRV101" s="973"/>
      <c r="SRW101" s="973"/>
      <c r="SRX101" s="973"/>
      <c r="SRY101" s="973"/>
      <c r="SRZ101" s="973"/>
      <c r="SSA101" s="973"/>
      <c r="SSB101" s="973"/>
      <c r="SSC101" s="973"/>
      <c r="SSD101" s="973"/>
      <c r="SSE101" s="973"/>
      <c r="SSF101" s="973"/>
      <c r="SSG101" s="973"/>
      <c r="SSH101" s="973"/>
      <c r="SSI101" s="973"/>
      <c r="SSJ101" s="973"/>
      <c r="SSK101" s="973"/>
      <c r="SSL101" s="973"/>
      <c r="SSM101" s="973"/>
      <c r="SSN101" s="973"/>
      <c r="SSO101" s="973"/>
      <c r="SSP101" s="973"/>
      <c r="SSQ101" s="973"/>
      <c r="SSR101" s="973"/>
      <c r="SSS101" s="973"/>
      <c r="SST101" s="973"/>
      <c r="SSU101" s="973"/>
      <c r="SSV101" s="973"/>
      <c r="SSW101" s="973"/>
      <c r="SSX101" s="973"/>
      <c r="SSY101" s="973"/>
      <c r="SSZ101" s="973"/>
      <c r="STA101" s="973"/>
      <c r="STB101" s="973"/>
      <c r="STC101" s="973"/>
      <c r="STD101" s="973"/>
      <c r="STE101" s="973"/>
      <c r="STF101" s="973"/>
      <c r="STG101" s="973"/>
      <c r="STH101" s="973"/>
      <c r="STI101" s="973"/>
      <c r="STJ101" s="973"/>
      <c r="STK101" s="973"/>
      <c r="STL101" s="973"/>
      <c r="STM101" s="973"/>
      <c r="STN101" s="973"/>
      <c r="STO101" s="973"/>
      <c r="STP101" s="973"/>
      <c r="STQ101" s="973"/>
      <c r="STR101" s="973"/>
      <c r="STS101" s="973"/>
      <c r="STT101" s="973"/>
      <c r="STU101" s="973"/>
      <c r="STV101" s="973"/>
      <c r="STW101" s="973"/>
      <c r="STX101" s="973"/>
      <c r="STY101" s="973"/>
      <c r="STZ101" s="973"/>
      <c r="SUA101" s="973"/>
      <c r="SUB101" s="973"/>
      <c r="SUC101" s="973"/>
      <c r="SUD101" s="973"/>
      <c r="SUE101" s="973"/>
      <c r="SUF101" s="973"/>
      <c r="SUG101" s="973"/>
      <c r="SUH101" s="973"/>
      <c r="SUI101" s="973"/>
      <c r="SUJ101" s="973"/>
      <c r="SUK101" s="973"/>
      <c r="SUL101" s="973"/>
      <c r="SUM101" s="973"/>
      <c r="SUN101" s="973"/>
      <c r="SUO101" s="973"/>
      <c r="SUP101" s="973"/>
      <c r="SUQ101" s="973"/>
      <c r="SUR101" s="973"/>
      <c r="SUS101" s="973"/>
      <c r="SUT101" s="973"/>
      <c r="SUU101" s="973"/>
      <c r="SUV101" s="973"/>
      <c r="SUW101" s="973"/>
      <c r="SUX101" s="973"/>
      <c r="SUY101" s="973"/>
      <c r="SUZ101" s="973"/>
      <c r="SVA101" s="973"/>
      <c r="SVB101" s="973"/>
      <c r="SVC101" s="973"/>
      <c r="SVD101" s="973"/>
      <c r="SVE101" s="973"/>
      <c r="SVF101" s="973"/>
      <c r="SVG101" s="973"/>
      <c r="SVH101" s="973"/>
      <c r="SVI101" s="973"/>
      <c r="SVJ101" s="973"/>
      <c r="SVK101" s="973"/>
      <c r="SVL101" s="973"/>
      <c r="SVM101" s="973"/>
      <c r="SVN101" s="973"/>
      <c r="SVO101" s="973"/>
      <c r="SVP101" s="973"/>
      <c r="SVQ101" s="973"/>
      <c r="SVR101" s="973"/>
      <c r="SVS101" s="973"/>
      <c r="SVT101" s="973"/>
      <c r="SVU101" s="973"/>
      <c r="SVV101" s="973"/>
      <c r="SVW101" s="973"/>
      <c r="SVX101" s="973"/>
      <c r="SVY101" s="973"/>
      <c r="SVZ101" s="973"/>
      <c r="SWA101" s="973"/>
      <c r="SWB101" s="973"/>
      <c r="SWC101" s="973"/>
      <c r="SWD101" s="973"/>
      <c r="SWE101" s="973"/>
      <c r="SWF101" s="973"/>
      <c r="SWG101" s="973"/>
      <c r="SWH101" s="973"/>
      <c r="SWI101" s="973"/>
      <c r="SWJ101" s="973"/>
      <c r="SWK101" s="973"/>
      <c r="SWL101" s="973"/>
      <c r="SWM101" s="973"/>
      <c r="SWN101" s="973"/>
      <c r="SWO101" s="973"/>
      <c r="SWP101" s="973"/>
      <c r="SWQ101" s="973"/>
      <c r="SWR101" s="973"/>
      <c r="SWS101" s="973"/>
      <c r="SWT101" s="973"/>
      <c r="SWU101" s="973"/>
      <c r="SWV101" s="973"/>
      <c r="SWW101" s="973"/>
      <c r="SWX101" s="973"/>
      <c r="SWY101" s="973"/>
      <c r="SWZ101" s="973"/>
      <c r="SXA101" s="973"/>
      <c r="SXB101" s="973"/>
      <c r="SXC101" s="973"/>
      <c r="SXD101" s="973"/>
      <c r="SXE101" s="973"/>
      <c r="SXF101" s="973"/>
      <c r="SXG101" s="973"/>
      <c r="SXH101" s="973"/>
      <c r="SXI101" s="973"/>
      <c r="SXJ101" s="973"/>
      <c r="SXK101" s="973"/>
      <c r="SXL101" s="973"/>
      <c r="SXM101" s="973"/>
      <c r="SXN101" s="973"/>
      <c r="SXO101" s="973"/>
      <c r="SXP101" s="973"/>
      <c r="SXQ101" s="973"/>
      <c r="SXR101" s="973"/>
      <c r="SXS101" s="973"/>
      <c r="SXT101" s="973"/>
      <c r="SXU101" s="973"/>
      <c r="SXV101" s="973"/>
      <c r="SXW101" s="973"/>
      <c r="SXX101" s="973"/>
      <c r="SXY101" s="973"/>
      <c r="SXZ101" s="973"/>
      <c r="SYA101" s="973"/>
      <c r="SYB101" s="973"/>
      <c r="SYC101" s="973"/>
      <c r="SYD101" s="973"/>
      <c r="SYE101" s="973"/>
      <c r="SYF101" s="973"/>
      <c r="SYG101" s="973"/>
      <c r="SYH101" s="973"/>
      <c r="SYI101" s="973"/>
      <c r="SYJ101" s="973"/>
      <c r="SYK101" s="973"/>
      <c r="SYL101" s="973"/>
      <c r="SYM101" s="973"/>
      <c r="SYN101" s="973"/>
      <c r="SYO101" s="973"/>
      <c r="SYP101" s="973"/>
      <c r="SYQ101" s="973"/>
      <c r="SYR101" s="973"/>
      <c r="SYS101" s="973"/>
      <c r="SYT101" s="973"/>
      <c r="SYU101" s="973"/>
      <c r="SYV101" s="973"/>
      <c r="SYW101" s="973"/>
      <c r="SYX101" s="973"/>
      <c r="SYY101" s="973"/>
      <c r="SYZ101" s="973"/>
      <c r="SZA101" s="973"/>
      <c r="SZB101" s="973"/>
      <c r="SZC101" s="973"/>
      <c r="SZD101" s="973"/>
      <c r="SZE101" s="973"/>
      <c r="SZF101" s="973"/>
      <c r="SZG101" s="973"/>
      <c r="SZH101" s="973"/>
      <c r="SZI101" s="973"/>
      <c r="SZJ101" s="973"/>
      <c r="SZK101" s="973"/>
      <c r="SZL101" s="973"/>
      <c r="SZM101" s="973"/>
      <c r="SZN101" s="973"/>
      <c r="SZO101" s="973"/>
      <c r="SZP101" s="973"/>
      <c r="SZQ101" s="973"/>
      <c r="SZR101" s="973"/>
      <c r="SZS101" s="973"/>
      <c r="SZT101" s="973"/>
      <c r="SZU101" s="973"/>
      <c r="SZV101" s="973"/>
      <c r="SZW101" s="973"/>
      <c r="SZX101" s="973"/>
      <c r="SZY101" s="973"/>
      <c r="SZZ101" s="973"/>
      <c r="TAA101" s="973"/>
      <c r="TAB101" s="973"/>
      <c r="TAC101" s="973"/>
      <c r="TAD101" s="973"/>
      <c r="TAE101" s="973"/>
      <c r="TAF101" s="973"/>
      <c r="TAG101" s="973"/>
      <c r="TAH101" s="973"/>
      <c r="TAI101" s="973"/>
      <c r="TAJ101" s="973"/>
      <c r="TAK101" s="973"/>
      <c r="TAL101" s="973"/>
      <c r="TAM101" s="973"/>
      <c r="TAN101" s="973"/>
      <c r="TAO101" s="973"/>
      <c r="TAP101" s="973"/>
      <c r="TAQ101" s="973"/>
      <c r="TAR101" s="973"/>
      <c r="TAS101" s="973"/>
      <c r="TAT101" s="973"/>
      <c r="TAU101" s="973"/>
      <c r="TAV101" s="973"/>
      <c r="TAW101" s="973"/>
      <c r="TAX101" s="973"/>
      <c r="TAY101" s="973"/>
      <c r="TAZ101" s="973"/>
      <c r="TBA101" s="973"/>
      <c r="TBB101" s="973"/>
      <c r="TBC101" s="973"/>
      <c r="TBD101" s="973"/>
      <c r="TBE101" s="973"/>
      <c r="TBF101" s="973"/>
      <c r="TBG101" s="973"/>
      <c r="TBH101" s="973"/>
      <c r="TBI101" s="973"/>
      <c r="TBJ101" s="973"/>
      <c r="TBK101" s="973"/>
      <c r="TBL101" s="973"/>
      <c r="TBM101" s="973"/>
      <c r="TBN101" s="973"/>
      <c r="TBO101" s="973"/>
      <c r="TBP101" s="973"/>
      <c r="TBQ101" s="973"/>
      <c r="TBR101" s="973"/>
      <c r="TBS101" s="973"/>
      <c r="TBT101" s="973"/>
      <c r="TBU101" s="973"/>
      <c r="TBV101" s="973"/>
      <c r="TBW101" s="973"/>
      <c r="TBX101" s="973"/>
      <c r="TBY101" s="973"/>
      <c r="TBZ101" s="973"/>
      <c r="TCA101" s="973"/>
      <c r="TCB101" s="973"/>
      <c r="TCC101" s="973"/>
      <c r="TCD101" s="973"/>
      <c r="TCE101" s="973"/>
      <c r="TCF101" s="973"/>
      <c r="TCG101" s="973"/>
      <c r="TCH101" s="973"/>
      <c r="TCI101" s="973"/>
      <c r="TCJ101" s="973"/>
      <c r="TCK101" s="973"/>
      <c r="TCL101" s="973"/>
      <c r="TCM101" s="973"/>
      <c r="TCN101" s="973"/>
      <c r="TCO101" s="973"/>
      <c r="TCP101" s="973"/>
      <c r="TCQ101" s="973"/>
      <c r="TCR101" s="973"/>
      <c r="TCS101" s="973"/>
      <c r="TCT101" s="973"/>
      <c r="TCU101" s="973"/>
      <c r="TCV101" s="973"/>
      <c r="TCW101" s="973"/>
      <c r="TCX101" s="973"/>
      <c r="TCY101" s="973"/>
      <c r="TCZ101" s="973"/>
      <c r="TDA101" s="973"/>
      <c r="TDB101" s="973"/>
      <c r="TDC101" s="973"/>
      <c r="TDD101" s="973"/>
      <c r="TDE101" s="973"/>
      <c r="TDF101" s="973"/>
      <c r="TDG101" s="973"/>
      <c r="TDH101" s="973"/>
      <c r="TDI101" s="973"/>
      <c r="TDJ101" s="973"/>
      <c r="TDK101" s="973"/>
      <c r="TDL101" s="973"/>
      <c r="TDM101" s="973"/>
      <c r="TDN101" s="973"/>
      <c r="TDO101" s="973"/>
      <c r="TDP101" s="973"/>
      <c r="TDQ101" s="973"/>
      <c r="TDR101" s="973"/>
      <c r="TDS101" s="973"/>
      <c r="TDT101" s="973"/>
      <c r="TDU101" s="973"/>
      <c r="TDV101" s="973"/>
      <c r="TDW101" s="973"/>
      <c r="TDX101" s="973"/>
      <c r="TDY101" s="973"/>
      <c r="TDZ101" s="973"/>
      <c r="TEA101" s="973"/>
      <c r="TEB101" s="973"/>
      <c r="TEC101" s="973"/>
      <c r="TED101" s="973"/>
      <c r="TEE101" s="973"/>
      <c r="TEF101" s="973"/>
      <c r="TEG101" s="973"/>
      <c r="TEH101" s="973"/>
      <c r="TEI101" s="973"/>
      <c r="TEJ101" s="973"/>
      <c r="TEK101" s="973"/>
      <c r="TEL101" s="973"/>
      <c r="TEM101" s="973"/>
      <c r="TEN101" s="973"/>
      <c r="TEO101" s="973"/>
      <c r="TEP101" s="973"/>
      <c r="TEQ101" s="973"/>
      <c r="TER101" s="973"/>
      <c r="TES101" s="973"/>
      <c r="TET101" s="973"/>
      <c r="TEU101" s="973"/>
      <c r="TEV101" s="973"/>
      <c r="TEW101" s="973"/>
      <c r="TEX101" s="973"/>
      <c r="TEY101" s="973"/>
      <c r="TEZ101" s="973"/>
      <c r="TFA101" s="973"/>
      <c r="TFB101" s="973"/>
      <c r="TFC101" s="973"/>
      <c r="TFD101" s="973"/>
      <c r="TFE101" s="973"/>
      <c r="TFF101" s="973"/>
      <c r="TFG101" s="973"/>
      <c r="TFH101" s="973"/>
      <c r="TFI101" s="973"/>
      <c r="TFJ101" s="973"/>
      <c r="TFK101" s="973"/>
      <c r="TFL101" s="973"/>
      <c r="TFM101" s="973"/>
      <c r="TFN101" s="973"/>
      <c r="TFO101" s="973"/>
      <c r="TFP101" s="973"/>
      <c r="TFQ101" s="973"/>
      <c r="TFR101" s="973"/>
      <c r="TFS101" s="973"/>
      <c r="TFT101" s="973"/>
      <c r="TFU101" s="973"/>
      <c r="TFV101" s="973"/>
      <c r="TFW101" s="973"/>
      <c r="TFX101" s="973"/>
      <c r="TFY101" s="973"/>
      <c r="TFZ101" s="973"/>
      <c r="TGA101" s="973"/>
      <c r="TGB101" s="973"/>
      <c r="TGC101" s="973"/>
      <c r="TGD101" s="973"/>
      <c r="TGE101" s="973"/>
      <c r="TGF101" s="973"/>
      <c r="TGG101" s="973"/>
      <c r="TGH101" s="973"/>
      <c r="TGI101" s="973"/>
      <c r="TGJ101" s="973"/>
      <c r="TGK101" s="973"/>
      <c r="TGL101" s="973"/>
      <c r="TGM101" s="973"/>
      <c r="TGN101" s="973"/>
      <c r="TGO101" s="973"/>
      <c r="TGP101" s="973"/>
      <c r="TGQ101" s="973"/>
      <c r="TGR101" s="973"/>
      <c r="TGS101" s="973"/>
      <c r="TGT101" s="973"/>
      <c r="TGU101" s="973"/>
      <c r="TGV101" s="973"/>
      <c r="TGW101" s="973"/>
      <c r="TGX101" s="973"/>
      <c r="TGY101" s="973"/>
      <c r="TGZ101" s="973"/>
      <c r="THA101" s="973"/>
      <c r="THB101" s="973"/>
      <c r="THC101" s="973"/>
      <c r="THD101" s="973"/>
      <c r="THE101" s="973"/>
      <c r="THF101" s="973"/>
      <c r="THG101" s="973"/>
      <c r="THH101" s="973"/>
      <c r="THI101" s="973"/>
      <c r="THJ101" s="973"/>
      <c r="THK101" s="973"/>
      <c r="THL101" s="973"/>
      <c r="THM101" s="973"/>
      <c r="THN101" s="973"/>
      <c r="THO101" s="973"/>
      <c r="THP101" s="973"/>
      <c r="THQ101" s="973"/>
      <c r="THR101" s="973"/>
      <c r="THS101" s="973"/>
      <c r="THT101" s="973"/>
      <c r="THU101" s="973"/>
      <c r="THV101" s="973"/>
      <c r="THW101" s="973"/>
      <c r="THX101" s="973"/>
      <c r="THY101" s="973"/>
      <c r="THZ101" s="973"/>
      <c r="TIA101" s="973"/>
      <c r="TIB101" s="973"/>
      <c r="TIC101" s="973"/>
      <c r="TID101" s="973"/>
      <c r="TIE101" s="973"/>
      <c r="TIF101" s="973"/>
      <c r="TIG101" s="973"/>
      <c r="TIH101" s="973"/>
      <c r="TII101" s="973"/>
      <c r="TIJ101" s="973"/>
      <c r="TIK101" s="973"/>
      <c r="TIL101" s="973"/>
      <c r="TIM101" s="973"/>
      <c r="TIN101" s="973"/>
      <c r="TIO101" s="973"/>
      <c r="TIP101" s="973"/>
      <c r="TIQ101" s="973"/>
      <c r="TIR101" s="973"/>
      <c r="TIS101" s="973"/>
      <c r="TIT101" s="973"/>
      <c r="TIU101" s="973"/>
      <c r="TIV101" s="973"/>
      <c r="TIW101" s="973"/>
      <c r="TIX101" s="973"/>
      <c r="TIY101" s="973"/>
      <c r="TIZ101" s="973"/>
      <c r="TJA101" s="973"/>
      <c r="TJB101" s="973"/>
      <c r="TJC101" s="973"/>
      <c r="TJD101" s="973"/>
      <c r="TJE101" s="973"/>
      <c r="TJF101" s="973"/>
      <c r="TJG101" s="973"/>
      <c r="TJH101" s="973"/>
      <c r="TJI101" s="973"/>
      <c r="TJJ101" s="973"/>
      <c r="TJK101" s="973"/>
      <c r="TJL101" s="973"/>
      <c r="TJM101" s="973"/>
      <c r="TJN101" s="973"/>
      <c r="TJO101" s="973"/>
      <c r="TJP101" s="973"/>
      <c r="TJQ101" s="973"/>
      <c r="TJR101" s="973"/>
      <c r="TJS101" s="973"/>
      <c r="TJT101" s="973"/>
      <c r="TJU101" s="973"/>
      <c r="TJV101" s="973"/>
      <c r="TJW101" s="973"/>
      <c r="TJX101" s="973"/>
      <c r="TJY101" s="973"/>
      <c r="TJZ101" s="973"/>
      <c r="TKA101" s="973"/>
      <c r="TKB101" s="973"/>
      <c r="TKC101" s="973"/>
      <c r="TKD101" s="973"/>
      <c r="TKE101" s="973"/>
      <c r="TKF101" s="973"/>
      <c r="TKG101" s="973"/>
      <c r="TKH101" s="973"/>
      <c r="TKI101" s="973"/>
      <c r="TKJ101" s="973"/>
      <c r="TKK101" s="973"/>
      <c r="TKL101" s="973"/>
      <c r="TKM101" s="973"/>
      <c r="TKN101" s="973"/>
      <c r="TKO101" s="973"/>
      <c r="TKP101" s="973"/>
      <c r="TKQ101" s="973"/>
      <c r="TKR101" s="973"/>
      <c r="TKS101" s="973"/>
      <c r="TKT101" s="973"/>
      <c r="TKU101" s="973"/>
      <c r="TKV101" s="973"/>
      <c r="TKW101" s="973"/>
      <c r="TKX101" s="973"/>
      <c r="TKY101" s="973"/>
      <c r="TKZ101" s="973"/>
      <c r="TLA101" s="973"/>
      <c r="TLB101" s="973"/>
      <c r="TLC101" s="973"/>
      <c r="TLD101" s="973"/>
      <c r="TLE101" s="973"/>
      <c r="TLF101" s="973"/>
      <c r="TLG101" s="973"/>
      <c r="TLH101" s="973"/>
      <c r="TLI101" s="973"/>
      <c r="TLJ101" s="973"/>
      <c r="TLK101" s="973"/>
      <c r="TLL101" s="973"/>
      <c r="TLM101" s="973"/>
      <c r="TLN101" s="973"/>
      <c r="TLO101" s="973"/>
      <c r="TLP101" s="973"/>
      <c r="TLQ101" s="973"/>
      <c r="TLR101" s="973"/>
      <c r="TLS101" s="973"/>
      <c r="TLT101" s="973"/>
      <c r="TLU101" s="973"/>
      <c r="TLV101" s="973"/>
      <c r="TLW101" s="973"/>
      <c r="TLX101" s="973"/>
      <c r="TLY101" s="973"/>
      <c r="TLZ101" s="973"/>
      <c r="TMA101" s="973"/>
      <c r="TMB101" s="973"/>
      <c r="TMC101" s="973"/>
      <c r="TMD101" s="973"/>
      <c r="TME101" s="973"/>
      <c r="TMF101" s="973"/>
      <c r="TMG101" s="973"/>
      <c r="TMH101" s="973"/>
      <c r="TMI101" s="973"/>
      <c r="TMJ101" s="973"/>
      <c r="TMK101" s="973"/>
      <c r="TML101" s="973"/>
      <c r="TMM101" s="973"/>
      <c r="TMN101" s="973"/>
      <c r="TMO101" s="973"/>
      <c r="TMP101" s="973"/>
      <c r="TMQ101" s="973"/>
      <c r="TMR101" s="973"/>
      <c r="TMS101" s="973"/>
      <c r="TMT101" s="973"/>
      <c r="TMU101" s="973"/>
      <c r="TMV101" s="973"/>
      <c r="TMW101" s="973"/>
      <c r="TMX101" s="973"/>
      <c r="TMY101" s="973"/>
      <c r="TMZ101" s="973"/>
      <c r="TNA101" s="973"/>
      <c r="TNB101" s="973"/>
      <c r="TNC101" s="973"/>
      <c r="TND101" s="973"/>
      <c r="TNE101" s="973"/>
      <c r="TNF101" s="973"/>
      <c r="TNG101" s="973"/>
      <c r="TNH101" s="973"/>
      <c r="TNI101" s="973"/>
      <c r="TNJ101" s="973"/>
      <c r="TNK101" s="973"/>
      <c r="TNL101" s="973"/>
      <c r="TNM101" s="973"/>
      <c r="TNN101" s="973"/>
      <c r="TNO101" s="973"/>
      <c r="TNP101" s="973"/>
      <c r="TNQ101" s="973"/>
      <c r="TNR101" s="973"/>
      <c r="TNS101" s="973"/>
      <c r="TNT101" s="973"/>
      <c r="TNU101" s="973"/>
      <c r="TNV101" s="973"/>
      <c r="TNW101" s="973"/>
      <c r="TNX101" s="973"/>
      <c r="TNY101" s="973"/>
      <c r="TNZ101" s="973"/>
      <c r="TOA101" s="973"/>
      <c r="TOB101" s="973"/>
      <c r="TOC101" s="973"/>
      <c r="TOD101" s="973"/>
      <c r="TOE101" s="973"/>
      <c r="TOF101" s="973"/>
      <c r="TOG101" s="973"/>
      <c r="TOH101" s="973"/>
      <c r="TOI101" s="973"/>
      <c r="TOJ101" s="973"/>
      <c r="TOK101" s="973"/>
      <c r="TOL101" s="973"/>
      <c r="TOM101" s="973"/>
      <c r="TON101" s="973"/>
      <c r="TOO101" s="973"/>
      <c r="TOP101" s="973"/>
      <c r="TOQ101" s="973"/>
      <c r="TOR101" s="973"/>
      <c r="TOS101" s="973"/>
      <c r="TOT101" s="973"/>
      <c r="TOU101" s="973"/>
      <c r="TOV101" s="973"/>
      <c r="TOW101" s="973"/>
      <c r="TOX101" s="973"/>
      <c r="TOY101" s="973"/>
      <c r="TOZ101" s="973"/>
      <c r="TPA101" s="973"/>
      <c r="TPB101" s="973"/>
      <c r="TPC101" s="973"/>
      <c r="TPD101" s="973"/>
      <c r="TPE101" s="973"/>
      <c r="TPF101" s="973"/>
      <c r="TPG101" s="973"/>
      <c r="TPH101" s="973"/>
      <c r="TPI101" s="973"/>
      <c r="TPJ101" s="973"/>
      <c r="TPK101" s="973"/>
      <c r="TPL101" s="973"/>
      <c r="TPM101" s="973"/>
      <c r="TPN101" s="973"/>
      <c r="TPO101" s="973"/>
      <c r="TPP101" s="973"/>
      <c r="TPQ101" s="973"/>
      <c r="TPR101" s="973"/>
      <c r="TPS101" s="973"/>
      <c r="TPT101" s="973"/>
      <c r="TPU101" s="973"/>
      <c r="TPV101" s="973"/>
      <c r="TPW101" s="973"/>
      <c r="TPX101" s="973"/>
      <c r="TPY101" s="973"/>
      <c r="TPZ101" s="973"/>
      <c r="TQA101" s="973"/>
      <c r="TQB101" s="973"/>
      <c r="TQC101" s="973"/>
      <c r="TQD101" s="973"/>
      <c r="TQE101" s="973"/>
      <c r="TQF101" s="973"/>
      <c r="TQG101" s="973"/>
      <c r="TQH101" s="973"/>
      <c r="TQI101" s="973"/>
      <c r="TQJ101" s="973"/>
      <c r="TQK101" s="973"/>
      <c r="TQL101" s="973"/>
      <c r="TQM101" s="973"/>
      <c r="TQN101" s="973"/>
      <c r="TQO101" s="973"/>
      <c r="TQP101" s="973"/>
      <c r="TQQ101" s="973"/>
      <c r="TQR101" s="973"/>
      <c r="TQS101" s="973"/>
      <c r="TQT101" s="973"/>
      <c r="TQU101" s="973"/>
      <c r="TQV101" s="973"/>
      <c r="TQW101" s="973"/>
      <c r="TQX101" s="973"/>
      <c r="TQY101" s="973"/>
      <c r="TQZ101" s="973"/>
      <c r="TRA101" s="973"/>
      <c r="TRB101" s="973"/>
      <c r="TRC101" s="973"/>
      <c r="TRD101" s="973"/>
      <c r="TRE101" s="973"/>
      <c r="TRF101" s="973"/>
      <c r="TRG101" s="973"/>
      <c r="TRH101" s="973"/>
      <c r="TRI101" s="973"/>
      <c r="TRJ101" s="973"/>
      <c r="TRK101" s="973"/>
      <c r="TRL101" s="973"/>
      <c r="TRM101" s="973"/>
      <c r="TRN101" s="973"/>
      <c r="TRO101" s="973"/>
      <c r="TRP101" s="973"/>
      <c r="TRQ101" s="973"/>
      <c r="TRR101" s="973"/>
      <c r="TRS101" s="973"/>
      <c r="TRT101" s="973"/>
      <c r="TRU101" s="973"/>
      <c r="TRV101" s="973"/>
      <c r="TRW101" s="973"/>
      <c r="TRX101" s="973"/>
      <c r="TRY101" s="973"/>
      <c r="TRZ101" s="973"/>
      <c r="TSA101" s="973"/>
      <c r="TSB101" s="973"/>
      <c r="TSC101" s="973"/>
      <c r="TSD101" s="973"/>
      <c r="TSE101" s="973"/>
      <c r="TSF101" s="973"/>
      <c r="TSG101" s="973"/>
      <c r="TSH101" s="973"/>
      <c r="TSI101" s="973"/>
      <c r="TSJ101" s="973"/>
      <c r="TSK101" s="973"/>
      <c r="TSL101" s="973"/>
      <c r="TSM101" s="973"/>
      <c r="TSN101" s="973"/>
      <c r="TSO101" s="973"/>
      <c r="TSP101" s="973"/>
      <c r="TSQ101" s="973"/>
      <c r="TSR101" s="973"/>
      <c r="TSS101" s="973"/>
      <c r="TST101" s="973"/>
      <c r="TSU101" s="973"/>
      <c r="TSV101" s="973"/>
      <c r="TSW101" s="973"/>
      <c r="TSX101" s="973"/>
      <c r="TSY101" s="973"/>
      <c r="TSZ101" s="973"/>
      <c r="TTA101" s="973"/>
      <c r="TTB101" s="973"/>
      <c r="TTC101" s="973"/>
      <c r="TTD101" s="973"/>
      <c r="TTE101" s="973"/>
      <c r="TTF101" s="973"/>
      <c r="TTG101" s="973"/>
      <c r="TTH101" s="973"/>
      <c r="TTI101" s="973"/>
      <c r="TTJ101" s="973"/>
      <c r="TTK101" s="973"/>
      <c r="TTL101" s="973"/>
      <c r="TTM101" s="973"/>
      <c r="TTN101" s="973"/>
      <c r="TTO101" s="973"/>
      <c r="TTP101" s="973"/>
      <c r="TTQ101" s="973"/>
      <c r="TTR101" s="973"/>
      <c r="TTS101" s="973"/>
      <c r="TTT101" s="973"/>
      <c r="TTU101" s="973"/>
      <c r="TTV101" s="973"/>
      <c r="TTW101" s="973"/>
      <c r="TTX101" s="973"/>
      <c r="TTY101" s="973"/>
      <c r="TTZ101" s="973"/>
      <c r="TUA101" s="973"/>
      <c r="TUB101" s="973"/>
      <c r="TUC101" s="973"/>
      <c r="TUD101" s="973"/>
      <c r="TUE101" s="973"/>
      <c r="TUF101" s="973"/>
      <c r="TUG101" s="973"/>
      <c r="TUH101" s="973"/>
      <c r="TUI101" s="973"/>
      <c r="TUJ101" s="973"/>
      <c r="TUK101" s="973"/>
      <c r="TUL101" s="973"/>
      <c r="TUM101" s="973"/>
      <c r="TUN101" s="973"/>
      <c r="TUO101" s="973"/>
      <c r="TUP101" s="973"/>
      <c r="TUQ101" s="973"/>
      <c r="TUR101" s="973"/>
      <c r="TUS101" s="973"/>
      <c r="TUT101" s="973"/>
      <c r="TUU101" s="973"/>
      <c r="TUV101" s="973"/>
      <c r="TUW101" s="973"/>
      <c r="TUX101" s="973"/>
      <c r="TUY101" s="973"/>
      <c r="TUZ101" s="973"/>
      <c r="TVA101" s="973"/>
      <c r="TVB101" s="973"/>
      <c r="TVC101" s="973"/>
      <c r="TVD101" s="973"/>
      <c r="TVE101" s="973"/>
      <c r="TVF101" s="973"/>
      <c r="TVG101" s="973"/>
      <c r="TVH101" s="973"/>
      <c r="TVI101" s="973"/>
      <c r="TVJ101" s="973"/>
      <c r="TVK101" s="973"/>
      <c r="TVL101" s="973"/>
      <c r="TVM101" s="973"/>
      <c r="TVN101" s="973"/>
      <c r="TVO101" s="973"/>
      <c r="TVP101" s="973"/>
      <c r="TVQ101" s="973"/>
      <c r="TVR101" s="973"/>
      <c r="TVS101" s="973"/>
      <c r="TVT101" s="973"/>
      <c r="TVU101" s="973"/>
      <c r="TVV101" s="973"/>
      <c r="TVW101" s="973"/>
      <c r="TVX101" s="973"/>
      <c r="TVY101" s="973"/>
      <c r="TVZ101" s="973"/>
      <c r="TWA101" s="973"/>
      <c r="TWB101" s="973"/>
      <c r="TWC101" s="973"/>
      <c r="TWD101" s="973"/>
      <c r="TWE101" s="973"/>
      <c r="TWF101" s="973"/>
      <c r="TWG101" s="973"/>
      <c r="TWH101" s="973"/>
      <c r="TWI101" s="973"/>
      <c r="TWJ101" s="973"/>
      <c r="TWK101" s="973"/>
      <c r="TWL101" s="973"/>
      <c r="TWM101" s="973"/>
      <c r="TWN101" s="973"/>
      <c r="TWO101" s="973"/>
      <c r="TWP101" s="973"/>
      <c r="TWQ101" s="973"/>
      <c r="TWR101" s="973"/>
      <c r="TWS101" s="973"/>
      <c r="TWT101" s="973"/>
      <c r="TWU101" s="973"/>
      <c r="TWV101" s="973"/>
      <c r="TWW101" s="973"/>
      <c r="TWX101" s="973"/>
      <c r="TWY101" s="973"/>
      <c r="TWZ101" s="973"/>
      <c r="TXA101" s="973"/>
      <c r="TXB101" s="973"/>
      <c r="TXC101" s="973"/>
      <c r="TXD101" s="973"/>
      <c r="TXE101" s="973"/>
      <c r="TXF101" s="973"/>
      <c r="TXG101" s="973"/>
      <c r="TXH101" s="973"/>
      <c r="TXI101" s="973"/>
      <c r="TXJ101" s="973"/>
      <c r="TXK101" s="973"/>
      <c r="TXL101" s="973"/>
      <c r="TXM101" s="973"/>
      <c r="TXN101" s="973"/>
      <c r="TXO101" s="973"/>
      <c r="TXP101" s="973"/>
      <c r="TXQ101" s="973"/>
      <c r="TXR101" s="973"/>
      <c r="TXS101" s="973"/>
      <c r="TXT101" s="973"/>
      <c r="TXU101" s="973"/>
      <c r="TXV101" s="973"/>
      <c r="TXW101" s="973"/>
      <c r="TXX101" s="973"/>
      <c r="TXY101" s="973"/>
      <c r="TXZ101" s="973"/>
      <c r="TYA101" s="973"/>
      <c r="TYB101" s="973"/>
      <c r="TYC101" s="973"/>
      <c r="TYD101" s="973"/>
      <c r="TYE101" s="973"/>
      <c r="TYF101" s="973"/>
      <c r="TYG101" s="973"/>
      <c r="TYH101" s="973"/>
      <c r="TYI101" s="973"/>
      <c r="TYJ101" s="973"/>
      <c r="TYK101" s="973"/>
      <c r="TYL101" s="973"/>
      <c r="TYM101" s="973"/>
      <c r="TYN101" s="973"/>
      <c r="TYO101" s="973"/>
      <c r="TYP101" s="973"/>
      <c r="TYQ101" s="973"/>
      <c r="TYR101" s="973"/>
      <c r="TYS101" s="973"/>
      <c r="TYT101" s="973"/>
      <c r="TYU101" s="973"/>
      <c r="TYV101" s="973"/>
      <c r="TYW101" s="973"/>
      <c r="TYX101" s="973"/>
      <c r="TYY101" s="973"/>
      <c r="TYZ101" s="973"/>
      <c r="TZA101" s="973"/>
      <c r="TZB101" s="973"/>
      <c r="TZC101" s="973"/>
      <c r="TZD101" s="973"/>
      <c r="TZE101" s="973"/>
      <c r="TZF101" s="973"/>
      <c r="TZG101" s="973"/>
      <c r="TZH101" s="973"/>
      <c r="TZI101" s="973"/>
      <c r="TZJ101" s="973"/>
      <c r="TZK101" s="973"/>
      <c r="TZL101" s="973"/>
      <c r="TZM101" s="973"/>
      <c r="TZN101" s="973"/>
      <c r="TZO101" s="973"/>
      <c r="TZP101" s="973"/>
      <c r="TZQ101" s="973"/>
      <c r="TZR101" s="973"/>
      <c r="TZS101" s="973"/>
      <c r="TZT101" s="973"/>
      <c r="TZU101" s="973"/>
      <c r="TZV101" s="973"/>
      <c r="TZW101" s="973"/>
      <c r="TZX101" s="973"/>
      <c r="TZY101" s="973"/>
      <c r="TZZ101" s="973"/>
      <c r="UAA101" s="973"/>
      <c r="UAB101" s="973"/>
      <c r="UAC101" s="973"/>
      <c r="UAD101" s="973"/>
      <c r="UAE101" s="973"/>
      <c r="UAF101" s="973"/>
      <c r="UAG101" s="973"/>
      <c r="UAH101" s="973"/>
      <c r="UAI101" s="973"/>
      <c r="UAJ101" s="973"/>
      <c r="UAK101" s="973"/>
      <c r="UAL101" s="973"/>
      <c r="UAM101" s="973"/>
      <c r="UAN101" s="973"/>
      <c r="UAO101" s="973"/>
      <c r="UAP101" s="973"/>
      <c r="UAQ101" s="973"/>
      <c r="UAR101" s="973"/>
      <c r="UAS101" s="973"/>
      <c r="UAT101" s="973"/>
      <c r="UAU101" s="973"/>
      <c r="UAV101" s="973"/>
      <c r="UAW101" s="973"/>
      <c r="UAX101" s="973"/>
      <c r="UAY101" s="973"/>
      <c r="UAZ101" s="973"/>
      <c r="UBA101" s="973"/>
      <c r="UBB101" s="973"/>
      <c r="UBC101" s="973"/>
      <c r="UBD101" s="973"/>
      <c r="UBE101" s="973"/>
      <c r="UBF101" s="973"/>
      <c r="UBG101" s="973"/>
      <c r="UBH101" s="973"/>
      <c r="UBI101" s="973"/>
      <c r="UBJ101" s="973"/>
      <c r="UBK101" s="973"/>
      <c r="UBL101" s="973"/>
      <c r="UBM101" s="973"/>
      <c r="UBN101" s="973"/>
      <c r="UBO101" s="973"/>
      <c r="UBP101" s="973"/>
      <c r="UBQ101" s="973"/>
      <c r="UBR101" s="973"/>
      <c r="UBS101" s="973"/>
      <c r="UBT101" s="973"/>
      <c r="UBU101" s="973"/>
      <c r="UBV101" s="973"/>
      <c r="UBW101" s="973"/>
      <c r="UBX101" s="973"/>
      <c r="UBY101" s="973"/>
      <c r="UBZ101" s="973"/>
      <c r="UCA101" s="973"/>
      <c r="UCB101" s="973"/>
      <c r="UCC101" s="973"/>
      <c r="UCD101" s="973"/>
      <c r="UCE101" s="973"/>
      <c r="UCF101" s="973"/>
      <c r="UCG101" s="973"/>
      <c r="UCH101" s="973"/>
      <c r="UCI101" s="973"/>
      <c r="UCJ101" s="973"/>
      <c r="UCK101" s="973"/>
      <c r="UCL101" s="973"/>
      <c r="UCM101" s="973"/>
      <c r="UCN101" s="973"/>
      <c r="UCO101" s="973"/>
      <c r="UCP101" s="973"/>
      <c r="UCQ101" s="973"/>
      <c r="UCR101" s="973"/>
      <c r="UCS101" s="973"/>
      <c r="UCT101" s="973"/>
      <c r="UCU101" s="973"/>
      <c r="UCV101" s="973"/>
      <c r="UCW101" s="973"/>
      <c r="UCX101" s="973"/>
      <c r="UCY101" s="973"/>
      <c r="UCZ101" s="973"/>
      <c r="UDA101" s="973"/>
      <c r="UDB101" s="973"/>
      <c r="UDC101" s="973"/>
      <c r="UDD101" s="973"/>
      <c r="UDE101" s="973"/>
      <c r="UDF101" s="973"/>
      <c r="UDG101" s="973"/>
      <c r="UDH101" s="973"/>
      <c r="UDI101" s="973"/>
      <c r="UDJ101" s="973"/>
      <c r="UDK101" s="973"/>
      <c r="UDL101" s="973"/>
      <c r="UDM101" s="973"/>
      <c r="UDN101" s="973"/>
      <c r="UDO101" s="973"/>
      <c r="UDP101" s="973"/>
      <c r="UDQ101" s="973"/>
      <c r="UDR101" s="973"/>
      <c r="UDS101" s="973"/>
      <c r="UDT101" s="973"/>
      <c r="UDU101" s="973"/>
      <c r="UDV101" s="973"/>
      <c r="UDW101" s="973"/>
      <c r="UDX101" s="973"/>
      <c r="UDY101" s="973"/>
      <c r="UDZ101" s="973"/>
      <c r="UEA101" s="973"/>
      <c r="UEB101" s="973"/>
      <c r="UEC101" s="973"/>
      <c r="UED101" s="973"/>
      <c r="UEE101" s="973"/>
      <c r="UEF101" s="973"/>
      <c r="UEG101" s="973"/>
      <c r="UEH101" s="973"/>
      <c r="UEI101" s="973"/>
      <c r="UEJ101" s="973"/>
      <c r="UEK101" s="973"/>
      <c r="UEL101" s="973"/>
      <c r="UEM101" s="973"/>
      <c r="UEN101" s="973"/>
      <c r="UEO101" s="973"/>
      <c r="UEP101" s="973"/>
      <c r="UEQ101" s="973"/>
      <c r="UER101" s="973"/>
      <c r="UES101" s="973"/>
      <c r="UET101" s="973"/>
      <c r="UEU101" s="973"/>
      <c r="UEV101" s="973"/>
      <c r="UEW101" s="973"/>
      <c r="UEX101" s="973"/>
      <c r="UEY101" s="973"/>
      <c r="UEZ101" s="973"/>
      <c r="UFA101" s="973"/>
      <c r="UFB101" s="973"/>
      <c r="UFC101" s="973"/>
      <c r="UFD101" s="973"/>
      <c r="UFE101" s="973"/>
      <c r="UFF101" s="973"/>
      <c r="UFG101" s="973"/>
      <c r="UFH101" s="973"/>
      <c r="UFI101" s="973"/>
      <c r="UFJ101" s="973"/>
      <c r="UFK101" s="973"/>
      <c r="UFL101" s="973"/>
      <c r="UFM101" s="973"/>
      <c r="UFN101" s="973"/>
      <c r="UFO101" s="973"/>
      <c r="UFP101" s="973"/>
      <c r="UFQ101" s="973"/>
      <c r="UFR101" s="973"/>
      <c r="UFS101" s="973"/>
      <c r="UFT101" s="973"/>
      <c r="UFU101" s="973"/>
      <c r="UFV101" s="973"/>
      <c r="UFW101" s="973"/>
      <c r="UFX101" s="973"/>
      <c r="UFY101" s="973"/>
      <c r="UFZ101" s="973"/>
      <c r="UGA101" s="973"/>
      <c r="UGB101" s="973"/>
      <c r="UGC101" s="973"/>
      <c r="UGD101" s="973"/>
      <c r="UGE101" s="973"/>
      <c r="UGF101" s="973"/>
      <c r="UGG101" s="973"/>
      <c r="UGH101" s="973"/>
      <c r="UGI101" s="973"/>
      <c r="UGJ101" s="973"/>
      <c r="UGK101" s="973"/>
      <c r="UGL101" s="973"/>
      <c r="UGM101" s="973"/>
      <c r="UGN101" s="973"/>
      <c r="UGO101" s="973"/>
      <c r="UGP101" s="973"/>
      <c r="UGQ101" s="973"/>
      <c r="UGR101" s="973"/>
      <c r="UGS101" s="973"/>
      <c r="UGT101" s="973"/>
      <c r="UGU101" s="973"/>
      <c r="UGV101" s="973"/>
      <c r="UGW101" s="973"/>
      <c r="UGX101" s="973"/>
      <c r="UGY101" s="973"/>
      <c r="UGZ101" s="973"/>
      <c r="UHA101" s="973"/>
      <c r="UHB101" s="973"/>
      <c r="UHC101" s="973"/>
      <c r="UHD101" s="973"/>
      <c r="UHE101" s="973"/>
      <c r="UHF101" s="973"/>
      <c r="UHG101" s="973"/>
      <c r="UHH101" s="973"/>
      <c r="UHI101" s="973"/>
      <c r="UHJ101" s="973"/>
      <c r="UHK101" s="973"/>
      <c r="UHL101" s="973"/>
      <c r="UHM101" s="973"/>
      <c r="UHN101" s="973"/>
      <c r="UHO101" s="973"/>
      <c r="UHP101" s="973"/>
      <c r="UHQ101" s="973"/>
      <c r="UHR101" s="973"/>
      <c r="UHS101" s="973"/>
      <c r="UHT101" s="973"/>
      <c r="UHU101" s="973"/>
      <c r="UHV101" s="973"/>
      <c r="UHW101" s="973"/>
      <c r="UHX101" s="973"/>
      <c r="UHY101" s="973"/>
      <c r="UHZ101" s="973"/>
      <c r="UIA101" s="973"/>
      <c r="UIB101" s="973"/>
      <c r="UIC101" s="973"/>
      <c r="UID101" s="973"/>
      <c r="UIE101" s="973"/>
      <c r="UIF101" s="973"/>
      <c r="UIG101" s="973"/>
      <c r="UIH101" s="973"/>
      <c r="UII101" s="973"/>
      <c r="UIJ101" s="973"/>
      <c r="UIK101" s="973"/>
      <c r="UIL101" s="973"/>
      <c r="UIM101" s="973"/>
      <c r="UIN101" s="973"/>
      <c r="UIO101" s="973"/>
      <c r="UIP101" s="973"/>
      <c r="UIQ101" s="973"/>
      <c r="UIR101" s="973"/>
      <c r="UIS101" s="973"/>
      <c r="UIT101" s="973"/>
      <c r="UIU101" s="973"/>
      <c r="UIV101" s="973"/>
      <c r="UIW101" s="973"/>
      <c r="UIX101" s="973"/>
      <c r="UIY101" s="973"/>
      <c r="UIZ101" s="973"/>
      <c r="UJA101" s="973"/>
      <c r="UJB101" s="973"/>
      <c r="UJC101" s="973"/>
      <c r="UJD101" s="973"/>
      <c r="UJE101" s="973"/>
      <c r="UJF101" s="973"/>
      <c r="UJG101" s="973"/>
      <c r="UJH101" s="973"/>
      <c r="UJI101" s="973"/>
      <c r="UJJ101" s="973"/>
      <c r="UJK101" s="973"/>
      <c r="UJL101" s="973"/>
      <c r="UJM101" s="973"/>
      <c r="UJN101" s="973"/>
      <c r="UJO101" s="973"/>
      <c r="UJP101" s="973"/>
      <c r="UJQ101" s="973"/>
      <c r="UJR101" s="973"/>
      <c r="UJS101" s="973"/>
      <c r="UJT101" s="973"/>
      <c r="UJU101" s="973"/>
      <c r="UJV101" s="973"/>
      <c r="UJW101" s="973"/>
      <c r="UJX101" s="973"/>
      <c r="UJY101" s="973"/>
      <c r="UJZ101" s="973"/>
      <c r="UKA101" s="973"/>
      <c r="UKB101" s="973"/>
      <c r="UKC101" s="973"/>
      <c r="UKD101" s="973"/>
      <c r="UKE101" s="973"/>
      <c r="UKF101" s="973"/>
      <c r="UKG101" s="973"/>
      <c r="UKH101" s="973"/>
      <c r="UKI101" s="973"/>
      <c r="UKJ101" s="973"/>
      <c r="UKK101" s="973"/>
      <c r="UKL101" s="973"/>
      <c r="UKM101" s="973"/>
      <c r="UKN101" s="973"/>
      <c r="UKO101" s="973"/>
      <c r="UKP101" s="973"/>
      <c r="UKQ101" s="973"/>
      <c r="UKR101" s="973"/>
      <c r="UKS101" s="973"/>
      <c r="UKT101" s="973"/>
      <c r="UKU101" s="973"/>
      <c r="UKV101" s="973"/>
      <c r="UKW101" s="973"/>
      <c r="UKX101" s="973"/>
      <c r="UKY101" s="973"/>
      <c r="UKZ101" s="973"/>
      <c r="ULA101" s="973"/>
      <c r="ULB101" s="973"/>
      <c r="ULC101" s="973"/>
      <c r="ULD101" s="973"/>
      <c r="ULE101" s="973"/>
      <c r="ULF101" s="973"/>
      <c r="ULG101" s="973"/>
      <c r="ULH101" s="973"/>
      <c r="ULI101" s="973"/>
      <c r="ULJ101" s="973"/>
      <c r="ULK101" s="973"/>
      <c r="ULL101" s="973"/>
      <c r="ULM101" s="973"/>
      <c r="ULN101" s="973"/>
      <c r="ULO101" s="973"/>
      <c r="ULP101" s="973"/>
      <c r="ULQ101" s="973"/>
      <c r="ULR101" s="973"/>
      <c r="ULS101" s="973"/>
      <c r="ULT101" s="973"/>
      <c r="ULU101" s="973"/>
      <c r="ULV101" s="973"/>
      <c r="ULW101" s="973"/>
      <c r="ULX101" s="973"/>
      <c r="ULY101" s="973"/>
      <c r="ULZ101" s="973"/>
      <c r="UMA101" s="973"/>
      <c r="UMB101" s="973"/>
      <c r="UMC101" s="973"/>
      <c r="UMD101" s="973"/>
      <c r="UME101" s="973"/>
      <c r="UMF101" s="973"/>
      <c r="UMG101" s="973"/>
      <c r="UMH101" s="973"/>
      <c r="UMI101" s="973"/>
      <c r="UMJ101" s="973"/>
      <c r="UMK101" s="973"/>
      <c r="UML101" s="973"/>
      <c r="UMM101" s="973"/>
      <c r="UMN101" s="973"/>
      <c r="UMO101" s="973"/>
      <c r="UMP101" s="973"/>
      <c r="UMQ101" s="973"/>
      <c r="UMR101" s="973"/>
      <c r="UMS101" s="973"/>
      <c r="UMT101" s="973"/>
      <c r="UMU101" s="973"/>
      <c r="UMV101" s="973"/>
      <c r="UMW101" s="973"/>
      <c r="UMX101" s="973"/>
      <c r="UMY101" s="973"/>
      <c r="UMZ101" s="973"/>
      <c r="UNA101" s="973"/>
      <c r="UNB101" s="973"/>
      <c r="UNC101" s="973"/>
      <c r="UND101" s="973"/>
      <c r="UNE101" s="973"/>
      <c r="UNF101" s="973"/>
      <c r="UNG101" s="973"/>
      <c r="UNH101" s="973"/>
      <c r="UNI101" s="973"/>
      <c r="UNJ101" s="973"/>
      <c r="UNK101" s="973"/>
      <c r="UNL101" s="973"/>
      <c r="UNM101" s="973"/>
      <c r="UNN101" s="973"/>
      <c r="UNO101" s="973"/>
      <c r="UNP101" s="973"/>
      <c r="UNQ101" s="973"/>
      <c r="UNR101" s="973"/>
      <c r="UNS101" s="973"/>
      <c r="UNT101" s="973"/>
      <c r="UNU101" s="973"/>
      <c r="UNV101" s="973"/>
      <c r="UNW101" s="973"/>
      <c r="UNX101" s="973"/>
      <c r="UNY101" s="973"/>
      <c r="UNZ101" s="973"/>
      <c r="UOA101" s="973"/>
      <c r="UOB101" s="973"/>
      <c r="UOC101" s="973"/>
      <c r="UOD101" s="973"/>
      <c r="UOE101" s="973"/>
      <c r="UOF101" s="973"/>
      <c r="UOG101" s="973"/>
      <c r="UOH101" s="973"/>
      <c r="UOI101" s="973"/>
      <c r="UOJ101" s="973"/>
      <c r="UOK101" s="973"/>
      <c r="UOL101" s="973"/>
      <c r="UOM101" s="973"/>
      <c r="UON101" s="973"/>
      <c r="UOO101" s="973"/>
      <c r="UOP101" s="973"/>
      <c r="UOQ101" s="973"/>
      <c r="UOR101" s="973"/>
      <c r="UOS101" s="973"/>
      <c r="UOT101" s="973"/>
      <c r="UOU101" s="973"/>
      <c r="UOV101" s="973"/>
      <c r="UOW101" s="973"/>
      <c r="UOX101" s="973"/>
      <c r="UOY101" s="973"/>
      <c r="UOZ101" s="973"/>
      <c r="UPA101" s="973"/>
      <c r="UPB101" s="973"/>
      <c r="UPC101" s="973"/>
      <c r="UPD101" s="973"/>
      <c r="UPE101" s="973"/>
      <c r="UPF101" s="973"/>
      <c r="UPG101" s="973"/>
      <c r="UPH101" s="973"/>
      <c r="UPI101" s="973"/>
      <c r="UPJ101" s="973"/>
      <c r="UPK101" s="973"/>
      <c r="UPL101" s="973"/>
      <c r="UPM101" s="973"/>
      <c r="UPN101" s="973"/>
      <c r="UPO101" s="973"/>
      <c r="UPP101" s="973"/>
      <c r="UPQ101" s="973"/>
      <c r="UPR101" s="973"/>
      <c r="UPS101" s="973"/>
      <c r="UPT101" s="973"/>
      <c r="UPU101" s="973"/>
      <c r="UPV101" s="973"/>
      <c r="UPW101" s="973"/>
      <c r="UPX101" s="973"/>
      <c r="UPY101" s="973"/>
      <c r="UPZ101" s="973"/>
      <c r="UQA101" s="973"/>
      <c r="UQB101" s="973"/>
      <c r="UQC101" s="973"/>
      <c r="UQD101" s="973"/>
      <c r="UQE101" s="973"/>
      <c r="UQF101" s="973"/>
      <c r="UQG101" s="973"/>
      <c r="UQH101" s="973"/>
      <c r="UQI101" s="973"/>
      <c r="UQJ101" s="973"/>
      <c r="UQK101" s="973"/>
      <c r="UQL101" s="973"/>
      <c r="UQM101" s="973"/>
      <c r="UQN101" s="973"/>
      <c r="UQO101" s="973"/>
      <c r="UQP101" s="973"/>
      <c r="UQQ101" s="973"/>
      <c r="UQR101" s="973"/>
      <c r="UQS101" s="973"/>
      <c r="UQT101" s="973"/>
      <c r="UQU101" s="973"/>
      <c r="UQV101" s="973"/>
      <c r="UQW101" s="973"/>
      <c r="UQX101" s="973"/>
      <c r="UQY101" s="973"/>
      <c r="UQZ101" s="973"/>
      <c r="URA101" s="973"/>
      <c r="URB101" s="973"/>
      <c r="URC101" s="973"/>
      <c r="URD101" s="973"/>
      <c r="URE101" s="973"/>
      <c r="URF101" s="973"/>
      <c r="URG101" s="973"/>
      <c r="URH101" s="973"/>
      <c r="URI101" s="973"/>
      <c r="URJ101" s="973"/>
      <c r="URK101" s="973"/>
      <c r="URL101" s="973"/>
      <c r="URM101" s="973"/>
      <c r="URN101" s="973"/>
      <c r="URO101" s="973"/>
      <c r="URP101" s="973"/>
      <c r="URQ101" s="973"/>
      <c r="URR101" s="973"/>
      <c r="URS101" s="973"/>
      <c r="URT101" s="973"/>
      <c r="URU101" s="973"/>
      <c r="URV101" s="973"/>
      <c r="URW101" s="973"/>
      <c r="URX101" s="973"/>
      <c r="URY101" s="973"/>
      <c r="URZ101" s="973"/>
      <c r="USA101" s="973"/>
      <c r="USB101" s="973"/>
      <c r="USC101" s="973"/>
      <c r="USD101" s="973"/>
      <c r="USE101" s="973"/>
      <c r="USF101" s="973"/>
      <c r="USG101" s="973"/>
      <c r="USH101" s="973"/>
      <c r="USI101" s="973"/>
      <c r="USJ101" s="973"/>
      <c r="USK101" s="973"/>
      <c r="USL101" s="973"/>
      <c r="USM101" s="973"/>
      <c r="USN101" s="973"/>
      <c r="USO101" s="973"/>
      <c r="USP101" s="973"/>
      <c r="USQ101" s="973"/>
      <c r="USR101" s="973"/>
      <c r="USS101" s="973"/>
      <c r="UST101" s="973"/>
      <c r="USU101" s="973"/>
      <c r="USV101" s="973"/>
      <c r="USW101" s="973"/>
      <c r="USX101" s="973"/>
      <c r="USY101" s="973"/>
      <c r="USZ101" s="973"/>
      <c r="UTA101" s="973"/>
      <c r="UTB101" s="973"/>
      <c r="UTC101" s="973"/>
      <c r="UTD101" s="973"/>
      <c r="UTE101" s="973"/>
      <c r="UTF101" s="973"/>
      <c r="UTG101" s="973"/>
      <c r="UTH101" s="973"/>
      <c r="UTI101" s="973"/>
      <c r="UTJ101" s="973"/>
      <c r="UTK101" s="973"/>
      <c r="UTL101" s="973"/>
      <c r="UTM101" s="973"/>
      <c r="UTN101" s="973"/>
      <c r="UTO101" s="973"/>
      <c r="UTP101" s="973"/>
      <c r="UTQ101" s="973"/>
      <c r="UTR101" s="973"/>
      <c r="UTS101" s="973"/>
      <c r="UTT101" s="973"/>
      <c r="UTU101" s="973"/>
      <c r="UTV101" s="973"/>
      <c r="UTW101" s="973"/>
      <c r="UTX101" s="973"/>
      <c r="UTY101" s="973"/>
      <c r="UTZ101" s="973"/>
      <c r="UUA101" s="973"/>
      <c r="UUB101" s="973"/>
      <c r="UUC101" s="973"/>
      <c r="UUD101" s="973"/>
      <c r="UUE101" s="973"/>
      <c r="UUF101" s="973"/>
      <c r="UUG101" s="973"/>
      <c r="UUH101" s="973"/>
      <c r="UUI101" s="973"/>
      <c r="UUJ101" s="973"/>
      <c r="UUK101" s="973"/>
      <c r="UUL101" s="973"/>
      <c r="UUM101" s="973"/>
      <c r="UUN101" s="973"/>
      <c r="UUO101" s="973"/>
      <c r="UUP101" s="973"/>
      <c r="UUQ101" s="973"/>
      <c r="UUR101" s="973"/>
      <c r="UUS101" s="973"/>
      <c r="UUT101" s="973"/>
      <c r="UUU101" s="973"/>
      <c r="UUV101" s="973"/>
      <c r="UUW101" s="973"/>
      <c r="UUX101" s="973"/>
      <c r="UUY101" s="973"/>
      <c r="UUZ101" s="973"/>
      <c r="UVA101" s="973"/>
      <c r="UVB101" s="973"/>
      <c r="UVC101" s="973"/>
      <c r="UVD101" s="973"/>
      <c r="UVE101" s="973"/>
      <c r="UVF101" s="973"/>
      <c r="UVG101" s="973"/>
      <c r="UVH101" s="973"/>
      <c r="UVI101" s="973"/>
      <c r="UVJ101" s="973"/>
      <c r="UVK101" s="973"/>
      <c r="UVL101" s="973"/>
      <c r="UVM101" s="973"/>
      <c r="UVN101" s="973"/>
      <c r="UVO101" s="973"/>
      <c r="UVP101" s="973"/>
      <c r="UVQ101" s="973"/>
      <c r="UVR101" s="973"/>
      <c r="UVS101" s="973"/>
      <c r="UVT101" s="973"/>
      <c r="UVU101" s="973"/>
      <c r="UVV101" s="973"/>
      <c r="UVW101" s="973"/>
      <c r="UVX101" s="973"/>
      <c r="UVY101" s="973"/>
      <c r="UVZ101" s="973"/>
      <c r="UWA101" s="973"/>
      <c r="UWB101" s="973"/>
      <c r="UWC101" s="973"/>
      <c r="UWD101" s="973"/>
      <c r="UWE101" s="973"/>
      <c r="UWF101" s="973"/>
      <c r="UWG101" s="973"/>
      <c r="UWH101" s="973"/>
      <c r="UWI101" s="973"/>
      <c r="UWJ101" s="973"/>
      <c r="UWK101" s="973"/>
      <c r="UWL101" s="973"/>
      <c r="UWM101" s="973"/>
      <c r="UWN101" s="973"/>
      <c r="UWO101" s="973"/>
      <c r="UWP101" s="973"/>
      <c r="UWQ101" s="973"/>
      <c r="UWR101" s="973"/>
      <c r="UWS101" s="973"/>
      <c r="UWT101" s="973"/>
      <c r="UWU101" s="973"/>
      <c r="UWV101" s="973"/>
      <c r="UWW101" s="973"/>
      <c r="UWX101" s="973"/>
      <c r="UWY101" s="973"/>
      <c r="UWZ101" s="973"/>
      <c r="UXA101" s="973"/>
      <c r="UXB101" s="973"/>
      <c r="UXC101" s="973"/>
      <c r="UXD101" s="973"/>
      <c r="UXE101" s="973"/>
      <c r="UXF101" s="973"/>
      <c r="UXG101" s="973"/>
      <c r="UXH101" s="973"/>
      <c r="UXI101" s="973"/>
      <c r="UXJ101" s="973"/>
      <c r="UXK101" s="973"/>
      <c r="UXL101" s="973"/>
      <c r="UXM101" s="973"/>
      <c r="UXN101" s="973"/>
      <c r="UXO101" s="973"/>
      <c r="UXP101" s="973"/>
      <c r="UXQ101" s="973"/>
      <c r="UXR101" s="973"/>
      <c r="UXS101" s="973"/>
      <c r="UXT101" s="973"/>
      <c r="UXU101" s="973"/>
      <c r="UXV101" s="973"/>
      <c r="UXW101" s="973"/>
      <c r="UXX101" s="973"/>
      <c r="UXY101" s="973"/>
      <c r="UXZ101" s="973"/>
      <c r="UYA101" s="973"/>
      <c r="UYB101" s="973"/>
      <c r="UYC101" s="973"/>
      <c r="UYD101" s="973"/>
      <c r="UYE101" s="973"/>
      <c r="UYF101" s="973"/>
      <c r="UYG101" s="973"/>
      <c r="UYH101" s="973"/>
      <c r="UYI101" s="973"/>
      <c r="UYJ101" s="973"/>
      <c r="UYK101" s="973"/>
      <c r="UYL101" s="973"/>
      <c r="UYM101" s="973"/>
      <c r="UYN101" s="973"/>
      <c r="UYO101" s="973"/>
      <c r="UYP101" s="973"/>
      <c r="UYQ101" s="973"/>
      <c r="UYR101" s="973"/>
      <c r="UYS101" s="973"/>
      <c r="UYT101" s="973"/>
      <c r="UYU101" s="973"/>
      <c r="UYV101" s="973"/>
      <c r="UYW101" s="973"/>
      <c r="UYX101" s="973"/>
      <c r="UYY101" s="973"/>
      <c r="UYZ101" s="973"/>
      <c r="UZA101" s="973"/>
      <c r="UZB101" s="973"/>
      <c r="UZC101" s="973"/>
      <c r="UZD101" s="973"/>
      <c r="UZE101" s="973"/>
      <c r="UZF101" s="973"/>
      <c r="UZG101" s="973"/>
      <c r="UZH101" s="973"/>
      <c r="UZI101" s="973"/>
      <c r="UZJ101" s="973"/>
      <c r="UZK101" s="973"/>
      <c r="UZL101" s="973"/>
      <c r="UZM101" s="973"/>
      <c r="UZN101" s="973"/>
      <c r="UZO101" s="973"/>
      <c r="UZP101" s="973"/>
      <c r="UZQ101" s="973"/>
      <c r="UZR101" s="973"/>
      <c r="UZS101" s="973"/>
      <c r="UZT101" s="973"/>
      <c r="UZU101" s="973"/>
      <c r="UZV101" s="973"/>
      <c r="UZW101" s="973"/>
      <c r="UZX101" s="973"/>
      <c r="UZY101" s="973"/>
      <c r="UZZ101" s="973"/>
      <c r="VAA101" s="973"/>
      <c r="VAB101" s="973"/>
      <c r="VAC101" s="973"/>
      <c r="VAD101" s="973"/>
      <c r="VAE101" s="973"/>
      <c r="VAF101" s="973"/>
      <c r="VAG101" s="973"/>
      <c r="VAH101" s="973"/>
      <c r="VAI101" s="973"/>
      <c r="VAJ101" s="973"/>
      <c r="VAK101" s="973"/>
      <c r="VAL101" s="973"/>
      <c r="VAM101" s="973"/>
      <c r="VAN101" s="973"/>
      <c r="VAO101" s="973"/>
      <c r="VAP101" s="973"/>
      <c r="VAQ101" s="973"/>
      <c r="VAR101" s="973"/>
      <c r="VAS101" s="973"/>
      <c r="VAT101" s="973"/>
      <c r="VAU101" s="973"/>
      <c r="VAV101" s="973"/>
      <c r="VAW101" s="973"/>
      <c r="VAX101" s="973"/>
      <c r="VAY101" s="973"/>
      <c r="VAZ101" s="973"/>
      <c r="VBA101" s="973"/>
      <c r="VBB101" s="973"/>
      <c r="VBC101" s="973"/>
      <c r="VBD101" s="973"/>
      <c r="VBE101" s="973"/>
      <c r="VBF101" s="973"/>
      <c r="VBG101" s="973"/>
      <c r="VBH101" s="973"/>
      <c r="VBI101" s="973"/>
      <c r="VBJ101" s="973"/>
      <c r="VBK101" s="973"/>
      <c r="VBL101" s="973"/>
      <c r="VBM101" s="973"/>
      <c r="VBN101" s="973"/>
      <c r="VBO101" s="973"/>
      <c r="VBP101" s="973"/>
      <c r="VBQ101" s="973"/>
      <c r="VBR101" s="973"/>
      <c r="VBS101" s="973"/>
      <c r="VBT101" s="973"/>
      <c r="VBU101" s="973"/>
      <c r="VBV101" s="973"/>
      <c r="VBW101" s="973"/>
      <c r="VBX101" s="973"/>
      <c r="VBY101" s="973"/>
      <c r="VBZ101" s="973"/>
      <c r="VCA101" s="973"/>
      <c r="VCB101" s="973"/>
      <c r="VCC101" s="973"/>
      <c r="VCD101" s="973"/>
      <c r="VCE101" s="973"/>
      <c r="VCF101" s="973"/>
      <c r="VCG101" s="973"/>
      <c r="VCH101" s="973"/>
      <c r="VCI101" s="973"/>
      <c r="VCJ101" s="973"/>
      <c r="VCK101" s="973"/>
      <c r="VCL101" s="973"/>
      <c r="VCM101" s="973"/>
      <c r="VCN101" s="973"/>
      <c r="VCO101" s="973"/>
      <c r="VCP101" s="973"/>
      <c r="VCQ101" s="973"/>
      <c r="VCR101" s="973"/>
      <c r="VCS101" s="973"/>
      <c r="VCT101" s="973"/>
      <c r="VCU101" s="973"/>
      <c r="VCV101" s="973"/>
      <c r="VCW101" s="973"/>
      <c r="VCX101" s="973"/>
      <c r="VCY101" s="973"/>
      <c r="VCZ101" s="973"/>
      <c r="VDA101" s="973"/>
      <c r="VDB101" s="973"/>
      <c r="VDC101" s="973"/>
      <c r="VDD101" s="973"/>
      <c r="VDE101" s="973"/>
      <c r="VDF101" s="973"/>
      <c r="VDG101" s="973"/>
      <c r="VDH101" s="973"/>
      <c r="VDI101" s="973"/>
      <c r="VDJ101" s="973"/>
      <c r="VDK101" s="973"/>
      <c r="VDL101" s="973"/>
      <c r="VDM101" s="973"/>
      <c r="VDN101" s="973"/>
      <c r="VDO101" s="973"/>
      <c r="VDP101" s="973"/>
      <c r="VDQ101" s="973"/>
      <c r="VDR101" s="973"/>
      <c r="VDS101" s="973"/>
      <c r="VDT101" s="973"/>
      <c r="VDU101" s="973"/>
      <c r="VDV101" s="973"/>
      <c r="VDW101" s="973"/>
      <c r="VDX101" s="973"/>
      <c r="VDY101" s="973"/>
      <c r="VDZ101" s="973"/>
      <c r="VEA101" s="973"/>
      <c r="VEB101" s="973"/>
      <c r="VEC101" s="973"/>
      <c r="VED101" s="973"/>
      <c r="VEE101" s="973"/>
      <c r="VEF101" s="973"/>
      <c r="VEG101" s="973"/>
      <c r="VEH101" s="973"/>
      <c r="VEI101" s="973"/>
      <c r="VEJ101" s="973"/>
      <c r="VEK101" s="973"/>
      <c r="VEL101" s="973"/>
      <c r="VEM101" s="973"/>
      <c r="VEN101" s="973"/>
      <c r="VEO101" s="973"/>
      <c r="VEP101" s="973"/>
      <c r="VEQ101" s="973"/>
      <c r="VER101" s="973"/>
      <c r="VES101" s="973"/>
      <c r="VET101" s="973"/>
      <c r="VEU101" s="973"/>
      <c r="VEV101" s="973"/>
      <c r="VEW101" s="973"/>
      <c r="VEX101" s="973"/>
      <c r="VEY101" s="973"/>
      <c r="VEZ101" s="973"/>
      <c r="VFA101" s="973"/>
      <c r="VFB101" s="973"/>
      <c r="VFC101" s="973"/>
      <c r="VFD101" s="973"/>
      <c r="VFE101" s="973"/>
      <c r="VFF101" s="973"/>
      <c r="VFG101" s="973"/>
      <c r="VFH101" s="973"/>
      <c r="VFI101" s="973"/>
      <c r="VFJ101" s="973"/>
      <c r="VFK101" s="973"/>
      <c r="VFL101" s="973"/>
      <c r="VFM101" s="973"/>
      <c r="VFN101" s="973"/>
      <c r="VFO101" s="973"/>
      <c r="VFP101" s="973"/>
      <c r="VFQ101" s="973"/>
      <c r="VFR101" s="973"/>
      <c r="VFS101" s="973"/>
      <c r="VFT101" s="973"/>
      <c r="VFU101" s="973"/>
      <c r="VFV101" s="973"/>
      <c r="VFW101" s="973"/>
      <c r="VFX101" s="973"/>
      <c r="VFY101" s="973"/>
      <c r="VFZ101" s="973"/>
      <c r="VGA101" s="973"/>
      <c r="VGB101" s="973"/>
      <c r="VGC101" s="973"/>
      <c r="VGD101" s="973"/>
      <c r="VGE101" s="973"/>
      <c r="VGF101" s="973"/>
      <c r="VGG101" s="973"/>
      <c r="VGH101" s="973"/>
      <c r="VGI101" s="973"/>
      <c r="VGJ101" s="973"/>
      <c r="VGK101" s="973"/>
      <c r="VGL101" s="973"/>
      <c r="VGM101" s="973"/>
      <c r="VGN101" s="973"/>
      <c r="VGO101" s="973"/>
      <c r="VGP101" s="973"/>
      <c r="VGQ101" s="973"/>
      <c r="VGR101" s="973"/>
      <c r="VGS101" s="973"/>
      <c r="VGT101" s="973"/>
      <c r="VGU101" s="973"/>
      <c r="VGV101" s="973"/>
      <c r="VGW101" s="973"/>
      <c r="VGX101" s="973"/>
      <c r="VGY101" s="973"/>
      <c r="VGZ101" s="973"/>
      <c r="VHA101" s="973"/>
      <c r="VHB101" s="973"/>
      <c r="VHC101" s="973"/>
      <c r="VHD101" s="973"/>
      <c r="VHE101" s="973"/>
      <c r="VHF101" s="973"/>
      <c r="VHG101" s="973"/>
      <c r="VHH101" s="973"/>
      <c r="VHI101" s="973"/>
      <c r="VHJ101" s="973"/>
      <c r="VHK101" s="973"/>
      <c r="VHL101" s="973"/>
      <c r="VHM101" s="973"/>
      <c r="VHN101" s="973"/>
      <c r="VHO101" s="973"/>
      <c r="VHP101" s="973"/>
      <c r="VHQ101" s="973"/>
      <c r="VHR101" s="973"/>
      <c r="VHS101" s="973"/>
      <c r="VHT101" s="973"/>
      <c r="VHU101" s="973"/>
      <c r="VHV101" s="973"/>
      <c r="VHW101" s="973"/>
      <c r="VHX101" s="973"/>
      <c r="VHY101" s="973"/>
      <c r="VHZ101" s="973"/>
      <c r="VIA101" s="973"/>
      <c r="VIB101" s="973"/>
      <c r="VIC101" s="973"/>
      <c r="VID101" s="973"/>
      <c r="VIE101" s="973"/>
      <c r="VIF101" s="973"/>
      <c r="VIG101" s="973"/>
      <c r="VIH101" s="973"/>
      <c r="VII101" s="973"/>
      <c r="VIJ101" s="973"/>
      <c r="VIK101" s="973"/>
      <c r="VIL101" s="973"/>
      <c r="VIM101" s="973"/>
      <c r="VIN101" s="973"/>
      <c r="VIO101" s="973"/>
      <c r="VIP101" s="973"/>
      <c r="VIQ101" s="973"/>
      <c r="VIR101" s="973"/>
      <c r="VIS101" s="973"/>
      <c r="VIT101" s="973"/>
      <c r="VIU101" s="973"/>
      <c r="VIV101" s="973"/>
      <c r="VIW101" s="973"/>
      <c r="VIX101" s="973"/>
      <c r="VIY101" s="973"/>
      <c r="VIZ101" s="973"/>
      <c r="VJA101" s="973"/>
      <c r="VJB101" s="973"/>
      <c r="VJC101" s="973"/>
      <c r="VJD101" s="973"/>
      <c r="VJE101" s="973"/>
      <c r="VJF101" s="973"/>
      <c r="VJG101" s="973"/>
      <c r="VJH101" s="973"/>
      <c r="VJI101" s="973"/>
      <c r="VJJ101" s="973"/>
      <c r="VJK101" s="973"/>
      <c r="VJL101" s="973"/>
      <c r="VJM101" s="973"/>
      <c r="VJN101" s="973"/>
      <c r="VJO101" s="973"/>
      <c r="VJP101" s="973"/>
      <c r="VJQ101" s="973"/>
      <c r="VJR101" s="973"/>
      <c r="VJS101" s="973"/>
      <c r="VJT101" s="973"/>
      <c r="VJU101" s="973"/>
      <c r="VJV101" s="973"/>
      <c r="VJW101" s="973"/>
      <c r="VJX101" s="973"/>
      <c r="VJY101" s="973"/>
      <c r="VJZ101" s="973"/>
      <c r="VKA101" s="973"/>
      <c r="VKB101" s="973"/>
      <c r="VKC101" s="973"/>
      <c r="VKD101" s="973"/>
      <c r="VKE101" s="973"/>
      <c r="VKF101" s="973"/>
      <c r="VKG101" s="973"/>
      <c r="VKH101" s="973"/>
      <c r="VKI101" s="973"/>
      <c r="VKJ101" s="973"/>
      <c r="VKK101" s="973"/>
      <c r="VKL101" s="973"/>
      <c r="VKM101" s="973"/>
      <c r="VKN101" s="973"/>
      <c r="VKO101" s="973"/>
      <c r="VKP101" s="973"/>
      <c r="VKQ101" s="973"/>
      <c r="VKR101" s="973"/>
      <c r="VKS101" s="973"/>
      <c r="VKT101" s="973"/>
      <c r="VKU101" s="973"/>
      <c r="VKV101" s="973"/>
      <c r="VKW101" s="973"/>
      <c r="VKX101" s="973"/>
      <c r="VKY101" s="973"/>
      <c r="VKZ101" s="973"/>
      <c r="VLA101" s="973"/>
      <c r="VLB101" s="973"/>
      <c r="VLC101" s="973"/>
      <c r="VLD101" s="973"/>
      <c r="VLE101" s="973"/>
      <c r="VLF101" s="973"/>
      <c r="VLG101" s="973"/>
      <c r="VLH101" s="973"/>
      <c r="VLI101" s="973"/>
      <c r="VLJ101" s="973"/>
      <c r="VLK101" s="973"/>
      <c r="VLL101" s="973"/>
      <c r="VLM101" s="973"/>
      <c r="VLN101" s="973"/>
      <c r="VLO101" s="973"/>
      <c r="VLP101" s="973"/>
      <c r="VLQ101" s="973"/>
      <c r="VLR101" s="973"/>
      <c r="VLS101" s="973"/>
      <c r="VLT101" s="973"/>
      <c r="VLU101" s="973"/>
      <c r="VLV101" s="973"/>
      <c r="VLW101" s="973"/>
      <c r="VLX101" s="973"/>
      <c r="VLY101" s="973"/>
      <c r="VLZ101" s="973"/>
      <c r="VMA101" s="973"/>
      <c r="VMB101" s="973"/>
      <c r="VMC101" s="973"/>
      <c r="VMD101" s="973"/>
      <c r="VME101" s="973"/>
      <c r="VMF101" s="973"/>
      <c r="VMG101" s="973"/>
      <c r="VMH101" s="973"/>
      <c r="VMI101" s="973"/>
      <c r="VMJ101" s="973"/>
      <c r="VMK101" s="973"/>
      <c r="VML101" s="973"/>
      <c r="VMM101" s="973"/>
      <c r="VMN101" s="973"/>
      <c r="VMO101" s="973"/>
      <c r="VMP101" s="973"/>
      <c r="VMQ101" s="973"/>
      <c r="VMR101" s="973"/>
      <c r="VMS101" s="973"/>
      <c r="VMT101" s="973"/>
      <c r="VMU101" s="973"/>
      <c r="VMV101" s="973"/>
      <c r="VMW101" s="973"/>
      <c r="VMX101" s="973"/>
      <c r="VMY101" s="973"/>
      <c r="VMZ101" s="973"/>
      <c r="VNA101" s="973"/>
      <c r="VNB101" s="973"/>
      <c r="VNC101" s="973"/>
      <c r="VND101" s="973"/>
      <c r="VNE101" s="973"/>
      <c r="VNF101" s="973"/>
      <c r="VNG101" s="973"/>
      <c r="VNH101" s="973"/>
      <c r="VNI101" s="973"/>
      <c r="VNJ101" s="973"/>
      <c r="VNK101" s="973"/>
      <c r="VNL101" s="973"/>
      <c r="VNM101" s="973"/>
      <c r="VNN101" s="973"/>
      <c r="VNO101" s="973"/>
      <c r="VNP101" s="973"/>
      <c r="VNQ101" s="973"/>
      <c r="VNR101" s="973"/>
      <c r="VNS101" s="973"/>
      <c r="VNT101" s="973"/>
      <c r="VNU101" s="973"/>
      <c r="VNV101" s="973"/>
      <c r="VNW101" s="973"/>
      <c r="VNX101" s="973"/>
      <c r="VNY101" s="973"/>
      <c r="VNZ101" s="973"/>
      <c r="VOA101" s="973"/>
      <c r="VOB101" s="973"/>
      <c r="VOC101" s="973"/>
      <c r="VOD101" s="973"/>
      <c r="VOE101" s="973"/>
      <c r="VOF101" s="973"/>
      <c r="VOG101" s="973"/>
      <c r="VOH101" s="973"/>
      <c r="VOI101" s="973"/>
      <c r="VOJ101" s="973"/>
      <c r="VOK101" s="973"/>
      <c r="VOL101" s="973"/>
      <c r="VOM101" s="973"/>
      <c r="VON101" s="973"/>
      <c r="VOO101" s="973"/>
      <c r="VOP101" s="973"/>
      <c r="VOQ101" s="973"/>
      <c r="VOR101" s="973"/>
      <c r="VOS101" s="973"/>
      <c r="VOT101" s="973"/>
      <c r="VOU101" s="973"/>
      <c r="VOV101" s="973"/>
      <c r="VOW101" s="973"/>
      <c r="VOX101" s="973"/>
      <c r="VOY101" s="973"/>
      <c r="VOZ101" s="973"/>
      <c r="VPA101" s="973"/>
      <c r="VPB101" s="973"/>
      <c r="VPC101" s="973"/>
      <c r="VPD101" s="973"/>
      <c r="VPE101" s="973"/>
      <c r="VPF101" s="973"/>
      <c r="VPG101" s="973"/>
      <c r="VPH101" s="973"/>
      <c r="VPI101" s="973"/>
      <c r="VPJ101" s="973"/>
      <c r="VPK101" s="973"/>
      <c r="VPL101" s="973"/>
      <c r="VPM101" s="973"/>
      <c r="VPN101" s="973"/>
      <c r="VPO101" s="973"/>
      <c r="VPP101" s="973"/>
      <c r="VPQ101" s="973"/>
      <c r="VPR101" s="973"/>
      <c r="VPS101" s="973"/>
      <c r="VPT101" s="973"/>
      <c r="VPU101" s="973"/>
      <c r="VPV101" s="973"/>
      <c r="VPW101" s="973"/>
      <c r="VPX101" s="973"/>
      <c r="VPY101" s="973"/>
      <c r="VPZ101" s="973"/>
      <c r="VQA101" s="973"/>
      <c r="VQB101" s="973"/>
      <c r="VQC101" s="973"/>
      <c r="VQD101" s="973"/>
      <c r="VQE101" s="973"/>
      <c r="VQF101" s="973"/>
      <c r="VQG101" s="973"/>
      <c r="VQH101" s="973"/>
      <c r="VQI101" s="973"/>
      <c r="VQJ101" s="973"/>
      <c r="VQK101" s="973"/>
      <c r="VQL101" s="973"/>
      <c r="VQM101" s="973"/>
      <c r="VQN101" s="973"/>
      <c r="VQO101" s="973"/>
      <c r="VQP101" s="973"/>
      <c r="VQQ101" s="973"/>
      <c r="VQR101" s="973"/>
      <c r="VQS101" s="973"/>
      <c r="VQT101" s="973"/>
      <c r="VQU101" s="973"/>
      <c r="VQV101" s="973"/>
      <c r="VQW101" s="973"/>
      <c r="VQX101" s="973"/>
      <c r="VQY101" s="973"/>
      <c r="VQZ101" s="973"/>
      <c r="VRA101" s="973"/>
      <c r="VRB101" s="973"/>
      <c r="VRC101" s="973"/>
      <c r="VRD101" s="973"/>
      <c r="VRE101" s="973"/>
      <c r="VRF101" s="973"/>
      <c r="VRG101" s="973"/>
      <c r="VRH101" s="973"/>
      <c r="VRI101" s="973"/>
      <c r="VRJ101" s="973"/>
      <c r="VRK101" s="973"/>
      <c r="VRL101" s="973"/>
      <c r="VRM101" s="973"/>
      <c r="VRN101" s="973"/>
      <c r="VRO101" s="973"/>
      <c r="VRP101" s="973"/>
      <c r="VRQ101" s="973"/>
      <c r="VRR101" s="973"/>
      <c r="VRS101" s="973"/>
      <c r="VRT101" s="973"/>
      <c r="VRU101" s="973"/>
      <c r="VRV101" s="973"/>
      <c r="VRW101" s="973"/>
      <c r="VRX101" s="973"/>
      <c r="VRY101" s="973"/>
      <c r="VRZ101" s="973"/>
      <c r="VSA101" s="973"/>
      <c r="VSB101" s="973"/>
      <c r="VSC101" s="973"/>
      <c r="VSD101" s="973"/>
      <c r="VSE101" s="973"/>
      <c r="VSF101" s="973"/>
      <c r="VSG101" s="973"/>
      <c r="VSH101" s="973"/>
      <c r="VSI101" s="973"/>
      <c r="VSJ101" s="973"/>
      <c r="VSK101" s="973"/>
      <c r="VSL101" s="973"/>
      <c r="VSM101" s="973"/>
      <c r="VSN101" s="973"/>
      <c r="VSO101" s="973"/>
      <c r="VSP101" s="973"/>
      <c r="VSQ101" s="973"/>
      <c r="VSR101" s="973"/>
      <c r="VSS101" s="973"/>
      <c r="VST101" s="973"/>
      <c r="VSU101" s="973"/>
      <c r="VSV101" s="973"/>
      <c r="VSW101" s="973"/>
      <c r="VSX101" s="973"/>
      <c r="VSY101" s="973"/>
      <c r="VSZ101" s="973"/>
      <c r="VTA101" s="973"/>
      <c r="VTB101" s="973"/>
      <c r="VTC101" s="973"/>
      <c r="VTD101" s="973"/>
      <c r="VTE101" s="973"/>
      <c r="VTF101" s="973"/>
      <c r="VTG101" s="973"/>
      <c r="VTH101" s="973"/>
      <c r="VTI101" s="973"/>
      <c r="VTJ101" s="973"/>
      <c r="VTK101" s="973"/>
      <c r="VTL101" s="973"/>
      <c r="VTM101" s="973"/>
      <c r="VTN101" s="973"/>
      <c r="VTO101" s="973"/>
      <c r="VTP101" s="973"/>
      <c r="VTQ101" s="973"/>
      <c r="VTR101" s="973"/>
      <c r="VTS101" s="973"/>
      <c r="VTT101" s="973"/>
      <c r="VTU101" s="973"/>
      <c r="VTV101" s="973"/>
      <c r="VTW101" s="973"/>
      <c r="VTX101" s="973"/>
      <c r="VTY101" s="973"/>
      <c r="VTZ101" s="973"/>
      <c r="VUA101" s="973"/>
      <c r="VUB101" s="973"/>
      <c r="VUC101" s="973"/>
      <c r="VUD101" s="973"/>
      <c r="VUE101" s="973"/>
      <c r="VUF101" s="973"/>
      <c r="VUG101" s="973"/>
      <c r="VUH101" s="973"/>
      <c r="VUI101" s="973"/>
      <c r="VUJ101" s="973"/>
      <c r="VUK101" s="973"/>
      <c r="VUL101" s="973"/>
      <c r="VUM101" s="973"/>
      <c r="VUN101" s="973"/>
      <c r="VUO101" s="973"/>
      <c r="VUP101" s="973"/>
      <c r="VUQ101" s="973"/>
      <c r="VUR101" s="973"/>
      <c r="VUS101" s="973"/>
      <c r="VUT101" s="973"/>
      <c r="VUU101" s="973"/>
      <c r="VUV101" s="973"/>
      <c r="VUW101" s="973"/>
      <c r="VUX101" s="973"/>
      <c r="VUY101" s="973"/>
      <c r="VUZ101" s="973"/>
      <c r="VVA101" s="973"/>
      <c r="VVB101" s="973"/>
      <c r="VVC101" s="973"/>
      <c r="VVD101" s="973"/>
      <c r="VVE101" s="973"/>
      <c r="VVF101" s="973"/>
      <c r="VVG101" s="973"/>
      <c r="VVH101" s="973"/>
      <c r="VVI101" s="973"/>
      <c r="VVJ101" s="973"/>
      <c r="VVK101" s="973"/>
      <c r="VVL101" s="973"/>
      <c r="VVM101" s="973"/>
      <c r="VVN101" s="973"/>
      <c r="VVO101" s="973"/>
      <c r="VVP101" s="973"/>
      <c r="VVQ101" s="973"/>
      <c r="VVR101" s="973"/>
      <c r="VVS101" s="973"/>
      <c r="VVT101" s="973"/>
      <c r="VVU101" s="973"/>
      <c r="VVV101" s="973"/>
      <c r="VVW101" s="973"/>
      <c r="VVX101" s="973"/>
      <c r="VVY101" s="973"/>
      <c r="VVZ101" s="973"/>
      <c r="VWA101" s="973"/>
      <c r="VWB101" s="973"/>
      <c r="VWC101" s="973"/>
      <c r="VWD101" s="973"/>
      <c r="VWE101" s="973"/>
      <c r="VWF101" s="973"/>
      <c r="VWG101" s="973"/>
      <c r="VWH101" s="973"/>
      <c r="VWI101" s="973"/>
      <c r="VWJ101" s="973"/>
      <c r="VWK101" s="973"/>
      <c r="VWL101" s="973"/>
      <c r="VWM101" s="973"/>
      <c r="VWN101" s="973"/>
      <c r="VWO101" s="973"/>
      <c r="VWP101" s="973"/>
      <c r="VWQ101" s="973"/>
      <c r="VWR101" s="973"/>
      <c r="VWS101" s="973"/>
      <c r="VWT101" s="973"/>
      <c r="VWU101" s="973"/>
      <c r="VWV101" s="973"/>
      <c r="VWW101" s="973"/>
      <c r="VWX101" s="973"/>
      <c r="VWY101" s="973"/>
      <c r="VWZ101" s="973"/>
      <c r="VXA101" s="973"/>
      <c r="VXB101" s="973"/>
      <c r="VXC101" s="973"/>
      <c r="VXD101" s="973"/>
      <c r="VXE101" s="973"/>
      <c r="VXF101" s="973"/>
      <c r="VXG101" s="973"/>
      <c r="VXH101" s="973"/>
      <c r="VXI101" s="973"/>
      <c r="VXJ101" s="973"/>
      <c r="VXK101" s="973"/>
      <c r="VXL101" s="973"/>
      <c r="VXM101" s="973"/>
      <c r="VXN101" s="973"/>
      <c r="VXO101" s="973"/>
      <c r="VXP101" s="973"/>
      <c r="VXQ101" s="973"/>
      <c r="VXR101" s="973"/>
      <c r="VXS101" s="973"/>
      <c r="VXT101" s="973"/>
      <c r="VXU101" s="973"/>
      <c r="VXV101" s="973"/>
      <c r="VXW101" s="973"/>
      <c r="VXX101" s="973"/>
      <c r="VXY101" s="973"/>
      <c r="VXZ101" s="973"/>
      <c r="VYA101" s="973"/>
      <c r="VYB101" s="973"/>
      <c r="VYC101" s="973"/>
      <c r="VYD101" s="973"/>
      <c r="VYE101" s="973"/>
      <c r="VYF101" s="973"/>
      <c r="VYG101" s="973"/>
      <c r="VYH101" s="973"/>
      <c r="VYI101" s="973"/>
      <c r="VYJ101" s="973"/>
      <c r="VYK101" s="973"/>
      <c r="VYL101" s="973"/>
      <c r="VYM101" s="973"/>
      <c r="VYN101" s="973"/>
      <c r="VYO101" s="973"/>
      <c r="VYP101" s="973"/>
      <c r="VYQ101" s="973"/>
      <c r="VYR101" s="973"/>
      <c r="VYS101" s="973"/>
      <c r="VYT101" s="973"/>
      <c r="VYU101" s="973"/>
      <c r="VYV101" s="973"/>
      <c r="VYW101" s="973"/>
      <c r="VYX101" s="973"/>
      <c r="VYY101" s="973"/>
      <c r="VYZ101" s="973"/>
      <c r="VZA101" s="973"/>
      <c r="VZB101" s="973"/>
      <c r="VZC101" s="973"/>
      <c r="VZD101" s="973"/>
      <c r="VZE101" s="973"/>
      <c r="VZF101" s="973"/>
      <c r="VZG101" s="973"/>
      <c r="VZH101" s="973"/>
      <c r="VZI101" s="973"/>
      <c r="VZJ101" s="973"/>
      <c r="VZK101" s="973"/>
      <c r="VZL101" s="973"/>
      <c r="VZM101" s="973"/>
      <c r="VZN101" s="973"/>
      <c r="VZO101" s="973"/>
      <c r="VZP101" s="973"/>
      <c r="VZQ101" s="973"/>
      <c r="VZR101" s="973"/>
      <c r="VZS101" s="973"/>
      <c r="VZT101" s="973"/>
      <c r="VZU101" s="973"/>
      <c r="VZV101" s="973"/>
      <c r="VZW101" s="973"/>
      <c r="VZX101" s="973"/>
      <c r="VZY101" s="973"/>
      <c r="VZZ101" s="973"/>
      <c r="WAA101" s="973"/>
      <c r="WAB101" s="973"/>
      <c r="WAC101" s="973"/>
      <c r="WAD101" s="973"/>
      <c r="WAE101" s="973"/>
      <c r="WAF101" s="973"/>
      <c r="WAG101" s="973"/>
      <c r="WAH101" s="973"/>
      <c r="WAI101" s="973"/>
      <c r="WAJ101" s="973"/>
      <c r="WAK101" s="973"/>
      <c r="WAL101" s="973"/>
      <c r="WAM101" s="973"/>
      <c r="WAN101" s="973"/>
      <c r="WAO101" s="973"/>
      <c r="WAP101" s="973"/>
      <c r="WAQ101" s="973"/>
      <c r="WAR101" s="973"/>
      <c r="WAS101" s="973"/>
      <c r="WAT101" s="973"/>
      <c r="WAU101" s="973"/>
      <c r="WAV101" s="973"/>
      <c r="WAW101" s="973"/>
      <c r="WAX101" s="973"/>
      <c r="WAY101" s="973"/>
      <c r="WAZ101" s="973"/>
      <c r="WBA101" s="973"/>
      <c r="WBB101" s="973"/>
      <c r="WBC101" s="973"/>
      <c r="WBD101" s="973"/>
      <c r="WBE101" s="973"/>
      <c r="WBF101" s="973"/>
      <c r="WBG101" s="973"/>
      <c r="WBH101" s="973"/>
      <c r="WBI101" s="973"/>
      <c r="WBJ101" s="973"/>
      <c r="WBK101" s="973"/>
      <c r="WBL101" s="973"/>
      <c r="WBM101" s="973"/>
      <c r="WBN101" s="973"/>
      <c r="WBO101" s="973"/>
      <c r="WBP101" s="973"/>
      <c r="WBQ101" s="973"/>
      <c r="WBR101" s="973"/>
      <c r="WBS101" s="973"/>
      <c r="WBT101" s="973"/>
      <c r="WBU101" s="973"/>
      <c r="WBV101" s="973"/>
      <c r="WBW101" s="973"/>
      <c r="WBX101" s="973"/>
      <c r="WBY101" s="973"/>
      <c r="WBZ101" s="973"/>
      <c r="WCA101" s="973"/>
      <c r="WCB101" s="973"/>
      <c r="WCC101" s="973"/>
      <c r="WCD101" s="973"/>
      <c r="WCE101" s="973"/>
      <c r="WCF101" s="973"/>
      <c r="WCG101" s="973"/>
      <c r="WCH101" s="973"/>
      <c r="WCI101" s="973"/>
      <c r="WCJ101" s="973"/>
      <c r="WCK101" s="973"/>
      <c r="WCL101" s="973"/>
      <c r="WCM101" s="973"/>
      <c r="WCN101" s="973"/>
      <c r="WCO101" s="973"/>
      <c r="WCP101" s="973"/>
      <c r="WCQ101" s="973"/>
      <c r="WCR101" s="973"/>
      <c r="WCS101" s="973"/>
      <c r="WCT101" s="973"/>
      <c r="WCU101" s="973"/>
      <c r="WCV101" s="973"/>
      <c r="WCW101" s="973"/>
      <c r="WCX101" s="973"/>
      <c r="WCY101" s="973"/>
      <c r="WCZ101" s="973"/>
      <c r="WDA101" s="973"/>
      <c r="WDB101" s="973"/>
      <c r="WDC101" s="973"/>
      <c r="WDD101" s="973"/>
      <c r="WDE101" s="973"/>
      <c r="WDF101" s="973"/>
      <c r="WDG101" s="973"/>
      <c r="WDH101" s="973"/>
      <c r="WDI101" s="973"/>
      <c r="WDJ101" s="973"/>
      <c r="WDK101" s="973"/>
      <c r="WDL101" s="973"/>
      <c r="WDM101" s="973"/>
      <c r="WDN101" s="973"/>
      <c r="WDO101" s="973"/>
      <c r="WDP101" s="973"/>
      <c r="WDQ101" s="973"/>
      <c r="WDR101" s="973"/>
      <c r="WDS101" s="973"/>
      <c r="WDT101" s="973"/>
      <c r="WDU101" s="973"/>
      <c r="WDV101" s="973"/>
      <c r="WDW101" s="973"/>
      <c r="WDX101" s="973"/>
      <c r="WDY101" s="973"/>
      <c r="WDZ101" s="973"/>
      <c r="WEA101" s="973"/>
      <c r="WEB101" s="973"/>
      <c r="WEC101" s="973"/>
      <c r="WED101" s="973"/>
      <c r="WEE101" s="973"/>
      <c r="WEF101" s="973"/>
      <c r="WEG101" s="973"/>
      <c r="WEH101" s="973"/>
      <c r="WEI101" s="973"/>
      <c r="WEJ101" s="973"/>
      <c r="WEK101" s="973"/>
      <c r="WEL101" s="973"/>
      <c r="WEM101" s="973"/>
      <c r="WEN101" s="973"/>
      <c r="WEO101" s="973"/>
      <c r="WEP101" s="973"/>
      <c r="WEQ101" s="973"/>
      <c r="WER101" s="973"/>
      <c r="WES101" s="973"/>
      <c r="WET101" s="973"/>
      <c r="WEU101" s="973"/>
      <c r="WEV101" s="973"/>
      <c r="WEW101" s="973"/>
      <c r="WEX101" s="973"/>
      <c r="WEY101" s="973"/>
      <c r="WEZ101" s="973"/>
      <c r="WFA101" s="973"/>
      <c r="WFB101" s="973"/>
      <c r="WFC101" s="973"/>
      <c r="WFD101" s="973"/>
      <c r="WFE101" s="973"/>
      <c r="WFF101" s="973"/>
      <c r="WFG101" s="973"/>
      <c r="WFH101" s="973"/>
      <c r="WFI101" s="973"/>
      <c r="WFJ101" s="973"/>
      <c r="WFK101" s="973"/>
      <c r="WFL101" s="973"/>
      <c r="WFM101" s="973"/>
      <c r="WFN101" s="973"/>
      <c r="WFO101" s="973"/>
      <c r="WFP101" s="973"/>
      <c r="WFQ101" s="973"/>
      <c r="WFR101" s="973"/>
      <c r="WFS101" s="973"/>
      <c r="WFT101" s="973"/>
      <c r="WFU101" s="973"/>
      <c r="WFV101" s="973"/>
      <c r="WFW101" s="973"/>
      <c r="WFX101" s="973"/>
      <c r="WFY101" s="973"/>
      <c r="WFZ101" s="973"/>
      <c r="WGA101" s="973"/>
      <c r="WGB101" s="973"/>
      <c r="WGC101" s="973"/>
      <c r="WGD101" s="973"/>
      <c r="WGE101" s="973"/>
      <c r="WGF101" s="973"/>
      <c r="WGG101" s="973"/>
      <c r="WGH101" s="973"/>
      <c r="WGI101" s="973"/>
      <c r="WGJ101" s="973"/>
      <c r="WGK101" s="973"/>
      <c r="WGL101" s="973"/>
      <c r="WGM101" s="973"/>
      <c r="WGN101" s="973"/>
      <c r="WGO101" s="973"/>
      <c r="WGP101" s="973"/>
      <c r="WGQ101" s="973"/>
      <c r="WGR101" s="973"/>
      <c r="WGS101" s="973"/>
      <c r="WGT101" s="973"/>
      <c r="WGU101" s="973"/>
      <c r="WGV101" s="973"/>
      <c r="WGW101" s="973"/>
      <c r="WGX101" s="973"/>
      <c r="WGY101" s="973"/>
      <c r="WGZ101" s="973"/>
      <c r="WHA101" s="973"/>
      <c r="WHB101" s="973"/>
      <c r="WHC101" s="973"/>
      <c r="WHD101" s="973"/>
      <c r="WHE101" s="973"/>
      <c r="WHF101" s="973"/>
      <c r="WHG101" s="973"/>
      <c r="WHH101" s="973"/>
      <c r="WHI101" s="973"/>
      <c r="WHJ101" s="973"/>
      <c r="WHK101" s="973"/>
      <c r="WHL101" s="973"/>
      <c r="WHM101" s="973"/>
      <c r="WHN101" s="973"/>
      <c r="WHO101" s="973"/>
      <c r="WHP101" s="973"/>
      <c r="WHQ101" s="973"/>
      <c r="WHR101" s="973"/>
      <c r="WHS101" s="973"/>
      <c r="WHT101" s="973"/>
      <c r="WHU101" s="973"/>
      <c r="WHV101" s="973"/>
      <c r="WHW101" s="973"/>
      <c r="WHX101" s="973"/>
      <c r="WHY101" s="973"/>
      <c r="WHZ101" s="973"/>
      <c r="WIA101" s="973"/>
      <c r="WIB101" s="973"/>
      <c r="WIC101" s="973"/>
      <c r="WID101" s="973"/>
      <c r="WIE101" s="973"/>
      <c r="WIF101" s="973"/>
      <c r="WIG101" s="973"/>
      <c r="WIH101" s="973"/>
      <c r="WII101" s="973"/>
      <c r="WIJ101" s="973"/>
      <c r="WIK101" s="973"/>
      <c r="WIL101" s="973"/>
      <c r="WIM101" s="973"/>
      <c r="WIN101" s="973"/>
      <c r="WIO101" s="973"/>
      <c r="WIP101" s="973"/>
      <c r="WIQ101" s="973"/>
      <c r="WIR101" s="973"/>
      <c r="WIS101" s="973"/>
      <c r="WIT101" s="973"/>
      <c r="WIU101" s="973"/>
      <c r="WIV101" s="973"/>
      <c r="WIW101" s="973"/>
      <c r="WIX101" s="973"/>
      <c r="WIY101" s="973"/>
      <c r="WIZ101" s="973"/>
      <c r="WJA101" s="973"/>
      <c r="WJB101" s="973"/>
      <c r="WJC101" s="973"/>
      <c r="WJD101" s="973"/>
      <c r="WJE101" s="973"/>
      <c r="WJF101" s="973"/>
      <c r="WJG101" s="973"/>
      <c r="WJH101" s="973"/>
      <c r="WJI101" s="973"/>
      <c r="WJJ101" s="973"/>
      <c r="WJK101" s="973"/>
      <c r="WJL101" s="973"/>
      <c r="WJM101" s="973"/>
      <c r="WJN101" s="973"/>
      <c r="WJO101" s="973"/>
      <c r="WJP101" s="973"/>
      <c r="WJQ101" s="973"/>
      <c r="WJR101" s="973"/>
      <c r="WJS101" s="973"/>
      <c r="WJT101" s="973"/>
      <c r="WJU101" s="973"/>
      <c r="WJV101" s="973"/>
      <c r="WJW101" s="973"/>
      <c r="WJX101" s="973"/>
      <c r="WJY101" s="973"/>
      <c r="WJZ101" s="973"/>
      <c r="WKA101" s="973"/>
      <c r="WKB101" s="973"/>
      <c r="WKC101" s="973"/>
      <c r="WKD101" s="973"/>
      <c r="WKE101" s="973"/>
      <c r="WKF101" s="973"/>
      <c r="WKG101" s="973"/>
      <c r="WKH101" s="973"/>
      <c r="WKI101" s="973"/>
      <c r="WKJ101" s="973"/>
      <c r="WKK101" s="973"/>
      <c r="WKL101" s="973"/>
      <c r="WKM101" s="973"/>
      <c r="WKN101" s="973"/>
      <c r="WKO101" s="973"/>
      <c r="WKP101" s="973"/>
      <c r="WKQ101" s="973"/>
      <c r="WKR101" s="973"/>
      <c r="WKS101" s="973"/>
      <c r="WKT101" s="973"/>
      <c r="WKU101" s="973"/>
      <c r="WKV101" s="973"/>
      <c r="WKW101" s="973"/>
      <c r="WKX101" s="973"/>
      <c r="WKY101" s="973"/>
      <c r="WKZ101" s="973"/>
      <c r="WLA101" s="973"/>
      <c r="WLB101" s="973"/>
      <c r="WLC101" s="973"/>
      <c r="WLD101" s="973"/>
      <c r="WLE101" s="973"/>
      <c r="WLF101" s="973"/>
      <c r="WLG101" s="973"/>
      <c r="WLH101" s="973"/>
      <c r="WLI101" s="973"/>
      <c r="WLJ101" s="973"/>
      <c r="WLK101" s="973"/>
      <c r="WLL101" s="973"/>
      <c r="WLM101" s="973"/>
      <c r="WLN101" s="973"/>
      <c r="WLO101" s="973"/>
      <c r="WLP101" s="973"/>
      <c r="WLQ101" s="973"/>
      <c r="WLR101" s="973"/>
      <c r="WLS101" s="973"/>
      <c r="WLT101" s="973"/>
      <c r="WLU101" s="973"/>
      <c r="WLV101" s="973"/>
      <c r="WLW101" s="973"/>
      <c r="WLX101" s="973"/>
      <c r="WLY101" s="973"/>
      <c r="WLZ101" s="973"/>
      <c r="WMA101" s="973"/>
      <c r="WMB101" s="973"/>
      <c r="WMC101" s="973"/>
      <c r="WMD101" s="973"/>
      <c r="WME101" s="973"/>
      <c r="WMF101" s="973"/>
      <c r="WMG101" s="973"/>
      <c r="WMH101" s="973"/>
      <c r="WMI101" s="973"/>
      <c r="WMJ101" s="973"/>
      <c r="WMK101" s="973"/>
      <c r="WML101" s="973"/>
      <c r="WMM101" s="973"/>
      <c r="WMN101" s="973"/>
      <c r="WMO101" s="973"/>
      <c r="WMP101" s="973"/>
      <c r="WMQ101" s="973"/>
      <c r="WMR101" s="973"/>
      <c r="WMS101" s="973"/>
      <c r="WMT101" s="973"/>
      <c r="WMU101" s="973"/>
      <c r="WMV101" s="973"/>
      <c r="WMW101" s="973"/>
      <c r="WMX101" s="973"/>
      <c r="WMY101" s="973"/>
      <c r="WMZ101" s="973"/>
      <c r="WNA101" s="973"/>
      <c r="WNB101" s="973"/>
      <c r="WNC101" s="973"/>
      <c r="WND101" s="973"/>
      <c r="WNE101" s="973"/>
      <c r="WNF101" s="973"/>
      <c r="WNG101" s="973"/>
      <c r="WNH101" s="973"/>
      <c r="WNI101" s="973"/>
      <c r="WNJ101" s="973"/>
      <c r="WNK101" s="973"/>
      <c r="WNL101" s="973"/>
      <c r="WNM101" s="973"/>
      <c r="WNN101" s="973"/>
      <c r="WNO101" s="973"/>
      <c r="WNP101" s="973"/>
      <c r="WNQ101" s="973"/>
      <c r="WNR101" s="973"/>
      <c r="WNS101" s="973"/>
      <c r="WNT101" s="973"/>
      <c r="WNU101" s="973"/>
      <c r="WNV101" s="973"/>
      <c r="WNW101" s="973"/>
      <c r="WNX101" s="973"/>
      <c r="WNY101" s="973"/>
      <c r="WNZ101" s="973"/>
      <c r="WOA101" s="973"/>
      <c r="WOB101" s="973"/>
      <c r="WOC101" s="973"/>
      <c r="WOD101" s="973"/>
      <c r="WOE101" s="973"/>
      <c r="WOF101" s="973"/>
      <c r="WOG101" s="973"/>
      <c r="WOH101" s="973"/>
      <c r="WOI101" s="973"/>
      <c r="WOJ101" s="973"/>
      <c r="WOK101" s="973"/>
      <c r="WOL101" s="973"/>
      <c r="WOM101" s="973"/>
      <c r="WON101" s="973"/>
      <c r="WOO101" s="973"/>
      <c r="WOP101" s="973"/>
      <c r="WOQ101" s="973"/>
      <c r="WOR101" s="973"/>
      <c r="WOS101" s="973"/>
      <c r="WOT101" s="973"/>
      <c r="WOU101" s="973"/>
      <c r="WOV101" s="973"/>
      <c r="WOW101" s="973"/>
      <c r="WOX101" s="973"/>
      <c r="WOY101" s="973"/>
      <c r="WOZ101" s="973"/>
      <c r="WPA101" s="973"/>
      <c r="WPB101" s="973"/>
      <c r="WPC101" s="973"/>
      <c r="WPD101" s="973"/>
      <c r="WPE101" s="973"/>
      <c r="WPF101" s="973"/>
      <c r="WPG101" s="973"/>
      <c r="WPH101" s="973"/>
      <c r="WPI101" s="973"/>
      <c r="WPJ101" s="973"/>
      <c r="WPK101" s="973"/>
      <c r="WPL101" s="973"/>
      <c r="WPM101" s="973"/>
      <c r="WPN101" s="973"/>
      <c r="WPO101" s="973"/>
      <c r="WPP101" s="973"/>
      <c r="WPQ101" s="973"/>
      <c r="WPR101" s="973"/>
      <c r="WPS101" s="973"/>
      <c r="WPT101" s="973"/>
      <c r="WPU101" s="973"/>
      <c r="WPV101" s="973"/>
      <c r="WPW101" s="973"/>
      <c r="WPX101" s="973"/>
      <c r="WPY101" s="973"/>
      <c r="WPZ101" s="973"/>
      <c r="WQA101" s="973"/>
      <c r="WQB101" s="973"/>
      <c r="WQC101" s="973"/>
      <c r="WQD101" s="973"/>
      <c r="WQE101" s="973"/>
      <c r="WQF101" s="973"/>
      <c r="WQG101" s="973"/>
      <c r="WQH101" s="973"/>
      <c r="WQI101" s="973"/>
      <c r="WQJ101" s="973"/>
      <c r="WQK101" s="973"/>
      <c r="WQL101" s="973"/>
      <c r="WQM101" s="973"/>
      <c r="WQN101" s="973"/>
      <c r="WQO101" s="973"/>
      <c r="WQP101" s="973"/>
      <c r="WQQ101" s="973"/>
      <c r="WQR101" s="973"/>
      <c r="WQS101" s="973"/>
      <c r="WQT101" s="973"/>
      <c r="WQU101" s="973"/>
      <c r="WQV101" s="973"/>
      <c r="WQW101" s="973"/>
      <c r="WQX101" s="973"/>
      <c r="WQY101" s="973"/>
      <c r="WQZ101" s="973"/>
      <c r="WRA101" s="973"/>
      <c r="WRB101" s="973"/>
      <c r="WRC101" s="973"/>
      <c r="WRD101" s="973"/>
      <c r="WRE101" s="973"/>
      <c r="WRF101" s="973"/>
      <c r="WRG101" s="973"/>
      <c r="WRH101" s="973"/>
      <c r="WRI101" s="973"/>
      <c r="WRJ101" s="973"/>
      <c r="WRK101" s="973"/>
      <c r="WRL101" s="973"/>
      <c r="WRM101" s="973"/>
      <c r="WRN101" s="973"/>
      <c r="WRO101" s="973"/>
      <c r="WRP101" s="973"/>
      <c r="WRQ101" s="973"/>
      <c r="WRR101" s="973"/>
      <c r="WRS101" s="973"/>
      <c r="WRT101" s="973"/>
      <c r="WRU101" s="973"/>
      <c r="WRV101" s="973"/>
      <c r="WRW101" s="973"/>
      <c r="WRX101" s="973"/>
      <c r="WRY101" s="973"/>
      <c r="WRZ101" s="973"/>
      <c r="WSA101" s="973"/>
      <c r="WSB101" s="973"/>
      <c r="WSC101" s="973"/>
      <c r="WSD101" s="973"/>
      <c r="WSE101" s="973"/>
      <c r="WSF101" s="973"/>
      <c r="WSG101" s="973"/>
      <c r="WSH101" s="973"/>
      <c r="WSI101" s="973"/>
      <c r="WSJ101" s="973"/>
      <c r="WSK101" s="973"/>
      <c r="WSL101" s="973"/>
      <c r="WSM101" s="973"/>
      <c r="WSN101" s="973"/>
      <c r="WSO101" s="973"/>
      <c r="WSP101" s="973"/>
      <c r="WSQ101" s="973"/>
      <c r="WSR101" s="973"/>
      <c r="WSS101" s="973"/>
      <c r="WST101" s="973"/>
      <c r="WSU101" s="973"/>
      <c r="WSV101" s="973"/>
      <c r="WSW101" s="973"/>
      <c r="WSX101" s="973"/>
      <c r="WSY101" s="973"/>
      <c r="WSZ101" s="973"/>
      <c r="WTA101" s="973"/>
      <c r="WTB101" s="973"/>
      <c r="WTC101" s="973"/>
      <c r="WTD101" s="973"/>
      <c r="WTE101" s="973"/>
      <c r="WTF101" s="973"/>
      <c r="WTG101" s="973"/>
      <c r="WTH101" s="973"/>
      <c r="WTI101" s="973"/>
      <c r="WTJ101" s="973"/>
      <c r="WTK101" s="973"/>
      <c r="WTL101" s="973"/>
      <c r="WTM101" s="973"/>
      <c r="WTN101" s="973"/>
      <c r="WTO101" s="973"/>
      <c r="WTP101" s="973"/>
      <c r="WTQ101" s="973"/>
      <c r="WTR101" s="973"/>
      <c r="WTS101" s="973"/>
      <c r="WTT101" s="973"/>
      <c r="WTU101" s="973"/>
      <c r="WTV101" s="973"/>
      <c r="WTW101" s="973"/>
      <c r="WTX101" s="973"/>
      <c r="WTY101" s="973"/>
      <c r="WTZ101" s="973"/>
      <c r="WUA101" s="973"/>
      <c r="WUB101" s="973"/>
      <c r="WUC101" s="973"/>
      <c r="WUD101" s="973"/>
      <c r="WUE101" s="973"/>
      <c r="WUF101" s="973"/>
      <c r="WUG101" s="973"/>
      <c r="WUH101" s="973"/>
      <c r="WUI101" s="973"/>
      <c r="WUJ101" s="973"/>
      <c r="WUK101" s="973"/>
      <c r="WUL101" s="973"/>
      <c r="WUM101" s="973"/>
      <c r="WUN101" s="973"/>
      <c r="WUO101" s="973"/>
      <c r="WUP101" s="973"/>
      <c r="WUQ101" s="973"/>
      <c r="WUR101" s="973"/>
      <c r="WUS101" s="973"/>
      <c r="WUT101" s="973"/>
      <c r="WUU101" s="973"/>
      <c r="WUV101" s="973"/>
      <c r="WUW101" s="973"/>
      <c r="WUX101" s="973"/>
      <c r="WUY101" s="973"/>
      <c r="WUZ101" s="973"/>
      <c r="WVA101" s="973"/>
      <c r="WVB101" s="973"/>
      <c r="WVC101" s="973"/>
      <c r="WVD101" s="973"/>
      <c r="WVE101" s="973"/>
      <c r="WVF101" s="973"/>
      <c r="WVG101" s="973"/>
      <c r="WVH101" s="973"/>
      <c r="WVI101" s="973"/>
      <c r="WVJ101" s="973"/>
      <c r="WVK101" s="973"/>
      <c r="WVL101" s="973"/>
      <c r="WVM101" s="973"/>
      <c r="WVN101" s="973"/>
      <c r="WVO101" s="973"/>
      <c r="WVP101" s="973"/>
      <c r="WVQ101" s="973"/>
      <c r="WVR101" s="973"/>
      <c r="WVS101" s="973"/>
      <c r="WVT101" s="973"/>
      <c r="WVU101" s="973"/>
      <c r="WVV101" s="973"/>
      <c r="WVW101" s="973"/>
      <c r="WVX101" s="973"/>
      <c r="WVY101" s="973"/>
      <c r="WVZ101" s="973"/>
      <c r="WWA101" s="973"/>
      <c r="WWB101" s="973"/>
      <c r="WWC101" s="973"/>
      <c r="WWD101" s="973"/>
      <c r="WWE101" s="973"/>
      <c r="WWF101" s="973"/>
      <c r="WWG101" s="973"/>
      <c r="WWH101" s="973"/>
      <c r="WWI101" s="973"/>
      <c r="WWJ101" s="973"/>
      <c r="WWK101" s="973"/>
      <c r="WWL101" s="973"/>
      <c r="WWM101" s="973"/>
      <c r="WWN101" s="973"/>
      <c r="WWO101" s="973"/>
      <c r="WWP101" s="973"/>
      <c r="WWQ101" s="973"/>
      <c r="WWR101" s="973"/>
      <c r="WWS101" s="973"/>
      <c r="WWT101" s="973"/>
      <c r="WWU101" s="973"/>
      <c r="WWV101" s="973"/>
      <c r="WWW101" s="973"/>
      <c r="WWX101" s="973"/>
      <c r="WWY101" s="973"/>
      <c r="WWZ101" s="973"/>
      <c r="WXA101" s="973"/>
      <c r="WXB101" s="973"/>
      <c r="WXC101" s="973"/>
      <c r="WXD101" s="973"/>
      <c r="WXE101" s="973"/>
      <c r="WXF101" s="973"/>
      <c r="WXG101" s="973"/>
      <c r="WXH101" s="973"/>
      <c r="WXI101" s="973"/>
      <c r="WXJ101" s="973"/>
      <c r="WXK101" s="973"/>
      <c r="WXL101" s="973"/>
      <c r="WXM101" s="973"/>
      <c r="WXN101" s="973"/>
      <c r="WXO101" s="973"/>
      <c r="WXP101" s="973"/>
      <c r="WXQ101" s="973"/>
      <c r="WXR101" s="973"/>
      <c r="WXS101" s="973"/>
      <c r="WXT101" s="973"/>
      <c r="WXU101" s="973"/>
      <c r="WXV101" s="973"/>
      <c r="WXW101" s="973"/>
      <c r="WXX101" s="973"/>
      <c r="WXY101" s="973"/>
      <c r="WXZ101" s="973"/>
      <c r="WYA101" s="973"/>
      <c r="WYB101" s="973"/>
      <c r="WYC101" s="973"/>
      <c r="WYD101" s="973"/>
      <c r="WYE101" s="973"/>
      <c r="WYF101" s="973"/>
      <c r="WYG101" s="973"/>
      <c r="WYH101" s="973"/>
      <c r="WYI101" s="973"/>
      <c r="WYJ101" s="973"/>
      <c r="WYK101" s="973"/>
      <c r="WYL101" s="973"/>
      <c r="WYM101" s="973"/>
      <c r="WYN101" s="973"/>
      <c r="WYO101" s="973"/>
      <c r="WYP101" s="973"/>
      <c r="WYQ101" s="973"/>
      <c r="WYR101" s="973"/>
      <c r="WYS101" s="973"/>
      <c r="WYT101" s="973"/>
      <c r="WYU101" s="973"/>
      <c r="WYV101" s="973"/>
      <c r="WYW101" s="973"/>
      <c r="WYX101" s="973"/>
      <c r="WYY101" s="973"/>
      <c r="WYZ101" s="973"/>
      <c r="WZA101" s="973"/>
      <c r="WZB101" s="973"/>
      <c r="WZC101" s="973"/>
      <c r="WZD101" s="973"/>
      <c r="WZE101" s="973"/>
      <c r="WZF101" s="973"/>
      <c r="WZG101" s="973"/>
      <c r="WZH101" s="973"/>
      <c r="WZI101" s="973"/>
      <c r="WZJ101" s="973"/>
      <c r="WZK101" s="973"/>
      <c r="WZL101" s="973"/>
      <c r="WZM101" s="973"/>
      <c r="WZN101" s="973"/>
      <c r="WZO101" s="973"/>
      <c r="WZP101" s="973"/>
      <c r="WZQ101" s="973"/>
      <c r="WZR101" s="973"/>
      <c r="WZS101" s="973"/>
      <c r="WZT101" s="973"/>
      <c r="WZU101" s="973"/>
      <c r="WZV101" s="973"/>
      <c r="WZW101" s="973"/>
      <c r="WZX101" s="973"/>
      <c r="WZY101" s="973"/>
      <c r="WZZ101" s="973"/>
      <c r="XAA101" s="973"/>
      <c r="XAB101" s="973"/>
      <c r="XAC101" s="973"/>
      <c r="XAD101" s="973"/>
      <c r="XAE101" s="973"/>
      <c r="XAF101" s="973"/>
      <c r="XAG101" s="973"/>
      <c r="XAH101" s="973"/>
      <c r="XAI101" s="973"/>
      <c r="XAJ101" s="973"/>
      <c r="XAK101" s="973"/>
      <c r="XAL101" s="973"/>
      <c r="XAM101" s="973"/>
      <c r="XAN101" s="973"/>
      <c r="XAO101" s="973"/>
      <c r="XAP101" s="973"/>
      <c r="XAQ101" s="973"/>
      <c r="XAR101" s="973"/>
      <c r="XAS101" s="973"/>
      <c r="XAT101" s="973"/>
      <c r="XAU101" s="973"/>
      <c r="XAV101" s="973"/>
      <c r="XAW101" s="973"/>
      <c r="XAX101" s="973"/>
      <c r="XAY101" s="973"/>
      <c r="XAZ101" s="973"/>
      <c r="XBA101" s="973"/>
      <c r="XBB101" s="973"/>
      <c r="XBC101" s="973"/>
      <c r="XBD101" s="973"/>
      <c r="XBE101" s="973"/>
      <c r="XBF101" s="973"/>
      <c r="XBG101" s="973"/>
      <c r="XBH101" s="973"/>
      <c r="XBI101" s="973"/>
      <c r="XBJ101" s="973"/>
      <c r="XBK101" s="973"/>
      <c r="XBL101" s="973"/>
      <c r="XBM101" s="973"/>
      <c r="XBN101" s="973"/>
      <c r="XBO101" s="973"/>
      <c r="XBP101" s="973"/>
      <c r="XBQ101" s="973"/>
      <c r="XBR101" s="973"/>
      <c r="XBS101" s="973"/>
      <c r="XBT101" s="973"/>
      <c r="XBU101" s="973"/>
      <c r="XBV101" s="973"/>
      <c r="XBW101" s="973"/>
      <c r="XBX101" s="973"/>
      <c r="XBY101" s="973"/>
      <c r="XBZ101" s="973"/>
      <c r="XCA101" s="973"/>
      <c r="XCB101" s="973"/>
      <c r="XCC101" s="973"/>
      <c r="XCD101" s="973"/>
      <c r="XCE101" s="973"/>
      <c r="XCF101" s="973"/>
      <c r="XCG101" s="973"/>
      <c r="XCH101" s="973"/>
      <c r="XCI101" s="973"/>
      <c r="XCJ101" s="973"/>
      <c r="XCK101" s="973"/>
      <c r="XCL101" s="973"/>
      <c r="XCM101" s="973"/>
      <c r="XCN101" s="973"/>
      <c r="XCO101" s="973"/>
      <c r="XCP101" s="973"/>
      <c r="XCQ101" s="973"/>
      <c r="XCR101" s="973"/>
      <c r="XCS101" s="973"/>
      <c r="XCT101" s="973"/>
      <c r="XCU101" s="973"/>
      <c r="XCV101" s="973"/>
      <c r="XCW101" s="973"/>
      <c r="XCX101" s="973"/>
      <c r="XCY101" s="973"/>
      <c r="XCZ101" s="973"/>
      <c r="XDA101" s="973"/>
      <c r="XDB101" s="973"/>
      <c r="XDC101" s="973"/>
      <c r="XDD101" s="973"/>
      <c r="XDE101" s="973"/>
      <c r="XDF101" s="973"/>
      <c r="XDG101" s="973"/>
      <c r="XDH101" s="973"/>
      <c r="XDI101" s="973"/>
      <c r="XDJ101" s="973"/>
      <c r="XDK101" s="973"/>
      <c r="XDL101" s="973"/>
      <c r="XDM101" s="973"/>
      <c r="XDN101" s="973"/>
      <c r="XDO101" s="973"/>
      <c r="XDP101" s="973"/>
      <c r="XDQ101" s="973"/>
      <c r="XDR101" s="973"/>
      <c r="XDS101" s="973"/>
      <c r="XDT101" s="973"/>
      <c r="XDU101" s="973"/>
      <c r="XDV101" s="973"/>
      <c r="XDW101" s="973"/>
      <c r="XDX101" s="973"/>
      <c r="XDY101" s="973"/>
      <c r="XDZ101" s="973"/>
      <c r="XEA101" s="973"/>
      <c r="XEB101" s="973"/>
      <c r="XEC101" s="973"/>
      <c r="XED101" s="973"/>
      <c r="XEE101" s="973"/>
      <c r="XEF101" s="973"/>
      <c r="XEG101" s="973"/>
      <c r="XEH101" s="973"/>
      <c r="XEI101" s="973"/>
      <c r="XEJ101" s="973"/>
      <c r="XEK101" s="973"/>
      <c r="XEL101" s="973"/>
      <c r="XEM101" s="973"/>
      <c r="XEN101" s="973"/>
      <c r="XEO101" s="973"/>
      <c r="XEP101" s="973"/>
      <c r="XEQ101" s="973"/>
      <c r="XER101" s="973"/>
      <c r="XES101" s="973"/>
      <c r="XET101" s="973"/>
      <c r="XEU101" s="973"/>
      <c r="XEV101" s="973"/>
      <c r="XEW101" s="973"/>
      <c r="XEX101" s="973"/>
      <c r="XEY101" s="973"/>
      <c r="XEZ101" s="973"/>
      <c r="XFA101" s="973"/>
      <c r="XFB101" s="973"/>
      <c r="XFC101" s="973"/>
      <c r="XFD101" s="973"/>
    </row>
    <row r="102" spans="1:16384" x14ac:dyDescent="0.35">
      <c r="E102" s="980" t="s">
        <v>714</v>
      </c>
      <c r="H102" s="983"/>
      <c r="I102" s="983"/>
      <c r="J102" s="983">
        <v>166667</v>
      </c>
      <c r="K102" s="983">
        <v>150000.34</v>
      </c>
      <c r="L102" s="983">
        <v>133333.68</v>
      </c>
      <c r="M102" s="983">
        <v>116667.02</v>
      </c>
      <c r="N102" s="983">
        <v>100000.36</v>
      </c>
      <c r="O102" s="983">
        <v>83333.7</v>
      </c>
      <c r="P102" s="983">
        <v>66667.039999999994</v>
      </c>
      <c r="Q102" s="983">
        <v>50000</v>
      </c>
      <c r="R102" s="983">
        <v>0</v>
      </c>
      <c r="S102" s="983">
        <v>0</v>
      </c>
      <c r="T102" s="983">
        <v>0</v>
      </c>
      <c r="U102" s="983">
        <v>0</v>
      </c>
      <c r="V102" s="983">
        <v>0</v>
      </c>
      <c r="W102" s="983">
        <v>0</v>
      </c>
      <c r="X102" s="983">
        <v>0</v>
      </c>
      <c r="Y102" s="983">
        <v>0</v>
      </c>
      <c r="Z102" s="983">
        <v>0</v>
      </c>
      <c r="AA102" s="983"/>
      <c r="AB102" s="983"/>
      <c r="AC102" s="983">
        <v>0</v>
      </c>
      <c r="AD102" s="983"/>
      <c r="AE102" s="983"/>
      <c r="AF102" s="983"/>
      <c r="AG102" s="983"/>
    </row>
    <row r="103" spans="1:16384" x14ac:dyDescent="0.35">
      <c r="B103" s="945"/>
      <c r="C103" s="945"/>
      <c r="D103" s="929" t="s">
        <v>159</v>
      </c>
      <c r="E103" s="929"/>
      <c r="F103" s="929"/>
      <c r="G103" s="929"/>
      <c r="H103" s="925"/>
      <c r="I103" s="925"/>
      <c r="J103" s="925"/>
      <c r="K103" s="925"/>
      <c r="L103" s="925"/>
      <c r="M103" s="925"/>
      <c r="N103" s="925"/>
      <c r="O103" s="925"/>
      <c r="P103" s="925"/>
      <c r="Q103" s="925"/>
      <c r="R103" s="925"/>
      <c r="S103" s="925"/>
      <c r="T103" s="925"/>
      <c r="U103" s="925"/>
      <c r="V103" s="925"/>
      <c r="W103" s="925"/>
      <c r="X103" s="925"/>
      <c r="Y103" s="925"/>
      <c r="Z103" s="925"/>
      <c r="AA103" s="925"/>
      <c r="AB103" s="925"/>
      <c r="AC103" s="925"/>
      <c r="AD103" s="925"/>
      <c r="AE103" s="925"/>
      <c r="AF103" s="925"/>
      <c r="AG103" s="925"/>
      <c r="AH103" s="925"/>
      <c r="AI103" s="925"/>
      <c r="AJ103" s="925"/>
      <c r="AK103" s="925"/>
      <c r="AL103" s="925"/>
      <c r="AM103" s="925"/>
      <c r="AN103" s="925"/>
      <c r="AO103" s="925"/>
      <c r="AP103" s="925"/>
      <c r="AQ103" s="925"/>
      <c r="AR103" s="925"/>
      <c r="AS103" s="925"/>
      <c r="AT103" s="925"/>
      <c r="AU103" s="925"/>
      <c r="AV103" s="925"/>
      <c r="AW103" s="925"/>
      <c r="AX103" s="925"/>
      <c r="AY103" s="925"/>
      <c r="AZ103" s="925"/>
      <c r="BA103" s="925"/>
      <c r="BB103" s="925"/>
      <c r="BC103" s="925"/>
      <c r="BD103" s="925"/>
      <c r="BE103" s="925"/>
      <c r="BF103" s="925"/>
      <c r="BG103" s="925"/>
      <c r="BH103" s="925"/>
      <c r="BI103" s="925"/>
      <c r="BJ103" s="925"/>
      <c r="BK103" s="925"/>
      <c r="BL103" s="925"/>
      <c r="BM103" s="925"/>
      <c r="BN103" s="925"/>
      <c r="BO103" s="925"/>
      <c r="BP103" s="925"/>
      <c r="BQ103" s="925"/>
      <c r="BR103" s="925"/>
      <c r="BS103" s="925"/>
      <c r="BT103" s="925"/>
      <c r="BU103" s="925"/>
      <c r="BV103" s="925"/>
      <c r="BW103" s="925"/>
      <c r="BX103" s="925"/>
      <c r="BY103" s="925"/>
      <c r="BZ103" s="925"/>
      <c r="CA103" s="925"/>
      <c r="CB103" s="925"/>
      <c r="CC103" s="925"/>
      <c r="CD103" s="978"/>
      <c r="CE103" s="978"/>
      <c r="CF103" s="978"/>
      <c r="CG103" s="978"/>
      <c r="CH103" s="978"/>
      <c r="CI103" s="978"/>
      <c r="CJ103" s="978"/>
      <c r="CK103" s="978"/>
      <c r="CL103" s="978"/>
      <c r="CM103" s="978"/>
      <c r="CN103" s="978"/>
      <c r="CO103" s="978"/>
      <c r="CP103" s="978"/>
      <c r="CQ103" s="978"/>
      <c r="CR103" s="978"/>
      <c r="CS103" s="978"/>
      <c r="CT103" s="978"/>
      <c r="CU103" s="978"/>
      <c r="CV103" s="978"/>
      <c r="CW103" s="978"/>
      <c r="CX103" s="978"/>
      <c r="CY103" s="978"/>
      <c r="CZ103" s="978"/>
      <c r="DA103" s="978"/>
      <c r="DB103" s="978"/>
      <c r="DC103" s="978"/>
      <c r="DD103" s="978"/>
      <c r="DE103" s="978"/>
      <c r="DF103" s="978"/>
      <c r="DG103" s="978"/>
      <c r="DH103" s="978"/>
      <c r="DI103" s="978"/>
      <c r="DJ103" s="978"/>
      <c r="DK103" s="978"/>
      <c r="DL103" s="978"/>
      <c r="DM103" s="978"/>
      <c r="DN103" s="978"/>
      <c r="DO103" s="978"/>
      <c r="DP103" s="978"/>
      <c r="DQ103" s="978"/>
      <c r="DR103" s="978"/>
      <c r="DS103" s="978"/>
      <c r="DT103" s="978"/>
      <c r="DU103" s="978"/>
      <c r="DV103" s="978"/>
      <c r="DW103" s="978"/>
      <c r="DX103" s="978"/>
      <c r="DY103" s="978"/>
      <c r="DZ103" s="978"/>
      <c r="EA103" s="978"/>
      <c r="EB103" s="978"/>
      <c r="EC103" s="978"/>
      <c r="ED103" s="978"/>
      <c r="EE103" s="978"/>
      <c r="EF103" s="978"/>
      <c r="EG103" s="978"/>
      <c r="EH103" s="978"/>
      <c r="EI103" s="978"/>
      <c r="EJ103" s="978"/>
      <c r="EK103" s="978"/>
      <c r="EL103" s="978"/>
      <c r="EM103" s="978"/>
      <c r="EN103" s="978"/>
      <c r="EO103" s="978"/>
      <c r="EP103" s="978"/>
      <c r="EQ103" s="978"/>
      <c r="ER103" s="978"/>
      <c r="ES103" s="978"/>
      <c r="ET103" s="978"/>
      <c r="EU103" s="978"/>
      <c r="EV103" s="978"/>
      <c r="EW103" s="978"/>
      <c r="EX103" s="978"/>
      <c r="EY103" s="978"/>
      <c r="EZ103" s="978"/>
      <c r="FA103" s="978"/>
      <c r="FB103" s="978"/>
      <c r="FC103" s="978"/>
      <c r="FD103" s="978"/>
      <c r="FE103" s="978"/>
      <c r="FF103" s="978"/>
      <c r="FG103" s="978"/>
      <c r="FH103" s="978"/>
      <c r="FI103" s="978"/>
      <c r="FJ103" s="978"/>
      <c r="FK103" s="978"/>
      <c r="FL103" s="978"/>
      <c r="FM103" s="978"/>
      <c r="FN103" s="978"/>
      <c r="FO103" s="978"/>
      <c r="FP103" s="978"/>
      <c r="FQ103" s="978"/>
      <c r="FR103" s="978"/>
      <c r="FS103" s="978"/>
      <c r="FT103" s="978"/>
      <c r="FU103" s="978"/>
      <c r="FV103" s="978"/>
      <c r="FW103" s="978"/>
      <c r="FX103" s="978"/>
      <c r="FY103" s="978"/>
      <c r="FZ103" s="978"/>
      <c r="GA103" s="978"/>
      <c r="GB103" s="978"/>
      <c r="GC103" s="978"/>
      <c r="GD103" s="978"/>
      <c r="GE103" s="978"/>
      <c r="GF103" s="978"/>
      <c r="GG103" s="978"/>
      <c r="GH103" s="978"/>
      <c r="GI103" s="978"/>
      <c r="GJ103" s="978"/>
      <c r="GK103" s="978"/>
      <c r="GL103" s="978"/>
      <c r="GM103" s="978"/>
      <c r="GN103" s="978"/>
      <c r="GO103" s="978"/>
      <c r="GP103" s="978"/>
      <c r="GQ103" s="978"/>
      <c r="GR103" s="978"/>
      <c r="GS103" s="978"/>
      <c r="GT103" s="978"/>
      <c r="GU103" s="978"/>
      <c r="GV103" s="978"/>
      <c r="GW103" s="978"/>
      <c r="GX103" s="978"/>
      <c r="GY103" s="978"/>
      <c r="GZ103" s="978"/>
      <c r="HA103" s="978"/>
      <c r="HB103" s="978"/>
      <c r="HC103" s="978"/>
      <c r="HD103" s="978"/>
      <c r="HE103" s="978"/>
      <c r="HF103" s="978"/>
      <c r="HG103" s="978"/>
      <c r="HH103" s="978"/>
      <c r="HI103" s="978"/>
      <c r="HJ103" s="978"/>
      <c r="HK103" s="978"/>
      <c r="HL103" s="978"/>
      <c r="HM103" s="978"/>
      <c r="HN103" s="978"/>
      <c r="HO103" s="978"/>
      <c r="HP103" s="978"/>
      <c r="HQ103" s="978"/>
      <c r="HR103" s="978"/>
      <c r="HS103" s="978"/>
      <c r="HT103" s="978"/>
      <c r="HU103" s="978"/>
      <c r="HV103" s="978"/>
      <c r="HW103" s="978"/>
      <c r="HX103" s="978"/>
      <c r="HY103" s="978"/>
      <c r="HZ103" s="978"/>
      <c r="IA103" s="978"/>
      <c r="IB103" s="978"/>
      <c r="IC103" s="978"/>
      <c r="ID103" s="978"/>
      <c r="IE103" s="978"/>
      <c r="IF103" s="978"/>
      <c r="IG103" s="978"/>
      <c r="IH103" s="978"/>
      <c r="II103" s="978"/>
      <c r="IJ103" s="978"/>
      <c r="IK103" s="978"/>
      <c r="IL103" s="978"/>
      <c r="IM103" s="978"/>
      <c r="IN103" s="978"/>
      <c r="IO103" s="978"/>
      <c r="IP103" s="978"/>
      <c r="IQ103" s="978"/>
      <c r="IR103" s="978"/>
      <c r="IS103" s="978"/>
      <c r="IT103" s="978"/>
      <c r="IU103" s="978"/>
      <c r="IV103" s="978"/>
      <c r="IW103" s="978"/>
      <c r="IX103" s="978"/>
      <c r="IY103" s="978"/>
      <c r="IZ103" s="978"/>
      <c r="JA103" s="978"/>
      <c r="JB103" s="978"/>
      <c r="JC103" s="978"/>
      <c r="JD103" s="978"/>
      <c r="JE103" s="978"/>
      <c r="JF103" s="978"/>
      <c r="JG103" s="978"/>
      <c r="JH103" s="978"/>
      <c r="JI103" s="978"/>
      <c r="JJ103" s="978"/>
      <c r="JK103" s="978"/>
      <c r="JL103" s="978"/>
      <c r="JM103" s="978"/>
      <c r="JN103" s="978"/>
      <c r="JO103" s="978"/>
      <c r="JP103" s="978"/>
      <c r="JQ103" s="978"/>
      <c r="JR103" s="978"/>
      <c r="JS103" s="978"/>
      <c r="JT103" s="978"/>
      <c r="JU103" s="978"/>
      <c r="JV103" s="978"/>
      <c r="JW103" s="978"/>
      <c r="JX103" s="978"/>
      <c r="JY103" s="978"/>
      <c r="JZ103" s="978"/>
      <c r="KA103" s="978"/>
      <c r="KB103" s="978"/>
      <c r="KC103" s="978"/>
      <c r="KD103" s="978"/>
      <c r="KE103" s="978"/>
      <c r="KF103" s="978"/>
      <c r="KG103" s="978"/>
      <c r="KH103" s="978"/>
      <c r="KI103" s="978"/>
      <c r="KJ103" s="978"/>
      <c r="KK103" s="978"/>
      <c r="KL103" s="978"/>
      <c r="KM103" s="978"/>
      <c r="KN103" s="978"/>
      <c r="KO103" s="978"/>
      <c r="KP103" s="978"/>
      <c r="KQ103" s="978"/>
      <c r="KR103" s="978"/>
      <c r="KS103" s="978"/>
      <c r="KT103" s="978"/>
      <c r="KU103" s="978"/>
      <c r="KV103" s="978"/>
      <c r="KW103" s="978"/>
      <c r="KX103" s="978"/>
      <c r="KY103" s="978"/>
      <c r="KZ103" s="978"/>
      <c r="LA103" s="978"/>
      <c r="LB103" s="978"/>
      <c r="LC103" s="978"/>
      <c r="LD103" s="978"/>
      <c r="LE103" s="978"/>
      <c r="LF103" s="978"/>
      <c r="LG103" s="978"/>
      <c r="LH103" s="978"/>
      <c r="LI103" s="978"/>
      <c r="LJ103" s="978"/>
      <c r="LK103" s="978"/>
      <c r="LL103" s="978"/>
      <c r="LM103" s="978"/>
      <c r="LN103" s="978"/>
      <c r="LO103" s="978"/>
      <c r="LP103" s="978"/>
      <c r="LQ103" s="978"/>
      <c r="LR103" s="978"/>
      <c r="LS103" s="978"/>
      <c r="LT103" s="978"/>
      <c r="LU103" s="978"/>
      <c r="LV103" s="978"/>
      <c r="LW103" s="978"/>
      <c r="LX103" s="978"/>
      <c r="LY103" s="978"/>
      <c r="LZ103" s="978"/>
      <c r="MA103" s="978"/>
      <c r="MB103" s="978"/>
      <c r="MC103" s="978"/>
      <c r="MD103" s="978"/>
      <c r="ME103" s="978"/>
      <c r="MF103" s="978"/>
      <c r="MG103" s="978"/>
      <c r="MH103" s="978"/>
      <c r="MI103" s="978"/>
      <c r="MJ103" s="978"/>
      <c r="MK103" s="978"/>
      <c r="ML103" s="978"/>
      <c r="MM103" s="978"/>
      <c r="MN103" s="978"/>
      <c r="MO103" s="978"/>
      <c r="MP103" s="978"/>
      <c r="MQ103" s="978"/>
      <c r="MR103" s="978"/>
      <c r="MS103" s="978"/>
      <c r="MT103" s="978"/>
      <c r="MU103" s="978"/>
      <c r="MV103" s="978"/>
      <c r="MW103" s="978"/>
      <c r="MX103" s="978"/>
      <c r="MY103" s="978"/>
      <c r="MZ103" s="978"/>
      <c r="NA103" s="978"/>
      <c r="NB103" s="978"/>
      <c r="NC103" s="978"/>
      <c r="ND103" s="978"/>
      <c r="NE103" s="978"/>
      <c r="NF103" s="978"/>
      <c r="NG103" s="978"/>
      <c r="NH103" s="978"/>
      <c r="NI103" s="978"/>
      <c r="NJ103" s="978"/>
      <c r="NK103" s="978"/>
      <c r="NL103" s="978"/>
      <c r="NM103" s="978"/>
      <c r="NN103" s="978"/>
      <c r="NO103" s="978"/>
      <c r="NP103" s="978"/>
      <c r="NQ103" s="978"/>
      <c r="NR103" s="978"/>
      <c r="NS103" s="978"/>
      <c r="NT103" s="978"/>
      <c r="NU103" s="978"/>
      <c r="NV103" s="978"/>
      <c r="NW103" s="978"/>
      <c r="NX103" s="978"/>
      <c r="NY103" s="978"/>
      <c r="NZ103" s="978"/>
      <c r="OA103" s="978"/>
      <c r="OB103" s="978"/>
      <c r="OC103" s="978"/>
      <c r="OD103" s="978"/>
      <c r="OE103" s="978"/>
      <c r="OF103" s="978"/>
      <c r="OG103" s="978"/>
      <c r="OH103" s="978"/>
      <c r="OI103" s="978"/>
      <c r="OJ103" s="978"/>
      <c r="OK103" s="978"/>
      <c r="OL103" s="978"/>
      <c r="OM103" s="978"/>
      <c r="ON103" s="978"/>
      <c r="OO103" s="978"/>
      <c r="OP103" s="978"/>
      <c r="OQ103" s="978"/>
      <c r="OR103" s="978"/>
      <c r="OS103" s="978"/>
      <c r="OT103" s="978"/>
      <c r="OU103" s="978"/>
      <c r="OV103" s="978"/>
      <c r="OW103" s="978"/>
      <c r="OX103" s="978"/>
      <c r="OY103" s="978"/>
      <c r="OZ103" s="978"/>
      <c r="PA103" s="978"/>
      <c r="PB103" s="978"/>
      <c r="PC103" s="978"/>
      <c r="PD103" s="978"/>
      <c r="PE103" s="978"/>
      <c r="PF103" s="978"/>
      <c r="PG103" s="978"/>
      <c r="PH103" s="978"/>
      <c r="PI103" s="978"/>
      <c r="PJ103" s="978"/>
      <c r="PK103" s="978"/>
      <c r="PL103" s="978"/>
      <c r="PM103" s="978"/>
      <c r="PN103" s="978"/>
      <c r="PO103" s="978"/>
      <c r="PP103" s="978"/>
      <c r="PQ103" s="978"/>
      <c r="PR103" s="978"/>
      <c r="PS103" s="978"/>
      <c r="PT103" s="978"/>
      <c r="PU103" s="978"/>
      <c r="PV103" s="978"/>
      <c r="PW103" s="978"/>
      <c r="PX103" s="978"/>
      <c r="PY103" s="978"/>
      <c r="PZ103" s="978"/>
      <c r="QA103" s="978"/>
      <c r="QB103" s="978"/>
      <c r="QC103" s="978"/>
      <c r="QD103" s="978"/>
      <c r="QE103" s="978"/>
      <c r="QF103" s="978"/>
      <c r="QG103" s="978"/>
      <c r="QH103" s="978"/>
      <c r="QI103" s="978"/>
      <c r="QJ103" s="978"/>
      <c r="QK103" s="978"/>
      <c r="QL103" s="978"/>
      <c r="QM103" s="978"/>
      <c r="QN103" s="978"/>
      <c r="QO103" s="978"/>
      <c r="QP103" s="978"/>
      <c r="QQ103" s="978"/>
      <c r="QR103" s="978"/>
      <c r="QS103" s="978"/>
      <c r="QT103" s="978"/>
      <c r="QU103" s="978"/>
      <c r="QV103" s="978"/>
      <c r="QW103" s="978"/>
      <c r="QX103" s="978"/>
      <c r="QY103" s="978"/>
      <c r="QZ103" s="978"/>
      <c r="RA103" s="978"/>
      <c r="RB103" s="978"/>
      <c r="RC103" s="978"/>
      <c r="RD103" s="978"/>
      <c r="RE103" s="978"/>
      <c r="RF103" s="978"/>
      <c r="RG103" s="978"/>
      <c r="RH103" s="978"/>
      <c r="RI103" s="978"/>
      <c r="RJ103" s="978"/>
      <c r="RK103" s="978"/>
      <c r="RL103" s="978"/>
      <c r="RM103" s="978"/>
      <c r="RN103" s="978"/>
      <c r="RO103" s="978"/>
      <c r="RP103" s="978"/>
      <c r="RQ103" s="978"/>
      <c r="RR103" s="978"/>
      <c r="RS103" s="978"/>
      <c r="RT103" s="978"/>
      <c r="RU103" s="978"/>
      <c r="RV103" s="978"/>
      <c r="RW103" s="978"/>
      <c r="RX103" s="978"/>
      <c r="RY103" s="978"/>
      <c r="RZ103" s="978"/>
      <c r="SA103" s="978"/>
      <c r="SB103" s="978"/>
      <c r="SC103" s="978"/>
      <c r="SD103" s="978"/>
      <c r="SE103" s="978"/>
      <c r="SF103" s="978"/>
      <c r="SG103" s="978"/>
      <c r="SH103" s="978"/>
      <c r="SI103" s="978"/>
      <c r="SJ103" s="978"/>
      <c r="SK103" s="978"/>
      <c r="SL103" s="978"/>
      <c r="SM103" s="978"/>
      <c r="SN103" s="978"/>
      <c r="SO103" s="978"/>
      <c r="SP103" s="978"/>
      <c r="SQ103" s="978"/>
      <c r="SR103" s="978"/>
      <c r="SS103" s="978"/>
      <c r="ST103" s="978"/>
      <c r="SU103" s="978"/>
      <c r="SV103" s="978"/>
      <c r="SW103" s="978"/>
      <c r="SX103" s="978"/>
      <c r="SY103" s="978"/>
      <c r="SZ103" s="978"/>
      <c r="TA103" s="978"/>
      <c r="TB103" s="978"/>
      <c r="TC103" s="978"/>
      <c r="TD103" s="978"/>
      <c r="TE103" s="978"/>
      <c r="TF103" s="978"/>
      <c r="TG103" s="978"/>
      <c r="TH103" s="978"/>
      <c r="TI103" s="978"/>
      <c r="TJ103" s="978"/>
      <c r="TK103" s="978"/>
      <c r="TL103" s="978"/>
      <c r="TM103" s="978"/>
      <c r="TN103" s="978"/>
      <c r="TO103" s="978"/>
      <c r="TP103" s="978"/>
      <c r="TQ103" s="978"/>
      <c r="TR103" s="978"/>
      <c r="TS103" s="978"/>
      <c r="TT103" s="978"/>
      <c r="TU103" s="978"/>
      <c r="TV103" s="978"/>
      <c r="TW103" s="978"/>
      <c r="TX103" s="978"/>
      <c r="TY103" s="978"/>
      <c r="TZ103" s="978"/>
      <c r="UA103" s="978"/>
      <c r="UB103" s="978"/>
      <c r="UC103" s="978"/>
      <c r="UD103" s="978"/>
      <c r="UE103" s="978"/>
      <c r="UF103" s="978"/>
      <c r="UG103" s="978"/>
      <c r="UH103" s="978"/>
      <c r="UI103" s="978"/>
      <c r="UJ103" s="978"/>
      <c r="UK103" s="978"/>
      <c r="UL103" s="978"/>
      <c r="UM103" s="978"/>
      <c r="UN103" s="978"/>
      <c r="UO103" s="978"/>
      <c r="UP103" s="978"/>
      <c r="UQ103" s="978"/>
      <c r="UR103" s="978"/>
      <c r="US103" s="978"/>
      <c r="UT103" s="978"/>
      <c r="UU103" s="978"/>
      <c r="UV103" s="978"/>
      <c r="UW103" s="978"/>
      <c r="UX103" s="978"/>
      <c r="UY103" s="978"/>
      <c r="UZ103" s="978"/>
      <c r="VA103" s="978"/>
      <c r="VB103" s="978"/>
      <c r="VC103" s="978"/>
      <c r="VD103" s="978"/>
      <c r="VE103" s="978"/>
      <c r="VF103" s="978"/>
      <c r="VG103" s="978"/>
      <c r="VH103" s="978"/>
      <c r="VI103" s="978"/>
      <c r="VJ103" s="978"/>
      <c r="VK103" s="978"/>
      <c r="VL103" s="978"/>
      <c r="VM103" s="978"/>
      <c r="VN103" s="978"/>
      <c r="VO103" s="978"/>
      <c r="VP103" s="978"/>
      <c r="VQ103" s="978"/>
      <c r="VR103" s="978"/>
      <c r="VS103" s="978"/>
      <c r="VT103" s="978"/>
      <c r="VU103" s="978"/>
      <c r="VV103" s="978"/>
      <c r="VW103" s="978"/>
      <c r="VX103" s="978"/>
      <c r="VY103" s="978"/>
      <c r="VZ103" s="978"/>
      <c r="WA103" s="978"/>
      <c r="WB103" s="978"/>
      <c r="WC103" s="978"/>
      <c r="WD103" s="978"/>
      <c r="WE103" s="978"/>
      <c r="WF103" s="978"/>
      <c r="WG103" s="978"/>
      <c r="WH103" s="978"/>
      <c r="WI103" s="978"/>
      <c r="WJ103" s="978"/>
      <c r="WK103" s="978"/>
      <c r="WL103" s="978"/>
      <c r="WM103" s="978"/>
      <c r="WN103" s="978"/>
      <c r="WO103" s="978"/>
      <c r="WP103" s="978"/>
      <c r="WQ103" s="978"/>
      <c r="WR103" s="978"/>
      <c r="WS103" s="978"/>
      <c r="WT103" s="978"/>
      <c r="WU103" s="978"/>
      <c r="WV103" s="978"/>
      <c r="WW103" s="978"/>
      <c r="WX103" s="978"/>
      <c r="WY103" s="978"/>
      <c r="WZ103" s="978"/>
      <c r="XA103" s="978"/>
      <c r="XB103" s="978"/>
      <c r="XC103" s="978"/>
      <c r="XD103" s="978"/>
      <c r="XE103" s="978"/>
      <c r="XF103" s="978"/>
      <c r="XG103" s="978"/>
      <c r="XH103" s="978"/>
      <c r="XI103" s="978"/>
      <c r="XJ103" s="978"/>
      <c r="XK103" s="978"/>
      <c r="XL103" s="978"/>
      <c r="XM103" s="978"/>
      <c r="XN103" s="978"/>
      <c r="XO103" s="978"/>
      <c r="XP103" s="978"/>
      <c r="XQ103" s="978"/>
      <c r="XR103" s="978"/>
      <c r="XS103" s="978"/>
      <c r="XT103" s="978"/>
      <c r="XU103" s="978"/>
      <c r="XV103" s="978"/>
      <c r="XW103" s="978"/>
      <c r="XX103" s="978"/>
      <c r="XY103" s="978"/>
      <c r="XZ103" s="978"/>
      <c r="YA103" s="978"/>
      <c r="YB103" s="978"/>
      <c r="YC103" s="978"/>
      <c r="YD103" s="978"/>
      <c r="YE103" s="978"/>
      <c r="YF103" s="978"/>
      <c r="YG103" s="978"/>
      <c r="YH103" s="978"/>
      <c r="YI103" s="978"/>
      <c r="YJ103" s="978"/>
      <c r="YK103" s="978"/>
      <c r="YL103" s="978"/>
      <c r="YM103" s="978"/>
      <c r="YN103" s="978"/>
      <c r="YO103" s="978"/>
      <c r="YP103" s="978"/>
      <c r="YQ103" s="978"/>
      <c r="YR103" s="978"/>
      <c r="YS103" s="978"/>
      <c r="YT103" s="978"/>
      <c r="YU103" s="978"/>
      <c r="YV103" s="978"/>
      <c r="YW103" s="978"/>
      <c r="YX103" s="978"/>
      <c r="YY103" s="978"/>
      <c r="YZ103" s="978"/>
      <c r="ZA103" s="978"/>
      <c r="ZB103" s="978"/>
      <c r="ZC103" s="978"/>
      <c r="ZD103" s="978"/>
      <c r="ZE103" s="978"/>
      <c r="ZF103" s="978"/>
      <c r="ZG103" s="978"/>
      <c r="ZH103" s="978"/>
      <c r="ZI103" s="978"/>
      <c r="ZJ103" s="978"/>
      <c r="ZK103" s="978"/>
      <c r="ZL103" s="978"/>
      <c r="ZM103" s="978"/>
      <c r="ZN103" s="978"/>
      <c r="ZO103" s="978"/>
      <c r="ZP103" s="978"/>
      <c r="ZQ103" s="978"/>
      <c r="ZR103" s="978"/>
      <c r="ZS103" s="978"/>
      <c r="ZT103" s="978"/>
      <c r="ZU103" s="978"/>
      <c r="ZV103" s="978"/>
      <c r="ZW103" s="978"/>
      <c r="ZX103" s="978"/>
      <c r="ZY103" s="978"/>
      <c r="ZZ103" s="978"/>
      <c r="AAA103" s="978"/>
      <c r="AAB103" s="978"/>
      <c r="AAC103" s="978"/>
      <c r="AAD103" s="978"/>
      <c r="AAE103" s="978"/>
      <c r="AAF103" s="978"/>
      <c r="AAG103" s="978"/>
      <c r="AAH103" s="978"/>
      <c r="AAI103" s="978"/>
      <c r="AAJ103" s="978"/>
      <c r="AAK103" s="978"/>
      <c r="AAL103" s="978"/>
      <c r="AAM103" s="978"/>
      <c r="AAN103" s="978"/>
      <c r="AAO103" s="978"/>
      <c r="AAP103" s="978"/>
      <c r="AAQ103" s="978"/>
      <c r="AAR103" s="978"/>
      <c r="AAS103" s="978"/>
      <c r="AAT103" s="978"/>
      <c r="AAU103" s="978"/>
      <c r="AAV103" s="978"/>
      <c r="AAW103" s="978"/>
      <c r="AAX103" s="978"/>
      <c r="AAY103" s="978"/>
      <c r="AAZ103" s="978"/>
      <c r="ABA103" s="978"/>
      <c r="ABB103" s="978"/>
      <c r="ABC103" s="978"/>
      <c r="ABD103" s="978"/>
      <c r="ABE103" s="978"/>
      <c r="ABF103" s="978"/>
      <c r="ABG103" s="978"/>
      <c r="ABH103" s="978"/>
      <c r="ABI103" s="978"/>
      <c r="ABJ103" s="978"/>
      <c r="ABK103" s="978"/>
      <c r="ABL103" s="978"/>
      <c r="ABM103" s="978"/>
      <c r="ABN103" s="978"/>
      <c r="ABO103" s="978"/>
      <c r="ABP103" s="978"/>
      <c r="ABQ103" s="978"/>
      <c r="ABR103" s="978"/>
      <c r="ABS103" s="978"/>
      <c r="ABT103" s="978"/>
      <c r="ABU103" s="978"/>
      <c r="ABV103" s="978"/>
      <c r="ABW103" s="978"/>
      <c r="ABX103" s="978"/>
      <c r="ABY103" s="978"/>
      <c r="ABZ103" s="978"/>
      <c r="ACA103" s="978"/>
      <c r="ACB103" s="978"/>
      <c r="ACC103" s="978"/>
      <c r="ACD103" s="978"/>
      <c r="ACE103" s="978"/>
      <c r="ACF103" s="978"/>
      <c r="ACG103" s="978"/>
      <c r="ACH103" s="978"/>
      <c r="ACI103" s="978"/>
      <c r="ACJ103" s="978"/>
      <c r="ACK103" s="978"/>
      <c r="ACL103" s="978"/>
      <c r="ACM103" s="978"/>
      <c r="ACN103" s="978"/>
      <c r="ACO103" s="978"/>
      <c r="ACP103" s="978"/>
      <c r="ACQ103" s="978"/>
      <c r="ACR103" s="978"/>
      <c r="ACS103" s="978"/>
      <c r="ACT103" s="978"/>
      <c r="ACU103" s="978"/>
      <c r="ACV103" s="978"/>
      <c r="ACW103" s="978"/>
      <c r="ACX103" s="978"/>
      <c r="ACY103" s="978"/>
      <c r="ACZ103" s="978"/>
      <c r="ADA103" s="978"/>
      <c r="ADB103" s="978"/>
      <c r="ADC103" s="978"/>
      <c r="ADD103" s="978"/>
      <c r="ADE103" s="978"/>
      <c r="ADF103" s="978"/>
      <c r="ADG103" s="978"/>
      <c r="ADH103" s="978"/>
      <c r="ADI103" s="978"/>
      <c r="ADJ103" s="978"/>
      <c r="ADK103" s="978"/>
      <c r="ADL103" s="978"/>
      <c r="ADM103" s="978"/>
      <c r="ADN103" s="978"/>
      <c r="ADO103" s="978"/>
      <c r="ADP103" s="978"/>
      <c r="ADQ103" s="978"/>
      <c r="ADR103" s="978"/>
      <c r="ADS103" s="978"/>
      <c r="ADT103" s="978"/>
      <c r="ADU103" s="978"/>
      <c r="ADV103" s="978"/>
      <c r="ADW103" s="978"/>
      <c r="ADX103" s="978"/>
      <c r="ADY103" s="978"/>
      <c r="ADZ103" s="978"/>
      <c r="AEA103" s="978"/>
      <c r="AEB103" s="978"/>
      <c r="AEC103" s="978"/>
      <c r="AED103" s="978"/>
      <c r="AEE103" s="978"/>
      <c r="AEF103" s="978"/>
      <c r="AEG103" s="978"/>
      <c r="AEH103" s="978"/>
      <c r="AEI103" s="978"/>
      <c r="AEJ103" s="978"/>
      <c r="AEK103" s="978"/>
      <c r="AEL103" s="978"/>
      <c r="AEM103" s="978"/>
      <c r="AEN103" s="978"/>
      <c r="AEO103" s="978"/>
      <c r="AEP103" s="978"/>
      <c r="AEQ103" s="978"/>
      <c r="AER103" s="978"/>
      <c r="AES103" s="978"/>
      <c r="AET103" s="978"/>
      <c r="AEU103" s="978"/>
      <c r="AEV103" s="978"/>
      <c r="AEW103" s="978"/>
      <c r="AEX103" s="978"/>
      <c r="AEY103" s="978"/>
      <c r="AEZ103" s="978"/>
      <c r="AFA103" s="978"/>
      <c r="AFB103" s="978"/>
      <c r="AFC103" s="978"/>
      <c r="AFD103" s="978"/>
      <c r="AFE103" s="978"/>
      <c r="AFF103" s="978"/>
      <c r="AFG103" s="978"/>
      <c r="AFH103" s="978"/>
      <c r="AFI103" s="978"/>
      <c r="AFJ103" s="978"/>
      <c r="AFK103" s="978"/>
      <c r="AFL103" s="978"/>
      <c r="AFM103" s="978"/>
      <c r="AFN103" s="978"/>
      <c r="AFO103" s="978"/>
      <c r="AFP103" s="978"/>
      <c r="AFQ103" s="978"/>
      <c r="AFR103" s="978"/>
      <c r="AFS103" s="978"/>
      <c r="AFT103" s="978"/>
      <c r="AFU103" s="978"/>
      <c r="AFV103" s="978"/>
      <c r="AFW103" s="978"/>
      <c r="AFX103" s="978"/>
      <c r="AFY103" s="978"/>
      <c r="AFZ103" s="978"/>
      <c r="AGA103" s="978"/>
      <c r="AGB103" s="978"/>
      <c r="AGC103" s="978"/>
      <c r="AGD103" s="978"/>
      <c r="AGE103" s="978"/>
      <c r="AGF103" s="978"/>
      <c r="AGG103" s="978"/>
      <c r="AGH103" s="978"/>
      <c r="AGI103" s="978"/>
      <c r="AGJ103" s="978"/>
      <c r="AGK103" s="978"/>
      <c r="AGL103" s="978"/>
      <c r="AGM103" s="978"/>
      <c r="AGN103" s="978"/>
      <c r="AGO103" s="978"/>
      <c r="AGP103" s="978"/>
      <c r="AGQ103" s="978"/>
      <c r="AGR103" s="978"/>
      <c r="AGS103" s="978"/>
      <c r="AGT103" s="978"/>
      <c r="AGU103" s="978"/>
      <c r="AGV103" s="978"/>
      <c r="AGW103" s="978"/>
      <c r="AGX103" s="978"/>
      <c r="AGY103" s="978"/>
      <c r="AGZ103" s="978"/>
      <c r="AHA103" s="978"/>
      <c r="AHB103" s="978"/>
      <c r="AHC103" s="978"/>
      <c r="AHD103" s="978"/>
      <c r="AHE103" s="978"/>
      <c r="AHF103" s="978"/>
      <c r="AHG103" s="978"/>
      <c r="AHH103" s="978"/>
      <c r="AHI103" s="978"/>
      <c r="AHJ103" s="978"/>
      <c r="AHK103" s="978"/>
      <c r="AHL103" s="978"/>
      <c r="AHM103" s="978"/>
      <c r="AHN103" s="978"/>
      <c r="AHO103" s="978"/>
      <c r="AHP103" s="978"/>
      <c r="AHQ103" s="978"/>
      <c r="AHR103" s="978"/>
      <c r="AHS103" s="978"/>
      <c r="AHT103" s="978"/>
      <c r="AHU103" s="978"/>
      <c r="AHV103" s="978"/>
      <c r="AHW103" s="978"/>
      <c r="AHX103" s="978"/>
      <c r="AHY103" s="978"/>
      <c r="AHZ103" s="978"/>
      <c r="AIA103" s="978"/>
      <c r="AIB103" s="978"/>
      <c r="AIC103" s="978"/>
      <c r="AID103" s="978"/>
      <c r="AIE103" s="978"/>
      <c r="AIF103" s="978"/>
      <c r="AIG103" s="978"/>
      <c r="AIH103" s="978"/>
      <c r="AII103" s="978"/>
      <c r="AIJ103" s="978"/>
      <c r="AIK103" s="978"/>
      <c r="AIL103" s="978"/>
      <c r="AIM103" s="978"/>
      <c r="AIN103" s="978"/>
      <c r="AIO103" s="978"/>
      <c r="AIP103" s="978"/>
      <c r="AIQ103" s="978"/>
      <c r="AIR103" s="978"/>
      <c r="AIS103" s="978"/>
      <c r="AIT103" s="978"/>
      <c r="AIU103" s="978"/>
      <c r="AIV103" s="978"/>
      <c r="AIW103" s="978"/>
      <c r="AIX103" s="978"/>
      <c r="AIY103" s="978"/>
      <c r="AIZ103" s="978"/>
      <c r="AJA103" s="978"/>
      <c r="AJB103" s="978"/>
      <c r="AJC103" s="978"/>
      <c r="AJD103" s="978"/>
      <c r="AJE103" s="978"/>
      <c r="AJF103" s="978"/>
      <c r="AJG103" s="978"/>
      <c r="AJH103" s="978"/>
      <c r="AJI103" s="978"/>
      <c r="AJJ103" s="978"/>
      <c r="AJK103" s="978"/>
      <c r="AJL103" s="978"/>
      <c r="AJM103" s="978"/>
      <c r="AJN103" s="978"/>
      <c r="AJO103" s="978"/>
      <c r="AJP103" s="978"/>
      <c r="AJQ103" s="978"/>
      <c r="AJR103" s="978"/>
      <c r="AJS103" s="978"/>
      <c r="AJT103" s="978"/>
      <c r="AJU103" s="978"/>
      <c r="AJV103" s="978"/>
      <c r="AJW103" s="978"/>
      <c r="AJX103" s="978"/>
      <c r="AJY103" s="978"/>
      <c r="AJZ103" s="978"/>
      <c r="AKA103" s="978"/>
      <c r="AKB103" s="978"/>
      <c r="AKC103" s="978"/>
      <c r="AKD103" s="978"/>
      <c r="AKE103" s="978"/>
      <c r="AKF103" s="978"/>
      <c r="AKG103" s="978"/>
      <c r="AKH103" s="978"/>
      <c r="AKI103" s="978"/>
      <c r="AKJ103" s="978"/>
      <c r="AKK103" s="978"/>
      <c r="AKL103" s="978"/>
      <c r="AKM103" s="978"/>
      <c r="AKN103" s="978"/>
      <c r="AKO103" s="978"/>
      <c r="AKP103" s="978"/>
      <c r="AKQ103" s="978"/>
      <c r="AKR103" s="978"/>
      <c r="AKS103" s="978"/>
      <c r="AKT103" s="978"/>
      <c r="AKU103" s="978"/>
      <c r="AKV103" s="978"/>
      <c r="AKW103" s="978"/>
      <c r="AKX103" s="978"/>
      <c r="AKY103" s="978"/>
      <c r="AKZ103" s="978"/>
      <c r="ALA103" s="978"/>
      <c r="ALB103" s="978"/>
      <c r="ALC103" s="978"/>
      <c r="ALD103" s="978"/>
      <c r="ALE103" s="978"/>
      <c r="ALF103" s="978"/>
      <c r="ALG103" s="978"/>
      <c r="ALH103" s="978"/>
      <c r="ALI103" s="978"/>
      <c r="ALJ103" s="978"/>
      <c r="ALK103" s="978"/>
      <c r="ALL103" s="978"/>
      <c r="ALM103" s="978"/>
      <c r="ALN103" s="978"/>
      <c r="ALO103" s="978"/>
      <c r="ALP103" s="978"/>
      <c r="ALQ103" s="978"/>
      <c r="ALR103" s="978"/>
      <c r="ALS103" s="978"/>
      <c r="ALT103" s="978"/>
      <c r="ALU103" s="978"/>
      <c r="ALV103" s="978"/>
      <c r="ALW103" s="978"/>
      <c r="ALX103" s="978"/>
      <c r="ALY103" s="978"/>
      <c r="ALZ103" s="978"/>
      <c r="AMA103" s="978"/>
      <c r="AMB103" s="978"/>
      <c r="AMC103" s="978"/>
      <c r="AMD103" s="978"/>
      <c r="AME103" s="978"/>
      <c r="AMF103" s="978"/>
      <c r="AMG103" s="978"/>
      <c r="AMH103" s="978"/>
      <c r="AMI103" s="978"/>
      <c r="AMJ103" s="978"/>
      <c r="AMK103" s="978"/>
      <c r="AML103" s="978"/>
      <c r="AMM103" s="978"/>
      <c r="AMN103" s="978"/>
      <c r="AMO103" s="978"/>
      <c r="AMP103" s="978"/>
      <c r="AMQ103" s="978"/>
      <c r="AMR103" s="978"/>
      <c r="AMS103" s="978"/>
      <c r="AMT103" s="978"/>
      <c r="AMU103" s="978"/>
      <c r="AMV103" s="978"/>
      <c r="AMW103" s="978"/>
      <c r="AMX103" s="978"/>
      <c r="AMY103" s="978"/>
      <c r="AMZ103" s="978"/>
      <c r="ANA103" s="978"/>
      <c r="ANB103" s="978"/>
      <c r="ANC103" s="978"/>
      <c r="AND103" s="978"/>
      <c r="ANE103" s="978"/>
      <c r="ANF103" s="978"/>
      <c r="ANG103" s="978"/>
      <c r="ANH103" s="978"/>
      <c r="ANI103" s="978"/>
      <c r="ANJ103" s="978"/>
      <c r="ANK103" s="978"/>
      <c r="ANL103" s="978"/>
      <c r="ANM103" s="978"/>
      <c r="ANN103" s="978"/>
      <c r="ANO103" s="978"/>
      <c r="ANP103" s="978"/>
      <c r="ANQ103" s="978"/>
      <c r="ANR103" s="978"/>
      <c r="ANS103" s="978"/>
      <c r="ANT103" s="978"/>
      <c r="ANU103" s="978"/>
      <c r="ANV103" s="978"/>
      <c r="ANW103" s="978"/>
      <c r="ANX103" s="978"/>
      <c r="ANY103" s="978"/>
      <c r="ANZ103" s="978"/>
      <c r="AOA103" s="978"/>
      <c r="AOB103" s="978"/>
      <c r="AOC103" s="978"/>
      <c r="AOD103" s="978"/>
      <c r="AOE103" s="978"/>
      <c r="AOF103" s="978"/>
      <c r="AOG103" s="978"/>
      <c r="AOH103" s="978"/>
      <c r="AOI103" s="978"/>
      <c r="AOJ103" s="978"/>
      <c r="AOK103" s="978"/>
      <c r="AOL103" s="978"/>
      <c r="AOM103" s="978"/>
      <c r="AON103" s="978"/>
      <c r="AOO103" s="978"/>
      <c r="AOP103" s="978"/>
      <c r="AOQ103" s="978"/>
      <c r="AOR103" s="978"/>
      <c r="AOS103" s="978"/>
      <c r="AOT103" s="978"/>
      <c r="AOU103" s="978"/>
      <c r="AOV103" s="978"/>
      <c r="AOW103" s="978"/>
      <c r="AOX103" s="978"/>
      <c r="AOY103" s="978"/>
      <c r="AOZ103" s="978"/>
      <c r="APA103" s="978"/>
      <c r="APB103" s="978"/>
      <c r="APC103" s="978"/>
      <c r="APD103" s="978"/>
      <c r="APE103" s="978"/>
      <c r="APF103" s="978"/>
      <c r="APG103" s="978"/>
      <c r="APH103" s="978"/>
      <c r="API103" s="978"/>
      <c r="APJ103" s="978"/>
      <c r="APK103" s="978"/>
      <c r="APL103" s="978"/>
      <c r="APM103" s="978"/>
      <c r="APN103" s="978"/>
      <c r="APO103" s="978"/>
      <c r="APP103" s="978"/>
      <c r="APQ103" s="978"/>
      <c r="APR103" s="978"/>
      <c r="APS103" s="978"/>
      <c r="APT103" s="978"/>
      <c r="APU103" s="978"/>
      <c r="APV103" s="978"/>
      <c r="APW103" s="978"/>
      <c r="APX103" s="978"/>
      <c r="APY103" s="978"/>
      <c r="APZ103" s="978"/>
      <c r="AQA103" s="978"/>
      <c r="AQB103" s="978"/>
      <c r="AQC103" s="978"/>
      <c r="AQD103" s="978"/>
      <c r="AQE103" s="978"/>
      <c r="AQF103" s="978"/>
      <c r="AQG103" s="978"/>
      <c r="AQH103" s="978"/>
      <c r="AQI103" s="978"/>
      <c r="AQJ103" s="978"/>
      <c r="AQK103" s="978"/>
      <c r="AQL103" s="978"/>
      <c r="AQM103" s="978"/>
      <c r="AQN103" s="978"/>
      <c r="AQO103" s="978"/>
      <c r="AQP103" s="978"/>
      <c r="AQQ103" s="978"/>
      <c r="AQR103" s="978"/>
      <c r="AQS103" s="978"/>
      <c r="AQT103" s="978"/>
      <c r="AQU103" s="978"/>
      <c r="AQV103" s="978"/>
      <c r="AQW103" s="978"/>
      <c r="AQX103" s="978"/>
      <c r="AQY103" s="978"/>
      <c r="AQZ103" s="978"/>
      <c r="ARA103" s="978"/>
      <c r="ARB103" s="978"/>
      <c r="ARC103" s="978"/>
      <c r="ARD103" s="978"/>
      <c r="ARE103" s="978"/>
      <c r="ARF103" s="978"/>
      <c r="ARG103" s="978"/>
      <c r="ARH103" s="978"/>
      <c r="ARI103" s="978"/>
      <c r="ARJ103" s="978"/>
      <c r="ARK103" s="978"/>
      <c r="ARL103" s="978"/>
      <c r="ARM103" s="978"/>
      <c r="ARN103" s="978"/>
      <c r="ARO103" s="978"/>
      <c r="ARP103" s="978"/>
      <c r="ARQ103" s="978"/>
      <c r="ARR103" s="978"/>
      <c r="ARS103" s="978"/>
      <c r="ART103" s="978"/>
      <c r="ARU103" s="978"/>
      <c r="ARV103" s="978"/>
      <c r="ARW103" s="978"/>
      <c r="ARX103" s="978"/>
      <c r="ARY103" s="978"/>
      <c r="ARZ103" s="978"/>
      <c r="ASA103" s="978"/>
      <c r="ASB103" s="978"/>
      <c r="ASC103" s="978"/>
      <c r="ASD103" s="978"/>
      <c r="ASE103" s="978"/>
      <c r="ASF103" s="978"/>
      <c r="ASG103" s="978"/>
      <c r="ASH103" s="978"/>
      <c r="ASI103" s="978"/>
      <c r="ASJ103" s="978"/>
      <c r="ASK103" s="978"/>
      <c r="ASL103" s="978"/>
      <c r="ASM103" s="978"/>
      <c r="ASN103" s="978"/>
      <c r="ASO103" s="978"/>
      <c r="ASP103" s="978"/>
      <c r="ASQ103" s="978"/>
      <c r="ASR103" s="978"/>
      <c r="ASS103" s="978"/>
      <c r="AST103" s="978"/>
      <c r="ASU103" s="978"/>
      <c r="ASV103" s="978"/>
      <c r="ASW103" s="978"/>
      <c r="ASX103" s="978"/>
      <c r="ASY103" s="978"/>
      <c r="ASZ103" s="978"/>
      <c r="ATA103" s="978"/>
      <c r="ATB103" s="978"/>
      <c r="ATC103" s="978"/>
      <c r="ATD103" s="978"/>
      <c r="ATE103" s="978"/>
      <c r="ATF103" s="978"/>
      <c r="ATG103" s="978"/>
      <c r="ATH103" s="978"/>
      <c r="ATI103" s="978"/>
      <c r="ATJ103" s="978"/>
      <c r="ATK103" s="978"/>
      <c r="ATL103" s="978"/>
      <c r="ATM103" s="978"/>
      <c r="ATN103" s="978"/>
      <c r="ATO103" s="978"/>
      <c r="ATP103" s="978"/>
      <c r="ATQ103" s="978"/>
      <c r="ATR103" s="978"/>
      <c r="ATS103" s="978"/>
      <c r="ATT103" s="978"/>
      <c r="ATU103" s="978"/>
      <c r="ATV103" s="978"/>
      <c r="ATW103" s="978"/>
      <c r="ATX103" s="978"/>
      <c r="ATY103" s="978"/>
      <c r="ATZ103" s="978"/>
      <c r="AUA103" s="978"/>
      <c r="AUB103" s="978"/>
      <c r="AUC103" s="978"/>
      <c r="AUD103" s="978"/>
      <c r="AUE103" s="978"/>
      <c r="AUF103" s="978"/>
      <c r="AUG103" s="978"/>
      <c r="AUH103" s="978"/>
      <c r="AUI103" s="978"/>
      <c r="AUJ103" s="978"/>
      <c r="AUK103" s="978"/>
      <c r="AUL103" s="978"/>
      <c r="AUM103" s="978"/>
      <c r="AUN103" s="978"/>
      <c r="AUO103" s="978"/>
      <c r="AUP103" s="978"/>
      <c r="AUQ103" s="978"/>
      <c r="AUR103" s="978"/>
      <c r="AUS103" s="978"/>
      <c r="AUT103" s="978"/>
      <c r="AUU103" s="978"/>
      <c r="AUV103" s="978"/>
      <c r="AUW103" s="978"/>
      <c r="AUX103" s="978"/>
      <c r="AUY103" s="978"/>
      <c r="AUZ103" s="978"/>
      <c r="AVA103" s="978"/>
      <c r="AVB103" s="978"/>
      <c r="AVC103" s="978"/>
      <c r="AVD103" s="978"/>
      <c r="AVE103" s="978"/>
      <c r="AVF103" s="978"/>
      <c r="AVG103" s="978"/>
      <c r="AVH103" s="978"/>
      <c r="AVI103" s="978"/>
      <c r="AVJ103" s="978"/>
      <c r="AVK103" s="978"/>
      <c r="AVL103" s="978"/>
      <c r="AVM103" s="978"/>
      <c r="AVN103" s="978"/>
      <c r="AVO103" s="978"/>
      <c r="AVP103" s="978"/>
      <c r="AVQ103" s="978"/>
      <c r="AVR103" s="978"/>
      <c r="AVS103" s="978"/>
      <c r="AVT103" s="978"/>
      <c r="AVU103" s="978"/>
      <c r="AVV103" s="978"/>
      <c r="AVW103" s="978"/>
      <c r="AVX103" s="978"/>
      <c r="AVY103" s="978"/>
      <c r="AVZ103" s="978"/>
      <c r="AWA103" s="978"/>
      <c r="AWB103" s="978"/>
      <c r="AWC103" s="978"/>
      <c r="AWD103" s="978"/>
      <c r="AWE103" s="978"/>
      <c r="AWF103" s="978"/>
      <c r="AWG103" s="978"/>
      <c r="AWH103" s="978"/>
      <c r="AWI103" s="978"/>
      <c r="AWJ103" s="978"/>
      <c r="AWK103" s="978"/>
      <c r="AWL103" s="978"/>
      <c r="AWM103" s="978"/>
      <c r="AWN103" s="978"/>
      <c r="AWO103" s="978"/>
      <c r="AWP103" s="978"/>
      <c r="AWQ103" s="978"/>
      <c r="AWR103" s="978"/>
      <c r="AWS103" s="978"/>
      <c r="AWT103" s="978"/>
      <c r="AWU103" s="978"/>
      <c r="AWV103" s="978"/>
      <c r="AWW103" s="978"/>
      <c r="AWX103" s="978"/>
      <c r="AWY103" s="978"/>
      <c r="AWZ103" s="978"/>
      <c r="AXA103" s="978"/>
      <c r="AXB103" s="978"/>
      <c r="AXC103" s="978"/>
      <c r="AXD103" s="978"/>
      <c r="AXE103" s="978"/>
      <c r="AXF103" s="978"/>
      <c r="AXG103" s="978"/>
      <c r="AXH103" s="978"/>
      <c r="AXI103" s="978"/>
      <c r="AXJ103" s="978"/>
      <c r="AXK103" s="978"/>
      <c r="AXL103" s="978"/>
      <c r="AXM103" s="978"/>
      <c r="AXN103" s="978"/>
      <c r="AXO103" s="978"/>
      <c r="AXP103" s="978"/>
      <c r="AXQ103" s="978"/>
      <c r="AXR103" s="978"/>
      <c r="AXS103" s="978"/>
      <c r="AXT103" s="978"/>
      <c r="AXU103" s="978"/>
      <c r="AXV103" s="978"/>
      <c r="AXW103" s="978"/>
      <c r="AXX103" s="978"/>
      <c r="AXY103" s="978"/>
      <c r="AXZ103" s="978"/>
      <c r="AYA103" s="978"/>
      <c r="AYB103" s="978"/>
      <c r="AYC103" s="978"/>
      <c r="AYD103" s="978"/>
      <c r="AYE103" s="978"/>
      <c r="AYF103" s="978"/>
      <c r="AYG103" s="978"/>
      <c r="AYH103" s="978"/>
      <c r="AYI103" s="978"/>
      <c r="AYJ103" s="978"/>
      <c r="AYK103" s="978"/>
      <c r="AYL103" s="978"/>
      <c r="AYM103" s="978"/>
      <c r="AYN103" s="978"/>
      <c r="AYO103" s="978"/>
      <c r="AYP103" s="978"/>
      <c r="AYQ103" s="978"/>
      <c r="AYR103" s="978"/>
      <c r="AYS103" s="978"/>
      <c r="AYT103" s="978"/>
      <c r="AYU103" s="978"/>
      <c r="AYV103" s="978"/>
      <c r="AYW103" s="978"/>
      <c r="AYX103" s="978"/>
      <c r="AYY103" s="978"/>
      <c r="AYZ103" s="978"/>
      <c r="AZA103" s="978"/>
      <c r="AZB103" s="978"/>
      <c r="AZC103" s="978"/>
      <c r="AZD103" s="978"/>
      <c r="AZE103" s="978"/>
      <c r="AZF103" s="978"/>
      <c r="AZG103" s="978"/>
      <c r="AZH103" s="978"/>
      <c r="AZI103" s="978"/>
      <c r="AZJ103" s="978"/>
      <c r="AZK103" s="978"/>
      <c r="AZL103" s="978"/>
      <c r="AZM103" s="978"/>
      <c r="AZN103" s="978"/>
      <c r="AZO103" s="978"/>
      <c r="AZP103" s="978"/>
      <c r="AZQ103" s="978"/>
      <c r="AZR103" s="978"/>
      <c r="AZS103" s="978"/>
      <c r="AZT103" s="978"/>
      <c r="AZU103" s="978"/>
      <c r="AZV103" s="978"/>
      <c r="AZW103" s="978"/>
      <c r="AZX103" s="978"/>
      <c r="AZY103" s="978"/>
      <c r="AZZ103" s="978"/>
      <c r="BAA103" s="978"/>
      <c r="BAB103" s="978"/>
      <c r="BAC103" s="978"/>
      <c r="BAD103" s="978"/>
      <c r="BAE103" s="978"/>
      <c r="BAF103" s="978"/>
      <c r="BAG103" s="978"/>
      <c r="BAH103" s="978"/>
      <c r="BAI103" s="978"/>
      <c r="BAJ103" s="978"/>
      <c r="BAK103" s="978"/>
      <c r="BAL103" s="978"/>
      <c r="BAM103" s="978"/>
      <c r="BAN103" s="978"/>
      <c r="BAO103" s="978"/>
      <c r="BAP103" s="978"/>
      <c r="BAQ103" s="978"/>
      <c r="BAR103" s="978"/>
      <c r="BAS103" s="978"/>
      <c r="BAT103" s="978"/>
      <c r="BAU103" s="978"/>
      <c r="BAV103" s="978"/>
      <c r="BAW103" s="978"/>
      <c r="BAX103" s="978"/>
      <c r="BAY103" s="978"/>
      <c r="BAZ103" s="978"/>
      <c r="BBA103" s="978"/>
      <c r="BBB103" s="978"/>
      <c r="BBC103" s="978"/>
      <c r="BBD103" s="978"/>
      <c r="BBE103" s="978"/>
      <c r="BBF103" s="978"/>
      <c r="BBG103" s="978"/>
      <c r="BBH103" s="978"/>
      <c r="BBI103" s="978"/>
      <c r="BBJ103" s="978"/>
      <c r="BBK103" s="978"/>
      <c r="BBL103" s="978"/>
      <c r="BBM103" s="978"/>
      <c r="BBN103" s="978"/>
      <c r="BBO103" s="978"/>
      <c r="BBP103" s="978"/>
      <c r="BBQ103" s="978"/>
      <c r="BBR103" s="978"/>
      <c r="BBS103" s="978"/>
      <c r="BBT103" s="978"/>
      <c r="BBU103" s="978"/>
      <c r="BBV103" s="978"/>
      <c r="BBW103" s="978"/>
      <c r="BBX103" s="978"/>
      <c r="BBY103" s="978"/>
      <c r="BBZ103" s="978"/>
      <c r="BCA103" s="978"/>
      <c r="BCB103" s="978"/>
      <c r="BCC103" s="978"/>
      <c r="BCD103" s="978"/>
      <c r="BCE103" s="978"/>
      <c r="BCF103" s="978"/>
      <c r="BCG103" s="978"/>
      <c r="BCH103" s="978"/>
      <c r="BCI103" s="978"/>
      <c r="BCJ103" s="978"/>
      <c r="BCK103" s="978"/>
      <c r="BCL103" s="978"/>
      <c r="BCM103" s="978"/>
      <c r="BCN103" s="978"/>
      <c r="BCO103" s="978"/>
      <c r="BCP103" s="978"/>
      <c r="BCQ103" s="978"/>
      <c r="BCR103" s="978"/>
      <c r="BCS103" s="978"/>
      <c r="BCT103" s="978"/>
      <c r="BCU103" s="978"/>
      <c r="BCV103" s="978"/>
      <c r="BCW103" s="978"/>
      <c r="BCX103" s="978"/>
      <c r="BCY103" s="978"/>
      <c r="BCZ103" s="978"/>
      <c r="BDA103" s="978"/>
      <c r="BDB103" s="978"/>
      <c r="BDC103" s="978"/>
      <c r="BDD103" s="978"/>
      <c r="BDE103" s="978"/>
      <c r="BDF103" s="978"/>
      <c r="BDG103" s="978"/>
      <c r="BDH103" s="978"/>
      <c r="BDI103" s="978"/>
      <c r="BDJ103" s="978"/>
      <c r="BDK103" s="978"/>
      <c r="BDL103" s="978"/>
      <c r="BDM103" s="978"/>
      <c r="BDN103" s="978"/>
      <c r="BDO103" s="978"/>
      <c r="BDP103" s="978"/>
      <c r="BDQ103" s="978"/>
      <c r="BDR103" s="978"/>
      <c r="BDS103" s="978"/>
      <c r="BDT103" s="978"/>
      <c r="BDU103" s="978"/>
      <c r="BDV103" s="978"/>
      <c r="BDW103" s="978"/>
      <c r="BDX103" s="978"/>
      <c r="BDY103" s="978"/>
      <c r="BDZ103" s="978"/>
      <c r="BEA103" s="978"/>
      <c r="BEB103" s="978"/>
      <c r="BEC103" s="978"/>
      <c r="BED103" s="978"/>
      <c r="BEE103" s="978"/>
      <c r="BEF103" s="978"/>
      <c r="BEG103" s="978"/>
      <c r="BEH103" s="978"/>
      <c r="BEI103" s="978"/>
      <c r="BEJ103" s="978"/>
      <c r="BEK103" s="978"/>
      <c r="BEL103" s="978"/>
      <c r="BEM103" s="978"/>
      <c r="BEN103" s="978"/>
      <c r="BEO103" s="978"/>
      <c r="BEP103" s="978"/>
      <c r="BEQ103" s="978"/>
      <c r="BER103" s="978"/>
      <c r="BES103" s="978"/>
      <c r="BET103" s="978"/>
      <c r="BEU103" s="978"/>
      <c r="BEV103" s="978"/>
      <c r="BEW103" s="978"/>
      <c r="BEX103" s="978"/>
      <c r="BEY103" s="978"/>
      <c r="BEZ103" s="978"/>
      <c r="BFA103" s="978"/>
      <c r="BFB103" s="978"/>
      <c r="BFC103" s="978"/>
      <c r="BFD103" s="978"/>
      <c r="BFE103" s="978"/>
      <c r="BFF103" s="978"/>
      <c r="BFG103" s="978"/>
      <c r="BFH103" s="978"/>
      <c r="BFI103" s="978"/>
      <c r="BFJ103" s="978"/>
      <c r="BFK103" s="978"/>
      <c r="BFL103" s="978"/>
      <c r="BFM103" s="978"/>
      <c r="BFN103" s="978"/>
      <c r="BFO103" s="978"/>
      <c r="BFP103" s="978"/>
      <c r="BFQ103" s="978"/>
      <c r="BFR103" s="978"/>
      <c r="BFS103" s="978"/>
      <c r="BFT103" s="978"/>
      <c r="BFU103" s="978"/>
      <c r="BFV103" s="978"/>
      <c r="BFW103" s="978"/>
      <c r="BFX103" s="978"/>
      <c r="BFY103" s="978"/>
      <c r="BFZ103" s="978"/>
      <c r="BGA103" s="978"/>
      <c r="BGB103" s="978"/>
      <c r="BGC103" s="978"/>
      <c r="BGD103" s="978"/>
      <c r="BGE103" s="978"/>
      <c r="BGF103" s="978"/>
      <c r="BGG103" s="978"/>
      <c r="BGH103" s="978"/>
      <c r="BGI103" s="978"/>
      <c r="BGJ103" s="978"/>
      <c r="BGK103" s="978"/>
      <c r="BGL103" s="978"/>
      <c r="BGM103" s="978"/>
      <c r="BGN103" s="978"/>
      <c r="BGO103" s="978"/>
      <c r="BGP103" s="978"/>
      <c r="BGQ103" s="978"/>
      <c r="BGR103" s="978"/>
      <c r="BGS103" s="978"/>
      <c r="BGT103" s="978"/>
      <c r="BGU103" s="978"/>
      <c r="BGV103" s="978"/>
      <c r="BGW103" s="978"/>
      <c r="BGX103" s="978"/>
      <c r="BGY103" s="978"/>
      <c r="BGZ103" s="978"/>
      <c r="BHA103" s="978"/>
      <c r="BHB103" s="978"/>
      <c r="BHC103" s="978"/>
      <c r="BHD103" s="978"/>
      <c r="BHE103" s="978"/>
      <c r="BHF103" s="978"/>
      <c r="BHG103" s="978"/>
      <c r="BHH103" s="978"/>
      <c r="BHI103" s="978"/>
      <c r="BHJ103" s="978"/>
      <c r="BHK103" s="978"/>
      <c r="BHL103" s="978"/>
      <c r="BHM103" s="978"/>
      <c r="BHN103" s="978"/>
      <c r="BHO103" s="978"/>
      <c r="BHP103" s="978"/>
      <c r="BHQ103" s="978"/>
      <c r="BHR103" s="978"/>
      <c r="BHS103" s="978"/>
      <c r="BHT103" s="978"/>
      <c r="BHU103" s="978"/>
      <c r="BHV103" s="978"/>
      <c r="BHW103" s="978"/>
      <c r="BHX103" s="978"/>
      <c r="BHY103" s="978"/>
      <c r="BHZ103" s="978"/>
      <c r="BIA103" s="978"/>
      <c r="BIB103" s="978"/>
      <c r="BIC103" s="978"/>
      <c r="BID103" s="978"/>
      <c r="BIE103" s="978"/>
      <c r="BIF103" s="978"/>
      <c r="BIG103" s="978"/>
      <c r="BIH103" s="978"/>
      <c r="BII103" s="978"/>
      <c r="BIJ103" s="978"/>
      <c r="BIK103" s="978"/>
      <c r="BIL103" s="978"/>
      <c r="BIM103" s="978"/>
      <c r="BIN103" s="978"/>
      <c r="BIO103" s="978"/>
      <c r="BIP103" s="978"/>
      <c r="BIQ103" s="978"/>
      <c r="BIR103" s="978"/>
      <c r="BIS103" s="978"/>
      <c r="BIT103" s="978"/>
      <c r="BIU103" s="978"/>
      <c r="BIV103" s="978"/>
      <c r="BIW103" s="978"/>
      <c r="BIX103" s="978"/>
      <c r="BIY103" s="978"/>
      <c r="BIZ103" s="978"/>
      <c r="BJA103" s="978"/>
      <c r="BJB103" s="978"/>
      <c r="BJC103" s="978"/>
      <c r="BJD103" s="978"/>
      <c r="BJE103" s="978"/>
      <c r="BJF103" s="978"/>
      <c r="BJG103" s="978"/>
      <c r="BJH103" s="978"/>
      <c r="BJI103" s="978"/>
      <c r="BJJ103" s="978"/>
      <c r="BJK103" s="978"/>
      <c r="BJL103" s="978"/>
      <c r="BJM103" s="978"/>
      <c r="BJN103" s="978"/>
      <c r="BJO103" s="978"/>
      <c r="BJP103" s="978"/>
      <c r="BJQ103" s="978"/>
      <c r="BJR103" s="978"/>
      <c r="BJS103" s="978"/>
      <c r="BJT103" s="978"/>
      <c r="BJU103" s="978"/>
      <c r="BJV103" s="978"/>
      <c r="BJW103" s="978"/>
      <c r="BJX103" s="978"/>
      <c r="BJY103" s="978"/>
      <c r="BJZ103" s="978"/>
      <c r="BKA103" s="978"/>
      <c r="BKB103" s="978"/>
      <c r="BKC103" s="978"/>
      <c r="BKD103" s="978"/>
      <c r="BKE103" s="978"/>
      <c r="BKF103" s="978"/>
      <c r="BKG103" s="978"/>
      <c r="BKH103" s="978"/>
      <c r="BKI103" s="978"/>
      <c r="BKJ103" s="978"/>
      <c r="BKK103" s="978"/>
      <c r="BKL103" s="978"/>
      <c r="BKM103" s="978"/>
      <c r="BKN103" s="978"/>
      <c r="BKO103" s="978"/>
      <c r="BKP103" s="978"/>
      <c r="BKQ103" s="978"/>
      <c r="BKR103" s="978"/>
      <c r="BKS103" s="978"/>
      <c r="BKT103" s="978"/>
      <c r="BKU103" s="978"/>
      <c r="BKV103" s="978"/>
      <c r="BKW103" s="978"/>
      <c r="BKX103" s="978"/>
      <c r="BKY103" s="978"/>
      <c r="BKZ103" s="978"/>
      <c r="BLA103" s="978"/>
      <c r="BLB103" s="978"/>
      <c r="BLC103" s="978"/>
      <c r="BLD103" s="978"/>
      <c r="BLE103" s="978"/>
      <c r="BLF103" s="978"/>
      <c r="BLG103" s="978"/>
      <c r="BLH103" s="978"/>
      <c r="BLI103" s="978"/>
      <c r="BLJ103" s="978"/>
      <c r="BLK103" s="978"/>
      <c r="BLL103" s="978"/>
      <c r="BLM103" s="978"/>
      <c r="BLN103" s="978"/>
      <c r="BLO103" s="978"/>
      <c r="BLP103" s="978"/>
      <c r="BLQ103" s="978"/>
      <c r="BLR103" s="978"/>
      <c r="BLS103" s="978"/>
      <c r="BLT103" s="978"/>
      <c r="BLU103" s="978"/>
      <c r="BLV103" s="978"/>
      <c r="BLW103" s="978"/>
      <c r="BLX103" s="978"/>
      <c r="BLY103" s="978"/>
      <c r="BLZ103" s="978"/>
      <c r="BMA103" s="978"/>
      <c r="BMB103" s="978"/>
      <c r="BMC103" s="978"/>
      <c r="BMD103" s="978"/>
      <c r="BME103" s="978"/>
      <c r="BMF103" s="978"/>
      <c r="BMG103" s="978"/>
      <c r="BMH103" s="978"/>
      <c r="BMI103" s="978"/>
      <c r="BMJ103" s="978"/>
      <c r="BMK103" s="978"/>
      <c r="BML103" s="978"/>
      <c r="BMM103" s="978"/>
      <c r="BMN103" s="978"/>
      <c r="BMO103" s="978"/>
      <c r="BMP103" s="978"/>
      <c r="BMQ103" s="978"/>
      <c r="BMR103" s="978"/>
      <c r="BMS103" s="978"/>
      <c r="BMT103" s="978"/>
      <c r="BMU103" s="978"/>
      <c r="BMV103" s="978"/>
      <c r="BMW103" s="978"/>
      <c r="BMX103" s="978"/>
      <c r="BMY103" s="978"/>
      <c r="BMZ103" s="978"/>
      <c r="BNA103" s="978"/>
      <c r="BNB103" s="978"/>
      <c r="BNC103" s="978"/>
      <c r="BND103" s="978"/>
      <c r="BNE103" s="978"/>
      <c r="BNF103" s="978"/>
      <c r="BNG103" s="978"/>
      <c r="BNH103" s="978"/>
      <c r="BNI103" s="978"/>
      <c r="BNJ103" s="978"/>
      <c r="BNK103" s="978"/>
      <c r="BNL103" s="978"/>
      <c r="BNM103" s="978"/>
      <c r="BNN103" s="978"/>
      <c r="BNO103" s="978"/>
      <c r="BNP103" s="978"/>
      <c r="BNQ103" s="978"/>
      <c r="BNR103" s="978"/>
      <c r="BNS103" s="978"/>
      <c r="BNT103" s="978"/>
      <c r="BNU103" s="978"/>
      <c r="BNV103" s="978"/>
      <c r="BNW103" s="978"/>
      <c r="BNX103" s="978"/>
      <c r="BNY103" s="978"/>
      <c r="BNZ103" s="978"/>
      <c r="BOA103" s="978"/>
      <c r="BOB103" s="978"/>
      <c r="BOC103" s="978"/>
      <c r="BOD103" s="978"/>
      <c r="BOE103" s="978"/>
      <c r="BOF103" s="978"/>
      <c r="BOG103" s="978"/>
      <c r="BOH103" s="978"/>
      <c r="BOI103" s="978"/>
      <c r="BOJ103" s="978"/>
      <c r="BOK103" s="978"/>
      <c r="BOL103" s="978"/>
      <c r="BOM103" s="978"/>
      <c r="BON103" s="978"/>
      <c r="BOO103" s="978"/>
      <c r="BOP103" s="978"/>
      <c r="BOQ103" s="978"/>
      <c r="BOR103" s="978"/>
      <c r="BOS103" s="978"/>
      <c r="BOT103" s="978"/>
      <c r="BOU103" s="978"/>
      <c r="BOV103" s="978"/>
      <c r="BOW103" s="978"/>
      <c r="BOX103" s="978"/>
      <c r="BOY103" s="978"/>
      <c r="BOZ103" s="978"/>
      <c r="BPA103" s="978"/>
      <c r="BPB103" s="978"/>
      <c r="BPC103" s="978"/>
      <c r="BPD103" s="978"/>
      <c r="BPE103" s="978"/>
      <c r="BPF103" s="978"/>
      <c r="BPG103" s="978"/>
      <c r="BPH103" s="978"/>
      <c r="BPI103" s="978"/>
      <c r="BPJ103" s="978"/>
      <c r="BPK103" s="978"/>
      <c r="BPL103" s="978"/>
      <c r="BPM103" s="978"/>
      <c r="BPN103" s="978"/>
      <c r="BPO103" s="978"/>
      <c r="BPP103" s="978"/>
      <c r="BPQ103" s="978"/>
      <c r="BPR103" s="978"/>
      <c r="BPS103" s="978"/>
      <c r="BPT103" s="978"/>
      <c r="BPU103" s="978"/>
      <c r="BPV103" s="978"/>
      <c r="BPW103" s="978"/>
      <c r="BPX103" s="978"/>
      <c r="BPY103" s="978"/>
      <c r="BPZ103" s="978"/>
      <c r="BQA103" s="978"/>
      <c r="BQB103" s="978"/>
      <c r="BQC103" s="978"/>
      <c r="BQD103" s="978"/>
      <c r="BQE103" s="978"/>
      <c r="BQF103" s="978"/>
      <c r="BQG103" s="978"/>
      <c r="BQH103" s="978"/>
      <c r="BQI103" s="978"/>
      <c r="BQJ103" s="978"/>
      <c r="BQK103" s="978"/>
      <c r="BQL103" s="978"/>
      <c r="BQM103" s="978"/>
      <c r="BQN103" s="978"/>
      <c r="BQO103" s="978"/>
      <c r="BQP103" s="978"/>
      <c r="BQQ103" s="978"/>
      <c r="BQR103" s="978"/>
      <c r="BQS103" s="978"/>
      <c r="BQT103" s="978"/>
      <c r="BQU103" s="978"/>
      <c r="BQV103" s="978"/>
      <c r="BQW103" s="978"/>
      <c r="BQX103" s="978"/>
      <c r="BQY103" s="978"/>
      <c r="BQZ103" s="978"/>
      <c r="BRA103" s="978"/>
      <c r="BRB103" s="978"/>
      <c r="BRC103" s="978"/>
      <c r="BRD103" s="978"/>
      <c r="BRE103" s="978"/>
      <c r="BRF103" s="978"/>
      <c r="BRG103" s="978"/>
      <c r="BRH103" s="978"/>
      <c r="BRI103" s="978"/>
      <c r="BRJ103" s="978"/>
      <c r="BRK103" s="978"/>
      <c r="BRL103" s="978"/>
      <c r="BRM103" s="978"/>
      <c r="BRN103" s="978"/>
      <c r="BRO103" s="978"/>
      <c r="BRP103" s="978"/>
      <c r="BRQ103" s="978"/>
      <c r="BRR103" s="978"/>
      <c r="BRS103" s="978"/>
      <c r="BRT103" s="978"/>
      <c r="BRU103" s="978"/>
      <c r="BRV103" s="978"/>
      <c r="BRW103" s="978"/>
      <c r="BRX103" s="978"/>
      <c r="BRY103" s="978"/>
      <c r="BRZ103" s="978"/>
      <c r="BSA103" s="978"/>
      <c r="BSB103" s="978"/>
      <c r="BSC103" s="978"/>
      <c r="BSD103" s="978"/>
      <c r="BSE103" s="978"/>
      <c r="BSF103" s="978"/>
      <c r="BSG103" s="978"/>
      <c r="BSH103" s="978"/>
      <c r="BSI103" s="978"/>
      <c r="BSJ103" s="978"/>
      <c r="BSK103" s="978"/>
      <c r="BSL103" s="978"/>
      <c r="BSM103" s="978"/>
      <c r="BSN103" s="978"/>
      <c r="BSO103" s="978"/>
      <c r="BSP103" s="978"/>
      <c r="BSQ103" s="978"/>
      <c r="BSR103" s="978"/>
      <c r="BSS103" s="978"/>
      <c r="BST103" s="978"/>
      <c r="BSU103" s="978"/>
      <c r="BSV103" s="978"/>
      <c r="BSW103" s="978"/>
      <c r="BSX103" s="978"/>
      <c r="BSY103" s="978"/>
      <c r="BSZ103" s="978"/>
      <c r="BTA103" s="978"/>
      <c r="BTB103" s="978"/>
      <c r="BTC103" s="978"/>
      <c r="BTD103" s="978"/>
      <c r="BTE103" s="978"/>
      <c r="BTF103" s="978"/>
      <c r="BTG103" s="978"/>
      <c r="BTH103" s="978"/>
      <c r="BTI103" s="978"/>
      <c r="BTJ103" s="978"/>
      <c r="BTK103" s="978"/>
      <c r="BTL103" s="978"/>
      <c r="BTM103" s="978"/>
      <c r="BTN103" s="978"/>
      <c r="BTO103" s="978"/>
      <c r="BTP103" s="978"/>
      <c r="BTQ103" s="978"/>
      <c r="BTR103" s="978"/>
      <c r="BTS103" s="978"/>
      <c r="BTT103" s="978"/>
      <c r="BTU103" s="978"/>
      <c r="BTV103" s="978"/>
      <c r="BTW103" s="978"/>
      <c r="BTX103" s="978"/>
      <c r="BTY103" s="978"/>
      <c r="BTZ103" s="978"/>
      <c r="BUA103" s="978"/>
      <c r="BUB103" s="978"/>
      <c r="BUC103" s="978"/>
      <c r="BUD103" s="978"/>
      <c r="BUE103" s="978"/>
      <c r="BUF103" s="978"/>
      <c r="BUG103" s="978"/>
      <c r="BUH103" s="978"/>
      <c r="BUI103" s="978"/>
      <c r="BUJ103" s="978"/>
      <c r="BUK103" s="978"/>
      <c r="BUL103" s="978"/>
      <c r="BUM103" s="978"/>
      <c r="BUN103" s="978"/>
      <c r="BUO103" s="978"/>
      <c r="BUP103" s="978"/>
      <c r="BUQ103" s="978"/>
      <c r="BUR103" s="978"/>
      <c r="BUS103" s="978"/>
      <c r="BUT103" s="978"/>
      <c r="BUU103" s="978"/>
      <c r="BUV103" s="978"/>
      <c r="BUW103" s="978"/>
      <c r="BUX103" s="978"/>
      <c r="BUY103" s="978"/>
      <c r="BUZ103" s="978"/>
      <c r="BVA103" s="978"/>
      <c r="BVB103" s="978"/>
      <c r="BVC103" s="978"/>
      <c r="BVD103" s="978"/>
      <c r="BVE103" s="978"/>
      <c r="BVF103" s="978"/>
      <c r="BVG103" s="978"/>
      <c r="BVH103" s="978"/>
      <c r="BVI103" s="978"/>
      <c r="BVJ103" s="978"/>
      <c r="BVK103" s="978"/>
      <c r="BVL103" s="978"/>
      <c r="BVM103" s="978"/>
      <c r="BVN103" s="978"/>
      <c r="BVO103" s="978"/>
      <c r="BVP103" s="978"/>
      <c r="BVQ103" s="978"/>
      <c r="BVR103" s="978"/>
      <c r="BVS103" s="978"/>
      <c r="BVT103" s="978"/>
      <c r="BVU103" s="978"/>
      <c r="BVV103" s="978"/>
      <c r="BVW103" s="978"/>
      <c r="BVX103" s="978"/>
      <c r="BVY103" s="978"/>
      <c r="BVZ103" s="978"/>
      <c r="BWA103" s="978"/>
      <c r="BWB103" s="978"/>
      <c r="BWC103" s="978"/>
      <c r="BWD103" s="978"/>
      <c r="BWE103" s="978"/>
      <c r="BWF103" s="978"/>
      <c r="BWG103" s="978"/>
      <c r="BWH103" s="978"/>
      <c r="BWI103" s="978"/>
      <c r="BWJ103" s="978"/>
      <c r="BWK103" s="978"/>
      <c r="BWL103" s="978"/>
      <c r="BWM103" s="978"/>
      <c r="BWN103" s="978"/>
      <c r="BWO103" s="978"/>
      <c r="BWP103" s="978"/>
      <c r="BWQ103" s="978"/>
      <c r="BWR103" s="978"/>
      <c r="BWS103" s="978"/>
      <c r="BWT103" s="978"/>
      <c r="BWU103" s="978"/>
      <c r="BWV103" s="978"/>
      <c r="BWW103" s="978"/>
      <c r="BWX103" s="978"/>
      <c r="BWY103" s="978"/>
      <c r="BWZ103" s="978"/>
      <c r="BXA103" s="978"/>
      <c r="BXB103" s="978"/>
      <c r="BXC103" s="978"/>
      <c r="BXD103" s="978"/>
      <c r="BXE103" s="978"/>
      <c r="BXF103" s="978"/>
      <c r="BXG103" s="978"/>
      <c r="BXH103" s="978"/>
      <c r="BXI103" s="978"/>
      <c r="BXJ103" s="978"/>
      <c r="BXK103" s="978"/>
      <c r="BXL103" s="978"/>
      <c r="BXM103" s="978"/>
      <c r="BXN103" s="978"/>
      <c r="BXO103" s="978"/>
      <c r="BXP103" s="978"/>
      <c r="BXQ103" s="978"/>
      <c r="BXR103" s="978"/>
      <c r="BXS103" s="978"/>
      <c r="BXT103" s="978"/>
      <c r="BXU103" s="978"/>
      <c r="BXV103" s="978"/>
      <c r="BXW103" s="978"/>
      <c r="BXX103" s="978"/>
      <c r="BXY103" s="978"/>
      <c r="BXZ103" s="978"/>
      <c r="BYA103" s="978"/>
      <c r="BYB103" s="978"/>
      <c r="BYC103" s="978"/>
      <c r="BYD103" s="978"/>
      <c r="BYE103" s="978"/>
      <c r="BYF103" s="978"/>
      <c r="BYG103" s="978"/>
      <c r="BYH103" s="978"/>
      <c r="BYI103" s="978"/>
      <c r="BYJ103" s="978"/>
      <c r="BYK103" s="978"/>
      <c r="BYL103" s="978"/>
      <c r="BYM103" s="978"/>
      <c r="BYN103" s="978"/>
      <c r="BYO103" s="978"/>
      <c r="BYP103" s="978"/>
      <c r="BYQ103" s="978"/>
      <c r="BYR103" s="978"/>
      <c r="BYS103" s="978"/>
      <c r="BYT103" s="978"/>
      <c r="BYU103" s="978"/>
      <c r="BYV103" s="978"/>
      <c r="BYW103" s="978"/>
      <c r="BYX103" s="978"/>
      <c r="BYY103" s="978"/>
      <c r="BYZ103" s="978"/>
      <c r="BZA103" s="978"/>
      <c r="BZB103" s="978"/>
      <c r="BZC103" s="978"/>
      <c r="BZD103" s="978"/>
      <c r="BZE103" s="978"/>
      <c r="BZF103" s="978"/>
      <c r="BZG103" s="978"/>
      <c r="BZH103" s="978"/>
      <c r="BZI103" s="978"/>
      <c r="BZJ103" s="978"/>
      <c r="BZK103" s="978"/>
      <c r="BZL103" s="978"/>
      <c r="BZM103" s="978"/>
      <c r="BZN103" s="978"/>
      <c r="BZO103" s="978"/>
      <c r="BZP103" s="978"/>
      <c r="BZQ103" s="978"/>
      <c r="BZR103" s="978"/>
      <c r="BZS103" s="978"/>
      <c r="BZT103" s="978"/>
      <c r="BZU103" s="978"/>
      <c r="BZV103" s="978"/>
      <c r="BZW103" s="978"/>
      <c r="BZX103" s="978"/>
      <c r="BZY103" s="978"/>
      <c r="BZZ103" s="978"/>
      <c r="CAA103" s="978"/>
      <c r="CAB103" s="978"/>
      <c r="CAC103" s="978"/>
      <c r="CAD103" s="978"/>
      <c r="CAE103" s="978"/>
      <c r="CAF103" s="978"/>
      <c r="CAG103" s="978"/>
      <c r="CAH103" s="978"/>
      <c r="CAI103" s="978"/>
      <c r="CAJ103" s="978"/>
      <c r="CAK103" s="978"/>
      <c r="CAL103" s="978"/>
      <c r="CAM103" s="978"/>
      <c r="CAN103" s="978"/>
      <c r="CAO103" s="978"/>
      <c r="CAP103" s="978"/>
      <c r="CAQ103" s="978"/>
      <c r="CAR103" s="978"/>
      <c r="CAS103" s="978"/>
      <c r="CAT103" s="978"/>
      <c r="CAU103" s="978"/>
      <c r="CAV103" s="978"/>
      <c r="CAW103" s="978"/>
      <c r="CAX103" s="978"/>
      <c r="CAY103" s="978"/>
      <c r="CAZ103" s="978"/>
      <c r="CBA103" s="978"/>
      <c r="CBB103" s="978"/>
      <c r="CBC103" s="978"/>
      <c r="CBD103" s="978"/>
      <c r="CBE103" s="978"/>
      <c r="CBF103" s="978"/>
      <c r="CBG103" s="978"/>
      <c r="CBH103" s="978"/>
      <c r="CBI103" s="978"/>
      <c r="CBJ103" s="978"/>
      <c r="CBK103" s="978"/>
      <c r="CBL103" s="978"/>
      <c r="CBM103" s="978"/>
      <c r="CBN103" s="978"/>
      <c r="CBO103" s="978"/>
      <c r="CBP103" s="978"/>
      <c r="CBQ103" s="978"/>
      <c r="CBR103" s="978"/>
      <c r="CBS103" s="978"/>
      <c r="CBT103" s="978"/>
      <c r="CBU103" s="978"/>
      <c r="CBV103" s="978"/>
      <c r="CBW103" s="978"/>
      <c r="CBX103" s="978"/>
      <c r="CBY103" s="978"/>
      <c r="CBZ103" s="978"/>
      <c r="CCA103" s="978"/>
      <c r="CCB103" s="978"/>
      <c r="CCC103" s="978"/>
      <c r="CCD103" s="978"/>
      <c r="CCE103" s="978"/>
      <c r="CCF103" s="978"/>
      <c r="CCG103" s="978"/>
      <c r="CCH103" s="978"/>
      <c r="CCI103" s="978"/>
      <c r="CCJ103" s="978"/>
      <c r="CCK103" s="978"/>
      <c r="CCL103" s="978"/>
      <c r="CCM103" s="978"/>
      <c r="CCN103" s="978"/>
      <c r="CCO103" s="978"/>
      <c r="CCP103" s="978"/>
      <c r="CCQ103" s="978"/>
      <c r="CCR103" s="978"/>
      <c r="CCS103" s="978"/>
      <c r="CCT103" s="978"/>
      <c r="CCU103" s="978"/>
      <c r="CCV103" s="978"/>
      <c r="CCW103" s="978"/>
      <c r="CCX103" s="978"/>
      <c r="CCY103" s="978"/>
      <c r="CCZ103" s="978"/>
      <c r="CDA103" s="978"/>
      <c r="CDB103" s="978"/>
      <c r="CDC103" s="978"/>
      <c r="CDD103" s="978"/>
      <c r="CDE103" s="978"/>
      <c r="CDF103" s="978"/>
      <c r="CDG103" s="978"/>
      <c r="CDH103" s="978"/>
      <c r="CDI103" s="978"/>
      <c r="CDJ103" s="978"/>
      <c r="CDK103" s="978"/>
      <c r="CDL103" s="978"/>
      <c r="CDM103" s="978"/>
      <c r="CDN103" s="978"/>
      <c r="CDO103" s="978"/>
      <c r="CDP103" s="978"/>
      <c r="CDQ103" s="978"/>
      <c r="CDR103" s="978"/>
      <c r="CDS103" s="978"/>
      <c r="CDT103" s="978"/>
      <c r="CDU103" s="978"/>
      <c r="CDV103" s="978"/>
      <c r="CDW103" s="978"/>
      <c r="CDX103" s="978"/>
      <c r="CDY103" s="978"/>
      <c r="CDZ103" s="978"/>
      <c r="CEA103" s="978"/>
      <c r="CEB103" s="978"/>
      <c r="CEC103" s="978"/>
      <c r="CED103" s="978"/>
      <c r="CEE103" s="978"/>
      <c r="CEF103" s="978"/>
      <c r="CEG103" s="978"/>
      <c r="CEH103" s="978"/>
      <c r="CEI103" s="978"/>
      <c r="CEJ103" s="978"/>
      <c r="CEK103" s="978"/>
      <c r="CEL103" s="978"/>
      <c r="CEM103" s="978"/>
      <c r="CEN103" s="978"/>
      <c r="CEO103" s="978"/>
      <c r="CEP103" s="978"/>
      <c r="CEQ103" s="978"/>
      <c r="CER103" s="978"/>
      <c r="CES103" s="978"/>
      <c r="CET103" s="978"/>
      <c r="CEU103" s="978"/>
      <c r="CEV103" s="978"/>
      <c r="CEW103" s="978"/>
      <c r="CEX103" s="978"/>
      <c r="CEY103" s="978"/>
      <c r="CEZ103" s="978"/>
      <c r="CFA103" s="978"/>
      <c r="CFB103" s="978"/>
      <c r="CFC103" s="978"/>
      <c r="CFD103" s="978"/>
      <c r="CFE103" s="978"/>
      <c r="CFF103" s="978"/>
      <c r="CFG103" s="978"/>
      <c r="CFH103" s="978"/>
      <c r="CFI103" s="978"/>
      <c r="CFJ103" s="978"/>
      <c r="CFK103" s="978"/>
      <c r="CFL103" s="978"/>
      <c r="CFM103" s="978"/>
      <c r="CFN103" s="978"/>
      <c r="CFO103" s="978"/>
      <c r="CFP103" s="978"/>
      <c r="CFQ103" s="978"/>
      <c r="CFR103" s="978"/>
      <c r="CFS103" s="978"/>
      <c r="CFT103" s="978"/>
      <c r="CFU103" s="978"/>
      <c r="CFV103" s="978"/>
      <c r="CFW103" s="978"/>
      <c r="CFX103" s="978"/>
      <c r="CFY103" s="978"/>
      <c r="CFZ103" s="978"/>
      <c r="CGA103" s="978"/>
      <c r="CGB103" s="978"/>
      <c r="CGC103" s="978"/>
      <c r="CGD103" s="978"/>
      <c r="CGE103" s="978"/>
      <c r="CGF103" s="978"/>
      <c r="CGG103" s="978"/>
      <c r="CGH103" s="978"/>
      <c r="CGI103" s="978"/>
      <c r="CGJ103" s="978"/>
      <c r="CGK103" s="978"/>
      <c r="CGL103" s="978"/>
      <c r="CGM103" s="978"/>
      <c r="CGN103" s="978"/>
      <c r="CGO103" s="978"/>
      <c r="CGP103" s="978"/>
      <c r="CGQ103" s="978"/>
      <c r="CGR103" s="978"/>
      <c r="CGS103" s="978"/>
      <c r="CGT103" s="978"/>
      <c r="CGU103" s="978"/>
      <c r="CGV103" s="978"/>
      <c r="CGW103" s="978"/>
      <c r="CGX103" s="978"/>
      <c r="CGY103" s="978"/>
      <c r="CGZ103" s="978"/>
      <c r="CHA103" s="978"/>
      <c r="CHB103" s="978"/>
      <c r="CHC103" s="978"/>
      <c r="CHD103" s="978"/>
      <c r="CHE103" s="978"/>
      <c r="CHF103" s="978"/>
      <c r="CHG103" s="978"/>
      <c r="CHH103" s="978"/>
      <c r="CHI103" s="978"/>
      <c r="CHJ103" s="978"/>
      <c r="CHK103" s="978"/>
      <c r="CHL103" s="978"/>
      <c r="CHM103" s="978"/>
      <c r="CHN103" s="978"/>
      <c r="CHO103" s="978"/>
      <c r="CHP103" s="978"/>
      <c r="CHQ103" s="978"/>
      <c r="CHR103" s="978"/>
      <c r="CHS103" s="978"/>
      <c r="CHT103" s="978"/>
      <c r="CHU103" s="978"/>
      <c r="CHV103" s="978"/>
      <c r="CHW103" s="978"/>
      <c r="CHX103" s="978"/>
      <c r="CHY103" s="978"/>
      <c r="CHZ103" s="978"/>
      <c r="CIA103" s="978"/>
      <c r="CIB103" s="978"/>
      <c r="CIC103" s="978"/>
      <c r="CID103" s="978"/>
      <c r="CIE103" s="978"/>
      <c r="CIF103" s="978"/>
      <c r="CIG103" s="978"/>
      <c r="CIH103" s="978"/>
      <c r="CII103" s="978"/>
      <c r="CIJ103" s="978"/>
      <c r="CIK103" s="978"/>
      <c r="CIL103" s="978"/>
      <c r="CIM103" s="978"/>
      <c r="CIN103" s="978"/>
      <c r="CIO103" s="978"/>
      <c r="CIP103" s="978"/>
      <c r="CIQ103" s="978"/>
      <c r="CIR103" s="978"/>
      <c r="CIS103" s="978"/>
      <c r="CIT103" s="978"/>
      <c r="CIU103" s="978"/>
      <c r="CIV103" s="978"/>
      <c r="CIW103" s="978"/>
      <c r="CIX103" s="978"/>
      <c r="CIY103" s="978"/>
      <c r="CIZ103" s="978"/>
      <c r="CJA103" s="978"/>
      <c r="CJB103" s="978"/>
      <c r="CJC103" s="978"/>
      <c r="CJD103" s="978"/>
      <c r="CJE103" s="978"/>
      <c r="CJF103" s="978"/>
      <c r="CJG103" s="978"/>
      <c r="CJH103" s="978"/>
      <c r="CJI103" s="978"/>
      <c r="CJJ103" s="978"/>
      <c r="CJK103" s="978"/>
      <c r="CJL103" s="978"/>
      <c r="CJM103" s="978"/>
      <c r="CJN103" s="978"/>
      <c r="CJO103" s="978"/>
      <c r="CJP103" s="978"/>
      <c r="CJQ103" s="978"/>
      <c r="CJR103" s="978"/>
      <c r="CJS103" s="978"/>
      <c r="CJT103" s="978"/>
      <c r="CJU103" s="978"/>
      <c r="CJV103" s="978"/>
      <c r="CJW103" s="978"/>
      <c r="CJX103" s="978"/>
      <c r="CJY103" s="978"/>
      <c r="CJZ103" s="978"/>
      <c r="CKA103" s="978"/>
      <c r="CKB103" s="978"/>
      <c r="CKC103" s="978"/>
      <c r="CKD103" s="978"/>
      <c r="CKE103" s="978"/>
      <c r="CKF103" s="978"/>
      <c r="CKG103" s="978"/>
      <c r="CKH103" s="978"/>
      <c r="CKI103" s="978"/>
      <c r="CKJ103" s="978"/>
      <c r="CKK103" s="978"/>
      <c r="CKL103" s="978"/>
      <c r="CKM103" s="978"/>
      <c r="CKN103" s="978"/>
      <c r="CKO103" s="978"/>
      <c r="CKP103" s="978"/>
      <c r="CKQ103" s="978"/>
      <c r="CKR103" s="978"/>
      <c r="CKS103" s="978"/>
      <c r="CKT103" s="978"/>
      <c r="CKU103" s="978"/>
      <c r="CKV103" s="978"/>
      <c r="CKW103" s="978"/>
      <c r="CKX103" s="978"/>
      <c r="CKY103" s="978"/>
      <c r="CKZ103" s="978"/>
      <c r="CLA103" s="978"/>
      <c r="CLB103" s="978"/>
      <c r="CLC103" s="978"/>
      <c r="CLD103" s="978"/>
      <c r="CLE103" s="978"/>
      <c r="CLF103" s="978"/>
      <c r="CLG103" s="978"/>
      <c r="CLH103" s="978"/>
      <c r="CLI103" s="978"/>
      <c r="CLJ103" s="978"/>
      <c r="CLK103" s="978"/>
      <c r="CLL103" s="978"/>
      <c r="CLM103" s="978"/>
      <c r="CLN103" s="978"/>
      <c r="CLO103" s="978"/>
      <c r="CLP103" s="978"/>
      <c r="CLQ103" s="978"/>
      <c r="CLR103" s="978"/>
      <c r="CLS103" s="978"/>
      <c r="CLT103" s="978"/>
      <c r="CLU103" s="978"/>
      <c r="CLV103" s="978"/>
      <c r="CLW103" s="978"/>
      <c r="CLX103" s="978"/>
      <c r="CLY103" s="978"/>
      <c r="CLZ103" s="978"/>
      <c r="CMA103" s="978"/>
      <c r="CMB103" s="978"/>
      <c r="CMC103" s="978"/>
      <c r="CMD103" s="978"/>
      <c r="CME103" s="978"/>
      <c r="CMF103" s="978"/>
      <c r="CMG103" s="978"/>
      <c r="CMH103" s="978"/>
      <c r="CMI103" s="978"/>
      <c r="CMJ103" s="978"/>
      <c r="CMK103" s="978"/>
      <c r="CML103" s="978"/>
      <c r="CMM103" s="978"/>
      <c r="CMN103" s="978"/>
      <c r="CMO103" s="978"/>
      <c r="CMP103" s="978"/>
      <c r="CMQ103" s="978"/>
      <c r="CMR103" s="978"/>
      <c r="CMS103" s="978"/>
      <c r="CMT103" s="978"/>
      <c r="CMU103" s="978"/>
      <c r="CMV103" s="978"/>
      <c r="CMW103" s="978"/>
      <c r="CMX103" s="978"/>
      <c r="CMY103" s="978"/>
      <c r="CMZ103" s="978"/>
      <c r="CNA103" s="978"/>
      <c r="CNB103" s="978"/>
      <c r="CNC103" s="978"/>
      <c r="CND103" s="978"/>
      <c r="CNE103" s="978"/>
      <c r="CNF103" s="978"/>
      <c r="CNG103" s="978"/>
      <c r="CNH103" s="978"/>
      <c r="CNI103" s="978"/>
      <c r="CNJ103" s="978"/>
      <c r="CNK103" s="978"/>
      <c r="CNL103" s="978"/>
      <c r="CNM103" s="978"/>
      <c r="CNN103" s="978"/>
      <c r="CNO103" s="978"/>
      <c r="CNP103" s="978"/>
      <c r="CNQ103" s="978"/>
      <c r="CNR103" s="978"/>
      <c r="CNS103" s="978"/>
      <c r="CNT103" s="978"/>
      <c r="CNU103" s="978"/>
      <c r="CNV103" s="978"/>
      <c r="CNW103" s="978"/>
      <c r="CNX103" s="978"/>
      <c r="CNY103" s="978"/>
      <c r="CNZ103" s="978"/>
      <c r="COA103" s="978"/>
      <c r="COB103" s="978"/>
      <c r="COC103" s="978"/>
      <c r="COD103" s="978"/>
      <c r="COE103" s="978"/>
      <c r="COF103" s="978"/>
      <c r="COG103" s="978"/>
      <c r="COH103" s="978"/>
      <c r="COI103" s="978"/>
      <c r="COJ103" s="978"/>
      <c r="COK103" s="978"/>
      <c r="COL103" s="978"/>
      <c r="COM103" s="978"/>
      <c r="CON103" s="978"/>
      <c r="COO103" s="978"/>
      <c r="COP103" s="978"/>
      <c r="COQ103" s="978"/>
      <c r="COR103" s="978"/>
      <c r="COS103" s="978"/>
      <c r="COT103" s="978"/>
      <c r="COU103" s="978"/>
      <c r="COV103" s="978"/>
      <c r="COW103" s="978"/>
      <c r="COX103" s="978"/>
      <c r="COY103" s="978"/>
      <c r="COZ103" s="978"/>
      <c r="CPA103" s="978"/>
      <c r="CPB103" s="978"/>
      <c r="CPC103" s="978"/>
      <c r="CPD103" s="978"/>
      <c r="CPE103" s="978"/>
      <c r="CPF103" s="978"/>
      <c r="CPG103" s="978"/>
      <c r="CPH103" s="978"/>
      <c r="CPI103" s="978"/>
      <c r="CPJ103" s="978"/>
      <c r="CPK103" s="978"/>
      <c r="CPL103" s="978"/>
      <c r="CPM103" s="978"/>
      <c r="CPN103" s="978"/>
      <c r="CPO103" s="978"/>
      <c r="CPP103" s="978"/>
      <c r="CPQ103" s="978"/>
      <c r="CPR103" s="978"/>
      <c r="CPS103" s="978"/>
      <c r="CPT103" s="978"/>
      <c r="CPU103" s="978"/>
      <c r="CPV103" s="978"/>
      <c r="CPW103" s="978"/>
      <c r="CPX103" s="978"/>
      <c r="CPY103" s="978"/>
      <c r="CPZ103" s="978"/>
      <c r="CQA103" s="978"/>
      <c r="CQB103" s="978"/>
      <c r="CQC103" s="978"/>
      <c r="CQD103" s="978"/>
      <c r="CQE103" s="978"/>
      <c r="CQF103" s="978"/>
      <c r="CQG103" s="978"/>
      <c r="CQH103" s="978"/>
      <c r="CQI103" s="978"/>
      <c r="CQJ103" s="978"/>
      <c r="CQK103" s="978"/>
      <c r="CQL103" s="978"/>
      <c r="CQM103" s="978"/>
      <c r="CQN103" s="978"/>
      <c r="CQO103" s="978"/>
      <c r="CQP103" s="978"/>
      <c r="CQQ103" s="978"/>
      <c r="CQR103" s="978"/>
      <c r="CQS103" s="978"/>
      <c r="CQT103" s="978"/>
      <c r="CQU103" s="978"/>
      <c r="CQV103" s="978"/>
      <c r="CQW103" s="978"/>
      <c r="CQX103" s="978"/>
      <c r="CQY103" s="978"/>
      <c r="CQZ103" s="978"/>
      <c r="CRA103" s="978"/>
      <c r="CRB103" s="978"/>
      <c r="CRC103" s="978"/>
      <c r="CRD103" s="978"/>
      <c r="CRE103" s="978"/>
      <c r="CRF103" s="978"/>
      <c r="CRG103" s="978"/>
      <c r="CRH103" s="978"/>
      <c r="CRI103" s="978"/>
      <c r="CRJ103" s="978"/>
      <c r="CRK103" s="978"/>
      <c r="CRL103" s="978"/>
      <c r="CRM103" s="978"/>
      <c r="CRN103" s="978"/>
      <c r="CRO103" s="978"/>
      <c r="CRP103" s="978"/>
      <c r="CRQ103" s="978"/>
      <c r="CRR103" s="978"/>
      <c r="CRS103" s="978"/>
      <c r="CRT103" s="978"/>
      <c r="CRU103" s="978"/>
      <c r="CRV103" s="978"/>
      <c r="CRW103" s="978"/>
      <c r="CRX103" s="978"/>
      <c r="CRY103" s="978"/>
      <c r="CRZ103" s="978"/>
      <c r="CSA103" s="978"/>
      <c r="CSB103" s="978"/>
      <c r="CSC103" s="978"/>
      <c r="CSD103" s="978"/>
      <c r="CSE103" s="978"/>
      <c r="CSF103" s="978"/>
      <c r="CSG103" s="978"/>
      <c r="CSH103" s="978"/>
      <c r="CSI103" s="978"/>
      <c r="CSJ103" s="978"/>
      <c r="CSK103" s="978"/>
      <c r="CSL103" s="978"/>
      <c r="CSM103" s="978"/>
      <c r="CSN103" s="978"/>
      <c r="CSO103" s="978"/>
      <c r="CSP103" s="978"/>
      <c r="CSQ103" s="978"/>
      <c r="CSR103" s="978"/>
      <c r="CSS103" s="978"/>
      <c r="CST103" s="978"/>
      <c r="CSU103" s="978"/>
      <c r="CSV103" s="978"/>
      <c r="CSW103" s="978"/>
      <c r="CSX103" s="978"/>
      <c r="CSY103" s="978"/>
      <c r="CSZ103" s="978"/>
      <c r="CTA103" s="978"/>
      <c r="CTB103" s="978"/>
      <c r="CTC103" s="978"/>
      <c r="CTD103" s="978"/>
      <c r="CTE103" s="978"/>
      <c r="CTF103" s="978"/>
      <c r="CTG103" s="978"/>
      <c r="CTH103" s="978"/>
      <c r="CTI103" s="978"/>
      <c r="CTJ103" s="978"/>
      <c r="CTK103" s="978"/>
      <c r="CTL103" s="978"/>
      <c r="CTM103" s="978"/>
      <c r="CTN103" s="978"/>
      <c r="CTO103" s="978"/>
      <c r="CTP103" s="978"/>
      <c r="CTQ103" s="978"/>
      <c r="CTR103" s="978"/>
      <c r="CTS103" s="978"/>
      <c r="CTT103" s="978"/>
      <c r="CTU103" s="978"/>
      <c r="CTV103" s="978"/>
      <c r="CTW103" s="978"/>
      <c r="CTX103" s="978"/>
      <c r="CTY103" s="978"/>
      <c r="CTZ103" s="978"/>
      <c r="CUA103" s="978"/>
      <c r="CUB103" s="978"/>
      <c r="CUC103" s="978"/>
      <c r="CUD103" s="978"/>
      <c r="CUE103" s="978"/>
      <c r="CUF103" s="978"/>
      <c r="CUG103" s="978"/>
      <c r="CUH103" s="978"/>
      <c r="CUI103" s="978"/>
      <c r="CUJ103" s="978"/>
      <c r="CUK103" s="978"/>
      <c r="CUL103" s="978"/>
      <c r="CUM103" s="978"/>
      <c r="CUN103" s="978"/>
      <c r="CUO103" s="978"/>
      <c r="CUP103" s="978"/>
      <c r="CUQ103" s="978"/>
      <c r="CUR103" s="978"/>
      <c r="CUS103" s="978"/>
      <c r="CUT103" s="978"/>
      <c r="CUU103" s="978"/>
      <c r="CUV103" s="978"/>
      <c r="CUW103" s="978"/>
      <c r="CUX103" s="978"/>
      <c r="CUY103" s="978"/>
      <c r="CUZ103" s="978"/>
      <c r="CVA103" s="978"/>
      <c r="CVB103" s="978"/>
      <c r="CVC103" s="978"/>
      <c r="CVD103" s="978"/>
      <c r="CVE103" s="978"/>
      <c r="CVF103" s="978"/>
      <c r="CVG103" s="978"/>
      <c r="CVH103" s="978"/>
      <c r="CVI103" s="978"/>
      <c r="CVJ103" s="978"/>
      <c r="CVK103" s="978"/>
      <c r="CVL103" s="978"/>
      <c r="CVM103" s="978"/>
      <c r="CVN103" s="978"/>
      <c r="CVO103" s="978"/>
      <c r="CVP103" s="978"/>
      <c r="CVQ103" s="978"/>
      <c r="CVR103" s="978"/>
      <c r="CVS103" s="978"/>
      <c r="CVT103" s="978"/>
      <c r="CVU103" s="978"/>
      <c r="CVV103" s="978"/>
      <c r="CVW103" s="978"/>
      <c r="CVX103" s="978"/>
      <c r="CVY103" s="978"/>
      <c r="CVZ103" s="978"/>
      <c r="CWA103" s="978"/>
      <c r="CWB103" s="978"/>
      <c r="CWC103" s="978"/>
      <c r="CWD103" s="978"/>
      <c r="CWE103" s="978"/>
      <c r="CWF103" s="978"/>
      <c r="CWG103" s="978"/>
      <c r="CWH103" s="978"/>
      <c r="CWI103" s="978"/>
      <c r="CWJ103" s="978"/>
      <c r="CWK103" s="978"/>
      <c r="CWL103" s="978"/>
      <c r="CWM103" s="978"/>
      <c r="CWN103" s="978"/>
      <c r="CWO103" s="978"/>
      <c r="CWP103" s="978"/>
      <c r="CWQ103" s="978"/>
      <c r="CWR103" s="978"/>
      <c r="CWS103" s="978"/>
      <c r="CWT103" s="978"/>
      <c r="CWU103" s="978"/>
      <c r="CWV103" s="978"/>
      <c r="CWW103" s="978"/>
      <c r="CWX103" s="978"/>
      <c r="CWY103" s="978"/>
      <c r="CWZ103" s="978"/>
      <c r="CXA103" s="978"/>
      <c r="CXB103" s="978"/>
      <c r="CXC103" s="978"/>
      <c r="CXD103" s="978"/>
      <c r="CXE103" s="978"/>
      <c r="CXF103" s="978"/>
      <c r="CXG103" s="978"/>
      <c r="CXH103" s="978"/>
      <c r="CXI103" s="978"/>
      <c r="CXJ103" s="978"/>
      <c r="CXK103" s="978"/>
      <c r="CXL103" s="978"/>
      <c r="CXM103" s="978"/>
      <c r="CXN103" s="978"/>
      <c r="CXO103" s="978"/>
      <c r="CXP103" s="978"/>
      <c r="CXQ103" s="978"/>
      <c r="CXR103" s="978"/>
      <c r="CXS103" s="978"/>
      <c r="CXT103" s="978"/>
      <c r="CXU103" s="978"/>
      <c r="CXV103" s="978"/>
      <c r="CXW103" s="978"/>
      <c r="CXX103" s="978"/>
      <c r="CXY103" s="978"/>
      <c r="CXZ103" s="978"/>
      <c r="CYA103" s="978"/>
      <c r="CYB103" s="978"/>
      <c r="CYC103" s="978"/>
      <c r="CYD103" s="978"/>
      <c r="CYE103" s="978"/>
      <c r="CYF103" s="978"/>
      <c r="CYG103" s="978"/>
      <c r="CYH103" s="978"/>
      <c r="CYI103" s="978"/>
      <c r="CYJ103" s="978"/>
      <c r="CYK103" s="978"/>
      <c r="CYL103" s="978"/>
      <c r="CYM103" s="978"/>
      <c r="CYN103" s="978"/>
      <c r="CYO103" s="978"/>
      <c r="CYP103" s="978"/>
      <c r="CYQ103" s="978"/>
      <c r="CYR103" s="978"/>
      <c r="CYS103" s="978"/>
      <c r="CYT103" s="978"/>
      <c r="CYU103" s="978"/>
      <c r="CYV103" s="978"/>
      <c r="CYW103" s="978"/>
      <c r="CYX103" s="978"/>
      <c r="CYY103" s="978"/>
      <c r="CYZ103" s="978"/>
      <c r="CZA103" s="978"/>
      <c r="CZB103" s="978"/>
      <c r="CZC103" s="978"/>
      <c r="CZD103" s="978"/>
      <c r="CZE103" s="978"/>
      <c r="CZF103" s="978"/>
      <c r="CZG103" s="978"/>
      <c r="CZH103" s="978"/>
      <c r="CZI103" s="978"/>
      <c r="CZJ103" s="978"/>
      <c r="CZK103" s="978"/>
      <c r="CZL103" s="978"/>
      <c r="CZM103" s="978"/>
      <c r="CZN103" s="978"/>
      <c r="CZO103" s="978"/>
      <c r="CZP103" s="978"/>
      <c r="CZQ103" s="978"/>
      <c r="CZR103" s="978"/>
      <c r="CZS103" s="978"/>
      <c r="CZT103" s="978"/>
      <c r="CZU103" s="978"/>
      <c r="CZV103" s="978"/>
      <c r="CZW103" s="978"/>
      <c r="CZX103" s="978"/>
      <c r="CZY103" s="978"/>
      <c r="CZZ103" s="978"/>
      <c r="DAA103" s="978"/>
      <c r="DAB103" s="978"/>
      <c r="DAC103" s="978"/>
      <c r="DAD103" s="978"/>
      <c r="DAE103" s="978"/>
      <c r="DAF103" s="978"/>
      <c r="DAG103" s="978"/>
      <c r="DAH103" s="978"/>
      <c r="DAI103" s="978"/>
      <c r="DAJ103" s="978"/>
      <c r="DAK103" s="978"/>
      <c r="DAL103" s="978"/>
      <c r="DAM103" s="978"/>
      <c r="DAN103" s="978"/>
      <c r="DAO103" s="978"/>
      <c r="DAP103" s="978"/>
      <c r="DAQ103" s="978"/>
      <c r="DAR103" s="978"/>
      <c r="DAS103" s="978"/>
      <c r="DAT103" s="978"/>
      <c r="DAU103" s="978"/>
      <c r="DAV103" s="978"/>
      <c r="DAW103" s="978"/>
      <c r="DAX103" s="978"/>
      <c r="DAY103" s="978"/>
      <c r="DAZ103" s="978"/>
      <c r="DBA103" s="978"/>
      <c r="DBB103" s="978"/>
      <c r="DBC103" s="978"/>
      <c r="DBD103" s="978"/>
      <c r="DBE103" s="978"/>
      <c r="DBF103" s="978"/>
      <c r="DBG103" s="978"/>
      <c r="DBH103" s="978"/>
      <c r="DBI103" s="978"/>
      <c r="DBJ103" s="978"/>
      <c r="DBK103" s="978"/>
      <c r="DBL103" s="978"/>
      <c r="DBM103" s="978"/>
      <c r="DBN103" s="978"/>
      <c r="DBO103" s="978"/>
      <c r="DBP103" s="978"/>
      <c r="DBQ103" s="978"/>
      <c r="DBR103" s="978"/>
      <c r="DBS103" s="978"/>
      <c r="DBT103" s="978"/>
      <c r="DBU103" s="978"/>
      <c r="DBV103" s="978"/>
      <c r="DBW103" s="978"/>
      <c r="DBX103" s="978"/>
      <c r="DBY103" s="978"/>
      <c r="DBZ103" s="978"/>
      <c r="DCA103" s="978"/>
      <c r="DCB103" s="978"/>
      <c r="DCC103" s="978"/>
      <c r="DCD103" s="978"/>
      <c r="DCE103" s="978"/>
      <c r="DCF103" s="978"/>
      <c r="DCG103" s="978"/>
      <c r="DCH103" s="978"/>
      <c r="DCI103" s="978"/>
      <c r="DCJ103" s="978"/>
      <c r="DCK103" s="978"/>
      <c r="DCL103" s="978"/>
      <c r="DCM103" s="978"/>
      <c r="DCN103" s="978"/>
      <c r="DCO103" s="978"/>
      <c r="DCP103" s="978"/>
      <c r="DCQ103" s="978"/>
      <c r="DCR103" s="978"/>
      <c r="DCS103" s="978"/>
      <c r="DCT103" s="978"/>
      <c r="DCU103" s="978"/>
      <c r="DCV103" s="978"/>
      <c r="DCW103" s="978"/>
      <c r="DCX103" s="978"/>
      <c r="DCY103" s="978"/>
      <c r="DCZ103" s="978"/>
      <c r="DDA103" s="978"/>
      <c r="DDB103" s="978"/>
      <c r="DDC103" s="978"/>
      <c r="DDD103" s="978"/>
      <c r="DDE103" s="978"/>
      <c r="DDF103" s="978"/>
      <c r="DDG103" s="978"/>
      <c r="DDH103" s="978"/>
      <c r="DDI103" s="978"/>
      <c r="DDJ103" s="978"/>
      <c r="DDK103" s="978"/>
      <c r="DDL103" s="978"/>
      <c r="DDM103" s="978"/>
      <c r="DDN103" s="978"/>
      <c r="DDO103" s="978"/>
      <c r="DDP103" s="978"/>
      <c r="DDQ103" s="978"/>
      <c r="DDR103" s="978"/>
      <c r="DDS103" s="978"/>
      <c r="DDT103" s="978"/>
      <c r="DDU103" s="978"/>
      <c r="DDV103" s="978"/>
      <c r="DDW103" s="978"/>
      <c r="DDX103" s="978"/>
      <c r="DDY103" s="978"/>
      <c r="DDZ103" s="978"/>
      <c r="DEA103" s="978"/>
      <c r="DEB103" s="978"/>
      <c r="DEC103" s="978"/>
      <c r="DED103" s="978"/>
      <c r="DEE103" s="978"/>
      <c r="DEF103" s="978"/>
      <c r="DEG103" s="978"/>
      <c r="DEH103" s="978"/>
      <c r="DEI103" s="978"/>
      <c r="DEJ103" s="978"/>
      <c r="DEK103" s="978"/>
      <c r="DEL103" s="978"/>
      <c r="DEM103" s="978"/>
      <c r="DEN103" s="978"/>
      <c r="DEO103" s="978"/>
      <c r="DEP103" s="978"/>
      <c r="DEQ103" s="978"/>
      <c r="DER103" s="978"/>
      <c r="DES103" s="978"/>
      <c r="DET103" s="978"/>
      <c r="DEU103" s="978"/>
      <c r="DEV103" s="978"/>
      <c r="DEW103" s="978"/>
      <c r="DEX103" s="978"/>
      <c r="DEY103" s="978"/>
      <c r="DEZ103" s="978"/>
      <c r="DFA103" s="978"/>
      <c r="DFB103" s="978"/>
      <c r="DFC103" s="978"/>
      <c r="DFD103" s="978"/>
      <c r="DFE103" s="978"/>
      <c r="DFF103" s="978"/>
      <c r="DFG103" s="978"/>
      <c r="DFH103" s="978"/>
      <c r="DFI103" s="978"/>
      <c r="DFJ103" s="978"/>
      <c r="DFK103" s="978"/>
      <c r="DFL103" s="978"/>
      <c r="DFM103" s="978"/>
      <c r="DFN103" s="978"/>
      <c r="DFO103" s="978"/>
      <c r="DFP103" s="978"/>
      <c r="DFQ103" s="978"/>
      <c r="DFR103" s="978"/>
      <c r="DFS103" s="978"/>
      <c r="DFT103" s="978"/>
      <c r="DFU103" s="978"/>
      <c r="DFV103" s="978"/>
      <c r="DFW103" s="978"/>
      <c r="DFX103" s="978"/>
      <c r="DFY103" s="978"/>
      <c r="DFZ103" s="978"/>
      <c r="DGA103" s="978"/>
      <c r="DGB103" s="978"/>
      <c r="DGC103" s="978"/>
      <c r="DGD103" s="978"/>
      <c r="DGE103" s="978"/>
      <c r="DGF103" s="978"/>
      <c r="DGG103" s="978"/>
      <c r="DGH103" s="978"/>
      <c r="DGI103" s="978"/>
      <c r="DGJ103" s="978"/>
      <c r="DGK103" s="978"/>
      <c r="DGL103" s="978"/>
      <c r="DGM103" s="978"/>
      <c r="DGN103" s="978"/>
      <c r="DGO103" s="978"/>
      <c r="DGP103" s="978"/>
      <c r="DGQ103" s="978"/>
      <c r="DGR103" s="978"/>
      <c r="DGS103" s="978"/>
      <c r="DGT103" s="978"/>
      <c r="DGU103" s="978"/>
      <c r="DGV103" s="978"/>
      <c r="DGW103" s="978"/>
      <c r="DGX103" s="978"/>
      <c r="DGY103" s="978"/>
      <c r="DGZ103" s="978"/>
      <c r="DHA103" s="978"/>
      <c r="DHB103" s="978"/>
      <c r="DHC103" s="978"/>
      <c r="DHD103" s="978"/>
      <c r="DHE103" s="978"/>
      <c r="DHF103" s="978"/>
      <c r="DHG103" s="978"/>
      <c r="DHH103" s="978"/>
      <c r="DHI103" s="978"/>
      <c r="DHJ103" s="978"/>
      <c r="DHK103" s="978"/>
      <c r="DHL103" s="978"/>
      <c r="DHM103" s="978"/>
      <c r="DHN103" s="978"/>
      <c r="DHO103" s="978"/>
      <c r="DHP103" s="978"/>
      <c r="DHQ103" s="978"/>
      <c r="DHR103" s="978"/>
      <c r="DHS103" s="978"/>
      <c r="DHT103" s="978"/>
      <c r="DHU103" s="978"/>
      <c r="DHV103" s="978"/>
      <c r="DHW103" s="978"/>
      <c r="DHX103" s="978"/>
      <c r="DHY103" s="978"/>
      <c r="DHZ103" s="978"/>
      <c r="DIA103" s="978"/>
      <c r="DIB103" s="978"/>
      <c r="DIC103" s="978"/>
      <c r="DID103" s="978"/>
      <c r="DIE103" s="978"/>
      <c r="DIF103" s="978"/>
      <c r="DIG103" s="978"/>
      <c r="DIH103" s="978"/>
      <c r="DII103" s="978"/>
      <c r="DIJ103" s="978"/>
      <c r="DIK103" s="978"/>
      <c r="DIL103" s="978"/>
      <c r="DIM103" s="978"/>
      <c r="DIN103" s="978"/>
      <c r="DIO103" s="978"/>
      <c r="DIP103" s="978"/>
      <c r="DIQ103" s="978"/>
      <c r="DIR103" s="978"/>
      <c r="DIS103" s="978"/>
      <c r="DIT103" s="978"/>
      <c r="DIU103" s="978"/>
      <c r="DIV103" s="978"/>
      <c r="DIW103" s="978"/>
      <c r="DIX103" s="978"/>
      <c r="DIY103" s="978"/>
      <c r="DIZ103" s="978"/>
      <c r="DJA103" s="978"/>
      <c r="DJB103" s="978"/>
      <c r="DJC103" s="978"/>
      <c r="DJD103" s="978"/>
      <c r="DJE103" s="978"/>
      <c r="DJF103" s="978"/>
      <c r="DJG103" s="978"/>
      <c r="DJH103" s="978"/>
      <c r="DJI103" s="978"/>
      <c r="DJJ103" s="978"/>
      <c r="DJK103" s="978"/>
      <c r="DJL103" s="978"/>
      <c r="DJM103" s="978"/>
      <c r="DJN103" s="978"/>
      <c r="DJO103" s="978"/>
      <c r="DJP103" s="978"/>
      <c r="DJQ103" s="978"/>
      <c r="DJR103" s="978"/>
      <c r="DJS103" s="978"/>
      <c r="DJT103" s="978"/>
      <c r="DJU103" s="978"/>
      <c r="DJV103" s="978"/>
      <c r="DJW103" s="978"/>
      <c r="DJX103" s="978"/>
      <c r="DJY103" s="978"/>
      <c r="DJZ103" s="978"/>
      <c r="DKA103" s="978"/>
      <c r="DKB103" s="978"/>
      <c r="DKC103" s="978"/>
      <c r="DKD103" s="978"/>
      <c r="DKE103" s="978"/>
      <c r="DKF103" s="978"/>
      <c r="DKG103" s="978"/>
      <c r="DKH103" s="978"/>
      <c r="DKI103" s="978"/>
      <c r="DKJ103" s="978"/>
      <c r="DKK103" s="978"/>
      <c r="DKL103" s="978"/>
      <c r="DKM103" s="978"/>
      <c r="DKN103" s="978"/>
      <c r="DKO103" s="978"/>
      <c r="DKP103" s="978"/>
      <c r="DKQ103" s="978"/>
      <c r="DKR103" s="978"/>
      <c r="DKS103" s="978"/>
      <c r="DKT103" s="978"/>
      <c r="DKU103" s="978"/>
      <c r="DKV103" s="978"/>
      <c r="DKW103" s="978"/>
      <c r="DKX103" s="978"/>
      <c r="DKY103" s="978"/>
      <c r="DKZ103" s="978"/>
      <c r="DLA103" s="978"/>
      <c r="DLB103" s="978"/>
      <c r="DLC103" s="978"/>
      <c r="DLD103" s="978"/>
      <c r="DLE103" s="978"/>
      <c r="DLF103" s="978"/>
      <c r="DLG103" s="978"/>
      <c r="DLH103" s="978"/>
      <c r="DLI103" s="978"/>
      <c r="DLJ103" s="978"/>
      <c r="DLK103" s="978"/>
      <c r="DLL103" s="978"/>
      <c r="DLM103" s="978"/>
      <c r="DLN103" s="978"/>
      <c r="DLO103" s="978"/>
      <c r="DLP103" s="978"/>
      <c r="DLQ103" s="978"/>
      <c r="DLR103" s="978"/>
      <c r="DLS103" s="978"/>
      <c r="DLT103" s="978"/>
      <c r="DLU103" s="978"/>
      <c r="DLV103" s="978"/>
      <c r="DLW103" s="978"/>
      <c r="DLX103" s="978"/>
      <c r="DLY103" s="978"/>
      <c r="DLZ103" s="978"/>
      <c r="DMA103" s="978"/>
      <c r="DMB103" s="978"/>
      <c r="DMC103" s="978"/>
      <c r="DMD103" s="978"/>
      <c r="DME103" s="978"/>
      <c r="DMF103" s="978"/>
      <c r="DMG103" s="978"/>
      <c r="DMH103" s="978"/>
      <c r="DMI103" s="978"/>
      <c r="DMJ103" s="978"/>
      <c r="DMK103" s="978"/>
      <c r="DML103" s="978"/>
      <c r="DMM103" s="978"/>
      <c r="DMN103" s="978"/>
      <c r="DMO103" s="978"/>
      <c r="DMP103" s="978"/>
      <c r="DMQ103" s="978"/>
      <c r="DMR103" s="978"/>
      <c r="DMS103" s="978"/>
      <c r="DMT103" s="978"/>
      <c r="DMU103" s="978"/>
      <c r="DMV103" s="978"/>
      <c r="DMW103" s="978"/>
      <c r="DMX103" s="978"/>
      <c r="DMY103" s="978"/>
      <c r="DMZ103" s="978"/>
      <c r="DNA103" s="978"/>
      <c r="DNB103" s="978"/>
      <c r="DNC103" s="978"/>
      <c r="DND103" s="978"/>
      <c r="DNE103" s="978"/>
      <c r="DNF103" s="978"/>
      <c r="DNG103" s="978"/>
      <c r="DNH103" s="978"/>
      <c r="DNI103" s="978"/>
      <c r="DNJ103" s="978"/>
      <c r="DNK103" s="978"/>
      <c r="DNL103" s="978"/>
      <c r="DNM103" s="978"/>
      <c r="DNN103" s="978"/>
      <c r="DNO103" s="978"/>
      <c r="DNP103" s="978"/>
      <c r="DNQ103" s="978"/>
      <c r="DNR103" s="978"/>
      <c r="DNS103" s="978"/>
      <c r="DNT103" s="978"/>
      <c r="DNU103" s="978"/>
      <c r="DNV103" s="978"/>
      <c r="DNW103" s="978"/>
      <c r="DNX103" s="978"/>
      <c r="DNY103" s="978"/>
      <c r="DNZ103" s="978"/>
      <c r="DOA103" s="978"/>
      <c r="DOB103" s="978"/>
      <c r="DOC103" s="978"/>
      <c r="DOD103" s="978"/>
      <c r="DOE103" s="978"/>
      <c r="DOF103" s="978"/>
      <c r="DOG103" s="978"/>
      <c r="DOH103" s="978"/>
      <c r="DOI103" s="978"/>
      <c r="DOJ103" s="978"/>
      <c r="DOK103" s="978"/>
      <c r="DOL103" s="978"/>
      <c r="DOM103" s="978"/>
      <c r="DON103" s="978"/>
      <c r="DOO103" s="978"/>
      <c r="DOP103" s="978"/>
      <c r="DOQ103" s="978"/>
      <c r="DOR103" s="978"/>
      <c r="DOS103" s="978"/>
      <c r="DOT103" s="978"/>
      <c r="DOU103" s="978"/>
      <c r="DOV103" s="978"/>
      <c r="DOW103" s="978"/>
      <c r="DOX103" s="978"/>
      <c r="DOY103" s="978"/>
      <c r="DOZ103" s="978"/>
      <c r="DPA103" s="978"/>
      <c r="DPB103" s="978"/>
      <c r="DPC103" s="978"/>
      <c r="DPD103" s="978"/>
      <c r="DPE103" s="978"/>
      <c r="DPF103" s="978"/>
      <c r="DPG103" s="978"/>
      <c r="DPH103" s="978"/>
      <c r="DPI103" s="978"/>
      <c r="DPJ103" s="978"/>
      <c r="DPK103" s="978"/>
      <c r="DPL103" s="978"/>
      <c r="DPM103" s="978"/>
      <c r="DPN103" s="978"/>
      <c r="DPO103" s="978"/>
      <c r="DPP103" s="978"/>
      <c r="DPQ103" s="978"/>
      <c r="DPR103" s="978"/>
      <c r="DPS103" s="978"/>
      <c r="DPT103" s="978"/>
      <c r="DPU103" s="978"/>
      <c r="DPV103" s="978"/>
      <c r="DPW103" s="978"/>
      <c r="DPX103" s="978"/>
      <c r="DPY103" s="978"/>
      <c r="DPZ103" s="978"/>
      <c r="DQA103" s="978"/>
      <c r="DQB103" s="978"/>
      <c r="DQC103" s="978"/>
      <c r="DQD103" s="978"/>
      <c r="DQE103" s="978"/>
      <c r="DQF103" s="978"/>
      <c r="DQG103" s="978"/>
      <c r="DQH103" s="978"/>
      <c r="DQI103" s="978"/>
      <c r="DQJ103" s="978"/>
      <c r="DQK103" s="978"/>
      <c r="DQL103" s="978"/>
      <c r="DQM103" s="978"/>
      <c r="DQN103" s="978"/>
      <c r="DQO103" s="978"/>
      <c r="DQP103" s="978"/>
      <c r="DQQ103" s="978"/>
      <c r="DQR103" s="978"/>
      <c r="DQS103" s="978"/>
      <c r="DQT103" s="978"/>
      <c r="DQU103" s="978"/>
      <c r="DQV103" s="978"/>
      <c r="DQW103" s="978"/>
      <c r="DQX103" s="978"/>
      <c r="DQY103" s="978"/>
      <c r="DQZ103" s="978"/>
      <c r="DRA103" s="978"/>
      <c r="DRB103" s="978"/>
      <c r="DRC103" s="978"/>
      <c r="DRD103" s="978"/>
      <c r="DRE103" s="978"/>
      <c r="DRF103" s="978"/>
      <c r="DRG103" s="978"/>
      <c r="DRH103" s="978"/>
      <c r="DRI103" s="978"/>
      <c r="DRJ103" s="978"/>
      <c r="DRK103" s="978"/>
      <c r="DRL103" s="978"/>
      <c r="DRM103" s="978"/>
      <c r="DRN103" s="978"/>
      <c r="DRO103" s="978"/>
      <c r="DRP103" s="978"/>
      <c r="DRQ103" s="978"/>
      <c r="DRR103" s="978"/>
      <c r="DRS103" s="978"/>
      <c r="DRT103" s="978"/>
      <c r="DRU103" s="978"/>
      <c r="DRV103" s="978"/>
      <c r="DRW103" s="978"/>
      <c r="DRX103" s="978"/>
      <c r="DRY103" s="978"/>
      <c r="DRZ103" s="978"/>
      <c r="DSA103" s="978"/>
      <c r="DSB103" s="978"/>
      <c r="DSC103" s="978"/>
      <c r="DSD103" s="978"/>
      <c r="DSE103" s="978"/>
      <c r="DSF103" s="978"/>
      <c r="DSG103" s="978"/>
      <c r="DSH103" s="978"/>
      <c r="DSI103" s="978"/>
      <c r="DSJ103" s="978"/>
      <c r="DSK103" s="978"/>
      <c r="DSL103" s="978"/>
      <c r="DSM103" s="978"/>
      <c r="DSN103" s="978"/>
      <c r="DSO103" s="978"/>
      <c r="DSP103" s="978"/>
      <c r="DSQ103" s="978"/>
      <c r="DSR103" s="978"/>
      <c r="DSS103" s="978"/>
      <c r="DST103" s="978"/>
      <c r="DSU103" s="978"/>
      <c r="DSV103" s="978"/>
      <c r="DSW103" s="978"/>
      <c r="DSX103" s="978"/>
      <c r="DSY103" s="978"/>
      <c r="DSZ103" s="978"/>
      <c r="DTA103" s="978"/>
      <c r="DTB103" s="978"/>
      <c r="DTC103" s="978"/>
      <c r="DTD103" s="978"/>
      <c r="DTE103" s="978"/>
      <c r="DTF103" s="978"/>
      <c r="DTG103" s="978"/>
      <c r="DTH103" s="978"/>
      <c r="DTI103" s="978"/>
      <c r="DTJ103" s="978"/>
      <c r="DTK103" s="978"/>
      <c r="DTL103" s="978"/>
      <c r="DTM103" s="978"/>
      <c r="DTN103" s="978"/>
      <c r="DTO103" s="978"/>
      <c r="DTP103" s="978"/>
      <c r="DTQ103" s="978"/>
      <c r="DTR103" s="978"/>
      <c r="DTS103" s="978"/>
      <c r="DTT103" s="978"/>
      <c r="DTU103" s="978"/>
      <c r="DTV103" s="978"/>
      <c r="DTW103" s="978"/>
      <c r="DTX103" s="978"/>
      <c r="DTY103" s="978"/>
      <c r="DTZ103" s="978"/>
      <c r="DUA103" s="978"/>
      <c r="DUB103" s="978"/>
      <c r="DUC103" s="978"/>
      <c r="DUD103" s="978"/>
      <c r="DUE103" s="978"/>
      <c r="DUF103" s="978"/>
      <c r="DUG103" s="978"/>
      <c r="DUH103" s="978"/>
      <c r="DUI103" s="978"/>
      <c r="DUJ103" s="978"/>
      <c r="DUK103" s="978"/>
      <c r="DUL103" s="978"/>
      <c r="DUM103" s="978"/>
      <c r="DUN103" s="978"/>
      <c r="DUO103" s="978"/>
      <c r="DUP103" s="978"/>
      <c r="DUQ103" s="978"/>
      <c r="DUR103" s="978"/>
      <c r="DUS103" s="978"/>
      <c r="DUT103" s="978"/>
      <c r="DUU103" s="978"/>
      <c r="DUV103" s="978"/>
      <c r="DUW103" s="978"/>
      <c r="DUX103" s="978"/>
      <c r="DUY103" s="978"/>
      <c r="DUZ103" s="978"/>
      <c r="DVA103" s="978"/>
      <c r="DVB103" s="978"/>
      <c r="DVC103" s="978"/>
      <c r="DVD103" s="978"/>
      <c r="DVE103" s="978"/>
      <c r="DVF103" s="978"/>
      <c r="DVG103" s="978"/>
      <c r="DVH103" s="978"/>
      <c r="DVI103" s="978"/>
      <c r="DVJ103" s="978"/>
      <c r="DVK103" s="978"/>
      <c r="DVL103" s="978"/>
      <c r="DVM103" s="978"/>
      <c r="DVN103" s="978"/>
      <c r="DVO103" s="978"/>
      <c r="DVP103" s="978"/>
      <c r="DVQ103" s="978"/>
      <c r="DVR103" s="978"/>
      <c r="DVS103" s="978"/>
      <c r="DVT103" s="978"/>
      <c r="DVU103" s="978"/>
      <c r="DVV103" s="978"/>
      <c r="DVW103" s="978"/>
      <c r="DVX103" s="978"/>
      <c r="DVY103" s="978"/>
      <c r="DVZ103" s="978"/>
      <c r="DWA103" s="978"/>
      <c r="DWB103" s="978"/>
      <c r="DWC103" s="978"/>
      <c r="DWD103" s="978"/>
      <c r="DWE103" s="978"/>
      <c r="DWF103" s="978"/>
      <c r="DWG103" s="978"/>
      <c r="DWH103" s="978"/>
      <c r="DWI103" s="978"/>
      <c r="DWJ103" s="978"/>
      <c r="DWK103" s="978"/>
      <c r="DWL103" s="978"/>
      <c r="DWM103" s="978"/>
      <c r="DWN103" s="978"/>
      <c r="DWO103" s="978"/>
      <c r="DWP103" s="978"/>
      <c r="DWQ103" s="978"/>
      <c r="DWR103" s="978"/>
      <c r="DWS103" s="978"/>
      <c r="DWT103" s="978"/>
      <c r="DWU103" s="978"/>
      <c r="DWV103" s="978"/>
      <c r="DWW103" s="978"/>
      <c r="DWX103" s="978"/>
      <c r="DWY103" s="978"/>
      <c r="DWZ103" s="978"/>
      <c r="DXA103" s="978"/>
      <c r="DXB103" s="978"/>
      <c r="DXC103" s="978"/>
      <c r="DXD103" s="978"/>
      <c r="DXE103" s="978"/>
      <c r="DXF103" s="978"/>
      <c r="DXG103" s="978"/>
      <c r="DXH103" s="978"/>
      <c r="DXI103" s="978"/>
      <c r="DXJ103" s="978"/>
      <c r="DXK103" s="978"/>
      <c r="DXL103" s="978"/>
      <c r="DXM103" s="978"/>
      <c r="DXN103" s="978"/>
      <c r="DXO103" s="978"/>
      <c r="DXP103" s="978"/>
      <c r="DXQ103" s="978"/>
      <c r="DXR103" s="978"/>
      <c r="DXS103" s="978"/>
      <c r="DXT103" s="978"/>
      <c r="DXU103" s="978"/>
      <c r="DXV103" s="978"/>
      <c r="DXW103" s="978"/>
      <c r="DXX103" s="978"/>
      <c r="DXY103" s="978"/>
      <c r="DXZ103" s="978"/>
      <c r="DYA103" s="978"/>
      <c r="DYB103" s="978"/>
      <c r="DYC103" s="978"/>
      <c r="DYD103" s="978"/>
      <c r="DYE103" s="978"/>
      <c r="DYF103" s="978"/>
      <c r="DYG103" s="978"/>
      <c r="DYH103" s="978"/>
      <c r="DYI103" s="978"/>
      <c r="DYJ103" s="978"/>
      <c r="DYK103" s="978"/>
      <c r="DYL103" s="978"/>
      <c r="DYM103" s="978"/>
      <c r="DYN103" s="978"/>
      <c r="DYO103" s="978"/>
      <c r="DYP103" s="978"/>
      <c r="DYQ103" s="978"/>
      <c r="DYR103" s="978"/>
      <c r="DYS103" s="978"/>
      <c r="DYT103" s="978"/>
      <c r="DYU103" s="978"/>
      <c r="DYV103" s="978"/>
      <c r="DYW103" s="978"/>
      <c r="DYX103" s="978"/>
      <c r="DYY103" s="978"/>
      <c r="DYZ103" s="978"/>
      <c r="DZA103" s="978"/>
      <c r="DZB103" s="978"/>
      <c r="DZC103" s="978"/>
      <c r="DZD103" s="978"/>
      <c r="DZE103" s="978"/>
      <c r="DZF103" s="978"/>
      <c r="DZG103" s="978"/>
      <c r="DZH103" s="978"/>
      <c r="DZI103" s="978"/>
      <c r="DZJ103" s="978"/>
      <c r="DZK103" s="978"/>
      <c r="DZL103" s="978"/>
      <c r="DZM103" s="978"/>
      <c r="DZN103" s="978"/>
      <c r="DZO103" s="978"/>
      <c r="DZP103" s="978"/>
      <c r="DZQ103" s="978"/>
      <c r="DZR103" s="978"/>
      <c r="DZS103" s="978"/>
      <c r="DZT103" s="978"/>
      <c r="DZU103" s="978"/>
      <c r="DZV103" s="978"/>
      <c r="DZW103" s="978"/>
      <c r="DZX103" s="978"/>
      <c r="DZY103" s="978"/>
      <c r="DZZ103" s="978"/>
      <c r="EAA103" s="978"/>
      <c r="EAB103" s="978"/>
      <c r="EAC103" s="978"/>
      <c r="EAD103" s="978"/>
      <c r="EAE103" s="978"/>
      <c r="EAF103" s="978"/>
      <c r="EAG103" s="978"/>
      <c r="EAH103" s="978"/>
      <c r="EAI103" s="978"/>
      <c r="EAJ103" s="978"/>
      <c r="EAK103" s="978"/>
      <c r="EAL103" s="978"/>
      <c r="EAM103" s="978"/>
      <c r="EAN103" s="978"/>
      <c r="EAO103" s="978"/>
      <c r="EAP103" s="978"/>
      <c r="EAQ103" s="978"/>
      <c r="EAR103" s="978"/>
      <c r="EAS103" s="978"/>
      <c r="EAT103" s="978"/>
      <c r="EAU103" s="978"/>
      <c r="EAV103" s="978"/>
      <c r="EAW103" s="978"/>
      <c r="EAX103" s="978"/>
      <c r="EAY103" s="978"/>
      <c r="EAZ103" s="978"/>
      <c r="EBA103" s="978"/>
      <c r="EBB103" s="978"/>
      <c r="EBC103" s="978"/>
      <c r="EBD103" s="978"/>
      <c r="EBE103" s="978"/>
      <c r="EBF103" s="978"/>
      <c r="EBG103" s="978"/>
      <c r="EBH103" s="978"/>
      <c r="EBI103" s="978"/>
      <c r="EBJ103" s="978"/>
      <c r="EBK103" s="978"/>
      <c r="EBL103" s="978"/>
      <c r="EBM103" s="978"/>
      <c r="EBN103" s="978"/>
      <c r="EBO103" s="978"/>
      <c r="EBP103" s="978"/>
      <c r="EBQ103" s="978"/>
      <c r="EBR103" s="978"/>
      <c r="EBS103" s="978"/>
      <c r="EBT103" s="978"/>
      <c r="EBU103" s="978"/>
      <c r="EBV103" s="978"/>
      <c r="EBW103" s="978"/>
      <c r="EBX103" s="978"/>
      <c r="EBY103" s="978"/>
      <c r="EBZ103" s="978"/>
      <c r="ECA103" s="978"/>
      <c r="ECB103" s="978"/>
      <c r="ECC103" s="978"/>
      <c r="ECD103" s="978"/>
      <c r="ECE103" s="978"/>
      <c r="ECF103" s="978"/>
      <c r="ECG103" s="978"/>
      <c r="ECH103" s="978"/>
      <c r="ECI103" s="978"/>
      <c r="ECJ103" s="978"/>
      <c r="ECK103" s="978"/>
      <c r="ECL103" s="978"/>
      <c r="ECM103" s="978"/>
      <c r="ECN103" s="978"/>
      <c r="ECO103" s="978"/>
      <c r="ECP103" s="978"/>
      <c r="ECQ103" s="978"/>
      <c r="ECR103" s="978"/>
      <c r="ECS103" s="978"/>
      <c r="ECT103" s="978"/>
      <c r="ECU103" s="978"/>
      <c r="ECV103" s="978"/>
      <c r="ECW103" s="978"/>
      <c r="ECX103" s="978"/>
      <c r="ECY103" s="978"/>
      <c r="ECZ103" s="978"/>
      <c r="EDA103" s="978"/>
      <c r="EDB103" s="978"/>
      <c r="EDC103" s="978"/>
      <c r="EDD103" s="978"/>
      <c r="EDE103" s="978"/>
      <c r="EDF103" s="978"/>
      <c r="EDG103" s="978"/>
      <c r="EDH103" s="978"/>
      <c r="EDI103" s="978"/>
      <c r="EDJ103" s="978"/>
      <c r="EDK103" s="978"/>
      <c r="EDL103" s="978"/>
      <c r="EDM103" s="978"/>
      <c r="EDN103" s="978"/>
      <c r="EDO103" s="978"/>
      <c r="EDP103" s="978"/>
      <c r="EDQ103" s="978"/>
      <c r="EDR103" s="978"/>
      <c r="EDS103" s="978"/>
      <c r="EDT103" s="978"/>
      <c r="EDU103" s="978"/>
      <c r="EDV103" s="978"/>
      <c r="EDW103" s="978"/>
      <c r="EDX103" s="978"/>
      <c r="EDY103" s="978"/>
      <c r="EDZ103" s="978"/>
      <c r="EEA103" s="978"/>
      <c r="EEB103" s="978"/>
      <c r="EEC103" s="978"/>
      <c r="EED103" s="978"/>
      <c r="EEE103" s="978"/>
      <c r="EEF103" s="978"/>
      <c r="EEG103" s="978"/>
      <c r="EEH103" s="978"/>
      <c r="EEI103" s="978"/>
      <c r="EEJ103" s="978"/>
      <c r="EEK103" s="978"/>
      <c r="EEL103" s="978"/>
      <c r="EEM103" s="978"/>
      <c r="EEN103" s="978"/>
      <c r="EEO103" s="978"/>
      <c r="EEP103" s="978"/>
      <c r="EEQ103" s="978"/>
      <c r="EER103" s="978"/>
      <c r="EES103" s="978"/>
      <c r="EET103" s="978"/>
      <c r="EEU103" s="978"/>
      <c r="EEV103" s="978"/>
      <c r="EEW103" s="978"/>
      <c r="EEX103" s="978"/>
      <c r="EEY103" s="978"/>
      <c r="EEZ103" s="978"/>
      <c r="EFA103" s="978"/>
      <c r="EFB103" s="978"/>
      <c r="EFC103" s="978"/>
      <c r="EFD103" s="978"/>
      <c r="EFE103" s="978"/>
      <c r="EFF103" s="978"/>
      <c r="EFG103" s="978"/>
      <c r="EFH103" s="978"/>
      <c r="EFI103" s="978"/>
      <c r="EFJ103" s="978"/>
      <c r="EFK103" s="978"/>
      <c r="EFL103" s="978"/>
      <c r="EFM103" s="978"/>
      <c r="EFN103" s="978"/>
      <c r="EFO103" s="978"/>
      <c r="EFP103" s="978"/>
      <c r="EFQ103" s="978"/>
      <c r="EFR103" s="978"/>
      <c r="EFS103" s="978"/>
      <c r="EFT103" s="978"/>
      <c r="EFU103" s="978"/>
      <c r="EFV103" s="978"/>
      <c r="EFW103" s="978"/>
      <c r="EFX103" s="978"/>
      <c r="EFY103" s="978"/>
      <c r="EFZ103" s="978"/>
      <c r="EGA103" s="978"/>
      <c r="EGB103" s="978"/>
      <c r="EGC103" s="978"/>
      <c r="EGD103" s="978"/>
      <c r="EGE103" s="978"/>
      <c r="EGF103" s="978"/>
      <c r="EGG103" s="978"/>
      <c r="EGH103" s="978"/>
      <c r="EGI103" s="978"/>
      <c r="EGJ103" s="978"/>
      <c r="EGK103" s="978"/>
      <c r="EGL103" s="978"/>
      <c r="EGM103" s="978"/>
      <c r="EGN103" s="978"/>
      <c r="EGO103" s="978"/>
      <c r="EGP103" s="978"/>
      <c r="EGQ103" s="978"/>
      <c r="EGR103" s="978"/>
      <c r="EGS103" s="978"/>
      <c r="EGT103" s="978"/>
      <c r="EGU103" s="978"/>
      <c r="EGV103" s="978"/>
      <c r="EGW103" s="978"/>
      <c r="EGX103" s="978"/>
      <c r="EGY103" s="978"/>
      <c r="EGZ103" s="978"/>
      <c r="EHA103" s="978"/>
      <c r="EHB103" s="978"/>
      <c r="EHC103" s="978"/>
      <c r="EHD103" s="978"/>
      <c r="EHE103" s="978"/>
      <c r="EHF103" s="978"/>
      <c r="EHG103" s="978"/>
      <c r="EHH103" s="978"/>
      <c r="EHI103" s="978"/>
      <c r="EHJ103" s="978"/>
      <c r="EHK103" s="978"/>
      <c r="EHL103" s="978"/>
      <c r="EHM103" s="978"/>
      <c r="EHN103" s="978"/>
      <c r="EHO103" s="978"/>
      <c r="EHP103" s="978"/>
      <c r="EHQ103" s="978"/>
      <c r="EHR103" s="978"/>
      <c r="EHS103" s="978"/>
      <c r="EHT103" s="978"/>
      <c r="EHU103" s="978"/>
      <c r="EHV103" s="978"/>
      <c r="EHW103" s="978"/>
      <c r="EHX103" s="978"/>
      <c r="EHY103" s="978"/>
      <c r="EHZ103" s="978"/>
      <c r="EIA103" s="978"/>
      <c r="EIB103" s="978"/>
      <c r="EIC103" s="978"/>
      <c r="EID103" s="978"/>
      <c r="EIE103" s="978"/>
      <c r="EIF103" s="978"/>
      <c r="EIG103" s="978"/>
      <c r="EIH103" s="978"/>
      <c r="EII103" s="978"/>
      <c r="EIJ103" s="978"/>
      <c r="EIK103" s="978"/>
      <c r="EIL103" s="978"/>
      <c r="EIM103" s="978"/>
      <c r="EIN103" s="978"/>
      <c r="EIO103" s="978"/>
      <c r="EIP103" s="978"/>
      <c r="EIQ103" s="978"/>
      <c r="EIR103" s="978"/>
      <c r="EIS103" s="978"/>
      <c r="EIT103" s="978"/>
      <c r="EIU103" s="978"/>
      <c r="EIV103" s="978"/>
      <c r="EIW103" s="978"/>
      <c r="EIX103" s="978"/>
      <c r="EIY103" s="978"/>
      <c r="EIZ103" s="978"/>
      <c r="EJA103" s="978"/>
      <c r="EJB103" s="978"/>
      <c r="EJC103" s="978"/>
      <c r="EJD103" s="978"/>
      <c r="EJE103" s="978"/>
      <c r="EJF103" s="978"/>
      <c r="EJG103" s="978"/>
      <c r="EJH103" s="978"/>
      <c r="EJI103" s="978"/>
      <c r="EJJ103" s="978"/>
      <c r="EJK103" s="978"/>
      <c r="EJL103" s="978"/>
      <c r="EJM103" s="978"/>
      <c r="EJN103" s="978"/>
      <c r="EJO103" s="978"/>
      <c r="EJP103" s="978"/>
      <c r="EJQ103" s="978"/>
      <c r="EJR103" s="978"/>
      <c r="EJS103" s="978"/>
      <c r="EJT103" s="978"/>
      <c r="EJU103" s="978"/>
      <c r="EJV103" s="978"/>
      <c r="EJW103" s="978"/>
      <c r="EJX103" s="978"/>
      <c r="EJY103" s="978"/>
      <c r="EJZ103" s="978"/>
      <c r="EKA103" s="978"/>
      <c r="EKB103" s="978"/>
      <c r="EKC103" s="978"/>
      <c r="EKD103" s="978"/>
      <c r="EKE103" s="978"/>
      <c r="EKF103" s="978"/>
      <c r="EKG103" s="978"/>
      <c r="EKH103" s="978"/>
      <c r="EKI103" s="978"/>
      <c r="EKJ103" s="978"/>
      <c r="EKK103" s="978"/>
      <c r="EKL103" s="978"/>
      <c r="EKM103" s="978"/>
      <c r="EKN103" s="978"/>
      <c r="EKO103" s="978"/>
      <c r="EKP103" s="978"/>
      <c r="EKQ103" s="978"/>
      <c r="EKR103" s="978"/>
      <c r="EKS103" s="978"/>
      <c r="EKT103" s="978"/>
      <c r="EKU103" s="978"/>
      <c r="EKV103" s="978"/>
      <c r="EKW103" s="978"/>
      <c r="EKX103" s="978"/>
      <c r="EKY103" s="978"/>
      <c r="EKZ103" s="978"/>
      <c r="ELA103" s="978"/>
      <c r="ELB103" s="978"/>
      <c r="ELC103" s="978"/>
      <c r="ELD103" s="978"/>
      <c r="ELE103" s="978"/>
      <c r="ELF103" s="978"/>
      <c r="ELG103" s="978"/>
      <c r="ELH103" s="978"/>
      <c r="ELI103" s="978"/>
      <c r="ELJ103" s="978"/>
      <c r="ELK103" s="978"/>
      <c r="ELL103" s="978"/>
      <c r="ELM103" s="978"/>
      <c r="ELN103" s="978"/>
      <c r="ELO103" s="978"/>
      <c r="ELP103" s="978"/>
      <c r="ELQ103" s="978"/>
      <c r="ELR103" s="978"/>
      <c r="ELS103" s="978"/>
      <c r="ELT103" s="978"/>
      <c r="ELU103" s="978"/>
      <c r="ELV103" s="978"/>
      <c r="ELW103" s="978"/>
      <c r="ELX103" s="978"/>
      <c r="ELY103" s="978"/>
      <c r="ELZ103" s="978"/>
      <c r="EMA103" s="978"/>
      <c r="EMB103" s="978"/>
      <c r="EMC103" s="978"/>
      <c r="EMD103" s="978"/>
      <c r="EME103" s="978"/>
      <c r="EMF103" s="978"/>
      <c r="EMG103" s="978"/>
      <c r="EMH103" s="978"/>
      <c r="EMI103" s="978"/>
      <c r="EMJ103" s="978"/>
      <c r="EMK103" s="978"/>
      <c r="EML103" s="978"/>
      <c r="EMM103" s="978"/>
      <c r="EMN103" s="978"/>
      <c r="EMO103" s="978"/>
      <c r="EMP103" s="978"/>
      <c r="EMQ103" s="978"/>
      <c r="EMR103" s="978"/>
      <c r="EMS103" s="978"/>
      <c r="EMT103" s="978"/>
      <c r="EMU103" s="978"/>
      <c r="EMV103" s="978"/>
      <c r="EMW103" s="978"/>
      <c r="EMX103" s="978"/>
      <c r="EMY103" s="978"/>
      <c r="EMZ103" s="978"/>
      <c r="ENA103" s="978"/>
      <c r="ENB103" s="978"/>
      <c r="ENC103" s="978"/>
      <c r="END103" s="978"/>
      <c r="ENE103" s="978"/>
      <c r="ENF103" s="978"/>
      <c r="ENG103" s="978"/>
      <c r="ENH103" s="978"/>
      <c r="ENI103" s="978"/>
      <c r="ENJ103" s="978"/>
      <c r="ENK103" s="978"/>
      <c r="ENL103" s="978"/>
      <c r="ENM103" s="978"/>
      <c r="ENN103" s="978"/>
      <c r="ENO103" s="978"/>
      <c r="ENP103" s="978"/>
      <c r="ENQ103" s="978"/>
      <c r="ENR103" s="978"/>
      <c r="ENS103" s="978"/>
      <c r="ENT103" s="978"/>
      <c r="ENU103" s="978"/>
      <c r="ENV103" s="978"/>
      <c r="ENW103" s="978"/>
      <c r="ENX103" s="978"/>
      <c r="ENY103" s="978"/>
      <c r="ENZ103" s="978"/>
      <c r="EOA103" s="978"/>
      <c r="EOB103" s="978"/>
      <c r="EOC103" s="978"/>
      <c r="EOD103" s="978"/>
      <c r="EOE103" s="978"/>
      <c r="EOF103" s="978"/>
      <c r="EOG103" s="978"/>
      <c r="EOH103" s="978"/>
      <c r="EOI103" s="978"/>
      <c r="EOJ103" s="978"/>
      <c r="EOK103" s="978"/>
      <c r="EOL103" s="978"/>
      <c r="EOM103" s="978"/>
      <c r="EON103" s="978"/>
      <c r="EOO103" s="978"/>
      <c r="EOP103" s="978"/>
      <c r="EOQ103" s="978"/>
      <c r="EOR103" s="978"/>
      <c r="EOS103" s="978"/>
      <c r="EOT103" s="978"/>
      <c r="EOU103" s="978"/>
      <c r="EOV103" s="978"/>
      <c r="EOW103" s="978"/>
      <c r="EOX103" s="978"/>
      <c r="EOY103" s="978"/>
      <c r="EOZ103" s="978"/>
      <c r="EPA103" s="978"/>
      <c r="EPB103" s="978"/>
      <c r="EPC103" s="978"/>
      <c r="EPD103" s="978"/>
      <c r="EPE103" s="978"/>
      <c r="EPF103" s="978"/>
      <c r="EPG103" s="978"/>
      <c r="EPH103" s="978"/>
      <c r="EPI103" s="978"/>
      <c r="EPJ103" s="978"/>
      <c r="EPK103" s="978"/>
      <c r="EPL103" s="978"/>
      <c r="EPM103" s="978"/>
      <c r="EPN103" s="978"/>
      <c r="EPO103" s="978"/>
      <c r="EPP103" s="978"/>
      <c r="EPQ103" s="978"/>
      <c r="EPR103" s="978"/>
      <c r="EPS103" s="978"/>
      <c r="EPT103" s="978"/>
      <c r="EPU103" s="978"/>
      <c r="EPV103" s="978"/>
      <c r="EPW103" s="978"/>
      <c r="EPX103" s="978"/>
      <c r="EPY103" s="978"/>
      <c r="EPZ103" s="978"/>
      <c r="EQA103" s="978"/>
      <c r="EQB103" s="978"/>
      <c r="EQC103" s="978"/>
      <c r="EQD103" s="978"/>
      <c r="EQE103" s="978"/>
      <c r="EQF103" s="978"/>
      <c r="EQG103" s="978"/>
      <c r="EQH103" s="978"/>
      <c r="EQI103" s="978"/>
      <c r="EQJ103" s="978"/>
      <c r="EQK103" s="978"/>
      <c r="EQL103" s="978"/>
      <c r="EQM103" s="978"/>
      <c r="EQN103" s="978"/>
      <c r="EQO103" s="978"/>
      <c r="EQP103" s="978"/>
      <c r="EQQ103" s="978"/>
      <c r="EQR103" s="978"/>
      <c r="EQS103" s="978"/>
      <c r="EQT103" s="978"/>
      <c r="EQU103" s="978"/>
      <c r="EQV103" s="978"/>
      <c r="EQW103" s="978"/>
      <c r="EQX103" s="978"/>
      <c r="EQY103" s="978"/>
      <c r="EQZ103" s="978"/>
      <c r="ERA103" s="978"/>
      <c r="ERB103" s="978"/>
      <c r="ERC103" s="978"/>
      <c r="ERD103" s="978"/>
      <c r="ERE103" s="978"/>
      <c r="ERF103" s="978"/>
      <c r="ERG103" s="978"/>
      <c r="ERH103" s="978"/>
      <c r="ERI103" s="978"/>
      <c r="ERJ103" s="978"/>
      <c r="ERK103" s="978"/>
      <c r="ERL103" s="978"/>
      <c r="ERM103" s="978"/>
      <c r="ERN103" s="978"/>
      <c r="ERO103" s="978"/>
      <c r="ERP103" s="978"/>
      <c r="ERQ103" s="978"/>
      <c r="ERR103" s="978"/>
      <c r="ERS103" s="978"/>
      <c r="ERT103" s="978"/>
      <c r="ERU103" s="978"/>
      <c r="ERV103" s="978"/>
      <c r="ERW103" s="978"/>
      <c r="ERX103" s="978"/>
      <c r="ERY103" s="978"/>
      <c r="ERZ103" s="978"/>
      <c r="ESA103" s="978"/>
      <c r="ESB103" s="978"/>
      <c r="ESC103" s="978"/>
      <c r="ESD103" s="978"/>
      <c r="ESE103" s="978"/>
      <c r="ESF103" s="978"/>
      <c r="ESG103" s="978"/>
      <c r="ESH103" s="978"/>
      <c r="ESI103" s="978"/>
      <c r="ESJ103" s="978"/>
      <c r="ESK103" s="978"/>
      <c r="ESL103" s="978"/>
      <c r="ESM103" s="978"/>
      <c r="ESN103" s="978"/>
      <c r="ESO103" s="978"/>
      <c r="ESP103" s="978"/>
      <c r="ESQ103" s="978"/>
      <c r="ESR103" s="978"/>
      <c r="ESS103" s="978"/>
      <c r="EST103" s="978"/>
      <c r="ESU103" s="978"/>
      <c r="ESV103" s="978"/>
      <c r="ESW103" s="978"/>
      <c r="ESX103" s="978"/>
      <c r="ESY103" s="978"/>
      <c r="ESZ103" s="978"/>
      <c r="ETA103" s="978"/>
      <c r="ETB103" s="978"/>
      <c r="ETC103" s="978"/>
      <c r="ETD103" s="978"/>
      <c r="ETE103" s="978"/>
      <c r="ETF103" s="978"/>
      <c r="ETG103" s="978"/>
      <c r="ETH103" s="978"/>
      <c r="ETI103" s="978"/>
      <c r="ETJ103" s="978"/>
      <c r="ETK103" s="978"/>
      <c r="ETL103" s="978"/>
      <c r="ETM103" s="978"/>
      <c r="ETN103" s="978"/>
      <c r="ETO103" s="978"/>
      <c r="ETP103" s="978"/>
      <c r="ETQ103" s="978"/>
      <c r="ETR103" s="978"/>
      <c r="ETS103" s="978"/>
      <c r="ETT103" s="978"/>
      <c r="ETU103" s="978"/>
      <c r="ETV103" s="978"/>
      <c r="ETW103" s="978"/>
      <c r="ETX103" s="978"/>
      <c r="ETY103" s="978"/>
      <c r="ETZ103" s="978"/>
      <c r="EUA103" s="978"/>
      <c r="EUB103" s="978"/>
      <c r="EUC103" s="978"/>
      <c r="EUD103" s="978"/>
      <c r="EUE103" s="978"/>
      <c r="EUF103" s="978"/>
      <c r="EUG103" s="978"/>
      <c r="EUH103" s="978"/>
      <c r="EUI103" s="978"/>
      <c r="EUJ103" s="978"/>
      <c r="EUK103" s="978"/>
      <c r="EUL103" s="978"/>
      <c r="EUM103" s="978"/>
      <c r="EUN103" s="978"/>
      <c r="EUO103" s="978"/>
      <c r="EUP103" s="978"/>
      <c r="EUQ103" s="978"/>
      <c r="EUR103" s="978"/>
      <c r="EUS103" s="978"/>
      <c r="EUT103" s="978"/>
      <c r="EUU103" s="978"/>
      <c r="EUV103" s="978"/>
      <c r="EUW103" s="978"/>
      <c r="EUX103" s="978"/>
      <c r="EUY103" s="978"/>
      <c r="EUZ103" s="978"/>
      <c r="EVA103" s="978"/>
      <c r="EVB103" s="978"/>
      <c r="EVC103" s="978"/>
      <c r="EVD103" s="978"/>
      <c r="EVE103" s="978"/>
      <c r="EVF103" s="978"/>
      <c r="EVG103" s="978"/>
      <c r="EVH103" s="978"/>
      <c r="EVI103" s="978"/>
      <c r="EVJ103" s="978"/>
      <c r="EVK103" s="978"/>
      <c r="EVL103" s="978"/>
      <c r="EVM103" s="978"/>
      <c r="EVN103" s="978"/>
      <c r="EVO103" s="978"/>
      <c r="EVP103" s="978"/>
      <c r="EVQ103" s="978"/>
      <c r="EVR103" s="978"/>
      <c r="EVS103" s="978"/>
      <c r="EVT103" s="978"/>
      <c r="EVU103" s="978"/>
      <c r="EVV103" s="978"/>
      <c r="EVW103" s="978"/>
      <c r="EVX103" s="978"/>
      <c r="EVY103" s="978"/>
      <c r="EVZ103" s="978"/>
      <c r="EWA103" s="978"/>
      <c r="EWB103" s="978"/>
      <c r="EWC103" s="978"/>
      <c r="EWD103" s="978"/>
      <c r="EWE103" s="978"/>
      <c r="EWF103" s="978"/>
      <c r="EWG103" s="978"/>
      <c r="EWH103" s="978"/>
      <c r="EWI103" s="978"/>
      <c r="EWJ103" s="978"/>
      <c r="EWK103" s="978"/>
      <c r="EWL103" s="978"/>
      <c r="EWM103" s="978"/>
      <c r="EWN103" s="978"/>
      <c r="EWO103" s="978"/>
      <c r="EWP103" s="978"/>
      <c r="EWQ103" s="978"/>
      <c r="EWR103" s="978"/>
      <c r="EWS103" s="978"/>
      <c r="EWT103" s="978"/>
      <c r="EWU103" s="978"/>
      <c r="EWV103" s="978"/>
      <c r="EWW103" s="978"/>
      <c r="EWX103" s="978"/>
      <c r="EWY103" s="978"/>
      <c r="EWZ103" s="978"/>
      <c r="EXA103" s="978"/>
      <c r="EXB103" s="978"/>
      <c r="EXC103" s="978"/>
      <c r="EXD103" s="978"/>
      <c r="EXE103" s="978"/>
      <c r="EXF103" s="978"/>
      <c r="EXG103" s="978"/>
      <c r="EXH103" s="978"/>
      <c r="EXI103" s="978"/>
      <c r="EXJ103" s="978"/>
      <c r="EXK103" s="978"/>
      <c r="EXL103" s="978"/>
      <c r="EXM103" s="978"/>
      <c r="EXN103" s="978"/>
      <c r="EXO103" s="978"/>
      <c r="EXP103" s="978"/>
      <c r="EXQ103" s="978"/>
      <c r="EXR103" s="978"/>
      <c r="EXS103" s="978"/>
      <c r="EXT103" s="978"/>
      <c r="EXU103" s="978"/>
      <c r="EXV103" s="978"/>
      <c r="EXW103" s="978"/>
      <c r="EXX103" s="978"/>
      <c r="EXY103" s="978"/>
      <c r="EXZ103" s="978"/>
      <c r="EYA103" s="978"/>
      <c r="EYB103" s="978"/>
      <c r="EYC103" s="978"/>
      <c r="EYD103" s="978"/>
      <c r="EYE103" s="978"/>
      <c r="EYF103" s="978"/>
      <c r="EYG103" s="978"/>
      <c r="EYH103" s="978"/>
      <c r="EYI103" s="978"/>
      <c r="EYJ103" s="978"/>
      <c r="EYK103" s="978"/>
      <c r="EYL103" s="978"/>
      <c r="EYM103" s="978"/>
      <c r="EYN103" s="978"/>
      <c r="EYO103" s="978"/>
      <c r="EYP103" s="978"/>
      <c r="EYQ103" s="978"/>
      <c r="EYR103" s="978"/>
      <c r="EYS103" s="978"/>
      <c r="EYT103" s="978"/>
      <c r="EYU103" s="978"/>
      <c r="EYV103" s="978"/>
      <c r="EYW103" s="978"/>
      <c r="EYX103" s="978"/>
      <c r="EYY103" s="978"/>
      <c r="EYZ103" s="978"/>
      <c r="EZA103" s="978"/>
      <c r="EZB103" s="978"/>
      <c r="EZC103" s="978"/>
      <c r="EZD103" s="978"/>
      <c r="EZE103" s="978"/>
      <c r="EZF103" s="978"/>
      <c r="EZG103" s="978"/>
      <c r="EZH103" s="978"/>
      <c r="EZI103" s="978"/>
      <c r="EZJ103" s="978"/>
      <c r="EZK103" s="978"/>
      <c r="EZL103" s="978"/>
      <c r="EZM103" s="978"/>
      <c r="EZN103" s="978"/>
      <c r="EZO103" s="978"/>
      <c r="EZP103" s="978"/>
      <c r="EZQ103" s="978"/>
      <c r="EZR103" s="978"/>
      <c r="EZS103" s="978"/>
      <c r="EZT103" s="978"/>
      <c r="EZU103" s="978"/>
      <c r="EZV103" s="978"/>
      <c r="EZW103" s="978"/>
      <c r="EZX103" s="978"/>
      <c r="EZY103" s="978"/>
      <c r="EZZ103" s="978"/>
      <c r="FAA103" s="978"/>
      <c r="FAB103" s="978"/>
      <c r="FAC103" s="978"/>
      <c r="FAD103" s="978"/>
      <c r="FAE103" s="978"/>
      <c r="FAF103" s="978"/>
      <c r="FAG103" s="978"/>
      <c r="FAH103" s="978"/>
      <c r="FAI103" s="978"/>
      <c r="FAJ103" s="978"/>
      <c r="FAK103" s="978"/>
      <c r="FAL103" s="978"/>
      <c r="FAM103" s="978"/>
      <c r="FAN103" s="978"/>
      <c r="FAO103" s="978"/>
      <c r="FAP103" s="978"/>
      <c r="FAQ103" s="978"/>
      <c r="FAR103" s="978"/>
      <c r="FAS103" s="978"/>
      <c r="FAT103" s="978"/>
      <c r="FAU103" s="978"/>
      <c r="FAV103" s="978"/>
      <c r="FAW103" s="978"/>
      <c r="FAX103" s="978"/>
      <c r="FAY103" s="978"/>
      <c r="FAZ103" s="978"/>
      <c r="FBA103" s="978"/>
      <c r="FBB103" s="978"/>
      <c r="FBC103" s="978"/>
      <c r="FBD103" s="978"/>
      <c r="FBE103" s="978"/>
      <c r="FBF103" s="978"/>
      <c r="FBG103" s="978"/>
      <c r="FBH103" s="978"/>
      <c r="FBI103" s="978"/>
      <c r="FBJ103" s="978"/>
      <c r="FBK103" s="978"/>
      <c r="FBL103" s="978"/>
      <c r="FBM103" s="978"/>
      <c r="FBN103" s="978"/>
      <c r="FBO103" s="978"/>
      <c r="FBP103" s="978"/>
      <c r="FBQ103" s="978"/>
      <c r="FBR103" s="978"/>
      <c r="FBS103" s="978"/>
      <c r="FBT103" s="978"/>
      <c r="FBU103" s="978"/>
      <c r="FBV103" s="978"/>
      <c r="FBW103" s="978"/>
      <c r="FBX103" s="978"/>
      <c r="FBY103" s="978"/>
      <c r="FBZ103" s="978"/>
      <c r="FCA103" s="978"/>
      <c r="FCB103" s="978"/>
      <c r="FCC103" s="978"/>
      <c r="FCD103" s="978"/>
      <c r="FCE103" s="978"/>
      <c r="FCF103" s="978"/>
      <c r="FCG103" s="978"/>
      <c r="FCH103" s="978"/>
      <c r="FCI103" s="978"/>
      <c r="FCJ103" s="978"/>
      <c r="FCK103" s="978"/>
      <c r="FCL103" s="978"/>
      <c r="FCM103" s="978"/>
      <c r="FCN103" s="978"/>
      <c r="FCO103" s="978"/>
      <c r="FCP103" s="978"/>
      <c r="FCQ103" s="978"/>
      <c r="FCR103" s="978"/>
      <c r="FCS103" s="978"/>
      <c r="FCT103" s="978"/>
      <c r="FCU103" s="978"/>
      <c r="FCV103" s="978"/>
      <c r="FCW103" s="978"/>
      <c r="FCX103" s="978"/>
      <c r="FCY103" s="978"/>
      <c r="FCZ103" s="978"/>
      <c r="FDA103" s="978"/>
      <c r="FDB103" s="978"/>
      <c r="FDC103" s="978"/>
      <c r="FDD103" s="978"/>
      <c r="FDE103" s="978"/>
      <c r="FDF103" s="978"/>
      <c r="FDG103" s="978"/>
      <c r="FDH103" s="978"/>
      <c r="FDI103" s="978"/>
      <c r="FDJ103" s="978"/>
      <c r="FDK103" s="978"/>
      <c r="FDL103" s="978"/>
      <c r="FDM103" s="978"/>
      <c r="FDN103" s="978"/>
      <c r="FDO103" s="978"/>
      <c r="FDP103" s="978"/>
      <c r="FDQ103" s="978"/>
      <c r="FDR103" s="978"/>
      <c r="FDS103" s="978"/>
      <c r="FDT103" s="978"/>
      <c r="FDU103" s="978"/>
      <c r="FDV103" s="978"/>
      <c r="FDW103" s="978"/>
      <c r="FDX103" s="978"/>
      <c r="FDY103" s="978"/>
      <c r="FDZ103" s="978"/>
      <c r="FEA103" s="978"/>
      <c r="FEB103" s="978"/>
      <c r="FEC103" s="978"/>
      <c r="FED103" s="978"/>
      <c r="FEE103" s="978"/>
      <c r="FEF103" s="978"/>
      <c r="FEG103" s="978"/>
      <c r="FEH103" s="978"/>
      <c r="FEI103" s="978"/>
      <c r="FEJ103" s="978"/>
      <c r="FEK103" s="978"/>
      <c r="FEL103" s="978"/>
      <c r="FEM103" s="978"/>
      <c r="FEN103" s="978"/>
      <c r="FEO103" s="978"/>
      <c r="FEP103" s="978"/>
      <c r="FEQ103" s="978"/>
      <c r="FER103" s="978"/>
      <c r="FES103" s="978"/>
      <c r="FET103" s="978"/>
      <c r="FEU103" s="978"/>
      <c r="FEV103" s="978"/>
      <c r="FEW103" s="978"/>
      <c r="FEX103" s="978"/>
      <c r="FEY103" s="978"/>
      <c r="FEZ103" s="978"/>
      <c r="FFA103" s="978"/>
      <c r="FFB103" s="978"/>
      <c r="FFC103" s="978"/>
      <c r="FFD103" s="978"/>
      <c r="FFE103" s="978"/>
      <c r="FFF103" s="978"/>
      <c r="FFG103" s="978"/>
      <c r="FFH103" s="978"/>
      <c r="FFI103" s="978"/>
      <c r="FFJ103" s="978"/>
      <c r="FFK103" s="978"/>
      <c r="FFL103" s="978"/>
      <c r="FFM103" s="978"/>
      <c r="FFN103" s="978"/>
      <c r="FFO103" s="978"/>
      <c r="FFP103" s="978"/>
      <c r="FFQ103" s="978"/>
      <c r="FFR103" s="978"/>
      <c r="FFS103" s="978"/>
      <c r="FFT103" s="978"/>
      <c r="FFU103" s="978"/>
      <c r="FFV103" s="978"/>
      <c r="FFW103" s="978"/>
      <c r="FFX103" s="978"/>
      <c r="FFY103" s="978"/>
      <c r="FFZ103" s="978"/>
      <c r="FGA103" s="978"/>
      <c r="FGB103" s="978"/>
      <c r="FGC103" s="978"/>
      <c r="FGD103" s="978"/>
      <c r="FGE103" s="978"/>
      <c r="FGF103" s="978"/>
      <c r="FGG103" s="978"/>
      <c r="FGH103" s="978"/>
      <c r="FGI103" s="978"/>
      <c r="FGJ103" s="978"/>
      <c r="FGK103" s="978"/>
      <c r="FGL103" s="978"/>
      <c r="FGM103" s="978"/>
      <c r="FGN103" s="978"/>
      <c r="FGO103" s="978"/>
      <c r="FGP103" s="978"/>
      <c r="FGQ103" s="978"/>
      <c r="FGR103" s="978"/>
      <c r="FGS103" s="978"/>
      <c r="FGT103" s="978"/>
      <c r="FGU103" s="978"/>
      <c r="FGV103" s="978"/>
      <c r="FGW103" s="978"/>
      <c r="FGX103" s="978"/>
      <c r="FGY103" s="978"/>
      <c r="FGZ103" s="978"/>
      <c r="FHA103" s="978"/>
      <c r="FHB103" s="978"/>
      <c r="FHC103" s="978"/>
      <c r="FHD103" s="978"/>
      <c r="FHE103" s="978"/>
      <c r="FHF103" s="978"/>
      <c r="FHG103" s="978"/>
      <c r="FHH103" s="978"/>
      <c r="FHI103" s="978"/>
      <c r="FHJ103" s="978"/>
      <c r="FHK103" s="978"/>
      <c r="FHL103" s="978"/>
      <c r="FHM103" s="978"/>
      <c r="FHN103" s="978"/>
      <c r="FHO103" s="978"/>
      <c r="FHP103" s="978"/>
      <c r="FHQ103" s="978"/>
      <c r="FHR103" s="978"/>
      <c r="FHS103" s="978"/>
      <c r="FHT103" s="978"/>
      <c r="FHU103" s="978"/>
      <c r="FHV103" s="978"/>
      <c r="FHW103" s="978"/>
      <c r="FHX103" s="978"/>
      <c r="FHY103" s="978"/>
      <c r="FHZ103" s="978"/>
      <c r="FIA103" s="978"/>
      <c r="FIB103" s="978"/>
      <c r="FIC103" s="978"/>
      <c r="FID103" s="978"/>
      <c r="FIE103" s="978"/>
      <c r="FIF103" s="978"/>
      <c r="FIG103" s="978"/>
      <c r="FIH103" s="978"/>
      <c r="FII103" s="978"/>
      <c r="FIJ103" s="978"/>
      <c r="FIK103" s="978"/>
      <c r="FIL103" s="978"/>
      <c r="FIM103" s="978"/>
      <c r="FIN103" s="978"/>
      <c r="FIO103" s="978"/>
      <c r="FIP103" s="978"/>
      <c r="FIQ103" s="978"/>
      <c r="FIR103" s="978"/>
      <c r="FIS103" s="978"/>
      <c r="FIT103" s="978"/>
      <c r="FIU103" s="978"/>
      <c r="FIV103" s="978"/>
      <c r="FIW103" s="978"/>
      <c r="FIX103" s="978"/>
      <c r="FIY103" s="978"/>
      <c r="FIZ103" s="978"/>
      <c r="FJA103" s="978"/>
      <c r="FJB103" s="978"/>
      <c r="FJC103" s="978"/>
      <c r="FJD103" s="978"/>
      <c r="FJE103" s="978"/>
      <c r="FJF103" s="978"/>
      <c r="FJG103" s="978"/>
      <c r="FJH103" s="978"/>
      <c r="FJI103" s="978"/>
      <c r="FJJ103" s="978"/>
      <c r="FJK103" s="978"/>
      <c r="FJL103" s="978"/>
      <c r="FJM103" s="978"/>
      <c r="FJN103" s="978"/>
      <c r="FJO103" s="978"/>
      <c r="FJP103" s="978"/>
      <c r="FJQ103" s="978"/>
      <c r="FJR103" s="978"/>
      <c r="FJS103" s="978"/>
      <c r="FJT103" s="978"/>
      <c r="FJU103" s="978"/>
      <c r="FJV103" s="978"/>
      <c r="FJW103" s="978"/>
      <c r="FJX103" s="978"/>
      <c r="FJY103" s="978"/>
      <c r="FJZ103" s="978"/>
      <c r="FKA103" s="978"/>
      <c r="FKB103" s="978"/>
      <c r="FKC103" s="978"/>
      <c r="FKD103" s="978"/>
      <c r="FKE103" s="978"/>
      <c r="FKF103" s="978"/>
      <c r="FKG103" s="978"/>
      <c r="FKH103" s="978"/>
      <c r="FKI103" s="978"/>
      <c r="FKJ103" s="978"/>
      <c r="FKK103" s="978"/>
      <c r="FKL103" s="978"/>
      <c r="FKM103" s="978"/>
      <c r="FKN103" s="978"/>
      <c r="FKO103" s="978"/>
      <c r="FKP103" s="978"/>
      <c r="FKQ103" s="978"/>
      <c r="FKR103" s="978"/>
      <c r="FKS103" s="978"/>
      <c r="FKT103" s="978"/>
      <c r="FKU103" s="978"/>
      <c r="FKV103" s="978"/>
      <c r="FKW103" s="978"/>
      <c r="FKX103" s="978"/>
      <c r="FKY103" s="978"/>
      <c r="FKZ103" s="978"/>
      <c r="FLA103" s="978"/>
      <c r="FLB103" s="978"/>
      <c r="FLC103" s="978"/>
      <c r="FLD103" s="978"/>
      <c r="FLE103" s="978"/>
      <c r="FLF103" s="978"/>
      <c r="FLG103" s="978"/>
      <c r="FLH103" s="978"/>
      <c r="FLI103" s="978"/>
      <c r="FLJ103" s="978"/>
      <c r="FLK103" s="978"/>
      <c r="FLL103" s="978"/>
      <c r="FLM103" s="978"/>
      <c r="FLN103" s="978"/>
      <c r="FLO103" s="978"/>
      <c r="FLP103" s="978"/>
      <c r="FLQ103" s="978"/>
      <c r="FLR103" s="978"/>
      <c r="FLS103" s="978"/>
      <c r="FLT103" s="978"/>
      <c r="FLU103" s="978"/>
      <c r="FLV103" s="978"/>
      <c r="FLW103" s="978"/>
      <c r="FLX103" s="978"/>
      <c r="FLY103" s="978"/>
      <c r="FLZ103" s="978"/>
      <c r="FMA103" s="978"/>
      <c r="FMB103" s="978"/>
      <c r="FMC103" s="978"/>
      <c r="FMD103" s="978"/>
      <c r="FME103" s="978"/>
      <c r="FMF103" s="978"/>
      <c r="FMG103" s="978"/>
      <c r="FMH103" s="978"/>
      <c r="FMI103" s="978"/>
      <c r="FMJ103" s="978"/>
      <c r="FMK103" s="978"/>
      <c r="FML103" s="978"/>
      <c r="FMM103" s="978"/>
      <c r="FMN103" s="978"/>
      <c r="FMO103" s="978"/>
      <c r="FMP103" s="978"/>
      <c r="FMQ103" s="978"/>
      <c r="FMR103" s="978"/>
      <c r="FMS103" s="978"/>
      <c r="FMT103" s="978"/>
      <c r="FMU103" s="978"/>
      <c r="FMV103" s="978"/>
      <c r="FMW103" s="978"/>
      <c r="FMX103" s="978"/>
      <c r="FMY103" s="978"/>
      <c r="FMZ103" s="978"/>
      <c r="FNA103" s="978"/>
      <c r="FNB103" s="978"/>
      <c r="FNC103" s="978"/>
      <c r="FND103" s="978"/>
      <c r="FNE103" s="978"/>
      <c r="FNF103" s="978"/>
      <c r="FNG103" s="978"/>
      <c r="FNH103" s="978"/>
      <c r="FNI103" s="978"/>
      <c r="FNJ103" s="978"/>
      <c r="FNK103" s="978"/>
      <c r="FNL103" s="978"/>
      <c r="FNM103" s="978"/>
      <c r="FNN103" s="978"/>
      <c r="FNO103" s="978"/>
      <c r="FNP103" s="978"/>
      <c r="FNQ103" s="978"/>
      <c r="FNR103" s="978"/>
      <c r="FNS103" s="978"/>
      <c r="FNT103" s="978"/>
      <c r="FNU103" s="978"/>
      <c r="FNV103" s="978"/>
      <c r="FNW103" s="978"/>
      <c r="FNX103" s="978"/>
      <c r="FNY103" s="978"/>
      <c r="FNZ103" s="978"/>
      <c r="FOA103" s="978"/>
      <c r="FOB103" s="978"/>
      <c r="FOC103" s="978"/>
      <c r="FOD103" s="978"/>
      <c r="FOE103" s="978"/>
      <c r="FOF103" s="978"/>
      <c r="FOG103" s="978"/>
      <c r="FOH103" s="978"/>
      <c r="FOI103" s="978"/>
      <c r="FOJ103" s="978"/>
      <c r="FOK103" s="978"/>
      <c r="FOL103" s="978"/>
      <c r="FOM103" s="978"/>
      <c r="FON103" s="978"/>
      <c r="FOO103" s="978"/>
      <c r="FOP103" s="978"/>
      <c r="FOQ103" s="978"/>
      <c r="FOR103" s="978"/>
      <c r="FOS103" s="978"/>
      <c r="FOT103" s="978"/>
      <c r="FOU103" s="978"/>
      <c r="FOV103" s="978"/>
      <c r="FOW103" s="978"/>
      <c r="FOX103" s="978"/>
      <c r="FOY103" s="978"/>
      <c r="FOZ103" s="978"/>
      <c r="FPA103" s="978"/>
      <c r="FPB103" s="978"/>
      <c r="FPC103" s="978"/>
      <c r="FPD103" s="978"/>
      <c r="FPE103" s="978"/>
      <c r="FPF103" s="978"/>
      <c r="FPG103" s="978"/>
      <c r="FPH103" s="978"/>
      <c r="FPI103" s="978"/>
      <c r="FPJ103" s="978"/>
      <c r="FPK103" s="978"/>
      <c r="FPL103" s="978"/>
      <c r="FPM103" s="978"/>
      <c r="FPN103" s="978"/>
      <c r="FPO103" s="978"/>
      <c r="FPP103" s="978"/>
      <c r="FPQ103" s="978"/>
      <c r="FPR103" s="978"/>
      <c r="FPS103" s="978"/>
      <c r="FPT103" s="978"/>
      <c r="FPU103" s="978"/>
      <c r="FPV103" s="978"/>
      <c r="FPW103" s="978"/>
      <c r="FPX103" s="978"/>
      <c r="FPY103" s="978"/>
      <c r="FPZ103" s="978"/>
      <c r="FQA103" s="978"/>
      <c r="FQB103" s="978"/>
      <c r="FQC103" s="978"/>
      <c r="FQD103" s="978"/>
      <c r="FQE103" s="978"/>
      <c r="FQF103" s="978"/>
      <c r="FQG103" s="978"/>
      <c r="FQH103" s="978"/>
      <c r="FQI103" s="978"/>
      <c r="FQJ103" s="978"/>
      <c r="FQK103" s="978"/>
      <c r="FQL103" s="978"/>
      <c r="FQM103" s="978"/>
      <c r="FQN103" s="978"/>
      <c r="FQO103" s="978"/>
      <c r="FQP103" s="978"/>
      <c r="FQQ103" s="978"/>
      <c r="FQR103" s="978"/>
      <c r="FQS103" s="978"/>
      <c r="FQT103" s="978"/>
      <c r="FQU103" s="978"/>
      <c r="FQV103" s="978"/>
      <c r="FQW103" s="978"/>
      <c r="FQX103" s="978"/>
      <c r="FQY103" s="978"/>
      <c r="FQZ103" s="978"/>
      <c r="FRA103" s="978"/>
      <c r="FRB103" s="978"/>
      <c r="FRC103" s="978"/>
      <c r="FRD103" s="978"/>
      <c r="FRE103" s="978"/>
      <c r="FRF103" s="978"/>
      <c r="FRG103" s="978"/>
      <c r="FRH103" s="978"/>
      <c r="FRI103" s="978"/>
      <c r="FRJ103" s="978"/>
      <c r="FRK103" s="978"/>
      <c r="FRL103" s="978"/>
      <c r="FRM103" s="978"/>
      <c r="FRN103" s="978"/>
      <c r="FRO103" s="978"/>
      <c r="FRP103" s="978"/>
      <c r="FRQ103" s="978"/>
      <c r="FRR103" s="978"/>
      <c r="FRS103" s="978"/>
      <c r="FRT103" s="978"/>
      <c r="FRU103" s="978"/>
      <c r="FRV103" s="978"/>
      <c r="FRW103" s="978"/>
      <c r="FRX103" s="978"/>
      <c r="FRY103" s="978"/>
      <c r="FRZ103" s="978"/>
      <c r="FSA103" s="978"/>
      <c r="FSB103" s="978"/>
      <c r="FSC103" s="978"/>
      <c r="FSD103" s="978"/>
      <c r="FSE103" s="978"/>
      <c r="FSF103" s="978"/>
      <c r="FSG103" s="978"/>
      <c r="FSH103" s="978"/>
      <c r="FSI103" s="978"/>
      <c r="FSJ103" s="978"/>
      <c r="FSK103" s="978"/>
      <c r="FSL103" s="978"/>
      <c r="FSM103" s="978"/>
      <c r="FSN103" s="978"/>
      <c r="FSO103" s="978"/>
      <c r="FSP103" s="978"/>
      <c r="FSQ103" s="978"/>
      <c r="FSR103" s="978"/>
      <c r="FSS103" s="978"/>
      <c r="FST103" s="978"/>
      <c r="FSU103" s="978"/>
      <c r="FSV103" s="978"/>
      <c r="FSW103" s="978"/>
      <c r="FSX103" s="978"/>
      <c r="FSY103" s="978"/>
      <c r="FSZ103" s="978"/>
      <c r="FTA103" s="978"/>
      <c r="FTB103" s="978"/>
      <c r="FTC103" s="978"/>
      <c r="FTD103" s="978"/>
      <c r="FTE103" s="978"/>
      <c r="FTF103" s="978"/>
      <c r="FTG103" s="978"/>
      <c r="FTH103" s="978"/>
      <c r="FTI103" s="978"/>
      <c r="FTJ103" s="978"/>
      <c r="FTK103" s="978"/>
      <c r="FTL103" s="978"/>
      <c r="FTM103" s="978"/>
      <c r="FTN103" s="978"/>
      <c r="FTO103" s="978"/>
      <c r="FTP103" s="978"/>
      <c r="FTQ103" s="978"/>
      <c r="FTR103" s="978"/>
      <c r="FTS103" s="978"/>
      <c r="FTT103" s="978"/>
      <c r="FTU103" s="978"/>
      <c r="FTV103" s="978"/>
      <c r="FTW103" s="978"/>
      <c r="FTX103" s="978"/>
      <c r="FTY103" s="978"/>
      <c r="FTZ103" s="978"/>
      <c r="FUA103" s="978"/>
      <c r="FUB103" s="978"/>
      <c r="FUC103" s="978"/>
      <c r="FUD103" s="978"/>
      <c r="FUE103" s="978"/>
      <c r="FUF103" s="978"/>
      <c r="FUG103" s="978"/>
      <c r="FUH103" s="978"/>
      <c r="FUI103" s="978"/>
      <c r="FUJ103" s="978"/>
      <c r="FUK103" s="978"/>
      <c r="FUL103" s="978"/>
      <c r="FUM103" s="978"/>
      <c r="FUN103" s="978"/>
      <c r="FUO103" s="978"/>
      <c r="FUP103" s="978"/>
      <c r="FUQ103" s="978"/>
      <c r="FUR103" s="978"/>
      <c r="FUS103" s="978"/>
      <c r="FUT103" s="978"/>
      <c r="FUU103" s="978"/>
      <c r="FUV103" s="978"/>
      <c r="FUW103" s="978"/>
      <c r="FUX103" s="978"/>
      <c r="FUY103" s="978"/>
      <c r="FUZ103" s="978"/>
      <c r="FVA103" s="978"/>
      <c r="FVB103" s="978"/>
      <c r="FVC103" s="978"/>
      <c r="FVD103" s="978"/>
      <c r="FVE103" s="978"/>
      <c r="FVF103" s="978"/>
      <c r="FVG103" s="978"/>
      <c r="FVH103" s="978"/>
      <c r="FVI103" s="978"/>
      <c r="FVJ103" s="978"/>
      <c r="FVK103" s="978"/>
      <c r="FVL103" s="978"/>
      <c r="FVM103" s="978"/>
      <c r="FVN103" s="978"/>
      <c r="FVO103" s="978"/>
      <c r="FVP103" s="978"/>
      <c r="FVQ103" s="978"/>
      <c r="FVR103" s="978"/>
      <c r="FVS103" s="978"/>
      <c r="FVT103" s="978"/>
      <c r="FVU103" s="978"/>
      <c r="FVV103" s="978"/>
      <c r="FVW103" s="978"/>
      <c r="FVX103" s="978"/>
      <c r="FVY103" s="978"/>
      <c r="FVZ103" s="978"/>
      <c r="FWA103" s="978"/>
      <c r="FWB103" s="978"/>
      <c r="FWC103" s="978"/>
      <c r="FWD103" s="978"/>
      <c r="FWE103" s="978"/>
      <c r="FWF103" s="978"/>
      <c r="FWG103" s="978"/>
      <c r="FWH103" s="978"/>
      <c r="FWI103" s="978"/>
      <c r="FWJ103" s="978"/>
      <c r="FWK103" s="978"/>
      <c r="FWL103" s="978"/>
      <c r="FWM103" s="978"/>
      <c r="FWN103" s="978"/>
      <c r="FWO103" s="978"/>
      <c r="FWP103" s="978"/>
      <c r="FWQ103" s="978"/>
      <c r="FWR103" s="978"/>
      <c r="FWS103" s="978"/>
      <c r="FWT103" s="978"/>
      <c r="FWU103" s="978"/>
      <c r="FWV103" s="978"/>
      <c r="FWW103" s="978"/>
      <c r="FWX103" s="978"/>
      <c r="FWY103" s="978"/>
      <c r="FWZ103" s="978"/>
      <c r="FXA103" s="978"/>
      <c r="FXB103" s="978"/>
      <c r="FXC103" s="978"/>
      <c r="FXD103" s="978"/>
      <c r="FXE103" s="978"/>
      <c r="FXF103" s="978"/>
      <c r="FXG103" s="978"/>
      <c r="FXH103" s="978"/>
      <c r="FXI103" s="978"/>
      <c r="FXJ103" s="978"/>
      <c r="FXK103" s="978"/>
      <c r="FXL103" s="978"/>
      <c r="FXM103" s="978"/>
      <c r="FXN103" s="978"/>
      <c r="FXO103" s="978"/>
      <c r="FXP103" s="978"/>
      <c r="FXQ103" s="978"/>
      <c r="FXR103" s="978"/>
      <c r="FXS103" s="978"/>
      <c r="FXT103" s="978"/>
      <c r="FXU103" s="978"/>
      <c r="FXV103" s="978"/>
      <c r="FXW103" s="978"/>
      <c r="FXX103" s="978"/>
      <c r="FXY103" s="978"/>
      <c r="FXZ103" s="978"/>
      <c r="FYA103" s="978"/>
      <c r="FYB103" s="978"/>
      <c r="FYC103" s="978"/>
      <c r="FYD103" s="978"/>
      <c r="FYE103" s="978"/>
      <c r="FYF103" s="978"/>
      <c r="FYG103" s="978"/>
      <c r="FYH103" s="978"/>
      <c r="FYI103" s="978"/>
      <c r="FYJ103" s="978"/>
      <c r="FYK103" s="978"/>
      <c r="FYL103" s="978"/>
      <c r="FYM103" s="978"/>
      <c r="FYN103" s="978"/>
      <c r="FYO103" s="978"/>
      <c r="FYP103" s="978"/>
      <c r="FYQ103" s="978"/>
      <c r="FYR103" s="978"/>
      <c r="FYS103" s="978"/>
      <c r="FYT103" s="978"/>
      <c r="FYU103" s="978"/>
      <c r="FYV103" s="978"/>
      <c r="FYW103" s="978"/>
      <c r="FYX103" s="978"/>
      <c r="FYY103" s="978"/>
      <c r="FYZ103" s="978"/>
      <c r="FZA103" s="978"/>
      <c r="FZB103" s="978"/>
      <c r="FZC103" s="978"/>
      <c r="FZD103" s="978"/>
      <c r="FZE103" s="978"/>
      <c r="FZF103" s="978"/>
      <c r="FZG103" s="978"/>
      <c r="FZH103" s="978"/>
      <c r="FZI103" s="978"/>
      <c r="FZJ103" s="978"/>
      <c r="FZK103" s="978"/>
      <c r="FZL103" s="978"/>
      <c r="FZM103" s="978"/>
      <c r="FZN103" s="978"/>
      <c r="FZO103" s="978"/>
      <c r="FZP103" s="978"/>
      <c r="FZQ103" s="978"/>
      <c r="FZR103" s="978"/>
      <c r="FZS103" s="978"/>
      <c r="FZT103" s="978"/>
      <c r="FZU103" s="978"/>
      <c r="FZV103" s="978"/>
      <c r="FZW103" s="978"/>
      <c r="FZX103" s="978"/>
      <c r="FZY103" s="978"/>
      <c r="FZZ103" s="978"/>
      <c r="GAA103" s="978"/>
      <c r="GAB103" s="978"/>
      <c r="GAC103" s="978"/>
      <c r="GAD103" s="978"/>
      <c r="GAE103" s="978"/>
      <c r="GAF103" s="978"/>
      <c r="GAG103" s="978"/>
      <c r="GAH103" s="978"/>
      <c r="GAI103" s="978"/>
      <c r="GAJ103" s="978"/>
      <c r="GAK103" s="978"/>
      <c r="GAL103" s="978"/>
      <c r="GAM103" s="978"/>
      <c r="GAN103" s="978"/>
      <c r="GAO103" s="978"/>
      <c r="GAP103" s="978"/>
      <c r="GAQ103" s="978"/>
      <c r="GAR103" s="978"/>
      <c r="GAS103" s="978"/>
      <c r="GAT103" s="978"/>
      <c r="GAU103" s="978"/>
      <c r="GAV103" s="978"/>
      <c r="GAW103" s="978"/>
      <c r="GAX103" s="978"/>
      <c r="GAY103" s="978"/>
      <c r="GAZ103" s="978"/>
      <c r="GBA103" s="978"/>
      <c r="GBB103" s="978"/>
      <c r="GBC103" s="978"/>
      <c r="GBD103" s="978"/>
      <c r="GBE103" s="978"/>
      <c r="GBF103" s="978"/>
      <c r="GBG103" s="978"/>
      <c r="GBH103" s="978"/>
      <c r="GBI103" s="978"/>
      <c r="GBJ103" s="978"/>
      <c r="GBK103" s="978"/>
      <c r="GBL103" s="978"/>
      <c r="GBM103" s="978"/>
      <c r="GBN103" s="978"/>
      <c r="GBO103" s="978"/>
      <c r="GBP103" s="978"/>
      <c r="GBQ103" s="978"/>
      <c r="GBR103" s="978"/>
      <c r="GBS103" s="978"/>
      <c r="GBT103" s="978"/>
      <c r="GBU103" s="978"/>
      <c r="GBV103" s="978"/>
      <c r="GBW103" s="978"/>
      <c r="GBX103" s="978"/>
      <c r="GBY103" s="978"/>
      <c r="GBZ103" s="978"/>
      <c r="GCA103" s="978"/>
      <c r="GCB103" s="978"/>
      <c r="GCC103" s="978"/>
      <c r="GCD103" s="978"/>
      <c r="GCE103" s="978"/>
      <c r="GCF103" s="978"/>
      <c r="GCG103" s="978"/>
      <c r="GCH103" s="978"/>
      <c r="GCI103" s="978"/>
      <c r="GCJ103" s="978"/>
      <c r="GCK103" s="978"/>
      <c r="GCL103" s="978"/>
      <c r="GCM103" s="978"/>
      <c r="GCN103" s="978"/>
      <c r="GCO103" s="978"/>
      <c r="GCP103" s="978"/>
      <c r="GCQ103" s="978"/>
      <c r="GCR103" s="978"/>
      <c r="GCS103" s="978"/>
      <c r="GCT103" s="978"/>
      <c r="GCU103" s="978"/>
      <c r="GCV103" s="978"/>
      <c r="GCW103" s="978"/>
      <c r="GCX103" s="978"/>
      <c r="GCY103" s="978"/>
      <c r="GCZ103" s="978"/>
      <c r="GDA103" s="978"/>
      <c r="GDB103" s="978"/>
      <c r="GDC103" s="978"/>
      <c r="GDD103" s="978"/>
      <c r="GDE103" s="978"/>
      <c r="GDF103" s="978"/>
      <c r="GDG103" s="978"/>
      <c r="GDH103" s="978"/>
      <c r="GDI103" s="978"/>
      <c r="GDJ103" s="978"/>
      <c r="GDK103" s="978"/>
      <c r="GDL103" s="978"/>
      <c r="GDM103" s="978"/>
      <c r="GDN103" s="978"/>
      <c r="GDO103" s="978"/>
      <c r="GDP103" s="978"/>
      <c r="GDQ103" s="978"/>
      <c r="GDR103" s="978"/>
      <c r="GDS103" s="978"/>
      <c r="GDT103" s="978"/>
      <c r="GDU103" s="978"/>
      <c r="GDV103" s="978"/>
      <c r="GDW103" s="978"/>
      <c r="GDX103" s="978"/>
      <c r="GDY103" s="978"/>
      <c r="GDZ103" s="978"/>
      <c r="GEA103" s="978"/>
      <c r="GEB103" s="978"/>
      <c r="GEC103" s="978"/>
      <c r="GED103" s="978"/>
      <c r="GEE103" s="978"/>
      <c r="GEF103" s="978"/>
      <c r="GEG103" s="978"/>
      <c r="GEH103" s="978"/>
      <c r="GEI103" s="978"/>
      <c r="GEJ103" s="978"/>
      <c r="GEK103" s="978"/>
      <c r="GEL103" s="978"/>
      <c r="GEM103" s="978"/>
      <c r="GEN103" s="978"/>
      <c r="GEO103" s="978"/>
      <c r="GEP103" s="978"/>
      <c r="GEQ103" s="978"/>
      <c r="GER103" s="978"/>
      <c r="GES103" s="978"/>
      <c r="GET103" s="978"/>
      <c r="GEU103" s="978"/>
      <c r="GEV103" s="978"/>
      <c r="GEW103" s="978"/>
      <c r="GEX103" s="978"/>
      <c r="GEY103" s="978"/>
      <c r="GEZ103" s="978"/>
      <c r="GFA103" s="978"/>
      <c r="GFB103" s="978"/>
      <c r="GFC103" s="978"/>
      <c r="GFD103" s="978"/>
      <c r="GFE103" s="978"/>
      <c r="GFF103" s="978"/>
      <c r="GFG103" s="978"/>
      <c r="GFH103" s="978"/>
      <c r="GFI103" s="978"/>
      <c r="GFJ103" s="978"/>
      <c r="GFK103" s="978"/>
      <c r="GFL103" s="978"/>
      <c r="GFM103" s="978"/>
      <c r="GFN103" s="978"/>
      <c r="GFO103" s="978"/>
      <c r="GFP103" s="978"/>
      <c r="GFQ103" s="978"/>
      <c r="GFR103" s="978"/>
      <c r="GFS103" s="978"/>
      <c r="GFT103" s="978"/>
      <c r="GFU103" s="978"/>
      <c r="GFV103" s="978"/>
      <c r="GFW103" s="978"/>
      <c r="GFX103" s="978"/>
      <c r="GFY103" s="978"/>
      <c r="GFZ103" s="978"/>
      <c r="GGA103" s="978"/>
      <c r="GGB103" s="978"/>
      <c r="GGC103" s="978"/>
      <c r="GGD103" s="978"/>
      <c r="GGE103" s="978"/>
      <c r="GGF103" s="978"/>
      <c r="GGG103" s="978"/>
      <c r="GGH103" s="978"/>
      <c r="GGI103" s="978"/>
      <c r="GGJ103" s="978"/>
      <c r="GGK103" s="978"/>
      <c r="GGL103" s="978"/>
      <c r="GGM103" s="978"/>
      <c r="GGN103" s="978"/>
      <c r="GGO103" s="978"/>
      <c r="GGP103" s="978"/>
      <c r="GGQ103" s="978"/>
      <c r="GGR103" s="978"/>
      <c r="GGS103" s="978"/>
      <c r="GGT103" s="978"/>
      <c r="GGU103" s="978"/>
      <c r="GGV103" s="978"/>
      <c r="GGW103" s="978"/>
      <c r="GGX103" s="978"/>
      <c r="GGY103" s="978"/>
      <c r="GGZ103" s="978"/>
      <c r="GHA103" s="978"/>
      <c r="GHB103" s="978"/>
      <c r="GHC103" s="978"/>
      <c r="GHD103" s="978"/>
      <c r="GHE103" s="978"/>
      <c r="GHF103" s="978"/>
      <c r="GHG103" s="978"/>
      <c r="GHH103" s="978"/>
      <c r="GHI103" s="978"/>
      <c r="GHJ103" s="978"/>
      <c r="GHK103" s="978"/>
      <c r="GHL103" s="978"/>
      <c r="GHM103" s="978"/>
      <c r="GHN103" s="978"/>
      <c r="GHO103" s="978"/>
      <c r="GHP103" s="978"/>
      <c r="GHQ103" s="978"/>
      <c r="GHR103" s="978"/>
      <c r="GHS103" s="978"/>
      <c r="GHT103" s="978"/>
      <c r="GHU103" s="978"/>
      <c r="GHV103" s="978"/>
      <c r="GHW103" s="978"/>
      <c r="GHX103" s="978"/>
      <c r="GHY103" s="978"/>
      <c r="GHZ103" s="978"/>
      <c r="GIA103" s="978"/>
      <c r="GIB103" s="978"/>
      <c r="GIC103" s="978"/>
      <c r="GID103" s="978"/>
      <c r="GIE103" s="978"/>
      <c r="GIF103" s="978"/>
      <c r="GIG103" s="978"/>
      <c r="GIH103" s="978"/>
      <c r="GII103" s="978"/>
      <c r="GIJ103" s="978"/>
      <c r="GIK103" s="978"/>
      <c r="GIL103" s="978"/>
      <c r="GIM103" s="978"/>
      <c r="GIN103" s="978"/>
      <c r="GIO103" s="978"/>
      <c r="GIP103" s="978"/>
      <c r="GIQ103" s="978"/>
      <c r="GIR103" s="978"/>
      <c r="GIS103" s="978"/>
      <c r="GIT103" s="978"/>
      <c r="GIU103" s="978"/>
      <c r="GIV103" s="978"/>
      <c r="GIW103" s="978"/>
      <c r="GIX103" s="978"/>
      <c r="GIY103" s="978"/>
      <c r="GIZ103" s="978"/>
      <c r="GJA103" s="978"/>
      <c r="GJB103" s="978"/>
      <c r="GJC103" s="978"/>
      <c r="GJD103" s="978"/>
      <c r="GJE103" s="978"/>
      <c r="GJF103" s="978"/>
      <c r="GJG103" s="978"/>
      <c r="GJH103" s="978"/>
      <c r="GJI103" s="978"/>
      <c r="GJJ103" s="978"/>
      <c r="GJK103" s="978"/>
      <c r="GJL103" s="978"/>
      <c r="GJM103" s="978"/>
      <c r="GJN103" s="978"/>
      <c r="GJO103" s="978"/>
      <c r="GJP103" s="978"/>
      <c r="GJQ103" s="978"/>
      <c r="GJR103" s="978"/>
      <c r="GJS103" s="978"/>
      <c r="GJT103" s="978"/>
      <c r="GJU103" s="978"/>
      <c r="GJV103" s="978"/>
      <c r="GJW103" s="978"/>
      <c r="GJX103" s="978"/>
      <c r="GJY103" s="978"/>
      <c r="GJZ103" s="978"/>
      <c r="GKA103" s="978"/>
      <c r="GKB103" s="978"/>
      <c r="GKC103" s="978"/>
      <c r="GKD103" s="978"/>
      <c r="GKE103" s="978"/>
      <c r="GKF103" s="978"/>
      <c r="GKG103" s="978"/>
      <c r="GKH103" s="978"/>
      <c r="GKI103" s="978"/>
      <c r="GKJ103" s="978"/>
      <c r="GKK103" s="978"/>
      <c r="GKL103" s="978"/>
      <c r="GKM103" s="978"/>
      <c r="GKN103" s="978"/>
      <c r="GKO103" s="978"/>
      <c r="GKP103" s="978"/>
      <c r="GKQ103" s="978"/>
      <c r="GKR103" s="978"/>
      <c r="GKS103" s="978"/>
      <c r="GKT103" s="978"/>
      <c r="GKU103" s="978"/>
      <c r="GKV103" s="978"/>
      <c r="GKW103" s="978"/>
      <c r="GKX103" s="978"/>
      <c r="GKY103" s="978"/>
      <c r="GKZ103" s="978"/>
      <c r="GLA103" s="978"/>
      <c r="GLB103" s="978"/>
      <c r="GLC103" s="978"/>
      <c r="GLD103" s="978"/>
      <c r="GLE103" s="978"/>
      <c r="GLF103" s="978"/>
      <c r="GLG103" s="978"/>
      <c r="GLH103" s="978"/>
      <c r="GLI103" s="978"/>
      <c r="GLJ103" s="978"/>
      <c r="GLK103" s="978"/>
      <c r="GLL103" s="978"/>
      <c r="GLM103" s="978"/>
      <c r="GLN103" s="978"/>
      <c r="GLO103" s="978"/>
      <c r="GLP103" s="978"/>
      <c r="GLQ103" s="978"/>
      <c r="GLR103" s="978"/>
      <c r="GLS103" s="978"/>
      <c r="GLT103" s="978"/>
      <c r="GLU103" s="978"/>
      <c r="GLV103" s="978"/>
      <c r="GLW103" s="978"/>
      <c r="GLX103" s="978"/>
      <c r="GLY103" s="978"/>
      <c r="GLZ103" s="978"/>
      <c r="GMA103" s="978"/>
      <c r="GMB103" s="978"/>
      <c r="GMC103" s="978"/>
      <c r="GMD103" s="978"/>
      <c r="GME103" s="978"/>
      <c r="GMF103" s="978"/>
      <c r="GMG103" s="978"/>
      <c r="GMH103" s="978"/>
      <c r="GMI103" s="978"/>
      <c r="GMJ103" s="978"/>
      <c r="GMK103" s="978"/>
      <c r="GML103" s="978"/>
      <c r="GMM103" s="978"/>
      <c r="GMN103" s="978"/>
      <c r="GMO103" s="978"/>
      <c r="GMP103" s="978"/>
      <c r="GMQ103" s="978"/>
      <c r="GMR103" s="978"/>
      <c r="GMS103" s="978"/>
      <c r="GMT103" s="978"/>
      <c r="GMU103" s="978"/>
      <c r="GMV103" s="978"/>
      <c r="GMW103" s="978"/>
      <c r="GMX103" s="978"/>
      <c r="GMY103" s="978"/>
      <c r="GMZ103" s="978"/>
      <c r="GNA103" s="978"/>
      <c r="GNB103" s="978"/>
      <c r="GNC103" s="978"/>
      <c r="GND103" s="978"/>
      <c r="GNE103" s="978"/>
      <c r="GNF103" s="978"/>
      <c r="GNG103" s="978"/>
      <c r="GNH103" s="978"/>
      <c r="GNI103" s="978"/>
      <c r="GNJ103" s="978"/>
      <c r="GNK103" s="978"/>
      <c r="GNL103" s="978"/>
      <c r="GNM103" s="978"/>
      <c r="GNN103" s="978"/>
      <c r="GNO103" s="978"/>
      <c r="GNP103" s="978"/>
      <c r="GNQ103" s="978"/>
      <c r="GNR103" s="978"/>
      <c r="GNS103" s="978"/>
      <c r="GNT103" s="978"/>
      <c r="GNU103" s="978"/>
      <c r="GNV103" s="978"/>
      <c r="GNW103" s="978"/>
      <c r="GNX103" s="978"/>
      <c r="GNY103" s="978"/>
      <c r="GNZ103" s="978"/>
      <c r="GOA103" s="978"/>
      <c r="GOB103" s="978"/>
      <c r="GOC103" s="978"/>
      <c r="GOD103" s="978"/>
      <c r="GOE103" s="978"/>
      <c r="GOF103" s="978"/>
      <c r="GOG103" s="978"/>
      <c r="GOH103" s="978"/>
      <c r="GOI103" s="978"/>
      <c r="GOJ103" s="978"/>
      <c r="GOK103" s="978"/>
      <c r="GOL103" s="978"/>
      <c r="GOM103" s="978"/>
      <c r="GON103" s="978"/>
      <c r="GOO103" s="978"/>
      <c r="GOP103" s="978"/>
      <c r="GOQ103" s="978"/>
      <c r="GOR103" s="978"/>
      <c r="GOS103" s="978"/>
      <c r="GOT103" s="978"/>
      <c r="GOU103" s="978"/>
      <c r="GOV103" s="978"/>
      <c r="GOW103" s="978"/>
      <c r="GOX103" s="978"/>
      <c r="GOY103" s="978"/>
      <c r="GOZ103" s="978"/>
      <c r="GPA103" s="978"/>
      <c r="GPB103" s="978"/>
      <c r="GPC103" s="978"/>
      <c r="GPD103" s="978"/>
      <c r="GPE103" s="978"/>
      <c r="GPF103" s="978"/>
      <c r="GPG103" s="978"/>
      <c r="GPH103" s="978"/>
      <c r="GPI103" s="978"/>
      <c r="GPJ103" s="978"/>
      <c r="GPK103" s="978"/>
      <c r="GPL103" s="978"/>
      <c r="GPM103" s="978"/>
      <c r="GPN103" s="978"/>
      <c r="GPO103" s="978"/>
      <c r="GPP103" s="978"/>
      <c r="GPQ103" s="978"/>
      <c r="GPR103" s="978"/>
      <c r="GPS103" s="978"/>
      <c r="GPT103" s="978"/>
      <c r="GPU103" s="978"/>
      <c r="GPV103" s="978"/>
      <c r="GPW103" s="978"/>
      <c r="GPX103" s="978"/>
      <c r="GPY103" s="978"/>
      <c r="GPZ103" s="978"/>
      <c r="GQA103" s="978"/>
      <c r="GQB103" s="978"/>
      <c r="GQC103" s="978"/>
      <c r="GQD103" s="978"/>
      <c r="GQE103" s="978"/>
      <c r="GQF103" s="978"/>
      <c r="GQG103" s="978"/>
      <c r="GQH103" s="978"/>
      <c r="GQI103" s="978"/>
      <c r="GQJ103" s="978"/>
      <c r="GQK103" s="978"/>
      <c r="GQL103" s="978"/>
      <c r="GQM103" s="978"/>
      <c r="GQN103" s="978"/>
      <c r="GQO103" s="978"/>
      <c r="GQP103" s="978"/>
      <c r="GQQ103" s="978"/>
      <c r="GQR103" s="978"/>
      <c r="GQS103" s="978"/>
      <c r="GQT103" s="978"/>
      <c r="GQU103" s="978"/>
      <c r="GQV103" s="978"/>
      <c r="GQW103" s="978"/>
      <c r="GQX103" s="978"/>
      <c r="GQY103" s="978"/>
      <c r="GQZ103" s="978"/>
      <c r="GRA103" s="978"/>
      <c r="GRB103" s="978"/>
      <c r="GRC103" s="978"/>
      <c r="GRD103" s="978"/>
      <c r="GRE103" s="978"/>
      <c r="GRF103" s="978"/>
      <c r="GRG103" s="978"/>
      <c r="GRH103" s="978"/>
      <c r="GRI103" s="978"/>
      <c r="GRJ103" s="978"/>
      <c r="GRK103" s="978"/>
      <c r="GRL103" s="978"/>
      <c r="GRM103" s="978"/>
      <c r="GRN103" s="978"/>
      <c r="GRO103" s="978"/>
      <c r="GRP103" s="978"/>
      <c r="GRQ103" s="978"/>
      <c r="GRR103" s="978"/>
      <c r="GRS103" s="978"/>
      <c r="GRT103" s="978"/>
      <c r="GRU103" s="978"/>
      <c r="GRV103" s="978"/>
      <c r="GRW103" s="978"/>
      <c r="GRX103" s="978"/>
      <c r="GRY103" s="978"/>
      <c r="GRZ103" s="978"/>
      <c r="GSA103" s="978"/>
      <c r="GSB103" s="978"/>
      <c r="GSC103" s="978"/>
      <c r="GSD103" s="978"/>
      <c r="GSE103" s="978"/>
      <c r="GSF103" s="978"/>
      <c r="GSG103" s="978"/>
      <c r="GSH103" s="978"/>
      <c r="GSI103" s="978"/>
      <c r="GSJ103" s="978"/>
      <c r="GSK103" s="978"/>
      <c r="GSL103" s="978"/>
      <c r="GSM103" s="978"/>
      <c r="GSN103" s="978"/>
      <c r="GSO103" s="978"/>
      <c r="GSP103" s="978"/>
      <c r="GSQ103" s="978"/>
      <c r="GSR103" s="978"/>
      <c r="GSS103" s="978"/>
      <c r="GST103" s="978"/>
      <c r="GSU103" s="978"/>
      <c r="GSV103" s="978"/>
      <c r="GSW103" s="978"/>
      <c r="GSX103" s="978"/>
      <c r="GSY103" s="978"/>
      <c r="GSZ103" s="978"/>
      <c r="GTA103" s="978"/>
      <c r="GTB103" s="978"/>
      <c r="GTC103" s="978"/>
      <c r="GTD103" s="978"/>
      <c r="GTE103" s="978"/>
      <c r="GTF103" s="978"/>
      <c r="GTG103" s="978"/>
      <c r="GTH103" s="978"/>
      <c r="GTI103" s="978"/>
      <c r="GTJ103" s="978"/>
      <c r="GTK103" s="978"/>
      <c r="GTL103" s="978"/>
      <c r="GTM103" s="978"/>
      <c r="GTN103" s="978"/>
      <c r="GTO103" s="978"/>
      <c r="GTP103" s="978"/>
      <c r="GTQ103" s="978"/>
      <c r="GTR103" s="978"/>
      <c r="GTS103" s="978"/>
      <c r="GTT103" s="978"/>
      <c r="GTU103" s="978"/>
      <c r="GTV103" s="978"/>
      <c r="GTW103" s="978"/>
      <c r="GTX103" s="978"/>
      <c r="GTY103" s="978"/>
      <c r="GTZ103" s="978"/>
      <c r="GUA103" s="978"/>
      <c r="GUB103" s="978"/>
      <c r="GUC103" s="978"/>
      <c r="GUD103" s="978"/>
      <c r="GUE103" s="978"/>
      <c r="GUF103" s="978"/>
      <c r="GUG103" s="978"/>
      <c r="GUH103" s="978"/>
      <c r="GUI103" s="978"/>
      <c r="GUJ103" s="978"/>
      <c r="GUK103" s="978"/>
      <c r="GUL103" s="978"/>
      <c r="GUM103" s="978"/>
      <c r="GUN103" s="978"/>
      <c r="GUO103" s="978"/>
      <c r="GUP103" s="978"/>
      <c r="GUQ103" s="978"/>
      <c r="GUR103" s="978"/>
      <c r="GUS103" s="978"/>
      <c r="GUT103" s="978"/>
      <c r="GUU103" s="978"/>
      <c r="GUV103" s="978"/>
      <c r="GUW103" s="978"/>
      <c r="GUX103" s="978"/>
      <c r="GUY103" s="978"/>
      <c r="GUZ103" s="978"/>
      <c r="GVA103" s="978"/>
      <c r="GVB103" s="978"/>
      <c r="GVC103" s="978"/>
      <c r="GVD103" s="978"/>
      <c r="GVE103" s="978"/>
      <c r="GVF103" s="978"/>
      <c r="GVG103" s="978"/>
      <c r="GVH103" s="978"/>
      <c r="GVI103" s="978"/>
      <c r="GVJ103" s="978"/>
      <c r="GVK103" s="978"/>
      <c r="GVL103" s="978"/>
      <c r="GVM103" s="978"/>
      <c r="GVN103" s="978"/>
      <c r="GVO103" s="978"/>
      <c r="GVP103" s="978"/>
      <c r="GVQ103" s="978"/>
      <c r="GVR103" s="978"/>
      <c r="GVS103" s="978"/>
      <c r="GVT103" s="978"/>
      <c r="GVU103" s="978"/>
      <c r="GVV103" s="978"/>
      <c r="GVW103" s="978"/>
      <c r="GVX103" s="978"/>
      <c r="GVY103" s="978"/>
      <c r="GVZ103" s="978"/>
      <c r="GWA103" s="978"/>
      <c r="GWB103" s="978"/>
      <c r="GWC103" s="978"/>
      <c r="GWD103" s="978"/>
      <c r="GWE103" s="978"/>
      <c r="GWF103" s="978"/>
      <c r="GWG103" s="978"/>
      <c r="GWH103" s="978"/>
      <c r="GWI103" s="978"/>
      <c r="GWJ103" s="978"/>
      <c r="GWK103" s="978"/>
      <c r="GWL103" s="978"/>
      <c r="GWM103" s="978"/>
      <c r="GWN103" s="978"/>
      <c r="GWO103" s="978"/>
      <c r="GWP103" s="978"/>
      <c r="GWQ103" s="978"/>
      <c r="GWR103" s="978"/>
      <c r="GWS103" s="978"/>
      <c r="GWT103" s="978"/>
      <c r="GWU103" s="978"/>
      <c r="GWV103" s="978"/>
      <c r="GWW103" s="978"/>
      <c r="GWX103" s="978"/>
      <c r="GWY103" s="978"/>
      <c r="GWZ103" s="978"/>
      <c r="GXA103" s="978"/>
      <c r="GXB103" s="978"/>
      <c r="GXC103" s="978"/>
      <c r="GXD103" s="978"/>
      <c r="GXE103" s="978"/>
      <c r="GXF103" s="978"/>
      <c r="GXG103" s="978"/>
      <c r="GXH103" s="978"/>
      <c r="GXI103" s="978"/>
      <c r="GXJ103" s="978"/>
      <c r="GXK103" s="978"/>
      <c r="GXL103" s="978"/>
      <c r="GXM103" s="978"/>
      <c r="GXN103" s="978"/>
      <c r="GXO103" s="978"/>
      <c r="GXP103" s="978"/>
      <c r="GXQ103" s="978"/>
      <c r="GXR103" s="978"/>
      <c r="GXS103" s="978"/>
      <c r="GXT103" s="978"/>
      <c r="GXU103" s="978"/>
      <c r="GXV103" s="978"/>
      <c r="GXW103" s="978"/>
      <c r="GXX103" s="978"/>
      <c r="GXY103" s="978"/>
      <c r="GXZ103" s="978"/>
      <c r="GYA103" s="978"/>
      <c r="GYB103" s="978"/>
      <c r="GYC103" s="978"/>
      <c r="GYD103" s="978"/>
      <c r="GYE103" s="978"/>
      <c r="GYF103" s="978"/>
      <c r="GYG103" s="978"/>
      <c r="GYH103" s="978"/>
      <c r="GYI103" s="978"/>
      <c r="GYJ103" s="978"/>
      <c r="GYK103" s="978"/>
      <c r="GYL103" s="978"/>
      <c r="GYM103" s="978"/>
      <c r="GYN103" s="978"/>
      <c r="GYO103" s="978"/>
      <c r="GYP103" s="978"/>
      <c r="GYQ103" s="978"/>
      <c r="GYR103" s="978"/>
      <c r="GYS103" s="978"/>
      <c r="GYT103" s="978"/>
      <c r="GYU103" s="978"/>
      <c r="GYV103" s="978"/>
      <c r="GYW103" s="978"/>
      <c r="GYX103" s="978"/>
      <c r="GYY103" s="978"/>
      <c r="GYZ103" s="978"/>
      <c r="GZA103" s="978"/>
      <c r="GZB103" s="978"/>
      <c r="GZC103" s="978"/>
      <c r="GZD103" s="978"/>
      <c r="GZE103" s="978"/>
      <c r="GZF103" s="978"/>
      <c r="GZG103" s="978"/>
      <c r="GZH103" s="978"/>
      <c r="GZI103" s="978"/>
      <c r="GZJ103" s="978"/>
      <c r="GZK103" s="978"/>
      <c r="GZL103" s="978"/>
      <c r="GZM103" s="978"/>
      <c r="GZN103" s="978"/>
      <c r="GZO103" s="978"/>
      <c r="GZP103" s="978"/>
      <c r="GZQ103" s="978"/>
      <c r="GZR103" s="978"/>
      <c r="GZS103" s="978"/>
      <c r="GZT103" s="978"/>
      <c r="GZU103" s="978"/>
      <c r="GZV103" s="978"/>
      <c r="GZW103" s="978"/>
      <c r="GZX103" s="978"/>
      <c r="GZY103" s="978"/>
      <c r="GZZ103" s="978"/>
      <c r="HAA103" s="978"/>
      <c r="HAB103" s="978"/>
      <c r="HAC103" s="978"/>
      <c r="HAD103" s="978"/>
      <c r="HAE103" s="978"/>
      <c r="HAF103" s="978"/>
      <c r="HAG103" s="978"/>
      <c r="HAH103" s="978"/>
      <c r="HAI103" s="978"/>
      <c r="HAJ103" s="978"/>
      <c r="HAK103" s="978"/>
      <c r="HAL103" s="978"/>
      <c r="HAM103" s="978"/>
      <c r="HAN103" s="978"/>
      <c r="HAO103" s="978"/>
      <c r="HAP103" s="978"/>
      <c r="HAQ103" s="978"/>
      <c r="HAR103" s="978"/>
      <c r="HAS103" s="978"/>
      <c r="HAT103" s="978"/>
      <c r="HAU103" s="978"/>
      <c r="HAV103" s="978"/>
      <c r="HAW103" s="978"/>
      <c r="HAX103" s="978"/>
      <c r="HAY103" s="978"/>
      <c r="HAZ103" s="978"/>
      <c r="HBA103" s="978"/>
      <c r="HBB103" s="978"/>
      <c r="HBC103" s="978"/>
      <c r="HBD103" s="978"/>
      <c r="HBE103" s="978"/>
      <c r="HBF103" s="978"/>
      <c r="HBG103" s="978"/>
      <c r="HBH103" s="978"/>
      <c r="HBI103" s="978"/>
      <c r="HBJ103" s="978"/>
      <c r="HBK103" s="978"/>
      <c r="HBL103" s="978"/>
      <c r="HBM103" s="978"/>
      <c r="HBN103" s="978"/>
      <c r="HBO103" s="978"/>
      <c r="HBP103" s="978"/>
      <c r="HBQ103" s="978"/>
      <c r="HBR103" s="978"/>
      <c r="HBS103" s="978"/>
      <c r="HBT103" s="978"/>
      <c r="HBU103" s="978"/>
      <c r="HBV103" s="978"/>
      <c r="HBW103" s="978"/>
      <c r="HBX103" s="978"/>
      <c r="HBY103" s="978"/>
      <c r="HBZ103" s="978"/>
      <c r="HCA103" s="978"/>
      <c r="HCB103" s="978"/>
      <c r="HCC103" s="978"/>
      <c r="HCD103" s="978"/>
      <c r="HCE103" s="978"/>
      <c r="HCF103" s="978"/>
      <c r="HCG103" s="978"/>
      <c r="HCH103" s="978"/>
      <c r="HCI103" s="978"/>
      <c r="HCJ103" s="978"/>
      <c r="HCK103" s="978"/>
      <c r="HCL103" s="978"/>
      <c r="HCM103" s="978"/>
      <c r="HCN103" s="978"/>
      <c r="HCO103" s="978"/>
      <c r="HCP103" s="978"/>
      <c r="HCQ103" s="978"/>
      <c r="HCR103" s="978"/>
      <c r="HCS103" s="978"/>
      <c r="HCT103" s="978"/>
      <c r="HCU103" s="978"/>
      <c r="HCV103" s="978"/>
      <c r="HCW103" s="978"/>
      <c r="HCX103" s="978"/>
      <c r="HCY103" s="978"/>
      <c r="HCZ103" s="978"/>
      <c r="HDA103" s="978"/>
      <c r="HDB103" s="978"/>
      <c r="HDC103" s="978"/>
      <c r="HDD103" s="978"/>
      <c r="HDE103" s="978"/>
      <c r="HDF103" s="978"/>
      <c r="HDG103" s="978"/>
      <c r="HDH103" s="978"/>
      <c r="HDI103" s="978"/>
      <c r="HDJ103" s="978"/>
      <c r="HDK103" s="978"/>
      <c r="HDL103" s="978"/>
      <c r="HDM103" s="978"/>
      <c r="HDN103" s="978"/>
      <c r="HDO103" s="978"/>
      <c r="HDP103" s="978"/>
      <c r="HDQ103" s="978"/>
      <c r="HDR103" s="978"/>
      <c r="HDS103" s="978"/>
      <c r="HDT103" s="978"/>
      <c r="HDU103" s="978"/>
      <c r="HDV103" s="978"/>
      <c r="HDW103" s="978"/>
      <c r="HDX103" s="978"/>
      <c r="HDY103" s="978"/>
      <c r="HDZ103" s="978"/>
      <c r="HEA103" s="978"/>
      <c r="HEB103" s="978"/>
      <c r="HEC103" s="978"/>
      <c r="HED103" s="978"/>
      <c r="HEE103" s="978"/>
      <c r="HEF103" s="978"/>
      <c r="HEG103" s="978"/>
      <c r="HEH103" s="978"/>
      <c r="HEI103" s="978"/>
      <c r="HEJ103" s="978"/>
      <c r="HEK103" s="978"/>
      <c r="HEL103" s="978"/>
      <c r="HEM103" s="978"/>
      <c r="HEN103" s="978"/>
      <c r="HEO103" s="978"/>
      <c r="HEP103" s="978"/>
      <c r="HEQ103" s="978"/>
      <c r="HER103" s="978"/>
      <c r="HES103" s="978"/>
      <c r="HET103" s="978"/>
      <c r="HEU103" s="978"/>
      <c r="HEV103" s="978"/>
      <c r="HEW103" s="978"/>
      <c r="HEX103" s="978"/>
      <c r="HEY103" s="978"/>
      <c r="HEZ103" s="978"/>
      <c r="HFA103" s="978"/>
      <c r="HFB103" s="978"/>
      <c r="HFC103" s="978"/>
      <c r="HFD103" s="978"/>
      <c r="HFE103" s="978"/>
      <c r="HFF103" s="978"/>
      <c r="HFG103" s="978"/>
      <c r="HFH103" s="978"/>
      <c r="HFI103" s="978"/>
      <c r="HFJ103" s="978"/>
      <c r="HFK103" s="978"/>
      <c r="HFL103" s="978"/>
      <c r="HFM103" s="978"/>
      <c r="HFN103" s="978"/>
      <c r="HFO103" s="978"/>
      <c r="HFP103" s="978"/>
      <c r="HFQ103" s="978"/>
      <c r="HFR103" s="978"/>
      <c r="HFS103" s="978"/>
      <c r="HFT103" s="978"/>
      <c r="HFU103" s="978"/>
      <c r="HFV103" s="978"/>
      <c r="HFW103" s="978"/>
      <c r="HFX103" s="978"/>
      <c r="HFY103" s="978"/>
      <c r="HFZ103" s="978"/>
      <c r="HGA103" s="978"/>
      <c r="HGB103" s="978"/>
      <c r="HGC103" s="978"/>
      <c r="HGD103" s="978"/>
      <c r="HGE103" s="978"/>
      <c r="HGF103" s="978"/>
      <c r="HGG103" s="978"/>
      <c r="HGH103" s="978"/>
      <c r="HGI103" s="978"/>
      <c r="HGJ103" s="978"/>
      <c r="HGK103" s="978"/>
      <c r="HGL103" s="978"/>
      <c r="HGM103" s="978"/>
      <c r="HGN103" s="978"/>
      <c r="HGO103" s="978"/>
      <c r="HGP103" s="978"/>
      <c r="HGQ103" s="978"/>
      <c r="HGR103" s="978"/>
      <c r="HGS103" s="978"/>
      <c r="HGT103" s="978"/>
      <c r="HGU103" s="978"/>
      <c r="HGV103" s="978"/>
      <c r="HGW103" s="978"/>
      <c r="HGX103" s="978"/>
      <c r="HGY103" s="978"/>
      <c r="HGZ103" s="978"/>
      <c r="HHA103" s="978"/>
      <c r="HHB103" s="978"/>
      <c r="HHC103" s="978"/>
      <c r="HHD103" s="978"/>
      <c r="HHE103" s="978"/>
      <c r="HHF103" s="978"/>
      <c r="HHG103" s="978"/>
      <c r="HHH103" s="978"/>
      <c r="HHI103" s="978"/>
      <c r="HHJ103" s="978"/>
      <c r="HHK103" s="978"/>
      <c r="HHL103" s="978"/>
      <c r="HHM103" s="978"/>
      <c r="HHN103" s="978"/>
      <c r="HHO103" s="978"/>
      <c r="HHP103" s="978"/>
      <c r="HHQ103" s="978"/>
      <c r="HHR103" s="978"/>
      <c r="HHS103" s="978"/>
      <c r="HHT103" s="978"/>
      <c r="HHU103" s="978"/>
      <c r="HHV103" s="978"/>
      <c r="HHW103" s="978"/>
      <c r="HHX103" s="978"/>
      <c r="HHY103" s="978"/>
      <c r="HHZ103" s="978"/>
      <c r="HIA103" s="978"/>
      <c r="HIB103" s="978"/>
      <c r="HIC103" s="978"/>
      <c r="HID103" s="978"/>
      <c r="HIE103" s="978"/>
      <c r="HIF103" s="978"/>
      <c r="HIG103" s="978"/>
      <c r="HIH103" s="978"/>
      <c r="HII103" s="978"/>
      <c r="HIJ103" s="978"/>
      <c r="HIK103" s="978"/>
      <c r="HIL103" s="978"/>
      <c r="HIM103" s="978"/>
      <c r="HIN103" s="978"/>
      <c r="HIO103" s="978"/>
      <c r="HIP103" s="978"/>
      <c r="HIQ103" s="978"/>
      <c r="HIR103" s="978"/>
      <c r="HIS103" s="978"/>
      <c r="HIT103" s="978"/>
      <c r="HIU103" s="978"/>
      <c r="HIV103" s="978"/>
      <c r="HIW103" s="978"/>
      <c r="HIX103" s="978"/>
      <c r="HIY103" s="978"/>
      <c r="HIZ103" s="978"/>
      <c r="HJA103" s="978"/>
      <c r="HJB103" s="978"/>
      <c r="HJC103" s="978"/>
      <c r="HJD103" s="978"/>
      <c r="HJE103" s="978"/>
      <c r="HJF103" s="978"/>
      <c r="HJG103" s="978"/>
      <c r="HJH103" s="978"/>
      <c r="HJI103" s="978"/>
      <c r="HJJ103" s="978"/>
      <c r="HJK103" s="978"/>
      <c r="HJL103" s="978"/>
      <c r="HJM103" s="978"/>
      <c r="HJN103" s="978"/>
      <c r="HJO103" s="978"/>
      <c r="HJP103" s="978"/>
      <c r="HJQ103" s="978"/>
      <c r="HJR103" s="978"/>
      <c r="HJS103" s="978"/>
      <c r="HJT103" s="978"/>
      <c r="HJU103" s="978"/>
      <c r="HJV103" s="978"/>
      <c r="HJW103" s="978"/>
      <c r="HJX103" s="978"/>
      <c r="HJY103" s="978"/>
      <c r="HJZ103" s="978"/>
      <c r="HKA103" s="978"/>
      <c r="HKB103" s="978"/>
      <c r="HKC103" s="978"/>
      <c r="HKD103" s="978"/>
      <c r="HKE103" s="978"/>
      <c r="HKF103" s="978"/>
      <c r="HKG103" s="978"/>
      <c r="HKH103" s="978"/>
      <c r="HKI103" s="978"/>
      <c r="HKJ103" s="978"/>
      <c r="HKK103" s="978"/>
      <c r="HKL103" s="978"/>
      <c r="HKM103" s="978"/>
      <c r="HKN103" s="978"/>
      <c r="HKO103" s="978"/>
      <c r="HKP103" s="978"/>
      <c r="HKQ103" s="978"/>
      <c r="HKR103" s="978"/>
      <c r="HKS103" s="978"/>
      <c r="HKT103" s="978"/>
      <c r="HKU103" s="978"/>
      <c r="HKV103" s="978"/>
      <c r="HKW103" s="978"/>
      <c r="HKX103" s="978"/>
      <c r="HKY103" s="978"/>
      <c r="HKZ103" s="978"/>
      <c r="HLA103" s="978"/>
      <c r="HLB103" s="978"/>
      <c r="HLC103" s="978"/>
      <c r="HLD103" s="978"/>
      <c r="HLE103" s="978"/>
      <c r="HLF103" s="978"/>
      <c r="HLG103" s="978"/>
      <c r="HLH103" s="978"/>
      <c r="HLI103" s="978"/>
      <c r="HLJ103" s="978"/>
      <c r="HLK103" s="978"/>
      <c r="HLL103" s="978"/>
      <c r="HLM103" s="978"/>
      <c r="HLN103" s="978"/>
      <c r="HLO103" s="978"/>
      <c r="HLP103" s="978"/>
      <c r="HLQ103" s="978"/>
      <c r="HLR103" s="978"/>
      <c r="HLS103" s="978"/>
      <c r="HLT103" s="978"/>
      <c r="HLU103" s="978"/>
      <c r="HLV103" s="978"/>
      <c r="HLW103" s="978"/>
      <c r="HLX103" s="978"/>
      <c r="HLY103" s="978"/>
      <c r="HLZ103" s="978"/>
      <c r="HMA103" s="978"/>
      <c r="HMB103" s="978"/>
      <c r="HMC103" s="978"/>
      <c r="HMD103" s="978"/>
      <c r="HME103" s="978"/>
      <c r="HMF103" s="978"/>
      <c r="HMG103" s="978"/>
      <c r="HMH103" s="978"/>
      <c r="HMI103" s="978"/>
      <c r="HMJ103" s="978"/>
      <c r="HMK103" s="978"/>
      <c r="HML103" s="978"/>
      <c r="HMM103" s="978"/>
      <c r="HMN103" s="978"/>
      <c r="HMO103" s="978"/>
      <c r="HMP103" s="978"/>
      <c r="HMQ103" s="978"/>
      <c r="HMR103" s="978"/>
      <c r="HMS103" s="978"/>
      <c r="HMT103" s="978"/>
      <c r="HMU103" s="978"/>
      <c r="HMV103" s="978"/>
      <c r="HMW103" s="978"/>
      <c r="HMX103" s="978"/>
      <c r="HMY103" s="978"/>
      <c r="HMZ103" s="978"/>
      <c r="HNA103" s="978"/>
      <c r="HNB103" s="978"/>
      <c r="HNC103" s="978"/>
      <c r="HND103" s="978"/>
      <c r="HNE103" s="978"/>
      <c r="HNF103" s="978"/>
      <c r="HNG103" s="978"/>
      <c r="HNH103" s="978"/>
      <c r="HNI103" s="978"/>
      <c r="HNJ103" s="978"/>
      <c r="HNK103" s="978"/>
      <c r="HNL103" s="978"/>
      <c r="HNM103" s="978"/>
      <c r="HNN103" s="978"/>
      <c r="HNO103" s="978"/>
      <c r="HNP103" s="978"/>
      <c r="HNQ103" s="978"/>
      <c r="HNR103" s="978"/>
      <c r="HNS103" s="978"/>
      <c r="HNT103" s="978"/>
      <c r="HNU103" s="978"/>
      <c r="HNV103" s="978"/>
      <c r="HNW103" s="978"/>
      <c r="HNX103" s="978"/>
      <c r="HNY103" s="978"/>
      <c r="HNZ103" s="978"/>
      <c r="HOA103" s="978"/>
      <c r="HOB103" s="978"/>
      <c r="HOC103" s="978"/>
      <c r="HOD103" s="978"/>
      <c r="HOE103" s="978"/>
      <c r="HOF103" s="978"/>
      <c r="HOG103" s="978"/>
      <c r="HOH103" s="978"/>
      <c r="HOI103" s="978"/>
      <c r="HOJ103" s="978"/>
      <c r="HOK103" s="978"/>
      <c r="HOL103" s="978"/>
      <c r="HOM103" s="978"/>
      <c r="HON103" s="978"/>
      <c r="HOO103" s="978"/>
      <c r="HOP103" s="978"/>
      <c r="HOQ103" s="978"/>
      <c r="HOR103" s="978"/>
      <c r="HOS103" s="978"/>
      <c r="HOT103" s="978"/>
      <c r="HOU103" s="978"/>
      <c r="HOV103" s="978"/>
      <c r="HOW103" s="978"/>
      <c r="HOX103" s="978"/>
      <c r="HOY103" s="978"/>
      <c r="HOZ103" s="978"/>
      <c r="HPA103" s="978"/>
      <c r="HPB103" s="978"/>
      <c r="HPC103" s="978"/>
      <c r="HPD103" s="978"/>
      <c r="HPE103" s="978"/>
      <c r="HPF103" s="978"/>
      <c r="HPG103" s="978"/>
      <c r="HPH103" s="978"/>
      <c r="HPI103" s="978"/>
      <c r="HPJ103" s="978"/>
      <c r="HPK103" s="978"/>
      <c r="HPL103" s="978"/>
      <c r="HPM103" s="978"/>
      <c r="HPN103" s="978"/>
      <c r="HPO103" s="978"/>
      <c r="HPP103" s="978"/>
      <c r="HPQ103" s="978"/>
      <c r="HPR103" s="978"/>
      <c r="HPS103" s="978"/>
      <c r="HPT103" s="978"/>
      <c r="HPU103" s="978"/>
      <c r="HPV103" s="978"/>
      <c r="HPW103" s="978"/>
      <c r="HPX103" s="978"/>
      <c r="HPY103" s="978"/>
      <c r="HPZ103" s="978"/>
      <c r="HQA103" s="978"/>
      <c r="HQB103" s="978"/>
      <c r="HQC103" s="978"/>
      <c r="HQD103" s="978"/>
      <c r="HQE103" s="978"/>
      <c r="HQF103" s="978"/>
      <c r="HQG103" s="978"/>
      <c r="HQH103" s="978"/>
      <c r="HQI103" s="978"/>
      <c r="HQJ103" s="978"/>
      <c r="HQK103" s="978"/>
      <c r="HQL103" s="978"/>
      <c r="HQM103" s="978"/>
      <c r="HQN103" s="978"/>
      <c r="HQO103" s="978"/>
      <c r="HQP103" s="978"/>
      <c r="HQQ103" s="978"/>
      <c r="HQR103" s="978"/>
      <c r="HQS103" s="978"/>
      <c r="HQT103" s="978"/>
      <c r="HQU103" s="978"/>
      <c r="HQV103" s="978"/>
      <c r="HQW103" s="978"/>
      <c r="HQX103" s="978"/>
      <c r="HQY103" s="978"/>
      <c r="HQZ103" s="978"/>
      <c r="HRA103" s="978"/>
      <c r="HRB103" s="978"/>
      <c r="HRC103" s="978"/>
      <c r="HRD103" s="978"/>
      <c r="HRE103" s="978"/>
      <c r="HRF103" s="978"/>
      <c r="HRG103" s="978"/>
      <c r="HRH103" s="978"/>
      <c r="HRI103" s="978"/>
      <c r="HRJ103" s="978"/>
      <c r="HRK103" s="978"/>
      <c r="HRL103" s="978"/>
      <c r="HRM103" s="978"/>
      <c r="HRN103" s="978"/>
      <c r="HRO103" s="978"/>
      <c r="HRP103" s="978"/>
      <c r="HRQ103" s="978"/>
      <c r="HRR103" s="978"/>
      <c r="HRS103" s="978"/>
      <c r="HRT103" s="978"/>
      <c r="HRU103" s="978"/>
      <c r="HRV103" s="978"/>
      <c r="HRW103" s="978"/>
      <c r="HRX103" s="978"/>
      <c r="HRY103" s="978"/>
      <c r="HRZ103" s="978"/>
      <c r="HSA103" s="978"/>
      <c r="HSB103" s="978"/>
      <c r="HSC103" s="978"/>
      <c r="HSD103" s="978"/>
      <c r="HSE103" s="978"/>
      <c r="HSF103" s="978"/>
      <c r="HSG103" s="978"/>
      <c r="HSH103" s="978"/>
      <c r="HSI103" s="978"/>
      <c r="HSJ103" s="978"/>
      <c r="HSK103" s="978"/>
      <c r="HSL103" s="978"/>
      <c r="HSM103" s="978"/>
      <c r="HSN103" s="978"/>
      <c r="HSO103" s="978"/>
      <c r="HSP103" s="978"/>
      <c r="HSQ103" s="978"/>
      <c r="HSR103" s="978"/>
      <c r="HSS103" s="978"/>
      <c r="HST103" s="978"/>
      <c r="HSU103" s="978"/>
      <c r="HSV103" s="978"/>
      <c r="HSW103" s="978"/>
      <c r="HSX103" s="978"/>
      <c r="HSY103" s="978"/>
      <c r="HSZ103" s="978"/>
      <c r="HTA103" s="978"/>
      <c r="HTB103" s="978"/>
      <c r="HTC103" s="978"/>
      <c r="HTD103" s="978"/>
      <c r="HTE103" s="978"/>
      <c r="HTF103" s="978"/>
      <c r="HTG103" s="978"/>
      <c r="HTH103" s="978"/>
      <c r="HTI103" s="978"/>
      <c r="HTJ103" s="978"/>
      <c r="HTK103" s="978"/>
      <c r="HTL103" s="978"/>
      <c r="HTM103" s="978"/>
      <c r="HTN103" s="978"/>
      <c r="HTO103" s="978"/>
      <c r="HTP103" s="978"/>
      <c r="HTQ103" s="978"/>
      <c r="HTR103" s="978"/>
      <c r="HTS103" s="978"/>
      <c r="HTT103" s="978"/>
      <c r="HTU103" s="978"/>
      <c r="HTV103" s="978"/>
      <c r="HTW103" s="978"/>
      <c r="HTX103" s="978"/>
      <c r="HTY103" s="978"/>
      <c r="HTZ103" s="978"/>
      <c r="HUA103" s="978"/>
      <c r="HUB103" s="978"/>
      <c r="HUC103" s="978"/>
      <c r="HUD103" s="978"/>
      <c r="HUE103" s="978"/>
      <c r="HUF103" s="978"/>
      <c r="HUG103" s="978"/>
      <c r="HUH103" s="978"/>
      <c r="HUI103" s="978"/>
      <c r="HUJ103" s="978"/>
      <c r="HUK103" s="978"/>
      <c r="HUL103" s="978"/>
      <c r="HUM103" s="978"/>
      <c r="HUN103" s="978"/>
      <c r="HUO103" s="978"/>
      <c r="HUP103" s="978"/>
      <c r="HUQ103" s="978"/>
      <c r="HUR103" s="978"/>
      <c r="HUS103" s="978"/>
      <c r="HUT103" s="978"/>
      <c r="HUU103" s="978"/>
      <c r="HUV103" s="978"/>
      <c r="HUW103" s="978"/>
      <c r="HUX103" s="978"/>
      <c r="HUY103" s="978"/>
      <c r="HUZ103" s="978"/>
      <c r="HVA103" s="978"/>
      <c r="HVB103" s="978"/>
      <c r="HVC103" s="978"/>
      <c r="HVD103" s="978"/>
      <c r="HVE103" s="978"/>
      <c r="HVF103" s="978"/>
      <c r="HVG103" s="978"/>
      <c r="HVH103" s="978"/>
      <c r="HVI103" s="978"/>
      <c r="HVJ103" s="978"/>
      <c r="HVK103" s="978"/>
      <c r="HVL103" s="978"/>
      <c r="HVM103" s="978"/>
      <c r="HVN103" s="978"/>
      <c r="HVO103" s="978"/>
      <c r="HVP103" s="978"/>
      <c r="HVQ103" s="978"/>
      <c r="HVR103" s="978"/>
      <c r="HVS103" s="978"/>
      <c r="HVT103" s="978"/>
      <c r="HVU103" s="978"/>
      <c r="HVV103" s="978"/>
      <c r="HVW103" s="978"/>
      <c r="HVX103" s="978"/>
      <c r="HVY103" s="978"/>
      <c r="HVZ103" s="978"/>
      <c r="HWA103" s="978"/>
      <c r="HWB103" s="978"/>
      <c r="HWC103" s="978"/>
      <c r="HWD103" s="978"/>
      <c r="HWE103" s="978"/>
      <c r="HWF103" s="978"/>
      <c r="HWG103" s="978"/>
      <c r="HWH103" s="978"/>
      <c r="HWI103" s="978"/>
      <c r="HWJ103" s="978"/>
      <c r="HWK103" s="978"/>
      <c r="HWL103" s="978"/>
      <c r="HWM103" s="978"/>
      <c r="HWN103" s="978"/>
      <c r="HWO103" s="978"/>
      <c r="HWP103" s="978"/>
      <c r="HWQ103" s="978"/>
      <c r="HWR103" s="978"/>
      <c r="HWS103" s="978"/>
      <c r="HWT103" s="978"/>
      <c r="HWU103" s="978"/>
      <c r="HWV103" s="978"/>
      <c r="HWW103" s="978"/>
      <c r="HWX103" s="978"/>
      <c r="HWY103" s="978"/>
      <c r="HWZ103" s="978"/>
      <c r="HXA103" s="978"/>
      <c r="HXB103" s="978"/>
      <c r="HXC103" s="978"/>
      <c r="HXD103" s="978"/>
      <c r="HXE103" s="978"/>
      <c r="HXF103" s="978"/>
      <c r="HXG103" s="978"/>
      <c r="HXH103" s="978"/>
      <c r="HXI103" s="978"/>
      <c r="HXJ103" s="978"/>
      <c r="HXK103" s="978"/>
      <c r="HXL103" s="978"/>
      <c r="HXM103" s="978"/>
      <c r="HXN103" s="978"/>
      <c r="HXO103" s="978"/>
      <c r="HXP103" s="978"/>
      <c r="HXQ103" s="978"/>
      <c r="HXR103" s="978"/>
      <c r="HXS103" s="978"/>
      <c r="HXT103" s="978"/>
      <c r="HXU103" s="978"/>
      <c r="HXV103" s="978"/>
      <c r="HXW103" s="978"/>
      <c r="HXX103" s="978"/>
      <c r="HXY103" s="978"/>
      <c r="HXZ103" s="978"/>
      <c r="HYA103" s="978"/>
      <c r="HYB103" s="978"/>
      <c r="HYC103" s="978"/>
      <c r="HYD103" s="978"/>
      <c r="HYE103" s="978"/>
      <c r="HYF103" s="978"/>
      <c r="HYG103" s="978"/>
      <c r="HYH103" s="978"/>
      <c r="HYI103" s="978"/>
      <c r="HYJ103" s="978"/>
      <c r="HYK103" s="978"/>
      <c r="HYL103" s="978"/>
      <c r="HYM103" s="978"/>
      <c r="HYN103" s="978"/>
      <c r="HYO103" s="978"/>
      <c r="HYP103" s="978"/>
      <c r="HYQ103" s="978"/>
      <c r="HYR103" s="978"/>
      <c r="HYS103" s="978"/>
      <c r="HYT103" s="978"/>
      <c r="HYU103" s="978"/>
      <c r="HYV103" s="978"/>
      <c r="HYW103" s="978"/>
      <c r="HYX103" s="978"/>
      <c r="HYY103" s="978"/>
      <c r="HYZ103" s="978"/>
      <c r="HZA103" s="978"/>
      <c r="HZB103" s="978"/>
      <c r="HZC103" s="978"/>
      <c r="HZD103" s="978"/>
      <c r="HZE103" s="978"/>
      <c r="HZF103" s="978"/>
      <c r="HZG103" s="978"/>
      <c r="HZH103" s="978"/>
      <c r="HZI103" s="978"/>
      <c r="HZJ103" s="978"/>
      <c r="HZK103" s="978"/>
      <c r="HZL103" s="978"/>
      <c r="HZM103" s="978"/>
      <c r="HZN103" s="978"/>
      <c r="HZO103" s="978"/>
      <c r="HZP103" s="978"/>
      <c r="HZQ103" s="978"/>
      <c r="HZR103" s="978"/>
      <c r="HZS103" s="978"/>
      <c r="HZT103" s="978"/>
      <c r="HZU103" s="978"/>
      <c r="HZV103" s="978"/>
      <c r="HZW103" s="978"/>
      <c r="HZX103" s="978"/>
      <c r="HZY103" s="978"/>
      <c r="HZZ103" s="978"/>
      <c r="IAA103" s="978"/>
      <c r="IAB103" s="978"/>
      <c r="IAC103" s="978"/>
      <c r="IAD103" s="978"/>
      <c r="IAE103" s="978"/>
      <c r="IAF103" s="978"/>
      <c r="IAG103" s="978"/>
      <c r="IAH103" s="978"/>
      <c r="IAI103" s="978"/>
      <c r="IAJ103" s="978"/>
      <c r="IAK103" s="978"/>
      <c r="IAL103" s="978"/>
      <c r="IAM103" s="978"/>
      <c r="IAN103" s="978"/>
      <c r="IAO103" s="978"/>
      <c r="IAP103" s="978"/>
      <c r="IAQ103" s="978"/>
      <c r="IAR103" s="978"/>
      <c r="IAS103" s="978"/>
      <c r="IAT103" s="978"/>
      <c r="IAU103" s="978"/>
      <c r="IAV103" s="978"/>
      <c r="IAW103" s="978"/>
      <c r="IAX103" s="978"/>
      <c r="IAY103" s="978"/>
      <c r="IAZ103" s="978"/>
      <c r="IBA103" s="978"/>
      <c r="IBB103" s="978"/>
      <c r="IBC103" s="978"/>
      <c r="IBD103" s="978"/>
      <c r="IBE103" s="978"/>
      <c r="IBF103" s="978"/>
      <c r="IBG103" s="978"/>
      <c r="IBH103" s="978"/>
      <c r="IBI103" s="978"/>
      <c r="IBJ103" s="978"/>
      <c r="IBK103" s="978"/>
      <c r="IBL103" s="978"/>
      <c r="IBM103" s="978"/>
      <c r="IBN103" s="978"/>
      <c r="IBO103" s="978"/>
      <c r="IBP103" s="978"/>
      <c r="IBQ103" s="978"/>
      <c r="IBR103" s="978"/>
      <c r="IBS103" s="978"/>
      <c r="IBT103" s="978"/>
      <c r="IBU103" s="978"/>
      <c r="IBV103" s="978"/>
      <c r="IBW103" s="978"/>
      <c r="IBX103" s="978"/>
      <c r="IBY103" s="978"/>
      <c r="IBZ103" s="978"/>
      <c r="ICA103" s="978"/>
      <c r="ICB103" s="978"/>
      <c r="ICC103" s="978"/>
      <c r="ICD103" s="978"/>
      <c r="ICE103" s="978"/>
      <c r="ICF103" s="978"/>
      <c r="ICG103" s="978"/>
      <c r="ICH103" s="978"/>
      <c r="ICI103" s="978"/>
      <c r="ICJ103" s="978"/>
      <c r="ICK103" s="978"/>
      <c r="ICL103" s="978"/>
      <c r="ICM103" s="978"/>
      <c r="ICN103" s="978"/>
      <c r="ICO103" s="978"/>
      <c r="ICP103" s="978"/>
      <c r="ICQ103" s="978"/>
      <c r="ICR103" s="978"/>
      <c r="ICS103" s="978"/>
      <c r="ICT103" s="978"/>
      <c r="ICU103" s="978"/>
      <c r="ICV103" s="978"/>
      <c r="ICW103" s="978"/>
      <c r="ICX103" s="978"/>
      <c r="ICY103" s="978"/>
      <c r="ICZ103" s="978"/>
      <c r="IDA103" s="978"/>
      <c r="IDB103" s="978"/>
      <c r="IDC103" s="978"/>
      <c r="IDD103" s="978"/>
      <c r="IDE103" s="978"/>
      <c r="IDF103" s="978"/>
      <c r="IDG103" s="978"/>
      <c r="IDH103" s="978"/>
      <c r="IDI103" s="978"/>
      <c r="IDJ103" s="978"/>
      <c r="IDK103" s="978"/>
      <c r="IDL103" s="978"/>
      <c r="IDM103" s="978"/>
      <c r="IDN103" s="978"/>
      <c r="IDO103" s="978"/>
      <c r="IDP103" s="978"/>
      <c r="IDQ103" s="978"/>
      <c r="IDR103" s="978"/>
      <c r="IDS103" s="978"/>
      <c r="IDT103" s="978"/>
      <c r="IDU103" s="978"/>
      <c r="IDV103" s="978"/>
      <c r="IDW103" s="978"/>
      <c r="IDX103" s="978"/>
      <c r="IDY103" s="978"/>
      <c r="IDZ103" s="978"/>
      <c r="IEA103" s="978"/>
      <c r="IEB103" s="978"/>
      <c r="IEC103" s="978"/>
      <c r="IED103" s="978"/>
      <c r="IEE103" s="978"/>
      <c r="IEF103" s="978"/>
      <c r="IEG103" s="978"/>
      <c r="IEH103" s="978"/>
      <c r="IEI103" s="978"/>
      <c r="IEJ103" s="978"/>
      <c r="IEK103" s="978"/>
      <c r="IEL103" s="978"/>
      <c r="IEM103" s="978"/>
      <c r="IEN103" s="978"/>
      <c r="IEO103" s="978"/>
      <c r="IEP103" s="978"/>
      <c r="IEQ103" s="978"/>
      <c r="IER103" s="978"/>
      <c r="IES103" s="978"/>
      <c r="IET103" s="978"/>
      <c r="IEU103" s="978"/>
      <c r="IEV103" s="978"/>
      <c r="IEW103" s="978"/>
      <c r="IEX103" s="978"/>
      <c r="IEY103" s="978"/>
      <c r="IEZ103" s="978"/>
      <c r="IFA103" s="978"/>
      <c r="IFB103" s="978"/>
      <c r="IFC103" s="978"/>
      <c r="IFD103" s="978"/>
      <c r="IFE103" s="978"/>
      <c r="IFF103" s="978"/>
      <c r="IFG103" s="978"/>
      <c r="IFH103" s="978"/>
      <c r="IFI103" s="978"/>
      <c r="IFJ103" s="978"/>
      <c r="IFK103" s="978"/>
      <c r="IFL103" s="978"/>
      <c r="IFM103" s="978"/>
      <c r="IFN103" s="978"/>
      <c r="IFO103" s="978"/>
      <c r="IFP103" s="978"/>
      <c r="IFQ103" s="978"/>
      <c r="IFR103" s="978"/>
      <c r="IFS103" s="978"/>
      <c r="IFT103" s="978"/>
      <c r="IFU103" s="978"/>
      <c r="IFV103" s="978"/>
      <c r="IFW103" s="978"/>
      <c r="IFX103" s="978"/>
      <c r="IFY103" s="978"/>
      <c r="IFZ103" s="978"/>
      <c r="IGA103" s="978"/>
      <c r="IGB103" s="978"/>
      <c r="IGC103" s="978"/>
      <c r="IGD103" s="978"/>
      <c r="IGE103" s="978"/>
      <c r="IGF103" s="978"/>
      <c r="IGG103" s="978"/>
      <c r="IGH103" s="978"/>
      <c r="IGI103" s="978"/>
      <c r="IGJ103" s="978"/>
      <c r="IGK103" s="978"/>
      <c r="IGL103" s="978"/>
      <c r="IGM103" s="978"/>
      <c r="IGN103" s="978"/>
      <c r="IGO103" s="978"/>
      <c r="IGP103" s="978"/>
      <c r="IGQ103" s="978"/>
      <c r="IGR103" s="978"/>
      <c r="IGS103" s="978"/>
      <c r="IGT103" s="978"/>
      <c r="IGU103" s="978"/>
      <c r="IGV103" s="978"/>
      <c r="IGW103" s="978"/>
      <c r="IGX103" s="978"/>
      <c r="IGY103" s="978"/>
      <c r="IGZ103" s="978"/>
      <c r="IHA103" s="978"/>
      <c r="IHB103" s="978"/>
      <c r="IHC103" s="978"/>
      <c r="IHD103" s="978"/>
      <c r="IHE103" s="978"/>
      <c r="IHF103" s="978"/>
      <c r="IHG103" s="978"/>
      <c r="IHH103" s="978"/>
      <c r="IHI103" s="978"/>
      <c r="IHJ103" s="978"/>
      <c r="IHK103" s="978"/>
      <c r="IHL103" s="978"/>
      <c r="IHM103" s="978"/>
      <c r="IHN103" s="978"/>
      <c r="IHO103" s="978"/>
      <c r="IHP103" s="978"/>
      <c r="IHQ103" s="978"/>
      <c r="IHR103" s="978"/>
      <c r="IHS103" s="978"/>
      <c r="IHT103" s="978"/>
      <c r="IHU103" s="978"/>
      <c r="IHV103" s="978"/>
      <c r="IHW103" s="978"/>
      <c r="IHX103" s="978"/>
      <c r="IHY103" s="978"/>
      <c r="IHZ103" s="978"/>
      <c r="IIA103" s="978"/>
      <c r="IIB103" s="978"/>
      <c r="IIC103" s="978"/>
      <c r="IID103" s="978"/>
      <c r="IIE103" s="978"/>
      <c r="IIF103" s="978"/>
      <c r="IIG103" s="978"/>
      <c r="IIH103" s="978"/>
      <c r="III103" s="978"/>
      <c r="IIJ103" s="978"/>
      <c r="IIK103" s="978"/>
      <c r="IIL103" s="978"/>
      <c r="IIM103" s="978"/>
      <c r="IIN103" s="978"/>
      <c r="IIO103" s="978"/>
      <c r="IIP103" s="978"/>
      <c r="IIQ103" s="978"/>
      <c r="IIR103" s="978"/>
      <c r="IIS103" s="978"/>
      <c r="IIT103" s="978"/>
      <c r="IIU103" s="978"/>
      <c r="IIV103" s="978"/>
      <c r="IIW103" s="978"/>
      <c r="IIX103" s="978"/>
      <c r="IIY103" s="978"/>
      <c r="IIZ103" s="978"/>
      <c r="IJA103" s="978"/>
      <c r="IJB103" s="978"/>
      <c r="IJC103" s="978"/>
      <c r="IJD103" s="978"/>
      <c r="IJE103" s="978"/>
      <c r="IJF103" s="978"/>
      <c r="IJG103" s="978"/>
      <c r="IJH103" s="978"/>
      <c r="IJI103" s="978"/>
      <c r="IJJ103" s="978"/>
      <c r="IJK103" s="978"/>
      <c r="IJL103" s="978"/>
      <c r="IJM103" s="978"/>
      <c r="IJN103" s="978"/>
      <c r="IJO103" s="978"/>
      <c r="IJP103" s="978"/>
      <c r="IJQ103" s="978"/>
      <c r="IJR103" s="978"/>
      <c r="IJS103" s="978"/>
      <c r="IJT103" s="978"/>
      <c r="IJU103" s="978"/>
      <c r="IJV103" s="978"/>
      <c r="IJW103" s="978"/>
      <c r="IJX103" s="978"/>
      <c r="IJY103" s="978"/>
      <c r="IJZ103" s="978"/>
      <c r="IKA103" s="978"/>
      <c r="IKB103" s="978"/>
      <c r="IKC103" s="978"/>
      <c r="IKD103" s="978"/>
      <c r="IKE103" s="978"/>
      <c r="IKF103" s="978"/>
      <c r="IKG103" s="978"/>
      <c r="IKH103" s="978"/>
      <c r="IKI103" s="978"/>
      <c r="IKJ103" s="978"/>
      <c r="IKK103" s="978"/>
      <c r="IKL103" s="978"/>
      <c r="IKM103" s="978"/>
      <c r="IKN103" s="978"/>
      <c r="IKO103" s="978"/>
      <c r="IKP103" s="978"/>
      <c r="IKQ103" s="978"/>
      <c r="IKR103" s="978"/>
      <c r="IKS103" s="978"/>
      <c r="IKT103" s="978"/>
      <c r="IKU103" s="978"/>
      <c r="IKV103" s="978"/>
      <c r="IKW103" s="978"/>
      <c r="IKX103" s="978"/>
      <c r="IKY103" s="978"/>
      <c r="IKZ103" s="978"/>
      <c r="ILA103" s="978"/>
      <c r="ILB103" s="978"/>
      <c r="ILC103" s="978"/>
      <c r="ILD103" s="978"/>
      <c r="ILE103" s="978"/>
      <c r="ILF103" s="978"/>
      <c r="ILG103" s="978"/>
      <c r="ILH103" s="978"/>
      <c r="ILI103" s="978"/>
      <c r="ILJ103" s="978"/>
      <c r="ILK103" s="978"/>
      <c r="ILL103" s="978"/>
      <c r="ILM103" s="978"/>
      <c r="ILN103" s="978"/>
      <c r="ILO103" s="978"/>
      <c r="ILP103" s="978"/>
      <c r="ILQ103" s="978"/>
      <c r="ILR103" s="978"/>
      <c r="ILS103" s="978"/>
      <c r="ILT103" s="978"/>
      <c r="ILU103" s="978"/>
      <c r="ILV103" s="978"/>
      <c r="ILW103" s="978"/>
      <c r="ILX103" s="978"/>
      <c r="ILY103" s="978"/>
      <c r="ILZ103" s="978"/>
      <c r="IMA103" s="978"/>
      <c r="IMB103" s="978"/>
      <c r="IMC103" s="978"/>
      <c r="IMD103" s="978"/>
      <c r="IME103" s="978"/>
      <c r="IMF103" s="978"/>
      <c r="IMG103" s="978"/>
      <c r="IMH103" s="978"/>
      <c r="IMI103" s="978"/>
      <c r="IMJ103" s="978"/>
      <c r="IMK103" s="978"/>
      <c r="IML103" s="978"/>
      <c r="IMM103" s="978"/>
      <c r="IMN103" s="978"/>
      <c r="IMO103" s="978"/>
      <c r="IMP103" s="978"/>
      <c r="IMQ103" s="978"/>
      <c r="IMR103" s="978"/>
      <c r="IMS103" s="978"/>
      <c r="IMT103" s="978"/>
      <c r="IMU103" s="978"/>
      <c r="IMV103" s="978"/>
      <c r="IMW103" s="978"/>
      <c r="IMX103" s="978"/>
      <c r="IMY103" s="978"/>
      <c r="IMZ103" s="978"/>
      <c r="INA103" s="978"/>
      <c r="INB103" s="978"/>
      <c r="INC103" s="978"/>
      <c r="IND103" s="978"/>
      <c r="INE103" s="978"/>
      <c r="INF103" s="978"/>
      <c r="ING103" s="978"/>
      <c r="INH103" s="978"/>
      <c r="INI103" s="978"/>
      <c r="INJ103" s="978"/>
      <c r="INK103" s="978"/>
      <c r="INL103" s="978"/>
      <c r="INM103" s="978"/>
      <c r="INN103" s="978"/>
      <c r="INO103" s="978"/>
      <c r="INP103" s="978"/>
      <c r="INQ103" s="978"/>
      <c r="INR103" s="978"/>
      <c r="INS103" s="978"/>
      <c r="INT103" s="978"/>
      <c r="INU103" s="978"/>
      <c r="INV103" s="978"/>
      <c r="INW103" s="978"/>
      <c r="INX103" s="978"/>
      <c r="INY103" s="978"/>
      <c r="INZ103" s="978"/>
      <c r="IOA103" s="978"/>
      <c r="IOB103" s="978"/>
      <c r="IOC103" s="978"/>
      <c r="IOD103" s="978"/>
      <c r="IOE103" s="978"/>
      <c r="IOF103" s="978"/>
      <c r="IOG103" s="978"/>
      <c r="IOH103" s="978"/>
      <c r="IOI103" s="978"/>
      <c r="IOJ103" s="978"/>
      <c r="IOK103" s="978"/>
      <c r="IOL103" s="978"/>
      <c r="IOM103" s="978"/>
      <c r="ION103" s="978"/>
      <c r="IOO103" s="978"/>
      <c r="IOP103" s="978"/>
      <c r="IOQ103" s="978"/>
      <c r="IOR103" s="978"/>
      <c r="IOS103" s="978"/>
      <c r="IOT103" s="978"/>
      <c r="IOU103" s="978"/>
      <c r="IOV103" s="978"/>
      <c r="IOW103" s="978"/>
      <c r="IOX103" s="978"/>
      <c r="IOY103" s="978"/>
      <c r="IOZ103" s="978"/>
      <c r="IPA103" s="978"/>
      <c r="IPB103" s="978"/>
      <c r="IPC103" s="978"/>
      <c r="IPD103" s="978"/>
      <c r="IPE103" s="978"/>
      <c r="IPF103" s="978"/>
      <c r="IPG103" s="978"/>
      <c r="IPH103" s="978"/>
      <c r="IPI103" s="978"/>
      <c r="IPJ103" s="978"/>
      <c r="IPK103" s="978"/>
      <c r="IPL103" s="978"/>
      <c r="IPM103" s="978"/>
      <c r="IPN103" s="978"/>
      <c r="IPO103" s="978"/>
      <c r="IPP103" s="978"/>
      <c r="IPQ103" s="978"/>
      <c r="IPR103" s="978"/>
      <c r="IPS103" s="978"/>
      <c r="IPT103" s="978"/>
      <c r="IPU103" s="978"/>
      <c r="IPV103" s="978"/>
      <c r="IPW103" s="978"/>
      <c r="IPX103" s="978"/>
      <c r="IPY103" s="978"/>
      <c r="IPZ103" s="978"/>
      <c r="IQA103" s="978"/>
      <c r="IQB103" s="978"/>
      <c r="IQC103" s="978"/>
      <c r="IQD103" s="978"/>
      <c r="IQE103" s="978"/>
      <c r="IQF103" s="978"/>
      <c r="IQG103" s="978"/>
      <c r="IQH103" s="978"/>
      <c r="IQI103" s="978"/>
      <c r="IQJ103" s="978"/>
      <c r="IQK103" s="978"/>
      <c r="IQL103" s="978"/>
      <c r="IQM103" s="978"/>
      <c r="IQN103" s="978"/>
      <c r="IQO103" s="978"/>
      <c r="IQP103" s="978"/>
      <c r="IQQ103" s="978"/>
      <c r="IQR103" s="978"/>
      <c r="IQS103" s="978"/>
      <c r="IQT103" s="978"/>
      <c r="IQU103" s="978"/>
      <c r="IQV103" s="978"/>
      <c r="IQW103" s="978"/>
      <c r="IQX103" s="978"/>
      <c r="IQY103" s="978"/>
      <c r="IQZ103" s="978"/>
      <c r="IRA103" s="978"/>
      <c r="IRB103" s="978"/>
      <c r="IRC103" s="978"/>
      <c r="IRD103" s="978"/>
      <c r="IRE103" s="978"/>
      <c r="IRF103" s="978"/>
      <c r="IRG103" s="978"/>
      <c r="IRH103" s="978"/>
      <c r="IRI103" s="978"/>
      <c r="IRJ103" s="978"/>
      <c r="IRK103" s="978"/>
      <c r="IRL103" s="978"/>
      <c r="IRM103" s="978"/>
      <c r="IRN103" s="978"/>
      <c r="IRO103" s="978"/>
      <c r="IRP103" s="978"/>
      <c r="IRQ103" s="978"/>
      <c r="IRR103" s="978"/>
      <c r="IRS103" s="978"/>
      <c r="IRT103" s="978"/>
      <c r="IRU103" s="978"/>
      <c r="IRV103" s="978"/>
      <c r="IRW103" s="978"/>
      <c r="IRX103" s="978"/>
      <c r="IRY103" s="978"/>
      <c r="IRZ103" s="978"/>
      <c r="ISA103" s="978"/>
      <c r="ISB103" s="978"/>
      <c r="ISC103" s="978"/>
      <c r="ISD103" s="978"/>
      <c r="ISE103" s="978"/>
      <c r="ISF103" s="978"/>
      <c r="ISG103" s="978"/>
      <c r="ISH103" s="978"/>
      <c r="ISI103" s="978"/>
      <c r="ISJ103" s="978"/>
      <c r="ISK103" s="978"/>
      <c r="ISL103" s="978"/>
      <c r="ISM103" s="978"/>
      <c r="ISN103" s="978"/>
      <c r="ISO103" s="978"/>
      <c r="ISP103" s="978"/>
      <c r="ISQ103" s="978"/>
      <c r="ISR103" s="978"/>
      <c r="ISS103" s="978"/>
      <c r="IST103" s="978"/>
      <c r="ISU103" s="978"/>
      <c r="ISV103" s="978"/>
      <c r="ISW103" s="978"/>
      <c r="ISX103" s="978"/>
      <c r="ISY103" s="978"/>
      <c r="ISZ103" s="978"/>
      <c r="ITA103" s="978"/>
      <c r="ITB103" s="978"/>
      <c r="ITC103" s="978"/>
      <c r="ITD103" s="978"/>
      <c r="ITE103" s="978"/>
      <c r="ITF103" s="978"/>
      <c r="ITG103" s="978"/>
      <c r="ITH103" s="978"/>
      <c r="ITI103" s="978"/>
      <c r="ITJ103" s="978"/>
      <c r="ITK103" s="978"/>
      <c r="ITL103" s="978"/>
      <c r="ITM103" s="978"/>
      <c r="ITN103" s="978"/>
      <c r="ITO103" s="978"/>
      <c r="ITP103" s="978"/>
      <c r="ITQ103" s="978"/>
      <c r="ITR103" s="978"/>
      <c r="ITS103" s="978"/>
      <c r="ITT103" s="978"/>
      <c r="ITU103" s="978"/>
      <c r="ITV103" s="978"/>
      <c r="ITW103" s="978"/>
      <c r="ITX103" s="978"/>
      <c r="ITY103" s="978"/>
      <c r="ITZ103" s="978"/>
      <c r="IUA103" s="978"/>
      <c r="IUB103" s="978"/>
      <c r="IUC103" s="978"/>
      <c r="IUD103" s="978"/>
      <c r="IUE103" s="978"/>
      <c r="IUF103" s="978"/>
      <c r="IUG103" s="978"/>
      <c r="IUH103" s="978"/>
      <c r="IUI103" s="978"/>
      <c r="IUJ103" s="978"/>
      <c r="IUK103" s="978"/>
      <c r="IUL103" s="978"/>
      <c r="IUM103" s="978"/>
      <c r="IUN103" s="978"/>
      <c r="IUO103" s="978"/>
      <c r="IUP103" s="978"/>
      <c r="IUQ103" s="978"/>
      <c r="IUR103" s="978"/>
      <c r="IUS103" s="978"/>
      <c r="IUT103" s="978"/>
      <c r="IUU103" s="978"/>
      <c r="IUV103" s="978"/>
      <c r="IUW103" s="978"/>
      <c r="IUX103" s="978"/>
      <c r="IUY103" s="978"/>
      <c r="IUZ103" s="978"/>
      <c r="IVA103" s="978"/>
      <c r="IVB103" s="978"/>
      <c r="IVC103" s="978"/>
      <c r="IVD103" s="978"/>
      <c r="IVE103" s="978"/>
      <c r="IVF103" s="978"/>
      <c r="IVG103" s="978"/>
      <c r="IVH103" s="978"/>
      <c r="IVI103" s="978"/>
      <c r="IVJ103" s="978"/>
      <c r="IVK103" s="978"/>
      <c r="IVL103" s="978"/>
      <c r="IVM103" s="978"/>
      <c r="IVN103" s="978"/>
      <c r="IVO103" s="978"/>
      <c r="IVP103" s="978"/>
      <c r="IVQ103" s="978"/>
      <c r="IVR103" s="978"/>
      <c r="IVS103" s="978"/>
      <c r="IVT103" s="978"/>
      <c r="IVU103" s="978"/>
      <c r="IVV103" s="978"/>
      <c r="IVW103" s="978"/>
      <c r="IVX103" s="978"/>
      <c r="IVY103" s="978"/>
      <c r="IVZ103" s="978"/>
      <c r="IWA103" s="978"/>
      <c r="IWB103" s="978"/>
      <c r="IWC103" s="978"/>
      <c r="IWD103" s="978"/>
      <c r="IWE103" s="978"/>
      <c r="IWF103" s="978"/>
      <c r="IWG103" s="978"/>
      <c r="IWH103" s="978"/>
      <c r="IWI103" s="978"/>
      <c r="IWJ103" s="978"/>
      <c r="IWK103" s="978"/>
      <c r="IWL103" s="978"/>
      <c r="IWM103" s="978"/>
      <c r="IWN103" s="978"/>
      <c r="IWO103" s="978"/>
      <c r="IWP103" s="978"/>
      <c r="IWQ103" s="978"/>
      <c r="IWR103" s="978"/>
      <c r="IWS103" s="978"/>
      <c r="IWT103" s="978"/>
      <c r="IWU103" s="978"/>
      <c r="IWV103" s="978"/>
      <c r="IWW103" s="978"/>
      <c r="IWX103" s="978"/>
      <c r="IWY103" s="978"/>
      <c r="IWZ103" s="978"/>
      <c r="IXA103" s="978"/>
      <c r="IXB103" s="978"/>
      <c r="IXC103" s="978"/>
      <c r="IXD103" s="978"/>
      <c r="IXE103" s="978"/>
      <c r="IXF103" s="978"/>
      <c r="IXG103" s="978"/>
      <c r="IXH103" s="978"/>
      <c r="IXI103" s="978"/>
      <c r="IXJ103" s="978"/>
      <c r="IXK103" s="978"/>
      <c r="IXL103" s="978"/>
      <c r="IXM103" s="978"/>
      <c r="IXN103" s="978"/>
      <c r="IXO103" s="978"/>
      <c r="IXP103" s="978"/>
      <c r="IXQ103" s="978"/>
      <c r="IXR103" s="978"/>
      <c r="IXS103" s="978"/>
      <c r="IXT103" s="978"/>
      <c r="IXU103" s="978"/>
      <c r="IXV103" s="978"/>
      <c r="IXW103" s="978"/>
      <c r="IXX103" s="978"/>
      <c r="IXY103" s="978"/>
      <c r="IXZ103" s="978"/>
      <c r="IYA103" s="978"/>
      <c r="IYB103" s="978"/>
      <c r="IYC103" s="978"/>
      <c r="IYD103" s="978"/>
      <c r="IYE103" s="978"/>
      <c r="IYF103" s="978"/>
      <c r="IYG103" s="978"/>
      <c r="IYH103" s="978"/>
      <c r="IYI103" s="978"/>
      <c r="IYJ103" s="978"/>
      <c r="IYK103" s="978"/>
      <c r="IYL103" s="978"/>
      <c r="IYM103" s="978"/>
      <c r="IYN103" s="978"/>
      <c r="IYO103" s="978"/>
      <c r="IYP103" s="978"/>
      <c r="IYQ103" s="978"/>
      <c r="IYR103" s="978"/>
      <c r="IYS103" s="978"/>
      <c r="IYT103" s="978"/>
      <c r="IYU103" s="978"/>
      <c r="IYV103" s="978"/>
      <c r="IYW103" s="978"/>
      <c r="IYX103" s="978"/>
      <c r="IYY103" s="978"/>
      <c r="IYZ103" s="978"/>
      <c r="IZA103" s="978"/>
      <c r="IZB103" s="978"/>
      <c r="IZC103" s="978"/>
      <c r="IZD103" s="978"/>
      <c r="IZE103" s="978"/>
      <c r="IZF103" s="978"/>
      <c r="IZG103" s="978"/>
      <c r="IZH103" s="978"/>
      <c r="IZI103" s="978"/>
      <c r="IZJ103" s="978"/>
      <c r="IZK103" s="978"/>
      <c r="IZL103" s="978"/>
      <c r="IZM103" s="978"/>
      <c r="IZN103" s="978"/>
      <c r="IZO103" s="978"/>
      <c r="IZP103" s="978"/>
      <c r="IZQ103" s="978"/>
      <c r="IZR103" s="978"/>
      <c r="IZS103" s="978"/>
      <c r="IZT103" s="978"/>
      <c r="IZU103" s="978"/>
      <c r="IZV103" s="978"/>
      <c r="IZW103" s="978"/>
      <c r="IZX103" s="978"/>
      <c r="IZY103" s="978"/>
      <c r="IZZ103" s="978"/>
      <c r="JAA103" s="978"/>
      <c r="JAB103" s="978"/>
      <c r="JAC103" s="978"/>
      <c r="JAD103" s="978"/>
      <c r="JAE103" s="978"/>
      <c r="JAF103" s="978"/>
      <c r="JAG103" s="978"/>
      <c r="JAH103" s="978"/>
      <c r="JAI103" s="978"/>
      <c r="JAJ103" s="978"/>
      <c r="JAK103" s="978"/>
      <c r="JAL103" s="978"/>
      <c r="JAM103" s="978"/>
      <c r="JAN103" s="978"/>
      <c r="JAO103" s="978"/>
      <c r="JAP103" s="978"/>
      <c r="JAQ103" s="978"/>
      <c r="JAR103" s="978"/>
      <c r="JAS103" s="978"/>
      <c r="JAT103" s="978"/>
      <c r="JAU103" s="978"/>
      <c r="JAV103" s="978"/>
      <c r="JAW103" s="978"/>
      <c r="JAX103" s="978"/>
      <c r="JAY103" s="978"/>
      <c r="JAZ103" s="978"/>
      <c r="JBA103" s="978"/>
      <c r="JBB103" s="978"/>
      <c r="JBC103" s="978"/>
      <c r="JBD103" s="978"/>
      <c r="JBE103" s="978"/>
      <c r="JBF103" s="978"/>
      <c r="JBG103" s="978"/>
      <c r="JBH103" s="978"/>
      <c r="JBI103" s="978"/>
      <c r="JBJ103" s="978"/>
      <c r="JBK103" s="978"/>
      <c r="JBL103" s="978"/>
      <c r="JBM103" s="978"/>
      <c r="JBN103" s="978"/>
      <c r="JBO103" s="978"/>
      <c r="JBP103" s="978"/>
      <c r="JBQ103" s="978"/>
      <c r="JBR103" s="978"/>
      <c r="JBS103" s="978"/>
      <c r="JBT103" s="978"/>
      <c r="JBU103" s="978"/>
      <c r="JBV103" s="978"/>
      <c r="JBW103" s="978"/>
      <c r="JBX103" s="978"/>
      <c r="JBY103" s="978"/>
      <c r="JBZ103" s="978"/>
      <c r="JCA103" s="978"/>
      <c r="JCB103" s="978"/>
      <c r="JCC103" s="978"/>
      <c r="JCD103" s="978"/>
      <c r="JCE103" s="978"/>
      <c r="JCF103" s="978"/>
      <c r="JCG103" s="978"/>
      <c r="JCH103" s="978"/>
      <c r="JCI103" s="978"/>
      <c r="JCJ103" s="978"/>
      <c r="JCK103" s="978"/>
      <c r="JCL103" s="978"/>
      <c r="JCM103" s="978"/>
      <c r="JCN103" s="978"/>
      <c r="JCO103" s="978"/>
      <c r="JCP103" s="978"/>
      <c r="JCQ103" s="978"/>
      <c r="JCR103" s="978"/>
      <c r="JCS103" s="978"/>
      <c r="JCT103" s="978"/>
      <c r="JCU103" s="978"/>
      <c r="JCV103" s="978"/>
      <c r="JCW103" s="978"/>
      <c r="JCX103" s="978"/>
      <c r="JCY103" s="978"/>
      <c r="JCZ103" s="978"/>
      <c r="JDA103" s="978"/>
      <c r="JDB103" s="978"/>
      <c r="JDC103" s="978"/>
      <c r="JDD103" s="978"/>
      <c r="JDE103" s="978"/>
      <c r="JDF103" s="978"/>
      <c r="JDG103" s="978"/>
      <c r="JDH103" s="978"/>
      <c r="JDI103" s="978"/>
      <c r="JDJ103" s="978"/>
      <c r="JDK103" s="978"/>
      <c r="JDL103" s="978"/>
      <c r="JDM103" s="978"/>
      <c r="JDN103" s="978"/>
      <c r="JDO103" s="978"/>
      <c r="JDP103" s="978"/>
      <c r="JDQ103" s="978"/>
      <c r="JDR103" s="978"/>
      <c r="JDS103" s="978"/>
      <c r="JDT103" s="978"/>
      <c r="JDU103" s="978"/>
      <c r="JDV103" s="978"/>
      <c r="JDW103" s="978"/>
      <c r="JDX103" s="978"/>
      <c r="JDY103" s="978"/>
      <c r="JDZ103" s="978"/>
      <c r="JEA103" s="978"/>
      <c r="JEB103" s="978"/>
      <c r="JEC103" s="978"/>
      <c r="JED103" s="978"/>
      <c r="JEE103" s="978"/>
      <c r="JEF103" s="978"/>
      <c r="JEG103" s="978"/>
      <c r="JEH103" s="978"/>
      <c r="JEI103" s="978"/>
      <c r="JEJ103" s="978"/>
      <c r="JEK103" s="978"/>
      <c r="JEL103" s="978"/>
      <c r="JEM103" s="978"/>
      <c r="JEN103" s="978"/>
      <c r="JEO103" s="978"/>
      <c r="JEP103" s="978"/>
      <c r="JEQ103" s="978"/>
      <c r="JER103" s="978"/>
      <c r="JES103" s="978"/>
      <c r="JET103" s="978"/>
      <c r="JEU103" s="978"/>
      <c r="JEV103" s="978"/>
      <c r="JEW103" s="978"/>
      <c r="JEX103" s="978"/>
      <c r="JEY103" s="978"/>
      <c r="JEZ103" s="978"/>
      <c r="JFA103" s="978"/>
      <c r="JFB103" s="978"/>
      <c r="JFC103" s="978"/>
      <c r="JFD103" s="978"/>
      <c r="JFE103" s="978"/>
      <c r="JFF103" s="978"/>
      <c r="JFG103" s="978"/>
      <c r="JFH103" s="978"/>
      <c r="JFI103" s="978"/>
      <c r="JFJ103" s="978"/>
      <c r="JFK103" s="978"/>
      <c r="JFL103" s="978"/>
      <c r="JFM103" s="978"/>
      <c r="JFN103" s="978"/>
      <c r="JFO103" s="978"/>
      <c r="JFP103" s="978"/>
      <c r="JFQ103" s="978"/>
      <c r="JFR103" s="978"/>
      <c r="JFS103" s="978"/>
      <c r="JFT103" s="978"/>
      <c r="JFU103" s="978"/>
      <c r="JFV103" s="978"/>
      <c r="JFW103" s="978"/>
      <c r="JFX103" s="978"/>
      <c r="JFY103" s="978"/>
      <c r="JFZ103" s="978"/>
      <c r="JGA103" s="978"/>
      <c r="JGB103" s="978"/>
      <c r="JGC103" s="978"/>
      <c r="JGD103" s="978"/>
      <c r="JGE103" s="978"/>
      <c r="JGF103" s="978"/>
      <c r="JGG103" s="978"/>
      <c r="JGH103" s="978"/>
      <c r="JGI103" s="978"/>
      <c r="JGJ103" s="978"/>
      <c r="JGK103" s="978"/>
      <c r="JGL103" s="978"/>
      <c r="JGM103" s="978"/>
      <c r="JGN103" s="978"/>
      <c r="JGO103" s="978"/>
      <c r="JGP103" s="978"/>
      <c r="JGQ103" s="978"/>
      <c r="JGR103" s="978"/>
      <c r="JGS103" s="978"/>
      <c r="JGT103" s="978"/>
      <c r="JGU103" s="978"/>
      <c r="JGV103" s="978"/>
      <c r="JGW103" s="978"/>
      <c r="JGX103" s="978"/>
      <c r="JGY103" s="978"/>
      <c r="JGZ103" s="978"/>
      <c r="JHA103" s="978"/>
      <c r="JHB103" s="978"/>
      <c r="JHC103" s="978"/>
      <c r="JHD103" s="978"/>
      <c r="JHE103" s="978"/>
      <c r="JHF103" s="978"/>
      <c r="JHG103" s="978"/>
      <c r="JHH103" s="978"/>
      <c r="JHI103" s="978"/>
      <c r="JHJ103" s="978"/>
      <c r="JHK103" s="978"/>
      <c r="JHL103" s="978"/>
      <c r="JHM103" s="978"/>
      <c r="JHN103" s="978"/>
      <c r="JHO103" s="978"/>
      <c r="JHP103" s="978"/>
      <c r="JHQ103" s="978"/>
      <c r="JHR103" s="978"/>
      <c r="JHS103" s="978"/>
      <c r="JHT103" s="978"/>
      <c r="JHU103" s="978"/>
      <c r="JHV103" s="978"/>
      <c r="JHW103" s="978"/>
      <c r="JHX103" s="978"/>
      <c r="JHY103" s="978"/>
      <c r="JHZ103" s="978"/>
      <c r="JIA103" s="978"/>
      <c r="JIB103" s="978"/>
      <c r="JIC103" s="978"/>
      <c r="JID103" s="978"/>
      <c r="JIE103" s="978"/>
      <c r="JIF103" s="978"/>
      <c r="JIG103" s="978"/>
      <c r="JIH103" s="978"/>
      <c r="JII103" s="978"/>
      <c r="JIJ103" s="978"/>
      <c r="JIK103" s="978"/>
      <c r="JIL103" s="978"/>
      <c r="JIM103" s="978"/>
      <c r="JIN103" s="978"/>
      <c r="JIO103" s="978"/>
      <c r="JIP103" s="978"/>
      <c r="JIQ103" s="978"/>
      <c r="JIR103" s="978"/>
      <c r="JIS103" s="978"/>
      <c r="JIT103" s="978"/>
      <c r="JIU103" s="978"/>
      <c r="JIV103" s="978"/>
      <c r="JIW103" s="978"/>
      <c r="JIX103" s="978"/>
      <c r="JIY103" s="978"/>
      <c r="JIZ103" s="978"/>
      <c r="JJA103" s="978"/>
      <c r="JJB103" s="978"/>
      <c r="JJC103" s="978"/>
      <c r="JJD103" s="978"/>
      <c r="JJE103" s="978"/>
      <c r="JJF103" s="978"/>
      <c r="JJG103" s="978"/>
      <c r="JJH103" s="978"/>
      <c r="JJI103" s="978"/>
      <c r="JJJ103" s="978"/>
      <c r="JJK103" s="978"/>
      <c r="JJL103" s="978"/>
      <c r="JJM103" s="978"/>
      <c r="JJN103" s="978"/>
      <c r="JJO103" s="978"/>
      <c r="JJP103" s="978"/>
      <c r="JJQ103" s="978"/>
      <c r="JJR103" s="978"/>
      <c r="JJS103" s="978"/>
      <c r="JJT103" s="978"/>
      <c r="JJU103" s="978"/>
      <c r="JJV103" s="978"/>
      <c r="JJW103" s="978"/>
      <c r="JJX103" s="978"/>
      <c r="JJY103" s="978"/>
      <c r="JJZ103" s="978"/>
      <c r="JKA103" s="978"/>
      <c r="JKB103" s="978"/>
      <c r="JKC103" s="978"/>
      <c r="JKD103" s="978"/>
      <c r="JKE103" s="978"/>
      <c r="JKF103" s="978"/>
      <c r="JKG103" s="978"/>
      <c r="JKH103" s="978"/>
      <c r="JKI103" s="978"/>
      <c r="JKJ103" s="978"/>
      <c r="JKK103" s="978"/>
      <c r="JKL103" s="978"/>
      <c r="JKM103" s="978"/>
      <c r="JKN103" s="978"/>
      <c r="JKO103" s="978"/>
      <c r="JKP103" s="978"/>
      <c r="JKQ103" s="978"/>
      <c r="JKR103" s="978"/>
      <c r="JKS103" s="978"/>
      <c r="JKT103" s="978"/>
      <c r="JKU103" s="978"/>
      <c r="JKV103" s="978"/>
      <c r="JKW103" s="978"/>
      <c r="JKX103" s="978"/>
      <c r="JKY103" s="978"/>
      <c r="JKZ103" s="978"/>
      <c r="JLA103" s="978"/>
      <c r="JLB103" s="978"/>
      <c r="JLC103" s="978"/>
      <c r="JLD103" s="978"/>
      <c r="JLE103" s="978"/>
      <c r="JLF103" s="978"/>
      <c r="JLG103" s="978"/>
      <c r="JLH103" s="978"/>
      <c r="JLI103" s="978"/>
      <c r="JLJ103" s="978"/>
      <c r="JLK103" s="978"/>
      <c r="JLL103" s="978"/>
      <c r="JLM103" s="978"/>
      <c r="JLN103" s="978"/>
      <c r="JLO103" s="978"/>
      <c r="JLP103" s="978"/>
      <c r="JLQ103" s="978"/>
      <c r="JLR103" s="978"/>
      <c r="JLS103" s="978"/>
      <c r="JLT103" s="978"/>
      <c r="JLU103" s="978"/>
      <c r="JLV103" s="978"/>
      <c r="JLW103" s="978"/>
      <c r="JLX103" s="978"/>
      <c r="JLY103" s="978"/>
      <c r="JLZ103" s="978"/>
      <c r="JMA103" s="978"/>
      <c r="JMB103" s="978"/>
      <c r="JMC103" s="978"/>
      <c r="JMD103" s="978"/>
      <c r="JME103" s="978"/>
      <c r="JMF103" s="978"/>
      <c r="JMG103" s="978"/>
      <c r="JMH103" s="978"/>
      <c r="JMI103" s="978"/>
      <c r="JMJ103" s="978"/>
      <c r="JMK103" s="978"/>
      <c r="JML103" s="978"/>
      <c r="JMM103" s="978"/>
      <c r="JMN103" s="978"/>
      <c r="JMO103" s="978"/>
      <c r="JMP103" s="978"/>
      <c r="JMQ103" s="978"/>
      <c r="JMR103" s="978"/>
      <c r="JMS103" s="978"/>
      <c r="JMT103" s="978"/>
      <c r="JMU103" s="978"/>
      <c r="JMV103" s="978"/>
      <c r="JMW103" s="978"/>
      <c r="JMX103" s="978"/>
      <c r="JMY103" s="978"/>
      <c r="JMZ103" s="978"/>
      <c r="JNA103" s="978"/>
      <c r="JNB103" s="978"/>
      <c r="JNC103" s="978"/>
      <c r="JND103" s="978"/>
      <c r="JNE103" s="978"/>
      <c r="JNF103" s="978"/>
      <c r="JNG103" s="978"/>
      <c r="JNH103" s="978"/>
      <c r="JNI103" s="978"/>
      <c r="JNJ103" s="978"/>
      <c r="JNK103" s="978"/>
      <c r="JNL103" s="978"/>
      <c r="JNM103" s="978"/>
      <c r="JNN103" s="978"/>
      <c r="JNO103" s="978"/>
      <c r="JNP103" s="978"/>
      <c r="JNQ103" s="978"/>
      <c r="JNR103" s="978"/>
      <c r="JNS103" s="978"/>
      <c r="JNT103" s="978"/>
      <c r="JNU103" s="978"/>
      <c r="JNV103" s="978"/>
      <c r="JNW103" s="978"/>
      <c r="JNX103" s="978"/>
      <c r="JNY103" s="978"/>
      <c r="JNZ103" s="978"/>
      <c r="JOA103" s="978"/>
      <c r="JOB103" s="978"/>
      <c r="JOC103" s="978"/>
      <c r="JOD103" s="978"/>
      <c r="JOE103" s="978"/>
      <c r="JOF103" s="978"/>
      <c r="JOG103" s="978"/>
      <c r="JOH103" s="978"/>
      <c r="JOI103" s="978"/>
      <c r="JOJ103" s="978"/>
      <c r="JOK103" s="978"/>
      <c r="JOL103" s="978"/>
      <c r="JOM103" s="978"/>
      <c r="JON103" s="978"/>
      <c r="JOO103" s="978"/>
      <c r="JOP103" s="978"/>
      <c r="JOQ103" s="978"/>
      <c r="JOR103" s="978"/>
      <c r="JOS103" s="978"/>
      <c r="JOT103" s="978"/>
      <c r="JOU103" s="978"/>
      <c r="JOV103" s="978"/>
      <c r="JOW103" s="978"/>
      <c r="JOX103" s="978"/>
      <c r="JOY103" s="978"/>
      <c r="JOZ103" s="978"/>
      <c r="JPA103" s="978"/>
      <c r="JPB103" s="978"/>
      <c r="JPC103" s="978"/>
      <c r="JPD103" s="978"/>
      <c r="JPE103" s="978"/>
      <c r="JPF103" s="978"/>
      <c r="JPG103" s="978"/>
      <c r="JPH103" s="978"/>
      <c r="JPI103" s="978"/>
      <c r="JPJ103" s="978"/>
      <c r="JPK103" s="978"/>
      <c r="JPL103" s="978"/>
      <c r="JPM103" s="978"/>
      <c r="JPN103" s="978"/>
      <c r="JPO103" s="978"/>
      <c r="JPP103" s="978"/>
      <c r="JPQ103" s="978"/>
      <c r="JPR103" s="978"/>
      <c r="JPS103" s="978"/>
      <c r="JPT103" s="978"/>
      <c r="JPU103" s="978"/>
      <c r="JPV103" s="978"/>
      <c r="JPW103" s="978"/>
      <c r="JPX103" s="978"/>
      <c r="JPY103" s="978"/>
      <c r="JPZ103" s="978"/>
      <c r="JQA103" s="978"/>
      <c r="JQB103" s="978"/>
      <c r="JQC103" s="978"/>
      <c r="JQD103" s="978"/>
      <c r="JQE103" s="978"/>
      <c r="JQF103" s="978"/>
      <c r="JQG103" s="978"/>
      <c r="JQH103" s="978"/>
      <c r="JQI103" s="978"/>
      <c r="JQJ103" s="978"/>
      <c r="JQK103" s="978"/>
      <c r="JQL103" s="978"/>
      <c r="JQM103" s="978"/>
      <c r="JQN103" s="978"/>
      <c r="JQO103" s="978"/>
      <c r="JQP103" s="978"/>
      <c r="JQQ103" s="978"/>
      <c r="JQR103" s="978"/>
      <c r="JQS103" s="978"/>
      <c r="JQT103" s="978"/>
      <c r="JQU103" s="978"/>
      <c r="JQV103" s="978"/>
      <c r="JQW103" s="978"/>
      <c r="JQX103" s="978"/>
      <c r="JQY103" s="978"/>
      <c r="JQZ103" s="978"/>
      <c r="JRA103" s="978"/>
      <c r="JRB103" s="978"/>
      <c r="JRC103" s="978"/>
      <c r="JRD103" s="978"/>
      <c r="JRE103" s="978"/>
      <c r="JRF103" s="978"/>
      <c r="JRG103" s="978"/>
      <c r="JRH103" s="978"/>
      <c r="JRI103" s="978"/>
      <c r="JRJ103" s="978"/>
      <c r="JRK103" s="978"/>
      <c r="JRL103" s="978"/>
      <c r="JRM103" s="978"/>
      <c r="JRN103" s="978"/>
      <c r="JRO103" s="978"/>
      <c r="JRP103" s="978"/>
      <c r="JRQ103" s="978"/>
      <c r="JRR103" s="978"/>
      <c r="JRS103" s="978"/>
      <c r="JRT103" s="978"/>
      <c r="JRU103" s="978"/>
      <c r="JRV103" s="978"/>
      <c r="JRW103" s="978"/>
      <c r="JRX103" s="978"/>
      <c r="JRY103" s="978"/>
      <c r="JRZ103" s="978"/>
      <c r="JSA103" s="978"/>
      <c r="JSB103" s="978"/>
      <c r="JSC103" s="978"/>
      <c r="JSD103" s="978"/>
      <c r="JSE103" s="978"/>
      <c r="JSF103" s="978"/>
      <c r="JSG103" s="978"/>
      <c r="JSH103" s="978"/>
      <c r="JSI103" s="978"/>
      <c r="JSJ103" s="978"/>
      <c r="JSK103" s="978"/>
      <c r="JSL103" s="978"/>
      <c r="JSM103" s="978"/>
      <c r="JSN103" s="978"/>
      <c r="JSO103" s="978"/>
      <c r="JSP103" s="978"/>
      <c r="JSQ103" s="978"/>
      <c r="JSR103" s="978"/>
      <c r="JSS103" s="978"/>
      <c r="JST103" s="978"/>
      <c r="JSU103" s="978"/>
      <c r="JSV103" s="978"/>
      <c r="JSW103" s="978"/>
      <c r="JSX103" s="978"/>
      <c r="JSY103" s="978"/>
      <c r="JSZ103" s="978"/>
      <c r="JTA103" s="978"/>
      <c r="JTB103" s="978"/>
      <c r="JTC103" s="978"/>
      <c r="JTD103" s="978"/>
      <c r="JTE103" s="978"/>
      <c r="JTF103" s="978"/>
      <c r="JTG103" s="978"/>
      <c r="JTH103" s="978"/>
      <c r="JTI103" s="978"/>
      <c r="JTJ103" s="978"/>
      <c r="JTK103" s="978"/>
      <c r="JTL103" s="978"/>
      <c r="JTM103" s="978"/>
      <c r="JTN103" s="978"/>
      <c r="JTO103" s="978"/>
      <c r="JTP103" s="978"/>
      <c r="JTQ103" s="978"/>
      <c r="JTR103" s="978"/>
      <c r="JTS103" s="978"/>
      <c r="JTT103" s="978"/>
      <c r="JTU103" s="978"/>
      <c r="JTV103" s="978"/>
      <c r="JTW103" s="978"/>
      <c r="JTX103" s="978"/>
      <c r="JTY103" s="978"/>
      <c r="JTZ103" s="978"/>
      <c r="JUA103" s="978"/>
      <c r="JUB103" s="978"/>
      <c r="JUC103" s="978"/>
      <c r="JUD103" s="978"/>
      <c r="JUE103" s="978"/>
      <c r="JUF103" s="978"/>
      <c r="JUG103" s="978"/>
      <c r="JUH103" s="978"/>
      <c r="JUI103" s="978"/>
      <c r="JUJ103" s="978"/>
      <c r="JUK103" s="978"/>
      <c r="JUL103" s="978"/>
      <c r="JUM103" s="978"/>
      <c r="JUN103" s="978"/>
      <c r="JUO103" s="978"/>
      <c r="JUP103" s="978"/>
      <c r="JUQ103" s="978"/>
      <c r="JUR103" s="978"/>
      <c r="JUS103" s="978"/>
      <c r="JUT103" s="978"/>
      <c r="JUU103" s="978"/>
      <c r="JUV103" s="978"/>
      <c r="JUW103" s="978"/>
      <c r="JUX103" s="978"/>
      <c r="JUY103" s="978"/>
      <c r="JUZ103" s="978"/>
      <c r="JVA103" s="978"/>
      <c r="JVB103" s="978"/>
      <c r="JVC103" s="978"/>
      <c r="JVD103" s="978"/>
      <c r="JVE103" s="978"/>
      <c r="JVF103" s="978"/>
      <c r="JVG103" s="978"/>
      <c r="JVH103" s="978"/>
      <c r="JVI103" s="978"/>
      <c r="JVJ103" s="978"/>
      <c r="JVK103" s="978"/>
      <c r="JVL103" s="978"/>
      <c r="JVM103" s="978"/>
      <c r="JVN103" s="978"/>
      <c r="JVO103" s="978"/>
      <c r="JVP103" s="978"/>
      <c r="JVQ103" s="978"/>
      <c r="JVR103" s="978"/>
      <c r="JVS103" s="978"/>
      <c r="JVT103" s="978"/>
      <c r="JVU103" s="978"/>
      <c r="JVV103" s="978"/>
      <c r="JVW103" s="978"/>
      <c r="JVX103" s="978"/>
      <c r="JVY103" s="978"/>
      <c r="JVZ103" s="978"/>
      <c r="JWA103" s="978"/>
      <c r="JWB103" s="978"/>
      <c r="JWC103" s="978"/>
      <c r="JWD103" s="978"/>
      <c r="JWE103" s="978"/>
      <c r="JWF103" s="978"/>
      <c r="JWG103" s="978"/>
      <c r="JWH103" s="978"/>
      <c r="JWI103" s="978"/>
      <c r="JWJ103" s="978"/>
      <c r="JWK103" s="978"/>
      <c r="JWL103" s="978"/>
      <c r="JWM103" s="978"/>
      <c r="JWN103" s="978"/>
      <c r="JWO103" s="978"/>
      <c r="JWP103" s="978"/>
      <c r="JWQ103" s="978"/>
      <c r="JWR103" s="978"/>
      <c r="JWS103" s="978"/>
      <c r="JWT103" s="978"/>
      <c r="JWU103" s="978"/>
      <c r="JWV103" s="978"/>
      <c r="JWW103" s="978"/>
      <c r="JWX103" s="978"/>
      <c r="JWY103" s="978"/>
      <c r="JWZ103" s="978"/>
      <c r="JXA103" s="978"/>
      <c r="JXB103" s="978"/>
      <c r="JXC103" s="978"/>
      <c r="JXD103" s="978"/>
      <c r="JXE103" s="978"/>
      <c r="JXF103" s="978"/>
      <c r="JXG103" s="978"/>
      <c r="JXH103" s="978"/>
      <c r="JXI103" s="978"/>
      <c r="JXJ103" s="978"/>
      <c r="JXK103" s="978"/>
      <c r="JXL103" s="978"/>
      <c r="JXM103" s="978"/>
      <c r="JXN103" s="978"/>
      <c r="JXO103" s="978"/>
      <c r="JXP103" s="978"/>
      <c r="JXQ103" s="978"/>
      <c r="JXR103" s="978"/>
      <c r="JXS103" s="978"/>
      <c r="JXT103" s="978"/>
      <c r="JXU103" s="978"/>
      <c r="JXV103" s="978"/>
      <c r="JXW103" s="978"/>
      <c r="JXX103" s="978"/>
      <c r="JXY103" s="978"/>
      <c r="JXZ103" s="978"/>
      <c r="JYA103" s="978"/>
      <c r="JYB103" s="978"/>
      <c r="JYC103" s="978"/>
      <c r="JYD103" s="978"/>
      <c r="JYE103" s="978"/>
      <c r="JYF103" s="978"/>
      <c r="JYG103" s="978"/>
      <c r="JYH103" s="978"/>
      <c r="JYI103" s="978"/>
      <c r="JYJ103" s="978"/>
      <c r="JYK103" s="978"/>
      <c r="JYL103" s="978"/>
      <c r="JYM103" s="978"/>
      <c r="JYN103" s="978"/>
      <c r="JYO103" s="978"/>
      <c r="JYP103" s="978"/>
      <c r="JYQ103" s="978"/>
      <c r="JYR103" s="978"/>
      <c r="JYS103" s="978"/>
      <c r="JYT103" s="978"/>
      <c r="JYU103" s="978"/>
      <c r="JYV103" s="978"/>
      <c r="JYW103" s="978"/>
      <c r="JYX103" s="978"/>
      <c r="JYY103" s="978"/>
      <c r="JYZ103" s="978"/>
      <c r="JZA103" s="978"/>
      <c r="JZB103" s="978"/>
      <c r="JZC103" s="978"/>
      <c r="JZD103" s="978"/>
      <c r="JZE103" s="978"/>
      <c r="JZF103" s="978"/>
      <c r="JZG103" s="978"/>
      <c r="JZH103" s="978"/>
      <c r="JZI103" s="978"/>
      <c r="JZJ103" s="978"/>
      <c r="JZK103" s="978"/>
      <c r="JZL103" s="978"/>
      <c r="JZM103" s="978"/>
      <c r="JZN103" s="978"/>
      <c r="JZO103" s="978"/>
      <c r="JZP103" s="978"/>
      <c r="JZQ103" s="978"/>
      <c r="JZR103" s="978"/>
      <c r="JZS103" s="978"/>
      <c r="JZT103" s="978"/>
      <c r="JZU103" s="978"/>
      <c r="JZV103" s="978"/>
      <c r="JZW103" s="978"/>
      <c r="JZX103" s="978"/>
      <c r="JZY103" s="978"/>
      <c r="JZZ103" s="978"/>
      <c r="KAA103" s="978"/>
      <c r="KAB103" s="978"/>
      <c r="KAC103" s="978"/>
      <c r="KAD103" s="978"/>
      <c r="KAE103" s="978"/>
      <c r="KAF103" s="978"/>
      <c r="KAG103" s="978"/>
      <c r="KAH103" s="978"/>
      <c r="KAI103" s="978"/>
      <c r="KAJ103" s="978"/>
      <c r="KAK103" s="978"/>
      <c r="KAL103" s="978"/>
      <c r="KAM103" s="978"/>
      <c r="KAN103" s="978"/>
      <c r="KAO103" s="978"/>
      <c r="KAP103" s="978"/>
      <c r="KAQ103" s="978"/>
      <c r="KAR103" s="978"/>
      <c r="KAS103" s="978"/>
      <c r="KAT103" s="978"/>
      <c r="KAU103" s="978"/>
      <c r="KAV103" s="978"/>
      <c r="KAW103" s="978"/>
      <c r="KAX103" s="978"/>
      <c r="KAY103" s="978"/>
      <c r="KAZ103" s="978"/>
      <c r="KBA103" s="978"/>
      <c r="KBB103" s="978"/>
      <c r="KBC103" s="978"/>
      <c r="KBD103" s="978"/>
      <c r="KBE103" s="978"/>
      <c r="KBF103" s="978"/>
      <c r="KBG103" s="978"/>
      <c r="KBH103" s="978"/>
      <c r="KBI103" s="978"/>
      <c r="KBJ103" s="978"/>
      <c r="KBK103" s="978"/>
      <c r="KBL103" s="978"/>
      <c r="KBM103" s="978"/>
      <c r="KBN103" s="978"/>
      <c r="KBO103" s="978"/>
      <c r="KBP103" s="978"/>
      <c r="KBQ103" s="978"/>
      <c r="KBR103" s="978"/>
      <c r="KBS103" s="978"/>
      <c r="KBT103" s="978"/>
      <c r="KBU103" s="978"/>
      <c r="KBV103" s="978"/>
      <c r="KBW103" s="978"/>
      <c r="KBX103" s="978"/>
      <c r="KBY103" s="978"/>
      <c r="KBZ103" s="978"/>
      <c r="KCA103" s="978"/>
      <c r="KCB103" s="978"/>
      <c r="KCC103" s="978"/>
      <c r="KCD103" s="978"/>
      <c r="KCE103" s="978"/>
      <c r="KCF103" s="978"/>
      <c r="KCG103" s="978"/>
      <c r="KCH103" s="978"/>
      <c r="KCI103" s="978"/>
      <c r="KCJ103" s="978"/>
      <c r="KCK103" s="978"/>
      <c r="KCL103" s="978"/>
      <c r="KCM103" s="978"/>
      <c r="KCN103" s="978"/>
      <c r="KCO103" s="978"/>
      <c r="KCP103" s="978"/>
      <c r="KCQ103" s="978"/>
      <c r="KCR103" s="978"/>
      <c r="KCS103" s="978"/>
      <c r="KCT103" s="978"/>
      <c r="KCU103" s="978"/>
      <c r="KCV103" s="978"/>
      <c r="KCW103" s="978"/>
      <c r="KCX103" s="978"/>
      <c r="KCY103" s="978"/>
      <c r="KCZ103" s="978"/>
      <c r="KDA103" s="978"/>
      <c r="KDB103" s="978"/>
      <c r="KDC103" s="978"/>
      <c r="KDD103" s="978"/>
      <c r="KDE103" s="978"/>
      <c r="KDF103" s="978"/>
      <c r="KDG103" s="978"/>
      <c r="KDH103" s="978"/>
      <c r="KDI103" s="978"/>
      <c r="KDJ103" s="978"/>
      <c r="KDK103" s="978"/>
      <c r="KDL103" s="978"/>
      <c r="KDM103" s="978"/>
      <c r="KDN103" s="978"/>
      <c r="KDO103" s="978"/>
      <c r="KDP103" s="978"/>
      <c r="KDQ103" s="978"/>
      <c r="KDR103" s="978"/>
      <c r="KDS103" s="978"/>
      <c r="KDT103" s="978"/>
      <c r="KDU103" s="978"/>
      <c r="KDV103" s="978"/>
      <c r="KDW103" s="978"/>
      <c r="KDX103" s="978"/>
      <c r="KDY103" s="978"/>
      <c r="KDZ103" s="978"/>
      <c r="KEA103" s="978"/>
      <c r="KEB103" s="978"/>
      <c r="KEC103" s="978"/>
      <c r="KED103" s="978"/>
      <c r="KEE103" s="978"/>
      <c r="KEF103" s="978"/>
      <c r="KEG103" s="978"/>
      <c r="KEH103" s="978"/>
      <c r="KEI103" s="978"/>
      <c r="KEJ103" s="978"/>
      <c r="KEK103" s="978"/>
      <c r="KEL103" s="978"/>
      <c r="KEM103" s="978"/>
      <c r="KEN103" s="978"/>
      <c r="KEO103" s="978"/>
      <c r="KEP103" s="978"/>
      <c r="KEQ103" s="978"/>
      <c r="KER103" s="978"/>
      <c r="KES103" s="978"/>
      <c r="KET103" s="978"/>
      <c r="KEU103" s="978"/>
      <c r="KEV103" s="978"/>
      <c r="KEW103" s="978"/>
      <c r="KEX103" s="978"/>
      <c r="KEY103" s="978"/>
      <c r="KEZ103" s="978"/>
      <c r="KFA103" s="978"/>
      <c r="KFB103" s="978"/>
      <c r="KFC103" s="978"/>
      <c r="KFD103" s="978"/>
      <c r="KFE103" s="978"/>
      <c r="KFF103" s="978"/>
      <c r="KFG103" s="978"/>
      <c r="KFH103" s="978"/>
      <c r="KFI103" s="978"/>
      <c r="KFJ103" s="978"/>
      <c r="KFK103" s="978"/>
      <c r="KFL103" s="978"/>
      <c r="KFM103" s="978"/>
      <c r="KFN103" s="978"/>
      <c r="KFO103" s="978"/>
      <c r="KFP103" s="978"/>
      <c r="KFQ103" s="978"/>
      <c r="KFR103" s="978"/>
      <c r="KFS103" s="978"/>
      <c r="KFT103" s="978"/>
      <c r="KFU103" s="978"/>
      <c r="KFV103" s="978"/>
      <c r="KFW103" s="978"/>
      <c r="KFX103" s="978"/>
      <c r="KFY103" s="978"/>
      <c r="KFZ103" s="978"/>
      <c r="KGA103" s="978"/>
      <c r="KGB103" s="978"/>
      <c r="KGC103" s="978"/>
      <c r="KGD103" s="978"/>
      <c r="KGE103" s="978"/>
      <c r="KGF103" s="978"/>
      <c r="KGG103" s="978"/>
      <c r="KGH103" s="978"/>
      <c r="KGI103" s="978"/>
      <c r="KGJ103" s="978"/>
      <c r="KGK103" s="978"/>
      <c r="KGL103" s="978"/>
      <c r="KGM103" s="978"/>
      <c r="KGN103" s="978"/>
      <c r="KGO103" s="978"/>
      <c r="KGP103" s="978"/>
      <c r="KGQ103" s="978"/>
      <c r="KGR103" s="978"/>
      <c r="KGS103" s="978"/>
      <c r="KGT103" s="978"/>
      <c r="KGU103" s="978"/>
      <c r="KGV103" s="978"/>
      <c r="KGW103" s="978"/>
      <c r="KGX103" s="978"/>
      <c r="KGY103" s="978"/>
      <c r="KGZ103" s="978"/>
      <c r="KHA103" s="978"/>
      <c r="KHB103" s="978"/>
      <c r="KHC103" s="978"/>
      <c r="KHD103" s="978"/>
      <c r="KHE103" s="978"/>
      <c r="KHF103" s="978"/>
      <c r="KHG103" s="978"/>
      <c r="KHH103" s="978"/>
      <c r="KHI103" s="978"/>
      <c r="KHJ103" s="978"/>
      <c r="KHK103" s="978"/>
      <c r="KHL103" s="978"/>
      <c r="KHM103" s="978"/>
      <c r="KHN103" s="978"/>
      <c r="KHO103" s="978"/>
      <c r="KHP103" s="978"/>
      <c r="KHQ103" s="978"/>
      <c r="KHR103" s="978"/>
      <c r="KHS103" s="978"/>
      <c r="KHT103" s="978"/>
      <c r="KHU103" s="978"/>
      <c r="KHV103" s="978"/>
      <c r="KHW103" s="978"/>
      <c r="KHX103" s="978"/>
      <c r="KHY103" s="978"/>
      <c r="KHZ103" s="978"/>
      <c r="KIA103" s="978"/>
      <c r="KIB103" s="978"/>
      <c r="KIC103" s="978"/>
      <c r="KID103" s="978"/>
      <c r="KIE103" s="978"/>
      <c r="KIF103" s="978"/>
      <c r="KIG103" s="978"/>
      <c r="KIH103" s="978"/>
      <c r="KII103" s="978"/>
      <c r="KIJ103" s="978"/>
      <c r="KIK103" s="978"/>
      <c r="KIL103" s="978"/>
      <c r="KIM103" s="978"/>
      <c r="KIN103" s="978"/>
      <c r="KIO103" s="978"/>
      <c r="KIP103" s="978"/>
      <c r="KIQ103" s="978"/>
      <c r="KIR103" s="978"/>
      <c r="KIS103" s="978"/>
      <c r="KIT103" s="978"/>
      <c r="KIU103" s="978"/>
      <c r="KIV103" s="978"/>
      <c r="KIW103" s="978"/>
      <c r="KIX103" s="978"/>
      <c r="KIY103" s="978"/>
      <c r="KIZ103" s="978"/>
      <c r="KJA103" s="978"/>
      <c r="KJB103" s="978"/>
      <c r="KJC103" s="978"/>
      <c r="KJD103" s="978"/>
      <c r="KJE103" s="978"/>
      <c r="KJF103" s="978"/>
      <c r="KJG103" s="978"/>
      <c r="KJH103" s="978"/>
      <c r="KJI103" s="978"/>
      <c r="KJJ103" s="978"/>
      <c r="KJK103" s="978"/>
      <c r="KJL103" s="978"/>
      <c r="KJM103" s="978"/>
      <c r="KJN103" s="978"/>
      <c r="KJO103" s="978"/>
      <c r="KJP103" s="978"/>
      <c r="KJQ103" s="978"/>
      <c r="KJR103" s="978"/>
      <c r="KJS103" s="978"/>
      <c r="KJT103" s="978"/>
      <c r="KJU103" s="978"/>
      <c r="KJV103" s="978"/>
      <c r="KJW103" s="978"/>
      <c r="KJX103" s="978"/>
      <c r="KJY103" s="978"/>
      <c r="KJZ103" s="978"/>
      <c r="KKA103" s="978"/>
      <c r="KKB103" s="978"/>
      <c r="KKC103" s="978"/>
      <c r="KKD103" s="978"/>
      <c r="KKE103" s="978"/>
      <c r="KKF103" s="978"/>
      <c r="KKG103" s="978"/>
      <c r="KKH103" s="978"/>
      <c r="KKI103" s="978"/>
      <c r="KKJ103" s="978"/>
      <c r="KKK103" s="978"/>
      <c r="KKL103" s="978"/>
      <c r="KKM103" s="978"/>
      <c r="KKN103" s="978"/>
      <c r="KKO103" s="978"/>
      <c r="KKP103" s="978"/>
      <c r="KKQ103" s="978"/>
      <c r="KKR103" s="978"/>
      <c r="KKS103" s="978"/>
      <c r="KKT103" s="978"/>
      <c r="KKU103" s="978"/>
      <c r="KKV103" s="978"/>
      <c r="KKW103" s="978"/>
      <c r="KKX103" s="978"/>
      <c r="KKY103" s="978"/>
      <c r="KKZ103" s="978"/>
      <c r="KLA103" s="978"/>
      <c r="KLB103" s="978"/>
      <c r="KLC103" s="978"/>
      <c r="KLD103" s="978"/>
      <c r="KLE103" s="978"/>
      <c r="KLF103" s="978"/>
      <c r="KLG103" s="978"/>
      <c r="KLH103" s="978"/>
      <c r="KLI103" s="978"/>
      <c r="KLJ103" s="978"/>
      <c r="KLK103" s="978"/>
      <c r="KLL103" s="978"/>
      <c r="KLM103" s="978"/>
      <c r="KLN103" s="978"/>
      <c r="KLO103" s="978"/>
      <c r="KLP103" s="978"/>
      <c r="KLQ103" s="978"/>
      <c r="KLR103" s="978"/>
      <c r="KLS103" s="978"/>
      <c r="KLT103" s="978"/>
      <c r="KLU103" s="978"/>
      <c r="KLV103" s="978"/>
      <c r="KLW103" s="978"/>
      <c r="KLX103" s="978"/>
      <c r="KLY103" s="978"/>
      <c r="KLZ103" s="978"/>
      <c r="KMA103" s="978"/>
      <c r="KMB103" s="978"/>
      <c r="KMC103" s="978"/>
      <c r="KMD103" s="978"/>
      <c r="KME103" s="978"/>
      <c r="KMF103" s="978"/>
      <c r="KMG103" s="978"/>
      <c r="KMH103" s="978"/>
      <c r="KMI103" s="978"/>
      <c r="KMJ103" s="978"/>
      <c r="KMK103" s="978"/>
      <c r="KML103" s="978"/>
      <c r="KMM103" s="978"/>
      <c r="KMN103" s="978"/>
      <c r="KMO103" s="978"/>
      <c r="KMP103" s="978"/>
      <c r="KMQ103" s="978"/>
      <c r="KMR103" s="978"/>
      <c r="KMS103" s="978"/>
      <c r="KMT103" s="978"/>
      <c r="KMU103" s="978"/>
      <c r="KMV103" s="978"/>
      <c r="KMW103" s="978"/>
      <c r="KMX103" s="978"/>
      <c r="KMY103" s="978"/>
      <c r="KMZ103" s="978"/>
      <c r="KNA103" s="978"/>
      <c r="KNB103" s="978"/>
      <c r="KNC103" s="978"/>
      <c r="KND103" s="978"/>
      <c r="KNE103" s="978"/>
      <c r="KNF103" s="978"/>
      <c r="KNG103" s="978"/>
      <c r="KNH103" s="978"/>
      <c r="KNI103" s="978"/>
      <c r="KNJ103" s="978"/>
      <c r="KNK103" s="978"/>
      <c r="KNL103" s="978"/>
      <c r="KNM103" s="978"/>
      <c r="KNN103" s="978"/>
      <c r="KNO103" s="978"/>
      <c r="KNP103" s="978"/>
      <c r="KNQ103" s="978"/>
      <c r="KNR103" s="978"/>
      <c r="KNS103" s="978"/>
      <c r="KNT103" s="978"/>
      <c r="KNU103" s="978"/>
      <c r="KNV103" s="978"/>
      <c r="KNW103" s="978"/>
      <c r="KNX103" s="978"/>
      <c r="KNY103" s="978"/>
      <c r="KNZ103" s="978"/>
      <c r="KOA103" s="978"/>
      <c r="KOB103" s="978"/>
      <c r="KOC103" s="978"/>
      <c r="KOD103" s="978"/>
      <c r="KOE103" s="978"/>
      <c r="KOF103" s="978"/>
      <c r="KOG103" s="978"/>
      <c r="KOH103" s="978"/>
      <c r="KOI103" s="978"/>
      <c r="KOJ103" s="978"/>
      <c r="KOK103" s="978"/>
      <c r="KOL103" s="978"/>
      <c r="KOM103" s="978"/>
      <c r="KON103" s="978"/>
      <c r="KOO103" s="978"/>
      <c r="KOP103" s="978"/>
      <c r="KOQ103" s="978"/>
      <c r="KOR103" s="978"/>
      <c r="KOS103" s="978"/>
      <c r="KOT103" s="978"/>
      <c r="KOU103" s="978"/>
      <c r="KOV103" s="978"/>
      <c r="KOW103" s="978"/>
      <c r="KOX103" s="978"/>
      <c r="KOY103" s="978"/>
      <c r="KOZ103" s="978"/>
      <c r="KPA103" s="978"/>
      <c r="KPB103" s="978"/>
      <c r="KPC103" s="978"/>
      <c r="KPD103" s="978"/>
      <c r="KPE103" s="978"/>
      <c r="KPF103" s="978"/>
      <c r="KPG103" s="978"/>
      <c r="KPH103" s="978"/>
      <c r="KPI103" s="978"/>
      <c r="KPJ103" s="978"/>
      <c r="KPK103" s="978"/>
      <c r="KPL103" s="978"/>
      <c r="KPM103" s="978"/>
      <c r="KPN103" s="978"/>
      <c r="KPO103" s="978"/>
      <c r="KPP103" s="978"/>
      <c r="KPQ103" s="978"/>
      <c r="KPR103" s="978"/>
      <c r="KPS103" s="978"/>
      <c r="KPT103" s="978"/>
      <c r="KPU103" s="978"/>
      <c r="KPV103" s="978"/>
      <c r="KPW103" s="978"/>
      <c r="KPX103" s="978"/>
      <c r="KPY103" s="978"/>
      <c r="KPZ103" s="978"/>
      <c r="KQA103" s="978"/>
      <c r="KQB103" s="978"/>
      <c r="KQC103" s="978"/>
      <c r="KQD103" s="978"/>
      <c r="KQE103" s="978"/>
      <c r="KQF103" s="978"/>
      <c r="KQG103" s="978"/>
      <c r="KQH103" s="978"/>
      <c r="KQI103" s="978"/>
      <c r="KQJ103" s="978"/>
      <c r="KQK103" s="978"/>
      <c r="KQL103" s="978"/>
      <c r="KQM103" s="978"/>
      <c r="KQN103" s="978"/>
      <c r="KQO103" s="978"/>
      <c r="KQP103" s="978"/>
      <c r="KQQ103" s="978"/>
      <c r="KQR103" s="978"/>
      <c r="KQS103" s="978"/>
      <c r="KQT103" s="978"/>
      <c r="KQU103" s="978"/>
      <c r="KQV103" s="978"/>
      <c r="KQW103" s="978"/>
      <c r="KQX103" s="978"/>
      <c r="KQY103" s="978"/>
      <c r="KQZ103" s="978"/>
      <c r="KRA103" s="978"/>
      <c r="KRB103" s="978"/>
      <c r="KRC103" s="978"/>
      <c r="KRD103" s="978"/>
      <c r="KRE103" s="978"/>
      <c r="KRF103" s="978"/>
      <c r="KRG103" s="978"/>
      <c r="KRH103" s="978"/>
      <c r="KRI103" s="978"/>
      <c r="KRJ103" s="978"/>
      <c r="KRK103" s="978"/>
      <c r="KRL103" s="978"/>
      <c r="KRM103" s="978"/>
      <c r="KRN103" s="978"/>
      <c r="KRO103" s="978"/>
      <c r="KRP103" s="978"/>
      <c r="KRQ103" s="978"/>
      <c r="KRR103" s="978"/>
      <c r="KRS103" s="978"/>
      <c r="KRT103" s="978"/>
      <c r="KRU103" s="978"/>
      <c r="KRV103" s="978"/>
      <c r="KRW103" s="978"/>
      <c r="KRX103" s="978"/>
      <c r="KRY103" s="978"/>
      <c r="KRZ103" s="978"/>
      <c r="KSA103" s="978"/>
      <c r="KSB103" s="978"/>
      <c r="KSC103" s="978"/>
      <c r="KSD103" s="978"/>
      <c r="KSE103" s="978"/>
      <c r="KSF103" s="978"/>
      <c r="KSG103" s="978"/>
      <c r="KSH103" s="978"/>
      <c r="KSI103" s="978"/>
      <c r="KSJ103" s="978"/>
      <c r="KSK103" s="978"/>
      <c r="KSL103" s="978"/>
      <c r="KSM103" s="978"/>
      <c r="KSN103" s="978"/>
      <c r="KSO103" s="978"/>
      <c r="KSP103" s="978"/>
      <c r="KSQ103" s="978"/>
      <c r="KSR103" s="978"/>
      <c r="KSS103" s="978"/>
      <c r="KST103" s="978"/>
      <c r="KSU103" s="978"/>
      <c r="KSV103" s="978"/>
      <c r="KSW103" s="978"/>
      <c r="KSX103" s="978"/>
      <c r="KSY103" s="978"/>
      <c r="KSZ103" s="978"/>
      <c r="KTA103" s="978"/>
      <c r="KTB103" s="978"/>
      <c r="KTC103" s="978"/>
      <c r="KTD103" s="978"/>
      <c r="KTE103" s="978"/>
      <c r="KTF103" s="978"/>
      <c r="KTG103" s="978"/>
      <c r="KTH103" s="978"/>
      <c r="KTI103" s="978"/>
      <c r="KTJ103" s="978"/>
      <c r="KTK103" s="978"/>
      <c r="KTL103" s="978"/>
      <c r="KTM103" s="978"/>
      <c r="KTN103" s="978"/>
      <c r="KTO103" s="978"/>
      <c r="KTP103" s="978"/>
      <c r="KTQ103" s="978"/>
      <c r="KTR103" s="978"/>
      <c r="KTS103" s="978"/>
      <c r="KTT103" s="978"/>
      <c r="KTU103" s="978"/>
      <c r="KTV103" s="978"/>
      <c r="KTW103" s="978"/>
      <c r="KTX103" s="978"/>
      <c r="KTY103" s="978"/>
      <c r="KTZ103" s="978"/>
      <c r="KUA103" s="978"/>
      <c r="KUB103" s="978"/>
      <c r="KUC103" s="978"/>
      <c r="KUD103" s="978"/>
      <c r="KUE103" s="978"/>
      <c r="KUF103" s="978"/>
      <c r="KUG103" s="978"/>
      <c r="KUH103" s="978"/>
      <c r="KUI103" s="978"/>
      <c r="KUJ103" s="978"/>
      <c r="KUK103" s="978"/>
      <c r="KUL103" s="978"/>
      <c r="KUM103" s="978"/>
      <c r="KUN103" s="978"/>
      <c r="KUO103" s="978"/>
      <c r="KUP103" s="978"/>
      <c r="KUQ103" s="978"/>
      <c r="KUR103" s="978"/>
      <c r="KUS103" s="978"/>
      <c r="KUT103" s="978"/>
      <c r="KUU103" s="978"/>
      <c r="KUV103" s="978"/>
      <c r="KUW103" s="978"/>
      <c r="KUX103" s="978"/>
      <c r="KUY103" s="978"/>
      <c r="KUZ103" s="978"/>
      <c r="KVA103" s="978"/>
      <c r="KVB103" s="978"/>
      <c r="KVC103" s="978"/>
      <c r="KVD103" s="978"/>
      <c r="KVE103" s="978"/>
      <c r="KVF103" s="978"/>
      <c r="KVG103" s="978"/>
      <c r="KVH103" s="978"/>
      <c r="KVI103" s="978"/>
      <c r="KVJ103" s="978"/>
      <c r="KVK103" s="978"/>
      <c r="KVL103" s="978"/>
      <c r="KVM103" s="978"/>
      <c r="KVN103" s="978"/>
      <c r="KVO103" s="978"/>
      <c r="KVP103" s="978"/>
      <c r="KVQ103" s="978"/>
      <c r="KVR103" s="978"/>
      <c r="KVS103" s="978"/>
      <c r="KVT103" s="978"/>
      <c r="KVU103" s="978"/>
      <c r="KVV103" s="978"/>
      <c r="KVW103" s="978"/>
      <c r="KVX103" s="978"/>
      <c r="KVY103" s="978"/>
      <c r="KVZ103" s="978"/>
      <c r="KWA103" s="978"/>
      <c r="KWB103" s="978"/>
      <c r="KWC103" s="978"/>
      <c r="KWD103" s="978"/>
      <c r="KWE103" s="978"/>
      <c r="KWF103" s="978"/>
      <c r="KWG103" s="978"/>
      <c r="KWH103" s="978"/>
      <c r="KWI103" s="978"/>
      <c r="KWJ103" s="978"/>
      <c r="KWK103" s="978"/>
      <c r="KWL103" s="978"/>
      <c r="KWM103" s="978"/>
      <c r="KWN103" s="978"/>
      <c r="KWO103" s="978"/>
      <c r="KWP103" s="978"/>
      <c r="KWQ103" s="978"/>
      <c r="KWR103" s="978"/>
      <c r="KWS103" s="978"/>
      <c r="KWT103" s="978"/>
      <c r="KWU103" s="978"/>
      <c r="KWV103" s="978"/>
      <c r="KWW103" s="978"/>
      <c r="KWX103" s="978"/>
      <c r="KWY103" s="978"/>
      <c r="KWZ103" s="978"/>
      <c r="KXA103" s="978"/>
      <c r="KXB103" s="978"/>
      <c r="KXC103" s="978"/>
      <c r="KXD103" s="978"/>
      <c r="KXE103" s="978"/>
      <c r="KXF103" s="978"/>
      <c r="KXG103" s="978"/>
      <c r="KXH103" s="978"/>
      <c r="KXI103" s="978"/>
      <c r="KXJ103" s="978"/>
      <c r="KXK103" s="978"/>
      <c r="KXL103" s="978"/>
      <c r="KXM103" s="978"/>
      <c r="KXN103" s="978"/>
      <c r="KXO103" s="978"/>
      <c r="KXP103" s="978"/>
      <c r="KXQ103" s="978"/>
      <c r="KXR103" s="978"/>
      <c r="KXS103" s="978"/>
      <c r="KXT103" s="978"/>
      <c r="KXU103" s="978"/>
      <c r="KXV103" s="978"/>
      <c r="KXW103" s="978"/>
      <c r="KXX103" s="978"/>
      <c r="KXY103" s="978"/>
      <c r="KXZ103" s="978"/>
      <c r="KYA103" s="978"/>
      <c r="KYB103" s="978"/>
      <c r="KYC103" s="978"/>
      <c r="KYD103" s="978"/>
      <c r="KYE103" s="978"/>
      <c r="KYF103" s="978"/>
      <c r="KYG103" s="978"/>
      <c r="KYH103" s="978"/>
      <c r="KYI103" s="978"/>
      <c r="KYJ103" s="978"/>
      <c r="KYK103" s="978"/>
      <c r="KYL103" s="978"/>
      <c r="KYM103" s="978"/>
      <c r="KYN103" s="978"/>
      <c r="KYO103" s="978"/>
      <c r="KYP103" s="978"/>
      <c r="KYQ103" s="978"/>
      <c r="KYR103" s="978"/>
      <c r="KYS103" s="978"/>
      <c r="KYT103" s="978"/>
      <c r="KYU103" s="978"/>
      <c r="KYV103" s="978"/>
      <c r="KYW103" s="978"/>
      <c r="KYX103" s="978"/>
      <c r="KYY103" s="978"/>
      <c r="KYZ103" s="978"/>
      <c r="KZA103" s="978"/>
      <c r="KZB103" s="978"/>
      <c r="KZC103" s="978"/>
      <c r="KZD103" s="978"/>
      <c r="KZE103" s="978"/>
      <c r="KZF103" s="978"/>
      <c r="KZG103" s="978"/>
      <c r="KZH103" s="978"/>
      <c r="KZI103" s="978"/>
      <c r="KZJ103" s="978"/>
      <c r="KZK103" s="978"/>
      <c r="KZL103" s="978"/>
      <c r="KZM103" s="978"/>
      <c r="KZN103" s="978"/>
      <c r="KZO103" s="978"/>
      <c r="KZP103" s="978"/>
      <c r="KZQ103" s="978"/>
      <c r="KZR103" s="978"/>
      <c r="KZS103" s="978"/>
      <c r="KZT103" s="978"/>
      <c r="KZU103" s="978"/>
      <c r="KZV103" s="978"/>
      <c r="KZW103" s="978"/>
      <c r="KZX103" s="978"/>
      <c r="KZY103" s="978"/>
      <c r="KZZ103" s="978"/>
      <c r="LAA103" s="978"/>
      <c r="LAB103" s="978"/>
      <c r="LAC103" s="978"/>
      <c r="LAD103" s="978"/>
      <c r="LAE103" s="978"/>
      <c r="LAF103" s="978"/>
      <c r="LAG103" s="978"/>
      <c r="LAH103" s="978"/>
      <c r="LAI103" s="978"/>
      <c r="LAJ103" s="978"/>
      <c r="LAK103" s="978"/>
      <c r="LAL103" s="978"/>
      <c r="LAM103" s="978"/>
      <c r="LAN103" s="978"/>
      <c r="LAO103" s="978"/>
      <c r="LAP103" s="978"/>
      <c r="LAQ103" s="978"/>
      <c r="LAR103" s="978"/>
      <c r="LAS103" s="978"/>
      <c r="LAT103" s="978"/>
      <c r="LAU103" s="978"/>
      <c r="LAV103" s="978"/>
      <c r="LAW103" s="978"/>
      <c r="LAX103" s="978"/>
      <c r="LAY103" s="978"/>
      <c r="LAZ103" s="978"/>
      <c r="LBA103" s="978"/>
      <c r="LBB103" s="978"/>
      <c r="LBC103" s="978"/>
      <c r="LBD103" s="978"/>
      <c r="LBE103" s="978"/>
      <c r="LBF103" s="978"/>
      <c r="LBG103" s="978"/>
      <c r="LBH103" s="978"/>
      <c r="LBI103" s="978"/>
      <c r="LBJ103" s="978"/>
      <c r="LBK103" s="978"/>
      <c r="LBL103" s="978"/>
      <c r="LBM103" s="978"/>
      <c r="LBN103" s="978"/>
      <c r="LBO103" s="978"/>
      <c r="LBP103" s="978"/>
      <c r="LBQ103" s="978"/>
      <c r="LBR103" s="978"/>
      <c r="LBS103" s="978"/>
      <c r="LBT103" s="978"/>
      <c r="LBU103" s="978"/>
      <c r="LBV103" s="978"/>
      <c r="LBW103" s="978"/>
      <c r="LBX103" s="978"/>
      <c r="LBY103" s="978"/>
      <c r="LBZ103" s="978"/>
      <c r="LCA103" s="978"/>
      <c r="LCB103" s="978"/>
      <c r="LCC103" s="978"/>
      <c r="LCD103" s="978"/>
      <c r="LCE103" s="978"/>
      <c r="LCF103" s="978"/>
      <c r="LCG103" s="978"/>
      <c r="LCH103" s="978"/>
      <c r="LCI103" s="978"/>
      <c r="LCJ103" s="978"/>
      <c r="LCK103" s="978"/>
      <c r="LCL103" s="978"/>
      <c r="LCM103" s="978"/>
      <c r="LCN103" s="978"/>
      <c r="LCO103" s="978"/>
      <c r="LCP103" s="978"/>
      <c r="LCQ103" s="978"/>
      <c r="LCR103" s="978"/>
      <c r="LCS103" s="978"/>
      <c r="LCT103" s="978"/>
      <c r="LCU103" s="978"/>
      <c r="LCV103" s="978"/>
      <c r="LCW103" s="978"/>
      <c r="LCX103" s="978"/>
      <c r="LCY103" s="978"/>
      <c r="LCZ103" s="978"/>
      <c r="LDA103" s="978"/>
      <c r="LDB103" s="978"/>
      <c r="LDC103" s="978"/>
      <c r="LDD103" s="978"/>
      <c r="LDE103" s="978"/>
      <c r="LDF103" s="978"/>
      <c r="LDG103" s="978"/>
      <c r="LDH103" s="978"/>
      <c r="LDI103" s="978"/>
      <c r="LDJ103" s="978"/>
      <c r="LDK103" s="978"/>
      <c r="LDL103" s="978"/>
      <c r="LDM103" s="978"/>
      <c r="LDN103" s="978"/>
      <c r="LDO103" s="978"/>
      <c r="LDP103" s="978"/>
      <c r="LDQ103" s="978"/>
      <c r="LDR103" s="978"/>
      <c r="LDS103" s="978"/>
      <c r="LDT103" s="978"/>
      <c r="LDU103" s="978"/>
      <c r="LDV103" s="978"/>
      <c r="LDW103" s="978"/>
      <c r="LDX103" s="978"/>
      <c r="LDY103" s="978"/>
      <c r="LDZ103" s="978"/>
      <c r="LEA103" s="978"/>
      <c r="LEB103" s="978"/>
      <c r="LEC103" s="978"/>
      <c r="LED103" s="978"/>
      <c r="LEE103" s="978"/>
      <c r="LEF103" s="978"/>
      <c r="LEG103" s="978"/>
      <c r="LEH103" s="978"/>
      <c r="LEI103" s="978"/>
      <c r="LEJ103" s="978"/>
      <c r="LEK103" s="978"/>
      <c r="LEL103" s="978"/>
      <c r="LEM103" s="978"/>
      <c r="LEN103" s="978"/>
      <c r="LEO103" s="978"/>
      <c r="LEP103" s="978"/>
      <c r="LEQ103" s="978"/>
      <c r="LER103" s="978"/>
      <c r="LES103" s="978"/>
      <c r="LET103" s="978"/>
      <c r="LEU103" s="978"/>
      <c r="LEV103" s="978"/>
      <c r="LEW103" s="978"/>
      <c r="LEX103" s="978"/>
      <c r="LEY103" s="978"/>
      <c r="LEZ103" s="978"/>
      <c r="LFA103" s="978"/>
      <c r="LFB103" s="978"/>
      <c r="LFC103" s="978"/>
      <c r="LFD103" s="978"/>
      <c r="LFE103" s="978"/>
      <c r="LFF103" s="978"/>
      <c r="LFG103" s="978"/>
      <c r="LFH103" s="978"/>
      <c r="LFI103" s="978"/>
      <c r="LFJ103" s="978"/>
      <c r="LFK103" s="978"/>
      <c r="LFL103" s="978"/>
      <c r="LFM103" s="978"/>
      <c r="LFN103" s="978"/>
      <c r="LFO103" s="978"/>
      <c r="LFP103" s="978"/>
      <c r="LFQ103" s="978"/>
      <c r="LFR103" s="978"/>
      <c r="LFS103" s="978"/>
      <c r="LFT103" s="978"/>
      <c r="LFU103" s="978"/>
      <c r="LFV103" s="978"/>
      <c r="LFW103" s="978"/>
      <c r="LFX103" s="978"/>
      <c r="LFY103" s="978"/>
      <c r="LFZ103" s="978"/>
      <c r="LGA103" s="978"/>
      <c r="LGB103" s="978"/>
      <c r="LGC103" s="978"/>
      <c r="LGD103" s="978"/>
      <c r="LGE103" s="978"/>
      <c r="LGF103" s="978"/>
      <c r="LGG103" s="978"/>
      <c r="LGH103" s="978"/>
      <c r="LGI103" s="978"/>
      <c r="LGJ103" s="978"/>
      <c r="LGK103" s="978"/>
      <c r="LGL103" s="978"/>
      <c r="LGM103" s="978"/>
      <c r="LGN103" s="978"/>
      <c r="LGO103" s="978"/>
      <c r="LGP103" s="978"/>
      <c r="LGQ103" s="978"/>
      <c r="LGR103" s="978"/>
      <c r="LGS103" s="978"/>
      <c r="LGT103" s="978"/>
      <c r="LGU103" s="978"/>
      <c r="LGV103" s="978"/>
      <c r="LGW103" s="978"/>
      <c r="LGX103" s="978"/>
      <c r="LGY103" s="978"/>
      <c r="LGZ103" s="978"/>
      <c r="LHA103" s="978"/>
      <c r="LHB103" s="978"/>
      <c r="LHC103" s="978"/>
      <c r="LHD103" s="978"/>
      <c r="LHE103" s="978"/>
      <c r="LHF103" s="978"/>
      <c r="LHG103" s="978"/>
      <c r="LHH103" s="978"/>
      <c r="LHI103" s="978"/>
      <c r="LHJ103" s="978"/>
      <c r="LHK103" s="978"/>
      <c r="LHL103" s="978"/>
      <c r="LHM103" s="978"/>
      <c r="LHN103" s="978"/>
      <c r="LHO103" s="978"/>
      <c r="LHP103" s="978"/>
      <c r="LHQ103" s="978"/>
      <c r="LHR103" s="978"/>
      <c r="LHS103" s="978"/>
      <c r="LHT103" s="978"/>
      <c r="LHU103" s="978"/>
      <c r="LHV103" s="978"/>
      <c r="LHW103" s="978"/>
      <c r="LHX103" s="978"/>
      <c r="LHY103" s="978"/>
      <c r="LHZ103" s="978"/>
      <c r="LIA103" s="978"/>
      <c r="LIB103" s="978"/>
      <c r="LIC103" s="978"/>
      <c r="LID103" s="978"/>
      <c r="LIE103" s="978"/>
      <c r="LIF103" s="978"/>
      <c r="LIG103" s="978"/>
      <c r="LIH103" s="978"/>
      <c r="LII103" s="978"/>
      <c r="LIJ103" s="978"/>
      <c r="LIK103" s="978"/>
      <c r="LIL103" s="978"/>
      <c r="LIM103" s="978"/>
      <c r="LIN103" s="978"/>
      <c r="LIO103" s="978"/>
      <c r="LIP103" s="978"/>
      <c r="LIQ103" s="978"/>
      <c r="LIR103" s="978"/>
      <c r="LIS103" s="978"/>
      <c r="LIT103" s="978"/>
      <c r="LIU103" s="978"/>
      <c r="LIV103" s="978"/>
      <c r="LIW103" s="978"/>
      <c r="LIX103" s="978"/>
      <c r="LIY103" s="978"/>
      <c r="LIZ103" s="978"/>
      <c r="LJA103" s="978"/>
      <c r="LJB103" s="978"/>
      <c r="LJC103" s="978"/>
      <c r="LJD103" s="978"/>
      <c r="LJE103" s="978"/>
      <c r="LJF103" s="978"/>
      <c r="LJG103" s="978"/>
      <c r="LJH103" s="978"/>
      <c r="LJI103" s="978"/>
      <c r="LJJ103" s="978"/>
      <c r="LJK103" s="978"/>
      <c r="LJL103" s="978"/>
      <c r="LJM103" s="978"/>
      <c r="LJN103" s="978"/>
      <c r="LJO103" s="978"/>
      <c r="LJP103" s="978"/>
      <c r="LJQ103" s="978"/>
      <c r="LJR103" s="978"/>
      <c r="LJS103" s="978"/>
      <c r="LJT103" s="978"/>
      <c r="LJU103" s="978"/>
      <c r="LJV103" s="978"/>
      <c r="LJW103" s="978"/>
      <c r="LJX103" s="978"/>
      <c r="LJY103" s="978"/>
      <c r="LJZ103" s="978"/>
      <c r="LKA103" s="978"/>
      <c r="LKB103" s="978"/>
      <c r="LKC103" s="978"/>
      <c r="LKD103" s="978"/>
      <c r="LKE103" s="978"/>
      <c r="LKF103" s="978"/>
      <c r="LKG103" s="978"/>
      <c r="LKH103" s="978"/>
      <c r="LKI103" s="978"/>
      <c r="LKJ103" s="978"/>
      <c r="LKK103" s="978"/>
      <c r="LKL103" s="978"/>
      <c r="LKM103" s="978"/>
      <c r="LKN103" s="978"/>
      <c r="LKO103" s="978"/>
      <c r="LKP103" s="978"/>
      <c r="LKQ103" s="978"/>
      <c r="LKR103" s="978"/>
      <c r="LKS103" s="978"/>
      <c r="LKT103" s="978"/>
      <c r="LKU103" s="978"/>
      <c r="LKV103" s="978"/>
      <c r="LKW103" s="978"/>
      <c r="LKX103" s="978"/>
      <c r="LKY103" s="978"/>
      <c r="LKZ103" s="978"/>
      <c r="LLA103" s="978"/>
      <c r="LLB103" s="978"/>
      <c r="LLC103" s="978"/>
      <c r="LLD103" s="978"/>
      <c r="LLE103" s="978"/>
      <c r="LLF103" s="978"/>
      <c r="LLG103" s="978"/>
      <c r="LLH103" s="978"/>
      <c r="LLI103" s="978"/>
      <c r="LLJ103" s="978"/>
      <c r="LLK103" s="978"/>
      <c r="LLL103" s="978"/>
      <c r="LLM103" s="978"/>
      <c r="LLN103" s="978"/>
      <c r="LLO103" s="978"/>
      <c r="LLP103" s="978"/>
      <c r="LLQ103" s="978"/>
      <c r="LLR103" s="978"/>
      <c r="LLS103" s="978"/>
      <c r="LLT103" s="978"/>
      <c r="LLU103" s="978"/>
      <c r="LLV103" s="978"/>
      <c r="LLW103" s="978"/>
      <c r="LLX103" s="978"/>
      <c r="LLY103" s="978"/>
      <c r="LLZ103" s="978"/>
      <c r="LMA103" s="978"/>
      <c r="LMB103" s="978"/>
      <c r="LMC103" s="978"/>
      <c r="LMD103" s="978"/>
      <c r="LME103" s="978"/>
      <c r="LMF103" s="978"/>
      <c r="LMG103" s="978"/>
      <c r="LMH103" s="978"/>
      <c r="LMI103" s="978"/>
      <c r="LMJ103" s="978"/>
      <c r="LMK103" s="978"/>
      <c r="LML103" s="978"/>
      <c r="LMM103" s="978"/>
      <c r="LMN103" s="978"/>
      <c r="LMO103" s="978"/>
      <c r="LMP103" s="978"/>
      <c r="LMQ103" s="978"/>
      <c r="LMR103" s="978"/>
      <c r="LMS103" s="978"/>
      <c r="LMT103" s="978"/>
      <c r="LMU103" s="978"/>
      <c r="LMV103" s="978"/>
      <c r="LMW103" s="978"/>
      <c r="LMX103" s="978"/>
      <c r="LMY103" s="978"/>
      <c r="LMZ103" s="978"/>
      <c r="LNA103" s="978"/>
      <c r="LNB103" s="978"/>
      <c r="LNC103" s="978"/>
      <c r="LND103" s="978"/>
      <c r="LNE103" s="978"/>
      <c r="LNF103" s="978"/>
      <c r="LNG103" s="978"/>
      <c r="LNH103" s="978"/>
      <c r="LNI103" s="978"/>
      <c r="LNJ103" s="978"/>
      <c r="LNK103" s="978"/>
      <c r="LNL103" s="978"/>
      <c r="LNM103" s="978"/>
      <c r="LNN103" s="978"/>
      <c r="LNO103" s="978"/>
      <c r="LNP103" s="978"/>
      <c r="LNQ103" s="978"/>
      <c r="LNR103" s="978"/>
      <c r="LNS103" s="978"/>
      <c r="LNT103" s="978"/>
      <c r="LNU103" s="978"/>
      <c r="LNV103" s="978"/>
      <c r="LNW103" s="978"/>
      <c r="LNX103" s="978"/>
      <c r="LNY103" s="978"/>
      <c r="LNZ103" s="978"/>
      <c r="LOA103" s="978"/>
      <c r="LOB103" s="978"/>
      <c r="LOC103" s="978"/>
      <c r="LOD103" s="978"/>
      <c r="LOE103" s="978"/>
      <c r="LOF103" s="978"/>
      <c r="LOG103" s="978"/>
      <c r="LOH103" s="978"/>
      <c r="LOI103" s="978"/>
      <c r="LOJ103" s="978"/>
      <c r="LOK103" s="978"/>
      <c r="LOL103" s="978"/>
      <c r="LOM103" s="978"/>
      <c r="LON103" s="978"/>
      <c r="LOO103" s="978"/>
      <c r="LOP103" s="978"/>
      <c r="LOQ103" s="978"/>
      <c r="LOR103" s="978"/>
      <c r="LOS103" s="978"/>
      <c r="LOT103" s="978"/>
      <c r="LOU103" s="978"/>
      <c r="LOV103" s="978"/>
      <c r="LOW103" s="978"/>
      <c r="LOX103" s="978"/>
      <c r="LOY103" s="978"/>
      <c r="LOZ103" s="978"/>
      <c r="LPA103" s="978"/>
      <c r="LPB103" s="978"/>
      <c r="LPC103" s="978"/>
      <c r="LPD103" s="978"/>
      <c r="LPE103" s="978"/>
      <c r="LPF103" s="978"/>
      <c r="LPG103" s="978"/>
      <c r="LPH103" s="978"/>
      <c r="LPI103" s="978"/>
      <c r="LPJ103" s="978"/>
      <c r="LPK103" s="978"/>
      <c r="LPL103" s="978"/>
      <c r="LPM103" s="978"/>
      <c r="LPN103" s="978"/>
      <c r="LPO103" s="978"/>
      <c r="LPP103" s="978"/>
      <c r="LPQ103" s="978"/>
      <c r="LPR103" s="978"/>
      <c r="LPS103" s="978"/>
      <c r="LPT103" s="978"/>
      <c r="LPU103" s="978"/>
      <c r="LPV103" s="978"/>
      <c r="LPW103" s="978"/>
      <c r="LPX103" s="978"/>
      <c r="LPY103" s="978"/>
      <c r="LPZ103" s="978"/>
      <c r="LQA103" s="978"/>
      <c r="LQB103" s="978"/>
      <c r="LQC103" s="978"/>
      <c r="LQD103" s="978"/>
      <c r="LQE103" s="978"/>
      <c r="LQF103" s="978"/>
      <c r="LQG103" s="978"/>
      <c r="LQH103" s="978"/>
      <c r="LQI103" s="978"/>
      <c r="LQJ103" s="978"/>
      <c r="LQK103" s="978"/>
      <c r="LQL103" s="978"/>
      <c r="LQM103" s="978"/>
      <c r="LQN103" s="978"/>
      <c r="LQO103" s="978"/>
      <c r="LQP103" s="978"/>
      <c r="LQQ103" s="978"/>
      <c r="LQR103" s="978"/>
      <c r="LQS103" s="978"/>
      <c r="LQT103" s="978"/>
      <c r="LQU103" s="978"/>
      <c r="LQV103" s="978"/>
      <c r="LQW103" s="978"/>
      <c r="LQX103" s="978"/>
      <c r="LQY103" s="978"/>
      <c r="LQZ103" s="978"/>
      <c r="LRA103" s="978"/>
      <c r="LRB103" s="978"/>
      <c r="LRC103" s="978"/>
      <c r="LRD103" s="978"/>
      <c r="LRE103" s="978"/>
      <c r="LRF103" s="978"/>
      <c r="LRG103" s="978"/>
      <c r="LRH103" s="978"/>
      <c r="LRI103" s="978"/>
      <c r="LRJ103" s="978"/>
      <c r="LRK103" s="978"/>
      <c r="LRL103" s="978"/>
      <c r="LRM103" s="978"/>
      <c r="LRN103" s="978"/>
      <c r="LRO103" s="978"/>
      <c r="LRP103" s="978"/>
      <c r="LRQ103" s="978"/>
      <c r="LRR103" s="978"/>
      <c r="LRS103" s="978"/>
      <c r="LRT103" s="978"/>
      <c r="LRU103" s="978"/>
      <c r="LRV103" s="978"/>
      <c r="LRW103" s="978"/>
      <c r="LRX103" s="978"/>
      <c r="LRY103" s="978"/>
      <c r="LRZ103" s="978"/>
      <c r="LSA103" s="978"/>
      <c r="LSB103" s="978"/>
      <c r="LSC103" s="978"/>
      <c r="LSD103" s="978"/>
      <c r="LSE103" s="978"/>
      <c r="LSF103" s="978"/>
      <c r="LSG103" s="978"/>
      <c r="LSH103" s="978"/>
      <c r="LSI103" s="978"/>
      <c r="LSJ103" s="978"/>
      <c r="LSK103" s="978"/>
      <c r="LSL103" s="978"/>
      <c r="LSM103" s="978"/>
      <c r="LSN103" s="978"/>
      <c r="LSO103" s="978"/>
      <c r="LSP103" s="978"/>
      <c r="LSQ103" s="978"/>
      <c r="LSR103" s="978"/>
      <c r="LSS103" s="978"/>
      <c r="LST103" s="978"/>
      <c r="LSU103" s="978"/>
      <c r="LSV103" s="978"/>
      <c r="LSW103" s="978"/>
      <c r="LSX103" s="978"/>
      <c r="LSY103" s="978"/>
      <c r="LSZ103" s="978"/>
      <c r="LTA103" s="978"/>
      <c r="LTB103" s="978"/>
      <c r="LTC103" s="978"/>
      <c r="LTD103" s="978"/>
      <c r="LTE103" s="978"/>
      <c r="LTF103" s="978"/>
      <c r="LTG103" s="978"/>
      <c r="LTH103" s="978"/>
      <c r="LTI103" s="978"/>
      <c r="LTJ103" s="978"/>
      <c r="LTK103" s="978"/>
      <c r="LTL103" s="978"/>
      <c r="LTM103" s="978"/>
      <c r="LTN103" s="978"/>
      <c r="LTO103" s="978"/>
      <c r="LTP103" s="978"/>
      <c r="LTQ103" s="978"/>
      <c r="LTR103" s="978"/>
      <c r="LTS103" s="978"/>
      <c r="LTT103" s="978"/>
      <c r="LTU103" s="978"/>
      <c r="LTV103" s="978"/>
      <c r="LTW103" s="978"/>
      <c r="LTX103" s="978"/>
      <c r="LTY103" s="978"/>
      <c r="LTZ103" s="978"/>
      <c r="LUA103" s="978"/>
      <c r="LUB103" s="978"/>
      <c r="LUC103" s="978"/>
      <c r="LUD103" s="978"/>
      <c r="LUE103" s="978"/>
      <c r="LUF103" s="978"/>
      <c r="LUG103" s="978"/>
      <c r="LUH103" s="978"/>
      <c r="LUI103" s="978"/>
      <c r="LUJ103" s="978"/>
      <c r="LUK103" s="978"/>
      <c r="LUL103" s="978"/>
      <c r="LUM103" s="978"/>
      <c r="LUN103" s="978"/>
      <c r="LUO103" s="978"/>
      <c r="LUP103" s="978"/>
      <c r="LUQ103" s="978"/>
      <c r="LUR103" s="978"/>
      <c r="LUS103" s="978"/>
      <c r="LUT103" s="978"/>
      <c r="LUU103" s="978"/>
      <c r="LUV103" s="978"/>
      <c r="LUW103" s="978"/>
      <c r="LUX103" s="978"/>
      <c r="LUY103" s="978"/>
      <c r="LUZ103" s="978"/>
      <c r="LVA103" s="978"/>
      <c r="LVB103" s="978"/>
      <c r="LVC103" s="978"/>
      <c r="LVD103" s="978"/>
      <c r="LVE103" s="978"/>
      <c r="LVF103" s="978"/>
      <c r="LVG103" s="978"/>
      <c r="LVH103" s="978"/>
      <c r="LVI103" s="978"/>
      <c r="LVJ103" s="978"/>
      <c r="LVK103" s="978"/>
      <c r="LVL103" s="978"/>
      <c r="LVM103" s="978"/>
      <c r="LVN103" s="978"/>
      <c r="LVO103" s="978"/>
      <c r="LVP103" s="978"/>
      <c r="LVQ103" s="978"/>
      <c r="LVR103" s="978"/>
      <c r="LVS103" s="978"/>
      <c r="LVT103" s="978"/>
      <c r="LVU103" s="978"/>
      <c r="LVV103" s="978"/>
      <c r="LVW103" s="978"/>
      <c r="LVX103" s="978"/>
      <c r="LVY103" s="978"/>
      <c r="LVZ103" s="978"/>
      <c r="LWA103" s="978"/>
      <c r="LWB103" s="978"/>
      <c r="LWC103" s="978"/>
      <c r="LWD103" s="978"/>
      <c r="LWE103" s="978"/>
      <c r="LWF103" s="978"/>
      <c r="LWG103" s="978"/>
      <c r="LWH103" s="978"/>
      <c r="LWI103" s="978"/>
      <c r="LWJ103" s="978"/>
      <c r="LWK103" s="978"/>
      <c r="LWL103" s="978"/>
      <c r="LWM103" s="978"/>
      <c r="LWN103" s="978"/>
      <c r="LWO103" s="978"/>
      <c r="LWP103" s="978"/>
      <c r="LWQ103" s="978"/>
      <c r="LWR103" s="978"/>
      <c r="LWS103" s="978"/>
      <c r="LWT103" s="978"/>
      <c r="LWU103" s="978"/>
      <c r="LWV103" s="978"/>
      <c r="LWW103" s="978"/>
      <c r="LWX103" s="978"/>
      <c r="LWY103" s="978"/>
      <c r="LWZ103" s="978"/>
      <c r="LXA103" s="978"/>
      <c r="LXB103" s="978"/>
      <c r="LXC103" s="978"/>
      <c r="LXD103" s="978"/>
      <c r="LXE103" s="978"/>
      <c r="LXF103" s="978"/>
      <c r="LXG103" s="978"/>
      <c r="LXH103" s="978"/>
      <c r="LXI103" s="978"/>
      <c r="LXJ103" s="978"/>
      <c r="LXK103" s="978"/>
      <c r="LXL103" s="978"/>
      <c r="LXM103" s="978"/>
      <c r="LXN103" s="978"/>
      <c r="LXO103" s="978"/>
      <c r="LXP103" s="978"/>
      <c r="LXQ103" s="978"/>
      <c r="LXR103" s="978"/>
      <c r="LXS103" s="978"/>
      <c r="LXT103" s="978"/>
      <c r="LXU103" s="978"/>
      <c r="LXV103" s="978"/>
      <c r="LXW103" s="978"/>
      <c r="LXX103" s="978"/>
      <c r="LXY103" s="978"/>
      <c r="LXZ103" s="978"/>
      <c r="LYA103" s="978"/>
      <c r="LYB103" s="978"/>
      <c r="LYC103" s="978"/>
      <c r="LYD103" s="978"/>
      <c r="LYE103" s="978"/>
      <c r="LYF103" s="978"/>
      <c r="LYG103" s="978"/>
      <c r="LYH103" s="978"/>
      <c r="LYI103" s="978"/>
      <c r="LYJ103" s="978"/>
      <c r="LYK103" s="978"/>
      <c r="LYL103" s="978"/>
      <c r="LYM103" s="978"/>
      <c r="LYN103" s="978"/>
      <c r="LYO103" s="978"/>
      <c r="LYP103" s="978"/>
      <c r="LYQ103" s="978"/>
      <c r="LYR103" s="978"/>
      <c r="LYS103" s="978"/>
      <c r="LYT103" s="978"/>
      <c r="LYU103" s="978"/>
      <c r="LYV103" s="978"/>
      <c r="LYW103" s="978"/>
      <c r="LYX103" s="978"/>
      <c r="LYY103" s="978"/>
      <c r="LYZ103" s="978"/>
      <c r="LZA103" s="978"/>
      <c r="LZB103" s="978"/>
      <c r="LZC103" s="978"/>
      <c r="LZD103" s="978"/>
      <c r="LZE103" s="978"/>
      <c r="LZF103" s="978"/>
      <c r="LZG103" s="978"/>
      <c r="LZH103" s="978"/>
      <c r="LZI103" s="978"/>
      <c r="LZJ103" s="978"/>
      <c r="LZK103" s="978"/>
      <c r="LZL103" s="978"/>
      <c r="LZM103" s="978"/>
      <c r="LZN103" s="978"/>
      <c r="LZO103" s="978"/>
      <c r="LZP103" s="978"/>
      <c r="LZQ103" s="978"/>
      <c r="LZR103" s="978"/>
      <c r="LZS103" s="978"/>
      <c r="LZT103" s="978"/>
      <c r="LZU103" s="978"/>
      <c r="LZV103" s="978"/>
      <c r="LZW103" s="978"/>
      <c r="LZX103" s="978"/>
      <c r="LZY103" s="978"/>
      <c r="LZZ103" s="978"/>
      <c r="MAA103" s="978"/>
      <c r="MAB103" s="978"/>
      <c r="MAC103" s="978"/>
      <c r="MAD103" s="978"/>
      <c r="MAE103" s="978"/>
      <c r="MAF103" s="978"/>
      <c r="MAG103" s="978"/>
      <c r="MAH103" s="978"/>
      <c r="MAI103" s="978"/>
      <c r="MAJ103" s="978"/>
      <c r="MAK103" s="978"/>
      <c r="MAL103" s="978"/>
      <c r="MAM103" s="978"/>
      <c r="MAN103" s="978"/>
      <c r="MAO103" s="978"/>
      <c r="MAP103" s="978"/>
      <c r="MAQ103" s="978"/>
      <c r="MAR103" s="978"/>
      <c r="MAS103" s="978"/>
      <c r="MAT103" s="978"/>
      <c r="MAU103" s="978"/>
      <c r="MAV103" s="978"/>
      <c r="MAW103" s="978"/>
      <c r="MAX103" s="978"/>
      <c r="MAY103" s="978"/>
      <c r="MAZ103" s="978"/>
      <c r="MBA103" s="978"/>
      <c r="MBB103" s="978"/>
      <c r="MBC103" s="978"/>
      <c r="MBD103" s="978"/>
      <c r="MBE103" s="978"/>
      <c r="MBF103" s="978"/>
      <c r="MBG103" s="978"/>
      <c r="MBH103" s="978"/>
      <c r="MBI103" s="978"/>
      <c r="MBJ103" s="978"/>
      <c r="MBK103" s="978"/>
      <c r="MBL103" s="978"/>
      <c r="MBM103" s="978"/>
      <c r="MBN103" s="978"/>
      <c r="MBO103" s="978"/>
      <c r="MBP103" s="978"/>
      <c r="MBQ103" s="978"/>
      <c r="MBR103" s="978"/>
      <c r="MBS103" s="978"/>
      <c r="MBT103" s="978"/>
      <c r="MBU103" s="978"/>
      <c r="MBV103" s="978"/>
      <c r="MBW103" s="978"/>
      <c r="MBX103" s="978"/>
      <c r="MBY103" s="978"/>
      <c r="MBZ103" s="978"/>
      <c r="MCA103" s="978"/>
      <c r="MCB103" s="978"/>
      <c r="MCC103" s="978"/>
      <c r="MCD103" s="978"/>
      <c r="MCE103" s="978"/>
      <c r="MCF103" s="978"/>
      <c r="MCG103" s="978"/>
      <c r="MCH103" s="978"/>
      <c r="MCI103" s="978"/>
      <c r="MCJ103" s="978"/>
      <c r="MCK103" s="978"/>
      <c r="MCL103" s="978"/>
      <c r="MCM103" s="978"/>
      <c r="MCN103" s="978"/>
      <c r="MCO103" s="978"/>
      <c r="MCP103" s="978"/>
      <c r="MCQ103" s="978"/>
      <c r="MCR103" s="978"/>
      <c r="MCS103" s="978"/>
      <c r="MCT103" s="978"/>
      <c r="MCU103" s="978"/>
      <c r="MCV103" s="978"/>
      <c r="MCW103" s="978"/>
      <c r="MCX103" s="978"/>
      <c r="MCY103" s="978"/>
      <c r="MCZ103" s="978"/>
      <c r="MDA103" s="978"/>
      <c r="MDB103" s="978"/>
      <c r="MDC103" s="978"/>
      <c r="MDD103" s="978"/>
      <c r="MDE103" s="978"/>
      <c r="MDF103" s="978"/>
      <c r="MDG103" s="978"/>
      <c r="MDH103" s="978"/>
      <c r="MDI103" s="978"/>
      <c r="MDJ103" s="978"/>
      <c r="MDK103" s="978"/>
      <c r="MDL103" s="978"/>
      <c r="MDM103" s="978"/>
      <c r="MDN103" s="978"/>
      <c r="MDO103" s="978"/>
      <c r="MDP103" s="978"/>
      <c r="MDQ103" s="978"/>
      <c r="MDR103" s="978"/>
      <c r="MDS103" s="978"/>
      <c r="MDT103" s="978"/>
      <c r="MDU103" s="978"/>
      <c r="MDV103" s="978"/>
      <c r="MDW103" s="978"/>
      <c r="MDX103" s="978"/>
      <c r="MDY103" s="978"/>
      <c r="MDZ103" s="978"/>
      <c r="MEA103" s="978"/>
      <c r="MEB103" s="978"/>
      <c r="MEC103" s="978"/>
      <c r="MED103" s="978"/>
      <c r="MEE103" s="978"/>
      <c r="MEF103" s="978"/>
      <c r="MEG103" s="978"/>
      <c r="MEH103" s="978"/>
      <c r="MEI103" s="978"/>
      <c r="MEJ103" s="978"/>
      <c r="MEK103" s="978"/>
      <c r="MEL103" s="978"/>
      <c r="MEM103" s="978"/>
      <c r="MEN103" s="978"/>
      <c r="MEO103" s="978"/>
      <c r="MEP103" s="978"/>
      <c r="MEQ103" s="978"/>
      <c r="MER103" s="978"/>
      <c r="MES103" s="978"/>
      <c r="MET103" s="978"/>
      <c r="MEU103" s="978"/>
      <c r="MEV103" s="978"/>
      <c r="MEW103" s="978"/>
      <c r="MEX103" s="978"/>
      <c r="MEY103" s="978"/>
      <c r="MEZ103" s="978"/>
      <c r="MFA103" s="978"/>
      <c r="MFB103" s="978"/>
      <c r="MFC103" s="978"/>
      <c r="MFD103" s="978"/>
      <c r="MFE103" s="978"/>
      <c r="MFF103" s="978"/>
      <c r="MFG103" s="978"/>
      <c r="MFH103" s="978"/>
      <c r="MFI103" s="978"/>
      <c r="MFJ103" s="978"/>
      <c r="MFK103" s="978"/>
      <c r="MFL103" s="978"/>
      <c r="MFM103" s="978"/>
      <c r="MFN103" s="978"/>
      <c r="MFO103" s="978"/>
      <c r="MFP103" s="978"/>
      <c r="MFQ103" s="978"/>
      <c r="MFR103" s="978"/>
      <c r="MFS103" s="978"/>
      <c r="MFT103" s="978"/>
      <c r="MFU103" s="978"/>
      <c r="MFV103" s="978"/>
      <c r="MFW103" s="978"/>
      <c r="MFX103" s="978"/>
      <c r="MFY103" s="978"/>
      <c r="MFZ103" s="978"/>
      <c r="MGA103" s="978"/>
      <c r="MGB103" s="978"/>
      <c r="MGC103" s="978"/>
      <c r="MGD103" s="978"/>
      <c r="MGE103" s="978"/>
      <c r="MGF103" s="978"/>
      <c r="MGG103" s="978"/>
      <c r="MGH103" s="978"/>
      <c r="MGI103" s="978"/>
      <c r="MGJ103" s="978"/>
      <c r="MGK103" s="978"/>
      <c r="MGL103" s="978"/>
      <c r="MGM103" s="978"/>
      <c r="MGN103" s="978"/>
      <c r="MGO103" s="978"/>
      <c r="MGP103" s="978"/>
      <c r="MGQ103" s="978"/>
      <c r="MGR103" s="978"/>
      <c r="MGS103" s="978"/>
      <c r="MGT103" s="978"/>
      <c r="MGU103" s="978"/>
      <c r="MGV103" s="978"/>
      <c r="MGW103" s="978"/>
      <c r="MGX103" s="978"/>
      <c r="MGY103" s="978"/>
      <c r="MGZ103" s="978"/>
      <c r="MHA103" s="978"/>
      <c r="MHB103" s="978"/>
      <c r="MHC103" s="978"/>
      <c r="MHD103" s="978"/>
      <c r="MHE103" s="978"/>
      <c r="MHF103" s="978"/>
      <c r="MHG103" s="978"/>
      <c r="MHH103" s="978"/>
      <c r="MHI103" s="978"/>
      <c r="MHJ103" s="978"/>
      <c r="MHK103" s="978"/>
      <c r="MHL103" s="978"/>
      <c r="MHM103" s="978"/>
      <c r="MHN103" s="978"/>
      <c r="MHO103" s="978"/>
      <c r="MHP103" s="978"/>
      <c r="MHQ103" s="978"/>
      <c r="MHR103" s="978"/>
      <c r="MHS103" s="978"/>
      <c r="MHT103" s="978"/>
      <c r="MHU103" s="978"/>
      <c r="MHV103" s="978"/>
      <c r="MHW103" s="978"/>
      <c r="MHX103" s="978"/>
      <c r="MHY103" s="978"/>
      <c r="MHZ103" s="978"/>
      <c r="MIA103" s="978"/>
      <c r="MIB103" s="978"/>
      <c r="MIC103" s="978"/>
      <c r="MID103" s="978"/>
      <c r="MIE103" s="978"/>
      <c r="MIF103" s="978"/>
      <c r="MIG103" s="978"/>
      <c r="MIH103" s="978"/>
      <c r="MII103" s="978"/>
      <c r="MIJ103" s="978"/>
      <c r="MIK103" s="978"/>
      <c r="MIL103" s="978"/>
      <c r="MIM103" s="978"/>
      <c r="MIN103" s="978"/>
      <c r="MIO103" s="978"/>
      <c r="MIP103" s="978"/>
      <c r="MIQ103" s="978"/>
      <c r="MIR103" s="978"/>
      <c r="MIS103" s="978"/>
      <c r="MIT103" s="978"/>
      <c r="MIU103" s="978"/>
      <c r="MIV103" s="978"/>
      <c r="MIW103" s="978"/>
      <c r="MIX103" s="978"/>
      <c r="MIY103" s="978"/>
      <c r="MIZ103" s="978"/>
      <c r="MJA103" s="978"/>
      <c r="MJB103" s="978"/>
      <c r="MJC103" s="978"/>
      <c r="MJD103" s="978"/>
      <c r="MJE103" s="978"/>
      <c r="MJF103" s="978"/>
      <c r="MJG103" s="978"/>
      <c r="MJH103" s="978"/>
      <c r="MJI103" s="978"/>
      <c r="MJJ103" s="978"/>
      <c r="MJK103" s="978"/>
      <c r="MJL103" s="978"/>
      <c r="MJM103" s="978"/>
      <c r="MJN103" s="978"/>
      <c r="MJO103" s="978"/>
      <c r="MJP103" s="978"/>
      <c r="MJQ103" s="978"/>
      <c r="MJR103" s="978"/>
      <c r="MJS103" s="978"/>
      <c r="MJT103" s="978"/>
      <c r="MJU103" s="978"/>
      <c r="MJV103" s="978"/>
      <c r="MJW103" s="978"/>
      <c r="MJX103" s="978"/>
      <c r="MJY103" s="978"/>
      <c r="MJZ103" s="978"/>
      <c r="MKA103" s="978"/>
      <c r="MKB103" s="978"/>
      <c r="MKC103" s="978"/>
      <c r="MKD103" s="978"/>
      <c r="MKE103" s="978"/>
      <c r="MKF103" s="978"/>
      <c r="MKG103" s="978"/>
      <c r="MKH103" s="978"/>
      <c r="MKI103" s="978"/>
      <c r="MKJ103" s="978"/>
      <c r="MKK103" s="978"/>
      <c r="MKL103" s="978"/>
      <c r="MKM103" s="978"/>
      <c r="MKN103" s="978"/>
      <c r="MKO103" s="978"/>
      <c r="MKP103" s="978"/>
      <c r="MKQ103" s="978"/>
      <c r="MKR103" s="978"/>
      <c r="MKS103" s="978"/>
      <c r="MKT103" s="978"/>
      <c r="MKU103" s="978"/>
      <c r="MKV103" s="978"/>
      <c r="MKW103" s="978"/>
      <c r="MKX103" s="978"/>
      <c r="MKY103" s="978"/>
      <c r="MKZ103" s="978"/>
      <c r="MLA103" s="978"/>
      <c r="MLB103" s="978"/>
      <c r="MLC103" s="978"/>
      <c r="MLD103" s="978"/>
      <c r="MLE103" s="978"/>
      <c r="MLF103" s="978"/>
      <c r="MLG103" s="978"/>
      <c r="MLH103" s="978"/>
      <c r="MLI103" s="978"/>
      <c r="MLJ103" s="978"/>
      <c r="MLK103" s="978"/>
      <c r="MLL103" s="978"/>
      <c r="MLM103" s="978"/>
      <c r="MLN103" s="978"/>
      <c r="MLO103" s="978"/>
      <c r="MLP103" s="978"/>
      <c r="MLQ103" s="978"/>
      <c r="MLR103" s="978"/>
      <c r="MLS103" s="978"/>
      <c r="MLT103" s="978"/>
      <c r="MLU103" s="978"/>
      <c r="MLV103" s="978"/>
      <c r="MLW103" s="978"/>
      <c r="MLX103" s="978"/>
      <c r="MLY103" s="978"/>
      <c r="MLZ103" s="978"/>
      <c r="MMA103" s="978"/>
      <c r="MMB103" s="978"/>
      <c r="MMC103" s="978"/>
      <c r="MMD103" s="978"/>
      <c r="MME103" s="978"/>
      <c r="MMF103" s="978"/>
      <c r="MMG103" s="978"/>
      <c r="MMH103" s="978"/>
      <c r="MMI103" s="978"/>
      <c r="MMJ103" s="978"/>
      <c r="MMK103" s="978"/>
      <c r="MML103" s="978"/>
      <c r="MMM103" s="978"/>
      <c r="MMN103" s="978"/>
      <c r="MMO103" s="978"/>
      <c r="MMP103" s="978"/>
      <c r="MMQ103" s="978"/>
      <c r="MMR103" s="978"/>
      <c r="MMS103" s="978"/>
      <c r="MMT103" s="978"/>
      <c r="MMU103" s="978"/>
      <c r="MMV103" s="978"/>
      <c r="MMW103" s="978"/>
      <c r="MMX103" s="978"/>
      <c r="MMY103" s="978"/>
      <c r="MMZ103" s="978"/>
      <c r="MNA103" s="978"/>
      <c r="MNB103" s="978"/>
      <c r="MNC103" s="978"/>
      <c r="MND103" s="978"/>
      <c r="MNE103" s="978"/>
      <c r="MNF103" s="978"/>
      <c r="MNG103" s="978"/>
      <c r="MNH103" s="978"/>
      <c r="MNI103" s="978"/>
      <c r="MNJ103" s="978"/>
      <c r="MNK103" s="978"/>
      <c r="MNL103" s="978"/>
      <c r="MNM103" s="978"/>
      <c r="MNN103" s="978"/>
      <c r="MNO103" s="978"/>
      <c r="MNP103" s="978"/>
      <c r="MNQ103" s="978"/>
      <c r="MNR103" s="978"/>
      <c r="MNS103" s="978"/>
      <c r="MNT103" s="978"/>
      <c r="MNU103" s="978"/>
      <c r="MNV103" s="978"/>
      <c r="MNW103" s="978"/>
      <c r="MNX103" s="978"/>
      <c r="MNY103" s="978"/>
      <c r="MNZ103" s="978"/>
      <c r="MOA103" s="978"/>
      <c r="MOB103" s="978"/>
      <c r="MOC103" s="978"/>
      <c r="MOD103" s="978"/>
      <c r="MOE103" s="978"/>
      <c r="MOF103" s="978"/>
      <c r="MOG103" s="978"/>
      <c r="MOH103" s="978"/>
      <c r="MOI103" s="978"/>
      <c r="MOJ103" s="978"/>
      <c r="MOK103" s="978"/>
      <c r="MOL103" s="978"/>
      <c r="MOM103" s="978"/>
      <c r="MON103" s="978"/>
      <c r="MOO103" s="978"/>
      <c r="MOP103" s="978"/>
      <c r="MOQ103" s="978"/>
      <c r="MOR103" s="978"/>
      <c r="MOS103" s="978"/>
      <c r="MOT103" s="978"/>
      <c r="MOU103" s="978"/>
      <c r="MOV103" s="978"/>
      <c r="MOW103" s="978"/>
      <c r="MOX103" s="978"/>
      <c r="MOY103" s="978"/>
      <c r="MOZ103" s="978"/>
      <c r="MPA103" s="978"/>
      <c r="MPB103" s="978"/>
      <c r="MPC103" s="978"/>
      <c r="MPD103" s="978"/>
      <c r="MPE103" s="978"/>
      <c r="MPF103" s="978"/>
      <c r="MPG103" s="978"/>
      <c r="MPH103" s="978"/>
      <c r="MPI103" s="978"/>
      <c r="MPJ103" s="978"/>
      <c r="MPK103" s="978"/>
      <c r="MPL103" s="978"/>
      <c r="MPM103" s="978"/>
      <c r="MPN103" s="978"/>
      <c r="MPO103" s="978"/>
      <c r="MPP103" s="978"/>
      <c r="MPQ103" s="978"/>
      <c r="MPR103" s="978"/>
      <c r="MPS103" s="978"/>
      <c r="MPT103" s="978"/>
      <c r="MPU103" s="978"/>
      <c r="MPV103" s="978"/>
      <c r="MPW103" s="978"/>
      <c r="MPX103" s="978"/>
      <c r="MPY103" s="978"/>
      <c r="MPZ103" s="978"/>
      <c r="MQA103" s="978"/>
      <c r="MQB103" s="978"/>
      <c r="MQC103" s="978"/>
      <c r="MQD103" s="978"/>
      <c r="MQE103" s="978"/>
      <c r="MQF103" s="978"/>
      <c r="MQG103" s="978"/>
      <c r="MQH103" s="978"/>
      <c r="MQI103" s="978"/>
      <c r="MQJ103" s="978"/>
      <c r="MQK103" s="978"/>
      <c r="MQL103" s="978"/>
      <c r="MQM103" s="978"/>
      <c r="MQN103" s="978"/>
      <c r="MQO103" s="978"/>
      <c r="MQP103" s="978"/>
      <c r="MQQ103" s="978"/>
      <c r="MQR103" s="978"/>
      <c r="MQS103" s="978"/>
      <c r="MQT103" s="978"/>
      <c r="MQU103" s="978"/>
      <c r="MQV103" s="978"/>
      <c r="MQW103" s="978"/>
      <c r="MQX103" s="978"/>
      <c r="MQY103" s="978"/>
      <c r="MQZ103" s="978"/>
      <c r="MRA103" s="978"/>
      <c r="MRB103" s="978"/>
      <c r="MRC103" s="978"/>
      <c r="MRD103" s="978"/>
      <c r="MRE103" s="978"/>
      <c r="MRF103" s="978"/>
      <c r="MRG103" s="978"/>
      <c r="MRH103" s="978"/>
      <c r="MRI103" s="978"/>
      <c r="MRJ103" s="978"/>
      <c r="MRK103" s="978"/>
      <c r="MRL103" s="978"/>
      <c r="MRM103" s="978"/>
      <c r="MRN103" s="978"/>
      <c r="MRO103" s="978"/>
      <c r="MRP103" s="978"/>
      <c r="MRQ103" s="978"/>
      <c r="MRR103" s="978"/>
      <c r="MRS103" s="978"/>
      <c r="MRT103" s="978"/>
      <c r="MRU103" s="978"/>
      <c r="MRV103" s="978"/>
      <c r="MRW103" s="978"/>
      <c r="MRX103" s="978"/>
      <c r="MRY103" s="978"/>
      <c r="MRZ103" s="978"/>
      <c r="MSA103" s="978"/>
      <c r="MSB103" s="978"/>
      <c r="MSC103" s="978"/>
      <c r="MSD103" s="978"/>
      <c r="MSE103" s="978"/>
      <c r="MSF103" s="978"/>
      <c r="MSG103" s="978"/>
      <c r="MSH103" s="978"/>
      <c r="MSI103" s="978"/>
      <c r="MSJ103" s="978"/>
      <c r="MSK103" s="978"/>
      <c r="MSL103" s="978"/>
      <c r="MSM103" s="978"/>
      <c r="MSN103" s="978"/>
      <c r="MSO103" s="978"/>
      <c r="MSP103" s="978"/>
      <c r="MSQ103" s="978"/>
      <c r="MSR103" s="978"/>
      <c r="MSS103" s="978"/>
      <c r="MST103" s="978"/>
      <c r="MSU103" s="978"/>
      <c r="MSV103" s="978"/>
      <c r="MSW103" s="978"/>
      <c r="MSX103" s="978"/>
      <c r="MSY103" s="978"/>
      <c r="MSZ103" s="978"/>
      <c r="MTA103" s="978"/>
      <c r="MTB103" s="978"/>
      <c r="MTC103" s="978"/>
      <c r="MTD103" s="978"/>
      <c r="MTE103" s="978"/>
      <c r="MTF103" s="978"/>
      <c r="MTG103" s="978"/>
      <c r="MTH103" s="978"/>
      <c r="MTI103" s="978"/>
      <c r="MTJ103" s="978"/>
      <c r="MTK103" s="978"/>
      <c r="MTL103" s="978"/>
      <c r="MTM103" s="978"/>
      <c r="MTN103" s="978"/>
      <c r="MTO103" s="978"/>
      <c r="MTP103" s="978"/>
      <c r="MTQ103" s="978"/>
      <c r="MTR103" s="978"/>
      <c r="MTS103" s="978"/>
      <c r="MTT103" s="978"/>
      <c r="MTU103" s="978"/>
      <c r="MTV103" s="978"/>
      <c r="MTW103" s="978"/>
      <c r="MTX103" s="978"/>
      <c r="MTY103" s="978"/>
      <c r="MTZ103" s="978"/>
      <c r="MUA103" s="978"/>
      <c r="MUB103" s="978"/>
      <c r="MUC103" s="978"/>
      <c r="MUD103" s="978"/>
      <c r="MUE103" s="978"/>
      <c r="MUF103" s="978"/>
      <c r="MUG103" s="978"/>
      <c r="MUH103" s="978"/>
      <c r="MUI103" s="978"/>
      <c r="MUJ103" s="978"/>
      <c r="MUK103" s="978"/>
      <c r="MUL103" s="978"/>
      <c r="MUM103" s="978"/>
      <c r="MUN103" s="978"/>
      <c r="MUO103" s="978"/>
      <c r="MUP103" s="978"/>
      <c r="MUQ103" s="978"/>
      <c r="MUR103" s="978"/>
      <c r="MUS103" s="978"/>
      <c r="MUT103" s="978"/>
      <c r="MUU103" s="978"/>
      <c r="MUV103" s="978"/>
      <c r="MUW103" s="978"/>
      <c r="MUX103" s="978"/>
      <c r="MUY103" s="978"/>
      <c r="MUZ103" s="978"/>
      <c r="MVA103" s="978"/>
      <c r="MVB103" s="978"/>
      <c r="MVC103" s="978"/>
      <c r="MVD103" s="978"/>
      <c r="MVE103" s="978"/>
      <c r="MVF103" s="978"/>
      <c r="MVG103" s="978"/>
      <c r="MVH103" s="978"/>
      <c r="MVI103" s="978"/>
      <c r="MVJ103" s="978"/>
      <c r="MVK103" s="978"/>
      <c r="MVL103" s="978"/>
      <c r="MVM103" s="978"/>
      <c r="MVN103" s="978"/>
      <c r="MVO103" s="978"/>
      <c r="MVP103" s="978"/>
      <c r="MVQ103" s="978"/>
      <c r="MVR103" s="978"/>
      <c r="MVS103" s="978"/>
      <c r="MVT103" s="978"/>
      <c r="MVU103" s="978"/>
      <c r="MVV103" s="978"/>
      <c r="MVW103" s="978"/>
      <c r="MVX103" s="978"/>
      <c r="MVY103" s="978"/>
      <c r="MVZ103" s="978"/>
      <c r="MWA103" s="978"/>
      <c r="MWB103" s="978"/>
      <c r="MWC103" s="978"/>
      <c r="MWD103" s="978"/>
      <c r="MWE103" s="978"/>
      <c r="MWF103" s="978"/>
      <c r="MWG103" s="978"/>
      <c r="MWH103" s="978"/>
      <c r="MWI103" s="978"/>
      <c r="MWJ103" s="978"/>
      <c r="MWK103" s="978"/>
      <c r="MWL103" s="978"/>
      <c r="MWM103" s="978"/>
      <c r="MWN103" s="978"/>
      <c r="MWO103" s="978"/>
      <c r="MWP103" s="978"/>
      <c r="MWQ103" s="978"/>
      <c r="MWR103" s="978"/>
      <c r="MWS103" s="978"/>
      <c r="MWT103" s="978"/>
      <c r="MWU103" s="978"/>
      <c r="MWV103" s="978"/>
      <c r="MWW103" s="978"/>
      <c r="MWX103" s="978"/>
      <c r="MWY103" s="978"/>
      <c r="MWZ103" s="978"/>
      <c r="MXA103" s="978"/>
      <c r="MXB103" s="978"/>
      <c r="MXC103" s="978"/>
      <c r="MXD103" s="978"/>
      <c r="MXE103" s="978"/>
      <c r="MXF103" s="978"/>
      <c r="MXG103" s="978"/>
      <c r="MXH103" s="978"/>
      <c r="MXI103" s="978"/>
      <c r="MXJ103" s="978"/>
      <c r="MXK103" s="978"/>
      <c r="MXL103" s="978"/>
      <c r="MXM103" s="978"/>
      <c r="MXN103" s="978"/>
      <c r="MXO103" s="978"/>
      <c r="MXP103" s="978"/>
      <c r="MXQ103" s="978"/>
      <c r="MXR103" s="978"/>
      <c r="MXS103" s="978"/>
      <c r="MXT103" s="978"/>
      <c r="MXU103" s="978"/>
      <c r="MXV103" s="978"/>
      <c r="MXW103" s="978"/>
      <c r="MXX103" s="978"/>
      <c r="MXY103" s="978"/>
      <c r="MXZ103" s="978"/>
      <c r="MYA103" s="978"/>
      <c r="MYB103" s="978"/>
      <c r="MYC103" s="978"/>
      <c r="MYD103" s="978"/>
      <c r="MYE103" s="978"/>
      <c r="MYF103" s="978"/>
      <c r="MYG103" s="978"/>
      <c r="MYH103" s="978"/>
      <c r="MYI103" s="978"/>
      <c r="MYJ103" s="978"/>
      <c r="MYK103" s="978"/>
      <c r="MYL103" s="978"/>
      <c r="MYM103" s="978"/>
      <c r="MYN103" s="978"/>
      <c r="MYO103" s="978"/>
      <c r="MYP103" s="978"/>
      <c r="MYQ103" s="978"/>
      <c r="MYR103" s="978"/>
      <c r="MYS103" s="978"/>
      <c r="MYT103" s="978"/>
      <c r="MYU103" s="978"/>
      <c r="MYV103" s="978"/>
      <c r="MYW103" s="978"/>
      <c r="MYX103" s="978"/>
      <c r="MYY103" s="978"/>
      <c r="MYZ103" s="978"/>
      <c r="MZA103" s="978"/>
      <c r="MZB103" s="978"/>
      <c r="MZC103" s="978"/>
      <c r="MZD103" s="978"/>
      <c r="MZE103" s="978"/>
      <c r="MZF103" s="978"/>
      <c r="MZG103" s="978"/>
      <c r="MZH103" s="978"/>
      <c r="MZI103" s="978"/>
      <c r="MZJ103" s="978"/>
      <c r="MZK103" s="978"/>
      <c r="MZL103" s="978"/>
      <c r="MZM103" s="978"/>
      <c r="MZN103" s="978"/>
      <c r="MZO103" s="978"/>
      <c r="MZP103" s="978"/>
      <c r="MZQ103" s="978"/>
      <c r="MZR103" s="978"/>
      <c r="MZS103" s="978"/>
      <c r="MZT103" s="978"/>
      <c r="MZU103" s="978"/>
      <c r="MZV103" s="978"/>
      <c r="MZW103" s="978"/>
      <c r="MZX103" s="978"/>
      <c r="MZY103" s="978"/>
      <c r="MZZ103" s="978"/>
      <c r="NAA103" s="978"/>
      <c r="NAB103" s="978"/>
      <c r="NAC103" s="978"/>
      <c r="NAD103" s="978"/>
      <c r="NAE103" s="978"/>
      <c r="NAF103" s="978"/>
      <c r="NAG103" s="978"/>
      <c r="NAH103" s="978"/>
      <c r="NAI103" s="978"/>
      <c r="NAJ103" s="978"/>
      <c r="NAK103" s="978"/>
      <c r="NAL103" s="978"/>
      <c r="NAM103" s="978"/>
      <c r="NAN103" s="978"/>
      <c r="NAO103" s="978"/>
      <c r="NAP103" s="978"/>
      <c r="NAQ103" s="978"/>
      <c r="NAR103" s="978"/>
      <c r="NAS103" s="978"/>
      <c r="NAT103" s="978"/>
      <c r="NAU103" s="978"/>
      <c r="NAV103" s="978"/>
      <c r="NAW103" s="978"/>
      <c r="NAX103" s="978"/>
      <c r="NAY103" s="978"/>
      <c r="NAZ103" s="978"/>
      <c r="NBA103" s="978"/>
      <c r="NBB103" s="978"/>
      <c r="NBC103" s="978"/>
      <c r="NBD103" s="978"/>
      <c r="NBE103" s="978"/>
      <c r="NBF103" s="978"/>
      <c r="NBG103" s="978"/>
      <c r="NBH103" s="978"/>
      <c r="NBI103" s="978"/>
      <c r="NBJ103" s="978"/>
      <c r="NBK103" s="978"/>
      <c r="NBL103" s="978"/>
      <c r="NBM103" s="978"/>
      <c r="NBN103" s="978"/>
      <c r="NBO103" s="978"/>
      <c r="NBP103" s="978"/>
      <c r="NBQ103" s="978"/>
      <c r="NBR103" s="978"/>
      <c r="NBS103" s="978"/>
      <c r="NBT103" s="978"/>
      <c r="NBU103" s="978"/>
      <c r="NBV103" s="978"/>
      <c r="NBW103" s="978"/>
      <c r="NBX103" s="978"/>
      <c r="NBY103" s="978"/>
      <c r="NBZ103" s="978"/>
      <c r="NCA103" s="978"/>
      <c r="NCB103" s="978"/>
      <c r="NCC103" s="978"/>
      <c r="NCD103" s="978"/>
      <c r="NCE103" s="978"/>
      <c r="NCF103" s="978"/>
      <c r="NCG103" s="978"/>
      <c r="NCH103" s="978"/>
      <c r="NCI103" s="978"/>
      <c r="NCJ103" s="978"/>
      <c r="NCK103" s="978"/>
      <c r="NCL103" s="978"/>
      <c r="NCM103" s="978"/>
      <c r="NCN103" s="978"/>
      <c r="NCO103" s="978"/>
      <c r="NCP103" s="978"/>
      <c r="NCQ103" s="978"/>
      <c r="NCR103" s="978"/>
      <c r="NCS103" s="978"/>
      <c r="NCT103" s="978"/>
      <c r="NCU103" s="978"/>
      <c r="NCV103" s="978"/>
      <c r="NCW103" s="978"/>
      <c r="NCX103" s="978"/>
      <c r="NCY103" s="978"/>
      <c r="NCZ103" s="978"/>
      <c r="NDA103" s="978"/>
      <c r="NDB103" s="978"/>
      <c r="NDC103" s="978"/>
      <c r="NDD103" s="978"/>
      <c r="NDE103" s="978"/>
      <c r="NDF103" s="978"/>
      <c r="NDG103" s="978"/>
      <c r="NDH103" s="978"/>
      <c r="NDI103" s="978"/>
      <c r="NDJ103" s="978"/>
      <c r="NDK103" s="978"/>
      <c r="NDL103" s="978"/>
      <c r="NDM103" s="978"/>
      <c r="NDN103" s="978"/>
      <c r="NDO103" s="978"/>
      <c r="NDP103" s="978"/>
      <c r="NDQ103" s="978"/>
      <c r="NDR103" s="978"/>
      <c r="NDS103" s="978"/>
      <c r="NDT103" s="978"/>
      <c r="NDU103" s="978"/>
      <c r="NDV103" s="978"/>
      <c r="NDW103" s="978"/>
      <c r="NDX103" s="978"/>
      <c r="NDY103" s="978"/>
      <c r="NDZ103" s="978"/>
      <c r="NEA103" s="978"/>
      <c r="NEB103" s="978"/>
      <c r="NEC103" s="978"/>
      <c r="NED103" s="978"/>
      <c r="NEE103" s="978"/>
      <c r="NEF103" s="978"/>
      <c r="NEG103" s="978"/>
      <c r="NEH103" s="978"/>
      <c r="NEI103" s="978"/>
      <c r="NEJ103" s="978"/>
      <c r="NEK103" s="978"/>
      <c r="NEL103" s="978"/>
      <c r="NEM103" s="978"/>
      <c r="NEN103" s="978"/>
      <c r="NEO103" s="978"/>
      <c r="NEP103" s="978"/>
      <c r="NEQ103" s="978"/>
      <c r="NER103" s="978"/>
      <c r="NES103" s="978"/>
      <c r="NET103" s="978"/>
      <c r="NEU103" s="978"/>
      <c r="NEV103" s="978"/>
      <c r="NEW103" s="978"/>
      <c r="NEX103" s="978"/>
      <c r="NEY103" s="978"/>
      <c r="NEZ103" s="978"/>
      <c r="NFA103" s="978"/>
      <c r="NFB103" s="978"/>
      <c r="NFC103" s="978"/>
      <c r="NFD103" s="978"/>
      <c r="NFE103" s="978"/>
      <c r="NFF103" s="978"/>
      <c r="NFG103" s="978"/>
      <c r="NFH103" s="978"/>
      <c r="NFI103" s="978"/>
      <c r="NFJ103" s="978"/>
      <c r="NFK103" s="978"/>
      <c r="NFL103" s="978"/>
      <c r="NFM103" s="978"/>
      <c r="NFN103" s="978"/>
      <c r="NFO103" s="978"/>
      <c r="NFP103" s="978"/>
      <c r="NFQ103" s="978"/>
      <c r="NFR103" s="978"/>
      <c r="NFS103" s="978"/>
      <c r="NFT103" s="978"/>
      <c r="NFU103" s="978"/>
      <c r="NFV103" s="978"/>
      <c r="NFW103" s="978"/>
      <c r="NFX103" s="978"/>
      <c r="NFY103" s="978"/>
      <c r="NFZ103" s="978"/>
      <c r="NGA103" s="978"/>
      <c r="NGB103" s="978"/>
      <c r="NGC103" s="978"/>
      <c r="NGD103" s="978"/>
      <c r="NGE103" s="978"/>
      <c r="NGF103" s="978"/>
      <c r="NGG103" s="978"/>
      <c r="NGH103" s="978"/>
      <c r="NGI103" s="978"/>
      <c r="NGJ103" s="978"/>
      <c r="NGK103" s="978"/>
      <c r="NGL103" s="978"/>
      <c r="NGM103" s="978"/>
      <c r="NGN103" s="978"/>
      <c r="NGO103" s="978"/>
      <c r="NGP103" s="978"/>
      <c r="NGQ103" s="978"/>
      <c r="NGR103" s="978"/>
      <c r="NGS103" s="978"/>
      <c r="NGT103" s="978"/>
      <c r="NGU103" s="978"/>
      <c r="NGV103" s="978"/>
      <c r="NGW103" s="978"/>
      <c r="NGX103" s="978"/>
      <c r="NGY103" s="978"/>
      <c r="NGZ103" s="978"/>
      <c r="NHA103" s="978"/>
      <c r="NHB103" s="978"/>
      <c r="NHC103" s="978"/>
      <c r="NHD103" s="978"/>
      <c r="NHE103" s="978"/>
      <c r="NHF103" s="978"/>
      <c r="NHG103" s="978"/>
      <c r="NHH103" s="978"/>
      <c r="NHI103" s="978"/>
      <c r="NHJ103" s="978"/>
      <c r="NHK103" s="978"/>
      <c r="NHL103" s="978"/>
      <c r="NHM103" s="978"/>
      <c r="NHN103" s="978"/>
      <c r="NHO103" s="978"/>
      <c r="NHP103" s="978"/>
      <c r="NHQ103" s="978"/>
      <c r="NHR103" s="978"/>
      <c r="NHS103" s="978"/>
      <c r="NHT103" s="978"/>
      <c r="NHU103" s="978"/>
      <c r="NHV103" s="978"/>
      <c r="NHW103" s="978"/>
      <c r="NHX103" s="978"/>
      <c r="NHY103" s="978"/>
      <c r="NHZ103" s="978"/>
      <c r="NIA103" s="978"/>
      <c r="NIB103" s="978"/>
      <c r="NIC103" s="978"/>
      <c r="NID103" s="978"/>
      <c r="NIE103" s="978"/>
      <c r="NIF103" s="978"/>
      <c r="NIG103" s="978"/>
      <c r="NIH103" s="978"/>
      <c r="NII103" s="978"/>
      <c r="NIJ103" s="978"/>
      <c r="NIK103" s="978"/>
      <c r="NIL103" s="978"/>
      <c r="NIM103" s="978"/>
      <c r="NIN103" s="978"/>
      <c r="NIO103" s="978"/>
      <c r="NIP103" s="978"/>
      <c r="NIQ103" s="978"/>
      <c r="NIR103" s="978"/>
      <c r="NIS103" s="978"/>
      <c r="NIT103" s="978"/>
      <c r="NIU103" s="978"/>
      <c r="NIV103" s="978"/>
      <c r="NIW103" s="978"/>
      <c r="NIX103" s="978"/>
      <c r="NIY103" s="978"/>
      <c r="NIZ103" s="978"/>
      <c r="NJA103" s="978"/>
      <c r="NJB103" s="978"/>
      <c r="NJC103" s="978"/>
      <c r="NJD103" s="978"/>
      <c r="NJE103" s="978"/>
      <c r="NJF103" s="978"/>
      <c r="NJG103" s="978"/>
      <c r="NJH103" s="978"/>
      <c r="NJI103" s="978"/>
      <c r="NJJ103" s="978"/>
      <c r="NJK103" s="978"/>
      <c r="NJL103" s="978"/>
      <c r="NJM103" s="978"/>
      <c r="NJN103" s="978"/>
      <c r="NJO103" s="978"/>
      <c r="NJP103" s="978"/>
      <c r="NJQ103" s="978"/>
      <c r="NJR103" s="978"/>
      <c r="NJS103" s="978"/>
      <c r="NJT103" s="978"/>
      <c r="NJU103" s="978"/>
      <c r="NJV103" s="978"/>
      <c r="NJW103" s="978"/>
      <c r="NJX103" s="978"/>
      <c r="NJY103" s="978"/>
      <c r="NJZ103" s="978"/>
      <c r="NKA103" s="978"/>
      <c r="NKB103" s="978"/>
      <c r="NKC103" s="978"/>
      <c r="NKD103" s="978"/>
      <c r="NKE103" s="978"/>
      <c r="NKF103" s="978"/>
      <c r="NKG103" s="978"/>
      <c r="NKH103" s="978"/>
      <c r="NKI103" s="978"/>
      <c r="NKJ103" s="978"/>
      <c r="NKK103" s="978"/>
      <c r="NKL103" s="978"/>
      <c r="NKM103" s="978"/>
      <c r="NKN103" s="978"/>
      <c r="NKO103" s="978"/>
      <c r="NKP103" s="978"/>
      <c r="NKQ103" s="978"/>
      <c r="NKR103" s="978"/>
      <c r="NKS103" s="978"/>
      <c r="NKT103" s="978"/>
      <c r="NKU103" s="978"/>
      <c r="NKV103" s="978"/>
      <c r="NKW103" s="978"/>
      <c r="NKX103" s="978"/>
      <c r="NKY103" s="978"/>
      <c r="NKZ103" s="978"/>
      <c r="NLA103" s="978"/>
      <c r="NLB103" s="978"/>
      <c r="NLC103" s="978"/>
      <c r="NLD103" s="978"/>
      <c r="NLE103" s="978"/>
      <c r="NLF103" s="978"/>
      <c r="NLG103" s="978"/>
      <c r="NLH103" s="978"/>
      <c r="NLI103" s="978"/>
      <c r="NLJ103" s="978"/>
      <c r="NLK103" s="978"/>
      <c r="NLL103" s="978"/>
      <c r="NLM103" s="978"/>
      <c r="NLN103" s="978"/>
      <c r="NLO103" s="978"/>
      <c r="NLP103" s="978"/>
      <c r="NLQ103" s="978"/>
      <c r="NLR103" s="978"/>
      <c r="NLS103" s="978"/>
      <c r="NLT103" s="978"/>
      <c r="NLU103" s="978"/>
      <c r="NLV103" s="978"/>
      <c r="NLW103" s="978"/>
      <c r="NLX103" s="978"/>
      <c r="NLY103" s="978"/>
      <c r="NLZ103" s="978"/>
      <c r="NMA103" s="978"/>
      <c r="NMB103" s="978"/>
      <c r="NMC103" s="978"/>
      <c r="NMD103" s="978"/>
      <c r="NME103" s="978"/>
      <c r="NMF103" s="978"/>
      <c r="NMG103" s="978"/>
      <c r="NMH103" s="978"/>
      <c r="NMI103" s="978"/>
      <c r="NMJ103" s="978"/>
      <c r="NMK103" s="978"/>
      <c r="NML103" s="978"/>
      <c r="NMM103" s="978"/>
      <c r="NMN103" s="978"/>
      <c r="NMO103" s="978"/>
      <c r="NMP103" s="978"/>
      <c r="NMQ103" s="978"/>
      <c r="NMR103" s="978"/>
      <c r="NMS103" s="978"/>
      <c r="NMT103" s="978"/>
      <c r="NMU103" s="978"/>
      <c r="NMV103" s="978"/>
      <c r="NMW103" s="978"/>
      <c r="NMX103" s="978"/>
      <c r="NMY103" s="978"/>
      <c r="NMZ103" s="978"/>
      <c r="NNA103" s="978"/>
      <c r="NNB103" s="978"/>
      <c r="NNC103" s="978"/>
      <c r="NND103" s="978"/>
      <c r="NNE103" s="978"/>
      <c r="NNF103" s="978"/>
      <c r="NNG103" s="978"/>
      <c r="NNH103" s="978"/>
      <c r="NNI103" s="978"/>
      <c r="NNJ103" s="978"/>
      <c r="NNK103" s="978"/>
      <c r="NNL103" s="978"/>
      <c r="NNM103" s="978"/>
      <c r="NNN103" s="978"/>
      <c r="NNO103" s="978"/>
      <c r="NNP103" s="978"/>
      <c r="NNQ103" s="978"/>
      <c r="NNR103" s="978"/>
      <c r="NNS103" s="978"/>
      <c r="NNT103" s="978"/>
      <c r="NNU103" s="978"/>
      <c r="NNV103" s="978"/>
      <c r="NNW103" s="978"/>
      <c r="NNX103" s="978"/>
      <c r="NNY103" s="978"/>
      <c r="NNZ103" s="978"/>
      <c r="NOA103" s="978"/>
      <c r="NOB103" s="978"/>
      <c r="NOC103" s="978"/>
      <c r="NOD103" s="978"/>
      <c r="NOE103" s="978"/>
      <c r="NOF103" s="978"/>
      <c r="NOG103" s="978"/>
      <c r="NOH103" s="978"/>
      <c r="NOI103" s="978"/>
      <c r="NOJ103" s="978"/>
      <c r="NOK103" s="978"/>
      <c r="NOL103" s="978"/>
      <c r="NOM103" s="978"/>
      <c r="NON103" s="978"/>
      <c r="NOO103" s="978"/>
      <c r="NOP103" s="978"/>
      <c r="NOQ103" s="978"/>
      <c r="NOR103" s="978"/>
      <c r="NOS103" s="978"/>
      <c r="NOT103" s="978"/>
      <c r="NOU103" s="978"/>
      <c r="NOV103" s="978"/>
      <c r="NOW103" s="978"/>
      <c r="NOX103" s="978"/>
      <c r="NOY103" s="978"/>
      <c r="NOZ103" s="978"/>
      <c r="NPA103" s="978"/>
      <c r="NPB103" s="978"/>
      <c r="NPC103" s="978"/>
      <c r="NPD103" s="978"/>
      <c r="NPE103" s="978"/>
      <c r="NPF103" s="978"/>
      <c r="NPG103" s="978"/>
      <c r="NPH103" s="978"/>
      <c r="NPI103" s="978"/>
      <c r="NPJ103" s="978"/>
      <c r="NPK103" s="978"/>
      <c r="NPL103" s="978"/>
      <c r="NPM103" s="978"/>
      <c r="NPN103" s="978"/>
      <c r="NPO103" s="978"/>
      <c r="NPP103" s="978"/>
      <c r="NPQ103" s="978"/>
      <c r="NPR103" s="978"/>
      <c r="NPS103" s="978"/>
      <c r="NPT103" s="978"/>
      <c r="NPU103" s="978"/>
      <c r="NPV103" s="978"/>
      <c r="NPW103" s="978"/>
      <c r="NPX103" s="978"/>
      <c r="NPY103" s="978"/>
      <c r="NPZ103" s="978"/>
      <c r="NQA103" s="978"/>
      <c r="NQB103" s="978"/>
      <c r="NQC103" s="978"/>
      <c r="NQD103" s="978"/>
      <c r="NQE103" s="978"/>
      <c r="NQF103" s="978"/>
      <c r="NQG103" s="978"/>
      <c r="NQH103" s="978"/>
      <c r="NQI103" s="978"/>
      <c r="NQJ103" s="978"/>
      <c r="NQK103" s="978"/>
      <c r="NQL103" s="978"/>
      <c r="NQM103" s="978"/>
      <c r="NQN103" s="978"/>
      <c r="NQO103" s="978"/>
      <c r="NQP103" s="978"/>
      <c r="NQQ103" s="978"/>
      <c r="NQR103" s="978"/>
      <c r="NQS103" s="978"/>
      <c r="NQT103" s="978"/>
      <c r="NQU103" s="978"/>
      <c r="NQV103" s="978"/>
      <c r="NQW103" s="978"/>
      <c r="NQX103" s="978"/>
      <c r="NQY103" s="978"/>
      <c r="NQZ103" s="978"/>
      <c r="NRA103" s="978"/>
      <c r="NRB103" s="978"/>
      <c r="NRC103" s="978"/>
      <c r="NRD103" s="978"/>
      <c r="NRE103" s="978"/>
      <c r="NRF103" s="978"/>
      <c r="NRG103" s="978"/>
      <c r="NRH103" s="978"/>
      <c r="NRI103" s="978"/>
      <c r="NRJ103" s="978"/>
      <c r="NRK103" s="978"/>
      <c r="NRL103" s="978"/>
      <c r="NRM103" s="978"/>
      <c r="NRN103" s="978"/>
      <c r="NRO103" s="978"/>
      <c r="NRP103" s="978"/>
      <c r="NRQ103" s="978"/>
      <c r="NRR103" s="978"/>
      <c r="NRS103" s="978"/>
      <c r="NRT103" s="978"/>
      <c r="NRU103" s="978"/>
      <c r="NRV103" s="978"/>
      <c r="NRW103" s="978"/>
      <c r="NRX103" s="978"/>
      <c r="NRY103" s="978"/>
      <c r="NRZ103" s="978"/>
      <c r="NSA103" s="978"/>
      <c r="NSB103" s="978"/>
      <c r="NSC103" s="978"/>
      <c r="NSD103" s="978"/>
      <c r="NSE103" s="978"/>
      <c r="NSF103" s="978"/>
      <c r="NSG103" s="978"/>
      <c r="NSH103" s="978"/>
      <c r="NSI103" s="978"/>
      <c r="NSJ103" s="978"/>
      <c r="NSK103" s="978"/>
      <c r="NSL103" s="978"/>
      <c r="NSM103" s="978"/>
      <c r="NSN103" s="978"/>
      <c r="NSO103" s="978"/>
      <c r="NSP103" s="978"/>
      <c r="NSQ103" s="978"/>
      <c r="NSR103" s="978"/>
      <c r="NSS103" s="978"/>
      <c r="NST103" s="978"/>
      <c r="NSU103" s="978"/>
      <c r="NSV103" s="978"/>
      <c r="NSW103" s="978"/>
      <c r="NSX103" s="978"/>
      <c r="NSY103" s="978"/>
      <c r="NSZ103" s="978"/>
      <c r="NTA103" s="978"/>
      <c r="NTB103" s="978"/>
      <c r="NTC103" s="978"/>
      <c r="NTD103" s="978"/>
      <c r="NTE103" s="978"/>
      <c r="NTF103" s="978"/>
      <c r="NTG103" s="978"/>
      <c r="NTH103" s="978"/>
      <c r="NTI103" s="978"/>
      <c r="NTJ103" s="978"/>
      <c r="NTK103" s="978"/>
      <c r="NTL103" s="978"/>
      <c r="NTM103" s="978"/>
      <c r="NTN103" s="978"/>
      <c r="NTO103" s="978"/>
      <c r="NTP103" s="978"/>
      <c r="NTQ103" s="978"/>
      <c r="NTR103" s="978"/>
      <c r="NTS103" s="978"/>
      <c r="NTT103" s="978"/>
      <c r="NTU103" s="978"/>
      <c r="NTV103" s="978"/>
      <c r="NTW103" s="978"/>
      <c r="NTX103" s="978"/>
      <c r="NTY103" s="978"/>
      <c r="NTZ103" s="978"/>
      <c r="NUA103" s="978"/>
      <c r="NUB103" s="978"/>
      <c r="NUC103" s="978"/>
      <c r="NUD103" s="978"/>
      <c r="NUE103" s="978"/>
      <c r="NUF103" s="978"/>
      <c r="NUG103" s="978"/>
      <c r="NUH103" s="978"/>
      <c r="NUI103" s="978"/>
      <c r="NUJ103" s="978"/>
      <c r="NUK103" s="978"/>
      <c r="NUL103" s="978"/>
      <c r="NUM103" s="978"/>
      <c r="NUN103" s="978"/>
      <c r="NUO103" s="978"/>
      <c r="NUP103" s="978"/>
      <c r="NUQ103" s="978"/>
      <c r="NUR103" s="978"/>
      <c r="NUS103" s="978"/>
      <c r="NUT103" s="978"/>
      <c r="NUU103" s="978"/>
      <c r="NUV103" s="978"/>
      <c r="NUW103" s="978"/>
      <c r="NUX103" s="978"/>
      <c r="NUY103" s="978"/>
      <c r="NUZ103" s="978"/>
      <c r="NVA103" s="978"/>
      <c r="NVB103" s="978"/>
      <c r="NVC103" s="978"/>
      <c r="NVD103" s="978"/>
      <c r="NVE103" s="978"/>
      <c r="NVF103" s="978"/>
      <c r="NVG103" s="978"/>
      <c r="NVH103" s="978"/>
      <c r="NVI103" s="978"/>
      <c r="NVJ103" s="978"/>
      <c r="NVK103" s="978"/>
      <c r="NVL103" s="978"/>
      <c r="NVM103" s="978"/>
      <c r="NVN103" s="978"/>
      <c r="NVO103" s="978"/>
      <c r="NVP103" s="978"/>
      <c r="NVQ103" s="978"/>
      <c r="NVR103" s="978"/>
      <c r="NVS103" s="978"/>
      <c r="NVT103" s="978"/>
      <c r="NVU103" s="978"/>
      <c r="NVV103" s="978"/>
      <c r="NVW103" s="978"/>
      <c r="NVX103" s="978"/>
      <c r="NVY103" s="978"/>
      <c r="NVZ103" s="978"/>
      <c r="NWA103" s="978"/>
      <c r="NWB103" s="978"/>
      <c r="NWC103" s="978"/>
      <c r="NWD103" s="978"/>
      <c r="NWE103" s="978"/>
      <c r="NWF103" s="978"/>
      <c r="NWG103" s="978"/>
      <c r="NWH103" s="978"/>
      <c r="NWI103" s="978"/>
      <c r="NWJ103" s="978"/>
      <c r="NWK103" s="978"/>
      <c r="NWL103" s="978"/>
      <c r="NWM103" s="978"/>
      <c r="NWN103" s="978"/>
      <c r="NWO103" s="978"/>
      <c r="NWP103" s="978"/>
      <c r="NWQ103" s="978"/>
      <c r="NWR103" s="978"/>
      <c r="NWS103" s="978"/>
      <c r="NWT103" s="978"/>
      <c r="NWU103" s="978"/>
      <c r="NWV103" s="978"/>
      <c r="NWW103" s="978"/>
      <c r="NWX103" s="978"/>
      <c r="NWY103" s="978"/>
      <c r="NWZ103" s="978"/>
      <c r="NXA103" s="978"/>
      <c r="NXB103" s="978"/>
      <c r="NXC103" s="978"/>
      <c r="NXD103" s="978"/>
      <c r="NXE103" s="978"/>
      <c r="NXF103" s="978"/>
      <c r="NXG103" s="978"/>
      <c r="NXH103" s="978"/>
      <c r="NXI103" s="978"/>
      <c r="NXJ103" s="978"/>
      <c r="NXK103" s="978"/>
      <c r="NXL103" s="978"/>
      <c r="NXM103" s="978"/>
      <c r="NXN103" s="978"/>
      <c r="NXO103" s="978"/>
      <c r="NXP103" s="978"/>
      <c r="NXQ103" s="978"/>
      <c r="NXR103" s="978"/>
      <c r="NXS103" s="978"/>
      <c r="NXT103" s="978"/>
      <c r="NXU103" s="978"/>
      <c r="NXV103" s="978"/>
      <c r="NXW103" s="978"/>
      <c r="NXX103" s="978"/>
      <c r="NXY103" s="978"/>
      <c r="NXZ103" s="978"/>
      <c r="NYA103" s="978"/>
      <c r="NYB103" s="978"/>
      <c r="NYC103" s="978"/>
      <c r="NYD103" s="978"/>
      <c r="NYE103" s="978"/>
      <c r="NYF103" s="978"/>
      <c r="NYG103" s="978"/>
      <c r="NYH103" s="978"/>
      <c r="NYI103" s="978"/>
      <c r="NYJ103" s="978"/>
      <c r="NYK103" s="978"/>
      <c r="NYL103" s="978"/>
      <c r="NYM103" s="978"/>
      <c r="NYN103" s="978"/>
      <c r="NYO103" s="978"/>
      <c r="NYP103" s="978"/>
      <c r="NYQ103" s="978"/>
      <c r="NYR103" s="978"/>
      <c r="NYS103" s="978"/>
      <c r="NYT103" s="978"/>
      <c r="NYU103" s="978"/>
      <c r="NYV103" s="978"/>
      <c r="NYW103" s="978"/>
      <c r="NYX103" s="978"/>
      <c r="NYY103" s="978"/>
      <c r="NYZ103" s="978"/>
      <c r="NZA103" s="978"/>
      <c r="NZB103" s="978"/>
      <c r="NZC103" s="978"/>
      <c r="NZD103" s="978"/>
      <c r="NZE103" s="978"/>
      <c r="NZF103" s="978"/>
      <c r="NZG103" s="978"/>
      <c r="NZH103" s="978"/>
      <c r="NZI103" s="978"/>
      <c r="NZJ103" s="978"/>
      <c r="NZK103" s="978"/>
      <c r="NZL103" s="978"/>
      <c r="NZM103" s="978"/>
      <c r="NZN103" s="978"/>
      <c r="NZO103" s="978"/>
      <c r="NZP103" s="978"/>
      <c r="NZQ103" s="978"/>
      <c r="NZR103" s="978"/>
      <c r="NZS103" s="978"/>
      <c r="NZT103" s="978"/>
      <c r="NZU103" s="978"/>
      <c r="NZV103" s="978"/>
      <c r="NZW103" s="978"/>
      <c r="NZX103" s="978"/>
      <c r="NZY103" s="978"/>
      <c r="NZZ103" s="978"/>
      <c r="OAA103" s="978"/>
      <c r="OAB103" s="978"/>
      <c r="OAC103" s="978"/>
      <c r="OAD103" s="978"/>
      <c r="OAE103" s="978"/>
      <c r="OAF103" s="978"/>
      <c r="OAG103" s="978"/>
      <c r="OAH103" s="978"/>
      <c r="OAI103" s="978"/>
      <c r="OAJ103" s="978"/>
      <c r="OAK103" s="978"/>
      <c r="OAL103" s="978"/>
      <c r="OAM103" s="978"/>
      <c r="OAN103" s="978"/>
      <c r="OAO103" s="978"/>
      <c r="OAP103" s="978"/>
      <c r="OAQ103" s="978"/>
      <c r="OAR103" s="978"/>
      <c r="OAS103" s="978"/>
      <c r="OAT103" s="978"/>
      <c r="OAU103" s="978"/>
      <c r="OAV103" s="978"/>
      <c r="OAW103" s="978"/>
      <c r="OAX103" s="978"/>
      <c r="OAY103" s="978"/>
      <c r="OAZ103" s="978"/>
      <c r="OBA103" s="978"/>
      <c r="OBB103" s="978"/>
      <c r="OBC103" s="978"/>
      <c r="OBD103" s="978"/>
      <c r="OBE103" s="978"/>
      <c r="OBF103" s="978"/>
      <c r="OBG103" s="978"/>
      <c r="OBH103" s="978"/>
      <c r="OBI103" s="978"/>
      <c r="OBJ103" s="978"/>
      <c r="OBK103" s="978"/>
      <c r="OBL103" s="978"/>
      <c r="OBM103" s="978"/>
      <c r="OBN103" s="978"/>
      <c r="OBO103" s="978"/>
      <c r="OBP103" s="978"/>
      <c r="OBQ103" s="978"/>
      <c r="OBR103" s="978"/>
      <c r="OBS103" s="978"/>
      <c r="OBT103" s="978"/>
      <c r="OBU103" s="978"/>
      <c r="OBV103" s="978"/>
      <c r="OBW103" s="978"/>
      <c r="OBX103" s="978"/>
      <c r="OBY103" s="978"/>
      <c r="OBZ103" s="978"/>
      <c r="OCA103" s="978"/>
      <c r="OCB103" s="978"/>
      <c r="OCC103" s="978"/>
      <c r="OCD103" s="978"/>
      <c r="OCE103" s="978"/>
      <c r="OCF103" s="978"/>
      <c r="OCG103" s="978"/>
      <c r="OCH103" s="978"/>
      <c r="OCI103" s="978"/>
      <c r="OCJ103" s="978"/>
      <c r="OCK103" s="978"/>
      <c r="OCL103" s="978"/>
      <c r="OCM103" s="978"/>
      <c r="OCN103" s="978"/>
      <c r="OCO103" s="978"/>
      <c r="OCP103" s="978"/>
      <c r="OCQ103" s="978"/>
      <c r="OCR103" s="978"/>
      <c r="OCS103" s="978"/>
      <c r="OCT103" s="978"/>
      <c r="OCU103" s="978"/>
      <c r="OCV103" s="978"/>
      <c r="OCW103" s="978"/>
      <c r="OCX103" s="978"/>
      <c r="OCY103" s="978"/>
      <c r="OCZ103" s="978"/>
      <c r="ODA103" s="978"/>
      <c r="ODB103" s="978"/>
      <c r="ODC103" s="978"/>
      <c r="ODD103" s="978"/>
      <c r="ODE103" s="978"/>
      <c r="ODF103" s="978"/>
      <c r="ODG103" s="978"/>
      <c r="ODH103" s="978"/>
      <c r="ODI103" s="978"/>
      <c r="ODJ103" s="978"/>
      <c r="ODK103" s="978"/>
      <c r="ODL103" s="978"/>
      <c r="ODM103" s="978"/>
      <c r="ODN103" s="978"/>
      <c r="ODO103" s="978"/>
      <c r="ODP103" s="978"/>
      <c r="ODQ103" s="978"/>
      <c r="ODR103" s="978"/>
      <c r="ODS103" s="978"/>
      <c r="ODT103" s="978"/>
      <c r="ODU103" s="978"/>
      <c r="ODV103" s="978"/>
      <c r="ODW103" s="978"/>
      <c r="ODX103" s="978"/>
      <c r="ODY103" s="978"/>
      <c r="ODZ103" s="978"/>
      <c r="OEA103" s="978"/>
      <c r="OEB103" s="978"/>
      <c r="OEC103" s="978"/>
      <c r="OED103" s="978"/>
      <c r="OEE103" s="978"/>
      <c r="OEF103" s="978"/>
      <c r="OEG103" s="978"/>
      <c r="OEH103" s="978"/>
      <c r="OEI103" s="978"/>
      <c r="OEJ103" s="978"/>
      <c r="OEK103" s="978"/>
      <c r="OEL103" s="978"/>
      <c r="OEM103" s="978"/>
      <c r="OEN103" s="978"/>
      <c r="OEO103" s="978"/>
      <c r="OEP103" s="978"/>
      <c r="OEQ103" s="978"/>
      <c r="OER103" s="978"/>
      <c r="OES103" s="978"/>
      <c r="OET103" s="978"/>
      <c r="OEU103" s="978"/>
      <c r="OEV103" s="978"/>
      <c r="OEW103" s="978"/>
      <c r="OEX103" s="978"/>
      <c r="OEY103" s="978"/>
      <c r="OEZ103" s="978"/>
      <c r="OFA103" s="978"/>
      <c r="OFB103" s="978"/>
      <c r="OFC103" s="978"/>
      <c r="OFD103" s="978"/>
      <c r="OFE103" s="978"/>
      <c r="OFF103" s="978"/>
      <c r="OFG103" s="978"/>
      <c r="OFH103" s="978"/>
      <c r="OFI103" s="978"/>
      <c r="OFJ103" s="978"/>
      <c r="OFK103" s="978"/>
      <c r="OFL103" s="978"/>
      <c r="OFM103" s="978"/>
      <c r="OFN103" s="978"/>
      <c r="OFO103" s="978"/>
      <c r="OFP103" s="978"/>
      <c r="OFQ103" s="978"/>
      <c r="OFR103" s="978"/>
      <c r="OFS103" s="978"/>
      <c r="OFT103" s="978"/>
      <c r="OFU103" s="978"/>
      <c r="OFV103" s="978"/>
      <c r="OFW103" s="978"/>
      <c r="OFX103" s="978"/>
      <c r="OFY103" s="978"/>
      <c r="OFZ103" s="978"/>
      <c r="OGA103" s="978"/>
      <c r="OGB103" s="978"/>
      <c r="OGC103" s="978"/>
      <c r="OGD103" s="978"/>
      <c r="OGE103" s="978"/>
      <c r="OGF103" s="978"/>
      <c r="OGG103" s="978"/>
      <c r="OGH103" s="978"/>
      <c r="OGI103" s="978"/>
      <c r="OGJ103" s="978"/>
      <c r="OGK103" s="978"/>
      <c r="OGL103" s="978"/>
      <c r="OGM103" s="978"/>
      <c r="OGN103" s="978"/>
      <c r="OGO103" s="978"/>
      <c r="OGP103" s="978"/>
      <c r="OGQ103" s="978"/>
      <c r="OGR103" s="978"/>
      <c r="OGS103" s="978"/>
      <c r="OGT103" s="978"/>
      <c r="OGU103" s="978"/>
      <c r="OGV103" s="978"/>
      <c r="OGW103" s="978"/>
      <c r="OGX103" s="978"/>
      <c r="OGY103" s="978"/>
      <c r="OGZ103" s="978"/>
      <c r="OHA103" s="978"/>
      <c r="OHB103" s="978"/>
      <c r="OHC103" s="978"/>
      <c r="OHD103" s="978"/>
      <c r="OHE103" s="978"/>
      <c r="OHF103" s="978"/>
      <c r="OHG103" s="978"/>
      <c r="OHH103" s="978"/>
      <c r="OHI103" s="978"/>
      <c r="OHJ103" s="978"/>
      <c r="OHK103" s="978"/>
      <c r="OHL103" s="978"/>
      <c r="OHM103" s="978"/>
      <c r="OHN103" s="978"/>
      <c r="OHO103" s="978"/>
      <c r="OHP103" s="978"/>
      <c r="OHQ103" s="978"/>
      <c r="OHR103" s="978"/>
      <c r="OHS103" s="978"/>
      <c r="OHT103" s="978"/>
      <c r="OHU103" s="978"/>
      <c r="OHV103" s="978"/>
      <c r="OHW103" s="978"/>
      <c r="OHX103" s="978"/>
      <c r="OHY103" s="978"/>
      <c r="OHZ103" s="978"/>
      <c r="OIA103" s="978"/>
      <c r="OIB103" s="978"/>
      <c r="OIC103" s="978"/>
      <c r="OID103" s="978"/>
      <c r="OIE103" s="978"/>
      <c r="OIF103" s="978"/>
      <c r="OIG103" s="978"/>
      <c r="OIH103" s="978"/>
      <c r="OII103" s="978"/>
      <c r="OIJ103" s="978"/>
      <c r="OIK103" s="978"/>
      <c r="OIL103" s="978"/>
      <c r="OIM103" s="978"/>
      <c r="OIN103" s="978"/>
      <c r="OIO103" s="978"/>
      <c r="OIP103" s="978"/>
      <c r="OIQ103" s="978"/>
      <c r="OIR103" s="978"/>
      <c r="OIS103" s="978"/>
      <c r="OIT103" s="978"/>
      <c r="OIU103" s="978"/>
      <c r="OIV103" s="978"/>
      <c r="OIW103" s="978"/>
      <c r="OIX103" s="978"/>
      <c r="OIY103" s="978"/>
      <c r="OIZ103" s="978"/>
      <c r="OJA103" s="978"/>
      <c r="OJB103" s="978"/>
      <c r="OJC103" s="978"/>
      <c r="OJD103" s="978"/>
      <c r="OJE103" s="978"/>
      <c r="OJF103" s="978"/>
      <c r="OJG103" s="978"/>
      <c r="OJH103" s="978"/>
      <c r="OJI103" s="978"/>
      <c r="OJJ103" s="978"/>
      <c r="OJK103" s="978"/>
      <c r="OJL103" s="978"/>
      <c r="OJM103" s="978"/>
      <c r="OJN103" s="978"/>
      <c r="OJO103" s="978"/>
      <c r="OJP103" s="978"/>
      <c r="OJQ103" s="978"/>
      <c r="OJR103" s="978"/>
      <c r="OJS103" s="978"/>
      <c r="OJT103" s="978"/>
      <c r="OJU103" s="978"/>
      <c r="OJV103" s="978"/>
      <c r="OJW103" s="978"/>
      <c r="OJX103" s="978"/>
      <c r="OJY103" s="978"/>
      <c r="OJZ103" s="978"/>
      <c r="OKA103" s="978"/>
      <c r="OKB103" s="978"/>
      <c r="OKC103" s="978"/>
      <c r="OKD103" s="978"/>
      <c r="OKE103" s="978"/>
      <c r="OKF103" s="978"/>
      <c r="OKG103" s="978"/>
      <c r="OKH103" s="978"/>
      <c r="OKI103" s="978"/>
      <c r="OKJ103" s="978"/>
      <c r="OKK103" s="978"/>
      <c r="OKL103" s="978"/>
      <c r="OKM103" s="978"/>
      <c r="OKN103" s="978"/>
      <c r="OKO103" s="978"/>
      <c r="OKP103" s="978"/>
      <c r="OKQ103" s="978"/>
      <c r="OKR103" s="978"/>
      <c r="OKS103" s="978"/>
      <c r="OKT103" s="978"/>
      <c r="OKU103" s="978"/>
      <c r="OKV103" s="978"/>
      <c r="OKW103" s="978"/>
      <c r="OKX103" s="978"/>
      <c r="OKY103" s="978"/>
      <c r="OKZ103" s="978"/>
      <c r="OLA103" s="978"/>
      <c r="OLB103" s="978"/>
      <c r="OLC103" s="978"/>
      <c r="OLD103" s="978"/>
      <c r="OLE103" s="978"/>
      <c r="OLF103" s="978"/>
      <c r="OLG103" s="978"/>
      <c r="OLH103" s="978"/>
      <c r="OLI103" s="978"/>
      <c r="OLJ103" s="978"/>
      <c r="OLK103" s="978"/>
      <c r="OLL103" s="978"/>
      <c r="OLM103" s="978"/>
      <c r="OLN103" s="978"/>
      <c r="OLO103" s="978"/>
      <c r="OLP103" s="978"/>
      <c r="OLQ103" s="978"/>
      <c r="OLR103" s="978"/>
      <c r="OLS103" s="978"/>
      <c r="OLT103" s="978"/>
      <c r="OLU103" s="978"/>
      <c r="OLV103" s="978"/>
      <c r="OLW103" s="978"/>
      <c r="OLX103" s="978"/>
      <c r="OLY103" s="978"/>
      <c r="OLZ103" s="978"/>
      <c r="OMA103" s="978"/>
      <c r="OMB103" s="978"/>
      <c r="OMC103" s="978"/>
      <c r="OMD103" s="978"/>
      <c r="OME103" s="978"/>
      <c r="OMF103" s="978"/>
      <c r="OMG103" s="978"/>
      <c r="OMH103" s="978"/>
      <c r="OMI103" s="978"/>
      <c r="OMJ103" s="978"/>
      <c r="OMK103" s="978"/>
      <c r="OML103" s="978"/>
      <c r="OMM103" s="978"/>
      <c r="OMN103" s="978"/>
      <c r="OMO103" s="978"/>
      <c r="OMP103" s="978"/>
      <c r="OMQ103" s="978"/>
      <c r="OMR103" s="978"/>
      <c r="OMS103" s="978"/>
      <c r="OMT103" s="978"/>
      <c r="OMU103" s="978"/>
      <c r="OMV103" s="978"/>
      <c r="OMW103" s="978"/>
      <c r="OMX103" s="978"/>
      <c r="OMY103" s="978"/>
      <c r="OMZ103" s="978"/>
      <c r="ONA103" s="978"/>
      <c r="ONB103" s="978"/>
      <c r="ONC103" s="978"/>
      <c r="OND103" s="978"/>
      <c r="ONE103" s="978"/>
      <c r="ONF103" s="978"/>
      <c r="ONG103" s="978"/>
      <c r="ONH103" s="978"/>
      <c r="ONI103" s="978"/>
      <c r="ONJ103" s="978"/>
      <c r="ONK103" s="978"/>
      <c r="ONL103" s="978"/>
      <c r="ONM103" s="978"/>
      <c r="ONN103" s="978"/>
      <c r="ONO103" s="978"/>
      <c r="ONP103" s="978"/>
      <c r="ONQ103" s="978"/>
      <c r="ONR103" s="978"/>
      <c r="ONS103" s="978"/>
      <c r="ONT103" s="978"/>
      <c r="ONU103" s="978"/>
      <c r="ONV103" s="978"/>
      <c r="ONW103" s="978"/>
      <c r="ONX103" s="978"/>
      <c r="ONY103" s="978"/>
      <c r="ONZ103" s="978"/>
      <c r="OOA103" s="978"/>
      <c r="OOB103" s="978"/>
      <c r="OOC103" s="978"/>
      <c r="OOD103" s="978"/>
      <c r="OOE103" s="978"/>
      <c r="OOF103" s="978"/>
      <c r="OOG103" s="978"/>
      <c r="OOH103" s="978"/>
      <c r="OOI103" s="978"/>
      <c r="OOJ103" s="978"/>
      <c r="OOK103" s="978"/>
      <c r="OOL103" s="978"/>
      <c r="OOM103" s="978"/>
      <c r="OON103" s="978"/>
      <c r="OOO103" s="978"/>
      <c r="OOP103" s="978"/>
      <c r="OOQ103" s="978"/>
      <c r="OOR103" s="978"/>
      <c r="OOS103" s="978"/>
      <c r="OOT103" s="978"/>
      <c r="OOU103" s="978"/>
      <c r="OOV103" s="978"/>
      <c r="OOW103" s="978"/>
      <c r="OOX103" s="978"/>
      <c r="OOY103" s="978"/>
      <c r="OOZ103" s="978"/>
      <c r="OPA103" s="978"/>
      <c r="OPB103" s="978"/>
      <c r="OPC103" s="978"/>
      <c r="OPD103" s="978"/>
      <c r="OPE103" s="978"/>
      <c r="OPF103" s="978"/>
      <c r="OPG103" s="978"/>
      <c r="OPH103" s="978"/>
      <c r="OPI103" s="978"/>
      <c r="OPJ103" s="978"/>
      <c r="OPK103" s="978"/>
      <c r="OPL103" s="978"/>
      <c r="OPM103" s="978"/>
      <c r="OPN103" s="978"/>
      <c r="OPO103" s="978"/>
      <c r="OPP103" s="978"/>
      <c r="OPQ103" s="978"/>
      <c r="OPR103" s="978"/>
      <c r="OPS103" s="978"/>
      <c r="OPT103" s="978"/>
      <c r="OPU103" s="978"/>
      <c r="OPV103" s="978"/>
      <c r="OPW103" s="978"/>
      <c r="OPX103" s="978"/>
      <c r="OPY103" s="978"/>
      <c r="OPZ103" s="978"/>
      <c r="OQA103" s="978"/>
      <c r="OQB103" s="978"/>
      <c r="OQC103" s="978"/>
      <c r="OQD103" s="978"/>
      <c r="OQE103" s="978"/>
      <c r="OQF103" s="978"/>
      <c r="OQG103" s="978"/>
      <c r="OQH103" s="978"/>
      <c r="OQI103" s="978"/>
      <c r="OQJ103" s="978"/>
      <c r="OQK103" s="978"/>
      <c r="OQL103" s="978"/>
      <c r="OQM103" s="978"/>
      <c r="OQN103" s="978"/>
      <c r="OQO103" s="978"/>
      <c r="OQP103" s="978"/>
      <c r="OQQ103" s="978"/>
      <c r="OQR103" s="978"/>
      <c r="OQS103" s="978"/>
      <c r="OQT103" s="978"/>
      <c r="OQU103" s="978"/>
      <c r="OQV103" s="978"/>
      <c r="OQW103" s="978"/>
      <c r="OQX103" s="978"/>
      <c r="OQY103" s="978"/>
      <c r="OQZ103" s="978"/>
      <c r="ORA103" s="978"/>
      <c r="ORB103" s="978"/>
      <c r="ORC103" s="978"/>
      <c r="ORD103" s="978"/>
      <c r="ORE103" s="978"/>
      <c r="ORF103" s="978"/>
      <c r="ORG103" s="978"/>
      <c r="ORH103" s="978"/>
      <c r="ORI103" s="978"/>
      <c r="ORJ103" s="978"/>
      <c r="ORK103" s="978"/>
      <c r="ORL103" s="978"/>
      <c r="ORM103" s="978"/>
      <c r="ORN103" s="978"/>
      <c r="ORO103" s="978"/>
      <c r="ORP103" s="978"/>
      <c r="ORQ103" s="978"/>
      <c r="ORR103" s="978"/>
      <c r="ORS103" s="978"/>
      <c r="ORT103" s="978"/>
      <c r="ORU103" s="978"/>
      <c r="ORV103" s="978"/>
      <c r="ORW103" s="978"/>
      <c r="ORX103" s="978"/>
      <c r="ORY103" s="978"/>
      <c r="ORZ103" s="978"/>
      <c r="OSA103" s="978"/>
      <c r="OSB103" s="978"/>
      <c r="OSC103" s="978"/>
      <c r="OSD103" s="978"/>
      <c r="OSE103" s="978"/>
      <c r="OSF103" s="978"/>
      <c r="OSG103" s="978"/>
      <c r="OSH103" s="978"/>
      <c r="OSI103" s="978"/>
      <c r="OSJ103" s="978"/>
      <c r="OSK103" s="978"/>
      <c r="OSL103" s="978"/>
      <c r="OSM103" s="978"/>
      <c r="OSN103" s="978"/>
      <c r="OSO103" s="978"/>
      <c r="OSP103" s="978"/>
      <c r="OSQ103" s="978"/>
      <c r="OSR103" s="978"/>
      <c r="OSS103" s="978"/>
      <c r="OST103" s="978"/>
      <c r="OSU103" s="978"/>
      <c r="OSV103" s="978"/>
      <c r="OSW103" s="978"/>
      <c r="OSX103" s="978"/>
      <c r="OSY103" s="978"/>
      <c r="OSZ103" s="978"/>
      <c r="OTA103" s="978"/>
      <c r="OTB103" s="978"/>
      <c r="OTC103" s="978"/>
      <c r="OTD103" s="978"/>
      <c r="OTE103" s="978"/>
      <c r="OTF103" s="978"/>
      <c r="OTG103" s="978"/>
      <c r="OTH103" s="978"/>
      <c r="OTI103" s="978"/>
      <c r="OTJ103" s="978"/>
      <c r="OTK103" s="978"/>
      <c r="OTL103" s="978"/>
      <c r="OTM103" s="978"/>
      <c r="OTN103" s="978"/>
      <c r="OTO103" s="978"/>
      <c r="OTP103" s="978"/>
      <c r="OTQ103" s="978"/>
      <c r="OTR103" s="978"/>
      <c r="OTS103" s="978"/>
      <c r="OTT103" s="978"/>
      <c r="OTU103" s="978"/>
      <c r="OTV103" s="978"/>
      <c r="OTW103" s="978"/>
      <c r="OTX103" s="978"/>
      <c r="OTY103" s="978"/>
      <c r="OTZ103" s="978"/>
      <c r="OUA103" s="978"/>
      <c r="OUB103" s="978"/>
      <c r="OUC103" s="978"/>
      <c r="OUD103" s="978"/>
      <c r="OUE103" s="978"/>
      <c r="OUF103" s="978"/>
      <c r="OUG103" s="978"/>
      <c r="OUH103" s="978"/>
      <c r="OUI103" s="978"/>
      <c r="OUJ103" s="978"/>
      <c r="OUK103" s="978"/>
      <c r="OUL103" s="978"/>
      <c r="OUM103" s="978"/>
      <c r="OUN103" s="978"/>
      <c r="OUO103" s="978"/>
      <c r="OUP103" s="978"/>
      <c r="OUQ103" s="978"/>
      <c r="OUR103" s="978"/>
      <c r="OUS103" s="978"/>
      <c r="OUT103" s="978"/>
      <c r="OUU103" s="978"/>
      <c r="OUV103" s="978"/>
      <c r="OUW103" s="978"/>
      <c r="OUX103" s="978"/>
      <c r="OUY103" s="978"/>
      <c r="OUZ103" s="978"/>
      <c r="OVA103" s="978"/>
      <c r="OVB103" s="978"/>
      <c r="OVC103" s="978"/>
      <c r="OVD103" s="978"/>
      <c r="OVE103" s="978"/>
      <c r="OVF103" s="978"/>
      <c r="OVG103" s="978"/>
      <c r="OVH103" s="978"/>
      <c r="OVI103" s="978"/>
      <c r="OVJ103" s="978"/>
      <c r="OVK103" s="978"/>
      <c r="OVL103" s="978"/>
      <c r="OVM103" s="978"/>
      <c r="OVN103" s="978"/>
      <c r="OVO103" s="978"/>
      <c r="OVP103" s="978"/>
      <c r="OVQ103" s="978"/>
      <c r="OVR103" s="978"/>
      <c r="OVS103" s="978"/>
      <c r="OVT103" s="978"/>
      <c r="OVU103" s="978"/>
      <c r="OVV103" s="978"/>
      <c r="OVW103" s="978"/>
      <c r="OVX103" s="978"/>
      <c r="OVY103" s="978"/>
      <c r="OVZ103" s="978"/>
      <c r="OWA103" s="978"/>
      <c r="OWB103" s="978"/>
      <c r="OWC103" s="978"/>
      <c r="OWD103" s="978"/>
      <c r="OWE103" s="978"/>
      <c r="OWF103" s="978"/>
      <c r="OWG103" s="978"/>
      <c r="OWH103" s="978"/>
      <c r="OWI103" s="978"/>
      <c r="OWJ103" s="978"/>
      <c r="OWK103" s="978"/>
      <c r="OWL103" s="978"/>
      <c r="OWM103" s="978"/>
      <c r="OWN103" s="978"/>
      <c r="OWO103" s="978"/>
      <c r="OWP103" s="978"/>
      <c r="OWQ103" s="978"/>
      <c r="OWR103" s="978"/>
      <c r="OWS103" s="978"/>
      <c r="OWT103" s="978"/>
      <c r="OWU103" s="978"/>
      <c r="OWV103" s="978"/>
      <c r="OWW103" s="978"/>
      <c r="OWX103" s="978"/>
      <c r="OWY103" s="978"/>
      <c r="OWZ103" s="978"/>
      <c r="OXA103" s="978"/>
      <c r="OXB103" s="978"/>
      <c r="OXC103" s="978"/>
      <c r="OXD103" s="978"/>
      <c r="OXE103" s="978"/>
      <c r="OXF103" s="978"/>
      <c r="OXG103" s="978"/>
      <c r="OXH103" s="978"/>
      <c r="OXI103" s="978"/>
      <c r="OXJ103" s="978"/>
      <c r="OXK103" s="978"/>
      <c r="OXL103" s="978"/>
      <c r="OXM103" s="978"/>
      <c r="OXN103" s="978"/>
      <c r="OXO103" s="978"/>
      <c r="OXP103" s="978"/>
      <c r="OXQ103" s="978"/>
      <c r="OXR103" s="978"/>
      <c r="OXS103" s="978"/>
      <c r="OXT103" s="978"/>
      <c r="OXU103" s="978"/>
      <c r="OXV103" s="978"/>
      <c r="OXW103" s="978"/>
      <c r="OXX103" s="978"/>
      <c r="OXY103" s="978"/>
      <c r="OXZ103" s="978"/>
      <c r="OYA103" s="978"/>
      <c r="OYB103" s="978"/>
      <c r="OYC103" s="978"/>
      <c r="OYD103" s="978"/>
      <c r="OYE103" s="978"/>
      <c r="OYF103" s="978"/>
      <c r="OYG103" s="978"/>
      <c r="OYH103" s="978"/>
      <c r="OYI103" s="978"/>
      <c r="OYJ103" s="978"/>
      <c r="OYK103" s="978"/>
      <c r="OYL103" s="978"/>
      <c r="OYM103" s="978"/>
      <c r="OYN103" s="978"/>
      <c r="OYO103" s="978"/>
      <c r="OYP103" s="978"/>
      <c r="OYQ103" s="978"/>
      <c r="OYR103" s="978"/>
      <c r="OYS103" s="978"/>
      <c r="OYT103" s="978"/>
      <c r="OYU103" s="978"/>
      <c r="OYV103" s="978"/>
      <c r="OYW103" s="978"/>
      <c r="OYX103" s="978"/>
      <c r="OYY103" s="978"/>
      <c r="OYZ103" s="978"/>
      <c r="OZA103" s="978"/>
      <c r="OZB103" s="978"/>
      <c r="OZC103" s="978"/>
      <c r="OZD103" s="978"/>
      <c r="OZE103" s="978"/>
      <c r="OZF103" s="978"/>
      <c r="OZG103" s="978"/>
      <c r="OZH103" s="978"/>
      <c r="OZI103" s="978"/>
      <c r="OZJ103" s="978"/>
      <c r="OZK103" s="978"/>
      <c r="OZL103" s="978"/>
      <c r="OZM103" s="978"/>
      <c r="OZN103" s="978"/>
      <c r="OZO103" s="978"/>
      <c r="OZP103" s="978"/>
      <c r="OZQ103" s="978"/>
      <c r="OZR103" s="978"/>
      <c r="OZS103" s="978"/>
      <c r="OZT103" s="978"/>
      <c r="OZU103" s="978"/>
      <c r="OZV103" s="978"/>
      <c r="OZW103" s="978"/>
      <c r="OZX103" s="978"/>
      <c r="OZY103" s="978"/>
      <c r="OZZ103" s="978"/>
      <c r="PAA103" s="978"/>
      <c r="PAB103" s="978"/>
      <c r="PAC103" s="978"/>
      <c r="PAD103" s="978"/>
      <c r="PAE103" s="978"/>
      <c r="PAF103" s="978"/>
      <c r="PAG103" s="978"/>
      <c r="PAH103" s="978"/>
      <c r="PAI103" s="978"/>
      <c r="PAJ103" s="978"/>
      <c r="PAK103" s="978"/>
      <c r="PAL103" s="978"/>
      <c r="PAM103" s="978"/>
      <c r="PAN103" s="978"/>
      <c r="PAO103" s="978"/>
      <c r="PAP103" s="978"/>
      <c r="PAQ103" s="978"/>
      <c r="PAR103" s="978"/>
      <c r="PAS103" s="978"/>
      <c r="PAT103" s="978"/>
      <c r="PAU103" s="978"/>
      <c r="PAV103" s="978"/>
      <c r="PAW103" s="978"/>
      <c r="PAX103" s="978"/>
      <c r="PAY103" s="978"/>
      <c r="PAZ103" s="978"/>
      <c r="PBA103" s="978"/>
      <c r="PBB103" s="978"/>
      <c r="PBC103" s="978"/>
      <c r="PBD103" s="978"/>
      <c r="PBE103" s="978"/>
      <c r="PBF103" s="978"/>
      <c r="PBG103" s="978"/>
      <c r="PBH103" s="978"/>
      <c r="PBI103" s="978"/>
      <c r="PBJ103" s="978"/>
      <c r="PBK103" s="978"/>
      <c r="PBL103" s="978"/>
      <c r="PBM103" s="978"/>
      <c r="PBN103" s="978"/>
      <c r="PBO103" s="978"/>
      <c r="PBP103" s="978"/>
      <c r="PBQ103" s="978"/>
      <c r="PBR103" s="978"/>
      <c r="PBS103" s="978"/>
      <c r="PBT103" s="978"/>
      <c r="PBU103" s="978"/>
      <c r="PBV103" s="978"/>
      <c r="PBW103" s="978"/>
      <c r="PBX103" s="978"/>
      <c r="PBY103" s="978"/>
      <c r="PBZ103" s="978"/>
      <c r="PCA103" s="978"/>
      <c r="PCB103" s="978"/>
      <c r="PCC103" s="978"/>
      <c r="PCD103" s="978"/>
      <c r="PCE103" s="978"/>
      <c r="PCF103" s="978"/>
      <c r="PCG103" s="978"/>
      <c r="PCH103" s="978"/>
      <c r="PCI103" s="978"/>
      <c r="PCJ103" s="978"/>
      <c r="PCK103" s="978"/>
      <c r="PCL103" s="978"/>
      <c r="PCM103" s="978"/>
      <c r="PCN103" s="978"/>
      <c r="PCO103" s="978"/>
      <c r="PCP103" s="978"/>
      <c r="PCQ103" s="978"/>
      <c r="PCR103" s="978"/>
      <c r="PCS103" s="978"/>
      <c r="PCT103" s="978"/>
      <c r="PCU103" s="978"/>
      <c r="PCV103" s="978"/>
      <c r="PCW103" s="978"/>
      <c r="PCX103" s="978"/>
      <c r="PCY103" s="978"/>
      <c r="PCZ103" s="978"/>
      <c r="PDA103" s="978"/>
      <c r="PDB103" s="978"/>
      <c r="PDC103" s="978"/>
      <c r="PDD103" s="978"/>
      <c r="PDE103" s="978"/>
      <c r="PDF103" s="978"/>
      <c r="PDG103" s="978"/>
      <c r="PDH103" s="978"/>
      <c r="PDI103" s="978"/>
      <c r="PDJ103" s="978"/>
      <c r="PDK103" s="978"/>
      <c r="PDL103" s="978"/>
      <c r="PDM103" s="978"/>
      <c r="PDN103" s="978"/>
      <c r="PDO103" s="978"/>
      <c r="PDP103" s="978"/>
      <c r="PDQ103" s="978"/>
      <c r="PDR103" s="978"/>
      <c r="PDS103" s="978"/>
      <c r="PDT103" s="978"/>
      <c r="PDU103" s="978"/>
      <c r="PDV103" s="978"/>
      <c r="PDW103" s="978"/>
      <c r="PDX103" s="978"/>
      <c r="PDY103" s="978"/>
      <c r="PDZ103" s="978"/>
      <c r="PEA103" s="978"/>
      <c r="PEB103" s="978"/>
      <c r="PEC103" s="978"/>
      <c r="PED103" s="978"/>
      <c r="PEE103" s="978"/>
      <c r="PEF103" s="978"/>
      <c r="PEG103" s="978"/>
      <c r="PEH103" s="978"/>
      <c r="PEI103" s="978"/>
      <c r="PEJ103" s="978"/>
      <c r="PEK103" s="978"/>
      <c r="PEL103" s="978"/>
      <c r="PEM103" s="978"/>
      <c r="PEN103" s="978"/>
      <c r="PEO103" s="978"/>
      <c r="PEP103" s="978"/>
      <c r="PEQ103" s="978"/>
      <c r="PER103" s="978"/>
      <c r="PES103" s="978"/>
      <c r="PET103" s="978"/>
      <c r="PEU103" s="978"/>
      <c r="PEV103" s="978"/>
      <c r="PEW103" s="978"/>
      <c r="PEX103" s="978"/>
      <c r="PEY103" s="978"/>
      <c r="PEZ103" s="978"/>
      <c r="PFA103" s="978"/>
      <c r="PFB103" s="978"/>
      <c r="PFC103" s="978"/>
      <c r="PFD103" s="978"/>
      <c r="PFE103" s="978"/>
      <c r="PFF103" s="978"/>
      <c r="PFG103" s="978"/>
      <c r="PFH103" s="978"/>
      <c r="PFI103" s="978"/>
      <c r="PFJ103" s="978"/>
      <c r="PFK103" s="978"/>
      <c r="PFL103" s="978"/>
      <c r="PFM103" s="978"/>
      <c r="PFN103" s="978"/>
      <c r="PFO103" s="978"/>
      <c r="PFP103" s="978"/>
      <c r="PFQ103" s="978"/>
      <c r="PFR103" s="978"/>
      <c r="PFS103" s="978"/>
      <c r="PFT103" s="978"/>
      <c r="PFU103" s="978"/>
      <c r="PFV103" s="978"/>
      <c r="PFW103" s="978"/>
      <c r="PFX103" s="978"/>
      <c r="PFY103" s="978"/>
      <c r="PFZ103" s="978"/>
      <c r="PGA103" s="978"/>
      <c r="PGB103" s="978"/>
      <c r="PGC103" s="978"/>
      <c r="PGD103" s="978"/>
      <c r="PGE103" s="978"/>
      <c r="PGF103" s="978"/>
      <c r="PGG103" s="978"/>
      <c r="PGH103" s="978"/>
      <c r="PGI103" s="978"/>
      <c r="PGJ103" s="978"/>
      <c r="PGK103" s="978"/>
      <c r="PGL103" s="978"/>
      <c r="PGM103" s="978"/>
      <c r="PGN103" s="978"/>
      <c r="PGO103" s="978"/>
      <c r="PGP103" s="978"/>
      <c r="PGQ103" s="978"/>
      <c r="PGR103" s="978"/>
      <c r="PGS103" s="978"/>
      <c r="PGT103" s="978"/>
      <c r="PGU103" s="978"/>
      <c r="PGV103" s="978"/>
      <c r="PGW103" s="978"/>
      <c r="PGX103" s="978"/>
      <c r="PGY103" s="978"/>
      <c r="PGZ103" s="978"/>
      <c r="PHA103" s="978"/>
      <c r="PHB103" s="978"/>
      <c r="PHC103" s="978"/>
      <c r="PHD103" s="978"/>
      <c r="PHE103" s="978"/>
      <c r="PHF103" s="978"/>
      <c r="PHG103" s="978"/>
      <c r="PHH103" s="978"/>
      <c r="PHI103" s="978"/>
      <c r="PHJ103" s="978"/>
      <c r="PHK103" s="978"/>
      <c r="PHL103" s="978"/>
      <c r="PHM103" s="978"/>
      <c r="PHN103" s="978"/>
      <c r="PHO103" s="978"/>
      <c r="PHP103" s="978"/>
      <c r="PHQ103" s="978"/>
      <c r="PHR103" s="978"/>
      <c r="PHS103" s="978"/>
      <c r="PHT103" s="978"/>
      <c r="PHU103" s="978"/>
      <c r="PHV103" s="978"/>
      <c r="PHW103" s="978"/>
      <c r="PHX103" s="978"/>
      <c r="PHY103" s="978"/>
      <c r="PHZ103" s="978"/>
      <c r="PIA103" s="978"/>
      <c r="PIB103" s="978"/>
      <c r="PIC103" s="978"/>
      <c r="PID103" s="978"/>
      <c r="PIE103" s="978"/>
      <c r="PIF103" s="978"/>
      <c r="PIG103" s="978"/>
      <c r="PIH103" s="978"/>
      <c r="PII103" s="978"/>
      <c r="PIJ103" s="978"/>
      <c r="PIK103" s="978"/>
      <c r="PIL103" s="978"/>
      <c r="PIM103" s="978"/>
      <c r="PIN103" s="978"/>
      <c r="PIO103" s="978"/>
      <c r="PIP103" s="978"/>
      <c r="PIQ103" s="978"/>
      <c r="PIR103" s="978"/>
      <c r="PIS103" s="978"/>
      <c r="PIT103" s="978"/>
      <c r="PIU103" s="978"/>
      <c r="PIV103" s="978"/>
      <c r="PIW103" s="978"/>
      <c r="PIX103" s="978"/>
      <c r="PIY103" s="978"/>
      <c r="PIZ103" s="978"/>
      <c r="PJA103" s="978"/>
      <c r="PJB103" s="978"/>
      <c r="PJC103" s="978"/>
      <c r="PJD103" s="978"/>
      <c r="PJE103" s="978"/>
      <c r="PJF103" s="978"/>
      <c r="PJG103" s="978"/>
      <c r="PJH103" s="978"/>
      <c r="PJI103" s="978"/>
      <c r="PJJ103" s="978"/>
      <c r="PJK103" s="978"/>
      <c r="PJL103" s="978"/>
      <c r="PJM103" s="978"/>
      <c r="PJN103" s="978"/>
      <c r="PJO103" s="978"/>
      <c r="PJP103" s="978"/>
      <c r="PJQ103" s="978"/>
      <c r="PJR103" s="978"/>
      <c r="PJS103" s="978"/>
      <c r="PJT103" s="978"/>
      <c r="PJU103" s="978"/>
      <c r="PJV103" s="978"/>
      <c r="PJW103" s="978"/>
      <c r="PJX103" s="978"/>
      <c r="PJY103" s="978"/>
      <c r="PJZ103" s="978"/>
      <c r="PKA103" s="978"/>
      <c r="PKB103" s="978"/>
      <c r="PKC103" s="978"/>
      <c r="PKD103" s="978"/>
      <c r="PKE103" s="978"/>
      <c r="PKF103" s="978"/>
      <c r="PKG103" s="978"/>
      <c r="PKH103" s="978"/>
      <c r="PKI103" s="978"/>
      <c r="PKJ103" s="978"/>
      <c r="PKK103" s="978"/>
      <c r="PKL103" s="978"/>
      <c r="PKM103" s="978"/>
      <c r="PKN103" s="978"/>
      <c r="PKO103" s="978"/>
      <c r="PKP103" s="978"/>
      <c r="PKQ103" s="978"/>
      <c r="PKR103" s="978"/>
      <c r="PKS103" s="978"/>
      <c r="PKT103" s="978"/>
      <c r="PKU103" s="978"/>
      <c r="PKV103" s="978"/>
      <c r="PKW103" s="978"/>
      <c r="PKX103" s="978"/>
      <c r="PKY103" s="978"/>
      <c r="PKZ103" s="978"/>
      <c r="PLA103" s="978"/>
      <c r="PLB103" s="978"/>
      <c r="PLC103" s="978"/>
      <c r="PLD103" s="978"/>
      <c r="PLE103" s="978"/>
      <c r="PLF103" s="978"/>
      <c r="PLG103" s="978"/>
      <c r="PLH103" s="978"/>
      <c r="PLI103" s="978"/>
      <c r="PLJ103" s="978"/>
      <c r="PLK103" s="978"/>
      <c r="PLL103" s="978"/>
      <c r="PLM103" s="978"/>
      <c r="PLN103" s="978"/>
      <c r="PLO103" s="978"/>
      <c r="PLP103" s="978"/>
      <c r="PLQ103" s="978"/>
      <c r="PLR103" s="978"/>
      <c r="PLS103" s="978"/>
      <c r="PLT103" s="978"/>
      <c r="PLU103" s="978"/>
      <c r="PLV103" s="978"/>
      <c r="PLW103" s="978"/>
      <c r="PLX103" s="978"/>
      <c r="PLY103" s="978"/>
      <c r="PLZ103" s="978"/>
      <c r="PMA103" s="978"/>
      <c r="PMB103" s="978"/>
      <c r="PMC103" s="978"/>
      <c r="PMD103" s="978"/>
      <c r="PME103" s="978"/>
      <c r="PMF103" s="978"/>
      <c r="PMG103" s="978"/>
      <c r="PMH103" s="978"/>
      <c r="PMI103" s="978"/>
      <c r="PMJ103" s="978"/>
      <c r="PMK103" s="978"/>
      <c r="PML103" s="978"/>
      <c r="PMM103" s="978"/>
      <c r="PMN103" s="978"/>
      <c r="PMO103" s="978"/>
      <c r="PMP103" s="978"/>
      <c r="PMQ103" s="978"/>
      <c r="PMR103" s="978"/>
      <c r="PMS103" s="978"/>
      <c r="PMT103" s="978"/>
      <c r="PMU103" s="978"/>
      <c r="PMV103" s="978"/>
      <c r="PMW103" s="978"/>
      <c r="PMX103" s="978"/>
      <c r="PMY103" s="978"/>
      <c r="PMZ103" s="978"/>
      <c r="PNA103" s="978"/>
      <c r="PNB103" s="978"/>
      <c r="PNC103" s="978"/>
      <c r="PND103" s="978"/>
      <c r="PNE103" s="978"/>
      <c r="PNF103" s="978"/>
      <c r="PNG103" s="978"/>
      <c r="PNH103" s="978"/>
      <c r="PNI103" s="978"/>
      <c r="PNJ103" s="978"/>
      <c r="PNK103" s="978"/>
      <c r="PNL103" s="978"/>
      <c r="PNM103" s="978"/>
      <c r="PNN103" s="978"/>
      <c r="PNO103" s="978"/>
      <c r="PNP103" s="978"/>
      <c r="PNQ103" s="978"/>
      <c r="PNR103" s="978"/>
      <c r="PNS103" s="978"/>
      <c r="PNT103" s="978"/>
      <c r="PNU103" s="978"/>
      <c r="PNV103" s="978"/>
      <c r="PNW103" s="978"/>
      <c r="PNX103" s="978"/>
      <c r="PNY103" s="978"/>
      <c r="PNZ103" s="978"/>
      <c r="POA103" s="978"/>
      <c r="POB103" s="978"/>
      <c r="POC103" s="978"/>
      <c r="POD103" s="978"/>
      <c r="POE103" s="978"/>
      <c r="POF103" s="978"/>
      <c r="POG103" s="978"/>
      <c r="POH103" s="978"/>
      <c r="POI103" s="978"/>
      <c r="POJ103" s="978"/>
      <c r="POK103" s="978"/>
      <c r="POL103" s="978"/>
      <c r="POM103" s="978"/>
      <c r="PON103" s="978"/>
      <c r="POO103" s="978"/>
      <c r="POP103" s="978"/>
      <c r="POQ103" s="978"/>
      <c r="POR103" s="978"/>
      <c r="POS103" s="978"/>
      <c r="POT103" s="978"/>
      <c r="POU103" s="978"/>
      <c r="POV103" s="978"/>
      <c r="POW103" s="978"/>
      <c r="POX103" s="978"/>
      <c r="POY103" s="978"/>
      <c r="POZ103" s="978"/>
      <c r="PPA103" s="978"/>
      <c r="PPB103" s="978"/>
      <c r="PPC103" s="978"/>
      <c r="PPD103" s="978"/>
      <c r="PPE103" s="978"/>
      <c r="PPF103" s="978"/>
      <c r="PPG103" s="978"/>
      <c r="PPH103" s="978"/>
      <c r="PPI103" s="978"/>
      <c r="PPJ103" s="978"/>
      <c r="PPK103" s="978"/>
      <c r="PPL103" s="978"/>
      <c r="PPM103" s="978"/>
      <c r="PPN103" s="978"/>
      <c r="PPO103" s="978"/>
      <c r="PPP103" s="978"/>
      <c r="PPQ103" s="978"/>
      <c r="PPR103" s="978"/>
      <c r="PPS103" s="978"/>
      <c r="PPT103" s="978"/>
      <c r="PPU103" s="978"/>
      <c r="PPV103" s="978"/>
      <c r="PPW103" s="978"/>
      <c r="PPX103" s="978"/>
      <c r="PPY103" s="978"/>
      <c r="PPZ103" s="978"/>
      <c r="PQA103" s="978"/>
      <c r="PQB103" s="978"/>
      <c r="PQC103" s="978"/>
      <c r="PQD103" s="978"/>
      <c r="PQE103" s="978"/>
      <c r="PQF103" s="978"/>
      <c r="PQG103" s="978"/>
      <c r="PQH103" s="978"/>
      <c r="PQI103" s="978"/>
      <c r="PQJ103" s="978"/>
      <c r="PQK103" s="978"/>
      <c r="PQL103" s="978"/>
      <c r="PQM103" s="978"/>
      <c r="PQN103" s="978"/>
      <c r="PQO103" s="978"/>
      <c r="PQP103" s="978"/>
      <c r="PQQ103" s="978"/>
      <c r="PQR103" s="978"/>
      <c r="PQS103" s="978"/>
      <c r="PQT103" s="978"/>
      <c r="PQU103" s="978"/>
      <c r="PQV103" s="978"/>
      <c r="PQW103" s="978"/>
      <c r="PQX103" s="978"/>
      <c r="PQY103" s="978"/>
      <c r="PQZ103" s="978"/>
      <c r="PRA103" s="978"/>
      <c r="PRB103" s="978"/>
      <c r="PRC103" s="978"/>
      <c r="PRD103" s="978"/>
      <c r="PRE103" s="978"/>
      <c r="PRF103" s="978"/>
      <c r="PRG103" s="978"/>
      <c r="PRH103" s="978"/>
      <c r="PRI103" s="978"/>
      <c r="PRJ103" s="978"/>
      <c r="PRK103" s="978"/>
      <c r="PRL103" s="978"/>
      <c r="PRM103" s="978"/>
      <c r="PRN103" s="978"/>
      <c r="PRO103" s="978"/>
      <c r="PRP103" s="978"/>
      <c r="PRQ103" s="978"/>
      <c r="PRR103" s="978"/>
      <c r="PRS103" s="978"/>
      <c r="PRT103" s="978"/>
      <c r="PRU103" s="978"/>
      <c r="PRV103" s="978"/>
      <c r="PRW103" s="978"/>
      <c r="PRX103" s="978"/>
      <c r="PRY103" s="978"/>
      <c r="PRZ103" s="978"/>
      <c r="PSA103" s="978"/>
      <c r="PSB103" s="978"/>
      <c r="PSC103" s="978"/>
      <c r="PSD103" s="978"/>
      <c r="PSE103" s="978"/>
      <c r="PSF103" s="978"/>
      <c r="PSG103" s="978"/>
      <c r="PSH103" s="978"/>
      <c r="PSI103" s="978"/>
      <c r="PSJ103" s="978"/>
      <c r="PSK103" s="978"/>
      <c r="PSL103" s="978"/>
      <c r="PSM103" s="978"/>
      <c r="PSN103" s="978"/>
      <c r="PSO103" s="978"/>
      <c r="PSP103" s="978"/>
      <c r="PSQ103" s="978"/>
      <c r="PSR103" s="978"/>
      <c r="PSS103" s="978"/>
      <c r="PST103" s="978"/>
      <c r="PSU103" s="978"/>
      <c r="PSV103" s="978"/>
      <c r="PSW103" s="978"/>
      <c r="PSX103" s="978"/>
      <c r="PSY103" s="978"/>
      <c r="PSZ103" s="978"/>
      <c r="PTA103" s="978"/>
      <c r="PTB103" s="978"/>
      <c r="PTC103" s="978"/>
      <c r="PTD103" s="978"/>
      <c r="PTE103" s="978"/>
      <c r="PTF103" s="978"/>
      <c r="PTG103" s="978"/>
      <c r="PTH103" s="978"/>
      <c r="PTI103" s="978"/>
      <c r="PTJ103" s="978"/>
      <c r="PTK103" s="978"/>
      <c r="PTL103" s="978"/>
      <c r="PTM103" s="978"/>
      <c r="PTN103" s="978"/>
      <c r="PTO103" s="978"/>
      <c r="PTP103" s="978"/>
      <c r="PTQ103" s="978"/>
      <c r="PTR103" s="978"/>
      <c r="PTS103" s="978"/>
      <c r="PTT103" s="978"/>
      <c r="PTU103" s="978"/>
      <c r="PTV103" s="978"/>
      <c r="PTW103" s="978"/>
      <c r="PTX103" s="978"/>
      <c r="PTY103" s="978"/>
      <c r="PTZ103" s="978"/>
      <c r="PUA103" s="978"/>
      <c r="PUB103" s="978"/>
      <c r="PUC103" s="978"/>
      <c r="PUD103" s="978"/>
      <c r="PUE103" s="978"/>
      <c r="PUF103" s="978"/>
      <c r="PUG103" s="978"/>
      <c r="PUH103" s="978"/>
      <c r="PUI103" s="978"/>
      <c r="PUJ103" s="978"/>
      <c r="PUK103" s="978"/>
      <c r="PUL103" s="978"/>
      <c r="PUM103" s="978"/>
      <c r="PUN103" s="978"/>
      <c r="PUO103" s="978"/>
      <c r="PUP103" s="978"/>
      <c r="PUQ103" s="978"/>
      <c r="PUR103" s="978"/>
      <c r="PUS103" s="978"/>
      <c r="PUT103" s="978"/>
      <c r="PUU103" s="978"/>
      <c r="PUV103" s="978"/>
      <c r="PUW103" s="978"/>
      <c r="PUX103" s="978"/>
      <c r="PUY103" s="978"/>
      <c r="PUZ103" s="978"/>
      <c r="PVA103" s="978"/>
      <c r="PVB103" s="978"/>
      <c r="PVC103" s="978"/>
      <c r="PVD103" s="978"/>
      <c r="PVE103" s="978"/>
      <c r="PVF103" s="978"/>
      <c r="PVG103" s="978"/>
      <c r="PVH103" s="978"/>
      <c r="PVI103" s="978"/>
      <c r="PVJ103" s="978"/>
      <c r="PVK103" s="978"/>
      <c r="PVL103" s="978"/>
      <c r="PVM103" s="978"/>
      <c r="PVN103" s="978"/>
      <c r="PVO103" s="978"/>
      <c r="PVP103" s="978"/>
      <c r="PVQ103" s="978"/>
      <c r="PVR103" s="978"/>
      <c r="PVS103" s="978"/>
      <c r="PVT103" s="978"/>
      <c r="PVU103" s="978"/>
      <c r="PVV103" s="978"/>
      <c r="PVW103" s="978"/>
      <c r="PVX103" s="978"/>
      <c r="PVY103" s="978"/>
      <c r="PVZ103" s="978"/>
      <c r="PWA103" s="978"/>
      <c r="PWB103" s="978"/>
      <c r="PWC103" s="978"/>
      <c r="PWD103" s="978"/>
      <c r="PWE103" s="978"/>
      <c r="PWF103" s="978"/>
      <c r="PWG103" s="978"/>
      <c r="PWH103" s="978"/>
      <c r="PWI103" s="978"/>
      <c r="PWJ103" s="978"/>
      <c r="PWK103" s="978"/>
      <c r="PWL103" s="978"/>
      <c r="PWM103" s="978"/>
      <c r="PWN103" s="978"/>
      <c r="PWO103" s="978"/>
      <c r="PWP103" s="978"/>
      <c r="PWQ103" s="978"/>
      <c r="PWR103" s="978"/>
      <c r="PWS103" s="978"/>
      <c r="PWT103" s="978"/>
      <c r="PWU103" s="978"/>
      <c r="PWV103" s="978"/>
      <c r="PWW103" s="978"/>
      <c r="PWX103" s="978"/>
      <c r="PWY103" s="978"/>
      <c r="PWZ103" s="978"/>
      <c r="PXA103" s="978"/>
      <c r="PXB103" s="978"/>
      <c r="PXC103" s="978"/>
      <c r="PXD103" s="978"/>
      <c r="PXE103" s="978"/>
      <c r="PXF103" s="978"/>
      <c r="PXG103" s="978"/>
      <c r="PXH103" s="978"/>
      <c r="PXI103" s="978"/>
      <c r="PXJ103" s="978"/>
      <c r="PXK103" s="978"/>
      <c r="PXL103" s="978"/>
      <c r="PXM103" s="978"/>
      <c r="PXN103" s="978"/>
      <c r="PXO103" s="978"/>
      <c r="PXP103" s="978"/>
      <c r="PXQ103" s="978"/>
      <c r="PXR103" s="978"/>
      <c r="PXS103" s="978"/>
      <c r="PXT103" s="978"/>
      <c r="PXU103" s="978"/>
      <c r="PXV103" s="978"/>
      <c r="PXW103" s="978"/>
      <c r="PXX103" s="978"/>
      <c r="PXY103" s="978"/>
      <c r="PXZ103" s="978"/>
      <c r="PYA103" s="978"/>
      <c r="PYB103" s="978"/>
      <c r="PYC103" s="978"/>
      <c r="PYD103" s="978"/>
      <c r="PYE103" s="978"/>
      <c r="PYF103" s="978"/>
      <c r="PYG103" s="978"/>
      <c r="PYH103" s="978"/>
      <c r="PYI103" s="978"/>
      <c r="PYJ103" s="978"/>
      <c r="PYK103" s="978"/>
      <c r="PYL103" s="978"/>
      <c r="PYM103" s="978"/>
      <c r="PYN103" s="978"/>
      <c r="PYO103" s="978"/>
      <c r="PYP103" s="978"/>
      <c r="PYQ103" s="978"/>
      <c r="PYR103" s="978"/>
      <c r="PYS103" s="978"/>
      <c r="PYT103" s="978"/>
      <c r="PYU103" s="978"/>
      <c r="PYV103" s="978"/>
      <c r="PYW103" s="978"/>
      <c r="PYX103" s="978"/>
      <c r="PYY103" s="978"/>
      <c r="PYZ103" s="978"/>
      <c r="PZA103" s="978"/>
      <c r="PZB103" s="978"/>
      <c r="PZC103" s="978"/>
      <c r="PZD103" s="978"/>
      <c r="PZE103" s="978"/>
      <c r="PZF103" s="978"/>
      <c r="PZG103" s="978"/>
      <c r="PZH103" s="978"/>
      <c r="PZI103" s="978"/>
      <c r="PZJ103" s="978"/>
      <c r="PZK103" s="978"/>
      <c r="PZL103" s="978"/>
      <c r="PZM103" s="978"/>
      <c r="PZN103" s="978"/>
      <c r="PZO103" s="978"/>
      <c r="PZP103" s="978"/>
      <c r="PZQ103" s="978"/>
      <c r="PZR103" s="978"/>
      <c r="PZS103" s="978"/>
      <c r="PZT103" s="978"/>
      <c r="PZU103" s="978"/>
      <c r="PZV103" s="978"/>
      <c r="PZW103" s="978"/>
      <c r="PZX103" s="978"/>
      <c r="PZY103" s="978"/>
      <c r="PZZ103" s="978"/>
      <c r="QAA103" s="978"/>
      <c r="QAB103" s="978"/>
      <c r="QAC103" s="978"/>
      <c r="QAD103" s="978"/>
      <c r="QAE103" s="978"/>
      <c r="QAF103" s="978"/>
      <c r="QAG103" s="978"/>
      <c r="QAH103" s="978"/>
      <c r="QAI103" s="978"/>
      <c r="QAJ103" s="978"/>
      <c r="QAK103" s="978"/>
      <c r="QAL103" s="978"/>
      <c r="QAM103" s="978"/>
      <c r="QAN103" s="978"/>
      <c r="QAO103" s="978"/>
      <c r="QAP103" s="978"/>
      <c r="QAQ103" s="978"/>
      <c r="QAR103" s="978"/>
      <c r="QAS103" s="978"/>
      <c r="QAT103" s="978"/>
      <c r="QAU103" s="978"/>
      <c r="QAV103" s="978"/>
      <c r="QAW103" s="978"/>
      <c r="QAX103" s="978"/>
      <c r="QAY103" s="978"/>
      <c r="QAZ103" s="978"/>
      <c r="QBA103" s="978"/>
      <c r="QBB103" s="978"/>
      <c r="QBC103" s="978"/>
      <c r="QBD103" s="978"/>
      <c r="QBE103" s="978"/>
      <c r="QBF103" s="978"/>
      <c r="QBG103" s="978"/>
      <c r="QBH103" s="978"/>
      <c r="QBI103" s="978"/>
      <c r="QBJ103" s="978"/>
      <c r="QBK103" s="978"/>
      <c r="QBL103" s="978"/>
      <c r="QBM103" s="978"/>
      <c r="QBN103" s="978"/>
      <c r="QBO103" s="978"/>
      <c r="QBP103" s="978"/>
      <c r="QBQ103" s="978"/>
      <c r="QBR103" s="978"/>
      <c r="QBS103" s="978"/>
      <c r="QBT103" s="978"/>
      <c r="QBU103" s="978"/>
      <c r="QBV103" s="978"/>
      <c r="QBW103" s="978"/>
      <c r="QBX103" s="978"/>
      <c r="QBY103" s="978"/>
      <c r="QBZ103" s="978"/>
      <c r="QCA103" s="978"/>
      <c r="QCB103" s="978"/>
      <c r="QCC103" s="978"/>
      <c r="QCD103" s="978"/>
      <c r="QCE103" s="978"/>
      <c r="QCF103" s="978"/>
      <c r="QCG103" s="978"/>
      <c r="QCH103" s="978"/>
      <c r="QCI103" s="978"/>
      <c r="QCJ103" s="978"/>
      <c r="QCK103" s="978"/>
      <c r="QCL103" s="978"/>
      <c r="QCM103" s="978"/>
      <c r="QCN103" s="978"/>
      <c r="QCO103" s="978"/>
      <c r="QCP103" s="978"/>
      <c r="QCQ103" s="978"/>
      <c r="QCR103" s="978"/>
      <c r="QCS103" s="978"/>
      <c r="QCT103" s="978"/>
      <c r="QCU103" s="978"/>
      <c r="QCV103" s="978"/>
      <c r="QCW103" s="978"/>
      <c r="QCX103" s="978"/>
      <c r="QCY103" s="978"/>
      <c r="QCZ103" s="978"/>
      <c r="QDA103" s="978"/>
      <c r="QDB103" s="978"/>
      <c r="QDC103" s="978"/>
      <c r="QDD103" s="978"/>
      <c r="QDE103" s="978"/>
      <c r="QDF103" s="978"/>
      <c r="QDG103" s="978"/>
      <c r="QDH103" s="978"/>
      <c r="QDI103" s="978"/>
      <c r="QDJ103" s="978"/>
      <c r="QDK103" s="978"/>
      <c r="QDL103" s="978"/>
      <c r="QDM103" s="978"/>
      <c r="QDN103" s="978"/>
      <c r="QDO103" s="978"/>
      <c r="QDP103" s="978"/>
      <c r="QDQ103" s="978"/>
      <c r="QDR103" s="978"/>
      <c r="QDS103" s="978"/>
      <c r="QDT103" s="978"/>
      <c r="QDU103" s="978"/>
      <c r="QDV103" s="978"/>
      <c r="QDW103" s="978"/>
      <c r="QDX103" s="978"/>
      <c r="QDY103" s="978"/>
      <c r="QDZ103" s="978"/>
      <c r="QEA103" s="978"/>
      <c r="QEB103" s="978"/>
      <c r="QEC103" s="978"/>
      <c r="QED103" s="978"/>
      <c r="QEE103" s="978"/>
      <c r="QEF103" s="978"/>
      <c r="QEG103" s="978"/>
      <c r="QEH103" s="978"/>
      <c r="QEI103" s="978"/>
      <c r="QEJ103" s="978"/>
      <c r="QEK103" s="978"/>
      <c r="QEL103" s="978"/>
      <c r="QEM103" s="978"/>
      <c r="QEN103" s="978"/>
      <c r="QEO103" s="978"/>
      <c r="QEP103" s="978"/>
      <c r="QEQ103" s="978"/>
      <c r="QER103" s="978"/>
      <c r="QES103" s="978"/>
      <c r="QET103" s="978"/>
      <c r="QEU103" s="978"/>
      <c r="QEV103" s="978"/>
      <c r="QEW103" s="978"/>
      <c r="QEX103" s="978"/>
      <c r="QEY103" s="978"/>
      <c r="QEZ103" s="978"/>
      <c r="QFA103" s="978"/>
      <c r="QFB103" s="978"/>
      <c r="QFC103" s="978"/>
      <c r="QFD103" s="978"/>
      <c r="QFE103" s="978"/>
      <c r="QFF103" s="978"/>
      <c r="QFG103" s="978"/>
      <c r="QFH103" s="978"/>
      <c r="QFI103" s="978"/>
      <c r="QFJ103" s="978"/>
      <c r="QFK103" s="978"/>
      <c r="QFL103" s="978"/>
      <c r="QFM103" s="978"/>
      <c r="QFN103" s="978"/>
      <c r="QFO103" s="978"/>
      <c r="QFP103" s="978"/>
      <c r="QFQ103" s="978"/>
      <c r="QFR103" s="978"/>
      <c r="QFS103" s="978"/>
      <c r="QFT103" s="978"/>
      <c r="QFU103" s="978"/>
      <c r="QFV103" s="978"/>
      <c r="QFW103" s="978"/>
      <c r="QFX103" s="978"/>
      <c r="QFY103" s="978"/>
      <c r="QFZ103" s="978"/>
      <c r="QGA103" s="978"/>
      <c r="QGB103" s="978"/>
      <c r="QGC103" s="978"/>
      <c r="QGD103" s="978"/>
      <c r="QGE103" s="978"/>
      <c r="QGF103" s="978"/>
      <c r="QGG103" s="978"/>
      <c r="QGH103" s="978"/>
      <c r="QGI103" s="978"/>
      <c r="QGJ103" s="978"/>
      <c r="QGK103" s="978"/>
      <c r="QGL103" s="978"/>
      <c r="QGM103" s="978"/>
      <c r="QGN103" s="978"/>
      <c r="QGO103" s="978"/>
      <c r="QGP103" s="978"/>
      <c r="QGQ103" s="978"/>
      <c r="QGR103" s="978"/>
      <c r="QGS103" s="978"/>
      <c r="QGT103" s="978"/>
      <c r="QGU103" s="978"/>
      <c r="QGV103" s="978"/>
      <c r="QGW103" s="978"/>
      <c r="QGX103" s="978"/>
      <c r="QGY103" s="978"/>
      <c r="QGZ103" s="978"/>
      <c r="QHA103" s="978"/>
      <c r="QHB103" s="978"/>
      <c r="QHC103" s="978"/>
      <c r="QHD103" s="978"/>
      <c r="QHE103" s="978"/>
      <c r="QHF103" s="978"/>
      <c r="QHG103" s="978"/>
      <c r="QHH103" s="978"/>
      <c r="QHI103" s="978"/>
      <c r="QHJ103" s="978"/>
      <c r="QHK103" s="978"/>
      <c r="QHL103" s="978"/>
      <c r="QHM103" s="978"/>
      <c r="QHN103" s="978"/>
      <c r="QHO103" s="978"/>
      <c r="QHP103" s="978"/>
      <c r="QHQ103" s="978"/>
      <c r="QHR103" s="978"/>
      <c r="QHS103" s="978"/>
      <c r="QHT103" s="978"/>
      <c r="QHU103" s="978"/>
      <c r="QHV103" s="978"/>
      <c r="QHW103" s="978"/>
      <c r="QHX103" s="978"/>
      <c r="QHY103" s="978"/>
      <c r="QHZ103" s="978"/>
      <c r="QIA103" s="978"/>
      <c r="QIB103" s="978"/>
      <c r="QIC103" s="978"/>
      <c r="QID103" s="978"/>
      <c r="QIE103" s="978"/>
      <c r="QIF103" s="978"/>
      <c r="QIG103" s="978"/>
      <c r="QIH103" s="978"/>
      <c r="QII103" s="978"/>
      <c r="QIJ103" s="978"/>
      <c r="QIK103" s="978"/>
      <c r="QIL103" s="978"/>
      <c r="QIM103" s="978"/>
      <c r="QIN103" s="978"/>
      <c r="QIO103" s="978"/>
      <c r="QIP103" s="978"/>
      <c r="QIQ103" s="978"/>
      <c r="QIR103" s="978"/>
      <c r="QIS103" s="978"/>
      <c r="QIT103" s="978"/>
      <c r="QIU103" s="978"/>
      <c r="QIV103" s="978"/>
      <c r="QIW103" s="978"/>
      <c r="QIX103" s="978"/>
      <c r="QIY103" s="978"/>
      <c r="QIZ103" s="978"/>
      <c r="QJA103" s="978"/>
      <c r="QJB103" s="978"/>
      <c r="QJC103" s="978"/>
      <c r="QJD103" s="978"/>
      <c r="QJE103" s="978"/>
      <c r="QJF103" s="978"/>
      <c r="QJG103" s="978"/>
      <c r="QJH103" s="978"/>
      <c r="QJI103" s="978"/>
      <c r="QJJ103" s="978"/>
      <c r="QJK103" s="978"/>
      <c r="QJL103" s="978"/>
      <c r="QJM103" s="978"/>
      <c r="QJN103" s="978"/>
      <c r="QJO103" s="978"/>
      <c r="QJP103" s="978"/>
      <c r="QJQ103" s="978"/>
      <c r="QJR103" s="978"/>
      <c r="QJS103" s="978"/>
      <c r="QJT103" s="978"/>
      <c r="QJU103" s="978"/>
      <c r="QJV103" s="978"/>
      <c r="QJW103" s="978"/>
      <c r="QJX103" s="978"/>
      <c r="QJY103" s="978"/>
      <c r="QJZ103" s="978"/>
      <c r="QKA103" s="978"/>
      <c r="QKB103" s="978"/>
      <c r="QKC103" s="978"/>
      <c r="QKD103" s="978"/>
      <c r="QKE103" s="978"/>
      <c r="QKF103" s="978"/>
      <c r="QKG103" s="978"/>
      <c r="QKH103" s="978"/>
      <c r="QKI103" s="978"/>
      <c r="QKJ103" s="978"/>
      <c r="QKK103" s="978"/>
      <c r="QKL103" s="978"/>
      <c r="QKM103" s="978"/>
      <c r="QKN103" s="978"/>
      <c r="QKO103" s="978"/>
      <c r="QKP103" s="978"/>
      <c r="QKQ103" s="978"/>
      <c r="QKR103" s="978"/>
      <c r="QKS103" s="978"/>
      <c r="QKT103" s="978"/>
      <c r="QKU103" s="978"/>
      <c r="QKV103" s="978"/>
      <c r="QKW103" s="978"/>
      <c r="QKX103" s="978"/>
      <c r="QKY103" s="978"/>
      <c r="QKZ103" s="978"/>
      <c r="QLA103" s="978"/>
      <c r="QLB103" s="978"/>
      <c r="QLC103" s="978"/>
      <c r="QLD103" s="978"/>
      <c r="QLE103" s="978"/>
      <c r="QLF103" s="978"/>
      <c r="QLG103" s="978"/>
      <c r="QLH103" s="978"/>
      <c r="QLI103" s="978"/>
      <c r="QLJ103" s="978"/>
      <c r="QLK103" s="978"/>
      <c r="QLL103" s="978"/>
      <c r="QLM103" s="978"/>
      <c r="QLN103" s="978"/>
      <c r="QLO103" s="978"/>
      <c r="QLP103" s="978"/>
      <c r="QLQ103" s="978"/>
      <c r="QLR103" s="978"/>
      <c r="QLS103" s="978"/>
      <c r="QLT103" s="978"/>
      <c r="QLU103" s="978"/>
      <c r="QLV103" s="978"/>
      <c r="QLW103" s="978"/>
      <c r="QLX103" s="978"/>
      <c r="QLY103" s="978"/>
      <c r="QLZ103" s="978"/>
      <c r="QMA103" s="978"/>
      <c r="QMB103" s="978"/>
      <c r="QMC103" s="978"/>
      <c r="QMD103" s="978"/>
      <c r="QME103" s="978"/>
      <c r="QMF103" s="978"/>
      <c r="QMG103" s="978"/>
      <c r="QMH103" s="978"/>
      <c r="QMI103" s="978"/>
      <c r="QMJ103" s="978"/>
      <c r="QMK103" s="978"/>
      <c r="QML103" s="978"/>
      <c r="QMM103" s="978"/>
      <c r="QMN103" s="978"/>
      <c r="QMO103" s="978"/>
      <c r="QMP103" s="978"/>
      <c r="QMQ103" s="978"/>
      <c r="QMR103" s="978"/>
      <c r="QMS103" s="978"/>
      <c r="QMT103" s="978"/>
      <c r="QMU103" s="978"/>
      <c r="QMV103" s="978"/>
      <c r="QMW103" s="978"/>
      <c r="QMX103" s="978"/>
      <c r="QMY103" s="978"/>
      <c r="QMZ103" s="978"/>
      <c r="QNA103" s="978"/>
      <c r="QNB103" s="978"/>
      <c r="QNC103" s="978"/>
      <c r="QND103" s="978"/>
      <c r="QNE103" s="978"/>
      <c r="QNF103" s="978"/>
      <c r="QNG103" s="978"/>
      <c r="QNH103" s="978"/>
      <c r="QNI103" s="978"/>
      <c r="QNJ103" s="978"/>
      <c r="QNK103" s="978"/>
      <c r="QNL103" s="978"/>
      <c r="QNM103" s="978"/>
      <c r="QNN103" s="978"/>
      <c r="QNO103" s="978"/>
      <c r="QNP103" s="978"/>
      <c r="QNQ103" s="978"/>
      <c r="QNR103" s="978"/>
      <c r="QNS103" s="978"/>
      <c r="QNT103" s="978"/>
      <c r="QNU103" s="978"/>
      <c r="QNV103" s="978"/>
      <c r="QNW103" s="978"/>
      <c r="QNX103" s="978"/>
      <c r="QNY103" s="978"/>
      <c r="QNZ103" s="978"/>
      <c r="QOA103" s="978"/>
      <c r="QOB103" s="978"/>
      <c r="QOC103" s="978"/>
      <c r="QOD103" s="978"/>
      <c r="QOE103" s="978"/>
      <c r="QOF103" s="978"/>
      <c r="QOG103" s="978"/>
      <c r="QOH103" s="978"/>
      <c r="QOI103" s="978"/>
      <c r="QOJ103" s="978"/>
      <c r="QOK103" s="978"/>
      <c r="QOL103" s="978"/>
      <c r="QOM103" s="978"/>
      <c r="QON103" s="978"/>
      <c r="QOO103" s="978"/>
      <c r="QOP103" s="978"/>
      <c r="QOQ103" s="978"/>
      <c r="QOR103" s="978"/>
      <c r="QOS103" s="978"/>
      <c r="QOT103" s="978"/>
      <c r="QOU103" s="978"/>
      <c r="QOV103" s="978"/>
      <c r="QOW103" s="978"/>
      <c r="QOX103" s="978"/>
      <c r="QOY103" s="978"/>
      <c r="QOZ103" s="978"/>
      <c r="QPA103" s="978"/>
      <c r="QPB103" s="978"/>
      <c r="QPC103" s="978"/>
      <c r="QPD103" s="978"/>
      <c r="QPE103" s="978"/>
      <c r="QPF103" s="978"/>
      <c r="QPG103" s="978"/>
      <c r="QPH103" s="978"/>
      <c r="QPI103" s="978"/>
      <c r="QPJ103" s="978"/>
      <c r="QPK103" s="978"/>
      <c r="QPL103" s="978"/>
      <c r="QPM103" s="978"/>
      <c r="QPN103" s="978"/>
      <c r="QPO103" s="978"/>
      <c r="QPP103" s="978"/>
      <c r="QPQ103" s="978"/>
      <c r="QPR103" s="978"/>
      <c r="QPS103" s="978"/>
      <c r="QPT103" s="978"/>
      <c r="QPU103" s="978"/>
      <c r="QPV103" s="978"/>
      <c r="QPW103" s="978"/>
      <c r="QPX103" s="978"/>
      <c r="QPY103" s="978"/>
      <c r="QPZ103" s="978"/>
      <c r="QQA103" s="978"/>
      <c r="QQB103" s="978"/>
      <c r="QQC103" s="978"/>
      <c r="QQD103" s="978"/>
      <c r="QQE103" s="978"/>
      <c r="QQF103" s="978"/>
      <c r="QQG103" s="978"/>
      <c r="QQH103" s="978"/>
      <c r="QQI103" s="978"/>
      <c r="QQJ103" s="978"/>
      <c r="QQK103" s="978"/>
      <c r="QQL103" s="978"/>
      <c r="QQM103" s="978"/>
      <c r="QQN103" s="978"/>
      <c r="QQO103" s="978"/>
      <c r="QQP103" s="978"/>
      <c r="QQQ103" s="978"/>
      <c r="QQR103" s="978"/>
      <c r="QQS103" s="978"/>
      <c r="QQT103" s="978"/>
      <c r="QQU103" s="978"/>
      <c r="QQV103" s="978"/>
      <c r="QQW103" s="978"/>
      <c r="QQX103" s="978"/>
      <c r="QQY103" s="978"/>
      <c r="QQZ103" s="978"/>
      <c r="QRA103" s="978"/>
      <c r="QRB103" s="978"/>
      <c r="QRC103" s="978"/>
      <c r="QRD103" s="978"/>
      <c r="QRE103" s="978"/>
      <c r="QRF103" s="978"/>
      <c r="QRG103" s="978"/>
      <c r="QRH103" s="978"/>
      <c r="QRI103" s="978"/>
      <c r="QRJ103" s="978"/>
      <c r="QRK103" s="978"/>
      <c r="QRL103" s="978"/>
      <c r="QRM103" s="978"/>
      <c r="QRN103" s="978"/>
      <c r="QRO103" s="978"/>
      <c r="QRP103" s="978"/>
      <c r="QRQ103" s="978"/>
      <c r="QRR103" s="978"/>
      <c r="QRS103" s="978"/>
      <c r="QRT103" s="978"/>
      <c r="QRU103" s="978"/>
      <c r="QRV103" s="978"/>
      <c r="QRW103" s="978"/>
      <c r="QRX103" s="978"/>
      <c r="QRY103" s="978"/>
      <c r="QRZ103" s="978"/>
      <c r="QSA103" s="978"/>
      <c r="QSB103" s="978"/>
      <c r="QSC103" s="978"/>
      <c r="QSD103" s="978"/>
      <c r="QSE103" s="978"/>
      <c r="QSF103" s="978"/>
      <c r="QSG103" s="978"/>
      <c r="QSH103" s="978"/>
      <c r="QSI103" s="978"/>
      <c r="QSJ103" s="978"/>
      <c r="QSK103" s="978"/>
      <c r="QSL103" s="978"/>
      <c r="QSM103" s="978"/>
      <c r="QSN103" s="978"/>
      <c r="QSO103" s="978"/>
      <c r="QSP103" s="978"/>
      <c r="QSQ103" s="978"/>
      <c r="QSR103" s="978"/>
      <c r="QSS103" s="978"/>
      <c r="QST103" s="978"/>
      <c r="QSU103" s="978"/>
      <c r="QSV103" s="978"/>
      <c r="QSW103" s="978"/>
      <c r="QSX103" s="978"/>
      <c r="QSY103" s="978"/>
      <c r="QSZ103" s="978"/>
      <c r="QTA103" s="978"/>
      <c r="QTB103" s="978"/>
      <c r="QTC103" s="978"/>
      <c r="QTD103" s="978"/>
      <c r="QTE103" s="978"/>
      <c r="QTF103" s="978"/>
      <c r="QTG103" s="978"/>
      <c r="QTH103" s="978"/>
      <c r="QTI103" s="978"/>
      <c r="QTJ103" s="978"/>
      <c r="QTK103" s="978"/>
      <c r="QTL103" s="978"/>
      <c r="QTM103" s="978"/>
      <c r="QTN103" s="978"/>
      <c r="QTO103" s="978"/>
      <c r="QTP103" s="978"/>
      <c r="QTQ103" s="978"/>
      <c r="QTR103" s="978"/>
      <c r="QTS103" s="978"/>
      <c r="QTT103" s="978"/>
      <c r="QTU103" s="978"/>
      <c r="QTV103" s="978"/>
      <c r="QTW103" s="978"/>
      <c r="QTX103" s="978"/>
      <c r="QTY103" s="978"/>
      <c r="QTZ103" s="978"/>
      <c r="QUA103" s="978"/>
      <c r="QUB103" s="978"/>
      <c r="QUC103" s="978"/>
      <c r="QUD103" s="978"/>
      <c r="QUE103" s="978"/>
      <c r="QUF103" s="978"/>
      <c r="QUG103" s="978"/>
      <c r="QUH103" s="978"/>
      <c r="QUI103" s="978"/>
      <c r="QUJ103" s="978"/>
      <c r="QUK103" s="978"/>
      <c r="QUL103" s="978"/>
      <c r="QUM103" s="978"/>
      <c r="QUN103" s="978"/>
      <c r="QUO103" s="978"/>
      <c r="QUP103" s="978"/>
      <c r="QUQ103" s="978"/>
      <c r="QUR103" s="978"/>
      <c r="QUS103" s="978"/>
      <c r="QUT103" s="978"/>
      <c r="QUU103" s="978"/>
      <c r="QUV103" s="978"/>
      <c r="QUW103" s="978"/>
      <c r="QUX103" s="978"/>
      <c r="QUY103" s="978"/>
      <c r="QUZ103" s="978"/>
      <c r="QVA103" s="978"/>
      <c r="QVB103" s="978"/>
      <c r="QVC103" s="978"/>
      <c r="QVD103" s="978"/>
      <c r="QVE103" s="978"/>
      <c r="QVF103" s="978"/>
      <c r="QVG103" s="978"/>
      <c r="QVH103" s="978"/>
      <c r="QVI103" s="978"/>
      <c r="QVJ103" s="978"/>
      <c r="QVK103" s="978"/>
      <c r="QVL103" s="978"/>
      <c r="QVM103" s="978"/>
      <c r="QVN103" s="978"/>
      <c r="QVO103" s="978"/>
      <c r="QVP103" s="978"/>
      <c r="QVQ103" s="978"/>
      <c r="QVR103" s="978"/>
      <c r="QVS103" s="978"/>
      <c r="QVT103" s="978"/>
      <c r="QVU103" s="978"/>
      <c r="QVV103" s="978"/>
      <c r="QVW103" s="978"/>
      <c r="QVX103" s="978"/>
      <c r="QVY103" s="978"/>
      <c r="QVZ103" s="978"/>
      <c r="QWA103" s="978"/>
      <c r="QWB103" s="978"/>
      <c r="QWC103" s="978"/>
      <c r="QWD103" s="978"/>
      <c r="QWE103" s="978"/>
      <c r="QWF103" s="978"/>
      <c r="QWG103" s="978"/>
      <c r="QWH103" s="978"/>
      <c r="QWI103" s="978"/>
      <c r="QWJ103" s="978"/>
      <c r="QWK103" s="978"/>
      <c r="QWL103" s="978"/>
      <c r="QWM103" s="978"/>
      <c r="QWN103" s="978"/>
      <c r="QWO103" s="978"/>
      <c r="QWP103" s="978"/>
      <c r="QWQ103" s="978"/>
      <c r="QWR103" s="978"/>
      <c r="QWS103" s="978"/>
      <c r="QWT103" s="978"/>
      <c r="QWU103" s="978"/>
      <c r="QWV103" s="978"/>
      <c r="QWW103" s="978"/>
      <c r="QWX103" s="978"/>
      <c r="QWY103" s="978"/>
      <c r="QWZ103" s="978"/>
      <c r="QXA103" s="978"/>
      <c r="QXB103" s="978"/>
      <c r="QXC103" s="978"/>
      <c r="QXD103" s="978"/>
      <c r="QXE103" s="978"/>
      <c r="QXF103" s="978"/>
      <c r="QXG103" s="978"/>
      <c r="QXH103" s="978"/>
      <c r="QXI103" s="978"/>
      <c r="QXJ103" s="978"/>
      <c r="QXK103" s="978"/>
      <c r="QXL103" s="978"/>
      <c r="QXM103" s="978"/>
      <c r="QXN103" s="978"/>
      <c r="QXO103" s="978"/>
      <c r="QXP103" s="978"/>
      <c r="QXQ103" s="978"/>
      <c r="QXR103" s="978"/>
      <c r="QXS103" s="978"/>
      <c r="QXT103" s="978"/>
      <c r="QXU103" s="978"/>
      <c r="QXV103" s="978"/>
      <c r="QXW103" s="978"/>
      <c r="QXX103" s="978"/>
      <c r="QXY103" s="978"/>
      <c r="QXZ103" s="978"/>
      <c r="QYA103" s="978"/>
      <c r="QYB103" s="978"/>
      <c r="QYC103" s="978"/>
      <c r="QYD103" s="978"/>
      <c r="QYE103" s="978"/>
      <c r="QYF103" s="978"/>
      <c r="QYG103" s="978"/>
      <c r="QYH103" s="978"/>
      <c r="QYI103" s="978"/>
      <c r="QYJ103" s="978"/>
      <c r="QYK103" s="978"/>
      <c r="QYL103" s="978"/>
      <c r="QYM103" s="978"/>
      <c r="QYN103" s="978"/>
      <c r="QYO103" s="978"/>
      <c r="QYP103" s="978"/>
      <c r="QYQ103" s="978"/>
      <c r="QYR103" s="978"/>
      <c r="QYS103" s="978"/>
      <c r="QYT103" s="978"/>
      <c r="QYU103" s="978"/>
      <c r="QYV103" s="978"/>
      <c r="QYW103" s="978"/>
      <c r="QYX103" s="978"/>
      <c r="QYY103" s="978"/>
      <c r="QYZ103" s="978"/>
      <c r="QZA103" s="978"/>
      <c r="QZB103" s="978"/>
      <c r="QZC103" s="978"/>
      <c r="QZD103" s="978"/>
      <c r="QZE103" s="978"/>
      <c r="QZF103" s="978"/>
      <c r="QZG103" s="978"/>
      <c r="QZH103" s="978"/>
      <c r="QZI103" s="978"/>
      <c r="QZJ103" s="978"/>
      <c r="QZK103" s="978"/>
      <c r="QZL103" s="978"/>
      <c r="QZM103" s="978"/>
      <c r="QZN103" s="978"/>
      <c r="QZO103" s="978"/>
      <c r="QZP103" s="978"/>
      <c r="QZQ103" s="978"/>
      <c r="QZR103" s="978"/>
      <c r="QZS103" s="978"/>
      <c r="QZT103" s="978"/>
      <c r="QZU103" s="978"/>
      <c r="QZV103" s="978"/>
      <c r="QZW103" s="978"/>
      <c r="QZX103" s="978"/>
      <c r="QZY103" s="978"/>
      <c r="QZZ103" s="978"/>
      <c r="RAA103" s="978"/>
      <c r="RAB103" s="978"/>
      <c r="RAC103" s="978"/>
      <c r="RAD103" s="978"/>
      <c r="RAE103" s="978"/>
      <c r="RAF103" s="978"/>
      <c r="RAG103" s="978"/>
      <c r="RAH103" s="978"/>
      <c r="RAI103" s="978"/>
      <c r="RAJ103" s="978"/>
      <c r="RAK103" s="978"/>
      <c r="RAL103" s="978"/>
      <c r="RAM103" s="978"/>
      <c r="RAN103" s="978"/>
      <c r="RAO103" s="978"/>
      <c r="RAP103" s="978"/>
      <c r="RAQ103" s="978"/>
      <c r="RAR103" s="978"/>
      <c r="RAS103" s="978"/>
      <c r="RAT103" s="978"/>
      <c r="RAU103" s="978"/>
      <c r="RAV103" s="978"/>
      <c r="RAW103" s="978"/>
      <c r="RAX103" s="978"/>
      <c r="RAY103" s="978"/>
      <c r="RAZ103" s="978"/>
      <c r="RBA103" s="978"/>
      <c r="RBB103" s="978"/>
      <c r="RBC103" s="978"/>
      <c r="RBD103" s="978"/>
      <c r="RBE103" s="978"/>
      <c r="RBF103" s="978"/>
      <c r="RBG103" s="978"/>
      <c r="RBH103" s="978"/>
      <c r="RBI103" s="978"/>
      <c r="RBJ103" s="978"/>
      <c r="RBK103" s="978"/>
      <c r="RBL103" s="978"/>
      <c r="RBM103" s="978"/>
      <c r="RBN103" s="978"/>
      <c r="RBO103" s="978"/>
      <c r="RBP103" s="978"/>
      <c r="RBQ103" s="978"/>
      <c r="RBR103" s="978"/>
      <c r="RBS103" s="978"/>
      <c r="RBT103" s="978"/>
      <c r="RBU103" s="978"/>
      <c r="RBV103" s="978"/>
      <c r="RBW103" s="978"/>
      <c r="RBX103" s="978"/>
      <c r="RBY103" s="978"/>
      <c r="RBZ103" s="978"/>
      <c r="RCA103" s="978"/>
      <c r="RCB103" s="978"/>
      <c r="RCC103" s="978"/>
      <c r="RCD103" s="978"/>
      <c r="RCE103" s="978"/>
      <c r="RCF103" s="978"/>
      <c r="RCG103" s="978"/>
      <c r="RCH103" s="978"/>
      <c r="RCI103" s="978"/>
      <c r="RCJ103" s="978"/>
      <c r="RCK103" s="978"/>
      <c r="RCL103" s="978"/>
      <c r="RCM103" s="978"/>
      <c r="RCN103" s="978"/>
      <c r="RCO103" s="978"/>
      <c r="RCP103" s="978"/>
      <c r="RCQ103" s="978"/>
      <c r="RCR103" s="978"/>
      <c r="RCS103" s="978"/>
      <c r="RCT103" s="978"/>
      <c r="RCU103" s="978"/>
      <c r="RCV103" s="978"/>
      <c r="RCW103" s="978"/>
      <c r="RCX103" s="978"/>
      <c r="RCY103" s="978"/>
      <c r="RCZ103" s="978"/>
      <c r="RDA103" s="978"/>
      <c r="RDB103" s="978"/>
      <c r="RDC103" s="978"/>
      <c r="RDD103" s="978"/>
      <c r="RDE103" s="978"/>
      <c r="RDF103" s="978"/>
      <c r="RDG103" s="978"/>
      <c r="RDH103" s="978"/>
      <c r="RDI103" s="978"/>
      <c r="RDJ103" s="978"/>
      <c r="RDK103" s="978"/>
      <c r="RDL103" s="978"/>
      <c r="RDM103" s="978"/>
      <c r="RDN103" s="978"/>
      <c r="RDO103" s="978"/>
      <c r="RDP103" s="978"/>
      <c r="RDQ103" s="978"/>
      <c r="RDR103" s="978"/>
      <c r="RDS103" s="978"/>
      <c r="RDT103" s="978"/>
      <c r="RDU103" s="978"/>
      <c r="RDV103" s="978"/>
      <c r="RDW103" s="978"/>
      <c r="RDX103" s="978"/>
      <c r="RDY103" s="978"/>
      <c r="RDZ103" s="978"/>
      <c r="REA103" s="978"/>
      <c r="REB103" s="978"/>
      <c r="REC103" s="978"/>
      <c r="RED103" s="978"/>
      <c r="REE103" s="978"/>
      <c r="REF103" s="978"/>
      <c r="REG103" s="978"/>
      <c r="REH103" s="978"/>
      <c r="REI103" s="978"/>
      <c r="REJ103" s="978"/>
      <c r="REK103" s="978"/>
      <c r="REL103" s="978"/>
      <c r="REM103" s="978"/>
      <c r="REN103" s="978"/>
      <c r="REO103" s="978"/>
      <c r="REP103" s="978"/>
      <c r="REQ103" s="978"/>
      <c r="RER103" s="978"/>
      <c r="RES103" s="978"/>
      <c r="RET103" s="978"/>
      <c r="REU103" s="978"/>
      <c r="REV103" s="978"/>
      <c r="REW103" s="978"/>
      <c r="REX103" s="978"/>
      <c r="REY103" s="978"/>
      <c r="REZ103" s="978"/>
      <c r="RFA103" s="978"/>
      <c r="RFB103" s="978"/>
      <c r="RFC103" s="978"/>
      <c r="RFD103" s="978"/>
      <c r="RFE103" s="978"/>
      <c r="RFF103" s="978"/>
      <c r="RFG103" s="978"/>
      <c r="RFH103" s="978"/>
      <c r="RFI103" s="978"/>
      <c r="RFJ103" s="978"/>
      <c r="RFK103" s="978"/>
      <c r="RFL103" s="978"/>
      <c r="RFM103" s="978"/>
      <c r="RFN103" s="978"/>
      <c r="RFO103" s="978"/>
      <c r="RFP103" s="978"/>
      <c r="RFQ103" s="978"/>
      <c r="RFR103" s="978"/>
      <c r="RFS103" s="978"/>
      <c r="RFT103" s="978"/>
      <c r="RFU103" s="978"/>
      <c r="RFV103" s="978"/>
      <c r="RFW103" s="978"/>
      <c r="RFX103" s="978"/>
      <c r="RFY103" s="978"/>
      <c r="RFZ103" s="978"/>
      <c r="RGA103" s="978"/>
      <c r="RGB103" s="978"/>
      <c r="RGC103" s="978"/>
      <c r="RGD103" s="978"/>
      <c r="RGE103" s="978"/>
      <c r="RGF103" s="978"/>
      <c r="RGG103" s="978"/>
      <c r="RGH103" s="978"/>
      <c r="RGI103" s="978"/>
      <c r="RGJ103" s="978"/>
      <c r="RGK103" s="978"/>
      <c r="RGL103" s="978"/>
      <c r="RGM103" s="978"/>
      <c r="RGN103" s="978"/>
      <c r="RGO103" s="978"/>
      <c r="RGP103" s="978"/>
      <c r="RGQ103" s="978"/>
      <c r="RGR103" s="978"/>
      <c r="RGS103" s="978"/>
      <c r="RGT103" s="978"/>
      <c r="RGU103" s="978"/>
      <c r="RGV103" s="978"/>
      <c r="RGW103" s="978"/>
      <c r="RGX103" s="978"/>
      <c r="RGY103" s="978"/>
      <c r="RGZ103" s="978"/>
      <c r="RHA103" s="978"/>
      <c r="RHB103" s="978"/>
      <c r="RHC103" s="978"/>
      <c r="RHD103" s="978"/>
      <c r="RHE103" s="978"/>
      <c r="RHF103" s="978"/>
      <c r="RHG103" s="978"/>
      <c r="RHH103" s="978"/>
      <c r="RHI103" s="978"/>
      <c r="RHJ103" s="978"/>
      <c r="RHK103" s="978"/>
      <c r="RHL103" s="978"/>
      <c r="RHM103" s="978"/>
      <c r="RHN103" s="978"/>
      <c r="RHO103" s="978"/>
      <c r="RHP103" s="978"/>
      <c r="RHQ103" s="978"/>
      <c r="RHR103" s="978"/>
      <c r="RHS103" s="978"/>
      <c r="RHT103" s="978"/>
      <c r="RHU103" s="978"/>
      <c r="RHV103" s="978"/>
      <c r="RHW103" s="978"/>
      <c r="RHX103" s="978"/>
      <c r="RHY103" s="978"/>
      <c r="RHZ103" s="978"/>
      <c r="RIA103" s="978"/>
      <c r="RIB103" s="978"/>
      <c r="RIC103" s="978"/>
      <c r="RID103" s="978"/>
      <c r="RIE103" s="978"/>
      <c r="RIF103" s="978"/>
      <c r="RIG103" s="978"/>
      <c r="RIH103" s="978"/>
      <c r="RII103" s="978"/>
      <c r="RIJ103" s="978"/>
      <c r="RIK103" s="978"/>
      <c r="RIL103" s="978"/>
      <c r="RIM103" s="978"/>
      <c r="RIN103" s="978"/>
      <c r="RIO103" s="978"/>
      <c r="RIP103" s="978"/>
      <c r="RIQ103" s="978"/>
      <c r="RIR103" s="978"/>
      <c r="RIS103" s="978"/>
      <c r="RIT103" s="978"/>
      <c r="RIU103" s="978"/>
      <c r="RIV103" s="978"/>
      <c r="RIW103" s="978"/>
      <c r="RIX103" s="978"/>
      <c r="RIY103" s="978"/>
      <c r="RIZ103" s="978"/>
      <c r="RJA103" s="978"/>
      <c r="RJB103" s="978"/>
      <c r="RJC103" s="978"/>
      <c r="RJD103" s="978"/>
      <c r="RJE103" s="978"/>
      <c r="RJF103" s="978"/>
      <c r="RJG103" s="978"/>
      <c r="RJH103" s="978"/>
      <c r="RJI103" s="978"/>
      <c r="RJJ103" s="978"/>
      <c r="RJK103" s="978"/>
      <c r="RJL103" s="978"/>
      <c r="RJM103" s="978"/>
      <c r="RJN103" s="978"/>
      <c r="RJO103" s="978"/>
      <c r="RJP103" s="978"/>
      <c r="RJQ103" s="978"/>
      <c r="RJR103" s="978"/>
      <c r="RJS103" s="978"/>
      <c r="RJT103" s="978"/>
      <c r="RJU103" s="978"/>
      <c r="RJV103" s="978"/>
      <c r="RJW103" s="978"/>
      <c r="RJX103" s="978"/>
      <c r="RJY103" s="978"/>
      <c r="RJZ103" s="978"/>
      <c r="RKA103" s="978"/>
      <c r="RKB103" s="978"/>
      <c r="RKC103" s="978"/>
      <c r="RKD103" s="978"/>
      <c r="RKE103" s="978"/>
      <c r="RKF103" s="978"/>
      <c r="RKG103" s="978"/>
      <c r="RKH103" s="978"/>
      <c r="RKI103" s="978"/>
      <c r="RKJ103" s="978"/>
      <c r="RKK103" s="978"/>
      <c r="RKL103" s="978"/>
      <c r="RKM103" s="978"/>
      <c r="RKN103" s="978"/>
      <c r="RKO103" s="978"/>
      <c r="RKP103" s="978"/>
      <c r="RKQ103" s="978"/>
      <c r="RKR103" s="978"/>
      <c r="RKS103" s="978"/>
      <c r="RKT103" s="978"/>
      <c r="RKU103" s="978"/>
      <c r="RKV103" s="978"/>
      <c r="RKW103" s="978"/>
      <c r="RKX103" s="978"/>
      <c r="RKY103" s="978"/>
      <c r="RKZ103" s="978"/>
      <c r="RLA103" s="978"/>
      <c r="RLB103" s="978"/>
      <c r="RLC103" s="978"/>
      <c r="RLD103" s="978"/>
      <c r="RLE103" s="978"/>
      <c r="RLF103" s="978"/>
      <c r="RLG103" s="978"/>
      <c r="RLH103" s="978"/>
      <c r="RLI103" s="978"/>
      <c r="RLJ103" s="978"/>
      <c r="RLK103" s="978"/>
      <c r="RLL103" s="978"/>
      <c r="RLM103" s="978"/>
      <c r="RLN103" s="978"/>
      <c r="RLO103" s="978"/>
      <c r="RLP103" s="978"/>
      <c r="RLQ103" s="978"/>
      <c r="RLR103" s="978"/>
      <c r="RLS103" s="978"/>
      <c r="RLT103" s="978"/>
      <c r="RLU103" s="978"/>
      <c r="RLV103" s="978"/>
      <c r="RLW103" s="978"/>
      <c r="RLX103" s="978"/>
      <c r="RLY103" s="978"/>
      <c r="RLZ103" s="978"/>
      <c r="RMA103" s="978"/>
      <c r="RMB103" s="978"/>
      <c r="RMC103" s="978"/>
      <c r="RMD103" s="978"/>
      <c r="RME103" s="978"/>
      <c r="RMF103" s="978"/>
      <c r="RMG103" s="978"/>
      <c r="RMH103" s="978"/>
      <c r="RMI103" s="978"/>
      <c r="RMJ103" s="978"/>
      <c r="RMK103" s="978"/>
      <c r="RML103" s="978"/>
      <c r="RMM103" s="978"/>
      <c r="RMN103" s="978"/>
      <c r="RMO103" s="978"/>
      <c r="RMP103" s="978"/>
      <c r="RMQ103" s="978"/>
      <c r="RMR103" s="978"/>
      <c r="RMS103" s="978"/>
      <c r="RMT103" s="978"/>
      <c r="RMU103" s="978"/>
      <c r="RMV103" s="978"/>
      <c r="RMW103" s="978"/>
      <c r="RMX103" s="978"/>
      <c r="RMY103" s="978"/>
      <c r="RMZ103" s="978"/>
      <c r="RNA103" s="978"/>
      <c r="RNB103" s="978"/>
      <c r="RNC103" s="978"/>
      <c r="RND103" s="978"/>
      <c r="RNE103" s="978"/>
      <c r="RNF103" s="978"/>
      <c r="RNG103" s="978"/>
      <c r="RNH103" s="978"/>
      <c r="RNI103" s="978"/>
      <c r="RNJ103" s="978"/>
      <c r="RNK103" s="978"/>
      <c r="RNL103" s="978"/>
      <c r="RNM103" s="978"/>
      <c r="RNN103" s="978"/>
      <c r="RNO103" s="978"/>
      <c r="RNP103" s="978"/>
      <c r="RNQ103" s="978"/>
      <c r="RNR103" s="978"/>
      <c r="RNS103" s="978"/>
      <c r="RNT103" s="978"/>
      <c r="RNU103" s="978"/>
      <c r="RNV103" s="978"/>
      <c r="RNW103" s="978"/>
      <c r="RNX103" s="978"/>
      <c r="RNY103" s="978"/>
      <c r="RNZ103" s="978"/>
      <c r="ROA103" s="978"/>
      <c r="ROB103" s="978"/>
      <c r="ROC103" s="978"/>
      <c r="ROD103" s="978"/>
      <c r="ROE103" s="978"/>
      <c r="ROF103" s="978"/>
      <c r="ROG103" s="978"/>
      <c r="ROH103" s="978"/>
      <c r="ROI103" s="978"/>
      <c r="ROJ103" s="978"/>
      <c r="ROK103" s="978"/>
      <c r="ROL103" s="978"/>
      <c r="ROM103" s="978"/>
      <c r="RON103" s="978"/>
      <c r="ROO103" s="978"/>
      <c r="ROP103" s="978"/>
      <c r="ROQ103" s="978"/>
      <c r="ROR103" s="978"/>
      <c r="ROS103" s="978"/>
      <c r="ROT103" s="978"/>
      <c r="ROU103" s="978"/>
      <c r="ROV103" s="978"/>
      <c r="ROW103" s="978"/>
      <c r="ROX103" s="978"/>
      <c r="ROY103" s="978"/>
      <c r="ROZ103" s="978"/>
      <c r="RPA103" s="978"/>
      <c r="RPB103" s="978"/>
      <c r="RPC103" s="978"/>
      <c r="RPD103" s="978"/>
      <c r="RPE103" s="978"/>
      <c r="RPF103" s="978"/>
      <c r="RPG103" s="978"/>
      <c r="RPH103" s="978"/>
      <c r="RPI103" s="978"/>
      <c r="RPJ103" s="978"/>
      <c r="RPK103" s="978"/>
      <c r="RPL103" s="978"/>
      <c r="RPM103" s="978"/>
      <c r="RPN103" s="978"/>
      <c r="RPO103" s="978"/>
      <c r="RPP103" s="978"/>
      <c r="RPQ103" s="978"/>
      <c r="RPR103" s="978"/>
      <c r="RPS103" s="978"/>
      <c r="RPT103" s="978"/>
      <c r="RPU103" s="978"/>
      <c r="RPV103" s="978"/>
      <c r="RPW103" s="978"/>
      <c r="RPX103" s="978"/>
      <c r="RPY103" s="978"/>
      <c r="RPZ103" s="978"/>
      <c r="RQA103" s="978"/>
      <c r="RQB103" s="978"/>
      <c r="RQC103" s="978"/>
      <c r="RQD103" s="978"/>
      <c r="RQE103" s="978"/>
      <c r="RQF103" s="978"/>
      <c r="RQG103" s="978"/>
      <c r="RQH103" s="978"/>
      <c r="RQI103" s="978"/>
      <c r="RQJ103" s="978"/>
      <c r="RQK103" s="978"/>
      <c r="RQL103" s="978"/>
      <c r="RQM103" s="978"/>
      <c r="RQN103" s="978"/>
      <c r="RQO103" s="978"/>
      <c r="RQP103" s="978"/>
      <c r="RQQ103" s="978"/>
      <c r="RQR103" s="978"/>
      <c r="RQS103" s="978"/>
      <c r="RQT103" s="978"/>
      <c r="RQU103" s="978"/>
      <c r="RQV103" s="978"/>
      <c r="RQW103" s="978"/>
      <c r="RQX103" s="978"/>
      <c r="RQY103" s="978"/>
      <c r="RQZ103" s="978"/>
      <c r="RRA103" s="978"/>
      <c r="RRB103" s="978"/>
      <c r="RRC103" s="978"/>
      <c r="RRD103" s="978"/>
      <c r="RRE103" s="978"/>
      <c r="RRF103" s="978"/>
      <c r="RRG103" s="978"/>
      <c r="RRH103" s="978"/>
      <c r="RRI103" s="978"/>
      <c r="RRJ103" s="978"/>
      <c r="RRK103" s="978"/>
      <c r="RRL103" s="978"/>
      <c r="RRM103" s="978"/>
      <c r="RRN103" s="978"/>
      <c r="RRO103" s="978"/>
      <c r="RRP103" s="978"/>
      <c r="RRQ103" s="978"/>
      <c r="RRR103" s="978"/>
      <c r="RRS103" s="978"/>
      <c r="RRT103" s="978"/>
      <c r="RRU103" s="978"/>
      <c r="RRV103" s="978"/>
      <c r="RRW103" s="978"/>
      <c r="RRX103" s="978"/>
      <c r="RRY103" s="978"/>
      <c r="RRZ103" s="978"/>
      <c r="RSA103" s="978"/>
      <c r="RSB103" s="978"/>
      <c r="RSC103" s="978"/>
      <c r="RSD103" s="978"/>
      <c r="RSE103" s="978"/>
      <c r="RSF103" s="978"/>
      <c r="RSG103" s="978"/>
      <c r="RSH103" s="978"/>
      <c r="RSI103" s="978"/>
      <c r="RSJ103" s="978"/>
      <c r="RSK103" s="978"/>
      <c r="RSL103" s="978"/>
      <c r="RSM103" s="978"/>
      <c r="RSN103" s="978"/>
      <c r="RSO103" s="978"/>
      <c r="RSP103" s="978"/>
      <c r="RSQ103" s="978"/>
      <c r="RSR103" s="978"/>
      <c r="RSS103" s="978"/>
      <c r="RST103" s="978"/>
      <c r="RSU103" s="978"/>
      <c r="RSV103" s="978"/>
      <c r="RSW103" s="978"/>
      <c r="RSX103" s="978"/>
      <c r="RSY103" s="978"/>
      <c r="RSZ103" s="978"/>
      <c r="RTA103" s="978"/>
      <c r="RTB103" s="978"/>
      <c r="RTC103" s="978"/>
      <c r="RTD103" s="978"/>
      <c r="RTE103" s="978"/>
      <c r="RTF103" s="978"/>
      <c r="RTG103" s="978"/>
      <c r="RTH103" s="978"/>
      <c r="RTI103" s="978"/>
      <c r="RTJ103" s="978"/>
      <c r="RTK103" s="978"/>
      <c r="RTL103" s="978"/>
      <c r="RTM103" s="978"/>
      <c r="RTN103" s="978"/>
      <c r="RTO103" s="978"/>
      <c r="RTP103" s="978"/>
      <c r="RTQ103" s="978"/>
      <c r="RTR103" s="978"/>
      <c r="RTS103" s="978"/>
      <c r="RTT103" s="978"/>
      <c r="RTU103" s="978"/>
      <c r="RTV103" s="978"/>
      <c r="RTW103" s="978"/>
      <c r="RTX103" s="978"/>
      <c r="RTY103" s="978"/>
      <c r="RTZ103" s="978"/>
      <c r="RUA103" s="978"/>
      <c r="RUB103" s="978"/>
      <c r="RUC103" s="978"/>
      <c r="RUD103" s="978"/>
      <c r="RUE103" s="978"/>
      <c r="RUF103" s="978"/>
      <c r="RUG103" s="978"/>
      <c r="RUH103" s="978"/>
      <c r="RUI103" s="978"/>
      <c r="RUJ103" s="978"/>
      <c r="RUK103" s="978"/>
      <c r="RUL103" s="978"/>
      <c r="RUM103" s="978"/>
      <c r="RUN103" s="978"/>
      <c r="RUO103" s="978"/>
      <c r="RUP103" s="978"/>
      <c r="RUQ103" s="978"/>
      <c r="RUR103" s="978"/>
      <c r="RUS103" s="978"/>
      <c r="RUT103" s="978"/>
      <c r="RUU103" s="978"/>
      <c r="RUV103" s="978"/>
      <c r="RUW103" s="978"/>
      <c r="RUX103" s="978"/>
      <c r="RUY103" s="978"/>
      <c r="RUZ103" s="978"/>
      <c r="RVA103" s="978"/>
      <c r="RVB103" s="978"/>
      <c r="RVC103" s="978"/>
      <c r="RVD103" s="978"/>
      <c r="RVE103" s="978"/>
      <c r="RVF103" s="978"/>
      <c r="RVG103" s="978"/>
      <c r="RVH103" s="978"/>
      <c r="RVI103" s="978"/>
      <c r="RVJ103" s="978"/>
      <c r="RVK103" s="978"/>
      <c r="RVL103" s="978"/>
      <c r="RVM103" s="978"/>
      <c r="RVN103" s="978"/>
      <c r="RVO103" s="978"/>
      <c r="RVP103" s="978"/>
      <c r="RVQ103" s="978"/>
      <c r="RVR103" s="978"/>
      <c r="RVS103" s="978"/>
      <c r="RVT103" s="978"/>
      <c r="RVU103" s="978"/>
      <c r="RVV103" s="978"/>
      <c r="RVW103" s="978"/>
      <c r="RVX103" s="978"/>
      <c r="RVY103" s="978"/>
      <c r="RVZ103" s="978"/>
      <c r="RWA103" s="978"/>
      <c r="RWB103" s="978"/>
      <c r="RWC103" s="978"/>
      <c r="RWD103" s="978"/>
      <c r="RWE103" s="978"/>
      <c r="RWF103" s="978"/>
      <c r="RWG103" s="978"/>
      <c r="RWH103" s="978"/>
      <c r="RWI103" s="978"/>
      <c r="RWJ103" s="978"/>
      <c r="RWK103" s="978"/>
      <c r="RWL103" s="978"/>
      <c r="RWM103" s="978"/>
      <c r="RWN103" s="978"/>
      <c r="RWO103" s="978"/>
      <c r="RWP103" s="978"/>
      <c r="RWQ103" s="978"/>
      <c r="RWR103" s="978"/>
      <c r="RWS103" s="978"/>
      <c r="RWT103" s="978"/>
      <c r="RWU103" s="978"/>
      <c r="RWV103" s="978"/>
      <c r="RWW103" s="978"/>
      <c r="RWX103" s="978"/>
      <c r="RWY103" s="978"/>
      <c r="RWZ103" s="978"/>
      <c r="RXA103" s="978"/>
      <c r="RXB103" s="978"/>
      <c r="RXC103" s="978"/>
      <c r="RXD103" s="978"/>
      <c r="RXE103" s="978"/>
      <c r="RXF103" s="978"/>
      <c r="RXG103" s="978"/>
      <c r="RXH103" s="978"/>
      <c r="RXI103" s="978"/>
      <c r="RXJ103" s="978"/>
      <c r="RXK103" s="978"/>
      <c r="RXL103" s="978"/>
      <c r="RXM103" s="978"/>
      <c r="RXN103" s="978"/>
      <c r="RXO103" s="978"/>
      <c r="RXP103" s="978"/>
      <c r="RXQ103" s="978"/>
      <c r="RXR103" s="978"/>
      <c r="RXS103" s="978"/>
      <c r="RXT103" s="978"/>
      <c r="RXU103" s="978"/>
      <c r="RXV103" s="978"/>
      <c r="RXW103" s="978"/>
      <c r="RXX103" s="978"/>
      <c r="RXY103" s="978"/>
      <c r="RXZ103" s="978"/>
      <c r="RYA103" s="978"/>
      <c r="RYB103" s="978"/>
      <c r="RYC103" s="978"/>
      <c r="RYD103" s="978"/>
      <c r="RYE103" s="978"/>
      <c r="RYF103" s="978"/>
      <c r="RYG103" s="978"/>
      <c r="RYH103" s="978"/>
      <c r="RYI103" s="978"/>
      <c r="RYJ103" s="978"/>
      <c r="RYK103" s="978"/>
      <c r="RYL103" s="978"/>
      <c r="RYM103" s="978"/>
      <c r="RYN103" s="978"/>
      <c r="RYO103" s="978"/>
      <c r="RYP103" s="978"/>
      <c r="RYQ103" s="978"/>
      <c r="RYR103" s="978"/>
      <c r="RYS103" s="978"/>
      <c r="RYT103" s="978"/>
      <c r="RYU103" s="978"/>
      <c r="RYV103" s="978"/>
      <c r="RYW103" s="978"/>
      <c r="RYX103" s="978"/>
      <c r="RYY103" s="978"/>
      <c r="RYZ103" s="978"/>
      <c r="RZA103" s="978"/>
      <c r="RZB103" s="978"/>
      <c r="RZC103" s="978"/>
      <c r="RZD103" s="978"/>
      <c r="RZE103" s="978"/>
      <c r="RZF103" s="978"/>
      <c r="RZG103" s="978"/>
      <c r="RZH103" s="978"/>
      <c r="RZI103" s="978"/>
      <c r="RZJ103" s="978"/>
      <c r="RZK103" s="978"/>
      <c r="RZL103" s="978"/>
      <c r="RZM103" s="978"/>
      <c r="RZN103" s="978"/>
      <c r="RZO103" s="978"/>
      <c r="RZP103" s="978"/>
      <c r="RZQ103" s="978"/>
      <c r="RZR103" s="978"/>
      <c r="RZS103" s="978"/>
      <c r="RZT103" s="978"/>
      <c r="RZU103" s="978"/>
      <c r="RZV103" s="978"/>
      <c r="RZW103" s="978"/>
      <c r="RZX103" s="978"/>
      <c r="RZY103" s="978"/>
      <c r="RZZ103" s="978"/>
      <c r="SAA103" s="978"/>
      <c r="SAB103" s="978"/>
      <c r="SAC103" s="978"/>
      <c r="SAD103" s="978"/>
      <c r="SAE103" s="978"/>
      <c r="SAF103" s="978"/>
      <c r="SAG103" s="978"/>
      <c r="SAH103" s="978"/>
      <c r="SAI103" s="978"/>
      <c r="SAJ103" s="978"/>
      <c r="SAK103" s="978"/>
      <c r="SAL103" s="978"/>
      <c r="SAM103" s="978"/>
      <c r="SAN103" s="978"/>
      <c r="SAO103" s="978"/>
      <c r="SAP103" s="978"/>
      <c r="SAQ103" s="978"/>
      <c r="SAR103" s="978"/>
      <c r="SAS103" s="978"/>
      <c r="SAT103" s="978"/>
      <c r="SAU103" s="978"/>
      <c r="SAV103" s="978"/>
      <c r="SAW103" s="978"/>
      <c r="SAX103" s="978"/>
      <c r="SAY103" s="978"/>
      <c r="SAZ103" s="978"/>
      <c r="SBA103" s="978"/>
      <c r="SBB103" s="978"/>
      <c r="SBC103" s="978"/>
      <c r="SBD103" s="978"/>
      <c r="SBE103" s="978"/>
      <c r="SBF103" s="978"/>
      <c r="SBG103" s="978"/>
      <c r="SBH103" s="978"/>
      <c r="SBI103" s="978"/>
      <c r="SBJ103" s="978"/>
      <c r="SBK103" s="978"/>
      <c r="SBL103" s="978"/>
      <c r="SBM103" s="978"/>
      <c r="SBN103" s="978"/>
      <c r="SBO103" s="978"/>
      <c r="SBP103" s="978"/>
      <c r="SBQ103" s="978"/>
      <c r="SBR103" s="978"/>
      <c r="SBS103" s="978"/>
      <c r="SBT103" s="978"/>
      <c r="SBU103" s="978"/>
      <c r="SBV103" s="978"/>
      <c r="SBW103" s="978"/>
      <c r="SBX103" s="978"/>
      <c r="SBY103" s="978"/>
      <c r="SBZ103" s="978"/>
      <c r="SCA103" s="978"/>
      <c r="SCB103" s="978"/>
      <c r="SCC103" s="978"/>
      <c r="SCD103" s="978"/>
      <c r="SCE103" s="978"/>
      <c r="SCF103" s="978"/>
      <c r="SCG103" s="978"/>
      <c r="SCH103" s="978"/>
      <c r="SCI103" s="978"/>
      <c r="SCJ103" s="978"/>
      <c r="SCK103" s="978"/>
      <c r="SCL103" s="978"/>
      <c r="SCM103" s="978"/>
      <c r="SCN103" s="978"/>
      <c r="SCO103" s="978"/>
      <c r="SCP103" s="978"/>
      <c r="SCQ103" s="978"/>
      <c r="SCR103" s="978"/>
      <c r="SCS103" s="978"/>
      <c r="SCT103" s="978"/>
      <c r="SCU103" s="978"/>
      <c r="SCV103" s="978"/>
      <c r="SCW103" s="978"/>
      <c r="SCX103" s="978"/>
      <c r="SCY103" s="978"/>
      <c r="SCZ103" s="978"/>
      <c r="SDA103" s="978"/>
      <c r="SDB103" s="978"/>
      <c r="SDC103" s="978"/>
      <c r="SDD103" s="978"/>
      <c r="SDE103" s="978"/>
      <c r="SDF103" s="978"/>
      <c r="SDG103" s="978"/>
      <c r="SDH103" s="978"/>
      <c r="SDI103" s="978"/>
      <c r="SDJ103" s="978"/>
      <c r="SDK103" s="978"/>
      <c r="SDL103" s="978"/>
      <c r="SDM103" s="978"/>
      <c r="SDN103" s="978"/>
      <c r="SDO103" s="978"/>
      <c r="SDP103" s="978"/>
      <c r="SDQ103" s="978"/>
      <c r="SDR103" s="978"/>
      <c r="SDS103" s="978"/>
      <c r="SDT103" s="978"/>
      <c r="SDU103" s="978"/>
      <c r="SDV103" s="978"/>
      <c r="SDW103" s="978"/>
      <c r="SDX103" s="978"/>
      <c r="SDY103" s="978"/>
      <c r="SDZ103" s="978"/>
      <c r="SEA103" s="978"/>
      <c r="SEB103" s="978"/>
      <c r="SEC103" s="978"/>
      <c r="SED103" s="978"/>
      <c r="SEE103" s="978"/>
      <c r="SEF103" s="978"/>
      <c r="SEG103" s="978"/>
      <c r="SEH103" s="978"/>
      <c r="SEI103" s="978"/>
      <c r="SEJ103" s="978"/>
      <c r="SEK103" s="978"/>
      <c r="SEL103" s="978"/>
      <c r="SEM103" s="978"/>
      <c r="SEN103" s="978"/>
      <c r="SEO103" s="978"/>
      <c r="SEP103" s="978"/>
      <c r="SEQ103" s="978"/>
      <c r="SER103" s="978"/>
      <c r="SES103" s="978"/>
      <c r="SET103" s="978"/>
      <c r="SEU103" s="978"/>
      <c r="SEV103" s="978"/>
      <c r="SEW103" s="978"/>
      <c r="SEX103" s="978"/>
      <c r="SEY103" s="978"/>
      <c r="SEZ103" s="978"/>
      <c r="SFA103" s="978"/>
      <c r="SFB103" s="978"/>
      <c r="SFC103" s="978"/>
      <c r="SFD103" s="978"/>
      <c r="SFE103" s="978"/>
      <c r="SFF103" s="978"/>
      <c r="SFG103" s="978"/>
      <c r="SFH103" s="978"/>
      <c r="SFI103" s="978"/>
      <c r="SFJ103" s="978"/>
      <c r="SFK103" s="978"/>
      <c r="SFL103" s="978"/>
      <c r="SFM103" s="978"/>
      <c r="SFN103" s="978"/>
      <c r="SFO103" s="978"/>
      <c r="SFP103" s="978"/>
      <c r="SFQ103" s="978"/>
      <c r="SFR103" s="978"/>
      <c r="SFS103" s="978"/>
      <c r="SFT103" s="978"/>
      <c r="SFU103" s="978"/>
      <c r="SFV103" s="978"/>
      <c r="SFW103" s="978"/>
      <c r="SFX103" s="978"/>
      <c r="SFY103" s="978"/>
      <c r="SFZ103" s="978"/>
      <c r="SGA103" s="978"/>
      <c r="SGB103" s="978"/>
      <c r="SGC103" s="978"/>
      <c r="SGD103" s="978"/>
      <c r="SGE103" s="978"/>
      <c r="SGF103" s="978"/>
      <c r="SGG103" s="978"/>
      <c r="SGH103" s="978"/>
      <c r="SGI103" s="978"/>
      <c r="SGJ103" s="978"/>
      <c r="SGK103" s="978"/>
      <c r="SGL103" s="978"/>
      <c r="SGM103" s="978"/>
      <c r="SGN103" s="978"/>
      <c r="SGO103" s="978"/>
      <c r="SGP103" s="978"/>
      <c r="SGQ103" s="978"/>
      <c r="SGR103" s="978"/>
      <c r="SGS103" s="978"/>
      <c r="SGT103" s="978"/>
      <c r="SGU103" s="978"/>
      <c r="SGV103" s="978"/>
      <c r="SGW103" s="978"/>
      <c r="SGX103" s="978"/>
      <c r="SGY103" s="978"/>
      <c r="SGZ103" s="978"/>
      <c r="SHA103" s="978"/>
      <c r="SHB103" s="978"/>
      <c r="SHC103" s="978"/>
      <c r="SHD103" s="978"/>
      <c r="SHE103" s="978"/>
      <c r="SHF103" s="978"/>
      <c r="SHG103" s="978"/>
      <c r="SHH103" s="978"/>
      <c r="SHI103" s="978"/>
      <c r="SHJ103" s="978"/>
      <c r="SHK103" s="978"/>
      <c r="SHL103" s="978"/>
      <c r="SHM103" s="978"/>
      <c r="SHN103" s="978"/>
      <c r="SHO103" s="978"/>
      <c r="SHP103" s="978"/>
      <c r="SHQ103" s="978"/>
      <c r="SHR103" s="978"/>
      <c r="SHS103" s="978"/>
      <c r="SHT103" s="978"/>
      <c r="SHU103" s="978"/>
      <c r="SHV103" s="978"/>
      <c r="SHW103" s="978"/>
      <c r="SHX103" s="978"/>
      <c r="SHY103" s="978"/>
      <c r="SHZ103" s="978"/>
      <c r="SIA103" s="978"/>
      <c r="SIB103" s="978"/>
      <c r="SIC103" s="978"/>
      <c r="SID103" s="978"/>
      <c r="SIE103" s="978"/>
      <c r="SIF103" s="978"/>
      <c r="SIG103" s="978"/>
      <c r="SIH103" s="978"/>
      <c r="SII103" s="978"/>
      <c r="SIJ103" s="978"/>
      <c r="SIK103" s="978"/>
      <c r="SIL103" s="978"/>
      <c r="SIM103" s="978"/>
      <c r="SIN103" s="978"/>
      <c r="SIO103" s="978"/>
      <c r="SIP103" s="978"/>
      <c r="SIQ103" s="978"/>
      <c r="SIR103" s="978"/>
      <c r="SIS103" s="978"/>
      <c r="SIT103" s="978"/>
      <c r="SIU103" s="978"/>
      <c r="SIV103" s="978"/>
      <c r="SIW103" s="978"/>
      <c r="SIX103" s="978"/>
      <c r="SIY103" s="978"/>
      <c r="SIZ103" s="978"/>
      <c r="SJA103" s="978"/>
      <c r="SJB103" s="978"/>
      <c r="SJC103" s="978"/>
      <c r="SJD103" s="978"/>
      <c r="SJE103" s="978"/>
      <c r="SJF103" s="978"/>
      <c r="SJG103" s="978"/>
      <c r="SJH103" s="978"/>
      <c r="SJI103" s="978"/>
      <c r="SJJ103" s="978"/>
      <c r="SJK103" s="978"/>
      <c r="SJL103" s="978"/>
      <c r="SJM103" s="978"/>
      <c r="SJN103" s="978"/>
      <c r="SJO103" s="978"/>
      <c r="SJP103" s="978"/>
      <c r="SJQ103" s="978"/>
      <c r="SJR103" s="978"/>
      <c r="SJS103" s="978"/>
      <c r="SJT103" s="978"/>
      <c r="SJU103" s="978"/>
      <c r="SJV103" s="978"/>
      <c r="SJW103" s="978"/>
      <c r="SJX103" s="978"/>
      <c r="SJY103" s="978"/>
      <c r="SJZ103" s="978"/>
      <c r="SKA103" s="978"/>
      <c r="SKB103" s="978"/>
      <c r="SKC103" s="978"/>
      <c r="SKD103" s="978"/>
      <c r="SKE103" s="978"/>
      <c r="SKF103" s="978"/>
      <c r="SKG103" s="978"/>
      <c r="SKH103" s="978"/>
      <c r="SKI103" s="978"/>
      <c r="SKJ103" s="978"/>
      <c r="SKK103" s="978"/>
      <c r="SKL103" s="978"/>
      <c r="SKM103" s="978"/>
      <c r="SKN103" s="978"/>
      <c r="SKO103" s="978"/>
      <c r="SKP103" s="978"/>
      <c r="SKQ103" s="978"/>
      <c r="SKR103" s="978"/>
      <c r="SKS103" s="978"/>
      <c r="SKT103" s="978"/>
      <c r="SKU103" s="978"/>
      <c r="SKV103" s="978"/>
      <c r="SKW103" s="978"/>
      <c r="SKX103" s="978"/>
      <c r="SKY103" s="978"/>
      <c r="SKZ103" s="978"/>
      <c r="SLA103" s="978"/>
      <c r="SLB103" s="978"/>
      <c r="SLC103" s="978"/>
      <c r="SLD103" s="978"/>
      <c r="SLE103" s="978"/>
      <c r="SLF103" s="978"/>
      <c r="SLG103" s="978"/>
      <c r="SLH103" s="978"/>
      <c r="SLI103" s="978"/>
      <c r="SLJ103" s="978"/>
      <c r="SLK103" s="978"/>
      <c r="SLL103" s="978"/>
      <c r="SLM103" s="978"/>
      <c r="SLN103" s="978"/>
      <c r="SLO103" s="978"/>
      <c r="SLP103" s="978"/>
      <c r="SLQ103" s="978"/>
      <c r="SLR103" s="978"/>
      <c r="SLS103" s="978"/>
      <c r="SLT103" s="978"/>
      <c r="SLU103" s="978"/>
      <c r="SLV103" s="978"/>
      <c r="SLW103" s="978"/>
      <c r="SLX103" s="978"/>
      <c r="SLY103" s="978"/>
      <c r="SLZ103" s="978"/>
      <c r="SMA103" s="978"/>
      <c r="SMB103" s="978"/>
      <c r="SMC103" s="978"/>
      <c r="SMD103" s="978"/>
      <c r="SME103" s="978"/>
      <c r="SMF103" s="978"/>
      <c r="SMG103" s="978"/>
      <c r="SMH103" s="978"/>
      <c r="SMI103" s="978"/>
      <c r="SMJ103" s="978"/>
      <c r="SMK103" s="978"/>
      <c r="SML103" s="978"/>
      <c r="SMM103" s="978"/>
      <c r="SMN103" s="978"/>
      <c r="SMO103" s="978"/>
      <c r="SMP103" s="978"/>
      <c r="SMQ103" s="978"/>
      <c r="SMR103" s="978"/>
      <c r="SMS103" s="978"/>
      <c r="SMT103" s="978"/>
      <c r="SMU103" s="978"/>
      <c r="SMV103" s="978"/>
      <c r="SMW103" s="978"/>
      <c r="SMX103" s="978"/>
      <c r="SMY103" s="978"/>
      <c r="SMZ103" s="978"/>
      <c r="SNA103" s="978"/>
      <c r="SNB103" s="978"/>
      <c r="SNC103" s="978"/>
      <c r="SND103" s="978"/>
      <c r="SNE103" s="978"/>
      <c r="SNF103" s="978"/>
      <c r="SNG103" s="978"/>
      <c r="SNH103" s="978"/>
      <c r="SNI103" s="978"/>
      <c r="SNJ103" s="978"/>
      <c r="SNK103" s="978"/>
      <c r="SNL103" s="978"/>
      <c r="SNM103" s="978"/>
      <c r="SNN103" s="978"/>
      <c r="SNO103" s="978"/>
      <c r="SNP103" s="978"/>
      <c r="SNQ103" s="978"/>
      <c r="SNR103" s="978"/>
      <c r="SNS103" s="978"/>
      <c r="SNT103" s="978"/>
      <c r="SNU103" s="978"/>
      <c r="SNV103" s="978"/>
      <c r="SNW103" s="978"/>
      <c r="SNX103" s="978"/>
      <c r="SNY103" s="978"/>
      <c r="SNZ103" s="978"/>
      <c r="SOA103" s="978"/>
      <c r="SOB103" s="978"/>
      <c r="SOC103" s="978"/>
      <c r="SOD103" s="978"/>
      <c r="SOE103" s="978"/>
      <c r="SOF103" s="978"/>
      <c r="SOG103" s="978"/>
      <c r="SOH103" s="978"/>
      <c r="SOI103" s="978"/>
      <c r="SOJ103" s="978"/>
      <c r="SOK103" s="978"/>
      <c r="SOL103" s="978"/>
      <c r="SOM103" s="978"/>
      <c r="SON103" s="978"/>
      <c r="SOO103" s="978"/>
      <c r="SOP103" s="978"/>
      <c r="SOQ103" s="978"/>
      <c r="SOR103" s="978"/>
      <c r="SOS103" s="978"/>
      <c r="SOT103" s="978"/>
      <c r="SOU103" s="978"/>
      <c r="SOV103" s="978"/>
      <c r="SOW103" s="978"/>
      <c r="SOX103" s="978"/>
      <c r="SOY103" s="978"/>
      <c r="SOZ103" s="978"/>
      <c r="SPA103" s="978"/>
      <c r="SPB103" s="978"/>
      <c r="SPC103" s="978"/>
      <c r="SPD103" s="978"/>
      <c r="SPE103" s="978"/>
      <c r="SPF103" s="978"/>
      <c r="SPG103" s="978"/>
      <c r="SPH103" s="978"/>
      <c r="SPI103" s="978"/>
      <c r="SPJ103" s="978"/>
      <c r="SPK103" s="978"/>
      <c r="SPL103" s="978"/>
      <c r="SPM103" s="978"/>
      <c r="SPN103" s="978"/>
      <c r="SPO103" s="978"/>
      <c r="SPP103" s="978"/>
      <c r="SPQ103" s="978"/>
      <c r="SPR103" s="978"/>
      <c r="SPS103" s="978"/>
      <c r="SPT103" s="978"/>
      <c r="SPU103" s="978"/>
      <c r="SPV103" s="978"/>
      <c r="SPW103" s="978"/>
      <c r="SPX103" s="978"/>
      <c r="SPY103" s="978"/>
      <c r="SPZ103" s="978"/>
      <c r="SQA103" s="978"/>
      <c r="SQB103" s="978"/>
      <c r="SQC103" s="978"/>
      <c r="SQD103" s="978"/>
      <c r="SQE103" s="978"/>
      <c r="SQF103" s="978"/>
      <c r="SQG103" s="978"/>
      <c r="SQH103" s="978"/>
      <c r="SQI103" s="978"/>
      <c r="SQJ103" s="978"/>
      <c r="SQK103" s="978"/>
      <c r="SQL103" s="978"/>
      <c r="SQM103" s="978"/>
      <c r="SQN103" s="978"/>
      <c r="SQO103" s="978"/>
      <c r="SQP103" s="978"/>
      <c r="SQQ103" s="978"/>
      <c r="SQR103" s="978"/>
      <c r="SQS103" s="978"/>
      <c r="SQT103" s="978"/>
      <c r="SQU103" s="978"/>
      <c r="SQV103" s="978"/>
      <c r="SQW103" s="978"/>
      <c r="SQX103" s="978"/>
      <c r="SQY103" s="978"/>
      <c r="SQZ103" s="978"/>
      <c r="SRA103" s="978"/>
      <c r="SRB103" s="978"/>
      <c r="SRC103" s="978"/>
      <c r="SRD103" s="978"/>
      <c r="SRE103" s="978"/>
      <c r="SRF103" s="978"/>
      <c r="SRG103" s="978"/>
      <c r="SRH103" s="978"/>
      <c r="SRI103" s="978"/>
      <c r="SRJ103" s="978"/>
      <c r="SRK103" s="978"/>
      <c r="SRL103" s="978"/>
      <c r="SRM103" s="978"/>
      <c r="SRN103" s="978"/>
      <c r="SRO103" s="978"/>
      <c r="SRP103" s="978"/>
      <c r="SRQ103" s="978"/>
      <c r="SRR103" s="978"/>
      <c r="SRS103" s="978"/>
      <c r="SRT103" s="978"/>
      <c r="SRU103" s="978"/>
      <c r="SRV103" s="978"/>
      <c r="SRW103" s="978"/>
      <c r="SRX103" s="978"/>
      <c r="SRY103" s="978"/>
      <c r="SRZ103" s="978"/>
      <c r="SSA103" s="978"/>
      <c r="SSB103" s="978"/>
      <c r="SSC103" s="978"/>
      <c r="SSD103" s="978"/>
      <c r="SSE103" s="978"/>
      <c r="SSF103" s="978"/>
      <c r="SSG103" s="978"/>
      <c r="SSH103" s="978"/>
      <c r="SSI103" s="978"/>
      <c r="SSJ103" s="978"/>
      <c r="SSK103" s="978"/>
      <c r="SSL103" s="978"/>
      <c r="SSM103" s="978"/>
      <c r="SSN103" s="978"/>
      <c r="SSO103" s="978"/>
      <c r="SSP103" s="978"/>
      <c r="SSQ103" s="978"/>
      <c r="SSR103" s="978"/>
      <c r="SSS103" s="978"/>
      <c r="SST103" s="978"/>
      <c r="SSU103" s="978"/>
      <c r="SSV103" s="978"/>
      <c r="SSW103" s="978"/>
      <c r="SSX103" s="978"/>
      <c r="SSY103" s="978"/>
      <c r="SSZ103" s="978"/>
      <c r="STA103" s="978"/>
      <c r="STB103" s="978"/>
      <c r="STC103" s="978"/>
      <c r="STD103" s="978"/>
      <c r="STE103" s="978"/>
      <c r="STF103" s="978"/>
      <c r="STG103" s="978"/>
      <c r="STH103" s="978"/>
      <c r="STI103" s="978"/>
      <c r="STJ103" s="978"/>
      <c r="STK103" s="978"/>
      <c r="STL103" s="978"/>
      <c r="STM103" s="978"/>
      <c r="STN103" s="978"/>
      <c r="STO103" s="978"/>
      <c r="STP103" s="978"/>
      <c r="STQ103" s="978"/>
      <c r="STR103" s="978"/>
      <c r="STS103" s="978"/>
      <c r="STT103" s="978"/>
      <c r="STU103" s="978"/>
      <c r="STV103" s="978"/>
      <c r="STW103" s="978"/>
      <c r="STX103" s="978"/>
      <c r="STY103" s="978"/>
      <c r="STZ103" s="978"/>
      <c r="SUA103" s="978"/>
      <c r="SUB103" s="978"/>
      <c r="SUC103" s="978"/>
      <c r="SUD103" s="978"/>
      <c r="SUE103" s="978"/>
      <c r="SUF103" s="978"/>
      <c r="SUG103" s="978"/>
      <c r="SUH103" s="978"/>
      <c r="SUI103" s="978"/>
      <c r="SUJ103" s="978"/>
      <c r="SUK103" s="978"/>
      <c r="SUL103" s="978"/>
      <c r="SUM103" s="978"/>
      <c r="SUN103" s="978"/>
      <c r="SUO103" s="978"/>
      <c r="SUP103" s="978"/>
      <c r="SUQ103" s="978"/>
      <c r="SUR103" s="978"/>
      <c r="SUS103" s="978"/>
      <c r="SUT103" s="978"/>
      <c r="SUU103" s="978"/>
      <c r="SUV103" s="978"/>
      <c r="SUW103" s="978"/>
      <c r="SUX103" s="978"/>
      <c r="SUY103" s="978"/>
      <c r="SUZ103" s="978"/>
      <c r="SVA103" s="978"/>
      <c r="SVB103" s="978"/>
      <c r="SVC103" s="978"/>
      <c r="SVD103" s="978"/>
      <c r="SVE103" s="978"/>
      <c r="SVF103" s="978"/>
      <c r="SVG103" s="978"/>
      <c r="SVH103" s="978"/>
      <c r="SVI103" s="978"/>
      <c r="SVJ103" s="978"/>
      <c r="SVK103" s="978"/>
      <c r="SVL103" s="978"/>
      <c r="SVM103" s="978"/>
      <c r="SVN103" s="978"/>
      <c r="SVO103" s="978"/>
      <c r="SVP103" s="978"/>
      <c r="SVQ103" s="978"/>
      <c r="SVR103" s="978"/>
      <c r="SVS103" s="978"/>
      <c r="SVT103" s="978"/>
      <c r="SVU103" s="978"/>
      <c r="SVV103" s="978"/>
      <c r="SVW103" s="978"/>
      <c r="SVX103" s="978"/>
      <c r="SVY103" s="978"/>
      <c r="SVZ103" s="978"/>
      <c r="SWA103" s="978"/>
      <c r="SWB103" s="978"/>
      <c r="SWC103" s="978"/>
      <c r="SWD103" s="978"/>
      <c r="SWE103" s="978"/>
      <c r="SWF103" s="978"/>
      <c r="SWG103" s="978"/>
      <c r="SWH103" s="978"/>
      <c r="SWI103" s="978"/>
      <c r="SWJ103" s="978"/>
      <c r="SWK103" s="978"/>
      <c r="SWL103" s="978"/>
      <c r="SWM103" s="978"/>
      <c r="SWN103" s="978"/>
      <c r="SWO103" s="978"/>
      <c r="SWP103" s="978"/>
      <c r="SWQ103" s="978"/>
      <c r="SWR103" s="978"/>
      <c r="SWS103" s="978"/>
      <c r="SWT103" s="978"/>
      <c r="SWU103" s="978"/>
      <c r="SWV103" s="978"/>
      <c r="SWW103" s="978"/>
      <c r="SWX103" s="978"/>
      <c r="SWY103" s="978"/>
      <c r="SWZ103" s="978"/>
      <c r="SXA103" s="978"/>
      <c r="SXB103" s="978"/>
      <c r="SXC103" s="978"/>
      <c r="SXD103" s="978"/>
      <c r="SXE103" s="978"/>
      <c r="SXF103" s="978"/>
      <c r="SXG103" s="978"/>
      <c r="SXH103" s="978"/>
      <c r="SXI103" s="978"/>
      <c r="SXJ103" s="978"/>
      <c r="SXK103" s="978"/>
      <c r="SXL103" s="978"/>
      <c r="SXM103" s="978"/>
      <c r="SXN103" s="978"/>
      <c r="SXO103" s="978"/>
      <c r="SXP103" s="978"/>
      <c r="SXQ103" s="978"/>
      <c r="SXR103" s="978"/>
      <c r="SXS103" s="978"/>
      <c r="SXT103" s="978"/>
      <c r="SXU103" s="978"/>
      <c r="SXV103" s="978"/>
      <c r="SXW103" s="978"/>
      <c r="SXX103" s="978"/>
      <c r="SXY103" s="978"/>
      <c r="SXZ103" s="978"/>
      <c r="SYA103" s="978"/>
      <c r="SYB103" s="978"/>
      <c r="SYC103" s="978"/>
      <c r="SYD103" s="978"/>
      <c r="SYE103" s="978"/>
      <c r="SYF103" s="978"/>
      <c r="SYG103" s="978"/>
      <c r="SYH103" s="978"/>
      <c r="SYI103" s="978"/>
      <c r="SYJ103" s="978"/>
      <c r="SYK103" s="978"/>
      <c r="SYL103" s="978"/>
      <c r="SYM103" s="978"/>
      <c r="SYN103" s="978"/>
      <c r="SYO103" s="978"/>
      <c r="SYP103" s="978"/>
      <c r="SYQ103" s="978"/>
      <c r="SYR103" s="978"/>
      <c r="SYS103" s="978"/>
      <c r="SYT103" s="978"/>
      <c r="SYU103" s="978"/>
      <c r="SYV103" s="978"/>
      <c r="SYW103" s="978"/>
      <c r="SYX103" s="978"/>
      <c r="SYY103" s="978"/>
      <c r="SYZ103" s="978"/>
      <c r="SZA103" s="978"/>
      <c r="SZB103" s="978"/>
      <c r="SZC103" s="978"/>
      <c r="SZD103" s="978"/>
      <c r="SZE103" s="978"/>
      <c r="SZF103" s="978"/>
      <c r="SZG103" s="978"/>
      <c r="SZH103" s="978"/>
      <c r="SZI103" s="978"/>
      <c r="SZJ103" s="978"/>
      <c r="SZK103" s="978"/>
      <c r="SZL103" s="978"/>
      <c r="SZM103" s="978"/>
      <c r="SZN103" s="978"/>
      <c r="SZO103" s="978"/>
      <c r="SZP103" s="978"/>
      <c r="SZQ103" s="978"/>
      <c r="SZR103" s="978"/>
      <c r="SZS103" s="978"/>
      <c r="SZT103" s="978"/>
      <c r="SZU103" s="978"/>
      <c r="SZV103" s="978"/>
      <c r="SZW103" s="978"/>
      <c r="SZX103" s="978"/>
      <c r="SZY103" s="978"/>
      <c r="SZZ103" s="978"/>
      <c r="TAA103" s="978"/>
      <c r="TAB103" s="978"/>
      <c r="TAC103" s="978"/>
      <c r="TAD103" s="978"/>
      <c r="TAE103" s="978"/>
      <c r="TAF103" s="978"/>
      <c r="TAG103" s="978"/>
      <c r="TAH103" s="978"/>
      <c r="TAI103" s="978"/>
      <c r="TAJ103" s="978"/>
      <c r="TAK103" s="978"/>
      <c r="TAL103" s="978"/>
      <c r="TAM103" s="978"/>
      <c r="TAN103" s="978"/>
      <c r="TAO103" s="978"/>
      <c r="TAP103" s="978"/>
      <c r="TAQ103" s="978"/>
      <c r="TAR103" s="978"/>
      <c r="TAS103" s="978"/>
      <c r="TAT103" s="978"/>
      <c r="TAU103" s="978"/>
      <c r="TAV103" s="978"/>
      <c r="TAW103" s="978"/>
      <c r="TAX103" s="978"/>
      <c r="TAY103" s="978"/>
      <c r="TAZ103" s="978"/>
      <c r="TBA103" s="978"/>
      <c r="TBB103" s="978"/>
      <c r="TBC103" s="978"/>
      <c r="TBD103" s="978"/>
      <c r="TBE103" s="978"/>
      <c r="TBF103" s="978"/>
      <c r="TBG103" s="978"/>
      <c r="TBH103" s="978"/>
      <c r="TBI103" s="978"/>
      <c r="TBJ103" s="978"/>
      <c r="TBK103" s="978"/>
      <c r="TBL103" s="978"/>
      <c r="TBM103" s="978"/>
      <c r="TBN103" s="978"/>
      <c r="TBO103" s="978"/>
      <c r="TBP103" s="978"/>
      <c r="TBQ103" s="978"/>
      <c r="TBR103" s="978"/>
      <c r="TBS103" s="978"/>
      <c r="TBT103" s="978"/>
      <c r="TBU103" s="978"/>
      <c r="TBV103" s="978"/>
      <c r="TBW103" s="978"/>
      <c r="TBX103" s="978"/>
      <c r="TBY103" s="978"/>
      <c r="TBZ103" s="978"/>
      <c r="TCA103" s="978"/>
      <c r="TCB103" s="978"/>
      <c r="TCC103" s="978"/>
      <c r="TCD103" s="978"/>
      <c r="TCE103" s="978"/>
      <c r="TCF103" s="978"/>
      <c r="TCG103" s="978"/>
      <c r="TCH103" s="978"/>
      <c r="TCI103" s="978"/>
      <c r="TCJ103" s="978"/>
      <c r="TCK103" s="978"/>
      <c r="TCL103" s="978"/>
      <c r="TCM103" s="978"/>
      <c r="TCN103" s="978"/>
      <c r="TCO103" s="978"/>
      <c r="TCP103" s="978"/>
      <c r="TCQ103" s="978"/>
      <c r="TCR103" s="978"/>
      <c r="TCS103" s="978"/>
      <c r="TCT103" s="978"/>
      <c r="TCU103" s="978"/>
      <c r="TCV103" s="978"/>
      <c r="TCW103" s="978"/>
      <c r="TCX103" s="978"/>
      <c r="TCY103" s="978"/>
      <c r="TCZ103" s="978"/>
      <c r="TDA103" s="978"/>
      <c r="TDB103" s="978"/>
      <c r="TDC103" s="978"/>
      <c r="TDD103" s="978"/>
      <c r="TDE103" s="978"/>
      <c r="TDF103" s="978"/>
      <c r="TDG103" s="978"/>
      <c r="TDH103" s="978"/>
      <c r="TDI103" s="978"/>
      <c r="TDJ103" s="978"/>
      <c r="TDK103" s="978"/>
      <c r="TDL103" s="978"/>
      <c r="TDM103" s="978"/>
      <c r="TDN103" s="978"/>
      <c r="TDO103" s="978"/>
      <c r="TDP103" s="978"/>
      <c r="TDQ103" s="978"/>
      <c r="TDR103" s="978"/>
      <c r="TDS103" s="978"/>
      <c r="TDT103" s="978"/>
      <c r="TDU103" s="978"/>
      <c r="TDV103" s="978"/>
      <c r="TDW103" s="978"/>
      <c r="TDX103" s="978"/>
      <c r="TDY103" s="978"/>
      <c r="TDZ103" s="978"/>
      <c r="TEA103" s="978"/>
      <c r="TEB103" s="978"/>
      <c r="TEC103" s="978"/>
      <c r="TED103" s="978"/>
      <c r="TEE103" s="978"/>
      <c r="TEF103" s="978"/>
      <c r="TEG103" s="978"/>
      <c r="TEH103" s="978"/>
      <c r="TEI103" s="978"/>
      <c r="TEJ103" s="978"/>
      <c r="TEK103" s="978"/>
      <c r="TEL103" s="978"/>
      <c r="TEM103" s="978"/>
      <c r="TEN103" s="978"/>
      <c r="TEO103" s="978"/>
      <c r="TEP103" s="978"/>
      <c r="TEQ103" s="978"/>
      <c r="TER103" s="978"/>
      <c r="TES103" s="978"/>
      <c r="TET103" s="978"/>
      <c r="TEU103" s="978"/>
      <c r="TEV103" s="978"/>
      <c r="TEW103" s="978"/>
      <c r="TEX103" s="978"/>
      <c r="TEY103" s="978"/>
      <c r="TEZ103" s="978"/>
      <c r="TFA103" s="978"/>
      <c r="TFB103" s="978"/>
      <c r="TFC103" s="978"/>
      <c r="TFD103" s="978"/>
      <c r="TFE103" s="978"/>
      <c r="TFF103" s="978"/>
      <c r="TFG103" s="978"/>
      <c r="TFH103" s="978"/>
      <c r="TFI103" s="978"/>
      <c r="TFJ103" s="978"/>
      <c r="TFK103" s="978"/>
      <c r="TFL103" s="978"/>
      <c r="TFM103" s="978"/>
      <c r="TFN103" s="978"/>
      <c r="TFO103" s="978"/>
      <c r="TFP103" s="978"/>
      <c r="TFQ103" s="978"/>
      <c r="TFR103" s="978"/>
      <c r="TFS103" s="978"/>
      <c r="TFT103" s="978"/>
      <c r="TFU103" s="978"/>
      <c r="TFV103" s="978"/>
      <c r="TFW103" s="978"/>
      <c r="TFX103" s="978"/>
      <c r="TFY103" s="978"/>
      <c r="TFZ103" s="978"/>
      <c r="TGA103" s="978"/>
      <c r="TGB103" s="978"/>
      <c r="TGC103" s="978"/>
      <c r="TGD103" s="978"/>
      <c r="TGE103" s="978"/>
      <c r="TGF103" s="978"/>
      <c r="TGG103" s="978"/>
      <c r="TGH103" s="978"/>
      <c r="TGI103" s="978"/>
      <c r="TGJ103" s="978"/>
      <c r="TGK103" s="978"/>
      <c r="TGL103" s="978"/>
      <c r="TGM103" s="978"/>
      <c r="TGN103" s="978"/>
      <c r="TGO103" s="978"/>
      <c r="TGP103" s="978"/>
      <c r="TGQ103" s="978"/>
      <c r="TGR103" s="978"/>
      <c r="TGS103" s="978"/>
      <c r="TGT103" s="978"/>
      <c r="TGU103" s="978"/>
      <c r="TGV103" s="978"/>
      <c r="TGW103" s="978"/>
      <c r="TGX103" s="978"/>
      <c r="TGY103" s="978"/>
      <c r="TGZ103" s="978"/>
      <c r="THA103" s="978"/>
      <c r="THB103" s="978"/>
      <c r="THC103" s="978"/>
      <c r="THD103" s="978"/>
      <c r="THE103" s="978"/>
      <c r="THF103" s="978"/>
      <c r="THG103" s="978"/>
      <c r="THH103" s="978"/>
      <c r="THI103" s="978"/>
      <c r="THJ103" s="978"/>
      <c r="THK103" s="978"/>
      <c r="THL103" s="978"/>
      <c r="THM103" s="978"/>
      <c r="THN103" s="978"/>
      <c r="THO103" s="978"/>
      <c r="THP103" s="978"/>
      <c r="THQ103" s="978"/>
      <c r="THR103" s="978"/>
      <c r="THS103" s="978"/>
      <c r="THT103" s="978"/>
      <c r="THU103" s="978"/>
      <c r="THV103" s="978"/>
      <c r="THW103" s="978"/>
      <c r="THX103" s="978"/>
      <c r="THY103" s="978"/>
      <c r="THZ103" s="978"/>
      <c r="TIA103" s="978"/>
      <c r="TIB103" s="978"/>
      <c r="TIC103" s="978"/>
      <c r="TID103" s="978"/>
      <c r="TIE103" s="978"/>
      <c r="TIF103" s="978"/>
      <c r="TIG103" s="978"/>
      <c r="TIH103" s="978"/>
      <c r="TII103" s="978"/>
      <c r="TIJ103" s="978"/>
      <c r="TIK103" s="978"/>
      <c r="TIL103" s="978"/>
      <c r="TIM103" s="978"/>
      <c r="TIN103" s="978"/>
      <c r="TIO103" s="978"/>
      <c r="TIP103" s="978"/>
      <c r="TIQ103" s="978"/>
      <c r="TIR103" s="978"/>
      <c r="TIS103" s="978"/>
      <c r="TIT103" s="978"/>
      <c r="TIU103" s="978"/>
      <c r="TIV103" s="978"/>
      <c r="TIW103" s="978"/>
      <c r="TIX103" s="978"/>
      <c r="TIY103" s="978"/>
      <c r="TIZ103" s="978"/>
      <c r="TJA103" s="978"/>
      <c r="TJB103" s="978"/>
      <c r="TJC103" s="978"/>
      <c r="TJD103" s="978"/>
      <c r="TJE103" s="978"/>
      <c r="TJF103" s="978"/>
      <c r="TJG103" s="978"/>
      <c r="TJH103" s="978"/>
      <c r="TJI103" s="978"/>
      <c r="TJJ103" s="978"/>
      <c r="TJK103" s="978"/>
      <c r="TJL103" s="978"/>
      <c r="TJM103" s="978"/>
      <c r="TJN103" s="978"/>
      <c r="TJO103" s="978"/>
      <c r="TJP103" s="978"/>
      <c r="TJQ103" s="978"/>
      <c r="TJR103" s="978"/>
      <c r="TJS103" s="978"/>
      <c r="TJT103" s="978"/>
      <c r="TJU103" s="978"/>
      <c r="TJV103" s="978"/>
      <c r="TJW103" s="978"/>
      <c r="TJX103" s="978"/>
      <c r="TJY103" s="978"/>
      <c r="TJZ103" s="978"/>
      <c r="TKA103" s="978"/>
      <c r="TKB103" s="978"/>
      <c r="TKC103" s="978"/>
      <c r="TKD103" s="978"/>
      <c r="TKE103" s="978"/>
      <c r="TKF103" s="978"/>
      <c r="TKG103" s="978"/>
      <c r="TKH103" s="978"/>
      <c r="TKI103" s="978"/>
      <c r="TKJ103" s="978"/>
      <c r="TKK103" s="978"/>
      <c r="TKL103" s="978"/>
      <c r="TKM103" s="978"/>
      <c r="TKN103" s="978"/>
      <c r="TKO103" s="978"/>
      <c r="TKP103" s="978"/>
      <c r="TKQ103" s="978"/>
      <c r="TKR103" s="978"/>
      <c r="TKS103" s="978"/>
      <c r="TKT103" s="978"/>
      <c r="TKU103" s="978"/>
      <c r="TKV103" s="978"/>
      <c r="TKW103" s="978"/>
      <c r="TKX103" s="978"/>
      <c r="TKY103" s="978"/>
      <c r="TKZ103" s="978"/>
      <c r="TLA103" s="978"/>
      <c r="TLB103" s="978"/>
      <c r="TLC103" s="978"/>
      <c r="TLD103" s="978"/>
      <c r="TLE103" s="978"/>
      <c r="TLF103" s="978"/>
      <c r="TLG103" s="978"/>
      <c r="TLH103" s="978"/>
      <c r="TLI103" s="978"/>
      <c r="TLJ103" s="978"/>
      <c r="TLK103" s="978"/>
      <c r="TLL103" s="978"/>
      <c r="TLM103" s="978"/>
      <c r="TLN103" s="978"/>
      <c r="TLO103" s="978"/>
      <c r="TLP103" s="978"/>
      <c r="TLQ103" s="978"/>
      <c r="TLR103" s="978"/>
      <c r="TLS103" s="978"/>
      <c r="TLT103" s="978"/>
      <c r="TLU103" s="978"/>
      <c r="TLV103" s="978"/>
      <c r="TLW103" s="978"/>
      <c r="TLX103" s="978"/>
      <c r="TLY103" s="978"/>
      <c r="TLZ103" s="978"/>
      <c r="TMA103" s="978"/>
      <c r="TMB103" s="978"/>
      <c r="TMC103" s="978"/>
      <c r="TMD103" s="978"/>
      <c r="TME103" s="978"/>
      <c r="TMF103" s="978"/>
      <c r="TMG103" s="978"/>
      <c r="TMH103" s="978"/>
      <c r="TMI103" s="978"/>
      <c r="TMJ103" s="978"/>
      <c r="TMK103" s="978"/>
      <c r="TML103" s="978"/>
      <c r="TMM103" s="978"/>
      <c r="TMN103" s="978"/>
      <c r="TMO103" s="978"/>
      <c r="TMP103" s="978"/>
      <c r="TMQ103" s="978"/>
      <c r="TMR103" s="978"/>
      <c r="TMS103" s="978"/>
      <c r="TMT103" s="978"/>
      <c r="TMU103" s="978"/>
      <c r="TMV103" s="978"/>
      <c r="TMW103" s="978"/>
      <c r="TMX103" s="978"/>
      <c r="TMY103" s="978"/>
      <c r="TMZ103" s="978"/>
      <c r="TNA103" s="978"/>
      <c r="TNB103" s="978"/>
      <c r="TNC103" s="978"/>
      <c r="TND103" s="978"/>
      <c r="TNE103" s="978"/>
      <c r="TNF103" s="978"/>
      <c r="TNG103" s="978"/>
      <c r="TNH103" s="978"/>
      <c r="TNI103" s="978"/>
      <c r="TNJ103" s="978"/>
      <c r="TNK103" s="978"/>
      <c r="TNL103" s="978"/>
      <c r="TNM103" s="978"/>
      <c r="TNN103" s="978"/>
      <c r="TNO103" s="978"/>
      <c r="TNP103" s="978"/>
      <c r="TNQ103" s="978"/>
      <c r="TNR103" s="978"/>
      <c r="TNS103" s="978"/>
      <c r="TNT103" s="978"/>
      <c r="TNU103" s="978"/>
      <c r="TNV103" s="978"/>
      <c r="TNW103" s="978"/>
      <c r="TNX103" s="978"/>
      <c r="TNY103" s="978"/>
      <c r="TNZ103" s="978"/>
      <c r="TOA103" s="978"/>
      <c r="TOB103" s="978"/>
      <c r="TOC103" s="978"/>
      <c r="TOD103" s="978"/>
      <c r="TOE103" s="978"/>
      <c r="TOF103" s="978"/>
      <c r="TOG103" s="978"/>
      <c r="TOH103" s="978"/>
      <c r="TOI103" s="978"/>
      <c r="TOJ103" s="978"/>
      <c r="TOK103" s="978"/>
      <c r="TOL103" s="978"/>
      <c r="TOM103" s="978"/>
      <c r="TON103" s="978"/>
      <c r="TOO103" s="978"/>
      <c r="TOP103" s="978"/>
      <c r="TOQ103" s="978"/>
      <c r="TOR103" s="978"/>
      <c r="TOS103" s="978"/>
      <c r="TOT103" s="978"/>
      <c r="TOU103" s="978"/>
      <c r="TOV103" s="978"/>
      <c r="TOW103" s="978"/>
      <c r="TOX103" s="978"/>
      <c r="TOY103" s="978"/>
      <c r="TOZ103" s="978"/>
      <c r="TPA103" s="978"/>
      <c r="TPB103" s="978"/>
      <c r="TPC103" s="978"/>
      <c r="TPD103" s="978"/>
      <c r="TPE103" s="978"/>
      <c r="TPF103" s="978"/>
      <c r="TPG103" s="978"/>
      <c r="TPH103" s="978"/>
      <c r="TPI103" s="978"/>
      <c r="TPJ103" s="978"/>
      <c r="TPK103" s="978"/>
      <c r="TPL103" s="978"/>
      <c r="TPM103" s="978"/>
      <c r="TPN103" s="978"/>
      <c r="TPO103" s="978"/>
      <c r="TPP103" s="978"/>
      <c r="TPQ103" s="978"/>
      <c r="TPR103" s="978"/>
      <c r="TPS103" s="978"/>
      <c r="TPT103" s="978"/>
      <c r="TPU103" s="978"/>
      <c r="TPV103" s="978"/>
      <c r="TPW103" s="978"/>
      <c r="TPX103" s="978"/>
      <c r="TPY103" s="978"/>
      <c r="TPZ103" s="978"/>
      <c r="TQA103" s="978"/>
      <c r="TQB103" s="978"/>
      <c r="TQC103" s="978"/>
      <c r="TQD103" s="978"/>
      <c r="TQE103" s="978"/>
      <c r="TQF103" s="978"/>
      <c r="TQG103" s="978"/>
      <c r="TQH103" s="978"/>
      <c r="TQI103" s="978"/>
      <c r="TQJ103" s="978"/>
      <c r="TQK103" s="978"/>
      <c r="TQL103" s="978"/>
      <c r="TQM103" s="978"/>
      <c r="TQN103" s="978"/>
      <c r="TQO103" s="978"/>
      <c r="TQP103" s="978"/>
      <c r="TQQ103" s="978"/>
      <c r="TQR103" s="978"/>
      <c r="TQS103" s="978"/>
      <c r="TQT103" s="978"/>
      <c r="TQU103" s="978"/>
      <c r="TQV103" s="978"/>
      <c r="TQW103" s="978"/>
      <c r="TQX103" s="978"/>
      <c r="TQY103" s="978"/>
      <c r="TQZ103" s="978"/>
      <c r="TRA103" s="978"/>
      <c r="TRB103" s="978"/>
      <c r="TRC103" s="978"/>
      <c r="TRD103" s="978"/>
      <c r="TRE103" s="978"/>
      <c r="TRF103" s="978"/>
      <c r="TRG103" s="978"/>
      <c r="TRH103" s="978"/>
      <c r="TRI103" s="978"/>
      <c r="TRJ103" s="978"/>
      <c r="TRK103" s="978"/>
      <c r="TRL103" s="978"/>
      <c r="TRM103" s="978"/>
      <c r="TRN103" s="978"/>
      <c r="TRO103" s="978"/>
      <c r="TRP103" s="978"/>
      <c r="TRQ103" s="978"/>
      <c r="TRR103" s="978"/>
      <c r="TRS103" s="978"/>
      <c r="TRT103" s="978"/>
      <c r="TRU103" s="978"/>
      <c r="TRV103" s="978"/>
      <c r="TRW103" s="978"/>
      <c r="TRX103" s="978"/>
      <c r="TRY103" s="978"/>
      <c r="TRZ103" s="978"/>
      <c r="TSA103" s="978"/>
      <c r="TSB103" s="978"/>
      <c r="TSC103" s="978"/>
      <c r="TSD103" s="978"/>
      <c r="TSE103" s="978"/>
      <c r="TSF103" s="978"/>
      <c r="TSG103" s="978"/>
      <c r="TSH103" s="978"/>
      <c r="TSI103" s="978"/>
      <c r="TSJ103" s="978"/>
      <c r="TSK103" s="978"/>
      <c r="TSL103" s="978"/>
      <c r="TSM103" s="978"/>
      <c r="TSN103" s="978"/>
      <c r="TSO103" s="978"/>
      <c r="TSP103" s="978"/>
      <c r="TSQ103" s="978"/>
      <c r="TSR103" s="978"/>
      <c r="TSS103" s="978"/>
      <c r="TST103" s="978"/>
      <c r="TSU103" s="978"/>
      <c r="TSV103" s="978"/>
      <c r="TSW103" s="978"/>
      <c r="TSX103" s="978"/>
      <c r="TSY103" s="978"/>
      <c r="TSZ103" s="978"/>
      <c r="TTA103" s="978"/>
      <c r="TTB103" s="978"/>
      <c r="TTC103" s="978"/>
      <c r="TTD103" s="978"/>
      <c r="TTE103" s="978"/>
      <c r="TTF103" s="978"/>
      <c r="TTG103" s="978"/>
      <c r="TTH103" s="978"/>
      <c r="TTI103" s="978"/>
      <c r="TTJ103" s="978"/>
      <c r="TTK103" s="978"/>
      <c r="TTL103" s="978"/>
      <c r="TTM103" s="978"/>
      <c r="TTN103" s="978"/>
      <c r="TTO103" s="978"/>
      <c r="TTP103" s="978"/>
      <c r="TTQ103" s="978"/>
      <c r="TTR103" s="978"/>
      <c r="TTS103" s="978"/>
      <c r="TTT103" s="978"/>
      <c r="TTU103" s="978"/>
      <c r="TTV103" s="978"/>
      <c r="TTW103" s="978"/>
      <c r="TTX103" s="978"/>
      <c r="TTY103" s="978"/>
      <c r="TTZ103" s="978"/>
      <c r="TUA103" s="978"/>
      <c r="TUB103" s="978"/>
      <c r="TUC103" s="978"/>
      <c r="TUD103" s="978"/>
      <c r="TUE103" s="978"/>
      <c r="TUF103" s="978"/>
      <c r="TUG103" s="978"/>
      <c r="TUH103" s="978"/>
      <c r="TUI103" s="978"/>
      <c r="TUJ103" s="978"/>
      <c r="TUK103" s="978"/>
      <c r="TUL103" s="978"/>
      <c r="TUM103" s="978"/>
      <c r="TUN103" s="978"/>
      <c r="TUO103" s="978"/>
      <c r="TUP103" s="978"/>
      <c r="TUQ103" s="978"/>
      <c r="TUR103" s="978"/>
      <c r="TUS103" s="978"/>
      <c r="TUT103" s="978"/>
      <c r="TUU103" s="978"/>
      <c r="TUV103" s="978"/>
      <c r="TUW103" s="978"/>
      <c r="TUX103" s="978"/>
      <c r="TUY103" s="978"/>
      <c r="TUZ103" s="978"/>
      <c r="TVA103" s="978"/>
      <c r="TVB103" s="978"/>
      <c r="TVC103" s="978"/>
      <c r="TVD103" s="978"/>
      <c r="TVE103" s="978"/>
      <c r="TVF103" s="978"/>
      <c r="TVG103" s="978"/>
      <c r="TVH103" s="978"/>
      <c r="TVI103" s="978"/>
      <c r="TVJ103" s="978"/>
      <c r="TVK103" s="978"/>
      <c r="TVL103" s="978"/>
      <c r="TVM103" s="978"/>
      <c r="TVN103" s="978"/>
      <c r="TVO103" s="978"/>
      <c r="TVP103" s="978"/>
      <c r="TVQ103" s="978"/>
      <c r="TVR103" s="978"/>
      <c r="TVS103" s="978"/>
      <c r="TVT103" s="978"/>
      <c r="TVU103" s="978"/>
      <c r="TVV103" s="978"/>
      <c r="TVW103" s="978"/>
      <c r="TVX103" s="978"/>
      <c r="TVY103" s="978"/>
      <c r="TVZ103" s="978"/>
      <c r="TWA103" s="978"/>
      <c r="TWB103" s="978"/>
      <c r="TWC103" s="978"/>
      <c r="TWD103" s="978"/>
      <c r="TWE103" s="978"/>
      <c r="TWF103" s="978"/>
      <c r="TWG103" s="978"/>
      <c r="TWH103" s="978"/>
      <c r="TWI103" s="978"/>
      <c r="TWJ103" s="978"/>
      <c r="TWK103" s="978"/>
      <c r="TWL103" s="978"/>
      <c r="TWM103" s="978"/>
      <c r="TWN103" s="978"/>
      <c r="TWO103" s="978"/>
      <c r="TWP103" s="978"/>
      <c r="TWQ103" s="978"/>
      <c r="TWR103" s="978"/>
      <c r="TWS103" s="978"/>
      <c r="TWT103" s="978"/>
      <c r="TWU103" s="978"/>
      <c r="TWV103" s="978"/>
      <c r="TWW103" s="978"/>
      <c r="TWX103" s="978"/>
      <c r="TWY103" s="978"/>
      <c r="TWZ103" s="978"/>
      <c r="TXA103" s="978"/>
      <c r="TXB103" s="978"/>
      <c r="TXC103" s="978"/>
      <c r="TXD103" s="978"/>
      <c r="TXE103" s="978"/>
      <c r="TXF103" s="978"/>
      <c r="TXG103" s="978"/>
      <c r="TXH103" s="978"/>
      <c r="TXI103" s="978"/>
      <c r="TXJ103" s="978"/>
      <c r="TXK103" s="978"/>
      <c r="TXL103" s="978"/>
      <c r="TXM103" s="978"/>
      <c r="TXN103" s="978"/>
      <c r="TXO103" s="978"/>
      <c r="TXP103" s="978"/>
      <c r="TXQ103" s="978"/>
      <c r="TXR103" s="978"/>
      <c r="TXS103" s="978"/>
      <c r="TXT103" s="978"/>
      <c r="TXU103" s="978"/>
      <c r="TXV103" s="978"/>
      <c r="TXW103" s="978"/>
      <c r="TXX103" s="978"/>
      <c r="TXY103" s="978"/>
      <c r="TXZ103" s="978"/>
      <c r="TYA103" s="978"/>
      <c r="TYB103" s="978"/>
      <c r="TYC103" s="978"/>
      <c r="TYD103" s="978"/>
      <c r="TYE103" s="978"/>
      <c r="TYF103" s="978"/>
      <c r="TYG103" s="978"/>
      <c r="TYH103" s="978"/>
      <c r="TYI103" s="978"/>
      <c r="TYJ103" s="978"/>
      <c r="TYK103" s="978"/>
      <c r="TYL103" s="978"/>
      <c r="TYM103" s="978"/>
      <c r="TYN103" s="978"/>
      <c r="TYO103" s="978"/>
      <c r="TYP103" s="978"/>
      <c r="TYQ103" s="978"/>
      <c r="TYR103" s="978"/>
      <c r="TYS103" s="978"/>
      <c r="TYT103" s="978"/>
      <c r="TYU103" s="978"/>
      <c r="TYV103" s="978"/>
      <c r="TYW103" s="978"/>
      <c r="TYX103" s="978"/>
      <c r="TYY103" s="978"/>
      <c r="TYZ103" s="978"/>
      <c r="TZA103" s="978"/>
      <c r="TZB103" s="978"/>
      <c r="TZC103" s="978"/>
      <c r="TZD103" s="978"/>
      <c r="TZE103" s="978"/>
      <c r="TZF103" s="978"/>
      <c r="TZG103" s="978"/>
      <c r="TZH103" s="978"/>
      <c r="TZI103" s="978"/>
      <c r="TZJ103" s="978"/>
      <c r="TZK103" s="978"/>
      <c r="TZL103" s="978"/>
      <c r="TZM103" s="978"/>
      <c r="TZN103" s="978"/>
      <c r="TZO103" s="978"/>
      <c r="TZP103" s="978"/>
      <c r="TZQ103" s="978"/>
      <c r="TZR103" s="978"/>
      <c r="TZS103" s="978"/>
      <c r="TZT103" s="978"/>
      <c r="TZU103" s="978"/>
      <c r="TZV103" s="978"/>
      <c r="TZW103" s="978"/>
      <c r="TZX103" s="978"/>
      <c r="TZY103" s="978"/>
      <c r="TZZ103" s="978"/>
      <c r="UAA103" s="978"/>
      <c r="UAB103" s="978"/>
      <c r="UAC103" s="978"/>
      <c r="UAD103" s="978"/>
      <c r="UAE103" s="978"/>
      <c r="UAF103" s="978"/>
      <c r="UAG103" s="978"/>
      <c r="UAH103" s="978"/>
      <c r="UAI103" s="978"/>
      <c r="UAJ103" s="978"/>
      <c r="UAK103" s="978"/>
      <c r="UAL103" s="978"/>
      <c r="UAM103" s="978"/>
      <c r="UAN103" s="978"/>
      <c r="UAO103" s="978"/>
      <c r="UAP103" s="978"/>
      <c r="UAQ103" s="978"/>
      <c r="UAR103" s="978"/>
      <c r="UAS103" s="978"/>
      <c r="UAT103" s="978"/>
      <c r="UAU103" s="978"/>
      <c r="UAV103" s="978"/>
      <c r="UAW103" s="978"/>
      <c r="UAX103" s="978"/>
      <c r="UAY103" s="978"/>
      <c r="UAZ103" s="978"/>
      <c r="UBA103" s="978"/>
      <c r="UBB103" s="978"/>
      <c r="UBC103" s="978"/>
      <c r="UBD103" s="978"/>
      <c r="UBE103" s="978"/>
      <c r="UBF103" s="978"/>
      <c r="UBG103" s="978"/>
      <c r="UBH103" s="978"/>
      <c r="UBI103" s="978"/>
      <c r="UBJ103" s="978"/>
      <c r="UBK103" s="978"/>
      <c r="UBL103" s="978"/>
      <c r="UBM103" s="978"/>
      <c r="UBN103" s="978"/>
      <c r="UBO103" s="978"/>
      <c r="UBP103" s="978"/>
      <c r="UBQ103" s="978"/>
      <c r="UBR103" s="978"/>
      <c r="UBS103" s="978"/>
      <c r="UBT103" s="978"/>
      <c r="UBU103" s="978"/>
      <c r="UBV103" s="978"/>
      <c r="UBW103" s="978"/>
      <c r="UBX103" s="978"/>
      <c r="UBY103" s="978"/>
      <c r="UBZ103" s="978"/>
      <c r="UCA103" s="978"/>
      <c r="UCB103" s="978"/>
      <c r="UCC103" s="978"/>
      <c r="UCD103" s="978"/>
      <c r="UCE103" s="978"/>
      <c r="UCF103" s="978"/>
      <c r="UCG103" s="978"/>
      <c r="UCH103" s="978"/>
      <c r="UCI103" s="978"/>
      <c r="UCJ103" s="978"/>
      <c r="UCK103" s="978"/>
      <c r="UCL103" s="978"/>
      <c r="UCM103" s="978"/>
      <c r="UCN103" s="978"/>
      <c r="UCO103" s="978"/>
      <c r="UCP103" s="978"/>
      <c r="UCQ103" s="978"/>
      <c r="UCR103" s="978"/>
      <c r="UCS103" s="978"/>
      <c r="UCT103" s="978"/>
      <c r="UCU103" s="978"/>
      <c r="UCV103" s="978"/>
      <c r="UCW103" s="978"/>
      <c r="UCX103" s="978"/>
      <c r="UCY103" s="978"/>
      <c r="UCZ103" s="978"/>
      <c r="UDA103" s="978"/>
      <c r="UDB103" s="978"/>
      <c r="UDC103" s="978"/>
      <c r="UDD103" s="978"/>
      <c r="UDE103" s="978"/>
      <c r="UDF103" s="978"/>
      <c r="UDG103" s="978"/>
      <c r="UDH103" s="978"/>
      <c r="UDI103" s="978"/>
      <c r="UDJ103" s="978"/>
      <c r="UDK103" s="978"/>
      <c r="UDL103" s="978"/>
      <c r="UDM103" s="978"/>
      <c r="UDN103" s="978"/>
      <c r="UDO103" s="978"/>
      <c r="UDP103" s="978"/>
      <c r="UDQ103" s="978"/>
      <c r="UDR103" s="978"/>
      <c r="UDS103" s="978"/>
      <c r="UDT103" s="978"/>
      <c r="UDU103" s="978"/>
      <c r="UDV103" s="978"/>
      <c r="UDW103" s="978"/>
      <c r="UDX103" s="978"/>
      <c r="UDY103" s="978"/>
      <c r="UDZ103" s="978"/>
      <c r="UEA103" s="978"/>
      <c r="UEB103" s="978"/>
      <c r="UEC103" s="978"/>
      <c r="UED103" s="978"/>
      <c r="UEE103" s="978"/>
      <c r="UEF103" s="978"/>
      <c r="UEG103" s="978"/>
      <c r="UEH103" s="978"/>
      <c r="UEI103" s="978"/>
      <c r="UEJ103" s="978"/>
      <c r="UEK103" s="978"/>
      <c r="UEL103" s="978"/>
      <c r="UEM103" s="978"/>
      <c r="UEN103" s="978"/>
      <c r="UEO103" s="978"/>
      <c r="UEP103" s="978"/>
      <c r="UEQ103" s="978"/>
      <c r="UER103" s="978"/>
      <c r="UES103" s="978"/>
      <c r="UET103" s="978"/>
      <c r="UEU103" s="978"/>
      <c r="UEV103" s="978"/>
      <c r="UEW103" s="978"/>
      <c r="UEX103" s="978"/>
      <c r="UEY103" s="978"/>
      <c r="UEZ103" s="978"/>
      <c r="UFA103" s="978"/>
      <c r="UFB103" s="978"/>
      <c r="UFC103" s="978"/>
      <c r="UFD103" s="978"/>
      <c r="UFE103" s="978"/>
      <c r="UFF103" s="978"/>
      <c r="UFG103" s="978"/>
      <c r="UFH103" s="978"/>
      <c r="UFI103" s="978"/>
      <c r="UFJ103" s="978"/>
      <c r="UFK103" s="978"/>
      <c r="UFL103" s="978"/>
      <c r="UFM103" s="978"/>
      <c r="UFN103" s="978"/>
      <c r="UFO103" s="978"/>
      <c r="UFP103" s="978"/>
      <c r="UFQ103" s="978"/>
      <c r="UFR103" s="978"/>
      <c r="UFS103" s="978"/>
      <c r="UFT103" s="978"/>
      <c r="UFU103" s="978"/>
      <c r="UFV103" s="978"/>
      <c r="UFW103" s="978"/>
      <c r="UFX103" s="978"/>
      <c r="UFY103" s="978"/>
      <c r="UFZ103" s="978"/>
      <c r="UGA103" s="978"/>
      <c r="UGB103" s="978"/>
      <c r="UGC103" s="978"/>
      <c r="UGD103" s="978"/>
      <c r="UGE103" s="978"/>
      <c r="UGF103" s="978"/>
      <c r="UGG103" s="978"/>
      <c r="UGH103" s="978"/>
      <c r="UGI103" s="978"/>
      <c r="UGJ103" s="978"/>
      <c r="UGK103" s="978"/>
      <c r="UGL103" s="978"/>
      <c r="UGM103" s="978"/>
      <c r="UGN103" s="978"/>
      <c r="UGO103" s="978"/>
      <c r="UGP103" s="978"/>
      <c r="UGQ103" s="978"/>
      <c r="UGR103" s="978"/>
      <c r="UGS103" s="978"/>
      <c r="UGT103" s="978"/>
      <c r="UGU103" s="978"/>
      <c r="UGV103" s="978"/>
      <c r="UGW103" s="978"/>
      <c r="UGX103" s="978"/>
      <c r="UGY103" s="978"/>
      <c r="UGZ103" s="978"/>
      <c r="UHA103" s="978"/>
      <c r="UHB103" s="978"/>
      <c r="UHC103" s="978"/>
      <c r="UHD103" s="978"/>
      <c r="UHE103" s="978"/>
      <c r="UHF103" s="978"/>
      <c r="UHG103" s="978"/>
      <c r="UHH103" s="978"/>
      <c r="UHI103" s="978"/>
      <c r="UHJ103" s="978"/>
      <c r="UHK103" s="978"/>
      <c r="UHL103" s="978"/>
      <c r="UHM103" s="978"/>
      <c r="UHN103" s="978"/>
      <c r="UHO103" s="978"/>
      <c r="UHP103" s="978"/>
      <c r="UHQ103" s="978"/>
      <c r="UHR103" s="978"/>
      <c r="UHS103" s="978"/>
      <c r="UHT103" s="978"/>
      <c r="UHU103" s="978"/>
      <c r="UHV103" s="978"/>
      <c r="UHW103" s="978"/>
      <c r="UHX103" s="978"/>
      <c r="UHY103" s="978"/>
      <c r="UHZ103" s="978"/>
      <c r="UIA103" s="978"/>
      <c r="UIB103" s="978"/>
      <c r="UIC103" s="978"/>
      <c r="UID103" s="978"/>
      <c r="UIE103" s="978"/>
      <c r="UIF103" s="978"/>
      <c r="UIG103" s="978"/>
      <c r="UIH103" s="978"/>
      <c r="UII103" s="978"/>
      <c r="UIJ103" s="978"/>
      <c r="UIK103" s="978"/>
      <c r="UIL103" s="978"/>
      <c r="UIM103" s="978"/>
      <c r="UIN103" s="978"/>
      <c r="UIO103" s="978"/>
      <c r="UIP103" s="978"/>
      <c r="UIQ103" s="978"/>
      <c r="UIR103" s="978"/>
      <c r="UIS103" s="978"/>
      <c r="UIT103" s="978"/>
      <c r="UIU103" s="978"/>
      <c r="UIV103" s="978"/>
      <c r="UIW103" s="978"/>
      <c r="UIX103" s="978"/>
      <c r="UIY103" s="978"/>
      <c r="UIZ103" s="978"/>
      <c r="UJA103" s="978"/>
      <c r="UJB103" s="978"/>
      <c r="UJC103" s="978"/>
      <c r="UJD103" s="978"/>
      <c r="UJE103" s="978"/>
      <c r="UJF103" s="978"/>
      <c r="UJG103" s="978"/>
      <c r="UJH103" s="978"/>
      <c r="UJI103" s="978"/>
      <c r="UJJ103" s="978"/>
      <c r="UJK103" s="978"/>
      <c r="UJL103" s="978"/>
      <c r="UJM103" s="978"/>
      <c r="UJN103" s="978"/>
      <c r="UJO103" s="978"/>
      <c r="UJP103" s="978"/>
      <c r="UJQ103" s="978"/>
      <c r="UJR103" s="978"/>
      <c r="UJS103" s="978"/>
      <c r="UJT103" s="978"/>
      <c r="UJU103" s="978"/>
      <c r="UJV103" s="978"/>
      <c r="UJW103" s="978"/>
      <c r="UJX103" s="978"/>
      <c r="UJY103" s="978"/>
      <c r="UJZ103" s="978"/>
      <c r="UKA103" s="978"/>
      <c r="UKB103" s="978"/>
      <c r="UKC103" s="978"/>
      <c r="UKD103" s="978"/>
      <c r="UKE103" s="978"/>
      <c r="UKF103" s="978"/>
      <c r="UKG103" s="978"/>
      <c r="UKH103" s="978"/>
      <c r="UKI103" s="978"/>
      <c r="UKJ103" s="978"/>
      <c r="UKK103" s="978"/>
      <c r="UKL103" s="978"/>
      <c r="UKM103" s="978"/>
      <c r="UKN103" s="978"/>
      <c r="UKO103" s="978"/>
      <c r="UKP103" s="978"/>
      <c r="UKQ103" s="978"/>
      <c r="UKR103" s="978"/>
      <c r="UKS103" s="978"/>
      <c r="UKT103" s="978"/>
      <c r="UKU103" s="978"/>
      <c r="UKV103" s="978"/>
      <c r="UKW103" s="978"/>
      <c r="UKX103" s="978"/>
      <c r="UKY103" s="978"/>
      <c r="UKZ103" s="978"/>
      <c r="ULA103" s="978"/>
      <c r="ULB103" s="978"/>
      <c r="ULC103" s="978"/>
      <c r="ULD103" s="978"/>
      <c r="ULE103" s="978"/>
      <c r="ULF103" s="978"/>
      <c r="ULG103" s="978"/>
      <c r="ULH103" s="978"/>
      <c r="ULI103" s="978"/>
      <c r="ULJ103" s="978"/>
      <c r="ULK103" s="978"/>
      <c r="ULL103" s="978"/>
      <c r="ULM103" s="978"/>
      <c r="ULN103" s="978"/>
      <c r="ULO103" s="978"/>
      <c r="ULP103" s="978"/>
      <c r="ULQ103" s="978"/>
      <c r="ULR103" s="978"/>
      <c r="ULS103" s="978"/>
      <c r="ULT103" s="978"/>
      <c r="ULU103" s="978"/>
      <c r="ULV103" s="978"/>
      <c r="ULW103" s="978"/>
      <c r="ULX103" s="978"/>
      <c r="ULY103" s="978"/>
      <c r="ULZ103" s="978"/>
      <c r="UMA103" s="978"/>
      <c r="UMB103" s="978"/>
      <c r="UMC103" s="978"/>
      <c r="UMD103" s="978"/>
      <c r="UME103" s="978"/>
      <c r="UMF103" s="978"/>
      <c r="UMG103" s="978"/>
      <c r="UMH103" s="978"/>
      <c r="UMI103" s="978"/>
      <c r="UMJ103" s="978"/>
      <c r="UMK103" s="978"/>
      <c r="UML103" s="978"/>
      <c r="UMM103" s="978"/>
      <c r="UMN103" s="978"/>
      <c r="UMO103" s="978"/>
      <c r="UMP103" s="978"/>
      <c r="UMQ103" s="978"/>
      <c r="UMR103" s="978"/>
      <c r="UMS103" s="978"/>
      <c r="UMT103" s="978"/>
      <c r="UMU103" s="978"/>
      <c r="UMV103" s="978"/>
      <c r="UMW103" s="978"/>
      <c r="UMX103" s="978"/>
      <c r="UMY103" s="978"/>
      <c r="UMZ103" s="978"/>
      <c r="UNA103" s="978"/>
      <c r="UNB103" s="978"/>
      <c r="UNC103" s="978"/>
      <c r="UND103" s="978"/>
      <c r="UNE103" s="978"/>
      <c r="UNF103" s="978"/>
      <c r="UNG103" s="978"/>
      <c r="UNH103" s="978"/>
      <c r="UNI103" s="978"/>
      <c r="UNJ103" s="978"/>
      <c r="UNK103" s="978"/>
      <c r="UNL103" s="978"/>
      <c r="UNM103" s="978"/>
      <c r="UNN103" s="978"/>
      <c r="UNO103" s="978"/>
      <c r="UNP103" s="978"/>
      <c r="UNQ103" s="978"/>
      <c r="UNR103" s="978"/>
      <c r="UNS103" s="978"/>
      <c r="UNT103" s="978"/>
      <c r="UNU103" s="978"/>
      <c r="UNV103" s="978"/>
      <c r="UNW103" s="978"/>
      <c r="UNX103" s="978"/>
      <c r="UNY103" s="978"/>
      <c r="UNZ103" s="978"/>
      <c r="UOA103" s="978"/>
      <c r="UOB103" s="978"/>
      <c r="UOC103" s="978"/>
      <c r="UOD103" s="978"/>
      <c r="UOE103" s="978"/>
      <c r="UOF103" s="978"/>
      <c r="UOG103" s="978"/>
      <c r="UOH103" s="978"/>
      <c r="UOI103" s="978"/>
      <c r="UOJ103" s="978"/>
      <c r="UOK103" s="978"/>
      <c r="UOL103" s="978"/>
      <c r="UOM103" s="978"/>
      <c r="UON103" s="978"/>
      <c r="UOO103" s="978"/>
      <c r="UOP103" s="978"/>
      <c r="UOQ103" s="978"/>
      <c r="UOR103" s="978"/>
      <c r="UOS103" s="978"/>
      <c r="UOT103" s="978"/>
      <c r="UOU103" s="978"/>
      <c r="UOV103" s="978"/>
      <c r="UOW103" s="978"/>
      <c r="UOX103" s="978"/>
      <c r="UOY103" s="978"/>
      <c r="UOZ103" s="978"/>
      <c r="UPA103" s="978"/>
      <c r="UPB103" s="978"/>
      <c r="UPC103" s="978"/>
      <c r="UPD103" s="978"/>
      <c r="UPE103" s="978"/>
      <c r="UPF103" s="978"/>
      <c r="UPG103" s="978"/>
      <c r="UPH103" s="978"/>
      <c r="UPI103" s="978"/>
      <c r="UPJ103" s="978"/>
      <c r="UPK103" s="978"/>
      <c r="UPL103" s="978"/>
      <c r="UPM103" s="978"/>
      <c r="UPN103" s="978"/>
      <c r="UPO103" s="978"/>
      <c r="UPP103" s="978"/>
      <c r="UPQ103" s="978"/>
      <c r="UPR103" s="978"/>
      <c r="UPS103" s="978"/>
      <c r="UPT103" s="978"/>
      <c r="UPU103" s="978"/>
      <c r="UPV103" s="978"/>
      <c r="UPW103" s="978"/>
      <c r="UPX103" s="978"/>
      <c r="UPY103" s="978"/>
      <c r="UPZ103" s="978"/>
      <c r="UQA103" s="978"/>
      <c r="UQB103" s="978"/>
      <c r="UQC103" s="978"/>
      <c r="UQD103" s="978"/>
      <c r="UQE103" s="978"/>
      <c r="UQF103" s="978"/>
      <c r="UQG103" s="978"/>
      <c r="UQH103" s="978"/>
      <c r="UQI103" s="978"/>
      <c r="UQJ103" s="978"/>
      <c r="UQK103" s="978"/>
      <c r="UQL103" s="978"/>
      <c r="UQM103" s="978"/>
      <c r="UQN103" s="978"/>
      <c r="UQO103" s="978"/>
      <c r="UQP103" s="978"/>
      <c r="UQQ103" s="978"/>
      <c r="UQR103" s="978"/>
      <c r="UQS103" s="978"/>
      <c r="UQT103" s="978"/>
      <c r="UQU103" s="978"/>
      <c r="UQV103" s="978"/>
      <c r="UQW103" s="978"/>
      <c r="UQX103" s="978"/>
      <c r="UQY103" s="978"/>
      <c r="UQZ103" s="978"/>
      <c r="URA103" s="978"/>
      <c r="URB103" s="978"/>
      <c r="URC103" s="978"/>
      <c r="URD103" s="978"/>
      <c r="URE103" s="978"/>
      <c r="URF103" s="978"/>
      <c r="URG103" s="978"/>
      <c r="URH103" s="978"/>
      <c r="URI103" s="978"/>
      <c r="URJ103" s="978"/>
      <c r="URK103" s="978"/>
      <c r="URL103" s="978"/>
      <c r="URM103" s="978"/>
      <c r="URN103" s="978"/>
      <c r="URO103" s="978"/>
      <c r="URP103" s="978"/>
      <c r="URQ103" s="978"/>
      <c r="URR103" s="978"/>
      <c r="URS103" s="978"/>
      <c r="URT103" s="978"/>
      <c r="URU103" s="978"/>
      <c r="URV103" s="978"/>
      <c r="URW103" s="978"/>
      <c r="URX103" s="978"/>
      <c r="URY103" s="978"/>
      <c r="URZ103" s="978"/>
      <c r="USA103" s="978"/>
      <c r="USB103" s="978"/>
      <c r="USC103" s="978"/>
      <c r="USD103" s="978"/>
      <c r="USE103" s="978"/>
      <c r="USF103" s="978"/>
      <c r="USG103" s="978"/>
      <c r="USH103" s="978"/>
      <c r="USI103" s="978"/>
      <c r="USJ103" s="978"/>
      <c r="USK103" s="978"/>
      <c r="USL103" s="978"/>
      <c r="USM103" s="978"/>
      <c r="USN103" s="978"/>
      <c r="USO103" s="978"/>
      <c r="USP103" s="978"/>
      <c r="USQ103" s="978"/>
      <c r="USR103" s="978"/>
      <c r="USS103" s="978"/>
      <c r="UST103" s="978"/>
      <c r="USU103" s="978"/>
      <c r="USV103" s="978"/>
      <c r="USW103" s="978"/>
      <c r="USX103" s="978"/>
      <c r="USY103" s="978"/>
      <c r="USZ103" s="978"/>
      <c r="UTA103" s="978"/>
      <c r="UTB103" s="978"/>
      <c r="UTC103" s="978"/>
      <c r="UTD103" s="978"/>
      <c r="UTE103" s="978"/>
      <c r="UTF103" s="978"/>
      <c r="UTG103" s="978"/>
      <c r="UTH103" s="978"/>
      <c r="UTI103" s="978"/>
      <c r="UTJ103" s="978"/>
      <c r="UTK103" s="978"/>
      <c r="UTL103" s="978"/>
      <c r="UTM103" s="978"/>
      <c r="UTN103" s="978"/>
      <c r="UTO103" s="978"/>
      <c r="UTP103" s="978"/>
      <c r="UTQ103" s="978"/>
      <c r="UTR103" s="978"/>
      <c r="UTS103" s="978"/>
      <c r="UTT103" s="978"/>
      <c r="UTU103" s="978"/>
      <c r="UTV103" s="978"/>
      <c r="UTW103" s="978"/>
      <c r="UTX103" s="978"/>
      <c r="UTY103" s="978"/>
      <c r="UTZ103" s="978"/>
      <c r="UUA103" s="978"/>
      <c r="UUB103" s="978"/>
      <c r="UUC103" s="978"/>
      <c r="UUD103" s="978"/>
      <c r="UUE103" s="978"/>
      <c r="UUF103" s="978"/>
      <c r="UUG103" s="978"/>
      <c r="UUH103" s="978"/>
      <c r="UUI103" s="978"/>
      <c r="UUJ103" s="978"/>
      <c r="UUK103" s="978"/>
      <c r="UUL103" s="978"/>
      <c r="UUM103" s="978"/>
      <c r="UUN103" s="978"/>
      <c r="UUO103" s="978"/>
      <c r="UUP103" s="978"/>
      <c r="UUQ103" s="978"/>
      <c r="UUR103" s="978"/>
      <c r="UUS103" s="978"/>
      <c r="UUT103" s="978"/>
      <c r="UUU103" s="978"/>
      <c r="UUV103" s="978"/>
      <c r="UUW103" s="978"/>
      <c r="UUX103" s="978"/>
      <c r="UUY103" s="978"/>
      <c r="UUZ103" s="978"/>
      <c r="UVA103" s="978"/>
      <c r="UVB103" s="978"/>
      <c r="UVC103" s="978"/>
      <c r="UVD103" s="978"/>
      <c r="UVE103" s="978"/>
      <c r="UVF103" s="978"/>
      <c r="UVG103" s="978"/>
      <c r="UVH103" s="978"/>
      <c r="UVI103" s="978"/>
      <c r="UVJ103" s="978"/>
      <c r="UVK103" s="978"/>
      <c r="UVL103" s="978"/>
      <c r="UVM103" s="978"/>
      <c r="UVN103" s="978"/>
      <c r="UVO103" s="978"/>
      <c r="UVP103" s="978"/>
      <c r="UVQ103" s="978"/>
      <c r="UVR103" s="978"/>
      <c r="UVS103" s="978"/>
      <c r="UVT103" s="978"/>
      <c r="UVU103" s="978"/>
      <c r="UVV103" s="978"/>
      <c r="UVW103" s="978"/>
      <c r="UVX103" s="978"/>
      <c r="UVY103" s="978"/>
      <c r="UVZ103" s="978"/>
      <c r="UWA103" s="978"/>
      <c r="UWB103" s="978"/>
      <c r="UWC103" s="978"/>
      <c r="UWD103" s="978"/>
      <c r="UWE103" s="978"/>
      <c r="UWF103" s="978"/>
      <c r="UWG103" s="978"/>
      <c r="UWH103" s="978"/>
      <c r="UWI103" s="978"/>
      <c r="UWJ103" s="978"/>
      <c r="UWK103" s="978"/>
      <c r="UWL103" s="978"/>
      <c r="UWM103" s="978"/>
      <c r="UWN103" s="978"/>
      <c r="UWO103" s="978"/>
      <c r="UWP103" s="978"/>
      <c r="UWQ103" s="978"/>
      <c r="UWR103" s="978"/>
      <c r="UWS103" s="978"/>
      <c r="UWT103" s="978"/>
      <c r="UWU103" s="978"/>
      <c r="UWV103" s="978"/>
      <c r="UWW103" s="978"/>
      <c r="UWX103" s="978"/>
      <c r="UWY103" s="978"/>
      <c r="UWZ103" s="978"/>
      <c r="UXA103" s="978"/>
      <c r="UXB103" s="978"/>
      <c r="UXC103" s="978"/>
      <c r="UXD103" s="978"/>
      <c r="UXE103" s="978"/>
      <c r="UXF103" s="978"/>
      <c r="UXG103" s="978"/>
      <c r="UXH103" s="978"/>
      <c r="UXI103" s="978"/>
      <c r="UXJ103" s="978"/>
      <c r="UXK103" s="978"/>
      <c r="UXL103" s="978"/>
      <c r="UXM103" s="978"/>
      <c r="UXN103" s="978"/>
      <c r="UXO103" s="978"/>
      <c r="UXP103" s="978"/>
      <c r="UXQ103" s="978"/>
      <c r="UXR103" s="978"/>
      <c r="UXS103" s="978"/>
      <c r="UXT103" s="978"/>
      <c r="UXU103" s="978"/>
      <c r="UXV103" s="978"/>
      <c r="UXW103" s="978"/>
      <c r="UXX103" s="978"/>
      <c r="UXY103" s="978"/>
      <c r="UXZ103" s="978"/>
      <c r="UYA103" s="978"/>
      <c r="UYB103" s="978"/>
      <c r="UYC103" s="978"/>
      <c r="UYD103" s="978"/>
      <c r="UYE103" s="978"/>
      <c r="UYF103" s="978"/>
      <c r="UYG103" s="978"/>
      <c r="UYH103" s="978"/>
      <c r="UYI103" s="978"/>
      <c r="UYJ103" s="978"/>
      <c r="UYK103" s="978"/>
      <c r="UYL103" s="978"/>
      <c r="UYM103" s="978"/>
      <c r="UYN103" s="978"/>
      <c r="UYO103" s="978"/>
      <c r="UYP103" s="978"/>
      <c r="UYQ103" s="978"/>
      <c r="UYR103" s="978"/>
      <c r="UYS103" s="978"/>
      <c r="UYT103" s="978"/>
      <c r="UYU103" s="978"/>
      <c r="UYV103" s="978"/>
      <c r="UYW103" s="978"/>
      <c r="UYX103" s="978"/>
      <c r="UYY103" s="978"/>
      <c r="UYZ103" s="978"/>
      <c r="UZA103" s="978"/>
      <c r="UZB103" s="978"/>
      <c r="UZC103" s="978"/>
      <c r="UZD103" s="978"/>
      <c r="UZE103" s="978"/>
      <c r="UZF103" s="978"/>
      <c r="UZG103" s="978"/>
      <c r="UZH103" s="978"/>
      <c r="UZI103" s="978"/>
      <c r="UZJ103" s="978"/>
      <c r="UZK103" s="978"/>
      <c r="UZL103" s="978"/>
      <c r="UZM103" s="978"/>
      <c r="UZN103" s="978"/>
      <c r="UZO103" s="978"/>
      <c r="UZP103" s="978"/>
      <c r="UZQ103" s="978"/>
      <c r="UZR103" s="978"/>
      <c r="UZS103" s="978"/>
      <c r="UZT103" s="978"/>
      <c r="UZU103" s="978"/>
      <c r="UZV103" s="978"/>
      <c r="UZW103" s="978"/>
      <c r="UZX103" s="978"/>
      <c r="UZY103" s="978"/>
      <c r="UZZ103" s="978"/>
      <c r="VAA103" s="978"/>
      <c r="VAB103" s="978"/>
      <c r="VAC103" s="978"/>
      <c r="VAD103" s="978"/>
      <c r="VAE103" s="978"/>
      <c r="VAF103" s="978"/>
      <c r="VAG103" s="978"/>
      <c r="VAH103" s="978"/>
      <c r="VAI103" s="978"/>
      <c r="VAJ103" s="978"/>
      <c r="VAK103" s="978"/>
      <c r="VAL103" s="978"/>
      <c r="VAM103" s="978"/>
      <c r="VAN103" s="978"/>
      <c r="VAO103" s="978"/>
      <c r="VAP103" s="978"/>
      <c r="VAQ103" s="978"/>
      <c r="VAR103" s="978"/>
      <c r="VAS103" s="978"/>
      <c r="VAT103" s="978"/>
      <c r="VAU103" s="978"/>
      <c r="VAV103" s="978"/>
      <c r="VAW103" s="978"/>
      <c r="VAX103" s="978"/>
      <c r="VAY103" s="978"/>
      <c r="VAZ103" s="978"/>
      <c r="VBA103" s="978"/>
      <c r="VBB103" s="978"/>
      <c r="VBC103" s="978"/>
      <c r="VBD103" s="978"/>
      <c r="VBE103" s="978"/>
      <c r="VBF103" s="978"/>
      <c r="VBG103" s="978"/>
      <c r="VBH103" s="978"/>
      <c r="VBI103" s="978"/>
      <c r="VBJ103" s="978"/>
      <c r="VBK103" s="978"/>
      <c r="VBL103" s="978"/>
      <c r="VBM103" s="978"/>
      <c r="VBN103" s="978"/>
      <c r="VBO103" s="978"/>
      <c r="VBP103" s="978"/>
      <c r="VBQ103" s="978"/>
      <c r="VBR103" s="978"/>
      <c r="VBS103" s="978"/>
      <c r="VBT103" s="978"/>
      <c r="VBU103" s="978"/>
      <c r="VBV103" s="978"/>
      <c r="VBW103" s="978"/>
      <c r="VBX103" s="978"/>
      <c r="VBY103" s="978"/>
      <c r="VBZ103" s="978"/>
      <c r="VCA103" s="978"/>
      <c r="VCB103" s="978"/>
      <c r="VCC103" s="978"/>
      <c r="VCD103" s="978"/>
      <c r="VCE103" s="978"/>
      <c r="VCF103" s="978"/>
      <c r="VCG103" s="978"/>
      <c r="VCH103" s="978"/>
      <c r="VCI103" s="978"/>
      <c r="VCJ103" s="978"/>
      <c r="VCK103" s="978"/>
      <c r="VCL103" s="978"/>
      <c r="VCM103" s="978"/>
      <c r="VCN103" s="978"/>
      <c r="VCO103" s="978"/>
      <c r="VCP103" s="978"/>
      <c r="VCQ103" s="978"/>
      <c r="VCR103" s="978"/>
      <c r="VCS103" s="978"/>
      <c r="VCT103" s="978"/>
      <c r="VCU103" s="978"/>
      <c r="VCV103" s="978"/>
      <c r="VCW103" s="978"/>
      <c r="VCX103" s="978"/>
      <c r="VCY103" s="978"/>
      <c r="VCZ103" s="978"/>
      <c r="VDA103" s="978"/>
      <c r="VDB103" s="978"/>
      <c r="VDC103" s="978"/>
      <c r="VDD103" s="978"/>
      <c r="VDE103" s="978"/>
      <c r="VDF103" s="978"/>
      <c r="VDG103" s="978"/>
      <c r="VDH103" s="978"/>
      <c r="VDI103" s="978"/>
      <c r="VDJ103" s="978"/>
      <c r="VDK103" s="978"/>
      <c r="VDL103" s="978"/>
      <c r="VDM103" s="978"/>
      <c r="VDN103" s="978"/>
      <c r="VDO103" s="978"/>
      <c r="VDP103" s="978"/>
      <c r="VDQ103" s="978"/>
      <c r="VDR103" s="978"/>
      <c r="VDS103" s="978"/>
      <c r="VDT103" s="978"/>
      <c r="VDU103" s="978"/>
      <c r="VDV103" s="978"/>
      <c r="VDW103" s="978"/>
      <c r="VDX103" s="978"/>
      <c r="VDY103" s="978"/>
      <c r="VDZ103" s="978"/>
      <c r="VEA103" s="978"/>
      <c r="VEB103" s="978"/>
      <c r="VEC103" s="978"/>
      <c r="VED103" s="978"/>
      <c r="VEE103" s="978"/>
      <c r="VEF103" s="978"/>
      <c r="VEG103" s="978"/>
      <c r="VEH103" s="978"/>
      <c r="VEI103" s="978"/>
      <c r="VEJ103" s="978"/>
      <c r="VEK103" s="978"/>
      <c r="VEL103" s="978"/>
      <c r="VEM103" s="978"/>
      <c r="VEN103" s="978"/>
      <c r="VEO103" s="978"/>
      <c r="VEP103" s="978"/>
      <c r="VEQ103" s="978"/>
      <c r="VER103" s="978"/>
      <c r="VES103" s="978"/>
      <c r="VET103" s="978"/>
      <c r="VEU103" s="978"/>
      <c r="VEV103" s="978"/>
      <c r="VEW103" s="978"/>
      <c r="VEX103" s="978"/>
      <c r="VEY103" s="978"/>
      <c r="VEZ103" s="978"/>
      <c r="VFA103" s="978"/>
      <c r="VFB103" s="978"/>
      <c r="VFC103" s="978"/>
      <c r="VFD103" s="978"/>
      <c r="VFE103" s="978"/>
      <c r="VFF103" s="978"/>
      <c r="VFG103" s="978"/>
      <c r="VFH103" s="978"/>
      <c r="VFI103" s="978"/>
      <c r="VFJ103" s="978"/>
      <c r="VFK103" s="978"/>
      <c r="VFL103" s="978"/>
      <c r="VFM103" s="978"/>
      <c r="VFN103" s="978"/>
      <c r="VFO103" s="978"/>
      <c r="VFP103" s="978"/>
      <c r="VFQ103" s="978"/>
      <c r="VFR103" s="978"/>
      <c r="VFS103" s="978"/>
      <c r="VFT103" s="978"/>
      <c r="VFU103" s="978"/>
      <c r="VFV103" s="978"/>
      <c r="VFW103" s="978"/>
      <c r="VFX103" s="978"/>
      <c r="VFY103" s="978"/>
      <c r="VFZ103" s="978"/>
      <c r="VGA103" s="978"/>
      <c r="VGB103" s="978"/>
      <c r="VGC103" s="978"/>
      <c r="VGD103" s="978"/>
      <c r="VGE103" s="978"/>
      <c r="VGF103" s="978"/>
      <c r="VGG103" s="978"/>
      <c r="VGH103" s="978"/>
      <c r="VGI103" s="978"/>
      <c r="VGJ103" s="978"/>
      <c r="VGK103" s="978"/>
      <c r="VGL103" s="978"/>
      <c r="VGM103" s="978"/>
      <c r="VGN103" s="978"/>
      <c r="VGO103" s="978"/>
      <c r="VGP103" s="978"/>
      <c r="VGQ103" s="978"/>
      <c r="VGR103" s="978"/>
      <c r="VGS103" s="978"/>
      <c r="VGT103" s="978"/>
      <c r="VGU103" s="978"/>
      <c r="VGV103" s="978"/>
      <c r="VGW103" s="978"/>
      <c r="VGX103" s="978"/>
      <c r="VGY103" s="978"/>
      <c r="VGZ103" s="978"/>
      <c r="VHA103" s="978"/>
      <c r="VHB103" s="978"/>
      <c r="VHC103" s="978"/>
      <c r="VHD103" s="978"/>
      <c r="VHE103" s="978"/>
      <c r="VHF103" s="978"/>
      <c r="VHG103" s="978"/>
      <c r="VHH103" s="978"/>
      <c r="VHI103" s="978"/>
      <c r="VHJ103" s="978"/>
      <c r="VHK103" s="978"/>
      <c r="VHL103" s="978"/>
      <c r="VHM103" s="978"/>
      <c r="VHN103" s="978"/>
      <c r="VHO103" s="978"/>
      <c r="VHP103" s="978"/>
      <c r="VHQ103" s="978"/>
      <c r="VHR103" s="978"/>
      <c r="VHS103" s="978"/>
      <c r="VHT103" s="978"/>
      <c r="VHU103" s="978"/>
      <c r="VHV103" s="978"/>
      <c r="VHW103" s="978"/>
      <c r="VHX103" s="978"/>
      <c r="VHY103" s="978"/>
      <c r="VHZ103" s="978"/>
      <c r="VIA103" s="978"/>
      <c r="VIB103" s="978"/>
      <c r="VIC103" s="978"/>
      <c r="VID103" s="978"/>
      <c r="VIE103" s="978"/>
      <c r="VIF103" s="978"/>
      <c r="VIG103" s="978"/>
      <c r="VIH103" s="978"/>
      <c r="VII103" s="978"/>
      <c r="VIJ103" s="978"/>
      <c r="VIK103" s="978"/>
      <c r="VIL103" s="978"/>
      <c r="VIM103" s="978"/>
      <c r="VIN103" s="978"/>
      <c r="VIO103" s="978"/>
      <c r="VIP103" s="978"/>
      <c r="VIQ103" s="978"/>
      <c r="VIR103" s="978"/>
      <c r="VIS103" s="978"/>
      <c r="VIT103" s="978"/>
      <c r="VIU103" s="978"/>
      <c r="VIV103" s="978"/>
      <c r="VIW103" s="978"/>
      <c r="VIX103" s="978"/>
      <c r="VIY103" s="978"/>
      <c r="VIZ103" s="978"/>
      <c r="VJA103" s="978"/>
      <c r="VJB103" s="978"/>
      <c r="VJC103" s="978"/>
      <c r="VJD103" s="978"/>
      <c r="VJE103" s="978"/>
      <c r="VJF103" s="978"/>
      <c r="VJG103" s="978"/>
      <c r="VJH103" s="978"/>
      <c r="VJI103" s="978"/>
      <c r="VJJ103" s="978"/>
      <c r="VJK103" s="978"/>
      <c r="VJL103" s="978"/>
      <c r="VJM103" s="978"/>
      <c r="VJN103" s="978"/>
      <c r="VJO103" s="978"/>
      <c r="VJP103" s="978"/>
      <c r="VJQ103" s="978"/>
      <c r="VJR103" s="978"/>
      <c r="VJS103" s="978"/>
      <c r="VJT103" s="978"/>
      <c r="VJU103" s="978"/>
      <c r="VJV103" s="978"/>
      <c r="VJW103" s="978"/>
      <c r="VJX103" s="978"/>
      <c r="VJY103" s="978"/>
      <c r="VJZ103" s="978"/>
      <c r="VKA103" s="978"/>
      <c r="VKB103" s="978"/>
      <c r="VKC103" s="978"/>
      <c r="VKD103" s="978"/>
      <c r="VKE103" s="978"/>
      <c r="VKF103" s="978"/>
      <c r="VKG103" s="978"/>
      <c r="VKH103" s="978"/>
      <c r="VKI103" s="978"/>
      <c r="VKJ103" s="978"/>
      <c r="VKK103" s="978"/>
      <c r="VKL103" s="978"/>
      <c r="VKM103" s="978"/>
      <c r="VKN103" s="978"/>
      <c r="VKO103" s="978"/>
      <c r="VKP103" s="978"/>
      <c r="VKQ103" s="978"/>
      <c r="VKR103" s="978"/>
      <c r="VKS103" s="978"/>
      <c r="VKT103" s="978"/>
      <c r="VKU103" s="978"/>
      <c r="VKV103" s="978"/>
      <c r="VKW103" s="978"/>
      <c r="VKX103" s="978"/>
      <c r="VKY103" s="978"/>
      <c r="VKZ103" s="978"/>
      <c r="VLA103" s="978"/>
      <c r="VLB103" s="978"/>
      <c r="VLC103" s="978"/>
      <c r="VLD103" s="978"/>
      <c r="VLE103" s="978"/>
      <c r="VLF103" s="978"/>
      <c r="VLG103" s="978"/>
      <c r="VLH103" s="978"/>
      <c r="VLI103" s="978"/>
      <c r="VLJ103" s="978"/>
      <c r="VLK103" s="978"/>
      <c r="VLL103" s="978"/>
      <c r="VLM103" s="978"/>
      <c r="VLN103" s="978"/>
      <c r="VLO103" s="978"/>
      <c r="VLP103" s="978"/>
      <c r="VLQ103" s="978"/>
      <c r="VLR103" s="978"/>
      <c r="VLS103" s="978"/>
      <c r="VLT103" s="978"/>
      <c r="VLU103" s="978"/>
      <c r="VLV103" s="978"/>
      <c r="VLW103" s="978"/>
      <c r="VLX103" s="978"/>
      <c r="VLY103" s="978"/>
      <c r="VLZ103" s="978"/>
      <c r="VMA103" s="978"/>
      <c r="VMB103" s="978"/>
      <c r="VMC103" s="978"/>
      <c r="VMD103" s="978"/>
      <c r="VME103" s="978"/>
      <c r="VMF103" s="978"/>
      <c r="VMG103" s="978"/>
      <c r="VMH103" s="978"/>
      <c r="VMI103" s="978"/>
      <c r="VMJ103" s="978"/>
      <c r="VMK103" s="978"/>
      <c r="VML103" s="978"/>
      <c r="VMM103" s="978"/>
      <c r="VMN103" s="978"/>
      <c r="VMO103" s="978"/>
      <c r="VMP103" s="978"/>
      <c r="VMQ103" s="978"/>
      <c r="VMR103" s="978"/>
      <c r="VMS103" s="978"/>
      <c r="VMT103" s="978"/>
      <c r="VMU103" s="978"/>
      <c r="VMV103" s="978"/>
      <c r="VMW103" s="978"/>
      <c r="VMX103" s="978"/>
      <c r="VMY103" s="978"/>
      <c r="VMZ103" s="978"/>
      <c r="VNA103" s="978"/>
      <c r="VNB103" s="978"/>
      <c r="VNC103" s="978"/>
      <c r="VND103" s="978"/>
      <c r="VNE103" s="978"/>
      <c r="VNF103" s="978"/>
      <c r="VNG103" s="978"/>
      <c r="VNH103" s="978"/>
      <c r="VNI103" s="978"/>
      <c r="VNJ103" s="978"/>
      <c r="VNK103" s="978"/>
      <c r="VNL103" s="978"/>
      <c r="VNM103" s="978"/>
      <c r="VNN103" s="978"/>
      <c r="VNO103" s="978"/>
      <c r="VNP103" s="978"/>
      <c r="VNQ103" s="978"/>
      <c r="VNR103" s="978"/>
      <c r="VNS103" s="978"/>
      <c r="VNT103" s="978"/>
      <c r="VNU103" s="978"/>
      <c r="VNV103" s="978"/>
      <c r="VNW103" s="978"/>
      <c r="VNX103" s="978"/>
      <c r="VNY103" s="978"/>
      <c r="VNZ103" s="978"/>
      <c r="VOA103" s="978"/>
      <c r="VOB103" s="978"/>
      <c r="VOC103" s="978"/>
      <c r="VOD103" s="978"/>
      <c r="VOE103" s="978"/>
      <c r="VOF103" s="978"/>
      <c r="VOG103" s="978"/>
      <c r="VOH103" s="978"/>
      <c r="VOI103" s="978"/>
      <c r="VOJ103" s="978"/>
      <c r="VOK103" s="978"/>
      <c r="VOL103" s="978"/>
      <c r="VOM103" s="978"/>
      <c r="VON103" s="978"/>
      <c r="VOO103" s="978"/>
      <c r="VOP103" s="978"/>
      <c r="VOQ103" s="978"/>
      <c r="VOR103" s="978"/>
      <c r="VOS103" s="978"/>
      <c r="VOT103" s="978"/>
      <c r="VOU103" s="978"/>
      <c r="VOV103" s="978"/>
      <c r="VOW103" s="978"/>
      <c r="VOX103" s="978"/>
      <c r="VOY103" s="978"/>
      <c r="VOZ103" s="978"/>
      <c r="VPA103" s="978"/>
      <c r="VPB103" s="978"/>
      <c r="VPC103" s="978"/>
      <c r="VPD103" s="978"/>
      <c r="VPE103" s="978"/>
      <c r="VPF103" s="978"/>
      <c r="VPG103" s="978"/>
      <c r="VPH103" s="978"/>
      <c r="VPI103" s="978"/>
      <c r="VPJ103" s="978"/>
      <c r="VPK103" s="978"/>
      <c r="VPL103" s="978"/>
      <c r="VPM103" s="978"/>
      <c r="VPN103" s="978"/>
      <c r="VPO103" s="978"/>
      <c r="VPP103" s="978"/>
      <c r="VPQ103" s="978"/>
      <c r="VPR103" s="978"/>
      <c r="VPS103" s="978"/>
      <c r="VPT103" s="978"/>
      <c r="VPU103" s="978"/>
      <c r="VPV103" s="978"/>
      <c r="VPW103" s="978"/>
      <c r="VPX103" s="978"/>
      <c r="VPY103" s="978"/>
      <c r="VPZ103" s="978"/>
      <c r="VQA103" s="978"/>
      <c r="VQB103" s="978"/>
      <c r="VQC103" s="978"/>
      <c r="VQD103" s="978"/>
      <c r="VQE103" s="978"/>
      <c r="VQF103" s="978"/>
      <c r="VQG103" s="978"/>
      <c r="VQH103" s="978"/>
      <c r="VQI103" s="978"/>
      <c r="VQJ103" s="978"/>
      <c r="VQK103" s="978"/>
      <c r="VQL103" s="978"/>
      <c r="VQM103" s="978"/>
      <c r="VQN103" s="978"/>
      <c r="VQO103" s="978"/>
      <c r="VQP103" s="978"/>
      <c r="VQQ103" s="978"/>
      <c r="VQR103" s="978"/>
      <c r="VQS103" s="978"/>
      <c r="VQT103" s="978"/>
      <c r="VQU103" s="978"/>
      <c r="VQV103" s="978"/>
      <c r="VQW103" s="978"/>
      <c r="VQX103" s="978"/>
      <c r="VQY103" s="978"/>
      <c r="VQZ103" s="978"/>
      <c r="VRA103" s="978"/>
      <c r="VRB103" s="978"/>
      <c r="VRC103" s="978"/>
      <c r="VRD103" s="978"/>
      <c r="VRE103" s="978"/>
      <c r="VRF103" s="978"/>
      <c r="VRG103" s="978"/>
      <c r="VRH103" s="978"/>
      <c r="VRI103" s="978"/>
      <c r="VRJ103" s="978"/>
      <c r="VRK103" s="978"/>
      <c r="VRL103" s="978"/>
      <c r="VRM103" s="978"/>
      <c r="VRN103" s="978"/>
      <c r="VRO103" s="978"/>
      <c r="VRP103" s="978"/>
      <c r="VRQ103" s="978"/>
      <c r="VRR103" s="978"/>
      <c r="VRS103" s="978"/>
      <c r="VRT103" s="978"/>
      <c r="VRU103" s="978"/>
      <c r="VRV103" s="978"/>
      <c r="VRW103" s="978"/>
      <c r="VRX103" s="978"/>
      <c r="VRY103" s="978"/>
      <c r="VRZ103" s="978"/>
      <c r="VSA103" s="978"/>
      <c r="VSB103" s="978"/>
      <c r="VSC103" s="978"/>
      <c r="VSD103" s="978"/>
      <c r="VSE103" s="978"/>
      <c r="VSF103" s="978"/>
      <c r="VSG103" s="978"/>
      <c r="VSH103" s="978"/>
      <c r="VSI103" s="978"/>
      <c r="VSJ103" s="978"/>
      <c r="VSK103" s="978"/>
      <c r="VSL103" s="978"/>
      <c r="VSM103" s="978"/>
      <c r="VSN103" s="978"/>
      <c r="VSO103" s="978"/>
      <c r="VSP103" s="978"/>
      <c r="VSQ103" s="978"/>
      <c r="VSR103" s="978"/>
      <c r="VSS103" s="978"/>
      <c r="VST103" s="978"/>
      <c r="VSU103" s="978"/>
      <c r="VSV103" s="978"/>
      <c r="VSW103" s="978"/>
      <c r="VSX103" s="978"/>
      <c r="VSY103" s="978"/>
      <c r="VSZ103" s="978"/>
      <c r="VTA103" s="978"/>
      <c r="VTB103" s="978"/>
      <c r="VTC103" s="978"/>
      <c r="VTD103" s="978"/>
      <c r="VTE103" s="978"/>
      <c r="VTF103" s="978"/>
      <c r="VTG103" s="978"/>
      <c r="VTH103" s="978"/>
      <c r="VTI103" s="978"/>
      <c r="VTJ103" s="978"/>
      <c r="VTK103" s="978"/>
      <c r="VTL103" s="978"/>
      <c r="VTM103" s="978"/>
      <c r="VTN103" s="978"/>
      <c r="VTO103" s="978"/>
      <c r="VTP103" s="978"/>
      <c r="VTQ103" s="978"/>
      <c r="VTR103" s="978"/>
      <c r="VTS103" s="978"/>
      <c r="VTT103" s="978"/>
      <c r="VTU103" s="978"/>
      <c r="VTV103" s="978"/>
      <c r="VTW103" s="978"/>
      <c r="VTX103" s="978"/>
      <c r="VTY103" s="978"/>
      <c r="VTZ103" s="978"/>
      <c r="VUA103" s="978"/>
      <c r="VUB103" s="978"/>
      <c r="VUC103" s="978"/>
      <c r="VUD103" s="978"/>
      <c r="VUE103" s="978"/>
      <c r="VUF103" s="978"/>
      <c r="VUG103" s="978"/>
      <c r="VUH103" s="978"/>
      <c r="VUI103" s="978"/>
      <c r="VUJ103" s="978"/>
      <c r="VUK103" s="978"/>
      <c r="VUL103" s="978"/>
      <c r="VUM103" s="978"/>
      <c r="VUN103" s="978"/>
      <c r="VUO103" s="978"/>
      <c r="VUP103" s="978"/>
      <c r="VUQ103" s="978"/>
      <c r="VUR103" s="978"/>
      <c r="VUS103" s="978"/>
      <c r="VUT103" s="978"/>
      <c r="VUU103" s="978"/>
      <c r="VUV103" s="978"/>
      <c r="VUW103" s="978"/>
      <c r="VUX103" s="978"/>
      <c r="VUY103" s="978"/>
      <c r="VUZ103" s="978"/>
      <c r="VVA103" s="978"/>
      <c r="VVB103" s="978"/>
      <c r="VVC103" s="978"/>
      <c r="VVD103" s="978"/>
      <c r="VVE103" s="978"/>
      <c r="VVF103" s="978"/>
      <c r="VVG103" s="978"/>
      <c r="VVH103" s="978"/>
      <c r="VVI103" s="978"/>
      <c r="VVJ103" s="978"/>
      <c r="VVK103" s="978"/>
      <c r="VVL103" s="978"/>
      <c r="VVM103" s="978"/>
      <c r="VVN103" s="978"/>
      <c r="VVO103" s="978"/>
      <c r="VVP103" s="978"/>
      <c r="VVQ103" s="978"/>
      <c r="VVR103" s="978"/>
      <c r="VVS103" s="978"/>
      <c r="VVT103" s="978"/>
      <c r="VVU103" s="978"/>
      <c r="VVV103" s="978"/>
      <c r="VVW103" s="978"/>
      <c r="VVX103" s="978"/>
      <c r="VVY103" s="978"/>
      <c r="VVZ103" s="978"/>
      <c r="VWA103" s="978"/>
      <c r="VWB103" s="978"/>
      <c r="VWC103" s="978"/>
      <c r="VWD103" s="978"/>
      <c r="VWE103" s="978"/>
      <c r="VWF103" s="978"/>
      <c r="VWG103" s="978"/>
      <c r="VWH103" s="978"/>
      <c r="VWI103" s="978"/>
      <c r="VWJ103" s="978"/>
      <c r="VWK103" s="978"/>
      <c r="VWL103" s="978"/>
      <c r="VWM103" s="978"/>
      <c r="VWN103" s="978"/>
      <c r="VWO103" s="978"/>
      <c r="VWP103" s="978"/>
      <c r="VWQ103" s="978"/>
      <c r="VWR103" s="978"/>
      <c r="VWS103" s="978"/>
      <c r="VWT103" s="978"/>
      <c r="VWU103" s="978"/>
      <c r="VWV103" s="978"/>
      <c r="VWW103" s="978"/>
      <c r="VWX103" s="978"/>
      <c r="VWY103" s="978"/>
      <c r="VWZ103" s="978"/>
      <c r="VXA103" s="978"/>
      <c r="VXB103" s="978"/>
      <c r="VXC103" s="978"/>
      <c r="VXD103" s="978"/>
      <c r="VXE103" s="978"/>
      <c r="VXF103" s="978"/>
      <c r="VXG103" s="978"/>
      <c r="VXH103" s="978"/>
      <c r="VXI103" s="978"/>
      <c r="VXJ103" s="978"/>
      <c r="VXK103" s="978"/>
      <c r="VXL103" s="978"/>
      <c r="VXM103" s="978"/>
      <c r="VXN103" s="978"/>
      <c r="VXO103" s="978"/>
      <c r="VXP103" s="978"/>
      <c r="VXQ103" s="978"/>
      <c r="VXR103" s="978"/>
      <c r="VXS103" s="978"/>
      <c r="VXT103" s="978"/>
      <c r="VXU103" s="978"/>
      <c r="VXV103" s="978"/>
      <c r="VXW103" s="978"/>
      <c r="VXX103" s="978"/>
      <c r="VXY103" s="978"/>
      <c r="VXZ103" s="978"/>
      <c r="VYA103" s="978"/>
      <c r="VYB103" s="978"/>
      <c r="VYC103" s="978"/>
      <c r="VYD103" s="978"/>
      <c r="VYE103" s="978"/>
      <c r="VYF103" s="978"/>
      <c r="VYG103" s="978"/>
      <c r="VYH103" s="978"/>
      <c r="VYI103" s="978"/>
      <c r="VYJ103" s="978"/>
      <c r="VYK103" s="978"/>
      <c r="VYL103" s="978"/>
      <c r="VYM103" s="978"/>
      <c r="VYN103" s="978"/>
      <c r="VYO103" s="978"/>
      <c r="VYP103" s="978"/>
      <c r="VYQ103" s="978"/>
      <c r="VYR103" s="978"/>
      <c r="VYS103" s="978"/>
      <c r="VYT103" s="978"/>
      <c r="VYU103" s="978"/>
      <c r="VYV103" s="978"/>
      <c r="VYW103" s="978"/>
      <c r="VYX103" s="978"/>
      <c r="VYY103" s="978"/>
      <c r="VYZ103" s="978"/>
      <c r="VZA103" s="978"/>
      <c r="VZB103" s="978"/>
      <c r="VZC103" s="978"/>
      <c r="VZD103" s="978"/>
      <c r="VZE103" s="978"/>
      <c r="VZF103" s="978"/>
      <c r="VZG103" s="978"/>
      <c r="VZH103" s="978"/>
      <c r="VZI103" s="978"/>
      <c r="VZJ103" s="978"/>
      <c r="VZK103" s="978"/>
      <c r="VZL103" s="978"/>
      <c r="VZM103" s="978"/>
      <c r="VZN103" s="978"/>
      <c r="VZO103" s="978"/>
      <c r="VZP103" s="978"/>
      <c r="VZQ103" s="978"/>
      <c r="VZR103" s="978"/>
      <c r="VZS103" s="978"/>
      <c r="VZT103" s="978"/>
      <c r="VZU103" s="978"/>
      <c r="VZV103" s="978"/>
      <c r="VZW103" s="978"/>
      <c r="VZX103" s="978"/>
      <c r="VZY103" s="978"/>
      <c r="VZZ103" s="978"/>
      <c r="WAA103" s="978"/>
      <c r="WAB103" s="978"/>
      <c r="WAC103" s="978"/>
      <c r="WAD103" s="978"/>
      <c r="WAE103" s="978"/>
      <c r="WAF103" s="978"/>
      <c r="WAG103" s="978"/>
      <c r="WAH103" s="978"/>
      <c r="WAI103" s="978"/>
      <c r="WAJ103" s="978"/>
      <c r="WAK103" s="978"/>
      <c r="WAL103" s="978"/>
      <c r="WAM103" s="978"/>
      <c r="WAN103" s="978"/>
      <c r="WAO103" s="978"/>
      <c r="WAP103" s="978"/>
      <c r="WAQ103" s="978"/>
      <c r="WAR103" s="978"/>
      <c r="WAS103" s="978"/>
      <c r="WAT103" s="978"/>
      <c r="WAU103" s="978"/>
      <c r="WAV103" s="978"/>
      <c r="WAW103" s="978"/>
      <c r="WAX103" s="978"/>
      <c r="WAY103" s="978"/>
      <c r="WAZ103" s="978"/>
      <c r="WBA103" s="978"/>
      <c r="WBB103" s="978"/>
      <c r="WBC103" s="978"/>
      <c r="WBD103" s="978"/>
      <c r="WBE103" s="978"/>
      <c r="WBF103" s="978"/>
      <c r="WBG103" s="978"/>
      <c r="WBH103" s="978"/>
      <c r="WBI103" s="978"/>
      <c r="WBJ103" s="978"/>
      <c r="WBK103" s="978"/>
      <c r="WBL103" s="978"/>
      <c r="WBM103" s="978"/>
      <c r="WBN103" s="978"/>
      <c r="WBO103" s="978"/>
      <c r="WBP103" s="978"/>
      <c r="WBQ103" s="978"/>
      <c r="WBR103" s="978"/>
      <c r="WBS103" s="978"/>
      <c r="WBT103" s="978"/>
      <c r="WBU103" s="978"/>
      <c r="WBV103" s="978"/>
      <c r="WBW103" s="978"/>
      <c r="WBX103" s="978"/>
      <c r="WBY103" s="978"/>
      <c r="WBZ103" s="978"/>
      <c r="WCA103" s="978"/>
      <c r="WCB103" s="978"/>
      <c r="WCC103" s="978"/>
      <c r="WCD103" s="978"/>
      <c r="WCE103" s="978"/>
      <c r="WCF103" s="978"/>
      <c r="WCG103" s="978"/>
      <c r="WCH103" s="978"/>
      <c r="WCI103" s="978"/>
      <c r="WCJ103" s="978"/>
      <c r="WCK103" s="978"/>
      <c r="WCL103" s="978"/>
      <c r="WCM103" s="978"/>
      <c r="WCN103" s="978"/>
      <c r="WCO103" s="978"/>
      <c r="WCP103" s="978"/>
      <c r="WCQ103" s="978"/>
      <c r="WCR103" s="978"/>
      <c r="WCS103" s="978"/>
      <c r="WCT103" s="978"/>
      <c r="WCU103" s="978"/>
      <c r="WCV103" s="978"/>
      <c r="WCW103" s="978"/>
      <c r="WCX103" s="978"/>
      <c r="WCY103" s="978"/>
      <c r="WCZ103" s="978"/>
      <c r="WDA103" s="978"/>
      <c r="WDB103" s="978"/>
      <c r="WDC103" s="978"/>
      <c r="WDD103" s="978"/>
      <c r="WDE103" s="978"/>
      <c r="WDF103" s="978"/>
      <c r="WDG103" s="978"/>
      <c r="WDH103" s="978"/>
      <c r="WDI103" s="978"/>
      <c r="WDJ103" s="978"/>
      <c r="WDK103" s="978"/>
      <c r="WDL103" s="978"/>
      <c r="WDM103" s="978"/>
      <c r="WDN103" s="978"/>
      <c r="WDO103" s="978"/>
      <c r="WDP103" s="978"/>
      <c r="WDQ103" s="978"/>
      <c r="WDR103" s="978"/>
      <c r="WDS103" s="978"/>
      <c r="WDT103" s="978"/>
      <c r="WDU103" s="978"/>
      <c r="WDV103" s="978"/>
      <c r="WDW103" s="978"/>
      <c r="WDX103" s="978"/>
      <c r="WDY103" s="978"/>
      <c r="WDZ103" s="978"/>
      <c r="WEA103" s="978"/>
      <c r="WEB103" s="978"/>
      <c r="WEC103" s="978"/>
      <c r="WED103" s="978"/>
      <c r="WEE103" s="978"/>
      <c r="WEF103" s="978"/>
      <c r="WEG103" s="978"/>
      <c r="WEH103" s="978"/>
      <c r="WEI103" s="978"/>
      <c r="WEJ103" s="978"/>
      <c r="WEK103" s="978"/>
      <c r="WEL103" s="978"/>
      <c r="WEM103" s="978"/>
      <c r="WEN103" s="978"/>
      <c r="WEO103" s="978"/>
      <c r="WEP103" s="978"/>
      <c r="WEQ103" s="978"/>
      <c r="WER103" s="978"/>
      <c r="WES103" s="978"/>
      <c r="WET103" s="978"/>
      <c r="WEU103" s="978"/>
      <c r="WEV103" s="978"/>
      <c r="WEW103" s="978"/>
      <c r="WEX103" s="978"/>
      <c r="WEY103" s="978"/>
      <c r="WEZ103" s="978"/>
      <c r="WFA103" s="978"/>
      <c r="WFB103" s="978"/>
      <c r="WFC103" s="978"/>
      <c r="WFD103" s="978"/>
      <c r="WFE103" s="978"/>
      <c r="WFF103" s="978"/>
      <c r="WFG103" s="978"/>
      <c r="WFH103" s="978"/>
      <c r="WFI103" s="978"/>
      <c r="WFJ103" s="978"/>
      <c r="WFK103" s="978"/>
      <c r="WFL103" s="978"/>
      <c r="WFM103" s="978"/>
      <c r="WFN103" s="978"/>
      <c r="WFO103" s="978"/>
      <c r="WFP103" s="978"/>
      <c r="WFQ103" s="978"/>
      <c r="WFR103" s="978"/>
      <c r="WFS103" s="978"/>
      <c r="WFT103" s="978"/>
      <c r="WFU103" s="978"/>
      <c r="WFV103" s="978"/>
      <c r="WFW103" s="978"/>
      <c r="WFX103" s="978"/>
      <c r="WFY103" s="978"/>
      <c r="WFZ103" s="978"/>
      <c r="WGA103" s="978"/>
      <c r="WGB103" s="978"/>
      <c r="WGC103" s="978"/>
      <c r="WGD103" s="978"/>
      <c r="WGE103" s="978"/>
      <c r="WGF103" s="978"/>
      <c r="WGG103" s="978"/>
      <c r="WGH103" s="978"/>
      <c r="WGI103" s="978"/>
      <c r="WGJ103" s="978"/>
      <c r="WGK103" s="978"/>
      <c r="WGL103" s="978"/>
      <c r="WGM103" s="978"/>
      <c r="WGN103" s="978"/>
      <c r="WGO103" s="978"/>
      <c r="WGP103" s="978"/>
      <c r="WGQ103" s="978"/>
      <c r="WGR103" s="978"/>
      <c r="WGS103" s="978"/>
      <c r="WGT103" s="978"/>
      <c r="WGU103" s="978"/>
      <c r="WGV103" s="978"/>
      <c r="WGW103" s="978"/>
      <c r="WGX103" s="978"/>
      <c r="WGY103" s="978"/>
      <c r="WGZ103" s="978"/>
      <c r="WHA103" s="978"/>
      <c r="WHB103" s="978"/>
      <c r="WHC103" s="978"/>
      <c r="WHD103" s="978"/>
      <c r="WHE103" s="978"/>
      <c r="WHF103" s="978"/>
      <c r="WHG103" s="978"/>
      <c r="WHH103" s="978"/>
      <c r="WHI103" s="978"/>
      <c r="WHJ103" s="978"/>
      <c r="WHK103" s="978"/>
      <c r="WHL103" s="978"/>
      <c r="WHM103" s="978"/>
      <c r="WHN103" s="978"/>
      <c r="WHO103" s="978"/>
      <c r="WHP103" s="978"/>
      <c r="WHQ103" s="978"/>
      <c r="WHR103" s="978"/>
      <c r="WHS103" s="978"/>
      <c r="WHT103" s="978"/>
      <c r="WHU103" s="978"/>
      <c r="WHV103" s="978"/>
      <c r="WHW103" s="978"/>
      <c r="WHX103" s="978"/>
      <c r="WHY103" s="978"/>
      <c r="WHZ103" s="978"/>
      <c r="WIA103" s="978"/>
      <c r="WIB103" s="978"/>
      <c r="WIC103" s="978"/>
      <c r="WID103" s="978"/>
      <c r="WIE103" s="978"/>
      <c r="WIF103" s="978"/>
      <c r="WIG103" s="978"/>
      <c r="WIH103" s="978"/>
      <c r="WII103" s="978"/>
      <c r="WIJ103" s="978"/>
      <c r="WIK103" s="978"/>
      <c r="WIL103" s="978"/>
      <c r="WIM103" s="978"/>
      <c r="WIN103" s="978"/>
      <c r="WIO103" s="978"/>
      <c r="WIP103" s="978"/>
      <c r="WIQ103" s="978"/>
      <c r="WIR103" s="978"/>
      <c r="WIS103" s="978"/>
      <c r="WIT103" s="978"/>
      <c r="WIU103" s="978"/>
      <c r="WIV103" s="978"/>
      <c r="WIW103" s="978"/>
      <c r="WIX103" s="978"/>
      <c r="WIY103" s="978"/>
      <c r="WIZ103" s="978"/>
      <c r="WJA103" s="978"/>
      <c r="WJB103" s="978"/>
      <c r="WJC103" s="978"/>
      <c r="WJD103" s="978"/>
      <c r="WJE103" s="978"/>
      <c r="WJF103" s="978"/>
      <c r="WJG103" s="978"/>
      <c r="WJH103" s="978"/>
      <c r="WJI103" s="978"/>
      <c r="WJJ103" s="978"/>
      <c r="WJK103" s="978"/>
      <c r="WJL103" s="978"/>
      <c r="WJM103" s="978"/>
      <c r="WJN103" s="978"/>
      <c r="WJO103" s="978"/>
      <c r="WJP103" s="978"/>
      <c r="WJQ103" s="978"/>
      <c r="WJR103" s="978"/>
      <c r="WJS103" s="978"/>
      <c r="WJT103" s="978"/>
      <c r="WJU103" s="978"/>
      <c r="WJV103" s="978"/>
      <c r="WJW103" s="978"/>
      <c r="WJX103" s="978"/>
      <c r="WJY103" s="978"/>
      <c r="WJZ103" s="978"/>
      <c r="WKA103" s="978"/>
      <c r="WKB103" s="978"/>
      <c r="WKC103" s="978"/>
      <c r="WKD103" s="978"/>
      <c r="WKE103" s="978"/>
      <c r="WKF103" s="978"/>
      <c r="WKG103" s="978"/>
      <c r="WKH103" s="978"/>
      <c r="WKI103" s="978"/>
      <c r="WKJ103" s="978"/>
      <c r="WKK103" s="978"/>
      <c r="WKL103" s="978"/>
      <c r="WKM103" s="978"/>
      <c r="WKN103" s="978"/>
      <c r="WKO103" s="978"/>
      <c r="WKP103" s="978"/>
      <c r="WKQ103" s="978"/>
      <c r="WKR103" s="978"/>
      <c r="WKS103" s="978"/>
      <c r="WKT103" s="978"/>
      <c r="WKU103" s="978"/>
      <c r="WKV103" s="978"/>
      <c r="WKW103" s="978"/>
      <c r="WKX103" s="978"/>
      <c r="WKY103" s="978"/>
      <c r="WKZ103" s="978"/>
      <c r="WLA103" s="978"/>
      <c r="WLB103" s="978"/>
      <c r="WLC103" s="978"/>
      <c r="WLD103" s="978"/>
      <c r="WLE103" s="978"/>
      <c r="WLF103" s="978"/>
      <c r="WLG103" s="978"/>
      <c r="WLH103" s="978"/>
      <c r="WLI103" s="978"/>
      <c r="WLJ103" s="978"/>
      <c r="WLK103" s="978"/>
      <c r="WLL103" s="978"/>
      <c r="WLM103" s="978"/>
      <c r="WLN103" s="978"/>
      <c r="WLO103" s="978"/>
      <c r="WLP103" s="978"/>
      <c r="WLQ103" s="978"/>
      <c r="WLR103" s="978"/>
      <c r="WLS103" s="978"/>
      <c r="WLT103" s="978"/>
      <c r="WLU103" s="978"/>
      <c r="WLV103" s="978"/>
      <c r="WLW103" s="978"/>
      <c r="WLX103" s="978"/>
      <c r="WLY103" s="978"/>
      <c r="WLZ103" s="978"/>
      <c r="WMA103" s="978"/>
      <c r="WMB103" s="978"/>
      <c r="WMC103" s="978"/>
      <c r="WMD103" s="978"/>
      <c r="WME103" s="978"/>
      <c r="WMF103" s="978"/>
      <c r="WMG103" s="978"/>
      <c r="WMH103" s="978"/>
      <c r="WMI103" s="978"/>
      <c r="WMJ103" s="978"/>
      <c r="WMK103" s="978"/>
      <c r="WML103" s="978"/>
      <c r="WMM103" s="978"/>
      <c r="WMN103" s="978"/>
      <c r="WMO103" s="978"/>
      <c r="WMP103" s="978"/>
      <c r="WMQ103" s="978"/>
      <c r="WMR103" s="978"/>
      <c r="WMS103" s="978"/>
      <c r="WMT103" s="978"/>
      <c r="WMU103" s="978"/>
      <c r="WMV103" s="978"/>
      <c r="WMW103" s="978"/>
      <c r="WMX103" s="978"/>
      <c r="WMY103" s="978"/>
      <c r="WMZ103" s="978"/>
      <c r="WNA103" s="978"/>
      <c r="WNB103" s="978"/>
      <c r="WNC103" s="978"/>
      <c r="WND103" s="978"/>
      <c r="WNE103" s="978"/>
      <c r="WNF103" s="978"/>
      <c r="WNG103" s="978"/>
      <c r="WNH103" s="978"/>
      <c r="WNI103" s="978"/>
      <c r="WNJ103" s="978"/>
      <c r="WNK103" s="978"/>
      <c r="WNL103" s="978"/>
      <c r="WNM103" s="978"/>
      <c r="WNN103" s="978"/>
      <c r="WNO103" s="978"/>
      <c r="WNP103" s="978"/>
      <c r="WNQ103" s="978"/>
      <c r="WNR103" s="978"/>
      <c r="WNS103" s="978"/>
      <c r="WNT103" s="978"/>
      <c r="WNU103" s="978"/>
      <c r="WNV103" s="978"/>
      <c r="WNW103" s="978"/>
      <c r="WNX103" s="978"/>
      <c r="WNY103" s="978"/>
      <c r="WNZ103" s="978"/>
      <c r="WOA103" s="978"/>
      <c r="WOB103" s="978"/>
      <c r="WOC103" s="978"/>
      <c r="WOD103" s="978"/>
      <c r="WOE103" s="978"/>
      <c r="WOF103" s="978"/>
      <c r="WOG103" s="978"/>
      <c r="WOH103" s="978"/>
      <c r="WOI103" s="978"/>
      <c r="WOJ103" s="978"/>
      <c r="WOK103" s="978"/>
      <c r="WOL103" s="978"/>
      <c r="WOM103" s="978"/>
      <c r="WON103" s="978"/>
      <c r="WOO103" s="978"/>
      <c r="WOP103" s="978"/>
      <c r="WOQ103" s="978"/>
      <c r="WOR103" s="978"/>
      <c r="WOS103" s="978"/>
      <c r="WOT103" s="978"/>
      <c r="WOU103" s="978"/>
      <c r="WOV103" s="978"/>
      <c r="WOW103" s="978"/>
      <c r="WOX103" s="978"/>
      <c r="WOY103" s="978"/>
      <c r="WOZ103" s="978"/>
      <c r="WPA103" s="978"/>
      <c r="WPB103" s="978"/>
      <c r="WPC103" s="978"/>
      <c r="WPD103" s="978"/>
      <c r="WPE103" s="978"/>
      <c r="WPF103" s="978"/>
      <c r="WPG103" s="978"/>
      <c r="WPH103" s="978"/>
      <c r="WPI103" s="978"/>
      <c r="WPJ103" s="978"/>
      <c r="WPK103" s="978"/>
      <c r="WPL103" s="978"/>
      <c r="WPM103" s="978"/>
      <c r="WPN103" s="978"/>
      <c r="WPO103" s="978"/>
      <c r="WPP103" s="978"/>
      <c r="WPQ103" s="978"/>
      <c r="WPR103" s="978"/>
      <c r="WPS103" s="978"/>
      <c r="WPT103" s="978"/>
      <c r="WPU103" s="978"/>
      <c r="WPV103" s="978"/>
      <c r="WPW103" s="978"/>
      <c r="WPX103" s="978"/>
      <c r="WPY103" s="978"/>
      <c r="WPZ103" s="978"/>
      <c r="WQA103" s="978"/>
      <c r="WQB103" s="978"/>
      <c r="WQC103" s="978"/>
      <c r="WQD103" s="978"/>
      <c r="WQE103" s="978"/>
      <c r="WQF103" s="978"/>
      <c r="WQG103" s="978"/>
      <c r="WQH103" s="978"/>
      <c r="WQI103" s="978"/>
      <c r="WQJ103" s="978"/>
      <c r="WQK103" s="978"/>
      <c r="WQL103" s="978"/>
      <c r="WQM103" s="978"/>
      <c r="WQN103" s="978"/>
      <c r="WQO103" s="978"/>
      <c r="WQP103" s="978"/>
      <c r="WQQ103" s="978"/>
      <c r="WQR103" s="978"/>
      <c r="WQS103" s="978"/>
      <c r="WQT103" s="978"/>
      <c r="WQU103" s="978"/>
      <c r="WQV103" s="978"/>
      <c r="WQW103" s="978"/>
      <c r="WQX103" s="978"/>
      <c r="WQY103" s="978"/>
      <c r="WQZ103" s="978"/>
      <c r="WRA103" s="978"/>
      <c r="WRB103" s="978"/>
      <c r="WRC103" s="978"/>
      <c r="WRD103" s="978"/>
      <c r="WRE103" s="978"/>
      <c r="WRF103" s="978"/>
      <c r="WRG103" s="978"/>
      <c r="WRH103" s="978"/>
      <c r="WRI103" s="978"/>
      <c r="WRJ103" s="978"/>
      <c r="WRK103" s="978"/>
      <c r="WRL103" s="978"/>
      <c r="WRM103" s="978"/>
      <c r="WRN103" s="978"/>
      <c r="WRO103" s="978"/>
      <c r="WRP103" s="978"/>
      <c r="WRQ103" s="978"/>
      <c r="WRR103" s="978"/>
      <c r="WRS103" s="978"/>
      <c r="WRT103" s="978"/>
      <c r="WRU103" s="978"/>
      <c r="WRV103" s="978"/>
      <c r="WRW103" s="978"/>
      <c r="WRX103" s="978"/>
      <c r="WRY103" s="978"/>
      <c r="WRZ103" s="978"/>
      <c r="WSA103" s="978"/>
      <c r="WSB103" s="978"/>
      <c r="WSC103" s="978"/>
      <c r="WSD103" s="978"/>
      <c r="WSE103" s="978"/>
      <c r="WSF103" s="978"/>
      <c r="WSG103" s="978"/>
      <c r="WSH103" s="978"/>
      <c r="WSI103" s="978"/>
      <c r="WSJ103" s="978"/>
      <c r="WSK103" s="978"/>
      <c r="WSL103" s="978"/>
      <c r="WSM103" s="978"/>
      <c r="WSN103" s="978"/>
      <c r="WSO103" s="978"/>
      <c r="WSP103" s="978"/>
      <c r="WSQ103" s="978"/>
      <c r="WSR103" s="978"/>
      <c r="WSS103" s="978"/>
      <c r="WST103" s="978"/>
      <c r="WSU103" s="978"/>
      <c r="WSV103" s="978"/>
      <c r="WSW103" s="978"/>
      <c r="WSX103" s="978"/>
      <c r="WSY103" s="978"/>
      <c r="WSZ103" s="978"/>
      <c r="WTA103" s="978"/>
      <c r="WTB103" s="978"/>
      <c r="WTC103" s="978"/>
      <c r="WTD103" s="978"/>
      <c r="WTE103" s="978"/>
      <c r="WTF103" s="978"/>
      <c r="WTG103" s="978"/>
      <c r="WTH103" s="978"/>
      <c r="WTI103" s="978"/>
      <c r="WTJ103" s="978"/>
      <c r="WTK103" s="978"/>
      <c r="WTL103" s="978"/>
      <c r="WTM103" s="978"/>
      <c r="WTN103" s="978"/>
      <c r="WTO103" s="978"/>
      <c r="WTP103" s="978"/>
      <c r="WTQ103" s="978"/>
      <c r="WTR103" s="978"/>
      <c r="WTS103" s="978"/>
      <c r="WTT103" s="978"/>
      <c r="WTU103" s="978"/>
      <c r="WTV103" s="978"/>
      <c r="WTW103" s="978"/>
      <c r="WTX103" s="978"/>
      <c r="WTY103" s="978"/>
      <c r="WTZ103" s="978"/>
      <c r="WUA103" s="978"/>
      <c r="WUB103" s="978"/>
      <c r="WUC103" s="978"/>
      <c r="WUD103" s="978"/>
      <c r="WUE103" s="978"/>
      <c r="WUF103" s="978"/>
      <c r="WUG103" s="978"/>
      <c r="WUH103" s="978"/>
      <c r="WUI103" s="978"/>
      <c r="WUJ103" s="978"/>
      <c r="WUK103" s="978"/>
      <c r="WUL103" s="978"/>
      <c r="WUM103" s="978"/>
      <c r="WUN103" s="978"/>
      <c r="WUO103" s="978"/>
      <c r="WUP103" s="978"/>
      <c r="WUQ103" s="978"/>
      <c r="WUR103" s="978"/>
      <c r="WUS103" s="978"/>
      <c r="WUT103" s="978"/>
      <c r="WUU103" s="978"/>
      <c r="WUV103" s="978"/>
      <c r="WUW103" s="978"/>
      <c r="WUX103" s="978"/>
      <c r="WUY103" s="978"/>
      <c r="WUZ103" s="978"/>
      <c r="WVA103" s="978"/>
      <c r="WVB103" s="978"/>
      <c r="WVC103" s="978"/>
      <c r="WVD103" s="978"/>
      <c r="WVE103" s="978"/>
      <c r="WVF103" s="978"/>
      <c r="WVG103" s="978"/>
      <c r="WVH103" s="978"/>
      <c r="WVI103" s="978"/>
      <c r="WVJ103" s="978"/>
      <c r="WVK103" s="978"/>
      <c r="WVL103" s="978"/>
      <c r="WVM103" s="978"/>
      <c r="WVN103" s="978"/>
      <c r="WVO103" s="978"/>
      <c r="WVP103" s="978"/>
      <c r="WVQ103" s="978"/>
      <c r="WVR103" s="978"/>
      <c r="WVS103" s="978"/>
      <c r="WVT103" s="978"/>
      <c r="WVU103" s="978"/>
      <c r="WVV103" s="978"/>
      <c r="WVW103" s="978"/>
      <c r="WVX103" s="978"/>
      <c r="WVY103" s="978"/>
      <c r="WVZ103" s="978"/>
      <c r="WWA103" s="978"/>
      <c r="WWB103" s="978"/>
      <c r="WWC103" s="978"/>
      <c r="WWD103" s="978"/>
      <c r="WWE103" s="978"/>
      <c r="WWF103" s="978"/>
      <c r="WWG103" s="978"/>
      <c r="WWH103" s="978"/>
      <c r="WWI103" s="978"/>
      <c r="WWJ103" s="978"/>
      <c r="WWK103" s="978"/>
      <c r="WWL103" s="978"/>
      <c r="WWM103" s="978"/>
      <c r="WWN103" s="978"/>
      <c r="WWO103" s="978"/>
      <c r="WWP103" s="978"/>
      <c r="WWQ103" s="978"/>
      <c r="WWR103" s="978"/>
      <c r="WWS103" s="978"/>
      <c r="WWT103" s="978"/>
      <c r="WWU103" s="978"/>
      <c r="WWV103" s="978"/>
      <c r="WWW103" s="978"/>
      <c r="WWX103" s="978"/>
      <c r="WWY103" s="978"/>
      <c r="WWZ103" s="978"/>
      <c r="WXA103" s="978"/>
      <c r="WXB103" s="978"/>
      <c r="WXC103" s="978"/>
      <c r="WXD103" s="978"/>
      <c r="WXE103" s="978"/>
      <c r="WXF103" s="978"/>
      <c r="WXG103" s="978"/>
      <c r="WXH103" s="978"/>
      <c r="WXI103" s="978"/>
      <c r="WXJ103" s="978"/>
      <c r="WXK103" s="978"/>
      <c r="WXL103" s="978"/>
      <c r="WXM103" s="978"/>
      <c r="WXN103" s="978"/>
      <c r="WXO103" s="978"/>
      <c r="WXP103" s="978"/>
      <c r="WXQ103" s="978"/>
      <c r="WXR103" s="978"/>
      <c r="WXS103" s="978"/>
      <c r="WXT103" s="978"/>
      <c r="WXU103" s="978"/>
      <c r="WXV103" s="978"/>
      <c r="WXW103" s="978"/>
      <c r="WXX103" s="978"/>
      <c r="WXY103" s="978"/>
      <c r="WXZ103" s="978"/>
      <c r="WYA103" s="978"/>
      <c r="WYB103" s="978"/>
      <c r="WYC103" s="978"/>
      <c r="WYD103" s="978"/>
      <c r="WYE103" s="978"/>
      <c r="WYF103" s="978"/>
      <c r="WYG103" s="978"/>
      <c r="WYH103" s="978"/>
      <c r="WYI103" s="978"/>
      <c r="WYJ103" s="978"/>
      <c r="WYK103" s="978"/>
      <c r="WYL103" s="978"/>
      <c r="WYM103" s="978"/>
      <c r="WYN103" s="978"/>
      <c r="WYO103" s="978"/>
      <c r="WYP103" s="978"/>
      <c r="WYQ103" s="978"/>
      <c r="WYR103" s="978"/>
      <c r="WYS103" s="978"/>
      <c r="WYT103" s="978"/>
      <c r="WYU103" s="978"/>
      <c r="WYV103" s="978"/>
      <c r="WYW103" s="978"/>
      <c r="WYX103" s="978"/>
      <c r="WYY103" s="978"/>
      <c r="WYZ103" s="978"/>
      <c r="WZA103" s="978"/>
      <c r="WZB103" s="978"/>
      <c r="WZC103" s="978"/>
      <c r="WZD103" s="978"/>
      <c r="WZE103" s="978"/>
      <c r="WZF103" s="978"/>
      <c r="WZG103" s="978"/>
      <c r="WZH103" s="978"/>
      <c r="WZI103" s="978"/>
      <c r="WZJ103" s="978"/>
      <c r="WZK103" s="978"/>
      <c r="WZL103" s="978"/>
      <c r="WZM103" s="978"/>
      <c r="WZN103" s="978"/>
      <c r="WZO103" s="978"/>
      <c r="WZP103" s="978"/>
      <c r="WZQ103" s="978"/>
      <c r="WZR103" s="978"/>
      <c r="WZS103" s="978"/>
      <c r="WZT103" s="978"/>
      <c r="WZU103" s="978"/>
      <c r="WZV103" s="978"/>
      <c r="WZW103" s="978"/>
      <c r="WZX103" s="978"/>
      <c r="WZY103" s="978"/>
      <c r="WZZ103" s="978"/>
      <c r="XAA103" s="978"/>
      <c r="XAB103" s="978"/>
      <c r="XAC103" s="978"/>
      <c r="XAD103" s="978"/>
      <c r="XAE103" s="978"/>
      <c r="XAF103" s="978"/>
      <c r="XAG103" s="978"/>
      <c r="XAH103" s="978"/>
      <c r="XAI103" s="978"/>
      <c r="XAJ103" s="978"/>
      <c r="XAK103" s="978"/>
      <c r="XAL103" s="978"/>
      <c r="XAM103" s="978"/>
      <c r="XAN103" s="978"/>
      <c r="XAO103" s="978"/>
      <c r="XAP103" s="978"/>
      <c r="XAQ103" s="978"/>
      <c r="XAR103" s="978"/>
      <c r="XAS103" s="978"/>
      <c r="XAT103" s="978"/>
      <c r="XAU103" s="978"/>
      <c r="XAV103" s="978"/>
      <c r="XAW103" s="978"/>
      <c r="XAX103" s="978"/>
      <c r="XAY103" s="978"/>
      <c r="XAZ103" s="978"/>
      <c r="XBA103" s="978"/>
      <c r="XBB103" s="978"/>
      <c r="XBC103" s="978"/>
      <c r="XBD103" s="978"/>
      <c r="XBE103" s="978"/>
      <c r="XBF103" s="978"/>
      <c r="XBG103" s="978"/>
      <c r="XBH103" s="978"/>
      <c r="XBI103" s="978"/>
      <c r="XBJ103" s="978"/>
      <c r="XBK103" s="978"/>
      <c r="XBL103" s="978"/>
      <c r="XBM103" s="978"/>
      <c r="XBN103" s="978"/>
      <c r="XBO103" s="978"/>
      <c r="XBP103" s="978"/>
      <c r="XBQ103" s="978"/>
      <c r="XBR103" s="978"/>
      <c r="XBS103" s="978"/>
      <c r="XBT103" s="978"/>
      <c r="XBU103" s="978"/>
      <c r="XBV103" s="978"/>
      <c r="XBW103" s="978"/>
      <c r="XBX103" s="978"/>
      <c r="XBY103" s="978"/>
      <c r="XBZ103" s="978"/>
      <c r="XCA103" s="978"/>
      <c r="XCB103" s="978"/>
      <c r="XCC103" s="978"/>
      <c r="XCD103" s="978"/>
      <c r="XCE103" s="978"/>
      <c r="XCF103" s="978"/>
      <c r="XCG103" s="978"/>
      <c r="XCH103" s="978"/>
      <c r="XCI103" s="978"/>
      <c r="XCJ103" s="978"/>
      <c r="XCK103" s="978"/>
      <c r="XCL103" s="978"/>
      <c r="XCM103" s="978"/>
      <c r="XCN103" s="978"/>
      <c r="XCO103" s="978"/>
      <c r="XCP103" s="978"/>
      <c r="XCQ103" s="978"/>
      <c r="XCR103" s="978"/>
      <c r="XCS103" s="978"/>
      <c r="XCT103" s="978"/>
      <c r="XCU103" s="978"/>
      <c r="XCV103" s="978"/>
      <c r="XCW103" s="978"/>
      <c r="XCX103" s="978"/>
      <c r="XCY103" s="978"/>
      <c r="XCZ103" s="978"/>
      <c r="XDA103" s="978"/>
      <c r="XDB103" s="978"/>
      <c r="XDC103" s="978"/>
      <c r="XDD103" s="978"/>
      <c r="XDE103" s="978"/>
      <c r="XDF103" s="978"/>
      <c r="XDG103" s="978"/>
      <c r="XDH103" s="978"/>
      <c r="XDI103" s="978"/>
      <c r="XDJ103" s="978"/>
      <c r="XDK103" s="978"/>
      <c r="XDL103" s="978"/>
      <c r="XDM103" s="978"/>
      <c r="XDN103" s="978"/>
      <c r="XDO103" s="978"/>
      <c r="XDP103" s="978"/>
      <c r="XDQ103" s="978"/>
      <c r="XDR103" s="978"/>
      <c r="XDS103" s="978"/>
      <c r="XDT103" s="978"/>
      <c r="XDU103" s="978"/>
      <c r="XDV103" s="978"/>
      <c r="XDW103" s="978"/>
      <c r="XDX103" s="978"/>
      <c r="XDY103" s="978"/>
      <c r="XDZ103" s="978"/>
      <c r="XEA103" s="978"/>
      <c r="XEB103" s="978"/>
      <c r="XEC103" s="978"/>
      <c r="XED103" s="978"/>
      <c r="XEE103" s="978"/>
      <c r="XEF103" s="978"/>
      <c r="XEG103" s="978"/>
      <c r="XEH103" s="978"/>
      <c r="XEI103" s="978"/>
      <c r="XEJ103" s="978"/>
      <c r="XEK103" s="978"/>
      <c r="XEL103" s="978"/>
      <c r="XEM103" s="978"/>
      <c r="XEN103" s="978"/>
      <c r="XEO103" s="978"/>
      <c r="XEP103" s="978"/>
      <c r="XEQ103" s="978"/>
      <c r="XER103" s="978"/>
      <c r="XES103" s="978"/>
      <c r="XET103" s="978"/>
      <c r="XEU103" s="978"/>
      <c r="XEV103" s="978"/>
      <c r="XEW103" s="978"/>
      <c r="XEX103" s="978"/>
      <c r="XEY103" s="978"/>
      <c r="XEZ103" s="978"/>
      <c r="XFA103" s="978"/>
      <c r="XFB103" s="978"/>
      <c r="XFC103" s="978"/>
      <c r="XFD103" s="978"/>
    </row>
    <row r="104" spans="1:16384" x14ac:dyDescent="0.35">
      <c r="E104" s="980" t="s">
        <v>512</v>
      </c>
      <c r="H104" s="983"/>
      <c r="I104" s="983"/>
      <c r="J104" s="983">
        <v>0</v>
      </c>
      <c r="K104" s="983">
        <v>0</v>
      </c>
      <c r="L104" s="983">
        <v>0</v>
      </c>
      <c r="M104" s="983">
        <v>0</v>
      </c>
      <c r="N104" s="983">
        <v>0</v>
      </c>
      <c r="O104" s="983">
        <v>0</v>
      </c>
      <c r="P104" s="983">
        <v>0</v>
      </c>
      <c r="Q104" s="983">
        <v>0</v>
      </c>
      <c r="R104" s="983">
        <v>0</v>
      </c>
      <c r="S104" s="983">
        <v>0</v>
      </c>
      <c r="T104" s="983">
        <v>0</v>
      </c>
      <c r="U104" s="983">
        <v>10250000</v>
      </c>
      <c r="V104" s="983">
        <v>10250000</v>
      </c>
      <c r="W104" s="983">
        <v>10250000</v>
      </c>
      <c r="X104" s="983">
        <v>10250000</v>
      </c>
      <c r="Y104" s="983">
        <v>10250000</v>
      </c>
      <c r="Z104" s="983">
        <v>10250000</v>
      </c>
      <c r="AA104" s="983">
        <v>10250000</v>
      </c>
      <c r="AB104" s="983">
        <v>10250000</v>
      </c>
      <c r="AC104" s="908">
        <v>10250000</v>
      </c>
      <c r="AD104" s="908">
        <v>10250000</v>
      </c>
      <c r="AE104" s="908">
        <v>10250000</v>
      </c>
      <c r="AF104" s="908">
        <v>10250000</v>
      </c>
      <c r="AG104" s="908">
        <v>10250000</v>
      </c>
    </row>
    <row r="105" spans="1:16384" x14ac:dyDescent="0.35">
      <c r="E105" s="980" t="s">
        <v>513</v>
      </c>
      <c r="H105" s="983"/>
      <c r="I105" s="983"/>
      <c r="J105" s="983">
        <v>0</v>
      </c>
      <c r="K105" s="983">
        <v>0</v>
      </c>
      <c r="L105" s="983">
        <v>0</v>
      </c>
      <c r="M105" s="983">
        <v>0</v>
      </c>
      <c r="N105" s="983">
        <v>0</v>
      </c>
      <c r="O105" s="983">
        <v>0</v>
      </c>
      <c r="P105" s="983">
        <v>0</v>
      </c>
      <c r="Q105" s="983">
        <v>0</v>
      </c>
      <c r="R105" s="983">
        <v>0</v>
      </c>
      <c r="S105" s="983">
        <v>0</v>
      </c>
      <c r="T105" s="983">
        <v>0</v>
      </c>
      <c r="U105" s="983">
        <v>2480000</v>
      </c>
      <c r="V105" s="983">
        <v>2419550.0099999998</v>
      </c>
      <c r="W105" s="983">
        <v>2359283</v>
      </c>
      <c r="X105" s="983">
        <v>2299198.98</v>
      </c>
      <c r="Y105" s="983">
        <v>2221666.66</v>
      </c>
      <c r="Z105" s="983">
        <v>2118333.33</v>
      </c>
      <c r="AA105" s="983">
        <v>2015000</v>
      </c>
      <c r="AB105" s="983">
        <v>1911666.67</v>
      </c>
      <c r="AC105" s="908">
        <v>1808333.34</v>
      </c>
      <c r="AD105" s="908">
        <v>1705000.01</v>
      </c>
      <c r="AE105" s="983">
        <v>1601666.68</v>
      </c>
      <c r="AF105" s="1027">
        <v>1498333.35</v>
      </c>
      <c r="AG105" s="1027">
        <v>1395000.02</v>
      </c>
    </row>
    <row r="106" spans="1:16384" x14ac:dyDescent="0.35">
      <c r="D106" s="934" t="s">
        <v>160</v>
      </c>
      <c r="E106" s="934"/>
      <c r="F106" s="934"/>
      <c r="G106" s="934"/>
      <c r="H106" s="988">
        <v>380690.15</v>
      </c>
      <c r="I106" s="988">
        <v>183333.66</v>
      </c>
      <c r="J106" s="988">
        <f t="shared" ref="J106:Y106" si="22">SUM(J102:J105)</f>
        <v>166667</v>
      </c>
      <c r="K106" s="988">
        <f t="shared" si="22"/>
        <v>150000.34</v>
      </c>
      <c r="L106" s="988">
        <f t="shared" si="22"/>
        <v>133333.68</v>
      </c>
      <c r="M106" s="988">
        <f t="shared" si="22"/>
        <v>116667.02</v>
      </c>
      <c r="N106" s="988">
        <f t="shared" si="22"/>
        <v>100000.36</v>
      </c>
      <c r="O106" s="988">
        <f t="shared" si="22"/>
        <v>83333.7</v>
      </c>
      <c r="P106" s="988">
        <f t="shared" si="22"/>
        <v>66667.039999999994</v>
      </c>
      <c r="Q106" s="988">
        <f t="shared" si="22"/>
        <v>50000</v>
      </c>
      <c r="R106" s="988">
        <f t="shared" si="22"/>
        <v>0</v>
      </c>
      <c r="S106" s="965">
        <f t="shared" si="22"/>
        <v>0</v>
      </c>
      <c r="T106" s="965">
        <f t="shared" si="22"/>
        <v>0</v>
      </c>
      <c r="U106" s="965">
        <f t="shared" si="22"/>
        <v>12730000</v>
      </c>
      <c r="V106" s="965">
        <f t="shared" si="22"/>
        <v>12669550.01</v>
      </c>
      <c r="W106" s="965">
        <f t="shared" si="22"/>
        <v>12609283</v>
      </c>
      <c r="X106" s="965">
        <f t="shared" si="22"/>
        <v>12549198.98</v>
      </c>
      <c r="Y106" s="965">
        <f t="shared" si="22"/>
        <v>12471666.66</v>
      </c>
      <c r="Z106" s="965">
        <f t="shared" ref="Z106:AG106" si="23">SUM(Z104:Z105)</f>
        <v>12368333.33</v>
      </c>
      <c r="AA106" s="965">
        <f t="shared" si="23"/>
        <v>12265000</v>
      </c>
      <c r="AB106" s="965">
        <f t="shared" si="23"/>
        <v>12161666.67</v>
      </c>
      <c r="AC106" s="965">
        <f t="shared" si="23"/>
        <v>12058333.34</v>
      </c>
      <c r="AD106" s="965">
        <f t="shared" si="23"/>
        <v>11955000.01</v>
      </c>
      <c r="AE106" s="965">
        <f t="shared" si="23"/>
        <v>11851666.68</v>
      </c>
      <c r="AF106" s="965">
        <f t="shared" si="23"/>
        <v>11748333.35</v>
      </c>
      <c r="AG106" s="965">
        <f t="shared" si="23"/>
        <v>11645000.02</v>
      </c>
      <c r="AH106" s="965"/>
      <c r="AI106" s="965"/>
      <c r="AJ106" s="965"/>
      <c r="AK106" s="965"/>
      <c r="AL106" s="965"/>
      <c r="AM106" s="965"/>
      <c r="AN106" s="965"/>
      <c r="AO106" s="965"/>
      <c r="AP106" s="965"/>
      <c r="AQ106" s="965"/>
      <c r="AR106" s="965"/>
      <c r="AS106" s="965"/>
      <c r="AT106" s="965"/>
      <c r="AU106" s="965"/>
      <c r="AV106" s="965"/>
      <c r="AW106" s="965"/>
      <c r="AX106" s="965"/>
      <c r="AY106" s="965"/>
      <c r="AZ106" s="965"/>
      <c r="BA106" s="965"/>
      <c r="BB106" s="965"/>
      <c r="BC106" s="965"/>
      <c r="BD106" s="965"/>
      <c r="BE106" s="965"/>
      <c r="BF106" s="965"/>
      <c r="BG106" s="965"/>
      <c r="BH106" s="965"/>
      <c r="BI106" s="965"/>
      <c r="BJ106" s="965"/>
      <c r="BK106" s="965"/>
      <c r="BL106" s="965"/>
      <c r="BM106" s="965"/>
      <c r="BN106" s="965"/>
      <c r="BO106" s="965"/>
      <c r="BP106" s="965"/>
      <c r="BQ106" s="965"/>
      <c r="BR106" s="965"/>
      <c r="BS106" s="965"/>
      <c r="BT106" s="965"/>
      <c r="BU106" s="965"/>
      <c r="BV106" s="965"/>
      <c r="BW106" s="965"/>
      <c r="BX106" s="965"/>
      <c r="BY106" s="965"/>
      <c r="BZ106" s="965"/>
      <c r="CA106" s="965"/>
      <c r="CB106" s="965"/>
      <c r="CC106" s="965"/>
      <c r="CD106" s="973"/>
      <c r="CE106" s="973"/>
      <c r="CF106" s="973"/>
      <c r="CG106" s="973"/>
      <c r="CH106" s="973"/>
      <c r="CI106" s="973"/>
      <c r="CJ106" s="973"/>
      <c r="CK106" s="973"/>
      <c r="CL106" s="973"/>
      <c r="CM106" s="973"/>
      <c r="CN106" s="973"/>
      <c r="CO106" s="973"/>
      <c r="CP106" s="973"/>
      <c r="CQ106" s="973"/>
      <c r="CR106" s="973"/>
      <c r="CS106" s="973"/>
      <c r="CT106" s="973"/>
      <c r="CU106" s="973"/>
      <c r="CV106" s="973"/>
      <c r="CW106" s="973"/>
      <c r="CX106" s="973"/>
      <c r="CY106" s="973"/>
      <c r="CZ106" s="973"/>
      <c r="DA106" s="973"/>
      <c r="DB106" s="973"/>
      <c r="DC106" s="973"/>
      <c r="DD106" s="973"/>
      <c r="DE106" s="973"/>
      <c r="DF106" s="973"/>
      <c r="DG106" s="973"/>
      <c r="DH106" s="973"/>
      <c r="DI106" s="973"/>
      <c r="DJ106" s="973"/>
      <c r="DK106" s="973"/>
      <c r="DL106" s="973"/>
      <c r="DM106" s="973"/>
      <c r="DN106" s="973"/>
      <c r="DO106" s="973"/>
      <c r="DP106" s="973"/>
      <c r="DQ106" s="973"/>
      <c r="DR106" s="973"/>
      <c r="DS106" s="973"/>
      <c r="DT106" s="973"/>
      <c r="DU106" s="973"/>
      <c r="DV106" s="973"/>
      <c r="DW106" s="973"/>
      <c r="DX106" s="973"/>
      <c r="DY106" s="973"/>
      <c r="DZ106" s="973"/>
      <c r="EA106" s="973"/>
      <c r="EB106" s="973"/>
      <c r="EC106" s="973"/>
      <c r="ED106" s="973"/>
      <c r="EE106" s="973"/>
      <c r="EF106" s="973"/>
      <c r="EG106" s="973"/>
      <c r="EH106" s="973"/>
      <c r="EI106" s="973"/>
      <c r="EJ106" s="973"/>
      <c r="EK106" s="973"/>
      <c r="EL106" s="973"/>
      <c r="EM106" s="973"/>
      <c r="EN106" s="973"/>
      <c r="EO106" s="973"/>
      <c r="EP106" s="973"/>
      <c r="EQ106" s="973"/>
      <c r="ER106" s="973"/>
      <c r="ES106" s="973"/>
      <c r="ET106" s="973"/>
      <c r="EU106" s="973"/>
      <c r="EV106" s="973"/>
      <c r="EW106" s="973"/>
      <c r="EX106" s="973"/>
      <c r="EY106" s="973"/>
      <c r="EZ106" s="973"/>
      <c r="FA106" s="973"/>
      <c r="FB106" s="973"/>
      <c r="FC106" s="973"/>
      <c r="FD106" s="973"/>
      <c r="FE106" s="973"/>
      <c r="FF106" s="973"/>
      <c r="FG106" s="973"/>
      <c r="FH106" s="973"/>
      <c r="FI106" s="973"/>
      <c r="FJ106" s="973"/>
      <c r="FK106" s="973"/>
      <c r="FL106" s="973"/>
      <c r="FM106" s="973"/>
      <c r="FN106" s="973"/>
      <c r="FO106" s="973"/>
      <c r="FP106" s="973"/>
      <c r="FQ106" s="973"/>
      <c r="FR106" s="973"/>
      <c r="FS106" s="973"/>
      <c r="FT106" s="973"/>
      <c r="FU106" s="973"/>
      <c r="FV106" s="973"/>
      <c r="FW106" s="973"/>
      <c r="FX106" s="973"/>
      <c r="FY106" s="973"/>
      <c r="FZ106" s="973"/>
      <c r="GA106" s="973"/>
      <c r="GB106" s="973"/>
      <c r="GC106" s="973"/>
      <c r="GD106" s="973"/>
      <c r="GE106" s="973"/>
      <c r="GF106" s="973"/>
      <c r="GG106" s="973"/>
      <c r="GH106" s="973"/>
      <c r="GI106" s="973"/>
      <c r="GJ106" s="973"/>
      <c r="GK106" s="973"/>
      <c r="GL106" s="973"/>
      <c r="GM106" s="973"/>
      <c r="GN106" s="973"/>
      <c r="GO106" s="973"/>
      <c r="GP106" s="973"/>
      <c r="GQ106" s="973"/>
      <c r="GR106" s="973"/>
      <c r="GS106" s="973"/>
      <c r="GT106" s="973"/>
      <c r="GU106" s="973"/>
      <c r="GV106" s="973"/>
      <c r="GW106" s="973"/>
      <c r="GX106" s="973"/>
      <c r="GY106" s="973"/>
      <c r="GZ106" s="973"/>
      <c r="HA106" s="973"/>
      <c r="HB106" s="973"/>
      <c r="HC106" s="973"/>
      <c r="HD106" s="973"/>
      <c r="HE106" s="973"/>
      <c r="HF106" s="973"/>
      <c r="HG106" s="973"/>
      <c r="HH106" s="973"/>
      <c r="HI106" s="973"/>
      <c r="HJ106" s="973"/>
      <c r="HK106" s="973"/>
      <c r="HL106" s="973"/>
      <c r="HM106" s="973"/>
      <c r="HN106" s="973"/>
      <c r="HO106" s="973"/>
      <c r="HP106" s="973"/>
      <c r="HQ106" s="973"/>
      <c r="HR106" s="973"/>
      <c r="HS106" s="973"/>
      <c r="HT106" s="973"/>
      <c r="HU106" s="973"/>
      <c r="HV106" s="973"/>
      <c r="HW106" s="973"/>
      <c r="HX106" s="973"/>
      <c r="HY106" s="973"/>
      <c r="HZ106" s="973"/>
      <c r="IA106" s="973"/>
      <c r="IB106" s="973"/>
      <c r="IC106" s="973"/>
      <c r="ID106" s="973"/>
      <c r="IE106" s="973"/>
      <c r="IF106" s="973"/>
      <c r="IG106" s="973"/>
      <c r="IH106" s="973"/>
      <c r="II106" s="973"/>
      <c r="IJ106" s="973"/>
      <c r="IK106" s="973"/>
      <c r="IL106" s="973"/>
      <c r="IM106" s="973"/>
      <c r="IN106" s="973"/>
      <c r="IO106" s="973"/>
      <c r="IP106" s="973"/>
      <c r="IQ106" s="973"/>
      <c r="IR106" s="973"/>
      <c r="IS106" s="973"/>
      <c r="IT106" s="973"/>
      <c r="IU106" s="973"/>
      <c r="IV106" s="973"/>
      <c r="IW106" s="973"/>
      <c r="IX106" s="973"/>
      <c r="IY106" s="973"/>
      <c r="IZ106" s="973"/>
      <c r="JA106" s="973"/>
      <c r="JB106" s="973"/>
      <c r="JC106" s="973"/>
      <c r="JD106" s="973"/>
      <c r="JE106" s="973"/>
      <c r="JF106" s="973"/>
      <c r="JG106" s="973"/>
      <c r="JH106" s="973"/>
      <c r="JI106" s="973"/>
      <c r="JJ106" s="973"/>
      <c r="JK106" s="973"/>
      <c r="JL106" s="973"/>
      <c r="JM106" s="973"/>
      <c r="JN106" s="973"/>
      <c r="JO106" s="973"/>
      <c r="JP106" s="973"/>
      <c r="JQ106" s="973"/>
      <c r="JR106" s="973"/>
      <c r="JS106" s="973"/>
      <c r="JT106" s="973"/>
      <c r="JU106" s="973"/>
      <c r="JV106" s="973"/>
      <c r="JW106" s="973"/>
      <c r="JX106" s="973"/>
      <c r="JY106" s="973"/>
      <c r="JZ106" s="973"/>
      <c r="KA106" s="973"/>
      <c r="KB106" s="973"/>
      <c r="KC106" s="973"/>
      <c r="KD106" s="973"/>
      <c r="KE106" s="973"/>
      <c r="KF106" s="973"/>
      <c r="KG106" s="973"/>
      <c r="KH106" s="973"/>
      <c r="KI106" s="973"/>
      <c r="KJ106" s="973"/>
      <c r="KK106" s="973"/>
      <c r="KL106" s="973"/>
      <c r="KM106" s="973"/>
      <c r="KN106" s="973"/>
      <c r="KO106" s="973"/>
      <c r="KP106" s="973"/>
      <c r="KQ106" s="973"/>
      <c r="KR106" s="973"/>
      <c r="KS106" s="973"/>
      <c r="KT106" s="973"/>
      <c r="KU106" s="973"/>
      <c r="KV106" s="973"/>
      <c r="KW106" s="973"/>
      <c r="KX106" s="973"/>
      <c r="KY106" s="973"/>
      <c r="KZ106" s="973"/>
      <c r="LA106" s="973"/>
      <c r="LB106" s="973"/>
      <c r="LC106" s="973"/>
      <c r="LD106" s="973"/>
      <c r="LE106" s="973"/>
      <c r="LF106" s="973"/>
      <c r="LG106" s="973"/>
      <c r="LH106" s="973"/>
      <c r="LI106" s="973"/>
      <c r="LJ106" s="973"/>
      <c r="LK106" s="973"/>
      <c r="LL106" s="973"/>
      <c r="LM106" s="973"/>
      <c r="LN106" s="973"/>
      <c r="LO106" s="973"/>
      <c r="LP106" s="973"/>
      <c r="LQ106" s="973"/>
      <c r="LR106" s="973"/>
      <c r="LS106" s="973"/>
      <c r="LT106" s="973"/>
      <c r="LU106" s="973"/>
      <c r="LV106" s="973"/>
      <c r="LW106" s="973"/>
      <c r="LX106" s="973"/>
      <c r="LY106" s="973"/>
      <c r="LZ106" s="973"/>
      <c r="MA106" s="973"/>
      <c r="MB106" s="973"/>
      <c r="MC106" s="973"/>
      <c r="MD106" s="973"/>
      <c r="ME106" s="973"/>
      <c r="MF106" s="973"/>
      <c r="MG106" s="973"/>
      <c r="MH106" s="973"/>
      <c r="MI106" s="973"/>
      <c r="MJ106" s="973"/>
      <c r="MK106" s="973"/>
      <c r="ML106" s="973"/>
      <c r="MM106" s="973"/>
      <c r="MN106" s="973"/>
      <c r="MO106" s="973"/>
      <c r="MP106" s="973"/>
      <c r="MQ106" s="973"/>
      <c r="MR106" s="973"/>
      <c r="MS106" s="973"/>
      <c r="MT106" s="973"/>
      <c r="MU106" s="973"/>
      <c r="MV106" s="973"/>
      <c r="MW106" s="973"/>
      <c r="MX106" s="973"/>
      <c r="MY106" s="973"/>
      <c r="MZ106" s="973"/>
      <c r="NA106" s="973"/>
      <c r="NB106" s="973"/>
      <c r="NC106" s="973"/>
      <c r="ND106" s="973"/>
      <c r="NE106" s="973"/>
      <c r="NF106" s="973"/>
      <c r="NG106" s="973"/>
      <c r="NH106" s="973"/>
      <c r="NI106" s="973"/>
      <c r="NJ106" s="973"/>
      <c r="NK106" s="973"/>
      <c r="NL106" s="973"/>
      <c r="NM106" s="973"/>
      <c r="NN106" s="973"/>
      <c r="NO106" s="973"/>
      <c r="NP106" s="973"/>
      <c r="NQ106" s="973"/>
      <c r="NR106" s="973"/>
      <c r="NS106" s="973"/>
      <c r="NT106" s="973"/>
      <c r="NU106" s="973"/>
      <c r="NV106" s="973"/>
      <c r="NW106" s="973"/>
      <c r="NX106" s="973"/>
      <c r="NY106" s="973"/>
      <c r="NZ106" s="973"/>
      <c r="OA106" s="973"/>
      <c r="OB106" s="973"/>
      <c r="OC106" s="973"/>
      <c r="OD106" s="973"/>
      <c r="OE106" s="973"/>
      <c r="OF106" s="973"/>
      <c r="OG106" s="973"/>
      <c r="OH106" s="973"/>
      <c r="OI106" s="973"/>
      <c r="OJ106" s="973"/>
      <c r="OK106" s="973"/>
      <c r="OL106" s="973"/>
      <c r="OM106" s="973"/>
      <c r="ON106" s="973"/>
      <c r="OO106" s="973"/>
      <c r="OP106" s="973"/>
      <c r="OQ106" s="973"/>
      <c r="OR106" s="973"/>
      <c r="OS106" s="973"/>
      <c r="OT106" s="973"/>
      <c r="OU106" s="973"/>
      <c r="OV106" s="973"/>
      <c r="OW106" s="973"/>
      <c r="OX106" s="973"/>
      <c r="OY106" s="973"/>
      <c r="OZ106" s="973"/>
      <c r="PA106" s="973"/>
      <c r="PB106" s="973"/>
      <c r="PC106" s="973"/>
      <c r="PD106" s="973"/>
      <c r="PE106" s="973"/>
      <c r="PF106" s="973"/>
      <c r="PG106" s="973"/>
      <c r="PH106" s="973"/>
      <c r="PI106" s="973"/>
      <c r="PJ106" s="973"/>
      <c r="PK106" s="973"/>
      <c r="PL106" s="973"/>
      <c r="PM106" s="973"/>
      <c r="PN106" s="973"/>
      <c r="PO106" s="973"/>
      <c r="PP106" s="973"/>
      <c r="PQ106" s="973"/>
      <c r="PR106" s="973"/>
      <c r="PS106" s="973"/>
      <c r="PT106" s="973"/>
      <c r="PU106" s="973"/>
      <c r="PV106" s="973"/>
      <c r="PW106" s="973"/>
      <c r="PX106" s="973"/>
      <c r="PY106" s="973"/>
      <c r="PZ106" s="973"/>
      <c r="QA106" s="973"/>
      <c r="QB106" s="973"/>
      <c r="QC106" s="973"/>
      <c r="QD106" s="973"/>
      <c r="QE106" s="973"/>
      <c r="QF106" s="973"/>
      <c r="QG106" s="973"/>
      <c r="QH106" s="973"/>
      <c r="QI106" s="973"/>
      <c r="QJ106" s="973"/>
      <c r="QK106" s="973"/>
      <c r="QL106" s="973"/>
      <c r="QM106" s="973"/>
      <c r="QN106" s="973"/>
      <c r="QO106" s="973"/>
      <c r="QP106" s="973"/>
      <c r="QQ106" s="973"/>
      <c r="QR106" s="973"/>
      <c r="QS106" s="973"/>
      <c r="QT106" s="973"/>
      <c r="QU106" s="973"/>
      <c r="QV106" s="973"/>
      <c r="QW106" s="973"/>
      <c r="QX106" s="973"/>
      <c r="QY106" s="973"/>
      <c r="QZ106" s="973"/>
      <c r="RA106" s="973"/>
      <c r="RB106" s="973"/>
      <c r="RC106" s="973"/>
      <c r="RD106" s="973"/>
      <c r="RE106" s="973"/>
      <c r="RF106" s="973"/>
      <c r="RG106" s="973"/>
      <c r="RH106" s="973"/>
      <c r="RI106" s="973"/>
      <c r="RJ106" s="973"/>
      <c r="RK106" s="973"/>
      <c r="RL106" s="973"/>
      <c r="RM106" s="973"/>
      <c r="RN106" s="973"/>
      <c r="RO106" s="973"/>
      <c r="RP106" s="973"/>
      <c r="RQ106" s="973"/>
      <c r="RR106" s="973"/>
      <c r="RS106" s="973"/>
      <c r="RT106" s="973"/>
      <c r="RU106" s="973"/>
      <c r="RV106" s="973"/>
      <c r="RW106" s="973"/>
      <c r="RX106" s="973"/>
      <c r="RY106" s="973"/>
      <c r="RZ106" s="973"/>
      <c r="SA106" s="973"/>
      <c r="SB106" s="973"/>
      <c r="SC106" s="973"/>
      <c r="SD106" s="973"/>
      <c r="SE106" s="973"/>
      <c r="SF106" s="973"/>
      <c r="SG106" s="973"/>
      <c r="SH106" s="973"/>
      <c r="SI106" s="973"/>
      <c r="SJ106" s="973"/>
      <c r="SK106" s="973"/>
      <c r="SL106" s="973"/>
      <c r="SM106" s="973"/>
      <c r="SN106" s="973"/>
      <c r="SO106" s="973"/>
      <c r="SP106" s="973"/>
      <c r="SQ106" s="973"/>
      <c r="SR106" s="973"/>
      <c r="SS106" s="973"/>
      <c r="ST106" s="973"/>
      <c r="SU106" s="973"/>
      <c r="SV106" s="973"/>
      <c r="SW106" s="973"/>
      <c r="SX106" s="973"/>
      <c r="SY106" s="973"/>
      <c r="SZ106" s="973"/>
      <c r="TA106" s="973"/>
      <c r="TB106" s="973"/>
      <c r="TC106" s="973"/>
      <c r="TD106" s="973"/>
      <c r="TE106" s="973"/>
      <c r="TF106" s="973"/>
      <c r="TG106" s="973"/>
      <c r="TH106" s="973"/>
      <c r="TI106" s="973"/>
      <c r="TJ106" s="973"/>
      <c r="TK106" s="973"/>
      <c r="TL106" s="973"/>
      <c r="TM106" s="973"/>
      <c r="TN106" s="973"/>
      <c r="TO106" s="973"/>
      <c r="TP106" s="973"/>
      <c r="TQ106" s="973"/>
      <c r="TR106" s="973"/>
      <c r="TS106" s="973"/>
      <c r="TT106" s="973"/>
      <c r="TU106" s="973"/>
      <c r="TV106" s="973"/>
      <c r="TW106" s="973"/>
      <c r="TX106" s="973"/>
      <c r="TY106" s="973"/>
      <c r="TZ106" s="973"/>
      <c r="UA106" s="973"/>
      <c r="UB106" s="973"/>
      <c r="UC106" s="973"/>
      <c r="UD106" s="973"/>
      <c r="UE106" s="973"/>
      <c r="UF106" s="973"/>
      <c r="UG106" s="973"/>
      <c r="UH106" s="973"/>
      <c r="UI106" s="973"/>
      <c r="UJ106" s="973"/>
      <c r="UK106" s="973"/>
      <c r="UL106" s="973"/>
      <c r="UM106" s="973"/>
      <c r="UN106" s="973"/>
      <c r="UO106" s="973"/>
      <c r="UP106" s="973"/>
      <c r="UQ106" s="973"/>
      <c r="UR106" s="973"/>
      <c r="US106" s="973"/>
      <c r="UT106" s="973"/>
      <c r="UU106" s="973"/>
      <c r="UV106" s="973"/>
      <c r="UW106" s="973"/>
      <c r="UX106" s="973"/>
      <c r="UY106" s="973"/>
      <c r="UZ106" s="973"/>
      <c r="VA106" s="973"/>
      <c r="VB106" s="973"/>
      <c r="VC106" s="973"/>
      <c r="VD106" s="973"/>
      <c r="VE106" s="973"/>
      <c r="VF106" s="973"/>
      <c r="VG106" s="973"/>
      <c r="VH106" s="973"/>
      <c r="VI106" s="973"/>
      <c r="VJ106" s="973"/>
      <c r="VK106" s="973"/>
      <c r="VL106" s="973"/>
      <c r="VM106" s="973"/>
      <c r="VN106" s="973"/>
      <c r="VO106" s="973"/>
      <c r="VP106" s="973"/>
      <c r="VQ106" s="973"/>
      <c r="VR106" s="973"/>
      <c r="VS106" s="973"/>
      <c r="VT106" s="973"/>
      <c r="VU106" s="973"/>
      <c r="VV106" s="973"/>
      <c r="VW106" s="973"/>
      <c r="VX106" s="973"/>
      <c r="VY106" s="973"/>
      <c r="VZ106" s="973"/>
      <c r="WA106" s="973"/>
      <c r="WB106" s="973"/>
      <c r="WC106" s="973"/>
      <c r="WD106" s="973"/>
      <c r="WE106" s="973"/>
      <c r="WF106" s="973"/>
      <c r="WG106" s="973"/>
      <c r="WH106" s="973"/>
      <c r="WI106" s="973"/>
      <c r="WJ106" s="973"/>
      <c r="WK106" s="973"/>
      <c r="WL106" s="973"/>
      <c r="WM106" s="973"/>
      <c r="WN106" s="973"/>
      <c r="WO106" s="973"/>
      <c r="WP106" s="973"/>
      <c r="WQ106" s="973"/>
      <c r="WR106" s="973"/>
      <c r="WS106" s="973"/>
      <c r="WT106" s="973"/>
      <c r="WU106" s="973"/>
      <c r="WV106" s="973"/>
      <c r="WW106" s="973"/>
      <c r="WX106" s="973"/>
      <c r="WY106" s="973"/>
      <c r="WZ106" s="973"/>
      <c r="XA106" s="973"/>
      <c r="XB106" s="973"/>
      <c r="XC106" s="973"/>
      <c r="XD106" s="973"/>
      <c r="XE106" s="973"/>
      <c r="XF106" s="973"/>
      <c r="XG106" s="973"/>
      <c r="XH106" s="973"/>
      <c r="XI106" s="973"/>
      <c r="XJ106" s="973"/>
      <c r="XK106" s="973"/>
      <c r="XL106" s="973"/>
      <c r="XM106" s="973"/>
      <c r="XN106" s="973"/>
      <c r="XO106" s="973"/>
      <c r="XP106" s="973"/>
      <c r="XQ106" s="973"/>
      <c r="XR106" s="973"/>
      <c r="XS106" s="973"/>
      <c r="XT106" s="973"/>
      <c r="XU106" s="973"/>
      <c r="XV106" s="973"/>
      <c r="XW106" s="973"/>
      <c r="XX106" s="973"/>
      <c r="XY106" s="973"/>
      <c r="XZ106" s="973"/>
      <c r="YA106" s="973"/>
      <c r="YB106" s="973"/>
      <c r="YC106" s="973"/>
      <c r="YD106" s="973"/>
      <c r="YE106" s="973"/>
      <c r="YF106" s="973"/>
      <c r="YG106" s="973"/>
      <c r="YH106" s="973"/>
      <c r="YI106" s="973"/>
      <c r="YJ106" s="973"/>
      <c r="YK106" s="973"/>
      <c r="YL106" s="973"/>
      <c r="YM106" s="973"/>
      <c r="YN106" s="973"/>
      <c r="YO106" s="973"/>
      <c r="YP106" s="973"/>
      <c r="YQ106" s="973"/>
      <c r="YR106" s="973"/>
      <c r="YS106" s="973"/>
      <c r="YT106" s="973"/>
      <c r="YU106" s="973"/>
      <c r="YV106" s="973"/>
      <c r="YW106" s="973"/>
      <c r="YX106" s="973"/>
      <c r="YY106" s="973"/>
      <c r="YZ106" s="973"/>
      <c r="ZA106" s="973"/>
      <c r="ZB106" s="973"/>
      <c r="ZC106" s="973"/>
      <c r="ZD106" s="973"/>
      <c r="ZE106" s="973"/>
      <c r="ZF106" s="973"/>
      <c r="ZG106" s="973"/>
      <c r="ZH106" s="973"/>
      <c r="ZI106" s="973"/>
      <c r="ZJ106" s="973"/>
      <c r="ZK106" s="973"/>
      <c r="ZL106" s="973"/>
      <c r="ZM106" s="973"/>
      <c r="ZN106" s="973"/>
      <c r="ZO106" s="973"/>
      <c r="ZP106" s="973"/>
      <c r="ZQ106" s="973"/>
      <c r="ZR106" s="973"/>
      <c r="ZS106" s="973"/>
      <c r="ZT106" s="973"/>
      <c r="ZU106" s="973"/>
      <c r="ZV106" s="973"/>
      <c r="ZW106" s="973"/>
      <c r="ZX106" s="973"/>
      <c r="ZY106" s="973"/>
      <c r="ZZ106" s="973"/>
      <c r="AAA106" s="973"/>
      <c r="AAB106" s="973"/>
      <c r="AAC106" s="973"/>
      <c r="AAD106" s="973"/>
      <c r="AAE106" s="973"/>
      <c r="AAF106" s="973"/>
      <c r="AAG106" s="973"/>
      <c r="AAH106" s="973"/>
      <c r="AAI106" s="973"/>
      <c r="AAJ106" s="973"/>
      <c r="AAK106" s="973"/>
      <c r="AAL106" s="973"/>
      <c r="AAM106" s="973"/>
      <c r="AAN106" s="973"/>
      <c r="AAO106" s="973"/>
      <c r="AAP106" s="973"/>
      <c r="AAQ106" s="973"/>
      <c r="AAR106" s="973"/>
      <c r="AAS106" s="973"/>
      <c r="AAT106" s="973"/>
      <c r="AAU106" s="973"/>
      <c r="AAV106" s="973"/>
      <c r="AAW106" s="973"/>
      <c r="AAX106" s="973"/>
      <c r="AAY106" s="973"/>
      <c r="AAZ106" s="973"/>
      <c r="ABA106" s="973"/>
      <c r="ABB106" s="973"/>
      <c r="ABC106" s="973"/>
      <c r="ABD106" s="973"/>
      <c r="ABE106" s="973"/>
      <c r="ABF106" s="973"/>
      <c r="ABG106" s="973"/>
      <c r="ABH106" s="973"/>
      <c r="ABI106" s="973"/>
      <c r="ABJ106" s="973"/>
      <c r="ABK106" s="973"/>
      <c r="ABL106" s="973"/>
      <c r="ABM106" s="973"/>
      <c r="ABN106" s="973"/>
      <c r="ABO106" s="973"/>
      <c r="ABP106" s="973"/>
      <c r="ABQ106" s="973"/>
      <c r="ABR106" s="973"/>
      <c r="ABS106" s="973"/>
      <c r="ABT106" s="973"/>
      <c r="ABU106" s="973"/>
      <c r="ABV106" s="973"/>
      <c r="ABW106" s="973"/>
      <c r="ABX106" s="973"/>
      <c r="ABY106" s="973"/>
      <c r="ABZ106" s="973"/>
      <c r="ACA106" s="973"/>
      <c r="ACB106" s="973"/>
      <c r="ACC106" s="973"/>
      <c r="ACD106" s="973"/>
      <c r="ACE106" s="973"/>
      <c r="ACF106" s="973"/>
      <c r="ACG106" s="973"/>
      <c r="ACH106" s="973"/>
      <c r="ACI106" s="973"/>
      <c r="ACJ106" s="973"/>
      <c r="ACK106" s="973"/>
      <c r="ACL106" s="973"/>
      <c r="ACM106" s="973"/>
      <c r="ACN106" s="973"/>
      <c r="ACO106" s="973"/>
      <c r="ACP106" s="973"/>
      <c r="ACQ106" s="973"/>
      <c r="ACR106" s="973"/>
      <c r="ACS106" s="973"/>
      <c r="ACT106" s="973"/>
      <c r="ACU106" s="973"/>
      <c r="ACV106" s="973"/>
      <c r="ACW106" s="973"/>
      <c r="ACX106" s="973"/>
      <c r="ACY106" s="973"/>
      <c r="ACZ106" s="973"/>
      <c r="ADA106" s="973"/>
      <c r="ADB106" s="973"/>
      <c r="ADC106" s="973"/>
      <c r="ADD106" s="973"/>
      <c r="ADE106" s="973"/>
      <c r="ADF106" s="973"/>
      <c r="ADG106" s="973"/>
      <c r="ADH106" s="973"/>
      <c r="ADI106" s="973"/>
      <c r="ADJ106" s="973"/>
      <c r="ADK106" s="973"/>
      <c r="ADL106" s="973"/>
      <c r="ADM106" s="973"/>
      <c r="ADN106" s="973"/>
      <c r="ADO106" s="973"/>
      <c r="ADP106" s="973"/>
      <c r="ADQ106" s="973"/>
      <c r="ADR106" s="973"/>
      <c r="ADS106" s="973"/>
      <c r="ADT106" s="973"/>
      <c r="ADU106" s="973"/>
      <c r="ADV106" s="973"/>
      <c r="ADW106" s="973"/>
      <c r="ADX106" s="973"/>
      <c r="ADY106" s="973"/>
      <c r="ADZ106" s="973"/>
      <c r="AEA106" s="973"/>
      <c r="AEB106" s="973"/>
      <c r="AEC106" s="973"/>
      <c r="AED106" s="973"/>
      <c r="AEE106" s="973"/>
      <c r="AEF106" s="973"/>
      <c r="AEG106" s="973"/>
      <c r="AEH106" s="973"/>
      <c r="AEI106" s="973"/>
      <c r="AEJ106" s="973"/>
      <c r="AEK106" s="973"/>
      <c r="AEL106" s="973"/>
      <c r="AEM106" s="973"/>
      <c r="AEN106" s="973"/>
      <c r="AEO106" s="973"/>
      <c r="AEP106" s="973"/>
      <c r="AEQ106" s="973"/>
      <c r="AER106" s="973"/>
      <c r="AES106" s="973"/>
      <c r="AET106" s="973"/>
      <c r="AEU106" s="973"/>
      <c r="AEV106" s="973"/>
      <c r="AEW106" s="973"/>
      <c r="AEX106" s="973"/>
      <c r="AEY106" s="973"/>
      <c r="AEZ106" s="973"/>
      <c r="AFA106" s="973"/>
      <c r="AFB106" s="973"/>
      <c r="AFC106" s="973"/>
      <c r="AFD106" s="973"/>
      <c r="AFE106" s="973"/>
      <c r="AFF106" s="973"/>
      <c r="AFG106" s="973"/>
      <c r="AFH106" s="973"/>
      <c r="AFI106" s="973"/>
      <c r="AFJ106" s="973"/>
      <c r="AFK106" s="973"/>
      <c r="AFL106" s="973"/>
      <c r="AFM106" s="973"/>
      <c r="AFN106" s="973"/>
      <c r="AFO106" s="973"/>
      <c r="AFP106" s="973"/>
      <c r="AFQ106" s="973"/>
      <c r="AFR106" s="973"/>
      <c r="AFS106" s="973"/>
      <c r="AFT106" s="973"/>
      <c r="AFU106" s="973"/>
      <c r="AFV106" s="973"/>
      <c r="AFW106" s="973"/>
      <c r="AFX106" s="973"/>
      <c r="AFY106" s="973"/>
      <c r="AFZ106" s="973"/>
      <c r="AGA106" s="973"/>
      <c r="AGB106" s="973"/>
      <c r="AGC106" s="973"/>
      <c r="AGD106" s="973"/>
      <c r="AGE106" s="973"/>
      <c r="AGF106" s="973"/>
      <c r="AGG106" s="973"/>
      <c r="AGH106" s="973"/>
      <c r="AGI106" s="973"/>
      <c r="AGJ106" s="973"/>
      <c r="AGK106" s="973"/>
      <c r="AGL106" s="973"/>
      <c r="AGM106" s="973"/>
      <c r="AGN106" s="973"/>
      <c r="AGO106" s="973"/>
      <c r="AGP106" s="973"/>
      <c r="AGQ106" s="973"/>
      <c r="AGR106" s="973"/>
      <c r="AGS106" s="973"/>
      <c r="AGT106" s="973"/>
      <c r="AGU106" s="973"/>
      <c r="AGV106" s="973"/>
      <c r="AGW106" s="973"/>
      <c r="AGX106" s="973"/>
      <c r="AGY106" s="973"/>
      <c r="AGZ106" s="973"/>
      <c r="AHA106" s="973"/>
      <c r="AHB106" s="973"/>
      <c r="AHC106" s="973"/>
      <c r="AHD106" s="973"/>
      <c r="AHE106" s="973"/>
      <c r="AHF106" s="973"/>
      <c r="AHG106" s="973"/>
      <c r="AHH106" s="973"/>
      <c r="AHI106" s="973"/>
      <c r="AHJ106" s="973"/>
      <c r="AHK106" s="973"/>
      <c r="AHL106" s="973"/>
      <c r="AHM106" s="973"/>
      <c r="AHN106" s="973"/>
      <c r="AHO106" s="973"/>
      <c r="AHP106" s="973"/>
      <c r="AHQ106" s="973"/>
      <c r="AHR106" s="973"/>
      <c r="AHS106" s="973"/>
      <c r="AHT106" s="973"/>
      <c r="AHU106" s="973"/>
      <c r="AHV106" s="973"/>
      <c r="AHW106" s="973"/>
      <c r="AHX106" s="973"/>
      <c r="AHY106" s="973"/>
      <c r="AHZ106" s="973"/>
      <c r="AIA106" s="973"/>
      <c r="AIB106" s="973"/>
      <c r="AIC106" s="973"/>
      <c r="AID106" s="973"/>
      <c r="AIE106" s="973"/>
      <c r="AIF106" s="973"/>
      <c r="AIG106" s="973"/>
      <c r="AIH106" s="973"/>
      <c r="AII106" s="973"/>
      <c r="AIJ106" s="973"/>
      <c r="AIK106" s="973"/>
      <c r="AIL106" s="973"/>
      <c r="AIM106" s="973"/>
      <c r="AIN106" s="973"/>
      <c r="AIO106" s="973"/>
      <c r="AIP106" s="973"/>
      <c r="AIQ106" s="973"/>
      <c r="AIR106" s="973"/>
      <c r="AIS106" s="973"/>
      <c r="AIT106" s="973"/>
      <c r="AIU106" s="973"/>
      <c r="AIV106" s="973"/>
      <c r="AIW106" s="973"/>
      <c r="AIX106" s="973"/>
      <c r="AIY106" s="973"/>
      <c r="AIZ106" s="973"/>
      <c r="AJA106" s="973"/>
      <c r="AJB106" s="973"/>
      <c r="AJC106" s="973"/>
      <c r="AJD106" s="973"/>
      <c r="AJE106" s="973"/>
      <c r="AJF106" s="973"/>
      <c r="AJG106" s="973"/>
      <c r="AJH106" s="973"/>
      <c r="AJI106" s="973"/>
      <c r="AJJ106" s="973"/>
      <c r="AJK106" s="973"/>
      <c r="AJL106" s="973"/>
      <c r="AJM106" s="973"/>
      <c r="AJN106" s="973"/>
      <c r="AJO106" s="973"/>
      <c r="AJP106" s="973"/>
      <c r="AJQ106" s="973"/>
      <c r="AJR106" s="973"/>
      <c r="AJS106" s="973"/>
      <c r="AJT106" s="973"/>
      <c r="AJU106" s="973"/>
      <c r="AJV106" s="973"/>
      <c r="AJW106" s="973"/>
      <c r="AJX106" s="973"/>
      <c r="AJY106" s="973"/>
      <c r="AJZ106" s="973"/>
      <c r="AKA106" s="973"/>
      <c r="AKB106" s="973"/>
      <c r="AKC106" s="973"/>
      <c r="AKD106" s="973"/>
      <c r="AKE106" s="973"/>
      <c r="AKF106" s="973"/>
      <c r="AKG106" s="973"/>
      <c r="AKH106" s="973"/>
      <c r="AKI106" s="973"/>
      <c r="AKJ106" s="973"/>
      <c r="AKK106" s="973"/>
      <c r="AKL106" s="973"/>
      <c r="AKM106" s="973"/>
      <c r="AKN106" s="973"/>
      <c r="AKO106" s="973"/>
      <c r="AKP106" s="973"/>
      <c r="AKQ106" s="973"/>
      <c r="AKR106" s="973"/>
      <c r="AKS106" s="973"/>
      <c r="AKT106" s="973"/>
      <c r="AKU106" s="973"/>
      <c r="AKV106" s="973"/>
      <c r="AKW106" s="973"/>
      <c r="AKX106" s="973"/>
      <c r="AKY106" s="973"/>
      <c r="AKZ106" s="973"/>
      <c r="ALA106" s="973"/>
      <c r="ALB106" s="973"/>
      <c r="ALC106" s="973"/>
      <c r="ALD106" s="973"/>
      <c r="ALE106" s="973"/>
      <c r="ALF106" s="973"/>
      <c r="ALG106" s="973"/>
      <c r="ALH106" s="973"/>
      <c r="ALI106" s="973"/>
      <c r="ALJ106" s="973"/>
      <c r="ALK106" s="973"/>
      <c r="ALL106" s="973"/>
      <c r="ALM106" s="973"/>
      <c r="ALN106" s="973"/>
      <c r="ALO106" s="973"/>
      <c r="ALP106" s="973"/>
      <c r="ALQ106" s="973"/>
      <c r="ALR106" s="973"/>
      <c r="ALS106" s="973"/>
      <c r="ALT106" s="973"/>
      <c r="ALU106" s="973"/>
      <c r="ALV106" s="973"/>
      <c r="ALW106" s="973"/>
      <c r="ALX106" s="973"/>
      <c r="ALY106" s="973"/>
      <c r="ALZ106" s="973"/>
      <c r="AMA106" s="973"/>
      <c r="AMB106" s="973"/>
      <c r="AMC106" s="973"/>
      <c r="AMD106" s="973"/>
      <c r="AME106" s="973"/>
      <c r="AMF106" s="973"/>
      <c r="AMG106" s="973"/>
      <c r="AMH106" s="973"/>
      <c r="AMI106" s="973"/>
      <c r="AMJ106" s="973"/>
      <c r="AMK106" s="973"/>
      <c r="AML106" s="973"/>
      <c r="AMM106" s="973"/>
      <c r="AMN106" s="973"/>
      <c r="AMO106" s="973"/>
      <c r="AMP106" s="973"/>
      <c r="AMQ106" s="973"/>
      <c r="AMR106" s="973"/>
      <c r="AMS106" s="973"/>
      <c r="AMT106" s="973"/>
      <c r="AMU106" s="973"/>
      <c r="AMV106" s="973"/>
      <c r="AMW106" s="973"/>
      <c r="AMX106" s="973"/>
      <c r="AMY106" s="973"/>
      <c r="AMZ106" s="973"/>
      <c r="ANA106" s="973"/>
      <c r="ANB106" s="973"/>
      <c r="ANC106" s="973"/>
      <c r="AND106" s="973"/>
      <c r="ANE106" s="973"/>
      <c r="ANF106" s="973"/>
      <c r="ANG106" s="973"/>
      <c r="ANH106" s="973"/>
      <c r="ANI106" s="973"/>
      <c r="ANJ106" s="973"/>
      <c r="ANK106" s="973"/>
      <c r="ANL106" s="973"/>
      <c r="ANM106" s="973"/>
      <c r="ANN106" s="973"/>
      <c r="ANO106" s="973"/>
      <c r="ANP106" s="973"/>
      <c r="ANQ106" s="973"/>
      <c r="ANR106" s="973"/>
      <c r="ANS106" s="973"/>
      <c r="ANT106" s="973"/>
      <c r="ANU106" s="973"/>
      <c r="ANV106" s="973"/>
      <c r="ANW106" s="973"/>
      <c r="ANX106" s="973"/>
      <c r="ANY106" s="973"/>
      <c r="ANZ106" s="973"/>
      <c r="AOA106" s="973"/>
      <c r="AOB106" s="973"/>
      <c r="AOC106" s="973"/>
      <c r="AOD106" s="973"/>
      <c r="AOE106" s="973"/>
      <c r="AOF106" s="973"/>
      <c r="AOG106" s="973"/>
      <c r="AOH106" s="973"/>
      <c r="AOI106" s="973"/>
      <c r="AOJ106" s="973"/>
      <c r="AOK106" s="973"/>
      <c r="AOL106" s="973"/>
      <c r="AOM106" s="973"/>
      <c r="AON106" s="973"/>
      <c r="AOO106" s="973"/>
      <c r="AOP106" s="973"/>
      <c r="AOQ106" s="973"/>
      <c r="AOR106" s="973"/>
      <c r="AOS106" s="973"/>
      <c r="AOT106" s="973"/>
      <c r="AOU106" s="973"/>
      <c r="AOV106" s="973"/>
      <c r="AOW106" s="973"/>
      <c r="AOX106" s="973"/>
      <c r="AOY106" s="973"/>
      <c r="AOZ106" s="973"/>
      <c r="APA106" s="973"/>
      <c r="APB106" s="973"/>
      <c r="APC106" s="973"/>
      <c r="APD106" s="973"/>
      <c r="APE106" s="973"/>
      <c r="APF106" s="973"/>
      <c r="APG106" s="973"/>
      <c r="APH106" s="973"/>
      <c r="API106" s="973"/>
      <c r="APJ106" s="973"/>
      <c r="APK106" s="973"/>
      <c r="APL106" s="973"/>
      <c r="APM106" s="973"/>
      <c r="APN106" s="973"/>
      <c r="APO106" s="973"/>
      <c r="APP106" s="973"/>
      <c r="APQ106" s="973"/>
      <c r="APR106" s="973"/>
      <c r="APS106" s="973"/>
      <c r="APT106" s="973"/>
      <c r="APU106" s="973"/>
      <c r="APV106" s="973"/>
      <c r="APW106" s="973"/>
      <c r="APX106" s="973"/>
      <c r="APY106" s="973"/>
      <c r="APZ106" s="973"/>
      <c r="AQA106" s="973"/>
      <c r="AQB106" s="973"/>
      <c r="AQC106" s="973"/>
      <c r="AQD106" s="973"/>
      <c r="AQE106" s="973"/>
      <c r="AQF106" s="973"/>
      <c r="AQG106" s="973"/>
      <c r="AQH106" s="973"/>
      <c r="AQI106" s="973"/>
      <c r="AQJ106" s="973"/>
      <c r="AQK106" s="973"/>
      <c r="AQL106" s="973"/>
      <c r="AQM106" s="973"/>
      <c r="AQN106" s="973"/>
      <c r="AQO106" s="973"/>
      <c r="AQP106" s="973"/>
      <c r="AQQ106" s="973"/>
      <c r="AQR106" s="973"/>
      <c r="AQS106" s="973"/>
      <c r="AQT106" s="973"/>
      <c r="AQU106" s="973"/>
      <c r="AQV106" s="973"/>
      <c r="AQW106" s="973"/>
      <c r="AQX106" s="973"/>
      <c r="AQY106" s="973"/>
      <c r="AQZ106" s="973"/>
      <c r="ARA106" s="973"/>
      <c r="ARB106" s="973"/>
      <c r="ARC106" s="973"/>
      <c r="ARD106" s="973"/>
      <c r="ARE106" s="973"/>
      <c r="ARF106" s="973"/>
      <c r="ARG106" s="973"/>
      <c r="ARH106" s="973"/>
      <c r="ARI106" s="973"/>
      <c r="ARJ106" s="973"/>
      <c r="ARK106" s="973"/>
      <c r="ARL106" s="973"/>
      <c r="ARM106" s="973"/>
      <c r="ARN106" s="973"/>
      <c r="ARO106" s="973"/>
      <c r="ARP106" s="973"/>
      <c r="ARQ106" s="973"/>
      <c r="ARR106" s="973"/>
      <c r="ARS106" s="973"/>
      <c r="ART106" s="973"/>
      <c r="ARU106" s="973"/>
      <c r="ARV106" s="973"/>
      <c r="ARW106" s="973"/>
      <c r="ARX106" s="973"/>
      <c r="ARY106" s="973"/>
      <c r="ARZ106" s="973"/>
      <c r="ASA106" s="973"/>
      <c r="ASB106" s="973"/>
      <c r="ASC106" s="973"/>
      <c r="ASD106" s="973"/>
      <c r="ASE106" s="973"/>
      <c r="ASF106" s="973"/>
      <c r="ASG106" s="973"/>
      <c r="ASH106" s="973"/>
      <c r="ASI106" s="973"/>
      <c r="ASJ106" s="973"/>
      <c r="ASK106" s="973"/>
      <c r="ASL106" s="973"/>
      <c r="ASM106" s="973"/>
      <c r="ASN106" s="973"/>
      <c r="ASO106" s="973"/>
      <c r="ASP106" s="973"/>
      <c r="ASQ106" s="973"/>
      <c r="ASR106" s="973"/>
      <c r="ASS106" s="973"/>
      <c r="AST106" s="973"/>
      <c r="ASU106" s="973"/>
      <c r="ASV106" s="973"/>
      <c r="ASW106" s="973"/>
      <c r="ASX106" s="973"/>
      <c r="ASY106" s="973"/>
      <c r="ASZ106" s="973"/>
      <c r="ATA106" s="973"/>
      <c r="ATB106" s="973"/>
      <c r="ATC106" s="973"/>
      <c r="ATD106" s="973"/>
      <c r="ATE106" s="973"/>
      <c r="ATF106" s="973"/>
      <c r="ATG106" s="973"/>
      <c r="ATH106" s="973"/>
      <c r="ATI106" s="973"/>
      <c r="ATJ106" s="973"/>
      <c r="ATK106" s="973"/>
      <c r="ATL106" s="973"/>
      <c r="ATM106" s="973"/>
      <c r="ATN106" s="973"/>
      <c r="ATO106" s="973"/>
      <c r="ATP106" s="973"/>
      <c r="ATQ106" s="973"/>
      <c r="ATR106" s="973"/>
      <c r="ATS106" s="973"/>
      <c r="ATT106" s="973"/>
      <c r="ATU106" s="973"/>
      <c r="ATV106" s="973"/>
      <c r="ATW106" s="973"/>
      <c r="ATX106" s="973"/>
      <c r="ATY106" s="973"/>
      <c r="ATZ106" s="973"/>
      <c r="AUA106" s="973"/>
      <c r="AUB106" s="973"/>
      <c r="AUC106" s="973"/>
      <c r="AUD106" s="973"/>
      <c r="AUE106" s="973"/>
      <c r="AUF106" s="973"/>
      <c r="AUG106" s="973"/>
      <c r="AUH106" s="973"/>
      <c r="AUI106" s="973"/>
      <c r="AUJ106" s="973"/>
      <c r="AUK106" s="973"/>
      <c r="AUL106" s="973"/>
      <c r="AUM106" s="973"/>
      <c r="AUN106" s="973"/>
      <c r="AUO106" s="973"/>
      <c r="AUP106" s="973"/>
      <c r="AUQ106" s="973"/>
      <c r="AUR106" s="973"/>
      <c r="AUS106" s="973"/>
      <c r="AUT106" s="973"/>
      <c r="AUU106" s="973"/>
      <c r="AUV106" s="973"/>
      <c r="AUW106" s="973"/>
      <c r="AUX106" s="973"/>
      <c r="AUY106" s="973"/>
      <c r="AUZ106" s="973"/>
      <c r="AVA106" s="973"/>
      <c r="AVB106" s="973"/>
      <c r="AVC106" s="973"/>
      <c r="AVD106" s="973"/>
      <c r="AVE106" s="973"/>
      <c r="AVF106" s="973"/>
      <c r="AVG106" s="973"/>
      <c r="AVH106" s="973"/>
      <c r="AVI106" s="973"/>
      <c r="AVJ106" s="973"/>
      <c r="AVK106" s="973"/>
      <c r="AVL106" s="973"/>
      <c r="AVM106" s="973"/>
      <c r="AVN106" s="973"/>
      <c r="AVO106" s="973"/>
      <c r="AVP106" s="973"/>
      <c r="AVQ106" s="973"/>
      <c r="AVR106" s="973"/>
      <c r="AVS106" s="973"/>
      <c r="AVT106" s="973"/>
      <c r="AVU106" s="973"/>
      <c r="AVV106" s="973"/>
      <c r="AVW106" s="973"/>
      <c r="AVX106" s="973"/>
      <c r="AVY106" s="973"/>
      <c r="AVZ106" s="973"/>
      <c r="AWA106" s="973"/>
      <c r="AWB106" s="973"/>
      <c r="AWC106" s="973"/>
      <c r="AWD106" s="973"/>
      <c r="AWE106" s="973"/>
      <c r="AWF106" s="973"/>
      <c r="AWG106" s="973"/>
      <c r="AWH106" s="973"/>
      <c r="AWI106" s="973"/>
      <c r="AWJ106" s="973"/>
      <c r="AWK106" s="973"/>
      <c r="AWL106" s="973"/>
      <c r="AWM106" s="973"/>
      <c r="AWN106" s="973"/>
      <c r="AWO106" s="973"/>
      <c r="AWP106" s="973"/>
      <c r="AWQ106" s="973"/>
      <c r="AWR106" s="973"/>
      <c r="AWS106" s="973"/>
      <c r="AWT106" s="973"/>
      <c r="AWU106" s="973"/>
      <c r="AWV106" s="973"/>
      <c r="AWW106" s="973"/>
      <c r="AWX106" s="973"/>
      <c r="AWY106" s="973"/>
      <c r="AWZ106" s="973"/>
      <c r="AXA106" s="973"/>
      <c r="AXB106" s="973"/>
      <c r="AXC106" s="973"/>
      <c r="AXD106" s="973"/>
      <c r="AXE106" s="973"/>
      <c r="AXF106" s="973"/>
      <c r="AXG106" s="973"/>
      <c r="AXH106" s="973"/>
      <c r="AXI106" s="973"/>
      <c r="AXJ106" s="973"/>
      <c r="AXK106" s="973"/>
      <c r="AXL106" s="973"/>
      <c r="AXM106" s="973"/>
      <c r="AXN106" s="973"/>
      <c r="AXO106" s="973"/>
      <c r="AXP106" s="973"/>
      <c r="AXQ106" s="973"/>
      <c r="AXR106" s="973"/>
      <c r="AXS106" s="973"/>
      <c r="AXT106" s="973"/>
      <c r="AXU106" s="973"/>
      <c r="AXV106" s="973"/>
      <c r="AXW106" s="973"/>
      <c r="AXX106" s="973"/>
      <c r="AXY106" s="973"/>
      <c r="AXZ106" s="973"/>
      <c r="AYA106" s="973"/>
      <c r="AYB106" s="973"/>
      <c r="AYC106" s="973"/>
      <c r="AYD106" s="973"/>
      <c r="AYE106" s="973"/>
      <c r="AYF106" s="973"/>
      <c r="AYG106" s="973"/>
      <c r="AYH106" s="973"/>
      <c r="AYI106" s="973"/>
      <c r="AYJ106" s="973"/>
      <c r="AYK106" s="973"/>
      <c r="AYL106" s="973"/>
      <c r="AYM106" s="973"/>
      <c r="AYN106" s="973"/>
      <c r="AYO106" s="973"/>
      <c r="AYP106" s="973"/>
      <c r="AYQ106" s="973"/>
      <c r="AYR106" s="973"/>
      <c r="AYS106" s="973"/>
      <c r="AYT106" s="973"/>
      <c r="AYU106" s="973"/>
      <c r="AYV106" s="973"/>
      <c r="AYW106" s="973"/>
      <c r="AYX106" s="973"/>
      <c r="AYY106" s="973"/>
      <c r="AYZ106" s="973"/>
      <c r="AZA106" s="973"/>
      <c r="AZB106" s="973"/>
      <c r="AZC106" s="973"/>
      <c r="AZD106" s="973"/>
      <c r="AZE106" s="973"/>
      <c r="AZF106" s="973"/>
      <c r="AZG106" s="973"/>
      <c r="AZH106" s="973"/>
      <c r="AZI106" s="973"/>
      <c r="AZJ106" s="973"/>
      <c r="AZK106" s="973"/>
      <c r="AZL106" s="973"/>
      <c r="AZM106" s="973"/>
      <c r="AZN106" s="973"/>
      <c r="AZO106" s="973"/>
      <c r="AZP106" s="973"/>
      <c r="AZQ106" s="973"/>
      <c r="AZR106" s="973"/>
      <c r="AZS106" s="973"/>
      <c r="AZT106" s="973"/>
      <c r="AZU106" s="973"/>
      <c r="AZV106" s="973"/>
      <c r="AZW106" s="973"/>
      <c r="AZX106" s="973"/>
      <c r="AZY106" s="973"/>
      <c r="AZZ106" s="973"/>
      <c r="BAA106" s="973"/>
      <c r="BAB106" s="973"/>
      <c r="BAC106" s="973"/>
      <c r="BAD106" s="973"/>
      <c r="BAE106" s="973"/>
      <c r="BAF106" s="973"/>
      <c r="BAG106" s="973"/>
      <c r="BAH106" s="973"/>
      <c r="BAI106" s="973"/>
      <c r="BAJ106" s="973"/>
      <c r="BAK106" s="973"/>
      <c r="BAL106" s="973"/>
      <c r="BAM106" s="973"/>
      <c r="BAN106" s="973"/>
      <c r="BAO106" s="973"/>
      <c r="BAP106" s="973"/>
      <c r="BAQ106" s="973"/>
      <c r="BAR106" s="973"/>
      <c r="BAS106" s="973"/>
      <c r="BAT106" s="973"/>
      <c r="BAU106" s="973"/>
      <c r="BAV106" s="973"/>
      <c r="BAW106" s="973"/>
      <c r="BAX106" s="973"/>
      <c r="BAY106" s="973"/>
      <c r="BAZ106" s="973"/>
      <c r="BBA106" s="973"/>
      <c r="BBB106" s="973"/>
      <c r="BBC106" s="973"/>
      <c r="BBD106" s="973"/>
      <c r="BBE106" s="973"/>
      <c r="BBF106" s="973"/>
      <c r="BBG106" s="973"/>
      <c r="BBH106" s="973"/>
      <c r="BBI106" s="973"/>
      <c r="BBJ106" s="973"/>
      <c r="BBK106" s="973"/>
      <c r="BBL106" s="973"/>
      <c r="BBM106" s="973"/>
      <c r="BBN106" s="973"/>
      <c r="BBO106" s="973"/>
      <c r="BBP106" s="973"/>
      <c r="BBQ106" s="973"/>
      <c r="BBR106" s="973"/>
      <c r="BBS106" s="973"/>
      <c r="BBT106" s="973"/>
      <c r="BBU106" s="973"/>
      <c r="BBV106" s="973"/>
      <c r="BBW106" s="973"/>
      <c r="BBX106" s="973"/>
      <c r="BBY106" s="973"/>
      <c r="BBZ106" s="973"/>
      <c r="BCA106" s="973"/>
      <c r="BCB106" s="973"/>
      <c r="BCC106" s="973"/>
      <c r="BCD106" s="973"/>
      <c r="BCE106" s="973"/>
      <c r="BCF106" s="973"/>
      <c r="BCG106" s="973"/>
      <c r="BCH106" s="973"/>
      <c r="BCI106" s="973"/>
      <c r="BCJ106" s="973"/>
      <c r="BCK106" s="973"/>
      <c r="BCL106" s="973"/>
      <c r="BCM106" s="973"/>
      <c r="BCN106" s="973"/>
      <c r="BCO106" s="973"/>
      <c r="BCP106" s="973"/>
      <c r="BCQ106" s="973"/>
      <c r="BCR106" s="973"/>
      <c r="BCS106" s="973"/>
      <c r="BCT106" s="973"/>
      <c r="BCU106" s="973"/>
      <c r="BCV106" s="973"/>
      <c r="BCW106" s="973"/>
      <c r="BCX106" s="973"/>
      <c r="BCY106" s="973"/>
      <c r="BCZ106" s="973"/>
      <c r="BDA106" s="973"/>
      <c r="BDB106" s="973"/>
      <c r="BDC106" s="973"/>
      <c r="BDD106" s="973"/>
      <c r="BDE106" s="973"/>
      <c r="BDF106" s="973"/>
      <c r="BDG106" s="973"/>
      <c r="BDH106" s="973"/>
      <c r="BDI106" s="973"/>
      <c r="BDJ106" s="973"/>
      <c r="BDK106" s="973"/>
      <c r="BDL106" s="973"/>
      <c r="BDM106" s="973"/>
      <c r="BDN106" s="973"/>
      <c r="BDO106" s="973"/>
      <c r="BDP106" s="973"/>
      <c r="BDQ106" s="973"/>
      <c r="BDR106" s="973"/>
      <c r="BDS106" s="973"/>
      <c r="BDT106" s="973"/>
      <c r="BDU106" s="973"/>
      <c r="BDV106" s="973"/>
      <c r="BDW106" s="973"/>
      <c r="BDX106" s="973"/>
      <c r="BDY106" s="973"/>
      <c r="BDZ106" s="973"/>
      <c r="BEA106" s="973"/>
      <c r="BEB106" s="973"/>
      <c r="BEC106" s="973"/>
      <c r="BED106" s="973"/>
      <c r="BEE106" s="973"/>
      <c r="BEF106" s="973"/>
      <c r="BEG106" s="973"/>
      <c r="BEH106" s="973"/>
      <c r="BEI106" s="973"/>
      <c r="BEJ106" s="973"/>
      <c r="BEK106" s="973"/>
      <c r="BEL106" s="973"/>
      <c r="BEM106" s="973"/>
      <c r="BEN106" s="973"/>
      <c r="BEO106" s="973"/>
      <c r="BEP106" s="973"/>
      <c r="BEQ106" s="973"/>
      <c r="BER106" s="973"/>
      <c r="BES106" s="973"/>
      <c r="BET106" s="973"/>
      <c r="BEU106" s="973"/>
      <c r="BEV106" s="973"/>
      <c r="BEW106" s="973"/>
      <c r="BEX106" s="973"/>
      <c r="BEY106" s="973"/>
      <c r="BEZ106" s="973"/>
      <c r="BFA106" s="973"/>
      <c r="BFB106" s="973"/>
      <c r="BFC106" s="973"/>
      <c r="BFD106" s="973"/>
      <c r="BFE106" s="973"/>
      <c r="BFF106" s="973"/>
      <c r="BFG106" s="973"/>
      <c r="BFH106" s="973"/>
      <c r="BFI106" s="973"/>
      <c r="BFJ106" s="973"/>
      <c r="BFK106" s="973"/>
      <c r="BFL106" s="973"/>
      <c r="BFM106" s="973"/>
      <c r="BFN106" s="973"/>
      <c r="BFO106" s="973"/>
      <c r="BFP106" s="973"/>
      <c r="BFQ106" s="973"/>
      <c r="BFR106" s="973"/>
      <c r="BFS106" s="973"/>
      <c r="BFT106" s="973"/>
      <c r="BFU106" s="973"/>
      <c r="BFV106" s="973"/>
      <c r="BFW106" s="973"/>
      <c r="BFX106" s="973"/>
      <c r="BFY106" s="973"/>
      <c r="BFZ106" s="973"/>
      <c r="BGA106" s="973"/>
      <c r="BGB106" s="973"/>
      <c r="BGC106" s="973"/>
      <c r="BGD106" s="973"/>
      <c r="BGE106" s="973"/>
      <c r="BGF106" s="973"/>
      <c r="BGG106" s="973"/>
      <c r="BGH106" s="973"/>
      <c r="BGI106" s="973"/>
      <c r="BGJ106" s="973"/>
      <c r="BGK106" s="973"/>
      <c r="BGL106" s="973"/>
      <c r="BGM106" s="973"/>
      <c r="BGN106" s="973"/>
      <c r="BGO106" s="973"/>
      <c r="BGP106" s="973"/>
      <c r="BGQ106" s="973"/>
      <c r="BGR106" s="973"/>
      <c r="BGS106" s="973"/>
      <c r="BGT106" s="973"/>
      <c r="BGU106" s="973"/>
      <c r="BGV106" s="973"/>
      <c r="BGW106" s="973"/>
      <c r="BGX106" s="973"/>
      <c r="BGY106" s="973"/>
      <c r="BGZ106" s="973"/>
      <c r="BHA106" s="973"/>
      <c r="BHB106" s="973"/>
      <c r="BHC106" s="973"/>
      <c r="BHD106" s="973"/>
      <c r="BHE106" s="973"/>
      <c r="BHF106" s="973"/>
      <c r="BHG106" s="973"/>
      <c r="BHH106" s="973"/>
      <c r="BHI106" s="973"/>
      <c r="BHJ106" s="973"/>
      <c r="BHK106" s="973"/>
      <c r="BHL106" s="973"/>
      <c r="BHM106" s="973"/>
      <c r="BHN106" s="973"/>
      <c r="BHO106" s="973"/>
      <c r="BHP106" s="973"/>
      <c r="BHQ106" s="973"/>
      <c r="BHR106" s="973"/>
      <c r="BHS106" s="973"/>
      <c r="BHT106" s="973"/>
      <c r="BHU106" s="973"/>
      <c r="BHV106" s="973"/>
      <c r="BHW106" s="973"/>
      <c r="BHX106" s="973"/>
      <c r="BHY106" s="973"/>
      <c r="BHZ106" s="973"/>
      <c r="BIA106" s="973"/>
      <c r="BIB106" s="973"/>
      <c r="BIC106" s="973"/>
      <c r="BID106" s="973"/>
      <c r="BIE106" s="973"/>
      <c r="BIF106" s="973"/>
      <c r="BIG106" s="973"/>
      <c r="BIH106" s="973"/>
      <c r="BII106" s="973"/>
      <c r="BIJ106" s="973"/>
      <c r="BIK106" s="973"/>
      <c r="BIL106" s="973"/>
      <c r="BIM106" s="973"/>
      <c r="BIN106" s="973"/>
      <c r="BIO106" s="973"/>
      <c r="BIP106" s="973"/>
      <c r="BIQ106" s="973"/>
      <c r="BIR106" s="973"/>
      <c r="BIS106" s="973"/>
      <c r="BIT106" s="973"/>
      <c r="BIU106" s="973"/>
      <c r="BIV106" s="973"/>
      <c r="BIW106" s="973"/>
      <c r="BIX106" s="973"/>
      <c r="BIY106" s="973"/>
      <c r="BIZ106" s="973"/>
      <c r="BJA106" s="973"/>
      <c r="BJB106" s="973"/>
      <c r="BJC106" s="973"/>
      <c r="BJD106" s="973"/>
      <c r="BJE106" s="973"/>
      <c r="BJF106" s="973"/>
      <c r="BJG106" s="973"/>
      <c r="BJH106" s="973"/>
      <c r="BJI106" s="973"/>
      <c r="BJJ106" s="973"/>
      <c r="BJK106" s="973"/>
      <c r="BJL106" s="973"/>
      <c r="BJM106" s="973"/>
      <c r="BJN106" s="973"/>
      <c r="BJO106" s="973"/>
      <c r="BJP106" s="973"/>
      <c r="BJQ106" s="973"/>
      <c r="BJR106" s="973"/>
      <c r="BJS106" s="973"/>
      <c r="BJT106" s="973"/>
      <c r="BJU106" s="973"/>
      <c r="BJV106" s="973"/>
      <c r="BJW106" s="973"/>
      <c r="BJX106" s="973"/>
      <c r="BJY106" s="973"/>
      <c r="BJZ106" s="973"/>
      <c r="BKA106" s="973"/>
      <c r="BKB106" s="973"/>
      <c r="BKC106" s="973"/>
      <c r="BKD106" s="973"/>
      <c r="BKE106" s="973"/>
      <c r="BKF106" s="973"/>
      <c r="BKG106" s="973"/>
      <c r="BKH106" s="973"/>
      <c r="BKI106" s="973"/>
      <c r="BKJ106" s="973"/>
      <c r="BKK106" s="973"/>
      <c r="BKL106" s="973"/>
      <c r="BKM106" s="973"/>
      <c r="BKN106" s="973"/>
      <c r="BKO106" s="973"/>
      <c r="BKP106" s="973"/>
      <c r="BKQ106" s="973"/>
      <c r="BKR106" s="973"/>
      <c r="BKS106" s="973"/>
      <c r="BKT106" s="973"/>
      <c r="BKU106" s="973"/>
      <c r="BKV106" s="973"/>
      <c r="BKW106" s="973"/>
      <c r="BKX106" s="973"/>
      <c r="BKY106" s="973"/>
      <c r="BKZ106" s="973"/>
      <c r="BLA106" s="973"/>
      <c r="BLB106" s="973"/>
      <c r="BLC106" s="973"/>
      <c r="BLD106" s="973"/>
      <c r="BLE106" s="973"/>
      <c r="BLF106" s="973"/>
      <c r="BLG106" s="973"/>
      <c r="BLH106" s="973"/>
      <c r="BLI106" s="973"/>
      <c r="BLJ106" s="973"/>
      <c r="BLK106" s="973"/>
      <c r="BLL106" s="973"/>
      <c r="BLM106" s="973"/>
      <c r="BLN106" s="973"/>
      <c r="BLO106" s="973"/>
      <c r="BLP106" s="973"/>
      <c r="BLQ106" s="973"/>
      <c r="BLR106" s="973"/>
      <c r="BLS106" s="973"/>
      <c r="BLT106" s="973"/>
      <c r="BLU106" s="973"/>
      <c r="BLV106" s="973"/>
      <c r="BLW106" s="973"/>
      <c r="BLX106" s="973"/>
      <c r="BLY106" s="973"/>
      <c r="BLZ106" s="973"/>
      <c r="BMA106" s="973"/>
      <c r="BMB106" s="973"/>
      <c r="BMC106" s="973"/>
      <c r="BMD106" s="973"/>
      <c r="BME106" s="973"/>
      <c r="BMF106" s="973"/>
      <c r="BMG106" s="973"/>
      <c r="BMH106" s="973"/>
      <c r="BMI106" s="973"/>
      <c r="BMJ106" s="973"/>
      <c r="BMK106" s="973"/>
      <c r="BML106" s="973"/>
      <c r="BMM106" s="973"/>
      <c r="BMN106" s="973"/>
      <c r="BMO106" s="973"/>
      <c r="BMP106" s="973"/>
      <c r="BMQ106" s="973"/>
      <c r="BMR106" s="973"/>
      <c r="BMS106" s="973"/>
      <c r="BMT106" s="973"/>
      <c r="BMU106" s="973"/>
      <c r="BMV106" s="973"/>
      <c r="BMW106" s="973"/>
      <c r="BMX106" s="973"/>
      <c r="BMY106" s="973"/>
      <c r="BMZ106" s="973"/>
      <c r="BNA106" s="973"/>
      <c r="BNB106" s="973"/>
      <c r="BNC106" s="973"/>
      <c r="BND106" s="973"/>
      <c r="BNE106" s="973"/>
      <c r="BNF106" s="973"/>
      <c r="BNG106" s="973"/>
      <c r="BNH106" s="973"/>
      <c r="BNI106" s="973"/>
      <c r="BNJ106" s="973"/>
      <c r="BNK106" s="973"/>
      <c r="BNL106" s="973"/>
      <c r="BNM106" s="973"/>
      <c r="BNN106" s="973"/>
      <c r="BNO106" s="973"/>
      <c r="BNP106" s="973"/>
      <c r="BNQ106" s="973"/>
      <c r="BNR106" s="973"/>
      <c r="BNS106" s="973"/>
      <c r="BNT106" s="973"/>
      <c r="BNU106" s="973"/>
      <c r="BNV106" s="973"/>
      <c r="BNW106" s="973"/>
      <c r="BNX106" s="973"/>
      <c r="BNY106" s="973"/>
      <c r="BNZ106" s="973"/>
      <c r="BOA106" s="973"/>
      <c r="BOB106" s="973"/>
      <c r="BOC106" s="973"/>
      <c r="BOD106" s="973"/>
      <c r="BOE106" s="973"/>
      <c r="BOF106" s="973"/>
      <c r="BOG106" s="973"/>
      <c r="BOH106" s="973"/>
      <c r="BOI106" s="973"/>
      <c r="BOJ106" s="973"/>
      <c r="BOK106" s="973"/>
      <c r="BOL106" s="973"/>
      <c r="BOM106" s="973"/>
      <c r="BON106" s="973"/>
      <c r="BOO106" s="973"/>
      <c r="BOP106" s="973"/>
      <c r="BOQ106" s="973"/>
      <c r="BOR106" s="973"/>
      <c r="BOS106" s="973"/>
      <c r="BOT106" s="973"/>
      <c r="BOU106" s="973"/>
      <c r="BOV106" s="973"/>
      <c r="BOW106" s="973"/>
      <c r="BOX106" s="973"/>
      <c r="BOY106" s="973"/>
      <c r="BOZ106" s="973"/>
      <c r="BPA106" s="973"/>
      <c r="BPB106" s="973"/>
      <c r="BPC106" s="973"/>
      <c r="BPD106" s="973"/>
      <c r="BPE106" s="973"/>
      <c r="BPF106" s="973"/>
      <c r="BPG106" s="973"/>
      <c r="BPH106" s="973"/>
      <c r="BPI106" s="973"/>
      <c r="BPJ106" s="973"/>
      <c r="BPK106" s="973"/>
      <c r="BPL106" s="973"/>
      <c r="BPM106" s="973"/>
      <c r="BPN106" s="973"/>
      <c r="BPO106" s="973"/>
      <c r="BPP106" s="973"/>
      <c r="BPQ106" s="973"/>
      <c r="BPR106" s="973"/>
      <c r="BPS106" s="973"/>
      <c r="BPT106" s="973"/>
      <c r="BPU106" s="973"/>
      <c r="BPV106" s="973"/>
      <c r="BPW106" s="973"/>
      <c r="BPX106" s="973"/>
      <c r="BPY106" s="973"/>
      <c r="BPZ106" s="973"/>
      <c r="BQA106" s="973"/>
      <c r="BQB106" s="973"/>
      <c r="BQC106" s="973"/>
      <c r="BQD106" s="973"/>
      <c r="BQE106" s="973"/>
      <c r="BQF106" s="973"/>
      <c r="BQG106" s="973"/>
      <c r="BQH106" s="973"/>
      <c r="BQI106" s="973"/>
      <c r="BQJ106" s="973"/>
      <c r="BQK106" s="973"/>
      <c r="BQL106" s="973"/>
      <c r="BQM106" s="973"/>
      <c r="BQN106" s="973"/>
      <c r="BQO106" s="973"/>
      <c r="BQP106" s="973"/>
      <c r="BQQ106" s="973"/>
      <c r="BQR106" s="973"/>
      <c r="BQS106" s="973"/>
      <c r="BQT106" s="973"/>
      <c r="BQU106" s="973"/>
      <c r="BQV106" s="973"/>
      <c r="BQW106" s="973"/>
      <c r="BQX106" s="973"/>
      <c r="BQY106" s="973"/>
      <c r="BQZ106" s="973"/>
      <c r="BRA106" s="973"/>
      <c r="BRB106" s="973"/>
      <c r="BRC106" s="973"/>
      <c r="BRD106" s="973"/>
      <c r="BRE106" s="973"/>
      <c r="BRF106" s="973"/>
      <c r="BRG106" s="973"/>
      <c r="BRH106" s="973"/>
      <c r="BRI106" s="973"/>
      <c r="BRJ106" s="973"/>
      <c r="BRK106" s="973"/>
      <c r="BRL106" s="973"/>
      <c r="BRM106" s="973"/>
      <c r="BRN106" s="973"/>
      <c r="BRO106" s="973"/>
      <c r="BRP106" s="973"/>
      <c r="BRQ106" s="973"/>
      <c r="BRR106" s="973"/>
      <c r="BRS106" s="973"/>
      <c r="BRT106" s="973"/>
      <c r="BRU106" s="973"/>
      <c r="BRV106" s="973"/>
      <c r="BRW106" s="973"/>
      <c r="BRX106" s="973"/>
      <c r="BRY106" s="973"/>
      <c r="BRZ106" s="973"/>
      <c r="BSA106" s="973"/>
      <c r="BSB106" s="973"/>
      <c r="BSC106" s="973"/>
      <c r="BSD106" s="973"/>
      <c r="BSE106" s="973"/>
      <c r="BSF106" s="973"/>
      <c r="BSG106" s="973"/>
      <c r="BSH106" s="973"/>
      <c r="BSI106" s="973"/>
      <c r="BSJ106" s="973"/>
      <c r="BSK106" s="973"/>
      <c r="BSL106" s="973"/>
      <c r="BSM106" s="973"/>
      <c r="BSN106" s="973"/>
      <c r="BSO106" s="973"/>
      <c r="BSP106" s="973"/>
      <c r="BSQ106" s="973"/>
      <c r="BSR106" s="973"/>
      <c r="BSS106" s="973"/>
      <c r="BST106" s="973"/>
      <c r="BSU106" s="973"/>
      <c r="BSV106" s="973"/>
      <c r="BSW106" s="973"/>
      <c r="BSX106" s="973"/>
      <c r="BSY106" s="973"/>
      <c r="BSZ106" s="973"/>
      <c r="BTA106" s="973"/>
      <c r="BTB106" s="973"/>
      <c r="BTC106" s="973"/>
      <c r="BTD106" s="973"/>
      <c r="BTE106" s="973"/>
      <c r="BTF106" s="973"/>
      <c r="BTG106" s="973"/>
      <c r="BTH106" s="973"/>
      <c r="BTI106" s="973"/>
      <c r="BTJ106" s="973"/>
      <c r="BTK106" s="973"/>
      <c r="BTL106" s="973"/>
      <c r="BTM106" s="973"/>
      <c r="BTN106" s="973"/>
      <c r="BTO106" s="973"/>
      <c r="BTP106" s="973"/>
      <c r="BTQ106" s="973"/>
      <c r="BTR106" s="973"/>
      <c r="BTS106" s="973"/>
      <c r="BTT106" s="973"/>
      <c r="BTU106" s="973"/>
      <c r="BTV106" s="973"/>
      <c r="BTW106" s="973"/>
      <c r="BTX106" s="973"/>
      <c r="BTY106" s="973"/>
      <c r="BTZ106" s="973"/>
      <c r="BUA106" s="973"/>
      <c r="BUB106" s="973"/>
      <c r="BUC106" s="973"/>
      <c r="BUD106" s="973"/>
      <c r="BUE106" s="973"/>
      <c r="BUF106" s="973"/>
      <c r="BUG106" s="973"/>
      <c r="BUH106" s="973"/>
      <c r="BUI106" s="973"/>
      <c r="BUJ106" s="973"/>
      <c r="BUK106" s="973"/>
      <c r="BUL106" s="973"/>
      <c r="BUM106" s="973"/>
      <c r="BUN106" s="973"/>
      <c r="BUO106" s="973"/>
      <c r="BUP106" s="973"/>
      <c r="BUQ106" s="973"/>
      <c r="BUR106" s="973"/>
      <c r="BUS106" s="973"/>
      <c r="BUT106" s="973"/>
      <c r="BUU106" s="973"/>
      <c r="BUV106" s="973"/>
      <c r="BUW106" s="973"/>
      <c r="BUX106" s="973"/>
      <c r="BUY106" s="973"/>
      <c r="BUZ106" s="973"/>
      <c r="BVA106" s="973"/>
      <c r="BVB106" s="973"/>
      <c r="BVC106" s="973"/>
      <c r="BVD106" s="973"/>
      <c r="BVE106" s="973"/>
      <c r="BVF106" s="973"/>
      <c r="BVG106" s="973"/>
      <c r="BVH106" s="973"/>
      <c r="BVI106" s="973"/>
      <c r="BVJ106" s="973"/>
      <c r="BVK106" s="973"/>
      <c r="BVL106" s="973"/>
      <c r="BVM106" s="973"/>
      <c r="BVN106" s="973"/>
      <c r="BVO106" s="973"/>
      <c r="BVP106" s="973"/>
      <c r="BVQ106" s="973"/>
      <c r="BVR106" s="973"/>
      <c r="BVS106" s="973"/>
      <c r="BVT106" s="973"/>
      <c r="BVU106" s="973"/>
      <c r="BVV106" s="973"/>
      <c r="BVW106" s="973"/>
      <c r="BVX106" s="973"/>
      <c r="BVY106" s="973"/>
      <c r="BVZ106" s="973"/>
      <c r="BWA106" s="973"/>
      <c r="BWB106" s="973"/>
      <c r="BWC106" s="973"/>
      <c r="BWD106" s="973"/>
      <c r="BWE106" s="973"/>
      <c r="BWF106" s="973"/>
      <c r="BWG106" s="973"/>
      <c r="BWH106" s="973"/>
      <c r="BWI106" s="973"/>
      <c r="BWJ106" s="973"/>
      <c r="BWK106" s="973"/>
      <c r="BWL106" s="973"/>
      <c r="BWM106" s="973"/>
      <c r="BWN106" s="973"/>
      <c r="BWO106" s="973"/>
      <c r="BWP106" s="973"/>
      <c r="BWQ106" s="973"/>
      <c r="BWR106" s="973"/>
      <c r="BWS106" s="973"/>
      <c r="BWT106" s="973"/>
      <c r="BWU106" s="973"/>
      <c r="BWV106" s="973"/>
      <c r="BWW106" s="973"/>
      <c r="BWX106" s="973"/>
      <c r="BWY106" s="973"/>
      <c r="BWZ106" s="973"/>
      <c r="BXA106" s="973"/>
      <c r="BXB106" s="973"/>
      <c r="BXC106" s="973"/>
      <c r="BXD106" s="973"/>
      <c r="BXE106" s="973"/>
      <c r="BXF106" s="973"/>
      <c r="BXG106" s="973"/>
      <c r="BXH106" s="973"/>
      <c r="BXI106" s="973"/>
      <c r="BXJ106" s="973"/>
      <c r="BXK106" s="973"/>
      <c r="BXL106" s="973"/>
      <c r="BXM106" s="973"/>
      <c r="BXN106" s="973"/>
      <c r="BXO106" s="973"/>
      <c r="BXP106" s="973"/>
      <c r="BXQ106" s="973"/>
      <c r="BXR106" s="973"/>
      <c r="BXS106" s="973"/>
      <c r="BXT106" s="973"/>
      <c r="BXU106" s="973"/>
      <c r="BXV106" s="973"/>
      <c r="BXW106" s="973"/>
      <c r="BXX106" s="973"/>
      <c r="BXY106" s="973"/>
      <c r="BXZ106" s="973"/>
      <c r="BYA106" s="973"/>
      <c r="BYB106" s="973"/>
      <c r="BYC106" s="973"/>
      <c r="BYD106" s="973"/>
      <c r="BYE106" s="973"/>
      <c r="BYF106" s="973"/>
      <c r="BYG106" s="973"/>
      <c r="BYH106" s="973"/>
      <c r="BYI106" s="973"/>
      <c r="BYJ106" s="973"/>
      <c r="BYK106" s="973"/>
      <c r="BYL106" s="973"/>
      <c r="BYM106" s="973"/>
      <c r="BYN106" s="973"/>
      <c r="BYO106" s="973"/>
      <c r="BYP106" s="973"/>
      <c r="BYQ106" s="973"/>
      <c r="BYR106" s="973"/>
      <c r="BYS106" s="973"/>
      <c r="BYT106" s="973"/>
      <c r="BYU106" s="973"/>
      <c r="BYV106" s="973"/>
      <c r="BYW106" s="973"/>
      <c r="BYX106" s="973"/>
      <c r="BYY106" s="973"/>
      <c r="BYZ106" s="973"/>
      <c r="BZA106" s="973"/>
      <c r="BZB106" s="973"/>
      <c r="BZC106" s="973"/>
      <c r="BZD106" s="973"/>
      <c r="BZE106" s="973"/>
      <c r="BZF106" s="973"/>
      <c r="BZG106" s="973"/>
      <c r="BZH106" s="973"/>
      <c r="BZI106" s="973"/>
      <c r="BZJ106" s="973"/>
      <c r="BZK106" s="973"/>
      <c r="BZL106" s="973"/>
      <c r="BZM106" s="973"/>
      <c r="BZN106" s="973"/>
      <c r="BZO106" s="973"/>
      <c r="BZP106" s="973"/>
      <c r="BZQ106" s="973"/>
      <c r="BZR106" s="973"/>
      <c r="BZS106" s="973"/>
      <c r="BZT106" s="973"/>
      <c r="BZU106" s="973"/>
      <c r="BZV106" s="973"/>
      <c r="BZW106" s="973"/>
      <c r="BZX106" s="973"/>
      <c r="BZY106" s="973"/>
      <c r="BZZ106" s="973"/>
      <c r="CAA106" s="973"/>
      <c r="CAB106" s="973"/>
      <c r="CAC106" s="973"/>
      <c r="CAD106" s="973"/>
      <c r="CAE106" s="973"/>
      <c r="CAF106" s="973"/>
      <c r="CAG106" s="973"/>
      <c r="CAH106" s="973"/>
      <c r="CAI106" s="973"/>
      <c r="CAJ106" s="973"/>
      <c r="CAK106" s="973"/>
      <c r="CAL106" s="973"/>
      <c r="CAM106" s="973"/>
      <c r="CAN106" s="973"/>
      <c r="CAO106" s="973"/>
      <c r="CAP106" s="973"/>
      <c r="CAQ106" s="973"/>
      <c r="CAR106" s="973"/>
      <c r="CAS106" s="973"/>
      <c r="CAT106" s="973"/>
      <c r="CAU106" s="973"/>
      <c r="CAV106" s="973"/>
      <c r="CAW106" s="973"/>
      <c r="CAX106" s="973"/>
      <c r="CAY106" s="973"/>
      <c r="CAZ106" s="973"/>
      <c r="CBA106" s="973"/>
      <c r="CBB106" s="973"/>
      <c r="CBC106" s="973"/>
      <c r="CBD106" s="973"/>
      <c r="CBE106" s="973"/>
      <c r="CBF106" s="973"/>
      <c r="CBG106" s="973"/>
      <c r="CBH106" s="973"/>
      <c r="CBI106" s="973"/>
      <c r="CBJ106" s="973"/>
      <c r="CBK106" s="973"/>
      <c r="CBL106" s="973"/>
      <c r="CBM106" s="973"/>
      <c r="CBN106" s="973"/>
      <c r="CBO106" s="973"/>
      <c r="CBP106" s="973"/>
      <c r="CBQ106" s="973"/>
      <c r="CBR106" s="973"/>
      <c r="CBS106" s="973"/>
      <c r="CBT106" s="973"/>
      <c r="CBU106" s="973"/>
      <c r="CBV106" s="973"/>
      <c r="CBW106" s="973"/>
      <c r="CBX106" s="973"/>
      <c r="CBY106" s="973"/>
      <c r="CBZ106" s="973"/>
      <c r="CCA106" s="973"/>
      <c r="CCB106" s="973"/>
      <c r="CCC106" s="973"/>
      <c r="CCD106" s="973"/>
      <c r="CCE106" s="973"/>
      <c r="CCF106" s="973"/>
      <c r="CCG106" s="973"/>
      <c r="CCH106" s="973"/>
      <c r="CCI106" s="973"/>
      <c r="CCJ106" s="973"/>
      <c r="CCK106" s="973"/>
      <c r="CCL106" s="973"/>
      <c r="CCM106" s="973"/>
      <c r="CCN106" s="973"/>
      <c r="CCO106" s="973"/>
      <c r="CCP106" s="973"/>
      <c r="CCQ106" s="973"/>
      <c r="CCR106" s="973"/>
      <c r="CCS106" s="973"/>
      <c r="CCT106" s="973"/>
      <c r="CCU106" s="973"/>
      <c r="CCV106" s="973"/>
      <c r="CCW106" s="973"/>
      <c r="CCX106" s="973"/>
      <c r="CCY106" s="973"/>
      <c r="CCZ106" s="973"/>
      <c r="CDA106" s="973"/>
      <c r="CDB106" s="973"/>
      <c r="CDC106" s="973"/>
      <c r="CDD106" s="973"/>
      <c r="CDE106" s="973"/>
      <c r="CDF106" s="973"/>
      <c r="CDG106" s="973"/>
      <c r="CDH106" s="973"/>
      <c r="CDI106" s="973"/>
      <c r="CDJ106" s="973"/>
      <c r="CDK106" s="973"/>
      <c r="CDL106" s="973"/>
      <c r="CDM106" s="973"/>
      <c r="CDN106" s="973"/>
      <c r="CDO106" s="973"/>
      <c r="CDP106" s="973"/>
      <c r="CDQ106" s="973"/>
      <c r="CDR106" s="973"/>
      <c r="CDS106" s="973"/>
      <c r="CDT106" s="973"/>
      <c r="CDU106" s="973"/>
      <c r="CDV106" s="973"/>
      <c r="CDW106" s="973"/>
      <c r="CDX106" s="973"/>
      <c r="CDY106" s="973"/>
      <c r="CDZ106" s="973"/>
      <c r="CEA106" s="973"/>
      <c r="CEB106" s="973"/>
      <c r="CEC106" s="973"/>
      <c r="CED106" s="973"/>
      <c r="CEE106" s="973"/>
      <c r="CEF106" s="973"/>
      <c r="CEG106" s="973"/>
      <c r="CEH106" s="973"/>
      <c r="CEI106" s="973"/>
      <c r="CEJ106" s="973"/>
      <c r="CEK106" s="973"/>
      <c r="CEL106" s="973"/>
      <c r="CEM106" s="973"/>
      <c r="CEN106" s="973"/>
      <c r="CEO106" s="973"/>
      <c r="CEP106" s="973"/>
      <c r="CEQ106" s="973"/>
      <c r="CER106" s="973"/>
      <c r="CES106" s="973"/>
      <c r="CET106" s="973"/>
      <c r="CEU106" s="973"/>
      <c r="CEV106" s="973"/>
      <c r="CEW106" s="973"/>
      <c r="CEX106" s="973"/>
      <c r="CEY106" s="973"/>
      <c r="CEZ106" s="973"/>
      <c r="CFA106" s="973"/>
      <c r="CFB106" s="973"/>
      <c r="CFC106" s="973"/>
      <c r="CFD106" s="973"/>
      <c r="CFE106" s="973"/>
      <c r="CFF106" s="973"/>
      <c r="CFG106" s="973"/>
      <c r="CFH106" s="973"/>
      <c r="CFI106" s="973"/>
      <c r="CFJ106" s="973"/>
      <c r="CFK106" s="973"/>
      <c r="CFL106" s="973"/>
      <c r="CFM106" s="973"/>
      <c r="CFN106" s="973"/>
      <c r="CFO106" s="973"/>
      <c r="CFP106" s="973"/>
      <c r="CFQ106" s="973"/>
      <c r="CFR106" s="973"/>
      <c r="CFS106" s="973"/>
      <c r="CFT106" s="973"/>
      <c r="CFU106" s="973"/>
      <c r="CFV106" s="973"/>
      <c r="CFW106" s="973"/>
      <c r="CFX106" s="973"/>
      <c r="CFY106" s="973"/>
      <c r="CFZ106" s="973"/>
      <c r="CGA106" s="973"/>
      <c r="CGB106" s="973"/>
      <c r="CGC106" s="973"/>
      <c r="CGD106" s="973"/>
      <c r="CGE106" s="973"/>
      <c r="CGF106" s="973"/>
      <c r="CGG106" s="973"/>
      <c r="CGH106" s="973"/>
      <c r="CGI106" s="973"/>
      <c r="CGJ106" s="973"/>
      <c r="CGK106" s="973"/>
      <c r="CGL106" s="973"/>
      <c r="CGM106" s="973"/>
      <c r="CGN106" s="973"/>
      <c r="CGO106" s="973"/>
      <c r="CGP106" s="973"/>
      <c r="CGQ106" s="973"/>
      <c r="CGR106" s="973"/>
      <c r="CGS106" s="973"/>
      <c r="CGT106" s="973"/>
      <c r="CGU106" s="973"/>
      <c r="CGV106" s="973"/>
      <c r="CGW106" s="973"/>
      <c r="CGX106" s="973"/>
      <c r="CGY106" s="973"/>
      <c r="CGZ106" s="973"/>
      <c r="CHA106" s="973"/>
      <c r="CHB106" s="973"/>
      <c r="CHC106" s="973"/>
      <c r="CHD106" s="973"/>
      <c r="CHE106" s="973"/>
      <c r="CHF106" s="973"/>
      <c r="CHG106" s="973"/>
      <c r="CHH106" s="973"/>
      <c r="CHI106" s="973"/>
      <c r="CHJ106" s="973"/>
      <c r="CHK106" s="973"/>
      <c r="CHL106" s="973"/>
      <c r="CHM106" s="973"/>
      <c r="CHN106" s="973"/>
      <c r="CHO106" s="973"/>
      <c r="CHP106" s="973"/>
      <c r="CHQ106" s="973"/>
      <c r="CHR106" s="973"/>
      <c r="CHS106" s="973"/>
      <c r="CHT106" s="973"/>
      <c r="CHU106" s="973"/>
      <c r="CHV106" s="973"/>
      <c r="CHW106" s="973"/>
      <c r="CHX106" s="973"/>
      <c r="CHY106" s="973"/>
      <c r="CHZ106" s="973"/>
      <c r="CIA106" s="973"/>
      <c r="CIB106" s="973"/>
      <c r="CIC106" s="973"/>
      <c r="CID106" s="973"/>
      <c r="CIE106" s="973"/>
      <c r="CIF106" s="973"/>
      <c r="CIG106" s="973"/>
      <c r="CIH106" s="973"/>
      <c r="CII106" s="973"/>
      <c r="CIJ106" s="973"/>
      <c r="CIK106" s="973"/>
      <c r="CIL106" s="973"/>
      <c r="CIM106" s="973"/>
      <c r="CIN106" s="973"/>
      <c r="CIO106" s="973"/>
      <c r="CIP106" s="973"/>
      <c r="CIQ106" s="973"/>
      <c r="CIR106" s="973"/>
      <c r="CIS106" s="973"/>
      <c r="CIT106" s="973"/>
      <c r="CIU106" s="973"/>
      <c r="CIV106" s="973"/>
      <c r="CIW106" s="973"/>
      <c r="CIX106" s="973"/>
      <c r="CIY106" s="973"/>
      <c r="CIZ106" s="973"/>
      <c r="CJA106" s="973"/>
      <c r="CJB106" s="973"/>
      <c r="CJC106" s="973"/>
      <c r="CJD106" s="973"/>
      <c r="CJE106" s="973"/>
      <c r="CJF106" s="973"/>
      <c r="CJG106" s="973"/>
      <c r="CJH106" s="973"/>
      <c r="CJI106" s="973"/>
      <c r="CJJ106" s="973"/>
      <c r="CJK106" s="973"/>
      <c r="CJL106" s="973"/>
      <c r="CJM106" s="973"/>
      <c r="CJN106" s="973"/>
      <c r="CJO106" s="973"/>
      <c r="CJP106" s="973"/>
      <c r="CJQ106" s="973"/>
      <c r="CJR106" s="973"/>
      <c r="CJS106" s="973"/>
      <c r="CJT106" s="973"/>
      <c r="CJU106" s="973"/>
      <c r="CJV106" s="973"/>
      <c r="CJW106" s="973"/>
      <c r="CJX106" s="973"/>
      <c r="CJY106" s="973"/>
      <c r="CJZ106" s="973"/>
      <c r="CKA106" s="973"/>
      <c r="CKB106" s="973"/>
      <c r="CKC106" s="973"/>
      <c r="CKD106" s="973"/>
      <c r="CKE106" s="973"/>
      <c r="CKF106" s="973"/>
      <c r="CKG106" s="973"/>
      <c r="CKH106" s="973"/>
      <c r="CKI106" s="973"/>
      <c r="CKJ106" s="973"/>
      <c r="CKK106" s="973"/>
      <c r="CKL106" s="973"/>
      <c r="CKM106" s="973"/>
      <c r="CKN106" s="973"/>
      <c r="CKO106" s="973"/>
      <c r="CKP106" s="973"/>
      <c r="CKQ106" s="973"/>
      <c r="CKR106" s="973"/>
      <c r="CKS106" s="973"/>
      <c r="CKT106" s="973"/>
      <c r="CKU106" s="973"/>
      <c r="CKV106" s="973"/>
      <c r="CKW106" s="973"/>
      <c r="CKX106" s="973"/>
      <c r="CKY106" s="973"/>
      <c r="CKZ106" s="973"/>
      <c r="CLA106" s="973"/>
      <c r="CLB106" s="973"/>
      <c r="CLC106" s="973"/>
      <c r="CLD106" s="973"/>
      <c r="CLE106" s="973"/>
      <c r="CLF106" s="973"/>
      <c r="CLG106" s="973"/>
      <c r="CLH106" s="973"/>
      <c r="CLI106" s="973"/>
      <c r="CLJ106" s="973"/>
      <c r="CLK106" s="973"/>
      <c r="CLL106" s="973"/>
      <c r="CLM106" s="973"/>
      <c r="CLN106" s="973"/>
      <c r="CLO106" s="973"/>
      <c r="CLP106" s="973"/>
      <c r="CLQ106" s="973"/>
      <c r="CLR106" s="973"/>
      <c r="CLS106" s="973"/>
      <c r="CLT106" s="973"/>
      <c r="CLU106" s="973"/>
      <c r="CLV106" s="973"/>
      <c r="CLW106" s="973"/>
      <c r="CLX106" s="973"/>
      <c r="CLY106" s="973"/>
      <c r="CLZ106" s="973"/>
      <c r="CMA106" s="973"/>
      <c r="CMB106" s="973"/>
      <c r="CMC106" s="973"/>
      <c r="CMD106" s="973"/>
      <c r="CME106" s="973"/>
      <c r="CMF106" s="973"/>
      <c r="CMG106" s="973"/>
      <c r="CMH106" s="973"/>
      <c r="CMI106" s="973"/>
      <c r="CMJ106" s="973"/>
      <c r="CMK106" s="973"/>
      <c r="CML106" s="973"/>
      <c r="CMM106" s="973"/>
      <c r="CMN106" s="973"/>
      <c r="CMO106" s="973"/>
      <c r="CMP106" s="973"/>
      <c r="CMQ106" s="973"/>
      <c r="CMR106" s="973"/>
      <c r="CMS106" s="973"/>
      <c r="CMT106" s="973"/>
      <c r="CMU106" s="973"/>
      <c r="CMV106" s="973"/>
      <c r="CMW106" s="973"/>
      <c r="CMX106" s="973"/>
      <c r="CMY106" s="973"/>
      <c r="CMZ106" s="973"/>
      <c r="CNA106" s="973"/>
      <c r="CNB106" s="973"/>
      <c r="CNC106" s="973"/>
      <c r="CND106" s="973"/>
      <c r="CNE106" s="973"/>
      <c r="CNF106" s="973"/>
      <c r="CNG106" s="973"/>
      <c r="CNH106" s="973"/>
      <c r="CNI106" s="973"/>
      <c r="CNJ106" s="973"/>
      <c r="CNK106" s="973"/>
      <c r="CNL106" s="973"/>
      <c r="CNM106" s="973"/>
      <c r="CNN106" s="973"/>
      <c r="CNO106" s="973"/>
      <c r="CNP106" s="973"/>
      <c r="CNQ106" s="973"/>
      <c r="CNR106" s="973"/>
      <c r="CNS106" s="973"/>
      <c r="CNT106" s="973"/>
      <c r="CNU106" s="973"/>
      <c r="CNV106" s="973"/>
      <c r="CNW106" s="973"/>
      <c r="CNX106" s="973"/>
      <c r="CNY106" s="973"/>
      <c r="CNZ106" s="973"/>
      <c r="COA106" s="973"/>
      <c r="COB106" s="973"/>
      <c r="COC106" s="973"/>
      <c r="COD106" s="973"/>
      <c r="COE106" s="973"/>
      <c r="COF106" s="973"/>
      <c r="COG106" s="973"/>
      <c r="COH106" s="973"/>
      <c r="COI106" s="973"/>
      <c r="COJ106" s="973"/>
      <c r="COK106" s="973"/>
      <c r="COL106" s="973"/>
      <c r="COM106" s="973"/>
      <c r="CON106" s="973"/>
      <c r="COO106" s="973"/>
      <c r="COP106" s="973"/>
      <c r="COQ106" s="973"/>
      <c r="COR106" s="973"/>
      <c r="COS106" s="973"/>
      <c r="COT106" s="973"/>
      <c r="COU106" s="973"/>
      <c r="COV106" s="973"/>
      <c r="COW106" s="973"/>
      <c r="COX106" s="973"/>
      <c r="COY106" s="973"/>
      <c r="COZ106" s="973"/>
      <c r="CPA106" s="973"/>
      <c r="CPB106" s="973"/>
      <c r="CPC106" s="973"/>
      <c r="CPD106" s="973"/>
      <c r="CPE106" s="973"/>
      <c r="CPF106" s="973"/>
      <c r="CPG106" s="973"/>
      <c r="CPH106" s="973"/>
      <c r="CPI106" s="973"/>
      <c r="CPJ106" s="973"/>
      <c r="CPK106" s="973"/>
      <c r="CPL106" s="973"/>
      <c r="CPM106" s="973"/>
      <c r="CPN106" s="973"/>
      <c r="CPO106" s="973"/>
      <c r="CPP106" s="973"/>
      <c r="CPQ106" s="973"/>
      <c r="CPR106" s="973"/>
      <c r="CPS106" s="973"/>
      <c r="CPT106" s="973"/>
      <c r="CPU106" s="973"/>
      <c r="CPV106" s="973"/>
      <c r="CPW106" s="973"/>
      <c r="CPX106" s="973"/>
      <c r="CPY106" s="973"/>
      <c r="CPZ106" s="973"/>
      <c r="CQA106" s="973"/>
      <c r="CQB106" s="973"/>
      <c r="CQC106" s="973"/>
      <c r="CQD106" s="973"/>
      <c r="CQE106" s="973"/>
      <c r="CQF106" s="973"/>
      <c r="CQG106" s="973"/>
      <c r="CQH106" s="973"/>
      <c r="CQI106" s="973"/>
      <c r="CQJ106" s="973"/>
      <c r="CQK106" s="973"/>
      <c r="CQL106" s="973"/>
      <c r="CQM106" s="973"/>
      <c r="CQN106" s="973"/>
      <c r="CQO106" s="973"/>
      <c r="CQP106" s="973"/>
      <c r="CQQ106" s="973"/>
      <c r="CQR106" s="973"/>
      <c r="CQS106" s="973"/>
      <c r="CQT106" s="973"/>
      <c r="CQU106" s="973"/>
      <c r="CQV106" s="973"/>
      <c r="CQW106" s="973"/>
      <c r="CQX106" s="973"/>
      <c r="CQY106" s="973"/>
      <c r="CQZ106" s="973"/>
      <c r="CRA106" s="973"/>
      <c r="CRB106" s="973"/>
      <c r="CRC106" s="973"/>
      <c r="CRD106" s="973"/>
      <c r="CRE106" s="973"/>
      <c r="CRF106" s="973"/>
      <c r="CRG106" s="973"/>
      <c r="CRH106" s="973"/>
      <c r="CRI106" s="973"/>
      <c r="CRJ106" s="973"/>
      <c r="CRK106" s="973"/>
      <c r="CRL106" s="973"/>
      <c r="CRM106" s="973"/>
      <c r="CRN106" s="973"/>
      <c r="CRO106" s="973"/>
      <c r="CRP106" s="973"/>
      <c r="CRQ106" s="973"/>
      <c r="CRR106" s="973"/>
      <c r="CRS106" s="973"/>
      <c r="CRT106" s="973"/>
      <c r="CRU106" s="973"/>
      <c r="CRV106" s="973"/>
      <c r="CRW106" s="973"/>
      <c r="CRX106" s="973"/>
      <c r="CRY106" s="973"/>
      <c r="CRZ106" s="973"/>
      <c r="CSA106" s="973"/>
      <c r="CSB106" s="973"/>
      <c r="CSC106" s="973"/>
      <c r="CSD106" s="973"/>
      <c r="CSE106" s="973"/>
      <c r="CSF106" s="973"/>
      <c r="CSG106" s="973"/>
      <c r="CSH106" s="973"/>
      <c r="CSI106" s="973"/>
      <c r="CSJ106" s="973"/>
      <c r="CSK106" s="973"/>
      <c r="CSL106" s="973"/>
      <c r="CSM106" s="973"/>
      <c r="CSN106" s="973"/>
      <c r="CSO106" s="973"/>
      <c r="CSP106" s="973"/>
      <c r="CSQ106" s="973"/>
      <c r="CSR106" s="973"/>
      <c r="CSS106" s="973"/>
      <c r="CST106" s="973"/>
      <c r="CSU106" s="973"/>
      <c r="CSV106" s="973"/>
      <c r="CSW106" s="973"/>
      <c r="CSX106" s="973"/>
      <c r="CSY106" s="973"/>
      <c r="CSZ106" s="973"/>
      <c r="CTA106" s="973"/>
      <c r="CTB106" s="973"/>
      <c r="CTC106" s="973"/>
      <c r="CTD106" s="973"/>
      <c r="CTE106" s="973"/>
      <c r="CTF106" s="973"/>
      <c r="CTG106" s="973"/>
      <c r="CTH106" s="973"/>
      <c r="CTI106" s="973"/>
      <c r="CTJ106" s="973"/>
      <c r="CTK106" s="973"/>
      <c r="CTL106" s="973"/>
      <c r="CTM106" s="973"/>
      <c r="CTN106" s="973"/>
      <c r="CTO106" s="973"/>
      <c r="CTP106" s="973"/>
      <c r="CTQ106" s="973"/>
      <c r="CTR106" s="973"/>
      <c r="CTS106" s="973"/>
      <c r="CTT106" s="973"/>
      <c r="CTU106" s="973"/>
      <c r="CTV106" s="973"/>
      <c r="CTW106" s="973"/>
      <c r="CTX106" s="973"/>
      <c r="CTY106" s="973"/>
      <c r="CTZ106" s="973"/>
      <c r="CUA106" s="973"/>
      <c r="CUB106" s="973"/>
      <c r="CUC106" s="973"/>
      <c r="CUD106" s="973"/>
      <c r="CUE106" s="973"/>
      <c r="CUF106" s="973"/>
      <c r="CUG106" s="973"/>
      <c r="CUH106" s="973"/>
      <c r="CUI106" s="973"/>
      <c r="CUJ106" s="973"/>
      <c r="CUK106" s="973"/>
      <c r="CUL106" s="973"/>
      <c r="CUM106" s="973"/>
      <c r="CUN106" s="973"/>
      <c r="CUO106" s="973"/>
      <c r="CUP106" s="973"/>
      <c r="CUQ106" s="973"/>
      <c r="CUR106" s="973"/>
      <c r="CUS106" s="973"/>
      <c r="CUT106" s="973"/>
      <c r="CUU106" s="973"/>
      <c r="CUV106" s="973"/>
      <c r="CUW106" s="973"/>
      <c r="CUX106" s="973"/>
      <c r="CUY106" s="973"/>
      <c r="CUZ106" s="973"/>
      <c r="CVA106" s="973"/>
      <c r="CVB106" s="973"/>
      <c r="CVC106" s="973"/>
      <c r="CVD106" s="973"/>
      <c r="CVE106" s="973"/>
      <c r="CVF106" s="973"/>
      <c r="CVG106" s="973"/>
      <c r="CVH106" s="973"/>
      <c r="CVI106" s="973"/>
      <c r="CVJ106" s="973"/>
      <c r="CVK106" s="973"/>
      <c r="CVL106" s="973"/>
      <c r="CVM106" s="973"/>
      <c r="CVN106" s="973"/>
      <c r="CVO106" s="973"/>
      <c r="CVP106" s="973"/>
      <c r="CVQ106" s="973"/>
      <c r="CVR106" s="973"/>
      <c r="CVS106" s="973"/>
      <c r="CVT106" s="973"/>
      <c r="CVU106" s="973"/>
      <c r="CVV106" s="973"/>
      <c r="CVW106" s="973"/>
      <c r="CVX106" s="973"/>
      <c r="CVY106" s="973"/>
      <c r="CVZ106" s="973"/>
      <c r="CWA106" s="973"/>
      <c r="CWB106" s="973"/>
      <c r="CWC106" s="973"/>
      <c r="CWD106" s="973"/>
      <c r="CWE106" s="973"/>
      <c r="CWF106" s="973"/>
      <c r="CWG106" s="973"/>
      <c r="CWH106" s="973"/>
      <c r="CWI106" s="973"/>
      <c r="CWJ106" s="973"/>
      <c r="CWK106" s="973"/>
      <c r="CWL106" s="973"/>
      <c r="CWM106" s="973"/>
      <c r="CWN106" s="973"/>
      <c r="CWO106" s="973"/>
      <c r="CWP106" s="973"/>
      <c r="CWQ106" s="973"/>
      <c r="CWR106" s="973"/>
      <c r="CWS106" s="973"/>
      <c r="CWT106" s="973"/>
      <c r="CWU106" s="973"/>
      <c r="CWV106" s="973"/>
      <c r="CWW106" s="973"/>
      <c r="CWX106" s="973"/>
      <c r="CWY106" s="973"/>
      <c r="CWZ106" s="973"/>
      <c r="CXA106" s="973"/>
      <c r="CXB106" s="973"/>
      <c r="CXC106" s="973"/>
      <c r="CXD106" s="973"/>
      <c r="CXE106" s="973"/>
      <c r="CXF106" s="973"/>
      <c r="CXG106" s="973"/>
      <c r="CXH106" s="973"/>
      <c r="CXI106" s="973"/>
      <c r="CXJ106" s="973"/>
      <c r="CXK106" s="973"/>
      <c r="CXL106" s="973"/>
      <c r="CXM106" s="973"/>
      <c r="CXN106" s="973"/>
      <c r="CXO106" s="973"/>
      <c r="CXP106" s="973"/>
      <c r="CXQ106" s="973"/>
      <c r="CXR106" s="973"/>
      <c r="CXS106" s="973"/>
      <c r="CXT106" s="973"/>
      <c r="CXU106" s="973"/>
      <c r="CXV106" s="973"/>
      <c r="CXW106" s="973"/>
      <c r="CXX106" s="973"/>
      <c r="CXY106" s="973"/>
      <c r="CXZ106" s="973"/>
      <c r="CYA106" s="973"/>
      <c r="CYB106" s="973"/>
      <c r="CYC106" s="973"/>
      <c r="CYD106" s="973"/>
      <c r="CYE106" s="973"/>
      <c r="CYF106" s="973"/>
      <c r="CYG106" s="973"/>
      <c r="CYH106" s="973"/>
      <c r="CYI106" s="973"/>
      <c r="CYJ106" s="973"/>
      <c r="CYK106" s="973"/>
      <c r="CYL106" s="973"/>
      <c r="CYM106" s="973"/>
      <c r="CYN106" s="973"/>
      <c r="CYO106" s="973"/>
      <c r="CYP106" s="973"/>
      <c r="CYQ106" s="973"/>
      <c r="CYR106" s="973"/>
      <c r="CYS106" s="973"/>
      <c r="CYT106" s="973"/>
      <c r="CYU106" s="973"/>
      <c r="CYV106" s="973"/>
      <c r="CYW106" s="973"/>
      <c r="CYX106" s="973"/>
      <c r="CYY106" s="973"/>
      <c r="CYZ106" s="973"/>
      <c r="CZA106" s="973"/>
      <c r="CZB106" s="973"/>
      <c r="CZC106" s="973"/>
      <c r="CZD106" s="973"/>
      <c r="CZE106" s="973"/>
      <c r="CZF106" s="973"/>
      <c r="CZG106" s="973"/>
      <c r="CZH106" s="973"/>
      <c r="CZI106" s="973"/>
      <c r="CZJ106" s="973"/>
      <c r="CZK106" s="973"/>
      <c r="CZL106" s="973"/>
      <c r="CZM106" s="973"/>
      <c r="CZN106" s="973"/>
      <c r="CZO106" s="973"/>
      <c r="CZP106" s="973"/>
      <c r="CZQ106" s="973"/>
      <c r="CZR106" s="973"/>
      <c r="CZS106" s="973"/>
      <c r="CZT106" s="973"/>
      <c r="CZU106" s="973"/>
      <c r="CZV106" s="973"/>
      <c r="CZW106" s="973"/>
      <c r="CZX106" s="973"/>
      <c r="CZY106" s="973"/>
      <c r="CZZ106" s="973"/>
      <c r="DAA106" s="973"/>
      <c r="DAB106" s="973"/>
      <c r="DAC106" s="973"/>
      <c r="DAD106" s="973"/>
      <c r="DAE106" s="973"/>
      <c r="DAF106" s="973"/>
      <c r="DAG106" s="973"/>
      <c r="DAH106" s="973"/>
      <c r="DAI106" s="973"/>
      <c r="DAJ106" s="973"/>
      <c r="DAK106" s="973"/>
      <c r="DAL106" s="973"/>
      <c r="DAM106" s="973"/>
      <c r="DAN106" s="973"/>
      <c r="DAO106" s="973"/>
      <c r="DAP106" s="973"/>
      <c r="DAQ106" s="973"/>
      <c r="DAR106" s="973"/>
      <c r="DAS106" s="973"/>
      <c r="DAT106" s="973"/>
      <c r="DAU106" s="973"/>
      <c r="DAV106" s="973"/>
      <c r="DAW106" s="973"/>
      <c r="DAX106" s="973"/>
      <c r="DAY106" s="973"/>
      <c r="DAZ106" s="973"/>
      <c r="DBA106" s="973"/>
      <c r="DBB106" s="973"/>
      <c r="DBC106" s="973"/>
      <c r="DBD106" s="973"/>
      <c r="DBE106" s="973"/>
      <c r="DBF106" s="973"/>
      <c r="DBG106" s="973"/>
      <c r="DBH106" s="973"/>
      <c r="DBI106" s="973"/>
      <c r="DBJ106" s="973"/>
      <c r="DBK106" s="973"/>
      <c r="DBL106" s="973"/>
      <c r="DBM106" s="973"/>
      <c r="DBN106" s="973"/>
      <c r="DBO106" s="973"/>
      <c r="DBP106" s="973"/>
      <c r="DBQ106" s="973"/>
      <c r="DBR106" s="973"/>
      <c r="DBS106" s="973"/>
      <c r="DBT106" s="973"/>
      <c r="DBU106" s="973"/>
      <c r="DBV106" s="973"/>
      <c r="DBW106" s="973"/>
      <c r="DBX106" s="973"/>
      <c r="DBY106" s="973"/>
      <c r="DBZ106" s="973"/>
      <c r="DCA106" s="973"/>
      <c r="DCB106" s="973"/>
      <c r="DCC106" s="973"/>
      <c r="DCD106" s="973"/>
      <c r="DCE106" s="973"/>
      <c r="DCF106" s="973"/>
      <c r="DCG106" s="973"/>
      <c r="DCH106" s="973"/>
      <c r="DCI106" s="973"/>
      <c r="DCJ106" s="973"/>
      <c r="DCK106" s="973"/>
      <c r="DCL106" s="973"/>
      <c r="DCM106" s="973"/>
      <c r="DCN106" s="973"/>
      <c r="DCO106" s="973"/>
      <c r="DCP106" s="973"/>
      <c r="DCQ106" s="973"/>
      <c r="DCR106" s="973"/>
      <c r="DCS106" s="973"/>
      <c r="DCT106" s="973"/>
      <c r="DCU106" s="973"/>
      <c r="DCV106" s="973"/>
      <c r="DCW106" s="973"/>
      <c r="DCX106" s="973"/>
      <c r="DCY106" s="973"/>
      <c r="DCZ106" s="973"/>
      <c r="DDA106" s="973"/>
      <c r="DDB106" s="973"/>
      <c r="DDC106" s="973"/>
      <c r="DDD106" s="973"/>
      <c r="DDE106" s="973"/>
      <c r="DDF106" s="973"/>
      <c r="DDG106" s="973"/>
      <c r="DDH106" s="973"/>
      <c r="DDI106" s="973"/>
      <c r="DDJ106" s="973"/>
      <c r="DDK106" s="973"/>
      <c r="DDL106" s="973"/>
      <c r="DDM106" s="973"/>
      <c r="DDN106" s="973"/>
      <c r="DDO106" s="973"/>
      <c r="DDP106" s="973"/>
      <c r="DDQ106" s="973"/>
      <c r="DDR106" s="973"/>
      <c r="DDS106" s="973"/>
      <c r="DDT106" s="973"/>
      <c r="DDU106" s="973"/>
      <c r="DDV106" s="973"/>
      <c r="DDW106" s="973"/>
      <c r="DDX106" s="973"/>
      <c r="DDY106" s="973"/>
      <c r="DDZ106" s="973"/>
      <c r="DEA106" s="973"/>
      <c r="DEB106" s="973"/>
      <c r="DEC106" s="973"/>
      <c r="DED106" s="973"/>
      <c r="DEE106" s="973"/>
      <c r="DEF106" s="973"/>
      <c r="DEG106" s="973"/>
      <c r="DEH106" s="973"/>
      <c r="DEI106" s="973"/>
      <c r="DEJ106" s="973"/>
      <c r="DEK106" s="973"/>
      <c r="DEL106" s="973"/>
      <c r="DEM106" s="973"/>
      <c r="DEN106" s="973"/>
      <c r="DEO106" s="973"/>
      <c r="DEP106" s="973"/>
      <c r="DEQ106" s="973"/>
      <c r="DER106" s="973"/>
      <c r="DES106" s="973"/>
      <c r="DET106" s="973"/>
      <c r="DEU106" s="973"/>
      <c r="DEV106" s="973"/>
      <c r="DEW106" s="973"/>
      <c r="DEX106" s="973"/>
      <c r="DEY106" s="973"/>
      <c r="DEZ106" s="973"/>
      <c r="DFA106" s="973"/>
      <c r="DFB106" s="973"/>
      <c r="DFC106" s="973"/>
      <c r="DFD106" s="973"/>
      <c r="DFE106" s="973"/>
      <c r="DFF106" s="973"/>
      <c r="DFG106" s="973"/>
      <c r="DFH106" s="973"/>
      <c r="DFI106" s="973"/>
      <c r="DFJ106" s="973"/>
      <c r="DFK106" s="973"/>
      <c r="DFL106" s="973"/>
      <c r="DFM106" s="973"/>
      <c r="DFN106" s="973"/>
      <c r="DFO106" s="973"/>
      <c r="DFP106" s="973"/>
      <c r="DFQ106" s="973"/>
      <c r="DFR106" s="973"/>
      <c r="DFS106" s="973"/>
      <c r="DFT106" s="973"/>
      <c r="DFU106" s="973"/>
      <c r="DFV106" s="973"/>
      <c r="DFW106" s="973"/>
      <c r="DFX106" s="973"/>
      <c r="DFY106" s="973"/>
      <c r="DFZ106" s="973"/>
      <c r="DGA106" s="973"/>
      <c r="DGB106" s="973"/>
      <c r="DGC106" s="973"/>
      <c r="DGD106" s="973"/>
      <c r="DGE106" s="973"/>
      <c r="DGF106" s="973"/>
      <c r="DGG106" s="973"/>
      <c r="DGH106" s="973"/>
      <c r="DGI106" s="973"/>
      <c r="DGJ106" s="973"/>
      <c r="DGK106" s="973"/>
      <c r="DGL106" s="973"/>
      <c r="DGM106" s="973"/>
      <c r="DGN106" s="973"/>
      <c r="DGO106" s="973"/>
      <c r="DGP106" s="973"/>
      <c r="DGQ106" s="973"/>
      <c r="DGR106" s="973"/>
      <c r="DGS106" s="973"/>
      <c r="DGT106" s="973"/>
      <c r="DGU106" s="973"/>
      <c r="DGV106" s="973"/>
      <c r="DGW106" s="973"/>
      <c r="DGX106" s="973"/>
      <c r="DGY106" s="973"/>
      <c r="DGZ106" s="973"/>
      <c r="DHA106" s="973"/>
      <c r="DHB106" s="973"/>
      <c r="DHC106" s="973"/>
      <c r="DHD106" s="973"/>
      <c r="DHE106" s="973"/>
      <c r="DHF106" s="973"/>
      <c r="DHG106" s="973"/>
      <c r="DHH106" s="973"/>
      <c r="DHI106" s="973"/>
      <c r="DHJ106" s="973"/>
      <c r="DHK106" s="973"/>
      <c r="DHL106" s="973"/>
      <c r="DHM106" s="973"/>
      <c r="DHN106" s="973"/>
      <c r="DHO106" s="973"/>
      <c r="DHP106" s="973"/>
      <c r="DHQ106" s="973"/>
      <c r="DHR106" s="973"/>
      <c r="DHS106" s="973"/>
      <c r="DHT106" s="973"/>
      <c r="DHU106" s="973"/>
      <c r="DHV106" s="973"/>
      <c r="DHW106" s="973"/>
      <c r="DHX106" s="973"/>
      <c r="DHY106" s="973"/>
      <c r="DHZ106" s="973"/>
      <c r="DIA106" s="973"/>
      <c r="DIB106" s="973"/>
      <c r="DIC106" s="973"/>
      <c r="DID106" s="973"/>
      <c r="DIE106" s="973"/>
      <c r="DIF106" s="973"/>
      <c r="DIG106" s="973"/>
      <c r="DIH106" s="973"/>
      <c r="DII106" s="973"/>
      <c r="DIJ106" s="973"/>
      <c r="DIK106" s="973"/>
      <c r="DIL106" s="973"/>
      <c r="DIM106" s="973"/>
      <c r="DIN106" s="973"/>
      <c r="DIO106" s="973"/>
      <c r="DIP106" s="973"/>
      <c r="DIQ106" s="973"/>
      <c r="DIR106" s="973"/>
      <c r="DIS106" s="973"/>
      <c r="DIT106" s="973"/>
      <c r="DIU106" s="973"/>
      <c r="DIV106" s="973"/>
      <c r="DIW106" s="973"/>
      <c r="DIX106" s="973"/>
      <c r="DIY106" s="973"/>
      <c r="DIZ106" s="973"/>
      <c r="DJA106" s="973"/>
      <c r="DJB106" s="973"/>
      <c r="DJC106" s="973"/>
      <c r="DJD106" s="973"/>
      <c r="DJE106" s="973"/>
      <c r="DJF106" s="973"/>
      <c r="DJG106" s="973"/>
      <c r="DJH106" s="973"/>
      <c r="DJI106" s="973"/>
      <c r="DJJ106" s="973"/>
      <c r="DJK106" s="973"/>
      <c r="DJL106" s="973"/>
      <c r="DJM106" s="973"/>
      <c r="DJN106" s="973"/>
      <c r="DJO106" s="973"/>
      <c r="DJP106" s="973"/>
      <c r="DJQ106" s="973"/>
      <c r="DJR106" s="973"/>
      <c r="DJS106" s="973"/>
      <c r="DJT106" s="973"/>
      <c r="DJU106" s="973"/>
      <c r="DJV106" s="973"/>
      <c r="DJW106" s="973"/>
      <c r="DJX106" s="973"/>
      <c r="DJY106" s="973"/>
      <c r="DJZ106" s="973"/>
      <c r="DKA106" s="973"/>
      <c r="DKB106" s="973"/>
      <c r="DKC106" s="973"/>
      <c r="DKD106" s="973"/>
      <c r="DKE106" s="973"/>
      <c r="DKF106" s="973"/>
      <c r="DKG106" s="973"/>
      <c r="DKH106" s="973"/>
      <c r="DKI106" s="973"/>
      <c r="DKJ106" s="973"/>
      <c r="DKK106" s="973"/>
      <c r="DKL106" s="973"/>
      <c r="DKM106" s="973"/>
      <c r="DKN106" s="973"/>
      <c r="DKO106" s="973"/>
      <c r="DKP106" s="973"/>
      <c r="DKQ106" s="973"/>
      <c r="DKR106" s="973"/>
      <c r="DKS106" s="973"/>
      <c r="DKT106" s="973"/>
      <c r="DKU106" s="973"/>
      <c r="DKV106" s="973"/>
      <c r="DKW106" s="973"/>
      <c r="DKX106" s="973"/>
      <c r="DKY106" s="973"/>
      <c r="DKZ106" s="973"/>
      <c r="DLA106" s="973"/>
      <c r="DLB106" s="973"/>
      <c r="DLC106" s="973"/>
      <c r="DLD106" s="973"/>
      <c r="DLE106" s="973"/>
      <c r="DLF106" s="973"/>
      <c r="DLG106" s="973"/>
      <c r="DLH106" s="973"/>
      <c r="DLI106" s="973"/>
      <c r="DLJ106" s="973"/>
      <c r="DLK106" s="973"/>
      <c r="DLL106" s="973"/>
      <c r="DLM106" s="973"/>
      <c r="DLN106" s="973"/>
      <c r="DLO106" s="973"/>
      <c r="DLP106" s="973"/>
      <c r="DLQ106" s="973"/>
      <c r="DLR106" s="973"/>
      <c r="DLS106" s="973"/>
      <c r="DLT106" s="973"/>
      <c r="DLU106" s="973"/>
      <c r="DLV106" s="973"/>
      <c r="DLW106" s="973"/>
      <c r="DLX106" s="973"/>
      <c r="DLY106" s="973"/>
      <c r="DLZ106" s="973"/>
      <c r="DMA106" s="973"/>
      <c r="DMB106" s="973"/>
      <c r="DMC106" s="973"/>
      <c r="DMD106" s="973"/>
      <c r="DME106" s="973"/>
      <c r="DMF106" s="973"/>
      <c r="DMG106" s="973"/>
      <c r="DMH106" s="973"/>
      <c r="DMI106" s="973"/>
      <c r="DMJ106" s="973"/>
      <c r="DMK106" s="973"/>
      <c r="DML106" s="973"/>
      <c r="DMM106" s="973"/>
      <c r="DMN106" s="973"/>
      <c r="DMO106" s="973"/>
      <c r="DMP106" s="973"/>
      <c r="DMQ106" s="973"/>
      <c r="DMR106" s="973"/>
      <c r="DMS106" s="973"/>
      <c r="DMT106" s="973"/>
      <c r="DMU106" s="973"/>
      <c r="DMV106" s="973"/>
      <c r="DMW106" s="973"/>
      <c r="DMX106" s="973"/>
      <c r="DMY106" s="973"/>
      <c r="DMZ106" s="973"/>
      <c r="DNA106" s="973"/>
      <c r="DNB106" s="973"/>
      <c r="DNC106" s="973"/>
      <c r="DND106" s="973"/>
      <c r="DNE106" s="973"/>
      <c r="DNF106" s="973"/>
      <c r="DNG106" s="973"/>
      <c r="DNH106" s="973"/>
      <c r="DNI106" s="973"/>
      <c r="DNJ106" s="973"/>
      <c r="DNK106" s="973"/>
      <c r="DNL106" s="973"/>
      <c r="DNM106" s="973"/>
      <c r="DNN106" s="973"/>
      <c r="DNO106" s="973"/>
      <c r="DNP106" s="973"/>
      <c r="DNQ106" s="973"/>
      <c r="DNR106" s="973"/>
      <c r="DNS106" s="973"/>
      <c r="DNT106" s="973"/>
      <c r="DNU106" s="973"/>
      <c r="DNV106" s="973"/>
      <c r="DNW106" s="973"/>
      <c r="DNX106" s="973"/>
      <c r="DNY106" s="973"/>
      <c r="DNZ106" s="973"/>
      <c r="DOA106" s="973"/>
      <c r="DOB106" s="973"/>
      <c r="DOC106" s="973"/>
      <c r="DOD106" s="973"/>
      <c r="DOE106" s="973"/>
      <c r="DOF106" s="973"/>
      <c r="DOG106" s="973"/>
      <c r="DOH106" s="973"/>
      <c r="DOI106" s="973"/>
      <c r="DOJ106" s="973"/>
      <c r="DOK106" s="973"/>
      <c r="DOL106" s="973"/>
      <c r="DOM106" s="973"/>
      <c r="DON106" s="973"/>
      <c r="DOO106" s="973"/>
      <c r="DOP106" s="973"/>
      <c r="DOQ106" s="973"/>
      <c r="DOR106" s="973"/>
      <c r="DOS106" s="973"/>
      <c r="DOT106" s="973"/>
      <c r="DOU106" s="973"/>
      <c r="DOV106" s="973"/>
      <c r="DOW106" s="973"/>
      <c r="DOX106" s="973"/>
      <c r="DOY106" s="973"/>
      <c r="DOZ106" s="973"/>
      <c r="DPA106" s="973"/>
      <c r="DPB106" s="973"/>
      <c r="DPC106" s="973"/>
      <c r="DPD106" s="973"/>
      <c r="DPE106" s="973"/>
      <c r="DPF106" s="973"/>
      <c r="DPG106" s="973"/>
      <c r="DPH106" s="973"/>
      <c r="DPI106" s="973"/>
      <c r="DPJ106" s="973"/>
      <c r="DPK106" s="973"/>
      <c r="DPL106" s="973"/>
      <c r="DPM106" s="973"/>
      <c r="DPN106" s="973"/>
      <c r="DPO106" s="973"/>
      <c r="DPP106" s="973"/>
      <c r="DPQ106" s="973"/>
      <c r="DPR106" s="973"/>
      <c r="DPS106" s="973"/>
      <c r="DPT106" s="973"/>
      <c r="DPU106" s="973"/>
      <c r="DPV106" s="973"/>
      <c r="DPW106" s="973"/>
      <c r="DPX106" s="973"/>
      <c r="DPY106" s="973"/>
      <c r="DPZ106" s="973"/>
      <c r="DQA106" s="973"/>
      <c r="DQB106" s="973"/>
      <c r="DQC106" s="973"/>
      <c r="DQD106" s="973"/>
      <c r="DQE106" s="973"/>
      <c r="DQF106" s="973"/>
      <c r="DQG106" s="973"/>
      <c r="DQH106" s="973"/>
      <c r="DQI106" s="973"/>
      <c r="DQJ106" s="973"/>
      <c r="DQK106" s="973"/>
      <c r="DQL106" s="973"/>
      <c r="DQM106" s="973"/>
      <c r="DQN106" s="973"/>
      <c r="DQO106" s="973"/>
      <c r="DQP106" s="973"/>
      <c r="DQQ106" s="973"/>
      <c r="DQR106" s="973"/>
      <c r="DQS106" s="973"/>
      <c r="DQT106" s="973"/>
      <c r="DQU106" s="973"/>
      <c r="DQV106" s="973"/>
      <c r="DQW106" s="973"/>
      <c r="DQX106" s="973"/>
      <c r="DQY106" s="973"/>
      <c r="DQZ106" s="973"/>
      <c r="DRA106" s="973"/>
      <c r="DRB106" s="973"/>
      <c r="DRC106" s="973"/>
      <c r="DRD106" s="973"/>
      <c r="DRE106" s="973"/>
      <c r="DRF106" s="973"/>
      <c r="DRG106" s="973"/>
      <c r="DRH106" s="973"/>
      <c r="DRI106" s="973"/>
      <c r="DRJ106" s="973"/>
      <c r="DRK106" s="973"/>
      <c r="DRL106" s="973"/>
      <c r="DRM106" s="973"/>
      <c r="DRN106" s="973"/>
      <c r="DRO106" s="973"/>
      <c r="DRP106" s="973"/>
      <c r="DRQ106" s="973"/>
      <c r="DRR106" s="973"/>
      <c r="DRS106" s="973"/>
      <c r="DRT106" s="973"/>
      <c r="DRU106" s="973"/>
      <c r="DRV106" s="973"/>
      <c r="DRW106" s="973"/>
      <c r="DRX106" s="973"/>
      <c r="DRY106" s="973"/>
      <c r="DRZ106" s="973"/>
      <c r="DSA106" s="973"/>
      <c r="DSB106" s="973"/>
      <c r="DSC106" s="973"/>
      <c r="DSD106" s="973"/>
      <c r="DSE106" s="973"/>
      <c r="DSF106" s="973"/>
      <c r="DSG106" s="973"/>
      <c r="DSH106" s="973"/>
      <c r="DSI106" s="973"/>
      <c r="DSJ106" s="973"/>
      <c r="DSK106" s="973"/>
      <c r="DSL106" s="973"/>
      <c r="DSM106" s="973"/>
      <c r="DSN106" s="973"/>
      <c r="DSO106" s="973"/>
      <c r="DSP106" s="973"/>
      <c r="DSQ106" s="973"/>
      <c r="DSR106" s="973"/>
      <c r="DSS106" s="973"/>
      <c r="DST106" s="973"/>
      <c r="DSU106" s="973"/>
      <c r="DSV106" s="973"/>
      <c r="DSW106" s="973"/>
      <c r="DSX106" s="973"/>
      <c r="DSY106" s="973"/>
      <c r="DSZ106" s="973"/>
      <c r="DTA106" s="973"/>
      <c r="DTB106" s="973"/>
      <c r="DTC106" s="973"/>
      <c r="DTD106" s="973"/>
      <c r="DTE106" s="973"/>
      <c r="DTF106" s="973"/>
      <c r="DTG106" s="973"/>
      <c r="DTH106" s="973"/>
      <c r="DTI106" s="973"/>
      <c r="DTJ106" s="973"/>
      <c r="DTK106" s="973"/>
      <c r="DTL106" s="973"/>
      <c r="DTM106" s="973"/>
      <c r="DTN106" s="973"/>
      <c r="DTO106" s="973"/>
      <c r="DTP106" s="973"/>
      <c r="DTQ106" s="973"/>
      <c r="DTR106" s="973"/>
      <c r="DTS106" s="973"/>
      <c r="DTT106" s="973"/>
      <c r="DTU106" s="973"/>
      <c r="DTV106" s="973"/>
      <c r="DTW106" s="973"/>
      <c r="DTX106" s="973"/>
      <c r="DTY106" s="973"/>
      <c r="DTZ106" s="973"/>
      <c r="DUA106" s="973"/>
      <c r="DUB106" s="973"/>
      <c r="DUC106" s="973"/>
      <c r="DUD106" s="973"/>
      <c r="DUE106" s="973"/>
      <c r="DUF106" s="973"/>
      <c r="DUG106" s="973"/>
      <c r="DUH106" s="973"/>
      <c r="DUI106" s="973"/>
      <c r="DUJ106" s="973"/>
      <c r="DUK106" s="973"/>
      <c r="DUL106" s="973"/>
      <c r="DUM106" s="973"/>
      <c r="DUN106" s="973"/>
      <c r="DUO106" s="973"/>
      <c r="DUP106" s="973"/>
      <c r="DUQ106" s="973"/>
      <c r="DUR106" s="973"/>
      <c r="DUS106" s="973"/>
      <c r="DUT106" s="973"/>
      <c r="DUU106" s="973"/>
      <c r="DUV106" s="973"/>
      <c r="DUW106" s="973"/>
      <c r="DUX106" s="973"/>
      <c r="DUY106" s="973"/>
      <c r="DUZ106" s="973"/>
      <c r="DVA106" s="973"/>
      <c r="DVB106" s="973"/>
      <c r="DVC106" s="973"/>
      <c r="DVD106" s="973"/>
      <c r="DVE106" s="973"/>
      <c r="DVF106" s="973"/>
      <c r="DVG106" s="973"/>
      <c r="DVH106" s="973"/>
      <c r="DVI106" s="973"/>
      <c r="DVJ106" s="973"/>
      <c r="DVK106" s="973"/>
      <c r="DVL106" s="973"/>
      <c r="DVM106" s="973"/>
      <c r="DVN106" s="973"/>
      <c r="DVO106" s="973"/>
      <c r="DVP106" s="973"/>
      <c r="DVQ106" s="973"/>
      <c r="DVR106" s="973"/>
      <c r="DVS106" s="973"/>
      <c r="DVT106" s="973"/>
      <c r="DVU106" s="973"/>
      <c r="DVV106" s="973"/>
      <c r="DVW106" s="973"/>
      <c r="DVX106" s="973"/>
      <c r="DVY106" s="973"/>
      <c r="DVZ106" s="973"/>
      <c r="DWA106" s="973"/>
      <c r="DWB106" s="973"/>
      <c r="DWC106" s="973"/>
      <c r="DWD106" s="973"/>
      <c r="DWE106" s="973"/>
      <c r="DWF106" s="973"/>
      <c r="DWG106" s="973"/>
      <c r="DWH106" s="973"/>
      <c r="DWI106" s="973"/>
      <c r="DWJ106" s="973"/>
      <c r="DWK106" s="973"/>
      <c r="DWL106" s="973"/>
      <c r="DWM106" s="973"/>
      <c r="DWN106" s="973"/>
      <c r="DWO106" s="973"/>
      <c r="DWP106" s="973"/>
      <c r="DWQ106" s="973"/>
      <c r="DWR106" s="973"/>
      <c r="DWS106" s="973"/>
      <c r="DWT106" s="973"/>
      <c r="DWU106" s="973"/>
      <c r="DWV106" s="973"/>
      <c r="DWW106" s="973"/>
      <c r="DWX106" s="973"/>
      <c r="DWY106" s="973"/>
      <c r="DWZ106" s="973"/>
      <c r="DXA106" s="973"/>
      <c r="DXB106" s="973"/>
      <c r="DXC106" s="973"/>
      <c r="DXD106" s="973"/>
      <c r="DXE106" s="973"/>
      <c r="DXF106" s="973"/>
      <c r="DXG106" s="973"/>
      <c r="DXH106" s="973"/>
      <c r="DXI106" s="973"/>
      <c r="DXJ106" s="973"/>
      <c r="DXK106" s="973"/>
      <c r="DXL106" s="973"/>
      <c r="DXM106" s="973"/>
      <c r="DXN106" s="973"/>
      <c r="DXO106" s="973"/>
      <c r="DXP106" s="973"/>
      <c r="DXQ106" s="973"/>
      <c r="DXR106" s="973"/>
      <c r="DXS106" s="973"/>
      <c r="DXT106" s="973"/>
      <c r="DXU106" s="973"/>
      <c r="DXV106" s="973"/>
      <c r="DXW106" s="973"/>
      <c r="DXX106" s="973"/>
      <c r="DXY106" s="973"/>
      <c r="DXZ106" s="973"/>
      <c r="DYA106" s="973"/>
      <c r="DYB106" s="973"/>
      <c r="DYC106" s="973"/>
      <c r="DYD106" s="973"/>
      <c r="DYE106" s="973"/>
      <c r="DYF106" s="973"/>
      <c r="DYG106" s="973"/>
      <c r="DYH106" s="973"/>
      <c r="DYI106" s="973"/>
      <c r="DYJ106" s="973"/>
      <c r="DYK106" s="973"/>
      <c r="DYL106" s="973"/>
      <c r="DYM106" s="973"/>
      <c r="DYN106" s="973"/>
      <c r="DYO106" s="973"/>
      <c r="DYP106" s="973"/>
      <c r="DYQ106" s="973"/>
      <c r="DYR106" s="973"/>
      <c r="DYS106" s="973"/>
      <c r="DYT106" s="973"/>
      <c r="DYU106" s="973"/>
      <c r="DYV106" s="973"/>
      <c r="DYW106" s="973"/>
      <c r="DYX106" s="973"/>
      <c r="DYY106" s="973"/>
      <c r="DYZ106" s="973"/>
      <c r="DZA106" s="973"/>
      <c r="DZB106" s="973"/>
      <c r="DZC106" s="973"/>
      <c r="DZD106" s="973"/>
      <c r="DZE106" s="973"/>
      <c r="DZF106" s="973"/>
      <c r="DZG106" s="973"/>
      <c r="DZH106" s="973"/>
      <c r="DZI106" s="973"/>
      <c r="DZJ106" s="973"/>
      <c r="DZK106" s="973"/>
      <c r="DZL106" s="973"/>
      <c r="DZM106" s="973"/>
      <c r="DZN106" s="973"/>
      <c r="DZO106" s="973"/>
      <c r="DZP106" s="973"/>
      <c r="DZQ106" s="973"/>
      <c r="DZR106" s="973"/>
      <c r="DZS106" s="973"/>
      <c r="DZT106" s="973"/>
      <c r="DZU106" s="973"/>
      <c r="DZV106" s="973"/>
      <c r="DZW106" s="973"/>
      <c r="DZX106" s="973"/>
      <c r="DZY106" s="973"/>
      <c r="DZZ106" s="973"/>
      <c r="EAA106" s="973"/>
      <c r="EAB106" s="973"/>
      <c r="EAC106" s="973"/>
      <c r="EAD106" s="973"/>
      <c r="EAE106" s="973"/>
      <c r="EAF106" s="973"/>
      <c r="EAG106" s="973"/>
      <c r="EAH106" s="973"/>
      <c r="EAI106" s="973"/>
      <c r="EAJ106" s="973"/>
      <c r="EAK106" s="973"/>
      <c r="EAL106" s="973"/>
      <c r="EAM106" s="973"/>
      <c r="EAN106" s="973"/>
      <c r="EAO106" s="973"/>
      <c r="EAP106" s="973"/>
      <c r="EAQ106" s="973"/>
      <c r="EAR106" s="973"/>
      <c r="EAS106" s="973"/>
      <c r="EAT106" s="973"/>
      <c r="EAU106" s="973"/>
      <c r="EAV106" s="973"/>
      <c r="EAW106" s="973"/>
      <c r="EAX106" s="973"/>
      <c r="EAY106" s="973"/>
      <c r="EAZ106" s="973"/>
      <c r="EBA106" s="973"/>
      <c r="EBB106" s="973"/>
      <c r="EBC106" s="973"/>
      <c r="EBD106" s="973"/>
      <c r="EBE106" s="973"/>
      <c r="EBF106" s="973"/>
      <c r="EBG106" s="973"/>
      <c r="EBH106" s="973"/>
      <c r="EBI106" s="973"/>
      <c r="EBJ106" s="973"/>
      <c r="EBK106" s="973"/>
      <c r="EBL106" s="973"/>
      <c r="EBM106" s="973"/>
      <c r="EBN106" s="973"/>
      <c r="EBO106" s="973"/>
      <c r="EBP106" s="973"/>
      <c r="EBQ106" s="973"/>
      <c r="EBR106" s="973"/>
      <c r="EBS106" s="973"/>
      <c r="EBT106" s="973"/>
      <c r="EBU106" s="973"/>
      <c r="EBV106" s="973"/>
      <c r="EBW106" s="973"/>
      <c r="EBX106" s="973"/>
      <c r="EBY106" s="973"/>
      <c r="EBZ106" s="973"/>
      <c r="ECA106" s="973"/>
      <c r="ECB106" s="973"/>
      <c r="ECC106" s="973"/>
      <c r="ECD106" s="973"/>
      <c r="ECE106" s="973"/>
      <c r="ECF106" s="973"/>
      <c r="ECG106" s="973"/>
      <c r="ECH106" s="973"/>
      <c r="ECI106" s="973"/>
      <c r="ECJ106" s="973"/>
      <c r="ECK106" s="973"/>
      <c r="ECL106" s="973"/>
      <c r="ECM106" s="973"/>
      <c r="ECN106" s="973"/>
      <c r="ECO106" s="973"/>
      <c r="ECP106" s="973"/>
      <c r="ECQ106" s="973"/>
      <c r="ECR106" s="973"/>
      <c r="ECS106" s="973"/>
      <c r="ECT106" s="973"/>
      <c r="ECU106" s="973"/>
      <c r="ECV106" s="973"/>
      <c r="ECW106" s="973"/>
      <c r="ECX106" s="973"/>
      <c r="ECY106" s="973"/>
      <c r="ECZ106" s="973"/>
      <c r="EDA106" s="973"/>
      <c r="EDB106" s="973"/>
      <c r="EDC106" s="973"/>
      <c r="EDD106" s="973"/>
      <c r="EDE106" s="973"/>
      <c r="EDF106" s="973"/>
      <c r="EDG106" s="973"/>
      <c r="EDH106" s="973"/>
      <c r="EDI106" s="973"/>
      <c r="EDJ106" s="973"/>
      <c r="EDK106" s="973"/>
      <c r="EDL106" s="973"/>
      <c r="EDM106" s="973"/>
      <c r="EDN106" s="973"/>
      <c r="EDO106" s="973"/>
      <c r="EDP106" s="973"/>
      <c r="EDQ106" s="973"/>
      <c r="EDR106" s="973"/>
      <c r="EDS106" s="973"/>
      <c r="EDT106" s="973"/>
      <c r="EDU106" s="973"/>
      <c r="EDV106" s="973"/>
      <c r="EDW106" s="973"/>
      <c r="EDX106" s="973"/>
      <c r="EDY106" s="973"/>
      <c r="EDZ106" s="973"/>
      <c r="EEA106" s="973"/>
      <c r="EEB106" s="973"/>
      <c r="EEC106" s="973"/>
      <c r="EED106" s="973"/>
      <c r="EEE106" s="973"/>
      <c r="EEF106" s="973"/>
      <c r="EEG106" s="973"/>
      <c r="EEH106" s="973"/>
      <c r="EEI106" s="973"/>
      <c r="EEJ106" s="973"/>
      <c r="EEK106" s="973"/>
      <c r="EEL106" s="973"/>
      <c r="EEM106" s="973"/>
      <c r="EEN106" s="973"/>
      <c r="EEO106" s="973"/>
      <c r="EEP106" s="973"/>
      <c r="EEQ106" s="973"/>
      <c r="EER106" s="973"/>
      <c r="EES106" s="973"/>
      <c r="EET106" s="973"/>
      <c r="EEU106" s="973"/>
      <c r="EEV106" s="973"/>
      <c r="EEW106" s="973"/>
      <c r="EEX106" s="973"/>
      <c r="EEY106" s="973"/>
      <c r="EEZ106" s="973"/>
      <c r="EFA106" s="973"/>
      <c r="EFB106" s="973"/>
      <c r="EFC106" s="973"/>
      <c r="EFD106" s="973"/>
      <c r="EFE106" s="973"/>
      <c r="EFF106" s="973"/>
      <c r="EFG106" s="973"/>
      <c r="EFH106" s="973"/>
      <c r="EFI106" s="973"/>
      <c r="EFJ106" s="973"/>
      <c r="EFK106" s="973"/>
      <c r="EFL106" s="973"/>
      <c r="EFM106" s="973"/>
      <c r="EFN106" s="973"/>
      <c r="EFO106" s="973"/>
      <c r="EFP106" s="973"/>
      <c r="EFQ106" s="973"/>
      <c r="EFR106" s="973"/>
      <c r="EFS106" s="973"/>
      <c r="EFT106" s="973"/>
      <c r="EFU106" s="973"/>
      <c r="EFV106" s="973"/>
      <c r="EFW106" s="973"/>
      <c r="EFX106" s="973"/>
      <c r="EFY106" s="973"/>
      <c r="EFZ106" s="973"/>
      <c r="EGA106" s="973"/>
      <c r="EGB106" s="973"/>
      <c r="EGC106" s="973"/>
      <c r="EGD106" s="973"/>
      <c r="EGE106" s="973"/>
      <c r="EGF106" s="973"/>
      <c r="EGG106" s="973"/>
      <c r="EGH106" s="973"/>
      <c r="EGI106" s="973"/>
      <c r="EGJ106" s="973"/>
      <c r="EGK106" s="973"/>
      <c r="EGL106" s="973"/>
      <c r="EGM106" s="973"/>
      <c r="EGN106" s="973"/>
      <c r="EGO106" s="973"/>
      <c r="EGP106" s="973"/>
      <c r="EGQ106" s="973"/>
      <c r="EGR106" s="973"/>
      <c r="EGS106" s="973"/>
      <c r="EGT106" s="973"/>
      <c r="EGU106" s="973"/>
      <c r="EGV106" s="973"/>
      <c r="EGW106" s="973"/>
      <c r="EGX106" s="973"/>
      <c r="EGY106" s="973"/>
      <c r="EGZ106" s="973"/>
      <c r="EHA106" s="973"/>
      <c r="EHB106" s="973"/>
      <c r="EHC106" s="973"/>
      <c r="EHD106" s="973"/>
      <c r="EHE106" s="973"/>
      <c r="EHF106" s="973"/>
      <c r="EHG106" s="973"/>
      <c r="EHH106" s="973"/>
      <c r="EHI106" s="973"/>
      <c r="EHJ106" s="973"/>
      <c r="EHK106" s="973"/>
      <c r="EHL106" s="973"/>
      <c r="EHM106" s="973"/>
      <c r="EHN106" s="973"/>
      <c r="EHO106" s="973"/>
      <c r="EHP106" s="973"/>
      <c r="EHQ106" s="973"/>
      <c r="EHR106" s="973"/>
      <c r="EHS106" s="973"/>
      <c r="EHT106" s="973"/>
      <c r="EHU106" s="973"/>
      <c r="EHV106" s="973"/>
      <c r="EHW106" s="973"/>
      <c r="EHX106" s="973"/>
      <c r="EHY106" s="973"/>
      <c r="EHZ106" s="973"/>
      <c r="EIA106" s="973"/>
      <c r="EIB106" s="973"/>
      <c r="EIC106" s="973"/>
      <c r="EID106" s="973"/>
      <c r="EIE106" s="973"/>
      <c r="EIF106" s="973"/>
      <c r="EIG106" s="973"/>
      <c r="EIH106" s="973"/>
      <c r="EII106" s="973"/>
      <c r="EIJ106" s="973"/>
      <c r="EIK106" s="973"/>
      <c r="EIL106" s="973"/>
      <c r="EIM106" s="973"/>
      <c r="EIN106" s="973"/>
      <c r="EIO106" s="973"/>
      <c r="EIP106" s="973"/>
      <c r="EIQ106" s="973"/>
      <c r="EIR106" s="973"/>
      <c r="EIS106" s="973"/>
      <c r="EIT106" s="973"/>
      <c r="EIU106" s="973"/>
      <c r="EIV106" s="973"/>
      <c r="EIW106" s="973"/>
      <c r="EIX106" s="973"/>
      <c r="EIY106" s="973"/>
      <c r="EIZ106" s="973"/>
      <c r="EJA106" s="973"/>
      <c r="EJB106" s="973"/>
      <c r="EJC106" s="973"/>
      <c r="EJD106" s="973"/>
      <c r="EJE106" s="973"/>
      <c r="EJF106" s="973"/>
      <c r="EJG106" s="973"/>
      <c r="EJH106" s="973"/>
      <c r="EJI106" s="973"/>
      <c r="EJJ106" s="973"/>
      <c r="EJK106" s="973"/>
      <c r="EJL106" s="973"/>
      <c r="EJM106" s="973"/>
      <c r="EJN106" s="973"/>
      <c r="EJO106" s="973"/>
      <c r="EJP106" s="973"/>
      <c r="EJQ106" s="973"/>
      <c r="EJR106" s="973"/>
      <c r="EJS106" s="973"/>
      <c r="EJT106" s="973"/>
      <c r="EJU106" s="973"/>
      <c r="EJV106" s="973"/>
      <c r="EJW106" s="973"/>
      <c r="EJX106" s="973"/>
      <c r="EJY106" s="973"/>
      <c r="EJZ106" s="973"/>
      <c r="EKA106" s="973"/>
      <c r="EKB106" s="973"/>
      <c r="EKC106" s="973"/>
      <c r="EKD106" s="973"/>
      <c r="EKE106" s="973"/>
      <c r="EKF106" s="973"/>
      <c r="EKG106" s="973"/>
      <c r="EKH106" s="973"/>
      <c r="EKI106" s="973"/>
      <c r="EKJ106" s="973"/>
      <c r="EKK106" s="973"/>
      <c r="EKL106" s="973"/>
      <c r="EKM106" s="973"/>
      <c r="EKN106" s="973"/>
      <c r="EKO106" s="973"/>
      <c r="EKP106" s="973"/>
      <c r="EKQ106" s="973"/>
      <c r="EKR106" s="973"/>
      <c r="EKS106" s="973"/>
      <c r="EKT106" s="973"/>
      <c r="EKU106" s="973"/>
      <c r="EKV106" s="973"/>
      <c r="EKW106" s="973"/>
      <c r="EKX106" s="973"/>
      <c r="EKY106" s="973"/>
      <c r="EKZ106" s="973"/>
      <c r="ELA106" s="973"/>
      <c r="ELB106" s="973"/>
      <c r="ELC106" s="973"/>
      <c r="ELD106" s="973"/>
      <c r="ELE106" s="973"/>
      <c r="ELF106" s="973"/>
      <c r="ELG106" s="973"/>
      <c r="ELH106" s="973"/>
      <c r="ELI106" s="973"/>
      <c r="ELJ106" s="973"/>
      <c r="ELK106" s="973"/>
      <c r="ELL106" s="973"/>
      <c r="ELM106" s="973"/>
      <c r="ELN106" s="973"/>
      <c r="ELO106" s="973"/>
      <c r="ELP106" s="973"/>
      <c r="ELQ106" s="973"/>
      <c r="ELR106" s="973"/>
      <c r="ELS106" s="973"/>
      <c r="ELT106" s="973"/>
      <c r="ELU106" s="973"/>
      <c r="ELV106" s="973"/>
      <c r="ELW106" s="973"/>
      <c r="ELX106" s="973"/>
      <c r="ELY106" s="973"/>
      <c r="ELZ106" s="973"/>
      <c r="EMA106" s="973"/>
      <c r="EMB106" s="973"/>
      <c r="EMC106" s="973"/>
      <c r="EMD106" s="973"/>
      <c r="EME106" s="973"/>
      <c r="EMF106" s="973"/>
      <c r="EMG106" s="973"/>
      <c r="EMH106" s="973"/>
      <c r="EMI106" s="973"/>
      <c r="EMJ106" s="973"/>
      <c r="EMK106" s="973"/>
      <c r="EML106" s="973"/>
      <c r="EMM106" s="973"/>
      <c r="EMN106" s="973"/>
      <c r="EMO106" s="973"/>
      <c r="EMP106" s="973"/>
      <c r="EMQ106" s="973"/>
      <c r="EMR106" s="973"/>
      <c r="EMS106" s="973"/>
      <c r="EMT106" s="973"/>
      <c r="EMU106" s="973"/>
      <c r="EMV106" s="973"/>
      <c r="EMW106" s="973"/>
      <c r="EMX106" s="973"/>
      <c r="EMY106" s="973"/>
      <c r="EMZ106" s="973"/>
      <c r="ENA106" s="973"/>
      <c r="ENB106" s="973"/>
      <c r="ENC106" s="973"/>
      <c r="END106" s="973"/>
      <c r="ENE106" s="973"/>
      <c r="ENF106" s="973"/>
      <c r="ENG106" s="973"/>
      <c r="ENH106" s="973"/>
      <c r="ENI106" s="973"/>
      <c r="ENJ106" s="973"/>
      <c r="ENK106" s="973"/>
      <c r="ENL106" s="973"/>
      <c r="ENM106" s="973"/>
      <c r="ENN106" s="973"/>
      <c r="ENO106" s="973"/>
      <c r="ENP106" s="973"/>
      <c r="ENQ106" s="973"/>
      <c r="ENR106" s="973"/>
      <c r="ENS106" s="973"/>
      <c r="ENT106" s="973"/>
      <c r="ENU106" s="973"/>
      <c r="ENV106" s="973"/>
      <c r="ENW106" s="973"/>
      <c r="ENX106" s="973"/>
      <c r="ENY106" s="973"/>
      <c r="ENZ106" s="973"/>
      <c r="EOA106" s="973"/>
      <c r="EOB106" s="973"/>
      <c r="EOC106" s="973"/>
      <c r="EOD106" s="973"/>
      <c r="EOE106" s="973"/>
      <c r="EOF106" s="973"/>
      <c r="EOG106" s="973"/>
      <c r="EOH106" s="973"/>
      <c r="EOI106" s="973"/>
      <c r="EOJ106" s="973"/>
      <c r="EOK106" s="973"/>
      <c r="EOL106" s="973"/>
      <c r="EOM106" s="973"/>
      <c r="EON106" s="973"/>
      <c r="EOO106" s="973"/>
      <c r="EOP106" s="973"/>
      <c r="EOQ106" s="973"/>
      <c r="EOR106" s="973"/>
      <c r="EOS106" s="973"/>
      <c r="EOT106" s="973"/>
      <c r="EOU106" s="973"/>
      <c r="EOV106" s="973"/>
      <c r="EOW106" s="973"/>
      <c r="EOX106" s="973"/>
      <c r="EOY106" s="973"/>
      <c r="EOZ106" s="973"/>
      <c r="EPA106" s="973"/>
      <c r="EPB106" s="973"/>
      <c r="EPC106" s="973"/>
      <c r="EPD106" s="973"/>
      <c r="EPE106" s="973"/>
      <c r="EPF106" s="973"/>
      <c r="EPG106" s="973"/>
      <c r="EPH106" s="973"/>
      <c r="EPI106" s="973"/>
      <c r="EPJ106" s="973"/>
      <c r="EPK106" s="973"/>
      <c r="EPL106" s="973"/>
      <c r="EPM106" s="973"/>
      <c r="EPN106" s="973"/>
      <c r="EPO106" s="973"/>
      <c r="EPP106" s="973"/>
      <c r="EPQ106" s="973"/>
      <c r="EPR106" s="973"/>
      <c r="EPS106" s="973"/>
      <c r="EPT106" s="973"/>
      <c r="EPU106" s="973"/>
      <c r="EPV106" s="973"/>
      <c r="EPW106" s="973"/>
      <c r="EPX106" s="973"/>
      <c r="EPY106" s="973"/>
      <c r="EPZ106" s="973"/>
      <c r="EQA106" s="973"/>
      <c r="EQB106" s="973"/>
      <c r="EQC106" s="973"/>
      <c r="EQD106" s="973"/>
      <c r="EQE106" s="973"/>
      <c r="EQF106" s="973"/>
      <c r="EQG106" s="973"/>
      <c r="EQH106" s="973"/>
      <c r="EQI106" s="973"/>
      <c r="EQJ106" s="973"/>
      <c r="EQK106" s="973"/>
      <c r="EQL106" s="973"/>
      <c r="EQM106" s="973"/>
      <c r="EQN106" s="973"/>
      <c r="EQO106" s="973"/>
      <c r="EQP106" s="973"/>
      <c r="EQQ106" s="973"/>
      <c r="EQR106" s="973"/>
      <c r="EQS106" s="973"/>
      <c r="EQT106" s="973"/>
      <c r="EQU106" s="973"/>
      <c r="EQV106" s="973"/>
      <c r="EQW106" s="973"/>
      <c r="EQX106" s="973"/>
      <c r="EQY106" s="973"/>
      <c r="EQZ106" s="973"/>
      <c r="ERA106" s="973"/>
      <c r="ERB106" s="973"/>
      <c r="ERC106" s="973"/>
      <c r="ERD106" s="973"/>
      <c r="ERE106" s="973"/>
      <c r="ERF106" s="973"/>
      <c r="ERG106" s="973"/>
      <c r="ERH106" s="973"/>
      <c r="ERI106" s="973"/>
      <c r="ERJ106" s="973"/>
      <c r="ERK106" s="973"/>
      <c r="ERL106" s="973"/>
      <c r="ERM106" s="973"/>
      <c r="ERN106" s="973"/>
      <c r="ERO106" s="973"/>
      <c r="ERP106" s="973"/>
      <c r="ERQ106" s="973"/>
      <c r="ERR106" s="973"/>
      <c r="ERS106" s="973"/>
      <c r="ERT106" s="973"/>
      <c r="ERU106" s="973"/>
      <c r="ERV106" s="973"/>
      <c r="ERW106" s="973"/>
      <c r="ERX106" s="973"/>
      <c r="ERY106" s="973"/>
      <c r="ERZ106" s="973"/>
      <c r="ESA106" s="973"/>
      <c r="ESB106" s="973"/>
      <c r="ESC106" s="973"/>
      <c r="ESD106" s="973"/>
      <c r="ESE106" s="973"/>
      <c r="ESF106" s="973"/>
      <c r="ESG106" s="973"/>
      <c r="ESH106" s="973"/>
      <c r="ESI106" s="973"/>
      <c r="ESJ106" s="973"/>
      <c r="ESK106" s="973"/>
      <c r="ESL106" s="973"/>
      <c r="ESM106" s="973"/>
      <c r="ESN106" s="973"/>
      <c r="ESO106" s="973"/>
      <c r="ESP106" s="973"/>
      <c r="ESQ106" s="973"/>
      <c r="ESR106" s="973"/>
      <c r="ESS106" s="973"/>
      <c r="EST106" s="973"/>
      <c r="ESU106" s="973"/>
      <c r="ESV106" s="973"/>
      <c r="ESW106" s="973"/>
      <c r="ESX106" s="973"/>
      <c r="ESY106" s="973"/>
      <c r="ESZ106" s="973"/>
      <c r="ETA106" s="973"/>
      <c r="ETB106" s="973"/>
      <c r="ETC106" s="973"/>
      <c r="ETD106" s="973"/>
      <c r="ETE106" s="973"/>
      <c r="ETF106" s="973"/>
      <c r="ETG106" s="973"/>
      <c r="ETH106" s="973"/>
      <c r="ETI106" s="973"/>
      <c r="ETJ106" s="973"/>
      <c r="ETK106" s="973"/>
      <c r="ETL106" s="973"/>
      <c r="ETM106" s="973"/>
      <c r="ETN106" s="973"/>
      <c r="ETO106" s="973"/>
      <c r="ETP106" s="973"/>
      <c r="ETQ106" s="973"/>
      <c r="ETR106" s="973"/>
      <c r="ETS106" s="973"/>
      <c r="ETT106" s="973"/>
      <c r="ETU106" s="973"/>
      <c r="ETV106" s="973"/>
      <c r="ETW106" s="973"/>
      <c r="ETX106" s="973"/>
      <c r="ETY106" s="973"/>
      <c r="ETZ106" s="973"/>
      <c r="EUA106" s="973"/>
      <c r="EUB106" s="973"/>
      <c r="EUC106" s="973"/>
      <c r="EUD106" s="973"/>
      <c r="EUE106" s="973"/>
      <c r="EUF106" s="973"/>
      <c r="EUG106" s="973"/>
      <c r="EUH106" s="973"/>
      <c r="EUI106" s="973"/>
      <c r="EUJ106" s="973"/>
      <c r="EUK106" s="973"/>
      <c r="EUL106" s="973"/>
      <c r="EUM106" s="973"/>
      <c r="EUN106" s="973"/>
      <c r="EUO106" s="973"/>
      <c r="EUP106" s="973"/>
      <c r="EUQ106" s="973"/>
      <c r="EUR106" s="973"/>
      <c r="EUS106" s="973"/>
      <c r="EUT106" s="973"/>
      <c r="EUU106" s="973"/>
      <c r="EUV106" s="973"/>
      <c r="EUW106" s="973"/>
      <c r="EUX106" s="973"/>
      <c r="EUY106" s="973"/>
      <c r="EUZ106" s="973"/>
      <c r="EVA106" s="973"/>
      <c r="EVB106" s="973"/>
      <c r="EVC106" s="973"/>
      <c r="EVD106" s="973"/>
      <c r="EVE106" s="973"/>
      <c r="EVF106" s="973"/>
      <c r="EVG106" s="973"/>
      <c r="EVH106" s="973"/>
      <c r="EVI106" s="973"/>
      <c r="EVJ106" s="973"/>
      <c r="EVK106" s="973"/>
      <c r="EVL106" s="973"/>
      <c r="EVM106" s="973"/>
      <c r="EVN106" s="973"/>
      <c r="EVO106" s="973"/>
      <c r="EVP106" s="973"/>
      <c r="EVQ106" s="973"/>
      <c r="EVR106" s="973"/>
      <c r="EVS106" s="973"/>
      <c r="EVT106" s="973"/>
      <c r="EVU106" s="973"/>
      <c r="EVV106" s="973"/>
      <c r="EVW106" s="973"/>
      <c r="EVX106" s="973"/>
      <c r="EVY106" s="973"/>
      <c r="EVZ106" s="973"/>
      <c r="EWA106" s="973"/>
      <c r="EWB106" s="973"/>
      <c r="EWC106" s="973"/>
      <c r="EWD106" s="973"/>
      <c r="EWE106" s="973"/>
      <c r="EWF106" s="973"/>
      <c r="EWG106" s="973"/>
      <c r="EWH106" s="973"/>
      <c r="EWI106" s="973"/>
      <c r="EWJ106" s="973"/>
      <c r="EWK106" s="973"/>
      <c r="EWL106" s="973"/>
      <c r="EWM106" s="973"/>
      <c r="EWN106" s="973"/>
      <c r="EWO106" s="973"/>
      <c r="EWP106" s="973"/>
      <c r="EWQ106" s="973"/>
      <c r="EWR106" s="973"/>
      <c r="EWS106" s="973"/>
      <c r="EWT106" s="973"/>
      <c r="EWU106" s="973"/>
      <c r="EWV106" s="973"/>
      <c r="EWW106" s="973"/>
      <c r="EWX106" s="973"/>
      <c r="EWY106" s="973"/>
      <c r="EWZ106" s="973"/>
      <c r="EXA106" s="973"/>
      <c r="EXB106" s="973"/>
      <c r="EXC106" s="973"/>
      <c r="EXD106" s="973"/>
      <c r="EXE106" s="973"/>
      <c r="EXF106" s="973"/>
      <c r="EXG106" s="973"/>
      <c r="EXH106" s="973"/>
      <c r="EXI106" s="973"/>
      <c r="EXJ106" s="973"/>
      <c r="EXK106" s="973"/>
      <c r="EXL106" s="973"/>
      <c r="EXM106" s="973"/>
      <c r="EXN106" s="973"/>
      <c r="EXO106" s="973"/>
      <c r="EXP106" s="973"/>
      <c r="EXQ106" s="973"/>
      <c r="EXR106" s="973"/>
      <c r="EXS106" s="973"/>
      <c r="EXT106" s="973"/>
      <c r="EXU106" s="973"/>
      <c r="EXV106" s="973"/>
      <c r="EXW106" s="973"/>
      <c r="EXX106" s="973"/>
      <c r="EXY106" s="973"/>
      <c r="EXZ106" s="973"/>
      <c r="EYA106" s="973"/>
      <c r="EYB106" s="973"/>
      <c r="EYC106" s="973"/>
      <c r="EYD106" s="973"/>
      <c r="EYE106" s="973"/>
      <c r="EYF106" s="973"/>
      <c r="EYG106" s="973"/>
      <c r="EYH106" s="973"/>
      <c r="EYI106" s="973"/>
      <c r="EYJ106" s="973"/>
      <c r="EYK106" s="973"/>
      <c r="EYL106" s="973"/>
      <c r="EYM106" s="973"/>
      <c r="EYN106" s="973"/>
      <c r="EYO106" s="973"/>
      <c r="EYP106" s="973"/>
      <c r="EYQ106" s="973"/>
      <c r="EYR106" s="973"/>
      <c r="EYS106" s="973"/>
      <c r="EYT106" s="973"/>
      <c r="EYU106" s="973"/>
      <c r="EYV106" s="973"/>
      <c r="EYW106" s="973"/>
      <c r="EYX106" s="973"/>
      <c r="EYY106" s="973"/>
      <c r="EYZ106" s="973"/>
      <c r="EZA106" s="973"/>
      <c r="EZB106" s="973"/>
      <c r="EZC106" s="973"/>
      <c r="EZD106" s="973"/>
      <c r="EZE106" s="973"/>
      <c r="EZF106" s="973"/>
      <c r="EZG106" s="973"/>
      <c r="EZH106" s="973"/>
      <c r="EZI106" s="973"/>
      <c r="EZJ106" s="973"/>
      <c r="EZK106" s="973"/>
      <c r="EZL106" s="973"/>
      <c r="EZM106" s="973"/>
      <c r="EZN106" s="973"/>
      <c r="EZO106" s="973"/>
      <c r="EZP106" s="973"/>
      <c r="EZQ106" s="973"/>
      <c r="EZR106" s="973"/>
      <c r="EZS106" s="973"/>
      <c r="EZT106" s="973"/>
      <c r="EZU106" s="973"/>
      <c r="EZV106" s="973"/>
      <c r="EZW106" s="973"/>
      <c r="EZX106" s="973"/>
      <c r="EZY106" s="973"/>
      <c r="EZZ106" s="973"/>
      <c r="FAA106" s="973"/>
      <c r="FAB106" s="973"/>
      <c r="FAC106" s="973"/>
      <c r="FAD106" s="973"/>
      <c r="FAE106" s="973"/>
      <c r="FAF106" s="973"/>
      <c r="FAG106" s="973"/>
      <c r="FAH106" s="973"/>
      <c r="FAI106" s="973"/>
      <c r="FAJ106" s="973"/>
      <c r="FAK106" s="973"/>
      <c r="FAL106" s="973"/>
      <c r="FAM106" s="973"/>
      <c r="FAN106" s="973"/>
      <c r="FAO106" s="973"/>
      <c r="FAP106" s="973"/>
      <c r="FAQ106" s="973"/>
      <c r="FAR106" s="973"/>
      <c r="FAS106" s="973"/>
      <c r="FAT106" s="973"/>
      <c r="FAU106" s="973"/>
      <c r="FAV106" s="973"/>
      <c r="FAW106" s="973"/>
      <c r="FAX106" s="973"/>
      <c r="FAY106" s="973"/>
      <c r="FAZ106" s="973"/>
      <c r="FBA106" s="973"/>
      <c r="FBB106" s="973"/>
      <c r="FBC106" s="973"/>
      <c r="FBD106" s="973"/>
      <c r="FBE106" s="973"/>
      <c r="FBF106" s="973"/>
      <c r="FBG106" s="973"/>
      <c r="FBH106" s="973"/>
      <c r="FBI106" s="973"/>
      <c r="FBJ106" s="973"/>
      <c r="FBK106" s="973"/>
      <c r="FBL106" s="973"/>
      <c r="FBM106" s="973"/>
      <c r="FBN106" s="973"/>
      <c r="FBO106" s="973"/>
      <c r="FBP106" s="973"/>
      <c r="FBQ106" s="973"/>
      <c r="FBR106" s="973"/>
      <c r="FBS106" s="973"/>
      <c r="FBT106" s="973"/>
      <c r="FBU106" s="973"/>
      <c r="FBV106" s="973"/>
      <c r="FBW106" s="973"/>
      <c r="FBX106" s="973"/>
      <c r="FBY106" s="973"/>
      <c r="FBZ106" s="973"/>
      <c r="FCA106" s="973"/>
      <c r="FCB106" s="973"/>
      <c r="FCC106" s="973"/>
      <c r="FCD106" s="973"/>
      <c r="FCE106" s="973"/>
      <c r="FCF106" s="973"/>
      <c r="FCG106" s="973"/>
      <c r="FCH106" s="973"/>
      <c r="FCI106" s="973"/>
      <c r="FCJ106" s="973"/>
      <c r="FCK106" s="973"/>
      <c r="FCL106" s="973"/>
      <c r="FCM106" s="973"/>
      <c r="FCN106" s="973"/>
      <c r="FCO106" s="973"/>
      <c r="FCP106" s="973"/>
      <c r="FCQ106" s="973"/>
      <c r="FCR106" s="973"/>
      <c r="FCS106" s="973"/>
      <c r="FCT106" s="973"/>
      <c r="FCU106" s="973"/>
      <c r="FCV106" s="973"/>
      <c r="FCW106" s="973"/>
      <c r="FCX106" s="973"/>
      <c r="FCY106" s="973"/>
      <c r="FCZ106" s="973"/>
      <c r="FDA106" s="973"/>
      <c r="FDB106" s="973"/>
      <c r="FDC106" s="973"/>
      <c r="FDD106" s="973"/>
      <c r="FDE106" s="973"/>
      <c r="FDF106" s="973"/>
      <c r="FDG106" s="973"/>
      <c r="FDH106" s="973"/>
      <c r="FDI106" s="973"/>
      <c r="FDJ106" s="973"/>
      <c r="FDK106" s="973"/>
      <c r="FDL106" s="973"/>
      <c r="FDM106" s="973"/>
      <c r="FDN106" s="973"/>
      <c r="FDO106" s="973"/>
      <c r="FDP106" s="973"/>
      <c r="FDQ106" s="973"/>
      <c r="FDR106" s="973"/>
      <c r="FDS106" s="973"/>
      <c r="FDT106" s="973"/>
      <c r="FDU106" s="973"/>
      <c r="FDV106" s="973"/>
      <c r="FDW106" s="973"/>
      <c r="FDX106" s="973"/>
      <c r="FDY106" s="973"/>
      <c r="FDZ106" s="973"/>
      <c r="FEA106" s="973"/>
      <c r="FEB106" s="973"/>
      <c r="FEC106" s="973"/>
      <c r="FED106" s="973"/>
      <c r="FEE106" s="973"/>
      <c r="FEF106" s="973"/>
      <c r="FEG106" s="973"/>
      <c r="FEH106" s="973"/>
      <c r="FEI106" s="973"/>
      <c r="FEJ106" s="973"/>
      <c r="FEK106" s="973"/>
      <c r="FEL106" s="973"/>
      <c r="FEM106" s="973"/>
      <c r="FEN106" s="973"/>
      <c r="FEO106" s="973"/>
      <c r="FEP106" s="973"/>
      <c r="FEQ106" s="973"/>
      <c r="FER106" s="973"/>
      <c r="FES106" s="973"/>
      <c r="FET106" s="973"/>
      <c r="FEU106" s="973"/>
      <c r="FEV106" s="973"/>
      <c r="FEW106" s="973"/>
      <c r="FEX106" s="973"/>
      <c r="FEY106" s="973"/>
      <c r="FEZ106" s="973"/>
      <c r="FFA106" s="973"/>
      <c r="FFB106" s="973"/>
      <c r="FFC106" s="973"/>
      <c r="FFD106" s="973"/>
      <c r="FFE106" s="973"/>
      <c r="FFF106" s="973"/>
      <c r="FFG106" s="973"/>
      <c r="FFH106" s="973"/>
      <c r="FFI106" s="973"/>
      <c r="FFJ106" s="973"/>
      <c r="FFK106" s="973"/>
      <c r="FFL106" s="973"/>
      <c r="FFM106" s="973"/>
      <c r="FFN106" s="973"/>
      <c r="FFO106" s="973"/>
      <c r="FFP106" s="973"/>
      <c r="FFQ106" s="973"/>
      <c r="FFR106" s="973"/>
      <c r="FFS106" s="973"/>
      <c r="FFT106" s="973"/>
      <c r="FFU106" s="973"/>
      <c r="FFV106" s="973"/>
      <c r="FFW106" s="973"/>
      <c r="FFX106" s="973"/>
      <c r="FFY106" s="973"/>
      <c r="FFZ106" s="973"/>
      <c r="FGA106" s="973"/>
      <c r="FGB106" s="973"/>
      <c r="FGC106" s="973"/>
      <c r="FGD106" s="973"/>
      <c r="FGE106" s="973"/>
      <c r="FGF106" s="973"/>
      <c r="FGG106" s="973"/>
      <c r="FGH106" s="973"/>
      <c r="FGI106" s="973"/>
      <c r="FGJ106" s="973"/>
      <c r="FGK106" s="973"/>
      <c r="FGL106" s="973"/>
      <c r="FGM106" s="973"/>
      <c r="FGN106" s="973"/>
      <c r="FGO106" s="973"/>
      <c r="FGP106" s="973"/>
      <c r="FGQ106" s="973"/>
      <c r="FGR106" s="973"/>
      <c r="FGS106" s="973"/>
      <c r="FGT106" s="973"/>
      <c r="FGU106" s="973"/>
      <c r="FGV106" s="973"/>
      <c r="FGW106" s="973"/>
      <c r="FGX106" s="973"/>
      <c r="FGY106" s="973"/>
      <c r="FGZ106" s="973"/>
      <c r="FHA106" s="973"/>
      <c r="FHB106" s="973"/>
      <c r="FHC106" s="973"/>
      <c r="FHD106" s="973"/>
      <c r="FHE106" s="973"/>
      <c r="FHF106" s="973"/>
      <c r="FHG106" s="973"/>
      <c r="FHH106" s="973"/>
      <c r="FHI106" s="973"/>
      <c r="FHJ106" s="973"/>
      <c r="FHK106" s="973"/>
      <c r="FHL106" s="973"/>
      <c r="FHM106" s="973"/>
      <c r="FHN106" s="973"/>
      <c r="FHO106" s="973"/>
      <c r="FHP106" s="973"/>
      <c r="FHQ106" s="973"/>
      <c r="FHR106" s="973"/>
      <c r="FHS106" s="973"/>
      <c r="FHT106" s="973"/>
      <c r="FHU106" s="973"/>
      <c r="FHV106" s="973"/>
      <c r="FHW106" s="973"/>
      <c r="FHX106" s="973"/>
      <c r="FHY106" s="973"/>
      <c r="FHZ106" s="973"/>
      <c r="FIA106" s="973"/>
      <c r="FIB106" s="973"/>
      <c r="FIC106" s="973"/>
      <c r="FID106" s="973"/>
      <c r="FIE106" s="973"/>
      <c r="FIF106" s="973"/>
      <c r="FIG106" s="973"/>
      <c r="FIH106" s="973"/>
      <c r="FII106" s="973"/>
      <c r="FIJ106" s="973"/>
      <c r="FIK106" s="973"/>
      <c r="FIL106" s="973"/>
      <c r="FIM106" s="973"/>
      <c r="FIN106" s="973"/>
      <c r="FIO106" s="973"/>
      <c r="FIP106" s="973"/>
      <c r="FIQ106" s="973"/>
      <c r="FIR106" s="973"/>
      <c r="FIS106" s="973"/>
      <c r="FIT106" s="973"/>
      <c r="FIU106" s="973"/>
      <c r="FIV106" s="973"/>
      <c r="FIW106" s="973"/>
      <c r="FIX106" s="973"/>
      <c r="FIY106" s="973"/>
      <c r="FIZ106" s="973"/>
      <c r="FJA106" s="973"/>
      <c r="FJB106" s="973"/>
      <c r="FJC106" s="973"/>
      <c r="FJD106" s="973"/>
      <c r="FJE106" s="973"/>
      <c r="FJF106" s="973"/>
      <c r="FJG106" s="973"/>
      <c r="FJH106" s="973"/>
      <c r="FJI106" s="973"/>
      <c r="FJJ106" s="973"/>
      <c r="FJK106" s="973"/>
      <c r="FJL106" s="973"/>
      <c r="FJM106" s="973"/>
      <c r="FJN106" s="973"/>
      <c r="FJO106" s="973"/>
      <c r="FJP106" s="973"/>
      <c r="FJQ106" s="973"/>
      <c r="FJR106" s="973"/>
      <c r="FJS106" s="973"/>
      <c r="FJT106" s="973"/>
      <c r="FJU106" s="973"/>
      <c r="FJV106" s="973"/>
      <c r="FJW106" s="973"/>
      <c r="FJX106" s="973"/>
      <c r="FJY106" s="973"/>
      <c r="FJZ106" s="973"/>
      <c r="FKA106" s="973"/>
      <c r="FKB106" s="973"/>
      <c r="FKC106" s="973"/>
      <c r="FKD106" s="973"/>
      <c r="FKE106" s="973"/>
      <c r="FKF106" s="973"/>
      <c r="FKG106" s="973"/>
      <c r="FKH106" s="973"/>
      <c r="FKI106" s="973"/>
      <c r="FKJ106" s="973"/>
      <c r="FKK106" s="973"/>
      <c r="FKL106" s="973"/>
      <c r="FKM106" s="973"/>
      <c r="FKN106" s="973"/>
      <c r="FKO106" s="973"/>
      <c r="FKP106" s="973"/>
      <c r="FKQ106" s="973"/>
      <c r="FKR106" s="973"/>
      <c r="FKS106" s="973"/>
      <c r="FKT106" s="973"/>
      <c r="FKU106" s="973"/>
      <c r="FKV106" s="973"/>
      <c r="FKW106" s="973"/>
      <c r="FKX106" s="973"/>
      <c r="FKY106" s="973"/>
      <c r="FKZ106" s="973"/>
      <c r="FLA106" s="973"/>
      <c r="FLB106" s="973"/>
      <c r="FLC106" s="973"/>
      <c r="FLD106" s="973"/>
      <c r="FLE106" s="973"/>
      <c r="FLF106" s="973"/>
      <c r="FLG106" s="973"/>
      <c r="FLH106" s="973"/>
      <c r="FLI106" s="973"/>
      <c r="FLJ106" s="973"/>
      <c r="FLK106" s="973"/>
      <c r="FLL106" s="973"/>
      <c r="FLM106" s="973"/>
      <c r="FLN106" s="973"/>
      <c r="FLO106" s="973"/>
      <c r="FLP106" s="973"/>
      <c r="FLQ106" s="973"/>
      <c r="FLR106" s="973"/>
      <c r="FLS106" s="973"/>
      <c r="FLT106" s="973"/>
      <c r="FLU106" s="973"/>
      <c r="FLV106" s="973"/>
      <c r="FLW106" s="973"/>
      <c r="FLX106" s="973"/>
      <c r="FLY106" s="973"/>
      <c r="FLZ106" s="973"/>
      <c r="FMA106" s="973"/>
      <c r="FMB106" s="973"/>
      <c r="FMC106" s="973"/>
      <c r="FMD106" s="973"/>
      <c r="FME106" s="973"/>
      <c r="FMF106" s="973"/>
      <c r="FMG106" s="973"/>
      <c r="FMH106" s="973"/>
      <c r="FMI106" s="973"/>
      <c r="FMJ106" s="973"/>
      <c r="FMK106" s="973"/>
      <c r="FML106" s="973"/>
      <c r="FMM106" s="973"/>
      <c r="FMN106" s="973"/>
      <c r="FMO106" s="973"/>
      <c r="FMP106" s="973"/>
      <c r="FMQ106" s="973"/>
      <c r="FMR106" s="973"/>
      <c r="FMS106" s="973"/>
      <c r="FMT106" s="973"/>
      <c r="FMU106" s="973"/>
      <c r="FMV106" s="973"/>
      <c r="FMW106" s="973"/>
      <c r="FMX106" s="973"/>
      <c r="FMY106" s="973"/>
      <c r="FMZ106" s="973"/>
      <c r="FNA106" s="973"/>
      <c r="FNB106" s="973"/>
      <c r="FNC106" s="973"/>
      <c r="FND106" s="973"/>
      <c r="FNE106" s="973"/>
      <c r="FNF106" s="973"/>
      <c r="FNG106" s="973"/>
      <c r="FNH106" s="973"/>
      <c r="FNI106" s="973"/>
      <c r="FNJ106" s="973"/>
      <c r="FNK106" s="973"/>
      <c r="FNL106" s="973"/>
      <c r="FNM106" s="973"/>
      <c r="FNN106" s="973"/>
      <c r="FNO106" s="973"/>
      <c r="FNP106" s="973"/>
      <c r="FNQ106" s="973"/>
      <c r="FNR106" s="973"/>
      <c r="FNS106" s="973"/>
      <c r="FNT106" s="973"/>
      <c r="FNU106" s="973"/>
      <c r="FNV106" s="973"/>
      <c r="FNW106" s="973"/>
      <c r="FNX106" s="973"/>
      <c r="FNY106" s="973"/>
      <c r="FNZ106" s="973"/>
      <c r="FOA106" s="973"/>
      <c r="FOB106" s="973"/>
      <c r="FOC106" s="973"/>
      <c r="FOD106" s="973"/>
      <c r="FOE106" s="973"/>
      <c r="FOF106" s="973"/>
      <c r="FOG106" s="973"/>
      <c r="FOH106" s="973"/>
      <c r="FOI106" s="973"/>
      <c r="FOJ106" s="973"/>
      <c r="FOK106" s="973"/>
      <c r="FOL106" s="973"/>
      <c r="FOM106" s="973"/>
      <c r="FON106" s="973"/>
      <c r="FOO106" s="973"/>
      <c r="FOP106" s="973"/>
      <c r="FOQ106" s="973"/>
      <c r="FOR106" s="973"/>
      <c r="FOS106" s="973"/>
      <c r="FOT106" s="973"/>
      <c r="FOU106" s="973"/>
      <c r="FOV106" s="973"/>
      <c r="FOW106" s="973"/>
      <c r="FOX106" s="973"/>
      <c r="FOY106" s="973"/>
      <c r="FOZ106" s="973"/>
      <c r="FPA106" s="973"/>
      <c r="FPB106" s="973"/>
      <c r="FPC106" s="973"/>
      <c r="FPD106" s="973"/>
      <c r="FPE106" s="973"/>
      <c r="FPF106" s="973"/>
      <c r="FPG106" s="973"/>
      <c r="FPH106" s="973"/>
      <c r="FPI106" s="973"/>
      <c r="FPJ106" s="973"/>
      <c r="FPK106" s="973"/>
      <c r="FPL106" s="973"/>
      <c r="FPM106" s="973"/>
      <c r="FPN106" s="973"/>
      <c r="FPO106" s="973"/>
      <c r="FPP106" s="973"/>
      <c r="FPQ106" s="973"/>
      <c r="FPR106" s="973"/>
      <c r="FPS106" s="973"/>
      <c r="FPT106" s="973"/>
      <c r="FPU106" s="973"/>
      <c r="FPV106" s="973"/>
      <c r="FPW106" s="973"/>
      <c r="FPX106" s="973"/>
      <c r="FPY106" s="973"/>
      <c r="FPZ106" s="973"/>
      <c r="FQA106" s="973"/>
      <c r="FQB106" s="973"/>
      <c r="FQC106" s="973"/>
      <c r="FQD106" s="973"/>
      <c r="FQE106" s="973"/>
      <c r="FQF106" s="973"/>
      <c r="FQG106" s="973"/>
      <c r="FQH106" s="973"/>
      <c r="FQI106" s="973"/>
      <c r="FQJ106" s="973"/>
      <c r="FQK106" s="973"/>
      <c r="FQL106" s="973"/>
      <c r="FQM106" s="973"/>
      <c r="FQN106" s="973"/>
      <c r="FQO106" s="973"/>
      <c r="FQP106" s="973"/>
      <c r="FQQ106" s="973"/>
      <c r="FQR106" s="973"/>
      <c r="FQS106" s="973"/>
      <c r="FQT106" s="973"/>
      <c r="FQU106" s="973"/>
      <c r="FQV106" s="973"/>
      <c r="FQW106" s="973"/>
      <c r="FQX106" s="973"/>
      <c r="FQY106" s="973"/>
      <c r="FQZ106" s="973"/>
      <c r="FRA106" s="973"/>
      <c r="FRB106" s="973"/>
      <c r="FRC106" s="973"/>
      <c r="FRD106" s="973"/>
      <c r="FRE106" s="973"/>
      <c r="FRF106" s="973"/>
      <c r="FRG106" s="973"/>
      <c r="FRH106" s="973"/>
      <c r="FRI106" s="973"/>
      <c r="FRJ106" s="973"/>
      <c r="FRK106" s="973"/>
      <c r="FRL106" s="973"/>
      <c r="FRM106" s="973"/>
      <c r="FRN106" s="973"/>
      <c r="FRO106" s="973"/>
      <c r="FRP106" s="973"/>
      <c r="FRQ106" s="973"/>
      <c r="FRR106" s="973"/>
      <c r="FRS106" s="973"/>
      <c r="FRT106" s="973"/>
      <c r="FRU106" s="973"/>
      <c r="FRV106" s="973"/>
      <c r="FRW106" s="973"/>
      <c r="FRX106" s="973"/>
      <c r="FRY106" s="973"/>
      <c r="FRZ106" s="973"/>
      <c r="FSA106" s="973"/>
      <c r="FSB106" s="973"/>
      <c r="FSC106" s="973"/>
      <c r="FSD106" s="973"/>
      <c r="FSE106" s="973"/>
      <c r="FSF106" s="973"/>
      <c r="FSG106" s="973"/>
      <c r="FSH106" s="973"/>
      <c r="FSI106" s="973"/>
      <c r="FSJ106" s="973"/>
      <c r="FSK106" s="973"/>
      <c r="FSL106" s="973"/>
      <c r="FSM106" s="973"/>
      <c r="FSN106" s="973"/>
      <c r="FSO106" s="973"/>
      <c r="FSP106" s="973"/>
      <c r="FSQ106" s="973"/>
      <c r="FSR106" s="973"/>
      <c r="FSS106" s="973"/>
      <c r="FST106" s="973"/>
      <c r="FSU106" s="973"/>
      <c r="FSV106" s="973"/>
      <c r="FSW106" s="973"/>
      <c r="FSX106" s="973"/>
      <c r="FSY106" s="973"/>
      <c r="FSZ106" s="973"/>
      <c r="FTA106" s="973"/>
      <c r="FTB106" s="973"/>
      <c r="FTC106" s="973"/>
      <c r="FTD106" s="973"/>
      <c r="FTE106" s="973"/>
      <c r="FTF106" s="973"/>
      <c r="FTG106" s="973"/>
      <c r="FTH106" s="973"/>
      <c r="FTI106" s="973"/>
      <c r="FTJ106" s="973"/>
      <c r="FTK106" s="973"/>
      <c r="FTL106" s="973"/>
      <c r="FTM106" s="973"/>
      <c r="FTN106" s="973"/>
      <c r="FTO106" s="973"/>
      <c r="FTP106" s="973"/>
      <c r="FTQ106" s="973"/>
      <c r="FTR106" s="973"/>
      <c r="FTS106" s="973"/>
      <c r="FTT106" s="973"/>
      <c r="FTU106" s="973"/>
      <c r="FTV106" s="973"/>
      <c r="FTW106" s="973"/>
      <c r="FTX106" s="973"/>
      <c r="FTY106" s="973"/>
      <c r="FTZ106" s="973"/>
      <c r="FUA106" s="973"/>
      <c r="FUB106" s="973"/>
      <c r="FUC106" s="973"/>
      <c r="FUD106" s="973"/>
      <c r="FUE106" s="973"/>
      <c r="FUF106" s="973"/>
      <c r="FUG106" s="973"/>
      <c r="FUH106" s="973"/>
      <c r="FUI106" s="973"/>
      <c r="FUJ106" s="973"/>
      <c r="FUK106" s="973"/>
      <c r="FUL106" s="973"/>
      <c r="FUM106" s="973"/>
      <c r="FUN106" s="973"/>
      <c r="FUO106" s="973"/>
      <c r="FUP106" s="973"/>
      <c r="FUQ106" s="973"/>
      <c r="FUR106" s="973"/>
      <c r="FUS106" s="973"/>
      <c r="FUT106" s="973"/>
      <c r="FUU106" s="973"/>
      <c r="FUV106" s="973"/>
      <c r="FUW106" s="973"/>
      <c r="FUX106" s="973"/>
      <c r="FUY106" s="973"/>
      <c r="FUZ106" s="973"/>
      <c r="FVA106" s="973"/>
      <c r="FVB106" s="973"/>
      <c r="FVC106" s="973"/>
      <c r="FVD106" s="973"/>
      <c r="FVE106" s="973"/>
      <c r="FVF106" s="973"/>
      <c r="FVG106" s="973"/>
      <c r="FVH106" s="973"/>
      <c r="FVI106" s="973"/>
      <c r="FVJ106" s="973"/>
      <c r="FVK106" s="973"/>
      <c r="FVL106" s="973"/>
      <c r="FVM106" s="973"/>
      <c r="FVN106" s="973"/>
      <c r="FVO106" s="973"/>
      <c r="FVP106" s="973"/>
      <c r="FVQ106" s="973"/>
      <c r="FVR106" s="973"/>
      <c r="FVS106" s="973"/>
      <c r="FVT106" s="973"/>
      <c r="FVU106" s="973"/>
      <c r="FVV106" s="973"/>
      <c r="FVW106" s="973"/>
      <c r="FVX106" s="973"/>
      <c r="FVY106" s="973"/>
      <c r="FVZ106" s="973"/>
      <c r="FWA106" s="973"/>
      <c r="FWB106" s="973"/>
      <c r="FWC106" s="973"/>
      <c r="FWD106" s="973"/>
      <c r="FWE106" s="973"/>
      <c r="FWF106" s="973"/>
      <c r="FWG106" s="973"/>
      <c r="FWH106" s="973"/>
      <c r="FWI106" s="973"/>
      <c r="FWJ106" s="973"/>
      <c r="FWK106" s="973"/>
      <c r="FWL106" s="973"/>
      <c r="FWM106" s="973"/>
      <c r="FWN106" s="973"/>
      <c r="FWO106" s="973"/>
      <c r="FWP106" s="973"/>
      <c r="FWQ106" s="973"/>
      <c r="FWR106" s="973"/>
      <c r="FWS106" s="973"/>
      <c r="FWT106" s="973"/>
      <c r="FWU106" s="973"/>
      <c r="FWV106" s="973"/>
      <c r="FWW106" s="973"/>
      <c r="FWX106" s="973"/>
      <c r="FWY106" s="973"/>
      <c r="FWZ106" s="973"/>
      <c r="FXA106" s="973"/>
      <c r="FXB106" s="973"/>
      <c r="FXC106" s="973"/>
      <c r="FXD106" s="973"/>
      <c r="FXE106" s="973"/>
      <c r="FXF106" s="973"/>
      <c r="FXG106" s="973"/>
      <c r="FXH106" s="973"/>
      <c r="FXI106" s="973"/>
      <c r="FXJ106" s="973"/>
      <c r="FXK106" s="973"/>
      <c r="FXL106" s="973"/>
      <c r="FXM106" s="973"/>
      <c r="FXN106" s="973"/>
      <c r="FXO106" s="973"/>
      <c r="FXP106" s="973"/>
      <c r="FXQ106" s="973"/>
      <c r="FXR106" s="973"/>
      <c r="FXS106" s="973"/>
      <c r="FXT106" s="973"/>
      <c r="FXU106" s="973"/>
      <c r="FXV106" s="973"/>
      <c r="FXW106" s="973"/>
      <c r="FXX106" s="973"/>
      <c r="FXY106" s="973"/>
      <c r="FXZ106" s="973"/>
      <c r="FYA106" s="973"/>
      <c r="FYB106" s="973"/>
      <c r="FYC106" s="973"/>
      <c r="FYD106" s="973"/>
      <c r="FYE106" s="973"/>
      <c r="FYF106" s="973"/>
      <c r="FYG106" s="973"/>
      <c r="FYH106" s="973"/>
      <c r="FYI106" s="973"/>
      <c r="FYJ106" s="973"/>
      <c r="FYK106" s="973"/>
      <c r="FYL106" s="973"/>
      <c r="FYM106" s="973"/>
      <c r="FYN106" s="973"/>
      <c r="FYO106" s="973"/>
      <c r="FYP106" s="973"/>
      <c r="FYQ106" s="973"/>
      <c r="FYR106" s="973"/>
      <c r="FYS106" s="973"/>
      <c r="FYT106" s="973"/>
      <c r="FYU106" s="973"/>
      <c r="FYV106" s="973"/>
      <c r="FYW106" s="973"/>
      <c r="FYX106" s="973"/>
      <c r="FYY106" s="973"/>
      <c r="FYZ106" s="973"/>
      <c r="FZA106" s="973"/>
      <c r="FZB106" s="973"/>
      <c r="FZC106" s="973"/>
      <c r="FZD106" s="973"/>
      <c r="FZE106" s="973"/>
      <c r="FZF106" s="973"/>
      <c r="FZG106" s="973"/>
      <c r="FZH106" s="973"/>
      <c r="FZI106" s="973"/>
      <c r="FZJ106" s="973"/>
      <c r="FZK106" s="973"/>
      <c r="FZL106" s="973"/>
      <c r="FZM106" s="973"/>
      <c r="FZN106" s="973"/>
      <c r="FZO106" s="973"/>
      <c r="FZP106" s="973"/>
      <c r="FZQ106" s="973"/>
      <c r="FZR106" s="973"/>
      <c r="FZS106" s="973"/>
      <c r="FZT106" s="973"/>
      <c r="FZU106" s="973"/>
      <c r="FZV106" s="973"/>
      <c r="FZW106" s="973"/>
      <c r="FZX106" s="973"/>
      <c r="FZY106" s="973"/>
      <c r="FZZ106" s="973"/>
      <c r="GAA106" s="973"/>
      <c r="GAB106" s="973"/>
      <c r="GAC106" s="973"/>
      <c r="GAD106" s="973"/>
      <c r="GAE106" s="973"/>
      <c r="GAF106" s="973"/>
      <c r="GAG106" s="973"/>
      <c r="GAH106" s="973"/>
      <c r="GAI106" s="973"/>
      <c r="GAJ106" s="973"/>
      <c r="GAK106" s="973"/>
      <c r="GAL106" s="973"/>
      <c r="GAM106" s="973"/>
      <c r="GAN106" s="973"/>
      <c r="GAO106" s="973"/>
      <c r="GAP106" s="973"/>
      <c r="GAQ106" s="973"/>
      <c r="GAR106" s="973"/>
      <c r="GAS106" s="973"/>
      <c r="GAT106" s="973"/>
      <c r="GAU106" s="973"/>
      <c r="GAV106" s="973"/>
      <c r="GAW106" s="973"/>
      <c r="GAX106" s="973"/>
      <c r="GAY106" s="973"/>
      <c r="GAZ106" s="973"/>
      <c r="GBA106" s="973"/>
      <c r="GBB106" s="973"/>
      <c r="GBC106" s="973"/>
      <c r="GBD106" s="973"/>
      <c r="GBE106" s="973"/>
      <c r="GBF106" s="973"/>
      <c r="GBG106" s="973"/>
      <c r="GBH106" s="973"/>
      <c r="GBI106" s="973"/>
      <c r="GBJ106" s="973"/>
      <c r="GBK106" s="973"/>
      <c r="GBL106" s="973"/>
      <c r="GBM106" s="973"/>
      <c r="GBN106" s="973"/>
      <c r="GBO106" s="973"/>
      <c r="GBP106" s="973"/>
      <c r="GBQ106" s="973"/>
      <c r="GBR106" s="973"/>
      <c r="GBS106" s="973"/>
      <c r="GBT106" s="973"/>
      <c r="GBU106" s="973"/>
      <c r="GBV106" s="973"/>
      <c r="GBW106" s="973"/>
      <c r="GBX106" s="973"/>
      <c r="GBY106" s="973"/>
      <c r="GBZ106" s="973"/>
      <c r="GCA106" s="973"/>
      <c r="GCB106" s="973"/>
      <c r="GCC106" s="973"/>
      <c r="GCD106" s="973"/>
      <c r="GCE106" s="973"/>
      <c r="GCF106" s="973"/>
      <c r="GCG106" s="973"/>
      <c r="GCH106" s="973"/>
      <c r="GCI106" s="973"/>
      <c r="GCJ106" s="973"/>
      <c r="GCK106" s="973"/>
      <c r="GCL106" s="973"/>
      <c r="GCM106" s="973"/>
      <c r="GCN106" s="973"/>
      <c r="GCO106" s="973"/>
      <c r="GCP106" s="973"/>
      <c r="GCQ106" s="973"/>
      <c r="GCR106" s="973"/>
      <c r="GCS106" s="973"/>
      <c r="GCT106" s="973"/>
      <c r="GCU106" s="973"/>
      <c r="GCV106" s="973"/>
      <c r="GCW106" s="973"/>
      <c r="GCX106" s="973"/>
      <c r="GCY106" s="973"/>
      <c r="GCZ106" s="973"/>
      <c r="GDA106" s="973"/>
      <c r="GDB106" s="973"/>
      <c r="GDC106" s="973"/>
      <c r="GDD106" s="973"/>
      <c r="GDE106" s="973"/>
      <c r="GDF106" s="973"/>
      <c r="GDG106" s="973"/>
      <c r="GDH106" s="973"/>
      <c r="GDI106" s="973"/>
      <c r="GDJ106" s="973"/>
      <c r="GDK106" s="973"/>
      <c r="GDL106" s="973"/>
      <c r="GDM106" s="973"/>
      <c r="GDN106" s="973"/>
      <c r="GDO106" s="973"/>
      <c r="GDP106" s="973"/>
      <c r="GDQ106" s="973"/>
      <c r="GDR106" s="973"/>
      <c r="GDS106" s="973"/>
      <c r="GDT106" s="973"/>
      <c r="GDU106" s="973"/>
      <c r="GDV106" s="973"/>
      <c r="GDW106" s="973"/>
      <c r="GDX106" s="973"/>
      <c r="GDY106" s="973"/>
      <c r="GDZ106" s="973"/>
      <c r="GEA106" s="973"/>
      <c r="GEB106" s="973"/>
      <c r="GEC106" s="973"/>
      <c r="GED106" s="973"/>
      <c r="GEE106" s="973"/>
      <c r="GEF106" s="973"/>
      <c r="GEG106" s="973"/>
      <c r="GEH106" s="973"/>
      <c r="GEI106" s="973"/>
      <c r="GEJ106" s="973"/>
      <c r="GEK106" s="973"/>
      <c r="GEL106" s="973"/>
      <c r="GEM106" s="973"/>
      <c r="GEN106" s="973"/>
      <c r="GEO106" s="973"/>
      <c r="GEP106" s="973"/>
      <c r="GEQ106" s="973"/>
      <c r="GER106" s="973"/>
      <c r="GES106" s="973"/>
      <c r="GET106" s="973"/>
      <c r="GEU106" s="973"/>
      <c r="GEV106" s="973"/>
      <c r="GEW106" s="973"/>
      <c r="GEX106" s="973"/>
      <c r="GEY106" s="973"/>
      <c r="GEZ106" s="973"/>
      <c r="GFA106" s="973"/>
      <c r="GFB106" s="973"/>
      <c r="GFC106" s="973"/>
      <c r="GFD106" s="973"/>
      <c r="GFE106" s="973"/>
      <c r="GFF106" s="973"/>
      <c r="GFG106" s="973"/>
      <c r="GFH106" s="973"/>
      <c r="GFI106" s="973"/>
      <c r="GFJ106" s="973"/>
      <c r="GFK106" s="973"/>
      <c r="GFL106" s="973"/>
      <c r="GFM106" s="973"/>
      <c r="GFN106" s="973"/>
      <c r="GFO106" s="973"/>
      <c r="GFP106" s="973"/>
      <c r="GFQ106" s="973"/>
      <c r="GFR106" s="973"/>
      <c r="GFS106" s="973"/>
      <c r="GFT106" s="973"/>
      <c r="GFU106" s="973"/>
      <c r="GFV106" s="973"/>
      <c r="GFW106" s="973"/>
      <c r="GFX106" s="973"/>
      <c r="GFY106" s="973"/>
      <c r="GFZ106" s="973"/>
      <c r="GGA106" s="973"/>
      <c r="GGB106" s="973"/>
      <c r="GGC106" s="973"/>
      <c r="GGD106" s="973"/>
      <c r="GGE106" s="973"/>
      <c r="GGF106" s="973"/>
      <c r="GGG106" s="973"/>
      <c r="GGH106" s="973"/>
      <c r="GGI106" s="973"/>
      <c r="GGJ106" s="973"/>
      <c r="GGK106" s="973"/>
      <c r="GGL106" s="973"/>
      <c r="GGM106" s="973"/>
      <c r="GGN106" s="973"/>
      <c r="GGO106" s="973"/>
      <c r="GGP106" s="973"/>
      <c r="GGQ106" s="973"/>
      <c r="GGR106" s="973"/>
      <c r="GGS106" s="973"/>
      <c r="GGT106" s="973"/>
      <c r="GGU106" s="973"/>
      <c r="GGV106" s="973"/>
      <c r="GGW106" s="973"/>
      <c r="GGX106" s="973"/>
      <c r="GGY106" s="973"/>
      <c r="GGZ106" s="973"/>
      <c r="GHA106" s="973"/>
      <c r="GHB106" s="973"/>
      <c r="GHC106" s="973"/>
      <c r="GHD106" s="973"/>
      <c r="GHE106" s="973"/>
      <c r="GHF106" s="973"/>
      <c r="GHG106" s="973"/>
      <c r="GHH106" s="973"/>
      <c r="GHI106" s="973"/>
      <c r="GHJ106" s="973"/>
      <c r="GHK106" s="973"/>
      <c r="GHL106" s="973"/>
      <c r="GHM106" s="973"/>
      <c r="GHN106" s="973"/>
      <c r="GHO106" s="973"/>
      <c r="GHP106" s="973"/>
      <c r="GHQ106" s="973"/>
      <c r="GHR106" s="973"/>
      <c r="GHS106" s="973"/>
      <c r="GHT106" s="973"/>
      <c r="GHU106" s="973"/>
      <c r="GHV106" s="973"/>
      <c r="GHW106" s="973"/>
      <c r="GHX106" s="973"/>
      <c r="GHY106" s="973"/>
      <c r="GHZ106" s="973"/>
      <c r="GIA106" s="973"/>
      <c r="GIB106" s="973"/>
      <c r="GIC106" s="973"/>
      <c r="GID106" s="973"/>
      <c r="GIE106" s="973"/>
      <c r="GIF106" s="973"/>
      <c r="GIG106" s="973"/>
      <c r="GIH106" s="973"/>
      <c r="GII106" s="973"/>
      <c r="GIJ106" s="973"/>
      <c r="GIK106" s="973"/>
      <c r="GIL106" s="973"/>
      <c r="GIM106" s="973"/>
      <c r="GIN106" s="973"/>
      <c r="GIO106" s="973"/>
      <c r="GIP106" s="973"/>
      <c r="GIQ106" s="973"/>
      <c r="GIR106" s="973"/>
      <c r="GIS106" s="973"/>
      <c r="GIT106" s="973"/>
      <c r="GIU106" s="973"/>
      <c r="GIV106" s="973"/>
      <c r="GIW106" s="973"/>
      <c r="GIX106" s="973"/>
      <c r="GIY106" s="973"/>
      <c r="GIZ106" s="973"/>
      <c r="GJA106" s="973"/>
      <c r="GJB106" s="973"/>
      <c r="GJC106" s="973"/>
      <c r="GJD106" s="973"/>
      <c r="GJE106" s="973"/>
      <c r="GJF106" s="973"/>
      <c r="GJG106" s="973"/>
      <c r="GJH106" s="973"/>
      <c r="GJI106" s="973"/>
      <c r="GJJ106" s="973"/>
      <c r="GJK106" s="973"/>
      <c r="GJL106" s="973"/>
      <c r="GJM106" s="973"/>
      <c r="GJN106" s="973"/>
      <c r="GJO106" s="973"/>
      <c r="GJP106" s="973"/>
      <c r="GJQ106" s="973"/>
      <c r="GJR106" s="973"/>
      <c r="GJS106" s="973"/>
      <c r="GJT106" s="973"/>
      <c r="GJU106" s="973"/>
      <c r="GJV106" s="973"/>
      <c r="GJW106" s="973"/>
      <c r="GJX106" s="973"/>
      <c r="GJY106" s="973"/>
      <c r="GJZ106" s="973"/>
      <c r="GKA106" s="973"/>
      <c r="GKB106" s="973"/>
      <c r="GKC106" s="973"/>
      <c r="GKD106" s="973"/>
      <c r="GKE106" s="973"/>
      <c r="GKF106" s="973"/>
      <c r="GKG106" s="973"/>
      <c r="GKH106" s="973"/>
      <c r="GKI106" s="973"/>
      <c r="GKJ106" s="973"/>
      <c r="GKK106" s="973"/>
      <c r="GKL106" s="973"/>
      <c r="GKM106" s="973"/>
      <c r="GKN106" s="973"/>
      <c r="GKO106" s="973"/>
      <c r="GKP106" s="973"/>
      <c r="GKQ106" s="973"/>
      <c r="GKR106" s="973"/>
      <c r="GKS106" s="973"/>
      <c r="GKT106" s="973"/>
      <c r="GKU106" s="973"/>
      <c r="GKV106" s="973"/>
      <c r="GKW106" s="973"/>
      <c r="GKX106" s="973"/>
      <c r="GKY106" s="973"/>
      <c r="GKZ106" s="973"/>
      <c r="GLA106" s="973"/>
      <c r="GLB106" s="973"/>
      <c r="GLC106" s="973"/>
      <c r="GLD106" s="973"/>
      <c r="GLE106" s="973"/>
      <c r="GLF106" s="973"/>
      <c r="GLG106" s="973"/>
      <c r="GLH106" s="973"/>
      <c r="GLI106" s="973"/>
      <c r="GLJ106" s="973"/>
      <c r="GLK106" s="973"/>
      <c r="GLL106" s="973"/>
      <c r="GLM106" s="973"/>
      <c r="GLN106" s="973"/>
      <c r="GLO106" s="973"/>
      <c r="GLP106" s="973"/>
      <c r="GLQ106" s="973"/>
      <c r="GLR106" s="973"/>
      <c r="GLS106" s="973"/>
      <c r="GLT106" s="973"/>
      <c r="GLU106" s="973"/>
      <c r="GLV106" s="973"/>
      <c r="GLW106" s="973"/>
      <c r="GLX106" s="973"/>
      <c r="GLY106" s="973"/>
      <c r="GLZ106" s="973"/>
      <c r="GMA106" s="973"/>
      <c r="GMB106" s="973"/>
      <c r="GMC106" s="973"/>
      <c r="GMD106" s="973"/>
      <c r="GME106" s="973"/>
      <c r="GMF106" s="973"/>
      <c r="GMG106" s="973"/>
      <c r="GMH106" s="973"/>
      <c r="GMI106" s="973"/>
      <c r="GMJ106" s="973"/>
      <c r="GMK106" s="973"/>
      <c r="GML106" s="973"/>
      <c r="GMM106" s="973"/>
      <c r="GMN106" s="973"/>
      <c r="GMO106" s="973"/>
      <c r="GMP106" s="973"/>
      <c r="GMQ106" s="973"/>
      <c r="GMR106" s="973"/>
      <c r="GMS106" s="973"/>
      <c r="GMT106" s="973"/>
      <c r="GMU106" s="973"/>
      <c r="GMV106" s="973"/>
      <c r="GMW106" s="973"/>
      <c r="GMX106" s="973"/>
      <c r="GMY106" s="973"/>
      <c r="GMZ106" s="973"/>
      <c r="GNA106" s="973"/>
      <c r="GNB106" s="973"/>
      <c r="GNC106" s="973"/>
      <c r="GND106" s="973"/>
      <c r="GNE106" s="973"/>
      <c r="GNF106" s="973"/>
      <c r="GNG106" s="973"/>
      <c r="GNH106" s="973"/>
      <c r="GNI106" s="973"/>
      <c r="GNJ106" s="973"/>
      <c r="GNK106" s="973"/>
      <c r="GNL106" s="973"/>
      <c r="GNM106" s="973"/>
      <c r="GNN106" s="973"/>
      <c r="GNO106" s="973"/>
      <c r="GNP106" s="973"/>
      <c r="GNQ106" s="973"/>
      <c r="GNR106" s="973"/>
      <c r="GNS106" s="973"/>
      <c r="GNT106" s="973"/>
      <c r="GNU106" s="973"/>
      <c r="GNV106" s="973"/>
      <c r="GNW106" s="973"/>
      <c r="GNX106" s="973"/>
      <c r="GNY106" s="973"/>
      <c r="GNZ106" s="973"/>
      <c r="GOA106" s="973"/>
      <c r="GOB106" s="973"/>
      <c r="GOC106" s="973"/>
      <c r="GOD106" s="973"/>
      <c r="GOE106" s="973"/>
      <c r="GOF106" s="973"/>
      <c r="GOG106" s="973"/>
      <c r="GOH106" s="973"/>
      <c r="GOI106" s="973"/>
      <c r="GOJ106" s="973"/>
      <c r="GOK106" s="973"/>
      <c r="GOL106" s="973"/>
      <c r="GOM106" s="973"/>
      <c r="GON106" s="973"/>
      <c r="GOO106" s="973"/>
      <c r="GOP106" s="973"/>
      <c r="GOQ106" s="973"/>
      <c r="GOR106" s="973"/>
      <c r="GOS106" s="973"/>
      <c r="GOT106" s="973"/>
      <c r="GOU106" s="973"/>
      <c r="GOV106" s="973"/>
      <c r="GOW106" s="973"/>
      <c r="GOX106" s="973"/>
      <c r="GOY106" s="973"/>
      <c r="GOZ106" s="973"/>
      <c r="GPA106" s="973"/>
      <c r="GPB106" s="973"/>
      <c r="GPC106" s="973"/>
      <c r="GPD106" s="973"/>
      <c r="GPE106" s="973"/>
      <c r="GPF106" s="973"/>
      <c r="GPG106" s="973"/>
      <c r="GPH106" s="973"/>
      <c r="GPI106" s="973"/>
      <c r="GPJ106" s="973"/>
      <c r="GPK106" s="973"/>
      <c r="GPL106" s="973"/>
      <c r="GPM106" s="973"/>
      <c r="GPN106" s="973"/>
      <c r="GPO106" s="973"/>
      <c r="GPP106" s="973"/>
      <c r="GPQ106" s="973"/>
      <c r="GPR106" s="973"/>
      <c r="GPS106" s="973"/>
      <c r="GPT106" s="973"/>
      <c r="GPU106" s="973"/>
      <c r="GPV106" s="973"/>
      <c r="GPW106" s="973"/>
      <c r="GPX106" s="973"/>
      <c r="GPY106" s="973"/>
      <c r="GPZ106" s="973"/>
      <c r="GQA106" s="973"/>
      <c r="GQB106" s="973"/>
      <c r="GQC106" s="973"/>
      <c r="GQD106" s="973"/>
      <c r="GQE106" s="973"/>
      <c r="GQF106" s="973"/>
      <c r="GQG106" s="973"/>
      <c r="GQH106" s="973"/>
      <c r="GQI106" s="973"/>
      <c r="GQJ106" s="973"/>
      <c r="GQK106" s="973"/>
      <c r="GQL106" s="973"/>
      <c r="GQM106" s="973"/>
      <c r="GQN106" s="973"/>
      <c r="GQO106" s="973"/>
      <c r="GQP106" s="973"/>
      <c r="GQQ106" s="973"/>
      <c r="GQR106" s="973"/>
      <c r="GQS106" s="973"/>
      <c r="GQT106" s="973"/>
      <c r="GQU106" s="973"/>
      <c r="GQV106" s="973"/>
      <c r="GQW106" s="973"/>
      <c r="GQX106" s="973"/>
      <c r="GQY106" s="973"/>
      <c r="GQZ106" s="973"/>
      <c r="GRA106" s="973"/>
      <c r="GRB106" s="973"/>
      <c r="GRC106" s="973"/>
      <c r="GRD106" s="973"/>
      <c r="GRE106" s="973"/>
      <c r="GRF106" s="973"/>
      <c r="GRG106" s="973"/>
      <c r="GRH106" s="973"/>
      <c r="GRI106" s="973"/>
      <c r="GRJ106" s="973"/>
      <c r="GRK106" s="973"/>
      <c r="GRL106" s="973"/>
      <c r="GRM106" s="973"/>
      <c r="GRN106" s="973"/>
      <c r="GRO106" s="973"/>
      <c r="GRP106" s="973"/>
      <c r="GRQ106" s="973"/>
      <c r="GRR106" s="973"/>
      <c r="GRS106" s="973"/>
      <c r="GRT106" s="973"/>
      <c r="GRU106" s="973"/>
      <c r="GRV106" s="973"/>
      <c r="GRW106" s="973"/>
      <c r="GRX106" s="973"/>
      <c r="GRY106" s="973"/>
      <c r="GRZ106" s="973"/>
      <c r="GSA106" s="973"/>
      <c r="GSB106" s="973"/>
      <c r="GSC106" s="973"/>
      <c r="GSD106" s="973"/>
      <c r="GSE106" s="973"/>
      <c r="GSF106" s="973"/>
      <c r="GSG106" s="973"/>
      <c r="GSH106" s="973"/>
      <c r="GSI106" s="973"/>
      <c r="GSJ106" s="973"/>
      <c r="GSK106" s="973"/>
      <c r="GSL106" s="973"/>
      <c r="GSM106" s="973"/>
      <c r="GSN106" s="973"/>
      <c r="GSO106" s="973"/>
      <c r="GSP106" s="973"/>
      <c r="GSQ106" s="973"/>
      <c r="GSR106" s="973"/>
      <c r="GSS106" s="973"/>
      <c r="GST106" s="973"/>
      <c r="GSU106" s="973"/>
      <c r="GSV106" s="973"/>
      <c r="GSW106" s="973"/>
      <c r="GSX106" s="973"/>
      <c r="GSY106" s="973"/>
      <c r="GSZ106" s="973"/>
      <c r="GTA106" s="973"/>
      <c r="GTB106" s="973"/>
      <c r="GTC106" s="973"/>
      <c r="GTD106" s="973"/>
      <c r="GTE106" s="973"/>
      <c r="GTF106" s="973"/>
      <c r="GTG106" s="973"/>
      <c r="GTH106" s="973"/>
      <c r="GTI106" s="973"/>
      <c r="GTJ106" s="973"/>
      <c r="GTK106" s="973"/>
      <c r="GTL106" s="973"/>
      <c r="GTM106" s="973"/>
      <c r="GTN106" s="973"/>
      <c r="GTO106" s="973"/>
      <c r="GTP106" s="973"/>
      <c r="GTQ106" s="973"/>
      <c r="GTR106" s="973"/>
      <c r="GTS106" s="973"/>
      <c r="GTT106" s="973"/>
      <c r="GTU106" s="973"/>
      <c r="GTV106" s="973"/>
      <c r="GTW106" s="973"/>
      <c r="GTX106" s="973"/>
      <c r="GTY106" s="973"/>
      <c r="GTZ106" s="973"/>
      <c r="GUA106" s="973"/>
      <c r="GUB106" s="973"/>
      <c r="GUC106" s="973"/>
      <c r="GUD106" s="973"/>
      <c r="GUE106" s="973"/>
      <c r="GUF106" s="973"/>
      <c r="GUG106" s="973"/>
      <c r="GUH106" s="973"/>
      <c r="GUI106" s="973"/>
      <c r="GUJ106" s="973"/>
      <c r="GUK106" s="973"/>
      <c r="GUL106" s="973"/>
      <c r="GUM106" s="973"/>
      <c r="GUN106" s="973"/>
      <c r="GUO106" s="973"/>
      <c r="GUP106" s="973"/>
      <c r="GUQ106" s="973"/>
      <c r="GUR106" s="973"/>
      <c r="GUS106" s="973"/>
      <c r="GUT106" s="973"/>
      <c r="GUU106" s="973"/>
      <c r="GUV106" s="973"/>
      <c r="GUW106" s="973"/>
      <c r="GUX106" s="973"/>
      <c r="GUY106" s="973"/>
      <c r="GUZ106" s="973"/>
      <c r="GVA106" s="973"/>
      <c r="GVB106" s="973"/>
      <c r="GVC106" s="973"/>
      <c r="GVD106" s="973"/>
      <c r="GVE106" s="973"/>
      <c r="GVF106" s="973"/>
      <c r="GVG106" s="973"/>
      <c r="GVH106" s="973"/>
      <c r="GVI106" s="973"/>
      <c r="GVJ106" s="973"/>
      <c r="GVK106" s="973"/>
      <c r="GVL106" s="973"/>
      <c r="GVM106" s="973"/>
      <c r="GVN106" s="973"/>
      <c r="GVO106" s="973"/>
      <c r="GVP106" s="973"/>
      <c r="GVQ106" s="973"/>
      <c r="GVR106" s="973"/>
      <c r="GVS106" s="973"/>
      <c r="GVT106" s="973"/>
      <c r="GVU106" s="973"/>
      <c r="GVV106" s="973"/>
      <c r="GVW106" s="973"/>
      <c r="GVX106" s="973"/>
      <c r="GVY106" s="973"/>
      <c r="GVZ106" s="973"/>
      <c r="GWA106" s="973"/>
      <c r="GWB106" s="973"/>
      <c r="GWC106" s="973"/>
      <c r="GWD106" s="973"/>
      <c r="GWE106" s="973"/>
      <c r="GWF106" s="973"/>
      <c r="GWG106" s="973"/>
      <c r="GWH106" s="973"/>
      <c r="GWI106" s="973"/>
      <c r="GWJ106" s="973"/>
      <c r="GWK106" s="973"/>
      <c r="GWL106" s="973"/>
      <c r="GWM106" s="973"/>
      <c r="GWN106" s="973"/>
      <c r="GWO106" s="973"/>
      <c r="GWP106" s="973"/>
      <c r="GWQ106" s="973"/>
      <c r="GWR106" s="973"/>
      <c r="GWS106" s="973"/>
      <c r="GWT106" s="973"/>
      <c r="GWU106" s="973"/>
      <c r="GWV106" s="973"/>
      <c r="GWW106" s="973"/>
      <c r="GWX106" s="973"/>
      <c r="GWY106" s="973"/>
      <c r="GWZ106" s="973"/>
      <c r="GXA106" s="973"/>
      <c r="GXB106" s="973"/>
      <c r="GXC106" s="973"/>
      <c r="GXD106" s="973"/>
      <c r="GXE106" s="973"/>
      <c r="GXF106" s="973"/>
      <c r="GXG106" s="973"/>
      <c r="GXH106" s="973"/>
      <c r="GXI106" s="973"/>
      <c r="GXJ106" s="973"/>
      <c r="GXK106" s="973"/>
      <c r="GXL106" s="973"/>
      <c r="GXM106" s="973"/>
      <c r="GXN106" s="973"/>
      <c r="GXO106" s="973"/>
      <c r="GXP106" s="973"/>
      <c r="GXQ106" s="973"/>
      <c r="GXR106" s="973"/>
      <c r="GXS106" s="973"/>
      <c r="GXT106" s="973"/>
      <c r="GXU106" s="973"/>
      <c r="GXV106" s="973"/>
      <c r="GXW106" s="973"/>
      <c r="GXX106" s="973"/>
      <c r="GXY106" s="973"/>
      <c r="GXZ106" s="973"/>
      <c r="GYA106" s="973"/>
      <c r="GYB106" s="973"/>
      <c r="GYC106" s="973"/>
      <c r="GYD106" s="973"/>
      <c r="GYE106" s="973"/>
      <c r="GYF106" s="973"/>
      <c r="GYG106" s="973"/>
      <c r="GYH106" s="973"/>
      <c r="GYI106" s="973"/>
      <c r="GYJ106" s="973"/>
      <c r="GYK106" s="973"/>
      <c r="GYL106" s="973"/>
      <c r="GYM106" s="973"/>
      <c r="GYN106" s="973"/>
      <c r="GYO106" s="973"/>
      <c r="GYP106" s="973"/>
      <c r="GYQ106" s="973"/>
      <c r="GYR106" s="973"/>
      <c r="GYS106" s="973"/>
      <c r="GYT106" s="973"/>
      <c r="GYU106" s="973"/>
      <c r="GYV106" s="973"/>
      <c r="GYW106" s="973"/>
      <c r="GYX106" s="973"/>
      <c r="GYY106" s="973"/>
      <c r="GYZ106" s="973"/>
      <c r="GZA106" s="973"/>
      <c r="GZB106" s="973"/>
      <c r="GZC106" s="973"/>
      <c r="GZD106" s="973"/>
      <c r="GZE106" s="973"/>
      <c r="GZF106" s="973"/>
      <c r="GZG106" s="973"/>
      <c r="GZH106" s="973"/>
      <c r="GZI106" s="973"/>
      <c r="GZJ106" s="973"/>
      <c r="GZK106" s="973"/>
      <c r="GZL106" s="973"/>
      <c r="GZM106" s="973"/>
      <c r="GZN106" s="973"/>
      <c r="GZO106" s="973"/>
      <c r="GZP106" s="973"/>
      <c r="GZQ106" s="973"/>
      <c r="GZR106" s="973"/>
      <c r="GZS106" s="973"/>
      <c r="GZT106" s="973"/>
      <c r="GZU106" s="973"/>
      <c r="GZV106" s="973"/>
      <c r="GZW106" s="973"/>
      <c r="GZX106" s="973"/>
      <c r="GZY106" s="973"/>
      <c r="GZZ106" s="973"/>
      <c r="HAA106" s="973"/>
      <c r="HAB106" s="973"/>
      <c r="HAC106" s="973"/>
      <c r="HAD106" s="973"/>
      <c r="HAE106" s="973"/>
      <c r="HAF106" s="973"/>
      <c r="HAG106" s="973"/>
      <c r="HAH106" s="973"/>
      <c r="HAI106" s="973"/>
      <c r="HAJ106" s="973"/>
      <c r="HAK106" s="973"/>
      <c r="HAL106" s="973"/>
      <c r="HAM106" s="973"/>
      <c r="HAN106" s="973"/>
      <c r="HAO106" s="973"/>
      <c r="HAP106" s="973"/>
      <c r="HAQ106" s="973"/>
      <c r="HAR106" s="973"/>
      <c r="HAS106" s="973"/>
      <c r="HAT106" s="973"/>
      <c r="HAU106" s="973"/>
      <c r="HAV106" s="973"/>
      <c r="HAW106" s="973"/>
      <c r="HAX106" s="973"/>
      <c r="HAY106" s="973"/>
      <c r="HAZ106" s="973"/>
      <c r="HBA106" s="973"/>
      <c r="HBB106" s="973"/>
      <c r="HBC106" s="973"/>
      <c r="HBD106" s="973"/>
      <c r="HBE106" s="973"/>
      <c r="HBF106" s="973"/>
      <c r="HBG106" s="973"/>
      <c r="HBH106" s="973"/>
      <c r="HBI106" s="973"/>
      <c r="HBJ106" s="973"/>
      <c r="HBK106" s="973"/>
      <c r="HBL106" s="973"/>
      <c r="HBM106" s="973"/>
      <c r="HBN106" s="973"/>
      <c r="HBO106" s="973"/>
      <c r="HBP106" s="973"/>
      <c r="HBQ106" s="973"/>
      <c r="HBR106" s="973"/>
      <c r="HBS106" s="973"/>
      <c r="HBT106" s="973"/>
      <c r="HBU106" s="973"/>
      <c r="HBV106" s="973"/>
      <c r="HBW106" s="973"/>
      <c r="HBX106" s="973"/>
      <c r="HBY106" s="973"/>
      <c r="HBZ106" s="973"/>
      <c r="HCA106" s="973"/>
      <c r="HCB106" s="973"/>
      <c r="HCC106" s="973"/>
      <c r="HCD106" s="973"/>
      <c r="HCE106" s="973"/>
      <c r="HCF106" s="973"/>
      <c r="HCG106" s="973"/>
      <c r="HCH106" s="973"/>
      <c r="HCI106" s="973"/>
      <c r="HCJ106" s="973"/>
      <c r="HCK106" s="973"/>
      <c r="HCL106" s="973"/>
      <c r="HCM106" s="973"/>
      <c r="HCN106" s="973"/>
      <c r="HCO106" s="973"/>
      <c r="HCP106" s="973"/>
      <c r="HCQ106" s="973"/>
      <c r="HCR106" s="973"/>
      <c r="HCS106" s="973"/>
      <c r="HCT106" s="973"/>
      <c r="HCU106" s="973"/>
      <c r="HCV106" s="973"/>
      <c r="HCW106" s="973"/>
      <c r="HCX106" s="973"/>
      <c r="HCY106" s="973"/>
      <c r="HCZ106" s="973"/>
      <c r="HDA106" s="973"/>
      <c r="HDB106" s="973"/>
      <c r="HDC106" s="973"/>
      <c r="HDD106" s="973"/>
      <c r="HDE106" s="973"/>
      <c r="HDF106" s="973"/>
      <c r="HDG106" s="973"/>
      <c r="HDH106" s="973"/>
      <c r="HDI106" s="973"/>
      <c r="HDJ106" s="973"/>
      <c r="HDK106" s="973"/>
      <c r="HDL106" s="973"/>
      <c r="HDM106" s="973"/>
      <c r="HDN106" s="973"/>
      <c r="HDO106" s="973"/>
      <c r="HDP106" s="973"/>
      <c r="HDQ106" s="973"/>
      <c r="HDR106" s="973"/>
      <c r="HDS106" s="973"/>
      <c r="HDT106" s="973"/>
      <c r="HDU106" s="973"/>
      <c r="HDV106" s="973"/>
      <c r="HDW106" s="973"/>
      <c r="HDX106" s="973"/>
      <c r="HDY106" s="973"/>
      <c r="HDZ106" s="973"/>
      <c r="HEA106" s="973"/>
      <c r="HEB106" s="973"/>
      <c r="HEC106" s="973"/>
      <c r="HED106" s="973"/>
      <c r="HEE106" s="973"/>
      <c r="HEF106" s="973"/>
      <c r="HEG106" s="973"/>
      <c r="HEH106" s="973"/>
      <c r="HEI106" s="973"/>
      <c r="HEJ106" s="973"/>
      <c r="HEK106" s="973"/>
      <c r="HEL106" s="973"/>
      <c r="HEM106" s="973"/>
      <c r="HEN106" s="973"/>
      <c r="HEO106" s="973"/>
      <c r="HEP106" s="973"/>
      <c r="HEQ106" s="973"/>
      <c r="HER106" s="973"/>
      <c r="HES106" s="973"/>
      <c r="HET106" s="973"/>
      <c r="HEU106" s="973"/>
      <c r="HEV106" s="973"/>
      <c r="HEW106" s="973"/>
      <c r="HEX106" s="973"/>
      <c r="HEY106" s="973"/>
      <c r="HEZ106" s="973"/>
      <c r="HFA106" s="973"/>
      <c r="HFB106" s="973"/>
      <c r="HFC106" s="973"/>
      <c r="HFD106" s="973"/>
      <c r="HFE106" s="973"/>
      <c r="HFF106" s="973"/>
      <c r="HFG106" s="973"/>
      <c r="HFH106" s="973"/>
      <c r="HFI106" s="973"/>
      <c r="HFJ106" s="973"/>
      <c r="HFK106" s="973"/>
      <c r="HFL106" s="973"/>
      <c r="HFM106" s="973"/>
      <c r="HFN106" s="973"/>
      <c r="HFO106" s="973"/>
      <c r="HFP106" s="973"/>
      <c r="HFQ106" s="973"/>
      <c r="HFR106" s="973"/>
      <c r="HFS106" s="973"/>
      <c r="HFT106" s="973"/>
      <c r="HFU106" s="973"/>
      <c r="HFV106" s="973"/>
      <c r="HFW106" s="973"/>
      <c r="HFX106" s="973"/>
      <c r="HFY106" s="973"/>
      <c r="HFZ106" s="973"/>
      <c r="HGA106" s="973"/>
      <c r="HGB106" s="973"/>
      <c r="HGC106" s="973"/>
      <c r="HGD106" s="973"/>
      <c r="HGE106" s="973"/>
      <c r="HGF106" s="973"/>
      <c r="HGG106" s="973"/>
      <c r="HGH106" s="973"/>
      <c r="HGI106" s="973"/>
      <c r="HGJ106" s="973"/>
      <c r="HGK106" s="973"/>
      <c r="HGL106" s="973"/>
      <c r="HGM106" s="973"/>
      <c r="HGN106" s="973"/>
      <c r="HGO106" s="973"/>
      <c r="HGP106" s="973"/>
      <c r="HGQ106" s="973"/>
      <c r="HGR106" s="973"/>
      <c r="HGS106" s="973"/>
      <c r="HGT106" s="973"/>
      <c r="HGU106" s="973"/>
      <c r="HGV106" s="973"/>
      <c r="HGW106" s="973"/>
      <c r="HGX106" s="973"/>
      <c r="HGY106" s="973"/>
      <c r="HGZ106" s="973"/>
      <c r="HHA106" s="973"/>
      <c r="HHB106" s="973"/>
      <c r="HHC106" s="973"/>
      <c r="HHD106" s="973"/>
      <c r="HHE106" s="973"/>
      <c r="HHF106" s="973"/>
      <c r="HHG106" s="973"/>
      <c r="HHH106" s="973"/>
      <c r="HHI106" s="973"/>
      <c r="HHJ106" s="973"/>
      <c r="HHK106" s="973"/>
      <c r="HHL106" s="973"/>
      <c r="HHM106" s="973"/>
      <c r="HHN106" s="973"/>
      <c r="HHO106" s="973"/>
      <c r="HHP106" s="973"/>
      <c r="HHQ106" s="973"/>
      <c r="HHR106" s="973"/>
      <c r="HHS106" s="973"/>
      <c r="HHT106" s="973"/>
      <c r="HHU106" s="973"/>
      <c r="HHV106" s="973"/>
      <c r="HHW106" s="973"/>
      <c r="HHX106" s="973"/>
      <c r="HHY106" s="973"/>
      <c r="HHZ106" s="973"/>
      <c r="HIA106" s="973"/>
      <c r="HIB106" s="973"/>
      <c r="HIC106" s="973"/>
      <c r="HID106" s="973"/>
      <c r="HIE106" s="973"/>
      <c r="HIF106" s="973"/>
      <c r="HIG106" s="973"/>
      <c r="HIH106" s="973"/>
      <c r="HII106" s="973"/>
      <c r="HIJ106" s="973"/>
      <c r="HIK106" s="973"/>
      <c r="HIL106" s="973"/>
      <c r="HIM106" s="973"/>
      <c r="HIN106" s="973"/>
      <c r="HIO106" s="973"/>
      <c r="HIP106" s="973"/>
      <c r="HIQ106" s="973"/>
      <c r="HIR106" s="973"/>
      <c r="HIS106" s="973"/>
      <c r="HIT106" s="973"/>
      <c r="HIU106" s="973"/>
      <c r="HIV106" s="973"/>
      <c r="HIW106" s="973"/>
      <c r="HIX106" s="973"/>
      <c r="HIY106" s="973"/>
      <c r="HIZ106" s="973"/>
      <c r="HJA106" s="973"/>
      <c r="HJB106" s="973"/>
      <c r="HJC106" s="973"/>
      <c r="HJD106" s="973"/>
      <c r="HJE106" s="973"/>
      <c r="HJF106" s="973"/>
      <c r="HJG106" s="973"/>
      <c r="HJH106" s="973"/>
      <c r="HJI106" s="973"/>
      <c r="HJJ106" s="973"/>
      <c r="HJK106" s="973"/>
      <c r="HJL106" s="973"/>
      <c r="HJM106" s="973"/>
      <c r="HJN106" s="973"/>
      <c r="HJO106" s="973"/>
      <c r="HJP106" s="973"/>
      <c r="HJQ106" s="973"/>
      <c r="HJR106" s="973"/>
      <c r="HJS106" s="973"/>
      <c r="HJT106" s="973"/>
      <c r="HJU106" s="973"/>
      <c r="HJV106" s="973"/>
      <c r="HJW106" s="973"/>
      <c r="HJX106" s="973"/>
      <c r="HJY106" s="973"/>
      <c r="HJZ106" s="973"/>
      <c r="HKA106" s="973"/>
      <c r="HKB106" s="973"/>
      <c r="HKC106" s="973"/>
      <c r="HKD106" s="973"/>
      <c r="HKE106" s="973"/>
      <c r="HKF106" s="973"/>
      <c r="HKG106" s="973"/>
      <c r="HKH106" s="973"/>
      <c r="HKI106" s="973"/>
      <c r="HKJ106" s="973"/>
      <c r="HKK106" s="973"/>
      <c r="HKL106" s="973"/>
      <c r="HKM106" s="973"/>
      <c r="HKN106" s="973"/>
      <c r="HKO106" s="973"/>
      <c r="HKP106" s="973"/>
      <c r="HKQ106" s="973"/>
      <c r="HKR106" s="973"/>
      <c r="HKS106" s="973"/>
      <c r="HKT106" s="973"/>
      <c r="HKU106" s="973"/>
      <c r="HKV106" s="973"/>
      <c r="HKW106" s="973"/>
      <c r="HKX106" s="973"/>
      <c r="HKY106" s="973"/>
      <c r="HKZ106" s="973"/>
      <c r="HLA106" s="973"/>
      <c r="HLB106" s="973"/>
      <c r="HLC106" s="973"/>
      <c r="HLD106" s="973"/>
      <c r="HLE106" s="973"/>
      <c r="HLF106" s="973"/>
      <c r="HLG106" s="973"/>
      <c r="HLH106" s="973"/>
      <c r="HLI106" s="973"/>
      <c r="HLJ106" s="973"/>
      <c r="HLK106" s="973"/>
      <c r="HLL106" s="973"/>
      <c r="HLM106" s="973"/>
      <c r="HLN106" s="973"/>
      <c r="HLO106" s="973"/>
      <c r="HLP106" s="973"/>
      <c r="HLQ106" s="973"/>
      <c r="HLR106" s="973"/>
      <c r="HLS106" s="973"/>
      <c r="HLT106" s="973"/>
      <c r="HLU106" s="973"/>
      <c r="HLV106" s="973"/>
      <c r="HLW106" s="973"/>
      <c r="HLX106" s="973"/>
      <c r="HLY106" s="973"/>
      <c r="HLZ106" s="973"/>
      <c r="HMA106" s="973"/>
      <c r="HMB106" s="973"/>
      <c r="HMC106" s="973"/>
      <c r="HMD106" s="973"/>
      <c r="HME106" s="973"/>
      <c r="HMF106" s="973"/>
      <c r="HMG106" s="973"/>
      <c r="HMH106" s="973"/>
      <c r="HMI106" s="973"/>
      <c r="HMJ106" s="973"/>
      <c r="HMK106" s="973"/>
      <c r="HML106" s="973"/>
      <c r="HMM106" s="973"/>
      <c r="HMN106" s="973"/>
      <c r="HMO106" s="973"/>
      <c r="HMP106" s="973"/>
      <c r="HMQ106" s="973"/>
      <c r="HMR106" s="973"/>
      <c r="HMS106" s="973"/>
      <c r="HMT106" s="973"/>
      <c r="HMU106" s="973"/>
      <c r="HMV106" s="973"/>
      <c r="HMW106" s="973"/>
      <c r="HMX106" s="973"/>
      <c r="HMY106" s="973"/>
      <c r="HMZ106" s="973"/>
      <c r="HNA106" s="973"/>
      <c r="HNB106" s="973"/>
      <c r="HNC106" s="973"/>
      <c r="HND106" s="973"/>
      <c r="HNE106" s="973"/>
      <c r="HNF106" s="973"/>
      <c r="HNG106" s="973"/>
      <c r="HNH106" s="973"/>
      <c r="HNI106" s="973"/>
      <c r="HNJ106" s="973"/>
      <c r="HNK106" s="973"/>
      <c r="HNL106" s="973"/>
      <c r="HNM106" s="973"/>
      <c r="HNN106" s="973"/>
      <c r="HNO106" s="973"/>
      <c r="HNP106" s="973"/>
      <c r="HNQ106" s="973"/>
      <c r="HNR106" s="973"/>
      <c r="HNS106" s="973"/>
      <c r="HNT106" s="973"/>
      <c r="HNU106" s="973"/>
      <c r="HNV106" s="973"/>
      <c r="HNW106" s="973"/>
      <c r="HNX106" s="973"/>
      <c r="HNY106" s="973"/>
      <c r="HNZ106" s="973"/>
      <c r="HOA106" s="973"/>
      <c r="HOB106" s="973"/>
      <c r="HOC106" s="973"/>
      <c r="HOD106" s="973"/>
      <c r="HOE106" s="973"/>
      <c r="HOF106" s="973"/>
      <c r="HOG106" s="973"/>
      <c r="HOH106" s="973"/>
      <c r="HOI106" s="973"/>
      <c r="HOJ106" s="973"/>
      <c r="HOK106" s="973"/>
      <c r="HOL106" s="973"/>
      <c r="HOM106" s="973"/>
      <c r="HON106" s="973"/>
      <c r="HOO106" s="973"/>
      <c r="HOP106" s="973"/>
      <c r="HOQ106" s="973"/>
      <c r="HOR106" s="973"/>
      <c r="HOS106" s="973"/>
      <c r="HOT106" s="973"/>
      <c r="HOU106" s="973"/>
      <c r="HOV106" s="973"/>
      <c r="HOW106" s="973"/>
      <c r="HOX106" s="973"/>
      <c r="HOY106" s="973"/>
      <c r="HOZ106" s="973"/>
      <c r="HPA106" s="973"/>
      <c r="HPB106" s="973"/>
      <c r="HPC106" s="973"/>
      <c r="HPD106" s="973"/>
      <c r="HPE106" s="973"/>
      <c r="HPF106" s="973"/>
      <c r="HPG106" s="973"/>
      <c r="HPH106" s="973"/>
      <c r="HPI106" s="973"/>
      <c r="HPJ106" s="973"/>
      <c r="HPK106" s="973"/>
      <c r="HPL106" s="973"/>
      <c r="HPM106" s="973"/>
      <c r="HPN106" s="973"/>
      <c r="HPO106" s="973"/>
      <c r="HPP106" s="973"/>
      <c r="HPQ106" s="973"/>
      <c r="HPR106" s="973"/>
      <c r="HPS106" s="973"/>
      <c r="HPT106" s="973"/>
      <c r="HPU106" s="973"/>
      <c r="HPV106" s="973"/>
      <c r="HPW106" s="973"/>
      <c r="HPX106" s="973"/>
      <c r="HPY106" s="973"/>
      <c r="HPZ106" s="973"/>
      <c r="HQA106" s="973"/>
      <c r="HQB106" s="973"/>
      <c r="HQC106" s="973"/>
      <c r="HQD106" s="973"/>
      <c r="HQE106" s="973"/>
      <c r="HQF106" s="973"/>
      <c r="HQG106" s="973"/>
      <c r="HQH106" s="973"/>
      <c r="HQI106" s="973"/>
      <c r="HQJ106" s="973"/>
      <c r="HQK106" s="973"/>
      <c r="HQL106" s="973"/>
      <c r="HQM106" s="973"/>
      <c r="HQN106" s="973"/>
      <c r="HQO106" s="973"/>
      <c r="HQP106" s="973"/>
      <c r="HQQ106" s="973"/>
      <c r="HQR106" s="973"/>
      <c r="HQS106" s="973"/>
      <c r="HQT106" s="973"/>
      <c r="HQU106" s="973"/>
      <c r="HQV106" s="973"/>
      <c r="HQW106" s="973"/>
      <c r="HQX106" s="973"/>
      <c r="HQY106" s="973"/>
      <c r="HQZ106" s="973"/>
      <c r="HRA106" s="973"/>
      <c r="HRB106" s="973"/>
      <c r="HRC106" s="973"/>
      <c r="HRD106" s="973"/>
      <c r="HRE106" s="973"/>
      <c r="HRF106" s="973"/>
      <c r="HRG106" s="973"/>
      <c r="HRH106" s="973"/>
      <c r="HRI106" s="973"/>
      <c r="HRJ106" s="973"/>
      <c r="HRK106" s="973"/>
      <c r="HRL106" s="973"/>
      <c r="HRM106" s="973"/>
      <c r="HRN106" s="973"/>
      <c r="HRO106" s="973"/>
      <c r="HRP106" s="973"/>
      <c r="HRQ106" s="973"/>
      <c r="HRR106" s="973"/>
      <c r="HRS106" s="973"/>
      <c r="HRT106" s="973"/>
      <c r="HRU106" s="973"/>
      <c r="HRV106" s="973"/>
      <c r="HRW106" s="973"/>
      <c r="HRX106" s="973"/>
      <c r="HRY106" s="973"/>
      <c r="HRZ106" s="973"/>
      <c r="HSA106" s="973"/>
      <c r="HSB106" s="973"/>
      <c r="HSC106" s="973"/>
      <c r="HSD106" s="973"/>
      <c r="HSE106" s="973"/>
      <c r="HSF106" s="973"/>
      <c r="HSG106" s="973"/>
      <c r="HSH106" s="973"/>
      <c r="HSI106" s="973"/>
      <c r="HSJ106" s="973"/>
      <c r="HSK106" s="973"/>
      <c r="HSL106" s="973"/>
      <c r="HSM106" s="973"/>
      <c r="HSN106" s="973"/>
      <c r="HSO106" s="973"/>
      <c r="HSP106" s="973"/>
      <c r="HSQ106" s="973"/>
      <c r="HSR106" s="973"/>
      <c r="HSS106" s="973"/>
      <c r="HST106" s="973"/>
      <c r="HSU106" s="973"/>
      <c r="HSV106" s="973"/>
      <c r="HSW106" s="973"/>
      <c r="HSX106" s="973"/>
      <c r="HSY106" s="973"/>
      <c r="HSZ106" s="973"/>
      <c r="HTA106" s="973"/>
      <c r="HTB106" s="973"/>
      <c r="HTC106" s="973"/>
      <c r="HTD106" s="973"/>
      <c r="HTE106" s="973"/>
      <c r="HTF106" s="973"/>
      <c r="HTG106" s="973"/>
      <c r="HTH106" s="973"/>
      <c r="HTI106" s="973"/>
      <c r="HTJ106" s="973"/>
      <c r="HTK106" s="973"/>
      <c r="HTL106" s="973"/>
      <c r="HTM106" s="973"/>
      <c r="HTN106" s="973"/>
      <c r="HTO106" s="973"/>
      <c r="HTP106" s="973"/>
      <c r="HTQ106" s="973"/>
      <c r="HTR106" s="973"/>
      <c r="HTS106" s="973"/>
      <c r="HTT106" s="973"/>
      <c r="HTU106" s="973"/>
      <c r="HTV106" s="973"/>
      <c r="HTW106" s="973"/>
      <c r="HTX106" s="973"/>
      <c r="HTY106" s="973"/>
      <c r="HTZ106" s="973"/>
      <c r="HUA106" s="973"/>
      <c r="HUB106" s="973"/>
      <c r="HUC106" s="973"/>
      <c r="HUD106" s="973"/>
      <c r="HUE106" s="973"/>
      <c r="HUF106" s="973"/>
      <c r="HUG106" s="973"/>
      <c r="HUH106" s="973"/>
      <c r="HUI106" s="973"/>
      <c r="HUJ106" s="973"/>
      <c r="HUK106" s="973"/>
      <c r="HUL106" s="973"/>
      <c r="HUM106" s="973"/>
      <c r="HUN106" s="973"/>
      <c r="HUO106" s="973"/>
      <c r="HUP106" s="973"/>
      <c r="HUQ106" s="973"/>
      <c r="HUR106" s="973"/>
      <c r="HUS106" s="973"/>
      <c r="HUT106" s="973"/>
      <c r="HUU106" s="973"/>
      <c r="HUV106" s="973"/>
      <c r="HUW106" s="973"/>
      <c r="HUX106" s="973"/>
      <c r="HUY106" s="973"/>
      <c r="HUZ106" s="973"/>
      <c r="HVA106" s="973"/>
      <c r="HVB106" s="973"/>
      <c r="HVC106" s="973"/>
      <c r="HVD106" s="973"/>
      <c r="HVE106" s="973"/>
      <c r="HVF106" s="973"/>
      <c r="HVG106" s="973"/>
      <c r="HVH106" s="973"/>
      <c r="HVI106" s="973"/>
      <c r="HVJ106" s="973"/>
      <c r="HVK106" s="973"/>
      <c r="HVL106" s="973"/>
      <c r="HVM106" s="973"/>
      <c r="HVN106" s="973"/>
      <c r="HVO106" s="973"/>
      <c r="HVP106" s="973"/>
      <c r="HVQ106" s="973"/>
      <c r="HVR106" s="973"/>
      <c r="HVS106" s="973"/>
      <c r="HVT106" s="973"/>
      <c r="HVU106" s="973"/>
      <c r="HVV106" s="973"/>
      <c r="HVW106" s="973"/>
      <c r="HVX106" s="973"/>
      <c r="HVY106" s="973"/>
      <c r="HVZ106" s="973"/>
      <c r="HWA106" s="973"/>
      <c r="HWB106" s="973"/>
      <c r="HWC106" s="973"/>
      <c r="HWD106" s="973"/>
      <c r="HWE106" s="973"/>
      <c r="HWF106" s="973"/>
      <c r="HWG106" s="973"/>
      <c r="HWH106" s="973"/>
      <c r="HWI106" s="973"/>
      <c r="HWJ106" s="973"/>
      <c r="HWK106" s="973"/>
      <c r="HWL106" s="973"/>
      <c r="HWM106" s="973"/>
      <c r="HWN106" s="973"/>
      <c r="HWO106" s="973"/>
      <c r="HWP106" s="973"/>
      <c r="HWQ106" s="973"/>
      <c r="HWR106" s="973"/>
      <c r="HWS106" s="973"/>
      <c r="HWT106" s="973"/>
      <c r="HWU106" s="973"/>
      <c r="HWV106" s="973"/>
      <c r="HWW106" s="973"/>
      <c r="HWX106" s="973"/>
      <c r="HWY106" s="973"/>
      <c r="HWZ106" s="973"/>
      <c r="HXA106" s="973"/>
      <c r="HXB106" s="973"/>
      <c r="HXC106" s="973"/>
      <c r="HXD106" s="973"/>
      <c r="HXE106" s="973"/>
      <c r="HXF106" s="973"/>
      <c r="HXG106" s="973"/>
      <c r="HXH106" s="973"/>
      <c r="HXI106" s="973"/>
      <c r="HXJ106" s="973"/>
      <c r="HXK106" s="973"/>
      <c r="HXL106" s="973"/>
      <c r="HXM106" s="973"/>
      <c r="HXN106" s="973"/>
      <c r="HXO106" s="973"/>
      <c r="HXP106" s="973"/>
      <c r="HXQ106" s="973"/>
      <c r="HXR106" s="973"/>
      <c r="HXS106" s="973"/>
      <c r="HXT106" s="973"/>
      <c r="HXU106" s="973"/>
      <c r="HXV106" s="973"/>
      <c r="HXW106" s="973"/>
      <c r="HXX106" s="973"/>
      <c r="HXY106" s="973"/>
      <c r="HXZ106" s="973"/>
      <c r="HYA106" s="973"/>
      <c r="HYB106" s="973"/>
      <c r="HYC106" s="973"/>
      <c r="HYD106" s="973"/>
      <c r="HYE106" s="973"/>
      <c r="HYF106" s="973"/>
      <c r="HYG106" s="973"/>
      <c r="HYH106" s="973"/>
      <c r="HYI106" s="973"/>
      <c r="HYJ106" s="973"/>
      <c r="HYK106" s="973"/>
      <c r="HYL106" s="973"/>
      <c r="HYM106" s="973"/>
      <c r="HYN106" s="973"/>
      <c r="HYO106" s="973"/>
      <c r="HYP106" s="973"/>
      <c r="HYQ106" s="973"/>
      <c r="HYR106" s="973"/>
      <c r="HYS106" s="973"/>
      <c r="HYT106" s="973"/>
      <c r="HYU106" s="973"/>
      <c r="HYV106" s="973"/>
      <c r="HYW106" s="973"/>
      <c r="HYX106" s="973"/>
      <c r="HYY106" s="973"/>
      <c r="HYZ106" s="973"/>
      <c r="HZA106" s="973"/>
      <c r="HZB106" s="973"/>
      <c r="HZC106" s="973"/>
      <c r="HZD106" s="973"/>
      <c r="HZE106" s="973"/>
      <c r="HZF106" s="973"/>
      <c r="HZG106" s="973"/>
      <c r="HZH106" s="973"/>
      <c r="HZI106" s="973"/>
      <c r="HZJ106" s="973"/>
      <c r="HZK106" s="973"/>
      <c r="HZL106" s="973"/>
      <c r="HZM106" s="973"/>
      <c r="HZN106" s="973"/>
      <c r="HZO106" s="973"/>
      <c r="HZP106" s="973"/>
      <c r="HZQ106" s="973"/>
      <c r="HZR106" s="973"/>
      <c r="HZS106" s="973"/>
      <c r="HZT106" s="973"/>
      <c r="HZU106" s="973"/>
      <c r="HZV106" s="973"/>
      <c r="HZW106" s="973"/>
      <c r="HZX106" s="973"/>
      <c r="HZY106" s="973"/>
      <c r="HZZ106" s="973"/>
      <c r="IAA106" s="973"/>
      <c r="IAB106" s="973"/>
      <c r="IAC106" s="973"/>
      <c r="IAD106" s="973"/>
      <c r="IAE106" s="973"/>
      <c r="IAF106" s="973"/>
      <c r="IAG106" s="973"/>
      <c r="IAH106" s="973"/>
      <c r="IAI106" s="973"/>
      <c r="IAJ106" s="973"/>
      <c r="IAK106" s="973"/>
      <c r="IAL106" s="973"/>
      <c r="IAM106" s="973"/>
      <c r="IAN106" s="973"/>
      <c r="IAO106" s="973"/>
      <c r="IAP106" s="973"/>
      <c r="IAQ106" s="973"/>
      <c r="IAR106" s="973"/>
      <c r="IAS106" s="973"/>
      <c r="IAT106" s="973"/>
      <c r="IAU106" s="973"/>
      <c r="IAV106" s="973"/>
      <c r="IAW106" s="973"/>
      <c r="IAX106" s="973"/>
      <c r="IAY106" s="973"/>
      <c r="IAZ106" s="973"/>
      <c r="IBA106" s="973"/>
      <c r="IBB106" s="973"/>
      <c r="IBC106" s="973"/>
      <c r="IBD106" s="973"/>
      <c r="IBE106" s="973"/>
      <c r="IBF106" s="973"/>
      <c r="IBG106" s="973"/>
      <c r="IBH106" s="973"/>
      <c r="IBI106" s="973"/>
      <c r="IBJ106" s="973"/>
      <c r="IBK106" s="973"/>
      <c r="IBL106" s="973"/>
      <c r="IBM106" s="973"/>
      <c r="IBN106" s="973"/>
      <c r="IBO106" s="973"/>
      <c r="IBP106" s="973"/>
      <c r="IBQ106" s="973"/>
      <c r="IBR106" s="973"/>
      <c r="IBS106" s="973"/>
      <c r="IBT106" s="973"/>
      <c r="IBU106" s="973"/>
      <c r="IBV106" s="973"/>
      <c r="IBW106" s="973"/>
      <c r="IBX106" s="973"/>
      <c r="IBY106" s="973"/>
      <c r="IBZ106" s="973"/>
      <c r="ICA106" s="973"/>
      <c r="ICB106" s="973"/>
      <c r="ICC106" s="973"/>
      <c r="ICD106" s="973"/>
      <c r="ICE106" s="973"/>
      <c r="ICF106" s="973"/>
      <c r="ICG106" s="973"/>
      <c r="ICH106" s="973"/>
      <c r="ICI106" s="973"/>
      <c r="ICJ106" s="973"/>
      <c r="ICK106" s="973"/>
      <c r="ICL106" s="973"/>
      <c r="ICM106" s="973"/>
      <c r="ICN106" s="973"/>
      <c r="ICO106" s="973"/>
      <c r="ICP106" s="973"/>
      <c r="ICQ106" s="973"/>
      <c r="ICR106" s="973"/>
      <c r="ICS106" s="973"/>
      <c r="ICT106" s="973"/>
      <c r="ICU106" s="973"/>
      <c r="ICV106" s="973"/>
      <c r="ICW106" s="973"/>
      <c r="ICX106" s="973"/>
      <c r="ICY106" s="973"/>
      <c r="ICZ106" s="973"/>
      <c r="IDA106" s="973"/>
      <c r="IDB106" s="973"/>
      <c r="IDC106" s="973"/>
      <c r="IDD106" s="973"/>
      <c r="IDE106" s="973"/>
      <c r="IDF106" s="973"/>
      <c r="IDG106" s="973"/>
      <c r="IDH106" s="973"/>
      <c r="IDI106" s="973"/>
      <c r="IDJ106" s="973"/>
      <c r="IDK106" s="973"/>
      <c r="IDL106" s="973"/>
      <c r="IDM106" s="973"/>
      <c r="IDN106" s="973"/>
      <c r="IDO106" s="973"/>
      <c r="IDP106" s="973"/>
      <c r="IDQ106" s="973"/>
      <c r="IDR106" s="973"/>
      <c r="IDS106" s="973"/>
      <c r="IDT106" s="973"/>
      <c r="IDU106" s="973"/>
      <c r="IDV106" s="973"/>
      <c r="IDW106" s="973"/>
      <c r="IDX106" s="973"/>
      <c r="IDY106" s="973"/>
      <c r="IDZ106" s="973"/>
      <c r="IEA106" s="973"/>
      <c r="IEB106" s="973"/>
      <c r="IEC106" s="973"/>
      <c r="IED106" s="973"/>
      <c r="IEE106" s="973"/>
      <c r="IEF106" s="973"/>
      <c r="IEG106" s="973"/>
      <c r="IEH106" s="973"/>
      <c r="IEI106" s="973"/>
      <c r="IEJ106" s="973"/>
      <c r="IEK106" s="973"/>
      <c r="IEL106" s="973"/>
      <c r="IEM106" s="973"/>
      <c r="IEN106" s="973"/>
      <c r="IEO106" s="973"/>
      <c r="IEP106" s="973"/>
      <c r="IEQ106" s="973"/>
      <c r="IER106" s="973"/>
      <c r="IES106" s="973"/>
      <c r="IET106" s="973"/>
      <c r="IEU106" s="973"/>
      <c r="IEV106" s="973"/>
      <c r="IEW106" s="973"/>
      <c r="IEX106" s="973"/>
      <c r="IEY106" s="973"/>
      <c r="IEZ106" s="973"/>
      <c r="IFA106" s="973"/>
      <c r="IFB106" s="973"/>
      <c r="IFC106" s="973"/>
      <c r="IFD106" s="973"/>
      <c r="IFE106" s="973"/>
      <c r="IFF106" s="973"/>
      <c r="IFG106" s="973"/>
      <c r="IFH106" s="973"/>
      <c r="IFI106" s="973"/>
      <c r="IFJ106" s="973"/>
      <c r="IFK106" s="973"/>
      <c r="IFL106" s="973"/>
      <c r="IFM106" s="973"/>
      <c r="IFN106" s="973"/>
      <c r="IFO106" s="973"/>
      <c r="IFP106" s="973"/>
      <c r="IFQ106" s="973"/>
      <c r="IFR106" s="973"/>
      <c r="IFS106" s="973"/>
      <c r="IFT106" s="973"/>
      <c r="IFU106" s="973"/>
      <c r="IFV106" s="973"/>
      <c r="IFW106" s="973"/>
      <c r="IFX106" s="973"/>
      <c r="IFY106" s="973"/>
      <c r="IFZ106" s="973"/>
      <c r="IGA106" s="973"/>
      <c r="IGB106" s="973"/>
      <c r="IGC106" s="973"/>
      <c r="IGD106" s="973"/>
      <c r="IGE106" s="973"/>
      <c r="IGF106" s="973"/>
      <c r="IGG106" s="973"/>
      <c r="IGH106" s="973"/>
      <c r="IGI106" s="973"/>
      <c r="IGJ106" s="973"/>
      <c r="IGK106" s="973"/>
      <c r="IGL106" s="973"/>
      <c r="IGM106" s="973"/>
      <c r="IGN106" s="973"/>
      <c r="IGO106" s="973"/>
      <c r="IGP106" s="973"/>
      <c r="IGQ106" s="973"/>
      <c r="IGR106" s="973"/>
      <c r="IGS106" s="973"/>
      <c r="IGT106" s="973"/>
      <c r="IGU106" s="973"/>
      <c r="IGV106" s="973"/>
      <c r="IGW106" s="973"/>
      <c r="IGX106" s="973"/>
      <c r="IGY106" s="973"/>
      <c r="IGZ106" s="973"/>
      <c r="IHA106" s="973"/>
      <c r="IHB106" s="973"/>
      <c r="IHC106" s="973"/>
      <c r="IHD106" s="973"/>
      <c r="IHE106" s="973"/>
      <c r="IHF106" s="973"/>
      <c r="IHG106" s="973"/>
      <c r="IHH106" s="973"/>
      <c r="IHI106" s="973"/>
      <c r="IHJ106" s="973"/>
      <c r="IHK106" s="973"/>
      <c r="IHL106" s="973"/>
      <c r="IHM106" s="973"/>
      <c r="IHN106" s="973"/>
      <c r="IHO106" s="973"/>
      <c r="IHP106" s="973"/>
      <c r="IHQ106" s="973"/>
      <c r="IHR106" s="973"/>
      <c r="IHS106" s="973"/>
      <c r="IHT106" s="973"/>
      <c r="IHU106" s="973"/>
      <c r="IHV106" s="973"/>
      <c r="IHW106" s="973"/>
      <c r="IHX106" s="973"/>
      <c r="IHY106" s="973"/>
      <c r="IHZ106" s="973"/>
      <c r="IIA106" s="973"/>
      <c r="IIB106" s="973"/>
      <c r="IIC106" s="973"/>
      <c r="IID106" s="973"/>
      <c r="IIE106" s="973"/>
      <c r="IIF106" s="973"/>
      <c r="IIG106" s="973"/>
      <c r="IIH106" s="973"/>
      <c r="III106" s="973"/>
      <c r="IIJ106" s="973"/>
      <c r="IIK106" s="973"/>
      <c r="IIL106" s="973"/>
      <c r="IIM106" s="973"/>
      <c r="IIN106" s="973"/>
      <c r="IIO106" s="973"/>
      <c r="IIP106" s="973"/>
      <c r="IIQ106" s="973"/>
      <c r="IIR106" s="973"/>
      <c r="IIS106" s="973"/>
      <c r="IIT106" s="973"/>
      <c r="IIU106" s="973"/>
      <c r="IIV106" s="973"/>
      <c r="IIW106" s="973"/>
      <c r="IIX106" s="973"/>
      <c r="IIY106" s="973"/>
      <c r="IIZ106" s="973"/>
      <c r="IJA106" s="973"/>
      <c r="IJB106" s="973"/>
      <c r="IJC106" s="973"/>
      <c r="IJD106" s="973"/>
      <c r="IJE106" s="973"/>
      <c r="IJF106" s="973"/>
      <c r="IJG106" s="973"/>
      <c r="IJH106" s="973"/>
      <c r="IJI106" s="973"/>
      <c r="IJJ106" s="973"/>
      <c r="IJK106" s="973"/>
      <c r="IJL106" s="973"/>
      <c r="IJM106" s="973"/>
      <c r="IJN106" s="973"/>
      <c r="IJO106" s="973"/>
      <c r="IJP106" s="973"/>
      <c r="IJQ106" s="973"/>
      <c r="IJR106" s="973"/>
      <c r="IJS106" s="973"/>
      <c r="IJT106" s="973"/>
      <c r="IJU106" s="973"/>
      <c r="IJV106" s="973"/>
      <c r="IJW106" s="973"/>
      <c r="IJX106" s="973"/>
      <c r="IJY106" s="973"/>
      <c r="IJZ106" s="973"/>
      <c r="IKA106" s="973"/>
      <c r="IKB106" s="973"/>
      <c r="IKC106" s="973"/>
      <c r="IKD106" s="973"/>
      <c r="IKE106" s="973"/>
      <c r="IKF106" s="973"/>
      <c r="IKG106" s="973"/>
      <c r="IKH106" s="973"/>
      <c r="IKI106" s="973"/>
      <c r="IKJ106" s="973"/>
      <c r="IKK106" s="973"/>
      <c r="IKL106" s="973"/>
      <c r="IKM106" s="973"/>
      <c r="IKN106" s="973"/>
      <c r="IKO106" s="973"/>
      <c r="IKP106" s="973"/>
      <c r="IKQ106" s="973"/>
      <c r="IKR106" s="973"/>
      <c r="IKS106" s="973"/>
      <c r="IKT106" s="973"/>
      <c r="IKU106" s="973"/>
      <c r="IKV106" s="973"/>
      <c r="IKW106" s="973"/>
      <c r="IKX106" s="973"/>
      <c r="IKY106" s="973"/>
      <c r="IKZ106" s="973"/>
      <c r="ILA106" s="973"/>
      <c r="ILB106" s="973"/>
      <c r="ILC106" s="973"/>
      <c r="ILD106" s="973"/>
      <c r="ILE106" s="973"/>
      <c r="ILF106" s="973"/>
      <c r="ILG106" s="973"/>
      <c r="ILH106" s="973"/>
      <c r="ILI106" s="973"/>
      <c r="ILJ106" s="973"/>
      <c r="ILK106" s="973"/>
      <c r="ILL106" s="973"/>
      <c r="ILM106" s="973"/>
      <c r="ILN106" s="973"/>
      <c r="ILO106" s="973"/>
      <c r="ILP106" s="973"/>
      <c r="ILQ106" s="973"/>
      <c r="ILR106" s="973"/>
      <c r="ILS106" s="973"/>
      <c r="ILT106" s="973"/>
      <c r="ILU106" s="973"/>
      <c r="ILV106" s="973"/>
      <c r="ILW106" s="973"/>
      <c r="ILX106" s="973"/>
      <c r="ILY106" s="973"/>
      <c r="ILZ106" s="973"/>
      <c r="IMA106" s="973"/>
      <c r="IMB106" s="973"/>
      <c r="IMC106" s="973"/>
      <c r="IMD106" s="973"/>
      <c r="IME106" s="973"/>
      <c r="IMF106" s="973"/>
      <c r="IMG106" s="973"/>
      <c r="IMH106" s="973"/>
      <c r="IMI106" s="973"/>
      <c r="IMJ106" s="973"/>
      <c r="IMK106" s="973"/>
      <c r="IML106" s="973"/>
      <c r="IMM106" s="973"/>
      <c r="IMN106" s="973"/>
      <c r="IMO106" s="973"/>
      <c r="IMP106" s="973"/>
      <c r="IMQ106" s="973"/>
      <c r="IMR106" s="973"/>
      <c r="IMS106" s="973"/>
      <c r="IMT106" s="973"/>
      <c r="IMU106" s="973"/>
      <c r="IMV106" s="973"/>
      <c r="IMW106" s="973"/>
      <c r="IMX106" s="973"/>
      <c r="IMY106" s="973"/>
      <c r="IMZ106" s="973"/>
      <c r="INA106" s="973"/>
      <c r="INB106" s="973"/>
      <c r="INC106" s="973"/>
      <c r="IND106" s="973"/>
      <c r="INE106" s="973"/>
      <c r="INF106" s="973"/>
      <c r="ING106" s="973"/>
      <c r="INH106" s="973"/>
      <c r="INI106" s="973"/>
      <c r="INJ106" s="973"/>
      <c r="INK106" s="973"/>
      <c r="INL106" s="973"/>
      <c r="INM106" s="973"/>
      <c r="INN106" s="973"/>
      <c r="INO106" s="973"/>
      <c r="INP106" s="973"/>
      <c r="INQ106" s="973"/>
      <c r="INR106" s="973"/>
      <c r="INS106" s="973"/>
      <c r="INT106" s="973"/>
      <c r="INU106" s="973"/>
      <c r="INV106" s="973"/>
      <c r="INW106" s="973"/>
      <c r="INX106" s="973"/>
      <c r="INY106" s="973"/>
      <c r="INZ106" s="973"/>
      <c r="IOA106" s="973"/>
      <c r="IOB106" s="973"/>
      <c r="IOC106" s="973"/>
      <c r="IOD106" s="973"/>
      <c r="IOE106" s="973"/>
      <c r="IOF106" s="973"/>
      <c r="IOG106" s="973"/>
      <c r="IOH106" s="973"/>
      <c r="IOI106" s="973"/>
      <c r="IOJ106" s="973"/>
      <c r="IOK106" s="973"/>
      <c r="IOL106" s="973"/>
      <c r="IOM106" s="973"/>
      <c r="ION106" s="973"/>
      <c r="IOO106" s="973"/>
      <c r="IOP106" s="973"/>
      <c r="IOQ106" s="973"/>
      <c r="IOR106" s="973"/>
      <c r="IOS106" s="973"/>
      <c r="IOT106" s="973"/>
      <c r="IOU106" s="973"/>
      <c r="IOV106" s="973"/>
      <c r="IOW106" s="973"/>
      <c r="IOX106" s="973"/>
      <c r="IOY106" s="973"/>
      <c r="IOZ106" s="973"/>
      <c r="IPA106" s="973"/>
      <c r="IPB106" s="973"/>
      <c r="IPC106" s="973"/>
      <c r="IPD106" s="973"/>
      <c r="IPE106" s="973"/>
      <c r="IPF106" s="973"/>
      <c r="IPG106" s="973"/>
      <c r="IPH106" s="973"/>
      <c r="IPI106" s="973"/>
      <c r="IPJ106" s="973"/>
      <c r="IPK106" s="973"/>
      <c r="IPL106" s="973"/>
      <c r="IPM106" s="973"/>
      <c r="IPN106" s="973"/>
      <c r="IPO106" s="973"/>
      <c r="IPP106" s="973"/>
      <c r="IPQ106" s="973"/>
      <c r="IPR106" s="973"/>
      <c r="IPS106" s="973"/>
      <c r="IPT106" s="973"/>
      <c r="IPU106" s="973"/>
      <c r="IPV106" s="973"/>
      <c r="IPW106" s="973"/>
      <c r="IPX106" s="973"/>
      <c r="IPY106" s="973"/>
      <c r="IPZ106" s="973"/>
      <c r="IQA106" s="973"/>
      <c r="IQB106" s="973"/>
      <c r="IQC106" s="973"/>
      <c r="IQD106" s="973"/>
      <c r="IQE106" s="973"/>
      <c r="IQF106" s="973"/>
      <c r="IQG106" s="973"/>
      <c r="IQH106" s="973"/>
      <c r="IQI106" s="973"/>
      <c r="IQJ106" s="973"/>
      <c r="IQK106" s="973"/>
      <c r="IQL106" s="973"/>
      <c r="IQM106" s="973"/>
      <c r="IQN106" s="973"/>
      <c r="IQO106" s="973"/>
      <c r="IQP106" s="973"/>
      <c r="IQQ106" s="973"/>
      <c r="IQR106" s="973"/>
      <c r="IQS106" s="973"/>
      <c r="IQT106" s="973"/>
      <c r="IQU106" s="973"/>
      <c r="IQV106" s="973"/>
      <c r="IQW106" s="973"/>
      <c r="IQX106" s="973"/>
      <c r="IQY106" s="973"/>
      <c r="IQZ106" s="973"/>
      <c r="IRA106" s="973"/>
      <c r="IRB106" s="973"/>
      <c r="IRC106" s="973"/>
      <c r="IRD106" s="973"/>
      <c r="IRE106" s="973"/>
      <c r="IRF106" s="973"/>
      <c r="IRG106" s="973"/>
      <c r="IRH106" s="973"/>
      <c r="IRI106" s="973"/>
      <c r="IRJ106" s="973"/>
      <c r="IRK106" s="973"/>
      <c r="IRL106" s="973"/>
      <c r="IRM106" s="973"/>
      <c r="IRN106" s="973"/>
      <c r="IRO106" s="973"/>
      <c r="IRP106" s="973"/>
      <c r="IRQ106" s="973"/>
      <c r="IRR106" s="973"/>
      <c r="IRS106" s="973"/>
      <c r="IRT106" s="973"/>
      <c r="IRU106" s="973"/>
      <c r="IRV106" s="973"/>
      <c r="IRW106" s="973"/>
      <c r="IRX106" s="973"/>
      <c r="IRY106" s="973"/>
      <c r="IRZ106" s="973"/>
      <c r="ISA106" s="973"/>
      <c r="ISB106" s="973"/>
      <c r="ISC106" s="973"/>
      <c r="ISD106" s="973"/>
      <c r="ISE106" s="973"/>
      <c r="ISF106" s="973"/>
      <c r="ISG106" s="973"/>
      <c r="ISH106" s="973"/>
      <c r="ISI106" s="973"/>
      <c r="ISJ106" s="973"/>
      <c r="ISK106" s="973"/>
      <c r="ISL106" s="973"/>
      <c r="ISM106" s="973"/>
      <c r="ISN106" s="973"/>
      <c r="ISO106" s="973"/>
      <c r="ISP106" s="973"/>
      <c r="ISQ106" s="973"/>
      <c r="ISR106" s="973"/>
      <c r="ISS106" s="973"/>
      <c r="IST106" s="973"/>
      <c r="ISU106" s="973"/>
      <c r="ISV106" s="973"/>
      <c r="ISW106" s="973"/>
      <c r="ISX106" s="973"/>
      <c r="ISY106" s="973"/>
      <c r="ISZ106" s="973"/>
      <c r="ITA106" s="973"/>
      <c r="ITB106" s="973"/>
      <c r="ITC106" s="973"/>
      <c r="ITD106" s="973"/>
      <c r="ITE106" s="973"/>
      <c r="ITF106" s="973"/>
      <c r="ITG106" s="973"/>
      <c r="ITH106" s="973"/>
      <c r="ITI106" s="973"/>
      <c r="ITJ106" s="973"/>
      <c r="ITK106" s="973"/>
      <c r="ITL106" s="973"/>
      <c r="ITM106" s="973"/>
      <c r="ITN106" s="973"/>
      <c r="ITO106" s="973"/>
      <c r="ITP106" s="973"/>
      <c r="ITQ106" s="973"/>
      <c r="ITR106" s="973"/>
      <c r="ITS106" s="973"/>
      <c r="ITT106" s="973"/>
      <c r="ITU106" s="973"/>
      <c r="ITV106" s="973"/>
      <c r="ITW106" s="973"/>
      <c r="ITX106" s="973"/>
      <c r="ITY106" s="973"/>
      <c r="ITZ106" s="973"/>
      <c r="IUA106" s="973"/>
      <c r="IUB106" s="973"/>
      <c r="IUC106" s="973"/>
      <c r="IUD106" s="973"/>
      <c r="IUE106" s="973"/>
      <c r="IUF106" s="973"/>
      <c r="IUG106" s="973"/>
      <c r="IUH106" s="973"/>
      <c r="IUI106" s="973"/>
      <c r="IUJ106" s="973"/>
      <c r="IUK106" s="973"/>
      <c r="IUL106" s="973"/>
      <c r="IUM106" s="973"/>
      <c r="IUN106" s="973"/>
      <c r="IUO106" s="973"/>
      <c r="IUP106" s="973"/>
      <c r="IUQ106" s="973"/>
      <c r="IUR106" s="973"/>
      <c r="IUS106" s="973"/>
      <c r="IUT106" s="973"/>
      <c r="IUU106" s="973"/>
      <c r="IUV106" s="973"/>
      <c r="IUW106" s="973"/>
      <c r="IUX106" s="973"/>
      <c r="IUY106" s="973"/>
      <c r="IUZ106" s="973"/>
      <c r="IVA106" s="973"/>
      <c r="IVB106" s="973"/>
      <c r="IVC106" s="973"/>
      <c r="IVD106" s="973"/>
      <c r="IVE106" s="973"/>
      <c r="IVF106" s="973"/>
      <c r="IVG106" s="973"/>
      <c r="IVH106" s="973"/>
      <c r="IVI106" s="973"/>
      <c r="IVJ106" s="973"/>
      <c r="IVK106" s="973"/>
      <c r="IVL106" s="973"/>
      <c r="IVM106" s="973"/>
      <c r="IVN106" s="973"/>
      <c r="IVO106" s="973"/>
      <c r="IVP106" s="973"/>
      <c r="IVQ106" s="973"/>
      <c r="IVR106" s="973"/>
      <c r="IVS106" s="973"/>
      <c r="IVT106" s="973"/>
      <c r="IVU106" s="973"/>
      <c r="IVV106" s="973"/>
      <c r="IVW106" s="973"/>
      <c r="IVX106" s="973"/>
      <c r="IVY106" s="973"/>
      <c r="IVZ106" s="973"/>
      <c r="IWA106" s="973"/>
      <c r="IWB106" s="973"/>
      <c r="IWC106" s="973"/>
      <c r="IWD106" s="973"/>
      <c r="IWE106" s="973"/>
      <c r="IWF106" s="973"/>
      <c r="IWG106" s="973"/>
      <c r="IWH106" s="973"/>
      <c r="IWI106" s="973"/>
      <c r="IWJ106" s="973"/>
      <c r="IWK106" s="973"/>
      <c r="IWL106" s="973"/>
      <c r="IWM106" s="973"/>
      <c r="IWN106" s="973"/>
      <c r="IWO106" s="973"/>
      <c r="IWP106" s="973"/>
      <c r="IWQ106" s="973"/>
      <c r="IWR106" s="973"/>
      <c r="IWS106" s="973"/>
      <c r="IWT106" s="973"/>
      <c r="IWU106" s="973"/>
      <c r="IWV106" s="973"/>
      <c r="IWW106" s="973"/>
      <c r="IWX106" s="973"/>
      <c r="IWY106" s="973"/>
      <c r="IWZ106" s="973"/>
      <c r="IXA106" s="973"/>
      <c r="IXB106" s="973"/>
      <c r="IXC106" s="973"/>
      <c r="IXD106" s="973"/>
      <c r="IXE106" s="973"/>
      <c r="IXF106" s="973"/>
      <c r="IXG106" s="973"/>
      <c r="IXH106" s="973"/>
      <c r="IXI106" s="973"/>
      <c r="IXJ106" s="973"/>
      <c r="IXK106" s="973"/>
      <c r="IXL106" s="973"/>
      <c r="IXM106" s="973"/>
      <c r="IXN106" s="973"/>
      <c r="IXO106" s="973"/>
      <c r="IXP106" s="973"/>
      <c r="IXQ106" s="973"/>
      <c r="IXR106" s="973"/>
      <c r="IXS106" s="973"/>
      <c r="IXT106" s="973"/>
      <c r="IXU106" s="973"/>
      <c r="IXV106" s="973"/>
      <c r="IXW106" s="973"/>
      <c r="IXX106" s="973"/>
      <c r="IXY106" s="973"/>
      <c r="IXZ106" s="973"/>
      <c r="IYA106" s="973"/>
      <c r="IYB106" s="973"/>
      <c r="IYC106" s="973"/>
      <c r="IYD106" s="973"/>
      <c r="IYE106" s="973"/>
      <c r="IYF106" s="973"/>
      <c r="IYG106" s="973"/>
      <c r="IYH106" s="973"/>
      <c r="IYI106" s="973"/>
      <c r="IYJ106" s="973"/>
      <c r="IYK106" s="973"/>
      <c r="IYL106" s="973"/>
      <c r="IYM106" s="973"/>
      <c r="IYN106" s="973"/>
      <c r="IYO106" s="973"/>
      <c r="IYP106" s="973"/>
      <c r="IYQ106" s="973"/>
      <c r="IYR106" s="973"/>
      <c r="IYS106" s="973"/>
      <c r="IYT106" s="973"/>
      <c r="IYU106" s="973"/>
      <c r="IYV106" s="973"/>
      <c r="IYW106" s="973"/>
      <c r="IYX106" s="973"/>
      <c r="IYY106" s="973"/>
      <c r="IYZ106" s="973"/>
      <c r="IZA106" s="973"/>
      <c r="IZB106" s="973"/>
      <c r="IZC106" s="973"/>
      <c r="IZD106" s="973"/>
      <c r="IZE106" s="973"/>
      <c r="IZF106" s="973"/>
      <c r="IZG106" s="973"/>
      <c r="IZH106" s="973"/>
      <c r="IZI106" s="973"/>
      <c r="IZJ106" s="973"/>
      <c r="IZK106" s="973"/>
      <c r="IZL106" s="973"/>
      <c r="IZM106" s="973"/>
      <c r="IZN106" s="973"/>
      <c r="IZO106" s="973"/>
      <c r="IZP106" s="973"/>
      <c r="IZQ106" s="973"/>
      <c r="IZR106" s="973"/>
      <c r="IZS106" s="973"/>
      <c r="IZT106" s="973"/>
      <c r="IZU106" s="973"/>
      <c r="IZV106" s="973"/>
      <c r="IZW106" s="973"/>
      <c r="IZX106" s="973"/>
      <c r="IZY106" s="973"/>
      <c r="IZZ106" s="973"/>
      <c r="JAA106" s="973"/>
      <c r="JAB106" s="973"/>
      <c r="JAC106" s="973"/>
      <c r="JAD106" s="973"/>
      <c r="JAE106" s="973"/>
      <c r="JAF106" s="973"/>
      <c r="JAG106" s="973"/>
      <c r="JAH106" s="973"/>
      <c r="JAI106" s="973"/>
      <c r="JAJ106" s="973"/>
      <c r="JAK106" s="973"/>
      <c r="JAL106" s="973"/>
      <c r="JAM106" s="973"/>
      <c r="JAN106" s="973"/>
      <c r="JAO106" s="973"/>
      <c r="JAP106" s="973"/>
      <c r="JAQ106" s="973"/>
      <c r="JAR106" s="973"/>
      <c r="JAS106" s="973"/>
      <c r="JAT106" s="973"/>
      <c r="JAU106" s="973"/>
      <c r="JAV106" s="973"/>
      <c r="JAW106" s="973"/>
      <c r="JAX106" s="973"/>
      <c r="JAY106" s="973"/>
      <c r="JAZ106" s="973"/>
      <c r="JBA106" s="973"/>
      <c r="JBB106" s="973"/>
      <c r="JBC106" s="973"/>
      <c r="JBD106" s="973"/>
      <c r="JBE106" s="973"/>
      <c r="JBF106" s="973"/>
      <c r="JBG106" s="973"/>
      <c r="JBH106" s="973"/>
      <c r="JBI106" s="973"/>
      <c r="JBJ106" s="973"/>
      <c r="JBK106" s="973"/>
      <c r="JBL106" s="973"/>
      <c r="JBM106" s="973"/>
      <c r="JBN106" s="973"/>
      <c r="JBO106" s="973"/>
      <c r="JBP106" s="973"/>
      <c r="JBQ106" s="973"/>
      <c r="JBR106" s="973"/>
      <c r="JBS106" s="973"/>
      <c r="JBT106" s="973"/>
      <c r="JBU106" s="973"/>
      <c r="JBV106" s="973"/>
      <c r="JBW106" s="973"/>
      <c r="JBX106" s="973"/>
      <c r="JBY106" s="973"/>
      <c r="JBZ106" s="973"/>
      <c r="JCA106" s="973"/>
      <c r="JCB106" s="973"/>
      <c r="JCC106" s="973"/>
      <c r="JCD106" s="973"/>
      <c r="JCE106" s="973"/>
      <c r="JCF106" s="973"/>
      <c r="JCG106" s="973"/>
      <c r="JCH106" s="973"/>
      <c r="JCI106" s="973"/>
      <c r="JCJ106" s="973"/>
      <c r="JCK106" s="973"/>
      <c r="JCL106" s="973"/>
      <c r="JCM106" s="973"/>
      <c r="JCN106" s="973"/>
      <c r="JCO106" s="973"/>
      <c r="JCP106" s="973"/>
      <c r="JCQ106" s="973"/>
      <c r="JCR106" s="973"/>
      <c r="JCS106" s="973"/>
      <c r="JCT106" s="973"/>
      <c r="JCU106" s="973"/>
      <c r="JCV106" s="973"/>
      <c r="JCW106" s="973"/>
      <c r="JCX106" s="973"/>
      <c r="JCY106" s="973"/>
      <c r="JCZ106" s="973"/>
      <c r="JDA106" s="973"/>
      <c r="JDB106" s="973"/>
      <c r="JDC106" s="973"/>
      <c r="JDD106" s="973"/>
      <c r="JDE106" s="973"/>
      <c r="JDF106" s="973"/>
      <c r="JDG106" s="973"/>
      <c r="JDH106" s="973"/>
      <c r="JDI106" s="973"/>
      <c r="JDJ106" s="973"/>
      <c r="JDK106" s="973"/>
      <c r="JDL106" s="973"/>
      <c r="JDM106" s="973"/>
      <c r="JDN106" s="973"/>
      <c r="JDO106" s="973"/>
      <c r="JDP106" s="973"/>
      <c r="JDQ106" s="973"/>
      <c r="JDR106" s="973"/>
      <c r="JDS106" s="973"/>
      <c r="JDT106" s="973"/>
      <c r="JDU106" s="973"/>
      <c r="JDV106" s="973"/>
      <c r="JDW106" s="973"/>
      <c r="JDX106" s="973"/>
      <c r="JDY106" s="973"/>
      <c r="JDZ106" s="973"/>
      <c r="JEA106" s="973"/>
      <c r="JEB106" s="973"/>
      <c r="JEC106" s="973"/>
      <c r="JED106" s="973"/>
      <c r="JEE106" s="973"/>
      <c r="JEF106" s="973"/>
      <c r="JEG106" s="973"/>
      <c r="JEH106" s="973"/>
      <c r="JEI106" s="973"/>
      <c r="JEJ106" s="973"/>
      <c r="JEK106" s="973"/>
      <c r="JEL106" s="973"/>
      <c r="JEM106" s="973"/>
      <c r="JEN106" s="973"/>
      <c r="JEO106" s="973"/>
      <c r="JEP106" s="973"/>
      <c r="JEQ106" s="973"/>
      <c r="JER106" s="973"/>
      <c r="JES106" s="973"/>
      <c r="JET106" s="973"/>
      <c r="JEU106" s="973"/>
      <c r="JEV106" s="973"/>
      <c r="JEW106" s="973"/>
      <c r="JEX106" s="973"/>
      <c r="JEY106" s="973"/>
      <c r="JEZ106" s="973"/>
      <c r="JFA106" s="973"/>
      <c r="JFB106" s="973"/>
      <c r="JFC106" s="973"/>
      <c r="JFD106" s="973"/>
      <c r="JFE106" s="973"/>
      <c r="JFF106" s="973"/>
      <c r="JFG106" s="973"/>
      <c r="JFH106" s="973"/>
      <c r="JFI106" s="973"/>
      <c r="JFJ106" s="973"/>
      <c r="JFK106" s="973"/>
      <c r="JFL106" s="973"/>
      <c r="JFM106" s="973"/>
      <c r="JFN106" s="973"/>
      <c r="JFO106" s="973"/>
      <c r="JFP106" s="973"/>
      <c r="JFQ106" s="973"/>
      <c r="JFR106" s="973"/>
      <c r="JFS106" s="973"/>
      <c r="JFT106" s="973"/>
      <c r="JFU106" s="973"/>
      <c r="JFV106" s="973"/>
      <c r="JFW106" s="973"/>
      <c r="JFX106" s="973"/>
      <c r="JFY106" s="973"/>
      <c r="JFZ106" s="973"/>
      <c r="JGA106" s="973"/>
      <c r="JGB106" s="973"/>
      <c r="JGC106" s="973"/>
      <c r="JGD106" s="973"/>
      <c r="JGE106" s="973"/>
      <c r="JGF106" s="973"/>
      <c r="JGG106" s="973"/>
      <c r="JGH106" s="973"/>
      <c r="JGI106" s="973"/>
      <c r="JGJ106" s="973"/>
      <c r="JGK106" s="973"/>
      <c r="JGL106" s="973"/>
      <c r="JGM106" s="973"/>
      <c r="JGN106" s="973"/>
      <c r="JGO106" s="973"/>
      <c r="JGP106" s="973"/>
      <c r="JGQ106" s="973"/>
      <c r="JGR106" s="973"/>
      <c r="JGS106" s="973"/>
      <c r="JGT106" s="973"/>
      <c r="JGU106" s="973"/>
      <c r="JGV106" s="973"/>
      <c r="JGW106" s="973"/>
      <c r="JGX106" s="973"/>
      <c r="JGY106" s="973"/>
      <c r="JGZ106" s="973"/>
      <c r="JHA106" s="973"/>
      <c r="JHB106" s="973"/>
      <c r="JHC106" s="973"/>
      <c r="JHD106" s="973"/>
      <c r="JHE106" s="973"/>
      <c r="JHF106" s="973"/>
      <c r="JHG106" s="973"/>
      <c r="JHH106" s="973"/>
      <c r="JHI106" s="973"/>
      <c r="JHJ106" s="973"/>
      <c r="JHK106" s="973"/>
      <c r="JHL106" s="973"/>
      <c r="JHM106" s="973"/>
      <c r="JHN106" s="973"/>
      <c r="JHO106" s="973"/>
      <c r="JHP106" s="973"/>
      <c r="JHQ106" s="973"/>
      <c r="JHR106" s="973"/>
      <c r="JHS106" s="973"/>
      <c r="JHT106" s="973"/>
      <c r="JHU106" s="973"/>
      <c r="JHV106" s="973"/>
      <c r="JHW106" s="973"/>
      <c r="JHX106" s="973"/>
      <c r="JHY106" s="973"/>
      <c r="JHZ106" s="973"/>
      <c r="JIA106" s="973"/>
      <c r="JIB106" s="973"/>
      <c r="JIC106" s="973"/>
      <c r="JID106" s="973"/>
      <c r="JIE106" s="973"/>
      <c r="JIF106" s="973"/>
      <c r="JIG106" s="973"/>
      <c r="JIH106" s="973"/>
      <c r="JII106" s="973"/>
      <c r="JIJ106" s="973"/>
      <c r="JIK106" s="973"/>
      <c r="JIL106" s="973"/>
      <c r="JIM106" s="973"/>
      <c r="JIN106" s="973"/>
      <c r="JIO106" s="973"/>
      <c r="JIP106" s="973"/>
      <c r="JIQ106" s="973"/>
      <c r="JIR106" s="973"/>
      <c r="JIS106" s="973"/>
      <c r="JIT106" s="973"/>
      <c r="JIU106" s="973"/>
      <c r="JIV106" s="973"/>
      <c r="JIW106" s="973"/>
      <c r="JIX106" s="973"/>
      <c r="JIY106" s="973"/>
      <c r="JIZ106" s="973"/>
      <c r="JJA106" s="973"/>
      <c r="JJB106" s="973"/>
      <c r="JJC106" s="973"/>
      <c r="JJD106" s="973"/>
      <c r="JJE106" s="973"/>
      <c r="JJF106" s="973"/>
      <c r="JJG106" s="973"/>
      <c r="JJH106" s="973"/>
      <c r="JJI106" s="973"/>
      <c r="JJJ106" s="973"/>
      <c r="JJK106" s="973"/>
      <c r="JJL106" s="973"/>
      <c r="JJM106" s="973"/>
      <c r="JJN106" s="973"/>
      <c r="JJO106" s="973"/>
      <c r="JJP106" s="973"/>
      <c r="JJQ106" s="973"/>
      <c r="JJR106" s="973"/>
      <c r="JJS106" s="973"/>
      <c r="JJT106" s="973"/>
      <c r="JJU106" s="973"/>
      <c r="JJV106" s="973"/>
      <c r="JJW106" s="973"/>
      <c r="JJX106" s="973"/>
      <c r="JJY106" s="973"/>
      <c r="JJZ106" s="973"/>
      <c r="JKA106" s="973"/>
      <c r="JKB106" s="973"/>
      <c r="JKC106" s="973"/>
      <c r="JKD106" s="973"/>
      <c r="JKE106" s="973"/>
      <c r="JKF106" s="973"/>
      <c r="JKG106" s="973"/>
      <c r="JKH106" s="973"/>
      <c r="JKI106" s="973"/>
      <c r="JKJ106" s="973"/>
      <c r="JKK106" s="973"/>
      <c r="JKL106" s="973"/>
      <c r="JKM106" s="973"/>
      <c r="JKN106" s="973"/>
      <c r="JKO106" s="973"/>
      <c r="JKP106" s="973"/>
      <c r="JKQ106" s="973"/>
      <c r="JKR106" s="973"/>
      <c r="JKS106" s="973"/>
      <c r="JKT106" s="973"/>
      <c r="JKU106" s="973"/>
      <c r="JKV106" s="973"/>
      <c r="JKW106" s="973"/>
      <c r="JKX106" s="973"/>
      <c r="JKY106" s="973"/>
      <c r="JKZ106" s="973"/>
      <c r="JLA106" s="973"/>
      <c r="JLB106" s="973"/>
      <c r="JLC106" s="973"/>
      <c r="JLD106" s="973"/>
      <c r="JLE106" s="973"/>
      <c r="JLF106" s="973"/>
      <c r="JLG106" s="973"/>
      <c r="JLH106" s="973"/>
      <c r="JLI106" s="973"/>
      <c r="JLJ106" s="973"/>
      <c r="JLK106" s="973"/>
      <c r="JLL106" s="973"/>
      <c r="JLM106" s="973"/>
      <c r="JLN106" s="973"/>
      <c r="JLO106" s="973"/>
      <c r="JLP106" s="973"/>
      <c r="JLQ106" s="973"/>
      <c r="JLR106" s="973"/>
      <c r="JLS106" s="973"/>
      <c r="JLT106" s="973"/>
      <c r="JLU106" s="973"/>
      <c r="JLV106" s="973"/>
      <c r="JLW106" s="973"/>
      <c r="JLX106" s="973"/>
      <c r="JLY106" s="973"/>
      <c r="JLZ106" s="973"/>
      <c r="JMA106" s="973"/>
      <c r="JMB106" s="973"/>
      <c r="JMC106" s="973"/>
      <c r="JMD106" s="973"/>
      <c r="JME106" s="973"/>
      <c r="JMF106" s="973"/>
      <c r="JMG106" s="973"/>
      <c r="JMH106" s="973"/>
      <c r="JMI106" s="973"/>
      <c r="JMJ106" s="973"/>
      <c r="JMK106" s="973"/>
      <c r="JML106" s="973"/>
      <c r="JMM106" s="973"/>
      <c r="JMN106" s="973"/>
      <c r="JMO106" s="973"/>
      <c r="JMP106" s="973"/>
      <c r="JMQ106" s="973"/>
      <c r="JMR106" s="973"/>
      <c r="JMS106" s="973"/>
      <c r="JMT106" s="973"/>
      <c r="JMU106" s="973"/>
      <c r="JMV106" s="973"/>
      <c r="JMW106" s="973"/>
      <c r="JMX106" s="973"/>
      <c r="JMY106" s="973"/>
      <c r="JMZ106" s="973"/>
      <c r="JNA106" s="973"/>
      <c r="JNB106" s="973"/>
      <c r="JNC106" s="973"/>
      <c r="JND106" s="973"/>
      <c r="JNE106" s="973"/>
      <c r="JNF106" s="973"/>
      <c r="JNG106" s="973"/>
      <c r="JNH106" s="973"/>
      <c r="JNI106" s="973"/>
      <c r="JNJ106" s="973"/>
      <c r="JNK106" s="973"/>
      <c r="JNL106" s="973"/>
      <c r="JNM106" s="973"/>
      <c r="JNN106" s="973"/>
      <c r="JNO106" s="973"/>
      <c r="JNP106" s="973"/>
      <c r="JNQ106" s="973"/>
      <c r="JNR106" s="973"/>
      <c r="JNS106" s="973"/>
      <c r="JNT106" s="973"/>
      <c r="JNU106" s="973"/>
      <c r="JNV106" s="973"/>
      <c r="JNW106" s="973"/>
      <c r="JNX106" s="973"/>
      <c r="JNY106" s="973"/>
      <c r="JNZ106" s="973"/>
      <c r="JOA106" s="973"/>
      <c r="JOB106" s="973"/>
      <c r="JOC106" s="973"/>
      <c r="JOD106" s="973"/>
      <c r="JOE106" s="973"/>
      <c r="JOF106" s="973"/>
      <c r="JOG106" s="973"/>
      <c r="JOH106" s="973"/>
      <c r="JOI106" s="973"/>
      <c r="JOJ106" s="973"/>
      <c r="JOK106" s="973"/>
      <c r="JOL106" s="973"/>
      <c r="JOM106" s="973"/>
      <c r="JON106" s="973"/>
      <c r="JOO106" s="973"/>
      <c r="JOP106" s="973"/>
      <c r="JOQ106" s="973"/>
      <c r="JOR106" s="973"/>
      <c r="JOS106" s="973"/>
      <c r="JOT106" s="973"/>
      <c r="JOU106" s="973"/>
      <c r="JOV106" s="973"/>
      <c r="JOW106" s="973"/>
      <c r="JOX106" s="973"/>
      <c r="JOY106" s="973"/>
      <c r="JOZ106" s="973"/>
      <c r="JPA106" s="973"/>
      <c r="JPB106" s="973"/>
      <c r="JPC106" s="973"/>
      <c r="JPD106" s="973"/>
      <c r="JPE106" s="973"/>
      <c r="JPF106" s="973"/>
      <c r="JPG106" s="973"/>
      <c r="JPH106" s="973"/>
      <c r="JPI106" s="973"/>
      <c r="JPJ106" s="973"/>
      <c r="JPK106" s="973"/>
      <c r="JPL106" s="973"/>
      <c r="JPM106" s="973"/>
      <c r="JPN106" s="973"/>
      <c r="JPO106" s="973"/>
      <c r="JPP106" s="973"/>
      <c r="JPQ106" s="973"/>
      <c r="JPR106" s="973"/>
      <c r="JPS106" s="973"/>
      <c r="JPT106" s="973"/>
      <c r="JPU106" s="973"/>
      <c r="JPV106" s="973"/>
      <c r="JPW106" s="973"/>
      <c r="JPX106" s="973"/>
      <c r="JPY106" s="973"/>
      <c r="JPZ106" s="973"/>
      <c r="JQA106" s="973"/>
      <c r="JQB106" s="973"/>
      <c r="JQC106" s="973"/>
      <c r="JQD106" s="973"/>
      <c r="JQE106" s="973"/>
      <c r="JQF106" s="973"/>
      <c r="JQG106" s="973"/>
      <c r="JQH106" s="973"/>
      <c r="JQI106" s="973"/>
      <c r="JQJ106" s="973"/>
      <c r="JQK106" s="973"/>
      <c r="JQL106" s="973"/>
      <c r="JQM106" s="973"/>
      <c r="JQN106" s="973"/>
      <c r="JQO106" s="973"/>
      <c r="JQP106" s="973"/>
      <c r="JQQ106" s="973"/>
      <c r="JQR106" s="973"/>
      <c r="JQS106" s="973"/>
      <c r="JQT106" s="973"/>
      <c r="JQU106" s="973"/>
      <c r="JQV106" s="973"/>
      <c r="JQW106" s="973"/>
      <c r="JQX106" s="973"/>
      <c r="JQY106" s="973"/>
      <c r="JQZ106" s="973"/>
      <c r="JRA106" s="973"/>
      <c r="JRB106" s="973"/>
      <c r="JRC106" s="973"/>
      <c r="JRD106" s="973"/>
      <c r="JRE106" s="973"/>
      <c r="JRF106" s="973"/>
      <c r="JRG106" s="973"/>
      <c r="JRH106" s="973"/>
      <c r="JRI106" s="973"/>
      <c r="JRJ106" s="973"/>
      <c r="JRK106" s="973"/>
      <c r="JRL106" s="973"/>
      <c r="JRM106" s="973"/>
      <c r="JRN106" s="973"/>
      <c r="JRO106" s="973"/>
      <c r="JRP106" s="973"/>
      <c r="JRQ106" s="973"/>
      <c r="JRR106" s="973"/>
      <c r="JRS106" s="973"/>
      <c r="JRT106" s="973"/>
      <c r="JRU106" s="973"/>
      <c r="JRV106" s="973"/>
      <c r="JRW106" s="973"/>
      <c r="JRX106" s="973"/>
      <c r="JRY106" s="973"/>
      <c r="JRZ106" s="973"/>
      <c r="JSA106" s="973"/>
      <c r="JSB106" s="973"/>
      <c r="JSC106" s="973"/>
      <c r="JSD106" s="973"/>
      <c r="JSE106" s="973"/>
      <c r="JSF106" s="973"/>
      <c r="JSG106" s="973"/>
      <c r="JSH106" s="973"/>
      <c r="JSI106" s="973"/>
      <c r="JSJ106" s="973"/>
      <c r="JSK106" s="973"/>
      <c r="JSL106" s="973"/>
      <c r="JSM106" s="973"/>
      <c r="JSN106" s="973"/>
      <c r="JSO106" s="973"/>
      <c r="JSP106" s="973"/>
      <c r="JSQ106" s="973"/>
      <c r="JSR106" s="973"/>
      <c r="JSS106" s="973"/>
      <c r="JST106" s="973"/>
      <c r="JSU106" s="973"/>
      <c r="JSV106" s="973"/>
      <c r="JSW106" s="973"/>
      <c r="JSX106" s="973"/>
      <c r="JSY106" s="973"/>
      <c r="JSZ106" s="973"/>
      <c r="JTA106" s="973"/>
      <c r="JTB106" s="973"/>
      <c r="JTC106" s="973"/>
      <c r="JTD106" s="973"/>
      <c r="JTE106" s="973"/>
      <c r="JTF106" s="973"/>
      <c r="JTG106" s="973"/>
      <c r="JTH106" s="973"/>
      <c r="JTI106" s="973"/>
      <c r="JTJ106" s="973"/>
      <c r="JTK106" s="973"/>
      <c r="JTL106" s="973"/>
      <c r="JTM106" s="973"/>
      <c r="JTN106" s="973"/>
      <c r="JTO106" s="973"/>
      <c r="JTP106" s="973"/>
      <c r="JTQ106" s="973"/>
      <c r="JTR106" s="973"/>
      <c r="JTS106" s="973"/>
      <c r="JTT106" s="973"/>
      <c r="JTU106" s="973"/>
      <c r="JTV106" s="973"/>
      <c r="JTW106" s="973"/>
      <c r="JTX106" s="973"/>
      <c r="JTY106" s="973"/>
      <c r="JTZ106" s="973"/>
      <c r="JUA106" s="973"/>
      <c r="JUB106" s="973"/>
      <c r="JUC106" s="973"/>
      <c r="JUD106" s="973"/>
      <c r="JUE106" s="973"/>
      <c r="JUF106" s="973"/>
      <c r="JUG106" s="973"/>
      <c r="JUH106" s="973"/>
      <c r="JUI106" s="973"/>
      <c r="JUJ106" s="973"/>
      <c r="JUK106" s="973"/>
      <c r="JUL106" s="973"/>
      <c r="JUM106" s="973"/>
      <c r="JUN106" s="973"/>
      <c r="JUO106" s="973"/>
      <c r="JUP106" s="973"/>
      <c r="JUQ106" s="973"/>
      <c r="JUR106" s="973"/>
      <c r="JUS106" s="973"/>
      <c r="JUT106" s="973"/>
      <c r="JUU106" s="973"/>
      <c r="JUV106" s="973"/>
      <c r="JUW106" s="973"/>
      <c r="JUX106" s="973"/>
      <c r="JUY106" s="973"/>
      <c r="JUZ106" s="973"/>
      <c r="JVA106" s="973"/>
      <c r="JVB106" s="973"/>
      <c r="JVC106" s="973"/>
      <c r="JVD106" s="973"/>
      <c r="JVE106" s="973"/>
      <c r="JVF106" s="973"/>
      <c r="JVG106" s="973"/>
      <c r="JVH106" s="973"/>
      <c r="JVI106" s="973"/>
      <c r="JVJ106" s="973"/>
      <c r="JVK106" s="973"/>
      <c r="JVL106" s="973"/>
      <c r="JVM106" s="973"/>
      <c r="JVN106" s="973"/>
      <c r="JVO106" s="973"/>
      <c r="JVP106" s="973"/>
      <c r="JVQ106" s="973"/>
      <c r="JVR106" s="973"/>
      <c r="JVS106" s="973"/>
      <c r="JVT106" s="973"/>
      <c r="JVU106" s="973"/>
      <c r="JVV106" s="973"/>
      <c r="JVW106" s="973"/>
      <c r="JVX106" s="973"/>
      <c r="JVY106" s="973"/>
      <c r="JVZ106" s="973"/>
      <c r="JWA106" s="973"/>
      <c r="JWB106" s="973"/>
      <c r="JWC106" s="973"/>
      <c r="JWD106" s="973"/>
      <c r="JWE106" s="973"/>
      <c r="JWF106" s="973"/>
      <c r="JWG106" s="973"/>
      <c r="JWH106" s="973"/>
      <c r="JWI106" s="973"/>
      <c r="JWJ106" s="973"/>
      <c r="JWK106" s="973"/>
      <c r="JWL106" s="973"/>
      <c r="JWM106" s="973"/>
      <c r="JWN106" s="973"/>
      <c r="JWO106" s="973"/>
      <c r="JWP106" s="973"/>
      <c r="JWQ106" s="973"/>
      <c r="JWR106" s="973"/>
      <c r="JWS106" s="973"/>
      <c r="JWT106" s="973"/>
      <c r="JWU106" s="973"/>
      <c r="JWV106" s="973"/>
      <c r="JWW106" s="973"/>
      <c r="JWX106" s="973"/>
      <c r="JWY106" s="973"/>
      <c r="JWZ106" s="973"/>
      <c r="JXA106" s="973"/>
      <c r="JXB106" s="973"/>
      <c r="JXC106" s="973"/>
      <c r="JXD106" s="973"/>
      <c r="JXE106" s="973"/>
      <c r="JXF106" s="973"/>
      <c r="JXG106" s="973"/>
      <c r="JXH106" s="973"/>
      <c r="JXI106" s="973"/>
      <c r="JXJ106" s="973"/>
      <c r="JXK106" s="973"/>
      <c r="JXL106" s="973"/>
      <c r="JXM106" s="973"/>
      <c r="JXN106" s="973"/>
      <c r="JXO106" s="973"/>
      <c r="JXP106" s="973"/>
      <c r="JXQ106" s="973"/>
      <c r="JXR106" s="973"/>
      <c r="JXS106" s="973"/>
      <c r="JXT106" s="973"/>
      <c r="JXU106" s="973"/>
      <c r="JXV106" s="973"/>
      <c r="JXW106" s="973"/>
      <c r="JXX106" s="973"/>
      <c r="JXY106" s="973"/>
      <c r="JXZ106" s="973"/>
      <c r="JYA106" s="973"/>
      <c r="JYB106" s="973"/>
      <c r="JYC106" s="973"/>
      <c r="JYD106" s="973"/>
      <c r="JYE106" s="973"/>
      <c r="JYF106" s="973"/>
      <c r="JYG106" s="973"/>
      <c r="JYH106" s="973"/>
      <c r="JYI106" s="973"/>
      <c r="JYJ106" s="973"/>
      <c r="JYK106" s="973"/>
      <c r="JYL106" s="973"/>
      <c r="JYM106" s="973"/>
      <c r="JYN106" s="973"/>
      <c r="JYO106" s="973"/>
      <c r="JYP106" s="973"/>
      <c r="JYQ106" s="973"/>
      <c r="JYR106" s="973"/>
      <c r="JYS106" s="973"/>
      <c r="JYT106" s="973"/>
      <c r="JYU106" s="973"/>
      <c r="JYV106" s="973"/>
      <c r="JYW106" s="973"/>
      <c r="JYX106" s="973"/>
      <c r="JYY106" s="973"/>
      <c r="JYZ106" s="973"/>
      <c r="JZA106" s="973"/>
      <c r="JZB106" s="973"/>
      <c r="JZC106" s="973"/>
      <c r="JZD106" s="973"/>
      <c r="JZE106" s="973"/>
      <c r="JZF106" s="973"/>
      <c r="JZG106" s="973"/>
      <c r="JZH106" s="973"/>
      <c r="JZI106" s="973"/>
      <c r="JZJ106" s="973"/>
      <c r="JZK106" s="973"/>
      <c r="JZL106" s="973"/>
      <c r="JZM106" s="973"/>
      <c r="JZN106" s="973"/>
      <c r="JZO106" s="973"/>
      <c r="JZP106" s="973"/>
      <c r="JZQ106" s="973"/>
      <c r="JZR106" s="973"/>
      <c r="JZS106" s="973"/>
      <c r="JZT106" s="973"/>
      <c r="JZU106" s="973"/>
      <c r="JZV106" s="973"/>
      <c r="JZW106" s="973"/>
      <c r="JZX106" s="973"/>
      <c r="JZY106" s="973"/>
      <c r="JZZ106" s="973"/>
      <c r="KAA106" s="973"/>
      <c r="KAB106" s="973"/>
      <c r="KAC106" s="973"/>
      <c r="KAD106" s="973"/>
      <c r="KAE106" s="973"/>
      <c r="KAF106" s="973"/>
      <c r="KAG106" s="973"/>
      <c r="KAH106" s="973"/>
      <c r="KAI106" s="973"/>
      <c r="KAJ106" s="973"/>
      <c r="KAK106" s="973"/>
      <c r="KAL106" s="973"/>
      <c r="KAM106" s="973"/>
      <c r="KAN106" s="973"/>
      <c r="KAO106" s="973"/>
      <c r="KAP106" s="973"/>
      <c r="KAQ106" s="973"/>
      <c r="KAR106" s="973"/>
      <c r="KAS106" s="973"/>
      <c r="KAT106" s="973"/>
      <c r="KAU106" s="973"/>
      <c r="KAV106" s="973"/>
      <c r="KAW106" s="973"/>
      <c r="KAX106" s="973"/>
      <c r="KAY106" s="973"/>
      <c r="KAZ106" s="973"/>
      <c r="KBA106" s="973"/>
      <c r="KBB106" s="973"/>
      <c r="KBC106" s="973"/>
      <c r="KBD106" s="973"/>
      <c r="KBE106" s="973"/>
      <c r="KBF106" s="973"/>
      <c r="KBG106" s="973"/>
      <c r="KBH106" s="973"/>
      <c r="KBI106" s="973"/>
      <c r="KBJ106" s="973"/>
      <c r="KBK106" s="973"/>
      <c r="KBL106" s="973"/>
      <c r="KBM106" s="973"/>
      <c r="KBN106" s="973"/>
      <c r="KBO106" s="973"/>
      <c r="KBP106" s="973"/>
      <c r="KBQ106" s="973"/>
      <c r="KBR106" s="973"/>
      <c r="KBS106" s="973"/>
      <c r="KBT106" s="973"/>
      <c r="KBU106" s="973"/>
      <c r="KBV106" s="973"/>
      <c r="KBW106" s="973"/>
      <c r="KBX106" s="973"/>
      <c r="KBY106" s="973"/>
      <c r="KBZ106" s="973"/>
      <c r="KCA106" s="973"/>
      <c r="KCB106" s="973"/>
      <c r="KCC106" s="973"/>
      <c r="KCD106" s="973"/>
      <c r="KCE106" s="973"/>
      <c r="KCF106" s="973"/>
      <c r="KCG106" s="973"/>
      <c r="KCH106" s="973"/>
      <c r="KCI106" s="973"/>
      <c r="KCJ106" s="973"/>
      <c r="KCK106" s="973"/>
      <c r="KCL106" s="973"/>
      <c r="KCM106" s="973"/>
      <c r="KCN106" s="973"/>
      <c r="KCO106" s="973"/>
      <c r="KCP106" s="973"/>
      <c r="KCQ106" s="973"/>
      <c r="KCR106" s="973"/>
      <c r="KCS106" s="973"/>
      <c r="KCT106" s="973"/>
      <c r="KCU106" s="973"/>
      <c r="KCV106" s="973"/>
      <c r="KCW106" s="973"/>
      <c r="KCX106" s="973"/>
      <c r="KCY106" s="973"/>
      <c r="KCZ106" s="973"/>
      <c r="KDA106" s="973"/>
      <c r="KDB106" s="973"/>
      <c r="KDC106" s="973"/>
      <c r="KDD106" s="973"/>
      <c r="KDE106" s="973"/>
      <c r="KDF106" s="973"/>
      <c r="KDG106" s="973"/>
      <c r="KDH106" s="973"/>
      <c r="KDI106" s="973"/>
      <c r="KDJ106" s="973"/>
      <c r="KDK106" s="973"/>
      <c r="KDL106" s="973"/>
      <c r="KDM106" s="973"/>
      <c r="KDN106" s="973"/>
      <c r="KDO106" s="973"/>
      <c r="KDP106" s="973"/>
      <c r="KDQ106" s="973"/>
      <c r="KDR106" s="973"/>
      <c r="KDS106" s="973"/>
      <c r="KDT106" s="973"/>
      <c r="KDU106" s="973"/>
      <c r="KDV106" s="973"/>
      <c r="KDW106" s="973"/>
      <c r="KDX106" s="973"/>
      <c r="KDY106" s="973"/>
      <c r="KDZ106" s="973"/>
      <c r="KEA106" s="973"/>
      <c r="KEB106" s="973"/>
      <c r="KEC106" s="973"/>
      <c r="KED106" s="973"/>
      <c r="KEE106" s="973"/>
      <c r="KEF106" s="973"/>
      <c r="KEG106" s="973"/>
      <c r="KEH106" s="973"/>
      <c r="KEI106" s="973"/>
      <c r="KEJ106" s="973"/>
      <c r="KEK106" s="973"/>
      <c r="KEL106" s="973"/>
      <c r="KEM106" s="973"/>
      <c r="KEN106" s="973"/>
      <c r="KEO106" s="973"/>
      <c r="KEP106" s="973"/>
      <c r="KEQ106" s="973"/>
      <c r="KER106" s="973"/>
      <c r="KES106" s="973"/>
      <c r="KET106" s="973"/>
      <c r="KEU106" s="973"/>
      <c r="KEV106" s="973"/>
      <c r="KEW106" s="973"/>
      <c r="KEX106" s="973"/>
      <c r="KEY106" s="973"/>
      <c r="KEZ106" s="973"/>
      <c r="KFA106" s="973"/>
      <c r="KFB106" s="973"/>
      <c r="KFC106" s="973"/>
      <c r="KFD106" s="973"/>
      <c r="KFE106" s="973"/>
      <c r="KFF106" s="973"/>
      <c r="KFG106" s="973"/>
      <c r="KFH106" s="973"/>
      <c r="KFI106" s="973"/>
      <c r="KFJ106" s="973"/>
      <c r="KFK106" s="973"/>
      <c r="KFL106" s="973"/>
      <c r="KFM106" s="973"/>
      <c r="KFN106" s="973"/>
      <c r="KFO106" s="973"/>
      <c r="KFP106" s="973"/>
      <c r="KFQ106" s="973"/>
      <c r="KFR106" s="973"/>
      <c r="KFS106" s="973"/>
      <c r="KFT106" s="973"/>
      <c r="KFU106" s="973"/>
      <c r="KFV106" s="973"/>
      <c r="KFW106" s="973"/>
      <c r="KFX106" s="973"/>
      <c r="KFY106" s="973"/>
      <c r="KFZ106" s="973"/>
      <c r="KGA106" s="973"/>
      <c r="KGB106" s="973"/>
      <c r="KGC106" s="973"/>
      <c r="KGD106" s="973"/>
      <c r="KGE106" s="973"/>
      <c r="KGF106" s="973"/>
      <c r="KGG106" s="973"/>
      <c r="KGH106" s="973"/>
      <c r="KGI106" s="973"/>
      <c r="KGJ106" s="973"/>
      <c r="KGK106" s="973"/>
      <c r="KGL106" s="973"/>
      <c r="KGM106" s="973"/>
      <c r="KGN106" s="973"/>
      <c r="KGO106" s="973"/>
      <c r="KGP106" s="973"/>
      <c r="KGQ106" s="973"/>
      <c r="KGR106" s="973"/>
      <c r="KGS106" s="973"/>
      <c r="KGT106" s="973"/>
      <c r="KGU106" s="973"/>
      <c r="KGV106" s="973"/>
      <c r="KGW106" s="973"/>
      <c r="KGX106" s="973"/>
      <c r="KGY106" s="973"/>
      <c r="KGZ106" s="973"/>
      <c r="KHA106" s="973"/>
      <c r="KHB106" s="973"/>
      <c r="KHC106" s="973"/>
      <c r="KHD106" s="973"/>
      <c r="KHE106" s="973"/>
      <c r="KHF106" s="973"/>
      <c r="KHG106" s="973"/>
      <c r="KHH106" s="973"/>
      <c r="KHI106" s="973"/>
      <c r="KHJ106" s="973"/>
      <c r="KHK106" s="973"/>
      <c r="KHL106" s="973"/>
      <c r="KHM106" s="973"/>
      <c r="KHN106" s="973"/>
      <c r="KHO106" s="973"/>
      <c r="KHP106" s="973"/>
      <c r="KHQ106" s="973"/>
      <c r="KHR106" s="973"/>
      <c r="KHS106" s="973"/>
      <c r="KHT106" s="973"/>
      <c r="KHU106" s="973"/>
      <c r="KHV106" s="973"/>
      <c r="KHW106" s="973"/>
      <c r="KHX106" s="973"/>
      <c r="KHY106" s="973"/>
      <c r="KHZ106" s="973"/>
      <c r="KIA106" s="973"/>
      <c r="KIB106" s="973"/>
      <c r="KIC106" s="973"/>
      <c r="KID106" s="973"/>
      <c r="KIE106" s="973"/>
      <c r="KIF106" s="973"/>
      <c r="KIG106" s="973"/>
      <c r="KIH106" s="973"/>
      <c r="KII106" s="973"/>
      <c r="KIJ106" s="973"/>
      <c r="KIK106" s="973"/>
      <c r="KIL106" s="973"/>
      <c r="KIM106" s="973"/>
      <c r="KIN106" s="973"/>
      <c r="KIO106" s="973"/>
      <c r="KIP106" s="973"/>
      <c r="KIQ106" s="973"/>
      <c r="KIR106" s="973"/>
      <c r="KIS106" s="973"/>
      <c r="KIT106" s="973"/>
      <c r="KIU106" s="973"/>
      <c r="KIV106" s="973"/>
      <c r="KIW106" s="973"/>
      <c r="KIX106" s="973"/>
      <c r="KIY106" s="973"/>
      <c r="KIZ106" s="973"/>
      <c r="KJA106" s="973"/>
      <c r="KJB106" s="973"/>
      <c r="KJC106" s="973"/>
      <c r="KJD106" s="973"/>
      <c r="KJE106" s="973"/>
      <c r="KJF106" s="973"/>
      <c r="KJG106" s="973"/>
      <c r="KJH106" s="973"/>
      <c r="KJI106" s="973"/>
      <c r="KJJ106" s="973"/>
      <c r="KJK106" s="973"/>
      <c r="KJL106" s="973"/>
      <c r="KJM106" s="973"/>
      <c r="KJN106" s="973"/>
      <c r="KJO106" s="973"/>
      <c r="KJP106" s="973"/>
      <c r="KJQ106" s="973"/>
      <c r="KJR106" s="973"/>
      <c r="KJS106" s="973"/>
      <c r="KJT106" s="973"/>
      <c r="KJU106" s="973"/>
      <c r="KJV106" s="973"/>
      <c r="KJW106" s="973"/>
      <c r="KJX106" s="973"/>
      <c r="KJY106" s="973"/>
      <c r="KJZ106" s="973"/>
      <c r="KKA106" s="973"/>
      <c r="KKB106" s="973"/>
      <c r="KKC106" s="973"/>
      <c r="KKD106" s="973"/>
      <c r="KKE106" s="973"/>
      <c r="KKF106" s="973"/>
      <c r="KKG106" s="973"/>
      <c r="KKH106" s="973"/>
      <c r="KKI106" s="973"/>
      <c r="KKJ106" s="973"/>
      <c r="KKK106" s="973"/>
      <c r="KKL106" s="973"/>
      <c r="KKM106" s="973"/>
      <c r="KKN106" s="973"/>
      <c r="KKO106" s="973"/>
      <c r="KKP106" s="973"/>
      <c r="KKQ106" s="973"/>
      <c r="KKR106" s="973"/>
      <c r="KKS106" s="973"/>
      <c r="KKT106" s="973"/>
      <c r="KKU106" s="973"/>
      <c r="KKV106" s="973"/>
      <c r="KKW106" s="973"/>
      <c r="KKX106" s="973"/>
      <c r="KKY106" s="973"/>
      <c r="KKZ106" s="973"/>
      <c r="KLA106" s="973"/>
      <c r="KLB106" s="973"/>
      <c r="KLC106" s="973"/>
      <c r="KLD106" s="973"/>
      <c r="KLE106" s="973"/>
      <c r="KLF106" s="973"/>
      <c r="KLG106" s="973"/>
      <c r="KLH106" s="973"/>
      <c r="KLI106" s="973"/>
      <c r="KLJ106" s="973"/>
      <c r="KLK106" s="973"/>
      <c r="KLL106" s="973"/>
      <c r="KLM106" s="973"/>
      <c r="KLN106" s="973"/>
      <c r="KLO106" s="973"/>
      <c r="KLP106" s="973"/>
      <c r="KLQ106" s="973"/>
      <c r="KLR106" s="973"/>
      <c r="KLS106" s="973"/>
      <c r="KLT106" s="973"/>
      <c r="KLU106" s="973"/>
      <c r="KLV106" s="973"/>
      <c r="KLW106" s="973"/>
      <c r="KLX106" s="973"/>
      <c r="KLY106" s="973"/>
      <c r="KLZ106" s="973"/>
      <c r="KMA106" s="973"/>
      <c r="KMB106" s="973"/>
      <c r="KMC106" s="973"/>
      <c r="KMD106" s="973"/>
      <c r="KME106" s="973"/>
      <c r="KMF106" s="973"/>
      <c r="KMG106" s="973"/>
      <c r="KMH106" s="973"/>
      <c r="KMI106" s="973"/>
      <c r="KMJ106" s="973"/>
      <c r="KMK106" s="973"/>
      <c r="KML106" s="973"/>
      <c r="KMM106" s="973"/>
      <c r="KMN106" s="973"/>
      <c r="KMO106" s="973"/>
      <c r="KMP106" s="973"/>
      <c r="KMQ106" s="973"/>
      <c r="KMR106" s="973"/>
      <c r="KMS106" s="973"/>
      <c r="KMT106" s="973"/>
      <c r="KMU106" s="973"/>
      <c r="KMV106" s="973"/>
      <c r="KMW106" s="973"/>
      <c r="KMX106" s="973"/>
      <c r="KMY106" s="973"/>
      <c r="KMZ106" s="973"/>
      <c r="KNA106" s="973"/>
      <c r="KNB106" s="973"/>
      <c r="KNC106" s="973"/>
      <c r="KND106" s="973"/>
      <c r="KNE106" s="973"/>
      <c r="KNF106" s="973"/>
      <c r="KNG106" s="973"/>
      <c r="KNH106" s="973"/>
      <c r="KNI106" s="973"/>
      <c r="KNJ106" s="973"/>
      <c r="KNK106" s="973"/>
      <c r="KNL106" s="973"/>
      <c r="KNM106" s="973"/>
      <c r="KNN106" s="973"/>
      <c r="KNO106" s="973"/>
      <c r="KNP106" s="973"/>
      <c r="KNQ106" s="973"/>
      <c r="KNR106" s="973"/>
      <c r="KNS106" s="973"/>
      <c r="KNT106" s="973"/>
      <c r="KNU106" s="973"/>
      <c r="KNV106" s="973"/>
      <c r="KNW106" s="973"/>
      <c r="KNX106" s="973"/>
      <c r="KNY106" s="973"/>
      <c r="KNZ106" s="973"/>
      <c r="KOA106" s="973"/>
      <c r="KOB106" s="973"/>
      <c r="KOC106" s="973"/>
      <c r="KOD106" s="973"/>
      <c r="KOE106" s="973"/>
      <c r="KOF106" s="973"/>
      <c r="KOG106" s="973"/>
      <c r="KOH106" s="973"/>
      <c r="KOI106" s="973"/>
      <c r="KOJ106" s="973"/>
      <c r="KOK106" s="973"/>
      <c r="KOL106" s="973"/>
      <c r="KOM106" s="973"/>
      <c r="KON106" s="973"/>
      <c r="KOO106" s="973"/>
      <c r="KOP106" s="973"/>
      <c r="KOQ106" s="973"/>
      <c r="KOR106" s="973"/>
      <c r="KOS106" s="973"/>
      <c r="KOT106" s="973"/>
      <c r="KOU106" s="973"/>
      <c r="KOV106" s="973"/>
      <c r="KOW106" s="973"/>
      <c r="KOX106" s="973"/>
      <c r="KOY106" s="973"/>
      <c r="KOZ106" s="973"/>
      <c r="KPA106" s="973"/>
      <c r="KPB106" s="973"/>
      <c r="KPC106" s="973"/>
      <c r="KPD106" s="973"/>
      <c r="KPE106" s="973"/>
      <c r="KPF106" s="973"/>
      <c r="KPG106" s="973"/>
      <c r="KPH106" s="973"/>
      <c r="KPI106" s="973"/>
      <c r="KPJ106" s="973"/>
      <c r="KPK106" s="973"/>
      <c r="KPL106" s="973"/>
      <c r="KPM106" s="973"/>
      <c r="KPN106" s="973"/>
      <c r="KPO106" s="973"/>
      <c r="KPP106" s="973"/>
      <c r="KPQ106" s="973"/>
      <c r="KPR106" s="973"/>
      <c r="KPS106" s="973"/>
      <c r="KPT106" s="973"/>
      <c r="KPU106" s="973"/>
      <c r="KPV106" s="973"/>
      <c r="KPW106" s="973"/>
      <c r="KPX106" s="973"/>
      <c r="KPY106" s="973"/>
      <c r="KPZ106" s="973"/>
      <c r="KQA106" s="973"/>
      <c r="KQB106" s="973"/>
      <c r="KQC106" s="973"/>
      <c r="KQD106" s="973"/>
      <c r="KQE106" s="973"/>
      <c r="KQF106" s="973"/>
      <c r="KQG106" s="973"/>
      <c r="KQH106" s="973"/>
      <c r="KQI106" s="973"/>
      <c r="KQJ106" s="973"/>
      <c r="KQK106" s="973"/>
      <c r="KQL106" s="973"/>
      <c r="KQM106" s="973"/>
      <c r="KQN106" s="973"/>
      <c r="KQO106" s="973"/>
      <c r="KQP106" s="973"/>
      <c r="KQQ106" s="973"/>
      <c r="KQR106" s="973"/>
      <c r="KQS106" s="973"/>
      <c r="KQT106" s="973"/>
      <c r="KQU106" s="973"/>
      <c r="KQV106" s="973"/>
      <c r="KQW106" s="973"/>
      <c r="KQX106" s="973"/>
      <c r="KQY106" s="973"/>
      <c r="KQZ106" s="973"/>
      <c r="KRA106" s="973"/>
      <c r="KRB106" s="973"/>
      <c r="KRC106" s="973"/>
      <c r="KRD106" s="973"/>
      <c r="KRE106" s="973"/>
      <c r="KRF106" s="973"/>
      <c r="KRG106" s="973"/>
      <c r="KRH106" s="973"/>
      <c r="KRI106" s="973"/>
      <c r="KRJ106" s="973"/>
      <c r="KRK106" s="973"/>
      <c r="KRL106" s="973"/>
      <c r="KRM106" s="973"/>
      <c r="KRN106" s="973"/>
      <c r="KRO106" s="973"/>
      <c r="KRP106" s="973"/>
      <c r="KRQ106" s="973"/>
      <c r="KRR106" s="973"/>
      <c r="KRS106" s="973"/>
      <c r="KRT106" s="973"/>
      <c r="KRU106" s="973"/>
      <c r="KRV106" s="973"/>
      <c r="KRW106" s="973"/>
      <c r="KRX106" s="973"/>
      <c r="KRY106" s="973"/>
      <c r="KRZ106" s="973"/>
      <c r="KSA106" s="973"/>
      <c r="KSB106" s="973"/>
      <c r="KSC106" s="973"/>
      <c r="KSD106" s="973"/>
      <c r="KSE106" s="973"/>
      <c r="KSF106" s="973"/>
      <c r="KSG106" s="973"/>
      <c r="KSH106" s="973"/>
      <c r="KSI106" s="973"/>
      <c r="KSJ106" s="973"/>
      <c r="KSK106" s="973"/>
      <c r="KSL106" s="973"/>
      <c r="KSM106" s="973"/>
      <c r="KSN106" s="973"/>
      <c r="KSO106" s="973"/>
      <c r="KSP106" s="973"/>
      <c r="KSQ106" s="973"/>
      <c r="KSR106" s="973"/>
      <c r="KSS106" s="973"/>
      <c r="KST106" s="973"/>
      <c r="KSU106" s="973"/>
      <c r="KSV106" s="973"/>
      <c r="KSW106" s="973"/>
      <c r="KSX106" s="973"/>
      <c r="KSY106" s="973"/>
      <c r="KSZ106" s="973"/>
      <c r="KTA106" s="973"/>
      <c r="KTB106" s="973"/>
      <c r="KTC106" s="973"/>
      <c r="KTD106" s="973"/>
      <c r="KTE106" s="973"/>
      <c r="KTF106" s="973"/>
      <c r="KTG106" s="973"/>
      <c r="KTH106" s="973"/>
      <c r="KTI106" s="973"/>
      <c r="KTJ106" s="973"/>
      <c r="KTK106" s="973"/>
      <c r="KTL106" s="973"/>
      <c r="KTM106" s="973"/>
      <c r="KTN106" s="973"/>
      <c r="KTO106" s="973"/>
      <c r="KTP106" s="973"/>
      <c r="KTQ106" s="973"/>
      <c r="KTR106" s="973"/>
      <c r="KTS106" s="973"/>
      <c r="KTT106" s="973"/>
      <c r="KTU106" s="973"/>
      <c r="KTV106" s="973"/>
      <c r="KTW106" s="973"/>
      <c r="KTX106" s="973"/>
      <c r="KTY106" s="973"/>
      <c r="KTZ106" s="973"/>
      <c r="KUA106" s="973"/>
      <c r="KUB106" s="973"/>
      <c r="KUC106" s="973"/>
      <c r="KUD106" s="973"/>
      <c r="KUE106" s="973"/>
      <c r="KUF106" s="973"/>
      <c r="KUG106" s="973"/>
      <c r="KUH106" s="973"/>
      <c r="KUI106" s="973"/>
      <c r="KUJ106" s="973"/>
      <c r="KUK106" s="973"/>
      <c r="KUL106" s="973"/>
      <c r="KUM106" s="973"/>
      <c r="KUN106" s="973"/>
      <c r="KUO106" s="973"/>
      <c r="KUP106" s="973"/>
      <c r="KUQ106" s="973"/>
      <c r="KUR106" s="973"/>
      <c r="KUS106" s="973"/>
      <c r="KUT106" s="973"/>
      <c r="KUU106" s="973"/>
      <c r="KUV106" s="973"/>
      <c r="KUW106" s="973"/>
      <c r="KUX106" s="973"/>
      <c r="KUY106" s="973"/>
      <c r="KUZ106" s="973"/>
      <c r="KVA106" s="973"/>
      <c r="KVB106" s="973"/>
      <c r="KVC106" s="973"/>
      <c r="KVD106" s="973"/>
      <c r="KVE106" s="973"/>
      <c r="KVF106" s="973"/>
      <c r="KVG106" s="973"/>
      <c r="KVH106" s="973"/>
      <c r="KVI106" s="973"/>
      <c r="KVJ106" s="973"/>
      <c r="KVK106" s="973"/>
      <c r="KVL106" s="973"/>
      <c r="KVM106" s="973"/>
      <c r="KVN106" s="973"/>
      <c r="KVO106" s="973"/>
      <c r="KVP106" s="973"/>
      <c r="KVQ106" s="973"/>
      <c r="KVR106" s="973"/>
      <c r="KVS106" s="973"/>
      <c r="KVT106" s="973"/>
      <c r="KVU106" s="973"/>
      <c r="KVV106" s="973"/>
      <c r="KVW106" s="973"/>
      <c r="KVX106" s="973"/>
      <c r="KVY106" s="973"/>
      <c r="KVZ106" s="973"/>
      <c r="KWA106" s="973"/>
      <c r="KWB106" s="973"/>
      <c r="KWC106" s="973"/>
      <c r="KWD106" s="973"/>
      <c r="KWE106" s="973"/>
      <c r="KWF106" s="973"/>
      <c r="KWG106" s="973"/>
      <c r="KWH106" s="973"/>
      <c r="KWI106" s="973"/>
      <c r="KWJ106" s="973"/>
      <c r="KWK106" s="973"/>
      <c r="KWL106" s="973"/>
      <c r="KWM106" s="973"/>
      <c r="KWN106" s="973"/>
      <c r="KWO106" s="973"/>
      <c r="KWP106" s="973"/>
      <c r="KWQ106" s="973"/>
      <c r="KWR106" s="973"/>
      <c r="KWS106" s="973"/>
      <c r="KWT106" s="973"/>
      <c r="KWU106" s="973"/>
      <c r="KWV106" s="973"/>
      <c r="KWW106" s="973"/>
      <c r="KWX106" s="973"/>
      <c r="KWY106" s="973"/>
      <c r="KWZ106" s="973"/>
      <c r="KXA106" s="973"/>
      <c r="KXB106" s="973"/>
      <c r="KXC106" s="973"/>
      <c r="KXD106" s="973"/>
      <c r="KXE106" s="973"/>
      <c r="KXF106" s="973"/>
      <c r="KXG106" s="973"/>
      <c r="KXH106" s="973"/>
      <c r="KXI106" s="973"/>
      <c r="KXJ106" s="973"/>
      <c r="KXK106" s="973"/>
      <c r="KXL106" s="973"/>
      <c r="KXM106" s="973"/>
      <c r="KXN106" s="973"/>
      <c r="KXO106" s="973"/>
      <c r="KXP106" s="973"/>
      <c r="KXQ106" s="973"/>
      <c r="KXR106" s="973"/>
      <c r="KXS106" s="973"/>
      <c r="KXT106" s="973"/>
      <c r="KXU106" s="973"/>
      <c r="KXV106" s="973"/>
      <c r="KXW106" s="973"/>
      <c r="KXX106" s="973"/>
      <c r="KXY106" s="973"/>
      <c r="KXZ106" s="973"/>
      <c r="KYA106" s="973"/>
      <c r="KYB106" s="973"/>
      <c r="KYC106" s="973"/>
      <c r="KYD106" s="973"/>
      <c r="KYE106" s="973"/>
      <c r="KYF106" s="973"/>
      <c r="KYG106" s="973"/>
      <c r="KYH106" s="973"/>
      <c r="KYI106" s="973"/>
      <c r="KYJ106" s="973"/>
      <c r="KYK106" s="973"/>
      <c r="KYL106" s="973"/>
      <c r="KYM106" s="973"/>
      <c r="KYN106" s="973"/>
      <c r="KYO106" s="973"/>
      <c r="KYP106" s="973"/>
      <c r="KYQ106" s="973"/>
      <c r="KYR106" s="973"/>
      <c r="KYS106" s="973"/>
      <c r="KYT106" s="973"/>
      <c r="KYU106" s="973"/>
      <c r="KYV106" s="973"/>
      <c r="KYW106" s="973"/>
      <c r="KYX106" s="973"/>
      <c r="KYY106" s="973"/>
      <c r="KYZ106" s="973"/>
      <c r="KZA106" s="973"/>
      <c r="KZB106" s="973"/>
      <c r="KZC106" s="973"/>
      <c r="KZD106" s="973"/>
      <c r="KZE106" s="973"/>
      <c r="KZF106" s="973"/>
      <c r="KZG106" s="973"/>
      <c r="KZH106" s="973"/>
      <c r="KZI106" s="973"/>
      <c r="KZJ106" s="973"/>
      <c r="KZK106" s="973"/>
      <c r="KZL106" s="973"/>
      <c r="KZM106" s="973"/>
      <c r="KZN106" s="973"/>
      <c r="KZO106" s="973"/>
      <c r="KZP106" s="973"/>
      <c r="KZQ106" s="973"/>
      <c r="KZR106" s="973"/>
      <c r="KZS106" s="973"/>
      <c r="KZT106" s="973"/>
      <c r="KZU106" s="973"/>
      <c r="KZV106" s="973"/>
      <c r="KZW106" s="973"/>
      <c r="KZX106" s="973"/>
      <c r="KZY106" s="973"/>
      <c r="KZZ106" s="973"/>
      <c r="LAA106" s="973"/>
      <c r="LAB106" s="973"/>
      <c r="LAC106" s="973"/>
      <c r="LAD106" s="973"/>
      <c r="LAE106" s="973"/>
      <c r="LAF106" s="973"/>
      <c r="LAG106" s="973"/>
      <c r="LAH106" s="973"/>
      <c r="LAI106" s="973"/>
      <c r="LAJ106" s="973"/>
      <c r="LAK106" s="973"/>
      <c r="LAL106" s="973"/>
      <c r="LAM106" s="973"/>
      <c r="LAN106" s="973"/>
      <c r="LAO106" s="973"/>
      <c r="LAP106" s="973"/>
      <c r="LAQ106" s="973"/>
      <c r="LAR106" s="973"/>
      <c r="LAS106" s="973"/>
      <c r="LAT106" s="973"/>
      <c r="LAU106" s="973"/>
      <c r="LAV106" s="973"/>
      <c r="LAW106" s="973"/>
      <c r="LAX106" s="973"/>
      <c r="LAY106" s="973"/>
      <c r="LAZ106" s="973"/>
      <c r="LBA106" s="973"/>
      <c r="LBB106" s="973"/>
      <c r="LBC106" s="973"/>
      <c r="LBD106" s="973"/>
      <c r="LBE106" s="973"/>
      <c r="LBF106" s="973"/>
      <c r="LBG106" s="973"/>
      <c r="LBH106" s="973"/>
      <c r="LBI106" s="973"/>
      <c r="LBJ106" s="973"/>
      <c r="LBK106" s="973"/>
      <c r="LBL106" s="973"/>
      <c r="LBM106" s="973"/>
      <c r="LBN106" s="973"/>
      <c r="LBO106" s="973"/>
      <c r="LBP106" s="973"/>
      <c r="LBQ106" s="973"/>
      <c r="LBR106" s="973"/>
      <c r="LBS106" s="973"/>
      <c r="LBT106" s="973"/>
      <c r="LBU106" s="973"/>
      <c r="LBV106" s="973"/>
      <c r="LBW106" s="973"/>
      <c r="LBX106" s="973"/>
      <c r="LBY106" s="973"/>
      <c r="LBZ106" s="973"/>
      <c r="LCA106" s="973"/>
      <c r="LCB106" s="973"/>
      <c r="LCC106" s="973"/>
      <c r="LCD106" s="973"/>
      <c r="LCE106" s="973"/>
      <c r="LCF106" s="973"/>
      <c r="LCG106" s="973"/>
      <c r="LCH106" s="973"/>
      <c r="LCI106" s="973"/>
      <c r="LCJ106" s="973"/>
      <c r="LCK106" s="973"/>
      <c r="LCL106" s="973"/>
      <c r="LCM106" s="973"/>
      <c r="LCN106" s="973"/>
      <c r="LCO106" s="973"/>
      <c r="LCP106" s="973"/>
      <c r="LCQ106" s="973"/>
      <c r="LCR106" s="973"/>
      <c r="LCS106" s="973"/>
      <c r="LCT106" s="973"/>
      <c r="LCU106" s="973"/>
      <c r="LCV106" s="973"/>
      <c r="LCW106" s="973"/>
      <c r="LCX106" s="973"/>
      <c r="LCY106" s="973"/>
      <c r="LCZ106" s="973"/>
      <c r="LDA106" s="973"/>
      <c r="LDB106" s="973"/>
      <c r="LDC106" s="973"/>
      <c r="LDD106" s="973"/>
      <c r="LDE106" s="973"/>
      <c r="LDF106" s="973"/>
      <c r="LDG106" s="973"/>
      <c r="LDH106" s="973"/>
      <c r="LDI106" s="973"/>
      <c r="LDJ106" s="973"/>
      <c r="LDK106" s="973"/>
      <c r="LDL106" s="973"/>
      <c r="LDM106" s="973"/>
      <c r="LDN106" s="973"/>
      <c r="LDO106" s="973"/>
      <c r="LDP106" s="973"/>
      <c r="LDQ106" s="973"/>
      <c r="LDR106" s="973"/>
      <c r="LDS106" s="973"/>
      <c r="LDT106" s="973"/>
      <c r="LDU106" s="973"/>
      <c r="LDV106" s="973"/>
      <c r="LDW106" s="973"/>
      <c r="LDX106" s="973"/>
      <c r="LDY106" s="973"/>
      <c r="LDZ106" s="973"/>
      <c r="LEA106" s="973"/>
      <c r="LEB106" s="973"/>
      <c r="LEC106" s="973"/>
      <c r="LED106" s="973"/>
      <c r="LEE106" s="973"/>
      <c r="LEF106" s="973"/>
      <c r="LEG106" s="973"/>
      <c r="LEH106" s="973"/>
      <c r="LEI106" s="973"/>
      <c r="LEJ106" s="973"/>
      <c r="LEK106" s="973"/>
      <c r="LEL106" s="973"/>
      <c r="LEM106" s="973"/>
      <c r="LEN106" s="973"/>
      <c r="LEO106" s="973"/>
      <c r="LEP106" s="973"/>
      <c r="LEQ106" s="973"/>
      <c r="LER106" s="973"/>
      <c r="LES106" s="973"/>
      <c r="LET106" s="973"/>
      <c r="LEU106" s="973"/>
      <c r="LEV106" s="973"/>
      <c r="LEW106" s="973"/>
      <c r="LEX106" s="973"/>
      <c r="LEY106" s="973"/>
      <c r="LEZ106" s="973"/>
      <c r="LFA106" s="973"/>
      <c r="LFB106" s="973"/>
      <c r="LFC106" s="973"/>
      <c r="LFD106" s="973"/>
      <c r="LFE106" s="973"/>
      <c r="LFF106" s="973"/>
      <c r="LFG106" s="973"/>
      <c r="LFH106" s="973"/>
      <c r="LFI106" s="973"/>
      <c r="LFJ106" s="973"/>
      <c r="LFK106" s="973"/>
      <c r="LFL106" s="973"/>
      <c r="LFM106" s="973"/>
      <c r="LFN106" s="973"/>
      <c r="LFO106" s="973"/>
      <c r="LFP106" s="973"/>
      <c r="LFQ106" s="973"/>
      <c r="LFR106" s="973"/>
      <c r="LFS106" s="973"/>
      <c r="LFT106" s="973"/>
      <c r="LFU106" s="973"/>
      <c r="LFV106" s="973"/>
      <c r="LFW106" s="973"/>
      <c r="LFX106" s="973"/>
      <c r="LFY106" s="973"/>
      <c r="LFZ106" s="973"/>
      <c r="LGA106" s="973"/>
      <c r="LGB106" s="973"/>
      <c r="LGC106" s="973"/>
      <c r="LGD106" s="973"/>
      <c r="LGE106" s="973"/>
      <c r="LGF106" s="973"/>
      <c r="LGG106" s="973"/>
      <c r="LGH106" s="973"/>
      <c r="LGI106" s="973"/>
      <c r="LGJ106" s="973"/>
      <c r="LGK106" s="973"/>
      <c r="LGL106" s="973"/>
      <c r="LGM106" s="973"/>
      <c r="LGN106" s="973"/>
      <c r="LGO106" s="973"/>
      <c r="LGP106" s="973"/>
      <c r="LGQ106" s="973"/>
      <c r="LGR106" s="973"/>
      <c r="LGS106" s="973"/>
      <c r="LGT106" s="973"/>
      <c r="LGU106" s="973"/>
      <c r="LGV106" s="973"/>
      <c r="LGW106" s="973"/>
      <c r="LGX106" s="973"/>
      <c r="LGY106" s="973"/>
      <c r="LGZ106" s="973"/>
      <c r="LHA106" s="973"/>
      <c r="LHB106" s="973"/>
      <c r="LHC106" s="973"/>
      <c r="LHD106" s="973"/>
      <c r="LHE106" s="973"/>
      <c r="LHF106" s="973"/>
      <c r="LHG106" s="973"/>
      <c r="LHH106" s="973"/>
      <c r="LHI106" s="973"/>
      <c r="LHJ106" s="973"/>
      <c r="LHK106" s="973"/>
      <c r="LHL106" s="973"/>
      <c r="LHM106" s="973"/>
      <c r="LHN106" s="973"/>
      <c r="LHO106" s="973"/>
      <c r="LHP106" s="973"/>
      <c r="LHQ106" s="973"/>
      <c r="LHR106" s="973"/>
      <c r="LHS106" s="973"/>
      <c r="LHT106" s="973"/>
      <c r="LHU106" s="973"/>
      <c r="LHV106" s="973"/>
      <c r="LHW106" s="973"/>
      <c r="LHX106" s="973"/>
      <c r="LHY106" s="973"/>
      <c r="LHZ106" s="973"/>
      <c r="LIA106" s="973"/>
      <c r="LIB106" s="973"/>
      <c r="LIC106" s="973"/>
      <c r="LID106" s="973"/>
      <c r="LIE106" s="973"/>
      <c r="LIF106" s="973"/>
      <c r="LIG106" s="973"/>
      <c r="LIH106" s="973"/>
      <c r="LII106" s="973"/>
      <c r="LIJ106" s="973"/>
      <c r="LIK106" s="973"/>
      <c r="LIL106" s="973"/>
      <c r="LIM106" s="973"/>
      <c r="LIN106" s="973"/>
      <c r="LIO106" s="973"/>
      <c r="LIP106" s="973"/>
      <c r="LIQ106" s="973"/>
      <c r="LIR106" s="973"/>
      <c r="LIS106" s="973"/>
      <c r="LIT106" s="973"/>
      <c r="LIU106" s="973"/>
      <c r="LIV106" s="973"/>
      <c r="LIW106" s="973"/>
      <c r="LIX106" s="973"/>
      <c r="LIY106" s="973"/>
      <c r="LIZ106" s="973"/>
      <c r="LJA106" s="973"/>
      <c r="LJB106" s="973"/>
      <c r="LJC106" s="973"/>
      <c r="LJD106" s="973"/>
      <c r="LJE106" s="973"/>
      <c r="LJF106" s="973"/>
      <c r="LJG106" s="973"/>
      <c r="LJH106" s="973"/>
      <c r="LJI106" s="973"/>
      <c r="LJJ106" s="973"/>
      <c r="LJK106" s="973"/>
      <c r="LJL106" s="973"/>
      <c r="LJM106" s="973"/>
      <c r="LJN106" s="973"/>
      <c r="LJO106" s="973"/>
      <c r="LJP106" s="973"/>
      <c r="LJQ106" s="973"/>
      <c r="LJR106" s="973"/>
      <c r="LJS106" s="973"/>
      <c r="LJT106" s="973"/>
      <c r="LJU106" s="973"/>
      <c r="LJV106" s="973"/>
      <c r="LJW106" s="973"/>
      <c r="LJX106" s="973"/>
      <c r="LJY106" s="973"/>
      <c r="LJZ106" s="973"/>
      <c r="LKA106" s="973"/>
      <c r="LKB106" s="973"/>
      <c r="LKC106" s="973"/>
      <c r="LKD106" s="973"/>
      <c r="LKE106" s="973"/>
      <c r="LKF106" s="973"/>
      <c r="LKG106" s="973"/>
      <c r="LKH106" s="973"/>
      <c r="LKI106" s="973"/>
      <c r="LKJ106" s="973"/>
      <c r="LKK106" s="973"/>
      <c r="LKL106" s="973"/>
      <c r="LKM106" s="973"/>
      <c r="LKN106" s="973"/>
      <c r="LKO106" s="973"/>
      <c r="LKP106" s="973"/>
      <c r="LKQ106" s="973"/>
      <c r="LKR106" s="973"/>
      <c r="LKS106" s="973"/>
      <c r="LKT106" s="973"/>
      <c r="LKU106" s="973"/>
      <c r="LKV106" s="973"/>
      <c r="LKW106" s="973"/>
      <c r="LKX106" s="973"/>
      <c r="LKY106" s="973"/>
      <c r="LKZ106" s="973"/>
      <c r="LLA106" s="973"/>
      <c r="LLB106" s="973"/>
      <c r="LLC106" s="973"/>
      <c r="LLD106" s="973"/>
      <c r="LLE106" s="973"/>
      <c r="LLF106" s="973"/>
      <c r="LLG106" s="973"/>
      <c r="LLH106" s="973"/>
      <c r="LLI106" s="973"/>
      <c r="LLJ106" s="973"/>
      <c r="LLK106" s="973"/>
      <c r="LLL106" s="973"/>
      <c r="LLM106" s="973"/>
      <c r="LLN106" s="973"/>
      <c r="LLO106" s="973"/>
      <c r="LLP106" s="973"/>
      <c r="LLQ106" s="973"/>
      <c r="LLR106" s="973"/>
      <c r="LLS106" s="973"/>
      <c r="LLT106" s="973"/>
      <c r="LLU106" s="973"/>
      <c r="LLV106" s="973"/>
      <c r="LLW106" s="973"/>
      <c r="LLX106" s="973"/>
      <c r="LLY106" s="973"/>
      <c r="LLZ106" s="973"/>
      <c r="LMA106" s="973"/>
      <c r="LMB106" s="973"/>
      <c r="LMC106" s="973"/>
      <c r="LMD106" s="973"/>
      <c r="LME106" s="973"/>
      <c r="LMF106" s="973"/>
      <c r="LMG106" s="973"/>
      <c r="LMH106" s="973"/>
      <c r="LMI106" s="973"/>
      <c r="LMJ106" s="973"/>
      <c r="LMK106" s="973"/>
      <c r="LML106" s="973"/>
      <c r="LMM106" s="973"/>
      <c r="LMN106" s="973"/>
      <c r="LMO106" s="973"/>
      <c r="LMP106" s="973"/>
      <c r="LMQ106" s="973"/>
      <c r="LMR106" s="973"/>
      <c r="LMS106" s="973"/>
      <c r="LMT106" s="973"/>
      <c r="LMU106" s="973"/>
      <c r="LMV106" s="973"/>
      <c r="LMW106" s="973"/>
      <c r="LMX106" s="973"/>
      <c r="LMY106" s="973"/>
      <c r="LMZ106" s="973"/>
      <c r="LNA106" s="973"/>
      <c r="LNB106" s="973"/>
      <c r="LNC106" s="973"/>
      <c r="LND106" s="973"/>
      <c r="LNE106" s="973"/>
      <c r="LNF106" s="973"/>
      <c r="LNG106" s="973"/>
      <c r="LNH106" s="973"/>
      <c r="LNI106" s="973"/>
      <c r="LNJ106" s="973"/>
      <c r="LNK106" s="973"/>
      <c r="LNL106" s="973"/>
      <c r="LNM106" s="973"/>
      <c r="LNN106" s="973"/>
      <c r="LNO106" s="973"/>
      <c r="LNP106" s="973"/>
      <c r="LNQ106" s="973"/>
      <c r="LNR106" s="973"/>
      <c r="LNS106" s="973"/>
      <c r="LNT106" s="973"/>
      <c r="LNU106" s="973"/>
      <c r="LNV106" s="973"/>
      <c r="LNW106" s="973"/>
      <c r="LNX106" s="973"/>
      <c r="LNY106" s="973"/>
      <c r="LNZ106" s="973"/>
      <c r="LOA106" s="973"/>
      <c r="LOB106" s="973"/>
      <c r="LOC106" s="973"/>
      <c r="LOD106" s="973"/>
      <c r="LOE106" s="973"/>
      <c r="LOF106" s="973"/>
      <c r="LOG106" s="973"/>
      <c r="LOH106" s="973"/>
      <c r="LOI106" s="973"/>
      <c r="LOJ106" s="973"/>
      <c r="LOK106" s="973"/>
      <c r="LOL106" s="973"/>
      <c r="LOM106" s="973"/>
      <c r="LON106" s="973"/>
      <c r="LOO106" s="973"/>
      <c r="LOP106" s="973"/>
      <c r="LOQ106" s="973"/>
      <c r="LOR106" s="973"/>
      <c r="LOS106" s="973"/>
      <c r="LOT106" s="973"/>
      <c r="LOU106" s="973"/>
      <c r="LOV106" s="973"/>
      <c r="LOW106" s="973"/>
      <c r="LOX106" s="973"/>
      <c r="LOY106" s="973"/>
      <c r="LOZ106" s="973"/>
      <c r="LPA106" s="973"/>
      <c r="LPB106" s="973"/>
      <c r="LPC106" s="973"/>
      <c r="LPD106" s="973"/>
      <c r="LPE106" s="973"/>
      <c r="LPF106" s="973"/>
      <c r="LPG106" s="973"/>
      <c r="LPH106" s="973"/>
      <c r="LPI106" s="973"/>
      <c r="LPJ106" s="973"/>
      <c r="LPK106" s="973"/>
      <c r="LPL106" s="973"/>
      <c r="LPM106" s="973"/>
      <c r="LPN106" s="973"/>
      <c r="LPO106" s="973"/>
      <c r="LPP106" s="973"/>
      <c r="LPQ106" s="973"/>
      <c r="LPR106" s="973"/>
      <c r="LPS106" s="973"/>
      <c r="LPT106" s="973"/>
      <c r="LPU106" s="973"/>
      <c r="LPV106" s="973"/>
      <c r="LPW106" s="973"/>
      <c r="LPX106" s="973"/>
      <c r="LPY106" s="973"/>
      <c r="LPZ106" s="973"/>
      <c r="LQA106" s="973"/>
      <c r="LQB106" s="973"/>
      <c r="LQC106" s="973"/>
      <c r="LQD106" s="973"/>
      <c r="LQE106" s="973"/>
      <c r="LQF106" s="973"/>
      <c r="LQG106" s="973"/>
      <c r="LQH106" s="973"/>
      <c r="LQI106" s="973"/>
      <c r="LQJ106" s="973"/>
      <c r="LQK106" s="973"/>
      <c r="LQL106" s="973"/>
      <c r="LQM106" s="973"/>
      <c r="LQN106" s="973"/>
      <c r="LQO106" s="973"/>
      <c r="LQP106" s="973"/>
      <c r="LQQ106" s="973"/>
      <c r="LQR106" s="973"/>
      <c r="LQS106" s="973"/>
      <c r="LQT106" s="973"/>
      <c r="LQU106" s="973"/>
      <c r="LQV106" s="973"/>
      <c r="LQW106" s="973"/>
      <c r="LQX106" s="973"/>
      <c r="LQY106" s="973"/>
      <c r="LQZ106" s="973"/>
      <c r="LRA106" s="973"/>
      <c r="LRB106" s="973"/>
      <c r="LRC106" s="973"/>
      <c r="LRD106" s="973"/>
      <c r="LRE106" s="973"/>
      <c r="LRF106" s="973"/>
      <c r="LRG106" s="973"/>
      <c r="LRH106" s="973"/>
      <c r="LRI106" s="973"/>
      <c r="LRJ106" s="973"/>
      <c r="LRK106" s="973"/>
      <c r="LRL106" s="973"/>
      <c r="LRM106" s="973"/>
      <c r="LRN106" s="973"/>
      <c r="LRO106" s="973"/>
      <c r="LRP106" s="973"/>
      <c r="LRQ106" s="973"/>
      <c r="LRR106" s="973"/>
      <c r="LRS106" s="973"/>
      <c r="LRT106" s="973"/>
      <c r="LRU106" s="973"/>
      <c r="LRV106" s="973"/>
      <c r="LRW106" s="973"/>
      <c r="LRX106" s="973"/>
      <c r="LRY106" s="973"/>
      <c r="LRZ106" s="973"/>
      <c r="LSA106" s="973"/>
      <c r="LSB106" s="973"/>
      <c r="LSC106" s="973"/>
      <c r="LSD106" s="973"/>
      <c r="LSE106" s="973"/>
      <c r="LSF106" s="973"/>
      <c r="LSG106" s="973"/>
      <c r="LSH106" s="973"/>
      <c r="LSI106" s="973"/>
      <c r="LSJ106" s="973"/>
      <c r="LSK106" s="973"/>
      <c r="LSL106" s="973"/>
      <c r="LSM106" s="973"/>
      <c r="LSN106" s="973"/>
      <c r="LSO106" s="973"/>
      <c r="LSP106" s="973"/>
      <c r="LSQ106" s="973"/>
      <c r="LSR106" s="973"/>
      <c r="LSS106" s="973"/>
      <c r="LST106" s="973"/>
      <c r="LSU106" s="973"/>
      <c r="LSV106" s="973"/>
      <c r="LSW106" s="973"/>
      <c r="LSX106" s="973"/>
      <c r="LSY106" s="973"/>
      <c r="LSZ106" s="973"/>
      <c r="LTA106" s="973"/>
      <c r="LTB106" s="973"/>
      <c r="LTC106" s="973"/>
      <c r="LTD106" s="973"/>
      <c r="LTE106" s="973"/>
      <c r="LTF106" s="973"/>
      <c r="LTG106" s="973"/>
      <c r="LTH106" s="973"/>
      <c r="LTI106" s="973"/>
      <c r="LTJ106" s="973"/>
      <c r="LTK106" s="973"/>
      <c r="LTL106" s="973"/>
      <c r="LTM106" s="973"/>
      <c r="LTN106" s="973"/>
      <c r="LTO106" s="973"/>
      <c r="LTP106" s="973"/>
      <c r="LTQ106" s="973"/>
      <c r="LTR106" s="973"/>
      <c r="LTS106" s="973"/>
      <c r="LTT106" s="973"/>
      <c r="LTU106" s="973"/>
      <c r="LTV106" s="973"/>
      <c r="LTW106" s="973"/>
      <c r="LTX106" s="973"/>
      <c r="LTY106" s="973"/>
      <c r="LTZ106" s="973"/>
      <c r="LUA106" s="973"/>
      <c r="LUB106" s="973"/>
      <c r="LUC106" s="973"/>
      <c r="LUD106" s="973"/>
      <c r="LUE106" s="973"/>
      <c r="LUF106" s="973"/>
      <c r="LUG106" s="973"/>
      <c r="LUH106" s="973"/>
      <c r="LUI106" s="973"/>
      <c r="LUJ106" s="973"/>
      <c r="LUK106" s="973"/>
      <c r="LUL106" s="973"/>
      <c r="LUM106" s="973"/>
      <c r="LUN106" s="973"/>
      <c r="LUO106" s="973"/>
      <c r="LUP106" s="973"/>
      <c r="LUQ106" s="973"/>
      <c r="LUR106" s="973"/>
      <c r="LUS106" s="973"/>
      <c r="LUT106" s="973"/>
      <c r="LUU106" s="973"/>
      <c r="LUV106" s="973"/>
      <c r="LUW106" s="973"/>
      <c r="LUX106" s="973"/>
      <c r="LUY106" s="973"/>
      <c r="LUZ106" s="973"/>
      <c r="LVA106" s="973"/>
      <c r="LVB106" s="973"/>
      <c r="LVC106" s="973"/>
      <c r="LVD106" s="973"/>
      <c r="LVE106" s="973"/>
      <c r="LVF106" s="973"/>
      <c r="LVG106" s="973"/>
      <c r="LVH106" s="973"/>
      <c r="LVI106" s="973"/>
      <c r="LVJ106" s="973"/>
      <c r="LVK106" s="973"/>
      <c r="LVL106" s="973"/>
      <c r="LVM106" s="973"/>
      <c r="LVN106" s="973"/>
      <c r="LVO106" s="973"/>
      <c r="LVP106" s="973"/>
      <c r="LVQ106" s="973"/>
      <c r="LVR106" s="973"/>
      <c r="LVS106" s="973"/>
      <c r="LVT106" s="973"/>
      <c r="LVU106" s="973"/>
      <c r="LVV106" s="973"/>
      <c r="LVW106" s="973"/>
      <c r="LVX106" s="973"/>
      <c r="LVY106" s="973"/>
      <c r="LVZ106" s="973"/>
      <c r="LWA106" s="973"/>
      <c r="LWB106" s="973"/>
      <c r="LWC106" s="973"/>
      <c r="LWD106" s="973"/>
      <c r="LWE106" s="973"/>
      <c r="LWF106" s="973"/>
      <c r="LWG106" s="973"/>
      <c r="LWH106" s="973"/>
      <c r="LWI106" s="973"/>
      <c r="LWJ106" s="973"/>
      <c r="LWK106" s="973"/>
      <c r="LWL106" s="973"/>
      <c r="LWM106" s="973"/>
      <c r="LWN106" s="973"/>
      <c r="LWO106" s="973"/>
      <c r="LWP106" s="973"/>
      <c r="LWQ106" s="973"/>
      <c r="LWR106" s="973"/>
      <c r="LWS106" s="973"/>
      <c r="LWT106" s="973"/>
      <c r="LWU106" s="973"/>
      <c r="LWV106" s="973"/>
      <c r="LWW106" s="973"/>
      <c r="LWX106" s="973"/>
      <c r="LWY106" s="973"/>
      <c r="LWZ106" s="973"/>
      <c r="LXA106" s="973"/>
      <c r="LXB106" s="973"/>
      <c r="LXC106" s="973"/>
      <c r="LXD106" s="973"/>
      <c r="LXE106" s="973"/>
      <c r="LXF106" s="973"/>
      <c r="LXG106" s="973"/>
      <c r="LXH106" s="973"/>
      <c r="LXI106" s="973"/>
      <c r="LXJ106" s="973"/>
      <c r="LXK106" s="973"/>
      <c r="LXL106" s="973"/>
      <c r="LXM106" s="973"/>
      <c r="LXN106" s="973"/>
      <c r="LXO106" s="973"/>
      <c r="LXP106" s="973"/>
      <c r="LXQ106" s="973"/>
      <c r="LXR106" s="973"/>
      <c r="LXS106" s="973"/>
      <c r="LXT106" s="973"/>
      <c r="LXU106" s="973"/>
      <c r="LXV106" s="973"/>
      <c r="LXW106" s="973"/>
      <c r="LXX106" s="973"/>
      <c r="LXY106" s="973"/>
      <c r="LXZ106" s="973"/>
      <c r="LYA106" s="973"/>
      <c r="LYB106" s="973"/>
      <c r="LYC106" s="973"/>
      <c r="LYD106" s="973"/>
      <c r="LYE106" s="973"/>
      <c r="LYF106" s="973"/>
      <c r="LYG106" s="973"/>
      <c r="LYH106" s="973"/>
      <c r="LYI106" s="973"/>
      <c r="LYJ106" s="973"/>
      <c r="LYK106" s="973"/>
      <c r="LYL106" s="973"/>
      <c r="LYM106" s="973"/>
      <c r="LYN106" s="973"/>
      <c r="LYO106" s="973"/>
      <c r="LYP106" s="973"/>
      <c r="LYQ106" s="973"/>
      <c r="LYR106" s="973"/>
      <c r="LYS106" s="973"/>
      <c r="LYT106" s="973"/>
      <c r="LYU106" s="973"/>
      <c r="LYV106" s="973"/>
      <c r="LYW106" s="973"/>
      <c r="LYX106" s="973"/>
      <c r="LYY106" s="973"/>
      <c r="LYZ106" s="973"/>
      <c r="LZA106" s="973"/>
      <c r="LZB106" s="973"/>
      <c r="LZC106" s="973"/>
      <c r="LZD106" s="973"/>
      <c r="LZE106" s="973"/>
      <c r="LZF106" s="973"/>
      <c r="LZG106" s="973"/>
      <c r="LZH106" s="973"/>
      <c r="LZI106" s="973"/>
      <c r="LZJ106" s="973"/>
      <c r="LZK106" s="973"/>
      <c r="LZL106" s="973"/>
      <c r="LZM106" s="973"/>
      <c r="LZN106" s="973"/>
      <c r="LZO106" s="973"/>
      <c r="LZP106" s="973"/>
      <c r="LZQ106" s="973"/>
      <c r="LZR106" s="973"/>
      <c r="LZS106" s="973"/>
      <c r="LZT106" s="973"/>
      <c r="LZU106" s="973"/>
      <c r="LZV106" s="973"/>
      <c r="LZW106" s="973"/>
      <c r="LZX106" s="973"/>
      <c r="LZY106" s="973"/>
      <c r="LZZ106" s="973"/>
      <c r="MAA106" s="973"/>
      <c r="MAB106" s="973"/>
      <c r="MAC106" s="973"/>
      <c r="MAD106" s="973"/>
      <c r="MAE106" s="973"/>
      <c r="MAF106" s="973"/>
      <c r="MAG106" s="973"/>
      <c r="MAH106" s="973"/>
      <c r="MAI106" s="973"/>
      <c r="MAJ106" s="973"/>
      <c r="MAK106" s="973"/>
      <c r="MAL106" s="973"/>
      <c r="MAM106" s="973"/>
      <c r="MAN106" s="973"/>
      <c r="MAO106" s="973"/>
      <c r="MAP106" s="973"/>
      <c r="MAQ106" s="973"/>
      <c r="MAR106" s="973"/>
      <c r="MAS106" s="973"/>
      <c r="MAT106" s="973"/>
      <c r="MAU106" s="973"/>
      <c r="MAV106" s="973"/>
      <c r="MAW106" s="973"/>
      <c r="MAX106" s="973"/>
      <c r="MAY106" s="973"/>
      <c r="MAZ106" s="973"/>
      <c r="MBA106" s="973"/>
      <c r="MBB106" s="973"/>
      <c r="MBC106" s="973"/>
      <c r="MBD106" s="973"/>
      <c r="MBE106" s="973"/>
      <c r="MBF106" s="973"/>
      <c r="MBG106" s="973"/>
      <c r="MBH106" s="973"/>
      <c r="MBI106" s="973"/>
      <c r="MBJ106" s="973"/>
      <c r="MBK106" s="973"/>
      <c r="MBL106" s="973"/>
      <c r="MBM106" s="973"/>
      <c r="MBN106" s="973"/>
      <c r="MBO106" s="973"/>
      <c r="MBP106" s="973"/>
      <c r="MBQ106" s="973"/>
      <c r="MBR106" s="973"/>
      <c r="MBS106" s="973"/>
      <c r="MBT106" s="973"/>
      <c r="MBU106" s="973"/>
      <c r="MBV106" s="973"/>
      <c r="MBW106" s="973"/>
      <c r="MBX106" s="973"/>
      <c r="MBY106" s="973"/>
      <c r="MBZ106" s="973"/>
      <c r="MCA106" s="973"/>
      <c r="MCB106" s="973"/>
      <c r="MCC106" s="973"/>
      <c r="MCD106" s="973"/>
      <c r="MCE106" s="973"/>
      <c r="MCF106" s="973"/>
      <c r="MCG106" s="973"/>
      <c r="MCH106" s="973"/>
      <c r="MCI106" s="973"/>
      <c r="MCJ106" s="973"/>
      <c r="MCK106" s="973"/>
      <c r="MCL106" s="973"/>
      <c r="MCM106" s="973"/>
      <c r="MCN106" s="973"/>
      <c r="MCO106" s="973"/>
      <c r="MCP106" s="973"/>
      <c r="MCQ106" s="973"/>
      <c r="MCR106" s="973"/>
      <c r="MCS106" s="973"/>
      <c r="MCT106" s="973"/>
      <c r="MCU106" s="973"/>
      <c r="MCV106" s="973"/>
      <c r="MCW106" s="973"/>
      <c r="MCX106" s="973"/>
      <c r="MCY106" s="973"/>
      <c r="MCZ106" s="973"/>
      <c r="MDA106" s="973"/>
      <c r="MDB106" s="973"/>
      <c r="MDC106" s="973"/>
      <c r="MDD106" s="973"/>
      <c r="MDE106" s="973"/>
      <c r="MDF106" s="973"/>
      <c r="MDG106" s="973"/>
      <c r="MDH106" s="973"/>
      <c r="MDI106" s="973"/>
      <c r="MDJ106" s="973"/>
      <c r="MDK106" s="973"/>
      <c r="MDL106" s="973"/>
      <c r="MDM106" s="973"/>
      <c r="MDN106" s="973"/>
      <c r="MDO106" s="973"/>
      <c r="MDP106" s="973"/>
      <c r="MDQ106" s="973"/>
      <c r="MDR106" s="973"/>
      <c r="MDS106" s="973"/>
      <c r="MDT106" s="973"/>
      <c r="MDU106" s="973"/>
      <c r="MDV106" s="973"/>
      <c r="MDW106" s="973"/>
      <c r="MDX106" s="973"/>
      <c r="MDY106" s="973"/>
      <c r="MDZ106" s="973"/>
      <c r="MEA106" s="973"/>
      <c r="MEB106" s="973"/>
      <c r="MEC106" s="973"/>
      <c r="MED106" s="973"/>
      <c r="MEE106" s="973"/>
      <c r="MEF106" s="973"/>
      <c r="MEG106" s="973"/>
      <c r="MEH106" s="973"/>
      <c r="MEI106" s="973"/>
      <c r="MEJ106" s="973"/>
      <c r="MEK106" s="973"/>
      <c r="MEL106" s="973"/>
      <c r="MEM106" s="973"/>
      <c r="MEN106" s="973"/>
      <c r="MEO106" s="973"/>
      <c r="MEP106" s="973"/>
      <c r="MEQ106" s="973"/>
      <c r="MER106" s="973"/>
      <c r="MES106" s="973"/>
      <c r="MET106" s="973"/>
      <c r="MEU106" s="973"/>
      <c r="MEV106" s="973"/>
      <c r="MEW106" s="973"/>
      <c r="MEX106" s="973"/>
      <c r="MEY106" s="973"/>
      <c r="MEZ106" s="973"/>
      <c r="MFA106" s="973"/>
      <c r="MFB106" s="973"/>
      <c r="MFC106" s="973"/>
      <c r="MFD106" s="973"/>
      <c r="MFE106" s="973"/>
      <c r="MFF106" s="973"/>
      <c r="MFG106" s="973"/>
      <c r="MFH106" s="973"/>
      <c r="MFI106" s="973"/>
      <c r="MFJ106" s="973"/>
      <c r="MFK106" s="973"/>
      <c r="MFL106" s="973"/>
      <c r="MFM106" s="973"/>
      <c r="MFN106" s="973"/>
      <c r="MFO106" s="973"/>
      <c r="MFP106" s="973"/>
      <c r="MFQ106" s="973"/>
      <c r="MFR106" s="973"/>
      <c r="MFS106" s="973"/>
      <c r="MFT106" s="973"/>
      <c r="MFU106" s="973"/>
      <c r="MFV106" s="973"/>
      <c r="MFW106" s="973"/>
      <c r="MFX106" s="973"/>
      <c r="MFY106" s="973"/>
      <c r="MFZ106" s="973"/>
      <c r="MGA106" s="973"/>
      <c r="MGB106" s="973"/>
      <c r="MGC106" s="973"/>
      <c r="MGD106" s="973"/>
      <c r="MGE106" s="973"/>
      <c r="MGF106" s="973"/>
      <c r="MGG106" s="973"/>
      <c r="MGH106" s="973"/>
      <c r="MGI106" s="973"/>
      <c r="MGJ106" s="973"/>
      <c r="MGK106" s="973"/>
      <c r="MGL106" s="973"/>
      <c r="MGM106" s="973"/>
      <c r="MGN106" s="973"/>
      <c r="MGO106" s="973"/>
      <c r="MGP106" s="973"/>
      <c r="MGQ106" s="973"/>
      <c r="MGR106" s="973"/>
      <c r="MGS106" s="973"/>
      <c r="MGT106" s="973"/>
      <c r="MGU106" s="973"/>
      <c r="MGV106" s="973"/>
      <c r="MGW106" s="973"/>
      <c r="MGX106" s="973"/>
      <c r="MGY106" s="973"/>
      <c r="MGZ106" s="973"/>
      <c r="MHA106" s="973"/>
      <c r="MHB106" s="973"/>
      <c r="MHC106" s="973"/>
      <c r="MHD106" s="973"/>
      <c r="MHE106" s="973"/>
      <c r="MHF106" s="973"/>
      <c r="MHG106" s="973"/>
      <c r="MHH106" s="973"/>
      <c r="MHI106" s="973"/>
      <c r="MHJ106" s="973"/>
      <c r="MHK106" s="973"/>
      <c r="MHL106" s="973"/>
      <c r="MHM106" s="973"/>
      <c r="MHN106" s="973"/>
      <c r="MHO106" s="973"/>
      <c r="MHP106" s="973"/>
      <c r="MHQ106" s="973"/>
      <c r="MHR106" s="973"/>
      <c r="MHS106" s="973"/>
      <c r="MHT106" s="973"/>
      <c r="MHU106" s="973"/>
      <c r="MHV106" s="973"/>
      <c r="MHW106" s="973"/>
      <c r="MHX106" s="973"/>
      <c r="MHY106" s="973"/>
      <c r="MHZ106" s="973"/>
      <c r="MIA106" s="973"/>
      <c r="MIB106" s="973"/>
      <c r="MIC106" s="973"/>
      <c r="MID106" s="973"/>
      <c r="MIE106" s="973"/>
      <c r="MIF106" s="973"/>
      <c r="MIG106" s="973"/>
      <c r="MIH106" s="973"/>
      <c r="MII106" s="973"/>
      <c r="MIJ106" s="973"/>
      <c r="MIK106" s="973"/>
      <c r="MIL106" s="973"/>
      <c r="MIM106" s="973"/>
      <c r="MIN106" s="973"/>
      <c r="MIO106" s="973"/>
      <c r="MIP106" s="973"/>
      <c r="MIQ106" s="973"/>
      <c r="MIR106" s="973"/>
      <c r="MIS106" s="973"/>
      <c r="MIT106" s="973"/>
      <c r="MIU106" s="973"/>
      <c r="MIV106" s="973"/>
      <c r="MIW106" s="973"/>
      <c r="MIX106" s="973"/>
      <c r="MIY106" s="973"/>
      <c r="MIZ106" s="973"/>
      <c r="MJA106" s="973"/>
      <c r="MJB106" s="973"/>
      <c r="MJC106" s="973"/>
      <c r="MJD106" s="973"/>
      <c r="MJE106" s="973"/>
      <c r="MJF106" s="973"/>
      <c r="MJG106" s="973"/>
      <c r="MJH106" s="973"/>
      <c r="MJI106" s="973"/>
      <c r="MJJ106" s="973"/>
      <c r="MJK106" s="973"/>
      <c r="MJL106" s="973"/>
      <c r="MJM106" s="973"/>
      <c r="MJN106" s="973"/>
      <c r="MJO106" s="973"/>
      <c r="MJP106" s="973"/>
      <c r="MJQ106" s="973"/>
      <c r="MJR106" s="973"/>
      <c r="MJS106" s="973"/>
      <c r="MJT106" s="973"/>
      <c r="MJU106" s="973"/>
      <c r="MJV106" s="973"/>
      <c r="MJW106" s="973"/>
      <c r="MJX106" s="973"/>
      <c r="MJY106" s="973"/>
      <c r="MJZ106" s="973"/>
      <c r="MKA106" s="973"/>
      <c r="MKB106" s="973"/>
      <c r="MKC106" s="973"/>
      <c r="MKD106" s="973"/>
      <c r="MKE106" s="973"/>
      <c r="MKF106" s="973"/>
      <c r="MKG106" s="973"/>
      <c r="MKH106" s="973"/>
      <c r="MKI106" s="973"/>
      <c r="MKJ106" s="973"/>
      <c r="MKK106" s="973"/>
      <c r="MKL106" s="973"/>
      <c r="MKM106" s="973"/>
      <c r="MKN106" s="973"/>
      <c r="MKO106" s="973"/>
      <c r="MKP106" s="973"/>
      <c r="MKQ106" s="973"/>
      <c r="MKR106" s="973"/>
      <c r="MKS106" s="973"/>
      <c r="MKT106" s="973"/>
      <c r="MKU106" s="973"/>
      <c r="MKV106" s="973"/>
      <c r="MKW106" s="973"/>
      <c r="MKX106" s="973"/>
      <c r="MKY106" s="973"/>
      <c r="MKZ106" s="973"/>
      <c r="MLA106" s="973"/>
      <c r="MLB106" s="973"/>
      <c r="MLC106" s="973"/>
      <c r="MLD106" s="973"/>
      <c r="MLE106" s="973"/>
      <c r="MLF106" s="973"/>
      <c r="MLG106" s="973"/>
      <c r="MLH106" s="973"/>
      <c r="MLI106" s="973"/>
      <c r="MLJ106" s="973"/>
      <c r="MLK106" s="973"/>
      <c r="MLL106" s="973"/>
      <c r="MLM106" s="973"/>
      <c r="MLN106" s="973"/>
      <c r="MLO106" s="973"/>
      <c r="MLP106" s="973"/>
      <c r="MLQ106" s="973"/>
      <c r="MLR106" s="973"/>
      <c r="MLS106" s="973"/>
      <c r="MLT106" s="973"/>
      <c r="MLU106" s="973"/>
      <c r="MLV106" s="973"/>
      <c r="MLW106" s="973"/>
      <c r="MLX106" s="973"/>
      <c r="MLY106" s="973"/>
      <c r="MLZ106" s="973"/>
      <c r="MMA106" s="973"/>
      <c r="MMB106" s="973"/>
      <c r="MMC106" s="973"/>
      <c r="MMD106" s="973"/>
      <c r="MME106" s="973"/>
      <c r="MMF106" s="973"/>
      <c r="MMG106" s="973"/>
      <c r="MMH106" s="973"/>
      <c r="MMI106" s="973"/>
      <c r="MMJ106" s="973"/>
      <c r="MMK106" s="973"/>
      <c r="MML106" s="973"/>
      <c r="MMM106" s="973"/>
      <c r="MMN106" s="973"/>
      <c r="MMO106" s="973"/>
      <c r="MMP106" s="973"/>
      <c r="MMQ106" s="973"/>
      <c r="MMR106" s="973"/>
      <c r="MMS106" s="973"/>
      <c r="MMT106" s="973"/>
      <c r="MMU106" s="973"/>
      <c r="MMV106" s="973"/>
      <c r="MMW106" s="973"/>
      <c r="MMX106" s="973"/>
      <c r="MMY106" s="973"/>
      <c r="MMZ106" s="973"/>
      <c r="MNA106" s="973"/>
      <c r="MNB106" s="973"/>
      <c r="MNC106" s="973"/>
      <c r="MND106" s="973"/>
      <c r="MNE106" s="973"/>
      <c r="MNF106" s="973"/>
      <c r="MNG106" s="973"/>
      <c r="MNH106" s="973"/>
      <c r="MNI106" s="973"/>
      <c r="MNJ106" s="973"/>
      <c r="MNK106" s="973"/>
      <c r="MNL106" s="973"/>
      <c r="MNM106" s="973"/>
      <c r="MNN106" s="973"/>
      <c r="MNO106" s="973"/>
      <c r="MNP106" s="973"/>
      <c r="MNQ106" s="973"/>
      <c r="MNR106" s="973"/>
      <c r="MNS106" s="973"/>
      <c r="MNT106" s="973"/>
      <c r="MNU106" s="973"/>
      <c r="MNV106" s="973"/>
      <c r="MNW106" s="973"/>
      <c r="MNX106" s="973"/>
      <c r="MNY106" s="973"/>
      <c r="MNZ106" s="973"/>
      <c r="MOA106" s="973"/>
      <c r="MOB106" s="973"/>
      <c r="MOC106" s="973"/>
      <c r="MOD106" s="973"/>
      <c r="MOE106" s="973"/>
      <c r="MOF106" s="973"/>
      <c r="MOG106" s="973"/>
      <c r="MOH106" s="973"/>
      <c r="MOI106" s="973"/>
      <c r="MOJ106" s="973"/>
      <c r="MOK106" s="973"/>
      <c r="MOL106" s="973"/>
      <c r="MOM106" s="973"/>
      <c r="MON106" s="973"/>
      <c r="MOO106" s="973"/>
      <c r="MOP106" s="973"/>
      <c r="MOQ106" s="973"/>
      <c r="MOR106" s="973"/>
      <c r="MOS106" s="973"/>
      <c r="MOT106" s="973"/>
      <c r="MOU106" s="973"/>
      <c r="MOV106" s="973"/>
      <c r="MOW106" s="973"/>
      <c r="MOX106" s="973"/>
      <c r="MOY106" s="973"/>
      <c r="MOZ106" s="973"/>
      <c r="MPA106" s="973"/>
      <c r="MPB106" s="973"/>
      <c r="MPC106" s="973"/>
      <c r="MPD106" s="973"/>
      <c r="MPE106" s="973"/>
      <c r="MPF106" s="973"/>
      <c r="MPG106" s="973"/>
      <c r="MPH106" s="973"/>
      <c r="MPI106" s="973"/>
      <c r="MPJ106" s="973"/>
      <c r="MPK106" s="973"/>
      <c r="MPL106" s="973"/>
      <c r="MPM106" s="973"/>
      <c r="MPN106" s="973"/>
      <c r="MPO106" s="973"/>
      <c r="MPP106" s="973"/>
      <c r="MPQ106" s="973"/>
      <c r="MPR106" s="973"/>
      <c r="MPS106" s="973"/>
      <c r="MPT106" s="973"/>
      <c r="MPU106" s="973"/>
      <c r="MPV106" s="973"/>
      <c r="MPW106" s="973"/>
      <c r="MPX106" s="973"/>
      <c r="MPY106" s="973"/>
      <c r="MPZ106" s="973"/>
      <c r="MQA106" s="973"/>
      <c r="MQB106" s="973"/>
      <c r="MQC106" s="973"/>
      <c r="MQD106" s="973"/>
      <c r="MQE106" s="973"/>
      <c r="MQF106" s="973"/>
      <c r="MQG106" s="973"/>
      <c r="MQH106" s="973"/>
      <c r="MQI106" s="973"/>
      <c r="MQJ106" s="973"/>
      <c r="MQK106" s="973"/>
      <c r="MQL106" s="973"/>
      <c r="MQM106" s="973"/>
      <c r="MQN106" s="973"/>
      <c r="MQO106" s="973"/>
      <c r="MQP106" s="973"/>
      <c r="MQQ106" s="973"/>
      <c r="MQR106" s="973"/>
      <c r="MQS106" s="973"/>
      <c r="MQT106" s="973"/>
      <c r="MQU106" s="973"/>
      <c r="MQV106" s="973"/>
      <c r="MQW106" s="973"/>
      <c r="MQX106" s="973"/>
      <c r="MQY106" s="973"/>
      <c r="MQZ106" s="973"/>
      <c r="MRA106" s="973"/>
      <c r="MRB106" s="973"/>
      <c r="MRC106" s="973"/>
      <c r="MRD106" s="973"/>
      <c r="MRE106" s="973"/>
      <c r="MRF106" s="973"/>
      <c r="MRG106" s="973"/>
      <c r="MRH106" s="973"/>
      <c r="MRI106" s="973"/>
      <c r="MRJ106" s="973"/>
      <c r="MRK106" s="973"/>
      <c r="MRL106" s="973"/>
      <c r="MRM106" s="973"/>
      <c r="MRN106" s="973"/>
      <c r="MRO106" s="973"/>
      <c r="MRP106" s="973"/>
      <c r="MRQ106" s="973"/>
      <c r="MRR106" s="973"/>
      <c r="MRS106" s="973"/>
      <c r="MRT106" s="973"/>
      <c r="MRU106" s="973"/>
      <c r="MRV106" s="973"/>
      <c r="MRW106" s="973"/>
      <c r="MRX106" s="973"/>
      <c r="MRY106" s="973"/>
      <c r="MRZ106" s="973"/>
      <c r="MSA106" s="973"/>
      <c r="MSB106" s="973"/>
      <c r="MSC106" s="973"/>
      <c r="MSD106" s="973"/>
      <c r="MSE106" s="973"/>
      <c r="MSF106" s="973"/>
      <c r="MSG106" s="973"/>
      <c r="MSH106" s="973"/>
      <c r="MSI106" s="973"/>
      <c r="MSJ106" s="973"/>
      <c r="MSK106" s="973"/>
      <c r="MSL106" s="973"/>
      <c r="MSM106" s="973"/>
      <c r="MSN106" s="973"/>
      <c r="MSO106" s="973"/>
      <c r="MSP106" s="973"/>
      <c r="MSQ106" s="973"/>
      <c r="MSR106" s="973"/>
      <c r="MSS106" s="973"/>
      <c r="MST106" s="973"/>
      <c r="MSU106" s="973"/>
      <c r="MSV106" s="973"/>
      <c r="MSW106" s="973"/>
      <c r="MSX106" s="973"/>
      <c r="MSY106" s="973"/>
      <c r="MSZ106" s="973"/>
      <c r="MTA106" s="973"/>
      <c r="MTB106" s="973"/>
      <c r="MTC106" s="973"/>
      <c r="MTD106" s="973"/>
      <c r="MTE106" s="973"/>
      <c r="MTF106" s="973"/>
      <c r="MTG106" s="973"/>
      <c r="MTH106" s="973"/>
      <c r="MTI106" s="973"/>
      <c r="MTJ106" s="973"/>
      <c r="MTK106" s="973"/>
      <c r="MTL106" s="973"/>
      <c r="MTM106" s="973"/>
      <c r="MTN106" s="973"/>
      <c r="MTO106" s="973"/>
      <c r="MTP106" s="973"/>
      <c r="MTQ106" s="973"/>
      <c r="MTR106" s="973"/>
      <c r="MTS106" s="973"/>
      <c r="MTT106" s="973"/>
      <c r="MTU106" s="973"/>
      <c r="MTV106" s="973"/>
      <c r="MTW106" s="973"/>
      <c r="MTX106" s="973"/>
      <c r="MTY106" s="973"/>
      <c r="MTZ106" s="973"/>
      <c r="MUA106" s="973"/>
      <c r="MUB106" s="973"/>
      <c r="MUC106" s="973"/>
      <c r="MUD106" s="973"/>
      <c r="MUE106" s="973"/>
      <c r="MUF106" s="973"/>
      <c r="MUG106" s="973"/>
      <c r="MUH106" s="973"/>
      <c r="MUI106" s="973"/>
      <c r="MUJ106" s="973"/>
      <c r="MUK106" s="973"/>
      <c r="MUL106" s="973"/>
      <c r="MUM106" s="973"/>
      <c r="MUN106" s="973"/>
      <c r="MUO106" s="973"/>
      <c r="MUP106" s="973"/>
      <c r="MUQ106" s="973"/>
      <c r="MUR106" s="973"/>
      <c r="MUS106" s="973"/>
      <c r="MUT106" s="973"/>
      <c r="MUU106" s="973"/>
      <c r="MUV106" s="973"/>
      <c r="MUW106" s="973"/>
      <c r="MUX106" s="973"/>
      <c r="MUY106" s="973"/>
      <c r="MUZ106" s="973"/>
      <c r="MVA106" s="973"/>
      <c r="MVB106" s="973"/>
      <c r="MVC106" s="973"/>
      <c r="MVD106" s="973"/>
      <c r="MVE106" s="973"/>
      <c r="MVF106" s="973"/>
      <c r="MVG106" s="973"/>
      <c r="MVH106" s="973"/>
      <c r="MVI106" s="973"/>
      <c r="MVJ106" s="973"/>
      <c r="MVK106" s="973"/>
      <c r="MVL106" s="973"/>
      <c r="MVM106" s="973"/>
      <c r="MVN106" s="973"/>
      <c r="MVO106" s="973"/>
      <c r="MVP106" s="973"/>
      <c r="MVQ106" s="973"/>
      <c r="MVR106" s="973"/>
      <c r="MVS106" s="973"/>
      <c r="MVT106" s="973"/>
      <c r="MVU106" s="973"/>
      <c r="MVV106" s="973"/>
      <c r="MVW106" s="973"/>
      <c r="MVX106" s="973"/>
      <c r="MVY106" s="973"/>
      <c r="MVZ106" s="973"/>
      <c r="MWA106" s="973"/>
      <c r="MWB106" s="973"/>
      <c r="MWC106" s="973"/>
      <c r="MWD106" s="973"/>
      <c r="MWE106" s="973"/>
      <c r="MWF106" s="973"/>
      <c r="MWG106" s="973"/>
      <c r="MWH106" s="973"/>
      <c r="MWI106" s="973"/>
      <c r="MWJ106" s="973"/>
      <c r="MWK106" s="973"/>
      <c r="MWL106" s="973"/>
      <c r="MWM106" s="973"/>
      <c r="MWN106" s="973"/>
      <c r="MWO106" s="973"/>
      <c r="MWP106" s="973"/>
      <c r="MWQ106" s="973"/>
      <c r="MWR106" s="973"/>
      <c r="MWS106" s="973"/>
      <c r="MWT106" s="973"/>
      <c r="MWU106" s="973"/>
      <c r="MWV106" s="973"/>
      <c r="MWW106" s="973"/>
      <c r="MWX106" s="973"/>
      <c r="MWY106" s="973"/>
      <c r="MWZ106" s="973"/>
      <c r="MXA106" s="973"/>
      <c r="MXB106" s="973"/>
      <c r="MXC106" s="973"/>
      <c r="MXD106" s="973"/>
      <c r="MXE106" s="973"/>
      <c r="MXF106" s="973"/>
      <c r="MXG106" s="973"/>
      <c r="MXH106" s="973"/>
      <c r="MXI106" s="973"/>
      <c r="MXJ106" s="973"/>
      <c r="MXK106" s="973"/>
      <c r="MXL106" s="973"/>
      <c r="MXM106" s="973"/>
      <c r="MXN106" s="973"/>
      <c r="MXO106" s="973"/>
      <c r="MXP106" s="973"/>
      <c r="MXQ106" s="973"/>
      <c r="MXR106" s="973"/>
      <c r="MXS106" s="973"/>
      <c r="MXT106" s="973"/>
      <c r="MXU106" s="973"/>
      <c r="MXV106" s="973"/>
      <c r="MXW106" s="973"/>
      <c r="MXX106" s="973"/>
      <c r="MXY106" s="973"/>
      <c r="MXZ106" s="973"/>
      <c r="MYA106" s="973"/>
      <c r="MYB106" s="973"/>
      <c r="MYC106" s="973"/>
      <c r="MYD106" s="973"/>
      <c r="MYE106" s="973"/>
      <c r="MYF106" s="973"/>
      <c r="MYG106" s="973"/>
      <c r="MYH106" s="973"/>
      <c r="MYI106" s="973"/>
      <c r="MYJ106" s="973"/>
      <c r="MYK106" s="973"/>
      <c r="MYL106" s="973"/>
      <c r="MYM106" s="973"/>
      <c r="MYN106" s="973"/>
      <c r="MYO106" s="973"/>
      <c r="MYP106" s="973"/>
      <c r="MYQ106" s="973"/>
      <c r="MYR106" s="973"/>
      <c r="MYS106" s="973"/>
      <c r="MYT106" s="973"/>
      <c r="MYU106" s="973"/>
      <c r="MYV106" s="973"/>
      <c r="MYW106" s="973"/>
      <c r="MYX106" s="973"/>
      <c r="MYY106" s="973"/>
      <c r="MYZ106" s="973"/>
      <c r="MZA106" s="973"/>
      <c r="MZB106" s="973"/>
      <c r="MZC106" s="973"/>
      <c r="MZD106" s="973"/>
      <c r="MZE106" s="973"/>
      <c r="MZF106" s="973"/>
      <c r="MZG106" s="973"/>
      <c r="MZH106" s="973"/>
      <c r="MZI106" s="973"/>
      <c r="MZJ106" s="973"/>
      <c r="MZK106" s="973"/>
      <c r="MZL106" s="973"/>
      <c r="MZM106" s="973"/>
      <c r="MZN106" s="973"/>
      <c r="MZO106" s="973"/>
      <c r="MZP106" s="973"/>
      <c r="MZQ106" s="973"/>
      <c r="MZR106" s="973"/>
      <c r="MZS106" s="973"/>
      <c r="MZT106" s="973"/>
      <c r="MZU106" s="973"/>
      <c r="MZV106" s="973"/>
      <c r="MZW106" s="973"/>
      <c r="MZX106" s="973"/>
      <c r="MZY106" s="973"/>
      <c r="MZZ106" s="973"/>
      <c r="NAA106" s="973"/>
      <c r="NAB106" s="973"/>
      <c r="NAC106" s="973"/>
      <c r="NAD106" s="973"/>
      <c r="NAE106" s="973"/>
      <c r="NAF106" s="973"/>
      <c r="NAG106" s="973"/>
      <c r="NAH106" s="973"/>
      <c r="NAI106" s="973"/>
      <c r="NAJ106" s="973"/>
      <c r="NAK106" s="973"/>
      <c r="NAL106" s="973"/>
      <c r="NAM106" s="973"/>
      <c r="NAN106" s="973"/>
      <c r="NAO106" s="973"/>
      <c r="NAP106" s="973"/>
      <c r="NAQ106" s="973"/>
      <c r="NAR106" s="973"/>
      <c r="NAS106" s="973"/>
      <c r="NAT106" s="973"/>
      <c r="NAU106" s="973"/>
      <c r="NAV106" s="973"/>
      <c r="NAW106" s="973"/>
      <c r="NAX106" s="973"/>
      <c r="NAY106" s="973"/>
      <c r="NAZ106" s="973"/>
      <c r="NBA106" s="973"/>
      <c r="NBB106" s="973"/>
      <c r="NBC106" s="973"/>
      <c r="NBD106" s="973"/>
      <c r="NBE106" s="973"/>
      <c r="NBF106" s="973"/>
      <c r="NBG106" s="973"/>
      <c r="NBH106" s="973"/>
      <c r="NBI106" s="973"/>
      <c r="NBJ106" s="973"/>
      <c r="NBK106" s="973"/>
      <c r="NBL106" s="973"/>
      <c r="NBM106" s="973"/>
      <c r="NBN106" s="973"/>
      <c r="NBO106" s="973"/>
      <c r="NBP106" s="973"/>
      <c r="NBQ106" s="973"/>
      <c r="NBR106" s="973"/>
      <c r="NBS106" s="973"/>
      <c r="NBT106" s="973"/>
      <c r="NBU106" s="973"/>
      <c r="NBV106" s="973"/>
      <c r="NBW106" s="973"/>
      <c r="NBX106" s="973"/>
      <c r="NBY106" s="973"/>
      <c r="NBZ106" s="973"/>
      <c r="NCA106" s="973"/>
      <c r="NCB106" s="973"/>
      <c r="NCC106" s="973"/>
      <c r="NCD106" s="973"/>
      <c r="NCE106" s="973"/>
      <c r="NCF106" s="973"/>
      <c r="NCG106" s="973"/>
      <c r="NCH106" s="973"/>
      <c r="NCI106" s="973"/>
      <c r="NCJ106" s="973"/>
      <c r="NCK106" s="973"/>
      <c r="NCL106" s="973"/>
      <c r="NCM106" s="973"/>
      <c r="NCN106" s="973"/>
      <c r="NCO106" s="973"/>
      <c r="NCP106" s="973"/>
      <c r="NCQ106" s="973"/>
      <c r="NCR106" s="973"/>
      <c r="NCS106" s="973"/>
      <c r="NCT106" s="973"/>
      <c r="NCU106" s="973"/>
      <c r="NCV106" s="973"/>
      <c r="NCW106" s="973"/>
      <c r="NCX106" s="973"/>
      <c r="NCY106" s="973"/>
      <c r="NCZ106" s="973"/>
      <c r="NDA106" s="973"/>
      <c r="NDB106" s="973"/>
      <c r="NDC106" s="973"/>
      <c r="NDD106" s="973"/>
      <c r="NDE106" s="973"/>
      <c r="NDF106" s="973"/>
      <c r="NDG106" s="973"/>
      <c r="NDH106" s="973"/>
      <c r="NDI106" s="973"/>
      <c r="NDJ106" s="973"/>
      <c r="NDK106" s="973"/>
      <c r="NDL106" s="973"/>
      <c r="NDM106" s="973"/>
      <c r="NDN106" s="973"/>
      <c r="NDO106" s="973"/>
      <c r="NDP106" s="973"/>
      <c r="NDQ106" s="973"/>
      <c r="NDR106" s="973"/>
      <c r="NDS106" s="973"/>
      <c r="NDT106" s="973"/>
      <c r="NDU106" s="973"/>
      <c r="NDV106" s="973"/>
      <c r="NDW106" s="973"/>
      <c r="NDX106" s="973"/>
      <c r="NDY106" s="973"/>
      <c r="NDZ106" s="973"/>
      <c r="NEA106" s="973"/>
      <c r="NEB106" s="973"/>
      <c r="NEC106" s="973"/>
      <c r="NED106" s="973"/>
      <c r="NEE106" s="973"/>
      <c r="NEF106" s="973"/>
      <c r="NEG106" s="973"/>
      <c r="NEH106" s="973"/>
      <c r="NEI106" s="973"/>
      <c r="NEJ106" s="973"/>
      <c r="NEK106" s="973"/>
      <c r="NEL106" s="973"/>
      <c r="NEM106" s="973"/>
      <c r="NEN106" s="973"/>
      <c r="NEO106" s="973"/>
      <c r="NEP106" s="973"/>
      <c r="NEQ106" s="973"/>
      <c r="NER106" s="973"/>
      <c r="NES106" s="973"/>
      <c r="NET106" s="973"/>
      <c r="NEU106" s="973"/>
      <c r="NEV106" s="973"/>
      <c r="NEW106" s="973"/>
      <c r="NEX106" s="973"/>
      <c r="NEY106" s="973"/>
      <c r="NEZ106" s="973"/>
      <c r="NFA106" s="973"/>
      <c r="NFB106" s="973"/>
      <c r="NFC106" s="973"/>
      <c r="NFD106" s="973"/>
      <c r="NFE106" s="973"/>
      <c r="NFF106" s="973"/>
      <c r="NFG106" s="973"/>
      <c r="NFH106" s="973"/>
      <c r="NFI106" s="973"/>
      <c r="NFJ106" s="973"/>
      <c r="NFK106" s="973"/>
      <c r="NFL106" s="973"/>
      <c r="NFM106" s="973"/>
      <c r="NFN106" s="973"/>
      <c r="NFO106" s="973"/>
      <c r="NFP106" s="973"/>
      <c r="NFQ106" s="973"/>
      <c r="NFR106" s="973"/>
      <c r="NFS106" s="973"/>
      <c r="NFT106" s="973"/>
      <c r="NFU106" s="973"/>
      <c r="NFV106" s="973"/>
      <c r="NFW106" s="973"/>
      <c r="NFX106" s="973"/>
      <c r="NFY106" s="973"/>
      <c r="NFZ106" s="973"/>
      <c r="NGA106" s="973"/>
      <c r="NGB106" s="973"/>
      <c r="NGC106" s="973"/>
      <c r="NGD106" s="973"/>
      <c r="NGE106" s="973"/>
      <c r="NGF106" s="973"/>
      <c r="NGG106" s="973"/>
      <c r="NGH106" s="973"/>
      <c r="NGI106" s="973"/>
      <c r="NGJ106" s="973"/>
      <c r="NGK106" s="973"/>
      <c r="NGL106" s="973"/>
      <c r="NGM106" s="973"/>
      <c r="NGN106" s="973"/>
      <c r="NGO106" s="973"/>
      <c r="NGP106" s="973"/>
      <c r="NGQ106" s="973"/>
      <c r="NGR106" s="973"/>
      <c r="NGS106" s="973"/>
      <c r="NGT106" s="973"/>
      <c r="NGU106" s="973"/>
      <c r="NGV106" s="973"/>
      <c r="NGW106" s="973"/>
      <c r="NGX106" s="973"/>
      <c r="NGY106" s="973"/>
      <c r="NGZ106" s="973"/>
      <c r="NHA106" s="973"/>
      <c r="NHB106" s="973"/>
      <c r="NHC106" s="973"/>
      <c r="NHD106" s="973"/>
      <c r="NHE106" s="973"/>
      <c r="NHF106" s="973"/>
      <c r="NHG106" s="973"/>
      <c r="NHH106" s="973"/>
      <c r="NHI106" s="973"/>
      <c r="NHJ106" s="973"/>
      <c r="NHK106" s="973"/>
      <c r="NHL106" s="973"/>
      <c r="NHM106" s="973"/>
      <c r="NHN106" s="973"/>
      <c r="NHO106" s="973"/>
      <c r="NHP106" s="973"/>
      <c r="NHQ106" s="973"/>
      <c r="NHR106" s="973"/>
      <c r="NHS106" s="973"/>
      <c r="NHT106" s="973"/>
      <c r="NHU106" s="973"/>
      <c r="NHV106" s="973"/>
      <c r="NHW106" s="973"/>
      <c r="NHX106" s="973"/>
      <c r="NHY106" s="973"/>
      <c r="NHZ106" s="973"/>
      <c r="NIA106" s="973"/>
      <c r="NIB106" s="973"/>
      <c r="NIC106" s="973"/>
      <c r="NID106" s="973"/>
      <c r="NIE106" s="973"/>
      <c r="NIF106" s="973"/>
      <c r="NIG106" s="973"/>
      <c r="NIH106" s="973"/>
      <c r="NII106" s="973"/>
      <c r="NIJ106" s="973"/>
      <c r="NIK106" s="973"/>
      <c r="NIL106" s="973"/>
      <c r="NIM106" s="973"/>
      <c r="NIN106" s="973"/>
      <c r="NIO106" s="973"/>
      <c r="NIP106" s="973"/>
      <c r="NIQ106" s="973"/>
      <c r="NIR106" s="973"/>
      <c r="NIS106" s="973"/>
      <c r="NIT106" s="973"/>
      <c r="NIU106" s="973"/>
      <c r="NIV106" s="973"/>
      <c r="NIW106" s="973"/>
      <c r="NIX106" s="973"/>
      <c r="NIY106" s="973"/>
      <c r="NIZ106" s="973"/>
      <c r="NJA106" s="973"/>
      <c r="NJB106" s="973"/>
      <c r="NJC106" s="973"/>
      <c r="NJD106" s="973"/>
      <c r="NJE106" s="973"/>
      <c r="NJF106" s="973"/>
      <c r="NJG106" s="973"/>
      <c r="NJH106" s="973"/>
      <c r="NJI106" s="973"/>
      <c r="NJJ106" s="973"/>
      <c r="NJK106" s="973"/>
      <c r="NJL106" s="973"/>
      <c r="NJM106" s="973"/>
      <c r="NJN106" s="973"/>
      <c r="NJO106" s="973"/>
      <c r="NJP106" s="973"/>
      <c r="NJQ106" s="973"/>
      <c r="NJR106" s="973"/>
      <c r="NJS106" s="973"/>
      <c r="NJT106" s="973"/>
      <c r="NJU106" s="973"/>
      <c r="NJV106" s="973"/>
      <c r="NJW106" s="973"/>
      <c r="NJX106" s="973"/>
      <c r="NJY106" s="973"/>
      <c r="NJZ106" s="973"/>
      <c r="NKA106" s="973"/>
      <c r="NKB106" s="973"/>
      <c r="NKC106" s="973"/>
      <c r="NKD106" s="973"/>
      <c r="NKE106" s="973"/>
      <c r="NKF106" s="973"/>
      <c r="NKG106" s="973"/>
      <c r="NKH106" s="973"/>
      <c r="NKI106" s="973"/>
      <c r="NKJ106" s="973"/>
      <c r="NKK106" s="973"/>
      <c r="NKL106" s="973"/>
      <c r="NKM106" s="973"/>
      <c r="NKN106" s="973"/>
      <c r="NKO106" s="973"/>
      <c r="NKP106" s="973"/>
      <c r="NKQ106" s="973"/>
      <c r="NKR106" s="973"/>
      <c r="NKS106" s="973"/>
      <c r="NKT106" s="973"/>
      <c r="NKU106" s="973"/>
      <c r="NKV106" s="973"/>
      <c r="NKW106" s="973"/>
      <c r="NKX106" s="973"/>
      <c r="NKY106" s="973"/>
      <c r="NKZ106" s="973"/>
      <c r="NLA106" s="973"/>
      <c r="NLB106" s="973"/>
      <c r="NLC106" s="973"/>
      <c r="NLD106" s="973"/>
      <c r="NLE106" s="973"/>
      <c r="NLF106" s="973"/>
      <c r="NLG106" s="973"/>
      <c r="NLH106" s="973"/>
      <c r="NLI106" s="973"/>
      <c r="NLJ106" s="973"/>
      <c r="NLK106" s="973"/>
      <c r="NLL106" s="973"/>
      <c r="NLM106" s="973"/>
      <c r="NLN106" s="973"/>
      <c r="NLO106" s="973"/>
      <c r="NLP106" s="973"/>
      <c r="NLQ106" s="973"/>
      <c r="NLR106" s="973"/>
      <c r="NLS106" s="973"/>
      <c r="NLT106" s="973"/>
      <c r="NLU106" s="973"/>
      <c r="NLV106" s="973"/>
      <c r="NLW106" s="973"/>
      <c r="NLX106" s="973"/>
      <c r="NLY106" s="973"/>
      <c r="NLZ106" s="973"/>
      <c r="NMA106" s="973"/>
      <c r="NMB106" s="973"/>
      <c r="NMC106" s="973"/>
      <c r="NMD106" s="973"/>
      <c r="NME106" s="973"/>
      <c r="NMF106" s="973"/>
      <c r="NMG106" s="973"/>
      <c r="NMH106" s="973"/>
      <c r="NMI106" s="973"/>
      <c r="NMJ106" s="973"/>
      <c r="NMK106" s="973"/>
      <c r="NML106" s="973"/>
      <c r="NMM106" s="973"/>
      <c r="NMN106" s="973"/>
      <c r="NMO106" s="973"/>
      <c r="NMP106" s="973"/>
      <c r="NMQ106" s="973"/>
      <c r="NMR106" s="973"/>
      <c r="NMS106" s="973"/>
      <c r="NMT106" s="973"/>
      <c r="NMU106" s="973"/>
      <c r="NMV106" s="973"/>
      <c r="NMW106" s="973"/>
      <c r="NMX106" s="973"/>
      <c r="NMY106" s="973"/>
      <c r="NMZ106" s="973"/>
      <c r="NNA106" s="973"/>
      <c r="NNB106" s="973"/>
      <c r="NNC106" s="973"/>
      <c r="NND106" s="973"/>
      <c r="NNE106" s="973"/>
      <c r="NNF106" s="973"/>
      <c r="NNG106" s="973"/>
      <c r="NNH106" s="973"/>
      <c r="NNI106" s="973"/>
      <c r="NNJ106" s="973"/>
      <c r="NNK106" s="973"/>
      <c r="NNL106" s="973"/>
      <c r="NNM106" s="973"/>
      <c r="NNN106" s="973"/>
      <c r="NNO106" s="973"/>
      <c r="NNP106" s="973"/>
      <c r="NNQ106" s="973"/>
      <c r="NNR106" s="973"/>
      <c r="NNS106" s="973"/>
      <c r="NNT106" s="973"/>
      <c r="NNU106" s="973"/>
      <c r="NNV106" s="973"/>
      <c r="NNW106" s="973"/>
      <c r="NNX106" s="973"/>
      <c r="NNY106" s="973"/>
      <c r="NNZ106" s="973"/>
      <c r="NOA106" s="973"/>
      <c r="NOB106" s="973"/>
      <c r="NOC106" s="973"/>
      <c r="NOD106" s="973"/>
      <c r="NOE106" s="973"/>
      <c r="NOF106" s="973"/>
      <c r="NOG106" s="973"/>
      <c r="NOH106" s="973"/>
      <c r="NOI106" s="973"/>
      <c r="NOJ106" s="973"/>
      <c r="NOK106" s="973"/>
      <c r="NOL106" s="973"/>
      <c r="NOM106" s="973"/>
      <c r="NON106" s="973"/>
      <c r="NOO106" s="973"/>
      <c r="NOP106" s="973"/>
      <c r="NOQ106" s="973"/>
      <c r="NOR106" s="973"/>
      <c r="NOS106" s="973"/>
      <c r="NOT106" s="973"/>
      <c r="NOU106" s="973"/>
      <c r="NOV106" s="973"/>
      <c r="NOW106" s="973"/>
      <c r="NOX106" s="973"/>
      <c r="NOY106" s="973"/>
      <c r="NOZ106" s="973"/>
      <c r="NPA106" s="973"/>
      <c r="NPB106" s="973"/>
      <c r="NPC106" s="973"/>
      <c r="NPD106" s="973"/>
      <c r="NPE106" s="973"/>
      <c r="NPF106" s="973"/>
      <c r="NPG106" s="973"/>
      <c r="NPH106" s="973"/>
      <c r="NPI106" s="973"/>
      <c r="NPJ106" s="973"/>
      <c r="NPK106" s="973"/>
      <c r="NPL106" s="973"/>
      <c r="NPM106" s="973"/>
      <c r="NPN106" s="973"/>
      <c r="NPO106" s="973"/>
      <c r="NPP106" s="973"/>
      <c r="NPQ106" s="973"/>
      <c r="NPR106" s="973"/>
      <c r="NPS106" s="973"/>
      <c r="NPT106" s="973"/>
      <c r="NPU106" s="973"/>
      <c r="NPV106" s="973"/>
      <c r="NPW106" s="973"/>
      <c r="NPX106" s="973"/>
      <c r="NPY106" s="973"/>
      <c r="NPZ106" s="973"/>
      <c r="NQA106" s="973"/>
      <c r="NQB106" s="973"/>
      <c r="NQC106" s="973"/>
      <c r="NQD106" s="973"/>
      <c r="NQE106" s="973"/>
      <c r="NQF106" s="973"/>
      <c r="NQG106" s="973"/>
      <c r="NQH106" s="973"/>
      <c r="NQI106" s="973"/>
      <c r="NQJ106" s="973"/>
      <c r="NQK106" s="973"/>
      <c r="NQL106" s="973"/>
      <c r="NQM106" s="973"/>
      <c r="NQN106" s="973"/>
      <c r="NQO106" s="973"/>
      <c r="NQP106" s="973"/>
      <c r="NQQ106" s="973"/>
      <c r="NQR106" s="973"/>
      <c r="NQS106" s="973"/>
      <c r="NQT106" s="973"/>
      <c r="NQU106" s="973"/>
      <c r="NQV106" s="973"/>
      <c r="NQW106" s="973"/>
      <c r="NQX106" s="973"/>
      <c r="NQY106" s="973"/>
      <c r="NQZ106" s="973"/>
      <c r="NRA106" s="973"/>
      <c r="NRB106" s="973"/>
      <c r="NRC106" s="973"/>
      <c r="NRD106" s="973"/>
      <c r="NRE106" s="973"/>
      <c r="NRF106" s="973"/>
      <c r="NRG106" s="973"/>
      <c r="NRH106" s="973"/>
      <c r="NRI106" s="973"/>
      <c r="NRJ106" s="973"/>
      <c r="NRK106" s="973"/>
      <c r="NRL106" s="973"/>
      <c r="NRM106" s="973"/>
      <c r="NRN106" s="973"/>
      <c r="NRO106" s="973"/>
      <c r="NRP106" s="973"/>
      <c r="NRQ106" s="973"/>
      <c r="NRR106" s="973"/>
      <c r="NRS106" s="973"/>
      <c r="NRT106" s="973"/>
      <c r="NRU106" s="973"/>
      <c r="NRV106" s="973"/>
      <c r="NRW106" s="973"/>
      <c r="NRX106" s="973"/>
      <c r="NRY106" s="973"/>
      <c r="NRZ106" s="973"/>
      <c r="NSA106" s="973"/>
      <c r="NSB106" s="973"/>
      <c r="NSC106" s="973"/>
      <c r="NSD106" s="973"/>
      <c r="NSE106" s="973"/>
      <c r="NSF106" s="973"/>
      <c r="NSG106" s="973"/>
      <c r="NSH106" s="973"/>
      <c r="NSI106" s="973"/>
      <c r="NSJ106" s="973"/>
      <c r="NSK106" s="973"/>
      <c r="NSL106" s="973"/>
      <c r="NSM106" s="973"/>
      <c r="NSN106" s="973"/>
      <c r="NSO106" s="973"/>
      <c r="NSP106" s="973"/>
      <c r="NSQ106" s="973"/>
      <c r="NSR106" s="973"/>
      <c r="NSS106" s="973"/>
      <c r="NST106" s="973"/>
      <c r="NSU106" s="973"/>
      <c r="NSV106" s="973"/>
      <c r="NSW106" s="973"/>
      <c r="NSX106" s="973"/>
      <c r="NSY106" s="973"/>
      <c r="NSZ106" s="973"/>
      <c r="NTA106" s="973"/>
      <c r="NTB106" s="973"/>
      <c r="NTC106" s="973"/>
      <c r="NTD106" s="973"/>
      <c r="NTE106" s="973"/>
      <c r="NTF106" s="973"/>
      <c r="NTG106" s="973"/>
      <c r="NTH106" s="973"/>
      <c r="NTI106" s="973"/>
      <c r="NTJ106" s="973"/>
      <c r="NTK106" s="973"/>
      <c r="NTL106" s="973"/>
      <c r="NTM106" s="973"/>
      <c r="NTN106" s="973"/>
      <c r="NTO106" s="973"/>
      <c r="NTP106" s="973"/>
      <c r="NTQ106" s="973"/>
      <c r="NTR106" s="973"/>
      <c r="NTS106" s="973"/>
      <c r="NTT106" s="973"/>
      <c r="NTU106" s="973"/>
      <c r="NTV106" s="973"/>
      <c r="NTW106" s="973"/>
      <c r="NTX106" s="973"/>
      <c r="NTY106" s="973"/>
      <c r="NTZ106" s="973"/>
      <c r="NUA106" s="973"/>
      <c r="NUB106" s="973"/>
      <c r="NUC106" s="973"/>
      <c r="NUD106" s="973"/>
      <c r="NUE106" s="973"/>
      <c r="NUF106" s="973"/>
      <c r="NUG106" s="973"/>
      <c r="NUH106" s="973"/>
      <c r="NUI106" s="973"/>
      <c r="NUJ106" s="973"/>
      <c r="NUK106" s="973"/>
      <c r="NUL106" s="973"/>
      <c r="NUM106" s="973"/>
      <c r="NUN106" s="973"/>
      <c r="NUO106" s="973"/>
      <c r="NUP106" s="973"/>
      <c r="NUQ106" s="973"/>
      <c r="NUR106" s="973"/>
      <c r="NUS106" s="973"/>
      <c r="NUT106" s="973"/>
      <c r="NUU106" s="973"/>
      <c r="NUV106" s="973"/>
      <c r="NUW106" s="973"/>
      <c r="NUX106" s="973"/>
      <c r="NUY106" s="973"/>
      <c r="NUZ106" s="973"/>
      <c r="NVA106" s="973"/>
      <c r="NVB106" s="973"/>
      <c r="NVC106" s="973"/>
      <c r="NVD106" s="973"/>
      <c r="NVE106" s="973"/>
      <c r="NVF106" s="973"/>
      <c r="NVG106" s="973"/>
      <c r="NVH106" s="973"/>
      <c r="NVI106" s="973"/>
      <c r="NVJ106" s="973"/>
      <c r="NVK106" s="973"/>
      <c r="NVL106" s="973"/>
      <c r="NVM106" s="973"/>
      <c r="NVN106" s="973"/>
      <c r="NVO106" s="973"/>
      <c r="NVP106" s="973"/>
      <c r="NVQ106" s="973"/>
      <c r="NVR106" s="973"/>
      <c r="NVS106" s="973"/>
      <c r="NVT106" s="973"/>
      <c r="NVU106" s="973"/>
      <c r="NVV106" s="973"/>
      <c r="NVW106" s="973"/>
      <c r="NVX106" s="973"/>
      <c r="NVY106" s="973"/>
      <c r="NVZ106" s="973"/>
      <c r="NWA106" s="973"/>
      <c r="NWB106" s="973"/>
      <c r="NWC106" s="973"/>
      <c r="NWD106" s="973"/>
      <c r="NWE106" s="973"/>
      <c r="NWF106" s="973"/>
      <c r="NWG106" s="973"/>
      <c r="NWH106" s="973"/>
      <c r="NWI106" s="973"/>
      <c r="NWJ106" s="973"/>
      <c r="NWK106" s="973"/>
      <c r="NWL106" s="973"/>
      <c r="NWM106" s="973"/>
      <c r="NWN106" s="973"/>
      <c r="NWO106" s="973"/>
      <c r="NWP106" s="973"/>
      <c r="NWQ106" s="973"/>
      <c r="NWR106" s="973"/>
      <c r="NWS106" s="973"/>
      <c r="NWT106" s="973"/>
      <c r="NWU106" s="973"/>
      <c r="NWV106" s="973"/>
      <c r="NWW106" s="973"/>
      <c r="NWX106" s="973"/>
      <c r="NWY106" s="973"/>
      <c r="NWZ106" s="973"/>
      <c r="NXA106" s="973"/>
      <c r="NXB106" s="973"/>
      <c r="NXC106" s="973"/>
      <c r="NXD106" s="973"/>
      <c r="NXE106" s="973"/>
      <c r="NXF106" s="973"/>
      <c r="NXG106" s="973"/>
      <c r="NXH106" s="973"/>
      <c r="NXI106" s="973"/>
      <c r="NXJ106" s="973"/>
      <c r="NXK106" s="973"/>
      <c r="NXL106" s="973"/>
      <c r="NXM106" s="973"/>
      <c r="NXN106" s="973"/>
      <c r="NXO106" s="973"/>
      <c r="NXP106" s="973"/>
      <c r="NXQ106" s="973"/>
      <c r="NXR106" s="973"/>
      <c r="NXS106" s="973"/>
      <c r="NXT106" s="973"/>
      <c r="NXU106" s="973"/>
      <c r="NXV106" s="973"/>
      <c r="NXW106" s="973"/>
      <c r="NXX106" s="973"/>
      <c r="NXY106" s="973"/>
      <c r="NXZ106" s="973"/>
      <c r="NYA106" s="973"/>
      <c r="NYB106" s="973"/>
      <c r="NYC106" s="973"/>
      <c r="NYD106" s="973"/>
      <c r="NYE106" s="973"/>
      <c r="NYF106" s="973"/>
      <c r="NYG106" s="973"/>
      <c r="NYH106" s="973"/>
      <c r="NYI106" s="973"/>
      <c r="NYJ106" s="973"/>
      <c r="NYK106" s="973"/>
      <c r="NYL106" s="973"/>
      <c r="NYM106" s="973"/>
      <c r="NYN106" s="973"/>
      <c r="NYO106" s="973"/>
      <c r="NYP106" s="973"/>
      <c r="NYQ106" s="973"/>
      <c r="NYR106" s="973"/>
      <c r="NYS106" s="973"/>
      <c r="NYT106" s="973"/>
      <c r="NYU106" s="973"/>
      <c r="NYV106" s="973"/>
      <c r="NYW106" s="973"/>
      <c r="NYX106" s="973"/>
      <c r="NYY106" s="973"/>
      <c r="NYZ106" s="973"/>
      <c r="NZA106" s="973"/>
      <c r="NZB106" s="973"/>
      <c r="NZC106" s="973"/>
      <c r="NZD106" s="973"/>
      <c r="NZE106" s="973"/>
      <c r="NZF106" s="973"/>
      <c r="NZG106" s="973"/>
      <c r="NZH106" s="973"/>
      <c r="NZI106" s="973"/>
      <c r="NZJ106" s="973"/>
      <c r="NZK106" s="973"/>
      <c r="NZL106" s="973"/>
      <c r="NZM106" s="973"/>
      <c r="NZN106" s="973"/>
      <c r="NZO106" s="973"/>
      <c r="NZP106" s="973"/>
      <c r="NZQ106" s="973"/>
      <c r="NZR106" s="973"/>
      <c r="NZS106" s="973"/>
      <c r="NZT106" s="973"/>
      <c r="NZU106" s="973"/>
      <c r="NZV106" s="973"/>
      <c r="NZW106" s="973"/>
      <c r="NZX106" s="973"/>
      <c r="NZY106" s="973"/>
      <c r="NZZ106" s="973"/>
      <c r="OAA106" s="973"/>
      <c r="OAB106" s="973"/>
      <c r="OAC106" s="973"/>
      <c r="OAD106" s="973"/>
      <c r="OAE106" s="973"/>
      <c r="OAF106" s="973"/>
      <c r="OAG106" s="973"/>
      <c r="OAH106" s="973"/>
      <c r="OAI106" s="973"/>
      <c r="OAJ106" s="973"/>
      <c r="OAK106" s="973"/>
      <c r="OAL106" s="973"/>
      <c r="OAM106" s="973"/>
      <c r="OAN106" s="973"/>
      <c r="OAO106" s="973"/>
      <c r="OAP106" s="973"/>
      <c r="OAQ106" s="973"/>
      <c r="OAR106" s="973"/>
      <c r="OAS106" s="973"/>
      <c r="OAT106" s="973"/>
      <c r="OAU106" s="973"/>
      <c r="OAV106" s="973"/>
      <c r="OAW106" s="973"/>
      <c r="OAX106" s="973"/>
      <c r="OAY106" s="973"/>
      <c r="OAZ106" s="973"/>
      <c r="OBA106" s="973"/>
      <c r="OBB106" s="973"/>
      <c r="OBC106" s="973"/>
      <c r="OBD106" s="973"/>
      <c r="OBE106" s="973"/>
      <c r="OBF106" s="973"/>
      <c r="OBG106" s="973"/>
      <c r="OBH106" s="973"/>
      <c r="OBI106" s="973"/>
      <c r="OBJ106" s="973"/>
      <c r="OBK106" s="973"/>
      <c r="OBL106" s="973"/>
      <c r="OBM106" s="973"/>
      <c r="OBN106" s="973"/>
      <c r="OBO106" s="973"/>
      <c r="OBP106" s="973"/>
      <c r="OBQ106" s="973"/>
      <c r="OBR106" s="973"/>
      <c r="OBS106" s="973"/>
      <c r="OBT106" s="973"/>
      <c r="OBU106" s="973"/>
      <c r="OBV106" s="973"/>
      <c r="OBW106" s="973"/>
      <c r="OBX106" s="973"/>
      <c r="OBY106" s="973"/>
      <c r="OBZ106" s="973"/>
      <c r="OCA106" s="973"/>
      <c r="OCB106" s="973"/>
      <c r="OCC106" s="973"/>
      <c r="OCD106" s="973"/>
      <c r="OCE106" s="973"/>
      <c r="OCF106" s="973"/>
      <c r="OCG106" s="973"/>
      <c r="OCH106" s="973"/>
      <c r="OCI106" s="973"/>
      <c r="OCJ106" s="973"/>
      <c r="OCK106" s="973"/>
      <c r="OCL106" s="973"/>
      <c r="OCM106" s="973"/>
      <c r="OCN106" s="973"/>
      <c r="OCO106" s="973"/>
      <c r="OCP106" s="973"/>
      <c r="OCQ106" s="973"/>
      <c r="OCR106" s="973"/>
      <c r="OCS106" s="973"/>
      <c r="OCT106" s="973"/>
      <c r="OCU106" s="973"/>
      <c r="OCV106" s="973"/>
      <c r="OCW106" s="973"/>
      <c r="OCX106" s="973"/>
      <c r="OCY106" s="973"/>
      <c r="OCZ106" s="973"/>
      <c r="ODA106" s="973"/>
      <c r="ODB106" s="973"/>
      <c r="ODC106" s="973"/>
      <c r="ODD106" s="973"/>
      <c r="ODE106" s="973"/>
      <c r="ODF106" s="973"/>
      <c r="ODG106" s="973"/>
      <c r="ODH106" s="973"/>
      <c r="ODI106" s="973"/>
      <c r="ODJ106" s="973"/>
      <c r="ODK106" s="973"/>
      <c r="ODL106" s="973"/>
      <c r="ODM106" s="973"/>
      <c r="ODN106" s="973"/>
      <c r="ODO106" s="973"/>
      <c r="ODP106" s="973"/>
      <c r="ODQ106" s="973"/>
      <c r="ODR106" s="973"/>
      <c r="ODS106" s="973"/>
      <c r="ODT106" s="973"/>
      <c r="ODU106" s="973"/>
      <c r="ODV106" s="973"/>
      <c r="ODW106" s="973"/>
      <c r="ODX106" s="973"/>
      <c r="ODY106" s="973"/>
      <c r="ODZ106" s="973"/>
      <c r="OEA106" s="973"/>
      <c r="OEB106" s="973"/>
      <c r="OEC106" s="973"/>
      <c r="OED106" s="973"/>
      <c r="OEE106" s="973"/>
      <c r="OEF106" s="973"/>
      <c r="OEG106" s="973"/>
      <c r="OEH106" s="973"/>
      <c r="OEI106" s="973"/>
      <c r="OEJ106" s="973"/>
      <c r="OEK106" s="973"/>
      <c r="OEL106" s="973"/>
      <c r="OEM106" s="973"/>
      <c r="OEN106" s="973"/>
      <c r="OEO106" s="973"/>
      <c r="OEP106" s="973"/>
      <c r="OEQ106" s="973"/>
      <c r="OER106" s="973"/>
      <c r="OES106" s="973"/>
      <c r="OET106" s="973"/>
      <c r="OEU106" s="973"/>
      <c r="OEV106" s="973"/>
      <c r="OEW106" s="973"/>
      <c r="OEX106" s="973"/>
      <c r="OEY106" s="973"/>
      <c r="OEZ106" s="973"/>
      <c r="OFA106" s="973"/>
      <c r="OFB106" s="973"/>
      <c r="OFC106" s="973"/>
      <c r="OFD106" s="973"/>
      <c r="OFE106" s="973"/>
      <c r="OFF106" s="973"/>
      <c r="OFG106" s="973"/>
      <c r="OFH106" s="973"/>
      <c r="OFI106" s="973"/>
      <c r="OFJ106" s="973"/>
      <c r="OFK106" s="973"/>
      <c r="OFL106" s="973"/>
      <c r="OFM106" s="973"/>
      <c r="OFN106" s="973"/>
      <c r="OFO106" s="973"/>
      <c r="OFP106" s="973"/>
      <c r="OFQ106" s="973"/>
      <c r="OFR106" s="973"/>
      <c r="OFS106" s="973"/>
      <c r="OFT106" s="973"/>
      <c r="OFU106" s="973"/>
      <c r="OFV106" s="973"/>
      <c r="OFW106" s="973"/>
      <c r="OFX106" s="973"/>
      <c r="OFY106" s="973"/>
      <c r="OFZ106" s="973"/>
      <c r="OGA106" s="973"/>
      <c r="OGB106" s="973"/>
      <c r="OGC106" s="973"/>
      <c r="OGD106" s="973"/>
      <c r="OGE106" s="973"/>
      <c r="OGF106" s="973"/>
      <c r="OGG106" s="973"/>
      <c r="OGH106" s="973"/>
      <c r="OGI106" s="973"/>
      <c r="OGJ106" s="973"/>
      <c r="OGK106" s="973"/>
      <c r="OGL106" s="973"/>
      <c r="OGM106" s="973"/>
      <c r="OGN106" s="973"/>
      <c r="OGO106" s="973"/>
      <c r="OGP106" s="973"/>
      <c r="OGQ106" s="973"/>
      <c r="OGR106" s="973"/>
      <c r="OGS106" s="973"/>
      <c r="OGT106" s="973"/>
      <c r="OGU106" s="973"/>
      <c r="OGV106" s="973"/>
      <c r="OGW106" s="973"/>
      <c r="OGX106" s="973"/>
      <c r="OGY106" s="973"/>
      <c r="OGZ106" s="973"/>
      <c r="OHA106" s="973"/>
      <c r="OHB106" s="973"/>
      <c r="OHC106" s="973"/>
      <c r="OHD106" s="973"/>
      <c r="OHE106" s="973"/>
      <c r="OHF106" s="973"/>
      <c r="OHG106" s="973"/>
      <c r="OHH106" s="973"/>
      <c r="OHI106" s="973"/>
      <c r="OHJ106" s="973"/>
      <c r="OHK106" s="973"/>
      <c r="OHL106" s="973"/>
      <c r="OHM106" s="973"/>
      <c r="OHN106" s="973"/>
      <c r="OHO106" s="973"/>
      <c r="OHP106" s="973"/>
      <c r="OHQ106" s="973"/>
      <c r="OHR106" s="973"/>
      <c r="OHS106" s="973"/>
      <c r="OHT106" s="973"/>
      <c r="OHU106" s="973"/>
      <c r="OHV106" s="973"/>
      <c r="OHW106" s="973"/>
      <c r="OHX106" s="973"/>
      <c r="OHY106" s="973"/>
      <c r="OHZ106" s="973"/>
      <c r="OIA106" s="973"/>
      <c r="OIB106" s="973"/>
      <c r="OIC106" s="973"/>
      <c r="OID106" s="973"/>
      <c r="OIE106" s="973"/>
      <c r="OIF106" s="973"/>
      <c r="OIG106" s="973"/>
      <c r="OIH106" s="973"/>
      <c r="OII106" s="973"/>
      <c r="OIJ106" s="973"/>
      <c r="OIK106" s="973"/>
      <c r="OIL106" s="973"/>
      <c r="OIM106" s="973"/>
      <c r="OIN106" s="973"/>
      <c r="OIO106" s="973"/>
      <c r="OIP106" s="973"/>
      <c r="OIQ106" s="973"/>
      <c r="OIR106" s="973"/>
      <c r="OIS106" s="973"/>
      <c r="OIT106" s="973"/>
      <c r="OIU106" s="973"/>
      <c r="OIV106" s="973"/>
      <c r="OIW106" s="973"/>
      <c r="OIX106" s="973"/>
      <c r="OIY106" s="973"/>
      <c r="OIZ106" s="973"/>
      <c r="OJA106" s="973"/>
      <c r="OJB106" s="973"/>
      <c r="OJC106" s="973"/>
      <c r="OJD106" s="973"/>
      <c r="OJE106" s="973"/>
      <c r="OJF106" s="973"/>
      <c r="OJG106" s="973"/>
      <c r="OJH106" s="973"/>
      <c r="OJI106" s="973"/>
      <c r="OJJ106" s="973"/>
      <c r="OJK106" s="973"/>
      <c r="OJL106" s="973"/>
      <c r="OJM106" s="973"/>
      <c r="OJN106" s="973"/>
      <c r="OJO106" s="973"/>
      <c r="OJP106" s="973"/>
      <c r="OJQ106" s="973"/>
      <c r="OJR106" s="973"/>
      <c r="OJS106" s="973"/>
      <c r="OJT106" s="973"/>
      <c r="OJU106" s="973"/>
      <c r="OJV106" s="973"/>
      <c r="OJW106" s="973"/>
      <c r="OJX106" s="973"/>
      <c r="OJY106" s="973"/>
      <c r="OJZ106" s="973"/>
      <c r="OKA106" s="973"/>
      <c r="OKB106" s="973"/>
      <c r="OKC106" s="973"/>
      <c r="OKD106" s="973"/>
      <c r="OKE106" s="973"/>
      <c r="OKF106" s="973"/>
      <c r="OKG106" s="973"/>
      <c r="OKH106" s="973"/>
      <c r="OKI106" s="973"/>
      <c r="OKJ106" s="973"/>
      <c r="OKK106" s="973"/>
      <c r="OKL106" s="973"/>
      <c r="OKM106" s="973"/>
      <c r="OKN106" s="973"/>
      <c r="OKO106" s="973"/>
      <c r="OKP106" s="973"/>
      <c r="OKQ106" s="973"/>
      <c r="OKR106" s="973"/>
      <c r="OKS106" s="973"/>
      <c r="OKT106" s="973"/>
      <c r="OKU106" s="973"/>
      <c r="OKV106" s="973"/>
      <c r="OKW106" s="973"/>
      <c r="OKX106" s="973"/>
      <c r="OKY106" s="973"/>
      <c r="OKZ106" s="973"/>
      <c r="OLA106" s="973"/>
      <c r="OLB106" s="973"/>
      <c r="OLC106" s="973"/>
      <c r="OLD106" s="973"/>
      <c r="OLE106" s="973"/>
      <c r="OLF106" s="973"/>
      <c r="OLG106" s="973"/>
      <c r="OLH106" s="973"/>
      <c r="OLI106" s="973"/>
      <c r="OLJ106" s="973"/>
      <c r="OLK106" s="973"/>
      <c r="OLL106" s="973"/>
      <c r="OLM106" s="973"/>
      <c r="OLN106" s="973"/>
      <c r="OLO106" s="973"/>
      <c r="OLP106" s="973"/>
      <c r="OLQ106" s="973"/>
      <c r="OLR106" s="973"/>
      <c r="OLS106" s="973"/>
      <c r="OLT106" s="973"/>
      <c r="OLU106" s="973"/>
      <c r="OLV106" s="973"/>
      <c r="OLW106" s="973"/>
      <c r="OLX106" s="973"/>
      <c r="OLY106" s="973"/>
      <c r="OLZ106" s="973"/>
      <c r="OMA106" s="973"/>
      <c r="OMB106" s="973"/>
      <c r="OMC106" s="973"/>
      <c r="OMD106" s="973"/>
      <c r="OME106" s="973"/>
      <c r="OMF106" s="973"/>
      <c r="OMG106" s="973"/>
      <c r="OMH106" s="973"/>
      <c r="OMI106" s="973"/>
      <c r="OMJ106" s="973"/>
      <c r="OMK106" s="973"/>
      <c r="OML106" s="973"/>
      <c r="OMM106" s="973"/>
      <c r="OMN106" s="973"/>
      <c r="OMO106" s="973"/>
      <c r="OMP106" s="973"/>
      <c r="OMQ106" s="973"/>
      <c r="OMR106" s="973"/>
      <c r="OMS106" s="973"/>
      <c r="OMT106" s="973"/>
      <c r="OMU106" s="973"/>
      <c r="OMV106" s="973"/>
      <c r="OMW106" s="973"/>
      <c r="OMX106" s="973"/>
      <c r="OMY106" s="973"/>
      <c r="OMZ106" s="973"/>
      <c r="ONA106" s="973"/>
      <c r="ONB106" s="973"/>
      <c r="ONC106" s="973"/>
      <c r="OND106" s="973"/>
      <c r="ONE106" s="973"/>
      <c r="ONF106" s="973"/>
      <c r="ONG106" s="973"/>
      <c r="ONH106" s="973"/>
      <c r="ONI106" s="973"/>
      <c r="ONJ106" s="973"/>
      <c r="ONK106" s="973"/>
      <c r="ONL106" s="973"/>
      <c r="ONM106" s="973"/>
      <c r="ONN106" s="973"/>
      <c r="ONO106" s="973"/>
      <c r="ONP106" s="973"/>
      <c r="ONQ106" s="973"/>
      <c r="ONR106" s="973"/>
      <c r="ONS106" s="973"/>
      <c r="ONT106" s="973"/>
      <c r="ONU106" s="973"/>
      <c r="ONV106" s="973"/>
      <c r="ONW106" s="973"/>
      <c r="ONX106" s="973"/>
      <c r="ONY106" s="973"/>
      <c r="ONZ106" s="973"/>
      <c r="OOA106" s="973"/>
      <c r="OOB106" s="973"/>
      <c r="OOC106" s="973"/>
      <c r="OOD106" s="973"/>
      <c r="OOE106" s="973"/>
      <c r="OOF106" s="973"/>
      <c r="OOG106" s="973"/>
      <c r="OOH106" s="973"/>
      <c r="OOI106" s="973"/>
      <c r="OOJ106" s="973"/>
      <c r="OOK106" s="973"/>
      <c r="OOL106" s="973"/>
      <c r="OOM106" s="973"/>
      <c r="OON106" s="973"/>
      <c r="OOO106" s="973"/>
      <c r="OOP106" s="973"/>
      <c r="OOQ106" s="973"/>
      <c r="OOR106" s="973"/>
      <c r="OOS106" s="973"/>
      <c r="OOT106" s="973"/>
      <c r="OOU106" s="973"/>
      <c r="OOV106" s="973"/>
      <c r="OOW106" s="973"/>
      <c r="OOX106" s="973"/>
      <c r="OOY106" s="973"/>
      <c r="OOZ106" s="973"/>
      <c r="OPA106" s="973"/>
      <c r="OPB106" s="973"/>
      <c r="OPC106" s="973"/>
      <c r="OPD106" s="973"/>
      <c r="OPE106" s="973"/>
      <c r="OPF106" s="973"/>
      <c r="OPG106" s="973"/>
      <c r="OPH106" s="973"/>
      <c r="OPI106" s="973"/>
      <c r="OPJ106" s="973"/>
      <c r="OPK106" s="973"/>
      <c r="OPL106" s="973"/>
      <c r="OPM106" s="973"/>
      <c r="OPN106" s="973"/>
      <c r="OPO106" s="973"/>
      <c r="OPP106" s="973"/>
      <c r="OPQ106" s="973"/>
      <c r="OPR106" s="973"/>
      <c r="OPS106" s="973"/>
      <c r="OPT106" s="973"/>
      <c r="OPU106" s="973"/>
      <c r="OPV106" s="973"/>
      <c r="OPW106" s="973"/>
      <c r="OPX106" s="973"/>
      <c r="OPY106" s="973"/>
      <c r="OPZ106" s="973"/>
      <c r="OQA106" s="973"/>
      <c r="OQB106" s="973"/>
      <c r="OQC106" s="973"/>
      <c r="OQD106" s="973"/>
      <c r="OQE106" s="973"/>
      <c r="OQF106" s="973"/>
      <c r="OQG106" s="973"/>
      <c r="OQH106" s="973"/>
      <c r="OQI106" s="973"/>
      <c r="OQJ106" s="973"/>
      <c r="OQK106" s="973"/>
      <c r="OQL106" s="973"/>
      <c r="OQM106" s="973"/>
      <c r="OQN106" s="973"/>
      <c r="OQO106" s="973"/>
      <c r="OQP106" s="973"/>
      <c r="OQQ106" s="973"/>
      <c r="OQR106" s="973"/>
      <c r="OQS106" s="973"/>
      <c r="OQT106" s="973"/>
      <c r="OQU106" s="973"/>
      <c r="OQV106" s="973"/>
      <c r="OQW106" s="973"/>
      <c r="OQX106" s="973"/>
      <c r="OQY106" s="973"/>
      <c r="OQZ106" s="973"/>
      <c r="ORA106" s="973"/>
      <c r="ORB106" s="973"/>
      <c r="ORC106" s="973"/>
      <c r="ORD106" s="973"/>
      <c r="ORE106" s="973"/>
      <c r="ORF106" s="973"/>
      <c r="ORG106" s="973"/>
      <c r="ORH106" s="973"/>
      <c r="ORI106" s="973"/>
      <c r="ORJ106" s="973"/>
      <c r="ORK106" s="973"/>
      <c r="ORL106" s="973"/>
      <c r="ORM106" s="973"/>
      <c r="ORN106" s="973"/>
      <c r="ORO106" s="973"/>
      <c r="ORP106" s="973"/>
      <c r="ORQ106" s="973"/>
      <c r="ORR106" s="973"/>
      <c r="ORS106" s="973"/>
      <c r="ORT106" s="973"/>
      <c r="ORU106" s="973"/>
      <c r="ORV106" s="973"/>
      <c r="ORW106" s="973"/>
      <c r="ORX106" s="973"/>
      <c r="ORY106" s="973"/>
      <c r="ORZ106" s="973"/>
      <c r="OSA106" s="973"/>
      <c r="OSB106" s="973"/>
      <c r="OSC106" s="973"/>
      <c r="OSD106" s="973"/>
      <c r="OSE106" s="973"/>
      <c r="OSF106" s="973"/>
      <c r="OSG106" s="973"/>
      <c r="OSH106" s="973"/>
      <c r="OSI106" s="973"/>
      <c r="OSJ106" s="973"/>
      <c r="OSK106" s="973"/>
      <c r="OSL106" s="973"/>
      <c r="OSM106" s="973"/>
      <c r="OSN106" s="973"/>
      <c r="OSO106" s="973"/>
      <c r="OSP106" s="973"/>
      <c r="OSQ106" s="973"/>
      <c r="OSR106" s="973"/>
      <c r="OSS106" s="973"/>
      <c r="OST106" s="973"/>
      <c r="OSU106" s="973"/>
      <c r="OSV106" s="973"/>
      <c r="OSW106" s="973"/>
      <c r="OSX106" s="973"/>
      <c r="OSY106" s="973"/>
      <c r="OSZ106" s="973"/>
      <c r="OTA106" s="973"/>
      <c r="OTB106" s="973"/>
      <c r="OTC106" s="973"/>
      <c r="OTD106" s="973"/>
      <c r="OTE106" s="973"/>
      <c r="OTF106" s="973"/>
      <c r="OTG106" s="973"/>
      <c r="OTH106" s="973"/>
      <c r="OTI106" s="973"/>
      <c r="OTJ106" s="973"/>
      <c r="OTK106" s="973"/>
      <c r="OTL106" s="973"/>
      <c r="OTM106" s="973"/>
      <c r="OTN106" s="973"/>
      <c r="OTO106" s="973"/>
      <c r="OTP106" s="973"/>
      <c r="OTQ106" s="973"/>
      <c r="OTR106" s="973"/>
      <c r="OTS106" s="973"/>
      <c r="OTT106" s="973"/>
      <c r="OTU106" s="973"/>
      <c r="OTV106" s="973"/>
      <c r="OTW106" s="973"/>
      <c r="OTX106" s="973"/>
      <c r="OTY106" s="973"/>
      <c r="OTZ106" s="973"/>
      <c r="OUA106" s="973"/>
      <c r="OUB106" s="973"/>
      <c r="OUC106" s="973"/>
      <c r="OUD106" s="973"/>
      <c r="OUE106" s="973"/>
      <c r="OUF106" s="973"/>
      <c r="OUG106" s="973"/>
      <c r="OUH106" s="973"/>
      <c r="OUI106" s="973"/>
      <c r="OUJ106" s="973"/>
      <c r="OUK106" s="973"/>
      <c r="OUL106" s="973"/>
      <c r="OUM106" s="973"/>
      <c r="OUN106" s="973"/>
      <c r="OUO106" s="973"/>
      <c r="OUP106" s="973"/>
      <c r="OUQ106" s="973"/>
      <c r="OUR106" s="973"/>
      <c r="OUS106" s="973"/>
      <c r="OUT106" s="973"/>
      <c r="OUU106" s="973"/>
      <c r="OUV106" s="973"/>
      <c r="OUW106" s="973"/>
      <c r="OUX106" s="973"/>
      <c r="OUY106" s="973"/>
      <c r="OUZ106" s="973"/>
      <c r="OVA106" s="973"/>
      <c r="OVB106" s="973"/>
      <c r="OVC106" s="973"/>
      <c r="OVD106" s="973"/>
      <c r="OVE106" s="973"/>
      <c r="OVF106" s="973"/>
      <c r="OVG106" s="973"/>
      <c r="OVH106" s="973"/>
      <c r="OVI106" s="973"/>
      <c r="OVJ106" s="973"/>
      <c r="OVK106" s="973"/>
      <c r="OVL106" s="973"/>
      <c r="OVM106" s="973"/>
      <c r="OVN106" s="973"/>
      <c r="OVO106" s="973"/>
      <c r="OVP106" s="973"/>
      <c r="OVQ106" s="973"/>
      <c r="OVR106" s="973"/>
      <c r="OVS106" s="973"/>
      <c r="OVT106" s="973"/>
      <c r="OVU106" s="973"/>
      <c r="OVV106" s="973"/>
      <c r="OVW106" s="973"/>
      <c r="OVX106" s="973"/>
      <c r="OVY106" s="973"/>
      <c r="OVZ106" s="973"/>
      <c r="OWA106" s="973"/>
      <c r="OWB106" s="973"/>
      <c r="OWC106" s="973"/>
      <c r="OWD106" s="973"/>
      <c r="OWE106" s="973"/>
      <c r="OWF106" s="973"/>
      <c r="OWG106" s="973"/>
      <c r="OWH106" s="973"/>
      <c r="OWI106" s="973"/>
      <c r="OWJ106" s="973"/>
      <c r="OWK106" s="973"/>
      <c r="OWL106" s="973"/>
      <c r="OWM106" s="973"/>
      <c r="OWN106" s="973"/>
      <c r="OWO106" s="973"/>
      <c r="OWP106" s="973"/>
      <c r="OWQ106" s="973"/>
      <c r="OWR106" s="973"/>
      <c r="OWS106" s="973"/>
      <c r="OWT106" s="973"/>
      <c r="OWU106" s="973"/>
      <c r="OWV106" s="973"/>
      <c r="OWW106" s="973"/>
      <c r="OWX106" s="973"/>
      <c r="OWY106" s="973"/>
      <c r="OWZ106" s="973"/>
      <c r="OXA106" s="973"/>
      <c r="OXB106" s="973"/>
      <c r="OXC106" s="973"/>
      <c r="OXD106" s="973"/>
      <c r="OXE106" s="973"/>
      <c r="OXF106" s="973"/>
      <c r="OXG106" s="973"/>
      <c r="OXH106" s="973"/>
      <c r="OXI106" s="973"/>
      <c r="OXJ106" s="973"/>
      <c r="OXK106" s="973"/>
      <c r="OXL106" s="973"/>
      <c r="OXM106" s="973"/>
      <c r="OXN106" s="973"/>
      <c r="OXO106" s="973"/>
      <c r="OXP106" s="973"/>
      <c r="OXQ106" s="973"/>
      <c r="OXR106" s="973"/>
      <c r="OXS106" s="973"/>
      <c r="OXT106" s="973"/>
      <c r="OXU106" s="973"/>
      <c r="OXV106" s="973"/>
      <c r="OXW106" s="973"/>
      <c r="OXX106" s="973"/>
      <c r="OXY106" s="973"/>
      <c r="OXZ106" s="973"/>
      <c r="OYA106" s="973"/>
      <c r="OYB106" s="973"/>
      <c r="OYC106" s="973"/>
      <c r="OYD106" s="973"/>
      <c r="OYE106" s="973"/>
      <c r="OYF106" s="973"/>
      <c r="OYG106" s="973"/>
      <c r="OYH106" s="973"/>
      <c r="OYI106" s="973"/>
      <c r="OYJ106" s="973"/>
      <c r="OYK106" s="973"/>
      <c r="OYL106" s="973"/>
      <c r="OYM106" s="973"/>
      <c r="OYN106" s="973"/>
      <c r="OYO106" s="973"/>
      <c r="OYP106" s="973"/>
      <c r="OYQ106" s="973"/>
      <c r="OYR106" s="973"/>
      <c r="OYS106" s="973"/>
      <c r="OYT106" s="973"/>
      <c r="OYU106" s="973"/>
      <c r="OYV106" s="973"/>
      <c r="OYW106" s="973"/>
      <c r="OYX106" s="973"/>
      <c r="OYY106" s="973"/>
      <c r="OYZ106" s="973"/>
      <c r="OZA106" s="973"/>
      <c r="OZB106" s="973"/>
      <c r="OZC106" s="973"/>
      <c r="OZD106" s="973"/>
      <c r="OZE106" s="973"/>
      <c r="OZF106" s="973"/>
      <c r="OZG106" s="973"/>
      <c r="OZH106" s="973"/>
      <c r="OZI106" s="973"/>
      <c r="OZJ106" s="973"/>
      <c r="OZK106" s="973"/>
      <c r="OZL106" s="973"/>
      <c r="OZM106" s="973"/>
      <c r="OZN106" s="973"/>
      <c r="OZO106" s="973"/>
      <c r="OZP106" s="973"/>
      <c r="OZQ106" s="973"/>
      <c r="OZR106" s="973"/>
      <c r="OZS106" s="973"/>
      <c r="OZT106" s="973"/>
      <c r="OZU106" s="973"/>
      <c r="OZV106" s="973"/>
      <c r="OZW106" s="973"/>
      <c r="OZX106" s="973"/>
      <c r="OZY106" s="973"/>
      <c r="OZZ106" s="973"/>
      <c r="PAA106" s="973"/>
      <c r="PAB106" s="973"/>
      <c r="PAC106" s="973"/>
      <c r="PAD106" s="973"/>
      <c r="PAE106" s="973"/>
      <c r="PAF106" s="973"/>
      <c r="PAG106" s="973"/>
      <c r="PAH106" s="973"/>
      <c r="PAI106" s="973"/>
      <c r="PAJ106" s="973"/>
      <c r="PAK106" s="973"/>
      <c r="PAL106" s="973"/>
      <c r="PAM106" s="973"/>
      <c r="PAN106" s="973"/>
      <c r="PAO106" s="973"/>
      <c r="PAP106" s="973"/>
      <c r="PAQ106" s="973"/>
      <c r="PAR106" s="973"/>
      <c r="PAS106" s="973"/>
      <c r="PAT106" s="973"/>
      <c r="PAU106" s="973"/>
      <c r="PAV106" s="973"/>
      <c r="PAW106" s="973"/>
      <c r="PAX106" s="973"/>
      <c r="PAY106" s="973"/>
      <c r="PAZ106" s="973"/>
      <c r="PBA106" s="973"/>
      <c r="PBB106" s="973"/>
      <c r="PBC106" s="973"/>
      <c r="PBD106" s="973"/>
      <c r="PBE106" s="973"/>
      <c r="PBF106" s="973"/>
      <c r="PBG106" s="973"/>
      <c r="PBH106" s="973"/>
      <c r="PBI106" s="973"/>
      <c r="PBJ106" s="973"/>
      <c r="PBK106" s="973"/>
      <c r="PBL106" s="973"/>
      <c r="PBM106" s="973"/>
      <c r="PBN106" s="973"/>
      <c r="PBO106" s="973"/>
      <c r="PBP106" s="973"/>
      <c r="PBQ106" s="973"/>
      <c r="PBR106" s="973"/>
      <c r="PBS106" s="973"/>
      <c r="PBT106" s="973"/>
      <c r="PBU106" s="973"/>
      <c r="PBV106" s="973"/>
      <c r="PBW106" s="973"/>
      <c r="PBX106" s="973"/>
      <c r="PBY106" s="973"/>
      <c r="PBZ106" s="973"/>
      <c r="PCA106" s="973"/>
      <c r="PCB106" s="973"/>
      <c r="PCC106" s="973"/>
      <c r="PCD106" s="973"/>
      <c r="PCE106" s="973"/>
      <c r="PCF106" s="973"/>
      <c r="PCG106" s="973"/>
      <c r="PCH106" s="973"/>
      <c r="PCI106" s="973"/>
      <c r="PCJ106" s="973"/>
      <c r="PCK106" s="973"/>
      <c r="PCL106" s="973"/>
      <c r="PCM106" s="973"/>
      <c r="PCN106" s="973"/>
      <c r="PCO106" s="973"/>
      <c r="PCP106" s="973"/>
      <c r="PCQ106" s="973"/>
      <c r="PCR106" s="973"/>
      <c r="PCS106" s="973"/>
      <c r="PCT106" s="973"/>
      <c r="PCU106" s="973"/>
      <c r="PCV106" s="973"/>
      <c r="PCW106" s="973"/>
      <c r="PCX106" s="973"/>
      <c r="PCY106" s="973"/>
      <c r="PCZ106" s="973"/>
      <c r="PDA106" s="973"/>
      <c r="PDB106" s="973"/>
      <c r="PDC106" s="973"/>
      <c r="PDD106" s="973"/>
      <c r="PDE106" s="973"/>
      <c r="PDF106" s="973"/>
      <c r="PDG106" s="973"/>
      <c r="PDH106" s="973"/>
      <c r="PDI106" s="973"/>
      <c r="PDJ106" s="973"/>
      <c r="PDK106" s="973"/>
      <c r="PDL106" s="973"/>
      <c r="PDM106" s="973"/>
      <c r="PDN106" s="973"/>
      <c r="PDO106" s="973"/>
      <c r="PDP106" s="973"/>
      <c r="PDQ106" s="973"/>
      <c r="PDR106" s="973"/>
      <c r="PDS106" s="973"/>
      <c r="PDT106" s="973"/>
      <c r="PDU106" s="973"/>
      <c r="PDV106" s="973"/>
      <c r="PDW106" s="973"/>
      <c r="PDX106" s="973"/>
      <c r="PDY106" s="973"/>
      <c r="PDZ106" s="973"/>
      <c r="PEA106" s="973"/>
      <c r="PEB106" s="973"/>
      <c r="PEC106" s="973"/>
      <c r="PED106" s="973"/>
      <c r="PEE106" s="973"/>
      <c r="PEF106" s="973"/>
      <c r="PEG106" s="973"/>
      <c r="PEH106" s="973"/>
      <c r="PEI106" s="973"/>
      <c r="PEJ106" s="973"/>
      <c r="PEK106" s="973"/>
      <c r="PEL106" s="973"/>
      <c r="PEM106" s="973"/>
      <c r="PEN106" s="973"/>
      <c r="PEO106" s="973"/>
      <c r="PEP106" s="973"/>
      <c r="PEQ106" s="973"/>
      <c r="PER106" s="973"/>
      <c r="PES106" s="973"/>
      <c r="PET106" s="973"/>
      <c r="PEU106" s="973"/>
      <c r="PEV106" s="973"/>
      <c r="PEW106" s="973"/>
      <c r="PEX106" s="973"/>
      <c r="PEY106" s="973"/>
      <c r="PEZ106" s="973"/>
      <c r="PFA106" s="973"/>
      <c r="PFB106" s="973"/>
      <c r="PFC106" s="973"/>
      <c r="PFD106" s="973"/>
      <c r="PFE106" s="973"/>
      <c r="PFF106" s="973"/>
      <c r="PFG106" s="973"/>
      <c r="PFH106" s="973"/>
      <c r="PFI106" s="973"/>
      <c r="PFJ106" s="973"/>
      <c r="PFK106" s="973"/>
      <c r="PFL106" s="973"/>
      <c r="PFM106" s="973"/>
      <c r="PFN106" s="973"/>
      <c r="PFO106" s="973"/>
      <c r="PFP106" s="973"/>
      <c r="PFQ106" s="973"/>
      <c r="PFR106" s="973"/>
      <c r="PFS106" s="973"/>
      <c r="PFT106" s="973"/>
      <c r="PFU106" s="973"/>
      <c r="PFV106" s="973"/>
      <c r="PFW106" s="973"/>
      <c r="PFX106" s="973"/>
      <c r="PFY106" s="973"/>
      <c r="PFZ106" s="973"/>
      <c r="PGA106" s="973"/>
      <c r="PGB106" s="973"/>
      <c r="PGC106" s="973"/>
      <c r="PGD106" s="973"/>
      <c r="PGE106" s="973"/>
      <c r="PGF106" s="973"/>
      <c r="PGG106" s="973"/>
      <c r="PGH106" s="973"/>
      <c r="PGI106" s="973"/>
      <c r="PGJ106" s="973"/>
      <c r="PGK106" s="973"/>
      <c r="PGL106" s="973"/>
      <c r="PGM106" s="973"/>
      <c r="PGN106" s="973"/>
      <c r="PGO106" s="973"/>
      <c r="PGP106" s="973"/>
      <c r="PGQ106" s="973"/>
      <c r="PGR106" s="973"/>
      <c r="PGS106" s="973"/>
      <c r="PGT106" s="973"/>
      <c r="PGU106" s="973"/>
      <c r="PGV106" s="973"/>
      <c r="PGW106" s="973"/>
      <c r="PGX106" s="973"/>
      <c r="PGY106" s="973"/>
      <c r="PGZ106" s="973"/>
      <c r="PHA106" s="973"/>
      <c r="PHB106" s="973"/>
      <c r="PHC106" s="973"/>
      <c r="PHD106" s="973"/>
      <c r="PHE106" s="973"/>
      <c r="PHF106" s="973"/>
      <c r="PHG106" s="973"/>
      <c r="PHH106" s="973"/>
      <c r="PHI106" s="973"/>
      <c r="PHJ106" s="973"/>
      <c r="PHK106" s="973"/>
      <c r="PHL106" s="973"/>
      <c r="PHM106" s="973"/>
      <c r="PHN106" s="973"/>
      <c r="PHO106" s="973"/>
      <c r="PHP106" s="973"/>
      <c r="PHQ106" s="973"/>
      <c r="PHR106" s="973"/>
      <c r="PHS106" s="973"/>
      <c r="PHT106" s="973"/>
      <c r="PHU106" s="973"/>
      <c r="PHV106" s="973"/>
      <c r="PHW106" s="973"/>
      <c r="PHX106" s="973"/>
      <c r="PHY106" s="973"/>
      <c r="PHZ106" s="973"/>
      <c r="PIA106" s="973"/>
      <c r="PIB106" s="973"/>
      <c r="PIC106" s="973"/>
      <c r="PID106" s="973"/>
      <c r="PIE106" s="973"/>
      <c r="PIF106" s="973"/>
      <c r="PIG106" s="973"/>
      <c r="PIH106" s="973"/>
      <c r="PII106" s="973"/>
      <c r="PIJ106" s="973"/>
      <c r="PIK106" s="973"/>
      <c r="PIL106" s="973"/>
      <c r="PIM106" s="973"/>
      <c r="PIN106" s="973"/>
      <c r="PIO106" s="973"/>
      <c r="PIP106" s="973"/>
      <c r="PIQ106" s="973"/>
      <c r="PIR106" s="973"/>
      <c r="PIS106" s="973"/>
      <c r="PIT106" s="973"/>
      <c r="PIU106" s="973"/>
      <c r="PIV106" s="973"/>
      <c r="PIW106" s="973"/>
      <c r="PIX106" s="973"/>
      <c r="PIY106" s="973"/>
      <c r="PIZ106" s="973"/>
      <c r="PJA106" s="973"/>
      <c r="PJB106" s="973"/>
      <c r="PJC106" s="973"/>
      <c r="PJD106" s="973"/>
      <c r="PJE106" s="973"/>
      <c r="PJF106" s="973"/>
      <c r="PJG106" s="973"/>
      <c r="PJH106" s="973"/>
      <c r="PJI106" s="973"/>
      <c r="PJJ106" s="973"/>
      <c r="PJK106" s="973"/>
      <c r="PJL106" s="973"/>
      <c r="PJM106" s="973"/>
      <c r="PJN106" s="973"/>
      <c r="PJO106" s="973"/>
      <c r="PJP106" s="973"/>
      <c r="PJQ106" s="973"/>
      <c r="PJR106" s="973"/>
      <c r="PJS106" s="973"/>
      <c r="PJT106" s="973"/>
      <c r="PJU106" s="973"/>
      <c r="PJV106" s="973"/>
      <c r="PJW106" s="973"/>
      <c r="PJX106" s="973"/>
      <c r="PJY106" s="973"/>
      <c r="PJZ106" s="973"/>
      <c r="PKA106" s="973"/>
      <c r="PKB106" s="973"/>
      <c r="PKC106" s="973"/>
      <c r="PKD106" s="973"/>
      <c r="PKE106" s="973"/>
      <c r="PKF106" s="973"/>
      <c r="PKG106" s="973"/>
      <c r="PKH106" s="973"/>
      <c r="PKI106" s="973"/>
      <c r="PKJ106" s="973"/>
      <c r="PKK106" s="973"/>
      <c r="PKL106" s="973"/>
      <c r="PKM106" s="973"/>
      <c r="PKN106" s="973"/>
      <c r="PKO106" s="973"/>
      <c r="PKP106" s="973"/>
      <c r="PKQ106" s="973"/>
      <c r="PKR106" s="973"/>
      <c r="PKS106" s="973"/>
      <c r="PKT106" s="973"/>
      <c r="PKU106" s="973"/>
      <c r="PKV106" s="973"/>
      <c r="PKW106" s="973"/>
      <c r="PKX106" s="973"/>
      <c r="PKY106" s="973"/>
      <c r="PKZ106" s="973"/>
      <c r="PLA106" s="973"/>
      <c r="PLB106" s="973"/>
      <c r="PLC106" s="973"/>
      <c r="PLD106" s="973"/>
      <c r="PLE106" s="973"/>
      <c r="PLF106" s="973"/>
      <c r="PLG106" s="973"/>
      <c r="PLH106" s="973"/>
      <c r="PLI106" s="973"/>
      <c r="PLJ106" s="973"/>
      <c r="PLK106" s="973"/>
      <c r="PLL106" s="973"/>
      <c r="PLM106" s="973"/>
      <c r="PLN106" s="973"/>
      <c r="PLO106" s="973"/>
      <c r="PLP106" s="973"/>
      <c r="PLQ106" s="973"/>
      <c r="PLR106" s="973"/>
      <c r="PLS106" s="973"/>
      <c r="PLT106" s="973"/>
      <c r="PLU106" s="973"/>
      <c r="PLV106" s="973"/>
      <c r="PLW106" s="973"/>
      <c r="PLX106" s="973"/>
      <c r="PLY106" s="973"/>
      <c r="PLZ106" s="973"/>
      <c r="PMA106" s="973"/>
      <c r="PMB106" s="973"/>
      <c r="PMC106" s="973"/>
      <c r="PMD106" s="973"/>
      <c r="PME106" s="973"/>
      <c r="PMF106" s="973"/>
      <c r="PMG106" s="973"/>
      <c r="PMH106" s="973"/>
      <c r="PMI106" s="973"/>
      <c r="PMJ106" s="973"/>
      <c r="PMK106" s="973"/>
      <c r="PML106" s="973"/>
      <c r="PMM106" s="973"/>
      <c r="PMN106" s="973"/>
      <c r="PMO106" s="973"/>
      <c r="PMP106" s="973"/>
      <c r="PMQ106" s="973"/>
      <c r="PMR106" s="973"/>
      <c r="PMS106" s="973"/>
      <c r="PMT106" s="973"/>
      <c r="PMU106" s="973"/>
      <c r="PMV106" s="973"/>
      <c r="PMW106" s="973"/>
      <c r="PMX106" s="973"/>
      <c r="PMY106" s="973"/>
      <c r="PMZ106" s="973"/>
      <c r="PNA106" s="973"/>
      <c r="PNB106" s="973"/>
      <c r="PNC106" s="973"/>
      <c r="PND106" s="973"/>
      <c r="PNE106" s="973"/>
      <c r="PNF106" s="973"/>
      <c r="PNG106" s="973"/>
      <c r="PNH106" s="973"/>
      <c r="PNI106" s="973"/>
      <c r="PNJ106" s="973"/>
      <c r="PNK106" s="973"/>
      <c r="PNL106" s="973"/>
      <c r="PNM106" s="973"/>
      <c r="PNN106" s="973"/>
      <c r="PNO106" s="973"/>
      <c r="PNP106" s="973"/>
      <c r="PNQ106" s="973"/>
      <c r="PNR106" s="973"/>
      <c r="PNS106" s="973"/>
      <c r="PNT106" s="973"/>
      <c r="PNU106" s="973"/>
      <c r="PNV106" s="973"/>
      <c r="PNW106" s="973"/>
      <c r="PNX106" s="973"/>
      <c r="PNY106" s="973"/>
      <c r="PNZ106" s="973"/>
      <c r="POA106" s="973"/>
      <c r="POB106" s="973"/>
      <c r="POC106" s="973"/>
      <c r="POD106" s="973"/>
      <c r="POE106" s="973"/>
      <c r="POF106" s="973"/>
      <c r="POG106" s="973"/>
      <c r="POH106" s="973"/>
      <c r="POI106" s="973"/>
      <c r="POJ106" s="973"/>
      <c r="POK106" s="973"/>
      <c r="POL106" s="973"/>
      <c r="POM106" s="973"/>
      <c r="PON106" s="973"/>
      <c r="POO106" s="973"/>
      <c r="POP106" s="973"/>
      <c r="POQ106" s="973"/>
      <c r="POR106" s="973"/>
      <c r="POS106" s="973"/>
      <c r="POT106" s="973"/>
      <c r="POU106" s="973"/>
      <c r="POV106" s="973"/>
      <c r="POW106" s="973"/>
      <c r="POX106" s="973"/>
      <c r="POY106" s="973"/>
      <c r="POZ106" s="973"/>
      <c r="PPA106" s="973"/>
      <c r="PPB106" s="973"/>
      <c r="PPC106" s="973"/>
      <c r="PPD106" s="973"/>
      <c r="PPE106" s="973"/>
      <c r="PPF106" s="973"/>
      <c r="PPG106" s="973"/>
      <c r="PPH106" s="973"/>
      <c r="PPI106" s="973"/>
      <c r="PPJ106" s="973"/>
      <c r="PPK106" s="973"/>
      <c r="PPL106" s="973"/>
      <c r="PPM106" s="973"/>
      <c r="PPN106" s="973"/>
      <c r="PPO106" s="973"/>
      <c r="PPP106" s="973"/>
      <c r="PPQ106" s="973"/>
      <c r="PPR106" s="973"/>
      <c r="PPS106" s="973"/>
      <c r="PPT106" s="973"/>
      <c r="PPU106" s="973"/>
      <c r="PPV106" s="973"/>
      <c r="PPW106" s="973"/>
      <c r="PPX106" s="973"/>
      <c r="PPY106" s="973"/>
      <c r="PPZ106" s="973"/>
      <c r="PQA106" s="973"/>
      <c r="PQB106" s="973"/>
      <c r="PQC106" s="973"/>
      <c r="PQD106" s="973"/>
      <c r="PQE106" s="973"/>
      <c r="PQF106" s="973"/>
      <c r="PQG106" s="973"/>
      <c r="PQH106" s="973"/>
      <c r="PQI106" s="973"/>
      <c r="PQJ106" s="973"/>
      <c r="PQK106" s="973"/>
      <c r="PQL106" s="973"/>
      <c r="PQM106" s="973"/>
      <c r="PQN106" s="973"/>
      <c r="PQO106" s="973"/>
      <c r="PQP106" s="973"/>
      <c r="PQQ106" s="973"/>
      <c r="PQR106" s="973"/>
      <c r="PQS106" s="973"/>
      <c r="PQT106" s="973"/>
      <c r="PQU106" s="973"/>
      <c r="PQV106" s="973"/>
      <c r="PQW106" s="973"/>
      <c r="PQX106" s="973"/>
      <c r="PQY106" s="973"/>
      <c r="PQZ106" s="973"/>
      <c r="PRA106" s="973"/>
      <c r="PRB106" s="973"/>
      <c r="PRC106" s="973"/>
      <c r="PRD106" s="973"/>
      <c r="PRE106" s="973"/>
      <c r="PRF106" s="973"/>
      <c r="PRG106" s="973"/>
      <c r="PRH106" s="973"/>
      <c r="PRI106" s="973"/>
      <c r="PRJ106" s="973"/>
      <c r="PRK106" s="973"/>
      <c r="PRL106" s="973"/>
      <c r="PRM106" s="973"/>
      <c r="PRN106" s="973"/>
      <c r="PRO106" s="973"/>
      <c r="PRP106" s="973"/>
      <c r="PRQ106" s="973"/>
      <c r="PRR106" s="973"/>
      <c r="PRS106" s="973"/>
      <c r="PRT106" s="973"/>
      <c r="PRU106" s="973"/>
      <c r="PRV106" s="973"/>
      <c r="PRW106" s="973"/>
      <c r="PRX106" s="973"/>
      <c r="PRY106" s="973"/>
      <c r="PRZ106" s="973"/>
      <c r="PSA106" s="973"/>
      <c r="PSB106" s="973"/>
      <c r="PSC106" s="973"/>
      <c r="PSD106" s="973"/>
      <c r="PSE106" s="973"/>
      <c r="PSF106" s="973"/>
      <c r="PSG106" s="973"/>
      <c r="PSH106" s="973"/>
      <c r="PSI106" s="973"/>
      <c r="PSJ106" s="973"/>
      <c r="PSK106" s="973"/>
      <c r="PSL106" s="973"/>
      <c r="PSM106" s="973"/>
      <c r="PSN106" s="973"/>
      <c r="PSO106" s="973"/>
      <c r="PSP106" s="973"/>
      <c r="PSQ106" s="973"/>
      <c r="PSR106" s="973"/>
      <c r="PSS106" s="973"/>
      <c r="PST106" s="973"/>
      <c r="PSU106" s="973"/>
      <c r="PSV106" s="973"/>
      <c r="PSW106" s="973"/>
      <c r="PSX106" s="973"/>
      <c r="PSY106" s="973"/>
      <c r="PSZ106" s="973"/>
      <c r="PTA106" s="973"/>
      <c r="PTB106" s="973"/>
      <c r="PTC106" s="973"/>
      <c r="PTD106" s="973"/>
      <c r="PTE106" s="973"/>
      <c r="PTF106" s="973"/>
      <c r="PTG106" s="973"/>
      <c r="PTH106" s="973"/>
      <c r="PTI106" s="973"/>
      <c r="PTJ106" s="973"/>
      <c r="PTK106" s="973"/>
      <c r="PTL106" s="973"/>
      <c r="PTM106" s="973"/>
      <c r="PTN106" s="973"/>
      <c r="PTO106" s="973"/>
      <c r="PTP106" s="973"/>
      <c r="PTQ106" s="973"/>
      <c r="PTR106" s="973"/>
      <c r="PTS106" s="973"/>
      <c r="PTT106" s="973"/>
      <c r="PTU106" s="973"/>
      <c r="PTV106" s="973"/>
      <c r="PTW106" s="973"/>
      <c r="PTX106" s="973"/>
      <c r="PTY106" s="973"/>
      <c r="PTZ106" s="973"/>
      <c r="PUA106" s="973"/>
      <c r="PUB106" s="973"/>
      <c r="PUC106" s="973"/>
      <c r="PUD106" s="973"/>
      <c r="PUE106" s="973"/>
      <c r="PUF106" s="973"/>
      <c r="PUG106" s="973"/>
      <c r="PUH106" s="973"/>
      <c r="PUI106" s="973"/>
      <c r="PUJ106" s="973"/>
      <c r="PUK106" s="973"/>
      <c r="PUL106" s="973"/>
      <c r="PUM106" s="973"/>
      <c r="PUN106" s="973"/>
      <c r="PUO106" s="973"/>
      <c r="PUP106" s="973"/>
      <c r="PUQ106" s="973"/>
      <c r="PUR106" s="973"/>
      <c r="PUS106" s="973"/>
      <c r="PUT106" s="973"/>
      <c r="PUU106" s="973"/>
      <c r="PUV106" s="973"/>
      <c r="PUW106" s="973"/>
      <c r="PUX106" s="973"/>
      <c r="PUY106" s="973"/>
      <c r="PUZ106" s="973"/>
      <c r="PVA106" s="973"/>
      <c r="PVB106" s="973"/>
      <c r="PVC106" s="973"/>
      <c r="PVD106" s="973"/>
      <c r="PVE106" s="973"/>
      <c r="PVF106" s="973"/>
      <c r="PVG106" s="973"/>
      <c r="PVH106" s="973"/>
      <c r="PVI106" s="973"/>
      <c r="PVJ106" s="973"/>
      <c r="PVK106" s="973"/>
      <c r="PVL106" s="973"/>
      <c r="PVM106" s="973"/>
      <c r="PVN106" s="973"/>
      <c r="PVO106" s="973"/>
      <c r="PVP106" s="973"/>
      <c r="PVQ106" s="973"/>
      <c r="PVR106" s="973"/>
      <c r="PVS106" s="973"/>
      <c r="PVT106" s="973"/>
      <c r="PVU106" s="973"/>
      <c r="PVV106" s="973"/>
      <c r="PVW106" s="973"/>
      <c r="PVX106" s="973"/>
      <c r="PVY106" s="973"/>
      <c r="PVZ106" s="973"/>
      <c r="PWA106" s="973"/>
      <c r="PWB106" s="973"/>
      <c r="PWC106" s="973"/>
      <c r="PWD106" s="973"/>
      <c r="PWE106" s="973"/>
      <c r="PWF106" s="973"/>
      <c r="PWG106" s="973"/>
      <c r="PWH106" s="973"/>
      <c r="PWI106" s="973"/>
      <c r="PWJ106" s="973"/>
      <c r="PWK106" s="973"/>
      <c r="PWL106" s="973"/>
      <c r="PWM106" s="973"/>
      <c r="PWN106" s="973"/>
      <c r="PWO106" s="973"/>
      <c r="PWP106" s="973"/>
      <c r="PWQ106" s="973"/>
      <c r="PWR106" s="973"/>
      <c r="PWS106" s="973"/>
      <c r="PWT106" s="973"/>
      <c r="PWU106" s="973"/>
      <c r="PWV106" s="973"/>
      <c r="PWW106" s="973"/>
      <c r="PWX106" s="973"/>
      <c r="PWY106" s="973"/>
      <c r="PWZ106" s="973"/>
      <c r="PXA106" s="973"/>
      <c r="PXB106" s="973"/>
      <c r="PXC106" s="973"/>
      <c r="PXD106" s="973"/>
      <c r="PXE106" s="973"/>
      <c r="PXF106" s="973"/>
      <c r="PXG106" s="973"/>
      <c r="PXH106" s="973"/>
      <c r="PXI106" s="973"/>
      <c r="PXJ106" s="973"/>
      <c r="PXK106" s="973"/>
      <c r="PXL106" s="973"/>
      <c r="PXM106" s="973"/>
      <c r="PXN106" s="973"/>
      <c r="PXO106" s="973"/>
      <c r="PXP106" s="973"/>
      <c r="PXQ106" s="973"/>
      <c r="PXR106" s="973"/>
      <c r="PXS106" s="973"/>
      <c r="PXT106" s="973"/>
      <c r="PXU106" s="973"/>
      <c r="PXV106" s="973"/>
      <c r="PXW106" s="973"/>
      <c r="PXX106" s="973"/>
      <c r="PXY106" s="973"/>
      <c r="PXZ106" s="973"/>
      <c r="PYA106" s="973"/>
      <c r="PYB106" s="973"/>
      <c r="PYC106" s="973"/>
      <c r="PYD106" s="973"/>
      <c r="PYE106" s="973"/>
      <c r="PYF106" s="973"/>
      <c r="PYG106" s="973"/>
      <c r="PYH106" s="973"/>
      <c r="PYI106" s="973"/>
      <c r="PYJ106" s="973"/>
      <c r="PYK106" s="973"/>
      <c r="PYL106" s="973"/>
      <c r="PYM106" s="973"/>
      <c r="PYN106" s="973"/>
      <c r="PYO106" s="973"/>
      <c r="PYP106" s="973"/>
      <c r="PYQ106" s="973"/>
      <c r="PYR106" s="973"/>
      <c r="PYS106" s="973"/>
      <c r="PYT106" s="973"/>
      <c r="PYU106" s="973"/>
      <c r="PYV106" s="973"/>
      <c r="PYW106" s="973"/>
      <c r="PYX106" s="973"/>
      <c r="PYY106" s="973"/>
      <c r="PYZ106" s="973"/>
      <c r="PZA106" s="973"/>
      <c r="PZB106" s="973"/>
      <c r="PZC106" s="973"/>
      <c r="PZD106" s="973"/>
      <c r="PZE106" s="973"/>
      <c r="PZF106" s="973"/>
      <c r="PZG106" s="973"/>
      <c r="PZH106" s="973"/>
      <c r="PZI106" s="973"/>
      <c r="PZJ106" s="973"/>
      <c r="PZK106" s="973"/>
      <c r="PZL106" s="973"/>
      <c r="PZM106" s="973"/>
      <c r="PZN106" s="973"/>
      <c r="PZO106" s="973"/>
      <c r="PZP106" s="973"/>
      <c r="PZQ106" s="973"/>
      <c r="PZR106" s="973"/>
      <c r="PZS106" s="973"/>
      <c r="PZT106" s="973"/>
      <c r="PZU106" s="973"/>
      <c r="PZV106" s="973"/>
      <c r="PZW106" s="973"/>
      <c r="PZX106" s="973"/>
      <c r="PZY106" s="973"/>
      <c r="PZZ106" s="973"/>
      <c r="QAA106" s="973"/>
      <c r="QAB106" s="973"/>
      <c r="QAC106" s="973"/>
      <c r="QAD106" s="973"/>
      <c r="QAE106" s="973"/>
      <c r="QAF106" s="973"/>
      <c r="QAG106" s="973"/>
      <c r="QAH106" s="973"/>
      <c r="QAI106" s="973"/>
      <c r="QAJ106" s="973"/>
      <c r="QAK106" s="973"/>
      <c r="QAL106" s="973"/>
      <c r="QAM106" s="973"/>
      <c r="QAN106" s="973"/>
      <c r="QAO106" s="973"/>
      <c r="QAP106" s="973"/>
      <c r="QAQ106" s="973"/>
      <c r="QAR106" s="973"/>
      <c r="QAS106" s="973"/>
      <c r="QAT106" s="973"/>
      <c r="QAU106" s="973"/>
      <c r="QAV106" s="973"/>
      <c r="QAW106" s="973"/>
      <c r="QAX106" s="973"/>
      <c r="QAY106" s="973"/>
      <c r="QAZ106" s="973"/>
      <c r="QBA106" s="973"/>
      <c r="QBB106" s="973"/>
      <c r="QBC106" s="973"/>
      <c r="QBD106" s="973"/>
      <c r="QBE106" s="973"/>
      <c r="QBF106" s="973"/>
      <c r="QBG106" s="973"/>
      <c r="QBH106" s="973"/>
      <c r="QBI106" s="973"/>
      <c r="QBJ106" s="973"/>
      <c r="QBK106" s="973"/>
      <c r="QBL106" s="973"/>
      <c r="QBM106" s="973"/>
      <c r="QBN106" s="973"/>
      <c r="QBO106" s="973"/>
      <c r="QBP106" s="973"/>
      <c r="QBQ106" s="973"/>
      <c r="QBR106" s="973"/>
      <c r="QBS106" s="973"/>
      <c r="QBT106" s="973"/>
      <c r="QBU106" s="973"/>
      <c r="QBV106" s="973"/>
      <c r="QBW106" s="973"/>
      <c r="QBX106" s="973"/>
      <c r="QBY106" s="973"/>
      <c r="QBZ106" s="973"/>
      <c r="QCA106" s="973"/>
      <c r="QCB106" s="973"/>
      <c r="QCC106" s="973"/>
      <c r="QCD106" s="973"/>
      <c r="QCE106" s="973"/>
      <c r="QCF106" s="973"/>
      <c r="QCG106" s="973"/>
      <c r="QCH106" s="973"/>
      <c r="QCI106" s="973"/>
      <c r="QCJ106" s="973"/>
      <c r="QCK106" s="973"/>
      <c r="QCL106" s="973"/>
      <c r="QCM106" s="973"/>
      <c r="QCN106" s="973"/>
      <c r="QCO106" s="973"/>
      <c r="QCP106" s="973"/>
      <c r="QCQ106" s="973"/>
      <c r="QCR106" s="973"/>
      <c r="QCS106" s="973"/>
      <c r="QCT106" s="973"/>
      <c r="QCU106" s="973"/>
      <c r="QCV106" s="973"/>
      <c r="QCW106" s="973"/>
      <c r="QCX106" s="973"/>
      <c r="QCY106" s="973"/>
      <c r="QCZ106" s="973"/>
      <c r="QDA106" s="973"/>
      <c r="QDB106" s="973"/>
      <c r="QDC106" s="973"/>
      <c r="QDD106" s="973"/>
      <c r="QDE106" s="973"/>
      <c r="QDF106" s="973"/>
      <c r="QDG106" s="973"/>
      <c r="QDH106" s="973"/>
      <c r="QDI106" s="973"/>
      <c r="QDJ106" s="973"/>
      <c r="QDK106" s="973"/>
      <c r="QDL106" s="973"/>
      <c r="QDM106" s="973"/>
      <c r="QDN106" s="973"/>
      <c r="QDO106" s="973"/>
      <c r="QDP106" s="973"/>
      <c r="QDQ106" s="973"/>
      <c r="QDR106" s="973"/>
      <c r="QDS106" s="973"/>
      <c r="QDT106" s="973"/>
      <c r="QDU106" s="973"/>
      <c r="QDV106" s="973"/>
      <c r="QDW106" s="973"/>
      <c r="QDX106" s="973"/>
      <c r="QDY106" s="973"/>
      <c r="QDZ106" s="973"/>
      <c r="QEA106" s="973"/>
      <c r="QEB106" s="973"/>
      <c r="QEC106" s="973"/>
      <c r="QED106" s="973"/>
      <c r="QEE106" s="973"/>
      <c r="QEF106" s="973"/>
      <c r="QEG106" s="973"/>
      <c r="QEH106" s="973"/>
      <c r="QEI106" s="973"/>
      <c r="QEJ106" s="973"/>
      <c r="QEK106" s="973"/>
      <c r="QEL106" s="973"/>
      <c r="QEM106" s="973"/>
      <c r="QEN106" s="973"/>
      <c r="QEO106" s="973"/>
      <c r="QEP106" s="973"/>
      <c r="QEQ106" s="973"/>
      <c r="QER106" s="973"/>
      <c r="QES106" s="973"/>
      <c r="QET106" s="973"/>
      <c r="QEU106" s="973"/>
      <c r="QEV106" s="973"/>
      <c r="QEW106" s="973"/>
      <c r="QEX106" s="973"/>
      <c r="QEY106" s="973"/>
      <c r="QEZ106" s="973"/>
      <c r="QFA106" s="973"/>
      <c r="QFB106" s="973"/>
      <c r="QFC106" s="973"/>
      <c r="QFD106" s="973"/>
      <c r="QFE106" s="973"/>
      <c r="QFF106" s="973"/>
      <c r="QFG106" s="973"/>
      <c r="QFH106" s="973"/>
      <c r="QFI106" s="973"/>
      <c r="QFJ106" s="973"/>
      <c r="QFK106" s="973"/>
      <c r="QFL106" s="973"/>
      <c r="QFM106" s="973"/>
      <c r="QFN106" s="973"/>
      <c r="QFO106" s="973"/>
      <c r="QFP106" s="973"/>
      <c r="QFQ106" s="973"/>
      <c r="QFR106" s="973"/>
      <c r="QFS106" s="973"/>
      <c r="QFT106" s="973"/>
      <c r="QFU106" s="973"/>
      <c r="QFV106" s="973"/>
      <c r="QFW106" s="973"/>
      <c r="QFX106" s="973"/>
      <c r="QFY106" s="973"/>
      <c r="QFZ106" s="973"/>
      <c r="QGA106" s="973"/>
      <c r="QGB106" s="973"/>
      <c r="QGC106" s="973"/>
      <c r="QGD106" s="973"/>
      <c r="QGE106" s="973"/>
      <c r="QGF106" s="973"/>
      <c r="QGG106" s="973"/>
      <c r="QGH106" s="973"/>
      <c r="QGI106" s="973"/>
      <c r="QGJ106" s="973"/>
      <c r="QGK106" s="973"/>
      <c r="QGL106" s="973"/>
      <c r="QGM106" s="973"/>
      <c r="QGN106" s="973"/>
      <c r="QGO106" s="973"/>
      <c r="QGP106" s="973"/>
      <c r="QGQ106" s="973"/>
      <c r="QGR106" s="973"/>
      <c r="QGS106" s="973"/>
      <c r="QGT106" s="973"/>
      <c r="QGU106" s="973"/>
      <c r="QGV106" s="973"/>
      <c r="QGW106" s="973"/>
      <c r="QGX106" s="973"/>
      <c r="QGY106" s="973"/>
      <c r="QGZ106" s="973"/>
      <c r="QHA106" s="973"/>
      <c r="QHB106" s="973"/>
      <c r="QHC106" s="973"/>
      <c r="QHD106" s="973"/>
      <c r="QHE106" s="973"/>
      <c r="QHF106" s="973"/>
      <c r="QHG106" s="973"/>
      <c r="QHH106" s="973"/>
      <c r="QHI106" s="973"/>
      <c r="QHJ106" s="973"/>
      <c r="QHK106" s="973"/>
      <c r="QHL106" s="973"/>
      <c r="QHM106" s="973"/>
      <c r="QHN106" s="973"/>
      <c r="QHO106" s="973"/>
      <c r="QHP106" s="973"/>
      <c r="QHQ106" s="973"/>
      <c r="QHR106" s="973"/>
      <c r="QHS106" s="973"/>
      <c r="QHT106" s="973"/>
      <c r="QHU106" s="973"/>
      <c r="QHV106" s="973"/>
      <c r="QHW106" s="973"/>
      <c r="QHX106" s="973"/>
      <c r="QHY106" s="973"/>
      <c r="QHZ106" s="973"/>
      <c r="QIA106" s="973"/>
      <c r="QIB106" s="973"/>
      <c r="QIC106" s="973"/>
      <c r="QID106" s="973"/>
      <c r="QIE106" s="973"/>
      <c r="QIF106" s="973"/>
      <c r="QIG106" s="973"/>
      <c r="QIH106" s="973"/>
      <c r="QII106" s="973"/>
      <c r="QIJ106" s="973"/>
      <c r="QIK106" s="973"/>
      <c r="QIL106" s="973"/>
      <c r="QIM106" s="973"/>
      <c r="QIN106" s="973"/>
      <c r="QIO106" s="973"/>
      <c r="QIP106" s="973"/>
      <c r="QIQ106" s="973"/>
      <c r="QIR106" s="973"/>
      <c r="QIS106" s="973"/>
      <c r="QIT106" s="973"/>
      <c r="QIU106" s="973"/>
      <c r="QIV106" s="973"/>
      <c r="QIW106" s="973"/>
      <c r="QIX106" s="973"/>
      <c r="QIY106" s="973"/>
      <c r="QIZ106" s="973"/>
      <c r="QJA106" s="973"/>
      <c r="QJB106" s="973"/>
      <c r="QJC106" s="973"/>
      <c r="QJD106" s="973"/>
      <c r="QJE106" s="973"/>
      <c r="QJF106" s="973"/>
      <c r="QJG106" s="973"/>
      <c r="QJH106" s="973"/>
      <c r="QJI106" s="973"/>
      <c r="QJJ106" s="973"/>
      <c r="QJK106" s="973"/>
      <c r="QJL106" s="973"/>
      <c r="QJM106" s="973"/>
      <c r="QJN106" s="973"/>
      <c r="QJO106" s="973"/>
      <c r="QJP106" s="973"/>
      <c r="QJQ106" s="973"/>
      <c r="QJR106" s="973"/>
      <c r="QJS106" s="973"/>
      <c r="QJT106" s="973"/>
      <c r="QJU106" s="973"/>
      <c r="QJV106" s="973"/>
      <c r="QJW106" s="973"/>
      <c r="QJX106" s="973"/>
      <c r="QJY106" s="973"/>
      <c r="QJZ106" s="973"/>
      <c r="QKA106" s="973"/>
      <c r="QKB106" s="973"/>
      <c r="QKC106" s="973"/>
      <c r="QKD106" s="973"/>
      <c r="QKE106" s="973"/>
      <c r="QKF106" s="973"/>
      <c r="QKG106" s="973"/>
      <c r="QKH106" s="973"/>
      <c r="QKI106" s="973"/>
      <c r="QKJ106" s="973"/>
      <c r="QKK106" s="973"/>
      <c r="QKL106" s="973"/>
      <c r="QKM106" s="973"/>
      <c r="QKN106" s="973"/>
      <c r="QKO106" s="973"/>
      <c r="QKP106" s="973"/>
      <c r="QKQ106" s="973"/>
      <c r="QKR106" s="973"/>
      <c r="QKS106" s="973"/>
      <c r="QKT106" s="973"/>
      <c r="QKU106" s="973"/>
      <c r="QKV106" s="973"/>
      <c r="QKW106" s="973"/>
      <c r="QKX106" s="973"/>
      <c r="QKY106" s="973"/>
      <c r="QKZ106" s="973"/>
      <c r="QLA106" s="973"/>
      <c r="QLB106" s="973"/>
      <c r="QLC106" s="973"/>
      <c r="QLD106" s="973"/>
      <c r="QLE106" s="973"/>
      <c r="QLF106" s="973"/>
      <c r="QLG106" s="973"/>
      <c r="QLH106" s="973"/>
      <c r="QLI106" s="973"/>
      <c r="QLJ106" s="973"/>
      <c r="QLK106" s="973"/>
      <c r="QLL106" s="973"/>
      <c r="QLM106" s="973"/>
      <c r="QLN106" s="973"/>
      <c r="QLO106" s="973"/>
      <c r="QLP106" s="973"/>
      <c r="QLQ106" s="973"/>
      <c r="QLR106" s="973"/>
      <c r="QLS106" s="973"/>
      <c r="QLT106" s="973"/>
      <c r="QLU106" s="973"/>
      <c r="QLV106" s="973"/>
      <c r="QLW106" s="973"/>
      <c r="QLX106" s="973"/>
      <c r="QLY106" s="973"/>
      <c r="QLZ106" s="973"/>
      <c r="QMA106" s="973"/>
      <c r="QMB106" s="973"/>
      <c r="QMC106" s="973"/>
      <c r="QMD106" s="973"/>
      <c r="QME106" s="973"/>
      <c r="QMF106" s="973"/>
      <c r="QMG106" s="973"/>
      <c r="QMH106" s="973"/>
      <c r="QMI106" s="973"/>
      <c r="QMJ106" s="973"/>
      <c r="QMK106" s="973"/>
      <c r="QML106" s="973"/>
      <c r="QMM106" s="973"/>
      <c r="QMN106" s="973"/>
      <c r="QMO106" s="973"/>
      <c r="QMP106" s="973"/>
      <c r="QMQ106" s="973"/>
      <c r="QMR106" s="973"/>
      <c r="QMS106" s="973"/>
      <c r="QMT106" s="973"/>
      <c r="QMU106" s="973"/>
      <c r="QMV106" s="973"/>
      <c r="QMW106" s="973"/>
      <c r="QMX106" s="973"/>
      <c r="QMY106" s="973"/>
      <c r="QMZ106" s="973"/>
      <c r="QNA106" s="973"/>
      <c r="QNB106" s="973"/>
      <c r="QNC106" s="973"/>
      <c r="QND106" s="973"/>
      <c r="QNE106" s="973"/>
      <c r="QNF106" s="973"/>
      <c r="QNG106" s="973"/>
      <c r="QNH106" s="973"/>
      <c r="QNI106" s="973"/>
      <c r="QNJ106" s="973"/>
      <c r="QNK106" s="973"/>
      <c r="QNL106" s="973"/>
      <c r="QNM106" s="973"/>
      <c r="QNN106" s="973"/>
      <c r="QNO106" s="973"/>
      <c r="QNP106" s="973"/>
      <c r="QNQ106" s="973"/>
      <c r="QNR106" s="973"/>
      <c r="QNS106" s="973"/>
      <c r="QNT106" s="973"/>
      <c r="QNU106" s="973"/>
      <c r="QNV106" s="973"/>
      <c r="QNW106" s="973"/>
      <c r="QNX106" s="973"/>
      <c r="QNY106" s="973"/>
      <c r="QNZ106" s="973"/>
      <c r="QOA106" s="973"/>
      <c r="QOB106" s="973"/>
      <c r="QOC106" s="973"/>
      <c r="QOD106" s="973"/>
      <c r="QOE106" s="973"/>
      <c r="QOF106" s="973"/>
      <c r="QOG106" s="973"/>
      <c r="QOH106" s="973"/>
      <c r="QOI106" s="973"/>
      <c r="QOJ106" s="973"/>
      <c r="QOK106" s="973"/>
      <c r="QOL106" s="973"/>
      <c r="QOM106" s="973"/>
      <c r="QON106" s="973"/>
      <c r="QOO106" s="973"/>
      <c r="QOP106" s="973"/>
      <c r="QOQ106" s="973"/>
      <c r="QOR106" s="973"/>
      <c r="QOS106" s="973"/>
      <c r="QOT106" s="973"/>
      <c r="QOU106" s="973"/>
      <c r="QOV106" s="973"/>
      <c r="QOW106" s="973"/>
      <c r="QOX106" s="973"/>
      <c r="QOY106" s="973"/>
      <c r="QOZ106" s="973"/>
      <c r="QPA106" s="973"/>
      <c r="QPB106" s="973"/>
      <c r="QPC106" s="973"/>
      <c r="QPD106" s="973"/>
      <c r="QPE106" s="973"/>
      <c r="QPF106" s="973"/>
      <c r="QPG106" s="973"/>
      <c r="QPH106" s="973"/>
      <c r="QPI106" s="973"/>
      <c r="QPJ106" s="973"/>
      <c r="QPK106" s="973"/>
      <c r="QPL106" s="973"/>
      <c r="QPM106" s="973"/>
      <c r="QPN106" s="973"/>
      <c r="QPO106" s="973"/>
      <c r="QPP106" s="973"/>
      <c r="QPQ106" s="973"/>
      <c r="QPR106" s="973"/>
      <c r="QPS106" s="973"/>
      <c r="QPT106" s="973"/>
      <c r="QPU106" s="973"/>
      <c r="QPV106" s="973"/>
      <c r="QPW106" s="973"/>
      <c r="QPX106" s="973"/>
      <c r="QPY106" s="973"/>
      <c r="QPZ106" s="973"/>
      <c r="QQA106" s="973"/>
      <c r="QQB106" s="973"/>
      <c r="QQC106" s="973"/>
      <c r="QQD106" s="973"/>
      <c r="QQE106" s="973"/>
      <c r="QQF106" s="973"/>
      <c r="QQG106" s="973"/>
      <c r="QQH106" s="973"/>
      <c r="QQI106" s="973"/>
      <c r="QQJ106" s="973"/>
      <c r="QQK106" s="973"/>
      <c r="QQL106" s="973"/>
      <c r="QQM106" s="973"/>
      <c r="QQN106" s="973"/>
      <c r="QQO106" s="973"/>
      <c r="QQP106" s="973"/>
      <c r="QQQ106" s="973"/>
      <c r="QQR106" s="973"/>
      <c r="QQS106" s="973"/>
      <c r="QQT106" s="973"/>
      <c r="QQU106" s="973"/>
      <c r="QQV106" s="973"/>
      <c r="QQW106" s="973"/>
      <c r="QQX106" s="973"/>
      <c r="QQY106" s="973"/>
      <c r="QQZ106" s="973"/>
      <c r="QRA106" s="973"/>
      <c r="QRB106" s="973"/>
      <c r="QRC106" s="973"/>
      <c r="QRD106" s="973"/>
      <c r="QRE106" s="973"/>
      <c r="QRF106" s="973"/>
      <c r="QRG106" s="973"/>
      <c r="QRH106" s="973"/>
      <c r="QRI106" s="973"/>
      <c r="QRJ106" s="973"/>
      <c r="QRK106" s="973"/>
      <c r="QRL106" s="973"/>
      <c r="QRM106" s="973"/>
      <c r="QRN106" s="973"/>
      <c r="QRO106" s="973"/>
      <c r="QRP106" s="973"/>
      <c r="QRQ106" s="973"/>
      <c r="QRR106" s="973"/>
      <c r="QRS106" s="973"/>
      <c r="QRT106" s="973"/>
      <c r="QRU106" s="973"/>
      <c r="QRV106" s="973"/>
      <c r="QRW106" s="973"/>
      <c r="QRX106" s="973"/>
      <c r="QRY106" s="973"/>
      <c r="QRZ106" s="973"/>
      <c r="QSA106" s="973"/>
      <c r="QSB106" s="973"/>
      <c r="QSC106" s="973"/>
      <c r="QSD106" s="973"/>
      <c r="QSE106" s="973"/>
      <c r="QSF106" s="973"/>
      <c r="QSG106" s="973"/>
      <c r="QSH106" s="973"/>
      <c r="QSI106" s="973"/>
      <c r="QSJ106" s="973"/>
      <c r="QSK106" s="973"/>
      <c r="QSL106" s="973"/>
      <c r="QSM106" s="973"/>
      <c r="QSN106" s="973"/>
      <c r="QSO106" s="973"/>
      <c r="QSP106" s="973"/>
      <c r="QSQ106" s="973"/>
      <c r="QSR106" s="973"/>
      <c r="QSS106" s="973"/>
      <c r="QST106" s="973"/>
      <c r="QSU106" s="973"/>
      <c r="QSV106" s="973"/>
      <c r="QSW106" s="973"/>
      <c r="QSX106" s="973"/>
      <c r="QSY106" s="973"/>
      <c r="QSZ106" s="973"/>
      <c r="QTA106" s="973"/>
      <c r="QTB106" s="973"/>
      <c r="QTC106" s="973"/>
      <c r="QTD106" s="973"/>
      <c r="QTE106" s="973"/>
      <c r="QTF106" s="973"/>
      <c r="QTG106" s="973"/>
      <c r="QTH106" s="973"/>
      <c r="QTI106" s="973"/>
      <c r="QTJ106" s="973"/>
      <c r="QTK106" s="973"/>
      <c r="QTL106" s="973"/>
      <c r="QTM106" s="973"/>
      <c r="QTN106" s="973"/>
      <c r="QTO106" s="973"/>
      <c r="QTP106" s="973"/>
      <c r="QTQ106" s="973"/>
      <c r="QTR106" s="973"/>
      <c r="QTS106" s="973"/>
      <c r="QTT106" s="973"/>
      <c r="QTU106" s="973"/>
      <c r="QTV106" s="973"/>
      <c r="QTW106" s="973"/>
      <c r="QTX106" s="973"/>
      <c r="QTY106" s="973"/>
      <c r="QTZ106" s="973"/>
      <c r="QUA106" s="973"/>
      <c r="QUB106" s="973"/>
      <c r="QUC106" s="973"/>
      <c r="QUD106" s="973"/>
      <c r="QUE106" s="973"/>
      <c r="QUF106" s="973"/>
      <c r="QUG106" s="973"/>
      <c r="QUH106" s="973"/>
      <c r="QUI106" s="973"/>
      <c r="QUJ106" s="973"/>
      <c r="QUK106" s="973"/>
      <c r="QUL106" s="973"/>
      <c r="QUM106" s="973"/>
      <c r="QUN106" s="973"/>
      <c r="QUO106" s="973"/>
      <c r="QUP106" s="973"/>
      <c r="QUQ106" s="973"/>
      <c r="QUR106" s="973"/>
      <c r="QUS106" s="973"/>
      <c r="QUT106" s="973"/>
      <c r="QUU106" s="973"/>
      <c r="QUV106" s="973"/>
      <c r="QUW106" s="973"/>
      <c r="QUX106" s="973"/>
      <c r="QUY106" s="973"/>
      <c r="QUZ106" s="973"/>
      <c r="QVA106" s="973"/>
      <c r="QVB106" s="973"/>
      <c r="QVC106" s="973"/>
      <c r="QVD106" s="973"/>
      <c r="QVE106" s="973"/>
      <c r="QVF106" s="973"/>
      <c r="QVG106" s="973"/>
      <c r="QVH106" s="973"/>
      <c r="QVI106" s="973"/>
      <c r="QVJ106" s="973"/>
      <c r="QVK106" s="973"/>
      <c r="QVL106" s="973"/>
      <c r="QVM106" s="973"/>
      <c r="QVN106" s="973"/>
      <c r="QVO106" s="973"/>
      <c r="QVP106" s="973"/>
      <c r="QVQ106" s="973"/>
      <c r="QVR106" s="973"/>
      <c r="QVS106" s="973"/>
      <c r="QVT106" s="973"/>
      <c r="QVU106" s="973"/>
      <c r="QVV106" s="973"/>
      <c r="QVW106" s="973"/>
      <c r="QVX106" s="973"/>
      <c r="QVY106" s="973"/>
      <c r="QVZ106" s="973"/>
      <c r="QWA106" s="973"/>
      <c r="QWB106" s="973"/>
      <c r="QWC106" s="973"/>
      <c r="QWD106" s="973"/>
      <c r="QWE106" s="973"/>
      <c r="QWF106" s="973"/>
      <c r="QWG106" s="973"/>
      <c r="QWH106" s="973"/>
      <c r="QWI106" s="973"/>
      <c r="QWJ106" s="973"/>
      <c r="QWK106" s="973"/>
      <c r="QWL106" s="973"/>
      <c r="QWM106" s="973"/>
      <c r="QWN106" s="973"/>
      <c r="QWO106" s="973"/>
      <c r="QWP106" s="973"/>
      <c r="QWQ106" s="973"/>
      <c r="QWR106" s="973"/>
      <c r="QWS106" s="973"/>
      <c r="QWT106" s="973"/>
      <c r="QWU106" s="973"/>
      <c r="QWV106" s="973"/>
      <c r="QWW106" s="973"/>
      <c r="QWX106" s="973"/>
      <c r="QWY106" s="973"/>
      <c r="QWZ106" s="973"/>
      <c r="QXA106" s="973"/>
      <c r="QXB106" s="973"/>
      <c r="QXC106" s="973"/>
      <c r="QXD106" s="973"/>
      <c r="QXE106" s="973"/>
      <c r="QXF106" s="973"/>
      <c r="QXG106" s="973"/>
      <c r="QXH106" s="973"/>
      <c r="QXI106" s="973"/>
      <c r="QXJ106" s="973"/>
      <c r="QXK106" s="973"/>
      <c r="QXL106" s="973"/>
      <c r="QXM106" s="973"/>
      <c r="QXN106" s="973"/>
      <c r="QXO106" s="973"/>
      <c r="QXP106" s="973"/>
      <c r="QXQ106" s="973"/>
      <c r="QXR106" s="973"/>
      <c r="QXS106" s="973"/>
      <c r="QXT106" s="973"/>
      <c r="QXU106" s="973"/>
      <c r="QXV106" s="973"/>
      <c r="QXW106" s="973"/>
      <c r="QXX106" s="973"/>
      <c r="QXY106" s="973"/>
      <c r="QXZ106" s="973"/>
      <c r="QYA106" s="973"/>
      <c r="QYB106" s="973"/>
      <c r="QYC106" s="973"/>
      <c r="QYD106" s="973"/>
      <c r="QYE106" s="973"/>
      <c r="QYF106" s="973"/>
      <c r="QYG106" s="973"/>
      <c r="QYH106" s="973"/>
      <c r="QYI106" s="973"/>
      <c r="QYJ106" s="973"/>
      <c r="QYK106" s="973"/>
      <c r="QYL106" s="973"/>
      <c r="QYM106" s="973"/>
      <c r="QYN106" s="973"/>
      <c r="QYO106" s="973"/>
      <c r="QYP106" s="973"/>
      <c r="QYQ106" s="973"/>
      <c r="QYR106" s="973"/>
      <c r="QYS106" s="973"/>
      <c r="QYT106" s="973"/>
      <c r="QYU106" s="973"/>
      <c r="QYV106" s="973"/>
      <c r="QYW106" s="973"/>
      <c r="QYX106" s="973"/>
      <c r="QYY106" s="973"/>
      <c r="QYZ106" s="973"/>
      <c r="QZA106" s="973"/>
      <c r="QZB106" s="973"/>
      <c r="QZC106" s="973"/>
      <c r="QZD106" s="973"/>
      <c r="QZE106" s="973"/>
      <c r="QZF106" s="973"/>
      <c r="QZG106" s="973"/>
      <c r="QZH106" s="973"/>
      <c r="QZI106" s="973"/>
      <c r="QZJ106" s="973"/>
      <c r="QZK106" s="973"/>
      <c r="QZL106" s="973"/>
      <c r="QZM106" s="973"/>
      <c r="QZN106" s="973"/>
      <c r="QZO106" s="973"/>
      <c r="QZP106" s="973"/>
      <c r="QZQ106" s="973"/>
      <c r="QZR106" s="973"/>
      <c r="QZS106" s="973"/>
      <c r="QZT106" s="973"/>
      <c r="QZU106" s="973"/>
      <c r="QZV106" s="973"/>
      <c r="QZW106" s="973"/>
      <c r="QZX106" s="973"/>
      <c r="QZY106" s="973"/>
      <c r="QZZ106" s="973"/>
      <c r="RAA106" s="973"/>
      <c r="RAB106" s="973"/>
      <c r="RAC106" s="973"/>
      <c r="RAD106" s="973"/>
      <c r="RAE106" s="973"/>
      <c r="RAF106" s="973"/>
      <c r="RAG106" s="973"/>
      <c r="RAH106" s="973"/>
      <c r="RAI106" s="973"/>
      <c r="RAJ106" s="973"/>
      <c r="RAK106" s="973"/>
      <c r="RAL106" s="973"/>
      <c r="RAM106" s="973"/>
      <c r="RAN106" s="973"/>
      <c r="RAO106" s="973"/>
      <c r="RAP106" s="973"/>
      <c r="RAQ106" s="973"/>
      <c r="RAR106" s="973"/>
      <c r="RAS106" s="973"/>
      <c r="RAT106" s="973"/>
      <c r="RAU106" s="973"/>
      <c r="RAV106" s="973"/>
      <c r="RAW106" s="973"/>
      <c r="RAX106" s="973"/>
      <c r="RAY106" s="973"/>
      <c r="RAZ106" s="973"/>
      <c r="RBA106" s="973"/>
      <c r="RBB106" s="973"/>
      <c r="RBC106" s="973"/>
      <c r="RBD106" s="973"/>
      <c r="RBE106" s="973"/>
      <c r="RBF106" s="973"/>
      <c r="RBG106" s="973"/>
      <c r="RBH106" s="973"/>
      <c r="RBI106" s="973"/>
      <c r="RBJ106" s="973"/>
      <c r="RBK106" s="973"/>
      <c r="RBL106" s="973"/>
      <c r="RBM106" s="973"/>
      <c r="RBN106" s="973"/>
      <c r="RBO106" s="973"/>
      <c r="RBP106" s="973"/>
      <c r="RBQ106" s="973"/>
      <c r="RBR106" s="973"/>
      <c r="RBS106" s="973"/>
      <c r="RBT106" s="973"/>
      <c r="RBU106" s="973"/>
      <c r="RBV106" s="973"/>
      <c r="RBW106" s="973"/>
      <c r="RBX106" s="973"/>
      <c r="RBY106" s="973"/>
      <c r="RBZ106" s="973"/>
      <c r="RCA106" s="973"/>
      <c r="RCB106" s="973"/>
      <c r="RCC106" s="973"/>
      <c r="RCD106" s="973"/>
      <c r="RCE106" s="973"/>
      <c r="RCF106" s="973"/>
      <c r="RCG106" s="973"/>
      <c r="RCH106" s="973"/>
      <c r="RCI106" s="973"/>
      <c r="RCJ106" s="973"/>
      <c r="RCK106" s="973"/>
      <c r="RCL106" s="973"/>
      <c r="RCM106" s="973"/>
      <c r="RCN106" s="973"/>
      <c r="RCO106" s="973"/>
      <c r="RCP106" s="973"/>
      <c r="RCQ106" s="973"/>
      <c r="RCR106" s="973"/>
      <c r="RCS106" s="973"/>
      <c r="RCT106" s="973"/>
      <c r="RCU106" s="973"/>
      <c r="RCV106" s="973"/>
      <c r="RCW106" s="973"/>
      <c r="RCX106" s="973"/>
      <c r="RCY106" s="973"/>
      <c r="RCZ106" s="973"/>
      <c r="RDA106" s="973"/>
      <c r="RDB106" s="973"/>
      <c r="RDC106" s="973"/>
      <c r="RDD106" s="973"/>
      <c r="RDE106" s="973"/>
      <c r="RDF106" s="973"/>
      <c r="RDG106" s="973"/>
      <c r="RDH106" s="973"/>
      <c r="RDI106" s="973"/>
      <c r="RDJ106" s="973"/>
      <c r="RDK106" s="973"/>
      <c r="RDL106" s="973"/>
      <c r="RDM106" s="973"/>
      <c r="RDN106" s="973"/>
      <c r="RDO106" s="973"/>
      <c r="RDP106" s="973"/>
      <c r="RDQ106" s="973"/>
      <c r="RDR106" s="973"/>
      <c r="RDS106" s="973"/>
      <c r="RDT106" s="973"/>
      <c r="RDU106" s="973"/>
      <c r="RDV106" s="973"/>
      <c r="RDW106" s="973"/>
      <c r="RDX106" s="973"/>
      <c r="RDY106" s="973"/>
      <c r="RDZ106" s="973"/>
      <c r="REA106" s="973"/>
      <c r="REB106" s="973"/>
      <c r="REC106" s="973"/>
      <c r="RED106" s="973"/>
      <c r="REE106" s="973"/>
      <c r="REF106" s="973"/>
      <c r="REG106" s="973"/>
      <c r="REH106" s="973"/>
      <c r="REI106" s="973"/>
      <c r="REJ106" s="973"/>
      <c r="REK106" s="973"/>
      <c r="REL106" s="973"/>
      <c r="REM106" s="973"/>
      <c r="REN106" s="973"/>
      <c r="REO106" s="973"/>
      <c r="REP106" s="973"/>
      <c r="REQ106" s="973"/>
      <c r="RER106" s="973"/>
      <c r="RES106" s="973"/>
      <c r="RET106" s="973"/>
      <c r="REU106" s="973"/>
      <c r="REV106" s="973"/>
      <c r="REW106" s="973"/>
      <c r="REX106" s="973"/>
      <c r="REY106" s="973"/>
      <c r="REZ106" s="973"/>
      <c r="RFA106" s="973"/>
      <c r="RFB106" s="973"/>
      <c r="RFC106" s="973"/>
      <c r="RFD106" s="973"/>
      <c r="RFE106" s="973"/>
      <c r="RFF106" s="973"/>
      <c r="RFG106" s="973"/>
      <c r="RFH106" s="973"/>
      <c r="RFI106" s="973"/>
      <c r="RFJ106" s="973"/>
      <c r="RFK106" s="973"/>
      <c r="RFL106" s="973"/>
      <c r="RFM106" s="973"/>
      <c r="RFN106" s="973"/>
      <c r="RFO106" s="973"/>
      <c r="RFP106" s="973"/>
      <c r="RFQ106" s="973"/>
      <c r="RFR106" s="973"/>
      <c r="RFS106" s="973"/>
      <c r="RFT106" s="973"/>
      <c r="RFU106" s="973"/>
      <c r="RFV106" s="973"/>
      <c r="RFW106" s="973"/>
      <c r="RFX106" s="973"/>
      <c r="RFY106" s="973"/>
      <c r="RFZ106" s="973"/>
      <c r="RGA106" s="973"/>
      <c r="RGB106" s="973"/>
      <c r="RGC106" s="973"/>
      <c r="RGD106" s="973"/>
      <c r="RGE106" s="973"/>
      <c r="RGF106" s="973"/>
      <c r="RGG106" s="973"/>
      <c r="RGH106" s="973"/>
      <c r="RGI106" s="973"/>
      <c r="RGJ106" s="973"/>
      <c r="RGK106" s="973"/>
      <c r="RGL106" s="973"/>
      <c r="RGM106" s="973"/>
      <c r="RGN106" s="973"/>
      <c r="RGO106" s="973"/>
      <c r="RGP106" s="973"/>
      <c r="RGQ106" s="973"/>
      <c r="RGR106" s="973"/>
      <c r="RGS106" s="973"/>
      <c r="RGT106" s="973"/>
      <c r="RGU106" s="973"/>
      <c r="RGV106" s="973"/>
      <c r="RGW106" s="973"/>
      <c r="RGX106" s="973"/>
      <c r="RGY106" s="973"/>
      <c r="RGZ106" s="973"/>
      <c r="RHA106" s="973"/>
      <c r="RHB106" s="973"/>
      <c r="RHC106" s="973"/>
      <c r="RHD106" s="973"/>
      <c r="RHE106" s="973"/>
      <c r="RHF106" s="973"/>
      <c r="RHG106" s="973"/>
      <c r="RHH106" s="973"/>
      <c r="RHI106" s="973"/>
      <c r="RHJ106" s="973"/>
      <c r="RHK106" s="973"/>
      <c r="RHL106" s="973"/>
      <c r="RHM106" s="973"/>
      <c r="RHN106" s="973"/>
      <c r="RHO106" s="973"/>
      <c r="RHP106" s="973"/>
      <c r="RHQ106" s="973"/>
      <c r="RHR106" s="973"/>
      <c r="RHS106" s="973"/>
      <c r="RHT106" s="973"/>
      <c r="RHU106" s="973"/>
      <c r="RHV106" s="973"/>
      <c r="RHW106" s="973"/>
      <c r="RHX106" s="973"/>
      <c r="RHY106" s="973"/>
      <c r="RHZ106" s="973"/>
      <c r="RIA106" s="973"/>
      <c r="RIB106" s="973"/>
      <c r="RIC106" s="973"/>
      <c r="RID106" s="973"/>
      <c r="RIE106" s="973"/>
      <c r="RIF106" s="973"/>
      <c r="RIG106" s="973"/>
      <c r="RIH106" s="973"/>
      <c r="RII106" s="973"/>
      <c r="RIJ106" s="973"/>
      <c r="RIK106" s="973"/>
      <c r="RIL106" s="973"/>
      <c r="RIM106" s="973"/>
      <c r="RIN106" s="973"/>
      <c r="RIO106" s="973"/>
      <c r="RIP106" s="973"/>
      <c r="RIQ106" s="973"/>
      <c r="RIR106" s="973"/>
      <c r="RIS106" s="973"/>
      <c r="RIT106" s="973"/>
      <c r="RIU106" s="973"/>
      <c r="RIV106" s="973"/>
      <c r="RIW106" s="973"/>
      <c r="RIX106" s="973"/>
      <c r="RIY106" s="973"/>
      <c r="RIZ106" s="973"/>
      <c r="RJA106" s="973"/>
      <c r="RJB106" s="973"/>
      <c r="RJC106" s="973"/>
      <c r="RJD106" s="973"/>
      <c r="RJE106" s="973"/>
      <c r="RJF106" s="973"/>
      <c r="RJG106" s="973"/>
      <c r="RJH106" s="973"/>
      <c r="RJI106" s="973"/>
      <c r="RJJ106" s="973"/>
      <c r="RJK106" s="973"/>
      <c r="RJL106" s="973"/>
      <c r="RJM106" s="973"/>
      <c r="RJN106" s="973"/>
      <c r="RJO106" s="973"/>
      <c r="RJP106" s="973"/>
      <c r="RJQ106" s="973"/>
      <c r="RJR106" s="973"/>
      <c r="RJS106" s="973"/>
      <c r="RJT106" s="973"/>
      <c r="RJU106" s="973"/>
      <c r="RJV106" s="973"/>
      <c r="RJW106" s="973"/>
      <c r="RJX106" s="973"/>
      <c r="RJY106" s="973"/>
      <c r="RJZ106" s="973"/>
      <c r="RKA106" s="973"/>
      <c r="RKB106" s="973"/>
      <c r="RKC106" s="973"/>
      <c r="RKD106" s="973"/>
      <c r="RKE106" s="973"/>
      <c r="RKF106" s="973"/>
      <c r="RKG106" s="973"/>
      <c r="RKH106" s="973"/>
      <c r="RKI106" s="973"/>
      <c r="RKJ106" s="973"/>
      <c r="RKK106" s="973"/>
      <c r="RKL106" s="973"/>
      <c r="RKM106" s="973"/>
      <c r="RKN106" s="973"/>
      <c r="RKO106" s="973"/>
      <c r="RKP106" s="973"/>
      <c r="RKQ106" s="973"/>
      <c r="RKR106" s="973"/>
      <c r="RKS106" s="973"/>
      <c r="RKT106" s="973"/>
      <c r="RKU106" s="973"/>
      <c r="RKV106" s="973"/>
      <c r="RKW106" s="973"/>
      <c r="RKX106" s="973"/>
      <c r="RKY106" s="973"/>
      <c r="RKZ106" s="973"/>
      <c r="RLA106" s="973"/>
      <c r="RLB106" s="973"/>
      <c r="RLC106" s="973"/>
      <c r="RLD106" s="973"/>
      <c r="RLE106" s="973"/>
      <c r="RLF106" s="973"/>
      <c r="RLG106" s="973"/>
      <c r="RLH106" s="973"/>
      <c r="RLI106" s="973"/>
      <c r="RLJ106" s="973"/>
      <c r="RLK106" s="973"/>
      <c r="RLL106" s="973"/>
      <c r="RLM106" s="973"/>
      <c r="RLN106" s="973"/>
      <c r="RLO106" s="973"/>
      <c r="RLP106" s="973"/>
      <c r="RLQ106" s="973"/>
      <c r="RLR106" s="973"/>
      <c r="RLS106" s="973"/>
      <c r="RLT106" s="973"/>
      <c r="RLU106" s="973"/>
      <c r="RLV106" s="973"/>
      <c r="RLW106" s="973"/>
      <c r="RLX106" s="973"/>
      <c r="RLY106" s="973"/>
      <c r="RLZ106" s="973"/>
      <c r="RMA106" s="973"/>
      <c r="RMB106" s="973"/>
      <c r="RMC106" s="973"/>
      <c r="RMD106" s="973"/>
      <c r="RME106" s="973"/>
      <c r="RMF106" s="973"/>
      <c r="RMG106" s="973"/>
      <c r="RMH106" s="973"/>
      <c r="RMI106" s="973"/>
      <c r="RMJ106" s="973"/>
      <c r="RMK106" s="973"/>
      <c r="RML106" s="973"/>
      <c r="RMM106" s="973"/>
      <c r="RMN106" s="973"/>
      <c r="RMO106" s="973"/>
      <c r="RMP106" s="973"/>
      <c r="RMQ106" s="973"/>
      <c r="RMR106" s="973"/>
      <c r="RMS106" s="973"/>
      <c r="RMT106" s="973"/>
      <c r="RMU106" s="973"/>
      <c r="RMV106" s="973"/>
      <c r="RMW106" s="973"/>
      <c r="RMX106" s="973"/>
      <c r="RMY106" s="973"/>
      <c r="RMZ106" s="973"/>
      <c r="RNA106" s="973"/>
      <c r="RNB106" s="973"/>
      <c r="RNC106" s="973"/>
      <c r="RND106" s="973"/>
      <c r="RNE106" s="973"/>
      <c r="RNF106" s="973"/>
      <c r="RNG106" s="973"/>
      <c r="RNH106" s="973"/>
      <c r="RNI106" s="973"/>
      <c r="RNJ106" s="973"/>
      <c r="RNK106" s="973"/>
      <c r="RNL106" s="973"/>
      <c r="RNM106" s="973"/>
      <c r="RNN106" s="973"/>
      <c r="RNO106" s="973"/>
      <c r="RNP106" s="973"/>
      <c r="RNQ106" s="973"/>
      <c r="RNR106" s="973"/>
      <c r="RNS106" s="973"/>
      <c r="RNT106" s="973"/>
      <c r="RNU106" s="973"/>
      <c r="RNV106" s="973"/>
      <c r="RNW106" s="973"/>
      <c r="RNX106" s="973"/>
      <c r="RNY106" s="973"/>
      <c r="RNZ106" s="973"/>
      <c r="ROA106" s="973"/>
      <c r="ROB106" s="973"/>
      <c r="ROC106" s="973"/>
      <c r="ROD106" s="973"/>
      <c r="ROE106" s="973"/>
      <c r="ROF106" s="973"/>
      <c r="ROG106" s="973"/>
      <c r="ROH106" s="973"/>
      <c r="ROI106" s="973"/>
      <c r="ROJ106" s="973"/>
      <c r="ROK106" s="973"/>
      <c r="ROL106" s="973"/>
      <c r="ROM106" s="973"/>
      <c r="RON106" s="973"/>
      <c r="ROO106" s="973"/>
      <c r="ROP106" s="973"/>
      <c r="ROQ106" s="973"/>
      <c r="ROR106" s="973"/>
      <c r="ROS106" s="973"/>
      <c r="ROT106" s="973"/>
      <c r="ROU106" s="973"/>
      <c r="ROV106" s="973"/>
      <c r="ROW106" s="973"/>
      <c r="ROX106" s="973"/>
      <c r="ROY106" s="973"/>
      <c r="ROZ106" s="973"/>
      <c r="RPA106" s="973"/>
      <c r="RPB106" s="973"/>
      <c r="RPC106" s="973"/>
      <c r="RPD106" s="973"/>
      <c r="RPE106" s="973"/>
      <c r="RPF106" s="973"/>
      <c r="RPG106" s="973"/>
      <c r="RPH106" s="973"/>
      <c r="RPI106" s="973"/>
      <c r="RPJ106" s="973"/>
      <c r="RPK106" s="973"/>
      <c r="RPL106" s="973"/>
      <c r="RPM106" s="973"/>
      <c r="RPN106" s="973"/>
      <c r="RPO106" s="973"/>
      <c r="RPP106" s="973"/>
      <c r="RPQ106" s="973"/>
      <c r="RPR106" s="973"/>
      <c r="RPS106" s="973"/>
      <c r="RPT106" s="973"/>
      <c r="RPU106" s="973"/>
      <c r="RPV106" s="973"/>
      <c r="RPW106" s="973"/>
      <c r="RPX106" s="973"/>
      <c r="RPY106" s="973"/>
      <c r="RPZ106" s="973"/>
      <c r="RQA106" s="973"/>
      <c r="RQB106" s="973"/>
      <c r="RQC106" s="973"/>
      <c r="RQD106" s="973"/>
      <c r="RQE106" s="973"/>
      <c r="RQF106" s="973"/>
      <c r="RQG106" s="973"/>
      <c r="RQH106" s="973"/>
      <c r="RQI106" s="973"/>
      <c r="RQJ106" s="973"/>
      <c r="RQK106" s="973"/>
      <c r="RQL106" s="973"/>
      <c r="RQM106" s="973"/>
      <c r="RQN106" s="973"/>
      <c r="RQO106" s="973"/>
      <c r="RQP106" s="973"/>
      <c r="RQQ106" s="973"/>
      <c r="RQR106" s="973"/>
      <c r="RQS106" s="973"/>
      <c r="RQT106" s="973"/>
      <c r="RQU106" s="973"/>
      <c r="RQV106" s="973"/>
      <c r="RQW106" s="973"/>
      <c r="RQX106" s="973"/>
      <c r="RQY106" s="973"/>
      <c r="RQZ106" s="973"/>
      <c r="RRA106" s="973"/>
      <c r="RRB106" s="973"/>
      <c r="RRC106" s="973"/>
      <c r="RRD106" s="973"/>
      <c r="RRE106" s="973"/>
      <c r="RRF106" s="973"/>
      <c r="RRG106" s="973"/>
      <c r="RRH106" s="973"/>
      <c r="RRI106" s="973"/>
      <c r="RRJ106" s="973"/>
      <c r="RRK106" s="973"/>
      <c r="RRL106" s="973"/>
      <c r="RRM106" s="973"/>
      <c r="RRN106" s="973"/>
      <c r="RRO106" s="973"/>
      <c r="RRP106" s="973"/>
      <c r="RRQ106" s="973"/>
      <c r="RRR106" s="973"/>
      <c r="RRS106" s="973"/>
      <c r="RRT106" s="973"/>
      <c r="RRU106" s="973"/>
      <c r="RRV106" s="973"/>
      <c r="RRW106" s="973"/>
      <c r="RRX106" s="973"/>
      <c r="RRY106" s="973"/>
      <c r="RRZ106" s="973"/>
      <c r="RSA106" s="973"/>
      <c r="RSB106" s="973"/>
      <c r="RSC106" s="973"/>
      <c r="RSD106" s="973"/>
      <c r="RSE106" s="973"/>
      <c r="RSF106" s="973"/>
      <c r="RSG106" s="973"/>
      <c r="RSH106" s="973"/>
      <c r="RSI106" s="973"/>
      <c r="RSJ106" s="973"/>
      <c r="RSK106" s="973"/>
      <c r="RSL106" s="973"/>
      <c r="RSM106" s="973"/>
      <c r="RSN106" s="973"/>
      <c r="RSO106" s="973"/>
      <c r="RSP106" s="973"/>
      <c r="RSQ106" s="973"/>
      <c r="RSR106" s="973"/>
      <c r="RSS106" s="973"/>
      <c r="RST106" s="973"/>
      <c r="RSU106" s="973"/>
      <c r="RSV106" s="973"/>
      <c r="RSW106" s="973"/>
      <c r="RSX106" s="973"/>
      <c r="RSY106" s="973"/>
      <c r="RSZ106" s="973"/>
      <c r="RTA106" s="973"/>
      <c r="RTB106" s="973"/>
      <c r="RTC106" s="973"/>
      <c r="RTD106" s="973"/>
      <c r="RTE106" s="973"/>
      <c r="RTF106" s="973"/>
      <c r="RTG106" s="973"/>
      <c r="RTH106" s="973"/>
      <c r="RTI106" s="973"/>
      <c r="RTJ106" s="973"/>
      <c r="RTK106" s="973"/>
      <c r="RTL106" s="973"/>
      <c r="RTM106" s="973"/>
      <c r="RTN106" s="973"/>
      <c r="RTO106" s="973"/>
      <c r="RTP106" s="973"/>
      <c r="RTQ106" s="973"/>
      <c r="RTR106" s="973"/>
      <c r="RTS106" s="973"/>
      <c r="RTT106" s="973"/>
      <c r="RTU106" s="973"/>
      <c r="RTV106" s="973"/>
      <c r="RTW106" s="973"/>
      <c r="RTX106" s="973"/>
      <c r="RTY106" s="973"/>
      <c r="RTZ106" s="973"/>
      <c r="RUA106" s="973"/>
      <c r="RUB106" s="973"/>
      <c r="RUC106" s="973"/>
      <c r="RUD106" s="973"/>
      <c r="RUE106" s="973"/>
      <c r="RUF106" s="973"/>
      <c r="RUG106" s="973"/>
      <c r="RUH106" s="973"/>
      <c r="RUI106" s="973"/>
      <c r="RUJ106" s="973"/>
      <c r="RUK106" s="973"/>
      <c r="RUL106" s="973"/>
      <c r="RUM106" s="973"/>
      <c r="RUN106" s="973"/>
      <c r="RUO106" s="973"/>
      <c r="RUP106" s="973"/>
      <c r="RUQ106" s="973"/>
      <c r="RUR106" s="973"/>
      <c r="RUS106" s="973"/>
      <c r="RUT106" s="973"/>
      <c r="RUU106" s="973"/>
      <c r="RUV106" s="973"/>
      <c r="RUW106" s="973"/>
      <c r="RUX106" s="973"/>
      <c r="RUY106" s="973"/>
      <c r="RUZ106" s="973"/>
      <c r="RVA106" s="973"/>
      <c r="RVB106" s="973"/>
      <c r="RVC106" s="973"/>
      <c r="RVD106" s="973"/>
      <c r="RVE106" s="973"/>
      <c r="RVF106" s="973"/>
      <c r="RVG106" s="973"/>
      <c r="RVH106" s="973"/>
      <c r="RVI106" s="973"/>
      <c r="RVJ106" s="973"/>
      <c r="RVK106" s="973"/>
      <c r="RVL106" s="973"/>
      <c r="RVM106" s="973"/>
      <c r="RVN106" s="973"/>
      <c r="RVO106" s="973"/>
      <c r="RVP106" s="973"/>
      <c r="RVQ106" s="973"/>
      <c r="RVR106" s="973"/>
      <c r="RVS106" s="973"/>
      <c r="RVT106" s="973"/>
      <c r="RVU106" s="973"/>
      <c r="RVV106" s="973"/>
      <c r="RVW106" s="973"/>
      <c r="RVX106" s="973"/>
      <c r="RVY106" s="973"/>
      <c r="RVZ106" s="973"/>
      <c r="RWA106" s="973"/>
      <c r="RWB106" s="973"/>
      <c r="RWC106" s="973"/>
      <c r="RWD106" s="973"/>
      <c r="RWE106" s="973"/>
      <c r="RWF106" s="973"/>
      <c r="RWG106" s="973"/>
      <c r="RWH106" s="973"/>
      <c r="RWI106" s="973"/>
      <c r="RWJ106" s="973"/>
      <c r="RWK106" s="973"/>
      <c r="RWL106" s="973"/>
      <c r="RWM106" s="973"/>
      <c r="RWN106" s="973"/>
      <c r="RWO106" s="973"/>
      <c r="RWP106" s="973"/>
      <c r="RWQ106" s="973"/>
      <c r="RWR106" s="973"/>
      <c r="RWS106" s="973"/>
      <c r="RWT106" s="973"/>
      <c r="RWU106" s="973"/>
      <c r="RWV106" s="973"/>
      <c r="RWW106" s="973"/>
      <c r="RWX106" s="973"/>
      <c r="RWY106" s="973"/>
      <c r="RWZ106" s="973"/>
      <c r="RXA106" s="973"/>
      <c r="RXB106" s="973"/>
      <c r="RXC106" s="973"/>
      <c r="RXD106" s="973"/>
      <c r="RXE106" s="973"/>
      <c r="RXF106" s="973"/>
      <c r="RXG106" s="973"/>
      <c r="RXH106" s="973"/>
      <c r="RXI106" s="973"/>
      <c r="RXJ106" s="973"/>
      <c r="RXK106" s="973"/>
      <c r="RXL106" s="973"/>
      <c r="RXM106" s="973"/>
      <c r="RXN106" s="973"/>
      <c r="RXO106" s="973"/>
      <c r="RXP106" s="973"/>
      <c r="RXQ106" s="973"/>
      <c r="RXR106" s="973"/>
      <c r="RXS106" s="973"/>
      <c r="RXT106" s="973"/>
      <c r="RXU106" s="973"/>
      <c r="RXV106" s="973"/>
      <c r="RXW106" s="973"/>
      <c r="RXX106" s="973"/>
      <c r="RXY106" s="973"/>
      <c r="RXZ106" s="973"/>
      <c r="RYA106" s="973"/>
      <c r="RYB106" s="973"/>
      <c r="RYC106" s="973"/>
      <c r="RYD106" s="973"/>
      <c r="RYE106" s="973"/>
      <c r="RYF106" s="973"/>
      <c r="RYG106" s="973"/>
      <c r="RYH106" s="973"/>
      <c r="RYI106" s="973"/>
      <c r="RYJ106" s="973"/>
      <c r="RYK106" s="973"/>
      <c r="RYL106" s="973"/>
      <c r="RYM106" s="973"/>
      <c r="RYN106" s="973"/>
      <c r="RYO106" s="973"/>
      <c r="RYP106" s="973"/>
      <c r="RYQ106" s="973"/>
      <c r="RYR106" s="973"/>
      <c r="RYS106" s="973"/>
      <c r="RYT106" s="973"/>
      <c r="RYU106" s="973"/>
      <c r="RYV106" s="973"/>
      <c r="RYW106" s="973"/>
      <c r="RYX106" s="973"/>
      <c r="RYY106" s="973"/>
      <c r="RYZ106" s="973"/>
      <c r="RZA106" s="973"/>
      <c r="RZB106" s="973"/>
      <c r="RZC106" s="973"/>
      <c r="RZD106" s="973"/>
      <c r="RZE106" s="973"/>
      <c r="RZF106" s="973"/>
      <c r="RZG106" s="973"/>
      <c r="RZH106" s="973"/>
      <c r="RZI106" s="973"/>
      <c r="RZJ106" s="973"/>
      <c r="RZK106" s="973"/>
      <c r="RZL106" s="973"/>
      <c r="RZM106" s="973"/>
      <c r="RZN106" s="973"/>
      <c r="RZO106" s="973"/>
      <c r="RZP106" s="973"/>
      <c r="RZQ106" s="973"/>
      <c r="RZR106" s="973"/>
      <c r="RZS106" s="973"/>
      <c r="RZT106" s="973"/>
      <c r="RZU106" s="973"/>
      <c r="RZV106" s="973"/>
      <c r="RZW106" s="973"/>
      <c r="RZX106" s="973"/>
      <c r="RZY106" s="973"/>
      <c r="RZZ106" s="973"/>
      <c r="SAA106" s="973"/>
      <c r="SAB106" s="973"/>
      <c r="SAC106" s="973"/>
      <c r="SAD106" s="973"/>
      <c r="SAE106" s="973"/>
      <c r="SAF106" s="973"/>
      <c r="SAG106" s="973"/>
      <c r="SAH106" s="973"/>
      <c r="SAI106" s="973"/>
      <c r="SAJ106" s="973"/>
      <c r="SAK106" s="973"/>
      <c r="SAL106" s="973"/>
      <c r="SAM106" s="973"/>
      <c r="SAN106" s="973"/>
      <c r="SAO106" s="973"/>
      <c r="SAP106" s="973"/>
      <c r="SAQ106" s="973"/>
      <c r="SAR106" s="973"/>
      <c r="SAS106" s="973"/>
      <c r="SAT106" s="973"/>
      <c r="SAU106" s="973"/>
      <c r="SAV106" s="973"/>
      <c r="SAW106" s="973"/>
      <c r="SAX106" s="973"/>
      <c r="SAY106" s="973"/>
      <c r="SAZ106" s="973"/>
      <c r="SBA106" s="973"/>
      <c r="SBB106" s="973"/>
      <c r="SBC106" s="973"/>
      <c r="SBD106" s="973"/>
      <c r="SBE106" s="973"/>
      <c r="SBF106" s="973"/>
      <c r="SBG106" s="973"/>
      <c r="SBH106" s="973"/>
      <c r="SBI106" s="973"/>
      <c r="SBJ106" s="973"/>
      <c r="SBK106" s="973"/>
      <c r="SBL106" s="973"/>
      <c r="SBM106" s="973"/>
      <c r="SBN106" s="973"/>
      <c r="SBO106" s="973"/>
      <c r="SBP106" s="973"/>
      <c r="SBQ106" s="973"/>
      <c r="SBR106" s="973"/>
      <c r="SBS106" s="973"/>
      <c r="SBT106" s="973"/>
      <c r="SBU106" s="973"/>
      <c r="SBV106" s="973"/>
      <c r="SBW106" s="973"/>
      <c r="SBX106" s="973"/>
      <c r="SBY106" s="973"/>
      <c r="SBZ106" s="973"/>
      <c r="SCA106" s="973"/>
      <c r="SCB106" s="973"/>
      <c r="SCC106" s="973"/>
      <c r="SCD106" s="973"/>
      <c r="SCE106" s="973"/>
      <c r="SCF106" s="973"/>
      <c r="SCG106" s="973"/>
      <c r="SCH106" s="973"/>
      <c r="SCI106" s="973"/>
      <c r="SCJ106" s="973"/>
      <c r="SCK106" s="973"/>
      <c r="SCL106" s="973"/>
      <c r="SCM106" s="973"/>
      <c r="SCN106" s="973"/>
      <c r="SCO106" s="973"/>
      <c r="SCP106" s="973"/>
      <c r="SCQ106" s="973"/>
      <c r="SCR106" s="973"/>
      <c r="SCS106" s="973"/>
      <c r="SCT106" s="973"/>
      <c r="SCU106" s="973"/>
      <c r="SCV106" s="973"/>
      <c r="SCW106" s="973"/>
      <c r="SCX106" s="973"/>
      <c r="SCY106" s="973"/>
      <c r="SCZ106" s="973"/>
      <c r="SDA106" s="973"/>
      <c r="SDB106" s="973"/>
      <c r="SDC106" s="973"/>
      <c r="SDD106" s="973"/>
      <c r="SDE106" s="973"/>
      <c r="SDF106" s="973"/>
      <c r="SDG106" s="973"/>
      <c r="SDH106" s="973"/>
      <c r="SDI106" s="973"/>
      <c r="SDJ106" s="973"/>
      <c r="SDK106" s="973"/>
      <c r="SDL106" s="973"/>
      <c r="SDM106" s="973"/>
      <c r="SDN106" s="973"/>
      <c r="SDO106" s="973"/>
      <c r="SDP106" s="973"/>
      <c r="SDQ106" s="973"/>
      <c r="SDR106" s="973"/>
      <c r="SDS106" s="973"/>
      <c r="SDT106" s="973"/>
      <c r="SDU106" s="973"/>
      <c r="SDV106" s="973"/>
      <c r="SDW106" s="973"/>
      <c r="SDX106" s="973"/>
      <c r="SDY106" s="973"/>
      <c r="SDZ106" s="973"/>
      <c r="SEA106" s="973"/>
      <c r="SEB106" s="973"/>
      <c r="SEC106" s="973"/>
      <c r="SED106" s="973"/>
      <c r="SEE106" s="973"/>
      <c r="SEF106" s="973"/>
      <c r="SEG106" s="973"/>
      <c r="SEH106" s="973"/>
      <c r="SEI106" s="973"/>
      <c r="SEJ106" s="973"/>
      <c r="SEK106" s="973"/>
      <c r="SEL106" s="973"/>
      <c r="SEM106" s="973"/>
      <c r="SEN106" s="973"/>
      <c r="SEO106" s="973"/>
      <c r="SEP106" s="973"/>
      <c r="SEQ106" s="973"/>
      <c r="SER106" s="973"/>
      <c r="SES106" s="973"/>
      <c r="SET106" s="973"/>
      <c r="SEU106" s="973"/>
      <c r="SEV106" s="973"/>
      <c r="SEW106" s="973"/>
      <c r="SEX106" s="973"/>
      <c r="SEY106" s="973"/>
      <c r="SEZ106" s="973"/>
      <c r="SFA106" s="973"/>
      <c r="SFB106" s="973"/>
      <c r="SFC106" s="973"/>
      <c r="SFD106" s="973"/>
      <c r="SFE106" s="973"/>
      <c r="SFF106" s="973"/>
      <c r="SFG106" s="973"/>
      <c r="SFH106" s="973"/>
      <c r="SFI106" s="973"/>
      <c r="SFJ106" s="973"/>
      <c r="SFK106" s="973"/>
      <c r="SFL106" s="973"/>
      <c r="SFM106" s="973"/>
      <c r="SFN106" s="973"/>
      <c r="SFO106" s="973"/>
      <c r="SFP106" s="973"/>
      <c r="SFQ106" s="973"/>
      <c r="SFR106" s="973"/>
      <c r="SFS106" s="973"/>
      <c r="SFT106" s="973"/>
      <c r="SFU106" s="973"/>
      <c r="SFV106" s="973"/>
      <c r="SFW106" s="973"/>
      <c r="SFX106" s="973"/>
      <c r="SFY106" s="973"/>
      <c r="SFZ106" s="973"/>
      <c r="SGA106" s="973"/>
      <c r="SGB106" s="973"/>
      <c r="SGC106" s="973"/>
      <c r="SGD106" s="973"/>
      <c r="SGE106" s="973"/>
      <c r="SGF106" s="973"/>
      <c r="SGG106" s="973"/>
      <c r="SGH106" s="973"/>
      <c r="SGI106" s="973"/>
      <c r="SGJ106" s="973"/>
      <c r="SGK106" s="973"/>
      <c r="SGL106" s="973"/>
      <c r="SGM106" s="973"/>
      <c r="SGN106" s="973"/>
      <c r="SGO106" s="973"/>
      <c r="SGP106" s="973"/>
      <c r="SGQ106" s="973"/>
      <c r="SGR106" s="973"/>
      <c r="SGS106" s="973"/>
      <c r="SGT106" s="973"/>
      <c r="SGU106" s="973"/>
      <c r="SGV106" s="973"/>
      <c r="SGW106" s="973"/>
      <c r="SGX106" s="973"/>
      <c r="SGY106" s="973"/>
      <c r="SGZ106" s="973"/>
      <c r="SHA106" s="973"/>
      <c r="SHB106" s="973"/>
      <c r="SHC106" s="973"/>
      <c r="SHD106" s="973"/>
      <c r="SHE106" s="973"/>
      <c r="SHF106" s="973"/>
      <c r="SHG106" s="973"/>
      <c r="SHH106" s="973"/>
      <c r="SHI106" s="973"/>
      <c r="SHJ106" s="973"/>
      <c r="SHK106" s="973"/>
      <c r="SHL106" s="973"/>
      <c r="SHM106" s="973"/>
      <c r="SHN106" s="973"/>
      <c r="SHO106" s="973"/>
      <c r="SHP106" s="973"/>
      <c r="SHQ106" s="973"/>
      <c r="SHR106" s="973"/>
      <c r="SHS106" s="973"/>
      <c r="SHT106" s="973"/>
      <c r="SHU106" s="973"/>
      <c r="SHV106" s="973"/>
      <c r="SHW106" s="973"/>
      <c r="SHX106" s="973"/>
      <c r="SHY106" s="973"/>
      <c r="SHZ106" s="973"/>
      <c r="SIA106" s="973"/>
      <c r="SIB106" s="973"/>
      <c r="SIC106" s="973"/>
      <c r="SID106" s="973"/>
      <c r="SIE106" s="973"/>
      <c r="SIF106" s="973"/>
      <c r="SIG106" s="973"/>
      <c r="SIH106" s="973"/>
      <c r="SII106" s="973"/>
      <c r="SIJ106" s="973"/>
      <c r="SIK106" s="973"/>
      <c r="SIL106" s="973"/>
      <c r="SIM106" s="973"/>
      <c r="SIN106" s="973"/>
      <c r="SIO106" s="973"/>
      <c r="SIP106" s="973"/>
      <c r="SIQ106" s="973"/>
      <c r="SIR106" s="973"/>
      <c r="SIS106" s="973"/>
      <c r="SIT106" s="973"/>
      <c r="SIU106" s="973"/>
      <c r="SIV106" s="973"/>
      <c r="SIW106" s="973"/>
      <c r="SIX106" s="973"/>
      <c r="SIY106" s="973"/>
      <c r="SIZ106" s="973"/>
      <c r="SJA106" s="973"/>
      <c r="SJB106" s="973"/>
      <c r="SJC106" s="973"/>
      <c r="SJD106" s="973"/>
      <c r="SJE106" s="973"/>
      <c r="SJF106" s="973"/>
      <c r="SJG106" s="973"/>
      <c r="SJH106" s="973"/>
      <c r="SJI106" s="973"/>
      <c r="SJJ106" s="973"/>
      <c r="SJK106" s="973"/>
      <c r="SJL106" s="973"/>
      <c r="SJM106" s="973"/>
      <c r="SJN106" s="973"/>
      <c r="SJO106" s="973"/>
      <c r="SJP106" s="973"/>
      <c r="SJQ106" s="973"/>
      <c r="SJR106" s="973"/>
      <c r="SJS106" s="973"/>
      <c r="SJT106" s="973"/>
      <c r="SJU106" s="973"/>
      <c r="SJV106" s="973"/>
      <c r="SJW106" s="973"/>
      <c r="SJX106" s="973"/>
      <c r="SJY106" s="973"/>
      <c r="SJZ106" s="973"/>
      <c r="SKA106" s="973"/>
      <c r="SKB106" s="973"/>
      <c r="SKC106" s="973"/>
      <c r="SKD106" s="973"/>
      <c r="SKE106" s="973"/>
      <c r="SKF106" s="973"/>
      <c r="SKG106" s="973"/>
      <c r="SKH106" s="973"/>
      <c r="SKI106" s="973"/>
      <c r="SKJ106" s="973"/>
      <c r="SKK106" s="973"/>
      <c r="SKL106" s="973"/>
      <c r="SKM106" s="973"/>
      <c r="SKN106" s="973"/>
      <c r="SKO106" s="973"/>
      <c r="SKP106" s="973"/>
      <c r="SKQ106" s="973"/>
      <c r="SKR106" s="973"/>
      <c r="SKS106" s="973"/>
      <c r="SKT106" s="973"/>
      <c r="SKU106" s="973"/>
      <c r="SKV106" s="973"/>
      <c r="SKW106" s="973"/>
      <c r="SKX106" s="973"/>
      <c r="SKY106" s="973"/>
      <c r="SKZ106" s="973"/>
      <c r="SLA106" s="973"/>
      <c r="SLB106" s="973"/>
      <c r="SLC106" s="973"/>
      <c r="SLD106" s="973"/>
      <c r="SLE106" s="973"/>
      <c r="SLF106" s="973"/>
      <c r="SLG106" s="973"/>
      <c r="SLH106" s="973"/>
      <c r="SLI106" s="973"/>
      <c r="SLJ106" s="973"/>
      <c r="SLK106" s="973"/>
      <c r="SLL106" s="973"/>
      <c r="SLM106" s="973"/>
      <c r="SLN106" s="973"/>
      <c r="SLO106" s="973"/>
      <c r="SLP106" s="973"/>
      <c r="SLQ106" s="973"/>
      <c r="SLR106" s="973"/>
      <c r="SLS106" s="973"/>
      <c r="SLT106" s="973"/>
      <c r="SLU106" s="973"/>
      <c r="SLV106" s="973"/>
      <c r="SLW106" s="973"/>
      <c r="SLX106" s="973"/>
      <c r="SLY106" s="973"/>
      <c r="SLZ106" s="973"/>
      <c r="SMA106" s="973"/>
      <c r="SMB106" s="973"/>
      <c r="SMC106" s="973"/>
      <c r="SMD106" s="973"/>
      <c r="SME106" s="973"/>
      <c r="SMF106" s="973"/>
      <c r="SMG106" s="973"/>
      <c r="SMH106" s="973"/>
      <c r="SMI106" s="973"/>
      <c r="SMJ106" s="973"/>
      <c r="SMK106" s="973"/>
      <c r="SML106" s="973"/>
      <c r="SMM106" s="973"/>
      <c r="SMN106" s="973"/>
      <c r="SMO106" s="973"/>
      <c r="SMP106" s="973"/>
      <c r="SMQ106" s="973"/>
      <c r="SMR106" s="973"/>
      <c r="SMS106" s="973"/>
      <c r="SMT106" s="973"/>
      <c r="SMU106" s="973"/>
      <c r="SMV106" s="973"/>
      <c r="SMW106" s="973"/>
      <c r="SMX106" s="973"/>
      <c r="SMY106" s="973"/>
      <c r="SMZ106" s="973"/>
      <c r="SNA106" s="973"/>
      <c r="SNB106" s="973"/>
      <c r="SNC106" s="973"/>
      <c r="SND106" s="973"/>
      <c r="SNE106" s="973"/>
      <c r="SNF106" s="973"/>
      <c r="SNG106" s="973"/>
      <c r="SNH106" s="973"/>
      <c r="SNI106" s="973"/>
      <c r="SNJ106" s="973"/>
      <c r="SNK106" s="973"/>
      <c r="SNL106" s="973"/>
      <c r="SNM106" s="973"/>
      <c r="SNN106" s="973"/>
      <c r="SNO106" s="973"/>
      <c r="SNP106" s="973"/>
      <c r="SNQ106" s="973"/>
      <c r="SNR106" s="973"/>
      <c r="SNS106" s="973"/>
      <c r="SNT106" s="973"/>
      <c r="SNU106" s="973"/>
      <c r="SNV106" s="973"/>
      <c r="SNW106" s="973"/>
      <c r="SNX106" s="973"/>
      <c r="SNY106" s="973"/>
      <c r="SNZ106" s="973"/>
      <c r="SOA106" s="973"/>
      <c r="SOB106" s="973"/>
      <c r="SOC106" s="973"/>
      <c r="SOD106" s="973"/>
      <c r="SOE106" s="973"/>
      <c r="SOF106" s="973"/>
      <c r="SOG106" s="973"/>
      <c r="SOH106" s="973"/>
      <c r="SOI106" s="973"/>
      <c r="SOJ106" s="973"/>
      <c r="SOK106" s="973"/>
      <c r="SOL106" s="973"/>
      <c r="SOM106" s="973"/>
      <c r="SON106" s="973"/>
      <c r="SOO106" s="973"/>
      <c r="SOP106" s="973"/>
      <c r="SOQ106" s="973"/>
      <c r="SOR106" s="973"/>
      <c r="SOS106" s="973"/>
      <c r="SOT106" s="973"/>
      <c r="SOU106" s="973"/>
      <c r="SOV106" s="973"/>
      <c r="SOW106" s="973"/>
      <c r="SOX106" s="973"/>
      <c r="SOY106" s="973"/>
      <c r="SOZ106" s="973"/>
      <c r="SPA106" s="973"/>
      <c r="SPB106" s="973"/>
      <c r="SPC106" s="973"/>
      <c r="SPD106" s="973"/>
      <c r="SPE106" s="973"/>
      <c r="SPF106" s="973"/>
      <c r="SPG106" s="973"/>
      <c r="SPH106" s="973"/>
      <c r="SPI106" s="973"/>
      <c r="SPJ106" s="973"/>
      <c r="SPK106" s="973"/>
      <c r="SPL106" s="973"/>
      <c r="SPM106" s="973"/>
      <c r="SPN106" s="973"/>
      <c r="SPO106" s="973"/>
      <c r="SPP106" s="973"/>
      <c r="SPQ106" s="973"/>
      <c r="SPR106" s="973"/>
      <c r="SPS106" s="973"/>
      <c r="SPT106" s="973"/>
      <c r="SPU106" s="973"/>
      <c r="SPV106" s="973"/>
      <c r="SPW106" s="973"/>
      <c r="SPX106" s="973"/>
      <c r="SPY106" s="973"/>
      <c r="SPZ106" s="973"/>
      <c r="SQA106" s="973"/>
      <c r="SQB106" s="973"/>
      <c r="SQC106" s="973"/>
      <c r="SQD106" s="973"/>
      <c r="SQE106" s="973"/>
      <c r="SQF106" s="973"/>
      <c r="SQG106" s="973"/>
      <c r="SQH106" s="973"/>
      <c r="SQI106" s="973"/>
      <c r="SQJ106" s="973"/>
      <c r="SQK106" s="973"/>
      <c r="SQL106" s="973"/>
      <c r="SQM106" s="973"/>
      <c r="SQN106" s="973"/>
      <c r="SQO106" s="973"/>
      <c r="SQP106" s="973"/>
      <c r="SQQ106" s="973"/>
      <c r="SQR106" s="973"/>
      <c r="SQS106" s="973"/>
      <c r="SQT106" s="973"/>
      <c r="SQU106" s="973"/>
      <c r="SQV106" s="973"/>
      <c r="SQW106" s="973"/>
      <c r="SQX106" s="973"/>
      <c r="SQY106" s="973"/>
      <c r="SQZ106" s="973"/>
      <c r="SRA106" s="973"/>
      <c r="SRB106" s="973"/>
      <c r="SRC106" s="973"/>
      <c r="SRD106" s="973"/>
      <c r="SRE106" s="973"/>
      <c r="SRF106" s="973"/>
      <c r="SRG106" s="973"/>
      <c r="SRH106" s="973"/>
      <c r="SRI106" s="973"/>
      <c r="SRJ106" s="973"/>
      <c r="SRK106" s="973"/>
      <c r="SRL106" s="973"/>
      <c r="SRM106" s="973"/>
      <c r="SRN106" s="973"/>
      <c r="SRO106" s="973"/>
      <c r="SRP106" s="973"/>
      <c r="SRQ106" s="973"/>
      <c r="SRR106" s="973"/>
      <c r="SRS106" s="973"/>
      <c r="SRT106" s="973"/>
      <c r="SRU106" s="973"/>
      <c r="SRV106" s="973"/>
      <c r="SRW106" s="973"/>
      <c r="SRX106" s="973"/>
      <c r="SRY106" s="973"/>
      <c r="SRZ106" s="973"/>
      <c r="SSA106" s="973"/>
      <c r="SSB106" s="973"/>
      <c r="SSC106" s="973"/>
      <c r="SSD106" s="973"/>
      <c r="SSE106" s="973"/>
      <c r="SSF106" s="973"/>
      <c r="SSG106" s="973"/>
      <c r="SSH106" s="973"/>
      <c r="SSI106" s="973"/>
      <c r="SSJ106" s="973"/>
      <c r="SSK106" s="973"/>
      <c r="SSL106" s="973"/>
      <c r="SSM106" s="973"/>
      <c r="SSN106" s="973"/>
      <c r="SSO106" s="973"/>
      <c r="SSP106" s="973"/>
      <c r="SSQ106" s="973"/>
      <c r="SSR106" s="973"/>
      <c r="SSS106" s="973"/>
      <c r="SST106" s="973"/>
      <c r="SSU106" s="973"/>
      <c r="SSV106" s="973"/>
      <c r="SSW106" s="973"/>
      <c r="SSX106" s="973"/>
      <c r="SSY106" s="973"/>
      <c r="SSZ106" s="973"/>
      <c r="STA106" s="973"/>
      <c r="STB106" s="973"/>
      <c r="STC106" s="973"/>
      <c r="STD106" s="973"/>
      <c r="STE106" s="973"/>
      <c r="STF106" s="973"/>
      <c r="STG106" s="973"/>
      <c r="STH106" s="973"/>
      <c r="STI106" s="973"/>
      <c r="STJ106" s="973"/>
      <c r="STK106" s="973"/>
      <c r="STL106" s="973"/>
      <c r="STM106" s="973"/>
      <c r="STN106" s="973"/>
      <c r="STO106" s="973"/>
      <c r="STP106" s="973"/>
      <c r="STQ106" s="973"/>
      <c r="STR106" s="973"/>
      <c r="STS106" s="973"/>
      <c r="STT106" s="973"/>
      <c r="STU106" s="973"/>
      <c r="STV106" s="973"/>
      <c r="STW106" s="973"/>
      <c r="STX106" s="973"/>
      <c r="STY106" s="973"/>
      <c r="STZ106" s="973"/>
      <c r="SUA106" s="973"/>
      <c r="SUB106" s="973"/>
      <c r="SUC106" s="973"/>
      <c r="SUD106" s="973"/>
      <c r="SUE106" s="973"/>
      <c r="SUF106" s="973"/>
      <c r="SUG106" s="973"/>
      <c r="SUH106" s="973"/>
      <c r="SUI106" s="973"/>
      <c r="SUJ106" s="973"/>
      <c r="SUK106" s="973"/>
      <c r="SUL106" s="973"/>
      <c r="SUM106" s="973"/>
      <c r="SUN106" s="973"/>
      <c r="SUO106" s="973"/>
      <c r="SUP106" s="973"/>
      <c r="SUQ106" s="973"/>
      <c r="SUR106" s="973"/>
      <c r="SUS106" s="973"/>
      <c r="SUT106" s="973"/>
      <c r="SUU106" s="973"/>
      <c r="SUV106" s="973"/>
      <c r="SUW106" s="973"/>
      <c r="SUX106" s="973"/>
      <c r="SUY106" s="973"/>
      <c r="SUZ106" s="973"/>
      <c r="SVA106" s="973"/>
      <c r="SVB106" s="973"/>
      <c r="SVC106" s="973"/>
      <c r="SVD106" s="973"/>
      <c r="SVE106" s="973"/>
      <c r="SVF106" s="973"/>
      <c r="SVG106" s="973"/>
      <c r="SVH106" s="973"/>
      <c r="SVI106" s="973"/>
      <c r="SVJ106" s="973"/>
      <c r="SVK106" s="973"/>
      <c r="SVL106" s="973"/>
      <c r="SVM106" s="973"/>
      <c r="SVN106" s="973"/>
      <c r="SVO106" s="973"/>
      <c r="SVP106" s="973"/>
      <c r="SVQ106" s="973"/>
      <c r="SVR106" s="973"/>
      <c r="SVS106" s="973"/>
      <c r="SVT106" s="973"/>
      <c r="SVU106" s="973"/>
      <c r="SVV106" s="973"/>
      <c r="SVW106" s="973"/>
      <c r="SVX106" s="973"/>
      <c r="SVY106" s="973"/>
      <c r="SVZ106" s="973"/>
      <c r="SWA106" s="973"/>
      <c r="SWB106" s="973"/>
      <c r="SWC106" s="973"/>
      <c r="SWD106" s="973"/>
      <c r="SWE106" s="973"/>
      <c r="SWF106" s="973"/>
      <c r="SWG106" s="973"/>
      <c r="SWH106" s="973"/>
      <c r="SWI106" s="973"/>
      <c r="SWJ106" s="973"/>
      <c r="SWK106" s="973"/>
      <c r="SWL106" s="973"/>
      <c r="SWM106" s="973"/>
      <c r="SWN106" s="973"/>
      <c r="SWO106" s="973"/>
      <c r="SWP106" s="973"/>
      <c r="SWQ106" s="973"/>
      <c r="SWR106" s="973"/>
      <c r="SWS106" s="973"/>
      <c r="SWT106" s="973"/>
      <c r="SWU106" s="973"/>
      <c r="SWV106" s="973"/>
      <c r="SWW106" s="973"/>
      <c r="SWX106" s="973"/>
      <c r="SWY106" s="973"/>
      <c r="SWZ106" s="973"/>
      <c r="SXA106" s="973"/>
      <c r="SXB106" s="973"/>
      <c r="SXC106" s="973"/>
      <c r="SXD106" s="973"/>
      <c r="SXE106" s="973"/>
      <c r="SXF106" s="973"/>
      <c r="SXG106" s="973"/>
      <c r="SXH106" s="973"/>
      <c r="SXI106" s="973"/>
      <c r="SXJ106" s="973"/>
      <c r="SXK106" s="973"/>
      <c r="SXL106" s="973"/>
      <c r="SXM106" s="973"/>
      <c r="SXN106" s="973"/>
      <c r="SXO106" s="973"/>
      <c r="SXP106" s="973"/>
      <c r="SXQ106" s="973"/>
      <c r="SXR106" s="973"/>
      <c r="SXS106" s="973"/>
      <c r="SXT106" s="973"/>
      <c r="SXU106" s="973"/>
      <c r="SXV106" s="973"/>
      <c r="SXW106" s="973"/>
      <c r="SXX106" s="973"/>
      <c r="SXY106" s="973"/>
      <c r="SXZ106" s="973"/>
      <c r="SYA106" s="973"/>
      <c r="SYB106" s="973"/>
      <c r="SYC106" s="973"/>
      <c r="SYD106" s="973"/>
      <c r="SYE106" s="973"/>
      <c r="SYF106" s="973"/>
      <c r="SYG106" s="973"/>
      <c r="SYH106" s="973"/>
      <c r="SYI106" s="973"/>
      <c r="SYJ106" s="973"/>
      <c r="SYK106" s="973"/>
      <c r="SYL106" s="973"/>
      <c r="SYM106" s="973"/>
      <c r="SYN106" s="973"/>
      <c r="SYO106" s="973"/>
      <c r="SYP106" s="973"/>
      <c r="SYQ106" s="973"/>
      <c r="SYR106" s="973"/>
      <c r="SYS106" s="973"/>
      <c r="SYT106" s="973"/>
      <c r="SYU106" s="973"/>
      <c r="SYV106" s="973"/>
      <c r="SYW106" s="973"/>
      <c r="SYX106" s="973"/>
      <c r="SYY106" s="973"/>
      <c r="SYZ106" s="973"/>
      <c r="SZA106" s="973"/>
      <c r="SZB106" s="973"/>
      <c r="SZC106" s="973"/>
      <c r="SZD106" s="973"/>
      <c r="SZE106" s="973"/>
      <c r="SZF106" s="973"/>
      <c r="SZG106" s="973"/>
      <c r="SZH106" s="973"/>
      <c r="SZI106" s="973"/>
      <c r="SZJ106" s="973"/>
      <c r="SZK106" s="973"/>
      <c r="SZL106" s="973"/>
      <c r="SZM106" s="973"/>
      <c r="SZN106" s="973"/>
      <c r="SZO106" s="973"/>
      <c r="SZP106" s="973"/>
      <c r="SZQ106" s="973"/>
      <c r="SZR106" s="973"/>
      <c r="SZS106" s="973"/>
      <c r="SZT106" s="973"/>
      <c r="SZU106" s="973"/>
      <c r="SZV106" s="973"/>
      <c r="SZW106" s="973"/>
      <c r="SZX106" s="973"/>
      <c r="SZY106" s="973"/>
      <c r="SZZ106" s="973"/>
      <c r="TAA106" s="973"/>
      <c r="TAB106" s="973"/>
      <c r="TAC106" s="973"/>
      <c r="TAD106" s="973"/>
      <c r="TAE106" s="973"/>
      <c r="TAF106" s="973"/>
      <c r="TAG106" s="973"/>
      <c r="TAH106" s="973"/>
      <c r="TAI106" s="973"/>
      <c r="TAJ106" s="973"/>
      <c r="TAK106" s="973"/>
      <c r="TAL106" s="973"/>
      <c r="TAM106" s="973"/>
      <c r="TAN106" s="973"/>
      <c r="TAO106" s="973"/>
      <c r="TAP106" s="973"/>
      <c r="TAQ106" s="973"/>
      <c r="TAR106" s="973"/>
      <c r="TAS106" s="973"/>
      <c r="TAT106" s="973"/>
      <c r="TAU106" s="973"/>
      <c r="TAV106" s="973"/>
      <c r="TAW106" s="973"/>
      <c r="TAX106" s="973"/>
      <c r="TAY106" s="973"/>
      <c r="TAZ106" s="973"/>
      <c r="TBA106" s="973"/>
      <c r="TBB106" s="973"/>
      <c r="TBC106" s="973"/>
      <c r="TBD106" s="973"/>
      <c r="TBE106" s="973"/>
      <c r="TBF106" s="973"/>
      <c r="TBG106" s="973"/>
      <c r="TBH106" s="973"/>
      <c r="TBI106" s="973"/>
      <c r="TBJ106" s="973"/>
      <c r="TBK106" s="973"/>
      <c r="TBL106" s="973"/>
      <c r="TBM106" s="973"/>
      <c r="TBN106" s="973"/>
      <c r="TBO106" s="973"/>
      <c r="TBP106" s="973"/>
      <c r="TBQ106" s="973"/>
      <c r="TBR106" s="973"/>
      <c r="TBS106" s="973"/>
      <c r="TBT106" s="973"/>
      <c r="TBU106" s="973"/>
      <c r="TBV106" s="973"/>
      <c r="TBW106" s="973"/>
      <c r="TBX106" s="973"/>
      <c r="TBY106" s="973"/>
      <c r="TBZ106" s="973"/>
      <c r="TCA106" s="973"/>
      <c r="TCB106" s="973"/>
      <c r="TCC106" s="973"/>
      <c r="TCD106" s="973"/>
      <c r="TCE106" s="973"/>
      <c r="TCF106" s="973"/>
      <c r="TCG106" s="973"/>
      <c r="TCH106" s="973"/>
      <c r="TCI106" s="973"/>
      <c r="TCJ106" s="973"/>
      <c r="TCK106" s="973"/>
      <c r="TCL106" s="973"/>
      <c r="TCM106" s="973"/>
      <c r="TCN106" s="973"/>
      <c r="TCO106" s="973"/>
      <c r="TCP106" s="973"/>
      <c r="TCQ106" s="973"/>
      <c r="TCR106" s="973"/>
      <c r="TCS106" s="973"/>
      <c r="TCT106" s="973"/>
      <c r="TCU106" s="973"/>
      <c r="TCV106" s="973"/>
      <c r="TCW106" s="973"/>
      <c r="TCX106" s="973"/>
      <c r="TCY106" s="973"/>
      <c r="TCZ106" s="973"/>
      <c r="TDA106" s="973"/>
      <c r="TDB106" s="973"/>
      <c r="TDC106" s="973"/>
      <c r="TDD106" s="973"/>
      <c r="TDE106" s="973"/>
      <c r="TDF106" s="973"/>
      <c r="TDG106" s="973"/>
      <c r="TDH106" s="973"/>
      <c r="TDI106" s="973"/>
      <c r="TDJ106" s="973"/>
      <c r="TDK106" s="973"/>
      <c r="TDL106" s="973"/>
      <c r="TDM106" s="973"/>
      <c r="TDN106" s="973"/>
      <c r="TDO106" s="973"/>
      <c r="TDP106" s="973"/>
      <c r="TDQ106" s="973"/>
      <c r="TDR106" s="973"/>
      <c r="TDS106" s="973"/>
      <c r="TDT106" s="973"/>
      <c r="TDU106" s="973"/>
      <c r="TDV106" s="973"/>
      <c r="TDW106" s="973"/>
      <c r="TDX106" s="973"/>
      <c r="TDY106" s="973"/>
      <c r="TDZ106" s="973"/>
      <c r="TEA106" s="973"/>
      <c r="TEB106" s="973"/>
      <c r="TEC106" s="973"/>
      <c r="TED106" s="973"/>
      <c r="TEE106" s="973"/>
      <c r="TEF106" s="973"/>
      <c r="TEG106" s="973"/>
      <c r="TEH106" s="973"/>
      <c r="TEI106" s="973"/>
      <c r="TEJ106" s="973"/>
      <c r="TEK106" s="973"/>
      <c r="TEL106" s="973"/>
      <c r="TEM106" s="973"/>
      <c r="TEN106" s="973"/>
      <c r="TEO106" s="973"/>
      <c r="TEP106" s="973"/>
      <c r="TEQ106" s="973"/>
      <c r="TER106" s="973"/>
      <c r="TES106" s="973"/>
      <c r="TET106" s="973"/>
      <c r="TEU106" s="973"/>
      <c r="TEV106" s="973"/>
      <c r="TEW106" s="973"/>
      <c r="TEX106" s="973"/>
      <c r="TEY106" s="973"/>
      <c r="TEZ106" s="973"/>
      <c r="TFA106" s="973"/>
      <c r="TFB106" s="973"/>
      <c r="TFC106" s="973"/>
      <c r="TFD106" s="973"/>
      <c r="TFE106" s="973"/>
      <c r="TFF106" s="973"/>
      <c r="TFG106" s="973"/>
      <c r="TFH106" s="973"/>
      <c r="TFI106" s="973"/>
      <c r="TFJ106" s="973"/>
      <c r="TFK106" s="973"/>
      <c r="TFL106" s="973"/>
      <c r="TFM106" s="973"/>
      <c r="TFN106" s="973"/>
      <c r="TFO106" s="973"/>
      <c r="TFP106" s="973"/>
      <c r="TFQ106" s="973"/>
      <c r="TFR106" s="973"/>
      <c r="TFS106" s="973"/>
      <c r="TFT106" s="973"/>
      <c r="TFU106" s="973"/>
      <c r="TFV106" s="973"/>
      <c r="TFW106" s="973"/>
      <c r="TFX106" s="973"/>
      <c r="TFY106" s="973"/>
      <c r="TFZ106" s="973"/>
      <c r="TGA106" s="973"/>
      <c r="TGB106" s="973"/>
      <c r="TGC106" s="973"/>
      <c r="TGD106" s="973"/>
      <c r="TGE106" s="973"/>
      <c r="TGF106" s="973"/>
      <c r="TGG106" s="973"/>
      <c r="TGH106" s="973"/>
      <c r="TGI106" s="973"/>
      <c r="TGJ106" s="973"/>
      <c r="TGK106" s="973"/>
      <c r="TGL106" s="973"/>
      <c r="TGM106" s="973"/>
      <c r="TGN106" s="973"/>
      <c r="TGO106" s="973"/>
      <c r="TGP106" s="973"/>
      <c r="TGQ106" s="973"/>
      <c r="TGR106" s="973"/>
      <c r="TGS106" s="973"/>
      <c r="TGT106" s="973"/>
      <c r="TGU106" s="973"/>
      <c r="TGV106" s="973"/>
      <c r="TGW106" s="973"/>
      <c r="TGX106" s="973"/>
      <c r="TGY106" s="973"/>
      <c r="TGZ106" s="973"/>
      <c r="THA106" s="973"/>
      <c r="THB106" s="973"/>
      <c r="THC106" s="973"/>
      <c r="THD106" s="973"/>
      <c r="THE106" s="973"/>
      <c r="THF106" s="973"/>
      <c r="THG106" s="973"/>
      <c r="THH106" s="973"/>
      <c r="THI106" s="973"/>
      <c r="THJ106" s="973"/>
      <c r="THK106" s="973"/>
      <c r="THL106" s="973"/>
      <c r="THM106" s="973"/>
      <c r="THN106" s="973"/>
      <c r="THO106" s="973"/>
      <c r="THP106" s="973"/>
      <c r="THQ106" s="973"/>
      <c r="THR106" s="973"/>
      <c r="THS106" s="973"/>
      <c r="THT106" s="973"/>
      <c r="THU106" s="973"/>
      <c r="THV106" s="973"/>
      <c r="THW106" s="973"/>
      <c r="THX106" s="973"/>
      <c r="THY106" s="973"/>
      <c r="THZ106" s="973"/>
      <c r="TIA106" s="973"/>
      <c r="TIB106" s="973"/>
      <c r="TIC106" s="973"/>
      <c r="TID106" s="973"/>
      <c r="TIE106" s="973"/>
      <c r="TIF106" s="973"/>
      <c r="TIG106" s="973"/>
      <c r="TIH106" s="973"/>
      <c r="TII106" s="973"/>
      <c r="TIJ106" s="973"/>
      <c r="TIK106" s="973"/>
      <c r="TIL106" s="973"/>
      <c r="TIM106" s="973"/>
      <c r="TIN106" s="973"/>
      <c r="TIO106" s="973"/>
      <c r="TIP106" s="973"/>
      <c r="TIQ106" s="973"/>
      <c r="TIR106" s="973"/>
      <c r="TIS106" s="973"/>
      <c r="TIT106" s="973"/>
      <c r="TIU106" s="973"/>
      <c r="TIV106" s="973"/>
      <c r="TIW106" s="973"/>
      <c r="TIX106" s="973"/>
      <c r="TIY106" s="973"/>
      <c r="TIZ106" s="973"/>
      <c r="TJA106" s="973"/>
      <c r="TJB106" s="973"/>
      <c r="TJC106" s="973"/>
      <c r="TJD106" s="973"/>
      <c r="TJE106" s="973"/>
      <c r="TJF106" s="973"/>
      <c r="TJG106" s="973"/>
      <c r="TJH106" s="973"/>
      <c r="TJI106" s="973"/>
      <c r="TJJ106" s="973"/>
      <c r="TJK106" s="973"/>
      <c r="TJL106" s="973"/>
      <c r="TJM106" s="973"/>
      <c r="TJN106" s="973"/>
      <c r="TJO106" s="973"/>
      <c r="TJP106" s="973"/>
      <c r="TJQ106" s="973"/>
      <c r="TJR106" s="973"/>
      <c r="TJS106" s="973"/>
      <c r="TJT106" s="973"/>
      <c r="TJU106" s="973"/>
      <c r="TJV106" s="973"/>
      <c r="TJW106" s="973"/>
      <c r="TJX106" s="973"/>
      <c r="TJY106" s="973"/>
      <c r="TJZ106" s="973"/>
      <c r="TKA106" s="973"/>
      <c r="TKB106" s="973"/>
      <c r="TKC106" s="973"/>
      <c r="TKD106" s="973"/>
      <c r="TKE106" s="973"/>
      <c r="TKF106" s="973"/>
      <c r="TKG106" s="973"/>
      <c r="TKH106" s="973"/>
      <c r="TKI106" s="973"/>
      <c r="TKJ106" s="973"/>
      <c r="TKK106" s="973"/>
      <c r="TKL106" s="973"/>
      <c r="TKM106" s="973"/>
      <c r="TKN106" s="973"/>
      <c r="TKO106" s="973"/>
      <c r="TKP106" s="973"/>
      <c r="TKQ106" s="973"/>
      <c r="TKR106" s="973"/>
      <c r="TKS106" s="973"/>
      <c r="TKT106" s="973"/>
      <c r="TKU106" s="973"/>
      <c r="TKV106" s="973"/>
      <c r="TKW106" s="973"/>
      <c r="TKX106" s="973"/>
      <c r="TKY106" s="973"/>
      <c r="TKZ106" s="973"/>
      <c r="TLA106" s="973"/>
      <c r="TLB106" s="973"/>
      <c r="TLC106" s="973"/>
      <c r="TLD106" s="973"/>
      <c r="TLE106" s="973"/>
      <c r="TLF106" s="973"/>
      <c r="TLG106" s="973"/>
      <c r="TLH106" s="973"/>
      <c r="TLI106" s="973"/>
      <c r="TLJ106" s="973"/>
      <c r="TLK106" s="973"/>
      <c r="TLL106" s="973"/>
      <c r="TLM106" s="973"/>
      <c r="TLN106" s="973"/>
      <c r="TLO106" s="973"/>
      <c r="TLP106" s="973"/>
      <c r="TLQ106" s="973"/>
      <c r="TLR106" s="973"/>
      <c r="TLS106" s="973"/>
      <c r="TLT106" s="973"/>
      <c r="TLU106" s="973"/>
      <c r="TLV106" s="973"/>
      <c r="TLW106" s="973"/>
      <c r="TLX106" s="973"/>
      <c r="TLY106" s="973"/>
      <c r="TLZ106" s="973"/>
      <c r="TMA106" s="973"/>
      <c r="TMB106" s="973"/>
      <c r="TMC106" s="973"/>
      <c r="TMD106" s="973"/>
      <c r="TME106" s="973"/>
      <c r="TMF106" s="973"/>
      <c r="TMG106" s="973"/>
      <c r="TMH106" s="973"/>
      <c r="TMI106" s="973"/>
      <c r="TMJ106" s="973"/>
      <c r="TMK106" s="973"/>
      <c r="TML106" s="973"/>
      <c r="TMM106" s="973"/>
      <c r="TMN106" s="973"/>
      <c r="TMO106" s="973"/>
      <c r="TMP106" s="973"/>
      <c r="TMQ106" s="973"/>
      <c r="TMR106" s="973"/>
      <c r="TMS106" s="973"/>
      <c r="TMT106" s="973"/>
      <c r="TMU106" s="973"/>
      <c r="TMV106" s="973"/>
      <c r="TMW106" s="973"/>
      <c r="TMX106" s="973"/>
      <c r="TMY106" s="973"/>
      <c r="TMZ106" s="973"/>
      <c r="TNA106" s="973"/>
      <c r="TNB106" s="973"/>
      <c r="TNC106" s="973"/>
      <c r="TND106" s="973"/>
      <c r="TNE106" s="973"/>
      <c r="TNF106" s="973"/>
      <c r="TNG106" s="973"/>
      <c r="TNH106" s="973"/>
      <c r="TNI106" s="973"/>
      <c r="TNJ106" s="973"/>
      <c r="TNK106" s="973"/>
      <c r="TNL106" s="973"/>
      <c r="TNM106" s="973"/>
      <c r="TNN106" s="973"/>
      <c r="TNO106" s="973"/>
      <c r="TNP106" s="973"/>
      <c r="TNQ106" s="973"/>
      <c r="TNR106" s="973"/>
      <c r="TNS106" s="973"/>
      <c r="TNT106" s="973"/>
      <c r="TNU106" s="973"/>
      <c r="TNV106" s="973"/>
      <c r="TNW106" s="973"/>
      <c r="TNX106" s="973"/>
      <c r="TNY106" s="973"/>
      <c r="TNZ106" s="973"/>
      <c r="TOA106" s="973"/>
      <c r="TOB106" s="973"/>
      <c r="TOC106" s="973"/>
      <c r="TOD106" s="973"/>
      <c r="TOE106" s="973"/>
      <c r="TOF106" s="973"/>
      <c r="TOG106" s="973"/>
      <c r="TOH106" s="973"/>
      <c r="TOI106" s="973"/>
      <c r="TOJ106" s="973"/>
      <c r="TOK106" s="973"/>
      <c r="TOL106" s="973"/>
      <c r="TOM106" s="973"/>
      <c r="TON106" s="973"/>
      <c r="TOO106" s="973"/>
      <c r="TOP106" s="973"/>
      <c r="TOQ106" s="973"/>
      <c r="TOR106" s="973"/>
      <c r="TOS106" s="973"/>
      <c r="TOT106" s="973"/>
      <c r="TOU106" s="973"/>
      <c r="TOV106" s="973"/>
      <c r="TOW106" s="973"/>
      <c r="TOX106" s="973"/>
      <c r="TOY106" s="973"/>
      <c r="TOZ106" s="973"/>
      <c r="TPA106" s="973"/>
      <c r="TPB106" s="973"/>
      <c r="TPC106" s="973"/>
      <c r="TPD106" s="973"/>
      <c r="TPE106" s="973"/>
      <c r="TPF106" s="973"/>
      <c r="TPG106" s="973"/>
      <c r="TPH106" s="973"/>
      <c r="TPI106" s="973"/>
      <c r="TPJ106" s="973"/>
      <c r="TPK106" s="973"/>
      <c r="TPL106" s="973"/>
      <c r="TPM106" s="973"/>
      <c r="TPN106" s="973"/>
      <c r="TPO106" s="973"/>
      <c r="TPP106" s="973"/>
      <c r="TPQ106" s="973"/>
      <c r="TPR106" s="973"/>
      <c r="TPS106" s="973"/>
      <c r="TPT106" s="973"/>
      <c r="TPU106" s="973"/>
      <c r="TPV106" s="973"/>
      <c r="TPW106" s="973"/>
      <c r="TPX106" s="973"/>
      <c r="TPY106" s="973"/>
      <c r="TPZ106" s="973"/>
      <c r="TQA106" s="973"/>
      <c r="TQB106" s="973"/>
      <c r="TQC106" s="973"/>
      <c r="TQD106" s="973"/>
      <c r="TQE106" s="973"/>
      <c r="TQF106" s="973"/>
      <c r="TQG106" s="973"/>
      <c r="TQH106" s="973"/>
      <c r="TQI106" s="973"/>
      <c r="TQJ106" s="973"/>
      <c r="TQK106" s="973"/>
      <c r="TQL106" s="973"/>
      <c r="TQM106" s="973"/>
      <c r="TQN106" s="973"/>
      <c r="TQO106" s="973"/>
      <c r="TQP106" s="973"/>
      <c r="TQQ106" s="973"/>
      <c r="TQR106" s="973"/>
      <c r="TQS106" s="973"/>
      <c r="TQT106" s="973"/>
      <c r="TQU106" s="973"/>
      <c r="TQV106" s="973"/>
      <c r="TQW106" s="973"/>
      <c r="TQX106" s="973"/>
      <c r="TQY106" s="973"/>
      <c r="TQZ106" s="973"/>
      <c r="TRA106" s="973"/>
      <c r="TRB106" s="973"/>
      <c r="TRC106" s="973"/>
      <c r="TRD106" s="973"/>
      <c r="TRE106" s="973"/>
      <c r="TRF106" s="973"/>
      <c r="TRG106" s="973"/>
      <c r="TRH106" s="973"/>
      <c r="TRI106" s="973"/>
      <c r="TRJ106" s="973"/>
      <c r="TRK106" s="973"/>
      <c r="TRL106" s="973"/>
      <c r="TRM106" s="973"/>
      <c r="TRN106" s="973"/>
      <c r="TRO106" s="973"/>
      <c r="TRP106" s="973"/>
      <c r="TRQ106" s="973"/>
      <c r="TRR106" s="973"/>
      <c r="TRS106" s="973"/>
      <c r="TRT106" s="973"/>
      <c r="TRU106" s="973"/>
      <c r="TRV106" s="973"/>
      <c r="TRW106" s="973"/>
      <c r="TRX106" s="973"/>
      <c r="TRY106" s="973"/>
      <c r="TRZ106" s="973"/>
      <c r="TSA106" s="973"/>
      <c r="TSB106" s="973"/>
      <c r="TSC106" s="973"/>
      <c r="TSD106" s="973"/>
      <c r="TSE106" s="973"/>
      <c r="TSF106" s="973"/>
      <c r="TSG106" s="973"/>
      <c r="TSH106" s="973"/>
      <c r="TSI106" s="973"/>
      <c r="TSJ106" s="973"/>
      <c r="TSK106" s="973"/>
      <c r="TSL106" s="973"/>
      <c r="TSM106" s="973"/>
      <c r="TSN106" s="973"/>
      <c r="TSO106" s="973"/>
      <c r="TSP106" s="973"/>
      <c r="TSQ106" s="973"/>
      <c r="TSR106" s="973"/>
      <c r="TSS106" s="973"/>
      <c r="TST106" s="973"/>
      <c r="TSU106" s="973"/>
      <c r="TSV106" s="973"/>
      <c r="TSW106" s="973"/>
      <c r="TSX106" s="973"/>
      <c r="TSY106" s="973"/>
      <c r="TSZ106" s="973"/>
      <c r="TTA106" s="973"/>
      <c r="TTB106" s="973"/>
      <c r="TTC106" s="973"/>
      <c r="TTD106" s="973"/>
      <c r="TTE106" s="973"/>
      <c r="TTF106" s="973"/>
      <c r="TTG106" s="973"/>
      <c r="TTH106" s="973"/>
      <c r="TTI106" s="973"/>
      <c r="TTJ106" s="973"/>
      <c r="TTK106" s="973"/>
      <c r="TTL106" s="973"/>
      <c r="TTM106" s="973"/>
      <c r="TTN106" s="973"/>
      <c r="TTO106" s="973"/>
      <c r="TTP106" s="973"/>
      <c r="TTQ106" s="973"/>
      <c r="TTR106" s="973"/>
      <c r="TTS106" s="973"/>
      <c r="TTT106" s="973"/>
      <c r="TTU106" s="973"/>
      <c r="TTV106" s="973"/>
      <c r="TTW106" s="973"/>
      <c r="TTX106" s="973"/>
      <c r="TTY106" s="973"/>
      <c r="TTZ106" s="973"/>
      <c r="TUA106" s="973"/>
      <c r="TUB106" s="973"/>
      <c r="TUC106" s="973"/>
      <c r="TUD106" s="973"/>
      <c r="TUE106" s="973"/>
      <c r="TUF106" s="973"/>
      <c r="TUG106" s="973"/>
      <c r="TUH106" s="973"/>
      <c r="TUI106" s="973"/>
      <c r="TUJ106" s="973"/>
      <c r="TUK106" s="973"/>
      <c r="TUL106" s="973"/>
      <c r="TUM106" s="973"/>
      <c r="TUN106" s="973"/>
      <c r="TUO106" s="973"/>
      <c r="TUP106" s="973"/>
      <c r="TUQ106" s="973"/>
      <c r="TUR106" s="973"/>
      <c r="TUS106" s="973"/>
      <c r="TUT106" s="973"/>
      <c r="TUU106" s="973"/>
      <c r="TUV106" s="973"/>
      <c r="TUW106" s="973"/>
      <c r="TUX106" s="973"/>
      <c r="TUY106" s="973"/>
      <c r="TUZ106" s="973"/>
      <c r="TVA106" s="973"/>
      <c r="TVB106" s="973"/>
      <c r="TVC106" s="973"/>
      <c r="TVD106" s="973"/>
      <c r="TVE106" s="973"/>
      <c r="TVF106" s="973"/>
      <c r="TVG106" s="973"/>
      <c r="TVH106" s="973"/>
      <c r="TVI106" s="973"/>
      <c r="TVJ106" s="973"/>
      <c r="TVK106" s="973"/>
      <c r="TVL106" s="973"/>
      <c r="TVM106" s="973"/>
      <c r="TVN106" s="973"/>
      <c r="TVO106" s="973"/>
      <c r="TVP106" s="973"/>
      <c r="TVQ106" s="973"/>
      <c r="TVR106" s="973"/>
      <c r="TVS106" s="973"/>
      <c r="TVT106" s="973"/>
      <c r="TVU106" s="973"/>
      <c r="TVV106" s="973"/>
      <c r="TVW106" s="973"/>
      <c r="TVX106" s="973"/>
      <c r="TVY106" s="973"/>
      <c r="TVZ106" s="973"/>
      <c r="TWA106" s="973"/>
      <c r="TWB106" s="973"/>
      <c r="TWC106" s="973"/>
      <c r="TWD106" s="973"/>
      <c r="TWE106" s="973"/>
      <c r="TWF106" s="973"/>
      <c r="TWG106" s="973"/>
      <c r="TWH106" s="973"/>
      <c r="TWI106" s="973"/>
      <c r="TWJ106" s="973"/>
      <c r="TWK106" s="973"/>
      <c r="TWL106" s="973"/>
      <c r="TWM106" s="973"/>
      <c r="TWN106" s="973"/>
      <c r="TWO106" s="973"/>
      <c r="TWP106" s="973"/>
      <c r="TWQ106" s="973"/>
      <c r="TWR106" s="973"/>
      <c r="TWS106" s="973"/>
      <c r="TWT106" s="973"/>
      <c r="TWU106" s="973"/>
      <c r="TWV106" s="973"/>
      <c r="TWW106" s="973"/>
      <c r="TWX106" s="973"/>
      <c r="TWY106" s="973"/>
      <c r="TWZ106" s="973"/>
      <c r="TXA106" s="973"/>
      <c r="TXB106" s="973"/>
      <c r="TXC106" s="973"/>
      <c r="TXD106" s="973"/>
      <c r="TXE106" s="973"/>
      <c r="TXF106" s="973"/>
      <c r="TXG106" s="973"/>
      <c r="TXH106" s="973"/>
      <c r="TXI106" s="973"/>
      <c r="TXJ106" s="973"/>
      <c r="TXK106" s="973"/>
      <c r="TXL106" s="973"/>
      <c r="TXM106" s="973"/>
      <c r="TXN106" s="973"/>
      <c r="TXO106" s="973"/>
      <c r="TXP106" s="973"/>
      <c r="TXQ106" s="973"/>
      <c r="TXR106" s="973"/>
      <c r="TXS106" s="973"/>
      <c r="TXT106" s="973"/>
      <c r="TXU106" s="973"/>
      <c r="TXV106" s="973"/>
      <c r="TXW106" s="973"/>
      <c r="TXX106" s="973"/>
      <c r="TXY106" s="973"/>
      <c r="TXZ106" s="973"/>
      <c r="TYA106" s="973"/>
      <c r="TYB106" s="973"/>
      <c r="TYC106" s="973"/>
      <c r="TYD106" s="973"/>
      <c r="TYE106" s="973"/>
      <c r="TYF106" s="973"/>
      <c r="TYG106" s="973"/>
      <c r="TYH106" s="973"/>
      <c r="TYI106" s="973"/>
      <c r="TYJ106" s="973"/>
      <c r="TYK106" s="973"/>
      <c r="TYL106" s="973"/>
      <c r="TYM106" s="973"/>
      <c r="TYN106" s="973"/>
      <c r="TYO106" s="973"/>
      <c r="TYP106" s="973"/>
      <c r="TYQ106" s="973"/>
      <c r="TYR106" s="973"/>
      <c r="TYS106" s="973"/>
      <c r="TYT106" s="973"/>
      <c r="TYU106" s="973"/>
      <c r="TYV106" s="973"/>
      <c r="TYW106" s="973"/>
      <c r="TYX106" s="973"/>
      <c r="TYY106" s="973"/>
      <c r="TYZ106" s="973"/>
      <c r="TZA106" s="973"/>
      <c r="TZB106" s="973"/>
      <c r="TZC106" s="973"/>
      <c r="TZD106" s="973"/>
      <c r="TZE106" s="973"/>
      <c r="TZF106" s="973"/>
      <c r="TZG106" s="973"/>
      <c r="TZH106" s="973"/>
      <c r="TZI106" s="973"/>
      <c r="TZJ106" s="973"/>
      <c r="TZK106" s="973"/>
      <c r="TZL106" s="973"/>
      <c r="TZM106" s="973"/>
      <c r="TZN106" s="973"/>
      <c r="TZO106" s="973"/>
      <c r="TZP106" s="973"/>
      <c r="TZQ106" s="973"/>
      <c r="TZR106" s="973"/>
      <c r="TZS106" s="973"/>
      <c r="TZT106" s="973"/>
      <c r="TZU106" s="973"/>
      <c r="TZV106" s="973"/>
      <c r="TZW106" s="973"/>
      <c r="TZX106" s="973"/>
      <c r="TZY106" s="973"/>
      <c r="TZZ106" s="973"/>
      <c r="UAA106" s="973"/>
      <c r="UAB106" s="973"/>
      <c r="UAC106" s="973"/>
      <c r="UAD106" s="973"/>
      <c r="UAE106" s="973"/>
      <c r="UAF106" s="973"/>
      <c r="UAG106" s="973"/>
      <c r="UAH106" s="973"/>
      <c r="UAI106" s="973"/>
      <c r="UAJ106" s="973"/>
      <c r="UAK106" s="973"/>
      <c r="UAL106" s="973"/>
      <c r="UAM106" s="973"/>
      <c r="UAN106" s="973"/>
      <c r="UAO106" s="973"/>
      <c r="UAP106" s="973"/>
      <c r="UAQ106" s="973"/>
      <c r="UAR106" s="973"/>
      <c r="UAS106" s="973"/>
      <c r="UAT106" s="973"/>
      <c r="UAU106" s="973"/>
      <c r="UAV106" s="973"/>
      <c r="UAW106" s="973"/>
      <c r="UAX106" s="973"/>
      <c r="UAY106" s="973"/>
      <c r="UAZ106" s="973"/>
      <c r="UBA106" s="973"/>
      <c r="UBB106" s="973"/>
      <c r="UBC106" s="973"/>
      <c r="UBD106" s="973"/>
      <c r="UBE106" s="973"/>
      <c r="UBF106" s="973"/>
      <c r="UBG106" s="973"/>
      <c r="UBH106" s="973"/>
      <c r="UBI106" s="973"/>
      <c r="UBJ106" s="973"/>
      <c r="UBK106" s="973"/>
      <c r="UBL106" s="973"/>
      <c r="UBM106" s="973"/>
      <c r="UBN106" s="973"/>
      <c r="UBO106" s="973"/>
      <c r="UBP106" s="973"/>
      <c r="UBQ106" s="973"/>
      <c r="UBR106" s="973"/>
      <c r="UBS106" s="973"/>
      <c r="UBT106" s="973"/>
      <c r="UBU106" s="973"/>
      <c r="UBV106" s="973"/>
      <c r="UBW106" s="973"/>
      <c r="UBX106" s="973"/>
      <c r="UBY106" s="973"/>
      <c r="UBZ106" s="973"/>
      <c r="UCA106" s="973"/>
      <c r="UCB106" s="973"/>
      <c r="UCC106" s="973"/>
      <c r="UCD106" s="973"/>
      <c r="UCE106" s="973"/>
      <c r="UCF106" s="973"/>
      <c r="UCG106" s="973"/>
      <c r="UCH106" s="973"/>
      <c r="UCI106" s="973"/>
      <c r="UCJ106" s="973"/>
      <c r="UCK106" s="973"/>
      <c r="UCL106" s="973"/>
      <c r="UCM106" s="973"/>
      <c r="UCN106" s="973"/>
      <c r="UCO106" s="973"/>
      <c r="UCP106" s="973"/>
      <c r="UCQ106" s="973"/>
      <c r="UCR106" s="973"/>
      <c r="UCS106" s="973"/>
      <c r="UCT106" s="973"/>
      <c r="UCU106" s="973"/>
      <c r="UCV106" s="973"/>
      <c r="UCW106" s="973"/>
      <c r="UCX106" s="973"/>
      <c r="UCY106" s="973"/>
      <c r="UCZ106" s="973"/>
      <c r="UDA106" s="973"/>
      <c r="UDB106" s="973"/>
      <c r="UDC106" s="973"/>
      <c r="UDD106" s="973"/>
      <c r="UDE106" s="973"/>
      <c r="UDF106" s="973"/>
      <c r="UDG106" s="973"/>
      <c r="UDH106" s="973"/>
      <c r="UDI106" s="973"/>
      <c r="UDJ106" s="973"/>
      <c r="UDK106" s="973"/>
      <c r="UDL106" s="973"/>
      <c r="UDM106" s="973"/>
      <c r="UDN106" s="973"/>
      <c r="UDO106" s="973"/>
      <c r="UDP106" s="973"/>
      <c r="UDQ106" s="973"/>
      <c r="UDR106" s="973"/>
      <c r="UDS106" s="973"/>
      <c r="UDT106" s="973"/>
      <c r="UDU106" s="973"/>
      <c r="UDV106" s="973"/>
      <c r="UDW106" s="973"/>
      <c r="UDX106" s="973"/>
      <c r="UDY106" s="973"/>
      <c r="UDZ106" s="973"/>
      <c r="UEA106" s="973"/>
      <c r="UEB106" s="973"/>
      <c r="UEC106" s="973"/>
      <c r="UED106" s="973"/>
      <c r="UEE106" s="973"/>
      <c r="UEF106" s="973"/>
      <c r="UEG106" s="973"/>
      <c r="UEH106" s="973"/>
      <c r="UEI106" s="973"/>
      <c r="UEJ106" s="973"/>
      <c r="UEK106" s="973"/>
      <c r="UEL106" s="973"/>
      <c r="UEM106" s="973"/>
      <c r="UEN106" s="973"/>
      <c r="UEO106" s="973"/>
      <c r="UEP106" s="973"/>
      <c r="UEQ106" s="973"/>
      <c r="UER106" s="973"/>
      <c r="UES106" s="973"/>
      <c r="UET106" s="973"/>
      <c r="UEU106" s="973"/>
      <c r="UEV106" s="973"/>
      <c r="UEW106" s="973"/>
      <c r="UEX106" s="973"/>
      <c r="UEY106" s="973"/>
      <c r="UEZ106" s="973"/>
      <c r="UFA106" s="973"/>
      <c r="UFB106" s="973"/>
      <c r="UFC106" s="973"/>
      <c r="UFD106" s="973"/>
      <c r="UFE106" s="973"/>
      <c r="UFF106" s="973"/>
      <c r="UFG106" s="973"/>
      <c r="UFH106" s="973"/>
      <c r="UFI106" s="973"/>
      <c r="UFJ106" s="973"/>
      <c r="UFK106" s="973"/>
      <c r="UFL106" s="973"/>
      <c r="UFM106" s="973"/>
      <c r="UFN106" s="973"/>
      <c r="UFO106" s="973"/>
      <c r="UFP106" s="973"/>
      <c r="UFQ106" s="973"/>
      <c r="UFR106" s="973"/>
      <c r="UFS106" s="973"/>
      <c r="UFT106" s="973"/>
      <c r="UFU106" s="973"/>
      <c r="UFV106" s="973"/>
      <c r="UFW106" s="973"/>
      <c r="UFX106" s="973"/>
      <c r="UFY106" s="973"/>
      <c r="UFZ106" s="973"/>
      <c r="UGA106" s="973"/>
      <c r="UGB106" s="973"/>
      <c r="UGC106" s="973"/>
      <c r="UGD106" s="973"/>
      <c r="UGE106" s="973"/>
      <c r="UGF106" s="973"/>
      <c r="UGG106" s="973"/>
      <c r="UGH106" s="973"/>
      <c r="UGI106" s="973"/>
      <c r="UGJ106" s="973"/>
      <c r="UGK106" s="973"/>
      <c r="UGL106" s="973"/>
      <c r="UGM106" s="973"/>
      <c r="UGN106" s="973"/>
      <c r="UGO106" s="973"/>
      <c r="UGP106" s="973"/>
      <c r="UGQ106" s="973"/>
      <c r="UGR106" s="973"/>
      <c r="UGS106" s="973"/>
      <c r="UGT106" s="973"/>
      <c r="UGU106" s="973"/>
      <c r="UGV106" s="973"/>
      <c r="UGW106" s="973"/>
      <c r="UGX106" s="973"/>
      <c r="UGY106" s="973"/>
      <c r="UGZ106" s="973"/>
      <c r="UHA106" s="973"/>
      <c r="UHB106" s="973"/>
      <c r="UHC106" s="973"/>
      <c r="UHD106" s="973"/>
      <c r="UHE106" s="973"/>
      <c r="UHF106" s="973"/>
      <c r="UHG106" s="973"/>
      <c r="UHH106" s="973"/>
      <c r="UHI106" s="973"/>
      <c r="UHJ106" s="973"/>
      <c r="UHK106" s="973"/>
      <c r="UHL106" s="973"/>
      <c r="UHM106" s="973"/>
      <c r="UHN106" s="973"/>
      <c r="UHO106" s="973"/>
      <c r="UHP106" s="973"/>
      <c r="UHQ106" s="973"/>
      <c r="UHR106" s="973"/>
      <c r="UHS106" s="973"/>
      <c r="UHT106" s="973"/>
      <c r="UHU106" s="973"/>
      <c r="UHV106" s="973"/>
      <c r="UHW106" s="973"/>
      <c r="UHX106" s="973"/>
      <c r="UHY106" s="973"/>
      <c r="UHZ106" s="973"/>
      <c r="UIA106" s="973"/>
      <c r="UIB106" s="973"/>
      <c r="UIC106" s="973"/>
      <c r="UID106" s="973"/>
      <c r="UIE106" s="973"/>
      <c r="UIF106" s="973"/>
      <c r="UIG106" s="973"/>
      <c r="UIH106" s="973"/>
      <c r="UII106" s="973"/>
      <c r="UIJ106" s="973"/>
      <c r="UIK106" s="973"/>
      <c r="UIL106" s="973"/>
      <c r="UIM106" s="973"/>
      <c r="UIN106" s="973"/>
      <c r="UIO106" s="973"/>
      <c r="UIP106" s="973"/>
      <c r="UIQ106" s="973"/>
      <c r="UIR106" s="973"/>
      <c r="UIS106" s="973"/>
      <c r="UIT106" s="973"/>
      <c r="UIU106" s="973"/>
      <c r="UIV106" s="973"/>
      <c r="UIW106" s="973"/>
      <c r="UIX106" s="973"/>
      <c r="UIY106" s="973"/>
      <c r="UIZ106" s="973"/>
      <c r="UJA106" s="973"/>
      <c r="UJB106" s="973"/>
      <c r="UJC106" s="973"/>
      <c r="UJD106" s="973"/>
      <c r="UJE106" s="973"/>
      <c r="UJF106" s="973"/>
      <c r="UJG106" s="973"/>
      <c r="UJH106" s="973"/>
      <c r="UJI106" s="973"/>
      <c r="UJJ106" s="973"/>
      <c r="UJK106" s="973"/>
      <c r="UJL106" s="973"/>
      <c r="UJM106" s="973"/>
      <c r="UJN106" s="973"/>
      <c r="UJO106" s="973"/>
      <c r="UJP106" s="973"/>
      <c r="UJQ106" s="973"/>
      <c r="UJR106" s="973"/>
      <c r="UJS106" s="973"/>
      <c r="UJT106" s="973"/>
      <c r="UJU106" s="973"/>
      <c r="UJV106" s="973"/>
      <c r="UJW106" s="973"/>
      <c r="UJX106" s="973"/>
      <c r="UJY106" s="973"/>
      <c r="UJZ106" s="973"/>
      <c r="UKA106" s="973"/>
      <c r="UKB106" s="973"/>
      <c r="UKC106" s="973"/>
      <c r="UKD106" s="973"/>
      <c r="UKE106" s="973"/>
      <c r="UKF106" s="973"/>
      <c r="UKG106" s="973"/>
      <c r="UKH106" s="973"/>
      <c r="UKI106" s="973"/>
      <c r="UKJ106" s="973"/>
      <c r="UKK106" s="973"/>
      <c r="UKL106" s="973"/>
      <c r="UKM106" s="973"/>
      <c r="UKN106" s="973"/>
      <c r="UKO106" s="973"/>
      <c r="UKP106" s="973"/>
      <c r="UKQ106" s="973"/>
      <c r="UKR106" s="973"/>
      <c r="UKS106" s="973"/>
      <c r="UKT106" s="973"/>
      <c r="UKU106" s="973"/>
      <c r="UKV106" s="973"/>
      <c r="UKW106" s="973"/>
      <c r="UKX106" s="973"/>
      <c r="UKY106" s="973"/>
      <c r="UKZ106" s="973"/>
      <c r="ULA106" s="973"/>
      <c r="ULB106" s="973"/>
      <c r="ULC106" s="973"/>
      <c r="ULD106" s="973"/>
      <c r="ULE106" s="973"/>
      <c r="ULF106" s="973"/>
      <c r="ULG106" s="973"/>
      <c r="ULH106" s="973"/>
      <c r="ULI106" s="973"/>
      <c r="ULJ106" s="973"/>
      <c r="ULK106" s="973"/>
      <c r="ULL106" s="973"/>
      <c r="ULM106" s="973"/>
      <c r="ULN106" s="973"/>
      <c r="ULO106" s="973"/>
      <c r="ULP106" s="973"/>
      <c r="ULQ106" s="973"/>
      <c r="ULR106" s="973"/>
      <c r="ULS106" s="973"/>
      <c r="ULT106" s="973"/>
      <c r="ULU106" s="973"/>
      <c r="ULV106" s="973"/>
      <c r="ULW106" s="973"/>
      <c r="ULX106" s="973"/>
      <c r="ULY106" s="973"/>
      <c r="ULZ106" s="973"/>
      <c r="UMA106" s="973"/>
      <c r="UMB106" s="973"/>
      <c r="UMC106" s="973"/>
      <c r="UMD106" s="973"/>
      <c r="UME106" s="973"/>
      <c r="UMF106" s="973"/>
      <c r="UMG106" s="973"/>
      <c r="UMH106" s="973"/>
      <c r="UMI106" s="973"/>
      <c r="UMJ106" s="973"/>
      <c r="UMK106" s="973"/>
      <c r="UML106" s="973"/>
      <c r="UMM106" s="973"/>
      <c r="UMN106" s="973"/>
      <c r="UMO106" s="973"/>
      <c r="UMP106" s="973"/>
      <c r="UMQ106" s="973"/>
      <c r="UMR106" s="973"/>
      <c r="UMS106" s="973"/>
      <c r="UMT106" s="973"/>
      <c r="UMU106" s="973"/>
      <c r="UMV106" s="973"/>
      <c r="UMW106" s="973"/>
      <c r="UMX106" s="973"/>
      <c r="UMY106" s="973"/>
      <c r="UMZ106" s="973"/>
      <c r="UNA106" s="973"/>
      <c r="UNB106" s="973"/>
      <c r="UNC106" s="973"/>
      <c r="UND106" s="973"/>
      <c r="UNE106" s="973"/>
      <c r="UNF106" s="973"/>
      <c r="UNG106" s="973"/>
      <c r="UNH106" s="973"/>
      <c r="UNI106" s="973"/>
      <c r="UNJ106" s="973"/>
      <c r="UNK106" s="973"/>
      <c r="UNL106" s="973"/>
      <c r="UNM106" s="973"/>
      <c r="UNN106" s="973"/>
      <c r="UNO106" s="973"/>
      <c r="UNP106" s="973"/>
      <c r="UNQ106" s="973"/>
      <c r="UNR106" s="973"/>
      <c r="UNS106" s="973"/>
      <c r="UNT106" s="973"/>
      <c r="UNU106" s="973"/>
      <c r="UNV106" s="973"/>
      <c r="UNW106" s="973"/>
      <c r="UNX106" s="973"/>
      <c r="UNY106" s="973"/>
      <c r="UNZ106" s="973"/>
      <c r="UOA106" s="973"/>
      <c r="UOB106" s="973"/>
      <c r="UOC106" s="973"/>
      <c r="UOD106" s="973"/>
      <c r="UOE106" s="973"/>
      <c r="UOF106" s="973"/>
      <c r="UOG106" s="973"/>
      <c r="UOH106" s="973"/>
      <c r="UOI106" s="973"/>
      <c r="UOJ106" s="973"/>
      <c r="UOK106" s="973"/>
      <c r="UOL106" s="973"/>
      <c r="UOM106" s="973"/>
      <c r="UON106" s="973"/>
      <c r="UOO106" s="973"/>
      <c r="UOP106" s="973"/>
      <c r="UOQ106" s="973"/>
      <c r="UOR106" s="973"/>
      <c r="UOS106" s="973"/>
      <c r="UOT106" s="973"/>
      <c r="UOU106" s="973"/>
      <c r="UOV106" s="973"/>
      <c r="UOW106" s="973"/>
      <c r="UOX106" s="973"/>
      <c r="UOY106" s="973"/>
      <c r="UOZ106" s="973"/>
      <c r="UPA106" s="973"/>
      <c r="UPB106" s="973"/>
      <c r="UPC106" s="973"/>
      <c r="UPD106" s="973"/>
      <c r="UPE106" s="973"/>
      <c r="UPF106" s="973"/>
      <c r="UPG106" s="973"/>
      <c r="UPH106" s="973"/>
      <c r="UPI106" s="973"/>
      <c r="UPJ106" s="973"/>
      <c r="UPK106" s="973"/>
      <c r="UPL106" s="973"/>
      <c r="UPM106" s="973"/>
      <c r="UPN106" s="973"/>
      <c r="UPO106" s="973"/>
      <c r="UPP106" s="973"/>
      <c r="UPQ106" s="973"/>
      <c r="UPR106" s="973"/>
      <c r="UPS106" s="973"/>
      <c r="UPT106" s="973"/>
      <c r="UPU106" s="973"/>
      <c r="UPV106" s="973"/>
      <c r="UPW106" s="973"/>
      <c r="UPX106" s="973"/>
      <c r="UPY106" s="973"/>
      <c r="UPZ106" s="973"/>
      <c r="UQA106" s="973"/>
      <c r="UQB106" s="973"/>
      <c r="UQC106" s="973"/>
      <c r="UQD106" s="973"/>
      <c r="UQE106" s="973"/>
      <c r="UQF106" s="973"/>
      <c r="UQG106" s="973"/>
      <c r="UQH106" s="973"/>
      <c r="UQI106" s="973"/>
      <c r="UQJ106" s="973"/>
      <c r="UQK106" s="973"/>
      <c r="UQL106" s="973"/>
      <c r="UQM106" s="973"/>
      <c r="UQN106" s="973"/>
      <c r="UQO106" s="973"/>
      <c r="UQP106" s="973"/>
      <c r="UQQ106" s="973"/>
      <c r="UQR106" s="973"/>
      <c r="UQS106" s="973"/>
      <c r="UQT106" s="973"/>
      <c r="UQU106" s="973"/>
      <c r="UQV106" s="973"/>
      <c r="UQW106" s="973"/>
      <c r="UQX106" s="973"/>
      <c r="UQY106" s="973"/>
      <c r="UQZ106" s="973"/>
      <c r="URA106" s="973"/>
      <c r="URB106" s="973"/>
      <c r="URC106" s="973"/>
      <c r="URD106" s="973"/>
      <c r="URE106" s="973"/>
      <c r="URF106" s="973"/>
      <c r="URG106" s="973"/>
      <c r="URH106" s="973"/>
      <c r="URI106" s="973"/>
      <c r="URJ106" s="973"/>
      <c r="URK106" s="973"/>
      <c r="URL106" s="973"/>
      <c r="URM106" s="973"/>
      <c r="URN106" s="973"/>
      <c r="URO106" s="973"/>
      <c r="URP106" s="973"/>
      <c r="URQ106" s="973"/>
      <c r="URR106" s="973"/>
      <c r="URS106" s="973"/>
      <c r="URT106" s="973"/>
      <c r="URU106" s="973"/>
      <c r="URV106" s="973"/>
      <c r="URW106" s="973"/>
      <c r="URX106" s="973"/>
      <c r="URY106" s="973"/>
      <c r="URZ106" s="973"/>
      <c r="USA106" s="973"/>
      <c r="USB106" s="973"/>
      <c r="USC106" s="973"/>
      <c r="USD106" s="973"/>
      <c r="USE106" s="973"/>
      <c r="USF106" s="973"/>
      <c r="USG106" s="973"/>
      <c r="USH106" s="973"/>
      <c r="USI106" s="973"/>
      <c r="USJ106" s="973"/>
      <c r="USK106" s="973"/>
      <c r="USL106" s="973"/>
      <c r="USM106" s="973"/>
      <c r="USN106" s="973"/>
      <c r="USO106" s="973"/>
      <c r="USP106" s="973"/>
      <c r="USQ106" s="973"/>
      <c r="USR106" s="973"/>
      <c r="USS106" s="973"/>
      <c r="UST106" s="973"/>
      <c r="USU106" s="973"/>
      <c r="USV106" s="973"/>
      <c r="USW106" s="973"/>
      <c r="USX106" s="973"/>
      <c r="USY106" s="973"/>
      <c r="USZ106" s="973"/>
      <c r="UTA106" s="973"/>
      <c r="UTB106" s="973"/>
      <c r="UTC106" s="973"/>
      <c r="UTD106" s="973"/>
      <c r="UTE106" s="973"/>
      <c r="UTF106" s="973"/>
      <c r="UTG106" s="973"/>
      <c r="UTH106" s="973"/>
      <c r="UTI106" s="973"/>
      <c r="UTJ106" s="973"/>
      <c r="UTK106" s="973"/>
      <c r="UTL106" s="973"/>
      <c r="UTM106" s="973"/>
      <c r="UTN106" s="973"/>
      <c r="UTO106" s="973"/>
      <c r="UTP106" s="973"/>
      <c r="UTQ106" s="973"/>
      <c r="UTR106" s="973"/>
      <c r="UTS106" s="973"/>
      <c r="UTT106" s="973"/>
      <c r="UTU106" s="973"/>
      <c r="UTV106" s="973"/>
      <c r="UTW106" s="973"/>
      <c r="UTX106" s="973"/>
      <c r="UTY106" s="973"/>
      <c r="UTZ106" s="973"/>
      <c r="UUA106" s="973"/>
      <c r="UUB106" s="973"/>
      <c r="UUC106" s="973"/>
      <c r="UUD106" s="973"/>
      <c r="UUE106" s="973"/>
      <c r="UUF106" s="973"/>
      <c r="UUG106" s="973"/>
      <c r="UUH106" s="973"/>
      <c r="UUI106" s="973"/>
      <c r="UUJ106" s="973"/>
      <c r="UUK106" s="973"/>
      <c r="UUL106" s="973"/>
      <c r="UUM106" s="973"/>
      <c r="UUN106" s="973"/>
      <c r="UUO106" s="973"/>
      <c r="UUP106" s="973"/>
      <c r="UUQ106" s="973"/>
      <c r="UUR106" s="973"/>
      <c r="UUS106" s="973"/>
      <c r="UUT106" s="973"/>
      <c r="UUU106" s="973"/>
      <c r="UUV106" s="973"/>
      <c r="UUW106" s="973"/>
      <c r="UUX106" s="973"/>
      <c r="UUY106" s="973"/>
      <c r="UUZ106" s="973"/>
      <c r="UVA106" s="973"/>
      <c r="UVB106" s="973"/>
      <c r="UVC106" s="973"/>
      <c r="UVD106" s="973"/>
      <c r="UVE106" s="973"/>
      <c r="UVF106" s="973"/>
      <c r="UVG106" s="973"/>
      <c r="UVH106" s="973"/>
      <c r="UVI106" s="973"/>
      <c r="UVJ106" s="973"/>
      <c r="UVK106" s="973"/>
      <c r="UVL106" s="973"/>
      <c r="UVM106" s="973"/>
      <c r="UVN106" s="973"/>
      <c r="UVO106" s="973"/>
      <c r="UVP106" s="973"/>
      <c r="UVQ106" s="973"/>
      <c r="UVR106" s="973"/>
      <c r="UVS106" s="973"/>
      <c r="UVT106" s="973"/>
      <c r="UVU106" s="973"/>
      <c r="UVV106" s="973"/>
      <c r="UVW106" s="973"/>
      <c r="UVX106" s="973"/>
      <c r="UVY106" s="973"/>
      <c r="UVZ106" s="973"/>
      <c r="UWA106" s="973"/>
      <c r="UWB106" s="973"/>
      <c r="UWC106" s="973"/>
      <c r="UWD106" s="973"/>
      <c r="UWE106" s="973"/>
      <c r="UWF106" s="973"/>
      <c r="UWG106" s="973"/>
      <c r="UWH106" s="973"/>
      <c r="UWI106" s="973"/>
      <c r="UWJ106" s="973"/>
      <c r="UWK106" s="973"/>
      <c r="UWL106" s="973"/>
      <c r="UWM106" s="973"/>
      <c r="UWN106" s="973"/>
      <c r="UWO106" s="973"/>
      <c r="UWP106" s="973"/>
      <c r="UWQ106" s="973"/>
      <c r="UWR106" s="973"/>
      <c r="UWS106" s="973"/>
      <c r="UWT106" s="973"/>
      <c r="UWU106" s="973"/>
      <c r="UWV106" s="973"/>
      <c r="UWW106" s="973"/>
      <c r="UWX106" s="973"/>
      <c r="UWY106" s="973"/>
      <c r="UWZ106" s="973"/>
      <c r="UXA106" s="973"/>
      <c r="UXB106" s="973"/>
      <c r="UXC106" s="973"/>
      <c r="UXD106" s="973"/>
      <c r="UXE106" s="973"/>
      <c r="UXF106" s="973"/>
      <c r="UXG106" s="973"/>
      <c r="UXH106" s="973"/>
      <c r="UXI106" s="973"/>
      <c r="UXJ106" s="973"/>
      <c r="UXK106" s="973"/>
      <c r="UXL106" s="973"/>
      <c r="UXM106" s="973"/>
      <c r="UXN106" s="973"/>
      <c r="UXO106" s="973"/>
      <c r="UXP106" s="973"/>
      <c r="UXQ106" s="973"/>
      <c r="UXR106" s="973"/>
      <c r="UXS106" s="973"/>
      <c r="UXT106" s="973"/>
      <c r="UXU106" s="973"/>
      <c r="UXV106" s="973"/>
      <c r="UXW106" s="973"/>
      <c r="UXX106" s="973"/>
      <c r="UXY106" s="973"/>
      <c r="UXZ106" s="973"/>
      <c r="UYA106" s="973"/>
      <c r="UYB106" s="973"/>
      <c r="UYC106" s="973"/>
      <c r="UYD106" s="973"/>
      <c r="UYE106" s="973"/>
      <c r="UYF106" s="973"/>
      <c r="UYG106" s="973"/>
      <c r="UYH106" s="973"/>
      <c r="UYI106" s="973"/>
      <c r="UYJ106" s="973"/>
      <c r="UYK106" s="973"/>
      <c r="UYL106" s="973"/>
      <c r="UYM106" s="973"/>
      <c r="UYN106" s="973"/>
      <c r="UYO106" s="973"/>
      <c r="UYP106" s="973"/>
      <c r="UYQ106" s="973"/>
      <c r="UYR106" s="973"/>
      <c r="UYS106" s="973"/>
      <c r="UYT106" s="973"/>
      <c r="UYU106" s="973"/>
      <c r="UYV106" s="973"/>
      <c r="UYW106" s="973"/>
      <c r="UYX106" s="973"/>
      <c r="UYY106" s="973"/>
      <c r="UYZ106" s="973"/>
      <c r="UZA106" s="973"/>
      <c r="UZB106" s="973"/>
      <c r="UZC106" s="973"/>
      <c r="UZD106" s="973"/>
      <c r="UZE106" s="973"/>
      <c r="UZF106" s="973"/>
      <c r="UZG106" s="973"/>
      <c r="UZH106" s="973"/>
      <c r="UZI106" s="973"/>
      <c r="UZJ106" s="973"/>
      <c r="UZK106" s="973"/>
      <c r="UZL106" s="973"/>
      <c r="UZM106" s="973"/>
      <c r="UZN106" s="973"/>
      <c r="UZO106" s="973"/>
      <c r="UZP106" s="973"/>
      <c r="UZQ106" s="973"/>
      <c r="UZR106" s="973"/>
      <c r="UZS106" s="973"/>
      <c r="UZT106" s="973"/>
      <c r="UZU106" s="973"/>
      <c r="UZV106" s="973"/>
      <c r="UZW106" s="973"/>
      <c r="UZX106" s="973"/>
      <c r="UZY106" s="973"/>
      <c r="UZZ106" s="973"/>
      <c r="VAA106" s="973"/>
      <c r="VAB106" s="973"/>
      <c r="VAC106" s="973"/>
      <c r="VAD106" s="973"/>
      <c r="VAE106" s="973"/>
      <c r="VAF106" s="973"/>
      <c r="VAG106" s="973"/>
      <c r="VAH106" s="973"/>
      <c r="VAI106" s="973"/>
      <c r="VAJ106" s="973"/>
      <c r="VAK106" s="973"/>
      <c r="VAL106" s="973"/>
      <c r="VAM106" s="973"/>
      <c r="VAN106" s="973"/>
      <c r="VAO106" s="973"/>
      <c r="VAP106" s="973"/>
      <c r="VAQ106" s="973"/>
      <c r="VAR106" s="973"/>
      <c r="VAS106" s="973"/>
      <c r="VAT106" s="973"/>
      <c r="VAU106" s="973"/>
      <c r="VAV106" s="973"/>
      <c r="VAW106" s="973"/>
      <c r="VAX106" s="973"/>
      <c r="VAY106" s="973"/>
      <c r="VAZ106" s="973"/>
      <c r="VBA106" s="973"/>
      <c r="VBB106" s="973"/>
      <c r="VBC106" s="973"/>
      <c r="VBD106" s="973"/>
      <c r="VBE106" s="973"/>
      <c r="VBF106" s="973"/>
      <c r="VBG106" s="973"/>
      <c r="VBH106" s="973"/>
      <c r="VBI106" s="973"/>
      <c r="VBJ106" s="973"/>
      <c r="VBK106" s="973"/>
      <c r="VBL106" s="973"/>
      <c r="VBM106" s="973"/>
      <c r="VBN106" s="973"/>
      <c r="VBO106" s="973"/>
      <c r="VBP106" s="973"/>
      <c r="VBQ106" s="973"/>
      <c r="VBR106" s="973"/>
      <c r="VBS106" s="973"/>
      <c r="VBT106" s="973"/>
      <c r="VBU106" s="973"/>
      <c r="VBV106" s="973"/>
      <c r="VBW106" s="973"/>
      <c r="VBX106" s="973"/>
      <c r="VBY106" s="973"/>
      <c r="VBZ106" s="973"/>
      <c r="VCA106" s="973"/>
      <c r="VCB106" s="973"/>
      <c r="VCC106" s="973"/>
      <c r="VCD106" s="973"/>
      <c r="VCE106" s="973"/>
      <c r="VCF106" s="973"/>
      <c r="VCG106" s="973"/>
      <c r="VCH106" s="973"/>
      <c r="VCI106" s="973"/>
      <c r="VCJ106" s="973"/>
      <c r="VCK106" s="973"/>
      <c r="VCL106" s="973"/>
      <c r="VCM106" s="973"/>
      <c r="VCN106" s="973"/>
      <c r="VCO106" s="973"/>
      <c r="VCP106" s="973"/>
      <c r="VCQ106" s="973"/>
      <c r="VCR106" s="973"/>
      <c r="VCS106" s="973"/>
      <c r="VCT106" s="973"/>
      <c r="VCU106" s="973"/>
      <c r="VCV106" s="973"/>
      <c r="VCW106" s="973"/>
      <c r="VCX106" s="973"/>
      <c r="VCY106" s="973"/>
      <c r="VCZ106" s="973"/>
      <c r="VDA106" s="973"/>
      <c r="VDB106" s="973"/>
      <c r="VDC106" s="973"/>
      <c r="VDD106" s="973"/>
      <c r="VDE106" s="973"/>
      <c r="VDF106" s="973"/>
      <c r="VDG106" s="973"/>
      <c r="VDH106" s="973"/>
      <c r="VDI106" s="973"/>
      <c r="VDJ106" s="973"/>
      <c r="VDK106" s="973"/>
      <c r="VDL106" s="973"/>
      <c r="VDM106" s="973"/>
      <c r="VDN106" s="973"/>
      <c r="VDO106" s="973"/>
      <c r="VDP106" s="973"/>
      <c r="VDQ106" s="973"/>
      <c r="VDR106" s="973"/>
      <c r="VDS106" s="973"/>
      <c r="VDT106" s="973"/>
      <c r="VDU106" s="973"/>
      <c r="VDV106" s="973"/>
      <c r="VDW106" s="973"/>
      <c r="VDX106" s="973"/>
      <c r="VDY106" s="973"/>
      <c r="VDZ106" s="973"/>
      <c r="VEA106" s="973"/>
      <c r="VEB106" s="973"/>
      <c r="VEC106" s="973"/>
      <c r="VED106" s="973"/>
      <c r="VEE106" s="973"/>
      <c r="VEF106" s="973"/>
      <c r="VEG106" s="973"/>
      <c r="VEH106" s="973"/>
      <c r="VEI106" s="973"/>
      <c r="VEJ106" s="973"/>
      <c r="VEK106" s="973"/>
      <c r="VEL106" s="973"/>
      <c r="VEM106" s="973"/>
      <c r="VEN106" s="973"/>
      <c r="VEO106" s="973"/>
      <c r="VEP106" s="973"/>
      <c r="VEQ106" s="973"/>
      <c r="VER106" s="973"/>
      <c r="VES106" s="973"/>
      <c r="VET106" s="973"/>
      <c r="VEU106" s="973"/>
      <c r="VEV106" s="973"/>
      <c r="VEW106" s="973"/>
      <c r="VEX106" s="973"/>
      <c r="VEY106" s="973"/>
      <c r="VEZ106" s="973"/>
      <c r="VFA106" s="973"/>
      <c r="VFB106" s="973"/>
      <c r="VFC106" s="973"/>
      <c r="VFD106" s="973"/>
      <c r="VFE106" s="973"/>
      <c r="VFF106" s="973"/>
      <c r="VFG106" s="973"/>
      <c r="VFH106" s="973"/>
      <c r="VFI106" s="973"/>
      <c r="VFJ106" s="973"/>
      <c r="VFK106" s="973"/>
      <c r="VFL106" s="973"/>
      <c r="VFM106" s="973"/>
      <c r="VFN106" s="973"/>
      <c r="VFO106" s="973"/>
      <c r="VFP106" s="973"/>
      <c r="VFQ106" s="973"/>
      <c r="VFR106" s="973"/>
      <c r="VFS106" s="973"/>
      <c r="VFT106" s="973"/>
      <c r="VFU106" s="973"/>
      <c r="VFV106" s="973"/>
      <c r="VFW106" s="973"/>
      <c r="VFX106" s="973"/>
      <c r="VFY106" s="973"/>
      <c r="VFZ106" s="973"/>
      <c r="VGA106" s="973"/>
      <c r="VGB106" s="973"/>
      <c r="VGC106" s="973"/>
      <c r="VGD106" s="973"/>
      <c r="VGE106" s="973"/>
      <c r="VGF106" s="973"/>
      <c r="VGG106" s="973"/>
      <c r="VGH106" s="973"/>
      <c r="VGI106" s="973"/>
      <c r="VGJ106" s="973"/>
      <c r="VGK106" s="973"/>
      <c r="VGL106" s="973"/>
      <c r="VGM106" s="973"/>
      <c r="VGN106" s="973"/>
      <c r="VGO106" s="973"/>
      <c r="VGP106" s="973"/>
      <c r="VGQ106" s="973"/>
      <c r="VGR106" s="973"/>
      <c r="VGS106" s="973"/>
      <c r="VGT106" s="973"/>
      <c r="VGU106" s="973"/>
      <c r="VGV106" s="973"/>
      <c r="VGW106" s="973"/>
      <c r="VGX106" s="973"/>
      <c r="VGY106" s="973"/>
      <c r="VGZ106" s="973"/>
      <c r="VHA106" s="973"/>
      <c r="VHB106" s="973"/>
      <c r="VHC106" s="973"/>
      <c r="VHD106" s="973"/>
      <c r="VHE106" s="973"/>
      <c r="VHF106" s="973"/>
      <c r="VHG106" s="973"/>
      <c r="VHH106" s="973"/>
      <c r="VHI106" s="973"/>
      <c r="VHJ106" s="973"/>
      <c r="VHK106" s="973"/>
      <c r="VHL106" s="973"/>
      <c r="VHM106" s="973"/>
      <c r="VHN106" s="973"/>
      <c r="VHO106" s="973"/>
      <c r="VHP106" s="973"/>
      <c r="VHQ106" s="973"/>
      <c r="VHR106" s="973"/>
      <c r="VHS106" s="973"/>
      <c r="VHT106" s="973"/>
      <c r="VHU106" s="973"/>
      <c r="VHV106" s="973"/>
      <c r="VHW106" s="973"/>
      <c r="VHX106" s="973"/>
      <c r="VHY106" s="973"/>
      <c r="VHZ106" s="973"/>
      <c r="VIA106" s="973"/>
      <c r="VIB106" s="973"/>
      <c r="VIC106" s="973"/>
      <c r="VID106" s="973"/>
      <c r="VIE106" s="973"/>
      <c r="VIF106" s="973"/>
      <c r="VIG106" s="973"/>
      <c r="VIH106" s="973"/>
      <c r="VII106" s="973"/>
      <c r="VIJ106" s="973"/>
      <c r="VIK106" s="973"/>
      <c r="VIL106" s="973"/>
      <c r="VIM106" s="973"/>
      <c r="VIN106" s="973"/>
      <c r="VIO106" s="973"/>
      <c r="VIP106" s="973"/>
      <c r="VIQ106" s="973"/>
      <c r="VIR106" s="973"/>
      <c r="VIS106" s="973"/>
      <c r="VIT106" s="973"/>
      <c r="VIU106" s="973"/>
      <c r="VIV106" s="973"/>
      <c r="VIW106" s="973"/>
      <c r="VIX106" s="973"/>
      <c r="VIY106" s="973"/>
      <c r="VIZ106" s="973"/>
      <c r="VJA106" s="973"/>
      <c r="VJB106" s="973"/>
      <c r="VJC106" s="973"/>
      <c r="VJD106" s="973"/>
      <c r="VJE106" s="973"/>
      <c r="VJF106" s="973"/>
      <c r="VJG106" s="973"/>
      <c r="VJH106" s="973"/>
      <c r="VJI106" s="973"/>
      <c r="VJJ106" s="973"/>
      <c r="VJK106" s="973"/>
      <c r="VJL106" s="973"/>
      <c r="VJM106" s="973"/>
      <c r="VJN106" s="973"/>
      <c r="VJO106" s="973"/>
      <c r="VJP106" s="973"/>
      <c r="VJQ106" s="973"/>
      <c r="VJR106" s="973"/>
      <c r="VJS106" s="973"/>
      <c r="VJT106" s="973"/>
      <c r="VJU106" s="973"/>
      <c r="VJV106" s="973"/>
      <c r="VJW106" s="973"/>
      <c r="VJX106" s="973"/>
      <c r="VJY106" s="973"/>
      <c r="VJZ106" s="973"/>
      <c r="VKA106" s="973"/>
      <c r="VKB106" s="973"/>
      <c r="VKC106" s="973"/>
      <c r="VKD106" s="973"/>
      <c r="VKE106" s="973"/>
      <c r="VKF106" s="973"/>
      <c r="VKG106" s="973"/>
      <c r="VKH106" s="973"/>
      <c r="VKI106" s="973"/>
      <c r="VKJ106" s="973"/>
      <c r="VKK106" s="973"/>
      <c r="VKL106" s="973"/>
      <c r="VKM106" s="973"/>
      <c r="VKN106" s="973"/>
      <c r="VKO106" s="973"/>
      <c r="VKP106" s="973"/>
      <c r="VKQ106" s="973"/>
      <c r="VKR106" s="973"/>
      <c r="VKS106" s="973"/>
      <c r="VKT106" s="973"/>
      <c r="VKU106" s="973"/>
      <c r="VKV106" s="973"/>
      <c r="VKW106" s="973"/>
      <c r="VKX106" s="973"/>
      <c r="VKY106" s="973"/>
      <c r="VKZ106" s="973"/>
      <c r="VLA106" s="973"/>
      <c r="VLB106" s="973"/>
      <c r="VLC106" s="973"/>
      <c r="VLD106" s="973"/>
      <c r="VLE106" s="973"/>
      <c r="VLF106" s="973"/>
      <c r="VLG106" s="973"/>
      <c r="VLH106" s="973"/>
      <c r="VLI106" s="973"/>
      <c r="VLJ106" s="973"/>
      <c r="VLK106" s="973"/>
      <c r="VLL106" s="973"/>
      <c r="VLM106" s="973"/>
      <c r="VLN106" s="973"/>
      <c r="VLO106" s="973"/>
      <c r="VLP106" s="973"/>
      <c r="VLQ106" s="973"/>
      <c r="VLR106" s="973"/>
      <c r="VLS106" s="973"/>
      <c r="VLT106" s="973"/>
      <c r="VLU106" s="973"/>
      <c r="VLV106" s="973"/>
      <c r="VLW106" s="973"/>
      <c r="VLX106" s="973"/>
      <c r="VLY106" s="973"/>
      <c r="VLZ106" s="973"/>
      <c r="VMA106" s="973"/>
      <c r="VMB106" s="973"/>
      <c r="VMC106" s="973"/>
      <c r="VMD106" s="973"/>
      <c r="VME106" s="973"/>
      <c r="VMF106" s="973"/>
      <c r="VMG106" s="973"/>
      <c r="VMH106" s="973"/>
      <c r="VMI106" s="973"/>
      <c r="VMJ106" s="973"/>
      <c r="VMK106" s="973"/>
      <c r="VML106" s="973"/>
      <c r="VMM106" s="973"/>
      <c r="VMN106" s="973"/>
      <c r="VMO106" s="973"/>
      <c r="VMP106" s="973"/>
      <c r="VMQ106" s="973"/>
      <c r="VMR106" s="973"/>
      <c r="VMS106" s="973"/>
      <c r="VMT106" s="973"/>
      <c r="VMU106" s="973"/>
      <c r="VMV106" s="973"/>
      <c r="VMW106" s="973"/>
      <c r="VMX106" s="973"/>
      <c r="VMY106" s="973"/>
      <c r="VMZ106" s="973"/>
      <c r="VNA106" s="973"/>
      <c r="VNB106" s="973"/>
      <c r="VNC106" s="973"/>
      <c r="VND106" s="973"/>
      <c r="VNE106" s="973"/>
      <c r="VNF106" s="973"/>
      <c r="VNG106" s="973"/>
      <c r="VNH106" s="973"/>
      <c r="VNI106" s="973"/>
      <c r="VNJ106" s="973"/>
      <c r="VNK106" s="973"/>
      <c r="VNL106" s="973"/>
      <c r="VNM106" s="973"/>
      <c r="VNN106" s="973"/>
      <c r="VNO106" s="973"/>
      <c r="VNP106" s="973"/>
      <c r="VNQ106" s="973"/>
      <c r="VNR106" s="973"/>
      <c r="VNS106" s="973"/>
      <c r="VNT106" s="973"/>
      <c r="VNU106" s="973"/>
      <c r="VNV106" s="973"/>
      <c r="VNW106" s="973"/>
      <c r="VNX106" s="973"/>
      <c r="VNY106" s="973"/>
      <c r="VNZ106" s="973"/>
      <c r="VOA106" s="973"/>
      <c r="VOB106" s="973"/>
      <c r="VOC106" s="973"/>
      <c r="VOD106" s="973"/>
      <c r="VOE106" s="973"/>
      <c r="VOF106" s="973"/>
      <c r="VOG106" s="973"/>
      <c r="VOH106" s="973"/>
      <c r="VOI106" s="973"/>
      <c r="VOJ106" s="973"/>
      <c r="VOK106" s="973"/>
      <c r="VOL106" s="973"/>
      <c r="VOM106" s="973"/>
      <c r="VON106" s="973"/>
      <c r="VOO106" s="973"/>
      <c r="VOP106" s="973"/>
      <c r="VOQ106" s="973"/>
      <c r="VOR106" s="973"/>
      <c r="VOS106" s="973"/>
      <c r="VOT106" s="973"/>
      <c r="VOU106" s="973"/>
      <c r="VOV106" s="973"/>
      <c r="VOW106" s="973"/>
      <c r="VOX106" s="973"/>
      <c r="VOY106" s="973"/>
      <c r="VOZ106" s="973"/>
      <c r="VPA106" s="973"/>
      <c r="VPB106" s="973"/>
      <c r="VPC106" s="973"/>
      <c r="VPD106" s="973"/>
      <c r="VPE106" s="973"/>
      <c r="VPF106" s="973"/>
      <c r="VPG106" s="973"/>
      <c r="VPH106" s="973"/>
      <c r="VPI106" s="973"/>
      <c r="VPJ106" s="973"/>
      <c r="VPK106" s="973"/>
      <c r="VPL106" s="973"/>
      <c r="VPM106" s="973"/>
      <c r="VPN106" s="973"/>
      <c r="VPO106" s="973"/>
      <c r="VPP106" s="973"/>
      <c r="VPQ106" s="973"/>
      <c r="VPR106" s="973"/>
      <c r="VPS106" s="973"/>
      <c r="VPT106" s="973"/>
      <c r="VPU106" s="973"/>
      <c r="VPV106" s="973"/>
      <c r="VPW106" s="973"/>
      <c r="VPX106" s="973"/>
      <c r="VPY106" s="973"/>
      <c r="VPZ106" s="973"/>
      <c r="VQA106" s="973"/>
      <c r="VQB106" s="973"/>
      <c r="VQC106" s="973"/>
      <c r="VQD106" s="973"/>
      <c r="VQE106" s="973"/>
      <c r="VQF106" s="973"/>
      <c r="VQG106" s="973"/>
      <c r="VQH106" s="973"/>
      <c r="VQI106" s="973"/>
      <c r="VQJ106" s="973"/>
      <c r="VQK106" s="973"/>
      <c r="VQL106" s="973"/>
      <c r="VQM106" s="973"/>
      <c r="VQN106" s="973"/>
      <c r="VQO106" s="973"/>
      <c r="VQP106" s="973"/>
      <c r="VQQ106" s="973"/>
      <c r="VQR106" s="973"/>
      <c r="VQS106" s="973"/>
      <c r="VQT106" s="973"/>
      <c r="VQU106" s="973"/>
      <c r="VQV106" s="973"/>
      <c r="VQW106" s="973"/>
      <c r="VQX106" s="973"/>
      <c r="VQY106" s="973"/>
      <c r="VQZ106" s="973"/>
      <c r="VRA106" s="973"/>
      <c r="VRB106" s="973"/>
      <c r="VRC106" s="973"/>
      <c r="VRD106" s="973"/>
      <c r="VRE106" s="973"/>
      <c r="VRF106" s="973"/>
      <c r="VRG106" s="973"/>
      <c r="VRH106" s="973"/>
      <c r="VRI106" s="973"/>
      <c r="VRJ106" s="973"/>
      <c r="VRK106" s="973"/>
      <c r="VRL106" s="973"/>
      <c r="VRM106" s="973"/>
      <c r="VRN106" s="973"/>
      <c r="VRO106" s="973"/>
      <c r="VRP106" s="973"/>
      <c r="VRQ106" s="973"/>
      <c r="VRR106" s="973"/>
      <c r="VRS106" s="973"/>
      <c r="VRT106" s="973"/>
      <c r="VRU106" s="973"/>
      <c r="VRV106" s="973"/>
      <c r="VRW106" s="973"/>
      <c r="VRX106" s="973"/>
      <c r="VRY106" s="973"/>
      <c r="VRZ106" s="973"/>
      <c r="VSA106" s="973"/>
      <c r="VSB106" s="973"/>
      <c r="VSC106" s="973"/>
      <c r="VSD106" s="973"/>
      <c r="VSE106" s="973"/>
      <c r="VSF106" s="973"/>
      <c r="VSG106" s="973"/>
      <c r="VSH106" s="973"/>
      <c r="VSI106" s="973"/>
      <c r="VSJ106" s="973"/>
      <c r="VSK106" s="973"/>
      <c r="VSL106" s="973"/>
      <c r="VSM106" s="973"/>
      <c r="VSN106" s="973"/>
      <c r="VSO106" s="973"/>
      <c r="VSP106" s="973"/>
      <c r="VSQ106" s="973"/>
      <c r="VSR106" s="973"/>
      <c r="VSS106" s="973"/>
      <c r="VST106" s="973"/>
      <c r="VSU106" s="973"/>
      <c r="VSV106" s="973"/>
      <c r="VSW106" s="973"/>
      <c r="VSX106" s="973"/>
      <c r="VSY106" s="973"/>
      <c r="VSZ106" s="973"/>
      <c r="VTA106" s="973"/>
      <c r="VTB106" s="973"/>
      <c r="VTC106" s="973"/>
      <c r="VTD106" s="973"/>
      <c r="VTE106" s="973"/>
      <c r="VTF106" s="973"/>
      <c r="VTG106" s="973"/>
      <c r="VTH106" s="973"/>
      <c r="VTI106" s="973"/>
      <c r="VTJ106" s="973"/>
      <c r="VTK106" s="973"/>
      <c r="VTL106" s="973"/>
      <c r="VTM106" s="973"/>
      <c r="VTN106" s="973"/>
      <c r="VTO106" s="973"/>
      <c r="VTP106" s="973"/>
      <c r="VTQ106" s="973"/>
      <c r="VTR106" s="973"/>
      <c r="VTS106" s="973"/>
      <c r="VTT106" s="973"/>
      <c r="VTU106" s="973"/>
      <c r="VTV106" s="973"/>
      <c r="VTW106" s="973"/>
      <c r="VTX106" s="973"/>
      <c r="VTY106" s="973"/>
      <c r="VTZ106" s="973"/>
      <c r="VUA106" s="973"/>
      <c r="VUB106" s="973"/>
      <c r="VUC106" s="973"/>
      <c r="VUD106" s="973"/>
      <c r="VUE106" s="973"/>
      <c r="VUF106" s="973"/>
      <c r="VUG106" s="973"/>
      <c r="VUH106" s="973"/>
      <c r="VUI106" s="973"/>
      <c r="VUJ106" s="973"/>
      <c r="VUK106" s="973"/>
      <c r="VUL106" s="973"/>
      <c r="VUM106" s="973"/>
      <c r="VUN106" s="973"/>
      <c r="VUO106" s="973"/>
      <c r="VUP106" s="973"/>
      <c r="VUQ106" s="973"/>
      <c r="VUR106" s="973"/>
      <c r="VUS106" s="973"/>
      <c r="VUT106" s="973"/>
      <c r="VUU106" s="973"/>
      <c r="VUV106" s="973"/>
      <c r="VUW106" s="973"/>
      <c r="VUX106" s="973"/>
      <c r="VUY106" s="973"/>
      <c r="VUZ106" s="973"/>
      <c r="VVA106" s="973"/>
      <c r="VVB106" s="973"/>
      <c r="VVC106" s="973"/>
      <c r="VVD106" s="973"/>
      <c r="VVE106" s="973"/>
      <c r="VVF106" s="973"/>
      <c r="VVG106" s="973"/>
      <c r="VVH106" s="973"/>
      <c r="VVI106" s="973"/>
      <c r="VVJ106" s="973"/>
      <c r="VVK106" s="973"/>
      <c r="VVL106" s="973"/>
      <c r="VVM106" s="973"/>
      <c r="VVN106" s="973"/>
      <c r="VVO106" s="973"/>
      <c r="VVP106" s="973"/>
      <c r="VVQ106" s="973"/>
      <c r="VVR106" s="973"/>
      <c r="VVS106" s="973"/>
      <c r="VVT106" s="973"/>
      <c r="VVU106" s="973"/>
      <c r="VVV106" s="973"/>
      <c r="VVW106" s="973"/>
      <c r="VVX106" s="973"/>
      <c r="VVY106" s="973"/>
      <c r="VVZ106" s="973"/>
      <c r="VWA106" s="973"/>
      <c r="VWB106" s="973"/>
      <c r="VWC106" s="973"/>
      <c r="VWD106" s="973"/>
      <c r="VWE106" s="973"/>
      <c r="VWF106" s="973"/>
      <c r="VWG106" s="973"/>
      <c r="VWH106" s="973"/>
      <c r="VWI106" s="973"/>
      <c r="VWJ106" s="973"/>
      <c r="VWK106" s="973"/>
      <c r="VWL106" s="973"/>
      <c r="VWM106" s="973"/>
      <c r="VWN106" s="973"/>
      <c r="VWO106" s="973"/>
      <c r="VWP106" s="973"/>
      <c r="VWQ106" s="973"/>
      <c r="VWR106" s="973"/>
      <c r="VWS106" s="973"/>
      <c r="VWT106" s="973"/>
      <c r="VWU106" s="973"/>
      <c r="VWV106" s="973"/>
      <c r="VWW106" s="973"/>
      <c r="VWX106" s="973"/>
      <c r="VWY106" s="973"/>
      <c r="VWZ106" s="973"/>
      <c r="VXA106" s="973"/>
      <c r="VXB106" s="973"/>
      <c r="VXC106" s="973"/>
      <c r="VXD106" s="973"/>
      <c r="VXE106" s="973"/>
      <c r="VXF106" s="973"/>
      <c r="VXG106" s="973"/>
      <c r="VXH106" s="973"/>
      <c r="VXI106" s="973"/>
      <c r="VXJ106" s="973"/>
      <c r="VXK106" s="973"/>
      <c r="VXL106" s="973"/>
      <c r="VXM106" s="973"/>
      <c r="VXN106" s="973"/>
      <c r="VXO106" s="973"/>
      <c r="VXP106" s="973"/>
      <c r="VXQ106" s="973"/>
      <c r="VXR106" s="973"/>
      <c r="VXS106" s="973"/>
      <c r="VXT106" s="973"/>
      <c r="VXU106" s="973"/>
      <c r="VXV106" s="973"/>
      <c r="VXW106" s="973"/>
      <c r="VXX106" s="973"/>
      <c r="VXY106" s="973"/>
      <c r="VXZ106" s="973"/>
      <c r="VYA106" s="973"/>
      <c r="VYB106" s="973"/>
      <c r="VYC106" s="973"/>
      <c r="VYD106" s="973"/>
      <c r="VYE106" s="973"/>
      <c r="VYF106" s="973"/>
      <c r="VYG106" s="973"/>
      <c r="VYH106" s="973"/>
      <c r="VYI106" s="973"/>
      <c r="VYJ106" s="973"/>
      <c r="VYK106" s="973"/>
      <c r="VYL106" s="973"/>
      <c r="VYM106" s="973"/>
      <c r="VYN106" s="973"/>
      <c r="VYO106" s="973"/>
      <c r="VYP106" s="973"/>
      <c r="VYQ106" s="973"/>
      <c r="VYR106" s="973"/>
      <c r="VYS106" s="973"/>
      <c r="VYT106" s="973"/>
      <c r="VYU106" s="973"/>
      <c r="VYV106" s="973"/>
      <c r="VYW106" s="973"/>
      <c r="VYX106" s="973"/>
      <c r="VYY106" s="973"/>
      <c r="VYZ106" s="973"/>
      <c r="VZA106" s="973"/>
      <c r="VZB106" s="973"/>
      <c r="VZC106" s="973"/>
      <c r="VZD106" s="973"/>
      <c r="VZE106" s="973"/>
      <c r="VZF106" s="973"/>
      <c r="VZG106" s="973"/>
      <c r="VZH106" s="973"/>
      <c r="VZI106" s="973"/>
      <c r="VZJ106" s="973"/>
      <c r="VZK106" s="973"/>
      <c r="VZL106" s="973"/>
      <c r="VZM106" s="973"/>
      <c r="VZN106" s="973"/>
      <c r="VZO106" s="973"/>
      <c r="VZP106" s="973"/>
      <c r="VZQ106" s="973"/>
      <c r="VZR106" s="973"/>
      <c r="VZS106" s="973"/>
      <c r="VZT106" s="973"/>
      <c r="VZU106" s="973"/>
      <c r="VZV106" s="973"/>
      <c r="VZW106" s="973"/>
      <c r="VZX106" s="973"/>
      <c r="VZY106" s="973"/>
      <c r="VZZ106" s="973"/>
      <c r="WAA106" s="973"/>
      <c r="WAB106" s="973"/>
      <c r="WAC106" s="973"/>
      <c r="WAD106" s="973"/>
      <c r="WAE106" s="973"/>
      <c r="WAF106" s="973"/>
      <c r="WAG106" s="973"/>
      <c r="WAH106" s="973"/>
      <c r="WAI106" s="973"/>
      <c r="WAJ106" s="973"/>
      <c r="WAK106" s="973"/>
      <c r="WAL106" s="973"/>
      <c r="WAM106" s="973"/>
      <c r="WAN106" s="973"/>
      <c r="WAO106" s="973"/>
      <c r="WAP106" s="973"/>
      <c r="WAQ106" s="973"/>
      <c r="WAR106" s="973"/>
      <c r="WAS106" s="973"/>
      <c r="WAT106" s="973"/>
      <c r="WAU106" s="973"/>
      <c r="WAV106" s="973"/>
      <c r="WAW106" s="973"/>
      <c r="WAX106" s="973"/>
      <c r="WAY106" s="973"/>
      <c r="WAZ106" s="973"/>
      <c r="WBA106" s="973"/>
      <c r="WBB106" s="973"/>
      <c r="WBC106" s="973"/>
      <c r="WBD106" s="973"/>
      <c r="WBE106" s="973"/>
      <c r="WBF106" s="973"/>
      <c r="WBG106" s="973"/>
      <c r="WBH106" s="973"/>
      <c r="WBI106" s="973"/>
      <c r="WBJ106" s="973"/>
      <c r="WBK106" s="973"/>
      <c r="WBL106" s="973"/>
      <c r="WBM106" s="973"/>
      <c r="WBN106" s="973"/>
      <c r="WBO106" s="973"/>
      <c r="WBP106" s="973"/>
      <c r="WBQ106" s="973"/>
      <c r="WBR106" s="973"/>
      <c r="WBS106" s="973"/>
      <c r="WBT106" s="973"/>
      <c r="WBU106" s="973"/>
      <c r="WBV106" s="973"/>
      <c r="WBW106" s="973"/>
      <c r="WBX106" s="973"/>
      <c r="WBY106" s="973"/>
      <c r="WBZ106" s="973"/>
      <c r="WCA106" s="973"/>
      <c r="WCB106" s="973"/>
      <c r="WCC106" s="973"/>
      <c r="WCD106" s="973"/>
      <c r="WCE106" s="973"/>
      <c r="WCF106" s="973"/>
      <c r="WCG106" s="973"/>
      <c r="WCH106" s="973"/>
      <c r="WCI106" s="973"/>
      <c r="WCJ106" s="973"/>
      <c r="WCK106" s="973"/>
      <c r="WCL106" s="973"/>
      <c r="WCM106" s="973"/>
      <c r="WCN106" s="973"/>
      <c r="WCO106" s="973"/>
      <c r="WCP106" s="973"/>
      <c r="WCQ106" s="973"/>
      <c r="WCR106" s="973"/>
      <c r="WCS106" s="973"/>
      <c r="WCT106" s="973"/>
      <c r="WCU106" s="973"/>
      <c r="WCV106" s="973"/>
      <c r="WCW106" s="973"/>
      <c r="WCX106" s="973"/>
      <c r="WCY106" s="973"/>
      <c r="WCZ106" s="973"/>
      <c r="WDA106" s="973"/>
      <c r="WDB106" s="973"/>
      <c r="WDC106" s="973"/>
      <c r="WDD106" s="973"/>
      <c r="WDE106" s="973"/>
      <c r="WDF106" s="973"/>
      <c r="WDG106" s="973"/>
      <c r="WDH106" s="973"/>
      <c r="WDI106" s="973"/>
      <c r="WDJ106" s="973"/>
      <c r="WDK106" s="973"/>
      <c r="WDL106" s="973"/>
      <c r="WDM106" s="973"/>
      <c r="WDN106" s="973"/>
      <c r="WDO106" s="973"/>
      <c r="WDP106" s="973"/>
      <c r="WDQ106" s="973"/>
      <c r="WDR106" s="973"/>
      <c r="WDS106" s="973"/>
      <c r="WDT106" s="973"/>
      <c r="WDU106" s="973"/>
      <c r="WDV106" s="973"/>
      <c r="WDW106" s="973"/>
      <c r="WDX106" s="973"/>
      <c r="WDY106" s="973"/>
      <c r="WDZ106" s="973"/>
      <c r="WEA106" s="973"/>
      <c r="WEB106" s="973"/>
      <c r="WEC106" s="973"/>
      <c r="WED106" s="973"/>
      <c r="WEE106" s="973"/>
      <c r="WEF106" s="973"/>
      <c r="WEG106" s="973"/>
      <c r="WEH106" s="973"/>
      <c r="WEI106" s="973"/>
      <c r="WEJ106" s="973"/>
      <c r="WEK106" s="973"/>
      <c r="WEL106" s="973"/>
      <c r="WEM106" s="973"/>
      <c r="WEN106" s="973"/>
      <c r="WEO106" s="973"/>
      <c r="WEP106" s="973"/>
      <c r="WEQ106" s="973"/>
      <c r="WER106" s="973"/>
      <c r="WES106" s="973"/>
      <c r="WET106" s="973"/>
      <c r="WEU106" s="973"/>
      <c r="WEV106" s="973"/>
      <c r="WEW106" s="973"/>
      <c r="WEX106" s="973"/>
      <c r="WEY106" s="973"/>
      <c r="WEZ106" s="973"/>
      <c r="WFA106" s="973"/>
      <c r="WFB106" s="973"/>
      <c r="WFC106" s="973"/>
      <c r="WFD106" s="973"/>
      <c r="WFE106" s="973"/>
      <c r="WFF106" s="973"/>
      <c r="WFG106" s="973"/>
      <c r="WFH106" s="973"/>
      <c r="WFI106" s="973"/>
      <c r="WFJ106" s="973"/>
      <c r="WFK106" s="973"/>
      <c r="WFL106" s="973"/>
      <c r="WFM106" s="973"/>
      <c r="WFN106" s="973"/>
      <c r="WFO106" s="973"/>
      <c r="WFP106" s="973"/>
      <c r="WFQ106" s="973"/>
      <c r="WFR106" s="973"/>
      <c r="WFS106" s="973"/>
      <c r="WFT106" s="973"/>
      <c r="WFU106" s="973"/>
      <c r="WFV106" s="973"/>
      <c r="WFW106" s="973"/>
      <c r="WFX106" s="973"/>
      <c r="WFY106" s="973"/>
      <c r="WFZ106" s="973"/>
      <c r="WGA106" s="973"/>
      <c r="WGB106" s="973"/>
      <c r="WGC106" s="973"/>
      <c r="WGD106" s="973"/>
      <c r="WGE106" s="973"/>
      <c r="WGF106" s="973"/>
      <c r="WGG106" s="973"/>
      <c r="WGH106" s="973"/>
      <c r="WGI106" s="973"/>
      <c r="WGJ106" s="973"/>
      <c r="WGK106" s="973"/>
      <c r="WGL106" s="973"/>
      <c r="WGM106" s="973"/>
      <c r="WGN106" s="973"/>
      <c r="WGO106" s="973"/>
      <c r="WGP106" s="973"/>
      <c r="WGQ106" s="973"/>
      <c r="WGR106" s="973"/>
      <c r="WGS106" s="973"/>
      <c r="WGT106" s="973"/>
      <c r="WGU106" s="973"/>
      <c r="WGV106" s="973"/>
      <c r="WGW106" s="973"/>
      <c r="WGX106" s="973"/>
      <c r="WGY106" s="973"/>
      <c r="WGZ106" s="973"/>
      <c r="WHA106" s="973"/>
      <c r="WHB106" s="973"/>
      <c r="WHC106" s="973"/>
      <c r="WHD106" s="973"/>
      <c r="WHE106" s="973"/>
      <c r="WHF106" s="973"/>
      <c r="WHG106" s="973"/>
      <c r="WHH106" s="973"/>
      <c r="WHI106" s="973"/>
      <c r="WHJ106" s="973"/>
      <c r="WHK106" s="973"/>
      <c r="WHL106" s="973"/>
      <c r="WHM106" s="973"/>
      <c r="WHN106" s="973"/>
      <c r="WHO106" s="973"/>
      <c r="WHP106" s="973"/>
      <c r="WHQ106" s="973"/>
      <c r="WHR106" s="973"/>
      <c r="WHS106" s="973"/>
      <c r="WHT106" s="973"/>
      <c r="WHU106" s="973"/>
      <c r="WHV106" s="973"/>
      <c r="WHW106" s="973"/>
      <c r="WHX106" s="973"/>
      <c r="WHY106" s="973"/>
      <c r="WHZ106" s="973"/>
      <c r="WIA106" s="973"/>
      <c r="WIB106" s="973"/>
      <c r="WIC106" s="973"/>
      <c r="WID106" s="973"/>
      <c r="WIE106" s="973"/>
      <c r="WIF106" s="973"/>
      <c r="WIG106" s="973"/>
      <c r="WIH106" s="973"/>
      <c r="WII106" s="973"/>
      <c r="WIJ106" s="973"/>
      <c r="WIK106" s="973"/>
      <c r="WIL106" s="973"/>
      <c r="WIM106" s="973"/>
      <c r="WIN106" s="973"/>
      <c r="WIO106" s="973"/>
      <c r="WIP106" s="973"/>
      <c r="WIQ106" s="973"/>
      <c r="WIR106" s="973"/>
      <c r="WIS106" s="973"/>
      <c r="WIT106" s="973"/>
      <c r="WIU106" s="973"/>
      <c r="WIV106" s="973"/>
      <c r="WIW106" s="973"/>
      <c r="WIX106" s="973"/>
      <c r="WIY106" s="973"/>
      <c r="WIZ106" s="973"/>
      <c r="WJA106" s="973"/>
      <c r="WJB106" s="973"/>
      <c r="WJC106" s="973"/>
      <c r="WJD106" s="973"/>
      <c r="WJE106" s="973"/>
      <c r="WJF106" s="973"/>
      <c r="WJG106" s="973"/>
      <c r="WJH106" s="973"/>
      <c r="WJI106" s="973"/>
      <c r="WJJ106" s="973"/>
      <c r="WJK106" s="973"/>
      <c r="WJL106" s="973"/>
      <c r="WJM106" s="973"/>
      <c r="WJN106" s="973"/>
      <c r="WJO106" s="973"/>
      <c r="WJP106" s="973"/>
      <c r="WJQ106" s="973"/>
      <c r="WJR106" s="973"/>
      <c r="WJS106" s="973"/>
      <c r="WJT106" s="973"/>
      <c r="WJU106" s="973"/>
      <c r="WJV106" s="973"/>
      <c r="WJW106" s="973"/>
      <c r="WJX106" s="973"/>
      <c r="WJY106" s="973"/>
      <c r="WJZ106" s="973"/>
      <c r="WKA106" s="973"/>
      <c r="WKB106" s="973"/>
      <c r="WKC106" s="973"/>
      <c r="WKD106" s="973"/>
      <c r="WKE106" s="973"/>
      <c r="WKF106" s="973"/>
      <c r="WKG106" s="973"/>
      <c r="WKH106" s="973"/>
      <c r="WKI106" s="973"/>
      <c r="WKJ106" s="973"/>
      <c r="WKK106" s="973"/>
      <c r="WKL106" s="973"/>
      <c r="WKM106" s="973"/>
      <c r="WKN106" s="973"/>
      <c r="WKO106" s="973"/>
      <c r="WKP106" s="973"/>
      <c r="WKQ106" s="973"/>
      <c r="WKR106" s="973"/>
      <c r="WKS106" s="973"/>
      <c r="WKT106" s="973"/>
      <c r="WKU106" s="973"/>
      <c r="WKV106" s="973"/>
      <c r="WKW106" s="973"/>
      <c r="WKX106" s="973"/>
      <c r="WKY106" s="973"/>
      <c r="WKZ106" s="973"/>
      <c r="WLA106" s="973"/>
      <c r="WLB106" s="973"/>
      <c r="WLC106" s="973"/>
      <c r="WLD106" s="973"/>
      <c r="WLE106" s="973"/>
      <c r="WLF106" s="973"/>
      <c r="WLG106" s="973"/>
      <c r="WLH106" s="973"/>
      <c r="WLI106" s="973"/>
      <c r="WLJ106" s="973"/>
      <c r="WLK106" s="973"/>
      <c r="WLL106" s="973"/>
      <c r="WLM106" s="973"/>
      <c r="WLN106" s="973"/>
      <c r="WLO106" s="973"/>
      <c r="WLP106" s="973"/>
      <c r="WLQ106" s="973"/>
      <c r="WLR106" s="973"/>
      <c r="WLS106" s="973"/>
      <c r="WLT106" s="973"/>
      <c r="WLU106" s="973"/>
      <c r="WLV106" s="973"/>
      <c r="WLW106" s="973"/>
      <c r="WLX106" s="973"/>
      <c r="WLY106" s="973"/>
      <c r="WLZ106" s="973"/>
      <c r="WMA106" s="973"/>
      <c r="WMB106" s="973"/>
      <c r="WMC106" s="973"/>
      <c r="WMD106" s="973"/>
      <c r="WME106" s="973"/>
      <c r="WMF106" s="973"/>
      <c r="WMG106" s="973"/>
      <c r="WMH106" s="973"/>
      <c r="WMI106" s="973"/>
      <c r="WMJ106" s="973"/>
      <c r="WMK106" s="973"/>
      <c r="WML106" s="973"/>
      <c r="WMM106" s="973"/>
      <c r="WMN106" s="973"/>
      <c r="WMO106" s="973"/>
      <c r="WMP106" s="973"/>
      <c r="WMQ106" s="973"/>
      <c r="WMR106" s="973"/>
      <c r="WMS106" s="973"/>
      <c r="WMT106" s="973"/>
      <c r="WMU106" s="973"/>
      <c r="WMV106" s="973"/>
      <c r="WMW106" s="973"/>
      <c r="WMX106" s="973"/>
      <c r="WMY106" s="973"/>
      <c r="WMZ106" s="973"/>
      <c r="WNA106" s="973"/>
      <c r="WNB106" s="973"/>
      <c r="WNC106" s="973"/>
      <c r="WND106" s="973"/>
      <c r="WNE106" s="973"/>
      <c r="WNF106" s="973"/>
      <c r="WNG106" s="973"/>
      <c r="WNH106" s="973"/>
      <c r="WNI106" s="973"/>
      <c r="WNJ106" s="973"/>
      <c r="WNK106" s="973"/>
      <c r="WNL106" s="973"/>
      <c r="WNM106" s="973"/>
      <c r="WNN106" s="973"/>
      <c r="WNO106" s="973"/>
      <c r="WNP106" s="973"/>
      <c r="WNQ106" s="973"/>
      <c r="WNR106" s="973"/>
      <c r="WNS106" s="973"/>
      <c r="WNT106" s="973"/>
      <c r="WNU106" s="973"/>
      <c r="WNV106" s="973"/>
      <c r="WNW106" s="973"/>
      <c r="WNX106" s="973"/>
      <c r="WNY106" s="973"/>
      <c r="WNZ106" s="973"/>
      <c r="WOA106" s="973"/>
      <c r="WOB106" s="973"/>
      <c r="WOC106" s="973"/>
      <c r="WOD106" s="973"/>
      <c r="WOE106" s="973"/>
      <c r="WOF106" s="973"/>
      <c r="WOG106" s="973"/>
      <c r="WOH106" s="973"/>
      <c r="WOI106" s="973"/>
      <c r="WOJ106" s="973"/>
      <c r="WOK106" s="973"/>
      <c r="WOL106" s="973"/>
      <c r="WOM106" s="973"/>
      <c r="WON106" s="973"/>
      <c r="WOO106" s="973"/>
      <c r="WOP106" s="973"/>
      <c r="WOQ106" s="973"/>
      <c r="WOR106" s="973"/>
      <c r="WOS106" s="973"/>
      <c r="WOT106" s="973"/>
      <c r="WOU106" s="973"/>
      <c r="WOV106" s="973"/>
      <c r="WOW106" s="973"/>
      <c r="WOX106" s="973"/>
      <c r="WOY106" s="973"/>
      <c r="WOZ106" s="973"/>
      <c r="WPA106" s="973"/>
      <c r="WPB106" s="973"/>
      <c r="WPC106" s="973"/>
      <c r="WPD106" s="973"/>
      <c r="WPE106" s="973"/>
      <c r="WPF106" s="973"/>
      <c r="WPG106" s="973"/>
      <c r="WPH106" s="973"/>
      <c r="WPI106" s="973"/>
      <c r="WPJ106" s="973"/>
      <c r="WPK106" s="973"/>
      <c r="WPL106" s="973"/>
      <c r="WPM106" s="973"/>
      <c r="WPN106" s="973"/>
      <c r="WPO106" s="973"/>
      <c r="WPP106" s="973"/>
      <c r="WPQ106" s="973"/>
      <c r="WPR106" s="973"/>
      <c r="WPS106" s="973"/>
      <c r="WPT106" s="973"/>
      <c r="WPU106" s="973"/>
      <c r="WPV106" s="973"/>
      <c r="WPW106" s="973"/>
      <c r="WPX106" s="973"/>
      <c r="WPY106" s="973"/>
      <c r="WPZ106" s="973"/>
      <c r="WQA106" s="973"/>
      <c r="WQB106" s="973"/>
      <c r="WQC106" s="973"/>
      <c r="WQD106" s="973"/>
      <c r="WQE106" s="973"/>
      <c r="WQF106" s="973"/>
      <c r="WQG106" s="973"/>
      <c r="WQH106" s="973"/>
      <c r="WQI106" s="973"/>
      <c r="WQJ106" s="973"/>
      <c r="WQK106" s="973"/>
      <c r="WQL106" s="973"/>
      <c r="WQM106" s="973"/>
      <c r="WQN106" s="973"/>
      <c r="WQO106" s="973"/>
      <c r="WQP106" s="973"/>
      <c r="WQQ106" s="973"/>
      <c r="WQR106" s="973"/>
      <c r="WQS106" s="973"/>
      <c r="WQT106" s="973"/>
      <c r="WQU106" s="973"/>
      <c r="WQV106" s="973"/>
      <c r="WQW106" s="973"/>
      <c r="WQX106" s="973"/>
      <c r="WQY106" s="973"/>
      <c r="WQZ106" s="973"/>
      <c r="WRA106" s="973"/>
      <c r="WRB106" s="973"/>
      <c r="WRC106" s="973"/>
      <c r="WRD106" s="973"/>
      <c r="WRE106" s="973"/>
      <c r="WRF106" s="973"/>
      <c r="WRG106" s="973"/>
      <c r="WRH106" s="973"/>
      <c r="WRI106" s="973"/>
      <c r="WRJ106" s="973"/>
      <c r="WRK106" s="973"/>
      <c r="WRL106" s="973"/>
      <c r="WRM106" s="973"/>
      <c r="WRN106" s="973"/>
      <c r="WRO106" s="973"/>
      <c r="WRP106" s="973"/>
      <c r="WRQ106" s="973"/>
      <c r="WRR106" s="973"/>
      <c r="WRS106" s="973"/>
      <c r="WRT106" s="973"/>
      <c r="WRU106" s="973"/>
      <c r="WRV106" s="973"/>
      <c r="WRW106" s="973"/>
      <c r="WRX106" s="973"/>
      <c r="WRY106" s="973"/>
      <c r="WRZ106" s="973"/>
      <c r="WSA106" s="973"/>
      <c r="WSB106" s="973"/>
      <c r="WSC106" s="973"/>
      <c r="WSD106" s="973"/>
      <c r="WSE106" s="973"/>
      <c r="WSF106" s="973"/>
      <c r="WSG106" s="973"/>
      <c r="WSH106" s="973"/>
      <c r="WSI106" s="973"/>
      <c r="WSJ106" s="973"/>
      <c r="WSK106" s="973"/>
      <c r="WSL106" s="973"/>
      <c r="WSM106" s="973"/>
      <c r="WSN106" s="973"/>
      <c r="WSO106" s="973"/>
      <c r="WSP106" s="973"/>
      <c r="WSQ106" s="973"/>
      <c r="WSR106" s="973"/>
      <c r="WSS106" s="973"/>
      <c r="WST106" s="973"/>
      <c r="WSU106" s="973"/>
      <c r="WSV106" s="973"/>
      <c r="WSW106" s="973"/>
      <c r="WSX106" s="973"/>
      <c r="WSY106" s="973"/>
      <c r="WSZ106" s="973"/>
      <c r="WTA106" s="973"/>
      <c r="WTB106" s="973"/>
      <c r="WTC106" s="973"/>
      <c r="WTD106" s="973"/>
      <c r="WTE106" s="973"/>
      <c r="WTF106" s="973"/>
      <c r="WTG106" s="973"/>
      <c r="WTH106" s="973"/>
      <c r="WTI106" s="973"/>
      <c r="WTJ106" s="973"/>
      <c r="WTK106" s="973"/>
      <c r="WTL106" s="973"/>
      <c r="WTM106" s="973"/>
      <c r="WTN106" s="973"/>
      <c r="WTO106" s="973"/>
      <c r="WTP106" s="973"/>
      <c r="WTQ106" s="973"/>
      <c r="WTR106" s="973"/>
      <c r="WTS106" s="973"/>
      <c r="WTT106" s="973"/>
      <c r="WTU106" s="973"/>
      <c r="WTV106" s="973"/>
      <c r="WTW106" s="973"/>
      <c r="WTX106" s="973"/>
      <c r="WTY106" s="973"/>
      <c r="WTZ106" s="973"/>
      <c r="WUA106" s="973"/>
      <c r="WUB106" s="973"/>
      <c r="WUC106" s="973"/>
      <c r="WUD106" s="973"/>
      <c r="WUE106" s="973"/>
      <c r="WUF106" s="973"/>
      <c r="WUG106" s="973"/>
      <c r="WUH106" s="973"/>
      <c r="WUI106" s="973"/>
      <c r="WUJ106" s="973"/>
      <c r="WUK106" s="973"/>
      <c r="WUL106" s="973"/>
      <c r="WUM106" s="973"/>
      <c r="WUN106" s="973"/>
      <c r="WUO106" s="973"/>
      <c r="WUP106" s="973"/>
      <c r="WUQ106" s="973"/>
      <c r="WUR106" s="973"/>
      <c r="WUS106" s="973"/>
      <c r="WUT106" s="973"/>
      <c r="WUU106" s="973"/>
      <c r="WUV106" s="973"/>
      <c r="WUW106" s="973"/>
      <c r="WUX106" s="973"/>
      <c r="WUY106" s="973"/>
      <c r="WUZ106" s="973"/>
      <c r="WVA106" s="973"/>
      <c r="WVB106" s="973"/>
      <c r="WVC106" s="973"/>
      <c r="WVD106" s="973"/>
      <c r="WVE106" s="973"/>
      <c r="WVF106" s="973"/>
      <c r="WVG106" s="973"/>
      <c r="WVH106" s="973"/>
      <c r="WVI106" s="973"/>
      <c r="WVJ106" s="973"/>
      <c r="WVK106" s="973"/>
      <c r="WVL106" s="973"/>
      <c r="WVM106" s="973"/>
      <c r="WVN106" s="973"/>
      <c r="WVO106" s="973"/>
      <c r="WVP106" s="973"/>
      <c r="WVQ106" s="973"/>
      <c r="WVR106" s="973"/>
      <c r="WVS106" s="973"/>
      <c r="WVT106" s="973"/>
      <c r="WVU106" s="973"/>
      <c r="WVV106" s="973"/>
      <c r="WVW106" s="973"/>
      <c r="WVX106" s="973"/>
      <c r="WVY106" s="973"/>
      <c r="WVZ106" s="973"/>
      <c r="WWA106" s="973"/>
      <c r="WWB106" s="973"/>
      <c r="WWC106" s="973"/>
      <c r="WWD106" s="973"/>
      <c r="WWE106" s="973"/>
      <c r="WWF106" s="973"/>
      <c r="WWG106" s="973"/>
      <c r="WWH106" s="973"/>
      <c r="WWI106" s="973"/>
      <c r="WWJ106" s="973"/>
      <c r="WWK106" s="973"/>
      <c r="WWL106" s="973"/>
      <c r="WWM106" s="973"/>
      <c r="WWN106" s="973"/>
      <c r="WWO106" s="973"/>
      <c r="WWP106" s="973"/>
      <c r="WWQ106" s="973"/>
      <c r="WWR106" s="973"/>
      <c r="WWS106" s="973"/>
      <c r="WWT106" s="973"/>
      <c r="WWU106" s="973"/>
      <c r="WWV106" s="973"/>
      <c r="WWW106" s="973"/>
      <c r="WWX106" s="973"/>
      <c r="WWY106" s="973"/>
      <c r="WWZ106" s="973"/>
      <c r="WXA106" s="973"/>
      <c r="WXB106" s="973"/>
      <c r="WXC106" s="973"/>
      <c r="WXD106" s="973"/>
      <c r="WXE106" s="973"/>
      <c r="WXF106" s="973"/>
      <c r="WXG106" s="973"/>
      <c r="WXH106" s="973"/>
      <c r="WXI106" s="973"/>
      <c r="WXJ106" s="973"/>
      <c r="WXK106" s="973"/>
      <c r="WXL106" s="973"/>
      <c r="WXM106" s="973"/>
      <c r="WXN106" s="973"/>
      <c r="WXO106" s="973"/>
      <c r="WXP106" s="973"/>
      <c r="WXQ106" s="973"/>
      <c r="WXR106" s="973"/>
      <c r="WXS106" s="973"/>
      <c r="WXT106" s="973"/>
      <c r="WXU106" s="973"/>
      <c r="WXV106" s="973"/>
      <c r="WXW106" s="973"/>
      <c r="WXX106" s="973"/>
      <c r="WXY106" s="973"/>
      <c r="WXZ106" s="973"/>
      <c r="WYA106" s="973"/>
      <c r="WYB106" s="973"/>
      <c r="WYC106" s="973"/>
      <c r="WYD106" s="973"/>
      <c r="WYE106" s="973"/>
      <c r="WYF106" s="973"/>
      <c r="WYG106" s="973"/>
      <c r="WYH106" s="973"/>
      <c r="WYI106" s="973"/>
      <c r="WYJ106" s="973"/>
      <c r="WYK106" s="973"/>
      <c r="WYL106" s="973"/>
      <c r="WYM106" s="973"/>
      <c r="WYN106" s="973"/>
      <c r="WYO106" s="973"/>
      <c r="WYP106" s="973"/>
      <c r="WYQ106" s="973"/>
      <c r="WYR106" s="973"/>
      <c r="WYS106" s="973"/>
      <c r="WYT106" s="973"/>
      <c r="WYU106" s="973"/>
      <c r="WYV106" s="973"/>
      <c r="WYW106" s="973"/>
      <c r="WYX106" s="973"/>
      <c r="WYY106" s="973"/>
      <c r="WYZ106" s="973"/>
      <c r="WZA106" s="973"/>
      <c r="WZB106" s="973"/>
      <c r="WZC106" s="973"/>
      <c r="WZD106" s="973"/>
      <c r="WZE106" s="973"/>
      <c r="WZF106" s="973"/>
      <c r="WZG106" s="973"/>
      <c r="WZH106" s="973"/>
      <c r="WZI106" s="973"/>
      <c r="WZJ106" s="973"/>
      <c r="WZK106" s="973"/>
      <c r="WZL106" s="973"/>
      <c r="WZM106" s="973"/>
      <c r="WZN106" s="973"/>
      <c r="WZO106" s="973"/>
      <c r="WZP106" s="973"/>
      <c r="WZQ106" s="973"/>
      <c r="WZR106" s="973"/>
      <c r="WZS106" s="973"/>
      <c r="WZT106" s="973"/>
      <c r="WZU106" s="973"/>
      <c r="WZV106" s="973"/>
      <c r="WZW106" s="973"/>
      <c r="WZX106" s="973"/>
      <c r="WZY106" s="973"/>
      <c r="WZZ106" s="973"/>
      <c r="XAA106" s="973"/>
      <c r="XAB106" s="973"/>
      <c r="XAC106" s="973"/>
      <c r="XAD106" s="973"/>
      <c r="XAE106" s="973"/>
      <c r="XAF106" s="973"/>
      <c r="XAG106" s="973"/>
      <c r="XAH106" s="973"/>
      <c r="XAI106" s="973"/>
      <c r="XAJ106" s="973"/>
      <c r="XAK106" s="973"/>
      <c r="XAL106" s="973"/>
      <c r="XAM106" s="973"/>
      <c r="XAN106" s="973"/>
      <c r="XAO106" s="973"/>
      <c r="XAP106" s="973"/>
      <c r="XAQ106" s="973"/>
      <c r="XAR106" s="973"/>
      <c r="XAS106" s="973"/>
      <c r="XAT106" s="973"/>
      <c r="XAU106" s="973"/>
      <c r="XAV106" s="973"/>
      <c r="XAW106" s="973"/>
      <c r="XAX106" s="973"/>
      <c r="XAY106" s="973"/>
      <c r="XAZ106" s="973"/>
      <c r="XBA106" s="973"/>
      <c r="XBB106" s="973"/>
      <c r="XBC106" s="973"/>
      <c r="XBD106" s="973"/>
      <c r="XBE106" s="973"/>
      <c r="XBF106" s="973"/>
      <c r="XBG106" s="973"/>
      <c r="XBH106" s="973"/>
      <c r="XBI106" s="973"/>
      <c r="XBJ106" s="973"/>
      <c r="XBK106" s="973"/>
      <c r="XBL106" s="973"/>
      <c r="XBM106" s="973"/>
      <c r="XBN106" s="973"/>
      <c r="XBO106" s="973"/>
      <c r="XBP106" s="973"/>
      <c r="XBQ106" s="973"/>
      <c r="XBR106" s="973"/>
      <c r="XBS106" s="973"/>
      <c r="XBT106" s="973"/>
      <c r="XBU106" s="973"/>
      <c r="XBV106" s="973"/>
      <c r="XBW106" s="973"/>
      <c r="XBX106" s="973"/>
      <c r="XBY106" s="973"/>
      <c r="XBZ106" s="973"/>
      <c r="XCA106" s="973"/>
      <c r="XCB106" s="973"/>
      <c r="XCC106" s="973"/>
      <c r="XCD106" s="973"/>
      <c r="XCE106" s="973"/>
      <c r="XCF106" s="973"/>
      <c r="XCG106" s="973"/>
      <c r="XCH106" s="973"/>
      <c r="XCI106" s="973"/>
      <c r="XCJ106" s="973"/>
      <c r="XCK106" s="973"/>
      <c r="XCL106" s="973"/>
      <c r="XCM106" s="973"/>
      <c r="XCN106" s="973"/>
      <c r="XCO106" s="973"/>
      <c r="XCP106" s="973"/>
      <c r="XCQ106" s="973"/>
      <c r="XCR106" s="973"/>
      <c r="XCS106" s="973"/>
      <c r="XCT106" s="973"/>
      <c r="XCU106" s="973"/>
      <c r="XCV106" s="973"/>
      <c r="XCW106" s="973"/>
      <c r="XCX106" s="973"/>
      <c r="XCY106" s="973"/>
      <c r="XCZ106" s="973"/>
      <c r="XDA106" s="973"/>
      <c r="XDB106" s="973"/>
      <c r="XDC106" s="973"/>
      <c r="XDD106" s="973"/>
      <c r="XDE106" s="973"/>
      <c r="XDF106" s="973"/>
      <c r="XDG106" s="973"/>
      <c r="XDH106" s="973"/>
      <c r="XDI106" s="973"/>
      <c r="XDJ106" s="973"/>
      <c r="XDK106" s="973"/>
      <c r="XDL106" s="973"/>
      <c r="XDM106" s="973"/>
      <c r="XDN106" s="973"/>
      <c r="XDO106" s="973"/>
      <c r="XDP106" s="973"/>
      <c r="XDQ106" s="973"/>
      <c r="XDR106" s="973"/>
      <c r="XDS106" s="973"/>
      <c r="XDT106" s="973"/>
      <c r="XDU106" s="973"/>
      <c r="XDV106" s="973"/>
      <c r="XDW106" s="973"/>
      <c r="XDX106" s="973"/>
      <c r="XDY106" s="973"/>
      <c r="XDZ106" s="973"/>
      <c r="XEA106" s="973"/>
      <c r="XEB106" s="973"/>
      <c r="XEC106" s="973"/>
      <c r="XED106" s="973"/>
      <c r="XEE106" s="973"/>
      <c r="XEF106" s="973"/>
      <c r="XEG106" s="973"/>
      <c r="XEH106" s="973"/>
      <c r="XEI106" s="973"/>
      <c r="XEJ106" s="973"/>
      <c r="XEK106" s="973"/>
      <c r="XEL106" s="973"/>
      <c r="XEM106" s="973"/>
      <c r="XEN106" s="973"/>
      <c r="XEO106" s="973"/>
      <c r="XEP106" s="973"/>
      <c r="XEQ106" s="973"/>
      <c r="XER106" s="973"/>
      <c r="XES106" s="973"/>
      <c r="XET106" s="973"/>
      <c r="XEU106" s="973"/>
      <c r="XEV106" s="973"/>
      <c r="XEW106" s="973"/>
      <c r="XEX106" s="973"/>
      <c r="XEY106" s="973"/>
      <c r="XEZ106" s="973"/>
      <c r="XFA106" s="973"/>
      <c r="XFB106" s="973"/>
      <c r="XFC106" s="973"/>
      <c r="XFD106" s="973"/>
    </row>
    <row r="107" spans="1:16384" x14ac:dyDescent="0.35">
      <c r="C107" s="917" t="s">
        <v>109</v>
      </c>
      <c r="D107" s="917"/>
      <c r="E107" s="917"/>
      <c r="F107" s="917"/>
      <c r="G107" s="917"/>
      <c r="H107" s="917">
        <f>SUM(H104:H106)</f>
        <v>380690.15</v>
      </c>
      <c r="I107" s="917">
        <f>SUM(I104:I106)</f>
        <v>183333.66</v>
      </c>
      <c r="J107" s="917">
        <f t="shared" ref="J107:AG107" si="24">J106+J101</f>
        <v>2773690.5811143843</v>
      </c>
      <c r="K107" s="917">
        <f t="shared" si="24"/>
        <v>2766142.2649593884</v>
      </c>
      <c r="L107" s="917">
        <f t="shared" si="24"/>
        <v>2741980.761555736</v>
      </c>
      <c r="M107" s="917">
        <f t="shared" si="24"/>
        <v>3808694.4964396944</v>
      </c>
      <c r="N107" s="917">
        <f t="shared" si="24"/>
        <v>3974430.7643792513</v>
      </c>
      <c r="O107" s="917">
        <f t="shared" si="24"/>
        <v>3821701.2320452947</v>
      </c>
      <c r="P107" s="918">
        <f t="shared" si="24"/>
        <v>3813526.2604646897</v>
      </c>
      <c r="Q107" s="918">
        <f t="shared" si="24"/>
        <v>3661475.5125441495</v>
      </c>
      <c r="R107" s="918">
        <f t="shared" si="24"/>
        <v>3686568.5959384372</v>
      </c>
      <c r="S107" s="918">
        <f t="shared" si="24"/>
        <v>3777724.1605331381</v>
      </c>
      <c r="T107" s="918">
        <f t="shared" si="24"/>
        <v>3634138.6391822021</v>
      </c>
      <c r="U107" s="918">
        <f t="shared" si="24"/>
        <v>15588258.539999999</v>
      </c>
      <c r="V107" s="918">
        <f t="shared" si="24"/>
        <v>16547680.91</v>
      </c>
      <c r="W107" s="918">
        <f t="shared" si="24"/>
        <v>16301232.65</v>
      </c>
      <c r="X107" s="918">
        <f t="shared" si="24"/>
        <v>16349906.440000001</v>
      </c>
      <c r="Y107" s="918">
        <f t="shared" si="24"/>
        <v>16272421.540000001</v>
      </c>
      <c r="Z107" s="918">
        <f t="shared" si="24"/>
        <v>16009592.800000001</v>
      </c>
      <c r="AA107" s="918">
        <f t="shared" si="24"/>
        <v>16174999.51</v>
      </c>
      <c r="AB107" s="918">
        <f t="shared" si="24"/>
        <v>16223345.369999999</v>
      </c>
      <c r="AC107" s="918">
        <f t="shared" si="24"/>
        <v>15848722.380000001</v>
      </c>
      <c r="AD107" s="918">
        <f t="shared" si="24"/>
        <v>16345515.989999998</v>
      </c>
      <c r="AE107" s="918">
        <f t="shared" si="24"/>
        <v>15980525.32</v>
      </c>
      <c r="AF107" s="918">
        <f t="shared" si="24"/>
        <v>15805556.76</v>
      </c>
      <c r="AG107" s="918">
        <f t="shared" si="24"/>
        <v>15392920.800000001</v>
      </c>
      <c r="AH107" s="919"/>
      <c r="AI107" s="919"/>
      <c r="AJ107" s="919"/>
      <c r="AK107" s="919"/>
      <c r="AL107" s="919"/>
      <c r="AM107" s="919"/>
      <c r="AN107" s="919"/>
      <c r="AO107" s="919"/>
      <c r="AP107" s="919"/>
      <c r="AQ107" s="919"/>
      <c r="AR107" s="919"/>
      <c r="AS107" s="919"/>
      <c r="AT107" s="919"/>
      <c r="AU107" s="919"/>
      <c r="AV107" s="919"/>
      <c r="AW107" s="919"/>
      <c r="AX107" s="919"/>
      <c r="AY107" s="919"/>
      <c r="AZ107" s="919"/>
      <c r="BA107" s="919"/>
      <c r="BB107" s="919"/>
      <c r="BC107" s="919"/>
      <c r="BD107" s="919"/>
      <c r="BE107" s="919"/>
      <c r="BF107" s="919"/>
      <c r="BG107" s="919"/>
      <c r="BH107" s="919"/>
      <c r="BI107" s="919"/>
      <c r="BJ107" s="919"/>
      <c r="BK107" s="919"/>
      <c r="BL107" s="919"/>
      <c r="BM107" s="919"/>
      <c r="BN107" s="919"/>
      <c r="BO107" s="919"/>
      <c r="BP107" s="919"/>
      <c r="BQ107" s="919"/>
      <c r="BR107" s="919"/>
      <c r="BS107" s="919"/>
      <c r="BT107" s="919"/>
      <c r="BU107" s="919"/>
      <c r="BV107" s="919"/>
      <c r="BW107" s="919"/>
      <c r="BX107" s="919"/>
      <c r="BY107" s="919"/>
      <c r="BZ107" s="919"/>
      <c r="CA107" s="919"/>
      <c r="CB107" s="919"/>
      <c r="CC107" s="969"/>
      <c r="CD107" s="974"/>
      <c r="CE107" s="974"/>
      <c r="CF107" s="974"/>
      <c r="CG107" s="974"/>
      <c r="CH107" s="974"/>
      <c r="CI107" s="974"/>
      <c r="CJ107" s="974"/>
      <c r="CK107" s="974"/>
      <c r="CL107" s="974"/>
      <c r="CM107" s="974"/>
      <c r="CN107" s="974"/>
      <c r="CO107" s="974"/>
      <c r="CP107" s="974"/>
      <c r="CQ107" s="974"/>
      <c r="CR107" s="974"/>
      <c r="CS107" s="974"/>
      <c r="CT107" s="974"/>
      <c r="CU107" s="974"/>
      <c r="CV107" s="974"/>
      <c r="CW107" s="974"/>
      <c r="CX107" s="974"/>
      <c r="CY107" s="974"/>
      <c r="CZ107" s="974"/>
      <c r="DA107" s="974"/>
      <c r="DB107" s="974"/>
      <c r="DC107" s="974"/>
      <c r="DD107" s="974"/>
      <c r="DE107" s="974"/>
      <c r="DF107" s="974"/>
      <c r="DG107" s="974"/>
      <c r="DH107" s="974"/>
      <c r="DI107" s="974"/>
      <c r="DJ107" s="974"/>
      <c r="DK107" s="974"/>
      <c r="DL107" s="974"/>
      <c r="DM107" s="974"/>
      <c r="DN107" s="974"/>
      <c r="DO107" s="974"/>
      <c r="DP107" s="974"/>
      <c r="DQ107" s="974"/>
      <c r="DR107" s="974"/>
      <c r="DS107" s="974"/>
      <c r="DT107" s="974"/>
      <c r="DU107" s="974"/>
      <c r="DV107" s="974"/>
      <c r="DW107" s="974"/>
      <c r="DX107" s="974"/>
      <c r="DY107" s="974"/>
      <c r="DZ107" s="974"/>
      <c r="EA107" s="974"/>
      <c r="EB107" s="974"/>
      <c r="EC107" s="974"/>
      <c r="ED107" s="974"/>
      <c r="EE107" s="974"/>
      <c r="EF107" s="974"/>
      <c r="EG107" s="974"/>
      <c r="EH107" s="974"/>
      <c r="EI107" s="974"/>
      <c r="EJ107" s="974"/>
      <c r="EK107" s="974"/>
      <c r="EL107" s="974"/>
      <c r="EM107" s="974"/>
      <c r="EN107" s="974"/>
      <c r="EO107" s="974"/>
      <c r="EP107" s="974"/>
      <c r="EQ107" s="974"/>
      <c r="ER107" s="974"/>
      <c r="ES107" s="974"/>
      <c r="ET107" s="974"/>
      <c r="EU107" s="974"/>
      <c r="EV107" s="974"/>
      <c r="EW107" s="974"/>
      <c r="EX107" s="974"/>
      <c r="EY107" s="974"/>
      <c r="EZ107" s="974"/>
      <c r="FA107" s="974"/>
      <c r="FB107" s="974"/>
      <c r="FC107" s="974"/>
      <c r="FD107" s="974"/>
      <c r="FE107" s="974"/>
      <c r="FF107" s="974"/>
      <c r="FG107" s="974"/>
      <c r="FH107" s="974"/>
      <c r="FI107" s="974"/>
      <c r="FJ107" s="974"/>
      <c r="FK107" s="974"/>
      <c r="FL107" s="974"/>
      <c r="FM107" s="974"/>
      <c r="FN107" s="974"/>
      <c r="FO107" s="974"/>
      <c r="FP107" s="974"/>
      <c r="FQ107" s="974"/>
      <c r="FR107" s="974"/>
      <c r="FS107" s="974"/>
      <c r="FT107" s="974"/>
      <c r="FU107" s="974"/>
      <c r="FV107" s="974"/>
      <c r="FW107" s="974"/>
      <c r="FX107" s="974"/>
      <c r="FY107" s="974"/>
      <c r="FZ107" s="974"/>
      <c r="GA107" s="974"/>
      <c r="GB107" s="974"/>
      <c r="GC107" s="974"/>
      <c r="GD107" s="974"/>
      <c r="GE107" s="974"/>
      <c r="GF107" s="974"/>
      <c r="GG107" s="974"/>
      <c r="GH107" s="974"/>
      <c r="GI107" s="974"/>
      <c r="GJ107" s="974"/>
      <c r="GK107" s="974"/>
      <c r="GL107" s="974"/>
      <c r="GM107" s="974"/>
      <c r="GN107" s="974"/>
      <c r="GO107" s="974"/>
      <c r="GP107" s="974"/>
      <c r="GQ107" s="974"/>
      <c r="GR107" s="974"/>
      <c r="GS107" s="974"/>
      <c r="GT107" s="974"/>
      <c r="GU107" s="974"/>
      <c r="GV107" s="974"/>
      <c r="GW107" s="974"/>
      <c r="GX107" s="974"/>
      <c r="GY107" s="974"/>
      <c r="GZ107" s="974"/>
      <c r="HA107" s="974"/>
      <c r="HB107" s="974"/>
      <c r="HC107" s="974"/>
      <c r="HD107" s="974"/>
      <c r="HE107" s="974"/>
      <c r="HF107" s="974"/>
      <c r="HG107" s="974"/>
      <c r="HH107" s="974"/>
      <c r="HI107" s="974"/>
      <c r="HJ107" s="974"/>
      <c r="HK107" s="974"/>
      <c r="HL107" s="974"/>
      <c r="HM107" s="974"/>
      <c r="HN107" s="974"/>
      <c r="HO107" s="974"/>
      <c r="HP107" s="974"/>
      <c r="HQ107" s="974"/>
      <c r="HR107" s="974"/>
      <c r="HS107" s="974"/>
      <c r="HT107" s="974"/>
      <c r="HU107" s="974"/>
      <c r="HV107" s="974"/>
      <c r="HW107" s="974"/>
      <c r="HX107" s="974"/>
      <c r="HY107" s="974"/>
      <c r="HZ107" s="974"/>
      <c r="IA107" s="974"/>
      <c r="IB107" s="974"/>
      <c r="IC107" s="974"/>
      <c r="ID107" s="974"/>
      <c r="IE107" s="974"/>
      <c r="IF107" s="974"/>
      <c r="IG107" s="974"/>
      <c r="IH107" s="974"/>
      <c r="II107" s="974"/>
      <c r="IJ107" s="974"/>
      <c r="IK107" s="974"/>
      <c r="IL107" s="974"/>
      <c r="IM107" s="974"/>
      <c r="IN107" s="974"/>
      <c r="IO107" s="974"/>
      <c r="IP107" s="974"/>
      <c r="IQ107" s="974"/>
      <c r="IR107" s="974"/>
      <c r="IS107" s="974"/>
      <c r="IT107" s="974"/>
      <c r="IU107" s="974"/>
      <c r="IV107" s="974"/>
      <c r="IW107" s="974"/>
      <c r="IX107" s="974"/>
      <c r="IY107" s="974"/>
      <c r="IZ107" s="974"/>
      <c r="JA107" s="974"/>
      <c r="JB107" s="974"/>
      <c r="JC107" s="974"/>
      <c r="JD107" s="974"/>
      <c r="JE107" s="974"/>
      <c r="JF107" s="974"/>
      <c r="JG107" s="974"/>
      <c r="JH107" s="974"/>
      <c r="JI107" s="974"/>
      <c r="JJ107" s="974"/>
      <c r="JK107" s="974"/>
      <c r="JL107" s="974"/>
      <c r="JM107" s="974"/>
      <c r="JN107" s="974"/>
      <c r="JO107" s="974"/>
      <c r="JP107" s="974"/>
      <c r="JQ107" s="974"/>
      <c r="JR107" s="974"/>
      <c r="JS107" s="974"/>
      <c r="JT107" s="974"/>
      <c r="JU107" s="974"/>
      <c r="JV107" s="974"/>
      <c r="JW107" s="974"/>
      <c r="JX107" s="974"/>
      <c r="JY107" s="974"/>
      <c r="JZ107" s="974"/>
      <c r="KA107" s="974"/>
      <c r="KB107" s="974"/>
      <c r="KC107" s="974"/>
      <c r="KD107" s="974"/>
      <c r="KE107" s="974"/>
      <c r="KF107" s="974"/>
      <c r="KG107" s="974"/>
      <c r="KH107" s="974"/>
      <c r="KI107" s="974"/>
      <c r="KJ107" s="974"/>
      <c r="KK107" s="974"/>
      <c r="KL107" s="974"/>
      <c r="KM107" s="974"/>
      <c r="KN107" s="974"/>
      <c r="KO107" s="974"/>
      <c r="KP107" s="974"/>
      <c r="KQ107" s="974"/>
      <c r="KR107" s="974"/>
      <c r="KS107" s="974"/>
      <c r="KT107" s="974"/>
      <c r="KU107" s="974"/>
      <c r="KV107" s="974"/>
      <c r="KW107" s="974"/>
      <c r="KX107" s="974"/>
      <c r="KY107" s="974"/>
      <c r="KZ107" s="974"/>
      <c r="LA107" s="974"/>
      <c r="LB107" s="974"/>
      <c r="LC107" s="974"/>
      <c r="LD107" s="974"/>
      <c r="LE107" s="974"/>
      <c r="LF107" s="974"/>
      <c r="LG107" s="974"/>
      <c r="LH107" s="974"/>
      <c r="LI107" s="974"/>
      <c r="LJ107" s="974"/>
      <c r="LK107" s="974"/>
      <c r="LL107" s="974"/>
      <c r="LM107" s="974"/>
      <c r="LN107" s="974"/>
      <c r="LO107" s="974"/>
      <c r="LP107" s="974"/>
      <c r="LQ107" s="974"/>
      <c r="LR107" s="974"/>
      <c r="LS107" s="974"/>
      <c r="LT107" s="974"/>
      <c r="LU107" s="974"/>
      <c r="LV107" s="974"/>
      <c r="LW107" s="974"/>
      <c r="LX107" s="974"/>
      <c r="LY107" s="974"/>
      <c r="LZ107" s="974"/>
      <c r="MA107" s="974"/>
      <c r="MB107" s="974"/>
      <c r="MC107" s="974"/>
      <c r="MD107" s="974"/>
      <c r="ME107" s="974"/>
      <c r="MF107" s="974"/>
      <c r="MG107" s="974"/>
      <c r="MH107" s="974"/>
      <c r="MI107" s="974"/>
      <c r="MJ107" s="974"/>
      <c r="MK107" s="974"/>
      <c r="ML107" s="974"/>
      <c r="MM107" s="974"/>
      <c r="MN107" s="974"/>
      <c r="MO107" s="974"/>
      <c r="MP107" s="974"/>
      <c r="MQ107" s="974"/>
      <c r="MR107" s="974"/>
      <c r="MS107" s="974"/>
      <c r="MT107" s="974"/>
      <c r="MU107" s="974"/>
      <c r="MV107" s="974"/>
      <c r="MW107" s="974"/>
      <c r="MX107" s="974"/>
      <c r="MY107" s="974"/>
      <c r="MZ107" s="974"/>
      <c r="NA107" s="974"/>
      <c r="NB107" s="974"/>
      <c r="NC107" s="974"/>
      <c r="ND107" s="974"/>
      <c r="NE107" s="974"/>
      <c r="NF107" s="974"/>
      <c r="NG107" s="974"/>
      <c r="NH107" s="974"/>
      <c r="NI107" s="974"/>
      <c r="NJ107" s="974"/>
      <c r="NK107" s="974"/>
      <c r="NL107" s="974"/>
      <c r="NM107" s="974"/>
      <c r="NN107" s="974"/>
      <c r="NO107" s="974"/>
      <c r="NP107" s="974"/>
      <c r="NQ107" s="974"/>
      <c r="NR107" s="974"/>
      <c r="NS107" s="974"/>
      <c r="NT107" s="974"/>
      <c r="NU107" s="974"/>
      <c r="NV107" s="974"/>
      <c r="NW107" s="974"/>
      <c r="NX107" s="974"/>
      <c r="NY107" s="974"/>
      <c r="NZ107" s="974"/>
      <c r="OA107" s="974"/>
      <c r="OB107" s="974"/>
      <c r="OC107" s="974"/>
      <c r="OD107" s="974"/>
      <c r="OE107" s="974"/>
      <c r="OF107" s="974"/>
      <c r="OG107" s="974"/>
      <c r="OH107" s="974"/>
      <c r="OI107" s="974"/>
      <c r="OJ107" s="974"/>
      <c r="OK107" s="974"/>
      <c r="OL107" s="974"/>
      <c r="OM107" s="974"/>
      <c r="ON107" s="974"/>
      <c r="OO107" s="974"/>
      <c r="OP107" s="974"/>
      <c r="OQ107" s="974"/>
      <c r="OR107" s="974"/>
      <c r="OS107" s="974"/>
      <c r="OT107" s="974"/>
      <c r="OU107" s="974"/>
      <c r="OV107" s="974"/>
      <c r="OW107" s="974"/>
      <c r="OX107" s="974"/>
      <c r="OY107" s="974"/>
      <c r="OZ107" s="974"/>
      <c r="PA107" s="974"/>
      <c r="PB107" s="974"/>
      <c r="PC107" s="974"/>
      <c r="PD107" s="974"/>
      <c r="PE107" s="974"/>
      <c r="PF107" s="974"/>
      <c r="PG107" s="974"/>
      <c r="PH107" s="974"/>
      <c r="PI107" s="974"/>
      <c r="PJ107" s="974"/>
      <c r="PK107" s="974"/>
      <c r="PL107" s="974"/>
      <c r="PM107" s="974"/>
      <c r="PN107" s="974"/>
      <c r="PO107" s="974"/>
      <c r="PP107" s="974"/>
      <c r="PQ107" s="974"/>
      <c r="PR107" s="974"/>
      <c r="PS107" s="974"/>
      <c r="PT107" s="974"/>
      <c r="PU107" s="974"/>
      <c r="PV107" s="974"/>
      <c r="PW107" s="974"/>
      <c r="PX107" s="974"/>
      <c r="PY107" s="974"/>
      <c r="PZ107" s="974"/>
      <c r="QA107" s="974"/>
      <c r="QB107" s="974"/>
      <c r="QC107" s="974"/>
      <c r="QD107" s="974"/>
      <c r="QE107" s="974"/>
      <c r="QF107" s="974"/>
      <c r="QG107" s="974"/>
      <c r="QH107" s="974"/>
      <c r="QI107" s="974"/>
      <c r="QJ107" s="974"/>
      <c r="QK107" s="974"/>
      <c r="QL107" s="974"/>
      <c r="QM107" s="974"/>
      <c r="QN107" s="974"/>
      <c r="QO107" s="974"/>
      <c r="QP107" s="974"/>
      <c r="QQ107" s="974"/>
      <c r="QR107" s="974"/>
      <c r="QS107" s="974"/>
      <c r="QT107" s="974"/>
      <c r="QU107" s="974"/>
      <c r="QV107" s="974"/>
      <c r="QW107" s="974"/>
      <c r="QX107" s="974"/>
      <c r="QY107" s="974"/>
      <c r="QZ107" s="974"/>
      <c r="RA107" s="974"/>
      <c r="RB107" s="974"/>
      <c r="RC107" s="974"/>
      <c r="RD107" s="974"/>
      <c r="RE107" s="974"/>
      <c r="RF107" s="974"/>
      <c r="RG107" s="974"/>
      <c r="RH107" s="974"/>
      <c r="RI107" s="974"/>
      <c r="RJ107" s="974"/>
      <c r="RK107" s="974"/>
      <c r="RL107" s="974"/>
      <c r="RM107" s="974"/>
      <c r="RN107" s="974"/>
      <c r="RO107" s="974"/>
      <c r="RP107" s="974"/>
      <c r="RQ107" s="974"/>
      <c r="RR107" s="974"/>
      <c r="RS107" s="974"/>
      <c r="RT107" s="974"/>
      <c r="RU107" s="974"/>
      <c r="RV107" s="974"/>
      <c r="RW107" s="974"/>
      <c r="RX107" s="974"/>
      <c r="RY107" s="974"/>
      <c r="RZ107" s="974"/>
      <c r="SA107" s="974"/>
      <c r="SB107" s="974"/>
      <c r="SC107" s="974"/>
      <c r="SD107" s="974"/>
      <c r="SE107" s="974"/>
      <c r="SF107" s="974"/>
      <c r="SG107" s="974"/>
      <c r="SH107" s="974"/>
      <c r="SI107" s="974"/>
      <c r="SJ107" s="974"/>
      <c r="SK107" s="974"/>
      <c r="SL107" s="974"/>
      <c r="SM107" s="974"/>
      <c r="SN107" s="974"/>
      <c r="SO107" s="974"/>
      <c r="SP107" s="974"/>
      <c r="SQ107" s="974"/>
      <c r="SR107" s="974"/>
      <c r="SS107" s="974"/>
      <c r="ST107" s="974"/>
      <c r="SU107" s="974"/>
      <c r="SV107" s="974"/>
      <c r="SW107" s="974"/>
      <c r="SX107" s="974"/>
      <c r="SY107" s="974"/>
      <c r="SZ107" s="974"/>
      <c r="TA107" s="974"/>
      <c r="TB107" s="974"/>
      <c r="TC107" s="974"/>
      <c r="TD107" s="974"/>
      <c r="TE107" s="974"/>
      <c r="TF107" s="974"/>
      <c r="TG107" s="974"/>
      <c r="TH107" s="974"/>
      <c r="TI107" s="974"/>
      <c r="TJ107" s="974"/>
      <c r="TK107" s="974"/>
      <c r="TL107" s="974"/>
      <c r="TM107" s="974"/>
      <c r="TN107" s="974"/>
      <c r="TO107" s="974"/>
      <c r="TP107" s="974"/>
      <c r="TQ107" s="974"/>
      <c r="TR107" s="974"/>
      <c r="TS107" s="974"/>
      <c r="TT107" s="974"/>
      <c r="TU107" s="974"/>
      <c r="TV107" s="974"/>
      <c r="TW107" s="974"/>
      <c r="TX107" s="974"/>
      <c r="TY107" s="974"/>
      <c r="TZ107" s="974"/>
      <c r="UA107" s="974"/>
      <c r="UB107" s="974"/>
      <c r="UC107" s="974"/>
      <c r="UD107" s="974"/>
      <c r="UE107" s="974"/>
      <c r="UF107" s="974"/>
      <c r="UG107" s="974"/>
      <c r="UH107" s="974"/>
      <c r="UI107" s="974"/>
      <c r="UJ107" s="974"/>
      <c r="UK107" s="974"/>
      <c r="UL107" s="974"/>
      <c r="UM107" s="974"/>
      <c r="UN107" s="974"/>
      <c r="UO107" s="974"/>
      <c r="UP107" s="974"/>
      <c r="UQ107" s="974"/>
      <c r="UR107" s="974"/>
      <c r="US107" s="974"/>
      <c r="UT107" s="974"/>
      <c r="UU107" s="974"/>
      <c r="UV107" s="974"/>
      <c r="UW107" s="974"/>
      <c r="UX107" s="974"/>
      <c r="UY107" s="974"/>
      <c r="UZ107" s="974"/>
      <c r="VA107" s="974"/>
      <c r="VB107" s="974"/>
      <c r="VC107" s="974"/>
      <c r="VD107" s="974"/>
      <c r="VE107" s="974"/>
      <c r="VF107" s="974"/>
      <c r="VG107" s="974"/>
      <c r="VH107" s="974"/>
      <c r="VI107" s="974"/>
      <c r="VJ107" s="974"/>
      <c r="VK107" s="974"/>
      <c r="VL107" s="974"/>
      <c r="VM107" s="974"/>
      <c r="VN107" s="974"/>
      <c r="VO107" s="974"/>
      <c r="VP107" s="974"/>
      <c r="VQ107" s="974"/>
      <c r="VR107" s="974"/>
      <c r="VS107" s="974"/>
      <c r="VT107" s="974"/>
      <c r="VU107" s="974"/>
      <c r="VV107" s="974"/>
      <c r="VW107" s="974"/>
      <c r="VX107" s="974"/>
      <c r="VY107" s="974"/>
      <c r="VZ107" s="974"/>
      <c r="WA107" s="974"/>
      <c r="WB107" s="974"/>
      <c r="WC107" s="974"/>
      <c r="WD107" s="974"/>
      <c r="WE107" s="974"/>
      <c r="WF107" s="974"/>
      <c r="WG107" s="974"/>
      <c r="WH107" s="974"/>
      <c r="WI107" s="974"/>
      <c r="WJ107" s="974"/>
      <c r="WK107" s="974"/>
      <c r="WL107" s="974"/>
      <c r="WM107" s="974"/>
      <c r="WN107" s="974"/>
      <c r="WO107" s="974"/>
      <c r="WP107" s="974"/>
      <c r="WQ107" s="974"/>
      <c r="WR107" s="974"/>
      <c r="WS107" s="974"/>
      <c r="WT107" s="974"/>
      <c r="WU107" s="974"/>
      <c r="WV107" s="974"/>
      <c r="WW107" s="974"/>
      <c r="WX107" s="974"/>
      <c r="WY107" s="974"/>
      <c r="WZ107" s="974"/>
      <c r="XA107" s="974"/>
      <c r="XB107" s="974"/>
      <c r="XC107" s="974"/>
      <c r="XD107" s="974"/>
      <c r="XE107" s="974"/>
      <c r="XF107" s="974"/>
      <c r="XG107" s="974"/>
      <c r="XH107" s="974"/>
      <c r="XI107" s="974"/>
      <c r="XJ107" s="974"/>
      <c r="XK107" s="974"/>
      <c r="XL107" s="974"/>
      <c r="XM107" s="974"/>
      <c r="XN107" s="974"/>
      <c r="XO107" s="974"/>
      <c r="XP107" s="974"/>
      <c r="XQ107" s="974"/>
      <c r="XR107" s="974"/>
      <c r="XS107" s="974"/>
      <c r="XT107" s="974"/>
      <c r="XU107" s="974"/>
      <c r="XV107" s="974"/>
      <c r="XW107" s="974"/>
      <c r="XX107" s="974"/>
      <c r="XY107" s="974"/>
      <c r="XZ107" s="974"/>
      <c r="YA107" s="974"/>
      <c r="YB107" s="974"/>
      <c r="YC107" s="974"/>
      <c r="YD107" s="974"/>
      <c r="YE107" s="974"/>
      <c r="YF107" s="974"/>
      <c r="YG107" s="974"/>
      <c r="YH107" s="974"/>
      <c r="YI107" s="974"/>
      <c r="YJ107" s="974"/>
      <c r="YK107" s="974"/>
      <c r="YL107" s="974"/>
      <c r="YM107" s="974"/>
      <c r="YN107" s="974"/>
      <c r="YO107" s="974"/>
      <c r="YP107" s="974"/>
      <c r="YQ107" s="974"/>
      <c r="YR107" s="974"/>
      <c r="YS107" s="974"/>
      <c r="YT107" s="974"/>
      <c r="YU107" s="974"/>
      <c r="YV107" s="974"/>
      <c r="YW107" s="974"/>
      <c r="YX107" s="974"/>
      <c r="YY107" s="974"/>
      <c r="YZ107" s="974"/>
      <c r="ZA107" s="974"/>
      <c r="ZB107" s="974"/>
      <c r="ZC107" s="974"/>
      <c r="ZD107" s="974"/>
      <c r="ZE107" s="974"/>
      <c r="ZF107" s="974"/>
      <c r="ZG107" s="974"/>
      <c r="ZH107" s="974"/>
      <c r="ZI107" s="974"/>
      <c r="ZJ107" s="974"/>
      <c r="ZK107" s="974"/>
      <c r="ZL107" s="974"/>
      <c r="ZM107" s="974"/>
      <c r="ZN107" s="974"/>
      <c r="ZO107" s="974"/>
      <c r="ZP107" s="974"/>
      <c r="ZQ107" s="974"/>
      <c r="ZR107" s="974"/>
      <c r="ZS107" s="974"/>
      <c r="ZT107" s="974"/>
      <c r="ZU107" s="974"/>
      <c r="ZV107" s="974"/>
      <c r="ZW107" s="974"/>
      <c r="ZX107" s="974"/>
      <c r="ZY107" s="974"/>
      <c r="ZZ107" s="974"/>
      <c r="AAA107" s="974"/>
      <c r="AAB107" s="974"/>
      <c r="AAC107" s="974"/>
      <c r="AAD107" s="974"/>
      <c r="AAE107" s="974"/>
      <c r="AAF107" s="974"/>
      <c r="AAG107" s="974"/>
      <c r="AAH107" s="974"/>
      <c r="AAI107" s="974"/>
      <c r="AAJ107" s="974"/>
      <c r="AAK107" s="974"/>
      <c r="AAL107" s="974"/>
      <c r="AAM107" s="974"/>
      <c r="AAN107" s="974"/>
      <c r="AAO107" s="974"/>
      <c r="AAP107" s="974"/>
      <c r="AAQ107" s="974"/>
      <c r="AAR107" s="974"/>
      <c r="AAS107" s="974"/>
      <c r="AAT107" s="974"/>
      <c r="AAU107" s="974"/>
      <c r="AAV107" s="974"/>
      <c r="AAW107" s="974"/>
      <c r="AAX107" s="974"/>
      <c r="AAY107" s="974"/>
      <c r="AAZ107" s="974"/>
      <c r="ABA107" s="974"/>
      <c r="ABB107" s="974"/>
      <c r="ABC107" s="974"/>
      <c r="ABD107" s="974"/>
      <c r="ABE107" s="974"/>
      <c r="ABF107" s="974"/>
      <c r="ABG107" s="974"/>
      <c r="ABH107" s="974"/>
      <c r="ABI107" s="974"/>
      <c r="ABJ107" s="974"/>
      <c r="ABK107" s="974"/>
      <c r="ABL107" s="974"/>
      <c r="ABM107" s="974"/>
      <c r="ABN107" s="974"/>
      <c r="ABO107" s="974"/>
      <c r="ABP107" s="974"/>
      <c r="ABQ107" s="974"/>
      <c r="ABR107" s="974"/>
      <c r="ABS107" s="974"/>
      <c r="ABT107" s="974"/>
      <c r="ABU107" s="974"/>
      <c r="ABV107" s="974"/>
      <c r="ABW107" s="974"/>
      <c r="ABX107" s="974"/>
      <c r="ABY107" s="974"/>
      <c r="ABZ107" s="974"/>
      <c r="ACA107" s="974"/>
      <c r="ACB107" s="974"/>
      <c r="ACC107" s="974"/>
      <c r="ACD107" s="974"/>
      <c r="ACE107" s="974"/>
      <c r="ACF107" s="974"/>
      <c r="ACG107" s="974"/>
      <c r="ACH107" s="974"/>
      <c r="ACI107" s="974"/>
      <c r="ACJ107" s="974"/>
      <c r="ACK107" s="974"/>
      <c r="ACL107" s="974"/>
      <c r="ACM107" s="974"/>
      <c r="ACN107" s="974"/>
      <c r="ACO107" s="974"/>
      <c r="ACP107" s="974"/>
      <c r="ACQ107" s="974"/>
      <c r="ACR107" s="974"/>
      <c r="ACS107" s="974"/>
      <c r="ACT107" s="974"/>
      <c r="ACU107" s="974"/>
      <c r="ACV107" s="974"/>
      <c r="ACW107" s="974"/>
      <c r="ACX107" s="974"/>
      <c r="ACY107" s="974"/>
      <c r="ACZ107" s="974"/>
      <c r="ADA107" s="974"/>
      <c r="ADB107" s="974"/>
      <c r="ADC107" s="974"/>
      <c r="ADD107" s="974"/>
      <c r="ADE107" s="974"/>
      <c r="ADF107" s="974"/>
      <c r="ADG107" s="974"/>
      <c r="ADH107" s="974"/>
      <c r="ADI107" s="974"/>
      <c r="ADJ107" s="974"/>
      <c r="ADK107" s="974"/>
      <c r="ADL107" s="974"/>
      <c r="ADM107" s="974"/>
      <c r="ADN107" s="974"/>
      <c r="ADO107" s="974"/>
      <c r="ADP107" s="974"/>
      <c r="ADQ107" s="974"/>
      <c r="ADR107" s="974"/>
      <c r="ADS107" s="974"/>
      <c r="ADT107" s="974"/>
      <c r="ADU107" s="974"/>
      <c r="ADV107" s="974"/>
      <c r="ADW107" s="974"/>
      <c r="ADX107" s="974"/>
      <c r="ADY107" s="974"/>
      <c r="ADZ107" s="974"/>
      <c r="AEA107" s="974"/>
      <c r="AEB107" s="974"/>
      <c r="AEC107" s="974"/>
      <c r="AED107" s="974"/>
      <c r="AEE107" s="974"/>
      <c r="AEF107" s="974"/>
      <c r="AEG107" s="974"/>
      <c r="AEH107" s="974"/>
      <c r="AEI107" s="974"/>
      <c r="AEJ107" s="974"/>
      <c r="AEK107" s="974"/>
      <c r="AEL107" s="974"/>
      <c r="AEM107" s="974"/>
      <c r="AEN107" s="974"/>
      <c r="AEO107" s="974"/>
      <c r="AEP107" s="974"/>
      <c r="AEQ107" s="974"/>
      <c r="AER107" s="974"/>
      <c r="AES107" s="974"/>
      <c r="AET107" s="974"/>
      <c r="AEU107" s="974"/>
      <c r="AEV107" s="974"/>
      <c r="AEW107" s="974"/>
      <c r="AEX107" s="974"/>
      <c r="AEY107" s="974"/>
      <c r="AEZ107" s="974"/>
      <c r="AFA107" s="974"/>
      <c r="AFB107" s="974"/>
      <c r="AFC107" s="974"/>
      <c r="AFD107" s="974"/>
      <c r="AFE107" s="974"/>
      <c r="AFF107" s="974"/>
      <c r="AFG107" s="974"/>
      <c r="AFH107" s="974"/>
      <c r="AFI107" s="974"/>
      <c r="AFJ107" s="974"/>
      <c r="AFK107" s="974"/>
      <c r="AFL107" s="974"/>
      <c r="AFM107" s="974"/>
      <c r="AFN107" s="974"/>
      <c r="AFO107" s="974"/>
      <c r="AFP107" s="974"/>
      <c r="AFQ107" s="974"/>
      <c r="AFR107" s="974"/>
      <c r="AFS107" s="974"/>
      <c r="AFT107" s="974"/>
      <c r="AFU107" s="974"/>
      <c r="AFV107" s="974"/>
      <c r="AFW107" s="974"/>
      <c r="AFX107" s="974"/>
      <c r="AFY107" s="974"/>
      <c r="AFZ107" s="974"/>
      <c r="AGA107" s="974"/>
      <c r="AGB107" s="974"/>
      <c r="AGC107" s="974"/>
      <c r="AGD107" s="974"/>
      <c r="AGE107" s="974"/>
      <c r="AGF107" s="974"/>
      <c r="AGG107" s="974"/>
      <c r="AGH107" s="974"/>
      <c r="AGI107" s="974"/>
      <c r="AGJ107" s="974"/>
      <c r="AGK107" s="974"/>
      <c r="AGL107" s="974"/>
      <c r="AGM107" s="974"/>
      <c r="AGN107" s="974"/>
      <c r="AGO107" s="974"/>
      <c r="AGP107" s="974"/>
      <c r="AGQ107" s="974"/>
      <c r="AGR107" s="974"/>
      <c r="AGS107" s="974"/>
      <c r="AGT107" s="974"/>
      <c r="AGU107" s="974"/>
      <c r="AGV107" s="974"/>
      <c r="AGW107" s="974"/>
      <c r="AGX107" s="974"/>
      <c r="AGY107" s="974"/>
      <c r="AGZ107" s="974"/>
      <c r="AHA107" s="974"/>
      <c r="AHB107" s="974"/>
      <c r="AHC107" s="974"/>
      <c r="AHD107" s="974"/>
      <c r="AHE107" s="974"/>
      <c r="AHF107" s="974"/>
      <c r="AHG107" s="974"/>
      <c r="AHH107" s="974"/>
      <c r="AHI107" s="974"/>
      <c r="AHJ107" s="974"/>
      <c r="AHK107" s="974"/>
      <c r="AHL107" s="974"/>
      <c r="AHM107" s="974"/>
      <c r="AHN107" s="974"/>
      <c r="AHO107" s="974"/>
      <c r="AHP107" s="974"/>
      <c r="AHQ107" s="974"/>
      <c r="AHR107" s="974"/>
      <c r="AHS107" s="974"/>
      <c r="AHT107" s="974"/>
      <c r="AHU107" s="974"/>
      <c r="AHV107" s="974"/>
      <c r="AHW107" s="974"/>
      <c r="AHX107" s="974"/>
      <c r="AHY107" s="974"/>
      <c r="AHZ107" s="974"/>
      <c r="AIA107" s="974"/>
      <c r="AIB107" s="974"/>
      <c r="AIC107" s="974"/>
      <c r="AID107" s="974"/>
      <c r="AIE107" s="974"/>
      <c r="AIF107" s="974"/>
      <c r="AIG107" s="974"/>
      <c r="AIH107" s="974"/>
      <c r="AII107" s="974"/>
      <c r="AIJ107" s="974"/>
      <c r="AIK107" s="974"/>
      <c r="AIL107" s="974"/>
      <c r="AIM107" s="974"/>
      <c r="AIN107" s="974"/>
      <c r="AIO107" s="974"/>
      <c r="AIP107" s="974"/>
      <c r="AIQ107" s="974"/>
      <c r="AIR107" s="974"/>
      <c r="AIS107" s="974"/>
      <c r="AIT107" s="974"/>
      <c r="AIU107" s="974"/>
      <c r="AIV107" s="974"/>
      <c r="AIW107" s="974"/>
      <c r="AIX107" s="974"/>
      <c r="AIY107" s="974"/>
      <c r="AIZ107" s="974"/>
      <c r="AJA107" s="974"/>
      <c r="AJB107" s="974"/>
      <c r="AJC107" s="974"/>
      <c r="AJD107" s="974"/>
      <c r="AJE107" s="974"/>
      <c r="AJF107" s="974"/>
      <c r="AJG107" s="974"/>
      <c r="AJH107" s="974"/>
      <c r="AJI107" s="974"/>
      <c r="AJJ107" s="974"/>
      <c r="AJK107" s="974"/>
      <c r="AJL107" s="974"/>
      <c r="AJM107" s="974"/>
      <c r="AJN107" s="974"/>
      <c r="AJO107" s="974"/>
      <c r="AJP107" s="974"/>
      <c r="AJQ107" s="974"/>
      <c r="AJR107" s="974"/>
      <c r="AJS107" s="974"/>
      <c r="AJT107" s="974"/>
      <c r="AJU107" s="974"/>
      <c r="AJV107" s="974"/>
      <c r="AJW107" s="974"/>
      <c r="AJX107" s="974"/>
      <c r="AJY107" s="974"/>
      <c r="AJZ107" s="974"/>
      <c r="AKA107" s="974"/>
      <c r="AKB107" s="974"/>
      <c r="AKC107" s="974"/>
      <c r="AKD107" s="974"/>
      <c r="AKE107" s="974"/>
      <c r="AKF107" s="974"/>
      <c r="AKG107" s="974"/>
      <c r="AKH107" s="974"/>
      <c r="AKI107" s="974"/>
      <c r="AKJ107" s="974"/>
      <c r="AKK107" s="974"/>
      <c r="AKL107" s="974"/>
      <c r="AKM107" s="974"/>
      <c r="AKN107" s="974"/>
      <c r="AKO107" s="974"/>
      <c r="AKP107" s="974"/>
      <c r="AKQ107" s="974"/>
      <c r="AKR107" s="974"/>
      <c r="AKS107" s="974"/>
      <c r="AKT107" s="974"/>
      <c r="AKU107" s="974"/>
      <c r="AKV107" s="974"/>
      <c r="AKW107" s="974"/>
      <c r="AKX107" s="974"/>
      <c r="AKY107" s="974"/>
      <c r="AKZ107" s="974"/>
      <c r="ALA107" s="974"/>
      <c r="ALB107" s="974"/>
      <c r="ALC107" s="974"/>
      <c r="ALD107" s="974"/>
      <c r="ALE107" s="974"/>
      <c r="ALF107" s="974"/>
      <c r="ALG107" s="974"/>
      <c r="ALH107" s="974"/>
      <c r="ALI107" s="974"/>
      <c r="ALJ107" s="974"/>
      <c r="ALK107" s="974"/>
      <c r="ALL107" s="974"/>
      <c r="ALM107" s="974"/>
      <c r="ALN107" s="974"/>
      <c r="ALO107" s="974"/>
      <c r="ALP107" s="974"/>
      <c r="ALQ107" s="974"/>
      <c r="ALR107" s="974"/>
      <c r="ALS107" s="974"/>
      <c r="ALT107" s="974"/>
      <c r="ALU107" s="974"/>
      <c r="ALV107" s="974"/>
      <c r="ALW107" s="974"/>
      <c r="ALX107" s="974"/>
      <c r="ALY107" s="974"/>
      <c r="ALZ107" s="974"/>
      <c r="AMA107" s="974"/>
      <c r="AMB107" s="974"/>
      <c r="AMC107" s="974"/>
      <c r="AMD107" s="974"/>
      <c r="AME107" s="974"/>
      <c r="AMF107" s="974"/>
      <c r="AMG107" s="974"/>
      <c r="AMH107" s="974"/>
      <c r="AMI107" s="974"/>
      <c r="AMJ107" s="974"/>
      <c r="AMK107" s="974"/>
      <c r="AML107" s="974"/>
      <c r="AMM107" s="974"/>
      <c r="AMN107" s="974"/>
      <c r="AMO107" s="974"/>
      <c r="AMP107" s="974"/>
      <c r="AMQ107" s="974"/>
      <c r="AMR107" s="974"/>
      <c r="AMS107" s="974"/>
      <c r="AMT107" s="974"/>
      <c r="AMU107" s="974"/>
      <c r="AMV107" s="974"/>
      <c r="AMW107" s="974"/>
      <c r="AMX107" s="974"/>
      <c r="AMY107" s="974"/>
      <c r="AMZ107" s="974"/>
      <c r="ANA107" s="974"/>
      <c r="ANB107" s="974"/>
      <c r="ANC107" s="974"/>
      <c r="AND107" s="974"/>
      <c r="ANE107" s="974"/>
      <c r="ANF107" s="974"/>
      <c r="ANG107" s="974"/>
      <c r="ANH107" s="974"/>
      <c r="ANI107" s="974"/>
      <c r="ANJ107" s="974"/>
      <c r="ANK107" s="974"/>
      <c r="ANL107" s="974"/>
      <c r="ANM107" s="974"/>
      <c r="ANN107" s="974"/>
      <c r="ANO107" s="974"/>
      <c r="ANP107" s="974"/>
      <c r="ANQ107" s="974"/>
      <c r="ANR107" s="974"/>
      <c r="ANS107" s="974"/>
      <c r="ANT107" s="974"/>
      <c r="ANU107" s="974"/>
      <c r="ANV107" s="974"/>
      <c r="ANW107" s="974"/>
      <c r="ANX107" s="974"/>
      <c r="ANY107" s="974"/>
      <c r="ANZ107" s="974"/>
      <c r="AOA107" s="974"/>
      <c r="AOB107" s="974"/>
      <c r="AOC107" s="974"/>
      <c r="AOD107" s="974"/>
      <c r="AOE107" s="974"/>
      <c r="AOF107" s="974"/>
      <c r="AOG107" s="974"/>
      <c r="AOH107" s="974"/>
      <c r="AOI107" s="974"/>
      <c r="AOJ107" s="974"/>
      <c r="AOK107" s="974"/>
      <c r="AOL107" s="974"/>
      <c r="AOM107" s="974"/>
      <c r="AON107" s="974"/>
      <c r="AOO107" s="974"/>
      <c r="AOP107" s="974"/>
      <c r="AOQ107" s="974"/>
      <c r="AOR107" s="974"/>
      <c r="AOS107" s="974"/>
      <c r="AOT107" s="974"/>
      <c r="AOU107" s="974"/>
      <c r="AOV107" s="974"/>
      <c r="AOW107" s="974"/>
      <c r="AOX107" s="974"/>
      <c r="AOY107" s="974"/>
      <c r="AOZ107" s="974"/>
      <c r="APA107" s="974"/>
      <c r="APB107" s="974"/>
      <c r="APC107" s="974"/>
      <c r="APD107" s="974"/>
      <c r="APE107" s="974"/>
      <c r="APF107" s="974"/>
      <c r="APG107" s="974"/>
      <c r="APH107" s="974"/>
      <c r="API107" s="974"/>
      <c r="APJ107" s="974"/>
      <c r="APK107" s="974"/>
      <c r="APL107" s="974"/>
      <c r="APM107" s="974"/>
      <c r="APN107" s="974"/>
      <c r="APO107" s="974"/>
      <c r="APP107" s="974"/>
      <c r="APQ107" s="974"/>
      <c r="APR107" s="974"/>
      <c r="APS107" s="974"/>
      <c r="APT107" s="974"/>
      <c r="APU107" s="974"/>
      <c r="APV107" s="974"/>
      <c r="APW107" s="974"/>
      <c r="APX107" s="974"/>
      <c r="APY107" s="974"/>
      <c r="APZ107" s="974"/>
      <c r="AQA107" s="974"/>
      <c r="AQB107" s="974"/>
      <c r="AQC107" s="974"/>
      <c r="AQD107" s="974"/>
      <c r="AQE107" s="974"/>
      <c r="AQF107" s="974"/>
      <c r="AQG107" s="974"/>
      <c r="AQH107" s="974"/>
      <c r="AQI107" s="974"/>
      <c r="AQJ107" s="974"/>
      <c r="AQK107" s="974"/>
      <c r="AQL107" s="974"/>
      <c r="AQM107" s="974"/>
      <c r="AQN107" s="974"/>
      <c r="AQO107" s="974"/>
      <c r="AQP107" s="974"/>
      <c r="AQQ107" s="974"/>
      <c r="AQR107" s="974"/>
      <c r="AQS107" s="974"/>
      <c r="AQT107" s="974"/>
      <c r="AQU107" s="974"/>
      <c r="AQV107" s="974"/>
      <c r="AQW107" s="974"/>
      <c r="AQX107" s="974"/>
      <c r="AQY107" s="974"/>
      <c r="AQZ107" s="974"/>
      <c r="ARA107" s="974"/>
      <c r="ARB107" s="974"/>
      <c r="ARC107" s="974"/>
      <c r="ARD107" s="974"/>
      <c r="ARE107" s="974"/>
      <c r="ARF107" s="974"/>
      <c r="ARG107" s="974"/>
      <c r="ARH107" s="974"/>
      <c r="ARI107" s="974"/>
      <c r="ARJ107" s="974"/>
      <c r="ARK107" s="974"/>
      <c r="ARL107" s="974"/>
      <c r="ARM107" s="974"/>
      <c r="ARN107" s="974"/>
      <c r="ARO107" s="974"/>
      <c r="ARP107" s="974"/>
      <c r="ARQ107" s="974"/>
      <c r="ARR107" s="974"/>
      <c r="ARS107" s="974"/>
      <c r="ART107" s="974"/>
      <c r="ARU107" s="974"/>
      <c r="ARV107" s="974"/>
      <c r="ARW107" s="974"/>
      <c r="ARX107" s="974"/>
      <c r="ARY107" s="974"/>
      <c r="ARZ107" s="974"/>
      <c r="ASA107" s="974"/>
      <c r="ASB107" s="974"/>
      <c r="ASC107" s="974"/>
      <c r="ASD107" s="974"/>
      <c r="ASE107" s="974"/>
      <c r="ASF107" s="974"/>
      <c r="ASG107" s="974"/>
      <c r="ASH107" s="974"/>
      <c r="ASI107" s="974"/>
      <c r="ASJ107" s="974"/>
      <c r="ASK107" s="974"/>
      <c r="ASL107" s="974"/>
      <c r="ASM107" s="974"/>
      <c r="ASN107" s="974"/>
      <c r="ASO107" s="974"/>
      <c r="ASP107" s="974"/>
      <c r="ASQ107" s="974"/>
      <c r="ASR107" s="974"/>
      <c r="ASS107" s="974"/>
      <c r="AST107" s="974"/>
      <c r="ASU107" s="974"/>
      <c r="ASV107" s="974"/>
      <c r="ASW107" s="974"/>
      <c r="ASX107" s="974"/>
      <c r="ASY107" s="974"/>
      <c r="ASZ107" s="974"/>
      <c r="ATA107" s="974"/>
      <c r="ATB107" s="974"/>
      <c r="ATC107" s="974"/>
      <c r="ATD107" s="974"/>
      <c r="ATE107" s="974"/>
      <c r="ATF107" s="974"/>
      <c r="ATG107" s="974"/>
      <c r="ATH107" s="974"/>
      <c r="ATI107" s="974"/>
      <c r="ATJ107" s="974"/>
      <c r="ATK107" s="974"/>
      <c r="ATL107" s="974"/>
      <c r="ATM107" s="974"/>
      <c r="ATN107" s="974"/>
      <c r="ATO107" s="974"/>
      <c r="ATP107" s="974"/>
      <c r="ATQ107" s="974"/>
      <c r="ATR107" s="974"/>
      <c r="ATS107" s="974"/>
      <c r="ATT107" s="974"/>
      <c r="ATU107" s="974"/>
      <c r="ATV107" s="974"/>
      <c r="ATW107" s="974"/>
      <c r="ATX107" s="974"/>
      <c r="ATY107" s="974"/>
      <c r="ATZ107" s="974"/>
      <c r="AUA107" s="974"/>
      <c r="AUB107" s="974"/>
      <c r="AUC107" s="974"/>
      <c r="AUD107" s="974"/>
      <c r="AUE107" s="974"/>
      <c r="AUF107" s="974"/>
      <c r="AUG107" s="974"/>
      <c r="AUH107" s="974"/>
      <c r="AUI107" s="974"/>
      <c r="AUJ107" s="974"/>
      <c r="AUK107" s="974"/>
      <c r="AUL107" s="974"/>
      <c r="AUM107" s="974"/>
      <c r="AUN107" s="974"/>
      <c r="AUO107" s="974"/>
      <c r="AUP107" s="974"/>
      <c r="AUQ107" s="974"/>
      <c r="AUR107" s="974"/>
      <c r="AUS107" s="974"/>
      <c r="AUT107" s="974"/>
      <c r="AUU107" s="974"/>
      <c r="AUV107" s="974"/>
      <c r="AUW107" s="974"/>
      <c r="AUX107" s="974"/>
      <c r="AUY107" s="974"/>
      <c r="AUZ107" s="974"/>
      <c r="AVA107" s="974"/>
      <c r="AVB107" s="974"/>
      <c r="AVC107" s="974"/>
      <c r="AVD107" s="974"/>
      <c r="AVE107" s="974"/>
      <c r="AVF107" s="974"/>
      <c r="AVG107" s="974"/>
      <c r="AVH107" s="974"/>
      <c r="AVI107" s="974"/>
      <c r="AVJ107" s="974"/>
      <c r="AVK107" s="974"/>
      <c r="AVL107" s="974"/>
      <c r="AVM107" s="974"/>
      <c r="AVN107" s="974"/>
      <c r="AVO107" s="974"/>
      <c r="AVP107" s="974"/>
      <c r="AVQ107" s="974"/>
      <c r="AVR107" s="974"/>
      <c r="AVS107" s="974"/>
      <c r="AVT107" s="974"/>
      <c r="AVU107" s="974"/>
      <c r="AVV107" s="974"/>
      <c r="AVW107" s="974"/>
      <c r="AVX107" s="974"/>
      <c r="AVY107" s="974"/>
      <c r="AVZ107" s="974"/>
      <c r="AWA107" s="974"/>
      <c r="AWB107" s="974"/>
      <c r="AWC107" s="974"/>
      <c r="AWD107" s="974"/>
      <c r="AWE107" s="974"/>
      <c r="AWF107" s="974"/>
      <c r="AWG107" s="974"/>
      <c r="AWH107" s="974"/>
      <c r="AWI107" s="974"/>
      <c r="AWJ107" s="974"/>
      <c r="AWK107" s="974"/>
      <c r="AWL107" s="974"/>
      <c r="AWM107" s="974"/>
      <c r="AWN107" s="974"/>
      <c r="AWO107" s="974"/>
      <c r="AWP107" s="974"/>
      <c r="AWQ107" s="974"/>
      <c r="AWR107" s="974"/>
      <c r="AWS107" s="974"/>
      <c r="AWT107" s="974"/>
      <c r="AWU107" s="974"/>
      <c r="AWV107" s="974"/>
      <c r="AWW107" s="974"/>
      <c r="AWX107" s="974"/>
      <c r="AWY107" s="974"/>
      <c r="AWZ107" s="974"/>
      <c r="AXA107" s="974"/>
      <c r="AXB107" s="974"/>
      <c r="AXC107" s="974"/>
      <c r="AXD107" s="974"/>
      <c r="AXE107" s="974"/>
      <c r="AXF107" s="974"/>
      <c r="AXG107" s="974"/>
      <c r="AXH107" s="974"/>
      <c r="AXI107" s="974"/>
      <c r="AXJ107" s="974"/>
      <c r="AXK107" s="974"/>
      <c r="AXL107" s="974"/>
      <c r="AXM107" s="974"/>
      <c r="AXN107" s="974"/>
      <c r="AXO107" s="974"/>
      <c r="AXP107" s="974"/>
      <c r="AXQ107" s="974"/>
      <c r="AXR107" s="974"/>
      <c r="AXS107" s="974"/>
      <c r="AXT107" s="974"/>
      <c r="AXU107" s="974"/>
      <c r="AXV107" s="974"/>
      <c r="AXW107" s="974"/>
      <c r="AXX107" s="974"/>
      <c r="AXY107" s="974"/>
      <c r="AXZ107" s="974"/>
      <c r="AYA107" s="974"/>
      <c r="AYB107" s="974"/>
      <c r="AYC107" s="974"/>
      <c r="AYD107" s="974"/>
      <c r="AYE107" s="974"/>
      <c r="AYF107" s="974"/>
      <c r="AYG107" s="974"/>
      <c r="AYH107" s="974"/>
      <c r="AYI107" s="974"/>
      <c r="AYJ107" s="974"/>
      <c r="AYK107" s="974"/>
      <c r="AYL107" s="974"/>
      <c r="AYM107" s="974"/>
      <c r="AYN107" s="974"/>
      <c r="AYO107" s="974"/>
      <c r="AYP107" s="974"/>
      <c r="AYQ107" s="974"/>
      <c r="AYR107" s="974"/>
      <c r="AYS107" s="974"/>
      <c r="AYT107" s="974"/>
      <c r="AYU107" s="974"/>
      <c r="AYV107" s="974"/>
      <c r="AYW107" s="974"/>
      <c r="AYX107" s="974"/>
      <c r="AYY107" s="974"/>
      <c r="AYZ107" s="974"/>
      <c r="AZA107" s="974"/>
      <c r="AZB107" s="974"/>
      <c r="AZC107" s="974"/>
      <c r="AZD107" s="974"/>
      <c r="AZE107" s="974"/>
      <c r="AZF107" s="974"/>
      <c r="AZG107" s="974"/>
      <c r="AZH107" s="974"/>
      <c r="AZI107" s="974"/>
      <c r="AZJ107" s="974"/>
      <c r="AZK107" s="974"/>
      <c r="AZL107" s="974"/>
      <c r="AZM107" s="974"/>
      <c r="AZN107" s="974"/>
      <c r="AZO107" s="974"/>
      <c r="AZP107" s="974"/>
      <c r="AZQ107" s="974"/>
      <c r="AZR107" s="974"/>
      <c r="AZS107" s="974"/>
      <c r="AZT107" s="974"/>
      <c r="AZU107" s="974"/>
      <c r="AZV107" s="974"/>
      <c r="AZW107" s="974"/>
      <c r="AZX107" s="974"/>
      <c r="AZY107" s="974"/>
      <c r="AZZ107" s="974"/>
      <c r="BAA107" s="974"/>
      <c r="BAB107" s="974"/>
      <c r="BAC107" s="974"/>
      <c r="BAD107" s="974"/>
      <c r="BAE107" s="974"/>
      <c r="BAF107" s="974"/>
      <c r="BAG107" s="974"/>
      <c r="BAH107" s="974"/>
      <c r="BAI107" s="974"/>
      <c r="BAJ107" s="974"/>
      <c r="BAK107" s="974"/>
      <c r="BAL107" s="974"/>
      <c r="BAM107" s="974"/>
      <c r="BAN107" s="974"/>
      <c r="BAO107" s="974"/>
      <c r="BAP107" s="974"/>
      <c r="BAQ107" s="974"/>
      <c r="BAR107" s="974"/>
      <c r="BAS107" s="974"/>
      <c r="BAT107" s="974"/>
      <c r="BAU107" s="974"/>
      <c r="BAV107" s="974"/>
      <c r="BAW107" s="974"/>
      <c r="BAX107" s="974"/>
      <c r="BAY107" s="974"/>
      <c r="BAZ107" s="974"/>
      <c r="BBA107" s="974"/>
      <c r="BBB107" s="974"/>
      <c r="BBC107" s="974"/>
      <c r="BBD107" s="974"/>
      <c r="BBE107" s="974"/>
      <c r="BBF107" s="974"/>
      <c r="BBG107" s="974"/>
      <c r="BBH107" s="974"/>
      <c r="BBI107" s="974"/>
      <c r="BBJ107" s="974"/>
      <c r="BBK107" s="974"/>
      <c r="BBL107" s="974"/>
      <c r="BBM107" s="974"/>
      <c r="BBN107" s="974"/>
      <c r="BBO107" s="974"/>
      <c r="BBP107" s="974"/>
      <c r="BBQ107" s="974"/>
      <c r="BBR107" s="974"/>
      <c r="BBS107" s="974"/>
      <c r="BBT107" s="974"/>
      <c r="BBU107" s="974"/>
      <c r="BBV107" s="974"/>
      <c r="BBW107" s="974"/>
      <c r="BBX107" s="974"/>
      <c r="BBY107" s="974"/>
      <c r="BBZ107" s="974"/>
      <c r="BCA107" s="974"/>
      <c r="BCB107" s="974"/>
      <c r="BCC107" s="974"/>
      <c r="BCD107" s="974"/>
      <c r="BCE107" s="974"/>
      <c r="BCF107" s="974"/>
      <c r="BCG107" s="974"/>
      <c r="BCH107" s="974"/>
      <c r="BCI107" s="974"/>
      <c r="BCJ107" s="974"/>
      <c r="BCK107" s="974"/>
      <c r="BCL107" s="974"/>
      <c r="BCM107" s="974"/>
      <c r="BCN107" s="974"/>
      <c r="BCO107" s="974"/>
      <c r="BCP107" s="974"/>
      <c r="BCQ107" s="974"/>
      <c r="BCR107" s="974"/>
      <c r="BCS107" s="974"/>
      <c r="BCT107" s="974"/>
      <c r="BCU107" s="974"/>
      <c r="BCV107" s="974"/>
      <c r="BCW107" s="974"/>
      <c r="BCX107" s="974"/>
      <c r="BCY107" s="974"/>
      <c r="BCZ107" s="974"/>
      <c r="BDA107" s="974"/>
      <c r="BDB107" s="974"/>
      <c r="BDC107" s="974"/>
      <c r="BDD107" s="974"/>
      <c r="BDE107" s="974"/>
      <c r="BDF107" s="974"/>
      <c r="BDG107" s="974"/>
      <c r="BDH107" s="974"/>
      <c r="BDI107" s="974"/>
      <c r="BDJ107" s="974"/>
      <c r="BDK107" s="974"/>
      <c r="BDL107" s="974"/>
      <c r="BDM107" s="974"/>
      <c r="BDN107" s="974"/>
      <c r="BDO107" s="974"/>
      <c r="BDP107" s="974"/>
      <c r="BDQ107" s="974"/>
      <c r="BDR107" s="974"/>
      <c r="BDS107" s="974"/>
      <c r="BDT107" s="974"/>
      <c r="BDU107" s="974"/>
      <c r="BDV107" s="974"/>
      <c r="BDW107" s="974"/>
      <c r="BDX107" s="974"/>
      <c r="BDY107" s="974"/>
      <c r="BDZ107" s="974"/>
      <c r="BEA107" s="974"/>
      <c r="BEB107" s="974"/>
      <c r="BEC107" s="974"/>
      <c r="BED107" s="974"/>
      <c r="BEE107" s="974"/>
      <c r="BEF107" s="974"/>
      <c r="BEG107" s="974"/>
      <c r="BEH107" s="974"/>
      <c r="BEI107" s="974"/>
      <c r="BEJ107" s="974"/>
      <c r="BEK107" s="974"/>
      <c r="BEL107" s="974"/>
      <c r="BEM107" s="974"/>
      <c r="BEN107" s="974"/>
      <c r="BEO107" s="974"/>
      <c r="BEP107" s="974"/>
      <c r="BEQ107" s="974"/>
      <c r="BER107" s="974"/>
      <c r="BES107" s="974"/>
      <c r="BET107" s="974"/>
      <c r="BEU107" s="974"/>
      <c r="BEV107" s="974"/>
      <c r="BEW107" s="974"/>
      <c r="BEX107" s="974"/>
      <c r="BEY107" s="974"/>
      <c r="BEZ107" s="974"/>
      <c r="BFA107" s="974"/>
      <c r="BFB107" s="974"/>
      <c r="BFC107" s="974"/>
      <c r="BFD107" s="974"/>
      <c r="BFE107" s="974"/>
      <c r="BFF107" s="974"/>
      <c r="BFG107" s="974"/>
      <c r="BFH107" s="974"/>
      <c r="BFI107" s="974"/>
      <c r="BFJ107" s="974"/>
      <c r="BFK107" s="974"/>
      <c r="BFL107" s="974"/>
      <c r="BFM107" s="974"/>
      <c r="BFN107" s="974"/>
      <c r="BFO107" s="974"/>
      <c r="BFP107" s="974"/>
      <c r="BFQ107" s="974"/>
      <c r="BFR107" s="974"/>
      <c r="BFS107" s="974"/>
      <c r="BFT107" s="974"/>
      <c r="BFU107" s="974"/>
      <c r="BFV107" s="974"/>
      <c r="BFW107" s="974"/>
      <c r="BFX107" s="974"/>
      <c r="BFY107" s="974"/>
      <c r="BFZ107" s="974"/>
      <c r="BGA107" s="974"/>
      <c r="BGB107" s="974"/>
      <c r="BGC107" s="974"/>
      <c r="BGD107" s="974"/>
      <c r="BGE107" s="974"/>
      <c r="BGF107" s="974"/>
      <c r="BGG107" s="974"/>
      <c r="BGH107" s="974"/>
      <c r="BGI107" s="974"/>
      <c r="BGJ107" s="974"/>
      <c r="BGK107" s="974"/>
      <c r="BGL107" s="974"/>
      <c r="BGM107" s="974"/>
      <c r="BGN107" s="974"/>
      <c r="BGO107" s="974"/>
      <c r="BGP107" s="974"/>
      <c r="BGQ107" s="974"/>
      <c r="BGR107" s="974"/>
      <c r="BGS107" s="974"/>
      <c r="BGT107" s="974"/>
      <c r="BGU107" s="974"/>
      <c r="BGV107" s="974"/>
      <c r="BGW107" s="974"/>
      <c r="BGX107" s="974"/>
      <c r="BGY107" s="974"/>
      <c r="BGZ107" s="974"/>
      <c r="BHA107" s="974"/>
      <c r="BHB107" s="974"/>
      <c r="BHC107" s="974"/>
      <c r="BHD107" s="974"/>
      <c r="BHE107" s="974"/>
      <c r="BHF107" s="974"/>
      <c r="BHG107" s="974"/>
      <c r="BHH107" s="974"/>
      <c r="BHI107" s="974"/>
      <c r="BHJ107" s="974"/>
      <c r="BHK107" s="974"/>
      <c r="BHL107" s="974"/>
      <c r="BHM107" s="974"/>
      <c r="BHN107" s="974"/>
      <c r="BHO107" s="974"/>
      <c r="BHP107" s="974"/>
      <c r="BHQ107" s="974"/>
      <c r="BHR107" s="974"/>
      <c r="BHS107" s="974"/>
      <c r="BHT107" s="974"/>
      <c r="BHU107" s="974"/>
      <c r="BHV107" s="974"/>
      <c r="BHW107" s="974"/>
      <c r="BHX107" s="974"/>
      <c r="BHY107" s="974"/>
      <c r="BHZ107" s="974"/>
      <c r="BIA107" s="974"/>
      <c r="BIB107" s="974"/>
      <c r="BIC107" s="974"/>
      <c r="BID107" s="974"/>
      <c r="BIE107" s="974"/>
      <c r="BIF107" s="974"/>
      <c r="BIG107" s="974"/>
      <c r="BIH107" s="974"/>
      <c r="BII107" s="974"/>
      <c r="BIJ107" s="974"/>
      <c r="BIK107" s="974"/>
      <c r="BIL107" s="974"/>
      <c r="BIM107" s="974"/>
      <c r="BIN107" s="974"/>
      <c r="BIO107" s="974"/>
      <c r="BIP107" s="974"/>
      <c r="BIQ107" s="974"/>
      <c r="BIR107" s="974"/>
      <c r="BIS107" s="974"/>
      <c r="BIT107" s="974"/>
      <c r="BIU107" s="974"/>
      <c r="BIV107" s="974"/>
      <c r="BIW107" s="974"/>
      <c r="BIX107" s="974"/>
      <c r="BIY107" s="974"/>
      <c r="BIZ107" s="974"/>
      <c r="BJA107" s="974"/>
      <c r="BJB107" s="974"/>
      <c r="BJC107" s="974"/>
      <c r="BJD107" s="974"/>
      <c r="BJE107" s="974"/>
      <c r="BJF107" s="974"/>
      <c r="BJG107" s="974"/>
      <c r="BJH107" s="974"/>
      <c r="BJI107" s="974"/>
      <c r="BJJ107" s="974"/>
      <c r="BJK107" s="974"/>
      <c r="BJL107" s="974"/>
      <c r="BJM107" s="974"/>
      <c r="BJN107" s="974"/>
      <c r="BJO107" s="974"/>
      <c r="BJP107" s="974"/>
      <c r="BJQ107" s="974"/>
      <c r="BJR107" s="974"/>
      <c r="BJS107" s="974"/>
      <c r="BJT107" s="974"/>
      <c r="BJU107" s="974"/>
      <c r="BJV107" s="974"/>
      <c r="BJW107" s="974"/>
      <c r="BJX107" s="974"/>
      <c r="BJY107" s="974"/>
      <c r="BJZ107" s="974"/>
      <c r="BKA107" s="974"/>
      <c r="BKB107" s="974"/>
      <c r="BKC107" s="974"/>
      <c r="BKD107" s="974"/>
      <c r="BKE107" s="974"/>
      <c r="BKF107" s="974"/>
      <c r="BKG107" s="974"/>
      <c r="BKH107" s="974"/>
      <c r="BKI107" s="974"/>
      <c r="BKJ107" s="974"/>
      <c r="BKK107" s="974"/>
      <c r="BKL107" s="974"/>
      <c r="BKM107" s="974"/>
      <c r="BKN107" s="974"/>
      <c r="BKO107" s="974"/>
      <c r="BKP107" s="974"/>
      <c r="BKQ107" s="974"/>
      <c r="BKR107" s="974"/>
      <c r="BKS107" s="974"/>
      <c r="BKT107" s="974"/>
      <c r="BKU107" s="974"/>
      <c r="BKV107" s="974"/>
      <c r="BKW107" s="974"/>
      <c r="BKX107" s="974"/>
      <c r="BKY107" s="974"/>
      <c r="BKZ107" s="974"/>
      <c r="BLA107" s="974"/>
      <c r="BLB107" s="974"/>
      <c r="BLC107" s="974"/>
      <c r="BLD107" s="974"/>
      <c r="BLE107" s="974"/>
      <c r="BLF107" s="974"/>
      <c r="BLG107" s="974"/>
      <c r="BLH107" s="974"/>
      <c r="BLI107" s="974"/>
      <c r="BLJ107" s="974"/>
      <c r="BLK107" s="974"/>
      <c r="BLL107" s="974"/>
      <c r="BLM107" s="974"/>
      <c r="BLN107" s="974"/>
      <c r="BLO107" s="974"/>
      <c r="BLP107" s="974"/>
      <c r="BLQ107" s="974"/>
      <c r="BLR107" s="974"/>
      <c r="BLS107" s="974"/>
      <c r="BLT107" s="974"/>
      <c r="BLU107" s="974"/>
      <c r="BLV107" s="974"/>
      <c r="BLW107" s="974"/>
      <c r="BLX107" s="974"/>
      <c r="BLY107" s="974"/>
      <c r="BLZ107" s="974"/>
      <c r="BMA107" s="974"/>
      <c r="BMB107" s="974"/>
      <c r="BMC107" s="974"/>
      <c r="BMD107" s="974"/>
      <c r="BME107" s="974"/>
      <c r="BMF107" s="974"/>
      <c r="BMG107" s="974"/>
      <c r="BMH107" s="974"/>
      <c r="BMI107" s="974"/>
      <c r="BMJ107" s="974"/>
      <c r="BMK107" s="974"/>
      <c r="BML107" s="974"/>
      <c r="BMM107" s="974"/>
      <c r="BMN107" s="974"/>
      <c r="BMO107" s="974"/>
      <c r="BMP107" s="974"/>
      <c r="BMQ107" s="974"/>
      <c r="BMR107" s="974"/>
      <c r="BMS107" s="974"/>
      <c r="BMT107" s="974"/>
      <c r="BMU107" s="974"/>
      <c r="BMV107" s="974"/>
      <c r="BMW107" s="974"/>
      <c r="BMX107" s="974"/>
      <c r="BMY107" s="974"/>
      <c r="BMZ107" s="974"/>
      <c r="BNA107" s="974"/>
      <c r="BNB107" s="974"/>
      <c r="BNC107" s="974"/>
      <c r="BND107" s="974"/>
      <c r="BNE107" s="974"/>
      <c r="BNF107" s="974"/>
      <c r="BNG107" s="974"/>
      <c r="BNH107" s="974"/>
      <c r="BNI107" s="974"/>
      <c r="BNJ107" s="974"/>
      <c r="BNK107" s="974"/>
      <c r="BNL107" s="974"/>
      <c r="BNM107" s="974"/>
      <c r="BNN107" s="974"/>
      <c r="BNO107" s="974"/>
      <c r="BNP107" s="974"/>
      <c r="BNQ107" s="974"/>
      <c r="BNR107" s="974"/>
      <c r="BNS107" s="974"/>
      <c r="BNT107" s="974"/>
      <c r="BNU107" s="974"/>
      <c r="BNV107" s="974"/>
      <c r="BNW107" s="974"/>
      <c r="BNX107" s="974"/>
      <c r="BNY107" s="974"/>
      <c r="BNZ107" s="974"/>
      <c r="BOA107" s="974"/>
      <c r="BOB107" s="974"/>
      <c r="BOC107" s="974"/>
      <c r="BOD107" s="974"/>
      <c r="BOE107" s="974"/>
      <c r="BOF107" s="974"/>
      <c r="BOG107" s="974"/>
      <c r="BOH107" s="974"/>
      <c r="BOI107" s="974"/>
      <c r="BOJ107" s="974"/>
      <c r="BOK107" s="974"/>
      <c r="BOL107" s="974"/>
      <c r="BOM107" s="974"/>
      <c r="BON107" s="974"/>
      <c r="BOO107" s="974"/>
      <c r="BOP107" s="974"/>
      <c r="BOQ107" s="974"/>
      <c r="BOR107" s="974"/>
      <c r="BOS107" s="974"/>
      <c r="BOT107" s="974"/>
      <c r="BOU107" s="974"/>
      <c r="BOV107" s="974"/>
      <c r="BOW107" s="974"/>
      <c r="BOX107" s="974"/>
      <c r="BOY107" s="974"/>
      <c r="BOZ107" s="974"/>
      <c r="BPA107" s="974"/>
      <c r="BPB107" s="974"/>
      <c r="BPC107" s="974"/>
      <c r="BPD107" s="974"/>
      <c r="BPE107" s="974"/>
      <c r="BPF107" s="974"/>
      <c r="BPG107" s="974"/>
      <c r="BPH107" s="974"/>
      <c r="BPI107" s="974"/>
      <c r="BPJ107" s="974"/>
      <c r="BPK107" s="974"/>
      <c r="BPL107" s="974"/>
      <c r="BPM107" s="974"/>
      <c r="BPN107" s="974"/>
      <c r="BPO107" s="974"/>
      <c r="BPP107" s="974"/>
      <c r="BPQ107" s="974"/>
      <c r="BPR107" s="974"/>
      <c r="BPS107" s="974"/>
      <c r="BPT107" s="974"/>
      <c r="BPU107" s="974"/>
      <c r="BPV107" s="974"/>
      <c r="BPW107" s="974"/>
      <c r="BPX107" s="974"/>
      <c r="BPY107" s="974"/>
      <c r="BPZ107" s="974"/>
      <c r="BQA107" s="974"/>
      <c r="BQB107" s="974"/>
      <c r="BQC107" s="974"/>
      <c r="BQD107" s="974"/>
      <c r="BQE107" s="974"/>
      <c r="BQF107" s="974"/>
      <c r="BQG107" s="974"/>
      <c r="BQH107" s="974"/>
      <c r="BQI107" s="974"/>
      <c r="BQJ107" s="974"/>
      <c r="BQK107" s="974"/>
      <c r="BQL107" s="974"/>
      <c r="BQM107" s="974"/>
      <c r="BQN107" s="974"/>
      <c r="BQO107" s="974"/>
      <c r="BQP107" s="974"/>
      <c r="BQQ107" s="974"/>
      <c r="BQR107" s="974"/>
      <c r="BQS107" s="974"/>
      <c r="BQT107" s="974"/>
      <c r="BQU107" s="974"/>
      <c r="BQV107" s="974"/>
      <c r="BQW107" s="974"/>
      <c r="BQX107" s="974"/>
      <c r="BQY107" s="974"/>
      <c r="BQZ107" s="974"/>
      <c r="BRA107" s="974"/>
      <c r="BRB107" s="974"/>
      <c r="BRC107" s="974"/>
      <c r="BRD107" s="974"/>
      <c r="BRE107" s="974"/>
      <c r="BRF107" s="974"/>
      <c r="BRG107" s="974"/>
      <c r="BRH107" s="974"/>
      <c r="BRI107" s="974"/>
      <c r="BRJ107" s="974"/>
      <c r="BRK107" s="974"/>
      <c r="BRL107" s="974"/>
      <c r="BRM107" s="974"/>
      <c r="BRN107" s="974"/>
      <c r="BRO107" s="974"/>
      <c r="BRP107" s="974"/>
      <c r="BRQ107" s="974"/>
      <c r="BRR107" s="974"/>
      <c r="BRS107" s="974"/>
      <c r="BRT107" s="974"/>
      <c r="BRU107" s="974"/>
      <c r="BRV107" s="974"/>
      <c r="BRW107" s="974"/>
      <c r="BRX107" s="974"/>
      <c r="BRY107" s="974"/>
      <c r="BRZ107" s="974"/>
      <c r="BSA107" s="974"/>
      <c r="BSB107" s="974"/>
      <c r="BSC107" s="974"/>
      <c r="BSD107" s="974"/>
      <c r="BSE107" s="974"/>
      <c r="BSF107" s="974"/>
      <c r="BSG107" s="974"/>
      <c r="BSH107" s="974"/>
      <c r="BSI107" s="974"/>
      <c r="BSJ107" s="974"/>
      <c r="BSK107" s="974"/>
      <c r="BSL107" s="974"/>
      <c r="BSM107" s="974"/>
      <c r="BSN107" s="974"/>
      <c r="BSO107" s="974"/>
      <c r="BSP107" s="974"/>
      <c r="BSQ107" s="974"/>
      <c r="BSR107" s="974"/>
      <c r="BSS107" s="974"/>
      <c r="BST107" s="974"/>
      <c r="BSU107" s="974"/>
      <c r="BSV107" s="974"/>
      <c r="BSW107" s="974"/>
      <c r="BSX107" s="974"/>
      <c r="BSY107" s="974"/>
      <c r="BSZ107" s="974"/>
      <c r="BTA107" s="974"/>
      <c r="BTB107" s="974"/>
      <c r="BTC107" s="974"/>
      <c r="BTD107" s="974"/>
      <c r="BTE107" s="974"/>
      <c r="BTF107" s="974"/>
      <c r="BTG107" s="974"/>
      <c r="BTH107" s="974"/>
      <c r="BTI107" s="974"/>
      <c r="BTJ107" s="974"/>
      <c r="BTK107" s="974"/>
      <c r="BTL107" s="974"/>
      <c r="BTM107" s="974"/>
      <c r="BTN107" s="974"/>
      <c r="BTO107" s="974"/>
      <c r="BTP107" s="974"/>
      <c r="BTQ107" s="974"/>
      <c r="BTR107" s="974"/>
      <c r="BTS107" s="974"/>
      <c r="BTT107" s="974"/>
      <c r="BTU107" s="974"/>
      <c r="BTV107" s="974"/>
      <c r="BTW107" s="974"/>
      <c r="BTX107" s="974"/>
      <c r="BTY107" s="974"/>
      <c r="BTZ107" s="974"/>
      <c r="BUA107" s="974"/>
      <c r="BUB107" s="974"/>
      <c r="BUC107" s="974"/>
      <c r="BUD107" s="974"/>
      <c r="BUE107" s="974"/>
      <c r="BUF107" s="974"/>
      <c r="BUG107" s="974"/>
      <c r="BUH107" s="974"/>
      <c r="BUI107" s="974"/>
      <c r="BUJ107" s="974"/>
      <c r="BUK107" s="974"/>
      <c r="BUL107" s="974"/>
      <c r="BUM107" s="974"/>
      <c r="BUN107" s="974"/>
      <c r="BUO107" s="974"/>
      <c r="BUP107" s="974"/>
      <c r="BUQ107" s="974"/>
      <c r="BUR107" s="974"/>
      <c r="BUS107" s="974"/>
      <c r="BUT107" s="974"/>
      <c r="BUU107" s="974"/>
      <c r="BUV107" s="974"/>
      <c r="BUW107" s="974"/>
      <c r="BUX107" s="974"/>
      <c r="BUY107" s="974"/>
      <c r="BUZ107" s="974"/>
      <c r="BVA107" s="974"/>
      <c r="BVB107" s="974"/>
      <c r="BVC107" s="974"/>
      <c r="BVD107" s="974"/>
      <c r="BVE107" s="974"/>
      <c r="BVF107" s="974"/>
      <c r="BVG107" s="974"/>
      <c r="BVH107" s="974"/>
      <c r="BVI107" s="974"/>
      <c r="BVJ107" s="974"/>
      <c r="BVK107" s="974"/>
      <c r="BVL107" s="974"/>
      <c r="BVM107" s="974"/>
      <c r="BVN107" s="974"/>
      <c r="BVO107" s="974"/>
      <c r="BVP107" s="974"/>
      <c r="BVQ107" s="974"/>
      <c r="BVR107" s="974"/>
      <c r="BVS107" s="974"/>
      <c r="BVT107" s="974"/>
      <c r="BVU107" s="974"/>
      <c r="BVV107" s="974"/>
      <c r="BVW107" s="974"/>
      <c r="BVX107" s="974"/>
      <c r="BVY107" s="974"/>
      <c r="BVZ107" s="974"/>
      <c r="BWA107" s="974"/>
      <c r="BWB107" s="974"/>
      <c r="BWC107" s="974"/>
      <c r="BWD107" s="974"/>
      <c r="BWE107" s="974"/>
      <c r="BWF107" s="974"/>
      <c r="BWG107" s="974"/>
      <c r="BWH107" s="974"/>
      <c r="BWI107" s="974"/>
      <c r="BWJ107" s="974"/>
      <c r="BWK107" s="974"/>
      <c r="BWL107" s="974"/>
      <c r="BWM107" s="974"/>
      <c r="BWN107" s="974"/>
      <c r="BWO107" s="974"/>
      <c r="BWP107" s="974"/>
      <c r="BWQ107" s="974"/>
      <c r="BWR107" s="974"/>
      <c r="BWS107" s="974"/>
      <c r="BWT107" s="974"/>
      <c r="BWU107" s="974"/>
      <c r="BWV107" s="974"/>
      <c r="BWW107" s="974"/>
      <c r="BWX107" s="974"/>
      <c r="BWY107" s="974"/>
      <c r="BWZ107" s="974"/>
      <c r="BXA107" s="974"/>
      <c r="BXB107" s="974"/>
      <c r="BXC107" s="974"/>
      <c r="BXD107" s="974"/>
      <c r="BXE107" s="974"/>
      <c r="BXF107" s="974"/>
      <c r="BXG107" s="974"/>
      <c r="BXH107" s="974"/>
      <c r="BXI107" s="974"/>
      <c r="BXJ107" s="974"/>
      <c r="BXK107" s="974"/>
      <c r="BXL107" s="974"/>
      <c r="BXM107" s="974"/>
      <c r="BXN107" s="974"/>
      <c r="BXO107" s="974"/>
      <c r="BXP107" s="974"/>
      <c r="BXQ107" s="974"/>
      <c r="BXR107" s="974"/>
      <c r="BXS107" s="974"/>
      <c r="BXT107" s="974"/>
      <c r="BXU107" s="974"/>
      <c r="BXV107" s="974"/>
      <c r="BXW107" s="974"/>
      <c r="BXX107" s="974"/>
      <c r="BXY107" s="974"/>
      <c r="BXZ107" s="974"/>
      <c r="BYA107" s="974"/>
      <c r="BYB107" s="974"/>
      <c r="BYC107" s="974"/>
      <c r="BYD107" s="974"/>
      <c r="BYE107" s="974"/>
      <c r="BYF107" s="974"/>
      <c r="BYG107" s="974"/>
      <c r="BYH107" s="974"/>
      <c r="BYI107" s="974"/>
      <c r="BYJ107" s="974"/>
      <c r="BYK107" s="974"/>
      <c r="BYL107" s="974"/>
      <c r="BYM107" s="974"/>
      <c r="BYN107" s="974"/>
      <c r="BYO107" s="974"/>
      <c r="BYP107" s="974"/>
      <c r="BYQ107" s="974"/>
      <c r="BYR107" s="974"/>
      <c r="BYS107" s="974"/>
      <c r="BYT107" s="974"/>
      <c r="BYU107" s="974"/>
      <c r="BYV107" s="974"/>
      <c r="BYW107" s="974"/>
      <c r="BYX107" s="974"/>
      <c r="BYY107" s="974"/>
      <c r="BYZ107" s="974"/>
      <c r="BZA107" s="974"/>
      <c r="BZB107" s="974"/>
      <c r="BZC107" s="974"/>
      <c r="BZD107" s="974"/>
      <c r="BZE107" s="974"/>
      <c r="BZF107" s="974"/>
      <c r="BZG107" s="974"/>
      <c r="BZH107" s="974"/>
      <c r="BZI107" s="974"/>
      <c r="BZJ107" s="974"/>
      <c r="BZK107" s="974"/>
      <c r="BZL107" s="974"/>
      <c r="BZM107" s="974"/>
      <c r="BZN107" s="974"/>
      <c r="BZO107" s="974"/>
      <c r="BZP107" s="974"/>
      <c r="BZQ107" s="974"/>
      <c r="BZR107" s="974"/>
      <c r="BZS107" s="974"/>
      <c r="BZT107" s="974"/>
      <c r="BZU107" s="974"/>
      <c r="BZV107" s="974"/>
      <c r="BZW107" s="974"/>
      <c r="BZX107" s="974"/>
      <c r="BZY107" s="974"/>
      <c r="BZZ107" s="974"/>
      <c r="CAA107" s="974"/>
      <c r="CAB107" s="974"/>
      <c r="CAC107" s="974"/>
      <c r="CAD107" s="974"/>
      <c r="CAE107" s="974"/>
      <c r="CAF107" s="974"/>
      <c r="CAG107" s="974"/>
      <c r="CAH107" s="974"/>
      <c r="CAI107" s="974"/>
      <c r="CAJ107" s="974"/>
      <c r="CAK107" s="974"/>
      <c r="CAL107" s="974"/>
      <c r="CAM107" s="974"/>
      <c r="CAN107" s="974"/>
      <c r="CAO107" s="974"/>
      <c r="CAP107" s="974"/>
      <c r="CAQ107" s="974"/>
      <c r="CAR107" s="974"/>
      <c r="CAS107" s="974"/>
      <c r="CAT107" s="974"/>
      <c r="CAU107" s="974"/>
      <c r="CAV107" s="974"/>
      <c r="CAW107" s="974"/>
      <c r="CAX107" s="974"/>
      <c r="CAY107" s="974"/>
      <c r="CAZ107" s="974"/>
      <c r="CBA107" s="974"/>
      <c r="CBB107" s="974"/>
      <c r="CBC107" s="974"/>
      <c r="CBD107" s="974"/>
      <c r="CBE107" s="974"/>
      <c r="CBF107" s="974"/>
      <c r="CBG107" s="974"/>
      <c r="CBH107" s="974"/>
      <c r="CBI107" s="974"/>
      <c r="CBJ107" s="974"/>
      <c r="CBK107" s="974"/>
      <c r="CBL107" s="974"/>
      <c r="CBM107" s="974"/>
      <c r="CBN107" s="974"/>
      <c r="CBO107" s="974"/>
      <c r="CBP107" s="974"/>
      <c r="CBQ107" s="974"/>
      <c r="CBR107" s="974"/>
      <c r="CBS107" s="974"/>
      <c r="CBT107" s="974"/>
      <c r="CBU107" s="974"/>
      <c r="CBV107" s="974"/>
      <c r="CBW107" s="974"/>
      <c r="CBX107" s="974"/>
      <c r="CBY107" s="974"/>
      <c r="CBZ107" s="974"/>
      <c r="CCA107" s="974"/>
      <c r="CCB107" s="974"/>
      <c r="CCC107" s="974"/>
      <c r="CCD107" s="974"/>
      <c r="CCE107" s="974"/>
      <c r="CCF107" s="974"/>
      <c r="CCG107" s="974"/>
      <c r="CCH107" s="974"/>
      <c r="CCI107" s="974"/>
      <c r="CCJ107" s="974"/>
      <c r="CCK107" s="974"/>
      <c r="CCL107" s="974"/>
      <c r="CCM107" s="974"/>
      <c r="CCN107" s="974"/>
      <c r="CCO107" s="974"/>
      <c r="CCP107" s="974"/>
      <c r="CCQ107" s="974"/>
      <c r="CCR107" s="974"/>
      <c r="CCS107" s="974"/>
      <c r="CCT107" s="974"/>
      <c r="CCU107" s="974"/>
      <c r="CCV107" s="974"/>
      <c r="CCW107" s="974"/>
      <c r="CCX107" s="974"/>
      <c r="CCY107" s="974"/>
      <c r="CCZ107" s="974"/>
      <c r="CDA107" s="974"/>
      <c r="CDB107" s="974"/>
      <c r="CDC107" s="974"/>
      <c r="CDD107" s="974"/>
      <c r="CDE107" s="974"/>
      <c r="CDF107" s="974"/>
      <c r="CDG107" s="974"/>
      <c r="CDH107" s="974"/>
      <c r="CDI107" s="974"/>
      <c r="CDJ107" s="974"/>
      <c r="CDK107" s="974"/>
      <c r="CDL107" s="974"/>
      <c r="CDM107" s="974"/>
      <c r="CDN107" s="974"/>
      <c r="CDO107" s="974"/>
      <c r="CDP107" s="974"/>
      <c r="CDQ107" s="974"/>
      <c r="CDR107" s="974"/>
      <c r="CDS107" s="974"/>
      <c r="CDT107" s="974"/>
      <c r="CDU107" s="974"/>
      <c r="CDV107" s="974"/>
      <c r="CDW107" s="974"/>
      <c r="CDX107" s="974"/>
      <c r="CDY107" s="974"/>
      <c r="CDZ107" s="974"/>
      <c r="CEA107" s="974"/>
      <c r="CEB107" s="974"/>
      <c r="CEC107" s="974"/>
      <c r="CED107" s="974"/>
      <c r="CEE107" s="974"/>
      <c r="CEF107" s="974"/>
      <c r="CEG107" s="974"/>
      <c r="CEH107" s="974"/>
      <c r="CEI107" s="974"/>
      <c r="CEJ107" s="974"/>
      <c r="CEK107" s="974"/>
      <c r="CEL107" s="974"/>
      <c r="CEM107" s="974"/>
      <c r="CEN107" s="974"/>
      <c r="CEO107" s="974"/>
      <c r="CEP107" s="974"/>
      <c r="CEQ107" s="974"/>
      <c r="CER107" s="974"/>
      <c r="CES107" s="974"/>
      <c r="CET107" s="974"/>
      <c r="CEU107" s="974"/>
      <c r="CEV107" s="974"/>
      <c r="CEW107" s="974"/>
      <c r="CEX107" s="974"/>
      <c r="CEY107" s="974"/>
      <c r="CEZ107" s="974"/>
      <c r="CFA107" s="974"/>
      <c r="CFB107" s="974"/>
      <c r="CFC107" s="974"/>
      <c r="CFD107" s="974"/>
      <c r="CFE107" s="974"/>
      <c r="CFF107" s="974"/>
      <c r="CFG107" s="974"/>
      <c r="CFH107" s="974"/>
      <c r="CFI107" s="974"/>
      <c r="CFJ107" s="974"/>
      <c r="CFK107" s="974"/>
      <c r="CFL107" s="974"/>
      <c r="CFM107" s="974"/>
      <c r="CFN107" s="974"/>
      <c r="CFO107" s="974"/>
      <c r="CFP107" s="974"/>
      <c r="CFQ107" s="974"/>
      <c r="CFR107" s="974"/>
      <c r="CFS107" s="974"/>
      <c r="CFT107" s="974"/>
      <c r="CFU107" s="974"/>
      <c r="CFV107" s="974"/>
      <c r="CFW107" s="974"/>
      <c r="CFX107" s="974"/>
      <c r="CFY107" s="974"/>
      <c r="CFZ107" s="974"/>
      <c r="CGA107" s="974"/>
      <c r="CGB107" s="974"/>
      <c r="CGC107" s="974"/>
      <c r="CGD107" s="974"/>
      <c r="CGE107" s="974"/>
      <c r="CGF107" s="974"/>
      <c r="CGG107" s="974"/>
      <c r="CGH107" s="974"/>
      <c r="CGI107" s="974"/>
      <c r="CGJ107" s="974"/>
      <c r="CGK107" s="974"/>
      <c r="CGL107" s="974"/>
      <c r="CGM107" s="974"/>
      <c r="CGN107" s="974"/>
      <c r="CGO107" s="974"/>
      <c r="CGP107" s="974"/>
      <c r="CGQ107" s="974"/>
      <c r="CGR107" s="974"/>
      <c r="CGS107" s="974"/>
      <c r="CGT107" s="974"/>
      <c r="CGU107" s="974"/>
      <c r="CGV107" s="974"/>
      <c r="CGW107" s="974"/>
      <c r="CGX107" s="974"/>
      <c r="CGY107" s="974"/>
      <c r="CGZ107" s="974"/>
      <c r="CHA107" s="974"/>
      <c r="CHB107" s="974"/>
      <c r="CHC107" s="974"/>
      <c r="CHD107" s="974"/>
      <c r="CHE107" s="974"/>
      <c r="CHF107" s="974"/>
      <c r="CHG107" s="974"/>
      <c r="CHH107" s="974"/>
      <c r="CHI107" s="974"/>
      <c r="CHJ107" s="974"/>
      <c r="CHK107" s="974"/>
      <c r="CHL107" s="974"/>
      <c r="CHM107" s="974"/>
      <c r="CHN107" s="974"/>
      <c r="CHO107" s="974"/>
      <c r="CHP107" s="974"/>
      <c r="CHQ107" s="974"/>
      <c r="CHR107" s="974"/>
      <c r="CHS107" s="974"/>
      <c r="CHT107" s="974"/>
      <c r="CHU107" s="974"/>
      <c r="CHV107" s="974"/>
      <c r="CHW107" s="974"/>
      <c r="CHX107" s="974"/>
      <c r="CHY107" s="974"/>
      <c r="CHZ107" s="974"/>
      <c r="CIA107" s="974"/>
      <c r="CIB107" s="974"/>
      <c r="CIC107" s="974"/>
      <c r="CID107" s="974"/>
      <c r="CIE107" s="974"/>
      <c r="CIF107" s="974"/>
      <c r="CIG107" s="974"/>
      <c r="CIH107" s="974"/>
      <c r="CII107" s="974"/>
      <c r="CIJ107" s="974"/>
      <c r="CIK107" s="974"/>
      <c r="CIL107" s="974"/>
      <c r="CIM107" s="974"/>
      <c r="CIN107" s="974"/>
      <c r="CIO107" s="974"/>
      <c r="CIP107" s="974"/>
      <c r="CIQ107" s="974"/>
      <c r="CIR107" s="974"/>
      <c r="CIS107" s="974"/>
      <c r="CIT107" s="974"/>
      <c r="CIU107" s="974"/>
      <c r="CIV107" s="974"/>
      <c r="CIW107" s="974"/>
      <c r="CIX107" s="974"/>
      <c r="CIY107" s="974"/>
      <c r="CIZ107" s="974"/>
      <c r="CJA107" s="974"/>
      <c r="CJB107" s="974"/>
      <c r="CJC107" s="974"/>
      <c r="CJD107" s="974"/>
      <c r="CJE107" s="974"/>
      <c r="CJF107" s="974"/>
      <c r="CJG107" s="974"/>
      <c r="CJH107" s="974"/>
      <c r="CJI107" s="974"/>
      <c r="CJJ107" s="974"/>
      <c r="CJK107" s="974"/>
      <c r="CJL107" s="974"/>
      <c r="CJM107" s="974"/>
      <c r="CJN107" s="974"/>
      <c r="CJO107" s="974"/>
      <c r="CJP107" s="974"/>
      <c r="CJQ107" s="974"/>
      <c r="CJR107" s="974"/>
      <c r="CJS107" s="974"/>
      <c r="CJT107" s="974"/>
      <c r="CJU107" s="974"/>
      <c r="CJV107" s="974"/>
      <c r="CJW107" s="974"/>
      <c r="CJX107" s="974"/>
      <c r="CJY107" s="974"/>
      <c r="CJZ107" s="974"/>
      <c r="CKA107" s="974"/>
      <c r="CKB107" s="974"/>
      <c r="CKC107" s="974"/>
      <c r="CKD107" s="974"/>
      <c r="CKE107" s="974"/>
      <c r="CKF107" s="974"/>
      <c r="CKG107" s="974"/>
      <c r="CKH107" s="974"/>
      <c r="CKI107" s="974"/>
      <c r="CKJ107" s="974"/>
      <c r="CKK107" s="974"/>
      <c r="CKL107" s="974"/>
      <c r="CKM107" s="974"/>
      <c r="CKN107" s="974"/>
      <c r="CKO107" s="974"/>
      <c r="CKP107" s="974"/>
      <c r="CKQ107" s="974"/>
      <c r="CKR107" s="974"/>
      <c r="CKS107" s="974"/>
      <c r="CKT107" s="974"/>
      <c r="CKU107" s="974"/>
      <c r="CKV107" s="974"/>
      <c r="CKW107" s="974"/>
      <c r="CKX107" s="974"/>
      <c r="CKY107" s="974"/>
      <c r="CKZ107" s="974"/>
      <c r="CLA107" s="974"/>
      <c r="CLB107" s="974"/>
      <c r="CLC107" s="974"/>
      <c r="CLD107" s="974"/>
      <c r="CLE107" s="974"/>
      <c r="CLF107" s="974"/>
      <c r="CLG107" s="974"/>
      <c r="CLH107" s="974"/>
      <c r="CLI107" s="974"/>
      <c r="CLJ107" s="974"/>
      <c r="CLK107" s="974"/>
      <c r="CLL107" s="974"/>
      <c r="CLM107" s="974"/>
      <c r="CLN107" s="974"/>
      <c r="CLO107" s="974"/>
      <c r="CLP107" s="974"/>
      <c r="CLQ107" s="974"/>
      <c r="CLR107" s="974"/>
      <c r="CLS107" s="974"/>
      <c r="CLT107" s="974"/>
      <c r="CLU107" s="974"/>
      <c r="CLV107" s="974"/>
      <c r="CLW107" s="974"/>
      <c r="CLX107" s="974"/>
      <c r="CLY107" s="974"/>
      <c r="CLZ107" s="974"/>
      <c r="CMA107" s="974"/>
      <c r="CMB107" s="974"/>
      <c r="CMC107" s="974"/>
      <c r="CMD107" s="974"/>
      <c r="CME107" s="974"/>
      <c r="CMF107" s="974"/>
      <c r="CMG107" s="974"/>
      <c r="CMH107" s="974"/>
      <c r="CMI107" s="974"/>
      <c r="CMJ107" s="974"/>
      <c r="CMK107" s="974"/>
      <c r="CML107" s="974"/>
      <c r="CMM107" s="974"/>
      <c r="CMN107" s="974"/>
      <c r="CMO107" s="974"/>
      <c r="CMP107" s="974"/>
      <c r="CMQ107" s="974"/>
      <c r="CMR107" s="974"/>
      <c r="CMS107" s="974"/>
      <c r="CMT107" s="974"/>
      <c r="CMU107" s="974"/>
      <c r="CMV107" s="974"/>
      <c r="CMW107" s="974"/>
      <c r="CMX107" s="974"/>
      <c r="CMY107" s="974"/>
      <c r="CMZ107" s="974"/>
      <c r="CNA107" s="974"/>
      <c r="CNB107" s="974"/>
      <c r="CNC107" s="974"/>
      <c r="CND107" s="974"/>
      <c r="CNE107" s="974"/>
      <c r="CNF107" s="974"/>
      <c r="CNG107" s="974"/>
      <c r="CNH107" s="974"/>
      <c r="CNI107" s="974"/>
      <c r="CNJ107" s="974"/>
      <c r="CNK107" s="974"/>
      <c r="CNL107" s="974"/>
      <c r="CNM107" s="974"/>
      <c r="CNN107" s="974"/>
      <c r="CNO107" s="974"/>
      <c r="CNP107" s="974"/>
      <c r="CNQ107" s="974"/>
      <c r="CNR107" s="974"/>
      <c r="CNS107" s="974"/>
      <c r="CNT107" s="974"/>
      <c r="CNU107" s="974"/>
      <c r="CNV107" s="974"/>
      <c r="CNW107" s="974"/>
      <c r="CNX107" s="974"/>
      <c r="CNY107" s="974"/>
      <c r="CNZ107" s="974"/>
      <c r="COA107" s="974"/>
      <c r="COB107" s="974"/>
      <c r="COC107" s="974"/>
      <c r="COD107" s="974"/>
      <c r="COE107" s="974"/>
      <c r="COF107" s="974"/>
      <c r="COG107" s="974"/>
      <c r="COH107" s="974"/>
      <c r="COI107" s="974"/>
      <c r="COJ107" s="974"/>
      <c r="COK107" s="974"/>
      <c r="COL107" s="974"/>
      <c r="COM107" s="974"/>
      <c r="CON107" s="974"/>
      <c r="COO107" s="974"/>
      <c r="COP107" s="974"/>
      <c r="COQ107" s="974"/>
      <c r="COR107" s="974"/>
      <c r="COS107" s="974"/>
      <c r="COT107" s="974"/>
      <c r="COU107" s="974"/>
      <c r="COV107" s="974"/>
      <c r="COW107" s="974"/>
      <c r="COX107" s="974"/>
      <c r="COY107" s="974"/>
      <c r="COZ107" s="974"/>
      <c r="CPA107" s="974"/>
      <c r="CPB107" s="974"/>
      <c r="CPC107" s="974"/>
      <c r="CPD107" s="974"/>
      <c r="CPE107" s="974"/>
      <c r="CPF107" s="974"/>
      <c r="CPG107" s="974"/>
      <c r="CPH107" s="974"/>
      <c r="CPI107" s="974"/>
      <c r="CPJ107" s="974"/>
      <c r="CPK107" s="974"/>
      <c r="CPL107" s="974"/>
      <c r="CPM107" s="974"/>
      <c r="CPN107" s="974"/>
      <c r="CPO107" s="974"/>
      <c r="CPP107" s="974"/>
      <c r="CPQ107" s="974"/>
      <c r="CPR107" s="974"/>
      <c r="CPS107" s="974"/>
      <c r="CPT107" s="974"/>
      <c r="CPU107" s="974"/>
      <c r="CPV107" s="974"/>
      <c r="CPW107" s="974"/>
      <c r="CPX107" s="974"/>
      <c r="CPY107" s="974"/>
      <c r="CPZ107" s="974"/>
      <c r="CQA107" s="974"/>
      <c r="CQB107" s="974"/>
      <c r="CQC107" s="974"/>
      <c r="CQD107" s="974"/>
      <c r="CQE107" s="974"/>
      <c r="CQF107" s="974"/>
      <c r="CQG107" s="974"/>
      <c r="CQH107" s="974"/>
      <c r="CQI107" s="974"/>
      <c r="CQJ107" s="974"/>
      <c r="CQK107" s="974"/>
      <c r="CQL107" s="974"/>
      <c r="CQM107" s="974"/>
      <c r="CQN107" s="974"/>
      <c r="CQO107" s="974"/>
      <c r="CQP107" s="974"/>
      <c r="CQQ107" s="974"/>
      <c r="CQR107" s="974"/>
      <c r="CQS107" s="974"/>
      <c r="CQT107" s="974"/>
      <c r="CQU107" s="974"/>
      <c r="CQV107" s="974"/>
      <c r="CQW107" s="974"/>
      <c r="CQX107" s="974"/>
      <c r="CQY107" s="974"/>
      <c r="CQZ107" s="974"/>
      <c r="CRA107" s="974"/>
      <c r="CRB107" s="974"/>
      <c r="CRC107" s="974"/>
      <c r="CRD107" s="974"/>
      <c r="CRE107" s="974"/>
      <c r="CRF107" s="974"/>
      <c r="CRG107" s="974"/>
      <c r="CRH107" s="974"/>
      <c r="CRI107" s="974"/>
      <c r="CRJ107" s="974"/>
      <c r="CRK107" s="974"/>
      <c r="CRL107" s="974"/>
      <c r="CRM107" s="974"/>
      <c r="CRN107" s="974"/>
      <c r="CRO107" s="974"/>
      <c r="CRP107" s="974"/>
      <c r="CRQ107" s="974"/>
      <c r="CRR107" s="974"/>
      <c r="CRS107" s="974"/>
      <c r="CRT107" s="974"/>
      <c r="CRU107" s="974"/>
      <c r="CRV107" s="974"/>
      <c r="CRW107" s="974"/>
      <c r="CRX107" s="974"/>
      <c r="CRY107" s="974"/>
      <c r="CRZ107" s="974"/>
      <c r="CSA107" s="974"/>
      <c r="CSB107" s="974"/>
      <c r="CSC107" s="974"/>
      <c r="CSD107" s="974"/>
      <c r="CSE107" s="974"/>
      <c r="CSF107" s="974"/>
      <c r="CSG107" s="974"/>
      <c r="CSH107" s="974"/>
      <c r="CSI107" s="974"/>
      <c r="CSJ107" s="974"/>
      <c r="CSK107" s="974"/>
      <c r="CSL107" s="974"/>
      <c r="CSM107" s="974"/>
      <c r="CSN107" s="974"/>
      <c r="CSO107" s="974"/>
      <c r="CSP107" s="974"/>
      <c r="CSQ107" s="974"/>
      <c r="CSR107" s="974"/>
      <c r="CSS107" s="974"/>
      <c r="CST107" s="974"/>
      <c r="CSU107" s="974"/>
      <c r="CSV107" s="974"/>
      <c r="CSW107" s="974"/>
      <c r="CSX107" s="974"/>
      <c r="CSY107" s="974"/>
      <c r="CSZ107" s="974"/>
      <c r="CTA107" s="974"/>
      <c r="CTB107" s="974"/>
      <c r="CTC107" s="974"/>
      <c r="CTD107" s="974"/>
      <c r="CTE107" s="974"/>
      <c r="CTF107" s="974"/>
      <c r="CTG107" s="974"/>
      <c r="CTH107" s="974"/>
      <c r="CTI107" s="974"/>
      <c r="CTJ107" s="974"/>
      <c r="CTK107" s="974"/>
      <c r="CTL107" s="974"/>
      <c r="CTM107" s="974"/>
      <c r="CTN107" s="974"/>
      <c r="CTO107" s="974"/>
      <c r="CTP107" s="974"/>
      <c r="CTQ107" s="974"/>
      <c r="CTR107" s="974"/>
      <c r="CTS107" s="974"/>
      <c r="CTT107" s="974"/>
      <c r="CTU107" s="974"/>
      <c r="CTV107" s="974"/>
      <c r="CTW107" s="974"/>
      <c r="CTX107" s="974"/>
      <c r="CTY107" s="974"/>
      <c r="CTZ107" s="974"/>
      <c r="CUA107" s="974"/>
      <c r="CUB107" s="974"/>
      <c r="CUC107" s="974"/>
      <c r="CUD107" s="974"/>
      <c r="CUE107" s="974"/>
      <c r="CUF107" s="974"/>
      <c r="CUG107" s="974"/>
      <c r="CUH107" s="974"/>
      <c r="CUI107" s="974"/>
      <c r="CUJ107" s="974"/>
      <c r="CUK107" s="974"/>
      <c r="CUL107" s="974"/>
      <c r="CUM107" s="974"/>
      <c r="CUN107" s="974"/>
      <c r="CUO107" s="974"/>
      <c r="CUP107" s="974"/>
      <c r="CUQ107" s="974"/>
      <c r="CUR107" s="974"/>
      <c r="CUS107" s="974"/>
      <c r="CUT107" s="974"/>
      <c r="CUU107" s="974"/>
      <c r="CUV107" s="974"/>
      <c r="CUW107" s="974"/>
      <c r="CUX107" s="974"/>
      <c r="CUY107" s="974"/>
      <c r="CUZ107" s="974"/>
      <c r="CVA107" s="974"/>
      <c r="CVB107" s="974"/>
      <c r="CVC107" s="974"/>
      <c r="CVD107" s="974"/>
      <c r="CVE107" s="974"/>
      <c r="CVF107" s="974"/>
      <c r="CVG107" s="974"/>
      <c r="CVH107" s="974"/>
      <c r="CVI107" s="974"/>
      <c r="CVJ107" s="974"/>
      <c r="CVK107" s="974"/>
      <c r="CVL107" s="974"/>
      <c r="CVM107" s="974"/>
      <c r="CVN107" s="974"/>
      <c r="CVO107" s="974"/>
      <c r="CVP107" s="974"/>
      <c r="CVQ107" s="974"/>
      <c r="CVR107" s="974"/>
      <c r="CVS107" s="974"/>
      <c r="CVT107" s="974"/>
      <c r="CVU107" s="974"/>
      <c r="CVV107" s="974"/>
      <c r="CVW107" s="974"/>
      <c r="CVX107" s="974"/>
      <c r="CVY107" s="974"/>
      <c r="CVZ107" s="974"/>
      <c r="CWA107" s="974"/>
      <c r="CWB107" s="974"/>
      <c r="CWC107" s="974"/>
      <c r="CWD107" s="974"/>
      <c r="CWE107" s="974"/>
      <c r="CWF107" s="974"/>
      <c r="CWG107" s="974"/>
      <c r="CWH107" s="974"/>
      <c r="CWI107" s="974"/>
      <c r="CWJ107" s="974"/>
      <c r="CWK107" s="974"/>
      <c r="CWL107" s="974"/>
      <c r="CWM107" s="974"/>
      <c r="CWN107" s="974"/>
      <c r="CWO107" s="974"/>
      <c r="CWP107" s="974"/>
      <c r="CWQ107" s="974"/>
      <c r="CWR107" s="974"/>
      <c r="CWS107" s="974"/>
      <c r="CWT107" s="974"/>
      <c r="CWU107" s="974"/>
      <c r="CWV107" s="974"/>
      <c r="CWW107" s="974"/>
      <c r="CWX107" s="974"/>
      <c r="CWY107" s="974"/>
      <c r="CWZ107" s="974"/>
      <c r="CXA107" s="974"/>
      <c r="CXB107" s="974"/>
      <c r="CXC107" s="974"/>
      <c r="CXD107" s="974"/>
      <c r="CXE107" s="974"/>
      <c r="CXF107" s="974"/>
      <c r="CXG107" s="974"/>
      <c r="CXH107" s="974"/>
      <c r="CXI107" s="974"/>
      <c r="CXJ107" s="974"/>
      <c r="CXK107" s="974"/>
      <c r="CXL107" s="974"/>
      <c r="CXM107" s="974"/>
      <c r="CXN107" s="974"/>
      <c r="CXO107" s="974"/>
      <c r="CXP107" s="974"/>
      <c r="CXQ107" s="974"/>
      <c r="CXR107" s="974"/>
      <c r="CXS107" s="974"/>
      <c r="CXT107" s="974"/>
      <c r="CXU107" s="974"/>
      <c r="CXV107" s="974"/>
      <c r="CXW107" s="974"/>
      <c r="CXX107" s="974"/>
      <c r="CXY107" s="974"/>
      <c r="CXZ107" s="974"/>
      <c r="CYA107" s="974"/>
      <c r="CYB107" s="974"/>
      <c r="CYC107" s="974"/>
      <c r="CYD107" s="974"/>
      <c r="CYE107" s="974"/>
      <c r="CYF107" s="974"/>
      <c r="CYG107" s="974"/>
      <c r="CYH107" s="974"/>
      <c r="CYI107" s="974"/>
      <c r="CYJ107" s="974"/>
      <c r="CYK107" s="974"/>
      <c r="CYL107" s="974"/>
      <c r="CYM107" s="974"/>
      <c r="CYN107" s="974"/>
      <c r="CYO107" s="974"/>
      <c r="CYP107" s="974"/>
      <c r="CYQ107" s="974"/>
      <c r="CYR107" s="974"/>
      <c r="CYS107" s="974"/>
      <c r="CYT107" s="974"/>
      <c r="CYU107" s="974"/>
      <c r="CYV107" s="974"/>
      <c r="CYW107" s="974"/>
      <c r="CYX107" s="974"/>
      <c r="CYY107" s="974"/>
      <c r="CYZ107" s="974"/>
      <c r="CZA107" s="974"/>
      <c r="CZB107" s="974"/>
      <c r="CZC107" s="974"/>
      <c r="CZD107" s="974"/>
      <c r="CZE107" s="974"/>
      <c r="CZF107" s="974"/>
      <c r="CZG107" s="974"/>
      <c r="CZH107" s="974"/>
      <c r="CZI107" s="974"/>
      <c r="CZJ107" s="974"/>
      <c r="CZK107" s="974"/>
      <c r="CZL107" s="974"/>
      <c r="CZM107" s="974"/>
      <c r="CZN107" s="974"/>
      <c r="CZO107" s="974"/>
      <c r="CZP107" s="974"/>
      <c r="CZQ107" s="974"/>
      <c r="CZR107" s="974"/>
      <c r="CZS107" s="974"/>
      <c r="CZT107" s="974"/>
      <c r="CZU107" s="974"/>
      <c r="CZV107" s="974"/>
      <c r="CZW107" s="974"/>
      <c r="CZX107" s="974"/>
      <c r="CZY107" s="974"/>
      <c r="CZZ107" s="974"/>
      <c r="DAA107" s="974"/>
      <c r="DAB107" s="974"/>
      <c r="DAC107" s="974"/>
      <c r="DAD107" s="974"/>
      <c r="DAE107" s="974"/>
      <c r="DAF107" s="974"/>
      <c r="DAG107" s="974"/>
      <c r="DAH107" s="974"/>
      <c r="DAI107" s="974"/>
      <c r="DAJ107" s="974"/>
      <c r="DAK107" s="974"/>
      <c r="DAL107" s="974"/>
      <c r="DAM107" s="974"/>
      <c r="DAN107" s="974"/>
      <c r="DAO107" s="974"/>
      <c r="DAP107" s="974"/>
      <c r="DAQ107" s="974"/>
      <c r="DAR107" s="974"/>
      <c r="DAS107" s="974"/>
      <c r="DAT107" s="974"/>
      <c r="DAU107" s="974"/>
      <c r="DAV107" s="974"/>
      <c r="DAW107" s="974"/>
      <c r="DAX107" s="974"/>
      <c r="DAY107" s="974"/>
      <c r="DAZ107" s="974"/>
      <c r="DBA107" s="974"/>
      <c r="DBB107" s="974"/>
      <c r="DBC107" s="974"/>
      <c r="DBD107" s="974"/>
      <c r="DBE107" s="974"/>
      <c r="DBF107" s="974"/>
      <c r="DBG107" s="974"/>
      <c r="DBH107" s="974"/>
      <c r="DBI107" s="974"/>
      <c r="DBJ107" s="974"/>
      <c r="DBK107" s="974"/>
      <c r="DBL107" s="974"/>
      <c r="DBM107" s="974"/>
      <c r="DBN107" s="974"/>
      <c r="DBO107" s="974"/>
      <c r="DBP107" s="974"/>
      <c r="DBQ107" s="974"/>
      <c r="DBR107" s="974"/>
      <c r="DBS107" s="974"/>
      <c r="DBT107" s="974"/>
      <c r="DBU107" s="974"/>
      <c r="DBV107" s="974"/>
      <c r="DBW107" s="974"/>
      <c r="DBX107" s="974"/>
      <c r="DBY107" s="974"/>
      <c r="DBZ107" s="974"/>
      <c r="DCA107" s="974"/>
      <c r="DCB107" s="974"/>
      <c r="DCC107" s="974"/>
      <c r="DCD107" s="974"/>
      <c r="DCE107" s="974"/>
      <c r="DCF107" s="974"/>
      <c r="DCG107" s="974"/>
      <c r="DCH107" s="974"/>
      <c r="DCI107" s="974"/>
      <c r="DCJ107" s="974"/>
      <c r="DCK107" s="974"/>
      <c r="DCL107" s="974"/>
      <c r="DCM107" s="974"/>
      <c r="DCN107" s="974"/>
      <c r="DCO107" s="974"/>
      <c r="DCP107" s="974"/>
      <c r="DCQ107" s="974"/>
      <c r="DCR107" s="974"/>
      <c r="DCS107" s="974"/>
      <c r="DCT107" s="974"/>
      <c r="DCU107" s="974"/>
      <c r="DCV107" s="974"/>
      <c r="DCW107" s="974"/>
      <c r="DCX107" s="974"/>
      <c r="DCY107" s="974"/>
      <c r="DCZ107" s="974"/>
      <c r="DDA107" s="974"/>
      <c r="DDB107" s="974"/>
      <c r="DDC107" s="974"/>
      <c r="DDD107" s="974"/>
      <c r="DDE107" s="974"/>
      <c r="DDF107" s="974"/>
      <c r="DDG107" s="974"/>
      <c r="DDH107" s="974"/>
      <c r="DDI107" s="974"/>
      <c r="DDJ107" s="974"/>
      <c r="DDK107" s="974"/>
      <c r="DDL107" s="974"/>
      <c r="DDM107" s="974"/>
      <c r="DDN107" s="974"/>
      <c r="DDO107" s="974"/>
      <c r="DDP107" s="974"/>
      <c r="DDQ107" s="974"/>
      <c r="DDR107" s="974"/>
      <c r="DDS107" s="974"/>
      <c r="DDT107" s="974"/>
      <c r="DDU107" s="974"/>
      <c r="DDV107" s="974"/>
      <c r="DDW107" s="974"/>
      <c r="DDX107" s="974"/>
      <c r="DDY107" s="974"/>
      <c r="DDZ107" s="974"/>
      <c r="DEA107" s="974"/>
      <c r="DEB107" s="974"/>
      <c r="DEC107" s="974"/>
      <c r="DED107" s="974"/>
      <c r="DEE107" s="974"/>
      <c r="DEF107" s="974"/>
      <c r="DEG107" s="974"/>
      <c r="DEH107" s="974"/>
      <c r="DEI107" s="974"/>
      <c r="DEJ107" s="974"/>
      <c r="DEK107" s="974"/>
      <c r="DEL107" s="974"/>
      <c r="DEM107" s="974"/>
      <c r="DEN107" s="974"/>
      <c r="DEO107" s="974"/>
      <c r="DEP107" s="974"/>
      <c r="DEQ107" s="974"/>
      <c r="DER107" s="974"/>
      <c r="DES107" s="974"/>
      <c r="DET107" s="974"/>
      <c r="DEU107" s="974"/>
      <c r="DEV107" s="974"/>
      <c r="DEW107" s="974"/>
      <c r="DEX107" s="974"/>
      <c r="DEY107" s="974"/>
      <c r="DEZ107" s="974"/>
      <c r="DFA107" s="974"/>
      <c r="DFB107" s="974"/>
      <c r="DFC107" s="974"/>
      <c r="DFD107" s="974"/>
      <c r="DFE107" s="974"/>
      <c r="DFF107" s="974"/>
      <c r="DFG107" s="974"/>
      <c r="DFH107" s="974"/>
      <c r="DFI107" s="974"/>
      <c r="DFJ107" s="974"/>
      <c r="DFK107" s="974"/>
      <c r="DFL107" s="974"/>
      <c r="DFM107" s="974"/>
      <c r="DFN107" s="974"/>
      <c r="DFO107" s="974"/>
      <c r="DFP107" s="974"/>
      <c r="DFQ107" s="974"/>
      <c r="DFR107" s="974"/>
      <c r="DFS107" s="974"/>
      <c r="DFT107" s="974"/>
      <c r="DFU107" s="974"/>
      <c r="DFV107" s="974"/>
      <c r="DFW107" s="974"/>
      <c r="DFX107" s="974"/>
      <c r="DFY107" s="974"/>
      <c r="DFZ107" s="974"/>
      <c r="DGA107" s="974"/>
      <c r="DGB107" s="974"/>
      <c r="DGC107" s="974"/>
      <c r="DGD107" s="974"/>
      <c r="DGE107" s="974"/>
      <c r="DGF107" s="974"/>
      <c r="DGG107" s="974"/>
      <c r="DGH107" s="974"/>
      <c r="DGI107" s="974"/>
      <c r="DGJ107" s="974"/>
      <c r="DGK107" s="974"/>
      <c r="DGL107" s="974"/>
      <c r="DGM107" s="974"/>
      <c r="DGN107" s="974"/>
      <c r="DGO107" s="974"/>
      <c r="DGP107" s="974"/>
      <c r="DGQ107" s="974"/>
      <c r="DGR107" s="974"/>
      <c r="DGS107" s="974"/>
      <c r="DGT107" s="974"/>
      <c r="DGU107" s="974"/>
      <c r="DGV107" s="974"/>
      <c r="DGW107" s="974"/>
      <c r="DGX107" s="974"/>
      <c r="DGY107" s="974"/>
      <c r="DGZ107" s="974"/>
      <c r="DHA107" s="974"/>
      <c r="DHB107" s="974"/>
      <c r="DHC107" s="974"/>
      <c r="DHD107" s="974"/>
      <c r="DHE107" s="974"/>
      <c r="DHF107" s="974"/>
      <c r="DHG107" s="974"/>
      <c r="DHH107" s="974"/>
      <c r="DHI107" s="974"/>
      <c r="DHJ107" s="974"/>
      <c r="DHK107" s="974"/>
      <c r="DHL107" s="974"/>
      <c r="DHM107" s="974"/>
      <c r="DHN107" s="974"/>
      <c r="DHO107" s="974"/>
      <c r="DHP107" s="974"/>
      <c r="DHQ107" s="974"/>
      <c r="DHR107" s="974"/>
      <c r="DHS107" s="974"/>
      <c r="DHT107" s="974"/>
      <c r="DHU107" s="974"/>
      <c r="DHV107" s="974"/>
      <c r="DHW107" s="974"/>
      <c r="DHX107" s="974"/>
      <c r="DHY107" s="974"/>
      <c r="DHZ107" s="974"/>
      <c r="DIA107" s="974"/>
      <c r="DIB107" s="974"/>
      <c r="DIC107" s="974"/>
      <c r="DID107" s="974"/>
      <c r="DIE107" s="974"/>
      <c r="DIF107" s="974"/>
      <c r="DIG107" s="974"/>
      <c r="DIH107" s="974"/>
      <c r="DII107" s="974"/>
      <c r="DIJ107" s="974"/>
      <c r="DIK107" s="974"/>
      <c r="DIL107" s="974"/>
      <c r="DIM107" s="974"/>
      <c r="DIN107" s="974"/>
      <c r="DIO107" s="974"/>
      <c r="DIP107" s="974"/>
      <c r="DIQ107" s="974"/>
      <c r="DIR107" s="974"/>
      <c r="DIS107" s="974"/>
      <c r="DIT107" s="974"/>
      <c r="DIU107" s="974"/>
      <c r="DIV107" s="974"/>
      <c r="DIW107" s="974"/>
      <c r="DIX107" s="974"/>
      <c r="DIY107" s="974"/>
      <c r="DIZ107" s="974"/>
      <c r="DJA107" s="974"/>
      <c r="DJB107" s="974"/>
      <c r="DJC107" s="974"/>
      <c r="DJD107" s="974"/>
      <c r="DJE107" s="974"/>
      <c r="DJF107" s="974"/>
      <c r="DJG107" s="974"/>
      <c r="DJH107" s="974"/>
      <c r="DJI107" s="974"/>
      <c r="DJJ107" s="974"/>
      <c r="DJK107" s="974"/>
      <c r="DJL107" s="974"/>
      <c r="DJM107" s="974"/>
      <c r="DJN107" s="974"/>
      <c r="DJO107" s="974"/>
      <c r="DJP107" s="974"/>
      <c r="DJQ107" s="974"/>
      <c r="DJR107" s="974"/>
      <c r="DJS107" s="974"/>
      <c r="DJT107" s="974"/>
      <c r="DJU107" s="974"/>
      <c r="DJV107" s="974"/>
      <c r="DJW107" s="974"/>
      <c r="DJX107" s="974"/>
      <c r="DJY107" s="974"/>
      <c r="DJZ107" s="974"/>
      <c r="DKA107" s="974"/>
      <c r="DKB107" s="974"/>
      <c r="DKC107" s="974"/>
      <c r="DKD107" s="974"/>
      <c r="DKE107" s="974"/>
      <c r="DKF107" s="974"/>
      <c r="DKG107" s="974"/>
      <c r="DKH107" s="974"/>
      <c r="DKI107" s="974"/>
      <c r="DKJ107" s="974"/>
      <c r="DKK107" s="974"/>
      <c r="DKL107" s="974"/>
      <c r="DKM107" s="974"/>
      <c r="DKN107" s="974"/>
      <c r="DKO107" s="974"/>
      <c r="DKP107" s="974"/>
      <c r="DKQ107" s="974"/>
      <c r="DKR107" s="974"/>
      <c r="DKS107" s="974"/>
      <c r="DKT107" s="974"/>
      <c r="DKU107" s="974"/>
      <c r="DKV107" s="974"/>
      <c r="DKW107" s="974"/>
      <c r="DKX107" s="974"/>
      <c r="DKY107" s="974"/>
      <c r="DKZ107" s="974"/>
      <c r="DLA107" s="974"/>
      <c r="DLB107" s="974"/>
      <c r="DLC107" s="974"/>
      <c r="DLD107" s="974"/>
      <c r="DLE107" s="974"/>
      <c r="DLF107" s="974"/>
      <c r="DLG107" s="974"/>
      <c r="DLH107" s="974"/>
      <c r="DLI107" s="974"/>
      <c r="DLJ107" s="974"/>
      <c r="DLK107" s="974"/>
      <c r="DLL107" s="974"/>
      <c r="DLM107" s="974"/>
      <c r="DLN107" s="974"/>
      <c r="DLO107" s="974"/>
      <c r="DLP107" s="974"/>
      <c r="DLQ107" s="974"/>
      <c r="DLR107" s="974"/>
      <c r="DLS107" s="974"/>
      <c r="DLT107" s="974"/>
      <c r="DLU107" s="974"/>
      <c r="DLV107" s="974"/>
      <c r="DLW107" s="974"/>
      <c r="DLX107" s="974"/>
      <c r="DLY107" s="974"/>
      <c r="DLZ107" s="974"/>
      <c r="DMA107" s="974"/>
      <c r="DMB107" s="974"/>
      <c r="DMC107" s="974"/>
      <c r="DMD107" s="974"/>
      <c r="DME107" s="974"/>
      <c r="DMF107" s="974"/>
      <c r="DMG107" s="974"/>
      <c r="DMH107" s="974"/>
      <c r="DMI107" s="974"/>
      <c r="DMJ107" s="974"/>
      <c r="DMK107" s="974"/>
      <c r="DML107" s="974"/>
      <c r="DMM107" s="974"/>
      <c r="DMN107" s="974"/>
      <c r="DMO107" s="974"/>
      <c r="DMP107" s="974"/>
      <c r="DMQ107" s="974"/>
      <c r="DMR107" s="974"/>
      <c r="DMS107" s="974"/>
      <c r="DMT107" s="974"/>
      <c r="DMU107" s="974"/>
      <c r="DMV107" s="974"/>
      <c r="DMW107" s="974"/>
      <c r="DMX107" s="974"/>
      <c r="DMY107" s="974"/>
      <c r="DMZ107" s="974"/>
      <c r="DNA107" s="974"/>
      <c r="DNB107" s="974"/>
      <c r="DNC107" s="974"/>
      <c r="DND107" s="974"/>
      <c r="DNE107" s="974"/>
      <c r="DNF107" s="974"/>
      <c r="DNG107" s="974"/>
      <c r="DNH107" s="974"/>
      <c r="DNI107" s="974"/>
      <c r="DNJ107" s="974"/>
      <c r="DNK107" s="974"/>
      <c r="DNL107" s="974"/>
      <c r="DNM107" s="974"/>
      <c r="DNN107" s="974"/>
      <c r="DNO107" s="974"/>
      <c r="DNP107" s="974"/>
      <c r="DNQ107" s="974"/>
      <c r="DNR107" s="974"/>
      <c r="DNS107" s="974"/>
      <c r="DNT107" s="974"/>
      <c r="DNU107" s="974"/>
      <c r="DNV107" s="974"/>
      <c r="DNW107" s="974"/>
      <c r="DNX107" s="974"/>
      <c r="DNY107" s="974"/>
      <c r="DNZ107" s="974"/>
      <c r="DOA107" s="974"/>
      <c r="DOB107" s="974"/>
      <c r="DOC107" s="974"/>
      <c r="DOD107" s="974"/>
      <c r="DOE107" s="974"/>
      <c r="DOF107" s="974"/>
      <c r="DOG107" s="974"/>
      <c r="DOH107" s="974"/>
      <c r="DOI107" s="974"/>
      <c r="DOJ107" s="974"/>
      <c r="DOK107" s="974"/>
      <c r="DOL107" s="974"/>
      <c r="DOM107" s="974"/>
      <c r="DON107" s="974"/>
      <c r="DOO107" s="974"/>
      <c r="DOP107" s="974"/>
      <c r="DOQ107" s="974"/>
      <c r="DOR107" s="974"/>
      <c r="DOS107" s="974"/>
      <c r="DOT107" s="974"/>
      <c r="DOU107" s="974"/>
      <c r="DOV107" s="974"/>
      <c r="DOW107" s="974"/>
      <c r="DOX107" s="974"/>
      <c r="DOY107" s="974"/>
      <c r="DOZ107" s="974"/>
      <c r="DPA107" s="974"/>
      <c r="DPB107" s="974"/>
      <c r="DPC107" s="974"/>
      <c r="DPD107" s="974"/>
      <c r="DPE107" s="974"/>
      <c r="DPF107" s="974"/>
      <c r="DPG107" s="974"/>
      <c r="DPH107" s="974"/>
      <c r="DPI107" s="974"/>
      <c r="DPJ107" s="974"/>
      <c r="DPK107" s="974"/>
      <c r="DPL107" s="974"/>
      <c r="DPM107" s="974"/>
      <c r="DPN107" s="974"/>
      <c r="DPO107" s="974"/>
      <c r="DPP107" s="974"/>
      <c r="DPQ107" s="974"/>
      <c r="DPR107" s="974"/>
      <c r="DPS107" s="974"/>
      <c r="DPT107" s="974"/>
      <c r="DPU107" s="974"/>
      <c r="DPV107" s="974"/>
      <c r="DPW107" s="974"/>
      <c r="DPX107" s="974"/>
      <c r="DPY107" s="974"/>
      <c r="DPZ107" s="974"/>
      <c r="DQA107" s="974"/>
      <c r="DQB107" s="974"/>
      <c r="DQC107" s="974"/>
      <c r="DQD107" s="974"/>
      <c r="DQE107" s="974"/>
      <c r="DQF107" s="974"/>
      <c r="DQG107" s="974"/>
      <c r="DQH107" s="974"/>
      <c r="DQI107" s="974"/>
      <c r="DQJ107" s="974"/>
      <c r="DQK107" s="974"/>
      <c r="DQL107" s="974"/>
      <c r="DQM107" s="974"/>
      <c r="DQN107" s="974"/>
      <c r="DQO107" s="974"/>
      <c r="DQP107" s="974"/>
      <c r="DQQ107" s="974"/>
      <c r="DQR107" s="974"/>
      <c r="DQS107" s="974"/>
      <c r="DQT107" s="974"/>
      <c r="DQU107" s="974"/>
      <c r="DQV107" s="974"/>
      <c r="DQW107" s="974"/>
      <c r="DQX107" s="974"/>
      <c r="DQY107" s="974"/>
      <c r="DQZ107" s="974"/>
      <c r="DRA107" s="974"/>
      <c r="DRB107" s="974"/>
      <c r="DRC107" s="974"/>
      <c r="DRD107" s="974"/>
      <c r="DRE107" s="974"/>
      <c r="DRF107" s="974"/>
      <c r="DRG107" s="974"/>
      <c r="DRH107" s="974"/>
      <c r="DRI107" s="974"/>
      <c r="DRJ107" s="974"/>
      <c r="DRK107" s="974"/>
      <c r="DRL107" s="974"/>
      <c r="DRM107" s="974"/>
      <c r="DRN107" s="974"/>
      <c r="DRO107" s="974"/>
      <c r="DRP107" s="974"/>
      <c r="DRQ107" s="974"/>
      <c r="DRR107" s="974"/>
      <c r="DRS107" s="974"/>
      <c r="DRT107" s="974"/>
      <c r="DRU107" s="974"/>
      <c r="DRV107" s="974"/>
      <c r="DRW107" s="974"/>
      <c r="DRX107" s="974"/>
      <c r="DRY107" s="974"/>
      <c r="DRZ107" s="974"/>
      <c r="DSA107" s="974"/>
      <c r="DSB107" s="974"/>
      <c r="DSC107" s="974"/>
      <c r="DSD107" s="974"/>
      <c r="DSE107" s="974"/>
      <c r="DSF107" s="974"/>
      <c r="DSG107" s="974"/>
      <c r="DSH107" s="974"/>
      <c r="DSI107" s="974"/>
      <c r="DSJ107" s="974"/>
      <c r="DSK107" s="974"/>
      <c r="DSL107" s="974"/>
      <c r="DSM107" s="974"/>
      <c r="DSN107" s="974"/>
      <c r="DSO107" s="974"/>
      <c r="DSP107" s="974"/>
      <c r="DSQ107" s="974"/>
      <c r="DSR107" s="974"/>
      <c r="DSS107" s="974"/>
      <c r="DST107" s="974"/>
      <c r="DSU107" s="974"/>
      <c r="DSV107" s="974"/>
      <c r="DSW107" s="974"/>
      <c r="DSX107" s="974"/>
      <c r="DSY107" s="974"/>
      <c r="DSZ107" s="974"/>
      <c r="DTA107" s="974"/>
      <c r="DTB107" s="974"/>
      <c r="DTC107" s="974"/>
      <c r="DTD107" s="974"/>
      <c r="DTE107" s="974"/>
      <c r="DTF107" s="974"/>
      <c r="DTG107" s="974"/>
      <c r="DTH107" s="974"/>
      <c r="DTI107" s="974"/>
      <c r="DTJ107" s="974"/>
      <c r="DTK107" s="974"/>
      <c r="DTL107" s="974"/>
      <c r="DTM107" s="974"/>
      <c r="DTN107" s="974"/>
      <c r="DTO107" s="974"/>
      <c r="DTP107" s="974"/>
      <c r="DTQ107" s="974"/>
      <c r="DTR107" s="974"/>
      <c r="DTS107" s="974"/>
      <c r="DTT107" s="974"/>
      <c r="DTU107" s="974"/>
      <c r="DTV107" s="974"/>
      <c r="DTW107" s="974"/>
      <c r="DTX107" s="974"/>
      <c r="DTY107" s="974"/>
      <c r="DTZ107" s="974"/>
      <c r="DUA107" s="974"/>
      <c r="DUB107" s="974"/>
      <c r="DUC107" s="974"/>
      <c r="DUD107" s="974"/>
      <c r="DUE107" s="974"/>
      <c r="DUF107" s="974"/>
      <c r="DUG107" s="974"/>
      <c r="DUH107" s="974"/>
      <c r="DUI107" s="974"/>
      <c r="DUJ107" s="974"/>
      <c r="DUK107" s="974"/>
      <c r="DUL107" s="974"/>
      <c r="DUM107" s="974"/>
      <c r="DUN107" s="974"/>
      <c r="DUO107" s="974"/>
      <c r="DUP107" s="974"/>
      <c r="DUQ107" s="974"/>
      <c r="DUR107" s="974"/>
      <c r="DUS107" s="974"/>
      <c r="DUT107" s="974"/>
      <c r="DUU107" s="974"/>
      <c r="DUV107" s="974"/>
      <c r="DUW107" s="974"/>
      <c r="DUX107" s="974"/>
      <c r="DUY107" s="974"/>
      <c r="DUZ107" s="974"/>
      <c r="DVA107" s="974"/>
      <c r="DVB107" s="974"/>
      <c r="DVC107" s="974"/>
      <c r="DVD107" s="974"/>
      <c r="DVE107" s="974"/>
      <c r="DVF107" s="974"/>
      <c r="DVG107" s="974"/>
      <c r="DVH107" s="974"/>
      <c r="DVI107" s="974"/>
      <c r="DVJ107" s="974"/>
      <c r="DVK107" s="974"/>
      <c r="DVL107" s="974"/>
      <c r="DVM107" s="974"/>
      <c r="DVN107" s="974"/>
      <c r="DVO107" s="974"/>
      <c r="DVP107" s="974"/>
      <c r="DVQ107" s="974"/>
      <c r="DVR107" s="974"/>
      <c r="DVS107" s="974"/>
      <c r="DVT107" s="974"/>
      <c r="DVU107" s="974"/>
      <c r="DVV107" s="974"/>
      <c r="DVW107" s="974"/>
      <c r="DVX107" s="974"/>
      <c r="DVY107" s="974"/>
      <c r="DVZ107" s="974"/>
      <c r="DWA107" s="974"/>
      <c r="DWB107" s="974"/>
      <c r="DWC107" s="974"/>
      <c r="DWD107" s="974"/>
      <c r="DWE107" s="974"/>
      <c r="DWF107" s="974"/>
      <c r="DWG107" s="974"/>
      <c r="DWH107" s="974"/>
      <c r="DWI107" s="974"/>
      <c r="DWJ107" s="974"/>
      <c r="DWK107" s="974"/>
      <c r="DWL107" s="974"/>
      <c r="DWM107" s="974"/>
      <c r="DWN107" s="974"/>
      <c r="DWO107" s="974"/>
      <c r="DWP107" s="974"/>
      <c r="DWQ107" s="974"/>
      <c r="DWR107" s="974"/>
      <c r="DWS107" s="974"/>
      <c r="DWT107" s="974"/>
      <c r="DWU107" s="974"/>
      <c r="DWV107" s="974"/>
      <c r="DWW107" s="974"/>
      <c r="DWX107" s="974"/>
      <c r="DWY107" s="974"/>
      <c r="DWZ107" s="974"/>
      <c r="DXA107" s="974"/>
      <c r="DXB107" s="974"/>
      <c r="DXC107" s="974"/>
      <c r="DXD107" s="974"/>
      <c r="DXE107" s="974"/>
      <c r="DXF107" s="974"/>
      <c r="DXG107" s="974"/>
      <c r="DXH107" s="974"/>
      <c r="DXI107" s="974"/>
      <c r="DXJ107" s="974"/>
      <c r="DXK107" s="974"/>
      <c r="DXL107" s="974"/>
      <c r="DXM107" s="974"/>
      <c r="DXN107" s="974"/>
      <c r="DXO107" s="974"/>
      <c r="DXP107" s="974"/>
      <c r="DXQ107" s="974"/>
      <c r="DXR107" s="974"/>
      <c r="DXS107" s="974"/>
      <c r="DXT107" s="974"/>
      <c r="DXU107" s="974"/>
      <c r="DXV107" s="974"/>
      <c r="DXW107" s="974"/>
      <c r="DXX107" s="974"/>
      <c r="DXY107" s="974"/>
      <c r="DXZ107" s="974"/>
      <c r="DYA107" s="974"/>
      <c r="DYB107" s="974"/>
      <c r="DYC107" s="974"/>
      <c r="DYD107" s="974"/>
      <c r="DYE107" s="974"/>
      <c r="DYF107" s="974"/>
      <c r="DYG107" s="974"/>
      <c r="DYH107" s="974"/>
      <c r="DYI107" s="974"/>
      <c r="DYJ107" s="974"/>
      <c r="DYK107" s="974"/>
      <c r="DYL107" s="974"/>
      <c r="DYM107" s="974"/>
      <c r="DYN107" s="974"/>
      <c r="DYO107" s="974"/>
      <c r="DYP107" s="974"/>
      <c r="DYQ107" s="974"/>
      <c r="DYR107" s="974"/>
      <c r="DYS107" s="974"/>
      <c r="DYT107" s="974"/>
      <c r="DYU107" s="974"/>
      <c r="DYV107" s="974"/>
      <c r="DYW107" s="974"/>
      <c r="DYX107" s="974"/>
      <c r="DYY107" s="974"/>
      <c r="DYZ107" s="974"/>
      <c r="DZA107" s="974"/>
      <c r="DZB107" s="974"/>
      <c r="DZC107" s="974"/>
      <c r="DZD107" s="974"/>
      <c r="DZE107" s="974"/>
      <c r="DZF107" s="974"/>
      <c r="DZG107" s="974"/>
      <c r="DZH107" s="974"/>
      <c r="DZI107" s="974"/>
      <c r="DZJ107" s="974"/>
      <c r="DZK107" s="974"/>
      <c r="DZL107" s="974"/>
      <c r="DZM107" s="974"/>
      <c r="DZN107" s="974"/>
      <c r="DZO107" s="974"/>
      <c r="DZP107" s="974"/>
      <c r="DZQ107" s="974"/>
      <c r="DZR107" s="974"/>
      <c r="DZS107" s="974"/>
      <c r="DZT107" s="974"/>
      <c r="DZU107" s="974"/>
      <c r="DZV107" s="974"/>
      <c r="DZW107" s="974"/>
      <c r="DZX107" s="974"/>
      <c r="DZY107" s="974"/>
      <c r="DZZ107" s="974"/>
      <c r="EAA107" s="974"/>
      <c r="EAB107" s="974"/>
      <c r="EAC107" s="974"/>
      <c r="EAD107" s="974"/>
      <c r="EAE107" s="974"/>
      <c r="EAF107" s="974"/>
      <c r="EAG107" s="974"/>
      <c r="EAH107" s="974"/>
      <c r="EAI107" s="974"/>
      <c r="EAJ107" s="974"/>
      <c r="EAK107" s="974"/>
      <c r="EAL107" s="974"/>
      <c r="EAM107" s="974"/>
      <c r="EAN107" s="974"/>
      <c r="EAO107" s="974"/>
      <c r="EAP107" s="974"/>
      <c r="EAQ107" s="974"/>
      <c r="EAR107" s="974"/>
      <c r="EAS107" s="974"/>
      <c r="EAT107" s="974"/>
      <c r="EAU107" s="974"/>
      <c r="EAV107" s="974"/>
      <c r="EAW107" s="974"/>
      <c r="EAX107" s="974"/>
      <c r="EAY107" s="974"/>
      <c r="EAZ107" s="974"/>
      <c r="EBA107" s="974"/>
      <c r="EBB107" s="974"/>
      <c r="EBC107" s="974"/>
      <c r="EBD107" s="974"/>
      <c r="EBE107" s="974"/>
      <c r="EBF107" s="974"/>
      <c r="EBG107" s="974"/>
      <c r="EBH107" s="974"/>
      <c r="EBI107" s="974"/>
      <c r="EBJ107" s="974"/>
      <c r="EBK107" s="974"/>
      <c r="EBL107" s="974"/>
      <c r="EBM107" s="974"/>
      <c r="EBN107" s="974"/>
      <c r="EBO107" s="974"/>
      <c r="EBP107" s="974"/>
      <c r="EBQ107" s="974"/>
      <c r="EBR107" s="974"/>
      <c r="EBS107" s="974"/>
      <c r="EBT107" s="974"/>
      <c r="EBU107" s="974"/>
      <c r="EBV107" s="974"/>
      <c r="EBW107" s="974"/>
      <c r="EBX107" s="974"/>
      <c r="EBY107" s="974"/>
      <c r="EBZ107" s="974"/>
      <c r="ECA107" s="974"/>
      <c r="ECB107" s="974"/>
      <c r="ECC107" s="974"/>
      <c r="ECD107" s="974"/>
      <c r="ECE107" s="974"/>
      <c r="ECF107" s="974"/>
      <c r="ECG107" s="974"/>
      <c r="ECH107" s="974"/>
      <c r="ECI107" s="974"/>
      <c r="ECJ107" s="974"/>
      <c r="ECK107" s="974"/>
      <c r="ECL107" s="974"/>
      <c r="ECM107" s="974"/>
      <c r="ECN107" s="974"/>
      <c r="ECO107" s="974"/>
      <c r="ECP107" s="974"/>
      <c r="ECQ107" s="974"/>
      <c r="ECR107" s="974"/>
      <c r="ECS107" s="974"/>
      <c r="ECT107" s="974"/>
      <c r="ECU107" s="974"/>
      <c r="ECV107" s="974"/>
      <c r="ECW107" s="974"/>
      <c r="ECX107" s="974"/>
      <c r="ECY107" s="974"/>
      <c r="ECZ107" s="974"/>
      <c r="EDA107" s="974"/>
      <c r="EDB107" s="974"/>
      <c r="EDC107" s="974"/>
      <c r="EDD107" s="974"/>
      <c r="EDE107" s="974"/>
      <c r="EDF107" s="974"/>
      <c r="EDG107" s="974"/>
      <c r="EDH107" s="974"/>
      <c r="EDI107" s="974"/>
      <c r="EDJ107" s="974"/>
      <c r="EDK107" s="974"/>
      <c r="EDL107" s="974"/>
      <c r="EDM107" s="974"/>
      <c r="EDN107" s="974"/>
      <c r="EDO107" s="974"/>
      <c r="EDP107" s="974"/>
      <c r="EDQ107" s="974"/>
      <c r="EDR107" s="974"/>
      <c r="EDS107" s="974"/>
      <c r="EDT107" s="974"/>
      <c r="EDU107" s="974"/>
      <c r="EDV107" s="974"/>
      <c r="EDW107" s="974"/>
      <c r="EDX107" s="974"/>
      <c r="EDY107" s="974"/>
      <c r="EDZ107" s="974"/>
      <c r="EEA107" s="974"/>
      <c r="EEB107" s="974"/>
      <c r="EEC107" s="974"/>
      <c r="EED107" s="974"/>
      <c r="EEE107" s="974"/>
      <c r="EEF107" s="974"/>
      <c r="EEG107" s="974"/>
      <c r="EEH107" s="974"/>
      <c r="EEI107" s="974"/>
      <c r="EEJ107" s="974"/>
      <c r="EEK107" s="974"/>
      <c r="EEL107" s="974"/>
      <c r="EEM107" s="974"/>
      <c r="EEN107" s="974"/>
      <c r="EEO107" s="974"/>
      <c r="EEP107" s="974"/>
      <c r="EEQ107" s="974"/>
      <c r="EER107" s="974"/>
      <c r="EES107" s="974"/>
      <c r="EET107" s="974"/>
      <c r="EEU107" s="974"/>
      <c r="EEV107" s="974"/>
      <c r="EEW107" s="974"/>
      <c r="EEX107" s="974"/>
      <c r="EEY107" s="974"/>
      <c r="EEZ107" s="974"/>
      <c r="EFA107" s="974"/>
      <c r="EFB107" s="974"/>
      <c r="EFC107" s="974"/>
      <c r="EFD107" s="974"/>
      <c r="EFE107" s="974"/>
      <c r="EFF107" s="974"/>
      <c r="EFG107" s="974"/>
      <c r="EFH107" s="974"/>
      <c r="EFI107" s="974"/>
      <c r="EFJ107" s="974"/>
      <c r="EFK107" s="974"/>
      <c r="EFL107" s="974"/>
      <c r="EFM107" s="974"/>
      <c r="EFN107" s="974"/>
      <c r="EFO107" s="974"/>
      <c r="EFP107" s="974"/>
      <c r="EFQ107" s="974"/>
      <c r="EFR107" s="974"/>
      <c r="EFS107" s="974"/>
      <c r="EFT107" s="974"/>
      <c r="EFU107" s="974"/>
      <c r="EFV107" s="974"/>
      <c r="EFW107" s="974"/>
      <c r="EFX107" s="974"/>
      <c r="EFY107" s="974"/>
      <c r="EFZ107" s="974"/>
      <c r="EGA107" s="974"/>
      <c r="EGB107" s="974"/>
      <c r="EGC107" s="974"/>
      <c r="EGD107" s="974"/>
      <c r="EGE107" s="974"/>
      <c r="EGF107" s="974"/>
      <c r="EGG107" s="974"/>
      <c r="EGH107" s="974"/>
      <c r="EGI107" s="974"/>
      <c r="EGJ107" s="974"/>
      <c r="EGK107" s="974"/>
      <c r="EGL107" s="974"/>
      <c r="EGM107" s="974"/>
      <c r="EGN107" s="974"/>
      <c r="EGO107" s="974"/>
      <c r="EGP107" s="974"/>
      <c r="EGQ107" s="974"/>
      <c r="EGR107" s="974"/>
      <c r="EGS107" s="974"/>
      <c r="EGT107" s="974"/>
      <c r="EGU107" s="974"/>
      <c r="EGV107" s="974"/>
      <c r="EGW107" s="974"/>
      <c r="EGX107" s="974"/>
      <c r="EGY107" s="974"/>
      <c r="EGZ107" s="974"/>
      <c r="EHA107" s="974"/>
      <c r="EHB107" s="974"/>
      <c r="EHC107" s="974"/>
      <c r="EHD107" s="974"/>
      <c r="EHE107" s="974"/>
      <c r="EHF107" s="974"/>
      <c r="EHG107" s="974"/>
      <c r="EHH107" s="974"/>
      <c r="EHI107" s="974"/>
      <c r="EHJ107" s="974"/>
      <c r="EHK107" s="974"/>
      <c r="EHL107" s="974"/>
      <c r="EHM107" s="974"/>
      <c r="EHN107" s="974"/>
      <c r="EHO107" s="974"/>
      <c r="EHP107" s="974"/>
      <c r="EHQ107" s="974"/>
      <c r="EHR107" s="974"/>
      <c r="EHS107" s="974"/>
      <c r="EHT107" s="974"/>
      <c r="EHU107" s="974"/>
      <c r="EHV107" s="974"/>
      <c r="EHW107" s="974"/>
      <c r="EHX107" s="974"/>
      <c r="EHY107" s="974"/>
      <c r="EHZ107" s="974"/>
      <c r="EIA107" s="974"/>
      <c r="EIB107" s="974"/>
      <c r="EIC107" s="974"/>
      <c r="EID107" s="974"/>
      <c r="EIE107" s="974"/>
      <c r="EIF107" s="974"/>
      <c r="EIG107" s="974"/>
      <c r="EIH107" s="974"/>
      <c r="EII107" s="974"/>
      <c r="EIJ107" s="974"/>
      <c r="EIK107" s="974"/>
      <c r="EIL107" s="974"/>
      <c r="EIM107" s="974"/>
      <c r="EIN107" s="974"/>
      <c r="EIO107" s="974"/>
      <c r="EIP107" s="974"/>
      <c r="EIQ107" s="974"/>
      <c r="EIR107" s="974"/>
      <c r="EIS107" s="974"/>
      <c r="EIT107" s="974"/>
      <c r="EIU107" s="974"/>
      <c r="EIV107" s="974"/>
      <c r="EIW107" s="974"/>
      <c r="EIX107" s="974"/>
      <c r="EIY107" s="974"/>
      <c r="EIZ107" s="974"/>
      <c r="EJA107" s="974"/>
      <c r="EJB107" s="974"/>
      <c r="EJC107" s="974"/>
      <c r="EJD107" s="974"/>
      <c r="EJE107" s="974"/>
      <c r="EJF107" s="974"/>
      <c r="EJG107" s="974"/>
      <c r="EJH107" s="974"/>
      <c r="EJI107" s="974"/>
      <c r="EJJ107" s="974"/>
      <c r="EJK107" s="974"/>
      <c r="EJL107" s="974"/>
      <c r="EJM107" s="974"/>
      <c r="EJN107" s="974"/>
      <c r="EJO107" s="974"/>
      <c r="EJP107" s="974"/>
      <c r="EJQ107" s="974"/>
      <c r="EJR107" s="974"/>
      <c r="EJS107" s="974"/>
      <c r="EJT107" s="974"/>
      <c r="EJU107" s="974"/>
      <c r="EJV107" s="974"/>
      <c r="EJW107" s="974"/>
      <c r="EJX107" s="974"/>
      <c r="EJY107" s="974"/>
      <c r="EJZ107" s="974"/>
      <c r="EKA107" s="974"/>
      <c r="EKB107" s="974"/>
      <c r="EKC107" s="974"/>
      <c r="EKD107" s="974"/>
      <c r="EKE107" s="974"/>
      <c r="EKF107" s="974"/>
      <c r="EKG107" s="974"/>
      <c r="EKH107" s="974"/>
      <c r="EKI107" s="974"/>
      <c r="EKJ107" s="974"/>
      <c r="EKK107" s="974"/>
      <c r="EKL107" s="974"/>
      <c r="EKM107" s="974"/>
      <c r="EKN107" s="974"/>
      <c r="EKO107" s="974"/>
      <c r="EKP107" s="974"/>
      <c r="EKQ107" s="974"/>
      <c r="EKR107" s="974"/>
      <c r="EKS107" s="974"/>
      <c r="EKT107" s="974"/>
      <c r="EKU107" s="974"/>
      <c r="EKV107" s="974"/>
      <c r="EKW107" s="974"/>
      <c r="EKX107" s="974"/>
      <c r="EKY107" s="974"/>
      <c r="EKZ107" s="974"/>
      <c r="ELA107" s="974"/>
      <c r="ELB107" s="974"/>
      <c r="ELC107" s="974"/>
      <c r="ELD107" s="974"/>
      <c r="ELE107" s="974"/>
      <c r="ELF107" s="974"/>
      <c r="ELG107" s="974"/>
      <c r="ELH107" s="974"/>
      <c r="ELI107" s="974"/>
      <c r="ELJ107" s="974"/>
      <c r="ELK107" s="974"/>
      <c r="ELL107" s="974"/>
      <c r="ELM107" s="974"/>
      <c r="ELN107" s="974"/>
      <c r="ELO107" s="974"/>
      <c r="ELP107" s="974"/>
      <c r="ELQ107" s="974"/>
      <c r="ELR107" s="974"/>
      <c r="ELS107" s="974"/>
      <c r="ELT107" s="974"/>
      <c r="ELU107" s="974"/>
      <c r="ELV107" s="974"/>
      <c r="ELW107" s="974"/>
      <c r="ELX107" s="974"/>
      <c r="ELY107" s="974"/>
      <c r="ELZ107" s="974"/>
      <c r="EMA107" s="974"/>
      <c r="EMB107" s="974"/>
      <c r="EMC107" s="974"/>
      <c r="EMD107" s="974"/>
      <c r="EME107" s="974"/>
      <c r="EMF107" s="974"/>
      <c r="EMG107" s="974"/>
      <c r="EMH107" s="974"/>
      <c r="EMI107" s="974"/>
      <c r="EMJ107" s="974"/>
      <c r="EMK107" s="974"/>
      <c r="EML107" s="974"/>
      <c r="EMM107" s="974"/>
      <c r="EMN107" s="974"/>
      <c r="EMO107" s="974"/>
      <c r="EMP107" s="974"/>
      <c r="EMQ107" s="974"/>
      <c r="EMR107" s="974"/>
      <c r="EMS107" s="974"/>
      <c r="EMT107" s="974"/>
      <c r="EMU107" s="974"/>
      <c r="EMV107" s="974"/>
      <c r="EMW107" s="974"/>
      <c r="EMX107" s="974"/>
      <c r="EMY107" s="974"/>
      <c r="EMZ107" s="974"/>
      <c r="ENA107" s="974"/>
      <c r="ENB107" s="974"/>
      <c r="ENC107" s="974"/>
      <c r="END107" s="974"/>
      <c r="ENE107" s="974"/>
      <c r="ENF107" s="974"/>
      <c r="ENG107" s="974"/>
      <c r="ENH107" s="974"/>
      <c r="ENI107" s="974"/>
      <c r="ENJ107" s="974"/>
      <c r="ENK107" s="974"/>
      <c r="ENL107" s="974"/>
      <c r="ENM107" s="974"/>
      <c r="ENN107" s="974"/>
      <c r="ENO107" s="974"/>
      <c r="ENP107" s="974"/>
      <c r="ENQ107" s="974"/>
      <c r="ENR107" s="974"/>
      <c r="ENS107" s="974"/>
      <c r="ENT107" s="974"/>
      <c r="ENU107" s="974"/>
      <c r="ENV107" s="974"/>
      <c r="ENW107" s="974"/>
      <c r="ENX107" s="974"/>
      <c r="ENY107" s="974"/>
      <c r="ENZ107" s="974"/>
      <c r="EOA107" s="974"/>
      <c r="EOB107" s="974"/>
      <c r="EOC107" s="974"/>
      <c r="EOD107" s="974"/>
      <c r="EOE107" s="974"/>
      <c r="EOF107" s="974"/>
      <c r="EOG107" s="974"/>
      <c r="EOH107" s="974"/>
      <c r="EOI107" s="974"/>
      <c r="EOJ107" s="974"/>
      <c r="EOK107" s="974"/>
      <c r="EOL107" s="974"/>
      <c r="EOM107" s="974"/>
      <c r="EON107" s="974"/>
      <c r="EOO107" s="974"/>
      <c r="EOP107" s="974"/>
      <c r="EOQ107" s="974"/>
      <c r="EOR107" s="974"/>
      <c r="EOS107" s="974"/>
      <c r="EOT107" s="974"/>
      <c r="EOU107" s="974"/>
      <c r="EOV107" s="974"/>
      <c r="EOW107" s="974"/>
      <c r="EOX107" s="974"/>
      <c r="EOY107" s="974"/>
      <c r="EOZ107" s="974"/>
      <c r="EPA107" s="974"/>
      <c r="EPB107" s="974"/>
      <c r="EPC107" s="974"/>
      <c r="EPD107" s="974"/>
      <c r="EPE107" s="974"/>
      <c r="EPF107" s="974"/>
      <c r="EPG107" s="974"/>
      <c r="EPH107" s="974"/>
      <c r="EPI107" s="974"/>
      <c r="EPJ107" s="974"/>
      <c r="EPK107" s="974"/>
      <c r="EPL107" s="974"/>
      <c r="EPM107" s="974"/>
      <c r="EPN107" s="974"/>
      <c r="EPO107" s="974"/>
      <c r="EPP107" s="974"/>
      <c r="EPQ107" s="974"/>
      <c r="EPR107" s="974"/>
      <c r="EPS107" s="974"/>
      <c r="EPT107" s="974"/>
      <c r="EPU107" s="974"/>
      <c r="EPV107" s="974"/>
      <c r="EPW107" s="974"/>
      <c r="EPX107" s="974"/>
      <c r="EPY107" s="974"/>
      <c r="EPZ107" s="974"/>
      <c r="EQA107" s="974"/>
      <c r="EQB107" s="974"/>
      <c r="EQC107" s="974"/>
      <c r="EQD107" s="974"/>
      <c r="EQE107" s="974"/>
      <c r="EQF107" s="974"/>
      <c r="EQG107" s="974"/>
      <c r="EQH107" s="974"/>
      <c r="EQI107" s="974"/>
      <c r="EQJ107" s="974"/>
      <c r="EQK107" s="974"/>
      <c r="EQL107" s="974"/>
      <c r="EQM107" s="974"/>
      <c r="EQN107" s="974"/>
      <c r="EQO107" s="974"/>
      <c r="EQP107" s="974"/>
      <c r="EQQ107" s="974"/>
      <c r="EQR107" s="974"/>
      <c r="EQS107" s="974"/>
      <c r="EQT107" s="974"/>
      <c r="EQU107" s="974"/>
      <c r="EQV107" s="974"/>
      <c r="EQW107" s="974"/>
      <c r="EQX107" s="974"/>
      <c r="EQY107" s="974"/>
      <c r="EQZ107" s="974"/>
      <c r="ERA107" s="974"/>
      <c r="ERB107" s="974"/>
      <c r="ERC107" s="974"/>
      <c r="ERD107" s="974"/>
      <c r="ERE107" s="974"/>
      <c r="ERF107" s="974"/>
      <c r="ERG107" s="974"/>
      <c r="ERH107" s="974"/>
      <c r="ERI107" s="974"/>
      <c r="ERJ107" s="974"/>
      <c r="ERK107" s="974"/>
      <c r="ERL107" s="974"/>
      <c r="ERM107" s="974"/>
      <c r="ERN107" s="974"/>
      <c r="ERO107" s="974"/>
      <c r="ERP107" s="974"/>
      <c r="ERQ107" s="974"/>
      <c r="ERR107" s="974"/>
      <c r="ERS107" s="974"/>
      <c r="ERT107" s="974"/>
      <c r="ERU107" s="974"/>
      <c r="ERV107" s="974"/>
      <c r="ERW107" s="974"/>
      <c r="ERX107" s="974"/>
      <c r="ERY107" s="974"/>
      <c r="ERZ107" s="974"/>
      <c r="ESA107" s="974"/>
      <c r="ESB107" s="974"/>
      <c r="ESC107" s="974"/>
      <c r="ESD107" s="974"/>
      <c r="ESE107" s="974"/>
      <c r="ESF107" s="974"/>
      <c r="ESG107" s="974"/>
      <c r="ESH107" s="974"/>
      <c r="ESI107" s="974"/>
      <c r="ESJ107" s="974"/>
      <c r="ESK107" s="974"/>
      <c r="ESL107" s="974"/>
      <c r="ESM107" s="974"/>
      <c r="ESN107" s="974"/>
      <c r="ESO107" s="974"/>
      <c r="ESP107" s="974"/>
      <c r="ESQ107" s="974"/>
      <c r="ESR107" s="974"/>
      <c r="ESS107" s="974"/>
      <c r="EST107" s="974"/>
      <c r="ESU107" s="974"/>
      <c r="ESV107" s="974"/>
      <c r="ESW107" s="974"/>
      <c r="ESX107" s="974"/>
      <c r="ESY107" s="974"/>
      <c r="ESZ107" s="974"/>
      <c r="ETA107" s="974"/>
      <c r="ETB107" s="974"/>
      <c r="ETC107" s="974"/>
      <c r="ETD107" s="974"/>
      <c r="ETE107" s="974"/>
      <c r="ETF107" s="974"/>
      <c r="ETG107" s="974"/>
      <c r="ETH107" s="974"/>
      <c r="ETI107" s="974"/>
      <c r="ETJ107" s="974"/>
      <c r="ETK107" s="974"/>
      <c r="ETL107" s="974"/>
      <c r="ETM107" s="974"/>
      <c r="ETN107" s="974"/>
      <c r="ETO107" s="974"/>
      <c r="ETP107" s="974"/>
      <c r="ETQ107" s="974"/>
      <c r="ETR107" s="974"/>
      <c r="ETS107" s="974"/>
      <c r="ETT107" s="974"/>
      <c r="ETU107" s="974"/>
      <c r="ETV107" s="974"/>
      <c r="ETW107" s="974"/>
      <c r="ETX107" s="974"/>
      <c r="ETY107" s="974"/>
      <c r="ETZ107" s="974"/>
      <c r="EUA107" s="974"/>
      <c r="EUB107" s="974"/>
      <c r="EUC107" s="974"/>
      <c r="EUD107" s="974"/>
      <c r="EUE107" s="974"/>
      <c r="EUF107" s="974"/>
      <c r="EUG107" s="974"/>
      <c r="EUH107" s="974"/>
      <c r="EUI107" s="974"/>
      <c r="EUJ107" s="974"/>
      <c r="EUK107" s="974"/>
      <c r="EUL107" s="974"/>
      <c r="EUM107" s="974"/>
      <c r="EUN107" s="974"/>
      <c r="EUO107" s="974"/>
      <c r="EUP107" s="974"/>
      <c r="EUQ107" s="974"/>
      <c r="EUR107" s="974"/>
      <c r="EUS107" s="974"/>
      <c r="EUT107" s="974"/>
      <c r="EUU107" s="974"/>
      <c r="EUV107" s="974"/>
      <c r="EUW107" s="974"/>
      <c r="EUX107" s="974"/>
      <c r="EUY107" s="974"/>
      <c r="EUZ107" s="974"/>
      <c r="EVA107" s="974"/>
      <c r="EVB107" s="974"/>
      <c r="EVC107" s="974"/>
      <c r="EVD107" s="974"/>
      <c r="EVE107" s="974"/>
      <c r="EVF107" s="974"/>
      <c r="EVG107" s="974"/>
      <c r="EVH107" s="974"/>
      <c r="EVI107" s="974"/>
      <c r="EVJ107" s="974"/>
      <c r="EVK107" s="974"/>
      <c r="EVL107" s="974"/>
      <c r="EVM107" s="974"/>
      <c r="EVN107" s="974"/>
      <c r="EVO107" s="974"/>
      <c r="EVP107" s="974"/>
      <c r="EVQ107" s="974"/>
      <c r="EVR107" s="974"/>
      <c r="EVS107" s="974"/>
      <c r="EVT107" s="974"/>
      <c r="EVU107" s="974"/>
      <c r="EVV107" s="974"/>
      <c r="EVW107" s="974"/>
      <c r="EVX107" s="974"/>
      <c r="EVY107" s="974"/>
      <c r="EVZ107" s="974"/>
      <c r="EWA107" s="974"/>
      <c r="EWB107" s="974"/>
      <c r="EWC107" s="974"/>
      <c r="EWD107" s="974"/>
      <c r="EWE107" s="974"/>
      <c r="EWF107" s="974"/>
      <c r="EWG107" s="974"/>
      <c r="EWH107" s="974"/>
      <c r="EWI107" s="974"/>
      <c r="EWJ107" s="974"/>
      <c r="EWK107" s="974"/>
      <c r="EWL107" s="974"/>
      <c r="EWM107" s="974"/>
      <c r="EWN107" s="974"/>
      <c r="EWO107" s="974"/>
      <c r="EWP107" s="974"/>
      <c r="EWQ107" s="974"/>
      <c r="EWR107" s="974"/>
      <c r="EWS107" s="974"/>
      <c r="EWT107" s="974"/>
      <c r="EWU107" s="974"/>
      <c r="EWV107" s="974"/>
      <c r="EWW107" s="974"/>
      <c r="EWX107" s="974"/>
      <c r="EWY107" s="974"/>
      <c r="EWZ107" s="974"/>
      <c r="EXA107" s="974"/>
      <c r="EXB107" s="974"/>
      <c r="EXC107" s="974"/>
      <c r="EXD107" s="974"/>
      <c r="EXE107" s="974"/>
      <c r="EXF107" s="974"/>
      <c r="EXG107" s="974"/>
      <c r="EXH107" s="974"/>
      <c r="EXI107" s="974"/>
      <c r="EXJ107" s="974"/>
      <c r="EXK107" s="974"/>
      <c r="EXL107" s="974"/>
      <c r="EXM107" s="974"/>
      <c r="EXN107" s="974"/>
      <c r="EXO107" s="974"/>
      <c r="EXP107" s="974"/>
      <c r="EXQ107" s="974"/>
      <c r="EXR107" s="974"/>
      <c r="EXS107" s="974"/>
      <c r="EXT107" s="974"/>
      <c r="EXU107" s="974"/>
      <c r="EXV107" s="974"/>
      <c r="EXW107" s="974"/>
      <c r="EXX107" s="974"/>
      <c r="EXY107" s="974"/>
      <c r="EXZ107" s="974"/>
      <c r="EYA107" s="974"/>
      <c r="EYB107" s="974"/>
      <c r="EYC107" s="974"/>
      <c r="EYD107" s="974"/>
      <c r="EYE107" s="974"/>
      <c r="EYF107" s="974"/>
      <c r="EYG107" s="974"/>
      <c r="EYH107" s="974"/>
      <c r="EYI107" s="974"/>
      <c r="EYJ107" s="974"/>
      <c r="EYK107" s="974"/>
      <c r="EYL107" s="974"/>
      <c r="EYM107" s="974"/>
      <c r="EYN107" s="974"/>
      <c r="EYO107" s="974"/>
      <c r="EYP107" s="974"/>
      <c r="EYQ107" s="974"/>
      <c r="EYR107" s="974"/>
      <c r="EYS107" s="974"/>
      <c r="EYT107" s="974"/>
      <c r="EYU107" s="974"/>
      <c r="EYV107" s="974"/>
      <c r="EYW107" s="974"/>
      <c r="EYX107" s="974"/>
      <c r="EYY107" s="974"/>
      <c r="EYZ107" s="974"/>
      <c r="EZA107" s="974"/>
      <c r="EZB107" s="974"/>
      <c r="EZC107" s="974"/>
      <c r="EZD107" s="974"/>
      <c r="EZE107" s="974"/>
      <c r="EZF107" s="974"/>
      <c r="EZG107" s="974"/>
      <c r="EZH107" s="974"/>
      <c r="EZI107" s="974"/>
      <c r="EZJ107" s="974"/>
      <c r="EZK107" s="974"/>
      <c r="EZL107" s="974"/>
      <c r="EZM107" s="974"/>
      <c r="EZN107" s="974"/>
      <c r="EZO107" s="974"/>
      <c r="EZP107" s="974"/>
      <c r="EZQ107" s="974"/>
      <c r="EZR107" s="974"/>
      <c r="EZS107" s="974"/>
      <c r="EZT107" s="974"/>
      <c r="EZU107" s="974"/>
      <c r="EZV107" s="974"/>
      <c r="EZW107" s="974"/>
      <c r="EZX107" s="974"/>
      <c r="EZY107" s="974"/>
      <c r="EZZ107" s="974"/>
      <c r="FAA107" s="974"/>
      <c r="FAB107" s="974"/>
      <c r="FAC107" s="974"/>
      <c r="FAD107" s="974"/>
      <c r="FAE107" s="974"/>
      <c r="FAF107" s="974"/>
      <c r="FAG107" s="974"/>
      <c r="FAH107" s="974"/>
      <c r="FAI107" s="974"/>
      <c r="FAJ107" s="974"/>
      <c r="FAK107" s="974"/>
      <c r="FAL107" s="974"/>
      <c r="FAM107" s="974"/>
      <c r="FAN107" s="974"/>
      <c r="FAO107" s="974"/>
      <c r="FAP107" s="974"/>
      <c r="FAQ107" s="974"/>
      <c r="FAR107" s="974"/>
      <c r="FAS107" s="974"/>
      <c r="FAT107" s="974"/>
      <c r="FAU107" s="974"/>
      <c r="FAV107" s="974"/>
      <c r="FAW107" s="974"/>
      <c r="FAX107" s="974"/>
      <c r="FAY107" s="974"/>
      <c r="FAZ107" s="974"/>
      <c r="FBA107" s="974"/>
      <c r="FBB107" s="974"/>
      <c r="FBC107" s="974"/>
      <c r="FBD107" s="974"/>
      <c r="FBE107" s="974"/>
      <c r="FBF107" s="974"/>
      <c r="FBG107" s="974"/>
      <c r="FBH107" s="974"/>
      <c r="FBI107" s="974"/>
      <c r="FBJ107" s="974"/>
      <c r="FBK107" s="974"/>
      <c r="FBL107" s="974"/>
      <c r="FBM107" s="974"/>
      <c r="FBN107" s="974"/>
      <c r="FBO107" s="974"/>
      <c r="FBP107" s="974"/>
      <c r="FBQ107" s="974"/>
      <c r="FBR107" s="974"/>
      <c r="FBS107" s="974"/>
      <c r="FBT107" s="974"/>
      <c r="FBU107" s="974"/>
      <c r="FBV107" s="974"/>
      <c r="FBW107" s="974"/>
      <c r="FBX107" s="974"/>
      <c r="FBY107" s="974"/>
      <c r="FBZ107" s="974"/>
      <c r="FCA107" s="974"/>
      <c r="FCB107" s="974"/>
      <c r="FCC107" s="974"/>
      <c r="FCD107" s="974"/>
      <c r="FCE107" s="974"/>
      <c r="FCF107" s="974"/>
      <c r="FCG107" s="974"/>
      <c r="FCH107" s="974"/>
      <c r="FCI107" s="974"/>
      <c r="FCJ107" s="974"/>
      <c r="FCK107" s="974"/>
      <c r="FCL107" s="974"/>
      <c r="FCM107" s="974"/>
      <c r="FCN107" s="974"/>
      <c r="FCO107" s="974"/>
      <c r="FCP107" s="974"/>
      <c r="FCQ107" s="974"/>
      <c r="FCR107" s="974"/>
      <c r="FCS107" s="974"/>
      <c r="FCT107" s="974"/>
      <c r="FCU107" s="974"/>
      <c r="FCV107" s="974"/>
      <c r="FCW107" s="974"/>
      <c r="FCX107" s="974"/>
      <c r="FCY107" s="974"/>
      <c r="FCZ107" s="974"/>
      <c r="FDA107" s="974"/>
      <c r="FDB107" s="974"/>
      <c r="FDC107" s="974"/>
      <c r="FDD107" s="974"/>
      <c r="FDE107" s="974"/>
      <c r="FDF107" s="974"/>
      <c r="FDG107" s="974"/>
      <c r="FDH107" s="974"/>
      <c r="FDI107" s="974"/>
      <c r="FDJ107" s="974"/>
      <c r="FDK107" s="974"/>
      <c r="FDL107" s="974"/>
      <c r="FDM107" s="974"/>
      <c r="FDN107" s="974"/>
      <c r="FDO107" s="974"/>
      <c r="FDP107" s="974"/>
      <c r="FDQ107" s="974"/>
      <c r="FDR107" s="974"/>
      <c r="FDS107" s="974"/>
      <c r="FDT107" s="974"/>
      <c r="FDU107" s="974"/>
      <c r="FDV107" s="974"/>
      <c r="FDW107" s="974"/>
      <c r="FDX107" s="974"/>
      <c r="FDY107" s="974"/>
      <c r="FDZ107" s="974"/>
      <c r="FEA107" s="974"/>
      <c r="FEB107" s="974"/>
      <c r="FEC107" s="974"/>
      <c r="FED107" s="974"/>
      <c r="FEE107" s="974"/>
      <c r="FEF107" s="974"/>
      <c r="FEG107" s="974"/>
      <c r="FEH107" s="974"/>
      <c r="FEI107" s="974"/>
      <c r="FEJ107" s="974"/>
      <c r="FEK107" s="974"/>
      <c r="FEL107" s="974"/>
      <c r="FEM107" s="974"/>
      <c r="FEN107" s="974"/>
      <c r="FEO107" s="974"/>
      <c r="FEP107" s="974"/>
      <c r="FEQ107" s="974"/>
      <c r="FER107" s="974"/>
      <c r="FES107" s="974"/>
      <c r="FET107" s="974"/>
      <c r="FEU107" s="974"/>
      <c r="FEV107" s="974"/>
      <c r="FEW107" s="974"/>
      <c r="FEX107" s="974"/>
      <c r="FEY107" s="974"/>
      <c r="FEZ107" s="974"/>
      <c r="FFA107" s="974"/>
      <c r="FFB107" s="974"/>
      <c r="FFC107" s="974"/>
      <c r="FFD107" s="974"/>
      <c r="FFE107" s="974"/>
      <c r="FFF107" s="974"/>
      <c r="FFG107" s="974"/>
      <c r="FFH107" s="974"/>
      <c r="FFI107" s="974"/>
      <c r="FFJ107" s="974"/>
      <c r="FFK107" s="974"/>
      <c r="FFL107" s="974"/>
      <c r="FFM107" s="974"/>
      <c r="FFN107" s="974"/>
      <c r="FFO107" s="974"/>
      <c r="FFP107" s="974"/>
      <c r="FFQ107" s="974"/>
      <c r="FFR107" s="974"/>
      <c r="FFS107" s="974"/>
      <c r="FFT107" s="974"/>
      <c r="FFU107" s="974"/>
      <c r="FFV107" s="974"/>
      <c r="FFW107" s="974"/>
      <c r="FFX107" s="974"/>
      <c r="FFY107" s="974"/>
      <c r="FFZ107" s="974"/>
      <c r="FGA107" s="974"/>
      <c r="FGB107" s="974"/>
      <c r="FGC107" s="974"/>
      <c r="FGD107" s="974"/>
      <c r="FGE107" s="974"/>
      <c r="FGF107" s="974"/>
      <c r="FGG107" s="974"/>
      <c r="FGH107" s="974"/>
      <c r="FGI107" s="974"/>
      <c r="FGJ107" s="974"/>
      <c r="FGK107" s="974"/>
      <c r="FGL107" s="974"/>
      <c r="FGM107" s="974"/>
      <c r="FGN107" s="974"/>
      <c r="FGO107" s="974"/>
      <c r="FGP107" s="974"/>
      <c r="FGQ107" s="974"/>
      <c r="FGR107" s="974"/>
      <c r="FGS107" s="974"/>
      <c r="FGT107" s="974"/>
      <c r="FGU107" s="974"/>
      <c r="FGV107" s="974"/>
      <c r="FGW107" s="974"/>
      <c r="FGX107" s="974"/>
      <c r="FGY107" s="974"/>
      <c r="FGZ107" s="974"/>
      <c r="FHA107" s="974"/>
      <c r="FHB107" s="974"/>
      <c r="FHC107" s="974"/>
      <c r="FHD107" s="974"/>
      <c r="FHE107" s="974"/>
      <c r="FHF107" s="974"/>
      <c r="FHG107" s="974"/>
      <c r="FHH107" s="974"/>
      <c r="FHI107" s="974"/>
      <c r="FHJ107" s="974"/>
      <c r="FHK107" s="974"/>
      <c r="FHL107" s="974"/>
      <c r="FHM107" s="974"/>
      <c r="FHN107" s="974"/>
      <c r="FHO107" s="974"/>
      <c r="FHP107" s="974"/>
      <c r="FHQ107" s="974"/>
      <c r="FHR107" s="974"/>
      <c r="FHS107" s="974"/>
      <c r="FHT107" s="974"/>
      <c r="FHU107" s="974"/>
      <c r="FHV107" s="974"/>
      <c r="FHW107" s="974"/>
      <c r="FHX107" s="974"/>
      <c r="FHY107" s="974"/>
      <c r="FHZ107" s="974"/>
      <c r="FIA107" s="974"/>
      <c r="FIB107" s="974"/>
      <c r="FIC107" s="974"/>
      <c r="FID107" s="974"/>
      <c r="FIE107" s="974"/>
      <c r="FIF107" s="974"/>
      <c r="FIG107" s="974"/>
      <c r="FIH107" s="974"/>
      <c r="FII107" s="974"/>
      <c r="FIJ107" s="974"/>
      <c r="FIK107" s="974"/>
      <c r="FIL107" s="974"/>
      <c r="FIM107" s="974"/>
      <c r="FIN107" s="974"/>
      <c r="FIO107" s="974"/>
      <c r="FIP107" s="974"/>
      <c r="FIQ107" s="974"/>
      <c r="FIR107" s="974"/>
      <c r="FIS107" s="974"/>
      <c r="FIT107" s="974"/>
      <c r="FIU107" s="974"/>
      <c r="FIV107" s="974"/>
      <c r="FIW107" s="974"/>
      <c r="FIX107" s="974"/>
      <c r="FIY107" s="974"/>
      <c r="FIZ107" s="974"/>
      <c r="FJA107" s="974"/>
      <c r="FJB107" s="974"/>
      <c r="FJC107" s="974"/>
      <c r="FJD107" s="974"/>
      <c r="FJE107" s="974"/>
      <c r="FJF107" s="974"/>
      <c r="FJG107" s="974"/>
      <c r="FJH107" s="974"/>
      <c r="FJI107" s="974"/>
      <c r="FJJ107" s="974"/>
      <c r="FJK107" s="974"/>
      <c r="FJL107" s="974"/>
      <c r="FJM107" s="974"/>
      <c r="FJN107" s="974"/>
      <c r="FJO107" s="974"/>
      <c r="FJP107" s="974"/>
      <c r="FJQ107" s="974"/>
      <c r="FJR107" s="974"/>
      <c r="FJS107" s="974"/>
      <c r="FJT107" s="974"/>
      <c r="FJU107" s="974"/>
      <c r="FJV107" s="974"/>
      <c r="FJW107" s="974"/>
      <c r="FJX107" s="974"/>
      <c r="FJY107" s="974"/>
      <c r="FJZ107" s="974"/>
      <c r="FKA107" s="974"/>
      <c r="FKB107" s="974"/>
      <c r="FKC107" s="974"/>
      <c r="FKD107" s="974"/>
      <c r="FKE107" s="974"/>
      <c r="FKF107" s="974"/>
      <c r="FKG107" s="974"/>
      <c r="FKH107" s="974"/>
      <c r="FKI107" s="974"/>
      <c r="FKJ107" s="974"/>
      <c r="FKK107" s="974"/>
      <c r="FKL107" s="974"/>
      <c r="FKM107" s="974"/>
      <c r="FKN107" s="974"/>
      <c r="FKO107" s="974"/>
      <c r="FKP107" s="974"/>
      <c r="FKQ107" s="974"/>
      <c r="FKR107" s="974"/>
      <c r="FKS107" s="974"/>
      <c r="FKT107" s="974"/>
      <c r="FKU107" s="974"/>
      <c r="FKV107" s="974"/>
      <c r="FKW107" s="974"/>
      <c r="FKX107" s="974"/>
      <c r="FKY107" s="974"/>
      <c r="FKZ107" s="974"/>
      <c r="FLA107" s="974"/>
      <c r="FLB107" s="974"/>
      <c r="FLC107" s="974"/>
      <c r="FLD107" s="974"/>
      <c r="FLE107" s="974"/>
      <c r="FLF107" s="974"/>
      <c r="FLG107" s="974"/>
      <c r="FLH107" s="974"/>
      <c r="FLI107" s="974"/>
      <c r="FLJ107" s="974"/>
      <c r="FLK107" s="974"/>
      <c r="FLL107" s="974"/>
      <c r="FLM107" s="974"/>
      <c r="FLN107" s="974"/>
      <c r="FLO107" s="974"/>
      <c r="FLP107" s="974"/>
      <c r="FLQ107" s="974"/>
      <c r="FLR107" s="974"/>
      <c r="FLS107" s="974"/>
      <c r="FLT107" s="974"/>
      <c r="FLU107" s="974"/>
      <c r="FLV107" s="974"/>
      <c r="FLW107" s="974"/>
      <c r="FLX107" s="974"/>
      <c r="FLY107" s="974"/>
      <c r="FLZ107" s="974"/>
      <c r="FMA107" s="974"/>
      <c r="FMB107" s="974"/>
      <c r="FMC107" s="974"/>
      <c r="FMD107" s="974"/>
      <c r="FME107" s="974"/>
      <c r="FMF107" s="974"/>
      <c r="FMG107" s="974"/>
      <c r="FMH107" s="974"/>
      <c r="FMI107" s="974"/>
      <c r="FMJ107" s="974"/>
      <c r="FMK107" s="974"/>
      <c r="FML107" s="974"/>
      <c r="FMM107" s="974"/>
      <c r="FMN107" s="974"/>
      <c r="FMO107" s="974"/>
      <c r="FMP107" s="974"/>
      <c r="FMQ107" s="974"/>
      <c r="FMR107" s="974"/>
      <c r="FMS107" s="974"/>
      <c r="FMT107" s="974"/>
      <c r="FMU107" s="974"/>
      <c r="FMV107" s="974"/>
      <c r="FMW107" s="974"/>
      <c r="FMX107" s="974"/>
      <c r="FMY107" s="974"/>
      <c r="FMZ107" s="974"/>
      <c r="FNA107" s="974"/>
      <c r="FNB107" s="974"/>
      <c r="FNC107" s="974"/>
      <c r="FND107" s="974"/>
      <c r="FNE107" s="974"/>
      <c r="FNF107" s="974"/>
      <c r="FNG107" s="974"/>
      <c r="FNH107" s="974"/>
      <c r="FNI107" s="974"/>
      <c r="FNJ107" s="974"/>
      <c r="FNK107" s="974"/>
      <c r="FNL107" s="974"/>
      <c r="FNM107" s="974"/>
      <c r="FNN107" s="974"/>
      <c r="FNO107" s="974"/>
      <c r="FNP107" s="974"/>
      <c r="FNQ107" s="974"/>
      <c r="FNR107" s="974"/>
      <c r="FNS107" s="974"/>
      <c r="FNT107" s="974"/>
      <c r="FNU107" s="974"/>
      <c r="FNV107" s="974"/>
      <c r="FNW107" s="974"/>
      <c r="FNX107" s="974"/>
      <c r="FNY107" s="974"/>
      <c r="FNZ107" s="974"/>
      <c r="FOA107" s="974"/>
      <c r="FOB107" s="974"/>
      <c r="FOC107" s="974"/>
      <c r="FOD107" s="974"/>
      <c r="FOE107" s="974"/>
      <c r="FOF107" s="974"/>
      <c r="FOG107" s="974"/>
      <c r="FOH107" s="974"/>
      <c r="FOI107" s="974"/>
      <c r="FOJ107" s="974"/>
      <c r="FOK107" s="974"/>
      <c r="FOL107" s="974"/>
      <c r="FOM107" s="974"/>
      <c r="FON107" s="974"/>
      <c r="FOO107" s="974"/>
      <c r="FOP107" s="974"/>
      <c r="FOQ107" s="974"/>
      <c r="FOR107" s="974"/>
      <c r="FOS107" s="974"/>
      <c r="FOT107" s="974"/>
      <c r="FOU107" s="974"/>
      <c r="FOV107" s="974"/>
      <c r="FOW107" s="974"/>
      <c r="FOX107" s="974"/>
      <c r="FOY107" s="974"/>
      <c r="FOZ107" s="974"/>
      <c r="FPA107" s="974"/>
      <c r="FPB107" s="974"/>
      <c r="FPC107" s="974"/>
      <c r="FPD107" s="974"/>
      <c r="FPE107" s="974"/>
      <c r="FPF107" s="974"/>
      <c r="FPG107" s="974"/>
      <c r="FPH107" s="974"/>
      <c r="FPI107" s="974"/>
      <c r="FPJ107" s="974"/>
      <c r="FPK107" s="974"/>
      <c r="FPL107" s="974"/>
      <c r="FPM107" s="974"/>
      <c r="FPN107" s="974"/>
      <c r="FPO107" s="974"/>
      <c r="FPP107" s="974"/>
      <c r="FPQ107" s="974"/>
      <c r="FPR107" s="974"/>
      <c r="FPS107" s="974"/>
      <c r="FPT107" s="974"/>
      <c r="FPU107" s="974"/>
      <c r="FPV107" s="974"/>
      <c r="FPW107" s="974"/>
      <c r="FPX107" s="974"/>
      <c r="FPY107" s="974"/>
      <c r="FPZ107" s="974"/>
      <c r="FQA107" s="974"/>
      <c r="FQB107" s="974"/>
      <c r="FQC107" s="974"/>
      <c r="FQD107" s="974"/>
      <c r="FQE107" s="974"/>
      <c r="FQF107" s="974"/>
      <c r="FQG107" s="974"/>
      <c r="FQH107" s="974"/>
      <c r="FQI107" s="974"/>
      <c r="FQJ107" s="974"/>
      <c r="FQK107" s="974"/>
      <c r="FQL107" s="974"/>
      <c r="FQM107" s="974"/>
      <c r="FQN107" s="974"/>
      <c r="FQO107" s="974"/>
      <c r="FQP107" s="974"/>
      <c r="FQQ107" s="974"/>
      <c r="FQR107" s="974"/>
      <c r="FQS107" s="974"/>
      <c r="FQT107" s="974"/>
      <c r="FQU107" s="974"/>
      <c r="FQV107" s="974"/>
      <c r="FQW107" s="974"/>
      <c r="FQX107" s="974"/>
      <c r="FQY107" s="974"/>
      <c r="FQZ107" s="974"/>
      <c r="FRA107" s="974"/>
      <c r="FRB107" s="974"/>
      <c r="FRC107" s="974"/>
      <c r="FRD107" s="974"/>
      <c r="FRE107" s="974"/>
      <c r="FRF107" s="974"/>
      <c r="FRG107" s="974"/>
      <c r="FRH107" s="974"/>
      <c r="FRI107" s="974"/>
      <c r="FRJ107" s="974"/>
      <c r="FRK107" s="974"/>
      <c r="FRL107" s="974"/>
      <c r="FRM107" s="974"/>
      <c r="FRN107" s="974"/>
      <c r="FRO107" s="974"/>
      <c r="FRP107" s="974"/>
      <c r="FRQ107" s="974"/>
      <c r="FRR107" s="974"/>
      <c r="FRS107" s="974"/>
      <c r="FRT107" s="974"/>
      <c r="FRU107" s="974"/>
      <c r="FRV107" s="974"/>
      <c r="FRW107" s="974"/>
      <c r="FRX107" s="974"/>
      <c r="FRY107" s="974"/>
      <c r="FRZ107" s="974"/>
      <c r="FSA107" s="974"/>
      <c r="FSB107" s="974"/>
      <c r="FSC107" s="974"/>
      <c r="FSD107" s="974"/>
      <c r="FSE107" s="974"/>
      <c r="FSF107" s="974"/>
      <c r="FSG107" s="974"/>
      <c r="FSH107" s="974"/>
      <c r="FSI107" s="974"/>
      <c r="FSJ107" s="974"/>
      <c r="FSK107" s="974"/>
      <c r="FSL107" s="974"/>
      <c r="FSM107" s="974"/>
      <c r="FSN107" s="974"/>
      <c r="FSO107" s="974"/>
      <c r="FSP107" s="974"/>
      <c r="FSQ107" s="974"/>
      <c r="FSR107" s="974"/>
      <c r="FSS107" s="974"/>
      <c r="FST107" s="974"/>
      <c r="FSU107" s="974"/>
      <c r="FSV107" s="974"/>
      <c r="FSW107" s="974"/>
      <c r="FSX107" s="974"/>
      <c r="FSY107" s="974"/>
      <c r="FSZ107" s="974"/>
      <c r="FTA107" s="974"/>
      <c r="FTB107" s="974"/>
      <c r="FTC107" s="974"/>
      <c r="FTD107" s="974"/>
      <c r="FTE107" s="974"/>
      <c r="FTF107" s="974"/>
      <c r="FTG107" s="974"/>
      <c r="FTH107" s="974"/>
      <c r="FTI107" s="974"/>
      <c r="FTJ107" s="974"/>
      <c r="FTK107" s="974"/>
      <c r="FTL107" s="974"/>
      <c r="FTM107" s="974"/>
      <c r="FTN107" s="974"/>
      <c r="FTO107" s="974"/>
      <c r="FTP107" s="974"/>
      <c r="FTQ107" s="974"/>
      <c r="FTR107" s="974"/>
      <c r="FTS107" s="974"/>
      <c r="FTT107" s="974"/>
      <c r="FTU107" s="974"/>
      <c r="FTV107" s="974"/>
      <c r="FTW107" s="974"/>
      <c r="FTX107" s="974"/>
      <c r="FTY107" s="974"/>
      <c r="FTZ107" s="974"/>
      <c r="FUA107" s="974"/>
      <c r="FUB107" s="974"/>
      <c r="FUC107" s="974"/>
      <c r="FUD107" s="974"/>
      <c r="FUE107" s="974"/>
      <c r="FUF107" s="974"/>
      <c r="FUG107" s="974"/>
      <c r="FUH107" s="974"/>
      <c r="FUI107" s="974"/>
      <c r="FUJ107" s="974"/>
      <c r="FUK107" s="974"/>
      <c r="FUL107" s="974"/>
      <c r="FUM107" s="974"/>
      <c r="FUN107" s="974"/>
      <c r="FUO107" s="974"/>
      <c r="FUP107" s="974"/>
      <c r="FUQ107" s="974"/>
      <c r="FUR107" s="974"/>
      <c r="FUS107" s="974"/>
      <c r="FUT107" s="974"/>
      <c r="FUU107" s="974"/>
      <c r="FUV107" s="974"/>
      <c r="FUW107" s="974"/>
      <c r="FUX107" s="974"/>
      <c r="FUY107" s="974"/>
      <c r="FUZ107" s="974"/>
      <c r="FVA107" s="974"/>
      <c r="FVB107" s="974"/>
      <c r="FVC107" s="974"/>
      <c r="FVD107" s="974"/>
      <c r="FVE107" s="974"/>
      <c r="FVF107" s="974"/>
      <c r="FVG107" s="974"/>
      <c r="FVH107" s="974"/>
      <c r="FVI107" s="974"/>
      <c r="FVJ107" s="974"/>
      <c r="FVK107" s="974"/>
      <c r="FVL107" s="974"/>
      <c r="FVM107" s="974"/>
      <c r="FVN107" s="974"/>
      <c r="FVO107" s="974"/>
      <c r="FVP107" s="974"/>
      <c r="FVQ107" s="974"/>
      <c r="FVR107" s="974"/>
      <c r="FVS107" s="974"/>
      <c r="FVT107" s="974"/>
      <c r="FVU107" s="974"/>
      <c r="FVV107" s="974"/>
      <c r="FVW107" s="974"/>
      <c r="FVX107" s="974"/>
      <c r="FVY107" s="974"/>
      <c r="FVZ107" s="974"/>
      <c r="FWA107" s="974"/>
      <c r="FWB107" s="974"/>
      <c r="FWC107" s="974"/>
      <c r="FWD107" s="974"/>
      <c r="FWE107" s="974"/>
      <c r="FWF107" s="974"/>
      <c r="FWG107" s="974"/>
      <c r="FWH107" s="974"/>
      <c r="FWI107" s="974"/>
      <c r="FWJ107" s="974"/>
      <c r="FWK107" s="974"/>
      <c r="FWL107" s="974"/>
      <c r="FWM107" s="974"/>
      <c r="FWN107" s="974"/>
      <c r="FWO107" s="974"/>
      <c r="FWP107" s="974"/>
      <c r="FWQ107" s="974"/>
      <c r="FWR107" s="974"/>
      <c r="FWS107" s="974"/>
      <c r="FWT107" s="974"/>
      <c r="FWU107" s="974"/>
      <c r="FWV107" s="974"/>
      <c r="FWW107" s="974"/>
      <c r="FWX107" s="974"/>
      <c r="FWY107" s="974"/>
      <c r="FWZ107" s="974"/>
      <c r="FXA107" s="974"/>
      <c r="FXB107" s="974"/>
      <c r="FXC107" s="974"/>
      <c r="FXD107" s="974"/>
      <c r="FXE107" s="974"/>
      <c r="FXF107" s="974"/>
      <c r="FXG107" s="974"/>
      <c r="FXH107" s="974"/>
      <c r="FXI107" s="974"/>
      <c r="FXJ107" s="974"/>
      <c r="FXK107" s="974"/>
      <c r="FXL107" s="974"/>
      <c r="FXM107" s="974"/>
      <c r="FXN107" s="974"/>
      <c r="FXO107" s="974"/>
      <c r="FXP107" s="974"/>
      <c r="FXQ107" s="974"/>
      <c r="FXR107" s="974"/>
      <c r="FXS107" s="974"/>
      <c r="FXT107" s="974"/>
      <c r="FXU107" s="974"/>
      <c r="FXV107" s="974"/>
      <c r="FXW107" s="974"/>
      <c r="FXX107" s="974"/>
      <c r="FXY107" s="974"/>
      <c r="FXZ107" s="974"/>
      <c r="FYA107" s="974"/>
      <c r="FYB107" s="974"/>
      <c r="FYC107" s="974"/>
      <c r="FYD107" s="974"/>
      <c r="FYE107" s="974"/>
      <c r="FYF107" s="974"/>
      <c r="FYG107" s="974"/>
      <c r="FYH107" s="974"/>
      <c r="FYI107" s="974"/>
      <c r="FYJ107" s="974"/>
      <c r="FYK107" s="974"/>
      <c r="FYL107" s="974"/>
      <c r="FYM107" s="974"/>
      <c r="FYN107" s="974"/>
      <c r="FYO107" s="974"/>
      <c r="FYP107" s="974"/>
      <c r="FYQ107" s="974"/>
      <c r="FYR107" s="974"/>
      <c r="FYS107" s="974"/>
      <c r="FYT107" s="974"/>
      <c r="FYU107" s="974"/>
      <c r="FYV107" s="974"/>
      <c r="FYW107" s="974"/>
      <c r="FYX107" s="974"/>
      <c r="FYY107" s="974"/>
      <c r="FYZ107" s="974"/>
      <c r="FZA107" s="974"/>
      <c r="FZB107" s="974"/>
      <c r="FZC107" s="974"/>
      <c r="FZD107" s="974"/>
      <c r="FZE107" s="974"/>
      <c r="FZF107" s="974"/>
      <c r="FZG107" s="974"/>
      <c r="FZH107" s="974"/>
      <c r="FZI107" s="974"/>
      <c r="FZJ107" s="974"/>
      <c r="FZK107" s="974"/>
      <c r="FZL107" s="974"/>
      <c r="FZM107" s="974"/>
      <c r="FZN107" s="974"/>
      <c r="FZO107" s="974"/>
      <c r="FZP107" s="974"/>
      <c r="FZQ107" s="974"/>
      <c r="FZR107" s="974"/>
      <c r="FZS107" s="974"/>
      <c r="FZT107" s="974"/>
      <c r="FZU107" s="974"/>
      <c r="FZV107" s="974"/>
      <c r="FZW107" s="974"/>
      <c r="FZX107" s="974"/>
      <c r="FZY107" s="974"/>
      <c r="FZZ107" s="974"/>
      <c r="GAA107" s="974"/>
      <c r="GAB107" s="974"/>
      <c r="GAC107" s="974"/>
      <c r="GAD107" s="974"/>
      <c r="GAE107" s="974"/>
      <c r="GAF107" s="974"/>
      <c r="GAG107" s="974"/>
      <c r="GAH107" s="974"/>
      <c r="GAI107" s="974"/>
      <c r="GAJ107" s="974"/>
      <c r="GAK107" s="974"/>
      <c r="GAL107" s="974"/>
      <c r="GAM107" s="974"/>
      <c r="GAN107" s="974"/>
      <c r="GAO107" s="974"/>
      <c r="GAP107" s="974"/>
      <c r="GAQ107" s="974"/>
      <c r="GAR107" s="974"/>
      <c r="GAS107" s="974"/>
      <c r="GAT107" s="974"/>
      <c r="GAU107" s="974"/>
      <c r="GAV107" s="974"/>
      <c r="GAW107" s="974"/>
      <c r="GAX107" s="974"/>
      <c r="GAY107" s="974"/>
      <c r="GAZ107" s="974"/>
      <c r="GBA107" s="974"/>
      <c r="GBB107" s="974"/>
      <c r="GBC107" s="974"/>
      <c r="GBD107" s="974"/>
      <c r="GBE107" s="974"/>
      <c r="GBF107" s="974"/>
      <c r="GBG107" s="974"/>
      <c r="GBH107" s="974"/>
      <c r="GBI107" s="974"/>
      <c r="GBJ107" s="974"/>
      <c r="GBK107" s="974"/>
      <c r="GBL107" s="974"/>
      <c r="GBM107" s="974"/>
      <c r="GBN107" s="974"/>
      <c r="GBO107" s="974"/>
      <c r="GBP107" s="974"/>
      <c r="GBQ107" s="974"/>
      <c r="GBR107" s="974"/>
      <c r="GBS107" s="974"/>
      <c r="GBT107" s="974"/>
      <c r="GBU107" s="974"/>
      <c r="GBV107" s="974"/>
      <c r="GBW107" s="974"/>
      <c r="GBX107" s="974"/>
      <c r="GBY107" s="974"/>
      <c r="GBZ107" s="974"/>
      <c r="GCA107" s="974"/>
      <c r="GCB107" s="974"/>
      <c r="GCC107" s="974"/>
      <c r="GCD107" s="974"/>
      <c r="GCE107" s="974"/>
      <c r="GCF107" s="974"/>
      <c r="GCG107" s="974"/>
      <c r="GCH107" s="974"/>
      <c r="GCI107" s="974"/>
      <c r="GCJ107" s="974"/>
      <c r="GCK107" s="974"/>
      <c r="GCL107" s="974"/>
      <c r="GCM107" s="974"/>
      <c r="GCN107" s="974"/>
      <c r="GCO107" s="974"/>
      <c r="GCP107" s="974"/>
      <c r="GCQ107" s="974"/>
      <c r="GCR107" s="974"/>
      <c r="GCS107" s="974"/>
      <c r="GCT107" s="974"/>
      <c r="GCU107" s="974"/>
      <c r="GCV107" s="974"/>
      <c r="GCW107" s="974"/>
      <c r="GCX107" s="974"/>
      <c r="GCY107" s="974"/>
      <c r="GCZ107" s="974"/>
      <c r="GDA107" s="974"/>
      <c r="GDB107" s="974"/>
      <c r="GDC107" s="974"/>
      <c r="GDD107" s="974"/>
      <c r="GDE107" s="974"/>
      <c r="GDF107" s="974"/>
      <c r="GDG107" s="974"/>
      <c r="GDH107" s="974"/>
      <c r="GDI107" s="974"/>
      <c r="GDJ107" s="974"/>
      <c r="GDK107" s="974"/>
      <c r="GDL107" s="974"/>
      <c r="GDM107" s="974"/>
      <c r="GDN107" s="974"/>
      <c r="GDO107" s="974"/>
      <c r="GDP107" s="974"/>
      <c r="GDQ107" s="974"/>
      <c r="GDR107" s="974"/>
      <c r="GDS107" s="974"/>
      <c r="GDT107" s="974"/>
      <c r="GDU107" s="974"/>
      <c r="GDV107" s="974"/>
      <c r="GDW107" s="974"/>
      <c r="GDX107" s="974"/>
      <c r="GDY107" s="974"/>
      <c r="GDZ107" s="974"/>
      <c r="GEA107" s="974"/>
      <c r="GEB107" s="974"/>
      <c r="GEC107" s="974"/>
      <c r="GED107" s="974"/>
      <c r="GEE107" s="974"/>
      <c r="GEF107" s="974"/>
      <c r="GEG107" s="974"/>
      <c r="GEH107" s="974"/>
      <c r="GEI107" s="974"/>
      <c r="GEJ107" s="974"/>
      <c r="GEK107" s="974"/>
      <c r="GEL107" s="974"/>
      <c r="GEM107" s="974"/>
      <c r="GEN107" s="974"/>
      <c r="GEO107" s="974"/>
      <c r="GEP107" s="974"/>
      <c r="GEQ107" s="974"/>
      <c r="GER107" s="974"/>
      <c r="GES107" s="974"/>
      <c r="GET107" s="974"/>
      <c r="GEU107" s="974"/>
      <c r="GEV107" s="974"/>
      <c r="GEW107" s="974"/>
      <c r="GEX107" s="974"/>
      <c r="GEY107" s="974"/>
      <c r="GEZ107" s="974"/>
      <c r="GFA107" s="974"/>
      <c r="GFB107" s="974"/>
      <c r="GFC107" s="974"/>
      <c r="GFD107" s="974"/>
      <c r="GFE107" s="974"/>
      <c r="GFF107" s="974"/>
      <c r="GFG107" s="974"/>
      <c r="GFH107" s="974"/>
      <c r="GFI107" s="974"/>
      <c r="GFJ107" s="974"/>
      <c r="GFK107" s="974"/>
      <c r="GFL107" s="974"/>
      <c r="GFM107" s="974"/>
      <c r="GFN107" s="974"/>
      <c r="GFO107" s="974"/>
      <c r="GFP107" s="974"/>
      <c r="GFQ107" s="974"/>
      <c r="GFR107" s="974"/>
      <c r="GFS107" s="974"/>
      <c r="GFT107" s="974"/>
      <c r="GFU107" s="974"/>
      <c r="GFV107" s="974"/>
      <c r="GFW107" s="974"/>
      <c r="GFX107" s="974"/>
      <c r="GFY107" s="974"/>
      <c r="GFZ107" s="974"/>
      <c r="GGA107" s="974"/>
      <c r="GGB107" s="974"/>
      <c r="GGC107" s="974"/>
      <c r="GGD107" s="974"/>
      <c r="GGE107" s="974"/>
      <c r="GGF107" s="974"/>
      <c r="GGG107" s="974"/>
      <c r="GGH107" s="974"/>
      <c r="GGI107" s="974"/>
      <c r="GGJ107" s="974"/>
      <c r="GGK107" s="974"/>
      <c r="GGL107" s="974"/>
      <c r="GGM107" s="974"/>
      <c r="GGN107" s="974"/>
      <c r="GGO107" s="974"/>
      <c r="GGP107" s="974"/>
      <c r="GGQ107" s="974"/>
      <c r="GGR107" s="974"/>
      <c r="GGS107" s="974"/>
      <c r="GGT107" s="974"/>
      <c r="GGU107" s="974"/>
      <c r="GGV107" s="974"/>
      <c r="GGW107" s="974"/>
      <c r="GGX107" s="974"/>
      <c r="GGY107" s="974"/>
      <c r="GGZ107" s="974"/>
      <c r="GHA107" s="974"/>
      <c r="GHB107" s="974"/>
      <c r="GHC107" s="974"/>
      <c r="GHD107" s="974"/>
      <c r="GHE107" s="974"/>
      <c r="GHF107" s="974"/>
      <c r="GHG107" s="974"/>
      <c r="GHH107" s="974"/>
      <c r="GHI107" s="974"/>
      <c r="GHJ107" s="974"/>
      <c r="GHK107" s="974"/>
      <c r="GHL107" s="974"/>
      <c r="GHM107" s="974"/>
      <c r="GHN107" s="974"/>
      <c r="GHO107" s="974"/>
      <c r="GHP107" s="974"/>
      <c r="GHQ107" s="974"/>
      <c r="GHR107" s="974"/>
      <c r="GHS107" s="974"/>
      <c r="GHT107" s="974"/>
      <c r="GHU107" s="974"/>
      <c r="GHV107" s="974"/>
      <c r="GHW107" s="974"/>
      <c r="GHX107" s="974"/>
      <c r="GHY107" s="974"/>
      <c r="GHZ107" s="974"/>
      <c r="GIA107" s="974"/>
      <c r="GIB107" s="974"/>
      <c r="GIC107" s="974"/>
      <c r="GID107" s="974"/>
      <c r="GIE107" s="974"/>
      <c r="GIF107" s="974"/>
      <c r="GIG107" s="974"/>
      <c r="GIH107" s="974"/>
      <c r="GII107" s="974"/>
      <c r="GIJ107" s="974"/>
      <c r="GIK107" s="974"/>
      <c r="GIL107" s="974"/>
      <c r="GIM107" s="974"/>
      <c r="GIN107" s="974"/>
      <c r="GIO107" s="974"/>
      <c r="GIP107" s="974"/>
      <c r="GIQ107" s="974"/>
      <c r="GIR107" s="974"/>
      <c r="GIS107" s="974"/>
      <c r="GIT107" s="974"/>
      <c r="GIU107" s="974"/>
      <c r="GIV107" s="974"/>
      <c r="GIW107" s="974"/>
      <c r="GIX107" s="974"/>
      <c r="GIY107" s="974"/>
      <c r="GIZ107" s="974"/>
      <c r="GJA107" s="974"/>
      <c r="GJB107" s="974"/>
      <c r="GJC107" s="974"/>
      <c r="GJD107" s="974"/>
      <c r="GJE107" s="974"/>
      <c r="GJF107" s="974"/>
      <c r="GJG107" s="974"/>
      <c r="GJH107" s="974"/>
      <c r="GJI107" s="974"/>
      <c r="GJJ107" s="974"/>
      <c r="GJK107" s="974"/>
      <c r="GJL107" s="974"/>
      <c r="GJM107" s="974"/>
      <c r="GJN107" s="974"/>
      <c r="GJO107" s="974"/>
      <c r="GJP107" s="974"/>
      <c r="GJQ107" s="974"/>
      <c r="GJR107" s="974"/>
      <c r="GJS107" s="974"/>
      <c r="GJT107" s="974"/>
      <c r="GJU107" s="974"/>
      <c r="GJV107" s="974"/>
      <c r="GJW107" s="974"/>
      <c r="GJX107" s="974"/>
      <c r="GJY107" s="974"/>
      <c r="GJZ107" s="974"/>
      <c r="GKA107" s="974"/>
      <c r="GKB107" s="974"/>
      <c r="GKC107" s="974"/>
      <c r="GKD107" s="974"/>
      <c r="GKE107" s="974"/>
      <c r="GKF107" s="974"/>
      <c r="GKG107" s="974"/>
      <c r="GKH107" s="974"/>
      <c r="GKI107" s="974"/>
      <c r="GKJ107" s="974"/>
      <c r="GKK107" s="974"/>
      <c r="GKL107" s="974"/>
      <c r="GKM107" s="974"/>
      <c r="GKN107" s="974"/>
      <c r="GKO107" s="974"/>
      <c r="GKP107" s="974"/>
      <c r="GKQ107" s="974"/>
      <c r="GKR107" s="974"/>
      <c r="GKS107" s="974"/>
      <c r="GKT107" s="974"/>
      <c r="GKU107" s="974"/>
      <c r="GKV107" s="974"/>
      <c r="GKW107" s="974"/>
      <c r="GKX107" s="974"/>
      <c r="GKY107" s="974"/>
      <c r="GKZ107" s="974"/>
      <c r="GLA107" s="974"/>
      <c r="GLB107" s="974"/>
      <c r="GLC107" s="974"/>
      <c r="GLD107" s="974"/>
      <c r="GLE107" s="974"/>
      <c r="GLF107" s="974"/>
      <c r="GLG107" s="974"/>
      <c r="GLH107" s="974"/>
      <c r="GLI107" s="974"/>
      <c r="GLJ107" s="974"/>
      <c r="GLK107" s="974"/>
      <c r="GLL107" s="974"/>
      <c r="GLM107" s="974"/>
      <c r="GLN107" s="974"/>
      <c r="GLO107" s="974"/>
      <c r="GLP107" s="974"/>
      <c r="GLQ107" s="974"/>
      <c r="GLR107" s="974"/>
      <c r="GLS107" s="974"/>
      <c r="GLT107" s="974"/>
      <c r="GLU107" s="974"/>
      <c r="GLV107" s="974"/>
      <c r="GLW107" s="974"/>
      <c r="GLX107" s="974"/>
      <c r="GLY107" s="974"/>
      <c r="GLZ107" s="974"/>
      <c r="GMA107" s="974"/>
      <c r="GMB107" s="974"/>
      <c r="GMC107" s="974"/>
      <c r="GMD107" s="974"/>
      <c r="GME107" s="974"/>
      <c r="GMF107" s="974"/>
      <c r="GMG107" s="974"/>
      <c r="GMH107" s="974"/>
      <c r="GMI107" s="974"/>
      <c r="GMJ107" s="974"/>
      <c r="GMK107" s="974"/>
      <c r="GML107" s="974"/>
      <c r="GMM107" s="974"/>
      <c r="GMN107" s="974"/>
      <c r="GMO107" s="974"/>
      <c r="GMP107" s="974"/>
      <c r="GMQ107" s="974"/>
      <c r="GMR107" s="974"/>
      <c r="GMS107" s="974"/>
      <c r="GMT107" s="974"/>
      <c r="GMU107" s="974"/>
      <c r="GMV107" s="974"/>
      <c r="GMW107" s="974"/>
      <c r="GMX107" s="974"/>
      <c r="GMY107" s="974"/>
      <c r="GMZ107" s="974"/>
      <c r="GNA107" s="974"/>
      <c r="GNB107" s="974"/>
      <c r="GNC107" s="974"/>
      <c r="GND107" s="974"/>
      <c r="GNE107" s="974"/>
      <c r="GNF107" s="974"/>
      <c r="GNG107" s="974"/>
      <c r="GNH107" s="974"/>
      <c r="GNI107" s="974"/>
      <c r="GNJ107" s="974"/>
      <c r="GNK107" s="974"/>
      <c r="GNL107" s="974"/>
      <c r="GNM107" s="974"/>
      <c r="GNN107" s="974"/>
      <c r="GNO107" s="974"/>
      <c r="GNP107" s="974"/>
      <c r="GNQ107" s="974"/>
      <c r="GNR107" s="974"/>
      <c r="GNS107" s="974"/>
      <c r="GNT107" s="974"/>
      <c r="GNU107" s="974"/>
      <c r="GNV107" s="974"/>
      <c r="GNW107" s="974"/>
      <c r="GNX107" s="974"/>
      <c r="GNY107" s="974"/>
      <c r="GNZ107" s="974"/>
      <c r="GOA107" s="974"/>
      <c r="GOB107" s="974"/>
      <c r="GOC107" s="974"/>
      <c r="GOD107" s="974"/>
      <c r="GOE107" s="974"/>
      <c r="GOF107" s="974"/>
      <c r="GOG107" s="974"/>
      <c r="GOH107" s="974"/>
      <c r="GOI107" s="974"/>
      <c r="GOJ107" s="974"/>
      <c r="GOK107" s="974"/>
      <c r="GOL107" s="974"/>
      <c r="GOM107" s="974"/>
      <c r="GON107" s="974"/>
      <c r="GOO107" s="974"/>
      <c r="GOP107" s="974"/>
      <c r="GOQ107" s="974"/>
      <c r="GOR107" s="974"/>
      <c r="GOS107" s="974"/>
      <c r="GOT107" s="974"/>
      <c r="GOU107" s="974"/>
      <c r="GOV107" s="974"/>
      <c r="GOW107" s="974"/>
      <c r="GOX107" s="974"/>
      <c r="GOY107" s="974"/>
      <c r="GOZ107" s="974"/>
      <c r="GPA107" s="974"/>
      <c r="GPB107" s="974"/>
      <c r="GPC107" s="974"/>
      <c r="GPD107" s="974"/>
      <c r="GPE107" s="974"/>
      <c r="GPF107" s="974"/>
      <c r="GPG107" s="974"/>
      <c r="GPH107" s="974"/>
      <c r="GPI107" s="974"/>
      <c r="GPJ107" s="974"/>
      <c r="GPK107" s="974"/>
      <c r="GPL107" s="974"/>
      <c r="GPM107" s="974"/>
      <c r="GPN107" s="974"/>
      <c r="GPO107" s="974"/>
      <c r="GPP107" s="974"/>
      <c r="GPQ107" s="974"/>
      <c r="GPR107" s="974"/>
      <c r="GPS107" s="974"/>
      <c r="GPT107" s="974"/>
      <c r="GPU107" s="974"/>
      <c r="GPV107" s="974"/>
      <c r="GPW107" s="974"/>
      <c r="GPX107" s="974"/>
      <c r="GPY107" s="974"/>
      <c r="GPZ107" s="974"/>
      <c r="GQA107" s="974"/>
      <c r="GQB107" s="974"/>
      <c r="GQC107" s="974"/>
      <c r="GQD107" s="974"/>
      <c r="GQE107" s="974"/>
      <c r="GQF107" s="974"/>
      <c r="GQG107" s="974"/>
      <c r="GQH107" s="974"/>
      <c r="GQI107" s="974"/>
      <c r="GQJ107" s="974"/>
      <c r="GQK107" s="974"/>
      <c r="GQL107" s="974"/>
      <c r="GQM107" s="974"/>
      <c r="GQN107" s="974"/>
      <c r="GQO107" s="974"/>
      <c r="GQP107" s="974"/>
      <c r="GQQ107" s="974"/>
      <c r="GQR107" s="974"/>
      <c r="GQS107" s="974"/>
      <c r="GQT107" s="974"/>
      <c r="GQU107" s="974"/>
      <c r="GQV107" s="974"/>
      <c r="GQW107" s="974"/>
      <c r="GQX107" s="974"/>
      <c r="GQY107" s="974"/>
      <c r="GQZ107" s="974"/>
      <c r="GRA107" s="974"/>
      <c r="GRB107" s="974"/>
      <c r="GRC107" s="974"/>
      <c r="GRD107" s="974"/>
      <c r="GRE107" s="974"/>
      <c r="GRF107" s="974"/>
      <c r="GRG107" s="974"/>
      <c r="GRH107" s="974"/>
      <c r="GRI107" s="974"/>
      <c r="GRJ107" s="974"/>
      <c r="GRK107" s="974"/>
      <c r="GRL107" s="974"/>
      <c r="GRM107" s="974"/>
      <c r="GRN107" s="974"/>
      <c r="GRO107" s="974"/>
      <c r="GRP107" s="974"/>
      <c r="GRQ107" s="974"/>
      <c r="GRR107" s="974"/>
      <c r="GRS107" s="974"/>
      <c r="GRT107" s="974"/>
      <c r="GRU107" s="974"/>
      <c r="GRV107" s="974"/>
      <c r="GRW107" s="974"/>
      <c r="GRX107" s="974"/>
      <c r="GRY107" s="974"/>
      <c r="GRZ107" s="974"/>
      <c r="GSA107" s="974"/>
      <c r="GSB107" s="974"/>
      <c r="GSC107" s="974"/>
      <c r="GSD107" s="974"/>
      <c r="GSE107" s="974"/>
      <c r="GSF107" s="974"/>
      <c r="GSG107" s="974"/>
      <c r="GSH107" s="974"/>
      <c r="GSI107" s="974"/>
      <c r="GSJ107" s="974"/>
      <c r="GSK107" s="974"/>
      <c r="GSL107" s="974"/>
      <c r="GSM107" s="974"/>
      <c r="GSN107" s="974"/>
      <c r="GSO107" s="974"/>
      <c r="GSP107" s="974"/>
      <c r="GSQ107" s="974"/>
      <c r="GSR107" s="974"/>
      <c r="GSS107" s="974"/>
      <c r="GST107" s="974"/>
      <c r="GSU107" s="974"/>
      <c r="GSV107" s="974"/>
      <c r="GSW107" s="974"/>
      <c r="GSX107" s="974"/>
      <c r="GSY107" s="974"/>
      <c r="GSZ107" s="974"/>
      <c r="GTA107" s="974"/>
      <c r="GTB107" s="974"/>
      <c r="GTC107" s="974"/>
      <c r="GTD107" s="974"/>
      <c r="GTE107" s="974"/>
      <c r="GTF107" s="974"/>
      <c r="GTG107" s="974"/>
      <c r="GTH107" s="974"/>
      <c r="GTI107" s="974"/>
      <c r="GTJ107" s="974"/>
      <c r="GTK107" s="974"/>
      <c r="GTL107" s="974"/>
      <c r="GTM107" s="974"/>
      <c r="GTN107" s="974"/>
      <c r="GTO107" s="974"/>
      <c r="GTP107" s="974"/>
      <c r="GTQ107" s="974"/>
      <c r="GTR107" s="974"/>
      <c r="GTS107" s="974"/>
      <c r="GTT107" s="974"/>
      <c r="GTU107" s="974"/>
      <c r="GTV107" s="974"/>
      <c r="GTW107" s="974"/>
      <c r="GTX107" s="974"/>
      <c r="GTY107" s="974"/>
      <c r="GTZ107" s="974"/>
      <c r="GUA107" s="974"/>
      <c r="GUB107" s="974"/>
      <c r="GUC107" s="974"/>
      <c r="GUD107" s="974"/>
      <c r="GUE107" s="974"/>
      <c r="GUF107" s="974"/>
      <c r="GUG107" s="974"/>
      <c r="GUH107" s="974"/>
      <c r="GUI107" s="974"/>
      <c r="GUJ107" s="974"/>
      <c r="GUK107" s="974"/>
      <c r="GUL107" s="974"/>
      <c r="GUM107" s="974"/>
      <c r="GUN107" s="974"/>
      <c r="GUO107" s="974"/>
      <c r="GUP107" s="974"/>
      <c r="GUQ107" s="974"/>
      <c r="GUR107" s="974"/>
      <c r="GUS107" s="974"/>
      <c r="GUT107" s="974"/>
      <c r="GUU107" s="974"/>
      <c r="GUV107" s="974"/>
      <c r="GUW107" s="974"/>
      <c r="GUX107" s="974"/>
      <c r="GUY107" s="974"/>
      <c r="GUZ107" s="974"/>
      <c r="GVA107" s="974"/>
      <c r="GVB107" s="974"/>
      <c r="GVC107" s="974"/>
      <c r="GVD107" s="974"/>
      <c r="GVE107" s="974"/>
      <c r="GVF107" s="974"/>
      <c r="GVG107" s="974"/>
      <c r="GVH107" s="974"/>
      <c r="GVI107" s="974"/>
      <c r="GVJ107" s="974"/>
      <c r="GVK107" s="974"/>
      <c r="GVL107" s="974"/>
      <c r="GVM107" s="974"/>
      <c r="GVN107" s="974"/>
      <c r="GVO107" s="974"/>
      <c r="GVP107" s="974"/>
      <c r="GVQ107" s="974"/>
      <c r="GVR107" s="974"/>
      <c r="GVS107" s="974"/>
      <c r="GVT107" s="974"/>
      <c r="GVU107" s="974"/>
      <c r="GVV107" s="974"/>
      <c r="GVW107" s="974"/>
      <c r="GVX107" s="974"/>
      <c r="GVY107" s="974"/>
      <c r="GVZ107" s="974"/>
      <c r="GWA107" s="974"/>
      <c r="GWB107" s="974"/>
      <c r="GWC107" s="974"/>
      <c r="GWD107" s="974"/>
      <c r="GWE107" s="974"/>
      <c r="GWF107" s="974"/>
      <c r="GWG107" s="974"/>
      <c r="GWH107" s="974"/>
      <c r="GWI107" s="974"/>
      <c r="GWJ107" s="974"/>
      <c r="GWK107" s="974"/>
      <c r="GWL107" s="974"/>
      <c r="GWM107" s="974"/>
      <c r="GWN107" s="974"/>
      <c r="GWO107" s="974"/>
      <c r="GWP107" s="974"/>
      <c r="GWQ107" s="974"/>
      <c r="GWR107" s="974"/>
      <c r="GWS107" s="974"/>
      <c r="GWT107" s="974"/>
      <c r="GWU107" s="974"/>
      <c r="GWV107" s="974"/>
      <c r="GWW107" s="974"/>
      <c r="GWX107" s="974"/>
      <c r="GWY107" s="974"/>
      <c r="GWZ107" s="974"/>
      <c r="GXA107" s="974"/>
      <c r="GXB107" s="974"/>
      <c r="GXC107" s="974"/>
      <c r="GXD107" s="974"/>
      <c r="GXE107" s="974"/>
      <c r="GXF107" s="974"/>
      <c r="GXG107" s="974"/>
      <c r="GXH107" s="974"/>
      <c r="GXI107" s="974"/>
      <c r="GXJ107" s="974"/>
      <c r="GXK107" s="974"/>
      <c r="GXL107" s="974"/>
      <c r="GXM107" s="974"/>
      <c r="GXN107" s="974"/>
      <c r="GXO107" s="974"/>
      <c r="GXP107" s="974"/>
      <c r="GXQ107" s="974"/>
      <c r="GXR107" s="974"/>
      <c r="GXS107" s="974"/>
      <c r="GXT107" s="974"/>
      <c r="GXU107" s="974"/>
      <c r="GXV107" s="974"/>
      <c r="GXW107" s="974"/>
      <c r="GXX107" s="974"/>
      <c r="GXY107" s="974"/>
      <c r="GXZ107" s="974"/>
      <c r="GYA107" s="974"/>
      <c r="GYB107" s="974"/>
      <c r="GYC107" s="974"/>
      <c r="GYD107" s="974"/>
      <c r="GYE107" s="974"/>
      <c r="GYF107" s="974"/>
      <c r="GYG107" s="974"/>
      <c r="GYH107" s="974"/>
      <c r="GYI107" s="974"/>
      <c r="GYJ107" s="974"/>
      <c r="GYK107" s="974"/>
      <c r="GYL107" s="974"/>
      <c r="GYM107" s="974"/>
      <c r="GYN107" s="974"/>
      <c r="GYO107" s="974"/>
      <c r="GYP107" s="974"/>
      <c r="GYQ107" s="974"/>
      <c r="GYR107" s="974"/>
      <c r="GYS107" s="974"/>
      <c r="GYT107" s="974"/>
      <c r="GYU107" s="974"/>
      <c r="GYV107" s="974"/>
      <c r="GYW107" s="974"/>
      <c r="GYX107" s="974"/>
      <c r="GYY107" s="974"/>
      <c r="GYZ107" s="974"/>
      <c r="GZA107" s="974"/>
      <c r="GZB107" s="974"/>
      <c r="GZC107" s="974"/>
      <c r="GZD107" s="974"/>
      <c r="GZE107" s="974"/>
      <c r="GZF107" s="974"/>
      <c r="GZG107" s="974"/>
      <c r="GZH107" s="974"/>
      <c r="GZI107" s="974"/>
      <c r="GZJ107" s="974"/>
      <c r="GZK107" s="974"/>
      <c r="GZL107" s="974"/>
      <c r="GZM107" s="974"/>
      <c r="GZN107" s="974"/>
      <c r="GZO107" s="974"/>
      <c r="GZP107" s="974"/>
      <c r="GZQ107" s="974"/>
      <c r="GZR107" s="974"/>
      <c r="GZS107" s="974"/>
      <c r="GZT107" s="974"/>
      <c r="GZU107" s="974"/>
      <c r="GZV107" s="974"/>
      <c r="GZW107" s="974"/>
      <c r="GZX107" s="974"/>
      <c r="GZY107" s="974"/>
      <c r="GZZ107" s="974"/>
      <c r="HAA107" s="974"/>
      <c r="HAB107" s="974"/>
      <c r="HAC107" s="974"/>
      <c r="HAD107" s="974"/>
      <c r="HAE107" s="974"/>
      <c r="HAF107" s="974"/>
      <c r="HAG107" s="974"/>
      <c r="HAH107" s="974"/>
      <c r="HAI107" s="974"/>
      <c r="HAJ107" s="974"/>
      <c r="HAK107" s="974"/>
      <c r="HAL107" s="974"/>
      <c r="HAM107" s="974"/>
      <c r="HAN107" s="974"/>
      <c r="HAO107" s="974"/>
      <c r="HAP107" s="974"/>
      <c r="HAQ107" s="974"/>
      <c r="HAR107" s="974"/>
      <c r="HAS107" s="974"/>
      <c r="HAT107" s="974"/>
      <c r="HAU107" s="974"/>
      <c r="HAV107" s="974"/>
      <c r="HAW107" s="974"/>
      <c r="HAX107" s="974"/>
      <c r="HAY107" s="974"/>
      <c r="HAZ107" s="974"/>
      <c r="HBA107" s="974"/>
      <c r="HBB107" s="974"/>
      <c r="HBC107" s="974"/>
      <c r="HBD107" s="974"/>
      <c r="HBE107" s="974"/>
      <c r="HBF107" s="974"/>
      <c r="HBG107" s="974"/>
      <c r="HBH107" s="974"/>
      <c r="HBI107" s="974"/>
      <c r="HBJ107" s="974"/>
      <c r="HBK107" s="974"/>
      <c r="HBL107" s="974"/>
      <c r="HBM107" s="974"/>
      <c r="HBN107" s="974"/>
      <c r="HBO107" s="974"/>
      <c r="HBP107" s="974"/>
      <c r="HBQ107" s="974"/>
      <c r="HBR107" s="974"/>
      <c r="HBS107" s="974"/>
      <c r="HBT107" s="974"/>
      <c r="HBU107" s="974"/>
      <c r="HBV107" s="974"/>
      <c r="HBW107" s="974"/>
      <c r="HBX107" s="974"/>
      <c r="HBY107" s="974"/>
      <c r="HBZ107" s="974"/>
      <c r="HCA107" s="974"/>
      <c r="HCB107" s="974"/>
      <c r="HCC107" s="974"/>
      <c r="HCD107" s="974"/>
      <c r="HCE107" s="974"/>
      <c r="HCF107" s="974"/>
      <c r="HCG107" s="974"/>
      <c r="HCH107" s="974"/>
      <c r="HCI107" s="974"/>
      <c r="HCJ107" s="974"/>
      <c r="HCK107" s="974"/>
      <c r="HCL107" s="974"/>
      <c r="HCM107" s="974"/>
      <c r="HCN107" s="974"/>
      <c r="HCO107" s="974"/>
      <c r="HCP107" s="974"/>
      <c r="HCQ107" s="974"/>
      <c r="HCR107" s="974"/>
      <c r="HCS107" s="974"/>
      <c r="HCT107" s="974"/>
      <c r="HCU107" s="974"/>
      <c r="HCV107" s="974"/>
      <c r="HCW107" s="974"/>
      <c r="HCX107" s="974"/>
      <c r="HCY107" s="974"/>
      <c r="HCZ107" s="974"/>
      <c r="HDA107" s="974"/>
      <c r="HDB107" s="974"/>
      <c r="HDC107" s="974"/>
      <c r="HDD107" s="974"/>
      <c r="HDE107" s="974"/>
      <c r="HDF107" s="974"/>
      <c r="HDG107" s="974"/>
      <c r="HDH107" s="974"/>
      <c r="HDI107" s="974"/>
      <c r="HDJ107" s="974"/>
      <c r="HDK107" s="974"/>
      <c r="HDL107" s="974"/>
      <c r="HDM107" s="974"/>
      <c r="HDN107" s="974"/>
      <c r="HDO107" s="974"/>
      <c r="HDP107" s="974"/>
      <c r="HDQ107" s="974"/>
      <c r="HDR107" s="974"/>
      <c r="HDS107" s="974"/>
      <c r="HDT107" s="974"/>
      <c r="HDU107" s="974"/>
      <c r="HDV107" s="974"/>
      <c r="HDW107" s="974"/>
      <c r="HDX107" s="974"/>
      <c r="HDY107" s="974"/>
      <c r="HDZ107" s="974"/>
      <c r="HEA107" s="974"/>
      <c r="HEB107" s="974"/>
      <c r="HEC107" s="974"/>
      <c r="HED107" s="974"/>
      <c r="HEE107" s="974"/>
      <c r="HEF107" s="974"/>
      <c r="HEG107" s="974"/>
      <c r="HEH107" s="974"/>
      <c r="HEI107" s="974"/>
      <c r="HEJ107" s="974"/>
      <c r="HEK107" s="974"/>
      <c r="HEL107" s="974"/>
      <c r="HEM107" s="974"/>
      <c r="HEN107" s="974"/>
      <c r="HEO107" s="974"/>
      <c r="HEP107" s="974"/>
      <c r="HEQ107" s="974"/>
      <c r="HER107" s="974"/>
      <c r="HES107" s="974"/>
      <c r="HET107" s="974"/>
      <c r="HEU107" s="974"/>
      <c r="HEV107" s="974"/>
      <c r="HEW107" s="974"/>
      <c r="HEX107" s="974"/>
      <c r="HEY107" s="974"/>
      <c r="HEZ107" s="974"/>
      <c r="HFA107" s="974"/>
      <c r="HFB107" s="974"/>
      <c r="HFC107" s="974"/>
      <c r="HFD107" s="974"/>
      <c r="HFE107" s="974"/>
      <c r="HFF107" s="974"/>
      <c r="HFG107" s="974"/>
      <c r="HFH107" s="974"/>
      <c r="HFI107" s="974"/>
      <c r="HFJ107" s="974"/>
      <c r="HFK107" s="974"/>
      <c r="HFL107" s="974"/>
      <c r="HFM107" s="974"/>
      <c r="HFN107" s="974"/>
      <c r="HFO107" s="974"/>
      <c r="HFP107" s="974"/>
      <c r="HFQ107" s="974"/>
      <c r="HFR107" s="974"/>
      <c r="HFS107" s="974"/>
      <c r="HFT107" s="974"/>
      <c r="HFU107" s="974"/>
      <c r="HFV107" s="974"/>
      <c r="HFW107" s="974"/>
      <c r="HFX107" s="974"/>
      <c r="HFY107" s="974"/>
      <c r="HFZ107" s="974"/>
      <c r="HGA107" s="974"/>
      <c r="HGB107" s="974"/>
      <c r="HGC107" s="974"/>
      <c r="HGD107" s="974"/>
      <c r="HGE107" s="974"/>
      <c r="HGF107" s="974"/>
      <c r="HGG107" s="974"/>
      <c r="HGH107" s="974"/>
      <c r="HGI107" s="974"/>
      <c r="HGJ107" s="974"/>
      <c r="HGK107" s="974"/>
      <c r="HGL107" s="974"/>
      <c r="HGM107" s="974"/>
      <c r="HGN107" s="974"/>
      <c r="HGO107" s="974"/>
      <c r="HGP107" s="974"/>
      <c r="HGQ107" s="974"/>
      <c r="HGR107" s="974"/>
      <c r="HGS107" s="974"/>
      <c r="HGT107" s="974"/>
      <c r="HGU107" s="974"/>
      <c r="HGV107" s="974"/>
      <c r="HGW107" s="974"/>
      <c r="HGX107" s="974"/>
      <c r="HGY107" s="974"/>
      <c r="HGZ107" s="974"/>
      <c r="HHA107" s="974"/>
      <c r="HHB107" s="974"/>
      <c r="HHC107" s="974"/>
      <c r="HHD107" s="974"/>
      <c r="HHE107" s="974"/>
      <c r="HHF107" s="974"/>
      <c r="HHG107" s="974"/>
      <c r="HHH107" s="974"/>
      <c r="HHI107" s="974"/>
      <c r="HHJ107" s="974"/>
      <c r="HHK107" s="974"/>
      <c r="HHL107" s="974"/>
      <c r="HHM107" s="974"/>
      <c r="HHN107" s="974"/>
      <c r="HHO107" s="974"/>
      <c r="HHP107" s="974"/>
      <c r="HHQ107" s="974"/>
      <c r="HHR107" s="974"/>
      <c r="HHS107" s="974"/>
      <c r="HHT107" s="974"/>
      <c r="HHU107" s="974"/>
      <c r="HHV107" s="974"/>
      <c r="HHW107" s="974"/>
      <c r="HHX107" s="974"/>
      <c r="HHY107" s="974"/>
      <c r="HHZ107" s="974"/>
      <c r="HIA107" s="974"/>
      <c r="HIB107" s="974"/>
      <c r="HIC107" s="974"/>
      <c r="HID107" s="974"/>
      <c r="HIE107" s="974"/>
      <c r="HIF107" s="974"/>
      <c r="HIG107" s="974"/>
      <c r="HIH107" s="974"/>
      <c r="HII107" s="974"/>
      <c r="HIJ107" s="974"/>
      <c r="HIK107" s="974"/>
      <c r="HIL107" s="974"/>
      <c r="HIM107" s="974"/>
      <c r="HIN107" s="974"/>
      <c r="HIO107" s="974"/>
      <c r="HIP107" s="974"/>
      <c r="HIQ107" s="974"/>
      <c r="HIR107" s="974"/>
      <c r="HIS107" s="974"/>
      <c r="HIT107" s="974"/>
      <c r="HIU107" s="974"/>
      <c r="HIV107" s="974"/>
      <c r="HIW107" s="974"/>
      <c r="HIX107" s="974"/>
      <c r="HIY107" s="974"/>
      <c r="HIZ107" s="974"/>
      <c r="HJA107" s="974"/>
      <c r="HJB107" s="974"/>
      <c r="HJC107" s="974"/>
      <c r="HJD107" s="974"/>
      <c r="HJE107" s="974"/>
      <c r="HJF107" s="974"/>
      <c r="HJG107" s="974"/>
      <c r="HJH107" s="974"/>
      <c r="HJI107" s="974"/>
      <c r="HJJ107" s="974"/>
      <c r="HJK107" s="974"/>
      <c r="HJL107" s="974"/>
      <c r="HJM107" s="974"/>
      <c r="HJN107" s="974"/>
      <c r="HJO107" s="974"/>
      <c r="HJP107" s="974"/>
      <c r="HJQ107" s="974"/>
      <c r="HJR107" s="974"/>
      <c r="HJS107" s="974"/>
      <c r="HJT107" s="974"/>
      <c r="HJU107" s="974"/>
      <c r="HJV107" s="974"/>
      <c r="HJW107" s="974"/>
      <c r="HJX107" s="974"/>
      <c r="HJY107" s="974"/>
      <c r="HJZ107" s="974"/>
      <c r="HKA107" s="974"/>
      <c r="HKB107" s="974"/>
      <c r="HKC107" s="974"/>
      <c r="HKD107" s="974"/>
      <c r="HKE107" s="974"/>
      <c r="HKF107" s="974"/>
      <c r="HKG107" s="974"/>
      <c r="HKH107" s="974"/>
      <c r="HKI107" s="974"/>
      <c r="HKJ107" s="974"/>
      <c r="HKK107" s="974"/>
      <c r="HKL107" s="974"/>
      <c r="HKM107" s="974"/>
      <c r="HKN107" s="974"/>
      <c r="HKO107" s="974"/>
      <c r="HKP107" s="974"/>
      <c r="HKQ107" s="974"/>
      <c r="HKR107" s="974"/>
      <c r="HKS107" s="974"/>
      <c r="HKT107" s="974"/>
      <c r="HKU107" s="974"/>
      <c r="HKV107" s="974"/>
      <c r="HKW107" s="974"/>
      <c r="HKX107" s="974"/>
      <c r="HKY107" s="974"/>
      <c r="HKZ107" s="974"/>
      <c r="HLA107" s="974"/>
      <c r="HLB107" s="974"/>
      <c r="HLC107" s="974"/>
      <c r="HLD107" s="974"/>
      <c r="HLE107" s="974"/>
      <c r="HLF107" s="974"/>
      <c r="HLG107" s="974"/>
      <c r="HLH107" s="974"/>
      <c r="HLI107" s="974"/>
      <c r="HLJ107" s="974"/>
      <c r="HLK107" s="974"/>
      <c r="HLL107" s="974"/>
      <c r="HLM107" s="974"/>
      <c r="HLN107" s="974"/>
      <c r="HLO107" s="974"/>
      <c r="HLP107" s="974"/>
      <c r="HLQ107" s="974"/>
      <c r="HLR107" s="974"/>
      <c r="HLS107" s="974"/>
      <c r="HLT107" s="974"/>
      <c r="HLU107" s="974"/>
      <c r="HLV107" s="974"/>
      <c r="HLW107" s="974"/>
      <c r="HLX107" s="974"/>
      <c r="HLY107" s="974"/>
      <c r="HLZ107" s="974"/>
      <c r="HMA107" s="974"/>
      <c r="HMB107" s="974"/>
      <c r="HMC107" s="974"/>
      <c r="HMD107" s="974"/>
      <c r="HME107" s="974"/>
      <c r="HMF107" s="974"/>
      <c r="HMG107" s="974"/>
      <c r="HMH107" s="974"/>
      <c r="HMI107" s="974"/>
      <c r="HMJ107" s="974"/>
      <c r="HMK107" s="974"/>
      <c r="HML107" s="974"/>
      <c r="HMM107" s="974"/>
      <c r="HMN107" s="974"/>
      <c r="HMO107" s="974"/>
      <c r="HMP107" s="974"/>
      <c r="HMQ107" s="974"/>
      <c r="HMR107" s="974"/>
      <c r="HMS107" s="974"/>
      <c r="HMT107" s="974"/>
      <c r="HMU107" s="974"/>
      <c r="HMV107" s="974"/>
      <c r="HMW107" s="974"/>
      <c r="HMX107" s="974"/>
      <c r="HMY107" s="974"/>
      <c r="HMZ107" s="974"/>
      <c r="HNA107" s="974"/>
      <c r="HNB107" s="974"/>
      <c r="HNC107" s="974"/>
      <c r="HND107" s="974"/>
      <c r="HNE107" s="974"/>
      <c r="HNF107" s="974"/>
      <c r="HNG107" s="974"/>
      <c r="HNH107" s="974"/>
      <c r="HNI107" s="974"/>
      <c r="HNJ107" s="974"/>
      <c r="HNK107" s="974"/>
      <c r="HNL107" s="974"/>
      <c r="HNM107" s="974"/>
      <c r="HNN107" s="974"/>
      <c r="HNO107" s="974"/>
      <c r="HNP107" s="974"/>
      <c r="HNQ107" s="974"/>
      <c r="HNR107" s="974"/>
      <c r="HNS107" s="974"/>
      <c r="HNT107" s="974"/>
      <c r="HNU107" s="974"/>
      <c r="HNV107" s="974"/>
      <c r="HNW107" s="974"/>
      <c r="HNX107" s="974"/>
      <c r="HNY107" s="974"/>
      <c r="HNZ107" s="974"/>
      <c r="HOA107" s="974"/>
      <c r="HOB107" s="974"/>
      <c r="HOC107" s="974"/>
      <c r="HOD107" s="974"/>
      <c r="HOE107" s="974"/>
      <c r="HOF107" s="974"/>
      <c r="HOG107" s="974"/>
      <c r="HOH107" s="974"/>
      <c r="HOI107" s="974"/>
      <c r="HOJ107" s="974"/>
      <c r="HOK107" s="974"/>
      <c r="HOL107" s="974"/>
      <c r="HOM107" s="974"/>
      <c r="HON107" s="974"/>
      <c r="HOO107" s="974"/>
      <c r="HOP107" s="974"/>
      <c r="HOQ107" s="974"/>
      <c r="HOR107" s="974"/>
      <c r="HOS107" s="974"/>
      <c r="HOT107" s="974"/>
      <c r="HOU107" s="974"/>
      <c r="HOV107" s="974"/>
      <c r="HOW107" s="974"/>
      <c r="HOX107" s="974"/>
      <c r="HOY107" s="974"/>
      <c r="HOZ107" s="974"/>
      <c r="HPA107" s="974"/>
      <c r="HPB107" s="974"/>
      <c r="HPC107" s="974"/>
      <c r="HPD107" s="974"/>
      <c r="HPE107" s="974"/>
      <c r="HPF107" s="974"/>
      <c r="HPG107" s="974"/>
      <c r="HPH107" s="974"/>
      <c r="HPI107" s="974"/>
      <c r="HPJ107" s="974"/>
      <c r="HPK107" s="974"/>
      <c r="HPL107" s="974"/>
      <c r="HPM107" s="974"/>
      <c r="HPN107" s="974"/>
      <c r="HPO107" s="974"/>
      <c r="HPP107" s="974"/>
      <c r="HPQ107" s="974"/>
      <c r="HPR107" s="974"/>
      <c r="HPS107" s="974"/>
      <c r="HPT107" s="974"/>
      <c r="HPU107" s="974"/>
      <c r="HPV107" s="974"/>
      <c r="HPW107" s="974"/>
      <c r="HPX107" s="974"/>
      <c r="HPY107" s="974"/>
      <c r="HPZ107" s="974"/>
      <c r="HQA107" s="974"/>
      <c r="HQB107" s="974"/>
      <c r="HQC107" s="974"/>
      <c r="HQD107" s="974"/>
      <c r="HQE107" s="974"/>
      <c r="HQF107" s="974"/>
      <c r="HQG107" s="974"/>
      <c r="HQH107" s="974"/>
      <c r="HQI107" s="974"/>
      <c r="HQJ107" s="974"/>
      <c r="HQK107" s="974"/>
      <c r="HQL107" s="974"/>
      <c r="HQM107" s="974"/>
      <c r="HQN107" s="974"/>
      <c r="HQO107" s="974"/>
      <c r="HQP107" s="974"/>
      <c r="HQQ107" s="974"/>
      <c r="HQR107" s="974"/>
      <c r="HQS107" s="974"/>
      <c r="HQT107" s="974"/>
      <c r="HQU107" s="974"/>
      <c r="HQV107" s="974"/>
      <c r="HQW107" s="974"/>
      <c r="HQX107" s="974"/>
      <c r="HQY107" s="974"/>
      <c r="HQZ107" s="974"/>
      <c r="HRA107" s="974"/>
      <c r="HRB107" s="974"/>
      <c r="HRC107" s="974"/>
      <c r="HRD107" s="974"/>
      <c r="HRE107" s="974"/>
      <c r="HRF107" s="974"/>
      <c r="HRG107" s="974"/>
      <c r="HRH107" s="974"/>
      <c r="HRI107" s="974"/>
      <c r="HRJ107" s="974"/>
      <c r="HRK107" s="974"/>
      <c r="HRL107" s="974"/>
      <c r="HRM107" s="974"/>
      <c r="HRN107" s="974"/>
      <c r="HRO107" s="974"/>
      <c r="HRP107" s="974"/>
      <c r="HRQ107" s="974"/>
      <c r="HRR107" s="974"/>
      <c r="HRS107" s="974"/>
      <c r="HRT107" s="974"/>
      <c r="HRU107" s="974"/>
      <c r="HRV107" s="974"/>
      <c r="HRW107" s="974"/>
      <c r="HRX107" s="974"/>
      <c r="HRY107" s="974"/>
      <c r="HRZ107" s="974"/>
      <c r="HSA107" s="974"/>
      <c r="HSB107" s="974"/>
      <c r="HSC107" s="974"/>
      <c r="HSD107" s="974"/>
      <c r="HSE107" s="974"/>
      <c r="HSF107" s="974"/>
      <c r="HSG107" s="974"/>
      <c r="HSH107" s="974"/>
      <c r="HSI107" s="974"/>
      <c r="HSJ107" s="974"/>
      <c r="HSK107" s="974"/>
      <c r="HSL107" s="974"/>
      <c r="HSM107" s="974"/>
      <c r="HSN107" s="974"/>
      <c r="HSO107" s="974"/>
      <c r="HSP107" s="974"/>
      <c r="HSQ107" s="974"/>
      <c r="HSR107" s="974"/>
      <c r="HSS107" s="974"/>
      <c r="HST107" s="974"/>
      <c r="HSU107" s="974"/>
      <c r="HSV107" s="974"/>
      <c r="HSW107" s="974"/>
      <c r="HSX107" s="974"/>
      <c r="HSY107" s="974"/>
      <c r="HSZ107" s="974"/>
      <c r="HTA107" s="974"/>
      <c r="HTB107" s="974"/>
      <c r="HTC107" s="974"/>
      <c r="HTD107" s="974"/>
      <c r="HTE107" s="974"/>
      <c r="HTF107" s="974"/>
      <c r="HTG107" s="974"/>
      <c r="HTH107" s="974"/>
      <c r="HTI107" s="974"/>
      <c r="HTJ107" s="974"/>
      <c r="HTK107" s="974"/>
      <c r="HTL107" s="974"/>
      <c r="HTM107" s="974"/>
      <c r="HTN107" s="974"/>
      <c r="HTO107" s="974"/>
      <c r="HTP107" s="974"/>
      <c r="HTQ107" s="974"/>
      <c r="HTR107" s="974"/>
      <c r="HTS107" s="974"/>
      <c r="HTT107" s="974"/>
      <c r="HTU107" s="974"/>
      <c r="HTV107" s="974"/>
      <c r="HTW107" s="974"/>
      <c r="HTX107" s="974"/>
      <c r="HTY107" s="974"/>
      <c r="HTZ107" s="974"/>
      <c r="HUA107" s="974"/>
      <c r="HUB107" s="974"/>
      <c r="HUC107" s="974"/>
      <c r="HUD107" s="974"/>
      <c r="HUE107" s="974"/>
      <c r="HUF107" s="974"/>
      <c r="HUG107" s="974"/>
      <c r="HUH107" s="974"/>
      <c r="HUI107" s="974"/>
      <c r="HUJ107" s="974"/>
      <c r="HUK107" s="974"/>
      <c r="HUL107" s="974"/>
      <c r="HUM107" s="974"/>
      <c r="HUN107" s="974"/>
      <c r="HUO107" s="974"/>
      <c r="HUP107" s="974"/>
      <c r="HUQ107" s="974"/>
      <c r="HUR107" s="974"/>
      <c r="HUS107" s="974"/>
      <c r="HUT107" s="974"/>
      <c r="HUU107" s="974"/>
      <c r="HUV107" s="974"/>
      <c r="HUW107" s="974"/>
      <c r="HUX107" s="974"/>
      <c r="HUY107" s="974"/>
      <c r="HUZ107" s="974"/>
      <c r="HVA107" s="974"/>
      <c r="HVB107" s="974"/>
      <c r="HVC107" s="974"/>
      <c r="HVD107" s="974"/>
      <c r="HVE107" s="974"/>
      <c r="HVF107" s="974"/>
      <c r="HVG107" s="974"/>
      <c r="HVH107" s="974"/>
      <c r="HVI107" s="974"/>
      <c r="HVJ107" s="974"/>
      <c r="HVK107" s="974"/>
      <c r="HVL107" s="974"/>
      <c r="HVM107" s="974"/>
      <c r="HVN107" s="974"/>
      <c r="HVO107" s="974"/>
      <c r="HVP107" s="974"/>
      <c r="HVQ107" s="974"/>
      <c r="HVR107" s="974"/>
      <c r="HVS107" s="974"/>
      <c r="HVT107" s="974"/>
      <c r="HVU107" s="974"/>
      <c r="HVV107" s="974"/>
      <c r="HVW107" s="974"/>
      <c r="HVX107" s="974"/>
      <c r="HVY107" s="974"/>
      <c r="HVZ107" s="974"/>
      <c r="HWA107" s="974"/>
      <c r="HWB107" s="974"/>
      <c r="HWC107" s="974"/>
      <c r="HWD107" s="974"/>
      <c r="HWE107" s="974"/>
      <c r="HWF107" s="974"/>
      <c r="HWG107" s="974"/>
      <c r="HWH107" s="974"/>
      <c r="HWI107" s="974"/>
      <c r="HWJ107" s="974"/>
      <c r="HWK107" s="974"/>
      <c r="HWL107" s="974"/>
      <c r="HWM107" s="974"/>
      <c r="HWN107" s="974"/>
      <c r="HWO107" s="974"/>
      <c r="HWP107" s="974"/>
      <c r="HWQ107" s="974"/>
      <c r="HWR107" s="974"/>
      <c r="HWS107" s="974"/>
      <c r="HWT107" s="974"/>
      <c r="HWU107" s="974"/>
      <c r="HWV107" s="974"/>
      <c r="HWW107" s="974"/>
      <c r="HWX107" s="974"/>
      <c r="HWY107" s="974"/>
      <c r="HWZ107" s="974"/>
      <c r="HXA107" s="974"/>
      <c r="HXB107" s="974"/>
      <c r="HXC107" s="974"/>
      <c r="HXD107" s="974"/>
      <c r="HXE107" s="974"/>
      <c r="HXF107" s="974"/>
      <c r="HXG107" s="974"/>
      <c r="HXH107" s="974"/>
      <c r="HXI107" s="974"/>
      <c r="HXJ107" s="974"/>
      <c r="HXK107" s="974"/>
      <c r="HXL107" s="974"/>
      <c r="HXM107" s="974"/>
      <c r="HXN107" s="974"/>
      <c r="HXO107" s="974"/>
      <c r="HXP107" s="974"/>
      <c r="HXQ107" s="974"/>
      <c r="HXR107" s="974"/>
      <c r="HXS107" s="974"/>
      <c r="HXT107" s="974"/>
      <c r="HXU107" s="974"/>
      <c r="HXV107" s="974"/>
      <c r="HXW107" s="974"/>
      <c r="HXX107" s="974"/>
      <c r="HXY107" s="974"/>
      <c r="HXZ107" s="974"/>
      <c r="HYA107" s="974"/>
      <c r="HYB107" s="974"/>
      <c r="HYC107" s="974"/>
      <c r="HYD107" s="974"/>
      <c r="HYE107" s="974"/>
      <c r="HYF107" s="974"/>
      <c r="HYG107" s="974"/>
      <c r="HYH107" s="974"/>
      <c r="HYI107" s="974"/>
      <c r="HYJ107" s="974"/>
      <c r="HYK107" s="974"/>
      <c r="HYL107" s="974"/>
      <c r="HYM107" s="974"/>
      <c r="HYN107" s="974"/>
      <c r="HYO107" s="974"/>
      <c r="HYP107" s="974"/>
      <c r="HYQ107" s="974"/>
      <c r="HYR107" s="974"/>
      <c r="HYS107" s="974"/>
      <c r="HYT107" s="974"/>
      <c r="HYU107" s="974"/>
      <c r="HYV107" s="974"/>
      <c r="HYW107" s="974"/>
      <c r="HYX107" s="974"/>
      <c r="HYY107" s="974"/>
      <c r="HYZ107" s="974"/>
      <c r="HZA107" s="974"/>
      <c r="HZB107" s="974"/>
      <c r="HZC107" s="974"/>
      <c r="HZD107" s="974"/>
      <c r="HZE107" s="974"/>
      <c r="HZF107" s="974"/>
      <c r="HZG107" s="974"/>
      <c r="HZH107" s="974"/>
      <c r="HZI107" s="974"/>
      <c r="HZJ107" s="974"/>
      <c r="HZK107" s="974"/>
      <c r="HZL107" s="974"/>
      <c r="HZM107" s="974"/>
      <c r="HZN107" s="974"/>
      <c r="HZO107" s="974"/>
      <c r="HZP107" s="974"/>
      <c r="HZQ107" s="974"/>
      <c r="HZR107" s="974"/>
      <c r="HZS107" s="974"/>
      <c r="HZT107" s="974"/>
      <c r="HZU107" s="974"/>
      <c r="HZV107" s="974"/>
      <c r="HZW107" s="974"/>
      <c r="HZX107" s="974"/>
      <c r="HZY107" s="974"/>
      <c r="HZZ107" s="974"/>
      <c r="IAA107" s="974"/>
      <c r="IAB107" s="974"/>
      <c r="IAC107" s="974"/>
      <c r="IAD107" s="974"/>
      <c r="IAE107" s="974"/>
      <c r="IAF107" s="974"/>
      <c r="IAG107" s="974"/>
      <c r="IAH107" s="974"/>
      <c r="IAI107" s="974"/>
      <c r="IAJ107" s="974"/>
      <c r="IAK107" s="974"/>
      <c r="IAL107" s="974"/>
      <c r="IAM107" s="974"/>
      <c r="IAN107" s="974"/>
      <c r="IAO107" s="974"/>
      <c r="IAP107" s="974"/>
      <c r="IAQ107" s="974"/>
      <c r="IAR107" s="974"/>
      <c r="IAS107" s="974"/>
      <c r="IAT107" s="974"/>
      <c r="IAU107" s="974"/>
      <c r="IAV107" s="974"/>
      <c r="IAW107" s="974"/>
      <c r="IAX107" s="974"/>
      <c r="IAY107" s="974"/>
      <c r="IAZ107" s="974"/>
      <c r="IBA107" s="974"/>
      <c r="IBB107" s="974"/>
      <c r="IBC107" s="974"/>
      <c r="IBD107" s="974"/>
      <c r="IBE107" s="974"/>
      <c r="IBF107" s="974"/>
      <c r="IBG107" s="974"/>
      <c r="IBH107" s="974"/>
      <c r="IBI107" s="974"/>
      <c r="IBJ107" s="974"/>
      <c r="IBK107" s="974"/>
      <c r="IBL107" s="974"/>
      <c r="IBM107" s="974"/>
      <c r="IBN107" s="974"/>
      <c r="IBO107" s="974"/>
      <c r="IBP107" s="974"/>
      <c r="IBQ107" s="974"/>
      <c r="IBR107" s="974"/>
      <c r="IBS107" s="974"/>
      <c r="IBT107" s="974"/>
      <c r="IBU107" s="974"/>
      <c r="IBV107" s="974"/>
      <c r="IBW107" s="974"/>
      <c r="IBX107" s="974"/>
      <c r="IBY107" s="974"/>
      <c r="IBZ107" s="974"/>
      <c r="ICA107" s="974"/>
      <c r="ICB107" s="974"/>
      <c r="ICC107" s="974"/>
      <c r="ICD107" s="974"/>
      <c r="ICE107" s="974"/>
      <c r="ICF107" s="974"/>
      <c r="ICG107" s="974"/>
      <c r="ICH107" s="974"/>
      <c r="ICI107" s="974"/>
      <c r="ICJ107" s="974"/>
      <c r="ICK107" s="974"/>
      <c r="ICL107" s="974"/>
      <c r="ICM107" s="974"/>
      <c r="ICN107" s="974"/>
      <c r="ICO107" s="974"/>
      <c r="ICP107" s="974"/>
      <c r="ICQ107" s="974"/>
      <c r="ICR107" s="974"/>
      <c r="ICS107" s="974"/>
      <c r="ICT107" s="974"/>
      <c r="ICU107" s="974"/>
      <c r="ICV107" s="974"/>
      <c r="ICW107" s="974"/>
      <c r="ICX107" s="974"/>
      <c r="ICY107" s="974"/>
      <c r="ICZ107" s="974"/>
      <c r="IDA107" s="974"/>
      <c r="IDB107" s="974"/>
      <c r="IDC107" s="974"/>
      <c r="IDD107" s="974"/>
      <c r="IDE107" s="974"/>
      <c r="IDF107" s="974"/>
      <c r="IDG107" s="974"/>
      <c r="IDH107" s="974"/>
      <c r="IDI107" s="974"/>
      <c r="IDJ107" s="974"/>
      <c r="IDK107" s="974"/>
      <c r="IDL107" s="974"/>
      <c r="IDM107" s="974"/>
      <c r="IDN107" s="974"/>
      <c r="IDO107" s="974"/>
      <c r="IDP107" s="974"/>
      <c r="IDQ107" s="974"/>
      <c r="IDR107" s="974"/>
      <c r="IDS107" s="974"/>
      <c r="IDT107" s="974"/>
      <c r="IDU107" s="974"/>
      <c r="IDV107" s="974"/>
      <c r="IDW107" s="974"/>
      <c r="IDX107" s="974"/>
      <c r="IDY107" s="974"/>
      <c r="IDZ107" s="974"/>
      <c r="IEA107" s="974"/>
      <c r="IEB107" s="974"/>
      <c r="IEC107" s="974"/>
      <c r="IED107" s="974"/>
      <c r="IEE107" s="974"/>
      <c r="IEF107" s="974"/>
      <c r="IEG107" s="974"/>
      <c r="IEH107" s="974"/>
      <c r="IEI107" s="974"/>
      <c r="IEJ107" s="974"/>
      <c r="IEK107" s="974"/>
      <c r="IEL107" s="974"/>
      <c r="IEM107" s="974"/>
      <c r="IEN107" s="974"/>
      <c r="IEO107" s="974"/>
      <c r="IEP107" s="974"/>
      <c r="IEQ107" s="974"/>
      <c r="IER107" s="974"/>
      <c r="IES107" s="974"/>
      <c r="IET107" s="974"/>
      <c r="IEU107" s="974"/>
      <c r="IEV107" s="974"/>
      <c r="IEW107" s="974"/>
      <c r="IEX107" s="974"/>
      <c r="IEY107" s="974"/>
      <c r="IEZ107" s="974"/>
      <c r="IFA107" s="974"/>
      <c r="IFB107" s="974"/>
      <c r="IFC107" s="974"/>
      <c r="IFD107" s="974"/>
      <c r="IFE107" s="974"/>
      <c r="IFF107" s="974"/>
      <c r="IFG107" s="974"/>
      <c r="IFH107" s="974"/>
      <c r="IFI107" s="974"/>
      <c r="IFJ107" s="974"/>
      <c r="IFK107" s="974"/>
      <c r="IFL107" s="974"/>
      <c r="IFM107" s="974"/>
      <c r="IFN107" s="974"/>
      <c r="IFO107" s="974"/>
      <c r="IFP107" s="974"/>
      <c r="IFQ107" s="974"/>
      <c r="IFR107" s="974"/>
      <c r="IFS107" s="974"/>
      <c r="IFT107" s="974"/>
      <c r="IFU107" s="974"/>
      <c r="IFV107" s="974"/>
      <c r="IFW107" s="974"/>
      <c r="IFX107" s="974"/>
      <c r="IFY107" s="974"/>
      <c r="IFZ107" s="974"/>
      <c r="IGA107" s="974"/>
      <c r="IGB107" s="974"/>
      <c r="IGC107" s="974"/>
      <c r="IGD107" s="974"/>
      <c r="IGE107" s="974"/>
      <c r="IGF107" s="974"/>
      <c r="IGG107" s="974"/>
      <c r="IGH107" s="974"/>
      <c r="IGI107" s="974"/>
      <c r="IGJ107" s="974"/>
      <c r="IGK107" s="974"/>
      <c r="IGL107" s="974"/>
      <c r="IGM107" s="974"/>
      <c r="IGN107" s="974"/>
      <c r="IGO107" s="974"/>
      <c r="IGP107" s="974"/>
      <c r="IGQ107" s="974"/>
      <c r="IGR107" s="974"/>
      <c r="IGS107" s="974"/>
      <c r="IGT107" s="974"/>
      <c r="IGU107" s="974"/>
      <c r="IGV107" s="974"/>
      <c r="IGW107" s="974"/>
      <c r="IGX107" s="974"/>
      <c r="IGY107" s="974"/>
      <c r="IGZ107" s="974"/>
      <c r="IHA107" s="974"/>
      <c r="IHB107" s="974"/>
      <c r="IHC107" s="974"/>
      <c r="IHD107" s="974"/>
      <c r="IHE107" s="974"/>
      <c r="IHF107" s="974"/>
      <c r="IHG107" s="974"/>
      <c r="IHH107" s="974"/>
      <c r="IHI107" s="974"/>
      <c r="IHJ107" s="974"/>
      <c r="IHK107" s="974"/>
      <c r="IHL107" s="974"/>
      <c r="IHM107" s="974"/>
      <c r="IHN107" s="974"/>
      <c r="IHO107" s="974"/>
      <c r="IHP107" s="974"/>
      <c r="IHQ107" s="974"/>
      <c r="IHR107" s="974"/>
      <c r="IHS107" s="974"/>
      <c r="IHT107" s="974"/>
      <c r="IHU107" s="974"/>
      <c r="IHV107" s="974"/>
      <c r="IHW107" s="974"/>
      <c r="IHX107" s="974"/>
      <c r="IHY107" s="974"/>
      <c r="IHZ107" s="974"/>
      <c r="IIA107" s="974"/>
      <c r="IIB107" s="974"/>
      <c r="IIC107" s="974"/>
      <c r="IID107" s="974"/>
      <c r="IIE107" s="974"/>
      <c r="IIF107" s="974"/>
      <c r="IIG107" s="974"/>
      <c r="IIH107" s="974"/>
      <c r="III107" s="974"/>
      <c r="IIJ107" s="974"/>
      <c r="IIK107" s="974"/>
      <c r="IIL107" s="974"/>
      <c r="IIM107" s="974"/>
      <c r="IIN107" s="974"/>
      <c r="IIO107" s="974"/>
      <c r="IIP107" s="974"/>
      <c r="IIQ107" s="974"/>
      <c r="IIR107" s="974"/>
      <c r="IIS107" s="974"/>
      <c r="IIT107" s="974"/>
      <c r="IIU107" s="974"/>
      <c r="IIV107" s="974"/>
      <c r="IIW107" s="974"/>
      <c r="IIX107" s="974"/>
      <c r="IIY107" s="974"/>
      <c r="IIZ107" s="974"/>
      <c r="IJA107" s="974"/>
      <c r="IJB107" s="974"/>
      <c r="IJC107" s="974"/>
      <c r="IJD107" s="974"/>
      <c r="IJE107" s="974"/>
      <c r="IJF107" s="974"/>
      <c r="IJG107" s="974"/>
      <c r="IJH107" s="974"/>
      <c r="IJI107" s="974"/>
      <c r="IJJ107" s="974"/>
      <c r="IJK107" s="974"/>
      <c r="IJL107" s="974"/>
      <c r="IJM107" s="974"/>
      <c r="IJN107" s="974"/>
      <c r="IJO107" s="974"/>
      <c r="IJP107" s="974"/>
      <c r="IJQ107" s="974"/>
      <c r="IJR107" s="974"/>
      <c r="IJS107" s="974"/>
      <c r="IJT107" s="974"/>
      <c r="IJU107" s="974"/>
      <c r="IJV107" s="974"/>
      <c r="IJW107" s="974"/>
      <c r="IJX107" s="974"/>
      <c r="IJY107" s="974"/>
      <c r="IJZ107" s="974"/>
      <c r="IKA107" s="974"/>
      <c r="IKB107" s="974"/>
      <c r="IKC107" s="974"/>
      <c r="IKD107" s="974"/>
      <c r="IKE107" s="974"/>
      <c r="IKF107" s="974"/>
      <c r="IKG107" s="974"/>
      <c r="IKH107" s="974"/>
      <c r="IKI107" s="974"/>
      <c r="IKJ107" s="974"/>
      <c r="IKK107" s="974"/>
      <c r="IKL107" s="974"/>
      <c r="IKM107" s="974"/>
      <c r="IKN107" s="974"/>
      <c r="IKO107" s="974"/>
      <c r="IKP107" s="974"/>
      <c r="IKQ107" s="974"/>
      <c r="IKR107" s="974"/>
      <c r="IKS107" s="974"/>
      <c r="IKT107" s="974"/>
      <c r="IKU107" s="974"/>
      <c r="IKV107" s="974"/>
      <c r="IKW107" s="974"/>
      <c r="IKX107" s="974"/>
      <c r="IKY107" s="974"/>
      <c r="IKZ107" s="974"/>
      <c r="ILA107" s="974"/>
      <c r="ILB107" s="974"/>
      <c r="ILC107" s="974"/>
      <c r="ILD107" s="974"/>
      <c r="ILE107" s="974"/>
      <c r="ILF107" s="974"/>
      <c r="ILG107" s="974"/>
      <c r="ILH107" s="974"/>
      <c r="ILI107" s="974"/>
      <c r="ILJ107" s="974"/>
      <c r="ILK107" s="974"/>
      <c r="ILL107" s="974"/>
      <c r="ILM107" s="974"/>
      <c r="ILN107" s="974"/>
      <c r="ILO107" s="974"/>
      <c r="ILP107" s="974"/>
      <c r="ILQ107" s="974"/>
      <c r="ILR107" s="974"/>
      <c r="ILS107" s="974"/>
      <c r="ILT107" s="974"/>
      <c r="ILU107" s="974"/>
      <c r="ILV107" s="974"/>
      <c r="ILW107" s="974"/>
      <c r="ILX107" s="974"/>
      <c r="ILY107" s="974"/>
      <c r="ILZ107" s="974"/>
      <c r="IMA107" s="974"/>
      <c r="IMB107" s="974"/>
      <c r="IMC107" s="974"/>
      <c r="IMD107" s="974"/>
      <c r="IME107" s="974"/>
      <c r="IMF107" s="974"/>
      <c r="IMG107" s="974"/>
      <c r="IMH107" s="974"/>
      <c r="IMI107" s="974"/>
      <c r="IMJ107" s="974"/>
      <c r="IMK107" s="974"/>
      <c r="IML107" s="974"/>
      <c r="IMM107" s="974"/>
      <c r="IMN107" s="974"/>
      <c r="IMO107" s="974"/>
      <c r="IMP107" s="974"/>
      <c r="IMQ107" s="974"/>
      <c r="IMR107" s="974"/>
      <c r="IMS107" s="974"/>
      <c r="IMT107" s="974"/>
      <c r="IMU107" s="974"/>
      <c r="IMV107" s="974"/>
      <c r="IMW107" s="974"/>
      <c r="IMX107" s="974"/>
      <c r="IMY107" s="974"/>
      <c r="IMZ107" s="974"/>
      <c r="INA107" s="974"/>
      <c r="INB107" s="974"/>
      <c r="INC107" s="974"/>
      <c r="IND107" s="974"/>
      <c r="INE107" s="974"/>
      <c r="INF107" s="974"/>
      <c r="ING107" s="974"/>
      <c r="INH107" s="974"/>
      <c r="INI107" s="974"/>
      <c r="INJ107" s="974"/>
      <c r="INK107" s="974"/>
      <c r="INL107" s="974"/>
      <c r="INM107" s="974"/>
      <c r="INN107" s="974"/>
      <c r="INO107" s="974"/>
      <c r="INP107" s="974"/>
      <c r="INQ107" s="974"/>
      <c r="INR107" s="974"/>
      <c r="INS107" s="974"/>
      <c r="INT107" s="974"/>
      <c r="INU107" s="974"/>
      <c r="INV107" s="974"/>
      <c r="INW107" s="974"/>
      <c r="INX107" s="974"/>
      <c r="INY107" s="974"/>
      <c r="INZ107" s="974"/>
      <c r="IOA107" s="974"/>
      <c r="IOB107" s="974"/>
      <c r="IOC107" s="974"/>
      <c r="IOD107" s="974"/>
      <c r="IOE107" s="974"/>
      <c r="IOF107" s="974"/>
      <c r="IOG107" s="974"/>
      <c r="IOH107" s="974"/>
      <c r="IOI107" s="974"/>
      <c r="IOJ107" s="974"/>
      <c r="IOK107" s="974"/>
      <c r="IOL107" s="974"/>
      <c r="IOM107" s="974"/>
      <c r="ION107" s="974"/>
      <c r="IOO107" s="974"/>
      <c r="IOP107" s="974"/>
      <c r="IOQ107" s="974"/>
      <c r="IOR107" s="974"/>
      <c r="IOS107" s="974"/>
      <c r="IOT107" s="974"/>
      <c r="IOU107" s="974"/>
      <c r="IOV107" s="974"/>
      <c r="IOW107" s="974"/>
      <c r="IOX107" s="974"/>
      <c r="IOY107" s="974"/>
      <c r="IOZ107" s="974"/>
      <c r="IPA107" s="974"/>
      <c r="IPB107" s="974"/>
      <c r="IPC107" s="974"/>
      <c r="IPD107" s="974"/>
      <c r="IPE107" s="974"/>
      <c r="IPF107" s="974"/>
      <c r="IPG107" s="974"/>
      <c r="IPH107" s="974"/>
      <c r="IPI107" s="974"/>
      <c r="IPJ107" s="974"/>
      <c r="IPK107" s="974"/>
      <c r="IPL107" s="974"/>
      <c r="IPM107" s="974"/>
      <c r="IPN107" s="974"/>
      <c r="IPO107" s="974"/>
      <c r="IPP107" s="974"/>
      <c r="IPQ107" s="974"/>
      <c r="IPR107" s="974"/>
      <c r="IPS107" s="974"/>
      <c r="IPT107" s="974"/>
      <c r="IPU107" s="974"/>
      <c r="IPV107" s="974"/>
      <c r="IPW107" s="974"/>
      <c r="IPX107" s="974"/>
      <c r="IPY107" s="974"/>
      <c r="IPZ107" s="974"/>
      <c r="IQA107" s="974"/>
      <c r="IQB107" s="974"/>
      <c r="IQC107" s="974"/>
      <c r="IQD107" s="974"/>
      <c r="IQE107" s="974"/>
      <c r="IQF107" s="974"/>
      <c r="IQG107" s="974"/>
      <c r="IQH107" s="974"/>
      <c r="IQI107" s="974"/>
      <c r="IQJ107" s="974"/>
      <c r="IQK107" s="974"/>
      <c r="IQL107" s="974"/>
      <c r="IQM107" s="974"/>
      <c r="IQN107" s="974"/>
      <c r="IQO107" s="974"/>
      <c r="IQP107" s="974"/>
      <c r="IQQ107" s="974"/>
      <c r="IQR107" s="974"/>
      <c r="IQS107" s="974"/>
      <c r="IQT107" s="974"/>
      <c r="IQU107" s="974"/>
      <c r="IQV107" s="974"/>
      <c r="IQW107" s="974"/>
      <c r="IQX107" s="974"/>
      <c r="IQY107" s="974"/>
      <c r="IQZ107" s="974"/>
      <c r="IRA107" s="974"/>
      <c r="IRB107" s="974"/>
      <c r="IRC107" s="974"/>
      <c r="IRD107" s="974"/>
      <c r="IRE107" s="974"/>
      <c r="IRF107" s="974"/>
      <c r="IRG107" s="974"/>
      <c r="IRH107" s="974"/>
      <c r="IRI107" s="974"/>
      <c r="IRJ107" s="974"/>
      <c r="IRK107" s="974"/>
      <c r="IRL107" s="974"/>
      <c r="IRM107" s="974"/>
      <c r="IRN107" s="974"/>
      <c r="IRO107" s="974"/>
      <c r="IRP107" s="974"/>
      <c r="IRQ107" s="974"/>
      <c r="IRR107" s="974"/>
      <c r="IRS107" s="974"/>
      <c r="IRT107" s="974"/>
      <c r="IRU107" s="974"/>
      <c r="IRV107" s="974"/>
      <c r="IRW107" s="974"/>
      <c r="IRX107" s="974"/>
      <c r="IRY107" s="974"/>
      <c r="IRZ107" s="974"/>
      <c r="ISA107" s="974"/>
      <c r="ISB107" s="974"/>
      <c r="ISC107" s="974"/>
      <c r="ISD107" s="974"/>
      <c r="ISE107" s="974"/>
      <c r="ISF107" s="974"/>
      <c r="ISG107" s="974"/>
      <c r="ISH107" s="974"/>
      <c r="ISI107" s="974"/>
      <c r="ISJ107" s="974"/>
      <c r="ISK107" s="974"/>
      <c r="ISL107" s="974"/>
      <c r="ISM107" s="974"/>
      <c r="ISN107" s="974"/>
      <c r="ISO107" s="974"/>
      <c r="ISP107" s="974"/>
      <c r="ISQ107" s="974"/>
      <c r="ISR107" s="974"/>
      <c r="ISS107" s="974"/>
      <c r="IST107" s="974"/>
      <c r="ISU107" s="974"/>
      <c r="ISV107" s="974"/>
      <c r="ISW107" s="974"/>
      <c r="ISX107" s="974"/>
      <c r="ISY107" s="974"/>
      <c r="ISZ107" s="974"/>
      <c r="ITA107" s="974"/>
      <c r="ITB107" s="974"/>
      <c r="ITC107" s="974"/>
      <c r="ITD107" s="974"/>
      <c r="ITE107" s="974"/>
      <c r="ITF107" s="974"/>
      <c r="ITG107" s="974"/>
      <c r="ITH107" s="974"/>
      <c r="ITI107" s="974"/>
      <c r="ITJ107" s="974"/>
      <c r="ITK107" s="974"/>
      <c r="ITL107" s="974"/>
      <c r="ITM107" s="974"/>
      <c r="ITN107" s="974"/>
      <c r="ITO107" s="974"/>
      <c r="ITP107" s="974"/>
      <c r="ITQ107" s="974"/>
      <c r="ITR107" s="974"/>
      <c r="ITS107" s="974"/>
      <c r="ITT107" s="974"/>
      <c r="ITU107" s="974"/>
      <c r="ITV107" s="974"/>
      <c r="ITW107" s="974"/>
      <c r="ITX107" s="974"/>
      <c r="ITY107" s="974"/>
      <c r="ITZ107" s="974"/>
      <c r="IUA107" s="974"/>
      <c r="IUB107" s="974"/>
      <c r="IUC107" s="974"/>
      <c r="IUD107" s="974"/>
      <c r="IUE107" s="974"/>
      <c r="IUF107" s="974"/>
      <c r="IUG107" s="974"/>
      <c r="IUH107" s="974"/>
      <c r="IUI107" s="974"/>
      <c r="IUJ107" s="974"/>
      <c r="IUK107" s="974"/>
      <c r="IUL107" s="974"/>
      <c r="IUM107" s="974"/>
      <c r="IUN107" s="974"/>
      <c r="IUO107" s="974"/>
      <c r="IUP107" s="974"/>
      <c r="IUQ107" s="974"/>
      <c r="IUR107" s="974"/>
      <c r="IUS107" s="974"/>
      <c r="IUT107" s="974"/>
      <c r="IUU107" s="974"/>
      <c r="IUV107" s="974"/>
      <c r="IUW107" s="974"/>
      <c r="IUX107" s="974"/>
      <c r="IUY107" s="974"/>
      <c r="IUZ107" s="974"/>
      <c r="IVA107" s="974"/>
      <c r="IVB107" s="974"/>
      <c r="IVC107" s="974"/>
      <c r="IVD107" s="974"/>
      <c r="IVE107" s="974"/>
      <c r="IVF107" s="974"/>
      <c r="IVG107" s="974"/>
      <c r="IVH107" s="974"/>
      <c r="IVI107" s="974"/>
      <c r="IVJ107" s="974"/>
      <c r="IVK107" s="974"/>
      <c r="IVL107" s="974"/>
      <c r="IVM107" s="974"/>
      <c r="IVN107" s="974"/>
      <c r="IVO107" s="974"/>
      <c r="IVP107" s="974"/>
      <c r="IVQ107" s="974"/>
      <c r="IVR107" s="974"/>
      <c r="IVS107" s="974"/>
      <c r="IVT107" s="974"/>
      <c r="IVU107" s="974"/>
      <c r="IVV107" s="974"/>
      <c r="IVW107" s="974"/>
      <c r="IVX107" s="974"/>
      <c r="IVY107" s="974"/>
      <c r="IVZ107" s="974"/>
      <c r="IWA107" s="974"/>
      <c r="IWB107" s="974"/>
      <c r="IWC107" s="974"/>
      <c r="IWD107" s="974"/>
      <c r="IWE107" s="974"/>
      <c r="IWF107" s="974"/>
      <c r="IWG107" s="974"/>
      <c r="IWH107" s="974"/>
      <c r="IWI107" s="974"/>
      <c r="IWJ107" s="974"/>
      <c r="IWK107" s="974"/>
      <c r="IWL107" s="974"/>
      <c r="IWM107" s="974"/>
      <c r="IWN107" s="974"/>
      <c r="IWO107" s="974"/>
      <c r="IWP107" s="974"/>
      <c r="IWQ107" s="974"/>
      <c r="IWR107" s="974"/>
      <c r="IWS107" s="974"/>
      <c r="IWT107" s="974"/>
      <c r="IWU107" s="974"/>
      <c r="IWV107" s="974"/>
      <c r="IWW107" s="974"/>
      <c r="IWX107" s="974"/>
      <c r="IWY107" s="974"/>
      <c r="IWZ107" s="974"/>
      <c r="IXA107" s="974"/>
      <c r="IXB107" s="974"/>
      <c r="IXC107" s="974"/>
      <c r="IXD107" s="974"/>
      <c r="IXE107" s="974"/>
      <c r="IXF107" s="974"/>
      <c r="IXG107" s="974"/>
      <c r="IXH107" s="974"/>
      <c r="IXI107" s="974"/>
      <c r="IXJ107" s="974"/>
      <c r="IXK107" s="974"/>
      <c r="IXL107" s="974"/>
      <c r="IXM107" s="974"/>
      <c r="IXN107" s="974"/>
      <c r="IXO107" s="974"/>
      <c r="IXP107" s="974"/>
      <c r="IXQ107" s="974"/>
      <c r="IXR107" s="974"/>
      <c r="IXS107" s="974"/>
      <c r="IXT107" s="974"/>
      <c r="IXU107" s="974"/>
      <c r="IXV107" s="974"/>
      <c r="IXW107" s="974"/>
      <c r="IXX107" s="974"/>
      <c r="IXY107" s="974"/>
      <c r="IXZ107" s="974"/>
      <c r="IYA107" s="974"/>
      <c r="IYB107" s="974"/>
      <c r="IYC107" s="974"/>
      <c r="IYD107" s="974"/>
      <c r="IYE107" s="974"/>
      <c r="IYF107" s="974"/>
      <c r="IYG107" s="974"/>
      <c r="IYH107" s="974"/>
      <c r="IYI107" s="974"/>
      <c r="IYJ107" s="974"/>
      <c r="IYK107" s="974"/>
      <c r="IYL107" s="974"/>
      <c r="IYM107" s="974"/>
      <c r="IYN107" s="974"/>
      <c r="IYO107" s="974"/>
      <c r="IYP107" s="974"/>
      <c r="IYQ107" s="974"/>
      <c r="IYR107" s="974"/>
      <c r="IYS107" s="974"/>
      <c r="IYT107" s="974"/>
      <c r="IYU107" s="974"/>
      <c r="IYV107" s="974"/>
      <c r="IYW107" s="974"/>
      <c r="IYX107" s="974"/>
      <c r="IYY107" s="974"/>
      <c r="IYZ107" s="974"/>
      <c r="IZA107" s="974"/>
      <c r="IZB107" s="974"/>
      <c r="IZC107" s="974"/>
      <c r="IZD107" s="974"/>
      <c r="IZE107" s="974"/>
      <c r="IZF107" s="974"/>
      <c r="IZG107" s="974"/>
      <c r="IZH107" s="974"/>
      <c r="IZI107" s="974"/>
      <c r="IZJ107" s="974"/>
      <c r="IZK107" s="974"/>
      <c r="IZL107" s="974"/>
      <c r="IZM107" s="974"/>
      <c r="IZN107" s="974"/>
      <c r="IZO107" s="974"/>
      <c r="IZP107" s="974"/>
      <c r="IZQ107" s="974"/>
      <c r="IZR107" s="974"/>
      <c r="IZS107" s="974"/>
      <c r="IZT107" s="974"/>
      <c r="IZU107" s="974"/>
      <c r="IZV107" s="974"/>
      <c r="IZW107" s="974"/>
      <c r="IZX107" s="974"/>
      <c r="IZY107" s="974"/>
      <c r="IZZ107" s="974"/>
      <c r="JAA107" s="974"/>
      <c r="JAB107" s="974"/>
      <c r="JAC107" s="974"/>
      <c r="JAD107" s="974"/>
      <c r="JAE107" s="974"/>
      <c r="JAF107" s="974"/>
      <c r="JAG107" s="974"/>
      <c r="JAH107" s="974"/>
      <c r="JAI107" s="974"/>
      <c r="JAJ107" s="974"/>
      <c r="JAK107" s="974"/>
      <c r="JAL107" s="974"/>
      <c r="JAM107" s="974"/>
      <c r="JAN107" s="974"/>
      <c r="JAO107" s="974"/>
      <c r="JAP107" s="974"/>
      <c r="JAQ107" s="974"/>
      <c r="JAR107" s="974"/>
      <c r="JAS107" s="974"/>
      <c r="JAT107" s="974"/>
      <c r="JAU107" s="974"/>
      <c r="JAV107" s="974"/>
      <c r="JAW107" s="974"/>
      <c r="JAX107" s="974"/>
      <c r="JAY107" s="974"/>
      <c r="JAZ107" s="974"/>
      <c r="JBA107" s="974"/>
      <c r="JBB107" s="974"/>
      <c r="JBC107" s="974"/>
      <c r="JBD107" s="974"/>
      <c r="JBE107" s="974"/>
      <c r="JBF107" s="974"/>
      <c r="JBG107" s="974"/>
      <c r="JBH107" s="974"/>
      <c r="JBI107" s="974"/>
      <c r="JBJ107" s="974"/>
      <c r="JBK107" s="974"/>
      <c r="JBL107" s="974"/>
      <c r="JBM107" s="974"/>
      <c r="JBN107" s="974"/>
      <c r="JBO107" s="974"/>
      <c r="JBP107" s="974"/>
      <c r="JBQ107" s="974"/>
      <c r="JBR107" s="974"/>
      <c r="JBS107" s="974"/>
      <c r="JBT107" s="974"/>
      <c r="JBU107" s="974"/>
      <c r="JBV107" s="974"/>
      <c r="JBW107" s="974"/>
      <c r="JBX107" s="974"/>
      <c r="JBY107" s="974"/>
      <c r="JBZ107" s="974"/>
      <c r="JCA107" s="974"/>
      <c r="JCB107" s="974"/>
      <c r="JCC107" s="974"/>
      <c r="JCD107" s="974"/>
      <c r="JCE107" s="974"/>
      <c r="JCF107" s="974"/>
      <c r="JCG107" s="974"/>
      <c r="JCH107" s="974"/>
      <c r="JCI107" s="974"/>
      <c r="JCJ107" s="974"/>
      <c r="JCK107" s="974"/>
      <c r="JCL107" s="974"/>
      <c r="JCM107" s="974"/>
      <c r="JCN107" s="974"/>
      <c r="JCO107" s="974"/>
      <c r="JCP107" s="974"/>
      <c r="JCQ107" s="974"/>
      <c r="JCR107" s="974"/>
      <c r="JCS107" s="974"/>
      <c r="JCT107" s="974"/>
      <c r="JCU107" s="974"/>
      <c r="JCV107" s="974"/>
      <c r="JCW107" s="974"/>
      <c r="JCX107" s="974"/>
      <c r="JCY107" s="974"/>
      <c r="JCZ107" s="974"/>
      <c r="JDA107" s="974"/>
      <c r="JDB107" s="974"/>
      <c r="JDC107" s="974"/>
      <c r="JDD107" s="974"/>
      <c r="JDE107" s="974"/>
      <c r="JDF107" s="974"/>
      <c r="JDG107" s="974"/>
      <c r="JDH107" s="974"/>
      <c r="JDI107" s="974"/>
      <c r="JDJ107" s="974"/>
      <c r="JDK107" s="974"/>
      <c r="JDL107" s="974"/>
      <c r="JDM107" s="974"/>
      <c r="JDN107" s="974"/>
      <c r="JDO107" s="974"/>
      <c r="JDP107" s="974"/>
      <c r="JDQ107" s="974"/>
      <c r="JDR107" s="974"/>
      <c r="JDS107" s="974"/>
      <c r="JDT107" s="974"/>
      <c r="JDU107" s="974"/>
      <c r="JDV107" s="974"/>
      <c r="JDW107" s="974"/>
      <c r="JDX107" s="974"/>
      <c r="JDY107" s="974"/>
      <c r="JDZ107" s="974"/>
      <c r="JEA107" s="974"/>
      <c r="JEB107" s="974"/>
      <c r="JEC107" s="974"/>
      <c r="JED107" s="974"/>
      <c r="JEE107" s="974"/>
      <c r="JEF107" s="974"/>
      <c r="JEG107" s="974"/>
      <c r="JEH107" s="974"/>
      <c r="JEI107" s="974"/>
      <c r="JEJ107" s="974"/>
      <c r="JEK107" s="974"/>
      <c r="JEL107" s="974"/>
      <c r="JEM107" s="974"/>
      <c r="JEN107" s="974"/>
      <c r="JEO107" s="974"/>
      <c r="JEP107" s="974"/>
      <c r="JEQ107" s="974"/>
      <c r="JER107" s="974"/>
      <c r="JES107" s="974"/>
      <c r="JET107" s="974"/>
      <c r="JEU107" s="974"/>
      <c r="JEV107" s="974"/>
      <c r="JEW107" s="974"/>
      <c r="JEX107" s="974"/>
      <c r="JEY107" s="974"/>
      <c r="JEZ107" s="974"/>
      <c r="JFA107" s="974"/>
      <c r="JFB107" s="974"/>
      <c r="JFC107" s="974"/>
      <c r="JFD107" s="974"/>
      <c r="JFE107" s="974"/>
      <c r="JFF107" s="974"/>
      <c r="JFG107" s="974"/>
      <c r="JFH107" s="974"/>
      <c r="JFI107" s="974"/>
      <c r="JFJ107" s="974"/>
      <c r="JFK107" s="974"/>
      <c r="JFL107" s="974"/>
      <c r="JFM107" s="974"/>
      <c r="JFN107" s="974"/>
      <c r="JFO107" s="974"/>
      <c r="JFP107" s="974"/>
      <c r="JFQ107" s="974"/>
      <c r="JFR107" s="974"/>
      <c r="JFS107" s="974"/>
      <c r="JFT107" s="974"/>
      <c r="JFU107" s="974"/>
      <c r="JFV107" s="974"/>
      <c r="JFW107" s="974"/>
      <c r="JFX107" s="974"/>
      <c r="JFY107" s="974"/>
      <c r="JFZ107" s="974"/>
      <c r="JGA107" s="974"/>
      <c r="JGB107" s="974"/>
      <c r="JGC107" s="974"/>
      <c r="JGD107" s="974"/>
      <c r="JGE107" s="974"/>
      <c r="JGF107" s="974"/>
      <c r="JGG107" s="974"/>
      <c r="JGH107" s="974"/>
      <c r="JGI107" s="974"/>
      <c r="JGJ107" s="974"/>
      <c r="JGK107" s="974"/>
      <c r="JGL107" s="974"/>
      <c r="JGM107" s="974"/>
      <c r="JGN107" s="974"/>
      <c r="JGO107" s="974"/>
      <c r="JGP107" s="974"/>
      <c r="JGQ107" s="974"/>
      <c r="JGR107" s="974"/>
      <c r="JGS107" s="974"/>
      <c r="JGT107" s="974"/>
      <c r="JGU107" s="974"/>
      <c r="JGV107" s="974"/>
      <c r="JGW107" s="974"/>
      <c r="JGX107" s="974"/>
      <c r="JGY107" s="974"/>
      <c r="JGZ107" s="974"/>
      <c r="JHA107" s="974"/>
      <c r="JHB107" s="974"/>
      <c r="JHC107" s="974"/>
      <c r="JHD107" s="974"/>
      <c r="JHE107" s="974"/>
      <c r="JHF107" s="974"/>
      <c r="JHG107" s="974"/>
      <c r="JHH107" s="974"/>
      <c r="JHI107" s="974"/>
      <c r="JHJ107" s="974"/>
      <c r="JHK107" s="974"/>
      <c r="JHL107" s="974"/>
      <c r="JHM107" s="974"/>
      <c r="JHN107" s="974"/>
      <c r="JHO107" s="974"/>
      <c r="JHP107" s="974"/>
      <c r="JHQ107" s="974"/>
      <c r="JHR107" s="974"/>
      <c r="JHS107" s="974"/>
      <c r="JHT107" s="974"/>
      <c r="JHU107" s="974"/>
      <c r="JHV107" s="974"/>
      <c r="JHW107" s="974"/>
      <c r="JHX107" s="974"/>
      <c r="JHY107" s="974"/>
      <c r="JHZ107" s="974"/>
      <c r="JIA107" s="974"/>
      <c r="JIB107" s="974"/>
      <c r="JIC107" s="974"/>
      <c r="JID107" s="974"/>
      <c r="JIE107" s="974"/>
      <c r="JIF107" s="974"/>
      <c r="JIG107" s="974"/>
      <c r="JIH107" s="974"/>
      <c r="JII107" s="974"/>
      <c r="JIJ107" s="974"/>
      <c r="JIK107" s="974"/>
      <c r="JIL107" s="974"/>
      <c r="JIM107" s="974"/>
      <c r="JIN107" s="974"/>
      <c r="JIO107" s="974"/>
      <c r="JIP107" s="974"/>
      <c r="JIQ107" s="974"/>
      <c r="JIR107" s="974"/>
      <c r="JIS107" s="974"/>
      <c r="JIT107" s="974"/>
      <c r="JIU107" s="974"/>
      <c r="JIV107" s="974"/>
      <c r="JIW107" s="974"/>
      <c r="JIX107" s="974"/>
      <c r="JIY107" s="974"/>
      <c r="JIZ107" s="974"/>
      <c r="JJA107" s="974"/>
      <c r="JJB107" s="974"/>
      <c r="JJC107" s="974"/>
      <c r="JJD107" s="974"/>
      <c r="JJE107" s="974"/>
      <c r="JJF107" s="974"/>
      <c r="JJG107" s="974"/>
      <c r="JJH107" s="974"/>
      <c r="JJI107" s="974"/>
      <c r="JJJ107" s="974"/>
      <c r="JJK107" s="974"/>
      <c r="JJL107" s="974"/>
      <c r="JJM107" s="974"/>
      <c r="JJN107" s="974"/>
      <c r="JJO107" s="974"/>
      <c r="JJP107" s="974"/>
      <c r="JJQ107" s="974"/>
      <c r="JJR107" s="974"/>
      <c r="JJS107" s="974"/>
      <c r="JJT107" s="974"/>
      <c r="JJU107" s="974"/>
      <c r="JJV107" s="974"/>
      <c r="JJW107" s="974"/>
      <c r="JJX107" s="974"/>
      <c r="JJY107" s="974"/>
      <c r="JJZ107" s="974"/>
      <c r="JKA107" s="974"/>
      <c r="JKB107" s="974"/>
      <c r="JKC107" s="974"/>
      <c r="JKD107" s="974"/>
      <c r="JKE107" s="974"/>
      <c r="JKF107" s="974"/>
      <c r="JKG107" s="974"/>
      <c r="JKH107" s="974"/>
      <c r="JKI107" s="974"/>
      <c r="JKJ107" s="974"/>
      <c r="JKK107" s="974"/>
      <c r="JKL107" s="974"/>
      <c r="JKM107" s="974"/>
      <c r="JKN107" s="974"/>
      <c r="JKO107" s="974"/>
      <c r="JKP107" s="974"/>
      <c r="JKQ107" s="974"/>
      <c r="JKR107" s="974"/>
      <c r="JKS107" s="974"/>
      <c r="JKT107" s="974"/>
      <c r="JKU107" s="974"/>
      <c r="JKV107" s="974"/>
      <c r="JKW107" s="974"/>
      <c r="JKX107" s="974"/>
      <c r="JKY107" s="974"/>
      <c r="JKZ107" s="974"/>
      <c r="JLA107" s="974"/>
      <c r="JLB107" s="974"/>
      <c r="JLC107" s="974"/>
      <c r="JLD107" s="974"/>
      <c r="JLE107" s="974"/>
      <c r="JLF107" s="974"/>
      <c r="JLG107" s="974"/>
      <c r="JLH107" s="974"/>
      <c r="JLI107" s="974"/>
      <c r="JLJ107" s="974"/>
      <c r="JLK107" s="974"/>
      <c r="JLL107" s="974"/>
      <c r="JLM107" s="974"/>
      <c r="JLN107" s="974"/>
      <c r="JLO107" s="974"/>
      <c r="JLP107" s="974"/>
      <c r="JLQ107" s="974"/>
      <c r="JLR107" s="974"/>
      <c r="JLS107" s="974"/>
      <c r="JLT107" s="974"/>
      <c r="JLU107" s="974"/>
      <c r="JLV107" s="974"/>
      <c r="JLW107" s="974"/>
      <c r="JLX107" s="974"/>
      <c r="JLY107" s="974"/>
      <c r="JLZ107" s="974"/>
      <c r="JMA107" s="974"/>
      <c r="JMB107" s="974"/>
      <c r="JMC107" s="974"/>
      <c r="JMD107" s="974"/>
      <c r="JME107" s="974"/>
      <c r="JMF107" s="974"/>
      <c r="JMG107" s="974"/>
      <c r="JMH107" s="974"/>
      <c r="JMI107" s="974"/>
      <c r="JMJ107" s="974"/>
      <c r="JMK107" s="974"/>
      <c r="JML107" s="974"/>
      <c r="JMM107" s="974"/>
      <c r="JMN107" s="974"/>
      <c r="JMO107" s="974"/>
      <c r="JMP107" s="974"/>
      <c r="JMQ107" s="974"/>
      <c r="JMR107" s="974"/>
      <c r="JMS107" s="974"/>
      <c r="JMT107" s="974"/>
      <c r="JMU107" s="974"/>
      <c r="JMV107" s="974"/>
      <c r="JMW107" s="974"/>
      <c r="JMX107" s="974"/>
      <c r="JMY107" s="974"/>
      <c r="JMZ107" s="974"/>
      <c r="JNA107" s="974"/>
      <c r="JNB107" s="974"/>
      <c r="JNC107" s="974"/>
      <c r="JND107" s="974"/>
      <c r="JNE107" s="974"/>
      <c r="JNF107" s="974"/>
      <c r="JNG107" s="974"/>
      <c r="JNH107" s="974"/>
      <c r="JNI107" s="974"/>
      <c r="JNJ107" s="974"/>
      <c r="JNK107" s="974"/>
      <c r="JNL107" s="974"/>
      <c r="JNM107" s="974"/>
      <c r="JNN107" s="974"/>
      <c r="JNO107" s="974"/>
      <c r="JNP107" s="974"/>
      <c r="JNQ107" s="974"/>
      <c r="JNR107" s="974"/>
      <c r="JNS107" s="974"/>
      <c r="JNT107" s="974"/>
      <c r="JNU107" s="974"/>
      <c r="JNV107" s="974"/>
      <c r="JNW107" s="974"/>
      <c r="JNX107" s="974"/>
      <c r="JNY107" s="974"/>
      <c r="JNZ107" s="974"/>
      <c r="JOA107" s="974"/>
      <c r="JOB107" s="974"/>
      <c r="JOC107" s="974"/>
      <c r="JOD107" s="974"/>
      <c r="JOE107" s="974"/>
      <c r="JOF107" s="974"/>
      <c r="JOG107" s="974"/>
      <c r="JOH107" s="974"/>
      <c r="JOI107" s="974"/>
      <c r="JOJ107" s="974"/>
      <c r="JOK107" s="974"/>
      <c r="JOL107" s="974"/>
      <c r="JOM107" s="974"/>
      <c r="JON107" s="974"/>
      <c r="JOO107" s="974"/>
      <c r="JOP107" s="974"/>
      <c r="JOQ107" s="974"/>
      <c r="JOR107" s="974"/>
      <c r="JOS107" s="974"/>
      <c r="JOT107" s="974"/>
      <c r="JOU107" s="974"/>
      <c r="JOV107" s="974"/>
      <c r="JOW107" s="974"/>
      <c r="JOX107" s="974"/>
      <c r="JOY107" s="974"/>
      <c r="JOZ107" s="974"/>
      <c r="JPA107" s="974"/>
      <c r="JPB107" s="974"/>
      <c r="JPC107" s="974"/>
      <c r="JPD107" s="974"/>
      <c r="JPE107" s="974"/>
      <c r="JPF107" s="974"/>
      <c r="JPG107" s="974"/>
      <c r="JPH107" s="974"/>
      <c r="JPI107" s="974"/>
      <c r="JPJ107" s="974"/>
      <c r="JPK107" s="974"/>
      <c r="JPL107" s="974"/>
      <c r="JPM107" s="974"/>
      <c r="JPN107" s="974"/>
      <c r="JPO107" s="974"/>
      <c r="JPP107" s="974"/>
      <c r="JPQ107" s="974"/>
      <c r="JPR107" s="974"/>
      <c r="JPS107" s="974"/>
      <c r="JPT107" s="974"/>
      <c r="JPU107" s="974"/>
      <c r="JPV107" s="974"/>
      <c r="JPW107" s="974"/>
      <c r="JPX107" s="974"/>
      <c r="JPY107" s="974"/>
      <c r="JPZ107" s="974"/>
      <c r="JQA107" s="974"/>
      <c r="JQB107" s="974"/>
      <c r="JQC107" s="974"/>
      <c r="JQD107" s="974"/>
      <c r="JQE107" s="974"/>
      <c r="JQF107" s="974"/>
      <c r="JQG107" s="974"/>
      <c r="JQH107" s="974"/>
      <c r="JQI107" s="974"/>
      <c r="JQJ107" s="974"/>
      <c r="JQK107" s="974"/>
      <c r="JQL107" s="974"/>
      <c r="JQM107" s="974"/>
      <c r="JQN107" s="974"/>
      <c r="JQO107" s="974"/>
      <c r="JQP107" s="974"/>
      <c r="JQQ107" s="974"/>
      <c r="JQR107" s="974"/>
      <c r="JQS107" s="974"/>
      <c r="JQT107" s="974"/>
      <c r="JQU107" s="974"/>
      <c r="JQV107" s="974"/>
      <c r="JQW107" s="974"/>
      <c r="JQX107" s="974"/>
      <c r="JQY107" s="974"/>
      <c r="JQZ107" s="974"/>
      <c r="JRA107" s="974"/>
      <c r="JRB107" s="974"/>
      <c r="JRC107" s="974"/>
      <c r="JRD107" s="974"/>
      <c r="JRE107" s="974"/>
      <c r="JRF107" s="974"/>
      <c r="JRG107" s="974"/>
      <c r="JRH107" s="974"/>
      <c r="JRI107" s="974"/>
      <c r="JRJ107" s="974"/>
      <c r="JRK107" s="974"/>
      <c r="JRL107" s="974"/>
      <c r="JRM107" s="974"/>
      <c r="JRN107" s="974"/>
      <c r="JRO107" s="974"/>
      <c r="JRP107" s="974"/>
      <c r="JRQ107" s="974"/>
      <c r="JRR107" s="974"/>
      <c r="JRS107" s="974"/>
      <c r="JRT107" s="974"/>
      <c r="JRU107" s="974"/>
      <c r="JRV107" s="974"/>
      <c r="JRW107" s="974"/>
      <c r="JRX107" s="974"/>
      <c r="JRY107" s="974"/>
      <c r="JRZ107" s="974"/>
      <c r="JSA107" s="974"/>
      <c r="JSB107" s="974"/>
      <c r="JSC107" s="974"/>
      <c r="JSD107" s="974"/>
      <c r="JSE107" s="974"/>
      <c r="JSF107" s="974"/>
      <c r="JSG107" s="974"/>
      <c r="JSH107" s="974"/>
      <c r="JSI107" s="974"/>
      <c r="JSJ107" s="974"/>
      <c r="JSK107" s="974"/>
      <c r="JSL107" s="974"/>
      <c r="JSM107" s="974"/>
      <c r="JSN107" s="974"/>
      <c r="JSO107" s="974"/>
      <c r="JSP107" s="974"/>
      <c r="JSQ107" s="974"/>
      <c r="JSR107" s="974"/>
      <c r="JSS107" s="974"/>
      <c r="JST107" s="974"/>
      <c r="JSU107" s="974"/>
      <c r="JSV107" s="974"/>
      <c r="JSW107" s="974"/>
      <c r="JSX107" s="974"/>
      <c r="JSY107" s="974"/>
      <c r="JSZ107" s="974"/>
      <c r="JTA107" s="974"/>
      <c r="JTB107" s="974"/>
      <c r="JTC107" s="974"/>
      <c r="JTD107" s="974"/>
      <c r="JTE107" s="974"/>
      <c r="JTF107" s="974"/>
      <c r="JTG107" s="974"/>
      <c r="JTH107" s="974"/>
      <c r="JTI107" s="974"/>
      <c r="JTJ107" s="974"/>
      <c r="JTK107" s="974"/>
      <c r="JTL107" s="974"/>
      <c r="JTM107" s="974"/>
      <c r="JTN107" s="974"/>
      <c r="JTO107" s="974"/>
      <c r="JTP107" s="974"/>
      <c r="JTQ107" s="974"/>
      <c r="JTR107" s="974"/>
      <c r="JTS107" s="974"/>
      <c r="JTT107" s="974"/>
      <c r="JTU107" s="974"/>
      <c r="JTV107" s="974"/>
      <c r="JTW107" s="974"/>
      <c r="JTX107" s="974"/>
      <c r="JTY107" s="974"/>
      <c r="JTZ107" s="974"/>
      <c r="JUA107" s="974"/>
      <c r="JUB107" s="974"/>
      <c r="JUC107" s="974"/>
      <c r="JUD107" s="974"/>
      <c r="JUE107" s="974"/>
      <c r="JUF107" s="974"/>
      <c r="JUG107" s="974"/>
      <c r="JUH107" s="974"/>
      <c r="JUI107" s="974"/>
      <c r="JUJ107" s="974"/>
      <c r="JUK107" s="974"/>
      <c r="JUL107" s="974"/>
      <c r="JUM107" s="974"/>
      <c r="JUN107" s="974"/>
      <c r="JUO107" s="974"/>
      <c r="JUP107" s="974"/>
      <c r="JUQ107" s="974"/>
      <c r="JUR107" s="974"/>
      <c r="JUS107" s="974"/>
      <c r="JUT107" s="974"/>
      <c r="JUU107" s="974"/>
      <c r="JUV107" s="974"/>
      <c r="JUW107" s="974"/>
      <c r="JUX107" s="974"/>
      <c r="JUY107" s="974"/>
      <c r="JUZ107" s="974"/>
      <c r="JVA107" s="974"/>
      <c r="JVB107" s="974"/>
      <c r="JVC107" s="974"/>
      <c r="JVD107" s="974"/>
      <c r="JVE107" s="974"/>
      <c r="JVF107" s="974"/>
      <c r="JVG107" s="974"/>
      <c r="JVH107" s="974"/>
      <c r="JVI107" s="974"/>
      <c r="JVJ107" s="974"/>
      <c r="JVK107" s="974"/>
      <c r="JVL107" s="974"/>
      <c r="JVM107" s="974"/>
      <c r="JVN107" s="974"/>
      <c r="JVO107" s="974"/>
      <c r="JVP107" s="974"/>
      <c r="JVQ107" s="974"/>
      <c r="JVR107" s="974"/>
      <c r="JVS107" s="974"/>
      <c r="JVT107" s="974"/>
      <c r="JVU107" s="974"/>
      <c r="JVV107" s="974"/>
      <c r="JVW107" s="974"/>
      <c r="JVX107" s="974"/>
      <c r="JVY107" s="974"/>
      <c r="JVZ107" s="974"/>
      <c r="JWA107" s="974"/>
      <c r="JWB107" s="974"/>
      <c r="JWC107" s="974"/>
      <c r="JWD107" s="974"/>
      <c r="JWE107" s="974"/>
      <c r="JWF107" s="974"/>
      <c r="JWG107" s="974"/>
      <c r="JWH107" s="974"/>
      <c r="JWI107" s="974"/>
      <c r="JWJ107" s="974"/>
      <c r="JWK107" s="974"/>
      <c r="JWL107" s="974"/>
      <c r="JWM107" s="974"/>
      <c r="JWN107" s="974"/>
      <c r="JWO107" s="974"/>
      <c r="JWP107" s="974"/>
      <c r="JWQ107" s="974"/>
      <c r="JWR107" s="974"/>
      <c r="JWS107" s="974"/>
      <c r="JWT107" s="974"/>
      <c r="JWU107" s="974"/>
      <c r="JWV107" s="974"/>
      <c r="JWW107" s="974"/>
      <c r="JWX107" s="974"/>
      <c r="JWY107" s="974"/>
      <c r="JWZ107" s="974"/>
      <c r="JXA107" s="974"/>
      <c r="JXB107" s="974"/>
      <c r="JXC107" s="974"/>
      <c r="JXD107" s="974"/>
      <c r="JXE107" s="974"/>
      <c r="JXF107" s="974"/>
      <c r="JXG107" s="974"/>
      <c r="JXH107" s="974"/>
      <c r="JXI107" s="974"/>
      <c r="JXJ107" s="974"/>
      <c r="JXK107" s="974"/>
      <c r="JXL107" s="974"/>
      <c r="JXM107" s="974"/>
      <c r="JXN107" s="974"/>
      <c r="JXO107" s="974"/>
      <c r="JXP107" s="974"/>
      <c r="JXQ107" s="974"/>
      <c r="JXR107" s="974"/>
      <c r="JXS107" s="974"/>
      <c r="JXT107" s="974"/>
      <c r="JXU107" s="974"/>
      <c r="JXV107" s="974"/>
      <c r="JXW107" s="974"/>
      <c r="JXX107" s="974"/>
      <c r="JXY107" s="974"/>
      <c r="JXZ107" s="974"/>
      <c r="JYA107" s="974"/>
      <c r="JYB107" s="974"/>
      <c r="JYC107" s="974"/>
      <c r="JYD107" s="974"/>
      <c r="JYE107" s="974"/>
      <c r="JYF107" s="974"/>
      <c r="JYG107" s="974"/>
      <c r="JYH107" s="974"/>
      <c r="JYI107" s="974"/>
      <c r="JYJ107" s="974"/>
      <c r="JYK107" s="974"/>
      <c r="JYL107" s="974"/>
      <c r="JYM107" s="974"/>
      <c r="JYN107" s="974"/>
      <c r="JYO107" s="974"/>
      <c r="JYP107" s="974"/>
      <c r="JYQ107" s="974"/>
      <c r="JYR107" s="974"/>
      <c r="JYS107" s="974"/>
      <c r="JYT107" s="974"/>
      <c r="JYU107" s="974"/>
      <c r="JYV107" s="974"/>
      <c r="JYW107" s="974"/>
      <c r="JYX107" s="974"/>
      <c r="JYY107" s="974"/>
      <c r="JYZ107" s="974"/>
      <c r="JZA107" s="974"/>
      <c r="JZB107" s="974"/>
      <c r="JZC107" s="974"/>
      <c r="JZD107" s="974"/>
      <c r="JZE107" s="974"/>
      <c r="JZF107" s="974"/>
      <c r="JZG107" s="974"/>
      <c r="JZH107" s="974"/>
      <c r="JZI107" s="974"/>
      <c r="JZJ107" s="974"/>
      <c r="JZK107" s="974"/>
      <c r="JZL107" s="974"/>
      <c r="JZM107" s="974"/>
      <c r="JZN107" s="974"/>
      <c r="JZO107" s="974"/>
      <c r="JZP107" s="974"/>
      <c r="JZQ107" s="974"/>
      <c r="JZR107" s="974"/>
      <c r="JZS107" s="974"/>
      <c r="JZT107" s="974"/>
      <c r="JZU107" s="974"/>
      <c r="JZV107" s="974"/>
      <c r="JZW107" s="974"/>
      <c r="JZX107" s="974"/>
      <c r="JZY107" s="974"/>
      <c r="JZZ107" s="974"/>
      <c r="KAA107" s="974"/>
      <c r="KAB107" s="974"/>
      <c r="KAC107" s="974"/>
      <c r="KAD107" s="974"/>
      <c r="KAE107" s="974"/>
      <c r="KAF107" s="974"/>
      <c r="KAG107" s="974"/>
      <c r="KAH107" s="974"/>
      <c r="KAI107" s="974"/>
      <c r="KAJ107" s="974"/>
      <c r="KAK107" s="974"/>
      <c r="KAL107" s="974"/>
      <c r="KAM107" s="974"/>
      <c r="KAN107" s="974"/>
      <c r="KAO107" s="974"/>
      <c r="KAP107" s="974"/>
      <c r="KAQ107" s="974"/>
      <c r="KAR107" s="974"/>
      <c r="KAS107" s="974"/>
      <c r="KAT107" s="974"/>
      <c r="KAU107" s="974"/>
      <c r="KAV107" s="974"/>
      <c r="KAW107" s="974"/>
      <c r="KAX107" s="974"/>
      <c r="KAY107" s="974"/>
      <c r="KAZ107" s="974"/>
      <c r="KBA107" s="974"/>
      <c r="KBB107" s="974"/>
      <c r="KBC107" s="974"/>
      <c r="KBD107" s="974"/>
      <c r="KBE107" s="974"/>
      <c r="KBF107" s="974"/>
      <c r="KBG107" s="974"/>
      <c r="KBH107" s="974"/>
      <c r="KBI107" s="974"/>
      <c r="KBJ107" s="974"/>
      <c r="KBK107" s="974"/>
      <c r="KBL107" s="974"/>
      <c r="KBM107" s="974"/>
      <c r="KBN107" s="974"/>
      <c r="KBO107" s="974"/>
      <c r="KBP107" s="974"/>
      <c r="KBQ107" s="974"/>
      <c r="KBR107" s="974"/>
      <c r="KBS107" s="974"/>
      <c r="KBT107" s="974"/>
      <c r="KBU107" s="974"/>
      <c r="KBV107" s="974"/>
      <c r="KBW107" s="974"/>
      <c r="KBX107" s="974"/>
      <c r="KBY107" s="974"/>
      <c r="KBZ107" s="974"/>
      <c r="KCA107" s="974"/>
      <c r="KCB107" s="974"/>
      <c r="KCC107" s="974"/>
      <c r="KCD107" s="974"/>
      <c r="KCE107" s="974"/>
      <c r="KCF107" s="974"/>
      <c r="KCG107" s="974"/>
      <c r="KCH107" s="974"/>
      <c r="KCI107" s="974"/>
      <c r="KCJ107" s="974"/>
      <c r="KCK107" s="974"/>
      <c r="KCL107" s="974"/>
      <c r="KCM107" s="974"/>
      <c r="KCN107" s="974"/>
      <c r="KCO107" s="974"/>
      <c r="KCP107" s="974"/>
      <c r="KCQ107" s="974"/>
      <c r="KCR107" s="974"/>
      <c r="KCS107" s="974"/>
      <c r="KCT107" s="974"/>
      <c r="KCU107" s="974"/>
      <c r="KCV107" s="974"/>
      <c r="KCW107" s="974"/>
      <c r="KCX107" s="974"/>
      <c r="KCY107" s="974"/>
      <c r="KCZ107" s="974"/>
      <c r="KDA107" s="974"/>
      <c r="KDB107" s="974"/>
      <c r="KDC107" s="974"/>
      <c r="KDD107" s="974"/>
      <c r="KDE107" s="974"/>
      <c r="KDF107" s="974"/>
      <c r="KDG107" s="974"/>
      <c r="KDH107" s="974"/>
      <c r="KDI107" s="974"/>
      <c r="KDJ107" s="974"/>
      <c r="KDK107" s="974"/>
      <c r="KDL107" s="974"/>
      <c r="KDM107" s="974"/>
      <c r="KDN107" s="974"/>
      <c r="KDO107" s="974"/>
      <c r="KDP107" s="974"/>
      <c r="KDQ107" s="974"/>
      <c r="KDR107" s="974"/>
      <c r="KDS107" s="974"/>
      <c r="KDT107" s="974"/>
      <c r="KDU107" s="974"/>
      <c r="KDV107" s="974"/>
      <c r="KDW107" s="974"/>
      <c r="KDX107" s="974"/>
      <c r="KDY107" s="974"/>
      <c r="KDZ107" s="974"/>
      <c r="KEA107" s="974"/>
      <c r="KEB107" s="974"/>
      <c r="KEC107" s="974"/>
      <c r="KED107" s="974"/>
      <c r="KEE107" s="974"/>
      <c r="KEF107" s="974"/>
      <c r="KEG107" s="974"/>
      <c r="KEH107" s="974"/>
      <c r="KEI107" s="974"/>
      <c r="KEJ107" s="974"/>
      <c r="KEK107" s="974"/>
      <c r="KEL107" s="974"/>
      <c r="KEM107" s="974"/>
      <c r="KEN107" s="974"/>
      <c r="KEO107" s="974"/>
      <c r="KEP107" s="974"/>
      <c r="KEQ107" s="974"/>
      <c r="KER107" s="974"/>
      <c r="KES107" s="974"/>
      <c r="KET107" s="974"/>
      <c r="KEU107" s="974"/>
      <c r="KEV107" s="974"/>
      <c r="KEW107" s="974"/>
      <c r="KEX107" s="974"/>
      <c r="KEY107" s="974"/>
      <c r="KEZ107" s="974"/>
      <c r="KFA107" s="974"/>
      <c r="KFB107" s="974"/>
      <c r="KFC107" s="974"/>
      <c r="KFD107" s="974"/>
      <c r="KFE107" s="974"/>
      <c r="KFF107" s="974"/>
      <c r="KFG107" s="974"/>
      <c r="KFH107" s="974"/>
      <c r="KFI107" s="974"/>
      <c r="KFJ107" s="974"/>
      <c r="KFK107" s="974"/>
      <c r="KFL107" s="974"/>
      <c r="KFM107" s="974"/>
      <c r="KFN107" s="974"/>
      <c r="KFO107" s="974"/>
      <c r="KFP107" s="974"/>
      <c r="KFQ107" s="974"/>
      <c r="KFR107" s="974"/>
      <c r="KFS107" s="974"/>
      <c r="KFT107" s="974"/>
      <c r="KFU107" s="974"/>
      <c r="KFV107" s="974"/>
      <c r="KFW107" s="974"/>
      <c r="KFX107" s="974"/>
      <c r="KFY107" s="974"/>
      <c r="KFZ107" s="974"/>
      <c r="KGA107" s="974"/>
      <c r="KGB107" s="974"/>
      <c r="KGC107" s="974"/>
      <c r="KGD107" s="974"/>
      <c r="KGE107" s="974"/>
      <c r="KGF107" s="974"/>
      <c r="KGG107" s="974"/>
      <c r="KGH107" s="974"/>
      <c r="KGI107" s="974"/>
      <c r="KGJ107" s="974"/>
      <c r="KGK107" s="974"/>
      <c r="KGL107" s="974"/>
      <c r="KGM107" s="974"/>
      <c r="KGN107" s="974"/>
      <c r="KGO107" s="974"/>
      <c r="KGP107" s="974"/>
      <c r="KGQ107" s="974"/>
      <c r="KGR107" s="974"/>
      <c r="KGS107" s="974"/>
      <c r="KGT107" s="974"/>
      <c r="KGU107" s="974"/>
      <c r="KGV107" s="974"/>
      <c r="KGW107" s="974"/>
      <c r="KGX107" s="974"/>
      <c r="KGY107" s="974"/>
      <c r="KGZ107" s="974"/>
      <c r="KHA107" s="974"/>
      <c r="KHB107" s="974"/>
      <c r="KHC107" s="974"/>
      <c r="KHD107" s="974"/>
      <c r="KHE107" s="974"/>
      <c r="KHF107" s="974"/>
      <c r="KHG107" s="974"/>
      <c r="KHH107" s="974"/>
      <c r="KHI107" s="974"/>
      <c r="KHJ107" s="974"/>
      <c r="KHK107" s="974"/>
      <c r="KHL107" s="974"/>
      <c r="KHM107" s="974"/>
      <c r="KHN107" s="974"/>
      <c r="KHO107" s="974"/>
      <c r="KHP107" s="974"/>
      <c r="KHQ107" s="974"/>
      <c r="KHR107" s="974"/>
      <c r="KHS107" s="974"/>
      <c r="KHT107" s="974"/>
      <c r="KHU107" s="974"/>
      <c r="KHV107" s="974"/>
      <c r="KHW107" s="974"/>
      <c r="KHX107" s="974"/>
      <c r="KHY107" s="974"/>
      <c r="KHZ107" s="974"/>
      <c r="KIA107" s="974"/>
      <c r="KIB107" s="974"/>
      <c r="KIC107" s="974"/>
      <c r="KID107" s="974"/>
      <c r="KIE107" s="974"/>
      <c r="KIF107" s="974"/>
      <c r="KIG107" s="974"/>
      <c r="KIH107" s="974"/>
      <c r="KII107" s="974"/>
      <c r="KIJ107" s="974"/>
      <c r="KIK107" s="974"/>
      <c r="KIL107" s="974"/>
      <c r="KIM107" s="974"/>
      <c r="KIN107" s="974"/>
      <c r="KIO107" s="974"/>
      <c r="KIP107" s="974"/>
      <c r="KIQ107" s="974"/>
      <c r="KIR107" s="974"/>
      <c r="KIS107" s="974"/>
      <c r="KIT107" s="974"/>
      <c r="KIU107" s="974"/>
      <c r="KIV107" s="974"/>
      <c r="KIW107" s="974"/>
      <c r="KIX107" s="974"/>
      <c r="KIY107" s="974"/>
      <c r="KIZ107" s="974"/>
      <c r="KJA107" s="974"/>
      <c r="KJB107" s="974"/>
      <c r="KJC107" s="974"/>
      <c r="KJD107" s="974"/>
      <c r="KJE107" s="974"/>
      <c r="KJF107" s="974"/>
      <c r="KJG107" s="974"/>
      <c r="KJH107" s="974"/>
      <c r="KJI107" s="974"/>
      <c r="KJJ107" s="974"/>
      <c r="KJK107" s="974"/>
      <c r="KJL107" s="974"/>
      <c r="KJM107" s="974"/>
      <c r="KJN107" s="974"/>
      <c r="KJO107" s="974"/>
      <c r="KJP107" s="974"/>
      <c r="KJQ107" s="974"/>
      <c r="KJR107" s="974"/>
      <c r="KJS107" s="974"/>
      <c r="KJT107" s="974"/>
      <c r="KJU107" s="974"/>
      <c r="KJV107" s="974"/>
      <c r="KJW107" s="974"/>
      <c r="KJX107" s="974"/>
      <c r="KJY107" s="974"/>
      <c r="KJZ107" s="974"/>
      <c r="KKA107" s="974"/>
      <c r="KKB107" s="974"/>
      <c r="KKC107" s="974"/>
      <c r="KKD107" s="974"/>
      <c r="KKE107" s="974"/>
      <c r="KKF107" s="974"/>
      <c r="KKG107" s="974"/>
      <c r="KKH107" s="974"/>
      <c r="KKI107" s="974"/>
      <c r="KKJ107" s="974"/>
      <c r="KKK107" s="974"/>
      <c r="KKL107" s="974"/>
      <c r="KKM107" s="974"/>
      <c r="KKN107" s="974"/>
      <c r="KKO107" s="974"/>
      <c r="KKP107" s="974"/>
      <c r="KKQ107" s="974"/>
      <c r="KKR107" s="974"/>
      <c r="KKS107" s="974"/>
      <c r="KKT107" s="974"/>
      <c r="KKU107" s="974"/>
      <c r="KKV107" s="974"/>
      <c r="KKW107" s="974"/>
      <c r="KKX107" s="974"/>
      <c r="KKY107" s="974"/>
      <c r="KKZ107" s="974"/>
      <c r="KLA107" s="974"/>
      <c r="KLB107" s="974"/>
      <c r="KLC107" s="974"/>
      <c r="KLD107" s="974"/>
      <c r="KLE107" s="974"/>
      <c r="KLF107" s="974"/>
      <c r="KLG107" s="974"/>
      <c r="KLH107" s="974"/>
      <c r="KLI107" s="974"/>
      <c r="KLJ107" s="974"/>
      <c r="KLK107" s="974"/>
      <c r="KLL107" s="974"/>
      <c r="KLM107" s="974"/>
      <c r="KLN107" s="974"/>
      <c r="KLO107" s="974"/>
      <c r="KLP107" s="974"/>
      <c r="KLQ107" s="974"/>
      <c r="KLR107" s="974"/>
      <c r="KLS107" s="974"/>
      <c r="KLT107" s="974"/>
      <c r="KLU107" s="974"/>
      <c r="KLV107" s="974"/>
      <c r="KLW107" s="974"/>
      <c r="KLX107" s="974"/>
      <c r="KLY107" s="974"/>
      <c r="KLZ107" s="974"/>
      <c r="KMA107" s="974"/>
      <c r="KMB107" s="974"/>
      <c r="KMC107" s="974"/>
      <c r="KMD107" s="974"/>
      <c r="KME107" s="974"/>
      <c r="KMF107" s="974"/>
      <c r="KMG107" s="974"/>
      <c r="KMH107" s="974"/>
      <c r="KMI107" s="974"/>
      <c r="KMJ107" s="974"/>
      <c r="KMK107" s="974"/>
      <c r="KML107" s="974"/>
      <c r="KMM107" s="974"/>
      <c r="KMN107" s="974"/>
      <c r="KMO107" s="974"/>
      <c r="KMP107" s="974"/>
      <c r="KMQ107" s="974"/>
      <c r="KMR107" s="974"/>
      <c r="KMS107" s="974"/>
      <c r="KMT107" s="974"/>
      <c r="KMU107" s="974"/>
      <c r="KMV107" s="974"/>
      <c r="KMW107" s="974"/>
      <c r="KMX107" s="974"/>
      <c r="KMY107" s="974"/>
      <c r="KMZ107" s="974"/>
      <c r="KNA107" s="974"/>
      <c r="KNB107" s="974"/>
      <c r="KNC107" s="974"/>
      <c r="KND107" s="974"/>
      <c r="KNE107" s="974"/>
      <c r="KNF107" s="974"/>
      <c r="KNG107" s="974"/>
      <c r="KNH107" s="974"/>
      <c r="KNI107" s="974"/>
      <c r="KNJ107" s="974"/>
      <c r="KNK107" s="974"/>
      <c r="KNL107" s="974"/>
      <c r="KNM107" s="974"/>
      <c r="KNN107" s="974"/>
      <c r="KNO107" s="974"/>
      <c r="KNP107" s="974"/>
      <c r="KNQ107" s="974"/>
      <c r="KNR107" s="974"/>
      <c r="KNS107" s="974"/>
      <c r="KNT107" s="974"/>
      <c r="KNU107" s="974"/>
      <c r="KNV107" s="974"/>
      <c r="KNW107" s="974"/>
      <c r="KNX107" s="974"/>
      <c r="KNY107" s="974"/>
      <c r="KNZ107" s="974"/>
      <c r="KOA107" s="974"/>
      <c r="KOB107" s="974"/>
      <c r="KOC107" s="974"/>
      <c r="KOD107" s="974"/>
      <c r="KOE107" s="974"/>
      <c r="KOF107" s="974"/>
      <c r="KOG107" s="974"/>
      <c r="KOH107" s="974"/>
      <c r="KOI107" s="974"/>
      <c r="KOJ107" s="974"/>
      <c r="KOK107" s="974"/>
      <c r="KOL107" s="974"/>
      <c r="KOM107" s="974"/>
      <c r="KON107" s="974"/>
      <c r="KOO107" s="974"/>
      <c r="KOP107" s="974"/>
      <c r="KOQ107" s="974"/>
      <c r="KOR107" s="974"/>
      <c r="KOS107" s="974"/>
      <c r="KOT107" s="974"/>
      <c r="KOU107" s="974"/>
      <c r="KOV107" s="974"/>
      <c r="KOW107" s="974"/>
      <c r="KOX107" s="974"/>
      <c r="KOY107" s="974"/>
      <c r="KOZ107" s="974"/>
      <c r="KPA107" s="974"/>
      <c r="KPB107" s="974"/>
      <c r="KPC107" s="974"/>
      <c r="KPD107" s="974"/>
      <c r="KPE107" s="974"/>
      <c r="KPF107" s="974"/>
      <c r="KPG107" s="974"/>
      <c r="KPH107" s="974"/>
      <c r="KPI107" s="974"/>
      <c r="KPJ107" s="974"/>
      <c r="KPK107" s="974"/>
      <c r="KPL107" s="974"/>
      <c r="KPM107" s="974"/>
      <c r="KPN107" s="974"/>
      <c r="KPO107" s="974"/>
      <c r="KPP107" s="974"/>
      <c r="KPQ107" s="974"/>
      <c r="KPR107" s="974"/>
      <c r="KPS107" s="974"/>
      <c r="KPT107" s="974"/>
      <c r="KPU107" s="974"/>
      <c r="KPV107" s="974"/>
      <c r="KPW107" s="974"/>
      <c r="KPX107" s="974"/>
      <c r="KPY107" s="974"/>
      <c r="KPZ107" s="974"/>
      <c r="KQA107" s="974"/>
      <c r="KQB107" s="974"/>
      <c r="KQC107" s="974"/>
      <c r="KQD107" s="974"/>
      <c r="KQE107" s="974"/>
      <c r="KQF107" s="974"/>
      <c r="KQG107" s="974"/>
      <c r="KQH107" s="974"/>
      <c r="KQI107" s="974"/>
      <c r="KQJ107" s="974"/>
      <c r="KQK107" s="974"/>
      <c r="KQL107" s="974"/>
      <c r="KQM107" s="974"/>
      <c r="KQN107" s="974"/>
      <c r="KQO107" s="974"/>
      <c r="KQP107" s="974"/>
      <c r="KQQ107" s="974"/>
      <c r="KQR107" s="974"/>
      <c r="KQS107" s="974"/>
      <c r="KQT107" s="974"/>
      <c r="KQU107" s="974"/>
      <c r="KQV107" s="974"/>
      <c r="KQW107" s="974"/>
      <c r="KQX107" s="974"/>
      <c r="KQY107" s="974"/>
      <c r="KQZ107" s="974"/>
      <c r="KRA107" s="974"/>
      <c r="KRB107" s="974"/>
      <c r="KRC107" s="974"/>
      <c r="KRD107" s="974"/>
      <c r="KRE107" s="974"/>
      <c r="KRF107" s="974"/>
      <c r="KRG107" s="974"/>
      <c r="KRH107" s="974"/>
      <c r="KRI107" s="974"/>
      <c r="KRJ107" s="974"/>
      <c r="KRK107" s="974"/>
      <c r="KRL107" s="974"/>
      <c r="KRM107" s="974"/>
      <c r="KRN107" s="974"/>
      <c r="KRO107" s="974"/>
      <c r="KRP107" s="974"/>
      <c r="KRQ107" s="974"/>
      <c r="KRR107" s="974"/>
      <c r="KRS107" s="974"/>
      <c r="KRT107" s="974"/>
      <c r="KRU107" s="974"/>
      <c r="KRV107" s="974"/>
      <c r="KRW107" s="974"/>
      <c r="KRX107" s="974"/>
      <c r="KRY107" s="974"/>
      <c r="KRZ107" s="974"/>
      <c r="KSA107" s="974"/>
      <c r="KSB107" s="974"/>
      <c r="KSC107" s="974"/>
      <c r="KSD107" s="974"/>
      <c r="KSE107" s="974"/>
      <c r="KSF107" s="974"/>
      <c r="KSG107" s="974"/>
      <c r="KSH107" s="974"/>
      <c r="KSI107" s="974"/>
      <c r="KSJ107" s="974"/>
      <c r="KSK107" s="974"/>
      <c r="KSL107" s="974"/>
      <c r="KSM107" s="974"/>
      <c r="KSN107" s="974"/>
      <c r="KSO107" s="974"/>
      <c r="KSP107" s="974"/>
      <c r="KSQ107" s="974"/>
      <c r="KSR107" s="974"/>
      <c r="KSS107" s="974"/>
      <c r="KST107" s="974"/>
      <c r="KSU107" s="974"/>
      <c r="KSV107" s="974"/>
      <c r="KSW107" s="974"/>
      <c r="KSX107" s="974"/>
      <c r="KSY107" s="974"/>
      <c r="KSZ107" s="974"/>
      <c r="KTA107" s="974"/>
      <c r="KTB107" s="974"/>
      <c r="KTC107" s="974"/>
      <c r="KTD107" s="974"/>
      <c r="KTE107" s="974"/>
      <c r="KTF107" s="974"/>
      <c r="KTG107" s="974"/>
      <c r="KTH107" s="974"/>
      <c r="KTI107" s="974"/>
      <c r="KTJ107" s="974"/>
      <c r="KTK107" s="974"/>
      <c r="KTL107" s="974"/>
      <c r="KTM107" s="974"/>
      <c r="KTN107" s="974"/>
      <c r="KTO107" s="974"/>
      <c r="KTP107" s="974"/>
      <c r="KTQ107" s="974"/>
      <c r="KTR107" s="974"/>
      <c r="KTS107" s="974"/>
      <c r="KTT107" s="974"/>
      <c r="KTU107" s="974"/>
      <c r="KTV107" s="974"/>
      <c r="KTW107" s="974"/>
      <c r="KTX107" s="974"/>
      <c r="KTY107" s="974"/>
      <c r="KTZ107" s="974"/>
      <c r="KUA107" s="974"/>
      <c r="KUB107" s="974"/>
      <c r="KUC107" s="974"/>
      <c r="KUD107" s="974"/>
      <c r="KUE107" s="974"/>
      <c r="KUF107" s="974"/>
      <c r="KUG107" s="974"/>
      <c r="KUH107" s="974"/>
      <c r="KUI107" s="974"/>
      <c r="KUJ107" s="974"/>
      <c r="KUK107" s="974"/>
      <c r="KUL107" s="974"/>
      <c r="KUM107" s="974"/>
      <c r="KUN107" s="974"/>
      <c r="KUO107" s="974"/>
      <c r="KUP107" s="974"/>
      <c r="KUQ107" s="974"/>
      <c r="KUR107" s="974"/>
      <c r="KUS107" s="974"/>
      <c r="KUT107" s="974"/>
      <c r="KUU107" s="974"/>
      <c r="KUV107" s="974"/>
      <c r="KUW107" s="974"/>
      <c r="KUX107" s="974"/>
      <c r="KUY107" s="974"/>
      <c r="KUZ107" s="974"/>
      <c r="KVA107" s="974"/>
      <c r="KVB107" s="974"/>
      <c r="KVC107" s="974"/>
      <c r="KVD107" s="974"/>
      <c r="KVE107" s="974"/>
      <c r="KVF107" s="974"/>
      <c r="KVG107" s="974"/>
      <c r="KVH107" s="974"/>
      <c r="KVI107" s="974"/>
      <c r="KVJ107" s="974"/>
      <c r="KVK107" s="974"/>
      <c r="KVL107" s="974"/>
      <c r="KVM107" s="974"/>
      <c r="KVN107" s="974"/>
      <c r="KVO107" s="974"/>
      <c r="KVP107" s="974"/>
      <c r="KVQ107" s="974"/>
      <c r="KVR107" s="974"/>
      <c r="KVS107" s="974"/>
      <c r="KVT107" s="974"/>
      <c r="KVU107" s="974"/>
      <c r="KVV107" s="974"/>
      <c r="KVW107" s="974"/>
      <c r="KVX107" s="974"/>
      <c r="KVY107" s="974"/>
      <c r="KVZ107" s="974"/>
      <c r="KWA107" s="974"/>
      <c r="KWB107" s="974"/>
      <c r="KWC107" s="974"/>
      <c r="KWD107" s="974"/>
      <c r="KWE107" s="974"/>
      <c r="KWF107" s="974"/>
      <c r="KWG107" s="974"/>
      <c r="KWH107" s="974"/>
      <c r="KWI107" s="974"/>
      <c r="KWJ107" s="974"/>
      <c r="KWK107" s="974"/>
      <c r="KWL107" s="974"/>
      <c r="KWM107" s="974"/>
      <c r="KWN107" s="974"/>
      <c r="KWO107" s="974"/>
      <c r="KWP107" s="974"/>
      <c r="KWQ107" s="974"/>
      <c r="KWR107" s="974"/>
      <c r="KWS107" s="974"/>
      <c r="KWT107" s="974"/>
      <c r="KWU107" s="974"/>
      <c r="KWV107" s="974"/>
      <c r="KWW107" s="974"/>
      <c r="KWX107" s="974"/>
      <c r="KWY107" s="974"/>
      <c r="KWZ107" s="974"/>
      <c r="KXA107" s="974"/>
      <c r="KXB107" s="974"/>
      <c r="KXC107" s="974"/>
      <c r="KXD107" s="974"/>
      <c r="KXE107" s="974"/>
      <c r="KXF107" s="974"/>
      <c r="KXG107" s="974"/>
      <c r="KXH107" s="974"/>
      <c r="KXI107" s="974"/>
      <c r="KXJ107" s="974"/>
      <c r="KXK107" s="974"/>
      <c r="KXL107" s="974"/>
      <c r="KXM107" s="974"/>
      <c r="KXN107" s="974"/>
      <c r="KXO107" s="974"/>
      <c r="KXP107" s="974"/>
      <c r="KXQ107" s="974"/>
      <c r="KXR107" s="974"/>
      <c r="KXS107" s="974"/>
      <c r="KXT107" s="974"/>
      <c r="KXU107" s="974"/>
      <c r="KXV107" s="974"/>
      <c r="KXW107" s="974"/>
      <c r="KXX107" s="974"/>
      <c r="KXY107" s="974"/>
      <c r="KXZ107" s="974"/>
      <c r="KYA107" s="974"/>
      <c r="KYB107" s="974"/>
      <c r="KYC107" s="974"/>
      <c r="KYD107" s="974"/>
      <c r="KYE107" s="974"/>
      <c r="KYF107" s="974"/>
      <c r="KYG107" s="974"/>
      <c r="KYH107" s="974"/>
      <c r="KYI107" s="974"/>
      <c r="KYJ107" s="974"/>
      <c r="KYK107" s="974"/>
      <c r="KYL107" s="974"/>
      <c r="KYM107" s="974"/>
      <c r="KYN107" s="974"/>
      <c r="KYO107" s="974"/>
      <c r="KYP107" s="974"/>
      <c r="KYQ107" s="974"/>
      <c r="KYR107" s="974"/>
      <c r="KYS107" s="974"/>
      <c r="KYT107" s="974"/>
      <c r="KYU107" s="974"/>
      <c r="KYV107" s="974"/>
      <c r="KYW107" s="974"/>
      <c r="KYX107" s="974"/>
      <c r="KYY107" s="974"/>
      <c r="KYZ107" s="974"/>
      <c r="KZA107" s="974"/>
      <c r="KZB107" s="974"/>
      <c r="KZC107" s="974"/>
      <c r="KZD107" s="974"/>
      <c r="KZE107" s="974"/>
      <c r="KZF107" s="974"/>
      <c r="KZG107" s="974"/>
      <c r="KZH107" s="974"/>
      <c r="KZI107" s="974"/>
      <c r="KZJ107" s="974"/>
      <c r="KZK107" s="974"/>
      <c r="KZL107" s="974"/>
      <c r="KZM107" s="974"/>
      <c r="KZN107" s="974"/>
      <c r="KZO107" s="974"/>
      <c r="KZP107" s="974"/>
      <c r="KZQ107" s="974"/>
      <c r="KZR107" s="974"/>
      <c r="KZS107" s="974"/>
      <c r="KZT107" s="974"/>
      <c r="KZU107" s="974"/>
      <c r="KZV107" s="974"/>
      <c r="KZW107" s="974"/>
      <c r="KZX107" s="974"/>
      <c r="KZY107" s="974"/>
      <c r="KZZ107" s="974"/>
      <c r="LAA107" s="974"/>
      <c r="LAB107" s="974"/>
      <c r="LAC107" s="974"/>
      <c r="LAD107" s="974"/>
      <c r="LAE107" s="974"/>
      <c r="LAF107" s="974"/>
      <c r="LAG107" s="974"/>
      <c r="LAH107" s="974"/>
      <c r="LAI107" s="974"/>
      <c r="LAJ107" s="974"/>
      <c r="LAK107" s="974"/>
      <c r="LAL107" s="974"/>
      <c r="LAM107" s="974"/>
      <c r="LAN107" s="974"/>
      <c r="LAO107" s="974"/>
      <c r="LAP107" s="974"/>
      <c r="LAQ107" s="974"/>
      <c r="LAR107" s="974"/>
      <c r="LAS107" s="974"/>
      <c r="LAT107" s="974"/>
      <c r="LAU107" s="974"/>
      <c r="LAV107" s="974"/>
      <c r="LAW107" s="974"/>
      <c r="LAX107" s="974"/>
      <c r="LAY107" s="974"/>
      <c r="LAZ107" s="974"/>
      <c r="LBA107" s="974"/>
      <c r="LBB107" s="974"/>
      <c r="LBC107" s="974"/>
      <c r="LBD107" s="974"/>
      <c r="LBE107" s="974"/>
      <c r="LBF107" s="974"/>
      <c r="LBG107" s="974"/>
      <c r="LBH107" s="974"/>
      <c r="LBI107" s="974"/>
      <c r="LBJ107" s="974"/>
      <c r="LBK107" s="974"/>
      <c r="LBL107" s="974"/>
      <c r="LBM107" s="974"/>
      <c r="LBN107" s="974"/>
      <c r="LBO107" s="974"/>
      <c r="LBP107" s="974"/>
      <c r="LBQ107" s="974"/>
      <c r="LBR107" s="974"/>
      <c r="LBS107" s="974"/>
      <c r="LBT107" s="974"/>
      <c r="LBU107" s="974"/>
      <c r="LBV107" s="974"/>
      <c r="LBW107" s="974"/>
      <c r="LBX107" s="974"/>
      <c r="LBY107" s="974"/>
      <c r="LBZ107" s="974"/>
      <c r="LCA107" s="974"/>
      <c r="LCB107" s="974"/>
      <c r="LCC107" s="974"/>
      <c r="LCD107" s="974"/>
      <c r="LCE107" s="974"/>
      <c r="LCF107" s="974"/>
      <c r="LCG107" s="974"/>
      <c r="LCH107" s="974"/>
      <c r="LCI107" s="974"/>
      <c r="LCJ107" s="974"/>
      <c r="LCK107" s="974"/>
      <c r="LCL107" s="974"/>
      <c r="LCM107" s="974"/>
      <c r="LCN107" s="974"/>
      <c r="LCO107" s="974"/>
      <c r="LCP107" s="974"/>
      <c r="LCQ107" s="974"/>
      <c r="LCR107" s="974"/>
      <c r="LCS107" s="974"/>
      <c r="LCT107" s="974"/>
      <c r="LCU107" s="974"/>
      <c r="LCV107" s="974"/>
      <c r="LCW107" s="974"/>
      <c r="LCX107" s="974"/>
      <c r="LCY107" s="974"/>
      <c r="LCZ107" s="974"/>
      <c r="LDA107" s="974"/>
      <c r="LDB107" s="974"/>
      <c r="LDC107" s="974"/>
      <c r="LDD107" s="974"/>
      <c r="LDE107" s="974"/>
      <c r="LDF107" s="974"/>
      <c r="LDG107" s="974"/>
      <c r="LDH107" s="974"/>
      <c r="LDI107" s="974"/>
      <c r="LDJ107" s="974"/>
      <c r="LDK107" s="974"/>
      <c r="LDL107" s="974"/>
      <c r="LDM107" s="974"/>
      <c r="LDN107" s="974"/>
      <c r="LDO107" s="974"/>
      <c r="LDP107" s="974"/>
      <c r="LDQ107" s="974"/>
      <c r="LDR107" s="974"/>
      <c r="LDS107" s="974"/>
      <c r="LDT107" s="974"/>
      <c r="LDU107" s="974"/>
      <c r="LDV107" s="974"/>
      <c r="LDW107" s="974"/>
      <c r="LDX107" s="974"/>
      <c r="LDY107" s="974"/>
      <c r="LDZ107" s="974"/>
      <c r="LEA107" s="974"/>
      <c r="LEB107" s="974"/>
      <c r="LEC107" s="974"/>
      <c r="LED107" s="974"/>
      <c r="LEE107" s="974"/>
      <c r="LEF107" s="974"/>
      <c r="LEG107" s="974"/>
      <c r="LEH107" s="974"/>
      <c r="LEI107" s="974"/>
      <c r="LEJ107" s="974"/>
      <c r="LEK107" s="974"/>
      <c r="LEL107" s="974"/>
      <c r="LEM107" s="974"/>
      <c r="LEN107" s="974"/>
      <c r="LEO107" s="974"/>
      <c r="LEP107" s="974"/>
      <c r="LEQ107" s="974"/>
      <c r="LER107" s="974"/>
      <c r="LES107" s="974"/>
      <c r="LET107" s="974"/>
      <c r="LEU107" s="974"/>
      <c r="LEV107" s="974"/>
      <c r="LEW107" s="974"/>
      <c r="LEX107" s="974"/>
      <c r="LEY107" s="974"/>
      <c r="LEZ107" s="974"/>
      <c r="LFA107" s="974"/>
      <c r="LFB107" s="974"/>
      <c r="LFC107" s="974"/>
      <c r="LFD107" s="974"/>
      <c r="LFE107" s="974"/>
      <c r="LFF107" s="974"/>
      <c r="LFG107" s="974"/>
      <c r="LFH107" s="974"/>
      <c r="LFI107" s="974"/>
      <c r="LFJ107" s="974"/>
      <c r="LFK107" s="974"/>
      <c r="LFL107" s="974"/>
      <c r="LFM107" s="974"/>
      <c r="LFN107" s="974"/>
      <c r="LFO107" s="974"/>
      <c r="LFP107" s="974"/>
      <c r="LFQ107" s="974"/>
      <c r="LFR107" s="974"/>
      <c r="LFS107" s="974"/>
      <c r="LFT107" s="974"/>
      <c r="LFU107" s="974"/>
      <c r="LFV107" s="974"/>
      <c r="LFW107" s="974"/>
      <c r="LFX107" s="974"/>
      <c r="LFY107" s="974"/>
      <c r="LFZ107" s="974"/>
      <c r="LGA107" s="974"/>
      <c r="LGB107" s="974"/>
      <c r="LGC107" s="974"/>
      <c r="LGD107" s="974"/>
      <c r="LGE107" s="974"/>
      <c r="LGF107" s="974"/>
      <c r="LGG107" s="974"/>
      <c r="LGH107" s="974"/>
      <c r="LGI107" s="974"/>
      <c r="LGJ107" s="974"/>
      <c r="LGK107" s="974"/>
      <c r="LGL107" s="974"/>
      <c r="LGM107" s="974"/>
      <c r="LGN107" s="974"/>
      <c r="LGO107" s="974"/>
      <c r="LGP107" s="974"/>
      <c r="LGQ107" s="974"/>
      <c r="LGR107" s="974"/>
      <c r="LGS107" s="974"/>
      <c r="LGT107" s="974"/>
      <c r="LGU107" s="974"/>
      <c r="LGV107" s="974"/>
      <c r="LGW107" s="974"/>
      <c r="LGX107" s="974"/>
      <c r="LGY107" s="974"/>
      <c r="LGZ107" s="974"/>
      <c r="LHA107" s="974"/>
      <c r="LHB107" s="974"/>
      <c r="LHC107" s="974"/>
      <c r="LHD107" s="974"/>
      <c r="LHE107" s="974"/>
      <c r="LHF107" s="974"/>
      <c r="LHG107" s="974"/>
      <c r="LHH107" s="974"/>
      <c r="LHI107" s="974"/>
      <c r="LHJ107" s="974"/>
      <c r="LHK107" s="974"/>
      <c r="LHL107" s="974"/>
      <c r="LHM107" s="974"/>
      <c r="LHN107" s="974"/>
      <c r="LHO107" s="974"/>
      <c r="LHP107" s="974"/>
      <c r="LHQ107" s="974"/>
      <c r="LHR107" s="974"/>
      <c r="LHS107" s="974"/>
      <c r="LHT107" s="974"/>
      <c r="LHU107" s="974"/>
      <c r="LHV107" s="974"/>
      <c r="LHW107" s="974"/>
      <c r="LHX107" s="974"/>
      <c r="LHY107" s="974"/>
      <c r="LHZ107" s="974"/>
      <c r="LIA107" s="974"/>
      <c r="LIB107" s="974"/>
      <c r="LIC107" s="974"/>
      <c r="LID107" s="974"/>
      <c r="LIE107" s="974"/>
      <c r="LIF107" s="974"/>
      <c r="LIG107" s="974"/>
      <c r="LIH107" s="974"/>
      <c r="LII107" s="974"/>
      <c r="LIJ107" s="974"/>
      <c r="LIK107" s="974"/>
      <c r="LIL107" s="974"/>
      <c r="LIM107" s="974"/>
      <c r="LIN107" s="974"/>
      <c r="LIO107" s="974"/>
      <c r="LIP107" s="974"/>
      <c r="LIQ107" s="974"/>
      <c r="LIR107" s="974"/>
      <c r="LIS107" s="974"/>
      <c r="LIT107" s="974"/>
      <c r="LIU107" s="974"/>
      <c r="LIV107" s="974"/>
      <c r="LIW107" s="974"/>
      <c r="LIX107" s="974"/>
      <c r="LIY107" s="974"/>
      <c r="LIZ107" s="974"/>
      <c r="LJA107" s="974"/>
      <c r="LJB107" s="974"/>
      <c r="LJC107" s="974"/>
      <c r="LJD107" s="974"/>
      <c r="LJE107" s="974"/>
      <c r="LJF107" s="974"/>
      <c r="LJG107" s="974"/>
      <c r="LJH107" s="974"/>
      <c r="LJI107" s="974"/>
      <c r="LJJ107" s="974"/>
      <c r="LJK107" s="974"/>
      <c r="LJL107" s="974"/>
      <c r="LJM107" s="974"/>
      <c r="LJN107" s="974"/>
      <c r="LJO107" s="974"/>
      <c r="LJP107" s="974"/>
      <c r="LJQ107" s="974"/>
      <c r="LJR107" s="974"/>
      <c r="LJS107" s="974"/>
      <c r="LJT107" s="974"/>
      <c r="LJU107" s="974"/>
      <c r="LJV107" s="974"/>
      <c r="LJW107" s="974"/>
      <c r="LJX107" s="974"/>
      <c r="LJY107" s="974"/>
      <c r="LJZ107" s="974"/>
      <c r="LKA107" s="974"/>
      <c r="LKB107" s="974"/>
      <c r="LKC107" s="974"/>
      <c r="LKD107" s="974"/>
      <c r="LKE107" s="974"/>
      <c r="LKF107" s="974"/>
      <c r="LKG107" s="974"/>
      <c r="LKH107" s="974"/>
      <c r="LKI107" s="974"/>
      <c r="LKJ107" s="974"/>
      <c r="LKK107" s="974"/>
      <c r="LKL107" s="974"/>
      <c r="LKM107" s="974"/>
      <c r="LKN107" s="974"/>
      <c r="LKO107" s="974"/>
      <c r="LKP107" s="974"/>
      <c r="LKQ107" s="974"/>
      <c r="LKR107" s="974"/>
      <c r="LKS107" s="974"/>
      <c r="LKT107" s="974"/>
      <c r="LKU107" s="974"/>
      <c r="LKV107" s="974"/>
      <c r="LKW107" s="974"/>
      <c r="LKX107" s="974"/>
      <c r="LKY107" s="974"/>
      <c r="LKZ107" s="974"/>
      <c r="LLA107" s="974"/>
      <c r="LLB107" s="974"/>
      <c r="LLC107" s="974"/>
      <c r="LLD107" s="974"/>
      <c r="LLE107" s="974"/>
      <c r="LLF107" s="974"/>
      <c r="LLG107" s="974"/>
      <c r="LLH107" s="974"/>
      <c r="LLI107" s="974"/>
      <c r="LLJ107" s="974"/>
      <c r="LLK107" s="974"/>
      <c r="LLL107" s="974"/>
      <c r="LLM107" s="974"/>
      <c r="LLN107" s="974"/>
      <c r="LLO107" s="974"/>
      <c r="LLP107" s="974"/>
      <c r="LLQ107" s="974"/>
      <c r="LLR107" s="974"/>
      <c r="LLS107" s="974"/>
      <c r="LLT107" s="974"/>
      <c r="LLU107" s="974"/>
      <c r="LLV107" s="974"/>
      <c r="LLW107" s="974"/>
      <c r="LLX107" s="974"/>
      <c r="LLY107" s="974"/>
      <c r="LLZ107" s="974"/>
      <c r="LMA107" s="974"/>
      <c r="LMB107" s="974"/>
      <c r="LMC107" s="974"/>
      <c r="LMD107" s="974"/>
      <c r="LME107" s="974"/>
      <c r="LMF107" s="974"/>
      <c r="LMG107" s="974"/>
      <c r="LMH107" s="974"/>
      <c r="LMI107" s="974"/>
      <c r="LMJ107" s="974"/>
      <c r="LMK107" s="974"/>
      <c r="LML107" s="974"/>
      <c r="LMM107" s="974"/>
      <c r="LMN107" s="974"/>
      <c r="LMO107" s="974"/>
      <c r="LMP107" s="974"/>
      <c r="LMQ107" s="974"/>
      <c r="LMR107" s="974"/>
      <c r="LMS107" s="974"/>
      <c r="LMT107" s="974"/>
      <c r="LMU107" s="974"/>
      <c r="LMV107" s="974"/>
      <c r="LMW107" s="974"/>
      <c r="LMX107" s="974"/>
      <c r="LMY107" s="974"/>
      <c r="LMZ107" s="974"/>
      <c r="LNA107" s="974"/>
      <c r="LNB107" s="974"/>
      <c r="LNC107" s="974"/>
      <c r="LND107" s="974"/>
      <c r="LNE107" s="974"/>
      <c r="LNF107" s="974"/>
      <c r="LNG107" s="974"/>
      <c r="LNH107" s="974"/>
      <c r="LNI107" s="974"/>
      <c r="LNJ107" s="974"/>
      <c r="LNK107" s="974"/>
      <c r="LNL107" s="974"/>
      <c r="LNM107" s="974"/>
      <c r="LNN107" s="974"/>
      <c r="LNO107" s="974"/>
      <c r="LNP107" s="974"/>
      <c r="LNQ107" s="974"/>
      <c r="LNR107" s="974"/>
      <c r="LNS107" s="974"/>
      <c r="LNT107" s="974"/>
      <c r="LNU107" s="974"/>
      <c r="LNV107" s="974"/>
      <c r="LNW107" s="974"/>
      <c r="LNX107" s="974"/>
      <c r="LNY107" s="974"/>
      <c r="LNZ107" s="974"/>
      <c r="LOA107" s="974"/>
      <c r="LOB107" s="974"/>
      <c r="LOC107" s="974"/>
      <c r="LOD107" s="974"/>
      <c r="LOE107" s="974"/>
      <c r="LOF107" s="974"/>
      <c r="LOG107" s="974"/>
      <c r="LOH107" s="974"/>
      <c r="LOI107" s="974"/>
      <c r="LOJ107" s="974"/>
      <c r="LOK107" s="974"/>
      <c r="LOL107" s="974"/>
      <c r="LOM107" s="974"/>
      <c r="LON107" s="974"/>
      <c r="LOO107" s="974"/>
      <c r="LOP107" s="974"/>
      <c r="LOQ107" s="974"/>
      <c r="LOR107" s="974"/>
      <c r="LOS107" s="974"/>
      <c r="LOT107" s="974"/>
      <c r="LOU107" s="974"/>
      <c r="LOV107" s="974"/>
      <c r="LOW107" s="974"/>
      <c r="LOX107" s="974"/>
      <c r="LOY107" s="974"/>
      <c r="LOZ107" s="974"/>
      <c r="LPA107" s="974"/>
      <c r="LPB107" s="974"/>
      <c r="LPC107" s="974"/>
      <c r="LPD107" s="974"/>
      <c r="LPE107" s="974"/>
      <c r="LPF107" s="974"/>
      <c r="LPG107" s="974"/>
      <c r="LPH107" s="974"/>
      <c r="LPI107" s="974"/>
      <c r="LPJ107" s="974"/>
      <c r="LPK107" s="974"/>
      <c r="LPL107" s="974"/>
      <c r="LPM107" s="974"/>
      <c r="LPN107" s="974"/>
      <c r="LPO107" s="974"/>
      <c r="LPP107" s="974"/>
      <c r="LPQ107" s="974"/>
      <c r="LPR107" s="974"/>
      <c r="LPS107" s="974"/>
      <c r="LPT107" s="974"/>
      <c r="LPU107" s="974"/>
      <c r="LPV107" s="974"/>
      <c r="LPW107" s="974"/>
      <c r="LPX107" s="974"/>
      <c r="LPY107" s="974"/>
      <c r="LPZ107" s="974"/>
      <c r="LQA107" s="974"/>
      <c r="LQB107" s="974"/>
      <c r="LQC107" s="974"/>
      <c r="LQD107" s="974"/>
      <c r="LQE107" s="974"/>
      <c r="LQF107" s="974"/>
      <c r="LQG107" s="974"/>
      <c r="LQH107" s="974"/>
      <c r="LQI107" s="974"/>
      <c r="LQJ107" s="974"/>
      <c r="LQK107" s="974"/>
      <c r="LQL107" s="974"/>
      <c r="LQM107" s="974"/>
      <c r="LQN107" s="974"/>
      <c r="LQO107" s="974"/>
      <c r="LQP107" s="974"/>
      <c r="LQQ107" s="974"/>
      <c r="LQR107" s="974"/>
      <c r="LQS107" s="974"/>
      <c r="LQT107" s="974"/>
      <c r="LQU107" s="974"/>
      <c r="LQV107" s="974"/>
      <c r="LQW107" s="974"/>
      <c r="LQX107" s="974"/>
      <c r="LQY107" s="974"/>
      <c r="LQZ107" s="974"/>
      <c r="LRA107" s="974"/>
      <c r="LRB107" s="974"/>
      <c r="LRC107" s="974"/>
      <c r="LRD107" s="974"/>
      <c r="LRE107" s="974"/>
      <c r="LRF107" s="974"/>
      <c r="LRG107" s="974"/>
      <c r="LRH107" s="974"/>
      <c r="LRI107" s="974"/>
      <c r="LRJ107" s="974"/>
      <c r="LRK107" s="974"/>
      <c r="LRL107" s="974"/>
      <c r="LRM107" s="974"/>
      <c r="LRN107" s="974"/>
      <c r="LRO107" s="974"/>
      <c r="LRP107" s="974"/>
      <c r="LRQ107" s="974"/>
      <c r="LRR107" s="974"/>
      <c r="LRS107" s="974"/>
      <c r="LRT107" s="974"/>
      <c r="LRU107" s="974"/>
      <c r="LRV107" s="974"/>
      <c r="LRW107" s="974"/>
      <c r="LRX107" s="974"/>
      <c r="LRY107" s="974"/>
      <c r="LRZ107" s="974"/>
      <c r="LSA107" s="974"/>
      <c r="LSB107" s="974"/>
      <c r="LSC107" s="974"/>
      <c r="LSD107" s="974"/>
      <c r="LSE107" s="974"/>
      <c r="LSF107" s="974"/>
      <c r="LSG107" s="974"/>
      <c r="LSH107" s="974"/>
      <c r="LSI107" s="974"/>
      <c r="LSJ107" s="974"/>
      <c r="LSK107" s="974"/>
      <c r="LSL107" s="974"/>
      <c r="LSM107" s="974"/>
      <c r="LSN107" s="974"/>
      <c r="LSO107" s="974"/>
      <c r="LSP107" s="974"/>
      <c r="LSQ107" s="974"/>
      <c r="LSR107" s="974"/>
      <c r="LSS107" s="974"/>
      <c r="LST107" s="974"/>
      <c r="LSU107" s="974"/>
      <c r="LSV107" s="974"/>
      <c r="LSW107" s="974"/>
      <c r="LSX107" s="974"/>
      <c r="LSY107" s="974"/>
      <c r="LSZ107" s="974"/>
      <c r="LTA107" s="974"/>
      <c r="LTB107" s="974"/>
      <c r="LTC107" s="974"/>
      <c r="LTD107" s="974"/>
      <c r="LTE107" s="974"/>
      <c r="LTF107" s="974"/>
      <c r="LTG107" s="974"/>
      <c r="LTH107" s="974"/>
      <c r="LTI107" s="974"/>
      <c r="LTJ107" s="974"/>
      <c r="LTK107" s="974"/>
      <c r="LTL107" s="974"/>
      <c r="LTM107" s="974"/>
      <c r="LTN107" s="974"/>
      <c r="LTO107" s="974"/>
      <c r="LTP107" s="974"/>
      <c r="LTQ107" s="974"/>
      <c r="LTR107" s="974"/>
      <c r="LTS107" s="974"/>
      <c r="LTT107" s="974"/>
      <c r="LTU107" s="974"/>
      <c r="LTV107" s="974"/>
      <c r="LTW107" s="974"/>
      <c r="LTX107" s="974"/>
      <c r="LTY107" s="974"/>
      <c r="LTZ107" s="974"/>
      <c r="LUA107" s="974"/>
      <c r="LUB107" s="974"/>
      <c r="LUC107" s="974"/>
      <c r="LUD107" s="974"/>
      <c r="LUE107" s="974"/>
      <c r="LUF107" s="974"/>
      <c r="LUG107" s="974"/>
      <c r="LUH107" s="974"/>
      <c r="LUI107" s="974"/>
      <c r="LUJ107" s="974"/>
      <c r="LUK107" s="974"/>
      <c r="LUL107" s="974"/>
      <c r="LUM107" s="974"/>
      <c r="LUN107" s="974"/>
      <c r="LUO107" s="974"/>
      <c r="LUP107" s="974"/>
      <c r="LUQ107" s="974"/>
      <c r="LUR107" s="974"/>
      <c r="LUS107" s="974"/>
      <c r="LUT107" s="974"/>
      <c r="LUU107" s="974"/>
      <c r="LUV107" s="974"/>
      <c r="LUW107" s="974"/>
      <c r="LUX107" s="974"/>
      <c r="LUY107" s="974"/>
      <c r="LUZ107" s="974"/>
      <c r="LVA107" s="974"/>
      <c r="LVB107" s="974"/>
      <c r="LVC107" s="974"/>
      <c r="LVD107" s="974"/>
      <c r="LVE107" s="974"/>
      <c r="LVF107" s="974"/>
      <c r="LVG107" s="974"/>
      <c r="LVH107" s="974"/>
      <c r="LVI107" s="974"/>
      <c r="LVJ107" s="974"/>
      <c r="LVK107" s="974"/>
      <c r="LVL107" s="974"/>
      <c r="LVM107" s="974"/>
      <c r="LVN107" s="974"/>
      <c r="LVO107" s="974"/>
      <c r="LVP107" s="974"/>
      <c r="LVQ107" s="974"/>
      <c r="LVR107" s="974"/>
      <c r="LVS107" s="974"/>
      <c r="LVT107" s="974"/>
      <c r="LVU107" s="974"/>
      <c r="LVV107" s="974"/>
      <c r="LVW107" s="974"/>
      <c r="LVX107" s="974"/>
      <c r="LVY107" s="974"/>
      <c r="LVZ107" s="974"/>
      <c r="LWA107" s="974"/>
      <c r="LWB107" s="974"/>
      <c r="LWC107" s="974"/>
      <c r="LWD107" s="974"/>
      <c r="LWE107" s="974"/>
      <c r="LWF107" s="974"/>
      <c r="LWG107" s="974"/>
      <c r="LWH107" s="974"/>
      <c r="LWI107" s="974"/>
      <c r="LWJ107" s="974"/>
      <c r="LWK107" s="974"/>
      <c r="LWL107" s="974"/>
      <c r="LWM107" s="974"/>
      <c r="LWN107" s="974"/>
      <c r="LWO107" s="974"/>
      <c r="LWP107" s="974"/>
      <c r="LWQ107" s="974"/>
      <c r="LWR107" s="974"/>
      <c r="LWS107" s="974"/>
      <c r="LWT107" s="974"/>
      <c r="LWU107" s="974"/>
      <c r="LWV107" s="974"/>
      <c r="LWW107" s="974"/>
      <c r="LWX107" s="974"/>
      <c r="LWY107" s="974"/>
      <c r="LWZ107" s="974"/>
      <c r="LXA107" s="974"/>
      <c r="LXB107" s="974"/>
      <c r="LXC107" s="974"/>
      <c r="LXD107" s="974"/>
      <c r="LXE107" s="974"/>
      <c r="LXF107" s="974"/>
      <c r="LXG107" s="974"/>
      <c r="LXH107" s="974"/>
      <c r="LXI107" s="974"/>
      <c r="LXJ107" s="974"/>
      <c r="LXK107" s="974"/>
      <c r="LXL107" s="974"/>
      <c r="LXM107" s="974"/>
      <c r="LXN107" s="974"/>
      <c r="LXO107" s="974"/>
      <c r="LXP107" s="974"/>
      <c r="LXQ107" s="974"/>
      <c r="LXR107" s="974"/>
      <c r="LXS107" s="974"/>
      <c r="LXT107" s="974"/>
      <c r="LXU107" s="974"/>
      <c r="LXV107" s="974"/>
      <c r="LXW107" s="974"/>
      <c r="LXX107" s="974"/>
      <c r="LXY107" s="974"/>
      <c r="LXZ107" s="974"/>
      <c r="LYA107" s="974"/>
      <c r="LYB107" s="974"/>
      <c r="LYC107" s="974"/>
      <c r="LYD107" s="974"/>
      <c r="LYE107" s="974"/>
      <c r="LYF107" s="974"/>
      <c r="LYG107" s="974"/>
      <c r="LYH107" s="974"/>
      <c r="LYI107" s="974"/>
      <c r="LYJ107" s="974"/>
      <c r="LYK107" s="974"/>
      <c r="LYL107" s="974"/>
      <c r="LYM107" s="974"/>
      <c r="LYN107" s="974"/>
      <c r="LYO107" s="974"/>
      <c r="LYP107" s="974"/>
      <c r="LYQ107" s="974"/>
      <c r="LYR107" s="974"/>
      <c r="LYS107" s="974"/>
      <c r="LYT107" s="974"/>
      <c r="LYU107" s="974"/>
      <c r="LYV107" s="974"/>
      <c r="LYW107" s="974"/>
      <c r="LYX107" s="974"/>
      <c r="LYY107" s="974"/>
      <c r="LYZ107" s="974"/>
      <c r="LZA107" s="974"/>
      <c r="LZB107" s="974"/>
      <c r="LZC107" s="974"/>
      <c r="LZD107" s="974"/>
      <c r="LZE107" s="974"/>
      <c r="LZF107" s="974"/>
      <c r="LZG107" s="974"/>
      <c r="LZH107" s="974"/>
      <c r="LZI107" s="974"/>
      <c r="LZJ107" s="974"/>
      <c r="LZK107" s="974"/>
      <c r="LZL107" s="974"/>
      <c r="LZM107" s="974"/>
      <c r="LZN107" s="974"/>
      <c r="LZO107" s="974"/>
      <c r="LZP107" s="974"/>
      <c r="LZQ107" s="974"/>
      <c r="LZR107" s="974"/>
      <c r="LZS107" s="974"/>
      <c r="LZT107" s="974"/>
      <c r="LZU107" s="974"/>
      <c r="LZV107" s="974"/>
      <c r="LZW107" s="974"/>
      <c r="LZX107" s="974"/>
      <c r="LZY107" s="974"/>
      <c r="LZZ107" s="974"/>
      <c r="MAA107" s="974"/>
      <c r="MAB107" s="974"/>
      <c r="MAC107" s="974"/>
      <c r="MAD107" s="974"/>
      <c r="MAE107" s="974"/>
      <c r="MAF107" s="974"/>
      <c r="MAG107" s="974"/>
      <c r="MAH107" s="974"/>
      <c r="MAI107" s="974"/>
      <c r="MAJ107" s="974"/>
      <c r="MAK107" s="974"/>
      <c r="MAL107" s="974"/>
      <c r="MAM107" s="974"/>
      <c r="MAN107" s="974"/>
      <c r="MAO107" s="974"/>
      <c r="MAP107" s="974"/>
      <c r="MAQ107" s="974"/>
      <c r="MAR107" s="974"/>
      <c r="MAS107" s="974"/>
      <c r="MAT107" s="974"/>
      <c r="MAU107" s="974"/>
      <c r="MAV107" s="974"/>
      <c r="MAW107" s="974"/>
      <c r="MAX107" s="974"/>
      <c r="MAY107" s="974"/>
      <c r="MAZ107" s="974"/>
      <c r="MBA107" s="974"/>
      <c r="MBB107" s="974"/>
      <c r="MBC107" s="974"/>
      <c r="MBD107" s="974"/>
      <c r="MBE107" s="974"/>
      <c r="MBF107" s="974"/>
      <c r="MBG107" s="974"/>
      <c r="MBH107" s="974"/>
      <c r="MBI107" s="974"/>
      <c r="MBJ107" s="974"/>
      <c r="MBK107" s="974"/>
      <c r="MBL107" s="974"/>
      <c r="MBM107" s="974"/>
      <c r="MBN107" s="974"/>
      <c r="MBO107" s="974"/>
      <c r="MBP107" s="974"/>
      <c r="MBQ107" s="974"/>
      <c r="MBR107" s="974"/>
      <c r="MBS107" s="974"/>
      <c r="MBT107" s="974"/>
      <c r="MBU107" s="974"/>
      <c r="MBV107" s="974"/>
      <c r="MBW107" s="974"/>
      <c r="MBX107" s="974"/>
      <c r="MBY107" s="974"/>
      <c r="MBZ107" s="974"/>
      <c r="MCA107" s="974"/>
      <c r="MCB107" s="974"/>
      <c r="MCC107" s="974"/>
      <c r="MCD107" s="974"/>
      <c r="MCE107" s="974"/>
      <c r="MCF107" s="974"/>
      <c r="MCG107" s="974"/>
      <c r="MCH107" s="974"/>
      <c r="MCI107" s="974"/>
      <c r="MCJ107" s="974"/>
      <c r="MCK107" s="974"/>
      <c r="MCL107" s="974"/>
      <c r="MCM107" s="974"/>
      <c r="MCN107" s="974"/>
      <c r="MCO107" s="974"/>
      <c r="MCP107" s="974"/>
      <c r="MCQ107" s="974"/>
      <c r="MCR107" s="974"/>
      <c r="MCS107" s="974"/>
      <c r="MCT107" s="974"/>
      <c r="MCU107" s="974"/>
      <c r="MCV107" s="974"/>
      <c r="MCW107" s="974"/>
      <c r="MCX107" s="974"/>
      <c r="MCY107" s="974"/>
      <c r="MCZ107" s="974"/>
      <c r="MDA107" s="974"/>
      <c r="MDB107" s="974"/>
      <c r="MDC107" s="974"/>
      <c r="MDD107" s="974"/>
      <c r="MDE107" s="974"/>
      <c r="MDF107" s="974"/>
      <c r="MDG107" s="974"/>
      <c r="MDH107" s="974"/>
      <c r="MDI107" s="974"/>
      <c r="MDJ107" s="974"/>
      <c r="MDK107" s="974"/>
      <c r="MDL107" s="974"/>
      <c r="MDM107" s="974"/>
      <c r="MDN107" s="974"/>
      <c r="MDO107" s="974"/>
      <c r="MDP107" s="974"/>
      <c r="MDQ107" s="974"/>
      <c r="MDR107" s="974"/>
      <c r="MDS107" s="974"/>
      <c r="MDT107" s="974"/>
      <c r="MDU107" s="974"/>
      <c r="MDV107" s="974"/>
      <c r="MDW107" s="974"/>
      <c r="MDX107" s="974"/>
      <c r="MDY107" s="974"/>
      <c r="MDZ107" s="974"/>
      <c r="MEA107" s="974"/>
      <c r="MEB107" s="974"/>
      <c r="MEC107" s="974"/>
      <c r="MED107" s="974"/>
      <c r="MEE107" s="974"/>
      <c r="MEF107" s="974"/>
      <c r="MEG107" s="974"/>
      <c r="MEH107" s="974"/>
      <c r="MEI107" s="974"/>
      <c r="MEJ107" s="974"/>
      <c r="MEK107" s="974"/>
      <c r="MEL107" s="974"/>
      <c r="MEM107" s="974"/>
      <c r="MEN107" s="974"/>
      <c r="MEO107" s="974"/>
      <c r="MEP107" s="974"/>
      <c r="MEQ107" s="974"/>
      <c r="MER107" s="974"/>
      <c r="MES107" s="974"/>
      <c r="MET107" s="974"/>
      <c r="MEU107" s="974"/>
      <c r="MEV107" s="974"/>
      <c r="MEW107" s="974"/>
      <c r="MEX107" s="974"/>
      <c r="MEY107" s="974"/>
      <c r="MEZ107" s="974"/>
      <c r="MFA107" s="974"/>
      <c r="MFB107" s="974"/>
      <c r="MFC107" s="974"/>
      <c r="MFD107" s="974"/>
      <c r="MFE107" s="974"/>
      <c r="MFF107" s="974"/>
      <c r="MFG107" s="974"/>
      <c r="MFH107" s="974"/>
      <c r="MFI107" s="974"/>
      <c r="MFJ107" s="974"/>
      <c r="MFK107" s="974"/>
      <c r="MFL107" s="974"/>
      <c r="MFM107" s="974"/>
      <c r="MFN107" s="974"/>
      <c r="MFO107" s="974"/>
      <c r="MFP107" s="974"/>
      <c r="MFQ107" s="974"/>
      <c r="MFR107" s="974"/>
      <c r="MFS107" s="974"/>
      <c r="MFT107" s="974"/>
      <c r="MFU107" s="974"/>
      <c r="MFV107" s="974"/>
      <c r="MFW107" s="974"/>
      <c r="MFX107" s="974"/>
      <c r="MFY107" s="974"/>
      <c r="MFZ107" s="974"/>
      <c r="MGA107" s="974"/>
      <c r="MGB107" s="974"/>
      <c r="MGC107" s="974"/>
      <c r="MGD107" s="974"/>
      <c r="MGE107" s="974"/>
      <c r="MGF107" s="974"/>
      <c r="MGG107" s="974"/>
      <c r="MGH107" s="974"/>
      <c r="MGI107" s="974"/>
      <c r="MGJ107" s="974"/>
      <c r="MGK107" s="974"/>
      <c r="MGL107" s="974"/>
      <c r="MGM107" s="974"/>
      <c r="MGN107" s="974"/>
      <c r="MGO107" s="974"/>
      <c r="MGP107" s="974"/>
      <c r="MGQ107" s="974"/>
      <c r="MGR107" s="974"/>
      <c r="MGS107" s="974"/>
      <c r="MGT107" s="974"/>
      <c r="MGU107" s="974"/>
      <c r="MGV107" s="974"/>
      <c r="MGW107" s="974"/>
      <c r="MGX107" s="974"/>
      <c r="MGY107" s="974"/>
      <c r="MGZ107" s="974"/>
      <c r="MHA107" s="974"/>
      <c r="MHB107" s="974"/>
      <c r="MHC107" s="974"/>
      <c r="MHD107" s="974"/>
      <c r="MHE107" s="974"/>
      <c r="MHF107" s="974"/>
      <c r="MHG107" s="974"/>
      <c r="MHH107" s="974"/>
      <c r="MHI107" s="974"/>
      <c r="MHJ107" s="974"/>
      <c r="MHK107" s="974"/>
      <c r="MHL107" s="974"/>
      <c r="MHM107" s="974"/>
      <c r="MHN107" s="974"/>
      <c r="MHO107" s="974"/>
      <c r="MHP107" s="974"/>
      <c r="MHQ107" s="974"/>
      <c r="MHR107" s="974"/>
      <c r="MHS107" s="974"/>
      <c r="MHT107" s="974"/>
      <c r="MHU107" s="974"/>
      <c r="MHV107" s="974"/>
      <c r="MHW107" s="974"/>
      <c r="MHX107" s="974"/>
      <c r="MHY107" s="974"/>
      <c r="MHZ107" s="974"/>
      <c r="MIA107" s="974"/>
      <c r="MIB107" s="974"/>
      <c r="MIC107" s="974"/>
      <c r="MID107" s="974"/>
      <c r="MIE107" s="974"/>
      <c r="MIF107" s="974"/>
      <c r="MIG107" s="974"/>
      <c r="MIH107" s="974"/>
      <c r="MII107" s="974"/>
      <c r="MIJ107" s="974"/>
      <c r="MIK107" s="974"/>
      <c r="MIL107" s="974"/>
      <c r="MIM107" s="974"/>
      <c r="MIN107" s="974"/>
      <c r="MIO107" s="974"/>
      <c r="MIP107" s="974"/>
      <c r="MIQ107" s="974"/>
      <c r="MIR107" s="974"/>
      <c r="MIS107" s="974"/>
      <c r="MIT107" s="974"/>
      <c r="MIU107" s="974"/>
      <c r="MIV107" s="974"/>
      <c r="MIW107" s="974"/>
      <c r="MIX107" s="974"/>
      <c r="MIY107" s="974"/>
      <c r="MIZ107" s="974"/>
      <c r="MJA107" s="974"/>
      <c r="MJB107" s="974"/>
      <c r="MJC107" s="974"/>
      <c r="MJD107" s="974"/>
      <c r="MJE107" s="974"/>
      <c r="MJF107" s="974"/>
      <c r="MJG107" s="974"/>
      <c r="MJH107" s="974"/>
      <c r="MJI107" s="974"/>
      <c r="MJJ107" s="974"/>
      <c r="MJK107" s="974"/>
      <c r="MJL107" s="974"/>
      <c r="MJM107" s="974"/>
      <c r="MJN107" s="974"/>
      <c r="MJO107" s="974"/>
      <c r="MJP107" s="974"/>
      <c r="MJQ107" s="974"/>
      <c r="MJR107" s="974"/>
      <c r="MJS107" s="974"/>
      <c r="MJT107" s="974"/>
      <c r="MJU107" s="974"/>
      <c r="MJV107" s="974"/>
      <c r="MJW107" s="974"/>
      <c r="MJX107" s="974"/>
      <c r="MJY107" s="974"/>
      <c r="MJZ107" s="974"/>
      <c r="MKA107" s="974"/>
      <c r="MKB107" s="974"/>
      <c r="MKC107" s="974"/>
      <c r="MKD107" s="974"/>
      <c r="MKE107" s="974"/>
      <c r="MKF107" s="974"/>
      <c r="MKG107" s="974"/>
      <c r="MKH107" s="974"/>
      <c r="MKI107" s="974"/>
      <c r="MKJ107" s="974"/>
      <c r="MKK107" s="974"/>
      <c r="MKL107" s="974"/>
      <c r="MKM107" s="974"/>
      <c r="MKN107" s="974"/>
      <c r="MKO107" s="974"/>
      <c r="MKP107" s="974"/>
      <c r="MKQ107" s="974"/>
      <c r="MKR107" s="974"/>
      <c r="MKS107" s="974"/>
      <c r="MKT107" s="974"/>
      <c r="MKU107" s="974"/>
      <c r="MKV107" s="974"/>
      <c r="MKW107" s="974"/>
      <c r="MKX107" s="974"/>
      <c r="MKY107" s="974"/>
      <c r="MKZ107" s="974"/>
      <c r="MLA107" s="974"/>
      <c r="MLB107" s="974"/>
      <c r="MLC107" s="974"/>
      <c r="MLD107" s="974"/>
      <c r="MLE107" s="974"/>
      <c r="MLF107" s="974"/>
      <c r="MLG107" s="974"/>
      <c r="MLH107" s="974"/>
      <c r="MLI107" s="974"/>
      <c r="MLJ107" s="974"/>
      <c r="MLK107" s="974"/>
      <c r="MLL107" s="974"/>
      <c r="MLM107" s="974"/>
      <c r="MLN107" s="974"/>
      <c r="MLO107" s="974"/>
      <c r="MLP107" s="974"/>
      <c r="MLQ107" s="974"/>
      <c r="MLR107" s="974"/>
      <c r="MLS107" s="974"/>
      <c r="MLT107" s="974"/>
      <c r="MLU107" s="974"/>
      <c r="MLV107" s="974"/>
      <c r="MLW107" s="974"/>
      <c r="MLX107" s="974"/>
      <c r="MLY107" s="974"/>
      <c r="MLZ107" s="974"/>
      <c r="MMA107" s="974"/>
      <c r="MMB107" s="974"/>
      <c r="MMC107" s="974"/>
      <c r="MMD107" s="974"/>
      <c r="MME107" s="974"/>
      <c r="MMF107" s="974"/>
      <c r="MMG107" s="974"/>
      <c r="MMH107" s="974"/>
      <c r="MMI107" s="974"/>
      <c r="MMJ107" s="974"/>
      <c r="MMK107" s="974"/>
      <c r="MML107" s="974"/>
      <c r="MMM107" s="974"/>
      <c r="MMN107" s="974"/>
      <c r="MMO107" s="974"/>
      <c r="MMP107" s="974"/>
      <c r="MMQ107" s="974"/>
      <c r="MMR107" s="974"/>
      <c r="MMS107" s="974"/>
      <c r="MMT107" s="974"/>
      <c r="MMU107" s="974"/>
      <c r="MMV107" s="974"/>
      <c r="MMW107" s="974"/>
      <c r="MMX107" s="974"/>
      <c r="MMY107" s="974"/>
      <c r="MMZ107" s="974"/>
      <c r="MNA107" s="974"/>
      <c r="MNB107" s="974"/>
      <c r="MNC107" s="974"/>
      <c r="MND107" s="974"/>
      <c r="MNE107" s="974"/>
      <c r="MNF107" s="974"/>
      <c r="MNG107" s="974"/>
      <c r="MNH107" s="974"/>
      <c r="MNI107" s="974"/>
      <c r="MNJ107" s="974"/>
      <c r="MNK107" s="974"/>
      <c r="MNL107" s="974"/>
      <c r="MNM107" s="974"/>
      <c r="MNN107" s="974"/>
      <c r="MNO107" s="974"/>
      <c r="MNP107" s="974"/>
      <c r="MNQ107" s="974"/>
      <c r="MNR107" s="974"/>
      <c r="MNS107" s="974"/>
      <c r="MNT107" s="974"/>
      <c r="MNU107" s="974"/>
      <c r="MNV107" s="974"/>
      <c r="MNW107" s="974"/>
      <c r="MNX107" s="974"/>
      <c r="MNY107" s="974"/>
      <c r="MNZ107" s="974"/>
      <c r="MOA107" s="974"/>
      <c r="MOB107" s="974"/>
      <c r="MOC107" s="974"/>
      <c r="MOD107" s="974"/>
      <c r="MOE107" s="974"/>
      <c r="MOF107" s="974"/>
      <c r="MOG107" s="974"/>
      <c r="MOH107" s="974"/>
      <c r="MOI107" s="974"/>
      <c r="MOJ107" s="974"/>
      <c r="MOK107" s="974"/>
      <c r="MOL107" s="974"/>
      <c r="MOM107" s="974"/>
      <c r="MON107" s="974"/>
      <c r="MOO107" s="974"/>
      <c r="MOP107" s="974"/>
      <c r="MOQ107" s="974"/>
      <c r="MOR107" s="974"/>
      <c r="MOS107" s="974"/>
      <c r="MOT107" s="974"/>
      <c r="MOU107" s="974"/>
      <c r="MOV107" s="974"/>
      <c r="MOW107" s="974"/>
      <c r="MOX107" s="974"/>
      <c r="MOY107" s="974"/>
      <c r="MOZ107" s="974"/>
      <c r="MPA107" s="974"/>
      <c r="MPB107" s="974"/>
      <c r="MPC107" s="974"/>
      <c r="MPD107" s="974"/>
      <c r="MPE107" s="974"/>
      <c r="MPF107" s="974"/>
      <c r="MPG107" s="974"/>
      <c r="MPH107" s="974"/>
      <c r="MPI107" s="974"/>
      <c r="MPJ107" s="974"/>
      <c r="MPK107" s="974"/>
      <c r="MPL107" s="974"/>
      <c r="MPM107" s="974"/>
      <c r="MPN107" s="974"/>
      <c r="MPO107" s="974"/>
      <c r="MPP107" s="974"/>
      <c r="MPQ107" s="974"/>
      <c r="MPR107" s="974"/>
      <c r="MPS107" s="974"/>
      <c r="MPT107" s="974"/>
      <c r="MPU107" s="974"/>
      <c r="MPV107" s="974"/>
      <c r="MPW107" s="974"/>
      <c r="MPX107" s="974"/>
      <c r="MPY107" s="974"/>
      <c r="MPZ107" s="974"/>
      <c r="MQA107" s="974"/>
      <c r="MQB107" s="974"/>
      <c r="MQC107" s="974"/>
      <c r="MQD107" s="974"/>
      <c r="MQE107" s="974"/>
      <c r="MQF107" s="974"/>
      <c r="MQG107" s="974"/>
      <c r="MQH107" s="974"/>
      <c r="MQI107" s="974"/>
      <c r="MQJ107" s="974"/>
      <c r="MQK107" s="974"/>
      <c r="MQL107" s="974"/>
      <c r="MQM107" s="974"/>
      <c r="MQN107" s="974"/>
      <c r="MQO107" s="974"/>
      <c r="MQP107" s="974"/>
      <c r="MQQ107" s="974"/>
      <c r="MQR107" s="974"/>
      <c r="MQS107" s="974"/>
      <c r="MQT107" s="974"/>
      <c r="MQU107" s="974"/>
      <c r="MQV107" s="974"/>
      <c r="MQW107" s="974"/>
      <c r="MQX107" s="974"/>
      <c r="MQY107" s="974"/>
      <c r="MQZ107" s="974"/>
      <c r="MRA107" s="974"/>
      <c r="MRB107" s="974"/>
      <c r="MRC107" s="974"/>
      <c r="MRD107" s="974"/>
      <c r="MRE107" s="974"/>
      <c r="MRF107" s="974"/>
      <c r="MRG107" s="974"/>
      <c r="MRH107" s="974"/>
      <c r="MRI107" s="974"/>
      <c r="MRJ107" s="974"/>
      <c r="MRK107" s="974"/>
      <c r="MRL107" s="974"/>
      <c r="MRM107" s="974"/>
      <c r="MRN107" s="974"/>
      <c r="MRO107" s="974"/>
      <c r="MRP107" s="974"/>
      <c r="MRQ107" s="974"/>
      <c r="MRR107" s="974"/>
      <c r="MRS107" s="974"/>
      <c r="MRT107" s="974"/>
      <c r="MRU107" s="974"/>
      <c r="MRV107" s="974"/>
      <c r="MRW107" s="974"/>
      <c r="MRX107" s="974"/>
      <c r="MRY107" s="974"/>
      <c r="MRZ107" s="974"/>
      <c r="MSA107" s="974"/>
      <c r="MSB107" s="974"/>
      <c r="MSC107" s="974"/>
      <c r="MSD107" s="974"/>
      <c r="MSE107" s="974"/>
      <c r="MSF107" s="974"/>
      <c r="MSG107" s="974"/>
      <c r="MSH107" s="974"/>
      <c r="MSI107" s="974"/>
      <c r="MSJ107" s="974"/>
      <c r="MSK107" s="974"/>
      <c r="MSL107" s="974"/>
      <c r="MSM107" s="974"/>
      <c r="MSN107" s="974"/>
      <c r="MSO107" s="974"/>
      <c r="MSP107" s="974"/>
      <c r="MSQ107" s="974"/>
      <c r="MSR107" s="974"/>
      <c r="MSS107" s="974"/>
      <c r="MST107" s="974"/>
      <c r="MSU107" s="974"/>
      <c r="MSV107" s="974"/>
      <c r="MSW107" s="974"/>
      <c r="MSX107" s="974"/>
      <c r="MSY107" s="974"/>
      <c r="MSZ107" s="974"/>
      <c r="MTA107" s="974"/>
      <c r="MTB107" s="974"/>
      <c r="MTC107" s="974"/>
      <c r="MTD107" s="974"/>
      <c r="MTE107" s="974"/>
      <c r="MTF107" s="974"/>
      <c r="MTG107" s="974"/>
      <c r="MTH107" s="974"/>
      <c r="MTI107" s="974"/>
      <c r="MTJ107" s="974"/>
      <c r="MTK107" s="974"/>
      <c r="MTL107" s="974"/>
      <c r="MTM107" s="974"/>
      <c r="MTN107" s="974"/>
      <c r="MTO107" s="974"/>
      <c r="MTP107" s="974"/>
      <c r="MTQ107" s="974"/>
      <c r="MTR107" s="974"/>
      <c r="MTS107" s="974"/>
      <c r="MTT107" s="974"/>
      <c r="MTU107" s="974"/>
      <c r="MTV107" s="974"/>
      <c r="MTW107" s="974"/>
      <c r="MTX107" s="974"/>
      <c r="MTY107" s="974"/>
      <c r="MTZ107" s="974"/>
      <c r="MUA107" s="974"/>
      <c r="MUB107" s="974"/>
      <c r="MUC107" s="974"/>
      <c r="MUD107" s="974"/>
      <c r="MUE107" s="974"/>
      <c r="MUF107" s="974"/>
      <c r="MUG107" s="974"/>
      <c r="MUH107" s="974"/>
      <c r="MUI107" s="974"/>
      <c r="MUJ107" s="974"/>
      <c r="MUK107" s="974"/>
      <c r="MUL107" s="974"/>
      <c r="MUM107" s="974"/>
      <c r="MUN107" s="974"/>
      <c r="MUO107" s="974"/>
      <c r="MUP107" s="974"/>
      <c r="MUQ107" s="974"/>
      <c r="MUR107" s="974"/>
      <c r="MUS107" s="974"/>
      <c r="MUT107" s="974"/>
      <c r="MUU107" s="974"/>
      <c r="MUV107" s="974"/>
      <c r="MUW107" s="974"/>
      <c r="MUX107" s="974"/>
      <c r="MUY107" s="974"/>
      <c r="MUZ107" s="974"/>
      <c r="MVA107" s="974"/>
      <c r="MVB107" s="974"/>
      <c r="MVC107" s="974"/>
      <c r="MVD107" s="974"/>
      <c r="MVE107" s="974"/>
      <c r="MVF107" s="974"/>
      <c r="MVG107" s="974"/>
      <c r="MVH107" s="974"/>
      <c r="MVI107" s="974"/>
      <c r="MVJ107" s="974"/>
      <c r="MVK107" s="974"/>
      <c r="MVL107" s="974"/>
      <c r="MVM107" s="974"/>
      <c r="MVN107" s="974"/>
      <c r="MVO107" s="974"/>
      <c r="MVP107" s="974"/>
      <c r="MVQ107" s="974"/>
      <c r="MVR107" s="974"/>
      <c r="MVS107" s="974"/>
      <c r="MVT107" s="974"/>
      <c r="MVU107" s="974"/>
      <c r="MVV107" s="974"/>
      <c r="MVW107" s="974"/>
      <c r="MVX107" s="974"/>
      <c r="MVY107" s="974"/>
      <c r="MVZ107" s="974"/>
      <c r="MWA107" s="974"/>
      <c r="MWB107" s="974"/>
      <c r="MWC107" s="974"/>
      <c r="MWD107" s="974"/>
      <c r="MWE107" s="974"/>
      <c r="MWF107" s="974"/>
      <c r="MWG107" s="974"/>
      <c r="MWH107" s="974"/>
      <c r="MWI107" s="974"/>
      <c r="MWJ107" s="974"/>
      <c r="MWK107" s="974"/>
      <c r="MWL107" s="974"/>
      <c r="MWM107" s="974"/>
      <c r="MWN107" s="974"/>
      <c r="MWO107" s="974"/>
      <c r="MWP107" s="974"/>
      <c r="MWQ107" s="974"/>
      <c r="MWR107" s="974"/>
      <c r="MWS107" s="974"/>
      <c r="MWT107" s="974"/>
      <c r="MWU107" s="974"/>
      <c r="MWV107" s="974"/>
      <c r="MWW107" s="974"/>
      <c r="MWX107" s="974"/>
      <c r="MWY107" s="974"/>
      <c r="MWZ107" s="974"/>
      <c r="MXA107" s="974"/>
      <c r="MXB107" s="974"/>
      <c r="MXC107" s="974"/>
      <c r="MXD107" s="974"/>
      <c r="MXE107" s="974"/>
      <c r="MXF107" s="974"/>
      <c r="MXG107" s="974"/>
      <c r="MXH107" s="974"/>
      <c r="MXI107" s="974"/>
      <c r="MXJ107" s="974"/>
      <c r="MXK107" s="974"/>
      <c r="MXL107" s="974"/>
      <c r="MXM107" s="974"/>
      <c r="MXN107" s="974"/>
      <c r="MXO107" s="974"/>
      <c r="MXP107" s="974"/>
      <c r="MXQ107" s="974"/>
      <c r="MXR107" s="974"/>
      <c r="MXS107" s="974"/>
      <c r="MXT107" s="974"/>
      <c r="MXU107" s="974"/>
      <c r="MXV107" s="974"/>
      <c r="MXW107" s="974"/>
      <c r="MXX107" s="974"/>
      <c r="MXY107" s="974"/>
      <c r="MXZ107" s="974"/>
      <c r="MYA107" s="974"/>
      <c r="MYB107" s="974"/>
      <c r="MYC107" s="974"/>
      <c r="MYD107" s="974"/>
      <c r="MYE107" s="974"/>
      <c r="MYF107" s="974"/>
      <c r="MYG107" s="974"/>
      <c r="MYH107" s="974"/>
      <c r="MYI107" s="974"/>
      <c r="MYJ107" s="974"/>
      <c r="MYK107" s="974"/>
      <c r="MYL107" s="974"/>
      <c r="MYM107" s="974"/>
      <c r="MYN107" s="974"/>
      <c r="MYO107" s="974"/>
      <c r="MYP107" s="974"/>
      <c r="MYQ107" s="974"/>
      <c r="MYR107" s="974"/>
      <c r="MYS107" s="974"/>
      <c r="MYT107" s="974"/>
      <c r="MYU107" s="974"/>
      <c r="MYV107" s="974"/>
      <c r="MYW107" s="974"/>
      <c r="MYX107" s="974"/>
      <c r="MYY107" s="974"/>
      <c r="MYZ107" s="974"/>
      <c r="MZA107" s="974"/>
      <c r="MZB107" s="974"/>
      <c r="MZC107" s="974"/>
      <c r="MZD107" s="974"/>
      <c r="MZE107" s="974"/>
      <c r="MZF107" s="974"/>
      <c r="MZG107" s="974"/>
      <c r="MZH107" s="974"/>
      <c r="MZI107" s="974"/>
      <c r="MZJ107" s="974"/>
      <c r="MZK107" s="974"/>
      <c r="MZL107" s="974"/>
      <c r="MZM107" s="974"/>
      <c r="MZN107" s="974"/>
      <c r="MZO107" s="974"/>
      <c r="MZP107" s="974"/>
      <c r="MZQ107" s="974"/>
      <c r="MZR107" s="974"/>
      <c r="MZS107" s="974"/>
      <c r="MZT107" s="974"/>
      <c r="MZU107" s="974"/>
      <c r="MZV107" s="974"/>
      <c r="MZW107" s="974"/>
      <c r="MZX107" s="974"/>
      <c r="MZY107" s="974"/>
      <c r="MZZ107" s="974"/>
      <c r="NAA107" s="974"/>
      <c r="NAB107" s="974"/>
      <c r="NAC107" s="974"/>
      <c r="NAD107" s="974"/>
      <c r="NAE107" s="974"/>
      <c r="NAF107" s="974"/>
      <c r="NAG107" s="974"/>
      <c r="NAH107" s="974"/>
      <c r="NAI107" s="974"/>
      <c r="NAJ107" s="974"/>
      <c r="NAK107" s="974"/>
      <c r="NAL107" s="974"/>
      <c r="NAM107" s="974"/>
      <c r="NAN107" s="974"/>
      <c r="NAO107" s="974"/>
      <c r="NAP107" s="974"/>
      <c r="NAQ107" s="974"/>
      <c r="NAR107" s="974"/>
      <c r="NAS107" s="974"/>
      <c r="NAT107" s="974"/>
      <c r="NAU107" s="974"/>
      <c r="NAV107" s="974"/>
      <c r="NAW107" s="974"/>
      <c r="NAX107" s="974"/>
      <c r="NAY107" s="974"/>
      <c r="NAZ107" s="974"/>
      <c r="NBA107" s="974"/>
      <c r="NBB107" s="974"/>
      <c r="NBC107" s="974"/>
      <c r="NBD107" s="974"/>
      <c r="NBE107" s="974"/>
      <c r="NBF107" s="974"/>
      <c r="NBG107" s="974"/>
      <c r="NBH107" s="974"/>
      <c r="NBI107" s="974"/>
      <c r="NBJ107" s="974"/>
      <c r="NBK107" s="974"/>
      <c r="NBL107" s="974"/>
      <c r="NBM107" s="974"/>
      <c r="NBN107" s="974"/>
      <c r="NBO107" s="974"/>
      <c r="NBP107" s="974"/>
      <c r="NBQ107" s="974"/>
      <c r="NBR107" s="974"/>
      <c r="NBS107" s="974"/>
      <c r="NBT107" s="974"/>
      <c r="NBU107" s="974"/>
      <c r="NBV107" s="974"/>
      <c r="NBW107" s="974"/>
      <c r="NBX107" s="974"/>
      <c r="NBY107" s="974"/>
      <c r="NBZ107" s="974"/>
      <c r="NCA107" s="974"/>
      <c r="NCB107" s="974"/>
      <c r="NCC107" s="974"/>
      <c r="NCD107" s="974"/>
      <c r="NCE107" s="974"/>
      <c r="NCF107" s="974"/>
      <c r="NCG107" s="974"/>
      <c r="NCH107" s="974"/>
      <c r="NCI107" s="974"/>
      <c r="NCJ107" s="974"/>
      <c r="NCK107" s="974"/>
      <c r="NCL107" s="974"/>
      <c r="NCM107" s="974"/>
      <c r="NCN107" s="974"/>
      <c r="NCO107" s="974"/>
      <c r="NCP107" s="974"/>
      <c r="NCQ107" s="974"/>
      <c r="NCR107" s="974"/>
      <c r="NCS107" s="974"/>
      <c r="NCT107" s="974"/>
      <c r="NCU107" s="974"/>
      <c r="NCV107" s="974"/>
      <c r="NCW107" s="974"/>
      <c r="NCX107" s="974"/>
      <c r="NCY107" s="974"/>
      <c r="NCZ107" s="974"/>
      <c r="NDA107" s="974"/>
      <c r="NDB107" s="974"/>
      <c r="NDC107" s="974"/>
      <c r="NDD107" s="974"/>
      <c r="NDE107" s="974"/>
      <c r="NDF107" s="974"/>
      <c r="NDG107" s="974"/>
      <c r="NDH107" s="974"/>
      <c r="NDI107" s="974"/>
      <c r="NDJ107" s="974"/>
      <c r="NDK107" s="974"/>
      <c r="NDL107" s="974"/>
      <c r="NDM107" s="974"/>
      <c r="NDN107" s="974"/>
      <c r="NDO107" s="974"/>
      <c r="NDP107" s="974"/>
      <c r="NDQ107" s="974"/>
      <c r="NDR107" s="974"/>
      <c r="NDS107" s="974"/>
      <c r="NDT107" s="974"/>
      <c r="NDU107" s="974"/>
      <c r="NDV107" s="974"/>
      <c r="NDW107" s="974"/>
      <c r="NDX107" s="974"/>
      <c r="NDY107" s="974"/>
      <c r="NDZ107" s="974"/>
      <c r="NEA107" s="974"/>
      <c r="NEB107" s="974"/>
      <c r="NEC107" s="974"/>
      <c r="NED107" s="974"/>
      <c r="NEE107" s="974"/>
      <c r="NEF107" s="974"/>
      <c r="NEG107" s="974"/>
      <c r="NEH107" s="974"/>
      <c r="NEI107" s="974"/>
      <c r="NEJ107" s="974"/>
      <c r="NEK107" s="974"/>
      <c r="NEL107" s="974"/>
      <c r="NEM107" s="974"/>
      <c r="NEN107" s="974"/>
      <c r="NEO107" s="974"/>
      <c r="NEP107" s="974"/>
      <c r="NEQ107" s="974"/>
      <c r="NER107" s="974"/>
      <c r="NES107" s="974"/>
      <c r="NET107" s="974"/>
      <c r="NEU107" s="974"/>
      <c r="NEV107" s="974"/>
      <c r="NEW107" s="974"/>
      <c r="NEX107" s="974"/>
      <c r="NEY107" s="974"/>
      <c r="NEZ107" s="974"/>
      <c r="NFA107" s="974"/>
      <c r="NFB107" s="974"/>
      <c r="NFC107" s="974"/>
      <c r="NFD107" s="974"/>
      <c r="NFE107" s="974"/>
      <c r="NFF107" s="974"/>
      <c r="NFG107" s="974"/>
      <c r="NFH107" s="974"/>
      <c r="NFI107" s="974"/>
      <c r="NFJ107" s="974"/>
      <c r="NFK107" s="974"/>
      <c r="NFL107" s="974"/>
      <c r="NFM107" s="974"/>
      <c r="NFN107" s="974"/>
      <c r="NFO107" s="974"/>
      <c r="NFP107" s="974"/>
      <c r="NFQ107" s="974"/>
      <c r="NFR107" s="974"/>
      <c r="NFS107" s="974"/>
      <c r="NFT107" s="974"/>
      <c r="NFU107" s="974"/>
      <c r="NFV107" s="974"/>
      <c r="NFW107" s="974"/>
      <c r="NFX107" s="974"/>
      <c r="NFY107" s="974"/>
      <c r="NFZ107" s="974"/>
      <c r="NGA107" s="974"/>
      <c r="NGB107" s="974"/>
      <c r="NGC107" s="974"/>
      <c r="NGD107" s="974"/>
      <c r="NGE107" s="974"/>
      <c r="NGF107" s="974"/>
      <c r="NGG107" s="974"/>
      <c r="NGH107" s="974"/>
      <c r="NGI107" s="974"/>
      <c r="NGJ107" s="974"/>
      <c r="NGK107" s="974"/>
      <c r="NGL107" s="974"/>
      <c r="NGM107" s="974"/>
      <c r="NGN107" s="974"/>
      <c r="NGO107" s="974"/>
      <c r="NGP107" s="974"/>
      <c r="NGQ107" s="974"/>
      <c r="NGR107" s="974"/>
      <c r="NGS107" s="974"/>
      <c r="NGT107" s="974"/>
      <c r="NGU107" s="974"/>
      <c r="NGV107" s="974"/>
      <c r="NGW107" s="974"/>
      <c r="NGX107" s="974"/>
      <c r="NGY107" s="974"/>
      <c r="NGZ107" s="974"/>
      <c r="NHA107" s="974"/>
      <c r="NHB107" s="974"/>
      <c r="NHC107" s="974"/>
      <c r="NHD107" s="974"/>
      <c r="NHE107" s="974"/>
      <c r="NHF107" s="974"/>
      <c r="NHG107" s="974"/>
      <c r="NHH107" s="974"/>
      <c r="NHI107" s="974"/>
      <c r="NHJ107" s="974"/>
      <c r="NHK107" s="974"/>
      <c r="NHL107" s="974"/>
      <c r="NHM107" s="974"/>
      <c r="NHN107" s="974"/>
      <c r="NHO107" s="974"/>
      <c r="NHP107" s="974"/>
      <c r="NHQ107" s="974"/>
      <c r="NHR107" s="974"/>
      <c r="NHS107" s="974"/>
      <c r="NHT107" s="974"/>
      <c r="NHU107" s="974"/>
      <c r="NHV107" s="974"/>
      <c r="NHW107" s="974"/>
      <c r="NHX107" s="974"/>
      <c r="NHY107" s="974"/>
      <c r="NHZ107" s="974"/>
      <c r="NIA107" s="974"/>
      <c r="NIB107" s="974"/>
      <c r="NIC107" s="974"/>
      <c r="NID107" s="974"/>
      <c r="NIE107" s="974"/>
      <c r="NIF107" s="974"/>
      <c r="NIG107" s="974"/>
      <c r="NIH107" s="974"/>
      <c r="NII107" s="974"/>
      <c r="NIJ107" s="974"/>
      <c r="NIK107" s="974"/>
      <c r="NIL107" s="974"/>
      <c r="NIM107" s="974"/>
      <c r="NIN107" s="974"/>
      <c r="NIO107" s="974"/>
      <c r="NIP107" s="974"/>
      <c r="NIQ107" s="974"/>
      <c r="NIR107" s="974"/>
      <c r="NIS107" s="974"/>
      <c r="NIT107" s="974"/>
      <c r="NIU107" s="974"/>
      <c r="NIV107" s="974"/>
      <c r="NIW107" s="974"/>
      <c r="NIX107" s="974"/>
      <c r="NIY107" s="974"/>
      <c r="NIZ107" s="974"/>
      <c r="NJA107" s="974"/>
      <c r="NJB107" s="974"/>
      <c r="NJC107" s="974"/>
      <c r="NJD107" s="974"/>
      <c r="NJE107" s="974"/>
      <c r="NJF107" s="974"/>
      <c r="NJG107" s="974"/>
      <c r="NJH107" s="974"/>
      <c r="NJI107" s="974"/>
      <c r="NJJ107" s="974"/>
      <c r="NJK107" s="974"/>
      <c r="NJL107" s="974"/>
      <c r="NJM107" s="974"/>
      <c r="NJN107" s="974"/>
      <c r="NJO107" s="974"/>
      <c r="NJP107" s="974"/>
      <c r="NJQ107" s="974"/>
      <c r="NJR107" s="974"/>
      <c r="NJS107" s="974"/>
      <c r="NJT107" s="974"/>
      <c r="NJU107" s="974"/>
      <c r="NJV107" s="974"/>
      <c r="NJW107" s="974"/>
      <c r="NJX107" s="974"/>
      <c r="NJY107" s="974"/>
      <c r="NJZ107" s="974"/>
      <c r="NKA107" s="974"/>
      <c r="NKB107" s="974"/>
      <c r="NKC107" s="974"/>
      <c r="NKD107" s="974"/>
      <c r="NKE107" s="974"/>
      <c r="NKF107" s="974"/>
      <c r="NKG107" s="974"/>
      <c r="NKH107" s="974"/>
      <c r="NKI107" s="974"/>
      <c r="NKJ107" s="974"/>
      <c r="NKK107" s="974"/>
      <c r="NKL107" s="974"/>
      <c r="NKM107" s="974"/>
      <c r="NKN107" s="974"/>
      <c r="NKO107" s="974"/>
      <c r="NKP107" s="974"/>
      <c r="NKQ107" s="974"/>
      <c r="NKR107" s="974"/>
      <c r="NKS107" s="974"/>
      <c r="NKT107" s="974"/>
      <c r="NKU107" s="974"/>
      <c r="NKV107" s="974"/>
      <c r="NKW107" s="974"/>
      <c r="NKX107" s="974"/>
      <c r="NKY107" s="974"/>
      <c r="NKZ107" s="974"/>
      <c r="NLA107" s="974"/>
      <c r="NLB107" s="974"/>
      <c r="NLC107" s="974"/>
      <c r="NLD107" s="974"/>
      <c r="NLE107" s="974"/>
      <c r="NLF107" s="974"/>
      <c r="NLG107" s="974"/>
      <c r="NLH107" s="974"/>
      <c r="NLI107" s="974"/>
      <c r="NLJ107" s="974"/>
      <c r="NLK107" s="974"/>
      <c r="NLL107" s="974"/>
      <c r="NLM107" s="974"/>
      <c r="NLN107" s="974"/>
      <c r="NLO107" s="974"/>
      <c r="NLP107" s="974"/>
      <c r="NLQ107" s="974"/>
      <c r="NLR107" s="974"/>
      <c r="NLS107" s="974"/>
      <c r="NLT107" s="974"/>
      <c r="NLU107" s="974"/>
      <c r="NLV107" s="974"/>
      <c r="NLW107" s="974"/>
      <c r="NLX107" s="974"/>
      <c r="NLY107" s="974"/>
      <c r="NLZ107" s="974"/>
      <c r="NMA107" s="974"/>
      <c r="NMB107" s="974"/>
      <c r="NMC107" s="974"/>
      <c r="NMD107" s="974"/>
      <c r="NME107" s="974"/>
      <c r="NMF107" s="974"/>
      <c r="NMG107" s="974"/>
      <c r="NMH107" s="974"/>
      <c r="NMI107" s="974"/>
      <c r="NMJ107" s="974"/>
      <c r="NMK107" s="974"/>
      <c r="NML107" s="974"/>
      <c r="NMM107" s="974"/>
      <c r="NMN107" s="974"/>
      <c r="NMO107" s="974"/>
      <c r="NMP107" s="974"/>
      <c r="NMQ107" s="974"/>
      <c r="NMR107" s="974"/>
      <c r="NMS107" s="974"/>
      <c r="NMT107" s="974"/>
      <c r="NMU107" s="974"/>
      <c r="NMV107" s="974"/>
      <c r="NMW107" s="974"/>
      <c r="NMX107" s="974"/>
      <c r="NMY107" s="974"/>
      <c r="NMZ107" s="974"/>
      <c r="NNA107" s="974"/>
      <c r="NNB107" s="974"/>
      <c r="NNC107" s="974"/>
      <c r="NND107" s="974"/>
      <c r="NNE107" s="974"/>
      <c r="NNF107" s="974"/>
      <c r="NNG107" s="974"/>
      <c r="NNH107" s="974"/>
      <c r="NNI107" s="974"/>
      <c r="NNJ107" s="974"/>
      <c r="NNK107" s="974"/>
      <c r="NNL107" s="974"/>
      <c r="NNM107" s="974"/>
      <c r="NNN107" s="974"/>
      <c r="NNO107" s="974"/>
      <c r="NNP107" s="974"/>
      <c r="NNQ107" s="974"/>
      <c r="NNR107" s="974"/>
      <c r="NNS107" s="974"/>
      <c r="NNT107" s="974"/>
      <c r="NNU107" s="974"/>
      <c r="NNV107" s="974"/>
      <c r="NNW107" s="974"/>
      <c r="NNX107" s="974"/>
      <c r="NNY107" s="974"/>
      <c r="NNZ107" s="974"/>
      <c r="NOA107" s="974"/>
      <c r="NOB107" s="974"/>
      <c r="NOC107" s="974"/>
      <c r="NOD107" s="974"/>
      <c r="NOE107" s="974"/>
      <c r="NOF107" s="974"/>
      <c r="NOG107" s="974"/>
      <c r="NOH107" s="974"/>
      <c r="NOI107" s="974"/>
      <c r="NOJ107" s="974"/>
      <c r="NOK107" s="974"/>
      <c r="NOL107" s="974"/>
      <c r="NOM107" s="974"/>
      <c r="NON107" s="974"/>
      <c r="NOO107" s="974"/>
      <c r="NOP107" s="974"/>
      <c r="NOQ107" s="974"/>
      <c r="NOR107" s="974"/>
      <c r="NOS107" s="974"/>
      <c r="NOT107" s="974"/>
      <c r="NOU107" s="974"/>
      <c r="NOV107" s="974"/>
      <c r="NOW107" s="974"/>
      <c r="NOX107" s="974"/>
      <c r="NOY107" s="974"/>
      <c r="NOZ107" s="974"/>
      <c r="NPA107" s="974"/>
      <c r="NPB107" s="974"/>
      <c r="NPC107" s="974"/>
      <c r="NPD107" s="974"/>
      <c r="NPE107" s="974"/>
      <c r="NPF107" s="974"/>
      <c r="NPG107" s="974"/>
      <c r="NPH107" s="974"/>
      <c r="NPI107" s="974"/>
      <c r="NPJ107" s="974"/>
      <c r="NPK107" s="974"/>
      <c r="NPL107" s="974"/>
      <c r="NPM107" s="974"/>
      <c r="NPN107" s="974"/>
      <c r="NPO107" s="974"/>
      <c r="NPP107" s="974"/>
      <c r="NPQ107" s="974"/>
      <c r="NPR107" s="974"/>
      <c r="NPS107" s="974"/>
      <c r="NPT107" s="974"/>
      <c r="NPU107" s="974"/>
      <c r="NPV107" s="974"/>
      <c r="NPW107" s="974"/>
      <c r="NPX107" s="974"/>
      <c r="NPY107" s="974"/>
      <c r="NPZ107" s="974"/>
      <c r="NQA107" s="974"/>
      <c r="NQB107" s="974"/>
      <c r="NQC107" s="974"/>
      <c r="NQD107" s="974"/>
      <c r="NQE107" s="974"/>
      <c r="NQF107" s="974"/>
      <c r="NQG107" s="974"/>
      <c r="NQH107" s="974"/>
      <c r="NQI107" s="974"/>
      <c r="NQJ107" s="974"/>
      <c r="NQK107" s="974"/>
      <c r="NQL107" s="974"/>
      <c r="NQM107" s="974"/>
      <c r="NQN107" s="974"/>
      <c r="NQO107" s="974"/>
      <c r="NQP107" s="974"/>
      <c r="NQQ107" s="974"/>
      <c r="NQR107" s="974"/>
      <c r="NQS107" s="974"/>
      <c r="NQT107" s="974"/>
      <c r="NQU107" s="974"/>
      <c r="NQV107" s="974"/>
      <c r="NQW107" s="974"/>
      <c r="NQX107" s="974"/>
      <c r="NQY107" s="974"/>
      <c r="NQZ107" s="974"/>
      <c r="NRA107" s="974"/>
      <c r="NRB107" s="974"/>
      <c r="NRC107" s="974"/>
      <c r="NRD107" s="974"/>
      <c r="NRE107" s="974"/>
      <c r="NRF107" s="974"/>
      <c r="NRG107" s="974"/>
      <c r="NRH107" s="974"/>
      <c r="NRI107" s="974"/>
      <c r="NRJ107" s="974"/>
      <c r="NRK107" s="974"/>
      <c r="NRL107" s="974"/>
      <c r="NRM107" s="974"/>
      <c r="NRN107" s="974"/>
      <c r="NRO107" s="974"/>
      <c r="NRP107" s="974"/>
      <c r="NRQ107" s="974"/>
      <c r="NRR107" s="974"/>
      <c r="NRS107" s="974"/>
      <c r="NRT107" s="974"/>
      <c r="NRU107" s="974"/>
      <c r="NRV107" s="974"/>
      <c r="NRW107" s="974"/>
      <c r="NRX107" s="974"/>
      <c r="NRY107" s="974"/>
      <c r="NRZ107" s="974"/>
      <c r="NSA107" s="974"/>
      <c r="NSB107" s="974"/>
      <c r="NSC107" s="974"/>
      <c r="NSD107" s="974"/>
      <c r="NSE107" s="974"/>
      <c r="NSF107" s="974"/>
      <c r="NSG107" s="974"/>
      <c r="NSH107" s="974"/>
      <c r="NSI107" s="974"/>
      <c r="NSJ107" s="974"/>
      <c r="NSK107" s="974"/>
      <c r="NSL107" s="974"/>
      <c r="NSM107" s="974"/>
      <c r="NSN107" s="974"/>
      <c r="NSO107" s="974"/>
      <c r="NSP107" s="974"/>
      <c r="NSQ107" s="974"/>
      <c r="NSR107" s="974"/>
      <c r="NSS107" s="974"/>
      <c r="NST107" s="974"/>
      <c r="NSU107" s="974"/>
      <c r="NSV107" s="974"/>
      <c r="NSW107" s="974"/>
      <c r="NSX107" s="974"/>
      <c r="NSY107" s="974"/>
      <c r="NSZ107" s="974"/>
      <c r="NTA107" s="974"/>
      <c r="NTB107" s="974"/>
      <c r="NTC107" s="974"/>
      <c r="NTD107" s="974"/>
      <c r="NTE107" s="974"/>
      <c r="NTF107" s="974"/>
      <c r="NTG107" s="974"/>
      <c r="NTH107" s="974"/>
      <c r="NTI107" s="974"/>
      <c r="NTJ107" s="974"/>
      <c r="NTK107" s="974"/>
      <c r="NTL107" s="974"/>
      <c r="NTM107" s="974"/>
      <c r="NTN107" s="974"/>
      <c r="NTO107" s="974"/>
      <c r="NTP107" s="974"/>
      <c r="NTQ107" s="974"/>
      <c r="NTR107" s="974"/>
      <c r="NTS107" s="974"/>
      <c r="NTT107" s="974"/>
      <c r="NTU107" s="974"/>
      <c r="NTV107" s="974"/>
      <c r="NTW107" s="974"/>
      <c r="NTX107" s="974"/>
      <c r="NTY107" s="974"/>
      <c r="NTZ107" s="974"/>
      <c r="NUA107" s="974"/>
      <c r="NUB107" s="974"/>
      <c r="NUC107" s="974"/>
      <c r="NUD107" s="974"/>
      <c r="NUE107" s="974"/>
      <c r="NUF107" s="974"/>
      <c r="NUG107" s="974"/>
      <c r="NUH107" s="974"/>
      <c r="NUI107" s="974"/>
      <c r="NUJ107" s="974"/>
      <c r="NUK107" s="974"/>
      <c r="NUL107" s="974"/>
      <c r="NUM107" s="974"/>
      <c r="NUN107" s="974"/>
      <c r="NUO107" s="974"/>
      <c r="NUP107" s="974"/>
      <c r="NUQ107" s="974"/>
      <c r="NUR107" s="974"/>
      <c r="NUS107" s="974"/>
      <c r="NUT107" s="974"/>
      <c r="NUU107" s="974"/>
      <c r="NUV107" s="974"/>
      <c r="NUW107" s="974"/>
      <c r="NUX107" s="974"/>
      <c r="NUY107" s="974"/>
      <c r="NUZ107" s="974"/>
      <c r="NVA107" s="974"/>
      <c r="NVB107" s="974"/>
      <c r="NVC107" s="974"/>
      <c r="NVD107" s="974"/>
      <c r="NVE107" s="974"/>
      <c r="NVF107" s="974"/>
      <c r="NVG107" s="974"/>
      <c r="NVH107" s="974"/>
      <c r="NVI107" s="974"/>
      <c r="NVJ107" s="974"/>
      <c r="NVK107" s="974"/>
      <c r="NVL107" s="974"/>
      <c r="NVM107" s="974"/>
      <c r="NVN107" s="974"/>
      <c r="NVO107" s="974"/>
      <c r="NVP107" s="974"/>
      <c r="NVQ107" s="974"/>
      <c r="NVR107" s="974"/>
      <c r="NVS107" s="974"/>
      <c r="NVT107" s="974"/>
      <c r="NVU107" s="974"/>
      <c r="NVV107" s="974"/>
      <c r="NVW107" s="974"/>
      <c r="NVX107" s="974"/>
      <c r="NVY107" s="974"/>
      <c r="NVZ107" s="974"/>
      <c r="NWA107" s="974"/>
      <c r="NWB107" s="974"/>
      <c r="NWC107" s="974"/>
      <c r="NWD107" s="974"/>
      <c r="NWE107" s="974"/>
      <c r="NWF107" s="974"/>
      <c r="NWG107" s="974"/>
      <c r="NWH107" s="974"/>
      <c r="NWI107" s="974"/>
      <c r="NWJ107" s="974"/>
      <c r="NWK107" s="974"/>
      <c r="NWL107" s="974"/>
      <c r="NWM107" s="974"/>
      <c r="NWN107" s="974"/>
      <c r="NWO107" s="974"/>
      <c r="NWP107" s="974"/>
      <c r="NWQ107" s="974"/>
      <c r="NWR107" s="974"/>
      <c r="NWS107" s="974"/>
      <c r="NWT107" s="974"/>
      <c r="NWU107" s="974"/>
      <c r="NWV107" s="974"/>
      <c r="NWW107" s="974"/>
      <c r="NWX107" s="974"/>
      <c r="NWY107" s="974"/>
      <c r="NWZ107" s="974"/>
      <c r="NXA107" s="974"/>
      <c r="NXB107" s="974"/>
      <c r="NXC107" s="974"/>
      <c r="NXD107" s="974"/>
      <c r="NXE107" s="974"/>
      <c r="NXF107" s="974"/>
      <c r="NXG107" s="974"/>
      <c r="NXH107" s="974"/>
      <c r="NXI107" s="974"/>
      <c r="NXJ107" s="974"/>
      <c r="NXK107" s="974"/>
      <c r="NXL107" s="974"/>
      <c r="NXM107" s="974"/>
      <c r="NXN107" s="974"/>
      <c r="NXO107" s="974"/>
      <c r="NXP107" s="974"/>
      <c r="NXQ107" s="974"/>
      <c r="NXR107" s="974"/>
      <c r="NXS107" s="974"/>
      <c r="NXT107" s="974"/>
      <c r="NXU107" s="974"/>
      <c r="NXV107" s="974"/>
      <c r="NXW107" s="974"/>
      <c r="NXX107" s="974"/>
      <c r="NXY107" s="974"/>
      <c r="NXZ107" s="974"/>
      <c r="NYA107" s="974"/>
      <c r="NYB107" s="974"/>
      <c r="NYC107" s="974"/>
      <c r="NYD107" s="974"/>
      <c r="NYE107" s="974"/>
      <c r="NYF107" s="974"/>
      <c r="NYG107" s="974"/>
      <c r="NYH107" s="974"/>
      <c r="NYI107" s="974"/>
      <c r="NYJ107" s="974"/>
      <c r="NYK107" s="974"/>
      <c r="NYL107" s="974"/>
      <c r="NYM107" s="974"/>
      <c r="NYN107" s="974"/>
      <c r="NYO107" s="974"/>
      <c r="NYP107" s="974"/>
      <c r="NYQ107" s="974"/>
      <c r="NYR107" s="974"/>
      <c r="NYS107" s="974"/>
      <c r="NYT107" s="974"/>
      <c r="NYU107" s="974"/>
      <c r="NYV107" s="974"/>
      <c r="NYW107" s="974"/>
      <c r="NYX107" s="974"/>
      <c r="NYY107" s="974"/>
      <c r="NYZ107" s="974"/>
      <c r="NZA107" s="974"/>
      <c r="NZB107" s="974"/>
      <c r="NZC107" s="974"/>
      <c r="NZD107" s="974"/>
      <c r="NZE107" s="974"/>
      <c r="NZF107" s="974"/>
      <c r="NZG107" s="974"/>
      <c r="NZH107" s="974"/>
      <c r="NZI107" s="974"/>
      <c r="NZJ107" s="974"/>
      <c r="NZK107" s="974"/>
      <c r="NZL107" s="974"/>
      <c r="NZM107" s="974"/>
      <c r="NZN107" s="974"/>
      <c r="NZO107" s="974"/>
      <c r="NZP107" s="974"/>
      <c r="NZQ107" s="974"/>
      <c r="NZR107" s="974"/>
      <c r="NZS107" s="974"/>
      <c r="NZT107" s="974"/>
      <c r="NZU107" s="974"/>
      <c r="NZV107" s="974"/>
      <c r="NZW107" s="974"/>
      <c r="NZX107" s="974"/>
      <c r="NZY107" s="974"/>
      <c r="NZZ107" s="974"/>
      <c r="OAA107" s="974"/>
      <c r="OAB107" s="974"/>
      <c r="OAC107" s="974"/>
      <c r="OAD107" s="974"/>
      <c r="OAE107" s="974"/>
      <c r="OAF107" s="974"/>
      <c r="OAG107" s="974"/>
      <c r="OAH107" s="974"/>
      <c r="OAI107" s="974"/>
      <c r="OAJ107" s="974"/>
      <c r="OAK107" s="974"/>
      <c r="OAL107" s="974"/>
      <c r="OAM107" s="974"/>
      <c r="OAN107" s="974"/>
      <c r="OAO107" s="974"/>
      <c r="OAP107" s="974"/>
      <c r="OAQ107" s="974"/>
      <c r="OAR107" s="974"/>
      <c r="OAS107" s="974"/>
      <c r="OAT107" s="974"/>
      <c r="OAU107" s="974"/>
      <c r="OAV107" s="974"/>
      <c r="OAW107" s="974"/>
      <c r="OAX107" s="974"/>
      <c r="OAY107" s="974"/>
      <c r="OAZ107" s="974"/>
      <c r="OBA107" s="974"/>
      <c r="OBB107" s="974"/>
      <c r="OBC107" s="974"/>
      <c r="OBD107" s="974"/>
      <c r="OBE107" s="974"/>
      <c r="OBF107" s="974"/>
      <c r="OBG107" s="974"/>
      <c r="OBH107" s="974"/>
      <c r="OBI107" s="974"/>
      <c r="OBJ107" s="974"/>
      <c r="OBK107" s="974"/>
      <c r="OBL107" s="974"/>
      <c r="OBM107" s="974"/>
      <c r="OBN107" s="974"/>
      <c r="OBO107" s="974"/>
      <c r="OBP107" s="974"/>
      <c r="OBQ107" s="974"/>
      <c r="OBR107" s="974"/>
      <c r="OBS107" s="974"/>
      <c r="OBT107" s="974"/>
      <c r="OBU107" s="974"/>
      <c r="OBV107" s="974"/>
      <c r="OBW107" s="974"/>
      <c r="OBX107" s="974"/>
      <c r="OBY107" s="974"/>
      <c r="OBZ107" s="974"/>
      <c r="OCA107" s="974"/>
      <c r="OCB107" s="974"/>
      <c r="OCC107" s="974"/>
      <c r="OCD107" s="974"/>
      <c r="OCE107" s="974"/>
      <c r="OCF107" s="974"/>
      <c r="OCG107" s="974"/>
      <c r="OCH107" s="974"/>
      <c r="OCI107" s="974"/>
      <c r="OCJ107" s="974"/>
      <c r="OCK107" s="974"/>
      <c r="OCL107" s="974"/>
      <c r="OCM107" s="974"/>
      <c r="OCN107" s="974"/>
      <c r="OCO107" s="974"/>
      <c r="OCP107" s="974"/>
      <c r="OCQ107" s="974"/>
      <c r="OCR107" s="974"/>
      <c r="OCS107" s="974"/>
      <c r="OCT107" s="974"/>
      <c r="OCU107" s="974"/>
      <c r="OCV107" s="974"/>
      <c r="OCW107" s="974"/>
      <c r="OCX107" s="974"/>
      <c r="OCY107" s="974"/>
      <c r="OCZ107" s="974"/>
      <c r="ODA107" s="974"/>
      <c r="ODB107" s="974"/>
      <c r="ODC107" s="974"/>
      <c r="ODD107" s="974"/>
      <c r="ODE107" s="974"/>
      <c r="ODF107" s="974"/>
      <c r="ODG107" s="974"/>
      <c r="ODH107" s="974"/>
      <c r="ODI107" s="974"/>
      <c r="ODJ107" s="974"/>
      <c r="ODK107" s="974"/>
      <c r="ODL107" s="974"/>
      <c r="ODM107" s="974"/>
      <c r="ODN107" s="974"/>
      <c r="ODO107" s="974"/>
      <c r="ODP107" s="974"/>
      <c r="ODQ107" s="974"/>
      <c r="ODR107" s="974"/>
      <c r="ODS107" s="974"/>
      <c r="ODT107" s="974"/>
      <c r="ODU107" s="974"/>
      <c r="ODV107" s="974"/>
      <c r="ODW107" s="974"/>
      <c r="ODX107" s="974"/>
      <c r="ODY107" s="974"/>
      <c r="ODZ107" s="974"/>
      <c r="OEA107" s="974"/>
      <c r="OEB107" s="974"/>
      <c r="OEC107" s="974"/>
      <c r="OED107" s="974"/>
      <c r="OEE107" s="974"/>
      <c r="OEF107" s="974"/>
      <c r="OEG107" s="974"/>
      <c r="OEH107" s="974"/>
      <c r="OEI107" s="974"/>
      <c r="OEJ107" s="974"/>
      <c r="OEK107" s="974"/>
      <c r="OEL107" s="974"/>
      <c r="OEM107" s="974"/>
      <c r="OEN107" s="974"/>
      <c r="OEO107" s="974"/>
      <c r="OEP107" s="974"/>
      <c r="OEQ107" s="974"/>
      <c r="OER107" s="974"/>
      <c r="OES107" s="974"/>
      <c r="OET107" s="974"/>
      <c r="OEU107" s="974"/>
      <c r="OEV107" s="974"/>
      <c r="OEW107" s="974"/>
      <c r="OEX107" s="974"/>
      <c r="OEY107" s="974"/>
      <c r="OEZ107" s="974"/>
      <c r="OFA107" s="974"/>
      <c r="OFB107" s="974"/>
      <c r="OFC107" s="974"/>
      <c r="OFD107" s="974"/>
      <c r="OFE107" s="974"/>
      <c r="OFF107" s="974"/>
      <c r="OFG107" s="974"/>
      <c r="OFH107" s="974"/>
      <c r="OFI107" s="974"/>
      <c r="OFJ107" s="974"/>
      <c r="OFK107" s="974"/>
      <c r="OFL107" s="974"/>
      <c r="OFM107" s="974"/>
      <c r="OFN107" s="974"/>
      <c r="OFO107" s="974"/>
      <c r="OFP107" s="974"/>
      <c r="OFQ107" s="974"/>
      <c r="OFR107" s="974"/>
      <c r="OFS107" s="974"/>
      <c r="OFT107" s="974"/>
      <c r="OFU107" s="974"/>
      <c r="OFV107" s="974"/>
      <c r="OFW107" s="974"/>
      <c r="OFX107" s="974"/>
      <c r="OFY107" s="974"/>
      <c r="OFZ107" s="974"/>
      <c r="OGA107" s="974"/>
      <c r="OGB107" s="974"/>
      <c r="OGC107" s="974"/>
      <c r="OGD107" s="974"/>
      <c r="OGE107" s="974"/>
      <c r="OGF107" s="974"/>
      <c r="OGG107" s="974"/>
      <c r="OGH107" s="974"/>
      <c r="OGI107" s="974"/>
      <c r="OGJ107" s="974"/>
      <c r="OGK107" s="974"/>
      <c r="OGL107" s="974"/>
      <c r="OGM107" s="974"/>
      <c r="OGN107" s="974"/>
      <c r="OGO107" s="974"/>
      <c r="OGP107" s="974"/>
      <c r="OGQ107" s="974"/>
      <c r="OGR107" s="974"/>
      <c r="OGS107" s="974"/>
      <c r="OGT107" s="974"/>
      <c r="OGU107" s="974"/>
      <c r="OGV107" s="974"/>
      <c r="OGW107" s="974"/>
      <c r="OGX107" s="974"/>
      <c r="OGY107" s="974"/>
      <c r="OGZ107" s="974"/>
      <c r="OHA107" s="974"/>
      <c r="OHB107" s="974"/>
      <c r="OHC107" s="974"/>
      <c r="OHD107" s="974"/>
      <c r="OHE107" s="974"/>
      <c r="OHF107" s="974"/>
      <c r="OHG107" s="974"/>
      <c r="OHH107" s="974"/>
      <c r="OHI107" s="974"/>
      <c r="OHJ107" s="974"/>
      <c r="OHK107" s="974"/>
      <c r="OHL107" s="974"/>
      <c r="OHM107" s="974"/>
      <c r="OHN107" s="974"/>
      <c r="OHO107" s="974"/>
      <c r="OHP107" s="974"/>
      <c r="OHQ107" s="974"/>
      <c r="OHR107" s="974"/>
      <c r="OHS107" s="974"/>
      <c r="OHT107" s="974"/>
      <c r="OHU107" s="974"/>
      <c r="OHV107" s="974"/>
      <c r="OHW107" s="974"/>
      <c r="OHX107" s="974"/>
      <c r="OHY107" s="974"/>
      <c r="OHZ107" s="974"/>
      <c r="OIA107" s="974"/>
      <c r="OIB107" s="974"/>
      <c r="OIC107" s="974"/>
      <c r="OID107" s="974"/>
      <c r="OIE107" s="974"/>
      <c r="OIF107" s="974"/>
      <c r="OIG107" s="974"/>
      <c r="OIH107" s="974"/>
      <c r="OII107" s="974"/>
      <c r="OIJ107" s="974"/>
      <c r="OIK107" s="974"/>
      <c r="OIL107" s="974"/>
      <c r="OIM107" s="974"/>
      <c r="OIN107" s="974"/>
      <c r="OIO107" s="974"/>
      <c r="OIP107" s="974"/>
      <c r="OIQ107" s="974"/>
      <c r="OIR107" s="974"/>
      <c r="OIS107" s="974"/>
      <c r="OIT107" s="974"/>
      <c r="OIU107" s="974"/>
      <c r="OIV107" s="974"/>
      <c r="OIW107" s="974"/>
      <c r="OIX107" s="974"/>
      <c r="OIY107" s="974"/>
      <c r="OIZ107" s="974"/>
      <c r="OJA107" s="974"/>
      <c r="OJB107" s="974"/>
      <c r="OJC107" s="974"/>
      <c r="OJD107" s="974"/>
      <c r="OJE107" s="974"/>
      <c r="OJF107" s="974"/>
      <c r="OJG107" s="974"/>
      <c r="OJH107" s="974"/>
      <c r="OJI107" s="974"/>
      <c r="OJJ107" s="974"/>
      <c r="OJK107" s="974"/>
      <c r="OJL107" s="974"/>
      <c r="OJM107" s="974"/>
      <c r="OJN107" s="974"/>
      <c r="OJO107" s="974"/>
      <c r="OJP107" s="974"/>
      <c r="OJQ107" s="974"/>
      <c r="OJR107" s="974"/>
      <c r="OJS107" s="974"/>
      <c r="OJT107" s="974"/>
      <c r="OJU107" s="974"/>
      <c r="OJV107" s="974"/>
      <c r="OJW107" s="974"/>
      <c r="OJX107" s="974"/>
      <c r="OJY107" s="974"/>
      <c r="OJZ107" s="974"/>
      <c r="OKA107" s="974"/>
      <c r="OKB107" s="974"/>
      <c r="OKC107" s="974"/>
      <c r="OKD107" s="974"/>
      <c r="OKE107" s="974"/>
      <c r="OKF107" s="974"/>
      <c r="OKG107" s="974"/>
      <c r="OKH107" s="974"/>
      <c r="OKI107" s="974"/>
      <c r="OKJ107" s="974"/>
      <c r="OKK107" s="974"/>
      <c r="OKL107" s="974"/>
      <c r="OKM107" s="974"/>
      <c r="OKN107" s="974"/>
      <c r="OKO107" s="974"/>
      <c r="OKP107" s="974"/>
      <c r="OKQ107" s="974"/>
      <c r="OKR107" s="974"/>
      <c r="OKS107" s="974"/>
      <c r="OKT107" s="974"/>
      <c r="OKU107" s="974"/>
      <c r="OKV107" s="974"/>
      <c r="OKW107" s="974"/>
      <c r="OKX107" s="974"/>
      <c r="OKY107" s="974"/>
      <c r="OKZ107" s="974"/>
      <c r="OLA107" s="974"/>
      <c r="OLB107" s="974"/>
      <c r="OLC107" s="974"/>
      <c r="OLD107" s="974"/>
      <c r="OLE107" s="974"/>
      <c r="OLF107" s="974"/>
      <c r="OLG107" s="974"/>
      <c r="OLH107" s="974"/>
      <c r="OLI107" s="974"/>
      <c r="OLJ107" s="974"/>
      <c r="OLK107" s="974"/>
      <c r="OLL107" s="974"/>
      <c r="OLM107" s="974"/>
      <c r="OLN107" s="974"/>
      <c r="OLO107" s="974"/>
      <c r="OLP107" s="974"/>
      <c r="OLQ107" s="974"/>
      <c r="OLR107" s="974"/>
      <c r="OLS107" s="974"/>
      <c r="OLT107" s="974"/>
      <c r="OLU107" s="974"/>
      <c r="OLV107" s="974"/>
      <c r="OLW107" s="974"/>
      <c r="OLX107" s="974"/>
      <c r="OLY107" s="974"/>
      <c r="OLZ107" s="974"/>
      <c r="OMA107" s="974"/>
      <c r="OMB107" s="974"/>
      <c r="OMC107" s="974"/>
      <c r="OMD107" s="974"/>
      <c r="OME107" s="974"/>
      <c r="OMF107" s="974"/>
      <c r="OMG107" s="974"/>
      <c r="OMH107" s="974"/>
      <c r="OMI107" s="974"/>
      <c r="OMJ107" s="974"/>
      <c r="OMK107" s="974"/>
      <c r="OML107" s="974"/>
      <c r="OMM107" s="974"/>
      <c r="OMN107" s="974"/>
      <c r="OMO107" s="974"/>
      <c r="OMP107" s="974"/>
      <c r="OMQ107" s="974"/>
      <c r="OMR107" s="974"/>
      <c r="OMS107" s="974"/>
      <c r="OMT107" s="974"/>
      <c r="OMU107" s="974"/>
      <c r="OMV107" s="974"/>
      <c r="OMW107" s="974"/>
      <c r="OMX107" s="974"/>
      <c r="OMY107" s="974"/>
      <c r="OMZ107" s="974"/>
      <c r="ONA107" s="974"/>
      <c r="ONB107" s="974"/>
      <c r="ONC107" s="974"/>
      <c r="OND107" s="974"/>
      <c r="ONE107" s="974"/>
      <c r="ONF107" s="974"/>
      <c r="ONG107" s="974"/>
      <c r="ONH107" s="974"/>
      <c r="ONI107" s="974"/>
      <c r="ONJ107" s="974"/>
      <c r="ONK107" s="974"/>
      <c r="ONL107" s="974"/>
      <c r="ONM107" s="974"/>
      <c r="ONN107" s="974"/>
      <c r="ONO107" s="974"/>
      <c r="ONP107" s="974"/>
      <c r="ONQ107" s="974"/>
      <c r="ONR107" s="974"/>
      <c r="ONS107" s="974"/>
      <c r="ONT107" s="974"/>
      <c r="ONU107" s="974"/>
      <c r="ONV107" s="974"/>
      <c r="ONW107" s="974"/>
      <c r="ONX107" s="974"/>
      <c r="ONY107" s="974"/>
      <c r="ONZ107" s="974"/>
      <c r="OOA107" s="974"/>
      <c r="OOB107" s="974"/>
      <c r="OOC107" s="974"/>
      <c r="OOD107" s="974"/>
      <c r="OOE107" s="974"/>
      <c r="OOF107" s="974"/>
      <c r="OOG107" s="974"/>
      <c r="OOH107" s="974"/>
      <c r="OOI107" s="974"/>
      <c r="OOJ107" s="974"/>
      <c r="OOK107" s="974"/>
      <c r="OOL107" s="974"/>
      <c r="OOM107" s="974"/>
      <c r="OON107" s="974"/>
      <c r="OOO107" s="974"/>
      <c r="OOP107" s="974"/>
      <c r="OOQ107" s="974"/>
      <c r="OOR107" s="974"/>
      <c r="OOS107" s="974"/>
      <c r="OOT107" s="974"/>
      <c r="OOU107" s="974"/>
      <c r="OOV107" s="974"/>
      <c r="OOW107" s="974"/>
      <c r="OOX107" s="974"/>
      <c r="OOY107" s="974"/>
      <c r="OOZ107" s="974"/>
      <c r="OPA107" s="974"/>
      <c r="OPB107" s="974"/>
      <c r="OPC107" s="974"/>
      <c r="OPD107" s="974"/>
      <c r="OPE107" s="974"/>
      <c r="OPF107" s="974"/>
      <c r="OPG107" s="974"/>
      <c r="OPH107" s="974"/>
      <c r="OPI107" s="974"/>
      <c r="OPJ107" s="974"/>
      <c r="OPK107" s="974"/>
      <c r="OPL107" s="974"/>
      <c r="OPM107" s="974"/>
      <c r="OPN107" s="974"/>
      <c r="OPO107" s="974"/>
      <c r="OPP107" s="974"/>
      <c r="OPQ107" s="974"/>
      <c r="OPR107" s="974"/>
      <c r="OPS107" s="974"/>
      <c r="OPT107" s="974"/>
      <c r="OPU107" s="974"/>
      <c r="OPV107" s="974"/>
      <c r="OPW107" s="974"/>
      <c r="OPX107" s="974"/>
      <c r="OPY107" s="974"/>
      <c r="OPZ107" s="974"/>
      <c r="OQA107" s="974"/>
      <c r="OQB107" s="974"/>
      <c r="OQC107" s="974"/>
      <c r="OQD107" s="974"/>
      <c r="OQE107" s="974"/>
      <c r="OQF107" s="974"/>
      <c r="OQG107" s="974"/>
      <c r="OQH107" s="974"/>
      <c r="OQI107" s="974"/>
      <c r="OQJ107" s="974"/>
      <c r="OQK107" s="974"/>
      <c r="OQL107" s="974"/>
      <c r="OQM107" s="974"/>
      <c r="OQN107" s="974"/>
      <c r="OQO107" s="974"/>
      <c r="OQP107" s="974"/>
      <c r="OQQ107" s="974"/>
      <c r="OQR107" s="974"/>
      <c r="OQS107" s="974"/>
      <c r="OQT107" s="974"/>
      <c r="OQU107" s="974"/>
      <c r="OQV107" s="974"/>
      <c r="OQW107" s="974"/>
      <c r="OQX107" s="974"/>
      <c r="OQY107" s="974"/>
      <c r="OQZ107" s="974"/>
      <c r="ORA107" s="974"/>
      <c r="ORB107" s="974"/>
      <c r="ORC107" s="974"/>
      <c r="ORD107" s="974"/>
      <c r="ORE107" s="974"/>
      <c r="ORF107" s="974"/>
      <c r="ORG107" s="974"/>
      <c r="ORH107" s="974"/>
      <c r="ORI107" s="974"/>
      <c r="ORJ107" s="974"/>
      <c r="ORK107" s="974"/>
      <c r="ORL107" s="974"/>
      <c r="ORM107" s="974"/>
      <c r="ORN107" s="974"/>
      <c r="ORO107" s="974"/>
      <c r="ORP107" s="974"/>
      <c r="ORQ107" s="974"/>
      <c r="ORR107" s="974"/>
      <c r="ORS107" s="974"/>
      <c r="ORT107" s="974"/>
      <c r="ORU107" s="974"/>
      <c r="ORV107" s="974"/>
      <c r="ORW107" s="974"/>
      <c r="ORX107" s="974"/>
      <c r="ORY107" s="974"/>
      <c r="ORZ107" s="974"/>
      <c r="OSA107" s="974"/>
      <c r="OSB107" s="974"/>
      <c r="OSC107" s="974"/>
      <c r="OSD107" s="974"/>
      <c r="OSE107" s="974"/>
      <c r="OSF107" s="974"/>
      <c r="OSG107" s="974"/>
      <c r="OSH107" s="974"/>
      <c r="OSI107" s="974"/>
      <c r="OSJ107" s="974"/>
      <c r="OSK107" s="974"/>
      <c r="OSL107" s="974"/>
      <c r="OSM107" s="974"/>
      <c r="OSN107" s="974"/>
      <c r="OSO107" s="974"/>
      <c r="OSP107" s="974"/>
      <c r="OSQ107" s="974"/>
      <c r="OSR107" s="974"/>
      <c r="OSS107" s="974"/>
      <c r="OST107" s="974"/>
      <c r="OSU107" s="974"/>
      <c r="OSV107" s="974"/>
      <c r="OSW107" s="974"/>
      <c r="OSX107" s="974"/>
      <c r="OSY107" s="974"/>
      <c r="OSZ107" s="974"/>
      <c r="OTA107" s="974"/>
      <c r="OTB107" s="974"/>
      <c r="OTC107" s="974"/>
      <c r="OTD107" s="974"/>
      <c r="OTE107" s="974"/>
      <c r="OTF107" s="974"/>
      <c r="OTG107" s="974"/>
      <c r="OTH107" s="974"/>
      <c r="OTI107" s="974"/>
      <c r="OTJ107" s="974"/>
      <c r="OTK107" s="974"/>
      <c r="OTL107" s="974"/>
      <c r="OTM107" s="974"/>
      <c r="OTN107" s="974"/>
      <c r="OTO107" s="974"/>
      <c r="OTP107" s="974"/>
      <c r="OTQ107" s="974"/>
      <c r="OTR107" s="974"/>
      <c r="OTS107" s="974"/>
      <c r="OTT107" s="974"/>
      <c r="OTU107" s="974"/>
      <c r="OTV107" s="974"/>
      <c r="OTW107" s="974"/>
      <c r="OTX107" s="974"/>
      <c r="OTY107" s="974"/>
      <c r="OTZ107" s="974"/>
      <c r="OUA107" s="974"/>
      <c r="OUB107" s="974"/>
      <c r="OUC107" s="974"/>
      <c r="OUD107" s="974"/>
      <c r="OUE107" s="974"/>
      <c r="OUF107" s="974"/>
      <c r="OUG107" s="974"/>
      <c r="OUH107" s="974"/>
      <c r="OUI107" s="974"/>
      <c r="OUJ107" s="974"/>
      <c r="OUK107" s="974"/>
      <c r="OUL107" s="974"/>
      <c r="OUM107" s="974"/>
      <c r="OUN107" s="974"/>
      <c r="OUO107" s="974"/>
      <c r="OUP107" s="974"/>
      <c r="OUQ107" s="974"/>
      <c r="OUR107" s="974"/>
      <c r="OUS107" s="974"/>
      <c r="OUT107" s="974"/>
      <c r="OUU107" s="974"/>
      <c r="OUV107" s="974"/>
      <c r="OUW107" s="974"/>
      <c r="OUX107" s="974"/>
      <c r="OUY107" s="974"/>
      <c r="OUZ107" s="974"/>
      <c r="OVA107" s="974"/>
      <c r="OVB107" s="974"/>
      <c r="OVC107" s="974"/>
      <c r="OVD107" s="974"/>
      <c r="OVE107" s="974"/>
      <c r="OVF107" s="974"/>
      <c r="OVG107" s="974"/>
      <c r="OVH107" s="974"/>
      <c r="OVI107" s="974"/>
      <c r="OVJ107" s="974"/>
      <c r="OVK107" s="974"/>
      <c r="OVL107" s="974"/>
      <c r="OVM107" s="974"/>
      <c r="OVN107" s="974"/>
      <c r="OVO107" s="974"/>
      <c r="OVP107" s="974"/>
      <c r="OVQ107" s="974"/>
      <c r="OVR107" s="974"/>
      <c r="OVS107" s="974"/>
      <c r="OVT107" s="974"/>
      <c r="OVU107" s="974"/>
      <c r="OVV107" s="974"/>
      <c r="OVW107" s="974"/>
      <c r="OVX107" s="974"/>
      <c r="OVY107" s="974"/>
      <c r="OVZ107" s="974"/>
      <c r="OWA107" s="974"/>
      <c r="OWB107" s="974"/>
      <c r="OWC107" s="974"/>
      <c r="OWD107" s="974"/>
      <c r="OWE107" s="974"/>
      <c r="OWF107" s="974"/>
      <c r="OWG107" s="974"/>
      <c r="OWH107" s="974"/>
      <c r="OWI107" s="974"/>
      <c r="OWJ107" s="974"/>
      <c r="OWK107" s="974"/>
      <c r="OWL107" s="974"/>
      <c r="OWM107" s="974"/>
      <c r="OWN107" s="974"/>
      <c r="OWO107" s="974"/>
      <c r="OWP107" s="974"/>
      <c r="OWQ107" s="974"/>
      <c r="OWR107" s="974"/>
      <c r="OWS107" s="974"/>
      <c r="OWT107" s="974"/>
      <c r="OWU107" s="974"/>
      <c r="OWV107" s="974"/>
      <c r="OWW107" s="974"/>
      <c r="OWX107" s="974"/>
      <c r="OWY107" s="974"/>
      <c r="OWZ107" s="974"/>
      <c r="OXA107" s="974"/>
      <c r="OXB107" s="974"/>
      <c r="OXC107" s="974"/>
      <c r="OXD107" s="974"/>
      <c r="OXE107" s="974"/>
      <c r="OXF107" s="974"/>
      <c r="OXG107" s="974"/>
      <c r="OXH107" s="974"/>
      <c r="OXI107" s="974"/>
      <c r="OXJ107" s="974"/>
      <c r="OXK107" s="974"/>
      <c r="OXL107" s="974"/>
      <c r="OXM107" s="974"/>
      <c r="OXN107" s="974"/>
      <c r="OXO107" s="974"/>
      <c r="OXP107" s="974"/>
      <c r="OXQ107" s="974"/>
      <c r="OXR107" s="974"/>
      <c r="OXS107" s="974"/>
      <c r="OXT107" s="974"/>
      <c r="OXU107" s="974"/>
      <c r="OXV107" s="974"/>
      <c r="OXW107" s="974"/>
      <c r="OXX107" s="974"/>
      <c r="OXY107" s="974"/>
      <c r="OXZ107" s="974"/>
      <c r="OYA107" s="974"/>
      <c r="OYB107" s="974"/>
      <c r="OYC107" s="974"/>
      <c r="OYD107" s="974"/>
      <c r="OYE107" s="974"/>
      <c r="OYF107" s="974"/>
      <c r="OYG107" s="974"/>
      <c r="OYH107" s="974"/>
      <c r="OYI107" s="974"/>
      <c r="OYJ107" s="974"/>
      <c r="OYK107" s="974"/>
      <c r="OYL107" s="974"/>
      <c r="OYM107" s="974"/>
      <c r="OYN107" s="974"/>
      <c r="OYO107" s="974"/>
      <c r="OYP107" s="974"/>
      <c r="OYQ107" s="974"/>
      <c r="OYR107" s="974"/>
      <c r="OYS107" s="974"/>
      <c r="OYT107" s="974"/>
      <c r="OYU107" s="974"/>
      <c r="OYV107" s="974"/>
      <c r="OYW107" s="974"/>
      <c r="OYX107" s="974"/>
      <c r="OYY107" s="974"/>
      <c r="OYZ107" s="974"/>
      <c r="OZA107" s="974"/>
      <c r="OZB107" s="974"/>
      <c r="OZC107" s="974"/>
      <c r="OZD107" s="974"/>
      <c r="OZE107" s="974"/>
      <c r="OZF107" s="974"/>
      <c r="OZG107" s="974"/>
      <c r="OZH107" s="974"/>
      <c r="OZI107" s="974"/>
      <c r="OZJ107" s="974"/>
      <c r="OZK107" s="974"/>
      <c r="OZL107" s="974"/>
      <c r="OZM107" s="974"/>
      <c r="OZN107" s="974"/>
      <c r="OZO107" s="974"/>
      <c r="OZP107" s="974"/>
      <c r="OZQ107" s="974"/>
      <c r="OZR107" s="974"/>
      <c r="OZS107" s="974"/>
      <c r="OZT107" s="974"/>
      <c r="OZU107" s="974"/>
      <c r="OZV107" s="974"/>
      <c r="OZW107" s="974"/>
      <c r="OZX107" s="974"/>
      <c r="OZY107" s="974"/>
      <c r="OZZ107" s="974"/>
      <c r="PAA107" s="974"/>
      <c r="PAB107" s="974"/>
      <c r="PAC107" s="974"/>
      <c r="PAD107" s="974"/>
      <c r="PAE107" s="974"/>
      <c r="PAF107" s="974"/>
      <c r="PAG107" s="974"/>
      <c r="PAH107" s="974"/>
      <c r="PAI107" s="974"/>
      <c r="PAJ107" s="974"/>
      <c r="PAK107" s="974"/>
      <c r="PAL107" s="974"/>
      <c r="PAM107" s="974"/>
      <c r="PAN107" s="974"/>
      <c r="PAO107" s="974"/>
      <c r="PAP107" s="974"/>
      <c r="PAQ107" s="974"/>
      <c r="PAR107" s="974"/>
      <c r="PAS107" s="974"/>
      <c r="PAT107" s="974"/>
      <c r="PAU107" s="974"/>
      <c r="PAV107" s="974"/>
      <c r="PAW107" s="974"/>
      <c r="PAX107" s="974"/>
      <c r="PAY107" s="974"/>
      <c r="PAZ107" s="974"/>
      <c r="PBA107" s="974"/>
      <c r="PBB107" s="974"/>
      <c r="PBC107" s="974"/>
      <c r="PBD107" s="974"/>
      <c r="PBE107" s="974"/>
      <c r="PBF107" s="974"/>
      <c r="PBG107" s="974"/>
      <c r="PBH107" s="974"/>
      <c r="PBI107" s="974"/>
      <c r="PBJ107" s="974"/>
      <c r="PBK107" s="974"/>
      <c r="PBL107" s="974"/>
      <c r="PBM107" s="974"/>
      <c r="PBN107" s="974"/>
      <c r="PBO107" s="974"/>
      <c r="PBP107" s="974"/>
      <c r="PBQ107" s="974"/>
      <c r="PBR107" s="974"/>
      <c r="PBS107" s="974"/>
      <c r="PBT107" s="974"/>
      <c r="PBU107" s="974"/>
      <c r="PBV107" s="974"/>
      <c r="PBW107" s="974"/>
      <c r="PBX107" s="974"/>
      <c r="PBY107" s="974"/>
      <c r="PBZ107" s="974"/>
      <c r="PCA107" s="974"/>
      <c r="PCB107" s="974"/>
      <c r="PCC107" s="974"/>
      <c r="PCD107" s="974"/>
      <c r="PCE107" s="974"/>
      <c r="PCF107" s="974"/>
      <c r="PCG107" s="974"/>
      <c r="PCH107" s="974"/>
      <c r="PCI107" s="974"/>
      <c r="PCJ107" s="974"/>
      <c r="PCK107" s="974"/>
      <c r="PCL107" s="974"/>
      <c r="PCM107" s="974"/>
      <c r="PCN107" s="974"/>
      <c r="PCO107" s="974"/>
      <c r="PCP107" s="974"/>
      <c r="PCQ107" s="974"/>
      <c r="PCR107" s="974"/>
      <c r="PCS107" s="974"/>
      <c r="PCT107" s="974"/>
      <c r="PCU107" s="974"/>
      <c r="PCV107" s="974"/>
      <c r="PCW107" s="974"/>
      <c r="PCX107" s="974"/>
      <c r="PCY107" s="974"/>
      <c r="PCZ107" s="974"/>
      <c r="PDA107" s="974"/>
      <c r="PDB107" s="974"/>
      <c r="PDC107" s="974"/>
      <c r="PDD107" s="974"/>
      <c r="PDE107" s="974"/>
      <c r="PDF107" s="974"/>
      <c r="PDG107" s="974"/>
      <c r="PDH107" s="974"/>
      <c r="PDI107" s="974"/>
      <c r="PDJ107" s="974"/>
      <c r="PDK107" s="974"/>
      <c r="PDL107" s="974"/>
      <c r="PDM107" s="974"/>
      <c r="PDN107" s="974"/>
      <c r="PDO107" s="974"/>
      <c r="PDP107" s="974"/>
      <c r="PDQ107" s="974"/>
      <c r="PDR107" s="974"/>
      <c r="PDS107" s="974"/>
      <c r="PDT107" s="974"/>
      <c r="PDU107" s="974"/>
      <c r="PDV107" s="974"/>
      <c r="PDW107" s="974"/>
      <c r="PDX107" s="974"/>
      <c r="PDY107" s="974"/>
      <c r="PDZ107" s="974"/>
      <c r="PEA107" s="974"/>
      <c r="PEB107" s="974"/>
      <c r="PEC107" s="974"/>
      <c r="PED107" s="974"/>
      <c r="PEE107" s="974"/>
      <c r="PEF107" s="974"/>
      <c r="PEG107" s="974"/>
      <c r="PEH107" s="974"/>
      <c r="PEI107" s="974"/>
      <c r="PEJ107" s="974"/>
      <c r="PEK107" s="974"/>
      <c r="PEL107" s="974"/>
      <c r="PEM107" s="974"/>
      <c r="PEN107" s="974"/>
      <c r="PEO107" s="974"/>
      <c r="PEP107" s="974"/>
      <c r="PEQ107" s="974"/>
      <c r="PER107" s="974"/>
      <c r="PES107" s="974"/>
      <c r="PET107" s="974"/>
      <c r="PEU107" s="974"/>
      <c r="PEV107" s="974"/>
      <c r="PEW107" s="974"/>
      <c r="PEX107" s="974"/>
      <c r="PEY107" s="974"/>
      <c r="PEZ107" s="974"/>
      <c r="PFA107" s="974"/>
      <c r="PFB107" s="974"/>
      <c r="PFC107" s="974"/>
      <c r="PFD107" s="974"/>
      <c r="PFE107" s="974"/>
      <c r="PFF107" s="974"/>
      <c r="PFG107" s="974"/>
      <c r="PFH107" s="974"/>
      <c r="PFI107" s="974"/>
      <c r="PFJ107" s="974"/>
      <c r="PFK107" s="974"/>
      <c r="PFL107" s="974"/>
      <c r="PFM107" s="974"/>
      <c r="PFN107" s="974"/>
      <c r="PFO107" s="974"/>
      <c r="PFP107" s="974"/>
      <c r="PFQ107" s="974"/>
      <c r="PFR107" s="974"/>
      <c r="PFS107" s="974"/>
      <c r="PFT107" s="974"/>
      <c r="PFU107" s="974"/>
      <c r="PFV107" s="974"/>
      <c r="PFW107" s="974"/>
      <c r="PFX107" s="974"/>
      <c r="PFY107" s="974"/>
      <c r="PFZ107" s="974"/>
      <c r="PGA107" s="974"/>
      <c r="PGB107" s="974"/>
      <c r="PGC107" s="974"/>
      <c r="PGD107" s="974"/>
      <c r="PGE107" s="974"/>
      <c r="PGF107" s="974"/>
      <c r="PGG107" s="974"/>
      <c r="PGH107" s="974"/>
      <c r="PGI107" s="974"/>
      <c r="PGJ107" s="974"/>
      <c r="PGK107" s="974"/>
      <c r="PGL107" s="974"/>
      <c r="PGM107" s="974"/>
      <c r="PGN107" s="974"/>
      <c r="PGO107" s="974"/>
      <c r="PGP107" s="974"/>
      <c r="PGQ107" s="974"/>
      <c r="PGR107" s="974"/>
      <c r="PGS107" s="974"/>
      <c r="PGT107" s="974"/>
      <c r="PGU107" s="974"/>
      <c r="PGV107" s="974"/>
      <c r="PGW107" s="974"/>
      <c r="PGX107" s="974"/>
      <c r="PGY107" s="974"/>
      <c r="PGZ107" s="974"/>
      <c r="PHA107" s="974"/>
      <c r="PHB107" s="974"/>
      <c r="PHC107" s="974"/>
      <c r="PHD107" s="974"/>
      <c r="PHE107" s="974"/>
      <c r="PHF107" s="974"/>
      <c r="PHG107" s="974"/>
      <c r="PHH107" s="974"/>
      <c r="PHI107" s="974"/>
      <c r="PHJ107" s="974"/>
      <c r="PHK107" s="974"/>
      <c r="PHL107" s="974"/>
      <c r="PHM107" s="974"/>
      <c r="PHN107" s="974"/>
      <c r="PHO107" s="974"/>
      <c r="PHP107" s="974"/>
      <c r="PHQ107" s="974"/>
      <c r="PHR107" s="974"/>
      <c r="PHS107" s="974"/>
      <c r="PHT107" s="974"/>
      <c r="PHU107" s="974"/>
      <c r="PHV107" s="974"/>
      <c r="PHW107" s="974"/>
      <c r="PHX107" s="974"/>
      <c r="PHY107" s="974"/>
      <c r="PHZ107" s="974"/>
      <c r="PIA107" s="974"/>
      <c r="PIB107" s="974"/>
      <c r="PIC107" s="974"/>
      <c r="PID107" s="974"/>
      <c r="PIE107" s="974"/>
      <c r="PIF107" s="974"/>
      <c r="PIG107" s="974"/>
      <c r="PIH107" s="974"/>
      <c r="PII107" s="974"/>
      <c r="PIJ107" s="974"/>
      <c r="PIK107" s="974"/>
      <c r="PIL107" s="974"/>
      <c r="PIM107" s="974"/>
      <c r="PIN107" s="974"/>
      <c r="PIO107" s="974"/>
      <c r="PIP107" s="974"/>
      <c r="PIQ107" s="974"/>
      <c r="PIR107" s="974"/>
      <c r="PIS107" s="974"/>
      <c r="PIT107" s="974"/>
      <c r="PIU107" s="974"/>
      <c r="PIV107" s="974"/>
      <c r="PIW107" s="974"/>
      <c r="PIX107" s="974"/>
      <c r="PIY107" s="974"/>
      <c r="PIZ107" s="974"/>
      <c r="PJA107" s="974"/>
      <c r="PJB107" s="974"/>
      <c r="PJC107" s="974"/>
      <c r="PJD107" s="974"/>
      <c r="PJE107" s="974"/>
      <c r="PJF107" s="974"/>
      <c r="PJG107" s="974"/>
      <c r="PJH107" s="974"/>
      <c r="PJI107" s="974"/>
      <c r="PJJ107" s="974"/>
      <c r="PJK107" s="974"/>
      <c r="PJL107" s="974"/>
      <c r="PJM107" s="974"/>
      <c r="PJN107" s="974"/>
      <c r="PJO107" s="974"/>
      <c r="PJP107" s="974"/>
      <c r="PJQ107" s="974"/>
      <c r="PJR107" s="974"/>
      <c r="PJS107" s="974"/>
      <c r="PJT107" s="974"/>
      <c r="PJU107" s="974"/>
      <c r="PJV107" s="974"/>
      <c r="PJW107" s="974"/>
      <c r="PJX107" s="974"/>
      <c r="PJY107" s="974"/>
      <c r="PJZ107" s="974"/>
      <c r="PKA107" s="974"/>
      <c r="PKB107" s="974"/>
      <c r="PKC107" s="974"/>
      <c r="PKD107" s="974"/>
      <c r="PKE107" s="974"/>
      <c r="PKF107" s="974"/>
      <c r="PKG107" s="974"/>
      <c r="PKH107" s="974"/>
      <c r="PKI107" s="974"/>
      <c r="PKJ107" s="974"/>
      <c r="PKK107" s="974"/>
      <c r="PKL107" s="974"/>
      <c r="PKM107" s="974"/>
      <c r="PKN107" s="974"/>
      <c r="PKO107" s="974"/>
      <c r="PKP107" s="974"/>
      <c r="PKQ107" s="974"/>
      <c r="PKR107" s="974"/>
      <c r="PKS107" s="974"/>
      <c r="PKT107" s="974"/>
      <c r="PKU107" s="974"/>
      <c r="PKV107" s="974"/>
      <c r="PKW107" s="974"/>
      <c r="PKX107" s="974"/>
      <c r="PKY107" s="974"/>
      <c r="PKZ107" s="974"/>
      <c r="PLA107" s="974"/>
      <c r="PLB107" s="974"/>
      <c r="PLC107" s="974"/>
      <c r="PLD107" s="974"/>
      <c r="PLE107" s="974"/>
      <c r="PLF107" s="974"/>
      <c r="PLG107" s="974"/>
      <c r="PLH107" s="974"/>
      <c r="PLI107" s="974"/>
      <c r="PLJ107" s="974"/>
      <c r="PLK107" s="974"/>
      <c r="PLL107" s="974"/>
      <c r="PLM107" s="974"/>
      <c r="PLN107" s="974"/>
      <c r="PLO107" s="974"/>
      <c r="PLP107" s="974"/>
      <c r="PLQ107" s="974"/>
      <c r="PLR107" s="974"/>
      <c r="PLS107" s="974"/>
      <c r="PLT107" s="974"/>
      <c r="PLU107" s="974"/>
      <c r="PLV107" s="974"/>
      <c r="PLW107" s="974"/>
      <c r="PLX107" s="974"/>
      <c r="PLY107" s="974"/>
      <c r="PLZ107" s="974"/>
      <c r="PMA107" s="974"/>
      <c r="PMB107" s="974"/>
      <c r="PMC107" s="974"/>
      <c r="PMD107" s="974"/>
      <c r="PME107" s="974"/>
      <c r="PMF107" s="974"/>
      <c r="PMG107" s="974"/>
      <c r="PMH107" s="974"/>
      <c r="PMI107" s="974"/>
      <c r="PMJ107" s="974"/>
      <c r="PMK107" s="974"/>
      <c r="PML107" s="974"/>
      <c r="PMM107" s="974"/>
      <c r="PMN107" s="974"/>
      <c r="PMO107" s="974"/>
      <c r="PMP107" s="974"/>
      <c r="PMQ107" s="974"/>
      <c r="PMR107" s="974"/>
      <c r="PMS107" s="974"/>
      <c r="PMT107" s="974"/>
      <c r="PMU107" s="974"/>
      <c r="PMV107" s="974"/>
      <c r="PMW107" s="974"/>
      <c r="PMX107" s="974"/>
      <c r="PMY107" s="974"/>
      <c r="PMZ107" s="974"/>
      <c r="PNA107" s="974"/>
      <c r="PNB107" s="974"/>
      <c r="PNC107" s="974"/>
      <c r="PND107" s="974"/>
      <c r="PNE107" s="974"/>
      <c r="PNF107" s="974"/>
      <c r="PNG107" s="974"/>
      <c r="PNH107" s="974"/>
      <c r="PNI107" s="974"/>
      <c r="PNJ107" s="974"/>
      <c r="PNK107" s="974"/>
      <c r="PNL107" s="974"/>
      <c r="PNM107" s="974"/>
      <c r="PNN107" s="974"/>
      <c r="PNO107" s="974"/>
      <c r="PNP107" s="974"/>
      <c r="PNQ107" s="974"/>
      <c r="PNR107" s="974"/>
      <c r="PNS107" s="974"/>
      <c r="PNT107" s="974"/>
      <c r="PNU107" s="974"/>
      <c r="PNV107" s="974"/>
      <c r="PNW107" s="974"/>
      <c r="PNX107" s="974"/>
      <c r="PNY107" s="974"/>
      <c r="PNZ107" s="974"/>
      <c r="POA107" s="974"/>
      <c r="POB107" s="974"/>
      <c r="POC107" s="974"/>
      <c r="POD107" s="974"/>
      <c r="POE107" s="974"/>
      <c r="POF107" s="974"/>
      <c r="POG107" s="974"/>
      <c r="POH107" s="974"/>
      <c r="POI107" s="974"/>
      <c r="POJ107" s="974"/>
      <c r="POK107" s="974"/>
      <c r="POL107" s="974"/>
      <c r="POM107" s="974"/>
      <c r="PON107" s="974"/>
      <c r="POO107" s="974"/>
      <c r="POP107" s="974"/>
      <c r="POQ107" s="974"/>
      <c r="POR107" s="974"/>
      <c r="POS107" s="974"/>
      <c r="POT107" s="974"/>
      <c r="POU107" s="974"/>
      <c r="POV107" s="974"/>
      <c r="POW107" s="974"/>
      <c r="POX107" s="974"/>
      <c r="POY107" s="974"/>
      <c r="POZ107" s="974"/>
      <c r="PPA107" s="974"/>
      <c r="PPB107" s="974"/>
      <c r="PPC107" s="974"/>
      <c r="PPD107" s="974"/>
      <c r="PPE107" s="974"/>
      <c r="PPF107" s="974"/>
      <c r="PPG107" s="974"/>
      <c r="PPH107" s="974"/>
      <c r="PPI107" s="974"/>
      <c r="PPJ107" s="974"/>
      <c r="PPK107" s="974"/>
      <c r="PPL107" s="974"/>
      <c r="PPM107" s="974"/>
      <c r="PPN107" s="974"/>
      <c r="PPO107" s="974"/>
      <c r="PPP107" s="974"/>
      <c r="PPQ107" s="974"/>
      <c r="PPR107" s="974"/>
      <c r="PPS107" s="974"/>
      <c r="PPT107" s="974"/>
      <c r="PPU107" s="974"/>
      <c r="PPV107" s="974"/>
      <c r="PPW107" s="974"/>
      <c r="PPX107" s="974"/>
      <c r="PPY107" s="974"/>
      <c r="PPZ107" s="974"/>
      <c r="PQA107" s="974"/>
      <c r="PQB107" s="974"/>
      <c r="PQC107" s="974"/>
      <c r="PQD107" s="974"/>
      <c r="PQE107" s="974"/>
      <c r="PQF107" s="974"/>
      <c r="PQG107" s="974"/>
      <c r="PQH107" s="974"/>
      <c r="PQI107" s="974"/>
      <c r="PQJ107" s="974"/>
      <c r="PQK107" s="974"/>
      <c r="PQL107" s="974"/>
      <c r="PQM107" s="974"/>
      <c r="PQN107" s="974"/>
      <c r="PQO107" s="974"/>
      <c r="PQP107" s="974"/>
      <c r="PQQ107" s="974"/>
      <c r="PQR107" s="974"/>
      <c r="PQS107" s="974"/>
      <c r="PQT107" s="974"/>
      <c r="PQU107" s="974"/>
      <c r="PQV107" s="974"/>
      <c r="PQW107" s="974"/>
      <c r="PQX107" s="974"/>
      <c r="PQY107" s="974"/>
      <c r="PQZ107" s="974"/>
      <c r="PRA107" s="974"/>
      <c r="PRB107" s="974"/>
      <c r="PRC107" s="974"/>
      <c r="PRD107" s="974"/>
      <c r="PRE107" s="974"/>
      <c r="PRF107" s="974"/>
      <c r="PRG107" s="974"/>
      <c r="PRH107" s="974"/>
      <c r="PRI107" s="974"/>
      <c r="PRJ107" s="974"/>
      <c r="PRK107" s="974"/>
      <c r="PRL107" s="974"/>
      <c r="PRM107" s="974"/>
      <c r="PRN107" s="974"/>
      <c r="PRO107" s="974"/>
      <c r="PRP107" s="974"/>
      <c r="PRQ107" s="974"/>
      <c r="PRR107" s="974"/>
      <c r="PRS107" s="974"/>
      <c r="PRT107" s="974"/>
      <c r="PRU107" s="974"/>
      <c r="PRV107" s="974"/>
      <c r="PRW107" s="974"/>
      <c r="PRX107" s="974"/>
      <c r="PRY107" s="974"/>
      <c r="PRZ107" s="974"/>
      <c r="PSA107" s="974"/>
      <c r="PSB107" s="974"/>
      <c r="PSC107" s="974"/>
      <c r="PSD107" s="974"/>
      <c r="PSE107" s="974"/>
      <c r="PSF107" s="974"/>
      <c r="PSG107" s="974"/>
      <c r="PSH107" s="974"/>
      <c r="PSI107" s="974"/>
      <c r="PSJ107" s="974"/>
      <c r="PSK107" s="974"/>
      <c r="PSL107" s="974"/>
      <c r="PSM107" s="974"/>
      <c r="PSN107" s="974"/>
      <c r="PSO107" s="974"/>
      <c r="PSP107" s="974"/>
      <c r="PSQ107" s="974"/>
      <c r="PSR107" s="974"/>
      <c r="PSS107" s="974"/>
      <c r="PST107" s="974"/>
      <c r="PSU107" s="974"/>
      <c r="PSV107" s="974"/>
      <c r="PSW107" s="974"/>
      <c r="PSX107" s="974"/>
      <c r="PSY107" s="974"/>
      <c r="PSZ107" s="974"/>
      <c r="PTA107" s="974"/>
      <c r="PTB107" s="974"/>
      <c r="PTC107" s="974"/>
      <c r="PTD107" s="974"/>
      <c r="PTE107" s="974"/>
      <c r="PTF107" s="974"/>
      <c r="PTG107" s="974"/>
      <c r="PTH107" s="974"/>
      <c r="PTI107" s="974"/>
      <c r="PTJ107" s="974"/>
      <c r="PTK107" s="974"/>
      <c r="PTL107" s="974"/>
      <c r="PTM107" s="974"/>
      <c r="PTN107" s="974"/>
      <c r="PTO107" s="974"/>
      <c r="PTP107" s="974"/>
      <c r="PTQ107" s="974"/>
      <c r="PTR107" s="974"/>
      <c r="PTS107" s="974"/>
      <c r="PTT107" s="974"/>
      <c r="PTU107" s="974"/>
      <c r="PTV107" s="974"/>
      <c r="PTW107" s="974"/>
      <c r="PTX107" s="974"/>
      <c r="PTY107" s="974"/>
      <c r="PTZ107" s="974"/>
      <c r="PUA107" s="974"/>
      <c r="PUB107" s="974"/>
      <c r="PUC107" s="974"/>
      <c r="PUD107" s="974"/>
      <c r="PUE107" s="974"/>
      <c r="PUF107" s="974"/>
      <c r="PUG107" s="974"/>
      <c r="PUH107" s="974"/>
      <c r="PUI107" s="974"/>
      <c r="PUJ107" s="974"/>
      <c r="PUK107" s="974"/>
      <c r="PUL107" s="974"/>
      <c r="PUM107" s="974"/>
      <c r="PUN107" s="974"/>
      <c r="PUO107" s="974"/>
      <c r="PUP107" s="974"/>
      <c r="PUQ107" s="974"/>
      <c r="PUR107" s="974"/>
      <c r="PUS107" s="974"/>
      <c r="PUT107" s="974"/>
      <c r="PUU107" s="974"/>
      <c r="PUV107" s="974"/>
      <c r="PUW107" s="974"/>
      <c r="PUX107" s="974"/>
      <c r="PUY107" s="974"/>
      <c r="PUZ107" s="974"/>
      <c r="PVA107" s="974"/>
      <c r="PVB107" s="974"/>
      <c r="PVC107" s="974"/>
      <c r="PVD107" s="974"/>
      <c r="PVE107" s="974"/>
      <c r="PVF107" s="974"/>
      <c r="PVG107" s="974"/>
      <c r="PVH107" s="974"/>
      <c r="PVI107" s="974"/>
      <c r="PVJ107" s="974"/>
      <c r="PVK107" s="974"/>
      <c r="PVL107" s="974"/>
      <c r="PVM107" s="974"/>
      <c r="PVN107" s="974"/>
      <c r="PVO107" s="974"/>
      <c r="PVP107" s="974"/>
      <c r="PVQ107" s="974"/>
      <c r="PVR107" s="974"/>
      <c r="PVS107" s="974"/>
      <c r="PVT107" s="974"/>
      <c r="PVU107" s="974"/>
      <c r="PVV107" s="974"/>
      <c r="PVW107" s="974"/>
      <c r="PVX107" s="974"/>
      <c r="PVY107" s="974"/>
      <c r="PVZ107" s="974"/>
      <c r="PWA107" s="974"/>
      <c r="PWB107" s="974"/>
      <c r="PWC107" s="974"/>
      <c r="PWD107" s="974"/>
      <c r="PWE107" s="974"/>
      <c r="PWF107" s="974"/>
      <c r="PWG107" s="974"/>
      <c r="PWH107" s="974"/>
      <c r="PWI107" s="974"/>
      <c r="PWJ107" s="974"/>
      <c r="PWK107" s="974"/>
      <c r="PWL107" s="974"/>
      <c r="PWM107" s="974"/>
      <c r="PWN107" s="974"/>
      <c r="PWO107" s="974"/>
      <c r="PWP107" s="974"/>
      <c r="PWQ107" s="974"/>
      <c r="PWR107" s="974"/>
      <c r="PWS107" s="974"/>
      <c r="PWT107" s="974"/>
      <c r="PWU107" s="974"/>
      <c r="PWV107" s="974"/>
      <c r="PWW107" s="974"/>
      <c r="PWX107" s="974"/>
      <c r="PWY107" s="974"/>
      <c r="PWZ107" s="974"/>
      <c r="PXA107" s="974"/>
      <c r="PXB107" s="974"/>
      <c r="PXC107" s="974"/>
      <c r="PXD107" s="974"/>
      <c r="PXE107" s="974"/>
      <c r="PXF107" s="974"/>
      <c r="PXG107" s="974"/>
      <c r="PXH107" s="974"/>
      <c r="PXI107" s="974"/>
      <c r="PXJ107" s="974"/>
      <c r="PXK107" s="974"/>
      <c r="PXL107" s="974"/>
      <c r="PXM107" s="974"/>
      <c r="PXN107" s="974"/>
      <c r="PXO107" s="974"/>
      <c r="PXP107" s="974"/>
      <c r="PXQ107" s="974"/>
      <c r="PXR107" s="974"/>
      <c r="PXS107" s="974"/>
      <c r="PXT107" s="974"/>
      <c r="PXU107" s="974"/>
      <c r="PXV107" s="974"/>
      <c r="PXW107" s="974"/>
      <c r="PXX107" s="974"/>
      <c r="PXY107" s="974"/>
      <c r="PXZ107" s="974"/>
      <c r="PYA107" s="974"/>
      <c r="PYB107" s="974"/>
      <c r="PYC107" s="974"/>
      <c r="PYD107" s="974"/>
      <c r="PYE107" s="974"/>
      <c r="PYF107" s="974"/>
      <c r="PYG107" s="974"/>
      <c r="PYH107" s="974"/>
      <c r="PYI107" s="974"/>
      <c r="PYJ107" s="974"/>
      <c r="PYK107" s="974"/>
      <c r="PYL107" s="974"/>
      <c r="PYM107" s="974"/>
      <c r="PYN107" s="974"/>
      <c r="PYO107" s="974"/>
      <c r="PYP107" s="974"/>
      <c r="PYQ107" s="974"/>
      <c r="PYR107" s="974"/>
      <c r="PYS107" s="974"/>
      <c r="PYT107" s="974"/>
      <c r="PYU107" s="974"/>
      <c r="PYV107" s="974"/>
      <c r="PYW107" s="974"/>
      <c r="PYX107" s="974"/>
      <c r="PYY107" s="974"/>
      <c r="PYZ107" s="974"/>
      <c r="PZA107" s="974"/>
      <c r="PZB107" s="974"/>
      <c r="PZC107" s="974"/>
      <c r="PZD107" s="974"/>
      <c r="PZE107" s="974"/>
      <c r="PZF107" s="974"/>
      <c r="PZG107" s="974"/>
      <c r="PZH107" s="974"/>
      <c r="PZI107" s="974"/>
      <c r="PZJ107" s="974"/>
      <c r="PZK107" s="974"/>
      <c r="PZL107" s="974"/>
      <c r="PZM107" s="974"/>
      <c r="PZN107" s="974"/>
      <c r="PZO107" s="974"/>
      <c r="PZP107" s="974"/>
      <c r="PZQ107" s="974"/>
      <c r="PZR107" s="974"/>
      <c r="PZS107" s="974"/>
      <c r="PZT107" s="974"/>
      <c r="PZU107" s="974"/>
      <c r="PZV107" s="974"/>
      <c r="PZW107" s="974"/>
      <c r="PZX107" s="974"/>
      <c r="PZY107" s="974"/>
      <c r="PZZ107" s="974"/>
      <c r="QAA107" s="974"/>
      <c r="QAB107" s="974"/>
      <c r="QAC107" s="974"/>
      <c r="QAD107" s="974"/>
      <c r="QAE107" s="974"/>
      <c r="QAF107" s="974"/>
      <c r="QAG107" s="974"/>
      <c r="QAH107" s="974"/>
      <c r="QAI107" s="974"/>
      <c r="QAJ107" s="974"/>
      <c r="QAK107" s="974"/>
      <c r="QAL107" s="974"/>
      <c r="QAM107" s="974"/>
      <c r="QAN107" s="974"/>
      <c r="QAO107" s="974"/>
      <c r="QAP107" s="974"/>
      <c r="QAQ107" s="974"/>
      <c r="QAR107" s="974"/>
      <c r="QAS107" s="974"/>
      <c r="QAT107" s="974"/>
      <c r="QAU107" s="974"/>
      <c r="QAV107" s="974"/>
      <c r="QAW107" s="974"/>
      <c r="QAX107" s="974"/>
      <c r="QAY107" s="974"/>
      <c r="QAZ107" s="974"/>
      <c r="QBA107" s="974"/>
      <c r="QBB107" s="974"/>
      <c r="QBC107" s="974"/>
      <c r="QBD107" s="974"/>
      <c r="QBE107" s="974"/>
      <c r="QBF107" s="974"/>
      <c r="QBG107" s="974"/>
      <c r="QBH107" s="974"/>
      <c r="QBI107" s="974"/>
      <c r="QBJ107" s="974"/>
      <c r="QBK107" s="974"/>
      <c r="QBL107" s="974"/>
      <c r="QBM107" s="974"/>
      <c r="QBN107" s="974"/>
      <c r="QBO107" s="974"/>
      <c r="QBP107" s="974"/>
      <c r="QBQ107" s="974"/>
      <c r="QBR107" s="974"/>
      <c r="QBS107" s="974"/>
      <c r="QBT107" s="974"/>
      <c r="QBU107" s="974"/>
      <c r="QBV107" s="974"/>
      <c r="QBW107" s="974"/>
      <c r="QBX107" s="974"/>
      <c r="QBY107" s="974"/>
      <c r="QBZ107" s="974"/>
      <c r="QCA107" s="974"/>
      <c r="QCB107" s="974"/>
      <c r="QCC107" s="974"/>
      <c r="QCD107" s="974"/>
      <c r="QCE107" s="974"/>
      <c r="QCF107" s="974"/>
      <c r="QCG107" s="974"/>
      <c r="QCH107" s="974"/>
      <c r="QCI107" s="974"/>
      <c r="QCJ107" s="974"/>
      <c r="QCK107" s="974"/>
      <c r="QCL107" s="974"/>
      <c r="QCM107" s="974"/>
      <c r="QCN107" s="974"/>
      <c r="QCO107" s="974"/>
      <c r="QCP107" s="974"/>
      <c r="QCQ107" s="974"/>
      <c r="QCR107" s="974"/>
      <c r="QCS107" s="974"/>
      <c r="QCT107" s="974"/>
      <c r="QCU107" s="974"/>
      <c r="QCV107" s="974"/>
      <c r="QCW107" s="974"/>
      <c r="QCX107" s="974"/>
      <c r="QCY107" s="974"/>
      <c r="QCZ107" s="974"/>
      <c r="QDA107" s="974"/>
      <c r="QDB107" s="974"/>
      <c r="QDC107" s="974"/>
      <c r="QDD107" s="974"/>
      <c r="QDE107" s="974"/>
      <c r="QDF107" s="974"/>
      <c r="QDG107" s="974"/>
      <c r="QDH107" s="974"/>
      <c r="QDI107" s="974"/>
      <c r="QDJ107" s="974"/>
      <c r="QDK107" s="974"/>
      <c r="QDL107" s="974"/>
      <c r="QDM107" s="974"/>
      <c r="QDN107" s="974"/>
      <c r="QDO107" s="974"/>
      <c r="QDP107" s="974"/>
      <c r="QDQ107" s="974"/>
      <c r="QDR107" s="974"/>
      <c r="QDS107" s="974"/>
      <c r="QDT107" s="974"/>
      <c r="QDU107" s="974"/>
      <c r="QDV107" s="974"/>
      <c r="QDW107" s="974"/>
      <c r="QDX107" s="974"/>
      <c r="QDY107" s="974"/>
      <c r="QDZ107" s="974"/>
      <c r="QEA107" s="974"/>
      <c r="QEB107" s="974"/>
      <c r="QEC107" s="974"/>
      <c r="QED107" s="974"/>
      <c r="QEE107" s="974"/>
      <c r="QEF107" s="974"/>
      <c r="QEG107" s="974"/>
      <c r="QEH107" s="974"/>
      <c r="QEI107" s="974"/>
      <c r="QEJ107" s="974"/>
      <c r="QEK107" s="974"/>
      <c r="QEL107" s="974"/>
      <c r="QEM107" s="974"/>
      <c r="QEN107" s="974"/>
      <c r="QEO107" s="974"/>
      <c r="QEP107" s="974"/>
      <c r="QEQ107" s="974"/>
      <c r="QER107" s="974"/>
      <c r="QES107" s="974"/>
      <c r="QET107" s="974"/>
      <c r="QEU107" s="974"/>
      <c r="QEV107" s="974"/>
      <c r="QEW107" s="974"/>
      <c r="QEX107" s="974"/>
      <c r="QEY107" s="974"/>
      <c r="QEZ107" s="974"/>
      <c r="QFA107" s="974"/>
      <c r="QFB107" s="974"/>
      <c r="QFC107" s="974"/>
      <c r="QFD107" s="974"/>
      <c r="QFE107" s="974"/>
      <c r="QFF107" s="974"/>
      <c r="QFG107" s="974"/>
      <c r="QFH107" s="974"/>
      <c r="QFI107" s="974"/>
      <c r="QFJ107" s="974"/>
      <c r="QFK107" s="974"/>
      <c r="QFL107" s="974"/>
      <c r="QFM107" s="974"/>
      <c r="QFN107" s="974"/>
      <c r="QFO107" s="974"/>
      <c r="QFP107" s="974"/>
      <c r="QFQ107" s="974"/>
      <c r="QFR107" s="974"/>
      <c r="QFS107" s="974"/>
      <c r="QFT107" s="974"/>
      <c r="QFU107" s="974"/>
      <c r="QFV107" s="974"/>
      <c r="QFW107" s="974"/>
      <c r="QFX107" s="974"/>
      <c r="QFY107" s="974"/>
      <c r="QFZ107" s="974"/>
      <c r="QGA107" s="974"/>
      <c r="QGB107" s="974"/>
      <c r="QGC107" s="974"/>
      <c r="QGD107" s="974"/>
      <c r="QGE107" s="974"/>
      <c r="QGF107" s="974"/>
      <c r="QGG107" s="974"/>
      <c r="QGH107" s="974"/>
      <c r="QGI107" s="974"/>
      <c r="QGJ107" s="974"/>
      <c r="QGK107" s="974"/>
      <c r="QGL107" s="974"/>
      <c r="QGM107" s="974"/>
      <c r="QGN107" s="974"/>
      <c r="QGO107" s="974"/>
      <c r="QGP107" s="974"/>
      <c r="QGQ107" s="974"/>
      <c r="QGR107" s="974"/>
      <c r="QGS107" s="974"/>
      <c r="QGT107" s="974"/>
      <c r="QGU107" s="974"/>
      <c r="QGV107" s="974"/>
      <c r="QGW107" s="974"/>
      <c r="QGX107" s="974"/>
      <c r="QGY107" s="974"/>
      <c r="QGZ107" s="974"/>
      <c r="QHA107" s="974"/>
      <c r="QHB107" s="974"/>
      <c r="QHC107" s="974"/>
      <c r="QHD107" s="974"/>
      <c r="QHE107" s="974"/>
      <c r="QHF107" s="974"/>
      <c r="QHG107" s="974"/>
      <c r="QHH107" s="974"/>
      <c r="QHI107" s="974"/>
      <c r="QHJ107" s="974"/>
      <c r="QHK107" s="974"/>
      <c r="QHL107" s="974"/>
      <c r="QHM107" s="974"/>
      <c r="QHN107" s="974"/>
      <c r="QHO107" s="974"/>
      <c r="QHP107" s="974"/>
      <c r="QHQ107" s="974"/>
      <c r="QHR107" s="974"/>
      <c r="QHS107" s="974"/>
      <c r="QHT107" s="974"/>
      <c r="QHU107" s="974"/>
      <c r="QHV107" s="974"/>
      <c r="QHW107" s="974"/>
      <c r="QHX107" s="974"/>
      <c r="QHY107" s="974"/>
      <c r="QHZ107" s="974"/>
      <c r="QIA107" s="974"/>
      <c r="QIB107" s="974"/>
      <c r="QIC107" s="974"/>
      <c r="QID107" s="974"/>
      <c r="QIE107" s="974"/>
      <c r="QIF107" s="974"/>
      <c r="QIG107" s="974"/>
      <c r="QIH107" s="974"/>
      <c r="QII107" s="974"/>
      <c r="QIJ107" s="974"/>
      <c r="QIK107" s="974"/>
      <c r="QIL107" s="974"/>
      <c r="QIM107" s="974"/>
      <c r="QIN107" s="974"/>
      <c r="QIO107" s="974"/>
      <c r="QIP107" s="974"/>
      <c r="QIQ107" s="974"/>
      <c r="QIR107" s="974"/>
      <c r="QIS107" s="974"/>
      <c r="QIT107" s="974"/>
      <c r="QIU107" s="974"/>
      <c r="QIV107" s="974"/>
      <c r="QIW107" s="974"/>
      <c r="QIX107" s="974"/>
      <c r="QIY107" s="974"/>
      <c r="QIZ107" s="974"/>
      <c r="QJA107" s="974"/>
      <c r="QJB107" s="974"/>
      <c r="QJC107" s="974"/>
      <c r="QJD107" s="974"/>
      <c r="QJE107" s="974"/>
      <c r="QJF107" s="974"/>
      <c r="QJG107" s="974"/>
      <c r="QJH107" s="974"/>
      <c r="QJI107" s="974"/>
      <c r="QJJ107" s="974"/>
      <c r="QJK107" s="974"/>
      <c r="QJL107" s="974"/>
      <c r="QJM107" s="974"/>
      <c r="QJN107" s="974"/>
      <c r="QJO107" s="974"/>
      <c r="QJP107" s="974"/>
      <c r="QJQ107" s="974"/>
      <c r="QJR107" s="974"/>
      <c r="QJS107" s="974"/>
      <c r="QJT107" s="974"/>
      <c r="QJU107" s="974"/>
      <c r="QJV107" s="974"/>
      <c r="QJW107" s="974"/>
      <c r="QJX107" s="974"/>
      <c r="QJY107" s="974"/>
      <c r="QJZ107" s="974"/>
      <c r="QKA107" s="974"/>
      <c r="QKB107" s="974"/>
      <c r="QKC107" s="974"/>
      <c r="QKD107" s="974"/>
      <c r="QKE107" s="974"/>
      <c r="QKF107" s="974"/>
      <c r="QKG107" s="974"/>
      <c r="QKH107" s="974"/>
      <c r="QKI107" s="974"/>
      <c r="QKJ107" s="974"/>
      <c r="QKK107" s="974"/>
      <c r="QKL107" s="974"/>
      <c r="QKM107" s="974"/>
      <c r="QKN107" s="974"/>
      <c r="QKO107" s="974"/>
      <c r="QKP107" s="974"/>
      <c r="QKQ107" s="974"/>
      <c r="QKR107" s="974"/>
      <c r="QKS107" s="974"/>
      <c r="QKT107" s="974"/>
      <c r="QKU107" s="974"/>
      <c r="QKV107" s="974"/>
      <c r="QKW107" s="974"/>
      <c r="QKX107" s="974"/>
      <c r="QKY107" s="974"/>
      <c r="QKZ107" s="974"/>
      <c r="QLA107" s="974"/>
      <c r="QLB107" s="974"/>
      <c r="QLC107" s="974"/>
      <c r="QLD107" s="974"/>
      <c r="QLE107" s="974"/>
      <c r="QLF107" s="974"/>
      <c r="QLG107" s="974"/>
      <c r="QLH107" s="974"/>
      <c r="QLI107" s="974"/>
      <c r="QLJ107" s="974"/>
      <c r="QLK107" s="974"/>
      <c r="QLL107" s="974"/>
      <c r="QLM107" s="974"/>
      <c r="QLN107" s="974"/>
      <c r="QLO107" s="974"/>
      <c r="QLP107" s="974"/>
      <c r="QLQ107" s="974"/>
      <c r="QLR107" s="974"/>
      <c r="QLS107" s="974"/>
      <c r="QLT107" s="974"/>
      <c r="QLU107" s="974"/>
      <c r="QLV107" s="974"/>
      <c r="QLW107" s="974"/>
      <c r="QLX107" s="974"/>
      <c r="QLY107" s="974"/>
      <c r="QLZ107" s="974"/>
      <c r="QMA107" s="974"/>
      <c r="QMB107" s="974"/>
      <c r="QMC107" s="974"/>
      <c r="QMD107" s="974"/>
      <c r="QME107" s="974"/>
      <c r="QMF107" s="974"/>
      <c r="QMG107" s="974"/>
      <c r="QMH107" s="974"/>
      <c r="QMI107" s="974"/>
      <c r="QMJ107" s="974"/>
      <c r="QMK107" s="974"/>
      <c r="QML107" s="974"/>
      <c r="QMM107" s="974"/>
      <c r="QMN107" s="974"/>
      <c r="QMO107" s="974"/>
      <c r="QMP107" s="974"/>
      <c r="QMQ107" s="974"/>
      <c r="QMR107" s="974"/>
      <c r="QMS107" s="974"/>
      <c r="QMT107" s="974"/>
      <c r="QMU107" s="974"/>
      <c r="QMV107" s="974"/>
      <c r="QMW107" s="974"/>
      <c r="QMX107" s="974"/>
      <c r="QMY107" s="974"/>
      <c r="QMZ107" s="974"/>
      <c r="QNA107" s="974"/>
      <c r="QNB107" s="974"/>
      <c r="QNC107" s="974"/>
      <c r="QND107" s="974"/>
      <c r="QNE107" s="974"/>
      <c r="QNF107" s="974"/>
      <c r="QNG107" s="974"/>
      <c r="QNH107" s="974"/>
      <c r="QNI107" s="974"/>
      <c r="QNJ107" s="974"/>
      <c r="QNK107" s="974"/>
      <c r="QNL107" s="974"/>
      <c r="QNM107" s="974"/>
      <c r="QNN107" s="974"/>
      <c r="QNO107" s="974"/>
      <c r="QNP107" s="974"/>
      <c r="QNQ107" s="974"/>
      <c r="QNR107" s="974"/>
      <c r="QNS107" s="974"/>
      <c r="QNT107" s="974"/>
      <c r="QNU107" s="974"/>
      <c r="QNV107" s="974"/>
      <c r="QNW107" s="974"/>
      <c r="QNX107" s="974"/>
      <c r="QNY107" s="974"/>
      <c r="QNZ107" s="974"/>
      <c r="QOA107" s="974"/>
      <c r="QOB107" s="974"/>
      <c r="QOC107" s="974"/>
      <c r="QOD107" s="974"/>
      <c r="QOE107" s="974"/>
      <c r="QOF107" s="974"/>
      <c r="QOG107" s="974"/>
      <c r="QOH107" s="974"/>
      <c r="QOI107" s="974"/>
      <c r="QOJ107" s="974"/>
      <c r="QOK107" s="974"/>
      <c r="QOL107" s="974"/>
      <c r="QOM107" s="974"/>
      <c r="QON107" s="974"/>
      <c r="QOO107" s="974"/>
      <c r="QOP107" s="974"/>
      <c r="QOQ107" s="974"/>
      <c r="QOR107" s="974"/>
      <c r="QOS107" s="974"/>
      <c r="QOT107" s="974"/>
      <c r="QOU107" s="974"/>
      <c r="QOV107" s="974"/>
      <c r="QOW107" s="974"/>
      <c r="QOX107" s="974"/>
      <c r="QOY107" s="974"/>
      <c r="QOZ107" s="974"/>
      <c r="QPA107" s="974"/>
      <c r="QPB107" s="974"/>
      <c r="QPC107" s="974"/>
      <c r="QPD107" s="974"/>
      <c r="QPE107" s="974"/>
      <c r="QPF107" s="974"/>
      <c r="QPG107" s="974"/>
      <c r="QPH107" s="974"/>
      <c r="QPI107" s="974"/>
      <c r="QPJ107" s="974"/>
      <c r="QPK107" s="974"/>
      <c r="QPL107" s="974"/>
      <c r="QPM107" s="974"/>
      <c r="QPN107" s="974"/>
      <c r="QPO107" s="974"/>
      <c r="QPP107" s="974"/>
      <c r="QPQ107" s="974"/>
      <c r="QPR107" s="974"/>
      <c r="QPS107" s="974"/>
      <c r="QPT107" s="974"/>
      <c r="QPU107" s="974"/>
      <c r="QPV107" s="974"/>
      <c r="QPW107" s="974"/>
      <c r="QPX107" s="974"/>
      <c r="QPY107" s="974"/>
      <c r="QPZ107" s="974"/>
      <c r="QQA107" s="974"/>
      <c r="QQB107" s="974"/>
      <c r="QQC107" s="974"/>
      <c r="QQD107" s="974"/>
      <c r="QQE107" s="974"/>
      <c r="QQF107" s="974"/>
      <c r="QQG107" s="974"/>
      <c r="QQH107" s="974"/>
      <c r="QQI107" s="974"/>
      <c r="QQJ107" s="974"/>
      <c r="QQK107" s="974"/>
      <c r="QQL107" s="974"/>
      <c r="QQM107" s="974"/>
      <c r="QQN107" s="974"/>
      <c r="QQO107" s="974"/>
      <c r="QQP107" s="974"/>
      <c r="QQQ107" s="974"/>
      <c r="QQR107" s="974"/>
      <c r="QQS107" s="974"/>
      <c r="QQT107" s="974"/>
      <c r="QQU107" s="974"/>
      <c r="QQV107" s="974"/>
      <c r="QQW107" s="974"/>
      <c r="QQX107" s="974"/>
      <c r="QQY107" s="974"/>
      <c r="QQZ107" s="974"/>
      <c r="QRA107" s="974"/>
      <c r="QRB107" s="974"/>
      <c r="QRC107" s="974"/>
      <c r="QRD107" s="974"/>
      <c r="QRE107" s="974"/>
      <c r="QRF107" s="974"/>
      <c r="QRG107" s="974"/>
      <c r="QRH107" s="974"/>
      <c r="QRI107" s="974"/>
      <c r="QRJ107" s="974"/>
      <c r="QRK107" s="974"/>
      <c r="QRL107" s="974"/>
      <c r="QRM107" s="974"/>
      <c r="QRN107" s="974"/>
      <c r="QRO107" s="974"/>
      <c r="QRP107" s="974"/>
      <c r="QRQ107" s="974"/>
      <c r="QRR107" s="974"/>
      <c r="QRS107" s="974"/>
      <c r="QRT107" s="974"/>
      <c r="QRU107" s="974"/>
      <c r="QRV107" s="974"/>
      <c r="QRW107" s="974"/>
      <c r="QRX107" s="974"/>
      <c r="QRY107" s="974"/>
      <c r="QRZ107" s="974"/>
      <c r="QSA107" s="974"/>
      <c r="QSB107" s="974"/>
      <c r="QSC107" s="974"/>
      <c r="QSD107" s="974"/>
      <c r="QSE107" s="974"/>
      <c r="QSF107" s="974"/>
      <c r="QSG107" s="974"/>
      <c r="QSH107" s="974"/>
      <c r="QSI107" s="974"/>
      <c r="QSJ107" s="974"/>
      <c r="QSK107" s="974"/>
      <c r="QSL107" s="974"/>
      <c r="QSM107" s="974"/>
      <c r="QSN107" s="974"/>
      <c r="QSO107" s="974"/>
      <c r="QSP107" s="974"/>
      <c r="QSQ107" s="974"/>
      <c r="QSR107" s="974"/>
      <c r="QSS107" s="974"/>
      <c r="QST107" s="974"/>
      <c r="QSU107" s="974"/>
      <c r="QSV107" s="974"/>
      <c r="QSW107" s="974"/>
      <c r="QSX107" s="974"/>
      <c r="QSY107" s="974"/>
      <c r="QSZ107" s="974"/>
      <c r="QTA107" s="974"/>
      <c r="QTB107" s="974"/>
      <c r="QTC107" s="974"/>
      <c r="QTD107" s="974"/>
      <c r="QTE107" s="974"/>
      <c r="QTF107" s="974"/>
      <c r="QTG107" s="974"/>
      <c r="QTH107" s="974"/>
      <c r="QTI107" s="974"/>
      <c r="QTJ107" s="974"/>
      <c r="QTK107" s="974"/>
      <c r="QTL107" s="974"/>
      <c r="QTM107" s="974"/>
      <c r="QTN107" s="974"/>
      <c r="QTO107" s="974"/>
      <c r="QTP107" s="974"/>
      <c r="QTQ107" s="974"/>
      <c r="QTR107" s="974"/>
      <c r="QTS107" s="974"/>
      <c r="QTT107" s="974"/>
      <c r="QTU107" s="974"/>
      <c r="QTV107" s="974"/>
      <c r="QTW107" s="974"/>
      <c r="QTX107" s="974"/>
      <c r="QTY107" s="974"/>
      <c r="QTZ107" s="974"/>
      <c r="QUA107" s="974"/>
      <c r="QUB107" s="974"/>
      <c r="QUC107" s="974"/>
      <c r="QUD107" s="974"/>
      <c r="QUE107" s="974"/>
      <c r="QUF107" s="974"/>
      <c r="QUG107" s="974"/>
      <c r="QUH107" s="974"/>
      <c r="QUI107" s="974"/>
      <c r="QUJ107" s="974"/>
      <c r="QUK107" s="974"/>
      <c r="QUL107" s="974"/>
      <c r="QUM107" s="974"/>
      <c r="QUN107" s="974"/>
      <c r="QUO107" s="974"/>
      <c r="QUP107" s="974"/>
      <c r="QUQ107" s="974"/>
      <c r="QUR107" s="974"/>
      <c r="QUS107" s="974"/>
      <c r="QUT107" s="974"/>
      <c r="QUU107" s="974"/>
      <c r="QUV107" s="974"/>
      <c r="QUW107" s="974"/>
      <c r="QUX107" s="974"/>
      <c r="QUY107" s="974"/>
      <c r="QUZ107" s="974"/>
      <c r="QVA107" s="974"/>
      <c r="QVB107" s="974"/>
      <c r="QVC107" s="974"/>
      <c r="QVD107" s="974"/>
      <c r="QVE107" s="974"/>
      <c r="QVF107" s="974"/>
      <c r="QVG107" s="974"/>
      <c r="QVH107" s="974"/>
      <c r="QVI107" s="974"/>
      <c r="QVJ107" s="974"/>
      <c r="QVK107" s="974"/>
      <c r="QVL107" s="974"/>
      <c r="QVM107" s="974"/>
      <c r="QVN107" s="974"/>
      <c r="QVO107" s="974"/>
      <c r="QVP107" s="974"/>
      <c r="QVQ107" s="974"/>
      <c r="QVR107" s="974"/>
      <c r="QVS107" s="974"/>
      <c r="QVT107" s="974"/>
      <c r="QVU107" s="974"/>
      <c r="QVV107" s="974"/>
      <c r="QVW107" s="974"/>
      <c r="QVX107" s="974"/>
      <c r="QVY107" s="974"/>
      <c r="QVZ107" s="974"/>
      <c r="QWA107" s="974"/>
      <c r="QWB107" s="974"/>
      <c r="QWC107" s="974"/>
      <c r="QWD107" s="974"/>
      <c r="QWE107" s="974"/>
      <c r="QWF107" s="974"/>
      <c r="QWG107" s="974"/>
      <c r="QWH107" s="974"/>
      <c r="QWI107" s="974"/>
      <c r="QWJ107" s="974"/>
      <c r="QWK107" s="974"/>
      <c r="QWL107" s="974"/>
      <c r="QWM107" s="974"/>
      <c r="QWN107" s="974"/>
      <c r="QWO107" s="974"/>
      <c r="QWP107" s="974"/>
      <c r="QWQ107" s="974"/>
      <c r="QWR107" s="974"/>
      <c r="QWS107" s="974"/>
      <c r="QWT107" s="974"/>
      <c r="QWU107" s="974"/>
      <c r="QWV107" s="974"/>
      <c r="QWW107" s="974"/>
      <c r="QWX107" s="974"/>
      <c r="QWY107" s="974"/>
      <c r="QWZ107" s="974"/>
      <c r="QXA107" s="974"/>
      <c r="QXB107" s="974"/>
      <c r="QXC107" s="974"/>
      <c r="QXD107" s="974"/>
      <c r="QXE107" s="974"/>
      <c r="QXF107" s="974"/>
      <c r="QXG107" s="974"/>
      <c r="QXH107" s="974"/>
      <c r="QXI107" s="974"/>
      <c r="QXJ107" s="974"/>
      <c r="QXK107" s="974"/>
      <c r="QXL107" s="974"/>
      <c r="QXM107" s="974"/>
      <c r="QXN107" s="974"/>
      <c r="QXO107" s="974"/>
      <c r="QXP107" s="974"/>
      <c r="QXQ107" s="974"/>
      <c r="QXR107" s="974"/>
      <c r="QXS107" s="974"/>
      <c r="QXT107" s="974"/>
      <c r="QXU107" s="974"/>
      <c r="QXV107" s="974"/>
      <c r="QXW107" s="974"/>
      <c r="QXX107" s="974"/>
      <c r="QXY107" s="974"/>
      <c r="QXZ107" s="974"/>
      <c r="QYA107" s="974"/>
      <c r="QYB107" s="974"/>
      <c r="QYC107" s="974"/>
      <c r="QYD107" s="974"/>
      <c r="QYE107" s="974"/>
      <c r="QYF107" s="974"/>
      <c r="QYG107" s="974"/>
      <c r="QYH107" s="974"/>
      <c r="QYI107" s="974"/>
      <c r="QYJ107" s="974"/>
      <c r="QYK107" s="974"/>
      <c r="QYL107" s="974"/>
      <c r="QYM107" s="974"/>
      <c r="QYN107" s="974"/>
      <c r="QYO107" s="974"/>
      <c r="QYP107" s="974"/>
      <c r="QYQ107" s="974"/>
      <c r="QYR107" s="974"/>
      <c r="QYS107" s="974"/>
      <c r="QYT107" s="974"/>
      <c r="QYU107" s="974"/>
      <c r="QYV107" s="974"/>
      <c r="QYW107" s="974"/>
      <c r="QYX107" s="974"/>
      <c r="QYY107" s="974"/>
      <c r="QYZ107" s="974"/>
      <c r="QZA107" s="974"/>
      <c r="QZB107" s="974"/>
      <c r="QZC107" s="974"/>
      <c r="QZD107" s="974"/>
      <c r="QZE107" s="974"/>
      <c r="QZF107" s="974"/>
      <c r="QZG107" s="974"/>
      <c r="QZH107" s="974"/>
      <c r="QZI107" s="974"/>
      <c r="QZJ107" s="974"/>
      <c r="QZK107" s="974"/>
      <c r="QZL107" s="974"/>
      <c r="QZM107" s="974"/>
      <c r="QZN107" s="974"/>
      <c r="QZO107" s="974"/>
      <c r="QZP107" s="974"/>
      <c r="QZQ107" s="974"/>
      <c r="QZR107" s="974"/>
      <c r="QZS107" s="974"/>
      <c r="QZT107" s="974"/>
      <c r="QZU107" s="974"/>
      <c r="QZV107" s="974"/>
      <c r="QZW107" s="974"/>
      <c r="QZX107" s="974"/>
      <c r="QZY107" s="974"/>
      <c r="QZZ107" s="974"/>
      <c r="RAA107" s="974"/>
      <c r="RAB107" s="974"/>
      <c r="RAC107" s="974"/>
      <c r="RAD107" s="974"/>
      <c r="RAE107" s="974"/>
      <c r="RAF107" s="974"/>
      <c r="RAG107" s="974"/>
      <c r="RAH107" s="974"/>
      <c r="RAI107" s="974"/>
      <c r="RAJ107" s="974"/>
      <c r="RAK107" s="974"/>
      <c r="RAL107" s="974"/>
      <c r="RAM107" s="974"/>
      <c r="RAN107" s="974"/>
      <c r="RAO107" s="974"/>
      <c r="RAP107" s="974"/>
      <c r="RAQ107" s="974"/>
      <c r="RAR107" s="974"/>
      <c r="RAS107" s="974"/>
      <c r="RAT107" s="974"/>
      <c r="RAU107" s="974"/>
      <c r="RAV107" s="974"/>
      <c r="RAW107" s="974"/>
      <c r="RAX107" s="974"/>
      <c r="RAY107" s="974"/>
      <c r="RAZ107" s="974"/>
      <c r="RBA107" s="974"/>
      <c r="RBB107" s="974"/>
      <c r="RBC107" s="974"/>
      <c r="RBD107" s="974"/>
      <c r="RBE107" s="974"/>
      <c r="RBF107" s="974"/>
      <c r="RBG107" s="974"/>
      <c r="RBH107" s="974"/>
      <c r="RBI107" s="974"/>
      <c r="RBJ107" s="974"/>
      <c r="RBK107" s="974"/>
      <c r="RBL107" s="974"/>
      <c r="RBM107" s="974"/>
      <c r="RBN107" s="974"/>
      <c r="RBO107" s="974"/>
      <c r="RBP107" s="974"/>
      <c r="RBQ107" s="974"/>
      <c r="RBR107" s="974"/>
      <c r="RBS107" s="974"/>
      <c r="RBT107" s="974"/>
      <c r="RBU107" s="974"/>
      <c r="RBV107" s="974"/>
      <c r="RBW107" s="974"/>
      <c r="RBX107" s="974"/>
      <c r="RBY107" s="974"/>
      <c r="RBZ107" s="974"/>
      <c r="RCA107" s="974"/>
      <c r="RCB107" s="974"/>
      <c r="RCC107" s="974"/>
      <c r="RCD107" s="974"/>
      <c r="RCE107" s="974"/>
      <c r="RCF107" s="974"/>
      <c r="RCG107" s="974"/>
      <c r="RCH107" s="974"/>
      <c r="RCI107" s="974"/>
      <c r="RCJ107" s="974"/>
      <c r="RCK107" s="974"/>
      <c r="RCL107" s="974"/>
      <c r="RCM107" s="974"/>
      <c r="RCN107" s="974"/>
      <c r="RCO107" s="974"/>
      <c r="RCP107" s="974"/>
      <c r="RCQ107" s="974"/>
      <c r="RCR107" s="974"/>
      <c r="RCS107" s="974"/>
      <c r="RCT107" s="974"/>
      <c r="RCU107" s="974"/>
      <c r="RCV107" s="974"/>
      <c r="RCW107" s="974"/>
      <c r="RCX107" s="974"/>
      <c r="RCY107" s="974"/>
      <c r="RCZ107" s="974"/>
      <c r="RDA107" s="974"/>
      <c r="RDB107" s="974"/>
      <c r="RDC107" s="974"/>
      <c r="RDD107" s="974"/>
      <c r="RDE107" s="974"/>
      <c r="RDF107" s="974"/>
      <c r="RDG107" s="974"/>
      <c r="RDH107" s="974"/>
      <c r="RDI107" s="974"/>
      <c r="RDJ107" s="974"/>
      <c r="RDK107" s="974"/>
      <c r="RDL107" s="974"/>
      <c r="RDM107" s="974"/>
      <c r="RDN107" s="974"/>
      <c r="RDO107" s="974"/>
      <c r="RDP107" s="974"/>
      <c r="RDQ107" s="974"/>
      <c r="RDR107" s="974"/>
      <c r="RDS107" s="974"/>
      <c r="RDT107" s="974"/>
      <c r="RDU107" s="974"/>
      <c r="RDV107" s="974"/>
      <c r="RDW107" s="974"/>
      <c r="RDX107" s="974"/>
      <c r="RDY107" s="974"/>
      <c r="RDZ107" s="974"/>
      <c r="REA107" s="974"/>
      <c r="REB107" s="974"/>
      <c r="REC107" s="974"/>
      <c r="RED107" s="974"/>
      <c r="REE107" s="974"/>
      <c r="REF107" s="974"/>
      <c r="REG107" s="974"/>
      <c r="REH107" s="974"/>
      <c r="REI107" s="974"/>
      <c r="REJ107" s="974"/>
      <c r="REK107" s="974"/>
      <c r="REL107" s="974"/>
      <c r="REM107" s="974"/>
      <c r="REN107" s="974"/>
      <c r="REO107" s="974"/>
      <c r="REP107" s="974"/>
      <c r="REQ107" s="974"/>
      <c r="RER107" s="974"/>
      <c r="RES107" s="974"/>
      <c r="RET107" s="974"/>
      <c r="REU107" s="974"/>
      <c r="REV107" s="974"/>
      <c r="REW107" s="974"/>
      <c r="REX107" s="974"/>
      <c r="REY107" s="974"/>
      <c r="REZ107" s="974"/>
      <c r="RFA107" s="974"/>
      <c r="RFB107" s="974"/>
      <c r="RFC107" s="974"/>
      <c r="RFD107" s="974"/>
      <c r="RFE107" s="974"/>
      <c r="RFF107" s="974"/>
      <c r="RFG107" s="974"/>
      <c r="RFH107" s="974"/>
      <c r="RFI107" s="974"/>
      <c r="RFJ107" s="974"/>
      <c r="RFK107" s="974"/>
      <c r="RFL107" s="974"/>
      <c r="RFM107" s="974"/>
      <c r="RFN107" s="974"/>
      <c r="RFO107" s="974"/>
      <c r="RFP107" s="974"/>
      <c r="RFQ107" s="974"/>
      <c r="RFR107" s="974"/>
      <c r="RFS107" s="974"/>
      <c r="RFT107" s="974"/>
      <c r="RFU107" s="974"/>
      <c r="RFV107" s="974"/>
      <c r="RFW107" s="974"/>
      <c r="RFX107" s="974"/>
      <c r="RFY107" s="974"/>
      <c r="RFZ107" s="974"/>
      <c r="RGA107" s="974"/>
      <c r="RGB107" s="974"/>
      <c r="RGC107" s="974"/>
      <c r="RGD107" s="974"/>
      <c r="RGE107" s="974"/>
      <c r="RGF107" s="974"/>
      <c r="RGG107" s="974"/>
      <c r="RGH107" s="974"/>
      <c r="RGI107" s="974"/>
      <c r="RGJ107" s="974"/>
      <c r="RGK107" s="974"/>
      <c r="RGL107" s="974"/>
      <c r="RGM107" s="974"/>
      <c r="RGN107" s="974"/>
      <c r="RGO107" s="974"/>
      <c r="RGP107" s="974"/>
      <c r="RGQ107" s="974"/>
      <c r="RGR107" s="974"/>
      <c r="RGS107" s="974"/>
      <c r="RGT107" s="974"/>
      <c r="RGU107" s="974"/>
      <c r="RGV107" s="974"/>
      <c r="RGW107" s="974"/>
      <c r="RGX107" s="974"/>
      <c r="RGY107" s="974"/>
      <c r="RGZ107" s="974"/>
      <c r="RHA107" s="974"/>
      <c r="RHB107" s="974"/>
      <c r="RHC107" s="974"/>
      <c r="RHD107" s="974"/>
      <c r="RHE107" s="974"/>
      <c r="RHF107" s="974"/>
      <c r="RHG107" s="974"/>
      <c r="RHH107" s="974"/>
      <c r="RHI107" s="974"/>
      <c r="RHJ107" s="974"/>
      <c r="RHK107" s="974"/>
      <c r="RHL107" s="974"/>
      <c r="RHM107" s="974"/>
      <c r="RHN107" s="974"/>
      <c r="RHO107" s="974"/>
      <c r="RHP107" s="974"/>
      <c r="RHQ107" s="974"/>
      <c r="RHR107" s="974"/>
      <c r="RHS107" s="974"/>
      <c r="RHT107" s="974"/>
      <c r="RHU107" s="974"/>
      <c r="RHV107" s="974"/>
      <c r="RHW107" s="974"/>
      <c r="RHX107" s="974"/>
      <c r="RHY107" s="974"/>
      <c r="RHZ107" s="974"/>
      <c r="RIA107" s="974"/>
      <c r="RIB107" s="974"/>
      <c r="RIC107" s="974"/>
      <c r="RID107" s="974"/>
      <c r="RIE107" s="974"/>
      <c r="RIF107" s="974"/>
      <c r="RIG107" s="974"/>
      <c r="RIH107" s="974"/>
      <c r="RII107" s="974"/>
      <c r="RIJ107" s="974"/>
      <c r="RIK107" s="974"/>
      <c r="RIL107" s="974"/>
      <c r="RIM107" s="974"/>
      <c r="RIN107" s="974"/>
      <c r="RIO107" s="974"/>
      <c r="RIP107" s="974"/>
      <c r="RIQ107" s="974"/>
      <c r="RIR107" s="974"/>
      <c r="RIS107" s="974"/>
      <c r="RIT107" s="974"/>
      <c r="RIU107" s="974"/>
      <c r="RIV107" s="974"/>
      <c r="RIW107" s="974"/>
      <c r="RIX107" s="974"/>
      <c r="RIY107" s="974"/>
      <c r="RIZ107" s="974"/>
      <c r="RJA107" s="974"/>
      <c r="RJB107" s="974"/>
      <c r="RJC107" s="974"/>
      <c r="RJD107" s="974"/>
      <c r="RJE107" s="974"/>
      <c r="RJF107" s="974"/>
      <c r="RJG107" s="974"/>
      <c r="RJH107" s="974"/>
      <c r="RJI107" s="974"/>
      <c r="RJJ107" s="974"/>
      <c r="RJK107" s="974"/>
      <c r="RJL107" s="974"/>
      <c r="RJM107" s="974"/>
      <c r="RJN107" s="974"/>
      <c r="RJO107" s="974"/>
      <c r="RJP107" s="974"/>
      <c r="RJQ107" s="974"/>
      <c r="RJR107" s="974"/>
      <c r="RJS107" s="974"/>
      <c r="RJT107" s="974"/>
      <c r="RJU107" s="974"/>
      <c r="RJV107" s="974"/>
      <c r="RJW107" s="974"/>
      <c r="RJX107" s="974"/>
      <c r="RJY107" s="974"/>
      <c r="RJZ107" s="974"/>
      <c r="RKA107" s="974"/>
      <c r="RKB107" s="974"/>
      <c r="RKC107" s="974"/>
      <c r="RKD107" s="974"/>
      <c r="RKE107" s="974"/>
      <c r="RKF107" s="974"/>
      <c r="RKG107" s="974"/>
      <c r="RKH107" s="974"/>
      <c r="RKI107" s="974"/>
      <c r="RKJ107" s="974"/>
      <c r="RKK107" s="974"/>
      <c r="RKL107" s="974"/>
      <c r="RKM107" s="974"/>
      <c r="RKN107" s="974"/>
      <c r="RKO107" s="974"/>
      <c r="RKP107" s="974"/>
      <c r="RKQ107" s="974"/>
      <c r="RKR107" s="974"/>
      <c r="RKS107" s="974"/>
      <c r="RKT107" s="974"/>
      <c r="RKU107" s="974"/>
      <c r="RKV107" s="974"/>
      <c r="RKW107" s="974"/>
      <c r="RKX107" s="974"/>
      <c r="RKY107" s="974"/>
      <c r="RKZ107" s="974"/>
      <c r="RLA107" s="974"/>
      <c r="RLB107" s="974"/>
      <c r="RLC107" s="974"/>
      <c r="RLD107" s="974"/>
      <c r="RLE107" s="974"/>
      <c r="RLF107" s="974"/>
      <c r="RLG107" s="974"/>
      <c r="RLH107" s="974"/>
      <c r="RLI107" s="974"/>
      <c r="RLJ107" s="974"/>
      <c r="RLK107" s="974"/>
      <c r="RLL107" s="974"/>
      <c r="RLM107" s="974"/>
      <c r="RLN107" s="974"/>
      <c r="RLO107" s="974"/>
      <c r="RLP107" s="974"/>
      <c r="RLQ107" s="974"/>
      <c r="RLR107" s="974"/>
      <c r="RLS107" s="974"/>
      <c r="RLT107" s="974"/>
      <c r="RLU107" s="974"/>
      <c r="RLV107" s="974"/>
      <c r="RLW107" s="974"/>
      <c r="RLX107" s="974"/>
      <c r="RLY107" s="974"/>
      <c r="RLZ107" s="974"/>
      <c r="RMA107" s="974"/>
      <c r="RMB107" s="974"/>
      <c r="RMC107" s="974"/>
      <c r="RMD107" s="974"/>
      <c r="RME107" s="974"/>
      <c r="RMF107" s="974"/>
      <c r="RMG107" s="974"/>
      <c r="RMH107" s="974"/>
      <c r="RMI107" s="974"/>
      <c r="RMJ107" s="974"/>
      <c r="RMK107" s="974"/>
      <c r="RML107" s="974"/>
      <c r="RMM107" s="974"/>
      <c r="RMN107" s="974"/>
      <c r="RMO107" s="974"/>
      <c r="RMP107" s="974"/>
      <c r="RMQ107" s="974"/>
      <c r="RMR107" s="974"/>
      <c r="RMS107" s="974"/>
      <c r="RMT107" s="974"/>
      <c r="RMU107" s="974"/>
      <c r="RMV107" s="974"/>
      <c r="RMW107" s="974"/>
      <c r="RMX107" s="974"/>
      <c r="RMY107" s="974"/>
      <c r="RMZ107" s="974"/>
      <c r="RNA107" s="974"/>
      <c r="RNB107" s="974"/>
      <c r="RNC107" s="974"/>
      <c r="RND107" s="974"/>
      <c r="RNE107" s="974"/>
      <c r="RNF107" s="974"/>
      <c r="RNG107" s="974"/>
      <c r="RNH107" s="974"/>
      <c r="RNI107" s="974"/>
      <c r="RNJ107" s="974"/>
      <c r="RNK107" s="974"/>
      <c r="RNL107" s="974"/>
      <c r="RNM107" s="974"/>
      <c r="RNN107" s="974"/>
      <c r="RNO107" s="974"/>
      <c r="RNP107" s="974"/>
      <c r="RNQ107" s="974"/>
      <c r="RNR107" s="974"/>
      <c r="RNS107" s="974"/>
      <c r="RNT107" s="974"/>
      <c r="RNU107" s="974"/>
      <c r="RNV107" s="974"/>
      <c r="RNW107" s="974"/>
      <c r="RNX107" s="974"/>
      <c r="RNY107" s="974"/>
      <c r="RNZ107" s="974"/>
      <c r="ROA107" s="974"/>
      <c r="ROB107" s="974"/>
      <c r="ROC107" s="974"/>
      <c r="ROD107" s="974"/>
      <c r="ROE107" s="974"/>
      <c r="ROF107" s="974"/>
      <c r="ROG107" s="974"/>
      <c r="ROH107" s="974"/>
      <c r="ROI107" s="974"/>
      <c r="ROJ107" s="974"/>
      <c r="ROK107" s="974"/>
      <c r="ROL107" s="974"/>
      <c r="ROM107" s="974"/>
      <c r="RON107" s="974"/>
      <c r="ROO107" s="974"/>
      <c r="ROP107" s="974"/>
      <c r="ROQ107" s="974"/>
      <c r="ROR107" s="974"/>
      <c r="ROS107" s="974"/>
      <c r="ROT107" s="974"/>
      <c r="ROU107" s="974"/>
      <c r="ROV107" s="974"/>
      <c r="ROW107" s="974"/>
      <c r="ROX107" s="974"/>
      <c r="ROY107" s="974"/>
      <c r="ROZ107" s="974"/>
      <c r="RPA107" s="974"/>
      <c r="RPB107" s="974"/>
      <c r="RPC107" s="974"/>
      <c r="RPD107" s="974"/>
      <c r="RPE107" s="974"/>
      <c r="RPF107" s="974"/>
      <c r="RPG107" s="974"/>
      <c r="RPH107" s="974"/>
      <c r="RPI107" s="974"/>
      <c r="RPJ107" s="974"/>
      <c r="RPK107" s="974"/>
      <c r="RPL107" s="974"/>
      <c r="RPM107" s="974"/>
      <c r="RPN107" s="974"/>
      <c r="RPO107" s="974"/>
      <c r="RPP107" s="974"/>
      <c r="RPQ107" s="974"/>
      <c r="RPR107" s="974"/>
      <c r="RPS107" s="974"/>
      <c r="RPT107" s="974"/>
      <c r="RPU107" s="974"/>
      <c r="RPV107" s="974"/>
      <c r="RPW107" s="974"/>
      <c r="RPX107" s="974"/>
      <c r="RPY107" s="974"/>
      <c r="RPZ107" s="974"/>
      <c r="RQA107" s="974"/>
      <c r="RQB107" s="974"/>
      <c r="RQC107" s="974"/>
      <c r="RQD107" s="974"/>
      <c r="RQE107" s="974"/>
      <c r="RQF107" s="974"/>
      <c r="RQG107" s="974"/>
      <c r="RQH107" s="974"/>
      <c r="RQI107" s="974"/>
      <c r="RQJ107" s="974"/>
      <c r="RQK107" s="974"/>
      <c r="RQL107" s="974"/>
      <c r="RQM107" s="974"/>
      <c r="RQN107" s="974"/>
      <c r="RQO107" s="974"/>
      <c r="RQP107" s="974"/>
      <c r="RQQ107" s="974"/>
      <c r="RQR107" s="974"/>
      <c r="RQS107" s="974"/>
      <c r="RQT107" s="974"/>
      <c r="RQU107" s="974"/>
      <c r="RQV107" s="974"/>
      <c r="RQW107" s="974"/>
      <c r="RQX107" s="974"/>
      <c r="RQY107" s="974"/>
      <c r="RQZ107" s="974"/>
      <c r="RRA107" s="974"/>
      <c r="RRB107" s="974"/>
      <c r="RRC107" s="974"/>
      <c r="RRD107" s="974"/>
      <c r="RRE107" s="974"/>
      <c r="RRF107" s="974"/>
      <c r="RRG107" s="974"/>
      <c r="RRH107" s="974"/>
      <c r="RRI107" s="974"/>
      <c r="RRJ107" s="974"/>
      <c r="RRK107" s="974"/>
      <c r="RRL107" s="974"/>
      <c r="RRM107" s="974"/>
      <c r="RRN107" s="974"/>
      <c r="RRO107" s="974"/>
      <c r="RRP107" s="974"/>
      <c r="RRQ107" s="974"/>
      <c r="RRR107" s="974"/>
      <c r="RRS107" s="974"/>
      <c r="RRT107" s="974"/>
      <c r="RRU107" s="974"/>
      <c r="RRV107" s="974"/>
      <c r="RRW107" s="974"/>
      <c r="RRX107" s="974"/>
      <c r="RRY107" s="974"/>
      <c r="RRZ107" s="974"/>
      <c r="RSA107" s="974"/>
      <c r="RSB107" s="974"/>
      <c r="RSC107" s="974"/>
      <c r="RSD107" s="974"/>
      <c r="RSE107" s="974"/>
      <c r="RSF107" s="974"/>
      <c r="RSG107" s="974"/>
      <c r="RSH107" s="974"/>
      <c r="RSI107" s="974"/>
      <c r="RSJ107" s="974"/>
      <c r="RSK107" s="974"/>
      <c r="RSL107" s="974"/>
      <c r="RSM107" s="974"/>
      <c r="RSN107" s="974"/>
      <c r="RSO107" s="974"/>
      <c r="RSP107" s="974"/>
      <c r="RSQ107" s="974"/>
      <c r="RSR107" s="974"/>
      <c r="RSS107" s="974"/>
      <c r="RST107" s="974"/>
      <c r="RSU107" s="974"/>
      <c r="RSV107" s="974"/>
      <c r="RSW107" s="974"/>
      <c r="RSX107" s="974"/>
      <c r="RSY107" s="974"/>
      <c r="RSZ107" s="974"/>
      <c r="RTA107" s="974"/>
      <c r="RTB107" s="974"/>
      <c r="RTC107" s="974"/>
      <c r="RTD107" s="974"/>
      <c r="RTE107" s="974"/>
      <c r="RTF107" s="974"/>
      <c r="RTG107" s="974"/>
      <c r="RTH107" s="974"/>
      <c r="RTI107" s="974"/>
      <c r="RTJ107" s="974"/>
      <c r="RTK107" s="974"/>
      <c r="RTL107" s="974"/>
      <c r="RTM107" s="974"/>
      <c r="RTN107" s="974"/>
      <c r="RTO107" s="974"/>
      <c r="RTP107" s="974"/>
      <c r="RTQ107" s="974"/>
      <c r="RTR107" s="974"/>
      <c r="RTS107" s="974"/>
      <c r="RTT107" s="974"/>
      <c r="RTU107" s="974"/>
      <c r="RTV107" s="974"/>
      <c r="RTW107" s="974"/>
      <c r="RTX107" s="974"/>
      <c r="RTY107" s="974"/>
      <c r="RTZ107" s="974"/>
      <c r="RUA107" s="974"/>
      <c r="RUB107" s="974"/>
      <c r="RUC107" s="974"/>
      <c r="RUD107" s="974"/>
      <c r="RUE107" s="974"/>
      <c r="RUF107" s="974"/>
      <c r="RUG107" s="974"/>
      <c r="RUH107" s="974"/>
      <c r="RUI107" s="974"/>
      <c r="RUJ107" s="974"/>
      <c r="RUK107" s="974"/>
      <c r="RUL107" s="974"/>
      <c r="RUM107" s="974"/>
      <c r="RUN107" s="974"/>
      <c r="RUO107" s="974"/>
      <c r="RUP107" s="974"/>
      <c r="RUQ107" s="974"/>
      <c r="RUR107" s="974"/>
      <c r="RUS107" s="974"/>
      <c r="RUT107" s="974"/>
      <c r="RUU107" s="974"/>
      <c r="RUV107" s="974"/>
      <c r="RUW107" s="974"/>
      <c r="RUX107" s="974"/>
      <c r="RUY107" s="974"/>
      <c r="RUZ107" s="974"/>
      <c r="RVA107" s="974"/>
      <c r="RVB107" s="974"/>
      <c r="RVC107" s="974"/>
      <c r="RVD107" s="974"/>
      <c r="RVE107" s="974"/>
      <c r="RVF107" s="974"/>
      <c r="RVG107" s="974"/>
      <c r="RVH107" s="974"/>
      <c r="RVI107" s="974"/>
      <c r="RVJ107" s="974"/>
      <c r="RVK107" s="974"/>
      <c r="RVL107" s="974"/>
      <c r="RVM107" s="974"/>
      <c r="RVN107" s="974"/>
      <c r="RVO107" s="974"/>
      <c r="RVP107" s="974"/>
      <c r="RVQ107" s="974"/>
      <c r="RVR107" s="974"/>
      <c r="RVS107" s="974"/>
      <c r="RVT107" s="974"/>
      <c r="RVU107" s="974"/>
      <c r="RVV107" s="974"/>
      <c r="RVW107" s="974"/>
      <c r="RVX107" s="974"/>
      <c r="RVY107" s="974"/>
      <c r="RVZ107" s="974"/>
      <c r="RWA107" s="974"/>
      <c r="RWB107" s="974"/>
      <c r="RWC107" s="974"/>
      <c r="RWD107" s="974"/>
      <c r="RWE107" s="974"/>
      <c r="RWF107" s="974"/>
      <c r="RWG107" s="974"/>
      <c r="RWH107" s="974"/>
      <c r="RWI107" s="974"/>
      <c r="RWJ107" s="974"/>
      <c r="RWK107" s="974"/>
      <c r="RWL107" s="974"/>
      <c r="RWM107" s="974"/>
      <c r="RWN107" s="974"/>
      <c r="RWO107" s="974"/>
      <c r="RWP107" s="974"/>
      <c r="RWQ107" s="974"/>
      <c r="RWR107" s="974"/>
      <c r="RWS107" s="974"/>
      <c r="RWT107" s="974"/>
      <c r="RWU107" s="974"/>
      <c r="RWV107" s="974"/>
      <c r="RWW107" s="974"/>
      <c r="RWX107" s="974"/>
      <c r="RWY107" s="974"/>
      <c r="RWZ107" s="974"/>
      <c r="RXA107" s="974"/>
      <c r="RXB107" s="974"/>
      <c r="RXC107" s="974"/>
      <c r="RXD107" s="974"/>
      <c r="RXE107" s="974"/>
      <c r="RXF107" s="974"/>
      <c r="RXG107" s="974"/>
      <c r="RXH107" s="974"/>
      <c r="RXI107" s="974"/>
      <c r="RXJ107" s="974"/>
      <c r="RXK107" s="974"/>
      <c r="RXL107" s="974"/>
      <c r="RXM107" s="974"/>
      <c r="RXN107" s="974"/>
      <c r="RXO107" s="974"/>
      <c r="RXP107" s="974"/>
      <c r="RXQ107" s="974"/>
      <c r="RXR107" s="974"/>
      <c r="RXS107" s="974"/>
      <c r="RXT107" s="974"/>
      <c r="RXU107" s="974"/>
      <c r="RXV107" s="974"/>
      <c r="RXW107" s="974"/>
      <c r="RXX107" s="974"/>
      <c r="RXY107" s="974"/>
      <c r="RXZ107" s="974"/>
      <c r="RYA107" s="974"/>
      <c r="RYB107" s="974"/>
      <c r="RYC107" s="974"/>
      <c r="RYD107" s="974"/>
      <c r="RYE107" s="974"/>
      <c r="RYF107" s="974"/>
      <c r="RYG107" s="974"/>
      <c r="RYH107" s="974"/>
      <c r="RYI107" s="974"/>
      <c r="RYJ107" s="974"/>
      <c r="RYK107" s="974"/>
      <c r="RYL107" s="974"/>
      <c r="RYM107" s="974"/>
      <c r="RYN107" s="974"/>
      <c r="RYO107" s="974"/>
      <c r="RYP107" s="974"/>
      <c r="RYQ107" s="974"/>
      <c r="RYR107" s="974"/>
      <c r="RYS107" s="974"/>
      <c r="RYT107" s="974"/>
      <c r="RYU107" s="974"/>
      <c r="RYV107" s="974"/>
      <c r="RYW107" s="974"/>
      <c r="RYX107" s="974"/>
      <c r="RYY107" s="974"/>
      <c r="RYZ107" s="974"/>
      <c r="RZA107" s="974"/>
      <c r="RZB107" s="974"/>
      <c r="RZC107" s="974"/>
      <c r="RZD107" s="974"/>
      <c r="RZE107" s="974"/>
      <c r="RZF107" s="974"/>
      <c r="RZG107" s="974"/>
      <c r="RZH107" s="974"/>
      <c r="RZI107" s="974"/>
      <c r="RZJ107" s="974"/>
      <c r="RZK107" s="974"/>
      <c r="RZL107" s="974"/>
      <c r="RZM107" s="974"/>
      <c r="RZN107" s="974"/>
      <c r="RZO107" s="974"/>
      <c r="RZP107" s="974"/>
      <c r="RZQ107" s="974"/>
      <c r="RZR107" s="974"/>
      <c r="RZS107" s="974"/>
      <c r="RZT107" s="974"/>
      <c r="RZU107" s="974"/>
      <c r="RZV107" s="974"/>
      <c r="RZW107" s="974"/>
      <c r="RZX107" s="974"/>
      <c r="RZY107" s="974"/>
      <c r="RZZ107" s="974"/>
      <c r="SAA107" s="974"/>
      <c r="SAB107" s="974"/>
      <c r="SAC107" s="974"/>
      <c r="SAD107" s="974"/>
      <c r="SAE107" s="974"/>
      <c r="SAF107" s="974"/>
      <c r="SAG107" s="974"/>
      <c r="SAH107" s="974"/>
      <c r="SAI107" s="974"/>
      <c r="SAJ107" s="974"/>
      <c r="SAK107" s="974"/>
      <c r="SAL107" s="974"/>
      <c r="SAM107" s="974"/>
      <c r="SAN107" s="974"/>
      <c r="SAO107" s="974"/>
      <c r="SAP107" s="974"/>
      <c r="SAQ107" s="974"/>
      <c r="SAR107" s="974"/>
      <c r="SAS107" s="974"/>
      <c r="SAT107" s="974"/>
      <c r="SAU107" s="974"/>
      <c r="SAV107" s="974"/>
      <c r="SAW107" s="974"/>
      <c r="SAX107" s="974"/>
      <c r="SAY107" s="974"/>
      <c r="SAZ107" s="974"/>
      <c r="SBA107" s="974"/>
      <c r="SBB107" s="974"/>
      <c r="SBC107" s="974"/>
      <c r="SBD107" s="974"/>
      <c r="SBE107" s="974"/>
      <c r="SBF107" s="974"/>
      <c r="SBG107" s="974"/>
      <c r="SBH107" s="974"/>
      <c r="SBI107" s="974"/>
      <c r="SBJ107" s="974"/>
      <c r="SBK107" s="974"/>
      <c r="SBL107" s="974"/>
      <c r="SBM107" s="974"/>
      <c r="SBN107" s="974"/>
      <c r="SBO107" s="974"/>
      <c r="SBP107" s="974"/>
      <c r="SBQ107" s="974"/>
      <c r="SBR107" s="974"/>
      <c r="SBS107" s="974"/>
      <c r="SBT107" s="974"/>
      <c r="SBU107" s="974"/>
      <c r="SBV107" s="974"/>
      <c r="SBW107" s="974"/>
      <c r="SBX107" s="974"/>
      <c r="SBY107" s="974"/>
      <c r="SBZ107" s="974"/>
      <c r="SCA107" s="974"/>
      <c r="SCB107" s="974"/>
      <c r="SCC107" s="974"/>
      <c r="SCD107" s="974"/>
      <c r="SCE107" s="974"/>
      <c r="SCF107" s="974"/>
      <c r="SCG107" s="974"/>
      <c r="SCH107" s="974"/>
      <c r="SCI107" s="974"/>
      <c r="SCJ107" s="974"/>
      <c r="SCK107" s="974"/>
      <c r="SCL107" s="974"/>
      <c r="SCM107" s="974"/>
      <c r="SCN107" s="974"/>
      <c r="SCO107" s="974"/>
      <c r="SCP107" s="974"/>
      <c r="SCQ107" s="974"/>
      <c r="SCR107" s="974"/>
      <c r="SCS107" s="974"/>
      <c r="SCT107" s="974"/>
      <c r="SCU107" s="974"/>
      <c r="SCV107" s="974"/>
      <c r="SCW107" s="974"/>
      <c r="SCX107" s="974"/>
      <c r="SCY107" s="974"/>
      <c r="SCZ107" s="974"/>
      <c r="SDA107" s="974"/>
      <c r="SDB107" s="974"/>
      <c r="SDC107" s="974"/>
      <c r="SDD107" s="974"/>
      <c r="SDE107" s="974"/>
      <c r="SDF107" s="974"/>
      <c r="SDG107" s="974"/>
      <c r="SDH107" s="974"/>
      <c r="SDI107" s="974"/>
      <c r="SDJ107" s="974"/>
      <c r="SDK107" s="974"/>
      <c r="SDL107" s="974"/>
      <c r="SDM107" s="974"/>
      <c r="SDN107" s="974"/>
      <c r="SDO107" s="974"/>
      <c r="SDP107" s="974"/>
      <c r="SDQ107" s="974"/>
      <c r="SDR107" s="974"/>
      <c r="SDS107" s="974"/>
      <c r="SDT107" s="974"/>
      <c r="SDU107" s="974"/>
      <c r="SDV107" s="974"/>
      <c r="SDW107" s="974"/>
      <c r="SDX107" s="974"/>
      <c r="SDY107" s="974"/>
      <c r="SDZ107" s="974"/>
      <c r="SEA107" s="974"/>
      <c r="SEB107" s="974"/>
      <c r="SEC107" s="974"/>
      <c r="SED107" s="974"/>
      <c r="SEE107" s="974"/>
      <c r="SEF107" s="974"/>
      <c r="SEG107" s="974"/>
      <c r="SEH107" s="974"/>
      <c r="SEI107" s="974"/>
      <c r="SEJ107" s="974"/>
      <c r="SEK107" s="974"/>
      <c r="SEL107" s="974"/>
      <c r="SEM107" s="974"/>
      <c r="SEN107" s="974"/>
      <c r="SEO107" s="974"/>
      <c r="SEP107" s="974"/>
      <c r="SEQ107" s="974"/>
      <c r="SER107" s="974"/>
      <c r="SES107" s="974"/>
      <c r="SET107" s="974"/>
      <c r="SEU107" s="974"/>
      <c r="SEV107" s="974"/>
      <c r="SEW107" s="974"/>
      <c r="SEX107" s="974"/>
      <c r="SEY107" s="974"/>
      <c r="SEZ107" s="974"/>
      <c r="SFA107" s="974"/>
      <c r="SFB107" s="974"/>
      <c r="SFC107" s="974"/>
      <c r="SFD107" s="974"/>
      <c r="SFE107" s="974"/>
      <c r="SFF107" s="974"/>
      <c r="SFG107" s="974"/>
      <c r="SFH107" s="974"/>
      <c r="SFI107" s="974"/>
      <c r="SFJ107" s="974"/>
      <c r="SFK107" s="974"/>
      <c r="SFL107" s="974"/>
      <c r="SFM107" s="974"/>
      <c r="SFN107" s="974"/>
      <c r="SFO107" s="974"/>
      <c r="SFP107" s="974"/>
      <c r="SFQ107" s="974"/>
      <c r="SFR107" s="974"/>
      <c r="SFS107" s="974"/>
      <c r="SFT107" s="974"/>
      <c r="SFU107" s="974"/>
      <c r="SFV107" s="974"/>
      <c r="SFW107" s="974"/>
      <c r="SFX107" s="974"/>
      <c r="SFY107" s="974"/>
      <c r="SFZ107" s="974"/>
      <c r="SGA107" s="974"/>
      <c r="SGB107" s="974"/>
      <c r="SGC107" s="974"/>
      <c r="SGD107" s="974"/>
      <c r="SGE107" s="974"/>
      <c r="SGF107" s="974"/>
      <c r="SGG107" s="974"/>
      <c r="SGH107" s="974"/>
      <c r="SGI107" s="974"/>
      <c r="SGJ107" s="974"/>
      <c r="SGK107" s="974"/>
      <c r="SGL107" s="974"/>
      <c r="SGM107" s="974"/>
      <c r="SGN107" s="974"/>
      <c r="SGO107" s="974"/>
      <c r="SGP107" s="974"/>
      <c r="SGQ107" s="974"/>
      <c r="SGR107" s="974"/>
      <c r="SGS107" s="974"/>
      <c r="SGT107" s="974"/>
      <c r="SGU107" s="974"/>
      <c r="SGV107" s="974"/>
      <c r="SGW107" s="974"/>
      <c r="SGX107" s="974"/>
      <c r="SGY107" s="974"/>
      <c r="SGZ107" s="974"/>
      <c r="SHA107" s="974"/>
      <c r="SHB107" s="974"/>
      <c r="SHC107" s="974"/>
      <c r="SHD107" s="974"/>
      <c r="SHE107" s="974"/>
      <c r="SHF107" s="974"/>
      <c r="SHG107" s="974"/>
      <c r="SHH107" s="974"/>
      <c r="SHI107" s="974"/>
      <c r="SHJ107" s="974"/>
      <c r="SHK107" s="974"/>
      <c r="SHL107" s="974"/>
      <c r="SHM107" s="974"/>
      <c r="SHN107" s="974"/>
      <c r="SHO107" s="974"/>
      <c r="SHP107" s="974"/>
      <c r="SHQ107" s="974"/>
      <c r="SHR107" s="974"/>
      <c r="SHS107" s="974"/>
      <c r="SHT107" s="974"/>
      <c r="SHU107" s="974"/>
      <c r="SHV107" s="974"/>
      <c r="SHW107" s="974"/>
      <c r="SHX107" s="974"/>
      <c r="SHY107" s="974"/>
      <c r="SHZ107" s="974"/>
      <c r="SIA107" s="974"/>
      <c r="SIB107" s="974"/>
      <c r="SIC107" s="974"/>
      <c r="SID107" s="974"/>
      <c r="SIE107" s="974"/>
      <c r="SIF107" s="974"/>
      <c r="SIG107" s="974"/>
      <c r="SIH107" s="974"/>
      <c r="SII107" s="974"/>
      <c r="SIJ107" s="974"/>
      <c r="SIK107" s="974"/>
      <c r="SIL107" s="974"/>
      <c r="SIM107" s="974"/>
      <c r="SIN107" s="974"/>
      <c r="SIO107" s="974"/>
      <c r="SIP107" s="974"/>
      <c r="SIQ107" s="974"/>
      <c r="SIR107" s="974"/>
      <c r="SIS107" s="974"/>
      <c r="SIT107" s="974"/>
      <c r="SIU107" s="974"/>
      <c r="SIV107" s="974"/>
      <c r="SIW107" s="974"/>
      <c r="SIX107" s="974"/>
      <c r="SIY107" s="974"/>
      <c r="SIZ107" s="974"/>
      <c r="SJA107" s="974"/>
      <c r="SJB107" s="974"/>
      <c r="SJC107" s="974"/>
      <c r="SJD107" s="974"/>
      <c r="SJE107" s="974"/>
      <c r="SJF107" s="974"/>
      <c r="SJG107" s="974"/>
      <c r="SJH107" s="974"/>
      <c r="SJI107" s="974"/>
      <c r="SJJ107" s="974"/>
      <c r="SJK107" s="974"/>
      <c r="SJL107" s="974"/>
      <c r="SJM107" s="974"/>
      <c r="SJN107" s="974"/>
      <c r="SJO107" s="974"/>
      <c r="SJP107" s="974"/>
      <c r="SJQ107" s="974"/>
      <c r="SJR107" s="974"/>
      <c r="SJS107" s="974"/>
      <c r="SJT107" s="974"/>
      <c r="SJU107" s="974"/>
      <c r="SJV107" s="974"/>
      <c r="SJW107" s="974"/>
      <c r="SJX107" s="974"/>
      <c r="SJY107" s="974"/>
      <c r="SJZ107" s="974"/>
      <c r="SKA107" s="974"/>
      <c r="SKB107" s="974"/>
      <c r="SKC107" s="974"/>
      <c r="SKD107" s="974"/>
      <c r="SKE107" s="974"/>
      <c r="SKF107" s="974"/>
      <c r="SKG107" s="974"/>
      <c r="SKH107" s="974"/>
      <c r="SKI107" s="974"/>
      <c r="SKJ107" s="974"/>
      <c r="SKK107" s="974"/>
      <c r="SKL107" s="974"/>
      <c r="SKM107" s="974"/>
      <c r="SKN107" s="974"/>
      <c r="SKO107" s="974"/>
      <c r="SKP107" s="974"/>
      <c r="SKQ107" s="974"/>
      <c r="SKR107" s="974"/>
      <c r="SKS107" s="974"/>
      <c r="SKT107" s="974"/>
      <c r="SKU107" s="974"/>
      <c r="SKV107" s="974"/>
      <c r="SKW107" s="974"/>
      <c r="SKX107" s="974"/>
      <c r="SKY107" s="974"/>
      <c r="SKZ107" s="974"/>
      <c r="SLA107" s="974"/>
      <c r="SLB107" s="974"/>
      <c r="SLC107" s="974"/>
      <c r="SLD107" s="974"/>
      <c r="SLE107" s="974"/>
      <c r="SLF107" s="974"/>
      <c r="SLG107" s="974"/>
      <c r="SLH107" s="974"/>
      <c r="SLI107" s="974"/>
      <c r="SLJ107" s="974"/>
      <c r="SLK107" s="974"/>
      <c r="SLL107" s="974"/>
      <c r="SLM107" s="974"/>
      <c r="SLN107" s="974"/>
      <c r="SLO107" s="974"/>
      <c r="SLP107" s="974"/>
      <c r="SLQ107" s="974"/>
      <c r="SLR107" s="974"/>
      <c r="SLS107" s="974"/>
      <c r="SLT107" s="974"/>
      <c r="SLU107" s="974"/>
      <c r="SLV107" s="974"/>
      <c r="SLW107" s="974"/>
      <c r="SLX107" s="974"/>
      <c r="SLY107" s="974"/>
      <c r="SLZ107" s="974"/>
      <c r="SMA107" s="974"/>
      <c r="SMB107" s="974"/>
      <c r="SMC107" s="974"/>
      <c r="SMD107" s="974"/>
      <c r="SME107" s="974"/>
      <c r="SMF107" s="974"/>
      <c r="SMG107" s="974"/>
      <c r="SMH107" s="974"/>
      <c r="SMI107" s="974"/>
      <c r="SMJ107" s="974"/>
      <c r="SMK107" s="974"/>
      <c r="SML107" s="974"/>
      <c r="SMM107" s="974"/>
      <c r="SMN107" s="974"/>
      <c r="SMO107" s="974"/>
      <c r="SMP107" s="974"/>
      <c r="SMQ107" s="974"/>
      <c r="SMR107" s="974"/>
      <c r="SMS107" s="974"/>
      <c r="SMT107" s="974"/>
      <c r="SMU107" s="974"/>
      <c r="SMV107" s="974"/>
      <c r="SMW107" s="974"/>
      <c r="SMX107" s="974"/>
      <c r="SMY107" s="974"/>
      <c r="SMZ107" s="974"/>
      <c r="SNA107" s="974"/>
      <c r="SNB107" s="974"/>
      <c r="SNC107" s="974"/>
      <c r="SND107" s="974"/>
      <c r="SNE107" s="974"/>
      <c r="SNF107" s="974"/>
      <c r="SNG107" s="974"/>
      <c r="SNH107" s="974"/>
      <c r="SNI107" s="974"/>
      <c r="SNJ107" s="974"/>
      <c r="SNK107" s="974"/>
      <c r="SNL107" s="974"/>
      <c r="SNM107" s="974"/>
      <c r="SNN107" s="974"/>
      <c r="SNO107" s="974"/>
      <c r="SNP107" s="974"/>
      <c r="SNQ107" s="974"/>
      <c r="SNR107" s="974"/>
      <c r="SNS107" s="974"/>
      <c r="SNT107" s="974"/>
      <c r="SNU107" s="974"/>
      <c r="SNV107" s="974"/>
      <c r="SNW107" s="974"/>
      <c r="SNX107" s="974"/>
      <c r="SNY107" s="974"/>
      <c r="SNZ107" s="974"/>
      <c r="SOA107" s="974"/>
      <c r="SOB107" s="974"/>
      <c r="SOC107" s="974"/>
      <c r="SOD107" s="974"/>
      <c r="SOE107" s="974"/>
      <c r="SOF107" s="974"/>
      <c r="SOG107" s="974"/>
      <c r="SOH107" s="974"/>
      <c r="SOI107" s="974"/>
      <c r="SOJ107" s="974"/>
      <c r="SOK107" s="974"/>
      <c r="SOL107" s="974"/>
      <c r="SOM107" s="974"/>
      <c r="SON107" s="974"/>
      <c r="SOO107" s="974"/>
      <c r="SOP107" s="974"/>
      <c r="SOQ107" s="974"/>
      <c r="SOR107" s="974"/>
      <c r="SOS107" s="974"/>
      <c r="SOT107" s="974"/>
      <c r="SOU107" s="974"/>
      <c r="SOV107" s="974"/>
      <c r="SOW107" s="974"/>
      <c r="SOX107" s="974"/>
      <c r="SOY107" s="974"/>
      <c r="SOZ107" s="974"/>
      <c r="SPA107" s="974"/>
      <c r="SPB107" s="974"/>
      <c r="SPC107" s="974"/>
      <c r="SPD107" s="974"/>
      <c r="SPE107" s="974"/>
      <c r="SPF107" s="974"/>
      <c r="SPG107" s="974"/>
      <c r="SPH107" s="974"/>
      <c r="SPI107" s="974"/>
      <c r="SPJ107" s="974"/>
      <c r="SPK107" s="974"/>
      <c r="SPL107" s="974"/>
      <c r="SPM107" s="974"/>
      <c r="SPN107" s="974"/>
      <c r="SPO107" s="974"/>
      <c r="SPP107" s="974"/>
      <c r="SPQ107" s="974"/>
      <c r="SPR107" s="974"/>
      <c r="SPS107" s="974"/>
      <c r="SPT107" s="974"/>
      <c r="SPU107" s="974"/>
      <c r="SPV107" s="974"/>
      <c r="SPW107" s="974"/>
      <c r="SPX107" s="974"/>
      <c r="SPY107" s="974"/>
      <c r="SPZ107" s="974"/>
      <c r="SQA107" s="974"/>
      <c r="SQB107" s="974"/>
      <c r="SQC107" s="974"/>
      <c r="SQD107" s="974"/>
      <c r="SQE107" s="974"/>
      <c r="SQF107" s="974"/>
      <c r="SQG107" s="974"/>
      <c r="SQH107" s="974"/>
      <c r="SQI107" s="974"/>
      <c r="SQJ107" s="974"/>
      <c r="SQK107" s="974"/>
      <c r="SQL107" s="974"/>
      <c r="SQM107" s="974"/>
      <c r="SQN107" s="974"/>
      <c r="SQO107" s="974"/>
      <c r="SQP107" s="974"/>
      <c r="SQQ107" s="974"/>
      <c r="SQR107" s="974"/>
      <c r="SQS107" s="974"/>
      <c r="SQT107" s="974"/>
      <c r="SQU107" s="974"/>
      <c r="SQV107" s="974"/>
      <c r="SQW107" s="974"/>
      <c r="SQX107" s="974"/>
      <c r="SQY107" s="974"/>
      <c r="SQZ107" s="974"/>
      <c r="SRA107" s="974"/>
      <c r="SRB107" s="974"/>
      <c r="SRC107" s="974"/>
      <c r="SRD107" s="974"/>
      <c r="SRE107" s="974"/>
      <c r="SRF107" s="974"/>
      <c r="SRG107" s="974"/>
      <c r="SRH107" s="974"/>
      <c r="SRI107" s="974"/>
      <c r="SRJ107" s="974"/>
      <c r="SRK107" s="974"/>
      <c r="SRL107" s="974"/>
      <c r="SRM107" s="974"/>
      <c r="SRN107" s="974"/>
      <c r="SRO107" s="974"/>
      <c r="SRP107" s="974"/>
      <c r="SRQ107" s="974"/>
      <c r="SRR107" s="974"/>
      <c r="SRS107" s="974"/>
      <c r="SRT107" s="974"/>
      <c r="SRU107" s="974"/>
      <c r="SRV107" s="974"/>
      <c r="SRW107" s="974"/>
      <c r="SRX107" s="974"/>
      <c r="SRY107" s="974"/>
      <c r="SRZ107" s="974"/>
      <c r="SSA107" s="974"/>
      <c r="SSB107" s="974"/>
      <c r="SSC107" s="974"/>
      <c r="SSD107" s="974"/>
      <c r="SSE107" s="974"/>
      <c r="SSF107" s="974"/>
      <c r="SSG107" s="974"/>
      <c r="SSH107" s="974"/>
      <c r="SSI107" s="974"/>
      <c r="SSJ107" s="974"/>
      <c r="SSK107" s="974"/>
      <c r="SSL107" s="974"/>
      <c r="SSM107" s="974"/>
      <c r="SSN107" s="974"/>
      <c r="SSO107" s="974"/>
      <c r="SSP107" s="974"/>
      <c r="SSQ107" s="974"/>
      <c r="SSR107" s="974"/>
      <c r="SSS107" s="974"/>
      <c r="SST107" s="974"/>
      <c r="SSU107" s="974"/>
      <c r="SSV107" s="974"/>
      <c r="SSW107" s="974"/>
      <c r="SSX107" s="974"/>
      <c r="SSY107" s="974"/>
      <c r="SSZ107" s="974"/>
      <c r="STA107" s="974"/>
      <c r="STB107" s="974"/>
      <c r="STC107" s="974"/>
      <c r="STD107" s="974"/>
      <c r="STE107" s="974"/>
      <c r="STF107" s="974"/>
      <c r="STG107" s="974"/>
      <c r="STH107" s="974"/>
      <c r="STI107" s="974"/>
      <c r="STJ107" s="974"/>
      <c r="STK107" s="974"/>
      <c r="STL107" s="974"/>
      <c r="STM107" s="974"/>
      <c r="STN107" s="974"/>
      <c r="STO107" s="974"/>
      <c r="STP107" s="974"/>
      <c r="STQ107" s="974"/>
      <c r="STR107" s="974"/>
      <c r="STS107" s="974"/>
      <c r="STT107" s="974"/>
      <c r="STU107" s="974"/>
      <c r="STV107" s="974"/>
      <c r="STW107" s="974"/>
      <c r="STX107" s="974"/>
      <c r="STY107" s="974"/>
      <c r="STZ107" s="974"/>
      <c r="SUA107" s="974"/>
      <c r="SUB107" s="974"/>
      <c r="SUC107" s="974"/>
      <c r="SUD107" s="974"/>
      <c r="SUE107" s="974"/>
      <c r="SUF107" s="974"/>
      <c r="SUG107" s="974"/>
      <c r="SUH107" s="974"/>
      <c r="SUI107" s="974"/>
      <c r="SUJ107" s="974"/>
      <c r="SUK107" s="974"/>
      <c r="SUL107" s="974"/>
      <c r="SUM107" s="974"/>
      <c r="SUN107" s="974"/>
      <c r="SUO107" s="974"/>
      <c r="SUP107" s="974"/>
      <c r="SUQ107" s="974"/>
      <c r="SUR107" s="974"/>
      <c r="SUS107" s="974"/>
      <c r="SUT107" s="974"/>
      <c r="SUU107" s="974"/>
      <c r="SUV107" s="974"/>
      <c r="SUW107" s="974"/>
      <c r="SUX107" s="974"/>
      <c r="SUY107" s="974"/>
      <c r="SUZ107" s="974"/>
      <c r="SVA107" s="974"/>
      <c r="SVB107" s="974"/>
      <c r="SVC107" s="974"/>
      <c r="SVD107" s="974"/>
      <c r="SVE107" s="974"/>
      <c r="SVF107" s="974"/>
      <c r="SVG107" s="974"/>
      <c r="SVH107" s="974"/>
      <c r="SVI107" s="974"/>
      <c r="SVJ107" s="974"/>
      <c r="SVK107" s="974"/>
      <c r="SVL107" s="974"/>
      <c r="SVM107" s="974"/>
      <c r="SVN107" s="974"/>
      <c r="SVO107" s="974"/>
      <c r="SVP107" s="974"/>
      <c r="SVQ107" s="974"/>
      <c r="SVR107" s="974"/>
      <c r="SVS107" s="974"/>
      <c r="SVT107" s="974"/>
      <c r="SVU107" s="974"/>
      <c r="SVV107" s="974"/>
      <c r="SVW107" s="974"/>
      <c r="SVX107" s="974"/>
      <c r="SVY107" s="974"/>
      <c r="SVZ107" s="974"/>
      <c r="SWA107" s="974"/>
      <c r="SWB107" s="974"/>
      <c r="SWC107" s="974"/>
      <c r="SWD107" s="974"/>
      <c r="SWE107" s="974"/>
      <c r="SWF107" s="974"/>
      <c r="SWG107" s="974"/>
      <c r="SWH107" s="974"/>
      <c r="SWI107" s="974"/>
      <c r="SWJ107" s="974"/>
      <c r="SWK107" s="974"/>
      <c r="SWL107" s="974"/>
      <c r="SWM107" s="974"/>
      <c r="SWN107" s="974"/>
      <c r="SWO107" s="974"/>
      <c r="SWP107" s="974"/>
      <c r="SWQ107" s="974"/>
      <c r="SWR107" s="974"/>
      <c r="SWS107" s="974"/>
      <c r="SWT107" s="974"/>
      <c r="SWU107" s="974"/>
      <c r="SWV107" s="974"/>
      <c r="SWW107" s="974"/>
      <c r="SWX107" s="974"/>
      <c r="SWY107" s="974"/>
      <c r="SWZ107" s="974"/>
      <c r="SXA107" s="974"/>
      <c r="SXB107" s="974"/>
      <c r="SXC107" s="974"/>
      <c r="SXD107" s="974"/>
      <c r="SXE107" s="974"/>
      <c r="SXF107" s="974"/>
      <c r="SXG107" s="974"/>
      <c r="SXH107" s="974"/>
      <c r="SXI107" s="974"/>
      <c r="SXJ107" s="974"/>
      <c r="SXK107" s="974"/>
      <c r="SXL107" s="974"/>
      <c r="SXM107" s="974"/>
      <c r="SXN107" s="974"/>
      <c r="SXO107" s="974"/>
      <c r="SXP107" s="974"/>
      <c r="SXQ107" s="974"/>
      <c r="SXR107" s="974"/>
      <c r="SXS107" s="974"/>
      <c r="SXT107" s="974"/>
      <c r="SXU107" s="974"/>
      <c r="SXV107" s="974"/>
      <c r="SXW107" s="974"/>
      <c r="SXX107" s="974"/>
      <c r="SXY107" s="974"/>
      <c r="SXZ107" s="974"/>
      <c r="SYA107" s="974"/>
      <c r="SYB107" s="974"/>
      <c r="SYC107" s="974"/>
      <c r="SYD107" s="974"/>
      <c r="SYE107" s="974"/>
      <c r="SYF107" s="974"/>
      <c r="SYG107" s="974"/>
      <c r="SYH107" s="974"/>
      <c r="SYI107" s="974"/>
      <c r="SYJ107" s="974"/>
      <c r="SYK107" s="974"/>
      <c r="SYL107" s="974"/>
      <c r="SYM107" s="974"/>
      <c r="SYN107" s="974"/>
      <c r="SYO107" s="974"/>
      <c r="SYP107" s="974"/>
      <c r="SYQ107" s="974"/>
      <c r="SYR107" s="974"/>
      <c r="SYS107" s="974"/>
      <c r="SYT107" s="974"/>
      <c r="SYU107" s="974"/>
      <c r="SYV107" s="974"/>
      <c r="SYW107" s="974"/>
      <c r="SYX107" s="974"/>
      <c r="SYY107" s="974"/>
      <c r="SYZ107" s="974"/>
      <c r="SZA107" s="974"/>
      <c r="SZB107" s="974"/>
      <c r="SZC107" s="974"/>
      <c r="SZD107" s="974"/>
      <c r="SZE107" s="974"/>
      <c r="SZF107" s="974"/>
      <c r="SZG107" s="974"/>
      <c r="SZH107" s="974"/>
      <c r="SZI107" s="974"/>
      <c r="SZJ107" s="974"/>
      <c r="SZK107" s="974"/>
      <c r="SZL107" s="974"/>
      <c r="SZM107" s="974"/>
      <c r="SZN107" s="974"/>
      <c r="SZO107" s="974"/>
      <c r="SZP107" s="974"/>
      <c r="SZQ107" s="974"/>
      <c r="SZR107" s="974"/>
      <c r="SZS107" s="974"/>
      <c r="SZT107" s="974"/>
      <c r="SZU107" s="974"/>
      <c r="SZV107" s="974"/>
      <c r="SZW107" s="974"/>
      <c r="SZX107" s="974"/>
      <c r="SZY107" s="974"/>
      <c r="SZZ107" s="974"/>
      <c r="TAA107" s="974"/>
      <c r="TAB107" s="974"/>
      <c r="TAC107" s="974"/>
      <c r="TAD107" s="974"/>
      <c r="TAE107" s="974"/>
      <c r="TAF107" s="974"/>
      <c r="TAG107" s="974"/>
      <c r="TAH107" s="974"/>
      <c r="TAI107" s="974"/>
      <c r="TAJ107" s="974"/>
      <c r="TAK107" s="974"/>
      <c r="TAL107" s="974"/>
      <c r="TAM107" s="974"/>
      <c r="TAN107" s="974"/>
      <c r="TAO107" s="974"/>
      <c r="TAP107" s="974"/>
      <c r="TAQ107" s="974"/>
      <c r="TAR107" s="974"/>
      <c r="TAS107" s="974"/>
      <c r="TAT107" s="974"/>
      <c r="TAU107" s="974"/>
      <c r="TAV107" s="974"/>
      <c r="TAW107" s="974"/>
      <c r="TAX107" s="974"/>
      <c r="TAY107" s="974"/>
      <c r="TAZ107" s="974"/>
      <c r="TBA107" s="974"/>
      <c r="TBB107" s="974"/>
      <c r="TBC107" s="974"/>
      <c r="TBD107" s="974"/>
      <c r="TBE107" s="974"/>
      <c r="TBF107" s="974"/>
      <c r="TBG107" s="974"/>
      <c r="TBH107" s="974"/>
      <c r="TBI107" s="974"/>
      <c r="TBJ107" s="974"/>
      <c r="TBK107" s="974"/>
      <c r="TBL107" s="974"/>
      <c r="TBM107" s="974"/>
      <c r="TBN107" s="974"/>
      <c r="TBO107" s="974"/>
      <c r="TBP107" s="974"/>
      <c r="TBQ107" s="974"/>
      <c r="TBR107" s="974"/>
      <c r="TBS107" s="974"/>
      <c r="TBT107" s="974"/>
      <c r="TBU107" s="974"/>
      <c r="TBV107" s="974"/>
      <c r="TBW107" s="974"/>
      <c r="TBX107" s="974"/>
      <c r="TBY107" s="974"/>
      <c r="TBZ107" s="974"/>
      <c r="TCA107" s="974"/>
      <c r="TCB107" s="974"/>
      <c r="TCC107" s="974"/>
      <c r="TCD107" s="974"/>
      <c r="TCE107" s="974"/>
      <c r="TCF107" s="974"/>
      <c r="TCG107" s="974"/>
      <c r="TCH107" s="974"/>
      <c r="TCI107" s="974"/>
      <c r="TCJ107" s="974"/>
      <c r="TCK107" s="974"/>
      <c r="TCL107" s="974"/>
      <c r="TCM107" s="974"/>
      <c r="TCN107" s="974"/>
      <c r="TCO107" s="974"/>
      <c r="TCP107" s="974"/>
      <c r="TCQ107" s="974"/>
      <c r="TCR107" s="974"/>
      <c r="TCS107" s="974"/>
      <c r="TCT107" s="974"/>
      <c r="TCU107" s="974"/>
      <c r="TCV107" s="974"/>
      <c r="TCW107" s="974"/>
      <c r="TCX107" s="974"/>
      <c r="TCY107" s="974"/>
      <c r="TCZ107" s="974"/>
      <c r="TDA107" s="974"/>
      <c r="TDB107" s="974"/>
      <c r="TDC107" s="974"/>
      <c r="TDD107" s="974"/>
      <c r="TDE107" s="974"/>
      <c r="TDF107" s="974"/>
      <c r="TDG107" s="974"/>
      <c r="TDH107" s="974"/>
      <c r="TDI107" s="974"/>
      <c r="TDJ107" s="974"/>
      <c r="TDK107" s="974"/>
      <c r="TDL107" s="974"/>
      <c r="TDM107" s="974"/>
      <c r="TDN107" s="974"/>
      <c r="TDO107" s="974"/>
      <c r="TDP107" s="974"/>
      <c r="TDQ107" s="974"/>
      <c r="TDR107" s="974"/>
      <c r="TDS107" s="974"/>
      <c r="TDT107" s="974"/>
      <c r="TDU107" s="974"/>
      <c r="TDV107" s="974"/>
      <c r="TDW107" s="974"/>
      <c r="TDX107" s="974"/>
      <c r="TDY107" s="974"/>
      <c r="TDZ107" s="974"/>
      <c r="TEA107" s="974"/>
      <c r="TEB107" s="974"/>
      <c r="TEC107" s="974"/>
      <c r="TED107" s="974"/>
      <c r="TEE107" s="974"/>
      <c r="TEF107" s="974"/>
      <c r="TEG107" s="974"/>
      <c r="TEH107" s="974"/>
      <c r="TEI107" s="974"/>
      <c r="TEJ107" s="974"/>
      <c r="TEK107" s="974"/>
      <c r="TEL107" s="974"/>
      <c r="TEM107" s="974"/>
      <c r="TEN107" s="974"/>
      <c r="TEO107" s="974"/>
      <c r="TEP107" s="974"/>
      <c r="TEQ107" s="974"/>
      <c r="TER107" s="974"/>
      <c r="TES107" s="974"/>
      <c r="TET107" s="974"/>
      <c r="TEU107" s="974"/>
      <c r="TEV107" s="974"/>
      <c r="TEW107" s="974"/>
      <c r="TEX107" s="974"/>
      <c r="TEY107" s="974"/>
      <c r="TEZ107" s="974"/>
      <c r="TFA107" s="974"/>
      <c r="TFB107" s="974"/>
      <c r="TFC107" s="974"/>
      <c r="TFD107" s="974"/>
      <c r="TFE107" s="974"/>
      <c r="TFF107" s="974"/>
      <c r="TFG107" s="974"/>
      <c r="TFH107" s="974"/>
      <c r="TFI107" s="974"/>
      <c r="TFJ107" s="974"/>
      <c r="TFK107" s="974"/>
      <c r="TFL107" s="974"/>
      <c r="TFM107" s="974"/>
      <c r="TFN107" s="974"/>
      <c r="TFO107" s="974"/>
      <c r="TFP107" s="974"/>
      <c r="TFQ107" s="974"/>
      <c r="TFR107" s="974"/>
      <c r="TFS107" s="974"/>
      <c r="TFT107" s="974"/>
      <c r="TFU107" s="974"/>
      <c r="TFV107" s="974"/>
      <c r="TFW107" s="974"/>
      <c r="TFX107" s="974"/>
      <c r="TFY107" s="974"/>
      <c r="TFZ107" s="974"/>
      <c r="TGA107" s="974"/>
      <c r="TGB107" s="974"/>
      <c r="TGC107" s="974"/>
      <c r="TGD107" s="974"/>
      <c r="TGE107" s="974"/>
      <c r="TGF107" s="974"/>
      <c r="TGG107" s="974"/>
      <c r="TGH107" s="974"/>
      <c r="TGI107" s="974"/>
      <c r="TGJ107" s="974"/>
      <c r="TGK107" s="974"/>
      <c r="TGL107" s="974"/>
      <c r="TGM107" s="974"/>
      <c r="TGN107" s="974"/>
      <c r="TGO107" s="974"/>
      <c r="TGP107" s="974"/>
      <c r="TGQ107" s="974"/>
      <c r="TGR107" s="974"/>
      <c r="TGS107" s="974"/>
      <c r="TGT107" s="974"/>
      <c r="TGU107" s="974"/>
      <c r="TGV107" s="974"/>
      <c r="TGW107" s="974"/>
      <c r="TGX107" s="974"/>
      <c r="TGY107" s="974"/>
      <c r="TGZ107" s="974"/>
      <c r="THA107" s="974"/>
      <c r="THB107" s="974"/>
      <c r="THC107" s="974"/>
      <c r="THD107" s="974"/>
      <c r="THE107" s="974"/>
      <c r="THF107" s="974"/>
      <c r="THG107" s="974"/>
      <c r="THH107" s="974"/>
      <c r="THI107" s="974"/>
      <c r="THJ107" s="974"/>
      <c r="THK107" s="974"/>
      <c r="THL107" s="974"/>
      <c r="THM107" s="974"/>
      <c r="THN107" s="974"/>
      <c r="THO107" s="974"/>
      <c r="THP107" s="974"/>
      <c r="THQ107" s="974"/>
      <c r="THR107" s="974"/>
      <c r="THS107" s="974"/>
      <c r="THT107" s="974"/>
      <c r="THU107" s="974"/>
      <c r="THV107" s="974"/>
      <c r="THW107" s="974"/>
      <c r="THX107" s="974"/>
      <c r="THY107" s="974"/>
      <c r="THZ107" s="974"/>
      <c r="TIA107" s="974"/>
      <c r="TIB107" s="974"/>
      <c r="TIC107" s="974"/>
      <c r="TID107" s="974"/>
      <c r="TIE107" s="974"/>
      <c r="TIF107" s="974"/>
      <c r="TIG107" s="974"/>
      <c r="TIH107" s="974"/>
      <c r="TII107" s="974"/>
      <c r="TIJ107" s="974"/>
      <c r="TIK107" s="974"/>
      <c r="TIL107" s="974"/>
      <c r="TIM107" s="974"/>
      <c r="TIN107" s="974"/>
      <c r="TIO107" s="974"/>
      <c r="TIP107" s="974"/>
      <c r="TIQ107" s="974"/>
      <c r="TIR107" s="974"/>
      <c r="TIS107" s="974"/>
      <c r="TIT107" s="974"/>
      <c r="TIU107" s="974"/>
      <c r="TIV107" s="974"/>
      <c r="TIW107" s="974"/>
      <c r="TIX107" s="974"/>
      <c r="TIY107" s="974"/>
      <c r="TIZ107" s="974"/>
      <c r="TJA107" s="974"/>
      <c r="TJB107" s="974"/>
      <c r="TJC107" s="974"/>
      <c r="TJD107" s="974"/>
      <c r="TJE107" s="974"/>
      <c r="TJF107" s="974"/>
      <c r="TJG107" s="974"/>
      <c r="TJH107" s="974"/>
      <c r="TJI107" s="974"/>
      <c r="TJJ107" s="974"/>
      <c r="TJK107" s="974"/>
      <c r="TJL107" s="974"/>
      <c r="TJM107" s="974"/>
      <c r="TJN107" s="974"/>
      <c r="TJO107" s="974"/>
      <c r="TJP107" s="974"/>
      <c r="TJQ107" s="974"/>
      <c r="TJR107" s="974"/>
      <c r="TJS107" s="974"/>
      <c r="TJT107" s="974"/>
      <c r="TJU107" s="974"/>
      <c r="TJV107" s="974"/>
      <c r="TJW107" s="974"/>
      <c r="TJX107" s="974"/>
      <c r="TJY107" s="974"/>
      <c r="TJZ107" s="974"/>
      <c r="TKA107" s="974"/>
      <c r="TKB107" s="974"/>
      <c r="TKC107" s="974"/>
      <c r="TKD107" s="974"/>
      <c r="TKE107" s="974"/>
      <c r="TKF107" s="974"/>
      <c r="TKG107" s="974"/>
      <c r="TKH107" s="974"/>
      <c r="TKI107" s="974"/>
      <c r="TKJ107" s="974"/>
      <c r="TKK107" s="974"/>
      <c r="TKL107" s="974"/>
      <c r="TKM107" s="974"/>
      <c r="TKN107" s="974"/>
      <c r="TKO107" s="974"/>
      <c r="TKP107" s="974"/>
      <c r="TKQ107" s="974"/>
      <c r="TKR107" s="974"/>
      <c r="TKS107" s="974"/>
      <c r="TKT107" s="974"/>
      <c r="TKU107" s="974"/>
      <c r="TKV107" s="974"/>
      <c r="TKW107" s="974"/>
      <c r="TKX107" s="974"/>
      <c r="TKY107" s="974"/>
      <c r="TKZ107" s="974"/>
      <c r="TLA107" s="974"/>
      <c r="TLB107" s="974"/>
      <c r="TLC107" s="974"/>
      <c r="TLD107" s="974"/>
      <c r="TLE107" s="974"/>
      <c r="TLF107" s="974"/>
      <c r="TLG107" s="974"/>
      <c r="TLH107" s="974"/>
      <c r="TLI107" s="974"/>
      <c r="TLJ107" s="974"/>
      <c r="TLK107" s="974"/>
      <c r="TLL107" s="974"/>
      <c r="TLM107" s="974"/>
      <c r="TLN107" s="974"/>
      <c r="TLO107" s="974"/>
      <c r="TLP107" s="974"/>
      <c r="TLQ107" s="974"/>
      <c r="TLR107" s="974"/>
      <c r="TLS107" s="974"/>
      <c r="TLT107" s="974"/>
      <c r="TLU107" s="974"/>
      <c r="TLV107" s="974"/>
      <c r="TLW107" s="974"/>
      <c r="TLX107" s="974"/>
      <c r="TLY107" s="974"/>
      <c r="TLZ107" s="974"/>
      <c r="TMA107" s="974"/>
      <c r="TMB107" s="974"/>
      <c r="TMC107" s="974"/>
      <c r="TMD107" s="974"/>
      <c r="TME107" s="974"/>
      <c r="TMF107" s="974"/>
      <c r="TMG107" s="974"/>
      <c r="TMH107" s="974"/>
      <c r="TMI107" s="974"/>
      <c r="TMJ107" s="974"/>
      <c r="TMK107" s="974"/>
      <c r="TML107" s="974"/>
      <c r="TMM107" s="974"/>
      <c r="TMN107" s="974"/>
      <c r="TMO107" s="974"/>
      <c r="TMP107" s="974"/>
      <c r="TMQ107" s="974"/>
      <c r="TMR107" s="974"/>
      <c r="TMS107" s="974"/>
      <c r="TMT107" s="974"/>
      <c r="TMU107" s="974"/>
      <c r="TMV107" s="974"/>
      <c r="TMW107" s="974"/>
      <c r="TMX107" s="974"/>
      <c r="TMY107" s="974"/>
      <c r="TMZ107" s="974"/>
      <c r="TNA107" s="974"/>
      <c r="TNB107" s="974"/>
      <c r="TNC107" s="974"/>
      <c r="TND107" s="974"/>
      <c r="TNE107" s="974"/>
      <c r="TNF107" s="974"/>
      <c r="TNG107" s="974"/>
      <c r="TNH107" s="974"/>
      <c r="TNI107" s="974"/>
      <c r="TNJ107" s="974"/>
      <c r="TNK107" s="974"/>
      <c r="TNL107" s="974"/>
      <c r="TNM107" s="974"/>
      <c r="TNN107" s="974"/>
      <c r="TNO107" s="974"/>
      <c r="TNP107" s="974"/>
      <c r="TNQ107" s="974"/>
      <c r="TNR107" s="974"/>
      <c r="TNS107" s="974"/>
      <c r="TNT107" s="974"/>
      <c r="TNU107" s="974"/>
      <c r="TNV107" s="974"/>
      <c r="TNW107" s="974"/>
      <c r="TNX107" s="974"/>
      <c r="TNY107" s="974"/>
      <c r="TNZ107" s="974"/>
      <c r="TOA107" s="974"/>
      <c r="TOB107" s="974"/>
      <c r="TOC107" s="974"/>
      <c r="TOD107" s="974"/>
      <c r="TOE107" s="974"/>
      <c r="TOF107" s="974"/>
      <c r="TOG107" s="974"/>
      <c r="TOH107" s="974"/>
      <c r="TOI107" s="974"/>
      <c r="TOJ107" s="974"/>
      <c r="TOK107" s="974"/>
      <c r="TOL107" s="974"/>
      <c r="TOM107" s="974"/>
      <c r="TON107" s="974"/>
      <c r="TOO107" s="974"/>
      <c r="TOP107" s="974"/>
      <c r="TOQ107" s="974"/>
      <c r="TOR107" s="974"/>
      <c r="TOS107" s="974"/>
      <c r="TOT107" s="974"/>
      <c r="TOU107" s="974"/>
      <c r="TOV107" s="974"/>
      <c r="TOW107" s="974"/>
      <c r="TOX107" s="974"/>
      <c r="TOY107" s="974"/>
      <c r="TOZ107" s="974"/>
      <c r="TPA107" s="974"/>
      <c r="TPB107" s="974"/>
      <c r="TPC107" s="974"/>
      <c r="TPD107" s="974"/>
      <c r="TPE107" s="974"/>
      <c r="TPF107" s="974"/>
      <c r="TPG107" s="974"/>
      <c r="TPH107" s="974"/>
      <c r="TPI107" s="974"/>
      <c r="TPJ107" s="974"/>
      <c r="TPK107" s="974"/>
      <c r="TPL107" s="974"/>
      <c r="TPM107" s="974"/>
      <c r="TPN107" s="974"/>
      <c r="TPO107" s="974"/>
      <c r="TPP107" s="974"/>
      <c r="TPQ107" s="974"/>
      <c r="TPR107" s="974"/>
      <c r="TPS107" s="974"/>
      <c r="TPT107" s="974"/>
      <c r="TPU107" s="974"/>
      <c r="TPV107" s="974"/>
      <c r="TPW107" s="974"/>
      <c r="TPX107" s="974"/>
      <c r="TPY107" s="974"/>
      <c r="TPZ107" s="974"/>
      <c r="TQA107" s="974"/>
      <c r="TQB107" s="974"/>
      <c r="TQC107" s="974"/>
      <c r="TQD107" s="974"/>
      <c r="TQE107" s="974"/>
      <c r="TQF107" s="974"/>
      <c r="TQG107" s="974"/>
      <c r="TQH107" s="974"/>
      <c r="TQI107" s="974"/>
      <c r="TQJ107" s="974"/>
      <c r="TQK107" s="974"/>
      <c r="TQL107" s="974"/>
      <c r="TQM107" s="974"/>
      <c r="TQN107" s="974"/>
      <c r="TQO107" s="974"/>
      <c r="TQP107" s="974"/>
      <c r="TQQ107" s="974"/>
      <c r="TQR107" s="974"/>
      <c r="TQS107" s="974"/>
      <c r="TQT107" s="974"/>
      <c r="TQU107" s="974"/>
      <c r="TQV107" s="974"/>
      <c r="TQW107" s="974"/>
      <c r="TQX107" s="974"/>
      <c r="TQY107" s="974"/>
      <c r="TQZ107" s="974"/>
      <c r="TRA107" s="974"/>
      <c r="TRB107" s="974"/>
      <c r="TRC107" s="974"/>
      <c r="TRD107" s="974"/>
      <c r="TRE107" s="974"/>
      <c r="TRF107" s="974"/>
      <c r="TRG107" s="974"/>
      <c r="TRH107" s="974"/>
      <c r="TRI107" s="974"/>
      <c r="TRJ107" s="974"/>
      <c r="TRK107" s="974"/>
      <c r="TRL107" s="974"/>
      <c r="TRM107" s="974"/>
      <c r="TRN107" s="974"/>
      <c r="TRO107" s="974"/>
      <c r="TRP107" s="974"/>
      <c r="TRQ107" s="974"/>
      <c r="TRR107" s="974"/>
      <c r="TRS107" s="974"/>
      <c r="TRT107" s="974"/>
      <c r="TRU107" s="974"/>
      <c r="TRV107" s="974"/>
      <c r="TRW107" s="974"/>
      <c r="TRX107" s="974"/>
      <c r="TRY107" s="974"/>
      <c r="TRZ107" s="974"/>
      <c r="TSA107" s="974"/>
      <c r="TSB107" s="974"/>
      <c r="TSC107" s="974"/>
      <c r="TSD107" s="974"/>
      <c r="TSE107" s="974"/>
      <c r="TSF107" s="974"/>
      <c r="TSG107" s="974"/>
      <c r="TSH107" s="974"/>
      <c r="TSI107" s="974"/>
      <c r="TSJ107" s="974"/>
      <c r="TSK107" s="974"/>
      <c r="TSL107" s="974"/>
      <c r="TSM107" s="974"/>
      <c r="TSN107" s="974"/>
      <c r="TSO107" s="974"/>
      <c r="TSP107" s="974"/>
      <c r="TSQ107" s="974"/>
      <c r="TSR107" s="974"/>
      <c r="TSS107" s="974"/>
      <c r="TST107" s="974"/>
      <c r="TSU107" s="974"/>
      <c r="TSV107" s="974"/>
      <c r="TSW107" s="974"/>
      <c r="TSX107" s="974"/>
      <c r="TSY107" s="974"/>
      <c r="TSZ107" s="974"/>
      <c r="TTA107" s="974"/>
      <c r="TTB107" s="974"/>
      <c r="TTC107" s="974"/>
      <c r="TTD107" s="974"/>
      <c r="TTE107" s="974"/>
      <c r="TTF107" s="974"/>
      <c r="TTG107" s="974"/>
      <c r="TTH107" s="974"/>
      <c r="TTI107" s="974"/>
      <c r="TTJ107" s="974"/>
      <c r="TTK107" s="974"/>
      <c r="TTL107" s="974"/>
      <c r="TTM107" s="974"/>
      <c r="TTN107" s="974"/>
      <c r="TTO107" s="974"/>
      <c r="TTP107" s="974"/>
      <c r="TTQ107" s="974"/>
      <c r="TTR107" s="974"/>
      <c r="TTS107" s="974"/>
      <c r="TTT107" s="974"/>
      <c r="TTU107" s="974"/>
      <c r="TTV107" s="974"/>
      <c r="TTW107" s="974"/>
      <c r="TTX107" s="974"/>
      <c r="TTY107" s="974"/>
      <c r="TTZ107" s="974"/>
      <c r="TUA107" s="974"/>
      <c r="TUB107" s="974"/>
      <c r="TUC107" s="974"/>
      <c r="TUD107" s="974"/>
      <c r="TUE107" s="974"/>
      <c r="TUF107" s="974"/>
      <c r="TUG107" s="974"/>
      <c r="TUH107" s="974"/>
      <c r="TUI107" s="974"/>
      <c r="TUJ107" s="974"/>
      <c r="TUK107" s="974"/>
      <c r="TUL107" s="974"/>
      <c r="TUM107" s="974"/>
      <c r="TUN107" s="974"/>
      <c r="TUO107" s="974"/>
      <c r="TUP107" s="974"/>
      <c r="TUQ107" s="974"/>
      <c r="TUR107" s="974"/>
      <c r="TUS107" s="974"/>
      <c r="TUT107" s="974"/>
      <c r="TUU107" s="974"/>
      <c r="TUV107" s="974"/>
      <c r="TUW107" s="974"/>
      <c r="TUX107" s="974"/>
      <c r="TUY107" s="974"/>
      <c r="TUZ107" s="974"/>
      <c r="TVA107" s="974"/>
      <c r="TVB107" s="974"/>
      <c r="TVC107" s="974"/>
      <c r="TVD107" s="974"/>
      <c r="TVE107" s="974"/>
      <c r="TVF107" s="974"/>
      <c r="TVG107" s="974"/>
      <c r="TVH107" s="974"/>
      <c r="TVI107" s="974"/>
      <c r="TVJ107" s="974"/>
      <c r="TVK107" s="974"/>
      <c r="TVL107" s="974"/>
      <c r="TVM107" s="974"/>
      <c r="TVN107" s="974"/>
      <c r="TVO107" s="974"/>
      <c r="TVP107" s="974"/>
      <c r="TVQ107" s="974"/>
      <c r="TVR107" s="974"/>
      <c r="TVS107" s="974"/>
      <c r="TVT107" s="974"/>
      <c r="TVU107" s="974"/>
      <c r="TVV107" s="974"/>
      <c r="TVW107" s="974"/>
      <c r="TVX107" s="974"/>
      <c r="TVY107" s="974"/>
      <c r="TVZ107" s="974"/>
      <c r="TWA107" s="974"/>
      <c r="TWB107" s="974"/>
      <c r="TWC107" s="974"/>
      <c r="TWD107" s="974"/>
      <c r="TWE107" s="974"/>
      <c r="TWF107" s="974"/>
      <c r="TWG107" s="974"/>
      <c r="TWH107" s="974"/>
      <c r="TWI107" s="974"/>
      <c r="TWJ107" s="974"/>
      <c r="TWK107" s="974"/>
      <c r="TWL107" s="974"/>
      <c r="TWM107" s="974"/>
      <c r="TWN107" s="974"/>
      <c r="TWO107" s="974"/>
      <c r="TWP107" s="974"/>
      <c r="TWQ107" s="974"/>
      <c r="TWR107" s="974"/>
      <c r="TWS107" s="974"/>
      <c r="TWT107" s="974"/>
      <c r="TWU107" s="974"/>
      <c r="TWV107" s="974"/>
      <c r="TWW107" s="974"/>
      <c r="TWX107" s="974"/>
      <c r="TWY107" s="974"/>
      <c r="TWZ107" s="974"/>
      <c r="TXA107" s="974"/>
      <c r="TXB107" s="974"/>
      <c r="TXC107" s="974"/>
      <c r="TXD107" s="974"/>
      <c r="TXE107" s="974"/>
      <c r="TXF107" s="974"/>
      <c r="TXG107" s="974"/>
      <c r="TXH107" s="974"/>
      <c r="TXI107" s="974"/>
      <c r="TXJ107" s="974"/>
      <c r="TXK107" s="974"/>
      <c r="TXL107" s="974"/>
      <c r="TXM107" s="974"/>
      <c r="TXN107" s="974"/>
      <c r="TXO107" s="974"/>
      <c r="TXP107" s="974"/>
      <c r="TXQ107" s="974"/>
      <c r="TXR107" s="974"/>
      <c r="TXS107" s="974"/>
      <c r="TXT107" s="974"/>
      <c r="TXU107" s="974"/>
      <c r="TXV107" s="974"/>
      <c r="TXW107" s="974"/>
      <c r="TXX107" s="974"/>
      <c r="TXY107" s="974"/>
      <c r="TXZ107" s="974"/>
      <c r="TYA107" s="974"/>
      <c r="TYB107" s="974"/>
      <c r="TYC107" s="974"/>
      <c r="TYD107" s="974"/>
      <c r="TYE107" s="974"/>
      <c r="TYF107" s="974"/>
      <c r="TYG107" s="974"/>
      <c r="TYH107" s="974"/>
      <c r="TYI107" s="974"/>
      <c r="TYJ107" s="974"/>
      <c r="TYK107" s="974"/>
      <c r="TYL107" s="974"/>
      <c r="TYM107" s="974"/>
      <c r="TYN107" s="974"/>
      <c r="TYO107" s="974"/>
      <c r="TYP107" s="974"/>
      <c r="TYQ107" s="974"/>
      <c r="TYR107" s="974"/>
      <c r="TYS107" s="974"/>
      <c r="TYT107" s="974"/>
      <c r="TYU107" s="974"/>
      <c r="TYV107" s="974"/>
      <c r="TYW107" s="974"/>
      <c r="TYX107" s="974"/>
      <c r="TYY107" s="974"/>
      <c r="TYZ107" s="974"/>
      <c r="TZA107" s="974"/>
      <c r="TZB107" s="974"/>
      <c r="TZC107" s="974"/>
      <c r="TZD107" s="974"/>
      <c r="TZE107" s="974"/>
      <c r="TZF107" s="974"/>
      <c r="TZG107" s="974"/>
      <c r="TZH107" s="974"/>
      <c r="TZI107" s="974"/>
      <c r="TZJ107" s="974"/>
      <c r="TZK107" s="974"/>
      <c r="TZL107" s="974"/>
      <c r="TZM107" s="974"/>
      <c r="TZN107" s="974"/>
      <c r="TZO107" s="974"/>
      <c r="TZP107" s="974"/>
      <c r="TZQ107" s="974"/>
      <c r="TZR107" s="974"/>
      <c r="TZS107" s="974"/>
      <c r="TZT107" s="974"/>
      <c r="TZU107" s="974"/>
      <c r="TZV107" s="974"/>
      <c r="TZW107" s="974"/>
      <c r="TZX107" s="974"/>
      <c r="TZY107" s="974"/>
      <c r="TZZ107" s="974"/>
      <c r="UAA107" s="974"/>
      <c r="UAB107" s="974"/>
      <c r="UAC107" s="974"/>
      <c r="UAD107" s="974"/>
      <c r="UAE107" s="974"/>
      <c r="UAF107" s="974"/>
      <c r="UAG107" s="974"/>
      <c r="UAH107" s="974"/>
      <c r="UAI107" s="974"/>
      <c r="UAJ107" s="974"/>
      <c r="UAK107" s="974"/>
      <c r="UAL107" s="974"/>
      <c r="UAM107" s="974"/>
      <c r="UAN107" s="974"/>
      <c r="UAO107" s="974"/>
      <c r="UAP107" s="974"/>
      <c r="UAQ107" s="974"/>
      <c r="UAR107" s="974"/>
      <c r="UAS107" s="974"/>
      <c r="UAT107" s="974"/>
      <c r="UAU107" s="974"/>
      <c r="UAV107" s="974"/>
      <c r="UAW107" s="974"/>
      <c r="UAX107" s="974"/>
      <c r="UAY107" s="974"/>
      <c r="UAZ107" s="974"/>
      <c r="UBA107" s="974"/>
      <c r="UBB107" s="974"/>
      <c r="UBC107" s="974"/>
      <c r="UBD107" s="974"/>
      <c r="UBE107" s="974"/>
      <c r="UBF107" s="974"/>
      <c r="UBG107" s="974"/>
      <c r="UBH107" s="974"/>
      <c r="UBI107" s="974"/>
      <c r="UBJ107" s="974"/>
      <c r="UBK107" s="974"/>
      <c r="UBL107" s="974"/>
      <c r="UBM107" s="974"/>
      <c r="UBN107" s="974"/>
      <c r="UBO107" s="974"/>
      <c r="UBP107" s="974"/>
      <c r="UBQ107" s="974"/>
      <c r="UBR107" s="974"/>
      <c r="UBS107" s="974"/>
      <c r="UBT107" s="974"/>
      <c r="UBU107" s="974"/>
      <c r="UBV107" s="974"/>
      <c r="UBW107" s="974"/>
      <c r="UBX107" s="974"/>
      <c r="UBY107" s="974"/>
      <c r="UBZ107" s="974"/>
      <c r="UCA107" s="974"/>
      <c r="UCB107" s="974"/>
      <c r="UCC107" s="974"/>
      <c r="UCD107" s="974"/>
      <c r="UCE107" s="974"/>
      <c r="UCF107" s="974"/>
      <c r="UCG107" s="974"/>
      <c r="UCH107" s="974"/>
      <c r="UCI107" s="974"/>
      <c r="UCJ107" s="974"/>
      <c r="UCK107" s="974"/>
      <c r="UCL107" s="974"/>
      <c r="UCM107" s="974"/>
      <c r="UCN107" s="974"/>
      <c r="UCO107" s="974"/>
      <c r="UCP107" s="974"/>
      <c r="UCQ107" s="974"/>
      <c r="UCR107" s="974"/>
      <c r="UCS107" s="974"/>
      <c r="UCT107" s="974"/>
      <c r="UCU107" s="974"/>
      <c r="UCV107" s="974"/>
      <c r="UCW107" s="974"/>
      <c r="UCX107" s="974"/>
      <c r="UCY107" s="974"/>
      <c r="UCZ107" s="974"/>
      <c r="UDA107" s="974"/>
      <c r="UDB107" s="974"/>
      <c r="UDC107" s="974"/>
      <c r="UDD107" s="974"/>
      <c r="UDE107" s="974"/>
      <c r="UDF107" s="974"/>
      <c r="UDG107" s="974"/>
      <c r="UDH107" s="974"/>
      <c r="UDI107" s="974"/>
      <c r="UDJ107" s="974"/>
      <c r="UDK107" s="974"/>
      <c r="UDL107" s="974"/>
      <c r="UDM107" s="974"/>
      <c r="UDN107" s="974"/>
      <c r="UDO107" s="974"/>
      <c r="UDP107" s="974"/>
      <c r="UDQ107" s="974"/>
      <c r="UDR107" s="974"/>
      <c r="UDS107" s="974"/>
      <c r="UDT107" s="974"/>
      <c r="UDU107" s="974"/>
      <c r="UDV107" s="974"/>
      <c r="UDW107" s="974"/>
      <c r="UDX107" s="974"/>
      <c r="UDY107" s="974"/>
      <c r="UDZ107" s="974"/>
      <c r="UEA107" s="974"/>
      <c r="UEB107" s="974"/>
      <c r="UEC107" s="974"/>
      <c r="UED107" s="974"/>
      <c r="UEE107" s="974"/>
      <c r="UEF107" s="974"/>
      <c r="UEG107" s="974"/>
      <c r="UEH107" s="974"/>
      <c r="UEI107" s="974"/>
      <c r="UEJ107" s="974"/>
      <c r="UEK107" s="974"/>
      <c r="UEL107" s="974"/>
      <c r="UEM107" s="974"/>
      <c r="UEN107" s="974"/>
      <c r="UEO107" s="974"/>
      <c r="UEP107" s="974"/>
      <c r="UEQ107" s="974"/>
      <c r="UER107" s="974"/>
      <c r="UES107" s="974"/>
      <c r="UET107" s="974"/>
      <c r="UEU107" s="974"/>
      <c r="UEV107" s="974"/>
      <c r="UEW107" s="974"/>
      <c r="UEX107" s="974"/>
      <c r="UEY107" s="974"/>
      <c r="UEZ107" s="974"/>
      <c r="UFA107" s="974"/>
      <c r="UFB107" s="974"/>
      <c r="UFC107" s="974"/>
      <c r="UFD107" s="974"/>
      <c r="UFE107" s="974"/>
      <c r="UFF107" s="974"/>
      <c r="UFG107" s="974"/>
      <c r="UFH107" s="974"/>
      <c r="UFI107" s="974"/>
      <c r="UFJ107" s="974"/>
      <c r="UFK107" s="974"/>
      <c r="UFL107" s="974"/>
      <c r="UFM107" s="974"/>
      <c r="UFN107" s="974"/>
      <c r="UFO107" s="974"/>
      <c r="UFP107" s="974"/>
      <c r="UFQ107" s="974"/>
      <c r="UFR107" s="974"/>
      <c r="UFS107" s="974"/>
      <c r="UFT107" s="974"/>
      <c r="UFU107" s="974"/>
      <c r="UFV107" s="974"/>
      <c r="UFW107" s="974"/>
      <c r="UFX107" s="974"/>
      <c r="UFY107" s="974"/>
      <c r="UFZ107" s="974"/>
      <c r="UGA107" s="974"/>
      <c r="UGB107" s="974"/>
      <c r="UGC107" s="974"/>
      <c r="UGD107" s="974"/>
      <c r="UGE107" s="974"/>
      <c r="UGF107" s="974"/>
      <c r="UGG107" s="974"/>
      <c r="UGH107" s="974"/>
      <c r="UGI107" s="974"/>
      <c r="UGJ107" s="974"/>
      <c r="UGK107" s="974"/>
      <c r="UGL107" s="974"/>
      <c r="UGM107" s="974"/>
      <c r="UGN107" s="974"/>
      <c r="UGO107" s="974"/>
      <c r="UGP107" s="974"/>
      <c r="UGQ107" s="974"/>
      <c r="UGR107" s="974"/>
      <c r="UGS107" s="974"/>
      <c r="UGT107" s="974"/>
      <c r="UGU107" s="974"/>
      <c r="UGV107" s="974"/>
      <c r="UGW107" s="974"/>
      <c r="UGX107" s="974"/>
      <c r="UGY107" s="974"/>
      <c r="UGZ107" s="974"/>
      <c r="UHA107" s="974"/>
      <c r="UHB107" s="974"/>
      <c r="UHC107" s="974"/>
      <c r="UHD107" s="974"/>
      <c r="UHE107" s="974"/>
      <c r="UHF107" s="974"/>
      <c r="UHG107" s="974"/>
      <c r="UHH107" s="974"/>
      <c r="UHI107" s="974"/>
      <c r="UHJ107" s="974"/>
      <c r="UHK107" s="974"/>
      <c r="UHL107" s="974"/>
      <c r="UHM107" s="974"/>
      <c r="UHN107" s="974"/>
      <c r="UHO107" s="974"/>
      <c r="UHP107" s="974"/>
      <c r="UHQ107" s="974"/>
      <c r="UHR107" s="974"/>
      <c r="UHS107" s="974"/>
      <c r="UHT107" s="974"/>
      <c r="UHU107" s="974"/>
      <c r="UHV107" s="974"/>
      <c r="UHW107" s="974"/>
      <c r="UHX107" s="974"/>
      <c r="UHY107" s="974"/>
      <c r="UHZ107" s="974"/>
      <c r="UIA107" s="974"/>
      <c r="UIB107" s="974"/>
      <c r="UIC107" s="974"/>
      <c r="UID107" s="974"/>
      <c r="UIE107" s="974"/>
      <c r="UIF107" s="974"/>
      <c r="UIG107" s="974"/>
      <c r="UIH107" s="974"/>
      <c r="UII107" s="974"/>
      <c r="UIJ107" s="974"/>
      <c r="UIK107" s="974"/>
      <c r="UIL107" s="974"/>
      <c r="UIM107" s="974"/>
      <c r="UIN107" s="974"/>
      <c r="UIO107" s="974"/>
      <c r="UIP107" s="974"/>
      <c r="UIQ107" s="974"/>
      <c r="UIR107" s="974"/>
      <c r="UIS107" s="974"/>
      <c r="UIT107" s="974"/>
      <c r="UIU107" s="974"/>
      <c r="UIV107" s="974"/>
      <c r="UIW107" s="974"/>
      <c r="UIX107" s="974"/>
      <c r="UIY107" s="974"/>
      <c r="UIZ107" s="974"/>
      <c r="UJA107" s="974"/>
      <c r="UJB107" s="974"/>
      <c r="UJC107" s="974"/>
      <c r="UJD107" s="974"/>
      <c r="UJE107" s="974"/>
      <c r="UJF107" s="974"/>
      <c r="UJG107" s="974"/>
      <c r="UJH107" s="974"/>
      <c r="UJI107" s="974"/>
      <c r="UJJ107" s="974"/>
      <c r="UJK107" s="974"/>
      <c r="UJL107" s="974"/>
      <c r="UJM107" s="974"/>
      <c r="UJN107" s="974"/>
      <c r="UJO107" s="974"/>
      <c r="UJP107" s="974"/>
      <c r="UJQ107" s="974"/>
      <c r="UJR107" s="974"/>
      <c r="UJS107" s="974"/>
      <c r="UJT107" s="974"/>
      <c r="UJU107" s="974"/>
      <c r="UJV107" s="974"/>
      <c r="UJW107" s="974"/>
      <c r="UJX107" s="974"/>
      <c r="UJY107" s="974"/>
      <c r="UJZ107" s="974"/>
      <c r="UKA107" s="974"/>
      <c r="UKB107" s="974"/>
      <c r="UKC107" s="974"/>
      <c r="UKD107" s="974"/>
      <c r="UKE107" s="974"/>
      <c r="UKF107" s="974"/>
      <c r="UKG107" s="974"/>
      <c r="UKH107" s="974"/>
      <c r="UKI107" s="974"/>
      <c r="UKJ107" s="974"/>
      <c r="UKK107" s="974"/>
      <c r="UKL107" s="974"/>
      <c r="UKM107" s="974"/>
      <c r="UKN107" s="974"/>
      <c r="UKO107" s="974"/>
      <c r="UKP107" s="974"/>
      <c r="UKQ107" s="974"/>
      <c r="UKR107" s="974"/>
      <c r="UKS107" s="974"/>
      <c r="UKT107" s="974"/>
      <c r="UKU107" s="974"/>
      <c r="UKV107" s="974"/>
      <c r="UKW107" s="974"/>
      <c r="UKX107" s="974"/>
      <c r="UKY107" s="974"/>
      <c r="UKZ107" s="974"/>
      <c r="ULA107" s="974"/>
      <c r="ULB107" s="974"/>
      <c r="ULC107" s="974"/>
      <c r="ULD107" s="974"/>
      <c r="ULE107" s="974"/>
      <c r="ULF107" s="974"/>
      <c r="ULG107" s="974"/>
      <c r="ULH107" s="974"/>
      <c r="ULI107" s="974"/>
      <c r="ULJ107" s="974"/>
      <c r="ULK107" s="974"/>
      <c r="ULL107" s="974"/>
      <c r="ULM107" s="974"/>
      <c r="ULN107" s="974"/>
      <c r="ULO107" s="974"/>
      <c r="ULP107" s="974"/>
      <c r="ULQ107" s="974"/>
      <c r="ULR107" s="974"/>
      <c r="ULS107" s="974"/>
      <c r="ULT107" s="974"/>
      <c r="ULU107" s="974"/>
      <c r="ULV107" s="974"/>
      <c r="ULW107" s="974"/>
      <c r="ULX107" s="974"/>
      <c r="ULY107" s="974"/>
      <c r="ULZ107" s="974"/>
      <c r="UMA107" s="974"/>
      <c r="UMB107" s="974"/>
      <c r="UMC107" s="974"/>
      <c r="UMD107" s="974"/>
      <c r="UME107" s="974"/>
      <c r="UMF107" s="974"/>
      <c r="UMG107" s="974"/>
      <c r="UMH107" s="974"/>
      <c r="UMI107" s="974"/>
      <c r="UMJ107" s="974"/>
      <c r="UMK107" s="974"/>
      <c r="UML107" s="974"/>
      <c r="UMM107" s="974"/>
      <c r="UMN107" s="974"/>
      <c r="UMO107" s="974"/>
      <c r="UMP107" s="974"/>
      <c r="UMQ107" s="974"/>
      <c r="UMR107" s="974"/>
      <c r="UMS107" s="974"/>
      <c r="UMT107" s="974"/>
      <c r="UMU107" s="974"/>
      <c r="UMV107" s="974"/>
      <c r="UMW107" s="974"/>
      <c r="UMX107" s="974"/>
      <c r="UMY107" s="974"/>
      <c r="UMZ107" s="974"/>
      <c r="UNA107" s="974"/>
      <c r="UNB107" s="974"/>
      <c r="UNC107" s="974"/>
      <c r="UND107" s="974"/>
      <c r="UNE107" s="974"/>
      <c r="UNF107" s="974"/>
      <c r="UNG107" s="974"/>
      <c r="UNH107" s="974"/>
      <c r="UNI107" s="974"/>
      <c r="UNJ107" s="974"/>
      <c r="UNK107" s="974"/>
      <c r="UNL107" s="974"/>
      <c r="UNM107" s="974"/>
      <c r="UNN107" s="974"/>
      <c r="UNO107" s="974"/>
      <c r="UNP107" s="974"/>
      <c r="UNQ107" s="974"/>
      <c r="UNR107" s="974"/>
      <c r="UNS107" s="974"/>
      <c r="UNT107" s="974"/>
      <c r="UNU107" s="974"/>
      <c r="UNV107" s="974"/>
      <c r="UNW107" s="974"/>
      <c r="UNX107" s="974"/>
      <c r="UNY107" s="974"/>
      <c r="UNZ107" s="974"/>
      <c r="UOA107" s="974"/>
      <c r="UOB107" s="974"/>
      <c r="UOC107" s="974"/>
      <c r="UOD107" s="974"/>
      <c r="UOE107" s="974"/>
      <c r="UOF107" s="974"/>
      <c r="UOG107" s="974"/>
      <c r="UOH107" s="974"/>
      <c r="UOI107" s="974"/>
      <c r="UOJ107" s="974"/>
      <c r="UOK107" s="974"/>
      <c r="UOL107" s="974"/>
      <c r="UOM107" s="974"/>
      <c r="UON107" s="974"/>
      <c r="UOO107" s="974"/>
      <c r="UOP107" s="974"/>
      <c r="UOQ107" s="974"/>
      <c r="UOR107" s="974"/>
      <c r="UOS107" s="974"/>
      <c r="UOT107" s="974"/>
      <c r="UOU107" s="974"/>
      <c r="UOV107" s="974"/>
      <c r="UOW107" s="974"/>
      <c r="UOX107" s="974"/>
      <c r="UOY107" s="974"/>
      <c r="UOZ107" s="974"/>
      <c r="UPA107" s="974"/>
      <c r="UPB107" s="974"/>
      <c r="UPC107" s="974"/>
      <c r="UPD107" s="974"/>
      <c r="UPE107" s="974"/>
      <c r="UPF107" s="974"/>
      <c r="UPG107" s="974"/>
      <c r="UPH107" s="974"/>
      <c r="UPI107" s="974"/>
      <c r="UPJ107" s="974"/>
      <c r="UPK107" s="974"/>
      <c r="UPL107" s="974"/>
      <c r="UPM107" s="974"/>
      <c r="UPN107" s="974"/>
      <c r="UPO107" s="974"/>
      <c r="UPP107" s="974"/>
      <c r="UPQ107" s="974"/>
      <c r="UPR107" s="974"/>
      <c r="UPS107" s="974"/>
      <c r="UPT107" s="974"/>
      <c r="UPU107" s="974"/>
      <c r="UPV107" s="974"/>
      <c r="UPW107" s="974"/>
      <c r="UPX107" s="974"/>
      <c r="UPY107" s="974"/>
      <c r="UPZ107" s="974"/>
      <c r="UQA107" s="974"/>
      <c r="UQB107" s="974"/>
      <c r="UQC107" s="974"/>
      <c r="UQD107" s="974"/>
      <c r="UQE107" s="974"/>
      <c r="UQF107" s="974"/>
      <c r="UQG107" s="974"/>
      <c r="UQH107" s="974"/>
      <c r="UQI107" s="974"/>
      <c r="UQJ107" s="974"/>
      <c r="UQK107" s="974"/>
      <c r="UQL107" s="974"/>
      <c r="UQM107" s="974"/>
      <c r="UQN107" s="974"/>
      <c r="UQO107" s="974"/>
      <c r="UQP107" s="974"/>
      <c r="UQQ107" s="974"/>
      <c r="UQR107" s="974"/>
      <c r="UQS107" s="974"/>
      <c r="UQT107" s="974"/>
      <c r="UQU107" s="974"/>
      <c r="UQV107" s="974"/>
      <c r="UQW107" s="974"/>
      <c r="UQX107" s="974"/>
      <c r="UQY107" s="974"/>
      <c r="UQZ107" s="974"/>
      <c r="URA107" s="974"/>
      <c r="URB107" s="974"/>
      <c r="URC107" s="974"/>
      <c r="URD107" s="974"/>
      <c r="URE107" s="974"/>
      <c r="URF107" s="974"/>
      <c r="URG107" s="974"/>
      <c r="URH107" s="974"/>
      <c r="URI107" s="974"/>
      <c r="URJ107" s="974"/>
      <c r="URK107" s="974"/>
      <c r="URL107" s="974"/>
      <c r="URM107" s="974"/>
      <c r="URN107" s="974"/>
      <c r="URO107" s="974"/>
      <c r="URP107" s="974"/>
      <c r="URQ107" s="974"/>
      <c r="URR107" s="974"/>
      <c r="URS107" s="974"/>
      <c r="URT107" s="974"/>
      <c r="URU107" s="974"/>
      <c r="URV107" s="974"/>
      <c r="URW107" s="974"/>
      <c r="URX107" s="974"/>
      <c r="URY107" s="974"/>
      <c r="URZ107" s="974"/>
      <c r="USA107" s="974"/>
      <c r="USB107" s="974"/>
      <c r="USC107" s="974"/>
      <c r="USD107" s="974"/>
      <c r="USE107" s="974"/>
      <c r="USF107" s="974"/>
      <c r="USG107" s="974"/>
      <c r="USH107" s="974"/>
      <c r="USI107" s="974"/>
      <c r="USJ107" s="974"/>
      <c r="USK107" s="974"/>
      <c r="USL107" s="974"/>
      <c r="USM107" s="974"/>
      <c r="USN107" s="974"/>
      <c r="USO107" s="974"/>
      <c r="USP107" s="974"/>
      <c r="USQ107" s="974"/>
      <c r="USR107" s="974"/>
      <c r="USS107" s="974"/>
      <c r="UST107" s="974"/>
      <c r="USU107" s="974"/>
      <c r="USV107" s="974"/>
      <c r="USW107" s="974"/>
      <c r="USX107" s="974"/>
      <c r="USY107" s="974"/>
      <c r="USZ107" s="974"/>
      <c r="UTA107" s="974"/>
      <c r="UTB107" s="974"/>
      <c r="UTC107" s="974"/>
      <c r="UTD107" s="974"/>
      <c r="UTE107" s="974"/>
      <c r="UTF107" s="974"/>
      <c r="UTG107" s="974"/>
      <c r="UTH107" s="974"/>
      <c r="UTI107" s="974"/>
      <c r="UTJ107" s="974"/>
      <c r="UTK107" s="974"/>
      <c r="UTL107" s="974"/>
      <c r="UTM107" s="974"/>
      <c r="UTN107" s="974"/>
      <c r="UTO107" s="974"/>
      <c r="UTP107" s="974"/>
      <c r="UTQ107" s="974"/>
      <c r="UTR107" s="974"/>
      <c r="UTS107" s="974"/>
      <c r="UTT107" s="974"/>
      <c r="UTU107" s="974"/>
      <c r="UTV107" s="974"/>
      <c r="UTW107" s="974"/>
      <c r="UTX107" s="974"/>
      <c r="UTY107" s="974"/>
      <c r="UTZ107" s="974"/>
      <c r="UUA107" s="974"/>
      <c r="UUB107" s="974"/>
      <c r="UUC107" s="974"/>
      <c r="UUD107" s="974"/>
      <c r="UUE107" s="974"/>
      <c r="UUF107" s="974"/>
      <c r="UUG107" s="974"/>
      <c r="UUH107" s="974"/>
      <c r="UUI107" s="974"/>
      <c r="UUJ107" s="974"/>
      <c r="UUK107" s="974"/>
      <c r="UUL107" s="974"/>
      <c r="UUM107" s="974"/>
      <c r="UUN107" s="974"/>
      <c r="UUO107" s="974"/>
      <c r="UUP107" s="974"/>
      <c r="UUQ107" s="974"/>
      <c r="UUR107" s="974"/>
      <c r="UUS107" s="974"/>
      <c r="UUT107" s="974"/>
      <c r="UUU107" s="974"/>
      <c r="UUV107" s="974"/>
      <c r="UUW107" s="974"/>
      <c r="UUX107" s="974"/>
      <c r="UUY107" s="974"/>
      <c r="UUZ107" s="974"/>
      <c r="UVA107" s="974"/>
      <c r="UVB107" s="974"/>
      <c r="UVC107" s="974"/>
      <c r="UVD107" s="974"/>
      <c r="UVE107" s="974"/>
      <c r="UVF107" s="974"/>
      <c r="UVG107" s="974"/>
      <c r="UVH107" s="974"/>
      <c r="UVI107" s="974"/>
      <c r="UVJ107" s="974"/>
      <c r="UVK107" s="974"/>
      <c r="UVL107" s="974"/>
      <c r="UVM107" s="974"/>
      <c r="UVN107" s="974"/>
      <c r="UVO107" s="974"/>
      <c r="UVP107" s="974"/>
      <c r="UVQ107" s="974"/>
      <c r="UVR107" s="974"/>
      <c r="UVS107" s="974"/>
      <c r="UVT107" s="974"/>
      <c r="UVU107" s="974"/>
      <c r="UVV107" s="974"/>
      <c r="UVW107" s="974"/>
      <c r="UVX107" s="974"/>
      <c r="UVY107" s="974"/>
      <c r="UVZ107" s="974"/>
      <c r="UWA107" s="974"/>
      <c r="UWB107" s="974"/>
      <c r="UWC107" s="974"/>
      <c r="UWD107" s="974"/>
      <c r="UWE107" s="974"/>
      <c r="UWF107" s="974"/>
      <c r="UWG107" s="974"/>
      <c r="UWH107" s="974"/>
      <c r="UWI107" s="974"/>
      <c r="UWJ107" s="974"/>
      <c r="UWK107" s="974"/>
      <c r="UWL107" s="974"/>
      <c r="UWM107" s="974"/>
      <c r="UWN107" s="974"/>
      <c r="UWO107" s="974"/>
      <c r="UWP107" s="974"/>
      <c r="UWQ107" s="974"/>
      <c r="UWR107" s="974"/>
      <c r="UWS107" s="974"/>
      <c r="UWT107" s="974"/>
      <c r="UWU107" s="974"/>
      <c r="UWV107" s="974"/>
      <c r="UWW107" s="974"/>
      <c r="UWX107" s="974"/>
      <c r="UWY107" s="974"/>
      <c r="UWZ107" s="974"/>
      <c r="UXA107" s="974"/>
      <c r="UXB107" s="974"/>
      <c r="UXC107" s="974"/>
      <c r="UXD107" s="974"/>
      <c r="UXE107" s="974"/>
      <c r="UXF107" s="974"/>
      <c r="UXG107" s="974"/>
      <c r="UXH107" s="974"/>
      <c r="UXI107" s="974"/>
      <c r="UXJ107" s="974"/>
      <c r="UXK107" s="974"/>
      <c r="UXL107" s="974"/>
      <c r="UXM107" s="974"/>
      <c r="UXN107" s="974"/>
      <c r="UXO107" s="974"/>
      <c r="UXP107" s="974"/>
      <c r="UXQ107" s="974"/>
      <c r="UXR107" s="974"/>
      <c r="UXS107" s="974"/>
      <c r="UXT107" s="974"/>
      <c r="UXU107" s="974"/>
      <c r="UXV107" s="974"/>
      <c r="UXW107" s="974"/>
      <c r="UXX107" s="974"/>
      <c r="UXY107" s="974"/>
      <c r="UXZ107" s="974"/>
      <c r="UYA107" s="974"/>
      <c r="UYB107" s="974"/>
      <c r="UYC107" s="974"/>
      <c r="UYD107" s="974"/>
      <c r="UYE107" s="974"/>
      <c r="UYF107" s="974"/>
      <c r="UYG107" s="974"/>
      <c r="UYH107" s="974"/>
      <c r="UYI107" s="974"/>
      <c r="UYJ107" s="974"/>
      <c r="UYK107" s="974"/>
      <c r="UYL107" s="974"/>
      <c r="UYM107" s="974"/>
      <c r="UYN107" s="974"/>
      <c r="UYO107" s="974"/>
      <c r="UYP107" s="974"/>
      <c r="UYQ107" s="974"/>
      <c r="UYR107" s="974"/>
      <c r="UYS107" s="974"/>
      <c r="UYT107" s="974"/>
      <c r="UYU107" s="974"/>
      <c r="UYV107" s="974"/>
      <c r="UYW107" s="974"/>
      <c r="UYX107" s="974"/>
      <c r="UYY107" s="974"/>
      <c r="UYZ107" s="974"/>
      <c r="UZA107" s="974"/>
      <c r="UZB107" s="974"/>
      <c r="UZC107" s="974"/>
      <c r="UZD107" s="974"/>
      <c r="UZE107" s="974"/>
      <c r="UZF107" s="974"/>
      <c r="UZG107" s="974"/>
      <c r="UZH107" s="974"/>
      <c r="UZI107" s="974"/>
      <c r="UZJ107" s="974"/>
      <c r="UZK107" s="974"/>
      <c r="UZL107" s="974"/>
      <c r="UZM107" s="974"/>
      <c r="UZN107" s="974"/>
      <c r="UZO107" s="974"/>
      <c r="UZP107" s="974"/>
      <c r="UZQ107" s="974"/>
      <c r="UZR107" s="974"/>
      <c r="UZS107" s="974"/>
      <c r="UZT107" s="974"/>
      <c r="UZU107" s="974"/>
      <c r="UZV107" s="974"/>
      <c r="UZW107" s="974"/>
      <c r="UZX107" s="974"/>
      <c r="UZY107" s="974"/>
      <c r="UZZ107" s="974"/>
      <c r="VAA107" s="974"/>
      <c r="VAB107" s="974"/>
      <c r="VAC107" s="974"/>
      <c r="VAD107" s="974"/>
      <c r="VAE107" s="974"/>
      <c r="VAF107" s="974"/>
      <c r="VAG107" s="974"/>
      <c r="VAH107" s="974"/>
      <c r="VAI107" s="974"/>
      <c r="VAJ107" s="974"/>
      <c r="VAK107" s="974"/>
      <c r="VAL107" s="974"/>
      <c r="VAM107" s="974"/>
      <c r="VAN107" s="974"/>
      <c r="VAO107" s="974"/>
      <c r="VAP107" s="974"/>
      <c r="VAQ107" s="974"/>
      <c r="VAR107" s="974"/>
      <c r="VAS107" s="974"/>
      <c r="VAT107" s="974"/>
      <c r="VAU107" s="974"/>
      <c r="VAV107" s="974"/>
      <c r="VAW107" s="974"/>
      <c r="VAX107" s="974"/>
      <c r="VAY107" s="974"/>
      <c r="VAZ107" s="974"/>
      <c r="VBA107" s="974"/>
      <c r="VBB107" s="974"/>
      <c r="VBC107" s="974"/>
      <c r="VBD107" s="974"/>
      <c r="VBE107" s="974"/>
      <c r="VBF107" s="974"/>
      <c r="VBG107" s="974"/>
      <c r="VBH107" s="974"/>
      <c r="VBI107" s="974"/>
      <c r="VBJ107" s="974"/>
      <c r="VBK107" s="974"/>
      <c r="VBL107" s="974"/>
      <c r="VBM107" s="974"/>
      <c r="VBN107" s="974"/>
      <c r="VBO107" s="974"/>
      <c r="VBP107" s="974"/>
      <c r="VBQ107" s="974"/>
      <c r="VBR107" s="974"/>
      <c r="VBS107" s="974"/>
      <c r="VBT107" s="974"/>
      <c r="VBU107" s="974"/>
      <c r="VBV107" s="974"/>
      <c r="VBW107" s="974"/>
      <c r="VBX107" s="974"/>
      <c r="VBY107" s="974"/>
      <c r="VBZ107" s="974"/>
      <c r="VCA107" s="974"/>
      <c r="VCB107" s="974"/>
      <c r="VCC107" s="974"/>
      <c r="VCD107" s="974"/>
      <c r="VCE107" s="974"/>
      <c r="VCF107" s="974"/>
      <c r="VCG107" s="974"/>
      <c r="VCH107" s="974"/>
      <c r="VCI107" s="974"/>
      <c r="VCJ107" s="974"/>
      <c r="VCK107" s="974"/>
      <c r="VCL107" s="974"/>
      <c r="VCM107" s="974"/>
      <c r="VCN107" s="974"/>
      <c r="VCO107" s="974"/>
      <c r="VCP107" s="974"/>
      <c r="VCQ107" s="974"/>
      <c r="VCR107" s="974"/>
      <c r="VCS107" s="974"/>
      <c r="VCT107" s="974"/>
      <c r="VCU107" s="974"/>
      <c r="VCV107" s="974"/>
      <c r="VCW107" s="974"/>
      <c r="VCX107" s="974"/>
      <c r="VCY107" s="974"/>
      <c r="VCZ107" s="974"/>
      <c r="VDA107" s="974"/>
      <c r="VDB107" s="974"/>
      <c r="VDC107" s="974"/>
      <c r="VDD107" s="974"/>
      <c r="VDE107" s="974"/>
      <c r="VDF107" s="974"/>
      <c r="VDG107" s="974"/>
      <c r="VDH107" s="974"/>
      <c r="VDI107" s="974"/>
      <c r="VDJ107" s="974"/>
      <c r="VDK107" s="974"/>
      <c r="VDL107" s="974"/>
      <c r="VDM107" s="974"/>
      <c r="VDN107" s="974"/>
      <c r="VDO107" s="974"/>
      <c r="VDP107" s="974"/>
      <c r="VDQ107" s="974"/>
      <c r="VDR107" s="974"/>
      <c r="VDS107" s="974"/>
      <c r="VDT107" s="974"/>
      <c r="VDU107" s="974"/>
      <c r="VDV107" s="974"/>
      <c r="VDW107" s="974"/>
      <c r="VDX107" s="974"/>
      <c r="VDY107" s="974"/>
      <c r="VDZ107" s="974"/>
      <c r="VEA107" s="974"/>
      <c r="VEB107" s="974"/>
      <c r="VEC107" s="974"/>
      <c r="VED107" s="974"/>
      <c r="VEE107" s="974"/>
      <c r="VEF107" s="974"/>
      <c r="VEG107" s="974"/>
      <c r="VEH107" s="974"/>
      <c r="VEI107" s="974"/>
      <c r="VEJ107" s="974"/>
      <c r="VEK107" s="974"/>
      <c r="VEL107" s="974"/>
      <c r="VEM107" s="974"/>
      <c r="VEN107" s="974"/>
      <c r="VEO107" s="974"/>
      <c r="VEP107" s="974"/>
      <c r="VEQ107" s="974"/>
      <c r="VER107" s="974"/>
      <c r="VES107" s="974"/>
      <c r="VET107" s="974"/>
      <c r="VEU107" s="974"/>
      <c r="VEV107" s="974"/>
      <c r="VEW107" s="974"/>
      <c r="VEX107" s="974"/>
      <c r="VEY107" s="974"/>
      <c r="VEZ107" s="974"/>
      <c r="VFA107" s="974"/>
      <c r="VFB107" s="974"/>
      <c r="VFC107" s="974"/>
      <c r="VFD107" s="974"/>
      <c r="VFE107" s="974"/>
      <c r="VFF107" s="974"/>
      <c r="VFG107" s="974"/>
      <c r="VFH107" s="974"/>
      <c r="VFI107" s="974"/>
      <c r="VFJ107" s="974"/>
      <c r="VFK107" s="974"/>
      <c r="VFL107" s="974"/>
      <c r="VFM107" s="974"/>
      <c r="VFN107" s="974"/>
      <c r="VFO107" s="974"/>
      <c r="VFP107" s="974"/>
      <c r="VFQ107" s="974"/>
      <c r="VFR107" s="974"/>
      <c r="VFS107" s="974"/>
      <c r="VFT107" s="974"/>
      <c r="VFU107" s="974"/>
      <c r="VFV107" s="974"/>
      <c r="VFW107" s="974"/>
      <c r="VFX107" s="974"/>
      <c r="VFY107" s="974"/>
      <c r="VFZ107" s="974"/>
      <c r="VGA107" s="974"/>
      <c r="VGB107" s="974"/>
      <c r="VGC107" s="974"/>
      <c r="VGD107" s="974"/>
      <c r="VGE107" s="974"/>
      <c r="VGF107" s="974"/>
      <c r="VGG107" s="974"/>
      <c r="VGH107" s="974"/>
      <c r="VGI107" s="974"/>
      <c r="VGJ107" s="974"/>
      <c r="VGK107" s="974"/>
      <c r="VGL107" s="974"/>
      <c r="VGM107" s="974"/>
      <c r="VGN107" s="974"/>
      <c r="VGO107" s="974"/>
      <c r="VGP107" s="974"/>
      <c r="VGQ107" s="974"/>
      <c r="VGR107" s="974"/>
      <c r="VGS107" s="974"/>
      <c r="VGT107" s="974"/>
      <c r="VGU107" s="974"/>
      <c r="VGV107" s="974"/>
      <c r="VGW107" s="974"/>
      <c r="VGX107" s="974"/>
      <c r="VGY107" s="974"/>
      <c r="VGZ107" s="974"/>
      <c r="VHA107" s="974"/>
      <c r="VHB107" s="974"/>
      <c r="VHC107" s="974"/>
      <c r="VHD107" s="974"/>
      <c r="VHE107" s="974"/>
      <c r="VHF107" s="974"/>
      <c r="VHG107" s="974"/>
      <c r="VHH107" s="974"/>
      <c r="VHI107" s="974"/>
      <c r="VHJ107" s="974"/>
      <c r="VHK107" s="974"/>
      <c r="VHL107" s="974"/>
      <c r="VHM107" s="974"/>
      <c r="VHN107" s="974"/>
      <c r="VHO107" s="974"/>
      <c r="VHP107" s="974"/>
      <c r="VHQ107" s="974"/>
      <c r="VHR107" s="974"/>
      <c r="VHS107" s="974"/>
      <c r="VHT107" s="974"/>
      <c r="VHU107" s="974"/>
      <c r="VHV107" s="974"/>
      <c r="VHW107" s="974"/>
      <c r="VHX107" s="974"/>
      <c r="VHY107" s="974"/>
      <c r="VHZ107" s="974"/>
      <c r="VIA107" s="974"/>
      <c r="VIB107" s="974"/>
      <c r="VIC107" s="974"/>
      <c r="VID107" s="974"/>
      <c r="VIE107" s="974"/>
      <c r="VIF107" s="974"/>
      <c r="VIG107" s="974"/>
      <c r="VIH107" s="974"/>
      <c r="VII107" s="974"/>
      <c r="VIJ107" s="974"/>
      <c r="VIK107" s="974"/>
      <c r="VIL107" s="974"/>
      <c r="VIM107" s="974"/>
      <c r="VIN107" s="974"/>
      <c r="VIO107" s="974"/>
      <c r="VIP107" s="974"/>
      <c r="VIQ107" s="974"/>
      <c r="VIR107" s="974"/>
      <c r="VIS107" s="974"/>
      <c r="VIT107" s="974"/>
      <c r="VIU107" s="974"/>
      <c r="VIV107" s="974"/>
      <c r="VIW107" s="974"/>
      <c r="VIX107" s="974"/>
      <c r="VIY107" s="974"/>
      <c r="VIZ107" s="974"/>
      <c r="VJA107" s="974"/>
      <c r="VJB107" s="974"/>
      <c r="VJC107" s="974"/>
      <c r="VJD107" s="974"/>
      <c r="VJE107" s="974"/>
      <c r="VJF107" s="974"/>
      <c r="VJG107" s="974"/>
      <c r="VJH107" s="974"/>
      <c r="VJI107" s="974"/>
      <c r="VJJ107" s="974"/>
      <c r="VJK107" s="974"/>
      <c r="VJL107" s="974"/>
      <c r="VJM107" s="974"/>
      <c r="VJN107" s="974"/>
      <c r="VJO107" s="974"/>
      <c r="VJP107" s="974"/>
      <c r="VJQ107" s="974"/>
      <c r="VJR107" s="974"/>
      <c r="VJS107" s="974"/>
      <c r="VJT107" s="974"/>
      <c r="VJU107" s="974"/>
      <c r="VJV107" s="974"/>
      <c r="VJW107" s="974"/>
      <c r="VJX107" s="974"/>
      <c r="VJY107" s="974"/>
      <c r="VJZ107" s="974"/>
      <c r="VKA107" s="974"/>
      <c r="VKB107" s="974"/>
      <c r="VKC107" s="974"/>
      <c r="VKD107" s="974"/>
      <c r="VKE107" s="974"/>
      <c r="VKF107" s="974"/>
      <c r="VKG107" s="974"/>
      <c r="VKH107" s="974"/>
      <c r="VKI107" s="974"/>
      <c r="VKJ107" s="974"/>
      <c r="VKK107" s="974"/>
      <c r="VKL107" s="974"/>
      <c r="VKM107" s="974"/>
      <c r="VKN107" s="974"/>
      <c r="VKO107" s="974"/>
      <c r="VKP107" s="974"/>
      <c r="VKQ107" s="974"/>
      <c r="VKR107" s="974"/>
      <c r="VKS107" s="974"/>
      <c r="VKT107" s="974"/>
      <c r="VKU107" s="974"/>
      <c r="VKV107" s="974"/>
      <c r="VKW107" s="974"/>
      <c r="VKX107" s="974"/>
      <c r="VKY107" s="974"/>
      <c r="VKZ107" s="974"/>
      <c r="VLA107" s="974"/>
      <c r="VLB107" s="974"/>
      <c r="VLC107" s="974"/>
      <c r="VLD107" s="974"/>
      <c r="VLE107" s="974"/>
      <c r="VLF107" s="974"/>
      <c r="VLG107" s="974"/>
      <c r="VLH107" s="974"/>
      <c r="VLI107" s="974"/>
      <c r="VLJ107" s="974"/>
      <c r="VLK107" s="974"/>
      <c r="VLL107" s="974"/>
      <c r="VLM107" s="974"/>
      <c r="VLN107" s="974"/>
      <c r="VLO107" s="974"/>
      <c r="VLP107" s="974"/>
      <c r="VLQ107" s="974"/>
      <c r="VLR107" s="974"/>
      <c r="VLS107" s="974"/>
      <c r="VLT107" s="974"/>
      <c r="VLU107" s="974"/>
      <c r="VLV107" s="974"/>
      <c r="VLW107" s="974"/>
      <c r="VLX107" s="974"/>
      <c r="VLY107" s="974"/>
      <c r="VLZ107" s="974"/>
      <c r="VMA107" s="974"/>
      <c r="VMB107" s="974"/>
      <c r="VMC107" s="974"/>
      <c r="VMD107" s="974"/>
      <c r="VME107" s="974"/>
      <c r="VMF107" s="974"/>
      <c r="VMG107" s="974"/>
      <c r="VMH107" s="974"/>
      <c r="VMI107" s="974"/>
      <c r="VMJ107" s="974"/>
      <c r="VMK107" s="974"/>
      <c r="VML107" s="974"/>
      <c r="VMM107" s="974"/>
      <c r="VMN107" s="974"/>
      <c r="VMO107" s="974"/>
      <c r="VMP107" s="974"/>
      <c r="VMQ107" s="974"/>
      <c r="VMR107" s="974"/>
      <c r="VMS107" s="974"/>
      <c r="VMT107" s="974"/>
      <c r="VMU107" s="974"/>
      <c r="VMV107" s="974"/>
      <c r="VMW107" s="974"/>
      <c r="VMX107" s="974"/>
      <c r="VMY107" s="974"/>
      <c r="VMZ107" s="974"/>
      <c r="VNA107" s="974"/>
      <c r="VNB107" s="974"/>
      <c r="VNC107" s="974"/>
      <c r="VND107" s="974"/>
      <c r="VNE107" s="974"/>
      <c r="VNF107" s="974"/>
      <c r="VNG107" s="974"/>
      <c r="VNH107" s="974"/>
      <c r="VNI107" s="974"/>
      <c r="VNJ107" s="974"/>
      <c r="VNK107" s="974"/>
      <c r="VNL107" s="974"/>
      <c r="VNM107" s="974"/>
      <c r="VNN107" s="974"/>
      <c r="VNO107" s="974"/>
      <c r="VNP107" s="974"/>
      <c r="VNQ107" s="974"/>
      <c r="VNR107" s="974"/>
      <c r="VNS107" s="974"/>
      <c r="VNT107" s="974"/>
      <c r="VNU107" s="974"/>
      <c r="VNV107" s="974"/>
      <c r="VNW107" s="974"/>
      <c r="VNX107" s="974"/>
      <c r="VNY107" s="974"/>
      <c r="VNZ107" s="974"/>
      <c r="VOA107" s="974"/>
      <c r="VOB107" s="974"/>
      <c r="VOC107" s="974"/>
      <c r="VOD107" s="974"/>
      <c r="VOE107" s="974"/>
      <c r="VOF107" s="974"/>
      <c r="VOG107" s="974"/>
      <c r="VOH107" s="974"/>
      <c r="VOI107" s="974"/>
      <c r="VOJ107" s="974"/>
      <c r="VOK107" s="974"/>
      <c r="VOL107" s="974"/>
      <c r="VOM107" s="974"/>
      <c r="VON107" s="974"/>
      <c r="VOO107" s="974"/>
      <c r="VOP107" s="974"/>
      <c r="VOQ107" s="974"/>
      <c r="VOR107" s="974"/>
      <c r="VOS107" s="974"/>
      <c r="VOT107" s="974"/>
      <c r="VOU107" s="974"/>
      <c r="VOV107" s="974"/>
      <c r="VOW107" s="974"/>
      <c r="VOX107" s="974"/>
      <c r="VOY107" s="974"/>
      <c r="VOZ107" s="974"/>
      <c r="VPA107" s="974"/>
      <c r="VPB107" s="974"/>
      <c r="VPC107" s="974"/>
      <c r="VPD107" s="974"/>
      <c r="VPE107" s="974"/>
      <c r="VPF107" s="974"/>
      <c r="VPG107" s="974"/>
      <c r="VPH107" s="974"/>
      <c r="VPI107" s="974"/>
      <c r="VPJ107" s="974"/>
      <c r="VPK107" s="974"/>
      <c r="VPL107" s="974"/>
      <c r="VPM107" s="974"/>
      <c r="VPN107" s="974"/>
      <c r="VPO107" s="974"/>
      <c r="VPP107" s="974"/>
      <c r="VPQ107" s="974"/>
      <c r="VPR107" s="974"/>
      <c r="VPS107" s="974"/>
      <c r="VPT107" s="974"/>
      <c r="VPU107" s="974"/>
      <c r="VPV107" s="974"/>
      <c r="VPW107" s="974"/>
      <c r="VPX107" s="974"/>
      <c r="VPY107" s="974"/>
      <c r="VPZ107" s="974"/>
      <c r="VQA107" s="974"/>
      <c r="VQB107" s="974"/>
      <c r="VQC107" s="974"/>
      <c r="VQD107" s="974"/>
      <c r="VQE107" s="974"/>
      <c r="VQF107" s="974"/>
      <c r="VQG107" s="974"/>
      <c r="VQH107" s="974"/>
      <c r="VQI107" s="974"/>
      <c r="VQJ107" s="974"/>
      <c r="VQK107" s="974"/>
      <c r="VQL107" s="974"/>
      <c r="VQM107" s="974"/>
      <c r="VQN107" s="974"/>
      <c r="VQO107" s="974"/>
      <c r="VQP107" s="974"/>
      <c r="VQQ107" s="974"/>
      <c r="VQR107" s="974"/>
      <c r="VQS107" s="974"/>
      <c r="VQT107" s="974"/>
      <c r="VQU107" s="974"/>
      <c r="VQV107" s="974"/>
      <c r="VQW107" s="974"/>
      <c r="VQX107" s="974"/>
      <c r="VQY107" s="974"/>
      <c r="VQZ107" s="974"/>
      <c r="VRA107" s="974"/>
      <c r="VRB107" s="974"/>
      <c r="VRC107" s="974"/>
      <c r="VRD107" s="974"/>
      <c r="VRE107" s="974"/>
      <c r="VRF107" s="974"/>
      <c r="VRG107" s="974"/>
      <c r="VRH107" s="974"/>
      <c r="VRI107" s="974"/>
      <c r="VRJ107" s="974"/>
      <c r="VRK107" s="974"/>
      <c r="VRL107" s="974"/>
      <c r="VRM107" s="974"/>
      <c r="VRN107" s="974"/>
      <c r="VRO107" s="974"/>
      <c r="VRP107" s="974"/>
      <c r="VRQ107" s="974"/>
      <c r="VRR107" s="974"/>
      <c r="VRS107" s="974"/>
      <c r="VRT107" s="974"/>
      <c r="VRU107" s="974"/>
      <c r="VRV107" s="974"/>
      <c r="VRW107" s="974"/>
      <c r="VRX107" s="974"/>
      <c r="VRY107" s="974"/>
      <c r="VRZ107" s="974"/>
      <c r="VSA107" s="974"/>
      <c r="VSB107" s="974"/>
      <c r="VSC107" s="974"/>
      <c r="VSD107" s="974"/>
      <c r="VSE107" s="974"/>
      <c r="VSF107" s="974"/>
      <c r="VSG107" s="974"/>
      <c r="VSH107" s="974"/>
      <c r="VSI107" s="974"/>
      <c r="VSJ107" s="974"/>
      <c r="VSK107" s="974"/>
      <c r="VSL107" s="974"/>
      <c r="VSM107" s="974"/>
      <c r="VSN107" s="974"/>
      <c r="VSO107" s="974"/>
      <c r="VSP107" s="974"/>
      <c r="VSQ107" s="974"/>
      <c r="VSR107" s="974"/>
      <c r="VSS107" s="974"/>
      <c r="VST107" s="974"/>
      <c r="VSU107" s="974"/>
      <c r="VSV107" s="974"/>
      <c r="VSW107" s="974"/>
      <c r="VSX107" s="974"/>
      <c r="VSY107" s="974"/>
      <c r="VSZ107" s="974"/>
      <c r="VTA107" s="974"/>
      <c r="VTB107" s="974"/>
      <c r="VTC107" s="974"/>
      <c r="VTD107" s="974"/>
      <c r="VTE107" s="974"/>
      <c r="VTF107" s="974"/>
      <c r="VTG107" s="974"/>
      <c r="VTH107" s="974"/>
      <c r="VTI107" s="974"/>
      <c r="VTJ107" s="974"/>
      <c r="VTK107" s="974"/>
      <c r="VTL107" s="974"/>
      <c r="VTM107" s="974"/>
      <c r="VTN107" s="974"/>
      <c r="VTO107" s="974"/>
      <c r="VTP107" s="974"/>
      <c r="VTQ107" s="974"/>
      <c r="VTR107" s="974"/>
      <c r="VTS107" s="974"/>
      <c r="VTT107" s="974"/>
      <c r="VTU107" s="974"/>
      <c r="VTV107" s="974"/>
      <c r="VTW107" s="974"/>
      <c r="VTX107" s="974"/>
      <c r="VTY107" s="974"/>
      <c r="VTZ107" s="974"/>
      <c r="VUA107" s="974"/>
      <c r="VUB107" s="974"/>
      <c r="VUC107" s="974"/>
      <c r="VUD107" s="974"/>
      <c r="VUE107" s="974"/>
      <c r="VUF107" s="974"/>
      <c r="VUG107" s="974"/>
      <c r="VUH107" s="974"/>
      <c r="VUI107" s="974"/>
      <c r="VUJ107" s="974"/>
      <c r="VUK107" s="974"/>
      <c r="VUL107" s="974"/>
      <c r="VUM107" s="974"/>
      <c r="VUN107" s="974"/>
      <c r="VUO107" s="974"/>
      <c r="VUP107" s="974"/>
      <c r="VUQ107" s="974"/>
      <c r="VUR107" s="974"/>
      <c r="VUS107" s="974"/>
      <c r="VUT107" s="974"/>
      <c r="VUU107" s="974"/>
      <c r="VUV107" s="974"/>
      <c r="VUW107" s="974"/>
      <c r="VUX107" s="974"/>
      <c r="VUY107" s="974"/>
      <c r="VUZ107" s="974"/>
      <c r="VVA107" s="974"/>
      <c r="VVB107" s="974"/>
      <c r="VVC107" s="974"/>
      <c r="VVD107" s="974"/>
      <c r="VVE107" s="974"/>
      <c r="VVF107" s="974"/>
      <c r="VVG107" s="974"/>
      <c r="VVH107" s="974"/>
      <c r="VVI107" s="974"/>
      <c r="VVJ107" s="974"/>
      <c r="VVK107" s="974"/>
      <c r="VVL107" s="974"/>
      <c r="VVM107" s="974"/>
      <c r="VVN107" s="974"/>
      <c r="VVO107" s="974"/>
      <c r="VVP107" s="974"/>
      <c r="VVQ107" s="974"/>
      <c r="VVR107" s="974"/>
      <c r="VVS107" s="974"/>
      <c r="VVT107" s="974"/>
      <c r="VVU107" s="974"/>
      <c r="VVV107" s="974"/>
      <c r="VVW107" s="974"/>
      <c r="VVX107" s="974"/>
      <c r="VVY107" s="974"/>
      <c r="VVZ107" s="974"/>
      <c r="VWA107" s="974"/>
      <c r="VWB107" s="974"/>
      <c r="VWC107" s="974"/>
      <c r="VWD107" s="974"/>
      <c r="VWE107" s="974"/>
      <c r="VWF107" s="974"/>
      <c r="VWG107" s="974"/>
      <c r="VWH107" s="974"/>
      <c r="VWI107" s="974"/>
      <c r="VWJ107" s="974"/>
      <c r="VWK107" s="974"/>
      <c r="VWL107" s="974"/>
      <c r="VWM107" s="974"/>
      <c r="VWN107" s="974"/>
      <c r="VWO107" s="974"/>
      <c r="VWP107" s="974"/>
      <c r="VWQ107" s="974"/>
      <c r="VWR107" s="974"/>
      <c r="VWS107" s="974"/>
      <c r="VWT107" s="974"/>
      <c r="VWU107" s="974"/>
      <c r="VWV107" s="974"/>
      <c r="VWW107" s="974"/>
      <c r="VWX107" s="974"/>
      <c r="VWY107" s="974"/>
      <c r="VWZ107" s="974"/>
      <c r="VXA107" s="974"/>
      <c r="VXB107" s="974"/>
      <c r="VXC107" s="974"/>
      <c r="VXD107" s="974"/>
      <c r="VXE107" s="974"/>
      <c r="VXF107" s="974"/>
      <c r="VXG107" s="974"/>
      <c r="VXH107" s="974"/>
      <c r="VXI107" s="974"/>
      <c r="VXJ107" s="974"/>
      <c r="VXK107" s="974"/>
      <c r="VXL107" s="974"/>
      <c r="VXM107" s="974"/>
      <c r="VXN107" s="974"/>
      <c r="VXO107" s="974"/>
      <c r="VXP107" s="974"/>
      <c r="VXQ107" s="974"/>
      <c r="VXR107" s="974"/>
      <c r="VXS107" s="974"/>
      <c r="VXT107" s="974"/>
      <c r="VXU107" s="974"/>
      <c r="VXV107" s="974"/>
      <c r="VXW107" s="974"/>
      <c r="VXX107" s="974"/>
      <c r="VXY107" s="974"/>
      <c r="VXZ107" s="974"/>
      <c r="VYA107" s="974"/>
      <c r="VYB107" s="974"/>
      <c r="VYC107" s="974"/>
      <c r="VYD107" s="974"/>
      <c r="VYE107" s="974"/>
      <c r="VYF107" s="974"/>
      <c r="VYG107" s="974"/>
      <c r="VYH107" s="974"/>
      <c r="VYI107" s="974"/>
      <c r="VYJ107" s="974"/>
      <c r="VYK107" s="974"/>
      <c r="VYL107" s="974"/>
      <c r="VYM107" s="974"/>
      <c r="VYN107" s="974"/>
      <c r="VYO107" s="974"/>
      <c r="VYP107" s="974"/>
      <c r="VYQ107" s="974"/>
      <c r="VYR107" s="974"/>
      <c r="VYS107" s="974"/>
      <c r="VYT107" s="974"/>
      <c r="VYU107" s="974"/>
      <c r="VYV107" s="974"/>
      <c r="VYW107" s="974"/>
      <c r="VYX107" s="974"/>
      <c r="VYY107" s="974"/>
      <c r="VYZ107" s="974"/>
      <c r="VZA107" s="974"/>
      <c r="VZB107" s="974"/>
      <c r="VZC107" s="974"/>
      <c r="VZD107" s="974"/>
      <c r="VZE107" s="974"/>
      <c r="VZF107" s="974"/>
      <c r="VZG107" s="974"/>
      <c r="VZH107" s="974"/>
      <c r="VZI107" s="974"/>
      <c r="VZJ107" s="974"/>
      <c r="VZK107" s="974"/>
      <c r="VZL107" s="974"/>
      <c r="VZM107" s="974"/>
      <c r="VZN107" s="974"/>
      <c r="VZO107" s="974"/>
      <c r="VZP107" s="974"/>
      <c r="VZQ107" s="974"/>
      <c r="VZR107" s="974"/>
      <c r="VZS107" s="974"/>
      <c r="VZT107" s="974"/>
      <c r="VZU107" s="974"/>
      <c r="VZV107" s="974"/>
      <c r="VZW107" s="974"/>
      <c r="VZX107" s="974"/>
      <c r="VZY107" s="974"/>
      <c r="VZZ107" s="974"/>
      <c r="WAA107" s="974"/>
      <c r="WAB107" s="974"/>
      <c r="WAC107" s="974"/>
      <c r="WAD107" s="974"/>
      <c r="WAE107" s="974"/>
      <c r="WAF107" s="974"/>
      <c r="WAG107" s="974"/>
      <c r="WAH107" s="974"/>
      <c r="WAI107" s="974"/>
      <c r="WAJ107" s="974"/>
      <c r="WAK107" s="974"/>
      <c r="WAL107" s="974"/>
      <c r="WAM107" s="974"/>
      <c r="WAN107" s="974"/>
      <c r="WAO107" s="974"/>
      <c r="WAP107" s="974"/>
      <c r="WAQ107" s="974"/>
      <c r="WAR107" s="974"/>
      <c r="WAS107" s="974"/>
      <c r="WAT107" s="974"/>
      <c r="WAU107" s="974"/>
      <c r="WAV107" s="974"/>
      <c r="WAW107" s="974"/>
      <c r="WAX107" s="974"/>
      <c r="WAY107" s="974"/>
      <c r="WAZ107" s="974"/>
      <c r="WBA107" s="974"/>
      <c r="WBB107" s="974"/>
      <c r="WBC107" s="974"/>
      <c r="WBD107" s="974"/>
      <c r="WBE107" s="974"/>
      <c r="WBF107" s="974"/>
      <c r="WBG107" s="974"/>
      <c r="WBH107" s="974"/>
      <c r="WBI107" s="974"/>
      <c r="WBJ107" s="974"/>
      <c r="WBK107" s="974"/>
      <c r="WBL107" s="974"/>
      <c r="WBM107" s="974"/>
      <c r="WBN107" s="974"/>
      <c r="WBO107" s="974"/>
      <c r="WBP107" s="974"/>
      <c r="WBQ107" s="974"/>
      <c r="WBR107" s="974"/>
      <c r="WBS107" s="974"/>
      <c r="WBT107" s="974"/>
      <c r="WBU107" s="974"/>
      <c r="WBV107" s="974"/>
      <c r="WBW107" s="974"/>
      <c r="WBX107" s="974"/>
      <c r="WBY107" s="974"/>
      <c r="WBZ107" s="974"/>
      <c r="WCA107" s="974"/>
      <c r="WCB107" s="974"/>
      <c r="WCC107" s="974"/>
      <c r="WCD107" s="974"/>
      <c r="WCE107" s="974"/>
      <c r="WCF107" s="974"/>
      <c r="WCG107" s="974"/>
      <c r="WCH107" s="974"/>
      <c r="WCI107" s="974"/>
      <c r="WCJ107" s="974"/>
      <c r="WCK107" s="974"/>
      <c r="WCL107" s="974"/>
      <c r="WCM107" s="974"/>
      <c r="WCN107" s="974"/>
      <c r="WCO107" s="974"/>
      <c r="WCP107" s="974"/>
      <c r="WCQ107" s="974"/>
      <c r="WCR107" s="974"/>
      <c r="WCS107" s="974"/>
      <c r="WCT107" s="974"/>
      <c r="WCU107" s="974"/>
      <c r="WCV107" s="974"/>
      <c r="WCW107" s="974"/>
      <c r="WCX107" s="974"/>
      <c r="WCY107" s="974"/>
      <c r="WCZ107" s="974"/>
      <c r="WDA107" s="974"/>
      <c r="WDB107" s="974"/>
      <c r="WDC107" s="974"/>
      <c r="WDD107" s="974"/>
      <c r="WDE107" s="974"/>
      <c r="WDF107" s="974"/>
      <c r="WDG107" s="974"/>
      <c r="WDH107" s="974"/>
      <c r="WDI107" s="974"/>
      <c r="WDJ107" s="974"/>
      <c r="WDK107" s="974"/>
      <c r="WDL107" s="974"/>
      <c r="WDM107" s="974"/>
      <c r="WDN107" s="974"/>
      <c r="WDO107" s="974"/>
      <c r="WDP107" s="974"/>
      <c r="WDQ107" s="974"/>
      <c r="WDR107" s="974"/>
      <c r="WDS107" s="974"/>
      <c r="WDT107" s="974"/>
      <c r="WDU107" s="974"/>
      <c r="WDV107" s="974"/>
      <c r="WDW107" s="974"/>
      <c r="WDX107" s="974"/>
      <c r="WDY107" s="974"/>
      <c r="WDZ107" s="974"/>
      <c r="WEA107" s="974"/>
      <c r="WEB107" s="974"/>
      <c r="WEC107" s="974"/>
      <c r="WED107" s="974"/>
      <c r="WEE107" s="974"/>
      <c r="WEF107" s="974"/>
      <c r="WEG107" s="974"/>
      <c r="WEH107" s="974"/>
      <c r="WEI107" s="974"/>
      <c r="WEJ107" s="974"/>
      <c r="WEK107" s="974"/>
      <c r="WEL107" s="974"/>
      <c r="WEM107" s="974"/>
      <c r="WEN107" s="974"/>
      <c r="WEO107" s="974"/>
      <c r="WEP107" s="974"/>
      <c r="WEQ107" s="974"/>
      <c r="WER107" s="974"/>
      <c r="WES107" s="974"/>
      <c r="WET107" s="974"/>
      <c r="WEU107" s="974"/>
      <c r="WEV107" s="974"/>
      <c r="WEW107" s="974"/>
      <c r="WEX107" s="974"/>
      <c r="WEY107" s="974"/>
      <c r="WEZ107" s="974"/>
      <c r="WFA107" s="974"/>
      <c r="WFB107" s="974"/>
      <c r="WFC107" s="974"/>
      <c r="WFD107" s="974"/>
      <c r="WFE107" s="974"/>
      <c r="WFF107" s="974"/>
      <c r="WFG107" s="974"/>
      <c r="WFH107" s="974"/>
      <c r="WFI107" s="974"/>
      <c r="WFJ107" s="974"/>
      <c r="WFK107" s="974"/>
      <c r="WFL107" s="974"/>
      <c r="WFM107" s="974"/>
      <c r="WFN107" s="974"/>
      <c r="WFO107" s="974"/>
      <c r="WFP107" s="974"/>
      <c r="WFQ107" s="974"/>
      <c r="WFR107" s="974"/>
      <c r="WFS107" s="974"/>
      <c r="WFT107" s="974"/>
      <c r="WFU107" s="974"/>
      <c r="WFV107" s="974"/>
      <c r="WFW107" s="974"/>
      <c r="WFX107" s="974"/>
      <c r="WFY107" s="974"/>
      <c r="WFZ107" s="974"/>
      <c r="WGA107" s="974"/>
      <c r="WGB107" s="974"/>
      <c r="WGC107" s="974"/>
      <c r="WGD107" s="974"/>
      <c r="WGE107" s="974"/>
      <c r="WGF107" s="974"/>
      <c r="WGG107" s="974"/>
      <c r="WGH107" s="974"/>
      <c r="WGI107" s="974"/>
      <c r="WGJ107" s="974"/>
      <c r="WGK107" s="974"/>
      <c r="WGL107" s="974"/>
      <c r="WGM107" s="974"/>
      <c r="WGN107" s="974"/>
      <c r="WGO107" s="974"/>
      <c r="WGP107" s="974"/>
      <c r="WGQ107" s="974"/>
      <c r="WGR107" s="974"/>
      <c r="WGS107" s="974"/>
      <c r="WGT107" s="974"/>
      <c r="WGU107" s="974"/>
      <c r="WGV107" s="974"/>
      <c r="WGW107" s="974"/>
      <c r="WGX107" s="974"/>
      <c r="WGY107" s="974"/>
      <c r="WGZ107" s="974"/>
      <c r="WHA107" s="974"/>
      <c r="WHB107" s="974"/>
      <c r="WHC107" s="974"/>
      <c r="WHD107" s="974"/>
      <c r="WHE107" s="974"/>
      <c r="WHF107" s="974"/>
      <c r="WHG107" s="974"/>
      <c r="WHH107" s="974"/>
      <c r="WHI107" s="974"/>
      <c r="WHJ107" s="974"/>
      <c r="WHK107" s="974"/>
      <c r="WHL107" s="974"/>
      <c r="WHM107" s="974"/>
      <c r="WHN107" s="974"/>
      <c r="WHO107" s="974"/>
      <c r="WHP107" s="974"/>
      <c r="WHQ107" s="974"/>
      <c r="WHR107" s="974"/>
      <c r="WHS107" s="974"/>
      <c r="WHT107" s="974"/>
      <c r="WHU107" s="974"/>
      <c r="WHV107" s="974"/>
      <c r="WHW107" s="974"/>
      <c r="WHX107" s="974"/>
      <c r="WHY107" s="974"/>
      <c r="WHZ107" s="974"/>
      <c r="WIA107" s="974"/>
      <c r="WIB107" s="974"/>
      <c r="WIC107" s="974"/>
      <c r="WID107" s="974"/>
      <c r="WIE107" s="974"/>
      <c r="WIF107" s="974"/>
      <c r="WIG107" s="974"/>
      <c r="WIH107" s="974"/>
      <c r="WII107" s="974"/>
      <c r="WIJ107" s="974"/>
      <c r="WIK107" s="974"/>
      <c r="WIL107" s="974"/>
      <c r="WIM107" s="974"/>
      <c r="WIN107" s="974"/>
      <c r="WIO107" s="974"/>
      <c r="WIP107" s="974"/>
      <c r="WIQ107" s="974"/>
      <c r="WIR107" s="974"/>
      <c r="WIS107" s="974"/>
      <c r="WIT107" s="974"/>
      <c r="WIU107" s="974"/>
      <c r="WIV107" s="974"/>
      <c r="WIW107" s="974"/>
      <c r="WIX107" s="974"/>
      <c r="WIY107" s="974"/>
      <c r="WIZ107" s="974"/>
      <c r="WJA107" s="974"/>
      <c r="WJB107" s="974"/>
      <c r="WJC107" s="974"/>
      <c r="WJD107" s="974"/>
      <c r="WJE107" s="974"/>
      <c r="WJF107" s="974"/>
      <c r="WJG107" s="974"/>
      <c r="WJH107" s="974"/>
      <c r="WJI107" s="974"/>
      <c r="WJJ107" s="974"/>
      <c r="WJK107" s="974"/>
      <c r="WJL107" s="974"/>
      <c r="WJM107" s="974"/>
      <c r="WJN107" s="974"/>
      <c r="WJO107" s="974"/>
      <c r="WJP107" s="974"/>
      <c r="WJQ107" s="974"/>
      <c r="WJR107" s="974"/>
      <c r="WJS107" s="974"/>
      <c r="WJT107" s="974"/>
      <c r="WJU107" s="974"/>
      <c r="WJV107" s="974"/>
      <c r="WJW107" s="974"/>
      <c r="WJX107" s="974"/>
      <c r="WJY107" s="974"/>
      <c r="WJZ107" s="974"/>
      <c r="WKA107" s="974"/>
      <c r="WKB107" s="974"/>
      <c r="WKC107" s="974"/>
      <c r="WKD107" s="974"/>
      <c r="WKE107" s="974"/>
      <c r="WKF107" s="974"/>
      <c r="WKG107" s="974"/>
      <c r="WKH107" s="974"/>
      <c r="WKI107" s="974"/>
      <c r="WKJ107" s="974"/>
      <c r="WKK107" s="974"/>
      <c r="WKL107" s="974"/>
      <c r="WKM107" s="974"/>
      <c r="WKN107" s="974"/>
      <c r="WKO107" s="974"/>
      <c r="WKP107" s="974"/>
      <c r="WKQ107" s="974"/>
      <c r="WKR107" s="974"/>
      <c r="WKS107" s="974"/>
      <c r="WKT107" s="974"/>
      <c r="WKU107" s="974"/>
      <c r="WKV107" s="974"/>
      <c r="WKW107" s="974"/>
      <c r="WKX107" s="974"/>
      <c r="WKY107" s="974"/>
      <c r="WKZ107" s="974"/>
      <c r="WLA107" s="974"/>
      <c r="WLB107" s="974"/>
      <c r="WLC107" s="974"/>
      <c r="WLD107" s="974"/>
      <c r="WLE107" s="974"/>
      <c r="WLF107" s="974"/>
      <c r="WLG107" s="974"/>
      <c r="WLH107" s="974"/>
      <c r="WLI107" s="974"/>
      <c r="WLJ107" s="974"/>
      <c r="WLK107" s="974"/>
      <c r="WLL107" s="974"/>
      <c r="WLM107" s="974"/>
      <c r="WLN107" s="974"/>
      <c r="WLO107" s="974"/>
      <c r="WLP107" s="974"/>
      <c r="WLQ107" s="974"/>
      <c r="WLR107" s="974"/>
      <c r="WLS107" s="974"/>
      <c r="WLT107" s="974"/>
      <c r="WLU107" s="974"/>
      <c r="WLV107" s="974"/>
      <c r="WLW107" s="974"/>
      <c r="WLX107" s="974"/>
      <c r="WLY107" s="974"/>
      <c r="WLZ107" s="974"/>
      <c r="WMA107" s="974"/>
      <c r="WMB107" s="974"/>
      <c r="WMC107" s="974"/>
      <c r="WMD107" s="974"/>
      <c r="WME107" s="974"/>
      <c r="WMF107" s="974"/>
      <c r="WMG107" s="974"/>
      <c r="WMH107" s="974"/>
      <c r="WMI107" s="974"/>
      <c r="WMJ107" s="974"/>
      <c r="WMK107" s="974"/>
      <c r="WML107" s="974"/>
      <c r="WMM107" s="974"/>
      <c r="WMN107" s="974"/>
      <c r="WMO107" s="974"/>
      <c r="WMP107" s="974"/>
      <c r="WMQ107" s="974"/>
      <c r="WMR107" s="974"/>
      <c r="WMS107" s="974"/>
      <c r="WMT107" s="974"/>
      <c r="WMU107" s="974"/>
      <c r="WMV107" s="974"/>
      <c r="WMW107" s="974"/>
      <c r="WMX107" s="974"/>
      <c r="WMY107" s="974"/>
      <c r="WMZ107" s="974"/>
      <c r="WNA107" s="974"/>
      <c r="WNB107" s="974"/>
      <c r="WNC107" s="974"/>
      <c r="WND107" s="974"/>
      <c r="WNE107" s="974"/>
      <c r="WNF107" s="974"/>
      <c r="WNG107" s="974"/>
      <c r="WNH107" s="974"/>
      <c r="WNI107" s="974"/>
      <c r="WNJ107" s="974"/>
      <c r="WNK107" s="974"/>
      <c r="WNL107" s="974"/>
      <c r="WNM107" s="974"/>
      <c r="WNN107" s="974"/>
      <c r="WNO107" s="974"/>
      <c r="WNP107" s="974"/>
      <c r="WNQ107" s="974"/>
      <c r="WNR107" s="974"/>
      <c r="WNS107" s="974"/>
      <c r="WNT107" s="974"/>
      <c r="WNU107" s="974"/>
      <c r="WNV107" s="974"/>
      <c r="WNW107" s="974"/>
      <c r="WNX107" s="974"/>
      <c r="WNY107" s="974"/>
      <c r="WNZ107" s="974"/>
      <c r="WOA107" s="974"/>
      <c r="WOB107" s="974"/>
      <c r="WOC107" s="974"/>
      <c r="WOD107" s="974"/>
      <c r="WOE107" s="974"/>
      <c r="WOF107" s="974"/>
      <c r="WOG107" s="974"/>
      <c r="WOH107" s="974"/>
      <c r="WOI107" s="974"/>
      <c r="WOJ107" s="974"/>
      <c r="WOK107" s="974"/>
      <c r="WOL107" s="974"/>
      <c r="WOM107" s="974"/>
      <c r="WON107" s="974"/>
      <c r="WOO107" s="974"/>
      <c r="WOP107" s="974"/>
      <c r="WOQ107" s="974"/>
      <c r="WOR107" s="974"/>
      <c r="WOS107" s="974"/>
      <c r="WOT107" s="974"/>
      <c r="WOU107" s="974"/>
      <c r="WOV107" s="974"/>
      <c r="WOW107" s="974"/>
      <c r="WOX107" s="974"/>
      <c r="WOY107" s="974"/>
      <c r="WOZ107" s="974"/>
      <c r="WPA107" s="974"/>
      <c r="WPB107" s="974"/>
      <c r="WPC107" s="974"/>
      <c r="WPD107" s="974"/>
      <c r="WPE107" s="974"/>
      <c r="WPF107" s="974"/>
      <c r="WPG107" s="974"/>
      <c r="WPH107" s="974"/>
      <c r="WPI107" s="974"/>
      <c r="WPJ107" s="974"/>
      <c r="WPK107" s="974"/>
      <c r="WPL107" s="974"/>
      <c r="WPM107" s="974"/>
      <c r="WPN107" s="974"/>
      <c r="WPO107" s="974"/>
      <c r="WPP107" s="974"/>
      <c r="WPQ107" s="974"/>
      <c r="WPR107" s="974"/>
      <c r="WPS107" s="974"/>
      <c r="WPT107" s="974"/>
      <c r="WPU107" s="974"/>
      <c r="WPV107" s="974"/>
      <c r="WPW107" s="974"/>
      <c r="WPX107" s="974"/>
      <c r="WPY107" s="974"/>
      <c r="WPZ107" s="974"/>
      <c r="WQA107" s="974"/>
      <c r="WQB107" s="974"/>
      <c r="WQC107" s="974"/>
      <c r="WQD107" s="974"/>
      <c r="WQE107" s="974"/>
      <c r="WQF107" s="974"/>
      <c r="WQG107" s="974"/>
      <c r="WQH107" s="974"/>
      <c r="WQI107" s="974"/>
      <c r="WQJ107" s="974"/>
      <c r="WQK107" s="974"/>
      <c r="WQL107" s="974"/>
      <c r="WQM107" s="974"/>
      <c r="WQN107" s="974"/>
      <c r="WQO107" s="974"/>
      <c r="WQP107" s="974"/>
      <c r="WQQ107" s="974"/>
      <c r="WQR107" s="974"/>
      <c r="WQS107" s="974"/>
      <c r="WQT107" s="974"/>
      <c r="WQU107" s="974"/>
      <c r="WQV107" s="974"/>
      <c r="WQW107" s="974"/>
      <c r="WQX107" s="974"/>
      <c r="WQY107" s="974"/>
      <c r="WQZ107" s="974"/>
      <c r="WRA107" s="974"/>
      <c r="WRB107" s="974"/>
      <c r="WRC107" s="974"/>
      <c r="WRD107" s="974"/>
      <c r="WRE107" s="974"/>
      <c r="WRF107" s="974"/>
      <c r="WRG107" s="974"/>
      <c r="WRH107" s="974"/>
      <c r="WRI107" s="974"/>
      <c r="WRJ107" s="974"/>
      <c r="WRK107" s="974"/>
      <c r="WRL107" s="974"/>
      <c r="WRM107" s="974"/>
      <c r="WRN107" s="974"/>
      <c r="WRO107" s="974"/>
      <c r="WRP107" s="974"/>
      <c r="WRQ107" s="974"/>
      <c r="WRR107" s="974"/>
      <c r="WRS107" s="974"/>
      <c r="WRT107" s="974"/>
      <c r="WRU107" s="974"/>
      <c r="WRV107" s="974"/>
      <c r="WRW107" s="974"/>
      <c r="WRX107" s="974"/>
      <c r="WRY107" s="974"/>
      <c r="WRZ107" s="974"/>
      <c r="WSA107" s="974"/>
      <c r="WSB107" s="974"/>
      <c r="WSC107" s="974"/>
      <c r="WSD107" s="974"/>
      <c r="WSE107" s="974"/>
      <c r="WSF107" s="974"/>
      <c r="WSG107" s="974"/>
      <c r="WSH107" s="974"/>
      <c r="WSI107" s="974"/>
      <c r="WSJ107" s="974"/>
      <c r="WSK107" s="974"/>
      <c r="WSL107" s="974"/>
      <c r="WSM107" s="974"/>
      <c r="WSN107" s="974"/>
      <c r="WSO107" s="974"/>
      <c r="WSP107" s="974"/>
      <c r="WSQ107" s="974"/>
      <c r="WSR107" s="974"/>
      <c r="WSS107" s="974"/>
      <c r="WST107" s="974"/>
      <c r="WSU107" s="974"/>
      <c r="WSV107" s="974"/>
      <c r="WSW107" s="974"/>
      <c r="WSX107" s="974"/>
      <c r="WSY107" s="974"/>
      <c r="WSZ107" s="974"/>
      <c r="WTA107" s="974"/>
      <c r="WTB107" s="974"/>
      <c r="WTC107" s="974"/>
      <c r="WTD107" s="974"/>
      <c r="WTE107" s="974"/>
      <c r="WTF107" s="974"/>
      <c r="WTG107" s="974"/>
      <c r="WTH107" s="974"/>
      <c r="WTI107" s="974"/>
      <c r="WTJ107" s="974"/>
      <c r="WTK107" s="974"/>
      <c r="WTL107" s="974"/>
      <c r="WTM107" s="974"/>
      <c r="WTN107" s="974"/>
      <c r="WTO107" s="974"/>
      <c r="WTP107" s="974"/>
      <c r="WTQ107" s="974"/>
      <c r="WTR107" s="974"/>
      <c r="WTS107" s="974"/>
      <c r="WTT107" s="974"/>
      <c r="WTU107" s="974"/>
      <c r="WTV107" s="974"/>
      <c r="WTW107" s="974"/>
      <c r="WTX107" s="974"/>
      <c r="WTY107" s="974"/>
      <c r="WTZ107" s="974"/>
      <c r="WUA107" s="974"/>
      <c r="WUB107" s="974"/>
      <c r="WUC107" s="974"/>
      <c r="WUD107" s="974"/>
      <c r="WUE107" s="974"/>
      <c r="WUF107" s="974"/>
      <c r="WUG107" s="974"/>
      <c r="WUH107" s="974"/>
      <c r="WUI107" s="974"/>
      <c r="WUJ107" s="974"/>
      <c r="WUK107" s="974"/>
      <c r="WUL107" s="974"/>
      <c r="WUM107" s="974"/>
      <c r="WUN107" s="974"/>
      <c r="WUO107" s="974"/>
      <c r="WUP107" s="974"/>
      <c r="WUQ107" s="974"/>
      <c r="WUR107" s="974"/>
      <c r="WUS107" s="974"/>
      <c r="WUT107" s="974"/>
      <c r="WUU107" s="974"/>
      <c r="WUV107" s="974"/>
      <c r="WUW107" s="974"/>
      <c r="WUX107" s="974"/>
      <c r="WUY107" s="974"/>
      <c r="WUZ107" s="974"/>
      <c r="WVA107" s="974"/>
      <c r="WVB107" s="974"/>
      <c r="WVC107" s="974"/>
      <c r="WVD107" s="974"/>
      <c r="WVE107" s="974"/>
      <c r="WVF107" s="974"/>
      <c r="WVG107" s="974"/>
      <c r="WVH107" s="974"/>
      <c r="WVI107" s="974"/>
      <c r="WVJ107" s="974"/>
      <c r="WVK107" s="974"/>
      <c r="WVL107" s="974"/>
      <c r="WVM107" s="974"/>
      <c r="WVN107" s="974"/>
      <c r="WVO107" s="974"/>
      <c r="WVP107" s="974"/>
      <c r="WVQ107" s="974"/>
      <c r="WVR107" s="974"/>
      <c r="WVS107" s="974"/>
      <c r="WVT107" s="974"/>
      <c r="WVU107" s="974"/>
      <c r="WVV107" s="974"/>
      <c r="WVW107" s="974"/>
      <c r="WVX107" s="974"/>
      <c r="WVY107" s="974"/>
      <c r="WVZ107" s="974"/>
      <c r="WWA107" s="974"/>
      <c r="WWB107" s="974"/>
      <c r="WWC107" s="974"/>
      <c r="WWD107" s="974"/>
      <c r="WWE107" s="974"/>
      <c r="WWF107" s="974"/>
      <c r="WWG107" s="974"/>
      <c r="WWH107" s="974"/>
      <c r="WWI107" s="974"/>
      <c r="WWJ107" s="974"/>
      <c r="WWK107" s="974"/>
      <c r="WWL107" s="974"/>
      <c r="WWM107" s="974"/>
      <c r="WWN107" s="974"/>
      <c r="WWO107" s="974"/>
      <c r="WWP107" s="974"/>
      <c r="WWQ107" s="974"/>
      <c r="WWR107" s="974"/>
      <c r="WWS107" s="974"/>
      <c r="WWT107" s="974"/>
      <c r="WWU107" s="974"/>
      <c r="WWV107" s="974"/>
      <c r="WWW107" s="974"/>
      <c r="WWX107" s="974"/>
      <c r="WWY107" s="974"/>
      <c r="WWZ107" s="974"/>
      <c r="WXA107" s="974"/>
      <c r="WXB107" s="974"/>
      <c r="WXC107" s="974"/>
      <c r="WXD107" s="974"/>
      <c r="WXE107" s="974"/>
      <c r="WXF107" s="974"/>
      <c r="WXG107" s="974"/>
      <c r="WXH107" s="974"/>
      <c r="WXI107" s="974"/>
      <c r="WXJ107" s="974"/>
      <c r="WXK107" s="974"/>
      <c r="WXL107" s="974"/>
      <c r="WXM107" s="974"/>
      <c r="WXN107" s="974"/>
      <c r="WXO107" s="974"/>
      <c r="WXP107" s="974"/>
      <c r="WXQ107" s="974"/>
      <c r="WXR107" s="974"/>
      <c r="WXS107" s="974"/>
      <c r="WXT107" s="974"/>
      <c r="WXU107" s="974"/>
      <c r="WXV107" s="974"/>
      <c r="WXW107" s="974"/>
      <c r="WXX107" s="974"/>
      <c r="WXY107" s="974"/>
      <c r="WXZ107" s="974"/>
      <c r="WYA107" s="974"/>
      <c r="WYB107" s="974"/>
      <c r="WYC107" s="974"/>
      <c r="WYD107" s="974"/>
      <c r="WYE107" s="974"/>
      <c r="WYF107" s="974"/>
      <c r="WYG107" s="974"/>
      <c r="WYH107" s="974"/>
      <c r="WYI107" s="974"/>
      <c r="WYJ107" s="974"/>
      <c r="WYK107" s="974"/>
      <c r="WYL107" s="974"/>
      <c r="WYM107" s="974"/>
      <c r="WYN107" s="974"/>
      <c r="WYO107" s="974"/>
      <c r="WYP107" s="974"/>
      <c r="WYQ107" s="974"/>
      <c r="WYR107" s="974"/>
      <c r="WYS107" s="974"/>
      <c r="WYT107" s="974"/>
      <c r="WYU107" s="974"/>
      <c r="WYV107" s="974"/>
      <c r="WYW107" s="974"/>
      <c r="WYX107" s="974"/>
      <c r="WYY107" s="974"/>
      <c r="WYZ107" s="974"/>
      <c r="WZA107" s="974"/>
      <c r="WZB107" s="974"/>
      <c r="WZC107" s="974"/>
      <c r="WZD107" s="974"/>
      <c r="WZE107" s="974"/>
      <c r="WZF107" s="974"/>
      <c r="WZG107" s="974"/>
      <c r="WZH107" s="974"/>
      <c r="WZI107" s="974"/>
      <c r="WZJ107" s="974"/>
      <c r="WZK107" s="974"/>
      <c r="WZL107" s="974"/>
      <c r="WZM107" s="974"/>
      <c r="WZN107" s="974"/>
      <c r="WZO107" s="974"/>
      <c r="WZP107" s="974"/>
      <c r="WZQ107" s="974"/>
      <c r="WZR107" s="974"/>
      <c r="WZS107" s="974"/>
      <c r="WZT107" s="974"/>
      <c r="WZU107" s="974"/>
      <c r="WZV107" s="974"/>
      <c r="WZW107" s="974"/>
      <c r="WZX107" s="974"/>
      <c r="WZY107" s="974"/>
      <c r="WZZ107" s="974"/>
      <c r="XAA107" s="974"/>
      <c r="XAB107" s="974"/>
      <c r="XAC107" s="974"/>
      <c r="XAD107" s="974"/>
      <c r="XAE107" s="974"/>
      <c r="XAF107" s="974"/>
      <c r="XAG107" s="974"/>
      <c r="XAH107" s="974"/>
      <c r="XAI107" s="974"/>
      <c r="XAJ107" s="974"/>
      <c r="XAK107" s="974"/>
      <c r="XAL107" s="974"/>
      <c r="XAM107" s="974"/>
      <c r="XAN107" s="974"/>
      <c r="XAO107" s="974"/>
      <c r="XAP107" s="974"/>
      <c r="XAQ107" s="974"/>
      <c r="XAR107" s="974"/>
      <c r="XAS107" s="974"/>
      <c r="XAT107" s="974"/>
      <c r="XAU107" s="974"/>
      <c r="XAV107" s="974"/>
      <c r="XAW107" s="974"/>
      <c r="XAX107" s="974"/>
      <c r="XAY107" s="974"/>
      <c r="XAZ107" s="974"/>
      <c r="XBA107" s="974"/>
      <c r="XBB107" s="974"/>
      <c r="XBC107" s="974"/>
      <c r="XBD107" s="974"/>
      <c r="XBE107" s="974"/>
      <c r="XBF107" s="974"/>
      <c r="XBG107" s="974"/>
      <c r="XBH107" s="974"/>
      <c r="XBI107" s="974"/>
      <c r="XBJ107" s="974"/>
      <c r="XBK107" s="974"/>
      <c r="XBL107" s="974"/>
      <c r="XBM107" s="974"/>
      <c r="XBN107" s="974"/>
      <c r="XBO107" s="974"/>
      <c r="XBP107" s="974"/>
      <c r="XBQ107" s="974"/>
      <c r="XBR107" s="974"/>
      <c r="XBS107" s="974"/>
      <c r="XBT107" s="974"/>
      <c r="XBU107" s="974"/>
      <c r="XBV107" s="974"/>
      <c r="XBW107" s="974"/>
      <c r="XBX107" s="974"/>
      <c r="XBY107" s="974"/>
      <c r="XBZ107" s="974"/>
      <c r="XCA107" s="974"/>
      <c r="XCB107" s="974"/>
      <c r="XCC107" s="974"/>
      <c r="XCD107" s="974"/>
      <c r="XCE107" s="974"/>
      <c r="XCF107" s="974"/>
      <c r="XCG107" s="974"/>
      <c r="XCH107" s="974"/>
      <c r="XCI107" s="974"/>
      <c r="XCJ107" s="974"/>
      <c r="XCK107" s="974"/>
      <c r="XCL107" s="974"/>
      <c r="XCM107" s="974"/>
      <c r="XCN107" s="974"/>
      <c r="XCO107" s="974"/>
      <c r="XCP107" s="974"/>
      <c r="XCQ107" s="974"/>
      <c r="XCR107" s="974"/>
      <c r="XCS107" s="974"/>
      <c r="XCT107" s="974"/>
      <c r="XCU107" s="974"/>
      <c r="XCV107" s="974"/>
      <c r="XCW107" s="974"/>
      <c r="XCX107" s="974"/>
      <c r="XCY107" s="974"/>
      <c r="XCZ107" s="974"/>
      <c r="XDA107" s="974"/>
      <c r="XDB107" s="974"/>
      <c r="XDC107" s="974"/>
      <c r="XDD107" s="974"/>
      <c r="XDE107" s="974"/>
      <c r="XDF107" s="974"/>
      <c r="XDG107" s="974"/>
      <c r="XDH107" s="974"/>
      <c r="XDI107" s="974"/>
      <c r="XDJ107" s="974"/>
      <c r="XDK107" s="974"/>
      <c r="XDL107" s="974"/>
      <c r="XDM107" s="974"/>
      <c r="XDN107" s="974"/>
      <c r="XDO107" s="974"/>
      <c r="XDP107" s="974"/>
      <c r="XDQ107" s="974"/>
      <c r="XDR107" s="974"/>
      <c r="XDS107" s="974"/>
      <c r="XDT107" s="974"/>
      <c r="XDU107" s="974"/>
      <c r="XDV107" s="974"/>
      <c r="XDW107" s="974"/>
      <c r="XDX107" s="974"/>
      <c r="XDY107" s="974"/>
      <c r="XDZ107" s="974"/>
      <c r="XEA107" s="974"/>
      <c r="XEB107" s="974"/>
      <c r="XEC107" s="974"/>
      <c r="XED107" s="974"/>
      <c r="XEE107" s="974"/>
      <c r="XEF107" s="974"/>
      <c r="XEG107" s="974"/>
      <c r="XEH107" s="974"/>
      <c r="XEI107" s="974"/>
      <c r="XEJ107" s="974"/>
      <c r="XEK107" s="974"/>
      <c r="XEL107" s="974"/>
      <c r="XEM107" s="974"/>
      <c r="XEN107" s="974"/>
      <c r="XEO107" s="974"/>
      <c r="XEP107" s="974"/>
      <c r="XEQ107" s="974"/>
      <c r="XER107" s="974"/>
      <c r="XES107" s="974"/>
      <c r="XET107" s="974"/>
      <c r="XEU107" s="974"/>
      <c r="XEV107" s="974"/>
      <c r="XEW107" s="974"/>
      <c r="XEX107" s="974"/>
      <c r="XEY107" s="974"/>
      <c r="XEZ107" s="974"/>
      <c r="XFA107" s="974"/>
      <c r="XFB107" s="974"/>
      <c r="XFC107" s="974"/>
      <c r="XFD107" s="974"/>
    </row>
    <row r="108" spans="1:16384" x14ac:dyDescent="0.35">
      <c r="H108" s="984"/>
      <c r="I108" s="984"/>
      <c r="J108" s="984"/>
      <c r="K108" s="984"/>
      <c r="L108" s="984"/>
      <c r="M108" s="984"/>
      <c r="N108" s="984"/>
      <c r="O108" s="984"/>
      <c r="P108" s="984"/>
      <c r="Q108" s="984"/>
      <c r="R108" s="984"/>
      <c r="S108" s="984"/>
      <c r="T108" s="984"/>
      <c r="U108" s="984"/>
      <c r="V108" s="984"/>
      <c r="W108" s="984"/>
      <c r="X108" s="984"/>
      <c r="Y108" s="984"/>
      <c r="Z108" s="984"/>
      <c r="AA108" s="984"/>
      <c r="AB108" s="984"/>
      <c r="AC108" s="984"/>
      <c r="AD108" s="984"/>
      <c r="AE108" s="984"/>
      <c r="AF108" s="984"/>
      <c r="AG108" s="984"/>
    </row>
    <row r="109" spans="1:16384" x14ac:dyDescent="0.35">
      <c r="B109" s="945"/>
      <c r="C109" s="928" t="s">
        <v>161</v>
      </c>
      <c r="D109" s="928"/>
      <c r="E109" s="928"/>
      <c r="F109" s="928"/>
      <c r="G109" s="928"/>
      <c r="H109" s="924"/>
      <c r="I109" s="924"/>
      <c r="J109" s="924"/>
      <c r="K109" s="924"/>
      <c r="L109" s="924"/>
      <c r="M109" s="924"/>
      <c r="N109" s="924"/>
      <c r="O109" s="924"/>
      <c r="P109" s="924"/>
      <c r="Q109" s="924"/>
      <c r="R109" s="924"/>
      <c r="S109" s="924"/>
      <c r="T109" s="924"/>
      <c r="U109" s="924"/>
      <c r="V109" s="924"/>
      <c r="W109" s="924"/>
      <c r="X109" s="924"/>
      <c r="Y109" s="924"/>
      <c r="Z109" s="924"/>
      <c r="AA109" s="924"/>
      <c r="AB109" s="924"/>
      <c r="AC109" s="924"/>
      <c r="AD109" s="924"/>
      <c r="AE109" s="924"/>
      <c r="AF109" s="924"/>
      <c r="AG109" s="924"/>
      <c r="AH109" s="924"/>
      <c r="AI109" s="924"/>
      <c r="AJ109" s="924"/>
      <c r="AK109" s="924"/>
      <c r="AL109" s="924"/>
      <c r="AM109" s="924"/>
      <c r="AN109" s="924"/>
      <c r="AO109" s="924"/>
      <c r="AP109" s="924"/>
      <c r="AQ109" s="924"/>
      <c r="AR109" s="924"/>
      <c r="AS109" s="924"/>
      <c r="AT109" s="924"/>
      <c r="AU109" s="924"/>
      <c r="AV109" s="924"/>
      <c r="AW109" s="924"/>
      <c r="AX109" s="924"/>
      <c r="AY109" s="924"/>
      <c r="AZ109" s="924"/>
      <c r="BA109" s="924"/>
      <c r="BB109" s="924"/>
      <c r="BC109" s="924"/>
      <c r="BD109" s="924"/>
      <c r="BE109" s="924"/>
      <c r="BF109" s="924"/>
      <c r="BG109" s="924"/>
      <c r="BH109" s="924"/>
      <c r="BI109" s="924"/>
      <c r="BJ109" s="924"/>
      <c r="BK109" s="924"/>
      <c r="BL109" s="924"/>
      <c r="BM109" s="924"/>
      <c r="BN109" s="924"/>
      <c r="BO109" s="924"/>
      <c r="BP109" s="924"/>
      <c r="BQ109" s="924"/>
      <c r="BR109" s="924"/>
      <c r="BS109" s="924"/>
      <c r="BT109" s="924"/>
      <c r="BU109" s="924"/>
      <c r="BV109" s="924"/>
      <c r="BW109" s="924"/>
      <c r="BX109" s="924"/>
      <c r="BY109" s="924"/>
      <c r="BZ109" s="924"/>
      <c r="CA109" s="924"/>
      <c r="CB109" s="924"/>
      <c r="CC109" s="924"/>
      <c r="CD109" s="978"/>
      <c r="CE109" s="978"/>
      <c r="CF109" s="978"/>
      <c r="CG109" s="978"/>
      <c r="CH109" s="978"/>
      <c r="CI109" s="978"/>
      <c r="CJ109" s="978"/>
      <c r="CK109" s="978"/>
      <c r="CL109" s="978"/>
      <c r="CM109" s="978"/>
      <c r="CN109" s="978"/>
      <c r="CO109" s="978"/>
      <c r="CP109" s="978"/>
      <c r="CQ109" s="978"/>
      <c r="CR109" s="978"/>
      <c r="CS109" s="978"/>
      <c r="CT109" s="978"/>
      <c r="CU109" s="978"/>
      <c r="CV109" s="978"/>
      <c r="CW109" s="978"/>
      <c r="CX109" s="978"/>
      <c r="CY109" s="978"/>
      <c r="CZ109" s="978"/>
      <c r="DA109" s="978"/>
      <c r="DB109" s="978"/>
      <c r="DC109" s="978"/>
      <c r="DD109" s="978"/>
      <c r="DE109" s="978"/>
      <c r="DF109" s="978"/>
      <c r="DG109" s="978"/>
      <c r="DH109" s="978"/>
      <c r="DI109" s="978"/>
      <c r="DJ109" s="978"/>
      <c r="DK109" s="978"/>
      <c r="DL109" s="978"/>
      <c r="DM109" s="978"/>
      <c r="DN109" s="978"/>
      <c r="DO109" s="978"/>
      <c r="DP109" s="978"/>
      <c r="DQ109" s="978"/>
      <c r="DR109" s="978"/>
      <c r="DS109" s="978"/>
      <c r="DT109" s="978"/>
      <c r="DU109" s="978"/>
      <c r="DV109" s="978"/>
      <c r="DW109" s="978"/>
      <c r="DX109" s="978"/>
      <c r="DY109" s="978"/>
      <c r="DZ109" s="978"/>
      <c r="EA109" s="978"/>
      <c r="EB109" s="978"/>
      <c r="EC109" s="978"/>
      <c r="ED109" s="978"/>
      <c r="EE109" s="978"/>
      <c r="EF109" s="978"/>
      <c r="EG109" s="978"/>
      <c r="EH109" s="978"/>
      <c r="EI109" s="978"/>
      <c r="EJ109" s="978"/>
      <c r="EK109" s="978"/>
      <c r="EL109" s="978"/>
      <c r="EM109" s="978"/>
      <c r="EN109" s="978"/>
      <c r="EO109" s="978"/>
      <c r="EP109" s="978"/>
      <c r="EQ109" s="978"/>
      <c r="ER109" s="978"/>
      <c r="ES109" s="978"/>
      <c r="ET109" s="978"/>
      <c r="EU109" s="978"/>
      <c r="EV109" s="978"/>
      <c r="EW109" s="978"/>
      <c r="EX109" s="978"/>
      <c r="EY109" s="978"/>
      <c r="EZ109" s="978"/>
      <c r="FA109" s="978"/>
      <c r="FB109" s="978"/>
      <c r="FC109" s="978"/>
      <c r="FD109" s="978"/>
      <c r="FE109" s="978"/>
      <c r="FF109" s="978"/>
      <c r="FG109" s="978"/>
      <c r="FH109" s="978"/>
      <c r="FI109" s="978"/>
      <c r="FJ109" s="978"/>
      <c r="FK109" s="978"/>
      <c r="FL109" s="978"/>
      <c r="FM109" s="978"/>
      <c r="FN109" s="978"/>
      <c r="FO109" s="978"/>
      <c r="FP109" s="978"/>
      <c r="FQ109" s="978"/>
      <c r="FR109" s="978"/>
      <c r="FS109" s="978"/>
      <c r="FT109" s="978"/>
      <c r="FU109" s="978"/>
      <c r="FV109" s="978"/>
      <c r="FW109" s="978"/>
      <c r="FX109" s="978"/>
      <c r="FY109" s="978"/>
      <c r="FZ109" s="978"/>
      <c r="GA109" s="978"/>
      <c r="GB109" s="978"/>
      <c r="GC109" s="978"/>
      <c r="GD109" s="978"/>
      <c r="GE109" s="978"/>
      <c r="GF109" s="978"/>
      <c r="GG109" s="978"/>
      <c r="GH109" s="978"/>
      <c r="GI109" s="978"/>
      <c r="GJ109" s="978"/>
      <c r="GK109" s="978"/>
      <c r="GL109" s="978"/>
      <c r="GM109" s="978"/>
      <c r="GN109" s="978"/>
      <c r="GO109" s="978"/>
      <c r="GP109" s="978"/>
      <c r="GQ109" s="978"/>
      <c r="GR109" s="978"/>
      <c r="GS109" s="978"/>
      <c r="GT109" s="978"/>
      <c r="GU109" s="978"/>
      <c r="GV109" s="978"/>
      <c r="GW109" s="978"/>
      <c r="GX109" s="978"/>
      <c r="GY109" s="978"/>
      <c r="GZ109" s="978"/>
      <c r="HA109" s="978"/>
      <c r="HB109" s="978"/>
      <c r="HC109" s="978"/>
      <c r="HD109" s="978"/>
      <c r="HE109" s="978"/>
      <c r="HF109" s="978"/>
      <c r="HG109" s="978"/>
      <c r="HH109" s="978"/>
      <c r="HI109" s="978"/>
      <c r="HJ109" s="978"/>
      <c r="HK109" s="978"/>
      <c r="HL109" s="978"/>
      <c r="HM109" s="978"/>
      <c r="HN109" s="978"/>
      <c r="HO109" s="978"/>
      <c r="HP109" s="978"/>
      <c r="HQ109" s="978"/>
      <c r="HR109" s="978"/>
      <c r="HS109" s="978"/>
      <c r="HT109" s="978"/>
      <c r="HU109" s="978"/>
      <c r="HV109" s="978"/>
      <c r="HW109" s="978"/>
      <c r="HX109" s="978"/>
      <c r="HY109" s="978"/>
      <c r="HZ109" s="978"/>
      <c r="IA109" s="978"/>
      <c r="IB109" s="978"/>
      <c r="IC109" s="978"/>
      <c r="ID109" s="978"/>
      <c r="IE109" s="978"/>
      <c r="IF109" s="978"/>
      <c r="IG109" s="978"/>
      <c r="IH109" s="978"/>
      <c r="II109" s="978"/>
      <c r="IJ109" s="978"/>
      <c r="IK109" s="978"/>
      <c r="IL109" s="978"/>
      <c r="IM109" s="978"/>
      <c r="IN109" s="978"/>
      <c r="IO109" s="978"/>
      <c r="IP109" s="978"/>
      <c r="IQ109" s="978"/>
      <c r="IR109" s="978"/>
      <c r="IS109" s="978"/>
      <c r="IT109" s="978"/>
      <c r="IU109" s="978"/>
      <c r="IV109" s="978"/>
      <c r="IW109" s="978"/>
      <c r="IX109" s="978"/>
      <c r="IY109" s="978"/>
      <c r="IZ109" s="978"/>
      <c r="JA109" s="978"/>
      <c r="JB109" s="978"/>
      <c r="JC109" s="978"/>
      <c r="JD109" s="978"/>
      <c r="JE109" s="978"/>
      <c r="JF109" s="978"/>
      <c r="JG109" s="978"/>
      <c r="JH109" s="978"/>
      <c r="JI109" s="978"/>
      <c r="JJ109" s="978"/>
      <c r="JK109" s="978"/>
      <c r="JL109" s="978"/>
      <c r="JM109" s="978"/>
      <c r="JN109" s="978"/>
      <c r="JO109" s="978"/>
      <c r="JP109" s="978"/>
      <c r="JQ109" s="978"/>
      <c r="JR109" s="978"/>
      <c r="JS109" s="978"/>
      <c r="JT109" s="978"/>
      <c r="JU109" s="978"/>
      <c r="JV109" s="978"/>
      <c r="JW109" s="978"/>
      <c r="JX109" s="978"/>
      <c r="JY109" s="978"/>
      <c r="JZ109" s="978"/>
      <c r="KA109" s="978"/>
      <c r="KB109" s="978"/>
      <c r="KC109" s="978"/>
      <c r="KD109" s="978"/>
      <c r="KE109" s="978"/>
      <c r="KF109" s="978"/>
      <c r="KG109" s="978"/>
      <c r="KH109" s="978"/>
      <c r="KI109" s="978"/>
      <c r="KJ109" s="978"/>
      <c r="KK109" s="978"/>
      <c r="KL109" s="978"/>
      <c r="KM109" s="978"/>
      <c r="KN109" s="978"/>
      <c r="KO109" s="978"/>
      <c r="KP109" s="978"/>
      <c r="KQ109" s="978"/>
      <c r="KR109" s="978"/>
      <c r="KS109" s="978"/>
      <c r="KT109" s="978"/>
      <c r="KU109" s="978"/>
      <c r="KV109" s="978"/>
      <c r="KW109" s="978"/>
      <c r="KX109" s="978"/>
      <c r="KY109" s="978"/>
      <c r="KZ109" s="978"/>
      <c r="LA109" s="978"/>
      <c r="LB109" s="978"/>
      <c r="LC109" s="978"/>
      <c r="LD109" s="978"/>
      <c r="LE109" s="978"/>
      <c r="LF109" s="978"/>
      <c r="LG109" s="978"/>
      <c r="LH109" s="978"/>
      <c r="LI109" s="978"/>
      <c r="LJ109" s="978"/>
      <c r="LK109" s="978"/>
      <c r="LL109" s="978"/>
      <c r="LM109" s="978"/>
      <c r="LN109" s="978"/>
      <c r="LO109" s="978"/>
      <c r="LP109" s="978"/>
      <c r="LQ109" s="978"/>
      <c r="LR109" s="978"/>
      <c r="LS109" s="978"/>
      <c r="LT109" s="978"/>
      <c r="LU109" s="978"/>
      <c r="LV109" s="978"/>
      <c r="LW109" s="978"/>
      <c r="LX109" s="978"/>
      <c r="LY109" s="978"/>
      <c r="LZ109" s="978"/>
      <c r="MA109" s="978"/>
      <c r="MB109" s="978"/>
      <c r="MC109" s="978"/>
      <c r="MD109" s="978"/>
      <c r="ME109" s="978"/>
      <c r="MF109" s="978"/>
      <c r="MG109" s="978"/>
      <c r="MH109" s="978"/>
      <c r="MI109" s="978"/>
      <c r="MJ109" s="978"/>
      <c r="MK109" s="978"/>
      <c r="ML109" s="978"/>
      <c r="MM109" s="978"/>
      <c r="MN109" s="978"/>
      <c r="MO109" s="978"/>
      <c r="MP109" s="978"/>
      <c r="MQ109" s="978"/>
      <c r="MR109" s="978"/>
      <c r="MS109" s="978"/>
      <c r="MT109" s="978"/>
      <c r="MU109" s="978"/>
      <c r="MV109" s="978"/>
      <c r="MW109" s="978"/>
      <c r="MX109" s="978"/>
      <c r="MY109" s="978"/>
      <c r="MZ109" s="978"/>
      <c r="NA109" s="978"/>
      <c r="NB109" s="978"/>
      <c r="NC109" s="978"/>
      <c r="ND109" s="978"/>
      <c r="NE109" s="978"/>
      <c r="NF109" s="978"/>
      <c r="NG109" s="978"/>
      <c r="NH109" s="978"/>
      <c r="NI109" s="978"/>
      <c r="NJ109" s="978"/>
      <c r="NK109" s="978"/>
      <c r="NL109" s="978"/>
      <c r="NM109" s="978"/>
      <c r="NN109" s="978"/>
      <c r="NO109" s="978"/>
      <c r="NP109" s="978"/>
      <c r="NQ109" s="978"/>
      <c r="NR109" s="978"/>
      <c r="NS109" s="978"/>
      <c r="NT109" s="978"/>
      <c r="NU109" s="978"/>
      <c r="NV109" s="978"/>
      <c r="NW109" s="978"/>
      <c r="NX109" s="978"/>
      <c r="NY109" s="978"/>
      <c r="NZ109" s="978"/>
      <c r="OA109" s="978"/>
      <c r="OB109" s="978"/>
      <c r="OC109" s="978"/>
      <c r="OD109" s="978"/>
      <c r="OE109" s="978"/>
      <c r="OF109" s="978"/>
      <c r="OG109" s="978"/>
      <c r="OH109" s="978"/>
      <c r="OI109" s="978"/>
      <c r="OJ109" s="978"/>
      <c r="OK109" s="978"/>
      <c r="OL109" s="978"/>
      <c r="OM109" s="978"/>
      <c r="ON109" s="978"/>
      <c r="OO109" s="978"/>
      <c r="OP109" s="978"/>
      <c r="OQ109" s="978"/>
      <c r="OR109" s="978"/>
      <c r="OS109" s="978"/>
      <c r="OT109" s="978"/>
      <c r="OU109" s="978"/>
      <c r="OV109" s="978"/>
      <c r="OW109" s="978"/>
      <c r="OX109" s="978"/>
      <c r="OY109" s="978"/>
      <c r="OZ109" s="978"/>
      <c r="PA109" s="978"/>
      <c r="PB109" s="978"/>
      <c r="PC109" s="978"/>
      <c r="PD109" s="978"/>
      <c r="PE109" s="978"/>
      <c r="PF109" s="978"/>
      <c r="PG109" s="978"/>
      <c r="PH109" s="978"/>
      <c r="PI109" s="978"/>
      <c r="PJ109" s="978"/>
      <c r="PK109" s="978"/>
      <c r="PL109" s="978"/>
      <c r="PM109" s="978"/>
      <c r="PN109" s="978"/>
      <c r="PO109" s="978"/>
      <c r="PP109" s="978"/>
      <c r="PQ109" s="978"/>
      <c r="PR109" s="978"/>
      <c r="PS109" s="978"/>
      <c r="PT109" s="978"/>
      <c r="PU109" s="978"/>
      <c r="PV109" s="978"/>
      <c r="PW109" s="978"/>
      <c r="PX109" s="978"/>
      <c r="PY109" s="978"/>
      <c r="PZ109" s="978"/>
      <c r="QA109" s="978"/>
      <c r="QB109" s="978"/>
      <c r="QC109" s="978"/>
      <c r="QD109" s="978"/>
      <c r="QE109" s="978"/>
      <c r="QF109" s="978"/>
      <c r="QG109" s="978"/>
      <c r="QH109" s="978"/>
      <c r="QI109" s="978"/>
      <c r="QJ109" s="978"/>
      <c r="QK109" s="978"/>
      <c r="QL109" s="978"/>
      <c r="QM109" s="978"/>
      <c r="QN109" s="978"/>
      <c r="QO109" s="978"/>
      <c r="QP109" s="978"/>
      <c r="QQ109" s="978"/>
      <c r="QR109" s="978"/>
      <c r="QS109" s="978"/>
      <c r="QT109" s="978"/>
      <c r="QU109" s="978"/>
      <c r="QV109" s="978"/>
      <c r="QW109" s="978"/>
      <c r="QX109" s="978"/>
      <c r="QY109" s="978"/>
      <c r="QZ109" s="978"/>
      <c r="RA109" s="978"/>
      <c r="RB109" s="978"/>
      <c r="RC109" s="978"/>
      <c r="RD109" s="978"/>
      <c r="RE109" s="978"/>
      <c r="RF109" s="978"/>
      <c r="RG109" s="978"/>
      <c r="RH109" s="978"/>
      <c r="RI109" s="978"/>
      <c r="RJ109" s="978"/>
      <c r="RK109" s="978"/>
      <c r="RL109" s="978"/>
      <c r="RM109" s="978"/>
      <c r="RN109" s="978"/>
      <c r="RO109" s="978"/>
      <c r="RP109" s="978"/>
      <c r="RQ109" s="978"/>
      <c r="RR109" s="978"/>
      <c r="RS109" s="978"/>
      <c r="RT109" s="978"/>
      <c r="RU109" s="978"/>
      <c r="RV109" s="978"/>
      <c r="RW109" s="978"/>
      <c r="RX109" s="978"/>
      <c r="RY109" s="978"/>
      <c r="RZ109" s="978"/>
      <c r="SA109" s="978"/>
      <c r="SB109" s="978"/>
      <c r="SC109" s="978"/>
      <c r="SD109" s="978"/>
      <c r="SE109" s="978"/>
      <c r="SF109" s="978"/>
      <c r="SG109" s="978"/>
      <c r="SH109" s="978"/>
      <c r="SI109" s="978"/>
      <c r="SJ109" s="978"/>
      <c r="SK109" s="978"/>
      <c r="SL109" s="978"/>
      <c r="SM109" s="978"/>
      <c r="SN109" s="978"/>
      <c r="SO109" s="978"/>
      <c r="SP109" s="978"/>
      <c r="SQ109" s="978"/>
      <c r="SR109" s="978"/>
      <c r="SS109" s="978"/>
      <c r="ST109" s="978"/>
      <c r="SU109" s="978"/>
      <c r="SV109" s="978"/>
      <c r="SW109" s="978"/>
      <c r="SX109" s="978"/>
      <c r="SY109" s="978"/>
      <c r="SZ109" s="978"/>
      <c r="TA109" s="978"/>
      <c r="TB109" s="978"/>
      <c r="TC109" s="978"/>
      <c r="TD109" s="978"/>
      <c r="TE109" s="978"/>
      <c r="TF109" s="978"/>
      <c r="TG109" s="978"/>
      <c r="TH109" s="978"/>
      <c r="TI109" s="978"/>
      <c r="TJ109" s="978"/>
      <c r="TK109" s="978"/>
      <c r="TL109" s="978"/>
      <c r="TM109" s="978"/>
      <c r="TN109" s="978"/>
      <c r="TO109" s="978"/>
      <c r="TP109" s="978"/>
      <c r="TQ109" s="978"/>
      <c r="TR109" s="978"/>
      <c r="TS109" s="978"/>
      <c r="TT109" s="978"/>
      <c r="TU109" s="978"/>
      <c r="TV109" s="978"/>
      <c r="TW109" s="978"/>
      <c r="TX109" s="978"/>
      <c r="TY109" s="978"/>
      <c r="TZ109" s="978"/>
      <c r="UA109" s="978"/>
      <c r="UB109" s="978"/>
      <c r="UC109" s="978"/>
      <c r="UD109" s="978"/>
      <c r="UE109" s="978"/>
      <c r="UF109" s="978"/>
      <c r="UG109" s="978"/>
      <c r="UH109" s="978"/>
      <c r="UI109" s="978"/>
      <c r="UJ109" s="978"/>
      <c r="UK109" s="978"/>
      <c r="UL109" s="978"/>
      <c r="UM109" s="978"/>
      <c r="UN109" s="978"/>
      <c r="UO109" s="978"/>
      <c r="UP109" s="978"/>
      <c r="UQ109" s="978"/>
      <c r="UR109" s="978"/>
      <c r="US109" s="978"/>
      <c r="UT109" s="978"/>
      <c r="UU109" s="978"/>
      <c r="UV109" s="978"/>
      <c r="UW109" s="978"/>
      <c r="UX109" s="978"/>
      <c r="UY109" s="978"/>
      <c r="UZ109" s="978"/>
      <c r="VA109" s="978"/>
      <c r="VB109" s="978"/>
      <c r="VC109" s="978"/>
      <c r="VD109" s="978"/>
      <c r="VE109" s="978"/>
      <c r="VF109" s="978"/>
      <c r="VG109" s="978"/>
      <c r="VH109" s="978"/>
      <c r="VI109" s="978"/>
      <c r="VJ109" s="978"/>
      <c r="VK109" s="978"/>
      <c r="VL109" s="978"/>
      <c r="VM109" s="978"/>
      <c r="VN109" s="978"/>
      <c r="VO109" s="978"/>
      <c r="VP109" s="978"/>
      <c r="VQ109" s="978"/>
      <c r="VR109" s="978"/>
      <c r="VS109" s="978"/>
      <c r="VT109" s="978"/>
      <c r="VU109" s="978"/>
      <c r="VV109" s="978"/>
      <c r="VW109" s="978"/>
      <c r="VX109" s="978"/>
      <c r="VY109" s="978"/>
      <c r="VZ109" s="978"/>
      <c r="WA109" s="978"/>
      <c r="WB109" s="978"/>
      <c r="WC109" s="978"/>
      <c r="WD109" s="978"/>
      <c r="WE109" s="978"/>
      <c r="WF109" s="978"/>
      <c r="WG109" s="978"/>
      <c r="WH109" s="978"/>
      <c r="WI109" s="978"/>
      <c r="WJ109" s="978"/>
      <c r="WK109" s="978"/>
      <c r="WL109" s="978"/>
      <c r="WM109" s="978"/>
      <c r="WN109" s="978"/>
      <c r="WO109" s="978"/>
      <c r="WP109" s="978"/>
      <c r="WQ109" s="978"/>
      <c r="WR109" s="978"/>
      <c r="WS109" s="978"/>
      <c r="WT109" s="978"/>
      <c r="WU109" s="978"/>
      <c r="WV109" s="978"/>
      <c r="WW109" s="978"/>
      <c r="WX109" s="978"/>
      <c r="WY109" s="978"/>
      <c r="WZ109" s="978"/>
      <c r="XA109" s="978"/>
      <c r="XB109" s="978"/>
      <c r="XC109" s="978"/>
      <c r="XD109" s="978"/>
      <c r="XE109" s="978"/>
      <c r="XF109" s="978"/>
      <c r="XG109" s="978"/>
      <c r="XH109" s="978"/>
      <c r="XI109" s="978"/>
      <c r="XJ109" s="978"/>
      <c r="XK109" s="978"/>
      <c r="XL109" s="978"/>
      <c r="XM109" s="978"/>
      <c r="XN109" s="978"/>
      <c r="XO109" s="978"/>
      <c r="XP109" s="978"/>
      <c r="XQ109" s="978"/>
      <c r="XR109" s="978"/>
      <c r="XS109" s="978"/>
      <c r="XT109" s="978"/>
      <c r="XU109" s="978"/>
      <c r="XV109" s="978"/>
      <c r="XW109" s="978"/>
      <c r="XX109" s="978"/>
      <c r="XY109" s="978"/>
      <c r="XZ109" s="978"/>
      <c r="YA109" s="978"/>
      <c r="YB109" s="978"/>
      <c r="YC109" s="978"/>
      <c r="YD109" s="978"/>
      <c r="YE109" s="978"/>
      <c r="YF109" s="978"/>
      <c r="YG109" s="978"/>
      <c r="YH109" s="978"/>
      <c r="YI109" s="978"/>
      <c r="YJ109" s="978"/>
      <c r="YK109" s="978"/>
      <c r="YL109" s="978"/>
      <c r="YM109" s="978"/>
      <c r="YN109" s="978"/>
      <c r="YO109" s="978"/>
      <c r="YP109" s="978"/>
      <c r="YQ109" s="978"/>
      <c r="YR109" s="978"/>
      <c r="YS109" s="978"/>
      <c r="YT109" s="978"/>
      <c r="YU109" s="978"/>
      <c r="YV109" s="978"/>
      <c r="YW109" s="978"/>
      <c r="YX109" s="978"/>
      <c r="YY109" s="978"/>
      <c r="YZ109" s="978"/>
      <c r="ZA109" s="978"/>
      <c r="ZB109" s="978"/>
      <c r="ZC109" s="978"/>
      <c r="ZD109" s="978"/>
      <c r="ZE109" s="978"/>
      <c r="ZF109" s="978"/>
      <c r="ZG109" s="978"/>
      <c r="ZH109" s="978"/>
      <c r="ZI109" s="978"/>
      <c r="ZJ109" s="978"/>
      <c r="ZK109" s="978"/>
      <c r="ZL109" s="978"/>
      <c r="ZM109" s="978"/>
      <c r="ZN109" s="978"/>
      <c r="ZO109" s="978"/>
      <c r="ZP109" s="978"/>
      <c r="ZQ109" s="978"/>
      <c r="ZR109" s="978"/>
      <c r="ZS109" s="978"/>
      <c r="ZT109" s="978"/>
      <c r="ZU109" s="978"/>
      <c r="ZV109" s="978"/>
      <c r="ZW109" s="978"/>
      <c r="ZX109" s="978"/>
      <c r="ZY109" s="978"/>
      <c r="ZZ109" s="978"/>
      <c r="AAA109" s="978"/>
      <c r="AAB109" s="978"/>
      <c r="AAC109" s="978"/>
      <c r="AAD109" s="978"/>
      <c r="AAE109" s="978"/>
      <c r="AAF109" s="978"/>
      <c r="AAG109" s="978"/>
      <c r="AAH109" s="978"/>
      <c r="AAI109" s="978"/>
      <c r="AAJ109" s="978"/>
      <c r="AAK109" s="978"/>
      <c r="AAL109" s="978"/>
      <c r="AAM109" s="978"/>
      <c r="AAN109" s="978"/>
      <c r="AAO109" s="978"/>
      <c r="AAP109" s="978"/>
      <c r="AAQ109" s="978"/>
      <c r="AAR109" s="978"/>
      <c r="AAS109" s="978"/>
      <c r="AAT109" s="978"/>
      <c r="AAU109" s="978"/>
      <c r="AAV109" s="978"/>
      <c r="AAW109" s="978"/>
      <c r="AAX109" s="978"/>
      <c r="AAY109" s="978"/>
      <c r="AAZ109" s="978"/>
      <c r="ABA109" s="978"/>
      <c r="ABB109" s="978"/>
      <c r="ABC109" s="978"/>
      <c r="ABD109" s="978"/>
      <c r="ABE109" s="978"/>
      <c r="ABF109" s="978"/>
      <c r="ABG109" s="978"/>
      <c r="ABH109" s="978"/>
      <c r="ABI109" s="978"/>
      <c r="ABJ109" s="978"/>
      <c r="ABK109" s="978"/>
      <c r="ABL109" s="978"/>
      <c r="ABM109" s="978"/>
      <c r="ABN109" s="978"/>
      <c r="ABO109" s="978"/>
      <c r="ABP109" s="978"/>
      <c r="ABQ109" s="978"/>
      <c r="ABR109" s="978"/>
      <c r="ABS109" s="978"/>
      <c r="ABT109" s="978"/>
      <c r="ABU109" s="978"/>
      <c r="ABV109" s="978"/>
      <c r="ABW109" s="978"/>
      <c r="ABX109" s="978"/>
      <c r="ABY109" s="978"/>
      <c r="ABZ109" s="978"/>
      <c r="ACA109" s="978"/>
      <c r="ACB109" s="978"/>
      <c r="ACC109" s="978"/>
      <c r="ACD109" s="978"/>
      <c r="ACE109" s="978"/>
      <c r="ACF109" s="978"/>
      <c r="ACG109" s="978"/>
      <c r="ACH109" s="978"/>
      <c r="ACI109" s="978"/>
      <c r="ACJ109" s="978"/>
      <c r="ACK109" s="978"/>
      <c r="ACL109" s="978"/>
      <c r="ACM109" s="978"/>
      <c r="ACN109" s="978"/>
      <c r="ACO109" s="978"/>
      <c r="ACP109" s="978"/>
      <c r="ACQ109" s="978"/>
      <c r="ACR109" s="978"/>
      <c r="ACS109" s="978"/>
      <c r="ACT109" s="978"/>
      <c r="ACU109" s="978"/>
      <c r="ACV109" s="978"/>
      <c r="ACW109" s="978"/>
      <c r="ACX109" s="978"/>
      <c r="ACY109" s="978"/>
      <c r="ACZ109" s="978"/>
      <c r="ADA109" s="978"/>
      <c r="ADB109" s="978"/>
      <c r="ADC109" s="978"/>
      <c r="ADD109" s="978"/>
      <c r="ADE109" s="978"/>
      <c r="ADF109" s="978"/>
      <c r="ADG109" s="978"/>
      <c r="ADH109" s="978"/>
      <c r="ADI109" s="978"/>
      <c r="ADJ109" s="978"/>
      <c r="ADK109" s="978"/>
      <c r="ADL109" s="978"/>
      <c r="ADM109" s="978"/>
      <c r="ADN109" s="978"/>
      <c r="ADO109" s="978"/>
      <c r="ADP109" s="978"/>
      <c r="ADQ109" s="978"/>
      <c r="ADR109" s="978"/>
      <c r="ADS109" s="978"/>
      <c r="ADT109" s="978"/>
      <c r="ADU109" s="978"/>
      <c r="ADV109" s="978"/>
      <c r="ADW109" s="978"/>
      <c r="ADX109" s="978"/>
      <c r="ADY109" s="978"/>
      <c r="ADZ109" s="978"/>
      <c r="AEA109" s="978"/>
      <c r="AEB109" s="978"/>
      <c r="AEC109" s="978"/>
      <c r="AED109" s="978"/>
      <c r="AEE109" s="978"/>
      <c r="AEF109" s="978"/>
      <c r="AEG109" s="978"/>
      <c r="AEH109" s="978"/>
      <c r="AEI109" s="978"/>
      <c r="AEJ109" s="978"/>
      <c r="AEK109" s="978"/>
      <c r="AEL109" s="978"/>
      <c r="AEM109" s="978"/>
      <c r="AEN109" s="978"/>
      <c r="AEO109" s="978"/>
      <c r="AEP109" s="978"/>
      <c r="AEQ109" s="978"/>
      <c r="AER109" s="978"/>
      <c r="AES109" s="978"/>
      <c r="AET109" s="978"/>
      <c r="AEU109" s="978"/>
      <c r="AEV109" s="978"/>
      <c r="AEW109" s="978"/>
      <c r="AEX109" s="978"/>
      <c r="AEY109" s="978"/>
      <c r="AEZ109" s="978"/>
      <c r="AFA109" s="978"/>
      <c r="AFB109" s="978"/>
      <c r="AFC109" s="978"/>
      <c r="AFD109" s="978"/>
      <c r="AFE109" s="978"/>
      <c r="AFF109" s="978"/>
      <c r="AFG109" s="978"/>
      <c r="AFH109" s="978"/>
      <c r="AFI109" s="978"/>
      <c r="AFJ109" s="978"/>
      <c r="AFK109" s="978"/>
      <c r="AFL109" s="978"/>
      <c r="AFM109" s="978"/>
      <c r="AFN109" s="978"/>
      <c r="AFO109" s="978"/>
      <c r="AFP109" s="978"/>
      <c r="AFQ109" s="978"/>
      <c r="AFR109" s="978"/>
      <c r="AFS109" s="978"/>
      <c r="AFT109" s="978"/>
      <c r="AFU109" s="978"/>
      <c r="AFV109" s="978"/>
      <c r="AFW109" s="978"/>
      <c r="AFX109" s="978"/>
      <c r="AFY109" s="978"/>
      <c r="AFZ109" s="978"/>
      <c r="AGA109" s="978"/>
      <c r="AGB109" s="978"/>
      <c r="AGC109" s="978"/>
      <c r="AGD109" s="978"/>
      <c r="AGE109" s="978"/>
      <c r="AGF109" s="978"/>
      <c r="AGG109" s="978"/>
      <c r="AGH109" s="978"/>
      <c r="AGI109" s="978"/>
      <c r="AGJ109" s="978"/>
      <c r="AGK109" s="978"/>
      <c r="AGL109" s="978"/>
      <c r="AGM109" s="978"/>
      <c r="AGN109" s="978"/>
      <c r="AGO109" s="978"/>
      <c r="AGP109" s="978"/>
      <c r="AGQ109" s="978"/>
      <c r="AGR109" s="978"/>
      <c r="AGS109" s="978"/>
      <c r="AGT109" s="978"/>
      <c r="AGU109" s="978"/>
      <c r="AGV109" s="978"/>
      <c r="AGW109" s="978"/>
      <c r="AGX109" s="978"/>
      <c r="AGY109" s="978"/>
      <c r="AGZ109" s="978"/>
      <c r="AHA109" s="978"/>
      <c r="AHB109" s="978"/>
      <c r="AHC109" s="978"/>
      <c r="AHD109" s="978"/>
      <c r="AHE109" s="978"/>
      <c r="AHF109" s="978"/>
      <c r="AHG109" s="978"/>
      <c r="AHH109" s="978"/>
      <c r="AHI109" s="978"/>
      <c r="AHJ109" s="978"/>
      <c r="AHK109" s="978"/>
      <c r="AHL109" s="978"/>
      <c r="AHM109" s="978"/>
      <c r="AHN109" s="978"/>
      <c r="AHO109" s="978"/>
      <c r="AHP109" s="978"/>
      <c r="AHQ109" s="978"/>
      <c r="AHR109" s="978"/>
      <c r="AHS109" s="978"/>
      <c r="AHT109" s="978"/>
      <c r="AHU109" s="978"/>
      <c r="AHV109" s="978"/>
      <c r="AHW109" s="978"/>
      <c r="AHX109" s="978"/>
      <c r="AHY109" s="978"/>
      <c r="AHZ109" s="978"/>
      <c r="AIA109" s="978"/>
      <c r="AIB109" s="978"/>
      <c r="AIC109" s="978"/>
      <c r="AID109" s="978"/>
      <c r="AIE109" s="978"/>
      <c r="AIF109" s="978"/>
      <c r="AIG109" s="978"/>
      <c r="AIH109" s="978"/>
      <c r="AII109" s="978"/>
      <c r="AIJ109" s="978"/>
      <c r="AIK109" s="978"/>
      <c r="AIL109" s="978"/>
      <c r="AIM109" s="978"/>
      <c r="AIN109" s="978"/>
      <c r="AIO109" s="978"/>
      <c r="AIP109" s="978"/>
      <c r="AIQ109" s="978"/>
      <c r="AIR109" s="978"/>
      <c r="AIS109" s="978"/>
      <c r="AIT109" s="978"/>
      <c r="AIU109" s="978"/>
      <c r="AIV109" s="978"/>
      <c r="AIW109" s="978"/>
      <c r="AIX109" s="978"/>
      <c r="AIY109" s="978"/>
      <c r="AIZ109" s="978"/>
      <c r="AJA109" s="978"/>
      <c r="AJB109" s="978"/>
      <c r="AJC109" s="978"/>
      <c r="AJD109" s="978"/>
      <c r="AJE109" s="978"/>
      <c r="AJF109" s="978"/>
      <c r="AJG109" s="978"/>
      <c r="AJH109" s="978"/>
      <c r="AJI109" s="978"/>
      <c r="AJJ109" s="978"/>
      <c r="AJK109" s="978"/>
      <c r="AJL109" s="978"/>
      <c r="AJM109" s="978"/>
      <c r="AJN109" s="978"/>
      <c r="AJO109" s="978"/>
      <c r="AJP109" s="978"/>
      <c r="AJQ109" s="978"/>
      <c r="AJR109" s="978"/>
      <c r="AJS109" s="978"/>
      <c r="AJT109" s="978"/>
      <c r="AJU109" s="978"/>
      <c r="AJV109" s="978"/>
      <c r="AJW109" s="978"/>
      <c r="AJX109" s="978"/>
      <c r="AJY109" s="978"/>
      <c r="AJZ109" s="978"/>
      <c r="AKA109" s="978"/>
      <c r="AKB109" s="978"/>
      <c r="AKC109" s="978"/>
      <c r="AKD109" s="978"/>
      <c r="AKE109" s="978"/>
      <c r="AKF109" s="978"/>
      <c r="AKG109" s="978"/>
      <c r="AKH109" s="978"/>
      <c r="AKI109" s="978"/>
      <c r="AKJ109" s="978"/>
      <c r="AKK109" s="978"/>
      <c r="AKL109" s="978"/>
      <c r="AKM109" s="978"/>
      <c r="AKN109" s="978"/>
      <c r="AKO109" s="978"/>
      <c r="AKP109" s="978"/>
      <c r="AKQ109" s="978"/>
      <c r="AKR109" s="978"/>
      <c r="AKS109" s="978"/>
      <c r="AKT109" s="978"/>
      <c r="AKU109" s="978"/>
      <c r="AKV109" s="978"/>
      <c r="AKW109" s="978"/>
      <c r="AKX109" s="978"/>
      <c r="AKY109" s="978"/>
      <c r="AKZ109" s="978"/>
      <c r="ALA109" s="978"/>
      <c r="ALB109" s="978"/>
      <c r="ALC109" s="978"/>
      <c r="ALD109" s="978"/>
      <c r="ALE109" s="978"/>
      <c r="ALF109" s="978"/>
      <c r="ALG109" s="978"/>
      <c r="ALH109" s="978"/>
      <c r="ALI109" s="978"/>
      <c r="ALJ109" s="978"/>
      <c r="ALK109" s="978"/>
      <c r="ALL109" s="978"/>
      <c r="ALM109" s="978"/>
      <c r="ALN109" s="978"/>
      <c r="ALO109" s="978"/>
      <c r="ALP109" s="978"/>
      <c r="ALQ109" s="978"/>
      <c r="ALR109" s="978"/>
      <c r="ALS109" s="978"/>
      <c r="ALT109" s="978"/>
      <c r="ALU109" s="978"/>
      <c r="ALV109" s="978"/>
      <c r="ALW109" s="978"/>
      <c r="ALX109" s="978"/>
      <c r="ALY109" s="978"/>
      <c r="ALZ109" s="978"/>
      <c r="AMA109" s="978"/>
      <c r="AMB109" s="978"/>
      <c r="AMC109" s="978"/>
      <c r="AMD109" s="978"/>
      <c r="AME109" s="978"/>
      <c r="AMF109" s="978"/>
      <c r="AMG109" s="978"/>
      <c r="AMH109" s="978"/>
      <c r="AMI109" s="978"/>
      <c r="AMJ109" s="978"/>
      <c r="AMK109" s="978"/>
      <c r="AML109" s="978"/>
      <c r="AMM109" s="978"/>
      <c r="AMN109" s="978"/>
      <c r="AMO109" s="978"/>
      <c r="AMP109" s="978"/>
      <c r="AMQ109" s="978"/>
      <c r="AMR109" s="978"/>
      <c r="AMS109" s="978"/>
      <c r="AMT109" s="978"/>
      <c r="AMU109" s="978"/>
      <c r="AMV109" s="978"/>
      <c r="AMW109" s="978"/>
      <c r="AMX109" s="978"/>
      <c r="AMY109" s="978"/>
      <c r="AMZ109" s="978"/>
      <c r="ANA109" s="978"/>
      <c r="ANB109" s="978"/>
      <c r="ANC109" s="978"/>
      <c r="AND109" s="978"/>
      <c r="ANE109" s="978"/>
      <c r="ANF109" s="978"/>
      <c r="ANG109" s="978"/>
      <c r="ANH109" s="978"/>
      <c r="ANI109" s="978"/>
      <c r="ANJ109" s="978"/>
      <c r="ANK109" s="978"/>
      <c r="ANL109" s="978"/>
      <c r="ANM109" s="978"/>
      <c r="ANN109" s="978"/>
      <c r="ANO109" s="978"/>
      <c r="ANP109" s="978"/>
      <c r="ANQ109" s="978"/>
      <c r="ANR109" s="978"/>
      <c r="ANS109" s="978"/>
      <c r="ANT109" s="978"/>
      <c r="ANU109" s="978"/>
      <c r="ANV109" s="978"/>
      <c r="ANW109" s="978"/>
      <c r="ANX109" s="978"/>
      <c r="ANY109" s="978"/>
      <c r="ANZ109" s="978"/>
      <c r="AOA109" s="978"/>
      <c r="AOB109" s="978"/>
      <c r="AOC109" s="978"/>
      <c r="AOD109" s="978"/>
      <c r="AOE109" s="978"/>
      <c r="AOF109" s="978"/>
      <c r="AOG109" s="978"/>
      <c r="AOH109" s="978"/>
      <c r="AOI109" s="978"/>
      <c r="AOJ109" s="978"/>
      <c r="AOK109" s="978"/>
      <c r="AOL109" s="978"/>
      <c r="AOM109" s="978"/>
      <c r="AON109" s="978"/>
      <c r="AOO109" s="978"/>
      <c r="AOP109" s="978"/>
      <c r="AOQ109" s="978"/>
      <c r="AOR109" s="978"/>
      <c r="AOS109" s="978"/>
      <c r="AOT109" s="978"/>
      <c r="AOU109" s="978"/>
      <c r="AOV109" s="978"/>
      <c r="AOW109" s="978"/>
      <c r="AOX109" s="978"/>
      <c r="AOY109" s="978"/>
      <c r="AOZ109" s="978"/>
      <c r="APA109" s="978"/>
      <c r="APB109" s="978"/>
      <c r="APC109" s="978"/>
      <c r="APD109" s="978"/>
      <c r="APE109" s="978"/>
      <c r="APF109" s="978"/>
      <c r="APG109" s="978"/>
      <c r="APH109" s="978"/>
      <c r="API109" s="978"/>
      <c r="APJ109" s="978"/>
      <c r="APK109" s="978"/>
      <c r="APL109" s="978"/>
      <c r="APM109" s="978"/>
      <c r="APN109" s="978"/>
      <c r="APO109" s="978"/>
      <c r="APP109" s="978"/>
      <c r="APQ109" s="978"/>
      <c r="APR109" s="978"/>
      <c r="APS109" s="978"/>
      <c r="APT109" s="978"/>
      <c r="APU109" s="978"/>
      <c r="APV109" s="978"/>
      <c r="APW109" s="978"/>
      <c r="APX109" s="978"/>
      <c r="APY109" s="978"/>
      <c r="APZ109" s="978"/>
      <c r="AQA109" s="978"/>
      <c r="AQB109" s="978"/>
      <c r="AQC109" s="978"/>
      <c r="AQD109" s="978"/>
      <c r="AQE109" s="978"/>
      <c r="AQF109" s="978"/>
      <c r="AQG109" s="978"/>
      <c r="AQH109" s="978"/>
      <c r="AQI109" s="978"/>
      <c r="AQJ109" s="978"/>
      <c r="AQK109" s="978"/>
      <c r="AQL109" s="978"/>
      <c r="AQM109" s="978"/>
      <c r="AQN109" s="978"/>
      <c r="AQO109" s="978"/>
      <c r="AQP109" s="978"/>
      <c r="AQQ109" s="978"/>
      <c r="AQR109" s="978"/>
      <c r="AQS109" s="978"/>
      <c r="AQT109" s="978"/>
      <c r="AQU109" s="978"/>
      <c r="AQV109" s="978"/>
      <c r="AQW109" s="978"/>
      <c r="AQX109" s="978"/>
      <c r="AQY109" s="978"/>
      <c r="AQZ109" s="978"/>
      <c r="ARA109" s="978"/>
      <c r="ARB109" s="978"/>
      <c r="ARC109" s="978"/>
      <c r="ARD109" s="978"/>
      <c r="ARE109" s="978"/>
      <c r="ARF109" s="978"/>
      <c r="ARG109" s="978"/>
      <c r="ARH109" s="978"/>
      <c r="ARI109" s="978"/>
      <c r="ARJ109" s="978"/>
      <c r="ARK109" s="978"/>
      <c r="ARL109" s="978"/>
      <c r="ARM109" s="978"/>
      <c r="ARN109" s="978"/>
      <c r="ARO109" s="978"/>
      <c r="ARP109" s="978"/>
      <c r="ARQ109" s="978"/>
      <c r="ARR109" s="978"/>
      <c r="ARS109" s="978"/>
      <c r="ART109" s="978"/>
      <c r="ARU109" s="978"/>
      <c r="ARV109" s="978"/>
      <c r="ARW109" s="978"/>
      <c r="ARX109" s="978"/>
      <c r="ARY109" s="978"/>
      <c r="ARZ109" s="978"/>
      <c r="ASA109" s="978"/>
      <c r="ASB109" s="978"/>
      <c r="ASC109" s="978"/>
      <c r="ASD109" s="978"/>
      <c r="ASE109" s="978"/>
      <c r="ASF109" s="978"/>
      <c r="ASG109" s="978"/>
      <c r="ASH109" s="978"/>
      <c r="ASI109" s="978"/>
      <c r="ASJ109" s="978"/>
      <c r="ASK109" s="978"/>
      <c r="ASL109" s="978"/>
      <c r="ASM109" s="978"/>
      <c r="ASN109" s="978"/>
      <c r="ASO109" s="978"/>
      <c r="ASP109" s="978"/>
      <c r="ASQ109" s="978"/>
      <c r="ASR109" s="978"/>
      <c r="ASS109" s="978"/>
      <c r="AST109" s="978"/>
      <c r="ASU109" s="978"/>
      <c r="ASV109" s="978"/>
      <c r="ASW109" s="978"/>
      <c r="ASX109" s="978"/>
      <c r="ASY109" s="978"/>
      <c r="ASZ109" s="978"/>
      <c r="ATA109" s="978"/>
      <c r="ATB109" s="978"/>
      <c r="ATC109" s="978"/>
      <c r="ATD109" s="978"/>
      <c r="ATE109" s="978"/>
      <c r="ATF109" s="978"/>
      <c r="ATG109" s="978"/>
      <c r="ATH109" s="978"/>
      <c r="ATI109" s="978"/>
      <c r="ATJ109" s="978"/>
      <c r="ATK109" s="978"/>
      <c r="ATL109" s="978"/>
      <c r="ATM109" s="978"/>
      <c r="ATN109" s="978"/>
      <c r="ATO109" s="978"/>
      <c r="ATP109" s="978"/>
      <c r="ATQ109" s="978"/>
      <c r="ATR109" s="978"/>
      <c r="ATS109" s="978"/>
      <c r="ATT109" s="978"/>
      <c r="ATU109" s="978"/>
      <c r="ATV109" s="978"/>
      <c r="ATW109" s="978"/>
      <c r="ATX109" s="978"/>
      <c r="ATY109" s="978"/>
      <c r="ATZ109" s="978"/>
      <c r="AUA109" s="978"/>
      <c r="AUB109" s="978"/>
      <c r="AUC109" s="978"/>
      <c r="AUD109" s="978"/>
      <c r="AUE109" s="978"/>
      <c r="AUF109" s="978"/>
      <c r="AUG109" s="978"/>
      <c r="AUH109" s="978"/>
      <c r="AUI109" s="978"/>
      <c r="AUJ109" s="978"/>
      <c r="AUK109" s="978"/>
      <c r="AUL109" s="978"/>
      <c r="AUM109" s="978"/>
      <c r="AUN109" s="978"/>
      <c r="AUO109" s="978"/>
      <c r="AUP109" s="978"/>
      <c r="AUQ109" s="978"/>
      <c r="AUR109" s="978"/>
      <c r="AUS109" s="978"/>
      <c r="AUT109" s="978"/>
      <c r="AUU109" s="978"/>
      <c r="AUV109" s="978"/>
      <c r="AUW109" s="978"/>
      <c r="AUX109" s="978"/>
      <c r="AUY109" s="978"/>
      <c r="AUZ109" s="978"/>
      <c r="AVA109" s="978"/>
      <c r="AVB109" s="978"/>
      <c r="AVC109" s="978"/>
      <c r="AVD109" s="978"/>
      <c r="AVE109" s="978"/>
      <c r="AVF109" s="978"/>
      <c r="AVG109" s="978"/>
      <c r="AVH109" s="978"/>
      <c r="AVI109" s="978"/>
      <c r="AVJ109" s="978"/>
      <c r="AVK109" s="978"/>
      <c r="AVL109" s="978"/>
      <c r="AVM109" s="978"/>
      <c r="AVN109" s="978"/>
      <c r="AVO109" s="978"/>
      <c r="AVP109" s="978"/>
      <c r="AVQ109" s="978"/>
      <c r="AVR109" s="978"/>
      <c r="AVS109" s="978"/>
      <c r="AVT109" s="978"/>
      <c r="AVU109" s="978"/>
      <c r="AVV109" s="978"/>
      <c r="AVW109" s="978"/>
      <c r="AVX109" s="978"/>
      <c r="AVY109" s="978"/>
      <c r="AVZ109" s="978"/>
      <c r="AWA109" s="978"/>
      <c r="AWB109" s="978"/>
      <c r="AWC109" s="978"/>
      <c r="AWD109" s="978"/>
      <c r="AWE109" s="978"/>
      <c r="AWF109" s="978"/>
      <c r="AWG109" s="978"/>
      <c r="AWH109" s="978"/>
      <c r="AWI109" s="978"/>
      <c r="AWJ109" s="978"/>
      <c r="AWK109" s="978"/>
      <c r="AWL109" s="978"/>
      <c r="AWM109" s="978"/>
      <c r="AWN109" s="978"/>
      <c r="AWO109" s="978"/>
      <c r="AWP109" s="978"/>
      <c r="AWQ109" s="978"/>
      <c r="AWR109" s="978"/>
      <c r="AWS109" s="978"/>
      <c r="AWT109" s="978"/>
      <c r="AWU109" s="978"/>
      <c r="AWV109" s="978"/>
      <c r="AWW109" s="978"/>
      <c r="AWX109" s="978"/>
      <c r="AWY109" s="978"/>
      <c r="AWZ109" s="978"/>
      <c r="AXA109" s="978"/>
      <c r="AXB109" s="978"/>
      <c r="AXC109" s="978"/>
      <c r="AXD109" s="978"/>
      <c r="AXE109" s="978"/>
      <c r="AXF109" s="978"/>
      <c r="AXG109" s="978"/>
      <c r="AXH109" s="978"/>
      <c r="AXI109" s="978"/>
      <c r="AXJ109" s="978"/>
      <c r="AXK109" s="978"/>
      <c r="AXL109" s="978"/>
      <c r="AXM109" s="978"/>
      <c r="AXN109" s="978"/>
      <c r="AXO109" s="978"/>
      <c r="AXP109" s="978"/>
      <c r="AXQ109" s="978"/>
      <c r="AXR109" s="978"/>
      <c r="AXS109" s="978"/>
      <c r="AXT109" s="978"/>
      <c r="AXU109" s="978"/>
      <c r="AXV109" s="978"/>
      <c r="AXW109" s="978"/>
      <c r="AXX109" s="978"/>
      <c r="AXY109" s="978"/>
      <c r="AXZ109" s="978"/>
      <c r="AYA109" s="978"/>
      <c r="AYB109" s="978"/>
      <c r="AYC109" s="978"/>
      <c r="AYD109" s="978"/>
      <c r="AYE109" s="978"/>
      <c r="AYF109" s="978"/>
      <c r="AYG109" s="978"/>
      <c r="AYH109" s="978"/>
      <c r="AYI109" s="978"/>
      <c r="AYJ109" s="978"/>
      <c r="AYK109" s="978"/>
      <c r="AYL109" s="978"/>
      <c r="AYM109" s="978"/>
      <c r="AYN109" s="978"/>
      <c r="AYO109" s="978"/>
      <c r="AYP109" s="978"/>
      <c r="AYQ109" s="978"/>
      <c r="AYR109" s="978"/>
      <c r="AYS109" s="978"/>
      <c r="AYT109" s="978"/>
      <c r="AYU109" s="978"/>
      <c r="AYV109" s="978"/>
      <c r="AYW109" s="978"/>
      <c r="AYX109" s="978"/>
      <c r="AYY109" s="978"/>
      <c r="AYZ109" s="978"/>
      <c r="AZA109" s="978"/>
      <c r="AZB109" s="978"/>
      <c r="AZC109" s="978"/>
      <c r="AZD109" s="978"/>
      <c r="AZE109" s="978"/>
      <c r="AZF109" s="978"/>
      <c r="AZG109" s="978"/>
      <c r="AZH109" s="978"/>
      <c r="AZI109" s="978"/>
      <c r="AZJ109" s="978"/>
      <c r="AZK109" s="978"/>
      <c r="AZL109" s="978"/>
      <c r="AZM109" s="978"/>
      <c r="AZN109" s="978"/>
      <c r="AZO109" s="978"/>
      <c r="AZP109" s="978"/>
      <c r="AZQ109" s="978"/>
      <c r="AZR109" s="978"/>
      <c r="AZS109" s="978"/>
      <c r="AZT109" s="978"/>
      <c r="AZU109" s="978"/>
      <c r="AZV109" s="978"/>
      <c r="AZW109" s="978"/>
      <c r="AZX109" s="978"/>
      <c r="AZY109" s="978"/>
      <c r="AZZ109" s="978"/>
      <c r="BAA109" s="978"/>
      <c r="BAB109" s="978"/>
      <c r="BAC109" s="978"/>
      <c r="BAD109" s="978"/>
      <c r="BAE109" s="978"/>
      <c r="BAF109" s="978"/>
      <c r="BAG109" s="978"/>
      <c r="BAH109" s="978"/>
      <c r="BAI109" s="978"/>
      <c r="BAJ109" s="978"/>
      <c r="BAK109" s="978"/>
      <c r="BAL109" s="978"/>
      <c r="BAM109" s="978"/>
      <c r="BAN109" s="978"/>
      <c r="BAO109" s="978"/>
      <c r="BAP109" s="978"/>
      <c r="BAQ109" s="978"/>
      <c r="BAR109" s="978"/>
      <c r="BAS109" s="978"/>
      <c r="BAT109" s="978"/>
      <c r="BAU109" s="978"/>
      <c r="BAV109" s="978"/>
      <c r="BAW109" s="978"/>
      <c r="BAX109" s="978"/>
      <c r="BAY109" s="978"/>
      <c r="BAZ109" s="978"/>
      <c r="BBA109" s="978"/>
      <c r="BBB109" s="978"/>
      <c r="BBC109" s="978"/>
      <c r="BBD109" s="978"/>
      <c r="BBE109" s="978"/>
      <c r="BBF109" s="978"/>
      <c r="BBG109" s="978"/>
      <c r="BBH109" s="978"/>
      <c r="BBI109" s="978"/>
      <c r="BBJ109" s="978"/>
      <c r="BBK109" s="978"/>
      <c r="BBL109" s="978"/>
      <c r="BBM109" s="978"/>
      <c r="BBN109" s="978"/>
      <c r="BBO109" s="978"/>
      <c r="BBP109" s="978"/>
      <c r="BBQ109" s="978"/>
      <c r="BBR109" s="978"/>
      <c r="BBS109" s="978"/>
      <c r="BBT109" s="978"/>
      <c r="BBU109" s="978"/>
      <c r="BBV109" s="978"/>
      <c r="BBW109" s="978"/>
      <c r="BBX109" s="978"/>
      <c r="BBY109" s="978"/>
      <c r="BBZ109" s="978"/>
      <c r="BCA109" s="978"/>
      <c r="BCB109" s="978"/>
      <c r="BCC109" s="978"/>
      <c r="BCD109" s="978"/>
      <c r="BCE109" s="978"/>
      <c r="BCF109" s="978"/>
      <c r="BCG109" s="978"/>
      <c r="BCH109" s="978"/>
      <c r="BCI109" s="978"/>
      <c r="BCJ109" s="978"/>
      <c r="BCK109" s="978"/>
      <c r="BCL109" s="978"/>
      <c r="BCM109" s="978"/>
      <c r="BCN109" s="978"/>
      <c r="BCO109" s="978"/>
      <c r="BCP109" s="978"/>
      <c r="BCQ109" s="978"/>
      <c r="BCR109" s="978"/>
      <c r="BCS109" s="978"/>
      <c r="BCT109" s="978"/>
      <c r="BCU109" s="978"/>
      <c r="BCV109" s="978"/>
      <c r="BCW109" s="978"/>
      <c r="BCX109" s="978"/>
      <c r="BCY109" s="978"/>
      <c r="BCZ109" s="978"/>
      <c r="BDA109" s="978"/>
      <c r="BDB109" s="978"/>
      <c r="BDC109" s="978"/>
      <c r="BDD109" s="978"/>
      <c r="BDE109" s="978"/>
      <c r="BDF109" s="978"/>
      <c r="BDG109" s="978"/>
      <c r="BDH109" s="978"/>
      <c r="BDI109" s="978"/>
      <c r="BDJ109" s="978"/>
      <c r="BDK109" s="978"/>
      <c r="BDL109" s="978"/>
      <c r="BDM109" s="978"/>
      <c r="BDN109" s="978"/>
      <c r="BDO109" s="978"/>
      <c r="BDP109" s="978"/>
      <c r="BDQ109" s="978"/>
      <c r="BDR109" s="978"/>
      <c r="BDS109" s="978"/>
      <c r="BDT109" s="978"/>
      <c r="BDU109" s="978"/>
      <c r="BDV109" s="978"/>
      <c r="BDW109" s="978"/>
      <c r="BDX109" s="978"/>
      <c r="BDY109" s="978"/>
      <c r="BDZ109" s="978"/>
      <c r="BEA109" s="978"/>
      <c r="BEB109" s="978"/>
      <c r="BEC109" s="978"/>
      <c r="BED109" s="978"/>
      <c r="BEE109" s="978"/>
      <c r="BEF109" s="978"/>
      <c r="BEG109" s="978"/>
      <c r="BEH109" s="978"/>
      <c r="BEI109" s="978"/>
      <c r="BEJ109" s="978"/>
      <c r="BEK109" s="978"/>
      <c r="BEL109" s="978"/>
      <c r="BEM109" s="978"/>
      <c r="BEN109" s="978"/>
      <c r="BEO109" s="978"/>
      <c r="BEP109" s="978"/>
      <c r="BEQ109" s="978"/>
      <c r="BER109" s="978"/>
      <c r="BES109" s="978"/>
      <c r="BET109" s="978"/>
      <c r="BEU109" s="978"/>
      <c r="BEV109" s="978"/>
      <c r="BEW109" s="978"/>
      <c r="BEX109" s="978"/>
      <c r="BEY109" s="978"/>
      <c r="BEZ109" s="978"/>
      <c r="BFA109" s="978"/>
      <c r="BFB109" s="978"/>
      <c r="BFC109" s="978"/>
      <c r="BFD109" s="978"/>
      <c r="BFE109" s="978"/>
      <c r="BFF109" s="978"/>
      <c r="BFG109" s="978"/>
      <c r="BFH109" s="978"/>
      <c r="BFI109" s="978"/>
      <c r="BFJ109" s="978"/>
      <c r="BFK109" s="978"/>
      <c r="BFL109" s="978"/>
      <c r="BFM109" s="978"/>
      <c r="BFN109" s="978"/>
      <c r="BFO109" s="978"/>
      <c r="BFP109" s="978"/>
      <c r="BFQ109" s="978"/>
      <c r="BFR109" s="978"/>
      <c r="BFS109" s="978"/>
      <c r="BFT109" s="978"/>
      <c r="BFU109" s="978"/>
      <c r="BFV109" s="978"/>
      <c r="BFW109" s="978"/>
      <c r="BFX109" s="978"/>
      <c r="BFY109" s="978"/>
      <c r="BFZ109" s="978"/>
      <c r="BGA109" s="978"/>
      <c r="BGB109" s="978"/>
      <c r="BGC109" s="978"/>
      <c r="BGD109" s="978"/>
      <c r="BGE109" s="978"/>
      <c r="BGF109" s="978"/>
      <c r="BGG109" s="978"/>
      <c r="BGH109" s="978"/>
      <c r="BGI109" s="978"/>
      <c r="BGJ109" s="978"/>
      <c r="BGK109" s="978"/>
      <c r="BGL109" s="978"/>
      <c r="BGM109" s="978"/>
      <c r="BGN109" s="978"/>
      <c r="BGO109" s="978"/>
      <c r="BGP109" s="978"/>
      <c r="BGQ109" s="978"/>
      <c r="BGR109" s="978"/>
      <c r="BGS109" s="978"/>
      <c r="BGT109" s="978"/>
      <c r="BGU109" s="978"/>
      <c r="BGV109" s="978"/>
      <c r="BGW109" s="978"/>
      <c r="BGX109" s="978"/>
      <c r="BGY109" s="978"/>
      <c r="BGZ109" s="978"/>
      <c r="BHA109" s="978"/>
      <c r="BHB109" s="978"/>
      <c r="BHC109" s="978"/>
      <c r="BHD109" s="978"/>
      <c r="BHE109" s="978"/>
      <c r="BHF109" s="978"/>
      <c r="BHG109" s="978"/>
      <c r="BHH109" s="978"/>
      <c r="BHI109" s="978"/>
      <c r="BHJ109" s="978"/>
      <c r="BHK109" s="978"/>
      <c r="BHL109" s="978"/>
      <c r="BHM109" s="978"/>
      <c r="BHN109" s="978"/>
      <c r="BHO109" s="978"/>
      <c r="BHP109" s="978"/>
      <c r="BHQ109" s="978"/>
      <c r="BHR109" s="978"/>
      <c r="BHS109" s="978"/>
      <c r="BHT109" s="978"/>
      <c r="BHU109" s="978"/>
      <c r="BHV109" s="978"/>
      <c r="BHW109" s="978"/>
      <c r="BHX109" s="978"/>
      <c r="BHY109" s="978"/>
      <c r="BHZ109" s="978"/>
      <c r="BIA109" s="978"/>
      <c r="BIB109" s="978"/>
      <c r="BIC109" s="978"/>
      <c r="BID109" s="978"/>
      <c r="BIE109" s="978"/>
      <c r="BIF109" s="978"/>
      <c r="BIG109" s="978"/>
      <c r="BIH109" s="978"/>
      <c r="BII109" s="978"/>
      <c r="BIJ109" s="978"/>
      <c r="BIK109" s="978"/>
      <c r="BIL109" s="978"/>
      <c r="BIM109" s="978"/>
      <c r="BIN109" s="978"/>
      <c r="BIO109" s="978"/>
      <c r="BIP109" s="978"/>
      <c r="BIQ109" s="978"/>
      <c r="BIR109" s="978"/>
      <c r="BIS109" s="978"/>
      <c r="BIT109" s="978"/>
      <c r="BIU109" s="978"/>
      <c r="BIV109" s="978"/>
      <c r="BIW109" s="978"/>
      <c r="BIX109" s="978"/>
      <c r="BIY109" s="978"/>
      <c r="BIZ109" s="978"/>
      <c r="BJA109" s="978"/>
      <c r="BJB109" s="978"/>
      <c r="BJC109" s="978"/>
      <c r="BJD109" s="978"/>
      <c r="BJE109" s="978"/>
      <c r="BJF109" s="978"/>
      <c r="BJG109" s="978"/>
      <c r="BJH109" s="978"/>
      <c r="BJI109" s="978"/>
      <c r="BJJ109" s="978"/>
      <c r="BJK109" s="978"/>
      <c r="BJL109" s="978"/>
      <c r="BJM109" s="978"/>
      <c r="BJN109" s="978"/>
      <c r="BJO109" s="978"/>
      <c r="BJP109" s="978"/>
      <c r="BJQ109" s="978"/>
      <c r="BJR109" s="978"/>
      <c r="BJS109" s="978"/>
      <c r="BJT109" s="978"/>
      <c r="BJU109" s="978"/>
      <c r="BJV109" s="978"/>
      <c r="BJW109" s="978"/>
      <c r="BJX109" s="978"/>
      <c r="BJY109" s="978"/>
      <c r="BJZ109" s="978"/>
      <c r="BKA109" s="978"/>
      <c r="BKB109" s="978"/>
      <c r="BKC109" s="978"/>
      <c r="BKD109" s="978"/>
      <c r="BKE109" s="978"/>
      <c r="BKF109" s="978"/>
      <c r="BKG109" s="978"/>
      <c r="BKH109" s="978"/>
      <c r="BKI109" s="978"/>
      <c r="BKJ109" s="978"/>
      <c r="BKK109" s="978"/>
      <c r="BKL109" s="978"/>
      <c r="BKM109" s="978"/>
      <c r="BKN109" s="978"/>
      <c r="BKO109" s="978"/>
      <c r="BKP109" s="978"/>
      <c r="BKQ109" s="978"/>
      <c r="BKR109" s="978"/>
      <c r="BKS109" s="978"/>
      <c r="BKT109" s="978"/>
      <c r="BKU109" s="978"/>
      <c r="BKV109" s="978"/>
      <c r="BKW109" s="978"/>
      <c r="BKX109" s="978"/>
      <c r="BKY109" s="978"/>
      <c r="BKZ109" s="978"/>
      <c r="BLA109" s="978"/>
      <c r="BLB109" s="978"/>
      <c r="BLC109" s="978"/>
      <c r="BLD109" s="978"/>
      <c r="BLE109" s="978"/>
      <c r="BLF109" s="978"/>
      <c r="BLG109" s="978"/>
      <c r="BLH109" s="978"/>
      <c r="BLI109" s="978"/>
      <c r="BLJ109" s="978"/>
      <c r="BLK109" s="978"/>
      <c r="BLL109" s="978"/>
      <c r="BLM109" s="978"/>
      <c r="BLN109" s="978"/>
      <c r="BLO109" s="978"/>
      <c r="BLP109" s="978"/>
      <c r="BLQ109" s="978"/>
      <c r="BLR109" s="978"/>
      <c r="BLS109" s="978"/>
      <c r="BLT109" s="978"/>
      <c r="BLU109" s="978"/>
      <c r="BLV109" s="978"/>
      <c r="BLW109" s="978"/>
      <c r="BLX109" s="978"/>
      <c r="BLY109" s="978"/>
      <c r="BLZ109" s="978"/>
      <c r="BMA109" s="978"/>
      <c r="BMB109" s="978"/>
      <c r="BMC109" s="978"/>
      <c r="BMD109" s="978"/>
      <c r="BME109" s="978"/>
      <c r="BMF109" s="978"/>
      <c r="BMG109" s="978"/>
      <c r="BMH109" s="978"/>
      <c r="BMI109" s="978"/>
      <c r="BMJ109" s="978"/>
      <c r="BMK109" s="978"/>
      <c r="BML109" s="978"/>
      <c r="BMM109" s="978"/>
      <c r="BMN109" s="978"/>
      <c r="BMO109" s="978"/>
      <c r="BMP109" s="978"/>
      <c r="BMQ109" s="978"/>
      <c r="BMR109" s="978"/>
      <c r="BMS109" s="978"/>
      <c r="BMT109" s="978"/>
      <c r="BMU109" s="978"/>
      <c r="BMV109" s="978"/>
      <c r="BMW109" s="978"/>
      <c r="BMX109" s="978"/>
      <c r="BMY109" s="978"/>
      <c r="BMZ109" s="978"/>
      <c r="BNA109" s="978"/>
      <c r="BNB109" s="978"/>
      <c r="BNC109" s="978"/>
      <c r="BND109" s="978"/>
      <c r="BNE109" s="978"/>
      <c r="BNF109" s="978"/>
      <c r="BNG109" s="978"/>
      <c r="BNH109" s="978"/>
      <c r="BNI109" s="978"/>
      <c r="BNJ109" s="978"/>
      <c r="BNK109" s="978"/>
      <c r="BNL109" s="978"/>
      <c r="BNM109" s="978"/>
      <c r="BNN109" s="978"/>
      <c r="BNO109" s="978"/>
      <c r="BNP109" s="978"/>
      <c r="BNQ109" s="978"/>
      <c r="BNR109" s="978"/>
      <c r="BNS109" s="978"/>
      <c r="BNT109" s="978"/>
      <c r="BNU109" s="978"/>
      <c r="BNV109" s="978"/>
      <c r="BNW109" s="978"/>
      <c r="BNX109" s="978"/>
      <c r="BNY109" s="978"/>
      <c r="BNZ109" s="978"/>
      <c r="BOA109" s="978"/>
      <c r="BOB109" s="978"/>
      <c r="BOC109" s="978"/>
      <c r="BOD109" s="978"/>
      <c r="BOE109" s="978"/>
      <c r="BOF109" s="978"/>
      <c r="BOG109" s="978"/>
      <c r="BOH109" s="978"/>
      <c r="BOI109" s="978"/>
      <c r="BOJ109" s="978"/>
      <c r="BOK109" s="978"/>
      <c r="BOL109" s="978"/>
      <c r="BOM109" s="978"/>
      <c r="BON109" s="978"/>
      <c r="BOO109" s="978"/>
      <c r="BOP109" s="978"/>
      <c r="BOQ109" s="978"/>
      <c r="BOR109" s="978"/>
      <c r="BOS109" s="978"/>
      <c r="BOT109" s="978"/>
      <c r="BOU109" s="978"/>
      <c r="BOV109" s="978"/>
      <c r="BOW109" s="978"/>
      <c r="BOX109" s="978"/>
      <c r="BOY109" s="978"/>
      <c r="BOZ109" s="978"/>
      <c r="BPA109" s="978"/>
      <c r="BPB109" s="978"/>
      <c r="BPC109" s="978"/>
      <c r="BPD109" s="978"/>
      <c r="BPE109" s="978"/>
      <c r="BPF109" s="978"/>
      <c r="BPG109" s="978"/>
      <c r="BPH109" s="978"/>
      <c r="BPI109" s="978"/>
      <c r="BPJ109" s="978"/>
      <c r="BPK109" s="978"/>
      <c r="BPL109" s="978"/>
      <c r="BPM109" s="978"/>
      <c r="BPN109" s="978"/>
      <c r="BPO109" s="978"/>
      <c r="BPP109" s="978"/>
      <c r="BPQ109" s="978"/>
      <c r="BPR109" s="978"/>
      <c r="BPS109" s="978"/>
      <c r="BPT109" s="978"/>
      <c r="BPU109" s="978"/>
      <c r="BPV109" s="978"/>
      <c r="BPW109" s="978"/>
      <c r="BPX109" s="978"/>
      <c r="BPY109" s="978"/>
      <c r="BPZ109" s="978"/>
      <c r="BQA109" s="978"/>
      <c r="BQB109" s="978"/>
      <c r="BQC109" s="978"/>
      <c r="BQD109" s="978"/>
      <c r="BQE109" s="978"/>
      <c r="BQF109" s="978"/>
      <c r="BQG109" s="978"/>
      <c r="BQH109" s="978"/>
      <c r="BQI109" s="978"/>
      <c r="BQJ109" s="978"/>
      <c r="BQK109" s="978"/>
      <c r="BQL109" s="978"/>
      <c r="BQM109" s="978"/>
      <c r="BQN109" s="978"/>
      <c r="BQO109" s="978"/>
      <c r="BQP109" s="978"/>
      <c r="BQQ109" s="978"/>
      <c r="BQR109" s="978"/>
      <c r="BQS109" s="978"/>
      <c r="BQT109" s="978"/>
      <c r="BQU109" s="978"/>
      <c r="BQV109" s="978"/>
      <c r="BQW109" s="978"/>
      <c r="BQX109" s="978"/>
      <c r="BQY109" s="978"/>
      <c r="BQZ109" s="978"/>
      <c r="BRA109" s="978"/>
      <c r="BRB109" s="978"/>
      <c r="BRC109" s="978"/>
      <c r="BRD109" s="978"/>
      <c r="BRE109" s="978"/>
      <c r="BRF109" s="978"/>
      <c r="BRG109" s="978"/>
      <c r="BRH109" s="978"/>
      <c r="BRI109" s="978"/>
      <c r="BRJ109" s="978"/>
      <c r="BRK109" s="978"/>
      <c r="BRL109" s="978"/>
      <c r="BRM109" s="978"/>
      <c r="BRN109" s="978"/>
      <c r="BRO109" s="978"/>
      <c r="BRP109" s="978"/>
      <c r="BRQ109" s="978"/>
      <c r="BRR109" s="978"/>
      <c r="BRS109" s="978"/>
      <c r="BRT109" s="978"/>
      <c r="BRU109" s="978"/>
      <c r="BRV109" s="978"/>
      <c r="BRW109" s="978"/>
      <c r="BRX109" s="978"/>
      <c r="BRY109" s="978"/>
      <c r="BRZ109" s="978"/>
      <c r="BSA109" s="978"/>
      <c r="BSB109" s="978"/>
      <c r="BSC109" s="978"/>
      <c r="BSD109" s="978"/>
      <c r="BSE109" s="978"/>
      <c r="BSF109" s="978"/>
      <c r="BSG109" s="978"/>
      <c r="BSH109" s="978"/>
      <c r="BSI109" s="978"/>
      <c r="BSJ109" s="978"/>
      <c r="BSK109" s="978"/>
      <c r="BSL109" s="978"/>
      <c r="BSM109" s="978"/>
      <c r="BSN109" s="978"/>
      <c r="BSO109" s="978"/>
      <c r="BSP109" s="978"/>
      <c r="BSQ109" s="978"/>
      <c r="BSR109" s="978"/>
      <c r="BSS109" s="978"/>
      <c r="BST109" s="978"/>
      <c r="BSU109" s="978"/>
      <c r="BSV109" s="978"/>
      <c r="BSW109" s="978"/>
      <c r="BSX109" s="978"/>
      <c r="BSY109" s="978"/>
      <c r="BSZ109" s="978"/>
      <c r="BTA109" s="978"/>
      <c r="BTB109" s="978"/>
      <c r="BTC109" s="978"/>
      <c r="BTD109" s="978"/>
      <c r="BTE109" s="978"/>
      <c r="BTF109" s="978"/>
      <c r="BTG109" s="978"/>
      <c r="BTH109" s="978"/>
      <c r="BTI109" s="978"/>
      <c r="BTJ109" s="978"/>
      <c r="BTK109" s="978"/>
      <c r="BTL109" s="978"/>
      <c r="BTM109" s="978"/>
      <c r="BTN109" s="978"/>
      <c r="BTO109" s="978"/>
      <c r="BTP109" s="978"/>
      <c r="BTQ109" s="978"/>
      <c r="BTR109" s="978"/>
      <c r="BTS109" s="978"/>
      <c r="BTT109" s="978"/>
      <c r="BTU109" s="978"/>
      <c r="BTV109" s="978"/>
      <c r="BTW109" s="978"/>
      <c r="BTX109" s="978"/>
      <c r="BTY109" s="978"/>
      <c r="BTZ109" s="978"/>
      <c r="BUA109" s="978"/>
      <c r="BUB109" s="978"/>
      <c r="BUC109" s="978"/>
      <c r="BUD109" s="978"/>
      <c r="BUE109" s="978"/>
      <c r="BUF109" s="978"/>
      <c r="BUG109" s="978"/>
      <c r="BUH109" s="978"/>
      <c r="BUI109" s="978"/>
      <c r="BUJ109" s="978"/>
      <c r="BUK109" s="978"/>
      <c r="BUL109" s="978"/>
      <c r="BUM109" s="978"/>
      <c r="BUN109" s="978"/>
      <c r="BUO109" s="978"/>
      <c r="BUP109" s="978"/>
      <c r="BUQ109" s="978"/>
      <c r="BUR109" s="978"/>
      <c r="BUS109" s="978"/>
      <c r="BUT109" s="978"/>
      <c r="BUU109" s="978"/>
      <c r="BUV109" s="978"/>
      <c r="BUW109" s="978"/>
      <c r="BUX109" s="978"/>
      <c r="BUY109" s="978"/>
      <c r="BUZ109" s="978"/>
      <c r="BVA109" s="978"/>
      <c r="BVB109" s="978"/>
      <c r="BVC109" s="978"/>
      <c r="BVD109" s="978"/>
      <c r="BVE109" s="978"/>
      <c r="BVF109" s="978"/>
      <c r="BVG109" s="978"/>
      <c r="BVH109" s="978"/>
      <c r="BVI109" s="978"/>
      <c r="BVJ109" s="978"/>
      <c r="BVK109" s="978"/>
      <c r="BVL109" s="978"/>
      <c r="BVM109" s="978"/>
      <c r="BVN109" s="978"/>
      <c r="BVO109" s="978"/>
      <c r="BVP109" s="978"/>
      <c r="BVQ109" s="978"/>
      <c r="BVR109" s="978"/>
      <c r="BVS109" s="978"/>
      <c r="BVT109" s="978"/>
      <c r="BVU109" s="978"/>
      <c r="BVV109" s="978"/>
      <c r="BVW109" s="978"/>
      <c r="BVX109" s="978"/>
      <c r="BVY109" s="978"/>
      <c r="BVZ109" s="978"/>
      <c r="BWA109" s="978"/>
      <c r="BWB109" s="978"/>
      <c r="BWC109" s="978"/>
      <c r="BWD109" s="978"/>
      <c r="BWE109" s="978"/>
      <c r="BWF109" s="978"/>
      <c r="BWG109" s="978"/>
      <c r="BWH109" s="978"/>
      <c r="BWI109" s="978"/>
      <c r="BWJ109" s="978"/>
      <c r="BWK109" s="978"/>
      <c r="BWL109" s="978"/>
      <c r="BWM109" s="978"/>
      <c r="BWN109" s="978"/>
      <c r="BWO109" s="978"/>
      <c r="BWP109" s="978"/>
      <c r="BWQ109" s="978"/>
      <c r="BWR109" s="978"/>
      <c r="BWS109" s="978"/>
      <c r="BWT109" s="978"/>
      <c r="BWU109" s="978"/>
      <c r="BWV109" s="978"/>
      <c r="BWW109" s="978"/>
      <c r="BWX109" s="978"/>
      <c r="BWY109" s="978"/>
      <c r="BWZ109" s="978"/>
      <c r="BXA109" s="978"/>
      <c r="BXB109" s="978"/>
      <c r="BXC109" s="978"/>
      <c r="BXD109" s="978"/>
      <c r="BXE109" s="978"/>
      <c r="BXF109" s="978"/>
      <c r="BXG109" s="978"/>
      <c r="BXH109" s="978"/>
      <c r="BXI109" s="978"/>
      <c r="BXJ109" s="978"/>
      <c r="BXK109" s="978"/>
      <c r="BXL109" s="978"/>
      <c r="BXM109" s="978"/>
      <c r="BXN109" s="978"/>
      <c r="BXO109" s="978"/>
      <c r="BXP109" s="978"/>
      <c r="BXQ109" s="978"/>
      <c r="BXR109" s="978"/>
      <c r="BXS109" s="978"/>
      <c r="BXT109" s="978"/>
      <c r="BXU109" s="978"/>
      <c r="BXV109" s="978"/>
      <c r="BXW109" s="978"/>
      <c r="BXX109" s="978"/>
      <c r="BXY109" s="978"/>
      <c r="BXZ109" s="978"/>
      <c r="BYA109" s="978"/>
      <c r="BYB109" s="978"/>
      <c r="BYC109" s="978"/>
      <c r="BYD109" s="978"/>
      <c r="BYE109" s="978"/>
      <c r="BYF109" s="978"/>
      <c r="BYG109" s="978"/>
      <c r="BYH109" s="978"/>
      <c r="BYI109" s="978"/>
      <c r="BYJ109" s="978"/>
      <c r="BYK109" s="978"/>
      <c r="BYL109" s="978"/>
      <c r="BYM109" s="978"/>
      <c r="BYN109" s="978"/>
      <c r="BYO109" s="978"/>
      <c r="BYP109" s="978"/>
      <c r="BYQ109" s="978"/>
      <c r="BYR109" s="978"/>
      <c r="BYS109" s="978"/>
      <c r="BYT109" s="978"/>
      <c r="BYU109" s="978"/>
      <c r="BYV109" s="978"/>
      <c r="BYW109" s="978"/>
      <c r="BYX109" s="978"/>
      <c r="BYY109" s="978"/>
      <c r="BYZ109" s="978"/>
      <c r="BZA109" s="978"/>
      <c r="BZB109" s="978"/>
      <c r="BZC109" s="978"/>
      <c r="BZD109" s="978"/>
      <c r="BZE109" s="978"/>
      <c r="BZF109" s="978"/>
      <c r="BZG109" s="978"/>
      <c r="BZH109" s="978"/>
      <c r="BZI109" s="978"/>
      <c r="BZJ109" s="978"/>
      <c r="BZK109" s="978"/>
      <c r="BZL109" s="978"/>
      <c r="BZM109" s="978"/>
      <c r="BZN109" s="978"/>
      <c r="BZO109" s="978"/>
      <c r="BZP109" s="978"/>
      <c r="BZQ109" s="978"/>
      <c r="BZR109" s="978"/>
      <c r="BZS109" s="978"/>
      <c r="BZT109" s="978"/>
      <c r="BZU109" s="978"/>
      <c r="BZV109" s="978"/>
      <c r="BZW109" s="978"/>
      <c r="BZX109" s="978"/>
      <c r="BZY109" s="978"/>
      <c r="BZZ109" s="978"/>
      <c r="CAA109" s="978"/>
      <c r="CAB109" s="978"/>
      <c r="CAC109" s="978"/>
      <c r="CAD109" s="978"/>
      <c r="CAE109" s="978"/>
      <c r="CAF109" s="978"/>
      <c r="CAG109" s="978"/>
      <c r="CAH109" s="978"/>
      <c r="CAI109" s="978"/>
      <c r="CAJ109" s="978"/>
      <c r="CAK109" s="978"/>
      <c r="CAL109" s="978"/>
      <c r="CAM109" s="978"/>
      <c r="CAN109" s="978"/>
      <c r="CAO109" s="978"/>
      <c r="CAP109" s="978"/>
      <c r="CAQ109" s="978"/>
      <c r="CAR109" s="978"/>
      <c r="CAS109" s="978"/>
      <c r="CAT109" s="978"/>
      <c r="CAU109" s="978"/>
      <c r="CAV109" s="978"/>
      <c r="CAW109" s="978"/>
      <c r="CAX109" s="978"/>
      <c r="CAY109" s="978"/>
      <c r="CAZ109" s="978"/>
      <c r="CBA109" s="978"/>
      <c r="CBB109" s="978"/>
      <c r="CBC109" s="978"/>
      <c r="CBD109" s="978"/>
      <c r="CBE109" s="978"/>
      <c r="CBF109" s="978"/>
      <c r="CBG109" s="978"/>
      <c r="CBH109" s="978"/>
      <c r="CBI109" s="978"/>
      <c r="CBJ109" s="978"/>
      <c r="CBK109" s="978"/>
      <c r="CBL109" s="978"/>
      <c r="CBM109" s="978"/>
      <c r="CBN109" s="978"/>
      <c r="CBO109" s="978"/>
      <c r="CBP109" s="978"/>
      <c r="CBQ109" s="978"/>
      <c r="CBR109" s="978"/>
      <c r="CBS109" s="978"/>
      <c r="CBT109" s="978"/>
      <c r="CBU109" s="978"/>
      <c r="CBV109" s="978"/>
      <c r="CBW109" s="978"/>
      <c r="CBX109" s="978"/>
      <c r="CBY109" s="978"/>
      <c r="CBZ109" s="978"/>
      <c r="CCA109" s="978"/>
      <c r="CCB109" s="978"/>
      <c r="CCC109" s="978"/>
      <c r="CCD109" s="978"/>
      <c r="CCE109" s="978"/>
      <c r="CCF109" s="978"/>
      <c r="CCG109" s="978"/>
      <c r="CCH109" s="978"/>
      <c r="CCI109" s="978"/>
      <c r="CCJ109" s="978"/>
      <c r="CCK109" s="978"/>
      <c r="CCL109" s="978"/>
      <c r="CCM109" s="978"/>
      <c r="CCN109" s="978"/>
      <c r="CCO109" s="978"/>
      <c r="CCP109" s="978"/>
      <c r="CCQ109" s="978"/>
      <c r="CCR109" s="978"/>
      <c r="CCS109" s="978"/>
      <c r="CCT109" s="978"/>
      <c r="CCU109" s="978"/>
      <c r="CCV109" s="978"/>
      <c r="CCW109" s="978"/>
      <c r="CCX109" s="978"/>
      <c r="CCY109" s="978"/>
      <c r="CCZ109" s="978"/>
      <c r="CDA109" s="978"/>
      <c r="CDB109" s="978"/>
      <c r="CDC109" s="978"/>
      <c r="CDD109" s="978"/>
      <c r="CDE109" s="978"/>
      <c r="CDF109" s="978"/>
      <c r="CDG109" s="978"/>
      <c r="CDH109" s="978"/>
      <c r="CDI109" s="978"/>
      <c r="CDJ109" s="978"/>
      <c r="CDK109" s="978"/>
      <c r="CDL109" s="978"/>
      <c r="CDM109" s="978"/>
      <c r="CDN109" s="978"/>
      <c r="CDO109" s="978"/>
      <c r="CDP109" s="978"/>
      <c r="CDQ109" s="978"/>
      <c r="CDR109" s="978"/>
      <c r="CDS109" s="978"/>
      <c r="CDT109" s="978"/>
      <c r="CDU109" s="978"/>
      <c r="CDV109" s="978"/>
      <c r="CDW109" s="978"/>
      <c r="CDX109" s="978"/>
      <c r="CDY109" s="978"/>
      <c r="CDZ109" s="978"/>
      <c r="CEA109" s="978"/>
      <c r="CEB109" s="978"/>
      <c r="CEC109" s="978"/>
      <c r="CED109" s="978"/>
      <c r="CEE109" s="978"/>
      <c r="CEF109" s="978"/>
      <c r="CEG109" s="978"/>
      <c r="CEH109" s="978"/>
      <c r="CEI109" s="978"/>
      <c r="CEJ109" s="978"/>
      <c r="CEK109" s="978"/>
      <c r="CEL109" s="978"/>
      <c r="CEM109" s="978"/>
      <c r="CEN109" s="978"/>
      <c r="CEO109" s="978"/>
      <c r="CEP109" s="978"/>
      <c r="CEQ109" s="978"/>
      <c r="CER109" s="978"/>
      <c r="CES109" s="978"/>
      <c r="CET109" s="978"/>
      <c r="CEU109" s="978"/>
      <c r="CEV109" s="978"/>
      <c r="CEW109" s="978"/>
      <c r="CEX109" s="978"/>
      <c r="CEY109" s="978"/>
      <c r="CEZ109" s="978"/>
      <c r="CFA109" s="978"/>
      <c r="CFB109" s="978"/>
      <c r="CFC109" s="978"/>
      <c r="CFD109" s="978"/>
      <c r="CFE109" s="978"/>
      <c r="CFF109" s="978"/>
      <c r="CFG109" s="978"/>
      <c r="CFH109" s="978"/>
      <c r="CFI109" s="978"/>
      <c r="CFJ109" s="978"/>
      <c r="CFK109" s="978"/>
      <c r="CFL109" s="978"/>
      <c r="CFM109" s="978"/>
      <c r="CFN109" s="978"/>
      <c r="CFO109" s="978"/>
      <c r="CFP109" s="978"/>
      <c r="CFQ109" s="978"/>
      <c r="CFR109" s="978"/>
      <c r="CFS109" s="978"/>
      <c r="CFT109" s="978"/>
      <c r="CFU109" s="978"/>
      <c r="CFV109" s="978"/>
      <c r="CFW109" s="978"/>
      <c r="CFX109" s="978"/>
      <c r="CFY109" s="978"/>
      <c r="CFZ109" s="978"/>
      <c r="CGA109" s="978"/>
      <c r="CGB109" s="978"/>
      <c r="CGC109" s="978"/>
      <c r="CGD109" s="978"/>
      <c r="CGE109" s="978"/>
      <c r="CGF109" s="978"/>
      <c r="CGG109" s="978"/>
      <c r="CGH109" s="978"/>
      <c r="CGI109" s="978"/>
      <c r="CGJ109" s="978"/>
      <c r="CGK109" s="978"/>
      <c r="CGL109" s="978"/>
      <c r="CGM109" s="978"/>
      <c r="CGN109" s="978"/>
      <c r="CGO109" s="978"/>
      <c r="CGP109" s="978"/>
      <c r="CGQ109" s="978"/>
      <c r="CGR109" s="978"/>
      <c r="CGS109" s="978"/>
      <c r="CGT109" s="978"/>
      <c r="CGU109" s="978"/>
      <c r="CGV109" s="978"/>
      <c r="CGW109" s="978"/>
      <c r="CGX109" s="978"/>
      <c r="CGY109" s="978"/>
      <c r="CGZ109" s="978"/>
      <c r="CHA109" s="978"/>
      <c r="CHB109" s="978"/>
      <c r="CHC109" s="978"/>
      <c r="CHD109" s="978"/>
      <c r="CHE109" s="978"/>
      <c r="CHF109" s="978"/>
      <c r="CHG109" s="978"/>
      <c r="CHH109" s="978"/>
      <c r="CHI109" s="978"/>
      <c r="CHJ109" s="978"/>
      <c r="CHK109" s="978"/>
      <c r="CHL109" s="978"/>
      <c r="CHM109" s="978"/>
      <c r="CHN109" s="978"/>
      <c r="CHO109" s="978"/>
      <c r="CHP109" s="978"/>
      <c r="CHQ109" s="978"/>
      <c r="CHR109" s="978"/>
      <c r="CHS109" s="978"/>
      <c r="CHT109" s="978"/>
      <c r="CHU109" s="978"/>
      <c r="CHV109" s="978"/>
      <c r="CHW109" s="978"/>
      <c r="CHX109" s="978"/>
      <c r="CHY109" s="978"/>
      <c r="CHZ109" s="978"/>
      <c r="CIA109" s="978"/>
      <c r="CIB109" s="978"/>
      <c r="CIC109" s="978"/>
      <c r="CID109" s="978"/>
      <c r="CIE109" s="978"/>
      <c r="CIF109" s="978"/>
      <c r="CIG109" s="978"/>
      <c r="CIH109" s="978"/>
      <c r="CII109" s="978"/>
      <c r="CIJ109" s="978"/>
      <c r="CIK109" s="978"/>
      <c r="CIL109" s="978"/>
      <c r="CIM109" s="978"/>
      <c r="CIN109" s="978"/>
      <c r="CIO109" s="978"/>
      <c r="CIP109" s="978"/>
      <c r="CIQ109" s="978"/>
      <c r="CIR109" s="978"/>
      <c r="CIS109" s="978"/>
      <c r="CIT109" s="978"/>
      <c r="CIU109" s="978"/>
      <c r="CIV109" s="978"/>
      <c r="CIW109" s="978"/>
      <c r="CIX109" s="978"/>
      <c r="CIY109" s="978"/>
      <c r="CIZ109" s="978"/>
      <c r="CJA109" s="978"/>
      <c r="CJB109" s="978"/>
      <c r="CJC109" s="978"/>
      <c r="CJD109" s="978"/>
      <c r="CJE109" s="978"/>
      <c r="CJF109" s="978"/>
      <c r="CJG109" s="978"/>
      <c r="CJH109" s="978"/>
      <c r="CJI109" s="978"/>
      <c r="CJJ109" s="978"/>
      <c r="CJK109" s="978"/>
      <c r="CJL109" s="978"/>
      <c r="CJM109" s="978"/>
      <c r="CJN109" s="978"/>
      <c r="CJO109" s="978"/>
      <c r="CJP109" s="978"/>
      <c r="CJQ109" s="978"/>
      <c r="CJR109" s="978"/>
      <c r="CJS109" s="978"/>
      <c r="CJT109" s="978"/>
      <c r="CJU109" s="978"/>
      <c r="CJV109" s="978"/>
      <c r="CJW109" s="978"/>
      <c r="CJX109" s="978"/>
      <c r="CJY109" s="978"/>
      <c r="CJZ109" s="978"/>
      <c r="CKA109" s="978"/>
      <c r="CKB109" s="978"/>
      <c r="CKC109" s="978"/>
      <c r="CKD109" s="978"/>
      <c r="CKE109" s="978"/>
      <c r="CKF109" s="978"/>
      <c r="CKG109" s="978"/>
      <c r="CKH109" s="978"/>
      <c r="CKI109" s="978"/>
      <c r="CKJ109" s="978"/>
      <c r="CKK109" s="978"/>
      <c r="CKL109" s="978"/>
      <c r="CKM109" s="978"/>
      <c r="CKN109" s="978"/>
      <c r="CKO109" s="978"/>
      <c r="CKP109" s="978"/>
      <c r="CKQ109" s="978"/>
      <c r="CKR109" s="978"/>
      <c r="CKS109" s="978"/>
      <c r="CKT109" s="978"/>
      <c r="CKU109" s="978"/>
      <c r="CKV109" s="978"/>
      <c r="CKW109" s="978"/>
      <c r="CKX109" s="978"/>
      <c r="CKY109" s="978"/>
      <c r="CKZ109" s="978"/>
      <c r="CLA109" s="978"/>
      <c r="CLB109" s="978"/>
      <c r="CLC109" s="978"/>
      <c r="CLD109" s="978"/>
      <c r="CLE109" s="978"/>
      <c r="CLF109" s="978"/>
      <c r="CLG109" s="978"/>
      <c r="CLH109" s="978"/>
      <c r="CLI109" s="978"/>
      <c r="CLJ109" s="978"/>
      <c r="CLK109" s="978"/>
      <c r="CLL109" s="978"/>
      <c r="CLM109" s="978"/>
      <c r="CLN109" s="978"/>
      <c r="CLO109" s="978"/>
      <c r="CLP109" s="978"/>
      <c r="CLQ109" s="978"/>
      <c r="CLR109" s="978"/>
      <c r="CLS109" s="978"/>
      <c r="CLT109" s="978"/>
      <c r="CLU109" s="978"/>
      <c r="CLV109" s="978"/>
      <c r="CLW109" s="978"/>
      <c r="CLX109" s="978"/>
      <c r="CLY109" s="978"/>
      <c r="CLZ109" s="978"/>
      <c r="CMA109" s="978"/>
      <c r="CMB109" s="978"/>
      <c r="CMC109" s="978"/>
      <c r="CMD109" s="978"/>
      <c r="CME109" s="978"/>
      <c r="CMF109" s="978"/>
      <c r="CMG109" s="978"/>
      <c r="CMH109" s="978"/>
      <c r="CMI109" s="978"/>
      <c r="CMJ109" s="978"/>
      <c r="CMK109" s="978"/>
      <c r="CML109" s="978"/>
      <c r="CMM109" s="978"/>
      <c r="CMN109" s="978"/>
      <c r="CMO109" s="978"/>
      <c r="CMP109" s="978"/>
      <c r="CMQ109" s="978"/>
      <c r="CMR109" s="978"/>
      <c r="CMS109" s="978"/>
      <c r="CMT109" s="978"/>
      <c r="CMU109" s="978"/>
      <c r="CMV109" s="978"/>
      <c r="CMW109" s="978"/>
      <c r="CMX109" s="978"/>
      <c r="CMY109" s="978"/>
      <c r="CMZ109" s="978"/>
      <c r="CNA109" s="978"/>
      <c r="CNB109" s="978"/>
      <c r="CNC109" s="978"/>
      <c r="CND109" s="978"/>
      <c r="CNE109" s="978"/>
      <c r="CNF109" s="978"/>
      <c r="CNG109" s="978"/>
      <c r="CNH109" s="978"/>
      <c r="CNI109" s="978"/>
      <c r="CNJ109" s="978"/>
      <c r="CNK109" s="978"/>
      <c r="CNL109" s="978"/>
      <c r="CNM109" s="978"/>
      <c r="CNN109" s="978"/>
      <c r="CNO109" s="978"/>
      <c r="CNP109" s="978"/>
      <c r="CNQ109" s="978"/>
      <c r="CNR109" s="978"/>
      <c r="CNS109" s="978"/>
      <c r="CNT109" s="978"/>
      <c r="CNU109" s="978"/>
      <c r="CNV109" s="978"/>
      <c r="CNW109" s="978"/>
      <c r="CNX109" s="978"/>
      <c r="CNY109" s="978"/>
      <c r="CNZ109" s="978"/>
      <c r="COA109" s="978"/>
      <c r="COB109" s="978"/>
      <c r="COC109" s="978"/>
      <c r="COD109" s="978"/>
      <c r="COE109" s="978"/>
      <c r="COF109" s="978"/>
      <c r="COG109" s="978"/>
      <c r="COH109" s="978"/>
      <c r="COI109" s="978"/>
      <c r="COJ109" s="978"/>
      <c r="COK109" s="978"/>
      <c r="COL109" s="978"/>
      <c r="COM109" s="978"/>
      <c r="CON109" s="978"/>
      <c r="COO109" s="978"/>
      <c r="COP109" s="978"/>
      <c r="COQ109" s="978"/>
      <c r="COR109" s="978"/>
      <c r="COS109" s="978"/>
      <c r="COT109" s="978"/>
      <c r="COU109" s="978"/>
      <c r="COV109" s="978"/>
      <c r="COW109" s="978"/>
      <c r="COX109" s="978"/>
      <c r="COY109" s="978"/>
      <c r="COZ109" s="978"/>
      <c r="CPA109" s="978"/>
      <c r="CPB109" s="978"/>
      <c r="CPC109" s="978"/>
      <c r="CPD109" s="978"/>
      <c r="CPE109" s="978"/>
      <c r="CPF109" s="978"/>
      <c r="CPG109" s="978"/>
      <c r="CPH109" s="978"/>
      <c r="CPI109" s="978"/>
      <c r="CPJ109" s="978"/>
      <c r="CPK109" s="978"/>
      <c r="CPL109" s="978"/>
      <c r="CPM109" s="978"/>
      <c r="CPN109" s="978"/>
      <c r="CPO109" s="978"/>
      <c r="CPP109" s="978"/>
      <c r="CPQ109" s="978"/>
      <c r="CPR109" s="978"/>
      <c r="CPS109" s="978"/>
      <c r="CPT109" s="978"/>
      <c r="CPU109" s="978"/>
      <c r="CPV109" s="978"/>
      <c r="CPW109" s="978"/>
      <c r="CPX109" s="978"/>
      <c r="CPY109" s="978"/>
      <c r="CPZ109" s="978"/>
      <c r="CQA109" s="978"/>
      <c r="CQB109" s="978"/>
      <c r="CQC109" s="978"/>
      <c r="CQD109" s="978"/>
      <c r="CQE109" s="978"/>
      <c r="CQF109" s="978"/>
      <c r="CQG109" s="978"/>
      <c r="CQH109" s="978"/>
      <c r="CQI109" s="978"/>
      <c r="CQJ109" s="978"/>
      <c r="CQK109" s="978"/>
      <c r="CQL109" s="978"/>
      <c r="CQM109" s="978"/>
      <c r="CQN109" s="978"/>
      <c r="CQO109" s="978"/>
      <c r="CQP109" s="978"/>
      <c r="CQQ109" s="978"/>
      <c r="CQR109" s="978"/>
      <c r="CQS109" s="978"/>
      <c r="CQT109" s="978"/>
      <c r="CQU109" s="978"/>
      <c r="CQV109" s="978"/>
      <c r="CQW109" s="978"/>
      <c r="CQX109" s="978"/>
      <c r="CQY109" s="978"/>
      <c r="CQZ109" s="978"/>
      <c r="CRA109" s="978"/>
      <c r="CRB109" s="978"/>
      <c r="CRC109" s="978"/>
      <c r="CRD109" s="978"/>
      <c r="CRE109" s="978"/>
      <c r="CRF109" s="978"/>
      <c r="CRG109" s="978"/>
      <c r="CRH109" s="978"/>
      <c r="CRI109" s="978"/>
      <c r="CRJ109" s="978"/>
      <c r="CRK109" s="978"/>
      <c r="CRL109" s="978"/>
      <c r="CRM109" s="978"/>
      <c r="CRN109" s="978"/>
      <c r="CRO109" s="978"/>
      <c r="CRP109" s="978"/>
      <c r="CRQ109" s="978"/>
      <c r="CRR109" s="978"/>
      <c r="CRS109" s="978"/>
      <c r="CRT109" s="978"/>
      <c r="CRU109" s="978"/>
      <c r="CRV109" s="978"/>
      <c r="CRW109" s="978"/>
      <c r="CRX109" s="978"/>
      <c r="CRY109" s="978"/>
      <c r="CRZ109" s="978"/>
      <c r="CSA109" s="978"/>
      <c r="CSB109" s="978"/>
      <c r="CSC109" s="978"/>
      <c r="CSD109" s="978"/>
      <c r="CSE109" s="978"/>
      <c r="CSF109" s="978"/>
      <c r="CSG109" s="978"/>
      <c r="CSH109" s="978"/>
      <c r="CSI109" s="978"/>
      <c r="CSJ109" s="978"/>
      <c r="CSK109" s="978"/>
      <c r="CSL109" s="978"/>
      <c r="CSM109" s="978"/>
      <c r="CSN109" s="978"/>
      <c r="CSO109" s="978"/>
      <c r="CSP109" s="978"/>
      <c r="CSQ109" s="978"/>
      <c r="CSR109" s="978"/>
      <c r="CSS109" s="978"/>
      <c r="CST109" s="978"/>
      <c r="CSU109" s="978"/>
      <c r="CSV109" s="978"/>
      <c r="CSW109" s="978"/>
      <c r="CSX109" s="978"/>
      <c r="CSY109" s="978"/>
      <c r="CSZ109" s="978"/>
      <c r="CTA109" s="978"/>
      <c r="CTB109" s="978"/>
      <c r="CTC109" s="978"/>
      <c r="CTD109" s="978"/>
      <c r="CTE109" s="978"/>
      <c r="CTF109" s="978"/>
      <c r="CTG109" s="978"/>
      <c r="CTH109" s="978"/>
      <c r="CTI109" s="978"/>
      <c r="CTJ109" s="978"/>
      <c r="CTK109" s="978"/>
      <c r="CTL109" s="978"/>
      <c r="CTM109" s="978"/>
      <c r="CTN109" s="978"/>
      <c r="CTO109" s="978"/>
      <c r="CTP109" s="978"/>
      <c r="CTQ109" s="978"/>
      <c r="CTR109" s="978"/>
      <c r="CTS109" s="978"/>
      <c r="CTT109" s="978"/>
      <c r="CTU109" s="978"/>
      <c r="CTV109" s="978"/>
      <c r="CTW109" s="978"/>
      <c r="CTX109" s="978"/>
      <c r="CTY109" s="978"/>
      <c r="CTZ109" s="978"/>
      <c r="CUA109" s="978"/>
      <c r="CUB109" s="978"/>
      <c r="CUC109" s="978"/>
      <c r="CUD109" s="978"/>
      <c r="CUE109" s="978"/>
      <c r="CUF109" s="978"/>
      <c r="CUG109" s="978"/>
      <c r="CUH109" s="978"/>
      <c r="CUI109" s="978"/>
      <c r="CUJ109" s="978"/>
      <c r="CUK109" s="978"/>
      <c r="CUL109" s="978"/>
      <c r="CUM109" s="978"/>
      <c r="CUN109" s="978"/>
      <c r="CUO109" s="978"/>
      <c r="CUP109" s="978"/>
      <c r="CUQ109" s="978"/>
      <c r="CUR109" s="978"/>
      <c r="CUS109" s="978"/>
      <c r="CUT109" s="978"/>
      <c r="CUU109" s="978"/>
      <c r="CUV109" s="978"/>
      <c r="CUW109" s="978"/>
      <c r="CUX109" s="978"/>
      <c r="CUY109" s="978"/>
      <c r="CUZ109" s="978"/>
      <c r="CVA109" s="978"/>
      <c r="CVB109" s="978"/>
      <c r="CVC109" s="978"/>
      <c r="CVD109" s="978"/>
      <c r="CVE109" s="978"/>
      <c r="CVF109" s="978"/>
      <c r="CVG109" s="978"/>
      <c r="CVH109" s="978"/>
      <c r="CVI109" s="978"/>
      <c r="CVJ109" s="978"/>
      <c r="CVK109" s="978"/>
      <c r="CVL109" s="978"/>
      <c r="CVM109" s="978"/>
      <c r="CVN109" s="978"/>
      <c r="CVO109" s="978"/>
      <c r="CVP109" s="978"/>
      <c r="CVQ109" s="978"/>
      <c r="CVR109" s="978"/>
      <c r="CVS109" s="978"/>
      <c r="CVT109" s="978"/>
      <c r="CVU109" s="978"/>
      <c r="CVV109" s="978"/>
      <c r="CVW109" s="978"/>
      <c r="CVX109" s="978"/>
      <c r="CVY109" s="978"/>
      <c r="CVZ109" s="978"/>
      <c r="CWA109" s="978"/>
      <c r="CWB109" s="978"/>
      <c r="CWC109" s="978"/>
      <c r="CWD109" s="978"/>
      <c r="CWE109" s="978"/>
      <c r="CWF109" s="978"/>
      <c r="CWG109" s="978"/>
      <c r="CWH109" s="978"/>
      <c r="CWI109" s="978"/>
      <c r="CWJ109" s="978"/>
      <c r="CWK109" s="978"/>
      <c r="CWL109" s="978"/>
      <c r="CWM109" s="978"/>
      <c r="CWN109" s="978"/>
      <c r="CWO109" s="978"/>
      <c r="CWP109" s="978"/>
      <c r="CWQ109" s="978"/>
      <c r="CWR109" s="978"/>
      <c r="CWS109" s="978"/>
      <c r="CWT109" s="978"/>
      <c r="CWU109" s="978"/>
      <c r="CWV109" s="978"/>
      <c r="CWW109" s="978"/>
      <c r="CWX109" s="978"/>
      <c r="CWY109" s="978"/>
      <c r="CWZ109" s="978"/>
      <c r="CXA109" s="978"/>
      <c r="CXB109" s="978"/>
      <c r="CXC109" s="978"/>
      <c r="CXD109" s="978"/>
      <c r="CXE109" s="978"/>
      <c r="CXF109" s="978"/>
      <c r="CXG109" s="978"/>
      <c r="CXH109" s="978"/>
      <c r="CXI109" s="978"/>
      <c r="CXJ109" s="978"/>
      <c r="CXK109" s="978"/>
      <c r="CXL109" s="978"/>
      <c r="CXM109" s="978"/>
      <c r="CXN109" s="978"/>
      <c r="CXO109" s="978"/>
      <c r="CXP109" s="978"/>
      <c r="CXQ109" s="978"/>
      <c r="CXR109" s="978"/>
      <c r="CXS109" s="978"/>
      <c r="CXT109" s="978"/>
      <c r="CXU109" s="978"/>
      <c r="CXV109" s="978"/>
      <c r="CXW109" s="978"/>
      <c r="CXX109" s="978"/>
      <c r="CXY109" s="978"/>
      <c r="CXZ109" s="978"/>
      <c r="CYA109" s="978"/>
      <c r="CYB109" s="978"/>
      <c r="CYC109" s="978"/>
      <c r="CYD109" s="978"/>
      <c r="CYE109" s="978"/>
      <c r="CYF109" s="978"/>
      <c r="CYG109" s="978"/>
      <c r="CYH109" s="978"/>
      <c r="CYI109" s="978"/>
      <c r="CYJ109" s="978"/>
      <c r="CYK109" s="978"/>
      <c r="CYL109" s="978"/>
      <c r="CYM109" s="978"/>
      <c r="CYN109" s="978"/>
      <c r="CYO109" s="978"/>
      <c r="CYP109" s="978"/>
      <c r="CYQ109" s="978"/>
      <c r="CYR109" s="978"/>
      <c r="CYS109" s="978"/>
      <c r="CYT109" s="978"/>
      <c r="CYU109" s="978"/>
      <c r="CYV109" s="978"/>
      <c r="CYW109" s="978"/>
      <c r="CYX109" s="978"/>
      <c r="CYY109" s="978"/>
      <c r="CYZ109" s="978"/>
      <c r="CZA109" s="978"/>
      <c r="CZB109" s="978"/>
      <c r="CZC109" s="978"/>
      <c r="CZD109" s="978"/>
      <c r="CZE109" s="978"/>
      <c r="CZF109" s="978"/>
      <c r="CZG109" s="978"/>
      <c r="CZH109" s="978"/>
      <c r="CZI109" s="978"/>
      <c r="CZJ109" s="978"/>
      <c r="CZK109" s="978"/>
      <c r="CZL109" s="978"/>
      <c r="CZM109" s="978"/>
      <c r="CZN109" s="978"/>
      <c r="CZO109" s="978"/>
      <c r="CZP109" s="978"/>
      <c r="CZQ109" s="978"/>
      <c r="CZR109" s="978"/>
      <c r="CZS109" s="978"/>
      <c r="CZT109" s="978"/>
      <c r="CZU109" s="978"/>
      <c r="CZV109" s="978"/>
      <c r="CZW109" s="978"/>
      <c r="CZX109" s="978"/>
      <c r="CZY109" s="978"/>
      <c r="CZZ109" s="978"/>
      <c r="DAA109" s="978"/>
      <c r="DAB109" s="978"/>
      <c r="DAC109" s="978"/>
      <c r="DAD109" s="978"/>
      <c r="DAE109" s="978"/>
      <c r="DAF109" s="978"/>
      <c r="DAG109" s="978"/>
      <c r="DAH109" s="978"/>
      <c r="DAI109" s="978"/>
      <c r="DAJ109" s="978"/>
      <c r="DAK109" s="978"/>
      <c r="DAL109" s="978"/>
      <c r="DAM109" s="978"/>
      <c r="DAN109" s="978"/>
      <c r="DAO109" s="978"/>
      <c r="DAP109" s="978"/>
      <c r="DAQ109" s="978"/>
      <c r="DAR109" s="978"/>
      <c r="DAS109" s="978"/>
      <c r="DAT109" s="978"/>
      <c r="DAU109" s="978"/>
      <c r="DAV109" s="978"/>
      <c r="DAW109" s="978"/>
      <c r="DAX109" s="978"/>
      <c r="DAY109" s="978"/>
      <c r="DAZ109" s="978"/>
      <c r="DBA109" s="978"/>
      <c r="DBB109" s="978"/>
      <c r="DBC109" s="978"/>
      <c r="DBD109" s="978"/>
      <c r="DBE109" s="978"/>
      <c r="DBF109" s="978"/>
      <c r="DBG109" s="978"/>
      <c r="DBH109" s="978"/>
      <c r="DBI109" s="978"/>
      <c r="DBJ109" s="978"/>
      <c r="DBK109" s="978"/>
      <c r="DBL109" s="978"/>
      <c r="DBM109" s="978"/>
      <c r="DBN109" s="978"/>
      <c r="DBO109" s="978"/>
      <c r="DBP109" s="978"/>
      <c r="DBQ109" s="978"/>
      <c r="DBR109" s="978"/>
      <c r="DBS109" s="978"/>
      <c r="DBT109" s="978"/>
      <c r="DBU109" s="978"/>
      <c r="DBV109" s="978"/>
      <c r="DBW109" s="978"/>
      <c r="DBX109" s="978"/>
      <c r="DBY109" s="978"/>
      <c r="DBZ109" s="978"/>
      <c r="DCA109" s="978"/>
      <c r="DCB109" s="978"/>
      <c r="DCC109" s="978"/>
      <c r="DCD109" s="978"/>
      <c r="DCE109" s="978"/>
      <c r="DCF109" s="978"/>
      <c r="DCG109" s="978"/>
      <c r="DCH109" s="978"/>
      <c r="DCI109" s="978"/>
      <c r="DCJ109" s="978"/>
      <c r="DCK109" s="978"/>
      <c r="DCL109" s="978"/>
      <c r="DCM109" s="978"/>
      <c r="DCN109" s="978"/>
      <c r="DCO109" s="978"/>
      <c r="DCP109" s="978"/>
      <c r="DCQ109" s="978"/>
      <c r="DCR109" s="978"/>
      <c r="DCS109" s="978"/>
      <c r="DCT109" s="978"/>
      <c r="DCU109" s="978"/>
      <c r="DCV109" s="978"/>
      <c r="DCW109" s="978"/>
      <c r="DCX109" s="978"/>
      <c r="DCY109" s="978"/>
      <c r="DCZ109" s="978"/>
      <c r="DDA109" s="978"/>
      <c r="DDB109" s="978"/>
      <c r="DDC109" s="978"/>
      <c r="DDD109" s="978"/>
      <c r="DDE109" s="978"/>
      <c r="DDF109" s="978"/>
      <c r="DDG109" s="978"/>
      <c r="DDH109" s="978"/>
      <c r="DDI109" s="978"/>
      <c r="DDJ109" s="978"/>
      <c r="DDK109" s="978"/>
      <c r="DDL109" s="978"/>
      <c r="DDM109" s="978"/>
      <c r="DDN109" s="978"/>
      <c r="DDO109" s="978"/>
      <c r="DDP109" s="978"/>
      <c r="DDQ109" s="978"/>
      <c r="DDR109" s="978"/>
      <c r="DDS109" s="978"/>
      <c r="DDT109" s="978"/>
      <c r="DDU109" s="978"/>
      <c r="DDV109" s="978"/>
      <c r="DDW109" s="978"/>
      <c r="DDX109" s="978"/>
      <c r="DDY109" s="978"/>
      <c r="DDZ109" s="978"/>
      <c r="DEA109" s="978"/>
      <c r="DEB109" s="978"/>
      <c r="DEC109" s="978"/>
      <c r="DED109" s="978"/>
      <c r="DEE109" s="978"/>
      <c r="DEF109" s="978"/>
      <c r="DEG109" s="978"/>
      <c r="DEH109" s="978"/>
      <c r="DEI109" s="978"/>
      <c r="DEJ109" s="978"/>
      <c r="DEK109" s="978"/>
      <c r="DEL109" s="978"/>
      <c r="DEM109" s="978"/>
      <c r="DEN109" s="978"/>
      <c r="DEO109" s="978"/>
      <c r="DEP109" s="978"/>
      <c r="DEQ109" s="978"/>
      <c r="DER109" s="978"/>
      <c r="DES109" s="978"/>
      <c r="DET109" s="978"/>
      <c r="DEU109" s="978"/>
      <c r="DEV109" s="978"/>
      <c r="DEW109" s="978"/>
      <c r="DEX109" s="978"/>
      <c r="DEY109" s="978"/>
      <c r="DEZ109" s="978"/>
      <c r="DFA109" s="978"/>
      <c r="DFB109" s="978"/>
      <c r="DFC109" s="978"/>
      <c r="DFD109" s="978"/>
      <c r="DFE109" s="978"/>
      <c r="DFF109" s="978"/>
      <c r="DFG109" s="978"/>
      <c r="DFH109" s="978"/>
      <c r="DFI109" s="978"/>
      <c r="DFJ109" s="978"/>
      <c r="DFK109" s="978"/>
      <c r="DFL109" s="978"/>
      <c r="DFM109" s="978"/>
      <c r="DFN109" s="978"/>
      <c r="DFO109" s="978"/>
      <c r="DFP109" s="978"/>
      <c r="DFQ109" s="978"/>
      <c r="DFR109" s="978"/>
      <c r="DFS109" s="978"/>
      <c r="DFT109" s="978"/>
      <c r="DFU109" s="978"/>
      <c r="DFV109" s="978"/>
      <c r="DFW109" s="978"/>
      <c r="DFX109" s="978"/>
      <c r="DFY109" s="978"/>
      <c r="DFZ109" s="978"/>
      <c r="DGA109" s="978"/>
      <c r="DGB109" s="978"/>
      <c r="DGC109" s="978"/>
      <c r="DGD109" s="978"/>
      <c r="DGE109" s="978"/>
      <c r="DGF109" s="978"/>
      <c r="DGG109" s="978"/>
      <c r="DGH109" s="978"/>
      <c r="DGI109" s="978"/>
      <c r="DGJ109" s="978"/>
      <c r="DGK109" s="978"/>
      <c r="DGL109" s="978"/>
      <c r="DGM109" s="978"/>
      <c r="DGN109" s="978"/>
      <c r="DGO109" s="978"/>
      <c r="DGP109" s="978"/>
      <c r="DGQ109" s="978"/>
      <c r="DGR109" s="978"/>
      <c r="DGS109" s="978"/>
      <c r="DGT109" s="978"/>
      <c r="DGU109" s="978"/>
      <c r="DGV109" s="978"/>
      <c r="DGW109" s="978"/>
      <c r="DGX109" s="978"/>
      <c r="DGY109" s="978"/>
      <c r="DGZ109" s="978"/>
      <c r="DHA109" s="978"/>
      <c r="DHB109" s="978"/>
      <c r="DHC109" s="978"/>
      <c r="DHD109" s="978"/>
      <c r="DHE109" s="978"/>
      <c r="DHF109" s="978"/>
      <c r="DHG109" s="978"/>
      <c r="DHH109" s="978"/>
      <c r="DHI109" s="978"/>
      <c r="DHJ109" s="978"/>
      <c r="DHK109" s="978"/>
      <c r="DHL109" s="978"/>
      <c r="DHM109" s="978"/>
      <c r="DHN109" s="978"/>
      <c r="DHO109" s="978"/>
      <c r="DHP109" s="978"/>
      <c r="DHQ109" s="978"/>
      <c r="DHR109" s="978"/>
      <c r="DHS109" s="978"/>
      <c r="DHT109" s="978"/>
      <c r="DHU109" s="978"/>
      <c r="DHV109" s="978"/>
      <c r="DHW109" s="978"/>
      <c r="DHX109" s="978"/>
      <c r="DHY109" s="978"/>
      <c r="DHZ109" s="978"/>
      <c r="DIA109" s="978"/>
      <c r="DIB109" s="978"/>
      <c r="DIC109" s="978"/>
      <c r="DID109" s="978"/>
      <c r="DIE109" s="978"/>
      <c r="DIF109" s="978"/>
      <c r="DIG109" s="978"/>
      <c r="DIH109" s="978"/>
      <c r="DII109" s="978"/>
      <c r="DIJ109" s="978"/>
      <c r="DIK109" s="978"/>
      <c r="DIL109" s="978"/>
      <c r="DIM109" s="978"/>
      <c r="DIN109" s="978"/>
      <c r="DIO109" s="978"/>
      <c r="DIP109" s="978"/>
      <c r="DIQ109" s="978"/>
      <c r="DIR109" s="978"/>
      <c r="DIS109" s="978"/>
      <c r="DIT109" s="978"/>
      <c r="DIU109" s="978"/>
      <c r="DIV109" s="978"/>
      <c r="DIW109" s="978"/>
      <c r="DIX109" s="978"/>
      <c r="DIY109" s="978"/>
      <c r="DIZ109" s="978"/>
      <c r="DJA109" s="978"/>
      <c r="DJB109" s="978"/>
      <c r="DJC109" s="978"/>
      <c r="DJD109" s="978"/>
      <c r="DJE109" s="978"/>
      <c r="DJF109" s="978"/>
      <c r="DJG109" s="978"/>
      <c r="DJH109" s="978"/>
      <c r="DJI109" s="978"/>
      <c r="DJJ109" s="978"/>
      <c r="DJK109" s="978"/>
      <c r="DJL109" s="978"/>
      <c r="DJM109" s="978"/>
      <c r="DJN109" s="978"/>
      <c r="DJO109" s="978"/>
      <c r="DJP109" s="978"/>
      <c r="DJQ109" s="978"/>
      <c r="DJR109" s="978"/>
      <c r="DJS109" s="978"/>
      <c r="DJT109" s="978"/>
      <c r="DJU109" s="978"/>
      <c r="DJV109" s="978"/>
      <c r="DJW109" s="978"/>
      <c r="DJX109" s="978"/>
      <c r="DJY109" s="978"/>
      <c r="DJZ109" s="978"/>
      <c r="DKA109" s="978"/>
      <c r="DKB109" s="978"/>
      <c r="DKC109" s="978"/>
      <c r="DKD109" s="978"/>
      <c r="DKE109" s="978"/>
      <c r="DKF109" s="978"/>
      <c r="DKG109" s="978"/>
      <c r="DKH109" s="978"/>
      <c r="DKI109" s="978"/>
      <c r="DKJ109" s="978"/>
      <c r="DKK109" s="978"/>
      <c r="DKL109" s="978"/>
      <c r="DKM109" s="978"/>
      <c r="DKN109" s="978"/>
      <c r="DKO109" s="978"/>
      <c r="DKP109" s="978"/>
      <c r="DKQ109" s="978"/>
      <c r="DKR109" s="978"/>
      <c r="DKS109" s="978"/>
      <c r="DKT109" s="978"/>
      <c r="DKU109" s="978"/>
      <c r="DKV109" s="978"/>
      <c r="DKW109" s="978"/>
      <c r="DKX109" s="978"/>
      <c r="DKY109" s="978"/>
      <c r="DKZ109" s="978"/>
      <c r="DLA109" s="978"/>
      <c r="DLB109" s="978"/>
      <c r="DLC109" s="978"/>
      <c r="DLD109" s="978"/>
      <c r="DLE109" s="978"/>
      <c r="DLF109" s="978"/>
      <c r="DLG109" s="978"/>
      <c r="DLH109" s="978"/>
      <c r="DLI109" s="978"/>
      <c r="DLJ109" s="978"/>
      <c r="DLK109" s="978"/>
      <c r="DLL109" s="978"/>
      <c r="DLM109" s="978"/>
      <c r="DLN109" s="978"/>
      <c r="DLO109" s="978"/>
      <c r="DLP109" s="978"/>
      <c r="DLQ109" s="978"/>
      <c r="DLR109" s="978"/>
      <c r="DLS109" s="978"/>
      <c r="DLT109" s="978"/>
      <c r="DLU109" s="978"/>
      <c r="DLV109" s="978"/>
      <c r="DLW109" s="978"/>
      <c r="DLX109" s="978"/>
      <c r="DLY109" s="978"/>
      <c r="DLZ109" s="978"/>
      <c r="DMA109" s="978"/>
      <c r="DMB109" s="978"/>
      <c r="DMC109" s="978"/>
      <c r="DMD109" s="978"/>
      <c r="DME109" s="978"/>
      <c r="DMF109" s="978"/>
      <c r="DMG109" s="978"/>
      <c r="DMH109" s="978"/>
      <c r="DMI109" s="978"/>
      <c r="DMJ109" s="978"/>
      <c r="DMK109" s="978"/>
      <c r="DML109" s="978"/>
      <c r="DMM109" s="978"/>
      <c r="DMN109" s="978"/>
      <c r="DMO109" s="978"/>
      <c r="DMP109" s="978"/>
      <c r="DMQ109" s="978"/>
      <c r="DMR109" s="978"/>
      <c r="DMS109" s="978"/>
      <c r="DMT109" s="978"/>
      <c r="DMU109" s="978"/>
      <c r="DMV109" s="978"/>
      <c r="DMW109" s="978"/>
      <c r="DMX109" s="978"/>
      <c r="DMY109" s="978"/>
      <c r="DMZ109" s="978"/>
      <c r="DNA109" s="978"/>
      <c r="DNB109" s="978"/>
      <c r="DNC109" s="978"/>
      <c r="DND109" s="978"/>
      <c r="DNE109" s="978"/>
      <c r="DNF109" s="978"/>
      <c r="DNG109" s="978"/>
      <c r="DNH109" s="978"/>
      <c r="DNI109" s="978"/>
      <c r="DNJ109" s="978"/>
      <c r="DNK109" s="978"/>
      <c r="DNL109" s="978"/>
      <c r="DNM109" s="978"/>
      <c r="DNN109" s="978"/>
      <c r="DNO109" s="978"/>
      <c r="DNP109" s="978"/>
      <c r="DNQ109" s="978"/>
      <c r="DNR109" s="978"/>
      <c r="DNS109" s="978"/>
      <c r="DNT109" s="978"/>
      <c r="DNU109" s="978"/>
      <c r="DNV109" s="978"/>
      <c r="DNW109" s="978"/>
      <c r="DNX109" s="978"/>
      <c r="DNY109" s="978"/>
      <c r="DNZ109" s="978"/>
      <c r="DOA109" s="978"/>
      <c r="DOB109" s="978"/>
      <c r="DOC109" s="978"/>
      <c r="DOD109" s="978"/>
      <c r="DOE109" s="978"/>
      <c r="DOF109" s="978"/>
      <c r="DOG109" s="978"/>
      <c r="DOH109" s="978"/>
      <c r="DOI109" s="978"/>
      <c r="DOJ109" s="978"/>
      <c r="DOK109" s="978"/>
      <c r="DOL109" s="978"/>
      <c r="DOM109" s="978"/>
      <c r="DON109" s="978"/>
      <c r="DOO109" s="978"/>
      <c r="DOP109" s="978"/>
      <c r="DOQ109" s="978"/>
      <c r="DOR109" s="978"/>
      <c r="DOS109" s="978"/>
      <c r="DOT109" s="978"/>
      <c r="DOU109" s="978"/>
      <c r="DOV109" s="978"/>
      <c r="DOW109" s="978"/>
      <c r="DOX109" s="978"/>
      <c r="DOY109" s="978"/>
      <c r="DOZ109" s="978"/>
      <c r="DPA109" s="978"/>
      <c r="DPB109" s="978"/>
      <c r="DPC109" s="978"/>
      <c r="DPD109" s="978"/>
      <c r="DPE109" s="978"/>
      <c r="DPF109" s="978"/>
      <c r="DPG109" s="978"/>
      <c r="DPH109" s="978"/>
      <c r="DPI109" s="978"/>
      <c r="DPJ109" s="978"/>
      <c r="DPK109" s="978"/>
      <c r="DPL109" s="978"/>
      <c r="DPM109" s="978"/>
      <c r="DPN109" s="978"/>
      <c r="DPO109" s="978"/>
      <c r="DPP109" s="978"/>
      <c r="DPQ109" s="978"/>
      <c r="DPR109" s="978"/>
      <c r="DPS109" s="978"/>
      <c r="DPT109" s="978"/>
      <c r="DPU109" s="978"/>
      <c r="DPV109" s="978"/>
      <c r="DPW109" s="978"/>
      <c r="DPX109" s="978"/>
      <c r="DPY109" s="978"/>
      <c r="DPZ109" s="978"/>
      <c r="DQA109" s="978"/>
      <c r="DQB109" s="978"/>
      <c r="DQC109" s="978"/>
      <c r="DQD109" s="978"/>
      <c r="DQE109" s="978"/>
      <c r="DQF109" s="978"/>
      <c r="DQG109" s="978"/>
      <c r="DQH109" s="978"/>
      <c r="DQI109" s="978"/>
      <c r="DQJ109" s="978"/>
      <c r="DQK109" s="978"/>
      <c r="DQL109" s="978"/>
      <c r="DQM109" s="978"/>
      <c r="DQN109" s="978"/>
      <c r="DQO109" s="978"/>
      <c r="DQP109" s="978"/>
      <c r="DQQ109" s="978"/>
      <c r="DQR109" s="978"/>
      <c r="DQS109" s="978"/>
      <c r="DQT109" s="978"/>
      <c r="DQU109" s="978"/>
      <c r="DQV109" s="978"/>
      <c r="DQW109" s="978"/>
      <c r="DQX109" s="978"/>
      <c r="DQY109" s="978"/>
      <c r="DQZ109" s="978"/>
      <c r="DRA109" s="978"/>
      <c r="DRB109" s="978"/>
      <c r="DRC109" s="978"/>
      <c r="DRD109" s="978"/>
      <c r="DRE109" s="978"/>
      <c r="DRF109" s="978"/>
      <c r="DRG109" s="978"/>
      <c r="DRH109" s="978"/>
      <c r="DRI109" s="978"/>
      <c r="DRJ109" s="978"/>
      <c r="DRK109" s="978"/>
      <c r="DRL109" s="978"/>
      <c r="DRM109" s="978"/>
      <c r="DRN109" s="978"/>
      <c r="DRO109" s="978"/>
      <c r="DRP109" s="978"/>
      <c r="DRQ109" s="978"/>
      <c r="DRR109" s="978"/>
      <c r="DRS109" s="978"/>
      <c r="DRT109" s="978"/>
      <c r="DRU109" s="978"/>
      <c r="DRV109" s="978"/>
      <c r="DRW109" s="978"/>
      <c r="DRX109" s="978"/>
      <c r="DRY109" s="978"/>
      <c r="DRZ109" s="978"/>
      <c r="DSA109" s="978"/>
      <c r="DSB109" s="978"/>
      <c r="DSC109" s="978"/>
      <c r="DSD109" s="978"/>
      <c r="DSE109" s="978"/>
      <c r="DSF109" s="978"/>
      <c r="DSG109" s="978"/>
      <c r="DSH109" s="978"/>
      <c r="DSI109" s="978"/>
      <c r="DSJ109" s="978"/>
      <c r="DSK109" s="978"/>
      <c r="DSL109" s="978"/>
      <c r="DSM109" s="978"/>
      <c r="DSN109" s="978"/>
      <c r="DSO109" s="978"/>
      <c r="DSP109" s="978"/>
      <c r="DSQ109" s="978"/>
      <c r="DSR109" s="978"/>
      <c r="DSS109" s="978"/>
      <c r="DST109" s="978"/>
      <c r="DSU109" s="978"/>
      <c r="DSV109" s="978"/>
      <c r="DSW109" s="978"/>
      <c r="DSX109" s="978"/>
      <c r="DSY109" s="978"/>
      <c r="DSZ109" s="978"/>
      <c r="DTA109" s="978"/>
      <c r="DTB109" s="978"/>
      <c r="DTC109" s="978"/>
      <c r="DTD109" s="978"/>
      <c r="DTE109" s="978"/>
      <c r="DTF109" s="978"/>
      <c r="DTG109" s="978"/>
      <c r="DTH109" s="978"/>
      <c r="DTI109" s="978"/>
      <c r="DTJ109" s="978"/>
      <c r="DTK109" s="978"/>
      <c r="DTL109" s="978"/>
      <c r="DTM109" s="978"/>
      <c r="DTN109" s="978"/>
      <c r="DTO109" s="978"/>
      <c r="DTP109" s="978"/>
      <c r="DTQ109" s="978"/>
      <c r="DTR109" s="978"/>
      <c r="DTS109" s="978"/>
      <c r="DTT109" s="978"/>
      <c r="DTU109" s="978"/>
      <c r="DTV109" s="978"/>
      <c r="DTW109" s="978"/>
      <c r="DTX109" s="978"/>
      <c r="DTY109" s="978"/>
      <c r="DTZ109" s="978"/>
      <c r="DUA109" s="978"/>
      <c r="DUB109" s="978"/>
      <c r="DUC109" s="978"/>
      <c r="DUD109" s="978"/>
      <c r="DUE109" s="978"/>
      <c r="DUF109" s="978"/>
      <c r="DUG109" s="978"/>
      <c r="DUH109" s="978"/>
      <c r="DUI109" s="978"/>
      <c r="DUJ109" s="978"/>
      <c r="DUK109" s="978"/>
      <c r="DUL109" s="978"/>
      <c r="DUM109" s="978"/>
      <c r="DUN109" s="978"/>
      <c r="DUO109" s="978"/>
      <c r="DUP109" s="978"/>
      <c r="DUQ109" s="978"/>
      <c r="DUR109" s="978"/>
      <c r="DUS109" s="978"/>
      <c r="DUT109" s="978"/>
      <c r="DUU109" s="978"/>
      <c r="DUV109" s="978"/>
      <c r="DUW109" s="978"/>
      <c r="DUX109" s="978"/>
      <c r="DUY109" s="978"/>
      <c r="DUZ109" s="978"/>
      <c r="DVA109" s="978"/>
      <c r="DVB109" s="978"/>
      <c r="DVC109" s="978"/>
      <c r="DVD109" s="978"/>
      <c r="DVE109" s="978"/>
      <c r="DVF109" s="978"/>
      <c r="DVG109" s="978"/>
      <c r="DVH109" s="978"/>
      <c r="DVI109" s="978"/>
      <c r="DVJ109" s="978"/>
      <c r="DVK109" s="978"/>
      <c r="DVL109" s="978"/>
      <c r="DVM109" s="978"/>
      <c r="DVN109" s="978"/>
      <c r="DVO109" s="978"/>
      <c r="DVP109" s="978"/>
      <c r="DVQ109" s="978"/>
      <c r="DVR109" s="978"/>
      <c r="DVS109" s="978"/>
      <c r="DVT109" s="978"/>
      <c r="DVU109" s="978"/>
      <c r="DVV109" s="978"/>
      <c r="DVW109" s="978"/>
      <c r="DVX109" s="978"/>
      <c r="DVY109" s="978"/>
      <c r="DVZ109" s="978"/>
      <c r="DWA109" s="978"/>
      <c r="DWB109" s="978"/>
      <c r="DWC109" s="978"/>
      <c r="DWD109" s="978"/>
      <c r="DWE109" s="978"/>
      <c r="DWF109" s="978"/>
      <c r="DWG109" s="978"/>
      <c r="DWH109" s="978"/>
      <c r="DWI109" s="978"/>
      <c r="DWJ109" s="978"/>
      <c r="DWK109" s="978"/>
      <c r="DWL109" s="978"/>
      <c r="DWM109" s="978"/>
      <c r="DWN109" s="978"/>
      <c r="DWO109" s="978"/>
      <c r="DWP109" s="978"/>
      <c r="DWQ109" s="978"/>
      <c r="DWR109" s="978"/>
      <c r="DWS109" s="978"/>
      <c r="DWT109" s="978"/>
      <c r="DWU109" s="978"/>
      <c r="DWV109" s="978"/>
      <c r="DWW109" s="978"/>
      <c r="DWX109" s="978"/>
      <c r="DWY109" s="978"/>
      <c r="DWZ109" s="978"/>
      <c r="DXA109" s="978"/>
      <c r="DXB109" s="978"/>
      <c r="DXC109" s="978"/>
      <c r="DXD109" s="978"/>
      <c r="DXE109" s="978"/>
      <c r="DXF109" s="978"/>
      <c r="DXG109" s="978"/>
      <c r="DXH109" s="978"/>
      <c r="DXI109" s="978"/>
      <c r="DXJ109" s="978"/>
      <c r="DXK109" s="978"/>
      <c r="DXL109" s="978"/>
      <c r="DXM109" s="978"/>
      <c r="DXN109" s="978"/>
      <c r="DXO109" s="978"/>
      <c r="DXP109" s="978"/>
      <c r="DXQ109" s="978"/>
      <c r="DXR109" s="978"/>
      <c r="DXS109" s="978"/>
      <c r="DXT109" s="978"/>
      <c r="DXU109" s="978"/>
      <c r="DXV109" s="978"/>
      <c r="DXW109" s="978"/>
      <c r="DXX109" s="978"/>
      <c r="DXY109" s="978"/>
      <c r="DXZ109" s="978"/>
      <c r="DYA109" s="978"/>
      <c r="DYB109" s="978"/>
      <c r="DYC109" s="978"/>
      <c r="DYD109" s="978"/>
      <c r="DYE109" s="978"/>
      <c r="DYF109" s="978"/>
      <c r="DYG109" s="978"/>
      <c r="DYH109" s="978"/>
      <c r="DYI109" s="978"/>
      <c r="DYJ109" s="978"/>
      <c r="DYK109" s="978"/>
      <c r="DYL109" s="978"/>
      <c r="DYM109" s="978"/>
      <c r="DYN109" s="978"/>
      <c r="DYO109" s="978"/>
      <c r="DYP109" s="978"/>
      <c r="DYQ109" s="978"/>
      <c r="DYR109" s="978"/>
      <c r="DYS109" s="978"/>
      <c r="DYT109" s="978"/>
      <c r="DYU109" s="978"/>
      <c r="DYV109" s="978"/>
      <c r="DYW109" s="978"/>
      <c r="DYX109" s="978"/>
      <c r="DYY109" s="978"/>
      <c r="DYZ109" s="978"/>
      <c r="DZA109" s="978"/>
      <c r="DZB109" s="978"/>
      <c r="DZC109" s="978"/>
      <c r="DZD109" s="978"/>
      <c r="DZE109" s="978"/>
      <c r="DZF109" s="978"/>
      <c r="DZG109" s="978"/>
      <c r="DZH109" s="978"/>
      <c r="DZI109" s="978"/>
      <c r="DZJ109" s="978"/>
      <c r="DZK109" s="978"/>
      <c r="DZL109" s="978"/>
      <c r="DZM109" s="978"/>
      <c r="DZN109" s="978"/>
      <c r="DZO109" s="978"/>
      <c r="DZP109" s="978"/>
      <c r="DZQ109" s="978"/>
      <c r="DZR109" s="978"/>
      <c r="DZS109" s="978"/>
      <c r="DZT109" s="978"/>
      <c r="DZU109" s="978"/>
      <c r="DZV109" s="978"/>
      <c r="DZW109" s="978"/>
      <c r="DZX109" s="978"/>
      <c r="DZY109" s="978"/>
      <c r="DZZ109" s="978"/>
      <c r="EAA109" s="978"/>
      <c r="EAB109" s="978"/>
      <c r="EAC109" s="978"/>
      <c r="EAD109" s="978"/>
      <c r="EAE109" s="978"/>
      <c r="EAF109" s="978"/>
      <c r="EAG109" s="978"/>
      <c r="EAH109" s="978"/>
      <c r="EAI109" s="978"/>
      <c r="EAJ109" s="978"/>
      <c r="EAK109" s="978"/>
      <c r="EAL109" s="978"/>
      <c r="EAM109" s="978"/>
      <c r="EAN109" s="978"/>
      <c r="EAO109" s="978"/>
      <c r="EAP109" s="978"/>
      <c r="EAQ109" s="978"/>
      <c r="EAR109" s="978"/>
      <c r="EAS109" s="978"/>
      <c r="EAT109" s="978"/>
      <c r="EAU109" s="978"/>
      <c r="EAV109" s="978"/>
      <c r="EAW109" s="978"/>
      <c r="EAX109" s="978"/>
      <c r="EAY109" s="978"/>
      <c r="EAZ109" s="978"/>
      <c r="EBA109" s="978"/>
      <c r="EBB109" s="978"/>
      <c r="EBC109" s="978"/>
      <c r="EBD109" s="978"/>
      <c r="EBE109" s="978"/>
      <c r="EBF109" s="978"/>
      <c r="EBG109" s="978"/>
      <c r="EBH109" s="978"/>
      <c r="EBI109" s="978"/>
      <c r="EBJ109" s="978"/>
      <c r="EBK109" s="978"/>
      <c r="EBL109" s="978"/>
      <c r="EBM109" s="978"/>
      <c r="EBN109" s="978"/>
      <c r="EBO109" s="978"/>
      <c r="EBP109" s="978"/>
      <c r="EBQ109" s="978"/>
      <c r="EBR109" s="978"/>
      <c r="EBS109" s="978"/>
      <c r="EBT109" s="978"/>
      <c r="EBU109" s="978"/>
      <c r="EBV109" s="978"/>
      <c r="EBW109" s="978"/>
      <c r="EBX109" s="978"/>
      <c r="EBY109" s="978"/>
      <c r="EBZ109" s="978"/>
      <c r="ECA109" s="978"/>
      <c r="ECB109" s="978"/>
      <c r="ECC109" s="978"/>
      <c r="ECD109" s="978"/>
      <c r="ECE109" s="978"/>
      <c r="ECF109" s="978"/>
      <c r="ECG109" s="978"/>
      <c r="ECH109" s="978"/>
      <c r="ECI109" s="978"/>
      <c r="ECJ109" s="978"/>
      <c r="ECK109" s="978"/>
      <c r="ECL109" s="978"/>
      <c r="ECM109" s="978"/>
      <c r="ECN109" s="978"/>
      <c r="ECO109" s="978"/>
      <c r="ECP109" s="978"/>
      <c r="ECQ109" s="978"/>
      <c r="ECR109" s="978"/>
      <c r="ECS109" s="978"/>
      <c r="ECT109" s="978"/>
      <c r="ECU109" s="978"/>
      <c r="ECV109" s="978"/>
      <c r="ECW109" s="978"/>
      <c r="ECX109" s="978"/>
      <c r="ECY109" s="978"/>
      <c r="ECZ109" s="978"/>
      <c r="EDA109" s="978"/>
      <c r="EDB109" s="978"/>
      <c r="EDC109" s="978"/>
      <c r="EDD109" s="978"/>
      <c r="EDE109" s="978"/>
      <c r="EDF109" s="978"/>
      <c r="EDG109" s="978"/>
      <c r="EDH109" s="978"/>
      <c r="EDI109" s="978"/>
      <c r="EDJ109" s="978"/>
      <c r="EDK109" s="978"/>
      <c r="EDL109" s="978"/>
      <c r="EDM109" s="978"/>
      <c r="EDN109" s="978"/>
      <c r="EDO109" s="978"/>
      <c r="EDP109" s="978"/>
      <c r="EDQ109" s="978"/>
      <c r="EDR109" s="978"/>
      <c r="EDS109" s="978"/>
      <c r="EDT109" s="978"/>
      <c r="EDU109" s="978"/>
      <c r="EDV109" s="978"/>
      <c r="EDW109" s="978"/>
      <c r="EDX109" s="978"/>
      <c r="EDY109" s="978"/>
      <c r="EDZ109" s="978"/>
      <c r="EEA109" s="978"/>
      <c r="EEB109" s="978"/>
      <c r="EEC109" s="978"/>
      <c r="EED109" s="978"/>
      <c r="EEE109" s="978"/>
      <c r="EEF109" s="978"/>
      <c r="EEG109" s="978"/>
      <c r="EEH109" s="978"/>
      <c r="EEI109" s="978"/>
      <c r="EEJ109" s="978"/>
      <c r="EEK109" s="978"/>
      <c r="EEL109" s="978"/>
      <c r="EEM109" s="978"/>
      <c r="EEN109" s="978"/>
      <c r="EEO109" s="978"/>
      <c r="EEP109" s="978"/>
      <c r="EEQ109" s="978"/>
      <c r="EER109" s="978"/>
      <c r="EES109" s="978"/>
      <c r="EET109" s="978"/>
      <c r="EEU109" s="978"/>
      <c r="EEV109" s="978"/>
      <c r="EEW109" s="978"/>
      <c r="EEX109" s="978"/>
      <c r="EEY109" s="978"/>
      <c r="EEZ109" s="978"/>
      <c r="EFA109" s="978"/>
      <c r="EFB109" s="978"/>
      <c r="EFC109" s="978"/>
      <c r="EFD109" s="978"/>
      <c r="EFE109" s="978"/>
      <c r="EFF109" s="978"/>
      <c r="EFG109" s="978"/>
      <c r="EFH109" s="978"/>
      <c r="EFI109" s="978"/>
      <c r="EFJ109" s="978"/>
      <c r="EFK109" s="978"/>
      <c r="EFL109" s="978"/>
      <c r="EFM109" s="978"/>
      <c r="EFN109" s="978"/>
      <c r="EFO109" s="978"/>
      <c r="EFP109" s="978"/>
      <c r="EFQ109" s="978"/>
      <c r="EFR109" s="978"/>
      <c r="EFS109" s="978"/>
      <c r="EFT109" s="978"/>
      <c r="EFU109" s="978"/>
      <c r="EFV109" s="978"/>
      <c r="EFW109" s="978"/>
      <c r="EFX109" s="978"/>
      <c r="EFY109" s="978"/>
      <c r="EFZ109" s="978"/>
      <c r="EGA109" s="978"/>
      <c r="EGB109" s="978"/>
      <c r="EGC109" s="978"/>
      <c r="EGD109" s="978"/>
      <c r="EGE109" s="978"/>
      <c r="EGF109" s="978"/>
      <c r="EGG109" s="978"/>
      <c r="EGH109" s="978"/>
      <c r="EGI109" s="978"/>
      <c r="EGJ109" s="978"/>
      <c r="EGK109" s="978"/>
      <c r="EGL109" s="978"/>
      <c r="EGM109" s="978"/>
      <c r="EGN109" s="978"/>
      <c r="EGO109" s="978"/>
      <c r="EGP109" s="978"/>
      <c r="EGQ109" s="978"/>
      <c r="EGR109" s="978"/>
      <c r="EGS109" s="978"/>
      <c r="EGT109" s="978"/>
      <c r="EGU109" s="978"/>
      <c r="EGV109" s="978"/>
      <c r="EGW109" s="978"/>
      <c r="EGX109" s="978"/>
      <c r="EGY109" s="978"/>
      <c r="EGZ109" s="978"/>
      <c r="EHA109" s="978"/>
      <c r="EHB109" s="978"/>
      <c r="EHC109" s="978"/>
      <c r="EHD109" s="978"/>
      <c r="EHE109" s="978"/>
      <c r="EHF109" s="978"/>
      <c r="EHG109" s="978"/>
      <c r="EHH109" s="978"/>
      <c r="EHI109" s="978"/>
      <c r="EHJ109" s="978"/>
      <c r="EHK109" s="978"/>
      <c r="EHL109" s="978"/>
      <c r="EHM109" s="978"/>
      <c r="EHN109" s="978"/>
      <c r="EHO109" s="978"/>
      <c r="EHP109" s="978"/>
      <c r="EHQ109" s="978"/>
      <c r="EHR109" s="978"/>
      <c r="EHS109" s="978"/>
      <c r="EHT109" s="978"/>
      <c r="EHU109" s="978"/>
      <c r="EHV109" s="978"/>
      <c r="EHW109" s="978"/>
      <c r="EHX109" s="978"/>
      <c r="EHY109" s="978"/>
      <c r="EHZ109" s="978"/>
      <c r="EIA109" s="978"/>
      <c r="EIB109" s="978"/>
      <c r="EIC109" s="978"/>
      <c r="EID109" s="978"/>
      <c r="EIE109" s="978"/>
      <c r="EIF109" s="978"/>
      <c r="EIG109" s="978"/>
      <c r="EIH109" s="978"/>
      <c r="EII109" s="978"/>
      <c r="EIJ109" s="978"/>
      <c r="EIK109" s="978"/>
      <c r="EIL109" s="978"/>
      <c r="EIM109" s="978"/>
      <c r="EIN109" s="978"/>
      <c r="EIO109" s="978"/>
      <c r="EIP109" s="978"/>
      <c r="EIQ109" s="978"/>
      <c r="EIR109" s="978"/>
      <c r="EIS109" s="978"/>
      <c r="EIT109" s="978"/>
      <c r="EIU109" s="978"/>
      <c r="EIV109" s="978"/>
      <c r="EIW109" s="978"/>
      <c r="EIX109" s="978"/>
      <c r="EIY109" s="978"/>
      <c r="EIZ109" s="978"/>
      <c r="EJA109" s="978"/>
      <c r="EJB109" s="978"/>
      <c r="EJC109" s="978"/>
      <c r="EJD109" s="978"/>
      <c r="EJE109" s="978"/>
      <c r="EJF109" s="978"/>
      <c r="EJG109" s="978"/>
      <c r="EJH109" s="978"/>
      <c r="EJI109" s="978"/>
      <c r="EJJ109" s="978"/>
      <c r="EJK109" s="978"/>
      <c r="EJL109" s="978"/>
      <c r="EJM109" s="978"/>
      <c r="EJN109" s="978"/>
      <c r="EJO109" s="978"/>
      <c r="EJP109" s="978"/>
      <c r="EJQ109" s="978"/>
      <c r="EJR109" s="978"/>
      <c r="EJS109" s="978"/>
      <c r="EJT109" s="978"/>
      <c r="EJU109" s="978"/>
      <c r="EJV109" s="978"/>
      <c r="EJW109" s="978"/>
      <c r="EJX109" s="978"/>
      <c r="EJY109" s="978"/>
      <c r="EJZ109" s="978"/>
      <c r="EKA109" s="978"/>
      <c r="EKB109" s="978"/>
      <c r="EKC109" s="978"/>
      <c r="EKD109" s="978"/>
      <c r="EKE109" s="978"/>
      <c r="EKF109" s="978"/>
      <c r="EKG109" s="978"/>
      <c r="EKH109" s="978"/>
      <c r="EKI109" s="978"/>
      <c r="EKJ109" s="978"/>
      <c r="EKK109" s="978"/>
      <c r="EKL109" s="978"/>
      <c r="EKM109" s="978"/>
      <c r="EKN109" s="978"/>
      <c r="EKO109" s="978"/>
      <c r="EKP109" s="978"/>
      <c r="EKQ109" s="978"/>
      <c r="EKR109" s="978"/>
      <c r="EKS109" s="978"/>
      <c r="EKT109" s="978"/>
      <c r="EKU109" s="978"/>
      <c r="EKV109" s="978"/>
      <c r="EKW109" s="978"/>
      <c r="EKX109" s="978"/>
      <c r="EKY109" s="978"/>
      <c r="EKZ109" s="978"/>
      <c r="ELA109" s="978"/>
      <c r="ELB109" s="978"/>
      <c r="ELC109" s="978"/>
      <c r="ELD109" s="978"/>
      <c r="ELE109" s="978"/>
      <c r="ELF109" s="978"/>
      <c r="ELG109" s="978"/>
      <c r="ELH109" s="978"/>
      <c r="ELI109" s="978"/>
      <c r="ELJ109" s="978"/>
      <c r="ELK109" s="978"/>
      <c r="ELL109" s="978"/>
      <c r="ELM109" s="978"/>
      <c r="ELN109" s="978"/>
      <c r="ELO109" s="978"/>
      <c r="ELP109" s="978"/>
      <c r="ELQ109" s="978"/>
      <c r="ELR109" s="978"/>
      <c r="ELS109" s="978"/>
      <c r="ELT109" s="978"/>
      <c r="ELU109" s="978"/>
      <c r="ELV109" s="978"/>
      <c r="ELW109" s="978"/>
      <c r="ELX109" s="978"/>
      <c r="ELY109" s="978"/>
      <c r="ELZ109" s="978"/>
      <c r="EMA109" s="978"/>
      <c r="EMB109" s="978"/>
      <c r="EMC109" s="978"/>
      <c r="EMD109" s="978"/>
      <c r="EME109" s="978"/>
      <c r="EMF109" s="978"/>
      <c r="EMG109" s="978"/>
      <c r="EMH109" s="978"/>
      <c r="EMI109" s="978"/>
      <c r="EMJ109" s="978"/>
      <c r="EMK109" s="978"/>
      <c r="EML109" s="978"/>
      <c r="EMM109" s="978"/>
      <c r="EMN109" s="978"/>
      <c r="EMO109" s="978"/>
      <c r="EMP109" s="978"/>
      <c r="EMQ109" s="978"/>
      <c r="EMR109" s="978"/>
      <c r="EMS109" s="978"/>
      <c r="EMT109" s="978"/>
      <c r="EMU109" s="978"/>
      <c r="EMV109" s="978"/>
      <c r="EMW109" s="978"/>
      <c r="EMX109" s="978"/>
      <c r="EMY109" s="978"/>
      <c r="EMZ109" s="978"/>
      <c r="ENA109" s="978"/>
      <c r="ENB109" s="978"/>
      <c r="ENC109" s="978"/>
      <c r="END109" s="978"/>
      <c r="ENE109" s="978"/>
      <c r="ENF109" s="978"/>
      <c r="ENG109" s="978"/>
      <c r="ENH109" s="978"/>
      <c r="ENI109" s="978"/>
      <c r="ENJ109" s="978"/>
      <c r="ENK109" s="978"/>
      <c r="ENL109" s="978"/>
      <c r="ENM109" s="978"/>
      <c r="ENN109" s="978"/>
      <c r="ENO109" s="978"/>
      <c r="ENP109" s="978"/>
      <c r="ENQ109" s="978"/>
      <c r="ENR109" s="978"/>
      <c r="ENS109" s="978"/>
      <c r="ENT109" s="978"/>
      <c r="ENU109" s="978"/>
      <c r="ENV109" s="978"/>
      <c r="ENW109" s="978"/>
      <c r="ENX109" s="978"/>
      <c r="ENY109" s="978"/>
      <c r="ENZ109" s="978"/>
      <c r="EOA109" s="978"/>
      <c r="EOB109" s="978"/>
      <c r="EOC109" s="978"/>
      <c r="EOD109" s="978"/>
      <c r="EOE109" s="978"/>
      <c r="EOF109" s="978"/>
      <c r="EOG109" s="978"/>
      <c r="EOH109" s="978"/>
      <c r="EOI109" s="978"/>
      <c r="EOJ109" s="978"/>
      <c r="EOK109" s="978"/>
      <c r="EOL109" s="978"/>
      <c r="EOM109" s="978"/>
      <c r="EON109" s="978"/>
      <c r="EOO109" s="978"/>
      <c r="EOP109" s="978"/>
      <c r="EOQ109" s="978"/>
      <c r="EOR109" s="978"/>
      <c r="EOS109" s="978"/>
      <c r="EOT109" s="978"/>
      <c r="EOU109" s="978"/>
      <c r="EOV109" s="978"/>
      <c r="EOW109" s="978"/>
      <c r="EOX109" s="978"/>
      <c r="EOY109" s="978"/>
      <c r="EOZ109" s="978"/>
      <c r="EPA109" s="978"/>
      <c r="EPB109" s="978"/>
      <c r="EPC109" s="978"/>
      <c r="EPD109" s="978"/>
      <c r="EPE109" s="978"/>
      <c r="EPF109" s="978"/>
      <c r="EPG109" s="978"/>
      <c r="EPH109" s="978"/>
      <c r="EPI109" s="978"/>
      <c r="EPJ109" s="978"/>
      <c r="EPK109" s="978"/>
      <c r="EPL109" s="978"/>
      <c r="EPM109" s="978"/>
      <c r="EPN109" s="978"/>
      <c r="EPO109" s="978"/>
      <c r="EPP109" s="978"/>
      <c r="EPQ109" s="978"/>
      <c r="EPR109" s="978"/>
      <c r="EPS109" s="978"/>
      <c r="EPT109" s="978"/>
      <c r="EPU109" s="978"/>
      <c r="EPV109" s="978"/>
      <c r="EPW109" s="978"/>
      <c r="EPX109" s="978"/>
      <c r="EPY109" s="978"/>
      <c r="EPZ109" s="978"/>
      <c r="EQA109" s="978"/>
      <c r="EQB109" s="978"/>
      <c r="EQC109" s="978"/>
      <c r="EQD109" s="978"/>
      <c r="EQE109" s="978"/>
      <c r="EQF109" s="978"/>
      <c r="EQG109" s="978"/>
      <c r="EQH109" s="978"/>
      <c r="EQI109" s="978"/>
      <c r="EQJ109" s="978"/>
      <c r="EQK109" s="978"/>
      <c r="EQL109" s="978"/>
      <c r="EQM109" s="978"/>
      <c r="EQN109" s="978"/>
      <c r="EQO109" s="978"/>
      <c r="EQP109" s="978"/>
      <c r="EQQ109" s="978"/>
      <c r="EQR109" s="978"/>
      <c r="EQS109" s="978"/>
      <c r="EQT109" s="978"/>
      <c r="EQU109" s="978"/>
      <c r="EQV109" s="978"/>
      <c r="EQW109" s="978"/>
      <c r="EQX109" s="978"/>
      <c r="EQY109" s="978"/>
      <c r="EQZ109" s="978"/>
      <c r="ERA109" s="978"/>
      <c r="ERB109" s="978"/>
      <c r="ERC109" s="978"/>
      <c r="ERD109" s="978"/>
      <c r="ERE109" s="978"/>
      <c r="ERF109" s="978"/>
      <c r="ERG109" s="978"/>
      <c r="ERH109" s="978"/>
      <c r="ERI109" s="978"/>
      <c r="ERJ109" s="978"/>
      <c r="ERK109" s="978"/>
      <c r="ERL109" s="978"/>
      <c r="ERM109" s="978"/>
      <c r="ERN109" s="978"/>
      <c r="ERO109" s="978"/>
      <c r="ERP109" s="978"/>
      <c r="ERQ109" s="978"/>
      <c r="ERR109" s="978"/>
      <c r="ERS109" s="978"/>
      <c r="ERT109" s="978"/>
      <c r="ERU109" s="978"/>
      <c r="ERV109" s="978"/>
      <c r="ERW109" s="978"/>
      <c r="ERX109" s="978"/>
      <c r="ERY109" s="978"/>
      <c r="ERZ109" s="978"/>
      <c r="ESA109" s="978"/>
      <c r="ESB109" s="978"/>
      <c r="ESC109" s="978"/>
      <c r="ESD109" s="978"/>
      <c r="ESE109" s="978"/>
      <c r="ESF109" s="978"/>
      <c r="ESG109" s="978"/>
      <c r="ESH109" s="978"/>
      <c r="ESI109" s="978"/>
      <c r="ESJ109" s="978"/>
      <c r="ESK109" s="978"/>
      <c r="ESL109" s="978"/>
      <c r="ESM109" s="978"/>
      <c r="ESN109" s="978"/>
      <c r="ESO109" s="978"/>
      <c r="ESP109" s="978"/>
      <c r="ESQ109" s="978"/>
      <c r="ESR109" s="978"/>
      <c r="ESS109" s="978"/>
      <c r="EST109" s="978"/>
      <c r="ESU109" s="978"/>
      <c r="ESV109" s="978"/>
      <c r="ESW109" s="978"/>
      <c r="ESX109" s="978"/>
      <c r="ESY109" s="978"/>
      <c r="ESZ109" s="978"/>
      <c r="ETA109" s="978"/>
      <c r="ETB109" s="978"/>
      <c r="ETC109" s="978"/>
      <c r="ETD109" s="978"/>
      <c r="ETE109" s="978"/>
      <c r="ETF109" s="978"/>
      <c r="ETG109" s="978"/>
      <c r="ETH109" s="978"/>
      <c r="ETI109" s="978"/>
      <c r="ETJ109" s="978"/>
      <c r="ETK109" s="978"/>
      <c r="ETL109" s="978"/>
      <c r="ETM109" s="978"/>
      <c r="ETN109" s="978"/>
      <c r="ETO109" s="978"/>
      <c r="ETP109" s="978"/>
      <c r="ETQ109" s="978"/>
      <c r="ETR109" s="978"/>
      <c r="ETS109" s="978"/>
      <c r="ETT109" s="978"/>
      <c r="ETU109" s="978"/>
      <c r="ETV109" s="978"/>
      <c r="ETW109" s="978"/>
      <c r="ETX109" s="978"/>
      <c r="ETY109" s="978"/>
      <c r="ETZ109" s="978"/>
      <c r="EUA109" s="978"/>
      <c r="EUB109" s="978"/>
      <c r="EUC109" s="978"/>
      <c r="EUD109" s="978"/>
      <c r="EUE109" s="978"/>
      <c r="EUF109" s="978"/>
      <c r="EUG109" s="978"/>
      <c r="EUH109" s="978"/>
      <c r="EUI109" s="978"/>
      <c r="EUJ109" s="978"/>
      <c r="EUK109" s="978"/>
      <c r="EUL109" s="978"/>
      <c r="EUM109" s="978"/>
      <c r="EUN109" s="978"/>
      <c r="EUO109" s="978"/>
      <c r="EUP109" s="978"/>
      <c r="EUQ109" s="978"/>
      <c r="EUR109" s="978"/>
      <c r="EUS109" s="978"/>
      <c r="EUT109" s="978"/>
      <c r="EUU109" s="978"/>
      <c r="EUV109" s="978"/>
      <c r="EUW109" s="978"/>
      <c r="EUX109" s="978"/>
      <c r="EUY109" s="978"/>
      <c r="EUZ109" s="978"/>
      <c r="EVA109" s="978"/>
      <c r="EVB109" s="978"/>
      <c r="EVC109" s="978"/>
      <c r="EVD109" s="978"/>
      <c r="EVE109" s="978"/>
      <c r="EVF109" s="978"/>
      <c r="EVG109" s="978"/>
      <c r="EVH109" s="978"/>
      <c r="EVI109" s="978"/>
      <c r="EVJ109" s="978"/>
      <c r="EVK109" s="978"/>
      <c r="EVL109" s="978"/>
      <c r="EVM109" s="978"/>
      <c r="EVN109" s="978"/>
      <c r="EVO109" s="978"/>
      <c r="EVP109" s="978"/>
      <c r="EVQ109" s="978"/>
      <c r="EVR109" s="978"/>
      <c r="EVS109" s="978"/>
      <c r="EVT109" s="978"/>
      <c r="EVU109" s="978"/>
      <c r="EVV109" s="978"/>
      <c r="EVW109" s="978"/>
      <c r="EVX109" s="978"/>
      <c r="EVY109" s="978"/>
      <c r="EVZ109" s="978"/>
      <c r="EWA109" s="978"/>
      <c r="EWB109" s="978"/>
      <c r="EWC109" s="978"/>
      <c r="EWD109" s="978"/>
      <c r="EWE109" s="978"/>
      <c r="EWF109" s="978"/>
      <c r="EWG109" s="978"/>
      <c r="EWH109" s="978"/>
      <c r="EWI109" s="978"/>
      <c r="EWJ109" s="978"/>
      <c r="EWK109" s="978"/>
      <c r="EWL109" s="978"/>
      <c r="EWM109" s="978"/>
      <c r="EWN109" s="978"/>
      <c r="EWO109" s="978"/>
      <c r="EWP109" s="978"/>
      <c r="EWQ109" s="978"/>
      <c r="EWR109" s="978"/>
      <c r="EWS109" s="978"/>
      <c r="EWT109" s="978"/>
      <c r="EWU109" s="978"/>
      <c r="EWV109" s="978"/>
      <c r="EWW109" s="978"/>
      <c r="EWX109" s="978"/>
      <c r="EWY109" s="978"/>
      <c r="EWZ109" s="978"/>
      <c r="EXA109" s="978"/>
      <c r="EXB109" s="978"/>
      <c r="EXC109" s="978"/>
      <c r="EXD109" s="978"/>
      <c r="EXE109" s="978"/>
      <c r="EXF109" s="978"/>
      <c r="EXG109" s="978"/>
      <c r="EXH109" s="978"/>
      <c r="EXI109" s="978"/>
      <c r="EXJ109" s="978"/>
      <c r="EXK109" s="978"/>
      <c r="EXL109" s="978"/>
      <c r="EXM109" s="978"/>
      <c r="EXN109" s="978"/>
      <c r="EXO109" s="978"/>
      <c r="EXP109" s="978"/>
      <c r="EXQ109" s="978"/>
      <c r="EXR109" s="978"/>
      <c r="EXS109" s="978"/>
      <c r="EXT109" s="978"/>
      <c r="EXU109" s="978"/>
      <c r="EXV109" s="978"/>
      <c r="EXW109" s="978"/>
      <c r="EXX109" s="978"/>
      <c r="EXY109" s="978"/>
      <c r="EXZ109" s="978"/>
      <c r="EYA109" s="978"/>
      <c r="EYB109" s="978"/>
      <c r="EYC109" s="978"/>
      <c r="EYD109" s="978"/>
      <c r="EYE109" s="978"/>
      <c r="EYF109" s="978"/>
      <c r="EYG109" s="978"/>
      <c r="EYH109" s="978"/>
      <c r="EYI109" s="978"/>
      <c r="EYJ109" s="978"/>
      <c r="EYK109" s="978"/>
      <c r="EYL109" s="978"/>
      <c r="EYM109" s="978"/>
      <c r="EYN109" s="978"/>
      <c r="EYO109" s="978"/>
      <c r="EYP109" s="978"/>
      <c r="EYQ109" s="978"/>
      <c r="EYR109" s="978"/>
      <c r="EYS109" s="978"/>
      <c r="EYT109" s="978"/>
      <c r="EYU109" s="978"/>
      <c r="EYV109" s="978"/>
      <c r="EYW109" s="978"/>
      <c r="EYX109" s="978"/>
      <c r="EYY109" s="978"/>
      <c r="EYZ109" s="978"/>
      <c r="EZA109" s="978"/>
      <c r="EZB109" s="978"/>
      <c r="EZC109" s="978"/>
      <c r="EZD109" s="978"/>
      <c r="EZE109" s="978"/>
      <c r="EZF109" s="978"/>
      <c r="EZG109" s="978"/>
      <c r="EZH109" s="978"/>
      <c r="EZI109" s="978"/>
      <c r="EZJ109" s="978"/>
      <c r="EZK109" s="978"/>
      <c r="EZL109" s="978"/>
      <c r="EZM109" s="978"/>
      <c r="EZN109" s="978"/>
      <c r="EZO109" s="978"/>
      <c r="EZP109" s="978"/>
      <c r="EZQ109" s="978"/>
      <c r="EZR109" s="978"/>
      <c r="EZS109" s="978"/>
      <c r="EZT109" s="978"/>
      <c r="EZU109" s="978"/>
      <c r="EZV109" s="978"/>
      <c r="EZW109" s="978"/>
      <c r="EZX109" s="978"/>
      <c r="EZY109" s="978"/>
      <c r="EZZ109" s="978"/>
      <c r="FAA109" s="978"/>
      <c r="FAB109" s="978"/>
      <c r="FAC109" s="978"/>
      <c r="FAD109" s="978"/>
      <c r="FAE109" s="978"/>
      <c r="FAF109" s="978"/>
      <c r="FAG109" s="978"/>
      <c r="FAH109" s="978"/>
      <c r="FAI109" s="978"/>
      <c r="FAJ109" s="978"/>
      <c r="FAK109" s="978"/>
      <c r="FAL109" s="978"/>
      <c r="FAM109" s="978"/>
      <c r="FAN109" s="978"/>
      <c r="FAO109" s="978"/>
      <c r="FAP109" s="978"/>
      <c r="FAQ109" s="978"/>
      <c r="FAR109" s="978"/>
      <c r="FAS109" s="978"/>
      <c r="FAT109" s="978"/>
      <c r="FAU109" s="978"/>
      <c r="FAV109" s="978"/>
      <c r="FAW109" s="978"/>
      <c r="FAX109" s="978"/>
      <c r="FAY109" s="978"/>
      <c r="FAZ109" s="978"/>
      <c r="FBA109" s="978"/>
      <c r="FBB109" s="978"/>
      <c r="FBC109" s="978"/>
      <c r="FBD109" s="978"/>
      <c r="FBE109" s="978"/>
      <c r="FBF109" s="978"/>
      <c r="FBG109" s="978"/>
      <c r="FBH109" s="978"/>
      <c r="FBI109" s="978"/>
      <c r="FBJ109" s="978"/>
      <c r="FBK109" s="978"/>
      <c r="FBL109" s="978"/>
      <c r="FBM109" s="978"/>
      <c r="FBN109" s="978"/>
      <c r="FBO109" s="978"/>
      <c r="FBP109" s="978"/>
      <c r="FBQ109" s="978"/>
      <c r="FBR109" s="978"/>
      <c r="FBS109" s="978"/>
      <c r="FBT109" s="978"/>
      <c r="FBU109" s="978"/>
      <c r="FBV109" s="978"/>
      <c r="FBW109" s="978"/>
      <c r="FBX109" s="978"/>
      <c r="FBY109" s="978"/>
      <c r="FBZ109" s="978"/>
      <c r="FCA109" s="978"/>
      <c r="FCB109" s="978"/>
      <c r="FCC109" s="978"/>
      <c r="FCD109" s="978"/>
      <c r="FCE109" s="978"/>
      <c r="FCF109" s="978"/>
      <c r="FCG109" s="978"/>
      <c r="FCH109" s="978"/>
      <c r="FCI109" s="978"/>
      <c r="FCJ109" s="978"/>
      <c r="FCK109" s="978"/>
      <c r="FCL109" s="978"/>
      <c r="FCM109" s="978"/>
      <c r="FCN109" s="978"/>
      <c r="FCO109" s="978"/>
      <c r="FCP109" s="978"/>
      <c r="FCQ109" s="978"/>
      <c r="FCR109" s="978"/>
      <c r="FCS109" s="978"/>
      <c r="FCT109" s="978"/>
      <c r="FCU109" s="978"/>
      <c r="FCV109" s="978"/>
      <c r="FCW109" s="978"/>
      <c r="FCX109" s="978"/>
      <c r="FCY109" s="978"/>
      <c r="FCZ109" s="978"/>
      <c r="FDA109" s="978"/>
      <c r="FDB109" s="978"/>
      <c r="FDC109" s="978"/>
      <c r="FDD109" s="978"/>
      <c r="FDE109" s="978"/>
      <c r="FDF109" s="978"/>
      <c r="FDG109" s="978"/>
      <c r="FDH109" s="978"/>
      <c r="FDI109" s="978"/>
      <c r="FDJ109" s="978"/>
      <c r="FDK109" s="978"/>
      <c r="FDL109" s="978"/>
      <c r="FDM109" s="978"/>
      <c r="FDN109" s="978"/>
      <c r="FDO109" s="978"/>
      <c r="FDP109" s="978"/>
      <c r="FDQ109" s="978"/>
      <c r="FDR109" s="978"/>
      <c r="FDS109" s="978"/>
      <c r="FDT109" s="978"/>
      <c r="FDU109" s="978"/>
      <c r="FDV109" s="978"/>
      <c r="FDW109" s="978"/>
      <c r="FDX109" s="978"/>
      <c r="FDY109" s="978"/>
      <c r="FDZ109" s="978"/>
      <c r="FEA109" s="978"/>
      <c r="FEB109" s="978"/>
      <c r="FEC109" s="978"/>
      <c r="FED109" s="978"/>
      <c r="FEE109" s="978"/>
      <c r="FEF109" s="978"/>
      <c r="FEG109" s="978"/>
      <c r="FEH109" s="978"/>
      <c r="FEI109" s="978"/>
      <c r="FEJ109" s="978"/>
      <c r="FEK109" s="978"/>
      <c r="FEL109" s="978"/>
      <c r="FEM109" s="978"/>
      <c r="FEN109" s="978"/>
      <c r="FEO109" s="978"/>
      <c r="FEP109" s="978"/>
      <c r="FEQ109" s="978"/>
      <c r="FER109" s="978"/>
      <c r="FES109" s="978"/>
      <c r="FET109" s="978"/>
      <c r="FEU109" s="978"/>
      <c r="FEV109" s="978"/>
      <c r="FEW109" s="978"/>
      <c r="FEX109" s="978"/>
      <c r="FEY109" s="978"/>
      <c r="FEZ109" s="978"/>
      <c r="FFA109" s="978"/>
      <c r="FFB109" s="978"/>
      <c r="FFC109" s="978"/>
      <c r="FFD109" s="978"/>
      <c r="FFE109" s="978"/>
      <c r="FFF109" s="978"/>
      <c r="FFG109" s="978"/>
      <c r="FFH109" s="978"/>
      <c r="FFI109" s="978"/>
      <c r="FFJ109" s="978"/>
      <c r="FFK109" s="978"/>
      <c r="FFL109" s="978"/>
      <c r="FFM109" s="978"/>
      <c r="FFN109" s="978"/>
      <c r="FFO109" s="978"/>
      <c r="FFP109" s="978"/>
      <c r="FFQ109" s="978"/>
      <c r="FFR109" s="978"/>
      <c r="FFS109" s="978"/>
      <c r="FFT109" s="978"/>
      <c r="FFU109" s="978"/>
      <c r="FFV109" s="978"/>
      <c r="FFW109" s="978"/>
      <c r="FFX109" s="978"/>
      <c r="FFY109" s="978"/>
      <c r="FFZ109" s="978"/>
      <c r="FGA109" s="978"/>
      <c r="FGB109" s="978"/>
      <c r="FGC109" s="978"/>
      <c r="FGD109" s="978"/>
      <c r="FGE109" s="978"/>
      <c r="FGF109" s="978"/>
      <c r="FGG109" s="978"/>
      <c r="FGH109" s="978"/>
      <c r="FGI109" s="978"/>
      <c r="FGJ109" s="978"/>
      <c r="FGK109" s="978"/>
      <c r="FGL109" s="978"/>
      <c r="FGM109" s="978"/>
      <c r="FGN109" s="978"/>
      <c r="FGO109" s="978"/>
      <c r="FGP109" s="978"/>
      <c r="FGQ109" s="978"/>
      <c r="FGR109" s="978"/>
      <c r="FGS109" s="978"/>
      <c r="FGT109" s="978"/>
      <c r="FGU109" s="978"/>
      <c r="FGV109" s="978"/>
      <c r="FGW109" s="978"/>
      <c r="FGX109" s="978"/>
      <c r="FGY109" s="978"/>
      <c r="FGZ109" s="978"/>
      <c r="FHA109" s="978"/>
      <c r="FHB109" s="978"/>
      <c r="FHC109" s="978"/>
      <c r="FHD109" s="978"/>
      <c r="FHE109" s="978"/>
      <c r="FHF109" s="978"/>
      <c r="FHG109" s="978"/>
      <c r="FHH109" s="978"/>
      <c r="FHI109" s="978"/>
      <c r="FHJ109" s="978"/>
      <c r="FHK109" s="978"/>
      <c r="FHL109" s="978"/>
      <c r="FHM109" s="978"/>
      <c r="FHN109" s="978"/>
      <c r="FHO109" s="978"/>
      <c r="FHP109" s="978"/>
      <c r="FHQ109" s="978"/>
      <c r="FHR109" s="978"/>
      <c r="FHS109" s="978"/>
      <c r="FHT109" s="978"/>
      <c r="FHU109" s="978"/>
      <c r="FHV109" s="978"/>
      <c r="FHW109" s="978"/>
      <c r="FHX109" s="978"/>
      <c r="FHY109" s="978"/>
      <c r="FHZ109" s="978"/>
      <c r="FIA109" s="978"/>
      <c r="FIB109" s="978"/>
      <c r="FIC109" s="978"/>
      <c r="FID109" s="978"/>
      <c r="FIE109" s="978"/>
      <c r="FIF109" s="978"/>
      <c r="FIG109" s="978"/>
      <c r="FIH109" s="978"/>
      <c r="FII109" s="978"/>
      <c r="FIJ109" s="978"/>
      <c r="FIK109" s="978"/>
      <c r="FIL109" s="978"/>
      <c r="FIM109" s="978"/>
      <c r="FIN109" s="978"/>
      <c r="FIO109" s="978"/>
      <c r="FIP109" s="978"/>
      <c r="FIQ109" s="978"/>
      <c r="FIR109" s="978"/>
      <c r="FIS109" s="978"/>
      <c r="FIT109" s="978"/>
      <c r="FIU109" s="978"/>
      <c r="FIV109" s="978"/>
      <c r="FIW109" s="978"/>
      <c r="FIX109" s="978"/>
      <c r="FIY109" s="978"/>
      <c r="FIZ109" s="978"/>
      <c r="FJA109" s="978"/>
      <c r="FJB109" s="978"/>
      <c r="FJC109" s="978"/>
      <c r="FJD109" s="978"/>
      <c r="FJE109" s="978"/>
      <c r="FJF109" s="978"/>
      <c r="FJG109" s="978"/>
      <c r="FJH109" s="978"/>
      <c r="FJI109" s="978"/>
      <c r="FJJ109" s="978"/>
      <c r="FJK109" s="978"/>
      <c r="FJL109" s="978"/>
      <c r="FJM109" s="978"/>
      <c r="FJN109" s="978"/>
      <c r="FJO109" s="978"/>
      <c r="FJP109" s="978"/>
      <c r="FJQ109" s="978"/>
      <c r="FJR109" s="978"/>
      <c r="FJS109" s="978"/>
      <c r="FJT109" s="978"/>
      <c r="FJU109" s="978"/>
      <c r="FJV109" s="978"/>
      <c r="FJW109" s="978"/>
      <c r="FJX109" s="978"/>
      <c r="FJY109" s="978"/>
      <c r="FJZ109" s="978"/>
      <c r="FKA109" s="978"/>
      <c r="FKB109" s="978"/>
      <c r="FKC109" s="978"/>
      <c r="FKD109" s="978"/>
      <c r="FKE109" s="978"/>
      <c r="FKF109" s="978"/>
      <c r="FKG109" s="978"/>
      <c r="FKH109" s="978"/>
      <c r="FKI109" s="978"/>
      <c r="FKJ109" s="978"/>
      <c r="FKK109" s="978"/>
      <c r="FKL109" s="978"/>
      <c r="FKM109" s="978"/>
      <c r="FKN109" s="978"/>
      <c r="FKO109" s="978"/>
      <c r="FKP109" s="978"/>
      <c r="FKQ109" s="978"/>
      <c r="FKR109" s="978"/>
      <c r="FKS109" s="978"/>
      <c r="FKT109" s="978"/>
      <c r="FKU109" s="978"/>
      <c r="FKV109" s="978"/>
      <c r="FKW109" s="978"/>
      <c r="FKX109" s="978"/>
      <c r="FKY109" s="978"/>
      <c r="FKZ109" s="978"/>
      <c r="FLA109" s="978"/>
      <c r="FLB109" s="978"/>
      <c r="FLC109" s="978"/>
      <c r="FLD109" s="978"/>
      <c r="FLE109" s="978"/>
      <c r="FLF109" s="978"/>
      <c r="FLG109" s="978"/>
      <c r="FLH109" s="978"/>
      <c r="FLI109" s="978"/>
      <c r="FLJ109" s="978"/>
      <c r="FLK109" s="978"/>
      <c r="FLL109" s="978"/>
      <c r="FLM109" s="978"/>
      <c r="FLN109" s="978"/>
      <c r="FLO109" s="978"/>
      <c r="FLP109" s="978"/>
      <c r="FLQ109" s="978"/>
      <c r="FLR109" s="978"/>
      <c r="FLS109" s="978"/>
      <c r="FLT109" s="978"/>
      <c r="FLU109" s="978"/>
      <c r="FLV109" s="978"/>
      <c r="FLW109" s="978"/>
      <c r="FLX109" s="978"/>
      <c r="FLY109" s="978"/>
      <c r="FLZ109" s="978"/>
      <c r="FMA109" s="978"/>
      <c r="FMB109" s="978"/>
      <c r="FMC109" s="978"/>
      <c r="FMD109" s="978"/>
      <c r="FME109" s="978"/>
      <c r="FMF109" s="978"/>
      <c r="FMG109" s="978"/>
      <c r="FMH109" s="978"/>
      <c r="FMI109" s="978"/>
      <c r="FMJ109" s="978"/>
      <c r="FMK109" s="978"/>
      <c r="FML109" s="978"/>
      <c r="FMM109" s="978"/>
      <c r="FMN109" s="978"/>
      <c r="FMO109" s="978"/>
      <c r="FMP109" s="978"/>
      <c r="FMQ109" s="978"/>
      <c r="FMR109" s="978"/>
      <c r="FMS109" s="978"/>
      <c r="FMT109" s="978"/>
      <c r="FMU109" s="978"/>
      <c r="FMV109" s="978"/>
      <c r="FMW109" s="978"/>
      <c r="FMX109" s="978"/>
      <c r="FMY109" s="978"/>
      <c r="FMZ109" s="978"/>
      <c r="FNA109" s="978"/>
      <c r="FNB109" s="978"/>
      <c r="FNC109" s="978"/>
      <c r="FND109" s="978"/>
      <c r="FNE109" s="978"/>
      <c r="FNF109" s="978"/>
      <c r="FNG109" s="978"/>
      <c r="FNH109" s="978"/>
      <c r="FNI109" s="978"/>
      <c r="FNJ109" s="978"/>
      <c r="FNK109" s="978"/>
      <c r="FNL109" s="978"/>
      <c r="FNM109" s="978"/>
      <c r="FNN109" s="978"/>
      <c r="FNO109" s="978"/>
      <c r="FNP109" s="978"/>
      <c r="FNQ109" s="978"/>
      <c r="FNR109" s="978"/>
      <c r="FNS109" s="978"/>
      <c r="FNT109" s="978"/>
      <c r="FNU109" s="978"/>
      <c r="FNV109" s="978"/>
      <c r="FNW109" s="978"/>
      <c r="FNX109" s="978"/>
      <c r="FNY109" s="978"/>
      <c r="FNZ109" s="978"/>
      <c r="FOA109" s="978"/>
      <c r="FOB109" s="978"/>
      <c r="FOC109" s="978"/>
      <c r="FOD109" s="978"/>
      <c r="FOE109" s="978"/>
      <c r="FOF109" s="978"/>
      <c r="FOG109" s="978"/>
      <c r="FOH109" s="978"/>
      <c r="FOI109" s="978"/>
      <c r="FOJ109" s="978"/>
      <c r="FOK109" s="978"/>
      <c r="FOL109" s="978"/>
      <c r="FOM109" s="978"/>
      <c r="FON109" s="978"/>
      <c r="FOO109" s="978"/>
      <c r="FOP109" s="978"/>
      <c r="FOQ109" s="978"/>
      <c r="FOR109" s="978"/>
      <c r="FOS109" s="978"/>
      <c r="FOT109" s="978"/>
      <c r="FOU109" s="978"/>
      <c r="FOV109" s="978"/>
      <c r="FOW109" s="978"/>
      <c r="FOX109" s="978"/>
      <c r="FOY109" s="978"/>
      <c r="FOZ109" s="978"/>
      <c r="FPA109" s="978"/>
      <c r="FPB109" s="978"/>
      <c r="FPC109" s="978"/>
      <c r="FPD109" s="978"/>
      <c r="FPE109" s="978"/>
      <c r="FPF109" s="978"/>
      <c r="FPG109" s="978"/>
      <c r="FPH109" s="978"/>
      <c r="FPI109" s="978"/>
      <c r="FPJ109" s="978"/>
      <c r="FPK109" s="978"/>
      <c r="FPL109" s="978"/>
      <c r="FPM109" s="978"/>
      <c r="FPN109" s="978"/>
      <c r="FPO109" s="978"/>
      <c r="FPP109" s="978"/>
      <c r="FPQ109" s="978"/>
      <c r="FPR109" s="978"/>
      <c r="FPS109" s="978"/>
      <c r="FPT109" s="978"/>
      <c r="FPU109" s="978"/>
      <c r="FPV109" s="978"/>
      <c r="FPW109" s="978"/>
      <c r="FPX109" s="978"/>
      <c r="FPY109" s="978"/>
      <c r="FPZ109" s="978"/>
      <c r="FQA109" s="978"/>
      <c r="FQB109" s="978"/>
      <c r="FQC109" s="978"/>
      <c r="FQD109" s="978"/>
      <c r="FQE109" s="978"/>
      <c r="FQF109" s="978"/>
      <c r="FQG109" s="978"/>
      <c r="FQH109" s="978"/>
      <c r="FQI109" s="978"/>
      <c r="FQJ109" s="978"/>
      <c r="FQK109" s="978"/>
      <c r="FQL109" s="978"/>
      <c r="FQM109" s="978"/>
      <c r="FQN109" s="978"/>
      <c r="FQO109" s="978"/>
      <c r="FQP109" s="978"/>
      <c r="FQQ109" s="978"/>
      <c r="FQR109" s="978"/>
      <c r="FQS109" s="978"/>
      <c r="FQT109" s="978"/>
      <c r="FQU109" s="978"/>
      <c r="FQV109" s="978"/>
      <c r="FQW109" s="978"/>
      <c r="FQX109" s="978"/>
      <c r="FQY109" s="978"/>
      <c r="FQZ109" s="978"/>
      <c r="FRA109" s="978"/>
      <c r="FRB109" s="978"/>
      <c r="FRC109" s="978"/>
      <c r="FRD109" s="978"/>
      <c r="FRE109" s="978"/>
      <c r="FRF109" s="978"/>
      <c r="FRG109" s="978"/>
      <c r="FRH109" s="978"/>
      <c r="FRI109" s="978"/>
      <c r="FRJ109" s="978"/>
      <c r="FRK109" s="978"/>
      <c r="FRL109" s="978"/>
      <c r="FRM109" s="978"/>
      <c r="FRN109" s="978"/>
      <c r="FRO109" s="978"/>
      <c r="FRP109" s="978"/>
      <c r="FRQ109" s="978"/>
      <c r="FRR109" s="978"/>
      <c r="FRS109" s="978"/>
      <c r="FRT109" s="978"/>
      <c r="FRU109" s="978"/>
      <c r="FRV109" s="978"/>
      <c r="FRW109" s="978"/>
      <c r="FRX109" s="978"/>
      <c r="FRY109" s="978"/>
      <c r="FRZ109" s="978"/>
      <c r="FSA109" s="978"/>
      <c r="FSB109" s="978"/>
      <c r="FSC109" s="978"/>
      <c r="FSD109" s="978"/>
      <c r="FSE109" s="978"/>
      <c r="FSF109" s="978"/>
      <c r="FSG109" s="978"/>
      <c r="FSH109" s="978"/>
      <c r="FSI109" s="978"/>
      <c r="FSJ109" s="978"/>
      <c r="FSK109" s="978"/>
      <c r="FSL109" s="978"/>
      <c r="FSM109" s="978"/>
      <c r="FSN109" s="978"/>
      <c r="FSO109" s="978"/>
      <c r="FSP109" s="978"/>
      <c r="FSQ109" s="978"/>
      <c r="FSR109" s="978"/>
      <c r="FSS109" s="978"/>
      <c r="FST109" s="978"/>
      <c r="FSU109" s="978"/>
      <c r="FSV109" s="978"/>
      <c r="FSW109" s="978"/>
      <c r="FSX109" s="978"/>
      <c r="FSY109" s="978"/>
      <c r="FSZ109" s="978"/>
      <c r="FTA109" s="978"/>
      <c r="FTB109" s="978"/>
      <c r="FTC109" s="978"/>
      <c r="FTD109" s="978"/>
      <c r="FTE109" s="978"/>
      <c r="FTF109" s="978"/>
      <c r="FTG109" s="978"/>
      <c r="FTH109" s="978"/>
      <c r="FTI109" s="978"/>
      <c r="FTJ109" s="978"/>
      <c r="FTK109" s="978"/>
      <c r="FTL109" s="978"/>
      <c r="FTM109" s="978"/>
      <c r="FTN109" s="978"/>
      <c r="FTO109" s="978"/>
      <c r="FTP109" s="978"/>
      <c r="FTQ109" s="978"/>
      <c r="FTR109" s="978"/>
      <c r="FTS109" s="978"/>
      <c r="FTT109" s="978"/>
      <c r="FTU109" s="978"/>
      <c r="FTV109" s="978"/>
      <c r="FTW109" s="978"/>
      <c r="FTX109" s="978"/>
      <c r="FTY109" s="978"/>
      <c r="FTZ109" s="978"/>
      <c r="FUA109" s="978"/>
      <c r="FUB109" s="978"/>
      <c r="FUC109" s="978"/>
      <c r="FUD109" s="978"/>
      <c r="FUE109" s="978"/>
      <c r="FUF109" s="978"/>
      <c r="FUG109" s="978"/>
      <c r="FUH109" s="978"/>
      <c r="FUI109" s="978"/>
      <c r="FUJ109" s="978"/>
      <c r="FUK109" s="978"/>
      <c r="FUL109" s="978"/>
      <c r="FUM109" s="978"/>
      <c r="FUN109" s="978"/>
      <c r="FUO109" s="978"/>
      <c r="FUP109" s="978"/>
      <c r="FUQ109" s="978"/>
      <c r="FUR109" s="978"/>
      <c r="FUS109" s="978"/>
      <c r="FUT109" s="978"/>
      <c r="FUU109" s="978"/>
      <c r="FUV109" s="978"/>
      <c r="FUW109" s="978"/>
      <c r="FUX109" s="978"/>
      <c r="FUY109" s="978"/>
      <c r="FUZ109" s="978"/>
      <c r="FVA109" s="978"/>
      <c r="FVB109" s="978"/>
      <c r="FVC109" s="978"/>
      <c r="FVD109" s="978"/>
      <c r="FVE109" s="978"/>
      <c r="FVF109" s="978"/>
      <c r="FVG109" s="978"/>
      <c r="FVH109" s="978"/>
      <c r="FVI109" s="978"/>
      <c r="FVJ109" s="978"/>
      <c r="FVK109" s="978"/>
      <c r="FVL109" s="978"/>
      <c r="FVM109" s="978"/>
      <c r="FVN109" s="978"/>
      <c r="FVO109" s="978"/>
      <c r="FVP109" s="978"/>
      <c r="FVQ109" s="978"/>
      <c r="FVR109" s="978"/>
      <c r="FVS109" s="978"/>
      <c r="FVT109" s="978"/>
      <c r="FVU109" s="978"/>
      <c r="FVV109" s="978"/>
      <c r="FVW109" s="978"/>
      <c r="FVX109" s="978"/>
      <c r="FVY109" s="978"/>
      <c r="FVZ109" s="978"/>
      <c r="FWA109" s="978"/>
      <c r="FWB109" s="978"/>
      <c r="FWC109" s="978"/>
      <c r="FWD109" s="978"/>
      <c r="FWE109" s="978"/>
      <c r="FWF109" s="978"/>
      <c r="FWG109" s="978"/>
      <c r="FWH109" s="978"/>
      <c r="FWI109" s="978"/>
      <c r="FWJ109" s="978"/>
      <c r="FWK109" s="978"/>
      <c r="FWL109" s="978"/>
      <c r="FWM109" s="978"/>
      <c r="FWN109" s="978"/>
      <c r="FWO109" s="978"/>
      <c r="FWP109" s="978"/>
      <c r="FWQ109" s="978"/>
      <c r="FWR109" s="978"/>
      <c r="FWS109" s="978"/>
      <c r="FWT109" s="978"/>
      <c r="FWU109" s="978"/>
      <c r="FWV109" s="978"/>
      <c r="FWW109" s="978"/>
      <c r="FWX109" s="978"/>
      <c r="FWY109" s="978"/>
      <c r="FWZ109" s="978"/>
      <c r="FXA109" s="978"/>
      <c r="FXB109" s="978"/>
      <c r="FXC109" s="978"/>
      <c r="FXD109" s="978"/>
      <c r="FXE109" s="978"/>
      <c r="FXF109" s="978"/>
      <c r="FXG109" s="978"/>
      <c r="FXH109" s="978"/>
      <c r="FXI109" s="978"/>
      <c r="FXJ109" s="978"/>
      <c r="FXK109" s="978"/>
      <c r="FXL109" s="978"/>
      <c r="FXM109" s="978"/>
      <c r="FXN109" s="978"/>
      <c r="FXO109" s="978"/>
      <c r="FXP109" s="978"/>
      <c r="FXQ109" s="978"/>
      <c r="FXR109" s="978"/>
      <c r="FXS109" s="978"/>
      <c r="FXT109" s="978"/>
      <c r="FXU109" s="978"/>
      <c r="FXV109" s="978"/>
      <c r="FXW109" s="978"/>
      <c r="FXX109" s="978"/>
      <c r="FXY109" s="978"/>
      <c r="FXZ109" s="978"/>
      <c r="FYA109" s="978"/>
      <c r="FYB109" s="978"/>
      <c r="FYC109" s="978"/>
      <c r="FYD109" s="978"/>
      <c r="FYE109" s="978"/>
      <c r="FYF109" s="978"/>
      <c r="FYG109" s="978"/>
      <c r="FYH109" s="978"/>
      <c r="FYI109" s="978"/>
      <c r="FYJ109" s="978"/>
      <c r="FYK109" s="978"/>
      <c r="FYL109" s="978"/>
      <c r="FYM109" s="978"/>
      <c r="FYN109" s="978"/>
      <c r="FYO109" s="978"/>
      <c r="FYP109" s="978"/>
      <c r="FYQ109" s="978"/>
      <c r="FYR109" s="978"/>
      <c r="FYS109" s="978"/>
      <c r="FYT109" s="978"/>
      <c r="FYU109" s="978"/>
      <c r="FYV109" s="978"/>
      <c r="FYW109" s="978"/>
      <c r="FYX109" s="978"/>
      <c r="FYY109" s="978"/>
      <c r="FYZ109" s="978"/>
      <c r="FZA109" s="978"/>
      <c r="FZB109" s="978"/>
      <c r="FZC109" s="978"/>
      <c r="FZD109" s="978"/>
      <c r="FZE109" s="978"/>
      <c r="FZF109" s="978"/>
      <c r="FZG109" s="978"/>
      <c r="FZH109" s="978"/>
      <c r="FZI109" s="978"/>
      <c r="FZJ109" s="978"/>
      <c r="FZK109" s="978"/>
      <c r="FZL109" s="978"/>
      <c r="FZM109" s="978"/>
      <c r="FZN109" s="978"/>
      <c r="FZO109" s="978"/>
      <c r="FZP109" s="978"/>
      <c r="FZQ109" s="978"/>
      <c r="FZR109" s="978"/>
      <c r="FZS109" s="978"/>
      <c r="FZT109" s="978"/>
      <c r="FZU109" s="978"/>
      <c r="FZV109" s="978"/>
      <c r="FZW109" s="978"/>
      <c r="FZX109" s="978"/>
      <c r="FZY109" s="978"/>
      <c r="FZZ109" s="978"/>
      <c r="GAA109" s="978"/>
      <c r="GAB109" s="978"/>
      <c r="GAC109" s="978"/>
      <c r="GAD109" s="978"/>
      <c r="GAE109" s="978"/>
      <c r="GAF109" s="978"/>
      <c r="GAG109" s="978"/>
      <c r="GAH109" s="978"/>
      <c r="GAI109" s="978"/>
      <c r="GAJ109" s="978"/>
      <c r="GAK109" s="978"/>
      <c r="GAL109" s="978"/>
      <c r="GAM109" s="978"/>
      <c r="GAN109" s="978"/>
      <c r="GAO109" s="978"/>
      <c r="GAP109" s="978"/>
      <c r="GAQ109" s="978"/>
      <c r="GAR109" s="978"/>
      <c r="GAS109" s="978"/>
      <c r="GAT109" s="978"/>
      <c r="GAU109" s="978"/>
      <c r="GAV109" s="978"/>
      <c r="GAW109" s="978"/>
      <c r="GAX109" s="978"/>
      <c r="GAY109" s="978"/>
      <c r="GAZ109" s="978"/>
      <c r="GBA109" s="978"/>
      <c r="GBB109" s="978"/>
      <c r="GBC109" s="978"/>
      <c r="GBD109" s="978"/>
      <c r="GBE109" s="978"/>
      <c r="GBF109" s="978"/>
      <c r="GBG109" s="978"/>
      <c r="GBH109" s="978"/>
      <c r="GBI109" s="978"/>
      <c r="GBJ109" s="978"/>
      <c r="GBK109" s="978"/>
      <c r="GBL109" s="978"/>
      <c r="GBM109" s="978"/>
      <c r="GBN109" s="978"/>
      <c r="GBO109" s="978"/>
      <c r="GBP109" s="978"/>
      <c r="GBQ109" s="978"/>
      <c r="GBR109" s="978"/>
      <c r="GBS109" s="978"/>
      <c r="GBT109" s="978"/>
      <c r="GBU109" s="978"/>
      <c r="GBV109" s="978"/>
      <c r="GBW109" s="978"/>
      <c r="GBX109" s="978"/>
      <c r="GBY109" s="978"/>
      <c r="GBZ109" s="978"/>
      <c r="GCA109" s="978"/>
      <c r="GCB109" s="978"/>
      <c r="GCC109" s="978"/>
      <c r="GCD109" s="978"/>
      <c r="GCE109" s="978"/>
      <c r="GCF109" s="978"/>
      <c r="GCG109" s="978"/>
      <c r="GCH109" s="978"/>
      <c r="GCI109" s="978"/>
      <c r="GCJ109" s="978"/>
      <c r="GCK109" s="978"/>
      <c r="GCL109" s="978"/>
      <c r="GCM109" s="978"/>
      <c r="GCN109" s="978"/>
      <c r="GCO109" s="978"/>
      <c r="GCP109" s="978"/>
      <c r="GCQ109" s="978"/>
      <c r="GCR109" s="978"/>
      <c r="GCS109" s="978"/>
      <c r="GCT109" s="978"/>
      <c r="GCU109" s="978"/>
      <c r="GCV109" s="978"/>
      <c r="GCW109" s="978"/>
      <c r="GCX109" s="978"/>
      <c r="GCY109" s="978"/>
      <c r="GCZ109" s="978"/>
      <c r="GDA109" s="978"/>
      <c r="GDB109" s="978"/>
      <c r="GDC109" s="978"/>
      <c r="GDD109" s="978"/>
      <c r="GDE109" s="978"/>
      <c r="GDF109" s="978"/>
      <c r="GDG109" s="978"/>
      <c r="GDH109" s="978"/>
      <c r="GDI109" s="978"/>
      <c r="GDJ109" s="978"/>
      <c r="GDK109" s="978"/>
      <c r="GDL109" s="978"/>
      <c r="GDM109" s="978"/>
      <c r="GDN109" s="978"/>
      <c r="GDO109" s="978"/>
      <c r="GDP109" s="978"/>
      <c r="GDQ109" s="978"/>
      <c r="GDR109" s="978"/>
      <c r="GDS109" s="978"/>
      <c r="GDT109" s="978"/>
      <c r="GDU109" s="978"/>
      <c r="GDV109" s="978"/>
      <c r="GDW109" s="978"/>
      <c r="GDX109" s="978"/>
      <c r="GDY109" s="978"/>
      <c r="GDZ109" s="978"/>
      <c r="GEA109" s="978"/>
      <c r="GEB109" s="978"/>
      <c r="GEC109" s="978"/>
      <c r="GED109" s="978"/>
      <c r="GEE109" s="978"/>
      <c r="GEF109" s="978"/>
      <c r="GEG109" s="978"/>
      <c r="GEH109" s="978"/>
      <c r="GEI109" s="978"/>
      <c r="GEJ109" s="978"/>
      <c r="GEK109" s="978"/>
      <c r="GEL109" s="978"/>
      <c r="GEM109" s="978"/>
      <c r="GEN109" s="978"/>
      <c r="GEO109" s="978"/>
      <c r="GEP109" s="978"/>
      <c r="GEQ109" s="978"/>
      <c r="GER109" s="978"/>
      <c r="GES109" s="978"/>
      <c r="GET109" s="978"/>
      <c r="GEU109" s="978"/>
      <c r="GEV109" s="978"/>
      <c r="GEW109" s="978"/>
      <c r="GEX109" s="978"/>
      <c r="GEY109" s="978"/>
      <c r="GEZ109" s="978"/>
      <c r="GFA109" s="978"/>
      <c r="GFB109" s="978"/>
      <c r="GFC109" s="978"/>
      <c r="GFD109" s="978"/>
      <c r="GFE109" s="978"/>
      <c r="GFF109" s="978"/>
      <c r="GFG109" s="978"/>
      <c r="GFH109" s="978"/>
      <c r="GFI109" s="978"/>
      <c r="GFJ109" s="978"/>
      <c r="GFK109" s="978"/>
      <c r="GFL109" s="978"/>
      <c r="GFM109" s="978"/>
      <c r="GFN109" s="978"/>
      <c r="GFO109" s="978"/>
      <c r="GFP109" s="978"/>
      <c r="GFQ109" s="978"/>
      <c r="GFR109" s="978"/>
      <c r="GFS109" s="978"/>
      <c r="GFT109" s="978"/>
      <c r="GFU109" s="978"/>
      <c r="GFV109" s="978"/>
      <c r="GFW109" s="978"/>
      <c r="GFX109" s="978"/>
      <c r="GFY109" s="978"/>
      <c r="GFZ109" s="978"/>
      <c r="GGA109" s="978"/>
      <c r="GGB109" s="978"/>
      <c r="GGC109" s="978"/>
      <c r="GGD109" s="978"/>
      <c r="GGE109" s="978"/>
      <c r="GGF109" s="978"/>
      <c r="GGG109" s="978"/>
      <c r="GGH109" s="978"/>
      <c r="GGI109" s="978"/>
      <c r="GGJ109" s="978"/>
      <c r="GGK109" s="978"/>
      <c r="GGL109" s="978"/>
      <c r="GGM109" s="978"/>
      <c r="GGN109" s="978"/>
      <c r="GGO109" s="978"/>
      <c r="GGP109" s="978"/>
      <c r="GGQ109" s="978"/>
      <c r="GGR109" s="978"/>
      <c r="GGS109" s="978"/>
      <c r="GGT109" s="978"/>
      <c r="GGU109" s="978"/>
      <c r="GGV109" s="978"/>
      <c r="GGW109" s="978"/>
      <c r="GGX109" s="978"/>
      <c r="GGY109" s="978"/>
      <c r="GGZ109" s="978"/>
      <c r="GHA109" s="978"/>
      <c r="GHB109" s="978"/>
      <c r="GHC109" s="978"/>
      <c r="GHD109" s="978"/>
      <c r="GHE109" s="978"/>
      <c r="GHF109" s="978"/>
      <c r="GHG109" s="978"/>
      <c r="GHH109" s="978"/>
      <c r="GHI109" s="978"/>
      <c r="GHJ109" s="978"/>
      <c r="GHK109" s="978"/>
      <c r="GHL109" s="978"/>
      <c r="GHM109" s="978"/>
      <c r="GHN109" s="978"/>
      <c r="GHO109" s="978"/>
      <c r="GHP109" s="978"/>
      <c r="GHQ109" s="978"/>
      <c r="GHR109" s="978"/>
      <c r="GHS109" s="978"/>
      <c r="GHT109" s="978"/>
      <c r="GHU109" s="978"/>
      <c r="GHV109" s="978"/>
      <c r="GHW109" s="978"/>
      <c r="GHX109" s="978"/>
      <c r="GHY109" s="978"/>
      <c r="GHZ109" s="978"/>
      <c r="GIA109" s="978"/>
      <c r="GIB109" s="978"/>
      <c r="GIC109" s="978"/>
      <c r="GID109" s="978"/>
      <c r="GIE109" s="978"/>
      <c r="GIF109" s="978"/>
      <c r="GIG109" s="978"/>
      <c r="GIH109" s="978"/>
      <c r="GII109" s="978"/>
      <c r="GIJ109" s="978"/>
      <c r="GIK109" s="978"/>
      <c r="GIL109" s="978"/>
      <c r="GIM109" s="978"/>
      <c r="GIN109" s="978"/>
      <c r="GIO109" s="978"/>
      <c r="GIP109" s="978"/>
      <c r="GIQ109" s="978"/>
      <c r="GIR109" s="978"/>
      <c r="GIS109" s="978"/>
      <c r="GIT109" s="978"/>
      <c r="GIU109" s="978"/>
      <c r="GIV109" s="978"/>
      <c r="GIW109" s="978"/>
      <c r="GIX109" s="978"/>
      <c r="GIY109" s="978"/>
      <c r="GIZ109" s="978"/>
      <c r="GJA109" s="978"/>
      <c r="GJB109" s="978"/>
      <c r="GJC109" s="978"/>
      <c r="GJD109" s="978"/>
      <c r="GJE109" s="978"/>
      <c r="GJF109" s="978"/>
      <c r="GJG109" s="978"/>
      <c r="GJH109" s="978"/>
      <c r="GJI109" s="978"/>
      <c r="GJJ109" s="978"/>
      <c r="GJK109" s="978"/>
      <c r="GJL109" s="978"/>
      <c r="GJM109" s="978"/>
      <c r="GJN109" s="978"/>
      <c r="GJO109" s="978"/>
      <c r="GJP109" s="978"/>
      <c r="GJQ109" s="978"/>
      <c r="GJR109" s="978"/>
      <c r="GJS109" s="978"/>
      <c r="GJT109" s="978"/>
      <c r="GJU109" s="978"/>
      <c r="GJV109" s="978"/>
      <c r="GJW109" s="978"/>
      <c r="GJX109" s="978"/>
      <c r="GJY109" s="978"/>
      <c r="GJZ109" s="978"/>
      <c r="GKA109" s="978"/>
      <c r="GKB109" s="978"/>
      <c r="GKC109" s="978"/>
      <c r="GKD109" s="978"/>
      <c r="GKE109" s="978"/>
      <c r="GKF109" s="978"/>
      <c r="GKG109" s="978"/>
      <c r="GKH109" s="978"/>
      <c r="GKI109" s="978"/>
      <c r="GKJ109" s="978"/>
      <c r="GKK109" s="978"/>
      <c r="GKL109" s="978"/>
      <c r="GKM109" s="978"/>
      <c r="GKN109" s="978"/>
      <c r="GKO109" s="978"/>
      <c r="GKP109" s="978"/>
      <c r="GKQ109" s="978"/>
      <c r="GKR109" s="978"/>
      <c r="GKS109" s="978"/>
      <c r="GKT109" s="978"/>
      <c r="GKU109" s="978"/>
      <c r="GKV109" s="978"/>
      <c r="GKW109" s="978"/>
      <c r="GKX109" s="978"/>
      <c r="GKY109" s="978"/>
      <c r="GKZ109" s="978"/>
      <c r="GLA109" s="978"/>
      <c r="GLB109" s="978"/>
      <c r="GLC109" s="978"/>
      <c r="GLD109" s="978"/>
      <c r="GLE109" s="978"/>
      <c r="GLF109" s="978"/>
      <c r="GLG109" s="978"/>
      <c r="GLH109" s="978"/>
      <c r="GLI109" s="978"/>
      <c r="GLJ109" s="978"/>
      <c r="GLK109" s="978"/>
      <c r="GLL109" s="978"/>
      <c r="GLM109" s="978"/>
      <c r="GLN109" s="978"/>
      <c r="GLO109" s="978"/>
      <c r="GLP109" s="978"/>
      <c r="GLQ109" s="978"/>
      <c r="GLR109" s="978"/>
      <c r="GLS109" s="978"/>
      <c r="GLT109" s="978"/>
      <c r="GLU109" s="978"/>
      <c r="GLV109" s="978"/>
      <c r="GLW109" s="978"/>
      <c r="GLX109" s="978"/>
      <c r="GLY109" s="978"/>
      <c r="GLZ109" s="978"/>
      <c r="GMA109" s="978"/>
      <c r="GMB109" s="978"/>
      <c r="GMC109" s="978"/>
      <c r="GMD109" s="978"/>
      <c r="GME109" s="978"/>
      <c r="GMF109" s="978"/>
      <c r="GMG109" s="978"/>
      <c r="GMH109" s="978"/>
      <c r="GMI109" s="978"/>
      <c r="GMJ109" s="978"/>
      <c r="GMK109" s="978"/>
      <c r="GML109" s="978"/>
      <c r="GMM109" s="978"/>
      <c r="GMN109" s="978"/>
      <c r="GMO109" s="978"/>
      <c r="GMP109" s="978"/>
      <c r="GMQ109" s="978"/>
      <c r="GMR109" s="978"/>
      <c r="GMS109" s="978"/>
      <c r="GMT109" s="978"/>
      <c r="GMU109" s="978"/>
      <c r="GMV109" s="978"/>
      <c r="GMW109" s="978"/>
      <c r="GMX109" s="978"/>
      <c r="GMY109" s="978"/>
      <c r="GMZ109" s="978"/>
      <c r="GNA109" s="978"/>
      <c r="GNB109" s="978"/>
      <c r="GNC109" s="978"/>
      <c r="GND109" s="978"/>
      <c r="GNE109" s="978"/>
      <c r="GNF109" s="978"/>
      <c r="GNG109" s="978"/>
      <c r="GNH109" s="978"/>
      <c r="GNI109" s="978"/>
      <c r="GNJ109" s="978"/>
      <c r="GNK109" s="978"/>
      <c r="GNL109" s="978"/>
      <c r="GNM109" s="978"/>
      <c r="GNN109" s="978"/>
      <c r="GNO109" s="978"/>
      <c r="GNP109" s="978"/>
      <c r="GNQ109" s="978"/>
      <c r="GNR109" s="978"/>
      <c r="GNS109" s="978"/>
      <c r="GNT109" s="978"/>
      <c r="GNU109" s="978"/>
      <c r="GNV109" s="978"/>
      <c r="GNW109" s="978"/>
      <c r="GNX109" s="978"/>
      <c r="GNY109" s="978"/>
      <c r="GNZ109" s="978"/>
      <c r="GOA109" s="978"/>
      <c r="GOB109" s="978"/>
      <c r="GOC109" s="978"/>
      <c r="GOD109" s="978"/>
      <c r="GOE109" s="978"/>
      <c r="GOF109" s="978"/>
      <c r="GOG109" s="978"/>
      <c r="GOH109" s="978"/>
      <c r="GOI109" s="978"/>
      <c r="GOJ109" s="978"/>
      <c r="GOK109" s="978"/>
      <c r="GOL109" s="978"/>
      <c r="GOM109" s="978"/>
      <c r="GON109" s="978"/>
      <c r="GOO109" s="978"/>
      <c r="GOP109" s="978"/>
      <c r="GOQ109" s="978"/>
      <c r="GOR109" s="978"/>
      <c r="GOS109" s="978"/>
      <c r="GOT109" s="978"/>
      <c r="GOU109" s="978"/>
      <c r="GOV109" s="978"/>
      <c r="GOW109" s="978"/>
      <c r="GOX109" s="978"/>
      <c r="GOY109" s="978"/>
      <c r="GOZ109" s="978"/>
      <c r="GPA109" s="978"/>
      <c r="GPB109" s="978"/>
      <c r="GPC109" s="978"/>
      <c r="GPD109" s="978"/>
      <c r="GPE109" s="978"/>
      <c r="GPF109" s="978"/>
      <c r="GPG109" s="978"/>
      <c r="GPH109" s="978"/>
      <c r="GPI109" s="978"/>
      <c r="GPJ109" s="978"/>
      <c r="GPK109" s="978"/>
      <c r="GPL109" s="978"/>
      <c r="GPM109" s="978"/>
      <c r="GPN109" s="978"/>
      <c r="GPO109" s="978"/>
      <c r="GPP109" s="978"/>
      <c r="GPQ109" s="978"/>
      <c r="GPR109" s="978"/>
      <c r="GPS109" s="978"/>
      <c r="GPT109" s="978"/>
      <c r="GPU109" s="978"/>
      <c r="GPV109" s="978"/>
      <c r="GPW109" s="978"/>
      <c r="GPX109" s="978"/>
      <c r="GPY109" s="978"/>
      <c r="GPZ109" s="978"/>
      <c r="GQA109" s="978"/>
      <c r="GQB109" s="978"/>
      <c r="GQC109" s="978"/>
      <c r="GQD109" s="978"/>
      <c r="GQE109" s="978"/>
      <c r="GQF109" s="978"/>
      <c r="GQG109" s="978"/>
      <c r="GQH109" s="978"/>
      <c r="GQI109" s="978"/>
      <c r="GQJ109" s="978"/>
      <c r="GQK109" s="978"/>
      <c r="GQL109" s="978"/>
      <c r="GQM109" s="978"/>
      <c r="GQN109" s="978"/>
      <c r="GQO109" s="978"/>
      <c r="GQP109" s="978"/>
      <c r="GQQ109" s="978"/>
      <c r="GQR109" s="978"/>
      <c r="GQS109" s="978"/>
      <c r="GQT109" s="978"/>
      <c r="GQU109" s="978"/>
      <c r="GQV109" s="978"/>
      <c r="GQW109" s="978"/>
      <c r="GQX109" s="978"/>
      <c r="GQY109" s="978"/>
      <c r="GQZ109" s="978"/>
      <c r="GRA109" s="978"/>
      <c r="GRB109" s="978"/>
      <c r="GRC109" s="978"/>
      <c r="GRD109" s="978"/>
      <c r="GRE109" s="978"/>
      <c r="GRF109" s="978"/>
      <c r="GRG109" s="978"/>
      <c r="GRH109" s="978"/>
      <c r="GRI109" s="978"/>
      <c r="GRJ109" s="978"/>
      <c r="GRK109" s="978"/>
      <c r="GRL109" s="978"/>
      <c r="GRM109" s="978"/>
      <c r="GRN109" s="978"/>
      <c r="GRO109" s="978"/>
      <c r="GRP109" s="978"/>
      <c r="GRQ109" s="978"/>
      <c r="GRR109" s="978"/>
      <c r="GRS109" s="978"/>
      <c r="GRT109" s="978"/>
      <c r="GRU109" s="978"/>
      <c r="GRV109" s="978"/>
      <c r="GRW109" s="978"/>
      <c r="GRX109" s="978"/>
      <c r="GRY109" s="978"/>
      <c r="GRZ109" s="978"/>
      <c r="GSA109" s="978"/>
      <c r="GSB109" s="978"/>
      <c r="GSC109" s="978"/>
      <c r="GSD109" s="978"/>
      <c r="GSE109" s="978"/>
      <c r="GSF109" s="978"/>
      <c r="GSG109" s="978"/>
      <c r="GSH109" s="978"/>
      <c r="GSI109" s="978"/>
      <c r="GSJ109" s="978"/>
      <c r="GSK109" s="978"/>
      <c r="GSL109" s="978"/>
      <c r="GSM109" s="978"/>
      <c r="GSN109" s="978"/>
      <c r="GSO109" s="978"/>
      <c r="GSP109" s="978"/>
      <c r="GSQ109" s="978"/>
      <c r="GSR109" s="978"/>
      <c r="GSS109" s="978"/>
      <c r="GST109" s="978"/>
      <c r="GSU109" s="978"/>
      <c r="GSV109" s="978"/>
      <c r="GSW109" s="978"/>
      <c r="GSX109" s="978"/>
      <c r="GSY109" s="978"/>
      <c r="GSZ109" s="978"/>
      <c r="GTA109" s="978"/>
      <c r="GTB109" s="978"/>
      <c r="GTC109" s="978"/>
      <c r="GTD109" s="978"/>
      <c r="GTE109" s="978"/>
      <c r="GTF109" s="978"/>
      <c r="GTG109" s="978"/>
      <c r="GTH109" s="978"/>
      <c r="GTI109" s="978"/>
      <c r="GTJ109" s="978"/>
      <c r="GTK109" s="978"/>
      <c r="GTL109" s="978"/>
      <c r="GTM109" s="978"/>
      <c r="GTN109" s="978"/>
      <c r="GTO109" s="978"/>
      <c r="GTP109" s="978"/>
      <c r="GTQ109" s="978"/>
      <c r="GTR109" s="978"/>
      <c r="GTS109" s="978"/>
      <c r="GTT109" s="978"/>
      <c r="GTU109" s="978"/>
      <c r="GTV109" s="978"/>
      <c r="GTW109" s="978"/>
      <c r="GTX109" s="978"/>
      <c r="GTY109" s="978"/>
      <c r="GTZ109" s="978"/>
      <c r="GUA109" s="978"/>
      <c r="GUB109" s="978"/>
      <c r="GUC109" s="978"/>
      <c r="GUD109" s="978"/>
      <c r="GUE109" s="978"/>
      <c r="GUF109" s="978"/>
      <c r="GUG109" s="978"/>
      <c r="GUH109" s="978"/>
      <c r="GUI109" s="978"/>
      <c r="GUJ109" s="978"/>
      <c r="GUK109" s="978"/>
      <c r="GUL109" s="978"/>
      <c r="GUM109" s="978"/>
      <c r="GUN109" s="978"/>
      <c r="GUO109" s="978"/>
      <c r="GUP109" s="978"/>
      <c r="GUQ109" s="978"/>
      <c r="GUR109" s="978"/>
      <c r="GUS109" s="978"/>
      <c r="GUT109" s="978"/>
      <c r="GUU109" s="978"/>
      <c r="GUV109" s="978"/>
      <c r="GUW109" s="978"/>
      <c r="GUX109" s="978"/>
      <c r="GUY109" s="978"/>
      <c r="GUZ109" s="978"/>
      <c r="GVA109" s="978"/>
      <c r="GVB109" s="978"/>
      <c r="GVC109" s="978"/>
      <c r="GVD109" s="978"/>
      <c r="GVE109" s="978"/>
      <c r="GVF109" s="978"/>
      <c r="GVG109" s="978"/>
      <c r="GVH109" s="978"/>
      <c r="GVI109" s="978"/>
      <c r="GVJ109" s="978"/>
      <c r="GVK109" s="978"/>
      <c r="GVL109" s="978"/>
      <c r="GVM109" s="978"/>
      <c r="GVN109" s="978"/>
      <c r="GVO109" s="978"/>
      <c r="GVP109" s="978"/>
      <c r="GVQ109" s="978"/>
      <c r="GVR109" s="978"/>
      <c r="GVS109" s="978"/>
      <c r="GVT109" s="978"/>
      <c r="GVU109" s="978"/>
      <c r="GVV109" s="978"/>
      <c r="GVW109" s="978"/>
      <c r="GVX109" s="978"/>
      <c r="GVY109" s="978"/>
      <c r="GVZ109" s="978"/>
      <c r="GWA109" s="978"/>
      <c r="GWB109" s="978"/>
      <c r="GWC109" s="978"/>
      <c r="GWD109" s="978"/>
      <c r="GWE109" s="978"/>
      <c r="GWF109" s="978"/>
      <c r="GWG109" s="978"/>
      <c r="GWH109" s="978"/>
      <c r="GWI109" s="978"/>
      <c r="GWJ109" s="978"/>
      <c r="GWK109" s="978"/>
      <c r="GWL109" s="978"/>
      <c r="GWM109" s="978"/>
      <c r="GWN109" s="978"/>
      <c r="GWO109" s="978"/>
      <c r="GWP109" s="978"/>
      <c r="GWQ109" s="978"/>
      <c r="GWR109" s="978"/>
      <c r="GWS109" s="978"/>
      <c r="GWT109" s="978"/>
      <c r="GWU109" s="978"/>
      <c r="GWV109" s="978"/>
      <c r="GWW109" s="978"/>
      <c r="GWX109" s="978"/>
      <c r="GWY109" s="978"/>
      <c r="GWZ109" s="978"/>
      <c r="GXA109" s="978"/>
      <c r="GXB109" s="978"/>
      <c r="GXC109" s="978"/>
      <c r="GXD109" s="978"/>
      <c r="GXE109" s="978"/>
      <c r="GXF109" s="978"/>
      <c r="GXG109" s="978"/>
      <c r="GXH109" s="978"/>
      <c r="GXI109" s="978"/>
      <c r="GXJ109" s="978"/>
      <c r="GXK109" s="978"/>
      <c r="GXL109" s="978"/>
      <c r="GXM109" s="978"/>
      <c r="GXN109" s="978"/>
      <c r="GXO109" s="978"/>
      <c r="GXP109" s="978"/>
      <c r="GXQ109" s="978"/>
      <c r="GXR109" s="978"/>
      <c r="GXS109" s="978"/>
      <c r="GXT109" s="978"/>
      <c r="GXU109" s="978"/>
      <c r="GXV109" s="978"/>
      <c r="GXW109" s="978"/>
      <c r="GXX109" s="978"/>
      <c r="GXY109" s="978"/>
      <c r="GXZ109" s="978"/>
      <c r="GYA109" s="978"/>
      <c r="GYB109" s="978"/>
      <c r="GYC109" s="978"/>
      <c r="GYD109" s="978"/>
      <c r="GYE109" s="978"/>
      <c r="GYF109" s="978"/>
      <c r="GYG109" s="978"/>
      <c r="GYH109" s="978"/>
      <c r="GYI109" s="978"/>
      <c r="GYJ109" s="978"/>
      <c r="GYK109" s="978"/>
      <c r="GYL109" s="978"/>
      <c r="GYM109" s="978"/>
      <c r="GYN109" s="978"/>
      <c r="GYO109" s="978"/>
      <c r="GYP109" s="978"/>
      <c r="GYQ109" s="978"/>
      <c r="GYR109" s="978"/>
      <c r="GYS109" s="978"/>
      <c r="GYT109" s="978"/>
      <c r="GYU109" s="978"/>
      <c r="GYV109" s="978"/>
      <c r="GYW109" s="978"/>
      <c r="GYX109" s="978"/>
      <c r="GYY109" s="978"/>
      <c r="GYZ109" s="978"/>
      <c r="GZA109" s="978"/>
      <c r="GZB109" s="978"/>
      <c r="GZC109" s="978"/>
      <c r="GZD109" s="978"/>
      <c r="GZE109" s="978"/>
      <c r="GZF109" s="978"/>
      <c r="GZG109" s="978"/>
      <c r="GZH109" s="978"/>
      <c r="GZI109" s="978"/>
      <c r="GZJ109" s="978"/>
      <c r="GZK109" s="978"/>
      <c r="GZL109" s="978"/>
      <c r="GZM109" s="978"/>
      <c r="GZN109" s="978"/>
      <c r="GZO109" s="978"/>
      <c r="GZP109" s="978"/>
      <c r="GZQ109" s="978"/>
      <c r="GZR109" s="978"/>
      <c r="GZS109" s="978"/>
      <c r="GZT109" s="978"/>
      <c r="GZU109" s="978"/>
      <c r="GZV109" s="978"/>
      <c r="GZW109" s="978"/>
      <c r="GZX109" s="978"/>
      <c r="GZY109" s="978"/>
      <c r="GZZ109" s="978"/>
      <c r="HAA109" s="978"/>
      <c r="HAB109" s="978"/>
      <c r="HAC109" s="978"/>
      <c r="HAD109" s="978"/>
      <c r="HAE109" s="978"/>
      <c r="HAF109" s="978"/>
      <c r="HAG109" s="978"/>
      <c r="HAH109" s="978"/>
      <c r="HAI109" s="978"/>
      <c r="HAJ109" s="978"/>
      <c r="HAK109" s="978"/>
      <c r="HAL109" s="978"/>
      <c r="HAM109" s="978"/>
      <c r="HAN109" s="978"/>
      <c r="HAO109" s="978"/>
      <c r="HAP109" s="978"/>
      <c r="HAQ109" s="978"/>
      <c r="HAR109" s="978"/>
      <c r="HAS109" s="978"/>
      <c r="HAT109" s="978"/>
      <c r="HAU109" s="978"/>
      <c r="HAV109" s="978"/>
      <c r="HAW109" s="978"/>
      <c r="HAX109" s="978"/>
      <c r="HAY109" s="978"/>
      <c r="HAZ109" s="978"/>
      <c r="HBA109" s="978"/>
      <c r="HBB109" s="978"/>
      <c r="HBC109" s="978"/>
      <c r="HBD109" s="978"/>
      <c r="HBE109" s="978"/>
      <c r="HBF109" s="978"/>
      <c r="HBG109" s="978"/>
      <c r="HBH109" s="978"/>
      <c r="HBI109" s="978"/>
      <c r="HBJ109" s="978"/>
      <c r="HBK109" s="978"/>
      <c r="HBL109" s="978"/>
      <c r="HBM109" s="978"/>
      <c r="HBN109" s="978"/>
      <c r="HBO109" s="978"/>
      <c r="HBP109" s="978"/>
      <c r="HBQ109" s="978"/>
      <c r="HBR109" s="978"/>
      <c r="HBS109" s="978"/>
      <c r="HBT109" s="978"/>
      <c r="HBU109" s="978"/>
      <c r="HBV109" s="978"/>
      <c r="HBW109" s="978"/>
      <c r="HBX109" s="978"/>
      <c r="HBY109" s="978"/>
      <c r="HBZ109" s="978"/>
      <c r="HCA109" s="978"/>
      <c r="HCB109" s="978"/>
      <c r="HCC109" s="978"/>
      <c r="HCD109" s="978"/>
      <c r="HCE109" s="978"/>
      <c r="HCF109" s="978"/>
      <c r="HCG109" s="978"/>
      <c r="HCH109" s="978"/>
      <c r="HCI109" s="978"/>
      <c r="HCJ109" s="978"/>
      <c r="HCK109" s="978"/>
      <c r="HCL109" s="978"/>
      <c r="HCM109" s="978"/>
      <c r="HCN109" s="978"/>
      <c r="HCO109" s="978"/>
      <c r="HCP109" s="978"/>
      <c r="HCQ109" s="978"/>
      <c r="HCR109" s="978"/>
      <c r="HCS109" s="978"/>
      <c r="HCT109" s="978"/>
      <c r="HCU109" s="978"/>
      <c r="HCV109" s="978"/>
      <c r="HCW109" s="978"/>
      <c r="HCX109" s="978"/>
      <c r="HCY109" s="978"/>
      <c r="HCZ109" s="978"/>
      <c r="HDA109" s="978"/>
      <c r="HDB109" s="978"/>
      <c r="HDC109" s="978"/>
      <c r="HDD109" s="978"/>
      <c r="HDE109" s="978"/>
      <c r="HDF109" s="978"/>
      <c r="HDG109" s="978"/>
      <c r="HDH109" s="978"/>
      <c r="HDI109" s="978"/>
      <c r="HDJ109" s="978"/>
      <c r="HDK109" s="978"/>
      <c r="HDL109" s="978"/>
      <c r="HDM109" s="978"/>
      <c r="HDN109" s="978"/>
      <c r="HDO109" s="978"/>
      <c r="HDP109" s="978"/>
      <c r="HDQ109" s="978"/>
      <c r="HDR109" s="978"/>
      <c r="HDS109" s="978"/>
      <c r="HDT109" s="978"/>
      <c r="HDU109" s="978"/>
      <c r="HDV109" s="978"/>
      <c r="HDW109" s="978"/>
      <c r="HDX109" s="978"/>
      <c r="HDY109" s="978"/>
      <c r="HDZ109" s="978"/>
      <c r="HEA109" s="978"/>
      <c r="HEB109" s="978"/>
      <c r="HEC109" s="978"/>
      <c r="HED109" s="978"/>
      <c r="HEE109" s="978"/>
      <c r="HEF109" s="978"/>
      <c r="HEG109" s="978"/>
      <c r="HEH109" s="978"/>
      <c r="HEI109" s="978"/>
      <c r="HEJ109" s="978"/>
      <c r="HEK109" s="978"/>
      <c r="HEL109" s="978"/>
      <c r="HEM109" s="978"/>
      <c r="HEN109" s="978"/>
      <c r="HEO109" s="978"/>
      <c r="HEP109" s="978"/>
      <c r="HEQ109" s="978"/>
      <c r="HER109" s="978"/>
      <c r="HES109" s="978"/>
      <c r="HET109" s="978"/>
      <c r="HEU109" s="978"/>
      <c r="HEV109" s="978"/>
      <c r="HEW109" s="978"/>
      <c r="HEX109" s="978"/>
      <c r="HEY109" s="978"/>
      <c r="HEZ109" s="978"/>
      <c r="HFA109" s="978"/>
      <c r="HFB109" s="978"/>
      <c r="HFC109" s="978"/>
      <c r="HFD109" s="978"/>
      <c r="HFE109" s="978"/>
      <c r="HFF109" s="978"/>
      <c r="HFG109" s="978"/>
      <c r="HFH109" s="978"/>
      <c r="HFI109" s="978"/>
      <c r="HFJ109" s="978"/>
      <c r="HFK109" s="978"/>
      <c r="HFL109" s="978"/>
      <c r="HFM109" s="978"/>
      <c r="HFN109" s="978"/>
      <c r="HFO109" s="978"/>
      <c r="HFP109" s="978"/>
      <c r="HFQ109" s="978"/>
      <c r="HFR109" s="978"/>
      <c r="HFS109" s="978"/>
      <c r="HFT109" s="978"/>
      <c r="HFU109" s="978"/>
      <c r="HFV109" s="978"/>
      <c r="HFW109" s="978"/>
      <c r="HFX109" s="978"/>
      <c r="HFY109" s="978"/>
      <c r="HFZ109" s="978"/>
      <c r="HGA109" s="978"/>
      <c r="HGB109" s="978"/>
      <c r="HGC109" s="978"/>
      <c r="HGD109" s="978"/>
      <c r="HGE109" s="978"/>
      <c r="HGF109" s="978"/>
      <c r="HGG109" s="978"/>
      <c r="HGH109" s="978"/>
      <c r="HGI109" s="978"/>
      <c r="HGJ109" s="978"/>
      <c r="HGK109" s="978"/>
      <c r="HGL109" s="978"/>
      <c r="HGM109" s="978"/>
      <c r="HGN109" s="978"/>
      <c r="HGO109" s="978"/>
      <c r="HGP109" s="978"/>
      <c r="HGQ109" s="978"/>
      <c r="HGR109" s="978"/>
      <c r="HGS109" s="978"/>
      <c r="HGT109" s="978"/>
      <c r="HGU109" s="978"/>
      <c r="HGV109" s="978"/>
      <c r="HGW109" s="978"/>
      <c r="HGX109" s="978"/>
      <c r="HGY109" s="978"/>
      <c r="HGZ109" s="978"/>
      <c r="HHA109" s="978"/>
      <c r="HHB109" s="978"/>
      <c r="HHC109" s="978"/>
      <c r="HHD109" s="978"/>
      <c r="HHE109" s="978"/>
      <c r="HHF109" s="978"/>
      <c r="HHG109" s="978"/>
      <c r="HHH109" s="978"/>
      <c r="HHI109" s="978"/>
      <c r="HHJ109" s="978"/>
      <c r="HHK109" s="978"/>
      <c r="HHL109" s="978"/>
      <c r="HHM109" s="978"/>
      <c r="HHN109" s="978"/>
      <c r="HHO109" s="978"/>
      <c r="HHP109" s="978"/>
      <c r="HHQ109" s="978"/>
      <c r="HHR109" s="978"/>
      <c r="HHS109" s="978"/>
      <c r="HHT109" s="978"/>
      <c r="HHU109" s="978"/>
      <c r="HHV109" s="978"/>
      <c r="HHW109" s="978"/>
      <c r="HHX109" s="978"/>
      <c r="HHY109" s="978"/>
      <c r="HHZ109" s="978"/>
      <c r="HIA109" s="978"/>
      <c r="HIB109" s="978"/>
      <c r="HIC109" s="978"/>
      <c r="HID109" s="978"/>
      <c r="HIE109" s="978"/>
      <c r="HIF109" s="978"/>
      <c r="HIG109" s="978"/>
      <c r="HIH109" s="978"/>
      <c r="HII109" s="978"/>
      <c r="HIJ109" s="978"/>
      <c r="HIK109" s="978"/>
      <c r="HIL109" s="978"/>
      <c r="HIM109" s="978"/>
      <c r="HIN109" s="978"/>
      <c r="HIO109" s="978"/>
      <c r="HIP109" s="978"/>
      <c r="HIQ109" s="978"/>
      <c r="HIR109" s="978"/>
      <c r="HIS109" s="978"/>
      <c r="HIT109" s="978"/>
      <c r="HIU109" s="978"/>
      <c r="HIV109" s="978"/>
      <c r="HIW109" s="978"/>
      <c r="HIX109" s="978"/>
      <c r="HIY109" s="978"/>
      <c r="HIZ109" s="978"/>
      <c r="HJA109" s="978"/>
      <c r="HJB109" s="978"/>
      <c r="HJC109" s="978"/>
      <c r="HJD109" s="978"/>
      <c r="HJE109" s="978"/>
      <c r="HJF109" s="978"/>
      <c r="HJG109" s="978"/>
      <c r="HJH109" s="978"/>
      <c r="HJI109" s="978"/>
      <c r="HJJ109" s="978"/>
      <c r="HJK109" s="978"/>
      <c r="HJL109" s="978"/>
      <c r="HJM109" s="978"/>
      <c r="HJN109" s="978"/>
      <c r="HJO109" s="978"/>
      <c r="HJP109" s="978"/>
      <c r="HJQ109" s="978"/>
      <c r="HJR109" s="978"/>
      <c r="HJS109" s="978"/>
      <c r="HJT109" s="978"/>
      <c r="HJU109" s="978"/>
      <c r="HJV109" s="978"/>
      <c r="HJW109" s="978"/>
      <c r="HJX109" s="978"/>
      <c r="HJY109" s="978"/>
      <c r="HJZ109" s="978"/>
      <c r="HKA109" s="978"/>
      <c r="HKB109" s="978"/>
      <c r="HKC109" s="978"/>
      <c r="HKD109" s="978"/>
      <c r="HKE109" s="978"/>
      <c r="HKF109" s="978"/>
      <c r="HKG109" s="978"/>
      <c r="HKH109" s="978"/>
      <c r="HKI109" s="978"/>
      <c r="HKJ109" s="978"/>
      <c r="HKK109" s="978"/>
      <c r="HKL109" s="978"/>
      <c r="HKM109" s="978"/>
      <c r="HKN109" s="978"/>
      <c r="HKO109" s="978"/>
      <c r="HKP109" s="978"/>
      <c r="HKQ109" s="978"/>
      <c r="HKR109" s="978"/>
      <c r="HKS109" s="978"/>
      <c r="HKT109" s="978"/>
      <c r="HKU109" s="978"/>
      <c r="HKV109" s="978"/>
      <c r="HKW109" s="978"/>
      <c r="HKX109" s="978"/>
      <c r="HKY109" s="978"/>
      <c r="HKZ109" s="978"/>
      <c r="HLA109" s="978"/>
      <c r="HLB109" s="978"/>
      <c r="HLC109" s="978"/>
      <c r="HLD109" s="978"/>
      <c r="HLE109" s="978"/>
      <c r="HLF109" s="978"/>
      <c r="HLG109" s="978"/>
      <c r="HLH109" s="978"/>
      <c r="HLI109" s="978"/>
      <c r="HLJ109" s="978"/>
      <c r="HLK109" s="978"/>
      <c r="HLL109" s="978"/>
      <c r="HLM109" s="978"/>
      <c r="HLN109" s="978"/>
      <c r="HLO109" s="978"/>
      <c r="HLP109" s="978"/>
      <c r="HLQ109" s="978"/>
      <c r="HLR109" s="978"/>
      <c r="HLS109" s="978"/>
      <c r="HLT109" s="978"/>
      <c r="HLU109" s="978"/>
      <c r="HLV109" s="978"/>
      <c r="HLW109" s="978"/>
      <c r="HLX109" s="978"/>
      <c r="HLY109" s="978"/>
      <c r="HLZ109" s="978"/>
      <c r="HMA109" s="978"/>
      <c r="HMB109" s="978"/>
      <c r="HMC109" s="978"/>
      <c r="HMD109" s="978"/>
      <c r="HME109" s="978"/>
      <c r="HMF109" s="978"/>
      <c r="HMG109" s="978"/>
      <c r="HMH109" s="978"/>
      <c r="HMI109" s="978"/>
      <c r="HMJ109" s="978"/>
      <c r="HMK109" s="978"/>
      <c r="HML109" s="978"/>
      <c r="HMM109" s="978"/>
      <c r="HMN109" s="978"/>
      <c r="HMO109" s="978"/>
      <c r="HMP109" s="978"/>
      <c r="HMQ109" s="978"/>
      <c r="HMR109" s="978"/>
      <c r="HMS109" s="978"/>
      <c r="HMT109" s="978"/>
      <c r="HMU109" s="978"/>
      <c r="HMV109" s="978"/>
      <c r="HMW109" s="978"/>
      <c r="HMX109" s="978"/>
      <c r="HMY109" s="978"/>
      <c r="HMZ109" s="978"/>
      <c r="HNA109" s="978"/>
      <c r="HNB109" s="978"/>
      <c r="HNC109" s="978"/>
      <c r="HND109" s="978"/>
      <c r="HNE109" s="978"/>
      <c r="HNF109" s="978"/>
      <c r="HNG109" s="978"/>
      <c r="HNH109" s="978"/>
      <c r="HNI109" s="978"/>
      <c r="HNJ109" s="978"/>
      <c r="HNK109" s="978"/>
      <c r="HNL109" s="978"/>
      <c r="HNM109" s="978"/>
      <c r="HNN109" s="978"/>
      <c r="HNO109" s="978"/>
      <c r="HNP109" s="978"/>
      <c r="HNQ109" s="978"/>
      <c r="HNR109" s="978"/>
      <c r="HNS109" s="978"/>
      <c r="HNT109" s="978"/>
      <c r="HNU109" s="978"/>
      <c r="HNV109" s="978"/>
      <c r="HNW109" s="978"/>
      <c r="HNX109" s="978"/>
      <c r="HNY109" s="978"/>
      <c r="HNZ109" s="978"/>
      <c r="HOA109" s="978"/>
      <c r="HOB109" s="978"/>
      <c r="HOC109" s="978"/>
      <c r="HOD109" s="978"/>
      <c r="HOE109" s="978"/>
      <c r="HOF109" s="978"/>
      <c r="HOG109" s="978"/>
      <c r="HOH109" s="978"/>
      <c r="HOI109" s="978"/>
      <c r="HOJ109" s="978"/>
      <c r="HOK109" s="978"/>
      <c r="HOL109" s="978"/>
      <c r="HOM109" s="978"/>
      <c r="HON109" s="978"/>
      <c r="HOO109" s="978"/>
      <c r="HOP109" s="978"/>
      <c r="HOQ109" s="978"/>
      <c r="HOR109" s="978"/>
      <c r="HOS109" s="978"/>
      <c r="HOT109" s="978"/>
      <c r="HOU109" s="978"/>
      <c r="HOV109" s="978"/>
      <c r="HOW109" s="978"/>
      <c r="HOX109" s="978"/>
      <c r="HOY109" s="978"/>
      <c r="HOZ109" s="978"/>
      <c r="HPA109" s="978"/>
      <c r="HPB109" s="978"/>
      <c r="HPC109" s="978"/>
      <c r="HPD109" s="978"/>
      <c r="HPE109" s="978"/>
      <c r="HPF109" s="978"/>
      <c r="HPG109" s="978"/>
      <c r="HPH109" s="978"/>
      <c r="HPI109" s="978"/>
      <c r="HPJ109" s="978"/>
      <c r="HPK109" s="978"/>
      <c r="HPL109" s="978"/>
      <c r="HPM109" s="978"/>
      <c r="HPN109" s="978"/>
      <c r="HPO109" s="978"/>
      <c r="HPP109" s="978"/>
      <c r="HPQ109" s="978"/>
      <c r="HPR109" s="978"/>
      <c r="HPS109" s="978"/>
      <c r="HPT109" s="978"/>
      <c r="HPU109" s="978"/>
      <c r="HPV109" s="978"/>
      <c r="HPW109" s="978"/>
      <c r="HPX109" s="978"/>
      <c r="HPY109" s="978"/>
      <c r="HPZ109" s="978"/>
      <c r="HQA109" s="978"/>
      <c r="HQB109" s="978"/>
      <c r="HQC109" s="978"/>
      <c r="HQD109" s="978"/>
      <c r="HQE109" s="978"/>
      <c r="HQF109" s="978"/>
      <c r="HQG109" s="978"/>
      <c r="HQH109" s="978"/>
      <c r="HQI109" s="978"/>
      <c r="HQJ109" s="978"/>
      <c r="HQK109" s="978"/>
      <c r="HQL109" s="978"/>
      <c r="HQM109" s="978"/>
      <c r="HQN109" s="978"/>
      <c r="HQO109" s="978"/>
      <c r="HQP109" s="978"/>
      <c r="HQQ109" s="978"/>
      <c r="HQR109" s="978"/>
      <c r="HQS109" s="978"/>
      <c r="HQT109" s="978"/>
      <c r="HQU109" s="978"/>
      <c r="HQV109" s="978"/>
      <c r="HQW109" s="978"/>
      <c r="HQX109" s="978"/>
      <c r="HQY109" s="978"/>
      <c r="HQZ109" s="978"/>
      <c r="HRA109" s="978"/>
      <c r="HRB109" s="978"/>
      <c r="HRC109" s="978"/>
      <c r="HRD109" s="978"/>
      <c r="HRE109" s="978"/>
      <c r="HRF109" s="978"/>
      <c r="HRG109" s="978"/>
      <c r="HRH109" s="978"/>
      <c r="HRI109" s="978"/>
      <c r="HRJ109" s="978"/>
      <c r="HRK109" s="978"/>
      <c r="HRL109" s="978"/>
      <c r="HRM109" s="978"/>
      <c r="HRN109" s="978"/>
      <c r="HRO109" s="978"/>
      <c r="HRP109" s="978"/>
      <c r="HRQ109" s="978"/>
      <c r="HRR109" s="978"/>
      <c r="HRS109" s="978"/>
      <c r="HRT109" s="978"/>
      <c r="HRU109" s="978"/>
      <c r="HRV109" s="978"/>
      <c r="HRW109" s="978"/>
      <c r="HRX109" s="978"/>
      <c r="HRY109" s="978"/>
      <c r="HRZ109" s="978"/>
      <c r="HSA109" s="978"/>
      <c r="HSB109" s="978"/>
      <c r="HSC109" s="978"/>
      <c r="HSD109" s="978"/>
      <c r="HSE109" s="978"/>
      <c r="HSF109" s="978"/>
      <c r="HSG109" s="978"/>
      <c r="HSH109" s="978"/>
      <c r="HSI109" s="978"/>
      <c r="HSJ109" s="978"/>
      <c r="HSK109" s="978"/>
      <c r="HSL109" s="978"/>
      <c r="HSM109" s="978"/>
      <c r="HSN109" s="978"/>
      <c r="HSO109" s="978"/>
      <c r="HSP109" s="978"/>
      <c r="HSQ109" s="978"/>
      <c r="HSR109" s="978"/>
      <c r="HSS109" s="978"/>
      <c r="HST109" s="978"/>
      <c r="HSU109" s="978"/>
      <c r="HSV109" s="978"/>
      <c r="HSW109" s="978"/>
      <c r="HSX109" s="978"/>
      <c r="HSY109" s="978"/>
      <c r="HSZ109" s="978"/>
      <c r="HTA109" s="978"/>
      <c r="HTB109" s="978"/>
      <c r="HTC109" s="978"/>
      <c r="HTD109" s="978"/>
      <c r="HTE109" s="978"/>
      <c r="HTF109" s="978"/>
      <c r="HTG109" s="978"/>
      <c r="HTH109" s="978"/>
      <c r="HTI109" s="978"/>
      <c r="HTJ109" s="978"/>
      <c r="HTK109" s="978"/>
      <c r="HTL109" s="978"/>
      <c r="HTM109" s="978"/>
      <c r="HTN109" s="978"/>
      <c r="HTO109" s="978"/>
      <c r="HTP109" s="978"/>
      <c r="HTQ109" s="978"/>
      <c r="HTR109" s="978"/>
      <c r="HTS109" s="978"/>
      <c r="HTT109" s="978"/>
      <c r="HTU109" s="978"/>
      <c r="HTV109" s="978"/>
      <c r="HTW109" s="978"/>
      <c r="HTX109" s="978"/>
      <c r="HTY109" s="978"/>
      <c r="HTZ109" s="978"/>
      <c r="HUA109" s="978"/>
      <c r="HUB109" s="978"/>
      <c r="HUC109" s="978"/>
      <c r="HUD109" s="978"/>
      <c r="HUE109" s="978"/>
      <c r="HUF109" s="978"/>
      <c r="HUG109" s="978"/>
      <c r="HUH109" s="978"/>
      <c r="HUI109" s="978"/>
      <c r="HUJ109" s="978"/>
      <c r="HUK109" s="978"/>
      <c r="HUL109" s="978"/>
      <c r="HUM109" s="978"/>
      <c r="HUN109" s="978"/>
      <c r="HUO109" s="978"/>
      <c r="HUP109" s="978"/>
      <c r="HUQ109" s="978"/>
      <c r="HUR109" s="978"/>
      <c r="HUS109" s="978"/>
      <c r="HUT109" s="978"/>
      <c r="HUU109" s="978"/>
      <c r="HUV109" s="978"/>
      <c r="HUW109" s="978"/>
      <c r="HUX109" s="978"/>
      <c r="HUY109" s="978"/>
      <c r="HUZ109" s="978"/>
      <c r="HVA109" s="978"/>
      <c r="HVB109" s="978"/>
      <c r="HVC109" s="978"/>
      <c r="HVD109" s="978"/>
      <c r="HVE109" s="978"/>
      <c r="HVF109" s="978"/>
      <c r="HVG109" s="978"/>
      <c r="HVH109" s="978"/>
      <c r="HVI109" s="978"/>
      <c r="HVJ109" s="978"/>
      <c r="HVK109" s="978"/>
      <c r="HVL109" s="978"/>
      <c r="HVM109" s="978"/>
      <c r="HVN109" s="978"/>
      <c r="HVO109" s="978"/>
      <c r="HVP109" s="978"/>
      <c r="HVQ109" s="978"/>
      <c r="HVR109" s="978"/>
      <c r="HVS109" s="978"/>
      <c r="HVT109" s="978"/>
      <c r="HVU109" s="978"/>
      <c r="HVV109" s="978"/>
      <c r="HVW109" s="978"/>
      <c r="HVX109" s="978"/>
      <c r="HVY109" s="978"/>
      <c r="HVZ109" s="978"/>
      <c r="HWA109" s="978"/>
      <c r="HWB109" s="978"/>
      <c r="HWC109" s="978"/>
      <c r="HWD109" s="978"/>
      <c r="HWE109" s="978"/>
      <c r="HWF109" s="978"/>
      <c r="HWG109" s="978"/>
      <c r="HWH109" s="978"/>
      <c r="HWI109" s="978"/>
      <c r="HWJ109" s="978"/>
      <c r="HWK109" s="978"/>
      <c r="HWL109" s="978"/>
      <c r="HWM109" s="978"/>
      <c r="HWN109" s="978"/>
      <c r="HWO109" s="978"/>
      <c r="HWP109" s="978"/>
      <c r="HWQ109" s="978"/>
      <c r="HWR109" s="978"/>
      <c r="HWS109" s="978"/>
      <c r="HWT109" s="978"/>
      <c r="HWU109" s="978"/>
      <c r="HWV109" s="978"/>
      <c r="HWW109" s="978"/>
      <c r="HWX109" s="978"/>
      <c r="HWY109" s="978"/>
      <c r="HWZ109" s="978"/>
      <c r="HXA109" s="978"/>
      <c r="HXB109" s="978"/>
      <c r="HXC109" s="978"/>
      <c r="HXD109" s="978"/>
      <c r="HXE109" s="978"/>
      <c r="HXF109" s="978"/>
      <c r="HXG109" s="978"/>
      <c r="HXH109" s="978"/>
      <c r="HXI109" s="978"/>
      <c r="HXJ109" s="978"/>
      <c r="HXK109" s="978"/>
      <c r="HXL109" s="978"/>
      <c r="HXM109" s="978"/>
      <c r="HXN109" s="978"/>
      <c r="HXO109" s="978"/>
      <c r="HXP109" s="978"/>
      <c r="HXQ109" s="978"/>
      <c r="HXR109" s="978"/>
      <c r="HXS109" s="978"/>
      <c r="HXT109" s="978"/>
      <c r="HXU109" s="978"/>
      <c r="HXV109" s="978"/>
      <c r="HXW109" s="978"/>
      <c r="HXX109" s="978"/>
      <c r="HXY109" s="978"/>
      <c r="HXZ109" s="978"/>
      <c r="HYA109" s="978"/>
      <c r="HYB109" s="978"/>
      <c r="HYC109" s="978"/>
      <c r="HYD109" s="978"/>
      <c r="HYE109" s="978"/>
      <c r="HYF109" s="978"/>
      <c r="HYG109" s="978"/>
      <c r="HYH109" s="978"/>
      <c r="HYI109" s="978"/>
      <c r="HYJ109" s="978"/>
      <c r="HYK109" s="978"/>
      <c r="HYL109" s="978"/>
      <c r="HYM109" s="978"/>
      <c r="HYN109" s="978"/>
      <c r="HYO109" s="978"/>
      <c r="HYP109" s="978"/>
      <c r="HYQ109" s="978"/>
      <c r="HYR109" s="978"/>
      <c r="HYS109" s="978"/>
      <c r="HYT109" s="978"/>
      <c r="HYU109" s="978"/>
      <c r="HYV109" s="978"/>
      <c r="HYW109" s="978"/>
      <c r="HYX109" s="978"/>
      <c r="HYY109" s="978"/>
      <c r="HYZ109" s="978"/>
      <c r="HZA109" s="978"/>
      <c r="HZB109" s="978"/>
      <c r="HZC109" s="978"/>
      <c r="HZD109" s="978"/>
      <c r="HZE109" s="978"/>
      <c r="HZF109" s="978"/>
      <c r="HZG109" s="978"/>
      <c r="HZH109" s="978"/>
      <c r="HZI109" s="978"/>
      <c r="HZJ109" s="978"/>
      <c r="HZK109" s="978"/>
      <c r="HZL109" s="978"/>
      <c r="HZM109" s="978"/>
      <c r="HZN109" s="978"/>
      <c r="HZO109" s="978"/>
      <c r="HZP109" s="978"/>
      <c r="HZQ109" s="978"/>
      <c r="HZR109" s="978"/>
      <c r="HZS109" s="978"/>
      <c r="HZT109" s="978"/>
      <c r="HZU109" s="978"/>
      <c r="HZV109" s="978"/>
      <c r="HZW109" s="978"/>
      <c r="HZX109" s="978"/>
      <c r="HZY109" s="978"/>
      <c r="HZZ109" s="978"/>
      <c r="IAA109" s="978"/>
      <c r="IAB109" s="978"/>
      <c r="IAC109" s="978"/>
      <c r="IAD109" s="978"/>
      <c r="IAE109" s="978"/>
      <c r="IAF109" s="978"/>
      <c r="IAG109" s="978"/>
      <c r="IAH109" s="978"/>
      <c r="IAI109" s="978"/>
      <c r="IAJ109" s="978"/>
      <c r="IAK109" s="978"/>
      <c r="IAL109" s="978"/>
      <c r="IAM109" s="978"/>
      <c r="IAN109" s="978"/>
      <c r="IAO109" s="978"/>
      <c r="IAP109" s="978"/>
      <c r="IAQ109" s="978"/>
      <c r="IAR109" s="978"/>
      <c r="IAS109" s="978"/>
      <c r="IAT109" s="978"/>
      <c r="IAU109" s="978"/>
      <c r="IAV109" s="978"/>
      <c r="IAW109" s="978"/>
      <c r="IAX109" s="978"/>
      <c r="IAY109" s="978"/>
      <c r="IAZ109" s="978"/>
      <c r="IBA109" s="978"/>
      <c r="IBB109" s="978"/>
      <c r="IBC109" s="978"/>
      <c r="IBD109" s="978"/>
      <c r="IBE109" s="978"/>
      <c r="IBF109" s="978"/>
      <c r="IBG109" s="978"/>
      <c r="IBH109" s="978"/>
      <c r="IBI109" s="978"/>
      <c r="IBJ109" s="978"/>
      <c r="IBK109" s="978"/>
      <c r="IBL109" s="978"/>
      <c r="IBM109" s="978"/>
      <c r="IBN109" s="978"/>
      <c r="IBO109" s="978"/>
      <c r="IBP109" s="978"/>
      <c r="IBQ109" s="978"/>
      <c r="IBR109" s="978"/>
      <c r="IBS109" s="978"/>
      <c r="IBT109" s="978"/>
      <c r="IBU109" s="978"/>
      <c r="IBV109" s="978"/>
      <c r="IBW109" s="978"/>
      <c r="IBX109" s="978"/>
      <c r="IBY109" s="978"/>
      <c r="IBZ109" s="978"/>
      <c r="ICA109" s="978"/>
      <c r="ICB109" s="978"/>
      <c r="ICC109" s="978"/>
      <c r="ICD109" s="978"/>
      <c r="ICE109" s="978"/>
      <c r="ICF109" s="978"/>
      <c r="ICG109" s="978"/>
      <c r="ICH109" s="978"/>
      <c r="ICI109" s="978"/>
      <c r="ICJ109" s="978"/>
      <c r="ICK109" s="978"/>
      <c r="ICL109" s="978"/>
      <c r="ICM109" s="978"/>
      <c r="ICN109" s="978"/>
      <c r="ICO109" s="978"/>
      <c r="ICP109" s="978"/>
      <c r="ICQ109" s="978"/>
      <c r="ICR109" s="978"/>
      <c r="ICS109" s="978"/>
      <c r="ICT109" s="978"/>
      <c r="ICU109" s="978"/>
      <c r="ICV109" s="978"/>
      <c r="ICW109" s="978"/>
      <c r="ICX109" s="978"/>
      <c r="ICY109" s="978"/>
      <c r="ICZ109" s="978"/>
      <c r="IDA109" s="978"/>
      <c r="IDB109" s="978"/>
      <c r="IDC109" s="978"/>
      <c r="IDD109" s="978"/>
      <c r="IDE109" s="978"/>
      <c r="IDF109" s="978"/>
      <c r="IDG109" s="978"/>
      <c r="IDH109" s="978"/>
      <c r="IDI109" s="978"/>
      <c r="IDJ109" s="978"/>
      <c r="IDK109" s="978"/>
      <c r="IDL109" s="978"/>
      <c r="IDM109" s="978"/>
      <c r="IDN109" s="978"/>
      <c r="IDO109" s="978"/>
      <c r="IDP109" s="978"/>
      <c r="IDQ109" s="978"/>
      <c r="IDR109" s="978"/>
      <c r="IDS109" s="978"/>
      <c r="IDT109" s="978"/>
      <c r="IDU109" s="978"/>
      <c r="IDV109" s="978"/>
      <c r="IDW109" s="978"/>
      <c r="IDX109" s="978"/>
      <c r="IDY109" s="978"/>
      <c r="IDZ109" s="978"/>
      <c r="IEA109" s="978"/>
      <c r="IEB109" s="978"/>
      <c r="IEC109" s="978"/>
      <c r="IED109" s="978"/>
      <c r="IEE109" s="978"/>
      <c r="IEF109" s="978"/>
      <c r="IEG109" s="978"/>
      <c r="IEH109" s="978"/>
      <c r="IEI109" s="978"/>
      <c r="IEJ109" s="978"/>
      <c r="IEK109" s="978"/>
      <c r="IEL109" s="978"/>
      <c r="IEM109" s="978"/>
      <c r="IEN109" s="978"/>
      <c r="IEO109" s="978"/>
      <c r="IEP109" s="978"/>
      <c r="IEQ109" s="978"/>
      <c r="IER109" s="978"/>
      <c r="IES109" s="978"/>
      <c r="IET109" s="978"/>
      <c r="IEU109" s="978"/>
      <c r="IEV109" s="978"/>
      <c r="IEW109" s="978"/>
      <c r="IEX109" s="978"/>
      <c r="IEY109" s="978"/>
      <c r="IEZ109" s="978"/>
      <c r="IFA109" s="978"/>
      <c r="IFB109" s="978"/>
      <c r="IFC109" s="978"/>
      <c r="IFD109" s="978"/>
      <c r="IFE109" s="978"/>
      <c r="IFF109" s="978"/>
      <c r="IFG109" s="978"/>
      <c r="IFH109" s="978"/>
      <c r="IFI109" s="978"/>
      <c r="IFJ109" s="978"/>
      <c r="IFK109" s="978"/>
      <c r="IFL109" s="978"/>
      <c r="IFM109" s="978"/>
      <c r="IFN109" s="978"/>
      <c r="IFO109" s="978"/>
      <c r="IFP109" s="978"/>
      <c r="IFQ109" s="978"/>
      <c r="IFR109" s="978"/>
      <c r="IFS109" s="978"/>
      <c r="IFT109" s="978"/>
      <c r="IFU109" s="978"/>
      <c r="IFV109" s="978"/>
      <c r="IFW109" s="978"/>
      <c r="IFX109" s="978"/>
      <c r="IFY109" s="978"/>
      <c r="IFZ109" s="978"/>
      <c r="IGA109" s="978"/>
      <c r="IGB109" s="978"/>
      <c r="IGC109" s="978"/>
      <c r="IGD109" s="978"/>
      <c r="IGE109" s="978"/>
      <c r="IGF109" s="978"/>
      <c r="IGG109" s="978"/>
      <c r="IGH109" s="978"/>
      <c r="IGI109" s="978"/>
      <c r="IGJ109" s="978"/>
      <c r="IGK109" s="978"/>
      <c r="IGL109" s="978"/>
      <c r="IGM109" s="978"/>
      <c r="IGN109" s="978"/>
      <c r="IGO109" s="978"/>
      <c r="IGP109" s="978"/>
      <c r="IGQ109" s="978"/>
      <c r="IGR109" s="978"/>
      <c r="IGS109" s="978"/>
      <c r="IGT109" s="978"/>
      <c r="IGU109" s="978"/>
      <c r="IGV109" s="978"/>
      <c r="IGW109" s="978"/>
      <c r="IGX109" s="978"/>
      <c r="IGY109" s="978"/>
      <c r="IGZ109" s="978"/>
      <c r="IHA109" s="978"/>
      <c r="IHB109" s="978"/>
      <c r="IHC109" s="978"/>
      <c r="IHD109" s="978"/>
      <c r="IHE109" s="978"/>
      <c r="IHF109" s="978"/>
      <c r="IHG109" s="978"/>
      <c r="IHH109" s="978"/>
      <c r="IHI109" s="978"/>
      <c r="IHJ109" s="978"/>
      <c r="IHK109" s="978"/>
      <c r="IHL109" s="978"/>
      <c r="IHM109" s="978"/>
      <c r="IHN109" s="978"/>
      <c r="IHO109" s="978"/>
      <c r="IHP109" s="978"/>
      <c r="IHQ109" s="978"/>
      <c r="IHR109" s="978"/>
      <c r="IHS109" s="978"/>
      <c r="IHT109" s="978"/>
      <c r="IHU109" s="978"/>
      <c r="IHV109" s="978"/>
      <c r="IHW109" s="978"/>
      <c r="IHX109" s="978"/>
      <c r="IHY109" s="978"/>
      <c r="IHZ109" s="978"/>
      <c r="IIA109" s="978"/>
      <c r="IIB109" s="978"/>
      <c r="IIC109" s="978"/>
      <c r="IID109" s="978"/>
      <c r="IIE109" s="978"/>
      <c r="IIF109" s="978"/>
      <c r="IIG109" s="978"/>
      <c r="IIH109" s="978"/>
      <c r="III109" s="978"/>
      <c r="IIJ109" s="978"/>
      <c r="IIK109" s="978"/>
      <c r="IIL109" s="978"/>
      <c r="IIM109" s="978"/>
      <c r="IIN109" s="978"/>
      <c r="IIO109" s="978"/>
      <c r="IIP109" s="978"/>
      <c r="IIQ109" s="978"/>
      <c r="IIR109" s="978"/>
      <c r="IIS109" s="978"/>
      <c r="IIT109" s="978"/>
      <c r="IIU109" s="978"/>
      <c r="IIV109" s="978"/>
      <c r="IIW109" s="978"/>
      <c r="IIX109" s="978"/>
      <c r="IIY109" s="978"/>
      <c r="IIZ109" s="978"/>
      <c r="IJA109" s="978"/>
      <c r="IJB109" s="978"/>
      <c r="IJC109" s="978"/>
      <c r="IJD109" s="978"/>
      <c r="IJE109" s="978"/>
      <c r="IJF109" s="978"/>
      <c r="IJG109" s="978"/>
      <c r="IJH109" s="978"/>
      <c r="IJI109" s="978"/>
      <c r="IJJ109" s="978"/>
      <c r="IJK109" s="978"/>
      <c r="IJL109" s="978"/>
      <c r="IJM109" s="978"/>
      <c r="IJN109" s="978"/>
      <c r="IJO109" s="978"/>
      <c r="IJP109" s="978"/>
      <c r="IJQ109" s="978"/>
      <c r="IJR109" s="978"/>
      <c r="IJS109" s="978"/>
      <c r="IJT109" s="978"/>
      <c r="IJU109" s="978"/>
      <c r="IJV109" s="978"/>
      <c r="IJW109" s="978"/>
      <c r="IJX109" s="978"/>
      <c r="IJY109" s="978"/>
      <c r="IJZ109" s="978"/>
      <c r="IKA109" s="978"/>
      <c r="IKB109" s="978"/>
      <c r="IKC109" s="978"/>
      <c r="IKD109" s="978"/>
      <c r="IKE109" s="978"/>
      <c r="IKF109" s="978"/>
      <c r="IKG109" s="978"/>
      <c r="IKH109" s="978"/>
      <c r="IKI109" s="978"/>
      <c r="IKJ109" s="978"/>
      <c r="IKK109" s="978"/>
      <c r="IKL109" s="978"/>
      <c r="IKM109" s="978"/>
      <c r="IKN109" s="978"/>
      <c r="IKO109" s="978"/>
      <c r="IKP109" s="978"/>
      <c r="IKQ109" s="978"/>
      <c r="IKR109" s="978"/>
      <c r="IKS109" s="978"/>
      <c r="IKT109" s="978"/>
      <c r="IKU109" s="978"/>
      <c r="IKV109" s="978"/>
      <c r="IKW109" s="978"/>
      <c r="IKX109" s="978"/>
      <c r="IKY109" s="978"/>
      <c r="IKZ109" s="978"/>
      <c r="ILA109" s="978"/>
      <c r="ILB109" s="978"/>
      <c r="ILC109" s="978"/>
      <c r="ILD109" s="978"/>
      <c r="ILE109" s="978"/>
      <c r="ILF109" s="978"/>
      <c r="ILG109" s="978"/>
      <c r="ILH109" s="978"/>
      <c r="ILI109" s="978"/>
      <c r="ILJ109" s="978"/>
      <c r="ILK109" s="978"/>
      <c r="ILL109" s="978"/>
      <c r="ILM109" s="978"/>
      <c r="ILN109" s="978"/>
      <c r="ILO109" s="978"/>
      <c r="ILP109" s="978"/>
      <c r="ILQ109" s="978"/>
      <c r="ILR109" s="978"/>
      <c r="ILS109" s="978"/>
      <c r="ILT109" s="978"/>
      <c r="ILU109" s="978"/>
      <c r="ILV109" s="978"/>
      <c r="ILW109" s="978"/>
      <c r="ILX109" s="978"/>
      <c r="ILY109" s="978"/>
      <c r="ILZ109" s="978"/>
      <c r="IMA109" s="978"/>
      <c r="IMB109" s="978"/>
      <c r="IMC109" s="978"/>
      <c r="IMD109" s="978"/>
      <c r="IME109" s="978"/>
      <c r="IMF109" s="978"/>
      <c r="IMG109" s="978"/>
      <c r="IMH109" s="978"/>
      <c r="IMI109" s="978"/>
      <c r="IMJ109" s="978"/>
      <c r="IMK109" s="978"/>
      <c r="IML109" s="978"/>
      <c r="IMM109" s="978"/>
      <c r="IMN109" s="978"/>
      <c r="IMO109" s="978"/>
      <c r="IMP109" s="978"/>
      <c r="IMQ109" s="978"/>
      <c r="IMR109" s="978"/>
      <c r="IMS109" s="978"/>
      <c r="IMT109" s="978"/>
      <c r="IMU109" s="978"/>
      <c r="IMV109" s="978"/>
      <c r="IMW109" s="978"/>
      <c r="IMX109" s="978"/>
      <c r="IMY109" s="978"/>
      <c r="IMZ109" s="978"/>
      <c r="INA109" s="978"/>
      <c r="INB109" s="978"/>
      <c r="INC109" s="978"/>
      <c r="IND109" s="978"/>
      <c r="INE109" s="978"/>
      <c r="INF109" s="978"/>
      <c r="ING109" s="978"/>
      <c r="INH109" s="978"/>
      <c r="INI109" s="978"/>
      <c r="INJ109" s="978"/>
      <c r="INK109" s="978"/>
      <c r="INL109" s="978"/>
      <c r="INM109" s="978"/>
      <c r="INN109" s="978"/>
      <c r="INO109" s="978"/>
      <c r="INP109" s="978"/>
      <c r="INQ109" s="978"/>
      <c r="INR109" s="978"/>
      <c r="INS109" s="978"/>
      <c r="INT109" s="978"/>
      <c r="INU109" s="978"/>
      <c r="INV109" s="978"/>
      <c r="INW109" s="978"/>
      <c r="INX109" s="978"/>
      <c r="INY109" s="978"/>
      <c r="INZ109" s="978"/>
      <c r="IOA109" s="978"/>
      <c r="IOB109" s="978"/>
      <c r="IOC109" s="978"/>
      <c r="IOD109" s="978"/>
      <c r="IOE109" s="978"/>
      <c r="IOF109" s="978"/>
      <c r="IOG109" s="978"/>
      <c r="IOH109" s="978"/>
      <c r="IOI109" s="978"/>
      <c r="IOJ109" s="978"/>
      <c r="IOK109" s="978"/>
      <c r="IOL109" s="978"/>
      <c r="IOM109" s="978"/>
      <c r="ION109" s="978"/>
      <c r="IOO109" s="978"/>
      <c r="IOP109" s="978"/>
      <c r="IOQ109" s="978"/>
      <c r="IOR109" s="978"/>
      <c r="IOS109" s="978"/>
      <c r="IOT109" s="978"/>
      <c r="IOU109" s="978"/>
      <c r="IOV109" s="978"/>
      <c r="IOW109" s="978"/>
      <c r="IOX109" s="978"/>
      <c r="IOY109" s="978"/>
      <c r="IOZ109" s="978"/>
      <c r="IPA109" s="978"/>
      <c r="IPB109" s="978"/>
      <c r="IPC109" s="978"/>
      <c r="IPD109" s="978"/>
      <c r="IPE109" s="978"/>
      <c r="IPF109" s="978"/>
      <c r="IPG109" s="978"/>
      <c r="IPH109" s="978"/>
      <c r="IPI109" s="978"/>
      <c r="IPJ109" s="978"/>
      <c r="IPK109" s="978"/>
      <c r="IPL109" s="978"/>
      <c r="IPM109" s="978"/>
      <c r="IPN109" s="978"/>
      <c r="IPO109" s="978"/>
      <c r="IPP109" s="978"/>
      <c r="IPQ109" s="978"/>
      <c r="IPR109" s="978"/>
      <c r="IPS109" s="978"/>
      <c r="IPT109" s="978"/>
      <c r="IPU109" s="978"/>
      <c r="IPV109" s="978"/>
      <c r="IPW109" s="978"/>
      <c r="IPX109" s="978"/>
      <c r="IPY109" s="978"/>
      <c r="IPZ109" s="978"/>
      <c r="IQA109" s="978"/>
      <c r="IQB109" s="978"/>
      <c r="IQC109" s="978"/>
      <c r="IQD109" s="978"/>
      <c r="IQE109" s="978"/>
      <c r="IQF109" s="978"/>
      <c r="IQG109" s="978"/>
      <c r="IQH109" s="978"/>
      <c r="IQI109" s="978"/>
      <c r="IQJ109" s="978"/>
      <c r="IQK109" s="978"/>
      <c r="IQL109" s="978"/>
      <c r="IQM109" s="978"/>
      <c r="IQN109" s="978"/>
      <c r="IQO109" s="978"/>
      <c r="IQP109" s="978"/>
      <c r="IQQ109" s="978"/>
      <c r="IQR109" s="978"/>
      <c r="IQS109" s="978"/>
      <c r="IQT109" s="978"/>
      <c r="IQU109" s="978"/>
      <c r="IQV109" s="978"/>
      <c r="IQW109" s="978"/>
      <c r="IQX109" s="978"/>
      <c r="IQY109" s="978"/>
      <c r="IQZ109" s="978"/>
      <c r="IRA109" s="978"/>
      <c r="IRB109" s="978"/>
      <c r="IRC109" s="978"/>
      <c r="IRD109" s="978"/>
      <c r="IRE109" s="978"/>
      <c r="IRF109" s="978"/>
      <c r="IRG109" s="978"/>
      <c r="IRH109" s="978"/>
      <c r="IRI109" s="978"/>
      <c r="IRJ109" s="978"/>
      <c r="IRK109" s="978"/>
      <c r="IRL109" s="978"/>
      <c r="IRM109" s="978"/>
      <c r="IRN109" s="978"/>
      <c r="IRO109" s="978"/>
      <c r="IRP109" s="978"/>
      <c r="IRQ109" s="978"/>
      <c r="IRR109" s="978"/>
      <c r="IRS109" s="978"/>
      <c r="IRT109" s="978"/>
      <c r="IRU109" s="978"/>
      <c r="IRV109" s="978"/>
      <c r="IRW109" s="978"/>
      <c r="IRX109" s="978"/>
      <c r="IRY109" s="978"/>
      <c r="IRZ109" s="978"/>
      <c r="ISA109" s="978"/>
      <c r="ISB109" s="978"/>
      <c r="ISC109" s="978"/>
      <c r="ISD109" s="978"/>
      <c r="ISE109" s="978"/>
      <c r="ISF109" s="978"/>
      <c r="ISG109" s="978"/>
      <c r="ISH109" s="978"/>
      <c r="ISI109" s="978"/>
      <c r="ISJ109" s="978"/>
      <c r="ISK109" s="978"/>
      <c r="ISL109" s="978"/>
      <c r="ISM109" s="978"/>
      <c r="ISN109" s="978"/>
      <c r="ISO109" s="978"/>
      <c r="ISP109" s="978"/>
      <c r="ISQ109" s="978"/>
      <c r="ISR109" s="978"/>
      <c r="ISS109" s="978"/>
      <c r="IST109" s="978"/>
      <c r="ISU109" s="978"/>
      <c r="ISV109" s="978"/>
      <c r="ISW109" s="978"/>
      <c r="ISX109" s="978"/>
      <c r="ISY109" s="978"/>
      <c r="ISZ109" s="978"/>
      <c r="ITA109" s="978"/>
      <c r="ITB109" s="978"/>
      <c r="ITC109" s="978"/>
      <c r="ITD109" s="978"/>
      <c r="ITE109" s="978"/>
      <c r="ITF109" s="978"/>
      <c r="ITG109" s="978"/>
      <c r="ITH109" s="978"/>
      <c r="ITI109" s="978"/>
      <c r="ITJ109" s="978"/>
      <c r="ITK109" s="978"/>
      <c r="ITL109" s="978"/>
      <c r="ITM109" s="978"/>
      <c r="ITN109" s="978"/>
      <c r="ITO109" s="978"/>
      <c r="ITP109" s="978"/>
      <c r="ITQ109" s="978"/>
      <c r="ITR109" s="978"/>
      <c r="ITS109" s="978"/>
      <c r="ITT109" s="978"/>
      <c r="ITU109" s="978"/>
      <c r="ITV109" s="978"/>
      <c r="ITW109" s="978"/>
      <c r="ITX109" s="978"/>
      <c r="ITY109" s="978"/>
      <c r="ITZ109" s="978"/>
      <c r="IUA109" s="978"/>
      <c r="IUB109" s="978"/>
      <c r="IUC109" s="978"/>
      <c r="IUD109" s="978"/>
      <c r="IUE109" s="978"/>
      <c r="IUF109" s="978"/>
      <c r="IUG109" s="978"/>
      <c r="IUH109" s="978"/>
      <c r="IUI109" s="978"/>
      <c r="IUJ109" s="978"/>
      <c r="IUK109" s="978"/>
      <c r="IUL109" s="978"/>
      <c r="IUM109" s="978"/>
      <c r="IUN109" s="978"/>
      <c r="IUO109" s="978"/>
      <c r="IUP109" s="978"/>
      <c r="IUQ109" s="978"/>
      <c r="IUR109" s="978"/>
      <c r="IUS109" s="978"/>
      <c r="IUT109" s="978"/>
      <c r="IUU109" s="978"/>
      <c r="IUV109" s="978"/>
      <c r="IUW109" s="978"/>
      <c r="IUX109" s="978"/>
      <c r="IUY109" s="978"/>
      <c r="IUZ109" s="978"/>
      <c r="IVA109" s="978"/>
      <c r="IVB109" s="978"/>
      <c r="IVC109" s="978"/>
      <c r="IVD109" s="978"/>
      <c r="IVE109" s="978"/>
      <c r="IVF109" s="978"/>
      <c r="IVG109" s="978"/>
      <c r="IVH109" s="978"/>
      <c r="IVI109" s="978"/>
      <c r="IVJ109" s="978"/>
      <c r="IVK109" s="978"/>
      <c r="IVL109" s="978"/>
      <c r="IVM109" s="978"/>
      <c r="IVN109" s="978"/>
      <c r="IVO109" s="978"/>
      <c r="IVP109" s="978"/>
      <c r="IVQ109" s="978"/>
      <c r="IVR109" s="978"/>
      <c r="IVS109" s="978"/>
      <c r="IVT109" s="978"/>
      <c r="IVU109" s="978"/>
      <c r="IVV109" s="978"/>
      <c r="IVW109" s="978"/>
      <c r="IVX109" s="978"/>
      <c r="IVY109" s="978"/>
      <c r="IVZ109" s="978"/>
      <c r="IWA109" s="978"/>
      <c r="IWB109" s="978"/>
      <c r="IWC109" s="978"/>
      <c r="IWD109" s="978"/>
      <c r="IWE109" s="978"/>
      <c r="IWF109" s="978"/>
      <c r="IWG109" s="978"/>
      <c r="IWH109" s="978"/>
      <c r="IWI109" s="978"/>
      <c r="IWJ109" s="978"/>
      <c r="IWK109" s="978"/>
      <c r="IWL109" s="978"/>
      <c r="IWM109" s="978"/>
      <c r="IWN109" s="978"/>
      <c r="IWO109" s="978"/>
      <c r="IWP109" s="978"/>
      <c r="IWQ109" s="978"/>
      <c r="IWR109" s="978"/>
      <c r="IWS109" s="978"/>
      <c r="IWT109" s="978"/>
      <c r="IWU109" s="978"/>
      <c r="IWV109" s="978"/>
      <c r="IWW109" s="978"/>
      <c r="IWX109" s="978"/>
      <c r="IWY109" s="978"/>
      <c r="IWZ109" s="978"/>
      <c r="IXA109" s="978"/>
      <c r="IXB109" s="978"/>
      <c r="IXC109" s="978"/>
      <c r="IXD109" s="978"/>
      <c r="IXE109" s="978"/>
      <c r="IXF109" s="978"/>
      <c r="IXG109" s="978"/>
      <c r="IXH109" s="978"/>
      <c r="IXI109" s="978"/>
      <c r="IXJ109" s="978"/>
      <c r="IXK109" s="978"/>
      <c r="IXL109" s="978"/>
      <c r="IXM109" s="978"/>
      <c r="IXN109" s="978"/>
      <c r="IXO109" s="978"/>
      <c r="IXP109" s="978"/>
      <c r="IXQ109" s="978"/>
      <c r="IXR109" s="978"/>
      <c r="IXS109" s="978"/>
      <c r="IXT109" s="978"/>
      <c r="IXU109" s="978"/>
      <c r="IXV109" s="978"/>
      <c r="IXW109" s="978"/>
      <c r="IXX109" s="978"/>
      <c r="IXY109" s="978"/>
      <c r="IXZ109" s="978"/>
      <c r="IYA109" s="978"/>
      <c r="IYB109" s="978"/>
      <c r="IYC109" s="978"/>
      <c r="IYD109" s="978"/>
      <c r="IYE109" s="978"/>
      <c r="IYF109" s="978"/>
      <c r="IYG109" s="978"/>
      <c r="IYH109" s="978"/>
      <c r="IYI109" s="978"/>
      <c r="IYJ109" s="978"/>
      <c r="IYK109" s="978"/>
      <c r="IYL109" s="978"/>
      <c r="IYM109" s="978"/>
      <c r="IYN109" s="978"/>
      <c r="IYO109" s="978"/>
      <c r="IYP109" s="978"/>
      <c r="IYQ109" s="978"/>
      <c r="IYR109" s="978"/>
      <c r="IYS109" s="978"/>
      <c r="IYT109" s="978"/>
      <c r="IYU109" s="978"/>
      <c r="IYV109" s="978"/>
      <c r="IYW109" s="978"/>
      <c r="IYX109" s="978"/>
      <c r="IYY109" s="978"/>
      <c r="IYZ109" s="978"/>
      <c r="IZA109" s="978"/>
      <c r="IZB109" s="978"/>
      <c r="IZC109" s="978"/>
      <c r="IZD109" s="978"/>
      <c r="IZE109" s="978"/>
      <c r="IZF109" s="978"/>
      <c r="IZG109" s="978"/>
      <c r="IZH109" s="978"/>
      <c r="IZI109" s="978"/>
      <c r="IZJ109" s="978"/>
      <c r="IZK109" s="978"/>
      <c r="IZL109" s="978"/>
      <c r="IZM109" s="978"/>
      <c r="IZN109" s="978"/>
      <c r="IZO109" s="978"/>
      <c r="IZP109" s="978"/>
      <c r="IZQ109" s="978"/>
      <c r="IZR109" s="978"/>
      <c r="IZS109" s="978"/>
      <c r="IZT109" s="978"/>
      <c r="IZU109" s="978"/>
      <c r="IZV109" s="978"/>
      <c r="IZW109" s="978"/>
      <c r="IZX109" s="978"/>
      <c r="IZY109" s="978"/>
      <c r="IZZ109" s="978"/>
      <c r="JAA109" s="978"/>
      <c r="JAB109" s="978"/>
      <c r="JAC109" s="978"/>
      <c r="JAD109" s="978"/>
      <c r="JAE109" s="978"/>
      <c r="JAF109" s="978"/>
      <c r="JAG109" s="978"/>
      <c r="JAH109" s="978"/>
      <c r="JAI109" s="978"/>
      <c r="JAJ109" s="978"/>
      <c r="JAK109" s="978"/>
      <c r="JAL109" s="978"/>
      <c r="JAM109" s="978"/>
      <c r="JAN109" s="978"/>
      <c r="JAO109" s="978"/>
      <c r="JAP109" s="978"/>
      <c r="JAQ109" s="978"/>
      <c r="JAR109" s="978"/>
      <c r="JAS109" s="978"/>
      <c r="JAT109" s="978"/>
      <c r="JAU109" s="978"/>
      <c r="JAV109" s="978"/>
      <c r="JAW109" s="978"/>
      <c r="JAX109" s="978"/>
      <c r="JAY109" s="978"/>
      <c r="JAZ109" s="978"/>
      <c r="JBA109" s="978"/>
      <c r="JBB109" s="978"/>
      <c r="JBC109" s="978"/>
      <c r="JBD109" s="978"/>
      <c r="JBE109" s="978"/>
      <c r="JBF109" s="978"/>
      <c r="JBG109" s="978"/>
      <c r="JBH109" s="978"/>
      <c r="JBI109" s="978"/>
      <c r="JBJ109" s="978"/>
      <c r="JBK109" s="978"/>
      <c r="JBL109" s="978"/>
      <c r="JBM109" s="978"/>
      <c r="JBN109" s="978"/>
      <c r="JBO109" s="978"/>
      <c r="JBP109" s="978"/>
      <c r="JBQ109" s="978"/>
      <c r="JBR109" s="978"/>
      <c r="JBS109" s="978"/>
      <c r="JBT109" s="978"/>
      <c r="JBU109" s="978"/>
      <c r="JBV109" s="978"/>
      <c r="JBW109" s="978"/>
      <c r="JBX109" s="978"/>
      <c r="JBY109" s="978"/>
      <c r="JBZ109" s="978"/>
      <c r="JCA109" s="978"/>
      <c r="JCB109" s="978"/>
      <c r="JCC109" s="978"/>
      <c r="JCD109" s="978"/>
      <c r="JCE109" s="978"/>
      <c r="JCF109" s="978"/>
      <c r="JCG109" s="978"/>
      <c r="JCH109" s="978"/>
      <c r="JCI109" s="978"/>
      <c r="JCJ109" s="978"/>
      <c r="JCK109" s="978"/>
      <c r="JCL109" s="978"/>
      <c r="JCM109" s="978"/>
      <c r="JCN109" s="978"/>
      <c r="JCO109" s="978"/>
      <c r="JCP109" s="978"/>
      <c r="JCQ109" s="978"/>
      <c r="JCR109" s="978"/>
      <c r="JCS109" s="978"/>
      <c r="JCT109" s="978"/>
      <c r="JCU109" s="978"/>
      <c r="JCV109" s="978"/>
      <c r="JCW109" s="978"/>
      <c r="JCX109" s="978"/>
      <c r="JCY109" s="978"/>
      <c r="JCZ109" s="978"/>
      <c r="JDA109" s="978"/>
      <c r="JDB109" s="978"/>
      <c r="JDC109" s="978"/>
      <c r="JDD109" s="978"/>
      <c r="JDE109" s="978"/>
      <c r="JDF109" s="978"/>
      <c r="JDG109" s="978"/>
      <c r="JDH109" s="978"/>
      <c r="JDI109" s="978"/>
      <c r="JDJ109" s="978"/>
      <c r="JDK109" s="978"/>
      <c r="JDL109" s="978"/>
      <c r="JDM109" s="978"/>
      <c r="JDN109" s="978"/>
      <c r="JDO109" s="978"/>
      <c r="JDP109" s="978"/>
      <c r="JDQ109" s="978"/>
      <c r="JDR109" s="978"/>
      <c r="JDS109" s="978"/>
      <c r="JDT109" s="978"/>
      <c r="JDU109" s="978"/>
      <c r="JDV109" s="978"/>
      <c r="JDW109" s="978"/>
      <c r="JDX109" s="978"/>
      <c r="JDY109" s="978"/>
      <c r="JDZ109" s="978"/>
      <c r="JEA109" s="978"/>
      <c r="JEB109" s="978"/>
      <c r="JEC109" s="978"/>
      <c r="JED109" s="978"/>
      <c r="JEE109" s="978"/>
      <c r="JEF109" s="978"/>
      <c r="JEG109" s="978"/>
      <c r="JEH109" s="978"/>
      <c r="JEI109" s="978"/>
      <c r="JEJ109" s="978"/>
      <c r="JEK109" s="978"/>
      <c r="JEL109" s="978"/>
      <c r="JEM109" s="978"/>
      <c r="JEN109" s="978"/>
      <c r="JEO109" s="978"/>
      <c r="JEP109" s="978"/>
      <c r="JEQ109" s="978"/>
      <c r="JER109" s="978"/>
      <c r="JES109" s="978"/>
      <c r="JET109" s="978"/>
      <c r="JEU109" s="978"/>
      <c r="JEV109" s="978"/>
      <c r="JEW109" s="978"/>
      <c r="JEX109" s="978"/>
      <c r="JEY109" s="978"/>
      <c r="JEZ109" s="978"/>
      <c r="JFA109" s="978"/>
      <c r="JFB109" s="978"/>
      <c r="JFC109" s="978"/>
      <c r="JFD109" s="978"/>
      <c r="JFE109" s="978"/>
      <c r="JFF109" s="978"/>
      <c r="JFG109" s="978"/>
      <c r="JFH109" s="978"/>
      <c r="JFI109" s="978"/>
      <c r="JFJ109" s="978"/>
      <c r="JFK109" s="978"/>
      <c r="JFL109" s="978"/>
      <c r="JFM109" s="978"/>
      <c r="JFN109" s="978"/>
      <c r="JFO109" s="978"/>
      <c r="JFP109" s="978"/>
      <c r="JFQ109" s="978"/>
      <c r="JFR109" s="978"/>
      <c r="JFS109" s="978"/>
      <c r="JFT109" s="978"/>
      <c r="JFU109" s="978"/>
      <c r="JFV109" s="978"/>
      <c r="JFW109" s="978"/>
      <c r="JFX109" s="978"/>
      <c r="JFY109" s="978"/>
      <c r="JFZ109" s="978"/>
      <c r="JGA109" s="978"/>
      <c r="JGB109" s="978"/>
      <c r="JGC109" s="978"/>
      <c r="JGD109" s="978"/>
      <c r="JGE109" s="978"/>
      <c r="JGF109" s="978"/>
      <c r="JGG109" s="978"/>
      <c r="JGH109" s="978"/>
      <c r="JGI109" s="978"/>
      <c r="JGJ109" s="978"/>
      <c r="JGK109" s="978"/>
      <c r="JGL109" s="978"/>
      <c r="JGM109" s="978"/>
      <c r="JGN109" s="978"/>
      <c r="JGO109" s="978"/>
      <c r="JGP109" s="978"/>
      <c r="JGQ109" s="978"/>
      <c r="JGR109" s="978"/>
      <c r="JGS109" s="978"/>
      <c r="JGT109" s="978"/>
      <c r="JGU109" s="978"/>
      <c r="JGV109" s="978"/>
      <c r="JGW109" s="978"/>
      <c r="JGX109" s="978"/>
      <c r="JGY109" s="978"/>
      <c r="JGZ109" s="978"/>
      <c r="JHA109" s="978"/>
      <c r="JHB109" s="978"/>
      <c r="JHC109" s="978"/>
      <c r="JHD109" s="978"/>
      <c r="JHE109" s="978"/>
      <c r="JHF109" s="978"/>
      <c r="JHG109" s="978"/>
      <c r="JHH109" s="978"/>
      <c r="JHI109" s="978"/>
      <c r="JHJ109" s="978"/>
      <c r="JHK109" s="978"/>
      <c r="JHL109" s="978"/>
      <c r="JHM109" s="978"/>
      <c r="JHN109" s="978"/>
      <c r="JHO109" s="978"/>
      <c r="JHP109" s="978"/>
      <c r="JHQ109" s="978"/>
      <c r="JHR109" s="978"/>
      <c r="JHS109" s="978"/>
      <c r="JHT109" s="978"/>
      <c r="JHU109" s="978"/>
      <c r="JHV109" s="978"/>
      <c r="JHW109" s="978"/>
      <c r="JHX109" s="978"/>
      <c r="JHY109" s="978"/>
      <c r="JHZ109" s="978"/>
      <c r="JIA109" s="978"/>
      <c r="JIB109" s="978"/>
      <c r="JIC109" s="978"/>
      <c r="JID109" s="978"/>
      <c r="JIE109" s="978"/>
      <c r="JIF109" s="978"/>
      <c r="JIG109" s="978"/>
      <c r="JIH109" s="978"/>
      <c r="JII109" s="978"/>
      <c r="JIJ109" s="978"/>
      <c r="JIK109" s="978"/>
      <c r="JIL109" s="978"/>
      <c r="JIM109" s="978"/>
      <c r="JIN109" s="978"/>
      <c r="JIO109" s="978"/>
      <c r="JIP109" s="978"/>
      <c r="JIQ109" s="978"/>
      <c r="JIR109" s="978"/>
      <c r="JIS109" s="978"/>
      <c r="JIT109" s="978"/>
      <c r="JIU109" s="978"/>
      <c r="JIV109" s="978"/>
      <c r="JIW109" s="978"/>
      <c r="JIX109" s="978"/>
      <c r="JIY109" s="978"/>
      <c r="JIZ109" s="978"/>
      <c r="JJA109" s="978"/>
      <c r="JJB109" s="978"/>
      <c r="JJC109" s="978"/>
      <c r="JJD109" s="978"/>
      <c r="JJE109" s="978"/>
      <c r="JJF109" s="978"/>
      <c r="JJG109" s="978"/>
      <c r="JJH109" s="978"/>
      <c r="JJI109" s="978"/>
      <c r="JJJ109" s="978"/>
      <c r="JJK109" s="978"/>
      <c r="JJL109" s="978"/>
      <c r="JJM109" s="978"/>
      <c r="JJN109" s="978"/>
      <c r="JJO109" s="978"/>
      <c r="JJP109" s="978"/>
      <c r="JJQ109" s="978"/>
      <c r="JJR109" s="978"/>
      <c r="JJS109" s="978"/>
      <c r="JJT109" s="978"/>
      <c r="JJU109" s="978"/>
      <c r="JJV109" s="978"/>
      <c r="JJW109" s="978"/>
      <c r="JJX109" s="978"/>
      <c r="JJY109" s="978"/>
      <c r="JJZ109" s="978"/>
      <c r="JKA109" s="978"/>
      <c r="JKB109" s="978"/>
      <c r="JKC109" s="978"/>
      <c r="JKD109" s="978"/>
      <c r="JKE109" s="978"/>
      <c r="JKF109" s="978"/>
      <c r="JKG109" s="978"/>
      <c r="JKH109" s="978"/>
      <c r="JKI109" s="978"/>
      <c r="JKJ109" s="978"/>
      <c r="JKK109" s="978"/>
      <c r="JKL109" s="978"/>
      <c r="JKM109" s="978"/>
      <c r="JKN109" s="978"/>
      <c r="JKO109" s="978"/>
      <c r="JKP109" s="978"/>
      <c r="JKQ109" s="978"/>
      <c r="JKR109" s="978"/>
      <c r="JKS109" s="978"/>
      <c r="JKT109" s="978"/>
      <c r="JKU109" s="978"/>
      <c r="JKV109" s="978"/>
      <c r="JKW109" s="978"/>
      <c r="JKX109" s="978"/>
      <c r="JKY109" s="978"/>
      <c r="JKZ109" s="978"/>
      <c r="JLA109" s="978"/>
      <c r="JLB109" s="978"/>
      <c r="JLC109" s="978"/>
      <c r="JLD109" s="978"/>
      <c r="JLE109" s="978"/>
      <c r="JLF109" s="978"/>
      <c r="JLG109" s="978"/>
      <c r="JLH109" s="978"/>
      <c r="JLI109" s="978"/>
      <c r="JLJ109" s="978"/>
      <c r="JLK109" s="978"/>
      <c r="JLL109" s="978"/>
      <c r="JLM109" s="978"/>
      <c r="JLN109" s="978"/>
      <c r="JLO109" s="978"/>
      <c r="JLP109" s="978"/>
      <c r="JLQ109" s="978"/>
      <c r="JLR109" s="978"/>
      <c r="JLS109" s="978"/>
      <c r="JLT109" s="978"/>
      <c r="JLU109" s="978"/>
      <c r="JLV109" s="978"/>
      <c r="JLW109" s="978"/>
      <c r="JLX109" s="978"/>
      <c r="JLY109" s="978"/>
      <c r="JLZ109" s="978"/>
      <c r="JMA109" s="978"/>
      <c r="JMB109" s="978"/>
      <c r="JMC109" s="978"/>
      <c r="JMD109" s="978"/>
      <c r="JME109" s="978"/>
      <c r="JMF109" s="978"/>
      <c r="JMG109" s="978"/>
      <c r="JMH109" s="978"/>
      <c r="JMI109" s="978"/>
      <c r="JMJ109" s="978"/>
      <c r="JMK109" s="978"/>
      <c r="JML109" s="978"/>
      <c r="JMM109" s="978"/>
      <c r="JMN109" s="978"/>
      <c r="JMO109" s="978"/>
      <c r="JMP109" s="978"/>
      <c r="JMQ109" s="978"/>
      <c r="JMR109" s="978"/>
      <c r="JMS109" s="978"/>
      <c r="JMT109" s="978"/>
      <c r="JMU109" s="978"/>
      <c r="JMV109" s="978"/>
      <c r="JMW109" s="978"/>
      <c r="JMX109" s="978"/>
      <c r="JMY109" s="978"/>
      <c r="JMZ109" s="978"/>
      <c r="JNA109" s="978"/>
      <c r="JNB109" s="978"/>
      <c r="JNC109" s="978"/>
      <c r="JND109" s="978"/>
      <c r="JNE109" s="978"/>
      <c r="JNF109" s="978"/>
      <c r="JNG109" s="978"/>
      <c r="JNH109" s="978"/>
      <c r="JNI109" s="978"/>
      <c r="JNJ109" s="978"/>
      <c r="JNK109" s="978"/>
      <c r="JNL109" s="978"/>
      <c r="JNM109" s="978"/>
      <c r="JNN109" s="978"/>
      <c r="JNO109" s="978"/>
      <c r="JNP109" s="978"/>
      <c r="JNQ109" s="978"/>
      <c r="JNR109" s="978"/>
      <c r="JNS109" s="978"/>
      <c r="JNT109" s="978"/>
      <c r="JNU109" s="978"/>
      <c r="JNV109" s="978"/>
      <c r="JNW109" s="978"/>
      <c r="JNX109" s="978"/>
      <c r="JNY109" s="978"/>
      <c r="JNZ109" s="978"/>
      <c r="JOA109" s="978"/>
      <c r="JOB109" s="978"/>
      <c r="JOC109" s="978"/>
      <c r="JOD109" s="978"/>
      <c r="JOE109" s="978"/>
      <c r="JOF109" s="978"/>
      <c r="JOG109" s="978"/>
      <c r="JOH109" s="978"/>
      <c r="JOI109" s="978"/>
      <c r="JOJ109" s="978"/>
      <c r="JOK109" s="978"/>
      <c r="JOL109" s="978"/>
      <c r="JOM109" s="978"/>
      <c r="JON109" s="978"/>
      <c r="JOO109" s="978"/>
      <c r="JOP109" s="978"/>
      <c r="JOQ109" s="978"/>
      <c r="JOR109" s="978"/>
      <c r="JOS109" s="978"/>
      <c r="JOT109" s="978"/>
      <c r="JOU109" s="978"/>
      <c r="JOV109" s="978"/>
      <c r="JOW109" s="978"/>
      <c r="JOX109" s="978"/>
      <c r="JOY109" s="978"/>
      <c r="JOZ109" s="978"/>
      <c r="JPA109" s="978"/>
      <c r="JPB109" s="978"/>
      <c r="JPC109" s="978"/>
      <c r="JPD109" s="978"/>
      <c r="JPE109" s="978"/>
      <c r="JPF109" s="978"/>
      <c r="JPG109" s="978"/>
      <c r="JPH109" s="978"/>
      <c r="JPI109" s="978"/>
      <c r="JPJ109" s="978"/>
      <c r="JPK109" s="978"/>
      <c r="JPL109" s="978"/>
      <c r="JPM109" s="978"/>
      <c r="JPN109" s="978"/>
      <c r="JPO109" s="978"/>
      <c r="JPP109" s="978"/>
      <c r="JPQ109" s="978"/>
      <c r="JPR109" s="978"/>
      <c r="JPS109" s="978"/>
      <c r="JPT109" s="978"/>
      <c r="JPU109" s="978"/>
      <c r="JPV109" s="978"/>
      <c r="JPW109" s="978"/>
      <c r="JPX109" s="978"/>
      <c r="JPY109" s="978"/>
      <c r="JPZ109" s="978"/>
      <c r="JQA109" s="978"/>
      <c r="JQB109" s="978"/>
      <c r="JQC109" s="978"/>
      <c r="JQD109" s="978"/>
      <c r="JQE109" s="978"/>
      <c r="JQF109" s="978"/>
      <c r="JQG109" s="978"/>
      <c r="JQH109" s="978"/>
      <c r="JQI109" s="978"/>
      <c r="JQJ109" s="978"/>
      <c r="JQK109" s="978"/>
      <c r="JQL109" s="978"/>
      <c r="JQM109" s="978"/>
      <c r="JQN109" s="978"/>
      <c r="JQO109" s="978"/>
      <c r="JQP109" s="978"/>
      <c r="JQQ109" s="978"/>
      <c r="JQR109" s="978"/>
      <c r="JQS109" s="978"/>
      <c r="JQT109" s="978"/>
      <c r="JQU109" s="978"/>
      <c r="JQV109" s="978"/>
      <c r="JQW109" s="978"/>
      <c r="JQX109" s="978"/>
      <c r="JQY109" s="978"/>
      <c r="JQZ109" s="978"/>
      <c r="JRA109" s="978"/>
      <c r="JRB109" s="978"/>
      <c r="JRC109" s="978"/>
      <c r="JRD109" s="978"/>
      <c r="JRE109" s="978"/>
      <c r="JRF109" s="978"/>
      <c r="JRG109" s="978"/>
      <c r="JRH109" s="978"/>
      <c r="JRI109" s="978"/>
      <c r="JRJ109" s="978"/>
      <c r="JRK109" s="978"/>
      <c r="JRL109" s="978"/>
      <c r="JRM109" s="978"/>
      <c r="JRN109" s="978"/>
      <c r="JRO109" s="978"/>
      <c r="JRP109" s="978"/>
      <c r="JRQ109" s="978"/>
      <c r="JRR109" s="978"/>
      <c r="JRS109" s="978"/>
      <c r="JRT109" s="978"/>
      <c r="JRU109" s="978"/>
      <c r="JRV109" s="978"/>
      <c r="JRW109" s="978"/>
      <c r="JRX109" s="978"/>
      <c r="JRY109" s="978"/>
      <c r="JRZ109" s="978"/>
      <c r="JSA109" s="978"/>
      <c r="JSB109" s="978"/>
      <c r="JSC109" s="978"/>
      <c r="JSD109" s="978"/>
      <c r="JSE109" s="978"/>
      <c r="JSF109" s="978"/>
      <c r="JSG109" s="978"/>
      <c r="JSH109" s="978"/>
      <c r="JSI109" s="978"/>
      <c r="JSJ109" s="978"/>
      <c r="JSK109" s="978"/>
      <c r="JSL109" s="978"/>
      <c r="JSM109" s="978"/>
      <c r="JSN109" s="978"/>
      <c r="JSO109" s="978"/>
      <c r="JSP109" s="978"/>
      <c r="JSQ109" s="978"/>
      <c r="JSR109" s="978"/>
      <c r="JSS109" s="978"/>
      <c r="JST109" s="978"/>
      <c r="JSU109" s="978"/>
      <c r="JSV109" s="978"/>
      <c r="JSW109" s="978"/>
      <c r="JSX109" s="978"/>
      <c r="JSY109" s="978"/>
      <c r="JSZ109" s="978"/>
      <c r="JTA109" s="978"/>
      <c r="JTB109" s="978"/>
      <c r="JTC109" s="978"/>
      <c r="JTD109" s="978"/>
      <c r="JTE109" s="978"/>
      <c r="JTF109" s="978"/>
      <c r="JTG109" s="978"/>
      <c r="JTH109" s="978"/>
      <c r="JTI109" s="978"/>
      <c r="JTJ109" s="978"/>
      <c r="JTK109" s="978"/>
      <c r="JTL109" s="978"/>
      <c r="JTM109" s="978"/>
      <c r="JTN109" s="978"/>
      <c r="JTO109" s="978"/>
      <c r="JTP109" s="978"/>
      <c r="JTQ109" s="978"/>
      <c r="JTR109" s="978"/>
      <c r="JTS109" s="978"/>
      <c r="JTT109" s="978"/>
      <c r="JTU109" s="978"/>
      <c r="JTV109" s="978"/>
      <c r="JTW109" s="978"/>
      <c r="JTX109" s="978"/>
      <c r="JTY109" s="978"/>
      <c r="JTZ109" s="978"/>
      <c r="JUA109" s="978"/>
      <c r="JUB109" s="978"/>
      <c r="JUC109" s="978"/>
      <c r="JUD109" s="978"/>
      <c r="JUE109" s="978"/>
      <c r="JUF109" s="978"/>
      <c r="JUG109" s="978"/>
      <c r="JUH109" s="978"/>
      <c r="JUI109" s="978"/>
      <c r="JUJ109" s="978"/>
      <c r="JUK109" s="978"/>
      <c r="JUL109" s="978"/>
      <c r="JUM109" s="978"/>
      <c r="JUN109" s="978"/>
      <c r="JUO109" s="978"/>
      <c r="JUP109" s="978"/>
      <c r="JUQ109" s="978"/>
      <c r="JUR109" s="978"/>
      <c r="JUS109" s="978"/>
      <c r="JUT109" s="978"/>
      <c r="JUU109" s="978"/>
      <c r="JUV109" s="978"/>
      <c r="JUW109" s="978"/>
      <c r="JUX109" s="978"/>
      <c r="JUY109" s="978"/>
      <c r="JUZ109" s="978"/>
      <c r="JVA109" s="978"/>
      <c r="JVB109" s="978"/>
      <c r="JVC109" s="978"/>
      <c r="JVD109" s="978"/>
      <c r="JVE109" s="978"/>
      <c r="JVF109" s="978"/>
      <c r="JVG109" s="978"/>
      <c r="JVH109" s="978"/>
      <c r="JVI109" s="978"/>
      <c r="JVJ109" s="978"/>
      <c r="JVK109" s="978"/>
      <c r="JVL109" s="978"/>
      <c r="JVM109" s="978"/>
      <c r="JVN109" s="978"/>
      <c r="JVO109" s="978"/>
      <c r="JVP109" s="978"/>
      <c r="JVQ109" s="978"/>
      <c r="JVR109" s="978"/>
      <c r="JVS109" s="978"/>
      <c r="JVT109" s="978"/>
      <c r="JVU109" s="978"/>
      <c r="JVV109" s="978"/>
      <c r="JVW109" s="978"/>
      <c r="JVX109" s="978"/>
      <c r="JVY109" s="978"/>
      <c r="JVZ109" s="978"/>
      <c r="JWA109" s="978"/>
      <c r="JWB109" s="978"/>
      <c r="JWC109" s="978"/>
      <c r="JWD109" s="978"/>
      <c r="JWE109" s="978"/>
      <c r="JWF109" s="978"/>
      <c r="JWG109" s="978"/>
      <c r="JWH109" s="978"/>
      <c r="JWI109" s="978"/>
      <c r="JWJ109" s="978"/>
      <c r="JWK109" s="978"/>
      <c r="JWL109" s="978"/>
      <c r="JWM109" s="978"/>
      <c r="JWN109" s="978"/>
      <c r="JWO109" s="978"/>
      <c r="JWP109" s="978"/>
      <c r="JWQ109" s="978"/>
      <c r="JWR109" s="978"/>
      <c r="JWS109" s="978"/>
      <c r="JWT109" s="978"/>
      <c r="JWU109" s="978"/>
      <c r="JWV109" s="978"/>
      <c r="JWW109" s="978"/>
      <c r="JWX109" s="978"/>
      <c r="JWY109" s="978"/>
      <c r="JWZ109" s="978"/>
      <c r="JXA109" s="978"/>
      <c r="JXB109" s="978"/>
      <c r="JXC109" s="978"/>
      <c r="JXD109" s="978"/>
      <c r="JXE109" s="978"/>
      <c r="JXF109" s="978"/>
      <c r="JXG109" s="978"/>
      <c r="JXH109" s="978"/>
      <c r="JXI109" s="978"/>
      <c r="JXJ109" s="978"/>
      <c r="JXK109" s="978"/>
      <c r="JXL109" s="978"/>
      <c r="JXM109" s="978"/>
      <c r="JXN109" s="978"/>
      <c r="JXO109" s="978"/>
      <c r="JXP109" s="978"/>
      <c r="JXQ109" s="978"/>
      <c r="JXR109" s="978"/>
      <c r="JXS109" s="978"/>
      <c r="JXT109" s="978"/>
      <c r="JXU109" s="978"/>
      <c r="JXV109" s="978"/>
      <c r="JXW109" s="978"/>
      <c r="JXX109" s="978"/>
      <c r="JXY109" s="978"/>
      <c r="JXZ109" s="978"/>
      <c r="JYA109" s="978"/>
      <c r="JYB109" s="978"/>
      <c r="JYC109" s="978"/>
      <c r="JYD109" s="978"/>
      <c r="JYE109" s="978"/>
      <c r="JYF109" s="978"/>
      <c r="JYG109" s="978"/>
      <c r="JYH109" s="978"/>
      <c r="JYI109" s="978"/>
      <c r="JYJ109" s="978"/>
      <c r="JYK109" s="978"/>
      <c r="JYL109" s="978"/>
      <c r="JYM109" s="978"/>
      <c r="JYN109" s="978"/>
      <c r="JYO109" s="978"/>
      <c r="JYP109" s="978"/>
      <c r="JYQ109" s="978"/>
      <c r="JYR109" s="978"/>
      <c r="JYS109" s="978"/>
      <c r="JYT109" s="978"/>
      <c r="JYU109" s="978"/>
      <c r="JYV109" s="978"/>
      <c r="JYW109" s="978"/>
      <c r="JYX109" s="978"/>
      <c r="JYY109" s="978"/>
      <c r="JYZ109" s="978"/>
      <c r="JZA109" s="978"/>
      <c r="JZB109" s="978"/>
      <c r="JZC109" s="978"/>
      <c r="JZD109" s="978"/>
      <c r="JZE109" s="978"/>
      <c r="JZF109" s="978"/>
      <c r="JZG109" s="978"/>
      <c r="JZH109" s="978"/>
      <c r="JZI109" s="978"/>
      <c r="JZJ109" s="978"/>
      <c r="JZK109" s="978"/>
      <c r="JZL109" s="978"/>
      <c r="JZM109" s="978"/>
      <c r="JZN109" s="978"/>
      <c r="JZO109" s="978"/>
      <c r="JZP109" s="978"/>
      <c r="JZQ109" s="978"/>
      <c r="JZR109" s="978"/>
      <c r="JZS109" s="978"/>
      <c r="JZT109" s="978"/>
      <c r="JZU109" s="978"/>
      <c r="JZV109" s="978"/>
      <c r="JZW109" s="978"/>
      <c r="JZX109" s="978"/>
      <c r="JZY109" s="978"/>
      <c r="JZZ109" s="978"/>
      <c r="KAA109" s="978"/>
      <c r="KAB109" s="978"/>
      <c r="KAC109" s="978"/>
      <c r="KAD109" s="978"/>
      <c r="KAE109" s="978"/>
      <c r="KAF109" s="978"/>
      <c r="KAG109" s="978"/>
      <c r="KAH109" s="978"/>
      <c r="KAI109" s="978"/>
      <c r="KAJ109" s="978"/>
      <c r="KAK109" s="978"/>
      <c r="KAL109" s="978"/>
      <c r="KAM109" s="978"/>
      <c r="KAN109" s="978"/>
      <c r="KAO109" s="978"/>
      <c r="KAP109" s="978"/>
      <c r="KAQ109" s="978"/>
      <c r="KAR109" s="978"/>
      <c r="KAS109" s="978"/>
      <c r="KAT109" s="978"/>
      <c r="KAU109" s="978"/>
      <c r="KAV109" s="978"/>
      <c r="KAW109" s="978"/>
      <c r="KAX109" s="978"/>
      <c r="KAY109" s="978"/>
      <c r="KAZ109" s="978"/>
      <c r="KBA109" s="978"/>
      <c r="KBB109" s="978"/>
      <c r="KBC109" s="978"/>
      <c r="KBD109" s="978"/>
      <c r="KBE109" s="978"/>
      <c r="KBF109" s="978"/>
      <c r="KBG109" s="978"/>
      <c r="KBH109" s="978"/>
      <c r="KBI109" s="978"/>
      <c r="KBJ109" s="978"/>
      <c r="KBK109" s="978"/>
      <c r="KBL109" s="978"/>
      <c r="KBM109" s="978"/>
      <c r="KBN109" s="978"/>
      <c r="KBO109" s="978"/>
      <c r="KBP109" s="978"/>
      <c r="KBQ109" s="978"/>
      <c r="KBR109" s="978"/>
      <c r="KBS109" s="978"/>
      <c r="KBT109" s="978"/>
      <c r="KBU109" s="978"/>
      <c r="KBV109" s="978"/>
      <c r="KBW109" s="978"/>
      <c r="KBX109" s="978"/>
      <c r="KBY109" s="978"/>
      <c r="KBZ109" s="978"/>
      <c r="KCA109" s="978"/>
      <c r="KCB109" s="978"/>
      <c r="KCC109" s="978"/>
      <c r="KCD109" s="978"/>
      <c r="KCE109" s="978"/>
      <c r="KCF109" s="978"/>
      <c r="KCG109" s="978"/>
      <c r="KCH109" s="978"/>
      <c r="KCI109" s="978"/>
      <c r="KCJ109" s="978"/>
      <c r="KCK109" s="978"/>
      <c r="KCL109" s="978"/>
      <c r="KCM109" s="978"/>
      <c r="KCN109" s="978"/>
      <c r="KCO109" s="978"/>
      <c r="KCP109" s="978"/>
      <c r="KCQ109" s="978"/>
      <c r="KCR109" s="978"/>
      <c r="KCS109" s="978"/>
      <c r="KCT109" s="978"/>
      <c r="KCU109" s="978"/>
      <c r="KCV109" s="978"/>
      <c r="KCW109" s="978"/>
      <c r="KCX109" s="978"/>
      <c r="KCY109" s="978"/>
      <c r="KCZ109" s="978"/>
      <c r="KDA109" s="978"/>
      <c r="KDB109" s="978"/>
      <c r="KDC109" s="978"/>
      <c r="KDD109" s="978"/>
      <c r="KDE109" s="978"/>
      <c r="KDF109" s="978"/>
      <c r="KDG109" s="978"/>
      <c r="KDH109" s="978"/>
      <c r="KDI109" s="978"/>
      <c r="KDJ109" s="978"/>
      <c r="KDK109" s="978"/>
      <c r="KDL109" s="978"/>
      <c r="KDM109" s="978"/>
      <c r="KDN109" s="978"/>
      <c r="KDO109" s="978"/>
      <c r="KDP109" s="978"/>
      <c r="KDQ109" s="978"/>
      <c r="KDR109" s="978"/>
      <c r="KDS109" s="978"/>
      <c r="KDT109" s="978"/>
      <c r="KDU109" s="978"/>
      <c r="KDV109" s="978"/>
      <c r="KDW109" s="978"/>
      <c r="KDX109" s="978"/>
      <c r="KDY109" s="978"/>
      <c r="KDZ109" s="978"/>
      <c r="KEA109" s="978"/>
      <c r="KEB109" s="978"/>
      <c r="KEC109" s="978"/>
      <c r="KED109" s="978"/>
      <c r="KEE109" s="978"/>
      <c r="KEF109" s="978"/>
      <c r="KEG109" s="978"/>
      <c r="KEH109" s="978"/>
      <c r="KEI109" s="978"/>
      <c r="KEJ109" s="978"/>
      <c r="KEK109" s="978"/>
      <c r="KEL109" s="978"/>
      <c r="KEM109" s="978"/>
      <c r="KEN109" s="978"/>
      <c r="KEO109" s="978"/>
      <c r="KEP109" s="978"/>
      <c r="KEQ109" s="978"/>
      <c r="KER109" s="978"/>
      <c r="KES109" s="978"/>
      <c r="KET109" s="978"/>
      <c r="KEU109" s="978"/>
      <c r="KEV109" s="978"/>
      <c r="KEW109" s="978"/>
      <c r="KEX109" s="978"/>
      <c r="KEY109" s="978"/>
      <c r="KEZ109" s="978"/>
      <c r="KFA109" s="978"/>
      <c r="KFB109" s="978"/>
      <c r="KFC109" s="978"/>
      <c r="KFD109" s="978"/>
      <c r="KFE109" s="978"/>
      <c r="KFF109" s="978"/>
      <c r="KFG109" s="978"/>
      <c r="KFH109" s="978"/>
      <c r="KFI109" s="978"/>
      <c r="KFJ109" s="978"/>
      <c r="KFK109" s="978"/>
      <c r="KFL109" s="978"/>
      <c r="KFM109" s="978"/>
      <c r="KFN109" s="978"/>
      <c r="KFO109" s="978"/>
      <c r="KFP109" s="978"/>
      <c r="KFQ109" s="978"/>
      <c r="KFR109" s="978"/>
      <c r="KFS109" s="978"/>
      <c r="KFT109" s="978"/>
      <c r="KFU109" s="978"/>
      <c r="KFV109" s="978"/>
      <c r="KFW109" s="978"/>
      <c r="KFX109" s="978"/>
      <c r="KFY109" s="978"/>
      <c r="KFZ109" s="978"/>
      <c r="KGA109" s="978"/>
      <c r="KGB109" s="978"/>
      <c r="KGC109" s="978"/>
      <c r="KGD109" s="978"/>
      <c r="KGE109" s="978"/>
      <c r="KGF109" s="978"/>
      <c r="KGG109" s="978"/>
      <c r="KGH109" s="978"/>
      <c r="KGI109" s="978"/>
      <c r="KGJ109" s="978"/>
      <c r="KGK109" s="978"/>
      <c r="KGL109" s="978"/>
      <c r="KGM109" s="978"/>
      <c r="KGN109" s="978"/>
      <c r="KGO109" s="978"/>
      <c r="KGP109" s="978"/>
      <c r="KGQ109" s="978"/>
      <c r="KGR109" s="978"/>
      <c r="KGS109" s="978"/>
      <c r="KGT109" s="978"/>
      <c r="KGU109" s="978"/>
      <c r="KGV109" s="978"/>
      <c r="KGW109" s="978"/>
      <c r="KGX109" s="978"/>
      <c r="KGY109" s="978"/>
      <c r="KGZ109" s="978"/>
      <c r="KHA109" s="978"/>
      <c r="KHB109" s="978"/>
      <c r="KHC109" s="978"/>
      <c r="KHD109" s="978"/>
      <c r="KHE109" s="978"/>
      <c r="KHF109" s="978"/>
      <c r="KHG109" s="978"/>
      <c r="KHH109" s="978"/>
      <c r="KHI109" s="978"/>
      <c r="KHJ109" s="978"/>
      <c r="KHK109" s="978"/>
      <c r="KHL109" s="978"/>
      <c r="KHM109" s="978"/>
      <c r="KHN109" s="978"/>
      <c r="KHO109" s="978"/>
      <c r="KHP109" s="978"/>
      <c r="KHQ109" s="978"/>
      <c r="KHR109" s="978"/>
      <c r="KHS109" s="978"/>
      <c r="KHT109" s="978"/>
      <c r="KHU109" s="978"/>
      <c r="KHV109" s="978"/>
      <c r="KHW109" s="978"/>
      <c r="KHX109" s="978"/>
      <c r="KHY109" s="978"/>
      <c r="KHZ109" s="978"/>
      <c r="KIA109" s="978"/>
      <c r="KIB109" s="978"/>
      <c r="KIC109" s="978"/>
      <c r="KID109" s="978"/>
      <c r="KIE109" s="978"/>
      <c r="KIF109" s="978"/>
      <c r="KIG109" s="978"/>
      <c r="KIH109" s="978"/>
      <c r="KII109" s="978"/>
      <c r="KIJ109" s="978"/>
      <c r="KIK109" s="978"/>
      <c r="KIL109" s="978"/>
      <c r="KIM109" s="978"/>
      <c r="KIN109" s="978"/>
      <c r="KIO109" s="978"/>
      <c r="KIP109" s="978"/>
      <c r="KIQ109" s="978"/>
      <c r="KIR109" s="978"/>
      <c r="KIS109" s="978"/>
      <c r="KIT109" s="978"/>
      <c r="KIU109" s="978"/>
      <c r="KIV109" s="978"/>
      <c r="KIW109" s="978"/>
      <c r="KIX109" s="978"/>
      <c r="KIY109" s="978"/>
      <c r="KIZ109" s="978"/>
      <c r="KJA109" s="978"/>
      <c r="KJB109" s="978"/>
      <c r="KJC109" s="978"/>
      <c r="KJD109" s="978"/>
      <c r="KJE109" s="978"/>
      <c r="KJF109" s="978"/>
      <c r="KJG109" s="978"/>
      <c r="KJH109" s="978"/>
      <c r="KJI109" s="978"/>
      <c r="KJJ109" s="978"/>
      <c r="KJK109" s="978"/>
      <c r="KJL109" s="978"/>
      <c r="KJM109" s="978"/>
      <c r="KJN109" s="978"/>
      <c r="KJO109" s="978"/>
      <c r="KJP109" s="978"/>
      <c r="KJQ109" s="978"/>
      <c r="KJR109" s="978"/>
      <c r="KJS109" s="978"/>
      <c r="KJT109" s="978"/>
      <c r="KJU109" s="978"/>
      <c r="KJV109" s="978"/>
      <c r="KJW109" s="978"/>
      <c r="KJX109" s="978"/>
      <c r="KJY109" s="978"/>
      <c r="KJZ109" s="978"/>
      <c r="KKA109" s="978"/>
      <c r="KKB109" s="978"/>
      <c r="KKC109" s="978"/>
      <c r="KKD109" s="978"/>
      <c r="KKE109" s="978"/>
      <c r="KKF109" s="978"/>
      <c r="KKG109" s="978"/>
      <c r="KKH109" s="978"/>
      <c r="KKI109" s="978"/>
      <c r="KKJ109" s="978"/>
      <c r="KKK109" s="978"/>
      <c r="KKL109" s="978"/>
      <c r="KKM109" s="978"/>
      <c r="KKN109" s="978"/>
      <c r="KKO109" s="978"/>
      <c r="KKP109" s="978"/>
      <c r="KKQ109" s="978"/>
      <c r="KKR109" s="978"/>
      <c r="KKS109" s="978"/>
      <c r="KKT109" s="978"/>
      <c r="KKU109" s="978"/>
      <c r="KKV109" s="978"/>
      <c r="KKW109" s="978"/>
      <c r="KKX109" s="978"/>
      <c r="KKY109" s="978"/>
      <c r="KKZ109" s="978"/>
      <c r="KLA109" s="978"/>
      <c r="KLB109" s="978"/>
      <c r="KLC109" s="978"/>
      <c r="KLD109" s="978"/>
      <c r="KLE109" s="978"/>
      <c r="KLF109" s="978"/>
      <c r="KLG109" s="978"/>
      <c r="KLH109" s="978"/>
      <c r="KLI109" s="978"/>
      <c r="KLJ109" s="978"/>
      <c r="KLK109" s="978"/>
      <c r="KLL109" s="978"/>
      <c r="KLM109" s="978"/>
      <c r="KLN109" s="978"/>
      <c r="KLO109" s="978"/>
      <c r="KLP109" s="978"/>
      <c r="KLQ109" s="978"/>
      <c r="KLR109" s="978"/>
      <c r="KLS109" s="978"/>
      <c r="KLT109" s="978"/>
      <c r="KLU109" s="978"/>
      <c r="KLV109" s="978"/>
      <c r="KLW109" s="978"/>
      <c r="KLX109" s="978"/>
      <c r="KLY109" s="978"/>
      <c r="KLZ109" s="978"/>
      <c r="KMA109" s="978"/>
      <c r="KMB109" s="978"/>
      <c r="KMC109" s="978"/>
      <c r="KMD109" s="978"/>
      <c r="KME109" s="978"/>
      <c r="KMF109" s="978"/>
      <c r="KMG109" s="978"/>
      <c r="KMH109" s="978"/>
      <c r="KMI109" s="978"/>
      <c r="KMJ109" s="978"/>
      <c r="KMK109" s="978"/>
      <c r="KML109" s="978"/>
      <c r="KMM109" s="978"/>
      <c r="KMN109" s="978"/>
      <c r="KMO109" s="978"/>
      <c r="KMP109" s="978"/>
      <c r="KMQ109" s="978"/>
      <c r="KMR109" s="978"/>
      <c r="KMS109" s="978"/>
      <c r="KMT109" s="978"/>
      <c r="KMU109" s="978"/>
      <c r="KMV109" s="978"/>
      <c r="KMW109" s="978"/>
      <c r="KMX109" s="978"/>
      <c r="KMY109" s="978"/>
      <c r="KMZ109" s="978"/>
      <c r="KNA109" s="978"/>
      <c r="KNB109" s="978"/>
      <c r="KNC109" s="978"/>
      <c r="KND109" s="978"/>
      <c r="KNE109" s="978"/>
      <c r="KNF109" s="978"/>
      <c r="KNG109" s="978"/>
      <c r="KNH109" s="978"/>
      <c r="KNI109" s="978"/>
      <c r="KNJ109" s="978"/>
      <c r="KNK109" s="978"/>
      <c r="KNL109" s="978"/>
      <c r="KNM109" s="978"/>
      <c r="KNN109" s="978"/>
      <c r="KNO109" s="978"/>
      <c r="KNP109" s="978"/>
      <c r="KNQ109" s="978"/>
      <c r="KNR109" s="978"/>
      <c r="KNS109" s="978"/>
      <c r="KNT109" s="978"/>
      <c r="KNU109" s="978"/>
      <c r="KNV109" s="978"/>
      <c r="KNW109" s="978"/>
      <c r="KNX109" s="978"/>
      <c r="KNY109" s="978"/>
      <c r="KNZ109" s="978"/>
      <c r="KOA109" s="978"/>
      <c r="KOB109" s="978"/>
      <c r="KOC109" s="978"/>
      <c r="KOD109" s="978"/>
      <c r="KOE109" s="978"/>
      <c r="KOF109" s="978"/>
      <c r="KOG109" s="978"/>
      <c r="KOH109" s="978"/>
      <c r="KOI109" s="978"/>
      <c r="KOJ109" s="978"/>
      <c r="KOK109" s="978"/>
      <c r="KOL109" s="978"/>
      <c r="KOM109" s="978"/>
      <c r="KON109" s="978"/>
      <c r="KOO109" s="978"/>
      <c r="KOP109" s="978"/>
      <c r="KOQ109" s="978"/>
      <c r="KOR109" s="978"/>
      <c r="KOS109" s="978"/>
      <c r="KOT109" s="978"/>
      <c r="KOU109" s="978"/>
      <c r="KOV109" s="978"/>
      <c r="KOW109" s="978"/>
      <c r="KOX109" s="978"/>
      <c r="KOY109" s="978"/>
      <c r="KOZ109" s="978"/>
      <c r="KPA109" s="978"/>
      <c r="KPB109" s="978"/>
      <c r="KPC109" s="978"/>
      <c r="KPD109" s="978"/>
      <c r="KPE109" s="978"/>
      <c r="KPF109" s="978"/>
      <c r="KPG109" s="978"/>
      <c r="KPH109" s="978"/>
      <c r="KPI109" s="978"/>
      <c r="KPJ109" s="978"/>
      <c r="KPK109" s="978"/>
      <c r="KPL109" s="978"/>
      <c r="KPM109" s="978"/>
      <c r="KPN109" s="978"/>
      <c r="KPO109" s="978"/>
      <c r="KPP109" s="978"/>
      <c r="KPQ109" s="978"/>
      <c r="KPR109" s="978"/>
      <c r="KPS109" s="978"/>
      <c r="KPT109" s="978"/>
      <c r="KPU109" s="978"/>
      <c r="KPV109" s="978"/>
      <c r="KPW109" s="978"/>
      <c r="KPX109" s="978"/>
      <c r="KPY109" s="978"/>
      <c r="KPZ109" s="978"/>
      <c r="KQA109" s="978"/>
      <c r="KQB109" s="978"/>
      <c r="KQC109" s="978"/>
      <c r="KQD109" s="978"/>
      <c r="KQE109" s="978"/>
      <c r="KQF109" s="978"/>
      <c r="KQG109" s="978"/>
      <c r="KQH109" s="978"/>
      <c r="KQI109" s="978"/>
      <c r="KQJ109" s="978"/>
      <c r="KQK109" s="978"/>
      <c r="KQL109" s="978"/>
      <c r="KQM109" s="978"/>
      <c r="KQN109" s="978"/>
      <c r="KQO109" s="978"/>
      <c r="KQP109" s="978"/>
      <c r="KQQ109" s="978"/>
      <c r="KQR109" s="978"/>
      <c r="KQS109" s="978"/>
      <c r="KQT109" s="978"/>
      <c r="KQU109" s="978"/>
      <c r="KQV109" s="978"/>
      <c r="KQW109" s="978"/>
      <c r="KQX109" s="978"/>
      <c r="KQY109" s="978"/>
      <c r="KQZ109" s="978"/>
      <c r="KRA109" s="978"/>
      <c r="KRB109" s="978"/>
      <c r="KRC109" s="978"/>
      <c r="KRD109" s="978"/>
      <c r="KRE109" s="978"/>
      <c r="KRF109" s="978"/>
      <c r="KRG109" s="978"/>
      <c r="KRH109" s="978"/>
      <c r="KRI109" s="978"/>
      <c r="KRJ109" s="978"/>
      <c r="KRK109" s="978"/>
      <c r="KRL109" s="978"/>
      <c r="KRM109" s="978"/>
      <c r="KRN109" s="978"/>
      <c r="KRO109" s="978"/>
      <c r="KRP109" s="978"/>
      <c r="KRQ109" s="978"/>
      <c r="KRR109" s="978"/>
      <c r="KRS109" s="978"/>
      <c r="KRT109" s="978"/>
      <c r="KRU109" s="978"/>
      <c r="KRV109" s="978"/>
      <c r="KRW109" s="978"/>
      <c r="KRX109" s="978"/>
      <c r="KRY109" s="978"/>
      <c r="KRZ109" s="978"/>
      <c r="KSA109" s="978"/>
      <c r="KSB109" s="978"/>
      <c r="KSC109" s="978"/>
      <c r="KSD109" s="978"/>
      <c r="KSE109" s="978"/>
      <c r="KSF109" s="978"/>
      <c r="KSG109" s="978"/>
      <c r="KSH109" s="978"/>
      <c r="KSI109" s="978"/>
      <c r="KSJ109" s="978"/>
      <c r="KSK109" s="978"/>
      <c r="KSL109" s="978"/>
      <c r="KSM109" s="978"/>
      <c r="KSN109" s="978"/>
      <c r="KSO109" s="978"/>
      <c r="KSP109" s="978"/>
      <c r="KSQ109" s="978"/>
      <c r="KSR109" s="978"/>
      <c r="KSS109" s="978"/>
      <c r="KST109" s="978"/>
      <c r="KSU109" s="978"/>
      <c r="KSV109" s="978"/>
      <c r="KSW109" s="978"/>
      <c r="KSX109" s="978"/>
      <c r="KSY109" s="978"/>
      <c r="KSZ109" s="978"/>
      <c r="KTA109" s="978"/>
      <c r="KTB109" s="978"/>
      <c r="KTC109" s="978"/>
      <c r="KTD109" s="978"/>
      <c r="KTE109" s="978"/>
      <c r="KTF109" s="978"/>
      <c r="KTG109" s="978"/>
      <c r="KTH109" s="978"/>
      <c r="KTI109" s="978"/>
      <c r="KTJ109" s="978"/>
      <c r="KTK109" s="978"/>
      <c r="KTL109" s="978"/>
      <c r="KTM109" s="978"/>
      <c r="KTN109" s="978"/>
      <c r="KTO109" s="978"/>
      <c r="KTP109" s="978"/>
      <c r="KTQ109" s="978"/>
      <c r="KTR109" s="978"/>
      <c r="KTS109" s="978"/>
      <c r="KTT109" s="978"/>
      <c r="KTU109" s="978"/>
      <c r="KTV109" s="978"/>
      <c r="KTW109" s="978"/>
      <c r="KTX109" s="978"/>
      <c r="KTY109" s="978"/>
      <c r="KTZ109" s="978"/>
      <c r="KUA109" s="978"/>
      <c r="KUB109" s="978"/>
      <c r="KUC109" s="978"/>
      <c r="KUD109" s="978"/>
      <c r="KUE109" s="978"/>
      <c r="KUF109" s="978"/>
      <c r="KUG109" s="978"/>
      <c r="KUH109" s="978"/>
      <c r="KUI109" s="978"/>
      <c r="KUJ109" s="978"/>
      <c r="KUK109" s="978"/>
      <c r="KUL109" s="978"/>
      <c r="KUM109" s="978"/>
      <c r="KUN109" s="978"/>
      <c r="KUO109" s="978"/>
      <c r="KUP109" s="978"/>
      <c r="KUQ109" s="978"/>
      <c r="KUR109" s="978"/>
      <c r="KUS109" s="978"/>
      <c r="KUT109" s="978"/>
      <c r="KUU109" s="978"/>
      <c r="KUV109" s="978"/>
      <c r="KUW109" s="978"/>
      <c r="KUX109" s="978"/>
      <c r="KUY109" s="978"/>
      <c r="KUZ109" s="978"/>
      <c r="KVA109" s="978"/>
      <c r="KVB109" s="978"/>
      <c r="KVC109" s="978"/>
      <c r="KVD109" s="978"/>
      <c r="KVE109" s="978"/>
      <c r="KVF109" s="978"/>
      <c r="KVG109" s="978"/>
      <c r="KVH109" s="978"/>
      <c r="KVI109" s="978"/>
      <c r="KVJ109" s="978"/>
      <c r="KVK109" s="978"/>
      <c r="KVL109" s="978"/>
      <c r="KVM109" s="978"/>
      <c r="KVN109" s="978"/>
      <c r="KVO109" s="978"/>
      <c r="KVP109" s="978"/>
      <c r="KVQ109" s="978"/>
      <c r="KVR109" s="978"/>
      <c r="KVS109" s="978"/>
      <c r="KVT109" s="978"/>
      <c r="KVU109" s="978"/>
      <c r="KVV109" s="978"/>
      <c r="KVW109" s="978"/>
      <c r="KVX109" s="978"/>
      <c r="KVY109" s="978"/>
      <c r="KVZ109" s="978"/>
      <c r="KWA109" s="978"/>
      <c r="KWB109" s="978"/>
      <c r="KWC109" s="978"/>
      <c r="KWD109" s="978"/>
      <c r="KWE109" s="978"/>
      <c r="KWF109" s="978"/>
      <c r="KWG109" s="978"/>
      <c r="KWH109" s="978"/>
      <c r="KWI109" s="978"/>
      <c r="KWJ109" s="978"/>
      <c r="KWK109" s="978"/>
      <c r="KWL109" s="978"/>
      <c r="KWM109" s="978"/>
      <c r="KWN109" s="978"/>
      <c r="KWO109" s="978"/>
      <c r="KWP109" s="978"/>
      <c r="KWQ109" s="978"/>
      <c r="KWR109" s="978"/>
      <c r="KWS109" s="978"/>
      <c r="KWT109" s="978"/>
      <c r="KWU109" s="978"/>
      <c r="KWV109" s="978"/>
      <c r="KWW109" s="978"/>
      <c r="KWX109" s="978"/>
      <c r="KWY109" s="978"/>
      <c r="KWZ109" s="978"/>
      <c r="KXA109" s="978"/>
      <c r="KXB109" s="978"/>
      <c r="KXC109" s="978"/>
      <c r="KXD109" s="978"/>
      <c r="KXE109" s="978"/>
      <c r="KXF109" s="978"/>
      <c r="KXG109" s="978"/>
      <c r="KXH109" s="978"/>
      <c r="KXI109" s="978"/>
      <c r="KXJ109" s="978"/>
      <c r="KXK109" s="978"/>
      <c r="KXL109" s="978"/>
      <c r="KXM109" s="978"/>
      <c r="KXN109" s="978"/>
      <c r="KXO109" s="978"/>
      <c r="KXP109" s="978"/>
      <c r="KXQ109" s="978"/>
      <c r="KXR109" s="978"/>
      <c r="KXS109" s="978"/>
      <c r="KXT109" s="978"/>
      <c r="KXU109" s="978"/>
      <c r="KXV109" s="978"/>
      <c r="KXW109" s="978"/>
      <c r="KXX109" s="978"/>
      <c r="KXY109" s="978"/>
      <c r="KXZ109" s="978"/>
      <c r="KYA109" s="978"/>
      <c r="KYB109" s="978"/>
      <c r="KYC109" s="978"/>
      <c r="KYD109" s="978"/>
      <c r="KYE109" s="978"/>
      <c r="KYF109" s="978"/>
      <c r="KYG109" s="978"/>
      <c r="KYH109" s="978"/>
      <c r="KYI109" s="978"/>
      <c r="KYJ109" s="978"/>
      <c r="KYK109" s="978"/>
      <c r="KYL109" s="978"/>
      <c r="KYM109" s="978"/>
      <c r="KYN109" s="978"/>
      <c r="KYO109" s="978"/>
      <c r="KYP109" s="978"/>
      <c r="KYQ109" s="978"/>
      <c r="KYR109" s="978"/>
      <c r="KYS109" s="978"/>
      <c r="KYT109" s="978"/>
      <c r="KYU109" s="978"/>
      <c r="KYV109" s="978"/>
      <c r="KYW109" s="978"/>
      <c r="KYX109" s="978"/>
      <c r="KYY109" s="978"/>
      <c r="KYZ109" s="978"/>
      <c r="KZA109" s="978"/>
      <c r="KZB109" s="978"/>
      <c r="KZC109" s="978"/>
      <c r="KZD109" s="978"/>
      <c r="KZE109" s="978"/>
      <c r="KZF109" s="978"/>
      <c r="KZG109" s="978"/>
      <c r="KZH109" s="978"/>
      <c r="KZI109" s="978"/>
      <c r="KZJ109" s="978"/>
      <c r="KZK109" s="978"/>
      <c r="KZL109" s="978"/>
      <c r="KZM109" s="978"/>
      <c r="KZN109" s="978"/>
      <c r="KZO109" s="978"/>
      <c r="KZP109" s="978"/>
      <c r="KZQ109" s="978"/>
      <c r="KZR109" s="978"/>
      <c r="KZS109" s="978"/>
      <c r="KZT109" s="978"/>
      <c r="KZU109" s="978"/>
      <c r="KZV109" s="978"/>
      <c r="KZW109" s="978"/>
      <c r="KZX109" s="978"/>
      <c r="KZY109" s="978"/>
      <c r="KZZ109" s="978"/>
      <c r="LAA109" s="978"/>
      <c r="LAB109" s="978"/>
      <c r="LAC109" s="978"/>
      <c r="LAD109" s="978"/>
      <c r="LAE109" s="978"/>
      <c r="LAF109" s="978"/>
      <c r="LAG109" s="978"/>
      <c r="LAH109" s="978"/>
      <c r="LAI109" s="978"/>
      <c r="LAJ109" s="978"/>
      <c r="LAK109" s="978"/>
      <c r="LAL109" s="978"/>
      <c r="LAM109" s="978"/>
      <c r="LAN109" s="978"/>
      <c r="LAO109" s="978"/>
      <c r="LAP109" s="978"/>
      <c r="LAQ109" s="978"/>
      <c r="LAR109" s="978"/>
      <c r="LAS109" s="978"/>
      <c r="LAT109" s="978"/>
      <c r="LAU109" s="978"/>
      <c r="LAV109" s="978"/>
      <c r="LAW109" s="978"/>
      <c r="LAX109" s="978"/>
      <c r="LAY109" s="978"/>
      <c r="LAZ109" s="978"/>
      <c r="LBA109" s="978"/>
      <c r="LBB109" s="978"/>
      <c r="LBC109" s="978"/>
      <c r="LBD109" s="978"/>
      <c r="LBE109" s="978"/>
      <c r="LBF109" s="978"/>
      <c r="LBG109" s="978"/>
      <c r="LBH109" s="978"/>
      <c r="LBI109" s="978"/>
      <c r="LBJ109" s="978"/>
      <c r="LBK109" s="978"/>
      <c r="LBL109" s="978"/>
      <c r="LBM109" s="978"/>
      <c r="LBN109" s="978"/>
      <c r="LBO109" s="978"/>
      <c r="LBP109" s="978"/>
      <c r="LBQ109" s="978"/>
      <c r="LBR109" s="978"/>
      <c r="LBS109" s="978"/>
      <c r="LBT109" s="978"/>
      <c r="LBU109" s="978"/>
      <c r="LBV109" s="978"/>
      <c r="LBW109" s="978"/>
      <c r="LBX109" s="978"/>
      <c r="LBY109" s="978"/>
      <c r="LBZ109" s="978"/>
      <c r="LCA109" s="978"/>
      <c r="LCB109" s="978"/>
      <c r="LCC109" s="978"/>
      <c r="LCD109" s="978"/>
      <c r="LCE109" s="978"/>
      <c r="LCF109" s="978"/>
      <c r="LCG109" s="978"/>
      <c r="LCH109" s="978"/>
      <c r="LCI109" s="978"/>
      <c r="LCJ109" s="978"/>
      <c r="LCK109" s="978"/>
      <c r="LCL109" s="978"/>
      <c r="LCM109" s="978"/>
      <c r="LCN109" s="978"/>
      <c r="LCO109" s="978"/>
      <c r="LCP109" s="978"/>
      <c r="LCQ109" s="978"/>
      <c r="LCR109" s="978"/>
      <c r="LCS109" s="978"/>
      <c r="LCT109" s="978"/>
      <c r="LCU109" s="978"/>
      <c r="LCV109" s="978"/>
      <c r="LCW109" s="978"/>
      <c r="LCX109" s="978"/>
      <c r="LCY109" s="978"/>
      <c r="LCZ109" s="978"/>
      <c r="LDA109" s="978"/>
      <c r="LDB109" s="978"/>
      <c r="LDC109" s="978"/>
      <c r="LDD109" s="978"/>
      <c r="LDE109" s="978"/>
      <c r="LDF109" s="978"/>
      <c r="LDG109" s="978"/>
      <c r="LDH109" s="978"/>
      <c r="LDI109" s="978"/>
      <c r="LDJ109" s="978"/>
      <c r="LDK109" s="978"/>
      <c r="LDL109" s="978"/>
      <c r="LDM109" s="978"/>
      <c r="LDN109" s="978"/>
      <c r="LDO109" s="978"/>
      <c r="LDP109" s="978"/>
      <c r="LDQ109" s="978"/>
      <c r="LDR109" s="978"/>
      <c r="LDS109" s="978"/>
      <c r="LDT109" s="978"/>
      <c r="LDU109" s="978"/>
      <c r="LDV109" s="978"/>
      <c r="LDW109" s="978"/>
      <c r="LDX109" s="978"/>
      <c r="LDY109" s="978"/>
      <c r="LDZ109" s="978"/>
      <c r="LEA109" s="978"/>
      <c r="LEB109" s="978"/>
      <c r="LEC109" s="978"/>
      <c r="LED109" s="978"/>
      <c r="LEE109" s="978"/>
      <c r="LEF109" s="978"/>
      <c r="LEG109" s="978"/>
      <c r="LEH109" s="978"/>
      <c r="LEI109" s="978"/>
      <c r="LEJ109" s="978"/>
      <c r="LEK109" s="978"/>
      <c r="LEL109" s="978"/>
      <c r="LEM109" s="978"/>
      <c r="LEN109" s="978"/>
      <c r="LEO109" s="978"/>
      <c r="LEP109" s="978"/>
      <c r="LEQ109" s="978"/>
      <c r="LER109" s="978"/>
      <c r="LES109" s="978"/>
      <c r="LET109" s="978"/>
      <c r="LEU109" s="978"/>
      <c r="LEV109" s="978"/>
      <c r="LEW109" s="978"/>
      <c r="LEX109" s="978"/>
      <c r="LEY109" s="978"/>
      <c r="LEZ109" s="978"/>
      <c r="LFA109" s="978"/>
      <c r="LFB109" s="978"/>
      <c r="LFC109" s="978"/>
      <c r="LFD109" s="978"/>
      <c r="LFE109" s="978"/>
      <c r="LFF109" s="978"/>
      <c r="LFG109" s="978"/>
      <c r="LFH109" s="978"/>
      <c r="LFI109" s="978"/>
      <c r="LFJ109" s="978"/>
      <c r="LFK109" s="978"/>
      <c r="LFL109" s="978"/>
      <c r="LFM109" s="978"/>
      <c r="LFN109" s="978"/>
      <c r="LFO109" s="978"/>
      <c r="LFP109" s="978"/>
      <c r="LFQ109" s="978"/>
      <c r="LFR109" s="978"/>
      <c r="LFS109" s="978"/>
      <c r="LFT109" s="978"/>
      <c r="LFU109" s="978"/>
      <c r="LFV109" s="978"/>
      <c r="LFW109" s="978"/>
      <c r="LFX109" s="978"/>
      <c r="LFY109" s="978"/>
      <c r="LFZ109" s="978"/>
      <c r="LGA109" s="978"/>
      <c r="LGB109" s="978"/>
      <c r="LGC109" s="978"/>
      <c r="LGD109" s="978"/>
      <c r="LGE109" s="978"/>
      <c r="LGF109" s="978"/>
      <c r="LGG109" s="978"/>
      <c r="LGH109" s="978"/>
      <c r="LGI109" s="978"/>
      <c r="LGJ109" s="978"/>
      <c r="LGK109" s="978"/>
      <c r="LGL109" s="978"/>
      <c r="LGM109" s="978"/>
      <c r="LGN109" s="978"/>
      <c r="LGO109" s="978"/>
      <c r="LGP109" s="978"/>
      <c r="LGQ109" s="978"/>
      <c r="LGR109" s="978"/>
      <c r="LGS109" s="978"/>
      <c r="LGT109" s="978"/>
      <c r="LGU109" s="978"/>
      <c r="LGV109" s="978"/>
      <c r="LGW109" s="978"/>
      <c r="LGX109" s="978"/>
      <c r="LGY109" s="978"/>
      <c r="LGZ109" s="978"/>
      <c r="LHA109" s="978"/>
      <c r="LHB109" s="978"/>
      <c r="LHC109" s="978"/>
      <c r="LHD109" s="978"/>
      <c r="LHE109" s="978"/>
      <c r="LHF109" s="978"/>
      <c r="LHG109" s="978"/>
      <c r="LHH109" s="978"/>
      <c r="LHI109" s="978"/>
      <c r="LHJ109" s="978"/>
      <c r="LHK109" s="978"/>
      <c r="LHL109" s="978"/>
      <c r="LHM109" s="978"/>
      <c r="LHN109" s="978"/>
      <c r="LHO109" s="978"/>
      <c r="LHP109" s="978"/>
      <c r="LHQ109" s="978"/>
      <c r="LHR109" s="978"/>
      <c r="LHS109" s="978"/>
      <c r="LHT109" s="978"/>
      <c r="LHU109" s="978"/>
      <c r="LHV109" s="978"/>
      <c r="LHW109" s="978"/>
      <c r="LHX109" s="978"/>
      <c r="LHY109" s="978"/>
      <c r="LHZ109" s="978"/>
      <c r="LIA109" s="978"/>
      <c r="LIB109" s="978"/>
      <c r="LIC109" s="978"/>
      <c r="LID109" s="978"/>
      <c r="LIE109" s="978"/>
      <c r="LIF109" s="978"/>
      <c r="LIG109" s="978"/>
      <c r="LIH109" s="978"/>
      <c r="LII109" s="978"/>
      <c r="LIJ109" s="978"/>
      <c r="LIK109" s="978"/>
      <c r="LIL109" s="978"/>
      <c r="LIM109" s="978"/>
      <c r="LIN109" s="978"/>
      <c r="LIO109" s="978"/>
      <c r="LIP109" s="978"/>
      <c r="LIQ109" s="978"/>
      <c r="LIR109" s="978"/>
      <c r="LIS109" s="978"/>
      <c r="LIT109" s="978"/>
      <c r="LIU109" s="978"/>
      <c r="LIV109" s="978"/>
      <c r="LIW109" s="978"/>
      <c r="LIX109" s="978"/>
      <c r="LIY109" s="978"/>
      <c r="LIZ109" s="978"/>
      <c r="LJA109" s="978"/>
      <c r="LJB109" s="978"/>
      <c r="LJC109" s="978"/>
      <c r="LJD109" s="978"/>
      <c r="LJE109" s="978"/>
      <c r="LJF109" s="978"/>
      <c r="LJG109" s="978"/>
      <c r="LJH109" s="978"/>
      <c r="LJI109" s="978"/>
      <c r="LJJ109" s="978"/>
      <c r="LJK109" s="978"/>
      <c r="LJL109" s="978"/>
      <c r="LJM109" s="978"/>
      <c r="LJN109" s="978"/>
      <c r="LJO109" s="978"/>
      <c r="LJP109" s="978"/>
      <c r="LJQ109" s="978"/>
      <c r="LJR109" s="978"/>
      <c r="LJS109" s="978"/>
      <c r="LJT109" s="978"/>
      <c r="LJU109" s="978"/>
      <c r="LJV109" s="978"/>
      <c r="LJW109" s="978"/>
      <c r="LJX109" s="978"/>
      <c r="LJY109" s="978"/>
      <c r="LJZ109" s="978"/>
      <c r="LKA109" s="978"/>
      <c r="LKB109" s="978"/>
      <c r="LKC109" s="978"/>
      <c r="LKD109" s="978"/>
      <c r="LKE109" s="978"/>
      <c r="LKF109" s="978"/>
      <c r="LKG109" s="978"/>
      <c r="LKH109" s="978"/>
      <c r="LKI109" s="978"/>
      <c r="LKJ109" s="978"/>
      <c r="LKK109" s="978"/>
      <c r="LKL109" s="978"/>
      <c r="LKM109" s="978"/>
      <c r="LKN109" s="978"/>
      <c r="LKO109" s="978"/>
      <c r="LKP109" s="978"/>
      <c r="LKQ109" s="978"/>
      <c r="LKR109" s="978"/>
      <c r="LKS109" s="978"/>
      <c r="LKT109" s="978"/>
      <c r="LKU109" s="978"/>
      <c r="LKV109" s="978"/>
      <c r="LKW109" s="978"/>
      <c r="LKX109" s="978"/>
      <c r="LKY109" s="978"/>
      <c r="LKZ109" s="978"/>
      <c r="LLA109" s="978"/>
      <c r="LLB109" s="978"/>
      <c r="LLC109" s="978"/>
      <c r="LLD109" s="978"/>
      <c r="LLE109" s="978"/>
      <c r="LLF109" s="978"/>
      <c r="LLG109" s="978"/>
      <c r="LLH109" s="978"/>
      <c r="LLI109" s="978"/>
      <c r="LLJ109" s="978"/>
      <c r="LLK109" s="978"/>
      <c r="LLL109" s="978"/>
      <c r="LLM109" s="978"/>
      <c r="LLN109" s="978"/>
      <c r="LLO109" s="978"/>
      <c r="LLP109" s="978"/>
      <c r="LLQ109" s="978"/>
      <c r="LLR109" s="978"/>
      <c r="LLS109" s="978"/>
      <c r="LLT109" s="978"/>
      <c r="LLU109" s="978"/>
      <c r="LLV109" s="978"/>
      <c r="LLW109" s="978"/>
      <c r="LLX109" s="978"/>
      <c r="LLY109" s="978"/>
      <c r="LLZ109" s="978"/>
      <c r="LMA109" s="978"/>
      <c r="LMB109" s="978"/>
      <c r="LMC109" s="978"/>
      <c r="LMD109" s="978"/>
      <c r="LME109" s="978"/>
      <c r="LMF109" s="978"/>
      <c r="LMG109" s="978"/>
      <c r="LMH109" s="978"/>
      <c r="LMI109" s="978"/>
      <c r="LMJ109" s="978"/>
      <c r="LMK109" s="978"/>
      <c r="LML109" s="978"/>
      <c r="LMM109" s="978"/>
      <c r="LMN109" s="978"/>
      <c r="LMO109" s="978"/>
      <c r="LMP109" s="978"/>
      <c r="LMQ109" s="978"/>
      <c r="LMR109" s="978"/>
      <c r="LMS109" s="978"/>
      <c r="LMT109" s="978"/>
      <c r="LMU109" s="978"/>
      <c r="LMV109" s="978"/>
      <c r="LMW109" s="978"/>
      <c r="LMX109" s="978"/>
      <c r="LMY109" s="978"/>
      <c r="LMZ109" s="978"/>
      <c r="LNA109" s="978"/>
      <c r="LNB109" s="978"/>
      <c r="LNC109" s="978"/>
      <c r="LND109" s="978"/>
      <c r="LNE109" s="978"/>
      <c r="LNF109" s="978"/>
      <c r="LNG109" s="978"/>
      <c r="LNH109" s="978"/>
      <c r="LNI109" s="978"/>
      <c r="LNJ109" s="978"/>
      <c r="LNK109" s="978"/>
      <c r="LNL109" s="978"/>
      <c r="LNM109" s="978"/>
      <c r="LNN109" s="978"/>
      <c r="LNO109" s="978"/>
      <c r="LNP109" s="978"/>
      <c r="LNQ109" s="978"/>
      <c r="LNR109" s="978"/>
      <c r="LNS109" s="978"/>
      <c r="LNT109" s="978"/>
      <c r="LNU109" s="978"/>
      <c r="LNV109" s="978"/>
      <c r="LNW109" s="978"/>
      <c r="LNX109" s="978"/>
      <c r="LNY109" s="978"/>
      <c r="LNZ109" s="978"/>
      <c r="LOA109" s="978"/>
      <c r="LOB109" s="978"/>
      <c r="LOC109" s="978"/>
      <c r="LOD109" s="978"/>
      <c r="LOE109" s="978"/>
      <c r="LOF109" s="978"/>
      <c r="LOG109" s="978"/>
      <c r="LOH109" s="978"/>
      <c r="LOI109" s="978"/>
      <c r="LOJ109" s="978"/>
      <c r="LOK109" s="978"/>
      <c r="LOL109" s="978"/>
      <c r="LOM109" s="978"/>
      <c r="LON109" s="978"/>
      <c r="LOO109" s="978"/>
      <c r="LOP109" s="978"/>
      <c r="LOQ109" s="978"/>
      <c r="LOR109" s="978"/>
      <c r="LOS109" s="978"/>
      <c r="LOT109" s="978"/>
      <c r="LOU109" s="978"/>
      <c r="LOV109" s="978"/>
      <c r="LOW109" s="978"/>
      <c r="LOX109" s="978"/>
      <c r="LOY109" s="978"/>
      <c r="LOZ109" s="978"/>
      <c r="LPA109" s="978"/>
      <c r="LPB109" s="978"/>
      <c r="LPC109" s="978"/>
      <c r="LPD109" s="978"/>
      <c r="LPE109" s="978"/>
      <c r="LPF109" s="978"/>
      <c r="LPG109" s="978"/>
      <c r="LPH109" s="978"/>
      <c r="LPI109" s="978"/>
      <c r="LPJ109" s="978"/>
      <c r="LPK109" s="978"/>
      <c r="LPL109" s="978"/>
      <c r="LPM109" s="978"/>
      <c r="LPN109" s="978"/>
      <c r="LPO109" s="978"/>
      <c r="LPP109" s="978"/>
      <c r="LPQ109" s="978"/>
      <c r="LPR109" s="978"/>
      <c r="LPS109" s="978"/>
      <c r="LPT109" s="978"/>
      <c r="LPU109" s="978"/>
      <c r="LPV109" s="978"/>
      <c r="LPW109" s="978"/>
      <c r="LPX109" s="978"/>
      <c r="LPY109" s="978"/>
      <c r="LPZ109" s="978"/>
      <c r="LQA109" s="978"/>
      <c r="LQB109" s="978"/>
      <c r="LQC109" s="978"/>
      <c r="LQD109" s="978"/>
      <c r="LQE109" s="978"/>
      <c r="LQF109" s="978"/>
      <c r="LQG109" s="978"/>
      <c r="LQH109" s="978"/>
      <c r="LQI109" s="978"/>
      <c r="LQJ109" s="978"/>
      <c r="LQK109" s="978"/>
      <c r="LQL109" s="978"/>
      <c r="LQM109" s="978"/>
      <c r="LQN109" s="978"/>
      <c r="LQO109" s="978"/>
      <c r="LQP109" s="978"/>
      <c r="LQQ109" s="978"/>
      <c r="LQR109" s="978"/>
      <c r="LQS109" s="978"/>
      <c r="LQT109" s="978"/>
      <c r="LQU109" s="978"/>
      <c r="LQV109" s="978"/>
      <c r="LQW109" s="978"/>
      <c r="LQX109" s="978"/>
      <c r="LQY109" s="978"/>
      <c r="LQZ109" s="978"/>
      <c r="LRA109" s="978"/>
      <c r="LRB109" s="978"/>
      <c r="LRC109" s="978"/>
      <c r="LRD109" s="978"/>
      <c r="LRE109" s="978"/>
      <c r="LRF109" s="978"/>
      <c r="LRG109" s="978"/>
      <c r="LRH109" s="978"/>
      <c r="LRI109" s="978"/>
      <c r="LRJ109" s="978"/>
      <c r="LRK109" s="978"/>
      <c r="LRL109" s="978"/>
      <c r="LRM109" s="978"/>
      <c r="LRN109" s="978"/>
      <c r="LRO109" s="978"/>
      <c r="LRP109" s="978"/>
      <c r="LRQ109" s="978"/>
      <c r="LRR109" s="978"/>
      <c r="LRS109" s="978"/>
      <c r="LRT109" s="978"/>
      <c r="LRU109" s="978"/>
      <c r="LRV109" s="978"/>
      <c r="LRW109" s="978"/>
      <c r="LRX109" s="978"/>
      <c r="LRY109" s="978"/>
      <c r="LRZ109" s="978"/>
      <c r="LSA109" s="978"/>
      <c r="LSB109" s="978"/>
      <c r="LSC109" s="978"/>
      <c r="LSD109" s="978"/>
      <c r="LSE109" s="978"/>
      <c r="LSF109" s="978"/>
      <c r="LSG109" s="978"/>
      <c r="LSH109" s="978"/>
      <c r="LSI109" s="978"/>
      <c r="LSJ109" s="978"/>
      <c r="LSK109" s="978"/>
      <c r="LSL109" s="978"/>
      <c r="LSM109" s="978"/>
      <c r="LSN109" s="978"/>
      <c r="LSO109" s="978"/>
      <c r="LSP109" s="978"/>
      <c r="LSQ109" s="978"/>
      <c r="LSR109" s="978"/>
      <c r="LSS109" s="978"/>
      <c r="LST109" s="978"/>
      <c r="LSU109" s="978"/>
      <c r="LSV109" s="978"/>
      <c r="LSW109" s="978"/>
      <c r="LSX109" s="978"/>
      <c r="LSY109" s="978"/>
      <c r="LSZ109" s="978"/>
      <c r="LTA109" s="978"/>
      <c r="LTB109" s="978"/>
      <c r="LTC109" s="978"/>
      <c r="LTD109" s="978"/>
      <c r="LTE109" s="978"/>
      <c r="LTF109" s="978"/>
      <c r="LTG109" s="978"/>
      <c r="LTH109" s="978"/>
      <c r="LTI109" s="978"/>
      <c r="LTJ109" s="978"/>
      <c r="LTK109" s="978"/>
      <c r="LTL109" s="978"/>
      <c r="LTM109" s="978"/>
      <c r="LTN109" s="978"/>
      <c r="LTO109" s="978"/>
      <c r="LTP109" s="978"/>
      <c r="LTQ109" s="978"/>
      <c r="LTR109" s="978"/>
      <c r="LTS109" s="978"/>
      <c r="LTT109" s="978"/>
      <c r="LTU109" s="978"/>
      <c r="LTV109" s="978"/>
      <c r="LTW109" s="978"/>
      <c r="LTX109" s="978"/>
      <c r="LTY109" s="978"/>
      <c r="LTZ109" s="978"/>
      <c r="LUA109" s="978"/>
      <c r="LUB109" s="978"/>
      <c r="LUC109" s="978"/>
      <c r="LUD109" s="978"/>
      <c r="LUE109" s="978"/>
      <c r="LUF109" s="978"/>
      <c r="LUG109" s="978"/>
      <c r="LUH109" s="978"/>
      <c r="LUI109" s="978"/>
      <c r="LUJ109" s="978"/>
      <c r="LUK109" s="978"/>
      <c r="LUL109" s="978"/>
      <c r="LUM109" s="978"/>
      <c r="LUN109" s="978"/>
      <c r="LUO109" s="978"/>
      <c r="LUP109" s="978"/>
      <c r="LUQ109" s="978"/>
      <c r="LUR109" s="978"/>
      <c r="LUS109" s="978"/>
      <c r="LUT109" s="978"/>
      <c r="LUU109" s="978"/>
      <c r="LUV109" s="978"/>
      <c r="LUW109" s="978"/>
      <c r="LUX109" s="978"/>
      <c r="LUY109" s="978"/>
      <c r="LUZ109" s="978"/>
      <c r="LVA109" s="978"/>
      <c r="LVB109" s="978"/>
      <c r="LVC109" s="978"/>
      <c r="LVD109" s="978"/>
      <c r="LVE109" s="978"/>
      <c r="LVF109" s="978"/>
      <c r="LVG109" s="978"/>
      <c r="LVH109" s="978"/>
      <c r="LVI109" s="978"/>
      <c r="LVJ109" s="978"/>
      <c r="LVK109" s="978"/>
      <c r="LVL109" s="978"/>
      <c r="LVM109" s="978"/>
      <c r="LVN109" s="978"/>
      <c r="LVO109" s="978"/>
      <c r="LVP109" s="978"/>
      <c r="LVQ109" s="978"/>
      <c r="LVR109" s="978"/>
      <c r="LVS109" s="978"/>
      <c r="LVT109" s="978"/>
      <c r="LVU109" s="978"/>
      <c r="LVV109" s="978"/>
      <c r="LVW109" s="978"/>
      <c r="LVX109" s="978"/>
      <c r="LVY109" s="978"/>
      <c r="LVZ109" s="978"/>
      <c r="LWA109" s="978"/>
      <c r="LWB109" s="978"/>
      <c r="LWC109" s="978"/>
      <c r="LWD109" s="978"/>
      <c r="LWE109" s="978"/>
      <c r="LWF109" s="978"/>
      <c r="LWG109" s="978"/>
      <c r="LWH109" s="978"/>
      <c r="LWI109" s="978"/>
      <c r="LWJ109" s="978"/>
      <c r="LWK109" s="978"/>
      <c r="LWL109" s="978"/>
      <c r="LWM109" s="978"/>
      <c r="LWN109" s="978"/>
      <c r="LWO109" s="978"/>
      <c r="LWP109" s="978"/>
      <c r="LWQ109" s="978"/>
      <c r="LWR109" s="978"/>
      <c r="LWS109" s="978"/>
      <c r="LWT109" s="978"/>
      <c r="LWU109" s="978"/>
      <c r="LWV109" s="978"/>
      <c r="LWW109" s="978"/>
      <c r="LWX109" s="978"/>
      <c r="LWY109" s="978"/>
      <c r="LWZ109" s="978"/>
      <c r="LXA109" s="978"/>
      <c r="LXB109" s="978"/>
      <c r="LXC109" s="978"/>
      <c r="LXD109" s="978"/>
      <c r="LXE109" s="978"/>
      <c r="LXF109" s="978"/>
      <c r="LXG109" s="978"/>
      <c r="LXH109" s="978"/>
      <c r="LXI109" s="978"/>
      <c r="LXJ109" s="978"/>
      <c r="LXK109" s="978"/>
      <c r="LXL109" s="978"/>
      <c r="LXM109" s="978"/>
      <c r="LXN109" s="978"/>
      <c r="LXO109" s="978"/>
      <c r="LXP109" s="978"/>
      <c r="LXQ109" s="978"/>
      <c r="LXR109" s="978"/>
      <c r="LXS109" s="978"/>
      <c r="LXT109" s="978"/>
      <c r="LXU109" s="978"/>
      <c r="LXV109" s="978"/>
      <c r="LXW109" s="978"/>
      <c r="LXX109" s="978"/>
      <c r="LXY109" s="978"/>
      <c r="LXZ109" s="978"/>
      <c r="LYA109" s="978"/>
      <c r="LYB109" s="978"/>
      <c r="LYC109" s="978"/>
      <c r="LYD109" s="978"/>
      <c r="LYE109" s="978"/>
      <c r="LYF109" s="978"/>
      <c r="LYG109" s="978"/>
      <c r="LYH109" s="978"/>
      <c r="LYI109" s="978"/>
      <c r="LYJ109" s="978"/>
      <c r="LYK109" s="978"/>
      <c r="LYL109" s="978"/>
      <c r="LYM109" s="978"/>
      <c r="LYN109" s="978"/>
      <c r="LYO109" s="978"/>
      <c r="LYP109" s="978"/>
      <c r="LYQ109" s="978"/>
      <c r="LYR109" s="978"/>
      <c r="LYS109" s="978"/>
      <c r="LYT109" s="978"/>
      <c r="LYU109" s="978"/>
      <c r="LYV109" s="978"/>
      <c r="LYW109" s="978"/>
      <c r="LYX109" s="978"/>
      <c r="LYY109" s="978"/>
      <c r="LYZ109" s="978"/>
      <c r="LZA109" s="978"/>
      <c r="LZB109" s="978"/>
      <c r="LZC109" s="978"/>
      <c r="LZD109" s="978"/>
      <c r="LZE109" s="978"/>
      <c r="LZF109" s="978"/>
      <c r="LZG109" s="978"/>
      <c r="LZH109" s="978"/>
      <c r="LZI109" s="978"/>
      <c r="LZJ109" s="978"/>
      <c r="LZK109" s="978"/>
      <c r="LZL109" s="978"/>
      <c r="LZM109" s="978"/>
      <c r="LZN109" s="978"/>
      <c r="LZO109" s="978"/>
      <c r="LZP109" s="978"/>
      <c r="LZQ109" s="978"/>
      <c r="LZR109" s="978"/>
      <c r="LZS109" s="978"/>
      <c r="LZT109" s="978"/>
      <c r="LZU109" s="978"/>
      <c r="LZV109" s="978"/>
      <c r="LZW109" s="978"/>
      <c r="LZX109" s="978"/>
      <c r="LZY109" s="978"/>
      <c r="LZZ109" s="978"/>
      <c r="MAA109" s="978"/>
      <c r="MAB109" s="978"/>
      <c r="MAC109" s="978"/>
      <c r="MAD109" s="978"/>
      <c r="MAE109" s="978"/>
      <c r="MAF109" s="978"/>
      <c r="MAG109" s="978"/>
      <c r="MAH109" s="978"/>
      <c r="MAI109" s="978"/>
      <c r="MAJ109" s="978"/>
      <c r="MAK109" s="978"/>
      <c r="MAL109" s="978"/>
      <c r="MAM109" s="978"/>
      <c r="MAN109" s="978"/>
      <c r="MAO109" s="978"/>
      <c r="MAP109" s="978"/>
      <c r="MAQ109" s="978"/>
      <c r="MAR109" s="978"/>
      <c r="MAS109" s="978"/>
      <c r="MAT109" s="978"/>
      <c r="MAU109" s="978"/>
      <c r="MAV109" s="978"/>
      <c r="MAW109" s="978"/>
      <c r="MAX109" s="978"/>
      <c r="MAY109" s="978"/>
      <c r="MAZ109" s="978"/>
      <c r="MBA109" s="978"/>
      <c r="MBB109" s="978"/>
      <c r="MBC109" s="978"/>
      <c r="MBD109" s="978"/>
      <c r="MBE109" s="978"/>
      <c r="MBF109" s="978"/>
      <c r="MBG109" s="978"/>
      <c r="MBH109" s="978"/>
      <c r="MBI109" s="978"/>
      <c r="MBJ109" s="978"/>
      <c r="MBK109" s="978"/>
      <c r="MBL109" s="978"/>
      <c r="MBM109" s="978"/>
      <c r="MBN109" s="978"/>
      <c r="MBO109" s="978"/>
      <c r="MBP109" s="978"/>
      <c r="MBQ109" s="978"/>
      <c r="MBR109" s="978"/>
      <c r="MBS109" s="978"/>
      <c r="MBT109" s="978"/>
      <c r="MBU109" s="978"/>
      <c r="MBV109" s="978"/>
      <c r="MBW109" s="978"/>
      <c r="MBX109" s="978"/>
      <c r="MBY109" s="978"/>
      <c r="MBZ109" s="978"/>
      <c r="MCA109" s="978"/>
      <c r="MCB109" s="978"/>
      <c r="MCC109" s="978"/>
      <c r="MCD109" s="978"/>
      <c r="MCE109" s="978"/>
      <c r="MCF109" s="978"/>
      <c r="MCG109" s="978"/>
      <c r="MCH109" s="978"/>
      <c r="MCI109" s="978"/>
      <c r="MCJ109" s="978"/>
      <c r="MCK109" s="978"/>
      <c r="MCL109" s="978"/>
      <c r="MCM109" s="978"/>
      <c r="MCN109" s="978"/>
      <c r="MCO109" s="978"/>
      <c r="MCP109" s="978"/>
      <c r="MCQ109" s="978"/>
      <c r="MCR109" s="978"/>
      <c r="MCS109" s="978"/>
      <c r="MCT109" s="978"/>
      <c r="MCU109" s="978"/>
      <c r="MCV109" s="978"/>
      <c r="MCW109" s="978"/>
      <c r="MCX109" s="978"/>
      <c r="MCY109" s="978"/>
      <c r="MCZ109" s="978"/>
      <c r="MDA109" s="978"/>
      <c r="MDB109" s="978"/>
      <c r="MDC109" s="978"/>
      <c r="MDD109" s="978"/>
      <c r="MDE109" s="978"/>
      <c r="MDF109" s="978"/>
      <c r="MDG109" s="978"/>
      <c r="MDH109" s="978"/>
      <c r="MDI109" s="978"/>
      <c r="MDJ109" s="978"/>
      <c r="MDK109" s="978"/>
      <c r="MDL109" s="978"/>
      <c r="MDM109" s="978"/>
      <c r="MDN109" s="978"/>
      <c r="MDO109" s="978"/>
      <c r="MDP109" s="978"/>
      <c r="MDQ109" s="978"/>
      <c r="MDR109" s="978"/>
      <c r="MDS109" s="978"/>
      <c r="MDT109" s="978"/>
      <c r="MDU109" s="978"/>
      <c r="MDV109" s="978"/>
      <c r="MDW109" s="978"/>
      <c r="MDX109" s="978"/>
      <c r="MDY109" s="978"/>
      <c r="MDZ109" s="978"/>
      <c r="MEA109" s="978"/>
      <c r="MEB109" s="978"/>
      <c r="MEC109" s="978"/>
      <c r="MED109" s="978"/>
      <c r="MEE109" s="978"/>
      <c r="MEF109" s="978"/>
      <c r="MEG109" s="978"/>
      <c r="MEH109" s="978"/>
      <c r="MEI109" s="978"/>
      <c r="MEJ109" s="978"/>
      <c r="MEK109" s="978"/>
      <c r="MEL109" s="978"/>
      <c r="MEM109" s="978"/>
      <c r="MEN109" s="978"/>
      <c r="MEO109" s="978"/>
      <c r="MEP109" s="978"/>
      <c r="MEQ109" s="978"/>
      <c r="MER109" s="978"/>
      <c r="MES109" s="978"/>
      <c r="MET109" s="978"/>
      <c r="MEU109" s="978"/>
      <c r="MEV109" s="978"/>
      <c r="MEW109" s="978"/>
      <c r="MEX109" s="978"/>
      <c r="MEY109" s="978"/>
      <c r="MEZ109" s="978"/>
      <c r="MFA109" s="978"/>
      <c r="MFB109" s="978"/>
      <c r="MFC109" s="978"/>
      <c r="MFD109" s="978"/>
      <c r="MFE109" s="978"/>
      <c r="MFF109" s="978"/>
      <c r="MFG109" s="978"/>
      <c r="MFH109" s="978"/>
      <c r="MFI109" s="978"/>
      <c r="MFJ109" s="978"/>
      <c r="MFK109" s="978"/>
      <c r="MFL109" s="978"/>
      <c r="MFM109" s="978"/>
      <c r="MFN109" s="978"/>
      <c r="MFO109" s="978"/>
      <c r="MFP109" s="978"/>
      <c r="MFQ109" s="978"/>
      <c r="MFR109" s="978"/>
      <c r="MFS109" s="978"/>
      <c r="MFT109" s="978"/>
      <c r="MFU109" s="978"/>
      <c r="MFV109" s="978"/>
      <c r="MFW109" s="978"/>
      <c r="MFX109" s="978"/>
      <c r="MFY109" s="978"/>
      <c r="MFZ109" s="978"/>
      <c r="MGA109" s="978"/>
      <c r="MGB109" s="978"/>
      <c r="MGC109" s="978"/>
      <c r="MGD109" s="978"/>
      <c r="MGE109" s="978"/>
      <c r="MGF109" s="978"/>
      <c r="MGG109" s="978"/>
      <c r="MGH109" s="978"/>
      <c r="MGI109" s="978"/>
      <c r="MGJ109" s="978"/>
      <c r="MGK109" s="978"/>
      <c r="MGL109" s="978"/>
      <c r="MGM109" s="978"/>
      <c r="MGN109" s="978"/>
      <c r="MGO109" s="978"/>
      <c r="MGP109" s="978"/>
      <c r="MGQ109" s="978"/>
      <c r="MGR109" s="978"/>
      <c r="MGS109" s="978"/>
      <c r="MGT109" s="978"/>
      <c r="MGU109" s="978"/>
      <c r="MGV109" s="978"/>
      <c r="MGW109" s="978"/>
      <c r="MGX109" s="978"/>
      <c r="MGY109" s="978"/>
      <c r="MGZ109" s="978"/>
      <c r="MHA109" s="978"/>
      <c r="MHB109" s="978"/>
      <c r="MHC109" s="978"/>
      <c r="MHD109" s="978"/>
      <c r="MHE109" s="978"/>
      <c r="MHF109" s="978"/>
      <c r="MHG109" s="978"/>
      <c r="MHH109" s="978"/>
      <c r="MHI109" s="978"/>
      <c r="MHJ109" s="978"/>
      <c r="MHK109" s="978"/>
      <c r="MHL109" s="978"/>
      <c r="MHM109" s="978"/>
      <c r="MHN109" s="978"/>
      <c r="MHO109" s="978"/>
      <c r="MHP109" s="978"/>
      <c r="MHQ109" s="978"/>
      <c r="MHR109" s="978"/>
      <c r="MHS109" s="978"/>
      <c r="MHT109" s="978"/>
      <c r="MHU109" s="978"/>
      <c r="MHV109" s="978"/>
      <c r="MHW109" s="978"/>
      <c r="MHX109" s="978"/>
      <c r="MHY109" s="978"/>
      <c r="MHZ109" s="978"/>
      <c r="MIA109" s="978"/>
      <c r="MIB109" s="978"/>
      <c r="MIC109" s="978"/>
      <c r="MID109" s="978"/>
      <c r="MIE109" s="978"/>
      <c r="MIF109" s="978"/>
      <c r="MIG109" s="978"/>
      <c r="MIH109" s="978"/>
      <c r="MII109" s="978"/>
      <c r="MIJ109" s="978"/>
      <c r="MIK109" s="978"/>
      <c r="MIL109" s="978"/>
      <c r="MIM109" s="978"/>
      <c r="MIN109" s="978"/>
      <c r="MIO109" s="978"/>
      <c r="MIP109" s="978"/>
      <c r="MIQ109" s="978"/>
      <c r="MIR109" s="978"/>
      <c r="MIS109" s="978"/>
      <c r="MIT109" s="978"/>
      <c r="MIU109" s="978"/>
      <c r="MIV109" s="978"/>
      <c r="MIW109" s="978"/>
      <c r="MIX109" s="978"/>
      <c r="MIY109" s="978"/>
      <c r="MIZ109" s="978"/>
      <c r="MJA109" s="978"/>
      <c r="MJB109" s="978"/>
      <c r="MJC109" s="978"/>
      <c r="MJD109" s="978"/>
      <c r="MJE109" s="978"/>
      <c r="MJF109" s="978"/>
      <c r="MJG109" s="978"/>
      <c r="MJH109" s="978"/>
      <c r="MJI109" s="978"/>
      <c r="MJJ109" s="978"/>
      <c r="MJK109" s="978"/>
      <c r="MJL109" s="978"/>
      <c r="MJM109" s="978"/>
      <c r="MJN109" s="978"/>
      <c r="MJO109" s="978"/>
      <c r="MJP109" s="978"/>
      <c r="MJQ109" s="978"/>
      <c r="MJR109" s="978"/>
      <c r="MJS109" s="978"/>
      <c r="MJT109" s="978"/>
      <c r="MJU109" s="978"/>
      <c r="MJV109" s="978"/>
      <c r="MJW109" s="978"/>
      <c r="MJX109" s="978"/>
      <c r="MJY109" s="978"/>
      <c r="MJZ109" s="978"/>
      <c r="MKA109" s="978"/>
      <c r="MKB109" s="978"/>
      <c r="MKC109" s="978"/>
      <c r="MKD109" s="978"/>
      <c r="MKE109" s="978"/>
      <c r="MKF109" s="978"/>
      <c r="MKG109" s="978"/>
      <c r="MKH109" s="978"/>
      <c r="MKI109" s="978"/>
      <c r="MKJ109" s="978"/>
      <c r="MKK109" s="978"/>
      <c r="MKL109" s="978"/>
      <c r="MKM109" s="978"/>
      <c r="MKN109" s="978"/>
      <c r="MKO109" s="978"/>
      <c r="MKP109" s="978"/>
      <c r="MKQ109" s="978"/>
      <c r="MKR109" s="978"/>
      <c r="MKS109" s="978"/>
      <c r="MKT109" s="978"/>
      <c r="MKU109" s="978"/>
      <c r="MKV109" s="978"/>
      <c r="MKW109" s="978"/>
      <c r="MKX109" s="978"/>
      <c r="MKY109" s="978"/>
      <c r="MKZ109" s="978"/>
      <c r="MLA109" s="978"/>
      <c r="MLB109" s="978"/>
      <c r="MLC109" s="978"/>
      <c r="MLD109" s="978"/>
      <c r="MLE109" s="978"/>
      <c r="MLF109" s="978"/>
      <c r="MLG109" s="978"/>
      <c r="MLH109" s="978"/>
      <c r="MLI109" s="978"/>
      <c r="MLJ109" s="978"/>
      <c r="MLK109" s="978"/>
      <c r="MLL109" s="978"/>
      <c r="MLM109" s="978"/>
      <c r="MLN109" s="978"/>
      <c r="MLO109" s="978"/>
      <c r="MLP109" s="978"/>
      <c r="MLQ109" s="978"/>
      <c r="MLR109" s="978"/>
      <c r="MLS109" s="978"/>
      <c r="MLT109" s="978"/>
      <c r="MLU109" s="978"/>
      <c r="MLV109" s="978"/>
      <c r="MLW109" s="978"/>
      <c r="MLX109" s="978"/>
      <c r="MLY109" s="978"/>
      <c r="MLZ109" s="978"/>
      <c r="MMA109" s="978"/>
      <c r="MMB109" s="978"/>
      <c r="MMC109" s="978"/>
      <c r="MMD109" s="978"/>
      <c r="MME109" s="978"/>
      <c r="MMF109" s="978"/>
      <c r="MMG109" s="978"/>
      <c r="MMH109" s="978"/>
      <c r="MMI109" s="978"/>
      <c r="MMJ109" s="978"/>
      <c r="MMK109" s="978"/>
      <c r="MML109" s="978"/>
      <c r="MMM109" s="978"/>
      <c r="MMN109" s="978"/>
      <c r="MMO109" s="978"/>
      <c r="MMP109" s="978"/>
      <c r="MMQ109" s="978"/>
      <c r="MMR109" s="978"/>
      <c r="MMS109" s="978"/>
      <c r="MMT109" s="978"/>
      <c r="MMU109" s="978"/>
      <c r="MMV109" s="978"/>
      <c r="MMW109" s="978"/>
      <c r="MMX109" s="978"/>
      <c r="MMY109" s="978"/>
      <c r="MMZ109" s="978"/>
      <c r="MNA109" s="978"/>
      <c r="MNB109" s="978"/>
      <c r="MNC109" s="978"/>
      <c r="MND109" s="978"/>
      <c r="MNE109" s="978"/>
      <c r="MNF109" s="978"/>
      <c r="MNG109" s="978"/>
      <c r="MNH109" s="978"/>
      <c r="MNI109" s="978"/>
      <c r="MNJ109" s="978"/>
      <c r="MNK109" s="978"/>
      <c r="MNL109" s="978"/>
      <c r="MNM109" s="978"/>
      <c r="MNN109" s="978"/>
      <c r="MNO109" s="978"/>
      <c r="MNP109" s="978"/>
      <c r="MNQ109" s="978"/>
      <c r="MNR109" s="978"/>
      <c r="MNS109" s="978"/>
      <c r="MNT109" s="978"/>
      <c r="MNU109" s="978"/>
      <c r="MNV109" s="978"/>
      <c r="MNW109" s="978"/>
      <c r="MNX109" s="978"/>
      <c r="MNY109" s="978"/>
      <c r="MNZ109" s="978"/>
      <c r="MOA109" s="978"/>
      <c r="MOB109" s="978"/>
      <c r="MOC109" s="978"/>
      <c r="MOD109" s="978"/>
      <c r="MOE109" s="978"/>
      <c r="MOF109" s="978"/>
      <c r="MOG109" s="978"/>
      <c r="MOH109" s="978"/>
      <c r="MOI109" s="978"/>
      <c r="MOJ109" s="978"/>
      <c r="MOK109" s="978"/>
      <c r="MOL109" s="978"/>
      <c r="MOM109" s="978"/>
      <c r="MON109" s="978"/>
      <c r="MOO109" s="978"/>
      <c r="MOP109" s="978"/>
      <c r="MOQ109" s="978"/>
      <c r="MOR109" s="978"/>
      <c r="MOS109" s="978"/>
      <c r="MOT109" s="978"/>
      <c r="MOU109" s="978"/>
      <c r="MOV109" s="978"/>
      <c r="MOW109" s="978"/>
      <c r="MOX109" s="978"/>
      <c r="MOY109" s="978"/>
      <c r="MOZ109" s="978"/>
      <c r="MPA109" s="978"/>
      <c r="MPB109" s="978"/>
      <c r="MPC109" s="978"/>
      <c r="MPD109" s="978"/>
      <c r="MPE109" s="978"/>
      <c r="MPF109" s="978"/>
      <c r="MPG109" s="978"/>
      <c r="MPH109" s="978"/>
      <c r="MPI109" s="978"/>
      <c r="MPJ109" s="978"/>
      <c r="MPK109" s="978"/>
      <c r="MPL109" s="978"/>
      <c r="MPM109" s="978"/>
      <c r="MPN109" s="978"/>
      <c r="MPO109" s="978"/>
      <c r="MPP109" s="978"/>
      <c r="MPQ109" s="978"/>
      <c r="MPR109" s="978"/>
      <c r="MPS109" s="978"/>
      <c r="MPT109" s="978"/>
      <c r="MPU109" s="978"/>
      <c r="MPV109" s="978"/>
      <c r="MPW109" s="978"/>
      <c r="MPX109" s="978"/>
      <c r="MPY109" s="978"/>
      <c r="MPZ109" s="978"/>
      <c r="MQA109" s="978"/>
      <c r="MQB109" s="978"/>
      <c r="MQC109" s="978"/>
      <c r="MQD109" s="978"/>
      <c r="MQE109" s="978"/>
      <c r="MQF109" s="978"/>
      <c r="MQG109" s="978"/>
      <c r="MQH109" s="978"/>
      <c r="MQI109" s="978"/>
      <c r="MQJ109" s="978"/>
      <c r="MQK109" s="978"/>
      <c r="MQL109" s="978"/>
      <c r="MQM109" s="978"/>
      <c r="MQN109" s="978"/>
      <c r="MQO109" s="978"/>
      <c r="MQP109" s="978"/>
      <c r="MQQ109" s="978"/>
      <c r="MQR109" s="978"/>
      <c r="MQS109" s="978"/>
      <c r="MQT109" s="978"/>
      <c r="MQU109" s="978"/>
      <c r="MQV109" s="978"/>
      <c r="MQW109" s="978"/>
      <c r="MQX109" s="978"/>
      <c r="MQY109" s="978"/>
      <c r="MQZ109" s="978"/>
      <c r="MRA109" s="978"/>
      <c r="MRB109" s="978"/>
      <c r="MRC109" s="978"/>
      <c r="MRD109" s="978"/>
      <c r="MRE109" s="978"/>
      <c r="MRF109" s="978"/>
      <c r="MRG109" s="978"/>
      <c r="MRH109" s="978"/>
      <c r="MRI109" s="978"/>
      <c r="MRJ109" s="978"/>
      <c r="MRK109" s="978"/>
      <c r="MRL109" s="978"/>
      <c r="MRM109" s="978"/>
      <c r="MRN109" s="978"/>
      <c r="MRO109" s="978"/>
      <c r="MRP109" s="978"/>
      <c r="MRQ109" s="978"/>
      <c r="MRR109" s="978"/>
      <c r="MRS109" s="978"/>
      <c r="MRT109" s="978"/>
      <c r="MRU109" s="978"/>
      <c r="MRV109" s="978"/>
      <c r="MRW109" s="978"/>
      <c r="MRX109" s="978"/>
      <c r="MRY109" s="978"/>
      <c r="MRZ109" s="978"/>
      <c r="MSA109" s="978"/>
      <c r="MSB109" s="978"/>
      <c r="MSC109" s="978"/>
      <c r="MSD109" s="978"/>
      <c r="MSE109" s="978"/>
      <c r="MSF109" s="978"/>
      <c r="MSG109" s="978"/>
      <c r="MSH109" s="978"/>
      <c r="MSI109" s="978"/>
      <c r="MSJ109" s="978"/>
      <c r="MSK109" s="978"/>
      <c r="MSL109" s="978"/>
      <c r="MSM109" s="978"/>
      <c r="MSN109" s="978"/>
      <c r="MSO109" s="978"/>
      <c r="MSP109" s="978"/>
      <c r="MSQ109" s="978"/>
      <c r="MSR109" s="978"/>
      <c r="MSS109" s="978"/>
      <c r="MST109" s="978"/>
      <c r="MSU109" s="978"/>
      <c r="MSV109" s="978"/>
      <c r="MSW109" s="978"/>
      <c r="MSX109" s="978"/>
      <c r="MSY109" s="978"/>
      <c r="MSZ109" s="978"/>
      <c r="MTA109" s="978"/>
      <c r="MTB109" s="978"/>
      <c r="MTC109" s="978"/>
      <c r="MTD109" s="978"/>
      <c r="MTE109" s="978"/>
      <c r="MTF109" s="978"/>
      <c r="MTG109" s="978"/>
      <c r="MTH109" s="978"/>
      <c r="MTI109" s="978"/>
      <c r="MTJ109" s="978"/>
      <c r="MTK109" s="978"/>
      <c r="MTL109" s="978"/>
      <c r="MTM109" s="978"/>
      <c r="MTN109" s="978"/>
      <c r="MTO109" s="978"/>
      <c r="MTP109" s="978"/>
      <c r="MTQ109" s="978"/>
      <c r="MTR109" s="978"/>
      <c r="MTS109" s="978"/>
      <c r="MTT109" s="978"/>
      <c r="MTU109" s="978"/>
      <c r="MTV109" s="978"/>
      <c r="MTW109" s="978"/>
      <c r="MTX109" s="978"/>
      <c r="MTY109" s="978"/>
      <c r="MTZ109" s="978"/>
      <c r="MUA109" s="978"/>
      <c r="MUB109" s="978"/>
      <c r="MUC109" s="978"/>
      <c r="MUD109" s="978"/>
      <c r="MUE109" s="978"/>
      <c r="MUF109" s="978"/>
      <c r="MUG109" s="978"/>
      <c r="MUH109" s="978"/>
      <c r="MUI109" s="978"/>
      <c r="MUJ109" s="978"/>
      <c r="MUK109" s="978"/>
      <c r="MUL109" s="978"/>
      <c r="MUM109" s="978"/>
      <c r="MUN109" s="978"/>
      <c r="MUO109" s="978"/>
      <c r="MUP109" s="978"/>
      <c r="MUQ109" s="978"/>
      <c r="MUR109" s="978"/>
      <c r="MUS109" s="978"/>
      <c r="MUT109" s="978"/>
      <c r="MUU109" s="978"/>
      <c r="MUV109" s="978"/>
      <c r="MUW109" s="978"/>
      <c r="MUX109" s="978"/>
      <c r="MUY109" s="978"/>
      <c r="MUZ109" s="978"/>
      <c r="MVA109" s="978"/>
      <c r="MVB109" s="978"/>
      <c r="MVC109" s="978"/>
      <c r="MVD109" s="978"/>
      <c r="MVE109" s="978"/>
      <c r="MVF109" s="978"/>
      <c r="MVG109" s="978"/>
      <c r="MVH109" s="978"/>
      <c r="MVI109" s="978"/>
      <c r="MVJ109" s="978"/>
      <c r="MVK109" s="978"/>
      <c r="MVL109" s="978"/>
      <c r="MVM109" s="978"/>
      <c r="MVN109" s="978"/>
      <c r="MVO109" s="978"/>
      <c r="MVP109" s="978"/>
      <c r="MVQ109" s="978"/>
      <c r="MVR109" s="978"/>
      <c r="MVS109" s="978"/>
      <c r="MVT109" s="978"/>
      <c r="MVU109" s="978"/>
      <c r="MVV109" s="978"/>
      <c r="MVW109" s="978"/>
      <c r="MVX109" s="978"/>
      <c r="MVY109" s="978"/>
      <c r="MVZ109" s="978"/>
      <c r="MWA109" s="978"/>
      <c r="MWB109" s="978"/>
      <c r="MWC109" s="978"/>
      <c r="MWD109" s="978"/>
      <c r="MWE109" s="978"/>
      <c r="MWF109" s="978"/>
      <c r="MWG109" s="978"/>
      <c r="MWH109" s="978"/>
      <c r="MWI109" s="978"/>
      <c r="MWJ109" s="978"/>
      <c r="MWK109" s="978"/>
      <c r="MWL109" s="978"/>
      <c r="MWM109" s="978"/>
      <c r="MWN109" s="978"/>
      <c r="MWO109" s="978"/>
      <c r="MWP109" s="978"/>
      <c r="MWQ109" s="978"/>
      <c r="MWR109" s="978"/>
      <c r="MWS109" s="978"/>
      <c r="MWT109" s="978"/>
      <c r="MWU109" s="978"/>
      <c r="MWV109" s="978"/>
      <c r="MWW109" s="978"/>
      <c r="MWX109" s="978"/>
      <c r="MWY109" s="978"/>
      <c r="MWZ109" s="978"/>
      <c r="MXA109" s="978"/>
      <c r="MXB109" s="978"/>
      <c r="MXC109" s="978"/>
      <c r="MXD109" s="978"/>
      <c r="MXE109" s="978"/>
      <c r="MXF109" s="978"/>
      <c r="MXG109" s="978"/>
      <c r="MXH109" s="978"/>
      <c r="MXI109" s="978"/>
      <c r="MXJ109" s="978"/>
      <c r="MXK109" s="978"/>
      <c r="MXL109" s="978"/>
      <c r="MXM109" s="978"/>
      <c r="MXN109" s="978"/>
      <c r="MXO109" s="978"/>
      <c r="MXP109" s="978"/>
      <c r="MXQ109" s="978"/>
      <c r="MXR109" s="978"/>
      <c r="MXS109" s="978"/>
      <c r="MXT109" s="978"/>
      <c r="MXU109" s="978"/>
      <c r="MXV109" s="978"/>
      <c r="MXW109" s="978"/>
      <c r="MXX109" s="978"/>
      <c r="MXY109" s="978"/>
      <c r="MXZ109" s="978"/>
      <c r="MYA109" s="978"/>
      <c r="MYB109" s="978"/>
      <c r="MYC109" s="978"/>
      <c r="MYD109" s="978"/>
      <c r="MYE109" s="978"/>
      <c r="MYF109" s="978"/>
      <c r="MYG109" s="978"/>
      <c r="MYH109" s="978"/>
      <c r="MYI109" s="978"/>
      <c r="MYJ109" s="978"/>
      <c r="MYK109" s="978"/>
      <c r="MYL109" s="978"/>
      <c r="MYM109" s="978"/>
      <c r="MYN109" s="978"/>
      <c r="MYO109" s="978"/>
      <c r="MYP109" s="978"/>
      <c r="MYQ109" s="978"/>
      <c r="MYR109" s="978"/>
      <c r="MYS109" s="978"/>
      <c r="MYT109" s="978"/>
      <c r="MYU109" s="978"/>
      <c r="MYV109" s="978"/>
      <c r="MYW109" s="978"/>
      <c r="MYX109" s="978"/>
      <c r="MYY109" s="978"/>
      <c r="MYZ109" s="978"/>
      <c r="MZA109" s="978"/>
      <c r="MZB109" s="978"/>
      <c r="MZC109" s="978"/>
      <c r="MZD109" s="978"/>
      <c r="MZE109" s="978"/>
      <c r="MZF109" s="978"/>
      <c r="MZG109" s="978"/>
      <c r="MZH109" s="978"/>
      <c r="MZI109" s="978"/>
      <c r="MZJ109" s="978"/>
      <c r="MZK109" s="978"/>
      <c r="MZL109" s="978"/>
      <c r="MZM109" s="978"/>
      <c r="MZN109" s="978"/>
      <c r="MZO109" s="978"/>
      <c r="MZP109" s="978"/>
      <c r="MZQ109" s="978"/>
      <c r="MZR109" s="978"/>
      <c r="MZS109" s="978"/>
      <c r="MZT109" s="978"/>
      <c r="MZU109" s="978"/>
      <c r="MZV109" s="978"/>
      <c r="MZW109" s="978"/>
      <c r="MZX109" s="978"/>
      <c r="MZY109" s="978"/>
      <c r="MZZ109" s="978"/>
      <c r="NAA109" s="978"/>
      <c r="NAB109" s="978"/>
      <c r="NAC109" s="978"/>
      <c r="NAD109" s="978"/>
      <c r="NAE109" s="978"/>
      <c r="NAF109" s="978"/>
      <c r="NAG109" s="978"/>
      <c r="NAH109" s="978"/>
      <c r="NAI109" s="978"/>
      <c r="NAJ109" s="978"/>
      <c r="NAK109" s="978"/>
      <c r="NAL109" s="978"/>
      <c r="NAM109" s="978"/>
      <c r="NAN109" s="978"/>
      <c r="NAO109" s="978"/>
      <c r="NAP109" s="978"/>
      <c r="NAQ109" s="978"/>
      <c r="NAR109" s="978"/>
      <c r="NAS109" s="978"/>
      <c r="NAT109" s="978"/>
      <c r="NAU109" s="978"/>
      <c r="NAV109" s="978"/>
      <c r="NAW109" s="978"/>
      <c r="NAX109" s="978"/>
      <c r="NAY109" s="978"/>
      <c r="NAZ109" s="978"/>
      <c r="NBA109" s="978"/>
      <c r="NBB109" s="978"/>
      <c r="NBC109" s="978"/>
      <c r="NBD109" s="978"/>
      <c r="NBE109" s="978"/>
      <c r="NBF109" s="978"/>
      <c r="NBG109" s="978"/>
      <c r="NBH109" s="978"/>
      <c r="NBI109" s="978"/>
      <c r="NBJ109" s="978"/>
      <c r="NBK109" s="978"/>
      <c r="NBL109" s="978"/>
      <c r="NBM109" s="978"/>
      <c r="NBN109" s="978"/>
      <c r="NBO109" s="978"/>
      <c r="NBP109" s="978"/>
      <c r="NBQ109" s="978"/>
      <c r="NBR109" s="978"/>
      <c r="NBS109" s="978"/>
      <c r="NBT109" s="978"/>
      <c r="NBU109" s="978"/>
      <c r="NBV109" s="978"/>
      <c r="NBW109" s="978"/>
      <c r="NBX109" s="978"/>
      <c r="NBY109" s="978"/>
      <c r="NBZ109" s="978"/>
      <c r="NCA109" s="978"/>
      <c r="NCB109" s="978"/>
      <c r="NCC109" s="978"/>
      <c r="NCD109" s="978"/>
      <c r="NCE109" s="978"/>
      <c r="NCF109" s="978"/>
      <c r="NCG109" s="978"/>
      <c r="NCH109" s="978"/>
      <c r="NCI109" s="978"/>
      <c r="NCJ109" s="978"/>
      <c r="NCK109" s="978"/>
      <c r="NCL109" s="978"/>
      <c r="NCM109" s="978"/>
      <c r="NCN109" s="978"/>
      <c r="NCO109" s="978"/>
      <c r="NCP109" s="978"/>
      <c r="NCQ109" s="978"/>
      <c r="NCR109" s="978"/>
      <c r="NCS109" s="978"/>
      <c r="NCT109" s="978"/>
      <c r="NCU109" s="978"/>
      <c r="NCV109" s="978"/>
      <c r="NCW109" s="978"/>
      <c r="NCX109" s="978"/>
      <c r="NCY109" s="978"/>
      <c r="NCZ109" s="978"/>
      <c r="NDA109" s="978"/>
      <c r="NDB109" s="978"/>
      <c r="NDC109" s="978"/>
      <c r="NDD109" s="978"/>
      <c r="NDE109" s="978"/>
      <c r="NDF109" s="978"/>
      <c r="NDG109" s="978"/>
      <c r="NDH109" s="978"/>
      <c r="NDI109" s="978"/>
      <c r="NDJ109" s="978"/>
      <c r="NDK109" s="978"/>
      <c r="NDL109" s="978"/>
      <c r="NDM109" s="978"/>
      <c r="NDN109" s="978"/>
      <c r="NDO109" s="978"/>
      <c r="NDP109" s="978"/>
      <c r="NDQ109" s="978"/>
      <c r="NDR109" s="978"/>
      <c r="NDS109" s="978"/>
      <c r="NDT109" s="978"/>
      <c r="NDU109" s="978"/>
      <c r="NDV109" s="978"/>
      <c r="NDW109" s="978"/>
      <c r="NDX109" s="978"/>
      <c r="NDY109" s="978"/>
      <c r="NDZ109" s="978"/>
      <c r="NEA109" s="978"/>
      <c r="NEB109" s="978"/>
      <c r="NEC109" s="978"/>
      <c r="NED109" s="978"/>
      <c r="NEE109" s="978"/>
      <c r="NEF109" s="978"/>
      <c r="NEG109" s="978"/>
      <c r="NEH109" s="978"/>
      <c r="NEI109" s="978"/>
      <c r="NEJ109" s="978"/>
      <c r="NEK109" s="978"/>
      <c r="NEL109" s="978"/>
      <c r="NEM109" s="978"/>
      <c r="NEN109" s="978"/>
      <c r="NEO109" s="978"/>
      <c r="NEP109" s="978"/>
      <c r="NEQ109" s="978"/>
      <c r="NER109" s="978"/>
      <c r="NES109" s="978"/>
      <c r="NET109" s="978"/>
      <c r="NEU109" s="978"/>
      <c r="NEV109" s="978"/>
      <c r="NEW109" s="978"/>
      <c r="NEX109" s="978"/>
      <c r="NEY109" s="978"/>
      <c r="NEZ109" s="978"/>
      <c r="NFA109" s="978"/>
      <c r="NFB109" s="978"/>
      <c r="NFC109" s="978"/>
      <c r="NFD109" s="978"/>
      <c r="NFE109" s="978"/>
      <c r="NFF109" s="978"/>
      <c r="NFG109" s="978"/>
      <c r="NFH109" s="978"/>
      <c r="NFI109" s="978"/>
      <c r="NFJ109" s="978"/>
      <c r="NFK109" s="978"/>
      <c r="NFL109" s="978"/>
      <c r="NFM109" s="978"/>
      <c r="NFN109" s="978"/>
      <c r="NFO109" s="978"/>
      <c r="NFP109" s="978"/>
      <c r="NFQ109" s="978"/>
      <c r="NFR109" s="978"/>
      <c r="NFS109" s="978"/>
      <c r="NFT109" s="978"/>
      <c r="NFU109" s="978"/>
      <c r="NFV109" s="978"/>
      <c r="NFW109" s="978"/>
      <c r="NFX109" s="978"/>
      <c r="NFY109" s="978"/>
      <c r="NFZ109" s="978"/>
      <c r="NGA109" s="978"/>
      <c r="NGB109" s="978"/>
      <c r="NGC109" s="978"/>
      <c r="NGD109" s="978"/>
      <c r="NGE109" s="978"/>
      <c r="NGF109" s="978"/>
      <c r="NGG109" s="978"/>
      <c r="NGH109" s="978"/>
      <c r="NGI109" s="978"/>
      <c r="NGJ109" s="978"/>
      <c r="NGK109" s="978"/>
      <c r="NGL109" s="978"/>
      <c r="NGM109" s="978"/>
      <c r="NGN109" s="978"/>
      <c r="NGO109" s="978"/>
      <c r="NGP109" s="978"/>
      <c r="NGQ109" s="978"/>
      <c r="NGR109" s="978"/>
      <c r="NGS109" s="978"/>
      <c r="NGT109" s="978"/>
      <c r="NGU109" s="978"/>
      <c r="NGV109" s="978"/>
      <c r="NGW109" s="978"/>
      <c r="NGX109" s="978"/>
      <c r="NGY109" s="978"/>
      <c r="NGZ109" s="978"/>
      <c r="NHA109" s="978"/>
      <c r="NHB109" s="978"/>
      <c r="NHC109" s="978"/>
      <c r="NHD109" s="978"/>
      <c r="NHE109" s="978"/>
      <c r="NHF109" s="978"/>
      <c r="NHG109" s="978"/>
      <c r="NHH109" s="978"/>
      <c r="NHI109" s="978"/>
      <c r="NHJ109" s="978"/>
      <c r="NHK109" s="978"/>
      <c r="NHL109" s="978"/>
      <c r="NHM109" s="978"/>
      <c r="NHN109" s="978"/>
      <c r="NHO109" s="978"/>
      <c r="NHP109" s="978"/>
      <c r="NHQ109" s="978"/>
      <c r="NHR109" s="978"/>
      <c r="NHS109" s="978"/>
      <c r="NHT109" s="978"/>
      <c r="NHU109" s="978"/>
      <c r="NHV109" s="978"/>
      <c r="NHW109" s="978"/>
      <c r="NHX109" s="978"/>
      <c r="NHY109" s="978"/>
      <c r="NHZ109" s="978"/>
      <c r="NIA109" s="978"/>
      <c r="NIB109" s="978"/>
      <c r="NIC109" s="978"/>
      <c r="NID109" s="978"/>
      <c r="NIE109" s="978"/>
      <c r="NIF109" s="978"/>
      <c r="NIG109" s="978"/>
      <c r="NIH109" s="978"/>
      <c r="NII109" s="978"/>
      <c r="NIJ109" s="978"/>
      <c r="NIK109" s="978"/>
      <c r="NIL109" s="978"/>
      <c r="NIM109" s="978"/>
      <c r="NIN109" s="978"/>
      <c r="NIO109" s="978"/>
      <c r="NIP109" s="978"/>
      <c r="NIQ109" s="978"/>
      <c r="NIR109" s="978"/>
      <c r="NIS109" s="978"/>
      <c r="NIT109" s="978"/>
      <c r="NIU109" s="978"/>
      <c r="NIV109" s="978"/>
      <c r="NIW109" s="978"/>
      <c r="NIX109" s="978"/>
      <c r="NIY109" s="978"/>
      <c r="NIZ109" s="978"/>
      <c r="NJA109" s="978"/>
      <c r="NJB109" s="978"/>
      <c r="NJC109" s="978"/>
      <c r="NJD109" s="978"/>
      <c r="NJE109" s="978"/>
      <c r="NJF109" s="978"/>
      <c r="NJG109" s="978"/>
      <c r="NJH109" s="978"/>
      <c r="NJI109" s="978"/>
      <c r="NJJ109" s="978"/>
      <c r="NJK109" s="978"/>
      <c r="NJL109" s="978"/>
      <c r="NJM109" s="978"/>
      <c r="NJN109" s="978"/>
      <c r="NJO109" s="978"/>
      <c r="NJP109" s="978"/>
      <c r="NJQ109" s="978"/>
      <c r="NJR109" s="978"/>
      <c r="NJS109" s="978"/>
      <c r="NJT109" s="978"/>
      <c r="NJU109" s="978"/>
      <c r="NJV109" s="978"/>
      <c r="NJW109" s="978"/>
      <c r="NJX109" s="978"/>
      <c r="NJY109" s="978"/>
      <c r="NJZ109" s="978"/>
      <c r="NKA109" s="978"/>
      <c r="NKB109" s="978"/>
      <c r="NKC109" s="978"/>
      <c r="NKD109" s="978"/>
      <c r="NKE109" s="978"/>
      <c r="NKF109" s="978"/>
      <c r="NKG109" s="978"/>
      <c r="NKH109" s="978"/>
      <c r="NKI109" s="978"/>
      <c r="NKJ109" s="978"/>
      <c r="NKK109" s="978"/>
      <c r="NKL109" s="978"/>
      <c r="NKM109" s="978"/>
      <c r="NKN109" s="978"/>
      <c r="NKO109" s="978"/>
      <c r="NKP109" s="978"/>
      <c r="NKQ109" s="978"/>
      <c r="NKR109" s="978"/>
      <c r="NKS109" s="978"/>
      <c r="NKT109" s="978"/>
      <c r="NKU109" s="978"/>
      <c r="NKV109" s="978"/>
      <c r="NKW109" s="978"/>
      <c r="NKX109" s="978"/>
      <c r="NKY109" s="978"/>
      <c r="NKZ109" s="978"/>
      <c r="NLA109" s="978"/>
      <c r="NLB109" s="978"/>
      <c r="NLC109" s="978"/>
      <c r="NLD109" s="978"/>
      <c r="NLE109" s="978"/>
      <c r="NLF109" s="978"/>
      <c r="NLG109" s="978"/>
      <c r="NLH109" s="978"/>
      <c r="NLI109" s="978"/>
      <c r="NLJ109" s="978"/>
      <c r="NLK109" s="978"/>
      <c r="NLL109" s="978"/>
      <c r="NLM109" s="978"/>
      <c r="NLN109" s="978"/>
      <c r="NLO109" s="978"/>
      <c r="NLP109" s="978"/>
      <c r="NLQ109" s="978"/>
      <c r="NLR109" s="978"/>
      <c r="NLS109" s="978"/>
      <c r="NLT109" s="978"/>
      <c r="NLU109" s="978"/>
      <c r="NLV109" s="978"/>
      <c r="NLW109" s="978"/>
      <c r="NLX109" s="978"/>
      <c r="NLY109" s="978"/>
      <c r="NLZ109" s="978"/>
      <c r="NMA109" s="978"/>
      <c r="NMB109" s="978"/>
      <c r="NMC109" s="978"/>
      <c r="NMD109" s="978"/>
      <c r="NME109" s="978"/>
      <c r="NMF109" s="978"/>
      <c r="NMG109" s="978"/>
      <c r="NMH109" s="978"/>
      <c r="NMI109" s="978"/>
      <c r="NMJ109" s="978"/>
      <c r="NMK109" s="978"/>
      <c r="NML109" s="978"/>
      <c r="NMM109" s="978"/>
      <c r="NMN109" s="978"/>
      <c r="NMO109" s="978"/>
      <c r="NMP109" s="978"/>
      <c r="NMQ109" s="978"/>
      <c r="NMR109" s="978"/>
      <c r="NMS109" s="978"/>
      <c r="NMT109" s="978"/>
      <c r="NMU109" s="978"/>
      <c r="NMV109" s="978"/>
      <c r="NMW109" s="978"/>
      <c r="NMX109" s="978"/>
      <c r="NMY109" s="978"/>
      <c r="NMZ109" s="978"/>
      <c r="NNA109" s="978"/>
      <c r="NNB109" s="978"/>
      <c r="NNC109" s="978"/>
      <c r="NND109" s="978"/>
      <c r="NNE109" s="978"/>
      <c r="NNF109" s="978"/>
      <c r="NNG109" s="978"/>
      <c r="NNH109" s="978"/>
      <c r="NNI109" s="978"/>
      <c r="NNJ109" s="978"/>
      <c r="NNK109" s="978"/>
      <c r="NNL109" s="978"/>
      <c r="NNM109" s="978"/>
      <c r="NNN109" s="978"/>
      <c r="NNO109" s="978"/>
      <c r="NNP109" s="978"/>
      <c r="NNQ109" s="978"/>
      <c r="NNR109" s="978"/>
      <c r="NNS109" s="978"/>
      <c r="NNT109" s="978"/>
      <c r="NNU109" s="978"/>
      <c r="NNV109" s="978"/>
      <c r="NNW109" s="978"/>
      <c r="NNX109" s="978"/>
      <c r="NNY109" s="978"/>
      <c r="NNZ109" s="978"/>
      <c r="NOA109" s="978"/>
      <c r="NOB109" s="978"/>
      <c r="NOC109" s="978"/>
      <c r="NOD109" s="978"/>
      <c r="NOE109" s="978"/>
      <c r="NOF109" s="978"/>
      <c r="NOG109" s="978"/>
      <c r="NOH109" s="978"/>
      <c r="NOI109" s="978"/>
      <c r="NOJ109" s="978"/>
      <c r="NOK109" s="978"/>
      <c r="NOL109" s="978"/>
      <c r="NOM109" s="978"/>
      <c r="NON109" s="978"/>
      <c r="NOO109" s="978"/>
      <c r="NOP109" s="978"/>
      <c r="NOQ109" s="978"/>
      <c r="NOR109" s="978"/>
      <c r="NOS109" s="978"/>
      <c r="NOT109" s="978"/>
      <c r="NOU109" s="978"/>
      <c r="NOV109" s="978"/>
      <c r="NOW109" s="978"/>
      <c r="NOX109" s="978"/>
      <c r="NOY109" s="978"/>
      <c r="NOZ109" s="978"/>
      <c r="NPA109" s="978"/>
      <c r="NPB109" s="978"/>
      <c r="NPC109" s="978"/>
      <c r="NPD109" s="978"/>
      <c r="NPE109" s="978"/>
      <c r="NPF109" s="978"/>
      <c r="NPG109" s="978"/>
      <c r="NPH109" s="978"/>
      <c r="NPI109" s="978"/>
      <c r="NPJ109" s="978"/>
      <c r="NPK109" s="978"/>
      <c r="NPL109" s="978"/>
      <c r="NPM109" s="978"/>
      <c r="NPN109" s="978"/>
      <c r="NPO109" s="978"/>
      <c r="NPP109" s="978"/>
      <c r="NPQ109" s="978"/>
      <c r="NPR109" s="978"/>
      <c r="NPS109" s="978"/>
      <c r="NPT109" s="978"/>
      <c r="NPU109" s="978"/>
      <c r="NPV109" s="978"/>
      <c r="NPW109" s="978"/>
      <c r="NPX109" s="978"/>
      <c r="NPY109" s="978"/>
      <c r="NPZ109" s="978"/>
      <c r="NQA109" s="978"/>
      <c r="NQB109" s="978"/>
      <c r="NQC109" s="978"/>
      <c r="NQD109" s="978"/>
      <c r="NQE109" s="978"/>
      <c r="NQF109" s="978"/>
      <c r="NQG109" s="978"/>
      <c r="NQH109" s="978"/>
      <c r="NQI109" s="978"/>
      <c r="NQJ109" s="978"/>
      <c r="NQK109" s="978"/>
      <c r="NQL109" s="978"/>
      <c r="NQM109" s="978"/>
      <c r="NQN109" s="978"/>
      <c r="NQO109" s="978"/>
      <c r="NQP109" s="978"/>
      <c r="NQQ109" s="978"/>
      <c r="NQR109" s="978"/>
      <c r="NQS109" s="978"/>
      <c r="NQT109" s="978"/>
      <c r="NQU109" s="978"/>
      <c r="NQV109" s="978"/>
      <c r="NQW109" s="978"/>
      <c r="NQX109" s="978"/>
      <c r="NQY109" s="978"/>
      <c r="NQZ109" s="978"/>
      <c r="NRA109" s="978"/>
      <c r="NRB109" s="978"/>
      <c r="NRC109" s="978"/>
      <c r="NRD109" s="978"/>
      <c r="NRE109" s="978"/>
      <c r="NRF109" s="978"/>
      <c r="NRG109" s="978"/>
      <c r="NRH109" s="978"/>
      <c r="NRI109" s="978"/>
      <c r="NRJ109" s="978"/>
      <c r="NRK109" s="978"/>
      <c r="NRL109" s="978"/>
      <c r="NRM109" s="978"/>
      <c r="NRN109" s="978"/>
      <c r="NRO109" s="978"/>
      <c r="NRP109" s="978"/>
      <c r="NRQ109" s="978"/>
      <c r="NRR109" s="978"/>
      <c r="NRS109" s="978"/>
      <c r="NRT109" s="978"/>
      <c r="NRU109" s="978"/>
      <c r="NRV109" s="978"/>
      <c r="NRW109" s="978"/>
      <c r="NRX109" s="978"/>
      <c r="NRY109" s="978"/>
      <c r="NRZ109" s="978"/>
      <c r="NSA109" s="978"/>
      <c r="NSB109" s="978"/>
      <c r="NSC109" s="978"/>
      <c r="NSD109" s="978"/>
      <c r="NSE109" s="978"/>
      <c r="NSF109" s="978"/>
      <c r="NSG109" s="978"/>
      <c r="NSH109" s="978"/>
      <c r="NSI109" s="978"/>
      <c r="NSJ109" s="978"/>
      <c r="NSK109" s="978"/>
      <c r="NSL109" s="978"/>
      <c r="NSM109" s="978"/>
      <c r="NSN109" s="978"/>
      <c r="NSO109" s="978"/>
      <c r="NSP109" s="978"/>
      <c r="NSQ109" s="978"/>
      <c r="NSR109" s="978"/>
      <c r="NSS109" s="978"/>
      <c r="NST109" s="978"/>
      <c r="NSU109" s="978"/>
      <c r="NSV109" s="978"/>
      <c r="NSW109" s="978"/>
      <c r="NSX109" s="978"/>
      <c r="NSY109" s="978"/>
      <c r="NSZ109" s="978"/>
      <c r="NTA109" s="978"/>
      <c r="NTB109" s="978"/>
      <c r="NTC109" s="978"/>
      <c r="NTD109" s="978"/>
      <c r="NTE109" s="978"/>
      <c r="NTF109" s="978"/>
      <c r="NTG109" s="978"/>
      <c r="NTH109" s="978"/>
      <c r="NTI109" s="978"/>
      <c r="NTJ109" s="978"/>
      <c r="NTK109" s="978"/>
      <c r="NTL109" s="978"/>
      <c r="NTM109" s="978"/>
      <c r="NTN109" s="978"/>
      <c r="NTO109" s="978"/>
      <c r="NTP109" s="978"/>
      <c r="NTQ109" s="978"/>
      <c r="NTR109" s="978"/>
      <c r="NTS109" s="978"/>
      <c r="NTT109" s="978"/>
      <c r="NTU109" s="978"/>
      <c r="NTV109" s="978"/>
      <c r="NTW109" s="978"/>
      <c r="NTX109" s="978"/>
      <c r="NTY109" s="978"/>
      <c r="NTZ109" s="978"/>
      <c r="NUA109" s="978"/>
      <c r="NUB109" s="978"/>
      <c r="NUC109" s="978"/>
      <c r="NUD109" s="978"/>
      <c r="NUE109" s="978"/>
      <c r="NUF109" s="978"/>
      <c r="NUG109" s="978"/>
      <c r="NUH109" s="978"/>
      <c r="NUI109" s="978"/>
      <c r="NUJ109" s="978"/>
      <c r="NUK109" s="978"/>
      <c r="NUL109" s="978"/>
      <c r="NUM109" s="978"/>
      <c r="NUN109" s="978"/>
      <c r="NUO109" s="978"/>
      <c r="NUP109" s="978"/>
      <c r="NUQ109" s="978"/>
      <c r="NUR109" s="978"/>
      <c r="NUS109" s="978"/>
      <c r="NUT109" s="978"/>
      <c r="NUU109" s="978"/>
      <c r="NUV109" s="978"/>
      <c r="NUW109" s="978"/>
      <c r="NUX109" s="978"/>
      <c r="NUY109" s="978"/>
      <c r="NUZ109" s="978"/>
      <c r="NVA109" s="978"/>
      <c r="NVB109" s="978"/>
      <c r="NVC109" s="978"/>
      <c r="NVD109" s="978"/>
      <c r="NVE109" s="978"/>
      <c r="NVF109" s="978"/>
      <c r="NVG109" s="978"/>
      <c r="NVH109" s="978"/>
      <c r="NVI109" s="978"/>
      <c r="NVJ109" s="978"/>
      <c r="NVK109" s="978"/>
      <c r="NVL109" s="978"/>
      <c r="NVM109" s="978"/>
      <c r="NVN109" s="978"/>
      <c r="NVO109" s="978"/>
      <c r="NVP109" s="978"/>
      <c r="NVQ109" s="978"/>
      <c r="NVR109" s="978"/>
      <c r="NVS109" s="978"/>
      <c r="NVT109" s="978"/>
      <c r="NVU109" s="978"/>
      <c r="NVV109" s="978"/>
      <c r="NVW109" s="978"/>
      <c r="NVX109" s="978"/>
      <c r="NVY109" s="978"/>
      <c r="NVZ109" s="978"/>
      <c r="NWA109" s="978"/>
      <c r="NWB109" s="978"/>
      <c r="NWC109" s="978"/>
      <c r="NWD109" s="978"/>
      <c r="NWE109" s="978"/>
      <c r="NWF109" s="978"/>
      <c r="NWG109" s="978"/>
      <c r="NWH109" s="978"/>
      <c r="NWI109" s="978"/>
      <c r="NWJ109" s="978"/>
      <c r="NWK109" s="978"/>
      <c r="NWL109" s="978"/>
      <c r="NWM109" s="978"/>
      <c r="NWN109" s="978"/>
      <c r="NWO109" s="978"/>
      <c r="NWP109" s="978"/>
      <c r="NWQ109" s="978"/>
      <c r="NWR109" s="978"/>
      <c r="NWS109" s="978"/>
      <c r="NWT109" s="978"/>
      <c r="NWU109" s="978"/>
      <c r="NWV109" s="978"/>
      <c r="NWW109" s="978"/>
      <c r="NWX109" s="978"/>
      <c r="NWY109" s="978"/>
      <c r="NWZ109" s="978"/>
      <c r="NXA109" s="978"/>
      <c r="NXB109" s="978"/>
      <c r="NXC109" s="978"/>
      <c r="NXD109" s="978"/>
      <c r="NXE109" s="978"/>
      <c r="NXF109" s="978"/>
      <c r="NXG109" s="978"/>
      <c r="NXH109" s="978"/>
      <c r="NXI109" s="978"/>
      <c r="NXJ109" s="978"/>
      <c r="NXK109" s="978"/>
      <c r="NXL109" s="978"/>
      <c r="NXM109" s="978"/>
      <c r="NXN109" s="978"/>
      <c r="NXO109" s="978"/>
      <c r="NXP109" s="978"/>
      <c r="NXQ109" s="978"/>
      <c r="NXR109" s="978"/>
      <c r="NXS109" s="978"/>
      <c r="NXT109" s="978"/>
      <c r="NXU109" s="978"/>
      <c r="NXV109" s="978"/>
      <c r="NXW109" s="978"/>
      <c r="NXX109" s="978"/>
      <c r="NXY109" s="978"/>
      <c r="NXZ109" s="978"/>
      <c r="NYA109" s="978"/>
      <c r="NYB109" s="978"/>
      <c r="NYC109" s="978"/>
      <c r="NYD109" s="978"/>
      <c r="NYE109" s="978"/>
      <c r="NYF109" s="978"/>
      <c r="NYG109" s="978"/>
      <c r="NYH109" s="978"/>
      <c r="NYI109" s="978"/>
      <c r="NYJ109" s="978"/>
      <c r="NYK109" s="978"/>
      <c r="NYL109" s="978"/>
      <c r="NYM109" s="978"/>
      <c r="NYN109" s="978"/>
      <c r="NYO109" s="978"/>
      <c r="NYP109" s="978"/>
      <c r="NYQ109" s="978"/>
      <c r="NYR109" s="978"/>
      <c r="NYS109" s="978"/>
      <c r="NYT109" s="978"/>
      <c r="NYU109" s="978"/>
      <c r="NYV109" s="978"/>
      <c r="NYW109" s="978"/>
      <c r="NYX109" s="978"/>
      <c r="NYY109" s="978"/>
      <c r="NYZ109" s="978"/>
      <c r="NZA109" s="978"/>
      <c r="NZB109" s="978"/>
      <c r="NZC109" s="978"/>
      <c r="NZD109" s="978"/>
      <c r="NZE109" s="978"/>
      <c r="NZF109" s="978"/>
      <c r="NZG109" s="978"/>
      <c r="NZH109" s="978"/>
      <c r="NZI109" s="978"/>
      <c r="NZJ109" s="978"/>
      <c r="NZK109" s="978"/>
      <c r="NZL109" s="978"/>
      <c r="NZM109" s="978"/>
      <c r="NZN109" s="978"/>
      <c r="NZO109" s="978"/>
      <c r="NZP109" s="978"/>
      <c r="NZQ109" s="978"/>
      <c r="NZR109" s="978"/>
      <c r="NZS109" s="978"/>
      <c r="NZT109" s="978"/>
      <c r="NZU109" s="978"/>
      <c r="NZV109" s="978"/>
      <c r="NZW109" s="978"/>
      <c r="NZX109" s="978"/>
      <c r="NZY109" s="978"/>
      <c r="NZZ109" s="978"/>
      <c r="OAA109" s="978"/>
      <c r="OAB109" s="978"/>
      <c r="OAC109" s="978"/>
      <c r="OAD109" s="978"/>
      <c r="OAE109" s="978"/>
      <c r="OAF109" s="978"/>
      <c r="OAG109" s="978"/>
      <c r="OAH109" s="978"/>
      <c r="OAI109" s="978"/>
      <c r="OAJ109" s="978"/>
      <c r="OAK109" s="978"/>
      <c r="OAL109" s="978"/>
      <c r="OAM109" s="978"/>
      <c r="OAN109" s="978"/>
      <c r="OAO109" s="978"/>
      <c r="OAP109" s="978"/>
      <c r="OAQ109" s="978"/>
      <c r="OAR109" s="978"/>
      <c r="OAS109" s="978"/>
      <c r="OAT109" s="978"/>
      <c r="OAU109" s="978"/>
      <c r="OAV109" s="978"/>
      <c r="OAW109" s="978"/>
      <c r="OAX109" s="978"/>
      <c r="OAY109" s="978"/>
      <c r="OAZ109" s="978"/>
      <c r="OBA109" s="978"/>
      <c r="OBB109" s="978"/>
      <c r="OBC109" s="978"/>
      <c r="OBD109" s="978"/>
      <c r="OBE109" s="978"/>
      <c r="OBF109" s="978"/>
      <c r="OBG109" s="978"/>
      <c r="OBH109" s="978"/>
      <c r="OBI109" s="978"/>
      <c r="OBJ109" s="978"/>
      <c r="OBK109" s="978"/>
      <c r="OBL109" s="978"/>
      <c r="OBM109" s="978"/>
      <c r="OBN109" s="978"/>
      <c r="OBO109" s="978"/>
      <c r="OBP109" s="978"/>
      <c r="OBQ109" s="978"/>
      <c r="OBR109" s="978"/>
      <c r="OBS109" s="978"/>
      <c r="OBT109" s="978"/>
      <c r="OBU109" s="978"/>
      <c r="OBV109" s="978"/>
      <c r="OBW109" s="978"/>
      <c r="OBX109" s="978"/>
      <c r="OBY109" s="978"/>
      <c r="OBZ109" s="978"/>
      <c r="OCA109" s="978"/>
      <c r="OCB109" s="978"/>
      <c r="OCC109" s="978"/>
      <c r="OCD109" s="978"/>
      <c r="OCE109" s="978"/>
      <c r="OCF109" s="978"/>
      <c r="OCG109" s="978"/>
      <c r="OCH109" s="978"/>
      <c r="OCI109" s="978"/>
      <c r="OCJ109" s="978"/>
      <c r="OCK109" s="978"/>
      <c r="OCL109" s="978"/>
      <c r="OCM109" s="978"/>
      <c r="OCN109" s="978"/>
      <c r="OCO109" s="978"/>
      <c r="OCP109" s="978"/>
      <c r="OCQ109" s="978"/>
      <c r="OCR109" s="978"/>
      <c r="OCS109" s="978"/>
      <c r="OCT109" s="978"/>
      <c r="OCU109" s="978"/>
      <c r="OCV109" s="978"/>
      <c r="OCW109" s="978"/>
      <c r="OCX109" s="978"/>
      <c r="OCY109" s="978"/>
      <c r="OCZ109" s="978"/>
      <c r="ODA109" s="978"/>
      <c r="ODB109" s="978"/>
      <c r="ODC109" s="978"/>
      <c r="ODD109" s="978"/>
      <c r="ODE109" s="978"/>
      <c r="ODF109" s="978"/>
      <c r="ODG109" s="978"/>
      <c r="ODH109" s="978"/>
      <c r="ODI109" s="978"/>
      <c r="ODJ109" s="978"/>
      <c r="ODK109" s="978"/>
      <c r="ODL109" s="978"/>
      <c r="ODM109" s="978"/>
      <c r="ODN109" s="978"/>
      <c r="ODO109" s="978"/>
      <c r="ODP109" s="978"/>
      <c r="ODQ109" s="978"/>
      <c r="ODR109" s="978"/>
      <c r="ODS109" s="978"/>
      <c r="ODT109" s="978"/>
      <c r="ODU109" s="978"/>
      <c r="ODV109" s="978"/>
      <c r="ODW109" s="978"/>
      <c r="ODX109" s="978"/>
      <c r="ODY109" s="978"/>
      <c r="ODZ109" s="978"/>
      <c r="OEA109" s="978"/>
      <c r="OEB109" s="978"/>
      <c r="OEC109" s="978"/>
      <c r="OED109" s="978"/>
      <c r="OEE109" s="978"/>
      <c r="OEF109" s="978"/>
      <c r="OEG109" s="978"/>
      <c r="OEH109" s="978"/>
      <c r="OEI109" s="978"/>
      <c r="OEJ109" s="978"/>
      <c r="OEK109" s="978"/>
      <c r="OEL109" s="978"/>
      <c r="OEM109" s="978"/>
      <c r="OEN109" s="978"/>
      <c r="OEO109" s="978"/>
      <c r="OEP109" s="978"/>
      <c r="OEQ109" s="978"/>
      <c r="OER109" s="978"/>
      <c r="OES109" s="978"/>
      <c r="OET109" s="978"/>
      <c r="OEU109" s="978"/>
      <c r="OEV109" s="978"/>
      <c r="OEW109" s="978"/>
      <c r="OEX109" s="978"/>
      <c r="OEY109" s="978"/>
      <c r="OEZ109" s="978"/>
      <c r="OFA109" s="978"/>
      <c r="OFB109" s="978"/>
      <c r="OFC109" s="978"/>
      <c r="OFD109" s="978"/>
      <c r="OFE109" s="978"/>
      <c r="OFF109" s="978"/>
      <c r="OFG109" s="978"/>
      <c r="OFH109" s="978"/>
      <c r="OFI109" s="978"/>
      <c r="OFJ109" s="978"/>
      <c r="OFK109" s="978"/>
      <c r="OFL109" s="978"/>
      <c r="OFM109" s="978"/>
      <c r="OFN109" s="978"/>
      <c r="OFO109" s="978"/>
      <c r="OFP109" s="978"/>
      <c r="OFQ109" s="978"/>
      <c r="OFR109" s="978"/>
      <c r="OFS109" s="978"/>
      <c r="OFT109" s="978"/>
      <c r="OFU109" s="978"/>
      <c r="OFV109" s="978"/>
      <c r="OFW109" s="978"/>
      <c r="OFX109" s="978"/>
      <c r="OFY109" s="978"/>
      <c r="OFZ109" s="978"/>
      <c r="OGA109" s="978"/>
      <c r="OGB109" s="978"/>
      <c r="OGC109" s="978"/>
      <c r="OGD109" s="978"/>
      <c r="OGE109" s="978"/>
      <c r="OGF109" s="978"/>
      <c r="OGG109" s="978"/>
      <c r="OGH109" s="978"/>
      <c r="OGI109" s="978"/>
      <c r="OGJ109" s="978"/>
      <c r="OGK109" s="978"/>
      <c r="OGL109" s="978"/>
      <c r="OGM109" s="978"/>
      <c r="OGN109" s="978"/>
      <c r="OGO109" s="978"/>
      <c r="OGP109" s="978"/>
      <c r="OGQ109" s="978"/>
      <c r="OGR109" s="978"/>
      <c r="OGS109" s="978"/>
      <c r="OGT109" s="978"/>
      <c r="OGU109" s="978"/>
      <c r="OGV109" s="978"/>
      <c r="OGW109" s="978"/>
      <c r="OGX109" s="978"/>
      <c r="OGY109" s="978"/>
      <c r="OGZ109" s="978"/>
      <c r="OHA109" s="978"/>
      <c r="OHB109" s="978"/>
      <c r="OHC109" s="978"/>
      <c r="OHD109" s="978"/>
      <c r="OHE109" s="978"/>
      <c r="OHF109" s="978"/>
      <c r="OHG109" s="978"/>
      <c r="OHH109" s="978"/>
      <c r="OHI109" s="978"/>
      <c r="OHJ109" s="978"/>
      <c r="OHK109" s="978"/>
      <c r="OHL109" s="978"/>
      <c r="OHM109" s="978"/>
      <c r="OHN109" s="978"/>
      <c r="OHO109" s="978"/>
      <c r="OHP109" s="978"/>
      <c r="OHQ109" s="978"/>
      <c r="OHR109" s="978"/>
      <c r="OHS109" s="978"/>
      <c r="OHT109" s="978"/>
      <c r="OHU109" s="978"/>
      <c r="OHV109" s="978"/>
      <c r="OHW109" s="978"/>
      <c r="OHX109" s="978"/>
      <c r="OHY109" s="978"/>
      <c r="OHZ109" s="978"/>
      <c r="OIA109" s="978"/>
      <c r="OIB109" s="978"/>
      <c r="OIC109" s="978"/>
      <c r="OID109" s="978"/>
      <c r="OIE109" s="978"/>
      <c r="OIF109" s="978"/>
      <c r="OIG109" s="978"/>
      <c r="OIH109" s="978"/>
      <c r="OII109" s="978"/>
      <c r="OIJ109" s="978"/>
      <c r="OIK109" s="978"/>
      <c r="OIL109" s="978"/>
      <c r="OIM109" s="978"/>
      <c r="OIN109" s="978"/>
      <c r="OIO109" s="978"/>
      <c r="OIP109" s="978"/>
      <c r="OIQ109" s="978"/>
      <c r="OIR109" s="978"/>
      <c r="OIS109" s="978"/>
      <c r="OIT109" s="978"/>
      <c r="OIU109" s="978"/>
      <c r="OIV109" s="978"/>
      <c r="OIW109" s="978"/>
      <c r="OIX109" s="978"/>
      <c r="OIY109" s="978"/>
      <c r="OIZ109" s="978"/>
      <c r="OJA109" s="978"/>
      <c r="OJB109" s="978"/>
      <c r="OJC109" s="978"/>
      <c r="OJD109" s="978"/>
      <c r="OJE109" s="978"/>
      <c r="OJF109" s="978"/>
      <c r="OJG109" s="978"/>
      <c r="OJH109" s="978"/>
      <c r="OJI109" s="978"/>
      <c r="OJJ109" s="978"/>
      <c r="OJK109" s="978"/>
      <c r="OJL109" s="978"/>
      <c r="OJM109" s="978"/>
      <c r="OJN109" s="978"/>
      <c r="OJO109" s="978"/>
      <c r="OJP109" s="978"/>
      <c r="OJQ109" s="978"/>
      <c r="OJR109" s="978"/>
      <c r="OJS109" s="978"/>
      <c r="OJT109" s="978"/>
      <c r="OJU109" s="978"/>
      <c r="OJV109" s="978"/>
      <c r="OJW109" s="978"/>
      <c r="OJX109" s="978"/>
      <c r="OJY109" s="978"/>
      <c r="OJZ109" s="978"/>
      <c r="OKA109" s="978"/>
      <c r="OKB109" s="978"/>
      <c r="OKC109" s="978"/>
      <c r="OKD109" s="978"/>
      <c r="OKE109" s="978"/>
      <c r="OKF109" s="978"/>
      <c r="OKG109" s="978"/>
      <c r="OKH109" s="978"/>
      <c r="OKI109" s="978"/>
      <c r="OKJ109" s="978"/>
      <c r="OKK109" s="978"/>
      <c r="OKL109" s="978"/>
      <c r="OKM109" s="978"/>
      <c r="OKN109" s="978"/>
      <c r="OKO109" s="978"/>
      <c r="OKP109" s="978"/>
      <c r="OKQ109" s="978"/>
      <c r="OKR109" s="978"/>
      <c r="OKS109" s="978"/>
      <c r="OKT109" s="978"/>
      <c r="OKU109" s="978"/>
      <c r="OKV109" s="978"/>
      <c r="OKW109" s="978"/>
      <c r="OKX109" s="978"/>
      <c r="OKY109" s="978"/>
      <c r="OKZ109" s="978"/>
      <c r="OLA109" s="978"/>
      <c r="OLB109" s="978"/>
      <c r="OLC109" s="978"/>
      <c r="OLD109" s="978"/>
      <c r="OLE109" s="978"/>
      <c r="OLF109" s="978"/>
      <c r="OLG109" s="978"/>
      <c r="OLH109" s="978"/>
      <c r="OLI109" s="978"/>
      <c r="OLJ109" s="978"/>
      <c r="OLK109" s="978"/>
      <c r="OLL109" s="978"/>
      <c r="OLM109" s="978"/>
      <c r="OLN109" s="978"/>
      <c r="OLO109" s="978"/>
      <c r="OLP109" s="978"/>
      <c r="OLQ109" s="978"/>
      <c r="OLR109" s="978"/>
      <c r="OLS109" s="978"/>
      <c r="OLT109" s="978"/>
      <c r="OLU109" s="978"/>
      <c r="OLV109" s="978"/>
      <c r="OLW109" s="978"/>
      <c r="OLX109" s="978"/>
      <c r="OLY109" s="978"/>
      <c r="OLZ109" s="978"/>
      <c r="OMA109" s="978"/>
      <c r="OMB109" s="978"/>
      <c r="OMC109" s="978"/>
      <c r="OMD109" s="978"/>
      <c r="OME109" s="978"/>
      <c r="OMF109" s="978"/>
      <c r="OMG109" s="978"/>
      <c r="OMH109" s="978"/>
      <c r="OMI109" s="978"/>
      <c r="OMJ109" s="978"/>
      <c r="OMK109" s="978"/>
      <c r="OML109" s="978"/>
      <c r="OMM109" s="978"/>
      <c r="OMN109" s="978"/>
      <c r="OMO109" s="978"/>
      <c r="OMP109" s="978"/>
      <c r="OMQ109" s="978"/>
      <c r="OMR109" s="978"/>
      <c r="OMS109" s="978"/>
      <c r="OMT109" s="978"/>
      <c r="OMU109" s="978"/>
      <c r="OMV109" s="978"/>
      <c r="OMW109" s="978"/>
      <c r="OMX109" s="978"/>
      <c r="OMY109" s="978"/>
      <c r="OMZ109" s="978"/>
      <c r="ONA109" s="978"/>
      <c r="ONB109" s="978"/>
      <c r="ONC109" s="978"/>
      <c r="OND109" s="978"/>
      <c r="ONE109" s="978"/>
      <c r="ONF109" s="978"/>
      <c r="ONG109" s="978"/>
      <c r="ONH109" s="978"/>
      <c r="ONI109" s="978"/>
      <c r="ONJ109" s="978"/>
      <c r="ONK109" s="978"/>
      <c r="ONL109" s="978"/>
      <c r="ONM109" s="978"/>
      <c r="ONN109" s="978"/>
      <c r="ONO109" s="978"/>
      <c r="ONP109" s="978"/>
      <c r="ONQ109" s="978"/>
      <c r="ONR109" s="978"/>
      <c r="ONS109" s="978"/>
      <c r="ONT109" s="978"/>
      <c r="ONU109" s="978"/>
      <c r="ONV109" s="978"/>
      <c r="ONW109" s="978"/>
      <c r="ONX109" s="978"/>
      <c r="ONY109" s="978"/>
      <c r="ONZ109" s="978"/>
      <c r="OOA109" s="978"/>
      <c r="OOB109" s="978"/>
      <c r="OOC109" s="978"/>
      <c r="OOD109" s="978"/>
      <c r="OOE109" s="978"/>
      <c r="OOF109" s="978"/>
      <c r="OOG109" s="978"/>
      <c r="OOH109" s="978"/>
      <c r="OOI109" s="978"/>
      <c r="OOJ109" s="978"/>
      <c r="OOK109" s="978"/>
      <c r="OOL109" s="978"/>
      <c r="OOM109" s="978"/>
      <c r="OON109" s="978"/>
      <c r="OOO109" s="978"/>
      <c r="OOP109" s="978"/>
      <c r="OOQ109" s="978"/>
      <c r="OOR109" s="978"/>
      <c r="OOS109" s="978"/>
      <c r="OOT109" s="978"/>
      <c r="OOU109" s="978"/>
      <c r="OOV109" s="978"/>
      <c r="OOW109" s="978"/>
      <c r="OOX109" s="978"/>
      <c r="OOY109" s="978"/>
      <c r="OOZ109" s="978"/>
      <c r="OPA109" s="978"/>
      <c r="OPB109" s="978"/>
      <c r="OPC109" s="978"/>
      <c r="OPD109" s="978"/>
      <c r="OPE109" s="978"/>
      <c r="OPF109" s="978"/>
      <c r="OPG109" s="978"/>
      <c r="OPH109" s="978"/>
      <c r="OPI109" s="978"/>
      <c r="OPJ109" s="978"/>
      <c r="OPK109" s="978"/>
      <c r="OPL109" s="978"/>
      <c r="OPM109" s="978"/>
      <c r="OPN109" s="978"/>
      <c r="OPO109" s="978"/>
      <c r="OPP109" s="978"/>
      <c r="OPQ109" s="978"/>
      <c r="OPR109" s="978"/>
      <c r="OPS109" s="978"/>
      <c r="OPT109" s="978"/>
      <c r="OPU109" s="978"/>
      <c r="OPV109" s="978"/>
      <c r="OPW109" s="978"/>
      <c r="OPX109" s="978"/>
      <c r="OPY109" s="978"/>
      <c r="OPZ109" s="978"/>
      <c r="OQA109" s="978"/>
      <c r="OQB109" s="978"/>
      <c r="OQC109" s="978"/>
      <c r="OQD109" s="978"/>
      <c r="OQE109" s="978"/>
      <c r="OQF109" s="978"/>
      <c r="OQG109" s="978"/>
      <c r="OQH109" s="978"/>
      <c r="OQI109" s="978"/>
      <c r="OQJ109" s="978"/>
      <c r="OQK109" s="978"/>
      <c r="OQL109" s="978"/>
      <c r="OQM109" s="978"/>
      <c r="OQN109" s="978"/>
      <c r="OQO109" s="978"/>
      <c r="OQP109" s="978"/>
      <c r="OQQ109" s="978"/>
      <c r="OQR109" s="978"/>
      <c r="OQS109" s="978"/>
      <c r="OQT109" s="978"/>
      <c r="OQU109" s="978"/>
      <c r="OQV109" s="978"/>
      <c r="OQW109" s="978"/>
      <c r="OQX109" s="978"/>
      <c r="OQY109" s="978"/>
      <c r="OQZ109" s="978"/>
      <c r="ORA109" s="978"/>
      <c r="ORB109" s="978"/>
      <c r="ORC109" s="978"/>
      <c r="ORD109" s="978"/>
      <c r="ORE109" s="978"/>
      <c r="ORF109" s="978"/>
      <c r="ORG109" s="978"/>
      <c r="ORH109" s="978"/>
      <c r="ORI109" s="978"/>
      <c r="ORJ109" s="978"/>
      <c r="ORK109" s="978"/>
      <c r="ORL109" s="978"/>
      <c r="ORM109" s="978"/>
      <c r="ORN109" s="978"/>
      <c r="ORO109" s="978"/>
      <c r="ORP109" s="978"/>
      <c r="ORQ109" s="978"/>
      <c r="ORR109" s="978"/>
      <c r="ORS109" s="978"/>
      <c r="ORT109" s="978"/>
      <c r="ORU109" s="978"/>
      <c r="ORV109" s="978"/>
      <c r="ORW109" s="978"/>
      <c r="ORX109" s="978"/>
      <c r="ORY109" s="978"/>
      <c r="ORZ109" s="978"/>
      <c r="OSA109" s="978"/>
      <c r="OSB109" s="978"/>
      <c r="OSC109" s="978"/>
      <c r="OSD109" s="978"/>
      <c r="OSE109" s="978"/>
      <c r="OSF109" s="978"/>
      <c r="OSG109" s="978"/>
      <c r="OSH109" s="978"/>
      <c r="OSI109" s="978"/>
      <c r="OSJ109" s="978"/>
      <c r="OSK109" s="978"/>
      <c r="OSL109" s="978"/>
      <c r="OSM109" s="978"/>
      <c r="OSN109" s="978"/>
      <c r="OSO109" s="978"/>
      <c r="OSP109" s="978"/>
      <c r="OSQ109" s="978"/>
      <c r="OSR109" s="978"/>
      <c r="OSS109" s="978"/>
      <c r="OST109" s="978"/>
      <c r="OSU109" s="978"/>
      <c r="OSV109" s="978"/>
      <c r="OSW109" s="978"/>
      <c r="OSX109" s="978"/>
      <c r="OSY109" s="978"/>
      <c r="OSZ109" s="978"/>
      <c r="OTA109" s="978"/>
      <c r="OTB109" s="978"/>
      <c r="OTC109" s="978"/>
      <c r="OTD109" s="978"/>
      <c r="OTE109" s="978"/>
      <c r="OTF109" s="978"/>
      <c r="OTG109" s="978"/>
      <c r="OTH109" s="978"/>
      <c r="OTI109" s="978"/>
      <c r="OTJ109" s="978"/>
      <c r="OTK109" s="978"/>
      <c r="OTL109" s="978"/>
      <c r="OTM109" s="978"/>
      <c r="OTN109" s="978"/>
      <c r="OTO109" s="978"/>
      <c r="OTP109" s="978"/>
      <c r="OTQ109" s="978"/>
      <c r="OTR109" s="978"/>
      <c r="OTS109" s="978"/>
      <c r="OTT109" s="978"/>
      <c r="OTU109" s="978"/>
      <c r="OTV109" s="978"/>
      <c r="OTW109" s="978"/>
      <c r="OTX109" s="978"/>
      <c r="OTY109" s="978"/>
      <c r="OTZ109" s="978"/>
      <c r="OUA109" s="978"/>
      <c r="OUB109" s="978"/>
      <c r="OUC109" s="978"/>
      <c r="OUD109" s="978"/>
      <c r="OUE109" s="978"/>
      <c r="OUF109" s="978"/>
      <c r="OUG109" s="978"/>
      <c r="OUH109" s="978"/>
      <c r="OUI109" s="978"/>
      <c r="OUJ109" s="978"/>
      <c r="OUK109" s="978"/>
      <c r="OUL109" s="978"/>
      <c r="OUM109" s="978"/>
      <c r="OUN109" s="978"/>
      <c r="OUO109" s="978"/>
      <c r="OUP109" s="978"/>
      <c r="OUQ109" s="978"/>
      <c r="OUR109" s="978"/>
      <c r="OUS109" s="978"/>
      <c r="OUT109" s="978"/>
      <c r="OUU109" s="978"/>
      <c r="OUV109" s="978"/>
      <c r="OUW109" s="978"/>
      <c r="OUX109" s="978"/>
      <c r="OUY109" s="978"/>
      <c r="OUZ109" s="978"/>
      <c r="OVA109" s="978"/>
      <c r="OVB109" s="978"/>
      <c r="OVC109" s="978"/>
      <c r="OVD109" s="978"/>
      <c r="OVE109" s="978"/>
      <c r="OVF109" s="978"/>
      <c r="OVG109" s="978"/>
      <c r="OVH109" s="978"/>
      <c r="OVI109" s="978"/>
      <c r="OVJ109" s="978"/>
      <c r="OVK109" s="978"/>
      <c r="OVL109" s="978"/>
      <c r="OVM109" s="978"/>
      <c r="OVN109" s="978"/>
      <c r="OVO109" s="978"/>
      <c r="OVP109" s="978"/>
      <c r="OVQ109" s="978"/>
      <c r="OVR109" s="978"/>
      <c r="OVS109" s="978"/>
      <c r="OVT109" s="978"/>
      <c r="OVU109" s="978"/>
      <c r="OVV109" s="978"/>
      <c r="OVW109" s="978"/>
      <c r="OVX109" s="978"/>
      <c r="OVY109" s="978"/>
      <c r="OVZ109" s="978"/>
      <c r="OWA109" s="978"/>
      <c r="OWB109" s="978"/>
      <c r="OWC109" s="978"/>
      <c r="OWD109" s="978"/>
      <c r="OWE109" s="978"/>
      <c r="OWF109" s="978"/>
      <c r="OWG109" s="978"/>
      <c r="OWH109" s="978"/>
      <c r="OWI109" s="978"/>
      <c r="OWJ109" s="978"/>
      <c r="OWK109" s="978"/>
      <c r="OWL109" s="978"/>
      <c r="OWM109" s="978"/>
      <c r="OWN109" s="978"/>
      <c r="OWO109" s="978"/>
      <c r="OWP109" s="978"/>
      <c r="OWQ109" s="978"/>
      <c r="OWR109" s="978"/>
      <c r="OWS109" s="978"/>
      <c r="OWT109" s="978"/>
      <c r="OWU109" s="978"/>
      <c r="OWV109" s="978"/>
      <c r="OWW109" s="978"/>
      <c r="OWX109" s="978"/>
      <c r="OWY109" s="978"/>
      <c r="OWZ109" s="978"/>
      <c r="OXA109" s="978"/>
      <c r="OXB109" s="978"/>
      <c r="OXC109" s="978"/>
      <c r="OXD109" s="978"/>
      <c r="OXE109" s="978"/>
      <c r="OXF109" s="978"/>
      <c r="OXG109" s="978"/>
      <c r="OXH109" s="978"/>
      <c r="OXI109" s="978"/>
      <c r="OXJ109" s="978"/>
      <c r="OXK109" s="978"/>
      <c r="OXL109" s="978"/>
      <c r="OXM109" s="978"/>
      <c r="OXN109" s="978"/>
      <c r="OXO109" s="978"/>
      <c r="OXP109" s="978"/>
      <c r="OXQ109" s="978"/>
      <c r="OXR109" s="978"/>
      <c r="OXS109" s="978"/>
      <c r="OXT109" s="978"/>
      <c r="OXU109" s="978"/>
      <c r="OXV109" s="978"/>
      <c r="OXW109" s="978"/>
      <c r="OXX109" s="978"/>
      <c r="OXY109" s="978"/>
      <c r="OXZ109" s="978"/>
      <c r="OYA109" s="978"/>
      <c r="OYB109" s="978"/>
      <c r="OYC109" s="978"/>
      <c r="OYD109" s="978"/>
      <c r="OYE109" s="978"/>
      <c r="OYF109" s="978"/>
      <c r="OYG109" s="978"/>
      <c r="OYH109" s="978"/>
      <c r="OYI109" s="978"/>
      <c r="OYJ109" s="978"/>
      <c r="OYK109" s="978"/>
      <c r="OYL109" s="978"/>
      <c r="OYM109" s="978"/>
      <c r="OYN109" s="978"/>
      <c r="OYO109" s="978"/>
      <c r="OYP109" s="978"/>
      <c r="OYQ109" s="978"/>
      <c r="OYR109" s="978"/>
      <c r="OYS109" s="978"/>
      <c r="OYT109" s="978"/>
      <c r="OYU109" s="978"/>
      <c r="OYV109" s="978"/>
      <c r="OYW109" s="978"/>
      <c r="OYX109" s="978"/>
      <c r="OYY109" s="978"/>
      <c r="OYZ109" s="978"/>
      <c r="OZA109" s="978"/>
      <c r="OZB109" s="978"/>
      <c r="OZC109" s="978"/>
      <c r="OZD109" s="978"/>
      <c r="OZE109" s="978"/>
      <c r="OZF109" s="978"/>
      <c r="OZG109" s="978"/>
      <c r="OZH109" s="978"/>
      <c r="OZI109" s="978"/>
      <c r="OZJ109" s="978"/>
      <c r="OZK109" s="978"/>
      <c r="OZL109" s="978"/>
      <c r="OZM109" s="978"/>
      <c r="OZN109" s="978"/>
      <c r="OZO109" s="978"/>
      <c r="OZP109" s="978"/>
      <c r="OZQ109" s="978"/>
      <c r="OZR109" s="978"/>
      <c r="OZS109" s="978"/>
      <c r="OZT109" s="978"/>
      <c r="OZU109" s="978"/>
      <c r="OZV109" s="978"/>
      <c r="OZW109" s="978"/>
      <c r="OZX109" s="978"/>
      <c r="OZY109" s="978"/>
      <c r="OZZ109" s="978"/>
      <c r="PAA109" s="978"/>
      <c r="PAB109" s="978"/>
      <c r="PAC109" s="978"/>
      <c r="PAD109" s="978"/>
      <c r="PAE109" s="978"/>
      <c r="PAF109" s="978"/>
      <c r="PAG109" s="978"/>
      <c r="PAH109" s="978"/>
      <c r="PAI109" s="978"/>
      <c r="PAJ109" s="978"/>
      <c r="PAK109" s="978"/>
      <c r="PAL109" s="978"/>
      <c r="PAM109" s="978"/>
      <c r="PAN109" s="978"/>
      <c r="PAO109" s="978"/>
      <c r="PAP109" s="978"/>
      <c r="PAQ109" s="978"/>
      <c r="PAR109" s="978"/>
      <c r="PAS109" s="978"/>
      <c r="PAT109" s="978"/>
      <c r="PAU109" s="978"/>
      <c r="PAV109" s="978"/>
      <c r="PAW109" s="978"/>
      <c r="PAX109" s="978"/>
      <c r="PAY109" s="978"/>
      <c r="PAZ109" s="978"/>
      <c r="PBA109" s="978"/>
      <c r="PBB109" s="978"/>
      <c r="PBC109" s="978"/>
      <c r="PBD109" s="978"/>
      <c r="PBE109" s="978"/>
      <c r="PBF109" s="978"/>
      <c r="PBG109" s="978"/>
      <c r="PBH109" s="978"/>
      <c r="PBI109" s="978"/>
      <c r="PBJ109" s="978"/>
      <c r="PBK109" s="978"/>
      <c r="PBL109" s="978"/>
      <c r="PBM109" s="978"/>
      <c r="PBN109" s="978"/>
      <c r="PBO109" s="978"/>
      <c r="PBP109" s="978"/>
      <c r="PBQ109" s="978"/>
      <c r="PBR109" s="978"/>
      <c r="PBS109" s="978"/>
      <c r="PBT109" s="978"/>
      <c r="PBU109" s="978"/>
      <c r="PBV109" s="978"/>
      <c r="PBW109" s="978"/>
      <c r="PBX109" s="978"/>
      <c r="PBY109" s="978"/>
      <c r="PBZ109" s="978"/>
      <c r="PCA109" s="978"/>
      <c r="PCB109" s="978"/>
      <c r="PCC109" s="978"/>
      <c r="PCD109" s="978"/>
      <c r="PCE109" s="978"/>
      <c r="PCF109" s="978"/>
      <c r="PCG109" s="978"/>
      <c r="PCH109" s="978"/>
      <c r="PCI109" s="978"/>
      <c r="PCJ109" s="978"/>
      <c r="PCK109" s="978"/>
      <c r="PCL109" s="978"/>
      <c r="PCM109" s="978"/>
      <c r="PCN109" s="978"/>
      <c r="PCO109" s="978"/>
      <c r="PCP109" s="978"/>
      <c r="PCQ109" s="978"/>
      <c r="PCR109" s="978"/>
      <c r="PCS109" s="978"/>
      <c r="PCT109" s="978"/>
      <c r="PCU109" s="978"/>
      <c r="PCV109" s="978"/>
      <c r="PCW109" s="978"/>
      <c r="PCX109" s="978"/>
      <c r="PCY109" s="978"/>
      <c r="PCZ109" s="978"/>
      <c r="PDA109" s="978"/>
      <c r="PDB109" s="978"/>
      <c r="PDC109" s="978"/>
      <c r="PDD109" s="978"/>
      <c r="PDE109" s="978"/>
      <c r="PDF109" s="978"/>
      <c r="PDG109" s="978"/>
      <c r="PDH109" s="978"/>
      <c r="PDI109" s="978"/>
      <c r="PDJ109" s="978"/>
      <c r="PDK109" s="978"/>
      <c r="PDL109" s="978"/>
      <c r="PDM109" s="978"/>
      <c r="PDN109" s="978"/>
      <c r="PDO109" s="978"/>
      <c r="PDP109" s="978"/>
      <c r="PDQ109" s="978"/>
      <c r="PDR109" s="978"/>
      <c r="PDS109" s="978"/>
      <c r="PDT109" s="978"/>
      <c r="PDU109" s="978"/>
      <c r="PDV109" s="978"/>
      <c r="PDW109" s="978"/>
      <c r="PDX109" s="978"/>
      <c r="PDY109" s="978"/>
      <c r="PDZ109" s="978"/>
      <c r="PEA109" s="978"/>
      <c r="PEB109" s="978"/>
      <c r="PEC109" s="978"/>
      <c r="PED109" s="978"/>
      <c r="PEE109" s="978"/>
      <c r="PEF109" s="978"/>
      <c r="PEG109" s="978"/>
      <c r="PEH109" s="978"/>
      <c r="PEI109" s="978"/>
      <c r="PEJ109" s="978"/>
      <c r="PEK109" s="978"/>
      <c r="PEL109" s="978"/>
      <c r="PEM109" s="978"/>
      <c r="PEN109" s="978"/>
      <c r="PEO109" s="978"/>
      <c r="PEP109" s="978"/>
      <c r="PEQ109" s="978"/>
      <c r="PER109" s="978"/>
      <c r="PES109" s="978"/>
      <c r="PET109" s="978"/>
      <c r="PEU109" s="978"/>
      <c r="PEV109" s="978"/>
      <c r="PEW109" s="978"/>
      <c r="PEX109" s="978"/>
      <c r="PEY109" s="978"/>
      <c r="PEZ109" s="978"/>
      <c r="PFA109" s="978"/>
      <c r="PFB109" s="978"/>
      <c r="PFC109" s="978"/>
      <c r="PFD109" s="978"/>
      <c r="PFE109" s="978"/>
      <c r="PFF109" s="978"/>
      <c r="PFG109" s="978"/>
      <c r="PFH109" s="978"/>
      <c r="PFI109" s="978"/>
      <c r="PFJ109" s="978"/>
      <c r="PFK109" s="978"/>
      <c r="PFL109" s="978"/>
      <c r="PFM109" s="978"/>
      <c r="PFN109" s="978"/>
      <c r="PFO109" s="978"/>
      <c r="PFP109" s="978"/>
      <c r="PFQ109" s="978"/>
      <c r="PFR109" s="978"/>
      <c r="PFS109" s="978"/>
      <c r="PFT109" s="978"/>
      <c r="PFU109" s="978"/>
      <c r="PFV109" s="978"/>
      <c r="PFW109" s="978"/>
      <c r="PFX109" s="978"/>
      <c r="PFY109" s="978"/>
      <c r="PFZ109" s="978"/>
      <c r="PGA109" s="978"/>
      <c r="PGB109" s="978"/>
      <c r="PGC109" s="978"/>
      <c r="PGD109" s="978"/>
      <c r="PGE109" s="978"/>
      <c r="PGF109" s="978"/>
      <c r="PGG109" s="978"/>
      <c r="PGH109" s="978"/>
      <c r="PGI109" s="978"/>
      <c r="PGJ109" s="978"/>
      <c r="PGK109" s="978"/>
      <c r="PGL109" s="978"/>
      <c r="PGM109" s="978"/>
      <c r="PGN109" s="978"/>
      <c r="PGO109" s="978"/>
      <c r="PGP109" s="978"/>
      <c r="PGQ109" s="978"/>
      <c r="PGR109" s="978"/>
      <c r="PGS109" s="978"/>
      <c r="PGT109" s="978"/>
      <c r="PGU109" s="978"/>
      <c r="PGV109" s="978"/>
      <c r="PGW109" s="978"/>
      <c r="PGX109" s="978"/>
      <c r="PGY109" s="978"/>
      <c r="PGZ109" s="978"/>
      <c r="PHA109" s="978"/>
      <c r="PHB109" s="978"/>
      <c r="PHC109" s="978"/>
      <c r="PHD109" s="978"/>
      <c r="PHE109" s="978"/>
      <c r="PHF109" s="978"/>
      <c r="PHG109" s="978"/>
      <c r="PHH109" s="978"/>
      <c r="PHI109" s="978"/>
      <c r="PHJ109" s="978"/>
      <c r="PHK109" s="978"/>
      <c r="PHL109" s="978"/>
      <c r="PHM109" s="978"/>
      <c r="PHN109" s="978"/>
      <c r="PHO109" s="978"/>
      <c r="PHP109" s="978"/>
      <c r="PHQ109" s="978"/>
      <c r="PHR109" s="978"/>
      <c r="PHS109" s="978"/>
      <c r="PHT109" s="978"/>
      <c r="PHU109" s="978"/>
      <c r="PHV109" s="978"/>
      <c r="PHW109" s="978"/>
      <c r="PHX109" s="978"/>
      <c r="PHY109" s="978"/>
      <c r="PHZ109" s="978"/>
      <c r="PIA109" s="978"/>
      <c r="PIB109" s="978"/>
      <c r="PIC109" s="978"/>
      <c r="PID109" s="978"/>
      <c r="PIE109" s="978"/>
      <c r="PIF109" s="978"/>
      <c r="PIG109" s="978"/>
      <c r="PIH109" s="978"/>
      <c r="PII109" s="978"/>
      <c r="PIJ109" s="978"/>
      <c r="PIK109" s="978"/>
      <c r="PIL109" s="978"/>
      <c r="PIM109" s="978"/>
      <c r="PIN109" s="978"/>
      <c r="PIO109" s="978"/>
      <c r="PIP109" s="978"/>
      <c r="PIQ109" s="978"/>
      <c r="PIR109" s="978"/>
      <c r="PIS109" s="978"/>
      <c r="PIT109" s="978"/>
      <c r="PIU109" s="978"/>
      <c r="PIV109" s="978"/>
      <c r="PIW109" s="978"/>
      <c r="PIX109" s="978"/>
      <c r="PIY109" s="978"/>
      <c r="PIZ109" s="978"/>
      <c r="PJA109" s="978"/>
      <c r="PJB109" s="978"/>
      <c r="PJC109" s="978"/>
      <c r="PJD109" s="978"/>
      <c r="PJE109" s="978"/>
      <c r="PJF109" s="978"/>
      <c r="PJG109" s="978"/>
      <c r="PJH109" s="978"/>
      <c r="PJI109" s="978"/>
      <c r="PJJ109" s="978"/>
      <c r="PJK109" s="978"/>
      <c r="PJL109" s="978"/>
      <c r="PJM109" s="978"/>
      <c r="PJN109" s="978"/>
      <c r="PJO109" s="978"/>
      <c r="PJP109" s="978"/>
      <c r="PJQ109" s="978"/>
      <c r="PJR109" s="978"/>
      <c r="PJS109" s="978"/>
      <c r="PJT109" s="978"/>
      <c r="PJU109" s="978"/>
      <c r="PJV109" s="978"/>
      <c r="PJW109" s="978"/>
      <c r="PJX109" s="978"/>
      <c r="PJY109" s="978"/>
      <c r="PJZ109" s="978"/>
      <c r="PKA109" s="978"/>
      <c r="PKB109" s="978"/>
      <c r="PKC109" s="978"/>
      <c r="PKD109" s="978"/>
      <c r="PKE109" s="978"/>
      <c r="PKF109" s="978"/>
      <c r="PKG109" s="978"/>
      <c r="PKH109" s="978"/>
      <c r="PKI109" s="978"/>
      <c r="PKJ109" s="978"/>
      <c r="PKK109" s="978"/>
      <c r="PKL109" s="978"/>
      <c r="PKM109" s="978"/>
      <c r="PKN109" s="978"/>
      <c r="PKO109" s="978"/>
      <c r="PKP109" s="978"/>
      <c r="PKQ109" s="978"/>
      <c r="PKR109" s="978"/>
      <c r="PKS109" s="978"/>
      <c r="PKT109" s="978"/>
      <c r="PKU109" s="978"/>
      <c r="PKV109" s="978"/>
      <c r="PKW109" s="978"/>
      <c r="PKX109" s="978"/>
      <c r="PKY109" s="978"/>
      <c r="PKZ109" s="978"/>
      <c r="PLA109" s="978"/>
      <c r="PLB109" s="978"/>
      <c r="PLC109" s="978"/>
      <c r="PLD109" s="978"/>
      <c r="PLE109" s="978"/>
      <c r="PLF109" s="978"/>
      <c r="PLG109" s="978"/>
      <c r="PLH109" s="978"/>
      <c r="PLI109" s="978"/>
      <c r="PLJ109" s="978"/>
      <c r="PLK109" s="978"/>
      <c r="PLL109" s="978"/>
      <c r="PLM109" s="978"/>
      <c r="PLN109" s="978"/>
      <c r="PLO109" s="978"/>
      <c r="PLP109" s="978"/>
      <c r="PLQ109" s="978"/>
      <c r="PLR109" s="978"/>
      <c r="PLS109" s="978"/>
      <c r="PLT109" s="978"/>
      <c r="PLU109" s="978"/>
      <c r="PLV109" s="978"/>
      <c r="PLW109" s="978"/>
      <c r="PLX109" s="978"/>
      <c r="PLY109" s="978"/>
      <c r="PLZ109" s="978"/>
      <c r="PMA109" s="978"/>
      <c r="PMB109" s="978"/>
      <c r="PMC109" s="978"/>
      <c r="PMD109" s="978"/>
      <c r="PME109" s="978"/>
      <c r="PMF109" s="978"/>
      <c r="PMG109" s="978"/>
      <c r="PMH109" s="978"/>
      <c r="PMI109" s="978"/>
      <c r="PMJ109" s="978"/>
      <c r="PMK109" s="978"/>
      <c r="PML109" s="978"/>
      <c r="PMM109" s="978"/>
      <c r="PMN109" s="978"/>
      <c r="PMO109" s="978"/>
      <c r="PMP109" s="978"/>
      <c r="PMQ109" s="978"/>
      <c r="PMR109" s="978"/>
      <c r="PMS109" s="978"/>
      <c r="PMT109" s="978"/>
      <c r="PMU109" s="978"/>
      <c r="PMV109" s="978"/>
      <c r="PMW109" s="978"/>
      <c r="PMX109" s="978"/>
      <c r="PMY109" s="978"/>
      <c r="PMZ109" s="978"/>
      <c r="PNA109" s="978"/>
      <c r="PNB109" s="978"/>
      <c r="PNC109" s="978"/>
      <c r="PND109" s="978"/>
      <c r="PNE109" s="978"/>
      <c r="PNF109" s="978"/>
      <c r="PNG109" s="978"/>
      <c r="PNH109" s="978"/>
      <c r="PNI109" s="978"/>
      <c r="PNJ109" s="978"/>
      <c r="PNK109" s="978"/>
      <c r="PNL109" s="978"/>
      <c r="PNM109" s="978"/>
      <c r="PNN109" s="978"/>
      <c r="PNO109" s="978"/>
      <c r="PNP109" s="978"/>
      <c r="PNQ109" s="978"/>
      <c r="PNR109" s="978"/>
      <c r="PNS109" s="978"/>
      <c r="PNT109" s="978"/>
      <c r="PNU109" s="978"/>
      <c r="PNV109" s="978"/>
      <c r="PNW109" s="978"/>
      <c r="PNX109" s="978"/>
      <c r="PNY109" s="978"/>
      <c r="PNZ109" s="978"/>
      <c r="POA109" s="978"/>
      <c r="POB109" s="978"/>
      <c r="POC109" s="978"/>
      <c r="POD109" s="978"/>
      <c r="POE109" s="978"/>
      <c r="POF109" s="978"/>
      <c r="POG109" s="978"/>
      <c r="POH109" s="978"/>
      <c r="POI109" s="978"/>
      <c r="POJ109" s="978"/>
      <c r="POK109" s="978"/>
      <c r="POL109" s="978"/>
      <c r="POM109" s="978"/>
      <c r="PON109" s="978"/>
      <c r="POO109" s="978"/>
      <c r="POP109" s="978"/>
      <c r="POQ109" s="978"/>
      <c r="POR109" s="978"/>
      <c r="POS109" s="978"/>
      <c r="POT109" s="978"/>
      <c r="POU109" s="978"/>
      <c r="POV109" s="978"/>
      <c r="POW109" s="978"/>
      <c r="POX109" s="978"/>
      <c r="POY109" s="978"/>
      <c r="POZ109" s="978"/>
      <c r="PPA109" s="978"/>
      <c r="PPB109" s="978"/>
      <c r="PPC109" s="978"/>
      <c r="PPD109" s="978"/>
      <c r="PPE109" s="978"/>
      <c r="PPF109" s="978"/>
      <c r="PPG109" s="978"/>
      <c r="PPH109" s="978"/>
      <c r="PPI109" s="978"/>
      <c r="PPJ109" s="978"/>
      <c r="PPK109" s="978"/>
      <c r="PPL109" s="978"/>
      <c r="PPM109" s="978"/>
      <c r="PPN109" s="978"/>
      <c r="PPO109" s="978"/>
      <c r="PPP109" s="978"/>
      <c r="PPQ109" s="978"/>
      <c r="PPR109" s="978"/>
      <c r="PPS109" s="978"/>
      <c r="PPT109" s="978"/>
      <c r="PPU109" s="978"/>
      <c r="PPV109" s="978"/>
      <c r="PPW109" s="978"/>
      <c r="PPX109" s="978"/>
      <c r="PPY109" s="978"/>
      <c r="PPZ109" s="978"/>
      <c r="PQA109" s="978"/>
      <c r="PQB109" s="978"/>
      <c r="PQC109" s="978"/>
      <c r="PQD109" s="978"/>
      <c r="PQE109" s="978"/>
      <c r="PQF109" s="978"/>
      <c r="PQG109" s="978"/>
      <c r="PQH109" s="978"/>
      <c r="PQI109" s="978"/>
      <c r="PQJ109" s="978"/>
      <c r="PQK109" s="978"/>
      <c r="PQL109" s="978"/>
      <c r="PQM109" s="978"/>
      <c r="PQN109" s="978"/>
      <c r="PQO109" s="978"/>
      <c r="PQP109" s="978"/>
      <c r="PQQ109" s="978"/>
      <c r="PQR109" s="978"/>
      <c r="PQS109" s="978"/>
      <c r="PQT109" s="978"/>
      <c r="PQU109" s="978"/>
      <c r="PQV109" s="978"/>
      <c r="PQW109" s="978"/>
      <c r="PQX109" s="978"/>
      <c r="PQY109" s="978"/>
      <c r="PQZ109" s="978"/>
      <c r="PRA109" s="978"/>
      <c r="PRB109" s="978"/>
      <c r="PRC109" s="978"/>
      <c r="PRD109" s="978"/>
      <c r="PRE109" s="978"/>
      <c r="PRF109" s="978"/>
      <c r="PRG109" s="978"/>
      <c r="PRH109" s="978"/>
      <c r="PRI109" s="978"/>
      <c r="PRJ109" s="978"/>
      <c r="PRK109" s="978"/>
      <c r="PRL109" s="978"/>
      <c r="PRM109" s="978"/>
      <c r="PRN109" s="978"/>
      <c r="PRO109" s="978"/>
      <c r="PRP109" s="978"/>
      <c r="PRQ109" s="978"/>
      <c r="PRR109" s="978"/>
      <c r="PRS109" s="978"/>
      <c r="PRT109" s="978"/>
      <c r="PRU109" s="978"/>
      <c r="PRV109" s="978"/>
      <c r="PRW109" s="978"/>
      <c r="PRX109" s="978"/>
      <c r="PRY109" s="978"/>
      <c r="PRZ109" s="978"/>
      <c r="PSA109" s="978"/>
      <c r="PSB109" s="978"/>
      <c r="PSC109" s="978"/>
      <c r="PSD109" s="978"/>
      <c r="PSE109" s="978"/>
      <c r="PSF109" s="978"/>
      <c r="PSG109" s="978"/>
      <c r="PSH109" s="978"/>
      <c r="PSI109" s="978"/>
      <c r="PSJ109" s="978"/>
      <c r="PSK109" s="978"/>
      <c r="PSL109" s="978"/>
      <c r="PSM109" s="978"/>
      <c r="PSN109" s="978"/>
      <c r="PSO109" s="978"/>
      <c r="PSP109" s="978"/>
      <c r="PSQ109" s="978"/>
      <c r="PSR109" s="978"/>
      <c r="PSS109" s="978"/>
      <c r="PST109" s="978"/>
      <c r="PSU109" s="978"/>
      <c r="PSV109" s="978"/>
      <c r="PSW109" s="978"/>
      <c r="PSX109" s="978"/>
      <c r="PSY109" s="978"/>
      <c r="PSZ109" s="978"/>
      <c r="PTA109" s="978"/>
      <c r="PTB109" s="978"/>
      <c r="PTC109" s="978"/>
      <c r="PTD109" s="978"/>
      <c r="PTE109" s="978"/>
      <c r="PTF109" s="978"/>
      <c r="PTG109" s="978"/>
      <c r="PTH109" s="978"/>
      <c r="PTI109" s="978"/>
      <c r="PTJ109" s="978"/>
      <c r="PTK109" s="978"/>
      <c r="PTL109" s="978"/>
      <c r="PTM109" s="978"/>
      <c r="PTN109" s="978"/>
      <c r="PTO109" s="978"/>
      <c r="PTP109" s="978"/>
      <c r="PTQ109" s="978"/>
      <c r="PTR109" s="978"/>
      <c r="PTS109" s="978"/>
      <c r="PTT109" s="978"/>
      <c r="PTU109" s="978"/>
      <c r="PTV109" s="978"/>
      <c r="PTW109" s="978"/>
      <c r="PTX109" s="978"/>
      <c r="PTY109" s="978"/>
      <c r="PTZ109" s="978"/>
      <c r="PUA109" s="978"/>
      <c r="PUB109" s="978"/>
      <c r="PUC109" s="978"/>
      <c r="PUD109" s="978"/>
      <c r="PUE109" s="978"/>
      <c r="PUF109" s="978"/>
      <c r="PUG109" s="978"/>
      <c r="PUH109" s="978"/>
      <c r="PUI109" s="978"/>
      <c r="PUJ109" s="978"/>
      <c r="PUK109" s="978"/>
      <c r="PUL109" s="978"/>
      <c r="PUM109" s="978"/>
      <c r="PUN109" s="978"/>
      <c r="PUO109" s="978"/>
      <c r="PUP109" s="978"/>
      <c r="PUQ109" s="978"/>
      <c r="PUR109" s="978"/>
      <c r="PUS109" s="978"/>
      <c r="PUT109" s="978"/>
      <c r="PUU109" s="978"/>
      <c r="PUV109" s="978"/>
      <c r="PUW109" s="978"/>
      <c r="PUX109" s="978"/>
      <c r="PUY109" s="978"/>
      <c r="PUZ109" s="978"/>
      <c r="PVA109" s="978"/>
      <c r="PVB109" s="978"/>
      <c r="PVC109" s="978"/>
      <c r="PVD109" s="978"/>
      <c r="PVE109" s="978"/>
      <c r="PVF109" s="978"/>
      <c r="PVG109" s="978"/>
      <c r="PVH109" s="978"/>
      <c r="PVI109" s="978"/>
      <c r="PVJ109" s="978"/>
      <c r="PVK109" s="978"/>
      <c r="PVL109" s="978"/>
      <c r="PVM109" s="978"/>
      <c r="PVN109" s="978"/>
      <c r="PVO109" s="978"/>
      <c r="PVP109" s="978"/>
      <c r="PVQ109" s="978"/>
      <c r="PVR109" s="978"/>
      <c r="PVS109" s="978"/>
      <c r="PVT109" s="978"/>
      <c r="PVU109" s="978"/>
      <c r="PVV109" s="978"/>
      <c r="PVW109" s="978"/>
      <c r="PVX109" s="978"/>
      <c r="PVY109" s="978"/>
      <c r="PVZ109" s="978"/>
      <c r="PWA109" s="978"/>
      <c r="PWB109" s="978"/>
      <c r="PWC109" s="978"/>
      <c r="PWD109" s="978"/>
      <c r="PWE109" s="978"/>
      <c r="PWF109" s="978"/>
      <c r="PWG109" s="978"/>
      <c r="PWH109" s="978"/>
      <c r="PWI109" s="978"/>
      <c r="PWJ109" s="978"/>
      <c r="PWK109" s="978"/>
      <c r="PWL109" s="978"/>
      <c r="PWM109" s="978"/>
      <c r="PWN109" s="978"/>
      <c r="PWO109" s="978"/>
      <c r="PWP109" s="978"/>
      <c r="PWQ109" s="978"/>
      <c r="PWR109" s="978"/>
      <c r="PWS109" s="978"/>
      <c r="PWT109" s="978"/>
      <c r="PWU109" s="978"/>
      <c r="PWV109" s="978"/>
      <c r="PWW109" s="978"/>
      <c r="PWX109" s="978"/>
      <c r="PWY109" s="978"/>
      <c r="PWZ109" s="978"/>
      <c r="PXA109" s="978"/>
      <c r="PXB109" s="978"/>
      <c r="PXC109" s="978"/>
      <c r="PXD109" s="978"/>
      <c r="PXE109" s="978"/>
      <c r="PXF109" s="978"/>
      <c r="PXG109" s="978"/>
      <c r="PXH109" s="978"/>
      <c r="PXI109" s="978"/>
      <c r="PXJ109" s="978"/>
      <c r="PXK109" s="978"/>
      <c r="PXL109" s="978"/>
      <c r="PXM109" s="978"/>
      <c r="PXN109" s="978"/>
      <c r="PXO109" s="978"/>
      <c r="PXP109" s="978"/>
      <c r="PXQ109" s="978"/>
      <c r="PXR109" s="978"/>
      <c r="PXS109" s="978"/>
      <c r="PXT109" s="978"/>
      <c r="PXU109" s="978"/>
      <c r="PXV109" s="978"/>
      <c r="PXW109" s="978"/>
      <c r="PXX109" s="978"/>
      <c r="PXY109" s="978"/>
      <c r="PXZ109" s="978"/>
      <c r="PYA109" s="978"/>
      <c r="PYB109" s="978"/>
      <c r="PYC109" s="978"/>
      <c r="PYD109" s="978"/>
      <c r="PYE109" s="978"/>
      <c r="PYF109" s="978"/>
      <c r="PYG109" s="978"/>
      <c r="PYH109" s="978"/>
      <c r="PYI109" s="978"/>
      <c r="PYJ109" s="978"/>
      <c r="PYK109" s="978"/>
      <c r="PYL109" s="978"/>
      <c r="PYM109" s="978"/>
      <c r="PYN109" s="978"/>
      <c r="PYO109" s="978"/>
      <c r="PYP109" s="978"/>
      <c r="PYQ109" s="978"/>
      <c r="PYR109" s="978"/>
      <c r="PYS109" s="978"/>
      <c r="PYT109" s="978"/>
      <c r="PYU109" s="978"/>
      <c r="PYV109" s="978"/>
      <c r="PYW109" s="978"/>
      <c r="PYX109" s="978"/>
      <c r="PYY109" s="978"/>
      <c r="PYZ109" s="978"/>
      <c r="PZA109" s="978"/>
      <c r="PZB109" s="978"/>
      <c r="PZC109" s="978"/>
      <c r="PZD109" s="978"/>
      <c r="PZE109" s="978"/>
      <c r="PZF109" s="978"/>
      <c r="PZG109" s="978"/>
      <c r="PZH109" s="978"/>
      <c r="PZI109" s="978"/>
      <c r="PZJ109" s="978"/>
      <c r="PZK109" s="978"/>
      <c r="PZL109" s="978"/>
      <c r="PZM109" s="978"/>
      <c r="PZN109" s="978"/>
      <c r="PZO109" s="978"/>
      <c r="PZP109" s="978"/>
      <c r="PZQ109" s="978"/>
      <c r="PZR109" s="978"/>
      <c r="PZS109" s="978"/>
      <c r="PZT109" s="978"/>
      <c r="PZU109" s="978"/>
      <c r="PZV109" s="978"/>
      <c r="PZW109" s="978"/>
      <c r="PZX109" s="978"/>
      <c r="PZY109" s="978"/>
      <c r="PZZ109" s="978"/>
      <c r="QAA109" s="978"/>
      <c r="QAB109" s="978"/>
      <c r="QAC109" s="978"/>
      <c r="QAD109" s="978"/>
      <c r="QAE109" s="978"/>
      <c r="QAF109" s="978"/>
      <c r="QAG109" s="978"/>
      <c r="QAH109" s="978"/>
      <c r="QAI109" s="978"/>
      <c r="QAJ109" s="978"/>
      <c r="QAK109" s="978"/>
      <c r="QAL109" s="978"/>
      <c r="QAM109" s="978"/>
      <c r="QAN109" s="978"/>
      <c r="QAO109" s="978"/>
      <c r="QAP109" s="978"/>
      <c r="QAQ109" s="978"/>
      <c r="QAR109" s="978"/>
      <c r="QAS109" s="978"/>
      <c r="QAT109" s="978"/>
      <c r="QAU109" s="978"/>
      <c r="QAV109" s="978"/>
      <c r="QAW109" s="978"/>
      <c r="QAX109" s="978"/>
      <c r="QAY109" s="978"/>
      <c r="QAZ109" s="978"/>
      <c r="QBA109" s="978"/>
      <c r="QBB109" s="978"/>
      <c r="QBC109" s="978"/>
      <c r="QBD109" s="978"/>
      <c r="QBE109" s="978"/>
      <c r="QBF109" s="978"/>
      <c r="QBG109" s="978"/>
      <c r="QBH109" s="978"/>
      <c r="QBI109" s="978"/>
      <c r="QBJ109" s="978"/>
      <c r="QBK109" s="978"/>
      <c r="QBL109" s="978"/>
      <c r="QBM109" s="978"/>
      <c r="QBN109" s="978"/>
      <c r="QBO109" s="978"/>
      <c r="QBP109" s="978"/>
      <c r="QBQ109" s="978"/>
      <c r="QBR109" s="978"/>
      <c r="QBS109" s="978"/>
      <c r="QBT109" s="978"/>
      <c r="QBU109" s="978"/>
      <c r="QBV109" s="978"/>
      <c r="QBW109" s="978"/>
      <c r="QBX109" s="978"/>
      <c r="QBY109" s="978"/>
      <c r="QBZ109" s="978"/>
      <c r="QCA109" s="978"/>
      <c r="QCB109" s="978"/>
      <c r="QCC109" s="978"/>
      <c r="QCD109" s="978"/>
      <c r="QCE109" s="978"/>
      <c r="QCF109" s="978"/>
      <c r="QCG109" s="978"/>
      <c r="QCH109" s="978"/>
      <c r="QCI109" s="978"/>
      <c r="QCJ109" s="978"/>
      <c r="QCK109" s="978"/>
      <c r="QCL109" s="978"/>
      <c r="QCM109" s="978"/>
      <c r="QCN109" s="978"/>
      <c r="QCO109" s="978"/>
      <c r="QCP109" s="978"/>
      <c r="QCQ109" s="978"/>
      <c r="QCR109" s="978"/>
      <c r="QCS109" s="978"/>
      <c r="QCT109" s="978"/>
      <c r="QCU109" s="978"/>
      <c r="QCV109" s="978"/>
      <c r="QCW109" s="978"/>
      <c r="QCX109" s="978"/>
      <c r="QCY109" s="978"/>
      <c r="QCZ109" s="978"/>
      <c r="QDA109" s="978"/>
      <c r="QDB109" s="978"/>
      <c r="QDC109" s="978"/>
      <c r="QDD109" s="978"/>
      <c r="QDE109" s="978"/>
      <c r="QDF109" s="978"/>
      <c r="QDG109" s="978"/>
      <c r="QDH109" s="978"/>
      <c r="QDI109" s="978"/>
      <c r="QDJ109" s="978"/>
      <c r="QDK109" s="978"/>
      <c r="QDL109" s="978"/>
      <c r="QDM109" s="978"/>
      <c r="QDN109" s="978"/>
      <c r="QDO109" s="978"/>
      <c r="QDP109" s="978"/>
      <c r="QDQ109" s="978"/>
      <c r="QDR109" s="978"/>
      <c r="QDS109" s="978"/>
      <c r="QDT109" s="978"/>
      <c r="QDU109" s="978"/>
      <c r="QDV109" s="978"/>
      <c r="QDW109" s="978"/>
      <c r="QDX109" s="978"/>
      <c r="QDY109" s="978"/>
      <c r="QDZ109" s="978"/>
      <c r="QEA109" s="978"/>
      <c r="QEB109" s="978"/>
      <c r="QEC109" s="978"/>
      <c r="QED109" s="978"/>
      <c r="QEE109" s="978"/>
      <c r="QEF109" s="978"/>
      <c r="QEG109" s="978"/>
      <c r="QEH109" s="978"/>
      <c r="QEI109" s="978"/>
      <c r="QEJ109" s="978"/>
      <c r="QEK109" s="978"/>
      <c r="QEL109" s="978"/>
      <c r="QEM109" s="978"/>
      <c r="QEN109" s="978"/>
      <c r="QEO109" s="978"/>
      <c r="QEP109" s="978"/>
      <c r="QEQ109" s="978"/>
      <c r="QER109" s="978"/>
      <c r="QES109" s="978"/>
      <c r="QET109" s="978"/>
      <c r="QEU109" s="978"/>
      <c r="QEV109" s="978"/>
      <c r="QEW109" s="978"/>
      <c r="QEX109" s="978"/>
      <c r="QEY109" s="978"/>
      <c r="QEZ109" s="978"/>
      <c r="QFA109" s="978"/>
      <c r="QFB109" s="978"/>
      <c r="QFC109" s="978"/>
      <c r="QFD109" s="978"/>
      <c r="QFE109" s="978"/>
      <c r="QFF109" s="978"/>
      <c r="QFG109" s="978"/>
      <c r="QFH109" s="978"/>
      <c r="QFI109" s="978"/>
      <c r="QFJ109" s="978"/>
      <c r="QFK109" s="978"/>
      <c r="QFL109" s="978"/>
      <c r="QFM109" s="978"/>
      <c r="QFN109" s="978"/>
      <c r="QFO109" s="978"/>
      <c r="QFP109" s="978"/>
      <c r="QFQ109" s="978"/>
      <c r="QFR109" s="978"/>
      <c r="QFS109" s="978"/>
      <c r="QFT109" s="978"/>
      <c r="QFU109" s="978"/>
      <c r="QFV109" s="978"/>
      <c r="QFW109" s="978"/>
      <c r="QFX109" s="978"/>
      <c r="QFY109" s="978"/>
      <c r="QFZ109" s="978"/>
      <c r="QGA109" s="978"/>
      <c r="QGB109" s="978"/>
      <c r="QGC109" s="978"/>
      <c r="QGD109" s="978"/>
      <c r="QGE109" s="978"/>
      <c r="QGF109" s="978"/>
      <c r="QGG109" s="978"/>
      <c r="QGH109" s="978"/>
      <c r="QGI109" s="978"/>
      <c r="QGJ109" s="978"/>
      <c r="QGK109" s="978"/>
      <c r="QGL109" s="978"/>
      <c r="QGM109" s="978"/>
      <c r="QGN109" s="978"/>
      <c r="QGO109" s="978"/>
      <c r="QGP109" s="978"/>
      <c r="QGQ109" s="978"/>
      <c r="QGR109" s="978"/>
      <c r="QGS109" s="978"/>
      <c r="QGT109" s="978"/>
      <c r="QGU109" s="978"/>
      <c r="QGV109" s="978"/>
      <c r="QGW109" s="978"/>
      <c r="QGX109" s="978"/>
      <c r="QGY109" s="978"/>
      <c r="QGZ109" s="978"/>
      <c r="QHA109" s="978"/>
      <c r="QHB109" s="978"/>
      <c r="QHC109" s="978"/>
      <c r="QHD109" s="978"/>
      <c r="QHE109" s="978"/>
      <c r="QHF109" s="978"/>
      <c r="QHG109" s="978"/>
      <c r="QHH109" s="978"/>
      <c r="QHI109" s="978"/>
      <c r="QHJ109" s="978"/>
      <c r="QHK109" s="978"/>
      <c r="QHL109" s="978"/>
      <c r="QHM109" s="978"/>
      <c r="QHN109" s="978"/>
      <c r="QHO109" s="978"/>
      <c r="QHP109" s="978"/>
      <c r="QHQ109" s="978"/>
      <c r="QHR109" s="978"/>
      <c r="QHS109" s="978"/>
      <c r="QHT109" s="978"/>
      <c r="QHU109" s="978"/>
      <c r="QHV109" s="978"/>
      <c r="QHW109" s="978"/>
      <c r="QHX109" s="978"/>
      <c r="QHY109" s="978"/>
      <c r="QHZ109" s="978"/>
      <c r="QIA109" s="978"/>
      <c r="QIB109" s="978"/>
      <c r="QIC109" s="978"/>
      <c r="QID109" s="978"/>
      <c r="QIE109" s="978"/>
      <c r="QIF109" s="978"/>
      <c r="QIG109" s="978"/>
      <c r="QIH109" s="978"/>
      <c r="QII109" s="978"/>
      <c r="QIJ109" s="978"/>
      <c r="QIK109" s="978"/>
      <c r="QIL109" s="978"/>
      <c r="QIM109" s="978"/>
      <c r="QIN109" s="978"/>
      <c r="QIO109" s="978"/>
      <c r="QIP109" s="978"/>
      <c r="QIQ109" s="978"/>
      <c r="QIR109" s="978"/>
      <c r="QIS109" s="978"/>
      <c r="QIT109" s="978"/>
      <c r="QIU109" s="978"/>
      <c r="QIV109" s="978"/>
      <c r="QIW109" s="978"/>
      <c r="QIX109" s="978"/>
      <c r="QIY109" s="978"/>
      <c r="QIZ109" s="978"/>
      <c r="QJA109" s="978"/>
      <c r="QJB109" s="978"/>
      <c r="QJC109" s="978"/>
      <c r="QJD109" s="978"/>
      <c r="QJE109" s="978"/>
      <c r="QJF109" s="978"/>
      <c r="QJG109" s="978"/>
      <c r="QJH109" s="978"/>
      <c r="QJI109" s="978"/>
      <c r="QJJ109" s="978"/>
      <c r="QJK109" s="978"/>
      <c r="QJL109" s="978"/>
      <c r="QJM109" s="978"/>
      <c r="QJN109" s="978"/>
      <c r="QJO109" s="978"/>
      <c r="QJP109" s="978"/>
      <c r="QJQ109" s="978"/>
      <c r="QJR109" s="978"/>
      <c r="QJS109" s="978"/>
      <c r="QJT109" s="978"/>
      <c r="QJU109" s="978"/>
      <c r="QJV109" s="978"/>
      <c r="QJW109" s="978"/>
      <c r="QJX109" s="978"/>
      <c r="QJY109" s="978"/>
      <c r="QJZ109" s="978"/>
      <c r="QKA109" s="978"/>
      <c r="QKB109" s="978"/>
      <c r="QKC109" s="978"/>
      <c r="QKD109" s="978"/>
      <c r="QKE109" s="978"/>
      <c r="QKF109" s="978"/>
      <c r="QKG109" s="978"/>
      <c r="QKH109" s="978"/>
      <c r="QKI109" s="978"/>
      <c r="QKJ109" s="978"/>
      <c r="QKK109" s="978"/>
      <c r="QKL109" s="978"/>
      <c r="QKM109" s="978"/>
      <c r="QKN109" s="978"/>
      <c r="QKO109" s="978"/>
      <c r="QKP109" s="978"/>
      <c r="QKQ109" s="978"/>
      <c r="QKR109" s="978"/>
      <c r="QKS109" s="978"/>
      <c r="QKT109" s="978"/>
      <c r="QKU109" s="978"/>
      <c r="QKV109" s="978"/>
      <c r="QKW109" s="978"/>
      <c r="QKX109" s="978"/>
      <c r="QKY109" s="978"/>
      <c r="QKZ109" s="978"/>
      <c r="QLA109" s="978"/>
      <c r="QLB109" s="978"/>
      <c r="QLC109" s="978"/>
      <c r="QLD109" s="978"/>
      <c r="QLE109" s="978"/>
      <c r="QLF109" s="978"/>
      <c r="QLG109" s="978"/>
      <c r="QLH109" s="978"/>
      <c r="QLI109" s="978"/>
      <c r="QLJ109" s="978"/>
      <c r="QLK109" s="978"/>
      <c r="QLL109" s="978"/>
      <c r="QLM109" s="978"/>
      <c r="QLN109" s="978"/>
      <c r="QLO109" s="978"/>
      <c r="QLP109" s="978"/>
      <c r="QLQ109" s="978"/>
      <c r="QLR109" s="978"/>
      <c r="QLS109" s="978"/>
      <c r="QLT109" s="978"/>
      <c r="QLU109" s="978"/>
      <c r="QLV109" s="978"/>
      <c r="QLW109" s="978"/>
      <c r="QLX109" s="978"/>
      <c r="QLY109" s="978"/>
      <c r="QLZ109" s="978"/>
      <c r="QMA109" s="978"/>
      <c r="QMB109" s="978"/>
      <c r="QMC109" s="978"/>
      <c r="QMD109" s="978"/>
      <c r="QME109" s="978"/>
      <c r="QMF109" s="978"/>
      <c r="QMG109" s="978"/>
      <c r="QMH109" s="978"/>
      <c r="QMI109" s="978"/>
      <c r="QMJ109" s="978"/>
      <c r="QMK109" s="978"/>
      <c r="QML109" s="978"/>
      <c r="QMM109" s="978"/>
      <c r="QMN109" s="978"/>
      <c r="QMO109" s="978"/>
      <c r="QMP109" s="978"/>
      <c r="QMQ109" s="978"/>
      <c r="QMR109" s="978"/>
      <c r="QMS109" s="978"/>
      <c r="QMT109" s="978"/>
      <c r="QMU109" s="978"/>
      <c r="QMV109" s="978"/>
      <c r="QMW109" s="978"/>
      <c r="QMX109" s="978"/>
      <c r="QMY109" s="978"/>
      <c r="QMZ109" s="978"/>
      <c r="QNA109" s="978"/>
      <c r="QNB109" s="978"/>
      <c r="QNC109" s="978"/>
      <c r="QND109" s="978"/>
      <c r="QNE109" s="978"/>
      <c r="QNF109" s="978"/>
      <c r="QNG109" s="978"/>
      <c r="QNH109" s="978"/>
      <c r="QNI109" s="978"/>
      <c r="QNJ109" s="978"/>
      <c r="QNK109" s="978"/>
      <c r="QNL109" s="978"/>
      <c r="QNM109" s="978"/>
      <c r="QNN109" s="978"/>
      <c r="QNO109" s="978"/>
      <c r="QNP109" s="978"/>
      <c r="QNQ109" s="978"/>
      <c r="QNR109" s="978"/>
      <c r="QNS109" s="978"/>
      <c r="QNT109" s="978"/>
      <c r="QNU109" s="978"/>
      <c r="QNV109" s="978"/>
      <c r="QNW109" s="978"/>
      <c r="QNX109" s="978"/>
      <c r="QNY109" s="978"/>
      <c r="QNZ109" s="978"/>
      <c r="QOA109" s="978"/>
      <c r="QOB109" s="978"/>
      <c r="QOC109" s="978"/>
      <c r="QOD109" s="978"/>
      <c r="QOE109" s="978"/>
      <c r="QOF109" s="978"/>
      <c r="QOG109" s="978"/>
      <c r="QOH109" s="978"/>
      <c r="QOI109" s="978"/>
      <c r="QOJ109" s="978"/>
      <c r="QOK109" s="978"/>
      <c r="QOL109" s="978"/>
      <c r="QOM109" s="978"/>
      <c r="QON109" s="978"/>
      <c r="QOO109" s="978"/>
      <c r="QOP109" s="978"/>
      <c r="QOQ109" s="978"/>
      <c r="QOR109" s="978"/>
      <c r="QOS109" s="978"/>
      <c r="QOT109" s="978"/>
      <c r="QOU109" s="978"/>
      <c r="QOV109" s="978"/>
      <c r="QOW109" s="978"/>
      <c r="QOX109" s="978"/>
      <c r="QOY109" s="978"/>
      <c r="QOZ109" s="978"/>
      <c r="QPA109" s="978"/>
      <c r="QPB109" s="978"/>
      <c r="QPC109" s="978"/>
      <c r="QPD109" s="978"/>
      <c r="QPE109" s="978"/>
      <c r="QPF109" s="978"/>
      <c r="QPG109" s="978"/>
      <c r="QPH109" s="978"/>
      <c r="QPI109" s="978"/>
      <c r="QPJ109" s="978"/>
      <c r="QPK109" s="978"/>
      <c r="QPL109" s="978"/>
      <c r="QPM109" s="978"/>
      <c r="QPN109" s="978"/>
      <c r="QPO109" s="978"/>
      <c r="QPP109" s="978"/>
      <c r="QPQ109" s="978"/>
      <c r="QPR109" s="978"/>
      <c r="QPS109" s="978"/>
      <c r="QPT109" s="978"/>
      <c r="QPU109" s="978"/>
      <c r="QPV109" s="978"/>
      <c r="QPW109" s="978"/>
      <c r="QPX109" s="978"/>
      <c r="QPY109" s="978"/>
      <c r="QPZ109" s="978"/>
      <c r="QQA109" s="978"/>
      <c r="QQB109" s="978"/>
      <c r="QQC109" s="978"/>
      <c r="QQD109" s="978"/>
      <c r="QQE109" s="978"/>
      <c r="QQF109" s="978"/>
      <c r="QQG109" s="978"/>
      <c r="QQH109" s="978"/>
      <c r="QQI109" s="978"/>
      <c r="QQJ109" s="978"/>
      <c r="QQK109" s="978"/>
      <c r="QQL109" s="978"/>
      <c r="QQM109" s="978"/>
      <c r="QQN109" s="978"/>
      <c r="QQO109" s="978"/>
      <c r="QQP109" s="978"/>
      <c r="QQQ109" s="978"/>
      <c r="QQR109" s="978"/>
      <c r="QQS109" s="978"/>
      <c r="QQT109" s="978"/>
      <c r="QQU109" s="978"/>
      <c r="QQV109" s="978"/>
      <c r="QQW109" s="978"/>
      <c r="QQX109" s="978"/>
      <c r="QQY109" s="978"/>
      <c r="QQZ109" s="978"/>
      <c r="QRA109" s="978"/>
      <c r="QRB109" s="978"/>
      <c r="QRC109" s="978"/>
      <c r="QRD109" s="978"/>
      <c r="QRE109" s="978"/>
      <c r="QRF109" s="978"/>
      <c r="QRG109" s="978"/>
      <c r="QRH109" s="978"/>
      <c r="QRI109" s="978"/>
      <c r="QRJ109" s="978"/>
      <c r="QRK109" s="978"/>
      <c r="QRL109" s="978"/>
      <c r="QRM109" s="978"/>
      <c r="QRN109" s="978"/>
      <c r="QRO109" s="978"/>
      <c r="QRP109" s="978"/>
      <c r="QRQ109" s="978"/>
      <c r="QRR109" s="978"/>
      <c r="QRS109" s="978"/>
      <c r="QRT109" s="978"/>
      <c r="QRU109" s="978"/>
      <c r="QRV109" s="978"/>
      <c r="QRW109" s="978"/>
      <c r="QRX109" s="978"/>
      <c r="QRY109" s="978"/>
      <c r="QRZ109" s="978"/>
      <c r="QSA109" s="978"/>
      <c r="QSB109" s="978"/>
      <c r="QSC109" s="978"/>
      <c r="QSD109" s="978"/>
      <c r="QSE109" s="978"/>
      <c r="QSF109" s="978"/>
      <c r="QSG109" s="978"/>
      <c r="QSH109" s="978"/>
      <c r="QSI109" s="978"/>
      <c r="QSJ109" s="978"/>
      <c r="QSK109" s="978"/>
      <c r="QSL109" s="978"/>
      <c r="QSM109" s="978"/>
      <c r="QSN109" s="978"/>
      <c r="QSO109" s="978"/>
      <c r="QSP109" s="978"/>
      <c r="QSQ109" s="978"/>
      <c r="QSR109" s="978"/>
      <c r="QSS109" s="978"/>
      <c r="QST109" s="978"/>
      <c r="QSU109" s="978"/>
      <c r="QSV109" s="978"/>
      <c r="QSW109" s="978"/>
      <c r="QSX109" s="978"/>
      <c r="QSY109" s="978"/>
      <c r="QSZ109" s="978"/>
      <c r="QTA109" s="978"/>
      <c r="QTB109" s="978"/>
      <c r="QTC109" s="978"/>
      <c r="QTD109" s="978"/>
      <c r="QTE109" s="978"/>
      <c r="QTF109" s="978"/>
      <c r="QTG109" s="978"/>
      <c r="QTH109" s="978"/>
      <c r="QTI109" s="978"/>
      <c r="QTJ109" s="978"/>
      <c r="QTK109" s="978"/>
      <c r="QTL109" s="978"/>
      <c r="QTM109" s="978"/>
      <c r="QTN109" s="978"/>
      <c r="QTO109" s="978"/>
      <c r="QTP109" s="978"/>
      <c r="QTQ109" s="978"/>
      <c r="QTR109" s="978"/>
      <c r="QTS109" s="978"/>
      <c r="QTT109" s="978"/>
      <c r="QTU109" s="978"/>
      <c r="QTV109" s="978"/>
      <c r="QTW109" s="978"/>
      <c r="QTX109" s="978"/>
      <c r="QTY109" s="978"/>
      <c r="QTZ109" s="978"/>
      <c r="QUA109" s="978"/>
      <c r="QUB109" s="978"/>
      <c r="QUC109" s="978"/>
      <c r="QUD109" s="978"/>
      <c r="QUE109" s="978"/>
      <c r="QUF109" s="978"/>
      <c r="QUG109" s="978"/>
      <c r="QUH109" s="978"/>
      <c r="QUI109" s="978"/>
      <c r="QUJ109" s="978"/>
      <c r="QUK109" s="978"/>
      <c r="QUL109" s="978"/>
      <c r="QUM109" s="978"/>
      <c r="QUN109" s="978"/>
      <c r="QUO109" s="978"/>
      <c r="QUP109" s="978"/>
      <c r="QUQ109" s="978"/>
      <c r="QUR109" s="978"/>
      <c r="QUS109" s="978"/>
      <c r="QUT109" s="978"/>
      <c r="QUU109" s="978"/>
      <c r="QUV109" s="978"/>
      <c r="QUW109" s="978"/>
      <c r="QUX109" s="978"/>
      <c r="QUY109" s="978"/>
      <c r="QUZ109" s="978"/>
      <c r="QVA109" s="978"/>
      <c r="QVB109" s="978"/>
      <c r="QVC109" s="978"/>
      <c r="QVD109" s="978"/>
      <c r="QVE109" s="978"/>
      <c r="QVF109" s="978"/>
      <c r="QVG109" s="978"/>
      <c r="QVH109" s="978"/>
      <c r="QVI109" s="978"/>
      <c r="QVJ109" s="978"/>
      <c r="QVK109" s="978"/>
      <c r="QVL109" s="978"/>
      <c r="QVM109" s="978"/>
      <c r="QVN109" s="978"/>
      <c r="QVO109" s="978"/>
      <c r="QVP109" s="978"/>
      <c r="QVQ109" s="978"/>
      <c r="QVR109" s="978"/>
      <c r="QVS109" s="978"/>
      <c r="QVT109" s="978"/>
      <c r="QVU109" s="978"/>
      <c r="QVV109" s="978"/>
      <c r="QVW109" s="978"/>
      <c r="QVX109" s="978"/>
      <c r="QVY109" s="978"/>
      <c r="QVZ109" s="978"/>
      <c r="QWA109" s="978"/>
      <c r="QWB109" s="978"/>
      <c r="QWC109" s="978"/>
      <c r="QWD109" s="978"/>
      <c r="QWE109" s="978"/>
      <c r="QWF109" s="978"/>
      <c r="QWG109" s="978"/>
      <c r="QWH109" s="978"/>
      <c r="QWI109" s="978"/>
      <c r="QWJ109" s="978"/>
      <c r="QWK109" s="978"/>
      <c r="QWL109" s="978"/>
      <c r="QWM109" s="978"/>
      <c r="QWN109" s="978"/>
      <c r="QWO109" s="978"/>
      <c r="QWP109" s="978"/>
      <c r="QWQ109" s="978"/>
      <c r="QWR109" s="978"/>
      <c r="QWS109" s="978"/>
      <c r="QWT109" s="978"/>
      <c r="QWU109" s="978"/>
      <c r="QWV109" s="978"/>
      <c r="QWW109" s="978"/>
      <c r="QWX109" s="978"/>
      <c r="QWY109" s="978"/>
      <c r="QWZ109" s="978"/>
      <c r="QXA109" s="978"/>
      <c r="QXB109" s="978"/>
      <c r="QXC109" s="978"/>
      <c r="QXD109" s="978"/>
      <c r="QXE109" s="978"/>
      <c r="QXF109" s="978"/>
      <c r="QXG109" s="978"/>
      <c r="QXH109" s="978"/>
      <c r="QXI109" s="978"/>
      <c r="QXJ109" s="978"/>
      <c r="QXK109" s="978"/>
      <c r="QXL109" s="978"/>
      <c r="QXM109" s="978"/>
      <c r="QXN109" s="978"/>
      <c r="QXO109" s="978"/>
      <c r="QXP109" s="978"/>
      <c r="QXQ109" s="978"/>
      <c r="QXR109" s="978"/>
      <c r="QXS109" s="978"/>
      <c r="QXT109" s="978"/>
      <c r="QXU109" s="978"/>
      <c r="QXV109" s="978"/>
      <c r="QXW109" s="978"/>
      <c r="QXX109" s="978"/>
      <c r="QXY109" s="978"/>
      <c r="QXZ109" s="978"/>
      <c r="QYA109" s="978"/>
      <c r="QYB109" s="978"/>
      <c r="QYC109" s="978"/>
      <c r="QYD109" s="978"/>
      <c r="QYE109" s="978"/>
      <c r="QYF109" s="978"/>
      <c r="QYG109" s="978"/>
      <c r="QYH109" s="978"/>
      <c r="QYI109" s="978"/>
      <c r="QYJ109" s="978"/>
      <c r="QYK109" s="978"/>
      <c r="QYL109" s="978"/>
      <c r="QYM109" s="978"/>
      <c r="QYN109" s="978"/>
      <c r="QYO109" s="978"/>
      <c r="QYP109" s="978"/>
      <c r="QYQ109" s="978"/>
      <c r="QYR109" s="978"/>
      <c r="QYS109" s="978"/>
      <c r="QYT109" s="978"/>
      <c r="QYU109" s="978"/>
      <c r="QYV109" s="978"/>
      <c r="QYW109" s="978"/>
      <c r="QYX109" s="978"/>
      <c r="QYY109" s="978"/>
      <c r="QYZ109" s="978"/>
      <c r="QZA109" s="978"/>
      <c r="QZB109" s="978"/>
      <c r="QZC109" s="978"/>
      <c r="QZD109" s="978"/>
      <c r="QZE109" s="978"/>
      <c r="QZF109" s="978"/>
      <c r="QZG109" s="978"/>
      <c r="QZH109" s="978"/>
      <c r="QZI109" s="978"/>
      <c r="QZJ109" s="978"/>
      <c r="QZK109" s="978"/>
      <c r="QZL109" s="978"/>
      <c r="QZM109" s="978"/>
      <c r="QZN109" s="978"/>
      <c r="QZO109" s="978"/>
      <c r="QZP109" s="978"/>
      <c r="QZQ109" s="978"/>
      <c r="QZR109" s="978"/>
      <c r="QZS109" s="978"/>
      <c r="QZT109" s="978"/>
      <c r="QZU109" s="978"/>
      <c r="QZV109" s="978"/>
      <c r="QZW109" s="978"/>
      <c r="QZX109" s="978"/>
      <c r="QZY109" s="978"/>
      <c r="QZZ109" s="978"/>
      <c r="RAA109" s="978"/>
      <c r="RAB109" s="978"/>
      <c r="RAC109" s="978"/>
      <c r="RAD109" s="978"/>
      <c r="RAE109" s="978"/>
      <c r="RAF109" s="978"/>
      <c r="RAG109" s="978"/>
      <c r="RAH109" s="978"/>
      <c r="RAI109" s="978"/>
      <c r="RAJ109" s="978"/>
      <c r="RAK109" s="978"/>
      <c r="RAL109" s="978"/>
      <c r="RAM109" s="978"/>
      <c r="RAN109" s="978"/>
      <c r="RAO109" s="978"/>
      <c r="RAP109" s="978"/>
      <c r="RAQ109" s="978"/>
      <c r="RAR109" s="978"/>
      <c r="RAS109" s="978"/>
      <c r="RAT109" s="978"/>
      <c r="RAU109" s="978"/>
      <c r="RAV109" s="978"/>
      <c r="RAW109" s="978"/>
      <c r="RAX109" s="978"/>
      <c r="RAY109" s="978"/>
      <c r="RAZ109" s="978"/>
      <c r="RBA109" s="978"/>
      <c r="RBB109" s="978"/>
      <c r="RBC109" s="978"/>
      <c r="RBD109" s="978"/>
      <c r="RBE109" s="978"/>
      <c r="RBF109" s="978"/>
      <c r="RBG109" s="978"/>
      <c r="RBH109" s="978"/>
      <c r="RBI109" s="978"/>
      <c r="RBJ109" s="978"/>
      <c r="RBK109" s="978"/>
      <c r="RBL109" s="978"/>
      <c r="RBM109" s="978"/>
      <c r="RBN109" s="978"/>
      <c r="RBO109" s="978"/>
      <c r="RBP109" s="978"/>
      <c r="RBQ109" s="978"/>
      <c r="RBR109" s="978"/>
      <c r="RBS109" s="978"/>
      <c r="RBT109" s="978"/>
      <c r="RBU109" s="978"/>
      <c r="RBV109" s="978"/>
      <c r="RBW109" s="978"/>
      <c r="RBX109" s="978"/>
      <c r="RBY109" s="978"/>
      <c r="RBZ109" s="978"/>
      <c r="RCA109" s="978"/>
      <c r="RCB109" s="978"/>
      <c r="RCC109" s="978"/>
      <c r="RCD109" s="978"/>
      <c r="RCE109" s="978"/>
      <c r="RCF109" s="978"/>
      <c r="RCG109" s="978"/>
      <c r="RCH109" s="978"/>
      <c r="RCI109" s="978"/>
      <c r="RCJ109" s="978"/>
      <c r="RCK109" s="978"/>
      <c r="RCL109" s="978"/>
      <c r="RCM109" s="978"/>
      <c r="RCN109" s="978"/>
      <c r="RCO109" s="978"/>
      <c r="RCP109" s="978"/>
      <c r="RCQ109" s="978"/>
      <c r="RCR109" s="978"/>
      <c r="RCS109" s="978"/>
      <c r="RCT109" s="978"/>
      <c r="RCU109" s="978"/>
      <c r="RCV109" s="978"/>
      <c r="RCW109" s="978"/>
      <c r="RCX109" s="978"/>
      <c r="RCY109" s="978"/>
      <c r="RCZ109" s="978"/>
      <c r="RDA109" s="978"/>
      <c r="RDB109" s="978"/>
      <c r="RDC109" s="978"/>
      <c r="RDD109" s="978"/>
      <c r="RDE109" s="978"/>
      <c r="RDF109" s="978"/>
      <c r="RDG109" s="978"/>
      <c r="RDH109" s="978"/>
      <c r="RDI109" s="978"/>
      <c r="RDJ109" s="978"/>
      <c r="RDK109" s="978"/>
      <c r="RDL109" s="978"/>
      <c r="RDM109" s="978"/>
      <c r="RDN109" s="978"/>
      <c r="RDO109" s="978"/>
      <c r="RDP109" s="978"/>
      <c r="RDQ109" s="978"/>
      <c r="RDR109" s="978"/>
      <c r="RDS109" s="978"/>
      <c r="RDT109" s="978"/>
      <c r="RDU109" s="978"/>
      <c r="RDV109" s="978"/>
      <c r="RDW109" s="978"/>
      <c r="RDX109" s="978"/>
      <c r="RDY109" s="978"/>
      <c r="RDZ109" s="978"/>
      <c r="REA109" s="978"/>
      <c r="REB109" s="978"/>
      <c r="REC109" s="978"/>
      <c r="RED109" s="978"/>
      <c r="REE109" s="978"/>
      <c r="REF109" s="978"/>
      <c r="REG109" s="978"/>
      <c r="REH109" s="978"/>
      <c r="REI109" s="978"/>
      <c r="REJ109" s="978"/>
      <c r="REK109" s="978"/>
      <c r="REL109" s="978"/>
      <c r="REM109" s="978"/>
      <c r="REN109" s="978"/>
      <c r="REO109" s="978"/>
      <c r="REP109" s="978"/>
      <c r="REQ109" s="978"/>
      <c r="RER109" s="978"/>
      <c r="RES109" s="978"/>
      <c r="RET109" s="978"/>
      <c r="REU109" s="978"/>
      <c r="REV109" s="978"/>
      <c r="REW109" s="978"/>
      <c r="REX109" s="978"/>
      <c r="REY109" s="978"/>
      <c r="REZ109" s="978"/>
      <c r="RFA109" s="978"/>
      <c r="RFB109" s="978"/>
      <c r="RFC109" s="978"/>
      <c r="RFD109" s="978"/>
      <c r="RFE109" s="978"/>
      <c r="RFF109" s="978"/>
      <c r="RFG109" s="978"/>
      <c r="RFH109" s="978"/>
      <c r="RFI109" s="978"/>
      <c r="RFJ109" s="978"/>
      <c r="RFK109" s="978"/>
      <c r="RFL109" s="978"/>
      <c r="RFM109" s="978"/>
      <c r="RFN109" s="978"/>
      <c r="RFO109" s="978"/>
      <c r="RFP109" s="978"/>
      <c r="RFQ109" s="978"/>
      <c r="RFR109" s="978"/>
      <c r="RFS109" s="978"/>
      <c r="RFT109" s="978"/>
      <c r="RFU109" s="978"/>
      <c r="RFV109" s="978"/>
      <c r="RFW109" s="978"/>
      <c r="RFX109" s="978"/>
      <c r="RFY109" s="978"/>
      <c r="RFZ109" s="978"/>
      <c r="RGA109" s="978"/>
      <c r="RGB109" s="978"/>
      <c r="RGC109" s="978"/>
      <c r="RGD109" s="978"/>
      <c r="RGE109" s="978"/>
      <c r="RGF109" s="978"/>
      <c r="RGG109" s="978"/>
      <c r="RGH109" s="978"/>
      <c r="RGI109" s="978"/>
      <c r="RGJ109" s="978"/>
      <c r="RGK109" s="978"/>
      <c r="RGL109" s="978"/>
      <c r="RGM109" s="978"/>
      <c r="RGN109" s="978"/>
      <c r="RGO109" s="978"/>
      <c r="RGP109" s="978"/>
      <c r="RGQ109" s="978"/>
      <c r="RGR109" s="978"/>
      <c r="RGS109" s="978"/>
      <c r="RGT109" s="978"/>
      <c r="RGU109" s="978"/>
      <c r="RGV109" s="978"/>
      <c r="RGW109" s="978"/>
      <c r="RGX109" s="978"/>
      <c r="RGY109" s="978"/>
      <c r="RGZ109" s="978"/>
      <c r="RHA109" s="978"/>
      <c r="RHB109" s="978"/>
      <c r="RHC109" s="978"/>
      <c r="RHD109" s="978"/>
      <c r="RHE109" s="978"/>
      <c r="RHF109" s="978"/>
      <c r="RHG109" s="978"/>
      <c r="RHH109" s="978"/>
      <c r="RHI109" s="978"/>
      <c r="RHJ109" s="978"/>
      <c r="RHK109" s="978"/>
      <c r="RHL109" s="978"/>
      <c r="RHM109" s="978"/>
      <c r="RHN109" s="978"/>
      <c r="RHO109" s="978"/>
      <c r="RHP109" s="978"/>
      <c r="RHQ109" s="978"/>
      <c r="RHR109" s="978"/>
      <c r="RHS109" s="978"/>
      <c r="RHT109" s="978"/>
      <c r="RHU109" s="978"/>
      <c r="RHV109" s="978"/>
      <c r="RHW109" s="978"/>
      <c r="RHX109" s="978"/>
      <c r="RHY109" s="978"/>
      <c r="RHZ109" s="978"/>
      <c r="RIA109" s="978"/>
      <c r="RIB109" s="978"/>
      <c r="RIC109" s="978"/>
      <c r="RID109" s="978"/>
      <c r="RIE109" s="978"/>
      <c r="RIF109" s="978"/>
      <c r="RIG109" s="978"/>
      <c r="RIH109" s="978"/>
      <c r="RII109" s="978"/>
      <c r="RIJ109" s="978"/>
      <c r="RIK109" s="978"/>
      <c r="RIL109" s="978"/>
      <c r="RIM109" s="978"/>
      <c r="RIN109" s="978"/>
      <c r="RIO109" s="978"/>
      <c r="RIP109" s="978"/>
      <c r="RIQ109" s="978"/>
      <c r="RIR109" s="978"/>
      <c r="RIS109" s="978"/>
      <c r="RIT109" s="978"/>
      <c r="RIU109" s="978"/>
      <c r="RIV109" s="978"/>
      <c r="RIW109" s="978"/>
      <c r="RIX109" s="978"/>
      <c r="RIY109" s="978"/>
      <c r="RIZ109" s="978"/>
      <c r="RJA109" s="978"/>
      <c r="RJB109" s="978"/>
      <c r="RJC109" s="978"/>
      <c r="RJD109" s="978"/>
      <c r="RJE109" s="978"/>
      <c r="RJF109" s="978"/>
      <c r="RJG109" s="978"/>
      <c r="RJH109" s="978"/>
      <c r="RJI109" s="978"/>
      <c r="RJJ109" s="978"/>
      <c r="RJK109" s="978"/>
      <c r="RJL109" s="978"/>
      <c r="RJM109" s="978"/>
      <c r="RJN109" s="978"/>
      <c r="RJO109" s="978"/>
      <c r="RJP109" s="978"/>
      <c r="RJQ109" s="978"/>
      <c r="RJR109" s="978"/>
      <c r="RJS109" s="978"/>
      <c r="RJT109" s="978"/>
      <c r="RJU109" s="978"/>
      <c r="RJV109" s="978"/>
      <c r="RJW109" s="978"/>
      <c r="RJX109" s="978"/>
      <c r="RJY109" s="978"/>
      <c r="RJZ109" s="978"/>
      <c r="RKA109" s="978"/>
      <c r="RKB109" s="978"/>
      <c r="RKC109" s="978"/>
      <c r="RKD109" s="978"/>
      <c r="RKE109" s="978"/>
      <c r="RKF109" s="978"/>
      <c r="RKG109" s="978"/>
      <c r="RKH109" s="978"/>
      <c r="RKI109" s="978"/>
      <c r="RKJ109" s="978"/>
      <c r="RKK109" s="978"/>
      <c r="RKL109" s="978"/>
      <c r="RKM109" s="978"/>
      <c r="RKN109" s="978"/>
      <c r="RKO109" s="978"/>
      <c r="RKP109" s="978"/>
      <c r="RKQ109" s="978"/>
      <c r="RKR109" s="978"/>
      <c r="RKS109" s="978"/>
      <c r="RKT109" s="978"/>
      <c r="RKU109" s="978"/>
      <c r="RKV109" s="978"/>
      <c r="RKW109" s="978"/>
      <c r="RKX109" s="978"/>
      <c r="RKY109" s="978"/>
      <c r="RKZ109" s="978"/>
      <c r="RLA109" s="978"/>
      <c r="RLB109" s="978"/>
      <c r="RLC109" s="978"/>
      <c r="RLD109" s="978"/>
      <c r="RLE109" s="978"/>
      <c r="RLF109" s="978"/>
      <c r="RLG109" s="978"/>
      <c r="RLH109" s="978"/>
      <c r="RLI109" s="978"/>
      <c r="RLJ109" s="978"/>
      <c r="RLK109" s="978"/>
      <c r="RLL109" s="978"/>
      <c r="RLM109" s="978"/>
      <c r="RLN109" s="978"/>
      <c r="RLO109" s="978"/>
      <c r="RLP109" s="978"/>
      <c r="RLQ109" s="978"/>
      <c r="RLR109" s="978"/>
      <c r="RLS109" s="978"/>
      <c r="RLT109" s="978"/>
      <c r="RLU109" s="978"/>
      <c r="RLV109" s="978"/>
      <c r="RLW109" s="978"/>
      <c r="RLX109" s="978"/>
      <c r="RLY109" s="978"/>
      <c r="RLZ109" s="978"/>
      <c r="RMA109" s="978"/>
      <c r="RMB109" s="978"/>
      <c r="RMC109" s="978"/>
      <c r="RMD109" s="978"/>
      <c r="RME109" s="978"/>
      <c r="RMF109" s="978"/>
      <c r="RMG109" s="978"/>
      <c r="RMH109" s="978"/>
      <c r="RMI109" s="978"/>
      <c r="RMJ109" s="978"/>
      <c r="RMK109" s="978"/>
      <c r="RML109" s="978"/>
      <c r="RMM109" s="978"/>
      <c r="RMN109" s="978"/>
      <c r="RMO109" s="978"/>
      <c r="RMP109" s="978"/>
      <c r="RMQ109" s="978"/>
      <c r="RMR109" s="978"/>
      <c r="RMS109" s="978"/>
      <c r="RMT109" s="978"/>
      <c r="RMU109" s="978"/>
      <c r="RMV109" s="978"/>
      <c r="RMW109" s="978"/>
      <c r="RMX109" s="978"/>
      <c r="RMY109" s="978"/>
      <c r="RMZ109" s="978"/>
      <c r="RNA109" s="978"/>
      <c r="RNB109" s="978"/>
      <c r="RNC109" s="978"/>
      <c r="RND109" s="978"/>
      <c r="RNE109" s="978"/>
      <c r="RNF109" s="978"/>
      <c r="RNG109" s="978"/>
      <c r="RNH109" s="978"/>
      <c r="RNI109" s="978"/>
      <c r="RNJ109" s="978"/>
      <c r="RNK109" s="978"/>
      <c r="RNL109" s="978"/>
      <c r="RNM109" s="978"/>
      <c r="RNN109" s="978"/>
      <c r="RNO109" s="978"/>
      <c r="RNP109" s="978"/>
      <c r="RNQ109" s="978"/>
      <c r="RNR109" s="978"/>
      <c r="RNS109" s="978"/>
      <c r="RNT109" s="978"/>
      <c r="RNU109" s="978"/>
      <c r="RNV109" s="978"/>
      <c r="RNW109" s="978"/>
      <c r="RNX109" s="978"/>
      <c r="RNY109" s="978"/>
      <c r="RNZ109" s="978"/>
      <c r="ROA109" s="978"/>
      <c r="ROB109" s="978"/>
      <c r="ROC109" s="978"/>
      <c r="ROD109" s="978"/>
      <c r="ROE109" s="978"/>
      <c r="ROF109" s="978"/>
      <c r="ROG109" s="978"/>
      <c r="ROH109" s="978"/>
      <c r="ROI109" s="978"/>
      <c r="ROJ109" s="978"/>
      <c r="ROK109" s="978"/>
      <c r="ROL109" s="978"/>
      <c r="ROM109" s="978"/>
      <c r="RON109" s="978"/>
      <c r="ROO109" s="978"/>
      <c r="ROP109" s="978"/>
      <c r="ROQ109" s="978"/>
      <c r="ROR109" s="978"/>
      <c r="ROS109" s="978"/>
      <c r="ROT109" s="978"/>
      <c r="ROU109" s="978"/>
      <c r="ROV109" s="978"/>
      <c r="ROW109" s="978"/>
      <c r="ROX109" s="978"/>
      <c r="ROY109" s="978"/>
      <c r="ROZ109" s="978"/>
      <c r="RPA109" s="978"/>
      <c r="RPB109" s="978"/>
      <c r="RPC109" s="978"/>
      <c r="RPD109" s="978"/>
      <c r="RPE109" s="978"/>
      <c r="RPF109" s="978"/>
      <c r="RPG109" s="978"/>
      <c r="RPH109" s="978"/>
      <c r="RPI109" s="978"/>
      <c r="RPJ109" s="978"/>
      <c r="RPK109" s="978"/>
      <c r="RPL109" s="978"/>
      <c r="RPM109" s="978"/>
      <c r="RPN109" s="978"/>
      <c r="RPO109" s="978"/>
      <c r="RPP109" s="978"/>
      <c r="RPQ109" s="978"/>
      <c r="RPR109" s="978"/>
      <c r="RPS109" s="978"/>
      <c r="RPT109" s="978"/>
      <c r="RPU109" s="978"/>
      <c r="RPV109" s="978"/>
      <c r="RPW109" s="978"/>
      <c r="RPX109" s="978"/>
      <c r="RPY109" s="978"/>
      <c r="RPZ109" s="978"/>
      <c r="RQA109" s="978"/>
      <c r="RQB109" s="978"/>
      <c r="RQC109" s="978"/>
      <c r="RQD109" s="978"/>
      <c r="RQE109" s="978"/>
      <c r="RQF109" s="978"/>
      <c r="RQG109" s="978"/>
      <c r="RQH109" s="978"/>
      <c r="RQI109" s="978"/>
      <c r="RQJ109" s="978"/>
      <c r="RQK109" s="978"/>
      <c r="RQL109" s="978"/>
      <c r="RQM109" s="978"/>
      <c r="RQN109" s="978"/>
      <c r="RQO109" s="978"/>
      <c r="RQP109" s="978"/>
      <c r="RQQ109" s="978"/>
      <c r="RQR109" s="978"/>
      <c r="RQS109" s="978"/>
      <c r="RQT109" s="978"/>
      <c r="RQU109" s="978"/>
      <c r="RQV109" s="978"/>
      <c r="RQW109" s="978"/>
      <c r="RQX109" s="978"/>
      <c r="RQY109" s="978"/>
      <c r="RQZ109" s="978"/>
      <c r="RRA109" s="978"/>
      <c r="RRB109" s="978"/>
      <c r="RRC109" s="978"/>
      <c r="RRD109" s="978"/>
      <c r="RRE109" s="978"/>
      <c r="RRF109" s="978"/>
      <c r="RRG109" s="978"/>
      <c r="RRH109" s="978"/>
      <c r="RRI109" s="978"/>
      <c r="RRJ109" s="978"/>
      <c r="RRK109" s="978"/>
      <c r="RRL109" s="978"/>
      <c r="RRM109" s="978"/>
      <c r="RRN109" s="978"/>
      <c r="RRO109" s="978"/>
      <c r="RRP109" s="978"/>
      <c r="RRQ109" s="978"/>
      <c r="RRR109" s="978"/>
      <c r="RRS109" s="978"/>
      <c r="RRT109" s="978"/>
      <c r="RRU109" s="978"/>
      <c r="RRV109" s="978"/>
      <c r="RRW109" s="978"/>
      <c r="RRX109" s="978"/>
      <c r="RRY109" s="978"/>
      <c r="RRZ109" s="978"/>
      <c r="RSA109" s="978"/>
      <c r="RSB109" s="978"/>
      <c r="RSC109" s="978"/>
      <c r="RSD109" s="978"/>
      <c r="RSE109" s="978"/>
      <c r="RSF109" s="978"/>
      <c r="RSG109" s="978"/>
      <c r="RSH109" s="978"/>
      <c r="RSI109" s="978"/>
      <c r="RSJ109" s="978"/>
      <c r="RSK109" s="978"/>
      <c r="RSL109" s="978"/>
      <c r="RSM109" s="978"/>
      <c r="RSN109" s="978"/>
      <c r="RSO109" s="978"/>
      <c r="RSP109" s="978"/>
      <c r="RSQ109" s="978"/>
      <c r="RSR109" s="978"/>
      <c r="RSS109" s="978"/>
      <c r="RST109" s="978"/>
      <c r="RSU109" s="978"/>
      <c r="RSV109" s="978"/>
      <c r="RSW109" s="978"/>
      <c r="RSX109" s="978"/>
      <c r="RSY109" s="978"/>
      <c r="RSZ109" s="978"/>
      <c r="RTA109" s="978"/>
      <c r="RTB109" s="978"/>
      <c r="RTC109" s="978"/>
      <c r="RTD109" s="978"/>
      <c r="RTE109" s="978"/>
      <c r="RTF109" s="978"/>
      <c r="RTG109" s="978"/>
      <c r="RTH109" s="978"/>
      <c r="RTI109" s="978"/>
      <c r="RTJ109" s="978"/>
      <c r="RTK109" s="978"/>
      <c r="RTL109" s="978"/>
      <c r="RTM109" s="978"/>
      <c r="RTN109" s="978"/>
      <c r="RTO109" s="978"/>
      <c r="RTP109" s="978"/>
      <c r="RTQ109" s="978"/>
      <c r="RTR109" s="978"/>
      <c r="RTS109" s="978"/>
      <c r="RTT109" s="978"/>
      <c r="RTU109" s="978"/>
      <c r="RTV109" s="978"/>
      <c r="RTW109" s="978"/>
      <c r="RTX109" s="978"/>
      <c r="RTY109" s="978"/>
      <c r="RTZ109" s="978"/>
      <c r="RUA109" s="978"/>
      <c r="RUB109" s="978"/>
      <c r="RUC109" s="978"/>
      <c r="RUD109" s="978"/>
      <c r="RUE109" s="978"/>
      <c r="RUF109" s="978"/>
      <c r="RUG109" s="978"/>
      <c r="RUH109" s="978"/>
      <c r="RUI109" s="978"/>
      <c r="RUJ109" s="978"/>
      <c r="RUK109" s="978"/>
      <c r="RUL109" s="978"/>
      <c r="RUM109" s="978"/>
      <c r="RUN109" s="978"/>
      <c r="RUO109" s="978"/>
      <c r="RUP109" s="978"/>
      <c r="RUQ109" s="978"/>
      <c r="RUR109" s="978"/>
      <c r="RUS109" s="978"/>
      <c r="RUT109" s="978"/>
      <c r="RUU109" s="978"/>
      <c r="RUV109" s="978"/>
      <c r="RUW109" s="978"/>
      <c r="RUX109" s="978"/>
      <c r="RUY109" s="978"/>
      <c r="RUZ109" s="978"/>
      <c r="RVA109" s="978"/>
      <c r="RVB109" s="978"/>
      <c r="RVC109" s="978"/>
      <c r="RVD109" s="978"/>
      <c r="RVE109" s="978"/>
      <c r="RVF109" s="978"/>
      <c r="RVG109" s="978"/>
      <c r="RVH109" s="978"/>
      <c r="RVI109" s="978"/>
      <c r="RVJ109" s="978"/>
      <c r="RVK109" s="978"/>
      <c r="RVL109" s="978"/>
      <c r="RVM109" s="978"/>
      <c r="RVN109" s="978"/>
      <c r="RVO109" s="978"/>
      <c r="RVP109" s="978"/>
      <c r="RVQ109" s="978"/>
      <c r="RVR109" s="978"/>
      <c r="RVS109" s="978"/>
      <c r="RVT109" s="978"/>
      <c r="RVU109" s="978"/>
      <c r="RVV109" s="978"/>
      <c r="RVW109" s="978"/>
      <c r="RVX109" s="978"/>
      <c r="RVY109" s="978"/>
      <c r="RVZ109" s="978"/>
      <c r="RWA109" s="978"/>
      <c r="RWB109" s="978"/>
      <c r="RWC109" s="978"/>
      <c r="RWD109" s="978"/>
      <c r="RWE109" s="978"/>
      <c r="RWF109" s="978"/>
      <c r="RWG109" s="978"/>
      <c r="RWH109" s="978"/>
      <c r="RWI109" s="978"/>
      <c r="RWJ109" s="978"/>
      <c r="RWK109" s="978"/>
      <c r="RWL109" s="978"/>
      <c r="RWM109" s="978"/>
      <c r="RWN109" s="978"/>
      <c r="RWO109" s="978"/>
      <c r="RWP109" s="978"/>
      <c r="RWQ109" s="978"/>
      <c r="RWR109" s="978"/>
      <c r="RWS109" s="978"/>
      <c r="RWT109" s="978"/>
      <c r="RWU109" s="978"/>
      <c r="RWV109" s="978"/>
      <c r="RWW109" s="978"/>
      <c r="RWX109" s="978"/>
      <c r="RWY109" s="978"/>
      <c r="RWZ109" s="978"/>
      <c r="RXA109" s="978"/>
      <c r="RXB109" s="978"/>
      <c r="RXC109" s="978"/>
      <c r="RXD109" s="978"/>
      <c r="RXE109" s="978"/>
      <c r="RXF109" s="978"/>
      <c r="RXG109" s="978"/>
      <c r="RXH109" s="978"/>
      <c r="RXI109" s="978"/>
      <c r="RXJ109" s="978"/>
      <c r="RXK109" s="978"/>
      <c r="RXL109" s="978"/>
      <c r="RXM109" s="978"/>
      <c r="RXN109" s="978"/>
      <c r="RXO109" s="978"/>
      <c r="RXP109" s="978"/>
      <c r="RXQ109" s="978"/>
      <c r="RXR109" s="978"/>
      <c r="RXS109" s="978"/>
      <c r="RXT109" s="978"/>
      <c r="RXU109" s="978"/>
      <c r="RXV109" s="978"/>
      <c r="RXW109" s="978"/>
      <c r="RXX109" s="978"/>
      <c r="RXY109" s="978"/>
      <c r="RXZ109" s="978"/>
      <c r="RYA109" s="978"/>
      <c r="RYB109" s="978"/>
      <c r="RYC109" s="978"/>
      <c r="RYD109" s="978"/>
      <c r="RYE109" s="978"/>
      <c r="RYF109" s="978"/>
      <c r="RYG109" s="978"/>
      <c r="RYH109" s="978"/>
      <c r="RYI109" s="978"/>
      <c r="RYJ109" s="978"/>
      <c r="RYK109" s="978"/>
      <c r="RYL109" s="978"/>
      <c r="RYM109" s="978"/>
      <c r="RYN109" s="978"/>
      <c r="RYO109" s="978"/>
      <c r="RYP109" s="978"/>
      <c r="RYQ109" s="978"/>
      <c r="RYR109" s="978"/>
      <c r="RYS109" s="978"/>
      <c r="RYT109" s="978"/>
      <c r="RYU109" s="978"/>
      <c r="RYV109" s="978"/>
      <c r="RYW109" s="978"/>
      <c r="RYX109" s="978"/>
      <c r="RYY109" s="978"/>
      <c r="RYZ109" s="978"/>
      <c r="RZA109" s="978"/>
      <c r="RZB109" s="978"/>
      <c r="RZC109" s="978"/>
      <c r="RZD109" s="978"/>
      <c r="RZE109" s="978"/>
      <c r="RZF109" s="978"/>
      <c r="RZG109" s="978"/>
      <c r="RZH109" s="978"/>
      <c r="RZI109" s="978"/>
      <c r="RZJ109" s="978"/>
      <c r="RZK109" s="978"/>
      <c r="RZL109" s="978"/>
      <c r="RZM109" s="978"/>
      <c r="RZN109" s="978"/>
      <c r="RZO109" s="978"/>
      <c r="RZP109" s="978"/>
      <c r="RZQ109" s="978"/>
      <c r="RZR109" s="978"/>
      <c r="RZS109" s="978"/>
      <c r="RZT109" s="978"/>
      <c r="RZU109" s="978"/>
      <c r="RZV109" s="978"/>
      <c r="RZW109" s="978"/>
      <c r="RZX109" s="978"/>
      <c r="RZY109" s="978"/>
      <c r="RZZ109" s="978"/>
      <c r="SAA109" s="978"/>
      <c r="SAB109" s="978"/>
      <c r="SAC109" s="978"/>
      <c r="SAD109" s="978"/>
      <c r="SAE109" s="978"/>
      <c r="SAF109" s="978"/>
      <c r="SAG109" s="978"/>
      <c r="SAH109" s="978"/>
      <c r="SAI109" s="978"/>
      <c r="SAJ109" s="978"/>
      <c r="SAK109" s="978"/>
      <c r="SAL109" s="978"/>
      <c r="SAM109" s="978"/>
      <c r="SAN109" s="978"/>
      <c r="SAO109" s="978"/>
      <c r="SAP109" s="978"/>
      <c r="SAQ109" s="978"/>
      <c r="SAR109" s="978"/>
      <c r="SAS109" s="978"/>
      <c r="SAT109" s="978"/>
      <c r="SAU109" s="978"/>
      <c r="SAV109" s="978"/>
      <c r="SAW109" s="978"/>
      <c r="SAX109" s="978"/>
      <c r="SAY109" s="978"/>
      <c r="SAZ109" s="978"/>
      <c r="SBA109" s="978"/>
      <c r="SBB109" s="978"/>
      <c r="SBC109" s="978"/>
      <c r="SBD109" s="978"/>
      <c r="SBE109" s="978"/>
      <c r="SBF109" s="978"/>
      <c r="SBG109" s="978"/>
      <c r="SBH109" s="978"/>
      <c r="SBI109" s="978"/>
      <c r="SBJ109" s="978"/>
      <c r="SBK109" s="978"/>
      <c r="SBL109" s="978"/>
      <c r="SBM109" s="978"/>
      <c r="SBN109" s="978"/>
      <c r="SBO109" s="978"/>
      <c r="SBP109" s="978"/>
      <c r="SBQ109" s="978"/>
      <c r="SBR109" s="978"/>
      <c r="SBS109" s="978"/>
      <c r="SBT109" s="978"/>
      <c r="SBU109" s="978"/>
      <c r="SBV109" s="978"/>
      <c r="SBW109" s="978"/>
      <c r="SBX109" s="978"/>
      <c r="SBY109" s="978"/>
      <c r="SBZ109" s="978"/>
      <c r="SCA109" s="978"/>
      <c r="SCB109" s="978"/>
      <c r="SCC109" s="978"/>
      <c r="SCD109" s="978"/>
      <c r="SCE109" s="978"/>
      <c r="SCF109" s="978"/>
      <c r="SCG109" s="978"/>
      <c r="SCH109" s="978"/>
      <c r="SCI109" s="978"/>
      <c r="SCJ109" s="978"/>
      <c r="SCK109" s="978"/>
      <c r="SCL109" s="978"/>
      <c r="SCM109" s="978"/>
      <c r="SCN109" s="978"/>
      <c r="SCO109" s="978"/>
      <c r="SCP109" s="978"/>
      <c r="SCQ109" s="978"/>
      <c r="SCR109" s="978"/>
      <c r="SCS109" s="978"/>
      <c r="SCT109" s="978"/>
      <c r="SCU109" s="978"/>
      <c r="SCV109" s="978"/>
      <c r="SCW109" s="978"/>
      <c r="SCX109" s="978"/>
      <c r="SCY109" s="978"/>
      <c r="SCZ109" s="978"/>
      <c r="SDA109" s="978"/>
      <c r="SDB109" s="978"/>
      <c r="SDC109" s="978"/>
      <c r="SDD109" s="978"/>
      <c r="SDE109" s="978"/>
      <c r="SDF109" s="978"/>
      <c r="SDG109" s="978"/>
      <c r="SDH109" s="978"/>
      <c r="SDI109" s="978"/>
      <c r="SDJ109" s="978"/>
      <c r="SDK109" s="978"/>
      <c r="SDL109" s="978"/>
      <c r="SDM109" s="978"/>
      <c r="SDN109" s="978"/>
      <c r="SDO109" s="978"/>
      <c r="SDP109" s="978"/>
      <c r="SDQ109" s="978"/>
      <c r="SDR109" s="978"/>
      <c r="SDS109" s="978"/>
      <c r="SDT109" s="978"/>
      <c r="SDU109" s="978"/>
      <c r="SDV109" s="978"/>
      <c r="SDW109" s="978"/>
      <c r="SDX109" s="978"/>
      <c r="SDY109" s="978"/>
      <c r="SDZ109" s="978"/>
      <c r="SEA109" s="978"/>
      <c r="SEB109" s="978"/>
      <c r="SEC109" s="978"/>
      <c r="SED109" s="978"/>
      <c r="SEE109" s="978"/>
      <c r="SEF109" s="978"/>
      <c r="SEG109" s="978"/>
      <c r="SEH109" s="978"/>
      <c r="SEI109" s="978"/>
      <c r="SEJ109" s="978"/>
      <c r="SEK109" s="978"/>
      <c r="SEL109" s="978"/>
      <c r="SEM109" s="978"/>
      <c r="SEN109" s="978"/>
      <c r="SEO109" s="978"/>
      <c r="SEP109" s="978"/>
      <c r="SEQ109" s="978"/>
      <c r="SER109" s="978"/>
      <c r="SES109" s="978"/>
      <c r="SET109" s="978"/>
      <c r="SEU109" s="978"/>
      <c r="SEV109" s="978"/>
      <c r="SEW109" s="978"/>
      <c r="SEX109" s="978"/>
      <c r="SEY109" s="978"/>
      <c r="SEZ109" s="978"/>
      <c r="SFA109" s="978"/>
      <c r="SFB109" s="978"/>
      <c r="SFC109" s="978"/>
      <c r="SFD109" s="978"/>
      <c r="SFE109" s="978"/>
      <c r="SFF109" s="978"/>
      <c r="SFG109" s="978"/>
      <c r="SFH109" s="978"/>
      <c r="SFI109" s="978"/>
      <c r="SFJ109" s="978"/>
      <c r="SFK109" s="978"/>
      <c r="SFL109" s="978"/>
      <c r="SFM109" s="978"/>
      <c r="SFN109" s="978"/>
      <c r="SFO109" s="978"/>
      <c r="SFP109" s="978"/>
      <c r="SFQ109" s="978"/>
      <c r="SFR109" s="978"/>
      <c r="SFS109" s="978"/>
      <c r="SFT109" s="978"/>
      <c r="SFU109" s="978"/>
      <c r="SFV109" s="978"/>
      <c r="SFW109" s="978"/>
      <c r="SFX109" s="978"/>
      <c r="SFY109" s="978"/>
      <c r="SFZ109" s="978"/>
      <c r="SGA109" s="978"/>
      <c r="SGB109" s="978"/>
      <c r="SGC109" s="978"/>
      <c r="SGD109" s="978"/>
      <c r="SGE109" s="978"/>
      <c r="SGF109" s="978"/>
      <c r="SGG109" s="978"/>
      <c r="SGH109" s="978"/>
      <c r="SGI109" s="978"/>
      <c r="SGJ109" s="978"/>
      <c r="SGK109" s="978"/>
      <c r="SGL109" s="978"/>
      <c r="SGM109" s="978"/>
      <c r="SGN109" s="978"/>
      <c r="SGO109" s="978"/>
      <c r="SGP109" s="978"/>
      <c r="SGQ109" s="978"/>
      <c r="SGR109" s="978"/>
      <c r="SGS109" s="978"/>
      <c r="SGT109" s="978"/>
      <c r="SGU109" s="978"/>
      <c r="SGV109" s="978"/>
      <c r="SGW109" s="978"/>
      <c r="SGX109" s="978"/>
      <c r="SGY109" s="978"/>
      <c r="SGZ109" s="978"/>
      <c r="SHA109" s="978"/>
      <c r="SHB109" s="978"/>
      <c r="SHC109" s="978"/>
      <c r="SHD109" s="978"/>
      <c r="SHE109" s="978"/>
      <c r="SHF109" s="978"/>
      <c r="SHG109" s="978"/>
      <c r="SHH109" s="978"/>
      <c r="SHI109" s="978"/>
      <c r="SHJ109" s="978"/>
      <c r="SHK109" s="978"/>
      <c r="SHL109" s="978"/>
      <c r="SHM109" s="978"/>
      <c r="SHN109" s="978"/>
      <c r="SHO109" s="978"/>
      <c r="SHP109" s="978"/>
      <c r="SHQ109" s="978"/>
      <c r="SHR109" s="978"/>
      <c r="SHS109" s="978"/>
      <c r="SHT109" s="978"/>
      <c r="SHU109" s="978"/>
      <c r="SHV109" s="978"/>
      <c r="SHW109" s="978"/>
      <c r="SHX109" s="978"/>
      <c r="SHY109" s="978"/>
      <c r="SHZ109" s="978"/>
      <c r="SIA109" s="978"/>
      <c r="SIB109" s="978"/>
      <c r="SIC109" s="978"/>
      <c r="SID109" s="978"/>
      <c r="SIE109" s="978"/>
      <c r="SIF109" s="978"/>
      <c r="SIG109" s="978"/>
      <c r="SIH109" s="978"/>
      <c r="SII109" s="978"/>
      <c r="SIJ109" s="978"/>
      <c r="SIK109" s="978"/>
      <c r="SIL109" s="978"/>
      <c r="SIM109" s="978"/>
      <c r="SIN109" s="978"/>
      <c r="SIO109" s="978"/>
      <c r="SIP109" s="978"/>
      <c r="SIQ109" s="978"/>
      <c r="SIR109" s="978"/>
      <c r="SIS109" s="978"/>
      <c r="SIT109" s="978"/>
      <c r="SIU109" s="978"/>
      <c r="SIV109" s="978"/>
      <c r="SIW109" s="978"/>
      <c r="SIX109" s="978"/>
      <c r="SIY109" s="978"/>
      <c r="SIZ109" s="978"/>
      <c r="SJA109" s="978"/>
      <c r="SJB109" s="978"/>
      <c r="SJC109" s="978"/>
      <c r="SJD109" s="978"/>
      <c r="SJE109" s="978"/>
      <c r="SJF109" s="978"/>
      <c r="SJG109" s="978"/>
      <c r="SJH109" s="978"/>
      <c r="SJI109" s="978"/>
      <c r="SJJ109" s="978"/>
      <c r="SJK109" s="978"/>
      <c r="SJL109" s="978"/>
      <c r="SJM109" s="978"/>
      <c r="SJN109" s="978"/>
      <c r="SJO109" s="978"/>
      <c r="SJP109" s="978"/>
      <c r="SJQ109" s="978"/>
      <c r="SJR109" s="978"/>
      <c r="SJS109" s="978"/>
      <c r="SJT109" s="978"/>
      <c r="SJU109" s="978"/>
      <c r="SJV109" s="978"/>
      <c r="SJW109" s="978"/>
      <c r="SJX109" s="978"/>
      <c r="SJY109" s="978"/>
      <c r="SJZ109" s="978"/>
      <c r="SKA109" s="978"/>
      <c r="SKB109" s="978"/>
      <c r="SKC109" s="978"/>
      <c r="SKD109" s="978"/>
      <c r="SKE109" s="978"/>
      <c r="SKF109" s="978"/>
      <c r="SKG109" s="978"/>
      <c r="SKH109" s="978"/>
      <c r="SKI109" s="978"/>
      <c r="SKJ109" s="978"/>
      <c r="SKK109" s="978"/>
      <c r="SKL109" s="978"/>
      <c r="SKM109" s="978"/>
      <c r="SKN109" s="978"/>
      <c r="SKO109" s="978"/>
      <c r="SKP109" s="978"/>
      <c r="SKQ109" s="978"/>
      <c r="SKR109" s="978"/>
      <c r="SKS109" s="978"/>
      <c r="SKT109" s="978"/>
      <c r="SKU109" s="978"/>
      <c r="SKV109" s="978"/>
      <c r="SKW109" s="978"/>
      <c r="SKX109" s="978"/>
      <c r="SKY109" s="978"/>
      <c r="SKZ109" s="978"/>
      <c r="SLA109" s="978"/>
      <c r="SLB109" s="978"/>
      <c r="SLC109" s="978"/>
      <c r="SLD109" s="978"/>
      <c r="SLE109" s="978"/>
      <c r="SLF109" s="978"/>
      <c r="SLG109" s="978"/>
      <c r="SLH109" s="978"/>
      <c r="SLI109" s="978"/>
      <c r="SLJ109" s="978"/>
      <c r="SLK109" s="978"/>
      <c r="SLL109" s="978"/>
      <c r="SLM109" s="978"/>
      <c r="SLN109" s="978"/>
      <c r="SLO109" s="978"/>
      <c r="SLP109" s="978"/>
      <c r="SLQ109" s="978"/>
      <c r="SLR109" s="978"/>
      <c r="SLS109" s="978"/>
      <c r="SLT109" s="978"/>
      <c r="SLU109" s="978"/>
      <c r="SLV109" s="978"/>
      <c r="SLW109" s="978"/>
      <c r="SLX109" s="978"/>
      <c r="SLY109" s="978"/>
      <c r="SLZ109" s="978"/>
      <c r="SMA109" s="978"/>
      <c r="SMB109" s="978"/>
      <c r="SMC109" s="978"/>
      <c r="SMD109" s="978"/>
      <c r="SME109" s="978"/>
      <c r="SMF109" s="978"/>
      <c r="SMG109" s="978"/>
      <c r="SMH109" s="978"/>
      <c r="SMI109" s="978"/>
      <c r="SMJ109" s="978"/>
      <c r="SMK109" s="978"/>
      <c r="SML109" s="978"/>
      <c r="SMM109" s="978"/>
      <c r="SMN109" s="978"/>
      <c r="SMO109" s="978"/>
      <c r="SMP109" s="978"/>
      <c r="SMQ109" s="978"/>
      <c r="SMR109" s="978"/>
      <c r="SMS109" s="978"/>
      <c r="SMT109" s="978"/>
      <c r="SMU109" s="978"/>
      <c r="SMV109" s="978"/>
      <c r="SMW109" s="978"/>
      <c r="SMX109" s="978"/>
      <c r="SMY109" s="978"/>
      <c r="SMZ109" s="978"/>
      <c r="SNA109" s="978"/>
      <c r="SNB109" s="978"/>
      <c r="SNC109" s="978"/>
      <c r="SND109" s="978"/>
      <c r="SNE109" s="978"/>
      <c r="SNF109" s="978"/>
      <c r="SNG109" s="978"/>
      <c r="SNH109" s="978"/>
      <c r="SNI109" s="978"/>
      <c r="SNJ109" s="978"/>
      <c r="SNK109" s="978"/>
      <c r="SNL109" s="978"/>
      <c r="SNM109" s="978"/>
      <c r="SNN109" s="978"/>
      <c r="SNO109" s="978"/>
      <c r="SNP109" s="978"/>
      <c r="SNQ109" s="978"/>
      <c r="SNR109" s="978"/>
      <c r="SNS109" s="978"/>
      <c r="SNT109" s="978"/>
      <c r="SNU109" s="978"/>
      <c r="SNV109" s="978"/>
      <c r="SNW109" s="978"/>
      <c r="SNX109" s="978"/>
      <c r="SNY109" s="978"/>
      <c r="SNZ109" s="978"/>
      <c r="SOA109" s="978"/>
      <c r="SOB109" s="978"/>
      <c r="SOC109" s="978"/>
      <c r="SOD109" s="978"/>
      <c r="SOE109" s="978"/>
      <c r="SOF109" s="978"/>
      <c r="SOG109" s="978"/>
      <c r="SOH109" s="978"/>
      <c r="SOI109" s="978"/>
      <c r="SOJ109" s="978"/>
      <c r="SOK109" s="978"/>
      <c r="SOL109" s="978"/>
      <c r="SOM109" s="978"/>
      <c r="SON109" s="978"/>
      <c r="SOO109" s="978"/>
      <c r="SOP109" s="978"/>
      <c r="SOQ109" s="978"/>
      <c r="SOR109" s="978"/>
      <c r="SOS109" s="978"/>
      <c r="SOT109" s="978"/>
      <c r="SOU109" s="978"/>
      <c r="SOV109" s="978"/>
      <c r="SOW109" s="978"/>
      <c r="SOX109" s="978"/>
      <c r="SOY109" s="978"/>
      <c r="SOZ109" s="978"/>
      <c r="SPA109" s="978"/>
      <c r="SPB109" s="978"/>
      <c r="SPC109" s="978"/>
      <c r="SPD109" s="978"/>
      <c r="SPE109" s="978"/>
      <c r="SPF109" s="978"/>
      <c r="SPG109" s="978"/>
      <c r="SPH109" s="978"/>
      <c r="SPI109" s="978"/>
      <c r="SPJ109" s="978"/>
      <c r="SPK109" s="978"/>
      <c r="SPL109" s="978"/>
      <c r="SPM109" s="978"/>
      <c r="SPN109" s="978"/>
      <c r="SPO109" s="978"/>
      <c r="SPP109" s="978"/>
      <c r="SPQ109" s="978"/>
      <c r="SPR109" s="978"/>
      <c r="SPS109" s="978"/>
      <c r="SPT109" s="978"/>
      <c r="SPU109" s="978"/>
      <c r="SPV109" s="978"/>
      <c r="SPW109" s="978"/>
      <c r="SPX109" s="978"/>
      <c r="SPY109" s="978"/>
      <c r="SPZ109" s="978"/>
      <c r="SQA109" s="978"/>
      <c r="SQB109" s="978"/>
      <c r="SQC109" s="978"/>
      <c r="SQD109" s="978"/>
      <c r="SQE109" s="978"/>
      <c r="SQF109" s="978"/>
      <c r="SQG109" s="978"/>
      <c r="SQH109" s="978"/>
      <c r="SQI109" s="978"/>
      <c r="SQJ109" s="978"/>
      <c r="SQK109" s="978"/>
      <c r="SQL109" s="978"/>
      <c r="SQM109" s="978"/>
      <c r="SQN109" s="978"/>
      <c r="SQO109" s="978"/>
      <c r="SQP109" s="978"/>
      <c r="SQQ109" s="978"/>
      <c r="SQR109" s="978"/>
      <c r="SQS109" s="978"/>
      <c r="SQT109" s="978"/>
      <c r="SQU109" s="978"/>
      <c r="SQV109" s="978"/>
      <c r="SQW109" s="978"/>
      <c r="SQX109" s="978"/>
      <c r="SQY109" s="978"/>
      <c r="SQZ109" s="978"/>
      <c r="SRA109" s="978"/>
      <c r="SRB109" s="978"/>
      <c r="SRC109" s="978"/>
      <c r="SRD109" s="978"/>
      <c r="SRE109" s="978"/>
      <c r="SRF109" s="978"/>
      <c r="SRG109" s="978"/>
      <c r="SRH109" s="978"/>
      <c r="SRI109" s="978"/>
      <c r="SRJ109" s="978"/>
      <c r="SRK109" s="978"/>
      <c r="SRL109" s="978"/>
      <c r="SRM109" s="978"/>
      <c r="SRN109" s="978"/>
      <c r="SRO109" s="978"/>
      <c r="SRP109" s="978"/>
      <c r="SRQ109" s="978"/>
      <c r="SRR109" s="978"/>
      <c r="SRS109" s="978"/>
      <c r="SRT109" s="978"/>
      <c r="SRU109" s="978"/>
      <c r="SRV109" s="978"/>
      <c r="SRW109" s="978"/>
      <c r="SRX109" s="978"/>
      <c r="SRY109" s="978"/>
      <c r="SRZ109" s="978"/>
      <c r="SSA109" s="978"/>
      <c r="SSB109" s="978"/>
      <c r="SSC109" s="978"/>
      <c r="SSD109" s="978"/>
      <c r="SSE109" s="978"/>
      <c r="SSF109" s="978"/>
      <c r="SSG109" s="978"/>
      <c r="SSH109" s="978"/>
      <c r="SSI109" s="978"/>
      <c r="SSJ109" s="978"/>
      <c r="SSK109" s="978"/>
      <c r="SSL109" s="978"/>
      <c r="SSM109" s="978"/>
      <c r="SSN109" s="978"/>
      <c r="SSO109" s="978"/>
      <c r="SSP109" s="978"/>
      <c r="SSQ109" s="978"/>
      <c r="SSR109" s="978"/>
      <c r="SSS109" s="978"/>
      <c r="SST109" s="978"/>
      <c r="SSU109" s="978"/>
      <c r="SSV109" s="978"/>
      <c r="SSW109" s="978"/>
      <c r="SSX109" s="978"/>
      <c r="SSY109" s="978"/>
      <c r="SSZ109" s="978"/>
      <c r="STA109" s="978"/>
      <c r="STB109" s="978"/>
      <c r="STC109" s="978"/>
      <c r="STD109" s="978"/>
      <c r="STE109" s="978"/>
      <c r="STF109" s="978"/>
      <c r="STG109" s="978"/>
      <c r="STH109" s="978"/>
      <c r="STI109" s="978"/>
      <c r="STJ109" s="978"/>
      <c r="STK109" s="978"/>
      <c r="STL109" s="978"/>
      <c r="STM109" s="978"/>
      <c r="STN109" s="978"/>
      <c r="STO109" s="978"/>
      <c r="STP109" s="978"/>
      <c r="STQ109" s="978"/>
      <c r="STR109" s="978"/>
      <c r="STS109" s="978"/>
      <c r="STT109" s="978"/>
      <c r="STU109" s="978"/>
      <c r="STV109" s="978"/>
      <c r="STW109" s="978"/>
      <c r="STX109" s="978"/>
      <c r="STY109" s="978"/>
      <c r="STZ109" s="978"/>
      <c r="SUA109" s="978"/>
      <c r="SUB109" s="978"/>
      <c r="SUC109" s="978"/>
      <c r="SUD109" s="978"/>
      <c r="SUE109" s="978"/>
      <c r="SUF109" s="978"/>
      <c r="SUG109" s="978"/>
      <c r="SUH109" s="978"/>
      <c r="SUI109" s="978"/>
      <c r="SUJ109" s="978"/>
      <c r="SUK109" s="978"/>
      <c r="SUL109" s="978"/>
      <c r="SUM109" s="978"/>
      <c r="SUN109" s="978"/>
      <c r="SUO109" s="978"/>
      <c r="SUP109" s="978"/>
      <c r="SUQ109" s="978"/>
      <c r="SUR109" s="978"/>
      <c r="SUS109" s="978"/>
      <c r="SUT109" s="978"/>
      <c r="SUU109" s="978"/>
      <c r="SUV109" s="978"/>
      <c r="SUW109" s="978"/>
      <c r="SUX109" s="978"/>
      <c r="SUY109" s="978"/>
      <c r="SUZ109" s="978"/>
      <c r="SVA109" s="978"/>
      <c r="SVB109" s="978"/>
      <c r="SVC109" s="978"/>
      <c r="SVD109" s="978"/>
      <c r="SVE109" s="978"/>
      <c r="SVF109" s="978"/>
      <c r="SVG109" s="978"/>
      <c r="SVH109" s="978"/>
      <c r="SVI109" s="978"/>
      <c r="SVJ109" s="978"/>
      <c r="SVK109" s="978"/>
      <c r="SVL109" s="978"/>
      <c r="SVM109" s="978"/>
      <c r="SVN109" s="978"/>
      <c r="SVO109" s="978"/>
      <c r="SVP109" s="978"/>
      <c r="SVQ109" s="978"/>
      <c r="SVR109" s="978"/>
      <c r="SVS109" s="978"/>
      <c r="SVT109" s="978"/>
      <c r="SVU109" s="978"/>
      <c r="SVV109" s="978"/>
      <c r="SVW109" s="978"/>
      <c r="SVX109" s="978"/>
      <c r="SVY109" s="978"/>
      <c r="SVZ109" s="978"/>
      <c r="SWA109" s="978"/>
      <c r="SWB109" s="978"/>
      <c r="SWC109" s="978"/>
      <c r="SWD109" s="978"/>
      <c r="SWE109" s="978"/>
      <c r="SWF109" s="978"/>
      <c r="SWG109" s="978"/>
      <c r="SWH109" s="978"/>
      <c r="SWI109" s="978"/>
      <c r="SWJ109" s="978"/>
      <c r="SWK109" s="978"/>
      <c r="SWL109" s="978"/>
      <c r="SWM109" s="978"/>
      <c r="SWN109" s="978"/>
      <c r="SWO109" s="978"/>
      <c r="SWP109" s="978"/>
      <c r="SWQ109" s="978"/>
      <c r="SWR109" s="978"/>
      <c r="SWS109" s="978"/>
      <c r="SWT109" s="978"/>
      <c r="SWU109" s="978"/>
      <c r="SWV109" s="978"/>
      <c r="SWW109" s="978"/>
      <c r="SWX109" s="978"/>
      <c r="SWY109" s="978"/>
      <c r="SWZ109" s="978"/>
      <c r="SXA109" s="978"/>
      <c r="SXB109" s="978"/>
      <c r="SXC109" s="978"/>
      <c r="SXD109" s="978"/>
      <c r="SXE109" s="978"/>
      <c r="SXF109" s="978"/>
      <c r="SXG109" s="978"/>
      <c r="SXH109" s="978"/>
      <c r="SXI109" s="978"/>
      <c r="SXJ109" s="978"/>
      <c r="SXK109" s="978"/>
      <c r="SXL109" s="978"/>
      <c r="SXM109" s="978"/>
      <c r="SXN109" s="978"/>
      <c r="SXO109" s="978"/>
      <c r="SXP109" s="978"/>
      <c r="SXQ109" s="978"/>
      <c r="SXR109" s="978"/>
      <c r="SXS109" s="978"/>
      <c r="SXT109" s="978"/>
      <c r="SXU109" s="978"/>
      <c r="SXV109" s="978"/>
      <c r="SXW109" s="978"/>
      <c r="SXX109" s="978"/>
      <c r="SXY109" s="978"/>
      <c r="SXZ109" s="978"/>
      <c r="SYA109" s="978"/>
      <c r="SYB109" s="978"/>
      <c r="SYC109" s="978"/>
      <c r="SYD109" s="978"/>
      <c r="SYE109" s="978"/>
      <c r="SYF109" s="978"/>
      <c r="SYG109" s="978"/>
      <c r="SYH109" s="978"/>
      <c r="SYI109" s="978"/>
      <c r="SYJ109" s="978"/>
      <c r="SYK109" s="978"/>
      <c r="SYL109" s="978"/>
      <c r="SYM109" s="978"/>
      <c r="SYN109" s="978"/>
      <c r="SYO109" s="978"/>
      <c r="SYP109" s="978"/>
      <c r="SYQ109" s="978"/>
      <c r="SYR109" s="978"/>
      <c r="SYS109" s="978"/>
      <c r="SYT109" s="978"/>
      <c r="SYU109" s="978"/>
      <c r="SYV109" s="978"/>
      <c r="SYW109" s="978"/>
      <c r="SYX109" s="978"/>
      <c r="SYY109" s="978"/>
      <c r="SYZ109" s="978"/>
      <c r="SZA109" s="978"/>
      <c r="SZB109" s="978"/>
      <c r="SZC109" s="978"/>
      <c r="SZD109" s="978"/>
      <c r="SZE109" s="978"/>
      <c r="SZF109" s="978"/>
      <c r="SZG109" s="978"/>
      <c r="SZH109" s="978"/>
      <c r="SZI109" s="978"/>
      <c r="SZJ109" s="978"/>
      <c r="SZK109" s="978"/>
      <c r="SZL109" s="978"/>
      <c r="SZM109" s="978"/>
      <c r="SZN109" s="978"/>
      <c r="SZO109" s="978"/>
      <c r="SZP109" s="978"/>
      <c r="SZQ109" s="978"/>
      <c r="SZR109" s="978"/>
      <c r="SZS109" s="978"/>
      <c r="SZT109" s="978"/>
      <c r="SZU109" s="978"/>
      <c r="SZV109" s="978"/>
      <c r="SZW109" s="978"/>
      <c r="SZX109" s="978"/>
      <c r="SZY109" s="978"/>
      <c r="SZZ109" s="978"/>
      <c r="TAA109" s="978"/>
      <c r="TAB109" s="978"/>
      <c r="TAC109" s="978"/>
      <c r="TAD109" s="978"/>
      <c r="TAE109" s="978"/>
      <c r="TAF109" s="978"/>
      <c r="TAG109" s="978"/>
      <c r="TAH109" s="978"/>
      <c r="TAI109" s="978"/>
      <c r="TAJ109" s="978"/>
      <c r="TAK109" s="978"/>
      <c r="TAL109" s="978"/>
      <c r="TAM109" s="978"/>
      <c r="TAN109" s="978"/>
      <c r="TAO109" s="978"/>
      <c r="TAP109" s="978"/>
      <c r="TAQ109" s="978"/>
      <c r="TAR109" s="978"/>
      <c r="TAS109" s="978"/>
      <c r="TAT109" s="978"/>
      <c r="TAU109" s="978"/>
      <c r="TAV109" s="978"/>
      <c r="TAW109" s="978"/>
      <c r="TAX109" s="978"/>
      <c r="TAY109" s="978"/>
      <c r="TAZ109" s="978"/>
      <c r="TBA109" s="978"/>
      <c r="TBB109" s="978"/>
      <c r="TBC109" s="978"/>
      <c r="TBD109" s="978"/>
      <c r="TBE109" s="978"/>
      <c r="TBF109" s="978"/>
      <c r="TBG109" s="978"/>
      <c r="TBH109" s="978"/>
      <c r="TBI109" s="978"/>
      <c r="TBJ109" s="978"/>
      <c r="TBK109" s="978"/>
      <c r="TBL109" s="978"/>
      <c r="TBM109" s="978"/>
      <c r="TBN109" s="978"/>
      <c r="TBO109" s="978"/>
      <c r="TBP109" s="978"/>
      <c r="TBQ109" s="978"/>
      <c r="TBR109" s="978"/>
      <c r="TBS109" s="978"/>
      <c r="TBT109" s="978"/>
      <c r="TBU109" s="978"/>
      <c r="TBV109" s="978"/>
      <c r="TBW109" s="978"/>
      <c r="TBX109" s="978"/>
      <c r="TBY109" s="978"/>
      <c r="TBZ109" s="978"/>
      <c r="TCA109" s="978"/>
      <c r="TCB109" s="978"/>
      <c r="TCC109" s="978"/>
      <c r="TCD109" s="978"/>
      <c r="TCE109" s="978"/>
      <c r="TCF109" s="978"/>
      <c r="TCG109" s="978"/>
      <c r="TCH109" s="978"/>
      <c r="TCI109" s="978"/>
      <c r="TCJ109" s="978"/>
      <c r="TCK109" s="978"/>
      <c r="TCL109" s="978"/>
      <c r="TCM109" s="978"/>
      <c r="TCN109" s="978"/>
      <c r="TCO109" s="978"/>
      <c r="TCP109" s="978"/>
      <c r="TCQ109" s="978"/>
      <c r="TCR109" s="978"/>
      <c r="TCS109" s="978"/>
      <c r="TCT109" s="978"/>
      <c r="TCU109" s="978"/>
      <c r="TCV109" s="978"/>
      <c r="TCW109" s="978"/>
      <c r="TCX109" s="978"/>
      <c r="TCY109" s="978"/>
      <c r="TCZ109" s="978"/>
      <c r="TDA109" s="978"/>
      <c r="TDB109" s="978"/>
      <c r="TDC109" s="978"/>
      <c r="TDD109" s="978"/>
      <c r="TDE109" s="978"/>
      <c r="TDF109" s="978"/>
      <c r="TDG109" s="978"/>
      <c r="TDH109" s="978"/>
      <c r="TDI109" s="978"/>
      <c r="TDJ109" s="978"/>
      <c r="TDK109" s="978"/>
      <c r="TDL109" s="978"/>
      <c r="TDM109" s="978"/>
      <c r="TDN109" s="978"/>
      <c r="TDO109" s="978"/>
      <c r="TDP109" s="978"/>
      <c r="TDQ109" s="978"/>
      <c r="TDR109" s="978"/>
      <c r="TDS109" s="978"/>
      <c r="TDT109" s="978"/>
      <c r="TDU109" s="978"/>
      <c r="TDV109" s="978"/>
      <c r="TDW109" s="978"/>
      <c r="TDX109" s="978"/>
      <c r="TDY109" s="978"/>
      <c r="TDZ109" s="978"/>
      <c r="TEA109" s="978"/>
      <c r="TEB109" s="978"/>
      <c r="TEC109" s="978"/>
      <c r="TED109" s="978"/>
      <c r="TEE109" s="978"/>
      <c r="TEF109" s="978"/>
      <c r="TEG109" s="978"/>
      <c r="TEH109" s="978"/>
      <c r="TEI109" s="978"/>
      <c r="TEJ109" s="978"/>
      <c r="TEK109" s="978"/>
      <c r="TEL109" s="978"/>
      <c r="TEM109" s="978"/>
      <c r="TEN109" s="978"/>
      <c r="TEO109" s="978"/>
      <c r="TEP109" s="978"/>
      <c r="TEQ109" s="978"/>
      <c r="TER109" s="978"/>
      <c r="TES109" s="978"/>
      <c r="TET109" s="978"/>
      <c r="TEU109" s="978"/>
      <c r="TEV109" s="978"/>
      <c r="TEW109" s="978"/>
      <c r="TEX109" s="978"/>
      <c r="TEY109" s="978"/>
      <c r="TEZ109" s="978"/>
      <c r="TFA109" s="978"/>
      <c r="TFB109" s="978"/>
      <c r="TFC109" s="978"/>
      <c r="TFD109" s="978"/>
      <c r="TFE109" s="978"/>
      <c r="TFF109" s="978"/>
      <c r="TFG109" s="978"/>
      <c r="TFH109" s="978"/>
      <c r="TFI109" s="978"/>
      <c r="TFJ109" s="978"/>
      <c r="TFK109" s="978"/>
      <c r="TFL109" s="978"/>
      <c r="TFM109" s="978"/>
      <c r="TFN109" s="978"/>
      <c r="TFO109" s="978"/>
      <c r="TFP109" s="978"/>
      <c r="TFQ109" s="978"/>
      <c r="TFR109" s="978"/>
      <c r="TFS109" s="978"/>
      <c r="TFT109" s="978"/>
      <c r="TFU109" s="978"/>
      <c r="TFV109" s="978"/>
      <c r="TFW109" s="978"/>
      <c r="TFX109" s="978"/>
      <c r="TFY109" s="978"/>
      <c r="TFZ109" s="978"/>
      <c r="TGA109" s="978"/>
      <c r="TGB109" s="978"/>
      <c r="TGC109" s="978"/>
      <c r="TGD109" s="978"/>
      <c r="TGE109" s="978"/>
      <c r="TGF109" s="978"/>
      <c r="TGG109" s="978"/>
      <c r="TGH109" s="978"/>
      <c r="TGI109" s="978"/>
      <c r="TGJ109" s="978"/>
      <c r="TGK109" s="978"/>
      <c r="TGL109" s="978"/>
      <c r="TGM109" s="978"/>
      <c r="TGN109" s="978"/>
      <c r="TGO109" s="978"/>
      <c r="TGP109" s="978"/>
      <c r="TGQ109" s="978"/>
      <c r="TGR109" s="978"/>
      <c r="TGS109" s="978"/>
      <c r="TGT109" s="978"/>
      <c r="TGU109" s="978"/>
      <c r="TGV109" s="978"/>
      <c r="TGW109" s="978"/>
      <c r="TGX109" s="978"/>
      <c r="TGY109" s="978"/>
      <c r="TGZ109" s="978"/>
      <c r="THA109" s="978"/>
      <c r="THB109" s="978"/>
      <c r="THC109" s="978"/>
      <c r="THD109" s="978"/>
      <c r="THE109" s="978"/>
      <c r="THF109" s="978"/>
      <c r="THG109" s="978"/>
      <c r="THH109" s="978"/>
      <c r="THI109" s="978"/>
      <c r="THJ109" s="978"/>
      <c r="THK109" s="978"/>
      <c r="THL109" s="978"/>
      <c r="THM109" s="978"/>
      <c r="THN109" s="978"/>
      <c r="THO109" s="978"/>
      <c r="THP109" s="978"/>
      <c r="THQ109" s="978"/>
      <c r="THR109" s="978"/>
      <c r="THS109" s="978"/>
      <c r="THT109" s="978"/>
      <c r="THU109" s="978"/>
      <c r="THV109" s="978"/>
      <c r="THW109" s="978"/>
      <c r="THX109" s="978"/>
      <c r="THY109" s="978"/>
      <c r="THZ109" s="978"/>
      <c r="TIA109" s="978"/>
      <c r="TIB109" s="978"/>
      <c r="TIC109" s="978"/>
      <c r="TID109" s="978"/>
      <c r="TIE109" s="978"/>
      <c r="TIF109" s="978"/>
      <c r="TIG109" s="978"/>
      <c r="TIH109" s="978"/>
      <c r="TII109" s="978"/>
      <c r="TIJ109" s="978"/>
      <c r="TIK109" s="978"/>
      <c r="TIL109" s="978"/>
      <c r="TIM109" s="978"/>
      <c r="TIN109" s="978"/>
      <c r="TIO109" s="978"/>
      <c r="TIP109" s="978"/>
      <c r="TIQ109" s="978"/>
      <c r="TIR109" s="978"/>
      <c r="TIS109" s="978"/>
      <c r="TIT109" s="978"/>
      <c r="TIU109" s="978"/>
      <c r="TIV109" s="978"/>
      <c r="TIW109" s="978"/>
      <c r="TIX109" s="978"/>
      <c r="TIY109" s="978"/>
      <c r="TIZ109" s="978"/>
      <c r="TJA109" s="978"/>
      <c r="TJB109" s="978"/>
      <c r="TJC109" s="978"/>
      <c r="TJD109" s="978"/>
      <c r="TJE109" s="978"/>
      <c r="TJF109" s="978"/>
      <c r="TJG109" s="978"/>
      <c r="TJH109" s="978"/>
      <c r="TJI109" s="978"/>
      <c r="TJJ109" s="978"/>
      <c r="TJK109" s="978"/>
      <c r="TJL109" s="978"/>
      <c r="TJM109" s="978"/>
      <c r="TJN109" s="978"/>
      <c r="TJO109" s="978"/>
      <c r="TJP109" s="978"/>
      <c r="TJQ109" s="978"/>
      <c r="TJR109" s="978"/>
      <c r="TJS109" s="978"/>
      <c r="TJT109" s="978"/>
      <c r="TJU109" s="978"/>
      <c r="TJV109" s="978"/>
      <c r="TJW109" s="978"/>
      <c r="TJX109" s="978"/>
      <c r="TJY109" s="978"/>
      <c r="TJZ109" s="978"/>
      <c r="TKA109" s="978"/>
      <c r="TKB109" s="978"/>
      <c r="TKC109" s="978"/>
      <c r="TKD109" s="978"/>
      <c r="TKE109" s="978"/>
      <c r="TKF109" s="978"/>
      <c r="TKG109" s="978"/>
      <c r="TKH109" s="978"/>
      <c r="TKI109" s="978"/>
      <c r="TKJ109" s="978"/>
      <c r="TKK109" s="978"/>
      <c r="TKL109" s="978"/>
      <c r="TKM109" s="978"/>
      <c r="TKN109" s="978"/>
      <c r="TKO109" s="978"/>
      <c r="TKP109" s="978"/>
      <c r="TKQ109" s="978"/>
      <c r="TKR109" s="978"/>
      <c r="TKS109" s="978"/>
      <c r="TKT109" s="978"/>
      <c r="TKU109" s="978"/>
      <c r="TKV109" s="978"/>
      <c r="TKW109" s="978"/>
      <c r="TKX109" s="978"/>
      <c r="TKY109" s="978"/>
      <c r="TKZ109" s="978"/>
      <c r="TLA109" s="978"/>
      <c r="TLB109" s="978"/>
      <c r="TLC109" s="978"/>
      <c r="TLD109" s="978"/>
      <c r="TLE109" s="978"/>
      <c r="TLF109" s="978"/>
      <c r="TLG109" s="978"/>
      <c r="TLH109" s="978"/>
      <c r="TLI109" s="978"/>
      <c r="TLJ109" s="978"/>
      <c r="TLK109" s="978"/>
      <c r="TLL109" s="978"/>
      <c r="TLM109" s="978"/>
      <c r="TLN109" s="978"/>
      <c r="TLO109" s="978"/>
      <c r="TLP109" s="978"/>
      <c r="TLQ109" s="978"/>
      <c r="TLR109" s="978"/>
      <c r="TLS109" s="978"/>
      <c r="TLT109" s="978"/>
      <c r="TLU109" s="978"/>
      <c r="TLV109" s="978"/>
      <c r="TLW109" s="978"/>
      <c r="TLX109" s="978"/>
      <c r="TLY109" s="978"/>
      <c r="TLZ109" s="978"/>
      <c r="TMA109" s="978"/>
      <c r="TMB109" s="978"/>
      <c r="TMC109" s="978"/>
      <c r="TMD109" s="978"/>
      <c r="TME109" s="978"/>
      <c r="TMF109" s="978"/>
      <c r="TMG109" s="978"/>
      <c r="TMH109" s="978"/>
      <c r="TMI109" s="978"/>
      <c r="TMJ109" s="978"/>
      <c r="TMK109" s="978"/>
      <c r="TML109" s="978"/>
      <c r="TMM109" s="978"/>
      <c r="TMN109" s="978"/>
      <c r="TMO109" s="978"/>
      <c r="TMP109" s="978"/>
      <c r="TMQ109" s="978"/>
      <c r="TMR109" s="978"/>
      <c r="TMS109" s="978"/>
      <c r="TMT109" s="978"/>
      <c r="TMU109" s="978"/>
      <c r="TMV109" s="978"/>
      <c r="TMW109" s="978"/>
      <c r="TMX109" s="978"/>
      <c r="TMY109" s="978"/>
      <c r="TMZ109" s="978"/>
      <c r="TNA109" s="978"/>
      <c r="TNB109" s="978"/>
      <c r="TNC109" s="978"/>
      <c r="TND109" s="978"/>
      <c r="TNE109" s="978"/>
      <c r="TNF109" s="978"/>
      <c r="TNG109" s="978"/>
      <c r="TNH109" s="978"/>
      <c r="TNI109" s="978"/>
      <c r="TNJ109" s="978"/>
      <c r="TNK109" s="978"/>
      <c r="TNL109" s="978"/>
      <c r="TNM109" s="978"/>
      <c r="TNN109" s="978"/>
      <c r="TNO109" s="978"/>
      <c r="TNP109" s="978"/>
      <c r="TNQ109" s="978"/>
      <c r="TNR109" s="978"/>
      <c r="TNS109" s="978"/>
      <c r="TNT109" s="978"/>
      <c r="TNU109" s="978"/>
      <c r="TNV109" s="978"/>
      <c r="TNW109" s="978"/>
      <c r="TNX109" s="978"/>
      <c r="TNY109" s="978"/>
      <c r="TNZ109" s="978"/>
      <c r="TOA109" s="978"/>
      <c r="TOB109" s="978"/>
      <c r="TOC109" s="978"/>
      <c r="TOD109" s="978"/>
      <c r="TOE109" s="978"/>
      <c r="TOF109" s="978"/>
      <c r="TOG109" s="978"/>
      <c r="TOH109" s="978"/>
      <c r="TOI109" s="978"/>
      <c r="TOJ109" s="978"/>
      <c r="TOK109" s="978"/>
      <c r="TOL109" s="978"/>
      <c r="TOM109" s="978"/>
      <c r="TON109" s="978"/>
      <c r="TOO109" s="978"/>
      <c r="TOP109" s="978"/>
      <c r="TOQ109" s="978"/>
      <c r="TOR109" s="978"/>
      <c r="TOS109" s="978"/>
      <c r="TOT109" s="978"/>
      <c r="TOU109" s="978"/>
      <c r="TOV109" s="978"/>
      <c r="TOW109" s="978"/>
      <c r="TOX109" s="978"/>
      <c r="TOY109" s="978"/>
      <c r="TOZ109" s="978"/>
      <c r="TPA109" s="978"/>
      <c r="TPB109" s="978"/>
      <c r="TPC109" s="978"/>
      <c r="TPD109" s="978"/>
      <c r="TPE109" s="978"/>
      <c r="TPF109" s="978"/>
      <c r="TPG109" s="978"/>
      <c r="TPH109" s="978"/>
      <c r="TPI109" s="978"/>
      <c r="TPJ109" s="978"/>
      <c r="TPK109" s="978"/>
      <c r="TPL109" s="978"/>
      <c r="TPM109" s="978"/>
      <c r="TPN109" s="978"/>
      <c r="TPO109" s="978"/>
      <c r="TPP109" s="978"/>
      <c r="TPQ109" s="978"/>
      <c r="TPR109" s="978"/>
      <c r="TPS109" s="978"/>
      <c r="TPT109" s="978"/>
      <c r="TPU109" s="978"/>
      <c r="TPV109" s="978"/>
      <c r="TPW109" s="978"/>
      <c r="TPX109" s="978"/>
      <c r="TPY109" s="978"/>
      <c r="TPZ109" s="978"/>
      <c r="TQA109" s="978"/>
      <c r="TQB109" s="978"/>
      <c r="TQC109" s="978"/>
      <c r="TQD109" s="978"/>
      <c r="TQE109" s="978"/>
      <c r="TQF109" s="978"/>
      <c r="TQG109" s="978"/>
      <c r="TQH109" s="978"/>
      <c r="TQI109" s="978"/>
      <c r="TQJ109" s="978"/>
      <c r="TQK109" s="978"/>
      <c r="TQL109" s="978"/>
      <c r="TQM109" s="978"/>
      <c r="TQN109" s="978"/>
      <c r="TQO109" s="978"/>
      <c r="TQP109" s="978"/>
      <c r="TQQ109" s="978"/>
      <c r="TQR109" s="978"/>
      <c r="TQS109" s="978"/>
      <c r="TQT109" s="978"/>
      <c r="TQU109" s="978"/>
      <c r="TQV109" s="978"/>
      <c r="TQW109" s="978"/>
      <c r="TQX109" s="978"/>
      <c r="TQY109" s="978"/>
      <c r="TQZ109" s="978"/>
      <c r="TRA109" s="978"/>
      <c r="TRB109" s="978"/>
      <c r="TRC109" s="978"/>
      <c r="TRD109" s="978"/>
      <c r="TRE109" s="978"/>
      <c r="TRF109" s="978"/>
      <c r="TRG109" s="978"/>
      <c r="TRH109" s="978"/>
      <c r="TRI109" s="978"/>
      <c r="TRJ109" s="978"/>
      <c r="TRK109" s="978"/>
      <c r="TRL109" s="978"/>
      <c r="TRM109" s="978"/>
      <c r="TRN109" s="978"/>
      <c r="TRO109" s="978"/>
      <c r="TRP109" s="978"/>
      <c r="TRQ109" s="978"/>
      <c r="TRR109" s="978"/>
      <c r="TRS109" s="978"/>
      <c r="TRT109" s="978"/>
      <c r="TRU109" s="978"/>
      <c r="TRV109" s="978"/>
      <c r="TRW109" s="978"/>
      <c r="TRX109" s="978"/>
      <c r="TRY109" s="978"/>
      <c r="TRZ109" s="978"/>
      <c r="TSA109" s="978"/>
      <c r="TSB109" s="978"/>
      <c r="TSC109" s="978"/>
      <c r="TSD109" s="978"/>
      <c r="TSE109" s="978"/>
      <c r="TSF109" s="978"/>
      <c r="TSG109" s="978"/>
      <c r="TSH109" s="978"/>
      <c r="TSI109" s="978"/>
      <c r="TSJ109" s="978"/>
      <c r="TSK109" s="978"/>
      <c r="TSL109" s="978"/>
      <c r="TSM109" s="978"/>
      <c r="TSN109" s="978"/>
      <c r="TSO109" s="978"/>
      <c r="TSP109" s="978"/>
      <c r="TSQ109" s="978"/>
      <c r="TSR109" s="978"/>
      <c r="TSS109" s="978"/>
      <c r="TST109" s="978"/>
      <c r="TSU109" s="978"/>
      <c r="TSV109" s="978"/>
      <c r="TSW109" s="978"/>
      <c r="TSX109" s="978"/>
      <c r="TSY109" s="978"/>
      <c r="TSZ109" s="978"/>
      <c r="TTA109" s="978"/>
      <c r="TTB109" s="978"/>
      <c r="TTC109" s="978"/>
      <c r="TTD109" s="978"/>
      <c r="TTE109" s="978"/>
      <c r="TTF109" s="978"/>
      <c r="TTG109" s="978"/>
      <c r="TTH109" s="978"/>
      <c r="TTI109" s="978"/>
      <c r="TTJ109" s="978"/>
      <c r="TTK109" s="978"/>
      <c r="TTL109" s="978"/>
      <c r="TTM109" s="978"/>
      <c r="TTN109" s="978"/>
      <c r="TTO109" s="978"/>
      <c r="TTP109" s="978"/>
      <c r="TTQ109" s="978"/>
      <c r="TTR109" s="978"/>
      <c r="TTS109" s="978"/>
      <c r="TTT109" s="978"/>
      <c r="TTU109" s="978"/>
      <c r="TTV109" s="978"/>
      <c r="TTW109" s="978"/>
      <c r="TTX109" s="978"/>
      <c r="TTY109" s="978"/>
      <c r="TTZ109" s="978"/>
      <c r="TUA109" s="978"/>
      <c r="TUB109" s="978"/>
      <c r="TUC109" s="978"/>
      <c r="TUD109" s="978"/>
      <c r="TUE109" s="978"/>
      <c r="TUF109" s="978"/>
      <c r="TUG109" s="978"/>
      <c r="TUH109" s="978"/>
      <c r="TUI109" s="978"/>
      <c r="TUJ109" s="978"/>
      <c r="TUK109" s="978"/>
      <c r="TUL109" s="978"/>
      <c r="TUM109" s="978"/>
      <c r="TUN109" s="978"/>
      <c r="TUO109" s="978"/>
      <c r="TUP109" s="978"/>
      <c r="TUQ109" s="978"/>
      <c r="TUR109" s="978"/>
      <c r="TUS109" s="978"/>
      <c r="TUT109" s="978"/>
      <c r="TUU109" s="978"/>
      <c r="TUV109" s="978"/>
      <c r="TUW109" s="978"/>
      <c r="TUX109" s="978"/>
      <c r="TUY109" s="978"/>
      <c r="TUZ109" s="978"/>
      <c r="TVA109" s="978"/>
      <c r="TVB109" s="978"/>
      <c r="TVC109" s="978"/>
      <c r="TVD109" s="978"/>
      <c r="TVE109" s="978"/>
      <c r="TVF109" s="978"/>
      <c r="TVG109" s="978"/>
      <c r="TVH109" s="978"/>
      <c r="TVI109" s="978"/>
      <c r="TVJ109" s="978"/>
      <c r="TVK109" s="978"/>
      <c r="TVL109" s="978"/>
      <c r="TVM109" s="978"/>
      <c r="TVN109" s="978"/>
      <c r="TVO109" s="978"/>
      <c r="TVP109" s="978"/>
      <c r="TVQ109" s="978"/>
      <c r="TVR109" s="978"/>
      <c r="TVS109" s="978"/>
      <c r="TVT109" s="978"/>
      <c r="TVU109" s="978"/>
      <c r="TVV109" s="978"/>
      <c r="TVW109" s="978"/>
      <c r="TVX109" s="978"/>
      <c r="TVY109" s="978"/>
      <c r="TVZ109" s="978"/>
      <c r="TWA109" s="978"/>
      <c r="TWB109" s="978"/>
      <c r="TWC109" s="978"/>
      <c r="TWD109" s="978"/>
      <c r="TWE109" s="978"/>
      <c r="TWF109" s="978"/>
      <c r="TWG109" s="978"/>
      <c r="TWH109" s="978"/>
      <c r="TWI109" s="978"/>
      <c r="TWJ109" s="978"/>
      <c r="TWK109" s="978"/>
      <c r="TWL109" s="978"/>
      <c r="TWM109" s="978"/>
      <c r="TWN109" s="978"/>
      <c r="TWO109" s="978"/>
      <c r="TWP109" s="978"/>
      <c r="TWQ109" s="978"/>
      <c r="TWR109" s="978"/>
      <c r="TWS109" s="978"/>
      <c r="TWT109" s="978"/>
      <c r="TWU109" s="978"/>
      <c r="TWV109" s="978"/>
      <c r="TWW109" s="978"/>
      <c r="TWX109" s="978"/>
      <c r="TWY109" s="978"/>
      <c r="TWZ109" s="978"/>
      <c r="TXA109" s="978"/>
      <c r="TXB109" s="978"/>
      <c r="TXC109" s="978"/>
      <c r="TXD109" s="978"/>
      <c r="TXE109" s="978"/>
      <c r="TXF109" s="978"/>
      <c r="TXG109" s="978"/>
      <c r="TXH109" s="978"/>
      <c r="TXI109" s="978"/>
      <c r="TXJ109" s="978"/>
      <c r="TXK109" s="978"/>
      <c r="TXL109" s="978"/>
      <c r="TXM109" s="978"/>
      <c r="TXN109" s="978"/>
      <c r="TXO109" s="978"/>
      <c r="TXP109" s="978"/>
      <c r="TXQ109" s="978"/>
      <c r="TXR109" s="978"/>
      <c r="TXS109" s="978"/>
      <c r="TXT109" s="978"/>
      <c r="TXU109" s="978"/>
      <c r="TXV109" s="978"/>
      <c r="TXW109" s="978"/>
      <c r="TXX109" s="978"/>
      <c r="TXY109" s="978"/>
      <c r="TXZ109" s="978"/>
      <c r="TYA109" s="978"/>
      <c r="TYB109" s="978"/>
      <c r="TYC109" s="978"/>
      <c r="TYD109" s="978"/>
      <c r="TYE109" s="978"/>
      <c r="TYF109" s="978"/>
      <c r="TYG109" s="978"/>
      <c r="TYH109" s="978"/>
      <c r="TYI109" s="978"/>
      <c r="TYJ109" s="978"/>
      <c r="TYK109" s="978"/>
      <c r="TYL109" s="978"/>
      <c r="TYM109" s="978"/>
      <c r="TYN109" s="978"/>
      <c r="TYO109" s="978"/>
      <c r="TYP109" s="978"/>
      <c r="TYQ109" s="978"/>
      <c r="TYR109" s="978"/>
      <c r="TYS109" s="978"/>
      <c r="TYT109" s="978"/>
      <c r="TYU109" s="978"/>
      <c r="TYV109" s="978"/>
      <c r="TYW109" s="978"/>
      <c r="TYX109" s="978"/>
      <c r="TYY109" s="978"/>
      <c r="TYZ109" s="978"/>
      <c r="TZA109" s="978"/>
      <c r="TZB109" s="978"/>
      <c r="TZC109" s="978"/>
      <c r="TZD109" s="978"/>
      <c r="TZE109" s="978"/>
      <c r="TZF109" s="978"/>
      <c r="TZG109" s="978"/>
      <c r="TZH109" s="978"/>
      <c r="TZI109" s="978"/>
      <c r="TZJ109" s="978"/>
      <c r="TZK109" s="978"/>
      <c r="TZL109" s="978"/>
      <c r="TZM109" s="978"/>
      <c r="TZN109" s="978"/>
      <c r="TZO109" s="978"/>
      <c r="TZP109" s="978"/>
      <c r="TZQ109" s="978"/>
      <c r="TZR109" s="978"/>
      <c r="TZS109" s="978"/>
      <c r="TZT109" s="978"/>
      <c r="TZU109" s="978"/>
      <c r="TZV109" s="978"/>
      <c r="TZW109" s="978"/>
      <c r="TZX109" s="978"/>
      <c r="TZY109" s="978"/>
      <c r="TZZ109" s="978"/>
      <c r="UAA109" s="978"/>
      <c r="UAB109" s="978"/>
      <c r="UAC109" s="978"/>
      <c r="UAD109" s="978"/>
      <c r="UAE109" s="978"/>
      <c r="UAF109" s="978"/>
      <c r="UAG109" s="978"/>
      <c r="UAH109" s="978"/>
      <c r="UAI109" s="978"/>
      <c r="UAJ109" s="978"/>
      <c r="UAK109" s="978"/>
      <c r="UAL109" s="978"/>
      <c r="UAM109" s="978"/>
      <c r="UAN109" s="978"/>
      <c r="UAO109" s="978"/>
      <c r="UAP109" s="978"/>
      <c r="UAQ109" s="978"/>
      <c r="UAR109" s="978"/>
      <c r="UAS109" s="978"/>
      <c r="UAT109" s="978"/>
      <c r="UAU109" s="978"/>
      <c r="UAV109" s="978"/>
      <c r="UAW109" s="978"/>
      <c r="UAX109" s="978"/>
      <c r="UAY109" s="978"/>
      <c r="UAZ109" s="978"/>
      <c r="UBA109" s="978"/>
      <c r="UBB109" s="978"/>
      <c r="UBC109" s="978"/>
      <c r="UBD109" s="978"/>
      <c r="UBE109" s="978"/>
      <c r="UBF109" s="978"/>
      <c r="UBG109" s="978"/>
      <c r="UBH109" s="978"/>
      <c r="UBI109" s="978"/>
      <c r="UBJ109" s="978"/>
      <c r="UBK109" s="978"/>
      <c r="UBL109" s="978"/>
      <c r="UBM109" s="978"/>
      <c r="UBN109" s="978"/>
      <c r="UBO109" s="978"/>
      <c r="UBP109" s="978"/>
      <c r="UBQ109" s="978"/>
      <c r="UBR109" s="978"/>
      <c r="UBS109" s="978"/>
      <c r="UBT109" s="978"/>
      <c r="UBU109" s="978"/>
      <c r="UBV109" s="978"/>
      <c r="UBW109" s="978"/>
      <c r="UBX109" s="978"/>
      <c r="UBY109" s="978"/>
      <c r="UBZ109" s="978"/>
      <c r="UCA109" s="978"/>
      <c r="UCB109" s="978"/>
      <c r="UCC109" s="978"/>
      <c r="UCD109" s="978"/>
      <c r="UCE109" s="978"/>
      <c r="UCF109" s="978"/>
      <c r="UCG109" s="978"/>
      <c r="UCH109" s="978"/>
      <c r="UCI109" s="978"/>
      <c r="UCJ109" s="978"/>
      <c r="UCK109" s="978"/>
      <c r="UCL109" s="978"/>
      <c r="UCM109" s="978"/>
      <c r="UCN109" s="978"/>
      <c r="UCO109" s="978"/>
      <c r="UCP109" s="978"/>
      <c r="UCQ109" s="978"/>
      <c r="UCR109" s="978"/>
      <c r="UCS109" s="978"/>
      <c r="UCT109" s="978"/>
      <c r="UCU109" s="978"/>
      <c r="UCV109" s="978"/>
      <c r="UCW109" s="978"/>
      <c r="UCX109" s="978"/>
      <c r="UCY109" s="978"/>
      <c r="UCZ109" s="978"/>
      <c r="UDA109" s="978"/>
      <c r="UDB109" s="978"/>
      <c r="UDC109" s="978"/>
      <c r="UDD109" s="978"/>
      <c r="UDE109" s="978"/>
      <c r="UDF109" s="978"/>
      <c r="UDG109" s="978"/>
      <c r="UDH109" s="978"/>
      <c r="UDI109" s="978"/>
      <c r="UDJ109" s="978"/>
      <c r="UDK109" s="978"/>
      <c r="UDL109" s="978"/>
      <c r="UDM109" s="978"/>
      <c r="UDN109" s="978"/>
      <c r="UDO109" s="978"/>
      <c r="UDP109" s="978"/>
      <c r="UDQ109" s="978"/>
      <c r="UDR109" s="978"/>
      <c r="UDS109" s="978"/>
      <c r="UDT109" s="978"/>
      <c r="UDU109" s="978"/>
      <c r="UDV109" s="978"/>
      <c r="UDW109" s="978"/>
      <c r="UDX109" s="978"/>
      <c r="UDY109" s="978"/>
      <c r="UDZ109" s="978"/>
      <c r="UEA109" s="978"/>
      <c r="UEB109" s="978"/>
      <c r="UEC109" s="978"/>
      <c r="UED109" s="978"/>
      <c r="UEE109" s="978"/>
      <c r="UEF109" s="978"/>
      <c r="UEG109" s="978"/>
      <c r="UEH109" s="978"/>
      <c r="UEI109" s="978"/>
      <c r="UEJ109" s="978"/>
      <c r="UEK109" s="978"/>
      <c r="UEL109" s="978"/>
      <c r="UEM109" s="978"/>
      <c r="UEN109" s="978"/>
      <c r="UEO109" s="978"/>
      <c r="UEP109" s="978"/>
      <c r="UEQ109" s="978"/>
      <c r="UER109" s="978"/>
      <c r="UES109" s="978"/>
      <c r="UET109" s="978"/>
      <c r="UEU109" s="978"/>
      <c r="UEV109" s="978"/>
      <c r="UEW109" s="978"/>
      <c r="UEX109" s="978"/>
      <c r="UEY109" s="978"/>
      <c r="UEZ109" s="978"/>
      <c r="UFA109" s="978"/>
      <c r="UFB109" s="978"/>
      <c r="UFC109" s="978"/>
      <c r="UFD109" s="978"/>
      <c r="UFE109" s="978"/>
      <c r="UFF109" s="978"/>
      <c r="UFG109" s="978"/>
      <c r="UFH109" s="978"/>
      <c r="UFI109" s="978"/>
      <c r="UFJ109" s="978"/>
      <c r="UFK109" s="978"/>
      <c r="UFL109" s="978"/>
      <c r="UFM109" s="978"/>
      <c r="UFN109" s="978"/>
      <c r="UFO109" s="978"/>
      <c r="UFP109" s="978"/>
      <c r="UFQ109" s="978"/>
      <c r="UFR109" s="978"/>
      <c r="UFS109" s="978"/>
      <c r="UFT109" s="978"/>
      <c r="UFU109" s="978"/>
      <c r="UFV109" s="978"/>
      <c r="UFW109" s="978"/>
      <c r="UFX109" s="978"/>
      <c r="UFY109" s="978"/>
      <c r="UFZ109" s="978"/>
      <c r="UGA109" s="978"/>
      <c r="UGB109" s="978"/>
      <c r="UGC109" s="978"/>
      <c r="UGD109" s="978"/>
      <c r="UGE109" s="978"/>
      <c r="UGF109" s="978"/>
      <c r="UGG109" s="978"/>
      <c r="UGH109" s="978"/>
      <c r="UGI109" s="978"/>
      <c r="UGJ109" s="978"/>
      <c r="UGK109" s="978"/>
      <c r="UGL109" s="978"/>
      <c r="UGM109" s="978"/>
      <c r="UGN109" s="978"/>
      <c r="UGO109" s="978"/>
      <c r="UGP109" s="978"/>
      <c r="UGQ109" s="978"/>
      <c r="UGR109" s="978"/>
      <c r="UGS109" s="978"/>
      <c r="UGT109" s="978"/>
      <c r="UGU109" s="978"/>
      <c r="UGV109" s="978"/>
      <c r="UGW109" s="978"/>
      <c r="UGX109" s="978"/>
      <c r="UGY109" s="978"/>
      <c r="UGZ109" s="978"/>
      <c r="UHA109" s="978"/>
      <c r="UHB109" s="978"/>
      <c r="UHC109" s="978"/>
      <c r="UHD109" s="978"/>
      <c r="UHE109" s="978"/>
      <c r="UHF109" s="978"/>
      <c r="UHG109" s="978"/>
      <c r="UHH109" s="978"/>
      <c r="UHI109" s="978"/>
      <c r="UHJ109" s="978"/>
      <c r="UHK109" s="978"/>
      <c r="UHL109" s="978"/>
      <c r="UHM109" s="978"/>
      <c r="UHN109" s="978"/>
      <c r="UHO109" s="978"/>
      <c r="UHP109" s="978"/>
      <c r="UHQ109" s="978"/>
      <c r="UHR109" s="978"/>
      <c r="UHS109" s="978"/>
      <c r="UHT109" s="978"/>
      <c r="UHU109" s="978"/>
      <c r="UHV109" s="978"/>
      <c r="UHW109" s="978"/>
      <c r="UHX109" s="978"/>
      <c r="UHY109" s="978"/>
      <c r="UHZ109" s="978"/>
      <c r="UIA109" s="978"/>
      <c r="UIB109" s="978"/>
      <c r="UIC109" s="978"/>
      <c r="UID109" s="978"/>
      <c r="UIE109" s="978"/>
      <c r="UIF109" s="978"/>
      <c r="UIG109" s="978"/>
      <c r="UIH109" s="978"/>
      <c r="UII109" s="978"/>
      <c r="UIJ109" s="978"/>
      <c r="UIK109" s="978"/>
      <c r="UIL109" s="978"/>
      <c r="UIM109" s="978"/>
      <c r="UIN109" s="978"/>
      <c r="UIO109" s="978"/>
      <c r="UIP109" s="978"/>
      <c r="UIQ109" s="978"/>
      <c r="UIR109" s="978"/>
      <c r="UIS109" s="978"/>
      <c r="UIT109" s="978"/>
      <c r="UIU109" s="978"/>
      <c r="UIV109" s="978"/>
      <c r="UIW109" s="978"/>
      <c r="UIX109" s="978"/>
      <c r="UIY109" s="978"/>
      <c r="UIZ109" s="978"/>
      <c r="UJA109" s="978"/>
      <c r="UJB109" s="978"/>
      <c r="UJC109" s="978"/>
      <c r="UJD109" s="978"/>
      <c r="UJE109" s="978"/>
      <c r="UJF109" s="978"/>
      <c r="UJG109" s="978"/>
      <c r="UJH109" s="978"/>
      <c r="UJI109" s="978"/>
      <c r="UJJ109" s="978"/>
      <c r="UJK109" s="978"/>
      <c r="UJL109" s="978"/>
      <c r="UJM109" s="978"/>
      <c r="UJN109" s="978"/>
      <c r="UJO109" s="978"/>
      <c r="UJP109" s="978"/>
      <c r="UJQ109" s="978"/>
      <c r="UJR109" s="978"/>
      <c r="UJS109" s="978"/>
      <c r="UJT109" s="978"/>
      <c r="UJU109" s="978"/>
      <c r="UJV109" s="978"/>
      <c r="UJW109" s="978"/>
      <c r="UJX109" s="978"/>
      <c r="UJY109" s="978"/>
      <c r="UJZ109" s="978"/>
      <c r="UKA109" s="978"/>
      <c r="UKB109" s="978"/>
      <c r="UKC109" s="978"/>
      <c r="UKD109" s="978"/>
      <c r="UKE109" s="978"/>
      <c r="UKF109" s="978"/>
      <c r="UKG109" s="978"/>
      <c r="UKH109" s="978"/>
      <c r="UKI109" s="978"/>
      <c r="UKJ109" s="978"/>
      <c r="UKK109" s="978"/>
      <c r="UKL109" s="978"/>
      <c r="UKM109" s="978"/>
      <c r="UKN109" s="978"/>
      <c r="UKO109" s="978"/>
      <c r="UKP109" s="978"/>
      <c r="UKQ109" s="978"/>
      <c r="UKR109" s="978"/>
      <c r="UKS109" s="978"/>
      <c r="UKT109" s="978"/>
      <c r="UKU109" s="978"/>
      <c r="UKV109" s="978"/>
      <c r="UKW109" s="978"/>
      <c r="UKX109" s="978"/>
      <c r="UKY109" s="978"/>
      <c r="UKZ109" s="978"/>
      <c r="ULA109" s="978"/>
      <c r="ULB109" s="978"/>
      <c r="ULC109" s="978"/>
      <c r="ULD109" s="978"/>
      <c r="ULE109" s="978"/>
      <c r="ULF109" s="978"/>
      <c r="ULG109" s="978"/>
      <c r="ULH109" s="978"/>
      <c r="ULI109" s="978"/>
      <c r="ULJ109" s="978"/>
      <c r="ULK109" s="978"/>
      <c r="ULL109" s="978"/>
      <c r="ULM109" s="978"/>
      <c r="ULN109" s="978"/>
      <c r="ULO109" s="978"/>
      <c r="ULP109" s="978"/>
      <c r="ULQ109" s="978"/>
      <c r="ULR109" s="978"/>
      <c r="ULS109" s="978"/>
      <c r="ULT109" s="978"/>
      <c r="ULU109" s="978"/>
      <c r="ULV109" s="978"/>
      <c r="ULW109" s="978"/>
      <c r="ULX109" s="978"/>
      <c r="ULY109" s="978"/>
      <c r="ULZ109" s="978"/>
      <c r="UMA109" s="978"/>
      <c r="UMB109" s="978"/>
      <c r="UMC109" s="978"/>
      <c r="UMD109" s="978"/>
      <c r="UME109" s="978"/>
      <c r="UMF109" s="978"/>
      <c r="UMG109" s="978"/>
      <c r="UMH109" s="978"/>
      <c r="UMI109" s="978"/>
      <c r="UMJ109" s="978"/>
      <c r="UMK109" s="978"/>
      <c r="UML109" s="978"/>
      <c r="UMM109" s="978"/>
      <c r="UMN109" s="978"/>
      <c r="UMO109" s="978"/>
      <c r="UMP109" s="978"/>
      <c r="UMQ109" s="978"/>
      <c r="UMR109" s="978"/>
      <c r="UMS109" s="978"/>
      <c r="UMT109" s="978"/>
      <c r="UMU109" s="978"/>
      <c r="UMV109" s="978"/>
      <c r="UMW109" s="978"/>
      <c r="UMX109" s="978"/>
      <c r="UMY109" s="978"/>
      <c r="UMZ109" s="978"/>
      <c r="UNA109" s="978"/>
      <c r="UNB109" s="978"/>
      <c r="UNC109" s="978"/>
      <c r="UND109" s="978"/>
      <c r="UNE109" s="978"/>
      <c r="UNF109" s="978"/>
      <c r="UNG109" s="978"/>
      <c r="UNH109" s="978"/>
      <c r="UNI109" s="978"/>
      <c r="UNJ109" s="978"/>
      <c r="UNK109" s="978"/>
      <c r="UNL109" s="978"/>
      <c r="UNM109" s="978"/>
      <c r="UNN109" s="978"/>
      <c r="UNO109" s="978"/>
      <c r="UNP109" s="978"/>
      <c r="UNQ109" s="978"/>
      <c r="UNR109" s="978"/>
      <c r="UNS109" s="978"/>
      <c r="UNT109" s="978"/>
      <c r="UNU109" s="978"/>
      <c r="UNV109" s="978"/>
      <c r="UNW109" s="978"/>
      <c r="UNX109" s="978"/>
      <c r="UNY109" s="978"/>
      <c r="UNZ109" s="978"/>
      <c r="UOA109" s="978"/>
      <c r="UOB109" s="978"/>
      <c r="UOC109" s="978"/>
      <c r="UOD109" s="978"/>
      <c r="UOE109" s="978"/>
      <c r="UOF109" s="978"/>
      <c r="UOG109" s="978"/>
      <c r="UOH109" s="978"/>
      <c r="UOI109" s="978"/>
      <c r="UOJ109" s="978"/>
      <c r="UOK109" s="978"/>
      <c r="UOL109" s="978"/>
      <c r="UOM109" s="978"/>
      <c r="UON109" s="978"/>
      <c r="UOO109" s="978"/>
      <c r="UOP109" s="978"/>
      <c r="UOQ109" s="978"/>
      <c r="UOR109" s="978"/>
      <c r="UOS109" s="978"/>
      <c r="UOT109" s="978"/>
      <c r="UOU109" s="978"/>
      <c r="UOV109" s="978"/>
      <c r="UOW109" s="978"/>
      <c r="UOX109" s="978"/>
      <c r="UOY109" s="978"/>
      <c r="UOZ109" s="978"/>
      <c r="UPA109" s="978"/>
      <c r="UPB109" s="978"/>
      <c r="UPC109" s="978"/>
      <c r="UPD109" s="978"/>
      <c r="UPE109" s="978"/>
      <c r="UPF109" s="978"/>
      <c r="UPG109" s="978"/>
      <c r="UPH109" s="978"/>
      <c r="UPI109" s="978"/>
      <c r="UPJ109" s="978"/>
      <c r="UPK109" s="978"/>
      <c r="UPL109" s="978"/>
      <c r="UPM109" s="978"/>
      <c r="UPN109" s="978"/>
      <c r="UPO109" s="978"/>
      <c r="UPP109" s="978"/>
      <c r="UPQ109" s="978"/>
      <c r="UPR109" s="978"/>
      <c r="UPS109" s="978"/>
      <c r="UPT109" s="978"/>
      <c r="UPU109" s="978"/>
      <c r="UPV109" s="978"/>
      <c r="UPW109" s="978"/>
      <c r="UPX109" s="978"/>
      <c r="UPY109" s="978"/>
      <c r="UPZ109" s="978"/>
      <c r="UQA109" s="978"/>
      <c r="UQB109" s="978"/>
      <c r="UQC109" s="978"/>
      <c r="UQD109" s="978"/>
      <c r="UQE109" s="978"/>
      <c r="UQF109" s="978"/>
      <c r="UQG109" s="978"/>
      <c r="UQH109" s="978"/>
      <c r="UQI109" s="978"/>
      <c r="UQJ109" s="978"/>
      <c r="UQK109" s="978"/>
      <c r="UQL109" s="978"/>
      <c r="UQM109" s="978"/>
      <c r="UQN109" s="978"/>
      <c r="UQO109" s="978"/>
      <c r="UQP109" s="978"/>
      <c r="UQQ109" s="978"/>
      <c r="UQR109" s="978"/>
      <c r="UQS109" s="978"/>
      <c r="UQT109" s="978"/>
      <c r="UQU109" s="978"/>
      <c r="UQV109" s="978"/>
      <c r="UQW109" s="978"/>
      <c r="UQX109" s="978"/>
      <c r="UQY109" s="978"/>
      <c r="UQZ109" s="978"/>
      <c r="URA109" s="978"/>
      <c r="URB109" s="978"/>
      <c r="URC109" s="978"/>
      <c r="URD109" s="978"/>
      <c r="URE109" s="978"/>
      <c r="URF109" s="978"/>
      <c r="URG109" s="978"/>
      <c r="URH109" s="978"/>
      <c r="URI109" s="978"/>
      <c r="URJ109" s="978"/>
      <c r="URK109" s="978"/>
      <c r="URL109" s="978"/>
      <c r="URM109" s="978"/>
      <c r="URN109" s="978"/>
      <c r="URO109" s="978"/>
      <c r="URP109" s="978"/>
      <c r="URQ109" s="978"/>
      <c r="URR109" s="978"/>
      <c r="URS109" s="978"/>
      <c r="URT109" s="978"/>
      <c r="URU109" s="978"/>
      <c r="URV109" s="978"/>
      <c r="URW109" s="978"/>
      <c r="URX109" s="978"/>
      <c r="URY109" s="978"/>
      <c r="URZ109" s="978"/>
      <c r="USA109" s="978"/>
      <c r="USB109" s="978"/>
      <c r="USC109" s="978"/>
      <c r="USD109" s="978"/>
      <c r="USE109" s="978"/>
      <c r="USF109" s="978"/>
      <c r="USG109" s="978"/>
      <c r="USH109" s="978"/>
      <c r="USI109" s="978"/>
      <c r="USJ109" s="978"/>
      <c r="USK109" s="978"/>
      <c r="USL109" s="978"/>
      <c r="USM109" s="978"/>
      <c r="USN109" s="978"/>
      <c r="USO109" s="978"/>
      <c r="USP109" s="978"/>
      <c r="USQ109" s="978"/>
      <c r="USR109" s="978"/>
      <c r="USS109" s="978"/>
      <c r="UST109" s="978"/>
      <c r="USU109" s="978"/>
      <c r="USV109" s="978"/>
      <c r="USW109" s="978"/>
      <c r="USX109" s="978"/>
      <c r="USY109" s="978"/>
      <c r="USZ109" s="978"/>
      <c r="UTA109" s="978"/>
      <c r="UTB109" s="978"/>
      <c r="UTC109" s="978"/>
      <c r="UTD109" s="978"/>
      <c r="UTE109" s="978"/>
      <c r="UTF109" s="978"/>
      <c r="UTG109" s="978"/>
      <c r="UTH109" s="978"/>
      <c r="UTI109" s="978"/>
      <c r="UTJ109" s="978"/>
      <c r="UTK109" s="978"/>
      <c r="UTL109" s="978"/>
      <c r="UTM109" s="978"/>
      <c r="UTN109" s="978"/>
      <c r="UTO109" s="978"/>
      <c r="UTP109" s="978"/>
      <c r="UTQ109" s="978"/>
      <c r="UTR109" s="978"/>
      <c r="UTS109" s="978"/>
      <c r="UTT109" s="978"/>
      <c r="UTU109" s="978"/>
      <c r="UTV109" s="978"/>
      <c r="UTW109" s="978"/>
      <c r="UTX109" s="978"/>
      <c r="UTY109" s="978"/>
      <c r="UTZ109" s="978"/>
      <c r="UUA109" s="978"/>
      <c r="UUB109" s="978"/>
      <c r="UUC109" s="978"/>
      <c r="UUD109" s="978"/>
      <c r="UUE109" s="978"/>
      <c r="UUF109" s="978"/>
      <c r="UUG109" s="978"/>
      <c r="UUH109" s="978"/>
      <c r="UUI109" s="978"/>
      <c r="UUJ109" s="978"/>
      <c r="UUK109" s="978"/>
      <c r="UUL109" s="978"/>
      <c r="UUM109" s="978"/>
      <c r="UUN109" s="978"/>
      <c r="UUO109" s="978"/>
      <c r="UUP109" s="978"/>
      <c r="UUQ109" s="978"/>
      <c r="UUR109" s="978"/>
      <c r="UUS109" s="978"/>
      <c r="UUT109" s="978"/>
      <c r="UUU109" s="978"/>
      <c r="UUV109" s="978"/>
      <c r="UUW109" s="978"/>
      <c r="UUX109" s="978"/>
      <c r="UUY109" s="978"/>
      <c r="UUZ109" s="978"/>
      <c r="UVA109" s="978"/>
      <c r="UVB109" s="978"/>
      <c r="UVC109" s="978"/>
      <c r="UVD109" s="978"/>
      <c r="UVE109" s="978"/>
      <c r="UVF109" s="978"/>
      <c r="UVG109" s="978"/>
      <c r="UVH109" s="978"/>
      <c r="UVI109" s="978"/>
      <c r="UVJ109" s="978"/>
      <c r="UVK109" s="978"/>
      <c r="UVL109" s="978"/>
      <c r="UVM109" s="978"/>
      <c r="UVN109" s="978"/>
      <c r="UVO109" s="978"/>
      <c r="UVP109" s="978"/>
      <c r="UVQ109" s="978"/>
      <c r="UVR109" s="978"/>
      <c r="UVS109" s="978"/>
      <c r="UVT109" s="978"/>
      <c r="UVU109" s="978"/>
      <c r="UVV109" s="978"/>
      <c r="UVW109" s="978"/>
      <c r="UVX109" s="978"/>
      <c r="UVY109" s="978"/>
      <c r="UVZ109" s="978"/>
      <c r="UWA109" s="978"/>
      <c r="UWB109" s="978"/>
      <c r="UWC109" s="978"/>
      <c r="UWD109" s="978"/>
      <c r="UWE109" s="978"/>
      <c r="UWF109" s="978"/>
      <c r="UWG109" s="978"/>
      <c r="UWH109" s="978"/>
      <c r="UWI109" s="978"/>
      <c r="UWJ109" s="978"/>
      <c r="UWK109" s="978"/>
      <c r="UWL109" s="978"/>
      <c r="UWM109" s="978"/>
      <c r="UWN109" s="978"/>
      <c r="UWO109" s="978"/>
      <c r="UWP109" s="978"/>
      <c r="UWQ109" s="978"/>
      <c r="UWR109" s="978"/>
      <c r="UWS109" s="978"/>
      <c r="UWT109" s="978"/>
      <c r="UWU109" s="978"/>
      <c r="UWV109" s="978"/>
      <c r="UWW109" s="978"/>
      <c r="UWX109" s="978"/>
      <c r="UWY109" s="978"/>
      <c r="UWZ109" s="978"/>
      <c r="UXA109" s="978"/>
      <c r="UXB109" s="978"/>
      <c r="UXC109" s="978"/>
      <c r="UXD109" s="978"/>
      <c r="UXE109" s="978"/>
      <c r="UXF109" s="978"/>
      <c r="UXG109" s="978"/>
      <c r="UXH109" s="978"/>
      <c r="UXI109" s="978"/>
      <c r="UXJ109" s="978"/>
      <c r="UXK109" s="978"/>
      <c r="UXL109" s="978"/>
      <c r="UXM109" s="978"/>
      <c r="UXN109" s="978"/>
      <c r="UXO109" s="978"/>
      <c r="UXP109" s="978"/>
      <c r="UXQ109" s="978"/>
      <c r="UXR109" s="978"/>
      <c r="UXS109" s="978"/>
      <c r="UXT109" s="978"/>
      <c r="UXU109" s="978"/>
      <c r="UXV109" s="978"/>
      <c r="UXW109" s="978"/>
      <c r="UXX109" s="978"/>
      <c r="UXY109" s="978"/>
      <c r="UXZ109" s="978"/>
      <c r="UYA109" s="978"/>
      <c r="UYB109" s="978"/>
      <c r="UYC109" s="978"/>
      <c r="UYD109" s="978"/>
      <c r="UYE109" s="978"/>
      <c r="UYF109" s="978"/>
      <c r="UYG109" s="978"/>
      <c r="UYH109" s="978"/>
      <c r="UYI109" s="978"/>
      <c r="UYJ109" s="978"/>
      <c r="UYK109" s="978"/>
      <c r="UYL109" s="978"/>
      <c r="UYM109" s="978"/>
      <c r="UYN109" s="978"/>
      <c r="UYO109" s="978"/>
      <c r="UYP109" s="978"/>
      <c r="UYQ109" s="978"/>
      <c r="UYR109" s="978"/>
      <c r="UYS109" s="978"/>
      <c r="UYT109" s="978"/>
      <c r="UYU109" s="978"/>
      <c r="UYV109" s="978"/>
      <c r="UYW109" s="978"/>
      <c r="UYX109" s="978"/>
      <c r="UYY109" s="978"/>
      <c r="UYZ109" s="978"/>
      <c r="UZA109" s="978"/>
      <c r="UZB109" s="978"/>
      <c r="UZC109" s="978"/>
      <c r="UZD109" s="978"/>
      <c r="UZE109" s="978"/>
      <c r="UZF109" s="978"/>
      <c r="UZG109" s="978"/>
      <c r="UZH109" s="978"/>
      <c r="UZI109" s="978"/>
      <c r="UZJ109" s="978"/>
      <c r="UZK109" s="978"/>
      <c r="UZL109" s="978"/>
      <c r="UZM109" s="978"/>
      <c r="UZN109" s="978"/>
      <c r="UZO109" s="978"/>
      <c r="UZP109" s="978"/>
      <c r="UZQ109" s="978"/>
      <c r="UZR109" s="978"/>
      <c r="UZS109" s="978"/>
      <c r="UZT109" s="978"/>
      <c r="UZU109" s="978"/>
      <c r="UZV109" s="978"/>
      <c r="UZW109" s="978"/>
      <c r="UZX109" s="978"/>
      <c r="UZY109" s="978"/>
      <c r="UZZ109" s="978"/>
      <c r="VAA109" s="978"/>
      <c r="VAB109" s="978"/>
      <c r="VAC109" s="978"/>
      <c r="VAD109" s="978"/>
      <c r="VAE109" s="978"/>
      <c r="VAF109" s="978"/>
      <c r="VAG109" s="978"/>
      <c r="VAH109" s="978"/>
      <c r="VAI109" s="978"/>
      <c r="VAJ109" s="978"/>
      <c r="VAK109" s="978"/>
      <c r="VAL109" s="978"/>
      <c r="VAM109" s="978"/>
      <c r="VAN109" s="978"/>
      <c r="VAO109" s="978"/>
      <c r="VAP109" s="978"/>
      <c r="VAQ109" s="978"/>
      <c r="VAR109" s="978"/>
      <c r="VAS109" s="978"/>
      <c r="VAT109" s="978"/>
      <c r="VAU109" s="978"/>
      <c r="VAV109" s="978"/>
      <c r="VAW109" s="978"/>
      <c r="VAX109" s="978"/>
      <c r="VAY109" s="978"/>
      <c r="VAZ109" s="978"/>
      <c r="VBA109" s="978"/>
      <c r="VBB109" s="978"/>
      <c r="VBC109" s="978"/>
      <c r="VBD109" s="978"/>
      <c r="VBE109" s="978"/>
      <c r="VBF109" s="978"/>
      <c r="VBG109" s="978"/>
      <c r="VBH109" s="978"/>
      <c r="VBI109" s="978"/>
      <c r="VBJ109" s="978"/>
      <c r="VBK109" s="978"/>
      <c r="VBL109" s="978"/>
      <c r="VBM109" s="978"/>
      <c r="VBN109" s="978"/>
      <c r="VBO109" s="978"/>
      <c r="VBP109" s="978"/>
      <c r="VBQ109" s="978"/>
      <c r="VBR109" s="978"/>
      <c r="VBS109" s="978"/>
      <c r="VBT109" s="978"/>
      <c r="VBU109" s="978"/>
      <c r="VBV109" s="978"/>
      <c r="VBW109" s="978"/>
      <c r="VBX109" s="978"/>
      <c r="VBY109" s="978"/>
      <c r="VBZ109" s="978"/>
      <c r="VCA109" s="978"/>
      <c r="VCB109" s="978"/>
      <c r="VCC109" s="978"/>
      <c r="VCD109" s="978"/>
      <c r="VCE109" s="978"/>
      <c r="VCF109" s="978"/>
      <c r="VCG109" s="978"/>
      <c r="VCH109" s="978"/>
      <c r="VCI109" s="978"/>
      <c r="VCJ109" s="978"/>
      <c r="VCK109" s="978"/>
      <c r="VCL109" s="978"/>
      <c r="VCM109" s="978"/>
      <c r="VCN109" s="978"/>
      <c r="VCO109" s="978"/>
      <c r="VCP109" s="978"/>
      <c r="VCQ109" s="978"/>
      <c r="VCR109" s="978"/>
      <c r="VCS109" s="978"/>
      <c r="VCT109" s="978"/>
      <c r="VCU109" s="978"/>
      <c r="VCV109" s="978"/>
      <c r="VCW109" s="978"/>
      <c r="VCX109" s="978"/>
      <c r="VCY109" s="978"/>
      <c r="VCZ109" s="978"/>
      <c r="VDA109" s="978"/>
      <c r="VDB109" s="978"/>
      <c r="VDC109" s="978"/>
      <c r="VDD109" s="978"/>
      <c r="VDE109" s="978"/>
      <c r="VDF109" s="978"/>
      <c r="VDG109" s="978"/>
      <c r="VDH109" s="978"/>
      <c r="VDI109" s="978"/>
      <c r="VDJ109" s="978"/>
      <c r="VDK109" s="978"/>
      <c r="VDL109" s="978"/>
      <c r="VDM109" s="978"/>
      <c r="VDN109" s="978"/>
      <c r="VDO109" s="978"/>
      <c r="VDP109" s="978"/>
      <c r="VDQ109" s="978"/>
      <c r="VDR109" s="978"/>
      <c r="VDS109" s="978"/>
      <c r="VDT109" s="978"/>
      <c r="VDU109" s="978"/>
      <c r="VDV109" s="978"/>
      <c r="VDW109" s="978"/>
      <c r="VDX109" s="978"/>
      <c r="VDY109" s="978"/>
      <c r="VDZ109" s="978"/>
      <c r="VEA109" s="978"/>
      <c r="VEB109" s="978"/>
      <c r="VEC109" s="978"/>
      <c r="VED109" s="978"/>
      <c r="VEE109" s="978"/>
      <c r="VEF109" s="978"/>
      <c r="VEG109" s="978"/>
      <c r="VEH109" s="978"/>
      <c r="VEI109" s="978"/>
      <c r="VEJ109" s="978"/>
      <c r="VEK109" s="978"/>
      <c r="VEL109" s="978"/>
      <c r="VEM109" s="978"/>
      <c r="VEN109" s="978"/>
      <c r="VEO109" s="978"/>
      <c r="VEP109" s="978"/>
      <c r="VEQ109" s="978"/>
      <c r="VER109" s="978"/>
      <c r="VES109" s="978"/>
      <c r="VET109" s="978"/>
      <c r="VEU109" s="978"/>
      <c r="VEV109" s="978"/>
      <c r="VEW109" s="978"/>
      <c r="VEX109" s="978"/>
      <c r="VEY109" s="978"/>
      <c r="VEZ109" s="978"/>
      <c r="VFA109" s="978"/>
      <c r="VFB109" s="978"/>
      <c r="VFC109" s="978"/>
      <c r="VFD109" s="978"/>
      <c r="VFE109" s="978"/>
      <c r="VFF109" s="978"/>
      <c r="VFG109" s="978"/>
      <c r="VFH109" s="978"/>
      <c r="VFI109" s="978"/>
      <c r="VFJ109" s="978"/>
      <c r="VFK109" s="978"/>
      <c r="VFL109" s="978"/>
      <c r="VFM109" s="978"/>
      <c r="VFN109" s="978"/>
      <c r="VFO109" s="978"/>
      <c r="VFP109" s="978"/>
      <c r="VFQ109" s="978"/>
      <c r="VFR109" s="978"/>
      <c r="VFS109" s="978"/>
      <c r="VFT109" s="978"/>
      <c r="VFU109" s="978"/>
      <c r="VFV109" s="978"/>
      <c r="VFW109" s="978"/>
      <c r="VFX109" s="978"/>
      <c r="VFY109" s="978"/>
      <c r="VFZ109" s="978"/>
      <c r="VGA109" s="978"/>
      <c r="VGB109" s="978"/>
      <c r="VGC109" s="978"/>
      <c r="VGD109" s="978"/>
      <c r="VGE109" s="978"/>
      <c r="VGF109" s="978"/>
      <c r="VGG109" s="978"/>
      <c r="VGH109" s="978"/>
      <c r="VGI109" s="978"/>
      <c r="VGJ109" s="978"/>
      <c r="VGK109" s="978"/>
      <c r="VGL109" s="978"/>
      <c r="VGM109" s="978"/>
      <c r="VGN109" s="978"/>
      <c r="VGO109" s="978"/>
      <c r="VGP109" s="978"/>
      <c r="VGQ109" s="978"/>
      <c r="VGR109" s="978"/>
      <c r="VGS109" s="978"/>
      <c r="VGT109" s="978"/>
      <c r="VGU109" s="978"/>
      <c r="VGV109" s="978"/>
      <c r="VGW109" s="978"/>
      <c r="VGX109" s="978"/>
      <c r="VGY109" s="978"/>
      <c r="VGZ109" s="978"/>
      <c r="VHA109" s="978"/>
      <c r="VHB109" s="978"/>
      <c r="VHC109" s="978"/>
      <c r="VHD109" s="978"/>
      <c r="VHE109" s="978"/>
      <c r="VHF109" s="978"/>
      <c r="VHG109" s="978"/>
      <c r="VHH109" s="978"/>
      <c r="VHI109" s="978"/>
      <c r="VHJ109" s="978"/>
      <c r="VHK109" s="978"/>
      <c r="VHL109" s="978"/>
      <c r="VHM109" s="978"/>
      <c r="VHN109" s="978"/>
      <c r="VHO109" s="978"/>
      <c r="VHP109" s="978"/>
      <c r="VHQ109" s="978"/>
      <c r="VHR109" s="978"/>
      <c r="VHS109" s="978"/>
      <c r="VHT109" s="978"/>
      <c r="VHU109" s="978"/>
      <c r="VHV109" s="978"/>
      <c r="VHW109" s="978"/>
      <c r="VHX109" s="978"/>
      <c r="VHY109" s="978"/>
      <c r="VHZ109" s="978"/>
      <c r="VIA109" s="978"/>
      <c r="VIB109" s="978"/>
      <c r="VIC109" s="978"/>
      <c r="VID109" s="978"/>
      <c r="VIE109" s="978"/>
      <c r="VIF109" s="978"/>
      <c r="VIG109" s="978"/>
      <c r="VIH109" s="978"/>
      <c r="VII109" s="978"/>
      <c r="VIJ109" s="978"/>
      <c r="VIK109" s="978"/>
      <c r="VIL109" s="978"/>
      <c r="VIM109" s="978"/>
      <c r="VIN109" s="978"/>
      <c r="VIO109" s="978"/>
      <c r="VIP109" s="978"/>
      <c r="VIQ109" s="978"/>
      <c r="VIR109" s="978"/>
      <c r="VIS109" s="978"/>
      <c r="VIT109" s="978"/>
      <c r="VIU109" s="978"/>
      <c r="VIV109" s="978"/>
      <c r="VIW109" s="978"/>
      <c r="VIX109" s="978"/>
      <c r="VIY109" s="978"/>
      <c r="VIZ109" s="978"/>
      <c r="VJA109" s="978"/>
      <c r="VJB109" s="978"/>
      <c r="VJC109" s="978"/>
      <c r="VJD109" s="978"/>
      <c r="VJE109" s="978"/>
      <c r="VJF109" s="978"/>
      <c r="VJG109" s="978"/>
      <c r="VJH109" s="978"/>
      <c r="VJI109" s="978"/>
      <c r="VJJ109" s="978"/>
      <c r="VJK109" s="978"/>
      <c r="VJL109" s="978"/>
      <c r="VJM109" s="978"/>
      <c r="VJN109" s="978"/>
      <c r="VJO109" s="978"/>
      <c r="VJP109" s="978"/>
      <c r="VJQ109" s="978"/>
      <c r="VJR109" s="978"/>
      <c r="VJS109" s="978"/>
      <c r="VJT109" s="978"/>
      <c r="VJU109" s="978"/>
      <c r="VJV109" s="978"/>
      <c r="VJW109" s="978"/>
      <c r="VJX109" s="978"/>
      <c r="VJY109" s="978"/>
      <c r="VJZ109" s="978"/>
      <c r="VKA109" s="978"/>
      <c r="VKB109" s="978"/>
      <c r="VKC109" s="978"/>
      <c r="VKD109" s="978"/>
      <c r="VKE109" s="978"/>
      <c r="VKF109" s="978"/>
      <c r="VKG109" s="978"/>
      <c r="VKH109" s="978"/>
      <c r="VKI109" s="978"/>
      <c r="VKJ109" s="978"/>
      <c r="VKK109" s="978"/>
      <c r="VKL109" s="978"/>
      <c r="VKM109" s="978"/>
      <c r="VKN109" s="978"/>
      <c r="VKO109" s="978"/>
      <c r="VKP109" s="978"/>
      <c r="VKQ109" s="978"/>
      <c r="VKR109" s="978"/>
      <c r="VKS109" s="978"/>
      <c r="VKT109" s="978"/>
      <c r="VKU109" s="978"/>
      <c r="VKV109" s="978"/>
      <c r="VKW109" s="978"/>
      <c r="VKX109" s="978"/>
      <c r="VKY109" s="978"/>
      <c r="VKZ109" s="978"/>
      <c r="VLA109" s="978"/>
      <c r="VLB109" s="978"/>
      <c r="VLC109" s="978"/>
      <c r="VLD109" s="978"/>
      <c r="VLE109" s="978"/>
      <c r="VLF109" s="978"/>
      <c r="VLG109" s="978"/>
      <c r="VLH109" s="978"/>
      <c r="VLI109" s="978"/>
      <c r="VLJ109" s="978"/>
      <c r="VLK109" s="978"/>
      <c r="VLL109" s="978"/>
      <c r="VLM109" s="978"/>
      <c r="VLN109" s="978"/>
      <c r="VLO109" s="978"/>
      <c r="VLP109" s="978"/>
      <c r="VLQ109" s="978"/>
      <c r="VLR109" s="978"/>
      <c r="VLS109" s="978"/>
      <c r="VLT109" s="978"/>
      <c r="VLU109" s="978"/>
      <c r="VLV109" s="978"/>
      <c r="VLW109" s="978"/>
      <c r="VLX109" s="978"/>
      <c r="VLY109" s="978"/>
      <c r="VLZ109" s="978"/>
      <c r="VMA109" s="978"/>
      <c r="VMB109" s="978"/>
      <c r="VMC109" s="978"/>
      <c r="VMD109" s="978"/>
      <c r="VME109" s="978"/>
      <c r="VMF109" s="978"/>
      <c r="VMG109" s="978"/>
      <c r="VMH109" s="978"/>
      <c r="VMI109" s="978"/>
      <c r="VMJ109" s="978"/>
      <c r="VMK109" s="978"/>
      <c r="VML109" s="978"/>
      <c r="VMM109" s="978"/>
      <c r="VMN109" s="978"/>
      <c r="VMO109" s="978"/>
      <c r="VMP109" s="978"/>
      <c r="VMQ109" s="978"/>
      <c r="VMR109" s="978"/>
      <c r="VMS109" s="978"/>
      <c r="VMT109" s="978"/>
      <c r="VMU109" s="978"/>
      <c r="VMV109" s="978"/>
      <c r="VMW109" s="978"/>
      <c r="VMX109" s="978"/>
      <c r="VMY109" s="978"/>
      <c r="VMZ109" s="978"/>
      <c r="VNA109" s="978"/>
      <c r="VNB109" s="978"/>
      <c r="VNC109" s="978"/>
      <c r="VND109" s="978"/>
      <c r="VNE109" s="978"/>
      <c r="VNF109" s="978"/>
      <c r="VNG109" s="978"/>
      <c r="VNH109" s="978"/>
      <c r="VNI109" s="978"/>
      <c r="VNJ109" s="978"/>
      <c r="VNK109" s="978"/>
      <c r="VNL109" s="978"/>
      <c r="VNM109" s="978"/>
      <c r="VNN109" s="978"/>
      <c r="VNO109" s="978"/>
      <c r="VNP109" s="978"/>
      <c r="VNQ109" s="978"/>
      <c r="VNR109" s="978"/>
      <c r="VNS109" s="978"/>
      <c r="VNT109" s="978"/>
      <c r="VNU109" s="978"/>
      <c r="VNV109" s="978"/>
      <c r="VNW109" s="978"/>
      <c r="VNX109" s="978"/>
      <c r="VNY109" s="978"/>
      <c r="VNZ109" s="978"/>
      <c r="VOA109" s="978"/>
      <c r="VOB109" s="978"/>
      <c r="VOC109" s="978"/>
      <c r="VOD109" s="978"/>
      <c r="VOE109" s="978"/>
      <c r="VOF109" s="978"/>
      <c r="VOG109" s="978"/>
      <c r="VOH109" s="978"/>
      <c r="VOI109" s="978"/>
      <c r="VOJ109" s="978"/>
      <c r="VOK109" s="978"/>
      <c r="VOL109" s="978"/>
      <c r="VOM109" s="978"/>
      <c r="VON109" s="978"/>
      <c r="VOO109" s="978"/>
      <c r="VOP109" s="978"/>
      <c r="VOQ109" s="978"/>
      <c r="VOR109" s="978"/>
      <c r="VOS109" s="978"/>
      <c r="VOT109" s="978"/>
      <c r="VOU109" s="978"/>
      <c r="VOV109" s="978"/>
      <c r="VOW109" s="978"/>
      <c r="VOX109" s="978"/>
      <c r="VOY109" s="978"/>
      <c r="VOZ109" s="978"/>
      <c r="VPA109" s="978"/>
      <c r="VPB109" s="978"/>
      <c r="VPC109" s="978"/>
      <c r="VPD109" s="978"/>
      <c r="VPE109" s="978"/>
      <c r="VPF109" s="978"/>
      <c r="VPG109" s="978"/>
      <c r="VPH109" s="978"/>
      <c r="VPI109" s="978"/>
      <c r="VPJ109" s="978"/>
      <c r="VPK109" s="978"/>
      <c r="VPL109" s="978"/>
      <c r="VPM109" s="978"/>
      <c r="VPN109" s="978"/>
      <c r="VPO109" s="978"/>
      <c r="VPP109" s="978"/>
      <c r="VPQ109" s="978"/>
      <c r="VPR109" s="978"/>
      <c r="VPS109" s="978"/>
      <c r="VPT109" s="978"/>
      <c r="VPU109" s="978"/>
      <c r="VPV109" s="978"/>
      <c r="VPW109" s="978"/>
      <c r="VPX109" s="978"/>
      <c r="VPY109" s="978"/>
      <c r="VPZ109" s="978"/>
      <c r="VQA109" s="978"/>
      <c r="VQB109" s="978"/>
      <c r="VQC109" s="978"/>
      <c r="VQD109" s="978"/>
      <c r="VQE109" s="978"/>
      <c r="VQF109" s="978"/>
      <c r="VQG109" s="978"/>
      <c r="VQH109" s="978"/>
      <c r="VQI109" s="978"/>
      <c r="VQJ109" s="978"/>
      <c r="VQK109" s="978"/>
      <c r="VQL109" s="978"/>
      <c r="VQM109" s="978"/>
      <c r="VQN109" s="978"/>
      <c r="VQO109" s="978"/>
      <c r="VQP109" s="978"/>
      <c r="VQQ109" s="978"/>
      <c r="VQR109" s="978"/>
      <c r="VQS109" s="978"/>
      <c r="VQT109" s="978"/>
      <c r="VQU109" s="978"/>
      <c r="VQV109" s="978"/>
      <c r="VQW109" s="978"/>
      <c r="VQX109" s="978"/>
      <c r="VQY109" s="978"/>
      <c r="VQZ109" s="978"/>
      <c r="VRA109" s="978"/>
      <c r="VRB109" s="978"/>
      <c r="VRC109" s="978"/>
      <c r="VRD109" s="978"/>
      <c r="VRE109" s="978"/>
      <c r="VRF109" s="978"/>
      <c r="VRG109" s="978"/>
      <c r="VRH109" s="978"/>
      <c r="VRI109" s="978"/>
      <c r="VRJ109" s="978"/>
      <c r="VRK109" s="978"/>
      <c r="VRL109" s="978"/>
      <c r="VRM109" s="978"/>
      <c r="VRN109" s="978"/>
      <c r="VRO109" s="978"/>
      <c r="VRP109" s="978"/>
      <c r="VRQ109" s="978"/>
      <c r="VRR109" s="978"/>
      <c r="VRS109" s="978"/>
      <c r="VRT109" s="978"/>
      <c r="VRU109" s="978"/>
      <c r="VRV109" s="978"/>
      <c r="VRW109" s="978"/>
      <c r="VRX109" s="978"/>
      <c r="VRY109" s="978"/>
      <c r="VRZ109" s="978"/>
      <c r="VSA109" s="978"/>
      <c r="VSB109" s="978"/>
      <c r="VSC109" s="978"/>
      <c r="VSD109" s="978"/>
      <c r="VSE109" s="978"/>
      <c r="VSF109" s="978"/>
      <c r="VSG109" s="978"/>
      <c r="VSH109" s="978"/>
      <c r="VSI109" s="978"/>
      <c r="VSJ109" s="978"/>
      <c r="VSK109" s="978"/>
      <c r="VSL109" s="978"/>
      <c r="VSM109" s="978"/>
      <c r="VSN109" s="978"/>
      <c r="VSO109" s="978"/>
      <c r="VSP109" s="978"/>
      <c r="VSQ109" s="978"/>
      <c r="VSR109" s="978"/>
      <c r="VSS109" s="978"/>
      <c r="VST109" s="978"/>
      <c r="VSU109" s="978"/>
      <c r="VSV109" s="978"/>
      <c r="VSW109" s="978"/>
      <c r="VSX109" s="978"/>
      <c r="VSY109" s="978"/>
      <c r="VSZ109" s="978"/>
      <c r="VTA109" s="978"/>
      <c r="VTB109" s="978"/>
      <c r="VTC109" s="978"/>
      <c r="VTD109" s="978"/>
      <c r="VTE109" s="978"/>
      <c r="VTF109" s="978"/>
      <c r="VTG109" s="978"/>
      <c r="VTH109" s="978"/>
      <c r="VTI109" s="978"/>
      <c r="VTJ109" s="978"/>
      <c r="VTK109" s="978"/>
      <c r="VTL109" s="978"/>
      <c r="VTM109" s="978"/>
      <c r="VTN109" s="978"/>
      <c r="VTO109" s="978"/>
      <c r="VTP109" s="978"/>
      <c r="VTQ109" s="978"/>
      <c r="VTR109" s="978"/>
      <c r="VTS109" s="978"/>
      <c r="VTT109" s="978"/>
      <c r="VTU109" s="978"/>
      <c r="VTV109" s="978"/>
      <c r="VTW109" s="978"/>
      <c r="VTX109" s="978"/>
      <c r="VTY109" s="978"/>
      <c r="VTZ109" s="978"/>
      <c r="VUA109" s="978"/>
      <c r="VUB109" s="978"/>
      <c r="VUC109" s="978"/>
      <c r="VUD109" s="978"/>
      <c r="VUE109" s="978"/>
      <c r="VUF109" s="978"/>
      <c r="VUG109" s="978"/>
      <c r="VUH109" s="978"/>
      <c r="VUI109" s="978"/>
      <c r="VUJ109" s="978"/>
      <c r="VUK109" s="978"/>
      <c r="VUL109" s="978"/>
      <c r="VUM109" s="978"/>
      <c r="VUN109" s="978"/>
      <c r="VUO109" s="978"/>
      <c r="VUP109" s="978"/>
      <c r="VUQ109" s="978"/>
      <c r="VUR109" s="978"/>
      <c r="VUS109" s="978"/>
      <c r="VUT109" s="978"/>
      <c r="VUU109" s="978"/>
      <c r="VUV109" s="978"/>
      <c r="VUW109" s="978"/>
      <c r="VUX109" s="978"/>
      <c r="VUY109" s="978"/>
      <c r="VUZ109" s="978"/>
      <c r="VVA109" s="978"/>
      <c r="VVB109" s="978"/>
      <c r="VVC109" s="978"/>
      <c r="VVD109" s="978"/>
      <c r="VVE109" s="978"/>
      <c r="VVF109" s="978"/>
      <c r="VVG109" s="978"/>
      <c r="VVH109" s="978"/>
      <c r="VVI109" s="978"/>
      <c r="VVJ109" s="978"/>
      <c r="VVK109" s="978"/>
      <c r="VVL109" s="978"/>
      <c r="VVM109" s="978"/>
      <c r="VVN109" s="978"/>
      <c r="VVO109" s="978"/>
      <c r="VVP109" s="978"/>
      <c r="VVQ109" s="978"/>
      <c r="VVR109" s="978"/>
      <c r="VVS109" s="978"/>
      <c r="VVT109" s="978"/>
      <c r="VVU109" s="978"/>
      <c r="VVV109" s="978"/>
      <c r="VVW109" s="978"/>
      <c r="VVX109" s="978"/>
      <c r="VVY109" s="978"/>
      <c r="VVZ109" s="978"/>
      <c r="VWA109" s="978"/>
      <c r="VWB109" s="978"/>
      <c r="VWC109" s="978"/>
      <c r="VWD109" s="978"/>
      <c r="VWE109" s="978"/>
      <c r="VWF109" s="978"/>
      <c r="VWG109" s="978"/>
      <c r="VWH109" s="978"/>
      <c r="VWI109" s="978"/>
      <c r="VWJ109" s="978"/>
      <c r="VWK109" s="978"/>
      <c r="VWL109" s="978"/>
      <c r="VWM109" s="978"/>
      <c r="VWN109" s="978"/>
      <c r="VWO109" s="978"/>
      <c r="VWP109" s="978"/>
      <c r="VWQ109" s="978"/>
      <c r="VWR109" s="978"/>
      <c r="VWS109" s="978"/>
      <c r="VWT109" s="978"/>
      <c r="VWU109" s="978"/>
      <c r="VWV109" s="978"/>
      <c r="VWW109" s="978"/>
      <c r="VWX109" s="978"/>
      <c r="VWY109" s="978"/>
      <c r="VWZ109" s="978"/>
      <c r="VXA109" s="978"/>
      <c r="VXB109" s="978"/>
      <c r="VXC109" s="978"/>
      <c r="VXD109" s="978"/>
      <c r="VXE109" s="978"/>
      <c r="VXF109" s="978"/>
      <c r="VXG109" s="978"/>
      <c r="VXH109" s="978"/>
      <c r="VXI109" s="978"/>
      <c r="VXJ109" s="978"/>
      <c r="VXK109" s="978"/>
      <c r="VXL109" s="978"/>
      <c r="VXM109" s="978"/>
      <c r="VXN109" s="978"/>
      <c r="VXO109" s="978"/>
      <c r="VXP109" s="978"/>
      <c r="VXQ109" s="978"/>
      <c r="VXR109" s="978"/>
      <c r="VXS109" s="978"/>
      <c r="VXT109" s="978"/>
      <c r="VXU109" s="978"/>
      <c r="VXV109" s="978"/>
      <c r="VXW109" s="978"/>
      <c r="VXX109" s="978"/>
      <c r="VXY109" s="978"/>
      <c r="VXZ109" s="978"/>
      <c r="VYA109" s="978"/>
      <c r="VYB109" s="978"/>
      <c r="VYC109" s="978"/>
      <c r="VYD109" s="978"/>
      <c r="VYE109" s="978"/>
      <c r="VYF109" s="978"/>
      <c r="VYG109" s="978"/>
      <c r="VYH109" s="978"/>
      <c r="VYI109" s="978"/>
      <c r="VYJ109" s="978"/>
      <c r="VYK109" s="978"/>
      <c r="VYL109" s="978"/>
      <c r="VYM109" s="978"/>
      <c r="VYN109" s="978"/>
      <c r="VYO109" s="978"/>
      <c r="VYP109" s="978"/>
      <c r="VYQ109" s="978"/>
      <c r="VYR109" s="978"/>
      <c r="VYS109" s="978"/>
      <c r="VYT109" s="978"/>
      <c r="VYU109" s="978"/>
      <c r="VYV109" s="978"/>
      <c r="VYW109" s="978"/>
      <c r="VYX109" s="978"/>
      <c r="VYY109" s="978"/>
      <c r="VYZ109" s="978"/>
      <c r="VZA109" s="978"/>
      <c r="VZB109" s="978"/>
      <c r="VZC109" s="978"/>
      <c r="VZD109" s="978"/>
      <c r="VZE109" s="978"/>
      <c r="VZF109" s="978"/>
      <c r="VZG109" s="978"/>
      <c r="VZH109" s="978"/>
      <c r="VZI109" s="978"/>
      <c r="VZJ109" s="978"/>
      <c r="VZK109" s="978"/>
      <c r="VZL109" s="978"/>
      <c r="VZM109" s="978"/>
      <c r="VZN109" s="978"/>
      <c r="VZO109" s="978"/>
      <c r="VZP109" s="978"/>
      <c r="VZQ109" s="978"/>
      <c r="VZR109" s="978"/>
      <c r="VZS109" s="978"/>
      <c r="VZT109" s="978"/>
      <c r="VZU109" s="978"/>
      <c r="VZV109" s="978"/>
      <c r="VZW109" s="978"/>
      <c r="VZX109" s="978"/>
      <c r="VZY109" s="978"/>
      <c r="VZZ109" s="978"/>
      <c r="WAA109" s="978"/>
      <c r="WAB109" s="978"/>
      <c r="WAC109" s="978"/>
      <c r="WAD109" s="978"/>
      <c r="WAE109" s="978"/>
      <c r="WAF109" s="978"/>
      <c r="WAG109" s="978"/>
      <c r="WAH109" s="978"/>
      <c r="WAI109" s="978"/>
      <c r="WAJ109" s="978"/>
      <c r="WAK109" s="978"/>
      <c r="WAL109" s="978"/>
      <c r="WAM109" s="978"/>
      <c r="WAN109" s="978"/>
      <c r="WAO109" s="978"/>
      <c r="WAP109" s="978"/>
      <c r="WAQ109" s="978"/>
      <c r="WAR109" s="978"/>
      <c r="WAS109" s="978"/>
      <c r="WAT109" s="978"/>
      <c r="WAU109" s="978"/>
      <c r="WAV109" s="978"/>
      <c r="WAW109" s="978"/>
      <c r="WAX109" s="978"/>
      <c r="WAY109" s="978"/>
      <c r="WAZ109" s="978"/>
      <c r="WBA109" s="978"/>
      <c r="WBB109" s="978"/>
      <c r="WBC109" s="978"/>
      <c r="WBD109" s="978"/>
      <c r="WBE109" s="978"/>
      <c r="WBF109" s="978"/>
      <c r="WBG109" s="978"/>
      <c r="WBH109" s="978"/>
      <c r="WBI109" s="978"/>
      <c r="WBJ109" s="978"/>
      <c r="WBK109" s="978"/>
      <c r="WBL109" s="978"/>
      <c r="WBM109" s="978"/>
      <c r="WBN109" s="978"/>
      <c r="WBO109" s="978"/>
      <c r="WBP109" s="978"/>
      <c r="WBQ109" s="978"/>
      <c r="WBR109" s="978"/>
      <c r="WBS109" s="978"/>
      <c r="WBT109" s="978"/>
      <c r="WBU109" s="978"/>
      <c r="WBV109" s="978"/>
      <c r="WBW109" s="978"/>
      <c r="WBX109" s="978"/>
      <c r="WBY109" s="978"/>
      <c r="WBZ109" s="978"/>
      <c r="WCA109" s="978"/>
      <c r="WCB109" s="978"/>
      <c r="WCC109" s="978"/>
      <c r="WCD109" s="978"/>
      <c r="WCE109" s="978"/>
      <c r="WCF109" s="978"/>
      <c r="WCG109" s="978"/>
      <c r="WCH109" s="978"/>
      <c r="WCI109" s="978"/>
      <c r="WCJ109" s="978"/>
      <c r="WCK109" s="978"/>
      <c r="WCL109" s="978"/>
      <c r="WCM109" s="978"/>
      <c r="WCN109" s="978"/>
      <c r="WCO109" s="978"/>
      <c r="WCP109" s="978"/>
      <c r="WCQ109" s="978"/>
      <c r="WCR109" s="978"/>
      <c r="WCS109" s="978"/>
      <c r="WCT109" s="978"/>
      <c r="WCU109" s="978"/>
      <c r="WCV109" s="978"/>
      <c r="WCW109" s="978"/>
      <c r="WCX109" s="978"/>
      <c r="WCY109" s="978"/>
      <c r="WCZ109" s="978"/>
      <c r="WDA109" s="978"/>
      <c r="WDB109" s="978"/>
      <c r="WDC109" s="978"/>
      <c r="WDD109" s="978"/>
      <c r="WDE109" s="978"/>
      <c r="WDF109" s="978"/>
      <c r="WDG109" s="978"/>
      <c r="WDH109" s="978"/>
      <c r="WDI109" s="978"/>
      <c r="WDJ109" s="978"/>
      <c r="WDK109" s="978"/>
      <c r="WDL109" s="978"/>
      <c r="WDM109" s="978"/>
      <c r="WDN109" s="978"/>
      <c r="WDO109" s="978"/>
      <c r="WDP109" s="978"/>
      <c r="WDQ109" s="978"/>
      <c r="WDR109" s="978"/>
      <c r="WDS109" s="978"/>
      <c r="WDT109" s="978"/>
      <c r="WDU109" s="978"/>
      <c r="WDV109" s="978"/>
      <c r="WDW109" s="978"/>
      <c r="WDX109" s="978"/>
      <c r="WDY109" s="978"/>
      <c r="WDZ109" s="978"/>
      <c r="WEA109" s="978"/>
      <c r="WEB109" s="978"/>
      <c r="WEC109" s="978"/>
      <c r="WED109" s="978"/>
      <c r="WEE109" s="978"/>
      <c r="WEF109" s="978"/>
      <c r="WEG109" s="978"/>
      <c r="WEH109" s="978"/>
      <c r="WEI109" s="978"/>
      <c r="WEJ109" s="978"/>
      <c r="WEK109" s="978"/>
      <c r="WEL109" s="978"/>
      <c r="WEM109" s="978"/>
      <c r="WEN109" s="978"/>
      <c r="WEO109" s="978"/>
      <c r="WEP109" s="978"/>
      <c r="WEQ109" s="978"/>
      <c r="WER109" s="978"/>
      <c r="WES109" s="978"/>
      <c r="WET109" s="978"/>
      <c r="WEU109" s="978"/>
      <c r="WEV109" s="978"/>
      <c r="WEW109" s="978"/>
      <c r="WEX109" s="978"/>
      <c r="WEY109" s="978"/>
      <c r="WEZ109" s="978"/>
      <c r="WFA109" s="978"/>
      <c r="WFB109" s="978"/>
      <c r="WFC109" s="978"/>
      <c r="WFD109" s="978"/>
      <c r="WFE109" s="978"/>
      <c r="WFF109" s="978"/>
      <c r="WFG109" s="978"/>
      <c r="WFH109" s="978"/>
      <c r="WFI109" s="978"/>
      <c r="WFJ109" s="978"/>
      <c r="WFK109" s="978"/>
      <c r="WFL109" s="978"/>
      <c r="WFM109" s="978"/>
      <c r="WFN109" s="978"/>
      <c r="WFO109" s="978"/>
      <c r="WFP109" s="978"/>
      <c r="WFQ109" s="978"/>
      <c r="WFR109" s="978"/>
      <c r="WFS109" s="978"/>
      <c r="WFT109" s="978"/>
      <c r="WFU109" s="978"/>
      <c r="WFV109" s="978"/>
      <c r="WFW109" s="978"/>
      <c r="WFX109" s="978"/>
      <c r="WFY109" s="978"/>
      <c r="WFZ109" s="978"/>
      <c r="WGA109" s="978"/>
      <c r="WGB109" s="978"/>
      <c r="WGC109" s="978"/>
      <c r="WGD109" s="978"/>
      <c r="WGE109" s="978"/>
      <c r="WGF109" s="978"/>
      <c r="WGG109" s="978"/>
      <c r="WGH109" s="978"/>
      <c r="WGI109" s="978"/>
      <c r="WGJ109" s="978"/>
      <c r="WGK109" s="978"/>
      <c r="WGL109" s="978"/>
      <c r="WGM109" s="978"/>
      <c r="WGN109" s="978"/>
      <c r="WGO109" s="978"/>
      <c r="WGP109" s="978"/>
      <c r="WGQ109" s="978"/>
      <c r="WGR109" s="978"/>
      <c r="WGS109" s="978"/>
      <c r="WGT109" s="978"/>
      <c r="WGU109" s="978"/>
      <c r="WGV109" s="978"/>
      <c r="WGW109" s="978"/>
      <c r="WGX109" s="978"/>
      <c r="WGY109" s="978"/>
      <c r="WGZ109" s="978"/>
      <c r="WHA109" s="978"/>
      <c r="WHB109" s="978"/>
      <c r="WHC109" s="978"/>
      <c r="WHD109" s="978"/>
      <c r="WHE109" s="978"/>
      <c r="WHF109" s="978"/>
      <c r="WHG109" s="978"/>
      <c r="WHH109" s="978"/>
      <c r="WHI109" s="978"/>
      <c r="WHJ109" s="978"/>
      <c r="WHK109" s="978"/>
      <c r="WHL109" s="978"/>
      <c r="WHM109" s="978"/>
      <c r="WHN109" s="978"/>
      <c r="WHO109" s="978"/>
      <c r="WHP109" s="978"/>
      <c r="WHQ109" s="978"/>
      <c r="WHR109" s="978"/>
      <c r="WHS109" s="978"/>
      <c r="WHT109" s="978"/>
      <c r="WHU109" s="978"/>
      <c r="WHV109" s="978"/>
      <c r="WHW109" s="978"/>
      <c r="WHX109" s="978"/>
      <c r="WHY109" s="978"/>
      <c r="WHZ109" s="978"/>
      <c r="WIA109" s="978"/>
      <c r="WIB109" s="978"/>
      <c r="WIC109" s="978"/>
      <c r="WID109" s="978"/>
      <c r="WIE109" s="978"/>
      <c r="WIF109" s="978"/>
      <c r="WIG109" s="978"/>
      <c r="WIH109" s="978"/>
      <c r="WII109" s="978"/>
      <c r="WIJ109" s="978"/>
      <c r="WIK109" s="978"/>
      <c r="WIL109" s="978"/>
      <c r="WIM109" s="978"/>
      <c r="WIN109" s="978"/>
      <c r="WIO109" s="978"/>
      <c r="WIP109" s="978"/>
      <c r="WIQ109" s="978"/>
      <c r="WIR109" s="978"/>
      <c r="WIS109" s="978"/>
      <c r="WIT109" s="978"/>
      <c r="WIU109" s="978"/>
      <c r="WIV109" s="978"/>
      <c r="WIW109" s="978"/>
      <c r="WIX109" s="978"/>
      <c r="WIY109" s="978"/>
      <c r="WIZ109" s="978"/>
      <c r="WJA109" s="978"/>
      <c r="WJB109" s="978"/>
      <c r="WJC109" s="978"/>
      <c r="WJD109" s="978"/>
      <c r="WJE109" s="978"/>
      <c r="WJF109" s="978"/>
      <c r="WJG109" s="978"/>
      <c r="WJH109" s="978"/>
      <c r="WJI109" s="978"/>
      <c r="WJJ109" s="978"/>
      <c r="WJK109" s="978"/>
      <c r="WJL109" s="978"/>
      <c r="WJM109" s="978"/>
      <c r="WJN109" s="978"/>
      <c r="WJO109" s="978"/>
      <c r="WJP109" s="978"/>
      <c r="WJQ109" s="978"/>
      <c r="WJR109" s="978"/>
      <c r="WJS109" s="978"/>
      <c r="WJT109" s="978"/>
      <c r="WJU109" s="978"/>
      <c r="WJV109" s="978"/>
      <c r="WJW109" s="978"/>
      <c r="WJX109" s="978"/>
      <c r="WJY109" s="978"/>
      <c r="WJZ109" s="978"/>
      <c r="WKA109" s="978"/>
      <c r="WKB109" s="978"/>
      <c r="WKC109" s="978"/>
      <c r="WKD109" s="978"/>
      <c r="WKE109" s="978"/>
      <c r="WKF109" s="978"/>
      <c r="WKG109" s="978"/>
      <c r="WKH109" s="978"/>
      <c r="WKI109" s="978"/>
      <c r="WKJ109" s="978"/>
      <c r="WKK109" s="978"/>
      <c r="WKL109" s="978"/>
      <c r="WKM109" s="978"/>
      <c r="WKN109" s="978"/>
      <c r="WKO109" s="978"/>
      <c r="WKP109" s="978"/>
      <c r="WKQ109" s="978"/>
      <c r="WKR109" s="978"/>
      <c r="WKS109" s="978"/>
      <c r="WKT109" s="978"/>
      <c r="WKU109" s="978"/>
      <c r="WKV109" s="978"/>
      <c r="WKW109" s="978"/>
      <c r="WKX109" s="978"/>
      <c r="WKY109" s="978"/>
      <c r="WKZ109" s="978"/>
      <c r="WLA109" s="978"/>
      <c r="WLB109" s="978"/>
      <c r="WLC109" s="978"/>
      <c r="WLD109" s="978"/>
      <c r="WLE109" s="978"/>
      <c r="WLF109" s="978"/>
      <c r="WLG109" s="978"/>
      <c r="WLH109" s="978"/>
      <c r="WLI109" s="978"/>
      <c r="WLJ109" s="978"/>
      <c r="WLK109" s="978"/>
      <c r="WLL109" s="978"/>
      <c r="WLM109" s="978"/>
      <c r="WLN109" s="978"/>
      <c r="WLO109" s="978"/>
      <c r="WLP109" s="978"/>
      <c r="WLQ109" s="978"/>
      <c r="WLR109" s="978"/>
      <c r="WLS109" s="978"/>
      <c r="WLT109" s="978"/>
      <c r="WLU109" s="978"/>
      <c r="WLV109" s="978"/>
      <c r="WLW109" s="978"/>
      <c r="WLX109" s="978"/>
      <c r="WLY109" s="978"/>
      <c r="WLZ109" s="978"/>
      <c r="WMA109" s="978"/>
      <c r="WMB109" s="978"/>
      <c r="WMC109" s="978"/>
      <c r="WMD109" s="978"/>
      <c r="WME109" s="978"/>
      <c r="WMF109" s="978"/>
      <c r="WMG109" s="978"/>
      <c r="WMH109" s="978"/>
      <c r="WMI109" s="978"/>
      <c r="WMJ109" s="978"/>
      <c r="WMK109" s="978"/>
      <c r="WML109" s="978"/>
      <c r="WMM109" s="978"/>
      <c r="WMN109" s="978"/>
      <c r="WMO109" s="978"/>
      <c r="WMP109" s="978"/>
      <c r="WMQ109" s="978"/>
      <c r="WMR109" s="978"/>
      <c r="WMS109" s="978"/>
      <c r="WMT109" s="978"/>
      <c r="WMU109" s="978"/>
      <c r="WMV109" s="978"/>
      <c r="WMW109" s="978"/>
      <c r="WMX109" s="978"/>
      <c r="WMY109" s="978"/>
      <c r="WMZ109" s="978"/>
      <c r="WNA109" s="978"/>
      <c r="WNB109" s="978"/>
      <c r="WNC109" s="978"/>
      <c r="WND109" s="978"/>
      <c r="WNE109" s="978"/>
      <c r="WNF109" s="978"/>
      <c r="WNG109" s="978"/>
      <c r="WNH109" s="978"/>
      <c r="WNI109" s="978"/>
      <c r="WNJ109" s="978"/>
      <c r="WNK109" s="978"/>
      <c r="WNL109" s="978"/>
      <c r="WNM109" s="978"/>
      <c r="WNN109" s="978"/>
      <c r="WNO109" s="978"/>
      <c r="WNP109" s="978"/>
      <c r="WNQ109" s="978"/>
      <c r="WNR109" s="978"/>
      <c r="WNS109" s="978"/>
      <c r="WNT109" s="978"/>
      <c r="WNU109" s="978"/>
      <c r="WNV109" s="978"/>
      <c r="WNW109" s="978"/>
      <c r="WNX109" s="978"/>
      <c r="WNY109" s="978"/>
      <c r="WNZ109" s="978"/>
      <c r="WOA109" s="978"/>
      <c r="WOB109" s="978"/>
      <c r="WOC109" s="978"/>
      <c r="WOD109" s="978"/>
      <c r="WOE109" s="978"/>
      <c r="WOF109" s="978"/>
      <c r="WOG109" s="978"/>
      <c r="WOH109" s="978"/>
      <c r="WOI109" s="978"/>
      <c r="WOJ109" s="978"/>
      <c r="WOK109" s="978"/>
      <c r="WOL109" s="978"/>
      <c r="WOM109" s="978"/>
      <c r="WON109" s="978"/>
      <c r="WOO109" s="978"/>
      <c r="WOP109" s="978"/>
      <c r="WOQ109" s="978"/>
      <c r="WOR109" s="978"/>
      <c r="WOS109" s="978"/>
      <c r="WOT109" s="978"/>
      <c r="WOU109" s="978"/>
      <c r="WOV109" s="978"/>
      <c r="WOW109" s="978"/>
      <c r="WOX109" s="978"/>
      <c r="WOY109" s="978"/>
      <c r="WOZ109" s="978"/>
      <c r="WPA109" s="978"/>
      <c r="WPB109" s="978"/>
      <c r="WPC109" s="978"/>
      <c r="WPD109" s="978"/>
      <c r="WPE109" s="978"/>
      <c r="WPF109" s="978"/>
      <c r="WPG109" s="978"/>
      <c r="WPH109" s="978"/>
      <c r="WPI109" s="978"/>
      <c r="WPJ109" s="978"/>
      <c r="WPK109" s="978"/>
      <c r="WPL109" s="978"/>
      <c r="WPM109" s="978"/>
      <c r="WPN109" s="978"/>
      <c r="WPO109" s="978"/>
      <c r="WPP109" s="978"/>
      <c r="WPQ109" s="978"/>
      <c r="WPR109" s="978"/>
      <c r="WPS109" s="978"/>
      <c r="WPT109" s="978"/>
      <c r="WPU109" s="978"/>
      <c r="WPV109" s="978"/>
      <c r="WPW109" s="978"/>
      <c r="WPX109" s="978"/>
      <c r="WPY109" s="978"/>
      <c r="WPZ109" s="978"/>
      <c r="WQA109" s="978"/>
      <c r="WQB109" s="978"/>
      <c r="WQC109" s="978"/>
      <c r="WQD109" s="978"/>
      <c r="WQE109" s="978"/>
      <c r="WQF109" s="978"/>
      <c r="WQG109" s="978"/>
      <c r="WQH109" s="978"/>
      <c r="WQI109" s="978"/>
      <c r="WQJ109" s="978"/>
      <c r="WQK109" s="978"/>
      <c r="WQL109" s="978"/>
      <c r="WQM109" s="978"/>
      <c r="WQN109" s="978"/>
      <c r="WQO109" s="978"/>
      <c r="WQP109" s="978"/>
      <c r="WQQ109" s="978"/>
      <c r="WQR109" s="978"/>
      <c r="WQS109" s="978"/>
      <c r="WQT109" s="978"/>
      <c r="WQU109" s="978"/>
      <c r="WQV109" s="978"/>
      <c r="WQW109" s="978"/>
      <c r="WQX109" s="978"/>
      <c r="WQY109" s="978"/>
      <c r="WQZ109" s="978"/>
      <c r="WRA109" s="978"/>
      <c r="WRB109" s="978"/>
      <c r="WRC109" s="978"/>
      <c r="WRD109" s="978"/>
      <c r="WRE109" s="978"/>
      <c r="WRF109" s="978"/>
      <c r="WRG109" s="978"/>
      <c r="WRH109" s="978"/>
      <c r="WRI109" s="978"/>
      <c r="WRJ109" s="978"/>
      <c r="WRK109" s="978"/>
      <c r="WRL109" s="978"/>
      <c r="WRM109" s="978"/>
      <c r="WRN109" s="978"/>
      <c r="WRO109" s="978"/>
      <c r="WRP109" s="978"/>
      <c r="WRQ109" s="978"/>
      <c r="WRR109" s="978"/>
      <c r="WRS109" s="978"/>
      <c r="WRT109" s="978"/>
      <c r="WRU109" s="978"/>
      <c r="WRV109" s="978"/>
      <c r="WRW109" s="978"/>
      <c r="WRX109" s="978"/>
      <c r="WRY109" s="978"/>
      <c r="WRZ109" s="978"/>
      <c r="WSA109" s="978"/>
      <c r="WSB109" s="978"/>
      <c r="WSC109" s="978"/>
      <c r="WSD109" s="978"/>
      <c r="WSE109" s="978"/>
      <c r="WSF109" s="978"/>
      <c r="WSG109" s="978"/>
      <c r="WSH109" s="978"/>
      <c r="WSI109" s="978"/>
      <c r="WSJ109" s="978"/>
      <c r="WSK109" s="978"/>
      <c r="WSL109" s="978"/>
      <c r="WSM109" s="978"/>
      <c r="WSN109" s="978"/>
      <c r="WSO109" s="978"/>
      <c r="WSP109" s="978"/>
      <c r="WSQ109" s="978"/>
      <c r="WSR109" s="978"/>
      <c r="WSS109" s="978"/>
      <c r="WST109" s="978"/>
      <c r="WSU109" s="978"/>
      <c r="WSV109" s="978"/>
      <c r="WSW109" s="978"/>
      <c r="WSX109" s="978"/>
      <c r="WSY109" s="978"/>
      <c r="WSZ109" s="978"/>
      <c r="WTA109" s="978"/>
      <c r="WTB109" s="978"/>
      <c r="WTC109" s="978"/>
      <c r="WTD109" s="978"/>
      <c r="WTE109" s="978"/>
      <c r="WTF109" s="978"/>
      <c r="WTG109" s="978"/>
      <c r="WTH109" s="978"/>
      <c r="WTI109" s="978"/>
      <c r="WTJ109" s="978"/>
      <c r="WTK109" s="978"/>
      <c r="WTL109" s="978"/>
      <c r="WTM109" s="978"/>
      <c r="WTN109" s="978"/>
      <c r="WTO109" s="978"/>
      <c r="WTP109" s="978"/>
      <c r="WTQ109" s="978"/>
      <c r="WTR109" s="978"/>
      <c r="WTS109" s="978"/>
      <c r="WTT109" s="978"/>
      <c r="WTU109" s="978"/>
      <c r="WTV109" s="978"/>
      <c r="WTW109" s="978"/>
      <c r="WTX109" s="978"/>
      <c r="WTY109" s="978"/>
      <c r="WTZ109" s="978"/>
      <c r="WUA109" s="978"/>
      <c r="WUB109" s="978"/>
      <c r="WUC109" s="978"/>
      <c r="WUD109" s="978"/>
      <c r="WUE109" s="978"/>
      <c r="WUF109" s="978"/>
      <c r="WUG109" s="978"/>
      <c r="WUH109" s="978"/>
      <c r="WUI109" s="978"/>
      <c r="WUJ109" s="978"/>
      <c r="WUK109" s="978"/>
      <c r="WUL109" s="978"/>
      <c r="WUM109" s="978"/>
      <c r="WUN109" s="978"/>
      <c r="WUO109" s="978"/>
      <c r="WUP109" s="978"/>
      <c r="WUQ109" s="978"/>
      <c r="WUR109" s="978"/>
      <c r="WUS109" s="978"/>
      <c r="WUT109" s="978"/>
      <c r="WUU109" s="978"/>
      <c r="WUV109" s="978"/>
      <c r="WUW109" s="978"/>
      <c r="WUX109" s="978"/>
      <c r="WUY109" s="978"/>
      <c r="WUZ109" s="978"/>
      <c r="WVA109" s="978"/>
      <c r="WVB109" s="978"/>
      <c r="WVC109" s="978"/>
      <c r="WVD109" s="978"/>
      <c r="WVE109" s="978"/>
      <c r="WVF109" s="978"/>
      <c r="WVG109" s="978"/>
      <c r="WVH109" s="978"/>
      <c r="WVI109" s="978"/>
      <c r="WVJ109" s="978"/>
      <c r="WVK109" s="978"/>
      <c r="WVL109" s="978"/>
      <c r="WVM109" s="978"/>
      <c r="WVN109" s="978"/>
      <c r="WVO109" s="978"/>
      <c r="WVP109" s="978"/>
      <c r="WVQ109" s="978"/>
      <c r="WVR109" s="978"/>
      <c r="WVS109" s="978"/>
      <c r="WVT109" s="978"/>
      <c r="WVU109" s="978"/>
      <c r="WVV109" s="978"/>
      <c r="WVW109" s="978"/>
      <c r="WVX109" s="978"/>
      <c r="WVY109" s="978"/>
      <c r="WVZ109" s="978"/>
      <c r="WWA109" s="978"/>
      <c r="WWB109" s="978"/>
      <c r="WWC109" s="978"/>
      <c r="WWD109" s="978"/>
      <c r="WWE109" s="978"/>
      <c r="WWF109" s="978"/>
      <c r="WWG109" s="978"/>
      <c r="WWH109" s="978"/>
      <c r="WWI109" s="978"/>
      <c r="WWJ109" s="978"/>
      <c r="WWK109" s="978"/>
      <c r="WWL109" s="978"/>
      <c r="WWM109" s="978"/>
      <c r="WWN109" s="978"/>
      <c r="WWO109" s="978"/>
      <c r="WWP109" s="978"/>
      <c r="WWQ109" s="978"/>
      <c r="WWR109" s="978"/>
      <c r="WWS109" s="978"/>
      <c r="WWT109" s="978"/>
      <c r="WWU109" s="978"/>
      <c r="WWV109" s="978"/>
      <c r="WWW109" s="978"/>
      <c r="WWX109" s="978"/>
      <c r="WWY109" s="978"/>
      <c r="WWZ109" s="978"/>
      <c r="WXA109" s="978"/>
      <c r="WXB109" s="978"/>
      <c r="WXC109" s="978"/>
      <c r="WXD109" s="978"/>
      <c r="WXE109" s="978"/>
      <c r="WXF109" s="978"/>
      <c r="WXG109" s="978"/>
      <c r="WXH109" s="978"/>
      <c r="WXI109" s="978"/>
      <c r="WXJ109" s="978"/>
      <c r="WXK109" s="978"/>
      <c r="WXL109" s="978"/>
      <c r="WXM109" s="978"/>
      <c r="WXN109" s="978"/>
      <c r="WXO109" s="978"/>
      <c r="WXP109" s="978"/>
      <c r="WXQ109" s="978"/>
      <c r="WXR109" s="978"/>
      <c r="WXS109" s="978"/>
      <c r="WXT109" s="978"/>
      <c r="WXU109" s="978"/>
      <c r="WXV109" s="978"/>
      <c r="WXW109" s="978"/>
      <c r="WXX109" s="978"/>
      <c r="WXY109" s="978"/>
      <c r="WXZ109" s="978"/>
      <c r="WYA109" s="978"/>
      <c r="WYB109" s="978"/>
      <c r="WYC109" s="978"/>
      <c r="WYD109" s="978"/>
      <c r="WYE109" s="978"/>
      <c r="WYF109" s="978"/>
      <c r="WYG109" s="978"/>
      <c r="WYH109" s="978"/>
      <c r="WYI109" s="978"/>
      <c r="WYJ109" s="978"/>
      <c r="WYK109" s="978"/>
      <c r="WYL109" s="978"/>
      <c r="WYM109" s="978"/>
      <c r="WYN109" s="978"/>
      <c r="WYO109" s="978"/>
      <c r="WYP109" s="978"/>
      <c r="WYQ109" s="978"/>
      <c r="WYR109" s="978"/>
      <c r="WYS109" s="978"/>
      <c r="WYT109" s="978"/>
      <c r="WYU109" s="978"/>
      <c r="WYV109" s="978"/>
      <c r="WYW109" s="978"/>
      <c r="WYX109" s="978"/>
      <c r="WYY109" s="978"/>
      <c r="WYZ109" s="978"/>
      <c r="WZA109" s="978"/>
      <c r="WZB109" s="978"/>
      <c r="WZC109" s="978"/>
      <c r="WZD109" s="978"/>
      <c r="WZE109" s="978"/>
      <c r="WZF109" s="978"/>
      <c r="WZG109" s="978"/>
      <c r="WZH109" s="978"/>
      <c r="WZI109" s="978"/>
      <c r="WZJ109" s="978"/>
      <c r="WZK109" s="978"/>
      <c r="WZL109" s="978"/>
      <c r="WZM109" s="978"/>
      <c r="WZN109" s="978"/>
      <c r="WZO109" s="978"/>
      <c r="WZP109" s="978"/>
      <c r="WZQ109" s="978"/>
      <c r="WZR109" s="978"/>
      <c r="WZS109" s="978"/>
      <c r="WZT109" s="978"/>
      <c r="WZU109" s="978"/>
      <c r="WZV109" s="978"/>
      <c r="WZW109" s="978"/>
      <c r="WZX109" s="978"/>
      <c r="WZY109" s="978"/>
      <c r="WZZ109" s="978"/>
      <c r="XAA109" s="978"/>
      <c r="XAB109" s="978"/>
      <c r="XAC109" s="978"/>
      <c r="XAD109" s="978"/>
      <c r="XAE109" s="978"/>
      <c r="XAF109" s="978"/>
      <c r="XAG109" s="978"/>
      <c r="XAH109" s="978"/>
      <c r="XAI109" s="978"/>
      <c r="XAJ109" s="978"/>
      <c r="XAK109" s="978"/>
      <c r="XAL109" s="978"/>
      <c r="XAM109" s="978"/>
      <c r="XAN109" s="978"/>
      <c r="XAO109" s="978"/>
      <c r="XAP109" s="978"/>
      <c r="XAQ109" s="978"/>
      <c r="XAR109" s="978"/>
      <c r="XAS109" s="978"/>
      <c r="XAT109" s="978"/>
      <c r="XAU109" s="978"/>
      <c r="XAV109" s="978"/>
      <c r="XAW109" s="978"/>
      <c r="XAX109" s="978"/>
      <c r="XAY109" s="978"/>
      <c r="XAZ109" s="978"/>
      <c r="XBA109" s="978"/>
      <c r="XBB109" s="978"/>
      <c r="XBC109" s="978"/>
      <c r="XBD109" s="978"/>
      <c r="XBE109" s="978"/>
      <c r="XBF109" s="978"/>
      <c r="XBG109" s="978"/>
      <c r="XBH109" s="978"/>
      <c r="XBI109" s="978"/>
      <c r="XBJ109" s="978"/>
      <c r="XBK109" s="978"/>
      <c r="XBL109" s="978"/>
      <c r="XBM109" s="978"/>
      <c r="XBN109" s="978"/>
      <c r="XBO109" s="978"/>
      <c r="XBP109" s="978"/>
      <c r="XBQ109" s="978"/>
      <c r="XBR109" s="978"/>
      <c r="XBS109" s="978"/>
      <c r="XBT109" s="978"/>
      <c r="XBU109" s="978"/>
      <c r="XBV109" s="978"/>
      <c r="XBW109" s="978"/>
      <c r="XBX109" s="978"/>
      <c r="XBY109" s="978"/>
      <c r="XBZ109" s="978"/>
      <c r="XCA109" s="978"/>
      <c r="XCB109" s="978"/>
      <c r="XCC109" s="978"/>
      <c r="XCD109" s="978"/>
      <c r="XCE109" s="978"/>
      <c r="XCF109" s="978"/>
      <c r="XCG109" s="978"/>
      <c r="XCH109" s="978"/>
      <c r="XCI109" s="978"/>
      <c r="XCJ109" s="978"/>
      <c r="XCK109" s="978"/>
      <c r="XCL109" s="978"/>
      <c r="XCM109" s="978"/>
      <c r="XCN109" s="978"/>
      <c r="XCO109" s="978"/>
      <c r="XCP109" s="978"/>
      <c r="XCQ109" s="978"/>
      <c r="XCR109" s="978"/>
      <c r="XCS109" s="978"/>
      <c r="XCT109" s="978"/>
      <c r="XCU109" s="978"/>
      <c r="XCV109" s="978"/>
      <c r="XCW109" s="978"/>
      <c r="XCX109" s="978"/>
      <c r="XCY109" s="978"/>
      <c r="XCZ109" s="978"/>
      <c r="XDA109" s="978"/>
      <c r="XDB109" s="978"/>
      <c r="XDC109" s="978"/>
      <c r="XDD109" s="978"/>
      <c r="XDE109" s="978"/>
      <c r="XDF109" s="978"/>
      <c r="XDG109" s="978"/>
      <c r="XDH109" s="978"/>
      <c r="XDI109" s="978"/>
      <c r="XDJ109" s="978"/>
      <c r="XDK109" s="978"/>
      <c r="XDL109" s="978"/>
      <c r="XDM109" s="978"/>
      <c r="XDN109" s="978"/>
      <c r="XDO109" s="978"/>
      <c r="XDP109" s="978"/>
      <c r="XDQ109" s="978"/>
      <c r="XDR109" s="978"/>
      <c r="XDS109" s="978"/>
      <c r="XDT109" s="978"/>
      <c r="XDU109" s="978"/>
      <c r="XDV109" s="978"/>
      <c r="XDW109" s="978"/>
      <c r="XDX109" s="978"/>
      <c r="XDY109" s="978"/>
      <c r="XDZ109" s="978"/>
      <c r="XEA109" s="978"/>
      <c r="XEB109" s="978"/>
      <c r="XEC109" s="978"/>
      <c r="XED109" s="978"/>
      <c r="XEE109" s="978"/>
      <c r="XEF109" s="978"/>
      <c r="XEG109" s="978"/>
      <c r="XEH109" s="978"/>
      <c r="XEI109" s="978"/>
      <c r="XEJ109" s="978"/>
      <c r="XEK109" s="978"/>
      <c r="XEL109" s="978"/>
      <c r="XEM109" s="978"/>
      <c r="XEN109" s="978"/>
      <c r="XEO109" s="978"/>
      <c r="XEP109" s="978"/>
      <c r="XEQ109" s="978"/>
      <c r="XER109" s="978"/>
      <c r="XES109" s="978"/>
      <c r="XET109" s="978"/>
      <c r="XEU109" s="978"/>
      <c r="XEV109" s="978"/>
      <c r="XEW109" s="978"/>
      <c r="XEX109" s="978"/>
      <c r="XEY109" s="978"/>
      <c r="XEZ109" s="978"/>
      <c r="XFA109" s="978"/>
      <c r="XFB109" s="978"/>
      <c r="XFC109" s="978"/>
      <c r="XFD109" s="978"/>
    </row>
    <row r="110" spans="1:16384" x14ac:dyDescent="0.35">
      <c r="D110" s="943" t="s">
        <v>517</v>
      </c>
      <c r="H110" s="982"/>
      <c r="I110" s="982"/>
      <c r="J110" s="982"/>
      <c r="K110" s="982"/>
      <c r="L110" s="982"/>
      <c r="M110" s="982"/>
      <c r="N110" s="982"/>
      <c r="O110" s="982"/>
      <c r="P110" s="982"/>
      <c r="Q110" s="982"/>
      <c r="R110" s="982"/>
      <c r="S110" s="982"/>
      <c r="T110" s="982"/>
      <c r="U110" s="982"/>
      <c r="V110" s="982"/>
      <c r="W110" s="982"/>
      <c r="X110" s="982"/>
      <c r="Y110" s="982"/>
    </row>
    <row r="111" spans="1:16384" x14ac:dyDescent="0.35">
      <c r="D111" s="943" t="s">
        <v>516</v>
      </c>
      <c r="H111" s="982"/>
      <c r="I111" s="982"/>
      <c r="J111" s="982"/>
      <c r="K111" s="982"/>
      <c r="L111" s="982"/>
      <c r="M111" s="982"/>
      <c r="N111" s="982"/>
      <c r="O111" s="982"/>
      <c r="P111" s="982"/>
      <c r="Q111" s="982"/>
      <c r="R111" s="982"/>
      <c r="S111" s="982"/>
      <c r="T111" s="982"/>
      <c r="U111" s="982">
        <v>-535803.63</v>
      </c>
      <c r="V111" s="982">
        <v>-535803.63</v>
      </c>
      <c r="W111" s="982">
        <v>-535803.63</v>
      </c>
      <c r="X111" s="982">
        <v>-535803.63</v>
      </c>
      <c r="Y111" s="982">
        <v>-535803.63</v>
      </c>
      <c r="Z111" s="908">
        <v>-535803.63</v>
      </c>
      <c r="AA111" s="908">
        <v>-535803.63</v>
      </c>
      <c r="AB111" s="908">
        <v>-535803.63</v>
      </c>
      <c r="AC111" s="908">
        <v>-535803.63</v>
      </c>
      <c r="AD111" s="908">
        <v>-535803.63</v>
      </c>
      <c r="AE111" s="908">
        <v>-535803.63</v>
      </c>
      <c r="AF111" s="908">
        <v>-535803.63</v>
      </c>
      <c r="AG111" s="908">
        <v>-535803.63</v>
      </c>
    </row>
    <row r="112" spans="1:16384" x14ac:dyDescent="0.35">
      <c r="D112" s="943" t="s">
        <v>517</v>
      </c>
      <c r="H112" s="982"/>
      <c r="I112" s="982"/>
      <c r="J112" s="982"/>
      <c r="K112" s="982"/>
      <c r="L112" s="982"/>
      <c r="M112" s="982"/>
      <c r="N112" s="982"/>
      <c r="O112" s="982"/>
      <c r="P112" s="982"/>
      <c r="Q112" s="982"/>
      <c r="R112" s="982"/>
      <c r="S112" s="982"/>
      <c r="T112" s="982"/>
      <c r="U112" s="982">
        <v>-2084409.93</v>
      </c>
      <c r="V112" s="982">
        <v>-2084409.93</v>
      </c>
      <c r="W112" s="982">
        <v>-2084409.93</v>
      </c>
      <c r="X112" s="982">
        <v>-2084409.93</v>
      </c>
      <c r="Y112" s="982">
        <v>-2084409.93</v>
      </c>
      <c r="Z112" s="908">
        <v>-2084409.93</v>
      </c>
      <c r="AA112" s="908">
        <v>-2084409.93</v>
      </c>
      <c r="AB112" s="908">
        <v>-2084409.93</v>
      </c>
      <c r="AC112" s="908">
        <v>-2084409.93</v>
      </c>
      <c r="AD112" s="908">
        <v>-2084409.93</v>
      </c>
      <c r="AE112" s="908">
        <v>-2084409.93</v>
      </c>
      <c r="AF112" s="908">
        <v>-2084409.93</v>
      </c>
      <c r="AG112" s="908">
        <v>-2084409.93</v>
      </c>
    </row>
    <row r="113" spans="1:16384" x14ac:dyDescent="0.35">
      <c r="D113" s="943" t="s">
        <v>755</v>
      </c>
      <c r="H113" s="982"/>
      <c r="I113" s="982"/>
      <c r="J113" s="982"/>
      <c r="K113" s="982"/>
      <c r="L113" s="982"/>
      <c r="M113" s="982"/>
      <c r="N113" s="982"/>
      <c r="O113" s="982"/>
      <c r="P113" s="982"/>
      <c r="Q113" s="982"/>
      <c r="R113" s="982"/>
      <c r="S113" s="982"/>
      <c r="T113" s="982"/>
      <c r="U113" s="982"/>
      <c r="V113" s="982"/>
      <c r="W113" s="982"/>
      <c r="X113" s="982"/>
      <c r="Y113" s="982"/>
      <c r="AC113" s="979"/>
    </row>
    <row r="114" spans="1:16384" x14ac:dyDescent="0.35">
      <c r="D114" s="943" t="s">
        <v>112</v>
      </c>
      <c r="H114" s="982">
        <v>719994.74</v>
      </c>
      <c r="I114" s="982">
        <v>417956.25</v>
      </c>
      <c r="J114" s="982">
        <v>-168292.07999999984</v>
      </c>
      <c r="K114" s="982">
        <v>-168292.07999999984</v>
      </c>
      <c r="L114" s="982">
        <v>-168292.07999999984</v>
      </c>
      <c r="M114" s="982">
        <v>-168292.07999999984</v>
      </c>
      <c r="N114" s="982">
        <v>-168292.07999999984</v>
      </c>
      <c r="O114" s="982">
        <v>-168292.07999999984</v>
      </c>
      <c r="P114" s="982">
        <v>-168292.07999999984</v>
      </c>
      <c r="Q114" s="982">
        <v>-168292.07999999984</v>
      </c>
      <c r="R114" s="982">
        <v>-168292.07999999984</v>
      </c>
      <c r="S114" s="980">
        <v>-168292.07999999984</v>
      </c>
      <c r="T114" s="980">
        <v>-168292.07999999984</v>
      </c>
      <c r="U114" s="980">
        <v>-168292.08</v>
      </c>
      <c r="V114" s="908">
        <v>1152875.6000000001</v>
      </c>
      <c r="W114" s="908">
        <v>1152875.6000000001</v>
      </c>
      <c r="X114" s="908">
        <v>1152875.6000000001</v>
      </c>
      <c r="Y114" s="908">
        <v>1152875.6000000001</v>
      </c>
      <c r="Z114" s="908">
        <v>1152875.6000000001</v>
      </c>
      <c r="AA114" s="908">
        <v>1152875.6000000001</v>
      </c>
      <c r="AB114" s="908">
        <v>1152875.6000000001</v>
      </c>
      <c r="AC114" s="908">
        <v>1152875.6000000001</v>
      </c>
      <c r="AD114" s="908">
        <v>1152875.6000000001</v>
      </c>
      <c r="AE114" s="980">
        <v>1152875.6000000001</v>
      </c>
      <c r="AF114" s="980">
        <v>1152875.6000000001</v>
      </c>
      <c r="AG114" s="980">
        <v>1152875.6000000001</v>
      </c>
    </row>
    <row r="115" spans="1:16384" x14ac:dyDescent="0.35">
      <c r="D115" s="943" t="s">
        <v>359</v>
      </c>
      <c r="H115" s="980"/>
      <c r="I115" s="980"/>
      <c r="J115" s="980"/>
      <c r="K115" s="982"/>
      <c r="L115" s="982"/>
      <c r="M115" s="982"/>
      <c r="N115" s="982"/>
      <c r="O115" s="982"/>
      <c r="P115" s="982"/>
      <c r="Q115" s="982"/>
      <c r="R115" s="982"/>
      <c r="S115" s="980"/>
      <c r="T115" s="980"/>
      <c r="U115" s="980">
        <v>1930197.24</v>
      </c>
      <c r="V115" s="908">
        <v>1930197.24</v>
      </c>
      <c r="W115" s="908">
        <v>1930197.24</v>
      </c>
      <c r="X115" s="908">
        <v>1930197.24</v>
      </c>
      <c r="Y115" s="908">
        <v>1930197.24</v>
      </c>
      <c r="Z115" s="908">
        <v>1930197.24</v>
      </c>
      <c r="AA115" s="908">
        <v>1930197.24</v>
      </c>
      <c r="AB115" s="908">
        <v>1930197.24</v>
      </c>
      <c r="AC115" s="908">
        <v>1930197.24</v>
      </c>
      <c r="AD115" s="908">
        <v>1930197.24</v>
      </c>
      <c r="AE115" s="980">
        <v>1930197.24</v>
      </c>
      <c r="AF115" s="980">
        <v>1930197.24</v>
      </c>
      <c r="AG115" s="980">
        <v>1930197.24</v>
      </c>
    </row>
    <row r="116" spans="1:16384" x14ac:dyDescent="0.35">
      <c r="D116" s="943" t="s">
        <v>514</v>
      </c>
      <c r="J116" s="908">
        <v>0</v>
      </c>
      <c r="K116" s="982">
        <v>0</v>
      </c>
      <c r="L116" s="982">
        <v>0</v>
      </c>
      <c r="M116" s="982">
        <v>0</v>
      </c>
      <c r="N116" s="982">
        <v>0</v>
      </c>
      <c r="O116" s="982">
        <v>0</v>
      </c>
      <c r="P116" s="982">
        <v>0</v>
      </c>
      <c r="Q116" s="982">
        <v>0</v>
      </c>
      <c r="R116" s="982">
        <v>0</v>
      </c>
      <c r="S116" s="908">
        <v>0</v>
      </c>
      <c r="T116" s="908">
        <v>0</v>
      </c>
      <c r="U116" s="908">
        <v>15569796.68</v>
      </c>
      <c r="V116" s="908">
        <v>15569796.68</v>
      </c>
      <c r="W116" s="908">
        <v>15569796.68</v>
      </c>
      <c r="X116" s="908">
        <v>15569796.68</v>
      </c>
      <c r="Y116" s="908">
        <v>15569796.68</v>
      </c>
      <c r="Z116" s="908">
        <v>15569796.68</v>
      </c>
      <c r="AA116" s="908">
        <v>15569796.68</v>
      </c>
      <c r="AB116" s="908">
        <v>15569796.68</v>
      </c>
      <c r="AC116" s="908">
        <v>15569796.68</v>
      </c>
      <c r="AD116" s="908">
        <v>15569796.68</v>
      </c>
      <c r="AE116" s="908">
        <v>15569796.68</v>
      </c>
      <c r="AF116" s="908">
        <v>15569796.68</v>
      </c>
      <c r="AG116" s="908">
        <v>15569796.68</v>
      </c>
    </row>
    <row r="117" spans="1:16384" x14ac:dyDescent="0.35">
      <c r="D117" s="943" t="s">
        <v>518</v>
      </c>
      <c r="H117" s="980"/>
      <c r="I117" s="980"/>
      <c r="J117" s="980"/>
      <c r="K117" s="982"/>
      <c r="L117" s="982"/>
      <c r="M117" s="982"/>
      <c r="N117" s="982"/>
      <c r="O117" s="982"/>
      <c r="P117" s="982"/>
      <c r="Q117" s="982"/>
      <c r="R117" s="982"/>
      <c r="S117" s="980"/>
      <c r="T117" s="980"/>
      <c r="U117" s="980">
        <v>-379174.74</v>
      </c>
      <c r="V117" s="908">
        <v>-379174.74</v>
      </c>
      <c r="W117" s="908">
        <v>-379174.74</v>
      </c>
      <c r="X117" s="908">
        <v>-379174.74</v>
      </c>
      <c r="Y117" s="908">
        <v>-379174.74</v>
      </c>
      <c r="Z117" s="908">
        <v>-379174.74</v>
      </c>
      <c r="AA117" s="908">
        <v>-379174.74</v>
      </c>
      <c r="AB117" s="908">
        <v>-379174.74</v>
      </c>
      <c r="AC117" s="908">
        <v>-379174.74</v>
      </c>
      <c r="AD117" s="908">
        <v>-379174.74</v>
      </c>
      <c r="AE117" s="980">
        <v>-379174.74</v>
      </c>
      <c r="AF117" s="980">
        <v>-379174.74</v>
      </c>
      <c r="AG117" s="980">
        <v>-379174.74</v>
      </c>
    </row>
    <row r="118" spans="1:16384" x14ac:dyDescent="0.35">
      <c r="D118" s="943" t="s">
        <v>111</v>
      </c>
      <c r="H118" s="982">
        <v>1083231.1100000001</v>
      </c>
      <c r="I118" s="982">
        <v>2153113.71</v>
      </c>
      <c r="J118" s="982">
        <v>2931772.2299999995</v>
      </c>
      <c r="K118" s="982">
        <v>2931772.23</v>
      </c>
      <c r="L118" s="982">
        <v>2931772.23</v>
      </c>
      <c r="M118" s="982">
        <v>2931772.2299999995</v>
      </c>
      <c r="N118" s="982">
        <v>2931772.2299999995</v>
      </c>
      <c r="O118" s="982">
        <v>2931772.2299999995</v>
      </c>
      <c r="P118" s="982">
        <v>2931772.2299999995</v>
      </c>
      <c r="Q118" s="982">
        <v>2931772.2299999995</v>
      </c>
      <c r="R118" s="982">
        <v>2931772.2299999995</v>
      </c>
      <c r="S118" s="980">
        <v>2931772.2299999995</v>
      </c>
      <c r="T118" s="980">
        <v>2931772.2299999995</v>
      </c>
      <c r="U118" s="980">
        <v>0</v>
      </c>
      <c r="V118" s="908">
        <v>-28.98</v>
      </c>
      <c r="W118" s="908">
        <v>-28.98</v>
      </c>
      <c r="X118" s="908">
        <v>-28.98</v>
      </c>
      <c r="Y118" s="908">
        <v>-28.98</v>
      </c>
      <c r="Z118" s="908">
        <v>-28.98</v>
      </c>
      <c r="AA118" s="908">
        <v>-28.98</v>
      </c>
      <c r="AB118" s="908">
        <v>-28.98</v>
      </c>
      <c r="AC118" s="908">
        <v>-28.98</v>
      </c>
      <c r="AD118" s="908">
        <v>-28.98</v>
      </c>
      <c r="AE118" s="980">
        <v>-28.98</v>
      </c>
      <c r="AF118" s="980">
        <v>-28.98</v>
      </c>
      <c r="AG118" s="980">
        <v>-28.98</v>
      </c>
    </row>
    <row r="119" spans="1:16384" x14ac:dyDescent="0.35">
      <c r="D119" s="943" t="s">
        <v>515</v>
      </c>
      <c r="H119" s="982">
        <v>9999.99</v>
      </c>
      <c r="I119" s="982">
        <v>18754.62</v>
      </c>
      <c r="J119" s="982">
        <v>18754.62</v>
      </c>
      <c r="K119" s="982">
        <v>18754.62</v>
      </c>
      <c r="L119" s="982">
        <v>18754.62</v>
      </c>
      <c r="M119" s="982">
        <v>18754.62</v>
      </c>
      <c r="N119" s="982">
        <v>18754.62</v>
      </c>
      <c r="O119" s="982">
        <v>18754.62</v>
      </c>
      <c r="P119" s="982">
        <v>18754.62</v>
      </c>
      <c r="Q119" s="982">
        <v>18754.62</v>
      </c>
      <c r="R119" s="982">
        <v>18754.62</v>
      </c>
      <c r="S119" s="980">
        <v>18754.62</v>
      </c>
      <c r="T119" s="980">
        <v>18754.62</v>
      </c>
      <c r="U119" s="980">
        <v>-1099999.8599999999</v>
      </c>
      <c r="V119" s="908">
        <v>-1099970.8799999999</v>
      </c>
      <c r="W119" s="908">
        <v>-1099970.8799999999</v>
      </c>
      <c r="X119" s="908">
        <v>-1099970.8799999999</v>
      </c>
      <c r="Y119" s="908">
        <v>-1099970.8799999999</v>
      </c>
      <c r="Z119" s="908">
        <v>-1099970.8799999999</v>
      </c>
      <c r="AA119" s="908">
        <v>-1099970.8799999999</v>
      </c>
      <c r="AB119" s="908">
        <v>-1099970.8799999999</v>
      </c>
      <c r="AC119" s="908">
        <v>-1099970.8799999999</v>
      </c>
      <c r="AD119" s="908">
        <v>-1099970.8799999999</v>
      </c>
      <c r="AE119" s="980">
        <v>-1099970.8799999999</v>
      </c>
      <c r="AF119" s="980">
        <v>-1099970.8799999999</v>
      </c>
      <c r="AG119" s="980">
        <v>-1099970.8799999999</v>
      </c>
    </row>
    <row r="120" spans="1:16384" x14ac:dyDescent="0.35">
      <c r="D120" s="943" t="s">
        <v>113</v>
      </c>
      <c r="H120" s="982">
        <v>2033196.46</v>
      </c>
      <c r="I120" s="982">
        <v>2750829.39</v>
      </c>
      <c r="J120" s="982">
        <v>544376.25148978445</v>
      </c>
      <c r="K120" s="982">
        <v>904336.95782144764</v>
      </c>
      <c r="L120" s="982">
        <v>1376362.9814017664</v>
      </c>
      <c r="M120" s="982">
        <v>1840045.7466944754</v>
      </c>
      <c r="N120" s="982">
        <v>2144527.9989315844</v>
      </c>
      <c r="O120" s="982">
        <v>2508621.9014422083</v>
      </c>
      <c r="P120" s="982">
        <v>2648615.0431994796</v>
      </c>
      <c r="Q120" s="982">
        <v>2858457.6912966869</v>
      </c>
      <c r="R120" s="982">
        <v>3307091.1880790656</v>
      </c>
      <c r="S120" s="982">
        <v>3625821.1036610324</v>
      </c>
      <c r="T120" s="983">
        <v>4261091.7951886356</v>
      </c>
      <c r="U120" s="983">
        <v>3844516.82</v>
      </c>
      <c r="V120" s="909">
        <v>-364100.71</v>
      </c>
      <c r="W120" s="909">
        <v>-352068.86</v>
      </c>
      <c r="X120" s="909">
        <v>-351999.11</v>
      </c>
      <c r="Y120" s="909">
        <v>-421168.09</v>
      </c>
      <c r="Z120" s="909">
        <v>-604903.43000000005</v>
      </c>
      <c r="AA120" s="909">
        <v>-1024623.74</v>
      </c>
      <c r="AB120" s="909">
        <v>-1839782.95</v>
      </c>
      <c r="AC120" s="909">
        <v>-2512462.5299999998</v>
      </c>
      <c r="AD120" s="909">
        <v>-2852034.09</v>
      </c>
      <c r="AE120" s="983">
        <v>-3136232.4</v>
      </c>
      <c r="AF120" s="983">
        <v>-3575398.2300000037</v>
      </c>
      <c r="AG120" s="983">
        <v>-3710749.16</v>
      </c>
    </row>
    <row r="121" spans="1:16384" x14ac:dyDescent="0.35">
      <c r="H121" s="982"/>
      <c r="I121" s="982"/>
      <c r="J121" s="982"/>
      <c r="K121" s="982"/>
      <c r="L121" s="982"/>
      <c r="M121" s="982"/>
      <c r="N121" s="982"/>
      <c r="O121" s="982"/>
      <c r="P121" s="982"/>
      <c r="Q121" s="982"/>
      <c r="R121" s="982"/>
      <c r="S121" s="982"/>
      <c r="T121" s="982"/>
      <c r="U121" s="982"/>
      <c r="V121" s="982"/>
      <c r="W121" s="982"/>
      <c r="X121" s="982"/>
      <c r="Y121" s="982"/>
    </row>
    <row r="122" spans="1:16384" x14ac:dyDescent="0.35">
      <c r="D122" s="943" t="s">
        <v>379</v>
      </c>
      <c r="H122" s="982"/>
      <c r="I122" s="982">
        <v>-1225000</v>
      </c>
      <c r="J122" s="982">
        <v>-2335798.7999999998</v>
      </c>
      <c r="K122" s="982">
        <v>-2873432.8</v>
      </c>
      <c r="L122" s="982">
        <v>-3123432.8</v>
      </c>
      <c r="M122" s="982">
        <v>-3661066.8</v>
      </c>
      <c r="N122" s="982">
        <v>-3861066.8000000003</v>
      </c>
      <c r="O122" s="982">
        <v>-4161066.8000000003</v>
      </c>
      <c r="P122" s="982">
        <v>-4361066.8000000007</v>
      </c>
      <c r="Q122" s="982">
        <v>-4361066.8000000007</v>
      </c>
      <c r="R122" s="982">
        <v>-5161066.8</v>
      </c>
      <c r="S122" s="982">
        <v>-5761066.7999999998</v>
      </c>
      <c r="T122" s="982">
        <v>-6836336.8000000007</v>
      </c>
      <c r="U122" s="982">
        <v>0</v>
      </c>
      <c r="V122" s="982">
        <v>0</v>
      </c>
      <c r="W122" s="982">
        <v>0</v>
      </c>
      <c r="X122" s="982">
        <v>0</v>
      </c>
      <c r="Y122" s="982">
        <v>0</v>
      </c>
      <c r="Z122" s="908">
        <v>0</v>
      </c>
    </row>
    <row r="123" spans="1:16384" x14ac:dyDescent="0.35">
      <c r="D123" s="947" t="s">
        <v>756</v>
      </c>
      <c r="Q123" s="983"/>
      <c r="R123" s="983"/>
      <c r="S123" s="983"/>
      <c r="T123" s="983"/>
      <c r="U123" s="983">
        <v>-2523349.13</v>
      </c>
      <c r="V123" s="989"/>
      <c r="W123" s="989"/>
      <c r="X123" s="989"/>
      <c r="Y123" s="989"/>
      <c r="Z123" s="989"/>
      <c r="AA123" s="983"/>
      <c r="AB123" s="983"/>
      <c r="AC123" s="983"/>
      <c r="AD123" s="983"/>
      <c r="AE123" s="983"/>
      <c r="AF123" s="983"/>
      <c r="AG123" s="983"/>
    </row>
    <row r="124" spans="1:16384" x14ac:dyDescent="0.35">
      <c r="C124" s="917" t="s">
        <v>114</v>
      </c>
      <c r="D124" s="917"/>
      <c r="E124" s="917"/>
      <c r="F124" s="917"/>
      <c r="G124" s="917"/>
      <c r="H124" s="917">
        <f>SUM(H114:H123)</f>
        <v>3846422.3</v>
      </c>
      <c r="I124" s="917">
        <f>SUM(I114:I123)</f>
        <v>4115653.9700000007</v>
      </c>
      <c r="J124" s="917">
        <f>SUM(J114:J122)</f>
        <v>990812.22148978431</v>
      </c>
      <c r="K124" s="917">
        <f t="shared" ref="K124:T124" si="25">SUM(K114:K122)</f>
        <v>813138.92782144807</v>
      </c>
      <c r="L124" s="917">
        <f t="shared" si="25"/>
        <v>1035164.9514017673</v>
      </c>
      <c r="M124" s="917">
        <f t="shared" si="25"/>
        <v>961213.71669447515</v>
      </c>
      <c r="N124" s="917">
        <f t="shared" si="25"/>
        <v>1065695.9689315842</v>
      </c>
      <c r="O124" s="917">
        <f t="shared" si="25"/>
        <v>1129789.8714422076</v>
      </c>
      <c r="P124" s="918">
        <f t="shared" si="25"/>
        <v>1069783.0131994784</v>
      </c>
      <c r="Q124" s="918">
        <f t="shared" si="25"/>
        <v>1279625.6612966862</v>
      </c>
      <c r="R124" s="918">
        <f t="shared" si="25"/>
        <v>928259.15807906538</v>
      </c>
      <c r="S124" s="918">
        <f t="shared" si="25"/>
        <v>646989.07366103213</v>
      </c>
      <c r="T124" s="918">
        <f t="shared" si="25"/>
        <v>206989.7651886344</v>
      </c>
      <c r="U124" s="918">
        <f>SUM(U111:U123)</f>
        <v>14553481.370000001</v>
      </c>
      <c r="V124" s="918">
        <f t="shared" ref="V124:X124" si="26">SUM(V111:V123)</f>
        <v>14189380.649999999</v>
      </c>
      <c r="W124" s="918">
        <f t="shared" si="26"/>
        <v>14201412.5</v>
      </c>
      <c r="X124" s="918">
        <f t="shared" si="26"/>
        <v>14201482.25</v>
      </c>
      <c r="Y124" s="918">
        <f t="shared" ref="Y124:AG124" si="27">SUM(Y111:Y123)</f>
        <v>14132313.27</v>
      </c>
      <c r="Z124" s="918">
        <f t="shared" si="27"/>
        <v>13948577.93</v>
      </c>
      <c r="AA124" s="918">
        <f t="shared" si="27"/>
        <v>13528857.619999999</v>
      </c>
      <c r="AB124" s="918">
        <f t="shared" si="27"/>
        <v>12713698.41</v>
      </c>
      <c r="AC124" s="918">
        <f t="shared" si="27"/>
        <v>12041018.83</v>
      </c>
      <c r="AD124" s="918">
        <f t="shared" si="27"/>
        <v>11701447.27</v>
      </c>
      <c r="AE124" s="918">
        <f t="shared" si="27"/>
        <v>11417248.959999999</v>
      </c>
      <c r="AF124" s="918">
        <f t="shared" si="27"/>
        <v>10978083.129999995</v>
      </c>
      <c r="AG124" s="918">
        <f t="shared" si="27"/>
        <v>10842732.199999999</v>
      </c>
      <c r="AH124" s="919"/>
      <c r="AI124" s="919"/>
      <c r="AJ124" s="919"/>
      <c r="AK124" s="919"/>
      <c r="AL124" s="919"/>
      <c r="AM124" s="919"/>
      <c r="AN124" s="919"/>
      <c r="AO124" s="919"/>
      <c r="AP124" s="919"/>
      <c r="AQ124" s="919"/>
      <c r="AR124" s="919"/>
      <c r="AS124" s="919"/>
      <c r="AT124" s="919"/>
      <c r="AU124" s="919"/>
      <c r="AV124" s="919"/>
      <c r="AW124" s="919"/>
      <c r="AX124" s="919"/>
      <c r="AY124" s="919"/>
      <c r="AZ124" s="919"/>
      <c r="BA124" s="919"/>
      <c r="BB124" s="919"/>
      <c r="BC124" s="919"/>
      <c r="BD124" s="919"/>
      <c r="BE124" s="919"/>
      <c r="BF124" s="919"/>
      <c r="BG124" s="919"/>
      <c r="BH124" s="919"/>
      <c r="BI124" s="919"/>
      <c r="BJ124" s="919"/>
      <c r="BK124" s="919"/>
      <c r="BL124" s="919"/>
      <c r="BM124" s="919"/>
      <c r="BN124" s="919"/>
      <c r="BO124" s="919"/>
      <c r="BP124" s="919"/>
      <c r="BQ124" s="919"/>
      <c r="BR124" s="919"/>
      <c r="BS124" s="919"/>
      <c r="BT124" s="919"/>
      <c r="BU124" s="919"/>
      <c r="BV124" s="919"/>
      <c r="BW124" s="919"/>
      <c r="BX124" s="919"/>
      <c r="BY124" s="919"/>
      <c r="BZ124" s="919"/>
      <c r="CA124" s="919"/>
      <c r="CB124" s="919"/>
      <c r="CC124" s="969"/>
      <c r="CD124" s="974"/>
      <c r="CE124" s="974"/>
      <c r="CF124" s="974"/>
      <c r="CG124" s="974"/>
      <c r="CH124" s="974"/>
      <c r="CI124" s="974"/>
      <c r="CJ124" s="974"/>
      <c r="CK124" s="974"/>
      <c r="CL124" s="974"/>
      <c r="CM124" s="974"/>
      <c r="CN124" s="974"/>
      <c r="CO124" s="974"/>
      <c r="CP124" s="974"/>
      <c r="CQ124" s="974"/>
      <c r="CR124" s="974"/>
      <c r="CS124" s="974"/>
      <c r="CT124" s="974"/>
      <c r="CU124" s="974"/>
      <c r="CV124" s="974"/>
      <c r="CW124" s="974"/>
      <c r="CX124" s="974"/>
      <c r="CY124" s="974"/>
      <c r="CZ124" s="974"/>
      <c r="DA124" s="974"/>
      <c r="DB124" s="974"/>
      <c r="DC124" s="974"/>
      <c r="DD124" s="974"/>
      <c r="DE124" s="974"/>
      <c r="DF124" s="974"/>
      <c r="DG124" s="974"/>
      <c r="DH124" s="974"/>
      <c r="DI124" s="974"/>
      <c r="DJ124" s="974"/>
      <c r="DK124" s="974"/>
      <c r="DL124" s="974"/>
      <c r="DM124" s="974"/>
      <c r="DN124" s="974"/>
      <c r="DO124" s="974"/>
      <c r="DP124" s="974"/>
      <c r="DQ124" s="974"/>
      <c r="DR124" s="974"/>
      <c r="DS124" s="974"/>
      <c r="DT124" s="974"/>
      <c r="DU124" s="974"/>
      <c r="DV124" s="974"/>
      <c r="DW124" s="974"/>
      <c r="DX124" s="974"/>
      <c r="DY124" s="974"/>
      <c r="DZ124" s="974"/>
      <c r="EA124" s="974"/>
      <c r="EB124" s="974"/>
      <c r="EC124" s="974"/>
      <c r="ED124" s="974"/>
      <c r="EE124" s="974"/>
      <c r="EF124" s="974"/>
      <c r="EG124" s="974"/>
      <c r="EH124" s="974"/>
      <c r="EI124" s="974"/>
      <c r="EJ124" s="974"/>
      <c r="EK124" s="974"/>
      <c r="EL124" s="974"/>
      <c r="EM124" s="974"/>
      <c r="EN124" s="974"/>
      <c r="EO124" s="974"/>
      <c r="EP124" s="974"/>
      <c r="EQ124" s="974"/>
      <c r="ER124" s="974"/>
      <c r="ES124" s="974"/>
      <c r="ET124" s="974"/>
      <c r="EU124" s="974"/>
      <c r="EV124" s="974"/>
      <c r="EW124" s="974"/>
      <c r="EX124" s="974"/>
      <c r="EY124" s="974"/>
      <c r="EZ124" s="974"/>
      <c r="FA124" s="974"/>
      <c r="FB124" s="974"/>
      <c r="FC124" s="974"/>
      <c r="FD124" s="974"/>
      <c r="FE124" s="974"/>
      <c r="FF124" s="974"/>
      <c r="FG124" s="974"/>
      <c r="FH124" s="974"/>
      <c r="FI124" s="974"/>
      <c r="FJ124" s="974"/>
      <c r="FK124" s="974"/>
      <c r="FL124" s="974"/>
      <c r="FM124" s="974"/>
      <c r="FN124" s="974"/>
      <c r="FO124" s="974"/>
      <c r="FP124" s="974"/>
      <c r="FQ124" s="974"/>
      <c r="FR124" s="974"/>
      <c r="FS124" s="974"/>
      <c r="FT124" s="974"/>
      <c r="FU124" s="974"/>
      <c r="FV124" s="974"/>
      <c r="FW124" s="974"/>
      <c r="FX124" s="974"/>
      <c r="FY124" s="974"/>
      <c r="FZ124" s="974"/>
      <c r="GA124" s="974"/>
      <c r="GB124" s="974"/>
      <c r="GC124" s="974"/>
      <c r="GD124" s="974"/>
      <c r="GE124" s="974"/>
      <c r="GF124" s="974"/>
      <c r="GG124" s="974"/>
      <c r="GH124" s="974"/>
      <c r="GI124" s="974"/>
      <c r="GJ124" s="974"/>
      <c r="GK124" s="974"/>
      <c r="GL124" s="974"/>
      <c r="GM124" s="974"/>
      <c r="GN124" s="974"/>
      <c r="GO124" s="974"/>
      <c r="GP124" s="974"/>
      <c r="GQ124" s="974"/>
      <c r="GR124" s="974"/>
      <c r="GS124" s="974"/>
      <c r="GT124" s="974"/>
      <c r="GU124" s="974"/>
      <c r="GV124" s="974"/>
      <c r="GW124" s="974"/>
      <c r="GX124" s="974"/>
      <c r="GY124" s="974"/>
      <c r="GZ124" s="974"/>
      <c r="HA124" s="974"/>
      <c r="HB124" s="974"/>
      <c r="HC124" s="974"/>
      <c r="HD124" s="974"/>
      <c r="HE124" s="974"/>
      <c r="HF124" s="974"/>
      <c r="HG124" s="974"/>
      <c r="HH124" s="974"/>
      <c r="HI124" s="974"/>
      <c r="HJ124" s="974"/>
      <c r="HK124" s="974"/>
      <c r="HL124" s="974"/>
      <c r="HM124" s="974"/>
      <c r="HN124" s="974"/>
      <c r="HO124" s="974"/>
      <c r="HP124" s="974"/>
      <c r="HQ124" s="974"/>
      <c r="HR124" s="974"/>
      <c r="HS124" s="974"/>
      <c r="HT124" s="974"/>
      <c r="HU124" s="974"/>
      <c r="HV124" s="974"/>
      <c r="HW124" s="974"/>
      <c r="HX124" s="974"/>
      <c r="HY124" s="974"/>
      <c r="HZ124" s="974"/>
      <c r="IA124" s="974"/>
      <c r="IB124" s="974"/>
      <c r="IC124" s="974"/>
      <c r="ID124" s="974"/>
      <c r="IE124" s="974"/>
      <c r="IF124" s="974"/>
      <c r="IG124" s="974"/>
      <c r="IH124" s="974"/>
      <c r="II124" s="974"/>
      <c r="IJ124" s="974"/>
      <c r="IK124" s="974"/>
      <c r="IL124" s="974"/>
      <c r="IM124" s="974"/>
      <c r="IN124" s="974"/>
      <c r="IO124" s="974"/>
      <c r="IP124" s="974"/>
      <c r="IQ124" s="974"/>
      <c r="IR124" s="974"/>
      <c r="IS124" s="974"/>
      <c r="IT124" s="974"/>
      <c r="IU124" s="974"/>
      <c r="IV124" s="974"/>
      <c r="IW124" s="974"/>
      <c r="IX124" s="974"/>
      <c r="IY124" s="974"/>
      <c r="IZ124" s="974"/>
      <c r="JA124" s="974"/>
      <c r="JB124" s="974"/>
      <c r="JC124" s="974"/>
      <c r="JD124" s="974"/>
      <c r="JE124" s="974"/>
      <c r="JF124" s="974"/>
      <c r="JG124" s="974"/>
      <c r="JH124" s="974"/>
      <c r="JI124" s="974"/>
      <c r="JJ124" s="974"/>
      <c r="JK124" s="974"/>
      <c r="JL124" s="974"/>
      <c r="JM124" s="974"/>
      <c r="JN124" s="974"/>
      <c r="JO124" s="974"/>
      <c r="JP124" s="974"/>
      <c r="JQ124" s="974"/>
      <c r="JR124" s="974"/>
      <c r="JS124" s="974"/>
      <c r="JT124" s="974"/>
      <c r="JU124" s="974"/>
      <c r="JV124" s="974"/>
      <c r="JW124" s="974"/>
      <c r="JX124" s="974"/>
      <c r="JY124" s="974"/>
      <c r="JZ124" s="974"/>
      <c r="KA124" s="974"/>
      <c r="KB124" s="974"/>
      <c r="KC124" s="974"/>
      <c r="KD124" s="974"/>
      <c r="KE124" s="974"/>
      <c r="KF124" s="974"/>
      <c r="KG124" s="974"/>
      <c r="KH124" s="974"/>
      <c r="KI124" s="974"/>
      <c r="KJ124" s="974"/>
      <c r="KK124" s="974"/>
      <c r="KL124" s="974"/>
      <c r="KM124" s="974"/>
      <c r="KN124" s="974"/>
      <c r="KO124" s="974"/>
      <c r="KP124" s="974"/>
      <c r="KQ124" s="974"/>
      <c r="KR124" s="974"/>
      <c r="KS124" s="974"/>
      <c r="KT124" s="974"/>
      <c r="KU124" s="974"/>
      <c r="KV124" s="974"/>
      <c r="KW124" s="974"/>
      <c r="KX124" s="974"/>
      <c r="KY124" s="974"/>
      <c r="KZ124" s="974"/>
      <c r="LA124" s="974"/>
      <c r="LB124" s="974"/>
      <c r="LC124" s="974"/>
      <c r="LD124" s="974"/>
      <c r="LE124" s="974"/>
      <c r="LF124" s="974"/>
      <c r="LG124" s="974"/>
      <c r="LH124" s="974"/>
      <c r="LI124" s="974"/>
      <c r="LJ124" s="974"/>
      <c r="LK124" s="974"/>
      <c r="LL124" s="974"/>
      <c r="LM124" s="974"/>
      <c r="LN124" s="974"/>
      <c r="LO124" s="974"/>
      <c r="LP124" s="974"/>
      <c r="LQ124" s="974"/>
      <c r="LR124" s="974"/>
      <c r="LS124" s="974"/>
      <c r="LT124" s="974"/>
      <c r="LU124" s="974"/>
      <c r="LV124" s="974"/>
      <c r="LW124" s="974"/>
      <c r="LX124" s="974"/>
      <c r="LY124" s="974"/>
      <c r="LZ124" s="974"/>
      <c r="MA124" s="974"/>
      <c r="MB124" s="974"/>
      <c r="MC124" s="974"/>
      <c r="MD124" s="974"/>
      <c r="ME124" s="974"/>
      <c r="MF124" s="974"/>
      <c r="MG124" s="974"/>
      <c r="MH124" s="974"/>
      <c r="MI124" s="974"/>
      <c r="MJ124" s="974"/>
      <c r="MK124" s="974"/>
      <c r="ML124" s="974"/>
      <c r="MM124" s="974"/>
      <c r="MN124" s="974"/>
      <c r="MO124" s="974"/>
      <c r="MP124" s="974"/>
      <c r="MQ124" s="974"/>
      <c r="MR124" s="974"/>
      <c r="MS124" s="974"/>
      <c r="MT124" s="974"/>
      <c r="MU124" s="974"/>
      <c r="MV124" s="974"/>
      <c r="MW124" s="974"/>
      <c r="MX124" s="974"/>
      <c r="MY124" s="974"/>
      <c r="MZ124" s="974"/>
      <c r="NA124" s="974"/>
      <c r="NB124" s="974"/>
      <c r="NC124" s="974"/>
      <c r="ND124" s="974"/>
      <c r="NE124" s="974"/>
      <c r="NF124" s="974"/>
      <c r="NG124" s="974"/>
      <c r="NH124" s="974"/>
      <c r="NI124" s="974"/>
      <c r="NJ124" s="974"/>
      <c r="NK124" s="974"/>
      <c r="NL124" s="974"/>
      <c r="NM124" s="974"/>
      <c r="NN124" s="974"/>
      <c r="NO124" s="974"/>
      <c r="NP124" s="974"/>
      <c r="NQ124" s="974"/>
      <c r="NR124" s="974"/>
      <c r="NS124" s="974"/>
      <c r="NT124" s="974"/>
      <c r="NU124" s="974"/>
      <c r="NV124" s="974"/>
      <c r="NW124" s="974"/>
      <c r="NX124" s="974"/>
      <c r="NY124" s="974"/>
      <c r="NZ124" s="974"/>
      <c r="OA124" s="974"/>
      <c r="OB124" s="974"/>
      <c r="OC124" s="974"/>
      <c r="OD124" s="974"/>
      <c r="OE124" s="974"/>
      <c r="OF124" s="974"/>
      <c r="OG124" s="974"/>
      <c r="OH124" s="974"/>
      <c r="OI124" s="974"/>
      <c r="OJ124" s="974"/>
      <c r="OK124" s="974"/>
      <c r="OL124" s="974"/>
      <c r="OM124" s="974"/>
      <c r="ON124" s="974"/>
      <c r="OO124" s="974"/>
      <c r="OP124" s="974"/>
      <c r="OQ124" s="974"/>
      <c r="OR124" s="974"/>
      <c r="OS124" s="974"/>
      <c r="OT124" s="974"/>
      <c r="OU124" s="974"/>
      <c r="OV124" s="974"/>
      <c r="OW124" s="974"/>
      <c r="OX124" s="974"/>
      <c r="OY124" s="974"/>
      <c r="OZ124" s="974"/>
      <c r="PA124" s="974"/>
      <c r="PB124" s="974"/>
      <c r="PC124" s="974"/>
      <c r="PD124" s="974"/>
      <c r="PE124" s="974"/>
      <c r="PF124" s="974"/>
      <c r="PG124" s="974"/>
      <c r="PH124" s="974"/>
      <c r="PI124" s="974"/>
      <c r="PJ124" s="974"/>
      <c r="PK124" s="974"/>
      <c r="PL124" s="974"/>
      <c r="PM124" s="974"/>
      <c r="PN124" s="974"/>
      <c r="PO124" s="974"/>
      <c r="PP124" s="974"/>
      <c r="PQ124" s="974"/>
      <c r="PR124" s="974"/>
      <c r="PS124" s="974"/>
      <c r="PT124" s="974"/>
      <c r="PU124" s="974"/>
      <c r="PV124" s="974"/>
      <c r="PW124" s="974"/>
      <c r="PX124" s="974"/>
      <c r="PY124" s="974"/>
      <c r="PZ124" s="974"/>
      <c r="QA124" s="974"/>
      <c r="QB124" s="974"/>
      <c r="QC124" s="974"/>
      <c r="QD124" s="974"/>
      <c r="QE124" s="974"/>
      <c r="QF124" s="974"/>
      <c r="QG124" s="974"/>
      <c r="QH124" s="974"/>
      <c r="QI124" s="974"/>
      <c r="QJ124" s="974"/>
      <c r="QK124" s="974"/>
      <c r="QL124" s="974"/>
      <c r="QM124" s="974"/>
      <c r="QN124" s="974"/>
      <c r="QO124" s="974"/>
      <c r="QP124" s="974"/>
      <c r="QQ124" s="974"/>
      <c r="QR124" s="974"/>
      <c r="QS124" s="974"/>
      <c r="QT124" s="974"/>
      <c r="QU124" s="974"/>
      <c r="QV124" s="974"/>
      <c r="QW124" s="974"/>
      <c r="QX124" s="974"/>
      <c r="QY124" s="974"/>
      <c r="QZ124" s="974"/>
      <c r="RA124" s="974"/>
      <c r="RB124" s="974"/>
      <c r="RC124" s="974"/>
      <c r="RD124" s="974"/>
      <c r="RE124" s="974"/>
      <c r="RF124" s="974"/>
      <c r="RG124" s="974"/>
      <c r="RH124" s="974"/>
      <c r="RI124" s="974"/>
      <c r="RJ124" s="974"/>
      <c r="RK124" s="974"/>
      <c r="RL124" s="974"/>
      <c r="RM124" s="974"/>
      <c r="RN124" s="974"/>
      <c r="RO124" s="974"/>
      <c r="RP124" s="974"/>
      <c r="RQ124" s="974"/>
      <c r="RR124" s="974"/>
      <c r="RS124" s="974"/>
      <c r="RT124" s="974"/>
      <c r="RU124" s="974"/>
      <c r="RV124" s="974"/>
      <c r="RW124" s="974"/>
      <c r="RX124" s="974"/>
      <c r="RY124" s="974"/>
      <c r="RZ124" s="974"/>
      <c r="SA124" s="974"/>
      <c r="SB124" s="974"/>
      <c r="SC124" s="974"/>
      <c r="SD124" s="974"/>
      <c r="SE124" s="974"/>
      <c r="SF124" s="974"/>
      <c r="SG124" s="974"/>
      <c r="SH124" s="974"/>
      <c r="SI124" s="974"/>
      <c r="SJ124" s="974"/>
      <c r="SK124" s="974"/>
      <c r="SL124" s="974"/>
      <c r="SM124" s="974"/>
      <c r="SN124" s="974"/>
      <c r="SO124" s="974"/>
      <c r="SP124" s="974"/>
      <c r="SQ124" s="974"/>
      <c r="SR124" s="974"/>
      <c r="SS124" s="974"/>
      <c r="ST124" s="974"/>
      <c r="SU124" s="974"/>
      <c r="SV124" s="974"/>
      <c r="SW124" s="974"/>
      <c r="SX124" s="974"/>
      <c r="SY124" s="974"/>
      <c r="SZ124" s="974"/>
      <c r="TA124" s="974"/>
      <c r="TB124" s="974"/>
      <c r="TC124" s="974"/>
      <c r="TD124" s="974"/>
      <c r="TE124" s="974"/>
      <c r="TF124" s="974"/>
      <c r="TG124" s="974"/>
      <c r="TH124" s="974"/>
      <c r="TI124" s="974"/>
      <c r="TJ124" s="974"/>
      <c r="TK124" s="974"/>
      <c r="TL124" s="974"/>
      <c r="TM124" s="974"/>
      <c r="TN124" s="974"/>
      <c r="TO124" s="974"/>
      <c r="TP124" s="974"/>
      <c r="TQ124" s="974"/>
      <c r="TR124" s="974"/>
      <c r="TS124" s="974"/>
      <c r="TT124" s="974"/>
      <c r="TU124" s="974"/>
      <c r="TV124" s="974"/>
      <c r="TW124" s="974"/>
      <c r="TX124" s="974"/>
      <c r="TY124" s="974"/>
      <c r="TZ124" s="974"/>
      <c r="UA124" s="974"/>
      <c r="UB124" s="974"/>
      <c r="UC124" s="974"/>
      <c r="UD124" s="974"/>
      <c r="UE124" s="974"/>
      <c r="UF124" s="974"/>
      <c r="UG124" s="974"/>
      <c r="UH124" s="974"/>
      <c r="UI124" s="974"/>
      <c r="UJ124" s="974"/>
      <c r="UK124" s="974"/>
      <c r="UL124" s="974"/>
      <c r="UM124" s="974"/>
      <c r="UN124" s="974"/>
      <c r="UO124" s="974"/>
      <c r="UP124" s="974"/>
      <c r="UQ124" s="974"/>
      <c r="UR124" s="974"/>
      <c r="US124" s="974"/>
      <c r="UT124" s="974"/>
      <c r="UU124" s="974"/>
      <c r="UV124" s="974"/>
      <c r="UW124" s="974"/>
      <c r="UX124" s="974"/>
      <c r="UY124" s="974"/>
      <c r="UZ124" s="974"/>
      <c r="VA124" s="974"/>
      <c r="VB124" s="974"/>
      <c r="VC124" s="974"/>
      <c r="VD124" s="974"/>
      <c r="VE124" s="974"/>
      <c r="VF124" s="974"/>
      <c r="VG124" s="974"/>
      <c r="VH124" s="974"/>
      <c r="VI124" s="974"/>
      <c r="VJ124" s="974"/>
      <c r="VK124" s="974"/>
      <c r="VL124" s="974"/>
      <c r="VM124" s="974"/>
      <c r="VN124" s="974"/>
      <c r="VO124" s="974"/>
      <c r="VP124" s="974"/>
      <c r="VQ124" s="974"/>
      <c r="VR124" s="974"/>
      <c r="VS124" s="974"/>
      <c r="VT124" s="974"/>
      <c r="VU124" s="974"/>
      <c r="VV124" s="974"/>
      <c r="VW124" s="974"/>
      <c r="VX124" s="974"/>
      <c r="VY124" s="974"/>
      <c r="VZ124" s="974"/>
      <c r="WA124" s="974"/>
      <c r="WB124" s="974"/>
      <c r="WC124" s="974"/>
      <c r="WD124" s="974"/>
      <c r="WE124" s="974"/>
      <c r="WF124" s="974"/>
      <c r="WG124" s="974"/>
      <c r="WH124" s="974"/>
      <c r="WI124" s="974"/>
      <c r="WJ124" s="974"/>
      <c r="WK124" s="974"/>
      <c r="WL124" s="974"/>
      <c r="WM124" s="974"/>
      <c r="WN124" s="974"/>
      <c r="WO124" s="974"/>
      <c r="WP124" s="974"/>
      <c r="WQ124" s="974"/>
      <c r="WR124" s="974"/>
      <c r="WS124" s="974"/>
      <c r="WT124" s="974"/>
      <c r="WU124" s="974"/>
      <c r="WV124" s="974"/>
      <c r="WW124" s="974"/>
      <c r="WX124" s="974"/>
      <c r="WY124" s="974"/>
      <c r="WZ124" s="974"/>
      <c r="XA124" s="974"/>
      <c r="XB124" s="974"/>
      <c r="XC124" s="974"/>
      <c r="XD124" s="974"/>
      <c r="XE124" s="974"/>
      <c r="XF124" s="974"/>
      <c r="XG124" s="974"/>
      <c r="XH124" s="974"/>
      <c r="XI124" s="974"/>
      <c r="XJ124" s="974"/>
      <c r="XK124" s="974"/>
      <c r="XL124" s="974"/>
      <c r="XM124" s="974"/>
      <c r="XN124" s="974"/>
      <c r="XO124" s="974"/>
      <c r="XP124" s="974"/>
      <c r="XQ124" s="974"/>
      <c r="XR124" s="974"/>
      <c r="XS124" s="974"/>
      <c r="XT124" s="974"/>
      <c r="XU124" s="974"/>
      <c r="XV124" s="974"/>
      <c r="XW124" s="974"/>
      <c r="XX124" s="974"/>
      <c r="XY124" s="974"/>
      <c r="XZ124" s="974"/>
      <c r="YA124" s="974"/>
      <c r="YB124" s="974"/>
      <c r="YC124" s="974"/>
      <c r="YD124" s="974"/>
      <c r="YE124" s="974"/>
      <c r="YF124" s="974"/>
      <c r="YG124" s="974"/>
      <c r="YH124" s="974"/>
      <c r="YI124" s="974"/>
      <c r="YJ124" s="974"/>
      <c r="YK124" s="974"/>
      <c r="YL124" s="974"/>
      <c r="YM124" s="974"/>
      <c r="YN124" s="974"/>
      <c r="YO124" s="974"/>
      <c r="YP124" s="974"/>
      <c r="YQ124" s="974"/>
      <c r="YR124" s="974"/>
      <c r="YS124" s="974"/>
      <c r="YT124" s="974"/>
      <c r="YU124" s="974"/>
      <c r="YV124" s="974"/>
      <c r="YW124" s="974"/>
      <c r="YX124" s="974"/>
      <c r="YY124" s="974"/>
      <c r="YZ124" s="974"/>
      <c r="ZA124" s="974"/>
      <c r="ZB124" s="974"/>
      <c r="ZC124" s="974"/>
      <c r="ZD124" s="974"/>
      <c r="ZE124" s="974"/>
      <c r="ZF124" s="974"/>
      <c r="ZG124" s="974"/>
      <c r="ZH124" s="974"/>
      <c r="ZI124" s="974"/>
      <c r="ZJ124" s="974"/>
      <c r="ZK124" s="974"/>
      <c r="ZL124" s="974"/>
      <c r="ZM124" s="974"/>
      <c r="ZN124" s="974"/>
      <c r="ZO124" s="974"/>
      <c r="ZP124" s="974"/>
      <c r="ZQ124" s="974"/>
      <c r="ZR124" s="974"/>
      <c r="ZS124" s="974"/>
      <c r="ZT124" s="974"/>
      <c r="ZU124" s="974"/>
      <c r="ZV124" s="974"/>
      <c r="ZW124" s="974"/>
      <c r="ZX124" s="974"/>
      <c r="ZY124" s="974"/>
      <c r="ZZ124" s="974"/>
      <c r="AAA124" s="974"/>
      <c r="AAB124" s="974"/>
      <c r="AAC124" s="974"/>
      <c r="AAD124" s="974"/>
      <c r="AAE124" s="974"/>
      <c r="AAF124" s="974"/>
      <c r="AAG124" s="974"/>
      <c r="AAH124" s="974"/>
      <c r="AAI124" s="974"/>
      <c r="AAJ124" s="974"/>
      <c r="AAK124" s="974"/>
      <c r="AAL124" s="974"/>
      <c r="AAM124" s="974"/>
      <c r="AAN124" s="974"/>
      <c r="AAO124" s="974"/>
      <c r="AAP124" s="974"/>
      <c r="AAQ124" s="974"/>
      <c r="AAR124" s="974"/>
      <c r="AAS124" s="974"/>
      <c r="AAT124" s="974"/>
      <c r="AAU124" s="974"/>
      <c r="AAV124" s="974"/>
      <c r="AAW124" s="974"/>
      <c r="AAX124" s="974"/>
      <c r="AAY124" s="974"/>
      <c r="AAZ124" s="974"/>
      <c r="ABA124" s="974"/>
      <c r="ABB124" s="974"/>
      <c r="ABC124" s="974"/>
      <c r="ABD124" s="974"/>
      <c r="ABE124" s="974"/>
      <c r="ABF124" s="974"/>
      <c r="ABG124" s="974"/>
      <c r="ABH124" s="974"/>
      <c r="ABI124" s="974"/>
      <c r="ABJ124" s="974"/>
      <c r="ABK124" s="974"/>
      <c r="ABL124" s="974"/>
      <c r="ABM124" s="974"/>
      <c r="ABN124" s="974"/>
      <c r="ABO124" s="974"/>
      <c r="ABP124" s="974"/>
      <c r="ABQ124" s="974"/>
      <c r="ABR124" s="974"/>
      <c r="ABS124" s="974"/>
      <c r="ABT124" s="974"/>
      <c r="ABU124" s="974"/>
      <c r="ABV124" s="974"/>
      <c r="ABW124" s="974"/>
      <c r="ABX124" s="974"/>
      <c r="ABY124" s="974"/>
      <c r="ABZ124" s="974"/>
      <c r="ACA124" s="974"/>
      <c r="ACB124" s="974"/>
      <c r="ACC124" s="974"/>
      <c r="ACD124" s="974"/>
      <c r="ACE124" s="974"/>
      <c r="ACF124" s="974"/>
      <c r="ACG124" s="974"/>
      <c r="ACH124" s="974"/>
      <c r="ACI124" s="974"/>
      <c r="ACJ124" s="974"/>
      <c r="ACK124" s="974"/>
      <c r="ACL124" s="974"/>
      <c r="ACM124" s="974"/>
      <c r="ACN124" s="974"/>
      <c r="ACO124" s="974"/>
      <c r="ACP124" s="974"/>
      <c r="ACQ124" s="974"/>
      <c r="ACR124" s="974"/>
      <c r="ACS124" s="974"/>
      <c r="ACT124" s="974"/>
      <c r="ACU124" s="974"/>
      <c r="ACV124" s="974"/>
      <c r="ACW124" s="974"/>
      <c r="ACX124" s="974"/>
      <c r="ACY124" s="974"/>
      <c r="ACZ124" s="974"/>
      <c r="ADA124" s="974"/>
      <c r="ADB124" s="974"/>
      <c r="ADC124" s="974"/>
      <c r="ADD124" s="974"/>
      <c r="ADE124" s="974"/>
      <c r="ADF124" s="974"/>
      <c r="ADG124" s="974"/>
      <c r="ADH124" s="974"/>
      <c r="ADI124" s="974"/>
      <c r="ADJ124" s="974"/>
      <c r="ADK124" s="974"/>
      <c r="ADL124" s="974"/>
      <c r="ADM124" s="974"/>
      <c r="ADN124" s="974"/>
      <c r="ADO124" s="974"/>
      <c r="ADP124" s="974"/>
      <c r="ADQ124" s="974"/>
      <c r="ADR124" s="974"/>
      <c r="ADS124" s="974"/>
      <c r="ADT124" s="974"/>
      <c r="ADU124" s="974"/>
      <c r="ADV124" s="974"/>
      <c r="ADW124" s="974"/>
      <c r="ADX124" s="974"/>
      <c r="ADY124" s="974"/>
      <c r="ADZ124" s="974"/>
      <c r="AEA124" s="974"/>
      <c r="AEB124" s="974"/>
      <c r="AEC124" s="974"/>
      <c r="AED124" s="974"/>
      <c r="AEE124" s="974"/>
      <c r="AEF124" s="974"/>
      <c r="AEG124" s="974"/>
      <c r="AEH124" s="974"/>
      <c r="AEI124" s="974"/>
      <c r="AEJ124" s="974"/>
      <c r="AEK124" s="974"/>
      <c r="AEL124" s="974"/>
      <c r="AEM124" s="974"/>
      <c r="AEN124" s="974"/>
      <c r="AEO124" s="974"/>
      <c r="AEP124" s="974"/>
      <c r="AEQ124" s="974"/>
      <c r="AER124" s="974"/>
      <c r="AES124" s="974"/>
      <c r="AET124" s="974"/>
      <c r="AEU124" s="974"/>
      <c r="AEV124" s="974"/>
      <c r="AEW124" s="974"/>
      <c r="AEX124" s="974"/>
      <c r="AEY124" s="974"/>
      <c r="AEZ124" s="974"/>
      <c r="AFA124" s="974"/>
      <c r="AFB124" s="974"/>
      <c r="AFC124" s="974"/>
      <c r="AFD124" s="974"/>
      <c r="AFE124" s="974"/>
      <c r="AFF124" s="974"/>
      <c r="AFG124" s="974"/>
      <c r="AFH124" s="974"/>
      <c r="AFI124" s="974"/>
      <c r="AFJ124" s="974"/>
      <c r="AFK124" s="974"/>
      <c r="AFL124" s="974"/>
      <c r="AFM124" s="974"/>
      <c r="AFN124" s="974"/>
      <c r="AFO124" s="974"/>
      <c r="AFP124" s="974"/>
      <c r="AFQ124" s="974"/>
      <c r="AFR124" s="974"/>
      <c r="AFS124" s="974"/>
      <c r="AFT124" s="974"/>
      <c r="AFU124" s="974"/>
      <c r="AFV124" s="974"/>
      <c r="AFW124" s="974"/>
      <c r="AFX124" s="974"/>
      <c r="AFY124" s="974"/>
      <c r="AFZ124" s="974"/>
      <c r="AGA124" s="974"/>
      <c r="AGB124" s="974"/>
      <c r="AGC124" s="974"/>
      <c r="AGD124" s="974"/>
      <c r="AGE124" s="974"/>
      <c r="AGF124" s="974"/>
      <c r="AGG124" s="974"/>
      <c r="AGH124" s="974"/>
      <c r="AGI124" s="974"/>
      <c r="AGJ124" s="974"/>
      <c r="AGK124" s="974"/>
      <c r="AGL124" s="974"/>
      <c r="AGM124" s="974"/>
      <c r="AGN124" s="974"/>
      <c r="AGO124" s="974"/>
      <c r="AGP124" s="974"/>
      <c r="AGQ124" s="974"/>
      <c r="AGR124" s="974"/>
      <c r="AGS124" s="974"/>
      <c r="AGT124" s="974"/>
      <c r="AGU124" s="974"/>
      <c r="AGV124" s="974"/>
      <c r="AGW124" s="974"/>
      <c r="AGX124" s="974"/>
      <c r="AGY124" s="974"/>
      <c r="AGZ124" s="974"/>
      <c r="AHA124" s="974"/>
      <c r="AHB124" s="974"/>
      <c r="AHC124" s="974"/>
      <c r="AHD124" s="974"/>
      <c r="AHE124" s="974"/>
      <c r="AHF124" s="974"/>
      <c r="AHG124" s="974"/>
      <c r="AHH124" s="974"/>
      <c r="AHI124" s="974"/>
      <c r="AHJ124" s="974"/>
      <c r="AHK124" s="974"/>
      <c r="AHL124" s="974"/>
      <c r="AHM124" s="974"/>
      <c r="AHN124" s="974"/>
      <c r="AHO124" s="974"/>
      <c r="AHP124" s="974"/>
      <c r="AHQ124" s="974"/>
      <c r="AHR124" s="974"/>
      <c r="AHS124" s="974"/>
      <c r="AHT124" s="974"/>
      <c r="AHU124" s="974"/>
      <c r="AHV124" s="974"/>
      <c r="AHW124" s="974"/>
      <c r="AHX124" s="974"/>
      <c r="AHY124" s="974"/>
      <c r="AHZ124" s="974"/>
      <c r="AIA124" s="974"/>
      <c r="AIB124" s="974"/>
      <c r="AIC124" s="974"/>
      <c r="AID124" s="974"/>
      <c r="AIE124" s="974"/>
      <c r="AIF124" s="974"/>
      <c r="AIG124" s="974"/>
      <c r="AIH124" s="974"/>
      <c r="AII124" s="974"/>
      <c r="AIJ124" s="974"/>
      <c r="AIK124" s="974"/>
      <c r="AIL124" s="974"/>
      <c r="AIM124" s="974"/>
      <c r="AIN124" s="974"/>
      <c r="AIO124" s="974"/>
      <c r="AIP124" s="974"/>
      <c r="AIQ124" s="974"/>
      <c r="AIR124" s="974"/>
      <c r="AIS124" s="974"/>
      <c r="AIT124" s="974"/>
      <c r="AIU124" s="974"/>
      <c r="AIV124" s="974"/>
      <c r="AIW124" s="974"/>
      <c r="AIX124" s="974"/>
      <c r="AIY124" s="974"/>
      <c r="AIZ124" s="974"/>
      <c r="AJA124" s="974"/>
      <c r="AJB124" s="974"/>
      <c r="AJC124" s="974"/>
      <c r="AJD124" s="974"/>
      <c r="AJE124" s="974"/>
      <c r="AJF124" s="974"/>
      <c r="AJG124" s="974"/>
      <c r="AJH124" s="974"/>
      <c r="AJI124" s="974"/>
      <c r="AJJ124" s="974"/>
      <c r="AJK124" s="974"/>
      <c r="AJL124" s="974"/>
      <c r="AJM124" s="974"/>
      <c r="AJN124" s="974"/>
      <c r="AJO124" s="974"/>
      <c r="AJP124" s="974"/>
      <c r="AJQ124" s="974"/>
      <c r="AJR124" s="974"/>
      <c r="AJS124" s="974"/>
      <c r="AJT124" s="974"/>
      <c r="AJU124" s="974"/>
      <c r="AJV124" s="974"/>
      <c r="AJW124" s="974"/>
      <c r="AJX124" s="974"/>
      <c r="AJY124" s="974"/>
      <c r="AJZ124" s="974"/>
      <c r="AKA124" s="974"/>
      <c r="AKB124" s="974"/>
      <c r="AKC124" s="974"/>
      <c r="AKD124" s="974"/>
      <c r="AKE124" s="974"/>
      <c r="AKF124" s="974"/>
      <c r="AKG124" s="974"/>
      <c r="AKH124" s="974"/>
      <c r="AKI124" s="974"/>
      <c r="AKJ124" s="974"/>
      <c r="AKK124" s="974"/>
      <c r="AKL124" s="974"/>
      <c r="AKM124" s="974"/>
      <c r="AKN124" s="974"/>
      <c r="AKO124" s="974"/>
      <c r="AKP124" s="974"/>
      <c r="AKQ124" s="974"/>
      <c r="AKR124" s="974"/>
      <c r="AKS124" s="974"/>
      <c r="AKT124" s="974"/>
      <c r="AKU124" s="974"/>
      <c r="AKV124" s="974"/>
      <c r="AKW124" s="974"/>
      <c r="AKX124" s="974"/>
      <c r="AKY124" s="974"/>
      <c r="AKZ124" s="974"/>
      <c r="ALA124" s="974"/>
      <c r="ALB124" s="974"/>
      <c r="ALC124" s="974"/>
      <c r="ALD124" s="974"/>
      <c r="ALE124" s="974"/>
      <c r="ALF124" s="974"/>
      <c r="ALG124" s="974"/>
      <c r="ALH124" s="974"/>
      <c r="ALI124" s="974"/>
      <c r="ALJ124" s="974"/>
      <c r="ALK124" s="974"/>
      <c r="ALL124" s="974"/>
      <c r="ALM124" s="974"/>
      <c r="ALN124" s="974"/>
      <c r="ALO124" s="974"/>
      <c r="ALP124" s="974"/>
      <c r="ALQ124" s="974"/>
      <c r="ALR124" s="974"/>
      <c r="ALS124" s="974"/>
      <c r="ALT124" s="974"/>
      <c r="ALU124" s="974"/>
      <c r="ALV124" s="974"/>
      <c r="ALW124" s="974"/>
      <c r="ALX124" s="974"/>
      <c r="ALY124" s="974"/>
      <c r="ALZ124" s="974"/>
      <c r="AMA124" s="974"/>
      <c r="AMB124" s="974"/>
      <c r="AMC124" s="974"/>
      <c r="AMD124" s="974"/>
      <c r="AME124" s="974"/>
      <c r="AMF124" s="974"/>
      <c r="AMG124" s="974"/>
      <c r="AMH124" s="974"/>
      <c r="AMI124" s="974"/>
      <c r="AMJ124" s="974"/>
      <c r="AMK124" s="974"/>
      <c r="AML124" s="974"/>
      <c r="AMM124" s="974"/>
      <c r="AMN124" s="974"/>
      <c r="AMO124" s="974"/>
      <c r="AMP124" s="974"/>
      <c r="AMQ124" s="974"/>
      <c r="AMR124" s="974"/>
      <c r="AMS124" s="974"/>
      <c r="AMT124" s="974"/>
      <c r="AMU124" s="974"/>
      <c r="AMV124" s="974"/>
      <c r="AMW124" s="974"/>
      <c r="AMX124" s="974"/>
      <c r="AMY124" s="974"/>
      <c r="AMZ124" s="974"/>
      <c r="ANA124" s="974"/>
      <c r="ANB124" s="974"/>
      <c r="ANC124" s="974"/>
      <c r="AND124" s="974"/>
      <c r="ANE124" s="974"/>
      <c r="ANF124" s="974"/>
      <c r="ANG124" s="974"/>
      <c r="ANH124" s="974"/>
      <c r="ANI124" s="974"/>
      <c r="ANJ124" s="974"/>
      <c r="ANK124" s="974"/>
      <c r="ANL124" s="974"/>
      <c r="ANM124" s="974"/>
      <c r="ANN124" s="974"/>
      <c r="ANO124" s="974"/>
      <c r="ANP124" s="974"/>
      <c r="ANQ124" s="974"/>
      <c r="ANR124" s="974"/>
      <c r="ANS124" s="974"/>
      <c r="ANT124" s="974"/>
      <c r="ANU124" s="974"/>
      <c r="ANV124" s="974"/>
      <c r="ANW124" s="974"/>
      <c r="ANX124" s="974"/>
      <c r="ANY124" s="974"/>
      <c r="ANZ124" s="974"/>
      <c r="AOA124" s="974"/>
      <c r="AOB124" s="974"/>
      <c r="AOC124" s="974"/>
      <c r="AOD124" s="974"/>
      <c r="AOE124" s="974"/>
      <c r="AOF124" s="974"/>
      <c r="AOG124" s="974"/>
      <c r="AOH124" s="974"/>
      <c r="AOI124" s="974"/>
      <c r="AOJ124" s="974"/>
      <c r="AOK124" s="974"/>
      <c r="AOL124" s="974"/>
      <c r="AOM124" s="974"/>
      <c r="AON124" s="974"/>
      <c r="AOO124" s="974"/>
      <c r="AOP124" s="974"/>
      <c r="AOQ124" s="974"/>
      <c r="AOR124" s="974"/>
      <c r="AOS124" s="974"/>
      <c r="AOT124" s="974"/>
      <c r="AOU124" s="974"/>
      <c r="AOV124" s="974"/>
      <c r="AOW124" s="974"/>
      <c r="AOX124" s="974"/>
      <c r="AOY124" s="974"/>
      <c r="AOZ124" s="974"/>
      <c r="APA124" s="974"/>
      <c r="APB124" s="974"/>
      <c r="APC124" s="974"/>
      <c r="APD124" s="974"/>
      <c r="APE124" s="974"/>
      <c r="APF124" s="974"/>
      <c r="APG124" s="974"/>
      <c r="APH124" s="974"/>
      <c r="API124" s="974"/>
      <c r="APJ124" s="974"/>
      <c r="APK124" s="974"/>
      <c r="APL124" s="974"/>
      <c r="APM124" s="974"/>
      <c r="APN124" s="974"/>
      <c r="APO124" s="974"/>
      <c r="APP124" s="974"/>
      <c r="APQ124" s="974"/>
      <c r="APR124" s="974"/>
      <c r="APS124" s="974"/>
      <c r="APT124" s="974"/>
      <c r="APU124" s="974"/>
      <c r="APV124" s="974"/>
      <c r="APW124" s="974"/>
      <c r="APX124" s="974"/>
      <c r="APY124" s="974"/>
      <c r="APZ124" s="974"/>
      <c r="AQA124" s="974"/>
      <c r="AQB124" s="974"/>
      <c r="AQC124" s="974"/>
      <c r="AQD124" s="974"/>
      <c r="AQE124" s="974"/>
      <c r="AQF124" s="974"/>
      <c r="AQG124" s="974"/>
      <c r="AQH124" s="974"/>
      <c r="AQI124" s="974"/>
      <c r="AQJ124" s="974"/>
      <c r="AQK124" s="974"/>
      <c r="AQL124" s="974"/>
      <c r="AQM124" s="974"/>
      <c r="AQN124" s="974"/>
      <c r="AQO124" s="974"/>
      <c r="AQP124" s="974"/>
      <c r="AQQ124" s="974"/>
      <c r="AQR124" s="974"/>
      <c r="AQS124" s="974"/>
      <c r="AQT124" s="974"/>
      <c r="AQU124" s="974"/>
      <c r="AQV124" s="974"/>
      <c r="AQW124" s="974"/>
      <c r="AQX124" s="974"/>
      <c r="AQY124" s="974"/>
      <c r="AQZ124" s="974"/>
      <c r="ARA124" s="974"/>
      <c r="ARB124" s="974"/>
      <c r="ARC124" s="974"/>
      <c r="ARD124" s="974"/>
      <c r="ARE124" s="974"/>
      <c r="ARF124" s="974"/>
      <c r="ARG124" s="974"/>
      <c r="ARH124" s="974"/>
      <c r="ARI124" s="974"/>
      <c r="ARJ124" s="974"/>
      <c r="ARK124" s="974"/>
      <c r="ARL124" s="974"/>
      <c r="ARM124" s="974"/>
      <c r="ARN124" s="974"/>
      <c r="ARO124" s="974"/>
      <c r="ARP124" s="974"/>
      <c r="ARQ124" s="974"/>
      <c r="ARR124" s="974"/>
      <c r="ARS124" s="974"/>
      <c r="ART124" s="974"/>
      <c r="ARU124" s="974"/>
      <c r="ARV124" s="974"/>
      <c r="ARW124" s="974"/>
      <c r="ARX124" s="974"/>
      <c r="ARY124" s="974"/>
      <c r="ARZ124" s="974"/>
      <c r="ASA124" s="974"/>
      <c r="ASB124" s="974"/>
      <c r="ASC124" s="974"/>
      <c r="ASD124" s="974"/>
      <c r="ASE124" s="974"/>
      <c r="ASF124" s="974"/>
      <c r="ASG124" s="974"/>
      <c r="ASH124" s="974"/>
      <c r="ASI124" s="974"/>
      <c r="ASJ124" s="974"/>
      <c r="ASK124" s="974"/>
      <c r="ASL124" s="974"/>
      <c r="ASM124" s="974"/>
      <c r="ASN124" s="974"/>
      <c r="ASO124" s="974"/>
      <c r="ASP124" s="974"/>
      <c r="ASQ124" s="974"/>
      <c r="ASR124" s="974"/>
      <c r="ASS124" s="974"/>
      <c r="AST124" s="974"/>
      <c r="ASU124" s="974"/>
      <c r="ASV124" s="974"/>
      <c r="ASW124" s="974"/>
      <c r="ASX124" s="974"/>
      <c r="ASY124" s="974"/>
      <c r="ASZ124" s="974"/>
      <c r="ATA124" s="974"/>
      <c r="ATB124" s="974"/>
      <c r="ATC124" s="974"/>
      <c r="ATD124" s="974"/>
      <c r="ATE124" s="974"/>
      <c r="ATF124" s="974"/>
      <c r="ATG124" s="974"/>
      <c r="ATH124" s="974"/>
      <c r="ATI124" s="974"/>
      <c r="ATJ124" s="974"/>
      <c r="ATK124" s="974"/>
      <c r="ATL124" s="974"/>
      <c r="ATM124" s="974"/>
      <c r="ATN124" s="974"/>
      <c r="ATO124" s="974"/>
      <c r="ATP124" s="974"/>
      <c r="ATQ124" s="974"/>
      <c r="ATR124" s="974"/>
      <c r="ATS124" s="974"/>
      <c r="ATT124" s="974"/>
      <c r="ATU124" s="974"/>
      <c r="ATV124" s="974"/>
      <c r="ATW124" s="974"/>
      <c r="ATX124" s="974"/>
      <c r="ATY124" s="974"/>
      <c r="ATZ124" s="974"/>
      <c r="AUA124" s="974"/>
      <c r="AUB124" s="974"/>
      <c r="AUC124" s="974"/>
      <c r="AUD124" s="974"/>
      <c r="AUE124" s="974"/>
      <c r="AUF124" s="974"/>
      <c r="AUG124" s="974"/>
      <c r="AUH124" s="974"/>
      <c r="AUI124" s="974"/>
      <c r="AUJ124" s="974"/>
      <c r="AUK124" s="974"/>
      <c r="AUL124" s="974"/>
      <c r="AUM124" s="974"/>
      <c r="AUN124" s="974"/>
      <c r="AUO124" s="974"/>
      <c r="AUP124" s="974"/>
      <c r="AUQ124" s="974"/>
      <c r="AUR124" s="974"/>
      <c r="AUS124" s="974"/>
      <c r="AUT124" s="974"/>
      <c r="AUU124" s="974"/>
      <c r="AUV124" s="974"/>
      <c r="AUW124" s="974"/>
      <c r="AUX124" s="974"/>
      <c r="AUY124" s="974"/>
      <c r="AUZ124" s="974"/>
      <c r="AVA124" s="974"/>
      <c r="AVB124" s="974"/>
      <c r="AVC124" s="974"/>
      <c r="AVD124" s="974"/>
      <c r="AVE124" s="974"/>
      <c r="AVF124" s="974"/>
      <c r="AVG124" s="974"/>
      <c r="AVH124" s="974"/>
      <c r="AVI124" s="974"/>
      <c r="AVJ124" s="974"/>
      <c r="AVK124" s="974"/>
      <c r="AVL124" s="974"/>
      <c r="AVM124" s="974"/>
      <c r="AVN124" s="974"/>
      <c r="AVO124" s="974"/>
      <c r="AVP124" s="974"/>
      <c r="AVQ124" s="974"/>
      <c r="AVR124" s="974"/>
      <c r="AVS124" s="974"/>
      <c r="AVT124" s="974"/>
      <c r="AVU124" s="974"/>
      <c r="AVV124" s="974"/>
      <c r="AVW124" s="974"/>
      <c r="AVX124" s="974"/>
      <c r="AVY124" s="974"/>
      <c r="AVZ124" s="974"/>
      <c r="AWA124" s="974"/>
      <c r="AWB124" s="974"/>
      <c r="AWC124" s="974"/>
      <c r="AWD124" s="974"/>
      <c r="AWE124" s="974"/>
      <c r="AWF124" s="974"/>
      <c r="AWG124" s="974"/>
      <c r="AWH124" s="974"/>
      <c r="AWI124" s="974"/>
      <c r="AWJ124" s="974"/>
      <c r="AWK124" s="974"/>
      <c r="AWL124" s="974"/>
      <c r="AWM124" s="974"/>
      <c r="AWN124" s="974"/>
      <c r="AWO124" s="974"/>
      <c r="AWP124" s="974"/>
      <c r="AWQ124" s="974"/>
      <c r="AWR124" s="974"/>
      <c r="AWS124" s="974"/>
      <c r="AWT124" s="974"/>
      <c r="AWU124" s="974"/>
      <c r="AWV124" s="974"/>
      <c r="AWW124" s="974"/>
      <c r="AWX124" s="974"/>
      <c r="AWY124" s="974"/>
      <c r="AWZ124" s="974"/>
      <c r="AXA124" s="974"/>
      <c r="AXB124" s="974"/>
      <c r="AXC124" s="974"/>
      <c r="AXD124" s="974"/>
      <c r="AXE124" s="974"/>
      <c r="AXF124" s="974"/>
      <c r="AXG124" s="974"/>
      <c r="AXH124" s="974"/>
      <c r="AXI124" s="974"/>
      <c r="AXJ124" s="974"/>
      <c r="AXK124" s="974"/>
      <c r="AXL124" s="974"/>
      <c r="AXM124" s="974"/>
      <c r="AXN124" s="974"/>
      <c r="AXO124" s="974"/>
      <c r="AXP124" s="974"/>
      <c r="AXQ124" s="974"/>
      <c r="AXR124" s="974"/>
      <c r="AXS124" s="974"/>
      <c r="AXT124" s="974"/>
      <c r="AXU124" s="974"/>
      <c r="AXV124" s="974"/>
      <c r="AXW124" s="974"/>
      <c r="AXX124" s="974"/>
      <c r="AXY124" s="974"/>
      <c r="AXZ124" s="974"/>
      <c r="AYA124" s="974"/>
      <c r="AYB124" s="974"/>
      <c r="AYC124" s="974"/>
      <c r="AYD124" s="974"/>
      <c r="AYE124" s="974"/>
      <c r="AYF124" s="974"/>
      <c r="AYG124" s="974"/>
      <c r="AYH124" s="974"/>
      <c r="AYI124" s="974"/>
      <c r="AYJ124" s="974"/>
      <c r="AYK124" s="974"/>
      <c r="AYL124" s="974"/>
      <c r="AYM124" s="974"/>
      <c r="AYN124" s="974"/>
      <c r="AYO124" s="974"/>
      <c r="AYP124" s="974"/>
      <c r="AYQ124" s="974"/>
      <c r="AYR124" s="974"/>
      <c r="AYS124" s="974"/>
      <c r="AYT124" s="974"/>
      <c r="AYU124" s="974"/>
      <c r="AYV124" s="974"/>
      <c r="AYW124" s="974"/>
      <c r="AYX124" s="974"/>
      <c r="AYY124" s="974"/>
      <c r="AYZ124" s="974"/>
      <c r="AZA124" s="974"/>
      <c r="AZB124" s="974"/>
      <c r="AZC124" s="974"/>
      <c r="AZD124" s="974"/>
      <c r="AZE124" s="974"/>
      <c r="AZF124" s="974"/>
      <c r="AZG124" s="974"/>
      <c r="AZH124" s="974"/>
      <c r="AZI124" s="974"/>
      <c r="AZJ124" s="974"/>
      <c r="AZK124" s="974"/>
      <c r="AZL124" s="974"/>
      <c r="AZM124" s="974"/>
      <c r="AZN124" s="974"/>
      <c r="AZO124" s="974"/>
      <c r="AZP124" s="974"/>
      <c r="AZQ124" s="974"/>
      <c r="AZR124" s="974"/>
      <c r="AZS124" s="974"/>
      <c r="AZT124" s="974"/>
      <c r="AZU124" s="974"/>
      <c r="AZV124" s="974"/>
      <c r="AZW124" s="974"/>
      <c r="AZX124" s="974"/>
      <c r="AZY124" s="974"/>
      <c r="AZZ124" s="974"/>
      <c r="BAA124" s="974"/>
      <c r="BAB124" s="974"/>
      <c r="BAC124" s="974"/>
      <c r="BAD124" s="974"/>
      <c r="BAE124" s="974"/>
      <c r="BAF124" s="974"/>
      <c r="BAG124" s="974"/>
      <c r="BAH124" s="974"/>
      <c r="BAI124" s="974"/>
      <c r="BAJ124" s="974"/>
      <c r="BAK124" s="974"/>
      <c r="BAL124" s="974"/>
      <c r="BAM124" s="974"/>
      <c r="BAN124" s="974"/>
      <c r="BAO124" s="974"/>
      <c r="BAP124" s="974"/>
      <c r="BAQ124" s="974"/>
      <c r="BAR124" s="974"/>
      <c r="BAS124" s="974"/>
      <c r="BAT124" s="974"/>
      <c r="BAU124" s="974"/>
      <c r="BAV124" s="974"/>
      <c r="BAW124" s="974"/>
      <c r="BAX124" s="974"/>
      <c r="BAY124" s="974"/>
      <c r="BAZ124" s="974"/>
      <c r="BBA124" s="974"/>
      <c r="BBB124" s="974"/>
      <c r="BBC124" s="974"/>
      <c r="BBD124" s="974"/>
      <c r="BBE124" s="974"/>
      <c r="BBF124" s="974"/>
      <c r="BBG124" s="974"/>
      <c r="BBH124" s="974"/>
      <c r="BBI124" s="974"/>
      <c r="BBJ124" s="974"/>
      <c r="BBK124" s="974"/>
      <c r="BBL124" s="974"/>
      <c r="BBM124" s="974"/>
      <c r="BBN124" s="974"/>
      <c r="BBO124" s="974"/>
      <c r="BBP124" s="974"/>
      <c r="BBQ124" s="974"/>
      <c r="BBR124" s="974"/>
      <c r="BBS124" s="974"/>
      <c r="BBT124" s="974"/>
      <c r="BBU124" s="974"/>
      <c r="BBV124" s="974"/>
      <c r="BBW124" s="974"/>
      <c r="BBX124" s="974"/>
      <c r="BBY124" s="974"/>
      <c r="BBZ124" s="974"/>
      <c r="BCA124" s="974"/>
      <c r="BCB124" s="974"/>
      <c r="BCC124" s="974"/>
      <c r="BCD124" s="974"/>
      <c r="BCE124" s="974"/>
      <c r="BCF124" s="974"/>
      <c r="BCG124" s="974"/>
      <c r="BCH124" s="974"/>
      <c r="BCI124" s="974"/>
      <c r="BCJ124" s="974"/>
      <c r="BCK124" s="974"/>
      <c r="BCL124" s="974"/>
      <c r="BCM124" s="974"/>
      <c r="BCN124" s="974"/>
      <c r="BCO124" s="974"/>
      <c r="BCP124" s="974"/>
      <c r="BCQ124" s="974"/>
      <c r="BCR124" s="974"/>
      <c r="BCS124" s="974"/>
      <c r="BCT124" s="974"/>
      <c r="BCU124" s="974"/>
      <c r="BCV124" s="974"/>
      <c r="BCW124" s="974"/>
      <c r="BCX124" s="974"/>
      <c r="BCY124" s="974"/>
      <c r="BCZ124" s="974"/>
      <c r="BDA124" s="974"/>
      <c r="BDB124" s="974"/>
      <c r="BDC124" s="974"/>
      <c r="BDD124" s="974"/>
      <c r="BDE124" s="974"/>
      <c r="BDF124" s="974"/>
      <c r="BDG124" s="974"/>
      <c r="BDH124" s="974"/>
      <c r="BDI124" s="974"/>
      <c r="BDJ124" s="974"/>
      <c r="BDK124" s="974"/>
      <c r="BDL124" s="974"/>
      <c r="BDM124" s="974"/>
      <c r="BDN124" s="974"/>
      <c r="BDO124" s="974"/>
      <c r="BDP124" s="974"/>
      <c r="BDQ124" s="974"/>
      <c r="BDR124" s="974"/>
      <c r="BDS124" s="974"/>
      <c r="BDT124" s="974"/>
      <c r="BDU124" s="974"/>
      <c r="BDV124" s="974"/>
      <c r="BDW124" s="974"/>
      <c r="BDX124" s="974"/>
      <c r="BDY124" s="974"/>
      <c r="BDZ124" s="974"/>
      <c r="BEA124" s="974"/>
      <c r="BEB124" s="974"/>
      <c r="BEC124" s="974"/>
      <c r="BED124" s="974"/>
      <c r="BEE124" s="974"/>
      <c r="BEF124" s="974"/>
      <c r="BEG124" s="974"/>
      <c r="BEH124" s="974"/>
      <c r="BEI124" s="974"/>
      <c r="BEJ124" s="974"/>
      <c r="BEK124" s="974"/>
      <c r="BEL124" s="974"/>
      <c r="BEM124" s="974"/>
      <c r="BEN124" s="974"/>
      <c r="BEO124" s="974"/>
      <c r="BEP124" s="974"/>
      <c r="BEQ124" s="974"/>
      <c r="BER124" s="974"/>
      <c r="BES124" s="974"/>
      <c r="BET124" s="974"/>
      <c r="BEU124" s="974"/>
      <c r="BEV124" s="974"/>
      <c r="BEW124" s="974"/>
      <c r="BEX124" s="974"/>
      <c r="BEY124" s="974"/>
      <c r="BEZ124" s="974"/>
      <c r="BFA124" s="974"/>
      <c r="BFB124" s="974"/>
      <c r="BFC124" s="974"/>
      <c r="BFD124" s="974"/>
      <c r="BFE124" s="974"/>
      <c r="BFF124" s="974"/>
      <c r="BFG124" s="974"/>
      <c r="BFH124" s="974"/>
      <c r="BFI124" s="974"/>
      <c r="BFJ124" s="974"/>
      <c r="BFK124" s="974"/>
      <c r="BFL124" s="974"/>
      <c r="BFM124" s="974"/>
      <c r="BFN124" s="974"/>
      <c r="BFO124" s="974"/>
      <c r="BFP124" s="974"/>
      <c r="BFQ124" s="974"/>
      <c r="BFR124" s="974"/>
      <c r="BFS124" s="974"/>
      <c r="BFT124" s="974"/>
      <c r="BFU124" s="974"/>
      <c r="BFV124" s="974"/>
      <c r="BFW124" s="974"/>
      <c r="BFX124" s="974"/>
      <c r="BFY124" s="974"/>
      <c r="BFZ124" s="974"/>
      <c r="BGA124" s="974"/>
      <c r="BGB124" s="974"/>
      <c r="BGC124" s="974"/>
      <c r="BGD124" s="974"/>
      <c r="BGE124" s="974"/>
      <c r="BGF124" s="974"/>
      <c r="BGG124" s="974"/>
      <c r="BGH124" s="974"/>
      <c r="BGI124" s="974"/>
      <c r="BGJ124" s="974"/>
      <c r="BGK124" s="974"/>
      <c r="BGL124" s="974"/>
      <c r="BGM124" s="974"/>
      <c r="BGN124" s="974"/>
      <c r="BGO124" s="974"/>
      <c r="BGP124" s="974"/>
      <c r="BGQ124" s="974"/>
      <c r="BGR124" s="974"/>
      <c r="BGS124" s="974"/>
      <c r="BGT124" s="974"/>
      <c r="BGU124" s="974"/>
      <c r="BGV124" s="974"/>
      <c r="BGW124" s="974"/>
      <c r="BGX124" s="974"/>
      <c r="BGY124" s="974"/>
      <c r="BGZ124" s="974"/>
      <c r="BHA124" s="974"/>
      <c r="BHB124" s="974"/>
      <c r="BHC124" s="974"/>
      <c r="BHD124" s="974"/>
      <c r="BHE124" s="974"/>
      <c r="BHF124" s="974"/>
      <c r="BHG124" s="974"/>
      <c r="BHH124" s="974"/>
      <c r="BHI124" s="974"/>
      <c r="BHJ124" s="974"/>
      <c r="BHK124" s="974"/>
      <c r="BHL124" s="974"/>
      <c r="BHM124" s="974"/>
      <c r="BHN124" s="974"/>
      <c r="BHO124" s="974"/>
      <c r="BHP124" s="974"/>
      <c r="BHQ124" s="974"/>
      <c r="BHR124" s="974"/>
      <c r="BHS124" s="974"/>
      <c r="BHT124" s="974"/>
      <c r="BHU124" s="974"/>
      <c r="BHV124" s="974"/>
      <c r="BHW124" s="974"/>
      <c r="BHX124" s="974"/>
      <c r="BHY124" s="974"/>
      <c r="BHZ124" s="974"/>
      <c r="BIA124" s="974"/>
      <c r="BIB124" s="974"/>
      <c r="BIC124" s="974"/>
      <c r="BID124" s="974"/>
      <c r="BIE124" s="974"/>
      <c r="BIF124" s="974"/>
      <c r="BIG124" s="974"/>
      <c r="BIH124" s="974"/>
      <c r="BII124" s="974"/>
      <c r="BIJ124" s="974"/>
      <c r="BIK124" s="974"/>
      <c r="BIL124" s="974"/>
      <c r="BIM124" s="974"/>
      <c r="BIN124" s="974"/>
      <c r="BIO124" s="974"/>
      <c r="BIP124" s="974"/>
      <c r="BIQ124" s="974"/>
      <c r="BIR124" s="974"/>
      <c r="BIS124" s="974"/>
      <c r="BIT124" s="974"/>
      <c r="BIU124" s="974"/>
      <c r="BIV124" s="974"/>
      <c r="BIW124" s="974"/>
      <c r="BIX124" s="974"/>
      <c r="BIY124" s="974"/>
      <c r="BIZ124" s="974"/>
      <c r="BJA124" s="974"/>
      <c r="BJB124" s="974"/>
      <c r="BJC124" s="974"/>
      <c r="BJD124" s="974"/>
      <c r="BJE124" s="974"/>
      <c r="BJF124" s="974"/>
      <c r="BJG124" s="974"/>
      <c r="BJH124" s="974"/>
      <c r="BJI124" s="974"/>
      <c r="BJJ124" s="974"/>
      <c r="BJK124" s="974"/>
      <c r="BJL124" s="974"/>
      <c r="BJM124" s="974"/>
      <c r="BJN124" s="974"/>
      <c r="BJO124" s="974"/>
      <c r="BJP124" s="974"/>
      <c r="BJQ124" s="974"/>
      <c r="BJR124" s="974"/>
      <c r="BJS124" s="974"/>
      <c r="BJT124" s="974"/>
      <c r="BJU124" s="974"/>
      <c r="BJV124" s="974"/>
      <c r="BJW124" s="974"/>
      <c r="BJX124" s="974"/>
      <c r="BJY124" s="974"/>
      <c r="BJZ124" s="974"/>
      <c r="BKA124" s="974"/>
      <c r="BKB124" s="974"/>
      <c r="BKC124" s="974"/>
      <c r="BKD124" s="974"/>
      <c r="BKE124" s="974"/>
      <c r="BKF124" s="974"/>
      <c r="BKG124" s="974"/>
      <c r="BKH124" s="974"/>
      <c r="BKI124" s="974"/>
      <c r="BKJ124" s="974"/>
      <c r="BKK124" s="974"/>
      <c r="BKL124" s="974"/>
      <c r="BKM124" s="974"/>
      <c r="BKN124" s="974"/>
      <c r="BKO124" s="974"/>
      <c r="BKP124" s="974"/>
      <c r="BKQ124" s="974"/>
      <c r="BKR124" s="974"/>
      <c r="BKS124" s="974"/>
      <c r="BKT124" s="974"/>
      <c r="BKU124" s="974"/>
      <c r="BKV124" s="974"/>
      <c r="BKW124" s="974"/>
      <c r="BKX124" s="974"/>
      <c r="BKY124" s="974"/>
      <c r="BKZ124" s="974"/>
      <c r="BLA124" s="974"/>
      <c r="BLB124" s="974"/>
      <c r="BLC124" s="974"/>
      <c r="BLD124" s="974"/>
      <c r="BLE124" s="974"/>
      <c r="BLF124" s="974"/>
      <c r="BLG124" s="974"/>
      <c r="BLH124" s="974"/>
      <c r="BLI124" s="974"/>
      <c r="BLJ124" s="974"/>
      <c r="BLK124" s="974"/>
      <c r="BLL124" s="974"/>
      <c r="BLM124" s="974"/>
      <c r="BLN124" s="974"/>
      <c r="BLO124" s="974"/>
      <c r="BLP124" s="974"/>
      <c r="BLQ124" s="974"/>
      <c r="BLR124" s="974"/>
      <c r="BLS124" s="974"/>
      <c r="BLT124" s="974"/>
      <c r="BLU124" s="974"/>
      <c r="BLV124" s="974"/>
      <c r="BLW124" s="974"/>
      <c r="BLX124" s="974"/>
      <c r="BLY124" s="974"/>
      <c r="BLZ124" s="974"/>
      <c r="BMA124" s="974"/>
      <c r="BMB124" s="974"/>
      <c r="BMC124" s="974"/>
      <c r="BMD124" s="974"/>
      <c r="BME124" s="974"/>
      <c r="BMF124" s="974"/>
      <c r="BMG124" s="974"/>
      <c r="BMH124" s="974"/>
      <c r="BMI124" s="974"/>
      <c r="BMJ124" s="974"/>
      <c r="BMK124" s="974"/>
      <c r="BML124" s="974"/>
      <c r="BMM124" s="974"/>
      <c r="BMN124" s="974"/>
      <c r="BMO124" s="974"/>
      <c r="BMP124" s="974"/>
      <c r="BMQ124" s="974"/>
      <c r="BMR124" s="974"/>
      <c r="BMS124" s="974"/>
      <c r="BMT124" s="974"/>
      <c r="BMU124" s="974"/>
      <c r="BMV124" s="974"/>
      <c r="BMW124" s="974"/>
      <c r="BMX124" s="974"/>
      <c r="BMY124" s="974"/>
      <c r="BMZ124" s="974"/>
      <c r="BNA124" s="974"/>
      <c r="BNB124" s="974"/>
      <c r="BNC124" s="974"/>
      <c r="BND124" s="974"/>
      <c r="BNE124" s="974"/>
      <c r="BNF124" s="974"/>
      <c r="BNG124" s="974"/>
      <c r="BNH124" s="974"/>
      <c r="BNI124" s="974"/>
      <c r="BNJ124" s="974"/>
      <c r="BNK124" s="974"/>
      <c r="BNL124" s="974"/>
      <c r="BNM124" s="974"/>
      <c r="BNN124" s="974"/>
      <c r="BNO124" s="974"/>
      <c r="BNP124" s="974"/>
      <c r="BNQ124" s="974"/>
      <c r="BNR124" s="974"/>
      <c r="BNS124" s="974"/>
      <c r="BNT124" s="974"/>
      <c r="BNU124" s="974"/>
      <c r="BNV124" s="974"/>
      <c r="BNW124" s="974"/>
      <c r="BNX124" s="974"/>
      <c r="BNY124" s="974"/>
      <c r="BNZ124" s="974"/>
      <c r="BOA124" s="974"/>
      <c r="BOB124" s="974"/>
      <c r="BOC124" s="974"/>
      <c r="BOD124" s="974"/>
      <c r="BOE124" s="974"/>
      <c r="BOF124" s="974"/>
      <c r="BOG124" s="974"/>
      <c r="BOH124" s="974"/>
      <c r="BOI124" s="974"/>
      <c r="BOJ124" s="974"/>
      <c r="BOK124" s="974"/>
      <c r="BOL124" s="974"/>
      <c r="BOM124" s="974"/>
      <c r="BON124" s="974"/>
      <c r="BOO124" s="974"/>
      <c r="BOP124" s="974"/>
      <c r="BOQ124" s="974"/>
      <c r="BOR124" s="974"/>
      <c r="BOS124" s="974"/>
      <c r="BOT124" s="974"/>
      <c r="BOU124" s="974"/>
      <c r="BOV124" s="974"/>
      <c r="BOW124" s="974"/>
      <c r="BOX124" s="974"/>
      <c r="BOY124" s="974"/>
      <c r="BOZ124" s="974"/>
      <c r="BPA124" s="974"/>
      <c r="BPB124" s="974"/>
      <c r="BPC124" s="974"/>
      <c r="BPD124" s="974"/>
      <c r="BPE124" s="974"/>
      <c r="BPF124" s="974"/>
      <c r="BPG124" s="974"/>
      <c r="BPH124" s="974"/>
      <c r="BPI124" s="974"/>
      <c r="BPJ124" s="974"/>
      <c r="BPK124" s="974"/>
      <c r="BPL124" s="974"/>
      <c r="BPM124" s="974"/>
      <c r="BPN124" s="974"/>
      <c r="BPO124" s="974"/>
      <c r="BPP124" s="974"/>
      <c r="BPQ124" s="974"/>
      <c r="BPR124" s="974"/>
      <c r="BPS124" s="974"/>
      <c r="BPT124" s="974"/>
      <c r="BPU124" s="974"/>
      <c r="BPV124" s="974"/>
      <c r="BPW124" s="974"/>
      <c r="BPX124" s="974"/>
      <c r="BPY124" s="974"/>
      <c r="BPZ124" s="974"/>
      <c r="BQA124" s="974"/>
      <c r="BQB124" s="974"/>
      <c r="BQC124" s="974"/>
      <c r="BQD124" s="974"/>
      <c r="BQE124" s="974"/>
      <c r="BQF124" s="974"/>
      <c r="BQG124" s="974"/>
      <c r="BQH124" s="974"/>
      <c r="BQI124" s="974"/>
      <c r="BQJ124" s="974"/>
      <c r="BQK124" s="974"/>
      <c r="BQL124" s="974"/>
      <c r="BQM124" s="974"/>
      <c r="BQN124" s="974"/>
      <c r="BQO124" s="974"/>
      <c r="BQP124" s="974"/>
      <c r="BQQ124" s="974"/>
      <c r="BQR124" s="974"/>
      <c r="BQS124" s="974"/>
      <c r="BQT124" s="974"/>
      <c r="BQU124" s="974"/>
      <c r="BQV124" s="974"/>
      <c r="BQW124" s="974"/>
      <c r="BQX124" s="974"/>
      <c r="BQY124" s="974"/>
      <c r="BQZ124" s="974"/>
      <c r="BRA124" s="974"/>
      <c r="BRB124" s="974"/>
      <c r="BRC124" s="974"/>
      <c r="BRD124" s="974"/>
      <c r="BRE124" s="974"/>
      <c r="BRF124" s="974"/>
      <c r="BRG124" s="974"/>
      <c r="BRH124" s="974"/>
      <c r="BRI124" s="974"/>
      <c r="BRJ124" s="974"/>
      <c r="BRK124" s="974"/>
      <c r="BRL124" s="974"/>
      <c r="BRM124" s="974"/>
      <c r="BRN124" s="974"/>
      <c r="BRO124" s="974"/>
      <c r="BRP124" s="974"/>
      <c r="BRQ124" s="974"/>
      <c r="BRR124" s="974"/>
      <c r="BRS124" s="974"/>
      <c r="BRT124" s="974"/>
      <c r="BRU124" s="974"/>
      <c r="BRV124" s="974"/>
      <c r="BRW124" s="974"/>
      <c r="BRX124" s="974"/>
      <c r="BRY124" s="974"/>
      <c r="BRZ124" s="974"/>
      <c r="BSA124" s="974"/>
      <c r="BSB124" s="974"/>
      <c r="BSC124" s="974"/>
      <c r="BSD124" s="974"/>
      <c r="BSE124" s="974"/>
      <c r="BSF124" s="974"/>
      <c r="BSG124" s="974"/>
      <c r="BSH124" s="974"/>
      <c r="BSI124" s="974"/>
      <c r="BSJ124" s="974"/>
      <c r="BSK124" s="974"/>
      <c r="BSL124" s="974"/>
      <c r="BSM124" s="974"/>
      <c r="BSN124" s="974"/>
      <c r="BSO124" s="974"/>
      <c r="BSP124" s="974"/>
      <c r="BSQ124" s="974"/>
      <c r="BSR124" s="974"/>
      <c r="BSS124" s="974"/>
      <c r="BST124" s="974"/>
      <c r="BSU124" s="974"/>
      <c r="BSV124" s="974"/>
      <c r="BSW124" s="974"/>
      <c r="BSX124" s="974"/>
      <c r="BSY124" s="974"/>
      <c r="BSZ124" s="974"/>
      <c r="BTA124" s="974"/>
      <c r="BTB124" s="974"/>
      <c r="BTC124" s="974"/>
      <c r="BTD124" s="974"/>
      <c r="BTE124" s="974"/>
      <c r="BTF124" s="974"/>
      <c r="BTG124" s="974"/>
      <c r="BTH124" s="974"/>
      <c r="BTI124" s="974"/>
      <c r="BTJ124" s="974"/>
      <c r="BTK124" s="974"/>
      <c r="BTL124" s="974"/>
      <c r="BTM124" s="974"/>
      <c r="BTN124" s="974"/>
      <c r="BTO124" s="974"/>
      <c r="BTP124" s="974"/>
      <c r="BTQ124" s="974"/>
      <c r="BTR124" s="974"/>
      <c r="BTS124" s="974"/>
      <c r="BTT124" s="974"/>
      <c r="BTU124" s="974"/>
      <c r="BTV124" s="974"/>
      <c r="BTW124" s="974"/>
      <c r="BTX124" s="974"/>
      <c r="BTY124" s="974"/>
      <c r="BTZ124" s="974"/>
      <c r="BUA124" s="974"/>
      <c r="BUB124" s="974"/>
      <c r="BUC124" s="974"/>
      <c r="BUD124" s="974"/>
      <c r="BUE124" s="974"/>
      <c r="BUF124" s="974"/>
      <c r="BUG124" s="974"/>
      <c r="BUH124" s="974"/>
      <c r="BUI124" s="974"/>
      <c r="BUJ124" s="974"/>
      <c r="BUK124" s="974"/>
      <c r="BUL124" s="974"/>
      <c r="BUM124" s="974"/>
      <c r="BUN124" s="974"/>
      <c r="BUO124" s="974"/>
      <c r="BUP124" s="974"/>
      <c r="BUQ124" s="974"/>
      <c r="BUR124" s="974"/>
      <c r="BUS124" s="974"/>
      <c r="BUT124" s="974"/>
      <c r="BUU124" s="974"/>
      <c r="BUV124" s="974"/>
      <c r="BUW124" s="974"/>
      <c r="BUX124" s="974"/>
      <c r="BUY124" s="974"/>
      <c r="BUZ124" s="974"/>
      <c r="BVA124" s="974"/>
      <c r="BVB124" s="974"/>
      <c r="BVC124" s="974"/>
      <c r="BVD124" s="974"/>
      <c r="BVE124" s="974"/>
      <c r="BVF124" s="974"/>
      <c r="BVG124" s="974"/>
      <c r="BVH124" s="974"/>
      <c r="BVI124" s="974"/>
      <c r="BVJ124" s="974"/>
      <c r="BVK124" s="974"/>
      <c r="BVL124" s="974"/>
      <c r="BVM124" s="974"/>
      <c r="BVN124" s="974"/>
      <c r="BVO124" s="974"/>
      <c r="BVP124" s="974"/>
      <c r="BVQ124" s="974"/>
      <c r="BVR124" s="974"/>
      <c r="BVS124" s="974"/>
      <c r="BVT124" s="974"/>
      <c r="BVU124" s="974"/>
      <c r="BVV124" s="974"/>
      <c r="BVW124" s="974"/>
      <c r="BVX124" s="974"/>
      <c r="BVY124" s="974"/>
      <c r="BVZ124" s="974"/>
      <c r="BWA124" s="974"/>
      <c r="BWB124" s="974"/>
      <c r="BWC124" s="974"/>
      <c r="BWD124" s="974"/>
      <c r="BWE124" s="974"/>
      <c r="BWF124" s="974"/>
      <c r="BWG124" s="974"/>
      <c r="BWH124" s="974"/>
      <c r="BWI124" s="974"/>
      <c r="BWJ124" s="974"/>
      <c r="BWK124" s="974"/>
      <c r="BWL124" s="974"/>
      <c r="BWM124" s="974"/>
      <c r="BWN124" s="974"/>
      <c r="BWO124" s="974"/>
      <c r="BWP124" s="974"/>
      <c r="BWQ124" s="974"/>
      <c r="BWR124" s="974"/>
      <c r="BWS124" s="974"/>
      <c r="BWT124" s="974"/>
      <c r="BWU124" s="974"/>
      <c r="BWV124" s="974"/>
      <c r="BWW124" s="974"/>
      <c r="BWX124" s="974"/>
      <c r="BWY124" s="974"/>
      <c r="BWZ124" s="974"/>
      <c r="BXA124" s="974"/>
      <c r="BXB124" s="974"/>
      <c r="BXC124" s="974"/>
      <c r="BXD124" s="974"/>
      <c r="BXE124" s="974"/>
      <c r="BXF124" s="974"/>
      <c r="BXG124" s="974"/>
      <c r="BXH124" s="974"/>
      <c r="BXI124" s="974"/>
      <c r="BXJ124" s="974"/>
      <c r="BXK124" s="974"/>
      <c r="BXL124" s="974"/>
      <c r="BXM124" s="974"/>
      <c r="BXN124" s="974"/>
      <c r="BXO124" s="974"/>
      <c r="BXP124" s="974"/>
      <c r="BXQ124" s="974"/>
      <c r="BXR124" s="974"/>
      <c r="BXS124" s="974"/>
      <c r="BXT124" s="974"/>
      <c r="BXU124" s="974"/>
      <c r="BXV124" s="974"/>
      <c r="BXW124" s="974"/>
      <c r="BXX124" s="974"/>
      <c r="BXY124" s="974"/>
      <c r="BXZ124" s="974"/>
      <c r="BYA124" s="974"/>
      <c r="BYB124" s="974"/>
      <c r="BYC124" s="974"/>
      <c r="BYD124" s="974"/>
      <c r="BYE124" s="974"/>
      <c r="BYF124" s="974"/>
      <c r="BYG124" s="974"/>
      <c r="BYH124" s="974"/>
      <c r="BYI124" s="974"/>
      <c r="BYJ124" s="974"/>
      <c r="BYK124" s="974"/>
      <c r="BYL124" s="974"/>
      <c r="BYM124" s="974"/>
      <c r="BYN124" s="974"/>
      <c r="BYO124" s="974"/>
      <c r="BYP124" s="974"/>
      <c r="BYQ124" s="974"/>
      <c r="BYR124" s="974"/>
      <c r="BYS124" s="974"/>
      <c r="BYT124" s="974"/>
      <c r="BYU124" s="974"/>
      <c r="BYV124" s="974"/>
      <c r="BYW124" s="974"/>
      <c r="BYX124" s="974"/>
      <c r="BYY124" s="974"/>
      <c r="BYZ124" s="974"/>
      <c r="BZA124" s="974"/>
      <c r="BZB124" s="974"/>
      <c r="BZC124" s="974"/>
      <c r="BZD124" s="974"/>
      <c r="BZE124" s="974"/>
      <c r="BZF124" s="974"/>
      <c r="BZG124" s="974"/>
      <c r="BZH124" s="974"/>
      <c r="BZI124" s="974"/>
      <c r="BZJ124" s="974"/>
      <c r="BZK124" s="974"/>
      <c r="BZL124" s="974"/>
      <c r="BZM124" s="974"/>
      <c r="BZN124" s="974"/>
      <c r="BZO124" s="974"/>
      <c r="BZP124" s="974"/>
      <c r="BZQ124" s="974"/>
      <c r="BZR124" s="974"/>
      <c r="BZS124" s="974"/>
      <c r="BZT124" s="974"/>
      <c r="BZU124" s="974"/>
      <c r="BZV124" s="974"/>
      <c r="BZW124" s="974"/>
      <c r="BZX124" s="974"/>
      <c r="BZY124" s="974"/>
      <c r="BZZ124" s="974"/>
      <c r="CAA124" s="974"/>
      <c r="CAB124" s="974"/>
      <c r="CAC124" s="974"/>
      <c r="CAD124" s="974"/>
      <c r="CAE124" s="974"/>
      <c r="CAF124" s="974"/>
      <c r="CAG124" s="974"/>
      <c r="CAH124" s="974"/>
      <c r="CAI124" s="974"/>
      <c r="CAJ124" s="974"/>
      <c r="CAK124" s="974"/>
      <c r="CAL124" s="974"/>
      <c r="CAM124" s="974"/>
      <c r="CAN124" s="974"/>
      <c r="CAO124" s="974"/>
      <c r="CAP124" s="974"/>
      <c r="CAQ124" s="974"/>
      <c r="CAR124" s="974"/>
      <c r="CAS124" s="974"/>
      <c r="CAT124" s="974"/>
      <c r="CAU124" s="974"/>
      <c r="CAV124" s="974"/>
      <c r="CAW124" s="974"/>
      <c r="CAX124" s="974"/>
      <c r="CAY124" s="974"/>
      <c r="CAZ124" s="974"/>
      <c r="CBA124" s="974"/>
      <c r="CBB124" s="974"/>
      <c r="CBC124" s="974"/>
      <c r="CBD124" s="974"/>
      <c r="CBE124" s="974"/>
      <c r="CBF124" s="974"/>
      <c r="CBG124" s="974"/>
      <c r="CBH124" s="974"/>
      <c r="CBI124" s="974"/>
      <c r="CBJ124" s="974"/>
      <c r="CBK124" s="974"/>
      <c r="CBL124" s="974"/>
      <c r="CBM124" s="974"/>
      <c r="CBN124" s="974"/>
      <c r="CBO124" s="974"/>
      <c r="CBP124" s="974"/>
      <c r="CBQ124" s="974"/>
      <c r="CBR124" s="974"/>
      <c r="CBS124" s="974"/>
      <c r="CBT124" s="974"/>
      <c r="CBU124" s="974"/>
      <c r="CBV124" s="974"/>
      <c r="CBW124" s="974"/>
      <c r="CBX124" s="974"/>
      <c r="CBY124" s="974"/>
      <c r="CBZ124" s="974"/>
      <c r="CCA124" s="974"/>
      <c r="CCB124" s="974"/>
      <c r="CCC124" s="974"/>
      <c r="CCD124" s="974"/>
      <c r="CCE124" s="974"/>
      <c r="CCF124" s="974"/>
      <c r="CCG124" s="974"/>
      <c r="CCH124" s="974"/>
      <c r="CCI124" s="974"/>
      <c r="CCJ124" s="974"/>
      <c r="CCK124" s="974"/>
      <c r="CCL124" s="974"/>
      <c r="CCM124" s="974"/>
      <c r="CCN124" s="974"/>
      <c r="CCO124" s="974"/>
      <c r="CCP124" s="974"/>
      <c r="CCQ124" s="974"/>
      <c r="CCR124" s="974"/>
      <c r="CCS124" s="974"/>
      <c r="CCT124" s="974"/>
      <c r="CCU124" s="974"/>
      <c r="CCV124" s="974"/>
      <c r="CCW124" s="974"/>
      <c r="CCX124" s="974"/>
      <c r="CCY124" s="974"/>
      <c r="CCZ124" s="974"/>
      <c r="CDA124" s="974"/>
      <c r="CDB124" s="974"/>
      <c r="CDC124" s="974"/>
      <c r="CDD124" s="974"/>
      <c r="CDE124" s="974"/>
      <c r="CDF124" s="974"/>
      <c r="CDG124" s="974"/>
      <c r="CDH124" s="974"/>
      <c r="CDI124" s="974"/>
      <c r="CDJ124" s="974"/>
      <c r="CDK124" s="974"/>
      <c r="CDL124" s="974"/>
      <c r="CDM124" s="974"/>
      <c r="CDN124" s="974"/>
      <c r="CDO124" s="974"/>
      <c r="CDP124" s="974"/>
      <c r="CDQ124" s="974"/>
      <c r="CDR124" s="974"/>
      <c r="CDS124" s="974"/>
      <c r="CDT124" s="974"/>
      <c r="CDU124" s="974"/>
      <c r="CDV124" s="974"/>
      <c r="CDW124" s="974"/>
      <c r="CDX124" s="974"/>
      <c r="CDY124" s="974"/>
      <c r="CDZ124" s="974"/>
      <c r="CEA124" s="974"/>
      <c r="CEB124" s="974"/>
      <c r="CEC124" s="974"/>
      <c r="CED124" s="974"/>
      <c r="CEE124" s="974"/>
      <c r="CEF124" s="974"/>
      <c r="CEG124" s="974"/>
      <c r="CEH124" s="974"/>
      <c r="CEI124" s="974"/>
      <c r="CEJ124" s="974"/>
      <c r="CEK124" s="974"/>
      <c r="CEL124" s="974"/>
      <c r="CEM124" s="974"/>
      <c r="CEN124" s="974"/>
      <c r="CEO124" s="974"/>
      <c r="CEP124" s="974"/>
      <c r="CEQ124" s="974"/>
      <c r="CER124" s="974"/>
      <c r="CES124" s="974"/>
      <c r="CET124" s="974"/>
      <c r="CEU124" s="974"/>
      <c r="CEV124" s="974"/>
      <c r="CEW124" s="974"/>
      <c r="CEX124" s="974"/>
      <c r="CEY124" s="974"/>
      <c r="CEZ124" s="974"/>
      <c r="CFA124" s="974"/>
      <c r="CFB124" s="974"/>
      <c r="CFC124" s="974"/>
      <c r="CFD124" s="974"/>
      <c r="CFE124" s="974"/>
      <c r="CFF124" s="974"/>
      <c r="CFG124" s="974"/>
      <c r="CFH124" s="974"/>
      <c r="CFI124" s="974"/>
      <c r="CFJ124" s="974"/>
      <c r="CFK124" s="974"/>
      <c r="CFL124" s="974"/>
      <c r="CFM124" s="974"/>
      <c r="CFN124" s="974"/>
      <c r="CFO124" s="974"/>
      <c r="CFP124" s="974"/>
      <c r="CFQ124" s="974"/>
      <c r="CFR124" s="974"/>
      <c r="CFS124" s="974"/>
      <c r="CFT124" s="974"/>
      <c r="CFU124" s="974"/>
      <c r="CFV124" s="974"/>
      <c r="CFW124" s="974"/>
      <c r="CFX124" s="974"/>
      <c r="CFY124" s="974"/>
      <c r="CFZ124" s="974"/>
      <c r="CGA124" s="974"/>
      <c r="CGB124" s="974"/>
      <c r="CGC124" s="974"/>
      <c r="CGD124" s="974"/>
      <c r="CGE124" s="974"/>
      <c r="CGF124" s="974"/>
      <c r="CGG124" s="974"/>
      <c r="CGH124" s="974"/>
      <c r="CGI124" s="974"/>
      <c r="CGJ124" s="974"/>
      <c r="CGK124" s="974"/>
      <c r="CGL124" s="974"/>
      <c r="CGM124" s="974"/>
      <c r="CGN124" s="974"/>
      <c r="CGO124" s="974"/>
      <c r="CGP124" s="974"/>
      <c r="CGQ124" s="974"/>
      <c r="CGR124" s="974"/>
      <c r="CGS124" s="974"/>
      <c r="CGT124" s="974"/>
      <c r="CGU124" s="974"/>
      <c r="CGV124" s="974"/>
      <c r="CGW124" s="974"/>
      <c r="CGX124" s="974"/>
      <c r="CGY124" s="974"/>
      <c r="CGZ124" s="974"/>
      <c r="CHA124" s="974"/>
      <c r="CHB124" s="974"/>
      <c r="CHC124" s="974"/>
      <c r="CHD124" s="974"/>
      <c r="CHE124" s="974"/>
      <c r="CHF124" s="974"/>
      <c r="CHG124" s="974"/>
      <c r="CHH124" s="974"/>
      <c r="CHI124" s="974"/>
      <c r="CHJ124" s="974"/>
      <c r="CHK124" s="974"/>
      <c r="CHL124" s="974"/>
      <c r="CHM124" s="974"/>
      <c r="CHN124" s="974"/>
      <c r="CHO124" s="974"/>
      <c r="CHP124" s="974"/>
      <c r="CHQ124" s="974"/>
      <c r="CHR124" s="974"/>
      <c r="CHS124" s="974"/>
      <c r="CHT124" s="974"/>
      <c r="CHU124" s="974"/>
      <c r="CHV124" s="974"/>
      <c r="CHW124" s="974"/>
      <c r="CHX124" s="974"/>
      <c r="CHY124" s="974"/>
      <c r="CHZ124" s="974"/>
      <c r="CIA124" s="974"/>
      <c r="CIB124" s="974"/>
      <c r="CIC124" s="974"/>
      <c r="CID124" s="974"/>
      <c r="CIE124" s="974"/>
      <c r="CIF124" s="974"/>
      <c r="CIG124" s="974"/>
      <c r="CIH124" s="974"/>
      <c r="CII124" s="974"/>
      <c r="CIJ124" s="974"/>
      <c r="CIK124" s="974"/>
      <c r="CIL124" s="974"/>
      <c r="CIM124" s="974"/>
      <c r="CIN124" s="974"/>
      <c r="CIO124" s="974"/>
      <c r="CIP124" s="974"/>
      <c r="CIQ124" s="974"/>
      <c r="CIR124" s="974"/>
      <c r="CIS124" s="974"/>
      <c r="CIT124" s="974"/>
      <c r="CIU124" s="974"/>
      <c r="CIV124" s="974"/>
      <c r="CIW124" s="974"/>
      <c r="CIX124" s="974"/>
      <c r="CIY124" s="974"/>
      <c r="CIZ124" s="974"/>
      <c r="CJA124" s="974"/>
      <c r="CJB124" s="974"/>
      <c r="CJC124" s="974"/>
      <c r="CJD124" s="974"/>
      <c r="CJE124" s="974"/>
      <c r="CJF124" s="974"/>
      <c r="CJG124" s="974"/>
      <c r="CJH124" s="974"/>
      <c r="CJI124" s="974"/>
      <c r="CJJ124" s="974"/>
      <c r="CJK124" s="974"/>
      <c r="CJL124" s="974"/>
      <c r="CJM124" s="974"/>
      <c r="CJN124" s="974"/>
      <c r="CJO124" s="974"/>
      <c r="CJP124" s="974"/>
      <c r="CJQ124" s="974"/>
      <c r="CJR124" s="974"/>
      <c r="CJS124" s="974"/>
      <c r="CJT124" s="974"/>
      <c r="CJU124" s="974"/>
      <c r="CJV124" s="974"/>
      <c r="CJW124" s="974"/>
      <c r="CJX124" s="974"/>
      <c r="CJY124" s="974"/>
      <c r="CJZ124" s="974"/>
      <c r="CKA124" s="974"/>
      <c r="CKB124" s="974"/>
      <c r="CKC124" s="974"/>
      <c r="CKD124" s="974"/>
      <c r="CKE124" s="974"/>
      <c r="CKF124" s="974"/>
      <c r="CKG124" s="974"/>
      <c r="CKH124" s="974"/>
      <c r="CKI124" s="974"/>
      <c r="CKJ124" s="974"/>
      <c r="CKK124" s="974"/>
      <c r="CKL124" s="974"/>
      <c r="CKM124" s="974"/>
      <c r="CKN124" s="974"/>
      <c r="CKO124" s="974"/>
      <c r="CKP124" s="974"/>
      <c r="CKQ124" s="974"/>
      <c r="CKR124" s="974"/>
      <c r="CKS124" s="974"/>
      <c r="CKT124" s="974"/>
      <c r="CKU124" s="974"/>
      <c r="CKV124" s="974"/>
      <c r="CKW124" s="974"/>
      <c r="CKX124" s="974"/>
      <c r="CKY124" s="974"/>
      <c r="CKZ124" s="974"/>
      <c r="CLA124" s="974"/>
      <c r="CLB124" s="974"/>
      <c r="CLC124" s="974"/>
      <c r="CLD124" s="974"/>
      <c r="CLE124" s="974"/>
      <c r="CLF124" s="974"/>
      <c r="CLG124" s="974"/>
      <c r="CLH124" s="974"/>
      <c r="CLI124" s="974"/>
      <c r="CLJ124" s="974"/>
      <c r="CLK124" s="974"/>
      <c r="CLL124" s="974"/>
      <c r="CLM124" s="974"/>
      <c r="CLN124" s="974"/>
      <c r="CLO124" s="974"/>
      <c r="CLP124" s="974"/>
      <c r="CLQ124" s="974"/>
      <c r="CLR124" s="974"/>
      <c r="CLS124" s="974"/>
      <c r="CLT124" s="974"/>
      <c r="CLU124" s="974"/>
      <c r="CLV124" s="974"/>
      <c r="CLW124" s="974"/>
      <c r="CLX124" s="974"/>
      <c r="CLY124" s="974"/>
      <c r="CLZ124" s="974"/>
      <c r="CMA124" s="974"/>
      <c r="CMB124" s="974"/>
      <c r="CMC124" s="974"/>
      <c r="CMD124" s="974"/>
      <c r="CME124" s="974"/>
      <c r="CMF124" s="974"/>
      <c r="CMG124" s="974"/>
      <c r="CMH124" s="974"/>
      <c r="CMI124" s="974"/>
      <c r="CMJ124" s="974"/>
      <c r="CMK124" s="974"/>
      <c r="CML124" s="974"/>
      <c r="CMM124" s="974"/>
      <c r="CMN124" s="974"/>
      <c r="CMO124" s="974"/>
      <c r="CMP124" s="974"/>
      <c r="CMQ124" s="974"/>
      <c r="CMR124" s="974"/>
      <c r="CMS124" s="974"/>
      <c r="CMT124" s="974"/>
      <c r="CMU124" s="974"/>
      <c r="CMV124" s="974"/>
      <c r="CMW124" s="974"/>
      <c r="CMX124" s="974"/>
      <c r="CMY124" s="974"/>
      <c r="CMZ124" s="974"/>
      <c r="CNA124" s="974"/>
      <c r="CNB124" s="974"/>
      <c r="CNC124" s="974"/>
      <c r="CND124" s="974"/>
      <c r="CNE124" s="974"/>
      <c r="CNF124" s="974"/>
      <c r="CNG124" s="974"/>
      <c r="CNH124" s="974"/>
      <c r="CNI124" s="974"/>
      <c r="CNJ124" s="974"/>
      <c r="CNK124" s="974"/>
      <c r="CNL124" s="974"/>
      <c r="CNM124" s="974"/>
      <c r="CNN124" s="974"/>
      <c r="CNO124" s="974"/>
      <c r="CNP124" s="974"/>
      <c r="CNQ124" s="974"/>
      <c r="CNR124" s="974"/>
      <c r="CNS124" s="974"/>
      <c r="CNT124" s="974"/>
      <c r="CNU124" s="974"/>
      <c r="CNV124" s="974"/>
      <c r="CNW124" s="974"/>
      <c r="CNX124" s="974"/>
      <c r="CNY124" s="974"/>
      <c r="CNZ124" s="974"/>
      <c r="COA124" s="974"/>
      <c r="COB124" s="974"/>
      <c r="COC124" s="974"/>
      <c r="COD124" s="974"/>
      <c r="COE124" s="974"/>
      <c r="COF124" s="974"/>
      <c r="COG124" s="974"/>
      <c r="COH124" s="974"/>
      <c r="COI124" s="974"/>
      <c r="COJ124" s="974"/>
      <c r="COK124" s="974"/>
      <c r="COL124" s="974"/>
      <c r="COM124" s="974"/>
      <c r="CON124" s="974"/>
      <c r="COO124" s="974"/>
      <c r="COP124" s="974"/>
      <c r="COQ124" s="974"/>
      <c r="COR124" s="974"/>
      <c r="COS124" s="974"/>
      <c r="COT124" s="974"/>
      <c r="COU124" s="974"/>
      <c r="COV124" s="974"/>
      <c r="COW124" s="974"/>
      <c r="COX124" s="974"/>
      <c r="COY124" s="974"/>
      <c r="COZ124" s="974"/>
      <c r="CPA124" s="974"/>
      <c r="CPB124" s="974"/>
      <c r="CPC124" s="974"/>
      <c r="CPD124" s="974"/>
      <c r="CPE124" s="974"/>
      <c r="CPF124" s="974"/>
      <c r="CPG124" s="974"/>
      <c r="CPH124" s="974"/>
      <c r="CPI124" s="974"/>
      <c r="CPJ124" s="974"/>
      <c r="CPK124" s="974"/>
      <c r="CPL124" s="974"/>
      <c r="CPM124" s="974"/>
      <c r="CPN124" s="974"/>
      <c r="CPO124" s="974"/>
      <c r="CPP124" s="974"/>
      <c r="CPQ124" s="974"/>
      <c r="CPR124" s="974"/>
      <c r="CPS124" s="974"/>
      <c r="CPT124" s="974"/>
      <c r="CPU124" s="974"/>
      <c r="CPV124" s="974"/>
      <c r="CPW124" s="974"/>
      <c r="CPX124" s="974"/>
      <c r="CPY124" s="974"/>
      <c r="CPZ124" s="974"/>
      <c r="CQA124" s="974"/>
      <c r="CQB124" s="974"/>
      <c r="CQC124" s="974"/>
      <c r="CQD124" s="974"/>
      <c r="CQE124" s="974"/>
      <c r="CQF124" s="974"/>
      <c r="CQG124" s="974"/>
      <c r="CQH124" s="974"/>
      <c r="CQI124" s="974"/>
      <c r="CQJ124" s="974"/>
      <c r="CQK124" s="974"/>
      <c r="CQL124" s="974"/>
      <c r="CQM124" s="974"/>
      <c r="CQN124" s="974"/>
      <c r="CQO124" s="974"/>
      <c r="CQP124" s="974"/>
      <c r="CQQ124" s="974"/>
      <c r="CQR124" s="974"/>
      <c r="CQS124" s="974"/>
      <c r="CQT124" s="974"/>
      <c r="CQU124" s="974"/>
      <c r="CQV124" s="974"/>
      <c r="CQW124" s="974"/>
      <c r="CQX124" s="974"/>
      <c r="CQY124" s="974"/>
      <c r="CQZ124" s="974"/>
      <c r="CRA124" s="974"/>
      <c r="CRB124" s="974"/>
      <c r="CRC124" s="974"/>
      <c r="CRD124" s="974"/>
      <c r="CRE124" s="974"/>
      <c r="CRF124" s="974"/>
      <c r="CRG124" s="974"/>
      <c r="CRH124" s="974"/>
      <c r="CRI124" s="974"/>
      <c r="CRJ124" s="974"/>
      <c r="CRK124" s="974"/>
      <c r="CRL124" s="974"/>
      <c r="CRM124" s="974"/>
      <c r="CRN124" s="974"/>
      <c r="CRO124" s="974"/>
      <c r="CRP124" s="974"/>
      <c r="CRQ124" s="974"/>
      <c r="CRR124" s="974"/>
      <c r="CRS124" s="974"/>
      <c r="CRT124" s="974"/>
      <c r="CRU124" s="974"/>
      <c r="CRV124" s="974"/>
      <c r="CRW124" s="974"/>
      <c r="CRX124" s="974"/>
      <c r="CRY124" s="974"/>
      <c r="CRZ124" s="974"/>
      <c r="CSA124" s="974"/>
      <c r="CSB124" s="974"/>
      <c r="CSC124" s="974"/>
      <c r="CSD124" s="974"/>
      <c r="CSE124" s="974"/>
      <c r="CSF124" s="974"/>
      <c r="CSG124" s="974"/>
      <c r="CSH124" s="974"/>
      <c r="CSI124" s="974"/>
      <c r="CSJ124" s="974"/>
      <c r="CSK124" s="974"/>
      <c r="CSL124" s="974"/>
      <c r="CSM124" s="974"/>
      <c r="CSN124" s="974"/>
      <c r="CSO124" s="974"/>
      <c r="CSP124" s="974"/>
      <c r="CSQ124" s="974"/>
      <c r="CSR124" s="974"/>
      <c r="CSS124" s="974"/>
      <c r="CST124" s="974"/>
      <c r="CSU124" s="974"/>
      <c r="CSV124" s="974"/>
      <c r="CSW124" s="974"/>
      <c r="CSX124" s="974"/>
      <c r="CSY124" s="974"/>
      <c r="CSZ124" s="974"/>
      <c r="CTA124" s="974"/>
      <c r="CTB124" s="974"/>
      <c r="CTC124" s="974"/>
      <c r="CTD124" s="974"/>
      <c r="CTE124" s="974"/>
      <c r="CTF124" s="974"/>
      <c r="CTG124" s="974"/>
      <c r="CTH124" s="974"/>
      <c r="CTI124" s="974"/>
      <c r="CTJ124" s="974"/>
      <c r="CTK124" s="974"/>
      <c r="CTL124" s="974"/>
      <c r="CTM124" s="974"/>
      <c r="CTN124" s="974"/>
      <c r="CTO124" s="974"/>
      <c r="CTP124" s="974"/>
      <c r="CTQ124" s="974"/>
      <c r="CTR124" s="974"/>
      <c r="CTS124" s="974"/>
      <c r="CTT124" s="974"/>
      <c r="CTU124" s="974"/>
      <c r="CTV124" s="974"/>
      <c r="CTW124" s="974"/>
      <c r="CTX124" s="974"/>
      <c r="CTY124" s="974"/>
      <c r="CTZ124" s="974"/>
      <c r="CUA124" s="974"/>
      <c r="CUB124" s="974"/>
      <c r="CUC124" s="974"/>
      <c r="CUD124" s="974"/>
      <c r="CUE124" s="974"/>
      <c r="CUF124" s="974"/>
      <c r="CUG124" s="974"/>
      <c r="CUH124" s="974"/>
      <c r="CUI124" s="974"/>
      <c r="CUJ124" s="974"/>
      <c r="CUK124" s="974"/>
      <c r="CUL124" s="974"/>
      <c r="CUM124" s="974"/>
      <c r="CUN124" s="974"/>
      <c r="CUO124" s="974"/>
      <c r="CUP124" s="974"/>
      <c r="CUQ124" s="974"/>
      <c r="CUR124" s="974"/>
      <c r="CUS124" s="974"/>
      <c r="CUT124" s="974"/>
      <c r="CUU124" s="974"/>
      <c r="CUV124" s="974"/>
      <c r="CUW124" s="974"/>
      <c r="CUX124" s="974"/>
      <c r="CUY124" s="974"/>
      <c r="CUZ124" s="974"/>
      <c r="CVA124" s="974"/>
      <c r="CVB124" s="974"/>
      <c r="CVC124" s="974"/>
      <c r="CVD124" s="974"/>
      <c r="CVE124" s="974"/>
      <c r="CVF124" s="974"/>
      <c r="CVG124" s="974"/>
      <c r="CVH124" s="974"/>
      <c r="CVI124" s="974"/>
      <c r="CVJ124" s="974"/>
      <c r="CVK124" s="974"/>
      <c r="CVL124" s="974"/>
      <c r="CVM124" s="974"/>
      <c r="CVN124" s="974"/>
      <c r="CVO124" s="974"/>
      <c r="CVP124" s="974"/>
      <c r="CVQ124" s="974"/>
      <c r="CVR124" s="974"/>
      <c r="CVS124" s="974"/>
      <c r="CVT124" s="974"/>
      <c r="CVU124" s="974"/>
      <c r="CVV124" s="974"/>
      <c r="CVW124" s="974"/>
      <c r="CVX124" s="974"/>
      <c r="CVY124" s="974"/>
      <c r="CVZ124" s="974"/>
      <c r="CWA124" s="974"/>
      <c r="CWB124" s="974"/>
      <c r="CWC124" s="974"/>
      <c r="CWD124" s="974"/>
      <c r="CWE124" s="974"/>
      <c r="CWF124" s="974"/>
      <c r="CWG124" s="974"/>
      <c r="CWH124" s="974"/>
      <c r="CWI124" s="974"/>
      <c r="CWJ124" s="974"/>
      <c r="CWK124" s="974"/>
      <c r="CWL124" s="974"/>
      <c r="CWM124" s="974"/>
      <c r="CWN124" s="974"/>
      <c r="CWO124" s="974"/>
      <c r="CWP124" s="974"/>
      <c r="CWQ124" s="974"/>
      <c r="CWR124" s="974"/>
      <c r="CWS124" s="974"/>
      <c r="CWT124" s="974"/>
      <c r="CWU124" s="974"/>
      <c r="CWV124" s="974"/>
      <c r="CWW124" s="974"/>
      <c r="CWX124" s="974"/>
      <c r="CWY124" s="974"/>
      <c r="CWZ124" s="974"/>
      <c r="CXA124" s="974"/>
      <c r="CXB124" s="974"/>
      <c r="CXC124" s="974"/>
      <c r="CXD124" s="974"/>
      <c r="CXE124" s="974"/>
      <c r="CXF124" s="974"/>
      <c r="CXG124" s="974"/>
      <c r="CXH124" s="974"/>
      <c r="CXI124" s="974"/>
      <c r="CXJ124" s="974"/>
      <c r="CXK124" s="974"/>
      <c r="CXL124" s="974"/>
      <c r="CXM124" s="974"/>
      <c r="CXN124" s="974"/>
      <c r="CXO124" s="974"/>
      <c r="CXP124" s="974"/>
      <c r="CXQ124" s="974"/>
      <c r="CXR124" s="974"/>
      <c r="CXS124" s="974"/>
      <c r="CXT124" s="974"/>
      <c r="CXU124" s="974"/>
      <c r="CXV124" s="974"/>
      <c r="CXW124" s="974"/>
      <c r="CXX124" s="974"/>
      <c r="CXY124" s="974"/>
      <c r="CXZ124" s="974"/>
      <c r="CYA124" s="974"/>
      <c r="CYB124" s="974"/>
      <c r="CYC124" s="974"/>
      <c r="CYD124" s="974"/>
      <c r="CYE124" s="974"/>
      <c r="CYF124" s="974"/>
      <c r="CYG124" s="974"/>
      <c r="CYH124" s="974"/>
      <c r="CYI124" s="974"/>
      <c r="CYJ124" s="974"/>
      <c r="CYK124" s="974"/>
      <c r="CYL124" s="974"/>
      <c r="CYM124" s="974"/>
      <c r="CYN124" s="974"/>
      <c r="CYO124" s="974"/>
      <c r="CYP124" s="974"/>
      <c r="CYQ124" s="974"/>
      <c r="CYR124" s="974"/>
      <c r="CYS124" s="974"/>
      <c r="CYT124" s="974"/>
      <c r="CYU124" s="974"/>
      <c r="CYV124" s="974"/>
      <c r="CYW124" s="974"/>
      <c r="CYX124" s="974"/>
      <c r="CYY124" s="974"/>
      <c r="CYZ124" s="974"/>
      <c r="CZA124" s="974"/>
      <c r="CZB124" s="974"/>
      <c r="CZC124" s="974"/>
      <c r="CZD124" s="974"/>
      <c r="CZE124" s="974"/>
      <c r="CZF124" s="974"/>
      <c r="CZG124" s="974"/>
      <c r="CZH124" s="974"/>
      <c r="CZI124" s="974"/>
      <c r="CZJ124" s="974"/>
      <c r="CZK124" s="974"/>
      <c r="CZL124" s="974"/>
      <c r="CZM124" s="974"/>
      <c r="CZN124" s="974"/>
      <c r="CZO124" s="974"/>
      <c r="CZP124" s="974"/>
      <c r="CZQ124" s="974"/>
      <c r="CZR124" s="974"/>
      <c r="CZS124" s="974"/>
      <c r="CZT124" s="974"/>
      <c r="CZU124" s="974"/>
      <c r="CZV124" s="974"/>
      <c r="CZW124" s="974"/>
      <c r="CZX124" s="974"/>
      <c r="CZY124" s="974"/>
      <c r="CZZ124" s="974"/>
      <c r="DAA124" s="974"/>
      <c r="DAB124" s="974"/>
      <c r="DAC124" s="974"/>
      <c r="DAD124" s="974"/>
      <c r="DAE124" s="974"/>
      <c r="DAF124" s="974"/>
      <c r="DAG124" s="974"/>
      <c r="DAH124" s="974"/>
      <c r="DAI124" s="974"/>
      <c r="DAJ124" s="974"/>
      <c r="DAK124" s="974"/>
      <c r="DAL124" s="974"/>
      <c r="DAM124" s="974"/>
      <c r="DAN124" s="974"/>
      <c r="DAO124" s="974"/>
      <c r="DAP124" s="974"/>
      <c r="DAQ124" s="974"/>
      <c r="DAR124" s="974"/>
      <c r="DAS124" s="974"/>
      <c r="DAT124" s="974"/>
      <c r="DAU124" s="974"/>
      <c r="DAV124" s="974"/>
      <c r="DAW124" s="974"/>
      <c r="DAX124" s="974"/>
      <c r="DAY124" s="974"/>
      <c r="DAZ124" s="974"/>
      <c r="DBA124" s="974"/>
      <c r="DBB124" s="974"/>
      <c r="DBC124" s="974"/>
      <c r="DBD124" s="974"/>
      <c r="DBE124" s="974"/>
      <c r="DBF124" s="974"/>
      <c r="DBG124" s="974"/>
      <c r="DBH124" s="974"/>
      <c r="DBI124" s="974"/>
      <c r="DBJ124" s="974"/>
      <c r="DBK124" s="974"/>
      <c r="DBL124" s="974"/>
      <c r="DBM124" s="974"/>
      <c r="DBN124" s="974"/>
      <c r="DBO124" s="974"/>
      <c r="DBP124" s="974"/>
      <c r="DBQ124" s="974"/>
      <c r="DBR124" s="974"/>
      <c r="DBS124" s="974"/>
      <c r="DBT124" s="974"/>
      <c r="DBU124" s="974"/>
      <c r="DBV124" s="974"/>
      <c r="DBW124" s="974"/>
      <c r="DBX124" s="974"/>
      <c r="DBY124" s="974"/>
      <c r="DBZ124" s="974"/>
      <c r="DCA124" s="974"/>
      <c r="DCB124" s="974"/>
      <c r="DCC124" s="974"/>
      <c r="DCD124" s="974"/>
      <c r="DCE124" s="974"/>
      <c r="DCF124" s="974"/>
      <c r="DCG124" s="974"/>
      <c r="DCH124" s="974"/>
      <c r="DCI124" s="974"/>
      <c r="DCJ124" s="974"/>
      <c r="DCK124" s="974"/>
      <c r="DCL124" s="974"/>
      <c r="DCM124" s="974"/>
      <c r="DCN124" s="974"/>
      <c r="DCO124" s="974"/>
      <c r="DCP124" s="974"/>
      <c r="DCQ124" s="974"/>
      <c r="DCR124" s="974"/>
      <c r="DCS124" s="974"/>
      <c r="DCT124" s="974"/>
      <c r="DCU124" s="974"/>
      <c r="DCV124" s="974"/>
      <c r="DCW124" s="974"/>
      <c r="DCX124" s="974"/>
      <c r="DCY124" s="974"/>
      <c r="DCZ124" s="974"/>
      <c r="DDA124" s="974"/>
      <c r="DDB124" s="974"/>
      <c r="DDC124" s="974"/>
      <c r="DDD124" s="974"/>
      <c r="DDE124" s="974"/>
      <c r="DDF124" s="974"/>
      <c r="DDG124" s="974"/>
      <c r="DDH124" s="974"/>
      <c r="DDI124" s="974"/>
      <c r="DDJ124" s="974"/>
      <c r="DDK124" s="974"/>
      <c r="DDL124" s="974"/>
      <c r="DDM124" s="974"/>
      <c r="DDN124" s="974"/>
      <c r="DDO124" s="974"/>
      <c r="DDP124" s="974"/>
      <c r="DDQ124" s="974"/>
      <c r="DDR124" s="974"/>
      <c r="DDS124" s="974"/>
      <c r="DDT124" s="974"/>
      <c r="DDU124" s="974"/>
      <c r="DDV124" s="974"/>
      <c r="DDW124" s="974"/>
      <c r="DDX124" s="974"/>
      <c r="DDY124" s="974"/>
      <c r="DDZ124" s="974"/>
      <c r="DEA124" s="974"/>
      <c r="DEB124" s="974"/>
      <c r="DEC124" s="974"/>
      <c r="DED124" s="974"/>
      <c r="DEE124" s="974"/>
      <c r="DEF124" s="974"/>
      <c r="DEG124" s="974"/>
      <c r="DEH124" s="974"/>
      <c r="DEI124" s="974"/>
      <c r="DEJ124" s="974"/>
      <c r="DEK124" s="974"/>
      <c r="DEL124" s="974"/>
      <c r="DEM124" s="974"/>
      <c r="DEN124" s="974"/>
      <c r="DEO124" s="974"/>
      <c r="DEP124" s="974"/>
      <c r="DEQ124" s="974"/>
      <c r="DER124" s="974"/>
      <c r="DES124" s="974"/>
      <c r="DET124" s="974"/>
      <c r="DEU124" s="974"/>
      <c r="DEV124" s="974"/>
      <c r="DEW124" s="974"/>
      <c r="DEX124" s="974"/>
      <c r="DEY124" s="974"/>
      <c r="DEZ124" s="974"/>
      <c r="DFA124" s="974"/>
      <c r="DFB124" s="974"/>
      <c r="DFC124" s="974"/>
      <c r="DFD124" s="974"/>
      <c r="DFE124" s="974"/>
      <c r="DFF124" s="974"/>
      <c r="DFG124" s="974"/>
      <c r="DFH124" s="974"/>
      <c r="DFI124" s="974"/>
      <c r="DFJ124" s="974"/>
      <c r="DFK124" s="974"/>
      <c r="DFL124" s="974"/>
      <c r="DFM124" s="974"/>
      <c r="DFN124" s="974"/>
      <c r="DFO124" s="974"/>
      <c r="DFP124" s="974"/>
      <c r="DFQ124" s="974"/>
      <c r="DFR124" s="974"/>
      <c r="DFS124" s="974"/>
      <c r="DFT124" s="974"/>
      <c r="DFU124" s="974"/>
      <c r="DFV124" s="974"/>
      <c r="DFW124" s="974"/>
      <c r="DFX124" s="974"/>
      <c r="DFY124" s="974"/>
      <c r="DFZ124" s="974"/>
      <c r="DGA124" s="974"/>
      <c r="DGB124" s="974"/>
      <c r="DGC124" s="974"/>
      <c r="DGD124" s="974"/>
      <c r="DGE124" s="974"/>
      <c r="DGF124" s="974"/>
      <c r="DGG124" s="974"/>
      <c r="DGH124" s="974"/>
      <c r="DGI124" s="974"/>
      <c r="DGJ124" s="974"/>
      <c r="DGK124" s="974"/>
      <c r="DGL124" s="974"/>
      <c r="DGM124" s="974"/>
      <c r="DGN124" s="974"/>
      <c r="DGO124" s="974"/>
      <c r="DGP124" s="974"/>
      <c r="DGQ124" s="974"/>
      <c r="DGR124" s="974"/>
      <c r="DGS124" s="974"/>
      <c r="DGT124" s="974"/>
      <c r="DGU124" s="974"/>
      <c r="DGV124" s="974"/>
      <c r="DGW124" s="974"/>
      <c r="DGX124" s="974"/>
      <c r="DGY124" s="974"/>
      <c r="DGZ124" s="974"/>
      <c r="DHA124" s="974"/>
      <c r="DHB124" s="974"/>
      <c r="DHC124" s="974"/>
      <c r="DHD124" s="974"/>
      <c r="DHE124" s="974"/>
      <c r="DHF124" s="974"/>
      <c r="DHG124" s="974"/>
      <c r="DHH124" s="974"/>
      <c r="DHI124" s="974"/>
      <c r="DHJ124" s="974"/>
      <c r="DHK124" s="974"/>
      <c r="DHL124" s="974"/>
      <c r="DHM124" s="974"/>
      <c r="DHN124" s="974"/>
      <c r="DHO124" s="974"/>
      <c r="DHP124" s="974"/>
      <c r="DHQ124" s="974"/>
      <c r="DHR124" s="974"/>
      <c r="DHS124" s="974"/>
      <c r="DHT124" s="974"/>
      <c r="DHU124" s="974"/>
      <c r="DHV124" s="974"/>
      <c r="DHW124" s="974"/>
      <c r="DHX124" s="974"/>
      <c r="DHY124" s="974"/>
      <c r="DHZ124" s="974"/>
      <c r="DIA124" s="974"/>
      <c r="DIB124" s="974"/>
      <c r="DIC124" s="974"/>
      <c r="DID124" s="974"/>
      <c r="DIE124" s="974"/>
      <c r="DIF124" s="974"/>
      <c r="DIG124" s="974"/>
      <c r="DIH124" s="974"/>
      <c r="DII124" s="974"/>
      <c r="DIJ124" s="974"/>
      <c r="DIK124" s="974"/>
      <c r="DIL124" s="974"/>
      <c r="DIM124" s="974"/>
      <c r="DIN124" s="974"/>
      <c r="DIO124" s="974"/>
      <c r="DIP124" s="974"/>
      <c r="DIQ124" s="974"/>
      <c r="DIR124" s="974"/>
      <c r="DIS124" s="974"/>
      <c r="DIT124" s="974"/>
      <c r="DIU124" s="974"/>
      <c r="DIV124" s="974"/>
      <c r="DIW124" s="974"/>
      <c r="DIX124" s="974"/>
      <c r="DIY124" s="974"/>
      <c r="DIZ124" s="974"/>
      <c r="DJA124" s="974"/>
      <c r="DJB124" s="974"/>
      <c r="DJC124" s="974"/>
      <c r="DJD124" s="974"/>
      <c r="DJE124" s="974"/>
      <c r="DJF124" s="974"/>
      <c r="DJG124" s="974"/>
      <c r="DJH124" s="974"/>
      <c r="DJI124" s="974"/>
      <c r="DJJ124" s="974"/>
      <c r="DJK124" s="974"/>
      <c r="DJL124" s="974"/>
      <c r="DJM124" s="974"/>
      <c r="DJN124" s="974"/>
      <c r="DJO124" s="974"/>
      <c r="DJP124" s="974"/>
      <c r="DJQ124" s="974"/>
      <c r="DJR124" s="974"/>
      <c r="DJS124" s="974"/>
      <c r="DJT124" s="974"/>
      <c r="DJU124" s="974"/>
      <c r="DJV124" s="974"/>
      <c r="DJW124" s="974"/>
      <c r="DJX124" s="974"/>
      <c r="DJY124" s="974"/>
      <c r="DJZ124" s="974"/>
      <c r="DKA124" s="974"/>
      <c r="DKB124" s="974"/>
      <c r="DKC124" s="974"/>
      <c r="DKD124" s="974"/>
      <c r="DKE124" s="974"/>
      <c r="DKF124" s="974"/>
      <c r="DKG124" s="974"/>
      <c r="DKH124" s="974"/>
      <c r="DKI124" s="974"/>
      <c r="DKJ124" s="974"/>
      <c r="DKK124" s="974"/>
      <c r="DKL124" s="974"/>
      <c r="DKM124" s="974"/>
      <c r="DKN124" s="974"/>
      <c r="DKO124" s="974"/>
      <c r="DKP124" s="974"/>
      <c r="DKQ124" s="974"/>
      <c r="DKR124" s="974"/>
      <c r="DKS124" s="974"/>
      <c r="DKT124" s="974"/>
      <c r="DKU124" s="974"/>
      <c r="DKV124" s="974"/>
      <c r="DKW124" s="974"/>
      <c r="DKX124" s="974"/>
      <c r="DKY124" s="974"/>
      <c r="DKZ124" s="974"/>
      <c r="DLA124" s="974"/>
      <c r="DLB124" s="974"/>
      <c r="DLC124" s="974"/>
      <c r="DLD124" s="974"/>
      <c r="DLE124" s="974"/>
      <c r="DLF124" s="974"/>
      <c r="DLG124" s="974"/>
      <c r="DLH124" s="974"/>
      <c r="DLI124" s="974"/>
      <c r="DLJ124" s="974"/>
      <c r="DLK124" s="974"/>
      <c r="DLL124" s="974"/>
      <c r="DLM124" s="974"/>
      <c r="DLN124" s="974"/>
      <c r="DLO124" s="974"/>
      <c r="DLP124" s="974"/>
      <c r="DLQ124" s="974"/>
      <c r="DLR124" s="974"/>
      <c r="DLS124" s="974"/>
      <c r="DLT124" s="974"/>
      <c r="DLU124" s="974"/>
      <c r="DLV124" s="974"/>
      <c r="DLW124" s="974"/>
      <c r="DLX124" s="974"/>
      <c r="DLY124" s="974"/>
      <c r="DLZ124" s="974"/>
      <c r="DMA124" s="974"/>
      <c r="DMB124" s="974"/>
      <c r="DMC124" s="974"/>
      <c r="DMD124" s="974"/>
      <c r="DME124" s="974"/>
      <c r="DMF124" s="974"/>
      <c r="DMG124" s="974"/>
      <c r="DMH124" s="974"/>
      <c r="DMI124" s="974"/>
      <c r="DMJ124" s="974"/>
      <c r="DMK124" s="974"/>
      <c r="DML124" s="974"/>
      <c r="DMM124" s="974"/>
      <c r="DMN124" s="974"/>
      <c r="DMO124" s="974"/>
      <c r="DMP124" s="974"/>
      <c r="DMQ124" s="974"/>
      <c r="DMR124" s="974"/>
      <c r="DMS124" s="974"/>
      <c r="DMT124" s="974"/>
      <c r="DMU124" s="974"/>
      <c r="DMV124" s="974"/>
      <c r="DMW124" s="974"/>
      <c r="DMX124" s="974"/>
      <c r="DMY124" s="974"/>
      <c r="DMZ124" s="974"/>
      <c r="DNA124" s="974"/>
      <c r="DNB124" s="974"/>
      <c r="DNC124" s="974"/>
      <c r="DND124" s="974"/>
      <c r="DNE124" s="974"/>
      <c r="DNF124" s="974"/>
      <c r="DNG124" s="974"/>
      <c r="DNH124" s="974"/>
      <c r="DNI124" s="974"/>
      <c r="DNJ124" s="974"/>
      <c r="DNK124" s="974"/>
      <c r="DNL124" s="974"/>
      <c r="DNM124" s="974"/>
      <c r="DNN124" s="974"/>
      <c r="DNO124" s="974"/>
      <c r="DNP124" s="974"/>
      <c r="DNQ124" s="974"/>
      <c r="DNR124" s="974"/>
      <c r="DNS124" s="974"/>
      <c r="DNT124" s="974"/>
      <c r="DNU124" s="974"/>
      <c r="DNV124" s="974"/>
      <c r="DNW124" s="974"/>
      <c r="DNX124" s="974"/>
      <c r="DNY124" s="974"/>
      <c r="DNZ124" s="974"/>
      <c r="DOA124" s="974"/>
      <c r="DOB124" s="974"/>
      <c r="DOC124" s="974"/>
      <c r="DOD124" s="974"/>
      <c r="DOE124" s="974"/>
      <c r="DOF124" s="974"/>
      <c r="DOG124" s="974"/>
      <c r="DOH124" s="974"/>
      <c r="DOI124" s="974"/>
      <c r="DOJ124" s="974"/>
      <c r="DOK124" s="974"/>
      <c r="DOL124" s="974"/>
      <c r="DOM124" s="974"/>
      <c r="DON124" s="974"/>
      <c r="DOO124" s="974"/>
      <c r="DOP124" s="974"/>
      <c r="DOQ124" s="974"/>
      <c r="DOR124" s="974"/>
      <c r="DOS124" s="974"/>
      <c r="DOT124" s="974"/>
      <c r="DOU124" s="974"/>
      <c r="DOV124" s="974"/>
      <c r="DOW124" s="974"/>
      <c r="DOX124" s="974"/>
      <c r="DOY124" s="974"/>
      <c r="DOZ124" s="974"/>
      <c r="DPA124" s="974"/>
      <c r="DPB124" s="974"/>
      <c r="DPC124" s="974"/>
      <c r="DPD124" s="974"/>
      <c r="DPE124" s="974"/>
      <c r="DPF124" s="974"/>
      <c r="DPG124" s="974"/>
      <c r="DPH124" s="974"/>
      <c r="DPI124" s="974"/>
      <c r="DPJ124" s="974"/>
      <c r="DPK124" s="974"/>
      <c r="DPL124" s="974"/>
      <c r="DPM124" s="974"/>
      <c r="DPN124" s="974"/>
      <c r="DPO124" s="974"/>
      <c r="DPP124" s="974"/>
      <c r="DPQ124" s="974"/>
      <c r="DPR124" s="974"/>
      <c r="DPS124" s="974"/>
      <c r="DPT124" s="974"/>
      <c r="DPU124" s="974"/>
      <c r="DPV124" s="974"/>
      <c r="DPW124" s="974"/>
      <c r="DPX124" s="974"/>
      <c r="DPY124" s="974"/>
      <c r="DPZ124" s="974"/>
      <c r="DQA124" s="974"/>
      <c r="DQB124" s="974"/>
      <c r="DQC124" s="974"/>
      <c r="DQD124" s="974"/>
      <c r="DQE124" s="974"/>
      <c r="DQF124" s="974"/>
      <c r="DQG124" s="974"/>
      <c r="DQH124" s="974"/>
      <c r="DQI124" s="974"/>
      <c r="DQJ124" s="974"/>
      <c r="DQK124" s="974"/>
      <c r="DQL124" s="974"/>
      <c r="DQM124" s="974"/>
      <c r="DQN124" s="974"/>
      <c r="DQO124" s="974"/>
      <c r="DQP124" s="974"/>
      <c r="DQQ124" s="974"/>
      <c r="DQR124" s="974"/>
      <c r="DQS124" s="974"/>
      <c r="DQT124" s="974"/>
      <c r="DQU124" s="974"/>
      <c r="DQV124" s="974"/>
      <c r="DQW124" s="974"/>
      <c r="DQX124" s="974"/>
      <c r="DQY124" s="974"/>
      <c r="DQZ124" s="974"/>
      <c r="DRA124" s="974"/>
      <c r="DRB124" s="974"/>
      <c r="DRC124" s="974"/>
      <c r="DRD124" s="974"/>
      <c r="DRE124" s="974"/>
      <c r="DRF124" s="974"/>
      <c r="DRG124" s="974"/>
      <c r="DRH124" s="974"/>
      <c r="DRI124" s="974"/>
      <c r="DRJ124" s="974"/>
      <c r="DRK124" s="974"/>
      <c r="DRL124" s="974"/>
      <c r="DRM124" s="974"/>
      <c r="DRN124" s="974"/>
      <c r="DRO124" s="974"/>
      <c r="DRP124" s="974"/>
      <c r="DRQ124" s="974"/>
      <c r="DRR124" s="974"/>
      <c r="DRS124" s="974"/>
      <c r="DRT124" s="974"/>
      <c r="DRU124" s="974"/>
      <c r="DRV124" s="974"/>
      <c r="DRW124" s="974"/>
      <c r="DRX124" s="974"/>
      <c r="DRY124" s="974"/>
      <c r="DRZ124" s="974"/>
      <c r="DSA124" s="974"/>
      <c r="DSB124" s="974"/>
      <c r="DSC124" s="974"/>
      <c r="DSD124" s="974"/>
      <c r="DSE124" s="974"/>
      <c r="DSF124" s="974"/>
      <c r="DSG124" s="974"/>
      <c r="DSH124" s="974"/>
      <c r="DSI124" s="974"/>
      <c r="DSJ124" s="974"/>
      <c r="DSK124" s="974"/>
      <c r="DSL124" s="974"/>
      <c r="DSM124" s="974"/>
      <c r="DSN124" s="974"/>
      <c r="DSO124" s="974"/>
      <c r="DSP124" s="974"/>
      <c r="DSQ124" s="974"/>
      <c r="DSR124" s="974"/>
      <c r="DSS124" s="974"/>
      <c r="DST124" s="974"/>
      <c r="DSU124" s="974"/>
      <c r="DSV124" s="974"/>
      <c r="DSW124" s="974"/>
      <c r="DSX124" s="974"/>
      <c r="DSY124" s="974"/>
      <c r="DSZ124" s="974"/>
      <c r="DTA124" s="974"/>
      <c r="DTB124" s="974"/>
      <c r="DTC124" s="974"/>
      <c r="DTD124" s="974"/>
      <c r="DTE124" s="974"/>
      <c r="DTF124" s="974"/>
      <c r="DTG124" s="974"/>
      <c r="DTH124" s="974"/>
      <c r="DTI124" s="974"/>
      <c r="DTJ124" s="974"/>
      <c r="DTK124" s="974"/>
      <c r="DTL124" s="974"/>
      <c r="DTM124" s="974"/>
      <c r="DTN124" s="974"/>
      <c r="DTO124" s="974"/>
      <c r="DTP124" s="974"/>
      <c r="DTQ124" s="974"/>
      <c r="DTR124" s="974"/>
      <c r="DTS124" s="974"/>
      <c r="DTT124" s="974"/>
      <c r="DTU124" s="974"/>
      <c r="DTV124" s="974"/>
      <c r="DTW124" s="974"/>
      <c r="DTX124" s="974"/>
      <c r="DTY124" s="974"/>
      <c r="DTZ124" s="974"/>
      <c r="DUA124" s="974"/>
      <c r="DUB124" s="974"/>
      <c r="DUC124" s="974"/>
      <c r="DUD124" s="974"/>
      <c r="DUE124" s="974"/>
      <c r="DUF124" s="974"/>
      <c r="DUG124" s="974"/>
      <c r="DUH124" s="974"/>
      <c r="DUI124" s="974"/>
      <c r="DUJ124" s="974"/>
      <c r="DUK124" s="974"/>
      <c r="DUL124" s="974"/>
      <c r="DUM124" s="974"/>
      <c r="DUN124" s="974"/>
      <c r="DUO124" s="974"/>
      <c r="DUP124" s="974"/>
      <c r="DUQ124" s="974"/>
      <c r="DUR124" s="974"/>
      <c r="DUS124" s="974"/>
      <c r="DUT124" s="974"/>
      <c r="DUU124" s="974"/>
      <c r="DUV124" s="974"/>
      <c r="DUW124" s="974"/>
      <c r="DUX124" s="974"/>
      <c r="DUY124" s="974"/>
      <c r="DUZ124" s="974"/>
      <c r="DVA124" s="974"/>
      <c r="DVB124" s="974"/>
      <c r="DVC124" s="974"/>
      <c r="DVD124" s="974"/>
      <c r="DVE124" s="974"/>
      <c r="DVF124" s="974"/>
      <c r="DVG124" s="974"/>
      <c r="DVH124" s="974"/>
      <c r="DVI124" s="974"/>
      <c r="DVJ124" s="974"/>
      <c r="DVK124" s="974"/>
      <c r="DVL124" s="974"/>
      <c r="DVM124" s="974"/>
      <c r="DVN124" s="974"/>
      <c r="DVO124" s="974"/>
      <c r="DVP124" s="974"/>
      <c r="DVQ124" s="974"/>
      <c r="DVR124" s="974"/>
      <c r="DVS124" s="974"/>
      <c r="DVT124" s="974"/>
      <c r="DVU124" s="974"/>
      <c r="DVV124" s="974"/>
      <c r="DVW124" s="974"/>
      <c r="DVX124" s="974"/>
      <c r="DVY124" s="974"/>
      <c r="DVZ124" s="974"/>
      <c r="DWA124" s="974"/>
      <c r="DWB124" s="974"/>
      <c r="DWC124" s="974"/>
      <c r="DWD124" s="974"/>
      <c r="DWE124" s="974"/>
      <c r="DWF124" s="974"/>
      <c r="DWG124" s="974"/>
      <c r="DWH124" s="974"/>
      <c r="DWI124" s="974"/>
      <c r="DWJ124" s="974"/>
      <c r="DWK124" s="974"/>
      <c r="DWL124" s="974"/>
      <c r="DWM124" s="974"/>
      <c r="DWN124" s="974"/>
      <c r="DWO124" s="974"/>
      <c r="DWP124" s="974"/>
      <c r="DWQ124" s="974"/>
      <c r="DWR124" s="974"/>
      <c r="DWS124" s="974"/>
      <c r="DWT124" s="974"/>
      <c r="DWU124" s="974"/>
      <c r="DWV124" s="974"/>
      <c r="DWW124" s="974"/>
      <c r="DWX124" s="974"/>
      <c r="DWY124" s="974"/>
      <c r="DWZ124" s="974"/>
      <c r="DXA124" s="974"/>
      <c r="DXB124" s="974"/>
      <c r="DXC124" s="974"/>
      <c r="DXD124" s="974"/>
      <c r="DXE124" s="974"/>
      <c r="DXF124" s="974"/>
      <c r="DXG124" s="974"/>
      <c r="DXH124" s="974"/>
      <c r="DXI124" s="974"/>
      <c r="DXJ124" s="974"/>
      <c r="DXK124" s="974"/>
      <c r="DXL124" s="974"/>
      <c r="DXM124" s="974"/>
      <c r="DXN124" s="974"/>
      <c r="DXO124" s="974"/>
      <c r="DXP124" s="974"/>
      <c r="DXQ124" s="974"/>
      <c r="DXR124" s="974"/>
      <c r="DXS124" s="974"/>
      <c r="DXT124" s="974"/>
      <c r="DXU124" s="974"/>
      <c r="DXV124" s="974"/>
      <c r="DXW124" s="974"/>
      <c r="DXX124" s="974"/>
      <c r="DXY124" s="974"/>
      <c r="DXZ124" s="974"/>
      <c r="DYA124" s="974"/>
      <c r="DYB124" s="974"/>
      <c r="DYC124" s="974"/>
      <c r="DYD124" s="974"/>
      <c r="DYE124" s="974"/>
      <c r="DYF124" s="974"/>
      <c r="DYG124" s="974"/>
      <c r="DYH124" s="974"/>
      <c r="DYI124" s="974"/>
      <c r="DYJ124" s="974"/>
      <c r="DYK124" s="974"/>
      <c r="DYL124" s="974"/>
      <c r="DYM124" s="974"/>
      <c r="DYN124" s="974"/>
      <c r="DYO124" s="974"/>
      <c r="DYP124" s="974"/>
      <c r="DYQ124" s="974"/>
      <c r="DYR124" s="974"/>
      <c r="DYS124" s="974"/>
      <c r="DYT124" s="974"/>
      <c r="DYU124" s="974"/>
      <c r="DYV124" s="974"/>
      <c r="DYW124" s="974"/>
      <c r="DYX124" s="974"/>
      <c r="DYY124" s="974"/>
      <c r="DYZ124" s="974"/>
      <c r="DZA124" s="974"/>
      <c r="DZB124" s="974"/>
      <c r="DZC124" s="974"/>
      <c r="DZD124" s="974"/>
      <c r="DZE124" s="974"/>
      <c r="DZF124" s="974"/>
      <c r="DZG124" s="974"/>
      <c r="DZH124" s="974"/>
      <c r="DZI124" s="974"/>
      <c r="DZJ124" s="974"/>
      <c r="DZK124" s="974"/>
      <c r="DZL124" s="974"/>
      <c r="DZM124" s="974"/>
      <c r="DZN124" s="974"/>
      <c r="DZO124" s="974"/>
      <c r="DZP124" s="974"/>
      <c r="DZQ124" s="974"/>
      <c r="DZR124" s="974"/>
      <c r="DZS124" s="974"/>
      <c r="DZT124" s="974"/>
      <c r="DZU124" s="974"/>
      <c r="DZV124" s="974"/>
      <c r="DZW124" s="974"/>
      <c r="DZX124" s="974"/>
      <c r="DZY124" s="974"/>
      <c r="DZZ124" s="974"/>
      <c r="EAA124" s="974"/>
      <c r="EAB124" s="974"/>
      <c r="EAC124" s="974"/>
      <c r="EAD124" s="974"/>
      <c r="EAE124" s="974"/>
      <c r="EAF124" s="974"/>
      <c r="EAG124" s="974"/>
      <c r="EAH124" s="974"/>
      <c r="EAI124" s="974"/>
      <c r="EAJ124" s="974"/>
      <c r="EAK124" s="974"/>
      <c r="EAL124" s="974"/>
      <c r="EAM124" s="974"/>
      <c r="EAN124" s="974"/>
      <c r="EAO124" s="974"/>
      <c r="EAP124" s="974"/>
      <c r="EAQ124" s="974"/>
      <c r="EAR124" s="974"/>
      <c r="EAS124" s="974"/>
      <c r="EAT124" s="974"/>
      <c r="EAU124" s="974"/>
      <c r="EAV124" s="974"/>
      <c r="EAW124" s="974"/>
      <c r="EAX124" s="974"/>
      <c r="EAY124" s="974"/>
      <c r="EAZ124" s="974"/>
      <c r="EBA124" s="974"/>
      <c r="EBB124" s="974"/>
      <c r="EBC124" s="974"/>
      <c r="EBD124" s="974"/>
      <c r="EBE124" s="974"/>
      <c r="EBF124" s="974"/>
      <c r="EBG124" s="974"/>
      <c r="EBH124" s="974"/>
      <c r="EBI124" s="974"/>
      <c r="EBJ124" s="974"/>
      <c r="EBK124" s="974"/>
      <c r="EBL124" s="974"/>
      <c r="EBM124" s="974"/>
      <c r="EBN124" s="974"/>
      <c r="EBO124" s="974"/>
      <c r="EBP124" s="974"/>
      <c r="EBQ124" s="974"/>
      <c r="EBR124" s="974"/>
      <c r="EBS124" s="974"/>
      <c r="EBT124" s="974"/>
      <c r="EBU124" s="974"/>
      <c r="EBV124" s="974"/>
      <c r="EBW124" s="974"/>
      <c r="EBX124" s="974"/>
      <c r="EBY124" s="974"/>
      <c r="EBZ124" s="974"/>
      <c r="ECA124" s="974"/>
      <c r="ECB124" s="974"/>
      <c r="ECC124" s="974"/>
      <c r="ECD124" s="974"/>
      <c r="ECE124" s="974"/>
      <c r="ECF124" s="974"/>
      <c r="ECG124" s="974"/>
      <c r="ECH124" s="974"/>
      <c r="ECI124" s="974"/>
      <c r="ECJ124" s="974"/>
      <c r="ECK124" s="974"/>
      <c r="ECL124" s="974"/>
      <c r="ECM124" s="974"/>
      <c r="ECN124" s="974"/>
      <c r="ECO124" s="974"/>
      <c r="ECP124" s="974"/>
      <c r="ECQ124" s="974"/>
      <c r="ECR124" s="974"/>
      <c r="ECS124" s="974"/>
      <c r="ECT124" s="974"/>
      <c r="ECU124" s="974"/>
      <c r="ECV124" s="974"/>
      <c r="ECW124" s="974"/>
      <c r="ECX124" s="974"/>
      <c r="ECY124" s="974"/>
      <c r="ECZ124" s="974"/>
      <c r="EDA124" s="974"/>
      <c r="EDB124" s="974"/>
      <c r="EDC124" s="974"/>
      <c r="EDD124" s="974"/>
      <c r="EDE124" s="974"/>
      <c r="EDF124" s="974"/>
      <c r="EDG124" s="974"/>
      <c r="EDH124" s="974"/>
      <c r="EDI124" s="974"/>
      <c r="EDJ124" s="974"/>
      <c r="EDK124" s="974"/>
      <c r="EDL124" s="974"/>
      <c r="EDM124" s="974"/>
      <c r="EDN124" s="974"/>
      <c r="EDO124" s="974"/>
      <c r="EDP124" s="974"/>
      <c r="EDQ124" s="974"/>
      <c r="EDR124" s="974"/>
      <c r="EDS124" s="974"/>
      <c r="EDT124" s="974"/>
      <c r="EDU124" s="974"/>
      <c r="EDV124" s="974"/>
      <c r="EDW124" s="974"/>
      <c r="EDX124" s="974"/>
      <c r="EDY124" s="974"/>
      <c r="EDZ124" s="974"/>
      <c r="EEA124" s="974"/>
      <c r="EEB124" s="974"/>
      <c r="EEC124" s="974"/>
      <c r="EED124" s="974"/>
      <c r="EEE124" s="974"/>
      <c r="EEF124" s="974"/>
      <c r="EEG124" s="974"/>
      <c r="EEH124" s="974"/>
      <c r="EEI124" s="974"/>
      <c r="EEJ124" s="974"/>
      <c r="EEK124" s="974"/>
      <c r="EEL124" s="974"/>
      <c r="EEM124" s="974"/>
      <c r="EEN124" s="974"/>
      <c r="EEO124" s="974"/>
      <c r="EEP124" s="974"/>
      <c r="EEQ124" s="974"/>
      <c r="EER124" s="974"/>
      <c r="EES124" s="974"/>
      <c r="EET124" s="974"/>
      <c r="EEU124" s="974"/>
      <c r="EEV124" s="974"/>
      <c r="EEW124" s="974"/>
      <c r="EEX124" s="974"/>
      <c r="EEY124" s="974"/>
      <c r="EEZ124" s="974"/>
      <c r="EFA124" s="974"/>
      <c r="EFB124" s="974"/>
      <c r="EFC124" s="974"/>
      <c r="EFD124" s="974"/>
      <c r="EFE124" s="974"/>
      <c r="EFF124" s="974"/>
      <c r="EFG124" s="974"/>
      <c r="EFH124" s="974"/>
      <c r="EFI124" s="974"/>
      <c r="EFJ124" s="974"/>
      <c r="EFK124" s="974"/>
      <c r="EFL124" s="974"/>
      <c r="EFM124" s="974"/>
      <c r="EFN124" s="974"/>
      <c r="EFO124" s="974"/>
      <c r="EFP124" s="974"/>
      <c r="EFQ124" s="974"/>
      <c r="EFR124" s="974"/>
      <c r="EFS124" s="974"/>
      <c r="EFT124" s="974"/>
      <c r="EFU124" s="974"/>
      <c r="EFV124" s="974"/>
      <c r="EFW124" s="974"/>
      <c r="EFX124" s="974"/>
      <c r="EFY124" s="974"/>
      <c r="EFZ124" s="974"/>
      <c r="EGA124" s="974"/>
      <c r="EGB124" s="974"/>
      <c r="EGC124" s="974"/>
      <c r="EGD124" s="974"/>
      <c r="EGE124" s="974"/>
      <c r="EGF124" s="974"/>
      <c r="EGG124" s="974"/>
      <c r="EGH124" s="974"/>
      <c r="EGI124" s="974"/>
      <c r="EGJ124" s="974"/>
      <c r="EGK124" s="974"/>
      <c r="EGL124" s="974"/>
      <c r="EGM124" s="974"/>
      <c r="EGN124" s="974"/>
      <c r="EGO124" s="974"/>
      <c r="EGP124" s="974"/>
      <c r="EGQ124" s="974"/>
      <c r="EGR124" s="974"/>
      <c r="EGS124" s="974"/>
      <c r="EGT124" s="974"/>
      <c r="EGU124" s="974"/>
      <c r="EGV124" s="974"/>
      <c r="EGW124" s="974"/>
      <c r="EGX124" s="974"/>
      <c r="EGY124" s="974"/>
      <c r="EGZ124" s="974"/>
      <c r="EHA124" s="974"/>
      <c r="EHB124" s="974"/>
      <c r="EHC124" s="974"/>
      <c r="EHD124" s="974"/>
      <c r="EHE124" s="974"/>
      <c r="EHF124" s="974"/>
      <c r="EHG124" s="974"/>
      <c r="EHH124" s="974"/>
      <c r="EHI124" s="974"/>
      <c r="EHJ124" s="974"/>
      <c r="EHK124" s="974"/>
      <c r="EHL124" s="974"/>
      <c r="EHM124" s="974"/>
      <c r="EHN124" s="974"/>
      <c r="EHO124" s="974"/>
      <c r="EHP124" s="974"/>
      <c r="EHQ124" s="974"/>
      <c r="EHR124" s="974"/>
      <c r="EHS124" s="974"/>
      <c r="EHT124" s="974"/>
      <c r="EHU124" s="974"/>
      <c r="EHV124" s="974"/>
      <c r="EHW124" s="974"/>
      <c r="EHX124" s="974"/>
      <c r="EHY124" s="974"/>
      <c r="EHZ124" s="974"/>
      <c r="EIA124" s="974"/>
      <c r="EIB124" s="974"/>
      <c r="EIC124" s="974"/>
      <c r="EID124" s="974"/>
      <c r="EIE124" s="974"/>
      <c r="EIF124" s="974"/>
      <c r="EIG124" s="974"/>
      <c r="EIH124" s="974"/>
      <c r="EII124" s="974"/>
      <c r="EIJ124" s="974"/>
      <c r="EIK124" s="974"/>
      <c r="EIL124" s="974"/>
      <c r="EIM124" s="974"/>
      <c r="EIN124" s="974"/>
      <c r="EIO124" s="974"/>
      <c r="EIP124" s="974"/>
      <c r="EIQ124" s="974"/>
      <c r="EIR124" s="974"/>
      <c r="EIS124" s="974"/>
      <c r="EIT124" s="974"/>
      <c r="EIU124" s="974"/>
      <c r="EIV124" s="974"/>
      <c r="EIW124" s="974"/>
      <c r="EIX124" s="974"/>
      <c r="EIY124" s="974"/>
      <c r="EIZ124" s="974"/>
      <c r="EJA124" s="974"/>
      <c r="EJB124" s="974"/>
      <c r="EJC124" s="974"/>
      <c r="EJD124" s="974"/>
      <c r="EJE124" s="974"/>
      <c r="EJF124" s="974"/>
      <c r="EJG124" s="974"/>
      <c r="EJH124" s="974"/>
      <c r="EJI124" s="974"/>
      <c r="EJJ124" s="974"/>
      <c r="EJK124" s="974"/>
      <c r="EJL124" s="974"/>
      <c r="EJM124" s="974"/>
      <c r="EJN124" s="974"/>
      <c r="EJO124" s="974"/>
      <c r="EJP124" s="974"/>
      <c r="EJQ124" s="974"/>
      <c r="EJR124" s="974"/>
      <c r="EJS124" s="974"/>
      <c r="EJT124" s="974"/>
      <c r="EJU124" s="974"/>
      <c r="EJV124" s="974"/>
      <c r="EJW124" s="974"/>
      <c r="EJX124" s="974"/>
      <c r="EJY124" s="974"/>
      <c r="EJZ124" s="974"/>
      <c r="EKA124" s="974"/>
      <c r="EKB124" s="974"/>
      <c r="EKC124" s="974"/>
      <c r="EKD124" s="974"/>
      <c r="EKE124" s="974"/>
      <c r="EKF124" s="974"/>
      <c r="EKG124" s="974"/>
      <c r="EKH124" s="974"/>
      <c r="EKI124" s="974"/>
      <c r="EKJ124" s="974"/>
      <c r="EKK124" s="974"/>
      <c r="EKL124" s="974"/>
      <c r="EKM124" s="974"/>
      <c r="EKN124" s="974"/>
      <c r="EKO124" s="974"/>
      <c r="EKP124" s="974"/>
      <c r="EKQ124" s="974"/>
      <c r="EKR124" s="974"/>
      <c r="EKS124" s="974"/>
      <c r="EKT124" s="974"/>
      <c r="EKU124" s="974"/>
      <c r="EKV124" s="974"/>
      <c r="EKW124" s="974"/>
      <c r="EKX124" s="974"/>
      <c r="EKY124" s="974"/>
      <c r="EKZ124" s="974"/>
      <c r="ELA124" s="974"/>
      <c r="ELB124" s="974"/>
      <c r="ELC124" s="974"/>
      <c r="ELD124" s="974"/>
      <c r="ELE124" s="974"/>
      <c r="ELF124" s="974"/>
      <c r="ELG124" s="974"/>
      <c r="ELH124" s="974"/>
      <c r="ELI124" s="974"/>
      <c r="ELJ124" s="974"/>
      <c r="ELK124" s="974"/>
      <c r="ELL124" s="974"/>
      <c r="ELM124" s="974"/>
      <c r="ELN124" s="974"/>
      <c r="ELO124" s="974"/>
      <c r="ELP124" s="974"/>
      <c r="ELQ124" s="974"/>
      <c r="ELR124" s="974"/>
      <c r="ELS124" s="974"/>
      <c r="ELT124" s="974"/>
      <c r="ELU124" s="974"/>
      <c r="ELV124" s="974"/>
      <c r="ELW124" s="974"/>
      <c r="ELX124" s="974"/>
      <c r="ELY124" s="974"/>
      <c r="ELZ124" s="974"/>
      <c r="EMA124" s="974"/>
      <c r="EMB124" s="974"/>
      <c r="EMC124" s="974"/>
      <c r="EMD124" s="974"/>
      <c r="EME124" s="974"/>
      <c r="EMF124" s="974"/>
      <c r="EMG124" s="974"/>
      <c r="EMH124" s="974"/>
      <c r="EMI124" s="974"/>
      <c r="EMJ124" s="974"/>
      <c r="EMK124" s="974"/>
      <c r="EML124" s="974"/>
      <c r="EMM124" s="974"/>
      <c r="EMN124" s="974"/>
      <c r="EMO124" s="974"/>
      <c r="EMP124" s="974"/>
      <c r="EMQ124" s="974"/>
      <c r="EMR124" s="974"/>
      <c r="EMS124" s="974"/>
      <c r="EMT124" s="974"/>
      <c r="EMU124" s="974"/>
      <c r="EMV124" s="974"/>
      <c r="EMW124" s="974"/>
      <c r="EMX124" s="974"/>
      <c r="EMY124" s="974"/>
      <c r="EMZ124" s="974"/>
      <c r="ENA124" s="974"/>
      <c r="ENB124" s="974"/>
      <c r="ENC124" s="974"/>
      <c r="END124" s="974"/>
      <c r="ENE124" s="974"/>
      <c r="ENF124" s="974"/>
      <c r="ENG124" s="974"/>
      <c r="ENH124" s="974"/>
      <c r="ENI124" s="974"/>
      <c r="ENJ124" s="974"/>
      <c r="ENK124" s="974"/>
      <c r="ENL124" s="974"/>
      <c r="ENM124" s="974"/>
      <c r="ENN124" s="974"/>
      <c r="ENO124" s="974"/>
      <c r="ENP124" s="974"/>
      <c r="ENQ124" s="974"/>
      <c r="ENR124" s="974"/>
      <c r="ENS124" s="974"/>
      <c r="ENT124" s="974"/>
      <c r="ENU124" s="974"/>
      <c r="ENV124" s="974"/>
      <c r="ENW124" s="974"/>
      <c r="ENX124" s="974"/>
      <c r="ENY124" s="974"/>
      <c r="ENZ124" s="974"/>
      <c r="EOA124" s="974"/>
      <c r="EOB124" s="974"/>
      <c r="EOC124" s="974"/>
      <c r="EOD124" s="974"/>
      <c r="EOE124" s="974"/>
      <c r="EOF124" s="974"/>
      <c r="EOG124" s="974"/>
      <c r="EOH124" s="974"/>
      <c r="EOI124" s="974"/>
      <c r="EOJ124" s="974"/>
      <c r="EOK124" s="974"/>
      <c r="EOL124" s="974"/>
      <c r="EOM124" s="974"/>
      <c r="EON124" s="974"/>
      <c r="EOO124" s="974"/>
      <c r="EOP124" s="974"/>
      <c r="EOQ124" s="974"/>
      <c r="EOR124" s="974"/>
      <c r="EOS124" s="974"/>
      <c r="EOT124" s="974"/>
      <c r="EOU124" s="974"/>
      <c r="EOV124" s="974"/>
      <c r="EOW124" s="974"/>
      <c r="EOX124" s="974"/>
      <c r="EOY124" s="974"/>
      <c r="EOZ124" s="974"/>
      <c r="EPA124" s="974"/>
      <c r="EPB124" s="974"/>
      <c r="EPC124" s="974"/>
      <c r="EPD124" s="974"/>
      <c r="EPE124" s="974"/>
      <c r="EPF124" s="974"/>
      <c r="EPG124" s="974"/>
      <c r="EPH124" s="974"/>
      <c r="EPI124" s="974"/>
      <c r="EPJ124" s="974"/>
      <c r="EPK124" s="974"/>
      <c r="EPL124" s="974"/>
      <c r="EPM124" s="974"/>
      <c r="EPN124" s="974"/>
      <c r="EPO124" s="974"/>
      <c r="EPP124" s="974"/>
      <c r="EPQ124" s="974"/>
      <c r="EPR124" s="974"/>
      <c r="EPS124" s="974"/>
      <c r="EPT124" s="974"/>
      <c r="EPU124" s="974"/>
      <c r="EPV124" s="974"/>
      <c r="EPW124" s="974"/>
      <c r="EPX124" s="974"/>
      <c r="EPY124" s="974"/>
      <c r="EPZ124" s="974"/>
      <c r="EQA124" s="974"/>
      <c r="EQB124" s="974"/>
      <c r="EQC124" s="974"/>
      <c r="EQD124" s="974"/>
      <c r="EQE124" s="974"/>
      <c r="EQF124" s="974"/>
      <c r="EQG124" s="974"/>
      <c r="EQH124" s="974"/>
      <c r="EQI124" s="974"/>
      <c r="EQJ124" s="974"/>
      <c r="EQK124" s="974"/>
      <c r="EQL124" s="974"/>
      <c r="EQM124" s="974"/>
      <c r="EQN124" s="974"/>
      <c r="EQO124" s="974"/>
      <c r="EQP124" s="974"/>
      <c r="EQQ124" s="974"/>
      <c r="EQR124" s="974"/>
      <c r="EQS124" s="974"/>
      <c r="EQT124" s="974"/>
      <c r="EQU124" s="974"/>
      <c r="EQV124" s="974"/>
      <c r="EQW124" s="974"/>
      <c r="EQX124" s="974"/>
      <c r="EQY124" s="974"/>
      <c r="EQZ124" s="974"/>
      <c r="ERA124" s="974"/>
      <c r="ERB124" s="974"/>
      <c r="ERC124" s="974"/>
      <c r="ERD124" s="974"/>
      <c r="ERE124" s="974"/>
      <c r="ERF124" s="974"/>
      <c r="ERG124" s="974"/>
      <c r="ERH124" s="974"/>
      <c r="ERI124" s="974"/>
      <c r="ERJ124" s="974"/>
      <c r="ERK124" s="974"/>
      <c r="ERL124" s="974"/>
      <c r="ERM124" s="974"/>
      <c r="ERN124" s="974"/>
      <c r="ERO124" s="974"/>
      <c r="ERP124" s="974"/>
      <c r="ERQ124" s="974"/>
      <c r="ERR124" s="974"/>
      <c r="ERS124" s="974"/>
      <c r="ERT124" s="974"/>
      <c r="ERU124" s="974"/>
      <c r="ERV124" s="974"/>
      <c r="ERW124" s="974"/>
      <c r="ERX124" s="974"/>
      <c r="ERY124" s="974"/>
      <c r="ERZ124" s="974"/>
      <c r="ESA124" s="974"/>
      <c r="ESB124" s="974"/>
      <c r="ESC124" s="974"/>
      <c r="ESD124" s="974"/>
      <c r="ESE124" s="974"/>
      <c r="ESF124" s="974"/>
      <c r="ESG124" s="974"/>
      <c r="ESH124" s="974"/>
      <c r="ESI124" s="974"/>
      <c r="ESJ124" s="974"/>
      <c r="ESK124" s="974"/>
      <c r="ESL124" s="974"/>
      <c r="ESM124" s="974"/>
      <c r="ESN124" s="974"/>
      <c r="ESO124" s="974"/>
      <c r="ESP124" s="974"/>
      <c r="ESQ124" s="974"/>
      <c r="ESR124" s="974"/>
      <c r="ESS124" s="974"/>
      <c r="EST124" s="974"/>
      <c r="ESU124" s="974"/>
      <c r="ESV124" s="974"/>
      <c r="ESW124" s="974"/>
      <c r="ESX124" s="974"/>
      <c r="ESY124" s="974"/>
      <c r="ESZ124" s="974"/>
      <c r="ETA124" s="974"/>
      <c r="ETB124" s="974"/>
      <c r="ETC124" s="974"/>
      <c r="ETD124" s="974"/>
      <c r="ETE124" s="974"/>
      <c r="ETF124" s="974"/>
      <c r="ETG124" s="974"/>
      <c r="ETH124" s="974"/>
      <c r="ETI124" s="974"/>
      <c r="ETJ124" s="974"/>
      <c r="ETK124" s="974"/>
      <c r="ETL124" s="974"/>
      <c r="ETM124" s="974"/>
      <c r="ETN124" s="974"/>
      <c r="ETO124" s="974"/>
      <c r="ETP124" s="974"/>
      <c r="ETQ124" s="974"/>
      <c r="ETR124" s="974"/>
      <c r="ETS124" s="974"/>
      <c r="ETT124" s="974"/>
      <c r="ETU124" s="974"/>
      <c r="ETV124" s="974"/>
      <c r="ETW124" s="974"/>
      <c r="ETX124" s="974"/>
      <c r="ETY124" s="974"/>
      <c r="ETZ124" s="974"/>
      <c r="EUA124" s="974"/>
      <c r="EUB124" s="974"/>
      <c r="EUC124" s="974"/>
      <c r="EUD124" s="974"/>
      <c r="EUE124" s="974"/>
      <c r="EUF124" s="974"/>
      <c r="EUG124" s="974"/>
      <c r="EUH124" s="974"/>
      <c r="EUI124" s="974"/>
      <c r="EUJ124" s="974"/>
      <c r="EUK124" s="974"/>
      <c r="EUL124" s="974"/>
      <c r="EUM124" s="974"/>
      <c r="EUN124" s="974"/>
      <c r="EUO124" s="974"/>
      <c r="EUP124" s="974"/>
      <c r="EUQ124" s="974"/>
      <c r="EUR124" s="974"/>
      <c r="EUS124" s="974"/>
      <c r="EUT124" s="974"/>
      <c r="EUU124" s="974"/>
      <c r="EUV124" s="974"/>
      <c r="EUW124" s="974"/>
      <c r="EUX124" s="974"/>
      <c r="EUY124" s="974"/>
      <c r="EUZ124" s="974"/>
      <c r="EVA124" s="974"/>
      <c r="EVB124" s="974"/>
      <c r="EVC124" s="974"/>
      <c r="EVD124" s="974"/>
      <c r="EVE124" s="974"/>
      <c r="EVF124" s="974"/>
      <c r="EVG124" s="974"/>
      <c r="EVH124" s="974"/>
      <c r="EVI124" s="974"/>
      <c r="EVJ124" s="974"/>
      <c r="EVK124" s="974"/>
      <c r="EVL124" s="974"/>
      <c r="EVM124" s="974"/>
      <c r="EVN124" s="974"/>
      <c r="EVO124" s="974"/>
      <c r="EVP124" s="974"/>
      <c r="EVQ124" s="974"/>
      <c r="EVR124" s="974"/>
      <c r="EVS124" s="974"/>
      <c r="EVT124" s="974"/>
      <c r="EVU124" s="974"/>
      <c r="EVV124" s="974"/>
      <c r="EVW124" s="974"/>
      <c r="EVX124" s="974"/>
      <c r="EVY124" s="974"/>
      <c r="EVZ124" s="974"/>
      <c r="EWA124" s="974"/>
      <c r="EWB124" s="974"/>
      <c r="EWC124" s="974"/>
      <c r="EWD124" s="974"/>
      <c r="EWE124" s="974"/>
      <c r="EWF124" s="974"/>
      <c r="EWG124" s="974"/>
      <c r="EWH124" s="974"/>
      <c r="EWI124" s="974"/>
      <c r="EWJ124" s="974"/>
      <c r="EWK124" s="974"/>
      <c r="EWL124" s="974"/>
      <c r="EWM124" s="974"/>
      <c r="EWN124" s="974"/>
      <c r="EWO124" s="974"/>
      <c r="EWP124" s="974"/>
      <c r="EWQ124" s="974"/>
      <c r="EWR124" s="974"/>
      <c r="EWS124" s="974"/>
      <c r="EWT124" s="974"/>
      <c r="EWU124" s="974"/>
      <c r="EWV124" s="974"/>
      <c r="EWW124" s="974"/>
      <c r="EWX124" s="974"/>
      <c r="EWY124" s="974"/>
      <c r="EWZ124" s="974"/>
      <c r="EXA124" s="974"/>
      <c r="EXB124" s="974"/>
      <c r="EXC124" s="974"/>
      <c r="EXD124" s="974"/>
      <c r="EXE124" s="974"/>
      <c r="EXF124" s="974"/>
      <c r="EXG124" s="974"/>
      <c r="EXH124" s="974"/>
      <c r="EXI124" s="974"/>
      <c r="EXJ124" s="974"/>
      <c r="EXK124" s="974"/>
      <c r="EXL124" s="974"/>
      <c r="EXM124" s="974"/>
      <c r="EXN124" s="974"/>
      <c r="EXO124" s="974"/>
      <c r="EXP124" s="974"/>
      <c r="EXQ124" s="974"/>
      <c r="EXR124" s="974"/>
      <c r="EXS124" s="974"/>
      <c r="EXT124" s="974"/>
      <c r="EXU124" s="974"/>
      <c r="EXV124" s="974"/>
      <c r="EXW124" s="974"/>
      <c r="EXX124" s="974"/>
      <c r="EXY124" s="974"/>
      <c r="EXZ124" s="974"/>
      <c r="EYA124" s="974"/>
      <c r="EYB124" s="974"/>
      <c r="EYC124" s="974"/>
      <c r="EYD124" s="974"/>
      <c r="EYE124" s="974"/>
      <c r="EYF124" s="974"/>
      <c r="EYG124" s="974"/>
      <c r="EYH124" s="974"/>
      <c r="EYI124" s="974"/>
      <c r="EYJ124" s="974"/>
      <c r="EYK124" s="974"/>
      <c r="EYL124" s="974"/>
      <c r="EYM124" s="974"/>
      <c r="EYN124" s="974"/>
      <c r="EYO124" s="974"/>
      <c r="EYP124" s="974"/>
      <c r="EYQ124" s="974"/>
      <c r="EYR124" s="974"/>
      <c r="EYS124" s="974"/>
      <c r="EYT124" s="974"/>
      <c r="EYU124" s="974"/>
      <c r="EYV124" s="974"/>
      <c r="EYW124" s="974"/>
      <c r="EYX124" s="974"/>
      <c r="EYY124" s="974"/>
      <c r="EYZ124" s="974"/>
      <c r="EZA124" s="974"/>
      <c r="EZB124" s="974"/>
      <c r="EZC124" s="974"/>
      <c r="EZD124" s="974"/>
      <c r="EZE124" s="974"/>
      <c r="EZF124" s="974"/>
      <c r="EZG124" s="974"/>
      <c r="EZH124" s="974"/>
      <c r="EZI124" s="974"/>
      <c r="EZJ124" s="974"/>
      <c r="EZK124" s="974"/>
      <c r="EZL124" s="974"/>
      <c r="EZM124" s="974"/>
      <c r="EZN124" s="974"/>
      <c r="EZO124" s="974"/>
      <c r="EZP124" s="974"/>
      <c r="EZQ124" s="974"/>
      <c r="EZR124" s="974"/>
      <c r="EZS124" s="974"/>
      <c r="EZT124" s="974"/>
      <c r="EZU124" s="974"/>
      <c r="EZV124" s="974"/>
      <c r="EZW124" s="974"/>
      <c r="EZX124" s="974"/>
      <c r="EZY124" s="974"/>
      <c r="EZZ124" s="974"/>
      <c r="FAA124" s="974"/>
      <c r="FAB124" s="974"/>
      <c r="FAC124" s="974"/>
      <c r="FAD124" s="974"/>
      <c r="FAE124" s="974"/>
      <c r="FAF124" s="974"/>
      <c r="FAG124" s="974"/>
      <c r="FAH124" s="974"/>
      <c r="FAI124" s="974"/>
      <c r="FAJ124" s="974"/>
      <c r="FAK124" s="974"/>
      <c r="FAL124" s="974"/>
      <c r="FAM124" s="974"/>
      <c r="FAN124" s="974"/>
      <c r="FAO124" s="974"/>
      <c r="FAP124" s="974"/>
      <c r="FAQ124" s="974"/>
      <c r="FAR124" s="974"/>
      <c r="FAS124" s="974"/>
      <c r="FAT124" s="974"/>
      <c r="FAU124" s="974"/>
      <c r="FAV124" s="974"/>
      <c r="FAW124" s="974"/>
      <c r="FAX124" s="974"/>
      <c r="FAY124" s="974"/>
      <c r="FAZ124" s="974"/>
      <c r="FBA124" s="974"/>
      <c r="FBB124" s="974"/>
      <c r="FBC124" s="974"/>
      <c r="FBD124" s="974"/>
      <c r="FBE124" s="974"/>
      <c r="FBF124" s="974"/>
      <c r="FBG124" s="974"/>
      <c r="FBH124" s="974"/>
      <c r="FBI124" s="974"/>
      <c r="FBJ124" s="974"/>
      <c r="FBK124" s="974"/>
      <c r="FBL124" s="974"/>
      <c r="FBM124" s="974"/>
      <c r="FBN124" s="974"/>
      <c r="FBO124" s="974"/>
      <c r="FBP124" s="974"/>
      <c r="FBQ124" s="974"/>
      <c r="FBR124" s="974"/>
      <c r="FBS124" s="974"/>
      <c r="FBT124" s="974"/>
      <c r="FBU124" s="974"/>
      <c r="FBV124" s="974"/>
      <c r="FBW124" s="974"/>
      <c r="FBX124" s="974"/>
      <c r="FBY124" s="974"/>
      <c r="FBZ124" s="974"/>
      <c r="FCA124" s="974"/>
      <c r="FCB124" s="974"/>
      <c r="FCC124" s="974"/>
      <c r="FCD124" s="974"/>
      <c r="FCE124" s="974"/>
      <c r="FCF124" s="974"/>
      <c r="FCG124" s="974"/>
      <c r="FCH124" s="974"/>
      <c r="FCI124" s="974"/>
      <c r="FCJ124" s="974"/>
      <c r="FCK124" s="974"/>
      <c r="FCL124" s="974"/>
      <c r="FCM124" s="974"/>
      <c r="FCN124" s="974"/>
      <c r="FCO124" s="974"/>
      <c r="FCP124" s="974"/>
      <c r="FCQ124" s="974"/>
      <c r="FCR124" s="974"/>
      <c r="FCS124" s="974"/>
      <c r="FCT124" s="974"/>
      <c r="FCU124" s="974"/>
      <c r="FCV124" s="974"/>
      <c r="FCW124" s="974"/>
      <c r="FCX124" s="974"/>
      <c r="FCY124" s="974"/>
      <c r="FCZ124" s="974"/>
      <c r="FDA124" s="974"/>
      <c r="FDB124" s="974"/>
      <c r="FDC124" s="974"/>
      <c r="FDD124" s="974"/>
      <c r="FDE124" s="974"/>
      <c r="FDF124" s="974"/>
      <c r="FDG124" s="974"/>
      <c r="FDH124" s="974"/>
      <c r="FDI124" s="974"/>
      <c r="FDJ124" s="974"/>
      <c r="FDK124" s="974"/>
      <c r="FDL124" s="974"/>
      <c r="FDM124" s="974"/>
      <c r="FDN124" s="974"/>
      <c r="FDO124" s="974"/>
      <c r="FDP124" s="974"/>
      <c r="FDQ124" s="974"/>
      <c r="FDR124" s="974"/>
      <c r="FDS124" s="974"/>
      <c r="FDT124" s="974"/>
      <c r="FDU124" s="974"/>
      <c r="FDV124" s="974"/>
      <c r="FDW124" s="974"/>
      <c r="FDX124" s="974"/>
      <c r="FDY124" s="974"/>
      <c r="FDZ124" s="974"/>
      <c r="FEA124" s="974"/>
      <c r="FEB124" s="974"/>
      <c r="FEC124" s="974"/>
      <c r="FED124" s="974"/>
      <c r="FEE124" s="974"/>
      <c r="FEF124" s="974"/>
      <c r="FEG124" s="974"/>
      <c r="FEH124" s="974"/>
      <c r="FEI124" s="974"/>
      <c r="FEJ124" s="974"/>
      <c r="FEK124" s="974"/>
      <c r="FEL124" s="974"/>
      <c r="FEM124" s="974"/>
      <c r="FEN124" s="974"/>
      <c r="FEO124" s="974"/>
      <c r="FEP124" s="974"/>
      <c r="FEQ124" s="974"/>
      <c r="FER124" s="974"/>
      <c r="FES124" s="974"/>
      <c r="FET124" s="974"/>
      <c r="FEU124" s="974"/>
      <c r="FEV124" s="974"/>
      <c r="FEW124" s="974"/>
      <c r="FEX124" s="974"/>
      <c r="FEY124" s="974"/>
      <c r="FEZ124" s="974"/>
      <c r="FFA124" s="974"/>
      <c r="FFB124" s="974"/>
      <c r="FFC124" s="974"/>
      <c r="FFD124" s="974"/>
      <c r="FFE124" s="974"/>
      <c r="FFF124" s="974"/>
      <c r="FFG124" s="974"/>
      <c r="FFH124" s="974"/>
      <c r="FFI124" s="974"/>
      <c r="FFJ124" s="974"/>
      <c r="FFK124" s="974"/>
      <c r="FFL124" s="974"/>
      <c r="FFM124" s="974"/>
      <c r="FFN124" s="974"/>
      <c r="FFO124" s="974"/>
      <c r="FFP124" s="974"/>
      <c r="FFQ124" s="974"/>
      <c r="FFR124" s="974"/>
      <c r="FFS124" s="974"/>
      <c r="FFT124" s="974"/>
      <c r="FFU124" s="974"/>
      <c r="FFV124" s="974"/>
      <c r="FFW124" s="974"/>
      <c r="FFX124" s="974"/>
      <c r="FFY124" s="974"/>
      <c r="FFZ124" s="974"/>
      <c r="FGA124" s="974"/>
      <c r="FGB124" s="974"/>
      <c r="FGC124" s="974"/>
      <c r="FGD124" s="974"/>
      <c r="FGE124" s="974"/>
      <c r="FGF124" s="974"/>
      <c r="FGG124" s="974"/>
      <c r="FGH124" s="974"/>
      <c r="FGI124" s="974"/>
      <c r="FGJ124" s="974"/>
      <c r="FGK124" s="974"/>
      <c r="FGL124" s="974"/>
      <c r="FGM124" s="974"/>
      <c r="FGN124" s="974"/>
      <c r="FGO124" s="974"/>
      <c r="FGP124" s="974"/>
      <c r="FGQ124" s="974"/>
      <c r="FGR124" s="974"/>
      <c r="FGS124" s="974"/>
      <c r="FGT124" s="974"/>
      <c r="FGU124" s="974"/>
      <c r="FGV124" s="974"/>
      <c r="FGW124" s="974"/>
      <c r="FGX124" s="974"/>
      <c r="FGY124" s="974"/>
      <c r="FGZ124" s="974"/>
      <c r="FHA124" s="974"/>
      <c r="FHB124" s="974"/>
      <c r="FHC124" s="974"/>
      <c r="FHD124" s="974"/>
      <c r="FHE124" s="974"/>
      <c r="FHF124" s="974"/>
      <c r="FHG124" s="974"/>
      <c r="FHH124" s="974"/>
      <c r="FHI124" s="974"/>
      <c r="FHJ124" s="974"/>
      <c r="FHK124" s="974"/>
      <c r="FHL124" s="974"/>
      <c r="FHM124" s="974"/>
      <c r="FHN124" s="974"/>
      <c r="FHO124" s="974"/>
      <c r="FHP124" s="974"/>
      <c r="FHQ124" s="974"/>
      <c r="FHR124" s="974"/>
      <c r="FHS124" s="974"/>
      <c r="FHT124" s="974"/>
      <c r="FHU124" s="974"/>
      <c r="FHV124" s="974"/>
      <c r="FHW124" s="974"/>
      <c r="FHX124" s="974"/>
      <c r="FHY124" s="974"/>
      <c r="FHZ124" s="974"/>
      <c r="FIA124" s="974"/>
      <c r="FIB124" s="974"/>
      <c r="FIC124" s="974"/>
      <c r="FID124" s="974"/>
      <c r="FIE124" s="974"/>
      <c r="FIF124" s="974"/>
      <c r="FIG124" s="974"/>
      <c r="FIH124" s="974"/>
      <c r="FII124" s="974"/>
      <c r="FIJ124" s="974"/>
      <c r="FIK124" s="974"/>
      <c r="FIL124" s="974"/>
      <c r="FIM124" s="974"/>
      <c r="FIN124" s="974"/>
      <c r="FIO124" s="974"/>
      <c r="FIP124" s="974"/>
      <c r="FIQ124" s="974"/>
      <c r="FIR124" s="974"/>
      <c r="FIS124" s="974"/>
      <c r="FIT124" s="974"/>
      <c r="FIU124" s="974"/>
      <c r="FIV124" s="974"/>
      <c r="FIW124" s="974"/>
      <c r="FIX124" s="974"/>
      <c r="FIY124" s="974"/>
      <c r="FIZ124" s="974"/>
      <c r="FJA124" s="974"/>
      <c r="FJB124" s="974"/>
      <c r="FJC124" s="974"/>
      <c r="FJD124" s="974"/>
      <c r="FJE124" s="974"/>
      <c r="FJF124" s="974"/>
      <c r="FJG124" s="974"/>
      <c r="FJH124" s="974"/>
      <c r="FJI124" s="974"/>
      <c r="FJJ124" s="974"/>
      <c r="FJK124" s="974"/>
      <c r="FJL124" s="974"/>
      <c r="FJM124" s="974"/>
      <c r="FJN124" s="974"/>
      <c r="FJO124" s="974"/>
      <c r="FJP124" s="974"/>
      <c r="FJQ124" s="974"/>
      <c r="FJR124" s="974"/>
      <c r="FJS124" s="974"/>
      <c r="FJT124" s="974"/>
      <c r="FJU124" s="974"/>
      <c r="FJV124" s="974"/>
      <c r="FJW124" s="974"/>
      <c r="FJX124" s="974"/>
      <c r="FJY124" s="974"/>
      <c r="FJZ124" s="974"/>
      <c r="FKA124" s="974"/>
      <c r="FKB124" s="974"/>
      <c r="FKC124" s="974"/>
      <c r="FKD124" s="974"/>
      <c r="FKE124" s="974"/>
      <c r="FKF124" s="974"/>
      <c r="FKG124" s="974"/>
      <c r="FKH124" s="974"/>
      <c r="FKI124" s="974"/>
      <c r="FKJ124" s="974"/>
      <c r="FKK124" s="974"/>
      <c r="FKL124" s="974"/>
      <c r="FKM124" s="974"/>
      <c r="FKN124" s="974"/>
      <c r="FKO124" s="974"/>
      <c r="FKP124" s="974"/>
      <c r="FKQ124" s="974"/>
      <c r="FKR124" s="974"/>
      <c r="FKS124" s="974"/>
      <c r="FKT124" s="974"/>
      <c r="FKU124" s="974"/>
      <c r="FKV124" s="974"/>
      <c r="FKW124" s="974"/>
      <c r="FKX124" s="974"/>
      <c r="FKY124" s="974"/>
      <c r="FKZ124" s="974"/>
      <c r="FLA124" s="974"/>
      <c r="FLB124" s="974"/>
      <c r="FLC124" s="974"/>
      <c r="FLD124" s="974"/>
      <c r="FLE124" s="974"/>
      <c r="FLF124" s="974"/>
      <c r="FLG124" s="974"/>
      <c r="FLH124" s="974"/>
      <c r="FLI124" s="974"/>
      <c r="FLJ124" s="974"/>
      <c r="FLK124" s="974"/>
      <c r="FLL124" s="974"/>
      <c r="FLM124" s="974"/>
      <c r="FLN124" s="974"/>
      <c r="FLO124" s="974"/>
      <c r="FLP124" s="974"/>
      <c r="FLQ124" s="974"/>
      <c r="FLR124" s="974"/>
      <c r="FLS124" s="974"/>
      <c r="FLT124" s="974"/>
      <c r="FLU124" s="974"/>
      <c r="FLV124" s="974"/>
      <c r="FLW124" s="974"/>
      <c r="FLX124" s="974"/>
      <c r="FLY124" s="974"/>
      <c r="FLZ124" s="974"/>
      <c r="FMA124" s="974"/>
      <c r="FMB124" s="974"/>
      <c r="FMC124" s="974"/>
      <c r="FMD124" s="974"/>
      <c r="FME124" s="974"/>
      <c r="FMF124" s="974"/>
      <c r="FMG124" s="974"/>
      <c r="FMH124" s="974"/>
      <c r="FMI124" s="974"/>
      <c r="FMJ124" s="974"/>
      <c r="FMK124" s="974"/>
      <c r="FML124" s="974"/>
      <c r="FMM124" s="974"/>
      <c r="FMN124" s="974"/>
      <c r="FMO124" s="974"/>
      <c r="FMP124" s="974"/>
      <c r="FMQ124" s="974"/>
      <c r="FMR124" s="974"/>
      <c r="FMS124" s="974"/>
      <c r="FMT124" s="974"/>
      <c r="FMU124" s="974"/>
      <c r="FMV124" s="974"/>
      <c r="FMW124" s="974"/>
      <c r="FMX124" s="974"/>
      <c r="FMY124" s="974"/>
      <c r="FMZ124" s="974"/>
      <c r="FNA124" s="974"/>
      <c r="FNB124" s="974"/>
      <c r="FNC124" s="974"/>
      <c r="FND124" s="974"/>
      <c r="FNE124" s="974"/>
      <c r="FNF124" s="974"/>
      <c r="FNG124" s="974"/>
      <c r="FNH124" s="974"/>
      <c r="FNI124" s="974"/>
      <c r="FNJ124" s="974"/>
      <c r="FNK124" s="974"/>
      <c r="FNL124" s="974"/>
      <c r="FNM124" s="974"/>
      <c r="FNN124" s="974"/>
      <c r="FNO124" s="974"/>
      <c r="FNP124" s="974"/>
      <c r="FNQ124" s="974"/>
      <c r="FNR124" s="974"/>
      <c r="FNS124" s="974"/>
      <c r="FNT124" s="974"/>
      <c r="FNU124" s="974"/>
      <c r="FNV124" s="974"/>
      <c r="FNW124" s="974"/>
      <c r="FNX124" s="974"/>
      <c r="FNY124" s="974"/>
      <c r="FNZ124" s="974"/>
      <c r="FOA124" s="974"/>
      <c r="FOB124" s="974"/>
      <c r="FOC124" s="974"/>
      <c r="FOD124" s="974"/>
      <c r="FOE124" s="974"/>
      <c r="FOF124" s="974"/>
      <c r="FOG124" s="974"/>
      <c r="FOH124" s="974"/>
      <c r="FOI124" s="974"/>
      <c r="FOJ124" s="974"/>
      <c r="FOK124" s="974"/>
      <c r="FOL124" s="974"/>
      <c r="FOM124" s="974"/>
      <c r="FON124" s="974"/>
      <c r="FOO124" s="974"/>
      <c r="FOP124" s="974"/>
      <c r="FOQ124" s="974"/>
      <c r="FOR124" s="974"/>
      <c r="FOS124" s="974"/>
      <c r="FOT124" s="974"/>
      <c r="FOU124" s="974"/>
      <c r="FOV124" s="974"/>
      <c r="FOW124" s="974"/>
      <c r="FOX124" s="974"/>
      <c r="FOY124" s="974"/>
      <c r="FOZ124" s="974"/>
      <c r="FPA124" s="974"/>
      <c r="FPB124" s="974"/>
      <c r="FPC124" s="974"/>
      <c r="FPD124" s="974"/>
      <c r="FPE124" s="974"/>
      <c r="FPF124" s="974"/>
      <c r="FPG124" s="974"/>
      <c r="FPH124" s="974"/>
      <c r="FPI124" s="974"/>
      <c r="FPJ124" s="974"/>
      <c r="FPK124" s="974"/>
      <c r="FPL124" s="974"/>
      <c r="FPM124" s="974"/>
      <c r="FPN124" s="974"/>
      <c r="FPO124" s="974"/>
      <c r="FPP124" s="974"/>
      <c r="FPQ124" s="974"/>
      <c r="FPR124" s="974"/>
      <c r="FPS124" s="974"/>
      <c r="FPT124" s="974"/>
      <c r="FPU124" s="974"/>
      <c r="FPV124" s="974"/>
      <c r="FPW124" s="974"/>
      <c r="FPX124" s="974"/>
      <c r="FPY124" s="974"/>
      <c r="FPZ124" s="974"/>
      <c r="FQA124" s="974"/>
      <c r="FQB124" s="974"/>
      <c r="FQC124" s="974"/>
      <c r="FQD124" s="974"/>
      <c r="FQE124" s="974"/>
      <c r="FQF124" s="974"/>
      <c r="FQG124" s="974"/>
      <c r="FQH124" s="974"/>
      <c r="FQI124" s="974"/>
      <c r="FQJ124" s="974"/>
      <c r="FQK124" s="974"/>
      <c r="FQL124" s="974"/>
      <c r="FQM124" s="974"/>
      <c r="FQN124" s="974"/>
      <c r="FQO124" s="974"/>
      <c r="FQP124" s="974"/>
      <c r="FQQ124" s="974"/>
      <c r="FQR124" s="974"/>
      <c r="FQS124" s="974"/>
      <c r="FQT124" s="974"/>
      <c r="FQU124" s="974"/>
      <c r="FQV124" s="974"/>
      <c r="FQW124" s="974"/>
      <c r="FQX124" s="974"/>
      <c r="FQY124" s="974"/>
      <c r="FQZ124" s="974"/>
      <c r="FRA124" s="974"/>
      <c r="FRB124" s="974"/>
      <c r="FRC124" s="974"/>
      <c r="FRD124" s="974"/>
      <c r="FRE124" s="974"/>
      <c r="FRF124" s="974"/>
      <c r="FRG124" s="974"/>
      <c r="FRH124" s="974"/>
      <c r="FRI124" s="974"/>
      <c r="FRJ124" s="974"/>
      <c r="FRK124" s="974"/>
      <c r="FRL124" s="974"/>
      <c r="FRM124" s="974"/>
      <c r="FRN124" s="974"/>
      <c r="FRO124" s="974"/>
      <c r="FRP124" s="974"/>
      <c r="FRQ124" s="974"/>
      <c r="FRR124" s="974"/>
      <c r="FRS124" s="974"/>
      <c r="FRT124" s="974"/>
      <c r="FRU124" s="974"/>
      <c r="FRV124" s="974"/>
      <c r="FRW124" s="974"/>
      <c r="FRX124" s="974"/>
      <c r="FRY124" s="974"/>
      <c r="FRZ124" s="974"/>
      <c r="FSA124" s="974"/>
      <c r="FSB124" s="974"/>
      <c r="FSC124" s="974"/>
      <c r="FSD124" s="974"/>
      <c r="FSE124" s="974"/>
      <c r="FSF124" s="974"/>
      <c r="FSG124" s="974"/>
      <c r="FSH124" s="974"/>
      <c r="FSI124" s="974"/>
      <c r="FSJ124" s="974"/>
      <c r="FSK124" s="974"/>
      <c r="FSL124" s="974"/>
      <c r="FSM124" s="974"/>
      <c r="FSN124" s="974"/>
      <c r="FSO124" s="974"/>
      <c r="FSP124" s="974"/>
      <c r="FSQ124" s="974"/>
      <c r="FSR124" s="974"/>
      <c r="FSS124" s="974"/>
      <c r="FST124" s="974"/>
      <c r="FSU124" s="974"/>
      <c r="FSV124" s="974"/>
      <c r="FSW124" s="974"/>
      <c r="FSX124" s="974"/>
      <c r="FSY124" s="974"/>
      <c r="FSZ124" s="974"/>
      <c r="FTA124" s="974"/>
      <c r="FTB124" s="974"/>
      <c r="FTC124" s="974"/>
      <c r="FTD124" s="974"/>
      <c r="FTE124" s="974"/>
      <c r="FTF124" s="974"/>
      <c r="FTG124" s="974"/>
      <c r="FTH124" s="974"/>
      <c r="FTI124" s="974"/>
      <c r="FTJ124" s="974"/>
      <c r="FTK124" s="974"/>
      <c r="FTL124" s="974"/>
      <c r="FTM124" s="974"/>
      <c r="FTN124" s="974"/>
      <c r="FTO124" s="974"/>
      <c r="FTP124" s="974"/>
      <c r="FTQ124" s="974"/>
      <c r="FTR124" s="974"/>
      <c r="FTS124" s="974"/>
      <c r="FTT124" s="974"/>
      <c r="FTU124" s="974"/>
      <c r="FTV124" s="974"/>
      <c r="FTW124" s="974"/>
      <c r="FTX124" s="974"/>
      <c r="FTY124" s="974"/>
      <c r="FTZ124" s="974"/>
      <c r="FUA124" s="974"/>
      <c r="FUB124" s="974"/>
      <c r="FUC124" s="974"/>
      <c r="FUD124" s="974"/>
      <c r="FUE124" s="974"/>
      <c r="FUF124" s="974"/>
      <c r="FUG124" s="974"/>
      <c r="FUH124" s="974"/>
      <c r="FUI124" s="974"/>
      <c r="FUJ124" s="974"/>
      <c r="FUK124" s="974"/>
      <c r="FUL124" s="974"/>
      <c r="FUM124" s="974"/>
      <c r="FUN124" s="974"/>
      <c r="FUO124" s="974"/>
      <c r="FUP124" s="974"/>
      <c r="FUQ124" s="974"/>
      <c r="FUR124" s="974"/>
      <c r="FUS124" s="974"/>
      <c r="FUT124" s="974"/>
      <c r="FUU124" s="974"/>
      <c r="FUV124" s="974"/>
      <c r="FUW124" s="974"/>
      <c r="FUX124" s="974"/>
      <c r="FUY124" s="974"/>
      <c r="FUZ124" s="974"/>
      <c r="FVA124" s="974"/>
      <c r="FVB124" s="974"/>
      <c r="FVC124" s="974"/>
      <c r="FVD124" s="974"/>
      <c r="FVE124" s="974"/>
      <c r="FVF124" s="974"/>
      <c r="FVG124" s="974"/>
      <c r="FVH124" s="974"/>
      <c r="FVI124" s="974"/>
      <c r="FVJ124" s="974"/>
      <c r="FVK124" s="974"/>
      <c r="FVL124" s="974"/>
      <c r="FVM124" s="974"/>
      <c r="FVN124" s="974"/>
      <c r="FVO124" s="974"/>
      <c r="FVP124" s="974"/>
      <c r="FVQ124" s="974"/>
      <c r="FVR124" s="974"/>
      <c r="FVS124" s="974"/>
      <c r="FVT124" s="974"/>
      <c r="FVU124" s="974"/>
      <c r="FVV124" s="974"/>
      <c r="FVW124" s="974"/>
      <c r="FVX124" s="974"/>
      <c r="FVY124" s="974"/>
      <c r="FVZ124" s="974"/>
      <c r="FWA124" s="974"/>
      <c r="FWB124" s="974"/>
      <c r="FWC124" s="974"/>
      <c r="FWD124" s="974"/>
      <c r="FWE124" s="974"/>
      <c r="FWF124" s="974"/>
      <c r="FWG124" s="974"/>
      <c r="FWH124" s="974"/>
      <c r="FWI124" s="974"/>
      <c r="FWJ124" s="974"/>
      <c r="FWK124" s="974"/>
      <c r="FWL124" s="974"/>
      <c r="FWM124" s="974"/>
      <c r="FWN124" s="974"/>
      <c r="FWO124" s="974"/>
      <c r="FWP124" s="974"/>
      <c r="FWQ124" s="974"/>
      <c r="FWR124" s="974"/>
      <c r="FWS124" s="974"/>
      <c r="FWT124" s="974"/>
      <c r="FWU124" s="974"/>
      <c r="FWV124" s="974"/>
      <c r="FWW124" s="974"/>
      <c r="FWX124" s="974"/>
      <c r="FWY124" s="974"/>
      <c r="FWZ124" s="974"/>
      <c r="FXA124" s="974"/>
      <c r="FXB124" s="974"/>
      <c r="FXC124" s="974"/>
      <c r="FXD124" s="974"/>
      <c r="FXE124" s="974"/>
      <c r="FXF124" s="974"/>
      <c r="FXG124" s="974"/>
      <c r="FXH124" s="974"/>
      <c r="FXI124" s="974"/>
      <c r="FXJ124" s="974"/>
      <c r="FXK124" s="974"/>
      <c r="FXL124" s="974"/>
      <c r="FXM124" s="974"/>
      <c r="FXN124" s="974"/>
      <c r="FXO124" s="974"/>
      <c r="FXP124" s="974"/>
      <c r="FXQ124" s="974"/>
      <c r="FXR124" s="974"/>
      <c r="FXS124" s="974"/>
      <c r="FXT124" s="974"/>
      <c r="FXU124" s="974"/>
      <c r="FXV124" s="974"/>
      <c r="FXW124" s="974"/>
      <c r="FXX124" s="974"/>
      <c r="FXY124" s="974"/>
      <c r="FXZ124" s="974"/>
      <c r="FYA124" s="974"/>
      <c r="FYB124" s="974"/>
      <c r="FYC124" s="974"/>
      <c r="FYD124" s="974"/>
      <c r="FYE124" s="974"/>
      <c r="FYF124" s="974"/>
      <c r="FYG124" s="974"/>
      <c r="FYH124" s="974"/>
      <c r="FYI124" s="974"/>
      <c r="FYJ124" s="974"/>
      <c r="FYK124" s="974"/>
      <c r="FYL124" s="974"/>
      <c r="FYM124" s="974"/>
      <c r="FYN124" s="974"/>
      <c r="FYO124" s="974"/>
      <c r="FYP124" s="974"/>
      <c r="FYQ124" s="974"/>
      <c r="FYR124" s="974"/>
      <c r="FYS124" s="974"/>
      <c r="FYT124" s="974"/>
      <c r="FYU124" s="974"/>
      <c r="FYV124" s="974"/>
      <c r="FYW124" s="974"/>
      <c r="FYX124" s="974"/>
      <c r="FYY124" s="974"/>
      <c r="FYZ124" s="974"/>
      <c r="FZA124" s="974"/>
      <c r="FZB124" s="974"/>
      <c r="FZC124" s="974"/>
      <c r="FZD124" s="974"/>
      <c r="FZE124" s="974"/>
      <c r="FZF124" s="974"/>
      <c r="FZG124" s="974"/>
      <c r="FZH124" s="974"/>
      <c r="FZI124" s="974"/>
      <c r="FZJ124" s="974"/>
      <c r="FZK124" s="974"/>
      <c r="FZL124" s="974"/>
      <c r="FZM124" s="974"/>
      <c r="FZN124" s="974"/>
      <c r="FZO124" s="974"/>
      <c r="FZP124" s="974"/>
      <c r="FZQ124" s="974"/>
      <c r="FZR124" s="974"/>
      <c r="FZS124" s="974"/>
      <c r="FZT124" s="974"/>
      <c r="FZU124" s="974"/>
      <c r="FZV124" s="974"/>
      <c r="FZW124" s="974"/>
      <c r="FZX124" s="974"/>
      <c r="FZY124" s="974"/>
      <c r="FZZ124" s="974"/>
      <c r="GAA124" s="974"/>
      <c r="GAB124" s="974"/>
      <c r="GAC124" s="974"/>
      <c r="GAD124" s="974"/>
      <c r="GAE124" s="974"/>
      <c r="GAF124" s="974"/>
      <c r="GAG124" s="974"/>
      <c r="GAH124" s="974"/>
      <c r="GAI124" s="974"/>
      <c r="GAJ124" s="974"/>
      <c r="GAK124" s="974"/>
      <c r="GAL124" s="974"/>
      <c r="GAM124" s="974"/>
      <c r="GAN124" s="974"/>
      <c r="GAO124" s="974"/>
      <c r="GAP124" s="974"/>
      <c r="GAQ124" s="974"/>
      <c r="GAR124" s="974"/>
      <c r="GAS124" s="974"/>
      <c r="GAT124" s="974"/>
      <c r="GAU124" s="974"/>
      <c r="GAV124" s="974"/>
      <c r="GAW124" s="974"/>
      <c r="GAX124" s="974"/>
      <c r="GAY124" s="974"/>
      <c r="GAZ124" s="974"/>
      <c r="GBA124" s="974"/>
      <c r="GBB124" s="974"/>
      <c r="GBC124" s="974"/>
      <c r="GBD124" s="974"/>
      <c r="GBE124" s="974"/>
      <c r="GBF124" s="974"/>
      <c r="GBG124" s="974"/>
      <c r="GBH124" s="974"/>
      <c r="GBI124" s="974"/>
      <c r="GBJ124" s="974"/>
      <c r="GBK124" s="974"/>
      <c r="GBL124" s="974"/>
      <c r="GBM124" s="974"/>
      <c r="GBN124" s="974"/>
      <c r="GBO124" s="974"/>
      <c r="GBP124" s="974"/>
      <c r="GBQ124" s="974"/>
      <c r="GBR124" s="974"/>
      <c r="GBS124" s="974"/>
      <c r="GBT124" s="974"/>
      <c r="GBU124" s="974"/>
      <c r="GBV124" s="974"/>
      <c r="GBW124" s="974"/>
      <c r="GBX124" s="974"/>
      <c r="GBY124" s="974"/>
      <c r="GBZ124" s="974"/>
      <c r="GCA124" s="974"/>
      <c r="GCB124" s="974"/>
      <c r="GCC124" s="974"/>
      <c r="GCD124" s="974"/>
      <c r="GCE124" s="974"/>
      <c r="GCF124" s="974"/>
      <c r="GCG124" s="974"/>
      <c r="GCH124" s="974"/>
      <c r="GCI124" s="974"/>
      <c r="GCJ124" s="974"/>
      <c r="GCK124" s="974"/>
      <c r="GCL124" s="974"/>
      <c r="GCM124" s="974"/>
      <c r="GCN124" s="974"/>
      <c r="GCO124" s="974"/>
      <c r="GCP124" s="974"/>
      <c r="GCQ124" s="974"/>
      <c r="GCR124" s="974"/>
      <c r="GCS124" s="974"/>
      <c r="GCT124" s="974"/>
      <c r="GCU124" s="974"/>
      <c r="GCV124" s="974"/>
      <c r="GCW124" s="974"/>
      <c r="GCX124" s="974"/>
      <c r="GCY124" s="974"/>
      <c r="GCZ124" s="974"/>
      <c r="GDA124" s="974"/>
      <c r="GDB124" s="974"/>
      <c r="GDC124" s="974"/>
      <c r="GDD124" s="974"/>
      <c r="GDE124" s="974"/>
      <c r="GDF124" s="974"/>
      <c r="GDG124" s="974"/>
      <c r="GDH124" s="974"/>
      <c r="GDI124" s="974"/>
      <c r="GDJ124" s="974"/>
      <c r="GDK124" s="974"/>
      <c r="GDL124" s="974"/>
      <c r="GDM124" s="974"/>
      <c r="GDN124" s="974"/>
      <c r="GDO124" s="974"/>
      <c r="GDP124" s="974"/>
      <c r="GDQ124" s="974"/>
      <c r="GDR124" s="974"/>
      <c r="GDS124" s="974"/>
      <c r="GDT124" s="974"/>
      <c r="GDU124" s="974"/>
      <c r="GDV124" s="974"/>
      <c r="GDW124" s="974"/>
      <c r="GDX124" s="974"/>
      <c r="GDY124" s="974"/>
      <c r="GDZ124" s="974"/>
      <c r="GEA124" s="974"/>
      <c r="GEB124" s="974"/>
      <c r="GEC124" s="974"/>
      <c r="GED124" s="974"/>
      <c r="GEE124" s="974"/>
      <c r="GEF124" s="974"/>
      <c r="GEG124" s="974"/>
      <c r="GEH124" s="974"/>
      <c r="GEI124" s="974"/>
      <c r="GEJ124" s="974"/>
      <c r="GEK124" s="974"/>
      <c r="GEL124" s="974"/>
      <c r="GEM124" s="974"/>
      <c r="GEN124" s="974"/>
      <c r="GEO124" s="974"/>
      <c r="GEP124" s="974"/>
      <c r="GEQ124" s="974"/>
      <c r="GER124" s="974"/>
      <c r="GES124" s="974"/>
      <c r="GET124" s="974"/>
      <c r="GEU124" s="974"/>
      <c r="GEV124" s="974"/>
      <c r="GEW124" s="974"/>
      <c r="GEX124" s="974"/>
      <c r="GEY124" s="974"/>
      <c r="GEZ124" s="974"/>
      <c r="GFA124" s="974"/>
      <c r="GFB124" s="974"/>
      <c r="GFC124" s="974"/>
      <c r="GFD124" s="974"/>
      <c r="GFE124" s="974"/>
      <c r="GFF124" s="974"/>
      <c r="GFG124" s="974"/>
      <c r="GFH124" s="974"/>
      <c r="GFI124" s="974"/>
      <c r="GFJ124" s="974"/>
      <c r="GFK124" s="974"/>
      <c r="GFL124" s="974"/>
      <c r="GFM124" s="974"/>
      <c r="GFN124" s="974"/>
      <c r="GFO124" s="974"/>
      <c r="GFP124" s="974"/>
      <c r="GFQ124" s="974"/>
      <c r="GFR124" s="974"/>
      <c r="GFS124" s="974"/>
      <c r="GFT124" s="974"/>
      <c r="GFU124" s="974"/>
      <c r="GFV124" s="974"/>
      <c r="GFW124" s="974"/>
      <c r="GFX124" s="974"/>
      <c r="GFY124" s="974"/>
      <c r="GFZ124" s="974"/>
      <c r="GGA124" s="974"/>
      <c r="GGB124" s="974"/>
      <c r="GGC124" s="974"/>
      <c r="GGD124" s="974"/>
      <c r="GGE124" s="974"/>
      <c r="GGF124" s="974"/>
      <c r="GGG124" s="974"/>
      <c r="GGH124" s="974"/>
      <c r="GGI124" s="974"/>
      <c r="GGJ124" s="974"/>
      <c r="GGK124" s="974"/>
      <c r="GGL124" s="974"/>
      <c r="GGM124" s="974"/>
      <c r="GGN124" s="974"/>
      <c r="GGO124" s="974"/>
      <c r="GGP124" s="974"/>
      <c r="GGQ124" s="974"/>
      <c r="GGR124" s="974"/>
      <c r="GGS124" s="974"/>
      <c r="GGT124" s="974"/>
      <c r="GGU124" s="974"/>
      <c r="GGV124" s="974"/>
      <c r="GGW124" s="974"/>
      <c r="GGX124" s="974"/>
      <c r="GGY124" s="974"/>
      <c r="GGZ124" s="974"/>
      <c r="GHA124" s="974"/>
      <c r="GHB124" s="974"/>
      <c r="GHC124" s="974"/>
      <c r="GHD124" s="974"/>
      <c r="GHE124" s="974"/>
      <c r="GHF124" s="974"/>
      <c r="GHG124" s="974"/>
      <c r="GHH124" s="974"/>
      <c r="GHI124" s="974"/>
      <c r="GHJ124" s="974"/>
      <c r="GHK124" s="974"/>
      <c r="GHL124" s="974"/>
      <c r="GHM124" s="974"/>
      <c r="GHN124" s="974"/>
      <c r="GHO124" s="974"/>
      <c r="GHP124" s="974"/>
      <c r="GHQ124" s="974"/>
      <c r="GHR124" s="974"/>
      <c r="GHS124" s="974"/>
      <c r="GHT124" s="974"/>
      <c r="GHU124" s="974"/>
      <c r="GHV124" s="974"/>
      <c r="GHW124" s="974"/>
      <c r="GHX124" s="974"/>
      <c r="GHY124" s="974"/>
      <c r="GHZ124" s="974"/>
      <c r="GIA124" s="974"/>
      <c r="GIB124" s="974"/>
      <c r="GIC124" s="974"/>
      <c r="GID124" s="974"/>
      <c r="GIE124" s="974"/>
      <c r="GIF124" s="974"/>
      <c r="GIG124" s="974"/>
      <c r="GIH124" s="974"/>
      <c r="GII124" s="974"/>
      <c r="GIJ124" s="974"/>
      <c r="GIK124" s="974"/>
      <c r="GIL124" s="974"/>
      <c r="GIM124" s="974"/>
      <c r="GIN124" s="974"/>
      <c r="GIO124" s="974"/>
      <c r="GIP124" s="974"/>
      <c r="GIQ124" s="974"/>
      <c r="GIR124" s="974"/>
      <c r="GIS124" s="974"/>
      <c r="GIT124" s="974"/>
      <c r="GIU124" s="974"/>
      <c r="GIV124" s="974"/>
      <c r="GIW124" s="974"/>
      <c r="GIX124" s="974"/>
      <c r="GIY124" s="974"/>
      <c r="GIZ124" s="974"/>
      <c r="GJA124" s="974"/>
      <c r="GJB124" s="974"/>
      <c r="GJC124" s="974"/>
      <c r="GJD124" s="974"/>
      <c r="GJE124" s="974"/>
      <c r="GJF124" s="974"/>
      <c r="GJG124" s="974"/>
      <c r="GJH124" s="974"/>
      <c r="GJI124" s="974"/>
      <c r="GJJ124" s="974"/>
      <c r="GJK124" s="974"/>
      <c r="GJL124" s="974"/>
      <c r="GJM124" s="974"/>
      <c r="GJN124" s="974"/>
      <c r="GJO124" s="974"/>
      <c r="GJP124" s="974"/>
      <c r="GJQ124" s="974"/>
      <c r="GJR124" s="974"/>
      <c r="GJS124" s="974"/>
      <c r="GJT124" s="974"/>
      <c r="GJU124" s="974"/>
      <c r="GJV124" s="974"/>
      <c r="GJW124" s="974"/>
      <c r="GJX124" s="974"/>
      <c r="GJY124" s="974"/>
      <c r="GJZ124" s="974"/>
      <c r="GKA124" s="974"/>
      <c r="GKB124" s="974"/>
      <c r="GKC124" s="974"/>
      <c r="GKD124" s="974"/>
      <c r="GKE124" s="974"/>
      <c r="GKF124" s="974"/>
      <c r="GKG124" s="974"/>
      <c r="GKH124" s="974"/>
      <c r="GKI124" s="974"/>
      <c r="GKJ124" s="974"/>
      <c r="GKK124" s="974"/>
      <c r="GKL124" s="974"/>
      <c r="GKM124" s="974"/>
      <c r="GKN124" s="974"/>
      <c r="GKO124" s="974"/>
      <c r="GKP124" s="974"/>
      <c r="GKQ124" s="974"/>
      <c r="GKR124" s="974"/>
      <c r="GKS124" s="974"/>
      <c r="GKT124" s="974"/>
      <c r="GKU124" s="974"/>
      <c r="GKV124" s="974"/>
      <c r="GKW124" s="974"/>
      <c r="GKX124" s="974"/>
      <c r="GKY124" s="974"/>
      <c r="GKZ124" s="974"/>
      <c r="GLA124" s="974"/>
      <c r="GLB124" s="974"/>
      <c r="GLC124" s="974"/>
      <c r="GLD124" s="974"/>
      <c r="GLE124" s="974"/>
      <c r="GLF124" s="974"/>
      <c r="GLG124" s="974"/>
      <c r="GLH124" s="974"/>
      <c r="GLI124" s="974"/>
      <c r="GLJ124" s="974"/>
      <c r="GLK124" s="974"/>
      <c r="GLL124" s="974"/>
      <c r="GLM124" s="974"/>
      <c r="GLN124" s="974"/>
      <c r="GLO124" s="974"/>
      <c r="GLP124" s="974"/>
      <c r="GLQ124" s="974"/>
      <c r="GLR124" s="974"/>
      <c r="GLS124" s="974"/>
      <c r="GLT124" s="974"/>
      <c r="GLU124" s="974"/>
      <c r="GLV124" s="974"/>
      <c r="GLW124" s="974"/>
      <c r="GLX124" s="974"/>
      <c r="GLY124" s="974"/>
      <c r="GLZ124" s="974"/>
      <c r="GMA124" s="974"/>
      <c r="GMB124" s="974"/>
      <c r="GMC124" s="974"/>
      <c r="GMD124" s="974"/>
      <c r="GME124" s="974"/>
      <c r="GMF124" s="974"/>
      <c r="GMG124" s="974"/>
      <c r="GMH124" s="974"/>
      <c r="GMI124" s="974"/>
      <c r="GMJ124" s="974"/>
      <c r="GMK124" s="974"/>
      <c r="GML124" s="974"/>
      <c r="GMM124" s="974"/>
      <c r="GMN124" s="974"/>
      <c r="GMO124" s="974"/>
      <c r="GMP124" s="974"/>
      <c r="GMQ124" s="974"/>
      <c r="GMR124" s="974"/>
      <c r="GMS124" s="974"/>
      <c r="GMT124" s="974"/>
      <c r="GMU124" s="974"/>
      <c r="GMV124" s="974"/>
      <c r="GMW124" s="974"/>
      <c r="GMX124" s="974"/>
      <c r="GMY124" s="974"/>
      <c r="GMZ124" s="974"/>
      <c r="GNA124" s="974"/>
      <c r="GNB124" s="974"/>
      <c r="GNC124" s="974"/>
      <c r="GND124" s="974"/>
      <c r="GNE124" s="974"/>
      <c r="GNF124" s="974"/>
      <c r="GNG124" s="974"/>
      <c r="GNH124" s="974"/>
      <c r="GNI124" s="974"/>
      <c r="GNJ124" s="974"/>
      <c r="GNK124" s="974"/>
      <c r="GNL124" s="974"/>
      <c r="GNM124" s="974"/>
      <c r="GNN124" s="974"/>
      <c r="GNO124" s="974"/>
      <c r="GNP124" s="974"/>
      <c r="GNQ124" s="974"/>
      <c r="GNR124" s="974"/>
      <c r="GNS124" s="974"/>
      <c r="GNT124" s="974"/>
      <c r="GNU124" s="974"/>
      <c r="GNV124" s="974"/>
      <c r="GNW124" s="974"/>
      <c r="GNX124" s="974"/>
      <c r="GNY124" s="974"/>
      <c r="GNZ124" s="974"/>
      <c r="GOA124" s="974"/>
      <c r="GOB124" s="974"/>
      <c r="GOC124" s="974"/>
      <c r="GOD124" s="974"/>
      <c r="GOE124" s="974"/>
      <c r="GOF124" s="974"/>
      <c r="GOG124" s="974"/>
      <c r="GOH124" s="974"/>
      <c r="GOI124" s="974"/>
      <c r="GOJ124" s="974"/>
      <c r="GOK124" s="974"/>
      <c r="GOL124" s="974"/>
      <c r="GOM124" s="974"/>
      <c r="GON124" s="974"/>
      <c r="GOO124" s="974"/>
      <c r="GOP124" s="974"/>
      <c r="GOQ124" s="974"/>
      <c r="GOR124" s="974"/>
      <c r="GOS124" s="974"/>
      <c r="GOT124" s="974"/>
      <c r="GOU124" s="974"/>
      <c r="GOV124" s="974"/>
      <c r="GOW124" s="974"/>
      <c r="GOX124" s="974"/>
      <c r="GOY124" s="974"/>
      <c r="GOZ124" s="974"/>
      <c r="GPA124" s="974"/>
      <c r="GPB124" s="974"/>
      <c r="GPC124" s="974"/>
      <c r="GPD124" s="974"/>
      <c r="GPE124" s="974"/>
      <c r="GPF124" s="974"/>
      <c r="GPG124" s="974"/>
      <c r="GPH124" s="974"/>
      <c r="GPI124" s="974"/>
      <c r="GPJ124" s="974"/>
      <c r="GPK124" s="974"/>
      <c r="GPL124" s="974"/>
      <c r="GPM124" s="974"/>
      <c r="GPN124" s="974"/>
      <c r="GPO124" s="974"/>
      <c r="GPP124" s="974"/>
      <c r="GPQ124" s="974"/>
      <c r="GPR124" s="974"/>
      <c r="GPS124" s="974"/>
      <c r="GPT124" s="974"/>
      <c r="GPU124" s="974"/>
      <c r="GPV124" s="974"/>
      <c r="GPW124" s="974"/>
      <c r="GPX124" s="974"/>
      <c r="GPY124" s="974"/>
      <c r="GPZ124" s="974"/>
      <c r="GQA124" s="974"/>
      <c r="GQB124" s="974"/>
      <c r="GQC124" s="974"/>
      <c r="GQD124" s="974"/>
      <c r="GQE124" s="974"/>
      <c r="GQF124" s="974"/>
      <c r="GQG124" s="974"/>
      <c r="GQH124" s="974"/>
      <c r="GQI124" s="974"/>
      <c r="GQJ124" s="974"/>
      <c r="GQK124" s="974"/>
      <c r="GQL124" s="974"/>
      <c r="GQM124" s="974"/>
      <c r="GQN124" s="974"/>
      <c r="GQO124" s="974"/>
      <c r="GQP124" s="974"/>
      <c r="GQQ124" s="974"/>
      <c r="GQR124" s="974"/>
      <c r="GQS124" s="974"/>
      <c r="GQT124" s="974"/>
      <c r="GQU124" s="974"/>
      <c r="GQV124" s="974"/>
      <c r="GQW124" s="974"/>
      <c r="GQX124" s="974"/>
      <c r="GQY124" s="974"/>
      <c r="GQZ124" s="974"/>
      <c r="GRA124" s="974"/>
      <c r="GRB124" s="974"/>
      <c r="GRC124" s="974"/>
      <c r="GRD124" s="974"/>
      <c r="GRE124" s="974"/>
      <c r="GRF124" s="974"/>
      <c r="GRG124" s="974"/>
      <c r="GRH124" s="974"/>
      <c r="GRI124" s="974"/>
      <c r="GRJ124" s="974"/>
      <c r="GRK124" s="974"/>
      <c r="GRL124" s="974"/>
      <c r="GRM124" s="974"/>
      <c r="GRN124" s="974"/>
      <c r="GRO124" s="974"/>
      <c r="GRP124" s="974"/>
      <c r="GRQ124" s="974"/>
      <c r="GRR124" s="974"/>
      <c r="GRS124" s="974"/>
      <c r="GRT124" s="974"/>
      <c r="GRU124" s="974"/>
      <c r="GRV124" s="974"/>
      <c r="GRW124" s="974"/>
      <c r="GRX124" s="974"/>
      <c r="GRY124" s="974"/>
      <c r="GRZ124" s="974"/>
      <c r="GSA124" s="974"/>
      <c r="GSB124" s="974"/>
      <c r="GSC124" s="974"/>
      <c r="GSD124" s="974"/>
      <c r="GSE124" s="974"/>
      <c r="GSF124" s="974"/>
      <c r="GSG124" s="974"/>
      <c r="GSH124" s="974"/>
      <c r="GSI124" s="974"/>
      <c r="GSJ124" s="974"/>
      <c r="GSK124" s="974"/>
      <c r="GSL124" s="974"/>
      <c r="GSM124" s="974"/>
      <c r="GSN124" s="974"/>
      <c r="GSO124" s="974"/>
      <c r="GSP124" s="974"/>
      <c r="GSQ124" s="974"/>
      <c r="GSR124" s="974"/>
      <c r="GSS124" s="974"/>
      <c r="GST124" s="974"/>
      <c r="GSU124" s="974"/>
      <c r="GSV124" s="974"/>
      <c r="GSW124" s="974"/>
      <c r="GSX124" s="974"/>
      <c r="GSY124" s="974"/>
      <c r="GSZ124" s="974"/>
      <c r="GTA124" s="974"/>
      <c r="GTB124" s="974"/>
      <c r="GTC124" s="974"/>
      <c r="GTD124" s="974"/>
      <c r="GTE124" s="974"/>
      <c r="GTF124" s="974"/>
      <c r="GTG124" s="974"/>
      <c r="GTH124" s="974"/>
      <c r="GTI124" s="974"/>
      <c r="GTJ124" s="974"/>
      <c r="GTK124" s="974"/>
      <c r="GTL124" s="974"/>
      <c r="GTM124" s="974"/>
      <c r="GTN124" s="974"/>
      <c r="GTO124" s="974"/>
      <c r="GTP124" s="974"/>
      <c r="GTQ124" s="974"/>
      <c r="GTR124" s="974"/>
      <c r="GTS124" s="974"/>
      <c r="GTT124" s="974"/>
      <c r="GTU124" s="974"/>
      <c r="GTV124" s="974"/>
      <c r="GTW124" s="974"/>
      <c r="GTX124" s="974"/>
      <c r="GTY124" s="974"/>
      <c r="GTZ124" s="974"/>
      <c r="GUA124" s="974"/>
      <c r="GUB124" s="974"/>
      <c r="GUC124" s="974"/>
      <c r="GUD124" s="974"/>
      <c r="GUE124" s="974"/>
      <c r="GUF124" s="974"/>
      <c r="GUG124" s="974"/>
      <c r="GUH124" s="974"/>
      <c r="GUI124" s="974"/>
      <c r="GUJ124" s="974"/>
      <c r="GUK124" s="974"/>
      <c r="GUL124" s="974"/>
      <c r="GUM124" s="974"/>
      <c r="GUN124" s="974"/>
      <c r="GUO124" s="974"/>
      <c r="GUP124" s="974"/>
      <c r="GUQ124" s="974"/>
      <c r="GUR124" s="974"/>
      <c r="GUS124" s="974"/>
      <c r="GUT124" s="974"/>
      <c r="GUU124" s="974"/>
      <c r="GUV124" s="974"/>
      <c r="GUW124" s="974"/>
      <c r="GUX124" s="974"/>
      <c r="GUY124" s="974"/>
      <c r="GUZ124" s="974"/>
      <c r="GVA124" s="974"/>
      <c r="GVB124" s="974"/>
      <c r="GVC124" s="974"/>
      <c r="GVD124" s="974"/>
      <c r="GVE124" s="974"/>
      <c r="GVF124" s="974"/>
      <c r="GVG124" s="974"/>
      <c r="GVH124" s="974"/>
      <c r="GVI124" s="974"/>
      <c r="GVJ124" s="974"/>
      <c r="GVK124" s="974"/>
      <c r="GVL124" s="974"/>
      <c r="GVM124" s="974"/>
      <c r="GVN124" s="974"/>
      <c r="GVO124" s="974"/>
      <c r="GVP124" s="974"/>
      <c r="GVQ124" s="974"/>
      <c r="GVR124" s="974"/>
      <c r="GVS124" s="974"/>
      <c r="GVT124" s="974"/>
      <c r="GVU124" s="974"/>
      <c r="GVV124" s="974"/>
      <c r="GVW124" s="974"/>
      <c r="GVX124" s="974"/>
      <c r="GVY124" s="974"/>
      <c r="GVZ124" s="974"/>
      <c r="GWA124" s="974"/>
      <c r="GWB124" s="974"/>
      <c r="GWC124" s="974"/>
      <c r="GWD124" s="974"/>
      <c r="GWE124" s="974"/>
      <c r="GWF124" s="974"/>
      <c r="GWG124" s="974"/>
      <c r="GWH124" s="974"/>
      <c r="GWI124" s="974"/>
      <c r="GWJ124" s="974"/>
      <c r="GWK124" s="974"/>
      <c r="GWL124" s="974"/>
      <c r="GWM124" s="974"/>
      <c r="GWN124" s="974"/>
      <c r="GWO124" s="974"/>
      <c r="GWP124" s="974"/>
      <c r="GWQ124" s="974"/>
      <c r="GWR124" s="974"/>
      <c r="GWS124" s="974"/>
      <c r="GWT124" s="974"/>
      <c r="GWU124" s="974"/>
      <c r="GWV124" s="974"/>
      <c r="GWW124" s="974"/>
      <c r="GWX124" s="974"/>
      <c r="GWY124" s="974"/>
      <c r="GWZ124" s="974"/>
      <c r="GXA124" s="974"/>
      <c r="GXB124" s="974"/>
      <c r="GXC124" s="974"/>
      <c r="GXD124" s="974"/>
      <c r="GXE124" s="974"/>
      <c r="GXF124" s="974"/>
      <c r="GXG124" s="974"/>
      <c r="GXH124" s="974"/>
      <c r="GXI124" s="974"/>
      <c r="GXJ124" s="974"/>
      <c r="GXK124" s="974"/>
      <c r="GXL124" s="974"/>
      <c r="GXM124" s="974"/>
      <c r="GXN124" s="974"/>
      <c r="GXO124" s="974"/>
      <c r="GXP124" s="974"/>
      <c r="GXQ124" s="974"/>
      <c r="GXR124" s="974"/>
      <c r="GXS124" s="974"/>
      <c r="GXT124" s="974"/>
      <c r="GXU124" s="974"/>
      <c r="GXV124" s="974"/>
      <c r="GXW124" s="974"/>
      <c r="GXX124" s="974"/>
      <c r="GXY124" s="974"/>
      <c r="GXZ124" s="974"/>
      <c r="GYA124" s="974"/>
      <c r="GYB124" s="974"/>
      <c r="GYC124" s="974"/>
      <c r="GYD124" s="974"/>
      <c r="GYE124" s="974"/>
      <c r="GYF124" s="974"/>
      <c r="GYG124" s="974"/>
      <c r="GYH124" s="974"/>
      <c r="GYI124" s="974"/>
      <c r="GYJ124" s="974"/>
      <c r="GYK124" s="974"/>
      <c r="GYL124" s="974"/>
      <c r="GYM124" s="974"/>
      <c r="GYN124" s="974"/>
      <c r="GYO124" s="974"/>
      <c r="GYP124" s="974"/>
      <c r="GYQ124" s="974"/>
      <c r="GYR124" s="974"/>
      <c r="GYS124" s="974"/>
      <c r="GYT124" s="974"/>
      <c r="GYU124" s="974"/>
      <c r="GYV124" s="974"/>
      <c r="GYW124" s="974"/>
      <c r="GYX124" s="974"/>
      <c r="GYY124" s="974"/>
      <c r="GYZ124" s="974"/>
      <c r="GZA124" s="974"/>
      <c r="GZB124" s="974"/>
      <c r="GZC124" s="974"/>
      <c r="GZD124" s="974"/>
      <c r="GZE124" s="974"/>
      <c r="GZF124" s="974"/>
      <c r="GZG124" s="974"/>
      <c r="GZH124" s="974"/>
      <c r="GZI124" s="974"/>
      <c r="GZJ124" s="974"/>
      <c r="GZK124" s="974"/>
      <c r="GZL124" s="974"/>
      <c r="GZM124" s="974"/>
      <c r="GZN124" s="974"/>
      <c r="GZO124" s="974"/>
      <c r="GZP124" s="974"/>
      <c r="GZQ124" s="974"/>
      <c r="GZR124" s="974"/>
      <c r="GZS124" s="974"/>
      <c r="GZT124" s="974"/>
      <c r="GZU124" s="974"/>
      <c r="GZV124" s="974"/>
      <c r="GZW124" s="974"/>
      <c r="GZX124" s="974"/>
      <c r="GZY124" s="974"/>
      <c r="GZZ124" s="974"/>
      <c r="HAA124" s="974"/>
      <c r="HAB124" s="974"/>
      <c r="HAC124" s="974"/>
      <c r="HAD124" s="974"/>
      <c r="HAE124" s="974"/>
      <c r="HAF124" s="974"/>
      <c r="HAG124" s="974"/>
      <c r="HAH124" s="974"/>
      <c r="HAI124" s="974"/>
      <c r="HAJ124" s="974"/>
      <c r="HAK124" s="974"/>
      <c r="HAL124" s="974"/>
      <c r="HAM124" s="974"/>
      <c r="HAN124" s="974"/>
      <c r="HAO124" s="974"/>
      <c r="HAP124" s="974"/>
      <c r="HAQ124" s="974"/>
      <c r="HAR124" s="974"/>
      <c r="HAS124" s="974"/>
      <c r="HAT124" s="974"/>
      <c r="HAU124" s="974"/>
      <c r="HAV124" s="974"/>
      <c r="HAW124" s="974"/>
      <c r="HAX124" s="974"/>
      <c r="HAY124" s="974"/>
      <c r="HAZ124" s="974"/>
      <c r="HBA124" s="974"/>
      <c r="HBB124" s="974"/>
      <c r="HBC124" s="974"/>
      <c r="HBD124" s="974"/>
      <c r="HBE124" s="974"/>
      <c r="HBF124" s="974"/>
      <c r="HBG124" s="974"/>
      <c r="HBH124" s="974"/>
      <c r="HBI124" s="974"/>
      <c r="HBJ124" s="974"/>
      <c r="HBK124" s="974"/>
      <c r="HBL124" s="974"/>
      <c r="HBM124" s="974"/>
      <c r="HBN124" s="974"/>
      <c r="HBO124" s="974"/>
      <c r="HBP124" s="974"/>
      <c r="HBQ124" s="974"/>
      <c r="HBR124" s="974"/>
      <c r="HBS124" s="974"/>
      <c r="HBT124" s="974"/>
      <c r="HBU124" s="974"/>
      <c r="HBV124" s="974"/>
      <c r="HBW124" s="974"/>
      <c r="HBX124" s="974"/>
      <c r="HBY124" s="974"/>
      <c r="HBZ124" s="974"/>
      <c r="HCA124" s="974"/>
      <c r="HCB124" s="974"/>
      <c r="HCC124" s="974"/>
      <c r="HCD124" s="974"/>
      <c r="HCE124" s="974"/>
      <c r="HCF124" s="974"/>
      <c r="HCG124" s="974"/>
      <c r="HCH124" s="974"/>
      <c r="HCI124" s="974"/>
      <c r="HCJ124" s="974"/>
      <c r="HCK124" s="974"/>
      <c r="HCL124" s="974"/>
      <c r="HCM124" s="974"/>
      <c r="HCN124" s="974"/>
      <c r="HCO124" s="974"/>
      <c r="HCP124" s="974"/>
      <c r="HCQ124" s="974"/>
      <c r="HCR124" s="974"/>
      <c r="HCS124" s="974"/>
      <c r="HCT124" s="974"/>
      <c r="HCU124" s="974"/>
      <c r="HCV124" s="974"/>
      <c r="HCW124" s="974"/>
      <c r="HCX124" s="974"/>
      <c r="HCY124" s="974"/>
      <c r="HCZ124" s="974"/>
      <c r="HDA124" s="974"/>
      <c r="HDB124" s="974"/>
      <c r="HDC124" s="974"/>
      <c r="HDD124" s="974"/>
      <c r="HDE124" s="974"/>
      <c r="HDF124" s="974"/>
      <c r="HDG124" s="974"/>
      <c r="HDH124" s="974"/>
      <c r="HDI124" s="974"/>
      <c r="HDJ124" s="974"/>
      <c r="HDK124" s="974"/>
      <c r="HDL124" s="974"/>
      <c r="HDM124" s="974"/>
      <c r="HDN124" s="974"/>
      <c r="HDO124" s="974"/>
      <c r="HDP124" s="974"/>
      <c r="HDQ124" s="974"/>
      <c r="HDR124" s="974"/>
      <c r="HDS124" s="974"/>
      <c r="HDT124" s="974"/>
      <c r="HDU124" s="974"/>
      <c r="HDV124" s="974"/>
      <c r="HDW124" s="974"/>
      <c r="HDX124" s="974"/>
      <c r="HDY124" s="974"/>
      <c r="HDZ124" s="974"/>
      <c r="HEA124" s="974"/>
      <c r="HEB124" s="974"/>
      <c r="HEC124" s="974"/>
      <c r="HED124" s="974"/>
      <c r="HEE124" s="974"/>
      <c r="HEF124" s="974"/>
      <c r="HEG124" s="974"/>
      <c r="HEH124" s="974"/>
      <c r="HEI124" s="974"/>
      <c r="HEJ124" s="974"/>
      <c r="HEK124" s="974"/>
      <c r="HEL124" s="974"/>
      <c r="HEM124" s="974"/>
      <c r="HEN124" s="974"/>
      <c r="HEO124" s="974"/>
      <c r="HEP124" s="974"/>
      <c r="HEQ124" s="974"/>
      <c r="HER124" s="974"/>
      <c r="HES124" s="974"/>
      <c r="HET124" s="974"/>
      <c r="HEU124" s="974"/>
      <c r="HEV124" s="974"/>
      <c r="HEW124" s="974"/>
      <c r="HEX124" s="974"/>
      <c r="HEY124" s="974"/>
      <c r="HEZ124" s="974"/>
      <c r="HFA124" s="974"/>
      <c r="HFB124" s="974"/>
      <c r="HFC124" s="974"/>
      <c r="HFD124" s="974"/>
      <c r="HFE124" s="974"/>
      <c r="HFF124" s="974"/>
      <c r="HFG124" s="974"/>
      <c r="HFH124" s="974"/>
      <c r="HFI124" s="974"/>
      <c r="HFJ124" s="974"/>
      <c r="HFK124" s="974"/>
      <c r="HFL124" s="974"/>
      <c r="HFM124" s="974"/>
      <c r="HFN124" s="974"/>
      <c r="HFO124" s="974"/>
      <c r="HFP124" s="974"/>
      <c r="HFQ124" s="974"/>
      <c r="HFR124" s="974"/>
      <c r="HFS124" s="974"/>
      <c r="HFT124" s="974"/>
      <c r="HFU124" s="974"/>
      <c r="HFV124" s="974"/>
      <c r="HFW124" s="974"/>
      <c r="HFX124" s="974"/>
      <c r="HFY124" s="974"/>
      <c r="HFZ124" s="974"/>
      <c r="HGA124" s="974"/>
      <c r="HGB124" s="974"/>
      <c r="HGC124" s="974"/>
      <c r="HGD124" s="974"/>
      <c r="HGE124" s="974"/>
      <c r="HGF124" s="974"/>
      <c r="HGG124" s="974"/>
      <c r="HGH124" s="974"/>
      <c r="HGI124" s="974"/>
      <c r="HGJ124" s="974"/>
      <c r="HGK124" s="974"/>
      <c r="HGL124" s="974"/>
      <c r="HGM124" s="974"/>
      <c r="HGN124" s="974"/>
      <c r="HGO124" s="974"/>
      <c r="HGP124" s="974"/>
      <c r="HGQ124" s="974"/>
      <c r="HGR124" s="974"/>
      <c r="HGS124" s="974"/>
      <c r="HGT124" s="974"/>
      <c r="HGU124" s="974"/>
      <c r="HGV124" s="974"/>
      <c r="HGW124" s="974"/>
      <c r="HGX124" s="974"/>
      <c r="HGY124" s="974"/>
      <c r="HGZ124" s="974"/>
      <c r="HHA124" s="974"/>
      <c r="HHB124" s="974"/>
      <c r="HHC124" s="974"/>
      <c r="HHD124" s="974"/>
      <c r="HHE124" s="974"/>
      <c r="HHF124" s="974"/>
      <c r="HHG124" s="974"/>
      <c r="HHH124" s="974"/>
      <c r="HHI124" s="974"/>
      <c r="HHJ124" s="974"/>
      <c r="HHK124" s="974"/>
      <c r="HHL124" s="974"/>
      <c r="HHM124" s="974"/>
      <c r="HHN124" s="974"/>
      <c r="HHO124" s="974"/>
      <c r="HHP124" s="974"/>
      <c r="HHQ124" s="974"/>
      <c r="HHR124" s="974"/>
      <c r="HHS124" s="974"/>
      <c r="HHT124" s="974"/>
      <c r="HHU124" s="974"/>
      <c r="HHV124" s="974"/>
      <c r="HHW124" s="974"/>
      <c r="HHX124" s="974"/>
      <c r="HHY124" s="974"/>
      <c r="HHZ124" s="974"/>
      <c r="HIA124" s="974"/>
      <c r="HIB124" s="974"/>
      <c r="HIC124" s="974"/>
      <c r="HID124" s="974"/>
      <c r="HIE124" s="974"/>
      <c r="HIF124" s="974"/>
      <c r="HIG124" s="974"/>
      <c r="HIH124" s="974"/>
      <c r="HII124" s="974"/>
      <c r="HIJ124" s="974"/>
      <c r="HIK124" s="974"/>
      <c r="HIL124" s="974"/>
      <c r="HIM124" s="974"/>
      <c r="HIN124" s="974"/>
      <c r="HIO124" s="974"/>
      <c r="HIP124" s="974"/>
      <c r="HIQ124" s="974"/>
      <c r="HIR124" s="974"/>
      <c r="HIS124" s="974"/>
      <c r="HIT124" s="974"/>
      <c r="HIU124" s="974"/>
      <c r="HIV124" s="974"/>
      <c r="HIW124" s="974"/>
      <c r="HIX124" s="974"/>
      <c r="HIY124" s="974"/>
      <c r="HIZ124" s="974"/>
      <c r="HJA124" s="974"/>
      <c r="HJB124" s="974"/>
      <c r="HJC124" s="974"/>
      <c r="HJD124" s="974"/>
      <c r="HJE124" s="974"/>
      <c r="HJF124" s="974"/>
      <c r="HJG124" s="974"/>
      <c r="HJH124" s="974"/>
      <c r="HJI124" s="974"/>
      <c r="HJJ124" s="974"/>
      <c r="HJK124" s="974"/>
      <c r="HJL124" s="974"/>
      <c r="HJM124" s="974"/>
      <c r="HJN124" s="974"/>
      <c r="HJO124" s="974"/>
      <c r="HJP124" s="974"/>
      <c r="HJQ124" s="974"/>
      <c r="HJR124" s="974"/>
      <c r="HJS124" s="974"/>
      <c r="HJT124" s="974"/>
      <c r="HJU124" s="974"/>
      <c r="HJV124" s="974"/>
      <c r="HJW124" s="974"/>
      <c r="HJX124" s="974"/>
      <c r="HJY124" s="974"/>
      <c r="HJZ124" s="974"/>
      <c r="HKA124" s="974"/>
      <c r="HKB124" s="974"/>
      <c r="HKC124" s="974"/>
      <c r="HKD124" s="974"/>
      <c r="HKE124" s="974"/>
      <c r="HKF124" s="974"/>
      <c r="HKG124" s="974"/>
      <c r="HKH124" s="974"/>
      <c r="HKI124" s="974"/>
      <c r="HKJ124" s="974"/>
      <c r="HKK124" s="974"/>
      <c r="HKL124" s="974"/>
      <c r="HKM124" s="974"/>
      <c r="HKN124" s="974"/>
      <c r="HKO124" s="974"/>
      <c r="HKP124" s="974"/>
      <c r="HKQ124" s="974"/>
      <c r="HKR124" s="974"/>
      <c r="HKS124" s="974"/>
      <c r="HKT124" s="974"/>
      <c r="HKU124" s="974"/>
      <c r="HKV124" s="974"/>
      <c r="HKW124" s="974"/>
      <c r="HKX124" s="974"/>
      <c r="HKY124" s="974"/>
      <c r="HKZ124" s="974"/>
      <c r="HLA124" s="974"/>
      <c r="HLB124" s="974"/>
      <c r="HLC124" s="974"/>
      <c r="HLD124" s="974"/>
      <c r="HLE124" s="974"/>
      <c r="HLF124" s="974"/>
      <c r="HLG124" s="974"/>
      <c r="HLH124" s="974"/>
      <c r="HLI124" s="974"/>
      <c r="HLJ124" s="974"/>
      <c r="HLK124" s="974"/>
      <c r="HLL124" s="974"/>
      <c r="HLM124" s="974"/>
      <c r="HLN124" s="974"/>
      <c r="HLO124" s="974"/>
      <c r="HLP124" s="974"/>
      <c r="HLQ124" s="974"/>
      <c r="HLR124" s="974"/>
      <c r="HLS124" s="974"/>
      <c r="HLT124" s="974"/>
      <c r="HLU124" s="974"/>
      <c r="HLV124" s="974"/>
      <c r="HLW124" s="974"/>
      <c r="HLX124" s="974"/>
      <c r="HLY124" s="974"/>
      <c r="HLZ124" s="974"/>
      <c r="HMA124" s="974"/>
      <c r="HMB124" s="974"/>
      <c r="HMC124" s="974"/>
      <c r="HMD124" s="974"/>
      <c r="HME124" s="974"/>
      <c r="HMF124" s="974"/>
      <c r="HMG124" s="974"/>
      <c r="HMH124" s="974"/>
      <c r="HMI124" s="974"/>
      <c r="HMJ124" s="974"/>
      <c r="HMK124" s="974"/>
      <c r="HML124" s="974"/>
      <c r="HMM124" s="974"/>
      <c r="HMN124" s="974"/>
      <c r="HMO124" s="974"/>
      <c r="HMP124" s="974"/>
      <c r="HMQ124" s="974"/>
      <c r="HMR124" s="974"/>
      <c r="HMS124" s="974"/>
      <c r="HMT124" s="974"/>
      <c r="HMU124" s="974"/>
      <c r="HMV124" s="974"/>
      <c r="HMW124" s="974"/>
      <c r="HMX124" s="974"/>
      <c r="HMY124" s="974"/>
      <c r="HMZ124" s="974"/>
      <c r="HNA124" s="974"/>
      <c r="HNB124" s="974"/>
      <c r="HNC124" s="974"/>
      <c r="HND124" s="974"/>
      <c r="HNE124" s="974"/>
      <c r="HNF124" s="974"/>
      <c r="HNG124" s="974"/>
      <c r="HNH124" s="974"/>
      <c r="HNI124" s="974"/>
      <c r="HNJ124" s="974"/>
      <c r="HNK124" s="974"/>
      <c r="HNL124" s="974"/>
      <c r="HNM124" s="974"/>
      <c r="HNN124" s="974"/>
      <c r="HNO124" s="974"/>
      <c r="HNP124" s="974"/>
      <c r="HNQ124" s="974"/>
      <c r="HNR124" s="974"/>
      <c r="HNS124" s="974"/>
      <c r="HNT124" s="974"/>
      <c r="HNU124" s="974"/>
      <c r="HNV124" s="974"/>
      <c r="HNW124" s="974"/>
      <c r="HNX124" s="974"/>
      <c r="HNY124" s="974"/>
      <c r="HNZ124" s="974"/>
      <c r="HOA124" s="974"/>
      <c r="HOB124" s="974"/>
      <c r="HOC124" s="974"/>
      <c r="HOD124" s="974"/>
      <c r="HOE124" s="974"/>
      <c r="HOF124" s="974"/>
      <c r="HOG124" s="974"/>
      <c r="HOH124" s="974"/>
      <c r="HOI124" s="974"/>
      <c r="HOJ124" s="974"/>
      <c r="HOK124" s="974"/>
      <c r="HOL124" s="974"/>
      <c r="HOM124" s="974"/>
      <c r="HON124" s="974"/>
      <c r="HOO124" s="974"/>
      <c r="HOP124" s="974"/>
      <c r="HOQ124" s="974"/>
      <c r="HOR124" s="974"/>
      <c r="HOS124" s="974"/>
      <c r="HOT124" s="974"/>
      <c r="HOU124" s="974"/>
      <c r="HOV124" s="974"/>
      <c r="HOW124" s="974"/>
      <c r="HOX124" s="974"/>
      <c r="HOY124" s="974"/>
      <c r="HOZ124" s="974"/>
      <c r="HPA124" s="974"/>
      <c r="HPB124" s="974"/>
      <c r="HPC124" s="974"/>
      <c r="HPD124" s="974"/>
      <c r="HPE124" s="974"/>
      <c r="HPF124" s="974"/>
      <c r="HPG124" s="974"/>
      <c r="HPH124" s="974"/>
      <c r="HPI124" s="974"/>
      <c r="HPJ124" s="974"/>
      <c r="HPK124" s="974"/>
      <c r="HPL124" s="974"/>
      <c r="HPM124" s="974"/>
      <c r="HPN124" s="974"/>
      <c r="HPO124" s="974"/>
      <c r="HPP124" s="974"/>
      <c r="HPQ124" s="974"/>
      <c r="HPR124" s="974"/>
      <c r="HPS124" s="974"/>
      <c r="HPT124" s="974"/>
      <c r="HPU124" s="974"/>
      <c r="HPV124" s="974"/>
      <c r="HPW124" s="974"/>
      <c r="HPX124" s="974"/>
      <c r="HPY124" s="974"/>
      <c r="HPZ124" s="974"/>
      <c r="HQA124" s="974"/>
      <c r="HQB124" s="974"/>
      <c r="HQC124" s="974"/>
      <c r="HQD124" s="974"/>
      <c r="HQE124" s="974"/>
      <c r="HQF124" s="974"/>
      <c r="HQG124" s="974"/>
      <c r="HQH124" s="974"/>
      <c r="HQI124" s="974"/>
      <c r="HQJ124" s="974"/>
      <c r="HQK124" s="974"/>
      <c r="HQL124" s="974"/>
      <c r="HQM124" s="974"/>
      <c r="HQN124" s="974"/>
      <c r="HQO124" s="974"/>
      <c r="HQP124" s="974"/>
      <c r="HQQ124" s="974"/>
      <c r="HQR124" s="974"/>
      <c r="HQS124" s="974"/>
      <c r="HQT124" s="974"/>
      <c r="HQU124" s="974"/>
      <c r="HQV124" s="974"/>
      <c r="HQW124" s="974"/>
      <c r="HQX124" s="974"/>
      <c r="HQY124" s="974"/>
      <c r="HQZ124" s="974"/>
      <c r="HRA124" s="974"/>
      <c r="HRB124" s="974"/>
      <c r="HRC124" s="974"/>
      <c r="HRD124" s="974"/>
      <c r="HRE124" s="974"/>
      <c r="HRF124" s="974"/>
      <c r="HRG124" s="974"/>
      <c r="HRH124" s="974"/>
      <c r="HRI124" s="974"/>
      <c r="HRJ124" s="974"/>
      <c r="HRK124" s="974"/>
      <c r="HRL124" s="974"/>
      <c r="HRM124" s="974"/>
      <c r="HRN124" s="974"/>
      <c r="HRO124" s="974"/>
      <c r="HRP124" s="974"/>
      <c r="HRQ124" s="974"/>
      <c r="HRR124" s="974"/>
      <c r="HRS124" s="974"/>
      <c r="HRT124" s="974"/>
      <c r="HRU124" s="974"/>
      <c r="HRV124" s="974"/>
      <c r="HRW124" s="974"/>
      <c r="HRX124" s="974"/>
      <c r="HRY124" s="974"/>
      <c r="HRZ124" s="974"/>
      <c r="HSA124" s="974"/>
      <c r="HSB124" s="974"/>
      <c r="HSC124" s="974"/>
      <c r="HSD124" s="974"/>
      <c r="HSE124" s="974"/>
      <c r="HSF124" s="974"/>
      <c r="HSG124" s="974"/>
      <c r="HSH124" s="974"/>
      <c r="HSI124" s="974"/>
      <c r="HSJ124" s="974"/>
      <c r="HSK124" s="974"/>
      <c r="HSL124" s="974"/>
      <c r="HSM124" s="974"/>
      <c r="HSN124" s="974"/>
      <c r="HSO124" s="974"/>
      <c r="HSP124" s="974"/>
      <c r="HSQ124" s="974"/>
      <c r="HSR124" s="974"/>
      <c r="HSS124" s="974"/>
      <c r="HST124" s="974"/>
      <c r="HSU124" s="974"/>
      <c r="HSV124" s="974"/>
      <c r="HSW124" s="974"/>
      <c r="HSX124" s="974"/>
      <c r="HSY124" s="974"/>
      <c r="HSZ124" s="974"/>
      <c r="HTA124" s="974"/>
      <c r="HTB124" s="974"/>
      <c r="HTC124" s="974"/>
      <c r="HTD124" s="974"/>
      <c r="HTE124" s="974"/>
      <c r="HTF124" s="974"/>
      <c r="HTG124" s="974"/>
      <c r="HTH124" s="974"/>
      <c r="HTI124" s="974"/>
      <c r="HTJ124" s="974"/>
      <c r="HTK124" s="974"/>
      <c r="HTL124" s="974"/>
      <c r="HTM124" s="974"/>
      <c r="HTN124" s="974"/>
      <c r="HTO124" s="974"/>
      <c r="HTP124" s="974"/>
      <c r="HTQ124" s="974"/>
      <c r="HTR124" s="974"/>
      <c r="HTS124" s="974"/>
      <c r="HTT124" s="974"/>
      <c r="HTU124" s="974"/>
      <c r="HTV124" s="974"/>
      <c r="HTW124" s="974"/>
      <c r="HTX124" s="974"/>
      <c r="HTY124" s="974"/>
      <c r="HTZ124" s="974"/>
      <c r="HUA124" s="974"/>
      <c r="HUB124" s="974"/>
      <c r="HUC124" s="974"/>
      <c r="HUD124" s="974"/>
      <c r="HUE124" s="974"/>
      <c r="HUF124" s="974"/>
      <c r="HUG124" s="974"/>
      <c r="HUH124" s="974"/>
      <c r="HUI124" s="974"/>
      <c r="HUJ124" s="974"/>
      <c r="HUK124" s="974"/>
      <c r="HUL124" s="974"/>
      <c r="HUM124" s="974"/>
      <c r="HUN124" s="974"/>
      <c r="HUO124" s="974"/>
      <c r="HUP124" s="974"/>
      <c r="HUQ124" s="974"/>
      <c r="HUR124" s="974"/>
      <c r="HUS124" s="974"/>
      <c r="HUT124" s="974"/>
      <c r="HUU124" s="974"/>
      <c r="HUV124" s="974"/>
      <c r="HUW124" s="974"/>
      <c r="HUX124" s="974"/>
      <c r="HUY124" s="974"/>
      <c r="HUZ124" s="974"/>
      <c r="HVA124" s="974"/>
      <c r="HVB124" s="974"/>
      <c r="HVC124" s="974"/>
      <c r="HVD124" s="974"/>
      <c r="HVE124" s="974"/>
      <c r="HVF124" s="974"/>
      <c r="HVG124" s="974"/>
      <c r="HVH124" s="974"/>
      <c r="HVI124" s="974"/>
      <c r="HVJ124" s="974"/>
      <c r="HVK124" s="974"/>
      <c r="HVL124" s="974"/>
      <c r="HVM124" s="974"/>
      <c r="HVN124" s="974"/>
      <c r="HVO124" s="974"/>
      <c r="HVP124" s="974"/>
      <c r="HVQ124" s="974"/>
      <c r="HVR124" s="974"/>
      <c r="HVS124" s="974"/>
      <c r="HVT124" s="974"/>
      <c r="HVU124" s="974"/>
      <c r="HVV124" s="974"/>
      <c r="HVW124" s="974"/>
      <c r="HVX124" s="974"/>
      <c r="HVY124" s="974"/>
      <c r="HVZ124" s="974"/>
      <c r="HWA124" s="974"/>
      <c r="HWB124" s="974"/>
      <c r="HWC124" s="974"/>
      <c r="HWD124" s="974"/>
      <c r="HWE124" s="974"/>
      <c r="HWF124" s="974"/>
      <c r="HWG124" s="974"/>
      <c r="HWH124" s="974"/>
      <c r="HWI124" s="974"/>
      <c r="HWJ124" s="974"/>
      <c r="HWK124" s="974"/>
      <c r="HWL124" s="974"/>
      <c r="HWM124" s="974"/>
      <c r="HWN124" s="974"/>
      <c r="HWO124" s="974"/>
      <c r="HWP124" s="974"/>
      <c r="HWQ124" s="974"/>
      <c r="HWR124" s="974"/>
      <c r="HWS124" s="974"/>
      <c r="HWT124" s="974"/>
      <c r="HWU124" s="974"/>
      <c r="HWV124" s="974"/>
      <c r="HWW124" s="974"/>
      <c r="HWX124" s="974"/>
      <c r="HWY124" s="974"/>
      <c r="HWZ124" s="974"/>
      <c r="HXA124" s="974"/>
      <c r="HXB124" s="974"/>
      <c r="HXC124" s="974"/>
      <c r="HXD124" s="974"/>
      <c r="HXE124" s="974"/>
      <c r="HXF124" s="974"/>
      <c r="HXG124" s="974"/>
      <c r="HXH124" s="974"/>
      <c r="HXI124" s="974"/>
      <c r="HXJ124" s="974"/>
      <c r="HXK124" s="974"/>
      <c r="HXL124" s="974"/>
      <c r="HXM124" s="974"/>
      <c r="HXN124" s="974"/>
      <c r="HXO124" s="974"/>
      <c r="HXP124" s="974"/>
      <c r="HXQ124" s="974"/>
      <c r="HXR124" s="974"/>
      <c r="HXS124" s="974"/>
      <c r="HXT124" s="974"/>
      <c r="HXU124" s="974"/>
      <c r="HXV124" s="974"/>
      <c r="HXW124" s="974"/>
      <c r="HXX124" s="974"/>
      <c r="HXY124" s="974"/>
      <c r="HXZ124" s="974"/>
      <c r="HYA124" s="974"/>
      <c r="HYB124" s="974"/>
      <c r="HYC124" s="974"/>
      <c r="HYD124" s="974"/>
      <c r="HYE124" s="974"/>
      <c r="HYF124" s="974"/>
      <c r="HYG124" s="974"/>
      <c r="HYH124" s="974"/>
      <c r="HYI124" s="974"/>
      <c r="HYJ124" s="974"/>
      <c r="HYK124" s="974"/>
      <c r="HYL124" s="974"/>
      <c r="HYM124" s="974"/>
      <c r="HYN124" s="974"/>
      <c r="HYO124" s="974"/>
      <c r="HYP124" s="974"/>
      <c r="HYQ124" s="974"/>
      <c r="HYR124" s="974"/>
      <c r="HYS124" s="974"/>
      <c r="HYT124" s="974"/>
      <c r="HYU124" s="974"/>
      <c r="HYV124" s="974"/>
      <c r="HYW124" s="974"/>
      <c r="HYX124" s="974"/>
      <c r="HYY124" s="974"/>
      <c r="HYZ124" s="974"/>
      <c r="HZA124" s="974"/>
      <c r="HZB124" s="974"/>
      <c r="HZC124" s="974"/>
      <c r="HZD124" s="974"/>
      <c r="HZE124" s="974"/>
      <c r="HZF124" s="974"/>
      <c r="HZG124" s="974"/>
      <c r="HZH124" s="974"/>
      <c r="HZI124" s="974"/>
      <c r="HZJ124" s="974"/>
      <c r="HZK124" s="974"/>
      <c r="HZL124" s="974"/>
      <c r="HZM124" s="974"/>
      <c r="HZN124" s="974"/>
      <c r="HZO124" s="974"/>
      <c r="HZP124" s="974"/>
      <c r="HZQ124" s="974"/>
      <c r="HZR124" s="974"/>
      <c r="HZS124" s="974"/>
      <c r="HZT124" s="974"/>
      <c r="HZU124" s="974"/>
      <c r="HZV124" s="974"/>
      <c r="HZW124" s="974"/>
      <c r="HZX124" s="974"/>
      <c r="HZY124" s="974"/>
      <c r="HZZ124" s="974"/>
      <c r="IAA124" s="974"/>
      <c r="IAB124" s="974"/>
      <c r="IAC124" s="974"/>
      <c r="IAD124" s="974"/>
      <c r="IAE124" s="974"/>
      <c r="IAF124" s="974"/>
      <c r="IAG124" s="974"/>
      <c r="IAH124" s="974"/>
      <c r="IAI124" s="974"/>
      <c r="IAJ124" s="974"/>
      <c r="IAK124" s="974"/>
      <c r="IAL124" s="974"/>
      <c r="IAM124" s="974"/>
      <c r="IAN124" s="974"/>
      <c r="IAO124" s="974"/>
      <c r="IAP124" s="974"/>
      <c r="IAQ124" s="974"/>
      <c r="IAR124" s="974"/>
      <c r="IAS124" s="974"/>
      <c r="IAT124" s="974"/>
      <c r="IAU124" s="974"/>
      <c r="IAV124" s="974"/>
      <c r="IAW124" s="974"/>
      <c r="IAX124" s="974"/>
      <c r="IAY124" s="974"/>
      <c r="IAZ124" s="974"/>
      <c r="IBA124" s="974"/>
      <c r="IBB124" s="974"/>
      <c r="IBC124" s="974"/>
      <c r="IBD124" s="974"/>
      <c r="IBE124" s="974"/>
      <c r="IBF124" s="974"/>
      <c r="IBG124" s="974"/>
      <c r="IBH124" s="974"/>
      <c r="IBI124" s="974"/>
      <c r="IBJ124" s="974"/>
      <c r="IBK124" s="974"/>
      <c r="IBL124" s="974"/>
      <c r="IBM124" s="974"/>
      <c r="IBN124" s="974"/>
      <c r="IBO124" s="974"/>
      <c r="IBP124" s="974"/>
      <c r="IBQ124" s="974"/>
      <c r="IBR124" s="974"/>
      <c r="IBS124" s="974"/>
      <c r="IBT124" s="974"/>
      <c r="IBU124" s="974"/>
      <c r="IBV124" s="974"/>
      <c r="IBW124" s="974"/>
      <c r="IBX124" s="974"/>
      <c r="IBY124" s="974"/>
      <c r="IBZ124" s="974"/>
      <c r="ICA124" s="974"/>
      <c r="ICB124" s="974"/>
      <c r="ICC124" s="974"/>
      <c r="ICD124" s="974"/>
      <c r="ICE124" s="974"/>
      <c r="ICF124" s="974"/>
      <c r="ICG124" s="974"/>
      <c r="ICH124" s="974"/>
      <c r="ICI124" s="974"/>
      <c r="ICJ124" s="974"/>
      <c r="ICK124" s="974"/>
      <c r="ICL124" s="974"/>
      <c r="ICM124" s="974"/>
      <c r="ICN124" s="974"/>
      <c r="ICO124" s="974"/>
      <c r="ICP124" s="974"/>
      <c r="ICQ124" s="974"/>
      <c r="ICR124" s="974"/>
      <c r="ICS124" s="974"/>
      <c r="ICT124" s="974"/>
      <c r="ICU124" s="974"/>
      <c r="ICV124" s="974"/>
      <c r="ICW124" s="974"/>
      <c r="ICX124" s="974"/>
      <c r="ICY124" s="974"/>
      <c r="ICZ124" s="974"/>
      <c r="IDA124" s="974"/>
      <c r="IDB124" s="974"/>
      <c r="IDC124" s="974"/>
      <c r="IDD124" s="974"/>
      <c r="IDE124" s="974"/>
      <c r="IDF124" s="974"/>
      <c r="IDG124" s="974"/>
      <c r="IDH124" s="974"/>
      <c r="IDI124" s="974"/>
      <c r="IDJ124" s="974"/>
      <c r="IDK124" s="974"/>
      <c r="IDL124" s="974"/>
      <c r="IDM124" s="974"/>
      <c r="IDN124" s="974"/>
      <c r="IDO124" s="974"/>
      <c r="IDP124" s="974"/>
      <c r="IDQ124" s="974"/>
      <c r="IDR124" s="974"/>
      <c r="IDS124" s="974"/>
      <c r="IDT124" s="974"/>
      <c r="IDU124" s="974"/>
      <c r="IDV124" s="974"/>
      <c r="IDW124" s="974"/>
      <c r="IDX124" s="974"/>
      <c r="IDY124" s="974"/>
      <c r="IDZ124" s="974"/>
      <c r="IEA124" s="974"/>
      <c r="IEB124" s="974"/>
      <c r="IEC124" s="974"/>
      <c r="IED124" s="974"/>
      <c r="IEE124" s="974"/>
      <c r="IEF124" s="974"/>
      <c r="IEG124" s="974"/>
      <c r="IEH124" s="974"/>
      <c r="IEI124" s="974"/>
      <c r="IEJ124" s="974"/>
      <c r="IEK124" s="974"/>
      <c r="IEL124" s="974"/>
      <c r="IEM124" s="974"/>
      <c r="IEN124" s="974"/>
      <c r="IEO124" s="974"/>
      <c r="IEP124" s="974"/>
      <c r="IEQ124" s="974"/>
      <c r="IER124" s="974"/>
      <c r="IES124" s="974"/>
      <c r="IET124" s="974"/>
      <c r="IEU124" s="974"/>
      <c r="IEV124" s="974"/>
      <c r="IEW124" s="974"/>
      <c r="IEX124" s="974"/>
      <c r="IEY124" s="974"/>
      <c r="IEZ124" s="974"/>
      <c r="IFA124" s="974"/>
      <c r="IFB124" s="974"/>
      <c r="IFC124" s="974"/>
      <c r="IFD124" s="974"/>
      <c r="IFE124" s="974"/>
      <c r="IFF124" s="974"/>
      <c r="IFG124" s="974"/>
      <c r="IFH124" s="974"/>
      <c r="IFI124" s="974"/>
      <c r="IFJ124" s="974"/>
      <c r="IFK124" s="974"/>
      <c r="IFL124" s="974"/>
      <c r="IFM124" s="974"/>
      <c r="IFN124" s="974"/>
      <c r="IFO124" s="974"/>
      <c r="IFP124" s="974"/>
      <c r="IFQ124" s="974"/>
      <c r="IFR124" s="974"/>
      <c r="IFS124" s="974"/>
      <c r="IFT124" s="974"/>
      <c r="IFU124" s="974"/>
      <c r="IFV124" s="974"/>
      <c r="IFW124" s="974"/>
      <c r="IFX124" s="974"/>
      <c r="IFY124" s="974"/>
      <c r="IFZ124" s="974"/>
      <c r="IGA124" s="974"/>
      <c r="IGB124" s="974"/>
      <c r="IGC124" s="974"/>
      <c r="IGD124" s="974"/>
      <c r="IGE124" s="974"/>
      <c r="IGF124" s="974"/>
      <c r="IGG124" s="974"/>
      <c r="IGH124" s="974"/>
      <c r="IGI124" s="974"/>
      <c r="IGJ124" s="974"/>
      <c r="IGK124" s="974"/>
      <c r="IGL124" s="974"/>
      <c r="IGM124" s="974"/>
      <c r="IGN124" s="974"/>
      <c r="IGO124" s="974"/>
      <c r="IGP124" s="974"/>
      <c r="IGQ124" s="974"/>
      <c r="IGR124" s="974"/>
      <c r="IGS124" s="974"/>
      <c r="IGT124" s="974"/>
      <c r="IGU124" s="974"/>
      <c r="IGV124" s="974"/>
      <c r="IGW124" s="974"/>
      <c r="IGX124" s="974"/>
      <c r="IGY124" s="974"/>
      <c r="IGZ124" s="974"/>
      <c r="IHA124" s="974"/>
      <c r="IHB124" s="974"/>
      <c r="IHC124" s="974"/>
      <c r="IHD124" s="974"/>
      <c r="IHE124" s="974"/>
      <c r="IHF124" s="974"/>
      <c r="IHG124" s="974"/>
      <c r="IHH124" s="974"/>
      <c r="IHI124" s="974"/>
      <c r="IHJ124" s="974"/>
      <c r="IHK124" s="974"/>
      <c r="IHL124" s="974"/>
      <c r="IHM124" s="974"/>
      <c r="IHN124" s="974"/>
      <c r="IHO124" s="974"/>
      <c r="IHP124" s="974"/>
      <c r="IHQ124" s="974"/>
      <c r="IHR124" s="974"/>
      <c r="IHS124" s="974"/>
      <c r="IHT124" s="974"/>
      <c r="IHU124" s="974"/>
      <c r="IHV124" s="974"/>
      <c r="IHW124" s="974"/>
      <c r="IHX124" s="974"/>
      <c r="IHY124" s="974"/>
      <c r="IHZ124" s="974"/>
      <c r="IIA124" s="974"/>
      <c r="IIB124" s="974"/>
      <c r="IIC124" s="974"/>
      <c r="IID124" s="974"/>
      <c r="IIE124" s="974"/>
      <c r="IIF124" s="974"/>
      <c r="IIG124" s="974"/>
      <c r="IIH124" s="974"/>
      <c r="III124" s="974"/>
      <c r="IIJ124" s="974"/>
      <c r="IIK124" s="974"/>
      <c r="IIL124" s="974"/>
      <c r="IIM124" s="974"/>
      <c r="IIN124" s="974"/>
      <c r="IIO124" s="974"/>
      <c r="IIP124" s="974"/>
      <c r="IIQ124" s="974"/>
      <c r="IIR124" s="974"/>
      <c r="IIS124" s="974"/>
      <c r="IIT124" s="974"/>
      <c r="IIU124" s="974"/>
      <c r="IIV124" s="974"/>
      <c r="IIW124" s="974"/>
      <c r="IIX124" s="974"/>
      <c r="IIY124" s="974"/>
      <c r="IIZ124" s="974"/>
      <c r="IJA124" s="974"/>
      <c r="IJB124" s="974"/>
      <c r="IJC124" s="974"/>
      <c r="IJD124" s="974"/>
      <c r="IJE124" s="974"/>
      <c r="IJF124" s="974"/>
      <c r="IJG124" s="974"/>
      <c r="IJH124" s="974"/>
      <c r="IJI124" s="974"/>
      <c r="IJJ124" s="974"/>
      <c r="IJK124" s="974"/>
      <c r="IJL124" s="974"/>
      <c r="IJM124" s="974"/>
      <c r="IJN124" s="974"/>
      <c r="IJO124" s="974"/>
      <c r="IJP124" s="974"/>
      <c r="IJQ124" s="974"/>
      <c r="IJR124" s="974"/>
      <c r="IJS124" s="974"/>
      <c r="IJT124" s="974"/>
      <c r="IJU124" s="974"/>
      <c r="IJV124" s="974"/>
      <c r="IJW124" s="974"/>
      <c r="IJX124" s="974"/>
      <c r="IJY124" s="974"/>
      <c r="IJZ124" s="974"/>
      <c r="IKA124" s="974"/>
      <c r="IKB124" s="974"/>
      <c r="IKC124" s="974"/>
      <c r="IKD124" s="974"/>
      <c r="IKE124" s="974"/>
      <c r="IKF124" s="974"/>
      <c r="IKG124" s="974"/>
      <c r="IKH124" s="974"/>
      <c r="IKI124" s="974"/>
      <c r="IKJ124" s="974"/>
      <c r="IKK124" s="974"/>
      <c r="IKL124" s="974"/>
      <c r="IKM124" s="974"/>
      <c r="IKN124" s="974"/>
      <c r="IKO124" s="974"/>
      <c r="IKP124" s="974"/>
      <c r="IKQ124" s="974"/>
      <c r="IKR124" s="974"/>
      <c r="IKS124" s="974"/>
      <c r="IKT124" s="974"/>
      <c r="IKU124" s="974"/>
      <c r="IKV124" s="974"/>
      <c r="IKW124" s="974"/>
      <c r="IKX124" s="974"/>
      <c r="IKY124" s="974"/>
      <c r="IKZ124" s="974"/>
      <c r="ILA124" s="974"/>
      <c r="ILB124" s="974"/>
      <c r="ILC124" s="974"/>
      <c r="ILD124" s="974"/>
      <c r="ILE124" s="974"/>
      <c r="ILF124" s="974"/>
      <c r="ILG124" s="974"/>
      <c r="ILH124" s="974"/>
      <c r="ILI124" s="974"/>
      <c r="ILJ124" s="974"/>
      <c r="ILK124" s="974"/>
      <c r="ILL124" s="974"/>
      <c r="ILM124" s="974"/>
      <c r="ILN124" s="974"/>
      <c r="ILO124" s="974"/>
      <c r="ILP124" s="974"/>
      <c r="ILQ124" s="974"/>
      <c r="ILR124" s="974"/>
      <c r="ILS124" s="974"/>
      <c r="ILT124" s="974"/>
      <c r="ILU124" s="974"/>
      <c r="ILV124" s="974"/>
      <c r="ILW124" s="974"/>
      <c r="ILX124" s="974"/>
      <c r="ILY124" s="974"/>
      <c r="ILZ124" s="974"/>
      <c r="IMA124" s="974"/>
      <c r="IMB124" s="974"/>
      <c r="IMC124" s="974"/>
      <c r="IMD124" s="974"/>
      <c r="IME124" s="974"/>
      <c r="IMF124" s="974"/>
      <c r="IMG124" s="974"/>
      <c r="IMH124" s="974"/>
      <c r="IMI124" s="974"/>
      <c r="IMJ124" s="974"/>
      <c r="IMK124" s="974"/>
      <c r="IML124" s="974"/>
      <c r="IMM124" s="974"/>
      <c r="IMN124" s="974"/>
      <c r="IMO124" s="974"/>
      <c r="IMP124" s="974"/>
      <c r="IMQ124" s="974"/>
      <c r="IMR124" s="974"/>
      <c r="IMS124" s="974"/>
      <c r="IMT124" s="974"/>
      <c r="IMU124" s="974"/>
      <c r="IMV124" s="974"/>
      <c r="IMW124" s="974"/>
      <c r="IMX124" s="974"/>
      <c r="IMY124" s="974"/>
      <c r="IMZ124" s="974"/>
      <c r="INA124" s="974"/>
      <c r="INB124" s="974"/>
      <c r="INC124" s="974"/>
      <c r="IND124" s="974"/>
      <c r="INE124" s="974"/>
      <c r="INF124" s="974"/>
      <c r="ING124" s="974"/>
      <c r="INH124" s="974"/>
      <c r="INI124" s="974"/>
      <c r="INJ124" s="974"/>
      <c r="INK124" s="974"/>
      <c r="INL124" s="974"/>
      <c r="INM124" s="974"/>
      <c r="INN124" s="974"/>
      <c r="INO124" s="974"/>
      <c r="INP124" s="974"/>
      <c r="INQ124" s="974"/>
      <c r="INR124" s="974"/>
      <c r="INS124" s="974"/>
      <c r="INT124" s="974"/>
      <c r="INU124" s="974"/>
      <c r="INV124" s="974"/>
      <c r="INW124" s="974"/>
      <c r="INX124" s="974"/>
      <c r="INY124" s="974"/>
      <c r="INZ124" s="974"/>
      <c r="IOA124" s="974"/>
      <c r="IOB124" s="974"/>
      <c r="IOC124" s="974"/>
      <c r="IOD124" s="974"/>
      <c r="IOE124" s="974"/>
      <c r="IOF124" s="974"/>
      <c r="IOG124" s="974"/>
      <c r="IOH124" s="974"/>
      <c r="IOI124" s="974"/>
      <c r="IOJ124" s="974"/>
      <c r="IOK124" s="974"/>
      <c r="IOL124" s="974"/>
      <c r="IOM124" s="974"/>
      <c r="ION124" s="974"/>
      <c r="IOO124" s="974"/>
      <c r="IOP124" s="974"/>
      <c r="IOQ124" s="974"/>
      <c r="IOR124" s="974"/>
      <c r="IOS124" s="974"/>
      <c r="IOT124" s="974"/>
      <c r="IOU124" s="974"/>
      <c r="IOV124" s="974"/>
      <c r="IOW124" s="974"/>
      <c r="IOX124" s="974"/>
      <c r="IOY124" s="974"/>
      <c r="IOZ124" s="974"/>
      <c r="IPA124" s="974"/>
      <c r="IPB124" s="974"/>
      <c r="IPC124" s="974"/>
      <c r="IPD124" s="974"/>
      <c r="IPE124" s="974"/>
      <c r="IPF124" s="974"/>
      <c r="IPG124" s="974"/>
      <c r="IPH124" s="974"/>
      <c r="IPI124" s="974"/>
      <c r="IPJ124" s="974"/>
      <c r="IPK124" s="974"/>
      <c r="IPL124" s="974"/>
      <c r="IPM124" s="974"/>
      <c r="IPN124" s="974"/>
      <c r="IPO124" s="974"/>
      <c r="IPP124" s="974"/>
      <c r="IPQ124" s="974"/>
      <c r="IPR124" s="974"/>
      <c r="IPS124" s="974"/>
      <c r="IPT124" s="974"/>
      <c r="IPU124" s="974"/>
      <c r="IPV124" s="974"/>
      <c r="IPW124" s="974"/>
      <c r="IPX124" s="974"/>
      <c r="IPY124" s="974"/>
      <c r="IPZ124" s="974"/>
      <c r="IQA124" s="974"/>
      <c r="IQB124" s="974"/>
      <c r="IQC124" s="974"/>
      <c r="IQD124" s="974"/>
      <c r="IQE124" s="974"/>
      <c r="IQF124" s="974"/>
      <c r="IQG124" s="974"/>
      <c r="IQH124" s="974"/>
      <c r="IQI124" s="974"/>
      <c r="IQJ124" s="974"/>
      <c r="IQK124" s="974"/>
      <c r="IQL124" s="974"/>
      <c r="IQM124" s="974"/>
      <c r="IQN124" s="974"/>
      <c r="IQO124" s="974"/>
      <c r="IQP124" s="974"/>
      <c r="IQQ124" s="974"/>
      <c r="IQR124" s="974"/>
      <c r="IQS124" s="974"/>
      <c r="IQT124" s="974"/>
      <c r="IQU124" s="974"/>
      <c r="IQV124" s="974"/>
      <c r="IQW124" s="974"/>
      <c r="IQX124" s="974"/>
      <c r="IQY124" s="974"/>
      <c r="IQZ124" s="974"/>
      <c r="IRA124" s="974"/>
      <c r="IRB124" s="974"/>
      <c r="IRC124" s="974"/>
      <c r="IRD124" s="974"/>
      <c r="IRE124" s="974"/>
      <c r="IRF124" s="974"/>
      <c r="IRG124" s="974"/>
      <c r="IRH124" s="974"/>
      <c r="IRI124" s="974"/>
      <c r="IRJ124" s="974"/>
      <c r="IRK124" s="974"/>
      <c r="IRL124" s="974"/>
      <c r="IRM124" s="974"/>
      <c r="IRN124" s="974"/>
      <c r="IRO124" s="974"/>
      <c r="IRP124" s="974"/>
      <c r="IRQ124" s="974"/>
      <c r="IRR124" s="974"/>
      <c r="IRS124" s="974"/>
      <c r="IRT124" s="974"/>
      <c r="IRU124" s="974"/>
      <c r="IRV124" s="974"/>
      <c r="IRW124" s="974"/>
      <c r="IRX124" s="974"/>
      <c r="IRY124" s="974"/>
      <c r="IRZ124" s="974"/>
      <c r="ISA124" s="974"/>
      <c r="ISB124" s="974"/>
      <c r="ISC124" s="974"/>
      <c r="ISD124" s="974"/>
      <c r="ISE124" s="974"/>
      <c r="ISF124" s="974"/>
      <c r="ISG124" s="974"/>
      <c r="ISH124" s="974"/>
      <c r="ISI124" s="974"/>
      <c r="ISJ124" s="974"/>
      <c r="ISK124" s="974"/>
      <c r="ISL124" s="974"/>
      <c r="ISM124" s="974"/>
      <c r="ISN124" s="974"/>
      <c r="ISO124" s="974"/>
      <c r="ISP124" s="974"/>
      <c r="ISQ124" s="974"/>
      <c r="ISR124" s="974"/>
      <c r="ISS124" s="974"/>
      <c r="IST124" s="974"/>
      <c r="ISU124" s="974"/>
      <c r="ISV124" s="974"/>
      <c r="ISW124" s="974"/>
      <c r="ISX124" s="974"/>
      <c r="ISY124" s="974"/>
      <c r="ISZ124" s="974"/>
      <c r="ITA124" s="974"/>
      <c r="ITB124" s="974"/>
      <c r="ITC124" s="974"/>
      <c r="ITD124" s="974"/>
      <c r="ITE124" s="974"/>
      <c r="ITF124" s="974"/>
      <c r="ITG124" s="974"/>
      <c r="ITH124" s="974"/>
      <c r="ITI124" s="974"/>
      <c r="ITJ124" s="974"/>
      <c r="ITK124" s="974"/>
      <c r="ITL124" s="974"/>
      <c r="ITM124" s="974"/>
      <c r="ITN124" s="974"/>
      <c r="ITO124" s="974"/>
      <c r="ITP124" s="974"/>
      <c r="ITQ124" s="974"/>
      <c r="ITR124" s="974"/>
      <c r="ITS124" s="974"/>
      <c r="ITT124" s="974"/>
      <c r="ITU124" s="974"/>
      <c r="ITV124" s="974"/>
      <c r="ITW124" s="974"/>
      <c r="ITX124" s="974"/>
      <c r="ITY124" s="974"/>
      <c r="ITZ124" s="974"/>
      <c r="IUA124" s="974"/>
      <c r="IUB124" s="974"/>
      <c r="IUC124" s="974"/>
      <c r="IUD124" s="974"/>
      <c r="IUE124" s="974"/>
      <c r="IUF124" s="974"/>
      <c r="IUG124" s="974"/>
      <c r="IUH124" s="974"/>
      <c r="IUI124" s="974"/>
      <c r="IUJ124" s="974"/>
      <c r="IUK124" s="974"/>
      <c r="IUL124" s="974"/>
      <c r="IUM124" s="974"/>
      <c r="IUN124" s="974"/>
      <c r="IUO124" s="974"/>
      <c r="IUP124" s="974"/>
      <c r="IUQ124" s="974"/>
      <c r="IUR124" s="974"/>
      <c r="IUS124" s="974"/>
      <c r="IUT124" s="974"/>
      <c r="IUU124" s="974"/>
      <c r="IUV124" s="974"/>
      <c r="IUW124" s="974"/>
      <c r="IUX124" s="974"/>
      <c r="IUY124" s="974"/>
      <c r="IUZ124" s="974"/>
      <c r="IVA124" s="974"/>
      <c r="IVB124" s="974"/>
      <c r="IVC124" s="974"/>
      <c r="IVD124" s="974"/>
      <c r="IVE124" s="974"/>
      <c r="IVF124" s="974"/>
      <c r="IVG124" s="974"/>
      <c r="IVH124" s="974"/>
      <c r="IVI124" s="974"/>
      <c r="IVJ124" s="974"/>
      <c r="IVK124" s="974"/>
      <c r="IVL124" s="974"/>
      <c r="IVM124" s="974"/>
      <c r="IVN124" s="974"/>
      <c r="IVO124" s="974"/>
      <c r="IVP124" s="974"/>
      <c r="IVQ124" s="974"/>
      <c r="IVR124" s="974"/>
      <c r="IVS124" s="974"/>
      <c r="IVT124" s="974"/>
      <c r="IVU124" s="974"/>
      <c r="IVV124" s="974"/>
      <c r="IVW124" s="974"/>
      <c r="IVX124" s="974"/>
      <c r="IVY124" s="974"/>
      <c r="IVZ124" s="974"/>
      <c r="IWA124" s="974"/>
      <c r="IWB124" s="974"/>
      <c r="IWC124" s="974"/>
      <c r="IWD124" s="974"/>
      <c r="IWE124" s="974"/>
      <c r="IWF124" s="974"/>
      <c r="IWG124" s="974"/>
      <c r="IWH124" s="974"/>
      <c r="IWI124" s="974"/>
      <c r="IWJ124" s="974"/>
      <c r="IWK124" s="974"/>
      <c r="IWL124" s="974"/>
      <c r="IWM124" s="974"/>
      <c r="IWN124" s="974"/>
      <c r="IWO124" s="974"/>
      <c r="IWP124" s="974"/>
      <c r="IWQ124" s="974"/>
      <c r="IWR124" s="974"/>
      <c r="IWS124" s="974"/>
      <c r="IWT124" s="974"/>
      <c r="IWU124" s="974"/>
      <c r="IWV124" s="974"/>
      <c r="IWW124" s="974"/>
      <c r="IWX124" s="974"/>
      <c r="IWY124" s="974"/>
      <c r="IWZ124" s="974"/>
      <c r="IXA124" s="974"/>
      <c r="IXB124" s="974"/>
      <c r="IXC124" s="974"/>
      <c r="IXD124" s="974"/>
      <c r="IXE124" s="974"/>
      <c r="IXF124" s="974"/>
      <c r="IXG124" s="974"/>
      <c r="IXH124" s="974"/>
      <c r="IXI124" s="974"/>
      <c r="IXJ124" s="974"/>
      <c r="IXK124" s="974"/>
      <c r="IXL124" s="974"/>
      <c r="IXM124" s="974"/>
      <c r="IXN124" s="974"/>
      <c r="IXO124" s="974"/>
      <c r="IXP124" s="974"/>
      <c r="IXQ124" s="974"/>
      <c r="IXR124" s="974"/>
      <c r="IXS124" s="974"/>
      <c r="IXT124" s="974"/>
      <c r="IXU124" s="974"/>
      <c r="IXV124" s="974"/>
      <c r="IXW124" s="974"/>
      <c r="IXX124" s="974"/>
      <c r="IXY124" s="974"/>
      <c r="IXZ124" s="974"/>
      <c r="IYA124" s="974"/>
      <c r="IYB124" s="974"/>
      <c r="IYC124" s="974"/>
      <c r="IYD124" s="974"/>
      <c r="IYE124" s="974"/>
      <c r="IYF124" s="974"/>
      <c r="IYG124" s="974"/>
      <c r="IYH124" s="974"/>
      <c r="IYI124" s="974"/>
      <c r="IYJ124" s="974"/>
      <c r="IYK124" s="974"/>
      <c r="IYL124" s="974"/>
      <c r="IYM124" s="974"/>
      <c r="IYN124" s="974"/>
      <c r="IYO124" s="974"/>
      <c r="IYP124" s="974"/>
      <c r="IYQ124" s="974"/>
      <c r="IYR124" s="974"/>
      <c r="IYS124" s="974"/>
      <c r="IYT124" s="974"/>
      <c r="IYU124" s="974"/>
      <c r="IYV124" s="974"/>
      <c r="IYW124" s="974"/>
      <c r="IYX124" s="974"/>
      <c r="IYY124" s="974"/>
      <c r="IYZ124" s="974"/>
      <c r="IZA124" s="974"/>
      <c r="IZB124" s="974"/>
      <c r="IZC124" s="974"/>
      <c r="IZD124" s="974"/>
      <c r="IZE124" s="974"/>
      <c r="IZF124" s="974"/>
      <c r="IZG124" s="974"/>
      <c r="IZH124" s="974"/>
      <c r="IZI124" s="974"/>
      <c r="IZJ124" s="974"/>
      <c r="IZK124" s="974"/>
      <c r="IZL124" s="974"/>
      <c r="IZM124" s="974"/>
      <c r="IZN124" s="974"/>
      <c r="IZO124" s="974"/>
      <c r="IZP124" s="974"/>
      <c r="IZQ124" s="974"/>
      <c r="IZR124" s="974"/>
      <c r="IZS124" s="974"/>
      <c r="IZT124" s="974"/>
      <c r="IZU124" s="974"/>
      <c r="IZV124" s="974"/>
      <c r="IZW124" s="974"/>
      <c r="IZX124" s="974"/>
      <c r="IZY124" s="974"/>
      <c r="IZZ124" s="974"/>
      <c r="JAA124" s="974"/>
      <c r="JAB124" s="974"/>
      <c r="JAC124" s="974"/>
      <c r="JAD124" s="974"/>
      <c r="JAE124" s="974"/>
      <c r="JAF124" s="974"/>
      <c r="JAG124" s="974"/>
      <c r="JAH124" s="974"/>
      <c r="JAI124" s="974"/>
      <c r="JAJ124" s="974"/>
      <c r="JAK124" s="974"/>
      <c r="JAL124" s="974"/>
      <c r="JAM124" s="974"/>
      <c r="JAN124" s="974"/>
      <c r="JAO124" s="974"/>
      <c r="JAP124" s="974"/>
      <c r="JAQ124" s="974"/>
      <c r="JAR124" s="974"/>
      <c r="JAS124" s="974"/>
      <c r="JAT124" s="974"/>
      <c r="JAU124" s="974"/>
      <c r="JAV124" s="974"/>
      <c r="JAW124" s="974"/>
      <c r="JAX124" s="974"/>
      <c r="JAY124" s="974"/>
      <c r="JAZ124" s="974"/>
      <c r="JBA124" s="974"/>
      <c r="JBB124" s="974"/>
      <c r="JBC124" s="974"/>
      <c r="JBD124" s="974"/>
      <c r="JBE124" s="974"/>
      <c r="JBF124" s="974"/>
      <c r="JBG124" s="974"/>
      <c r="JBH124" s="974"/>
      <c r="JBI124" s="974"/>
      <c r="JBJ124" s="974"/>
      <c r="JBK124" s="974"/>
      <c r="JBL124" s="974"/>
      <c r="JBM124" s="974"/>
      <c r="JBN124" s="974"/>
      <c r="JBO124" s="974"/>
      <c r="JBP124" s="974"/>
      <c r="JBQ124" s="974"/>
      <c r="JBR124" s="974"/>
      <c r="JBS124" s="974"/>
      <c r="JBT124" s="974"/>
      <c r="JBU124" s="974"/>
      <c r="JBV124" s="974"/>
      <c r="JBW124" s="974"/>
      <c r="JBX124" s="974"/>
      <c r="JBY124" s="974"/>
      <c r="JBZ124" s="974"/>
      <c r="JCA124" s="974"/>
      <c r="JCB124" s="974"/>
      <c r="JCC124" s="974"/>
      <c r="JCD124" s="974"/>
      <c r="JCE124" s="974"/>
      <c r="JCF124" s="974"/>
      <c r="JCG124" s="974"/>
      <c r="JCH124" s="974"/>
      <c r="JCI124" s="974"/>
      <c r="JCJ124" s="974"/>
      <c r="JCK124" s="974"/>
      <c r="JCL124" s="974"/>
      <c r="JCM124" s="974"/>
      <c r="JCN124" s="974"/>
      <c r="JCO124" s="974"/>
      <c r="JCP124" s="974"/>
      <c r="JCQ124" s="974"/>
      <c r="JCR124" s="974"/>
      <c r="JCS124" s="974"/>
      <c r="JCT124" s="974"/>
      <c r="JCU124" s="974"/>
      <c r="JCV124" s="974"/>
      <c r="JCW124" s="974"/>
      <c r="JCX124" s="974"/>
      <c r="JCY124" s="974"/>
      <c r="JCZ124" s="974"/>
      <c r="JDA124" s="974"/>
      <c r="JDB124" s="974"/>
      <c r="JDC124" s="974"/>
      <c r="JDD124" s="974"/>
      <c r="JDE124" s="974"/>
      <c r="JDF124" s="974"/>
      <c r="JDG124" s="974"/>
      <c r="JDH124" s="974"/>
      <c r="JDI124" s="974"/>
      <c r="JDJ124" s="974"/>
      <c r="JDK124" s="974"/>
      <c r="JDL124" s="974"/>
      <c r="JDM124" s="974"/>
      <c r="JDN124" s="974"/>
      <c r="JDO124" s="974"/>
      <c r="JDP124" s="974"/>
      <c r="JDQ124" s="974"/>
      <c r="JDR124" s="974"/>
      <c r="JDS124" s="974"/>
      <c r="JDT124" s="974"/>
      <c r="JDU124" s="974"/>
      <c r="JDV124" s="974"/>
      <c r="JDW124" s="974"/>
      <c r="JDX124" s="974"/>
      <c r="JDY124" s="974"/>
      <c r="JDZ124" s="974"/>
      <c r="JEA124" s="974"/>
      <c r="JEB124" s="974"/>
      <c r="JEC124" s="974"/>
      <c r="JED124" s="974"/>
      <c r="JEE124" s="974"/>
      <c r="JEF124" s="974"/>
      <c r="JEG124" s="974"/>
      <c r="JEH124" s="974"/>
      <c r="JEI124" s="974"/>
      <c r="JEJ124" s="974"/>
      <c r="JEK124" s="974"/>
      <c r="JEL124" s="974"/>
      <c r="JEM124" s="974"/>
      <c r="JEN124" s="974"/>
      <c r="JEO124" s="974"/>
      <c r="JEP124" s="974"/>
      <c r="JEQ124" s="974"/>
      <c r="JER124" s="974"/>
      <c r="JES124" s="974"/>
      <c r="JET124" s="974"/>
      <c r="JEU124" s="974"/>
      <c r="JEV124" s="974"/>
      <c r="JEW124" s="974"/>
      <c r="JEX124" s="974"/>
      <c r="JEY124" s="974"/>
      <c r="JEZ124" s="974"/>
      <c r="JFA124" s="974"/>
      <c r="JFB124" s="974"/>
      <c r="JFC124" s="974"/>
      <c r="JFD124" s="974"/>
      <c r="JFE124" s="974"/>
      <c r="JFF124" s="974"/>
      <c r="JFG124" s="974"/>
      <c r="JFH124" s="974"/>
      <c r="JFI124" s="974"/>
      <c r="JFJ124" s="974"/>
      <c r="JFK124" s="974"/>
      <c r="JFL124" s="974"/>
      <c r="JFM124" s="974"/>
      <c r="JFN124" s="974"/>
      <c r="JFO124" s="974"/>
      <c r="JFP124" s="974"/>
      <c r="JFQ124" s="974"/>
      <c r="JFR124" s="974"/>
      <c r="JFS124" s="974"/>
      <c r="JFT124" s="974"/>
      <c r="JFU124" s="974"/>
      <c r="JFV124" s="974"/>
      <c r="JFW124" s="974"/>
      <c r="JFX124" s="974"/>
      <c r="JFY124" s="974"/>
      <c r="JFZ124" s="974"/>
      <c r="JGA124" s="974"/>
      <c r="JGB124" s="974"/>
      <c r="JGC124" s="974"/>
      <c r="JGD124" s="974"/>
      <c r="JGE124" s="974"/>
      <c r="JGF124" s="974"/>
      <c r="JGG124" s="974"/>
      <c r="JGH124" s="974"/>
      <c r="JGI124" s="974"/>
      <c r="JGJ124" s="974"/>
      <c r="JGK124" s="974"/>
      <c r="JGL124" s="974"/>
      <c r="JGM124" s="974"/>
      <c r="JGN124" s="974"/>
      <c r="JGO124" s="974"/>
      <c r="JGP124" s="974"/>
      <c r="JGQ124" s="974"/>
      <c r="JGR124" s="974"/>
      <c r="JGS124" s="974"/>
      <c r="JGT124" s="974"/>
      <c r="JGU124" s="974"/>
      <c r="JGV124" s="974"/>
      <c r="JGW124" s="974"/>
      <c r="JGX124" s="974"/>
      <c r="JGY124" s="974"/>
      <c r="JGZ124" s="974"/>
      <c r="JHA124" s="974"/>
      <c r="JHB124" s="974"/>
      <c r="JHC124" s="974"/>
      <c r="JHD124" s="974"/>
      <c r="JHE124" s="974"/>
      <c r="JHF124" s="974"/>
      <c r="JHG124" s="974"/>
      <c r="JHH124" s="974"/>
      <c r="JHI124" s="974"/>
      <c r="JHJ124" s="974"/>
      <c r="JHK124" s="974"/>
      <c r="JHL124" s="974"/>
      <c r="JHM124" s="974"/>
      <c r="JHN124" s="974"/>
      <c r="JHO124" s="974"/>
      <c r="JHP124" s="974"/>
      <c r="JHQ124" s="974"/>
      <c r="JHR124" s="974"/>
      <c r="JHS124" s="974"/>
      <c r="JHT124" s="974"/>
      <c r="JHU124" s="974"/>
      <c r="JHV124" s="974"/>
      <c r="JHW124" s="974"/>
      <c r="JHX124" s="974"/>
      <c r="JHY124" s="974"/>
      <c r="JHZ124" s="974"/>
      <c r="JIA124" s="974"/>
      <c r="JIB124" s="974"/>
      <c r="JIC124" s="974"/>
      <c r="JID124" s="974"/>
      <c r="JIE124" s="974"/>
      <c r="JIF124" s="974"/>
      <c r="JIG124" s="974"/>
      <c r="JIH124" s="974"/>
      <c r="JII124" s="974"/>
      <c r="JIJ124" s="974"/>
      <c r="JIK124" s="974"/>
      <c r="JIL124" s="974"/>
      <c r="JIM124" s="974"/>
      <c r="JIN124" s="974"/>
      <c r="JIO124" s="974"/>
      <c r="JIP124" s="974"/>
      <c r="JIQ124" s="974"/>
      <c r="JIR124" s="974"/>
      <c r="JIS124" s="974"/>
      <c r="JIT124" s="974"/>
      <c r="JIU124" s="974"/>
      <c r="JIV124" s="974"/>
      <c r="JIW124" s="974"/>
      <c r="JIX124" s="974"/>
      <c r="JIY124" s="974"/>
      <c r="JIZ124" s="974"/>
      <c r="JJA124" s="974"/>
      <c r="JJB124" s="974"/>
      <c r="JJC124" s="974"/>
      <c r="JJD124" s="974"/>
      <c r="JJE124" s="974"/>
      <c r="JJF124" s="974"/>
      <c r="JJG124" s="974"/>
      <c r="JJH124" s="974"/>
      <c r="JJI124" s="974"/>
      <c r="JJJ124" s="974"/>
      <c r="JJK124" s="974"/>
      <c r="JJL124" s="974"/>
      <c r="JJM124" s="974"/>
      <c r="JJN124" s="974"/>
      <c r="JJO124" s="974"/>
      <c r="JJP124" s="974"/>
      <c r="JJQ124" s="974"/>
      <c r="JJR124" s="974"/>
      <c r="JJS124" s="974"/>
      <c r="JJT124" s="974"/>
      <c r="JJU124" s="974"/>
      <c r="JJV124" s="974"/>
      <c r="JJW124" s="974"/>
      <c r="JJX124" s="974"/>
      <c r="JJY124" s="974"/>
      <c r="JJZ124" s="974"/>
      <c r="JKA124" s="974"/>
      <c r="JKB124" s="974"/>
      <c r="JKC124" s="974"/>
      <c r="JKD124" s="974"/>
      <c r="JKE124" s="974"/>
      <c r="JKF124" s="974"/>
      <c r="JKG124" s="974"/>
      <c r="JKH124" s="974"/>
      <c r="JKI124" s="974"/>
      <c r="JKJ124" s="974"/>
      <c r="JKK124" s="974"/>
      <c r="JKL124" s="974"/>
      <c r="JKM124" s="974"/>
      <c r="JKN124" s="974"/>
      <c r="JKO124" s="974"/>
      <c r="JKP124" s="974"/>
      <c r="JKQ124" s="974"/>
      <c r="JKR124" s="974"/>
      <c r="JKS124" s="974"/>
      <c r="JKT124" s="974"/>
      <c r="JKU124" s="974"/>
      <c r="JKV124" s="974"/>
      <c r="JKW124" s="974"/>
      <c r="JKX124" s="974"/>
      <c r="JKY124" s="974"/>
      <c r="JKZ124" s="974"/>
      <c r="JLA124" s="974"/>
      <c r="JLB124" s="974"/>
      <c r="JLC124" s="974"/>
      <c r="JLD124" s="974"/>
      <c r="JLE124" s="974"/>
      <c r="JLF124" s="974"/>
      <c r="JLG124" s="974"/>
      <c r="JLH124" s="974"/>
      <c r="JLI124" s="974"/>
      <c r="JLJ124" s="974"/>
      <c r="JLK124" s="974"/>
      <c r="JLL124" s="974"/>
      <c r="JLM124" s="974"/>
      <c r="JLN124" s="974"/>
      <c r="JLO124" s="974"/>
      <c r="JLP124" s="974"/>
      <c r="JLQ124" s="974"/>
      <c r="JLR124" s="974"/>
      <c r="JLS124" s="974"/>
      <c r="JLT124" s="974"/>
      <c r="JLU124" s="974"/>
      <c r="JLV124" s="974"/>
      <c r="JLW124" s="974"/>
      <c r="JLX124" s="974"/>
      <c r="JLY124" s="974"/>
      <c r="JLZ124" s="974"/>
      <c r="JMA124" s="974"/>
      <c r="JMB124" s="974"/>
      <c r="JMC124" s="974"/>
      <c r="JMD124" s="974"/>
      <c r="JME124" s="974"/>
      <c r="JMF124" s="974"/>
      <c r="JMG124" s="974"/>
      <c r="JMH124" s="974"/>
      <c r="JMI124" s="974"/>
      <c r="JMJ124" s="974"/>
      <c r="JMK124" s="974"/>
      <c r="JML124" s="974"/>
      <c r="JMM124" s="974"/>
      <c r="JMN124" s="974"/>
      <c r="JMO124" s="974"/>
      <c r="JMP124" s="974"/>
      <c r="JMQ124" s="974"/>
      <c r="JMR124" s="974"/>
      <c r="JMS124" s="974"/>
      <c r="JMT124" s="974"/>
      <c r="JMU124" s="974"/>
      <c r="JMV124" s="974"/>
      <c r="JMW124" s="974"/>
      <c r="JMX124" s="974"/>
      <c r="JMY124" s="974"/>
      <c r="JMZ124" s="974"/>
      <c r="JNA124" s="974"/>
      <c r="JNB124" s="974"/>
      <c r="JNC124" s="974"/>
      <c r="JND124" s="974"/>
      <c r="JNE124" s="974"/>
      <c r="JNF124" s="974"/>
      <c r="JNG124" s="974"/>
      <c r="JNH124" s="974"/>
      <c r="JNI124" s="974"/>
      <c r="JNJ124" s="974"/>
      <c r="JNK124" s="974"/>
      <c r="JNL124" s="974"/>
      <c r="JNM124" s="974"/>
      <c r="JNN124" s="974"/>
      <c r="JNO124" s="974"/>
      <c r="JNP124" s="974"/>
      <c r="JNQ124" s="974"/>
      <c r="JNR124" s="974"/>
      <c r="JNS124" s="974"/>
      <c r="JNT124" s="974"/>
      <c r="JNU124" s="974"/>
      <c r="JNV124" s="974"/>
      <c r="JNW124" s="974"/>
      <c r="JNX124" s="974"/>
      <c r="JNY124" s="974"/>
      <c r="JNZ124" s="974"/>
      <c r="JOA124" s="974"/>
      <c r="JOB124" s="974"/>
      <c r="JOC124" s="974"/>
      <c r="JOD124" s="974"/>
      <c r="JOE124" s="974"/>
      <c r="JOF124" s="974"/>
      <c r="JOG124" s="974"/>
      <c r="JOH124" s="974"/>
      <c r="JOI124" s="974"/>
      <c r="JOJ124" s="974"/>
      <c r="JOK124" s="974"/>
      <c r="JOL124" s="974"/>
      <c r="JOM124" s="974"/>
      <c r="JON124" s="974"/>
      <c r="JOO124" s="974"/>
      <c r="JOP124" s="974"/>
      <c r="JOQ124" s="974"/>
      <c r="JOR124" s="974"/>
      <c r="JOS124" s="974"/>
      <c r="JOT124" s="974"/>
      <c r="JOU124" s="974"/>
      <c r="JOV124" s="974"/>
      <c r="JOW124" s="974"/>
      <c r="JOX124" s="974"/>
      <c r="JOY124" s="974"/>
      <c r="JOZ124" s="974"/>
      <c r="JPA124" s="974"/>
      <c r="JPB124" s="974"/>
      <c r="JPC124" s="974"/>
      <c r="JPD124" s="974"/>
      <c r="JPE124" s="974"/>
      <c r="JPF124" s="974"/>
      <c r="JPG124" s="974"/>
      <c r="JPH124" s="974"/>
      <c r="JPI124" s="974"/>
      <c r="JPJ124" s="974"/>
      <c r="JPK124" s="974"/>
      <c r="JPL124" s="974"/>
      <c r="JPM124" s="974"/>
      <c r="JPN124" s="974"/>
      <c r="JPO124" s="974"/>
      <c r="JPP124" s="974"/>
      <c r="JPQ124" s="974"/>
      <c r="JPR124" s="974"/>
      <c r="JPS124" s="974"/>
      <c r="JPT124" s="974"/>
      <c r="JPU124" s="974"/>
      <c r="JPV124" s="974"/>
      <c r="JPW124" s="974"/>
      <c r="JPX124" s="974"/>
      <c r="JPY124" s="974"/>
      <c r="JPZ124" s="974"/>
      <c r="JQA124" s="974"/>
      <c r="JQB124" s="974"/>
      <c r="JQC124" s="974"/>
      <c r="JQD124" s="974"/>
      <c r="JQE124" s="974"/>
      <c r="JQF124" s="974"/>
      <c r="JQG124" s="974"/>
      <c r="JQH124" s="974"/>
      <c r="JQI124" s="974"/>
      <c r="JQJ124" s="974"/>
      <c r="JQK124" s="974"/>
      <c r="JQL124" s="974"/>
      <c r="JQM124" s="974"/>
      <c r="JQN124" s="974"/>
      <c r="JQO124" s="974"/>
      <c r="JQP124" s="974"/>
      <c r="JQQ124" s="974"/>
      <c r="JQR124" s="974"/>
      <c r="JQS124" s="974"/>
      <c r="JQT124" s="974"/>
      <c r="JQU124" s="974"/>
      <c r="JQV124" s="974"/>
      <c r="JQW124" s="974"/>
      <c r="JQX124" s="974"/>
      <c r="JQY124" s="974"/>
      <c r="JQZ124" s="974"/>
      <c r="JRA124" s="974"/>
      <c r="JRB124" s="974"/>
      <c r="JRC124" s="974"/>
      <c r="JRD124" s="974"/>
      <c r="JRE124" s="974"/>
      <c r="JRF124" s="974"/>
      <c r="JRG124" s="974"/>
      <c r="JRH124" s="974"/>
      <c r="JRI124" s="974"/>
      <c r="JRJ124" s="974"/>
      <c r="JRK124" s="974"/>
      <c r="JRL124" s="974"/>
      <c r="JRM124" s="974"/>
      <c r="JRN124" s="974"/>
      <c r="JRO124" s="974"/>
      <c r="JRP124" s="974"/>
      <c r="JRQ124" s="974"/>
      <c r="JRR124" s="974"/>
      <c r="JRS124" s="974"/>
      <c r="JRT124" s="974"/>
      <c r="JRU124" s="974"/>
      <c r="JRV124" s="974"/>
      <c r="JRW124" s="974"/>
      <c r="JRX124" s="974"/>
      <c r="JRY124" s="974"/>
      <c r="JRZ124" s="974"/>
      <c r="JSA124" s="974"/>
      <c r="JSB124" s="974"/>
      <c r="JSC124" s="974"/>
      <c r="JSD124" s="974"/>
      <c r="JSE124" s="974"/>
      <c r="JSF124" s="974"/>
      <c r="JSG124" s="974"/>
      <c r="JSH124" s="974"/>
      <c r="JSI124" s="974"/>
      <c r="JSJ124" s="974"/>
      <c r="JSK124" s="974"/>
      <c r="JSL124" s="974"/>
      <c r="JSM124" s="974"/>
      <c r="JSN124" s="974"/>
      <c r="JSO124" s="974"/>
      <c r="JSP124" s="974"/>
      <c r="JSQ124" s="974"/>
      <c r="JSR124" s="974"/>
      <c r="JSS124" s="974"/>
      <c r="JST124" s="974"/>
      <c r="JSU124" s="974"/>
      <c r="JSV124" s="974"/>
      <c r="JSW124" s="974"/>
      <c r="JSX124" s="974"/>
      <c r="JSY124" s="974"/>
      <c r="JSZ124" s="974"/>
      <c r="JTA124" s="974"/>
      <c r="JTB124" s="974"/>
      <c r="JTC124" s="974"/>
      <c r="JTD124" s="974"/>
      <c r="JTE124" s="974"/>
      <c r="JTF124" s="974"/>
      <c r="JTG124" s="974"/>
      <c r="JTH124" s="974"/>
      <c r="JTI124" s="974"/>
      <c r="JTJ124" s="974"/>
      <c r="JTK124" s="974"/>
      <c r="JTL124" s="974"/>
      <c r="JTM124" s="974"/>
      <c r="JTN124" s="974"/>
      <c r="JTO124" s="974"/>
      <c r="JTP124" s="974"/>
      <c r="JTQ124" s="974"/>
      <c r="JTR124" s="974"/>
      <c r="JTS124" s="974"/>
      <c r="JTT124" s="974"/>
      <c r="JTU124" s="974"/>
      <c r="JTV124" s="974"/>
      <c r="JTW124" s="974"/>
      <c r="JTX124" s="974"/>
      <c r="JTY124" s="974"/>
      <c r="JTZ124" s="974"/>
      <c r="JUA124" s="974"/>
      <c r="JUB124" s="974"/>
      <c r="JUC124" s="974"/>
      <c r="JUD124" s="974"/>
      <c r="JUE124" s="974"/>
      <c r="JUF124" s="974"/>
      <c r="JUG124" s="974"/>
      <c r="JUH124" s="974"/>
      <c r="JUI124" s="974"/>
      <c r="JUJ124" s="974"/>
      <c r="JUK124" s="974"/>
      <c r="JUL124" s="974"/>
      <c r="JUM124" s="974"/>
      <c r="JUN124" s="974"/>
      <c r="JUO124" s="974"/>
      <c r="JUP124" s="974"/>
      <c r="JUQ124" s="974"/>
      <c r="JUR124" s="974"/>
      <c r="JUS124" s="974"/>
      <c r="JUT124" s="974"/>
      <c r="JUU124" s="974"/>
      <c r="JUV124" s="974"/>
      <c r="JUW124" s="974"/>
      <c r="JUX124" s="974"/>
      <c r="JUY124" s="974"/>
      <c r="JUZ124" s="974"/>
      <c r="JVA124" s="974"/>
      <c r="JVB124" s="974"/>
      <c r="JVC124" s="974"/>
      <c r="JVD124" s="974"/>
      <c r="JVE124" s="974"/>
      <c r="JVF124" s="974"/>
      <c r="JVG124" s="974"/>
      <c r="JVH124" s="974"/>
      <c r="JVI124" s="974"/>
      <c r="JVJ124" s="974"/>
      <c r="JVK124" s="974"/>
      <c r="JVL124" s="974"/>
      <c r="JVM124" s="974"/>
      <c r="JVN124" s="974"/>
      <c r="JVO124" s="974"/>
      <c r="JVP124" s="974"/>
      <c r="JVQ124" s="974"/>
      <c r="JVR124" s="974"/>
      <c r="JVS124" s="974"/>
      <c r="JVT124" s="974"/>
      <c r="JVU124" s="974"/>
      <c r="JVV124" s="974"/>
      <c r="JVW124" s="974"/>
      <c r="JVX124" s="974"/>
      <c r="JVY124" s="974"/>
      <c r="JVZ124" s="974"/>
      <c r="JWA124" s="974"/>
      <c r="JWB124" s="974"/>
      <c r="JWC124" s="974"/>
      <c r="JWD124" s="974"/>
      <c r="JWE124" s="974"/>
      <c r="JWF124" s="974"/>
      <c r="JWG124" s="974"/>
      <c r="JWH124" s="974"/>
      <c r="JWI124" s="974"/>
      <c r="JWJ124" s="974"/>
      <c r="JWK124" s="974"/>
      <c r="JWL124" s="974"/>
      <c r="JWM124" s="974"/>
      <c r="JWN124" s="974"/>
      <c r="JWO124" s="974"/>
      <c r="JWP124" s="974"/>
      <c r="JWQ124" s="974"/>
      <c r="JWR124" s="974"/>
      <c r="JWS124" s="974"/>
      <c r="JWT124" s="974"/>
      <c r="JWU124" s="974"/>
      <c r="JWV124" s="974"/>
      <c r="JWW124" s="974"/>
      <c r="JWX124" s="974"/>
      <c r="JWY124" s="974"/>
      <c r="JWZ124" s="974"/>
      <c r="JXA124" s="974"/>
      <c r="JXB124" s="974"/>
      <c r="JXC124" s="974"/>
      <c r="JXD124" s="974"/>
      <c r="JXE124" s="974"/>
      <c r="JXF124" s="974"/>
      <c r="JXG124" s="974"/>
      <c r="JXH124" s="974"/>
      <c r="JXI124" s="974"/>
      <c r="JXJ124" s="974"/>
      <c r="JXK124" s="974"/>
      <c r="JXL124" s="974"/>
      <c r="JXM124" s="974"/>
      <c r="JXN124" s="974"/>
      <c r="JXO124" s="974"/>
      <c r="JXP124" s="974"/>
      <c r="JXQ124" s="974"/>
      <c r="JXR124" s="974"/>
      <c r="JXS124" s="974"/>
      <c r="JXT124" s="974"/>
      <c r="JXU124" s="974"/>
      <c r="JXV124" s="974"/>
      <c r="JXW124" s="974"/>
      <c r="JXX124" s="974"/>
      <c r="JXY124" s="974"/>
      <c r="JXZ124" s="974"/>
      <c r="JYA124" s="974"/>
      <c r="JYB124" s="974"/>
      <c r="JYC124" s="974"/>
      <c r="JYD124" s="974"/>
      <c r="JYE124" s="974"/>
      <c r="JYF124" s="974"/>
      <c r="JYG124" s="974"/>
      <c r="JYH124" s="974"/>
      <c r="JYI124" s="974"/>
      <c r="JYJ124" s="974"/>
      <c r="JYK124" s="974"/>
      <c r="JYL124" s="974"/>
      <c r="JYM124" s="974"/>
      <c r="JYN124" s="974"/>
      <c r="JYO124" s="974"/>
      <c r="JYP124" s="974"/>
      <c r="JYQ124" s="974"/>
      <c r="JYR124" s="974"/>
      <c r="JYS124" s="974"/>
      <c r="JYT124" s="974"/>
      <c r="JYU124" s="974"/>
      <c r="JYV124" s="974"/>
      <c r="JYW124" s="974"/>
      <c r="JYX124" s="974"/>
      <c r="JYY124" s="974"/>
      <c r="JYZ124" s="974"/>
      <c r="JZA124" s="974"/>
      <c r="JZB124" s="974"/>
      <c r="JZC124" s="974"/>
      <c r="JZD124" s="974"/>
      <c r="JZE124" s="974"/>
      <c r="JZF124" s="974"/>
      <c r="JZG124" s="974"/>
      <c r="JZH124" s="974"/>
      <c r="JZI124" s="974"/>
      <c r="JZJ124" s="974"/>
      <c r="JZK124" s="974"/>
      <c r="JZL124" s="974"/>
      <c r="JZM124" s="974"/>
      <c r="JZN124" s="974"/>
      <c r="JZO124" s="974"/>
      <c r="JZP124" s="974"/>
      <c r="JZQ124" s="974"/>
      <c r="JZR124" s="974"/>
      <c r="JZS124" s="974"/>
      <c r="JZT124" s="974"/>
      <c r="JZU124" s="974"/>
      <c r="JZV124" s="974"/>
      <c r="JZW124" s="974"/>
      <c r="JZX124" s="974"/>
      <c r="JZY124" s="974"/>
      <c r="JZZ124" s="974"/>
      <c r="KAA124" s="974"/>
      <c r="KAB124" s="974"/>
      <c r="KAC124" s="974"/>
      <c r="KAD124" s="974"/>
      <c r="KAE124" s="974"/>
      <c r="KAF124" s="974"/>
      <c r="KAG124" s="974"/>
      <c r="KAH124" s="974"/>
      <c r="KAI124" s="974"/>
      <c r="KAJ124" s="974"/>
      <c r="KAK124" s="974"/>
      <c r="KAL124" s="974"/>
      <c r="KAM124" s="974"/>
      <c r="KAN124" s="974"/>
      <c r="KAO124" s="974"/>
      <c r="KAP124" s="974"/>
      <c r="KAQ124" s="974"/>
      <c r="KAR124" s="974"/>
      <c r="KAS124" s="974"/>
      <c r="KAT124" s="974"/>
      <c r="KAU124" s="974"/>
      <c r="KAV124" s="974"/>
      <c r="KAW124" s="974"/>
      <c r="KAX124" s="974"/>
      <c r="KAY124" s="974"/>
      <c r="KAZ124" s="974"/>
      <c r="KBA124" s="974"/>
      <c r="KBB124" s="974"/>
      <c r="KBC124" s="974"/>
      <c r="KBD124" s="974"/>
      <c r="KBE124" s="974"/>
      <c r="KBF124" s="974"/>
      <c r="KBG124" s="974"/>
      <c r="KBH124" s="974"/>
      <c r="KBI124" s="974"/>
      <c r="KBJ124" s="974"/>
      <c r="KBK124" s="974"/>
      <c r="KBL124" s="974"/>
      <c r="KBM124" s="974"/>
      <c r="KBN124" s="974"/>
      <c r="KBO124" s="974"/>
      <c r="KBP124" s="974"/>
      <c r="KBQ124" s="974"/>
      <c r="KBR124" s="974"/>
      <c r="KBS124" s="974"/>
      <c r="KBT124" s="974"/>
      <c r="KBU124" s="974"/>
      <c r="KBV124" s="974"/>
      <c r="KBW124" s="974"/>
      <c r="KBX124" s="974"/>
      <c r="KBY124" s="974"/>
      <c r="KBZ124" s="974"/>
      <c r="KCA124" s="974"/>
      <c r="KCB124" s="974"/>
      <c r="KCC124" s="974"/>
      <c r="KCD124" s="974"/>
      <c r="KCE124" s="974"/>
      <c r="KCF124" s="974"/>
      <c r="KCG124" s="974"/>
      <c r="KCH124" s="974"/>
      <c r="KCI124" s="974"/>
      <c r="KCJ124" s="974"/>
      <c r="KCK124" s="974"/>
      <c r="KCL124" s="974"/>
      <c r="KCM124" s="974"/>
      <c r="KCN124" s="974"/>
      <c r="KCO124" s="974"/>
      <c r="KCP124" s="974"/>
      <c r="KCQ124" s="974"/>
      <c r="KCR124" s="974"/>
      <c r="KCS124" s="974"/>
      <c r="KCT124" s="974"/>
      <c r="KCU124" s="974"/>
      <c r="KCV124" s="974"/>
      <c r="KCW124" s="974"/>
      <c r="KCX124" s="974"/>
      <c r="KCY124" s="974"/>
      <c r="KCZ124" s="974"/>
      <c r="KDA124" s="974"/>
      <c r="KDB124" s="974"/>
      <c r="KDC124" s="974"/>
      <c r="KDD124" s="974"/>
      <c r="KDE124" s="974"/>
      <c r="KDF124" s="974"/>
      <c r="KDG124" s="974"/>
      <c r="KDH124" s="974"/>
      <c r="KDI124" s="974"/>
      <c r="KDJ124" s="974"/>
      <c r="KDK124" s="974"/>
      <c r="KDL124" s="974"/>
      <c r="KDM124" s="974"/>
      <c r="KDN124" s="974"/>
      <c r="KDO124" s="974"/>
      <c r="KDP124" s="974"/>
      <c r="KDQ124" s="974"/>
      <c r="KDR124" s="974"/>
      <c r="KDS124" s="974"/>
      <c r="KDT124" s="974"/>
      <c r="KDU124" s="974"/>
      <c r="KDV124" s="974"/>
      <c r="KDW124" s="974"/>
      <c r="KDX124" s="974"/>
      <c r="KDY124" s="974"/>
      <c r="KDZ124" s="974"/>
      <c r="KEA124" s="974"/>
      <c r="KEB124" s="974"/>
      <c r="KEC124" s="974"/>
      <c r="KED124" s="974"/>
      <c r="KEE124" s="974"/>
      <c r="KEF124" s="974"/>
      <c r="KEG124" s="974"/>
      <c r="KEH124" s="974"/>
      <c r="KEI124" s="974"/>
      <c r="KEJ124" s="974"/>
      <c r="KEK124" s="974"/>
      <c r="KEL124" s="974"/>
      <c r="KEM124" s="974"/>
      <c r="KEN124" s="974"/>
      <c r="KEO124" s="974"/>
      <c r="KEP124" s="974"/>
      <c r="KEQ124" s="974"/>
      <c r="KER124" s="974"/>
      <c r="KES124" s="974"/>
      <c r="KET124" s="974"/>
      <c r="KEU124" s="974"/>
      <c r="KEV124" s="974"/>
      <c r="KEW124" s="974"/>
      <c r="KEX124" s="974"/>
      <c r="KEY124" s="974"/>
      <c r="KEZ124" s="974"/>
      <c r="KFA124" s="974"/>
      <c r="KFB124" s="974"/>
      <c r="KFC124" s="974"/>
      <c r="KFD124" s="974"/>
      <c r="KFE124" s="974"/>
      <c r="KFF124" s="974"/>
      <c r="KFG124" s="974"/>
      <c r="KFH124" s="974"/>
      <c r="KFI124" s="974"/>
      <c r="KFJ124" s="974"/>
      <c r="KFK124" s="974"/>
      <c r="KFL124" s="974"/>
      <c r="KFM124" s="974"/>
      <c r="KFN124" s="974"/>
      <c r="KFO124" s="974"/>
      <c r="KFP124" s="974"/>
      <c r="KFQ124" s="974"/>
      <c r="KFR124" s="974"/>
      <c r="KFS124" s="974"/>
      <c r="KFT124" s="974"/>
      <c r="KFU124" s="974"/>
      <c r="KFV124" s="974"/>
      <c r="KFW124" s="974"/>
      <c r="KFX124" s="974"/>
      <c r="KFY124" s="974"/>
      <c r="KFZ124" s="974"/>
      <c r="KGA124" s="974"/>
      <c r="KGB124" s="974"/>
      <c r="KGC124" s="974"/>
      <c r="KGD124" s="974"/>
      <c r="KGE124" s="974"/>
      <c r="KGF124" s="974"/>
      <c r="KGG124" s="974"/>
      <c r="KGH124" s="974"/>
      <c r="KGI124" s="974"/>
      <c r="KGJ124" s="974"/>
      <c r="KGK124" s="974"/>
      <c r="KGL124" s="974"/>
      <c r="KGM124" s="974"/>
      <c r="KGN124" s="974"/>
      <c r="KGO124" s="974"/>
      <c r="KGP124" s="974"/>
      <c r="KGQ124" s="974"/>
      <c r="KGR124" s="974"/>
      <c r="KGS124" s="974"/>
      <c r="KGT124" s="974"/>
      <c r="KGU124" s="974"/>
      <c r="KGV124" s="974"/>
      <c r="KGW124" s="974"/>
      <c r="KGX124" s="974"/>
      <c r="KGY124" s="974"/>
      <c r="KGZ124" s="974"/>
      <c r="KHA124" s="974"/>
      <c r="KHB124" s="974"/>
      <c r="KHC124" s="974"/>
      <c r="KHD124" s="974"/>
      <c r="KHE124" s="974"/>
      <c r="KHF124" s="974"/>
      <c r="KHG124" s="974"/>
      <c r="KHH124" s="974"/>
      <c r="KHI124" s="974"/>
      <c r="KHJ124" s="974"/>
      <c r="KHK124" s="974"/>
      <c r="KHL124" s="974"/>
      <c r="KHM124" s="974"/>
      <c r="KHN124" s="974"/>
      <c r="KHO124" s="974"/>
      <c r="KHP124" s="974"/>
      <c r="KHQ124" s="974"/>
      <c r="KHR124" s="974"/>
      <c r="KHS124" s="974"/>
      <c r="KHT124" s="974"/>
      <c r="KHU124" s="974"/>
      <c r="KHV124" s="974"/>
      <c r="KHW124" s="974"/>
      <c r="KHX124" s="974"/>
      <c r="KHY124" s="974"/>
      <c r="KHZ124" s="974"/>
      <c r="KIA124" s="974"/>
      <c r="KIB124" s="974"/>
      <c r="KIC124" s="974"/>
      <c r="KID124" s="974"/>
      <c r="KIE124" s="974"/>
      <c r="KIF124" s="974"/>
      <c r="KIG124" s="974"/>
      <c r="KIH124" s="974"/>
      <c r="KII124" s="974"/>
      <c r="KIJ124" s="974"/>
      <c r="KIK124" s="974"/>
      <c r="KIL124" s="974"/>
      <c r="KIM124" s="974"/>
      <c r="KIN124" s="974"/>
      <c r="KIO124" s="974"/>
      <c r="KIP124" s="974"/>
      <c r="KIQ124" s="974"/>
      <c r="KIR124" s="974"/>
      <c r="KIS124" s="974"/>
      <c r="KIT124" s="974"/>
      <c r="KIU124" s="974"/>
      <c r="KIV124" s="974"/>
      <c r="KIW124" s="974"/>
      <c r="KIX124" s="974"/>
      <c r="KIY124" s="974"/>
      <c r="KIZ124" s="974"/>
      <c r="KJA124" s="974"/>
      <c r="KJB124" s="974"/>
      <c r="KJC124" s="974"/>
      <c r="KJD124" s="974"/>
      <c r="KJE124" s="974"/>
      <c r="KJF124" s="974"/>
      <c r="KJG124" s="974"/>
      <c r="KJH124" s="974"/>
      <c r="KJI124" s="974"/>
      <c r="KJJ124" s="974"/>
      <c r="KJK124" s="974"/>
      <c r="KJL124" s="974"/>
      <c r="KJM124" s="974"/>
      <c r="KJN124" s="974"/>
      <c r="KJO124" s="974"/>
      <c r="KJP124" s="974"/>
      <c r="KJQ124" s="974"/>
      <c r="KJR124" s="974"/>
      <c r="KJS124" s="974"/>
      <c r="KJT124" s="974"/>
      <c r="KJU124" s="974"/>
      <c r="KJV124" s="974"/>
      <c r="KJW124" s="974"/>
      <c r="KJX124" s="974"/>
      <c r="KJY124" s="974"/>
      <c r="KJZ124" s="974"/>
      <c r="KKA124" s="974"/>
      <c r="KKB124" s="974"/>
      <c r="KKC124" s="974"/>
      <c r="KKD124" s="974"/>
      <c r="KKE124" s="974"/>
      <c r="KKF124" s="974"/>
      <c r="KKG124" s="974"/>
      <c r="KKH124" s="974"/>
      <c r="KKI124" s="974"/>
      <c r="KKJ124" s="974"/>
      <c r="KKK124" s="974"/>
      <c r="KKL124" s="974"/>
      <c r="KKM124" s="974"/>
      <c r="KKN124" s="974"/>
      <c r="KKO124" s="974"/>
      <c r="KKP124" s="974"/>
      <c r="KKQ124" s="974"/>
      <c r="KKR124" s="974"/>
      <c r="KKS124" s="974"/>
      <c r="KKT124" s="974"/>
      <c r="KKU124" s="974"/>
      <c r="KKV124" s="974"/>
      <c r="KKW124" s="974"/>
      <c r="KKX124" s="974"/>
      <c r="KKY124" s="974"/>
      <c r="KKZ124" s="974"/>
      <c r="KLA124" s="974"/>
      <c r="KLB124" s="974"/>
      <c r="KLC124" s="974"/>
      <c r="KLD124" s="974"/>
      <c r="KLE124" s="974"/>
      <c r="KLF124" s="974"/>
      <c r="KLG124" s="974"/>
      <c r="KLH124" s="974"/>
      <c r="KLI124" s="974"/>
      <c r="KLJ124" s="974"/>
      <c r="KLK124" s="974"/>
      <c r="KLL124" s="974"/>
      <c r="KLM124" s="974"/>
      <c r="KLN124" s="974"/>
      <c r="KLO124" s="974"/>
      <c r="KLP124" s="974"/>
      <c r="KLQ124" s="974"/>
      <c r="KLR124" s="974"/>
      <c r="KLS124" s="974"/>
      <c r="KLT124" s="974"/>
      <c r="KLU124" s="974"/>
      <c r="KLV124" s="974"/>
      <c r="KLW124" s="974"/>
      <c r="KLX124" s="974"/>
      <c r="KLY124" s="974"/>
      <c r="KLZ124" s="974"/>
      <c r="KMA124" s="974"/>
      <c r="KMB124" s="974"/>
      <c r="KMC124" s="974"/>
      <c r="KMD124" s="974"/>
      <c r="KME124" s="974"/>
      <c r="KMF124" s="974"/>
      <c r="KMG124" s="974"/>
      <c r="KMH124" s="974"/>
      <c r="KMI124" s="974"/>
      <c r="KMJ124" s="974"/>
      <c r="KMK124" s="974"/>
      <c r="KML124" s="974"/>
      <c r="KMM124" s="974"/>
      <c r="KMN124" s="974"/>
      <c r="KMO124" s="974"/>
      <c r="KMP124" s="974"/>
      <c r="KMQ124" s="974"/>
      <c r="KMR124" s="974"/>
      <c r="KMS124" s="974"/>
      <c r="KMT124" s="974"/>
      <c r="KMU124" s="974"/>
      <c r="KMV124" s="974"/>
      <c r="KMW124" s="974"/>
      <c r="KMX124" s="974"/>
      <c r="KMY124" s="974"/>
      <c r="KMZ124" s="974"/>
      <c r="KNA124" s="974"/>
      <c r="KNB124" s="974"/>
      <c r="KNC124" s="974"/>
      <c r="KND124" s="974"/>
      <c r="KNE124" s="974"/>
      <c r="KNF124" s="974"/>
      <c r="KNG124" s="974"/>
      <c r="KNH124" s="974"/>
      <c r="KNI124" s="974"/>
      <c r="KNJ124" s="974"/>
      <c r="KNK124" s="974"/>
      <c r="KNL124" s="974"/>
      <c r="KNM124" s="974"/>
      <c r="KNN124" s="974"/>
      <c r="KNO124" s="974"/>
      <c r="KNP124" s="974"/>
      <c r="KNQ124" s="974"/>
      <c r="KNR124" s="974"/>
      <c r="KNS124" s="974"/>
      <c r="KNT124" s="974"/>
      <c r="KNU124" s="974"/>
      <c r="KNV124" s="974"/>
      <c r="KNW124" s="974"/>
      <c r="KNX124" s="974"/>
      <c r="KNY124" s="974"/>
      <c r="KNZ124" s="974"/>
      <c r="KOA124" s="974"/>
      <c r="KOB124" s="974"/>
      <c r="KOC124" s="974"/>
      <c r="KOD124" s="974"/>
      <c r="KOE124" s="974"/>
      <c r="KOF124" s="974"/>
      <c r="KOG124" s="974"/>
      <c r="KOH124" s="974"/>
      <c r="KOI124" s="974"/>
      <c r="KOJ124" s="974"/>
      <c r="KOK124" s="974"/>
      <c r="KOL124" s="974"/>
      <c r="KOM124" s="974"/>
      <c r="KON124" s="974"/>
      <c r="KOO124" s="974"/>
      <c r="KOP124" s="974"/>
      <c r="KOQ124" s="974"/>
      <c r="KOR124" s="974"/>
      <c r="KOS124" s="974"/>
      <c r="KOT124" s="974"/>
      <c r="KOU124" s="974"/>
      <c r="KOV124" s="974"/>
      <c r="KOW124" s="974"/>
      <c r="KOX124" s="974"/>
      <c r="KOY124" s="974"/>
      <c r="KOZ124" s="974"/>
      <c r="KPA124" s="974"/>
      <c r="KPB124" s="974"/>
      <c r="KPC124" s="974"/>
      <c r="KPD124" s="974"/>
      <c r="KPE124" s="974"/>
      <c r="KPF124" s="974"/>
      <c r="KPG124" s="974"/>
      <c r="KPH124" s="974"/>
      <c r="KPI124" s="974"/>
      <c r="KPJ124" s="974"/>
      <c r="KPK124" s="974"/>
      <c r="KPL124" s="974"/>
      <c r="KPM124" s="974"/>
      <c r="KPN124" s="974"/>
      <c r="KPO124" s="974"/>
      <c r="KPP124" s="974"/>
      <c r="KPQ124" s="974"/>
      <c r="KPR124" s="974"/>
      <c r="KPS124" s="974"/>
      <c r="KPT124" s="974"/>
      <c r="KPU124" s="974"/>
      <c r="KPV124" s="974"/>
      <c r="KPW124" s="974"/>
      <c r="KPX124" s="974"/>
      <c r="KPY124" s="974"/>
      <c r="KPZ124" s="974"/>
      <c r="KQA124" s="974"/>
      <c r="KQB124" s="974"/>
      <c r="KQC124" s="974"/>
      <c r="KQD124" s="974"/>
      <c r="KQE124" s="974"/>
      <c r="KQF124" s="974"/>
      <c r="KQG124" s="974"/>
      <c r="KQH124" s="974"/>
      <c r="KQI124" s="974"/>
      <c r="KQJ124" s="974"/>
      <c r="KQK124" s="974"/>
      <c r="KQL124" s="974"/>
      <c r="KQM124" s="974"/>
      <c r="KQN124" s="974"/>
      <c r="KQO124" s="974"/>
      <c r="KQP124" s="974"/>
      <c r="KQQ124" s="974"/>
      <c r="KQR124" s="974"/>
      <c r="KQS124" s="974"/>
      <c r="KQT124" s="974"/>
      <c r="KQU124" s="974"/>
      <c r="KQV124" s="974"/>
      <c r="KQW124" s="974"/>
      <c r="KQX124" s="974"/>
      <c r="KQY124" s="974"/>
      <c r="KQZ124" s="974"/>
      <c r="KRA124" s="974"/>
      <c r="KRB124" s="974"/>
      <c r="KRC124" s="974"/>
      <c r="KRD124" s="974"/>
      <c r="KRE124" s="974"/>
      <c r="KRF124" s="974"/>
      <c r="KRG124" s="974"/>
      <c r="KRH124" s="974"/>
      <c r="KRI124" s="974"/>
      <c r="KRJ124" s="974"/>
      <c r="KRK124" s="974"/>
      <c r="KRL124" s="974"/>
      <c r="KRM124" s="974"/>
      <c r="KRN124" s="974"/>
      <c r="KRO124" s="974"/>
      <c r="KRP124" s="974"/>
      <c r="KRQ124" s="974"/>
      <c r="KRR124" s="974"/>
      <c r="KRS124" s="974"/>
      <c r="KRT124" s="974"/>
      <c r="KRU124" s="974"/>
      <c r="KRV124" s="974"/>
      <c r="KRW124" s="974"/>
      <c r="KRX124" s="974"/>
      <c r="KRY124" s="974"/>
      <c r="KRZ124" s="974"/>
      <c r="KSA124" s="974"/>
      <c r="KSB124" s="974"/>
      <c r="KSC124" s="974"/>
      <c r="KSD124" s="974"/>
      <c r="KSE124" s="974"/>
      <c r="KSF124" s="974"/>
      <c r="KSG124" s="974"/>
      <c r="KSH124" s="974"/>
      <c r="KSI124" s="974"/>
      <c r="KSJ124" s="974"/>
      <c r="KSK124" s="974"/>
      <c r="KSL124" s="974"/>
      <c r="KSM124" s="974"/>
      <c r="KSN124" s="974"/>
      <c r="KSO124" s="974"/>
      <c r="KSP124" s="974"/>
      <c r="KSQ124" s="974"/>
      <c r="KSR124" s="974"/>
      <c r="KSS124" s="974"/>
      <c r="KST124" s="974"/>
      <c r="KSU124" s="974"/>
      <c r="KSV124" s="974"/>
      <c r="KSW124" s="974"/>
      <c r="KSX124" s="974"/>
      <c r="KSY124" s="974"/>
      <c r="KSZ124" s="974"/>
      <c r="KTA124" s="974"/>
      <c r="KTB124" s="974"/>
      <c r="KTC124" s="974"/>
      <c r="KTD124" s="974"/>
      <c r="KTE124" s="974"/>
      <c r="KTF124" s="974"/>
      <c r="KTG124" s="974"/>
      <c r="KTH124" s="974"/>
      <c r="KTI124" s="974"/>
      <c r="KTJ124" s="974"/>
      <c r="KTK124" s="974"/>
      <c r="KTL124" s="974"/>
      <c r="KTM124" s="974"/>
      <c r="KTN124" s="974"/>
      <c r="KTO124" s="974"/>
      <c r="KTP124" s="974"/>
      <c r="KTQ124" s="974"/>
      <c r="KTR124" s="974"/>
      <c r="KTS124" s="974"/>
      <c r="KTT124" s="974"/>
      <c r="KTU124" s="974"/>
      <c r="KTV124" s="974"/>
      <c r="KTW124" s="974"/>
      <c r="KTX124" s="974"/>
      <c r="KTY124" s="974"/>
      <c r="KTZ124" s="974"/>
      <c r="KUA124" s="974"/>
      <c r="KUB124" s="974"/>
      <c r="KUC124" s="974"/>
      <c r="KUD124" s="974"/>
      <c r="KUE124" s="974"/>
      <c r="KUF124" s="974"/>
      <c r="KUG124" s="974"/>
      <c r="KUH124" s="974"/>
      <c r="KUI124" s="974"/>
      <c r="KUJ124" s="974"/>
      <c r="KUK124" s="974"/>
      <c r="KUL124" s="974"/>
      <c r="KUM124" s="974"/>
      <c r="KUN124" s="974"/>
      <c r="KUO124" s="974"/>
      <c r="KUP124" s="974"/>
      <c r="KUQ124" s="974"/>
      <c r="KUR124" s="974"/>
      <c r="KUS124" s="974"/>
      <c r="KUT124" s="974"/>
      <c r="KUU124" s="974"/>
      <c r="KUV124" s="974"/>
      <c r="KUW124" s="974"/>
      <c r="KUX124" s="974"/>
      <c r="KUY124" s="974"/>
      <c r="KUZ124" s="974"/>
      <c r="KVA124" s="974"/>
      <c r="KVB124" s="974"/>
      <c r="KVC124" s="974"/>
      <c r="KVD124" s="974"/>
      <c r="KVE124" s="974"/>
      <c r="KVF124" s="974"/>
      <c r="KVG124" s="974"/>
      <c r="KVH124" s="974"/>
      <c r="KVI124" s="974"/>
      <c r="KVJ124" s="974"/>
      <c r="KVK124" s="974"/>
      <c r="KVL124" s="974"/>
      <c r="KVM124" s="974"/>
      <c r="KVN124" s="974"/>
      <c r="KVO124" s="974"/>
      <c r="KVP124" s="974"/>
      <c r="KVQ124" s="974"/>
      <c r="KVR124" s="974"/>
      <c r="KVS124" s="974"/>
      <c r="KVT124" s="974"/>
      <c r="KVU124" s="974"/>
      <c r="KVV124" s="974"/>
      <c r="KVW124" s="974"/>
      <c r="KVX124" s="974"/>
      <c r="KVY124" s="974"/>
      <c r="KVZ124" s="974"/>
      <c r="KWA124" s="974"/>
      <c r="KWB124" s="974"/>
      <c r="KWC124" s="974"/>
      <c r="KWD124" s="974"/>
      <c r="KWE124" s="974"/>
      <c r="KWF124" s="974"/>
      <c r="KWG124" s="974"/>
      <c r="KWH124" s="974"/>
      <c r="KWI124" s="974"/>
      <c r="KWJ124" s="974"/>
      <c r="KWK124" s="974"/>
      <c r="KWL124" s="974"/>
      <c r="KWM124" s="974"/>
      <c r="KWN124" s="974"/>
      <c r="KWO124" s="974"/>
      <c r="KWP124" s="974"/>
      <c r="KWQ124" s="974"/>
      <c r="KWR124" s="974"/>
      <c r="KWS124" s="974"/>
      <c r="KWT124" s="974"/>
      <c r="KWU124" s="974"/>
      <c r="KWV124" s="974"/>
      <c r="KWW124" s="974"/>
      <c r="KWX124" s="974"/>
      <c r="KWY124" s="974"/>
      <c r="KWZ124" s="974"/>
      <c r="KXA124" s="974"/>
      <c r="KXB124" s="974"/>
      <c r="KXC124" s="974"/>
      <c r="KXD124" s="974"/>
      <c r="KXE124" s="974"/>
      <c r="KXF124" s="974"/>
      <c r="KXG124" s="974"/>
      <c r="KXH124" s="974"/>
      <c r="KXI124" s="974"/>
      <c r="KXJ124" s="974"/>
      <c r="KXK124" s="974"/>
      <c r="KXL124" s="974"/>
      <c r="KXM124" s="974"/>
      <c r="KXN124" s="974"/>
      <c r="KXO124" s="974"/>
      <c r="KXP124" s="974"/>
      <c r="KXQ124" s="974"/>
      <c r="KXR124" s="974"/>
      <c r="KXS124" s="974"/>
      <c r="KXT124" s="974"/>
      <c r="KXU124" s="974"/>
      <c r="KXV124" s="974"/>
      <c r="KXW124" s="974"/>
      <c r="KXX124" s="974"/>
      <c r="KXY124" s="974"/>
      <c r="KXZ124" s="974"/>
      <c r="KYA124" s="974"/>
      <c r="KYB124" s="974"/>
      <c r="KYC124" s="974"/>
      <c r="KYD124" s="974"/>
      <c r="KYE124" s="974"/>
      <c r="KYF124" s="974"/>
      <c r="KYG124" s="974"/>
      <c r="KYH124" s="974"/>
      <c r="KYI124" s="974"/>
      <c r="KYJ124" s="974"/>
      <c r="KYK124" s="974"/>
      <c r="KYL124" s="974"/>
      <c r="KYM124" s="974"/>
      <c r="KYN124" s="974"/>
      <c r="KYO124" s="974"/>
      <c r="KYP124" s="974"/>
      <c r="KYQ124" s="974"/>
      <c r="KYR124" s="974"/>
      <c r="KYS124" s="974"/>
      <c r="KYT124" s="974"/>
      <c r="KYU124" s="974"/>
      <c r="KYV124" s="974"/>
      <c r="KYW124" s="974"/>
      <c r="KYX124" s="974"/>
      <c r="KYY124" s="974"/>
      <c r="KYZ124" s="974"/>
      <c r="KZA124" s="974"/>
      <c r="KZB124" s="974"/>
      <c r="KZC124" s="974"/>
      <c r="KZD124" s="974"/>
      <c r="KZE124" s="974"/>
      <c r="KZF124" s="974"/>
      <c r="KZG124" s="974"/>
      <c r="KZH124" s="974"/>
      <c r="KZI124" s="974"/>
      <c r="KZJ124" s="974"/>
      <c r="KZK124" s="974"/>
      <c r="KZL124" s="974"/>
      <c r="KZM124" s="974"/>
      <c r="KZN124" s="974"/>
      <c r="KZO124" s="974"/>
      <c r="KZP124" s="974"/>
      <c r="KZQ124" s="974"/>
      <c r="KZR124" s="974"/>
      <c r="KZS124" s="974"/>
      <c r="KZT124" s="974"/>
      <c r="KZU124" s="974"/>
      <c r="KZV124" s="974"/>
      <c r="KZW124" s="974"/>
      <c r="KZX124" s="974"/>
      <c r="KZY124" s="974"/>
      <c r="KZZ124" s="974"/>
      <c r="LAA124" s="974"/>
      <c r="LAB124" s="974"/>
      <c r="LAC124" s="974"/>
      <c r="LAD124" s="974"/>
      <c r="LAE124" s="974"/>
      <c r="LAF124" s="974"/>
      <c r="LAG124" s="974"/>
      <c r="LAH124" s="974"/>
      <c r="LAI124" s="974"/>
      <c r="LAJ124" s="974"/>
      <c r="LAK124" s="974"/>
      <c r="LAL124" s="974"/>
      <c r="LAM124" s="974"/>
      <c r="LAN124" s="974"/>
      <c r="LAO124" s="974"/>
      <c r="LAP124" s="974"/>
      <c r="LAQ124" s="974"/>
      <c r="LAR124" s="974"/>
      <c r="LAS124" s="974"/>
      <c r="LAT124" s="974"/>
      <c r="LAU124" s="974"/>
      <c r="LAV124" s="974"/>
      <c r="LAW124" s="974"/>
      <c r="LAX124" s="974"/>
      <c r="LAY124" s="974"/>
      <c r="LAZ124" s="974"/>
      <c r="LBA124" s="974"/>
      <c r="LBB124" s="974"/>
      <c r="LBC124" s="974"/>
      <c r="LBD124" s="974"/>
      <c r="LBE124" s="974"/>
      <c r="LBF124" s="974"/>
      <c r="LBG124" s="974"/>
      <c r="LBH124" s="974"/>
      <c r="LBI124" s="974"/>
      <c r="LBJ124" s="974"/>
      <c r="LBK124" s="974"/>
      <c r="LBL124" s="974"/>
      <c r="LBM124" s="974"/>
      <c r="LBN124" s="974"/>
      <c r="LBO124" s="974"/>
      <c r="LBP124" s="974"/>
      <c r="LBQ124" s="974"/>
      <c r="LBR124" s="974"/>
      <c r="LBS124" s="974"/>
      <c r="LBT124" s="974"/>
      <c r="LBU124" s="974"/>
      <c r="LBV124" s="974"/>
      <c r="LBW124" s="974"/>
      <c r="LBX124" s="974"/>
      <c r="LBY124" s="974"/>
      <c r="LBZ124" s="974"/>
      <c r="LCA124" s="974"/>
      <c r="LCB124" s="974"/>
      <c r="LCC124" s="974"/>
      <c r="LCD124" s="974"/>
      <c r="LCE124" s="974"/>
      <c r="LCF124" s="974"/>
      <c r="LCG124" s="974"/>
      <c r="LCH124" s="974"/>
      <c r="LCI124" s="974"/>
      <c r="LCJ124" s="974"/>
      <c r="LCK124" s="974"/>
      <c r="LCL124" s="974"/>
      <c r="LCM124" s="974"/>
      <c r="LCN124" s="974"/>
      <c r="LCO124" s="974"/>
      <c r="LCP124" s="974"/>
      <c r="LCQ124" s="974"/>
      <c r="LCR124" s="974"/>
      <c r="LCS124" s="974"/>
      <c r="LCT124" s="974"/>
      <c r="LCU124" s="974"/>
      <c r="LCV124" s="974"/>
      <c r="LCW124" s="974"/>
      <c r="LCX124" s="974"/>
      <c r="LCY124" s="974"/>
      <c r="LCZ124" s="974"/>
      <c r="LDA124" s="974"/>
      <c r="LDB124" s="974"/>
      <c r="LDC124" s="974"/>
      <c r="LDD124" s="974"/>
      <c r="LDE124" s="974"/>
      <c r="LDF124" s="974"/>
      <c r="LDG124" s="974"/>
      <c r="LDH124" s="974"/>
      <c r="LDI124" s="974"/>
      <c r="LDJ124" s="974"/>
      <c r="LDK124" s="974"/>
      <c r="LDL124" s="974"/>
      <c r="LDM124" s="974"/>
      <c r="LDN124" s="974"/>
      <c r="LDO124" s="974"/>
      <c r="LDP124" s="974"/>
      <c r="LDQ124" s="974"/>
      <c r="LDR124" s="974"/>
      <c r="LDS124" s="974"/>
      <c r="LDT124" s="974"/>
      <c r="LDU124" s="974"/>
      <c r="LDV124" s="974"/>
      <c r="LDW124" s="974"/>
      <c r="LDX124" s="974"/>
      <c r="LDY124" s="974"/>
      <c r="LDZ124" s="974"/>
      <c r="LEA124" s="974"/>
      <c r="LEB124" s="974"/>
      <c r="LEC124" s="974"/>
      <c r="LED124" s="974"/>
      <c r="LEE124" s="974"/>
      <c r="LEF124" s="974"/>
      <c r="LEG124" s="974"/>
      <c r="LEH124" s="974"/>
      <c r="LEI124" s="974"/>
      <c r="LEJ124" s="974"/>
      <c r="LEK124" s="974"/>
      <c r="LEL124" s="974"/>
      <c r="LEM124" s="974"/>
      <c r="LEN124" s="974"/>
      <c r="LEO124" s="974"/>
      <c r="LEP124" s="974"/>
      <c r="LEQ124" s="974"/>
      <c r="LER124" s="974"/>
      <c r="LES124" s="974"/>
      <c r="LET124" s="974"/>
      <c r="LEU124" s="974"/>
      <c r="LEV124" s="974"/>
      <c r="LEW124" s="974"/>
      <c r="LEX124" s="974"/>
      <c r="LEY124" s="974"/>
      <c r="LEZ124" s="974"/>
      <c r="LFA124" s="974"/>
      <c r="LFB124" s="974"/>
      <c r="LFC124" s="974"/>
      <c r="LFD124" s="974"/>
      <c r="LFE124" s="974"/>
      <c r="LFF124" s="974"/>
      <c r="LFG124" s="974"/>
      <c r="LFH124" s="974"/>
      <c r="LFI124" s="974"/>
      <c r="LFJ124" s="974"/>
      <c r="LFK124" s="974"/>
      <c r="LFL124" s="974"/>
      <c r="LFM124" s="974"/>
      <c r="LFN124" s="974"/>
      <c r="LFO124" s="974"/>
      <c r="LFP124" s="974"/>
      <c r="LFQ124" s="974"/>
      <c r="LFR124" s="974"/>
      <c r="LFS124" s="974"/>
      <c r="LFT124" s="974"/>
      <c r="LFU124" s="974"/>
      <c r="LFV124" s="974"/>
      <c r="LFW124" s="974"/>
      <c r="LFX124" s="974"/>
      <c r="LFY124" s="974"/>
      <c r="LFZ124" s="974"/>
      <c r="LGA124" s="974"/>
      <c r="LGB124" s="974"/>
      <c r="LGC124" s="974"/>
      <c r="LGD124" s="974"/>
      <c r="LGE124" s="974"/>
      <c r="LGF124" s="974"/>
      <c r="LGG124" s="974"/>
      <c r="LGH124" s="974"/>
      <c r="LGI124" s="974"/>
      <c r="LGJ124" s="974"/>
      <c r="LGK124" s="974"/>
      <c r="LGL124" s="974"/>
      <c r="LGM124" s="974"/>
      <c r="LGN124" s="974"/>
      <c r="LGO124" s="974"/>
      <c r="LGP124" s="974"/>
      <c r="LGQ124" s="974"/>
      <c r="LGR124" s="974"/>
      <c r="LGS124" s="974"/>
      <c r="LGT124" s="974"/>
      <c r="LGU124" s="974"/>
      <c r="LGV124" s="974"/>
      <c r="LGW124" s="974"/>
      <c r="LGX124" s="974"/>
      <c r="LGY124" s="974"/>
      <c r="LGZ124" s="974"/>
      <c r="LHA124" s="974"/>
      <c r="LHB124" s="974"/>
      <c r="LHC124" s="974"/>
      <c r="LHD124" s="974"/>
      <c r="LHE124" s="974"/>
      <c r="LHF124" s="974"/>
      <c r="LHG124" s="974"/>
      <c r="LHH124" s="974"/>
      <c r="LHI124" s="974"/>
      <c r="LHJ124" s="974"/>
      <c r="LHK124" s="974"/>
      <c r="LHL124" s="974"/>
      <c r="LHM124" s="974"/>
      <c r="LHN124" s="974"/>
      <c r="LHO124" s="974"/>
      <c r="LHP124" s="974"/>
      <c r="LHQ124" s="974"/>
      <c r="LHR124" s="974"/>
      <c r="LHS124" s="974"/>
      <c r="LHT124" s="974"/>
      <c r="LHU124" s="974"/>
      <c r="LHV124" s="974"/>
      <c r="LHW124" s="974"/>
      <c r="LHX124" s="974"/>
      <c r="LHY124" s="974"/>
      <c r="LHZ124" s="974"/>
      <c r="LIA124" s="974"/>
      <c r="LIB124" s="974"/>
      <c r="LIC124" s="974"/>
      <c r="LID124" s="974"/>
      <c r="LIE124" s="974"/>
      <c r="LIF124" s="974"/>
      <c r="LIG124" s="974"/>
      <c r="LIH124" s="974"/>
      <c r="LII124" s="974"/>
      <c r="LIJ124" s="974"/>
      <c r="LIK124" s="974"/>
      <c r="LIL124" s="974"/>
      <c r="LIM124" s="974"/>
      <c r="LIN124" s="974"/>
      <c r="LIO124" s="974"/>
      <c r="LIP124" s="974"/>
      <c r="LIQ124" s="974"/>
      <c r="LIR124" s="974"/>
      <c r="LIS124" s="974"/>
      <c r="LIT124" s="974"/>
      <c r="LIU124" s="974"/>
      <c r="LIV124" s="974"/>
      <c r="LIW124" s="974"/>
      <c r="LIX124" s="974"/>
      <c r="LIY124" s="974"/>
      <c r="LIZ124" s="974"/>
      <c r="LJA124" s="974"/>
      <c r="LJB124" s="974"/>
      <c r="LJC124" s="974"/>
      <c r="LJD124" s="974"/>
      <c r="LJE124" s="974"/>
      <c r="LJF124" s="974"/>
      <c r="LJG124" s="974"/>
      <c r="LJH124" s="974"/>
      <c r="LJI124" s="974"/>
      <c r="LJJ124" s="974"/>
      <c r="LJK124" s="974"/>
      <c r="LJL124" s="974"/>
      <c r="LJM124" s="974"/>
      <c r="LJN124" s="974"/>
      <c r="LJO124" s="974"/>
      <c r="LJP124" s="974"/>
      <c r="LJQ124" s="974"/>
      <c r="LJR124" s="974"/>
      <c r="LJS124" s="974"/>
      <c r="LJT124" s="974"/>
      <c r="LJU124" s="974"/>
      <c r="LJV124" s="974"/>
      <c r="LJW124" s="974"/>
      <c r="LJX124" s="974"/>
      <c r="LJY124" s="974"/>
      <c r="LJZ124" s="974"/>
      <c r="LKA124" s="974"/>
      <c r="LKB124" s="974"/>
      <c r="LKC124" s="974"/>
      <c r="LKD124" s="974"/>
      <c r="LKE124" s="974"/>
      <c r="LKF124" s="974"/>
      <c r="LKG124" s="974"/>
      <c r="LKH124" s="974"/>
      <c r="LKI124" s="974"/>
      <c r="LKJ124" s="974"/>
      <c r="LKK124" s="974"/>
      <c r="LKL124" s="974"/>
      <c r="LKM124" s="974"/>
      <c r="LKN124" s="974"/>
      <c r="LKO124" s="974"/>
      <c r="LKP124" s="974"/>
      <c r="LKQ124" s="974"/>
      <c r="LKR124" s="974"/>
      <c r="LKS124" s="974"/>
      <c r="LKT124" s="974"/>
      <c r="LKU124" s="974"/>
      <c r="LKV124" s="974"/>
      <c r="LKW124" s="974"/>
      <c r="LKX124" s="974"/>
      <c r="LKY124" s="974"/>
      <c r="LKZ124" s="974"/>
      <c r="LLA124" s="974"/>
      <c r="LLB124" s="974"/>
      <c r="LLC124" s="974"/>
      <c r="LLD124" s="974"/>
      <c r="LLE124" s="974"/>
      <c r="LLF124" s="974"/>
      <c r="LLG124" s="974"/>
      <c r="LLH124" s="974"/>
      <c r="LLI124" s="974"/>
      <c r="LLJ124" s="974"/>
      <c r="LLK124" s="974"/>
      <c r="LLL124" s="974"/>
      <c r="LLM124" s="974"/>
      <c r="LLN124" s="974"/>
      <c r="LLO124" s="974"/>
      <c r="LLP124" s="974"/>
      <c r="LLQ124" s="974"/>
      <c r="LLR124" s="974"/>
      <c r="LLS124" s="974"/>
      <c r="LLT124" s="974"/>
      <c r="LLU124" s="974"/>
      <c r="LLV124" s="974"/>
      <c r="LLW124" s="974"/>
      <c r="LLX124" s="974"/>
      <c r="LLY124" s="974"/>
      <c r="LLZ124" s="974"/>
      <c r="LMA124" s="974"/>
      <c r="LMB124" s="974"/>
      <c r="LMC124" s="974"/>
      <c r="LMD124" s="974"/>
      <c r="LME124" s="974"/>
      <c r="LMF124" s="974"/>
      <c r="LMG124" s="974"/>
      <c r="LMH124" s="974"/>
      <c r="LMI124" s="974"/>
      <c r="LMJ124" s="974"/>
      <c r="LMK124" s="974"/>
      <c r="LML124" s="974"/>
      <c r="LMM124" s="974"/>
      <c r="LMN124" s="974"/>
      <c r="LMO124" s="974"/>
      <c r="LMP124" s="974"/>
      <c r="LMQ124" s="974"/>
      <c r="LMR124" s="974"/>
      <c r="LMS124" s="974"/>
      <c r="LMT124" s="974"/>
      <c r="LMU124" s="974"/>
      <c r="LMV124" s="974"/>
      <c r="LMW124" s="974"/>
      <c r="LMX124" s="974"/>
      <c r="LMY124" s="974"/>
      <c r="LMZ124" s="974"/>
      <c r="LNA124" s="974"/>
      <c r="LNB124" s="974"/>
      <c r="LNC124" s="974"/>
      <c r="LND124" s="974"/>
      <c r="LNE124" s="974"/>
      <c r="LNF124" s="974"/>
      <c r="LNG124" s="974"/>
      <c r="LNH124" s="974"/>
      <c r="LNI124" s="974"/>
      <c r="LNJ124" s="974"/>
      <c r="LNK124" s="974"/>
      <c r="LNL124" s="974"/>
      <c r="LNM124" s="974"/>
      <c r="LNN124" s="974"/>
      <c r="LNO124" s="974"/>
      <c r="LNP124" s="974"/>
      <c r="LNQ124" s="974"/>
      <c r="LNR124" s="974"/>
      <c r="LNS124" s="974"/>
      <c r="LNT124" s="974"/>
      <c r="LNU124" s="974"/>
      <c r="LNV124" s="974"/>
      <c r="LNW124" s="974"/>
      <c r="LNX124" s="974"/>
      <c r="LNY124" s="974"/>
      <c r="LNZ124" s="974"/>
      <c r="LOA124" s="974"/>
      <c r="LOB124" s="974"/>
      <c r="LOC124" s="974"/>
      <c r="LOD124" s="974"/>
      <c r="LOE124" s="974"/>
      <c r="LOF124" s="974"/>
      <c r="LOG124" s="974"/>
      <c r="LOH124" s="974"/>
      <c r="LOI124" s="974"/>
      <c r="LOJ124" s="974"/>
      <c r="LOK124" s="974"/>
      <c r="LOL124" s="974"/>
      <c r="LOM124" s="974"/>
      <c r="LON124" s="974"/>
      <c r="LOO124" s="974"/>
      <c r="LOP124" s="974"/>
      <c r="LOQ124" s="974"/>
      <c r="LOR124" s="974"/>
      <c r="LOS124" s="974"/>
      <c r="LOT124" s="974"/>
      <c r="LOU124" s="974"/>
      <c r="LOV124" s="974"/>
      <c r="LOW124" s="974"/>
      <c r="LOX124" s="974"/>
      <c r="LOY124" s="974"/>
      <c r="LOZ124" s="974"/>
      <c r="LPA124" s="974"/>
      <c r="LPB124" s="974"/>
      <c r="LPC124" s="974"/>
      <c r="LPD124" s="974"/>
      <c r="LPE124" s="974"/>
      <c r="LPF124" s="974"/>
      <c r="LPG124" s="974"/>
      <c r="LPH124" s="974"/>
      <c r="LPI124" s="974"/>
      <c r="LPJ124" s="974"/>
      <c r="LPK124" s="974"/>
      <c r="LPL124" s="974"/>
      <c r="LPM124" s="974"/>
      <c r="LPN124" s="974"/>
      <c r="LPO124" s="974"/>
      <c r="LPP124" s="974"/>
      <c r="LPQ124" s="974"/>
      <c r="LPR124" s="974"/>
      <c r="LPS124" s="974"/>
      <c r="LPT124" s="974"/>
      <c r="LPU124" s="974"/>
      <c r="LPV124" s="974"/>
      <c r="LPW124" s="974"/>
      <c r="LPX124" s="974"/>
      <c r="LPY124" s="974"/>
      <c r="LPZ124" s="974"/>
      <c r="LQA124" s="974"/>
      <c r="LQB124" s="974"/>
      <c r="LQC124" s="974"/>
      <c r="LQD124" s="974"/>
      <c r="LQE124" s="974"/>
      <c r="LQF124" s="974"/>
      <c r="LQG124" s="974"/>
      <c r="LQH124" s="974"/>
      <c r="LQI124" s="974"/>
      <c r="LQJ124" s="974"/>
      <c r="LQK124" s="974"/>
      <c r="LQL124" s="974"/>
      <c r="LQM124" s="974"/>
      <c r="LQN124" s="974"/>
      <c r="LQO124" s="974"/>
      <c r="LQP124" s="974"/>
      <c r="LQQ124" s="974"/>
      <c r="LQR124" s="974"/>
      <c r="LQS124" s="974"/>
      <c r="LQT124" s="974"/>
      <c r="LQU124" s="974"/>
      <c r="LQV124" s="974"/>
      <c r="LQW124" s="974"/>
      <c r="LQX124" s="974"/>
      <c r="LQY124" s="974"/>
      <c r="LQZ124" s="974"/>
      <c r="LRA124" s="974"/>
      <c r="LRB124" s="974"/>
      <c r="LRC124" s="974"/>
      <c r="LRD124" s="974"/>
      <c r="LRE124" s="974"/>
      <c r="LRF124" s="974"/>
      <c r="LRG124" s="974"/>
      <c r="LRH124" s="974"/>
      <c r="LRI124" s="974"/>
      <c r="LRJ124" s="974"/>
      <c r="LRK124" s="974"/>
      <c r="LRL124" s="974"/>
      <c r="LRM124" s="974"/>
      <c r="LRN124" s="974"/>
      <c r="LRO124" s="974"/>
      <c r="LRP124" s="974"/>
      <c r="LRQ124" s="974"/>
      <c r="LRR124" s="974"/>
      <c r="LRS124" s="974"/>
      <c r="LRT124" s="974"/>
      <c r="LRU124" s="974"/>
      <c r="LRV124" s="974"/>
      <c r="LRW124" s="974"/>
      <c r="LRX124" s="974"/>
      <c r="LRY124" s="974"/>
      <c r="LRZ124" s="974"/>
      <c r="LSA124" s="974"/>
      <c r="LSB124" s="974"/>
      <c r="LSC124" s="974"/>
      <c r="LSD124" s="974"/>
      <c r="LSE124" s="974"/>
      <c r="LSF124" s="974"/>
      <c r="LSG124" s="974"/>
      <c r="LSH124" s="974"/>
      <c r="LSI124" s="974"/>
      <c r="LSJ124" s="974"/>
      <c r="LSK124" s="974"/>
      <c r="LSL124" s="974"/>
      <c r="LSM124" s="974"/>
      <c r="LSN124" s="974"/>
      <c r="LSO124" s="974"/>
      <c r="LSP124" s="974"/>
      <c r="LSQ124" s="974"/>
      <c r="LSR124" s="974"/>
      <c r="LSS124" s="974"/>
      <c r="LST124" s="974"/>
      <c r="LSU124" s="974"/>
      <c r="LSV124" s="974"/>
      <c r="LSW124" s="974"/>
      <c r="LSX124" s="974"/>
      <c r="LSY124" s="974"/>
      <c r="LSZ124" s="974"/>
      <c r="LTA124" s="974"/>
      <c r="LTB124" s="974"/>
      <c r="LTC124" s="974"/>
      <c r="LTD124" s="974"/>
      <c r="LTE124" s="974"/>
      <c r="LTF124" s="974"/>
      <c r="LTG124" s="974"/>
      <c r="LTH124" s="974"/>
      <c r="LTI124" s="974"/>
      <c r="LTJ124" s="974"/>
      <c r="LTK124" s="974"/>
      <c r="LTL124" s="974"/>
      <c r="LTM124" s="974"/>
      <c r="LTN124" s="974"/>
      <c r="LTO124" s="974"/>
      <c r="LTP124" s="974"/>
      <c r="LTQ124" s="974"/>
      <c r="LTR124" s="974"/>
      <c r="LTS124" s="974"/>
      <c r="LTT124" s="974"/>
      <c r="LTU124" s="974"/>
      <c r="LTV124" s="974"/>
      <c r="LTW124" s="974"/>
      <c r="LTX124" s="974"/>
      <c r="LTY124" s="974"/>
      <c r="LTZ124" s="974"/>
      <c r="LUA124" s="974"/>
      <c r="LUB124" s="974"/>
      <c r="LUC124" s="974"/>
      <c r="LUD124" s="974"/>
      <c r="LUE124" s="974"/>
      <c r="LUF124" s="974"/>
      <c r="LUG124" s="974"/>
      <c r="LUH124" s="974"/>
      <c r="LUI124" s="974"/>
      <c r="LUJ124" s="974"/>
      <c r="LUK124" s="974"/>
      <c r="LUL124" s="974"/>
      <c r="LUM124" s="974"/>
      <c r="LUN124" s="974"/>
      <c r="LUO124" s="974"/>
      <c r="LUP124" s="974"/>
      <c r="LUQ124" s="974"/>
      <c r="LUR124" s="974"/>
      <c r="LUS124" s="974"/>
      <c r="LUT124" s="974"/>
      <c r="LUU124" s="974"/>
      <c r="LUV124" s="974"/>
      <c r="LUW124" s="974"/>
      <c r="LUX124" s="974"/>
      <c r="LUY124" s="974"/>
      <c r="LUZ124" s="974"/>
      <c r="LVA124" s="974"/>
      <c r="LVB124" s="974"/>
      <c r="LVC124" s="974"/>
      <c r="LVD124" s="974"/>
      <c r="LVE124" s="974"/>
      <c r="LVF124" s="974"/>
      <c r="LVG124" s="974"/>
      <c r="LVH124" s="974"/>
      <c r="LVI124" s="974"/>
      <c r="LVJ124" s="974"/>
      <c r="LVK124" s="974"/>
      <c r="LVL124" s="974"/>
      <c r="LVM124" s="974"/>
      <c r="LVN124" s="974"/>
      <c r="LVO124" s="974"/>
      <c r="LVP124" s="974"/>
      <c r="LVQ124" s="974"/>
      <c r="LVR124" s="974"/>
      <c r="LVS124" s="974"/>
      <c r="LVT124" s="974"/>
      <c r="LVU124" s="974"/>
      <c r="LVV124" s="974"/>
      <c r="LVW124" s="974"/>
      <c r="LVX124" s="974"/>
      <c r="LVY124" s="974"/>
      <c r="LVZ124" s="974"/>
      <c r="LWA124" s="974"/>
      <c r="LWB124" s="974"/>
      <c r="LWC124" s="974"/>
      <c r="LWD124" s="974"/>
      <c r="LWE124" s="974"/>
      <c r="LWF124" s="974"/>
      <c r="LWG124" s="974"/>
      <c r="LWH124" s="974"/>
      <c r="LWI124" s="974"/>
      <c r="LWJ124" s="974"/>
      <c r="LWK124" s="974"/>
      <c r="LWL124" s="974"/>
      <c r="LWM124" s="974"/>
      <c r="LWN124" s="974"/>
      <c r="LWO124" s="974"/>
      <c r="LWP124" s="974"/>
      <c r="LWQ124" s="974"/>
      <c r="LWR124" s="974"/>
      <c r="LWS124" s="974"/>
      <c r="LWT124" s="974"/>
      <c r="LWU124" s="974"/>
      <c r="LWV124" s="974"/>
      <c r="LWW124" s="974"/>
      <c r="LWX124" s="974"/>
      <c r="LWY124" s="974"/>
      <c r="LWZ124" s="974"/>
      <c r="LXA124" s="974"/>
      <c r="LXB124" s="974"/>
      <c r="LXC124" s="974"/>
      <c r="LXD124" s="974"/>
      <c r="LXE124" s="974"/>
      <c r="LXF124" s="974"/>
      <c r="LXG124" s="974"/>
      <c r="LXH124" s="974"/>
      <c r="LXI124" s="974"/>
      <c r="LXJ124" s="974"/>
      <c r="LXK124" s="974"/>
      <c r="LXL124" s="974"/>
      <c r="LXM124" s="974"/>
      <c r="LXN124" s="974"/>
      <c r="LXO124" s="974"/>
      <c r="LXP124" s="974"/>
      <c r="LXQ124" s="974"/>
      <c r="LXR124" s="974"/>
      <c r="LXS124" s="974"/>
      <c r="LXT124" s="974"/>
      <c r="LXU124" s="974"/>
      <c r="LXV124" s="974"/>
      <c r="LXW124" s="974"/>
      <c r="LXX124" s="974"/>
      <c r="LXY124" s="974"/>
      <c r="LXZ124" s="974"/>
      <c r="LYA124" s="974"/>
      <c r="LYB124" s="974"/>
      <c r="LYC124" s="974"/>
      <c r="LYD124" s="974"/>
      <c r="LYE124" s="974"/>
      <c r="LYF124" s="974"/>
      <c r="LYG124" s="974"/>
      <c r="LYH124" s="974"/>
      <c r="LYI124" s="974"/>
      <c r="LYJ124" s="974"/>
      <c r="LYK124" s="974"/>
      <c r="LYL124" s="974"/>
      <c r="LYM124" s="974"/>
      <c r="LYN124" s="974"/>
      <c r="LYO124" s="974"/>
      <c r="LYP124" s="974"/>
      <c r="LYQ124" s="974"/>
      <c r="LYR124" s="974"/>
      <c r="LYS124" s="974"/>
      <c r="LYT124" s="974"/>
      <c r="LYU124" s="974"/>
      <c r="LYV124" s="974"/>
      <c r="LYW124" s="974"/>
      <c r="LYX124" s="974"/>
      <c r="LYY124" s="974"/>
      <c r="LYZ124" s="974"/>
      <c r="LZA124" s="974"/>
      <c r="LZB124" s="974"/>
      <c r="LZC124" s="974"/>
      <c r="LZD124" s="974"/>
      <c r="LZE124" s="974"/>
      <c r="LZF124" s="974"/>
      <c r="LZG124" s="974"/>
      <c r="LZH124" s="974"/>
      <c r="LZI124" s="974"/>
      <c r="LZJ124" s="974"/>
      <c r="LZK124" s="974"/>
      <c r="LZL124" s="974"/>
      <c r="LZM124" s="974"/>
      <c r="LZN124" s="974"/>
      <c r="LZO124" s="974"/>
      <c r="LZP124" s="974"/>
      <c r="LZQ124" s="974"/>
      <c r="LZR124" s="974"/>
      <c r="LZS124" s="974"/>
      <c r="LZT124" s="974"/>
      <c r="LZU124" s="974"/>
      <c r="LZV124" s="974"/>
      <c r="LZW124" s="974"/>
      <c r="LZX124" s="974"/>
      <c r="LZY124" s="974"/>
      <c r="LZZ124" s="974"/>
      <c r="MAA124" s="974"/>
      <c r="MAB124" s="974"/>
      <c r="MAC124" s="974"/>
      <c r="MAD124" s="974"/>
      <c r="MAE124" s="974"/>
      <c r="MAF124" s="974"/>
      <c r="MAG124" s="974"/>
      <c r="MAH124" s="974"/>
      <c r="MAI124" s="974"/>
      <c r="MAJ124" s="974"/>
      <c r="MAK124" s="974"/>
      <c r="MAL124" s="974"/>
      <c r="MAM124" s="974"/>
      <c r="MAN124" s="974"/>
      <c r="MAO124" s="974"/>
      <c r="MAP124" s="974"/>
      <c r="MAQ124" s="974"/>
      <c r="MAR124" s="974"/>
      <c r="MAS124" s="974"/>
      <c r="MAT124" s="974"/>
      <c r="MAU124" s="974"/>
      <c r="MAV124" s="974"/>
      <c r="MAW124" s="974"/>
      <c r="MAX124" s="974"/>
      <c r="MAY124" s="974"/>
      <c r="MAZ124" s="974"/>
      <c r="MBA124" s="974"/>
      <c r="MBB124" s="974"/>
      <c r="MBC124" s="974"/>
      <c r="MBD124" s="974"/>
      <c r="MBE124" s="974"/>
      <c r="MBF124" s="974"/>
      <c r="MBG124" s="974"/>
      <c r="MBH124" s="974"/>
      <c r="MBI124" s="974"/>
      <c r="MBJ124" s="974"/>
      <c r="MBK124" s="974"/>
      <c r="MBL124" s="974"/>
      <c r="MBM124" s="974"/>
      <c r="MBN124" s="974"/>
      <c r="MBO124" s="974"/>
      <c r="MBP124" s="974"/>
      <c r="MBQ124" s="974"/>
      <c r="MBR124" s="974"/>
      <c r="MBS124" s="974"/>
      <c r="MBT124" s="974"/>
      <c r="MBU124" s="974"/>
      <c r="MBV124" s="974"/>
      <c r="MBW124" s="974"/>
      <c r="MBX124" s="974"/>
      <c r="MBY124" s="974"/>
      <c r="MBZ124" s="974"/>
      <c r="MCA124" s="974"/>
      <c r="MCB124" s="974"/>
      <c r="MCC124" s="974"/>
      <c r="MCD124" s="974"/>
      <c r="MCE124" s="974"/>
      <c r="MCF124" s="974"/>
      <c r="MCG124" s="974"/>
      <c r="MCH124" s="974"/>
      <c r="MCI124" s="974"/>
      <c r="MCJ124" s="974"/>
      <c r="MCK124" s="974"/>
      <c r="MCL124" s="974"/>
      <c r="MCM124" s="974"/>
      <c r="MCN124" s="974"/>
      <c r="MCO124" s="974"/>
      <c r="MCP124" s="974"/>
      <c r="MCQ124" s="974"/>
      <c r="MCR124" s="974"/>
      <c r="MCS124" s="974"/>
      <c r="MCT124" s="974"/>
      <c r="MCU124" s="974"/>
      <c r="MCV124" s="974"/>
      <c r="MCW124" s="974"/>
      <c r="MCX124" s="974"/>
      <c r="MCY124" s="974"/>
      <c r="MCZ124" s="974"/>
      <c r="MDA124" s="974"/>
      <c r="MDB124" s="974"/>
      <c r="MDC124" s="974"/>
      <c r="MDD124" s="974"/>
      <c r="MDE124" s="974"/>
      <c r="MDF124" s="974"/>
      <c r="MDG124" s="974"/>
      <c r="MDH124" s="974"/>
      <c r="MDI124" s="974"/>
      <c r="MDJ124" s="974"/>
      <c r="MDK124" s="974"/>
      <c r="MDL124" s="974"/>
      <c r="MDM124" s="974"/>
      <c r="MDN124" s="974"/>
      <c r="MDO124" s="974"/>
      <c r="MDP124" s="974"/>
      <c r="MDQ124" s="974"/>
      <c r="MDR124" s="974"/>
      <c r="MDS124" s="974"/>
      <c r="MDT124" s="974"/>
      <c r="MDU124" s="974"/>
      <c r="MDV124" s="974"/>
      <c r="MDW124" s="974"/>
      <c r="MDX124" s="974"/>
      <c r="MDY124" s="974"/>
      <c r="MDZ124" s="974"/>
      <c r="MEA124" s="974"/>
      <c r="MEB124" s="974"/>
      <c r="MEC124" s="974"/>
      <c r="MED124" s="974"/>
      <c r="MEE124" s="974"/>
      <c r="MEF124" s="974"/>
      <c r="MEG124" s="974"/>
      <c r="MEH124" s="974"/>
      <c r="MEI124" s="974"/>
      <c r="MEJ124" s="974"/>
      <c r="MEK124" s="974"/>
      <c r="MEL124" s="974"/>
      <c r="MEM124" s="974"/>
      <c r="MEN124" s="974"/>
      <c r="MEO124" s="974"/>
      <c r="MEP124" s="974"/>
      <c r="MEQ124" s="974"/>
      <c r="MER124" s="974"/>
      <c r="MES124" s="974"/>
      <c r="MET124" s="974"/>
      <c r="MEU124" s="974"/>
      <c r="MEV124" s="974"/>
      <c r="MEW124" s="974"/>
      <c r="MEX124" s="974"/>
      <c r="MEY124" s="974"/>
      <c r="MEZ124" s="974"/>
      <c r="MFA124" s="974"/>
      <c r="MFB124" s="974"/>
      <c r="MFC124" s="974"/>
      <c r="MFD124" s="974"/>
      <c r="MFE124" s="974"/>
      <c r="MFF124" s="974"/>
      <c r="MFG124" s="974"/>
      <c r="MFH124" s="974"/>
      <c r="MFI124" s="974"/>
      <c r="MFJ124" s="974"/>
      <c r="MFK124" s="974"/>
      <c r="MFL124" s="974"/>
      <c r="MFM124" s="974"/>
      <c r="MFN124" s="974"/>
      <c r="MFO124" s="974"/>
      <c r="MFP124" s="974"/>
      <c r="MFQ124" s="974"/>
      <c r="MFR124" s="974"/>
      <c r="MFS124" s="974"/>
      <c r="MFT124" s="974"/>
      <c r="MFU124" s="974"/>
      <c r="MFV124" s="974"/>
      <c r="MFW124" s="974"/>
      <c r="MFX124" s="974"/>
      <c r="MFY124" s="974"/>
      <c r="MFZ124" s="974"/>
      <c r="MGA124" s="974"/>
      <c r="MGB124" s="974"/>
      <c r="MGC124" s="974"/>
      <c r="MGD124" s="974"/>
      <c r="MGE124" s="974"/>
      <c r="MGF124" s="974"/>
      <c r="MGG124" s="974"/>
      <c r="MGH124" s="974"/>
      <c r="MGI124" s="974"/>
      <c r="MGJ124" s="974"/>
      <c r="MGK124" s="974"/>
      <c r="MGL124" s="974"/>
      <c r="MGM124" s="974"/>
      <c r="MGN124" s="974"/>
      <c r="MGO124" s="974"/>
      <c r="MGP124" s="974"/>
      <c r="MGQ124" s="974"/>
      <c r="MGR124" s="974"/>
      <c r="MGS124" s="974"/>
      <c r="MGT124" s="974"/>
      <c r="MGU124" s="974"/>
      <c r="MGV124" s="974"/>
      <c r="MGW124" s="974"/>
      <c r="MGX124" s="974"/>
      <c r="MGY124" s="974"/>
      <c r="MGZ124" s="974"/>
      <c r="MHA124" s="974"/>
      <c r="MHB124" s="974"/>
      <c r="MHC124" s="974"/>
      <c r="MHD124" s="974"/>
      <c r="MHE124" s="974"/>
      <c r="MHF124" s="974"/>
      <c r="MHG124" s="974"/>
      <c r="MHH124" s="974"/>
      <c r="MHI124" s="974"/>
      <c r="MHJ124" s="974"/>
      <c r="MHK124" s="974"/>
      <c r="MHL124" s="974"/>
      <c r="MHM124" s="974"/>
      <c r="MHN124" s="974"/>
      <c r="MHO124" s="974"/>
      <c r="MHP124" s="974"/>
      <c r="MHQ124" s="974"/>
      <c r="MHR124" s="974"/>
      <c r="MHS124" s="974"/>
      <c r="MHT124" s="974"/>
      <c r="MHU124" s="974"/>
      <c r="MHV124" s="974"/>
      <c r="MHW124" s="974"/>
      <c r="MHX124" s="974"/>
      <c r="MHY124" s="974"/>
      <c r="MHZ124" s="974"/>
      <c r="MIA124" s="974"/>
      <c r="MIB124" s="974"/>
      <c r="MIC124" s="974"/>
      <c r="MID124" s="974"/>
      <c r="MIE124" s="974"/>
      <c r="MIF124" s="974"/>
      <c r="MIG124" s="974"/>
      <c r="MIH124" s="974"/>
      <c r="MII124" s="974"/>
      <c r="MIJ124" s="974"/>
      <c r="MIK124" s="974"/>
      <c r="MIL124" s="974"/>
      <c r="MIM124" s="974"/>
      <c r="MIN124" s="974"/>
      <c r="MIO124" s="974"/>
      <c r="MIP124" s="974"/>
      <c r="MIQ124" s="974"/>
      <c r="MIR124" s="974"/>
      <c r="MIS124" s="974"/>
      <c r="MIT124" s="974"/>
      <c r="MIU124" s="974"/>
      <c r="MIV124" s="974"/>
      <c r="MIW124" s="974"/>
      <c r="MIX124" s="974"/>
      <c r="MIY124" s="974"/>
      <c r="MIZ124" s="974"/>
      <c r="MJA124" s="974"/>
      <c r="MJB124" s="974"/>
      <c r="MJC124" s="974"/>
      <c r="MJD124" s="974"/>
      <c r="MJE124" s="974"/>
      <c r="MJF124" s="974"/>
      <c r="MJG124" s="974"/>
      <c r="MJH124" s="974"/>
      <c r="MJI124" s="974"/>
      <c r="MJJ124" s="974"/>
      <c r="MJK124" s="974"/>
      <c r="MJL124" s="974"/>
      <c r="MJM124" s="974"/>
      <c r="MJN124" s="974"/>
      <c r="MJO124" s="974"/>
      <c r="MJP124" s="974"/>
      <c r="MJQ124" s="974"/>
      <c r="MJR124" s="974"/>
      <c r="MJS124" s="974"/>
      <c r="MJT124" s="974"/>
      <c r="MJU124" s="974"/>
      <c r="MJV124" s="974"/>
      <c r="MJW124" s="974"/>
      <c r="MJX124" s="974"/>
      <c r="MJY124" s="974"/>
      <c r="MJZ124" s="974"/>
      <c r="MKA124" s="974"/>
      <c r="MKB124" s="974"/>
      <c r="MKC124" s="974"/>
      <c r="MKD124" s="974"/>
      <c r="MKE124" s="974"/>
      <c r="MKF124" s="974"/>
      <c r="MKG124" s="974"/>
      <c r="MKH124" s="974"/>
      <c r="MKI124" s="974"/>
      <c r="MKJ124" s="974"/>
      <c r="MKK124" s="974"/>
      <c r="MKL124" s="974"/>
      <c r="MKM124" s="974"/>
      <c r="MKN124" s="974"/>
      <c r="MKO124" s="974"/>
      <c r="MKP124" s="974"/>
      <c r="MKQ124" s="974"/>
      <c r="MKR124" s="974"/>
      <c r="MKS124" s="974"/>
      <c r="MKT124" s="974"/>
      <c r="MKU124" s="974"/>
      <c r="MKV124" s="974"/>
      <c r="MKW124" s="974"/>
      <c r="MKX124" s="974"/>
      <c r="MKY124" s="974"/>
      <c r="MKZ124" s="974"/>
      <c r="MLA124" s="974"/>
      <c r="MLB124" s="974"/>
      <c r="MLC124" s="974"/>
      <c r="MLD124" s="974"/>
      <c r="MLE124" s="974"/>
      <c r="MLF124" s="974"/>
      <c r="MLG124" s="974"/>
      <c r="MLH124" s="974"/>
      <c r="MLI124" s="974"/>
      <c r="MLJ124" s="974"/>
      <c r="MLK124" s="974"/>
      <c r="MLL124" s="974"/>
      <c r="MLM124" s="974"/>
      <c r="MLN124" s="974"/>
      <c r="MLO124" s="974"/>
      <c r="MLP124" s="974"/>
      <c r="MLQ124" s="974"/>
      <c r="MLR124" s="974"/>
      <c r="MLS124" s="974"/>
      <c r="MLT124" s="974"/>
      <c r="MLU124" s="974"/>
      <c r="MLV124" s="974"/>
      <c r="MLW124" s="974"/>
      <c r="MLX124" s="974"/>
      <c r="MLY124" s="974"/>
      <c r="MLZ124" s="974"/>
      <c r="MMA124" s="974"/>
      <c r="MMB124" s="974"/>
      <c r="MMC124" s="974"/>
      <c r="MMD124" s="974"/>
      <c r="MME124" s="974"/>
      <c r="MMF124" s="974"/>
      <c r="MMG124" s="974"/>
      <c r="MMH124" s="974"/>
      <c r="MMI124" s="974"/>
      <c r="MMJ124" s="974"/>
      <c r="MMK124" s="974"/>
      <c r="MML124" s="974"/>
      <c r="MMM124" s="974"/>
      <c r="MMN124" s="974"/>
      <c r="MMO124" s="974"/>
      <c r="MMP124" s="974"/>
      <c r="MMQ124" s="974"/>
      <c r="MMR124" s="974"/>
      <c r="MMS124" s="974"/>
      <c r="MMT124" s="974"/>
      <c r="MMU124" s="974"/>
      <c r="MMV124" s="974"/>
      <c r="MMW124" s="974"/>
      <c r="MMX124" s="974"/>
      <c r="MMY124" s="974"/>
      <c r="MMZ124" s="974"/>
      <c r="MNA124" s="974"/>
      <c r="MNB124" s="974"/>
      <c r="MNC124" s="974"/>
      <c r="MND124" s="974"/>
      <c r="MNE124" s="974"/>
      <c r="MNF124" s="974"/>
      <c r="MNG124" s="974"/>
      <c r="MNH124" s="974"/>
      <c r="MNI124" s="974"/>
      <c r="MNJ124" s="974"/>
      <c r="MNK124" s="974"/>
      <c r="MNL124" s="974"/>
      <c r="MNM124" s="974"/>
      <c r="MNN124" s="974"/>
      <c r="MNO124" s="974"/>
      <c r="MNP124" s="974"/>
      <c r="MNQ124" s="974"/>
      <c r="MNR124" s="974"/>
      <c r="MNS124" s="974"/>
      <c r="MNT124" s="974"/>
      <c r="MNU124" s="974"/>
      <c r="MNV124" s="974"/>
      <c r="MNW124" s="974"/>
      <c r="MNX124" s="974"/>
      <c r="MNY124" s="974"/>
      <c r="MNZ124" s="974"/>
      <c r="MOA124" s="974"/>
      <c r="MOB124" s="974"/>
      <c r="MOC124" s="974"/>
      <c r="MOD124" s="974"/>
      <c r="MOE124" s="974"/>
      <c r="MOF124" s="974"/>
      <c r="MOG124" s="974"/>
      <c r="MOH124" s="974"/>
      <c r="MOI124" s="974"/>
      <c r="MOJ124" s="974"/>
      <c r="MOK124" s="974"/>
      <c r="MOL124" s="974"/>
      <c r="MOM124" s="974"/>
      <c r="MON124" s="974"/>
      <c r="MOO124" s="974"/>
      <c r="MOP124" s="974"/>
      <c r="MOQ124" s="974"/>
      <c r="MOR124" s="974"/>
      <c r="MOS124" s="974"/>
      <c r="MOT124" s="974"/>
      <c r="MOU124" s="974"/>
      <c r="MOV124" s="974"/>
      <c r="MOW124" s="974"/>
      <c r="MOX124" s="974"/>
      <c r="MOY124" s="974"/>
      <c r="MOZ124" s="974"/>
      <c r="MPA124" s="974"/>
      <c r="MPB124" s="974"/>
      <c r="MPC124" s="974"/>
      <c r="MPD124" s="974"/>
      <c r="MPE124" s="974"/>
      <c r="MPF124" s="974"/>
      <c r="MPG124" s="974"/>
      <c r="MPH124" s="974"/>
      <c r="MPI124" s="974"/>
      <c r="MPJ124" s="974"/>
      <c r="MPK124" s="974"/>
      <c r="MPL124" s="974"/>
      <c r="MPM124" s="974"/>
      <c r="MPN124" s="974"/>
      <c r="MPO124" s="974"/>
      <c r="MPP124" s="974"/>
      <c r="MPQ124" s="974"/>
      <c r="MPR124" s="974"/>
      <c r="MPS124" s="974"/>
      <c r="MPT124" s="974"/>
      <c r="MPU124" s="974"/>
      <c r="MPV124" s="974"/>
      <c r="MPW124" s="974"/>
      <c r="MPX124" s="974"/>
      <c r="MPY124" s="974"/>
      <c r="MPZ124" s="974"/>
      <c r="MQA124" s="974"/>
      <c r="MQB124" s="974"/>
      <c r="MQC124" s="974"/>
      <c r="MQD124" s="974"/>
      <c r="MQE124" s="974"/>
      <c r="MQF124" s="974"/>
      <c r="MQG124" s="974"/>
      <c r="MQH124" s="974"/>
      <c r="MQI124" s="974"/>
      <c r="MQJ124" s="974"/>
      <c r="MQK124" s="974"/>
      <c r="MQL124" s="974"/>
      <c r="MQM124" s="974"/>
      <c r="MQN124" s="974"/>
      <c r="MQO124" s="974"/>
      <c r="MQP124" s="974"/>
      <c r="MQQ124" s="974"/>
      <c r="MQR124" s="974"/>
      <c r="MQS124" s="974"/>
      <c r="MQT124" s="974"/>
      <c r="MQU124" s="974"/>
      <c r="MQV124" s="974"/>
      <c r="MQW124" s="974"/>
      <c r="MQX124" s="974"/>
      <c r="MQY124" s="974"/>
      <c r="MQZ124" s="974"/>
      <c r="MRA124" s="974"/>
      <c r="MRB124" s="974"/>
      <c r="MRC124" s="974"/>
      <c r="MRD124" s="974"/>
      <c r="MRE124" s="974"/>
      <c r="MRF124" s="974"/>
      <c r="MRG124" s="974"/>
      <c r="MRH124" s="974"/>
      <c r="MRI124" s="974"/>
      <c r="MRJ124" s="974"/>
      <c r="MRK124" s="974"/>
      <c r="MRL124" s="974"/>
      <c r="MRM124" s="974"/>
      <c r="MRN124" s="974"/>
      <c r="MRO124" s="974"/>
      <c r="MRP124" s="974"/>
      <c r="MRQ124" s="974"/>
      <c r="MRR124" s="974"/>
      <c r="MRS124" s="974"/>
      <c r="MRT124" s="974"/>
      <c r="MRU124" s="974"/>
      <c r="MRV124" s="974"/>
      <c r="MRW124" s="974"/>
      <c r="MRX124" s="974"/>
      <c r="MRY124" s="974"/>
      <c r="MRZ124" s="974"/>
      <c r="MSA124" s="974"/>
      <c r="MSB124" s="974"/>
      <c r="MSC124" s="974"/>
      <c r="MSD124" s="974"/>
      <c r="MSE124" s="974"/>
      <c r="MSF124" s="974"/>
      <c r="MSG124" s="974"/>
      <c r="MSH124" s="974"/>
      <c r="MSI124" s="974"/>
      <c r="MSJ124" s="974"/>
      <c r="MSK124" s="974"/>
      <c r="MSL124" s="974"/>
      <c r="MSM124" s="974"/>
      <c r="MSN124" s="974"/>
      <c r="MSO124" s="974"/>
      <c r="MSP124" s="974"/>
      <c r="MSQ124" s="974"/>
      <c r="MSR124" s="974"/>
      <c r="MSS124" s="974"/>
      <c r="MST124" s="974"/>
      <c r="MSU124" s="974"/>
      <c r="MSV124" s="974"/>
      <c r="MSW124" s="974"/>
      <c r="MSX124" s="974"/>
      <c r="MSY124" s="974"/>
      <c r="MSZ124" s="974"/>
      <c r="MTA124" s="974"/>
      <c r="MTB124" s="974"/>
      <c r="MTC124" s="974"/>
      <c r="MTD124" s="974"/>
      <c r="MTE124" s="974"/>
      <c r="MTF124" s="974"/>
      <c r="MTG124" s="974"/>
      <c r="MTH124" s="974"/>
      <c r="MTI124" s="974"/>
      <c r="MTJ124" s="974"/>
      <c r="MTK124" s="974"/>
      <c r="MTL124" s="974"/>
      <c r="MTM124" s="974"/>
      <c r="MTN124" s="974"/>
      <c r="MTO124" s="974"/>
      <c r="MTP124" s="974"/>
      <c r="MTQ124" s="974"/>
      <c r="MTR124" s="974"/>
      <c r="MTS124" s="974"/>
      <c r="MTT124" s="974"/>
      <c r="MTU124" s="974"/>
      <c r="MTV124" s="974"/>
      <c r="MTW124" s="974"/>
      <c r="MTX124" s="974"/>
      <c r="MTY124" s="974"/>
      <c r="MTZ124" s="974"/>
      <c r="MUA124" s="974"/>
      <c r="MUB124" s="974"/>
      <c r="MUC124" s="974"/>
      <c r="MUD124" s="974"/>
      <c r="MUE124" s="974"/>
      <c r="MUF124" s="974"/>
      <c r="MUG124" s="974"/>
      <c r="MUH124" s="974"/>
      <c r="MUI124" s="974"/>
      <c r="MUJ124" s="974"/>
      <c r="MUK124" s="974"/>
      <c r="MUL124" s="974"/>
      <c r="MUM124" s="974"/>
      <c r="MUN124" s="974"/>
      <c r="MUO124" s="974"/>
      <c r="MUP124" s="974"/>
      <c r="MUQ124" s="974"/>
      <c r="MUR124" s="974"/>
      <c r="MUS124" s="974"/>
      <c r="MUT124" s="974"/>
      <c r="MUU124" s="974"/>
      <c r="MUV124" s="974"/>
      <c r="MUW124" s="974"/>
      <c r="MUX124" s="974"/>
      <c r="MUY124" s="974"/>
      <c r="MUZ124" s="974"/>
      <c r="MVA124" s="974"/>
      <c r="MVB124" s="974"/>
      <c r="MVC124" s="974"/>
      <c r="MVD124" s="974"/>
      <c r="MVE124" s="974"/>
      <c r="MVF124" s="974"/>
      <c r="MVG124" s="974"/>
      <c r="MVH124" s="974"/>
      <c r="MVI124" s="974"/>
      <c r="MVJ124" s="974"/>
      <c r="MVK124" s="974"/>
      <c r="MVL124" s="974"/>
      <c r="MVM124" s="974"/>
      <c r="MVN124" s="974"/>
      <c r="MVO124" s="974"/>
      <c r="MVP124" s="974"/>
      <c r="MVQ124" s="974"/>
      <c r="MVR124" s="974"/>
      <c r="MVS124" s="974"/>
      <c r="MVT124" s="974"/>
      <c r="MVU124" s="974"/>
      <c r="MVV124" s="974"/>
      <c r="MVW124" s="974"/>
      <c r="MVX124" s="974"/>
      <c r="MVY124" s="974"/>
      <c r="MVZ124" s="974"/>
      <c r="MWA124" s="974"/>
      <c r="MWB124" s="974"/>
      <c r="MWC124" s="974"/>
      <c r="MWD124" s="974"/>
      <c r="MWE124" s="974"/>
      <c r="MWF124" s="974"/>
      <c r="MWG124" s="974"/>
      <c r="MWH124" s="974"/>
      <c r="MWI124" s="974"/>
      <c r="MWJ124" s="974"/>
      <c r="MWK124" s="974"/>
      <c r="MWL124" s="974"/>
      <c r="MWM124" s="974"/>
      <c r="MWN124" s="974"/>
      <c r="MWO124" s="974"/>
      <c r="MWP124" s="974"/>
      <c r="MWQ124" s="974"/>
      <c r="MWR124" s="974"/>
      <c r="MWS124" s="974"/>
      <c r="MWT124" s="974"/>
      <c r="MWU124" s="974"/>
      <c r="MWV124" s="974"/>
      <c r="MWW124" s="974"/>
      <c r="MWX124" s="974"/>
      <c r="MWY124" s="974"/>
      <c r="MWZ124" s="974"/>
      <c r="MXA124" s="974"/>
      <c r="MXB124" s="974"/>
      <c r="MXC124" s="974"/>
      <c r="MXD124" s="974"/>
      <c r="MXE124" s="974"/>
      <c r="MXF124" s="974"/>
      <c r="MXG124" s="974"/>
      <c r="MXH124" s="974"/>
      <c r="MXI124" s="974"/>
      <c r="MXJ124" s="974"/>
      <c r="MXK124" s="974"/>
      <c r="MXL124" s="974"/>
      <c r="MXM124" s="974"/>
      <c r="MXN124" s="974"/>
      <c r="MXO124" s="974"/>
      <c r="MXP124" s="974"/>
      <c r="MXQ124" s="974"/>
      <c r="MXR124" s="974"/>
      <c r="MXS124" s="974"/>
      <c r="MXT124" s="974"/>
      <c r="MXU124" s="974"/>
      <c r="MXV124" s="974"/>
      <c r="MXW124" s="974"/>
      <c r="MXX124" s="974"/>
      <c r="MXY124" s="974"/>
      <c r="MXZ124" s="974"/>
      <c r="MYA124" s="974"/>
      <c r="MYB124" s="974"/>
      <c r="MYC124" s="974"/>
      <c r="MYD124" s="974"/>
      <c r="MYE124" s="974"/>
      <c r="MYF124" s="974"/>
      <c r="MYG124" s="974"/>
      <c r="MYH124" s="974"/>
      <c r="MYI124" s="974"/>
      <c r="MYJ124" s="974"/>
      <c r="MYK124" s="974"/>
      <c r="MYL124" s="974"/>
      <c r="MYM124" s="974"/>
      <c r="MYN124" s="974"/>
      <c r="MYO124" s="974"/>
      <c r="MYP124" s="974"/>
      <c r="MYQ124" s="974"/>
      <c r="MYR124" s="974"/>
      <c r="MYS124" s="974"/>
      <c r="MYT124" s="974"/>
      <c r="MYU124" s="974"/>
      <c r="MYV124" s="974"/>
      <c r="MYW124" s="974"/>
      <c r="MYX124" s="974"/>
      <c r="MYY124" s="974"/>
      <c r="MYZ124" s="974"/>
      <c r="MZA124" s="974"/>
      <c r="MZB124" s="974"/>
      <c r="MZC124" s="974"/>
      <c r="MZD124" s="974"/>
      <c r="MZE124" s="974"/>
      <c r="MZF124" s="974"/>
      <c r="MZG124" s="974"/>
      <c r="MZH124" s="974"/>
      <c r="MZI124" s="974"/>
      <c r="MZJ124" s="974"/>
      <c r="MZK124" s="974"/>
      <c r="MZL124" s="974"/>
      <c r="MZM124" s="974"/>
      <c r="MZN124" s="974"/>
      <c r="MZO124" s="974"/>
      <c r="MZP124" s="974"/>
      <c r="MZQ124" s="974"/>
      <c r="MZR124" s="974"/>
      <c r="MZS124" s="974"/>
      <c r="MZT124" s="974"/>
      <c r="MZU124" s="974"/>
      <c r="MZV124" s="974"/>
      <c r="MZW124" s="974"/>
      <c r="MZX124" s="974"/>
      <c r="MZY124" s="974"/>
      <c r="MZZ124" s="974"/>
      <c r="NAA124" s="974"/>
      <c r="NAB124" s="974"/>
      <c r="NAC124" s="974"/>
      <c r="NAD124" s="974"/>
      <c r="NAE124" s="974"/>
      <c r="NAF124" s="974"/>
      <c r="NAG124" s="974"/>
      <c r="NAH124" s="974"/>
      <c r="NAI124" s="974"/>
      <c r="NAJ124" s="974"/>
      <c r="NAK124" s="974"/>
      <c r="NAL124" s="974"/>
      <c r="NAM124" s="974"/>
      <c r="NAN124" s="974"/>
      <c r="NAO124" s="974"/>
      <c r="NAP124" s="974"/>
      <c r="NAQ124" s="974"/>
      <c r="NAR124" s="974"/>
      <c r="NAS124" s="974"/>
      <c r="NAT124" s="974"/>
      <c r="NAU124" s="974"/>
      <c r="NAV124" s="974"/>
      <c r="NAW124" s="974"/>
      <c r="NAX124" s="974"/>
      <c r="NAY124" s="974"/>
      <c r="NAZ124" s="974"/>
      <c r="NBA124" s="974"/>
      <c r="NBB124" s="974"/>
      <c r="NBC124" s="974"/>
      <c r="NBD124" s="974"/>
      <c r="NBE124" s="974"/>
      <c r="NBF124" s="974"/>
      <c r="NBG124" s="974"/>
      <c r="NBH124" s="974"/>
      <c r="NBI124" s="974"/>
      <c r="NBJ124" s="974"/>
      <c r="NBK124" s="974"/>
      <c r="NBL124" s="974"/>
      <c r="NBM124" s="974"/>
      <c r="NBN124" s="974"/>
      <c r="NBO124" s="974"/>
      <c r="NBP124" s="974"/>
      <c r="NBQ124" s="974"/>
      <c r="NBR124" s="974"/>
      <c r="NBS124" s="974"/>
      <c r="NBT124" s="974"/>
      <c r="NBU124" s="974"/>
      <c r="NBV124" s="974"/>
      <c r="NBW124" s="974"/>
      <c r="NBX124" s="974"/>
      <c r="NBY124" s="974"/>
      <c r="NBZ124" s="974"/>
      <c r="NCA124" s="974"/>
      <c r="NCB124" s="974"/>
      <c r="NCC124" s="974"/>
      <c r="NCD124" s="974"/>
      <c r="NCE124" s="974"/>
      <c r="NCF124" s="974"/>
      <c r="NCG124" s="974"/>
      <c r="NCH124" s="974"/>
      <c r="NCI124" s="974"/>
      <c r="NCJ124" s="974"/>
      <c r="NCK124" s="974"/>
      <c r="NCL124" s="974"/>
      <c r="NCM124" s="974"/>
      <c r="NCN124" s="974"/>
      <c r="NCO124" s="974"/>
      <c r="NCP124" s="974"/>
      <c r="NCQ124" s="974"/>
      <c r="NCR124" s="974"/>
      <c r="NCS124" s="974"/>
      <c r="NCT124" s="974"/>
      <c r="NCU124" s="974"/>
      <c r="NCV124" s="974"/>
      <c r="NCW124" s="974"/>
      <c r="NCX124" s="974"/>
      <c r="NCY124" s="974"/>
      <c r="NCZ124" s="974"/>
      <c r="NDA124" s="974"/>
      <c r="NDB124" s="974"/>
      <c r="NDC124" s="974"/>
      <c r="NDD124" s="974"/>
      <c r="NDE124" s="974"/>
      <c r="NDF124" s="974"/>
      <c r="NDG124" s="974"/>
      <c r="NDH124" s="974"/>
      <c r="NDI124" s="974"/>
      <c r="NDJ124" s="974"/>
      <c r="NDK124" s="974"/>
      <c r="NDL124" s="974"/>
      <c r="NDM124" s="974"/>
      <c r="NDN124" s="974"/>
      <c r="NDO124" s="974"/>
      <c r="NDP124" s="974"/>
      <c r="NDQ124" s="974"/>
      <c r="NDR124" s="974"/>
      <c r="NDS124" s="974"/>
      <c r="NDT124" s="974"/>
      <c r="NDU124" s="974"/>
      <c r="NDV124" s="974"/>
      <c r="NDW124" s="974"/>
      <c r="NDX124" s="974"/>
      <c r="NDY124" s="974"/>
      <c r="NDZ124" s="974"/>
      <c r="NEA124" s="974"/>
      <c r="NEB124" s="974"/>
      <c r="NEC124" s="974"/>
      <c r="NED124" s="974"/>
      <c r="NEE124" s="974"/>
      <c r="NEF124" s="974"/>
      <c r="NEG124" s="974"/>
      <c r="NEH124" s="974"/>
      <c r="NEI124" s="974"/>
      <c r="NEJ124" s="974"/>
      <c r="NEK124" s="974"/>
      <c r="NEL124" s="974"/>
      <c r="NEM124" s="974"/>
      <c r="NEN124" s="974"/>
      <c r="NEO124" s="974"/>
      <c r="NEP124" s="974"/>
      <c r="NEQ124" s="974"/>
      <c r="NER124" s="974"/>
      <c r="NES124" s="974"/>
      <c r="NET124" s="974"/>
      <c r="NEU124" s="974"/>
      <c r="NEV124" s="974"/>
      <c r="NEW124" s="974"/>
      <c r="NEX124" s="974"/>
      <c r="NEY124" s="974"/>
      <c r="NEZ124" s="974"/>
      <c r="NFA124" s="974"/>
      <c r="NFB124" s="974"/>
      <c r="NFC124" s="974"/>
      <c r="NFD124" s="974"/>
      <c r="NFE124" s="974"/>
      <c r="NFF124" s="974"/>
      <c r="NFG124" s="974"/>
      <c r="NFH124" s="974"/>
      <c r="NFI124" s="974"/>
      <c r="NFJ124" s="974"/>
      <c r="NFK124" s="974"/>
      <c r="NFL124" s="974"/>
      <c r="NFM124" s="974"/>
      <c r="NFN124" s="974"/>
      <c r="NFO124" s="974"/>
      <c r="NFP124" s="974"/>
      <c r="NFQ124" s="974"/>
      <c r="NFR124" s="974"/>
      <c r="NFS124" s="974"/>
      <c r="NFT124" s="974"/>
      <c r="NFU124" s="974"/>
      <c r="NFV124" s="974"/>
      <c r="NFW124" s="974"/>
      <c r="NFX124" s="974"/>
      <c r="NFY124" s="974"/>
      <c r="NFZ124" s="974"/>
      <c r="NGA124" s="974"/>
      <c r="NGB124" s="974"/>
      <c r="NGC124" s="974"/>
      <c r="NGD124" s="974"/>
      <c r="NGE124" s="974"/>
      <c r="NGF124" s="974"/>
      <c r="NGG124" s="974"/>
      <c r="NGH124" s="974"/>
      <c r="NGI124" s="974"/>
      <c r="NGJ124" s="974"/>
      <c r="NGK124" s="974"/>
      <c r="NGL124" s="974"/>
      <c r="NGM124" s="974"/>
      <c r="NGN124" s="974"/>
      <c r="NGO124" s="974"/>
      <c r="NGP124" s="974"/>
      <c r="NGQ124" s="974"/>
      <c r="NGR124" s="974"/>
      <c r="NGS124" s="974"/>
      <c r="NGT124" s="974"/>
      <c r="NGU124" s="974"/>
      <c r="NGV124" s="974"/>
      <c r="NGW124" s="974"/>
      <c r="NGX124" s="974"/>
      <c r="NGY124" s="974"/>
      <c r="NGZ124" s="974"/>
      <c r="NHA124" s="974"/>
      <c r="NHB124" s="974"/>
      <c r="NHC124" s="974"/>
      <c r="NHD124" s="974"/>
      <c r="NHE124" s="974"/>
      <c r="NHF124" s="974"/>
      <c r="NHG124" s="974"/>
      <c r="NHH124" s="974"/>
      <c r="NHI124" s="974"/>
      <c r="NHJ124" s="974"/>
      <c r="NHK124" s="974"/>
      <c r="NHL124" s="974"/>
      <c r="NHM124" s="974"/>
      <c r="NHN124" s="974"/>
      <c r="NHO124" s="974"/>
      <c r="NHP124" s="974"/>
      <c r="NHQ124" s="974"/>
      <c r="NHR124" s="974"/>
      <c r="NHS124" s="974"/>
      <c r="NHT124" s="974"/>
      <c r="NHU124" s="974"/>
      <c r="NHV124" s="974"/>
      <c r="NHW124" s="974"/>
      <c r="NHX124" s="974"/>
      <c r="NHY124" s="974"/>
      <c r="NHZ124" s="974"/>
      <c r="NIA124" s="974"/>
      <c r="NIB124" s="974"/>
      <c r="NIC124" s="974"/>
      <c r="NID124" s="974"/>
      <c r="NIE124" s="974"/>
      <c r="NIF124" s="974"/>
      <c r="NIG124" s="974"/>
      <c r="NIH124" s="974"/>
      <c r="NII124" s="974"/>
      <c r="NIJ124" s="974"/>
      <c r="NIK124" s="974"/>
      <c r="NIL124" s="974"/>
      <c r="NIM124" s="974"/>
      <c r="NIN124" s="974"/>
      <c r="NIO124" s="974"/>
      <c r="NIP124" s="974"/>
      <c r="NIQ124" s="974"/>
      <c r="NIR124" s="974"/>
      <c r="NIS124" s="974"/>
      <c r="NIT124" s="974"/>
      <c r="NIU124" s="974"/>
      <c r="NIV124" s="974"/>
      <c r="NIW124" s="974"/>
      <c r="NIX124" s="974"/>
      <c r="NIY124" s="974"/>
      <c r="NIZ124" s="974"/>
      <c r="NJA124" s="974"/>
      <c r="NJB124" s="974"/>
      <c r="NJC124" s="974"/>
      <c r="NJD124" s="974"/>
      <c r="NJE124" s="974"/>
      <c r="NJF124" s="974"/>
      <c r="NJG124" s="974"/>
      <c r="NJH124" s="974"/>
      <c r="NJI124" s="974"/>
      <c r="NJJ124" s="974"/>
      <c r="NJK124" s="974"/>
      <c r="NJL124" s="974"/>
      <c r="NJM124" s="974"/>
      <c r="NJN124" s="974"/>
      <c r="NJO124" s="974"/>
      <c r="NJP124" s="974"/>
      <c r="NJQ124" s="974"/>
      <c r="NJR124" s="974"/>
      <c r="NJS124" s="974"/>
      <c r="NJT124" s="974"/>
      <c r="NJU124" s="974"/>
      <c r="NJV124" s="974"/>
      <c r="NJW124" s="974"/>
      <c r="NJX124" s="974"/>
      <c r="NJY124" s="974"/>
      <c r="NJZ124" s="974"/>
      <c r="NKA124" s="974"/>
      <c r="NKB124" s="974"/>
      <c r="NKC124" s="974"/>
      <c r="NKD124" s="974"/>
      <c r="NKE124" s="974"/>
      <c r="NKF124" s="974"/>
      <c r="NKG124" s="974"/>
      <c r="NKH124" s="974"/>
      <c r="NKI124" s="974"/>
      <c r="NKJ124" s="974"/>
      <c r="NKK124" s="974"/>
      <c r="NKL124" s="974"/>
      <c r="NKM124" s="974"/>
      <c r="NKN124" s="974"/>
      <c r="NKO124" s="974"/>
      <c r="NKP124" s="974"/>
      <c r="NKQ124" s="974"/>
      <c r="NKR124" s="974"/>
      <c r="NKS124" s="974"/>
      <c r="NKT124" s="974"/>
      <c r="NKU124" s="974"/>
      <c r="NKV124" s="974"/>
      <c r="NKW124" s="974"/>
      <c r="NKX124" s="974"/>
      <c r="NKY124" s="974"/>
      <c r="NKZ124" s="974"/>
      <c r="NLA124" s="974"/>
      <c r="NLB124" s="974"/>
      <c r="NLC124" s="974"/>
      <c r="NLD124" s="974"/>
      <c r="NLE124" s="974"/>
      <c r="NLF124" s="974"/>
      <c r="NLG124" s="974"/>
      <c r="NLH124" s="974"/>
      <c r="NLI124" s="974"/>
      <c r="NLJ124" s="974"/>
      <c r="NLK124" s="974"/>
      <c r="NLL124" s="974"/>
      <c r="NLM124" s="974"/>
      <c r="NLN124" s="974"/>
      <c r="NLO124" s="974"/>
      <c r="NLP124" s="974"/>
      <c r="NLQ124" s="974"/>
      <c r="NLR124" s="974"/>
      <c r="NLS124" s="974"/>
      <c r="NLT124" s="974"/>
      <c r="NLU124" s="974"/>
      <c r="NLV124" s="974"/>
      <c r="NLW124" s="974"/>
      <c r="NLX124" s="974"/>
      <c r="NLY124" s="974"/>
      <c r="NLZ124" s="974"/>
      <c r="NMA124" s="974"/>
      <c r="NMB124" s="974"/>
      <c r="NMC124" s="974"/>
      <c r="NMD124" s="974"/>
      <c r="NME124" s="974"/>
      <c r="NMF124" s="974"/>
      <c r="NMG124" s="974"/>
      <c r="NMH124" s="974"/>
      <c r="NMI124" s="974"/>
      <c r="NMJ124" s="974"/>
      <c r="NMK124" s="974"/>
      <c r="NML124" s="974"/>
      <c r="NMM124" s="974"/>
      <c r="NMN124" s="974"/>
      <c r="NMO124" s="974"/>
      <c r="NMP124" s="974"/>
      <c r="NMQ124" s="974"/>
      <c r="NMR124" s="974"/>
      <c r="NMS124" s="974"/>
      <c r="NMT124" s="974"/>
      <c r="NMU124" s="974"/>
      <c r="NMV124" s="974"/>
      <c r="NMW124" s="974"/>
      <c r="NMX124" s="974"/>
      <c r="NMY124" s="974"/>
      <c r="NMZ124" s="974"/>
      <c r="NNA124" s="974"/>
      <c r="NNB124" s="974"/>
      <c r="NNC124" s="974"/>
      <c r="NND124" s="974"/>
      <c r="NNE124" s="974"/>
      <c r="NNF124" s="974"/>
      <c r="NNG124" s="974"/>
      <c r="NNH124" s="974"/>
      <c r="NNI124" s="974"/>
      <c r="NNJ124" s="974"/>
      <c r="NNK124" s="974"/>
      <c r="NNL124" s="974"/>
      <c r="NNM124" s="974"/>
      <c r="NNN124" s="974"/>
      <c r="NNO124" s="974"/>
      <c r="NNP124" s="974"/>
      <c r="NNQ124" s="974"/>
      <c r="NNR124" s="974"/>
      <c r="NNS124" s="974"/>
      <c r="NNT124" s="974"/>
      <c r="NNU124" s="974"/>
      <c r="NNV124" s="974"/>
      <c r="NNW124" s="974"/>
      <c r="NNX124" s="974"/>
      <c r="NNY124" s="974"/>
      <c r="NNZ124" s="974"/>
      <c r="NOA124" s="974"/>
      <c r="NOB124" s="974"/>
      <c r="NOC124" s="974"/>
      <c r="NOD124" s="974"/>
      <c r="NOE124" s="974"/>
      <c r="NOF124" s="974"/>
      <c r="NOG124" s="974"/>
      <c r="NOH124" s="974"/>
      <c r="NOI124" s="974"/>
      <c r="NOJ124" s="974"/>
      <c r="NOK124" s="974"/>
      <c r="NOL124" s="974"/>
      <c r="NOM124" s="974"/>
      <c r="NON124" s="974"/>
      <c r="NOO124" s="974"/>
      <c r="NOP124" s="974"/>
      <c r="NOQ124" s="974"/>
      <c r="NOR124" s="974"/>
      <c r="NOS124" s="974"/>
      <c r="NOT124" s="974"/>
      <c r="NOU124" s="974"/>
      <c r="NOV124" s="974"/>
      <c r="NOW124" s="974"/>
      <c r="NOX124" s="974"/>
      <c r="NOY124" s="974"/>
      <c r="NOZ124" s="974"/>
      <c r="NPA124" s="974"/>
      <c r="NPB124" s="974"/>
      <c r="NPC124" s="974"/>
      <c r="NPD124" s="974"/>
      <c r="NPE124" s="974"/>
      <c r="NPF124" s="974"/>
      <c r="NPG124" s="974"/>
      <c r="NPH124" s="974"/>
      <c r="NPI124" s="974"/>
      <c r="NPJ124" s="974"/>
      <c r="NPK124" s="974"/>
      <c r="NPL124" s="974"/>
      <c r="NPM124" s="974"/>
      <c r="NPN124" s="974"/>
      <c r="NPO124" s="974"/>
      <c r="NPP124" s="974"/>
      <c r="NPQ124" s="974"/>
      <c r="NPR124" s="974"/>
      <c r="NPS124" s="974"/>
      <c r="NPT124" s="974"/>
      <c r="NPU124" s="974"/>
      <c r="NPV124" s="974"/>
      <c r="NPW124" s="974"/>
      <c r="NPX124" s="974"/>
      <c r="NPY124" s="974"/>
      <c r="NPZ124" s="974"/>
      <c r="NQA124" s="974"/>
      <c r="NQB124" s="974"/>
      <c r="NQC124" s="974"/>
      <c r="NQD124" s="974"/>
      <c r="NQE124" s="974"/>
      <c r="NQF124" s="974"/>
      <c r="NQG124" s="974"/>
      <c r="NQH124" s="974"/>
      <c r="NQI124" s="974"/>
      <c r="NQJ124" s="974"/>
      <c r="NQK124" s="974"/>
      <c r="NQL124" s="974"/>
      <c r="NQM124" s="974"/>
      <c r="NQN124" s="974"/>
      <c r="NQO124" s="974"/>
      <c r="NQP124" s="974"/>
      <c r="NQQ124" s="974"/>
      <c r="NQR124" s="974"/>
      <c r="NQS124" s="974"/>
      <c r="NQT124" s="974"/>
      <c r="NQU124" s="974"/>
      <c r="NQV124" s="974"/>
      <c r="NQW124" s="974"/>
      <c r="NQX124" s="974"/>
      <c r="NQY124" s="974"/>
      <c r="NQZ124" s="974"/>
      <c r="NRA124" s="974"/>
      <c r="NRB124" s="974"/>
      <c r="NRC124" s="974"/>
      <c r="NRD124" s="974"/>
      <c r="NRE124" s="974"/>
      <c r="NRF124" s="974"/>
      <c r="NRG124" s="974"/>
      <c r="NRH124" s="974"/>
      <c r="NRI124" s="974"/>
      <c r="NRJ124" s="974"/>
      <c r="NRK124" s="974"/>
      <c r="NRL124" s="974"/>
      <c r="NRM124" s="974"/>
      <c r="NRN124" s="974"/>
      <c r="NRO124" s="974"/>
      <c r="NRP124" s="974"/>
      <c r="NRQ124" s="974"/>
      <c r="NRR124" s="974"/>
      <c r="NRS124" s="974"/>
      <c r="NRT124" s="974"/>
      <c r="NRU124" s="974"/>
      <c r="NRV124" s="974"/>
      <c r="NRW124" s="974"/>
      <c r="NRX124" s="974"/>
      <c r="NRY124" s="974"/>
      <c r="NRZ124" s="974"/>
      <c r="NSA124" s="974"/>
      <c r="NSB124" s="974"/>
      <c r="NSC124" s="974"/>
      <c r="NSD124" s="974"/>
      <c r="NSE124" s="974"/>
      <c r="NSF124" s="974"/>
      <c r="NSG124" s="974"/>
      <c r="NSH124" s="974"/>
      <c r="NSI124" s="974"/>
      <c r="NSJ124" s="974"/>
      <c r="NSK124" s="974"/>
      <c r="NSL124" s="974"/>
      <c r="NSM124" s="974"/>
      <c r="NSN124" s="974"/>
      <c r="NSO124" s="974"/>
      <c r="NSP124" s="974"/>
      <c r="NSQ124" s="974"/>
      <c r="NSR124" s="974"/>
      <c r="NSS124" s="974"/>
      <c r="NST124" s="974"/>
      <c r="NSU124" s="974"/>
      <c r="NSV124" s="974"/>
      <c r="NSW124" s="974"/>
      <c r="NSX124" s="974"/>
      <c r="NSY124" s="974"/>
      <c r="NSZ124" s="974"/>
      <c r="NTA124" s="974"/>
      <c r="NTB124" s="974"/>
      <c r="NTC124" s="974"/>
      <c r="NTD124" s="974"/>
      <c r="NTE124" s="974"/>
      <c r="NTF124" s="974"/>
      <c r="NTG124" s="974"/>
      <c r="NTH124" s="974"/>
      <c r="NTI124" s="974"/>
      <c r="NTJ124" s="974"/>
      <c r="NTK124" s="974"/>
      <c r="NTL124" s="974"/>
      <c r="NTM124" s="974"/>
      <c r="NTN124" s="974"/>
      <c r="NTO124" s="974"/>
      <c r="NTP124" s="974"/>
      <c r="NTQ124" s="974"/>
      <c r="NTR124" s="974"/>
      <c r="NTS124" s="974"/>
      <c r="NTT124" s="974"/>
      <c r="NTU124" s="974"/>
      <c r="NTV124" s="974"/>
      <c r="NTW124" s="974"/>
      <c r="NTX124" s="974"/>
      <c r="NTY124" s="974"/>
      <c r="NTZ124" s="974"/>
      <c r="NUA124" s="974"/>
      <c r="NUB124" s="974"/>
      <c r="NUC124" s="974"/>
      <c r="NUD124" s="974"/>
      <c r="NUE124" s="974"/>
      <c r="NUF124" s="974"/>
      <c r="NUG124" s="974"/>
      <c r="NUH124" s="974"/>
      <c r="NUI124" s="974"/>
      <c r="NUJ124" s="974"/>
      <c r="NUK124" s="974"/>
      <c r="NUL124" s="974"/>
      <c r="NUM124" s="974"/>
      <c r="NUN124" s="974"/>
      <c r="NUO124" s="974"/>
      <c r="NUP124" s="974"/>
      <c r="NUQ124" s="974"/>
      <c r="NUR124" s="974"/>
      <c r="NUS124" s="974"/>
      <c r="NUT124" s="974"/>
      <c r="NUU124" s="974"/>
      <c r="NUV124" s="974"/>
      <c r="NUW124" s="974"/>
      <c r="NUX124" s="974"/>
      <c r="NUY124" s="974"/>
      <c r="NUZ124" s="974"/>
      <c r="NVA124" s="974"/>
      <c r="NVB124" s="974"/>
      <c r="NVC124" s="974"/>
      <c r="NVD124" s="974"/>
      <c r="NVE124" s="974"/>
      <c r="NVF124" s="974"/>
      <c r="NVG124" s="974"/>
      <c r="NVH124" s="974"/>
      <c r="NVI124" s="974"/>
      <c r="NVJ124" s="974"/>
      <c r="NVK124" s="974"/>
      <c r="NVL124" s="974"/>
      <c r="NVM124" s="974"/>
      <c r="NVN124" s="974"/>
      <c r="NVO124" s="974"/>
      <c r="NVP124" s="974"/>
      <c r="NVQ124" s="974"/>
      <c r="NVR124" s="974"/>
      <c r="NVS124" s="974"/>
      <c r="NVT124" s="974"/>
      <c r="NVU124" s="974"/>
      <c r="NVV124" s="974"/>
      <c r="NVW124" s="974"/>
      <c r="NVX124" s="974"/>
      <c r="NVY124" s="974"/>
      <c r="NVZ124" s="974"/>
      <c r="NWA124" s="974"/>
      <c r="NWB124" s="974"/>
      <c r="NWC124" s="974"/>
      <c r="NWD124" s="974"/>
      <c r="NWE124" s="974"/>
      <c r="NWF124" s="974"/>
      <c r="NWG124" s="974"/>
      <c r="NWH124" s="974"/>
      <c r="NWI124" s="974"/>
      <c r="NWJ124" s="974"/>
      <c r="NWK124" s="974"/>
      <c r="NWL124" s="974"/>
      <c r="NWM124" s="974"/>
      <c r="NWN124" s="974"/>
      <c r="NWO124" s="974"/>
      <c r="NWP124" s="974"/>
      <c r="NWQ124" s="974"/>
      <c r="NWR124" s="974"/>
      <c r="NWS124" s="974"/>
      <c r="NWT124" s="974"/>
      <c r="NWU124" s="974"/>
      <c r="NWV124" s="974"/>
      <c r="NWW124" s="974"/>
      <c r="NWX124" s="974"/>
      <c r="NWY124" s="974"/>
      <c r="NWZ124" s="974"/>
      <c r="NXA124" s="974"/>
      <c r="NXB124" s="974"/>
      <c r="NXC124" s="974"/>
      <c r="NXD124" s="974"/>
      <c r="NXE124" s="974"/>
      <c r="NXF124" s="974"/>
      <c r="NXG124" s="974"/>
      <c r="NXH124" s="974"/>
      <c r="NXI124" s="974"/>
      <c r="NXJ124" s="974"/>
      <c r="NXK124" s="974"/>
      <c r="NXL124" s="974"/>
      <c r="NXM124" s="974"/>
      <c r="NXN124" s="974"/>
      <c r="NXO124" s="974"/>
      <c r="NXP124" s="974"/>
      <c r="NXQ124" s="974"/>
      <c r="NXR124" s="974"/>
      <c r="NXS124" s="974"/>
      <c r="NXT124" s="974"/>
      <c r="NXU124" s="974"/>
      <c r="NXV124" s="974"/>
      <c r="NXW124" s="974"/>
      <c r="NXX124" s="974"/>
      <c r="NXY124" s="974"/>
      <c r="NXZ124" s="974"/>
      <c r="NYA124" s="974"/>
      <c r="NYB124" s="974"/>
      <c r="NYC124" s="974"/>
      <c r="NYD124" s="974"/>
      <c r="NYE124" s="974"/>
      <c r="NYF124" s="974"/>
      <c r="NYG124" s="974"/>
      <c r="NYH124" s="974"/>
      <c r="NYI124" s="974"/>
      <c r="NYJ124" s="974"/>
      <c r="NYK124" s="974"/>
      <c r="NYL124" s="974"/>
      <c r="NYM124" s="974"/>
      <c r="NYN124" s="974"/>
      <c r="NYO124" s="974"/>
      <c r="NYP124" s="974"/>
      <c r="NYQ124" s="974"/>
      <c r="NYR124" s="974"/>
      <c r="NYS124" s="974"/>
      <c r="NYT124" s="974"/>
      <c r="NYU124" s="974"/>
      <c r="NYV124" s="974"/>
      <c r="NYW124" s="974"/>
      <c r="NYX124" s="974"/>
      <c r="NYY124" s="974"/>
      <c r="NYZ124" s="974"/>
      <c r="NZA124" s="974"/>
      <c r="NZB124" s="974"/>
      <c r="NZC124" s="974"/>
      <c r="NZD124" s="974"/>
      <c r="NZE124" s="974"/>
      <c r="NZF124" s="974"/>
      <c r="NZG124" s="974"/>
      <c r="NZH124" s="974"/>
      <c r="NZI124" s="974"/>
      <c r="NZJ124" s="974"/>
      <c r="NZK124" s="974"/>
      <c r="NZL124" s="974"/>
      <c r="NZM124" s="974"/>
      <c r="NZN124" s="974"/>
      <c r="NZO124" s="974"/>
      <c r="NZP124" s="974"/>
      <c r="NZQ124" s="974"/>
      <c r="NZR124" s="974"/>
      <c r="NZS124" s="974"/>
      <c r="NZT124" s="974"/>
      <c r="NZU124" s="974"/>
      <c r="NZV124" s="974"/>
      <c r="NZW124" s="974"/>
      <c r="NZX124" s="974"/>
      <c r="NZY124" s="974"/>
      <c r="NZZ124" s="974"/>
      <c r="OAA124" s="974"/>
      <c r="OAB124" s="974"/>
      <c r="OAC124" s="974"/>
      <c r="OAD124" s="974"/>
      <c r="OAE124" s="974"/>
      <c r="OAF124" s="974"/>
      <c r="OAG124" s="974"/>
      <c r="OAH124" s="974"/>
      <c r="OAI124" s="974"/>
      <c r="OAJ124" s="974"/>
      <c r="OAK124" s="974"/>
      <c r="OAL124" s="974"/>
      <c r="OAM124" s="974"/>
      <c r="OAN124" s="974"/>
      <c r="OAO124" s="974"/>
      <c r="OAP124" s="974"/>
      <c r="OAQ124" s="974"/>
      <c r="OAR124" s="974"/>
      <c r="OAS124" s="974"/>
      <c r="OAT124" s="974"/>
      <c r="OAU124" s="974"/>
      <c r="OAV124" s="974"/>
      <c r="OAW124" s="974"/>
      <c r="OAX124" s="974"/>
      <c r="OAY124" s="974"/>
      <c r="OAZ124" s="974"/>
      <c r="OBA124" s="974"/>
      <c r="OBB124" s="974"/>
      <c r="OBC124" s="974"/>
      <c r="OBD124" s="974"/>
      <c r="OBE124" s="974"/>
      <c r="OBF124" s="974"/>
      <c r="OBG124" s="974"/>
      <c r="OBH124" s="974"/>
      <c r="OBI124" s="974"/>
      <c r="OBJ124" s="974"/>
      <c r="OBK124" s="974"/>
      <c r="OBL124" s="974"/>
      <c r="OBM124" s="974"/>
      <c r="OBN124" s="974"/>
      <c r="OBO124" s="974"/>
      <c r="OBP124" s="974"/>
      <c r="OBQ124" s="974"/>
      <c r="OBR124" s="974"/>
      <c r="OBS124" s="974"/>
      <c r="OBT124" s="974"/>
      <c r="OBU124" s="974"/>
      <c r="OBV124" s="974"/>
      <c r="OBW124" s="974"/>
      <c r="OBX124" s="974"/>
      <c r="OBY124" s="974"/>
      <c r="OBZ124" s="974"/>
      <c r="OCA124" s="974"/>
      <c r="OCB124" s="974"/>
      <c r="OCC124" s="974"/>
      <c r="OCD124" s="974"/>
      <c r="OCE124" s="974"/>
      <c r="OCF124" s="974"/>
      <c r="OCG124" s="974"/>
      <c r="OCH124" s="974"/>
      <c r="OCI124" s="974"/>
      <c r="OCJ124" s="974"/>
      <c r="OCK124" s="974"/>
      <c r="OCL124" s="974"/>
      <c r="OCM124" s="974"/>
      <c r="OCN124" s="974"/>
      <c r="OCO124" s="974"/>
      <c r="OCP124" s="974"/>
      <c r="OCQ124" s="974"/>
      <c r="OCR124" s="974"/>
      <c r="OCS124" s="974"/>
      <c r="OCT124" s="974"/>
      <c r="OCU124" s="974"/>
      <c r="OCV124" s="974"/>
      <c r="OCW124" s="974"/>
      <c r="OCX124" s="974"/>
      <c r="OCY124" s="974"/>
      <c r="OCZ124" s="974"/>
      <c r="ODA124" s="974"/>
      <c r="ODB124" s="974"/>
      <c r="ODC124" s="974"/>
      <c r="ODD124" s="974"/>
      <c r="ODE124" s="974"/>
      <c r="ODF124" s="974"/>
      <c r="ODG124" s="974"/>
      <c r="ODH124" s="974"/>
      <c r="ODI124" s="974"/>
      <c r="ODJ124" s="974"/>
      <c r="ODK124" s="974"/>
      <c r="ODL124" s="974"/>
      <c r="ODM124" s="974"/>
      <c r="ODN124" s="974"/>
      <c r="ODO124" s="974"/>
      <c r="ODP124" s="974"/>
      <c r="ODQ124" s="974"/>
      <c r="ODR124" s="974"/>
      <c r="ODS124" s="974"/>
      <c r="ODT124" s="974"/>
      <c r="ODU124" s="974"/>
      <c r="ODV124" s="974"/>
      <c r="ODW124" s="974"/>
      <c r="ODX124" s="974"/>
      <c r="ODY124" s="974"/>
      <c r="ODZ124" s="974"/>
      <c r="OEA124" s="974"/>
      <c r="OEB124" s="974"/>
      <c r="OEC124" s="974"/>
      <c r="OED124" s="974"/>
      <c r="OEE124" s="974"/>
      <c r="OEF124" s="974"/>
      <c r="OEG124" s="974"/>
      <c r="OEH124" s="974"/>
      <c r="OEI124" s="974"/>
      <c r="OEJ124" s="974"/>
      <c r="OEK124" s="974"/>
      <c r="OEL124" s="974"/>
      <c r="OEM124" s="974"/>
      <c r="OEN124" s="974"/>
      <c r="OEO124" s="974"/>
      <c r="OEP124" s="974"/>
      <c r="OEQ124" s="974"/>
      <c r="OER124" s="974"/>
      <c r="OES124" s="974"/>
      <c r="OET124" s="974"/>
      <c r="OEU124" s="974"/>
      <c r="OEV124" s="974"/>
      <c r="OEW124" s="974"/>
      <c r="OEX124" s="974"/>
      <c r="OEY124" s="974"/>
      <c r="OEZ124" s="974"/>
      <c r="OFA124" s="974"/>
      <c r="OFB124" s="974"/>
      <c r="OFC124" s="974"/>
      <c r="OFD124" s="974"/>
      <c r="OFE124" s="974"/>
      <c r="OFF124" s="974"/>
      <c r="OFG124" s="974"/>
      <c r="OFH124" s="974"/>
      <c r="OFI124" s="974"/>
      <c r="OFJ124" s="974"/>
      <c r="OFK124" s="974"/>
      <c r="OFL124" s="974"/>
      <c r="OFM124" s="974"/>
      <c r="OFN124" s="974"/>
      <c r="OFO124" s="974"/>
      <c r="OFP124" s="974"/>
      <c r="OFQ124" s="974"/>
      <c r="OFR124" s="974"/>
      <c r="OFS124" s="974"/>
      <c r="OFT124" s="974"/>
      <c r="OFU124" s="974"/>
      <c r="OFV124" s="974"/>
      <c r="OFW124" s="974"/>
      <c r="OFX124" s="974"/>
      <c r="OFY124" s="974"/>
      <c r="OFZ124" s="974"/>
      <c r="OGA124" s="974"/>
      <c r="OGB124" s="974"/>
      <c r="OGC124" s="974"/>
      <c r="OGD124" s="974"/>
      <c r="OGE124" s="974"/>
      <c r="OGF124" s="974"/>
      <c r="OGG124" s="974"/>
      <c r="OGH124" s="974"/>
      <c r="OGI124" s="974"/>
      <c r="OGJ124" s="974"/>
      <c r="OGK124" s="974"/>
      <c r="OGL124" s="974"/>
      <c r="OGM124" s="974"/>
      <c r="OGN124" s="974"/>
      <c r="OGO124" s="974"/>
      <c r="OGP124" s="974"/>
      <c r="OGQ124" s="974"/>
      <c r="OGR124" s="974"/>
      <c r="OGS124" s="974"/>
      <c r="OGT124" s="974"/>
      <c r="OGU124" s="974"/>
      <c r="OGV124" s="974"/>
      <c r="OGW124" s="974"/>
      <c r="OGX124" s="974"/>
      <c r="OGY124" s="974"/>
      <c r="OGZ124" s="974"/>
      <c r="OHA124" s="974"/>
      <c r="OHB124" s="974"/>
      <c r="OHC124" s="974"/>
      <c r="OHD124" s="974"/>
      <c r="OHE124" s="974"/>
      <c r="OHF124" s="974"/>
      <c r="OHG124" s="974"/>
      <c r="OHH124" s="974"/>
      <c r="OHI124" s="974"/>
      <c r="OHJ124" s="974"/>
      <c r="OHK124" s="974"/>
      <c r="OHL124" s="974"/>
      <c r="OHM124" s="974"/>
      <c r="OHN124" s="974"/>
      <c r="OHO124" s="974"/>
      <c r="OHP124" s="974"/>
      <c r="OHQ124" s="974"/>
      <c r="OHR124" s="974"/>
      <c r="OHS124" s="974"/>
      <c r="OHT124" s="974"/>
      <c r="OHU124" s="974"/>
      <c r="OHV124" s="974"/>
      <c r="OHW124" s="974"/>
      <c r="OHX124" s="974"/>
      <c r="OHY124" s="974"/>
      <c r="OHZ124" s="974"/>
      <c r="OIA124" s="974"/>
      <c r="OIB124" s="974"/>
      <c r="OIC124" s="974"/>
      <c r="OID124" s="974"/>
      <c r="OIE124" s="974"/>
      <c r="OIF124" s="974"/>
      <c r="OIG124" s="974"/>
      <c r="OIH124" s="974"/>
      <c r="OII124" s="974"/>
      <c r="OIJ124" s="974"/>
      <c r="OIK124" s="974"/>
      <c r="OIL124" s="974"/>
      <c r="OIM124" s="974"/>
      <c r="OIN124" s="974"/>
      <c r="OIO124" s="974"/>
      <c r="OIP124" s="974"/>
      <c r="OIQ124" s="974"/>
      <c r="OIR124" s="974"/>
      <c r="OIS124" s="974"/>
      <c r="OIT124" s="974"/>
      <c r="OIU124" s="974"/>
      <c r="OIV124" s="974"/>
      <c r="OIW124" s="974"/>
      <c r="OIX124" s="974"/>
      <c r="OIY124" s="974"/>
      <c r="OIZ124" s="974"/>
      <c r="OJA124" s="974"/>
      <c r="OJB124" s="974"/>
      <c r="OJC124" s="974"/>
      <c r="OJD124" s="974"/>
      <c r="OJE124" s="974"/>
      <c r="OJF124" s="974"/>
      <c r="OJG124" s="974"/>
      <c r="OJH124" s="974"/>
      <c r="OJI124" s="974"/>
      <c r="OJJ124" s="974"/>
      <c r="OJK124" s="974"/>
      <c r="OJL124" s="974"/>
      <c r="OJM124" s="974"/>
      <c r="OJN124" s="974"/>
      <c r="OJO124" s="974"/>
      <c r="OJP124" s="974"/>
      <c r="OJQ124" s="974"/>
      <c r="OJR124" s="974"/>
      <c r="OJS124" s="974"/>
      <c r="OJT124" s="974"/>
      <c r="OJU124" s="974"/>
      <c r="OJV124" s="974"/>
      <c r="OJW124" s="974"/>
      <c r="OJX124" s="974"/>
      <c r="OJY124" s="974"/>
      <c r="OJZ124" s="974"/>
      <c r="OKA124" s="974"/>
      <c r="OKB124" s="974"/>
      <c r="OKC124" s="974"/>
      <c r="OKD124" s="974"/>
      <c r="OKE124" s="974"/>
      <c r="OKF124" s="974"/>
      <c r="OKG124" s="974"/>
      <c r="OKH124" s="974"/>
      <c r="OKI124" s="974"/>
      <c r="OKJ124" s="974"/>
      <c r="OKK124" s="974"/>
      <c r="OKL124" s="974"/>
      <c r="OKM124" s="974"/>
      <c r="OKN124" s="974"/>
      <c r="OKO124" s="974"/>
      <c r="OKP124" s="974"/>
      <c r="OKQ124" s="974"/>
      <c r="OKR124" s="974"/>
      <c r="OKS124" s="974"/>
      <c r="OKT124" s="974"/>
      <c r="OKU124" s="974"/>
      <c r="OKV124" s="974"/>
      <c r="OKW124" s="974"/>
      <c r="OKX124" s="974"/>
      <c r="OKY124" s="974"/>
      <c r="OKZ124" s="974"/>
      <c r="OLA124" s="974"/>
      <c r="OLB124" s="974"/>
      <c r="OLC124" s="974"/>
      <c r="OLD124" s="974"/>
      <c r="OLE124" s="974"/>
      <c r="OLF124" s="974"/>
      <c r="OLG124" s="974"/>
      <c r="OLH124" s="974"/>
      <c r="OLI124" s="974"/>
      <c r="OLJ124" s="974"/>
      <c r="OLK124" s="974"/>
      <c r="OLL124" s="974"/>
      <c r="OLM124" s="974"/>
      <c r="OLN124" s="974"/>
      <c r="OLO124" s="974"/>
      <c r="OLP124" s="974"/>
      <c r="OLQ124" s="974"/>
      <c r="OLR124" s="974"/>
      <c r="OLS124" s="974"/>
      <c r="OLT124" s="974"/>
      <c r="OLU124" s="974"/>
      <c r="OLV124" s="974"/>
      <c r="OLW124" s="974"/>
      <c r="OLX124" s="974"/>
      <c r="OLY124" s="974"/>
      <c r="OLZ124" s="974"/>
      <c r="OMA124" s="974"/>
      <c r="OMB124" s="974"/>
      <c r="OMC124" s="974"/>
      <c r="OMD124" s="974"/>
      <c r="OME124" s="974"/>
      <c r="OMF124" s="974"/>
      <c r="OMG124" s="974"/>
      <c r="OMH124" s="974"/>
      <c r="OMI124" s="974"/>
      <c r="OMJ124" s="974"/>
      <c r="OMK124" s="974"/>
      <c r="OML124" s="974"/>
      <c r="OMM124" s="974"/>
      <c r="OMN124" s="974"/>
      <c r="OMO124" s="974"/>
      <c r="OMP124" s="974"/>
      <c r="OMQ124" s="974"/>
      <c r="OMR124" s="974"/>
      <c r="OMS124" s="974"/>
      <c r="OMT124" s="974"/>
      <c r="OMU124" s="974"/>
      <c r="OMV124" s="974"/>
      <c r="OMW124" s="974"/>
      <c r="OMX124" s="974"/>
      <c r="OMY124" s="974"/>
      <c r="OMZ124" s="974"/>
      <c r="ONA124" s="974"/>
      <c r="ONB124" s="974"/>
      <c r="ONC124" s="974"/>
      <c r="OND124" s="974"/>
      <c r="ONE124" s="974"/>
      <c r="ONF124" s="974"/>
      <c r="ONG124" s="974"/>
      <c r="ONH124" s="974"/>
      <c r="ONI124" s="974"/>
      <c r="ONJ124" s="974"/>
      <c r="ONK124" s="974"/>
      <c r="ONL124" s="974"/>
      <c r="ONM124" s="974"/>
      <c r="ONN124" s="974"/>
      <c r="ONO124" s="974"/>
      <c r="ONP124" s="974"/>
      <c r="ONQ124" s="974"/>
      <c r="ONR124" s="974"/>
      <c r="ONS124" s="974"/>
      <c r="ONT124" s="974"/>
      <c r="ONU124" s="974"/>
      <c r="ONV124" s="974"/>
      <c r="ONW124" s="974"/>
      <c r="ONX124" s="974"/>
      <c r="ONY124" s="974"/>
      <c r="ONZ124" s="974"/>
      <c r="OOA124" s="974"/>
      <c r="OOB124" s="974"/>
      <c r="OOC124" s="974"/>
      <c r="OOD124" s="974"/>
      <c r="OOE124" s="974"/>
      <c r="OOF124" s="974"/>
      <c r="OOG124" s="974"/>
      <c r="OOH124" s="974"/>
      <c r="OOI124" s="974"/>
      <c r="OOJ124" s="974"/>
      <c r="OOK124" s="974"/>
      <c r="OOL124" s="974"/>
      <c r="OOM124" s="974"/>
      <c r="OON124" s="974"/>
      <c r="OOO124" s="974"/>
      <c r="OOP124" s="974"/>
      <c r="OOQ124" s="974"/>
      <c r="OOR124" s="974"/>
      <c r="OOS124" s="974"/>
      <c r="OOT124" s="974"/>
      <c r="OOU124" s="974"/>
      <c r="OOV124" s="974"/>
      <c r="OOW124" s="974"/>
      <c r="OOX124" s="974"/>
      <c r="OOY124" s="974"/>
      <c r="OOZ124" s="974"/>
      <c r="OPA124" s="974"/>
      <c r="OPB124" s="974"/>
      <c r="OPC124" s="974"/>
      <c r="OPD124" s="974"/>
      <c r="OPE124" s="974"/>
      <c r="OPF124" s="974"/>
      <c r="OPG124" s="974"/>
      <c r="OPH124" s="974"/>
      <c r="OPI124" s="974"/>
      <c r="OPJ124" s="974"/>
      <c r="OPK124" s="974"/>
      <c r="OPL124" s="974"/>
      <c r="OPM124" s="974"/>
      <c r="OPN124" s="974"/>
      <c r="OPO124" s="974"/>
      <c r="OPP124" s="974"/>
      <c r="OPQ124" s="974"/>
      <c r="OPR124" s="974"/>
      <c r="OPS124" s="974"/>
      <c r="OPT124" s="974"/>
      <c r="OPU124" s="974"/>
      <c r="OPV124" s="974"/>
      <c r="OPW124" s="974"/>
      <c r="OPX124" s="974"/>
      <c r="OPY124" s="974"/>
      <c r="OPZ124" s="974"/>
      <c r="OQA124" s="974"/>
      <c r="OQB124" s="974"/>
      <c r="OQC124" s="974"/>
      <c r="OQD124" s="974"/>
      <c r="OQE124" s="974"/>
      <c r="OQF124" s="974"/>
      <c r="OQG124" s="974"/>
      <c r="OQH124" s="974"/>
      <c r="OQI124" s="974"/>
      <c r="OQJ124" s="974"/>
      <c r="OQK124" s="974"/>
      <c r="OQL124" s="974"/>
      <c r="OQM124" s="974"/>
      <c r="OQN124" s="974"/>
      <c r="OQO124" s="974"/>
      <c r="OQP124" s="974"/>
      <c r="OQQ124" s="974"/>
      <c r="OQR124" s="974"/>
      <c r="OQS124" s="974"/>
      <c r="OQT124" s="974"/>
      <c r="OQU124" s="974"/>
      <c r="OQV124" s="974"/>
      <c r="OQW124" s="974"/>
      <c r="OQX124" s="974"/>
      <c r="OQY124" s="974"/>
      <c r="OQZ124" s="974"/>
      <c r="ORA124" s="974"/>
      <c r="ORB124" s="974"/>
      <c r="ORC124" s="974"/>
      <c r="ORD124" s="974"/>
      <c r="ORE124" s="974"/>
      <c r="ORF124" s="974"/>
      <c r="ORG124" s="974"/>
      <c r="ORH124" s="974"/>
      <c r="ORI124" s="974"/>
      <c r="ORJ124" s="974"/>
      <c r="ORK124" s="974"/>
      <c r="ORL124" s="974"/>
      <c r="ORM124" s="974"/>
      <c r="ORN124" s="974"/>
      <c r="ORO124" s="974"/>
      <c r="ORP124" s="974"/>
      <c r="ORQ124" s="974"/>
      <c r="ORR124" s="974"/>
      <c r="ORS124" s="974"/>
      <c r="ORT124" s="974"/>
      <c r="ORU124" s="974"/>
      <c r="ORV124" s="974"/>
      <c r="ORW124" s="974"/>
      <c r="ORX124" s="974"/>
      <c r="ORY124" s="974"/>
      <c r="ORZ124" s="974"/>
      <c r="OSA124" s="974"/>
      <c r="OSB124" s="974"/>
      <c r="OSC124" s="974"/>
      <c r="OSD124" s="974"/>
      <c r="OSE124" s="974"/>
      <c r="OSF124" s="974"/>
      <c r="OSG124" s="974"/>
      <c r="OSH124" s="974"/>
      <c r="OSI124" s="974"/>
      <c r="OSJ124" s="974"/>
      <c r="OSK124" s="974"/>
      <c r="OSL124" s="974"/>
      <c r="OSM124" s="974"/>
      <c r="OSN124" s="974"/>
      <c r="OSO124" s="974"/>
      <c r="OSP124" s="974"/>
      <c r="OSQ124" s="974"/>
      <c r="OSR124" s="974"/>
      <c r="OSS124" s="974"/>
      <c r="OST124" s="974"/>
      <c r="OSU124" s="974"/>
      <c r="OSV124" s="974"/>
      <c r="OSW124" s="974"/>
      <c r="OSX124" s="974"/>
      <c r="OSY124" s="974"/>
      <c r="OSZ124" s="974"/>
      <c r="OTA124" s="974"/>
      <c r="OTB124" s="974"/>
      <c r="OTC124" s="974"/>
      <c r="OTD124" s="974"/>
      <c r="OTE124" s="974"/>
      <c r="OTF124" s="974"/>
      <c r="OTG124" s="974"/>
      <c r="OTH124" s="974"/>
      <c r="OTI124" s="974"/>
      <c r="OTJ124" s="974"/>
      <c r="OTK124" s="974"/>
      <c r="OTL124" s="974"/>
      <c r="OTM124" s="974"/>
      <c r="OTN124" s="974"/>
      <c r="OTO124" s="974"/>
      <c r="OTP124" s="974"/>
      <c r="OTQ124" s="974"/>
      <c r="OTR124" s="974"/>
      <c r="OTS124" s="974"/>
      <c r="OTT124" s="974"/>
      <c r="OTU124" s="974"/>
      <c r="OTV124" s="974"/>
      <c r="OTW124" s="974"/>
      <c r="OTX124" s="974"/>
      <c r="OTY124" s="974"/>
      <c r="OTZ124" s="974"/>
      <c r="OUA124" s="974"/>
      <c r="OUB124" s="974"/>
      <c r="OUC124" s="974"/>
      <c r="OUD124" s="974"/>
      <c r="OUE124" s="974"/>
      <c r="OUF124" s="974"/>
      <c r="OUG124" s="974"/>
      <c r="OUH124" s="974"/>
      <c r="OUI124" s="974"/>
      <c r="OUJ124" s="974"/>
      <c r="OUK124" s="974"/>
      <c r="OUL124" s="974"/>
      <c r="OUM124" s="974"/>
      <c r="OUN124" s="974"/>
      <c r="OUO124" s="974"/>
      <c r="OUP124" s="974"/>
      <c r="OUQ124" s="974"/>
      <c r="OUR124" s="974"/>
      <c r="OUS124" s="974"/>
      <c r="OUT124" s="974"/>
      <c r="OUU124" s="974"/>
      <c r="OUV124" s="974"/>
      <c r="OUW124" s="974"/>
      <c r="OUX124" s="974"/>
      <c r="OUY124" s="974"/>
      <c r="OUZ124" s="974"/>
      <c r="OVA124" s="974"/>
      <c r="OVB124" s="974"/>
      <c r="OVC124" s="974"/>
      <c r="OVD124" s="974"/>
      <c r="OVE124" s="974"/>
      <c r="OVF124" s="974"/>
      <c r="OVG124" s="974"/>
      <c r="OVH124" s="974"/>
      <c r="OVI124" s="974"/>
      <c r="OVJ124" s="974"/>
      <c r="OVK124" s="974"/>
      <c r="OVL124" s="974"/>
      <c r="OVM124" s="974"/>
      <c r="OVN124" s="974"/>
      <c r="OVO124" s="974"/>
      <c r="OVP124" s="974"/>
      <c r="OVQ124" s="974"/>
      <c r="OVR124" s="974"/>
      <c r="OVS124" s="974"/>
      <c r="OVT124" s="974"/>
      <c r="OVU124" s="974"/>
      <c r="OVV124" s="974"/>
      <c r="OVW124" s="974"/>
      <c r="OVX124" s="974"/>
      <c r="OVY124" s="974"/>
      <c r="OVZ124" s="974"/>
      <c r="OWA124" s="974"/>
      <c r="OWB124" s="974"/>
      <c r="OWC124" s="974"/>
      <c r="OWD124" s="974"/>
      <c r="OWE124" s="974"/>
      <c r="OWF124" s="974"/>
      <c r="OWG124" s="974"/>
      <c r="OWH124" s="974"/>
      <c r="OWI124" s="974"/>
      <c r="OWJ124" s="974"/>
      <c r="OWK124" s="974"/>
      <c r="OWL124" s="974"/>
      <c r="OWM124" s="974"/>
      <c r="OWN124" s="974"/>
      <c r="OWO124" s="974"/>
      <c r="OWP124" s="974"/>
      <c r="OWQ124" s="974"/>
      <c r="OWR124" s="974"/>
      <c r="OWS124" s="974"/>
      <c r="OWT124" s="974"/>
      <c r="OWU124" s="974"/>
      <c r="OWV124" s="974"/>
      <c r="OWW124" s="974"/>
      <c r="OWX124" s="974"/>
      <c r="OWY124" s="974"/>
      <c r="OWZ124" s="974"/>
      <c r="OXA124" s="974"/>
      <c r="OXB124" s="974"/>
      <c r="OXC124" s="974"/>
      <c r="OXD124" s="974"/>
      <c r="OXE124" s="974"/>
      <c r="OXF124" s="974"/>
      <c r="OXG124" s="974"/>
      <c r="OXH124" s="974"/>
      <c r="OXI124" s="974"/>
      <c r="OXJ124" s="974"/>
      <c r="OXK124" s="974"/>
      <c r="OXL124" s="974"/>
      <c r="OXM124" s="974"/>
      <c r="OXN124" s="974"/>
      <c r="OXO124" s="974"/>
      <c r="OXP124" s="974"/>
      <c r="OXQ124" s="974"/>
      <c r="OXR124" s="974"/>
      <c r="OXS124" s="974"/>
      <c r="OXT124" s="974"/>
      <c r="OXU124" s="974"/>
      <c r="OXV124" s="974"/>
      <c r="OXW124" s="974"/>
      <c r="OXX124" s="974"/>
      <c r="OXY124" s="974"/>
      <c r="OXZ124" s="974"/>
      <c r="OYA124" s="974"/>
      <c r="OYB124" s="974"/>
      <c r="OYC124" s="974"/>
      <c r="OYD124" s="974"/>
      <c r="OYE124" s="974"/>
      <c r="OYF124" s="974"/>
      <c r="OYG124" s="974"/>
      <c r="OYH124" s="974"/>
      <c r="OYI124" s="974"/>
      <c r="OYJ124" s="974"/>
      <c r="OYK124" s="974"/>
      <c r="OYL124" s="974"/>
      <c r="OYM124" s="974"/>
      <c r="OYN124" s="974"/>
      <c r="OYO124" s="974"/>
      <c r="OYP124" s="974"/>
      <c r="OYQ124" s="974"/>
      <c r="OYR124" s="974"/>
      <c r="OYS124" s="974"/>
      <c r="OYT124" s="974"/>
      <c r="OYU124" s="974"/>
      <c r="OYV124" s="974"/>
      <c r="OYW124" s="974"/>
      <c r="OYX124" s="974"/>
      <c r="OYY124" s="974"/>
      <c r="OYZ124" s="974"/>
      <c r="OZA124" s="974"/>
      <c r="OZB124" s="974"/>
      <c r="OZC124" s="974"/>
      <c r="OZD124" s="974"/>
      <c r="OZE124" s="974"/>
      <c r="OZF124" s="974"/>
      <c r="OZG124" s="974"/>
      <c r="OZH124" s="974"/>
      <c r="OZI124" s="974"/>
      <c r="OZJ124" s="974"/>
      <c r="OZK124" s="974"/>
      <c r="OZL124" s="974"/>
      <c r="OZM124" s="974"/>
      <c r="OZN124" s="974"/>
      <c r="OZO124" s="974"/>
      <c r="OZP124" s="974"/>
      <c r="OZQ124" s="974"/>
      <c r="OZR124" s="974"/>
      <c r="OZS124" s="974"/>
      <c r="OZT124" s="974"/>
      <c r="OZU124" s="974"/>
      <c r="OZV124" s="974"/>
      <c r="OZW124" s="974"/>
      <c r="OZX124" s="974"/>
      <c r="OZY124" s="974"/>
      <c r="OZZ124" s="974"/>
      <c r="PAA124" s="974"/>
      <c r="PAB124" s="974"/>
      <c r="PAC124" s="974"/>
      <c r="PAD124" s="974"/>
      <c r="PAE124" s="974"/>
      <c r="PAF124" s="974"/>
      <c r="PAG124" s="974"/>
      <c r="PAH124" s="974"/>
      <c r="PAI124" s="974"/>
      <c r="PAJ124" s="974"/>
      <c r="PAK124" s="974"/>
      <c r="PAL124" s="974"/>
      <c r="PAM124" s="974"/>
      <c r="PAN124" s="974"/>
      <c r="PAO124" s="974"/>
      <c r="PAP124" s="974"/>
      <c r="PAQ124" s="974"/>
      <c r="PAR124" s="974"/>
      <c r="PAS124" s="974"/>
      <c r="PAT124" s="974"/>
      <c r="PAU124" s="974"/>
      <c r="PAV124" s="974"/>
      <c r="PAW124" s="974"/>
      <c r="PAX124" s="974"/>
      <c r="PAY124" s="974"/>
      <c r="PAZ124" s="974"/>
      <c r="PBA124" s="974"/>
      <c r="PBB124" s="974"/>
      <c r="PBC124" s="974"/>
      <c r="PBD124" s="974"/>
      <c r="PBE124" s="974"/>
      <c r="PBF124" s="974"/>
      <c r="PBG124" s="974"/>
      <c r="PBH124" s="974"/>
      <c r="PBI124" s="974"/>
      <c r="PBJ124" s="974"/>
      <c r="PBK124" s="974"/>
      <c r="PBL124" s="974"/>
      <c r="PBM124" s="974"/>
      <c r="PBN124" s="974"/>
      <c r="PBO124" s="974"/>
      <c r="PBP124" s="974"/>
      <c r="PBQ124" s="974"/>
      <c r="PBR124" s="974"/>
      <c r="PBS124" s="974"/>
      <c r="PBT124" s="974"/>
      <c r="PBU124" s="974"/>
      <c r="PBV124" s="974"/>
      <c r="PBW124" s="974"/>
      <c r="PBX124" s="974"/>
      <c r="PBY124" s="974"/>
      <c r="PBZ124" s="974"/>
      <c r="PCA124" s="974"/>
      <c r="PCB124" s="974"/>
      <c r="PCC124" s="974"/>
      <c r="PCD124" s="974"/>
      <c r="PCE124" s="974"/>
      <c r="PCF124" s="974"/>
      <c r="PCG124" s="974"/>
      <c r="PCH124" s="974"/>
      <c r="PCI124" s="974"/>
      <c r="PCJ124" s="974"/>
      <c r="PCK124" s="974"/>
      <c r="PCL124" s="974"/>
      <c r="PCM124" s="974"/>
      <c r="PCN124" s="974"/>
      <c r="PCO124" s="974"/>
      <c r="PCP124" s="974"/>
      <c r="PCQ124" s="974"/>
      <c r="PCR124" s="974"/>
      <c r="PCS124" s="974"/>
      <c r="PCT124" s="974"/>
      <c r="PCU124" s="974"/>
      <c r="PCV124" s="974"/>
      <c r="PCW124" s="974"/>
      <c r="PCX124" s="974"/>
      <c r="PCY124" s="974"/>
      <c r="PCZ124" s="974"/>
      <c r="PDA124" s="974"/>
      <c r="PDB124" s="974"/>
      <c r="PDC124" s="974"/>
      <c r="PDD124" s="974"/>
      <c r="PDE124" s="974"/>
      <c r="PDF124" s="974"/>
      <c r="PDG124" s="974"/>
      <c r="PDH124" s="974"/>
      <c r="PDI124" s="974"/>
      <c r="PDJ124" s="974"/>
      <c r="PDK124" s="974"/>
      <c r="PDL124" s="974"/>
      <c r="PDM124" s="974"/>
      <c r="PDN124" s="974"/>
      <c r="PDO124" s="974"/>
      <c r="PDP124" s="974"/>
      <c r="PDQ124" s="974"/>
      <c r="PDR124" s="974"/>
      <c r="PDS124" s="974"/>
      <c r="PDT124" s="974"/>
      <c r="PDU124" s="974"/>
      <c r="PDV124" s="974"/>
      <c r="PDW124" s="974"/>
      <c r="PDX124" s="974"/>
      <c r="PDY124" s="974"/>
      <c r="PDZ124" s="974"/>
      <c r="PEA124" s="974"/>
      <c r="PEB124" s="974"/>
      <c r="PEC124" s="974"/>
      <c r="PED124" s="974"/>
      <c r="PEE124" s="974"/>
      <c r="PEF124" s="974"/>
      <c r="PEG124" s="974"/>
      <c r="PEH124" s="974"/>
      <c r="PEI124" s="974"/>
      <c r="PEJ124" s="974"/>
      <c r="PEK124" s="974"/>
      <c r="PEL124" s="974"/>
      <c r="PEM124" s="974"/>
      <c r="PEN124" s="974"/>
      <c r="PEO124" s="974"/>
      <c r="PEP124" s="974"/>
      <c r="PEQ124" s="974"/>
      <c r="PER124" s="974"/>
      <c r="PES124" s="974"/>
      <c r="PET124" s="974"/>
      <c r="PEU124" s="974"/>
      <c r="PEV124" s="974"/>
      <c r="PEW124" s="974"/>
      <c r="PEX124" s="974"/>
      <c r="PEY124" s="974"/>
      <c r="PEZ124" s="974"/>
      <c r="PFA124" s="974"/>
      <c r="PFB124" s="974"/>
      <c r="PFC124" s="974"/>
      <c r="PFD124" s="974"/>
      <c r="PFE124" s="974"/>
      <c r="PFF124" s="974"/>
      <c r="PFG124" s="974"/>
      <c r="PFH124" s="974"/>
      <c r="PFI124" s="974"/>
      <c r="PFJ124" s="974"/>
      <c r="PFK124" s="974"/>
      <c r="PFL124" s="974"/>
      <c r="PFM124" s="974"/>
      <c r="PFN124" s="974"/>
      <c r="PFO124" s="974"/>
      <c r="PFP124" s="974"/>
      <c r="PFQ124" s="974"/>
      <c r="PFR124" s="974"/>
      <c r="PFS124" s="974"/>
      <c r="PFT124" s="974"/>
      <c r="PFU124" s="974"/>
      <c r="PFV124" s="974"/>
      <c r="PFW124" s="974"/>
      <c r="PFX124" s="974"/>
      <c r="PFY124" s="974"/>
      <c r="PFZ124" s="974"/>
      <c r="PGA124" s="974"/>
      <c r="PGB124" s="974"/>
      <c r="PGC124" s="974"/>
      <c r="PGD124" s="974"/>
      <c r="PGE124" s="974"/>
      <c r="PGF124" s="974"/>
      <c r="PGG124" s="974"/>
      <c r="PGH124" s="974"/>
      <c r="PGI124" s="974"/>
      <c r="PGJ124" s="974"/>
      <c r="PGK124" s="974"/>
      <c r="PGL124" s="974"/>
      <c r="PGM124" s="974"/>
      <c r="PGN124" s="974"/>
      <c r="PGO124" s="974"/>
      <c r="PGP124" s="974"/>
      <c r="PGQ124" s="974"/>
      <c r="PGR124" s="974"/>
      <c r="PGS124" s="974"/>
      <c r="PGT124" s="974"/>
      <c r="PGU124" s="974"/>
      <c r="PGV124" s="974"/>
      <c r="PGW124" s="974"/>
      <c r="PGX124" s="974"/>
      <c r="PGY124" s="974"/>
      <c r="PGZ124" s="974"/>
      <c r="PHA124" s="974"/>
      <c r="PHB124" s="974"/>
      <c r="PHC124" s="974"/>
      <c r="PHD124" s="974"/>
      <c r="PHE124" s="974"/>
      <c r="PHF124" s="974"/>
      <c r="PHG124" s="974"/>
      <c r="PHH124" s="974"/>
      <c r="PHI124" s="974"/>
      <c r="PHJ124" s="974"/>
      <c r="PHK124" s="974"/>
      <c r="PHL124" s="974"/>
      <c r="PHM124" s="974"/>
      <c r="PHN124" s="974"/>
      <c r="PHO124" s="974"/>
      <c r="PHP124" s="974"/>
      <c r="PHQ124" s="974"/>
      <c r="PHR124" s="974"/>
      <c r="PHS124" s="974"/>
      <c r="PHT124" s="974"/>
      <c r="PHU124" s="974"/>
      <c r="PHV124" s="974"/>
      <c r="PHW124" s="974"/>
      <c r="PHX124" s="974"/>
      <c r="PHY124" s="974"/>
      <c r="PHZ124" s="974"/>
      <c r="PIA124" s="974"/>
      <c r="PIB124" s="974"/>
      <c r="PIC124" s="974"/>
      <c r="PID124" s="974"/>
      <c r="PIE124" s="974"/>
      <c r="PIF124" s="974"/>
      <c r="PIG124" s="974"/>
      <c r="PIH124" s="974"/>
      <c r="PII124" s="974"/>
      <c r="PIJ124" s="974"/>
      <c r="PIK124" s="974"/>
      <c r="PIL124" s="974"/>
      <c r="PIM124" s="974"/>
      <c r="PIN124" s="974"/>
      <c r="PIO124" s="974"/>
      <c r="PIP124" s="974"/>
      <c r="PIQ124" s="974"/>
      <c r="PIR124" s="974"/>
      <c r="PIS124" s="974"/>
      <c r="PIT124" s="974"/>
      <c r="PIU124" s="974"/>
      <c r="PIV124" s="974"/>
      <c r="PIW124" s="974"/>
      <c r="PIX124" s="974"/>
      <c r="PIY124" s="974"/>
      <c r="PIZ124" s="974"/>
      <c r="PJA124" s="974"/>
      <c r="PJB124" s="974"/>
      <c r="PJC124" s="974"/>
      <c r="PJD124" s="974"/>
      <c r="PJE124" s="974"/>
      <c r="PJF124" s="974"/>
      <c r="PJG124" s="974"/>
      <c r="PJH124" s="974"/>
      <c r="PJI124" s="974"/>
      <c r="PJJ124" s="974"/>
      <c r="PJK124" s="974"/>
      <c r="PJL124" s="974"/>
      <c r="PJM124" s="974"/>
      <c r="PJN124" s="974"/>
      <c r="PJO124" s="974"/>
      <c r="PJP124" s="974"/>
      <c r="PJQ124" s="974"/>
      <c r="PJR124" s="974"/>
      <c r="PJS124" s="974"/>
      <c r="PJT124" s="974"/>
      <c r="PJU124" s="974"/>
      <c r="PJV124" s="974"/>
      <c r="PJW124" s="974"/>
      <c r="PJX124" s="974"/>
      <c r="PJY124" s="974"/>
      <c r="PJZ124" s="974"/>
      <c r="PKA124" s="974"/>
      <c r="PKB124" s="974"/>
      <c r="PKC124" s="974"/>
      <c r="PKD124" s="974"/>
      <c r="PKE124" s="974"/>
      <c r="PKF124" s="974"/>
      <c r="PKG124" s="974"/>
      <c r="PKH124" s="974"/>
      <c r="PKI124" s="974"/>
      <c r="PKJ124" s="974"/>
      <c r="PKK124" s="974"/>
      <c r="PKL124" s="974"/>
      <c r="PKM124" s="974"/>
      <c r="PKN124" s="974"/>
      <c r="PKO124" s="974"/>
      <c r="PKP124" s="974"/>
      <c r="PKQ124" s="974"/>
      <c r="PKR124" s="974"/>
      <c r="PKS124" s="974"/>
      <c r="PKT124" s="974"/>
      <c r="PKU124" s="974"/>
      <c r="PKV124" s="974"/>
      <c r="PKW124" s="974"/>
      <c r="PKX124" s="974"/>
      <c r="PKY124" s="974"/>
      <c r="PKZ124" s="974"/>
      <c r="PLA124" s="974"/>
      <c r="PLB124" s="974"/>
      <c r="PLC124" s="974"/>
      <c r="PLD124" s="974"/>
      <c r="PLE124" s="974"/>
      <c r="PLF124" s="974"/>
      <c r="PLG124" s="974"/>
      <c r="PLH124" s="974"/>
      <c r="PLI124" s="974"/>
      <c r="PLJ124" s="974"/>
      <c r="PLK124" s="974"/>
      <c r="PLL124" s="974"/>
      <c r="PLM124" s="974"/>
      <c r="PLN124" s="974"/>
      <c r="PLO124" s="974"/>
      <c r="PLP124" s="974"/>
      <c r="PLQ124" s="974"/>
      <c r="PLR124" s="974"/>
      <c r="PLS124" s="974"/>
      <c r="PLT124" s="974"/>
      <c r="PLU124" s="974"/>
      <c r="PLV124" s="974"/>
      <c r="PLW124" s="974"/>
      <c r="PLX124" s="974"/>
      <c r="PLY124" s="974"/>
      <c r="PLZ124" s="974"/>
      <c r="PMA124" s="974"/>
      <c r="PMB124" s="974"/>
      <c r="PMC124" s="974"/>
      <c r="PMD124" s="974"/>
      <c r="PME124" s="974"/>
      <c r="PMF124" s="974"/>
      <c r="PMG124" s="974"/>
      <c r="PMH124" s="974"/>
      <c r="PMI124" s="974"/>
      <c r="PMJ124" s="974"/>
      <c r="PMK124" s="974"/>
      <c r="PML124" s="974"/>
      <c r="PMM124" s="974"/>
      <c r="PMN124" s="974"/>
      <c r="PMO124" s="974"/>
      <c r="PMP124" s="974"/>
      <c r="PMQ124" s="974"/>
      <c r="PMR124" s="974"/>
      <c r="PMS124" s="974"/>
      <c r="PMT124" s="974"/>
      <c r="PMU124" s="974"/>
      <c r="PMV124" s="974"/>
      <c r="PMW124" s="974"/>
      <c r="PMX124" s="974"/>
      <c r="PMY124" s="974"/>
      <c r="PMZ124" s="974"/>
      <c r="PNA124" s="974"/>
      <c r="PNB124" s="974"/>
      <c r="PNC124" s="974"/>
      <c r="PND124" s="974"/>
      <c r="PNE124" s="974"/>
      <c r="PNF124" s="974"/>
      <c r="PNG124" s="974"/>
      <c r="PNH124" s="974"/>
      <c r="PNI124" s="974"/>
      <c r="PNJ124" s="974"/>
      <c r="PNK124" s="974"/>
      <c r="PNL124" s="974"/>
      <c r="PNM124" s="974"/>
      <c r="PNN124" s="974"/>
      <c r="PNO124" s="974"/>
      <c r="PNP124" s="974"/>
      <c r="PNQ124" s="974"/>
      <c r="PNR124" s="974"/>
      <c r="PNS124" s="974"/>
      <c r="PNT124" s="974"/>
      <c r="PNU124" s="974"/>
      <c r="PNV124" s="974"/>
      <c r="PNW124" s="974"/>
      <c r="PNX124" s="974"/>
      <c r="PNY124" s="974"/>
      <c r="PNZ124" s="974"/>
      <c r="POA124" s="974"/>
      <c r="POB124" s="974"/>
      <c r="POC124" s="974"/>
      <c r="POD124" s="974"/>
      <c r="POE124" s="974"/>
      <c r="POF124" s="974"/>
      <c r="POG124" s="974"/>
      <c r="POH124" s="974"/>
      <c r="POI124" s="974"/>
      <c r="POJ124" s="974"/>
      <c r="POK124" s="974"/>
      <c r="POL124" s="974"/>
      <c r="POM124" s="974"/>
      <c r="PON124" s="974"/>
      <c r="POO124" s="974"/>
      <c r="POP124" s="974"/>
      <c r="POQ124" s="974"/>
      <c r="POR124" s="974"/>
      <c r="POS124" s="974"/>
      <c r="POT124" s="974"/>
      <c r="POU124" s="974"/>
      <c r="POV124" s="974"/>
      <c r="POW124" s="974"/>
      <c r="POX124" s="974"/>
      <c r="POY124" s="974"/>
      <c r="POZ124" s="974"/>
      <c r="PPA124" s="974"/>
      <c r="PPB124" s="974"/>
      <c r="PPC124" s="974"/>
      <c r="PPD124" s="974"/>
      <c r="PPE124" s="974"/>
      <c r="PPF124" s="974"/>
      <c r="PPG124" s="974"/>
      <c r="PPH124" s="974"/>
      <c r="PPI124" s="974"/>
      <c r="PPJ124" s="974"/>
      <c r="PPK124" s="974"/>
      <c r="PPL124" s="974"/>
      <c r="PPM124" s="974"/>
      <c r="PPN124" s="974"/>
      <c r="PPO124" s="974"/>
      <c r="PPP124" s="974"/>
      <c r="PPQ124" s="974"/>
      <c r="PPR124" s="974"/>
      <c r="PPS124" s="974"/>
      <c r="PPT124" s="974"/>
      <c r="PPU124" s="974"/>
      <c r="PPV124" s="974"/>
      <c r="PPW124" s="974"/>
      <c r="PPX124" s="974"/>
      <c r="PPY124" s="974"/>
      <c r="PPZ124" s="974"/>
      <c r="PQA124" s="974"/>
      <c r="PQB124" s="974"/>
      <c r="PQC124" s="974"/>
      <c r="PQD124" s="974"/>
      <c r="PQE124" s="974"/>
      <c r="PQF124" s="974"/>
      <c r="PQG124" s="974"/>
      <c r="PQH124" s="974"/>
      <c r="PQI124" s="974"/>
      <c r="PQJ124" s="974"/>
      <c r="PQK124" s="974"/>
      <c r="PQL124" s="974"/>
      <c r="PQM124" s="974"/>
      <c r="PQN124" s="974"/>
      <c r="PQO124" s="974"/>
      <c r="PQP124" s="974"/>
      <c r="PQQ124" s="974"/>
      <c r="PQR124" s="974"/>
      <c r="PQS124" s="974"/>
      <c r="PQT124" s="974"/>
      <c r="PQU124" s="974"/>
      <c r="PQV124" s="974"/>
      <c r="PQW124" s="974"/>
      <c r="PQX124" s="974"/>
      <c r="PQY124" s="974"/>
      <c r="PQZ124" s="974"/>
      <c r="PRA124" s="974"/>
      <c r="PRB124" s="974"/>
      <c r="PRC124" s="974"/>
      <c r="PRD124" s="974"/>
      <c r="PRE124" s="974"/>
      <c r="PRF124" s="974"/>
      <c r="PRG124" s="974"/>
      <c r="PRH124" s="974"/>
      <c r="PRI124" s="974"/>
      <c r="PRJ124" s="974"/>
      <c r="PRK124" s="974"/>
      <c r="PRL124" s="974"/>
      <c r="PRM124" s="974"/>
      <c r="PRN124" s="974"/>
      <c r="PRO124" s="974"/>
      <c r="PRP124" s="974"/>
      <c r="PRQ124" s="974"/>
      <c r="PRR124" s="974"/>
      <c r="PRS124" s="974"/>
      <c r="PRT124" s="974"/>
      <c r="PRU124" s="974"/>
      <c r="PRV124" s="974"/>
      <c r="PRW124" s="974"/>
      <c r="PRX124" s="974"/>
      <c r="PRY124" s="974"/>
      <c r="PRZ124" s="974"/>
      <c r="PSA124" s="974"/>
      <c r="PSB124" s="974"/>
      <c r="PSC124" s="974"/>
      <c r="PSD124" s="974"/>
      <c r="PSE124" s="974"/>
      <c r="PSF124" s="974"/>
      <c r="PSG124" s="974"/>
      <c r="PSH124" s="974"/>
      <c r="PSI124" s="974"/>
      <c r="PSJ124" s="974"/>
      <c r="PSK124" s="974"/>
      <c r="PSL124" s="974"/>
      <c r="PSM124" s="974"/>
      <c r="PSN124" s="974"/>
      <c r="PSO124" s="974"/>
      <c r="PSP124" s="974"/>
      <c r="PSQ124" s="974"/>
      <c r="PSR124" s="974"/>
      <c r="PSS124" s="974"/>
      <c r="PST124" s="974"/>
      <c r="PSU124" s="974"/>
      <c r="PSV124" s="974"/>
      <c r="PSW124" s="974"/>
      <c r="PSX124" s="974"/>
      <c r="PSY124" s="974"/>
      <c r="PSZ124" s="974"/>
      <c r="PTA124" s="974"/>
      <c r="PTB124" s="974"/>
      <c r="PTC124" s="974"/>
      <c r="PTD124" s="974"/>
      <c r="PTE124" s="974"/>
      <c r="PTF124" s="974"/>
      <c r="PTG124" s="974"/>
      <c r="PTH124" s="974"/>
      <c r="PTI124" s="974"/>
      <c r="PTJ124" s="974"/>
      <c r="PTK124" s="974"/>
      <c r="PTL124" s="974"/>
      <c r="PTM124" s="974"/>
      <c r="PTN124" s="974"/>
      <c r="PTO124" s="974"/>
      <c r="PTP124" s="974"/>
      <c r="PTQ124" s="974"/>
      <c r="PTR124" s="974"/>
      <c r="PTS124" s="974"/>
      <c r="PTT124" s="974"/>
      <c r="PTU124" s="974"/>
      <c r="PTV124" s="974"/>
      <c r="PTW124" s="974"/>
      <c r="PTX124" s="974"/>
      <c r="PTY124" s="974"/>
      <c r="PTZ124" s="974"/>
      <c r="PUA124" s="974"/>
      <c r="PUB124" s="974"/>
      <c r="PUC124" s="974"/>
      <c r="PUD124" s="974"/>
      <c r="PUE124" s="974"/>
      <c r="PUF124" s="974"/>
      <c r="PUG124" s="974"/>
      <c r="PUH124" s="974"/>
      <c r="PUI124" s="974"/>
      <c r="PUJ124" s="974"/>
      <c r="PUK124" s="974"/>
      <c r="PUL124" s="974"/>
      <c r="PUM124" s="974"/>
      <c r="PUN124" s="974"/>
      <c r="PUO124" s="974"/>
      <c r="PUP124" s="974"/>
      <c r="PUQ124" s="974"/>
      <c r="PUR124" s="974"/>
      <c r="PUS124" s="974"/>
      <c r="PUT124" s="974"/>
      <c r="PUU124" s="974"/>
      <c r="PUV124" s="974"/>
      <c r="PUW124" s="974"/>
      <c r="PUX124" s="974"/>
      <c r="PUY124" s="974"/>
      <c r="PUZ124" s="974"/>
      <c r="PVA124" s="974"/>
      <c r="PVB124" s="974"/>
      <c r="PVC124" s="974"/>
      <c r="PVD124" s="974"/>
      <c r="PVE124" s="974"/>
      <c r="PVF124" s="974"/>
      <c r="PVG124" s="974"/>
      <c r="PVH124" s="974"/>
      <c r="PVI124" s="974"/>
      <c r="PVJ124" s="974"/>
      <c r="PVK124" s="974"/>
      <c r="PVL124" s="974"/>
      <c r="PVM124" s="974"/>
      <c r="PVN124" s="974"/>
      <c r="PVO124" s="974"/>
      <c r="PVP124" s="974"/>
      <c r="PVQ124" s="974"/>
      <c r="PVR124" s="974"/>
      <c r="PVS124" s="974"/>
      <c r="PVT124" s="974"/>
      <c r="PVU124" s="974"/>
      <c r="PVV124" s="974"/>
      <c r="PVW124" s="974"/>
      <c r="PVX124" s="974"/>
      <c r="PVY124" s="974"/>
      <c r="PVZ124" s="974"/>
      <c r="PWA124" s="974"/>
      <c r="PWB124" s="974"/>
      <c r="PWC124" s="974"/>
      <c r="PWD124" s="974"/>
      <c r="PWE124" s="974"/>
      <c r="PWF124" s="974"/>
      <c r="PWG124" s="974"/>
      <c r="PWH124" s="974"/>
      <c r="PWI124" s="974"/>
      <c r="PWJ124" s="974"/>
      <c r="PWK124" s="974"/>
      <c r="PWL124" s="974"/>
      <c r="PWM124" s="974"/>
      <c r="PWN124" s="974"/>
      <c r="PWO124" s="974"/>
      <c r="PWP124" s="974"/>
      <c r="PWQ124" s="974"/>
      <c r="PWR124" s="974"/>
      <c r="PWS124" s="974"/>
      <c r="PWT124" s="974"/>
      <c r="PWU124" s="974"/>
      <c r="PWV124" s="974"/>
      <c r="PWW124" s="974"/>
      <c r="PWX124" s="974"/>
      <c r="PWY124" s="974"/>
      <c r="PWZ124" s="974"/>
      <c r="PXA124" s="974"/>
      <c r="PXB124" s="974"/>
      <c r="PXC124" s="974"/>
      <c r="PXD124" s="974"/>
      <c r="PXE124" s="974"/>
      <c r="PXF124" s="974"/>
      <c r="PXG124" s="974"/>
      <c r="PXH124" s="974"/>
      <c r="PXI124" s="974"/>
      <c r="PXJ124" s="974"/>
      <c r="PXK124" s="974"/>
      <c r="PXL124" s="974"/>
      <c r="PXM124" s="974"/>
      <c r="PXN124" s="974"/>
      <c r="PXO124" s="974"/>
      <c r="PXP124" s="974"/>
      <c r="PXQ124" s="974"/>
      <c r="PXR124" s="974"/>
      <c r="PXS124" s="974"/>
      <c r="PXT124" s="974"/>
      <c r="PXU124" s="974"/>
      <c r="PXV124" s="974"/>
      <c r="PXW124" s="974"/>
      <c r="PXX124" s="974"/>
      <c r="PXY124" s="974"/>
      <c r="PXZ124" s="974"/>
      <c r="PYA124" s="974"/>
      <c r="PYB124" s="974"/>
      <c r="PYC124" s="974"/>
      <c r="PYD124" s="974"/>
      <c r="PYE124" s="974"/>
      <c r="PYF124" s="974"/>
      <c r="PYG124" s="974"/>
      <c r="PYH124" s="974"/>
      <c r="PYI124" s="974"/>
      <c r="PYJ124" s="974"/>
      <c r="PYK124" s="974"/>
      <c r="PYL124" s="974"/>
      <c r="PYM124" s="974"/>
      <c r="PYN124" s="974"/>
      <c r="PYO124" s="974"/>
      <c r="PYP124" s="974"/>
      <c r="PYQ124" s="974"/>
      <c r="PYR124" s="974"/>
      <c r="PYS124" s="974"/>
      <c r="PYT124" s="974"/>
      <c r="PYU124" s="974"/>
      <c r="PYV124" s="974"/>
      <c r="PYW124" s="974"/>
      <c r="PYX124" s="974"/>
      <c r="PYY124" s="974"/>
      <c r="PYZ124" s="974"/>
      <c r="PZA124" s="974"/>
      <c r="PZB124" s="974"/>
      <c r="PZC124" s="974"/>
      <c r="PZD124" s="974"/>
      <c r="PZE124" s="974"/>
      <c r="PZF124" s="974"/>
      <c r="PZG124" s="974"/>
      <c r="PZH124" s="974"/>
      <c r="PZI124" s="974"/>
      <c r="PZJ124" s="974"/>
      <c r="PZK124" s="974"/>
      <c r="PZL124" s="974"/>
      <c r="PZM124" s="974"/>
      <c r="PZN124" s="974"/>
      <c r="PZO124" s="974"/>
      <c r="PZP124" s="974"/>
      <c r="PZQ124" s="974"/>
      <c r="PZR124" s="974"/>
      <c r="PZS124" s="974"/>
      <c r="PZT124" s="974"/>
      <c r="PZU124" s="974"/>
      <c r="PZV124" s="974"/>
      <c r="PZW124" s="974"/>
      <c r="PZX124" s="974"/>
      <c r="PZY124" s="974"/>
      <c r="PZZ124" s="974"/>
      <c r="QAA124" s="974"/>
      <c r="QAB124" s="974"/>
      <c r="QAC124" s="974"/>
      <c r="QAD124" s="974"/>
      <c r="QAE124" s="974"/>
      <c r="QAF124" s="974"/>
      <c r="QAG124" s="974"/>
      <c r="QAH124" s="974"/>
      <c r="QAI124" s="974"/>
      <c r="QAJ124" s="974"/>
      <c r="QAK124" s="974"/>
      <c r="QAL124" s="974"/>
      <c r="QAM124" s="974"/>
      <c r="QAN124" s="974"/>
      <c r="QAO124" s="974"/>
      <c r="QAP124" s="974"/>
      <c r="QAQ124" s="974"/>
      <c r="QAR124" s="974"/>
      <c r="QAS124" s="974"/>
      <c r="QAT124" s="974"/>
      <c r="QAU124" s="974"/>
      <c r="QAV124" s="974"/>
      <c r="QAW124" s="974"/>
      <c r="QAX124" s="974"/>
      <c r="QAY124" s="974"/>
      <c r="QAZ124" s="974"/>
      <c r="QBA124" s="974"/>
      <c r="QBB124" s="974"/>
      <c r="QBC124" s="974"/>
      <c r="QBD124" s="974"/>
      <c r="QBE124" s="974"/>
      <c r="QBF124" s="974"/>
      <c r="QBG124" s="974"/>
      <c r="QBH124" s="974"/>
      <c r="QBI124" s="974"/>
      <c r="QBJ124" s="974"/>
      <c r="QBK124" s="974"/>
      <c r="QBL124" s="974"/>
      <c r="QBM124" s="974"/>
      <c r="QBN124" s="974"/>
      <c r="QBO124" s="974"/>
      <c r="QBP124" s="974"/>
      <c r="QBQ124" s="974"/>
      <c r="QBR124" s="974"/>
      <c r="QBS124" s="974"/>
      <c r="QBT124" s="974"/>
      <c r="QBU124" s="974"/>
      <c r="QBV124" s="974"/>
      <c r="QBW124" s="974"/>
      <c r="QBX124" s="974"/>
      <c r="QBY124" s="974"/>
      <c r="QBZ124" s="974"/>
      <c r="QCA124" s="974"/>
      <c r="QCB124" s="974"/>
      <c r="QCC124" s="974"/>
      <c r="QCD124" s="974"/>
      <c r="QCE124" s="974"/>
      <c r="QCF124" s="974"/>
      <c r="QCG124" s="974"/>
      <c r="QCH124" s="974"/>
      <c r="QCI124" s="974"/>
      <c r="QCJ124" s="974"/>
      <c r="QCK124" s="974"/>
      <c r="QCL124" s="974"/>
      <c r="QCM124" s="974"/>
      <c r="QCN124" s="974"/>
      <c r="QCO124" s="974"/>
      <c r="QCP124" s="974"/>
      <c r="QCQ124" s="974"/>
      <c r="QCR124" s="974"/>
      <c r="QCS124" s="974"/>
      <c r="QCT124" s="974"/>
      <c r="QCU124" s="974"/>
      <c r="QCV124" s="974"/>
      <c r="QCW124" s="974"/>
      <c r="QCX124" s="974"/>
      <c r="QCY124" s="974"/>
      <c r="QCZ124" s="974"/>
      <c r="QDA124" s="974"/>
      <c r="QDB124" s="974"/>
      <c r="QDC124" s="974"/>
      <c r="QDD124" s="974"/>
      <c r="QDE124" s="974"/>
      <c r="QDF124" s="974"/>
      <c r="QDG124" s="974"/>
      <c r="QDH124" s="974"/>
      <c r="QDI124" s="974"/>
      <c r="QDJ124" s="974"/>
      <c r="QDK124" s="974"/>
      <c r="QDL124" s="974"/>
      <c r="QDM124" s="974"/>
      <c r="QDN124" s="974"/>
      <c r="QDO124" s="974"/>
      <c r="QDP124" s="974"/>
      <c r="QDQ124" s="974"/>
      <c r="QDR124" s="974"/>
      <c r="QDS124" s="974"/>
      <c r="QDT124" s="974"/>
      <c r="QDU124" s="974"/>
      <c r="QDV124" s="974"/>
      <c r="QDW124" s="974"/>
      <c r="QDX124" s="974"/>
      <c r="QDY124" s="974"/>
      <c r="QDZ124" s="974"/>
      <c r="QEA124" s="974"/>
      <c r="QEB124" s="974"/>
      <c r="QEC124" s="974"/>
      <c r="QED124" s="974"/>
      <c r="QEE124" s="974"/>
      <c r="QEF124" s="974"/>
      <c r="QEG124" s="974"/>
      <c r="QEH124" s="974"/>
      <c r="QEI124" s="974"/>
      <c r="QEJ124" s="974"/>
      <c r="QEK124" s="974"/>
      <c r="QEL124" s="974"/>
      <c r="QEM124" s="974"/>
      <c r="QEN124" s="974"/>
      <c r="QEO124" s="974"/>
      <c r="QEP124" s="974"/>
      <c r="QEQ124" s="974"/>
      <c r="QER124" s="974"/>
      <c r="QES124" s="974"/>
      <c r="QET124" s="974"/>
      <c r="QEU124" s="974"/>
      <c r="QEV124" s="974"/>
      <c r="QEW124" s="974"/>
      <c r="QEX124" s="974"/>
      <c r="QEY124" s="974"/>
      <c r="QEZ124" s="974"/>
      <c r="QFA124" s="974"/>
      <c r="QFB124" s="974"/>
      <c r="QFC124" s="974"/>
      <c r="QFD124" s="974"/>
      <c r="QFE124" s="974"/>
      <c r="QFF124" s="974"/>
      <c r="QFG124" s="974"/>
      <c r="QFH124" s="974"/>
      <c r="QFI124" s="974"/>
      <c r="QFJ124" s="974"/>
      <c r="QFK124" s="974"/>
      <c r="QFL124" s="974"/>
      <c r="QFM124" s="974"/>
      <c r="QFN124" s="974"/>
      <c r="QFO124" s="974"/>
      <c r="QFP124" s="974"/>
      <c r="QFQ124" s="974"/>
      <c r="QFR124" s="974"/>
      <c r="QFS124" s="974"/>
      <c r="QFT124" s="974"/>
      <c r="QFU124" s="974"/>
      <c r="QFV124" s="974"/>
      <c r="QFW124" s="974"/>
      <c r="QFX124" s="974"/>
      <c r="QFY124" s="974"/>
      <c r="QFZ124" s="974"/>
      <c r="QGA124" s="974"/>
      <c r="QGB124" s="974"/>
      <c r="QGC124" s="974"/>
      <c r="QGD124" s="974"/>
      <c r="QGE124" s="974"/>
      <c r="QGF124" s="974"/>
      <c r="QGG124" s="974"/>
      <c r="QGH124" s="974"/>
      <c r="QGI124" s="974"/>
      <c r="QGJ124" s="974"/>
      <c r="QGK124" s="974"/>
      <c r="QGL124" s="974"/>
      <c r="QGM124" s="974"/>
      <c r="QGN124" s="974"/>
      <c r="QGO124" s="974"/>
      <c r="QGP124" s="974"/>
      <c r="QGQ124" s="974"/>
      <c r="QGR124" s="974"/>
      <c r="QGS124" s="974"/>
      <c r="QGT124" s="974"/>
      <c r="QGU124" s="974"/>
      <c r="QGV124" s="974"/>
      <c r="QGW124" s="974"/>
      <c r="QGX124" s="974"/>
      <c r="QGY124" s="974"/>
      <c r="QGZ124" s="974"/>
      <c r="QHA124" s="974"/>
      <c r="QHB124" s="974"/>
      <c r="QHC124" s="974"/>
      <c r="QHD124" s="974"/>
      <c r="QHE124" s="974"/>
      <c r="QHF124" s="974"/>
      <c r="QHG124" s="974"/>
      <c r="QHH124" s="974"/>
      <c r="QHI124" s="974"/>
      <c r="QHJ124" s="974"/>
      <c r="QHK124" s="974"/>
      <c r="QHL124" s="974"/>
      <c r="QHM124" s="974"/>
      <c r="QHN124" s="974"/>
      <c r="QHO124" s="974"/>
      <c r="QHP124" s="974"/>
      <c r="QHQ124" s="974"/>
      <c r="QHR124" s="974"/>
      <c r="QHS124" s="974"/>
      <c r="QHT124" s="974"/>
      <c r="QHU124" s="974"/>
      <c r="QHV124" s="974"/>
      <c r="QHW124" s="974"/>
      <c r="QHX124" s="974"/>
      <c r="QHY124" s="974"/>
      <c r="QHZ124" s="974"/>
      <c r="QIA124" s="974"/>
      <c r="QIB124" s="974"/>
      <c r="QIC124" s="974"/>
      <c r="QID124" s="974"/>
      <c r="QIE124" s="974"/>
      <c r="QIF124" s="974"/>
      <c r="QIG124" s="974"/>
      <c r="QIH124" s="974"/>
      <c r="QII124" s="974"/>
      <c r="QIJ124" s="974"/>
      <c r="QIK124" s="974"/>
      <c r="QIL124" s="974"/>
      <c r="QIM124" s="974"/>
      <c r="QIN124" s="974"/>
      <c r="QIO124" s="974"/>
      <c r="QIP124" s="974"/>
      <c r="QIQ124" s="974"/>
      <c r="QIR124" s="974"/>
      <c r="QIS124" s="974"/>
      <c r="QIT124" s="974"/>
      <c r="QIU124" s="974"/>
      <c r="QIV124" s="974"/>
      <c r="QIW124" s="974"/>
      <c r="QIX124" s="974"/>
      <c r="QIY124" s="974"/>
      <c r="QIZ124" s="974"/>
      <c r="QJA124" s="974"/>
      <c r="QJB124" s="974"/>
      <c r="QJC124" s="974"/>
      <c r="QJD124" s="974"/>
      <c r="QJE124" s="974"/>
      <c r="QJF124" s="974"/>
      <c r="QJG124" s="974"/>
      <c r="QJH124" s="974"/>
      <c r="QJI124" s="974"/>
      <c r="QJJ124" s="974"/>
      <c r="QJK124" s="974"/>
      <c r="QJL124" s="974"/>
      <c r="QJM124" s="974"/>
      <c r="QJN124" s="974"/>
      <c r="QJO124" s="974"/>
      <c r="QJP124" s="974"/>
      <c r="QJQ124" s="974"/>
      <c r="QJR124" s="974"/>
      <c r="QJS124" s="974"/>
      <c r="QJT124" s="974"/>
      <c r="QJU124" s="974"/>
      <c r="QJV124" s="974"/>
      <c r="QJW124" s="974"/>
      <c r="QJX124" s="974"/>
      <c r="QJY124" s="974"/>
      <c r="QJZ124" s="974"/>
      <c r="QKA124" s="974"/>
      <c r="QKB124" s="974"/>
      <c r="QKC124" s="974"/>
      <c r="QKD124" s="974"/>
      <c r="QKE124" s="974"/>
      <c r="QKF124" s="974"/>
      <c r="QKG124" s="974"/>
      <c r="QKH124" s="974"/>
      <c r="QKI124" s="974"/>
      <c r="QKJ124" s="974"/>
      <c r="QKK124" s="974"/>
      <c r="QKL124" s="974"/>
      <c r="QKM124" s="974"/>
      <c r="QKN124" s="974"/>
      <c r="QKO124" s="974"/>
      <c r="QKP124" s="974"/>
      <c r="QKQ124" s="974"/>
      <c r="QKR124" s="974"/>
      <c r="QKS124" s="974"/>
      <c r="QKT124" s="974"/>
      <c r="QKU124" s="974"/>
      <c r="QKV124" s="974"/>
      <c r="QKW124" s="974"/>
      <c r="QKX124" s="974"/>
      <c r="QKY124" s="974"/>
      <c r="QKZ124" s="974"/>
      <c r="QLA124" s="974"/>
      <c r="QLB124" s="974"/>
      <c r="QLC124" s="974"/>
      <c r="QLD124" s="974"/>
      <c r="QLE124" s="974"/>
      <c r="QLF124" s="974"/>
      <c r="QLG124" s="974"/>
      <c r="QLH124" s="974"/>
      <c r="QLI124" s="974"/>
      <c r="QLJ124" s="974"/>
      <c r="QLK124" s="974"/>
      <c r="QLL124" s="974"/>
      <c r="QLM124" s="974"/>
      <c r="QLN124" s="974"/>
      <c r="QLO124" s="974"/>
      <c r="QLP124" s="974"/>
      <c r="QLQ124" s="974"/>
      <c r="QLR124" s="974"/>
      <c r="QLS124" s="974"/>
      <c r="QLT124" s="974"/>
      <c r="QLU124" s="974"/>
      <c r="QLV124" s="974"/>
      <c r="QLW124" s="974"/>
      <c r="QLX124" s="974"/>
      <c r="QLY124" s="974"/>
      <c r="QLZ124" s="974"/>
      <c r="QMA124" s="974"/>
      <c r="QMB124" s="974"/>
      <c r="QMC124" s="974"/>
      <c r="QMD124" s="974"/>
      <c r="QME124" s="974"/>
      <c r="QMF124" s="974"/>
      <c r="QMG124" s="974"/>
      <c r="QMH124" s="974"/>
      <c r="QMI124" s="974"/>
      <c r="QMJ124" s="974"/>
      <c r="QMK124" s="974"/>
      <c r="QML124" s="974"/>
      <c r="QMM124" s="974"/>
      <c r="QMN124" s="974"/>
      <c r="QMO124" s="974"/>
      <c r="QMP124" s="974"/>
      <c r="QMQ124" s="974"/>
      <c r="QMR124" s="974"/>
      <c r="QMS124" s="974"/>
      <c r="QMT124" s="974"/>
      <c r="QMU124" s="974"/>
      <c r="QMV124" s="974"/>
      <c r="QMW124" s="974"/>
      <c r="QMX124" s="974"/>
      <c r="QMY124" s="974"/>
      <c r="QMZ124" s="974"/>
      <c r="QNA124" s="974"/>
      <c r="QNB124" s="974"/>
      <c r="QNC124" s="974"/>
      <c r="QND124" s="974"/>
      <c r="QNE124" s="974"/>
      <c r="QNF124" s="974"/>
      <c r="QNG124" s="974"/>
      <c r="QNH124" s="974"/>
      <c r="QNI124" s="974"/>
      <c r="QNJ124" s="974"/>
      <c r="QNK124" s="974"/>
      <c r="QNL124" s="974"/>
      <c r="QNM124" s="974"/>
      <c r="QNN124" s="974"/>
      <c r="QNO124" s="974"/>
      <c r="QNP124" s="974"/>
      <c r="QNQ124" s="974"/>
      <c r="QNR124" s="974"/>
      <c r="QNS124" s="974"/>
      <c r="QNT124" s="974"/>
      <c r="QNU124" s="974"/>
      <c r="QNV124" s="974"/>
      <c r="QNW124" s="974"/>
      <c r="QNX124" s="974"/>
      <c r="QNY124" s="974"/>
      <c r="QNZ124" s="974"/>
      <c r="QOA124" s="974"/>
      <c r="QOB124" s="974"/>
      <c r="QOC124" s="974"/>
      <c r="QOD124" s="974"/>
      <c r="QOE124" s="974"/>
      <c r="QOF124" s="974"/>
      <c r="QOG124" s="974"/>
      <c r="QOH124" s="974"/>
      <c r="QOI124" s="974"/>
      <c r="QOJ124" s="974"/>
      <c r="QOK124" s="974"/>
      <c r="QOL124" s="974"/>
      <c r="QOM124" s="974"/>
      <c r="QON124" s="974"/>
      <c r="QOO124" s="974"/>
      <c r="QOP124" s="974"/>
      <c r="QOQ124" s="974"/>
      <c r="QOR124" s="974"/>
      <c r="QOS124" s="974"/>
      <c r="QOT124" s="974"/>
      <c r="QOU124" s="974"/>
      <c r="QOV124" s="974"/>
      <c r="QOW124" s="974"/>
      <c r="QOX124" s="974"/>
      <c r="QOY124" s="974"/>
      <c r="QOZ124" s="974"/>
      <c r="QPA124" s="974"/>
      <c r="QPB124" s="974"/>
      <c r="QPC124" s="974"/>
      <c r="QPD124" s="974"/>
      <c r="QPE124" s="974"/>
      <c r="QPF124" s="974"/>
      <c r="QPG124" s="974"/>
      <c r="QPH124" s="974"/>
      <c r="QPI124" s="974"/>
      <c r="QPJ124" s="974"/>
      <c r="QPK124" s="974"/>
      <c r="QPL124" s="974"/>
      <c r="QPM124" s="974"/>
      <c r="QPN124" s="974"/>
      <c r="QPO124" s="974"/>
      <c r="QPP124" s="974"/>
      <c r="QPQ124" s="974"/>
      <c r="QPR124" s="974"/>
      <c r="QPS124" s="974"/>
      <c r="QPT124" s="974"/>
      <c r="QPU124" s="974"/>
      <c r="QPV124" s="974"/>
      <c r="QPW124" s="974"/>
      <c r="QPX124" s="974"/>
      <c r="QPY124" s="974"/>
      <c r="QPZ124" s="974"/>
      <c r="QQA124" s="974"/>
      <c r="QQB124" s="974"/>
      <c r="QQC124" s="974"/>
      <c r="QQD124" s="974"/>
      <c r="QQE124" s="974"/>
      <c r="QQF124" s="974"/>
      <c r="QQG124" s="974"/>
      <c r="QQH124" s="974"/>
      <c r="QQI124" s="974"/>
      <c r="QQJ124" s="974"/>
      <c r="QQK124" s="974"/>
      <c r="QQL124" s="974"/>
      <c r="QQM124" s="974"/>
      <c r="QQN124" s="974"/>
      <c r="QQO124" s="974"/>
      <c r="QQP124" s="974"/>
      <c r="QQQ124" s="974"/>
      <c r="QQR124" s="974"/>
      <c r="QQS124" s="974"/>
      <c r="QQT124" s="974"/>
      <c r="QQU124" s="974"/>
      <c r="QQV124" s="974"/>
      <c r="QQW124" s="974"/>
      <c r="QQX124" s="974"/>
      <c r="QQY124" s="974"/>
      <c r="QQZ124" s="974"/>
      <c r="QRA124" s="974"/>
      <c r="QRB124" s="974"/>
      <c r="QRC124" s="974"/>
      <c r="QRD124" s="974"/>
      <c r="QRE124" s="974"/>
      <c r="QRF124" s="974"/>
      <c r="QRG124" s="974"/>
      <c r="QRH124" s="974"/>
      <c r="QRI124" s="974"/>
      <c r="QRJ124" s="974"/>
      <c r="QRK124" s="974"/>
      <c r="QRL124" s="974"/>
      <c r="QRM124" s="974"/>
      <c r="QRN124" s="974"/>
      <c r="QRO124" s="974"/>
      <c r="QRP124" s="974"/>
      <c r="QRQ124" s="974"/>
      <c r="QRR124" s="974"/>
      <c r="QRS124" s="974"/>
      <c r="QRT124" s="974"/>
      <c r="QRU124" s="974"/>
      <c r="QRV124" s="974"/>
      <c r="QRW124" s="974"/>
      <c r="QRX124" s="974"/>
      <c r="QRY124" s="974"/>
      <c r="QRZ124" s="974"/>
      <c r="QSA124" s="974"/>
      <c r="QSB124" s="974"/>
      <c r="QSC124" s="974"/>
      <c r="QSD124" s="974"/>
      <c r="QSE124" s="974"/>
      <c r="QSF124" s="974"/>
      <c r="QSG124" s="974"/>
      <c r="QSH124" s="974"/>
      <c r="QSI124" s="974"/>
      <c r="QSJ124" s="974"/>
      <c r="QSK124" s="974"/>
      <c r="QSL124" s="974"/>
      <c r="QSM124" s="974"/>
      <c r="QSN124" s="974"/>
      <c r="QSO124" s="974"/>
      <c r="QSP124" s="974"/>
      <c r="QSQ124" s="974"/>
      <c r="QSR124" s="974"/>
      <c r="QSS124" s="974"/>
      <c r="QST124" s="974"/>
      <c r="QSU124" s="974"/>
      <c r="QSV124" s="974"/>
      <c r="QSW124" s="974"/>
      <c r="QSX124" s="974"/>
      <c r="QSY124" s="974"/>
      <c r="QSZ124" s="974"/>
      <c r="QTA124" s="974"/>
      <c r="QTB124" s="974"/>
      <c r="QTC124" s="974"/>
      <c r="QTD124" s="974"/>
      <c r="QTE124" s="974"/>
      <c r="QTF124" s="974"/>
      <c r="QTG124" s="974"/>
      <c r="QTH124" s="974"/>
      <c r="QTI124" s="974"/>
      <c r="QTJ124" s="974"/>
      <c r="QTK124" s="974"/>
      <c r="QTL124" s="974"/>
      <c r="QTM124" s="974"/>
      <c r="QTN124" s="974"/>
      <c r="QTO124" s="974"/>
      <c r="QTP124" s="974"/>
      <c r="QTQ124" s="974"/>
      <c r="QTR124" s="974"/>
      <c r="QTS124" s="974"/>
      <c r="QTT124" s="974"/>
      <c r="QTU124" s="974"/>
      <c r="QTV124" s="974"/>
      <c r="QTW124" s="974"/>
      <c r="QTX124" s="974"/>
      <c r="QTY124" s="974"/>
      <c r="QTZ124" s="974"/>
      <c r="QUA124" s="974"/>
      <c r="QUB124" s="974"/>
      <c r="QUC124" s="974"/>
      <c r="QUD124" s="974"/>
      <c r="QUE124" s="974"/>
      <c r="QUF124" s="974"/>
      <c r="QUG124" s="974"/>
      <c r="QUH124" s="974"/>
      <c r="QUI124" s="974"/>
      <c r="QUJ124" s="974"/>
      <c r="QUK124" s="974"/>
      <c r="QUL124" s="974"/>
      <c r="QUM124" s="974"/>
      <c r="QUN124" s="974"/>
      <c r="QUO124" s="974"/>
      <c r="QUP124" s="974"/>
      <c r="QUQ124" s="974"/>
      <c r="QUR124" s="974"/>
      <c r="QUS124" s="974"/>
      <c r="QUT124" s="974"/>
      <c r="QUU124" s="974"/>
      <c r="QUV124" s="974"/>
      <c r="QUW124" s="974"/>
      <c r="QUX124" s="974"/>
      <c r="QUY124" s="974"/>
      <c r="QUZ124" s="974"/>
      <c r="QVA124" s="974"/>
      <c r="QVB124" s="974"/>
      <c r="QVC124" s="974"/>
      <c r="QVD124" s="974"/>
      <c r="QVE124" s="974"/>
      <c r="QVF124" s="974"/>
      <c r="QVG124" s="974"/>
      <c r="QVH124" s="974"/>
      <c r="QVI124" s="974"/>
      <c r="QVJ124" s="974"/>
      <c r="QVK124" s="974"/>
      <c r="QVL124" s="974"/>
      <c r="QVM124" s="974"/>
      <c r="QVN124" s="974"/>
      <c r="QVO124" s="974"/>
      <c r="QVP124" s="974"/>
      <c r="QVQ124" s="974"/>
      <c r="QVR124" s="974"/>
      <c r="QVS124" s="974"/>
      <c r="QVT124" s="974"/>
      <c r="QVU124" s="974"/>
      <c r="QVV124" s="974"/>
      <c r="QVW124" s="974"/>
      <c r="QVX124" s="974"/>
      <c r="QVY124" s="974"/>
      <c r="QVZ124" s="974"/>
      <c r="QWA124" s="974"/>
      <c r="QWB124" s="974"/>
      <c r="QWC124" s="974"/>
      <c r="QWD124" s="974"/>
      <c r="QWE124" s="974"/>
      <c r="QWF124" s="974"/>
      <c r="QWG124" s="974"/>
      <c r="QWH124" s="974"/>
      <c r="QWI124" s="974"/>
      <c r="QWJ124" s="974"/>
      <c r="QWK124" s="974"/>
      <c r="QWL124" s="974"/>
      <c r="QWM124" s="974"/>
      <c r="QWN124" s="974"/>
      <c r="QWO124" s="974"/>
      <c r="QWP124" s="974"/>
      <c r="QWQ124" s="974"/>
      <c r="QWR124" s="974"/>
      <c r="QWS124" s="974"/>
      <c r="QWT124" s="974"/>
      <c r="QWU124" s="974"/>
      <c r="QWV124" s="974"/>
      <c r="QWW124" s="974"/>
      <c r="QWX124" s="974"/>
      <c r="QWY124" s="974"/>
      <c r="QWZ124" s="974"/>
      <c r="QXA124" s="974"/>
      <c r="QXB124" s="974"/>
      <c r="QXC124" s="974"/>
      <c r="QXD124" s="974"/>
      <c r="QXE124" s="974"/>
      <c r="QXF124" s="974"/>
      <c r="QXG124" s="974"/>
      <c r="QXH124" s="974"/>
      <c r="QXI124" s="974"/>
      <c r="QXJ124" s="974"/>
      <c r="QXK124" s="974"/>
      <c r="QXL124" s="974"/>
      <c r="QXM124" s="974"/>
      <c r="QXN124" s="974"/>
      <c r="QXO124" s="974"/>
      <c r="QXP124" s="974"/>
      <c r="QXQ124" s="974"/>
      <c r="QXR124" s="974"/>
      <c r="QXS124" s="974"/>
      <c r="QXT124" s="974"/>
      <c r="QXU124" s="974"/>
      <c r="QXV124" s="974"/>
      <c r="QXW124" s="974"/>
      <c r="QXX124" s="974"/>
      <c r="QXY124" s="974"/>
      <c r="QXZ124" s="974"/>
      <c r="QYA124" s="974"/>
      <c r="QYB124" s="974"/>
      <c r="QYC124" s="974"/>
      <c r="QYD124" s="974"/>
      <c r="QYE124" s="974"/>
      <c r="QYF124" s="974"/>
      <c r="QYG124" s="974"/>
      <c r="QYH124" s="974"/>
      <c r="QYI124" s="974"/>
      <c r="QYJ124" s="974"/>
      <c r="QYK124" s="974"/>
      <c r="QYL124" s="974"/>
      <c r="QYM124" s="974"/>
      <c r="QYN124" s="974"/>
      <c r="QYO124" s="974"/>
      <c r="QYP124" s="974"/>
      <c r="QYQ124" s="974"/>
      <c r="QYR124" s="974"/>
      <c r="QYS124" s="974"/>
      <c r="QYT124" s="974"/>
      <c r="QYU124" s="974"/>
      <c r="QYV124" s="974"/>
      <c r="QYW124" s="974"/>
      <c r="QYX124" s="974"/>
      <c r="QYY124" s="974"/>
      <c r="QYZ124" s="974"/>
      <c r="QZA124" s="974"/>
      <c r="QZB124" s="974"/>
      <c r="QZC124" s="974"/>
      <c r="QZD124" s="974"/>
      <c r="QZE124" s="974"/>
      <c r="QZF124" s="974"/>
      <c r="QZG124" s="974"/>
      <c r="QZH124" s="974"/>
      <c r="QZI124" s="974"/>
      <c r="QZJ124" s="974"/>
      <c r="QZK124" s="974"/>
      <c r="QZL124" s="974"/>
      <c r="QZM124" s="974"/>
      <c r="QZN124" s="974"/>
      <c r="QZO124" s="974"/>
      <c r="QZP124" s="974"/>
      <c r="QZQ124" s="974"/>
      <c r="QZR124" s="974"/>
      <c r="QZS124" s="974"/>
      <c r="QZT124" s="974"/>
      <c r="QZU124" s="974"/>
      <c r="QZV124" s="974"/>
      <c r="QZW124" s="974"/>
      <c r="QZX124" s="974"/>
      <c r="QZY124" s="974"/>
      <c r="QZZ124" s="974"/>
      <c r="RAA124" s="974"/>
      <c r="RAB124" s="974"/>
      <c r="RAC124" s="974"/>
      <c r="RAD124" s="974"/>
      <c r="RAE124" s="974"/>
      <c r="RAF124" s="974"/>
      <c r="RAG124" s="974"/>
      <c r="RAH124" s="974"/>
      <c r="RAI124" s="974"/>
      <c r="RAJ124" s="974"/>
      <c r="RAK124" s="974"/>
      <c r="RAL124" s="974"/>
      <c r="RAM124" s="974"/>
      <c r="RAN124" s="974"/>
      <c r="RAO124" s="974"/>
      <c r="RAP124" s="974"/>
      <c r="RAQ124" s="974"/>
      <c r="RAR124" s="974"/>
      <c r="RAS124" s="974"/>
      <c r="RAT124" s="974"/>
      <c r="RAU124" s="974"/>
      <c r="RAV124" s="974"/>
      <c r="RAW124" s="974"/>
      <c r="RAX124" s="974"/>
      <c r="RAY124" s="974"/>
      <c r="RAZ124" s="974"/>
      <c r="RBA124" s="974"/>
      <c r="RBB124" s="974"/>
      <c r="RBC124" s="974"/>
      <c r="RBD124" s="974"/>
      <c r="RBE124" s="974"/>
      <c r="RBF124" s="974"/>
      <c r="RBG124" s="974"/>
      <c r="RBH124" s="974"/>
      <c r="RBI124" s="974"/>
      <c r="RBJ124" s="974"/>
      <c r="RBK124" s="974"/>
      <c r="RBL124" s="974"/>
      <c r="RBM124" s="974"/>
      <c r="RBN124" s="974"/>
      <c r="RBO124" s="974"/>
      <c r="RBP124" s="974"/>
      <c r="RBQ124" s="974"/>
      <c r="RBR124" s="974"/>
      <c r="RBS124" s="974"/>
      <c r="RBT124" s="974"/>
      <c r="RBU124" s="974"/>
      <c r="RBV124" s="974"/>
      <c r="RBW124" s="974"/>
      <c r="RBX124" s="974"/>
      <c r="RBY124" s="974"/>
      <c r="RBZ124" s="974"/>
      <c r="RCA124" s="974"/>
      <c r="RCB124" s="974"/>
      <c r="RCC124" s="974"/>
      <c r="RCD124" s="974"/>
      <c r="RCE124" s="974"/>
      <c r="RCF124" s="974"/>
      <c r="RCG124" s="974"/>
      <c r="RCH124" s="974"/>
      <c r="RCI124" s="974"/>
      <c r="RCJ124" s="974"/>
      <c r="RCK124" s="974"/>
      <c r="RCL124" s="974"/>
      <c r="RCM124" s="974"/>
      <c r="RCN124" s="974"/>
      <c r="RCO124" s="974"/>
      <c r="RCP124" s="974"/>
      <c r="RCQ124" s="974"/>
      <c r="RCR124" s="974"/>
      <c r="RCS124" s="974"/>
      <c r="RCT124" s="974"/>
      <c r="RCU124" s="974"/>
      <c r="RCV124" s="974"/>
      <c r="RCW124" s="974"/>
      <c r="RCX124" s="974"/>
      <c r="RCY124" s="974"/>
      <c r="RCZ124" s="974"/>
      <c r="RDA124" s="974"/>
      <c r="RDB124" s="974"/>
      <c r="RDC124" s="974"/>
      <c r="RDD124" s="974"/>
      <c r="RDE124" s="974"/>
      <c r="RDF124" s="974"/>
      <c r="RDG124" s="974"/>
      <c r="RDH124" s="974"/>
      <c r="RDI124" s="974"/>
      <c r="RDJ124" s="974"/>
      <c r="RDK124" s="974"/>
      <c r="RDL124" s="974"/>
      <c r="RDM124" s="974"/>
      <c r="RDN124" s="974"/>
      <c r="RDO124" s="974"/>
      <c r="RDP124" s="974"/>
      <c r="RDQ124" s="974"/>
      <c r="RDR124" s="974"/>
      <c r="RDS124" s="974"/>
      <c r="RDT124" s="974"/>
      <c r="RDU124" s="974"/>
      <c r="RDV124" s="974"/>
      <c r="RDW124" s="974"/>
      <c r="RDX124" s="974"/>
      <c r="RDY124" s="974"/>
      <c r="RDZ124" s="974"/>
      <c r="REA124" s="974"/>
      <c r="REB124" s="974"/>
      <c r="REC124" s="974"/>
      <c r="RED124" s="974"/>
      <c r="REE124" s="974"/>
      <c r="REF124" s="974"/>
      <c r="REG124" s="974"/>
      <c r="REH124" s="974"/>
      <c r="REI124" s="974"/>
      <c r="REJ124" s="974"/>
      <c r="REK124" s="974"/>
      <c r="REL124" s="974"/>
      <c r="REM124" s="974"/>
      <c r="REN124" s="974"/>
      <c r="REO124" s="974"/>
      <c r="REP124" s="974"/>
      <c r="REQ124" s="974"/>
      <c r="RER124" s="974"/>
      <c r="RES124" s="974"/>
      <c r="RET124" s="974"/>
      <c r="REU124" s="974"/>
      <c r="REV124" s="974"/>
      <c r="REW124" s="974"/>
      <c r="REX124" s="974"/>
      <c r="REY124" s="974"/>
      <c r="REZ124" s="974"/>
      <c r="RFA124" s="974"/>
      <c r="RFB124" s="974"/>
      <c r="RFC124" s="974"/>
      <c r="RFD124" s="974"/>
      <c r="RFE124" s="974"/>
      <c r="RFF124" s="974"/>
      <c r="RFG124" s="974"/>
      <c r="RFH124" s="974"/>
      <c r="RFI124" s="974"/>
      <c r="RFJ124" s="974"/>
      <c r="RFK124" s="974"/>
      <c r="RFL124" s="974"/>
      <c r="RFM124" s="974"/>
      <c r="RFN124" s="974"/>
      <c r="RFO124" s="974"/>
      <c r="RFP124" s="974"/>
      <c r="RFQ124" s="974"/>
      <c r="RFR124" s="974"/>
      <c r="RFS124" s="974"/>
      <c r="RFT124" s="974"/>
      <c r="RFU124" s="974"/>
      <c r="RFV124" s="974"/>
      <c r="RFW124" s="974"/>
      <c r="RFX124" s="974"/>
      <c r="RFY124" s="974"/>
      <c r="RFZ124" s="974"/>
      <c r="RGA124" s="974"/>
      <c r="RGB124" s="974"/>
      <c r="RGC124" s="974"/>
      <c r="RGD124" s="974"/>
      <c r="RGE124" s="974"/>
      <c r="RGF124" s="974"/>
      <c r="RGG124" s="974"/>
      <c r="RGH124" s="974"/>
      <c r="RGI124" s="974"/>
      <c r="RGJ124" s="974"/>
      <c r="RGK124" s="974"/>
      <c r="RGL124" s="974"/>
      <c r="RGM124" s="974"/>
      <c r="RGN124" s="974"/>
      <c r="RGO124" s="974"/>
      <c r="RGP124" s="974"/>
      <c r="RGQ124" s="974"/>
      <c r="RGR124" s="974"/>
      <c r="RGS124" s="974"/>
      <c r="RGT124" s="974"/>
      <c r="RGU124" s="974"/>
      <c r="RGV124" s="974"/>
      <c r="RGW124" s="974"/>
      <c r="RGX124" s="974"/>
      <c r="RGY124" s="974"/>
      <c r="RGZ124" s="974"/>
      <c r="RHA124" s="974"/>
      <c r="RHB124" s="974"/>
      <c r="RHC124" s="974"/>
      <c r="RHD124" s="974"/>
      <c r="RHE124" s="974"/>
      <c r="RHF124" s="974"/>
      <c r="RHG124" s="974"/>
      <c r="RHH124" s="974"/>
      <c r="RHI124" s="974"/>
      <c r="RHJ124" s="974"/>
      <c r="RHK124" s="974"/>
      <c r="RHL124" s="974"/>
      <c r="RHM124" s="974"/>
      <c r="RHN124" s="974"/>
      <c r="RHO124" s="974"/>
      <c r="RHP124" s="974"/>
      <c r="RHQ124" s="974"/>
      <c r="RHR124" s="974"/>
      <c r="RHS124" s="974"/>
      <c r="RHT124" s="974"/>
      <c r="RHU124" s="974"/>
      <c r="RHV124" s="974"/>
      <c r="RHW124" s="974"/>
      <c r="RHX124" s="974"/>
      <c r="RHY124" s="974"/>
      <c r="RHZ124" s="974"/>
      <c r="RIA124" s="974"/>
      <c r="RIB124" s="974"/>
      <c r="RIC124" s="974"/>
      <c r="RID124" s="974"/>
      <c r="RIE124" s="974"/>
      <c r="RIF124" s="974"/>
      <c r="RIG124" s="974"/>
      <c r="RIH124" s="974"/>
      <c r="RII124" s="974"/>
      <c r="RIJ124" s="974"/>
      <c r="RIK124" s="974"/>
      <c r="RIL124" s="974"/>
      <c r="RIM124" s="974"/>
      <c r="RIN124" s="974"/>
      <c r="RIO124" s="974"/>
      <c r="RIP124" s="974"/>
      <c r="RIQ124" s="974"/>
      <c r="RIR124" s="974"/>
      <c r="RIS124" s="974"/>
      <c r="RIT124" s="974"/>
      <c r="RIU124" s="974"/>
      <c r="RIV124" s="974"/>
      <c r="RIW124" s="974"/>
      <c r="RIX124" s="974"/>
      <c r="RIY124" s="974"/>
      <c r="RIZ124" s="974"/>
      <c r="RJA124" s="974"/>
      <c r="RJB124" s="974"/>
      <c r="RJC124" s="974"/>
      <c r="RJD124" s="974"/>
      <c r="RJE124" s="974"/>
      <c r="RJF124" s="974"/>
      <c r="RJG124" s="974"/>
      <c r="RJH124" s="974"/>
      <c r="RJI124" s="974"/>
      <c r="RJJ124" s="974"/>
      <c r="RJK124" s="974"/>
      <c r="RJL124" s="974"/>
      <c r="RJM124" s="974"/>
      <c r="RJN124" s="974"/>
      <c r="RJO124" s="974"/>
      <c r="RJP124" s="974"/>
      <c r="RJQ124" s="974"/>
      <c r="RJR124" s="974"/>
      <c r="RJS124" s="974"/>
      <c r="RJT124" s="974"/>
      <c r="RJU124" s="974"/>
      <c r="RJV124" s="974"/>
      <c r="RJW124" s="974"/>
      <c r="RJX124" s="974"/>
      <c r="RJY124" s="974"/>
      <c r="RJZ124" s="974"/>
      <c r="RKA124" s="974"/>
      <c r="RKB124" s="974"/>
      <c r="RKC124" s="974"/>
      <c r="RKD124" s="974"/>
      <c r="RKE124" s="974"/>
      <c r="RKF124" s="974"/>
      <c r="RKG124" s="974"/>
      <c r="RKH124" s="974"/>
      <c r="RKI124" s="974"/>
      <c r="RKJ124" s="974"/>
      <c r="RKK124" s="974"/>
      <c r="RKL124" s="974"/>
      <c r="RKM124" s="974"/>
      <c r="RKN124" s="974"/>
      <c r="RKO124" s="974"/>
      <c r="RKP124" s="974"/>
      <c r="RKQ124" s="974"/>
      <c r="RKR124" s="974"/>
      <c r="RKS124" s="974"/>
      <c r="RKT124" s="974"/>
      <c r="RKU124" s="974"/>
      <c r="RKV124" s="974"/>
      <c r="RKW124" s="974"/>
      <c r="RKX124" s="974"/>
      <c r="RKY124" s="974"/>
      <c r="RKZ124" s="974"/>
      <c r="RLA124" s="974"/>
      <c r="RLB124" s="974"/>
      <c r="RLC124" s="974"/>
      <c r="RLD124" s="974"/>
      <c r="RLE124" s="974"/>
      <c r="RLF124" s="974"/>
      <c r="RLG124" s="974"/>
      <c r="RLH124" s="974"/>
      <c r="RLI124" s="974"/>
      <c r="RLJ124" s="974"/>
      <c r="RLK124" s="974"/>
      <c r="RLL124" s="974"/>
      <c r="RLM124" s="974"/>
      <c r="RLN124" s="974"/>
      <c r="RLO124" s="974"/>
      <c r="RLP124" s="974"/>
      <c r="RLQ124" s="974"/>
      <c r="RLR124" s="974"/>
      <c r="RLS124" s="974"/>
      <c r="RLT124" s="974"/>
      <c r="RLU124" s="974"/>
      <c r="RLV124" s="974"/>
      <c r="RLW124" s="974"/>
      <c r="RLX124" s="974"/>
      <c r="RLY124" s="974"/>
      <c r="RLZ124" s="974"/>
      <c r="RMA124" s="974"/>
      <c r="RMB124" s="974"/>
      <c r="RMC124" s="974"/>
      <c r="RMD124" s="974"/>
      <c r="RME124" s="974"/>
      <c r="RMF124" s="974"/>
      <c r="RMG124" s="974"/>
      <c r="RMH124" s="974"/>
      <c r="RMI124" s="974"/>
      <c r="RMJ124" s="974"/>
      <c r="RMK124" s="974"/>
      <c r="RML124" s="974"/>
      <c r="RMM124" s="974"/>
      <c r="RMN124" s="974"/>
      <c r="RMO124" s="974"/>
      <c r="RMP124" s="974"/>
      <c r="RMQ124" s="974"/>
      <c r="RMR124" s="974"/>
      <c r="RMS124" s="974"/>
      <c r="RMT124" s="974"/>
      <c r="RMU124" s="974"/>
      <c r="RMV124" s="974"/>
      <c r="RMW124" s="974"/>
      <c r="RMX124" s="974"/>
      <c r="RMY124" s="974"/>
      <c r="RMZ124" s="974"/>
      <c r="RNA124" s="974"/>
      <c r="RNB124" s="974"/>
      <c r="RNC124" s="974"/>
      <c r="RND124" s="974"/>
      <c r="RNE124" s="974"/>
      <c r="RNF124" s="974"/>
      <c r="RNG124" s="974"/>
      <c r="RNH124" s="974"/>
      <c r="RNI124" s="974"/>
      <c r="RNJ124" s="974"/>
      <c r="RNK124" s="974"/>
      <c r="RNL124" s="974"/>
      <c r="RNM124" s="974"/>
      <c r="RNN124" s="974"/>
      <c r="RNO124" s="974"/>
      <c r="RNP124" s="974"/>
      <c r="RNQ124" s="974"/>
      <c r="RNR124" s="974"/>
      <c r="RNS124" s="974"/>
      <c r="RNT124" s="974"/>
      <c r="RNU124" s="974"/>
      <c r="RNV124" s="974"/>
      <c r="RNW124" s="974"/>
      <c r="RNX124" s="974"/>
      <c r="RNY124" s="974"/>
      <c r="RNZ124" s="974"/>
      <c r="ROA124" s="974"/>
      <c r="ROB124" s="974"/>
      <c r="ROC124" s="974"/>
      <c r="ROD124" s="974"/>
      <c r="ROE124" s="974"/>
      <c r="ROF124" s="974"/>
      <c r="ROG124" s="974"/>
      <c r="ROH124" s="974"/>
      <c r="ROI124" s="974"/>
      <c r="ROJ124" s="974"/>
      <c r="ROK124" s="974"/>
      <c r="ROL124" s="974"/>
      <c r="ROM124" s="974"/>
      <c r="RON124" s="974"/>
      <c r="ROO124" s="974"/>
      <c r="ROP124" s="974"/>
      <c r="ROQ124" s="974"/>
      <c r="ROR124" s="974"/>
      <c r="ROS124" s="974"/>
      <c r="ROT124" s="974"/>
      <c r="ROU124" s="974"/>
      <c r="ROV124" s="974"/>
      <c r="ROW124" s="974"/>
      <c r="ROX124" s="974"/>
      <c r="ROY124" s="974"/>
      <c r="ROZ124" s="974"/>
      <c r="RPA124" s="974"/>
      <c r="RPB124" s="974"/>
      <c r="RPC124" s="974"/>
      <c r="RPD124" s="974"/>
      <c r="RPE124" s="974"/>
      <c r="RPF124" s="974"/>
      <c r="RPG124" s="974"/>
      <c r="RPH124" s="974"/>
      <c r="RPI124" s="974"/>
      <c r="RPJ124" s="974"/>
      <c r="RPK124" s="974"/>
      <c r="RPL124" s="974"/>
      <c r="RPM124" s="974"/>
      <c r="RPN124" s="974"/>
      <c r="RPO124" s="974"/>
      <c r="RPP124" s="974"/>
      <c r="RPQ124" s="974"/>
      <c r="RPR124" s="974"/>
      <c r="RPS124" s="974"/>
      <c r="RPT124" s="974"/>
      <c r="RPU124" s="974"/>
      <c r="RPV124" s="974"/>
      <c r="RPW124" s="974"/>
      <c r="RPX124" s="974"/>
      <c r="RPY124" s="974"/>
      <c r="RPZ124" s="974"/>
      <c r="RQA124" s="974"/>
      <c r="RQB124" s="974"/>
      <c r="RQC124" s="974"/>
      <c r="RQD124" s="974"/>
      <c r="RQE124" s="974"/>
      <c r="RQF124" s="974"/>
      <c r="RQG124" s="974"/>
      <c r="RQH124" s="974"/>
      <c r="RQI124" s="974"/>
      <c r="RQJ124" s="974"/>
      <c r="RQK124" s="974"/>
      <c r="RQL124" s="974"/>
      <c r="RQM124" s="974"/>
      <c r="RQN124" s="974"/>
      <c r="RQO124" s="974"/>
      <c r="RQP124" s="974"/>
      <c r="RQQ124" s="974"/>
      <c r="RQR124" s="974"/>
      <c r="RQS124" s="974"/>
      <c r="RQT124" s="974"/>
      <c r="RQU124" s="974"/>
      <c r="RQV124" s="974"/>
      <c r="RQW124" s="974"/>
      <c r="RQX124" s="974"/>
      <c r="RQY124" s="974"/>
      <c r="RQZ124" s="974"/>
      <c r="RRA124" s="974"/>
      <c r="RRB124" s="974"/>
      <c r="RRC124" s="974"/>
      <c r="RRD124" s="974"/>
      <c r="RRE124" s="974"/>
      <c r="RRF124" s="974"/>
      <c r="RRG124" s="974"/>
      <c r="RRH124" s="974"/>
      <c r="RRI124" s="974"/>
      <c r="RRJ124" s="974"/>
      <c r="RRK124" s="974"/>
      <c r="RRL124" s="974"/>
      <c r="RRM124" s="974"/>
      <c r="RRN124" s="974"/>
      <c r="RRO124" s="974"/>
      <c r="RRP124" s="974"/>
      <c r="RRQ124" s="974"/>
      <c r="RRR124" s="974"/>
      <c r="RRS124" s="974"/>
      <c r="RRT124" s="974"/>
      <c r="RRU124" s="974"/>
      <c r="RRV124" s="974"/>
      <c r="RRW124" s="974"/>
      <c r="RRX124" s="974"/>
      <c r="RRY124" s="974"/>
      <c r="RRZ124" s="974"/>
      <c r="RSA124" s="974"/>
      <c r="RSB124" s="974"/>
      <c r="RSC124" s="974"/>
      <c r="RSD124" s="974"/>
      <c r="RSE124" s="974"/>
      <c r="RSF124" s="974"/>
      <c r="RSG124" s="974"/>
      <c r="RSH124" s="974"/>
      <c r="RSI124" s="974"/>
      <c r="RSJ124" s="974"/>
      <c r="RSK124" s="974"/>
      <c r="RSL124" s="974"/>
      <c r="RSM124" s="974"/>
      <c r="RSN124" s="974"/>
      <c r="RSO124" s="974"/>
      <c r="RSP124" s="974"/>
      <c r="RSQ124" s="974"/>
      <c r="RSR124" s="974"/>
      <c r="RSS124" s="974"/>
      <c r="RST124" s="974"/>
      <c r="RSU124" s="974"/>
      <c r="RSV124" s="974"/>
      <c r="RSW124" s="974"/>
      <c r="RSX124" s="974"/>
      <c r="RSY124" s="974"/>
      <c r="RSZ124" s="974"/>
      <c r="RTA124" s="974"/>
      <c r="RTB124" s="974"/>
      <c r="RTC124" s="974"/>
      <c r="RTD124" s="974"/>
      <c r="RTE124" s="974"/>
      <c r="RTF124" s="974"/>
      <c r="RTG124" s="974"/>
      <c r="RTH124" s="974"/>
      <c r="RTI124" s="974"/>
      <c r="RTJ124" s="974"/>
      <c r="RTK124" s="974"/>
      <c r="RTL124" s="974"/>
      <c r="RTM124" s="974"/>
      <c r="RTN124" s="974"/>
      <c r="RTO124" s="974"/>
      <c r="RTP124" s="974"/>
      <c r="RTQ124" s="974"/>
      <c r="RTR124" s="974"/>
      <c r="RTS124" s="974"/>
      <c r="RTT124" s="974"/>
      <c r="RTU124" s="974"/>
      <c r="RTV124" s="974"/>
      <c r="RTW124" s="974"/>
      <c r="RTX124" s="974"/>
      <c r="RTY124" s="974"/>
      <c r="RTZ124" s="974"/>
      <c r="RUA124" s="974"/>
      <c r="RUB124" s="974"/>
      <c r="RUC124" s="974"/>
      <c r="RUD124" s="974"/>
      <c r="RUE124" s="974"/>
      <c r="RUF124" s="974"/>
      <c r="RUG124" s="974"/>
      <c r="RUH124" s="974"/>
      <c r="RUI124" s="974"/>
      <c r="RUJ124" s="974"/>
      <c r="RUK124" s="974"/>
      <c r="RUL124" s="974"/>
      <c r="RUM124" s="974"/>
      <c r="RUN124" s="974"/>
      <c r="RUO124" s="974"/>
      <c r="RUP124" s="974"/>
      <c r="RUQ124" s="974"/>
      <c r="RUR124" s="974"/>
      <c r="RUS124" s="974"/>
      <c r="RUT124" s="974"/>
      <c r="RUU124" s="974"/>
      <c r="RUV124" s="974"/>
      <c r="RUW124" s="974"/>
      <c r="RUX124" s="974"/>
      <c r="RUY124" s="974"/>
      <c r="RUZ124" s="974"/>
      <c r="RVA124" s="974"/>
      <c r="RVB124" s="974"/>
      <c r="RVC124" s="974"/>
      <c r="RVD124" s="974"/>
      <c r="RVE124" s="974"/>
      <c r="RVF124" s="974"/>
      <c r="RVG124" s="974"/>
      <c r="RVH124" s="974"/>
      <c r="RVI124" s="974"/>
      <c r="RVJ124" s="974"/>
      <c r="RVK124" s="974"/>
      <c r="RVL124" s="974"/>
      <c r="RVM124" s="974"/>
      <c r="RVN124" s="974"/>
      <c r="RVO124" s="974"/>
      <c r="RVP124" s="974"/>
      <c r="RVQ124" s="974"/>
      <c r="RVR124" s="974"/>
      <c r="RVS124" s="974"/>
      <c r="RVT124" s="974"/>
      <c r="RVU124" s="974"/>
      <c r="RVV124" s="974"/>
      <c r="RVW124" s="974"/>
      <c r="RVX124" s="974"/>
      <c r="RVY124" s="974"/>
      <c r="RVZ124" s="974"/>
      <c r="RWA124" s="974"/>
      <c r="RWB124" s="974"/>
      <c r="RWC124" s="974"/>
      <c r="RWD124" s="974"/>
      <c r="RWE124" s="974"/>
      <c r="RWF124" s="974"/>
      <c r="RWG124" s="974"/>
      <c r="RWH124" s="974"/>
      <c r="RWI124" s="974"/>
      <c r="RWJ124" s="974"/>
      <c r="RWK124" s="974"/>
      <c r="RWL124" s="974"/>
      <c r="RWM124" s="974"/>
      <c r="RWN124" s="974"/>
      <c r="RWO124" s="974"/>
      <c r="RWP124" s="974"/>
      <c r="RWQ124" s="974"/>
      <c r="RWR124" s="974"/>
      <c r="RWS124" s="974"/>
      <c r="RWT124" s="974"/>
      <c r="RWU124" s="974"/>
      <c r="RWV124" s="974"/>
      <c r="RWW124" s="974"/>
      <c r="RWX124" s="974"/>
      <c r="RWY124" s="974"/>
      <c r="RWZ124" s="974"/>
      <c r="RXA124" s="974"/>
      <c r="RXB124" s="974"/>
      <c r="RXC124" s="974"/>
      <c r="RXD124" s="974"/>
      <c r="RXE124" s="974"/>
      <c r="RXF124" s="974"/>
      <c r="RXG124" s="974"/>
      <c r="RXH124" s="974"/>
      <c r="RXI124" s="974"/>
      <c r="RXJ124" s="974"/>
      <c r="RXK124" s="974"/>
      <c r="RXL124" s="974"/>
      <c r="RXM124" s="974"/>
      <c r="RXN124" s="974"/>
      <c r="RXO124" s="974"/>
      <c r="RXP124" s="974"/>
      <c r="RXQ124" s="974"/>
      <c r="RXR124" s="974"/>
      <c r="RXS124" s="974"/>
      <c r="RXT124" s="974"/>
      <c r="RXU124" s="974"/>
      <c r="RXV124" s="974"/>
      <c r="RXW124" s="974"/>
      <c r="RXX124" s="974"/>
      <c r="RXY124" s="974"/>
      <c r="RXZ124" s="974"/>
      <c r="RYA124" s="974"/>
      <c r="RYB124" s="974"/>
      <c r="RYC124" s="974"/>
      <c r="RYD124" s="974"/>
      <c r="RYE124" s="974"/>
      <c r="RYF124" s="974"/>
      <c r="RYG124" s="974"/>
      <c r="RYH124" s="974"/>
      <c r="RYI124" s="974"/>
      <c r="RYJ124" s="974"/>
      <c r="RYK124" s="974"/>
      <c r="RYL124" s="974"/>
      <c r="RYM124" s="974"/>
      <c r="RYN124" s="974"/>
      <c r="RYO124" s="974"/>
      <c r="RYP124" s="974"/>
      <c r="RYQ124" s="974"/>
      <c r="RYR124" s="974"/>
      <c r="RYS124" s="974"/>
      <c r="RYT124" s="974"/>
      <c r="RYU124" s="974"/>
      <c r="RYV124" s="974"/>
      <c r="RYW124" s="974"/>
      <c r="RYX124" s="974"/>
      <c r="RYY124" s="974"/>
      <c r="RYZ124" s="974"/>
      <c r="RZA124" s="974"/>
      <c r="RZB124" s="974"/>
      <c r="RZC124" s="974"/>
      <c r="RZD124" s="974"/>
      <c r="RZE124" s="974"/>
      <c r="RZF124" s="974"/>
      <c r="RZG124" s="974"/>
      <c r="RZH124" s="974"/>
      <c r="RZI124" s="974"/>
      <c r="RZJ124" s="974"/>
      <c r="RZK124" s="974"/>
      <c r="RZL124" s="974"/>
      <c r="RZM124" s="974"/>
      <c r="RZN124" s="974"/>
      <c r="RZO124" s="974"/>
      <c r="RZP124" s="974"/>
      <c r="RZQ124" s="974"/>
      <c r="RZR124" s="974"/>
      <c r="RZS124" s="974"/>
      <c r="RZT124" s="974"/>
      <c r="RZU124" s="974"/>
      <c r="RZV124" s="974"/>
      <c r="RZW124" s="974"/>
      <c r="RZX124" s="974"/>
      <c r="RZY124" s="974"/>
      <c r="RZZ124" s="974"/>
      <c r="SAA124" s="974"/>
      <c r="SAB124" s="974"/>
      <c r="SAC124" s="974"/>
      <c r="SAD124" s="974"/>
      <c r="SAE124" s="974"/>
      <c r="SAF124" s="974"/>
      <c r="SAG124" s="974"/>
      <c r="SAH124" s="974"/>
      <c r="SAI124" s="974"/>
      <c r="SAJ124" s="974"/>
      <c r="SAK124" s="974"/>
      <c r="SAL124" s="974"/>
      <c r="SAM124" s="974"/>
      <c r="SAN124" s="974"/>
      <c r="SAO124" s="974"/>
      <c r="SAP124" s="974"/>
      <c r="SAQ124" s="974"/>
      <c r="SAR124" s="974"/>
      <c r="SAS124" s="974"/>
      <c r="SAT124" s="974"/>
      <c r="SAU124" s="974"/>
      <c r="SAV124" s="974"/>
      <c r="SAW124" s="974"/>
      <c r="SAX124" s="974"/>
      <c r="SAY124" s="974"/>
      <c r="SAZ124" s="974"/>
      <c r="SBA124" s="974"/>
      <c r="SBB124" s="974"/>
      <c r="SBC124" s="974"/>
      <c r="SBD124" s="974"/>
      <c r="SBE124" s="974"/>
      <c r="SBF124" s="974"/>
      <c r="SBG124" s="974"/>
      <c r="SBH124" s="974"/>
      <c r="SBI124" s="974"/>
      <c r="SBJ124" s="974"/>
      <c r="SBK124" s="974"/>
      <c r="SBL124" s="974"/>
      <c r="SBM124" s="974"/>
      <c r="SBN124" s="974"/>
      <c r="SBO124" s="974"/>
      <c r="SBP124" s="974"/>
      <c r="SBQ124" s="974"/>
      <c r="SBR124" s="974"/>
      <c r="SBS124" s="974"/>
      <c r="SBT124" s="974"/>
      <c r="SBU124" s="974"/>
      <c r="SBV124" s="974"/>
      <c r="SBW124" s="974"/>
      <c r="SBX124" s="974"/>
      <c r="SBY124" s="974"/>
      <c r="SBZ124" s="974"/>
      <c r="SCA124" s="974"/>
      <c r="SCB124" s="974"/>
      <c r="SCC124" s="974"/>
      <c r="SCD124" s="974"/>
      <c r="SCE124" s="974"/>
      <c r="SCF124" s="974"/>
      <c r="SCG124" s="974"/>
      <c r="SCH124" s="974"/>
      <c r="SCI124" s="974"/>
      <c r="SCJ124" s="974"/>
      <c r="SCK124" s="974"/>
      <c r="SCL124" s="974"/>
      <c r="SCM124" s="974"/>
      <c r="SCN124" s="974"/>
      <c r="SCO124" s="974"/>
      <c r="SCP124" s="974"/>
      <c r="SCQ124" s="974"/>
      <c r="SCR124" s="974"/>
      <c r="SCS124" s="974"/>
      <c r="SCT124" s="974"/>
      <c r="SCU124" s="974"/>
      <c r="SCV124" s="974"/>
      <c r="SCW124" s="974"/>
      <c r="SCX124" s="974"/>
      <c r="SCY124" s="974"/>
      <c r="SCZ124" s="974"/>
      <c r="SDA124" s="974"/>
      <c r="SDB124" s="974"/>
      <c r="SDC124" s="974"/>
      <c r="SDD124" s="974"/>
      <c r="SDE124" s="974"/>
      <c r="SDF124" s="974"/>
      <c r="SDG124" s="974"/>
      <c r="SDH124" s="974"/>
      <c r="SDI124" s="974"/>
      <c r="SDJ124" s="974"/>
      <c r="SDK124" s="974"/>
      <c r="SDL124" s="974"/>
      <c r="SDM124" s="974"/>
      <c r="SDN124" s="974"/>
      <c r="SDO124" s="974"/>
      <c r="SDP124" s="974"/>
      <c r="SDQ124" s="974"/>
      <c r="SDR124" s="974"/>
      <c r="SDS124" s="974"/>
      <c r="SDT124" s="974"/>
      <c r="SDU124" s="974"/>
      <c r="SDV124" s="974"/>
      <c r="SDW124" s="974"/>
      <c r="SDX124" s="974"/>
      <c r="SDY124" s="974"/>
      <c r="SDZ124" s="974"/>
      <c r="SEA124" s="974"/>
      <c r="SEB124" s="974"/>
      <c r="SEC124" s="974"/>
      <c r="SED124" s="974"/>
      <c r="SEE124" s="974"/>
      <c r="SEF124" s="974"/>
      <c r="SEG124" s="974"/>
      <c r="SEH124" s="974"/>
      <c r="SEI124" s="974"/>
      <c r="SEJ124" s="974"/>
      <c r="SEK124" s="974"/>
      <c r="SEL124" s="974"/>
      <c r="SEM124" s="974"/>
      <c r="SEN124" s="974"/>
      <c r="SEO124" s="974"/>
      <c r="SEP124" s="974"/>
      <c r="SEQ124" s="974"/>
      <c r="SER124" s="974"/>
      <c r="SES124" s="974"/>
      <c r="SET124" s="974"/>
      <c r="SEU124" s="974"/>
      <c r="SEV124" s="974"/>
      <c r="SEW124" s="974"/>
      <c r="SEX124" s="974"/>
      <c r="SEY124" s="974"/>
      <c r="SEZ124" s="974"/>
      <c r="SFA124" s="974"/>
      <c r="SFB124" s="974"/>
      <c r="SFC124" s="974"/>
      <c r="SFD124" s="974"/>
      <c r="SFE124" s="974"/>
      <c r="SFF124" s="974"/>
      <c r="SFG124" s="974"/>
      <c r="SFH124" s="974"/>
      <c r="SFI124" s="974"/>
      <c r="SFJ124" s="974"/>
      <c r="SFK124" s="974"/>
      <c r="SFL124" s="974"/>
      <c r="SFM124" s="974"/>
      <c r="SFN124" s="974"/>
      <c r="SFO124" s="974"/>
      <c r="SFP124" s="974"/>
      <c r="SFQ124" s="974"/>
      <c r="SFR124" s="974"/>
      <c r="SFS124" s="974"/>
      <c r="SFT124" s="974"/>
      <c r="SFU124" s="974"/>
      <c r="SFV124" s="974"/>
      <c r="SFW124" s="974"/>
      <c r="SFX124" s="974"/>
      <c r="SFY124" s="974"/>
      <c r="SFZ124" s="974"/>
      <c r="SGA124" s="974"/>
      <c r="SGB124" s="974"/>
      <c r="SGC124" s="974"/>
      <c r="SGD124" s="974"/>
      <c r="SGE124" s="974"/>
      <c r="SGF124" s="974"/>
      <c r="SGG124" s="974"/>
      <c r="SGH124" s="974"/>
      <c r="SGI124" s="974"/>
      <c r="SGJ124" s="974"/>
      <c r="SGK124" s="974"/>
      <c r="SGL124" s="974"/>
      <c r="SGM124" s="974"/>
      <c r="SGN124" s="974"/>
      <c r="SGO124" s="974"/>
      <c r="SGP124" s="974"/>
      <c r="SGQ124" s="974"/>
      <c r="SGR124" s="974"/>
      <c r="SGS124" s="974"/>
      <c r="SGT124" s="974"/>
      <c r="SGU124" s="974"/>
      <c r="SGV124" s="974"/>
      <c r="SGW124" s="974"/>
      <c r="SGX124" s="974"/>
      <c r="SGY124" s="974"/>
      <c r="SGZ124" s="974"/>
      <c r="SHA124" s="974"/>
      <c r="SHB124" s="974"/>
      <c r="SHC124" s="974"/>
      <c r="SHD124" s="974"/>
      <c r="SHE124" s="974"/>
      <c r="SHF124" s="974"/>
      <c r="SHG124" s="974"/>
      <c r="SHH124" s="974"/>
      <c r="SHI124" s="974"/>
      <c r="SHJ124" s="974"/>
      <c r="SHK124" s="974"/>
      <c r="SHL124" s="974"/>
      <c r="SHM124" s="974"/>
      <c r="SHN124" s="974"/>
      <c r="SHO124" s="974"/>
      <c r="SHP124" s="974"/>
      <c r="SHQ124" s="974"/>
      <c r="SHR124" s="974"/>
      <c r="SHS124" s="974"/>
      <c r="SHT124" s="974"/>
      <c r="SHU124" s="974"/>
      <c r="SHV124" s="974"/>
      <c r="SHW124" s="974"/>
      <c r="SHX124" s="974"/>
      <c r="SHY124" s="974"/>
      <c r="SHZ124" s="974"/>
      <c r="SIA124" s="974"/>
      <c r="SIB124" s="974"/>
      <c r="SIC124" s="974"/>
      <c r="SID124" s="974"/>
      <c r="SIE124" s="974"/>
      <c r="SIF124" s="974"/>
      <c r="SIG124" s="974"/>
      <c r="SIH124" s="974"/>
      <c r="SII124" s="974"/>
      <c r="SIJ124" s="974"/>
      <c r="SIK124" s="974"/>
      <c r="SIL124" s="974"/>
      <c r="SIM124" s="974"/>
      <c r="SIN124" s="974"/>
      <c r="SIO124" s="974"/>
      <c r="SIP124" s="974"/>
      <c r="SIQ124" s="974"/>
      <c r="SIR124" s="974"/>
      <c r="SIS124" s="974"/>
      <c r="SIT124" s="974"/>
      <c r="SIU124" s="974"/>
      <c r="SIV124" s="974"/>
      <c r="SIW124" s="974"/>
      <c r="SIX124" s="974"/>
      <c r="SIY124" s="974"/>
      <c r="SIZ124" s="974"/>
      <c r="SJA124" s="974"/>
      <c r="SJB124" s="974"/>
      <c r="SJC124" s="974"/>
      <c r="SJD124" s="974"/>
      <c r="SJE124" s="974"/>
      <c r="SJF124" s="974"/>
      <c r="SJG124" s="974"/>
      <c r="SJH124" s="974"/>
      <c r="SJI124" s="974"/>
      <c r="SJJ124" s="974"/>
      <c r="SJK124" s="974"/>
      <c r="SJL124" s="974"/>
      <c r="SJM124" s="974"/>
      <c r="SJN124" s="974"/>
      <c r="SJO124" s="974"/>
      <c r="SJP124" s="974"/>
      <c r="SJQ124" s="974"/>
      <c r="SJR124" s="974"/>
      <c r="SJS124" s="974"/>
      <c r="SJT124" s="974"/>
      <c r="SJU124" s="974"/>
      <c r="SJV124" s="974"/>
      <c r="SJW124" s="974"/>
      <c r="SJX124" s="974"/>
      <c r="SJY124" s="974"/>
      <c r="SJZ124" s="974"/>
      <c r="SKA124" s="974"/>
      <c r="SKB124" s="974"/>
      <c r="SKC124" s="974"/>
      <c r="SKD124" s="974"/>
      <c r="SKE124" s="974"/>
      <c r="SKF124" s="974"/>
      <c r="SKG124" s="974"/>
      <c r="SKH124" s="974"/>
      <c r="SKI124" s="974"/>
      <c r="SKJ124" s="974"/>
      <c r="SKK124" s="974"/>
      <c r="SKL124" s="974"/>
      <c r="SKM124" s="974"/>
      <c r="SKN124" s="974"/>
      <c r="SKO124" s="974"/>
      <c r="SKP124" s="974"/>
      <c r="SKQ124" s="974"/>
      <c r="SKR124" s="974"/>
      <c r="SKS124" s="974"/>
      <c r="SKT124" s="974"/>
      <c r="SKU124" s="974"/>
      <c r="SKV124" s="974"/>
      <c r="SKW124" s="974"/>
      <c r="SKX124" s="974"/>
      <c r="SKY124" s="974"/>
      <c r="SKZ124" s="974"/>
      <c r="SLA124" s="974"/>
      <c r="SLB124" s="974"/>
      <c r="SLC124" s="974"/>
      <c r="SLD124" s="974"/>
      <c r="SLE124" s="974"/>
      <c r="SLF124" s="974"/>
      <c r="SLG124" s="974"/>
      <c r="SLH124" s="974"/>
      <c r="SLI124" s="974"/>
      <c r="SLJ124" s="974"/>
      <c r="SLK124" s="974"/>
      <c r="SLL124" s="974"/>
      <c r="SLM124" s="974"/>
      <c r="SLN124" s="974"/>
      <c r="SLO124" s="974"/>
      <c r="SLP124" s="974"/>
      <c r="SLQ124" s="974"/>
      <c r="SLR124" s="974"/>
      <c r="SLS124" s="974"/>
      <c r="SLT124" s="974"/>
      <c r="SLU124" s="974"/>
      <c r="SLV124" s="974"/>
      <c r="SLW124" s="974"/>
      <c r="SLX124" s="974"/>
      <c r="SLY124" s="974"/>
      <c r="SLZ124" s="974"/>
      <c r="SMA124" s="974"/>
      <c r="SMB124" s="974"/>
      <c r="SMC124" s="974"/>
      <c r="SMD124" s="974"/>
      <c r="SME124" s="974"/>
      <c r="SMF124" s="974"/>
      <c r="SMG124" s="974"/>
      <c r="SMH124" s="974"/>
      <c r="SMI124" s="974"/>
      <c r="SMJ124" s="974"/>
      <c r="SMK124" s="974"/>
      <c r="SML124" s="974"/>
      <c r="SMM124" s="974"/>
      <c r="SMN124" s="974"/>
      <c r="SMO124" s="974"/>
      <c r="SMP124" s="974"/>
      <c r="SMQ124" s="974"/>
      <c r="SMR124" s="974"/>
      <c r="SMS124" s="974"/>
      <c r="SMT124" s="974"/>
      <c r="SMU124" s="974"/>
      <c r="SMV124" s="974"/>
      <c r="SMW124" s="974"/>
      <c r="SMX124" s="974"/>
      <c r="SMY124" s="974"/>
      <c r="SMZ124" s="974"/>
      <c r="SNA124" s="974"/>
      <c r="SNB124" s="974"/>
      <c r="SNC124" s="974"/>
      <c r="SND124" s="974"/>
      <c r="SNE124" s="974"/>
      <c r="SNF124" s="974"/>
      <c r="SNG124" s="974"/>
      <c r="SNH124" s="974"/>
      <c r="SNI124" s="974"/>
      <c r="SNJ124" s="974"/>
      <c r="SNK124" s="974"/>
      <c r="SNL124" s="974"/>
      <c r="SNM124" s="974"/>
      <c r="SNN124" s="974"/>
      <c r="SNO124" s="974"/>
      <c r="SNP124" s="974"/>
      <c r="SNQ124" s="974"/>
      <c r="SNR124" s="974"/>
      <c r="SNS124" s="974"/>
      <c r="SNT124" s="974"/>
      <c r="SNU124" s="974"/>
      <c r="SNV124" s="974"/>
      <c r="SNW124" s="974"/>
      <c r="SNX124" s="974"/>
      <c r="SNY124" s="974"/>
      <c r="SNZ124" s="974"/>
      <c r="SOA124" s="974"/>
      <c r="SOB124" s="974"/>
      <c r="SOC124" s="974"/>
      <c r="SOD124" s="974"/>
      <c r="SOE124" s="974"/>
      <c r="SOF124" s="974"/>
      <c r="SOG124" s="974"/>
      <c r="SOH124" s="974"/>
      <c r="SOI124" s="974"/>
      <c r="SOJ124" s="974"/>
      <c r="SOK124" s="974"/>
      <c r="SOL124" s="974"/>
      <c r="SOM124" s="974"/>
      <c r="SON124" s="974"/>
      <c r="SOO124" s="974"/>
      <c r="SOP124" s="974"/>
      <c r="SOQ124" s="974"/>
      <c r="SOR124" s="974"/>
      <c r="SOS124" s="974"/>
      <c r="SOT124" s="974"/>
      <c r="SOU124" s="974"/>
      <c r="SOV124" s="974"/>
      <c r="SOW124" s="974"/>
      <c r="SOX124" s="974"/>
      <c r="SOY124" s="974"/>
      <c r="SOZ124" s="974"/>
      <c r="SPA124" s="974"/>
      <c r="SPB124" s="974"/>
      <c r="SPC124" s="974"/>
      <c r="SPD124" s="974"/>
      <c r="SPE124" s="974"/>
      <c r="SPF124" s="974"/>
      <c r="SPG124" s="974"/>
      <c r="SPH124" s="974"/>
      <c r="SPI124" s="974"/>
      <c r="SPJ124" s="974"/>
      <c r="SPK124" s="974"/>
      <c r="SPL124" s="974"/>
      <c r="SPM124" s="974"/>
      <c r="SPN124" s="974"/>
      <c r="SPO124" s="974"/>
      <c r="SPP124" s="974"/>
      <c r="SPQ124" s="974"/>
      <c r="SPR124" s="974"/>
      <c r="SPS124" s="974"/>
      <c r="SPT124" s="974"/>
      <c r="SPU124" s="974"/>
      <c r="SPV124" s="974"/>
      <c r="SPW124" s="974"/>
      <c r="SPX124" s="974"/>
      <c r="SPY124" s="974"/>
      <c r="SPZ124" s="974"/>
      <c r="SQA124" s="974"/>
      <c r="SQB124" s="974"/>
      <c r="SQC124" s="974"/>
      <c r="SQD124" s="974"/>
      <c r="SQE124" s="974"/>
      <c r="SQF124" s="974"/>
      <c r="SQG124" s="974"/>
      <c r="SQH124" s="974"/>
      <c r="SQI124" s="974"/>
      <c r="SQJ124" s="974"/>
      <c r="SQK124" s="974"/>
      <c r="SQL124" s="974"/>
      <c r="SQM124" s="974"/>
      <c r="SQN124" s="974"/>
      <c r="SQO124" s="974"/>
      <c r="SQP124" s="974"/>
      <c r="SQQ124" s="974"/>
      <c r="SQR124" s="974"/>
      <c r="SQS124" s="974"/>
      <c r="SQT124" s="974"/>
      <c r="SQU124" s="974"/>
      <c r="SQV124" s="974"/>
      <c r="SQW124" s="974"/>
      <c r="SQX124" s="974"/>
      <c r="SQY124" s="974"/>
      <c r="SQZ124" s="974"/>
      <c r="SRA124" s="974"/>
      <c r="SRB124" s="974"/>
      <c r="SRC124" s="974"/>
      <c r="SRD124" s="974"/>
      <c r="SRE124" s="974"/>
      <c r="SRF124" s="974"/>
      <c r="SRG124" s="974"/>
      <c r="SRH124" s="974"/>
      <c r="SRI124" s="974"/>
      <c r="SRJ124" s="974"/>
      <c r="SRK124" s="974"/>
      <c r="SRL124" s="974"/>
      <c r="SRM124" s="974"/>
      <c r="SRN124" s="974"/>
      <c r="SRO124" s="974"/>
      <c r="SRP124" s="974"/>
      <c r="SRQ124" s="974"/>
      <c r="SRR124" s="974"/>
      <c r="SRS124" s="974"/>
      <c r="SRT124" s="974"/>
      <c r="SRU124" s="974"/>
      <c r="SRV124" s="974"/>
      <c r="SRW124" s="974"/>
      <c r="SRX124" s="974"/>
      <c r="SRY124" s="974"/>
      <c r="SRZ124" s="974"/>
      <c r="SSA124" s="974"/>
      <c r="SSB124" s="974"/>
      <c r="SSC124" s="974"/>
      <c r="SSD124" s="974"/>
      <c r="SSE124" s="974"/>
      <c r="SSF124" s="974"/>
      <c r="SSG124" s="974"/>
      <c r="SSH124" s="974"/>
      <c r="SSI124" s="974"/>
      <c r="SSJ124" s="974"/>
      <c r="SSK124" s="974"/>
      <c r="SSL124" s="974"/>
      <c r="SSM124" s="974"/>
      <c r="SSN124" s="974"/>
      <c r="SSO124" s="974"/>
      <c r="SSP124" s="974"/>
      <c r="SSQ124" s="974"/>
      <c r="SSR124" s="974"/>
      <c r="SSS124" s="974"/>
      <c r="SST124" s="974"/>
      <c r="SSU124" s="974"/>
      <c r="SSV124" s="974"/>
      <c r="SSW124" s="974"/>
      <c r="SSX124" s="974"/>
      <c r="SSY124" s="974"/>
      <c r="SSZ124" s="974"/>
      <c r="STA124" s="974"/>
      <c r="STB124" s="974"/>
      <c r="STC124" s="974"/>
      <c r="STD124" s="974"/>
      <c r="STE124" s="974"/>
      <c r="STF124" s="974"/>
      <c r="STG124" s="974"/>
      <c r="STH124" s="974"/>
      <c r="STI124" s="974"/>
      <c r="STJ124" s="974"/>
      <c r="STK124" s="974"/>
      <c r="STL124" s="974"/>
      <c r="STM124" s="974"/>
      <c r="STN124" s="974"/>
      <c r="STO124" s="974"/>
      <c r="STP124" s="974"/>
      <c r="STQ124" s="974"/>
      <c r="STR124" s="974"/>
      <c r="STS124" s="974"/>
      <c r="STT124" s="974"/>
      <c r="STU124" s="974"/>
      <c r="STV124" s="974"/>
      <c r="STW124" s="974"/>
      <c r="STX124" s="974"/>
      <c r="STY124" s="974"/>
      <c r="STZ124" s="974"/>
      <c r="SUA124" s="974"/>
      <c r="SUB124" s="974"/>
      <c r="SUC124" s="974"/>
      <c r="SUD124" s="974"/>
      <c r="SUE124" s="974"/>
      <c r="SUF124" s="974"/>
      <c r="SUG124" s="974"/>
      <c r="SUH124" s="974"/>
      <c r="SUI124" s="974"/>
      <c r="SUJ124" s="974"/>
      <c r="SUK124" s="974"/>
      <c r="SUL124" s="974"/>
      <c r="SUM124" s="974"/>
      <c r="SUN124" s="974"/>
      <c r="SUO124" s="974"/>
      <c r="SUP124" s="974"/>
      <c r="SUQ124" s="974"/>
      <c r="SUR124" s="974"/>
      <c r="SUS124" s="974"/>
      <c r="SUT124" s="974"/>
      <c r="SUU124" s="974"/>
      <c r="SUV124" s="974"/>
      <c r="SUW124" s="974"/>
      <c r="SUX124" s="974"/>
      <c r="SUY124" s="974"/>
      <c r="SUZ124" s="974"/>
      <c r="SVA124" s="974"/>
      <c r="SVB124" s="974"/>
      <c r="SVC124" s="974"/>
      <c r="SVD124" s="974"/>
      <c r="SVE124" s="974"/>
      <c r="SVF124" s="974"/>
      <c r="SVG124" s="974"/>
      <c r="SVH124" s="974"/>
      <c r="SVI124" s="974"/>
      <c r="SVJ124" s="974"/>
      <c r="SVK124" s="974"/>
      <c r="SVL124" s="974"/>
      <c r="SVM124" s="974"/>
      <c r="SVN124" s="974"/>
      <c r="SVO124" s="974"/>
      <c r="SVP124" s="974"/>
      <c r="SVQ124" s="974"/>
      <c r="SVR124" s="974"/>
      <c r="SVS124" s="974"/>
      <c r="SVT124" s="974"/>
      <c r="SVU124" s="974"/>
      <c r="SVV124" s="974"/>
      <c r="SVW124" s="974"/>
      <c r="SVX124" s="974"/>
      <c r="SVY124" s="974"/>
      <c r="SVZ124" s="974"/>
      <c r="SWA124" s="974"/>
      <c r="SWB124" s="974"/>
      <c r="SWC124" s="974"/>
      <c r="SWD124" s="974"/>
      <c r="SWE124" s="974"/>
      <c r="SWF124" s="974"/>
      <c r="SWG124" s="974"/>
      <c r="SWH124" s="974"/>
      <c r="SWI124" s="974"/>
      <c r="SWJ124" s="974"/>
      <c r="SWK124" s="974"/>
      <c r="SWL124" s="974"/>
      <c r="SWM124" s="974"/>
      <c r="SWN124" s="974"/>
      <c r="SWO124" s="974"/>
      <c r="SWP124" s="974"/>
      <c r="SWQ124" s="974"/>
      <c r="SWR124" s="974"/>
      <c r="SWS124" s="974"/>
      <c r="SWT124" s="974"/>
      <c r="SWU124" s="974"/>
      <c r="SWV124" s="974"/>
      <c r="SWW124" s="974"/>
      <c r="SWX124" s="974"/>
      <c r="SWY124" s="974"/>
      <c r="SWZ124" s="974"/>
      <c r="SXA124" s="974"/>
      <c r="SXB124" s="974"/>
      <c r="SXC124" s="974"/>
      <c r="SXD124" s="974"/>
      <c r="SXE124" s="974"/>
      <c r="SXF124" s="974"/>
      <c r="SXG124" s="974"/>
      <c r="SXH124" s="974"/>
      <c r="SXI124" s="974"/>
      <c r="SXJ124" s="974"/>
      <c r="SXK124" s="974"/>
      <c r="SXL124" s="974"/>
      <c r="SXM124" s="974"/>
      <c r="SXN124" s="974"/>
      <c r="SXO124" s="974"/>
      <c r="SXP124" s="974"/>
      <c r="SXQ124" s="974"/>
      <c r="SXR124" s="974"/>
      <c r="SXS124" s="974"/>
      <c r="SXT124" s="974"/>
      <c r="SXU124" s="974"/>
      <c r="SXV124" s="974"/>
      <c r="SXW124" s="974"/>
      <c r="SXX124" s="974"/>
      <c r="SXY124" s="974"/>
      <c r="SXZ124" s="974"/>
      <c r="SYA124" s="974"/>
      <c r="SYB124" s="974"/>
      <c r="SYC124" s="974"/>
      <c r="SYD124" s="974"/>
      <c r="SYE124" s="974"/>
      <c r="SYF124" s="974"/>
      <c r="SYG124" s="974"/>
      <c r="SYH124" s="974"/>
      <c r="SYI124" s="974"/>
      <c r="SYJ124" s="974"/>
      <c r="SYK124" s="974"/>
      <c r="SYL124" s="974"/>
      <c r="SYM124" s="974"/>
      <c r="SYN124" s="974"/>
      <c r="SYO124" s="974"/>
      <c r="SYP124" s="974"/>
      <c r="SYQ124" s="974"/>
      <c r="SYR124" s="974"/>
      <c r="SYS124" s="974"/>
      <c r="SYT124" s="974"/>
      <c r="SYU124" s="974"/>
      <c r="SYV124" s="974"/>
      <c r="SYW124" s="974"/>
      <c r="SYX124" s="974"/>
      <c r="SYY124" s="974"/>
      <c r="SYZ124" s="974"/>
      <c r="SZA124" s="974"/>
      <c r="SZB124" s="974"/>
      <c r="SZC124" s="974"/>
      <c r="SZD124" s="974"/>
      <c r="SZE124" s="974"/>
      <c r="SZF124" s="974"/>
      <c r="SZG124" s="974"/>
      <c r="SZH124" s="974"/>
      <c r="SZI124" s="974"/>
      <c r="SZJ124" s="974"/>
      <c r="SZK124" s="974"/>
      <c r="SZL124" s="974"/>
      <c r="SZM124" s="974"/>
      <c r="SZN124" s="974"/>
      <c r="SZO124" s="974"/>
      <c r="SZP124" s="974"/>
      <c r="SZQ124" s="974"/>
      <c r="SZR124" s="974"/>
      <c r="SZS124" s="974"/>
      <c r="SZT124" s="974"/>
      <c r="SZU124" s="974"/>
      <c r="SZV124" s="974"/>
      <c r="SZW124" s="974"/>
      <c r="SZX124" s="974"/>
      <c r="SZY124" s="974"/>
      <c r="SZZ124" s="974"/>
      <c r="TAA124" s="974"/>
      <c r="TAB124" s="974"/>
      <c r="TAC124" s="974"/>
      <c r="TAD124" s="974"/>
      <c r="TAE124" s="974"/>
      <c r="TAF124" s="974"/>
      <c r="TAG124" s="974"/>
      <c r="TAH124" s="974"/>
      <c r="TAI124" s="974"/>
      <c r="TAJ124" s="974"/>
      <c r="TAK124" s="974"/>
      <c r="TAL124" s="974"/>
      <c r="TAM124" s="974"/>
      <c r="TAN124" s="974"/>
      <c r="TAO124" s="974"/>
      <c r="TAP124" s="974"/>
      <c r="TAQ124" s="974"/>
      <c r="TAR124" s="974"/>
      <c r="TAS124" s="974"/>
      <c r="TAT124" s="974"/>
      <c r="TAU124" s="974"/>
      <c r="TAV124" s="974"/>
      <c r="TAW124" s="974"/>
      <c r="TAX124" s="974"/>
      <c r="TAY124" s="974"/>
      <c r="TAZ124" s="974"/>
      <c r="TBA124" s="974"/>
      <c r="TBB124" s="974"/>
      <c r="TBC124" s="974"/>
      <c r="TBD124" s="974"/>
      <c r="TBE124" s="974"/>
      <c r="TBF124" s="974"/>
      <c r="TBG124" s="974"/>
      <c r="TBH124" s="974"/>
      <c r="TBI124" s="974"/>
      <c r="TBJ124" s="974"/>
      <c r="TBK124" s="974"/>
      <c r="TBL124" s="974"/>
      <c r="TBM124" s="974"/>
      <c r="TBN124" s="974"/>
      <c r="TBO124" s="974"/>
      <c r="TBP124" s="974"/>
      <c r="TBQ124" s="974"/>
      <c r="TBR124" s="974"/>
      <c r="TBS124" s="974"/>
      <c r="TBT124" s="974"/>
      <c r="TBU124" s="974"/>
      <c r="TBV124" s="974"/>
      <c r="TBW124" s="974"/>
      <c r="TBX124" s="974"/>
      <c r="TBY124" s="974"/>
      <c r="TBZ124" s="974"/>
      <c r="TCA124" s="974"/>
      <c r="TCB124" s="974"/>
      <c r="TCC124" s="974"/>
      <c r="TCD124" s="974"/>
      <c r="TCE124" s="974"/>
      <c r="TCF124" s="974"/>
      <c r="TCG124" s="974"/>
      <c r="TCH124" s="974"/>
      <c r="TCI124" s="974"/>
      <c r="TCJ124" s="974"/>
      <c r="TCK124" s="974"/>
      <c r="TCL124" s="974"/>
      <c r="TCM124" s="974"/>
      <c r="TCN124" s="974"/>
      <c r="TCO124" s="974"/>
      <c r="TCP124" s="974"/>
      <c r="TCQ124" s="974"/>
      <c r="TCR124" s="974"/>
      <c r="TCS124" s="974"/>
      <c r="TCT124" s="974"/>
      <c r="TCU124" s="974"/>
      <c r="TCV124" s="974"/>
      <c r="TCW124" s="974"/>
      <c r="TCX124" s="974"/>
      <c r="TCY124" s="974"/>
      <c r="TCZ124" s="974"/>
      <c r="TDA124" s="974"/>
      <c r="TDB124" s="974"/>
      <c r="TDC124" s="974"/>
      <c r="TDD124" s="974"/>
      <c r="TDE124" s="974"/>
      <c r="TDF124" s="974"/>
      <c r="TDG124" s="974"/>
      <c r="TDH124" s="974"/>
      <c r="TDI124" s="974"/>
      <c r="TDJ124" s="974"/>
      <c r="TDK124" s="974"/>
      <c r="TDL124" s="974"/>
      <c r="TDM124" s="974"/>
      <c r="TDN124" s="974"/>
      <c r="TDO124" s="974"/>
      <c r="TDP124" s="974"/>
      <c r="TDQ124" s="974"/>
      <c r="TDR124" s="974"/>
      <c r="TDS124" s="974"/>
      <c r="TDT124" s="974"/>
      <c r="TDU124" s="974"/>
      <c r="TDV124" s="974"/>
      <c r="TDW124" s="974"/>
      <c r="TDX124" s="974"/>
      <c r="TDY124" s="974"/>
      <c r="TDZ124" s="974"/>
      <c r="TEA124" s="974"/>
      <c r="TEB124" s="974"/>
      <c r="TEC124" s="974"/>
      <c r="TED124" s="974"/>
      <c r="TEE124" s="974"/>
      <c r="TEF124" s="974"/>
      <c r="TEG124" s="974"/>
      <c r="TEH124" s="974"/>
      <c r="TEI124" s="974"/>
      <c r="TEJ124" s="974"/>
      <c r="TEK124" s="974"/>
      <c r="TEL124" s="974"/>
      <c r="TEM124" s="974"/>
      <c r="TEN124" s="974"/>
      <c r="TEO124" s="974"/>
      <c r="TEP124" s="974"/>
      <c r="TEQ124" s="974"/>
      <c r="TER124" s="974"/>
      <c r="TES124" s="974"/>
      <c r="TET124" s="974"/>
      <c r="TEU124" s="974"/>
      <c r="TEV124" s="974"/>
      <c r="TEW124" s="974"/>
      <c r="TEX124" s="974"/>
      <c r="TEY124" s="974"/>
      <c r="TEZ124" s="974"/>
      <c r="TFA124" s="974"/>
      <c r="TFB124" s="974"/>
      <c r="TFC124" s="974"/>
      <c r="TFD124" s="974"/>
      <c r="TFE124" s="974"/>
      <c r="TFF124" s="974"/>
      <c r="TFG124" s="974"/>
      <c r="TFH124" s="974"/>
      <c r="TFI124" s="974"/>
      <c r="TFJ124" s="974"/>
      <c r="TFK124" s="974"/>
      <c r="TFL124" s="974"/>
      <c r="TFM124" s="974"/>
      <c r="TFN124" s="974"/>
      <c r="TFO124" s="974"/>
      <c r="TFP124" s="974"/>
      <c r="TFQ124" s="974"/>
      <c r="TFR124" s="974"/>
      <c r="TFS124" s="974"/>
      <c r="TFT124" s="974"/>
      <c r="TFU124" s="974"/>
      <c r="TFV124" s="974"/>
      <c r="TFW124" s="974"/>
      <c r="TFX124" s="974"/>
      <c r="TFY124" s="974"/>
      <c r="TFZ124" s="974"/>
      <c r="TGA124" s="974"/>
      <c r="TGB124" s="974"/>
      <c r="TGC124" s="974"/>
      <c r="TGD124" s="974"/>
      <c r="TGE124" s="974"/>
      <c r="TGF124" s="974"/>
      <c r="TGG124" s="974"/>
      <c r="TGH124" s="974"/>
      <c r="TGI124" s="974"/>
      <c r="TGJ124" s="974"/>
      <c r="TGK124" s="974"/>
      <c r="TGL124" s="974"/>
      <c r="TGM124" s="974"/>
      <c r="TGN124" s="974"/>
      <c r="TGO124" s="974"/>
      <c r="TGP124" s="974"/>
      <c r="TGQ124" s="974"/>
      <c r="TGR124" s="974"/>
      <c r="TGS124" s="974"/>
      <c r="TGT124" s="974"/>
      <c r="TGU124" s="974"/>
      <c r="TGV124" s="974"/>
      <c r="TGW124" s="974"/>
      <c r="TGX124" s="974"/>
      <c r="TGY124" s="974"/>
      <c r="TGZ124" s="974"/>
      <c r="THA124" s="974"/>
      <c r="THB124" s="974"/>
      <c r="THC124" s="974"/>
      <c r="THD124" s="974"/>
      <c r="THE124" s="974"/>
      <c r="THF124" s="974"/>
      <c r="THG124" s="974"/>
      <c r="THH124" s="974"/>
      <c r="THI124" s="974"/>
      <c r="THJ124" s="974"/>
      <c r="THK124" s="974"/>
      <c r="THL124" s="974"/>
      <c r="THM124" s="974"/>
      <c r="THN124" s="974"/>
      <c r="THO124" s="974"/>
      <c r="THP124" s="974"/>
      <c r="THQ124" s="974"/>
      <c r="THR124" s="974"/>
      <c r="THS124" s="974"/>
      <c r="THT124" s="974"/>
      <c r="THU124" s="974"/>
      <c r="THV124" s="974"/>
      <c r="THW124" s="974"/>
      <c r="THX124" s="974"/>
      <c r="THY124" s="974"/>
      <c r="THZ124" s="974"/>
      <c r="TIA124" s="974"/>
      <c r="TIB124" s="974"/>
      <c r="TIC124" s="974"/>
      <c r="TID124" s="974"/>
      <c r="TIE124" s="974"/>
      <c r="TIF124" s="974"/>
      <c r="TIG124" s="974"/>
      <c r="TIH124" s="974"/>
      <c r="TII124" s="974"/>
      <c r="TIJ124" s="974"/>
      <c r="TIK124" s="974"/>
      <c r="TIL124" s="974"/>
      <c r="TIM124" s="974"/>
      <c r="TIN124" s="974"/>
      <c r="TIO124" s="974"/>
      <c r="TIP124" s="974"/>
      <c r="TIQ124" s="974"/>
      <c r="TIR124" s="974"/>
      <c r="TIS124" s="974"/>
      <c r="TIT124" s="974"/>
      <c r="TIU124" s="974"/>
      <c r="TIV124" s="974"/>
      <c r="TIW124" s="974"/>
      <c r="TIX124" s="974"/>
      <c r="TIY124" s="974"/>
      <c r="TIZ124" s="974"/>
      <c r="TJA124" s="974"/>
      <c r="TJB124" s="974"/>
      <c r="TJC124" s="974"/>
      <c r="TJD124" s="974"/>
      <c r="TJE124" s="974"/>
      <c r="TJF124" s="974"/>
      <c r="TJG124" s="974"/>
      <c r="TJH124" s="974"/>
      <c r="TJI124" s="974"/>
      <c r="TJJ124" s="974"/>
      <c r="TJK124" s="974"/>
      <c r="TJL124" s="974"/>
      <c r="TJM124" s="974"/>
      <c r="TJN124" s="974"/>
      <c r="TJO124" s="974"/>
      <c r="TJP124" s="974"/>
      <c r="TJQ124" s="974"/>
      <c r="TJR124" s="974"/>
      <c r="TJS124" s="974"/>
      <c r="TJT124" s="974"/>
      <c r="TJU124" s="974"/>
      <c r="TJV124" s="974"/>
      <c r="TJW124" s="974"/>
      <c r="TJX124" s="974"/>
      <c r="TJY124" s="974"/>
      <c r="TJZ124" s="974"/>
      <c r="TKA124" s="974"/>
      <c r="TKB124" s="974"/>
      <c r="TKC124" s="974"/>
      <c r="TKD124" s="974"/>
      <c r="TKE124" s="974"/>
      <c r="TKF124" s="974"/>
      <c r="TKG124" s="974"/>
      <c r="TKH124" s="974"/>
      <c r="TKI124" s="974"/>
      <c r="TKJ124" s="974"/>
      <c r="TKK124" s="974"/>
      <c r="TKL124" s="974"/>
      <c r="TKM124" s="974"/>
      <c r="TKN124" s="974"/>
      <c r="TKO124" s="974"/>
      <c r="TKP124" s="974"/>
      <c r="TKQ124" s="974"/>
      <c r="TKR124" s="974"/>
      <c r="TKS124" s="974"/>
      <c r="TKT124" s="974"/>
      <c r="TKU124" s="974"/>
      <c r="TKV124" s="974"/>
      <c r="TKW124" s="974"/>
      <c r="TKX124" s="974"/>
      <c r="TKY124" s="974"/>
      <c r="TKZ124" s="974"/>
      <c r="TLA124" s="974"/>
      <c r="TLB124" s="974"/>
      <c r="TLC124" s="974"/>
      <c r="TLD124" s="974"/>
      <c r="TLE124" s="974"/>
      <c r="TLF124" s="974"/>
      <c r="TLG124" s="974"/>
      <c r="TLH124" s="974"/>
      <c r="TLI124" s="974"/>
      <c r="TLJ124" s="974"/>
      <c r="TLK124" s="974"/>
      <c r="TLL124" s="974"/>
      <c r="TLM124" s="974"/>
      <c r="TLN124" s="974"/>
      <c r="TLO124" s="974"/>
      <c r="TLP124" s="974"/>
      <c r="TLQ124" s="974"/>
      <c r="TLR124" s="974"/>
      <c r="TLS124" s="974"/>
      <c r="TLT124" s="974"/>
      <c r="TLU124" s="974"/>
      <c r="TLV124" s="974"/>
      <c r="TLW124" s="974"/>
      <c r="TLX124" s="974"/>
      <c r="TLY124" s="974"/>
      <c r="TLZ124" s="974"/>
      <c r="TMA124" s="974"/>
      <c r="TMB124" s="974"/>
      <c r="TMC124" s="974"/>
      <c r="TMD124" s="974"/>
      <c r="TME124" s="974"/>
      <c r="TMF124" s="974"/>
      <c r="TMG124" s="974"/>
      <c r="TMH124" s="974"/>
      <c r="TMI124" s="974"/>
      <c r="TMJ124" s="974"/>
      <c r="TMK124" s="974"/>
      <c r="TML124" s="974"/>
      <c r="TMM124" s="974"/>
      <c r="TMN124" s="974"/>
      <c r="TMO124" s="974"/>
      <c r="TMP124" s="974"/>
      <c r="TMQ124" s="974"/>
      <c r="TMR124" s="974"/>
      <c r="TMS124" s="974"/>
      <c r="TMT124" s="974"/>
      <c r="TMU124" s="974"/>
      <c r="TMV124" s="974"/>
      <c r="TMW124" s="974"/>
      <c r="TMX124" s="974"/>
      <c r="TMY124" s="974"/>
      <c r="TMZ124" s="974"/>
      <c r="TNA124" s="974"/>
      <c r="TNB124" s="974"/>
      <c r="TNC124" s="974"/>
      <c r="TND124" s="974"/>
      <c r="TNE124" s="974"/>
      <c r="TNF124" s="974"/>
      <c r="TNG124" s="974"/>
      <c r="TNH124" s="974"/>
      <c r="TNI124" s="974"/>
      <c r="TNJ124" s="974"/>
      <c r="TNK124" s="974"/>
      <c r="TNL124" s="974"/>
      <c r="TNM124" s="974"/>
      <c r="TNN124" s="974"/>
      <c r="TNO124" s="974"/>
      <c r="TNP124" s="974"/>
      <c r="TNQ124" s="974"/>
      <c r="TNR124" s="974"/>
      <c r="TNS124" s="974"/>
      <c r="TNT124" s="974"/>
      <c r="TNU124" s="974"/>
      <c r="TNV124" s="974"/>
      <c r="TNW124" s="974"/>
      <c r="TNX124" s="974"/>
      <c r="TNY124" s="974"/>
      <c r="TNZ124" s="974"/>
      <c r="TOA124" s="974"/>
      <c r="TOB124" s="974"/>
      <c r="TOC124" s="974"/>
      <c r="TOD124" s="974"/>
      <c r="TOE124" s="974"/>
      <c r="TOF124" s="974"/>
      <c r="TOG124" s="974"/>
      <c r="TOH124" s="974"/>
      <c r="TOI124" s="974"/>
      <c r="TOJ124" s="974"/>
      <c r="TOK124" s="974"/>
      <c r="TOL124" s="974"/>
      <c r="TOM124" s="974"/>
      <c r="TON124" s="974"/>
      <c r="TOO124" s="974"/>
      <c r="TOP124" s="974"/>
      <c r="TOQ124" s="974"/>
      <c r="TOR124" s="974"/>
      <c r="TOS124" s="974"/>
      <c r="TOT124" s="974"/>
      <c r="TOU124" s="974"/>
      <c r="TOV124" s="974"/>
      <c r="TOW124" s="974"/>
      <c r="TOX124" s="974"/>
      <c r="TOY124" s="974"/>
      <c r="TOZ124" s="974"/>
      <c r="TPA124" s="974"/>
      <c r="TPB124" s="974"/>
      <c r="TPC124" s="974"/>
      <c r="TPD124" s="974"/>
      <c r="TPE124" s="974"/>
      <c r="TPF124" s="974"/>
      <c r="TPG124" s="974"/>
      <c r="TPH124" s="974"/>
      <c r="TPI124" s="974"/>
      <c r="TPJ124" s="974"/>
      <c r="TPK124" s="974"/>
      <c r="TPL124" s="974"/>
      <c r="TPM124" s="974"/>
      <c r="TPN124" s="974"/>
      <c r="TPO124" s="974"/>
      <c r="TPP124" s="974"/>
      <c r="TPQ124" s="974"/>
      <c r="TPR124" s="974"/>
      <c r="TPS124" s="974"/>
      <c r="TPT124" s="974"/>
      <c r="TPU124" s="974"/>
      <c r="TPV124" s="974"/>
      <c r="TPW124" s="974"/>
      <c r="TPX124" s="974"/>
      <c r="TPY124" s="974"/>
      <c r="TPZ124" s="974"/>
      <c r="TQA124" s="974"/>
      <c r="TQB124" s="974"/>
      <c r="TQC124" s="974"/>
      <c r="TQD124" s="974"/>
      <c r="TQE124" s="974"/>
      <c r="TQF124" s="974"/>
      <c r="TQG124" s="974"/>
      <c r="TQH124" s="974"/>
      <c r="TQI124" s="974"/>
      <c r="TQJ124" s="974"/>
      <c r="TQK124" s="974"/>
      <c r="TQL124" s="974"/>
      <c r="TQM124" s="974"/>
      <c r="TQN124" s="974"/>
      <c r="TQO124" s="974"/>
      <c r="TQP124" s="974"/>
      <c r="TQQ124" s="974"/>
      <c r="TQR124" s="974"/>
      <c r="TQS124" s="974"/>
      <c r="TQT124" s="974"/>
      <c r="TQU124" s="974"/>
      <c r="TQV124" s="974"/>
      <c r="TQW124" s="974"/>
      <c r="TQX124" s="974"/>
      <c r="TQY124" s="974"/>
      <c r="TQZ124" s="974"/>
      <c r="TRA124" s="974"/>
      <c r="TRB124" s="974"/>
      <c r="TRC124" s="974"/>
      <c r="TRD124" s="974"/>
      <c r="TRE124" s="974"/>
      <c r="TRF124" s="974"/>
      <c r="TRG124" s="974"/>
      <c r="TRH124" s="974"/>
      <c r="TRI124" s="974"/>
      <c r="TRJ124" s="974"/>
      <c r="TRK124" s="974"/>
      <c r="TRL124" s="974"/>
      <c r="TRM124" s="974"/>
      <c r="TRN124" s="974"/>
      <c r="TRO124" s="974"/>
      <c r="TRP124" s="974"/>
      <c r="TRQ124" s="974"/>
      <c r="TRR124" s="974"/>
      <c r="TRS124" s="974"/>
      <c r="TRT124" s="974"/>
      <c r="TRU124" s="974"/>
      <c r="TRV124" s="974"/>
      <c r="TRW124" s="974"/>
      <c r="TRX124" s="974"/>
      <c r="TRY124" s="974"/>
      <c r="TRZ124" s="974"/>
      <c r="TSA124" s="974"/>
      <c r="TSB124" s="974"/>
      <c r="TSC124" s="974"/>
      <c r="TSD124" s="974"/>
      <c r="TSE124" s="974"/>
      <c r="TSF124" s="974"/>
      <c r="TSG124" s="974"/>
      <c r="TSH124" s="974"/>
      <c r="TSI124" s="974"/>
      <c r="TSJ124" s="974"/>
      <c r="TSK124" s="974"/>
      <c r="TSL124" s="974"/>
      <c r="TSM124" s="974"/>
      <c r="TSN124" s="974"/>
      <c r="TSO124" s="974"/>
      <c r="TSP124" s="974"/>
      <c r="TSQ124" s="974"/>
      <c r="TSR124" s="974"/>
      <c r="TSS124" s="974"/>
      <c r="TST124" s="974"/>
      <c r="TSU124" s="974"/>
      <c r="TSV124" s="974"/>
      <c r="TSW124" s="974"/>
      <c r="TSX124" s="974"/>
      <c r="TSY124" s="974"/>
      <c r="TSZ124" s="974"/>
      <c r="TTA124" s="974"/>
      <c r="TTB124" s="974"/>
      <c r="TTC124" s="974"/>
      <c r="TTD124" s="974"/>
      <c r="TTE124" s="974"/>
      <c r="TTF124" s="974"/>
      <c r="TTG124" s="974"/>
      <c r="TTH124" s="974"/>
      <c r="TTI124" s="974"/>
      <c r="TTJ124" s="974"/>
      <c r="TTK124" s="974"/>
      <c r="TTL124" s="974"/>
      <c r="TTM124" s="974"/>
      <c r="TTN124" s="974"/>
      <c r="TTO124" s="974"/>
      <c r="TTP124" s="974"/>
      <c r="TTQ124" s="974"/>
      <c r="TTR124" s="974"/>
      <c r="TTS124" s="974"/>
      <c r="TTT124" s="974"/>
      <c r="TTU124" s="974"/>
      <c r="TTV124" s="974"/>
      <c r="TTW124" s="974"/>
      <c r="TTX124" s="974"/>
      <c r="TTY124" s="974"/>
      <c r="TTZ124" s="974"/>
      <c r="TUA124" s="974"/>
      <c r="TUB124" s="974"/>
      <c r="TUC124" s="974"/>
      <c r="TUD124" s="974"/>
      <c r="TUE124" s="974"/>
      <c r="TUF124" s="974"/>
      <c r="TUG124" s="974"/>
      <c r="TUH124" s="974"/>
      <c r="TUI124" s="974"/>
      <c r="TUJ124" s="974"/>
      <c r="TUK124" s="974"/>
      <c r="TUL124" s="974"/>
      <c r="TUM124" s="974"/>
      <c r="TUN124" s="974"/>
      <c r="TUO124" s="974"/>
      <c r="TUP124" s="974"/>
      <c r="TUQ124" s="974"/>
      <c r="TUR124" s="974"/>
      <c r="TUS124" s="974"/>
      <c r="TUT124" s="974"/>
      <c r="TUU124" s="974"/>
      <c r="TUV124" s="974"/>
      <c r="TUW124" s="974"/>
      <c r="TUX124" s="974"/>
      <c r="TUY124" s="974"/>
      <c r="TUZ124" s="974"/>
      <c r="TVA124" s="974"/>
      <c r="TVB124" s="974"/>
      <c r="TVC124" s="974"/>
      <c r="TVD124" s="974"/>
      <c r="TVE124" s="974"/>
      <c r="TVF124" s="974"/>
      <c r="TVG124" s="974"/>
      <c r="TVH124" s="974"/>
      <c r="TVI124" s="974"/>
      <c r="TVJ124" s="974"/>
      <c r="TVK124" s="974"/>
      <c r="TVL124" s="974"/>
      <c r="TVM124" s="974"/>
      <c r="TVN124" s="974"/>
      <c r="TVO124" s="974"/>
      <c r="TVP124" s="974"/>
      <c r="TVQ124" s="974"/>
      <c r="TVR124" s="974"/>
      <c r="TVS124" s="974"/>
      <c r="TVT124" s="974"/>
      <c r="TVU124" s="974"/>
      <c r="TVV124" s="974"/>
      <c r="TVW124" s="974"/>
      <c r="TVX124" s="974"/>
      <c r="TVY124" s="974"/>
      <c r="TVZ124" s="974"/>
      <c r="TWA124" s="974"/>
      <c r="TWB124" s="974"/>
      <c r="TWC124" s="974"/>
      <c r="TWD124" s="974"/>
      <c r="TWE124" s="974"/>
      <c r="TWF124" s="974"/>
      <c r="TWG124" s="974"/>
      <c r="TWH124" s="974"/>
      <c r="TWI124" s="974"/>
      <c r="TWJ124" s="974"/>
      <c r="TWK124" s="974"/>
      <c r="TWL124" s="974"/>
      <c r="TWM124" s="974"/>
      <c r="TWN124" s="974"/>
      <c r="TWO124" s="974"/>
      <c r="TWP124" s="974"/>
      <c r="TWQ124" s="974"/>
      <c r="TWR124" s="974"/>
      <c r="TWS124" s="974"/>
      <c r="TWT124" s="974"/>
      <c r="TWU124" s="974"/>
      <c r="TWV124" s="974"/>
      <c r="TWW124" s="974"/>
      <c r="TWX124" s="974"/>
      <c r="TWY124" s="974"/>
      <c r="TWZ124" s="974"/>
      <c r="TXA124" s="974"/>
      <c r="TXB124" s="974"/>
      <c r="TXC124" s="974"/>
      <c r="TXD124" s="974"/>
      <c r="TXE124" s="974"/>
      <c r="TXF124" s="974"/>
      <c r="TXG124" s="974"/>
      <c r="TXH124" s="974"/>
      <c r="TXI124" s="974"/>
      <c r="TXJ124" s="974"/>
      <c r="TXK124" s="974"/>
      <c r="TXL124" s="974"/>
      <c r="TXM124" s="974"/>
      <c r="TXN124" s="974"/>
      <c r="TXO124" s="974"/>
      <c r="TXP124" s="974"/>
      <c r="TXQ124" s="974"/>
      <c r="TXR124" s="974"/>
      <c r="TXS124" s="974"/>
      <c r="TXT124" s="974"/>
      <c r="TXU124" s="974"/>
      <c r="TXV124" s="974"/>
      <c r="TXW124" s="974"/>
      <c r="TXX124" s="974"/>
      <c r="TXY124" s="974"/>
      <c r="TXZ124" s="974"/>
      <c r="TYA124" s="974"/>
      <c r="TYB124" s="974"/>
      <c r="TYC124" s="974"/>
      <c r="TYD124" s="974"/>
      <c r="TYE124" s="974"/>
      <c r="TYF124" s="974"/>
      <c r="TYG124" s="974"/>
      <c r="TYH124" s="974"/>
      <c r="TYI124" s="974"/>
      <c r="TYJ124" s="974"/>
      <c r="TYK124" s="974"/>
      <c r="TYL124" s="974"/>
      <c r="TYM124" s="974"/>
      <c r="TYN124" s="974"/>
      <c r="TYO124" s="974"/>
      <c r="TYP124" s="974"/>
      <c r="TYQ124" s="974"/>
      <c r="TYR124" s="974"/>
      <c r="TYS124" s="974"/>
      <c r="TYT124" s="974"/>
      <c r="TYU124" s="974"/>
      <c r="TYV124" s="974"/>
      <c r="TYW124" s="974"/>
      <c r="TYX124" s="974"/>
      <c r="TYY124" s="974"/>
      <c r="TYZ124" s="974"/>
      <c r="TZA124" s="974"/>
      <c r="TZB124" s="974"/>
      <c r="TZC124" s="974"/>
      <c r="TZD124" s="974"/>
      <c r="TZE124" s="974"/>
      <c r="TZF124" s="974"/>
      <c r="TZG124" s="974"/>
      <c r="TZH124" s="974"/>
      <c r="TZI124" s="974"/>
      <c r="TZJ124" s="974"/>
      <c r="TZK124" s="974"/>
      <c r="TZL124" s="974"/>
      <c r="TZM124" s="974"/>
      <c r="TZN124" s="974"/>
      <c r="TZO124" s="974"/>
      <c r="TZP124" s="974"/>
      <c r="TZQ124" s="974"/>
      <c r="TZR124" s="974"/>
      <c r="TZS124" s="974"/>
      <c r="TZT124" s="974"/>
      <c r="TZU124" s="974"/>
      <c r="TZV124" s="974"/>
      <c r="TZW124" s="974"/>
      <c r="TZX124" s="974"/>
      <c r="TZY124" s="974"/>
      <c r="TZZ124" s="974"/>
      <c r="UAA124" s="974"/>
      <c r="UAB124" s="974"/>
      <c r="UAC124" s="974"/>
      <c r="UAD124" s="974"/>
      <c r="UAE124" s="974"/>
      <c r="UAF124" s="974"/>
      <c r="UAG124" s="974"/>
      <c r="UAH124" s="974"/>
      <c r="UAI124" s="974"/>
      <c r="UAJ124" s="974"/>
      <c r="UAK124" s="974"/>
      <c r="UAL124" s="974"/>
      <c r="UAM124" s="974"/>
      <c r="UAN124" s="974"/>
      <c r="UAO124" s="974"/>
      <c r="UAP124" s="974"/>
      <c r="UAQ124" s="974"/>
      <c r="UAR124" s="974"/>
      <c r="UAS124" s="974"/>
      <c r="UAT124" s="974"/>
      <c r="UAU124" s="974"/>
      <c r="UAV124" s="974"/>
      <c r="UAW124" s="974"/>
      <c r="UAX124" s="974"/>
      <c r="UAY124" s="974"/>
      <c r="UAZ124" s="974"/>
      <c r="UBA124" s="974"/>
      <c r="UBB124" s="974"/>
      <c r="UBC124" s="974"/>
      <c r="UBD124" s="974"/>
      <c r="UBE124" s="974"/>
      <c r="UBF124" s="974"/>
      <c r="UBG124" s="974"/>
      <c r="UBH124" s="974"/>
      <c r="UBI124" s="974"/>
      <c r="UBJ124" s="974"/>
      <c r="UBK124" s="974"/>
      <c r="UBL124" s="974"/>
      <c r="UBM124" s="974"/>
      <c r="UBN124" s="974"/>
      <c r="UBO124" s="974"/>
      <c r="UBP124" s="974"/>
      <c r="UBQ124" s="974"/>
      <c r="UBR124" s="974"/>
      <c r="UBS124" s="974"/>
      <c r="UBT124" s="974"/>
      <c r="UBU124" s="974"/>
      <c r="UBV124" s="974"/>
      <c r="UBW124" s="974"/>
      <c r="UBX124" s="974"/>
      <c r="UBY124" s="974"/>
      <c r="UBZ124" s="974"/>
      <c r="UCA124" s="974"/>
      <c r="UCB124" s="974"/>
      <c r="UCC124" s="974"/>
      <c r="UCD124" s="974"/>
      <c r="UCE124" s="974"/>
      <c r="UCF124" s="974"/>
      <c r="UCG124" s="974"/>
      <c r="UCH124" s="974"/>
      <c r="UCI124" s="974"/>
      <c r="UCJ124" s="974"/>
      <c r="UCK124" s="974"/>
      <c r="UCL124" s="974"/>
      <c r="UCM124" s="974"/>
      <c r="UCN124" s="974"/>
      <c r="UCO124" s="974"/>
      <c r="UCP124" s="974"/>
      <c r="UCQ124" s="974"/>
      <c r="UCR124" s="974"/>
      <c r="UCS124" s="974"/>
      <c r="UCT124" s="974"/>
      <c r="UCU124" s="974"/>
      <c r="UCV124" s="974"/>
      <c r="UCW124" s="974"/>
      <c r="UCX124" s="974"/>
      <c r="UCY124" s="974"/>
      <c r="UCZ124" s="974"/>
      <c r="UDA124" s="974"/>
      <c r="UDB124" s="974"/>
      <c r="UDC124" s="974"/>
      <c r="UDD124" s="974"/>
      <c r="UDE124" s="974"/>
      <c r="UDF124" s="974"/>
      <c r="UDG124" s="974"/>
      <c r="UDH124" s="974"/>
      <c r="UDI124" s="974"/>
      <c r="UDJ124" s="974"/>
      <c r="UDK124" s="974"/>
      <c r="UDL124" s="974"/>
      <c r="UDM124" s="974"/>
      <c r="UDN124" s="974"/>
      <c r="UDO124" s="974"/>
      <c r="UDP124" s="974"/>
      <c r="UDQ124" s="974"/>
      <c r="UDR124" s="974"/>
      <c r="UDS124" s="974"/>
      <c r="UDT124" s="974"/>
      <c r="UDU124" s="974"/>
      <c r="UDV124" s="974"/>
      <c r="UDW124" s="974"/>
      <c r="UDX124" s="974"/>
      <c r="UDY124" s="974"/>
      <c r="UDZ124" s="974"/>
      <c r="UEA124" s="974"/>
      <c r="UEB124" s="974"/>
      <c r="UEC124" s="974"/>
      <c r="UED124" s="974"/>
      <c r="UEE124" s="974"/>
      <c r="UEF124" s="974"/>
      <c r="UEG124" s="974"/>
      <c r="UEH124" s="974"/>
      <c r="UEI124" s="974"/>
      <c r="UEJ124" s="974"/>
      <c r="UEK124" s="974"/>
      <c r="UEL124" s="974"/>
      <c r="UEM124" s="974"/>
      <c r="UEN124" s="974"/>
      <c r="UEO124" s="974"/>
      <c r="UEP124" s="974"/>
      <c r="UEQ124" s="974"/>
      <c r="UER124" s="974"/>
      <c r="UES124" s="974"/>
      <c r="UET124" s="974"/>
      <c r="UEU124" s="974"/>
      <c r="UEV124" s="974"/>
      <c r="UEW124" s="974"/>
      <c r="UEX124" s="974"/>
      <c r="UEY124" s="974"/>
      <c r="UEZ124" s="974"/>
      <c r="UFA124" s="974"/>
      <c r="UFB124" s="974"/>
      <c r="UFC124" s="974"/>
      <c r="UFD124" s="974"/>
      <c r="UFE124" s="974"/>
      <c r="UFF124" s="974"/>
      <c r="UFG124" s="974"/>
      <c r="UFH124" s="974"/>
      <c r="UFI124" s="974"/>
      <c r="UFJ124" s="974"/>
      <c r="UFK124" s="974"/>
      <c r="UFL124" s="974"/>
      <c r="UFM124" s="974"/>
      <c r="UFN124" s="974"/>
      <c r="UFO124" s="974"/>
      <c r="UFP124" s="974"/>
      <c r="UFQ124" s="974"/>
      <c r="UFR124" s="974"/>
      <c r="UFS124" s="974"/>
      <c r="UFT124" s="974"/>
      <c r="UFU124" s="974"/>
      <c r="UFV124" s="974"/>
      <c r="UFW124" s="974"/>
      <c r="UFX124" s="974"/>
      <c r="UFY124" s="974"/>
      <c r="UFZ124" s="974"/>
      <c r="UGA124" s="974"/>
      <c r="UGB124" s="974"/>
      <c r="UGC124" s="974"/>
      <c r="UGD124" s="974"/>
      <c r="UGE124" s="974"/>
      <c r="UGF124" s="974"/>
      <c r="UGG124" s="974"/>
      <c r="UGH124" s="974"/>
      <c r="UGI124" s="974"/>
      <c r="UGJ124" s="974"/>
      <c r="UGK124" s="974"/>
      <c r="UGL124" s="974"/>
      <c r="UGM124" s="974"/>
      <c r="UGN124" s="974"/>
      <c r="UGO124" s="974"/>
      <c r="UGP124" s="974"/>
      <c r="UGQ124" s="974"/>
      <c r="UGR124" s="974"/>
      <c r="UGS124" s="974"/>
      <c r="UGT124" s="974"/>
      <c r="UGU124" s="974"/>
      <c r="UGV124" s="974"/>
      <c r="UGW124" s="974"/>
      <c r="UGX124" s="974"/>
      <c r="UGY124" s="974"/>
      <c r="UGZ124" s="974"/>
      <c r="UHA124" s="974"/>
      <c r="UHB124" s="974"/>
      <c r="UHC124" s="974"/>
      <c r="UHD124" s="974"/>
      <c r="UHE124" s="974"/>
      <c r="UHF124" s="974"/>
      <c r="UHG124" s="974"/>
      <c r="UHH124" s="974"/>
      <c r="UHI124" s="974"/>
      <c r="UHJ124" s="974"/>
      <c r="UHK124" s="974"/>
      <c r="UHL124" s="974"/>
      <c r="UHM124" s="974"/>
      <c r="UHN124" s="974"/>
      <c r="UHO124" s="974"/>
      <c r="UHP124" s="974"/>
      <c r="UHQ124" s="974"/>
      <c r="UHR124" s="974"/>
      <c r="UHS124" s="974"/>
      <c r="UHT124" s="974"/>
      <c r="UHU124" s="974"/>
      <c r="UHV124" s="974"/>
      <c r="UHW124" s="974"/>
      <c r="UHX124" s="974"/>
      <c r="UHY124" s="974"/>
      <c r="UHZ124" s="974"/>
      <c r="UIA124" s="974"/>
      <c r="UIB124" s="974"/>
      <c r="UIC124" s="974"/>
      <c r="UID124" s="974"/>
      <c r="UIE124" s="974"/>
      <c r="UIF124" s="974"/>
      <c r="UIG124" s="974"/>
      <c r="UIH124" s="974"/>
      <c r="UII124" s="974"/>
      <c r="UIJ124" s="974"/>
      <c r="UIK124" s="974"/>
      <c r="UIL124" s="974"/>
      <c r="UIM124" s="974"/>
      <c r="UIN124" s="974"/>
      <c r="UIO124" s="974"/>
      <c r="UIP124" s="974"/>
      <c r="UIQ124" s="974"/>
      <c r="UIR124" s="974"/>
      <c r="UIS124" s="974"/>
      <c r="UIT124" s="974"/>
      <c r="UIU124" s="974"/>
      <c r="UIV124" s="974"/>
      <c r="UIW124" s="974"/>
      <c r="UIX124" s="974"/>
      <c r="UIY124" s="974"/>
      <c r="UIZ124" s="974"/>
      <c r="UJA124" s="974"/>
      <c r="UJB124" s="974"/>
      <c r="UJC124" s="974"/>
      <c r="UJD124" s="974"/>
      <c r="UJE124" s="974"/>
      <c r="UJF124" s="974"/>
      <c r="UJG124" s="974"/>
      <c r="UJH124" s="974"/>
      <c r="UJI124" s="974"/>
      <c r="UJJ124" s="974"/>
      <c r="UJK124" s="974"/>
      <c r="UJL124" s="974"/>
      <c r="UJM124" s="974"/>
      <c r="UJN124" s="974"/>
      <c r="UJO124" s="974"/>
      <c r="UJP124" s="974"/>
      <c r="UJQ124" s="974"/>
      <c r="UJR124" s="974"/>
      <c r="UJS124" s="974"/>
      <c r="UJT124" s="974"/>
      <c r="UJU124" s="974"/>
      <c r="UJV124" s="974"/>
      <c r="UJW124" s="974"/>
      <c r="UJX124" s="974"/>
      <c r="UJY124" s="974"/>
      <c r="UJZ124" s="974"/>
      <c r="UKA124" s="974"/>
      <c r="UKB124" s="974"/>
      <c r="UKC124" s="974"/>
      <c r="UKD124" s="974"/>
      <c r="UKE124" s="974"/>
      <c r="UKF124" s="974"/>
      <c r="UKG124" s="974"/>
      <c r="UKH124" s="974"/>
      <c r="UKI124" s="974"/>
      <c r="UKJ124" s="974"/>
      <c r="UKK124" s="974"/>
      <c r="UKL124" s="974"/>
      <c r="UKM124" s="974"/>
      <c r="UKN124" s="974"/>
      <c r="UKO124" s="974"/>
      <c r="UKP124" s="974"/>
      <c r="UKQ124" s="974"/>
      <c r="UKR124" s="974"/>
      <c r="UKS124" s="974"/>
      <c r="UKT124" s="974"/>
      <c r="UKU124" s="974"/>
      <c r="UKV124" s="974"/>
      <c r="UKW124" s="974"/>
      <c r="UKX124" s="974"/>
      <c r="UKY124" s="974"/>
      <c r="UKZ124" s="974"/>
      <c r="ULA124" s="974"/>
      <c r="ULB124" s="974"/>
      <c r="ULC124" s="974"/>
      <c r="ULD124" s="974"/>
      <c r="ULE124" s="974"/>
      <c r="ULF124" s="974"/>
      <c r="ULG124" s="974"/>
      <c r="ULH124" s="974"/>
      <c r="ULI124" s="974"/>
      <c r="ULJ124" s="974"/>
      <c r="ULK124" s="974"/>
      <c r="ULL124" s="974"/>
      <c r="ULM124" s="974"/>
      <c r="ULN124" s="974"/>
      <c r="ULO124" s="974"/>
      <c r="ULP124" s="974"/>
      <c r="ULQ124" s="974"/>
      <c r="ULR124" s="974"/>
      <c r="ULS124" s="974"/>
      <c r="ULT124" s="974"/>
      <c r="ULU124" s="974"/>
      <c r="ULV124" s="974"/>
      <c r="ULW124" s="974"/>
      <c r="ULX124" s="974"/>
      <c r="ULY124" s="974"/>
      <c r="ULZ124" s="974"/>
      <c r="UMA124" s="974"/>
      <c r="UMB124" s="974"/>
      <c r="UMC124" s="974"/>
      <c r="UMD124" s="974"/>
      <c r="UME124" s="974"/>
      <c r="UMF124" s="974"/>
      <c r="UMG124" s="974"/>
      <c r="UMH124" s="974"/>
      <c r="UMI124" s="974"/>
      <c r="UMJ124" s="974"/>
      <c r="UMK124" s="974"/>
      <c r="UML124" s="974"/>
      <c r="UMM124" s="974"/>
      <c r="UMN124" s="974"/>
      <c r="UMO124" s="974"/>
      <c r="UMP124" s="974"/>
      <c r="UMQ124" s="974"/>
      <c r="UMR124" s="974"/>
      <c r="UMS124" s="974"/>
      <c r="UMT124" s="974"/>
      <c r="UMU124" s="974"/>
      <c r="UMV124" s="974"/>
      <c r="UMW124" s="974"/>
      <c r="UMX124" s="974"/>
      <c r="UMY124" s="974"/>
      <c r="UMZ124" s="974"/>
      <c r="UNA124" s="974"/>
      <c r="UNB124" s="974"/>
      <c r="UNC124" s="974"/>
      <c r="UND124" s="974"/>
      <c r="UNE124" s="974"/>
      <c r="UNF124" s="974"/>
      <c r="UNG124" s="974"/>
      <c r="UNH124" s="974"/>
      <c r="UNI124" s="974"/>
      <c r="UNJ124" s="974"/>
      <c r="UNK124" s="974"/>
      <c r="UNL124" s="974"/>
      <c r="UNM124" s="974"/>
      <c r="UNN124" s="974"/>
      <c r="UNO124" s="974"/>
      <c r="UNP124" s="974"/>
      <c r="UNQ124" s="974"/>
      <c r="UNR124" s="974"/>
      <c r="UNS124" s="974"/>
      <c r="UNT124" s="974"/>
      <c r="UNU124" s="974"/>
      <c r="UNV124" s="974"/>
      <c r="UNW124" s="974"/>
      <c r="UNX124" s="974"/>
      <c r="UNY124" s="974"/>
      <c r="UNZ124" s="974"/>
      <c r="UOA124" s="974"/>
      <c r="UOB124" s="974"/>
      <c r="UOC124" s="974"/>
      <c r="UOD124" s="974"/>
      <c r="UOE124" s="974"/>
      <c r="UOF124" s="974"/>
      <c r="UOG124" s="974"/>
      <c r="UOH124" s="974"/>
      <c r="UOI124" s="974"/>
      <c r="UOJ124" s="974"/>
      <c r="UOK124" s="974"/>
      <c r="UOL124" s="974"/>
      <c r="UOM124" s="974"/>
      <c r="UON124" s="974"/>
      <c r="UOO124" s="974"/>
      <c r="UOP124" s="974"/>
      <c r="UOQ124" s="974"/>
      <c r="UOR124" s="974"/>
      <c r="UOS124" s="974"/>
      <c r="UOT124" s="974"/>
      <c r="UOU124" s="974"/>
      <c r="UOV124" s="974"/>
      <c r="UOW124" s="974"/>
      <c r="UOX124" s="974"/>
      <c r="UOY124" s="974"/>
      <c r="UOZ124" s="974"/>
      <c r="UPA124" s="974"/>
      <c r="UPB124" s="974"/>
      <c r="UPC124" s="974"/>
      <c r="UPD124" s="974"/>
      <c r="UPE124" s="974"/>
      <c r="UPF124" s="974"/>
      <c r="UPG124" s="974"/>
      <c r="UPH124" s="974"/>
      <c r="UPI124" s="974"/>
      <c r="UPJ124" s="974"/>
      <c r="UPK124" s="974"/>
      <c r="UPL124" s="974"/>
      <c r="UPM124" s="974"/>
      <c r="UPN124" s="974"/>
      <c r="UPO124" s="974"/>
      <c r="UPP124" s="974"/>
      <c r="UPQ124" s="974"/>
      <c r="UPR124" s="974"/>
      <c r="UPS124" s="974"/>
      <c r="UPT124" s="974"/>
      <c r="UPU124" s="974"/>
      <c r="UPV124" s="974"/>
      <c r="UPW124" s="974"/>
      <c r="UPX124" s="974"/>
      <c r="UPY124" s="974"/>
      <c r="UPZ124" s="974"/>
      <c r="UQA124" s="974"/>
      <c r="UQB124" s="974"/>
      <c r="UQC124" s="974"/>
      <c r="UQD124" s="974"/>
      <c r="UQE124" s="974"/>
      <c r="UQF124" s="974"/>
      <c r="UQG124" s="974"/>
      <c r="UQH124" s="974"/>
      <c r="UQI124" s="974"/>
      <c r="UQJ124" s="974"/>
      <c r="UQK124" s="974"/>
      <c r="UQL124" s="974"/>
      <c r="UQM124" s="974"/>
      <c r="UQN124" s="974"/>
      <c r="UQO124" s="974"/>
      <c r="UQP124" s="974"/>
      <c r="UQQ124" s="974"/>
      <c r="UQR124" s="974"/>
      <c r="UQS124" s="974"/>
      <c r="UQT124" s="974"/>
      <c r="UQU124" s="974"/>
      <c r="UQV124" s="974"/>
      <c r="UQW124" s="974"/>
      <c r="UQX124" s="974"/>
      <c r="UQY124" s="974"/>
      <c r="UQZ124" s="974"/>
      <c r="URA124" s="974"/>
      <c r="URB124" s="974"/>
      <c r="URC124" s="974"/>
      <c r="URD124" s="974"/>
      <c r="URE124" s="974"/>
      <c r="URF124" s="974"/>
      <c r="URG124" s="974"/>
      <c r="URH124" s="974"/>
      <c r="URI124" s="974"/>
      <c r="URJ124" s="974"/>
      <c r="URK124" s="974"/>
      <c r="URL124" s="974"/>
      <c r="URM124" s="974"/>
      <c r="URN124" s="974"/>
      <c r="URO124" s="974"/>
      <c r="URP124" s="974"/>
      <c r="URQ124" s="974"/>
      <c r="URR124" s="974"/>
      <c r="URS124" s="974"/>
      <c r="URT124" s="974"/>
      <c r="URU124" s="974"/>
      <c r="URV124" s="974"/>
      <c r="URW124" s="974"/>
      <c r="URX124" s="974"/>
      <c r="URY124" s="974"/>
      <c r="URZ124" s="974"/>
      <c r="USA124" s="974"/>
      <c r="USB124" s="974"/>
      <c r="USC124" s="974"/>
      <c r="USD124" s="974"/>
      <c r="USE124" s="974"/>
      <c r="USF124" s="974"/>
      <c r="USG124" s="974"/>
      <c r="USH124" s="974"/>
      <c r="USI124" s="974"/>
      <c r="USJ124" s="974"/>
      <c r="USK124" s="974"/>
      <c r="USL124" s="974"/>
      <c r="USM124" s="974"/>
      <c r="USN124" s="974"/>
      <c r="USO124" s="974"/>
      <c r="USP124" s="974"/>
      <c r="USQ124" s="974"/>
      <c r="USR124" s="974"/>
      <c r="USS124" s="974"/>
      <c r="UST124" s="974"/>
      <c r="USU124" s="974"/>
      <c r="USV124" s="974"/>
      <c r="USW124" s="974"/>
      <c r="USX124" s="974"/>
      <c r="USY124" s="974"/>
      <c r="USZ124" s="974"/>
      <c r="UTA124" s="974"/>
      <c r="UTB124" s="974"/>
      <c r="UTC124" s="974"/>
      <c r="UTD124" s="974"/>
      <c r="UTE124" s="974"/>
      <c r="UTF124" s="974"/>
      <c r="UTG124" s="974"/>
      <c r="UTH124" s="974"/>
      <c r="UTI124" s="974"/>
      <c r="UTJ124" s="974"/>
      <c r="UTK124" s="974"/>
      <c r="UTL124" s="974"/>
      <c r="UTM124" s="974"/>
      <c r="UTN124" s="974"/>
      <c r="UTO124" s="974"/>
      <c r="UTP124" s="974"/>
      <c r="UTQ124" s="974"/>
      <c r="UTR124" s="974"/>
      <c r="UTS124" s="974"/>
      <c r="UTT124" s="974"/>
      <c r="UTU124" s="974"/>
      <c r="UTV124" s="974"/>
      <c r="UTW124" s="974"/>
      <c r="UTX124" s="974"/>
      <c r="UTY124" s="974"/>
      <c r="UTZ124" s="974"/>
      <c r="UUA124" s="974"/>
      <c r="UUB124" s="974"/>
      <c r="UUC124" s="974"/>
      <c r="UUD124" s="974"/>
      <c r="UUE124" s="974"/>
      <c r="UUF124" s="974"/>
      <c r="UUG124" s="974"/>
      <c r="UUH124" s="974"/>
      <c r="UUI124" s="974"/>
      <c r="UUJ124" s="974"/>
      <c r="UUK124" s="974"/>
      <c r="UUL124" s="974"/>
      <c r="UUM124" s="974"/>
      <c r="UUN124" s="974"/>
      <c r="UUO124" s="974"/>
      <c r="UUP124" s="974"/>
      <c r="UUQ124" s="974"/>
      <c r="UUR124" s="974"/>
      <c r="UUS124" s="974"/>
      <c r="UUT124" s="974"/>
      <c r="UUU124" s="974"/>
      <c r="UUV124" s="974"/>
      <c r="UUW124" s="974"/>
      <c r="UUX124" s="974"/>
      <c r="UUY124" s="974"/>
      <c r="UUZ124" s="974"/>
      <c r="UVA124" s="974"/>
      <c r="UVB124" s="974"/>
      <c r="UVC124" s="974"/>
      <c r="UVD124" s="974"/>
      <c r="UVE124" s="974"/>
      <c r="UVF124" s="974"/>
      <c r="UVG124" s="974"/>
      <c r="UVH124" s="974"/>
      <c r="UVI124" s="974"/>
      <c r="UVJ124" s="974"/>
      <c r="UVK124" s="974"/>
      <c r="UVL124" s="974"/>
      <c r="UVM124" s="974"/>
      <c r="UVN124" s="974"/>
      <c r="UVO124" s="974"/>
      <c r="UVP124" s="974"/>
      <c r="UVQ124" s="974"/>
      <c r="UVR124" s="974"/>
      <c r="UVS124" s="974"/>
      <c r="UVT124" s="974"/>
      <c r="UVU124" s="974"/>
      <c r="UVV124" s="974"/>
      <c r="UVW124" s="974"/>
      <c r="UVX124" s="974"/>
      <c r="UVY124" s="974"/>
      <c r="UVZ124" s="974"/>
      <c r="UWA124" s="974"/>
      <c r="UWB124" s="974"/>
      <c r="UWC124" s="974"/>
      <c r="UWD124" s="974"/>
      <c r="UWE124" s="974"/>
      <c r="UWF124" s="974"/>
      <c r="UWG124" s="974"/>
      <c r="UWH124" s="974"/>
      <c r="UWI124" s="974"/>
      <c r="UWJ124" s="974"/>
      <c r="UWK124" s="974"/>
      <c r="UWL124" s="974"/>
      <c r="UWM124" s="974"/>
      <c r="UWN124" s="974"/>
      <c r="UWO124" s="974"/>
      <c r="UWP124" s="974"/>
      <c r="UWQ124" s="974"/>
      <c r="UWR124" s="974"/>
      <c r="UWS124" s="974"/>
      <c r="UWT124" s="974"/>
      <c r="UWU124" s="974"/>
      <c r="UWV124" s="974"/>
      <c r="UWW124" s="974"/>
      <c r="UWX124" s="974"/>
      <c r="UWY124" s="974"/>
      <c r="UWZ124" s="974"/>
      <c r="UXA124" s="974"/>
      <c r="UXB124" s="974"/>
      <c r="UXC124" s="974"/>
      <c r="UXD124" s="974"/>
      <c r="UXE124" s="974"/>
      <c r="UXF124" s="974"/>
      <c r="UXG124" s="974"/>
      <c r="UXH124" s="974"/>
      <c r="UXI124" s="974"/>
      <c r="UXJ124" s="974"/>
      <c r="UXK124" s="974"/>
      <c r="UXL124" s="974"/>
      <c r="UXM124" s="974"/>
      <c r="UXN124" s="974"/>
      <c r="UXO124" s="974"/>
      <c r="UXP124" s="974"/>
      <c r="UXQ124" s="974"/>
      <c r="UXR124" s="974"/>
      <c r="UXS124" s="974"/>
      <c r="UXT124" s="974"/>
      <c r="UXU124" s="974"/>
      <c r="UXV124" s="974"/>
      <c r="UXW124" s="974"/>
      <c r="UXX124" s="974"/>
      <c r="UXY124" s="974"/>
      <c r="UXZ124" s="974"/>
      <c r="UYA124" s="974"/>
      <c r="UYB124" s="974"/>
      <c r="UYC124" s="974"/>
      <c r="UYD124" s="974"/>
      <c r="UYE124" s="974"/>
      <c r="UYF124" s="974"/>
      <c r="UYG124" s="974"/>
      <c r="UYH124" s="974"/>
      <c r="UYI124" s="974"/>
      <c r="UYJ124" s="974"/>
      <c r="UYK124" s="974"/>
      <c r="UYL124" s="974"/>
      <c r="UYM124" s="974"/>
      <c r="UYN124" s="974"/>
      <c r="UYO124" s="974"/>
      <c r="UYP124" s="974"/>
      <c r="UYQ124" s="974"/>
      <c r="UYR124" s="974"/>
      <c r="UYS124" s="974"/>
      <c r="UYT124" s="974"/>
      <c r="UYU124" s="974"/>
      <c r="UYV124" s="974"/>
      <c r="UYW124" s="974"/>
      <c r="UYX124" s="974"/>
      <c r="UYY124" s="974"/>
      <c r="UYZ124" s="974"/>
      <c r="UZA124" s="974"/>
      <c r="UZB124" s="974"/>
      <c r="UZC124" s="974"/>
      <c r="UZD124" s="974"/>
      <c r="UZE124" s="974"/>
      <c r="UZF124" s="974"/>
      <c r="UZG124" s="974"/>
      <c r="UZH124" s="974"/>
      <c r="UZI124" s="974"/>
      <c r="UZJ124" s="974"/>
      <c r="UZK124" s="974"/>
      <c r="UZL124" s="974"/>
      <c r="UZM124" s="974"/>
      <c r="UZN124" s="974"/>
      <c r="UZO124" s="974"/>
      <c r="UZP124" s="974"/>
      <c r="UZQ124" s="974"/>
      <c r="UZR124" s="974"/>
      <c r="UZS124" s="974"/>
      <c r="UZT124" s="974"/>
      <c r="UZU124" s="974"/>
      <c r="UZV124" s="974"/>
      <c r="UZW124" s="974"/>
      <c r="UZX124" s="974"/>
      <c r="UZY124" s="974"/>
      <c r="UZZ124" s="974"/>
      <c r="VAA124" s="974"/>
      <c r="VAB124" s="974"/>
      <c r="VAC124" s="974"/>
      <c r="VAD124" s="974"/>
      <c r="VAE124" s="974"/>
      <c r="VAF124" s="974"/>
      <c r="VAG124" s="974"/>
      <c r="VAH124" s="974"/>
      <c r="VAI124" s="974"/>
      <c r="VAJ124" s="974"/>
      <c r="VAK124" s="974"/>
      <c r="VAL124" s="974"/>
      <c r="VAM124" s="974"/>
      <c r="VAN124" s="974"/>
      <c r="VAO124" s="974"/>
      <c r="VAP124" s="974"/>
      <c r="VAQ124" s="974"/>
      <c r="VAR124" s="974"/>
      <c r="VAS124" s="974"/>
      <c r="VAT124" s="974"/>
      <c r="VAU124" s="974"/>
      <c r="VAV124" s="974"/>
      <c r="VAW124" s="974"/>
      <c r="VAX124" s="974"/>
      <c r="VAY124" s="974"/>
      <c r="VAZ124" s="974"/>
      <c r="VBA124" s="974"/>
      <c r="VBB124" s="974"/>
      <c r="VBC124" s="974"/>
      <c r="VBD124" s="974"/>
      <c r="VBE124" s="974"/>
      <c r="VBF124" s="974"/>
      <c r="VBG124" s="974"/>
      <c r="VBH124" s="974"/>
      <c r="VBI124" s="974"/>
      <c r="VBJ124" s="974"/>
      <c r="VBK124" s="974"/>
      <c r="VBL124" s="974"/>
      <c r="VBM124" s="974"/>
      <c r="VBN124" s="974"/>
      <c r="VBO124" s="974"/>
      <c r="VBP124" s="974"/>
      <c r="VBQ124" s="974"/>
      <c r="VBR124" s="974"/>
      <c r="VBS124" s="974"/>
      <c r="VBT124" s="974"/>
      <c r="VBU124" s="974"/>
      <c r="VBV124" s="974"/>
      <c r="VBW124" s="974"/>
      <c r="VBX124" s="974"/>
      <c r="VBY124" s="974"/>
      <c r="VBZ124" s="974"/>
      <c r="VCA124" s="974"/>
      <c r="VCB124" s="974"/>
      <c r="VCC124" s="974"/>
      <c r="VCD124" s="974"/>
      <c r="VCE124" s="974"/>
      <c r="VCF124" s="974"/>
      <c r="VCG124" s="974"/>
      <c r="VCH124" s="974"/>
      <c r="VCI124" s="974"/>
      <c r="VCJ124" s="974"/>
      <c r="VCK124" s="974"/>
      <c r="VCL124" s="974"/>
      <c r="VCM124" s="974"/>
      <c r="VCN124" s="974"/>
      <c r="VCO124" s="974"/>
      <c r="VCP124" s="974"/>
      <c r="VCQ124" s="974"/>
      <c r="VCR124" s="974"/>
      <c r="VCS124" s="974"/>
      <c r="VCT124" s="974"/>
      <c r="VCU124" s="974"/>
      <c r="VCV124" s="974"/>
      <c r="VCW124" s="974"/>
      <c r="VCX124" s="974"/>
      <c r="VCY124" s="974"/>
      <c r="VCZ124" s="974"/>
      <c r="VDA124" s="974"/>
      <c r="VDB124" s="974"/>
      <c r="VDC124" s="974"/>
      <c r="VDD124" s="974"/>
      <c r="VDE124" s="974"/>
      <c r="VDF124" s="974"/>
      <c r="VDG124" s="974"/>
      <c r="VDH124" s="974"/>
      <c r="VDI124" s="974"/>
      <c r="VDJ124" s="974"/>
      <c r="VDK124" s="974"/>
      <c r="VDL124" s="974"/>
      <c r="VDM124" s="974"/>
      <c r="VDN124" s="974"/>
      <c r="VDO124" s="974"/>
      <c r="VDP124" s="974"/>
      <c r="VDQ124" s="974"/>
      <c r="VDR124" s="974"/>
      <c r="VDS124" s="974"/>
      <c r="VDT124" s="974"/>
      <c r="VDU124" s="974"/>
      <c r="VDV124" s="974"/>
      <c r="VDW124" s="974"/>
      <c r="VDX124" s="974"/>
      <c r="VDY124" s="974"/>
      <c r="VDZ124" s="974"/>
      <c r="VEA124" s="974"/>
      <c r="VEB124" s="974"/>
      <c r="VEC124" s="974"/>
      <c r="VED124" s="974"/>
      <c r="VEE124" s="974"/>
      <c r="VEF124" s="974"/>
      <c r="VEG124" s="974"/>
      <c r="VEH124" s="974"/>
      <c r="VEI124" s="974"/>
      <c r="VEJ124" s="974"/>
      <c r="VEK124" s="974"/>
      <c r="VEL124" s="974"/>
      <c r="VEM124" s="974"/>
      <c r="VEN124" s="974"/>
      <c r="VEO124" s="974"/>
      <c r="VEP124" s="974"/>
      <c r="VEQ124" s="974"/>
      <c r="VER124" s="974"/>
      <c r="VES124" s="974"/>
      <c r="VET124" s="974"/>
      <c r="VEU124" s="974"/>
      <c r="VEV124" s="974"/>
      <c r="VEW124" s="974"/>
      <c r="VEX124" s="974"/>
      <c r="VEY124" s="974"/>
      <c r="VEZ124" s="974"/>
      <c r="VFA124" s="974"/>
      <c r="VFB124" s="974"/>
      <c r="VFC124" s="974"/>
      <c r="VFD124" s="974"/>
      <c r="VFE124" s="974"/>
      <c r="VFF124" s="974"/>
      <c r="VFG124" s="974"/>
      <c r="VFH124" s="974"/>
      <c r="VFI124" s="974"/>
      <c r="VFJ124" s="974"/>
      <c r="VFK124" s="974"/>
      <c r="VFL124" s="974"/>
      <c r="VFM124" s="974"/>
      <c r="VFN124" s="974"/>
      <c r="VFO124" s="974"/>
      <c r="VFP124" s="974"/>
      <c r="VFQ124" s="974"/>
      <c r="VFR124" s="974"/>
      <c r="VFS124" s="974"/>
      <c r="VFT124" s="974"/>
      <c r="VFU124" s="974"/>
      <c r="VFV124" s="974"/>
      <c r="VFW124" s="974"/>
      <c r="VFX124" s="974"/>
      <c r="VFY124" s="974"/>
      <c r="VFZ124" s="974"/>
      <c r="VGA124" s="974"/>
      <c r="VGB124" s="974"/>
      <c r="VGC124" s="974"/>
      <c r="VGD124" s="974"/>
      <c r="VGE124" s="974"/>
      <c r="VGF124" s="974"/>
      <c r="VGG124" s="974"/>
      <c r="VGH124" s="974"/>
      <c r="VGI124" s="974"/>
      <c r="VGJ124" s="974"/>
      <c r="VGK124" s="974"/>
      <c r="VGL124" s="974"/>
      <c r="VGM124" s="974"/>
      <c r="VGN124" s="974"/>
      <c r="VGO124" s="974"/>
      <c r="VGP124" s="974"/>
      <c r="VGQ124" s="974"/>
      <c r="VGR124" s="974"/>
      <c r="VGS124" s="974"/>
      <c r="VGT124" s="974"/>
      <c r="VGU124" s="974"/>
      <c r="VGV124" s="974"/>
      <c r="VGW124" s="974"/>
      <c r="VGX124" s="974"/>
      <c r="VGY124" s="974"/>
      <c r="VGZ124" s="974"/>
      <c r="VHA124" s="974"/>
      <c r="VHB124" s="974"/>
      <c r="VHC124" s="974"/>
      <c r="VHD124" s="974"/>
      <c r="VHE124" s="974"/>
      <c r="VHF124" s="974"/>
      <c r="VHG124" s="974"/>
      <c r="VHH124" s="974"/>
      <c r="VHI124" s="974"/>
      <c r="VHJ124" s="974"/>
      <c r="VHK124" s="974"/>
      <c r="VHL124" s="974"/>
      <c r="VHM124" s="974"/>
      <c r="VHN124" s="974"/>
      <c r="VHO124" s="974"/>
      <c r="VHP124" s="974"/>
      <c r="VHQ124" s="974"/>
      <c r="VHR124" s="974"/>
      <c r="VHS124" s="974"/>
      <c r="VHT124" s="974"/>
      <c r="VHU124" s="974"/>
      <c r="VHV124" s="974"/>
      <c r="VHW124" s="974"/>
      <c r="VHX124" s="974"/>
      <c r="VHY124" s="974"/>
      <c r="VHZ124" s="974"/>
      <c r="VIA124" s="974"/>
      <c r="VIB124" s="974"/>
      <c r="VIC124" s="974"/>
      <c r="VID124" s="974"/>
      <c r="VIE124" s="974"/>
      <c r="VIF124" s="974"/>
      <c r="VIG124" s="974"/>
      <c r="VIH124" s="974"/>
      <c r="VII124" s="974"/>
      <c r="VIJ124" s="974"/>
      <c r="VIK124" s="974"/>
      <c r="VIL124" s="974"/>
      <c r="VIM124" s="974"/>
      <c r="VIN124" s="974"/>
      <c r="VIO124" s="974"/>
      <c r="VIP124" s="974"/>
      <c r="VIQ124" s="974"/>
      <c r="VIR124" s="974"/>
      <c r="VIS124" s="974"/>
      <c r="VIT124" s="974"/>
      <c r="VIU124" s="974"/>
      <c r="VIV124" s="974"/>
      <c r="VIW124" s="974"/>
      <c r="VIX124" s="974"/>
      <c r="VIY124" s="974"/>
      <c r="VIZ124" s="974"/>
      <c r="VJA124" s="974"/>
      <c r="VJB124" s="974"/>
      <c r="VJC124" s="974"/>
      <c r="VJD124" s="974"/>
      <c r="VJE124" s="974"/>
      <c r="VJF124" s="974"/>
      <c r="VJG124" s="974"/>
      <c r="VJH124" s="974"/>
      <c r="VJI124" s="974"/>
      <c r="VJJ124" s="974"/>
      <c r="VJK124" s="974"/>
      <c r="VJL124" s="974"/>
      <c r="VJM124" s="974"/>
      <c r="VJN124" s="974"/>
      <c r="VJO124" s="974"/>
      <c r="VJP124" s="974"/>
      <c r="VJQ124" s="974"/>
      <c r="VJR124" s="974"/>
      <c r="VJS124" s="974"/>
      <c r="VJT124" s="974"/>
      <c r="VJU124" s="974"/>
      <c r="VJV124" s="974"/>
      <c r="VJW124" s="974"/>
      <c r="VJX124" s="974"/>
      <c r="VJY124" s="974"/>
      <c r="VJZ124" s="974"/>
      <c r="VKA124" s="974"/>
      <c r="VKB124" s="974"/>
      <c r="VKC124" s="974"/>
      <c r="VKD124" s="974"/>
      <c r="VKE124" s="974"/>
      <c r="VKF124" s="974"/>
      <c r="VKG124" s="974"/>
      <c r="VKH124" s="974"/>
      <c r="VKI124" s="974"/>
      <c r="VKJ124" s="974"/>
      <c r="VKK124" s="974"/>
      <c r="VKL124" s="974"/>
      <c r="VKM124" s="974"/>
      <c r="VKN124" s="974"/>
      <c r="VKO124" s="974"/>
      <c r="VKP124" s="974"/>
      <c r="VKQ124" s="974"/>
      <c r="VKR124" s="974"/>
      <c r="VKS124" s="974"/>
      <c r="VKT124" s="974"/>
      <c r="VKU124" s="974"/>
      <c r="VKV124" s="974"/>
      <c r="VKW124" s="974"/>
      <c r="VKX124" s="974"/>
      <c r="VKY124" s="974"/>
      <c r="VKZ124" s="974"/>
      <c r="VLA124" s="974"/>
      <c r="VLB124" s="974"/>
      <c r="VLC124" s="974"/>
      <c r="VLD124" s="974"/>
      <c r="VLE124" s="974"/>
      <c r="VLF124" s="974"/>
      <c r="VLG124" s="974"/>
      <c r="VLH124" s="974"/>
      <c r="VLI124" s="974"/>
      <c r="VLJ124" s="974"/>
      <c r="VLK124" s="974"/>
      <c r="VLL124" s="974"/>
      <c r="VLM124" s="974"/>
      <c r="VLN124" s="974"/>
      <c r="VLO124" s="974"/>
      <c r="VLP124" s="974"/>
      <c r="VLQ124" s="974"/>
      <c r="VLR124" s="974"/>
      <c r="VLS124" s="974"/>
      <c r="VLT124" s="974"/>
      <c r="VLU124" s="974"/>
      <c r="VLV124" s="974"/>
      <c r="VLW124" s="974"/>
      <c r="VLX124" s="974"/>
      <c r="VLY124" s="974"/>
      <c r="VLZ124" s="974"/>
      <c r="VMA124" s="974"/>
      <c r="VMB124" s="974"/>
      <c r="VMC124" s="974"/>
      <c r="VMD124" s="974"/>
      <c r="VME124" s="974"/>
      <c r="VMF124" s="974"/>
      <c r="VMG124" s="974"/>
      <c r="VMH124" s="974"/>
      <c r="VMI124" s="974"/>
      <c r="VMJ124" s="974"/>
      <c r="VMK124" s="974"/>
      <c r="VML124" s="974"/>
      <c r="VMM124" s="974"/>
      <c r="VMN124" s="974"/>
      <c r="VMO124" s="974"/>
      <c r="VMP124" s="974"/>
      <c r="VMQ124" s="974"/>
      <c r="VMR124" s="974"/>
      <c r="VMS124" s="974"/>
      <c r="VMT124" s="974"/>
      <c r="VMU124" s="974"/>
      <c r="VMV124" s="974"/>
      <c r="VMW124" s="974"/>
      <c r="VMX124" s="974"/>
      <c r="VMY124" s="974"/>
      <c r="VMZ124" s="974"/>
      <c r="VNA124" s="974"/>
      <c r="VNB124" s="974"/>
      <c r="VNC124" s="974"/>
      <c r="VND124" s="974"/>
      <c r="VNE124" s="974"/>
      <c r="VNF124" s="974"/>
      <c r="VNG124" s="974"/>
      <c r="VNH124" s="974"/>
      <c r="VNI124" s="974"/>
      <c r="VNJ124" s="974"/>
      <c r="VNK124" s="974"/>
      <c r="VNL124" s="974"/>
      <c r="VNM124" s="974"/>
      <c r="VNN124" s="974"/>
      <c r="VNO124" s="974"/>
      <c r="VNP124" s="974"/>
      <c r="VNQ124" s="974"/>
      <c r="VNR124" s="974"/>
      <c r="VNS124" s="974"/>
      <c r="VNT124" s="974"/>
      <c r="VNU124" s="974"/>
      <c r="VNV124" s="974"/>
      <c r="VNW124" s="974"/>
      <c r="VNX124" s="974"/>
      <c r="VNY124" s="974"/>
      <c r="VNZ124" s="974"/>
      <c r="VOA124" s="974"/>
      <c r="VOB124" s="974"/>
      <c r="VOC124" s="974"/>
      <c r="VOD124" s="974"/>
      <c r="VOE124" s="974"/>
      <c r="VOF124" s="974"/>
      <c r="VOG124" s="974"/>
      <c r="VOH124" s="974"/>
      <c r="VOI124" s="974"/>
      <c r="VOJ124" s="974"/>
      <c r="VOK124" s="974"/>
      <c r="VOL124" s="974"/>
      <c r="VOM124" s="974"/>
      <c r="VON124" s="974"/>
      <c r="VOO124" s="974"/>
      <c r="VOP124" s="974"/>
      <c r="VOQ124" s="974"/>
      <c r="VOR124" s="974"/>
      <c r="VOS124" s="974"/>
      <c r="VOT124" s="974"/>
      <c r="VOU124" s="974"/>
      <c r="VOV124" s="974"/>
      <c r="VOW124" s="974"/>
      <c r="VOX124" s="974"/>
      <c r="VOY124" s="974"/>
      <c r="VOZ124" s="974"/>
      <c r="VPA124" s="974"/>
      <c r="VPB124" s="974"/>
      <c r="VPC124" s="974"/>
      <c r="VPD124" s="974"/>
      <c r="VPE124" s="974"/>
      <c r="VPF124" s="974"/>
      <c r="VPG124" s="974"/>
      <c r="VPH124" s="974"/>
      <c r="VPI124" s="974"/>
      <c r="VPJ124" s="974"/>
      <c r="VPK124" s="974"/>
      <c r="VPL124" s="974"/>
      <c r="VPM124" s="974"/>
      <c r="VPN124" s="974"/>
      <c r="VPO124" s="974"/>
      <c r="VPP124" s="974"/>
      <c r="VPQ124" s="974"/>
      <c r="VPR124" s="974"/>
      <c r="VPS124" s="974"/>
      <c r="VPT124" s="974"/>
      <c r="VPU124" s="974"/>
      <c r="VPV124" s="974"/>
      <c r="VPW124" s="974"/>
      <c r="VPX124" s="974"/>
      <c r="VPY124" s="974"/>
      <c r="VPZ124" s="974"/>
      <c r="VQA124" s="974"/>
      <c r="VQB124" s="974"/>
      <c r="VQC124" s="974"/>
      <c r="VQD124" s="974"/>
      <c r="VQE124" s="974"/>
      <c r="VQF124" s="974"/>
      <c r="VQG124" s="974"/>
      <c r="VQH124" s="974"/>
      <c r="VQI124" s="974"/>
      <c r="VQJ124" s="974"/>
      <c r="VQK124" s="974"/>
      <c r="VQL124" s="974"/>
      <c r="VQM124" s="974"/>
      <c r="VQN124" s="974"/>
      <c r="VQO124" s="974"/>
      <c r="VQP124" s="974"/>
      <c r="VQQ124" s="974"/>
      <c r="VQR124" s="974"/>
      <c r="VQS124" s="974"/>
      <c r="VQT124" s="974"/>
      <c r="VQU124" s="974"/>
      <c r="VQV124" s="974"/>
      <c r="VQW124" s="974"/>
      <c r="VQX124" s="974"/>
      <c r="VQY124" s="974"/>
      <c r="VQZ124" s="974"/>
      <c r="VRA124" s="974"/>
      <c r="VRB124" s="974"/>
      <c r="VRC124" s="974"/>
      <c r="VRD124" s="974"/>
      <c r="VRE124" s="974"/>
      <c r="VRF124" s="974"/>
      <c r="VRG124" s="974"/>
      <c r="VRH124" s="974"/>
      <c r="VRI124" s="974"/>
      <c r="VRJ124" s="974"/>
      <c r="VRK124" s="974"/>
      <c r="VRL124" s="974"/>
      <c r="VRM124" s="974"/>
      <c r="VRN124" s="974"/>
      <c r="VRO124" s="974"/>
      <c r="VRP124" s="974"/>
      <c r="VRQ124" s="974"/>
      <c r="VRR124" s="974"/>
      <c r="VRS124" s="974"/>
      <c r="VRT124" s="974"/>
      <c r="VRU124" s="974"/>
      <c r="VRV124" s="974"/>
      <c r="VRW124" s="974"/>
      <c r="VRX124" s="974"/>
      <c r="VRY124" s="974"/>
      <c r="VRZ124" s="974"/>
      <c r="VSA124" s="974"/>
      <c r="VSB124" s="974"/>
      <c r="VSC124" s="974"/>
      <c r="VSD124" s="974"/>
      <c r="VSE124" s="974"/>
      <c r="VSF124" s="974"/>
      <c r="VSG124" s="974"/>
      <c r="VSH124" s="974"/>
      <c r="VSI124" s="974"/>
      <c r="VSJ124" s="974"/>
      <c r="VSK124" s="974"/>
      <c r="VSL124" s="974"/>
      <c r="VSM124" s="974"/>
      <c r="VSN124" s="974"/>
      <c r="VSO124" s="974"/>
      <c r="VSP124" s="974"/>
      <c r="VSQ124" s="974"/>
      <c r="VSR124" s="974"/>
      <c r="VSS124" s="974"/>
      <c r="VST124" s="974"/>
      <c r="VSU124" s="974"/>
      <c r="VSV124" s="974"/>
      <c r="VSW124" s="974"/>
      <c r="VSX124" s="974"/>
      <c r="VSY124" s="974"/>
      <c r="VSZ124" s="974"/>
      <c r="VTA124" s="974"/>
      <c r="VTB124" s="974"/>
      <c r="VTC124" s="974"/>
      <c r="VTD124" s="974"/>
      <c r="VTE124" s="974"/>
      <c r="VTF124" s="974"/>
      <c r="VTG124" s="974"/>
      <c r="VTH124" s="974"/>
      <c r="VTI124" s="974"/>
      <c r="VTJ124" s="974"/>
      <c r="VTK124" s="974"/>
      <c r="VTL124" s="974"/>
      <c r="VTM124" s="974"/>
      <c r="VTN124" s="974"/>
      <c r="VTO124" s="974"/>
      <c r="VTP124" s="974"/>
      <c r="VTQ124" s="974"/>
      <c r="VTR124" s="974"/>
      <c r="VTS124" s="974"/>
      <c r="VTT124" s="974"/>
      <c r="VTU124" s="974"/>
      <c r="VTV124" s="974"/>
      <c r="VTW124" s="974"/>
      <c r="VTX124" s="974"/>
      <c r="VTY124" s="974"/>
      <c r="VTZ124" s="974"/>
      <c r="VUA124" s="974"/>
      <c r="VUB124" s="974"/>
      <c r="VUC124" s="974"/>
      <c r="VUD124" s="974"/>
      <c r="VUE124" s="974"/>
      <c r="VUF124" s="974"/>
      <c r="VUG124" s="974"/>
      <c r="VUH124" s="974"/>
      <c r="VUI124" s="974"/>
      <c r="VUJ124" s="974"/>
      <c r="VUK124" s="974"/>
      <c r="VUL124" s="974"/>
      <c r="VUM124" s="974"/>
      <c r="VUN124" s="974"/>
      <c r="VUO124" s="974"/>
      <c r="VUP124" s="974"/>
      <c r="VUQ124" s="974"/>
      <c r="VUR124" s="974"/>
      <c r="VUS124" s="974"/>
      <c r="VUT124" s="974"/>
      <c r="VUU124" s="974"/>
      <c r="VUV124" s="974"/>
      <c r="VUW124" s="974"/>
      <c r="VUX124" s="974"/>
      <c r="VUY124" s="974"/>
      <c r="VUZ124" s="974"/>
      <c r="VVA124" s="974"/>
      <c r="VVB124" s="974"/>
      <c r="VVC124" s="974"/>
      <c r="VVD124" s="974"/>
      <c r="VVE124" s="974"/>
      <c r="VVF124" s="974"/>
      <c r="VVG124" s="974"/>
      <c r="VVH124" s="974"/>
      <c r="VVI124" s="974"/>
      <c r="VVJ124" s="974"/>
      <c r="VVK124" s="974"/>
      <c r="VVL124" s="974"/>
      <c r="VVM124" s="974"/>
      <c r="VVN124" s="974"/>
      <c r="VVO124" s="974"/>
      <c r="VVP124" s="974"/>
      <c r="VVQ124" s="974"/>
      <c r="VVR124" s="974"/>
      <c r="VVS124" s="974"/>
      <c r="VVT124" s="974"/>
      <c r="VVU124" s="974"/>
      <c r="VVV124" s="974"/>
      <c r="VVW124" s="974"/>
      <c r="VVX124" s="974"/>
      <c r="VVY124" s="974"/>
      <c r="VVZ124" s="974"/>
      <c r="VWA124" s="974"/>
      <c r="VWB124" s="974"/>
      <c r="VWC124" s="974"/>
      <c r="VWD124" s="974"/>
      <c r="VWE124" s="974"/>
      <c r="VWF124" s="974"/>
      <c r="VWG124" s="974"/>
      <c r="VWH124" s="974"/>
      <c r="VWI124" s="974"/>
      <c r="VWJ124" s="974"/>
      <c r="VWK124" s="974"/>
      <c r="VWL124" s="974"/>
      <c r="VWM124" s="974"/>
      <c r="VWN124" s="974"/>
      <c r="VWO124" s="974"/>
      <c r="VWP124" s="974"/>
      <c r="VWQ124" s="974"/>
      <c r="VWR124" s="974"/>
      <c r="VWS124" s="974"/>
      <c r="VWT124" s="974"/>
      <c r="VWU124" s="974"/>
      <c r="VWV124" s="974"/>
      <c r="VWW124" s="974"/>
      <c r="VWX124" s="974"/>
      <c r="VWY124" s="974"/>
      <c r="VWZ124" s="974"/>
      <c r="VXA124" s="974"/>
      <c r="VXB124" s="974"/>
      <c r="VXC124" s="974"/>
      <c r="VXD124" s="974"/>
      <c r="VXE124" s="974"/>
      <c r="VXF124" s="974"/>
      <c r="VXG124" s="974"/>
      <c r="VXH124" s="974"/>
      <c r="VXI124" s="974"/>
      <c r="VXJ124" s="974"/>
      <c r="VXK124" s="974"/>
      <c r="VXL124" s="974"/>
      <c r="VXM124" s="974"/>
      <c r="VXN124" s="974"/>
      <c r="VXO124" s="974"/>
      <c r="VXP124" s="974"/>
      <c r="VXQ124" s="974"/>
      <c r="VXR124" s="974"/>
      <c r="VXS124" s="974"/>
      <c r="VXT124" s="974"/>
      <c r="VXU124" s="974"/>
      <c r="VXV124" s="974"/>
      <c r="VXW124" s="974"/>
      <c r="VXX124" s="974"/>
      <c r="VXY124" s="974"/>
      <c r="VXZ124" s="974"/>
      <c r="VYA124" s="974"/>
      <c r="VYB124" s="974"/>
      <c r="VYC124" s="974"/>
      <c r="VYD124" s="974"/>
      <c r="VYE124" s="974"/>
      <c r="VYF124" s="974"/>
      <c r="VYG124" s="974"/>
      <c r="VYH124" s="974"/>
      <c r="VYI124" s="974"/>
      <c r="VYJ124" s="974"/>
      <c r="VYK124" s="974"/>
      <c r="VYL124" s="974"/>
      <c r="VYM124" s="974"/>
      <c r="VYN124" s="974"/>
      <c r="VYO124" s="974"/>
      <c r="VYP124" s="974"/>
      <c r="VYQ124" s="974"/>
      <c r="VYR124" s="974"/>
      <c r="VYS124" s="974"/>
      <c r="VYT124" s="974"/>
      <c r="VYU124" s="974"/>
      <c r="VYV124" s="974"/>
      <c r="VYW124" s="974"/>
      <c r="VYX124" s="974"/>
      <c r="VYY124" s="974"/>
      <c r="VYZ124" s="974"/>
      <c r="VZA124" s="974"/>
      <c r="VZB124" s="974"/>
      <c r="VZC124" s="974"/>
      <c r="VZD124" s="974"/>
      <c r="VZE124" s="974"/>
      <c r="VZF124" s="974"/>
      <c r="VZG124" s="974"/>
      <c r="VZH124" s="974"/>
      <c r="VZI124" s="974"/>
      <c r="VZJ124" s="974"/>
      <c r="VZK124" s="974"/>
      <c r="VZL124" s="974"/>
      <c r="VZM124" s="974"/>
      <c r="VZN124" s="974"/>
      <c r="VZO124" s="974"/>
      <c r="VZP124" s="974"/>
      <c r="VZQ124" s="974"/>
      <c r="VZR124" s="974"/>
      <c r="VZS124" s="974"/>
      <c r="VZT124" s="974"/>
      <c r="VZU124" s="974"/>
      <c r="VZV124" s="974"/>
      <c r="VZW124" s="974"/>
      <c r="VZX124" s="974"/>
      <c r="VZY124" s="974"/>
      <c r="VZZ124" s="974"/>
      <c r="WAA124" s="974"/>
      <c r="WAB124" s="974"/>
      <c r="WAC124" s="974"/>
      <c r="WAD124" s="974"/>
      <c r="WAE124" s="974"/>
      <c r="WAF124" s="974"/>
      <c r="WAG124" s="974"/>
      <c r="WAH124" s="974"/>
      <c r="WAI124" s="974"/>
      <c r="WAJ124" s="974"/>
      <c r="WAK124" s="974"/>
      <c r="WAL124" s="974"/>
      <c r="WAM124" s="974"/>
      <c r="WAN124" s="974"/>
      <c r="WAO124" s="974"/>
      <c r="WAP124" s="974"/>
      <c r="WAQ124" s="974"/>
      <c r="WAR124" s="974"/>
      <c r="WAS124" s="974"/>
      <c r="WAT124" s="974"/>
      <c r="WAU124" s="974"/>
      <c r="WAV124" s="974"/>
      <c r="WAW124" s="974"/>
      <c r="WAX124" s="974"/>
      <c r="WAY124" s="974"/>
      <c r="WAZ124" s="974"/>
      <c r="WBA124" s="974"/>
      <c r="WBB124" s="974"/>
      <c r="WBC124" s="974"/>
      <c r="WBD124" s="974"/>
      <c r="WBE124" s="974"/>
      <c r="WBF124" s="974"/>
      <c r="WBG124" s="974"/>
      <c r="WBH124" s="974"/>
      <c r="WBI124" s="974"/>
      <c r="WBJ124" s="974"/>
      <c r="WBK124" s="974"/>
      <c r="WBL124" s="974"/>
      <c r="WBM124" s="974"/>
      <c r="WBN124" s="974"/>
      <c r="WBO124" s="974"/>
      <c r="WBP124" s="974"/>
      <c r="WBQ124" s="974"/>
      <c r="WBR124" s="974"/>
      <c r="WBS124" s="974"/>
      <c r="WBT124" s="974"/>
      <c r="WBU124" s="974"/>
      <c r="WBV124" s="974"/>
      <c r="WBW124" s="974"/>
      <c r="WBX124" s="974"/>
      <c r="WBY124" s="974"/>
      <c r="WBZ124" s="974"/>
      <c r="WCA124" s="974"/>
      <c r="WCB124" s="974"/>
      <c r="WCC124" s="974"/>
      <c r="WCD124" s="974"/>
      <c r="WCE124" s="974"/>
      <c r="WCF124" s="974"/>
      <c r="WCG124" s="974"/>
      <c r="WCH124" s="974"/>
      <c r="WCI124" s="974"/>
      <c r="WCJ124" s="974"/>
      <c r="WCK124" s="974"/>
      <c r="WCL124" s="974"/>
      <c r="WCM124" s="974"/>
      <c r="WCN124" s="974"/>
      <c r="WCO124" s="974"/>
      <c r="WCP124" s="974"/>
      <c r="WCQ124" s="974"/>
      <c r="WCR124" s="974"/>
      <c r="WCS124" s="974"/>
      <c r="WCT124" s="974"/>
      <c r="WCU124" s="974"/>
      <c r="WCV124" s="974"/>
      <c r="WCW124" s="974"/>
      <c r="WCX124" s="974"/>
      <c r="WCY124" s="974"/>
      <c r="WCZ124" s="974"/>
      <c r="WDA124" s="974"/>
      <c r="WDB124" s="974"/>
      <c r="WDC124" s="974"/>
      <c r="WDD124" s="974"/>
      <c r="WDE124" s="974"/>
      <c r="WDF124" s="974"/>
      <c r="WDG124" s="974"/>
      <c r="WDH124" s="974"/>
      <c r="WDI124" s="974"/>
      <c r="WDJ124" s="974"/>
      <c r="WDK124" s="974"/>
      <c r="WDL124" s="974"/>
      <c r="WDM124" s="974"/>
      <c r="WDN124" s="974"/>
      <c r="WDO124" s="974"/>
      <c r="WDP124" s="974"/>
      <c r="WDQ124" s="974"/>
      <c r="WDR124" s="974"/>
      <c r="WDS124" s="974"/>
      <c r="WDT124" s="974"/>
      <c r="WDU124" s="974"/>
      <c r="WDV124" s="974"/>
      <c r="WDW124" s="974"/>
      <c r="WDX124" s="974"/>
      <c r="WDY124" s="974"/>
      <c r="WDZ124" s="974"/>
      <c r="WEA124" s="974"/>
      <c r="WEB124" s="974"/>
      <c r="WEC124" s="974"/>
      <c r="WED124" s="974"/>
      <c r="WEE124" s="974"/>
      <c r="WEF124" s="974"/>
      <c r="WEG124" s="974"/>
      <c r="WEH124" s="974"/>
      <c r="WEI124" s="974"/>
      <c r="WEJ124" s="974"/>
      <c r="WEK124" s="974"/>
      <c r="WEL124" s="974"/>
      <c r="WEM124" s="974"/>
      <c r="WEN124" s="974"/>
      <c r="WEO124" s="974"/>
      <c r="WEP124" s="974"/>
      <c r="WEQ124" s="974"/>
      <c r="WER124" s="974"/>
      <c r="WES124" s="974"/>
      <c r="WET124" s="974"/>
      <c r="WEU124" s="974"/>
      <c r="WEV124" s="974"/>
      <c r="WEW124" s="974"/>
      <c r="WEX124" s="974"/>
      <c r="WEY124" s="974"/>
      <c r="WEZ124" s="974"/>
      <c r="WFA124" s="974"/>
      <c r="WFB124" s="974"/>
      <c r="WFC124" s="974"/>
      <c r="WFD124" s="974"/>
      <c r="WFE124" s="974"/>
      <c r="WFF124" s="974"/>
      <c r="WFG124" s="974"/>
      <c r="WFH124" s="974"/>
      <c r="WFI124" s="974"/>
      <c r="WFJ124" s="974"/>
      <c r="WFK124" s="974"/>
      <c r="WFL124" s="974"/>
      <c r="WFM124" s="974"/>
      <c r="WFN124" s="974"/>
      <c r="WFO124" s="974"/>
      <c r="WFP124" s="974"/>
      <c r="WFQ124" s="974"/>
      <c r="WFR124" s="974"/>
      <c r="WFS124" s="974"/>
      <c r="WFT124" s="974"/>
      <c r="WFU124" s="974"/>
      <c r="WFV124" s="974"/>
      <c r="WFW124" s="974"/>
      <c r="WFX124" s="974"/>
      <c r="WFY124" s="974"/>
      <c r="WFZ124" s="974"/>
      <c r="WGA124" s="974"/>
      <c r="WGB124" s="974"/>
      <c r="WGC124" s="974"/>
      <c r="WGD124" s="974"/>
      <c r="WGE124" s="974"/>
      <c r="WGF124" s="974"/>
      <c r="WGG124" s="974"/>
      <c r="WGH124" s="974"/>
      <c r="WGI124" s="974"/>
      <c r="WGJ124" s="974"/>
      <c r="WGK124" s="974"/>
      <c r="WGL124" s="974"/>
      <c r="WGM124" s="974"/>
      <c r="WGN124" s="974"/>
      <c r="WGO124" s="974"/>
      <c r="WGP124" s="974"/>
      <c r="WGQ124" s="974"/>
      <c r="WGR124" s="974"/>
      <c r="WGS124" s="974"/>
      <c r="WGT124" s="974"/>
      <c r="WGU124" s="974"/>
      <c r="WGV124" s="974"/>
      <c r="WGW124" s="974"/>
      <c r="WGX124" s="974"/>
      <c r="WGY124" s="974"/>
      <c r="WGZ124" s="974"/>
      <c r="WHA124" s="974"/>
      <c r="WHB124" s="974"/>
      <c r="WHC124" s="974"/>
      <c r="WHD124" s="974"/>
      <c r="WHE124" s="974"/>
      <c r="WHF124" s="974"/>
      <c r="WHG124" s="974"/>
      <c r="WHH124" s="974"/>
      <c r="WHI124" s="974"/>
      <c r="WHJ124" s="974"/>
      <c r="WHK124" s="974"/>
      <c r="WHL124" s="974"/>
      <c r="WHM124" s="974"/>
      <c r="WHN124" s="974"/>
      <c r="WHO124" s="974"/>
      <c r="WHP124" s="974"/>
      <c r="WHQ124" s="974"/>
      <c r="WHR124" s="974"/>
      <c r="WHS124" s="974"/>
      <c r="WHT124" s="974"/>
      <c r="WHU124" s="974"/>
      <c r="WHV124" s="974"/>
      <c r="WHW124" s="974"/>
      <c r="WHX124" s="974"/>
      <c r="WHY124" s="974"/>
      <c r="WHZ124" s="974"/>
      <c r="WIA124" s="974"/>
      <c r="WIB124" s="974"/>
      <c r="WIC124" s="974"/>
      <c r="WID124" s="974"/>
      <c r="WIE124" s="974"/>
      <c r="WIF124" s="974"/>
      <c r="WIG124" s="974"/>
      <c r="WIH124" s="974"/>
      <c r="WII124" s="974"/>
      <c r="WIJ124" s="974"/>
      <c r="WIK124" s="974"/>
      <c r="WIL124" s="974"/>
      <c r="WIM124" s="974"/>
      <c r="WIN124" s="974"/>
      <c r="WIO124" s="974"/>
      <c r="WIP124" s="974"/>
      <c r="WIQ124" s="974"/>
      <c r="WIR124" s="974"/>
      <c r="WIS124" s="974"/>
      <c r="WIT124" s="974"/>
      <c r="WIU124" s="974"/>
      <c r="WIV124" s="974"/>
      <c r="WIW124" s="974"/>
      <c r="WIX124" s="974"/>
      <c r="WIY124" s="974"/>
      <c r="WIZ124" s="974"/>
      <c r="WJA124" s="974"/>
      <c r="WJB124" s="974"/>
      <c r="WJC124" s="974"/>
      <c r="WJD124" s="974"/>
      <c r="WJE124" s="974"/>
      <c r="WJF124" s="974"/>
      <c r="WJG124" s="974"/>
      <c r="WJH124" s="974"/>
      <c r="WJI124" s="974"/>
      <c r="WJJ124" s="974"/>
      <c r="WJK124" s="974"/>
      <c r="WJL124" s="974"/>
      <c r="WJM124" s="974"/>
      <c r="WJN124" s="974"/>
      <c r="WJO124" s="974"/>
      <c r="WJP124" s="974"/>
      <c r="WJQ124" s="974"/>
      <c r="WJR124" s="974"/>
      <c r="WJS124" s="974"/>
      <c r="WJT124" s="974"/>
      <c r="WJU124" s="974"/>
      <c r="WJV124" s="974"/>
      <c r="WJW124" s="974"/>
      <c r="WJX124" s="974"/>
      <c r="WJY124" s="974"/>
      <c r="WJZ124" s="974"/>
      <c r="WKA124" s="974"/>
      <c r="WKB124" s="974"/>
      <c r="WKC124" s="974"/>
      <c r="WKD124" s="974"/>
      <c r="WKE124" s="974"/>
      <c r="WKF124" s="974"/>
      <c r="WKG124" s="974"/>
      <c r="WKH124" s="974"/>
      <c r="WKI124" s="974"/>
      <c r="WKJ124" s="974"/>
      <c r="WKK124" s="974"/>
      <c r="WKL124" s="974"/>
      <c r="WKM124" s="974"/>
      <c r="WKN124" s="974"/>
      <c r="WKO124" s="974"/>
      <c r="WKP124" s="974"/>
      <c r="WKQ124" s="974"/>
      <c r="WKR124" s="974"/>
      <c r="WKS124" s="974"/>
      <c r="WKT124" s="974"/>
      <c r="WKU124" s="974"/>
      <c r="WKV124" s="974"/>
      <c r="WKW124" s="974"/>
      <c r="WKX124" s="974"/>
      <c r="WKY124" s="974"/>
      <c r="WKZ124" s="974"/>
      <c r="WLA124" s="974"/>
      <c r="WLB124" s="974"/>
      <c r="WLC124" s="974"/>
      <c r="WLD124" s="974"/>
      <c r="WLE124" s="974"/>
      <c r="WLF124" s="974"/>
      <c r="WLG124" s="974"/>
      <c r="WLH124" s="974"/>
      <c r="WLI124" s="974"/>
      <c r="WLJ124" s="974"/>
      <c r="WLK124" s="974"/>
      <c r="WLL124" s="974"/>
      <c r="WLM124" s="974"/>
      <c r="WLN124" s="974"/>
      <c r="WLO124" s="974"/>
      <c r="WLP124" s="974"/>
      <c r="WLQ124" s="974"/>
      <c r="WLR124" s="974"/>
      <c r="WLS124" s="974"/>
      <c r="WLT124" s="974"/>
      <c r="WLU124" s="974"/>
      <c r="WLV124" s="974"/>
      <c r="WLW124" s="974"/>
      <c r="WLX124" s="974"/>
      <c r="WLY124" s="974"/>
      <c r="WLZ124" s="974"/>
      <c r="WMA124" s="974"/>
      <c r="WMB124" s="974"/>
      <c r="WMC124" s="974"/>
      <c r="WMD124" s="974"/>
      <c r="WME124" s="974"/>
      <c r="WMF124" s="974"/>
      <c r="WMG124" s="974"/>
      <c r="WMH124" s="974"/>
      <c r="WMI124" s="974"/>
      <c r="WMJ124" s="974"/>
      <c r="WMK124" s="974"/>
      <c r="WML124" s="974"/>
      <c r="WMM124" s="974"/>
      <c r="WMN124" s="974"/>
      <c r="WMO124" s="974"/>
      <c r="WMP124" s="974"/>
      <c r="WMQ124" s="974"/>
      <c r="WMR124" s="974"/>
      <c r="WMS124" s="974"/>
      <c r="WMT124" s="974"/>
      <c r="WMU124" s="974"/>
      <c r="WMV124" s="974"/>
      <c r="WMW124" s="974"/>
      <c r="WMX124" s="974"/>
      <c r="WMY124" s="974"/>
      <c r="WMZ124" s="974"/>
      <c r="WNA124" s="974"/>
      <c r="WNB124" s="974"/>
      <c r="WNC124" s="974"/>
      <c r="WND124" s="974"/>
      <c r="WNE124" s="974"/>
      <c r="WNF124" s="974"/>
      <c r="WNG124" s="974"/>
      <c r="WNH124" s="974"/>
      <c r="WNI124" s="974"/>
      <c r="WNJ124" s="974"/>
      <c r="WNK124" s="974"/>
      <c r="WNL124" s="974"/>
      <c r="WNM124" s="974"/>
      <c r="WNN124" s="974"/>
      <c r="WNO124" s="974"/>
      <c r="WNP124" s="974"/>
      <c r="WNQ124" s="974"/>
      <c r="WNR124" s="974"/>
      <c r="WNS124" s="974"/>
      <c r="WNT124" s="974"/>
      <c r="WNU124" s="974"/>
      <c r="WNV124" s="974"/>
      <c r="WNW124" s="974"/>
      <c r="WNX124" s="974"/>
      <c r="WNY124" s="974"/>
      <c r="WNZ124" s="974"/>
      <c r="WOA124" s="974"/>
      <c r="WOB124" s="974"/>
      <c r="WOC124" s="974"/>
      <c r="WOD124" s="974"/>
      <c r="WOE124" s="974"/>
      <c r="WOF124" s="974"/>
      <c r="WOG124" s="974"/>
      <c r="WOH124" s="974"/>
      <c r="WOI124" s="974"/>
      <c r="WOJ124" s="974"/>
      <c r="WOK124" s="974"/>
      <c r="WOL124" s="974"/>
      <c r="WOM124" s="974"/>
      <c r="WON124" s="974"/>
      <c r="WOO124" s="974"/>
      <c r="WOP124" s="974"/>
      <c r="WOQ124" s="974"/>
      <c r="WOR124" s="974"/>
      <c r="WOS124" s="974"/>
      <c r="WOT124" s="974"/>
      <c r="WOU124" s="974"/>
      <c r="WOV124" s="974"/>
      <c r="WOW124" s="974"/>
      <c r="WOX124" s="974"/>
      <c r="WOY124" s="974"/>
      <c r="WOZ124" s="974"/>
      <c r="WPA124" s="974"/>
      <c r="WPB124" s="974"/>
      <c r="WPC124" s="974"/>
      <c r="WPD124" s="974"/>
      <c r="WPE124" s="974"/>
      <c r="WPF124" s="974"/>
      <c r="WPG124" s="974"/>
      <c r="WPH124" s="974"/>
      <c r="WPI124" s="974"/>
      <c r="WPJ124" s="974"/>
      <c r="WPK124" s="974"/>
      <c r="WPL124" s="974"/>
      <c r="WPM124" s="974"/>
      <c r="WPN124" s="974"/>
      <c r="WPO124" s="974"/>
      <c r="WPP124" s="974"/>
      <c r="WPQ124" s="974"/>
      <c r="WPR124" s="974"/>
      <c r="WPS124" s="974"/>
      <c r="WPT124" s="974"/>
      <c r="WPU124" s="974"/>
      <c r="WPV124" s="974"/>
      <c r="WPW124" s="974"/>
      <c r="WPX124" s="974"/>
      <c r="WPY124" s="974"/>
      <c r="WPZ124" s="974"/>
      <c r="WQA124" s="974"/>
      <c r="WQB124" s="974"/>
      <c r="WQC124" s="974"/>
      <c r="WQD124" s="974"/>
      <c r="WQE124" s="974"/>
      <c r="WQF124" s="974"/>
      <c r="WQG124" s="974"/>
      <c r="WQH124" s="974"/>
      <c r="WQI124" s="974"/>
      <c r="WQJ124" s="974"/>
      <c r="WQK124" s="974"/>
      <c r="WQL124" s="974"/>
      <c r="WQM124" s="974"/>
      <c r="WQN124" s="974"/>
      <c r="WQO124" s="974"/>
      <c r="WQP124" s="974"/>
      <c r="WQQ124" s="974"/>
      <c r="WQR124" s="974"/>
      <c r="WQS124" s="974"/>
      <c r="WQT124" s="974"/>
      <c r="WQU124" s="974"/>
      <c r="WQV124" s="974"/>
      <c r="WQW124" s="974"/>
      <c r="WQX124" s="974"/>
      <c r="WQY124" s="974"/>
      <c r="WQZ124" s="974"/>
      <c r="WRA124" s="974"/>
      <c r="WRB124" s="974"/>
      <c r="WRC124" s="974"/>
      <c r="WRD124" s="974"/>
      <c r="WRE124" s="974"/>
      <c r="WRF124" s="974"/>
      <c r="WRG124" s="974"/>
      <c r="WRH124" s="974"/>
      <c r="WRI124" s="974"/>
      <c r="WRJ124" s="974"/>
      <c r="WRK124" s="974"/>
      <c r="WRL124" s="974"/>
      <c r="WRM124" s="974"/>
      <c r="WRN124" s="974"/>
      <c r="WRO124" s="974"/>
      <c r="WRP124" s="974"/>
      <c r="WRQ124" s="974"/>
      <c r="WRR124" s="974"/>
      <c r="WRS124" s="974"/>
      <c r="WRT124" s="974"/>
      <c r="WRU124" s="974"/>
      <c r="WRV124" s="974"/>
      <c r="WRW124" s="974"/>
      <c r="WRX124" s="974"/>
      <c r="WRY124" s="974"/>
      <c r="WRZ124" s="974"/>
      <c r="WSA124" s="974"/>
      <c r="WSB124" s="974"/>
      <c r="WSC124" s="974"/>
      <c r="WSD124" s="974"/>
      <c r="WSE124" s="974"/>
      <c r="WSF124" s="974"/>
      <c r="WSG124" s="974"/>
      <c r="WSH124" s="974"/>
      <c r="WSI124" s="974"/>
      <c r="WSJ124" s="974"/>
      <c r="WSK124" s="974"/>
      <c r="WSL124" s="974"/>
      <c r="WSM124" s="974"/>
      <c r="WSN124" s="974"/>
      <c r="WSO124" s="974"/>
      <c r="WSP124" s="974"/>
      <c r="WSQ124" s="974"/>
      <c r="WSR124" s="974"/>
      <c r="WSS124" s="974"/>
      <c r="WST124" s="974"/>
      <c r="WSU124" s="974"/>
      <c r="WSV124" s="974"/>
      <c r="WSW124" s="974"/>
      <c r="WSX124" s="974"/>
      <c r="WSY124" s="974"/>
      <c r="WSZ124" s="974"/>
      <c r="WTA124" s="974"/>
      <c r="WTB124" s="974"/>
      <c r="WTC124" s="974"/>
      <c r="WTD124" s="974"/>
      <c r="WTE124" s="974"/>
      <c r="WTF124" s="974"/>
      <c r="WTG124" s="974"/>
      <c r="WTH124" s="974"/>
      <c r="WTI124" s="974"/>
      <c r="WTJ124" s="974"/>
      <c r="WTK124" s="974"/>
      <c r="WTL124" s="974"/>
      <c r="WTM124" s="974"/>
      <c r="WTN124" s="974"/>
      <c r="WTO124" s="974"/>
      <c r="WTP124" s="974"/>
      <c r="WTQ124" s="974"/>
      <c r="WTR124" s="974"/>
      <c r="WTS124" s="974"/>
      <c r="WTT124" s="974"/>
      <c r="WTU124" s="974"/>
      <c r="WTV124" s="974"/>
      <c r="WTW124" s="974"/>
      <c r="WTX124" s="974"/>
      <c r="WTY124" s="974"/>
      <c r="WTZ124" s="974"/>
      <c r="WUA124" s="974"/>
      <c r="WUB124" s="974"/>
      <c r="WUC124" s="974"/>
      <c r="WUD124" s="974"/>
      <c r="WUE124" s="974"/>
      <c r="WUF124" s="974"/>
      <c r="WUG124" s="974"/>
      <c r="WUH124" s="974"/>
      <c r="WUI124" s="974"/>
      <c r="WUJ124" s="974"/>
      <c r="WUK124" s="974"/>
      <c r="WUL124" s="974"/>
      <c r="WUM124" s="974"/>
      <c r="WUN124" s="974"/>
      <c r="WUO124" s="974"/>
      <c r="WUP124" s="974"/>
      <c r="WUQ124" s="974"/>
      <c r="WUR124" s="974"/>
      <c r="WUS124" s="974"/>
      <c r="WUT124" s="974"/>
      <c r="WUU124" s="974"/>
      <c r="WUV124" s="974"/>
      <c r="WUW124" s="974"/>
      <c r="WUX124" s="974"/>
      <c r="WUY124" s="974"/>
      <c r="WUZ124" s="974"/>
      <c r="WVA124" s="974"/>
      <c r="WVB124" s="974"/>
      <c r="WVC124" s="974"/>
      <c r="WVD124" s="974"/>
      <c r="WVE124" s="974"/>
      <c r="WVF124" s="974"/>
      <c r="WVG124" s="974"/>
      <c r="WVH124" s="974"/>
      <c r="WVI124" s="974"/>
      <c r="WVJ124" s="974"/>
      <c r="WVK124" s="974"/>
      <c r="WVL124" s="974"/>
      <c r="WVM124" s="974"/>
      <c r="WVN124" s="974"/>
      <c r="WVO124" s="974"/>
      <c r="WVP124" s="974"/>
      <c r="WVQ124" s="974"/>
      <c r="WVR124" s="974"/>
      <c r="WVS124" s="974"/>
      <c r="WVT124" s="974"/>
      <c r="WVU124" s="974"/>
      <c r="WVV124" s="974"/>
      <c r="WVW124" s="974"/>
      <c r="WVX124" s="974"/>
      <c r="WVY124" s="974"/>
      <c r="WVZ124" s="974"/>
      <c r="WWA124" s="974"/>
      <c r="WWB124" s="974"/>
      <c r="WWC124" s="974"/>
      <c r="WWD124" s="974"/>
      <c r="WWE124" s="974"/>
      <c r="WWF124" s="974"/>
      <c r="WWG124" s="974"/>
      <c r="WWH124" s="974"/>
      <c r="WWI124" s="974"/>
      <c r="WWJ124" s="974"/>
      <c r="WWK124" s="974"/>
      <c r="WWL124" s="974"/>
      <c r="WWM124" s="974"/>
      <c r="WWN124" s="974"/>
      <c r="WWO124" s="974"/>
      <c r="WWP124" s="974"/>
      <c r="WWQ124" s="974"/>
      <c r="WWR124" s="974"/>
      <c r="WWS124" s="974"/>
      <c r="WWT124" s="974"/>
      <c r="WWU124" s="974"/>
      <c r="WWV124" s="974"/>
      <c r="WWW124" s="974"/>
      <c r="WWX124" s="974"/>
      <c r="WWY124" s="974"/>
      <c r="WWZ124" s="974"/>
      <c r="WXA124" s="974"/>
      <c r="WXB124" s="974"/>
      <c r="WXC124" s="974"/>
      <c r="WXD124" s="974"/>
      <c r="WXE124" s="974"/>
      <c r="WXF124" s="974"/>
      <c r="WXG124" s="974"/>
      <c r="WXH124" s="974"/>
      <c r="WXI124" s="974"/>
      <c r="WXJ124" s="974"/>
      <c r="WXK124" s="974"/>
      <c r="WXL124" s="974"/>
      <c r="WXM124" s="974"/>
      <c r="WXN124" s="974"/>
      <c r="WXO124" s="974"/>
      <c r="WXP124" s="974"/>
      <c r="WXQ124" s="974"/>
      <c r="WXR124" s="974"/>
      <c r="WXS124" s="974"/>
      <c r="WXT124" s="974"/>
      <c r="WXU124" s="974"/>
      <c r="WXV124" s="974"/>
      <c r="WXW124" s="974"/>
      <c r="WXX124" s="974"/>
      <c r="WXY124" s="974"/>
      <c r="WXZ124" s="974"/>
      <c r="WYA124" s="974"/>
      <c r="WYB124" s="974"/>
      <c r="WYC124" s="974"/>
      <c r="WYD124" s="974"/>
      <c r="WYE124" s="974"/>
      <c r="WYF124" s="974"/>
      <c r="WYG124" s="974"/>
      <c r="WYH124" s="974"/>
      <c r="WYI124" s="974"/>
      <c r="WYJ124" s="974"/>
      <c r="WYK124" s="974"/>
      <c r="WYL124" s="974"/>
      <c r="WYM124" s="974"/>
      <c r="WYN124" s="974"/>
      <c r="WYO124" s="974"/>
      <c r="WYP124" s="974"/>
      <c r="WYQ124" s="974"/>
      <c r="WYR124" s="974"/>
      <c r="WYS124" s="974"/>
      <c r="WYT124" s="974"/>
      <c r="WYU124" s="974"/>
      <c r="WYV124" s="974"/>
      <c r="WYW124" s="974"/>
      <c r="WYX124" s="974"/>
      <c r="WYY124" s="974"/>
      <c r="WYZ124" s="974"/>
      <c r="WZA124" s="974"/>
      <c r="WZB124" s="974"/>
      <c r="WZC124" s="974"/>
      <c r="WZD124" s="974"/>
      <c r="WZE124" s="974"/>
      <c r="WZF124" s="974"/>
      <c r="WZG124" s="974"/>
      <c r="WZH124" s="974"/>
      <c r="WZI124" s="974"/>
      <c r="WZJ124" s="974"/>
      <c r="WZK124" s="974"/>
      <c r="WZL124" s="974"/>
      <c r="WZM124" s="974"/>
      <c r="WZN124" s="974"/>
      <c r="WZO124" s="974"/>
      <c r="WZP124" s="974"/>
      <c r="WZQ124" s="974"/>
      <c r="WZR124" s="974"/>
      <c r="WZS124" s="974"/>
      <c r="WZT124" s="974"/>
      <c r="WZU124" s="974"/>
      <c r="WZV124" s="974"/>
      <c r="WZW124" s="974"/>
      <c r="WZX124" s="974"/>
      <c r="WZY124" s="974"/>
      <c r="WZZ124" s="974"/>
      <c r="XAA124" s="974"/>
      <c r="XAB124" s="974"/>
      <c r="XAC124" s="974"/>
      <c r="XAD124" s="974"/>
      <c r="XAE124" s="974"/>
      <c r="XAF124" s="974"/>
      <c r="XAG124" s="974"/>
      <c r="XAH124" s="974"/>
      <c r="XAI124" s="974"/>
      <c r="XAJ124" s="974"/>
      <c r="XAK124" s="974"/>
      <c r="XAL124" s="974"/>
      <c r="XAM124" s="974"/>
      <c r="XAN124" s="974"/>
      <c r="XAO124" s="974"/>
      <c r="XAP124" s="974"/>
      <c r="XAQ124" s="974"/>
      <c r="XAR124" s="974"/>
      <c r="XAS124" s="974"/>
      <c r="XAT124" s="974"/>
      <c r="XAU124" s="974"/>
      <c r="XAV124" s="974"/>
      <c r="XAW124" s="974"/>
      <c r="XAX124" s="974"/>
      <c r="XAY124" s="974"/>
      <c r="XAZ124" s="974"/>
      <c r="XBA124" s="974"/>
      <c r="XBB124" s="974"/>
      <c r="XBC124" s="974"/>
      <c r="XBD124" s="974"/>
      <c r="XBE124" s="974"/>
      <c r="XBF124" s="974"/>
      <c r="XBG124" s="974"/>
      <c r="XBH124" s="974"/>
      <c r="XBI124" s="974"/>
      <c r="XBJ124" s="974"/>
      <c r="XBK124" s="974"/>
      <c r="XBL124" s="974"/>
      <c r="XBM124" s="974"/>
      <c r="XBN124" s="974"/>
      <c r="XBO124" s="974"/>
      <c r="XBP124" s="974"/>
      <c r="XBQ124" s="974"/>
      <c r="XBR124" s="974"/>
      <c r="XBS124" s="974"/>
      <c r="XBT124" s="974"/>
      <c r="XBU124" s="974"/>
      <c r="XBV124" s="974"/>
      <c r="XBW124" s="974"/>
      <c r="XBX124" s="974"/>
      <c r="XBY124" s="974"/>
      <c r="XBZ124" s="974"/>
      <c r="XCA124" s="974"/>
      <c r="XCB124" s="974"/>
      <c r="XCC124" s="974"/>
      <c r="XCD124" s="974"/>
      <c r="XCE124" s="974"/>
      <c r="XCF124" s="974"/>
      <c r="XCG124" s="974"/>
      <c r="XCH124" s="974"/>
      <c r="XCI124" s="974"/>
      <c r="XCJ124" s="974"/>
      <c r="XCK124" s="974"/>
      <c r="XCL124" s="974"/>
      <c r="XCM124" s="974"/>
      <c r="XCN124" s="974"/>
      <c r="XCO124" s="974"/>
      <c r="XCP124" s="974"/>
      <c r="XCQ124" s="974"/>
      <c r="XCR124" s="974"/>
      <c r="XCS124" s="974"/>
      <c r="XCT124" s="974"/>
      <c r="XCU124" s="974"/>
      <c r="XCV124" s="974"/>
      <c r="XCW124" s="974"/>
      <c r="XCX124" s="974"/>
      <c r="XCY124" s="974"/>
      <c r="XCZ124" s="974"/>
      <c r="XDA124" s="974"/>
      <c r="XDB124" s="974"/>
      <c r="XDC124" s="974"/>
      <c r="XDD124" s="974"/>
      <c r="XDE124" s="974"/>
      <c r="XDF124" s="974"/>
      <c r="XDG124" s="974"/>
      <c r="XDH124" s="974"/>
      <c r="XDI124" s="974"/>
      <c r="XDJ124" s="974"/>
      <c r="XDK124" s="974"/>
      <c r="XDL124" s="974"/>
      <c r="XDM124" s="974"/>
      <c r="XDN124" s="974"/>
      <c r="XDO124" s="974"/>
      <c r="XDP124" s="974"/>
      <c r="XDQ124" s="974"/>
      <c r="XDR124" s="974"/>
      <c r="XDS124" s="974"/>
      <c r="XDT124" s="974"/>
      <c r="XDU124" s="974"/>
      <c r="XDV124" s="974"/>
      <c r="XDW124" s="974"/>
      <c r="XDX124" s="974"/>
      <c r="XDY124" s="974"/>
      <c r="XDZ124" s="974"/>
      <c r="XEA124" s="974"/>
      <c r="XEB124" s="974"/>
      <c r="XEC124" s="974"/>
      <c r="XED124" s="974"/>
      <c r="XEE124" s="974"/>
      <c r="XEF124" s="974"/>
      <c r="XEG124" s="974"/>
      <c r="XEH124" s="974"/>
      <c r="XEI124" s="974"/>
      <c r="XEJ124" s="974"/>
      <c r="XEK124" s="974"/>
      <c r="XEL124" s="974"/>
      <c r="XEM124" s="974"/>
      <c r="XEN124" s="974"/>
      <c r="XEO124" s="974"/>
      <c r="XEP124" s="974"/>
      <c r="XEQ124" s="974"/>
      <c r="XER124" s="974"/>
      <c r="XES124" s="974"/>
      <c r="XET124" s="974"/>
      <c r="XEU124" s="974"/>
      <c r="XEV124" s="974"/>
      <c r="XEW124" s="974"/>
      <c r="XEX124" s="974"/>
      <c r="XEY124" s="974"/>
      <c r="XEZ124" s="974"/>
      <c r="XFA124" s="974"/>
      <c r="XFB124" s="974"/>
      <c r="XFC124" s="974"/>
      <c r="XFD124" s="974"/>
    </row>
    <row r="125" spans="1:16384" ht="23.25" customHeight="1" thickBot="1" x14ac:dyDescent="0.4">
      <c r="A125" s="968"/>
      <c r="B125" s="970" t="s">
        <v>162</v>
      </c>
      <c r="C125" s="970"/>
      <c r="D125" s="970"/>
      <c r="E125" s="970"/>
      <c r="F125" s="970"/>
      <c r="G125" s="970"/>
      <c r="H125" s="971">
        <f>H124+H107+H101</f>
        <v>5749128.4700000007</v>
      </c>
      <c r="I125" s="971">
        <f>I124+I107+I101</f>
        <v>6945527.3100000005</v>
      </c>
      <c r="J125" s="971">
        <f t="shared" ref="J125:AG125" si="28">J124+J107</f>
        <v>3764502.8026041687</v>
      </c>
      <c r="K125" s="971">
        <f t="shared" si="28"/>
        <v>3579281.1927808365</v>
      </c>
      <c r="L125" s="971">
        <f t="shared" si="28"/>
        <v>3777145.7129575033</v>
      </c>
      <c r="M125" s="971">
        <f t="shared" si="28"/>
        <v>4769908.2131341696</v>
      </c>
      <c r="N125" s="971">
        <f t="shared" si="28"/>
        <v>5040126.7333108354</v>
      </c>
      <c r="O125" s="971">
        <f t="shared" si="28"/>
        <v>4951491.1034875028</v>
      </c>
      <c r="P125" s="971">
        <f t="shared" si="28"/>
        <v>4883309.2736641681</v>
      </c>
      <c r="Q125" s="971">
        <f t="shared" si="28"/>
        <v>4941101.1738408357</v>
      </c>
      <c r="R125" s="971">
        <f t="shared" si="28"/>
        <v>4614827.7540175021</v>
      </c>
      <c r="S125" s="971">
        <f t="shared" si="28"/>
        <v>4424713.2341941707</v>
      </c>
      <c r="T125" s="971">
        <f t="shared" si="28"/>
        <v>3841128.4043708364</v>
      </c>
      <c r="U125" s="971">
        <f t="shared" si="28"/>
        <v>30141739.91</v>
      </c>
      <c r="V125" s="971">
        <f t="shared" si="28"/>
        <v>30737061.559999999</v>
      </c>
      <c r="W125" s="971">
        <f t="shared" si="28"/>
        <v>30502645.149999999</v>
      </c>
      <c r="X125" s="971">
        <f t="shared" si="28"/>
        <v>30551388.690000001</v>
      </c>
      <c r="Y125" s="971">
        <f t="shared" si="28"/>
        <v>30404734.810000002</v>
      </c>
      <c r="Z125" s="971">
        <f t="shared" si="28"/>
        <v>29958170.73</v>
      </c>
      <c r="AA125" s="971">
        <f t="shared" si="28"/>
        <v>29703857.129999999</v>
      </c>
      <c r="AB125" s="971">
        <f t="shared" si="28"/>
        <v>28937043.780000001</v>
      </c>
      <c r="AC125" s="971">
        <f>AC124+AC107</f>
        <v>27889741.210000001</v>
      </c>
      <c r="AD125" s="971">
        <f>AD124+AD107</f>
        <v>28046963.259999998</v>
      </c>
      <c r="AE125" s="971">
        <f t="shared" si="28"/>
        <v>27397774.280000001</v>
      </c>
      <c r="AF125" s="971">
        <f t="shared" si="28"/>
        <v>26783639.889999993</v>
      </c>
      <c r="AG125" s="971">
        <f t="shared" si="28"/>
        <v>26235653</v>
      </c>
      <c r="AH125" s="972"/>
      <c r="AI125" s="972"/>
      <c r="AJ125" s="972"/>
      <c r="AK125" s="972"/>
      <c r="AL125" s="972"/>
      <c r="AM125" s="972"/>
      <c r="AN125" s="972"/>
      <c r="AO125" s="972"/>
      <c r="AP125" s="972"/>
      <c r="AQ125" s="972"/>
      <c r="AR125" s="972"/>
      <c r="AS125" s="972"/>
      <c r="AT125" s="972"/>
      <c r="AU125" s="972"/>
      <c r="AV125" s="972"/>
      <c r="AW125" s="972"/>
      <c r="AX125" s="972"/>
      <c r="AY125" s="972"/>
      <c r="AZ125" s="972"/>
      <c r="BA125" s="972"/>
      <c r="BB125" s="972"/>
      <c r="BC125" s="972"/>
      <c r="BD125" s="972"/>
      <c r="BE125" s="972"/>
      <c r="BF125" s="972"/>
      <c r="BG125" s="972"/>
      <c r="BH125" s="972"/>
      <c r="BI125" s="972"/>
      <c r="BJ125" s="972"/>
      <c r="BK125" s="972"/>
      <c r="BL125" s="972"/>
      <c r="BM125" s="972"/>
      <c r="BN125" s="972"/>
      <c r="BO125" s="972"/>
      <c r="BP125" s="972"/>
      <c r="BQ125" s="972"/>
      <c r="BR125" s="972"/>
      <c r="BS125" s="972"/>
      <c r="BT125" s="972"/>
      <c r="BU125" s="972"/>
      <c r="BV125" s="972"/>
      <c r="BW125" s="972"/>
      <c r="BX125" s="972"/>
      <c r="BY125" s="972"/>
      <c r="BZ125" s="972"/>
      <c r="CA125" s="972"/>
      <c r="CB125" s="972"/>
      <c r="CC125" s="972"/>
    </row>
    <row r="126" spans="1:16384" ht="15" thickTop="1" x14ac:dyDescent="0.35">
      <c r="G126" s="979" t="s">
        <v>435</v>
      </c>
      <c r="H126" s="908">
        <f t="shared" ref="H126:AG126" si="29">H125-H73</f>
        <v>-9.9999988451600075E-3</v>
      </c>
      <c r="I126" s="908">
        <f t="shared" si="29"/>
        <v>0</v>
      </c>
      <c r="J126" s="908">
        <f t="shared" si="29"/>
        <v>2.6041688397526741E-3</v>
      </c>
      <c r="K126" s="908">
        <f t="shared" si="29"/>
        <v>2.7808365412056446E-3</v>
      </c>
      <c r="L126" s="908">
        <f t="shared" si="29"/>
        <v>2.9575033113360405E-3</v>
      </c>
      <c r="M126" s="908">
        <f t="shared" si="29"/>
        <v>3.1341686844825745E-3</v>
      </c>
      <c r="N126" s="908">
        <f t="shared" si="29"/>
        <v>3.3108359202742577E-3</v>
      </c>
      <c r="O126" s="908">
        <f t="shared" si="29"/>
        <v>3.4875031560659409E-3</v>
      </c>
      <c r="P126" s="908">
        <f t="shared" si="29"/>
        <v>3.6641685292124748E-3</v>
      </c>
      <c r="Q126" s="908">
        <f t="shared" si="29"/>
        <v>3.840835765004158E-3</v>
      </c>
      <c r="R126" s="908">
        <f t="shared" si="29"/>
        <v>4.0175020694732666E-3</v>
      </c>
      <c r="S126" s="908">
        <f t="shared" si="29"/>
        <v>4.1941702365875244E-3</v>
      </c>
      <c r="T126" s="908">
        <f t="shared" si="29"/>
        <v>4.3708360753953457E-3</v>
      </c>
      <c r="U126" s="908">
        <f t="shared" si="29"/>
        <v>9.9999979138374329E-3</v>
      </c>
      <c r="V126" s="908">
        <f t="shared" si="29"/>
        <v>0</v>
      </c>
      <c r="W126" s="908">
        <f t="shared" si="29"/>
        <v>-1.0000001639127731E-2</v>
      </c>
      <c r="X126" s="908">
        <f t="shared" si="29"/>
        <v>-1.0000001639127731E-2</v>
      </c>
      <c r="Y126" s="908">
        <f t="shared" si="29"/>
        <v>-9.9999979138374329E-3</v>
      </c>
      <c r="Z126" s="908">
        <f t="shared" si="29"/>
        <v>-1.0000001639127731E-2</v>
      </c>
      <c r="AA126" s="908">
        <f t="shared" si="29"/>
        <v>-1.000000536441803E-2</v>
      </c>
      <c r="AB126" s="908">
        <f t="shared" si="29"/>
        <v>-1.0000001639127731E-2</v>
      </c>
      <c r="AC126" s="908">
        <f t="shared" si="29"/>
        <v>0</v>
      </c>
      <c r="AD126" s="908">
        <f t="shared" si="29"/>
        <v>0</v>
      </c>
      <c r="AE126" s="908">
        <f t="shared" si="29"/>
        <v>0</v>
      </c>
      <c r="AF126" s="908">
        <f t="shared" si="29"/>
        <v>0</v>
      </c>
      <c r="AG126" s="908">
        <f t="shared" si="29"/>
        <v>0</v>
      </c>
    </row>
  </sheetData>
  <conditionalFormatting sqref="N78:O78 N5:O6 N8:O8 N25:O27 N30:O32 N22:O23 N41:O42 N12:O18 N81:O84 N96:O97 AF20 AE36:AF36 AE60:AF60 AE72:AF72 AE107:AF107 AE124:AF124">
    <cfRule type="expression" dxfId="216" priority="137">
      <formula>N$8="actual"</formula>
    </cfRule>
  </conditionalFormatting>
  <conditionalFormatting sqref="N37:O37">
    <cfRule type="expression" dxfId="215" priority="134">
      <formula>N$8="actual"</formula>
    </cfRule>
  </conditionalFormatting>
  <conditionalFormatting sqref="N37:O37">
    <cfRule type="expression" dxfId="214" priority="133">
      <formula>N$8="actual"</formula>
    </cfRule>
  </conditionalFormatting>
  <conditionalFormatting sqref="M17">
    <cfRule type="expression" dxfId="213" priority="124">
      <formula>M$8="actual"</formula>
    </cfRule>
  </conditionalFormatting>
  <conditionalFormatting sqref="M17">
    <cfRule type="expression" dxfId="212" priority="123">
      <formula>M$8="actual"</formula>
    </cfRule>
  </conditionalFormatting>
  <conditionalFormatting sqref="H17:J17">
    <cfRule type="expression" dxfId="211" priority="122">
      <formula>H$8="actual"</formula>
    </cfRule>
  </conditionalFormatting>
  <conditionalFormatting sqref="H17:J17">
    <cfRule type="expression" dxfId="210" priority="121">
      <formula>H$8="actual"</formula>
    </cfRule>
  </conditionalFormatting>
  <conditionalFormatting sqref="P17">
    <cfRule type="expression" dxfId="209" priority="120">
      <formula>P$8="actual"</formula>
    </cfRule>
  </conditionalFormatting>
  <conditionalFormatting sqref="Q17">
    <cfRule type="expression" dxfId="208" priority="119">
      <formula>Q$8="actual"</formula>
    </cfRule>
  </conditionalFormatting>
  <conditionalFormatting sqref="R17:S17">
    <cfRule type="expression" dxfId="207" priority="115">
      <formula>R$8="actual"</formula>
    </cfRule>
  </conditionalFormatting>
  <conditionalFormatting sqref="T17:AB17">
    <cfRule type="expression" dxfId="206" priority="114">
      <formula>T$8="actual"</formula>
    </cfRule>
  </conditionalFormatting>
  <conditionalFormatting sqref="N99:O99">
    <cfRule type="expression" dxfId="205" priority="113">
      <formula>N$8="actual"</formula>
    </cfRule>
  </conditionalFormatting>
  <conditionalFormatting sqref="N9:O11">
    <cfRule type="expression" dxfId="204" priority="112">
      <formula>N$8="actual"</formula>
    </cfRule>
  </conditionalFormatting>
  <conditionalFormatting sqref="N40:O40">
    <cfRule type="expression" dxfId="203" priority="111">
      <formula>N$8="actual"</formula>
    </cfRule>
  </conditionalFormatting>
  <conditionalFormatting sqref="N40:O40">
    <cfRule type="expression" dxfId="202" priority="110">
      <formula>N$8="actual"</formula>
    </cfRule>
  </conditionalFormatting>
  <conditionalFormatting sqref="AC17:AF17 AH17:AI17">
    <cfRule type="expression" dxfId="201" priority="105">
      <formula>AC$8="actual"</formula>
    </cfRule>
  </conditionalFormatting>
  <conditionalFormatting sqref="A4:F4 H4:AF4 AH4:XFD4">
    <cfRule type="containsText" dxfId="200" priority="94" operator="containsText" text="Forecast">
      <formula>NOT(ISERROR(SEARCH("Forecast",A4)))</formula>
    </cfRule>
    <cfRule type="containsText" dxfId="199" priority="95" operator="containsText" text="Actual">
      <formula>NOT(ISERROR(SEARCH("Actual",A4)))</formula>
    </cfRule>
  </conditionalFormatting>
  <conditionalFormatting sqref="D17:G17">
    <cfRule type="expression" dxfId="198" priority="93">
      <formula>D$8="actual"</formula>
    </cfRule>
  </conditionalFormatting>
  <conditionalFormatting sqref="D17:G17">
    <cfRule type="expression" dxfId="197" priority="92">
      <formula>D$8="actual"</formula>
    </cfRule>
  </conditionalFormatting>
  <conditionalFormatting sqref="N20:O20">
    <cfRule type="expression" dxfId="196" priority="91">
      <formula>N$8="actual"</formula>
    </cfRule>
  </conditionalFormatting>
  <conditionalFormatting sqref="M20">
    <cfRule type="expression" dxfId="195" priority="90">
      <formula>M$8="actual"</formula>
    </cfRule>
  </conditionalFormatting>
  <conditionalFormatting sqref="M20">
    <cfRule type="expression" dxfId="194" priority="89">
      <formula>M$8="actual"</formula>
    </cfRule>
  </conditionalFormatting>
  <conditionalFormatting sqref="H20:J20">
    <cfRule type="expression" dxfId="193" priority="88">
      <formula>H$8="actual"</formula>
    </cfRule>
  </conditionalFormatting>
  <conditionalFormatting sqref="H20:J20">
    <cfRule type="expression" dxfId="192" priority="87">
      <formula>H$8="actual"</formula>
    </cfRule>
  </conditionalFormatting>
  <conditionalFormatting sqref="P20">
    <cfRule type="expression" dxfId="191" priority="86">
      <formula>P$8="actual"</formula>
    </cfRule>
  </conditionalFormatting>
  <conditionalFormatting sqref="Q20">
    <cfRule type="expression" dxfId="190" priority="85">
      <formula>Q$8="actual"</formula>
    </cfRule>
  </conditionalFormatting>
  <conditionalFormatting sqref="R20:S20">
    <cfRule type="expression" dxfId="189" priority="84">
      <formula>R$8="actual"</formula>
    </cfRule>
  </conditionalFormatting>
  <conditionalFormatting sqref="T20:AB20">
    <cfRule type="expression" dxfId="188" priority="83">
      <formula>T$8="actual"</formula>
    </cfRule>
  </conditionalFormatting>
  <conditionalFormatting sqref="AC20:AE20">
    <cfRule type="expression" dxfId="187" priority="82">
      <formula>AC$8="actual"</formula>
    </cfRule>
  </conditionalFormatting>
  <conditionalFormatting sqref="D20:G20">
    <cfRule type="expression" dxfId="186" priority="81">
      <formula>D$8="actual"</formula>
    </cfRule>
  </conditionalFormatting>
  <conditionalFormatting sqref="D20:G20">
    <cfRule type="expression" dxfId="185" priority="80">
      <formula>D$8="actual"</formula>
    </cfRule>
  </conditionalFormatting>
  <conditionalFormatting sqref="M36:N36">
    <cfRule type="expression" dxfId="184" priority="79">
      <formula>M$8="actual"</formula>
    </cfRule>
  </conditionalFormatting>
  <conditionalFormatting sqref="L36">
    <cfRule type="expression" dxfId="183" priority="78">
      <formula>L$8="actual"</formula>
    </cfRule>
  </conditionalFormatting>
  <conditionalFormatting sqref="L36">
    <cfRule type="expression" dxfId="182" priority="77">
      <formula>L$8="actual"</formula>
    </cfRule>
  </conditionalFormatting>
  <conditionalFormatting sqref="G36:I36">
    <cfRule type="expression" dxfId="181" priority="76">
      <formula>G$8="actual"</formula>
    </cfRule>
  </conditionalFormatting>
  <conditionalFormatting sqref="G36:I36">
    <cfRule type="expression" dxfId="180" priority="75">
      <formula>G$8="actual"</formula>
    </cfRule>
  </conditionalFormatting>
  <conditionalFormatting sqref="O36">
    <cfRule type="expression" dxfId="179" priority="74">
      <formula>O$8="actual"</formula>
    </cfRule>
  </conditionalFormatting>
  <conditionalFormatting sqref="P36">
    <cfRule type="expression" dxfId="178" priority="73">
      <formula>P$8="actual"</formula>
    </cfRule>
  </conditionalFormatting>
  <conditionalFormatting sqref="Q36:R36">
    <cfRule type="expression" dxfId="177" priority="72">
      <formula>Q$8="actual"</formula>
    </cfRule>
  </conditionalFormatting>
  <conditionalFormatting sqref="S36:AA36">
    <cfRule type="expression" dxfId="176" priority="71">
      <formula>S$8="actual"</formula>
    </cfRule>
  </conditionalFormatting>
  <conditionalFormatting sqref="AB36:AD36">
    <cfRule type="expression" dxfId="175" priority="70">
      <formula>AB$8="actual"</formula>
    </cfRule>
  </conditionalFormatting>
  <conditionalFormatting sqref="C36:F36">
    <cfRule type="expression" dxfId="174" priority="69">
      <formula>C$8="actual"</formula>
    </cfRule>
  </conditionalFormatting>
  <conditionalFormatting sqref="C36:F36">
    <cfRule type="expression" dxfId="173" priority="68">
      <formula>C$8="actual"</formula>
    </cfRule>
  </conditionalFormatting>
  <conditionalFormatting sqref="N21:O21">
    <cfRule type="expression" dxfId="172" priority="67">
      <formula>N$8="actual"</formula>
    </cfRule>
  </conditionalFormatting>
  <conditionalFormatting sqref="M60:N60">
    <cfRule type="expression" dxfId="171" priority="66">
      <formula>M$8="actual"</formula>
    </cfRule>
  </conditionalFormatting>
  <conditionalFormatting sqref="L60">
    <cfRule type="expression" dxfId="170" priority="65">
      <formula>L$8="actual"</formula>
    </cfRule>
  </conditionalFormatting>
  <conditionalFormatting sqref="L60">
    <cfRule type="expression" dxfId="169" priority="64">
      <formula>L$8="actual"</formula>
    </cfRule>
  </conditionalFormatting>
  <conditionalFormatting sqref="G60:I60">
    <cfRule type="expression" dxfId="168" priority="63">
      <formula>G$8="actual"</formula>
    </cfRule>
  </conditionalFormatting>
  <conditionalFormatting sqref="G60:I60">
    <cfRule type="expression" dxfId="167" priority="62">
      <formula>G$8="actual"</formula>
    </cfRule>
  </conditionalFormatting>
  <conditionalFormatting sqref="O60">
    <cfRule type="expression" dxfId="166" priority="61">
      <formula>O$8="actual"</formula>
    </cfRule>
  </conditionalFormatting>
  <conditionalFormatting sqref="P60">
    <cfRule type="expression" dxfId="165" priority="60">
      <formula>P$8="actual"</formula>
    </cfRule>
  </conditionalFormatting>
  <conditionalFormatting sqref="Q60:R60">
    <cfRule type="expression" dxfId="164" priority="59">
      <formula>Q$8="actual"</formula>
    </cfRule>
  </conditionalFormatting>
  <conditionalFormatting sqref="S60:AA60">
    <cfRule type="expression" dxfId="163" priority="58">
      <formula>S$8="actual"</formula>
    </cfRule>
  </conditionalFormatting>
  <conditionalFormatting sqref="AB60:AD60">
    <cfRule type="expression" dxfId="162" priority="57">
      <formula>AB$8="actual"</formula>
    </cfRule>
  </conditionalFormatting>
  <conditionalFormatting sqref="C60:F60">
    <cfRule type="expression" dxfId="161" priority="56">
      <formula>C$8="actual"</formula>
    </cfRule>
  </conditionalFormatting>
  <conditionalFormatting sqref="C60:F60">
    <cfRule type="expression" dxfId="160" priority="55">
      <formula>C$8="actual"</formula>
    </cfRule>
  </conditionalFormatting>
  <conditionalFormatting sqref="N39:O39">
    <cfRule type="expression" dxfId="159" priority="54">
      <formula>N$8="actual"</formula>
    </cfRule>
  </conditionalFormatting>
  <conditionalFormatting sqref="N43:O43">
    <cfRule type="expression" dxfId="158" priority="53">
      <formula>N$8="actual"</formula>
    </cfRule>
  </conditionalFormatting>
  <conditionalFormatting sqref="N47:O47">
    <cfRule type="expression" dxfId="157" priority="52">
      <formula>N$8="actual"</formula>
    </cfRule>
  </conditionalFormatting>
  <conditionalFormatting sqref="N51:O51">
    <cfRule type="expression" dxfId="156" priority="51">
      <formula>N$8="actual"</formula>
    </cfRule>
  </conditionalFormatting>
  <conditionalFormatting sqref="N55:O55">
    <cfRule type="expression" dxfId="155" priority="50">
      <formula>N$8="actual"</formula>
    </cfRule>
  </conditionalFormatting>
  <conditionalFormatting sqref="N59:O59">
    <cfRule type="expression" dxfId="154" priority="49">
      <formula>N$8="actual"</formula>
    </cfRule>
  </conditionalFormatting>
  <conditionalFormatting sqref="M72:N72">
    <cfRule type="expression" dxfId="153" priority="48">
      <formula>M$8="actual"</formula>
    </cfRule>
  </conditionalFormatting>
  <conditionalFormatting sqref="L72">
    <cfRule type="expression" dxfId="152" priority="47">
      <formula>L$8="actual"</formula>
    </cfRule>
  </conditionalFormatting>
  <conditionalFormatting sqref="L72">
    <cfRule type="expression" dxfId="151" priority="46">
      <formula>L$8="actual"</formula>
    </cfRule>
  </conditionalFormatting>
  <conditionalFormatting sqref="G72:I72">
    <cfRule type="expression" dxfId="150" priority="45">
      <formula>G$8="actual"</formula>
    </cfRule>
  </conditionalFormatting>
  <conditionalFormatting sqref="G72:I72">
    <cfRule type="expression" dxfId="149" priority="44">
      <formula>G$8="actual"</formula>
    </cfRule>
  </conditionalFormatting>
  <conditionalFormatting sqref="O72">
    <cfRule type="expression" dxfId="148" priority="43">
      <formula>O$8="actual"</formula>
    </cfRule>
  </conditionalFormatting>
  <conditionalFormatting sqref="P72">
    <cfRule type="expression" dxfId="147" priority="42">
      <formula>P$8="actual"</formula>
    </cfRule>
  </conditionalFormatting>
  <conditionalFormatting sqref="Q72:R72">
    <cfRule type="expression" dxfId="146" priority="41">
      <formula>Q$8="actual"</formula>
    </cfRule>
  </conditionalFormatting>
  <conditionalFormatting sqref="S72:AA72">
    <cfRule type="expression" dxfId="145" priority="40">
      <formula>S$8="actual"</formula>
    </cfRule>
  </conditionalFormatting>
  <conditionalFormatting sqref="AB72:AD72">
    <cfRule type="expression" dxfId="144" priority="39">
      <formula>AB$8="actual"</formula>
    </cfRule>
  </conditionalFormatting>
  <conditionalFormatting sqref="C72:F72">
    <cfRule type="expression" dxfId="143" priority="38">
      <formula>C$8="actual"</formula>
    </cfRule>
  </conditionalFormatting>
  <conditionalFormatting sqref="C72:F72">
    <cfRule type="expression" dxfId="142" priority="37">
      <formula>C$8="actual"</formula>
    </cfRule>
  </conditionalFormatting>
  <conditionalFormatting sqref="N75:O75">
    <cfRule type="expression" dxfId="141" priority="36">
      <formula>N$8="actual"</formula>
    </cfRule>
  </conditionalFormatting>
  <conditionalFormatting sqref="N77:O77">
    <cfRule type="expression" dxfId="140" priority="35">
      <formula>N$8="actual"</formula>
    </cfRule>
  </conditionalFormatting>
  <conditionalFormatting sqref="N89:O89">
    <cfRule type="expression" dxfId="139" priority="34">
      <formula>N$8="actual"</formula>
    </cfRule>
  </conditionalFormatting>
  <conditionalFormatting sqref="M95:N95">
    <cfRule type="expression" dxfId="138" priority="33">
      <formula>M$8="actual"</formula>
    </cfRule>
  </conditionalFormatting>
  <conditionalFormatting sqref="N98:O98">
    <cfRule type="expression" dxfId="137" priority="32">
      <formula>N$8="actual"</formula>
    </cfRule>
  </conditionalFormatting>
  <conditionalFormatting sqref="N103:O103">
    <cfRule type="expression" dxfId="136" priority="31">
      <formula>N$8="actual"</formula>
    </cfRule>
  </conditionalFormatting>
  <conditionalFormatting sqref="N101:O101">
    <cfRule type="expression" dxfId="135" priority="30">
      <formula>N$8="actual"</formula>
    </cfRule>
  </conditionalFormatting>
  <conditionalFormatting sqref="N106:O106">
    <cfRule type="expression" dxfId="134" priority="29">
      <formula>N$8="actual"</formula>
    </cfRule>
  </conditionalFormatting>
  <conditionalFormatting sqref="M107:N107">
    <cfRule type="expression" dxfId="133" priority="28">
      <formula>M$8="actual"</formula>
    </cfRule>
  </conditionalFormatting>
  <conditionalFormatting sqref="L107">
    <cfRule type="expression" dxfId="132" priority="27">
      <formula>L$8="actual"</formula>
    </cfRule>
  </conditionalFormatting>
  <conditionalFormatting sqref="L107">
    <cfRule type="expression" dxfId="131" priority="26">
      <formula>L$8="actual"</formula>
    </cfRule>
  </conditionalFormatting>
  <conditionalFormatting sqref="G107:I107">
    <cfRule type="expression" dxfId="130" priority="25">
      <formula>G$8="actual"</formula>
    </cfRule>
  </conditionalFormatting>
  <conditionalFormatting sqref="G107:I107">
    <cfRule type="expression" dxfId="129" priority="24">
      <formula>G$8="actual"</formula>
    </cfRule>
  </conditionalFormatting>
  <conditionalFormatting sqref="O107">
    <cfRule type="expression" dxfId="128" priority="23">
      <formula>O$8="actual"</formula>
    </cfRule>
  </conditionalFormatting>
  <conditionalFormatting sqref="P107">
    <cfRule type="expression" dxfId="127" priority="22">
      <formula>P$8="actual"</formula>
    </cfRule>
  </conditionalFormatting>
  <conditionalFormatting sqref="Q107:R107">
    <cfRule type="expression" dxfId="126" priority="21">
      <formula>Q$8="actual"</formula>
    </cfRule>
  </conditionalFormatting>
  <conditionalFormatting sqref="S107:AA107">
    <cfRule type="expression" dxfId="125" priority="20">
      <formula>S$8="actual"</formula>
    </cfRule>
  </conditionalFormatting>
  <conditionalFormatting sqref="AB107:AD107">
    <cfRule type="expression" dxfId="124" priority="19">
      <formula>AB$8="actual"</formula>
    </cfRule>
  </conditionalFormatting>
  <conditionalFormatting sqref="C107:F107">
    <cfRule type="expression" dxfId="123" priority="18">
      <formula>C$8="actual"</formula>
    </cfRule>
  </conditionalFormatting>
  <conditionalFormatting sqref="C107:F107">
    <cfRule type="expression" dxfId="122" priority="17">
      <formula>C$8="actual"</formula>
    </cfRule>
  </conditionalFormatting>
  <conditionalFormatting sqref="M124:N124">
    <cfRule type="expression" dxfId="121" priority="16">
      <formula>M$8="actual"</formula>
    </cfRule>
  </conditionalFormatting>
  <conditionalFormatting sqref="L124">
    <cfRule type="expression" dxfId="120" priority="15">
      <formula>L$8="actual"</formula>
    </cfRule>
  </conditionalFormatting>
  <conditionalFormatting sqref="L124">
    <cfRule type="expression" dxfId="119" priority="14">
      <formula>L$8="actual"</formula>
    </cfRule>
  </conditionalFormatting>
  <conditionalFormatting sqref="G124:I124">
    <cfRule type="expression" dxfId="118" priority="13">
      <formula>G$8="actual"</formula>
    </cfRule>
  </conditionalFormatting>
  <conditionalFormatting sqref="G124:I124">
    <cfRule type="expression" dxfId="117" priority="12">
      <formula>G$8="actual"</formula>
    </cfRule>
  </conditionalFormatting>
  <conditionalFormatting sqref="O124">
    <cfRule type="expression" dxfId="116" priority="11">
      <formula>O$8="actual"</formula>
    </cfRule>
  </conditionalFormatting>
  <conditionalFormatting sqref="P124">
    <cfRule type="expression" dxfId="115" priority="10">
      <formula>P$8="actual"</formula>
    </cfRule>
  </conditionalFormatting>
  <conditionalFormatting sqref="Q124:R124">
    <cfRule type="expression" dxfId="114" priority="9">
      <formula>Q$8="actual"</formula>
    </cfRule>
  </conditionalFormatting>
  <conditionalFormatting sqref="S124:AA124">
    <cfRule type="expression" dxfId="113" priority="8">
      <formula>S$8="actual"</formula>
    </cfRule>
  </conditionalFormatting>
  <conditionalFormatting sqref="AB124:AD124">
    <cfRule type="expression" dxfId="112" priority="7">
      <formula>AB$8="actual"</formula>
    </cfRule>
  </conditionalFormatting>
  <conditionalFormatting sqref="C124:F124">
    <cfRule type="expression" dxfId="111" priority="6">
      <formula>C$8="actual"</formula>
    </cfRule>
  </conditionalFormatting>
  <conditionalFormatting sqref="C124:F124">
    <cfRule type="expression" dxfId="110" priority="5">
      <formula>C$8="actual"</formula>
    </cfRule>
  </conditionalFormatting>
  <conditionalFormatting sqref="AG20 AG36 AG60 AG72 AG107 AG124">
    <cfRule type="expression" dxfId="109" priority="4">
      <formula>AG$8="actual"</formula>
    </cfRule>
  </conditionalFormatting>
  <conditionalFormatting sqref="AG17">
    <cfRule type="expression" dxfId="108" priority="3">
      <formula>AG$8="actual"</formula>
    </cfRule>
  </conditionalFormatting>
  <conditionalFormatting sqref="AG4">
    <cfRule type="containsText" dxfId="107" priority="1" operator="containsText" text="Forecast">
      <formula>NOT(ISERROR(SEARCH("Forecast",AG4)))</formula>
    </cfRule>
    <cfRule type="containsText" dxfId="106" priority="2" operator="containsText" text="Actual">
      <formula>NOT(ISERROR(SEARCH("Actual",AG4)))</formula>
    </cfRule>
  </conditionalFormatting>
  <pageMargins left="0.7" right="0.7" top="0.75" bottom="0.75" header="0.3" footer="0.3"/>
  <pageSetup orientation="portrait" r:id="rId1"/>
  <legacy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2:BV56"/>
  <sheetViews>
    <sheetView zoomScale="80" zoomScaleNormal="80" workbookViewId="0">
      <pane xSplit="3" ySplit="2" topLeftCell="R33" activePane="bottomRight" state="frozen"/>
      <selection pane="topRight" activeCell="D1" sqref="D1"/>
      <selection pane="bottomLeft" activeCell="A3" sqref="A3"/>
      <selection pane="bottomRight" activeCell="R20" sqref="R20"/>
    </sheetView>
  </sheetViews>
  <sheetFormatPr defaultColWidth="9.1796875" defaultRowHeight="14.5" outlineLevelRow="1" outlineLevelCol="1" x14ac:dyDescent="0.35"/>
  <cols>
    <col min="1" max="1" width="9.1796875" style="574"/>
    <col min="2" max="2" width="7.54296875" style="574" customWidth="1"/>
    <col min="3" max="3" width="27.54296875" style="574" bestFit="1" customWidth="1"/>
    <col min="4" max="4" width="12.453125" style="574" bestFit="1" customWidth="1"/>
    <col min="5" max="6" width="12.453125" style="574" bestFit="1" customWidth="1" outlineLevel="1"/>
    <col min="7" max="7" width="12.453125" style="574" customWidth="1" outlineLevel="1"/>
    <col min="8" max="12" width="12.453125" style="574" bestFit="1" customWidth="1" outlineLevel="1"/>
    <col min="13" max="13" width="12.453125" style="574" customWidth="1" outlineLevel="1"/>
    <col min="14" max="14" width="12.453125" style="574" bestFit="1" customWidth="1" outlineLevel="1"/>
    <col min="15" max="15" width="11.54296875" style="574" customWidth="1"/>
    <col min="16" max="16" width="12.453125" style="574" bestFit="1" customWidth="1"/>
    <col min="17" max="26" width="12.453125" style="574" customWidth="1" outlineLevel="1"/>
    <col min="27" max="27" width="12.453125" style="574" bestFit="1" customWidth="1"/>
    <col min="28" max="29" width="9.453125" style="574" bestFit="1" customWidth="1"/>
    <col min="30" max="44" width="9.1796875" style="574"/>
    <col min="45" max="45" width="10.81640625" style="574" bestFit="1" customWidth="1"/>
    <col min="46" max="60" width="9.1796875" style="574"/>
    <col min="61" max="63" width="10.54296875" style="574" bestFit="1" customWidth="1"/>
    <col min="64" max="73" width="9.1796875" style="574"/>
    <col min="74" max="74" width="8.54296875" style="574" customWidth="1"/>
    <col min="75" max="16384" width="9.1796875" style="574"/>
  </cols>
  <sheetData>
    <row r="2" spans="2:74" x14ac:dyDescent="0.35">
      <c r="C2" s="1022" t="s">
        <v>931</v>
      </c>
      <c r="D2" s="1165">
        <v>40909</v>
      </c>
      <c r="E2" s="1165">
        <v>40940</v>
      </c>
      <c r="F2" s="1165">
        <v>40969</v>
      </c>
      <c r="G2" s="1165">
        <v>41000</v>
      </c>
      <c r="H2" s="1165">
        <v>41030</v>
      </c>
      <c r="I2" s="1165">
        <v>41061</v>
      </c>
      <c r="J2" s="1165">
        <v>41091</v>
      </c>
      <c r="K2" s="1165">
        <v>41122</v>
      </c>
      <c r="L2" s="1165">
        <v>41153</v>
      </c>
      <c r="M2" s="1165">
        <v>41183</v>
      </c>
      <c r="N2" s="1165">
        <v>41214</v>
      </c>
      <c r="O2" s="1165">
        <v>41244</v>
      </c>
      <c r="P2" s="1165">
        <v>41275</v>
      </c>
      <c r="Q2" s="1165">
        <v>41306</v>
      </c>
      <c r="R2" s="1165">
        <v>41334</v>
      </c>
      <c r="S2" s="1165">
        <v>41365</v>
      </c>
      <c r="T2" s="1165">
        <v>41395</v>
      </c>
      <c r="U2" s="1165">
        <v>41426</v>
      </c>
      <c r="V2" s="1165">
        <v>41456</v>
      </c>
      <c r="W2" s="1165">
        <v>41487</v>
      </c>
      <c r="X2" s="1165">
        <v>41518</v>
      </c>
      <c r="Y2" s="1165">
        <v>41548</v>
      </c>
      <c r="Z2" s="1165">
        <v>41579</v>
      </c>
      <c r="AA2" s="1165">
        <v>41609</v>
      </c>
      <c r="AB2" s="1165">
        <v>41640</v>
      </c>
      <c r="AC2" s="1165">
        <v>41671</v>
      </c>
      <c r="AD2" s="1165">
        <v>41699</v>
      </c>
      <c r="AE2" s="1165">
        <v>41730</v>
      </c>
      <c r="AF2" s="1165">
        <v>41760</v>
      </c>
      <c r="AG2" s="1165">
        <v>41791</v>
      </c>
      <c r="AH2" s="1165">
        <v>41821</v>
      </c>
      <c r="AI2" s="1165">
        <v>41852</v>
      </c>
      <c r="AJ2" s="1165">
        <v>41883</v>
      </c>
      <c r="AK2" s="1165">
        <v>41913</v>
      </c>
      <c r="AL2" s="1165">
        <v>41944</v>
      </c>
      <c r="AM2" s="1165">
        <v>41974</v>
      </c>
      <c r="AN2" s="1165">
        <v>42005</v>
      </c>
      <c r="AO2" s="1165">
        <v>42036</v>
      </c>
      <c r="AP2" s="1165">
        <v>42064</v>
      </c>
      <c r="AQ2" s="1165">
        <v>42095</v>
      </c>
      <c r="AR2" s="1165">
        <v>42125</v>
      </c>
      <c r="AS2" s="1165">
        <v>42156</v>
      </c>
      <c r="AT2" s="1165">
        <v>42186</v>
      </c>
      <c r="AU2" s="1165">
        <v>42217</v>
      </c>
      <c r="AV2" s="1165">
        <v>42248</v>
      </c>
      <c r="AW2" s="1165">
        <v>42278</v>
      </c>
      <c r="AX2" s="1165">
        <v>42309</v>
      </c>
      <c r="AY2" s="1165">
        <v>42339</v>
      </c>
      <c r="AZ2" s="1165">
        <v>42370</v>
      </c>
      <c r="BA2" s="1165">
        <v>42401</v>
      </c>
      <c r="BB2" s="1165">
        <v>42430</v>
      </c>
      <c r="BC2" s="1165">
        <v>42461</v>
      </c>
      <c r="BD2" s="1165">
        <v>42491</v>
      </c>
      <c r="BE2" s="1165">
        <v>42522</v>
      </c>
      <c r="BF2" s="1165">
        <v>42552</v>
      </c>
      <c r="BG2" s="1165">
        <v>42583</v>
      </c>
      <c r="BH2" s="1165">
        <v>42614</v>
      </c>
      <c r="BI2" s="1165">
        <v>42644</v>
      </c>
      <c r="BJ2" s="1165">
        <v>42675</v>
      </c>
      <c r="BK2" s="1165">
        <v>42705</v>
      </c>
      <c r="BL2" s="1165">
        <v>42736</v>
      </c>
      <c r="BM2" s="1165">
        <v>42767</v>
      </c>
      <c r="BN2" s="1165">
        <v>42795</v>
      </c>
      <c r="BO2" s="1165">
        <v>42826</v>
      </c>
      <c r="BP2" s="1165">
        <v>42856</v>
      </c>
      <c r="BQ2" s="1165">
        <v>42887</v>
      </c>
      <c r="BR2" s="1165">
        <v>42917</v>
      </c>
      <c r="BS2" s="1165">
        <v>42948</v>
      </c>
      <c r="BT2" s="1165">
        <v>42979</v>
      </c>
      <c r="BU2" s="1165">
        <v>43009</v>
      </c>
      <c r="BV2" s="1165">
        <v>43040</v>
      </c>
    </row>
    <row r="3" spans="2:74" x14ac:dyDescent="0.35">
      <c r="C3" s="1021" t="s">
        <v>1114</v>
      </c>
      <c r="D3" s="582" t="s">
        <v>6</v>
      </c>
      <c r="E3" s="582" t="s">
        <v>6</v>
      </c>
      <c r="F3" s="582" t="s">
        <v>6</v>
      </c>
      <c r="G3" s="582" t="s">
        <v>6</v>
      </c>
      <c r="H3" s="582" t="s">
        <v>6</v>
      </c>
      <c r="I3" s="582" t="s">
        <v>6</v>
      </c>
      <c r="J3" s="582" t="s">
        <v>6</v>
      </c>
      <c r="K3" s="582" t="s">
        <v>6</v>
      </c>
      <c r="L3" s="582" t="s">
        <v>6</v>
      </c>
      <c r="M3" s="582" t="s">
        <v>6</v>
      </c>
      <c r="N3" s="582" t="s">
        <v>6</v>
      </c>
      <c r="O3" s="582" t="s">
        <v>6</v>
      </c>
      <c r="P3" s="582" t="s">
        <v>6</v>
      </c>
      <c r="Q3" s="582" t="s">
        <v>6</v>
      </c>
      <c r="R3" s="582" t="s">
        <v>6</v>
      </c>
      <c r="S3" s="582" t="s">
        <v>6</v>
      </c>
      <c r="T3" s="582" t="s">
        <v>6</v>
      </c>
      <c r="U3" s="582" t="s">
        <v>6</v>
      </c>
      <c r="V3" s="582" t="s">
        <v>6</v>
      </c>
      <c r="W3" s="582" t="s">
        <v>6</v>
      </c>
      <c r="X3" s="582" t="s">
        <v>6</v>
      </c>
      <c r="Y3" s="582" t="s">
        <v>6</v>
      </c>
      <c r="Z3" s="582" t="s">
        <v>6</v>
      </c>
      <c r="AA3" s="582" t="s">
        <v>6</v>
      </c>
      <c r="AB3" s="232" t="s">
        <v>7</v>
      </c>
      <c r="AC3" s="232" t="s">
        <v>7</v>
      </c>
      <c r="AD3" s="232" t="s">
        <v>7</v>
      </c>
      <c r="AE3" s="232" t="s">
        <v>7</v>
      </c>
      <c r="AF3" s="232" t="s">
        <v>7</v>
      </c>
      <c r="AG3" s="232" t="s">
        <v>7</v>
      </c>
      <c r="AH3" s="232" t="s">
        <v>7</v>
      </c>
      <c r="AI3" s="232" t="s">
        <v>7</v>
      </c>
      <c r="AJ3" s="232" t="s">
        <v>7</v>
      </c>
      <c r="AK3" s="232" t="s">
        <v>7</v>
      </c>
      <c r="AL3" s="232" t="s">
        <v>7</v>
      </c>
      <c r="AM3" s="232" t="s">
        <v>7</v>
      </c>
      <c r="AN3" s="232" t="s">
        <v>7</v>
      </c>
      <c r="AO3" s="232" t="s">
        <v>7</v>
      </c>
      <c r="AP3" s="232" t="s">
        <v>7</v>
      </c>
      <c r="AQ3" s="232" t="s">
        <v>7</v>
      </c>
      <c r="AR3" s="232" t="s">
        <v>7</v>
      </c>
      <c r="AS3" s="232" t="s">
        <v>7</v>
      </c>
      <c r="AT3" s="232" t="s">
        <v>7</v>
      </c>
      <c r="AU3" s="232" t="s">
        <v>7</v>
      </c>
      <c r="AV3" s="232" t="s">
        <v>7</v>
      </c>
      <c r="AW3" s="232" t="s">
        <v>7</v>
      </c>
      <c r="AX3" s="232" t="s">
        <v>7</v>
      </c>
      <c r="AY3" s="232" t="s">
        <v>7</v>
      </c>
      <c r="AZ3" s="232" t="s">
        <v>7</v>
      </c>
      <c r="BA3" s="232" t="s">
        <v>7</v>
      </c>
      <c r="BB3" s="232" t="s">
        <v>7</v>
      </c>
      <c r="BC3" s="232" t="s">
        <v>7</v>
      </c>
      <c r="BD3" s="232" t="s">
        <v>7</v>
      </c>
      <c r="BE3" s="232" t="s">
        <v>7</v>
      </c>
      <c r="BF3" s="232" t="s">
        <v>7</v>
      </c>
      <c r="BG3" s="232" t="s">
        <v>7</v>
      </c>
      <c r="BH3" s="232" t="s">
        <v>7</v>
      </c>
      <c r="BI3" s="232" t="s">
        <v>7</v>
      </c>
      <c r="BJ3" s="232" t="s">
        <v>7</v>
      </c>
      <c r="BK3" s="232" t="s">
        <v>7</v>
      </c>
      <c r="BL3" s="232" t="s">
        <v>7</v>
      </c>
      <c r="BM3" s="232" t="s">
        <v>7</v>
      </c>
      <c r="BN3" s="232" t="s">
        <v>7</v>
      </c>
      <c r="BO3" s="232" t="s">
        <v>7</v>
      </c>
      <c r="BP3" s="232" t="s">
        <v>7</v>
      </c>
      <c r="BQ3" s="232" t="s">
        <v>7</v>
      </c>
      <c r="BR3" s="232" t="s">
        <v>7</v>
      </c>
      <c r="BS3" s="232" t="s">
        <v>7</v>
      </c>
      <c r="BT3" s="232" t="s">
        <v>7</v>
      </c>
      <c r="BU3" s="232" t="s">
        <v>7</v>
      </c>
      <c r="BV3" s="232" t="s">
        <v>7</v>
      </c>
    </row>
    <row r="4" spans="2:74" x14ac:dyDescent="0.35">
      <c r="B4" s="652" t="s">
        <v>1071</v>
      </c>
      <c r="C4" s="41"/>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row>
    <row r="5" spans="2:74" x14ac:dyDescent="0.35">
      <c r="B5" s="41"/>
      <c r="C5" s="41"/>
      <c r="D5" s="895"/>
      <c r="E5" s="895"/>
      <c r="F5" s="406"/>
      <c r="G5" s="406"/>
      <c r="H5" s="406"/>
      <c r="I5" s="406"/>
      <c r="J5" s="406"/>
      <c r="K5" s="406"/>
      <c r="L5" s="406"/>
      <c r="M5" s="406"/>
      <c r="N5" s="406"/>
      <c r="O5" s="406"/>
      <c r="P5" s="406"/>
      <c r="Q5" s="406"/>
      <c r="R5" s="406"/>
      <c r="S5" s="406"/>
      <c r="T5" s="406"/>
      <c r="U5" s="406"/>
      <c r="V5" s="406"/>
      <c r="W5" s="406"/>
      <c r="X5" s="406"/>
      <c r="Y5" s="406"/>
      <c r="Z5" s="406"/>
      <c r="AA5" s="406"/>
      <c r="AB5" s="406"/>
      <c r="AC5" s="406"/>
    </row>
    <row r="6" spans="2:74" x14ac:dyDescent="0.35">
      <c r="B6" s="41"/>
      <c r="C6" s="575" t="s">
        <v>221</v>
      </c>
      <c r="D6" s="896"/>
      <c r="E6" s="896"/>
      <c r="F6" s="896"/>
      <c r="G6" s="406"/>
      <c r="H6" s="406"/>
      <c r="I6" s="406"/>
      <c r="J6" s="406"/>
      <c r="K6" s="406"/>
      <c r="L6" s="406"/>
      <c r="M6" s="406"/>
      <c r="N6" s="406"/>
      <c r="O6" s="406"/>
      <c r="P6" s="406"/>
      <c r="Q6" s="406"/>
      <c r="R6" s="406"/>
      <c r="S6" s="406"/>
      <c r="T6" s="406"/>
      <c r="U6" s="406"/>
      <c r="V6" s="406"/>
      <c r="W6" s="406"/>
      <c r="X6" s="406"/>
      <c r="Y6" s="406"/>
      <c r="Z6" s="406"/>
      <c r="AA6" s="406"/>
      <c r="AB6" s="406"/>
      <c r="AC6" s="406"/>
    </row>
    <row r="7" spans="2:74" x14ac:dyDescent="0.35">
      <c r="B7" s="41"/>
      <c r="C7" s="1171" t="s">
        <v>223</v>
      </c>
      <c r="D7" s="439"/>
      <c r="E7" s="439"/>
      <c r="F7" s="439"/>
      <c r="G7" s="439"/>
      <c r="H7" s="439"/>
      <c r="I7" s="439"/>
      <c r="J7" s="439"/>
      <c r="K7" s="439"/>
      <c r="L7" s="439"/>
      <c r="M7" s="439"/>
      <c r="N7" s="439"/>
      <c r="O7" s="439"/>
      <c r="P7" s="439">
        <v>68568.25</v>
      </c>
      <c r="Q7" s="439">
        <v>81802.92</v>
      </c>
      <c r="R7" s="439">
        <v>90480.9</v>
      </c>
      <c r="S7" s="439">
        <v>97542.61</v>
      </c>
      <c r="T7" s="439">
        <v>112808.73</v>
      </c>
      <c r="U7" s="439">
        <v>114358.57</v>
      </c>
      <c r="V7" s="439">
        <v>133498.74</v>
      </c>
      <c r="W7" s="439">
        <v>118553.86</v>
      </c>
      <c r="X7" s="439">
        <v>120864.5</v>
      </c>
      <c r="Y7" s="439">
        <v>135994.17000000001</v>
      </c>
      <c r="Z7" s="439">
        <v>145638.19</v>
      </c>
      <c r="AA7" s="439">
        <v>506348.82</v>
      </c>
      <c r="AB7" s="406"/>
      <c r="AC7" s="406"/>
    </row>
    <row r="8" spans="2:74" x14ac:dyDescent="0.35">
      <c r="B8" s="41"/>
      <c r="C8" s="1173" t="s">
        <v>1161</v>
      </c>
      <c r="D8" s="1167"/>
      <c r="E8" s="1167"/>
      <c r="F8" s="1167"/>
      <c r="G8" s="1167"/>
      <c r="H8" s="1167"/>
      <c r="I8" s="1167"/>
      <c r="J8" s="1167"/>
      <c r="K8" s="1167"/>
      <c r="L8" s="1167"/>
      <c r="M8" s="1167"/>
      <c r="N8" s="1167"/>
      <c r="O8" s="1167"/>
      <c r="P8" s="1168"/>
      <c r="Q8" s="1168"/>
      <c r="R8" s="1168"/>
      <c r="S8" s="1168"/>
      <c r="T8" s="1168"/>
      <c r="U8" s="1168"/>
      <c r="V8" s="1168"/>
      <c r="W8" s="1168"/>
      <c r="X8" s="1168"/>
      <c r="Y8" s="1168"/>
      <c r="Z8" s="1168"/>
      <c r="AA8" s="1168"/>
      <c r="AB8" s="1162"/>
      <c r="AC8" s="1162"/>
    </row>
    <row r="9" spans="2:74" outlineLevel="1" x14ac:dyDescent="0.35">
      <c r="B9" s="41"/>
      <c r="C9" s="1166" t="s">
        <v>1163</v>
      </c>
      <c r="D9" s="439"/>
      <c r="E9" s="439"/>
      <c r="F9" s="439"/>
      <c r="G9" s="439"/>
      <c r="H9" s="439"/>
      <c r="I9" s="439"/>
      <c r="J9" s="439"/>
      <c r="K9" s="439"/>
      <c r="L9" s="439"/>
      <c r="M9" s="439"/>
      <c r="N9" s="439"/>
      <c r="O9" s="439"/>
      <c r="P9" s="439">
        <v>0</v>
      </c>
      <c r="Q9" s="439">
        <v>0</v>
      </c>
      <c r="R9" s="439">
        <v>0</v>
      </c>
      <c r="S9" s="439">
        <v>0</v>
      </c>
      <c r="T9" s="439">
        <v>0</v>
      </c>
      <c r="U9" s="439">
        <v>0</v>
      </c>
      <c r="V9" s="439">
        <v>0</v>
      </c>
      <c r="W9" s="439">
        <v>0</v>
      </c>
      <c r="X9" s="439">
        <v>0</v>
      </c>
      <c r="Y9" s="439">
        <v>0</v>
      </c>
      <c r="Z9" s="439">
        <v>0</v>
      </c>
      <c r="AA9" s="439">
        <v>99585.87</v>
      </c>
      <c r="AB9" s="406"/>
      <c r="AC9" s="406"/>
    </row>
    <row r="10" spans="2:74" outlineLevel="1" x14ac:dyDescent="0.35">
      <c r="B10" s="41"/>
      <c r="C10" s="1166" t="s">
        <v>1164</v>
      </c>
      <c r="D10" s="900"/>
      <c r="E10" s="900"/>
      <c r="F10" s="900"/>
      <c r="G10" s="900"/>
      <c r="H10" s="900"/>
      <c r="I10" s="900"/>
      <c r="J10" s="900"/>
      <c r="K10" s="900"/>
      <c r="L10" s="900"/>
      <c r="M10" s="900"/>
      <c r="N10" s="900"/>
      <c r="O10" s="900"/>
      <c r="P10" s="898">
        <v>0</v>
      </c>
      <c r="Q10" s="898">
        <v>0</v>
      </c>
      <c r="R10" s="898">
        <v>0</v>
      </c>
      <c r="S10" s="898">
        <v>0</v>
      </c>
      <c r="T10" s="898">
        <v>0</v>
      </c>
      <c r="U10" s="898">
        <v>0</v>
      </c>
      <c r="V10" s="898">
        <v>0</v>
      </c>
      <c r="W10" s="898">
        <v>0</v>
      </c>
      <c r="X10" s="898">
        <v>0</v>
      </c>
      <c r="Y10" s="898">
        <v>0</v>
      </c>
      <c r="Z10" s="898">
        <v>0</v>
      </c>
      <c r="AA10" s="898">
        <v>276316.79999999999</v>
      </c>
      <c r="AB10" s="406"/>
      <c r="AC10" s="406"/>
    </row>
    <row r="11" spans="2:74" outlineLevel="1" x14ac:dyDescent="0.35">
      <c r="B11" s="41"/>
      <c r="C11" s="1169" t="s">
        <v>1162</v>
      </c>
      <c r="D11" s="1170"/>
      <c r="E11" s="1170"/>
      <c r="F11" s="1170"/>
      <c r="G11" s="1170"/>
      <c r="H11" s="1170"/>
      <c r="I11" s="1170"/>
      <c r="J11" s="1170"/>
      <c r="K11" s="1170"/>
      <c r="L11" s="1170"/>
      <c r="M11" s="1170"/>
      <c r="N11" s="1170"/>
      <c r="O11" s="1170"/>
      <c r="P11" s="1170">
        <f t="shared" ref="P11:AA11" si="0">SUM(P9:P10)</f>
        <v>0</v>
      </c>
      <c r="Q11" s="1170">
        <f t="shared" si="0"/>
        <v>0</v>
      </c>
      <c r="R11" s="1170">
        <f t="shared" si="0"/>
        <v>0</v>
      </c>
      <c r="S11" s="1170">
        <f t="shared" si="0"/>
        <v>0</v>
      </c>
      <c r="T11" s="1170">
        <f t="shared" si="0"/>
        <v>0</v>
      </c>
      <c r="U11" s="1170">
        <f t="shared" si="0"/>
        <v>0</v>
      </c>
      <c r="V11" s="1170">
        <f t="shared" si="0"/>
        <v>0</v>
      </c>
      <c r="W11" s="1170">
        <f t="shared" si="0"/>
        <v>0</v>
      </c>
      <c r="X11" s="1170">
        <f t="shared" si="0"/>
        <v>0</v>
      </c>
      <c r="Y11" s="1170">
        <f t="shared" si="0"/>
        <v>0</v>
      </c>
      <c r="Z11" s="1170">
        <f t="shared" si="0"/>
        <v>0</v>
      </c>
      <c r="AA11" s="1170">
        <f t="shared" si="0"/>
        <v>375902.67</v>
      </c>
      <c r="AB11" s="1170">
        <f t="shared" ref="AB11" si="1">SUM(AB9:AB10)</f>
        <v>0</v>
      </c>
      <c r="AC11" s="1170">
        <f t="shared" ref="AC11" si="2">SUM(AC9:AC10)</f>
        <v>0</v>
      </c>
    </row>
    <row r="12" spans="2:74" x14ac:dyDescent="0.35">
      <c r="B12" s="41"/>
      <c r="C12" s="1173" t="s">
        <v>1165</v>
      </c>
      <c r="D12" s="1167"/>
      <c r="E12" s="1167"/>
      <c r="F12" s="1167"/>
      <c r="G12" s="1167"/>
      <c r="H12" s="1167"/>
      <c r="I12" s="1167"/>
      <c r="J12" s="1167"/>
      <c r="K12" s="1167"/>
      <c r="L12" s="1167"/>
      <c r="M12" s="1167"/>
      <c r="N12" s="1167"/>
      <c r="O12" s="1167"/>
      <c r="P12" s="1168"/>
      <c r="Q12" s="1168"/>
      <c r="R12" s="1168"/>
      <c r="S12" s="1168"/>
      <c r="T12" s="1168"/>
      <c r="U12" s="1168"/>
      <c r="V12" s="1168"/>
      <c r="W12" s="1168"/>
      <c r="X12" s="1168"/>
      <c r="Y12" s="1168"/>
      <c r="Z12" s="1168"/>
      <c r="AA12" s="1168"/>
      <c r="AB12" s="1162"/>
      <c r="AC12" s="1162"/>
    </row>
    <row r="13" spans="2:74" outlineLevel="1" x14ac:dyDescent="0.35">
      <c r="B13" s="41"/>
      <c r="C13" s="46" t="s">
        <v>1176</v>
      </c>
      <c r="D13" s="439"/>
      <c r="E13" s="439"/>
      <c r="F13" s="439"/>
      <c r="G13" s="439"/>
      <c r="H13" s="439"/>
      <c r="I13" s="439"/>
      <c r="J13" s="439"/>
      <c r="K13" s="439"/>
      <c r="L13" s="439"/>
      <c r="M13" s="439"/>
      <c r="N13" s="439"/>
      <c r="O13" s="439"/>
      <c r="P13" s="439">
        <v>41925.589999999997</v>
      </c>
      <c r="Q13" s="439">
        <v>43942</v>
      </c>
      <c r="R13" s="439">
        <v>51922.04</v>
      </c>
      <c r="S13" s="439">
        <v>58523.040000000001</v>
      </c>
      <c r="T13" s="439">
        <v>65837.039999999994</v>
      </c>
      <c r="U13" s="439">
        <v>74714</v>
      </c>
      <c r="V13" s="439">
        <v>88747</v>
      </c>
      <c r="W13" s="439">
        <v>73638</v>
      </c>
      <c r="X13" s="439">
        <v>75260</v>
      </c>
      <c r="Y13" s="439">
        <v>93190.75</v>
      </c>
      <c r="Z13" s="439">
        <v>102867.23</v>
      </c>
      <c r="AA13" s="439">
        <v>83461.86</v>
      </c>
      <c r="AB13" s="406"/>
      <c r="AC13" s="406"/>
    </row>
    <row r="14" spans="2:74" outlineLevel="1" x14ac:dyDescent="0.35">
      <c r="B14" s="41"/>
      <c r="C14" s="46" t="s">
        <v>1166</v>
      </c>
      <c r="D14" s="439"/>
      <c r="E14" s="439"/>
      <c r="F14" s="439"/>
      <c r="G14" s="439"/>
      <c r="H14" s="439"/>
      <c r="I14" s="439"/>
      <c r="J14" s="439"/>
      <c r="K14" s="439"/>
      <c r="L14" s="439"/>
      <c r="M14" s="439"/>
      <c r="N14" s="439"/>
      <c r="O14" s="439"/>
      <c r="P14" s="439">
        <v>0</v>
      </c>
      <c r="Q14" s="439">
        <v>0</v>
      </c>
      <c r="R14" s="439">
        <v>0</v>
      </c>
      <c r="S14" s="439">
        <v>0</v>
      </c>
      <c r="T14" s="439">
        <v>0</v>
      </c>
      <c r="U14" s="439">
        <v>0</v>
      </c>
      <c r="V14" s="439">
        <v>0</v>
      </c>
      <c r="W14" s="439">
        <v>0</v>
      </c>
      <c r="X14" s="439">
        <v>0</v>
      </c>
      <c r="Y14" s="439">
        <v>0</v>
      </c>
      <c r="Z14" s="439">
        <v>0</v>
      </c>
      <c r="AA14" s="439">
        <v>0</v>
      </c>
      <c r="AB14" s="406"/>
      <c r="AC14" s="406"/>
    </row>
    <row r="15" spans="2:74" outlineLevel="1" x14ac:dyDescent="0.35">
      <c r="B15" s="41"/>
      <c r="C15" s="46" t="s">
        <v>1167</v>
      </c>
      <c r="D15" s="439"/>
      <c r="E15" s="439"/>
      <c r="F15" s="439"/>
      <c r="G15" s="439"/>
      <c r="H15" s="439"/>
      <c r="I15" s="439"/>
      <c r="J15" s="439"/>
      <c r="K15" s="439"/>
      <c r="L15" s="439"/>
      <c r="M15" s="439"/>
      <c r="N15" s="439"/>
      <c r="O15" s="439"/>
      <c r="P15" s="439">
        <v>0</v>
      </c>
      <c r="Q15" s="439">
        <v>0</v>
      </c>
      <c r="R15" s="439">
        <v>0</v>
      </c>
      <c r="S15" s="439">
        <v>0</v>
      </c>
      <c r="T15" s="439">
        <v>4750.53</v>
      </c>
      <c r="U15" s="439">
        <v>0</v>
      </c>
      <c r="V15" s="439">
        <v>0</v>
      </c>
      <c r="W15" s="439">
        <v>1000.67</v>
      </c>
      <c r="X15" s="439">
        <v>1000</v>
      </c>
      <c r="Y15" s="439">
        <v>500</v>
      </c>
      <c r="Z15" s="439">
        <v>501.07</v>
      </c>
      <c r="AA15" s="439">
        <v>3501.77</v>
      </c>
      <c r="AB15" s="406"/>
      <c r="AC15" s="406"/>
    </row>
    <row r="16" spans="2:74" outlineLevel="1" x14ac:dyDescent="0.35">
      <c r="B16" s="41"/>
      <c r="C16" s="46" t="s">
        <v>1168</v>
      </c>
      <c r="D16" s="439"/>
      <c r="E16" s="439"/>
      <c r="F16" s="439"/>
      <c r="G16" s="439"/>
      <c r="H16" s="439"/>
      <c r="I16" s="439"/>
      <c r="J16" s="439"/>
      <c r="K16" s="439"/>
      <c r="L16" s="439"/>
      <c r="M16" s="439"/>
      <c r="N16" s="439"/>
      <c r="O16" s="439"/>
      <c r="P16" s="439">
        <v>26642.66</v>
      </c>
      <c r="Q16" s="439">
        <v>37860.92</v>
      </c>
      <c r="R16" s="439">
        <v>38558.86</v>
      </c>
      <c r="S16" s="439">
        <v>39019.57</v>
      </c>
      <c r="T16" s="439">
        <v>42221.16</v>
      </c>
      <c r="U16" s="439">
        <v>39644.57</v>
      </c>
      <c r="V16" s="439">
        <v>44751.74</v>
      </c>
      <c r="W16" s="439">
        <v>43915.19</v>
      </c>
      <c r="X16" s="439">
        <v>44604.5</v>
      </c>
      <c r="Y16" s="439">
        <v>42303.42</v>
      </c>
      <c r="Z16" s="439">
        <v>42269.89</v>
      </c>
      <c r="AA16" s="439">
        <v>43130.84</v>
      </c>
      <c r="AB16" s="406"/>
      <c r="AC16" s="406"/>
    </row>
    <row r="17" spans="2:45" outlineLevel="1" x14ac:dyDescent="0.35">
      <c r="B17" s="41"/>
      <c r="C17" s="1169" t="s">
        <v>1177</v>
      </c>
      <c r="D17" s="1170"/>
      <c r="E17" s="1170"/>
      <c r="F17" s="1170"/>
      <c r="G17" s="1170"/>
      <c r="H17" s="1170"/>
      <c r="I17" s="1170"/>
      <c r="J17" s="1170"/>
      <c r="K17" s="1170"/>
      <c r="L17" s="1170"/>
      <c r="M17" s="1170"/>
      <c r="N17" s="1170"/>
      <c r="O17" s="1170"/>
      <c r="P17" s="1170">
        <f t="shared" ref="P17:AC17" si="3">SUM(P13:P16)</f>
        <v>68568.25</v>
      </c>
      <c r="Q17" s="1170">
        <f t="shared" si="3"/>
        <v>81802.92</v>
      </c>
      <c r="R17" s="1170">
        <f t="shared" si="3"/>
        <v>90480.9</v>
      </c>
      <c r="S17" s="1170">
        <f t="shared" si="3"/>
        <v>97542.61</v>
      </c>
      <c r="T17" s="1170">
        <f t="shared" si="3"/>
        <v>112808.73</v>
      </c>
      <c r="U17" s="1170">
        <f t="shared" si="3"/>
        <v>114358.57</v>
      </c>
      <c r="V17" s="1170">
        <f t="shared" si="3"/>
        <v>133498.74</v>
      </c>
      <c r="W17" s="1170">
        <f t="shared" si="3"/>
        <v>118553.86</v>
      </c>
      <c r="X17" s="1170">
        <f t="shared" si="3"/>
        <v>120864.5</v>
      </c>
      <c r="Y17" s="1170">
        <f t="shared" si="3"/>
        <v>135994.16999999998</v>
      </c>
      <c r="Z17" s="1170">
        <f t="shared" si="3"/>
        <v>145638.19</v>
      </c>
      <c r="AA17" s="1170">
        <f t="shared" si="3"/>
        <v>130094.47</v>
      </c>
      <c r="AB17" s="1170">
        <f t="shared" si="3"/>
        <v>0</v>
      </c>
      <c r="AC17" s="1170">
        <f t="shared" si="3"/>
        <v>0</v>
      </c>
    </row>
    <row r="18" spans="2:45" x14ac:dyDescent="0.35">
      <c r="B18" s="41"/>
      <c r="C18" s="1171" t="s">
        <v>1169</v>
      </c>
      <c r="D18" s="439"/>
      <c r="E18" s="439"/>
      <c r="F18" s="439"/>
      <c r="G18" s="439"/>
      <c r="H18" s="439"/>
      <c r="I18" s="439"/>
      <c r="J18" s="439"/>
      <c r="K18" s="439"/>
      <c r="L18" s="439"/>
      <c r="M18" s="439"/>
      <c r="N18" s="439"/>
      <c r="O18" s="439"/>
      <c r="P18" s="439">
        <v>1019534.02</v>
      </c>
      <c r="Q18" s="439">
        <v>1241014.96</v>
      </c>
      <c r="R18" s="439">
        <v>1362313.49</v>
      </c>
      <c r="S18" s="439">
        <v>1392493.31</v>
      </c>
      <c r="T18" s="439">
        <v>1348735.31</v>
      </c>
      <c r="U18" s="439">
        <v>1146631.24</v>
      </c>
      <c r="V18" s="439">
        <v>1178908.0900000001</v>
      </c>
      <c r="W18" s="439">
        <v>1194857.31</v>
      </c>
      <c r="X18" s="439">
        <v>1346716.8</v>
      </c>
      <c r="Y18" s="439">
        <v>1545437.35</v>
      </c>
      <c r="Z18" s="439">
        <v>1239368.58</v>
      </c>
      <c r="AA18" s="439">
        <f>AA19+AA20</f>
        <v>1084636.5699999998</v>
      </c>
      <c r="AB18" s="406"/>
      <c r="AC18" s="406"/>
    </row>
    <row r="19" spans="2:45" outlineLevel="1" x14ac:dyDescent="0.35">
      <c r="B19" s="41"/>
      <c r="C19" s="1166" t="s">
        <v>1170</v>
      </c>
      <c r="D19" s="439"/>
      <c r="E19" s="900"/>
      <c r="F19" s="900"/>
      <c r="G19" s="900"/>
      <c r="H19" s="900"/>
      <c r="I19" s="900"/>
      <c r="J19" s="900"/>
      <c r="K19" s="900"/>
      <c r="L19" s="900"/>
      <c r="M19" s="900"/>
      <c r="N19" s="900"/>
      <c r="O19" s="900"/>
      <c r="P19" s="900">
        <v>640681.41</v>
      </c>
      <c r="Q19" s="900">
        <v>667837.99</v>
      </c>
      <c r="R19" s="900">
        <v>778085.72</v>
      </c>
      <c r="S19" s="900">
        <v>801253.1</v>
      </c>
      <c r="T19" s="900">
        <v>730121.52</v>
      </c>
      <c r="U19" s="900">
        <v>554371.15</v>
      </c>
      <c r="V19" s="900">
        <v>533038.06000000006</v>
      </c>
      <c r="W19" s="900">
        <v>591687.92000000004</v>
      </c>
      <c r="X19" s="900">
        <v>668977.99</v>
      </c>
      <c r="Y19" s="898">
        <v>768533.24</v>
      </c>
      <c r="Z19" s="898">
        <v>570118.77</v>
      </c>
      <c r="AA19" s="898">
        <v>579714.57999999996</v>
      </c>
      <c r="AB19" s="406"/>
      <c r="AC19" s="406"/>
      <c r="AS19" s="898">
        <v>276316.79999999999</v>
      </c>
    </row>
    <row r="20" spans="2:45" outlineLevel="1" x14ac:dyDescent="0.35">
      <c r="B20" s="41"/>
      <c r="C20" s="1166" t="s">
        <v>1171</v>
      </c>
      <c r="D20" s="439"/>
      <c r="E20" s="900"/>
      <c r="F20" s="900"/>
      <c r="G20" s="900"/>
      <c r="H20" s="900"/>
      <c r="I20" s="900"/>
      <c r="J20" s="900"/>
      <c r="K20" s="900"/>
      <c r="L20" s="900"/>
      <c r="M20" s="900"/>
      <c r="N20" s="900"/>
      <c r="O20" s="900"/>
      <c r="P20" s="900">
        <v>378852.61</v>
      </c>
      <c r="Q20" s="900">
        <v>573176.97</v>
      </c>
      <c r="R20" s="900">
        <v>584227.77</v>
      </c>
      <c r="S20" s="900">
        <v>591240.21</v>
      </c>
      <c r="T20" s="900">
        <v>618613.79</v>
      </c>
      <c r="U20" s="900">
        <v>592260.09</v>
      </c>
      <c r="V20" s="900">
        <v>645870.03</v>
      </c>
      <c r="W20" s="900">
        <v>603169.39</v>
      </c>
      <c r="X20" s="900">
        <v>677738.81</v>
      </c>
      <c r="Y20" s="898">
        <v>776904.11</v>
      </c>
      <c r="Z20" s="898">
        <v>669249.81000000006</v>
      </c>
      <c r="AA20" s="898">
        <v>504921.99</v>
      </c>
      <c r="AB20" s="406"/>
      <c r="AC20" s="406"/>
      <c r="AH20" s="900">
        <v>378852.61</v>
      </c>
      <c r="AI20" s="900">
        <v>573176.97</v>
      </c>
      <c r="AJ20" s="900">
        <v>584227.77</v>
      </c>
      <c r="AK20" s="900">
        <v>591240.21</v>
      </c>
      <c r="AL20" s="900">
        <v>618613.79</v>
      </c>
      <c r="AM20" s="900">
        <v>592260.09</v>
      </c>
      <c r="AN20" s="900">
        <v>645870.03</v>
      </c>
      <c r="AO20" s="900">
        <v>603169.39</v>
      </c>
      <c r="AP20" s="900">
        <v>677738.81</v>
      </c>
      <c r="AQ20" s="898">
        <v>776904.11</v>
      </c>
      <c r="AR20" s="898">
        <v>669249.81000000006</v>
      </c>
      <c r="AS20" s="898">
        <v>504821.99</v>
      </c>
    </row>
    <row r="21" spans="2:45" x14ac:dyDescent="0.35">
      <c r="B21" s="41"/>
      <c r="C21" s="1171" t="s">
        <v>1172</v>
      </c>
      <c r="D21" s="439">
        <v>595548.63982311776</v>
      </c>
      <c r="E21" s="439">
        <v>580440.09466499661</v>
      </c>
      <c r="F21" s="439">
        <v>671595.83191365201</v>
      </c>
      <c r="G21" s="439">
        <v>660069.11362604168</v>
      </c>
      <c r="H21" s="439">
        <v>740347.44057044201</v>
      </c>
      <c r="I21" s="439">
        <v>669721.04084395675</v>
      </c>
      <c r="J21" s="439">
        <v>657184.24009060545</v>
      </c>
      <c r="K21" s="439">
        <v>678064.25643054035</v>
      </c>
      <c r="L21" s="439">
        <v>608564.75511571288</v>
      </c>
      <c r="M21" s="439">
        <v>952364.663915299</v>
      </c>
      <c r="N21" s="439">
        <v>1014359.5598609357</v>
      </c>
      <c r="O21" s="439">
        <v>528197.921392838</v>
      </c>
      <c r="P21" s="439">
        <v>0</v>
      </c>
      <c r="Q21" s="439">
        <v>0</v>
      </c>
      <c r="R21" s="439">
        <v>0</v>
      </c>
      <c r="S21" s="439">
        <v>0</v>
      </c>
      <c r="T21" s="439">
        <v>0</v>
      </c>
      <c r="U21" s="439">
        <v>0</v>
      </c>
      <c r="V21" s="439">
        <v>0</v>
      </c>
      <c r="W21" s="439">
        <v>0</v>
      </c>
      <c r="X21" s="439">
        <v>0</v>
      </c>
      <c r="Y21" s="439">
        <v>0</v>
      </c>
      <c r="Z21" s="439">
        <v>0</v>
      </c>
      <c r="AA21" s="439">
        <v>0</v>
      </c>
      <c r="AB21" s="406"/>
      <c r="AC21" s="406"/>
      <c r="AH21" s="900"/>
      <c r="AI21" s="900"/>
      <c r="AJ21" s="900"/>
      <c r="AK21" s="900"/>
      <c r="AL21" s="900"/>
      <c r="AM21" s="900"/>
      <c r="AN21" s="900"/>
      <c r="AO21" s="900"/>
      <c r="AP21" s="900"/>
      <c r="AQ21" s="898"/>
      <c r="AR21" s="898"/>
      <c r="AS21" s="406"/>
    </row>
    <row r="22" spans="2:45" x14ac:dyDescent="0.35">
      <c r="B22" s="41"/>
      <c r="C22" s="1171" t="s">
        <v>1173</v>
      </c>
      <c r="D22" s="439">
        <v>480551.16999999993</v>
      </c>
      <c r="E22" s="439">
        <v>447063.2999999997</v>
      </c>
      <c r="F22" s="439">
        <v>494259.43000000005</v>
      </c>
      <c r="G22" s="439">
        <v>480383.95000000036</v>
      </c>
      <c r="H22" s="439">
        <v>542539.2100000002</v>
      </c>
      <c r="I22" s="439">
        <v>534126.98000000033</v>
      </c>
      <c r="J22" s="439">
        <v>550080.10999999894</v>
      </c>
      <c r="K22" s="439">
        <v>536258.29000000015</v>
      </c>
      <c r="L22" s="439">
        <v>552620.18999999913</v>
      </c>
      <c r="M22" s="439">
        <v>603240.44000000088</v>
      </c>
      <c r="N22" s="439">
        <v>613875.14000000036</v>
      </c>
      <c r="O22" s="439">
        <v>612595.48000000056</v>
      </c>
      <c r="P22" s="439">
        <v>1073.4000000000001</v>
      </c>
      <c r="Q22" s="439">
        <v>-78.42</v>
      </c>
      <c r="R22" s="439">
        <v>-2232.1999999999998</v>
      </c>
      <c r="S22" s="439">
        <v>-117.6</v>
      </c>
      <c r="T22" s="439">
        <v>69.599999999999994</v>
      </c>
      <c r="U22" s="439">
        <v>69.599999999999994</v>
      </c>
      <c r="V22" s="439">
        <v>237.6</v>
      </c>
      <c r="W22" s="439">
        <v>6000</v>
      </c>
      <c r="X22" s="439">
        <v>16117.6</v>
      </c>
      <c r="Y22" s="439">
        <v>0</v>
      </c>
      <c r="Z22" s="439">
        <v>0</v>
      </c>
      <c r="AA22" s="439">
        <v>3000</v>
      </c>
      <c r="AB22" s="406"/>
      <c r="AC22" s="406"/>
    </row>
    <row r="23" spans="2:45" x14ac:dyDescent="0.35">
      <c r="B23" s="41"/>
      <c r="C23" s="1171" t="s">
        <v>1175</v>
      </c>
      <c r="D23" s="439"/>
      <c r="E23" s="439"/>
      <c r="F23" s="439"/>
      <c r="G23" s="439"/>
      <c r="H23" s="439"/>
      <c r="I23" s="439"/>
      <c r="J23" s="439"/>
      <c r="K23" s="439"/>
      <c r="L23" s="439"/>
      <c r="M23" s="439"/>
      <c r="N23" s="439"/>
      <c r="O23" s="439"/>
      <c r="P23" s="439">
        <v>0</v>
      </c>
      <c r="Q23" s="439">
        <v>0</v>
      </c>
      <c r="R23" s="439">
        <v>0</v>
      </c>
      <c r="S23" s="439">
        <v>0</v>
      </c>
      <c r="T23" s="439">
        <v>0</v>
      </c>
      <c r="U23" s="439">
        <v>5000</v>
      </c>
      <c r="V23" s="439">
        <v>0</v>
      </c>
      <c r="W23" s="439">
        <v>9600</v>
      </c>
      <c r="X23" s="439">
        <v>0</v>
      </c>
      <c r="Y23" s="439">
        <v>0</v>
      </c>
      <c r="Z23" s="439">
        <v>0</v>
      </c>
      <c r="AA23" s="439">
        <v>0</v>
      </c>
      <c r="AB23" s="406"/>
      <c r="AC23" s="406"/>
    </row>
    <row r="24" spans="2:45" ht="15" thickBot="1" x14ac:dyDescent="0.4">
      <c r="B24" s="41"/>
      <c r="C24" s="1171" t="s">
        <v>1174</v>
      </c>
      <c r="D24" s="1054">
        <v>25039.321666666667</v>
      </c>
      <c r="E24" s="1054">
        <v>25039.321666666667</v>
      </c>
      <c r="F24" s="1054">
        <v>25039.321666666667</v>
      </c>
      <c r="G24" s="1054">
        <v>25039.321666666667</v>
      </c>
      <c r="H24" s="1054">
        <v>25039.321666666667</v>
      </c>
      <c r="I24" s="1054">
        <v>25039.321666666667</v>
      </c>
      <c r="J24" s="1054">
        <v>25039.321666666667</v>
      </c>
      <c r="K24" s="1054">
        <v>25039.321666666667</v>
      </c>
      <c r="L24" s="1054">
        <v>25039.321666666667</v>
      </c>
      <c r="M24" s="1054">
        <v>25039.321666666667</v>
      </c>
      <c r="N24" s="1054">
        <v>25039.321666666667</v>
      </c>
      <c r="O24" s="1054">
        <v>25039.321666666667</v>
      </c>
      <c r="P24" s="1054">
        <v>0</v>
      </c>
      <c r="Q24" s="1054">
        <v>-2140</v>
      </c>
      <c r="R24" s="1054">
        <v>3942.5</v>
      </c>
      <c r="S24" s="1054">
        <v>0</v>
      </c>
      <c r="T24" s="1054">
        <v>1000</v>
      </c>
      <c r="U24" s="1054">
        <v>500</v>
      </c>
      <c r="V24" s="1054">
        <v>500</v>
      </c>
      <c r="W24" s="1054">
        <v>500</v>
      </c>
      <c r="X24" s="1054">
        <v>500</v>
      </c>
      <c r="Y24" s="1054">
        <v>500</v>
      </c>
      <c r="Z24" s="1054">
        <v>500</v>
      </c>
      <c r="AA24" s="1054">
        <v>573.17999999999995</v>
      </c>
      <c r="AB24" s="406"/>
      <c r="AC24" s="406"/>
    </row>
    <row r="25" spans="2:45" x14ac:dyDescent="0.35">
      <c r="B25" s="130"/>
      <c r="C25" s="912" t="s">
        <v>341</v>
      </c>
      <c r="D25" s="1172">
        <f t="shared" ref="D25:AC25" si="4">D7+D18+D21++D22+D24+D23</f>
        <v>1101139.1314897845</v>
      </c>
      <c r="E25" s="1172">
        <f t="shared" si="4"/>
        <v>1052542.7163316631</v>
      </c>
      <c r="F25" s="1172">
        <f t="shared" si="4"/>
        <v>1190894.5835803188</v>
      </c>
      <c r="G25" s="1172">
        <f t="shared" si="4"/>
        <v>1165492.3852927089</v>
      </c>
      <c r="H25" s="1172">
        <f t="shared" si="4"/>
        <v>1307925.972237109</v>
      </c>
      <c r="I25" s="1172">
        <f t="shared" si="4"/>
        <v>1228887.3425106239</v>
      </c>
      <c r="J25" s="1172">
        <f t="shared" si="4"/>
        <v>1232303.671757271</v>
      </c>
      <c r="K25" s="1172">
        <f t="shared" si="4"/>
        <v>1239361.8680972073</v>
      </c>
      <c r="L25" s="1172">
        <f t="shared" si="4"/>
        <v>1186224.2667823788</v>
      </c>
      <c r="M25" s="1172">
        <f t="shared" si="4"/>
        <v>1580644.4255819665</v>
      </c>
      <c r="N25" s="1172">
        <f t="shared" si="4"/>
        <v>1653274.0215276028</v>
      </c>
      <c r="O25" s="1172">
        <f t="shared" si="4"/>
        <v>1165832.7230595052</v>
      </c>
      <c r="P25" s="1172">
        <f t="shared" si="4"/>
        <v>1089175.67</v>
      </c>
      <c r="Q25" s="1172">
        <f t="shared" si="4"/>
        <v>1320599.46</v>
      </c>
      <c r="R25" s="1172">
        <f t="shared" si="4"/>
        <v>1454504.69</v>
      </c>
      <c r="S25" s="1172">
        <f t="shared" si="4"/>
        <v>1489918.32</v>
      </c>
      <c r="T25" s="1172">
        <f t="shared" si="4"/>
        <v>1462613.6400000001</v>
      </c>
      <c r="U25" s="1172">
        <f t="shared" si="4"/>
        <v>1266559.4100000001</v>
      </c>
      <c r="V25" s="1172">
        <f t="shared" si="4"/>
        <v>1313144.4300000002</v>
      </c>
      <c r="W25" s="1172">
        <f t="shared" si="4"/>
        <v>1329511.1700000002</v>
      </c>
      <c r="X25" s="1172">
        <f t="shared" si="4"/>
        <v>1484198.9000000001</v>
      </c>
      <c r="Y25" s="1172">
        <f t="shared" si="4"/>
        <v>1681931.52</v>
      </c>
      <c r="Z25" s="1172">
        <f t="shared" si="4"/>
        <v>1385506.77</v>
      </c>
      <c r="AA25" s="1172">
        <f t="shared" si="4"/>
        <v>1594558.5699999998</v>
      </c>
      <c r="AB25" s="1172">
        <f t="shared" si="4"/>
        <v>0</v>
      </c>
      <c r="AC25" s="1172">
        <f t="shared" si="4"/>
        <v>0</v>
      </c>
    </row>
    <row r="26" spans="2:45" x14ac:dyDescent="0.35">
      <c r="B26" s="41"/>
      <c r="C26" s="903" t="s">
        <v>921</v>
      </c>
      <c r="D26" s="439"/>
      <c r="E26" s="439"/>
      <c r="F26" s="439"/>
      <c r="G26" s="439"/>
      <c r="H26" s="439"/>
      <c r="I26" s="439"/>
      <c r="J26" s="439"/>
      <c r="K26" s="439"/>
      <c r="L26" s="439"/>
      <c r="M26" s="439"/>
      <c r="N26" s="439"/>
      <c r="O26" s="439"/>
      <c r="P26" s="439"/>
      <c r="Q26" s="439"/>
      <c r="R26" s="439"/>
      <c r="S26" s="439"/>
      <c r="T26" s="439"/>
      <c r="U26" s="439"/>
      <c r="V26" s="439"/>
      <c r="W26" s="439"/>
      <c r="X26" s="439"/>
      <c r="Y26" s="439"/>
      <c r="Z26" s="439"/>
      <c r="AA26" s="439"/>
      <c r="AB26" s="901"/>
      <c r="AC26" s="901"/>
    </row>
    <row r="27" spans="2:45" x14ac:dyDescent="0.35">
      <c r="B27" s="41"/>
      <c r="C27" s="903" t="s">
        <v>75</v>
      </c>
      <c r="D27" s="897"/>
      <c r="E27" s="897"/>
      <c r="F27" s="897"/>
      <c r="G27" s="897"/>
      <c r="H27" s="897"/>
      <c r="I27" s="897"/>
      <c r="J27" s="897"/>
      <c r="K27" s="897"/>
      <c r="L27" s="897"/>
      <c r="M27" s="897"/>
      <c r="N27" s="897"/>
      <c r="O27" s="897"/>
      <c r="P27" s="897"/>
      <c r="Q27" s="897"/>
      <c r="R27" s="897"/>
      <c r="S27" s="897"/>
      <c r="T27" s="897"/>
      <c r="U27" s="897"/>
      <c r="V27" s="897"/>
      <c r="W27" s="897"/>
      <c r="X27" s="897"/>
      <c r="Y27" s="897"/>
      <c r="Z27" s="897"/>
      <c r="AA27" s="897"/>
      <c r="AB27" s="895"/>
      <c r="AC27" s="895"/>
    </row>
    <row r="28" spans="2:45" x14ac:dyDescent="0.35">
      <c r="B28" s="43"/>
      <c r="C28" s="912" t="s">
        <v>171</v>
      </c>
      <c r="D28" s="912">
        <f t="shared" ref="D28:AA28" si="5">SUM(D27:D27)</f>
        <v>0</v>
      </c>
      <c r="E28" s="912">
        <f t="shared" si="5"/>
        <v>0</v>
      </c>
      <c r="F28" s="912">
        <f t="shared" si="5"/>
        <v>0</v>
      </c>
      <c r="G28" s="912">
        <f t="shared" si="5"/>
        <v>0</v>
      </c>
      <c r="H28" s="912">
        <f t="shared" si="5"/>
        <v>0</v>
      </c>
      <c r="I28" s="912">
        <f t="shared" si="5"/>
        <v>0</v>
      </c>
      <c r="J28" s="912">
        <f t="shared" si="5"/>
        <v>0</v>
      </c>
      <c r="K28" s="912">
        <f t="shared" si="5"/>
        <v>0</v>
      </c>
      <c r="L28" s="912">
        <f t="shared" si="5"/>
        <v>0</v>
      </c>
      <c r="M28" s="912">
        <f t="shared" si="5"/>
        <v>0</v>
      </c>
      <c r="N28" s="912">
        <f t="shared" si="5"/>
        <v>0</v>
      </c>
      <c r="O28" s="912">
        <f t="shared" si="5"/>
        <v>0</v>
      </c>
      <c r="P28" s="912">
        <f t="shared" si="5"/>
        <v>0</v>
      </c>
      <c r="Q28" s="912">
        <f t="shared" si="5"/>
        <v>0</v>
      </c>
      <c r="R28" s="912">
        <f t="shared" si="5"/>
        <v>0</v>
      </c>
      <c r="S28" s="912">
        <f t="shared" si="5"/>
        <v>0</v>
      </c>
      <c r="T28" s="912">
        <f t="shared" si="5"/>
        <v>0</v>
      </c>
      <c r="U28" s="912">
        <f t="shared" si="5"/>
        <v>0</v>
      </c>
      <c r="V28" s="912">
        <f t="shared" si="5"/>
        <v>0</v>
      </c>
      <c r="W28" s="912">
        <f t="shared" si="5"/>
        <v>0</v>
      </c>
      <c r="X28" s="912">
        <f t="shared" si="5"/>
        <v>0</v>
      </c>
      <c r="Y28" s="912">
        <f t="shared" si="5"/>
        <v>0</v>
      </c>
      <c r="Z28" s="912">
        <f t="shared" si="5"/>
        <v>0</v>
      </c>
      <c r="AA28" s="912">
        <f t="shared" si="5"/>
        <v>0</v>
      </c>
      <c r="AB28" s="912"/>
      <c r="AC28" s="912"/>
    </row>
    <row r="29" spans="2:45" x14ac:dyDescent="0.35">
      <c r="B29" s="41"/>
      <c r="C29" s="41"/>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row>
    <row r="30" spans="2:45" x14ac:dyDescent="0.35">
      <c r="B30" s="41"/>
      <c r="C30" s="41" t="s">
        <v>919</v>
      </c>
      <c r="D30" s="439">
        <v>546019.07999999996</v>
      </c>
      <c r="E30" s="439">
        <v>519306.79</v>
      </c>
      <c r="F30" s="439">
        <v>622977.17000000004</v>
      </c>
      <c r="G30" s="439">
        <v>1540331.14</v>
      </c>
      <c r="H30" s="439">
        <v>991374.74</v>
      </c>
      <c r="I30" s="439">
        <v>594570.25</v>
      </c>
      <c r="J30" s="439">
        <v>632570.43999999994</v>
      </c>
      <c r="K30" s="439">
        <v>626130.56999999995</v>
      </c>
      <c r="L30" s="439">
        <v>547220.94999999995</v>
      </c>
      <c r="M30" s="439">
        <v>1074987.08</v>
      </c>
      <c r="N30" s="439">
        <v>773927.14</v>
      </c>
      <c r="O30" s="439">
        <v>-650356.31000000006</v>
      </c>
      <c r="P30" s="439">
        <v>1089175.67</v>
      </c>
      <c r="Q30" s="439">
        <v>1320599.46</v>
      </c>
      <c r="R30" s="439">
        <v>1454504.69</v>
      </c>
      <c r="S30" s="439">
        <v>1489918.32</v>
      </c>
      <c r="T30" s="439">
        <v>1462613.64</v>
      </c>
      <c r="U30" s="439">
        <v>1266559.4099999999</v>
      </c>
      <c r="V30" s="439">
        <v>1313144.43</v>
      </c>
      <c r="W30" s="439">
        <v>1329511.17</v>
      </c>
      <c r="X30" s="439">
        <v>1484198.9</v>
      </c>
      <c r="Y30" s="439">
        <v>1681931.52</v>
      </c>
      <c r="Z30" s="439">
        <v>1385506.77</v>
      </c>
      <c r="AA30" s="439">
        <v>1245866.8899999999</v>
      </c>
      <c r="AB30" s="406"/>
      <c r="AC30" s="406"/>
    </row>
    <row r="31" spans="2:45" x14ac:dyDescent="0.35">
      <c r="B31" s="41"/>
      <c r="C31" s="41" t="s">
        <v>856</v>
      </c>
      <c r="D31" s="406">
        <f t="shared" ref="D31:O31" si="6">D30-D25</f>
        <v>-555120.0514897845</v>
      </c>
      <c r="E31" s="406">
        <f t="shared" si="6"/>
        <v>-533235.92633166304</v>
      </c>
      <c r="F31" s="406">
        <f t="shared" si="6"/>
        <v>-567917.4135803188</v>
      </c>
      <c r="G31" s="406">
        <f t="shared" si="6"/>
        <v>374838.75470729102</v>
      </c>
      <c r="H31" s="406">
        <f t="shared" si="6"/>
        <v>-316551.23223710898</v>
      </c>
      <c r="I31" s="406">
        <f t="shared" si="6"/>
        <v>-634317.09251062386</v>
      </c>
      <c r="J31" s="406">
        <f t="shared" si="6"/>
        <v>-599733.2317572711</v>
      </c>
      <c r="K31" s="406">
        <f t="shared" si="6"/>
        <v>-613231.29809720733</v>
      </c>
      <c r="L31" s="406">
        <f t="shared" si="6"/>
        <v>-639003.31678237882</v>
      </c>
      <c r="M31" s="406">
        <f t="shared" si="6"/>
        <v>-505657.34558196645</v>
      </c>
      <c r="N31" s="406">
        <f t="shared" si="6"/>
        <v>-879346.88152760279</v>
      </c>
      <c r="O31" s="406">
        <f t="shared" si="6"/>
        <v>-1816189.0330595053</v>
      </c>
      <c r="P31" s="406">
        <f t="shared" ref="P31:AA31" si="7">P30-P25</f>
        <v>0</v>
      </c>
      <c r="Q31" s="406">
        <f t="shared" si="7"/>
        <v>0</v>
      </c>
      <c r="R31" s="406">
        <f t="shared" si="7"/>
        <v>0</v>
      </c>
      <c r="S31" s="406">
        <f t="shared" si="7"/>
        <v>0</v>
      </c>
      <c r="T31" s="406">
        <f t="shared" si="7"/>
        <v>0</v>
      </c>
      <c r="U31" s="406">
        <f t="shared" si="7"/>
        <v>0</v>
      </c>
      <c r="V31" s="406">
        <f t="shared" si="7"/>
        <v>0</v>
      </c>
      <c r="W31" s="406">
        <f t="shared" si="7"/>
        <v>0</v>
      </c>
      <c r="X31" s="406">
        <f t="shared" si="7"/>
        <v>0</v>
      </c>
      <c r="Y31" s="406">
        <f t="shared" si="7"/>
        <v>0</v>
      </c>
      <c r="Z31" s="406">
        <f t="shared" si="7"/>
        <v>0</v>
      </c>
      <c r="AA31" s="406">
        <f t="shared" si="7"/>
        <v>-348691.67999999993</v>
      </c>
      <c r="AB31" s="406"/>
      <c r="AC31" s="406"/>
    </row>
    <row r="32" spans="2:45" x14ac:dyDescent="0.35">
      <c r="B32" s="41"/>
      <c r="C32" s="41"/>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row>
    <row r="33" spans="2:29" x14ac:dyDescent="0.35">
      <c r="B33" s="894" t="s">
        <v>1072</v>
      </c>
      <c r="C33" s="41"/>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row>
    <row r="34" spans="2:29" x14ac:dyDescent="0.35">
      <c r="B34" s="579"/>
      <c r="C34" s="41"/>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row>
    <row r="35" spans="2:29" x14ac:dyDescent="0.35">
      <c r="B35" s="579"/>
      <c r="C35" s="902" t="s">
        <v>431</v>
      </c>
      <c r="D35" s="905">
        <v>55200.63</v>
      </c>
      <c r="E35" s="905">
        <v>83001.38</v>
      </c>
      <c r="F35" s="905">
        <v>69062.2</v>
      </c>
      <c r="G35" s="905">
        <v>64531.28</v>
      </c>
      <c r="H35" s="905">
        <v>78665.539999999994</v>
      </c>
      <c r="I35" s="905">
        <v>53254.64</v>
      </c>
      <c r="J35" s="905">
        <v>1678.3</v>
      </c>
      <c r="K35" s="905">
        <v>3945.4</v>
      </c>
      <c r="L35" s="905">
        <v>5756.65</v>
      </c>
      <c r="M35" s="905">
        <v>-18046.11</v>
      </c>
      <c r="N35" s="905">
        <v>42838.21</v>
      </c>
      <c r="O35" s="905">
        <v>27193.06</v>
      </c>
      <c r="P35" s="904">
        <v>-1098.21</v>
      </c>
      <c r="Q35" s="904">
        <v>2837.5</v>
      </c>
      <c r="R35" s="904">
        <v>12753.99</v>
      </c>
      <c r="S35" s="904">
        <v>2741.74</v>
      </c>
      <c r="T35" s="904">
        <v>17248.900000000001</v>
      </c>
      <c r="U35" s="904">
        <v>28846.76</v>
      </c>
      <c r="V35" s="904">
        <v>28622.04</v>
      </c>
      <c r="W35" s="904">
        <v>24097.06</v>
      </c>
      <c r="X35" s="904">
        <v>29931.85</v>
      </c>
      <c r="Y35" s="904">
        <v>30267.919999999998</v>
      </c>
      <c r="Z35" s="904">
        <v>27921.73</v>
      </c>
      <c r="AA35" s="904">
        <v>28314.82</v>
      </c>
      <c r="AB35" s="904"/>
      <c r="AC35" s="904"/>
    </row>
    <row r="36" spans="2:29" x14ac:dyDescent="0.35">
      <c r="B36" s="579"/>
      <c r="C36" s="902" t="s">
        <v>432</v>
      </c>
      <c r="D36" s="905">
        <v>58728.57</v>
      </c>
      <c r="E36" s="905">
        <v>71663.520000000004</v>
      </c>
      <c r="F36" s="905">
        <v>83520.800000000003</v>
      </c>
      <c r="G36" s="905">
        <v>74935.45</v>
      </c>
      <c r="H36" s="905">
        <v>71471.37</v>
      </c>
      <c r="I36" s="905">
        <v>120796.54</v>
      </c>
      <c r="J36" s="905">
        <v>122507.09</v>
      </c>
      <c r="K36" s="905">
        <v>33669.919999999998</v>
      </c>
      <c r="L36" s="905">
        <v>96202.1</v>
      </c>
      <c r="M36" s="905">
        <v>72234.86</v>
      </c>
      <c r="N36" s="905">
        <v>87967.43</v>
      </c>
      <c r="O36" s="905">
        <v>222612.28</v>
      </c>
      <c r="P36" s="904">
        <v>63585.19</v>
      </c>
      <c r="Q36" s="904">
        <v>69184.98</v>
      </c>
      <c r="R36" s="904">
        <v>73432.399999999994</v>
      </c>
      <c r="S36" s="904">
        <v>77668.990000000005</v>
      </c>
      <c r="T36" s="904">
        <v>72430.210000000006</v>
      </c>
      <c r="U36" s="904">
        <v>50462.51</v>
      </c>
      <c r="V36" s="904">
        <v>67145.69</v>
      </c>
      <c r="W36" s="904">
        <v>58831.7</v>
      </c>
      <c r="X36" s="904">
        <v>72325.84</v>
      </c>
      <c r="Y36" s="904">
        <v>82483.39</v>
      </c>
      <c r="Z36" s="904">
        <v>69181.919999999998</v>
      </c>
      <c r="AA36" s="904">
        <v>46339.71</v>
      </c>
      <c r="AB36" s="904"/>
      <c r="AC36" s="904"/>
    </row>
    <row r="37" spans="2:29" x14ac:dyDescent="0.35">
      <c r="B37" s="579"/>
      <c r="C37" s="902" t="s">
        <v>430</v>
      </c>
      <c r="D37" s="905">
        <v>0</v>
      </c>
      <c r="E37" s="905">
        <v>139.30000000000001</v>
      </c>
      <c r="F37" s="905">
        <v>995.7</v>
      </c>
      <c r="G37" s="905">
        <v>1186.2</v>
      </c>
      <c r="H37" s="905">
        <v>968.2</v>
      </c>
      <c r="I37" s="905">
        <v>723.98</v>
      </c>
      <c r="J37" s="905">
        <v>0</v>
      </c>
      <c r="K37" s="905">
        <v>0</v>
      </c>
      <c r="L37" s="905">
        <v>0</v>
      </c>
      <c r="M37" s="905">
        <v>0</v>
      </c>
      <c r="N37" s="905">
        <v>0</v>
      </c>
      <c r="O37" s="905">
        <f>1588.7+13.54</f>
        <v>1602.24</v>
      </c>
      <c r="P37" s="904">
        <v>2151.62</v>
      </c>
      <c r="Q37" s="904">
        <v>3892</v>
      </c>
      <c r="R37" s="904">
        <v>12986.84</v>
      </c>
      <c r="S37" s="904">
        <v>5806.66</v>
      </c>
      <c r="T37" s="904">
        <v>7210.7</v>
      </c>
      <c r="U37" s="904">
        <v>5066.55</v>
      </c>
      <c r="V37" s="904">
        <v>4825.6000000000004</v>
      </c>
      <c r="W37" s="904">
        <v>-3939.15</v>
      </c>
      <c r="X37" s="904">
        <v>3205.14</v>
      </c>
      <c r="Y37" s="904">
        <v>4877.79</v>
      </c>
      <c r="Z37" s="908">
        <v>11387.56</v>
      </c>
      <c r="AA37" s="904">
        <v>27348.33</v>
      </c>
      <c r="AB37" s="904"/>
      <c r="AC37" s="904"/>
    </row>
    <row r="38" spans="2:29" x14ac:dyDescent="0.35">
      <c r="B38" s="579" t="s">
        <v>786</v>
      </c>
      <c r="C38" s="902" t="s">
        <v>429</v>
      </c>
      <c r="D38" s="905">
        <v>194.41</v>
      </c>
      <c r="E38" s="905">
        <v>136.19999999999999</v>
      </c>
      <c r="F38" s="905">
        <v>114.9</v>
      </c>
      <c r="G38" s="905">
        <v>0</v>
      </c>
      <c r="H38" s="905">
        <v>0</v>
      </c>
      <c r="I38" s="905">
        <v>211.68</v>
      </c>
      <c r="J38" s="905">
        <v>0</v>
      </c>
      <c r="K38" s="905"/>
      <c r="L38" s="905">
        <v>104.59</v>
      </c>
      <c r="M38" s="905">
        <v>192.13</v>
      </c>
      <c r="N38" s="905">
        <v>0</v>
      </c>
      <c r="O38" s="905">
        <v>0</v>
      </c>
      <c r="P38" s="904">
        <v>0</v>
      </c>
      <c r="Q38" s="904">
        <v>0</v>
      </c>
      <c r="R38" s="904">
        <v>3896.34</v>
      </c>
      <c r="S38" s="904">
        <v>1144.93</v>
      </c>
      <c r="T38" s="904">
        <v>1350.76</v>
      </c>
      <c r="U38" s="904">
        <v>2012.05</v>
      </c>
      <c r="V38" s="904">
        <v>-195.26999999999998</v>
      </c>
      <c r="W38" s="904">
        <v>1801.13</v>
      </c>
      <c r="X38" s="904">
        <v>1578.48</v>
      </c>
      <c r="Y38" s="904">
        <v>1445.45</v>
      </c>
      <c r="Z38" s="904">
        <v>1707.73</v>
      </c>
      <c r="AA38" s="904">
        <f>1186.25+327.5</f>
        <v>1513.75</v>
      </c>
      <c r="AB38" s="904"/>
      <c r="AC38" s="904"/>
    </row>
    <row r="39" spans="2:29" x14ac:dyDescent="0.35">
      <c r="B39" s="579"/>
      <c r="C39" s="912" t="s">
        <v>1073</v>
      </c>
      <c r="D39" s="912">
        <f t="shared" ref="D39:K39" si="8">SUM(D35:D38)</f>
        <v>114123.61</v>
      </c>
      <c r="E39" s="912">
        <f t="shared" si="8"/>
        <v>154940.40000000002</v>
      </c>
      <c r="F39" s="912">
        <f t="shared" si="8"/>
        <v>153693.6</v>
      </c>
      <c r="G39" s="912">
        <f t="shared" si="8"/>
        <v>140652.93</v>
      </c>
      <c r="H39" s="912">
        <f t="shared" si="8"/>
        <v>151105.10999999999</v>
      </c>
      <c r="I39" s="912">
        <f t="shared" si="8"/>
        <v>174986.84</v>
      </c>
      <c r="J39" s="912">
        <f t="shared" si="8"/>
        <v>124185.39</v>
      </c>
      <c r="K39" s="912">
        <f t="shared" si="8"/>
        <v>37615.32</v>
      </c>
      <c r="L39" s="912">
        <f>SUM(L35:L38)</f>
        <v>102063.34</v>
      </c>
      <c r="M39" s="912">
        <f>SUM(M35:M38)</f>
        <v>54380.88</v>
      </c>
      <c r="N39" s="912">
        <f>SUM(N35:N38)</f>
        <v>130805.63999999998</v>
      </c>
      <c r="O39" s="912">
        <f>SUM(O35:O38)</f>
        <v>251407.58</v>
      </c>
      <c r="P39" s="912">
        <f>SUM(P35:P38)</f>
        <v>64638.600000000006</v>
      </c>
      <c r="Q39" s="912">
        <f t="shared" ref="Q39:AA39" si="9">SUM(Q35:Q38)</f>
        <v>75914.48</v>
      </c>
      <c r="R39" s="912">
        <f>SUM(R35:R38)</f>
        <v>103069.56999999999</v>
      </c>
      <c r="S39" s="912">
        <f t="shared" si="9"/>
        <v>87362.32</v>
      </c>
      <c r="T39" s="912">
        <f t="shared" si="9"/>
        <v>98240.57</v>
      </c>
      <c r="U39" s="912">
        <f t="shared" si="9"/>
        <v>86387.87000000001</v>
      </c>
      <c r="V39" s="912">
        <f t="shared" si="9"/>
        <v>100398.06000000001</v>
      </c>
      <c r="W39" s="912">
        <f t="shared" si="9"/>
        <v>80790.740000000005</v>
      </c>
      <c r="X39" s="912">
        <f t="shared" si="9"/>
        <v>107041.31</v>
      </c>
      <c r="Y39" s="912">
        <f t="shared" si="9"/>
        <v>119074.54999999999</v>
      </c>
      <c r="Z39" s="912">
        <f t="shared" si="9"/>
        <v>110198.93999999999</v>
      </c>
      <c r="AA39" s="912">
        <f t="shared" si="9"/>
        <v>103516.61</v>
      </c>
      <c r="AB39" s="912"/>
      <c r="AC39" s="912"/>
    </row>
    <row r="40" spans="2:29" x14ac:dyDescent="0.35">
      <c r="B40" s="579"/>
      <c r="C40" s="902" t="s">
        <v>428</v>
      </c>
      <c r="D40" s="908">
        <v>14202.94</v>
      </c>
      <c r="E40" s="908">
        <v>8662.06</v>
      </c>
      <c r="F40" s="908">
        <v>8132.71</v>
      </c>
      <c r="G40" s="908">
        <v>15395.35</v>
      </c>
      <c r="H40" s="908">
        <v>8790.19</v>
      </c>
      <c r="I40" s="908">
        <v>7974.75</v>
      </c>
      <c r="J40" s="908">
        <v>16314.89</v>
      </c>
      <c r="K40" s="908">
        <v>10885.96</v>
      </c>
      <c r="L40" s="908">
        <v>9763.1</v>
      </c>
      <c r="M40" s="908">
        <v>18132.759999999998</v>
      </c>
      <c r="N40" s="908">
        <v>10404.98</v>
      </c>
      <c r="O40" s="908">
        <v>28630.2</v>
      </c>
      <c r="P40" s="908"/>
      <c r="Q40" s="908"/>
      <c r="R40" s="908"/>
      <c r="S40" s="908"/>
      <c r="T40" s="908"/>
      <c r="U40" s="908"/>
      <c r="V40" s="908"/>
      <c r="W40" s="908"/>
      <c r="X40" s="908"/>
      <c r="Y40" s="908"/>
      <c r="Z40" s="899"/>
      <c r="AA40" s="899"/>
      <c r="AB40" s="899"/>
      <c r="AC40" s="899"/>
    </row>
    <row r="41" spans="2:29" x14ac:dyDescent="0.35">
      <c r="B41" s="579">
        <v>5200</v>
      </c>
      <c r="C41" s="902" t="s">
        <v>377</v>
      </c>
      <c r="D41" s="908">
        <v>2295.54</v>
      </c>
      <c r="E41" s="908">
        <v>8295.6200000000008</v>
      </c>
      <c r="F41" s="908">
        <v>3808.08</v>
      </c>
      <c r="G41" s="908">
        <v>2312.2199999999998</v>
      </c>
      <c r="H41" s="908">
        <v>14312.4</v>
      </c>
      <c r="I41" s="908">
        <v>821.34</v>
      </c>
      <c r="J41" s="908">
        <v>2284.7600000000002</v>
      </c>
      <c r="K41" s="908">
        <v>8288.76</v>
      </c>
      <c r="L41" s="908">
        <v>805</v>
      </c>
      <c r="M41" s="908">
        <v>2321</v>
      </c>
      <c r="N41" s="908">
        <v>11324.88</v>
      </c>
      <c r="O41" s="908">
        <v>808.32</v>
      </c>
      <c r="P41" s="908">
        <v>28986.98</v>
      </c>
      <c r="Q41" s="908">
        <v>27795.119999999999</v>
      </c>
      <c r="R41" s="908">
        <v>35112.93</v>
      </c>
      <c r="S41" s="908">
        <v>64951.85</v>
      </c>
      <c r="T41" s="908">
        <v>41650.379999999997</v>
      </c>
      <c r="U41" s="908">
        <v>41628.949999999997</v>
      </c>
      <c r="V41" s="908">
        <v>46305.83</v>
      </c>
      <c r="W41" s="908">
        <v>47929.09</v>
      </c>
      <c r="X41" s="908">
        <v>55027.8</v>
      </c>
      <c r="Y41" s="908">
        <v>69821.600000000006</v>
      </c>
      <c r="Z41" s="908">
        <v>59081.45</v>
      </c>
      <c r="AA41" s="908">
        <v>34317.17</v>
      </c>
      <c r="AB41" s="899"/>
      <c r="AC41" s="899"/>
    </row>
    <row r="42" spans="2:29" ht="29" x14ac:dyDescent="0.35">
      <c r="B42" s="579"/>
      <c r="C42" s="902" t="s">
        <v>376</v>
      </c>
      <c r="D42" s="908">
        <v>11963.74</v>
      </c>
      <c r="E42" s="908">
        <v>15458.19</v>
      </c>
      <c r="F42" s="908">
        <v>22023.360000000001</v>
      </c>
      <c r="G42" s="908">
        <v>15213.42</v>
      </c>
      <c r="H42" s="908">
        <v>15264.92</v>
      </c>
      <c r="I42" s="908">
        <v>60469.42</v>
      </c>
      <c r="J42" s="908">
        <v>23189.84</v>
      </c>
      <c r="K42" s="908">
        <v>20481.71</v>
      </c>
      <c r="L42" s="908">
        <v>29590.26</v>
      </c>
      <c r="M42" s="908">
        <v>27559.11</v>
      </c>
      <c r="N42" s="908">
        <v>21844.05</v>
      </c>
      <c r="O42" s="908">
        <v>39875.019999999997</v>
      </c>
      <c r="P42" s="908"/>
      <c r="Q42" s="908"/>
      <c r="R42" s="908"/>
      <c r="S42" s="908"/>
      <c r="T42" s="908"/>
      <c r="U42" s="908"/>
      <c r="V42" s="908"/>
      <c r="W42" s="908"/>
      <c r="X42" s="908"/>
      <c r="Y42" s="908"/>
      <c r="Z42" s="899"/>
      <c r="AA42" s="899"/>
      <c r="AB42" s="899"/>
      <c r="AC42" s="899"/>
    </row>
    <row r="43" spans="2:29" x14ac:dyDescent="0.35">
      <c r="B43" s="579"/>
      <c r="C43" s="912" t="s">
        <v>1074</v>
      </c>
      <c r="D43" s="912">
        <f t="shared" ref="D43:O43" si="10">SUM(D40:D42)</f>
        <v>28462.22</v>
      </c>
      <c r="E43" s="912">
        <f t="shared" si="10"/>
        <v>32415.870000000003</v>
      </c>
      <c r="F43" s="912">
        <f t="shared" si="10"/>
        <v>33964.15</v>
      </c>
      <c r="G43" s="912">
        <f t="shared" si="10"/>
        <v>32920.99</v>
      </c>
      <c r="H43" s="912">
        <f t="shared" si="10"/>
        <v>38367.51</v>
      </c>
      <c r="I43" s="912">
        <f t="shared" si="10"/>
        <v>69265.509999999995</v>
      </c>
      <c r="J43" s="912">
        <f t="shared" si="10"/>
        <v>41789.490000000005</v>
      </c>
      <c r="K43" s="912">
        <f t="shared" si="10"/>
        <v>39656.43</v>
      </c>
      <c r="L43" s="912">
        <f t="shared" si="10"/>
        <v>40158.36</v>
      </c>
      <c r="M43" s="912">
        <f t="shared" si="10"/>
        <v>48012.869999999995</v>
      </c>
      <c r="N43" s="912">
        <f t="shared" si="10"/>
        <v>43573.91</v>
      </c>
      <c r="O43" s="912">
        <f t="shared" si="10"/>
        <v>69313.539999999994</v>
      </c>
      <c r="P43" s="912">
        <f>SUM(P40:P42)</f>
        <v>28986.98</v>
      </c>
      <c r="Q43" s="912">
        <f t="shared" ref="Q43:AA43" si="11">SUM(Q40:Q42)</f>
        <v>27795.119999999999</v>
      </c>
      <c r="R43" s="912">
        <f t="shared" si="11"/>
        <v>35112.93</v>
      </c>
      <c r="S43" s="912">
        <f>SUM(S40:S42)</f>
        <v>64951.85</v>
      </c>
      <c r="T43" s="912">
        <f t="shared" si="11"/>
        <v>41650.379999999997</v>
      </c>
      <c r="U43" s="912">
        <f t="shared" si="11"/>
        <v>41628.949999999997</v>
      </c>
      <c r="V43" s="912">
        <f t="shared" si="11"/>
        <v>46305.83</v>
      </c>
      <c r="W43" s="912">
        <f t="shared" si="11"/>
        <v>47929.09</v>
      </c>
      <c r="X43" s="912">
        <f t="shared" si="11"/>
        <v>55027.8</v>
      </c>
      <c r="Y43" s="912">
        <f t="shared" si="11"/>
        <v>69821.600000000006</v>
      </c>
      <c r="Z43" s="912">
        <f t="shared" si="11"/>
        <v>59081.45</v>
      </c>
      <c r="AA43" s="912">
        <f t="shared" si="11"/>
        <v>34317.17</v>
      </c>
      <c r="AB43" s="912"/>
      <c r="AC43" s="912"/>
    </row>
    <row r="44" spans="2:29" x14ac:dyDescent="0.35">
      <c r="B44" s="579"/>
      <c r="C44" s="44"/>
      <c r="D44" s="906"/>
      <c r="E44" s="906"/>
      <c r="F44" s="906"/>
      <c r="G44" s="906"/>
      <c r="H44" s="906"/>
      <c r="I44" s="906"/>
      <c r="J44" s="907"/>
      <c r="K44" s="907"/>
      <c r="L44" s="904"/>
      <c r="M44" s="904"/>
      <c r="N44" s="904"/>
      <c r="O44" s="904"/>
      <c r="P44" s="904"/>
      <c r="Q44" s="904"/>
      <c r="R44" s="904"/>
      <c r="S44" s="904"/>
      <c r="T44" s="904"/>
      <c r="U44" s="904"/>
      <c r="V44" s="904"/>
      <c r="W44" s="904"/>
      <c r="X44" s="904"/>
      <c r="Y44" s="904"/>
      <c r="Z44" s="904"/>
      <c r="AA44" s="904"/>
      <c r="AB44" s="904"/>
      <c r="AC44" s="904"/>
    </row>
    <row r="45" spans="2:29" x14ac:dyDescent="0.35">
      <c r="B45" s="579"/>
      <c r="C45" s="902" t="s">
        <v>10</v>
      </c>
      <c r="D45" s="908">
        <v>4839.25</v>
      </c>
      <c r="E45" s="908">
        <v>1656.37</v>
      </c>
      <c r="F45" s="908">
        <v>3009.42</v>
      </c>
      <c r="G45" s="908">
        <v>7497.12</v>
      </c>
      <c r="H45" s="908">
        <v>2437.17</v>
      </c>
      <c r="I45" s="908">
        <v>2121.61</v>
      </c>
      <c r="J45" s="908">
        <v>5908.06</v>
      </c>
      <c r="K45" s="908">
        <v>4079.51</v>
      </c>
      <c r="L45" s="908">
        <v>4084.08</v>
      </c>
      <c r="M45" s="908">
        <v>3557.09</v>
      </c>
      <c r="N45" s="908">
        <v>5225.32</v>
      </c>
      <c r="O45" s="908">
        <v>5252.58</v>
      </c>
      <c r="P45" s="908">
        <v>3987.09</v>
      </c>
      <c r="Q45" s="908">
        <v>3987.09</v>
      </c>
      <c r="R45" s="908">
        <v>4016</v>
      </c>
      <c r="S45" s="908">
        <v>4057.49</v>
      </c>
      <c r="T45" s="908">
        <v>4128.08</v>
      </c>
      <c r="U45" s="908">
        <v>3590</v>
      </c>
      <c r="V45" s="908">
        <v>4709.04</v>
      </c>
      <c r="W45" s="908">
        <v>4005.04</v>
      </c>
      <c r="X45" s="908">
        <v>4021.38</v>
      </c>
      <c r="Y45" s="908">
        <v>4533.83</v>
      </c>
      <c r="Z45" s="904">
        <v>3944.84</v>
      </c>
      <c r="AA45" s="904">
        <v>4155.47</v>
      </c>
      <c r="AB45" s="904"/>
      <c r="AC45" s="904"/>
    </row>
    <row r="46" spans="2:29" x14ac:dyDescent="0.35">
      <c r="B46" s="579" t="s">
        <v>772</v>
      </c>
      <c r="C46" s="902" t="s">
        <v>424</v>
      </c>
      <c r="D46" s="908">
        <v>500</v>
      </c>
      <c r="E46" s="908">
        <v>507.4</v>
      </c>
      <c r="F46" s="908">
        <v>483.8</v>
      </c>
      <c r="G46" s="908">
        <v>551.85</v>
      </c>
      <c r="H46" s="908">
        <v>630.74</v>
      </c>
      <c r="I46" s="908">
        <v>680.01</v>
      </c>
      <c r="J46" s="908">
        <v>669.36</v>
      </c>
      <c r="K46" s="908">
        <v>706.88</v>
      </c>
      <c r="L46" s="908">
        <v>766.93</v>
      </c>
      <c r="M46" s="908">
        <v>1020.26</v>
      </c>
      <c r="N46" s="908">
        <v>1782.14</v>
      </c>
      <c r="O46" s="908">
        <v>12423.52</v>
      </c>
      <c r="P46" s="909">
        <v>6917.91</v>
      </c>
      <c r="Q46" s="908">
        <v>9259.9500000000007</v>
      </c>
      <c r="R46" s="908">
        <v>7845.1</v>
      </c>
      <c r="S46" s="908">
        <v>6972.84</v>
      </c>
      <c r="T46" s="908">
        <v>9827.35</v>
      </c>
      <c r="U46" s="908">
        <v>9952.869999999999</v>
      </c>
      <c r="V46" s="908">
        <v>10367.83</v>
      </c>
      <c r="W46" s="908">
        <v>24409.91</v>
      </c>
      <c r="X46" s="908">
        <v>18516.379999999997</v>
      </c>
      <c r="Y46" s="908">
        <v>26934.620000000003</v>
      </c>
      <c r="Z46" s="904">
        <v>17529.93</v>
      </c>
      <c r="AA46" s="904">
        <v>17787.809999999998</v>
      </c>
      <c r="AB46" s="904"/>
      <c r="AC46" s="904"/>
    </row>
    <row r="47" spans="2:29" x14ac:dyDescent="0.35">
      <c r="B47" s="579"/>
      <c r="C47" s="902" t="s">
        <v>425</v>
      </c>
      <c r="D47" s="908">
        <v>10700.29</v>
      </c>
      <c r="E47" s="908">
        <v>9648</v>
      </c>
      <c r="F47" s="908">
        <v>8874.1200000000008</v>
      </c>
      <c r="G47" s="908">
        <v>15489</v>
      </c>
      <c r="H47" s="908">
        <v>14715.65</v>
      </c>
      <c r="I47" s="908">
        <v>11399</v>
      </c>
      <c r="J47" s="908">
        <v>11499</v>
      </c>
      <c r="K47" s="908">
        <v>14815.9</v>
      </c>
      <c r="L47" s="908">
        <v>12730</v>
      </c>
      <c r="M47" s="908">
        <v>12475.9</v>
      </c>
      <c r="N47" s="908">
        <v>12475.9</v>
      </c>
      <c r="O47" s="908">
        <v>16713.41</v>
      </c>
      <c r="P47" s="908">
        <v>12772.3</v>
      </c>
      <c r="Q47" s="908">
        <v>21980.42</v>
      </c>
      <c r="R47" s="908">
        <v>13461.46</v>
      </c>
      <c r="S47" s="908">
        <v>22782.3</v>
      </c>
      <c r="T47" s="908">
        <v>14987.9</v>
      </c>
      <c r="U47" s="908">
        <v>15009.8</v>
      </c>
      <c r="V47" s="908">
        <v>8568.65</v>
      </c>
      <c r="W47" s="908">
        <v>15141.06</v>
      </c>
      <c r="X47" s="908">
        <v>15072.8</v>
      </c>
      <c r="Y47" s="908">
        <v>15102.75</v>
      </c>
      <c r="Z47" s="904">
        <v>14952.85</v>
      </c>
      <c r="AA47" s="904">
        <v>15034.71</v>
      </c>
      <c r="AB47" s="904"/>
      <c r="AC47" s="904"/>
    </row>
    <row r="48" spans="2:29" x14ac:dyDescent="0.35">
      <c r="B48" s="579"/>
      <c r="C48" s="902" t="s">
        <v>423</v>
      </c>
      <c r="D48" s="908">
        <v>6122.17</v>
      </c>
      <c r="E48" s="908">
        <v>4726.3900000000003</v>
      </c>
      <c r="F48" s="908">
        <v>4210.46</v>
      </c>
      <c r="G48" s="908">
        <v>4222.1099999999997</v>
      </c>
      <c r="H48" s="908">
        <v>7712.6</v>
      </c>
      <c r="I48" s="908">
        <v>3813.67</v>
      </c>
      <c r="J48" s="908">
        <v>3593</v>
      </c>
      <c r="K48" s="908">
        <v>5171.54</v>
      </c>
      <c r="L48" s="908">
        <v>4396.4399999999996</v>
      </c>
      <c r="M48" s="908">
        <v>4273.17</v>
      </c>
      <c r="N48" s="908">
        <v>3490.64</v>
      </c>
      <c r="O48" s="908">
        <v>4994.3900000000003</v>
      </c>
      <c r="P48" s="908"/>
      <c r="Q48" s="908">
        <v>688.74</v>
      </c>
      <c r="R48" s="908">
        <v>0</v>
      </c>
      <c r="S48" s="908"/>
      <c r="T48" s="908"/>
      <c r="U48" s="908"/>
      <c r="V48" s="908"/>
      <c r="W48" s="908"/>
      <c r="X48" s="908"/>
      <c r="Y48" s="908"/>
      <c r="Z48" s="904"/>
      <c r="AA48" s="904"/>
      <c r="AB48" s="904"/>
      <c r="AC48" s="904"/>
    </row>
    <row r="49" spans="2:29" x14ac:dyDescent="0.35">
      <c r="B49" s="41"/>
      <c r="C49" s="912" t="s">
        <v>1075</v>
      </c>
      <c r="D49" s="912">
        <f>SUM(D45:D48)</f>
        <v>22161.71</v>
      </c>
      <c r="E49" s="912">
        <f t="shared" ref="E49:O49" si="12">SUM(E45:E48)</f>
        <v>16538.16</v>
      </c>
      <c r="F49" s="912">
        <f t="shared" si="12"/>
        <v>16577.8</v>
      </c>
      <c r="G49" s="912">
        <f t="shared" si="12"/>
        <v>27760.080000000002</v>
      </c>
      <c r="H49" s="912">
        <f t="shared" si="12"/>
        <v>25496.159999999996</v>
      </c>
      <c r="I49" s="912">
        <f t="shared" si="12"/>
        <v>18014.29</v>
      </c>
      <c r="J49" s="912">
        <f t="shared" si="12"/>
        <v>21669.42</v>
      </c>
      <c r="K49" s="912">
        <f t="shared" si="12"/>
        <v>24773.83</v>
      </c>
      <c r="L49" s="912">
        <f t="shared" si="12"/>
        <v>21977.45</v>
      </c>
      <c r="M49" s="912">
        <f t="shared" si="12"/>
        <v>21326.42</v>
      </c>
      <c r="N49" s="912">
        <f t="shared" si="12"/>
        <v>22974</v>
      </c>
      <c r="O49" s="912">
        <f t="shared" si="12"/>
        <v>39383.899999999994</v>
      </c>
      <c r="P49" s="912">
        <f>SUM(P45:P48)</f>
        <v>23677.3</v>
      </c>
      <c r="Q49" s="912">
        <f t="shared" ref="Q49:AA49" si="13">SUM(Q45:Q48)</f>
        <v>35916.199999999997</v>
      </c>
      <c r="R49" s="912">
        <f t="shared" si="13"/>
        <v>25322.559999999998</v>
      </c>
      <c r="S49" s="912">
        <f>SUM(S45:S48)</f>
        <v>33812.629999999997</v>
      </c>
      <c r="T49" s="912">
        <f t="shared" si="13"/>
        <v>28943.33</v>
      </c>
      <c r="U49" s="912">
        <f t="shared" si="13"/>
        <v>28552.67</v>
      </c>
      <c r="V49" s="912">
        <f t="shared" si="13"/>
        <v>23645.519999999997</v>
      </c>
      <c r="W49" s="912">
        <f t="shared" si="13"/>
        <v>43556.01</v>
      </c>
      <c r="X49" s="912">
        <f t="shared" si="13"/>
        <v>37610.559999999998</v>
      </c>
      <c r="Y49" s="912">
        <f t="shared" si="13"/>
        <v>46571.200000000004</v>
      </c>
      <c r="Z49" s="912">
        <f t="shared" si="13"/>
        <v>36427.620000000003</v>
      </c>
      <c r="AA49" s="912">
        <f t="shared" si="13"/>
        <v>36977.99</v>
      </c>
      <c r="AB49" s="912"/>
      <c r="AC49" s="912"/>
    </row>
    <row r="50" spans="2:29" x14ac:dyDescent="0.35">
      <c r="B50" s="41"/>
      <c r="C50" s="902" t="s">
        <v>426</v>
      </c>
      <c r="D50" s="910">
        <v>10445.799999999999</v>
      </c>
      <c r="E50" s="908">
        <v>10394.540000000001</v>
      </c>
      <c r="F50" s="908">
        <v>10108.16</v>
      </c>
      <c r="G50" s="908">
        <v>11944.02</v>
      </c>
      <c r="H50" s="908">
        <v>12156.73</v>
      </c>
      <c r="I50" s="908">
        <v>13849.1</v>
      </c>
      <c r="J50" s="908">
        <v>13345.27</v>
      </c>
      <c r="K50" s="908">
        <v>13220.77</v>
      </c>
      <c r="L50" s="908">
        <v>13674.55</v>
      </c>
      <c r="M50" s="908">
        <v>14896.31</v>
      </c>
      <c r="N50" s="908">
        <v>16046.49</v>
      </c>
      <c r="O50" s="908">
        <v>15641.92</v>
      </c>
      <c r="P50" s="908"/>
      <c r="Q50" s="908"/>
      <c r="R50" s="908"/>
      <c r="S50" s="908"/>
      <c r="T50" s="908"/>
      <c r="U50" s="908"/>
      <c r="V50" s="908"/>
      <c r="W50" s="908"/>
      <c r="X50" s="908"/>
      <c r="Y50" s="908"/>
      <c r="Z50" s="904"/>
      <c r="AA50" s="904"/>
      <c r="AB50" s="904"/>
      <c r="AC50" s="904"/>
    </row>
    <row r="51" spans="2:29" ht="29" x14ac:dyDescent="0.35">
      <c r="B51" s="41">
        <v>5100</v>
      </c>
      <c r="C51" s="902" t="s">
        <v>427</v>
      </c>
      <c r="D51" s="910">
        <v>10131.049999999999</v>
      </c>
      <c r="E51" s="908">
        <v>9885.2199999999993</v>
      </c>
      <c r="F51" s="908">
        <v>10074.540000000001</v>
      </c>
      <c r="G51" s="908">
        <v>13980.16</v>
      </c>
      <c r="H51" s="908">
        <v>14443.31</v>
      </c>
      <c r="I51" s="908">
        <v>14763.85</v>
      </c>
      <c r="J51" s="908">
        <v>13502</v>
      </c>
      <c r="K51" s="908">
        <v>13450.9</v>
      </c>
      <c r="L51" s="908">
        <v>13211.34</v>
      </c>
      <c r="M51" s="908">
        <v>14810.7</v>
      </c>
      <c r="N51" s="908">
        <v>17794.63</v>
      </c>
      <c r="O51" s="908">
        <v>16115.43</v>
      </c>
      <c r="P51" s="908">
        <v>15810.7</v>
      </c>
      <c r="Q51" s="908">
        <v>28578.89</v>
      </c>
      <c r="R51" s="908">
        <v>27683.75</v>
      </c>
      <c r="S51" s="908">
        <v>32422.07</v>
      </c>
      <c r="T51" s="908">
        <v>30649.41</v>
      </c>
      <c r="U51" s="908">
        <v>36002.61</v>
      </c>
      <c r="V51" s="908">
        <v>37367.67</v>
      </c>
      <c r="W51" s="908">
        <v>30284.080000000002</v>
      </c>
      <c r="X51" s="908">
        <v>35976.410000000003</v>
      </c>
      <c r="Y51" s="908">
        <v>43264.55</v>
      </c>
      <c r="Z51" s="908">
        <v>35930.800000000003</v>
      </c>
      <c r="AA51" s="908">
        <v>34944.81</v>
      </c>
      <c r="AB51" s="904"/>
      <c r="AC51" s="904"/>
    </row>
    <row r="52" spans="2:29" x14ac:dyDescent="0.35">
      <c r="B52" s="41"/>
      <c r="C52" s="912" t="s">
        <v>1076</v>
      </c>
      <c r="D52" s="912">
        <f t="shared" ref="D52:O52" si="14">SUM(D50:D51)</f>
        <v>20576.849999999999</v>
      </c>
      <c r="E52" s="912">
        <f t="shared" si="14"/>
        <v>20279.760000000002</v>
      </c>
      <c r="F52" s="912">
        <f t="shared" si="14"/>
        <v>20182.7</v>
      </c>
      <c r="G52" s="912">
        <f t="shared" si="14"/>
        <v>25924.18</v>
      </c>
      <c r="H52" s="912">
        <f t="shared" si="14"/>
        <v>26600.04</v>
      </c>
      <c r="I52" s="912">
        <f t="shared" si="14"/>
        <v>28612.95</v>
      </c>
      <c r="J52" s="912">
        <f t="shared" si="14"/>
        <v>26847.27</v>
      </c>
      <c r="K52" s="912">
        <f t="shared" si="14"/>
        <v>26671.67</v>
      </c>
      <c r="L52" s="912">
        <f t="shared" si="14"/>
        <v>26885.89</v>
      </c>
      <c r="M52" s="912">
        <f t="shared" si="14"/>
        <v>29707.010000000002</v>
      </c>
      <c r="N52" s="912">
        <f t="shared" si="14"/>
        <v>33841.120000000003</v>
      </c>
      <c r="O52" s="912">
        <f t="shared" si="14"/>
        <v>31757.35</v>
      </c>
      <c r="P52" s="912">
        <f>SUM(P50:P51)</f>
        <v>15810.7</v>
      </c>
      <c r="Q52" s="912">
        <f t="shared" ref="Q52:AA52" si="15">SUM(Q50:Q51)</f>
        <v>28578.89</v>
      </c>
      <c r="R52" s="912">
        <f t="shared" si="15"/>
        <v>27683.75</v>
      </c>
      <c r="S52" s="912">
        <f t="shared" si="15"/>
        <v>32422.07</v>
      </c>
      <c r="T52" s="912">
        <f t="shared" si="15"/>
        <v>30649.41</v>
      </c>
      <c r="U52" s="912">
        <f t="shared" si="15"/>
        <v>36002.61</v>
      </c>
      <c r="V52" s="912">
        <f t="shared" si="15"/>
        <v>37367.67</v>
      </c>
      <c r="W52" s="912">
        <f t="shared" si="15"/>
        <v>30284.080000000002</v>
      </c>
      <c r="X52" s="912">
        <f t="shared" si="15"/>
        <v>35976.410000000003</v>
      </c>
      <c r="Y52" s="912">
        <f t="shared" si="15"/>
        <v>43264.55</v>
      </c>
      <c r="Z52" s="912">
        <f t="shared" si="15"/>
        <v>35930.800000000003</v>
      </c>
      <c r="AA52" s="912">
        <f t="shared" si="15"/>
        <v>34944.81</v>
      </c>
      <c r="AB52" s="912"/>
      <c r="AC52" s="912"/>
    </row>
    <row r="53" spans="2:29" x14ac:dyDescent="0.35">
      <c r="B53" s="41"/>
      <c r="C53" s="41"/>
      <c r="D53" s="906"/>
      <c r="E53" s="906"/>
      <c r="F53" s="906"/>
      <c r="G53" s="906"/>
      <c r="H53" s="906"/>
      <c r="I53" s="906"/>
      <c r="J53" s="904"/>
      <c r="K53" s="904"/>
      <c r="L53" s="904"/>
      <c r="M53" s="904"/>
      <c r="N53" s="904"/>
      <c r="O53" s="904"/>
      <c r="P53" s="904"/>
      <c r="Q53" s="904"/>
      <c r="R53" s="904"/>
      <c r="S53" s="904"/>
      <c r="T53" s="904"/>
      <c r="U53" s="904"/>
      <c r="V53" s="904"/>
      <c r="W53" s="904"/>
      <c r="X53" s="904"/>
      <c r="Y53" s="904"/>
      <c r="Z53" s="904"/>
      <c r="AA53" s="904"/>
      <c r="AB53" s="904"/>
      <c r="AC53" s="904"/>
    </row>
    <row r="54" spans="2:29" x14ac:dyDescent="0.35">
      <c r="B54" s="41"/>
      <c r="C54" s="916" t="s">
        <v>492</v>
      </c>
      <c r="D54" s="916">
        <f>+D52+D49+D43+D39</f>
        <v>185324.39</v>
      </c>
      <c r="E54" s="916">
        <f t="shared" ref="E54:AA54" si="16">+E52+E49+E43+E39</f>
        <v>224174.19000000003</v>
      </c>
      <c r="F54" s="916">
        <f t="shared" si="16"/>
        <v>224418.25</v>
      </c>
      <c r="G54" s="916">
        <f t="shared" si="16"/>
        <v>227258.18</v>
      </c>
      <c r="H54" s="916">
        <f t="shared" si="16"/>
        <v>241568.81999999998</v>
      </c>
      <c r="I54" s="916">
        <f t="shared" si="16"/>
        <v>290879.58999999997</v>
      </c>
      <c r="J54" s="916">
        <f t="shared" si="16"/>
        <v>214491.57</v>
      </c>
      <c r="K54" s="916">
        <f t="shared" si="16"/>
        <v>128717.25</v>
      </c>
      <c r="L54" s="916">
        <f t="shared" si="16"/>
        <v>191085.03999999998</v>
      </c>
      <c r="M54" s="916">
        <f t="shared" si="16"/>
        <v>153427.18</v>
      </c>
      <c r="N54" s="916">
        <f t="shared" si="16"/>
        <v>231194.66999999998</v>
      </c>
      <c r="O54" s="916">
        <f t="shared" si="16"/>
        <v>391862.37</v>
      </c>
      <c r="P54" s="916">
        <f t="shared" si="16"/>
        <v>133113.58000000002</v>
      </c>
      <c r="Q54" s="916">
        <f t="shared" si="16"/>
        <v>168204.69</v>
      </c>
      <c r="R54" s="916">
        <f t="shared" si="16"/>
        <v>191188.81</v>
      </c>
      <c r="S54" s="916">
        <f t="shared" si="16"/>
        <v>218548.87</v>
      </c>
      <c r="T54" s="916">
        <f t="shared" si="16"/>
        <v>199483.69</v>
      </c>
      <c r="U54" s="916">
        <f t="shared" si="16"/>
        <v>192572.1</v>
      </c>
      <c r="V54" s="916">
        <f t="shared" si="16"/>
        <v>207717.08000000002</v>
      </c>
      <c r="W54" s="916">
        <f t="shared" si="16"/>
        <v>202559.91999999998</v>
      </c>
      <c r="X54" s="916">
        <f t="shared" si="16"/>
        <v>235656.08000000002</v>
      </c>
      <c r="Y54" s="916">
        <f t="shared" si="16"/>
        <v>278731.90000000002</v>
      </c>
      <c r="Z54" s="916">
        <f t="shared" si="16"/>
        <v>241638.81</v>
      </c>
      <c r="AA54" s="916">
        <f t="shared" si="16"/>
        <v>209756.58</v>
      </c>
      <c r="AB54" s="916"/>
      <c r="AC54" s="916"/>
    </row>
    <row r="55" spans="2:29" x14ac:dyDescent="0.35">
      <c r="B55" s="41"/>
      <c r="C55" s="41" t="s">
        <v>919</v>
      </c>
      <c r="D55" s="904">
        <v>185324</v>
      </c>
      <c r="E55" s="904">
        <v>224174</v>
      </c>
      <c r="F55" s="904">
        <v>224418</v>
      </c>
      <c r="G55" s="904">
        <v>227258</v>
      </c>
      <c r="H55" s="904">
        <v>241569</v>
      </c>
      <c r="I55" s="904">
        <v>290880</v>
      </c>
      <c r="J55" s="904">
        <v>214492</v>
      </c>
      <c r="K55" s="904">
        <v>128717</v>
      </c>
      <c r="L55" s="904">
        <v>191085</v>
      </c>
      <c r="M55" s="904">
        <v>153427</v>
      </c>
      <c r="N55" s="904">
        <v>231195</v>
      </c>
      <c r="O55" s="904">
        <v>391863</v>
      </c>
      <c r="P55" s="904"/>
      <c r="Q55" s="904"/>
      <c r="R55" s="904">
        <v>191188.81</v>
      </c>
      <c r="S55" s="904">
        <v>218549</v>
      </c>
      <c r="T55" s="904"/>
      <c r="U55" s="904"/>
      <c r="V55" s="904"/>
      <c r="W55" s="904"/>
      <c r="X55" s="904"/>
      <c r="Y55" s="904"/>
      <c r="Z55" s="904">
        <v>241638.81</v>
      </c>
      <c r="AA55" s="904">
        <v>209756.58</v>
      </c>
      <c r="AB55" s="904"/>
      <c r="AC55" s="904"/>
    </row>
    <row r="56" spans="2:29" x14ac:dyDescent="0.35">
      <c r="B56" s="41"/>
      <c r="C56" s="41" t="s">
        <v>856</v>
      </c>
      <c r="D56" s="406">
        <f>+D54-D55</f>
        <v>0.39000000001396984</v>
      </c>
      <c r="E56" s="406">
        <f>+E54-E55</f>
        <v>0.19000000003143214</v>
      </c>
      <c r="F56" s="406">
        <f t="shared" ref="F56:O56" si="17">+F54-F55</f>
        <v>0.25</v>
      </c>
      <c r="G56" s="406">
        <f t="shared" si="17"/>
        <v>0.17999999999301508</v>
      </c>
      <c r="H56" s="406">
        <f t="shared" si="17"/>
        <v>-0.18000000002211891</v>
      </c>
      <c r="I56" s="406">
        <f t="shared" si="17"/>
        <v>-0.41000000003259629</v>
      </c>
      <c r="J56" s="406">
        <f t="shared" si="17"/>
        <v>-0.42999999999301508</v>
      </c>
      <c r="K56" s="406">
        <f t="shared" si="17"/>
        <v>0.25</v>
      </c>
      <c r="L56" s="406">
        <f t="shared" si="17"/>
        <v>3.9999999979045242E-2</v>
      </c>
      <c r="M56" s="406">
        <f t="shared" si="17"/>
        <v>0.17999999999301508</v>
      </c>
      <c r="N56" s="406">
        <f t="shared" si="17"/>
        <v>-0.33000000001629815</v>
      </c>
      <c r="O56" s="406">
        <f t="shared" si="17"/>
        <v>-0.63000000000465661</v>
      </c>
      <c r="P56" s="406"/>
      <c r="Q56" s="406"/>
      <c r="R56" s="406">
        <f>+R55-R54</f>
        <v>0</v>
      </c>
      <c r="S56" s="406">
        <f>+S55-S54</f>
        <v>0.13000000000465661</v>
      </c>
      <c r="T56" s="406"/>
      <c r="U56" s="406"/>
      <c r="V56" s="406"/>
      <c r="W56" s="406"/>
      <c r="X56" s="406"/>
      <c r="Y56" s="406"/>
      <c r="Z56" s="406">
        <f>+Z55-Z54</f>
        <v>0</v>
      </c>
      <c r="AA56" s="406">
        <f>+AA55-AA54</f>
        <v>0</v>
      </c>
      <c r="AB56" s="406"/>
      <c r="AC56" s="406"/>
    </row>
  </sheetData>
  <pageMargins left="0.7" right="0.7" top="0.75" bottom="0.75" header="0.3" footer="0.3"/>
  <pageSetup orientation="portrait" horizontalDpi="0" verticalDpi="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XFD1534"/>
  <sheetViews>
    <sheetView zoomScale="80" zoomScaleNormal="80" workbookViewId="0">
      <pane xSplit="6" ySplit="4" topLeftCell="G171" activePane="bottomRight" state="frozen"/>
      <selection activeCell="C20" sqref="C20"/>
      <selection pane="topRight" activeCell="C20" sqref="C20"/>
      <selection pane="bottomLeft" activeCell="C20" sqref="C20"/>
      <selection pane="bottomRight" activeCell="K341" sqref="K341"/>
    </sheetView>
  </sheetViews>
  <sheetFormatPr defaultColWidth="9.1796875" defaultRowHeight="14.5" outlineLevelRow="1" outlineLevelCol="1" x14ac:dyDescent="0.35"/>
  <cols>
    <col min="1" max="1" width="13.1796875" style="438" hidden="1" customWidth="1"/>
    <col min="2" max="4" width="8.1796875" style="438" hidden="1" customWidth="1"/>
    <col min="5" max="5" width="12.54296875" style="438" hidden="1" customWidth="1"/>
    <col min="6" max="6" width="49.54296875" style="438" bestFit="1" customWidth="1"/>
    <col min="7" max="7" width="14.26953125" style="438" customWidth="1" outlineLevel="1"/>
    <col min="8" max="8" width="13.54296875" style="438" customWidth="1" outlineLevel="1"/>
    <col min="9" max="14" width="14.26953125" style="438" customWidth="1" outlineLevel="1"/>
    <col min="15" max="15" width="14.1796875" style="438" customWidth="1" outlineLevel="1"/>
    <col min="16" max="16" width="15.453125" style="438" customWidth="1" outlineLevel="1"/>
    <col min="17" max="18" width="15.54296875" style="438" customWidth="1" outlineLevel="1"/>
    <col min="19" max="19" width="13" style="438" bestFit="1" customWidth="1"/>
    <col min="20" max="22" width="13.453125" style="438" bestFit="1" customWidth="1"/>
    <col min="23" max="28" width="15.1796875" style="438" bestFit="1" customWidth="1"/>
    <col min="29" max="29" width="14.54296875" style="438" customWidth="1"/>
    <col min="30" max="30" width="14.1796875" style="438" bestFit="1" customWidth="1"/>
    <col min="31" max="67" width="11.54296875" style="438" customWidth="1"/>
    <col min="68" max="79" width="11.54296875" style="574" customWidth="1"/>
    <col min="80" max="16384" width="9.1796875" style="224"/>
  </cols>
  <sheetData>
    <row r="2" spans="1:79" x14ac:dyDescent="0.35">
      <c r="G2" s="35" t="s">
        <v>6</v>
      </c>
      <c r="H2" s="30" t="s">
        <v>69</v>
      </c>
      <c r="O2" s="438" t="s">
        <v>169</v>
      </c>
      <c r="AC2" s="438" t="s">
        <v>1121</v>
      </c>
    </row>
    <row r="3" spans="1:79" x14ac:dyDescent="0.35">
      <c r="F3" s="1022" t="s">
        <v>931</v>
      </c>
      <c r="G3" s="885">
        <f>'Cost Summary'!C3</f>
        <v>40909</v>
      </c>
      <c r="H3" s="885">
        <f>'Cost Summary'!D3</f>
        <v>40942</v>
      </c>
      <c r="I3" s="885">
        <f>'Cost Summary'!E3</f>
        <v>40975</v>
      </c>
      <c r="J3" s="885">
        <f>'Cost Summary'!F3</f>
        <v>41008</v>
      </c>
      <c r="K3" s="885">
        <f>'Cost Summary'!G3</f>
        <v>41041</v>
      </c>
      <c r="L3" s="885">
        <f>'Cost Summary'!H3</f>
        <v>41074</v>
      </c>
      <c r="M3" s="885">
        <f>'Cost Summary'!I3</f>
        <v>41107</v>
      </c>
      <c r="N3" s="885">
        <f>'Cost Summary'!J3</f>
        <v>41140</v>
      </c>
      <c r="O3" s="885">
        <f>'Cost Summary'!K3</f>
        <v>41173</v>
      </c>
      <c r="P3" s="885">
        <f>'Cost Summary'!L3</f>
        <v>41206</v>
      </c>
      <c r="Q3" s="885">
        <f>'Cost Summary'!M3</f>
        <v>41239</v>
      </c>
      <c r="R3" s="885">
        <f>'Cost Summary'!N3</f>
        <v>41272</v>
      </c>
      <c r="S3" s="885">
        <f>'Cost Summary'!O3</f>
        <v>41282</v>
      </c>
      <c r="T3" s="885">
        <f>'Cost Summary'!P3</f>
        <v>41312</v>
      </c>
      <c r="U3" s="885">
        <f>'Cost Summary'!Q3</f>
        <v>41342</v>
      </c>
      <c r="V3" s="885">
        <f>'Cost Summary'!R3</f>
        <v>41372</v>
      </c>
      <c r="W3" s="885">
        <f>'Cost Summary'!S3</f>
        <v>41402</v>
      </c>
      <c r="X3" s="885">
        <f>'Cost Summary'!T3</f>
        <v>41432</v>
      </c>
      <c r="Y3" s="885">
        <f>'Cost Summary'!U3</f>
        <v>41462</v>
      </c>
      <c r="Z3" s="885">
        <f>'Cost Summary'!V3</f>
        <v>41492</v>
      </c>
      <c r="AA3" s="885">
        <f>'Cost Summary'!W3</f>
        <v>41522</v>
      </c>
      <c r="AB3" s="885">
        <f>'Cost Summary'!X3</f>
        <v>41552</v>
      </c>
      <c r="AC3" s="885">
        <f>'Cost Summary'!Y3</f>
        <v>41582</v>
      </c>
      <c r="AD3" s="885">
        <f>'Cost Summary'!Z3</f>
        <v>41612</v>
      </c>
      <c r="AE3" s="885">
        <f>'Cost Summary'!AA3</f>
        <v>41642</v>
      </c>
      <c r="AF3" s="885">
        <f>'Cost Summary'!AB3</f>
        <v>41675</v>
      </c>
      <c r="AG3" s="885">
        <f>'Cost Summary'!AC3</f>
        <v>41708</v>
      </c>
      <c r="AH3" s="885">
        <f>'Cost Summary'!AD3</f>
        <v>41741</v>
      </c>
      <c r="AI3" s="885">
        <f>'Cost Summary'!AE3</f>
        <v>41774</v>
      </c>
      <c r="AJ3" s="885">
        <f>'Cost Summary'!AF3</f>
        <v>41807</v>
      </c>
      <c r="AK3" s="885">
        <f>'Cost Summary'!AG3</f>
        <v>41840</v>
      </c>
      <c r="AL3" s="885">
        <f>'Cost Summary'!AH3</f>
        <v>41873</v>
      </c>
      <c r="AM3" s="885">
        <f>'Cost Summary'!AI3</f>
        <v>41906</v>
      </c>
      <c r="AN3" s="885">
        <f>'Cost Summary'!AJ3</f>
        <v>41939</v>
      </c>
      <c r="AO3" s="885">
        <f>'Cost Summary'!AK3</f>
        <v>41972</v>
      </c>
      <c r="AP3" s="885">
        <f>'Cost Summary'!AL3</f>
        <v>41982</v>
      </c>
      <c r="AQ3" s="885">
        <f>'Cost Summary'!AM3</f>
        <v>42012</v>
      </c>
      <c r="AR3" s="885">
        <f>'Cost Summary'!AN3</f>
        <v>42042</v>
      </c>
      <c r="AS3" s="885">
        <f>'Cost Summary'!AO3</f>
        <v>42072</v>
      </c>
      <c r="AT3" s="885">
        <f>'Cost Summary'!AP3</f>
        <v>42102</v>
      </c>
      <c r="AU3" s="885">
        <f>'Cost Summary'!AQ3</f>
        <v>42132</v>
      </c>
      <c r="AV3" s="885">
        <f>'Cost Summary'!AR3</f>
        <v>42162</v>
      </c>
      <c r="AW3" s="885">
        <f>'Cost Summary'!AS3</f>
        <v>42192</v>
      </c>
      <c r="AX3" s="885">
        <f>'Cost Summary'!AT3</f>
        <v>42222</v>
      </c>
      <c r="AY3" s="885">
        <f>'Cost Summary'!AU3</f>
        <v>42252</v>
      </c>
      <c r="AZ3" s="885">
        <f>'Cost Summary'!AV3</f>
        <v>42282</v>
      </c>
      <c r="BA3" s="885">
        <f>'Cost Summary'!AW3</f>
        <v>42312</v>
      </c>
      <c r="BB3" s="885">
        <f>'Cost Summary'!AX3</f>
        <v>42342</v>
      </c>
      <c r="BC3" s="885">
        <f>'Cost Summary'!AY3</f>
        <v>42372</v>
      </c>
      <c r="BD3" s="885">
        <f>'Cost Summary'!AZ3</f>
        <v>42402</v>
      </c>
      <c r="BE3" s="885">
        <f>'Cost Summary'!BA3</f>
        <v>42432</v>
      </c>
      <c r="BF3" s="885">
        <f>'Cost Summary'!BB3</f>
        <v>42462</v>
      </c>
      <c r="BG3" s="885">
        <f>'Cost Summary'!BC3</f>
        <v>42492</v>
      </c>
      <c r="BH3" s="885">
        <f>'Cost Summary'!BD3</f>
        <v>42522</v>
      </c>
      <c r="BI3" s="885">
        <f>'Cost Summary'!BE3</f>
        <v>42555</v>
      </c>
      <c r="BJ3" s="885">
        <f>'Cost Summary'!BF3</f>
        <v>42585</v>
      </c>
      <c r="BK3" s="885">
        <f>'Cost Summary'!BG3</f>
        <v>42615</v>
      </c>
      <c r="BL3" s="885">
        <f>'Cost Summary'!BH3</f>
        <v>42645</v>
      </c>
      <c r="BM3" s="885">
        <f>'Cost Summary'!BI3</f>
        <v>42675</v>
      </c>
      <c r="BN3" s="885">
        <f>'Cost Summary'!BJ3</f>
        <v>42705</v>
      </c>
      <c r="BO3" s="885">
        <v>42736</v>
      </c>
      <c r="BP3" s="885">
        <v>42767</v>
      </c>
      <c r="BQ3" s="885">
        <v>42795</v>
      </c>
      <c r="BR3" s="885">
        <v>42826</v>
      </c>
      <c r="BS3" s="885">
        <v>42856</v>
      </c>
      <c r="BT3" s="885">
        <v>42887</v>
      </c>
      <c r="BU3" s="885">
        <v>42917</v>
      </c>
      <c r="BV3" s="885">
        <v>42948</v>
      </c>
      <c r="BW3" s="885">
        <v>42979</v>
      </c>
      <c r="BX3" s="885">
        <v>43009</v>
      </c>
      <c r="BY3" s="885">
        <v>43040</v>
      </c>
      <c r="BZ3" s="885">
        <v>43070</v>
      </c>
      <c r="CA3" s="885">
        <v>43101</v>
      </c>
    </row>
    <row r="4" spans="1:79" x14ac:dyDescent="0.35">
      <c r="F4" s="1021" t="s">
        <v>1114</v>
      </c>
      <c r="G4" s="4" t="s">
        <v>6</v>
      </c>
      <c r="H4" s="4" t="s">
        <v>6</v>
      </c>
      <c r="I4" s="4" t="s">
        <v>6</v>
      </c>
      <c r="J4" s="4" t="s">
        <v>6</v>
      </c>
      <c r="K4" s="4" t="s">
        <v>6</v>
      </c>
      <c r="L4" s="4" t="s">
        <v>6</v>
      </c>
      <c r="M4" s="4" t="s">
        <v>6</v>
      </c>
      <c r="N4" s="4" t="s">
        <v>6</v>
      </c>
      <c r="O4" s="4" t="s">
        <v>6</v>
      </c>
      <c r="P4" s="4" t="s">
        <v>6</v>
      </c>
      <c r="Q4" s="4" t="s">
        <v>6</v>
      </c>
      <c r="R4" s="4" t="s">
        <v>6</v>
      </c>
      <c r="S4" s="4" t="s">
        <v>6</v>
      </c>
      <c r="T4" s="4" t="s">
        <v>6</v>
      </c>
      <c r="U4" s="4" t="s">
        <v>6</v>
      </c>
      <c r="V4" s="4" t="s">
        <v>6</v>
      </c>
      <c r="W4" s="4" t="s">
        <v>6</v>
      </c>
      <c r="X4" s="4" t="s">
        <v>6</v>
      </c>
      <c r="Y4" s="4" t="s">
        <v>6</v>
      </c>
      <c r="Z4" s="4" t="s">
        <v>6</v>
      </c>
      <c r="AA4" s="4" t="s">
        <v>6</v>
      </c>
      <c r="AB4" s="4" t="s">
        <v>6</v>
      </c>
      <c r="AC4" s="4" t="s">
        <v>6</v>
      </c>
      <c r="AD4" s="4" t="s">
        <v>6</v>
      </c>
      <c r="AE4" s="232" t="s">
        <v>7</v>
      </c>
      <c r="AF4" s="232" t="s">
        <v>7</v>
      </c>
      <c r="AG4" s="232" t="s">
        <v>7</v>
      </c>
      <c r="AH4" s="232" t="s">
        <v>7</v>
      </c>
      <c r="AI4" s="232" t="s">
        <v>7</v>
      </c>
      <c r="AJ4" s="232" t="s">
        <v>7</v>
      </c>
      <c r="AK4" s="232" t="s">
        <v>7</v>
      </c>
      <c r="AL4" s="232" t="s">
        <v>7</v>
      </c>
      <c r="AM4" s="232" t="s">
        <v>7</v>
      </c>
      <c r="AN4" s="232" t="s">
        <v>7</v>
      </c>
      <c r="AO4" s="232" t="s">
        <v>7</v>
      </c>
      <c r="AP4" s="232" t="s">
        <v>7</v>
      </c>
      <c r="AQ4" s="232" t="s">
        <v>7</v>
      </c>
      <c r="AR4" s="232" t="s">
        <v>7</v>
      </c>
      <c r="AS4" s="232" t="s">
        <v>7</v>
      </c>
      <c r="AT4" s="232" t="s">
        <v>7</v>
      </c>
      <c r="AU4" s="232" t="s">
        <v>7</v>
      </c>
      <c r="AV4" s="232" t="s">
        <v>7</v>
      </c>
      <c r="AW4" s="232" t="s">
        <v>7</v>
      </c>
      <c r="AX4" s="232" t="s">
        <v>7</v>
      </c>
      <c r="AY4" s="232" t="s">
        <v>7</v>
      </c>
      <c r="AZ4" s="232" t="s">
        <v>7</v>
      </c>
      <c r="BA4" s="232" t="s">
        <v>7</v>
      </c>
      <c r="BB4" s="232" t="s">
        <v>7</v>
      </c>
      <c r="BC4" s="232" t="s">
        <v>7</v>
      </c>
      <c r="BD4" s="232" t="s">
        <v>7</v>
      </c>
      <c r="BE4" s="232" t="s">
        <v>7</v>
      </c>
      <c r="BF4" s="232" t="s">
        <v>7</v>
      </c>
      <c r="BG4" s="232" t="s">
        <v>7</v>
      </c>
      <c r="BH4" s="232" t="s">
        <v>7</v>
      </c>
      <c r="BI4" s="232" t="s">
        <v>7</v>
      </c>
      <c r="BJ4" s="232" t="s">
        <v>7</v>
      </c>
      <c r="BK4" s="232" t="s">
        <v>7</v>
      </c>
      <c r="BL4" s="232" t="s">
        <v>7</v>
      </c>
      <c r="BM4" s="232" t="s">
        <v>7</v>
      </c>
      <c r="BN4" s="232" t="s">
        <v>7</v>
      </c>
      <c r="BO4" s="232" t="s">
        <v>7</v>
      </c>
      <c r="BP4" s="232" t="s">
        <v>7</v>
      </c>
      <c r="BQ4" s="232" t="s">
        <v>7</v>
      </c>
      <c r="BR4" s="232" t="s">
        <v>7</v>
      </c>
      <c r="BS4" s="232" t="s">
        <v>7</v>
      </c>
      <c r="BT4" s="232" t="s">
        <v>7</v>
      </c>
      <c r="BU4" s="232" t="s">
        <v>7</v>
      </c>
      <c r="BV4" s="232" t="s">
        <v>7</v>
      </c>
      <c r="BW4" s="232" t="s">
        <v>7</v>
      </c>
      <c r="BX4" s="232" t="s">
        <v>7</v>
      </c>
      <c r="BY4" s="232" t="s">
        <v>7</v>
      </c>
      <c r="BZ4" s="232" t="s">
        <v>7</v>
      </c>
      <c r="CA4" s="232" t="s">
        <v>7</v>
      </c>
    </row>
    <row r="5" spans="1:79" x14ac:dyDescent="0.35">
      <c r="G5" s="288"/>
    </row>
    <row r="6" spans="1:79" s="878" customFormat="1" x14ac:dyDescent="0.35">
      <c r="A6" s="882"/>
      <c r="F6" s="883" t="s">
        <v>224</v>
      </c>
      <c r="G6" s="883"/>
      <c r="H6" s="883"/>
      <c r="I6" s="883"/>
      <c r="J6" s="883"/>
      <c r="K6" s="883"/>
      <c r="L6" s="883"/>
      <c r="M6" s="883"/>
      <c r="N6" s="883"/>
      <c r="O6" s="883"/>
      <c r="P6" s="883"/>
      <c r="Q6" s="883"/>
      <c r="R6" s="883"/>
      <c r="S6" s="883"/>
      <c r="T6" s="883"/>
      <c r="U6" s="883"/>
      <c r="V6" s="883"/>
      <c r="W6" s="883"/>
      <c r="X6" s="883"/>
      <c r="Y6" s="883"/>
      <c r="Z6" s="883"/>
      <c r="AA6" s="883"/>
      <c r="AB6" s="883"/>
      <c r="AC6" s="883"/>
      <c r="AD6" s="883"/>
      <c r="AE6" s="883"/>
      <c r="AF6" s="883"/>
      <c r="AG6" s="883"/>
      <c r="AH6" s="883"/>
      <c r="AI6" s="883"/>
      <c r="AJ6" s="883"/>
      <c r="AK6" s="883"/>
      <c r="AL6" s="883"/>
      <c r="AM6" s="883"/>
      <c r="AN6" s="883"/>
      <c r="AO6" s="883"/>
      <c r="AP6" s="883"/>
      <c r="AQ6" s="883"/>
      <c r="AR6" s="883"/>
      <c r="AS6" s="883"/>
      <c r="AT6" s="883"/>
      <c r="AU6" s="883"/>
      <c r="AV6" s="883"/>
      <c r="AW6" s="883"/>
      <c r="AX6" s="883"/>
      <c r="AY6" s="883"/>
      <c r="AZ6" s="883"/>
      <c r="BA6" s="883"/>
      <c r="BB6" s="883"/>
      <c r="BC6" s="883"/>
      <c r="BD6" s="883"/>
      <c r="BE6" s="883"/>
      <c r="BF6" s="883"/>
      <c r="BG6" s="883"/>
      <c r="BH6" s="883"/>
      <c r="BI6" s="883"/>
      <c r="BJ6" s="883"/>
      <c r="BK6" s="883"/>
      <c r="BL6" s="883"/>
      <c r="BM6" s="883"/>
      <c r="BN6" s="883"/>
      <c r="BO6" s="883"/>
      <c r="BP6" s="883"/>
      <c r="BQ6" s="883"/>
      <c r="BR6" s="883"/>
      <c r="BS6" s="883"/>
      <c r="BT6" s="883"/>
      <c r="BU6" s="883"/>
      <c r="BV6" s="883"/>
      <c r="BW6" s="883"/>
      <c r="BX6" s="883"/>
      <c r="BY6" s="883"/>
      <c r="BZ6" s="883"/>
      <c r="CA6" s="883"/>
    </row>
    <row r="7" spans="1:79" hidden="1" outlineLevel="1" x14ac:dyDescent="0.35">
      <c r="A7" s="224"/>
      <c r="B7" s="224"/>
      <c r="C7" s="224"/>
      <c r="D7" s="224"/>
      <c r="E7" s="224"/>
      <c r="F7" s="670" t="s">
        <v>701</v>
      </c>
      <c r="G7" s="679"/>
      <c r="H7" s="679"/>
      <c r="I7" s="679"/>
      <c r="J7" s="679"/>
      <c r="K7" s="679"/>
      <c r="L7" s="679"/>
      <c r="M7" s="679"/>
      <c r="N7" s="679"/>
      <c r="O7" s="679"/>
      <c r="P7" s="679"/>
      <c r="Q7" s="679"/>
      <c r="R7" s="679"/>
      <c r="S7" s="679">
        <v>0</v>
      </c>
      <c r="T7" s="679">
        <v>0</v>
      </c>
      <c r="U7" s="679">
        <v>0</v>
      </c>
      <c r="V7" s="679">
        <v>0</v>
      </c>
      <c r="W7" s="679">
        <v>0</v>
      </c>
      <c r="X7" s="679">
        <v>0</v>
      </c>
      <c r="Y7" s="679">
        <v>0</v>
      </c>
      <c r="Z7" s="679">
        <v>0</v>
      </c>
      <c r="AA7" s="679">
        <v>0</v>
      </c>
      <c r="AB7" s="679">
        <v>0</v>
      </c>
      <c r="AC7" s="679">
        <v>0</v>
      </c>
      <c r="AD7" s="679">
        <v>0</v>
      </c>
      <c r="AE7" s="679"/>
      <c r="AF7" s="679"/>
      <c r="AG7" s="679"/>
      <c r="AH7" s="679"/>
      <c r="AI7" s="679"/>
      <c r="AJ7" s="679"/>
      <c r="AK7" s="679"/>
      <c r="AL7" s="679"/>
      <c r="AM7" s="679"/>
      <c r="AN7" s="679"/>
      <c r="AO7" s="679"/>
      <c r="AP7" s="679"/>
      <c r="AQ7" s="679"/>
      <c r="AR7" s="679"/>
      <c r="AS7" s="679"/>
      <c r="AT7" s="679"/>
      <c r="AU7" s="679"/>
      <c r="AV7" s="679"/>
      <c r="AW7" s="679"/>
      <c r="AX7" s="679"/>
      <c r="AY7" s="679"/>
      <c r="AZ7" s="679"/>
      <c r="BA7" s="679"/>
      <c r="BB7" s="679"/>
      <c r="BC7" s="679"/>
      <c r="BD7" s="679"/>
      <c r="BE7" s="679"/>
      <c r="BF7" s="679"/>
      <c r="BG7" s="679"/>
      <c r="BH7" s="679"/>
      <c r="BI7" s="679"/>
      <c r="BJ7" s="679"/>
      <c r="BK7" s="679"/>
      <c r="BL7" s="679"/>
      <c r="BM7" s="679"/>
      <c r="BN7" s="679"/>
      <c r="BO7" s="679"/>
      <c r="BP7" s="679"/>
      <c r="BQ7" s="679"/>
      <c r="BR7" s="679"/>
      <c r="BS7" s="679"/>
      <c r="BT7" s="679"/>
      <c r="BU7" s="679"/>
      <c r="BV7" s="679"/>
      <c r="BW7" s="679"/>
      <c r="BX7" s="679"/>
      <c r="BY7" s="679"/>
      <c r="BZ7" s="679"/>
      <c r="CA7" s="679"/>
    </row>
    <row r="8" spans="1:79" hidden="1" outlineLevel="1" x14ac:dyDescent="0.35">
      <c r="A8" s="224"/>
      <c r="B8" s="224"/>
      <c r="C8" s="224"/>
      <c r="D8" s="224"/>
      <c r="E8" s="224"/>
      <c r="F8" s="671" t="s">
        <v>857</v>
      </c>
      <c r="G8" s="679"/>
      <c r="H8" s="679"/>
      <c r="I8" s="679"/>
      <c r="J8" s="679"/>
      <c r="K8" s="679"/>
      <c r="L8" s="679"/>
      <c r="M8" s="679"/>
      <c r="N8" s="679"/>
      <c r="O8" s="679"/>
      <c r="P8" s="679"/>
      <c r="Q8" s="679"/>
      <c r="R8" s="679"/>
      <c r="S8" s="679">
        <v>0</v>
      </c>
      <c r="T8" s="679">
        <v>0</v>
      </c>
      <c r="U8" s="679">
        <v>0</v>
      </c>
      <c r="V8" s="679">
        <v>0</v>
      </c>
      <c r="W8" s="679">
        <v>0</v>
      </c>
      <c r="X8" s="679">
        <v>0</v>
      </c>
      <c r="Y8" s="679">
        <v>0</v>
      </c>
      <c r="Z8" s="679">
        <v>0</v>
      </c>
      <c r="AA8" s="679">
        <v>0</v>
      </c>
      <c r="AB8" s="679">
        <v>0</v>
      </c>
      <c r="AC8" s="679">
        <v>0</v>
      </c>
      <c r="AD8" s="679">
        <v>0</v>
      </c>
      <c r="AE8" s="679"/>
      <c r="AF8" s="679"/>
      <c r="AG8" s="679"/>
      <c r="AH8" s="679"/>
      <c r="AI8" s="679"/>
      <c r="AJ8" s="679"/>
      <c r="AK8" s="679"/>
      <c r="AL8" s="679"/>
      <c r="AM8" s="679"/>
      <c r="AN8" s="679"/>
      <c r="AO8" s="679"/>
      <c r="AP8" s="679"/>
      <c r="AQ8" s="679"/>
      <c r="AR8" s="679"/>
      <c r="AS8" s="679"/>
      <c r="AT8" s="679"/>
      <c r="AU8" s="679"/>
      <c r="AV8" s="679"/>
      <c r="AW8" s="679"/>
      <c r="AX8" s="679"/>
      <c r="AY8" s="679"/>
      <c r="AZ8" s="679"/>
      <c r="BA8" s="679"/>
      <c r="BB8" s="679"/>
      <c r="BC8" s="679"/>
      <c r="BD8" s="679"/>
      <c r="BE8" s="679"/>
      <c r="BF8" s="679"/>
      <c r="BG8" s="679"/>
      <c r="BH8" s="679"/>
      <c r="BI8" s="679"/>
      <c r="BJ8" s="679"/>
      <c r="BK8" s="679"/>
      <c r="BL8" s="679"/>
      <c r="BM8" s="679"/>
      <c r="BN8" s="679"/>
      <c r="BO8" s="679"/>
      <c r="BP8" s="679"/>
      <c r="BQ8" s="679"/>
      <c r="BR8" s="679"/>
      <c r="BS8" s="679"/>
      <c r="BT8" s="679"/>
      <c r="BU8" s="679"/>
      <c r="BV8" s="679"/>
      <c r="BW8" s="679"/>
      <c r="BX8" s="679"/>
      <c r="BY8" s="679"/>
      <c r="BZ8" s="679"/>
      <c r="CA8" s="679"/>
    </row>
    <row r="9" spans="1:79" hidden="1" outlineLevel="1" x14ac:dyDescent="0.35">
      <c r="A9" s="224"/>
      <c r="B9" s="224"/>
      <c r="C9" s="224"/>
      <c r="D9" s="224"/>
      <c r="E9" s="224"/>
      <c r="F9" s="671" t="s">
        <v>858</v>
      </c>
      <c r="G9" s="679"/>
      <c r="H9" s="679"/>
      <c r="I9" s="679"/>
      <c r="J9" s="679"/>
      <c r="K9" s="679"/>
      <c r="L9" s="679"/>
      <c r="M9" s="679"/>
      <c r="N9" s="679"/>
      <c r="O9" s="679"/>
      <c r="P9" s="679"/>
      <c r="Q9" s="679"/>
      <c r="R9" s="679"/>
      <c r="S9" s="679">
        <v>0</v>
      </c>
      <c r="T9" s="679">
        <v>0</v>
      </c>
      <c r="U9" s="679">
        <v>0</v>
      </c>
      <c r="V9" s="679">
        <v>0</v>
      </c>
      <c r="W9" s="679">
        <v>0</v>
      </c>
      <c r="X9" s="679">
        <v>0</v>
      </c>
      <c r="Y9" s="679">
        <v>0</v>
      </c>
      <c r="Z9" s="679">
        <v>0</v>
      </c>
      <c r="AA9" s="679">
        <v>0</v>
      </c>
      <c r="AB9" s="679">
        <v>0</v>
      </c>
      <c r="AC9" s="679">
        <v>0</v>
      </c>
      <c r="AD9" s="679">
        <v>0</v>
      </c>
      <c r="AE9" s="679"/>
      <c r="AF9" s="679"/>
      <c r="AG9" s="679"/>
      <c r="AH9" s="679"/>
      <c r="AI9" s="679"/>
      <c r="AJ9" s="679"/>
      <c r="AK9" s="679"/>
      <c r="AL9" s="679"/>
      <c r="AM9" s="679"/>
      <c r="AN9" s="679"/>
      <c r="AO9" s="679"/>
      <c r="AP9" s="679"/>
      <c r="AQ9" s="679"/>
      <c r="AR9" s="679"/>
      <c r="AS9" s="679"/>
      <c r="AT9" s="679"/>
      <c r="AU9" s="679"/>
      <c r="AV9" s="679"/>
      <c r="AW9" s="679"/>
      <c r="AX9" s="679"/>
      <c r="AY9" s="679"/>
      <c r="AZ9" s="679"/>
      <c r="BA9" s="679"/>
      <c r="BB9" s="679"/>
      <c r="BC9" s="679"/>
      <c r="BD9" s="679"/>
      <c r="BE9" s="679"/>
      <c r="BF9" s="679"/>
      <c r="BG9" s="679"/>
      <c r="BH9" s="679"/>
      <c r="BI9" s="679"/>
      <c r="BJ9" s="679"/>
      <c r="BK9" s="679"/>
      <c r="BL9" s="679"/>
      <c r="BM9" s="679"/>
      <c r="BN9" s="679"/>
      <c r="BO9" s="679"/>
      <c r="BP9" s="679"/>
      <c r="BQ9" s="679"/>
      <c r="BR9" s="679"/>
      <c r="BS9" s="679"/>
      <c r="BT9" s="679"/>
      <c r="BU9" s="679"/>
      <c r="BV9" s="679"/>
      <c r="BW9" s="679"/>
      <c r="BX9" s="679"/>
      <c r="BY9" s="679"/>
      <c r="BZ9" s="679"/>
      <c r="CA9" s="679"/>
    </row>
    <row r="10" spans="1:79" hidden="1" outlineLevel="1" x14ac:dyDescent="0.35">
      <c r="A10" s="224"/>
      <c r="B10" s="224"/>
      <c r="C10" s="224"/>
      <c r="D10" s="224"/>
      <c r="E10" s="224"/>
      <c r="F10" s="671" t="s">
        <v>859</v>
      </c>
      <c r="G10" s="679"/>
      <c r="H10" s="679"/>
      <c r="I10" s="679"/>
      <c r="J10" s="679"/>
      <c r="K10" s="679"/>
      <c r="L10" s="679"/>
      <c r="M10" s="679"/>
      <c r="N10" s="679"/>
      <c r="O10" s="679"/>
      <c r="P10" s="679"/>
      <c r="Q10" s="679"/>
      <c r="R10" s="679"/>
      <c r="S10" s="679">
        <v>0</v>
      </c>
      <c r="T10" s="679">
        <v>0</v>
      </c>
      <c r="U10" s="679">
        <v>0</v>
      </c>
      <c r="V10" s="679">
        <v>0</v>
      </c>
      <c r="W10" s="679">
        <v>0</v>
      </c>
      <c r="X10" s="679">
        <v>0</v>
      </c>
      <c r="Y10" s="679">
        <v>0</v>
      </c>
      <c r="Z10" s="679">
        <v>0</v>
      </c>
      <c r="AA10" s="679">
        <v>0</v>
      </c>
      <c r="AB10" s="679">
        <v>0</v>
      </c>
      <c r="AC10" s="679">
        <v>0</v>
      </c>
      <c r="AD10" s="679">
        <v>0</v>
      </c>
      <c r="AE10" s="679"/>
      <c r="AF10" s="679"/>
      <c r="AG10" s="679"/>
      <c r="AH10" s="679"/>
      <c r="AI10" s="679"/>
      <c r="AJ10" s="679"/>
      <c r="AK10" s="679"/>
      <c r="AL10" s="679"/>
      <c r="AM10" s="679"/>
      <c r="AN10" s="679"/>
      <c r="AO10" s="679"/>
      <c r="AP10" s="679"/>
      <c r="AQ10" s="679"/>
      <c r="AR10" s="679"/>
      <c r="AS10" s="679"/>
      <c r="AT10" s="679"/>
      <c r="AU10" s="679"/>
      <c r="AV10" s="679"/>
      <c r="AW10" s="679"/>
      <c r="AX10" s="679"/>
      <c r="AY10" s="679"/>
      <c r="AZ10" s="679"/>
      <c r="BA10" s="679"/>
      <c r="BB10" s="679"/>
      <c r="BC10" s="679"/>
      <c r="BD10" s="679"/>
      <c r="BE10" s="679"/>
      <c r="BF10" s="679"/>
      <c r="BG10" s="679"/>
      <c r="BH10" s="679"/>
      <c r="BI10" s="679"/>
      <c r="BJ10" s="679"/>
      <c r="BK10" s="679"/>
      <c r="BL10" s="679"/>
      <c r="BM10" s="679"/>
      <c r="BN10" s="679"/>
      <c r="BO10" s="679"/>
      <c r="BP10" s="679"/>
      <c r="BQ10" s="679"/>
      <c r="BR10" s="679"/>
      <c r="BS10" s="679"/>
      <c r="BT10" s="679"/>
      <c r="BU10" s="679"/>
      <c r="BV10" s="679"/>
      <c r="BW10" s="679"/>
      <c r="BX10" s="679"/>
      <c r="BY10" s="679"/>
      <c r="BZ10" s="679"/>
      <c r="CA10" s="679"/>
    </row>
    <row r="11" spans="1:79" hidden="1" outlineLevel="1" x14ac:dyDescent="0.35">
      <c r="A11" s="224"/>
      <c r="B11" s="224"/>
      <c r="C11" s="224"/>
      <c r="D11" s="224"/>
      <c r="E11" s="224"/>
      <c r="F11" s="671" t="s">
        <v>702</v>
      </c>
      <c r="G11" s="679"/>
      <c r="H11" s="679"/>
      <c r="I11" s="679"/>
      <c r="J11" s="679"/>
      <c r="K11" s="679"/>
      <c r="L11" s="679"/>
      <c r="M11" s="679"/>
      <c r="N11" s="679"/>
      <c r="O11" s="679"/>
      <c r="P11" s="679"/>
      <c r="Q11" s="679"/>
      <c r="R11" s="679"/>
      <c r="S11" s="679">
        <v>0</v>
      </c>
      <c r="T11" s="679">
        <v>0</v>
      </c>
      <c r="U11" s="679">
        <v>0</v>
      </c>
      <c r="V11" s="679">
        <v>0</v>
      </c>
      <c r="W11" s="679">
        <v>0</v>
      </c>
      <c r="X11" s="679">
        <v>0</v>
      </c>
      <c r="Y11" s="679">
        <v>0</v>
      </c>
      <c r="Z11" s="679">
        <v>0</v>
      </c>
      <c r="AA11" s="679">
        <v>0</v>
      </c>
      <c r="AB11" s="679">
        <v>0</v>
      </c>
      <c r="AC11" s="679">
        <v>0</v>
      </c>
      <c r="AD11" s="679">
        <v>0</v>
      </c>
      <c r="AE11" s="679"/>
      <c r="AF11" s="679"/>
      <c r="AG11" s="679"/>
      <c r="AH11" s="679"/>
      <c r="AI11" s="679"/>
      <c r="AJ11" s="679"/>
      <c r="AK11" s="679"/>
      <c r="AL11" s="679"/>
      <c r="AM11" s="679"/>
      <c r="AN11" s="679"/>
      <c r="AO11" s="679"/>
      <c r="AP11" s="679"/>
      <c r="AQ11" s="679"/>
      <c r="AR11" s="679"/>
      <c r="AS11" s="679"/>
      <c r="AT11" s="679"/>
      <c r="AU11" s="679"/>
      <c r="AV11" s="679"/>
      <c r="AW11" s="679"/>
      <c r="AX11" s="679"/>
      <c r="AY11" s="679"/>
      <c r="AZ11" s="679"/>
      <c r="BA11" s="679"/>
      <c r="BB11" s="679"/>
      <c r="BC11" s="679"/>
      <c r="BD11" s="679"/>
      <c r="BE11" s="679"/>
      <c r="BF11" s="679"/>
      <c r="BG11" s="679"/>
      <c r="BH11" s="679"/>
      <c r="BI11" s="679"/>
      <c r="BJ11" s="679"/>
      <c r="BK11" s="679"/>
      <c r="BL11" s="679"/>
      <c r="BM11" s="679"/>
      <c r="BN11" s="679"/>
      <c r="BO11" s="679"/>
      <c r="BP11" s="679"/>
      <c r="BQ11" s="679"/>
      <c r="BR11" s="679"/>
      <c r="BS11" s="679"/>
      <c r="BT11" s="679"/>
      <c r="BU11" s="679"/>
      <c r="BV11" s="679"/>
      <c r="BW11" s="679"/>
      <c r="BX11" s="679"/>
      <c r="BY11" s="679"/>
      <c r="BZ11" s="679"/>
      <c r="CA11" s="679"/>
    </row>
    <row r="12" spans="1:79" hidden="1" outlineLevel="1" x14ac:dyDescent="0.35">
      <c r="A12" s="224"/>
      <c r="B12" s="224"/>
      <c r="C12" s="224"/>
      <c r="D12" s="224"/>
      <c r="E12" s="224"/>
      <c r="F12" s="671" t="s">
        <v>860</v>
      </c>
      <c r="G12" s="679"/>
      <c r="H12" s="679"/>
      <c r="I12" s="679"/>
      <c r="J12" s="679"/>
      <c r="K12" s="679"/>
      <c r="L12" s="679"/>
      <c r="M12" s="679"/>
      <c r="N12" s="679"/>
      <c r="O12" s="679"/>
      <c r="P12" s="679"/>
      <c r="Q12" s="679"/>
      <c r="R12" s="679"/>
      <c r="S12" s="679">
        <v>0</v>
      </c>
      <c r="T12" s="679">
        <v>0</v>
      </c>
      <c r="U12" s="679">
        <v>0</v>
      </c>
      <c r="V12" s="679">
        <v>0</v>
      </c>
      <c r="W12" s="679">
        <v>0</v>
      </c>
      <c r="X12" s="679">
        <v>0</v>
      </c>
      <c r="Y12" s="679">
        <v>0</v>
      </c>
      <c r="Z12" s="679">
        <v>0</v>
      </c>
      <c r="AA12" s="679">
        <v>0</v>
      </c>
      <c r="AB12" s="679">
        <v>0</v>
      </c>
      <c r="AC12" s="679">
        <v>0</v>
      </c>
      <c r="AD12" s="679">
        <v>0</v>
      </c>
      <c r="AE12" s="679"/>
      <c r="AF12" s="679"/>
      <c r="AG12" s="679"/>
      <c r="AH12" s="679"/>
      <c r="AI12" s="679"/>
      <c r="AJ12" s="679"/>
      <c r="AK12" s="679"/>
      <c r="AL12" s="679"/>
      <c r="AM12" s="679"/>
      <c r="AN12" s="679"/>
      <c r="AO12" s="679"/>
      <c r="AP12" s="679"/>
      <c r="AQ12" s="679"/>
      <c r="AR12" s="679"/>
      <c r="AS12" s="679"/>
      <c r="AT12" s="679"/>
      <c r="AU12" s="679"/>
      <c r="AV12" s="679"/>
      <c r="AW12" s="679"/>
      <c r="AX12" s="679"/>
      <c r="AY12" s="679"/>
      <c r="AZ12" s="679"/>
      <c r="BA12" s="679"/>
      <c r="BB12" s="679"/>
      <c r="BC12" s="679"/>
      <c r="BD12" s="679"/>
      <c r="BE12" s="679"/>
      <c r="BF12" s="679"/>
      <c r="BG12" s="679"/>
      <c r="BH12" s="679"/>
      <c r="BI12" s="679"/>
      <c r="BJ12" s="679"/>
      <c r="BK12" s="679"/>
      <c r="BL12" s="679"/>
      <c r="BM12" s="679"/>
      <c r="BN12" s="679"/>
      <c r="BO12" s="679"/>
      <c r="BP12" s="679"/>
      <c r="BQ12" s="679"/>
      <c r="BR12" s="679"/>
      <c r="BS12" s="679"/>
      <c r="BT12" s="679"/>
      <c r="BU12" s="679"/>
      <c r="BV12" s="679"/>
      <c r="BW12" s="679"/>
      <c r="BX12" s="679"/>
      <c r="BY12" s="679"/>
      <c r="BZ12" s="679"/>
      <c r="CA12" s="679"/>
    </row>
    <row r="13" spans="1:79" hidden="1" outlineLevel="1" x14ac:dyDescent="0.35">
      <c r="A13" s="709"/>
      <c r="B13" s="709"/>
      <c r="C13" s="709"/>
      <c r="D13" s="709"/>
      <c r="E13" s="709"/>
      <c r="F13" s="707" t="s">
        <v>661</v>
      </c>
      <c r="G13" s="708"/>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708"/>
      <c r="AM13" s="708"/>
      <c r="AN13" s="708"/>
      <c r="AO13" s="708"/>
      <c r="AP13" s="708"/>
      <c r="AQ13" s="708"/>
      <c r="AR13" s="708"/>
      <c r="AS13" s="708"/>
      <c r="AT13" s="708"/>
      <c r="AU13" s="708"/>
      <c r="AV13" s="708"/>
      <c r="AW13" s="708"/>
      <c r="AX13" s="708"/>
      <c r="AY13" s="708"/>
      <c r="AZ13" s="708"/>
      <c r="BA13" s="708"/>
      <c r="BB13" s="708"/>
      <c r="BC13" s="708"/>
      <c r="BD13" s="708"/>
      <c r="BE13" s="708"/>
      <c r="BF13" s="708"/>
      <c r="BG13" s="708"/>
      <c r="BH13" s="708"/>
      <c r="BI13" s="708"/>
      <c r="BJ13" s="708"/>
      <c r="BK13" s="708"/>
      <c r="BL13" s="708"/>
      <c r="BM13" s="708"/>
      <c r="BN13" s="708"/>
      <c r="BO13" s="708"/>
      <c r="BP13" s="708"/>
      <c r="BQ13" s="708"/>
      <c r="BR13" s="708"/>
      <c r="BS13" s="708"/>
      <c r="BT13" s="708"/>
      <c r="BU13" s="708"/>
      <c r="BV13" s="708"/>
      <c r="BW13" s="708"/>
      <c r="BX13" s="708"/>
      <c r="BY13" s="708"/>
      <c r="BZ13" s="708"/>
      <c r="CA13" s="708"/>
    </row>
    <row r="14" spans="1:79" hidden="1" outlineLevel="1" x14ac:dyDescent="0.35">
      <c r="A14" s="224"/>
      <c r="B14" s="224"/>
      <c r="C14" s="224"/>
      <c r="D14" s="224"/>
      <c r="E14" s="224"/>
      <c r="F14" s="672" t="s">
        <v>662</v>
      </c>
      <c r="G14" s="679"/>
      <c r="H14" s="679"/>
      <c r="I14" s="679"/>
      <c r="J14" s="679"/>
      <c r="K14" s="679"/>
      <c r="L14" s="679"/>
      <c r="M14" s="679"/>
      <c r="N14" s="679"/>
      <c r="O14" s="679"/>
      <c r="P14" s="679"/>
      <c r="Q14" s="679"/>
      <c r="R14" s="679"/>
      <c r="S14" s="679">
        <v>0</v>
      </c>
      <c r="T14" s="679">
        <v>0</v>
      </c>
      <c r="U14" s="679">
        <v>0</v>
      </c>
      <c r="V14" s="679">
        <v>0</v>
      </c>
      <c r="W14" s="679">
        <v>0</v>
      </c>
      <c r="X14" s="679">
        <v>0</v>
      </c>
      <c r="Y14" s="679">
        <v>0</v>
      </c>
      <c r="Z14" s="679">
        <v>0</v>
      </c>
      <c r="AA14" s="679">
        <v>0</v>
      </c>
      <c r="AB14" s="679">
        <v>0</v>
      </c>
      <c r="AC14" s="679">
        <v>0</v>
      </c>
      <c r="AD14" s="679">
        <v>0</v>
      </c>
      <c r="AE14" s="679"/>
      <c r="AF14" s="679"/>
      <c r="AG14" s="679"/>
      <c r="AH14" s="679"/>
      <c r="AI14" s="679"/>
      <c r="AJ14" s="679"/>
      <c r="AK14" s="679"/>
      <c r="AL14" s="679"/>
      <c r="AM14" s="679"/>
      <c r="AN14" s="679"/>
      <c r="AO14" s="679"/>
      <c r="AP14" s="679"/>
      <c r="AQ14" s="679"/>
      <c r="AR14" s="679"/>
      <c r="AS14" s="679"/>
      <c r="AT14" s="679"/>
      <c r="AU14" s="679"/>
      <c r="AV14" s="679"/>
      <c r="AW14" s="679"/>
      <c r="AX14" s="679"/>
      <c r="AY14" s="679"/>
      <c r="AZ14" s="679"/>
      <c r="BA14" s="679"/>
      <c r="BB14" s="679"/>
      <c r="BC14" s="679"/>
      <c r="BD14" s="679"/>
      <c r="BE14" s="679"/>
      <c r="BF14" s="679"/>
      <c r="BG14" s="679"/>
      <c r="BH14" s="679"/>
      <c r="BI14" s="679"/>
      <c r="BJ14" s="679"/>
      <c r="BK14" s="679"/>
      <c r="BL14" s="679"/>
      <c r="BM14" s="679"/>
      <c r="BN14" s="679"/>
      <c r="BO14" s="679"/>
      <c r="BP14" s="679"/>
      <c r="BQ14" s="679"/>
      <c r="BR14" s="679"/>
      <c r="BS14" s="679"/>
      <c r="BT14" s="679"/>
      <c r="BU14" s="679"/>
      <c r="BV14" s="679"/>
      <c r="BW14" s="679"/>
      <c r="BX14" s="679"/>
      <c r="BY14" s="679"/>
      <c r="BZ14" s="679"/>
      <c r="CA14" s="679"/>
    </row>
    <row r="15" spans="1:79" hidden="1" outlineLevel="1" x14ac:dyDescent="0.35">
      <c r="A15" s="224"/>
      <c r="B15" s="224"/>
      <c r="C15" s="224"/>
      <c r="D15" s="224"/>
      <c r="E15" s="224"/>
      <c r="F15" s="672" t="s">
        <v>861</v>
      </c>
      <c r="G15" s="679"/>
      <c r="H15" s="679"/>
      <c r="I15" s="679"/>
      <c r="J15" s="679"/>
      <c r="K15" s="679"/>
      <c r="L15" s="679"/>
      <c r="M15" s="679"/>
      <c r="N15" s="679"/>
      <c r="O15" s="679"/>
      <c r="P15" s="679"/>
      <c r="Q15" s="679"/>
      <c r="R15" s="679"/>
      <c r="S15" s="679">
        <v>0</v>
      </c>
      <c r="T15" s="679">
        <v>0</v>
      </c>
      <c r="U15" s="679">
        <v>0</v>
      </c>
      <c r="V15" s="679">
        <v>0</v>
      </c>
      <c r="W15" s="679">
        <v>0</v>
      </c>
      <c r="X15" s="679">
        <v>0</v>
      </c>
      <c r="Y15" s="679">
        <v>0</v>
      </c>
      <c r="Z15" s="679">
        <v>0</v>
      </c>
      <c r="AA15" s="679">
        <v>0</v>
      </c>
      <c r="AB15" s="679">
        <v>0</v>
      </c>
      <c r="AC15" s="679">
        <v>0</v>
      </c>
      <c r="AD15" s="679">
        <v>0</v>
      </c>
      <c r="AE15" s="679"/>
      <c r="AF15" s="679"/>
      <c r="AG15" s="679"/>
      <c r="AH15" s="679"/>
      <c r="AI15" s="679"/>
      <c r="AJ15" s="679"/>
      <c r="AK15" s="679"/>
      <c r="AL15" s="679"/>
      <c r="AM15" s="679"/>
      <c r="AN15" s="679"/>
      <c r="AO15" s="679"/>
      <c r="AP15" s="679"/>
      <c r="AQ15" s="679"/>
      <c r="AR15" s="679"/>
      <c r="AS15" s="679"/>
      <c r="AT15" s="679"/>
      <c r="AU15" s="679"/>
      <c r="AV15" s="679"/>
      <c r="AW15" s="679"/>
      <c r="AX15" s="679"/>
      <c r="AY15" s="679"/>
      <c r="AZ15" s="679"/>
      <c r="BA15" s="679"/>
      <c r="BB15" s="679"/>
      <c r="BC15" s="679"/>
      <c r="BD15" s="679"/>
      <c r="BE15" s="679"/>
      <c r="BF15" s="679"/>
      <c r="BG15" s="679"/>
      <c r="BH15" s="679"/>
      <c r="BI15" s="679"/>
      <c r="BJ15" s="679"/>
      <c r="BK15" s="679"/>
      <c r="BL15" s="679"/>
      <c r="BM15" s="679"/>
      <c r="BN15" s="679"/>
      <c r="BO15" s="679"/>
      <c r="BP15" s="679"/>
      <c r="BQ15" s="679"/>
      <c r="BR15" s="679"/>
      <c r="BS15" s="679"/>
      <c r="BT15" s="679"/>
      <c r="BU15" s="679"/>
      <c r="BV15" s="679"/>
      <c r="BW15" s="679"/>
      <c r="BX15" s="679"/>
      <c r="BY15" s="679"/>
      <c r="BZ15" s="679"/>
      <c r="CA15" s="679"/>
    </row>
    <row r="16" spans="1:79" hidden="1" outlineLevel="1" x14ac:dyDescent="0.35">
      <c r="A16" s="224"/>
      <c r="B16" s="224"/>
      <c r="C16" s="224"/>
      <c r="D16" s="224"/>
      <c r="E16" s="224"/>
      <c r="F16" s="673" t="s">
        <v>663</v>
      </c>
      <c r="G16" s="680">
        <f>SUM(G14:G15)</f>
        <v>0</v>
      </c>
      <c r="H16" s="680">
        <f t="shared" ref="H16:BO16" si="0">SUM(H14:H15)</f>
        <v>0</v>
      </c>
      <c r="I16" s="680">
        <f t="shared" si="0"/>
        <v>0</v>
      </c>
      <c r="J16" s="680">
        <f t="shared" si="0"/>
        <v>0</v>
      </c>
      <c r="K16" s="680">
        <f t="shared" si="0"/>
        <v>0</v>
      </c>
      <c r="L16" s="680">
        <f t="shared" si="0"/>
        <v>0</v>
      </c>
      <c r="M16" s="680">
        <f t="shared" si="0"/>
        <v>0</v>
      </c>
      <c r="N16" s="680">
        <f t="shared" si="0"/>
        <v>0</v>
      </c>
      <c r="O16" s="680">
        <f t="shared" si="0"/>
        <v>0</v>
      </c>
      <c r="P16" s="680">
        <f t="shared" si="0"/>
        <v>0</v>
      </c>
      <c r="Q16" s="680">
        <f t="shared" si="0"/>
        <v>0</v>
      </c>
      <c r="R16" s="680">
        <f t="shared" si="0"/>
        <v>0</v>
      </c>
      <c r="S16" s="680">
        <f>ROUND(SUM(S13:S15),5)</f>
        <v>0</v>
      </c>
      <c r="T16" s="680">
        <f t="shared" si="0"/>
        <v>0</v>
      </c>
      <c r="U16" s="680">
        <f t="shared" si="0"/>
        <v>0</v>
      </c>
      <c r="V16" s="680">
        <f t="shared" ref="V16:AA16" si="1">ROUND(SUM(V13:V15),5)</f>
        <v>0</v>
      </c>
      <c r="W16" s="680">
        <f t="shared" si="1"/>
        <v>0</v>
      </c>
      <c r="X16" s="680">
        <f t="shared" si="1"/>
        <v>0</v>
      </c>
      <c r="Y16" s="680">
        <f t="shared" si="1"/>
        <v>0</v>
      </c>
      <c r="Z16" s="680">
        <f t="shared" si="1"/>
        <v>0</v>
      </c>
      <c r="AA16" s="680">
        <f t="shared" si="1"/>
        <v>0</v>
      </c>
      <c r="AB16" s="680">
        <f>ROUND(SUM(AB13:AB15),5)</f>
        <v>0</v>
      </c>
      <c r="AC16" s="680">
        <f>ROUND(SUM(AC13:AC15),5)</f>
        <v>0</v>
      </c>
      <c r="AD16" s="680">
        <v>0</v>
      </c>
      <c r="AE16" s="680">
        <f t="shared" si="0"/>
        <v>0</v>
      </c>
      <c r="AF16" s="680">
        <f t="shared" si="0"/>
        <v>0</v>
      </c>
      <c r="AG16" s="680">
        <f t="shared" si="0"/>
        <v>0</v>
      </c>
      <c r="AH16" s="680">
        <f t="shared" si="0"/>
        <v>0</v>
      </c>
      <c r="AI16" s="680">
        <f t="shared" si="0"/>
        <v>0</v>
      </c>
      <c r="AJ16" s="680">
        <f t="shared" si="0"/>
        <v>0</v>
      </c>
      <c r="AK16" s="680">
        <f t="shared" si="0"/>
        <v>0</v>
      </c>
      <c r="AL16" s="680">
        <f t="shared" si="0"/>
        <v>0</v>
      </c>
      <c r="AM16" s="680">
        <f t="shared" si="0"/>
        <v>0</v>
      </c>
      <c r="AN16" s="680">
        <f t="shared" si="0"/>
        <v>0</v>
      </c>
      <c r="AO16" s="680">
        <f t="shared" si="0"/>
        <v>0</v>
      </c>
      <c r="AP16" s="680">
        <f t="shared" si="0"/>
        <v>0</v>
      </c>
      <c r="AQ16" s="680">
        <f t="shared" si="0"/>
        <v>0</v>
      </c>
      <c r="AR16" s="680">
        <f t="shared" si="0"/>
        <v>0</v>
      </c>
      <c r="AS16" s="680">
        <f t="shared" si="0"/>
        <v>0</v>
      </c>
      <c r="AT16" s="680">
        <f t="shared" si="0"/>
        <v>0</v>
      </c>
      <c r="AU16" s="680">
        <f t="shared" si="0"/>
        <v>0</v>
      </c>
      <c r="AV16" s="680">
        <f t="shared" si="0"/>
        <v>0</v>
      </c>
      <c r="AW16" s="680">
        <f t="shared" si="0"/>
        <v>0</v>
      </c>
      <c r="AX16" s="680">
        <f t="shared" si="0"/>
        <v>0</v>
      </c>
      <c r="AY16" s="680">
        <f t="shared" si="0"/>
        <v>0</v>
      </c>
      <c r="AZ16" s="680">
        <f t="shared" si="0"/>
        <v>0</v>
      </c>
      <c r="BA16" s="680">
        <f t="shared" si="0"/>
        <v>0</v>
      </c>
      <c r="BB16" s="680">
        <f t="shared" si="0"/>
        <v>0</v>
      </c>
      <c r="BC16" s="680">
        <f t="shared" si="0"/>
        <v>0</v>
      </c>
      <c r="BD16" s="680">
        <f t="shared" si="0"/>
        <v>0</v>
      </c>
      <c r="BE16" s="680">
        <f t="shared" si="0"/>
        <v>0</v>
      </c>
      <c r="BF16" s="680">
        <f t="shared" si="0"/>
        <v>0</v>
      </c>
      <c r="BG16" s="680">
        <f t="shared" si="0"/>
        <v>0</v>
      </c>
      <c r="BH16" s="680">
        <f t="shared" si="0"/>
        <v>0</v>
      </c>
      <c r="BI16" s="680">
        <f t="shared" si="0"/>
        <v>0</v>
      </c>
      <c r="BJ16" s="680">
        <f t="shared" si="0"/>
        <v>0</v>
      </c>
      <c r="BK16" s="680">
        <f t="shared" si="0"/>
        <v>0</v>
      </c>
      <c r="BL16" s="680">
        <f t="shared" si="0"/>
        <v>0</v>
      </c>
      <c r="BM16" s="680">
        <f t="shared" si="0"/>
        <v>0</v>
      </c>
      <c r="BN16" s="680">
        <f t="shared" si="0"/>
        <v>0</v>
      </c>
      <c r="BO16" s="680">
        <f t="shared" si="0"/>
        <v>0</v>
      </c>
      <c r="BP16" s="680">
        <f t="shared" ref="BP16:CA16" si="2">SUM(BP14:BP15)</f>
        <v>0</v>
      </c>
      <c r="BQ16" s="680">
        <f t="shared" si="2"/>
        <v>0</v>
      </c>
      <c r="BR16" s="680">
        <f t="shared" si="2"/>
        <v>0</v>
      </c>
      <c r="BS16" s="680">
        <f t="shared" si="2"/>
        <v>0</v>
      </c>
      <c r="BT16" s="680">
        <f t="shared" si="2"/>
        <v>0</v>
      </c>
      <c r="BU16" s="680">
        <f t="shared" si="2"/>
        <v>0</v>
      </c>
      <c r="BV16" s="680">
        <f t="shared" si="2"/>
        <v>0</v>
      </c>
      <c r="BW16" s="680">
        <f t="shared" si="2"/>
        <v>0</v>
      </c>
      <c r="BX16" s="680">
        <f t="shared" si="2"/>
        <v>0</v>
      </c>
      <c r="BY16" s="680">
        <f t="shared" si="2"/>
        <v>0</v>
      </c>
      <c r="BZ16" s="680">
        <f t="shared" si="2"/>
        <v>0</v>
      </c>
      <c r="CA16" s="680">
        <f t="shared" si="2"/>
        <v>0</v>
      </c>
    </row>
    <row r="17" spans="1:79" hidden="1" outlineLevel="1" x14ac:dyDescent="0.35">
      <c r="A17" s="224"/>
      <c r="B17" s="224"/>
      <c r="C17" s="224"/>
      <c r="D17" s="224"/>
      <c r="E17" s="224"/>
      <c r="F17" s="671" t="s">
        <v>700</v>
      </c>
      <c r="G17" s="679"/>
      <c r="H17" s="679"/>
      <c r="I17" s="679"/>
      <c r="J17" s="679"/>
      <c r="K17" s="679"/>
      <c r="L17" s="679"/>
      <c r="M17" s="679"/>
      <c r="N17" s="679"/>
      <c r="O17" s="679"/>
      <c r="P17" s="679"/>
      <c r="Q17" s="679"/>
      <c r="R17" s="679"/>
      <c r="S17" s="679">
        <v>0</v>
      </c>
      <c r="T17" s="679">
        <v>0</v>
      </c>
      <c r="U17" s="679">
        <v>0</v>
      </c>
      <c r="V17" s="679">
        <v>0</v>
      </c>
      <c r="W17" s="679">
        <v>0</v>
      </c>
      <c r="X17" s="679">
        <v>0</v>
      </c>
      <c r="Y17" s="679">
        <v>0</v>
      </c>
      <c r="Z17" s="679">
        <v>0</v>
      </c>
      <c r="AA17" s="679">
        <v>0</v>
      </c>
      <c r="AB17" s="679">
        <v>0</v>
      </c>
      <c r="AC17" s="679">
        <v>0</v>
      </c>
      <c r="AD17" s="679">
        <v>0</v>
      </c>
      <c r="AE17" s="679"/>
      <c r="AF17" s="679"/>
      <c r="AG17" s="679"/>
      <c r="AH17" s="679"/>
      <c r="AI17" s="679"/>
      <c r="AJ17" s="679"/>
      <c r="AK17" s="679"/>
      <c r="AL17" s="679"/>
      <c r="AM17" s="679"/>
      <c r="AN17" s="679"/>
      <c r="AO17" s="679"/>
      <c r="AP17" s="679"/>
      <c r="AQ17" s="679"/>
      <c r="AR17" s="679"/>
      <c r="AS17" s="679"/>
      <c r="AT17" s="679"/>
      <c r="AU17" s="679"/>
      <c r="AV17" s="679"/>
      <c r="AW17" s="679"/>
      <c r="AX17" s="679"/>
      <c r="AY17" s="679"/>
      <c r="AZ17" s="679"/>
      <c r="BA17" s="679"/>
      <c r="BB17" s="679"/>
      <c r="BC17" s="679"/>
      <c r="BD17" s="679"/>
      <c r="BE17" s="679"/>
      <c r="BF17" s="679"/>
      <c r="BG17" s="679"/>
      <c r="BH17" s="679"/>
      <c r="BI17" s="679"/>
      <c r="BJ17" s="679"/>
      <c r="BK17" s="679"/>
      <c r="BL17" s="679"/>
      <c r="BM17" s="679"/>
      <c r="BN17" s="679"/>
      <c r="BO17" s="679"/>
      <c r="BP17" s="679"/>
      <c r="BQ17" s="679"/>
      <c r="BR17" s="679"/>
      <c r="BS17" s="679"/>
      <c r="BT17" s="679"/>
      <c r="BU17" s="679"/>
      <c r="BV17" s="679"/>
      <c r="BW17" s="679"/>
      <c r="BX17" s="679"/>
      <c r="BY17" s="679"/>
      <c r="BZ17" s="679"/>
      <c r="CA17" s="679"/>
    </row>
    <row r="18" spans="1:79" hidden="1" outlineLevel="1" x14ac:dyDescent="0.35">
      <c r="A18" s="224"/>
      <c r="B18" s="224"/>
      <c r="C18" s="224"/>
      <c r="D18" s="224"/>
      <c r="E18" s="224"/>
      <c r="F18" s="671" t="s">
        <v>862</v>
      </c>
      <c r="G18" s="679"/>
      <c r="H18" s="679"/>
      <c r="I18" s="679"/>
      <c r="J18" s="679"/>
      <c r="K18" s="679"/>
      <c r="L18" s="679"/>
      <c r="M18" s="679"/>
      <c r="N18" s="679"/>
      <c r="O18" s="679"/>
      <c r="P18" s="679"/>
      <c r="Q18" s="679"/>
      <c r="R18" s="679"/>
      <c r="S18" s="679">
        <v>0</v>
      </c>
      <c r="T18" s="679">
        <v>0</v>
      </c>
      <c r="U18" s="679">
        <v>0</v>
      </c>
      <c r="V18" s="679">
        <v>0</v>
      </c>
      <c r="W18" s="679">
        <v>0</v>
      </c>
      <c r="X18" s="679">
        <v>0</v>
      </c>
      <c r="Y18" s="679">
        <v>0</v>
      </c>
      <c r="Z18" s="679">
        <v>0</v>
      </c>
      <c r="AA18" s="679">
        <v>0</v>
      </c>
      <c r="AB18" s="679">
        <v>0</v>
      </c>
      <c r="AC18" s="679">
        <v>0</v>
      </c>
      <c r="AD18" s="679">
        <v>0</v>
      </c>
      <c r="AE18" s="679"/>
      <c r="AF18" s="679"/>
      <c r="AG18" s="679"/>
      <c r="AH18" s="679"/>
      <c r="AI18" s="679"/>
      <c r="AJ18" s="679"/>
      <c r="AK18" s="679"/>
      <c r="AL18" s="679"/>
      <c r="AM18" s="679"/>
      <c r="AN18" s="679"/>
      <c r="AO18" s="679"/>
      <c r="AP18" s="679"/>
      <c r="AQ18" s="679"/>
      <c r="AR18" s="679"/>
      <c r="AS18" s="679"/>
      <c r="AT18" s="679"/>
      <c r="AU18" s="679"/>
      <c r="AV18" s="679"/>
      <c r="AW18" s="679"/>
      <c r="AX18" s="679"/>
      <c r="AY18" s="679"/>
      <c r="AZ18" s="679"/>
      <c r="BA18" s="679"/>
      <c r="BB18" s="679"/>
      <c r="BC18" s="679"/>
      <c r="BD18" s="679"/>
      <c r="BE18" s="679"/>
      <c r="BF18" s="679"/>
      <c r="BG18" s="679"/>
      <c r="BH18" s="679"/>
      <c r="BI18" s="679"/>
      <c r="BJ18" s="679"/>
      <c r="BK18" s="679"/>
      <c r="BL18" s="679"/>
      <c r="BM18" s="679"/>
      <c r="BN18" s="679"/>
      <c r="BO18" s="679"/>
      <c r="BP18" s="679"/>
      <c r="BQ18" s="679"/>
      <c r="BR18" s="679"/>
      <c r="BS18" s="679"/>
      <c r="BT18" s="679"/>
      <c r="BU18" s="679"/>
      <c r="BV18" s="679"/>
      <c r="BW18" s="679"/>
      <c r="BX18" s="679"/>
      <c r="BY18" s="679"/>
      <c r="BZ18" s="679"/>
      <c r="CA18" s="679"/>
    </row>
    <row r="19" spans="1:79" hidden="1" outlineLevel="1" x14ac:dyDescent="0.35">
      <c r="A19" s="224"/>
      <c r="B19" s="224"/>
      <c r="C19" s="224"/>
      <c r="D19" s="224"/>
      <c r="E19" s="224"/>
      <c r="F19" s="671" t="s">
        <v>863</v>
      </c>
      <c r="G19" s="679"/>
      <c r="H19" s="679"/>
      <c r="I19" s="679"/>
      <c r="J19" s="679"/>
      <c r="K19" s="679"/>
      <c r="L19" s="679"/>
      <c r="M19" s="679"/>
      <c r="N19" s="679"/>
      <c r="O19" s="679"/>
      <c r="P19" s="679"/>
      <c r="Q19" s="679"/>
      <c r="R19" s="679"/>
      <c r="S19" s="679">
        <v>0</v>
      </c>
      <c r="T19" s="679">
        <v>0</v>
      </c>
      <c r="U19" s="679">
        <v>0</v>
      </c>
      <c r="V19" s="679">
        <v>0</v>
      </c>
      <c r="W19" s="679">
        <v>0</v>
      </c>
      <c r="X19" s="679">
        <v>0</v>
      </c>
      <c r="Y19" s="679">
        <v>0</v>
      </c>
      <c r="Z19" s="679">
        <v>0</v>
      </c>
      <c r="AA19" s="679">
        <v>0</v>
      </c>
      <c r="AB19" s="679">
        <v>0</v>
      </c>
      <c r="AC19" s="679">
        <v>0</v>
      </c>
      <c r="AD19" s="679">
        <v>0</v>
      </c>
      <c r="AE19" s="679"/>
      <c r="AF19" s="679"/>
      <c r="AG19" s="679"/>
      <c r="AH19" s="679"/>
      <c r="AI19" s="679"/>
      <c r="AJ19" s="679"/>
      <c r="AK19" s="679"/>
      <c r="AL19" s="679"/>
      <c r="AM19" s="679"/>
      <c r="AN19" s="679"/>
      <c r="AO19" s="679"/>
      <c r="AP19" s="679"/>
      <c r="AQ19" s="679"/>
      <c r="AR19" s="679"/>
      <c r="AS19" s="679"/>
      <c r="AT19" s="679"/>
      <c r="AU19" s="679"/>
      <c r="AV19" s="679"/>
      <c r="AW19" s="679"/>
      <c r="AX19" s="679"/>
      <c r="AY19" s="679"/>
      <c r="AZ19" s="679"/>
      <c r="BA19" s="679"/>
      <c r="BB19" s="679"/>
      <c r="BC19" s="679"/>
      <c r="BD19" s="679"/>
      <c r="BE19" s="679"/>
      <c r="BF19" s="679"/>
      <c r="BG19" s="679"/>
      <c r="BH19" s="679"/>
      <c r="BI19" s="679"/>
      <c r="BJ19" s="679"/>
      <c r="BK19" s="679"/>
      <c r="BL19" s="679"/>
      <c r="BM19" s="679"/>
      <c r="BN19" s="679"/>
      <c r="BO19" s="679"/>
      <c r="BP19" s="679"/>
      <c r="BQ19" s="679"/>
      <c r="BR19" s="679"/>
      <c r="BS19" s="679"/>
      <c r="BT19" s="679"/>
      <c r="BU19" s="679"/>
      <c r="BV19" s="679"/>
      <c r="BW19" s="679"/>
      <c r="BX19" s="679"/>
      <c r="BY19" s="679"/>
      <c r="BZ19" s="679"/>
      <c r="CA19" s="679"/>
    </row>
    <row r="20" spans="1:79" hidden="1" outlineLevel="1" x14ac:dyDescent="0.35">
      <c r="A20" s="224"/>
      <c r="B20" s="224"/>
      <c r="C20" s="224"/>
      <c r="D20" s="224"/>
      <c r="E20" s="224"/>
      <c r="F20" s="671" t="s">
        <v>18</v>
      </c>
      <c r="G20" s="679"/>
      <c r="H20" s="679"/>
      <c r="I20" s="679"/>
      <c r="J20" s="679"/>
      <c r="K20" s="679"/>
      <c r="L20" s="679"/>
      <c r="M20" s="679"/>
      <c r="N20" s="679"/>
      <c r="O20" s="679"/>
      <c r="P20" s="679"/>
      <c r="Q20" s="679"/>
      <c r="R20" s="679"/>
      <c r="S20" s="679">
        <v>0</v>
      </c>
      <c r="T20" s="679">
        <v>0</v>
      </c>
      <c r="U20" s="679">
        <v>0</v>
      </c>
      <c r="V20" s="679">
        <v>0</v>
      </c>
      <c r="W20" s="679">
        <v>0</v>
      </c>
      <c r="X20" s="679">
        <v>0</v>
      </c>
      <c r="Y20" s="679">
        <v>0</v>
      </c>
      <c r="Z20" s="679">
        <v>0</v>
      </c>
      <c r="AA20" s="679">
        <v>0</v>
      </c>
      <c r="AB20" s="679">
        <v>0</v>
      </c>
      <c r="AC20" s="679">
        <v>0</v>
      </c>
      <c r="AD20" s="679">
        <v>0</v>
      </c>
      <c r="AE20" s="679"/>
      <c r="AF20" s="679"/>
      <c r="AG20" s="679"/>
      <c r="AH20" s="679"/>
      <c r="AI20" s="679"/>
      <c r="AJ20" s="679"/>
      <c r="AK20" s="679"/>
      <c r="AL20" s="679"/>
      <c r="AM20" s="679"/>
      <c r="AN20" s="679"/>
      <c r="AO20" s="679"/>
      <c r="AP20" s="679"/>
      <c r="AQ20" s="679"/>
      <c r="AR20" s="679"/>
      <c r="AS20" s="679"/>
      <c r="AT20" s="679"/>
      <c r="AU20" s="679"/>
      <c r="AV20" s="679"/>
      <c r="AW20" s="679"/>
      <c r="AX20" s="679"/>
      <c r="AY20" s="679"/>
      <c r="AZ20" s="679"/>
      <c r="BA20" s="679"/>
      <c r="BB20" s="679"/>
      <c r="BC20" s="679"/>
      <c r="BD20" s="679"/>
      <c r="BE20" s="679"/>
      <c r="BF20" s="679"/>
      <c r="BG20" s="679"/>
      <c r="BH20" s="679"/>
      <c r="BI20" s="679"/>
      <c r="BJ20" s="679"/>
      <c r="BK20" s="679"/>
      <c r="BL20" s="679"/>
      <c r="BM20" s="679"/>
      <c r="BN20" s="679"/>
      <c r="BO20" s="679"/>
      <c r="BP20" s="679"/>
      <c r="BQ20" s="679"/>
      <c r="BR20" s="679"/>
      <c r="BS20" s="679"/>
      <c r="BT20" s="679"/>
      <c r="BU20" s="679"/>
      <c r="BV20" s="679"/>
      <c r="BW20" s="679"/>
      <c r="BX20" s="679"/>
      <c r="BY20" s="679"/>
      <c r="BZ20" s="679"/>
      <c r="CA20" s="679"/>
    </row>
    <row r="21" spans="1:79" hidden="1" outlineLevel="1" x14ac:dyDescent="0.35">
      <c r="A21" s="224"/>
      <c r="B21" s="224"/>
      <c r="C21" s="224"/>
      <c r="D21" s="224"/>
      <c r="E21" s="224"/>
      <c r="F21" s="671" t="s">
        <v>864</v>
      </c>
      <c r="G21" s="679"/>
      <c r="H21" s="679"/>
      <c r="I21" s="679"/>
      <c r="J21" s="679"/>
      <c r="K21" s="679"/>
      <c r="L21" s="679"/>
      <c r="M21" s="679"/>
      <c r="N21" s="679"/>
      <c r="O21" s="679"/>
      <c r="P21" s="679"/>
      <c r="Q21" s="679"/>
      <c r="R21" s="679"/>
      <c r="S21" s="679">
        <v>0</v>
      </c>
      <c r="T21" s="679">
        <v>0</v>
      </c>
      <c r="U21" s="679">
        <v>0</v>
      </c>
      <c r="V21" s="679">
        <v>0</v>
      </c>
      <c r="W21" s="679">
        <v>0</v>
      </c>
      <c r="X21" s="679">
        <v>0</v>
      </c>
      <c r="Y21" s="679">
        <v>0</v>
      </c>
      <c r="Z21" s="679">
        <v>0</v>
      </c>
      <c r="AA21" s="679">
        <v>0</v>
      </c>
      <c r="AB21" s="679">
        <v>0</v>
      </c>
      <c r="AC21" s="679">
        <v>0</v>
      </c>
      <c r="AD21" s="679">
        <v>0</v>
      </c>
      <c r="AE21" s="679"/>
      <c r="AF21" s="679"/>
      <c r="AG21" s="679"/>
      <c r="AH21" s="679"/>
      <c r="AI21" s="679"/>
      <c r="AJ21" s="679"/>
      <c r="AK21" s="679"/>
      <c r="AL21" s="679"/>
      <c r="AM21" s="679"/>
      <c r="AN21" s="679"/>
      <c r="AO21" s="679"/>
      <c r="AP21" s="679"/>
      <c r="AQ21" s="679"/>
      <c r="AR21" s="679"/>
      <c r="AS21" s="679"/>
      <c r="AT21" s="679"/>
      <c r="AU21" s="679"/>
      <c r="AV21" s="679"/>
      <c r="AW21" s="679"/>
      <c r="AX21" s="679"/>
      <c r="AY21" s="679"/>
      <c r="AZ21" s="679"/>
      <c r="BA21" s="679"/>
      <c r="BB21" s="679"/>
      <c r="BC21" s="679"/>
      <c r="BD21" s="679"/>
      <c r="BE21" s="679"/>
      <c r="BF21" s="679"/>
      <c r="BG21" s="679"/>
      <c r="BH21" s="679"/>
      <c r="BI21" s="679"/>
      <c r="BJ21" s="679"/>
      <c r="BK21" s="679"/>
      <c r="BL21" s="679"/>
      <c r="BM21" s="679"/>
      <c r="BN21" s="679"/>
      <c r="BO21" s="679"/>
      <c r="BP21" s="679"/>
      <c r="BQ21" s="679"/>
      <c r="BR21" s="679"/>
      <c r="BS21" s="679"/>
      <c r="BT21" s="679"/>
      <c r="BU21" s="679"/>
      <c r="BV21" s="679"/>
      <c r="BW21" s="679"/>
      <c r="BX21" s="679"/>
      <c r="BY21" s="679"/>
      <c r="BZ21" s="679"/>
      <c r="CA21" s="679"/>
    </row>
    <row r="22" spans="1:79" hidden="1" outlineLevel="1" x14ac:dyDescent="0.35">
      <c r="A22" s="709"/>
      <c r="B22" s="709"/>
      <c r="C22" s="709"/>
      <c r="D22" s="709"/>
      <c r="E22" s="709"/>
      <c r="F22" s="707" t="s">
        <v>649</v>
      </c>
      <c r="G22" s="708"/>
      <c r="H22" s="708"/>
      <c r="I22" s="708"/>
      <c r="J22" s="708"/>
      <c r="K22" s="708"/>
      <c r="L22" s="708"/>
      <c r="M22" s="708"/>
      <c r="N22" s="708"/>
      <c r="O22" s="708"/>
      <c r="P22" s="708"/>
      <c r="Q22" s="708"/>
      <c r="R22" s="708"/>
      <c r="S22" s="708"/>
      <c r="T22" s="708"/>
      <c r="U22" s="708"/>
      <c r="V22" s="708"/>
      <c r="W22" s="708"/>
      <c r="X22" s="708"/>
      <c r="Y22" s="708"/>
      <c r="Z22" s="708"/>
      <c r="AA22" s="708"/>
      <c r="AB22" s="708"/>
      <c r="AC22" s="708"/>
      <c r="AD22" s="708"/>
      <c r="AE22" s="708"/>
      <c r="AF22" s="708"/>
      <c r="AG22" s="708"/>
      <c r="AH22" s="708"/>
      <c r="AI22" s="708"/>
      <c r="AJ22" s="708"/>
      <c r="AK22" s="708"/>
      <c r="AL22" s="708"/>
      <c r="AM22" s="708"/>
      <c r="AN22" s="708"/>
      <c r="AO22" s="708"/>
      <c r="AP22" s="708"/>
      <c r="AQ22" s="708"/>
      <c r="AR22" s="708"/>
      <c r="AS22" s="708"/>
      <c r="AT22" s="708"/>
      <c r="AU22" s="708"/>
      <c r="AV22" s="708"/>
      <c r="AW22" s="708"/>
      <c r="AX22" s="708"/>
      <c r="AY22" s="708"/>
      <c r="AZ22" s="708"/>
      <c r="BA22" s="708"/>
      <c r="BB22" s="708"/>
      <c r="BC22" s="708"/>
      <c r="BD22" s="708"/>
      <c r="BE22" s="708"/>
      <c r="BF22" s="708"/>
      <c r="BG22" s="708"/>
      <c r="BH22" s="708"/>
      <c r="BI22" s="708"/>
      <c r="BJ22" s="708"/>
      <c r="BK22" s="708"/>
      <c r="BL22" s="708"/>
      <c r="BM22" s="708"/>
      <c r="BN22" s="708"/>
      <c r="BO22" s="708"/>
      <c r="BP22" s="708"/>
      <c r="BQ22" s="708"/>
      <c r="BR22" s="708"/>
      <c r="BS22" s="708"/>
      <c r="BT22" s="708"/>
      <c r="BU22" s="708"/>
      <c r="BV22" s="708"/>
      <c r="BW22" s="708"/>
      <c r="BX22" s="708"/>
      <c r="BY22" s="708"/>
      <c r="BZ22" s="708"/>
      <c r="CA22" s="708"/>
    </row>
    <row r="23" spans="1:79" hidden="1" outlineLevel="1" x14ac:dyDescent="0.35">
      <c r="A23" s="224"/>
      <c r="B23" s="224"/>
      <c r="C23" s="224"/>
      <c r="D23" s="224"/>
      <c r="E23" s="224"/>
      <c r="F23" s="672" t="s">
        <v>865</v>
      </c>
      <c r="G23" s="679"/>
      <c r="H23" s="679"/>
      <c r="I23" s="679"/>
      <c r="J23" s="679"/>
      <c r="K23" s="679"/>
      <c r="L23" s="679"/>
      <c r="M23" s="679"/>
      <c r="N23" s="679"/>
      <c r="O23" s="679"/>
      <c r="P23" s="679"/>
      <c r="Q23" s="679"/>
      <c r="R23" s="679"/>
      <c r="S23" s="679">
        <v>0</v>
      </c>
      <c r="T23" s="679">
        <v>0</v>
      </c>
      <c r="U23" s="679">
        <v>0</v>
      </c>
      <c r="V23" s="679">
        <v>0</v>
      </c>
      <c r="W23" s="679">
        <v>0</v>
      </c>
      <c r="X23" s="679">
        <v>0</v>
      </c>
      <c r="Y23" s="679">
        <v>0</v>
      </c>
      <c r="Z23" s="679">
        <v>0</v>
      </c>
      <c r="AA23" s="679">
        <v>0</v>
      </c>
      <c r="AB23" s="679">
        <v>0</v>
      </c>
      <c r="AC23" s="679">
        <v>0</v>
      </c>
      <c r="AD23" s="679">
        <v>0</v>
      </c>
      <c r="AE23" s="679"/>
      <c r="AF23" s="679"/>
      <c r="AG23" s="679"/>
      <c r="AH23" s="679"/>
      <c r="AI23" s="679"/>
      <c r="AJ23" s="679"/>
      <c r="AK23" s="679"/>
      <c r="AL23" s="679"/>
      <c r="AM23" s="679"/>
      <c r="AN23" s="679"/>
      <c r="AO23" s="679"/>
      <c r="AP23" s="679"/>
      <c r="AQ23" s="679"/>
      <c r="AR23" s="679"/>
      <c r="AS23" s="679"/>
      <c r="AT23" s="679"/>
      <c r="AU23" s="679"/>
      <c r="AV23" s="679"/>
      <c r="AW23" s="679"/>
      <c r="AX23" s="679"/>
      <c r="AY23" s="679"/>
      <c r="AZ23" s="679"/>
      <c r="BA23" s="679"/>
      <c r="BB23" s="679"/>
      <c r="BC23" s="679"/>
      <c r="BD23" s="679"/>
      <c r="BE23" s="679"/>
      <c r="BF23" s="679"/>
      <c r="BG23" s="679"/>
      <c r="BH23" s="679"/>
      <c r="BI23" s="679"/>
      <c r="BJ23" s="679"/>
      <c r="BK23" s="679"/>
      <c r="BL23" s="679"/>
      <c r="BM23" s="679"/>
      <c r="BN23" s="679"/>
      <c r="BO23" s="679"/>
      <c r="BP23" s="679"/>
      <c r="BQ23" s="679"/>
      <c r="BR23" s="679"/>
      <c r="BS23" s="679"/>
      <c r="BT23" s="679"/>
      <c r="BU23" s="679"/>
      <c r="BV23" s="679"/>
      <c r="BW23" s="679"/>
      <c r="BX23" s="679"/>
      <c r="BY23" s="679"/>
      <c r="BZ23" s="679"/>
      <c r="CA23" s="679"/>
    </row>
    <row r="24" spans="1:79" hidden="1" outlineLevel="1" x14ac:dyDescent="0.35">
      <c r="A24" s="224"/>
      <c r="B24" s="224"/>
      <c r="C24" s="224"/>
      <c r="D24" s="224"/>
      <c r="E24" s="224"/>
      <c r="F24" s="672" t="s">
        <v>866</v>
      </c>
      <c r="G24" s="679"/>
      <c r="H24" s="679"/>
      <c r="I24" s="679"/>
      <c r="J24" s="679"/>
      <c r="K24" s="679"/>
      <c r="L24" s="679"/>
      <c r="M24" s="679"/>
      <c r="N24" s="679"/>
      <c r="O24" s="679"/>
      <c r="P24" s="679"/>
      <c r="Q24" s="679"/>
      <c r="R24" s="679"/>
      <c r="S24" s="679">
        <v>0</v>
      </c>
      <c r="T24" s="679">
        <v>0</v>
      </c>
      <c r="U24" s="679">
        <v>0</v>
      </c>
      <c r="V24" s="679">
        <v>0</v>
      </c>
      <c r="W24" s="679">
        <v>0</v>
      </c>
      <c r="X24" s="679">
        <v>0</v>
      </c>
      <c r="Y24" s="679">
        <v>0</v>
      </c>
      <c r="Z24" s="679">
        <v>0</v>
      </c>
      <c r="AA24" s="679">
        <v>0</v>
      </c>
      <c r="AB24" s="679">
        <v>0</v>
      </c>
      <c r="AC24" s="679">
        <v>0</v>
      </c>
      <c r="AD24" s="679">
        <v>0</v>
      </c>
      <c r="AE24" s="679"/>
      <c r="AF24" s="679"/>
      <c r="AG24" s="679"/>
      <c r="AH24" s="679"/>
      <c r="AI24" s="679"/>
      <c r="AJ24" s="679"/>
      <c r="AK24" s="679"/>
      <c r="AL24" s="679"/>
      <c r="AM24" s="679"/>
      <c r="AN24" s="679"/>
      <c r="AO24" s="679"/>
      <c r="AP24" s="679"/>
      <c r="AQ24" s="679"/>
      <c r="AR24" s="679"/>
      <c r="AS24" s="679"/>
      <c r="AT24" s="679"/>
      <c r="AU24" s="679"/>
      <c r="AV24" s="679"/>
      <c r="AW24" s="679"/>
      <c r="AX24" s="679"/>
      <c r="AY24" s="679"/>
      <c r="AZ24" s="679"/>
      <c r="BA24" s="679"/>
      <c r="BB24" s="679"/>
      <c r="BC24" s="679"/>
      <c r="BD24" s="679"/>
      <c r="BE24" s="679"/>
      <c r="BF24" s="679"/>
      <c r="BG24" s="679"/>
      <c r="BH24" s="679"/>
      <c r="BI24" s="679"/>
      <c r="BJ24" s="679"/>
      <c r="BK24" s="679"/>
      <c r="BL24" s="679"/>
      <c r="BM24" s="679"/>
      <c r="BN24" s="679"/>
      <c r="BO24" s="679"/>
      <c r="BP24" s="679"/>
      <c r="BQ24" s="679"/>
      <c r="BR24" s="679"/>
      <c r="BS24" s="679"/>
      <c r="BT24" s="679"/>
      <c r="BU24" s="679"/>
      <c r="BV24" s="679"/>
      <c r="BW24" s="679"/>
      <c r="BX24" s="679"/>
      <c r="BY24" s="679"/>
      <c r="BZ24" s="679"/>
      <c r="CA24" s="679"/>
    </row>
    <row r="25" spans="1:79" hidden="1" outlineLevel="1" x14ac:dyDescent="0.35">
      <c r="A25" s="224"/>
      <c r="B25" s="224"/>
      <c r="C25" s="224"/>
      <c r="D25" s="224"/>
      <c r="E25" s="224"/>
      <c r="F25" s="673" t="s">
        <v>867</v>
      </c>
      <c r="G25" s="680">
        <f>SUM(G23:G24)</f>
        <v>0</v>
      </c>
      <c r="H25" s="680">
        <f t="shared" ref="H25:BO25" si="3">SUM(H23:H24)</f>
        <v>0</v>
      </c>
      <c r="I25" s="680">
        <f t="shared" si="3"/>
        <v>0</v>
      </c>
      <c r="J25" s="680">
        <f t="shared" si="3"/>
        <v>0</v>
      </c>
      <c r="K25" s="680">
        <f t="shared" si="3"/>
        <v>0</v>
      </c>
      <c r="L25" s="680">
        <f t="shared" si="3"/>
        <v>0</v>
      </c>
      <c r="M25" s="680">
        <f t="shared" si="3"/>
        <v>0</v>
      </c>
      <c r="N25" s="680">
        <f t="shared" si="3"/>
        <v>0</v>
      </c>
      <c r="O25" s="680">
        <f t="shared" si="3"/>
        <v>0</v>
      </c>
      <c r="P25" s="680">
        <f t="shared" si="3"/>
        <v>0</v>
      </c>
      <c r="Q25" s="680">
        <f t="shared" si="3"/>
        <v>0</v>
      </c>
      <c r="R25" s="680">
        <f t="shared" si="3"/>
        <v>0</v>
      </c>
      <c r="S25" s="680">
        <f t="shared" ref="S25:AA25" si="4">ROUND(SUM(S22:S24),5)</f>
        <v>0</v>
      </c>
      <c r="T25" s="680">
        <f t="shared" si="4"/>
        <v>0</v>
      </c>
      <c r="U25" s="680">
        <f t="shared" si="4"/>
        <v>0</v>
      </c>
      <c r="V25" s="680">
        <f t="shared" si="4"/>
        <v>0</v>
      </c>
      <c r="W25" s="680">
        <f t="shared" si="4"/>
        <v>0</v>
      </c>
      <c r="X25" s="680">
        <f t="shared" si="4"/>
        <v>0</v>
      </c>
      <c r="Y25" s="680">
        <f t="shared" si="4"/>
        <v>0</v>
      </c>
      <c r="Z25" s="680">
        <f t="shared" si="4"/>
        <v>0</v>
      </c>
      <c r="AA25" s="680">
        <f t="shared" si="4"/>
        <v>0</v>
      </c>
      <c r="AB25" s="680">
        <f>ROUND(SUM(AB22:AB24),5)</f>
        <v>0</v>
      </c>
      <c r="AC25" s="680">
        <f>ROUND(SUM(AC22:AC24),5)</f>
        <v>0</v>
      </c>
      <c r="AD25" s="680">
        <v>0</v>
      </c>
      <c r="AE25" s="680">
        <f t="shared" si="3"/>
        <v>0</v>
      </c>
      <c r="AF25" s="680">
        <f t="shared" si="3"/>
        <v>0</v>
      </c>
      <c r="AG25" s="680">
        <f t="shared" si="3"/>
        <v>0</v>
      </c>
      <c r="AH25" s="680">
        <f t="shared" si="3"/>
        <v>0</v>
      </c>
      <c r="AI25" s="680">
        <f t="shared" si="3"/>
        <v>0</v>
      </c>
      <c r="AJ25" s="680">
        <f t="shared" si="3"/>
        <v>0</v>
      </c>
      <c r="AK25" s="680">
        <f t="shared" si="3"/>
        <v>0</v>
      </c>
      <c r="AL25" s="680">
        <f t="shared" si="3"/>
        <v>0</v>
      </c>
      <c r="AM25" s="680">
        <f t="shared" si="3"/>
        <v>0</v>
      </c>
      <c r="AN25" s="680">
        <f t="shared" si="3"/>
        <v>0</v>
      </c>
      <c r="AO25" s="680">
        <f t="shared" si="3"/>
        <v>0</v>
      </c>
      <c r="AP25" s="680">
        <f t="shared" si="3"/>
        <v>0</v>
      </c>
      <c r="AQ25" s="680">
        <f t="shared" si="3"/>
        <v>0</v>
      </c>
      <c r="AR25" s="680">
        <f t="shared" si="3"/>
        <v>0</v>
      </c>
      <c r="AS25" s="680">
        <f t="shared" si="3"/>
        <v>0</v>
      </c>
      <c r="AT25" s="680">
        <f t="shared" si="3"/>
        <v>0</v>
      </c>
      <c r="AU25" s="680">
        <f t="shared" si="3"/>
        <v>0</v>
      </c>
      <c r="AV25" s="680">
        <f t="shared" si="3"/>
        <v>0</v>
      </c>
      <c r="AW25" s="680">
        <f t="shared" si="3"/>
        <v>0</v>
      </c>
      <c r="AX25" s="680">
        <f t="shared" si="3"/>
        <v>0</v>
      </c>
      <c r="AY25" s="680">
        <f t="shared" si="3"/>
        <v>0</v>
      </c>
      <c r="AZ25" s="680">
        <f t="shared" si="3"/>
        <v>0</v>
      </c>
      <c r="BA25" s="680">
        <f t="shared" si="3"/>
        <v>0</v>
      </c>
      <c r="BB25" s="680">
        <f t="shared" si="3"/>
        <v>0</v>
      </c>
      <c r="BC25" s="680">
        <f t="shared" si="3"/>
        <v>0</v>
      </c>
      <c r="BD25" s="680">
        <f t="shared" si="3"/>
        <v>0</v>
      </c>
      <c r="BE25" s="680">
        <f t="shared" si="3"/>
        <v>0</v>
      </c>
      <c r="BF25" s="680">
        <f t="shared" si="3"/>
        <v>0</v>
      </c>
      <c r="BG25" s="680">
        <f t="shared" si="3"/>
        <v>0</v>
      </c>
      <c r="BH25" s="680">
        <f t="shared" si="3"/>
        <v>0</v>
      </c>
      <c r="BI25" s="680">
        <f t="shared" si="3"/>
        <v>0</v>
      </c>
      <c r="BJ25" s="680">
        <f t="shared" si="3"/>
        <v>0</v>
      </c>
      <c r="BK25" s="680">
        <f t="shared" si="3"/>
        <v>0</v>
      </c>
      <c r="BL25" s="680">
        <f t="shared" si="3"/>
        <v>0</v>
      </c>
      <c r="BM25" s="680">
        <f t="shared" si="3"/>
        <v>0</v>
      </c>
      <c r="BN25" s="680">
        <f t="shared" si="3"/>
        <v>0</v>
      </c>
      <c r="BO25" s="680">
        <f t="shared" si="3"/>
        <v>0</v>
      </c>
      <c r="BP25" s="680">
        <f t="shared" ref="BP25:CA25" si="5">SUM(BP23:BP24)</f>
        <v>0</v>
      </c>
      <c r="BQ25" s="680">
        <f t="shared" si="5"/>
        <v>0</v>
      </c>
      <c r="BR25" s="680">
        <f t="shared" si="5"/>
        <v>0</v>
      </c>
      <c r="BS25" s="680">
        <f t="shared" si="5"/>
        <v>0</v>
      </c>
      <c r="BT25" s="680">
        <f t="shared" si="5"/>
        <v>0</v>
      </c>
      <c r="BU25" s="680">
        <f t="shared" si="5"/>
        <v>0</v>
      </c>
      <c r="BV25" s="680">
        <f t="shared" si="5"/>
        <v>0</v>
      </c>
      <c r="BW25" s="680">
        <f t="shared" si="5"/>
        <v>0</v>
      </c>
      <c r="BX25" s="680">
        <f t="shared" si="5"/>
        <v>0</v>
      </c>
      <c r="BY25" s="680">
        <f t="shared" si="5"/>
        <v>0</v>
      </c>
      <c r="BZ25" s="680">
        <f t="shared" si="5"/>
        <v>0</v>
      </c>
      <c r="CA25" s="680">
        <f t="shared" si="5"/>
        <v>0</v>
      </c>
    </row>
    <row r="26" spans="1:79" hidden="1" outlineLevel="1" x14ac:dyDescent="0.35">
      <c r="A26" s="224"/>
      <c r="B26" s="224"/>
      <c r="C26" s="224"/>
      <c r="D26" s="224"/>
      <c r="E26" s="224"/>
      <c r="F26" s="671" t="s">
        <v>868</v>
      </c>
      <c r="G26" s="679"/>
      <c r="H26" s="679"/>
      <c r="I26" s="679"/>
      <c r="J26" s="679"/>
      <c r="K26" s="679"/>
      <c r="L26" s="679"/>
      <c r="M26" s="679"/>
      <c r="N26" s="679"/>
      <c r="O26" s="679"/>
      <c r="P26" s="679"/>
      <c r="Q26" s="679"/>
      <c r="R26" s="679"/>
      <c r="S26" s="679">
        <v>0</v>
      </c>
      <c r="T26" s="679">
        <v>0</v>
      </c>
      <c r="U26" s="679">
        <v>0</v>
      </c>
      <c r="V26" s="679">
        <v>0</v>
      </c>
      <c r="W26" s="679">
        <v>0</v>
      </c>
      <c r="X26" s="679">
        <v>0</v>
      </c>
      <c r="Y26" s="679">
        <v>0</v>
      </c>
      <c r="Z26" s="679">
        <v>0</v>
      </c>
      <c r="AA26" s="679">
        <v>0</v>
      </c>
      <c r="AB26" s="679">
        <v>0</v>
      </c>
      <c r="AC26" s="679">
        <v>0</v>
      </c>
      <c r="AD26" s="679">
        <v>0</v>
      </c>
      <c r="AE26" s="679"/>
      <c r="AF26" s="679"/>
      <c r="AG26" s="679"/>
      <c r="AH26" s="679"/>
      <c r="AI26" s="679"/>
      <c r="AJ26" s="679"/>
      <c r="AK26" s="679"/>
      <c r="AL26" s="679"/>
      <c r="AM26" s="679"/>
      <c r="AN26" s="679"/>
      <c r="AO26" s="679"/>
      <c r="AP26" s="679"/>
      <c r="AQ26" s="679"/>
      <c r="AR26" s="679"/>
      <c r="AS26" s="679"/>
      <c r="AT26" s="679"/>
      <c r="AU26" s="679"/>
      <c r="AV26" s="679"/>
      <c r="AW26" s="679"/>
      <c r="AX26" s="679"/>
      <c r="AY26" s="679"/>
      <c r="AZ26" s="679"/>
      <c r="BA26" s="679"/>
      <c r="BB26" s="679"/>
      <c r="BC26" s="679"/>
      <c r="BD26" s="679"/>
      <c r="BE26" s="679"/>
      <c r="BF26" s="679"/>
      <c r="BG26" s="679"/>
      <c r="BH26" s="679"/>
      <c r="BI26" s="679"/>
      <c r="BJ26" s="679"/>
      <c r="BK26" s="679"/>
      <c r="BL26" s="679"/>
      <c r="BM26" s="679"/>
      <c r="BN26" s="679"/>
      <c r="BO26" s="679"/>
      <c r="BP26" s="679"/>
      <c r="BQ26" s="679"/>
      <c r="BR26" s="679"/>
      <c r="BS26" s="679"/>
      <c r="BT26" s="679"/>
      <c r="BU26" s="679"/>
      <c r="BV26" s="679"/>
      <c r="BW26" s="679"/>
      <c r="BX26" s="679"/>
      <c r="BY26" s="679"/>
      <c r="BZ26" s="679"/>
      <c r="CA26" s="679"/>
    </row>
    <row r="27" spans="1:79" hidden="1" outlineLevel="1" x14ac:dyDescent="0.35">
      <c r="A27" s="224"/>
      <c r="B27" s="224"/>
      <c r="C27" s="224"/>
      <c r="D27" s="224"/>
      <c r="E27" s="224"/>
      <c r="F27" s="671" t="s">
        <v>869</v>
      </c>
      <c r="G27" s="679"/>
      <c r="H27" s="679"/>
      <c r="I27" s="679"/>
      <c r="J27" s="679"/>
      <c r="K27" s="679"/>
      <c r="L27" s="679"/>
      <c r="M27" s="679"/>
      <c r="N27" s="679"/>
      <c r="O27" s="679"/>
      <c r="P27" s="679"/>
      <c r="Q27" s="679"/>
      <c r="R27" s="679"/>
      <c r="S27" s="679">
        <v>0</v>
      </c>
      <c r="T27" s="679">
        <v>0</v>
      </c>
      <c r="U27" s="679">
        <v>0</v>
      </c>
      <c r="V27" s="679">
        <v>0</v>
      </c>
      <c r="W27" s="679">
        <v>0</v>
      </c>
      <c r="X27" s="679">
        <v>0</v>
      </c>
      <c r="Y27" s="679">
        <v>0</v>
      </c>
      <c r="Z27" s="679">
        <v>0</v>
      </c>
      <c r="AA27" s="679">
        <v>0</v>
      </c>
      <c r="AB27" s="679">
        <v>0</v>
      </c>
      <c r="AC27" s="679">
        <v>0</v>
      </c>
      <c r="AD27" s="679">
        <v>0</v>
      </c>
      <c r="AE27" s="679"/>
      <c r="AF27" s="679"/>
      <c r="AG27" s="679"/>
      <c r="AH27" s="679"/>
      <c r="AI27" s="679"/>
      <c r="AJ27" s="679"/>
      <c r="AK27" s="679"/>
      <c r="AL27" s="679"/>
      <c r="AM27" s="679"/>
      <c r="AN27" s="679"/>
      <c r="AO27" s="679"/>
      <c r="AP27" s="679"/>
      <c r="AQ27" s="679"/>
      <c r="AR27" s="679"/>
      <c r="AS27" s="679"/>
      <c r="AT27" s="679"/>
      <c r="AU27" s="679"/>
      <c r="AV27" s="679"/>
      <c r="AW27" s="679"/>
      <c r="AX27" s="679"/>
      <c r="AY27" s="679"/>
      <c r="AZ27" s="679"/>
      <c r="BA27" s="679"/>
      <c r="BB27" s="679"/>
      <c r="BC27" s="679"/>
      <c r="BD27" s="679"/>
      <c r="BE27" s="679"/>
      <c r="BF27" s="679"/>
      <c r="BG27" s="679"/>
      <c r="BH27" s="679"/>
      <c r="BI27" s="679"/>
      <c r="BJ27" s="679"/>
      <c r="BK27" s="679"/>
      <c r="BL27" s="679"/>
      <c r="BM27" s="679"/>
      <c r="BN27" s="679"/>
      <c r="BO27" s="679"/>
      <c r="BP27" s="679"/>
      <c r="BQ27" s="679"/>
      <c r="BR27" s="679"/>
      <c r="BS27" s="679"/>
      <c r="BT27" s="679"/>
      <c r="BU27" s="679"/>
      <c r="BV27" s="679"/>
      <c r="BW27" s="679"/>
      <c r="BX27" s="679"/>
      <c r="BY27" s="679"/>
      <c r="BZ27" s="679"/>
      <c r="CA27" s="679"/>
    </row>
    <row r="28" spans="1:79" hidden="1" outlineLevel="1" x14ac:dyDescent="0.35">
      <c r="A28" s="709"/>
      <c r="B28" s="709"/>
      <c r="C28" s="709"/>
      <c r="D28" s="709"/>
      <c r="E28" s="709"/>
      <c r="F28" s="707" t="s">
        <v>870</v>
      </c>
      <c r="G28" s="708"/>
      <c r="H28" s="708"/>
      <c r="I28" s="708"/>
      <c r="J28" s="708"/>
      <c r="K28" s="708"/>
      <c r="L28" s="708"/>
      <c r="M28" s="708"/>
      <c r="N28" s="708"/>
      <c r="O28" s="708"/>
      <c r="P28" s="708"/>
      <c r="Q28" s="708"/>
      <c r="R28" s="708"/>
      <c r="S28" s="708"/>
      <c r="T28" s="708"/>
      <c r="U28" s="708"/>
      <c r="V28" s="708"/>
      <c r="W28" s="708"/>
      <c r="X28" s="708"/>
      <c r="Y28" s="708"/>
      <c r="Z28" s="708"/>
      <c r="AA28" s="708"/>
      <c r="AB28" s="708"/>
      <c r="AC28" s="708"/>
      <c r="AD28" s="708"/>
      <c r="AE28" s="708"/>
      <c r="AF28" s="708"/>
      <c r="AG28" s="708"/>
      <c r="AH28" s="708"/>
      <c r="AI28" s="708"/>
      <c r="AJ28" s="708"/>
      <c r="AK28" s="708"/>
      <c r="AL28" s="708"/>
      <c r="AM28" s="708"/>
      <c r="AN28" s="708"/>
      <c r="AO28" s="708"/>
      <c r="AP28" s="708"/>
      <c r="AQ28" s="708"/>
      <c r="AR28" s="708"/>
      <c r="AS28" s="708"/>
      <c r="AT28" s="708"/>
      <c r="AU28" s="708"/>
      <c r="AV28" s="708"/>
      <c r="AW28" s="708"/>
      <c r="AX28" s="708"/>
      <c r="AY28" s="708"/>
      <c r="AZ28" s="708"/>
      <c r="BA28" s="708"/>
      <c r="BB28" s="708"/>
      <c r="BC28" s="708"/>
      <c r="BD28" s="708"/>
      <c r="BE28" s="708"/>
      <c r="BF28" s="708"/>
      <c r="BG28" s="708"/>
      <c r="BH28" s="708"/>
      <c r="BI28" s="708"/>
      <c r="BJ28" s="708"/>
      <c r="BK28" s="708"/>
      <c r="BL28" s="708"/>
      <c r="BM28" s="708"/>
      <c r="BN28" s="708"/>
      <c r="BO28" s="708"/>
      <c r="BP28" s="708"/>
      <c r="BQ28" s="708"/>
      <c r="BR28" s="708"/>
      <c r="BS28" s="708"/>
      <c r="BT28" s="708"/>
      <c r="BU28" s="708"/>
      <c r="BV28" s="708"/>
      <c r="BW28" s="708"/>
      <c r="BX28" s="708"/>
      <c r="BY28" s="708"/>
      <c r="BZ28" s="708"/>
      <c r="CA28" s="708"/>
    </row>
    <row r="29" spans="1:79" hidden="1" outlineLevel="1" x14ac:dyDescent="0.35">
      <c r="A29" s="224"/>
      <c r="B29" s="224"/>
      <c r="C29" s="224"/>
      <c r="D29" s="224"/>
      <c r="E29" s="224"/>
      <c r="F29" s="672" t="s">
        <v>871</v>
      </c>
      <c r="G29" s="679"/>
      <c r="H29" s="679"/>
      <c r="I29" s="679"/>
      <c r="J29" s="679"/>
      <c r="K29" s="679"/>
      <c r="L29" s="679"/>
      <c r="M29" s="679"/>
      <c r="N29" s="679"/>
      <c r="O29" s="679"/>
      <c r="P29" s="679"/>
      <c r="Q29" s="679"/>
      <c r="R29" s="679"/>
      <c r="S29" s="679">
        <v>0</v>
      </c>
      <c r="T29" s="679">
        <v>0</v>
      </c>
      <c r="U29" s="679">
        <v>0</v>
      </c>
      <c r="V29" s="679">
        <v>0</v>
      </c>
      <c r="W29" s="679">
        <v>0</v>
      </c>
      <c r="X29" s="679">
        <v>0</v>
      </c>
      <c r="Y29" s="679">
        <v>0</v>
      </c>
      <c r="Z29" s="679">
        <v>0</v>
      </c>
      <c r="AA29" s="679">
        <v>0</v>
      </c>
      <c r="AB29" s="679">
        <v>0</v>
      </c>
      <c r="AC29" s="679">
        <v>0</v>
      </c>
      <c r="AD29" s="679">
        <v>0</v>
      </c>
      <c r="AE29" s="679"/>
      <c r="AF29" s="679"/>
      <c r="AG29" s="679"/>
      <c r="AH29" s="679"/>
      <c r="AI29" s="679"/>
      <c r="AJ29" s="679"/>
      <c r="AK29" s="679"/>
      <c r="AL29" s="679"/>
      <c r="AM29" s="679"/>
      <c r="AN29" s="679"/>
      <c r="AO29" s="679"/>
      <c r="AP29" s="679"/>
      <c r="AQ29" s="679"/>
      <c r="AR29" s="679"/>
      <c r="AS29" s="679"/>
      <c r="AT29" s="679"/>
      <c r="AU29" s="679"/>
      <c r="AV29" s="679"/>
      <c r="AW29" s="679"/>
      <c r="AX29" s="679"/>
      <c r="AY29" s="679"/>
      <c r="AZ29" s="679"/>
      <c r="BA29" s="679"/>
      <c r="BB29" s="679"/>
      <c r="BC29" s="679"/>
      <c r="BD29" s="679"/>
      <c r="BE29" s="679"/>
      <c r="BF29" s="679"/>
      <c r="BG29" s="679"/>
      <c r="BH29" s="679"/>
      <c r="BI29" s="679"/>
      <c r="BJ29" s="679"/>
      <c r="BK29" s="679"/>
      <c r="BL29" s="679"/>
      <c r="BM29" s="679"/>
      <c r="BN29" s="679"/>
      <c r="BO29" s="679"/>
      <c r="BP29" s="679"/>
      <c r="BQ29" s="679"/>
      <c r="BR29" s="679"/>
      <c r="BS29" s="679"/>
      <c r="BT29" s="679"/>
      <c r="BU29" s="679"/>
      <c r="BV29" s="679"/>
      <c r="BW29" s="679"/>
      <c r="BX29" s="679"/>
      <c r="BY29" s="679"/>
      <c r="BZ29" s="679"/>
      <c r="CA29" s="679"/>
    </row>
    <row r="30" spans="1:79" hidden="1" outlineLevel="1" x14ac:dyDescent="0.35">
      <c r="A30" s="224"/>
      <c r="B30" s="224"/>
      <c r="C30" s="224"/>
      <c r="D30" s="224"/>
      <c r="E30" s="224"/>
      <c r="F30" s="672" t="s">
        <v>872</v>
      </c>
      <c r="G30" s="679"/>
      <c r="H30" s="679"/>
      <c r="I30" s="679"/>
      <c r="J30" s="679"/>
      <c r="K30" s="679"/>
      <c r="L30" s="679"/>
      <c r="M30" s="679"/>
      <c r="N30" s="679"/>
      <c r="O30" s="679"/>
      <c r="P30" s="679"/>
      <c r="Q30" s="679"/>
      <c r="R30" s="679"/>
      <c r="S30" s="679">
        <v>0</v>
      </c>
      <c r="T30" s="679">
        <v>0</v>
      </c>
      <c r="U30" s="679">
        <v>0</v>
      </c>
      <c r="V30" s="679">
        <v>0</v>
      </c>
      <c r="W30" s="679">
        <v>0</v>
      </c>
      <c r="X30" s="679">
        <v>0</v>
      </c>
      <c r="Y30" s="679">
        <v>0</v>
      </c>
      <c r="Z30" s="679">
        <v>0</v>
      </c>
      <c r="AA30" s="679">
        <v>0</v>
      </c>
      <c r="AB30" s="679">
        <v>0</v>
      </c>
      <c r="AC30" s="679">
        <v>0</v>
      </c>
      <c r="AD30" s="679">
        <v>0</v>
      </c>
      <c r="AE30" s="679"/>
      <c r="AF30" s="679"/>
      <c r="AG30" s="679"/>
      <c r="AH30" s="679"/>
      <c r="AI30" s="679"/>
      <c r="AJ30" s="679"/>
      <c r="AK30" s="679"/>
      <c r="AL30" s="679"/>
      <c r="AM30" s="679"/>
      <c r="AN30" s="679"/>
      <c r="AO30" s="679"/>
      <c r="AP30" s="679"/>
      <c r="AQ30" s="679"/>
      <c r="AR30" s="679"/>
      <c r="AS30" s="679"/>
      <c r="AT30" s="679"/>
      <c r="AU30" s="679"/>
      <c r="AV30" s="679"/>
      <c r="AW30" s="679"/>
      <c r="AX30" s="679"/>
      <c r="AY30" s="679"/>
      <c r="AZ30" s="679"/>
      <c r="BA30" s="679"/>
      <c r="BB30" s="679"/>
      <c r="BC30" s="679"/>
      <c r="BD30" s="679"/>
      <c r="BE30" s="679"/>
      <c r="BF30" s="679"/>
      <c r="BG30" s="679"/>
      <c r="BH30" s="679"/>
      <c r="BI30" s="679"/>
      <c r="BJ30" s="679"/>
      <c r="BK30" s="679"/>
      <c r="BL30" s="679"/>
      <c r="BM30" s="679"/>
      <c r="BN30" s="679"/>
      <c r="BO30" s="679"/>
      <c r="BP30" s="679"/>
      <c r="BQ30" s="679"/>
      <c r="BR30" s="679"/>
      <c r="BS30" s="679"/>
      <c r="BT30" s="679"/>
      <c r="BU30" s="679"/>
      <c r="BV30" s="679"/>
      <c r="BW30" s="679"/>
      <c r="BX30" s="679"/>
      <c r="BY30" s="679"/>
      <c r="BZ30" s="679"/>
      <c r="CA30" s="679"/>
    </row>
    <row r="31" spans="1:79" hidden="1" outlineLevel="1" x14ac:dyDescent="0.35">
      <c r="A31" s="224"/>
      <c r="B31" s="224"/>
      <c r="C31" s="224"/>
      <c r="D31" s="224"/>
      <c r="E31" s="224"/>
      <c r="F31" s="673" t="s">
        <v>873</v>
      </c>
      <c r="G31" s="680">
        <f>SUM(G29:G30)</f>
        <v>0</v>
      </c>
      <c r="H31" s="680">
        <f t="shared" ref="H31:BO31" si="6">SUM(H29:H30)</f>
        <v>0</v>
      </c>
      <c r="I31" s="680">
        <f t="shared" si="6"/>
        <v>0</v>
      </c>
      <c r="J31" s="680">
        <f t="shared" si="6"/>
        <v>0</v>
      </c>
      <c r="K31" s="680">
        <f t="shared" si="6"/>
        <v>0</v>
      </c>
      <c r="L31" s="680">
        <f t="shared" si="6"/>
        <v>0</v>
      </c>
      <c r="M31" s="680">
        <f t="shared" si="6"/>
        <v>0</v>
      </c>
      <c r="N31" s="680">
        <f t="shared" si="6"/>
        <v>0</v>
      </c>
      <c r="O31" s="680">
        <f t="shared" si="6"/>
        <v>0</v>
      </c>
      <c r="P31" s="680">
        <f t="shared" si="6"/>
        <v>0</v>
      </c>
      <c r="Q31" s="680">
        <f t="shared" si="6"/>
        <v>0</v>
      </c>
      <c r="R31" s="680">
        <f t="shared" si="6"/>
        <v>0</v>
      </c>
      <c r="S31" s="680">
        <f t="shared" ref="S31:AA31" si="7">ROUND(SUM(S28:S30),5)</f>
        <v>0</v>
      </c>
      <c r="T31" s="680">
        <f t="shared" si="7"/>
        <v>0</v>
      </c>
      <c r="U31" s="680">
        <f t="shared" si="7"/>
        <v>0</v>
      </c>
      <c r="V31" s="680">
        <f t="shared" si="7"/>
        <v>0</v>
      </c>
      <c r="W31" s="680">
        <f t="shared" si="7"/>
        <v>0</v>
      </c>
      <c r="X31" s="680">
        <f t="shared" si="7"/>
        <v>0</v>
      </c>
      <c r="Y31" s="680">
        <f t="shared" si="7"/>
        <v>0</v>
      </c>
      <c r="Z31" s="680">
        <f t="shared" si="7"/>
        <v>0</v>
      </c>
      <c r="AA31" s="680">
        <f t="shared" si="7"/>
        <v>0</v>
      </c>
      <c r="AB31" s="680">
        <f>ROUND(SUM(AB28:AB30),5)</f>
        <v>0</v>
      </c>
      <c r="AC31" s="680">
        <f>ROUND(SUM(AC28:AC30),5)</f>
        <v>0</v>
      </c>
      <c r="AD31" s="680">
        <v>0</v>
      </c>
      <c r="AE31" s="680">
        <f t="shared" si="6"/>
        <v>0</v>
      </c>
      <c r="AF31" s="680">
        <f t="shared" si="6"/>
        <v>0</v>
      </c>
      <c r="AG31" s="680">
        <f t="shared" si="6"/>
        <v>0</v>
      </c>
      <c r="AH31" s="680">
        <f t="shared" si="6"/>
        <v>0</v>
      </c>
      <c r="AI31" s="680">
        <f t="shared" si="6"/>
        <v>0</v>
      </c>
      <c r="AJ31" s="680">
        <f t="shared" si="6"/>
        <v>0</v>
      </c>
      <c r="AK31" s="680">
        <f t="shared" si="6"/>
        <v>0</v>
      </c>
      <c r="AL31" s="680">
        <f t="shared" si="6"/>
        <v>0</v>
      </c>
      <c r="AM31" s="680">
        <f t="shared" si="6"/>
        <v>0</v>
      </c>
      <c r="AN31" s="680">
        <f t="shared" si="6"/>
        <v>0</v>
      </c>
      <c r="AO31" s="680">
        <f t="shared" si="6"/>
        <v>0</v>
      </c>
      <c r="AP31" s="680">
        <f t="shared" si="6"/>
        <v>0</v>
      </c>
      <c r="AQ31" s="680">
        <f t="shared" si="6"/>
        <v>0</v>
      </c>
      <c r="AR31" s="680">
        <f t="shared" si="6"/>
        <v>0</v>
      </c>
      <c r="AS31" s="680">
        <f t="shared" si="6"/>
        <v>0</v>
      </c>
      <c r="AT31" s="680">
        <f t="shared" si="6"/>
        <v>0</v>
      </c>
      <c r="AU31" s="680">
        <f t="shared" si="6"/>
        <v>0</v>
      </c>
      <c r="AV31" s="680">
        <f t="shared" si="6"/>
        <v>0</v>
      </c>
      <c r="AW31" s="680">
        <f t="shared" si="6"/>
        <v>0</v>
      </c>
      <c r="AX31" s="680">
        <f t="shared" si="6"/>
        <v>0</v>
      </c>
      <c r="AY31" s="680">
        <f t="shared" si="6"/>
        <v>0</v>
      </c>
      <c r="AZ31" s="680">
        <f t="shared" si="6"/>
        <v>0</v>
      </c>
      <c r="BA31" s="680">
        <f t="shared" si="6"/>
        <v>0</v>
      </c>
      <c r="BB31" s="680">
        <f t="shared" si="6"/>
        <v>0</v>
      </c>
      <c r="BC31" s="680">
        <f t="shared" si="6"/>
        <v>0</v>
      </c>
      <c r="BD31" s="680">
        <f t="shared" si="6"/>
        <v>0</v>
      </c>
      <c r="BE31" s="680">
        <f t="shared" si="6"/>
        <v>0</v>
      </c>
      <c r="BF31" s="680">
        <f t="shared" si="6"/>
        <v>0</v>
      </c>
      <c r="BG31" s="680">
        <f t="shared" si="6"/>
        <v>0</v>
      </c>
      <c r="BH31" s="680">
        <f t="shared" si="6"/>
        <v>0</v>
      </c>
      <c r="BI31" s="680">
        <f t="shared" si="6"/>
        <v>0</v>
      </c>
      <c r="BJ31" s="680">
        <f t="shared" si="6"/>
        <v>0</v>
      </c>
      <c r="BK31" s="680">
        <f t="shared" si="6"/>
        <v>0</v>
      </c>
      <c r="BL31" s="680">
        <f t="shared" si="6"/>
        <v>0</v>
      </c>
      <c r="BM31" s="680">
        <f t="shared" si="6"/>
        <v>0</v>
      </c>
      <c r="BN31" s="680">
        <f t="shared" si="6"/>
        <v>0</v>
      </c>
      <c r="BO31" s="680">
        <f t="shared" si="6"/>
        <v>0</v>
      </c>
      <c r="BP31" s="680">
        <f t="shared" ref="BP31:CA31" si="8">SUM(BP29:BP30)</f>
        <v>0</v>
      </c>
      <c r="BQ31" s="680">
        <f t="shared" si="8"/>
        <v>0</v>
      </c>
      <c r="BR31" s="680">
        <f t="shared" si="8"/>
        <v>0</v>
      </c>
      <c r="BS31" s="680">
        <f t="shared" si="8"/>
        <v>0</v>
      </c>
      <c r="BT31" s="680">
        <f t="shared" si="8"/>
        <v>0</v>
      </c>
      <c r="BU31" s="680">
        <f t="shared" si="8"/>
        <v>0</v>
      </c>
      <c r="BV31" s="680">
        <f t="shared" si="8"/>
        <v>0</v>
      </c>
      <c r="BW31" s="680">
        <f t="shared" si="8"/>
        <v>0</v>
      </c>
      <c r="BX31" s="680">
        <f t="shared" si="8"/>
        <v>0</v>
      </c>
      <c r="BY31" s="680">
        <f t="shared" si="8"/>
        <v>0</v>
      </c>
      <c r="BZ31" s="680">
        <f t="shared" si="8"/>
        <v>0</v>
      </c>
      <c r="CA31" s="680">
        <f t="shared" si="8"/>
        <v>0</v>
      </c>
    </row>
    <row r="32" spans="1:79" hidden="1" outlineLevel="1" x14ac:dyDescent="0.35">
      <c r="A32" s="709"/>
      <c r="B32" s="709"/>
      <c r="C32" s="709"/>
      <c r="D32" s="709"/>
      <c r="E32" s="709"/>
      <c r="F32" s="710" t="s">
        <v>650</v>
      </c>
      <c r="G32" s="708"/>
      <c r="H32" s="708"/>
      <c r="I32" s="708"/>
      <c r="J32" s="708"/>
      <c r="K32" s="708"/>
      <c r="L32" s="708"/>
      <c r="M32" s="708"/>
      <c r="N32" s="708"/>
      <c r="O32" s="708"/>
      <c r="P32" s="708"/>
      <c r="Q32" s="708"/>
      <c r="R32" s="708"/>
      <c r="S32" s="708"/>
      <c r="T32" s="708"/>
      <c r="U32" s="708"/>
      <c r="V32" s="708"/>
      <c r="W32" s="708"/>
      <c r="X32" s="708"/>
      <c r="Y32" s="708"/>
      <c r="Z32" s="708"/>
      <c r="AA32" s="708"/>
      <c r="AB32" s="708"/>
      <c r="AC32" s="708"/>
      <c r="AD32" s="708"/>
      <c r="AE32" s="708"/>
      <c r="AF32" s="708"/>
      <c r="AG32" s="708"/>
      <c r="AH32" s="708"/>
      <c r="AI32" s="708"/>
      <c r="AJ32" s="708"/>
      <c r="AK32" s="708"/>
      <c r="AL32" s="708"/>
      <c r="AM32" s="708"/>
      <c r="AN32" s="708"/>
      <c r="AO32" s="708"/>
      <c r="AP32" s="708"/>
      <c r="AQ32" s="708"/>
      <c r="AR32" s="708"/>
      <c r="AS32" s="708"/>
      <c r="AT32" s="708"/>
      <c r="AU32" s="708"/>
      <c r="AV32" s="708"/>
      <c r="AW32" s="708"/>
      <c r="AX32" s="708"/>
      <c r="AY32" s="708"/>
      <c r="AZ32" s="708"/>
      <c r="BA32" s="708"/>
      <c r="BB32" s="708"/>
      <c r="BC32" s="708"/>
      <c r="BD32" s="708"/>
      <c r="BE32" s="708"/>
      <c r="BF32" s="708"/>
      <c r="BG32" s="708"/>
      <c r="BH32" s="708"/>
      <c r="BI32" s="708"/>
      <c r="BJ32" s="708"/>
      <c r="BK32" s="708"/>
      <c r="BL32" s="708"/>
      <c r="BM32" s="708"/>
      <c r="BN32" s="708"/>
      <c r="BO32" s="708"/>
      <c r="BP32" s="708"/>
      <c r="BQ32" s="708"/>
      <c r="BR32" s="708"/>
      <c r="BS32" s="708"/>
      <c r="BT32" s="708"/>
      <c r="BU32" s="708"/>
      <c r="BV32" s="708"/>
      <c r="BW32" s="708"/>
      <c r="BX32" s="708"/>
      <c r="BY32" s="708"/>
      <c r="BZ32" s="708"/>
      <c r="CA32" s="708"/>
    </row>
    <row r="33" spans="1:79" hidden="1" outlineLevel="1" x14ac:dyDescent="0.35">
      <c r="A33" s="224"/>
      <c r="B33" s="224"/>
      <c r="C33" s="224"/>
      <c r="D33" s="224"/>
      <c r="E33" s="224"/>
      <c r="F33" s="672" t="s">
        <v>874</v>
      </c>
      <c r="G33" s="679"/>
      <c r="H33" s="679"/>
      <c r="I33" s="679"/>
      <c r="J33" s="679"/>
      <c r="K33" s="679"/>
      <c r="L33" s="679"/>
      <c r="M33" s="679"/>
      <c r="N33" s="679"/>
      <c r="O33" s="679"/>
      <c r="P33" s="679"/>
      <c r="Q33" s="679"/>
      <c r="R33" s="679"/>
      <c r="S33" s="679">
        <v>0</v>
      </c>
      <c r="T33" s="679">
        <v>0</v>
      </c>
      <c r="U33" s="679">
        <v>0</v>
      </c>
      <c r="V33" s="679">
        <v>0</v>
      </c>
      <c r="W33" s="679">
        <v>0</v>
      </c>
      <c r="X33" s="679">
        <v>0</v>
      </c>
      <c r="Y33" s="679">
        <v>0</v>
      </c>
      <c r="Z33" s="679">
        <v>0</v>
      </c>
      <c r="AA33" s="679">
        <v>0</v>
      </c>
      <c r="AB33" s="679">
        <v>0</v>
      </c>
      <c r="AC33" s="679">
        <v>0</v>
      </c>
      <c r="AD33" s="679">
        <v>0</v>
      </c>
      <c r="AE33" s="679"/>
      <c r="AF33" s="679"/>
      <c r="AG33" s="679"/>
      <c r="AH33" s="679"/>
      <c r="AI33" s="679"/>
      <c r="AJ33" s="679"/>
      <c r="AK33" s="679"/>
      <c r="AL33" s="679"/>
      <c r="AM33" s="679"/>
      <c r="AN33" s="679"/>
      <c r="AO33" s="679"/>
      <c r="AP33" s="679"/>
      <c r="AQ33" s="679"/>
      <c r="AR33" s="679"/>
      <c r="AS33" s="679"/>
      <c r="AT33" s="679"/>
      <c r="AU33" s="679"/>
      <c r="AV33" s="679"/>
      <c r="AW33" s="679"/>
      <c r="AX33" s="679"/>
      <c r="AY33" s="679"/>
      <c r="AZ33" s="679"/>
      <c r="BA33" s="679"/>
      <c r="BB33" s="679"/>
      <c r="BC33" s="679"/>
      <c r="BD33" s="679"/>
      <c r="BE33" s="679"/>
      <c r="BF33" s="679"/>
      <c r="BG33" s="679"/>
      <c r="BH33" s="679"/>
      <c r="BI33" s="679"/>
      <c r="BJ33" s="679"/>
      <c r="BK33" s="679"/>
      <c r="BL33" s="679"/>
      <c r="BM33" s="679"/>
      <c r="BN33" s="679"/>
      <c r="BO33" s="679"/>
      <c r="BP33" s="679"/>
      <c r="BQ33" s="679"/>
      <c r="BR33" s="679"/>
      <c r="BS33" s="679"/>
      <c r="BT33" s="679"/>
      <c r="BU33" s="679"/>
      <c r="BV33" s="679"/>
      <c r="BW33" s="679"/>
      <c r="BX33" s="679"/>
      <c r="BY33" s="679"/>
      <c r="BZ33" s="679"/>
      <c r="CA33" s="679"/>
    </row>
    <row r="34" spans="1:79" hidden="1" outlineLevel="1" x14ac:dyDescent="0.35">
      <c r="A34" s="224"/>
      <c r="B34" s="224"/>
      <c r="C34" s="224"/>
      <c r="D34" s="224"/>
      <c r="E34" s="224"/>
      <c r="F34" s="672" t="s">
        <v>875</v>
      </c>
      <c r="G34" s="679"/>
      <c r="H34" s="679"/>
      <c r="I34" s="679"/>
      <c r="J34" s="679"/>
      <c r="K34" s="679"/>
      <c r="L34" s="679"/>
      <c r="M34" s="679"/>
      <c r="N34" s="679"/>
      <c r="O34" s="679"/>
      <c r="P34" s="679"/>
      <c r="Q34" s="679"/>
      <c r="R34" s="679"/>
      <c r="S34" s="679">
        <v>0</v>
      </c>
      <c r="T34" s="679">
        <v>0</v>
      </c>
      <c r="U34" s="679">
        <v>0</v>
      </c>
      <c r="V34" s="679">
        <v>0</v>
      </c>
      <c r="W34" s="679">
        <v>0</v>
      </c>
      <c r="X34" s="679">
        <v>0</v>
      </c>
      <c r="Y34" s="679">
        <v>0</v>
      </c>
      <c r="Z34" s="679">
        <v>0</v>
      </c>
      <c r="AA34" s="679">
        <v>0</v>
      </c>
      <c r="AB34" s="679">
        <v>0</v>
      </c>
      <c r="AC34" s="679">
        <v>0</v>
      </c>
      <c r="AD34" s="679">
        <v>0</v>
      </c>
      <c r="AE34" s="679"/>
      <c r="AF34" s="679"/>
      <c r="AG34" s="679"/>
      <c r="AH34" s="679"/>
      <c r="AI34" s="679"/>
      <c r="AJ34" s="679"/>
      <c r="AK34" s="679"/>
      <c r="AL34" s="679"/>
      <c r="AM34" s="679"/>
      <c r="AN34" s="679"/>
      <c r="AO34" s="679"/>
      <c r="AP34" s="679"/>
      <c r="AQ34" s="679"/>
      <c r="AR34" s="679"/>
      <c r="AS34" s="679"/>
      <c r="AT34" s="679"/>
      <c r="AU34" s="679"/>
      <c r="AV34" s="679"/>
      <c r="AW34" s="679"/>
      <c r="AX34" s="679"/>
      <c r="AY34" s="679"/>
      <c r="AZ34" s="679"/>
      <c r="BA34" s="679"/>
      <c r="BB34" s="679"/>
      <c r="BC34" s="679"/>
      <c r="BD34" s="679"/>
      <c r="BE34" s="679"/>
      <c r="BF34" s="679"/>
      <c r="BG34" s="679"/>
      <c r="BH34" s="679"/>
      <c r="BI34" s="679"/>
      <c r="BJ34" s="679"/>
      <c r="BK34" s="679"/>
      <c r="BL34" s="679"/>
      <c r="BM34" s="679"/>
      <c r="BN34" s="679"/>
      <c r="BO34" s="679"/>
      <c r="BP34" s="679"/>
      <c r="BQ34" s="679"/>
      <c r="BR34" s="679"/>
      <c r="BS34" s="679"/>
      <c r="BT34" s="679"/>
      <c r="BU34" s="679"/>
      <c r="BV34" s="679"/>
      <c r="BW34" s="679"/>
      <c r="BX34" s="679"/>
      <c r="BY34" s="679"/>
      <c r="BZ34" s="679"/>
      <c r="CA34" s="679"/>
    </row>
    <row r="35" spans="1:79" hidden="1" outlineLevel="1" x14ac:dyDescent="0.35">
      <c r="A35" s="224"/>
      <c r="B35" s="224"/>
      <c r="C35" s="224"/>
      <c r="D35" s="224"/>
      <c r="E35" s="224"/>
      <c r="F35" s="673" t="s">
        <v>876</v>
      </c>
      <c r="G35" s="680">
        <f>SUM(G33:G34)</f>
        <v>0</v>
      </c>
      <c r="H35" s="680">
        <f t="shared" ref="H35:BO35" si="9">SUM(H33:H34)</f>
        <v>0</v>
      </c>
      <c r="I35" s="680">
        <f t="shared" si="9"/>
        <v>0</v>
      </c>
      <c r="J35" s="680">
        <f t="shared" si="9"/>
        <v>0</v>
      </c>
      <c r="K35" s="680">
        <f t="shared" si="9"/>
        <v>0</v>
      </c>
      <c r="L35" s="680">
        <f t="shared" si="9"/>
        <v>0</v>
      </c>
      <c r="M35" s="680">
        <f t="shared" si="9"/>
        <v>0</v>
      </c>
      <c r="N35" s="680">
        <f t="shared" si="9"/>
        <v>0</v>
      </c>
      <c r="O35" s="680">
        <f t="shared" si="9"/>
        <v>0</v>
      </c>
      <c r="P35" s="680">
        <f t="shared" si="9"/>
        <v>0</v>
      </c>
      <c r="Q35" s="680">
        <f t="shared" si="9"/>
        <v>0</v>
      </c>
      <c r="R35" s="680">
        <f t="shared" si="9"/>
        <v>0</v>
      </c>
      <c r="S35" s="680">
        <f t="shared" ref="S35:AA35" si="10">ROUND(SUM(S32:S34),5)</f>
        <v>0</v>
      </c>
      <c r="T35" s="680">
        <f t="shared" si="10"/>
        <v>0</v>
      </c>
      <c r="U35" s="680">
        <f t="shared" si="10"/>
        <v>0</v>
      </c>
      <c r="V35" s="680">
        <f t="shared" si="10"/>
        <v>0</v>
      </c>
      <c r="W35" s="680">
        <f t="shared" si="10"/>
        <v>0</v>
      </c>
      <c r="X35" s="680">
        <f t="shared" si="10"/>
        <v>0</v>
      </c>
      <c r="Y35" s="680">
        <f t="shared" si="10"/>
        <v>0</v>
      </c>
      <c r="Z35" s="680">
        <f t="shared" si="10"/>
        <v>0</v>
      </c>
      <c r="AA35" s="680">
        <f t="shared" si="10"/>
        <v>0</v>
      </c>
      <c r="AB35" s="680">
        <f>ROUND(SUM(AB32:AB34),5)</f>
        <v>0</v>
      </c>
      <c r="AC35" s="680">
        <f>ROUND(SUM(AC32:AC34),5)</f>
        <v>0</v>
      </c>
      <c r="AD35" s="680">
        <v>0</v>
      </c>
      <c r="AE35" s="680">
        <f t="shared" si="9"/>
        <v>0</v>
      </c>
      <c r="AF35" s="680">
        <f t="shared" si="9"/>
        <v>0</v>
      </c>
      <c r="AG35" s="680">
        <f t="shared" si="9"/>
        <v>0</v>
      </c>
      <c r="AH35" s="680">
        <f t="shared" si="9"/>
        <v>0</v>
      </c>
      <c r="AI35" s="680">
        <f t="shared" si="9"/>
        <v>0</v>
      </c>
      <c r="AJ35" s="680">
        <f t="shared" si="9"/>
        <v>0</v>
      </c>
      <c r="AK35" s="680">
        <f t="shared" si="9"/>
        <v>0</v>
      </c>
      <c r="AL35" s="680">
        <f t="shared" si="9"/>
        <v>0</v>
      </c>
      <c r="AM35" s="680">
        <f t="shared" si="9"/>
        <v>0</v>
      </c>
      <c r="AN35" s="680">
        <f t="shared" si="9"/>
        <v>0</v>
      </c>
      <c r="AO35" s="680">
        <f t="shared" si="9"/>
        <v>0</v>
      </c>
      <c r="AP35" s="680">
        <f t="shared" si="9"/>
        <v>0</v>
      </c>
      <c r="AQ35" s="680">
        <f t="shared" si="9"/>
        <v>0</v>
      </c>
      <c r="AR35" s="680">
        <f t="shared" si="9"/>
        <v>0</v>
      </c>
      <c r="AS35" s="680">
        <f t="shared" si="9"/>
        <v>0</v>
      </c>
      <c r="AT35" s="680">
        <f t="shared" si="9"/>
        <v>0</v>
      </c>
      <c r="AU35" s="680">
        <f t="shared" si="9"/>
        <v>0</v>
      </c>
      <c r="AV35" s="680">
        <f t="shared" si="9"/>
        <v>0</v>
      </c>
      <c r="AW35" s="680">
        <f t="shared" si="9"/>
        <v>0</v>
      </c>
      <c r="AX35" s="680">
        <f t="shared" si="9"/>
        <v>0</v>
      </c>
      <c r="AY35" s="680">
        <f t="shared" si="9"/>
        <v>0</v>
      </c>
      <c r="AZ35" s="680">
        <f t="shared" si="9"/>
        <v>0</v>
      </c>
      <c r="BA35" s="680">
        <f t="shared" si="9"/>
        <v>0</v>
      </c>
      <c r="BB35" s="680">
        <f t="shared" si="9"/>
        <v>0</v>
      </c>
      <c r="BC35" s="680">
        <f t="shared" si="9"/>
        <v>0</v>
      </c>
      <c r="BD35" s="680">
        <f t="shared" si="9"/>
        <v>0</v>
      </c>
      <c r="BE35" s="680">
        <f t="shared" si="9"/>
        <v>0</v>
      </c>
      <c r="BF35" s="680">
        <f t="shared" si="9"/>
        <v>0</v>
      </c>
      <c r="BG35" s="680">
        <f t="shared" si="9"/>
        <v>0</v>
      </c>
      <c r="BH35" s="680">
        <f t="shared" si="9"/>
        <v>0</v>
      </c>
      <c r="BI35" s="680">
        <f t="shared" si="9"/>
        <v>0</v>
      </c>
      <c r="BJ35" s="680">
        <f t="shared" si="9"/>
        <v>0</v>
      </c>
      <c r="BK35" s="680">
        <f t="shared" si="9"/>
        <v>0</v>
      </c>
      <c r="BL35" s="680">
        <f t="shared" si="9"/>
        <v>0</v>
      </c>
      <c r="BM35" s="680">
        <f t="shared" si="9"/>
        <v>0</v>
      </c>
      <c r="BN35" s="680">
        <f t="shared" si="9"/>
        <v>0</v>
      </c>
      <c r="BO35" s="680">
        <f t="shared" si="9"/>
        <v>0</v>
      </c>
      <c r="BP35" s="680">
        <f t="shared" ref="BP35:CA35" si="11">SUM(BP33:BP34)</f>
        <v>0</v>
      </c>
      <c r="BQ35" s="680">
        <f t="shared" si="11"/>
        <v>0</v>
      </c>
      <c r="BR35" s="680">
        <f t="shared" si="11"/>
        <v>0</v>
      </c>
      <c r="BS35" s="680">
        <f t="shared" si="11"/>
        <v>0</v>
      </c>
      <c r="BT35" s="680">
        <f t="shared" si="11"/>
        <v>0</v>
      </c>
      <c r="BU35" s="680">
        <f t="shared" si="11"/>
        <v>0</v>
      </c>
      <c r="BV35" s="680">
        <f t="shared" si="11"/>
        <v>0</v>
      </c>
      <c r="BW35" s="680">
        <f t="shared" si="11"/>
        <v>0</v>
      </c>
      <c r="BX35" s="680">
        <f t="shared" si="11"/>
        <v>0</v>
      </c>
      <c r="BY35" s="680">
        <f t="shared" si="11"/>
        <v>0</v>
      </c>
      <c r="BZ35" s="680">
        <f t="shared" si="11"/>
        <v>0</v>
      </c>
      <c r="CA35" s="680">
        <f t="shared" si="11"/>
        <v>0</v>
      </c>
    </row>
    <row r="36" spans="1:79" hidden="1" outlineLevel="1" x14ac:dyDescent="0.35">
      <c r="F36" s="674" t="s">
        <v>593</v>
      </c>
      <c r="G36" s="681"/>
      <c r="H36" s="681">
        <v>9.7929857150480295</v>
      </c>
      <c r="I36" s="681">
        <v>1.7454906395659229</v>
      </c>
      <c r="J36" s="682">
        <v>18.295311561550317</v>
      </c>
      <c r="K36" s="682">
        <v>4.3231555687064498</v>
      </c>
      <c r="L36" s="682">
        <v>37.247563282693058</v>
      </c>
      <c r="M36" s="682">
        <v>1.1544060995650631</v>
      </c>
      <c r="N36" s="682">
        <v>11.483838821716224</v>
      </c>
      <c r="O36" s="682">
        <v>10.214381355658368</v>
      </c>
      <c r="P36" s="682">
        <v>49.243275761854989</v>
      </c>
      <c r="Q36" s="682"/>
      <c r="R36" s="682"/>
      <c r="S36" s="683">
        <v>333.41</v>
      </c>
      <c r="T36" s="683">
        <v>0</v>
      </c>
      <c r="U36" s="683">
        <v>213.05</v>
      </c>
      <c r="V36" s="683">
        <v>106.68</v>
      </c>
      <c r="W36" s="683">
        <v>219.83</v>
      </c>
      <c r="X36" s="683">
        <v>322.18</v>
      </c>
      <c r="Y36" s="683">
        <v>45.9</v>
      </c>
      <c r="Z36" s="683">
        <v>253.33</v>
      </c>
      <c r="AA36" s="683">
        <v>13.51</v>
      </c>
      <c r="AB36" s="683">
        <v>8</v>
      </c>
      <c r="AC36" s="683">
        <v>417.03</v>
      </c>
      <c r="AD36" s="684">
        <v>88.81</v>
      </c>
      <c r="AE36" s="684"/>
      <c r="AF36" s="684"/>
      <c r="AG36" s="684"/>
      <c r="AH36" s="684"/>
      <c r="AI36" s="684"/>
      <c r="AJ36" s="684"/>
      <c r="AK36" s="684"/>
      <c r="AL36" s="684"/>
      <c r="AM36" s="684"/>
      <c r="AN36" s="684"/>
      <c r="AO36" s="684"/>
      <c r="AP36" s="684"/>
      <c r="AQ36" s="684"/>
      <c r="AR36" s="684"/>
      <c r="AS36" s="684"/>
      <c r="AT36" s="684"/>
      <c r="AU36" s="684"/>
      <c r="AV36" s="684"/>
      <c r="AW36" s="684"/>
      <c r="AX36" s="684"/>
      <c r="AY36" s="684"/>
      <c r="AZ36" s="684"/>
      <c r="BA36" s="684"/>
      <c r="BB36" s="684"/>
      <c r="BC36" s="684"/>
      <c r="BD36" s="684"/>
      <c r="BE36" s="684"/>
      <c r="BF36" s="684"/>
      <c r="BG36" s="684"/>
      <c r="BH36" s="684"/>
      <c r="BI36" s="684"/>
      <c r="BJ36" s="684"/>
      <c r="BK36" s="684"/>
      <c r="BL36" s="684"/>
      <c r="BM36" s="684"/>
      <c r="BN36" s="684"/>
      <c r="BO36" s="684"/>
      <c r="BP36" s="684"/>
      <c r="BQ36" s="684"/>
      <c r="BR36" s="684"/>
      <c r="BS36" s="684"/>
      <c r="BT36" s="684"/>
      <c r="BU36" s="684"/>
      <c r="BV36" s="684"/>
      <c r="BW36" s="684"/>
      <c r="BX36" s="684"/>
      <c r="BY36" s="684"/>
      <c r="BZ36" s="684"/>
      <c r="CA36" s="684"/>
    </row>
    <row r="37" spans="1:79" hidden="1" outlineLevel="1" x14ac:dyDescent="0.35">
      <c r="A37" s="574"/>
      <c r="B37" s="574"/>
      <c r="C37" s="574"/>
      <c r="D37" s="574"/>
      <c r="E37" s="574"/>
      <c r="F37" s="671" t="s">
        <v>877</v>
      </c>
      <c r="G37" s="681"/>
      <c r="H37" s="681"/>
      <c r="I37" s="681"/>
      <c r="J37" s="682"/>
      <c r="K37" s="682"/>
      <c r="L37" s="682"/>
      <c r="M37" s="682"/>
      <c r="N37" s="682"/>
      <c r="O37" s="682"/>
      <c r="P37" s="682"/>
      <c r="Q37" s="682"/>
      <c r="R37" s="682"/>
      <c r="S37" s="683">
        <v>0</v>
      </c>
      <c r="T37" s="683">
        <v>0</v>
      </c>
      <c r="U37" s="683">
        <v>0</v>
      </c>
      <c r="V37" s="683">
        <v>0</v>
      </c>
      <c r="W37" s="683">
        <v>0</v>
      </c>
      <c r="X37" s="683">
        <v>0</v>
      </c>
      <c r="Y37" s="683">
        <v>0</v>
      </c>
      <c r="Z37" s="683">
        <v>0</v>
      </c>
      <c r="AA37" s="683">
        <v>0</v>
      </c>
      <c r="AB37" s="683">
        <v>0</v>
      </c>
      <c r="AC37" s="683">
        <v>0</v>
      </c>
      <c r="AD37" s="684">
        <v>0</v>
      </c>
      <c r="AE37" s="684"/>
      <c r="AF37" s="684"/>
      <c r="AG37" s="684"/>
      <c r="AH37" s="684"/>
      <c r="AI37" s="684"/>
      <c r="AJ37" s="684"/>
      <c r="AK37" s="684"/>
      <c r="AL37" s="684"/>
      <c r="AM37" s="684"/>
      <c r="AN37" s="684"/>
      <c r="AO37" s="684"/>
      <c r="AP37" s="684"/>
      <c r="AQ37" s="684"/>
      <c r="AR37" s="684"/>
      <c r="AS37" s="684"/>
      <c r="AT37" s="684"/>
      <c r="AU37" s="684"/>
      <c r="AV37" s="684"/>
      <c r="AW37" s="684"/>
      <c r="AX37" s="684"/>
      <c r="AY37" s="684"/>
      <c r="AZ37" s="684"/>
      <c r="BA37" s="684"/>
      <c r="BB37" s="684"/>
      <c r="BC37" s="684"/>
      <c r="BD37" s="684"/>
      <c r="BE37" s="684"/>
      <c r="BF37" s="684"/>
      <c r="BG37" s="684"/>
      <c r="BH37" s="684"/>
      <c r="BI37" s="684"/>
      <c r="BJ37" s="684"/>
      <c r="BK37" s="684"/>
      <c r="BL37" s="684"/>
      <c r="BM37" s="684"/>
      <c r="BN37" s="684"/>
      <c r="BO37" s="684"/>
      <c r="BP37" s="684"/>
      <c r="BQ37" s="684"/>
      <c r="BR37" s="684"/>
      <c r="BS37" s="684"/>
      <c r="BT37" s="684"/>
      <c r="BU37" s="684"/>
      <c r="BV37" s="684"/>
      <c r="BW37" s="684"/>
      <c r="BX37" s="684"/>
      <c r="BY37" s="684"/>
      <c r="BZ37" s="684"/>
      <c r="CA37" s="684"/>
    </row>
    <row r="38" spans="1:79" s="757" customFormat="1" hidden="1" outlineLevel="1" x14ac:dyDescent="0.35">
      <c r="A38" s="716"/>
      <c r="B38" s="716"/>
      <c r="C38" s="716"/>
      <c r="D38" s="716"/>
      <c r="E38" s="716"/>
      <c r="F38" s="711" t="s">
        <v>594</v>
      </c>
      <c r="G38" s="712"/>
      <c r="H38" s="712"/>
      <c r="I38" s="712"/>
      <c r="J38" s="713"/>
      <c r="K38" s="713"/>
      <c r="L38" s="713"/>
      <c r="M38" s="713"/>
      <c r="N38" s="713"/>
      <c r="O38" s="713"/>
      <c r="P38" s="713"/>
      <c r="Q38" s="713"/>
      <c r="R38" s="713"/>
      <c r="S38" s="713"/>
      <c r="T38" s="713"/>
      <c r="U38" s="713"/>
      <c r="V38" s="713"/>
      <c r="W38" s="713"/>
      <c r="X38" s="713"/>
      <c r="Y38" s="713"/>
      <c r="Z38" s="713"/>
      <c r="AA38" s="713"/>
      <c r="AB38" s="713"/>
      <c r="AC38" s="713"/>
      <c r="AD38" s="714"/>
      <c r="AE38" s="714"/>
      <c r="AF38" s="714"/>
      <c r="AG38" s="714"/>
      <c r="AH38" s="714"/>
      <c r="AI38" s="714"/>
      <c r="AJ38" s="714"/>
      <c r="AK38" s="714"/>
      <c r="AL38" s="714"/>
      <c r="AM38" s="714"/>
      <c r="AN38" s="714"/>
      <c r="AO38" s="714"/>
      <c r="AP38" s="714"/>
      <c r="AQ38" s="714"/>
      <c r="AR38" s="714"/>
      <c r="AS38" s="714"/>
      <c r="AT38" s="714"/>
      <c r="AU38" s="714"/>
      <c r="AV38" s="714"/>
      <c r="AW38" s="714"/>
      <c r="AX38" s="714"/>
      <c r="AY38" s="714"/>
      <c r="AZ38" s="714"/>
      <c r="BA38" s="714"/>
      <c r="BB38" s="714"/>
      <c r="BC38" s="714"/>
      <c r="BD38" s="714"/>
      <c r="BE38" s="714"/>
      <c r="BF38" s="714"/>
      <c r="BG38" s="714"/>
      <c r="BH38" s="714"/>
      <c r="BI38" s="714"/>
      <c r="BJ38" s="714"/>
      <c r="BK38" s="714"/>
      <c r="BL38" s="714"/>
      <c r="BM38" s="714"/>
      <c r="BN38" s="714"/>
      <c r="BO38" s="714"/>
      <c r="BP38" s="714"/>
      <c r="BQ38" s="714"/>
      <c r="BR38" s="714"/>
      <c r="BS38" s="714"/>
      <c r="BT38" s="714"/>
      <c r="BU38" s="714"/>
      <c r="BV38" s="714"/>
      <c r="BW38" s="714"/>
      <c r="BX38" s="714"/>
      <c r="BY38" s="714"/>
      <c r="BZ38" s="714"/>
      <c r="CA38" s="714"/>
    </row>
    <row r="39" spans="1:79" s="757" customFormat="1" hidden="1" outlineLevel="1" x14ac:dyDescent="0.35">
      <c r="A39" s="504"/>
      <c r="B39" s="504"/>
      <c r="C39" s="504"/>
      <c r="D39" s="504"/>
      <c r="E39" s="504"/>
      <c r="F39" s="672" t="s">
        <v>878</v>
      </c>
      <c r="G39" s="685"/>
      <c r="H39" s="685"/>
      <c r="I39" s="685"/>
      <c r="J39" s="686"/>
      <c r="K39" s="686"/>
      <c r="L39" s="686"/>
      <c r="M39" s="686"/>
      <c r="N39" s="686"/>
      <c r="O39" s="686"/>
      <c r="P39" s="686"/>
      <c r="Q39" s="686"/>
      <c r="R39" s="686"/>
      <c r="S39" s="687">
        <v>0</v>
      </c>
      <c r="T39" s="687">
        <v>0</v>
      </c>
      <c r="U39" s="687">
        <v>0</v>
      </c>
      <c r="V39" s="687">
        <v>0</v>
      </c>
      <c r="W39" s="687">
        <v>0</v>
      </c>
      <c r="X39" s="687">
        <v>0</v>
      </c>
      <c r="Y39" s="687">
        <v>0</v>
      </c>
      <c r="Z39" s="687">
        <v>0</v>
      </c>
      <c r="AA39" s="687">
        <v>0</v>
      </c>
      <c r="AB39" s="687">
        <v>0</v>
      </c>
      <c r="AC39" s="687">
        <v>0</v>
      </c>
      <c r="AD39" s="688">
        <v>0</v>
      </c>
      <c r="AE39" s="688"/>
      <c r="AF39" s="688"/>
      <c r="AG39" s="688"/>
      <c r="AH39" s="688"/>
      <c r="AI39" s="688"/>
      <c r="AJ39" s="688"/>
      <c r="AK39" s="688"/>
      <c r="AL39" s="688"/>
      <c r="AM39" s="688"/>
      <c r="AN39" s="688"/>
      <c r="AO39" s="688"/>
      <c r="AP39" s="688"/>
      <c r="AQ39" s="688"/>
      <c r="AR39" s="688"/>
      <c r="AS39" s="688"/>
      <c r="AT39" s="688"/>
      <c r="AU39" s="688"/>
      <c r="AV39" s="688"/>
      <c r="AW39" s="688"/>
      <c r="AX39" s="688"/>
      <c r="AY39" s="688"/>
      <c r="AZ39" s="688"/>
      <c r="BA39" s="688"/>
      <c r="BB39" s="688"/>
      <c r="BC39" s="688"/>
      <c r="BD39" s="688"/>
      <c r="BE39" s="688"/>
      <c r="BF39" s="688"/>
      <c r="BG39" s="688"/>
      <c r="BH39" s="688"/>
      <c r="BI39" s="688"/>
      <c r="BJ39" s="688"/>
      <c r="BK39" s="688"/>
      <c r="BL39" s="688"/>
      <c r="BM39" s="688"/>
      <c r="BN39" s="688"/>
      <c r="BO39" s="688"/>
      <c r="BP39" s="688"/>
      <c r="BQ39" s="688"/>
      <c r="BR39" s="688"/>
      <c r="BS39" s="688"/>
      <c r="BT39" s="688"/>
      <c r="BU39" s="688"/>
      <c r="BV39" s="688"/>
      <c r="BW39" s="688"/>
      <c r="BX39" s="688"/>
      <c r="BY39" s="688"/>
      <c r="BZ39" s="688"/>
      <c r="CA39" s="688"/>
    </row>
    <row r="40" spans="1:79" s="757" customFormat="1" hidden="1" outlineLevel="1" x14ac:dyDescent="0.35">
      <c r="A40" s="504"/>
      <c r="B40" s="504"/>
      <c r="C40" s="504"/>
      <c r="D40" s="504"/>
      <c r="E40" s="504"/>
      <c r="F40" s="672" t="s">
        <v>879</v>
      </c>
      <c r="G40" s="685"/>
      <c r="H40" s="685"/>
      <c r="I40" s="685"/>
      <c r="J40" s="686"/>
      <c r="K40" s="686"/>
      <c r="L40" s="686"/>
      <c r="M40" s="686"/>
      <c r="N40" s="686"/>
      <c r="O40" s="686"/>
      <c r="P40" s="686"/>
      <c r="Q40" s="686"/>
      <c r="R40" s="686"/>
      <c r="S40" s="687">
        <v>0</v>
      </c>
      <c r="T40" s="687">
        <v>0</v>
      </c>
      <c r="U40" s="687">
        <v>0</v>
      </c>
      <c r="V40" s="687">
        <v>0</v>
      </c>
      <c r="W40" s="687">
        <v>0</v>
      </c>
      <c r="X40" s="687">
        <v>0</v>
      </c>
      <c r="Y40" s="687">
        <v>0</v>
      </c>
      <c r="Z40" s="687">
        <v>0</v>
      </c>
      <c r="AA40" s="687">
        <v>0</v>
      </c>
      <c r="AB40" s="687">
        <v>0</v>
      </c>
      <c r="AC40" s="687">
        <v>0</v>
      </c>
      <c r="AD40" s="688">
        <v>0</v>
      </c>
      <c r="AE40" s="688"/>
      <c r="AF40" s="688"/>
      <c r="AG40" s="688"/>
      <c r="AH40" s="688"/>
      <c r="AI40" s="688"/>
      <c r="AJ40" s="688"/>
      <c r="AK40" s="688"/>
      <c r="AL40" s="688"/>
      <c r="AM40" s="688"/>
      <c r="AN40" s="688"/>
      <c r="AO40" s="688"/>
      <c r="AP40" s="688"/>
      <c r="AQ40" s="688"/>
      <c r="AR40" s="688"/>
      <c r="AS40" s="688"/>
      <c r="AT40" s="688"/>
      <c r="AU40" s="688"/>
      <c r="AV40" s="688"/>
      <c r="AW40" s="688"/>
      <c r="AX40" s="688"/>
      <c r="AY40" s="688"/>
      <c r="AZ40" s="688"/>
      <c r="BA40" s="688"/>
      <c r="BB40" s="688"/>
      <c r="BC40" s="688"/>
      <c r="BD40" s="688"/>
      <c r="BE40" s="688"/>
      <c r="BF40" s="688"/>
      <c r="BG40" s="688"/>
      <c r="BH40" s="688"/>
      <c r="BI40" s="688"/>
      <c r="BJ40" s="688"/>
      <c r="BK40" s="688"/>
      <c r="BL40" s="688"/>
      <c r="BM40" s="688"/>
      <c r="BN40" s="688"/>
      <c r="BO40" s="688"/>
      <c r="BP40" s="688"/>
      <c r="BQ40" s="688"/>
      <c r="BR40" s="688"/>
      <c r="BS40" s="688"/>
      <c r="BT40" s="688"/>
      <c r="BU40" s="688"/>
      <c r="BV40" s="688"/>
      <c r="BW40" s="688"/>
      <c r="BX40" s="688"/>
      <c r="BY40" s="688"/>
      <c r="BZ40" s="688"/>
      <c r="CA40" s="688"/>
    </row>
    <row r="41" spans="1:79" s="757" customFormat="1" hidden="1" outlineLevel="1" x14ac:dyDescent="0.35">
      <c r="A41" s="504"/>
      <c r="B41" s="504"/>
      <c r="C41" s="504"/>
      <c r="D41" s="504"/>
      <c r="E41" s="504"/>
      <c r="F41" s="672" t="s">
        <v>880</v>
      </c>
      <c r="G41" s="685"/>
      <c r="H41" s="685"/>
      <c r="I41" s="685"/>
      <c r="J41" s="686"/>
      <c r="K41" s="686"/>
      <c r="L41" s="686"/>
      <c r="M41" s="686"/>
      <c r="N41" s="686"/>
      <c r="O41" s="686"/>
      <c r="P41" s="686"/>
      <c r="Q41" s="686"/>
      <c r="R41" s="686"/>
      <c r="S41" s="687">
        <v>0</v>
      </c>
      <c r="T41" s="687">
        <v>0</v>
      </c>
      <c r="U41" s="687">
        <v>0</v>
      </c>
      <c r="V41" s="687">
        <v>0</v>
      </c>
      <c r="W41" s="687">
        <v>0</v>
      </c>
      <c r="X41" s="687">
        <v>0</v>
      </c>
      <c r="Y41" s="687">
        <v>0</v>
      </c>
      <c r="Z41" s="687">
        <v>0</v>
      </c>
      <c r="AA41" s="687">
        <v>0</v>
      </c>
      <c r="AB41" s="687">
        <v>0</v>
      </c>
      <c r="AC41" s="687">
        <v>0</v>
      </c>
      <c r="AD41" s="688">
        <v>0</v>
      </c>
      <c r="AE41" s="688"/>
      <c r="AF41" s="688"/>
      <c r="AG41" s="688"/>
      <c r="AH41" s="688"/>
      <c r="AI41" s="688"/>
      <c r="AJ41" s="688"/>
      <c r="AK41" s="688"/>
      <c r="AL41" s="688"/>
      <c r="AM41" s="688"/>
      <c r="AN41" s="688"/>
      <c r="AO41" s="688"/>
      <c r="AP41" s="688"/>
      <c r="AQ41" s="688"/>
      <c r="AR41" s="688"/>
      <c r="AS41" s="688"/>
      <c r="AT41" s="688"/>
      <c r="AU41" s="688"/>
      <c r="AV41" s="688"/>
      <c r="AW41" s="688"/>
      <c r="AX41" s="688"/>
      <c r="AY41" s="688"/>
      <c r="AZ41" s="688"/>
      <c r="BA41" s="688"/>
      <c r="BB41" s="688"/>
      <c r="BC41" s="688"/>
      <c r="BD41" s="688"/>
      <c r="BE41" s="688"/>
      <c r="BF41" s="688"/>
      <c r="BG41" s="688"/>
      <c r="BH41" s="688"/>
      <c r="BI41" s="688"/>
      <c r="BJ41" s="688"/>
      <c r="BK41" s="688"/>
      <c r="BL41" s="688"/>
      <c r="BM41" s="688"/>
      <c r="BN41" s="688"/>
      <c r="BO41" s="688"/>
      <c r="BP41" s="688"/>
      <c r="BQ41" s="688"/>
      <c r="BR41" s="688"/>
      <c r="BS41" s="688"/>
      <c r="BT41" s="688"/>
      <c r="BU41" s="688"/>
      <c r="BV41" s="688"/>
      <c r="BW41" s="688"/>
      <c r="BX41" s="688"/>
      <c r="BY41" s="688"/>
      <c r="BZ41" s="688"/>
      <c r="CA41" s="688"/>
    </row>
    <row r="42" spans="1:79" s="43" customFormat="1" hidden="1" outlineLevel="1" x14ac:dyDescent="0.35">
      <c r="A42" s="80"/>
      <c r="B42" s="80"/>
      <c r="C42" s="80"/>
      <c r="D42" s="80"/>
      <c r="E42" s="80"/>
      <c r="F42" s="672" t="s">
        <v>609</v>
      </c>
      <c r="G42" s="689"/>
      <c r="H42" s="689"/>
      <c r="I42" s="689"/>
      <c r="J42" s="690"/>
      <c r="K42" s="690"/>
      <c r="L42" s="690"/>
      <c r="M42" s="690"/>
      <c r="N42" s="690"/>
      <c r="O42" s="690"/>
      <c r="P42" s="691"/>
      <c r="Q42" s="691"/>
      <c r="R42" s="691"/>
      <c r="S42" s="683">
        <v>0</v>
      </c>
      <c r="T42" s="683">
        <v>0</v>
      </c>
      <c r="U42" s="683">
        <v>446.96</v>
      </c>
      <c r="V42" s="683">
        <v>383.23</v>
      </c>
      <c r="W42" s="683">
        <v>0</v>
      </c>
      <c r="X42" s="683">
        <v>549.6</v>
      </c>
      <c r="Y42" s="683">
        <v>0</v>
      </c>
      <c r="Z42" s="683">
        <v>225.68</v>
      </c>
      <c r="AA42" s="683">
        <v>428.15</v>
      </c>
      <c r="AB42" s="683">
        <v>44.99</v>
      </c>
      <c r="AC42" s="683">
        <v>334.86</v>
      </c>
      <c r="AD42" s="684">
        <v>875.88</v>
      </c>
      <c r="AE42" s="684"/>
      <c r="AF42" s="684"/>
      <c r="AG42" s="684"/>
      <c r="AH42" s="684"/>
      <c r="AI42" s="684"/>
      <c r="AJ42" s="684"/>
      <c r="AK42" s="684"/>
      <c r="AL42" s="684"/>
      <c r="AM42" s="684"/>
      <c r="AN42" s="684"/>
      <c r="AO42" s="684"/>
      <c r="AP42" s="684"/>
      <c r="AQ42" s="684"/>
      <c r="AR42" s="684"/>
      <c r="AS42" s="684"/>
      <c r="AT42" s="684"/>
      <c r="AU42" s="684"/>
      <c r="AV42" s="684"/>
      <c r="AW42" s="684"/>
      <c r="AX42" s="684"/>
      <c r="AY42" s="684"/>
      <c r="AZ42" s="684"/>
      <c r="BA42" s="684"/>
      <c r="BB42" s="684"/>
      <c r="BC42" s="684"/>
      <c r="BD42" s="684"/>
      <c r="BE42" s="684"/>
      <c r="BF42" s="684"/>
      <c r="BG42" s="684"/>
      <c r="BH42" s="684"/>
      <c r="BI42" s="684"/>
      <c r="BJ42" s="684"/>
      <c r="BK42" s="684"/>
      <c r="BL42" s="684"/>
      <c r="BM42" s="684"/>
      <c r="BN42" s="684"/>
      <c r="BO42" s="684"/>
      <c r="BP42" s="684"/>
      <c r="BQ42" s="684"/>
      <c r="BR42" s="684"/>
      <c r="BS42" s="684"/>
      <c r="BT42" s="684"/>
      <c r="BU42" s="684"/>
      <c r="BV42" s="684"/>
      <c r="BW42" s="684"/>
      <c r="BX42" s="684"/>
      <c r="BY42" s="684"/>
      <c r="BZ42" s="684"/>
      <c r="CA42" s="684"/>
    </row>
    <row r="43" spans="1:79" s="43" customFormat="1" hidden="1" outlineLevel="1" x14ac:dyDescent="0.35">
      <c r="A43" s="80"/>
      <c r="B43" s="80"/>
      <c r="C43" s="80"/>
      <c r="D43" s="80"/>
      <c r="E43" s="80"/>
      <c r="F43" s="672" t="s">
        <v>610</v>
      </c>
      <c r="G43" s="689"/>
      <c r="H43" s="689"/>
      <c r="I43" s="689"/>
      <c r="J43" s="690"/>
      <c r="K43" s="690"/>
      <c r="L43" s="690"/>
      <c r="M43" s="690"/>
      <c r="N43" s="690"/>
      <c r="O43" s="690"/>
      <c r="P43" s="691"/>
      <c r="Q43" s="691"/>
      <c r="R43" s="691"/>
      <c r="S43" s="683">
        <v>602.86</v>
      </c>
      <c r="T43" s="683">
        <v>948.07</v>
      </c>
      <c r="U43" s="683">
        <v>1569.88</v>
      </c>
      <c r="V43" s="683">
        <v>3965.79</v>
      </c>
      <c r="W43" s="683">
        <v>3477.79</v>
      </c>
      <c r="X43" s="683">
        <v>4301.6499999999996</v>
      </c>
      <c r="Y43" s="683">
        <v>4874</v>
      </c>
      <c r="Z43" s="683">
        <v>5367.18</v>
      </c>
      <c r="AA43" s="683">
        <v>6001.4</v>
      </c>
      <c r="AB43" s="683">
        <v>5007.83</v>
      </c>
      <c r="AC43" s="683">
        <v>4021.79</v>
      </c>
      <c r="AD43" s="684">
        <v>5254.45</v>
      </c>
      <c r="AE43" s="684"/>
      <c r="AF43" s="684"/>
      <c r="AG43" s="684"/>
      <c r="AH43" s="684"/>
      <c r="AI43" s="684"/>
      <c r="AJ43" s="684"/>
      <c r="AK43" s="684"/>
      <c r="AL43" s="684"/>
      <c r="AM43" s="684"/>
      <c r="AN43" s="684"/>
      <c r="AO43" s="684"/>
      <c r="AP43" s="684"/>
      <c r="AQ43" s="684"/>
      <c r="AR43" s="684"/>
      <c r="AS43" s="684"/>
      <c r="AT43" s="684"/>
      <c r="AU43" s="684"/>
      <c r="AV43" s="684"/>
      <c r="AW43" s="684"/>
      <c r="AX43" s="684"/>
      <c r="AY43" s="684"/>
      <c r="AZ43" s="684"/>
      <c r="BA43" s="684"/>
      <c r="BB43" s="684"/>
      <c r="BC43" s="684"/>
      <c r="BD43" s="684"/>
      <c r="BE43" s="684"/>
      <c r="BF43" s="684"/>
      <c r="BG43" s="684"/>
      <c r="BH43" s="684"/>
      <c r="BI43" s="684"/>
      <c r="BJ43" s="684"/>
      <c r="BK43" s="684"/>
      <c r="BL43" s="684"/>
      <c r="BM43" s="684"/>
      <c r="BN43" s="684"/>
      <c r="BO43" s="684"/>
      <c r="BP43" s="684"/>
      <c r="BQ43" s="684"/>
      <c r="BR43" s="684"/>
      <c r="BS43" s="684"/>
      <c r="BT43" s="684"/>
      <c r="BU43" s="684"/>
      <c r="BV43" s="684"/>
      <c r="BW43" s="684"/>
      <c r="BX43" s="684"/>
      <c r="BY43" s="684"/>
      <c r="BZ43" s="684"/>
      <c r="CA43" s="684"/>
    </row>
    <row r="44" spans="1:79" s="43" customFormat="1" hidden="1" outlineLevel="1" x14ac:dyDescent="0.35">
      <c r="A44" s="80"/>
      <c r="B44" s="80"/>
      <c r="C44" s="80"/>
      <c r="D44" s="80"/>
      <c r="E44" s="80"/>
      <c r="F44" s="672" t="s">
        <v>611</v>
      </c>
      <c r="G44" s="689"/>
      <c r="H44" s="689"/>
      <c r="I44" s="689"/>
      <c r="J44" s="690"/>
      <c r="K44" s="690"/>
      <c r="L44" s="690"/>
      <c r="M44" s="690"/>
      <c r="N44" s="690"/>
      <c r="O44" s="690"/>
      <c r="P44" s="691"/>
      <c r="Q44" s="691"/>
      <c r="R44" s="691"/>
      <c r="S44" s="683">
        <v>12</v>
      </c>
      <c r="T44" s="683">
        <v>0</v>
      </c>
      <c r="U44" s="683">
        <v>0</v>
      </c>
      <c r="V44" s="683">
        <v>0</v>
      </c>
      <c r="W44" s="683">
        <v>0</v>
      </c>
      <c r="X44" s="683">
        <v>0</v>
      </c>
      <c r="Y44" s="683">
        <v>0</v>
      </c>
      <c r="Z44" s="683">
        <v>6.95</v>
      </c>
      <c r="AA44" s="683">
        <v>0</v>
      </c>
      <c r="AB44" s="683">
        <v>49</v>
      </c>
      <c r="AC44" s="683">
        <v>0</v>
      </c>
      <c r="AD44" s="684">
        <v>0</v>
      </c>
      <c r="AE44" s="684"/>
      <c r="AF44" s="684"/>
      <c r="AG44" s="684"/>
      <c r="AH44" s="684"/>
      <c r="AI44" s="684"/>
      <c r="AJ44" s="684"/>
      <c r="AK44" s="684"/>
      <c r="AL44" s="684"/>
      <c r="AM44" s="684"/>
      <c r="AN44" s="684"/>
      <c r="AO44" s="684"/>
      <c r="AP44" s="684"/>
      <c r="AQ44" s="684"/>
      <c r="AR44" s="684"/>
      <c r="AS44" s="684"/>
      <c r="AT44" s="684"/>
      <c r="AU44" s="684"/>
      <c r="AV44" s="684"/>
      <c r="AW44" s="684"/>
      <c r="AX44" s="684"/>
      <c r="AY44" s="684"/>
      <c r="AZ44" s="684"/>
      <c r="BA44" s="684"/>
      <c r="BB44" s="684"/>
      <c r="BC44" s="684"/>
      <c r="BD44" s="684"/>
      <c r="BE44" s="684"/>
      <c r="BF44" s="684"/>
      <c r="BG44" s="684"/>
      <c r="BH44" s="684"/>
      <c r="BI44" s="684"/>
      <c r="BJ44" s="684"/>
      <c r="BK44" s="684"/>
      <c r="BL44" s="684"/>
      <c r="BM44" s="684"/>
      <c r="BN44" s="684"/>
      <c r="BO44" s="684"/>
      <c r="BP44" s="684"/>
      <c r="BQ44" s="684"/>
      <c r="BR44" s="684"/>
      <c r="BS44" s="684"/>
      <c r="BT44" s="684"/>
      <c r="BU44" s="684"/>
      <c r="BV44" s="684"/>
      <c r="BW44" s="684"/>
      <c r="BX44" s="684"/>
      <c r="BY44" s="684"/>
      <c r="BZ44" s="684"/>
      <c r="CA44" s="684"/>
    </row>
    <row r="45" spans="1:79" s="452" customFormat="1" hidden="1" outlineLevel="1" x14ac:dyDescent="0.35">
      <c r="A45" s="580"/>
      <c r="B45" s="580"/>
      <c r="C45" s="580"/>
      <c r="D45" s="580"/>
      <c r="E45" s="580"/>
      <c r="F45" s="672" t="s">
        <v>881</v>
      </c>
      <c r="G45" s="729">
        <v>584.71871083376618</v>
      </c>
      <c r="H45" s="729">
        <v>199.95674354459939</v>
      </c>
      <c r="I45" s="729">
        <v>681.46457791663852</v>
      </c>
      <c r="J45" s="702">
        <v>202.80438557471638</v>
      </c>
      <c r="K45" s="702">
        <v>409.86291309160555</v>
      </c>
      <c r="L45" s="702">
        <v>760.49798080810967</v>
      </c>
      <c r="M45" s="702">
        <v>742.83291275136605</v>
      </c>
      <c r="N45" s="702">
        <v>400.76711548879712</v>
      </c>
      <c r="O45" s="702">
        <v>328.843544199566</v>
      </c>
      <c r="P45" s="730">
        <v>693.82086036507428</v>
      </c>
      <c r="Q45" s="730">
        <v>403.8611553476602</v>
      </c>
      <c r="R45" s="730">
        <v>59.704192737510965</v>
      </c>
      <c r="S45" s="692">
        <v>0</v>
      </c>
      <c r="T45" s="692">
        <v>0</v>
      </c>
      <c r="U45" s="692">
        <v>0</v>
      </c>
      <c r="V45" s="692">
        <v>0</v>
      </c>
      <c r="W45" s="692">
        <v>0</v>
      </c>
      <c r="X45" s="692">
        <v>0</v>
      </c>
      <c r="Y45" s="692">
        <v>0</v>
      </c>
      <c r="Z45" s="692">
        <v>0</v>
      </c>
      <c r="AA45" s="692">
        <v>0</v>
      </c>
      <c r="AB45" s="692">
        <v>0</v>
      </c>
      <c r="AC45" s="692">
        <v>0</v>
      </c>
      <c r="AD45" s="693">
        <v>0</v>
      </c>
      <c r="AE45" s="693"/>
      <c r="AF45" s="693"/>
      <c r="AG45" s="693"/>
      <c r="AH45" s="693"/>
      <c r="AI45" s="693"/>
      <c r="AJ45" s="693"/>
      <c r="AK45" s="693"/>
      <c r="AL45" s="693"/>
      <c r="AM45" s="693"/>
      <c r="AN45" s="693"/>
      <c r="AO45" s="693"/>
      <c r="AP45" s="693"/>
      <c r="AQ45" s="693"/>
      <c r="AR45" s="693"/>
      <c r="AS45" s="693"/>
      <c r="AT45" s="693"/>
      <c r="AU45" s="693"/>
      <c r="AV45" s="693"/>
      <c r="AW45" s="693"/>
      <c r="AX45" s="693"/>
      <c r="AY45" s="693"/>
      <c r="AZ45" s="693"/>
      <c r="BA45" s="693"/>
      <c r="BB45" s="693"/>
      <c r="BC45" s="693"/>
      <c r="BD45" s="693"/>
      <c r="BE45" s="693"/>
      <c r="BF45" s="693"/>
      <c r="BG45" s="693"/>
      <c r="BH45" s="693"/>
      <c r="BI45" s="693"/>
      <c r="BJ45" s="693"/>
      <c r="BK45" s="693"/>
      <c r="BL45" s="693"/>
      <c r="BM45" s="693"/>
      <c r="BN45" s="693"/>
      <c r="BO45" s="693"/>
      <c r="BP45" s="693"/>
      <c r="BQ45" s="693"/>
      <c r="BR45" s="693"/>
      <c r="BS45" s="693"/>
      <c r="BT45" s="693"/>
      <c r="BU45" s="693"/>
      <c r="BV45" s="693"/>
      <c r="BW45" s="693"/>
      <c r="BX45" s="693"/>
      <c r="BY45" s="693"/>
      <c r="BZ45" s="693"/>
      <c r="CA45" s="693"/>
    </row>
    <row r="46" spans="1:79" s="309" customFormat="1" hidden="1" outlineLevel="1" x14ac:dyDescent="0.35">
      <c r="A46" s="30"/>
      <c r="B46" s="30"/>
      <c r="C46" s="30"/>
      <c r="D46" s="30"/>
      <c r="E46" s="30"/>
      <c r="F46" s="675" t="s">
        <v>612</v>
      </c>
      <c r="G46" s="695">
        <f t="shared" ref="G46:R46" si="12">SUM(G39:G45)</f>
        <v>584.71871083376618</v>
      </c>
      <c r="H46" s="695">
        <f t="shared" si="12"/>
        <v>199.95674354459939</v>
      </c>
      <c r="I46" s="695">
        <f t="shared" si="12"/>
        <v>681.46457791663852</v>
      </c>
      <c r="J46" s="695">
        <f t="shared" si="12"/>
        <v>202.80438557471638</v>
      </c>
      <c r="K46" s="695">
        <f t="shared" si="12"/>
        <v>409.86291309160555</v>
      </c>
      <c r="L46" s="695">
        <f t="shared" si="12"/>
        <v>760.49798080810967</v>
      </c>
      <c r="M46" s="695">
        <f t="shared" si="12"/>
        <v>742.83291275136605</v>
      </c>
      <c r="N46" s="695">
        <f t="shared" si="12"/>
        <v>400.76711548879712</v>
      </c>
      <c r="O46" s="695">
        <f t="shared" si="12"/>
        <v>328.843544199566</v>
      </c>
      <c r="P46" s="695">
        <f t="shared" si="12"/>
        <v>693.82086036507428</v>
      </c>
      <c r="Q46" s="695">
        <f t="shared" si="12"/>
        <v>403.8611553476602</v>
      </c>
      <c r="R46" s="695">
        <f t="shared" si="12"/>
        <v>59.704192737510965</v>
      </c>
      <c r="S46" s="695">
        <f t="shared" ref="S46:AA46" si="13">ROUND(SUM(S38:S45),5)</f>
        <v>614.86</v>
      </c>
      <c r="T46" s="695">
        <f t="shared" si="13"/>
        <v>948.07</v>
      </c>
      <c r="U46" s="695">
        <f t="shared" si="13"/>
        <v>2016.84</v>
      </c>
      <c r="V46" s="695">
        <f t="shared" si="13"/>
        <v>4349.0200000000004</v>
      </c>
      <c r="W46" s="695">
        <f t="shared" si="13"/>
        <v>3477.79</v>
      </c>
      <c r="X46" s="695">
        <f t="shared" si="13"/>
        <v>4851.25</v>
      </c>
      <c r="Y46" s="695">
        <f t="shared" si="13"/>
        <v>4874</v>
      </c>
      <c r="Z46" s="695">
        <f t="shared" si="13"/>
        <v>5599.81</v>
      </c>
      <c r="AA46" s="695">
        <f t="shared" si="13"/>
        <v>6429.55</v>
      </c>
      <c r="AB46" s="695">
        <f>ROUND(SUM(AB38:AB45),5)</f>
        <v>5101.82</v>
      </c>
      <c r="AC46" s="695">
        <f>ROUND(SUM(AC38:AC45),5)</f>
        <v>4356.6499999999996</v>
      </c>
      <c r="AD46" s="695">
        <v>6130.33</v>
      </c>
      <c r="AE46" s="695">
        <f t="shared" ref="AE46:BO46" si="14">SUM(AE39:AE45)</f>
        <v>0</v>
      </c>
      <c r="AF46" s="695">
        <f t="shared" si="14"/>
        <v>0</v>
      </c>
      <c r="AG46" s="695">
        <f t="shared" si="14"/>
        <v>0</v>
      </c>
      <c r="AH46" s="695">
        <f t="shared" si="14"/>
        <v>0</v>
      </c>
      <c r="AI46" s="695">
        <f t="shared" si="14"/>
        <v>0</v>
      </c>
      <c r="AJ46" s="695">
        <f t="shared" si="14"/>
        <v>0</v>
      </c>
      <c r="AK46" s="695">
        <f t="shared" si="14"/>
        <v>0</v>
      </c>
      <c r="AL46" s="695">
        <f t="shared" si="14"/>
        <v>0</v>
      </c>
      <c r="AM46" s="695">
        <f t="shared" si="14"/>
        <v>0</v>
      </c>
      <c r="AN46" s="695">
        <f t="shared" si="14"/>
        <v>0</v>
      </c>
      <c r="AO46" s="695">
        <f t="shared" si="14"/>
        <v>0</v>
      </c>
      <c r="AP46" s="695">
        <f t="shared" si="14"/>
        <v>0</v>
      </c>
      <c r="AQ46" s="695">
        <f t="shared" si="14"/>
        <v>0</v>
      </c>
      <c r="AR46" s="695">
        <f t="shared" si="14"/>
        <v>0</v>
      </c>
      <c r="AS46" s="695">
        <f t="shared" si="14"/>
        <v>0</v>
      </c>
      <c r="AT46" s="695">
        <f t="shared" si="14"/>
        <v>0</v>
      </c>
      <c r="AU46" s="695">
        <f t="shared" si="14"/>
        <v>0</v>
      </c>
      <c r="AV46" s="695">
        <f t="shared" si="14"/>
        <v>0</v>
      </c>
      <c r="AW46" s="695">
        <f t="shared" si="14"/>
        <v>0</v>
      </c>
      <c r="AX46" s="695">
        <f t="shared" si="14"/>
        <v>0</v>
      </c>
      <c r="AY46" s="695">
        <f t="shared" si="14"/>
        <v>0</v>
      </c>
      <c r="AZ46" s="695">
        <f t="shared" si="14"/>
        <v>0</v>
      </c>
      <c r="BA46" s="695">
        <f t="shared" si="14"/>
        <v>0</v>
      </c>
      <c r="BB46" s="695">
        <f t="shared" si="14"/>
        <v>0</v>
      </c>
      <c r="BC46" s="695">
        <f t="shared" si="14"/>
        <v>0</v>
      </c>
      <c r="BD46" s="695">
        <f t="shared" si="14"/>
        <v>0</v>
      </c>
      <c r="BE46" s="695">
        <f t="shared" si="14"/>
        <v>0</v>
      </c>
      <c r="BF46" s="695">
        <f t="shared" si="14"/>
        <v>0</v>
      </c>
      <c r="BG46" s="695">
        <f t="shared" si="14"/>
        <v>0</v>
      </c>
      <c r="BH46" s="695">
        <f t="shared" si="14"/>
        <v>0</v>
      </c>
      <c r="BI46" s="695">
        <f t="shared" si="14"/>
        <v>0</v>
      </c>
      <c r="BJ46" s="695">
        <f t="shared" si="14"/>
        <v>0</v>
      </c>
      <c r="BK46" s="695">
        <f t="shared" si="14"/>
        <v>0</v>
      </c>
      <c r="BL46" s="695">
        <f t="shared" si="14"/>
        <v>0</v>
      </c>
      <c r="BM46" s="695">
        <f t="shared" si="14"/>
        <v>0</v>
      </c>
      <c r="BN46" s="695">
        <f t="shared" si="14"/>
        <v>0</v>
      </c>
      <c r="BO46" s="695">
        <f t="shared" si="14"/>
        <v>0</v>
      </c>
      <c r="BP46" s="695">
        <f t="shared" ref="BP46:CA46" si="15">SUM(BP39:BP45)</f>
        <v>0</v>
      </c>
      <c r="BQ46" s="695">
        <f t="shared" si="15"/>
        <v>0</v>
      </c>
      <c r="BR46" s="695">
        <f t="shared" si="15"/>
        <v>0</v>
      </c>
      <c r="BS46" s="695">
        <f t="shared" si="15"/>
        <v>0</v>
      </c>
      <c r="BT46" s="695">
        <f t="shared" si="15"/>
        <v>0</v>
      </c>
      <c r="BU46" s="695">
        <f t="shared" si="15"/>
        <v>0</v>
      </c>
      <c r="BV46" s="695">
        <f t="shared" si="15"/>
        <v>0</v>
      </c>
      <c r="BW46" s="695">
        <f t="shared" si="15"/>
        <v>0</v>
      </c>
      <c r="BX46" s="695">
        <f t="shared" si="15"/>
        <v>0</v>
      </c>
      <c r="BY46" s="695">
        <f t="shared" si="15"/>
        <v>0</v>
      </c>
      <c r="BZ46" s="695">
        <f t="shared" si="15"/>
        <v>0</v>
      </c>
      <c r="CA46" s="695">
        <f t="shared" si="15"/>
        <v>0</v>
      </c>
    </row>
    <row r="47" spans="1:79" s="309" customFormat="1" hidden="1" outlineLevel="1" x14ac:dyDescent="0.35">
      <c r="A47" s="575"/>
      <c r="B47" s="575"/>
      <c r="C47" s="575"/>
      <c r="D47" s="575"/>
      <c r="E47" s="575"/>
      <c r="F47" s="671" t="s">
        <v>882</v>
      </c>
      <c r="G47" s="697"/>
      <c r="H47" s="697"/>
      <c r="I47" s="697"/>
      <c r="J47" s="698"/>
      <c r="K47" s="698"/>
      <c r="L47" s="698"/>
      <c r="M47" s="698"/>
      <c r="N47" s="698"/>
      <c r="O47" s="698"/>
      <c r="P47" s="699"/>
      <c r="Q47" s="699"/>
      <c r="R47" s="699"/>
      <c r="S47" s="700">
        <v>0</v>
      </c>
      <c r="T47" s="700">
        <v>0</v>
      </c>
      <c r="U47" s="700">
        <v>0</v>
      </c>
      <c r="V47" s="700">
        <v>0</v>
      </c>
      <c r="W47" s="700">
        <v>0</v>
      </c>
      <c r="X47" s="700">
        <v>0</v>
      </c>
      <c r="Y47" s="700">
        <v>0</v>
      </c>
      <c r="Z47" s="700">
        <v>0</v>
      </c>
      <c r="AA47" s="700">
        <v>0</v>
      </c>
      <c r="AB47" s="700">
        <v>0</v>
      </c>
      <c r="AC47" s="700">
        <v>0</v>
      </c>
      <c r="AD47" s="701">
        <v>0</v>
      </c>
      <c r="AE47" s="701"/>
      <c r="AF47" s="701"/>
      <c r="AG47" s="701"/>
      <c r="AH47" s="701"/>
      <c r="AI47" s="701"/>
      <c r="AJ47" s="701"/>
      <c r="AK47" s="701"/>
      <c r="AL47" s="701"/>
      <c r="AM47" s="701"/>
      <c r="AN47" s="701"/>
      <c r="AO47" s="701"/>
      <c r="AP47" s="701"/>
      <c r="AQ47" s="701"/>
      <c r="AR47" s="701"/>
      <c r="AS47" s="701"/>
      <c r="AT47" s="701"/>
      <c r="AU47" s="701"/>
      <c r="AV47" s="701"/>
      <c r="AW47" s="701"/>
      <c r="AX47" s="701"/>
      <c r="AY47" s="701"/>
      <c r="AZ47" s="701"/>
      <c r="BA47" s="701"/>
      <c r="BB47" s="701"/>
      <c r="BC47" s="701"/>
      <c r="BD47" s="701"/>
      <c r="BE47" s="701"/>
      <c r="BF47" s="701"/>
      <c r="BG47" s="701"/>
      <c r="BH47" s="701"/>
      <c r="BI47" s="701"/>
      <c r="BJ47" s="701"/>
      <c r="BK47" s="701"/>
      <c r="BL47" s="701"/>
      <c r="BM47" s="701"/>
      <c r="BN47" s="701"/>
      <c r="BO47" s="701"/>
      <c r="BP47" s="701"/>
      <c r="BQ47" s="701"/>
      <c r="BR47" s="701"/>
      <c r="BS47" s="701"/>
      <c r="BT47" s="701"/>
      <c r="BU47" s="701"/>
      <c r="BV47" s="701"/>
      <c r="BW47" s="701"/>
      <c r="BX47" s="701"/>
      <c r="BY47" s="701"/>
      <c r="BZ47" s="701"/>
      <c r="CA47" s="701"/>
    </row>
    <row r="48" spans="1:79" hidden="1" outlineLevel="1" x14ac:dyDescent="0.35">
      <c r="F48" s="674" t="s">
        <v>595</v>
      </c>
      <c r="G48" s="681"/>
      <c r="H48" s="681"/>
      <c r="I48" s="681"/>
      <c r="J48" s="702"/>
      <c r="K48" s="702"/>
      <c r="L48" s="702"/>
      <c r="M48" s="702">
        <v>106.70804903344191</v>
      </c>
      <c r="N48" s="702"/>
      <c r="O48" s="702">
        <v>70.456156962637479</v>
      </c>
      <c r="P48" s="682">
        <v>66.857330092227372</v>
      </c>
      <c r="Q48" s="682"/>
      <c r="R48" s="682"/>
      <c r="S48" s="683">
        <v>6</v>
      </c>
      <c r="T48" s="683">
        <v>600</v>
      </c>
      <c r="U48" s="683">
        <v>0</v>
      </c>
      <c r="V48" s="683">
        <v>0</v>
      </c>
      <c r="W48" s="683">
        <v>0</v>
      </c>
      <c r="X48" s="683">
        <v>0</v>
      </c>
      <c r="Y48" s="683">
        <v>0</v>
      </c>
      <c r="Z48" s="683">
        <v>0</v>
      </c>
      <c r="AA48" s="683">
        <v>477.83</v>
      </c>
      <c r="AB48" s="683">
        <v>0</v>
      </c>
      <c r="AC48" s="683">
        <v>1419.57</v>
      </c>
      <c r="AD48" s="684">
        <v>0</v>
      </c>
      <c r="AE48" s="684"/>
      <c r="AF48" s="684"/>
      <c r="AG48" s="684"/>
      <c r="AH48" s="684"/>
      <c r="AI48" s="684"/>
      <c r="AJ48" s="684"/>
      <c r="AK48" s="684"/>
      <c r="AL48" s="684"/>
      <c r="AM48" s="684"/>
      <c r="AN48" s="684"/>
      <c r="AO48" s="684"/>
      <c r="AP48" s="684"/>
      <c r="AQ48" s="684"/>
      <c r="AR48" s="684"/>
      <c r="AS48" s="684"/>
      <c r="AT48" s="684"/>
      <c r="AU48" s="684"/>
      <c r="AV48" s="684"/>
      <c r="AW48" s="684"/>
      <c r="AX48" s="684"/>
      <c r="AY48" s="684"/>
      <c r="AZ48" s="684"/>
      <c r="BA48" s="684"/>
      <c r="BB48" s="684"/>
      <c r="BC48" s="684"/>
      <c r="BD48" s="684"/>
      <c r="BE48" s="684"/>
      <c r="BF48" s="684"/>
      <c r="BG48" s="684"/>
      <c r="BH48" s="684"/>
      <c r="BI48" s="684"/>
      <c r="BJ48" s="684"/>
      <c r="BK48" s="684"/>
      <c r="BL48" s="684"/>
      <c r="BM48" s="684"/>
      <c r="BN48" s="684"/>
      <c r="BO48" s="684"/>
      <c r="BP48" s="684"/>
      <c r="BQ48" s="684"/>
      <c r="BR48" s="684"/>
      <c r="BS48" s="684"/>
      <c r="BT48" s="684"/>
      <c r="BU48" s="684"/>
      <c r="BV48" s="684"/>
      <c r="BW48" s="684"/>
      <c r="BX48" s="684"/>
      <c r="BY48" s="684"/>
      <c r="BZ48" s="684"/>
      <c r="CA48" s="684"/>
    </row>
    <row r="49" spans="1:79" hidden="1" outlineLevel="1" x14ac:dyDescent="0.35">
      <c r="F49" s="674" t="s">
        <v>596</v>
      </c>
      <c r="G49" s="681">
        <v>15.12592804087349</v>
      </c>
      <c r="H49" s="681">
        <v>24.839082544146748</v>
      </c>
      <c r="I49" s="681">
        <v>3.2474244457040422</v>
      </c>
      <c r="J49" s="702">
        <v>3.4134370698270899</v>
      </c>
      <c r="K49" s="702">
        <v>178.61612899201003</v>
      </c>
      <c r="L49" s="702"/>
      <c r="M49" s="702"/>
      <c r="N49" s="702">
        <v>9.7457167452824756</v>
      </c>
      <c r="O49" s="702"/>
      <c r="P49" s="682">
        <v>110.05558025965057</v>
      </c>
      <c r="Q49" s="682"/>
      <c r="R49" s="682"/>
      <c r="S49" s="683">
        <v>0</v>
      </c>
      <c r="T49" s="683">
        <v>0</v>
      </c>
      <c r="U49" s="683">
        <v>169</v>
      </c>
      <c r="V49" s="683">
        <v>0</v>
      </c>
      <c r="W49" s="683">
        <v>0</v>
      </c>
      <c r="X49" s="683">
        <v>0</v>
      </c>
      <c r="Y49" s="683">
        <v>0</v>
      </c>
      <c r="Z49" s="683">
        <v>0</v>
      </c>
      <c r="AA49" s="683">
        <v>0</v>
      </c>
      <c r="AB49" s="683">
        <v>0</v>
      </c>
      <c r="AC49" s="683">
        <v>0</v>
      </c>
      <c r="AD49" s="684">
        <v>295</v>
      </c>
      <c r="AE49" s="684"/>
      <c r="AF49" s="684"/>
      <c r="AG49" s="684"/>
      <c r="AH49" s="684"/>
      <c r="AI49" s="684"/>
      <c r="AJ49" s="684"/>
      <c r="AK49" s="684"/>
      <c r="AL49" s="684"/>
      <c r="AM49" s="684"/>
      <c r="AN49" s="684"/>
      <c r="AO49" s="684"/>
      <c r="AP49" s="684"/>
      <c r="AQ49" s="684"/>
      <c r="AR49" s="684"/>
      <c r="AS49" s="684"/>
      <c r="AT49" s="684"/>
      <c r="AU49" s="684"/>
      <c r="AV49" s="684"/>
      <c r="AW49" s="684"/>
      <c r="AX49" s="684"/>
      <c r="AY49" s="684"/>
      <c r="AZ49" s="684"/>
      <c r="BA49" s="684"/>
      <c r="BB49" s="684"/>
      <c r="BC49" s="684"/>
      <c r="BD49" s="684"/>
      <c r="BE49" s="684"/>
      <c r="BF49" s="684"/>
      <c r="BG49" s="684"/>
      <c r="BH49" s="684"/>
      <c r="BI49" s="684"/>
      <c r="BJ49" s="684"/>
      <c r="BK49" s="684"/>
      <c r="BL49" s="684"/>
      <c r="BM49" s="684"/>
      <c r="BN49" s="684"/>
      <c r="BO49" s="684"/>
      <c r="BP49" s="684"/>
      <c r="BQ49" s="684"/>
      <c r="BR49" s="684"/>
      <c r="BS49" s="684"/>
      <c r="BT49" s="684"/>
      <c r="BU49" s="684"/>
      <c r="BV49" s="684"/>
      <c r="BW49" s="684"/>
      <c r="BX49" s="684"/>
      <c r="BY49" s="684"/>
      <c r="BZ49" s="684"/>
      <c r="CA49" s="684"/>
    </row>
    <row r="50" spans="1:79" hidden="1" outlineLevel="1" x14ac:dyDescent="0.35">
      <c r="A50" s="574"/>
      <c r="B50" s="574"/>
      <c r="C50" s="574"/>
      <c r="D50" s="574"/>
      <c r="E50" s="574"/>
      <c r="F50" s="671" t="s">
        <v>883</v>
      </c>
      <c r="G50" s="681"/>
      <c r="H50" s="681"/>
      <c r="I50" s="681"/>
      <c r="J50" s="702"/>
      <c r="K50" s="702"/>
      <c r="L50" s="702"/>
      <c r="M50" s="702"/>
      <c r="N50" s="702"/>
      <c r="O50" s="702"/>
      <c r="P50" s="682"/>
      <c r="Q50" s="682"/>
      <c r="R50" s="682"/>
      <c r="S50" s="683">
        <v>0</v>
      </c>
      <c r="T50" s="683">
        <v>0</v>
      </c>
      <c r="U50" s="683">
        <v>0</v>
      </c>
      <c r="V50" s="683">
        <v>0</v>
      </c>
      <c r="W50" s="683">
        <v>0</v>
      </c>
      <c r="X50" s="683">
        <v>0</v>
      </c>
      <c r="Y50" s="683">
        <v>0</v>
      </c>
      <c r="Z50" s="683">
        <v>0</v>
      </c>
      <c r="AA50" s="683">
        <v>0</v>
      </c>
      <c r="AB50" s="683">
        <v>0</v>
      </c>
      <c r="AC50" s="683">
        <v>0</v>
      </c>
      <c r="AD50" s="684">
        <v>0</v>
      </c>
      <c r="AE50" s="684"/>
      <c r="AF50" s="684"/>
      <c r="AG50" s="684"/>
      <c r="AH50" s="684"/>
      <c r="AI50" s="684"/>
      <c r="AJ50" s="684"/>
      <c r="AK50" s="684"/>
      <c r="AL50" s="684"/>
      <c r="AM50" s="684"/>
      <c r="AN50" s="684"/>
      <c r="AO50" s="684"/>
      <c r="AP50" s="684"/>
      <c r="AQ50" s="684"/>
      <c r="AR50" s="684"/>
      <c r="AS50" s="684"/>
      <c r="AT50" s="684"/>
      <c r="AU50" s="684"/>
      <c r="AV50" s="684"/>
      <c r="AW50" s="684"/>
      <c r="AX50" s="684"/>
      <c r="AY50" s="684"/>
      <c r="AZ50" s="684"/>
      <c r="BA50" s="684"/>
      <c r="BB50" s="684"/>
      <c r="BC50" s="684"/>
      <c r="BD50" s="684"/>
      <c r="BE50" s="684"/>
      <c r="BF50" s="684"/>
      <c r="BG50" s="684"/>
      <c r="BH50" s="684"/>
      <c r="BI50" s="684"/>
      <c r="BJ50" s="684"/>
      <c r="BK50" s="684"/>
      <c r="BL50" s="684"/>
      <c r="BM50" s="684"/>
      <c r="BN50" s="684"/>
      <c r="BO50" s="684"/>
      <c r="BP50" s="684"/>
      <c r="BQ50" s="684"/>
      <c r="BR50" s="684"/>
      <c r="BS50" s="684"/>
      <c r="BT50" s="684"/>
      <c r="BU50" s="684"/>
      <c r="BV50" s="684"/>
      <c r="BW50" s="684"/>
      <c r="BX50" s="684"/>
      <c r="BY50" s="684"/>
      <c r="BZ50" s="684"/>
      <c r="CA50" s="684"/>
    </row>
    <row r="51" spans="1:79" hidden="1" outlineLevel="1" x14ac:dyDescent="0.35">
      <c r="A51" s="709"/>
      <c r="B51" s="709"/>
      <c r="C51" s="709"/>
      <c r="D51" s="709"/>
      <c r="E51" s="709"/>
      <c r="F51" s="717" t="s">
        <v>766</v>
      </c>
      <c r="G51" s="718"/>
      <c r="H51" s="718"/>
      <c r="I51" s="718"/>
      <c r="J51" s="719"/>
      <c r="K51" s="719"/>
      <c r="L51" s="719"/>
      <c r="M51" s="719"/>
      <c r="N51" s="719"/>
      <c r="O51" s="719"/>
      <c r="P51" s="720"/>
      <c r="Q51" s="720"/>
      <c r="R51" s="720"/>
      <c r="S51" s="720"/>
      <c r="T51" s="720"/>
      <c r="U51" s="720"/>
      <c r="V51" s="720"/>
      <c r="W51" s="720"/>
      <c r="X51" s="720"/>
      <c r="Y51" s="720"/>
      <c r="Z51" s="720"/>
      <c r="AA51" s="720"/>
      <c r="AB51" s="720"/>
      <c r="AC51" s="720"/>
      <c r="AD51" s="715"/>
      <c r="AE51" s="715"/>
      <c r="AF51" s="715"/>
      <c r="AG51" s="715"/>
      <c r="AH51" s="715"/>
      <c r="AI51" s="715"/>
      <c r="AJ51" s="715"/>
      <c r="AK51" s="715"/>
      <c r="AL51" s="715"/>
      <c r="AM51" s="715"/>
      <c r="AN51" s="715"/>
      <c r="AO51" s="715"/>
      <c r="AP51" s="715"/>
      <c r="AQ51" s="715"/>
      <c r="AR51" s="715"/>
      <c r="AS51" s="715"/>
      <c r="AT51" s="715"/>
      <c r="AU51" s="715"/>
      <c r="AV51" s="715"/>
      <c r="AW51" s="715"/>
      <c r="AX51" s="715"/>
      <c r="AY51" s="715"/>
      <c r="AZ51" s="715"/>
      <c r="BA51" s="715"/>
      <c r="BB51" s="715"/>
      <c r="BC51" s="715"/>
      <c r="BD51" s="715"/>
      <c r="BE51" s="715"/>
      <c r="BF51" s="715"/>
      <c r="BG51" s="715"/>
      <c r="BH51" s="715"/>
      <c r="BI51" s="715"/>
      <c r="BJ51" s="715"/>
      <c r="BK51" s="715"/>
      <c r="BL51" s="715"/>
      <c r="BM51" s="715"/>
      <c r="BN51" s="715"/>
      <c r="BO51" s="715"/>
      <c r="BP51" s="715"/>
      <c r="BQ51" s="715"/>
      <c r="BR51" s="715"/>
      <c r="BS51" s="715"/>
      <c r="BT51" s="715"/>
      <c r="BU51" s="715"/>
      <c r="BV51" s="715"/>
      <c r="BW51" s="715"/>
      <c r="BX51" s="715"/>
      <c r="BY51" s="715"/>
      <c r="BZ51" s="715"/>
      <c r="CA51" s="715"/>
    </row>
    <row r="52" spans="1:79" hidden="1" outlineLevel="1" x14ac:dyDescent="0.35">
      <c r="A52" s="574"/>
      <c r="B52" s="574"/>
      <c r="C52" s="574"/>
      <c r="D52" s="574"/>
      <c r="E52" s="574"/>
      <c r="F52" s="672" t="s">
        <v>884</v>
      </c>
      <c r="G52" s="681"/>
      <c r="H52" s="681"/>
      <c r="I52" s="681"/>
      <c r="J52" s="702"/>
      <c r="K52" s="702"/>
      <c r="L52" s="702"/>
      <c r="M52" s="702"/>
      <c r="N52" s="702"/>
      <c r="O52" s="702"/>
      <c r="P52" s="682"/>
      <c r="Q52" s="682"/>
      <c r="R52" s="682"/>
      <c r="S52" s="683">
        <v>0</v>
      </c>
      <c r="T52" s="683">
        <v>0</v>
      </c>
      <c r="U52" s="683">
        <v>0</v>
      </c>
      <c r="V52" s="683">
        <v>0</v>
      </c>
      <c r="W52" s="683">
        <v>0</v>
      </c>
      <c r="X52" s="683">
        <v>0</v>
      </c>
      <c r="Y52" s="683">
        <v>0</v>
      </c>
      <c r="Z52" s="683">
        <v>0</v>
      </c>
      <c r="AA52" s="683">
        <v>0</v>
      </c>
      <c r="AB52" s="683">
        <v>0</v>
      </c>
      <c r="AC52" s="683">
        <v>0</v>
      </c>
      <c r="AD52" s="684">
        <v>0</v>
      </c>
      <c r="AE52" s="684"/>
      <c r="AF52" s="684"/>
      <c r="AG52" s="684"/>
      <c r="AH52" s="684"/>
      <c r="AI52" s="684"/>
      <c r="AJ52" s="684"/>
      <c r="AK52" s="684"/>
      <c r="AL52" s="684"/>
      <c r="AM52" s="684"/>
      <c r="AN52" s="684"/>
      <c r="AO52" s="684"/>
      <c r="AP52" s="684"/>
      <c r="AQ52" s="684"/>
      <c r="AR52" s="684"/>
      <c r="AS52" s="684"/>
      <c r="AT52" s="684"/>
      <c r="AU52" s="684"/>
      <c r="AV52" s="684"/>
      <c r="AW52" s="684"/>
      <c r="AX52" s="684"/>
      <c r="AY52" s="684"/>
      <c r="AZ52" s="684"/>
      <c r="BA52" s="684"/>
      <c r="BB52" s="684"/>
      <c r="BC52" s="684"/>
      <c r="BD52" s="684"/>
      <c r="BE52" s="684"/>
      <c r="BF52" s="684"/>
      <c r="BG52" s="684"/>
      <c r="BH52" s="684"/>
      <c r="BI52" s="684"/>
      <c r="BJ52" s="684"/>
      <c r="BK52" s="684"/>
      <c r="BL52" s="684"/>
      <c r="BM52" s="684"/>
      <c r="BN52" s="684"/>
      <c r="BO52" s="684"/>
      <c r="BP52" s="684"/>
      <c r="BQ52" s="684"/>
      <c r="BR52" s="684"/>
      <c r="BS52" s="684"/>
      <c r="BT52" s="684"/>
      <c r="BU52" s="684"/>
      <c r="BV52" s="684"/>
      <c r="BW52" s="684"/>
      <c r="BX52" s="684"/>
      <c r="BY52" s="684"/>
      <c r="BZ52" s="684"/>
      <c r="CA52" s="684"/>
    </row>
    <row r="53" spans="1:79" hidden="1" outlineLevel="1" x14ac:dyDescent="0.35">
      <c r="A53" s="574"/>
      <c r="B53" s="574"/>
      <c r="C53" s="574"/>
      <c r="D53" s="574"/>
      <c r="E53" s="574"/>
      <c r="F53" s="672" t="s">
        <v>885</v>
      </c>
      <c r="G53" s="681"/>
      <c r="H53" s="681"/>
      <c r="I53" s="681"/>
      <c r="J53" s="702"/>
      <c r="K53" s="702"/>
      <c r="L53" s="702"/>
      <c r="M53" s="702"/>
      <c r="N53" s="702"/>
      <c r="O53" s="702"/>
      <c r="P53" s="682"/>
      <c r="Q53" s="682"/>
      <c r="R53" s="682"/>
      <c r="S53" s="683">
        <v>0</v>
      </c>
      <c r="T53" s="683">
        <v>0</v>
      </c>
      <c r="U53" s="683">
        <v>0</v>
      </c>
      <c r="V53" s="683">
        <v>0</v>
      </c>
      <c r="W53" s="683">
        <v>0</v>
      </c>
      <c r="X53" s="683">
        <v>0</v>
      </c>
      <c r="Y53" s="683">
        <v>0</v>
      </c>
      <c r="Z53" s="683">
        <v>0</v>
      </c>
      <c r="AA53" s="683">
        <v>0</v>
      </c>
      <c r="AB53" s="683">
        <v>0</v>
      </c>
      <c r="AC53" s="683">
        <v>0</v>
      </c>
      <c r="AD53" s="684">
        <v>0</v>
      </c>
      <c r="AE53" s="684"/>
      <c r="AF53" s="684"/>
      <c r="AG53" s="684"/>
      <c r="AH53" s="684"/>
      <c r="AI53" s="684"/>
      <c r="AJ53" s="684"/>
      <c r="AK53" s="684"/>
      <c r="AL53" s="684"/>
      <c r="AM53" s="684"/>
      <c r="AN53" s="684"/>
      <c r="AO53" s="684"/>
      <c r="AP53" s="684"/>
      <c r="AQ53" s="684"/>
      <c r="AR53" s="684"/>
      <c r="AS53" s="684"/>
      <c r="AT53" s="684"/>
      <c r="AU53" s="684"/>
      <c r="AV53" s="684"/>
      <c r="AW53" s="684"/>
      <c r="AX53" s="684"/>
      <c r="AY53" s="684"/>
      <c r="AZ53" s="684"/>
      <c r="BA53" s="684"/>
      <c r="BB53" s="684"/>
      <c r="BC53" s="684"/>
      <c r="BD53" s="684"/>
      <c r="BE53" s="684"/>
      <c r="BF53" s="684"/>
      <c r="BG53" s="684"/>
      <c r="BH53" s="684"/>
      <c r="BI53" s="684"/>
      <c r="BJ53" s="684"/>
      <c r="BK53" s="684"/>
      <c r="BL53" s="684"/>
      <c r="BM53" s="684"/>
      <c r="BN53" s="684"/>
      <c r="BO53" s="684"/>
      <c r="BP53" s="684"/>
      <c r="BQ53" s="684"/>
      <c r="BR53" s="684"/>
      <c r="BS53" s="684"/>
      <c r="BT53" s="684"/>
      <c r="BU53" s="684"/>
      <c r="BV53" s="684"/>
      <c r="BW53" s="684"/>
      <c r="BX53" s="684"/>
      <c r="BY53" s="684"/>
      <c r="BZ53" s="684"/>
      <c r="CA53" s="684"/>
    </row>
    <row r="54" spans="1:79" hidden="1" outlineLevel="1" x14ac:dyDescent="0.35">
      <c r="A54" s="574"/>
      <c r="B54" s="574"/>
      <c r="C54" s="574"/>
      <c r="D54" s="574"/>
      <c r="E54" s="574"/>
      <c r="F54" s="672" t="s">
        <v>886</v>
      </c>
      <c r="G54" s="681"/>
      <c r="H54" s="681"/>
      <c r="I54" s="681"/>
      <c r="J54" s="702"/>
      <c r="K54" s="702"/>
      <c r="L54" s="702"/>
      <c r="M54" s="702"/>
      <c r="N54" s="702"/>
      <c r="O54" s="702"/>
      <c r="P54" s="682"/>
      <c r="Q54" s="682"/>
      <c r="R54" s="682"/>
      <c r="S54" s="683">
        <v>0</v>
      </c>
      <c r="T54" s="683">
        <v>0</v>
      </c>
      <c r="U54" s="683">
        <v>0</v>
      </c>
      <c r="V54" s="683">
        <v>0</v>
      </c>
      <c r="W54" s="683">
        <v>0</v>
      </c>
      <c r="X54" s="683">
        <v>0</v>
      </c>
      <c r="Y54" s="683">
        <v>0</v>
      </c>
      <c r="Z54" s="683">
        <v>0</v>
      </c>
      <c r="AA54" s="683">
        <v>0</v>
      </c>
      <c r="AB54" s="683">
        <v>0</v>
      </c>
      <c r="AC54" s="683">
        <v>0</v>
      </c>
      <c r="AD54" s="684">
        <v>0</v>
      </c>
      <c r="AE54" s="684"/>
      <c r="AF54" s="684"/>
      <c r="AG54" s="684"/>
      <c r="AH54" s="684"/>
      <c r="AI54" s="684"/>
      <c r="AJ54" s="684"/>
      <c r="AK54" s="684"/>
      <c r="AL54" s="684"/>
      <c r="AM54" s="684"/>
      <c r="AN54" s="684"/>
      <c r="AO54" s="684"/>
      <c r="AP54" s="684"/>
      <c r="AQ54" s="684"/>
      <c r="AR54" s="684"/>
      <c r="AS54" s="684"/>
      <c r="AT54" s="684"/>
      <c r="AU54" s="684"/>
      <c r="AV54" s="684"/>
      <c r="AW54" s="684"/>
      <c r="AX54" s="684"/>
      <c r="AY54" s="684"/>
      <c r="AZ54" s="684"/>
      <c r="BA54" s="684"/>
      <c r="BB54" s="684"/>
      <c r="BC54" s="684"/>
      <c r="BD54" s="684"/>
      <c r="BE54" s="684"/>
      <c r="BF54" s="684"/>
      <c r="BG54" s="684"/>
      <c r="BH54" s="684"/>
      <c r="BI54" s="684"/>
      <c r="BJ54" s="684"/>
      <c r="BK54" s="684"/>
      <c r="BL54" s="684"/>
      <c r="BM54" s="684"/>
      <c r="BN54" s="684"/>
      <c r="BO54" s="684"/>
      <c r="BP54" s="684"/>
      <c r="BQ54" s="684"/>
      <c r="BR54" s="684"/>
      <c r="BS54" s="684"/>
      <c r="BT54" s="684"/>
      <c r="BU54" s="684"/>
      <c r="BV54" s="684"/>
      <c r="BW54" s="684"/>
      <c r="BX54" s="684"/>
      <c r="BY54" s="684"/>
      <c r="BZ54" s="684"/>
      <c r="CA54" s="684"/>
    </row>
    <row r="55" spans="1:79" hidden="1" outlineLevel="1" x14ac:dyDescent="0.35">
      <c r="A55" s="574"/>
      <c r="B55" s="574"/>
      <c r="C55" s="574"/>
      <c r="D55" s="574"/>
      <c r="E55" s="574"/>
      <c r="F55" s="672" t="s">
        <v>664</v>
      </c>
      <c r="G55" s="681"/>
      <c r="H55" s="681"/>
      <c r="I55" s="681"/>
      <c r="J55" s="702"/>
      <c r="K55" s="702"/>
      <c r="L55" s="702"/>
      <c r="M55" s="702"/>
      <c r="N55" s="702"/>
      <c r="O55" s="702"/>
      <c r="P55" s="682"/>
      <c r="Q55" s="682"/>
      <c r="R55" s="682"/>
      <c r="S55" s="683">
        <v>0</v>
      </c>
      <c r="T55" s="683">
        <v>0</v>
      </c>
      <c r="U55" s="683">
        <v>0</v>
      </c>
      <c r="V55" s="683">
        <v>0</v>
      </c>
      <c r="W55" s="683">
        <v>0</v>
      </c>
      <c r="X55" s="683">
        <v>0</v>
      </c>
      <c r="Y55" s="683">
        <v>0</v>
      </c>
      <c r="Z55" s="683">
        <v>0</v>
      </c>
      <c r="AA55" s="683">
        <v>0</v>
      </c>
      <c r="AB55" s="683">
        <v>0</v>
      </c>
      <c r="AC55" s="683">
        <v>0</v>
      </c>
      <c r="AD55" s="684">
        <v>0</v>
      </c>
      <c r="AE55" s="684"/>
      <c r="AF55" s="684"/>
      <c r="AG55" s="684"/>
      <c r="AH55" s="684"/>
      <c r="AI55" s="684"/>
      <c r="AJ55" s="684"/>
      <c r="AK55" s="684"/>
      <c r="AL55" s="684"/>
      <c r="AM55" s="684"/>
      <c r="AN55" s="684"/>
      <c r="AO55" s="684"/>
      <c r="AP55" s="684"/>
      <c r="AQ55" s="684"/>
      <c r="AR55" s="684"/>
      <c r="AS55" s="684"/>
      <c r="AT55" s="684"/>
      <c r="AU55" s="684"/>
      <c r="AV55" s="684"/>
      <c r="AW55" s="684"/>
      <c r="AX55" s="684"/>
      <c r="AY55" s="684"/>
      <c r="AZ55" s="684"/>
      <c r="BA55" s="684"/>
      <c r="BB55" s="684"/>
      <c r="BC55" s="684"/>
      <c r="BD55" s="684"/>
      <c r="BE55" s="684"/>
      <c r="BF55" s="684"/>
      <c r="BG55" s="684"/>
      <c r="BH55" s="684"/>
      <c r="BI55" s="684"/>
      <c r="BJ55" s="684"/>
      <c r="BK55" s="684"/>
      <c r="BL55" s="684"/>
      <c r="BM55" s="684"/>
      <c r="BN55" s="684"/>
      <c r="BO55" s="684"/>
      <c r="BP55" s="684"/>
      <c r="BQ55" s="684"/>
      <c r="BR55" s="684"/>
      <c r="BS55" s="684"/>
      <c r="BT55" s="684"/>
      <c r="BU55" s="684"/>
      <c r="BV55" s="684"/>
      <c r="BW55" s="684"/>
      <c r="BX55" s="684"/>
      <c r="BY55" s="684"/>
      <c r="BZ55" s="684"/>
      <c r="CA55" s="684"/>
    </row>
    <row r="56" spans="1:79" hidden="1" outlineLevel="1" x14ac:dyDescent="0.35">
      <c r="A56" s="574"/>
      <c r="B56" s="574"/>
      <c r="C56" s="574"/>
      <c r="D56" s="574"/>
      <c r="E56" s="574"/>
      <c r="F56" s="672" t="s">
        <v>665</v>
      </c>
      <c r="G56" s="681"/>
      <c r="H56" s="681"/>
      <c r="I56" s="681"/>
      <c r="J56" s="702"/>
      <c r="K56" s="702"/>
      <c r="L56" s="702"/>
      <c r="M56" s="702"/>
      <c r="N56" s="702"/>
      <c r="O56" s="702"/>
      <c r="P56" s="682"/>
      <c r="Q56" s="682"/>
      <c r="R56" s="682"/>
      <c r="S56" s="683">
        <v>0</v>
      </c>
      <c r="T56" s="683">
        <v>0</v>
      </c>
      <c r="U56" s="683">
        <v>0</v>
      </c>
      <c r="V56" s="683">
        <v>0</v>
      </c>
      <c r="W56" s="683">
        <v>0</v>
      </c>
      <c r="X56" s="683">
        <v>0</v>
      </c>
      <c r="Y56" s="683">
        <v>0</v>
      </c>
      <c r="Z56" s="683">
        <v>0</v>
      </c>
      <c r="AA56" s="683">
        <v>0</v>
      </c>
      <c r="AB56" s="683">
        <v>0</v>
      </c>
      <c r="AC56" s="683">
        <v>0</v>
      </c>
      <c r="AD56" s="684">
        <v>0</v>
      </c>
      <c r="AE56" s="684"/>
      <c r="AF56" s="684"/>
      <c r="AG56" s="684"/>
      <c r="AH56" s="684"/>
      <c r="AI56" s="684"/>
      <c r="AJ56" s="684"/>
      <c r="AK56" s="684"/>
      <c r="AL56" s="684"/>
      <c r="AM56" s="684"/>
      <c r="AN56" s="684"/>
      <c r="AO56" s="684"/>
      <c r="AP56" s="684"/>
      <c r="AQ56" s="684"/>
      <c r="AR56" s="684"/>
      <c r="AS56" s="684"/>
      <c r="AT56" s="684"/>
      <c r="AU56" s="684"/>
      <c r="AV56" s="684"/>
      <c r="AW56" s="684"/>
      <c r="AX56" s="684"/>
      <c r="AY56" s="684"/>
      <c r="AZ56" s="684"/>
      <c r="BA56" s="684"/>
      <c r="BB56" s="684"/>
      <c r="BC56" s="684"/>
      <c r="BD56" s="684"/>
      <c r="BE56" s="684"/>
      <c r="BF56" s="684"/>
      <c r="BG56" s="684"/>
      <c r="BH56" s="684"/>
      <c r="BI56" s="684"/>
      <c r="BJ56" s="684"/>
      <c r="BK56" s="684"/>
      <c r="BL56" s="684"/>
      <c r="BM56" s="684"/>
      <c r="BN56" s="684"/>
      <c r="BO56" s="684"/>
      <c r="BP56" s="684"/>
      <c r="BQ56" s="684"/>
      <c r="BR56" s="684"/>
      <c r="BS56" s="684"/>
      <c r="BT56" s="684"/>
      <c r="BU56" s="684"/>
      <c r="BV56" s="684"/>
      <c r="BW56" s="684"/>
      <c r="BX56" s="684"/>
      <c r="BY56" s="684"/>
      <c r="BZ56" s="684"/>
      <c r="CA56" s="684"/>
    </row>
    <row r="57" spans="1:79" hidden="1" outlineLevel="1" x14ac:dyDescent="0.35">
      <c r="A57" s="574"/>
      <c r="B57" s="574"/>
      <c r="C57" s="574"/>
      <c r="D57" s="574"/>
      <c r="E57" s="574"/>
      <c r="F57" s="672" t="s">
        <v>887</v>
      </c>
      <c r="G57" s="681"/>
      <c r="H57" s="681"/>
      <c r="I57" s="681"/>
      <c r="J57" s="702"/>
      <c r="K57" s="702"/>
      <c r="L57" s="702"/>
      <c r="M57" s="702"/>
      <c r="N57" s="702"/>
      <c r="O57" s="702"/>
      <c r="P57" s="682"/>
      <c r="Q57" s="682"/>
      <c r="R57" s="682"/>
      <c r="S57" s="683">
        <v>0</v>
      </c>
      <c r="T57" s="683">
        <v>0</v>
      </c>
      <c r="U57" s="683">
        <v>0</v>
      </c>
      <c r="V57" s="683">
        <v>0</v>
      </c>
      <c r="W57" s="683">
        <v>0</v>
      </c>
      <c r="X57" s="683">
        <v>0</v>
      </c>
      <c r="Y57" s="683">
        <v>0</v>
      </c>
      <c r="Z57" s="683">
        <v>0</v>
      </c>
      <c r="AA57" s="683">
        <v>0</v>
      </c>
      <c r="AB57" s="683">
        <v>0</v>
      </c>
      <c r="AC57" s="683">
        <v>0</v>
      </c>
      <c r="AD57" s="684">
        <v>0</v>
      </c>
      <c r="AE57" s="684"/>
      <c r="AF57" s="684"/>
      <c r="AG57" s="684"/>
      <c r="AH57" s="684"/>
      <c r="AI57" s="684"/>
      <c r="AJ57" s="684"/>
      <c r="AK57" s="684"/>
      <c r="AL57" s="684"/>
      <c r="AM57" s="684"/>
      <c r="AN57" s="684"/>
      <c r="AO57" s="684"/>
      <c r="AP57" s="684"/>
      <c r="AQ57" s="684"/>
      <c r="AR57" s="684"/>
      <c r="AS57" s="684"/>
      <c r="AT57" s="684"/>
      <c r="AU57" s="684"/>
      <c r="AV57" s="684"/>
      <c r="AW57" s="684"/>
      <c r="AX57" s="684"/>
      <c r="AY57" s="684"/>
      <c r="AZ57" s="684"/>
      <c r="BA57" s="684"/>
      <c r="BB57" s="684"/>
      <c r="BC57" s="684"/>
      <c r="BD57" s="684"/>
      <c r="BE57" s="684"/>
      <c r="BF57" s="684"/>
      <c r="BG57" s="684"/>
      <c r="BH57" s="684"/>
      <c r="BI57" s="684"/>
      <c r="BJ57" s="684"/>
      <c r="BK57" s="684"/>
      <c r="BL57" s="684"/>
      <c r="BM57" s="684"/>
      <c r="BN57" s="684"/>
      <c r="BO57" s="684"/>
      <c r="BP57" s="684"/>
      <c r="BQ57" s="684"/>
      <c r="BR57" s="684"/>
      <c r="BS57" s="684"/>
      <c r="BT57" s="684"/>
      <c r="BU57" s="684"/>
      <c r="BV57" s="684"/>
      <c r="BW57" s="684"/>
      <c r="BX57" s="684"/>
      <c r="BY57" s="684"/>
      <c r="BZ57" s="684"/>
      <c r="CA57" s="684"/>
    </row>
    <row r="58" spans="1:79" hidden="1" outlineLevel="1" x14ac:dyDescent="0.35">
      <c r="A58" s="574"/>
      <c r="B58" s="574"/>
      <c r="C58" s="574"/>
      <c r="D58" s="574"/>
      <c r="E58" s="574"/>
      <c r="F58" s="672" t="s">
        <v>666</v>
      </c>
      <c r="G58" s="681"/>
      <c r="H58" s="681"/>
      <c r="I58" s="681"/>
      <c r="J58" s="702"/>
      <c r="K58" s="702"/>
      <c r="L58" s="702"/>
      <c r="M58" s="702"/>
      <c r="N58" s="702"/>
      <c r="O58" s="702"/>
      <c r="P58" s="682"/>
      <c r="Q58" s="682"/>
      <c r="R58" s="682"/>
      <c r="S58" s="683">
        <v>0</v>
      </c>
      <c r="T58" s="683">
        <v>0</v>
      </c>
      <c r="U58" s="683">
        <v>0</v>
      </c>
      <c r="V58" s="683">
        <v>0</v>
      </c>
      <c r="W58" s="683">
        <v>0</v>
      </c>
      <c r="X58" s="683">
        <v>0</v>
      </c>
      <c r="Y58" s="683">
        <v>0</v>
      </c>
      <c r="Z58" s="683">
        <v>0</v>
      </c>
      <c r="AA58" s="683">
        <v>0</v>
      </c>
      <c r="AB58" s="683">
        <v>0</v>
      </c>
      <c r="AC58" s="683">
        <v>0</v>
      </c>
      <c r="AD58" s="684">
        <v>0</v>
      </c>
      <c r="AE58" s="684"/>
      <c r="AF58" s="684"/>
      <c r="AG58" s="684"/>
      <c r="AH58" s="684"/>
      <c r="AI58" s="684"/>
      <c r="AJ58" s="684"/>
      <c r="AK58" s="684"/>
      <c r="AL58" s="684"/>
      <c r="AM58" s="684"/>
      <c r="AN58" s="684"/>
      <c r="AO58" s="684"/>
      <c r="AP58" s="684"/>
      <c r="AQ58" s="684"/>
      <c r="AR58" s="684"/>
      <c r="AS58" s="684"/>
      <c r="AT58" s="684"/>
      <c r="AU58" s="684"/>
      <c r="AV58" s="684"/>
      <c r="AW58" s="684"/>
      <c r="AX58" s="684"/>
      <c r="AY58" s="684"/>
      <c r="AZ58" s="684"/>
      <c r="BA58" s="684"/>
      <c r="BB58" s="684"/>
      <c r="BC58" s="684"/>
      <c r="BD58" s="684"/>
      <c r="BE58" s="684"/>
      <c r="BF58" s="684"/>
      <c r="BG58" s="684"/>
      <c r="BH58" s="684"/>
      <c r="BI58" s="684"/>
      <c r="BJ58" s="684"/>
      <c r="BK58" s="684"/>
      <c r="BL58" s="684"/>
      <c r="BM58" s="684"/>
      <c r="BN58" s="684"/>
      <c r="BO58" s="684"/>
      <c r="BP58" s="684"/>
      <c r="BQ58" s="684"/>
      <c r="BR58" s="684"/>
      <c r="BS58" s="684"/>
      <c r="BT58" s="684"/>
      <c r="BU58" s="684"/>
      <c r="BV58" s="684"/>
      <c r="BW58" s="684"/>
      <c r="BX58" s="684"/>
      <c r="BY58" s="684"/>
      <c r="BZ58" s="684"/>
      <c r="CA58" s="684"/>
    </row>
    <row r="59" spans="1:79" hidden="1" outlineLevel="1" x14ac:dyDescent="0.35">
      <c r="A59" s="574"/>
      <c r="B59" s="574"/>
      <c r="C59" s="574"/>
      <c r="D59" s="574"/>
      <c r="E59" s="574"/>
      <c r="F59" s="676" t="s">
        <v>667</v>
      </c>
      <c r="G59" s="681"/>
      <c r="H59" s="681"/>
      <c r="I59" s="681"/>
      <c r="J59" s="702"/>
      <c r="K59" s="702"/>
      <c r="L59" s="702"/>
      <c r="M59" s="702"/>
      <c r="N59" s="702"/>
      <c r="O59" s="702"/>
      <c r="P59" s="682"/>
      <c r="Q59" s="682"/>
      <c r="R59" s="682"/>
      <c r="S59" s="683">
        <v>0</v>
      </c>
      <c r="T59" s="683">
        <v>0</v>
      </c>
      <c r="U59" s="683">
        <v>0</v>
      </c>
      <c r="V59" s="683">
        <v>0</v>
      </c>
      <c r="W59" s="683">
        <v>0</v>
      </c>
      <c r="X59" s="683">
        <v>0</v>
      </c>
      <c r="Y59" s="683">
        <v>0</v>
      </c>
      <c r="Z59" s="683">
        <v>244.9</v>
      </c>
      <c r="AA59" s="683">
        <v>293.95</v>
      </c>
      <c r="AB59" s="683">
        <v>324.12</v>
      </c>
      <c r="AC59" s="683">
        <v>240.37</v>
      </c>
      <c r="AD59" s="684">
        <v>0</v>
      </c>
      <c r="AE59" s="684"/>
      <c r="AF59" s="684"/>
      <c r="AG59" s="684"/>
      <c r="AH59" s="684"/>
      <c r="AI59" s="684"/>
      <c r="AJ59" s="684"/>
      <c r="AK59" s="684"/>
      <c r="AL59" s="684"/>
      <c r="AM59" s="684"/>
      <c r="AN59" s="684"/>
      <c r="AO59" s="684"/>
      <c r="AP59" s="684"/>
      <c r="AQ59" s="684"/>
      <c r="AR59" s="684"/>
      <c r="AS59" s="684"/>
      <c r="AT59" s="684"/>
      <c r="AU59" s="684"/>
      <c r="AV59" s="684"/>
      <c r="AW59" s="684"/>
      <c r="AX59" s="684"/>
      <c r="AY59" s="684"/>
      <c r="AZ59" s="684"/>
      <c r="BA59" s="684"/>
      <c r="BB59" s="684"/>
      <c r="BC59" s="684"/>
      <c r="BD59" s="684"/>
      <c r="BE59" s="684"/>
      <c r="BF59" s="684"/>
      <c r="BG59" s="684"/>
      <c r="BH59" s="684"/>
      <c r="BI59" s="684"/>
      <c r="BJ59" s="684"/>
      <c r="BK59" s="684"/>
      <c r="BL59" s="684"/>
      <c r="BM59" s="684"/>
      <c r="BN59" s="684"/>
      <c r="BO59" s="684"/>
      <c r="BP59" s="684"/>
      <c r="BQ59" s="684"/>
      <c r="BR59" s="684"/>
      <c r="BS59" s="684"/>
      <c r="BT59" s="684"/>
      <c r="BU59" s="684"/>
      <c r="BV59" s="684"/>
      <c r="BW59" s="684"/>
      <c r="BX59" s="684"/>
      <c r="BY59" s="684"/>
      <c r="BZ59" s="684"/>
      <c r="CA59" s="684"/>
    </row>
    <row r="60" spans="1:79" hidden="1" outlineLevel="1" x14ac:dyDescent="0.35">
      <c r="A60" s="574"/>
      <c r="B60" s="574"/>
      <c r="C60" s="574"/>
      <c r="D60" s="574"/>
      <c r="E60" s="574"/>
      <c r="F60" s="672" t="s">
        <v>888</v>
      </c>
      <c r="G60" s="681"/>
      <c r="H60" s="681"/>
      <c r="I60" s="681"/>
      <c r="J60" s="702"/>
      <c r="K60" s="702"/>
      <c r="L60" s="702"/>
      <c r="M60" s="702"/>
      <c r="N60" s="702"/>
      <c r="O60" s="702"/>
      <c r="P60" s="682"/>
      <c r="Q60" s="682"/>
      <c r="R60" s="682"/>
      <c r="S60" s="683">
        <v>0</v>
      </c>
      <c r="T60" s="683">
        <v>0</v>
      </c>
      <c r="U60" s="683">
        <v>0</v>
      </c>
      <c r="V60" s="683">
        <v>0</v>
      </c>
      <c r="W60" s="683">
        <v>0</v>
      </c>
      <c r="X60" s="683">
        <v>0</v>
      </c>
      <c r="Y60" s="683">
        <v>0</v>
      </c>
      <c r="Z60" s="683">
        <v>0</v>
      </c>
      <c r="AA60" s="683">
        <v>0</v>
      </c>
      <c r="AB60" s="683">
        <v>0</v>
      </c>
      <c r="AC60" s="683">
        <v>0</v>
      </c>
      <c r="AD60" s="684">
        <v>0</v>
      </c>
      <c r="AE60" s="684"/>
      <c r="AF60" s="684"/>
      <c r="AG60" s="684"/>
      <c r="AH60" s="684"/>
      <c r="AI60" s="684"/>
      <c r="AJ60" s="684"/>
      <c r="AK60" s="684"/>
      <c r="AL60" s="684"/>
      <c r="AM60" s="684"/>
      <c r="AN60" s="684"/>
      <c r="AO60" s="684"/>
      <c r="AP60" s="684"/>
      <c r="AQ60" s="684"/>
      <c r="AR60" s="684"/>
      <c r="AS60" s="684"/>
      <c r="AT60" s="684"/>
      <c r="AU60" s="684"/>
      <c r="AV60" s="684"/>
      <c r="AW60" s="684"/>
      <c r="AX60" s="684"/>
      <c r="AY60" s="684"/>
      <c r="AZ60" s="684"/>
      <c r="BA60" s="684"/>
      <c r="BB60" s="684"/>
      <c r="BC60" s="684"/>
      <c r="BD60" s="684"/>
      <c r="BE60" s="684"/>
      <c r="BF60" s="684"/>
      <c r="BG60" s="684"/>
      <c r="BH60" s="684"/>
      <c r="BI60" s="684"/>
      <c r="BJ60" s="684"/>
      <c r="BK60" s="684"/>
      <c r="BL60" s="684"/>
      <c r="BM60" s="684"/>
      <c r="BN60" s="684"/>
      <c r="BO60" s="684"/>
      <c r="BP60" s="684"/>
      <c r="BQ60" s="684"/>
      <c r="BR60" s="684"/>
      <c r="BS60" s="684"/>
      <c r="BT60" s="684"/>
      <c r="BU60" s="684"/>
      <c r="BV60" s="684"/>
      <c r="BW60" s="684"/>
      <c r="BX60" s="684"/>
      <c r="BY60" s="684"/>
      <c r="BZ60" s="684"/>
      <c r="CA60" s="684"/>
    </row>
    <row r="61" spans="1:79" hidden="1" outlineLevel="1" x14ac:dyDescent="0.35">
      <c r="A61" s="574"/>
      <c r="B61" s="574"/>
      <c r="C61" s="574"/>
      <c r="D61" s="574"/>
      <c r="E61" s="574"/>
      <c r="F61" s="673" t="s">
        <v>668</v>
      </c>
      <c r="G61" s="694">
        <f>SUM(G52:G60)</f>
        <v>0</v>
      </c>
      <c r="H61" s="694">
        <f t="shared" ref="H61:BO61" si="16">SUM(H52:H60)</f>
        <v>0</v>
      </c>
      <c r="I61" s="694">
        <f t="shared" si="16"/>
        <v>0</v>
      </c>
      <c r="J61" s="694">
        <f t="shared" si="16"/>
        <v>0</v>
      </c>
      <c r="K61" s="694">
        <f t="shared" si="16"/>
        <v>0</v>
      </c>
      <c r="L61" s="694">
        <f t="shared" si="16"/>
        <v>0</v>
      </c>
      <c r="M61" s="694">
        <f t="shared" si="16"/>
        <v>0</v>
      </c>
      <c r="N61" s="694">
        <f t="shared" si="16"/>
        <v>0</v>
      </c>
      <c r="O61" s="694">
        <f t="shared" si="16"/>
        <v>0</v>
      </c>
      <c r="P61" s="694">
        <f t="shared" si="16"/>
        <v>0</v>
      </c>
      <c r="Q61" s="694">
        <f t="shared" si="16"/>
        <v>0</v>
      </c>
      <c r="R61" s="694">
        <f t="shared" si="16"/>
        <v>0</v>
      </c>
      <c r="S61" s="694">
        <f t="shared" ref="S61:AA61" si="17">ROUND(SUM(S51:S60),5)</f>
        <v>0</v>
      </c>
      <c r="T61" s="694">
        <f t="shared" si="17"/>
        <v>0</v>
      </c>
      <c r="U61" s="694">
        <f t="shared" si="17"/>
        <v>0</v>
      </c>
      <c r="V61" s="694">
        <f t="shared" si="17"/>
        <v>0</v>
      </c>
      <c r="W61" s="694">
        <f t="shared" si="17"/>
        <v>0</v>
      </c>
      <c r="X61" s="694">
        <f t="shared" si="17"/>
        <v>0</v>
      </c>
      <c r="Y61" s="694">
        <f t="shared" si="17"/>
        <v>0</v>
      </c>
      <c r="Z61" s="694">
        <f t="shared" si="17"/>
        <v>244.9</v>
      </c>
      <c r="AA61" s="694">
        <f t="shared" si="17"/>
        <v>293.95</v>
      </c>
      <c r="AB61" s="694">
        <f>ROUND(SUM(AB51:AB60),5)</f>
        <v>324.12</v>
      </c>
      <c r="AC61" s="694">
        <f>ROUND(SUM(AC51:AC60),5)</f>
        <v>240.37</v>
      </c>
      <c r="AD61" s="694">
        <v>0</v>
      </c>
      <c r="AE61" s="694">
        <f t="shared" si="16"/>
        <v>0</v>
      </c>
      <c r="AF61" s="694">
        <f t="shared" si="16"/>
        <v>0</v>
      </c>
      <c r="AG61" s="694">
        <f t="shared" si="16"/>
        <v>0</v>
      </c>
      <c r="AH61" s="694">
        <f t="shared" si="16"/>
        <v>0</v>
      </c>
      <c r="AI61" s="694">
        <f t="shared" si="16"/>
        <v>0</v>
      </c>
      <c r="AJ61" s="694">
        <f t="shared" si="16"/>
        <v>0</v>
      </c>
      <c r="AK61" s="694">
        <f t="shared" si="16"/>
        <v>0</v>
      </c>
      <c r="AL61" s="694">
        <f t="shared" si="16"/>
        <v>0</v>
      </c>
      <c r="AM61" s="694">
        <f t="shared" si="16"/>
        <v>0</v>
      </c>
      <c r="AN61" s="694">
        <f t="shared" si="16"/>
        <v>0</v>
      </c>
      <c r="AO61" s="694">
        <f t="shared" si="16"/>
        <v>0</v>
      </c>
      <c r="AP61" s="694">
        <f t="shared" si="16"/>
        <v>0</v>
      </c>
      <c r="AQ61" s="694">
        <f t="shared" si="16"/>
        <v>0</v>
      </c>
      <c r="AR61" s="694">
        <f t="shared" si="16"/>
        <v>0</v>
      </c>
      <c r="AS61" s="694">
        <f t="shared" si="16"/>
        <v>0</v>
      </c>
      <c r="AT61" s="694">
        <f t="shared" si="16"/>
        <v>0</v>
      </c>
      <c r="AU61" s="694">
        <f t="shared" si="16"/>
        <v>0</v>
      </c>
      <c r="AV61" s="694">
        <f t="shared" si="16"/>
        <v>0</v>
      </c>
      <c r="AW61" s="694">
        <f t="shared" si="16"/>
        <v>0</v>
      </c>
      <c r="AX61" s="694">
        <f t="shared" si="16"/>
        <v>0</v>
      </c>
      <c r="AY61" s="694">
        <f t="shared" si="16"/>
        <v>0</v>
      </c>
      <c r="AZ61" s="694">
        <f t="shared" si="16"/>
        <v>0</v>
      </c>
      <c r="BA61" s="694">
        <f t="shared" si="16"/>
        <v>0</v>
      </c>
      <c r="BB61" s="694">
        <f t="shared" si="16"/>
        <v>0</v>
      </c>
      <c r="BC61" s="694">
        <f t="shared" si="16"/>
        <v>0</v>
      </c>
      <c r="BD61" s="694">
        <f t="shared" si="16"/>
        <v>0</v>
      </c>
      <c r="BE61" s="694">
        <f t="shared" si="16"/>
        <v>0</v>
      </c>
      <c r="BF61" s="694">
        <f t="shared" si="16"/>
        <v>0</v>
      </c>
      <c r="BG61" s="694">
        <f t="shared" si="16"/>
        <v>0</v>
      </c>
      <c r="BH61" s="694">
        <f t="shared" si="16"/>
        <v>0</v>
      </c>
      <c r="BI61" s="694">
        <f t="shared" si="16"/>
        <v>0</v>
      </c>
      <c r="BJ61" s="694">
        <f t="shared" si="16"/>
        <v>0</v>
      </c>
      <c r="BK61" s="694">
        <f t="shared" si="16"/>
        <v>0</v>
      </c>
      <c r="BL61" s="694">
        <f t="shared" si="16"/>
        <v>0</v>
      </c>
      <c r="BM61" s="694">
        <f t="shared" si="16"/>
        <v>0</v>
      </c>
      <c r="BN61" s="694">
        <f t="shared" si="16"/>
        <v>0</v>
      </c>
      <c r="BO61" s="694">
        <f t="shared" si="16"/>
        <v>0</v>
      </c>
      <c r="BP61" s="694">
        <f t="shared" ref="BP61:CA61" si="18">SUM(BP52:BP60)</f>
        <v>0</v>
      </c>
      <c r="BQ61" s="694">
        <f t="shared" si="18"/>
        <v>0</v>
      </c>
      <c r="BR61" s="694">
        <f t="shared" si="18"/>
        <v>0</v>
      </c>
      <c r="BS61" s="694">
        <f t="shared" si="18"/>
        <v>0</v>
      </c>
      <c r="BT61" s="694">
        <f t="shared" si="18"/>
        <v>0</v>
      </c>
      <c r="BU61" s="694">
        <f t="shared" si="18"/>
        <v>0</v>
      </c>
      <c r="BV61" s="694">
        <f t="shared" si="18"/>
        <v>0</v>
      </c>
      <c r="BW61" s="694">
        <f t="shared" si="18"/>
        <v>0</v>
      </c>
      <c r="BX61" s="694">
        <f t="shared" si="18"/>
        <v>0</v>
      </c>
      <c r="BY61" s="694">
        <f t="shared" si="18"/>
        <v>0</v>
      </c>
      <c r="BZ61" s="694">
        <f t="shared" si="18"/>
        <v>0</v>
      </c>
      <c r="CA61" s="694">
        <f t="shared" si="18"/>
        <v>0</v>
      </c>
    </row>
    <row r="62" spans="1:79" hidden="1" outlineLevel="1" x14ac:dyDescent="0.35">
      <c r="A62" s="574"/>
      <c r="B62" s="574"/>
      <c r="C62" s="574"/>
      <c r="D62" s="574"/>
      <c r="E62" s="574"/>
      <c r="F62" s="671" t="s">
        <v>669</v>
      </c>
      <c r="G62" s="681"/>
      <c r="H62" s="681"/>
      <c r="I62" s="681"/>
      <c r="J62" s="702"/>
      <c r="K62" s="702"/>
      <c r="L62" s="702"/>
      <c r="M62" s="702"/>
      <c r="N62" s="702"/>
      <c r="O62" s="702"/>
      <c r="P62" s="682"/>
      <c r="Q62" s="682"/>
      <c r="R62" s="682"/>
      <c r="S62" s="683">
        <v>0</v>
      </c>
      <c r="T62" s="683">
        <v>0</v>
      </c>
      <c r="U62" s="683">
        <v>0</v>
      </c>
      <c r="V62" s="683">
        <v>0</v>
      </c>
      <c r="W62" s="683">
        <v>0</v>
      </c>
      <c r="X62" s="683">
        <v>0</v>
      </c>
      <c r="Y62" s="683">
        <v>0</v>
      </c>
      <c r="Z62" s="683">
        <v>0</v>
      </c>
      <c r="AA62" s="683">
        <v>0</v>
      </c>
      <c r="AB62" s="683">
        <v>0</v>
      </c>
      <c r="AC62" s="683">
        <v>0</v>
      </c>
      <c r="AD62" s="684">
        <v>0</v>
      </c>
      <c r="AE62" s="684"/>
      <c r="AF62" s="684"/>
      <c r="AG62" s="684"/>
      <c r="AH62" s="684"/>
      <c r="AI62" s="684"/>
      <c r="AJ62" s="684"/>
      <c r="AK62" s="684"/>
      <c r="AL62" s="684"/>
      <c r="AM62" s="684"/>
      <c r="AN62" s="684"/>
      <c r="AO62" s="684"/>
      <c r="AP62" s="684"/>
      <c r="AQ62" s="684"/>
      <c r="AR62" s="684"/>
      <c r="AS62" s="684"/>
      <c r="AT62" s="684"/>
      <c r="AU62" s="684"/>
      <c r="AV62" s="684"/>
      <c r="AW62" s="684"/>
      <c r="AX62" s="684"/>
      <c r="AY62" s="684"/>
      <c r="AZ62" s="684"/>
      <c r="BA62" s="684"/>
      <c r="BB62" s="684"/>
      <c r="BC62" s="684"/>
      <c r="BD62" s="684"/>
      <c r="BE62" s="684"/>
      <c r="BF62" s="684"/>
      <c r="BG62" s="684"/>
      <c r="BH62" s="684"/>
      <c r="BI62" s="684"/>
      <c r="BJ62" s="684"/>
      <c r="BK62" s="684"/>
      <c r="BL62" s="684"/>
      <c r="BM62" s="684"/>
      <c r="BN62" s="684"/>
      <c r="BO62" s="684"/>
      <c r="BP62" s="684"/>
      <c r="BQ62" s="684"/>
      <c r="BR62" s="684"/>
      <c r="BS62" s="684"/>
      <c r="BT62" s="684"/>
      <c r="BU62" s="684"/>
      <c r="BV62" s="684"/>
      <c r="BW62" s="684"/>
      <c r="BX62" s="684"/>
      <c r="BY62" s="684"/>
      <c r="BZ62" s="684"/>
      <c r="CA62" s="684"/>
    </row>
    <row r="63" spans="1:79" s="757" customFormat="1" hidden="1" outlineLevel="1" x14ac:dyDescent="0.35">
      <c r="A63" s="716"/>
      <c r="B63" s="716"/>
      <c r="C63" s="716"/>
      <c r="D63" s="716"/>
      <c r="E63" s="716"/>
      <c r="F63" s="717" t="s">
        <v>597</v>
      </c>
      <c r="G63" s="712"/>
      <c r="H63" s="712"/>
      <c r="I63" s="712"/>
      <c r="J63" s="721"/>
      <c r="K63" s="721"/>
      <c r="L63" s="721"/>
      <c r="M63" s="721"/>
      <c r="N63" s="721"/>
      <c r="O63" s="721"/>
      <c r="P63" s="713"/>
      <c r="Q63" s="713"/>
      <c r="R63" s="713"/>
      <c r="S63" s="713"/>
      <c r="T63" s="713"/>
      <c r="U63" s="713"/>
      <c r="V63" s="713"/>
      <c r="W63" s="713"/>
      <c r="X63" s="713"/>
      <c r="Y63" s="713"/>
      <c r="Z63" s="713"/>
      <c r="AA63" s="713"/>
      <c r="AB63" s="713"/>
      <c r="AC63" s="713"/>
      <c r="AD63" s="714"/>
      <c r="AE63" s="714"/>
      <c r="AF63" s="714"/>
      <c r="AG63" s="714"/>
      <c r="AH63" s="714"/>
      <c r="AI63" s="714"/>
      <c r="AJ63" s="714"/>
      <c r="AK63" s="714"/>
      <c r="AL63" s="714"/>
      <c r="AM63" s="714"/>
      <c r="AN63" s="714"/>
      <c r="AO63" s="714"/>
      <c r="AP63" s="714"/>
      <c r="AQ63" s="714"/>
      <c r="AR63" s="714"/>
      <c r="AS63" s="714"/>
      <c r="AT63" s="714"/>
      <c r="AU63" s="714"/>
      <c r="AV63" s="714"/>
      <c r="AW63" s="714"/>
      <c r="AX63" s="714"/>
      <c r="AY63" s="714"/>
      <c r="AZ63" s="714"/>
      <c r="BA63" s="714"/>
      <c r="BB63" s="714"/>
      <c r="BC63" s="714"/>
      <c r="BD63" s="714"/>
      <c r="BE63" s="714"/>
      <c r="BF63" s="714"/>
      <c r="BG63" s="714"/>
      <c r="BH63" s="714"/>
      <c r="BI63" s="714"/>
      <c r="BJ63" s="714"/>
      <c r="BK63" s="714"/>
      <c r="BL63" s="714"/>
      <c r="BM63" s="714"/>
      <c r="BN63" s="714"/>
      <c r="BO63" s="714"/>
      <c r="BP63" s="714"/>
      <c r="BQ63" s="714"/>
      <c r="BR63" s="714"/>
      <c r="BS63" s="714"/>
      <c r="BT63" s="714"/>
      <c r="BU63" s="714"/>
      <c r="BV63" s="714"/>
      <c r="BW63" s="714"/>
      <c r="BX63" s="714"/>
      <c r="BY63" s="714"/>
      <c r="BZ63" s="714"/>
      <c r="CA63" s="714"/>
    </row>
    <row r="64" spans="1:79" s="757" customFormat="1" hidden="1" outlineLevel="1" x14ac:dyDescent="0.35">
      <c r="A64" s="504"/>
      <c r="B64" s="504"/>
      <c r="C64" s="504"/>
      <c r="D64" s="504"/>
      <c r="E64" s="504"/>
      <c r="F64" s="672" t="s">
        <v>889</v>
      </c>
      <c r="G64" s="685"/>
      <c r="H64" s="685"/>
      <c r="I64" s="685"/>
      <c r="J64" s="703"/>
      <c r="K64" s="703"/>
      <c r="L64" s="703"/>
      <c r="M64" s="703"/>
      <c r="N64" s="703"/>
      <c r="O64" s="703"/>
      <c r="P64" s="686"/>
      <c r="Q64" s="686"/>
      <c r="R64" s="686"/>
      <c r="S64" s="687">
        <v>0</v>
      </c>
      <c r="T64" s="687">
        <v>0</v>
      </c>
      <c r="U64" s="687">
        <v>0</v>
      </c>
      <c r="V64" s="687">
        <v>0</v>
      </c>
      <c r="W64" s="687">
        <v>0</v>
      </c>
      <c r="X64" s="687">
        <v>0</v>
      </c>
      <c r="Y64" s="687">
        <v>0</v>
      </c>
      <c r="Z64" s="687">
        <v>0</v>
      </c>
      <c r="AA64" s="687">
        <v>0</v>
      </c>
      <c r="AB64" s="687">
        <v>0</v>
      </c>
      <c r="AC64" s="687">
        <v>0</v>
      </c>
      <c r="AD64" s="688">
        <v>0</v>
      </c>
      <c r="AE64" s="688"/>
      <c r="AF64" s="688"/>
      <c r="AG64" s="688"/>
      <c r="AH64" s="688"/>
      <c r="AI64" s="688"/>
      <c r="AJ64" s="688"/>
      <c r="AK64" s="688"/>
      <c r="AL64" s="688"/>
      <c r="AM64" s="688"/>
      <c r="AN64" s="688"/>
      <c r="AO64" s="688"/>
      <c r="AP64" s="688"/>
      <c r="AQ64" s="688"/>
      <c r="AR64" s="688"/>
      <c r="AS64" s="688"/>
      <c r="AT64" s="688"/>
      <c r="AU64" s="688"/>
      <c r="AV64" s="688"/>
      <c r="AW64" s="688"/>
      <c r="AX64" s="688"/>
      <c r="AY64" s="688"/>
      <c r="AZ64" s="688"/>
      <c r="BA64" s="688"/>
      <c r="BB64" s="688"/>
      <c r="BC64" s="688"/>
      <c r="BD64" s="688"/>
      <c r="BE64" s="688"/>
      <c r="BF64" s="688"/>
      <c r="BG64" s="688"/>
      <c r="BH64" s="688"/>
      <c r="BI64" s="688"/>
      <c r="BJ64" s="688"/>
      <c r="BK64" s="688"/>
      <c r="BL64" s="688"/>
      <c r="BM64" s="688"/>
      <c r="BN64" s="688"/>
      <c r="BO64" s="688"/>
      <c r="BP64" s="688"/>
      <c r="BQ64" s="688"/>
      <c r="BR64" s="688"/>
      <c r="BS64" s="688"/>
      <c r="BT64" s="688"/>
      <c r="BU64" s="688"/>
      <c r="BV64" s="688"/>
      <c r="BW64" s="688"/>
      <c r="BX64" s="688"/>
      <c r="BY64" s="688"/>
      <c r="BZ64" s="688"/>
      <c r="CA64" s="688"/>
    </row>
    <row r="65" spans="1:79" s="757" customFormat="1" hidden="1" outlineLevel="1" x14ac:dyDescent="0.35">
      <c r="A65" s="504"/>
      <c r="B65" s="504"/>
      <c r="C65" s="504"/>
      <c r="D65" s="504"/>
      <c r="E65" s="504"/>
      <c r="F65" s="672" t="s">
        <v>890</v>
      </c>
      <c r="G65" s="685"/>
      <c r="H65" s="685"/>
      <c r="I65" s="685"/>
      <c r="J65" s="703"/>
      <c r="K65" s="703"/>
      <c r="L65" s="703"/>
      <c r="M65" s="703"/>
      <c r="N65" s="703"/>
      <c r="O65" s="703"/>
      <c r="P65" s="686"/>
      <c r="Q65" s="686"/>
      <c r="R65" s="686"/>
      <c r="S65" s="687">
        <v>0</v>
      </c>
      <c r="T65" s="687">
        <v>0</v>
      </c>
      <c r="U65" s="687">
        <v>0</v>
      </c>
      <c r="V65" s="687">
        <v>0</v>
      </c>
      <c r="W65" s="687">
        <v>0</v>
      </c>
      <c r="X65" s="687">
        <v>0</v>
      </c>
      <c r="Y65" s="687">
        <v>0</v>
      </c>
      <c r="Z65" s="687">
        <v>0</v>
      </c>
      <c r="AA65" s="687">
        <v>0</v>
      </c>
      <c r="AB65" s="687">
        <v>0</v>
      </c>
      <c r="AC65" s="687">
        <v>0</v>
      </c>
      <c r="AD65" s="688">
        <v>0</v>
      </c>
      <c r="AE65" s="688"/>
      <c r="AF65" s="688"/>
      <c r="AG65" s="688"/>
      <c r="AH65" s="688"/>
      <c r="AI65" s="688"/>
      <c r="AJ65" s="688"/>
      <c r="AK65" s="688"/>
      <c r="AL65" s="688"/>
      <c r="AM65" s="688"/>
      <c r="AN65" s="688"/>
      <c r="AO65" s="688"/>
      <c r="AP65" s="688"/>
      <c r="AQ65" s="688"/>
      <c r="AR65" s="688"/>
      <c r="AS65" s="688"/>
      <c r="AT65" s="688"/>
      <c r="AU65" s="688"/>
      <c r="AV65" s="688"/>
      <c r="AW65" s="688"/>
      <c r="AX65" s="688"/>
      <c r="AY65" s="688"/>
      <c r="AZ65" s="688"/>
      <c r="BA65" s="688"/>
      <c r="BB65" s="688"/>
      <c r="BC65" s="688"/>
      <c r="BD65" s="688"/>
      <c r="BE65" s="688"/>
      <c r="BF65" s="688"/>
      <c r="BG65" s="688"/>
      <c r="BH65" s="688"/>
      <c r="BI65" s="688"/>
      <c r="BJ65" s="688"/>
      <c r="BK65" s="688"/>
      <c r="BL65" s="688"/>
      <c r="BM65" s="688"/>
      <c r="BN65" s="688"/>
      <c r="BO65" s="688"/>
      <c r="BP65" s="688"/>
      <c r="BQ65" s="688"/>
      <c r="BR65" s="688"/>
      <c r="BS65" s="688"/>
      <c r="BT65" s="688"/>
      <c r="BU65" s="688"/>
      <c r="BV65" s="688"/>
      <c r="BW65" s="688"/>
      <c r="BX65" s="688"/>
      <c r="BY65" s="688"/>
      <c r="BZ65" s="688"/>
      <c r="CA65" s="688"/>
    </row>
    <row r="66" spans="1:79" s="757" customFormat="1" hidden="1" outlineLevel="1" x14ac:dyDescent="0.35">
      <c r="A66" s="504"/>
      <c r="B66" s="504"/>
      <c r="C66" s="504"/>
      <c r="D66" s="504"/>
      <c r="E66" s="504"/>
      <c r="F66" s="672" t="s">
        <v>891</v>
      </c>
      <c r="G66" s="685"/>
      <c r="H66" s="685"/>
      <c r="I66" s="685"/>
      <c r="J66" s="703"/>
      <c r="K66" s="703"/>
      <c r="L66" s="703"/>
      <c r="M66" s="703"/>
      <c r="N66" s="703"/>
      <c r="O66" s="703"/>
      <c r="P66" s="686"/>
      <c r="Q66" s="686"/>
      <c r="R66" s="686"/>
      <c r="S66" s="687">
        <v>0</v>
      </c>
      <c r="T66" s="687">
        <v>0</v>
      </c>
      <c r="U66" s="687">
        <v>0</v>
      </c>
      <c r="V66" s="687">
        <v>0</v>
      </c>
      <c r="W66" s="687">
        <v>0</v>
      </c>
      <c r="X66" s="687">
        <v>0</v>
      </c>
      <c r="Y66" s="687">
        <v>0</v>
      </c>
      <c r="Z66" s="687">
        <v>0</v>
      </c>
      <c r="AA66" s="687">
        <v>0</v>
      </c>
      <c r="AB66" s="687">
        <v>0</v>
      </c>
      <c r="AC66" s="687">
        <v>0</v>
      </c>
      <c r="AD66" s="688">
        <v>0</v>
      </c>
      <c r="AE66" s="688"/>
      <c r="AF66" s="688"/>
      <c r="AG66" s="688"/>
      <c r="AH66" s="688"/>
      <c r="AI66" s="688"/>
      <c r="AJ66" s="688"/>
      <c r="AK66" s="688"/>
      <c r="AL66" s="688"/>
      <c r="AM66" s="688"/>
      <c r="AN66" s="688"/>
      <c r="AO66" s="688"/>
      <c r="AP66" s="688"/>
      <c r="AQ66" s="688"/>
      <c r="AR66" s="688"/>
      <c r="AS66" s="688"/>
      <c r="AT66" s="688"/>
      <c r="AU66" s="688"/>
      <c r="AV66" s="688"/>
      <c r="AW66" s="688"/>
      <c r="AX66" s="688"/>
      <c r="AY66" s="688"/>
      <c r="AZ66" s="688"/>
      <c r="BA66" s="688"/>
      <c r="BB66" s="688"/>
      <c r="BC66" s="688"/>
      <c r="BD66" s="688"/>
      <c r="BE66" s="688"/>
      <c r="BF66" s="688"/>
      <c r="BG66" s="688"/>
      <c r="BH66" s="688"/>
      <c r="BI66" s="688"/>
      <c r="BJ66" s="688"/>
      <c r="BK66" s="688"/>
      <c r="BL66" s="688"/>
      <c r="BM66" s="688"/>
      <c r="BN66" s="688"/>
      <c r="BO66" s="688"/>
      <c r="BP66" s="688"/>
      <c r="BQ66" s="688"/>
      <c r="BR66" s="688"/>
      <c r="BS66" s="688"/>
      <c r="BT66" s="688"/>
      <c r="BU66" s="688"/>
      <c r="BV66" s="688"/>
      <c r="BW66" s="688"/>
      <c r="BX66" s="688"/>
      <c r="BY66" s="688"/>
      <c r="BZ66" s="688"/>
      <c r="CA66" s="688"/>
    </row>
    <row r="67" spans="1:79" s="757" customFormat="1" hidden="1" outlineLevel="1" x14ac:dyDescent="0.35">
      <c r="A67" s="504"/>
      <c r="B67" s="504"/>
      <c r="C67" s="504"/>
      <c r="D67" s="504"/>
      <c r="E67" s="504"/>
      <c r="F67" s="672" t="s">
        <v>892</v>
      </c>
      <c r="G67" s="685"/>
      <c r="H67" s="685"/>
      <c r="I67" s="685"/>
      <c r="J67" s="703"/>
      <c r="K67" s="703"/>
      <c r="L67" s="703"/>
      <c r="M67" s="703"/>
      <c r="N67" s="703"/>
      <c r="O67" s="703"/>
      <c r="P67" s="686"/>
      <c r="Q67" s="686"/>
      <c r="R67" s="686"/>
      <c r="S67" s="687">
        <v>0</v>
      </c>
      <c r="T67" s="687">
        <v>0</v>
      </c>
      <c r="U67" s="687">
        <v>0</v>
      </c>
      <c r="V67" s="687">
        <v>0</v>
      </c>
      <c r="W67" s="687">
        <v>0</v>
      </c>
      <c r="X67" s="687">
        <v>0</v>
      </c>
      <c r="Y67" s="687">
        <v>0</v>
      </c>
      <c r="Z67" s="687">
        <v>0</v>
      </c>
      <c r="AA67" s="687">
        <v>0</v>
      </c>
      <c r="AB67" s="687">
        <v>0</v>
      </c>
      <c r="AC67" s="687">
        <v>0</v>
      </c>
      <c r="AD67" s="688">
        <v>0</v>
      </c>
      <c r="AE67" s="688"/>
      <c r="AF67" s="688"/>
      <c r="AG67" s="688"/>
      <c r="AH67" s="688"/>
      <c r="AI67" s="688"/>
      <c r="AJ67" s="688"/>
      <c r="AK67" s="688"/>
      <c r="AL67" s="688"/>
      <c r="AM67" s="688"/>
      <c r="AN67" s="688"/>
      <c r="AO67" s="688"/>
      <c r="AP67" s="688"/>
      <c r="AQ67" s="688"/>
      <c r="AR67" s="688"/>
      <c r="AS67" s="688"/>
      <c r="AT67" s="688"/>
      <c r="AU67" s="688"/>
      <c r="AV67" s="688"/>
      <c r="AW67" s="688"/>
      <c r="AX67" s="688"/>
      <c r="AY67" s="688"/>
      <c r="AZ67" s="688"/>
      <c r="BA67" s="688"/>
      <c r="BB67" s="688"/>
      <c r="BC67" s="688"/>
      <c r="BD67" s="688"/>
      <c r="BE67" s="688"/>
      <c r="BF67" s="688"/>
      <c r="BG67" s="688"/>
      <c r="BH67" s="688"/>
      <c r="BI67" s="688"/>
      <c r="BJ67" s="688"/>
      <c r="BK67" s="688"/>
      <c r="BL67" s="688"/>
      <c r="BM67" s="688"/>
      <c r="BN67" s="688"/>
      <c r="BO67" s="688"/>
      <c r="BP67" s="688"/>
      <c r="BQ67" s="688"/>
      <c r="BR67" s="688"/>
      <c r="BS67" s="688"/>
      <c r="BT67" s="688"/>
      <c r="BU67" s="688"/>
      <c r="BV67" s="688"/>
      <c r="BW67" s="688"/>
      <c r="BX67" s="688"/>
      <c r="BY67" s="688"/>
      <c r="BZ67" s="688"/>
      <c r="CA67" s="688"/>
    </row>
    <row r="68" spans="1:79" s="757" customFormat="1" hidden="1" outlineLevel="1" x14ac:dyDescent="0.35">
      <c r="A68" s="504"/>
      <c r="B68" s="504"/>
      <c r="C68" s="504"/>
      <c r="D68" s="504"/>
      <c r="E68" s="504"/>
      <c r="F68" s="672" t="s">
        <v>825</v>
      </c>
      <c r="G68" s="685"/>
      <c r="H68" s="685"/>
      <c r="I68" s="685"/>
      <c r="J68" s="703"/>
      <c r="K68" s="703"/>
      <c r="L68" s="703"/>
      <c r="M68" s="703"/>
      <c r="N68" s="703"/>
      <c r="O68" s="703"/>
      <c r="P68" s="686"/>
      <c r="Q68" s="686"/>
      <c r="R68" s="686"/>
      <c r="S68" s="687">
        <v>0</v>
      </c>
      <c r="T68" s="687">
        <v>0</v>
      </c>
      <c r="U68" s="687">
        <v>0</v>
      </c>
      <c r="V68" s="687">
        <v>0</v>
      </c>
      <c r="W68" s="687">
        <v>0</v>
      </c>
      <c r="X68" s="687">
        <v>0</v>
      </c>
      <c r="Y68" s="687">
        <v>0</v>
      </c>
      <c r="Z68" s="687">
        <v>0</v>
      </c>
      <c r="AA68" s="687">
        <v>0</v>
      </c>
      <c r="AB68" s="687">
        <v>0</v>
      </c>
      <c r="AC68" s="687">
        <v>0</v>
      </c>
      <c r="AD68" s="688">
        <v>0</v>
      </c>
      <c r="AE68" s="688"/>
      <c r="AF68" s="688"/>
      <c r="AG68" s="688"/>
      <c r="AH68" s="688"/>
      <c r="AI68" s="688"/>
      <c r="AJ68" s="688"/>
      <c r="AK68" s="688"/>
      <c r="AL68" s="688"/>
      <c r="AM68" s="688"/>
      <c r="AN68" s="688"/>
      <c r="AO68" s="688"/>
      <c r="AP68" s="688"/>
      <c r="AQ68" s="688"/>
      <c r="AR68" s="688"/>
      <c r="AS68" s="688"/>
      <c r="AT68" s="688"/>
      <c r="AU68" s="688"/>
      <c r="AV68" s="688"/>
      <c r="AW68" s="688"/>
      <c r="AX68" s="688"/>
      <c r="AY68" s="688"/>
      <c r="AZ68" s="688"/>
      <c r="BA68" s="688"/>
      <c r="BB68" s="688"/>
      <c r="BC68" s="688"/>
      <c r="BD68" s="688"/>
      <c r="BE68" s="688"/>
      <c r="BF68" s="688"/>
      <c r="BG68" s="688"/>
      <c r="BH68" s="688"/>
      <c r="BI68" s="688"/>
      <c r="BJ68" s="688"/>
      <c r="BK68" s="688"/>
      <c r="BL68" s="688"/>
      <c r="BM68" s="688"/>
      <c r="BN68" s="688"/>
      <c r="BO68" s="688"/>
      <c r="BP68" s="688"/>
      <c r="BQ68" s="688"/>
      <c r="BR68" s="688"/>
      <c r="BS68" s="688"/>
      <c r="BT68" s="688"/>
      <c r="BU68" s="688"/>
      <c r="BV68" s="688"/>
      <c r="BW68" s="688"/>
      <c r="BX68" s="688"/>
      <c r="BY68" s="688"/>
      <c r="BZ68" s="688"/>
      <c r="CA68" s="688"/>
    </row>
    <row r="69" spans="1:79" s="757" customFormat="1" hidden="1" outlineLevel="1" x14ac:dyDescent="0.35">
      <c r="A69" s="504"/>
      <c r="B69" s="504"/>
      <c r="C69" s="504"/>
      <c r="D69" s="504"/>
      <c r="E69" s="504"/>
      <c r="F69" s="672" t="s">
        <v>613</v>
      </c>
      <c r="G69" s="685"/>
      <c r="H69" s="685"/>
      <c r="I69" s="685"/>
      <c r="J69" s="703"/>
      <c r="K69" s="703"/>
      <c r="L69" s="703"/>
      <c r="M69" s="703"/>
      <c r="N69" s="703"/>
      <c r="O69" s="703"/>
      <c r="P69" s="686"/>
      <c r="Q69" s="686"/>
      <c r="R69" s="686"/>
      <c r="S69" s="687">
        <v>0</v>
      </c>
      <c r="T69" s="687">
        <v>0</v>
      </c>
      <c r="U69" s="687">
        <v>0</v>
      </c>
      <c r="V69" s="687">
        <v>0</v>
      </c>
      <c r="W69" s="687">
        <v>0</v>
      </c>
      <c r="X69" s="687">
        <v>0</v>
      </c>
      <c r="Y69" s="687">
        <v>0</v>
      </c>
      <c r="Z69" s="687">
        <v>0</v>
      </c>
      <c r="AA69" s="687">
        <v>0</v>
      </c>
      <c r="AB69" s="687">
        <v>0</v>
      </c>
      <c r="AC69" s="687">
        <v>0</v>
      </c>
      <c r="AD69" s="688">
        <v>0</v>
      </c>
      <c r="AE69" s="688"/>
      <c r="AF69" s="688"/>
      <c r="AG69" s="688"/>
      <c r="AH69" s="688"/>
      <c r="AI69" s="688"/>
      <c r="AJ69" s="688"/>
      <c r="AK69" s="688"/>
      <c r="AL69" s="688"/>
      <c r="AM69" s="688"/>
      <c r="AN69" s="688"/>
      <c r="AO69" s="688"/>
      <c r="AP69" s="688"/>
      <c r="AQ69" s="688"/>
      <c r="AR69" s="688"/>
      <c r="AS69" s="688"/>
      <c r="AT69" s="688"/>
      <c r="AU69" s="688"/>
      <c r="AV69" s="688"/>
      <c r="AW69" s="688"/>
      <c r="AX69" s="688"/>
      <c r="AY69" s="688"/>
      <c r="AZ69" s="688"/>
      <c r="BA69" s="688"/>
      <c r="BB69" s="688"/>
      <c r="BC69" s="688"/>
      <c r="BD69" s="688"/>
      <c r="BE69" s="688"/>
      <c r="BF69" s="688"/>
      <c r="BG69" s="688"/>
      <c r="BH69" s="688"/>
      <c r="BI69" s="688"/>
      <c r="BJ69" s="688"/>
      <c r="BK69" s="688"/>
      <c r="BL69" s="688"/>
      <c r="BM69" s="688"/>
      <c r="BN69" s="688"/>
      <c r="BO69" s="688"/>
      <c r="BP69" s="688"/>
      <c r="BQ69" s="688"/>
      <c r="BR69" s="688"/>
      <c r="BS69" s="688"/>
      <c r="BT69" s="688"/>
      <c r="BU69" s="688"/>
      <c r="BV69" s="688"/>
      <c r="BW69" s="688"/>
      <c r="BX69" s="688"/>
      <c r="BY69" s="688"/>
      <c r="BZ69" s="688"/>
      <c r="CA69" s="688"/>
    </row>
    <row r="70" spans="1:79" s="452" customFormat="1" hidden="1" outlineLevel="1" x14ac:dyDescent="0.35">
      <c r="A70" s="80"/>
      <c r="B70" s="80"/>
      <c r="C70" s="80"/>
      <c r="D70" s="80"/>
      <c r="E70" s="80"/>
      <c r="F70" s="672" t="s">
        <v>614</v>
      </c>
      <c r="G70" s="689"/>
      <c r="H70" s="689"/>
      <c r="I70" s="689"/>
      <c r="J70" s="690"/>
      <c r="K70" s="690"/>
      <c r="L70" s="690"/>
      <c r="M70" s="690"/>
      <c r="N70" s="690"/>
      <c r="O70" s="690"/>
      <c r="P70" s="691"/>
      <c r="Q70" s="691"/>
      <c r="R70" s="691"/>
      <c r="S70" s="692">
        <v>0</v>
      </c>
      <c r="T70" s="692">
        <v>500</v>
      </c>
      <c r="U70" s="692">
        <v>0</v>
      </c>
      <c r="V70" s="692">
        <v>0</v>
      </c>
      <c r="W70" s="692">
        <v>0</v>
      </c>
      <c r="X70" s="692">
        <v>0</v>
      </c>
      <c r="Y70" s="692">
        <v>0</v>
      </c>
      <c r="Z70" s="692">
        <v>0</v>
      </c>
      <c r="AA70" s="692">
        <v>5.39</v>
      </c>
      <c r="AB70" s="692">
        <v>350</v>
      </c>
      <c r="AC70" s="692">
        <v>0</v>
      </c>
      <c r="AD70" s="693">
        <v>0</v>
      </c>
      <c r="AE70" s="693"/>
      <c r="AF70" s="693"/>
      <c r="AG70" s="693"/>
      <c r="AH70" s="693"/>
      <c r="AI70" s="693"/>
      <c r="AJ70" s="693"/>
      <c r="AK70" s="693"/>
      <c r="AL70" s="693"/>
      <c r="AM70" s="693"/>
      <c r="AN70" s="693"/>
      <c r="AO70" s="693"/>
      <c r="AP70" s="693"/>
      <c r="AQ70" s="693"/>
      <c r="AR70" s="693"/>
      <c r="AS70" s="693"/>
      <c r="AT70" s="693"/>
      <c r="AU70" s="693"/>
      <c r="AV70" s="693"/>
      <c r="AW70" s="693"/>
      <c r="AX70" s="693"/>
      <c r="AY70" s="693"/>
      <c r="AZ70" s="693"/>
      <c r="BA70" s="693"/>
      <c r="BB70" s="693"/>
      <c r="BC70" s="693"/>
      <c r="BD70" s="693"/>
      <c r="BE70" s="693"/>
      <c r="BF70" s="693"/>
      <c r="BG70" s="693"/>
      <c r="BH70" s="693"/>
      <c r="BI70" s="693"/>
      <c r="BJ70" s="693"/>
      <c r="BK70" s="693"/>
      <c r="BL70" s="693"/>
      <c r="BM70" s="693"/>
      <c r="BN70" s="693"/>
      <c r="BO70" s="693"/>
      <c r="BP70" s="693"/>
      <c r="BQ70" s="693"/>
      <c r="BR70" s="693"/>
      <c r="BS70" s="693"/>
      <c r="BT70" s="693"/>
      <c r="BU70" s="693"/>
      <c r="BV70" s="693"/>
      <c r="BW70" s="693"/>
      <c r="BX70" s="693"/>
      <c r="BY70" s="693"/>
      <c r="BZ70" s="693"/>
      <c r="CA70" s="693"/>
    </row>
    <row r="71" spans="1:79" s="452" customFormat="1" hidden="1" outlineLevel="1" x14ac:dyDescent="0.35">
      <c r="A71" s="580"/>
      <c r="B71" s="580"/>
      <c r="C71" s="580"/>
      <c r="D71" s="580"/>
      <c r="E71" s="580"/>
      <c r="F71" s="672" t="s">
        <v>615</v>
      </c>
      <c r="G71" s="689"/>
      <c r="H71" s="689"/>
      <c r="I71" s="689"/>
      <c r="J71" s="690"/>
      <c r="K71" s="690"/>
      <c r="L71" s="690"/>
      <c r="M71" s="690"/>
      <c r="N71" s="690"/>
      <c r="O71" s="690"/>
      <c r="P71" s="691"/>
      <c r="Q71" s="691"/>
      <c r="R71" s="691"/>
      <c r="S71" s="692">
        <v>0</v>
      </c>
      <c r="T71" s="692">
        <v>0</v>
      </c>
      <c r="U71" s="692">
        <v>0</v>
      </c>
      <c r="V71" s="692">
        <v>0</v>
      </c>
      <c r="W71" s="692">
        <v>0</v>
      </c>
      <c r="X71" s="692">
        <v>0</v>
      </c>
      <c r="Y71" s="692">
        <v>0</v>
      </c>
      <c r="Z71" s="692">
        <v>0</v>
      </c>
      <c r="AA71" s="692">
        <v>0</v>
      </c>
      <c r="AB71" s="692">
        <v>0</v>
      </c>
      <c r="AC71" s="692">
        <v>0</v>
      </c>
      <c r="AD71" s="693">
        <v>0</v>
      </c>
      <c r="AE71" s="693"/>
      <c r="AF71" s="693"/>
      <c r="AG71" s="693"/>
      <c r="AH71" s="693"/>
      <c r="AI71" s="693"/>
      <c r="AJ71" s="693"/>
      <c r="AK71" s="693"/>
      <c r="AL71" s="693"/>
      <c r="AM71" s="693"/>
      <c r="AN71" s="693"/>
      <c r="AO71" s="693"/>
      <c r="AP71" s="693"/>
      <c r="AQ71" s="693"/>
      <c r="AR71" s="693"/>
      <c r="AS71" s="693"/>
      <c r="AT71" s="693"/>
      <c r="AU71" s="693"/>
      <c r="AV71" s="693"/>
      <c r="AW71" s="693"/>
      <c r="AX71" s="693"/>
      <c r="AY71" s="693"/>
      <c r="AZ71" s="693"/>
      <c r="BA71" s="693"/>
      <c r="BB71" s="693"/>
      <c r="BC71" s="693"/>
      <c r="BD71" s="693"/>
      <c r="BE71" s="693"/>
      <c r="BF71" s="693"/>
      <c r="BG71" s="693"/>
      <c r="BH71" s="693"/>
      <c r="BI71" s="693"/>
      <c r="BJ71" s="693"/>
      <c r="BK71" s="693"/>
      <c r="BL71" s="693"/>
      <c r="BM71" s="693"/>
      <c r="BN71" s="693"/>
      <c r="BO71" s="693"/>
      <c r="BP71" s="693"/>
      <c r="BQ71" s="693"/>
      <c r="BR71" s="693"/>
      <c r="BS71" s="693"/>
      <c r="BT71" s="693"/>
      <c r="BU71" s="693"/>
      <c r="BV71" s="693"/>
      <c r="BW71" s="693"/>
      <c r="BX71" s="693"/>
      <c r="BY71" s="693"/>
      <c r="BZ71" s="693"/>
      <c r="CA71" s="693"/>
    </row>
    <row r="72" spans="1:79" s="452" customFormat="1" hidden="1" outlineLevel="1" x14ac:dyDescent="0.35">
      <c r="A72" s="580"/>
      <c r="B72" s="580"/>
      <c r="C72" s="580"/>
      <c r="D72" s="580"/>
      <c r="E72" s="580"/>
      <c r="F72" s="672" t="s">
        <v>616</v>
      </c>
      <c r="G72" s="689"/>
      <c r="H72" s="689"/>
      <c r="I72" s="689"/>
      <c r="J72" s="690"/>
      <c r="K72" s="690"/>
      <c r="L72" s="690"/>
      <c r="M72" s="690"/>
      <c r="N72" s="690"/>
      <c r="O72" s="690"/>
      <c r="P72" s="691"/>
      <c r="Q72" s="691"/>
      <c r="R72" s="691"/>
      <c r="S72" s="692">
        <v>0</v>
      </c>
      <c r="T72" s="692">
        <v>0</v>
      </c>
      <c r="U72" s="692">
        <v>0</v>
      </c>
      <c r="V72" s="692">
        <v>0</v>
      </c>
      <c r="W72" s="692">
        <v>0</v>
      </c>
      <c r="X72" s="692">
        <v>0</v>
      </c>
      <c r="Y72" s="692">
        <v>0</v>
      </c>
      <c r="Z72" s="692">
        <v>0</v>
      </c>
      <c r="AA72" s="692">
        <v>0</v>
      </c>
      <c r="AB72" s="692">
        <v>0</v>
      </c>
      <c r="AC72" s="692">
        <v>0</v>
      </c>
      <c r="AD72" s="693">
        <v>497.86</v>
      </c>
      <c r="AE72" s="693"/>
      <c r="AF72" s="693"/>
      <c r="AG72" s="693"/>
      <c r="AH72" s="693"/>
      <c r="AI72" s="693"/>
      <c r="AJ72" s="693"/>
      <c r="AK72" s="693"/>
      <c r="AL72" s="693"/>
      <c r="AM72" s="693"/>
      <c r="AN72" s="693"/>
      <c r="AO72" s="693"/>
      <c r="AP72" s="693"/>
      <c r="AQ72" s="693"/>
      <c r="AR72" s="693"/>
      <c r="AS72" s="693"/>
      <c r="AT72" s="693"/>
      <c r="AU72" s="693"/>
      <c r="AV72" s="693"/>
      <c r="AW72" s="693"/>
      <c r="AX72" s="693"/>
      <c r="AY72" s="693"/>
      <c r="AZ72" s="693"/>
      <c r="BA72" s="693"/>
      <c r="BB72" s="693"/>
      <c r="BC72" s="693"/>
      <c r="BD72" s="693"/>
      <c r="BE72" s="693"/>
      <c r="BF72" s="693"/>
      <c r="BG72" s="693"/>
      <c r="BH72" s="693"/>
      <c r="BI72" s="693"/>
      <c r="BJ72" s="693"/>
      <c r="BK72" s="693"/>
      <c r="BL72" s="693"/>
      <c r="BM72" s="693"/>
      <c r="BN72" s="693"/>
      <c r="BO72" s="693"/>
      <c r="BP72" s="693"/>
      <c r="BQ72" s="693"/>
      <c r="BR72" s="693"/>
      <c r="BS72" s="693"/>
      <c r="BT72" s="693"/>
      <c r="BU72" s="693"/>
      <c r="BV72" s="693"/>
      <c r="BW72" s="693"/>
      <c r="BX72" s="693"/>
      <c r="BY72" s="693"/>
      <c r="BZ72" s="693"/>
      <c r="CA72" s="693"/>
    </row>
    <row r="73" spans="1:79" s="452" customFormat="1" hidden="1" outlineLevel="1" x14ac:dyDescent="0.35">
      <c r="A73" s="580"/>
      <c r="B73" s="580"/>
      <c r="C73" s="580"/>
      <c r="D73" s="580"/>
      <c r="E73" s="580"/>
      <c r="F73" s="672" t="s">
        <v>893</v>
      </c>
      <c r="G73" s="689"/>
      <c r="H73" s="689"/>
      <c r="I73" s="689"/>
      <c r="J73" s="690"/>
      <c r="K73" s="690"/>
      <c r="L73" s="690"/>
      <c r="M73" s="690"/>
      <c r="N73" s="690"/>
      <c r="O73" s="690"/>
      <c r="P73" s="691"/>
      <c r="Q73" s="691"/>
      <c r="R73" s="691"/>
      <c r="S73" s="692">
        <v>0</v>
      </c>
      <c r="T73" s="692">
        <v>0</v>
      </c>
      <c r="U73" s="692">
        <v>0</v>
      </c>
      <c r="V73" s="692">
        <v>0</v>
      </c>
      <c r="W73" s="692">
        <v>0</v>
      </c>
      <c r="X73" s="692">
        <v>0</v>
      </c>
      <c r="Y73" s="692">
        <v>0</v>
      </c>
      <c r="Z73" s="692">
        <v>0</v>
      </c>
      <c r="AA73" s="692">
        <v>0</v>
      </c>
      <c r="AB73" s="692">
        <v>0</v>
      </c>
      <c r="AC73" s="692">
        <v>0</v>
      </c>
      <c r="AD73" s="693">
        <v>0</v>
      </c>
      <c r="AE73" s="693"/>
      <c r="AF73" s="693"/>
      <c r="AG73" s="693"/>
      <c r="AH73" s="693"/>
      <c r="AI73" s="693"/>
      <c r="AJ73" s="693"/>
      <c r="AK73" s="693"/>
      <c r="AL73" s="693"/>
      <c r="AM73" s="693"/>
      <c r="AN73" s="693"/>
      <c r="AO73" s="693"/>
      <c r="AP73" s="693"/>
      <c r="AQ73" s="693"/>
      <c r="AR73" s="693"/>
      <c r="AS73" s="693"/>
      <c r="AT73" s="693"/>
      <c r="AU73" s="693"/>
      <c r="AV73" s="693"/>
      <c r="AW73" s="693"/>
      <c r="AX73" s="693"/>
      <c r="AY73" s="693"/>
      <c r="AZ73" s="693"/>
      <c r="BA73" s="693"/>
      <c r="BB73" s="693"/>
      <c r="BC73" s="693"/>
      <c r="BD73" s="693"/>
      <c r="BE73" s="693"/>
      <c r="BF73" s="693"/>
      <c r="BG73" s="693"/>
      <c r="BH73" s="693"/>
      <c r="BI73" s="693"/>
      <c r="BJ73" s="693"/>
      <c r="BK73" s="693"/>
      <c r="BL73" s="693"/>
      <c r="BM73" s="693"/>
      <c r="BN73" s="693"/>
      <c r="BO73" s="693"/>
      <c r="BP73" s="693"/>
      <c r="BQ73" s="693"/>
      <c r="BR73" s="693"/>
      <c r="BS73" s="693"/>
      <c r="BT73" s="693"/>
      <c r="BU73" s="693"/>
      <c r="BV73" s="693"/>
      <c r="BW73" s="693"/>
      <c r="BX73" s="693"/>
      <c r="BY73" s="693"/>
      <c r="BZ73" s="693"/>
      <c r="CA73" s="693"/>
    </row>
    <row r="74" spans="1:79" s="452" customFormat="1" hidden="1" outlineLevel="1" x14ac:dyDescent="0.35">
      <c r="A74" s="580"/>
      <c r="B74" s="580"/>
      <c r="C74" s="580"/>
      <c r="D74" s="580"/>
      <c r="E74" s="580"/>
      <c r="F74" s="672" t="s">
        <v>768</v>
      </c>
      <c r="G74" s="689"/>
      <c r="H74" s="689"/>
      <c r="I74" s="689"/>
      <c r="J74" s="690"/>
      <c r="K74" s="690"/>
      <c r="L74" s="690"/>
      <c r="M74" s="690"/>
      <c r="N74" s="690"/>
      <c r="O74" s="690"/>
      <c r="P74" s="691"/>
      <c r="Q74" s="691"/>
      <c r="R74" s="691"/>
      <c r="S74" s="692">
        <v>0</v>
      </c>
      <c r="T74" s="692">
        <v>0</v>
      </c>
      <c r="U74" s="692">
        <v>0</v>
      </c>
      <c r="V74" s="692">
        <v>0</v>
      </c>
      <c r="W74" s="692">
        <v>0</v>
      </c>
      <c r="X74" s="692">
        <v>0</v>
      </c>
      <c r="Y74" s="692">
        <v>0</v>
      </c>
      <c r="Z74" s="692">
        <v>0</v>
      </c>
      <c r="AA74" s="692">
        <v>0</v>
      </c>
      <c r="AB74" s="692">
        <v>0</v>
      </c>
      <c r="AC74" s="692">
        <v>0</v>
      </c>
      <c r="AD74" s="693">
        <v>0</v>
      </c>
      <c r="AE74" s="693"/>
      <c r="AF74" s="693"/>
      <c r="AG74" s="693"/>
      <c r="AH74" s="693"/>
      <c r="AI74" s="693"/>
      <c r="AJ74" s="693"/>
      <c r="AK74" s="693"/>
      <c r="AL74" s="693"/>
      <c r="AM74" s="693"/>
      <c r="AN74" s="693"/>
      <c r="AO74" s="693"/>
      <c r="AP74" s="693"/>
      <c r="AQ74" s="693"/>
      <c r="AR74" s="693"/>
      <c r="AS74" s="693"/>
      <c r="AT74" s="693"/>
      <c r="AU74" s="693"/>
      <c r="AV74" s="693"/>
      <c r="AW74" s="693"/>
      <c r="AX74" s="693"/>
      <c r="AY74" s="693"/>
      <c r="AZ74" s="693"/>
      <c r="BA74" s="693"/>
      <c r="BB74" s="693"/>
      <c r="BC74" s="693"/>
      <c r="BD74" s="693"/>
      <c r="BE74" s="693"/>
      <c r="BF74" s="693"/>
      <c r="BG74" s="693"/>
      <c r="BH74" s="693"/>
      <c r="BI74" s="693"/>
      <c r="BJ74" s="693"/>
      <c r="BK74" s="693"/>
      <c r="BL74" s="693"/>
      <c r="BM74" s="693"/>
      <c r="BN74" s="693"/>
      <c r="BO74" s="693"/>
      <c r="BP74" s="693"/>
      <c r="BQ74" s="693"/>
      <c r="BR74" s="693"/>
      <c r="BS74" s="693"/>
      <c r="BT74" s="693"/>
      <c r="BU74" s="693"/>
      <c r="BV74" s="693"/>
      <c r="BW74" s="693"/>
      <c r="BX74" s="693"/>
      <c r="BY74" s="693"/>
      <c r="BZ74" s="693"/>
      <c r="CA74" s="693"/>
    </row>
    <row r="75" spans="1:79" s="452" customFormat="1" hidden="1" outlineLevel="1" x14ac:dyDescent="0.35">
      <c r="A75" s="580"/>
      <c r="B75" s="580"/>
      <c r="C75" s="580"/>
      <c r="D75" s="580"/>
      <c r="E75" s="580"/>
      <c r="F75" s="672" t="s">
        <v>785</v>
      </c>
      <c r="G75" s="689"/>
      <c r="H75" s="689"/>
      <c r="I75" s="689"/>
      <c r="J75" s="690"/>
      <c r="K75" s="690"/>
      <c r="L75" s="690"/>
      <c r="M75" s="690"/>
      <c r="N75" s="690"/>
      <c r="O75" s="690"/>
      <c r="P75" s="691"/>
      <c r="Q75" s="691"/>
      <c r="R75" s="691"/>
      <c r="S75" s="692">
        <v>0</v>
      </c>
      <c r="T75" s="692">
        <v>0</v>
      </c>
      <c r="U75" s="692">
        <v>0</v>
      </c>
      <c r="V75" s="692">
        <v>0</v>
      </c>
      <c r="W75" s="692">
        <v>0</v>
      </c>
      <c r="X75" s="692">
        <v>0</v>
      </c>
      <c r="Y75" s="692">
        <v>0</v>
      </c>
      <c r="Z75" s="692">
        <v>0</v>
      </c>
      <c r="AA75" s="692">
        <v>0</v>
      </c>
      <c r="AB75" s="692">
        <v>0</v>
      </c>
      <c r="AC75" s="692">
        <v>0</v>
      </c>
      <c r="AD75" s="693">
        <v>0</v>
      </c>
      <c r="AE75" s="693"/>
      <c r="AF75" s="693"/>
      <c r="AG75" s="693"/>
      <c r="AH75" s="693"/>
      <c r="AI75" s="693"/>
      <c r="AJ75" s="693"/>
      <c r="AK75" s="693"/>
      <c r="AL75" s="693"/>
      <c r="AM75" s="693"/>
      <c r="AN75" s="693"/>
      <c r="AO75" s="693"/>
      <c r="AP75" s="693"/>
      <c r="AQ75" s="693"/>
      <c r="AR75" s="693"/>
      <c r="AS75" s="693"/>
      <c r="AT75" s="693"/>
      <c r="AU75" s="693"/>
      <c r="AV75" s="693"/>
      <c r="AW75" s="693"/>
      <c r="AX75" s="693"/>
      <c r="AY75" s="693"/>
      <c r="AZ75" s="693"/>
      <c r="BA75" s="693"/>
      <c r="BB75" s="693"/>
      <c r="BC75" s="693"/>
      <c r="BD75" s="693"/>
      <c r="BE75" s="693"/>
      <c r="BF75" s="693"/>
      <c r="BG75" s="693"/>
      <c r="BH75" s="693"/>
      <c r="BI75" s="693"/>
      <c r="BJ75" s="693"/>
      <c r="BK75" s="693"/>
      <c r="BL75" s="693"/>
      <c r="BM75" s="693"/>
      <c r="BN75" s="693"/>
      <c r="BO75" s="693"/>
      <c r="BP75" s="693"/>
      <c r="BQ75" s="693"/>
      <c r="BR75" s="693"/>
      <c r="BS75" s="693"/>
      <c r="BT75" s="693"/>
      <c r="BU75" s="693"/>
      <c r="BV75" s="693"/>
      <c r="BW75" s="693"/>
      <c r="BX75" s="693"/>
      <c r="BY75" s="693"/>
      <c r="BZ75" s="693"/>
      <c r="CA75" s="693"/>
    </row>
    <row r="76" spans="1:79" s="452" customFormat="1" hidden="1" outlineLevel="1" x14ac:dyDescent="0.35">
      <c r="A76" s="580"/>
      <c r="B76" s="580"/>
      <c r="C76" s="580"/>
      <c r="D76" s="580"/>
      <c r="E76" s="580"/>
      <c r="F76" s="672" t="s">
        <v>617</v>
      </c>
      <c r="G76" s="689"/>
      <c r="H76" s="689"/>
      <c r="I76" s="689"/>
      <c r="J76" s="690"/>
      <c r="K76" s="690"/>
      <c r="L76" s="690"/>
      <c r="M76" s="690"/>
      <c r="N76" s="690"/>
      <c r="O76" s="690"/>
      <c r="P76" s="691"/>
      <c r="Q76" s="691"/>
      <c r="R76" s="691"/>
      <c r="S76" s="692">
        <v>0</v>
      </c>
      <c r="T76" s="692">
        <v>0</v>
      </c>
      <c r="U76" s="692">
        <v>0</v>
      </c>
      <c r="V76" s="692">
        <v>0</v>
      </c>
      <c r="W76" s="692">
        <v>0</v>
      </c>
      <c r="X76" s="692">
        <v>0</v>
      </c>
      <c r="Y76" s="692">
        <v>0</v>
      </c>
      <c r="Z76" s="692">
        <v>0</v>
      </c>
      <c r="AA76" s="692">
        <v>0</v>
      </c>
      <c r="AB76" s="692">
        <v>0</v>
      </c>
      <c r="AC76" s="692">
        <v>0</v>
      </c>
      <c r="AD76" s="693">
        <v>0</v>
      </c>
      <c r="AE76" s="693"/>
      <c r="AF76" s="693"/>
      <c r="AG76" s="693"/>
      <c r="AH76" s="693"/>
      <c r="AI76" s="693"/>
      <c r="AJ76" s="693"/>
      <c r="AK76" s="693"/>
      <c r="AL76" s="693"/>
      <c r="AM76" s="693"/>
      <c r="AN76" s="693"/>
      <c r="AO76" s="693"/>
      <c r="AP76" s="693"/>
      <c r="AQ76" s="693"/>
      <c r="AR76" s="693"/>
      <c r="AS76" s="693"/>
      <c r="AT76" s="693"/>
      <c r="AU76" s="693"/>
      <c r="AV76" s="693"/>
      <c r="AW76" s="693"/>
      <c r="AX76" s="693"/>
      <c r="AY76" s="693"/>
      <c r="AZ76" s="693"/>
      <c r="BA76" s="693"/>
      <c r="BB76" s="693"/>
      <c r="BC76" s="693"/>
      <c r="BD76" s="693"/>
      <c r="BE76" s="693"/>
      <c r="BF76" s="693"/>
      <c r="BG76" s="693"/>
      <c r="BH76" s="693"/>
      <c r="BI76" s="693"/>
      <c r="BJ76" s="693"/>
      <c r="BK76" s="693"/>
      <c r="BL76" s="693"/>
      <c r="BM76" s="693"/>
      <c r="BN76" s="693"/>
      <c r="BO76" s="693"/>
      <c r="BP76" s="693"/>
      <c r="BQ76" s="693"/>
      <c r="BR76" s="693"/>
      <c r="BS76" s="693"/>
      <c r="BT76" s="693"/>
      <c r="BU76" s="693"/>
      <c r="BV76" s="693"/>
      <c r="BW76" s="693"/>
      <c r="BX76" s="693"/>
      <c r="BY76" s="693"/>
      <c r="BZ76" s="693"/>
      <c r="CA76" s="693"/>
    </row>
    <row r="77" spans="1:79" s="452" customFormat="1" hidden="1" outlineLevel="1" x14ac:dyDescent="0.35">
      <c r="A77" s="580"/>
      <c r="B77" s="580"/>
      <c r="C77" s="580"/>
      <c r="D77" s="580"/>
      <c r="E77" s="580"/>
      <c r="F77" s="672" t="s">
        <v>618</v>
      </c>
      <c r="G77" s="689"/>
      <c r="H77" s="689"/>
      <c r="I77" s="689"/>
      <c r="J77" s="690"/>
      <c r="K77" s="690"/>
      <c r="L77" s="690"/>
      <c r="M77" s="690"/>
      <c r="N77" s="690"/>
      <c r="O77" s="690"/>
      <c r="P77" s="691"/>
      <c r="Q77" s="691"/>
      <c r="R77" s="691"/>
      <c r="S77" s="692">
        <v>0</v>
      </c>
      <c r="T77" s="692">
        <v>0</v>
      </c>
      <c r="U77" s="692">
        <v>0</v>
      </c>
      <c r="V77" s="692">
        <v>0</v>
      </c>
      <c r="W77" s="692">
        <v>0</v>
      </c>
      <c r="X77" s="692">
        <v>0</v>
      </c>
      <c r="Y77" s="692">
        <v>0</v>
      </c>
      <c r="Z77" s="692">
        <v>0</v>
      </c>
      <c r="AA77" s="692">
        <v>0</v>
      </c>
      <c r="AB77" s="692">
        <v>0</v>
      </c>
      <c r="AC77" s="692">
        <v>0</v>
      </c>
      <c r="AD77" s="693">
        <v>0</v>
      </c>
      <c r="AE77" s="693"/>
      <c r="AF77" s="693"/>
      <c r="AG77" s="693"/>
      <c r="AH77" s="693"/>
      <c r="AI77" s="693"/>
      <c r="AJ77" s="693"/>
      <c r="AK77" s="693"/>
      <c r="AL77" s="693"/>
      <c r="AM77" s="693"/>
      <c r="AN77" s="693"/>
      <c r="AO77" s="693"/>
      <c r="AP77" s="693"/>
      <c r="AQ77" s="693"/>
      <c r="AR77" s="693"/>
      <c r="AS77" s="693"/>
      <c r="AT77" s="693"/>
      <c r="AU77" s="693"/>
      <c r="AV77" s="693"/>
      <c r="AW77" s="693"/>
      <c r="AX77" s="693"/>
      <c r="AY77" s="693"/>
      <c r="AZ77" s="693"/>
      <c r="BA77" s="693"/>
      <c r="BB77" s="693"/>
      <c r="BC77" s="693"/>
      <c r="BD77" s="693"/>
      <c r="BE77" s="693"/>
      <c r="BF77" s="693"/>
      <c r="BG77" s="693"/>
      <c r="BH77" s="693"/>
      <c r="BI77" s="693"/>
      <c r="BJ77" s="693"/>
      <c r="BK77" s="693"/>
      <c r="BL77" s="693"/>
      <c r="BM77" s="693"/>
      <c r="BN77" s="693"/>
      <c r="BO77" s="693"/>
      <c r="BP77" s="693"/>
      <c r="BQ77" s="693"/>
      <c r="BR77" s="693"/>
      <c r="BS77" s="693"/>
      <c r="BT77" s="693"/>
      <c r="BU77" s="693"/>
      <c r="BV77" s="693"/>
      <c r="BW77" s="693"/>
      <c r="BX77" s="693"/>
      <c r="BY77" s="693"/>
      <c r="BZ77" s="693"/>
      <c r="CA77" s="693"/>
    </row>
    <row r="78" spans="1:79" s="452" customFormat="1" hidden="1" outlineLevel="1" x14ac:dyDescent="0.35">
      <c r="A78" s="580"/>
      <c r="B78" s="580"/>
      <c r="C78" s="580"/>
      <c r="D78" s="580"/>
      <c r="E78" s="580"/>
      <c r="F78" s="672" t="s">
        <v>619</v>
      </c>
      <c r="G78" s="689"/>
      <c r="H78" s="689"/>
      <c r="I78" s="689"/>
      <c r="J78" s="690"/>
      <c r="K78" s="690"/>
      <c r="L78" s="690"/>
      <c r="M78" s="690"/>
      <c r="N78" s="690"/>
      <c r="O78" s="690"/>
      <c r="P78" s="691"/>
      <c r="Q78" s="691"/>
      <c r="R78" s="691"/>
      <c r="S78" s="692">
        <v>0</v>
      </c>
      <c r="T78" s="692">
        <v>0</v>
      </c>
      <c r="U78" s="692">
        <v>0</v>
      </c>
      <c r="V78" s="692">
        <v>0</v>
      </c>
      <c r="W78" s="692">
        <v>0</v>
      </c>
      <c r="X78" s="692">
        <v>400</v>
      </c>
      <c r="Y78" s="692">
        <v>0</v>
      </c>
      <c r="Z78" s="692">
        <v>0</v>
      </c>
      <c r="AA78" s="692">
        <v>0</v>
      </c>
      <c r="AB78" s="692">
        <v>0</v>
      </c>
      <c r="AC78" s="692">
        <v>0</v>
      </c>
      <c r="AD78" s="693">
        <v>0</v>
      </c>
      <c r="AE78" s="693"/>
      <c r="AF78" s="693"/>
      <c r="AG78" s="693"/>
      <c r="AH78" s="693"/>
      <c r="AI78" s="693"/>
      <c r="AJ78" s="693"/>
      <c r="AK78" s="693"/>
      <c r="AL78" s="693"/>
      <c r="AM78" s="693"/>
      <c r="AN78" s="693"/>
      <c r="AO78" s="693"/>
      <c r="AP78" s="693"/>
      <c r="AQ78" s="693"/>
      <c r="AR78" s="693"/>
      <c r="AS78" s="693"/>
      <c r="AT78" s="693"/>
      <c r="AU78" s="693"/>
      <c r="AV78" s="693"/>
      <c r="AW78" s="693"/>
      <c r="AX78" s="693"/>
      <c r="AY78" s="693"/>
      <c r="AZ78" s="693"/>
      <c r="BA78" s="693"/>
      <c r="BB78" s="693"/>
      <c r="BC78" s="693"/>
      <c r="BD78" s="693"/>
      <c r="BE78" s="693"/>
      <c r="BF78" s="693"/>
      <c r="BG78" s="693"/>
      <c r="BH78" s="693"/>
      <c r="BI78" s="693"/>
      <c r="BJ78" s="693"/>
      <c r="BK78" s="693"/>
      <c r="BL78" s="693"/>
      <c r="BM78" s="693"/>
      <c r="BN78" s="693"/>
      <c r="BO78" s="693"/>
      <c r="BP78" s="693"/>
      <c r="BQ78" s="693"/>
      <c r="BR78" s="693"/>
      <c r="BS78" s="693"/>
      <c r="BT78" s="693"/>
      <c r="BU78" s="693"/>
      <c r="BV78" s="693"/>
      <c r="BW78" s="693"/>
      <c r="BX78" s="693"/>
      <c r="BY78" s="693"/>
      <c r="BZ78" s="693"/>
      <c r="CA78" s="693"/>
    </row>
    <row r="79" spans="1:79" s="452" customFormat="1" hidden="1" outlineLevel="1" x14ac:dyDescent="0.35">
      <c r="A79" s="580"/>
      <c r="B79" s="580"/>
      <c r="C79" s="580"/>
      <c r="D79" s="580"/>
      <c r="E79" s="580"/>
      <c r="F79" s="672" t="s">
        <v>894</v>
      </c>
      <c r="G79" s="689"/>
      <c r="H79" s="689"/>
      <c r="I79" s="689"/>
      <c r="J79" s="690"/>
      <c r="K79" s="690"/>
      <c r="L79" s="690"/>
      <c r="M79" s="690"/>
      <c r="N79" s="690"/>
      <c r="O79" s="690"/>
      <c r="P79" s="691"/>
      <c r="Q79" s="691"/>
      <c r="R79" s="691"/>
      <c r="S79" s="692">
        <v>0</v>
      </c>
      <c r="T79" s="692">
        <v>0</v>
      </c>
      <c r="U79" s="692">
        <v>0</v>
      </c>
      <c r="V79" s="692">
        <v>0</v>
      </c>
      <c r="W79" s="692">
        <v>0</v>
      </c>
      <c r="X79" s="692">
        <v>0</v>
      </c>
      <c r="Y79" s="692">
        <v>0</v>
      </c>
      <c r="Z79" s="692">
        <v>0</v>
      </c>
      <c r="AA79" s="692">
        <v>0</v>
      </c>
      <c r="AB79" s="692">
        <v>0</v>
      </c>
      <c r="AC79" s="692">
        <v>0</v>
      </c>
      <c r="AD79" s="693">
        <v>0</v>
      </c>
      <c r="AE79" s="693"/>
      <c r="AF79" s="693"/>
      <c r="AG79" s="693"/>
      <c r="AH79" s="693"/>
      <c r="AI79" s="693"/>
      <c r="AJ79" s="693"/>
      <c r="AK79" s="693"/>
      <c r="AL79" s="693"/>
      <c r="AM79" s="693"/>
      <c r="AN79" s="693"/>
      <c r="AO79" s="693"/>
      <c r="AP79" s="693"/>
      <c r="AQ79" s="693"/>
      <c r="AR79" s="693"/>
      <c r="AS79" s="693"/>
      <c r="AT79" s="693"/>
      <c r="AU79" s="693"/>
      <c r="AV79" s="693"/>
      <c r="AW79" s="693"/>
      <c r="AX79" s="693"/>
      <c r="AY79" s="693"/>
      <c r="AZ79" s="693"/>
      <c r="BA79" s="693"/>
      <c r="BB79" s="693"/>
      <c r="BC79" s="693"/>
      <c r="BD79" s="693"/>
      <c r="BE79" s="693"/>
      <c r="BF79" s="693"/>
      <c r="BG79" s="693"/>
      <c r="BH79" s="693"/>
      <c r="BI79" s="693"/>
      <c r="BJ79" s="693"/>
      <c r="BK79" s="693"/>
      <c r="BL79" s="693"/>
      <c r="BM79" s="693"/>
      <c r="BN79" s="693"/>
      <c r="BO79" s="693"/>
      <c r="BP79" s="693"/>
      <c r="BQ79" s="693"/>
      <c r="BR79" s="693"/>
      <c r="BS79" s="693"/>
      <c r="BT79" s="693"/>
      <c r="BU79" s="693"/>
      <c r="BV79" s="693"/>
      <c r="BW79" s="693"/>
      <c r="BX79" s="693"/>
      <c r="BY79" s="693"/>
      <c r="BZ79" s="693"/>
      <c r="CA79" s="693"/>
    </row>
    <row r="80" spans="1:79" s="452" customFormat="1" hidden="1" outlineLevel="1" x14ac:dyDescent="0.35">
      <c r="A80" s="580"/>
      <c r="B80" s="580"/>
      <c r="C80" s="580"/>
      <c r="D80" s="580"/>
      <c r="E80" s="580"/>
      <c r="F80" s="672" t="s">
        <v>620</v>
      </c>
      <c r="G80" s="689"/>
      <c r="H80" s="689"/>
      <c r="I80" s="689"/>
      <c r="J80" s="690"/>
      <c r="K80" s="690"/>
      <c r="L80" s="690"/>
      <c r="M80" s="690"/>
      <c r="N80" s="690"/>
      <c r="O80" s="690"/>
      <c r="P80" s="691"/>
      <c r="Q80" s="691"/>
      <c r="R80" s="691"/>
      <c r="S80" s="692">
        <v>0</v>
      </c>
      <c r="T80" s="692">
        <v>0</v>
      </c>
      <c r="U80" s="692">
        <v>0</v>
      </c>
      <c r="V80" s="692">
        <v>0</v>
      </c>
      <c r="W80" s="692">
        <v>0</v>
      </c>
      <c r="X80" s="692">
        <v>0</v>
      </c>
      <c r="Y80" s="692">
        <v>0</v>
      </c>
      <c r="Z80" s="692">
        <v>0</v>
      </c>
      <c r="AA80" s="692">
        <v>0</v>
      </c>
      <c r="AB80" s="692">
        <v>0</v>
      </c>
      <c r="AC80" s="692">
        <v>0</v>
      </c>
      <c r="AD80" s="693">
        <v>0</v>
      </c>
      <c r="AE80" s="693"/>
      <c r="AF80" s="693"/>
      <c r="AG80" s="693"/>
      <c r="AH80" s="693"/>
      <c r="AI80" s="693"/>
      <c r="AJ80" s="693"/>
      <c r="AK80" s="693"/>
      <c r="AL80" s="693"/>
      <c r="AM80" s="693"/>
      <c r="AN80" s="693"/>
      <c r="AO80" s="693"/>
      <c r="AP80" s="693"/>
      <c r="AQ80" s="693"/>
      <c r="AR80" s="693"/>
      <c r="AS80" s="693"/>
      <c r="AT80" s="693"/>
      <c r="AU80" s="693"/>
      <c r="AV80" s="693"/>
      <c r="AW80" s="693"/>
      <c r="AX80" s="693"/>
      <c r="AY80" s="693"/>
      <c r="AZ80" s="693"/>
      <c r="BA80" s="693"/>
      <c r="BB80" s="693"/>
      <c r="BC80" s="693"/>
      <c r="BD80" s="693"/>
      <c r="BE80" s="693"/>
      <c r="BF80" s="693"/>
      <c r="BG80" s="693"/>
      <c r="BH80" s="693"/>
      <c r="BI80" s="693"/>
      <c r="BJ80" s="693"/>
      <c r="BK80" s="693"/>
      <c r="BL80" s="693"/>
      <c r="BM80" s="693"/>
      <c r="BN80" s="693"/>
      <c r="BO80" s="693"/>
      <c r="BP80" s="693"/>
      <c r="BQ80" s="693"/>
      <c r="BR80" s="693"/>
      <c r="BS80" s="693"/>
      <c r="BT80" s="693"/>
      <c r="BU80" s="693"/>
      <c r="BV80" s="693"/>
      <c r="BW80" s="693"/>
      <c r="BX80" s="693"/>
      <c r="BY80" s="693"/>
      <c r="BZ80" s="693"/>
      <c r="CA80" s="693"/>
    </row>
    <row r="81" spans="1:79" s="309" customFormat="1" hidden="1" outlineLevel="1" x14ac:dyDescent="0.35">
      <c r="A81" s="30"/>
      <c r="B81" s="30"/>
      <c r="C81" s="30"/>
      <c r="D81" s="30"/>
      <c r="E81" s="30"/>
      <c r="F81" s="675" t="s">
        <v>621</v>
      </c>
      <c r="G81" s="694">
        <f>SUM(G64:G80)</f>
        <v>0</v>
      </c>
      <c r="H81" s="694">
        <f t="shared" ref="H81:R81" si="19">SUM(H64:H80)</f>
        <v>0</v>
      </c>
      <c r="I81" s="694">
        <f t="shared" si="19"/>
        <v>0</v>
      </c>
      <c r="J81" s="694">
        <f t="shared" si="19"/>
        <v>0</v>
      </c>
      <c r="K81" s="694">
        <f t="shared" si="19"/>
        <v>0</v>
      </c>
      <c r="L81" s="694">
        <f t="shared" si="19"/>
        <v>0</v>
      </c>
      <c r="M81" s="694">
        <f t="shared" si="19"/>
        <v>0</v>
      </c>
      <c r="N81" s="694">
        <f t="shared" si="19"/>
        <v>0</v>
      </c>
      <c r="O81" s="694">
        <f t="shared" si="19"/>
        <v>0</v>
      </c>
      <c r="P81" s="694">
        <f t="shared" si="19"/>
        <v>0</v>
      </c>
      <c r="Q81" s="694">
        <f t="shared" si="19"/>
        <v>0</v>
      </c>
      <c r="R81" s="694">
        <f t="shared" si="19"/>
        <v>0</v>
      </c>
      <c r="S81" s="694">
        <f t="shared" ref="S81:AA81" si="20">ROUND(SUM(S63:S80),5)</f>
        <v>0</v>
      </c>
      <c r="T81" s="694">
        <f t="shared" si="20"/>
        <v>500</v>
      </c>
      <c r="U81" s="694">
        <f t="shared" si="20"/>
        <v>0</v>
      </c>
      <c r="V81" s="694">
        <f t="shared" si="20"/>
        <v>0</v>
      </c>
      <c r="W81" s="694">
        <f t="shared" si="20"/>
        <v>0</v>
      </c>
      <c r="X81" s="694">
        <f t="shared" si="20"/>
        <v>400</v>
      </c>
      <c r="Y81" s="694">
        <f t="shared" si="20"/>
        <v>0</v>
      </c>
      <c r="Z81" s="694">
        <f t="shared" si="20"/>
        <v>0</v>
      </c>
      <c r="AA81" s="694">
        <f t="shared" si="20"/>
        <v>5.39</v>
      </c>
      <c r="AB81" s="694">
        <f>ROUND(SUM(AB63:AB80),5)</f>
        <v>350</v>
      </c>
      <c r="AC81" s="694">
        <f>ROUND(SUM(AC63:AC80),5)</f>
        <v>0</v>
      </c>
      <c r="AD81" s="694">
        <v>497.86</v>
      </c>
      <c r="AE81" s="694">
        <f t="shared" ref="AE81:BO81" si="21">SUM(AE64:AE80)</f>
        <v>0</v>
      </c>
      <c r="AF81" s="694">
        <f t="shared" si="21"/>
        <v>0</v>
      </c>
      <c r="AG81" s="694">
        <f t="shared" si="21"/>
        <v>0</v>
      </c>
      <c r="AH81" s="694">
        <f t="shared" si="21"/>
        <v>0</v>
      </c>
      <c r="AI81" s="694">
        <f t="shared" si="21"/>
        <v>0</v>
      </c>
      <c r="AJ81" s="694">
        <f t="shared" si="21"/>
        <v>0</v>
      </c>
      <c r="AK81" s="694">
        <f t="shared" si="21"/>
        <v>0</v>
      </c>
      <c r="AL81" s="694">
        <f t="shared" si="21"/>
        <v>0</v>
      </c>
      <c r="AM81" s="694">
        <f t="shared" si="21"/>
        <v>0</v>
      </c>
      <c r="AN81" s="694">
        <f t="shared" si="21"/>
        <v>0</v>
      </c>
      <c r="AO81" s="694">
        <f t="shared" si="21"/>
        <v>0</v>
      </c>
      <c r="AP81" s="694">
        <f t="shared" si="21"/>
        <v>0</v>
      </c>
      <c r="AQ81" s="694">
        <f t="shared" si="21"/>
        <v>0</v>
      </c>
      <c r="AR81" s="694">
        <f t="shared" si="21"/>
        <v>0</v>
      </c>
      <c r="AS81" s="694">
        <f t="shared" si="21"/>
        <v>0</v>
      </c>
      <c r="AT81" s="694">
        <f t="shared" si="21"/>
        <v>0</v>
      </c>
      <c r="AU81" s="694">
        <f t="shared" si="21"/>
        <v>0</v>
      </c>
      <c r="AV81" s="694">
        <f t="shared" si="21"/>
        <v>0</v>
      </c>
      <c r="AW81" s="694">
        <f t="shared" si="21"/>
        <v>0</v>
      </c>
      <c r="AX81" s="694">
        <f t="shared" si="21"/>
        <v>0</v>
      </c>
      <c r="AY81" s="694">
        <f t="shared" si="21"/>
        <v>0</v>
      </c>
      <c r="AZ81" s="694">
        <f t="shared" si="21"/>
        <v>0</v>
      </c>
      <c r="BA81" s="694">
        <f t="shared" si="21"/>
        <v>0</v>
      </c>
      <c r="BB81" s="694">
        <f t="shared" si="21"/>
        <v>0</v>
      </c>
      <c r="BC81" s="694">
        <f t="shared" si="21"/>
        <v>0</v>
      </c>
      <c r="BD81" s="694">
        <f t="shared" si="21"/>
        <v>0</v>
      </c>
      <c r="BE81" s="694">
        <f t="shared" si="21"/>
        <v>0</v>
      </c>
      <c r="BF81" s="694">
        <f t="shared" si="21"/>
        <v>0</v>
      </c>
      <c r="BG81" s="694">
        <f t="shared" si="21"/>
        <v>0</v>
      </c>
      <c r="BH81" s="694">
        <f t="shared" si="21"/>
        <v>0</v>
      </c>
      <c r="BI81" s="694">
        <f t="shared" si="21"/>
        <v>0</v>
      </c>
      <c r="BJ81" s="694">
        <f t="shared" si="21"/>
        <v>0</v>
      </c>
      <c r="BK81" s="694">
        <f t="shared" si="21"/>
        <v>0</v>
      </c>
      <c r="BL81" s="694">
        <f t="shared" si="21"/>
        <v>0</v>
      </c>
      <c r="BM81" s="694">
        <f t="shared" si="21"/>
        <v>0</v>
      </c>
      <c r="BN81" s="694">
        <f t="shared" si="21"/>
        <v>0</v>
      </c>
      <c r="BO81" s="694">
        <f t="shared" si="21"/>
        <v>0</v>
      </c>
      <c r="BP81" s="694">
        <f t="shared" ref="BP81:CA81" si="22">SUM(BP64:BP80)</f>
        <v>0</v>
      </c>
      <c r="BQ81" s="694">
        <f t="shared" si="22"/>
        <v>0</v>
      </c>
      <c r="BR81" s="694">
        <f t="shared" si="22"/>
        <v>0</v>
      </c>
      <c r="BS81" s="694">
        <f t="shared" si="22"/>
        <v>0</v>
      </c>
      <c r="BT81" s="694">
        <f t="shared" si="22"/>
        <v>0</v>
      </c>
      <c r="BU81" s="694">
        <f t="shared" si="22"/>
        <v>0</v>
      </c>
      <c r="BV81" s="694">
        <f t="shared" si="22"/>
        <v>0</v>
      </c>
      <c r="BW81" s="694">
        <f t="shared" si="22"/>
        <v>0</v>
      </c>
      <c r="BX81" s="694">
        <f t="shared" si="22"/>
        <v>0</v>
      </c>
      <c r="BY81" s="694">
        <f t="shared" si="22"/>
        <v>0</v>
      </c>
      <c r="BZ81" s="694">
        <f t="shared" si="22"/>
        <v>0</v>
      </c>
      <c r="CA81" s="694">
        <f t="shared" si="22"/>
        <v>0</v>
      </c>
    </row>
    <row r="82" spans="1:79" s="309" customFormat="1" hidden="1" outlineLevel="1" x14ac:dyDescent="0.35">
      <c r="A82" s="726"/>
      <c r="B82" s="726"/>
      <c r="C82" s="726"/>
      <c r="D82" s="726"/>
      <c r="E82" s="726"/>
      <c r="F82" s="707" t="s">
        <v>598</v>
      </c>
      <c r="G82" s="722"/>
      <c r="H82" s="722"/>
      <c r="I82" s="722"/>
      <c r="J82" s="723"/>
      <c r="K82" s="723"/>
      <c r="L82" s="723"/>
      <c r="M82" s="723"/>
      <c r="N82" s="723"/>
      <c r="O82" s="723"/>
      <c r="P82" s="724"/>
      <c r="Q82" s="724"/>
      <c r="R82" s="724"/>
      <c r="S82" s="724"/>
      <c r="T82" s="724"/>
      <c r="U82" s="724"/>
      <c r="V82" s="724"/>
      <c r="W82" s="724"/>
      <c r="X82" s="724"/>
      <c r="Y82" s="724"/>
      <c r="Z82" s="724"/>
      <c r="AA82" s="724"/>
      <c r="AB82" s="724"/>
      <c r="AC82" s="724"/>
      <c r="AD82" s="725"/>
      <c r="AE82" s="725"/>
      <c r="AF82" s="725"/>
      <c r="AG82" s="725"/>
      <c r="AH82" s="725"/>
      <c r="AI82" s="725"/>
      <c r="AJ82" s="725"/>
      <c r="AK82" s="725"/>
      <c r="AL82" s="725"/>
      <c r="AM82" s="725"/>
      <c r="AN82" s="725"/>
      <c r="AO82" s="725"/>
      <c r="AP82" s="725"/>
      <c r="AQ82" s="725"/>
      <c r="AR82" s="725"/>
      <c r="AS82" s="725"/>
      <c r="AT82" s="725"/>
      <c r="AU82" s="725"/>
      <c r="AV82" s="725"/>
      <c r="AW82" s="725"/>
      <c r="AX82" s="725"/>
      <c r="AY82" s="725"/>
      <c r="AZ82" s="725"/>
      <c r="BA82" s="725"/>
      <c r="BB82" s="725"/>
      <c r="BC82" s="725"/>
      <c r="BD82" s="725"/>
      <c r="BE82" s="725"/>
      <c r="BF82" s="725"/>
      <c r="BG82" s="725"/>
      <c r="BH82" s="725"/>
      <c r="BI82" s="725"/>
      <c r="BJ82" s="725"/>
      <c r="BK82" s="725"/>
      <c r="BL82" s="725"/>
      <c r="BM82" s="725"/>
      <c r="BN82" s="725"/>
      <c r="BO82" s="725"/>
      <c r="BP82" s="725"/>
      <c r="BQ82" s="725"/>
      <c r="BR82" s="725"/>
      <c r="BS82" s="725"/>
      <c r="BT82" s="725"/>
      <c r="BU82" s="725"/>
      <c r="BV82" s="725"/>
      <c r="BW82" s="725"/>
      <c r="BX82" s="725"/>
      <c r="BY82" s="725"/>
      <c r="BZ82" s="725"/>
      <c r="CA82" s="725"/>
    </row>
    <row r="83" spans="1:79" s="309" customFormat="1" hidden="1" outlineLevel="1" x14ac:dyDescent="0.35">
      <c r="A83" s="575"/>
      <c r="B83" s="575"/>
      <c r="C83" s="575"/>
      <c r="D83" s="575"/>
      <c r="E83" s="575"/>
      <c r="F83" s="672" t="s">
        <v>895</v>
      </c>
      <c r="G83" s="697"/>
      <c r="H83" s="697"/>
      <c r="I83" s="697"/>
      <c r="J83" s="698"/>
      <c r="K83" s="698"/>
      <c r="L83" s="698"/>
      <c r="M83" s="698"/>
      <c r="N83" s="698"/>
      <c r="O83" s="698"/>
      <c r="P83" s="699"/>
      <c r="Q83" s="699"/>
      <c r="R83" s="699"/>
      <c r="S83" s="700">
        <v>0</v>
      </c>
      <c r="T83" s="700">
        <v>0</v>
      </c>
      <c r="U83" s="700">
        <v>0</v>
      </c>
      <c r="V83" s="700">
        <v>0</v>
      </c>
      <c r="W83" s="700">
        <v>0</v>
      </c>
      <c r="X83" s="700">
        <v>0</v>
      </c>
      <c r="Y83" s="700">
        <v>0</v>
      </c>
      <c r="Z83" s="700">
        <v>0</v>
      </c>
      <c r="AA83" s="700">
        <v>0</v>
      </c>
      <c r="AB83" s="700">
        <v>0</v>
      </c>
      <c r="AC83" s="700">
        <v>0</v>
      </c>
      <c r="AD83" s="701">
        <v>0</v>
      </c>
      <c r="AE83" s="701"/>
      <c r="AF83" s="701"/>
      <c r="AG83" s="701"/>
      <c r="AH83" s="701"/>
      <c r="AI83" s="701"/>
      <c r="AJ83" s="701"/>
      <c r="AK83" s="701"/>
      <c r="AL83" s="701"/>
      <c r="AM83" s="701"/>
      <c r="AN83" s="701"/>
      <c r="AO83" s="701"/>
      <c r="AP83" s="701"/>
      <c r="AQ83" s="701"/>
      <c r="AR83" s="701"/>
      <c r="AS83" s="701"/>
      <c r="AT83" s="701"/>
      <c r="AU83" s="701"/>
      <c r="AV83" s="701"/>
      <c r="AW83" s="701"/>
      <c r="AX83" s="701"/>
      <c r="AY83" s="701"/>
      <c r="AZ83" s="701"/>
      <c r="BA83" s="701"/>
      <c r="BB83" s="701"/>
      <c r="BC83" s="701"/>
      <c r="BD83" s="701"/>
      <c r="BE83" s="701"/>
      <c r="BF83" s="701"/>
      <c r="BG83" s="701"/>
      <c r="BH83" s="701"/>
      <c r="BI83" s="701"/>
      <c r="BJ83" s="701"/>
      <c r="BK83" s="701"/>
      <c r="BL83" s="701"/>
      <c r="BM83" s="701"/>
      <c r="BN83" s="701"/>
      <c r="BO83" s="701"/>
      <c r="BP83" s="701"/>
      <c r="BQ83" s="701"/>
      <c r="BR83" s="701"/>
      <c r="BS83" s="701"/>
      <c r="BT83" s="701"/>
      <c r="BU83" s="701"/>
      <c r="BV83" s="701"/>
      <c r="BW83" s="701"/>
      <c r="BX83" s="701"/>
      <c r="BY83" s="701"/>
      <c r="BZ83" s="701"/>
      <c r="CA83" s="701"/>
    </row>
    <row r="84" spans="1:79" hidden="1" outlineLevel="1" x14ac:dyDescent="0.35">
      <c r="F84" s="672" t="s">
        <v>622</v>
      </c>
      <c r="G84" s="681">
        <v>208.27001365953981</v>
      </c>
      <c r="H84" s="681">
        <v>298.61487958851058</v>
      </c>
      <c r="I84" s="681">
        <v>123.93</v>
      </c>
      <c r="J84" s="702">
        <v>194.84</v>
      </c>
      <c r="K84" s="702">
        <v>338.67064974624066</v>
      </c>
      <c r="L84" s="702">
        <v>715.09827107786532</v>
      </c>
      <c r="M84" s="702">
        <v>350.52402250753443</v>
      </c>
      <c r="N84" s="702">
        <v>349.80652871319876</v>
      </c>
      <c r="O84" s="702">
        <v>427.72389017756359</v>
      </c>
      <c r="P84" s="682">
        <v>504.63313260739989</v>
      </c>
      <c r="Q84" s="682">
        <v>211.51175454842254</v>
      </c>
      <c r="R84" s="682">
        <v>121.78729632244772</v>
      </c>
      <c r="S84" s="683">
        <v>1277.8499999999999</v>
      </c>
      <c r="T84" s="683">
        <v>14.98</v>
      </c>
      <c r="U84" s="683">
        <v>410.88</v>
      </c>
      <c r="V84" s="683">
        <v>1032.72</v>
      </c>
      <c r="W84" s="683">
        <v>913.72</v>
      </c>
      <c r="X84" s="683">
        <v>58.09</v>
      </c>
      <c r="Y84" s="683">
        <v>954.43</v>
      </c>
      <c r="Z84" s="683">
        <v>167.31</v>
      </c>
      <c r="AA84" s="683">
        <v>665.17</v>
      </c>
      <c r="AB84" s="683">
        <v>1968.62</v>
      </c>
      <c r="AC84" s="683">
        <v>1224.3399999999999</v>
      </c>
      <c r="AD84" s="684">
        <v>861.11</v>
      </c>
      <c r="AE84" s="684"/>
      <c r="AF84" s="684"/>
      <c r="AG84" s="684"/>
      <c r="AH84" s="684"/>
      <c r="AI84" s="684"/>
      <c r="AJ84" s="684"/>
      <c r="AK84" s="684"/>
      <c r="AL84" s="684"/>
      <c r="AM84" s="684"/>
      <c r="AN84" s="684"/>
      <c r="AO84" s="684"/>
      <c r="AP84" s="684"/>
      <c r="AQ84" s="684"/>
      <c r="AR84" s="684"/>
      <c r="AS84" s="684"/>
      <c r="AT84" s="684"/>
      <c r="AU84" s="684"/>
      <c r="AV84" s="684"/>
      <c r="AW84" s="684"/>
      <c r="AX84" s="684"/>
      <c r="AY84" s="684"/>
      <c r="AZ84" s="684"/>
      <c r="BA84" s="684"/>
      <c r="BB84" s="684"/>
      <c r="BC84" s="684"/>
      <c r="BD84" s="684"/>
      <c r="BE84" s="684"/>
      <c r="BF84" s="684"/>
      <c r="BG84" s="684"/>
      <c r="BH84" s="684"/>
      <c r="BI84" s="684"/>
      <c r="BJ84" s="684"/>
      <c r="BK84" s="684"/>
      <c r="BL84" s="684"/>
      <c r="BM84" s="684"/>
      <c r="BN84" s="684"/>
      <c r="BO84" s="684"/>
      <c r="BP84" s="684"/>
      <c r="BQ84" s="684"/>
      <c r="BR84" s="684"/>
      <c r="BS84" s="684"/>
      <c r="BT84" s="684"/>
      <c r="BU84" s="684"/>
      <c r="BV84" s="684"/>
      <c r="BW84" s="684"/>
      <c r="BX84" s="684"/>
      <c r="BY84" s="684"/>
      <c r="BZ84" s="684"/>
      <c r="CA84" s="684"/>
    </row>
    <row r="85" spans="1:79" hidden="1" outlineLevel="1" x14ac:dyDescent="0.35">
      <c r="A85" s="574"/>
      <c r="B85" s="574"/>
      <c r="C85" s="574"/>
      <c r="D85" s="574"/>
      <c r="E85" s="574"/>
      <c r="F85" s="673" t="s">
        <v>623</v>
      </c>
      <c r="G85" s="694">
        <f>SUM(G83:G84)</f>
        <v>208.27001365953981</v>
      </c>
      <c r="H85" s="694">
        <f t="shared" ref="H85:BO85" si="23">SUM(H83:H84)</f>
        <v>298.61487958851058</v>
      </c>
      <c r="I85" s="694">
        <f t="shared" si="23"/>
        <v>123.93</v>
      </c>
      <c r="J85" s="694">
        <f t="shared" si="23"/>
        <v>194.84</v>
      </c>
      <c r="K85" s="694">
        <f t="shared" si="23"/>
        <v>338.67064974624066</v>
      </c>
      <c r="L85" s="694">
        <f t="shared" si="23"/>
        <v>715.09827107786532</v>
      </c>
      <c r="M85" s="694">
        <f t="shared" si="23"/>
        <v>350.52402250753443</v>
      </c>
      <c r="N85" s="694">
        <f t="shared" si="23"/>
        <v>349.80652871319876</v>
      </c>
      <c r="O85" s="694">
        <f t="shared" si="23"/>
        <v>427.72389017756359</v>
      </c>
      <c r="P85" s="694">
        <f t="shared" si="23"/>
        <v>504.63313260739989</v>
      </c>
      <c r="Q85" s="694">
        <f t="shared" si="23"/>
        <v>211.51175454842254</v>
      </c>
      <c r="R85" s="694">
        <f t="shared" si="23"/>
        <v>121.78729632244772</v>
      </c>
      <c r="S85" s="694">
        <f t="shared" ref="S85:AA85" si="24">ROUND(SUM(S82:S84),5)</f>
        <v>1277.8499999999999</v>
      </c>
      <c r="T85" s="694">
        <f t="shared" si="24"/>
        <v>14.98</v>
      </c>
      <c r="U85" s="694">
        <f t="shared" si="24"/>
        <v>410.88</v>
      </c>
      <c r="V85" s="694">
        <f t="shared" si="24"/>
        <v>1032.72</v>
      </c>
      <c r="W85" s="694">
        <f t="shared" si="24"/>
        <v>913.72</v>
      </c>
      <c r="X85" s="694">
        <f t="shared" si="24"/>
        <v>58.09</v>
      </c>
      <c r="Y85" s="694">
        <f t="shared" si="24"/>
        <v>954.43</v>
      </c>
      <c r="Z85" s="694">
        <f t="shared" si="24"/>
        <v>167.31</v>
      </c>
      <c r="AA85" s="694">
        <f t="shared" si="24"/>
        <v>665.17</v>
      </c>
      <c r="AB85" s="694">
        <f>ROUND(SUM(AB82:AB84),5)</f>
        <v>1968.62</v>
      </c>
      <c r="AC85" s="694">
        <f>ROUND(SUM(AC82:AC84),5)</f>
        <v>1224.3399999999999</v>
      </c>
      <c r="AD85" s="694">
        <v>861.11</v>
      </c>
      <c r="AE85" s="694">
        <f t="shared" si="23"/>
        <v>0</v>
      </c>
      <c r="AF85" s="694">
        <f t="shared" si="23"/>
        <v>0</v>
      </c>
      <c r="AG85" s="694">
        <f t="shared" si="23"/>
        <v>0</v>
      </c>
      <c r="AH85" s="694">
        <f t="shared" si="23"/>
        <v>0</v>
      </c>
      <c r="AI85" s="694">
        <f t="shared" si="23"/>
        <v>0</v>
      </c>
      <c r="AJ85" s="694">
        <f t="shared" si="23"/>
        <v>0</v>
      </c>
      <c r="AK85" s="694">
        <f t="shared" si="23"/>
        <v>0</v>
      </c>
      <c r="AL85" s="694">
        <f t="shared" si="23"/>
        <v>0</v>
      </c>
      <c r="AM85" s="694">
        <f t="shared" si="23"/>
        <v>0</v>
      </c>
      <c r="AN85" s="694">
        <f t="shared" si="23"/>
        <v>0</v>
      </c>
      <c r="AO85" s="694">
        <f t="shared" si="23"/>
        <v>0</v>
      </c>
      <c r="AP85" s="694">
        <f t="shared" si="23"/>
        <v>0</v>
      </c>
      <c r="AQ85" s="694">
        <f t="shared" si="23"/>
        <v>0</v>
      </c>
      <c r="AR85" s="694">
        <f t="shared" si="23"/>
        <v>0</v>
      </c>
      <c r="AS85" s="694">
        <f t="shared" si="23"/>
        <v>0</v>
      </c>
      <c r="AT85" s="694">
        <f t="shared" si="23"/>
        <v>0</v>
      </c>
      <c r="AU85" s="694">
        <f t="shared" si="23"/>
        <v>0</v>
      </c>
      <c r="AV85" s="694">
        <f t="shared" si="23"/>
        <v>0</v>
      </c>
      <c r="AW85" s="694">
        <f t="shared" si="23"/>
        <v>0</v>
      </c>
      <c r="AX85" s="694">
        <f t="shared" si="23"/>
        <v>0</v>
      </c>
      <c r="AY85" s="694">
        <f t="shared" si="23"/>
        <v>0</v>
      </c>
      <c r="AZ85" s="694">
        <f t="shared" si="23"/>
        <v>0</v>
      </c>
      <c r="BA85" s="694">
        <f t="shared" si="23"/>
        <v>0</v>
      </c>
      <c r="BB85" s="694">
        <f t="shared" si="23"/>
        <v>0</v>
      </c>
      <c r="BC85" s="694">
        <f t="shared" si="23"/>
        <v>0</v>
      </c>
      <c r="BD85" s="694">
        <f t="shared" si="23"/>
        <v>0</v>
      </c>
      <c r="BE85" s="694">
        <f t="shared" si="23"/>
        <v>0</v>
      </c>
      <c r="BF85" s="694">
        <f t="shared" si="23"/>
        <v>0</v>
      </c>
      <c r="BG85" s="694">
        <f t="shared" si="23"/>
        <v>0</v>
      </c>
      <c r="BH85" s="694">
        <f t="shared" si="23"/>
        <v>0</v>
      </c>
      <c r="BI85" s="694">
        <f t="shared" si="23"/>
        <v>0</v>
      </c>
      <c r="BJ85" s="694">
        <f t="shared" si="23"/>
        <v>0</v>
      </c>
      <c r="BK85" s="694">
        <f t="shared" si="23"/>
        <v>0</v>
      </c>
      <c r="BL85" s="694">
        <f t="shared" si="23"/>
        <v>0</v>
      </c>
      <c r="BM85" s="694">
        <f t="shared" si="23"/>
        <v>0</v>
      </c>
      <c r="BN85" s="694">
        <f t="shared" si="23"/>
        <v>0</v>
      </c>
      <c r="BO85" s="694">
        <f t="shared" si="23"/>
        <v>0</v>
      </c>
      <c r="BP85" s="694">
        <f t="shared" ref="BP85:CA85" si="25">SUM(BP83:BP84)</f>
        <v>0</v>
      </c>
      <c r="BQ85" s="694">
        <f t="shared" si="25"/>
        <v>0</v>
      </c>
      <c r="BR85" s="694">
        <f t="shared" si="25"/>
        <v>0</v>
      </c>
      <c r="BS85" s="694">
        <f t="shared" si="25"/>
        <v>0</v>
      </c>
      <c r="BT85" s="694">
        <f t="shared" si="25"/>
        <v>0</v>
      </c>
      <c r="BU85" s="694">
        <f t="shared" si="25"/>
        <v>0</v>
      </c>
      <c r="BV85" s="694">
        <f t="shared" si="25"/>
        <v>0</v>
      </c>
      <c r="BW85" s="694">
        <f t="shared" si="25"/>
        <v>0</v>
      </c>
      <c r="BX85" s="694">
        <f t="shared" si="25"/>
        <v>0</v>
      </c>
      <c r="BY85" s="694">
        <f t="shared" si="25"/>
        <v>0</v>
      </c>
      <c r="BZ85" s="694">
        <f t="shared" si="25"/>
        <v>0</v>
      </c>
      <c r="CA85" s="694">
        <f t="shared" si="25"/>
        <v>0</v>
      </c>
    </row>
    <row r="86" spans="1:79" hidden="1" outlineLevel="1" x14ac:dyDescent="0.35">
      <c r="F86" s="674" t="s">
        <v>599</v>
      </c>
      <c r="G86" s="681">
        <v>0</v>
      </c>
      <c r="H86" s="681"/>
      <c r="I86" s="681"/>
      <c r="J86" s="702"/>
      <c r="K86" s="702">
        <v>11.749363099211696</v>
      </c>
      <c r="L86" s="702">
        <v>72.905048005310562</v>
      </c>
      <c r="M86" s="702">
        <v>56.391386652265552</v>
      </c>
      <c r="N86" s="702">
        <v>0.77884179847236523</v>
      </c>
      <c r="O86" s="702"/>
      <c r="P86" s="682">
        <v>344.42322762300262</v>
      </c>
      <c r="Q86" s="682">
        <v>39.484877553169717</v>
      </c>
      <c r="R86" s="682">
        <v>237.73124017299818</v>
      </c>
      <c r="S86" s="683">
        <v>201.85</v>
      </c>
      <c r="T86" s="683">
        <v>123.23</v>
      </c>
      <c r="U86" s="683">
        <v>0</v>
      </c>
      <c r="V86" s="683">
        <v>0</v>
      </c>
      <c r="W86" s="683">
        <v>0</v>
      </c>
      <c r="X86" s="683">
        <v>0</v>
      </c>
      <c r="Y86" s="683">
        <v>53.35</v>
      </c>
      <c r="Z86" s="683">
        <v>0</v>
      </c>
      <c r="AA86" s="683">
        <v>2500</v>
      </c>
      <c r="AB86" s="683">
        <v>-2500</v>
      </c>
      <c r="AC86" s="683">
        <v>26.14</v>
      </c>
      <c r="AD86" s="684">
        <v>3090.28</v>
      </c>
      <c r="AE86" s="684"/>
      <c r="AF86" s="684"/>
      <c r="AG86" s="684"/>
      <c r="AH86" s="684"/>
      <c r="AI86" s="684"/>
      <c r="AJ86" s="684"/>
      <c r="AK86" s="684"/>
      <c r="AL86" s="684"/>
      <c r="AM86" s="684"/>
      <c r="AN86" s="684"/>
      <c r="AO86" s="684"/>
      <c r="AP86" s="684"/>
      <c r="AQ86" s="684"/>
      <c r="AR86" s="684"/>
      <c r="AS86" s="684"/>
      <c r="AT86" s="684"/>
      <c r="AU86" s="684"/>
      <c r="AV86" s="684"/>
      <c r="AW86" s="684"/>
      <c r="AX86" s="684"/>
      <c r="AY86" s="684"/>
      <c r="AZ86" s="684"/>
      <c r="BA86" s="684"/>
      <c r="BB86" s="684"/>
      <c r="BC86" s="684"/>
      <c r="BD86" s="684"/>
      <c r="BE86" s="684"/>
      <c r="BF86" s="684"/>
      <c r="BG86" s="684"/>
      <c r="BH86" s="684"/>
      <c r="BI86" s="684"/>
      <c r="BJ86" s="684"/>
      <c r="BK86" s="684"/>
      <c r="BL86" s="684"/>
      <c r="BM86" s="684"/>
      <c r="BN86" s="684"/>
      <c r="BO86" s="684"/>
      <c r="BP86" s="684"/>
      <c r="BQ86" s="684"/>
      <c r="BR86" s="684"/>
      <c r="BS86" s="684"/>
      <c r="BT86" s="684"/>
      <c r="BU86" s="684"/>
      <c r="BV86" s="684"/>
      <c r="BW86" s="684"/>
      <c r="BX86" s="684"/>
      <c r="BY86" s="684"/>
      <c r="BZ86" s="684"/>
      <c r="CA86" s="684"/>
    </row>
    <row r="87" spans="1:79" hidden="1" outlineLevel="1" x14ac:dyDescent="0.35">
      <c r="F87" s="674" t="s">
        <v>600</v>
      </c>
      <c r="G87" s="681">
        <v>5.8319454352606392</v>
      </c>
      <c r="H87" s="681">
        <v>14.71321177647747</v>
      </c>
      <c r="I87" s="681"/>
      <c r="J87" s="702">
        <v>4.6351630877360357</v>
      </c>
      <c r="K87" s="702">
        <v>55.009270552782858</v>
      </c>
      <c r="L87" s="702">
        <v>1.9527848711314806</v>
      </c>
      <c r="M87" s="702"/>
      <c r="N87" s="702">
        <v>3.5384291655727487</v>
      </c>
      <c r="O87" s="702">
        <v>0.7565229853863199</v>
      </c>
      <c r="P87" s="682">
        <v>11.852402335497652</v>
      </c>
      <c r="Q87" s="682">
        <v>53.951975792123626</v>
      </c>
      <c r="R87" s="682">
        <v>35.064469799168634</v>
      </c>
      <c r="S87" s="683">
        <v>11.25</v>
      </c>
      <c r="T87" s="683">
        <v>0</v>
      </c>
      <c r="U87" s="683">
        <v>0</v>
      </c>
      <c r="V87" s="683">
        <v>58.32</v>
      </c>
      <c r="W87" s="683">
        <v>0</v>
      </c>
      <c r="X87" s="683">
        <v>0</v>
      </c>
      <c r="Y87" s="683">
        <v>0</v>
      </c>
      <c r="Z87" s="683">
        <v>0</v>
      </c>
      <c r="AA87" s="683">
        <v>26.82</v>
      </c>
      <c r="AB87" s="683">
        <v>3202.47</v>
      </c>
      <c r="AC87" s="683">
        <v>47.71</v>
      </c>
      <c r="AD87" s="684">
        <v>41.29</v>
      </c>
      <c r="AE87" s="684"/>
      <c r="AF87" s="684"/>
      <c r="AG87" s="684"/>
      <c r="AH87" s="684"/>
      <c r="AI87" s="684"/>
      <c r="AJ87" s="684"/>
      <c r="AK87" s="684"/>
      <c r="AL87" s="684"/>
      <c r="AM87" s="684"/>
      <c r="AN87" s="684"/>
      <c r="AO87" s="684"/>
      <c r="AP87" s="684"/>
      <c r="AQ87" s="684"/>
      <c r="AR87" s="684"/>
      <c r="AS87" s="684"/>
      <c r="AT87" s="684"/>
      <c r="AU87" s="684"/>
      <c r="AV87" s="684"/>
      <c r="AW87" s="684"/>
      <c r="AX87" s="684"/>
      <c r="AY87" s="684"/>
      <c r="AZ87" s="684"/>
      <c r="BA87" s="684"/>
      <c r="BB87" s="684"/>
      <c r="BC87" s="684"/>
      <c r="BD87" s="684"/>
      <c r="BE87" s="684"/>
      <c r="BF87" s="684"/>
      <c r="BG87" s="684"/>
      <c r="BH87" s="684"/>
      <c r="BI87" s="684"/>
      <c r="BJ87" s="684"/>
      <c r="BK87" s="684"/>
      <c r="BL87" s="684"/>
      <c r="BM87" s="684"/>
      <c r="BN87" s="684"/>
      <c r="BO87" s="684"/>
      <c r="BP87" s="684"/>
      <c r="BQ87" s="684"/>
      <c r="BR87" s="684"/>
      <c r="BS87" s="684"/>
      <c r="BT87" s="684"/>
      <c r="BU87" s="684"/>
      <c r="BV87" s="684"/>
      <c r="BW87" s="684"/>
      <c r="BX87" s="684"/>
      <c r="BY87" s="684"/>
      <c r="BZ87" s="684"/>
      <c r="CA87" s="684"/>
    </row>
    <row r="88" spans="1:79" hidden="1" outlineLevel="1" x14ac:dyDescent="0.35">
      <c r="F88" s="674" t="s">
        <v>601</v>
      </c>
      <c r="G88" s="681">
        <v>0</v>
      </c>
      <c r="H88" s="681"/>
      <c r="I88" s="681"/>
      <c r="J88" s="681">
        <v>110.64940714933664</v>
      </c>
      <c r="K88" s="681">
        <v>11.731765451035141</v>
      </c>
      <c r="L88" s="681"/>
      <c r="M88" s="681"/>
      <c r="N88" s="681"/>
      <c r="O88" s="681">
        <v>11.29500266307282</v>
      </c>
      <c r="P88" s="681">
        <v>0.22107271885135174</v>
      </c>
      <c r="Q88" s="681">
        <v>19.224235996656144</v>
      </c>
      <c r="R88" s="681"/>
      <c r="S88" s="683">
        <v>299.72000000000003</v>
      </c>
      <c r="T88" s="683">
        <v>0</v>
      </c>
      <c r="U88" s="683">
        <v>0</v>
      </c>
      <c r="V88" s="683">
        <v>0</v>
      </c>
      <c r="W88" s="683">
        <v>1363.59</v>
      </c>
      <c r="X88" s="683">
        <v>0</v>
      </c>
      <c r="Y88" s="683">
        <v>0</v>
      </c>
      <c r="Z88" s="683">
        <v>0</v>
      </c>
      <c r="AA88" s="683">
        <v>246.16</v>
      </c>
      <c r="AB88" s="683">
        <v>0</v>
      </c>
      <c r="AC88" s="683">
        <v>784.12</v>
      </c>
      <c r="AD88" s="684">
        <v>0</v>
      </c>
      <c r="AE88" s="684"/>
      <c r="AF88" s="684"/>
      <c r="AG88" s="684"/>
      <c r="AH88" s="684"/>
      <c r="AI88" s="684"/>
      <c r="AJ88" s="684"/>
      <c r="AK88" s="684"/>
      <c r="AL88" s="684"/>
      <c r="AM88" s="684"/>
      <c r="AN88" s="684"/>
      <c r="AO88" s="684"/>
      <c r="AP88" s="684"/>
      <c r="AQ88" s="684"/>
      <c r="AR88" s="684"/>
      <c r="AS88" s="684"/>
      <c r="AT88" s="684"/>
      <c r="AU88" s="684"/>
      <c r="AV88" s="684"/>
      <c r="AW88" s="684"/>
      <c r="AX88" s="684"/>
      <c r="AY88" s="684"/>
      <c r="AZ88" s="684"/>
      <c r="BA88" s="684"/>
      <c r="BB88" s="684"/>
      <c r="BC88" s="684"/>
      <c r="BD88" s="684"/>
      <c r="BE88" s="684"/>
      <c r="BF88" s="684"/>
      <c r="BG88" s="684"/>
      <c r="BH88" s="684"/>
      <c r="BI88" s="684"/>
      <c r="BJ88" s="684"/>
      <c r="BK88" s="684"/>
      <c r="BL88" s="684"/>
      <c r="BM88" s="684"/>
      <c r="BN88" s="684"/>
      <c r="BO88" s="684"/>
      <c r="BP88" s="684"/>
      <c r="BQ88" s="684"/>
      <c r="BR88" s="684"/>
      <c r="BS88" s="684"/>
      <c r="BT88" s="684"/>
      <c r="BU88" s="684"/>
      <c r="BV88" s="684"/>
      <c r="BW88" s="684"/>
      <c r="BX88" s="684"/>
      <c r="BY88" s="684"/>
      <c r="BZ88" s="684"/>
      <c r="CA88" s="684"/>
    </row>
    <row r="89" spans="1:79" s="757" customFormat="1" hidden="1" outlineLevel="1" x14ac:dyDescent="0.35">
      <c r="A89" s="716"/>
      <c r="B89" s="716"/>
      <c r="C89" s="716"/>
      <c r="D89" s="716"/>
      <c r="E89" s="716"/>
      <c r="F89" s="717" t="s">
        <v>602</v>
      </c>
      <c r="G89" s="712"/>
      <c r="H89" s="712"/>
      <c r="I89" s="712"/>
      <c r="J89" s="721"/>
      <c r="K89" s="721"/>
      <c r="L89" s="721"/>
      <c r="M89" s="721"/>
      <c r="N89" s="721"/>
      <c r="O89" s="721"/>
      <c r="P89" s="713"/>
      <c r="Q89" s="713"/>
      <c r="R89" s="713"/>
      <c r="S89" s="713"/>
      <c r="T89" s="713"/>
      <c r="U89" s="713"/>
      <c r="V89" s="713"/>
      <c r="W89" s="713"/>
      <c r="X89" s="713"/>
      <c r="Y89" s="713"/>
      <c r="Z89" s="713"/>
      <c r="AA89" s="713"/>
      <c r="AB89" s="713"/>
      <c r="AC89" s="713"/>
      <c r="AD89" s="714"/>
      <c r="AE89" s="714"/>
      <c r="AF89" s="714"/>
      <c r="AG89" s="714"/>
      <c r="AH89" s="714"/>
      <c r="AI89" s="714"/>
      <c r="AJ89" s="714"/>
      <c r="AK89" s="714"/>
      <c r="AL89" s="714"/>
      <c r="AM89" s="714"/>
      <c r="AN89" s="714"/>
      <c r="AO89" s="714"/>
      <c r="AP89" s="714"/>
      <c r="AQ89" s="714"/>
      <c r="AR89" s="714"/>
      <c r="AS89" s="714"/>
      <c r="AT89" s="714"/>
      <c r="AU89" s="714"/>
      <c r="AV89" s="714"/>
      <c r="AW89" s="714"/>
      <c r="AX89" s="714"/>
      <c r="AY89" s="714"/>
      <c r="AZ89" s="714"/>
      <c r="BA89" s="714"/>
      <c r="BB89" s="714"/>
      <c r="BC89" s="714"/>
      <c r="BD89" s="714"/>
      <c r="BE89" s="714"/>
      <c r="BF89" s="714"/>
      <c r="BG89" s="714"/>
      <c r="BH89" s="714"/>
      <c r="BI89" s="714"/>
      <c r="BJ89" s="714"/>
      <c r="BK89" s="714"/>
      <c r="BL89" s="714"/>
      <c r="BM89" s="714"/>
      <c r="BN89" s="714"/>
      <c r="BO89" s="714"/>
      <c r="BP89" s="714"/>
      <c r="BQ89" s="714"/>
      <c r="BR89" s="714"/>
      <c r="BS89" s="714"/>
      <c r="BT89" s="714"/>
      <c r="BU89" s="714"/>
      <c r="BV89" s="714"/>
      <c r="BW89" s="714"/>
      <c r="BX89" s="714"/>
      <c r="BY89" s="714"/>
      <c r="BZ89" s="714"/>
      <c r="CA89" s="714"/>
    </row>
    <row r="90" spans="1:79" s="757" customFormat="1" hidden="1" outlineLevel="1" x14ac:dyDescent="0.35">
      <c r="A90" s="504"/>
      <c r="B90" s="504"/>
      <c r="C90" s="504"/>
      <c r="D90" s="504"/>
      <c r="E90" s="504"/>
      <c r="F90" s="672" t="s">
        <v>653</v>
      </c>
      <c r="G90" s="685"/>
      <c r="H90" s="685"/>
      <c r="I90" s="685"/>
      <c r="J90" s="703"/>
      <c r="K90" s="703"/>
      <c r="L90" s="690"/>
      <c r="M90" s="690"/>
      <c r="N90" s="690"/>
      <c r="O90" s="690"/>
      <c r="P90" s="691"/>
      <c r="Q90" s="691"/>
      <c r="R90" s="691"/>
      <c r="S90" s="692">
        <v>0</v>
      </c>
      <c r="T90" s="692">
        <v>0</v>
      </c>
      <c r="U90" s="692">
        <v>0</v>
      </c>
      <c r="V90" s="692">
        <v>0</v>
      </c>
      <c r="W90" s="692">
        <v>0</v>
      </c>
      <c r="X90" s="692">
        <v>0</v>
      </c>
      <c r="Y90" s="692">
        <v>0</v>
      </c>
      <c r="Z90" s="692">
        <v>0</v>
      </c>
      <c r="AA90" s="692">
        <v>0</v>
      </c>
      <c r="AB90" s="692">
        <v>0</v>
      </c>
      <c r="AC90" s="692">
        <v>0</v>
      </c>
      <c r="AD90" s="693">
        <v>0</v>
      </c>
      <c r="AE90" s="688"/>
      <c r="AF90" s="688"/>
      <c r="AG90" s="688"/>
      <c r="AH90" s="688"/>
      <c r="AI90" s="688"/>
      <c r="AJ90" s="688"/>
      <c r="AK90" s="688"/>
      <c r="AL90" s="688"/>
      <c r="AM90" s="688"/>
      <c r="AN90" s="688"/>
      <c r="AO90" s="688"/>
      <c r="AP90" s="688"/>
      <c r="AQ90" s="688"/>
      <c r="AR90" s="688"/>
      <c r="AS90" s="688"/>
      <c r="AT90" s="688"/>
      <c r="AU90" s="688"/>
      <c r="AV90" s="688"/>
      <c r="AW90" s="688"/>
      <c r="AX90" s="688"/>
      <c r="AY90" s="688"/>
      <c r="AZ90" s="688"/>
      <c r="BA90" s="688"/>
      <c r="BB90" s="688"/>
      <c r="BC90" s="688"/>
      <c r="BD90" s="688"/>
      <c r="BE90" s="688"/>
      <c r="BF90" s="688"/>
      <c r="BG90" s="688"/>
      <c r="BH90" s="688"/>
      <c r="BI90" s="688"/>
      <c r="BJ90" s="688"/>
      <c r="BK90" s="688"/>
      <c r="BL90" s="688"/>
      <c r="BM90" s="688"/>
      <c r="BN90" s="688"/>
      <c r="BO90" s="688"/>
      <c r="BP90" s="688"/>
      <c r="BQ90" s="688"/>
      <c r="BR90" s="688"/>
      <c r="BS90" s="688"/>
      <c r="BT90" s="688"/>
      <c r="BU90" s="688"/>
      <c r="BV90" s="688"/>
      <c r="BW90" s="688"/>
      <c r="BX90" s="688"/>
      <c r="BY90" s="688"/>
      <c r="BZ90" s="688"/>
      <c r="CA90" s="688"/>
    </row>
    <row r="91" spans="1:79" s="309" customFormat="1" hidden="1" outlineLevel="1" x14ac:dyDescent="0.35">
      <c r="A91" s="504"/>
      <c r="B91" s="504"/>
      <c r="C91" s="504"/>
      <c r="D91" s="504"/>
      <c r="E91" s="504"/>
      <c r="F91" s="672" t="s">
        <v>624</v>
      </c>
      <c r="G91" s="697"/>
      <c r="H91" s="697"/>
      <c r="I91" s="697"/>
      <c r="J91" s="698"/>
      <c r="K91" s="698"/>
      <c r="L91" s="702"/>
      <c r="M91" s="702"/>
      <c r="N91" s="702"/>
      <c r="O91" s="702"/>
      <c r="P91" s="682"/>
      <c r="Q91" s="682">
        <v>190.25</v>
      </c>
      <c r="R91" s="682"/>
      <c r="S91" s="683">
        <v>0</v>
      </c>
      <c r="T91" s="683">
        <v>0</v>
      </c>
      <c r="U91" s="683">
        <v>0</v>
      </c>
      <c r="V91" s="683">
        <v>0</v>
      </c>
      <c r="W91" s="683">
        <v>0</v>
      </c>
      <c r="X91" s="683">
        <v>0</v>
      </c>
      <c r="Y91" s="683">
        <v>0</v>
      </c>
      <c r="Z91" s="683">
        <v>0</v>
      </c>
      <c r="AA91" s="683">
        <v>0</v>
      </c>
      <c r="AB91" s="683">
        <v>0</v>
      </c>
      <c r="AC91" s="683">
        <v>0</v>
      </c>
      <c r="AD91" s="684">
        <v>0</v>
      </c>
      <c r="AE91" s="701"/>
      <c r="AF91" s="701"/>
      <c r="AG91" s="701"/>
      <c r="AH91" s="701"/>
      <c r="AI91" s="701"/>
      <c r="AJ91" s="701"/>
      <c r="AK91" s="701"/>
      <c r="AL91" s="701"/>
      <c r="AM91" s="701"/>
      <c r="AN91" s="701"/>
      <c r="AO91" s="701"/>
      <c r="AP91" s="701"/>
      <c r="AQ91" s="701"/>
      <c r="AR91" s="701"/>
      <c r="AS91" s="701"/>
      <c r="AT91" s="701"/>
      <c r="AU91" s="701"/>
      <c r="AV91" s="701"/>
      <c r="AW91" s="701"/>
      <c r="AX91" s="701"/>
      <c r="AY91" s="701"/>
      <c r="AZ91" s="701"/>
      <c r="BA91" s="701"/>
      <c r="BB91" s="701"/>
      <c r="BC91" s="701"/>
      <c r="BD91" s="701"/>
      <c r="BE91" s="701"/>
      <c r="BF91" s="701"/>
      <c r="BG91" s="701"/>
      <c r="BH91" s="701"/>
      <c r="BI91" s="701"/>
      <c r="BJ91" s="701"/>
      <c r="BK91" s="701"/>
      <c r="BL91" s="701"/>
      <c r="BM91" s="701"/>
      <c r="BN91" s="701"/>
      <c r="BO91" s="701"/>
      <c r="BP91" s="701"/>
      <c r="BQ91" s="701"/>
      <c r="BR91" s="701"/>
      <c r="BS91" s="701"/>
      <c r="BT91" s="701"/>
      <c r="BU91" s="701"/>
      <c r="BV91" s="701"/>
      <c r="BW91" s="701"/>
      <c r="BX91" s="701"/>
      <c r="BY91" s="701"/>
      <c r="BZ91" s="701"/>
      <c r="CA91" s="701"/>
    </row>
    <row r="92" spans="1:79" s="309" customFormat="1" hidden="1" outlineLevel="1" x14ac:dyDescent="0.35">
      <c r="A92" s="504"/>
      <c r="B92" s="504"/>
      <c r="C92" s="504"/>
      <c r="D92" s="504"/>
      <c r="E92" s="504"/>
      <c r="F92" s="672" t="s">
        <v>670</v>
      </c>
      <c r="G92" s="697"/>
      <c r="H92" s="697"/>
      <c r="I92" s="697"/>
      <c r="J92" s="698"/>
      <c r="K92" s="698"/>
      <c r="L92" s="702"/>
      <c r="M92" s="702"/>
      <c r="N92" s="702"/>
      <c r="O92" s="702"/>
      <c r="P92" s="682"/>
      <c r="Q92" s="682"/>
      <c r="R92" s="682"/>
      <c r="S92" s="683">
        <v>0</v>
      </c>
      <c r="T92" s="683">
        <v>0</v>
      </c>
      <c r="U92" s="683">
        <v>0</v>
      </c>
      <c r="V92" s="683">
        <v>0</v>
      </c>
      <c r="W92" s="683">
        <v>0</v>
      </c>
      <c r="X92" s="683">
        <v>261</v>
      </c>
      <c r="Y92" s="683">
        <v>1287.5</v>
      </c>
      <c r="Z92" s="683">
        <v>0</v>
      </c>
      <c r="AA92" s="683"/>
      <c r="AB92" s="683">
        <v>0</v>
      </c>
      <c r="AC92" s="683">
        <v>0</v>
      </c>
      <c r="AD92" s="684">
        <v>0</v>
      </c>
      <c r="AE92" s="701"/>
      <c r="AF92" s="701"/>
      <c r="AG92" s="701"/>
      <c r="AH92" s="701"/>
      <c r="AI92" s="701"/>
      <c r="AJ92" s="701"/>
      <c r="AK92" s="701"/>
      <c r="AL92" s="701"/>
      <c r="AM92" s="701"/>
      <c r="AN92" s="701"/>
      <c r="AO92" s="701"/>
      <c r="AP92" s="701"/>
      <c r="AQ92" s="701"/>
      <c r="AR92" s="701"/>
      <c r="AS92" s="701"/>
      <c r="AT92" s="701"/>
      <c r="AU92" s="701"/>
      <c r="AV92" s="701"/>
      <c r="AW92" s="701"/>
      <c r="AX92" s="701"/>
      <c r="AY92" s="701"/>
      <c r="AZ92" s="701"/>
      <c r="BA92" s="701"/>
      <c r="BB92" s="701"/>
      <c r="BC92" s="701"/>
      <c r="BD92" s="701"/>
      <c r="BE92" s="701"/>
      <c r="BF92" s="701"/>
      <c r="BG92" s="701"/>
      <c r="BH92" s="701"/>
      <c r="BI92" s="701"/>
      <c r="BJ92" s="701"/>
      <c r="BK92" s="701"/>
      <c r="BL92" s="701"/>
      <c r="BM92" s="701"/>
      <c r="BN92" s="701"/>
      <c r="BO92" s="701"/>
      <c r="BP92" s="701"/>
      <c r="BQ92" s="701"/>
      <c r="BR92" s="701"/>
      <c r="BS92" s="701"/>
      <c r="BT92" s="701"/>
      <c r="BU92" s="701"/>
      <c r="BV92" s="701"/>
      <c r="BW92" s="701"/>
      <c r="BX92" s="701"/>
      <c r="BY92" s="701"/>
      <c r="BZ92" s="701"/>
      <c r="CA92" s="701"/>
    </row>
    <row r="93" spans="1:79" s="309" customFormat="1" hidden="1" outlineLevel="1" x14ac:dyDescent="0.35">
      <c r="A93" s="504"/>
      <c r="B93" s="504"/>
      <c r="C93" s="504"/>
      <c r="D93" s="504"/>
      <c r="E93" s="504"/>
      <c r="F93" s="672" t="s">
        <v>625</v>
      </c>
      <c r="G93" s="697"/>
      <c r="H93" s="697"/>
      <c r="I93" s="697"/>
      <c r="J93" s="698"/>
      <c r="K93" s="698"/>
      <c r="L93" s="702">
        <v>1032.2556843667653</v>
      </c>
      <c r="M93" s="702">
        <v>1599.8562792885386</v>
      </c>
      <c r="N93" s="702">
        <v>2071.3725789476425</v>
      </c>
      <c r="O93" s="702">
        <v>2686.8895808682819</v>
      </c>
      <c r="P93" s="682">
        <v>739.06062214539486</v>
      </c>
      <c r="Q93" s="682">
        <v>3130.2799918683386</v>
      </c>
      <c r="R93" s="682">
        <v>1262.2450895879695</v>
      </c>
      <c r="S93" s="683">
        <v>1993.87</v>
      </c>
      <c r="T93" s="683">
        <v>2812.18</v>
      </c>
      <c r="U93" s="683">
        <v>3543.14</v>
      </c>
      <c r="V93" s="683">
        <v>769</v>
      </c>
      <c r="W93" s="683">
        <v>2189.54</v>
      </c>
      <c r="X93" s="683">
        <v>0</v>
      </c>
      <c r="Y93" s="683">
        <v>0</v>
      </c>
      <c r="Z93" s="683">
        <v>0</v>
      </c>
      <c r="AA93" s="683">
        <v>0</v>
      </c>
      <c r="AB93" s="683">
        <v>0</v>
      </c>
      <c r="AC93" s="683">
        <v>0</v>
      </c>
      <c r="AD93" s="684">
        <v>0</v>
      </c>
      <c r="AE93" s="701"/>
      <c r="AF93" s="701"/>
      <c r="AG93" s="701"/>
      <c r="AH93" s="701"/>
      <c r="AI93" s="701"/>
      <c r="AJ93" s="701"/>
      <c r="AK93" s="701"/>
      <c r="AL93" s="701"/>
      <c r="AM93" s="701"/>
      <c r="AN93" s="701"/>
      <c r="AO93" s="701"/>
      <c r="AP93" s="701"/>
      <c r="AQ93" s="701"/>
      <c r="AR93" s="701"/>
      <c r="AS93" s="701"/>
      <c r="AT93" s="701"/>
      <c r="AU93" s="701"/>
      <c r="AV93" s="701"/>
      <c r="AW93" s="701"/>
      <c r="AX93" s="701"/>
      <c r="AY93" s="701"/>
      <c r="AZ93" s="701"/>
      <c r="BA93" s="701"/>
      <c r="BB93" s="701"/>
      <c r="BC93" s="701"/>
      <c r="BD93" s="701"/>
      <c r="BE93" s="701"/>
      <c r="BF93" s="701"/>
      <c r="BG93" s="701"/>
      <c r="BH93" s="701"/>
      <c r="BI93" s="701"/>
      <c r="BJ93" s="701"/>
      <c r="BK93" s="701"/>
      <c r="BL93" s="701"/>
      <c r="BM93" s="701"/>
      <c r="BN93" s="701"/>
      <c r="BO93" s="701"/>
      <c r="BP93" s="701"/>
      <c r="BQ93" s="701"/>
      <c r="BR93" s="701"/>
      <c r="BS93" s="701"/>
      <c r="BT93" s="701"/>
      <c r="BU93" s="701"/>
      <c r="BV93" s="701"/>
      <c r="BW93" s="701"/>
      <c r="BX93" s="701"/>
      <c r="BY93" s="701"/>
      <c r="BZ93" s="701"/>
      <c r="CA93" s="701"/>
    </row>
    <row r="94" spans="1:79" s="309" customFormat="1" hidden="1" outlineLevel="1" x14ac:dyDescent="0.35">
      <c r="A94" s="504"/>
      <c r="B94" s="504"/>
      <c r="C94" s="504"/>
      <c r="D94" s="504"/>
      <c r="E94" s="504"/>
      <c r="F94" s="672" t="s">
        <v>654</v>
      </c>
      <c r="G94" s="697"/>
      <c r="H94" s="697"/>
      <c r="I94" s="697"/>
      <c r="J94" s="698"/>
      <c r="K94" s="698"/>
      <c r="L94" s="702"/>
      <c r="M94" s="702"/>
      <c r="N94" s="702"/>
      <c r="O94" s="702"/>
      <c r="P94" s="682"/>
      <c r="Q94" s="682"/>
      <c r="R94" s="682"/>
      <c r="S94" s="683">
        <v>0</v>
      </c>
      <c r="T94" s="683">
        <v>0</v>
      </c>
      <c r="U94" s="683">
        <v>0</v>
      </c>
      <c r="V94" s="683">
        <v>0</v>
      </c>
      <c r="W94" s="683">
        <v>0</v>
      </c>
      <c r="X94" s="683">
        <v>0</v>
      </c>
      <c r="Y94" s="683">
        <v>0</v>
      </c>
      <c r="Z94" s="683">
        <v>0</v>
      </c>
      <c r="AA94" s="683">
        <v>0</v>
      </c>
      <c r="AB94" s="683">
        <v>0</v>
      </c>
      <c r="AC94" s="683">
        <v>0</v>
      </c>
      <c r="AD94" s="684">
        <v>0</v>
      </c>
      <c r="AE94" s="701"/>
      <c r="AF94" s="701"/>
      <c r="AG94" s="701"/>
      <c r="AH94" s="701"/>
      <c r="AI94" s="701"/>
      <c r="AJ94" s="701"/>
      <c r="AK94" s="701"/>
      <c r="AL94" s="701"/>
      <c r="AM94" s="701"/>
      <c r="AN94" s="701"/>
      <c r="AO94" s="701"/>
      <c r="AP94" s="701"/>
      <c r="AQ94" s="701"/>
      <c r="AR94" s="701"/>
      <c r="AS94" s="701"/>
      <c r="AT94" s="701"/>
      <c r="AU94" s="701"/>
      <c r="AV94" s="701"/>
      <c r="AW94" s="701"/>
      <c r="AX94" s="701"/>
      <c r="AY94" s="701"/>
      <c r="AZ94" s="701"/>
      <c r="BA94" s="701"/>
      <c r="BB94" s="701"/>
      <c r="BC94" s="701"/>
      <c r="BD94" s="701"/>
      <c r="BE94" s="701"/>
      <c r="BF94" s="701"/>
      <c r="BG94" s="701"/>
      <c r="BH94" s="701"/>
      <c r="BI94" s="701"/>
      <c r="BJ94" s="701"/>
      <c r="BK94" s="701"/>
      <c r="BL94" s="701"/>
      <c r="BM94" s="701"/>
      <c r="BN94" s="701"/>
      <c r="BO94" s="701"/>
      <c r="BP94" s="701"/>
      <c r="BQ94" s="701"/>
      <c r="BR94" s="701"/>
      <c r="BS94" s="701"/>
      <c r="BT94" s="701"/>
      <c r="BU94" s="701"/>
      <c r="BV94" s="701"/>
      <c r="BW94" s="701"/>
      <c r="BX94" s="701"/>
      <c r="BY94" s="701"/>
      <c r="BZ94" s="701"/>
      <c r="CA94" s="701"/>
    </row>
    <row r="95" spans="1:79" s="309" customFormat="1" hidden="1" outlineLevel="1" x14ac:dyDescent="0.35">
      <c r="A95" s="504"/>
      <c r="B95" s="504"/>
      <c r="C95" s="504"/>
      <c r="D95" s="504"/>
      <c r="E95" s="504"/>
      <c r="F95" s="672" t="s">
        <v>651</v>
      </c>
      <c r="G95" s="681"/>
      <c r="H95" s="681">
        <v>70.968807268990716</v>
      </c>
      <c r="I95" s="681"/>
      <c r="J95" s="702">
        <v>86.189286013134009</v>
      </c>
      <c r="K95" s="702">
        <v>95.320594289660519</v>
      </c>
      <c r="L95" s="702"/>
      <c r="M95" s="702">
        <v>680.95134056872746</v>
      </c>
      <c r="N95" s="702">
        <v>811.05567390656256</v>
      </c>
      <c r="O95" s="702">
        <v>56.144750079601735</v>
      </c>
      <c r="P95" s="682">
        <v>22.187955359168512</v>
      </c>
      <c r="Q95" s="682">
        <v>56.531212355859729</v>
      </c>
      <c r="R95" s="682"/>
      <c r="S95" s="700">
        <v>0</v>
      </c>
      <c r="T95" s="700">
        <v>0</v>
      </c>
      <c r="U95" s="700">
        <v>0</v>
      </c>
      <c r="V95" s="700">
        <v>0</v>
      </c>
      <c r="W95" s="700">
        <v>0</v>
      </c>
      <c r="X95" s="700">
        <v>0</v>
      </c>
      <c r="Y95" s="700">
        <v>0</v>
      </c>
      <c r="Z95" s="700">
        <v>0</v>
      </c>
      <c r="AA95" s="700">
        <v>0</v>
      </c>
      <c r="AB95" s="700">
        <v>0</v>
      </c>
      <c r="AC95" s="700">
        <v>0</v>
      </c>
      <c r="AD95" s="701">
        <v>0</v>
      </c>
      <c r="AE95" s="701"/>
      <c r="AF95" s="701"/>
      <c r="AG95" s="701"/>
      <c r="AH95" s="701"/>
      <c r="AI95" s="701"/>
      <c r="AJ95" s="701"/>
      <c r="AK95" s="701"/>
      <c r="AL95" s="701"/>
      <c r="AM95" s="701"/>
      <c r="AN95" s="701"/>
      <c r="AO95" s="701"/>
      <c r="AP95" s="701"/>
      <c r="AQ95" s="701"/>
      <c r="AR95" s="701"/>
      <c r="AS95" s="701"/>
      <c r="AT95" s="701"/>
      <c r="AU95" s="701"/>
      <c r="AV95" s="701"/>
      <c r="AW95" s="701"/>
      <c r="AX95" s="701"/>
      <c r="AY95" s="701"/>
      <c r="AZ95" s="701"/>
      <c r="BA95" s="701"/>
      <c r="BB95" s="701"/>
      <c r="BC95" s="701"/>
      <c r="BD95" s="701"/>
      <c r="BE95" s="701"/>
      <c r="BF95" s="701"/>
      <c r="BG95" s="701"/>
      <c r="BH95" s="701"/>
      <c r="BI95" s="701"/>
      <c r="BJ95" s="701"/>
      <c r="BK95" s="701"/>
      <c r="BL95" s="701"/>
      <c r="BM95" s="701"/>
      <c r="BN95" s="701"/>
      <c r="BO95" s="701"/>
      <c r="BP95" s="701"/>
      <c r="BQ95" s="701"/>
      <c r="BR95" s="701"/>
      <c r="BS95" s="701"/>
      <c r="BT95" s="701"/>
      <c r="BU95" s="701"/>
      <c r="BV95" s="701"/>
      <c r="BW95" s="701"/>
      <c r="BX95" s="701"/>
      <c r="BY95" s="701"/>
      <c r="BZ95" s="701"/>
      <c r="CA95" s="701"/>
    </row>
    <row r="96" spans="1:79" s="309" customFormat="1" hidden="1" outlineLevel="1" x14ac:dyDescent="0.35">
      <c r="A96" s="504"/>
      <c r="B96" s="504"/>
      <c r="C96" s="504"/>
      <c r="D96" s="504"/>
      <c r="E96" s="504"/>
      <c r="F96" s="672" t="s">
        <v>896</v>
      </c>
      <c r="G96" s="681"/>
      <c r="H96" s="681"/>
      <c r="I96" s="681"/>
      <c r="J96" s="702"/>
      <c r="K96" s="702"/>
      <c r="L96" s="702"/>
      <c r="M96" s="702"/>
      <c r="N96" s="702"/>
      <c r="O96" s="702"/>
      <c r="P96" s="682"/>
      <c r="Q96" s="682"/>
      <c r="R96" s="682"/>
      <c r="S96" s="700">
        <v>0</v>
      </c>
      <c r="T96" s="700">
        <v>0</v>
      </c>
      <c r="U96" s="700">
        <v>0</v>
      </c>
      <c r="V96" s="700">
        <v>0</v>
      </c>
      <c r="W96" s="700">
        <v>0</v>
      </c>
      <c r="X96" s="700">
        <v>0</v>
      </c>
      <c r="Y96" s="700">
        <v>0</v>
      </c>
      <c r="Z96" s="700">
        <v>0</v>
      </c>
      <c r="AA96" s="700">
        <v>0</v>
      </c>
      <c r="AB96" s="700">
        <v>0</v>
      </c>
      <c r="AC96" s="700">
        <v>0</v>
      </c>
      <c r="AD96" s="701">
        <v>0</v>
      </c>
      <c r="AE96" s="701"/>
      <c r="AF96" s="701"/>
      <c r="AG96" s="701"/>
      <c r="AH96" s="701"/>
      <c r="AI96" s="701"/>
      <c r="AJ96" s="701"/>
      <c r="AK96" s="701"/>
      <c r="AL96" s="701"/>
      <c r="AM96" s="701"/>
      <c r="AN96" s="701"/>
      <c r="AO96" s="701"/>
      <c r="AP96" s="701"/>
      <c r="AQ96" s="701"/>
      <c r="AR96" s="701"/>
      <c r="AS96" s="701"/>
      <c r="AT96" s="701"/>
      <c r="AU96" s="701"/>
      <c r="AV96" s="701"/>
      <c r="AW96" s="701"/>
      <c r="AX96" s="701"/>
      <c r="AY96" s="701"/>
      <c r="AZ96" s="701"/>
      <c r="BA96" s="701"/>
      <c r="BB96" s="701"/>
      <c r="BC96" s="701"/>
      <c r="BD96" s="701"/>
      <c r="BE96" s="701"/>
      <c r="BF96" s="701"/>
      <c r="BG96" s="701"/>
      <c r="BH96" s="701"/>
      <c r="BI96" s="701"/>
      <c r="BJ96" s="701"/>
      <c r="BK96" s="701"/>
      <c r="BL96" s="701"/>
      <c r="BM96" s="701"/>
      <c r="BN96" s="701"/>
      <c r="BO96" s="701"/>
      <c r="BP96" s="701"/>
      <c r="BQ96" s="701"/>
      <c r="BR96" s="701"/>
      <c r="BS96" s="701"/>
      <c r="BT96" s="701"/>
      <c r="BU96" s="701"/>
      <c r="BV96" s="701"/>
      <c r="BW96" s="701"/>
      <c r="BX96" s="701"/>
      <c r="BY96" s="701"/>
      <c r="BZ96" s="701"/>
      <c r="CA96" s="701"/>
    </row>
    <row r="97" spans="1:79" s="43" customFormat="1" hidden="1" outlineLevel="1" x14ac:dyDescent="0.35">
      <c r="A97" s="80"/>
      <c r="B97" s="80"/>
      <c r="C97" s="80"/>
      <c r="D97" s="80"/>
      <c r="E97" s="80"/>
      <c r="F97" s="672" t="s">
        <v>689</v>
      </c>
      <c r="G97" s="681">
        <v>899.58</v>
      </c>
      <c r="H97" s="681">
        <v>1316.2</v>
      </c>
      <c r="I97" s="681">
        <v>2505.38</v>
      </c>
      <c r="J97" s="702">
        <v>2816.18</v>
      </c>
      <c r="K97" s="702">
        <v>2686.68</v>
      </c>
      <c r="L97" s="702">
        <v>3360.82</v>
      </c>
      <c r="M97" s="702">
        <v>2935.32</v>
      </c>
      <c r="N97" s="702">
        <v>2842.08</v>
      </c>
      <c r="O97" s="702">
        <v>2039.18</v>
      </c>
      <c r="P97" s="682">
        <v>1507.52</v>
      </c>
      <c r="Q97" s="682">
        <v>3266.16</v>
      </c>
      <c r="R97" s="682"/>
      <c r="S97" s="683">
        <v>0</v>
      </c>
      <c r="T97" s="683">
        <v>0</v>
      </c>
      <c r="U97" s="683">
        <v>0</v>
      </c>
      <c r="V97" s="683">
        <v>466.78</v>
      </c>
      <c r="W97" s="683">
        <v>30.36</v>
      </c>
      <c r="X97" s="683">
        <v>2145.5500000000002</v>
      </c>
      <c r="Y97" s="683">
        <v>1846.05</v>
      </c>
      <c r="Z97" s="683">
        <v>2053.1799999999998</v>
      </c>
      <c r="AA97" s="683">
        <v>1830.49</v>
      </c>
      <c r="AB97" s="683">
        <v>2043.61</v>
      </c>
      <c r="AC97" s="683">
        <v>2068.92</v>
      </c>
      <c r="AD97" s="684">
        <v>1916.87</v>
      </c>
      <c r="AE97" s="684"/>
      <c r="AF97" s="684"/>
      <c r="AG97" s="684"/>
      <c r="AH97" s="684"/>
      <c r="AI97" s="684"/>
      <c r="AJ97" s="684"/>
      <c r="AK97" s="684"/>
      <c r="AL97" s="684"/>
      <c r="AM97" s="684"/>
      <c r="AN97" s="684"/>
      <c r="AO97" s="684"/>
      <c r="AP97" s="684"/>
      <c r="AQ97" s="684"/>
      <c r="AR97" s="684"/>
      <c r="AS97" s="684"/>
      <c r="AT97" s="684"/>
      <c r="AU97" s="684"/>
      <c r="AV97" s="684"/>
      <c r="AW97" s="684"/>
      <c r="AX97" s="684"/>
      <c r="AY97" s="684"/>
      <c r="AZ97" s="684"/>
      <c r="BA97" s="684"/>
      <c r="BB97" s="684"/>
      <c r="BC97" s="684"/>
      <c r="BD97" s="684"/>
      <c r="BE97" s="684"/>
      <c r="BF97" s="684"/>
      <c r="BG97" s="684"/>
      <c r="BH97" s="684"/>
      <c r="BI97" s="684"/>
      <c r="BJ97" s="684"/>
      <c r="BK97" s="684"/>
      <c r="BL97" s="684"/>
      <c r="BM97" s="684"/>
      <c r="BN97" s="684"/>
      <c r="BO97" s="684"/>
      <c r="BP97" s="684"/>
      <c r="BQ97" s="684"/>
      <c r="BR97" s="684"/>
      <c r="BS97" s="684"/>
      <c r="BT97" s="684"/>
      <c r="BU97" s="684"/>
      <c r="BV97" s="684"/>
      <c r="BW97" s="684"/>
      <c r="BX97" s="684"/>
      <c r="BY97" s="684"/>
      <c r="BZ97" s="684"/>
      <c r="CA97" s="684"/>
    </row>
    <row r="98" spans="1:79" s="43" customFormat="1" hidden="1" outlineLevel="1" x14ac:dyDescent="0.35">
      <c r="A98" s="580"/>
      <c r="B98" s="580"/>
      <c r="C98" s="580"/>
      <c r="D98" s="580"/>
      <c r="E98" s="580"/>
      <c r="F98" s="672" t="s">
        <v>897</v>
      </c>
      <c r="G98" s="681"/>
      <c r="H98" s="681"/>
      <c r="I98" s="681"/>
      <c r="J98" s="702"/>
      <c r="K98" s="702"/>
      <c r="L98" s="702"/>
      <c r="M98" s="702"/>
      <c r="N98" s="702"/>
      <c r="O98" s="702"/>
      <c r="P98" s="682"/>
      <c r="Q98" s="682"/>
      <c r="R98" s="682"/>
      <c r="S98" s="683">
        <v>0</v>
      </c>
      <c r="T98" s="683">
        <v>0</v>
      </c>
      <c r="U98" s="683">
        <v>0</v>
      </c>
      <c r="V98" s="683">
        <v>0</v>
      </c>
      <c r="W98" s="683">
        <v>0</v>
      </c>
      <c r="X98" s="683">
        <v>0</v>
      </c>
      <c r="Y98" s="683">
        <v>0</v>
      </c>
      <c r="Z98" s="683">
        <v>0</v>
      </c>
      <c r="AA98" s="683">
        <v>0</v>
      </c>
      <c r="AB98" s="683">
        <v>0</v>
      </c>
      <c r="AC98" s="683">
        <v>0</v>
      </c>
      <c r="AD98" s="684">
        <v>0</v>
      </c>
      <c r="AE98" s="684"/>
      <c r="AF98" s="684"/>
      <c r="AG98" s="684"/>
      <c r="AH98" s="684"/>
      <c r="AI98" s="684"/>
      <c r="AJ98" s="684"/>
      <c r="AK98" s="684"/>
      <c r="AL98" s="684"/>
      <c r="AM98" s="684"/>
      <c r="AN98" s="684"/>
      <c r="AO98" s="684"/>
      <c r="AP98" s="684"/>
      <c r="AQ98" s="684"/>
      <c r="AR98" s="684"/>
      <c r="AS98" s="684"/>
      <c r="AT98" s="684"/>
      <c r="AU98" s="684"/>
      <c r="AV98" s="684"/>
      <c r="AW98" s="684"/>
      <c r="AX98" s="684"/>
      <c r="AY98" s="684"/>
      <c r="AZ98" s="684"/>
      <c r="BA98" s="684"/>
      <c r="BB98" s="684"/>
      <c r="BC98" s="684"/>
      <c r="BD98" s="684"/>
      <c r="BE98" s="684"/>
      <c r="BF98" s="684"/>
      <c r="BG98" s="684"/>
      <c r="BH98" s="684"/>
      <c r="BI98" s="684"/>
      <c r="BJ98" s="684"/>
      <c r="BK98" s="684"/>
      <c r="BL98" s="684"/>
      <c r="BM98" s="684"/>
      <c r="BN98" s="684"/>
      <c r="BO98" s="684"/>
      <c r="BP98" s="684"/>
      <c r="BQ98" s="684"/>
      <c r="BR98" s="684"/>
      <c r="BS98" s="684"/>
      <c r="BT98" s="684"/>
      <c r="BU98" s="684"/>
      <c r="BV98" s="684"/>
      <c r="BW98" s="684"/>
      <c r="BX98" s="684"/>
      <c r="BY98" s="684"/>
      <c r="BZ98" s="684"/>
      <c r="CA98" s="684"/>
    </row>
    <row r="99" spans="1:79" s="309" customFormat="1" hidden="1" outlineLevel="1" x14ac:dyDescent="0.35">
      <c r="A99" s="30"/>
      <c r="B99" s="30"/>
      <c r="C99" s="30"/>
      <c r="D99" s="30"/>
      <c r="E99" s="30"/>
      <c r="F99" s="675" t="s">
        <v>626</v>
      </c>
      <c r="G99" s="696">
        <f>SUM(G90:G98)</f>
        <v>899.58</v>
      </c>
      <c r="H99" s="696">
        <f t="shared" ref="H99:BO99" si="26">SUM(H90:H98)</f>
        <v>1387.1688072689908</v>
      </c>
      <c r="I99" s="696">
        <f t="shared" si="26"/>
        <v>2505.38</v>
      </c>
      <c r="J99" s="696">
        <f t="shared" si="26"/>
        <v>2902.3692860131337</v>
      </c>
      <c r="K99" s="696">
        <f t="shared" si="26"/>
        <v>2782.0005942896605</v>
      </c>
      <c r="L99" s="696">
        <f t="shared" si="26"/>
        <v>4393.0756843667659</v>
      </c>
      <c r="M99" s="696">
        <f t="shared" si="26"/>
        <v>5216.1276198572668</v>
      </c>
      <c r="N99" s="696">
        <f t="shared" si="26"/>
        <v>5724.5082528542052</v>
      </c>
      <c r="O99" s="696">
        <f t="shared" si="26"/>
        <v>4782.2143309478834</v>
      </c>
      <c r="P99" s="696">
        <f t="shared" si="26"/>
        <v>2268.7685775045634</v>
      </c>
      <c r="Q99" s="696">
        <f t="shared" si="26"/>
        <v>6643.2212042241981</v>
      </c>
      <c r="R99" s="696">
        <f t="shared" si="26"/>
        <v>1262.2450895879695</v>
      </c>
      <c r="S99" s="696">
        <f t="shared" ref="S99:AA99" si="27">ROUND(SUM(S89:S98),5)</f>
        <v>1993.87</v>
      </c>
      <c r="T99" s="696">
        <f t="shared" si="27"/>
        <v>2812.18</v>
      </c>
      <c r="U99" s="696">
        <f t="shared" si="27"/>
        <v>3543.14</v>
      </c>
      <c r="V99" s="696">
        <f t="shared" si="27"/>
        <v>1235.78</v>
      </c>
      <c r="W99" s="696">
        <f t="shared" si="27"/>
        <v>2219.9</v>
      </c>
      <c r="X99" s="696">
        <f t="shared" si="27"/>
        <v>2406.5500000000002</v>
      </c>
      <c r="Y99" s="696">
        <f t="shared" si="27"/>
        <v>3133.55</v>
      </c>
      <c r="Z99" s="696">
        <f t="shared" si="27"/>
        <v>2053.1799999999998</v>
      </c>
      <c r="AA99" s="696">
        <f t="shared" si="27"/>
        <v>1830.49</v>
      </c>
      <c r="AB99" s="696">
        <f>ROUND(SUM(AB89:AB98),5)</f>
        <v>2043.61</v>
      </c>
      <c r="AC99" s="696">
        <f>ROUND(SUM(AC89:AC98),5)</f>
        <v>2068.92</v>
      </c>
      <c r="AD99" s="696">
        <v>1916.87</v>
      </c>
      <c r="AE99" s="696">
        <f t="shared" si="26"/>
        <v>0</v>
      </c>
      <c r="AF99" s="696">
        <f t="shared" si="26"/>
        <v>0</v>
      </c>
      <c r="AG99" s="696">
        <f t="shared" si="26"/>
        <v>0</v>
      </c>
      <c r="AH99" s="696">
        <f t="shared" si="26"/>
        <v>0</v>
      </c>
      <c r="AI99" s="696">
        <f t="shared" si="26"/>
        <v>0</v>
      </c>
      <c r="AJ99" s="696">
        <f t="shared" si="26"/>
        <v>0</v>
      </c>
      <c r="AK99" s="696">
        <f t="shared" si="26"/>
        <v>0</v>
      </c>
      <c r="AL99" s="696">
        <f t="shared" si="26"/>
        <v>0</v>
      </c>
      <c r="AM99" s="696">
        <f t="shared" si="26"/>
        <v>0</v>
      </c>
      <c r="AN99" s="696">
        <f t="shared" si="26"/>
        <v>0</v>
      </c>
      <c r="AO99" s="696">
        <f t="shared" si="26"/>
        <v>0</v>
      </c>
      <c r="AP99" s="696">
        <f t="shared" si="26"/>
        <v>0</v>
      </c>
      <c r="AQ99" s="696">
        <f t="shared" si="26"/>
        <v>0</v>
      </c>
      <c r="AR99" s="696">
        <f t="shared" si="26"/>
        <v>0</v>
      </c>
      <c r="AS99" s="696">
        <f t="shared" si="26"/>
        <v>0</v>
      </c>
      <c r="AT99" s="696">
        <f t="shared" si="26"/>
        <v>0</v>
      </c>
      <c r="AU99" s="696">
        <f t="shared" si="26"/>
        <v>0</v>
      </c>
      <c r="AV99" s="696">
        <f t="shared" si="26"/>
        <v>0</v>
      </c>
      <c r="AW99" s="696">
        <f t="shared" si="26"/>
        <v>0</v>
      </c>
      <c r="AX99" s="696">
        <f t="shared" si="26"/>
        <v>0</v>
      </c>
      <c r="AY99" s="696">
        <f t="shared" si="26"/>
        <v>0</v>
      </c>
      <c r="AZ99" s="696">
        <f t="shared" si="26"/>
        <v>0</v>
      </c>
      <c r="BA99" s="696">
        <f t="shared" si="26"/>
        <v>0</v>
      </c>
      <c r="BB99" s="696">
        <f t="shared" si="26"/>
        <v>0</v>
      </c>
      <c r="BC99" s="696">
        <f t="shared" si="26"/>
        <v>0</v>
      </c>
      <c r="BD99" s="696">
        <f t="shared" si="26"/>
        <v>0</v>
      </c>
      <c r="BE99" s="696">
        <f t="shared" si="26"/>
        <v>0</v>
      </c>
      <c r="BF99" s="696">
        <f t="shared" si="26"/>
        <v>0</v>
      </c>
      <c r="BG99" s="696">
        <f t="shared" si="26"/>
        <v>0</v>
      </c>
      <c r="BH99" s="696">
        <f t="shared" si="26"/>
        <v>0</v>
      </c>
      <c r="BI99" s="696">
        <f t="shared" si="26"/>
        <v>0</v>
      </c>
      <c r="BJ99" s="696">
        <f t="shared" si="26"/>
        <v>0</v>
      </c>
      <c r="BK99" s="696">
        <f t="shared" si="26"/>
        <v>0</v>
      </c>
      <c r="BL99" s="696">
        <f t="shared" si="26"/>
        <v>0</v>
      </c>
      <c r="BM99" s="696">
        <f t="shared" si="26"/>
        <v>0</v>
      </c>
      <c r="BN99" s="696">
        <f t="shared" si="26"/>
        <v>0</v>
      </c>
      <c r="BO99" s="696">
        <f t="shared" si="26"/>
        <v>0</v>
      </c>
      <c r="BP99" s="696">
        <f t="shared" ref="BP99:CA99" si="28">SUM(BP90:BP98)</f>
        <v>0</v>
      </c>
      <c r="BQ99" s="696">
        <f t="shared" si="28"/>
        <v>0</v>
      </c>
      <c r="BR99" s="696">
        <f t="shared" si="28"/>
        <v>0</v>
      </c>
      <c r="BS99" s="696">
        <f t="shared" si="28"/>
        <v>0</v>
      </c>
      <c r="BT99" s="696">
        <f t="shared" si="28"/>
        <v>0</v>
      </c>
      <c r="BU99" s="696">
        <f t="shared" si="28"/>
        <v>0</v>
      </c>
      <c r="BV99" s="696">
        <f t="shared" si="28"/>
        <v>0</v>
      </c>
      <c r="BW99" s="696">
        <f t="shared" si="28"/>
        <v>0</v>
      </c>
      <c r="BX99" s="696">
        <f t="shared" si="28"/>
        <v>0</v>
      </c>
      <c r="BY99" s="696">
        <f t="shared" si="28"/>
        <v>0</v>
      </c>
      <c r="BZ99" s="696">
        <f t="shared" si="28"/>
        <v>0</v>
      </c>
      <c r="CA99" s="696">
        <f t="shared" si="28"/>
        <v>0</v>
      </c>
    </row>
    <row r="100" spans="1:79" s="309" customFormat="1" hidden="1" outlineLevel="1" x14ac:dyDescent="0.35">
      <c r="A100" s="726"/>
      <c r="B100" s="726"/>
      <c r="C100" s="726"/>
      <c r="D100" s="726"/>
      <c r="E100" s="726"/>
      <c r="F100" s="707" t="s">
        <v>627</v>
      </c>
      <c r="G100" s="724"/>
      <c r="H100" s="724"/>
      <c r="I100" s="724"/>
      <c r="J100" s="724"/>
      <c r="K100" s="724"/>
      <c r="L100" s="724"/>
      <c r="M100" s="724"/>
      <c r="N100" s="724"/>
      <c r="O100" s="724"/>
      <c r="P100" s="724"/>
      <c r="Q100" s="724"/>
      <c r="R100" s="724"/>
      <c r="S100" s="724"/>
      <c r="T100" s="724"/>
      <c r="U100" s="724"/>
      <c r="V100" s="724"/>
      <c r="W100" s="724"/>
      <c r="X100" s="724"/>
      <c r="Y100" s="724"/>
      <c r="Z100" s="724"/>
      <c r="AA100" s="724"/>
      <c r="AB100" s="724"/>
      <c r="AC100" s="724"/>
      <c r="AD100" s="725"/>
      <c r="AE100" s="725"/>
      <c r="AF100" s="725"/>
      <c r="AG100" s="725"/>
      <c r="AH100" s="725"/>
      <c r="AI100" s="725"/>
      <c r="AJ100" s="725"/>
      <c r="AK100" s="725"/>
      <c r="AL100" s="725"/>
      <c r="AM100" s="725"/>
      <c r="AN100" s="725"/>
      <c r="AO100" s="725"/>
      <c r="AP100" s="725"/>
      <c r="AQ100" s="725"/>
      <c r="AR100" s="725"/>
      <c r="AS100" s="725"/>
      <c r="AT100" s="725"/>
      <c r="AU100" s="725"/>
      <c r="AV100" s="725"/>
      <c r="AW100" s="725"/>
      <c r="AX100" s="725"/>
      <c r="AY100" s="725"/>
      <c r="AZ100" s="725"/>
      <c r="BA100" s="725"/>
      <c r="BB100" s="725"/>
      <c r="BC100" s="725"/>
      <c r="BD100" s="725"/>
      <c r="BE100" s="725"/>
      <c r="BF100" s="725"/>
      <c r="BG100" s="725"/>
      <c r="BH100" s="725"/>
      <c r="BI100" s="725"/>
      <c r="BJ100" s="725"/>
      <c r="BK100" s="725"/>
      <c r="BL100" s="725"/>
      <c r="BM100" s="725"/>
      <c r="BN100" s="725"/>
      <c r="BO100" s="725"/>
      <c r="BP100" s="725"/>
      <c r="BQ100" s="725"/>
      <c r="BR100" s="725"/>
      <c r="BS100" s="725"/>
      <c r="BT100" s="725"/>
      <c r="BU100" s="725"/>
      <c r="BV100" s="725"/>
      <c r="BW100" s="725"/>
      <c r="BX100" s="725"/>
      <c r="BY100" s="725"/>
      <c r="BZ100" s="725"/>
      <c r="CA100" s="725"/>
    </row>
    <row r="101" spans="1:79" s="309" customFormat="1" hidden="1" outlineLevel="1" x14ac:dyDescent="0.35">
      <c r="A101" s="726"/>
      <c r="B101" s="726"/>
      <c r="C101" s="726"/>
      <c r="D101" s="726"/>
      <c r="E101" s="726"/>
      <c r="F101" s="672" t="s">
        <v>923</v>
      </c>
      <c r="G101" s="699"/>
      <c r="H101" s="699"/>
      <c r="I101" s="699"/>
      <c r="J101" s="699"/>
      <c r="K101" s="699"/>
      <c r="L101" s="699"/>
      <c r="M101" s="699"/>
      <c r="N101" s="699"/>
      <c r="O101" s="699"/>
      <c r="P101" s="699"/>
      <c r="Q101" s="699"/>
      <c r="R101" s="699"/>
      <c r="S101" s="700"/>
      <c r="T101" s="700"/>
      <c r="U101" s="700"/>
      <c r="V101" s="700"/>
      <c r="W101" s="700"/>
      <c r="X101" s="700"/>
      <c r="Y101" s="700"/>
      <c r="Z101" s="700"/>
      <c r="AA101" s="700"/>
      <c r="AB101" s="700">
        <v>0</v>
      </c>
      <c r="AC101" s="700">
        <v>0</v>
      </c>
      <c r="AD101" s="700">
        <v>0</v>
      </c>
      <c r="AE101" s="700"/>
      <c r="AF101" s="700"/>
      <c r="AG101" s="700"/>
      <c r="AH101" s="700"/>
      <c r="AI101" s="700"/>
      <c r="AJ101" s="700"/>
      <c r="AK101" s="700"/>
      <c r="AL101" s="700"/>
      <c r="AM101" s="700"/>
      <c r="AN101" s="700"/>
      <c r="AO101" s="700"/>
      <c r="AP101" s="700"/>
      <c r="AQ101" s="700"/>
      <c r="AR101" s="700"/>
      <c r="AS101" s="700"/>
      <c r="AT101" s="700"/>
      <c r="AU101" s="700"/>
      <c r="AV101" s="700"/>
      <c r="AW101" s="700"/>
      <c r="AX101" s="700"/>
      <c r="AY101" s="700"/>
      <c r="AZ101" s="700"/>
      <c r="BA101" s="700"/>
      <c r="BB101" s="700"/>
      <c r="BC101" s="700"/>
      <c r="BD101" s="700"/>
      <c r="BE101" s="700"/>
      <c r="BF101" s="700"/>
      <c r="BG101" s="700"/>
      <c r="BH101" s="700"/>
      <c r="BI101" s="700"/>
      <c r="BJ101" s="700"/>
      <c r="BK101" s="700"/>
      <c r="BL101" s="700"/>
      <c r="BM101" s="700"/>
      <c r="BN101" s="700"/>
      <c r="BO101" s="700"/>
      <c r="BP101" s="700"/>
      <c r="BQ101" s="700"/>
      <c r="BR101" s="700"/>
      <c r="BS101" s="700"/>
      <c r="BT101" s="700"/>
      <c r="BU101" s="700"/>
      <c r="BV101" s="700"/>
      <c r="BW101" s="700"/>
      <c r="BX101" s="700"/>
      <c r="BY101" s="700"/>
      <c r="BZ101" s="700"/>
      <c r="CA101" s="700"/>
    </row>
    <row r="102" spans="1:79" s="309" customFormat="1" hidden="1" outlineLevel="1" x14ac:dyDescent="0.35">
      <c r="A102" s="575"/>
      <c r="B102" s="575"/>
      <c r="C102" s="575"/>
      <c r="D102" s="575"/>
      <c r="E102" s="575"/>
      <c r="F102" s="672" t="s">
        <v>671</v>
      </c>
      <c r="G102" s="699"/>
      <c r="H102" s="699"/>
      <c r="I102" s="699"/>
      <c r="J102" s="699"/>
      <c r="K102" s="699"/>
      <c r="L102" s="699"/>
      <c r="M102" s="699"/>
      <c r="N102" s="699"/>
      <c r="O102" s="699"/>
      <c r="P102" s="699"/>
      <c r="Q102" s="699"/>
      <c r="R102" s="699"/>
      <c r="S102" s="700">
        <v>0</v>
      </c>
      <c r="T102" s="700">
        <v>0</v>
      </c>
      <c r="U102" s="700">
        <v>0</v>
      </c>
      <c r="V102" s="700">
        <v>0</v>
      </c>
      <c r="W102" s="700">
        <v>0</v>
      </c>
      <c r="X102" s="700">
        <v>0</v>
      </c>
      <c r="Y102" s="700">
        <v>0</v>
      </c>
      <c r="Z102" s="700">
        <v>0</v>
      </c>
      <c r="AA102" s="700">
        <v>0</v>
      </c>
      <c r="AB102" s="700">
        <v>0</v>
      </c>
      <c r="AC102" s="700">
        <v>0</v>
      </c>
      <c r="AD102" s="701">
        <v>0</v>
      </c>
      <c r="AE102" s="701"/>
      <c r="AF102" s="701"/>
      <c r="AG102" s="701"/>
      <c r="AH102" s="701"/>
      <c r="AI102" s="701"/>
      <c r="AJ102" s="701"/>
      <c r="AK102" s="701"/>
      <c r="AL102" s="701"/>
      <c r="AM102" s="701"/>
      <c r="AN102" s="701"/>
      <c r="AO102" s="701"/>
      <c r="AP102" s="701"/>
      <c r="AQ102" s="701"/>
      <c r="AR102" s="701"/>
      <c r="AS102" s="701"/>
      <c r="AT102" s="701"/>
      <c r="AU102" s="701"/>
      <c r="AV102" s="701"/>
      <c r="AW102" s="701"/>
      <c r="AX102" s="701"/>
      <c r="AY102" s="701"/>
      <c r="AZ102" s="701"/>
      <c r="BA102" s="701"/>
      <c r="BB102" s="701"/>
      <c r="BC102" s="701"/>
      <c r="BD102" s="701"/>
      <c r="BE102" s="701"/>
      <c r="BF102" s="701"/>
      <c r="BG102" s="701"/>
      <c r="BH102" s="701"/>
      <c r="BI102" s="701"/>
      <c r="BJ102" s="701"/>
      <c r="BK102" s="701"/>
      <c r="BL102" s="701"/>
      <c r="BM102" s="701"/>
      <c r="BN102" s="701"/>
      <c r="BO102" s="701"/>
      <c r="BP102" s="701"/>
      <c r="BQ102" s="701"/>
      <c r="BR102" s="701"/>
      <c r="BS102" s="701"/>
      <c r="BT102" s="701"/>
      <c r="BU102" s="701"/>
      <c r="BV102" s="701"/>
      <c r="BW102" s="701"/>
      <c r="BX102" s="701"/>
      <c r="BY102" s="701"/>
      <c r="BZ102" s="701"/>
      <c r="CA102" s="701"/>
    </row>
    <row r="103" spans="1:79" s="309" customFormat="1" hidden="1" outlineLevel="1" x14ac:dyDescent="0.35">
      <c r="A103" s="575"/>
      <c r="B103" s="575"/>
      <c r="C103" s="575"/>
      <c r="D103" s="575"/>
      <c r="E103" s="575"/>
      <c r="F103" s="672" t="s">
        <v>767</v>
      </c>
      <c r="G103" s="699"/>
      <c r="H103" s="699"/>
      <c r="I103" s="699"/>
      <c r="J103" s="699"/>
      <c r="K103" s="699"/>
      <c r="L103" s="699"/>
      <c r="M103" s="699"/>
      <c r="N103" s="699"/>
      <c r="O103" s="699"/>
      <c r="P103" s="699"/>
      <c r="Q103" s="699"/>
      <c r="R103" s="699"/>
      <c r="S103" s="700">
        <v>0</v>
      </c>
      <c r="T103" s="700">
        <v>0</v>
      </c>
      <c r="U103" s="700">
        <v>0</v>
      </c>
      <c r="V103" s="700">
        <v>0</v>
      </c>
      <c r="W103" s="700">
        <v>0</v>
      </c>
      <c r="X103" s="700">
        <v>0</v>
      </c>
      <c r="Y103" s="700">
        <v>0</v>
      </c>
      <c r="Z103" s="700">
        <v>0</v>
      </c>
      <c r="AA103" s="700">
        <v>0</v>
      </c>
      <c r="AB103" s="700">
        <v>0</v>
      </c>
      <c r="AC103" s="700">
        <v>0</v>
      </c>
      <c r="AD103" s="701">
        <v>0</v>
      </c>
      <c r="AE103" s="701"/>
      <c r="AF103" s="701"/>
      <c r="AG103" s="701"/>
      <c r="AH103" s="701"/>
      <c r="AI103" s="701"/>
      <c r="AJ103" s="701"/>
      <c r="AK103" s="701"/>
      <c r="AL103" s="701"/>
      <c r="AM103" s="701"/>
      <c r="AN103" s="701"/>
      <c r="AO103" s="701"/>
      <c r="AP103" s="701"/>
      <c r="AQ103" s="701"/>
      <c r="AR103" s="701"/>
      <c r="AS103" s="701"/>
      <c r="AT103" s="701"/>
      <c r="AU103" s="701"/>
      <c r="AV103" s="701"/>
      <c r="AW103" s="701"/>
      <c r="AX103" s="701"/>
      <c r="AY103" s="701"/>
      <c r="AZ103" s="701"/>
      <c r="BA103" s="701"/>
      <c r="BB103" s="701"/>
      <c r="BC103" s="701"/>
      <c r="BD103" s="701"/>
      <c r="BE103" s="701"/>
      <c r="BF103" s="701"/>
      <c r="BG103" s="701"/>
      <c r="BH103" s="701"/>
      <c r="BI103" s="701"/>
      <c r="BJ103" s="701"/>
      <c r="BK103" s="701"/>
      <c r="BL103" s="701"/>
      <c r="BM103" s="701"/>
      <c r="BN103" s="701"/>
      <c r="BO103" s="701"/>
      <c r="BP103" s="701"/>
      <c r="BQ103" s="701"/>
      <c r="BR103" s="701"/>
      <c r="BS103" s="701"/>
      <c r="BT103" s="701"/>
      <c r="BU103" s="701"/>
      <c r="BV103" s="701"/>
      <c r="BW103" s="701"/>
      <c r="BX103" s="701"/>
      <c r="BY103" s="701"/>
      <c r="BZ103" s="701"/>
      <c r="CA103" s="701"/>
    </row>
    <row r="104" spans="1:79" s="309" customFormat="1" hidden="1" outlineLevel="1" x14ac:dyDescent="0.35">
      <c r="A104" s="30"/>
      <c r="B104" s="30"/>
      <c r="C104" s="30"/>
      <c r="D104" s="30"/>
      <c r="E104" s="30"/>
      <c r="F104" s="672" t="s">
        <v>628</v>
      </c>
      <c r="G104" s="682">
        <v>75</v>
      </c>
      <c r="H104" s="682"/>
      <c r="I104" s="682">
        <v>75</v>
      </c>
      <c r="J104" s="682"/>
      <c r="K104" s="682"/>
      <c r="L104" s="682"/>
      <c r="M104" s="682">
        <v>16</v>
      </c>
      <c r="N104" s="682">
        <v>9</v>
      </c>
      <c r="O104" s="682">
        <v>9</v>
      </c>
      <c r="P104" s="682"/>
      <c r="Q104" s="682"/>
      <c r="R104" s="682"/>
      <c r="S104" s="700">
        <v>0</v>
      </c>
      <c r="T104" s="700">
        <v>0</v>
      </c>
      <c r="U104" s="700">
        <v>0</v>
      </c>
      <c r="V104" s="700">
        <v>0</v>
      </c>
      <c r="W104" s="700">
        <v>0</v>
      </c>
      <c r="X104" s="700">
        <v>0</v>
      </c>
      <c r="Y104" s="700">
        <v>0</v>
      </c>
      <c r="Z104" s="700">
        <v>8</v>
      </c>
      <c r="AA104" s="700">
        <v>0</v>
      </c>
      <c r="AB104" s="700">
        <v>0</v>
      </c>
      <c r="AC104" s="700">
        <v>0</v>
      </c>
      <c r="AD104" s="701">
        <v>56</v>
      </c>
      <c r="AE104" s="701"/>
      <c r="AF104" s="701"/>
      <c r="AG104" s="701"/>
      <c r="AH104" s="701"/>
      <c r="AI104" s="701"/>
      <c r="AJ104" s="701"/>
      <c r="AK104" s="701"/>
      <c r="AL104" s="701"/>
      <c r="AM104" s="701"/>
      <c r="AN104" s="701"/>
      <c r="AO104" s="701"/>
      <c r="AP104" s="701"/>
      <c r="AQ104" s="701"/>
      <c r="AR104" s="701"/>
      <c r="AS104" s="701"/>
      <c r="AT104" s="701"/>
      <c r="AU104" s="701"/>
      <c r="AV104" s="701"/>
      <c r="AW104" s="701"/>
      <c r="AX104" s="701"/>
      <c r="AY104" s="701"/>
      <c r="AZ104" s="701"/>
      <c r="BA104" s="701"/>
      <c r="BB104" s="701"/>
      <c r="BC104" s="701"/>
      <c r="BD104" s="701"/>
      <c r="BE104" s="701"/>
      <c r="BF104" s="701"/>
      <c r="BG104" s="701"/>
      <c r="BH104" s="701"/>
      <c r="BI104" s="701"/>
      <c r="BJ104" s="701"/>
      <c r="BK104" s="701"/>
      <c r="BL104" s="701"/>
      <c r="BM104" s="701"/>
      <c r="BN104" s="701"/>
      <c r="BO104" s="701"/>
      <c r="BP104" s="701"/>
      <c r="BQ104" s="701"/>
      <c r="BR104" s="701"/>
      <c r="BS104" s="701"/>
      <c r="BT104" s="701"/>
      <c r="BU104" s="701"/>
      <c r="BV104" s="701"/>
      <c r="BW104" s="701"/>
      <c r="BX104" s="701"/>
      <c r="BY104" s="701"/>
      <c r="BZ104" s="701"/>
      <c r="CA104" s="701"/>
    </row>
    <row r="105" spans="1:79" s="309" customFormat="1" hidden="1" outlineLevel="1" x14ac:dyDescent="0.35">
      <c r="A105" s="575"/>
      <c r="B105" s="575"/>
      <c r="C105" s="575"/>
      <c r="D105" s="575"/>
      <c r="E105" s="575"/>
      <c r="F105" s="672" t="s">
        <v>655</v>
      </c>
      <c r="G105" s="682"/>
      <c r="H105" s="682"/>
      <c r="I105" s="682"/>
      <c r="J105" s="682"/>
      <c r="K105" s="682"/>
      <c r="L105" s="682"/>
      <c r="M105" s="682"/>
      <c r="N105" s="682"/>
      <c r="O105" s="682"/>
      <c r="P105" s="682"/>
      <c r="Q105" s="682"/>
      <c r="R105" s="682"/>
      <c r="S105" s="700">
        <v>0</v>
      </c>
      <c r="T105" s="700">
        <v>0</v>
      </c>
      <c r="U105" s="700">
        <v>0</v>
      </c>
      <c r="V105" s="700">
        <v>0</v>
      </c>
      <c r="W105" s="700">
        <v>0</v>
      </c>
      <c r="X105" s="700">
        <v>0</v>
      </c>
      <c r="Y105" s="700">
        <v>0</v>
      </c>
      <c r="Z105" s="700">
        <v>0</v>
      </c>
      <c r="AA105" s="700">
        <v>0</v>
      </c>
      <c r="AB105" s="700">
        <v>0</v>
      </c>
      <c r="AC105" s="700">
        <v>0</v>
      </c>
      <c r="AD105" s="701">
        <v>0</v>
      </c>
      <c r="AE105" s="701"/>
      <c r="AF105" s="701"/>
      <c r="AG105" s="701"/>
      <c r="AH105" s="701"/>
      <c r="AI105" s="701"/>
      <c r="AJ105" s="701"/>
      <c r="AK105" s="701"/>
      <c r="AL105" s="701"/>
      <c r="AM105" s="701"/>
      <c r="AN105" s="701"/>
      <c r="AO105" s="701"/>
      <c r="AP105" s="701"/>
      <c r="AQ105" s="701"/>
      <c r="AR105" s="701"/>
      <c r="AS105" s="701"/>
      <c r="AT105" s="701"/>
      <c r="AU105" s="701"/>
      <c r="AV105" s="701"/>
      <c r="AW105" s="701"/>
      <c r="AX105" s="701"/>
      <c r="AY105" s="701"/>
      <c r="AZ105" s="701"/>
      <c r="BA105" s="701"/>
      <c r="BB105" s="701"/>
      <c r="BC105" s="701"/>
      <c r="BD105" s="701"/>
      <c r="BE105" s="701"/>
      <c r="BF105" s="701"/>
      <c r="BG105" s="701"/>
      <c r="BH105" s="701"/>
      <c r="BI105" s="701"/>
      <c r="BJ105" s="701"/>
      <c r="BK105" s="701"/>
      <c r="BL105" s="701"/>
      <c r="BM105" s="701"/>
      <c r="BN105" s="701"/>
      <c r="BO105" s="701"/>
      <c r="BP105" s="701"/>
      <c r="BQ105" s="701"/>
      <c r="BR105" s="701"/>
      <c r="BS105" s="701"/>
      <c r="BT105" s="701"/>
      <c r="BU105" s="701"/>
      <c r="BV105" s="701"/>
      <c r="BW105" s="701"/>
      <c r="BX105" s="701"/>
      <c r="BY105" s="701"/>
      <c r="BZ105" s="701"/>
      <c r="CA105" s="701"/>
    </row>
    <row r="106" spans="1:79" s="309" customFormat="1" hidden="1" outlineLevel="1" x14ac:dyDescent="0.35">
      <c r="A106" s="575"/>
      <c r="B106" s="575"/>
      <c r="C106" s="575"/>
      <c r="D106" s="575"/>
      <c r="E106" s="575"/>
      <c r="F106" s="672" t="s">
        <v>672</v>
      </c>
      <c r="G106" s="682"/>
      <c r="H106" s="682"/>
      <c r="I106" s="682"/>
      <c r="J106" s="682"/>
      <c r="K106" s="682"/>
      <c r="L106" s="682"/>
      <c r="M106" s="682"/>
      <c r="N106" s="682"/>
      <c r="O106" s="682"/>
      <c r="P106" s="682"/>
      <c r="Q106" s="682"/>
      <c r="R106" s="682"/>
      <c r="S106" s="700">
        <v>0</v>
      </c>
      <c r="T106" s="700">
        <v>0</v>
      </c>
      <c r="U106" s="700">
        <v>0</v>
      </c>
      <c r="V106" s="700">
        <v>0</v>
      </c>
      <c r="W106" s="700">
        <v>0</v>
      </c>
      <c r="X106" s="700">
        <v>0</v>
      </c>
      <c r="Y106" s="700">
        <v>0</v>
      </c>
      <c r="Z106" s="700">
        <v>0</v>
      </c>
      <c r="AA106" s="700">
        <v>0</v>
      </c>
      <c r="AB106" s="700">
        <v>0</v>
      </c>
      <c r="AC106" s="700">
        <v>0</v>
      </c>
      <c r="AD106" s="701">
        <v>0</v>
      </c>
      <c r="AE106" s="701"/>
      <c r="AF106" s="701"/>
      <c r="AG106" s="701"/>
      <c r="AH106" s="701"/>
      <c r="AI106" s="701"/>
      <c r="AJ106" s="701"/>
      <c r="AK106" s="701"/>
      <c r="AL106" s="701"/>
      <c r="AM106" s="701"/>
      <c r="AN106" s="701"/>
      <c r="AO106" s="701"/>
      <c r="AP106" s="701"/>
      <c r="AQ106" s="701"/>
      <c r="AR106" s="701"/>
      <c r="AS106" s="701"/>
      <c r="AT106" s="701"/>
      <c r="AU106" s="701"/>
      <c r="AV106" s="701"/>
      <c r="AW106" s="701"/>
      <c r="AX106" s="701"/>
      <c r="AY106" s="701"/>
      <c r="AZ106" s="701"/>
      <c r="BA106" s="701"/>
      <c r="BB106" s="701"/>
      <c r="BC106" s="701"/>
      <c r="BD106" s="701"/>
      <c r="BE106" s="701"/>
      <c r="BF106" s="701"/>
      <c r="BG106" s="701"/>
      <c r="BH106" s="701"/>
      <c r="BI106" s="701"/>
      <c r="BJ106" s="701"/>
      <c r="BK106" s="701"/>
      <c r="BL106" s="701"/>
      <c r="BM106" s="701"/>
      <c r="BN106" s="701"/>
      <c r="BO106" s="701"/>
      <c r="BP106" s="701"/>
      <c r="BQ106" s="701"/>
      <c r="BR106" s="701"/>
      <c r="BS106" s="701"/>
      <c r="BT106" s="701"/>
      <c r="BU106" s="701"/>
      <c r="BV106" s="701"/>
      <c r="BW106" s="701"/>
      <c r="BX106" s="701"/>
      <c r="BY106" s="701"/>
      <c r="BZ106" s="701"/>
      <c r="CA106" s="701"/>
    </row>
    <row r="107" spans="1:79" s="309" customFormat="1" hidden="1" outlineLevel="1" x14ac:dyDescent="0.35">
      <c r="A107" s="575"/>
      <c r="B107" s="575"/>
      <c r="C107" s="575"/>
      <c r="D107" s="575"/>
      <c r="E107" s="575"/>
      <c r="F107" s="673" t="s">
        <v>629</v>
      </c>
      <c r="G107" s="696">
        <f>SUM(G102:G106)</f>
        <v>75</v>
      </c>
      <c r="H107" s="696">
        <f t="shared" ref="H107:BO107" si="29">SUM(H102:H106)</f>
        <v>0</v>
      </c>
      <c r="I107" s="696">
        <f t="shared" si="29"/>
        <v>75</v>
      </c>
      <c r="J107" s="696">
        <f t="shared" si="29"/>
        <v>0</v>
      </c>
      <c r="K107" s="696">
        <f t="shared" si="29"/>
        <v>0</v>
      </c>
      <c r="L107" s="696">
        <f t="shared" si="29"/>
        <v>0</v>
      </c>
      <c r="M107" s="696">
        <f t="shared" si="29"/>
        <v>16</v>
      </c>
      <c r="N107" s="696">
        <f t="shared" si="29"/>
        <v>9</v>
      </c>
      <c r="O107" s="696">
        <f t="shared" si="29"/>
        <v>9</v>
      </c>
      <c r="P107" s="696">
        <f t="shared" si="29"/>
        <v>0</v>
      </c>
      <c r="Q107" s="696">
        <f t="shared" si="29"/>
        <v>0</v>
      </c>
      <c r="R107" s="696">
        <f t="shared" si="29"/>
        <v>0</v>
      </c>
      <c r="S107" s="696">
        <f t="shared" ref="S107:AA107" si="30">ROUND(SUM(S100:S106),5)</f>
        <v>0</v>
      </c>
      <c r="T107" s="696">
        <f t="shared" si="30"/>
        <v>0</v>
      </c>
      <c r="U107" s="696">
        <f t="shared" si="30"/>
        <v>0</v>
      </c>
      <c r="V107" s="696">
        <f t="shared" si="30"/>
        <v>0</v>
      </c>
      <c r="W107" s="696">
        <f t="shared" si="30"/>
        <v>0</v>
      </c>
      <c r="X107" s="696">
        <f t="shared" si="30"/>
        <v>0</v>
      </c>
      <c r="Y107" s="696">
        <f t="shared" si="30"/>
        <v>0</v>
      </c>
      <c r="Z107" s="696">
        <f t="shared" si="30"/>
        <v>8</v>
      </c>
      <c r="AA107" s="696">
        <f t="shared" si="30"/>
        <v>0</v>
      </c>
      <c r="AB107" s="696">
        <f>ROUND(SUM(AB100:AB106),5)</f>
        <v>0</v>
      </c>
      <c r="AC107" s="696">
        <f>ROUND(SUM(AC100:AC106),5)</f>
        <v>0</v>
      </c>
      <c r="AD107" s="696">
        <v>56</v>
      </c>
      <c r="AE107" s="696">
        <f t="shared" si="29"/>
        <v>0</v>
      </c>
      <c r="AF107" s="696">
        <f t="shared" si="29"/>
        <v>0</v>
      </c>
      <c r="AG107" s="696">
        <f t="shared" si="29"/>
        <v>0</v>
      </c>
      <c r="AH107" s="696">
        <f t="shared" si="29"/>
        <v>0</v>
      </c>
      <c r="AI107" s="696">
        <f t="shared" si="29"/>
        <v>0</v>
      </c>
      <c r="AJ107" s="696">
        <f t="shared" si="29"/>
        <v>0</v>
      </c>
      <c r="AK107" s="696">
        <f t="shared" si="29"/>
        <v>0</v>
      </c>
      <c r="AL107" s="696">
        <f t="shared" si="29"/>
        <v>0</v>
      </c>
      <c r="AM107" s="696">
        <f t="shared" si="29"/>
        <v>0</v>
      </c>
      <c r="AN107" s="696">
        <f t="shared" si="29"/>
        <v>0</v>
      </c>
      <c r="AO107" s="696">
        <f t="shared" si="29"/>
        <v>0</v>
      </c>
      <c r="AP107" s="696">
        <f t="shared" si="29"/>
        <v>0</v>
      </c>
      <c r="AQ107" s="696">
        <f t="shared" si="29"/>
        <v>0</v>
      </c>
      <c r="AR107" s="696">
        <f t="shared" si="29"/>
        <v>0</v>
      </c>
      <c r="AS107" s="696">
        <f t="shared" si="29"/>
        <v>0</v>
      </c>
      <c r="AT107" s="696">
        <f t="shared" si="29"/>
        <v>0</v>
      </c>
      <c r="AU107" s="696">
        <f t="shared" si="29"/>
        <v>0</v>
      </c>
      <c r="AV107" s="696">
        <f t="shared" si="29"/>
        <v>0</v>
      </c>
      <c r="AW107" s="696">
        <f t="shared" si="29"/>
        <v>0</v>
      </c>
      <c r="AX107" s="696">
        <f t="shared" si="29"/>
        <v>0</v>
      </c>
      <c r="AY107" s="696">
        <f t="shared" si="29"/>
        <v>0</v>
      </c>
      <c r="AZ107" s="696">
        <f t="shared" si="29"/>
        <v>0</v>
      </c>
      <c r="BA107" s="696">
        <f t="shared" si="29"/>
        <v>0</v>
      </c>
      <c r="BB107" s="696">
        <f t="shared" si="29"/>
        <v>0</v>
      </c>
      <c r="BC107" s="696">
        <f t="shared" si="29"/>
        <v>0</v>
      </c>
      <c r="BD107" s="696">
        <f t="shared" si="29"/>
        <v>0</v>
      </c>
      <c r="BE107" s="696">
        <f t="shared" si="29"/>
        <v>0</v>
      </c>
      <c r="BF107" s="696">
        <f t="shared" si="29"/>
        <v>0</v>
      </c>
      <c r="BG107" s="696">
        <f t="shared" si="29"/>
        <v>0</v>
      </c>
      <c r="BH107" s="696">
        <f t="shared" si="29"/>
        <v>0</v>
      </c>
      <c r="BI107" s="696">
        <f t="shared" si="29"/>
        <v>0</v>
      </c>
      <c r="BJ107" s="696">
        <f t="shared" si="29"/>
        <v>0</v>
      </c>
      <c r="BK107" s="696">
        <f t="shared" si="29"/>
        <v>0</v>
      </c>
      <c r="BL107" s="696">
        <f t="shared" si="29"/>
        <v>0</v>
      </c>
      <c r="BM107" s="696">
        <f t="shared" si="29"/>
        <v>0</v>
      </c>
      <c r="BN107" s="696">
        <f t="shared" si="29"/>
        <v>0</v>
      </c>
      <c r="BO107" s="696">
        <f t="shared" si="29"/>
        <v>0</v>
      </c>
      <c r="BP107" s="696">
        <f t="shared" ref="BP107:CA107" si="31">SUM(BP102:BP106)</f>
        <v>0</v>
      </c>
      <c r="BQ107" s="696">
        <f t="shared" si="31"/>
        <v>0</v>
      </c>
      <c r="BR107" s="696">
        <f t="shared" si="31"/>
        <v>0</v>
      </c>
      <c r="BS107" s="696">
        <f t="shared" si="31"/>
        <v>0</v>
      </c>
      <c r="BT107" s="696">
        <f t="shared" si="31"/>
        <v>0</v>
      </c>
      <c r="BU107" s="696">
        <f t="shared" si="31"/>
        <v>0</v>
      </c>
      <c r="BV107" s="696">
        <f t="shared" si="31"/>
        <v>0</v>
      </c>
      <c r="BW107" s="696">
        <f t="shared" si="31"/>
        <v>0</v>
      </c>
      <c r="BX107" s="696">
        <f t="shared" si="31"/>
        <v>0</v>
      </c>
      <c r="BY107" s="696">
        <f t="shared" si="31"/>
        <v>0</v>
      </c>
      <c r="BZ107" s="696">
        <f t="shared" si="31"/>
        <v>0</v>
      </c>
      <c r="CA107" s="696">
        <f t="shared" si="31"/>
        <v>0</v>
      </c>
    </row>
    <row r="108" spans="1:79" s="309" customFormat="1" hidden="1" outlineLevel="1" x14ac:dyDescent="0.35">
      <c r="A108" s="726"/>
      <c r="B108" s="726"/>
      <c r="C108" s="726"/>
      <c r="D108" s="726"/>
      <c r="E108" s="726"/>
      <c r="F108" s="707" t="s">
        <v>673</v>
      </c>
      <c r="G108" s="720"/>
      <c r="H108" s="720"/>
      <c r="I108" s="720"/>
      <c r="J108" s="720"/>
      <c r="K108" s="720"/>
      <c r="L108" s="720"/>
      <c r="M108" s="720"/>
      <c r="N108" s="720"/>
      <c r="O108" s="720"/>
      <c r="P108" s="720"/>
      <c r="Q108" s="720"/>
      <c r="R108" s="720"/>
      <c r="S108" s="724"/>
      <c r="T108" s="724"/>
      <c r="U108" s="724"/>
      <c r="V108" s="724"/>
      <c r="W108" s="724"/>
      <c r="X108" s="724"/>
      <c r="Y108" s="724"/>
      <c r="Z108" s="724"/>
      <c r="AA108" s="724"/>
      <c r="AB108" s="724"/>
      <c r="AC108" s="724"/>
      <c r="AD108" s="725"/>
      <c r="AE108" s="725"/>
      <c r="AF108" s="725"/>
      <c r="AG108" s="725"/>
      <c r="AH108" s="725"/>
      <c r="AI108" s="725"/>
      <c r="AJ108" s="725"/>
      <c r="AK108" s="725"/>
      <c r="AL108" s="725"/>
      <c r="AM108" s="725"/>
      <c r="AN108" s="725"/>
      <c r="AO108" s="725"/>
      <c r="AP108" s="725"/>
      <c r="AQ108" s="725"/>
      <c r="AR108" s="725"/>
      <c r="AS108" s="725"/>
      <c r="AT108" s="725"/>
      <c r="AU108" s="725"/>
      <c r="AV108" s="725"/>
      <c r="AW108" s="725"/>
      <c r="AX108" s="725"/>
      <c r="AY108" s="725"/>
      <c r="AZ108" s="725"/>
      <c r="BA108" s="725"/>
      <c r="BB108" s="725"/>
      <c r="BC108" s="725"/>
      <c r="BD108" s="725"/>
      <c r="BE108" s="725"/>
      <c r="BF108" s="725"/>
      <c r="BG108" s="725"/>
      <c r="BH108" s="725"/>
      <c r="BI108" s="725"/>
      <c r="BJ108" s="725"/>
      <c r="BK108" s="725"/>
      <c r="BL108" s="725"/>
      <c r="BM108" s="725"/>
      <c r="BN108" s="725"/>
      <c r="BO108" s="725"/>
      <c r="BP108" s="725"/>
      <c r="BQ108" s="725"/>
      <c r="BR108" s="725"/>
      <c r="BS108" s="725"/>
      <c r="BT108" s="725"/>
      <c r="BU108" s="725"/>
      <c r="BV108" s="725"/>
      <c r="BW108" s="725"/>
      <c r="BX108" s="725"/>
      <c r="BY108" s="725"/>
      <c r="BZ108" s="725"/>
      <c r="CA108" s="725"/>
    </row>
    <row r="109" spans="1:79" s="309" customFormat="1" hidden="1" outlineLevel="1" x14ac:dyDescent="0.35">
      <c r="A109" s="575"/>
      <c r="B109" s="575"/>
      <c r="C109" s="575"/>
      <c r="D109" s="575"/>
      <c r="E109" s="575"/>
      <c r="F109" s="672" t="s">
        <v>674</v>
      </c>
      <c r="G109" s="682"/>
      <c r="H109" s="682"/>
      <c r="I109" s="682"/>
      <c r="J109" s="682"/>
      <c r="K109" s="682"/>
      <c r="L109" s="682"/>
      <c r="M109" s="682"/>
      <c r="N109" s="682"/>
      <c r="O109" s="682"/>
      <c r="P109" s="682"/>
      <c r="Q109" s="682"/>
      <c r="R109" s="682"/>
      <c r="S109" s="700">
        <v>0</v>
      </c>
      <c r="T109" s="700">
        <v>0</v>
      </c>
      <c r="U109" s="700">
        <v>0</v>
      </c>
      <c r="V109" s="700">
        <v>0</v>
      </c>
      <c r="W109" s="700">
        <v>0</v>
      </c>
      <c r="X109" s="700">
        <v>0</v>
      </c>
      <c r="Y109" s="700">
        <v>0</v>
      </c>
      <c r="Z109" s="700">
        <v>0</v>
      </c>
      <c r="AA109" s="700">
        <v>0</v>
      </c>
      <c r="AB109" s="700">
        <v>0</v>
      </c>
      <c r="AC109" s="700">
        <v>0</v>
      </c>
      <c r="AD109" s="701">
        <v>0</v>
      </c>
      <c r="AE109" s="701"/>
      <c r="AF109" s="701"/>
      <c r="AG109" s="701"/>
      <c r="AH109" s="701"/>
      <c r="AI109" s="701"/>
      <c r="AJ109" s="701"/>
      <c r="AK109" s="701"/>
      <c r="AL109" s="701"/>
      <c r="AM109" s="701"/>
      <c r="AN109" s="701"/>
      <c r="AO109" s="701"/>
      <c r="AP109" s="701"/>
      <c r="AQ109" s="701"/>
      <c r="AR109" s="701"/>
      <c r="AS109" s="701"/>
      <c r="AT109" s="701"/>
      <c r="AU109" s="701"/>
      <c r="AV109" s="701"/>
      <c r="AW109" s="701"/>
      <c r="AX109" s="701"/>
      <c r="AY109" s="701"/>
      <c r="AZ109" s="701"/>
      <c r="BA109" s="701"/>
      <c r="BB109" s="701"/>
      <c r="BC109" s="701"/>
      <c r="BD109" s="701"/>
      <c r="BE109" s="701"/>
      <c r="BF109" s="701"/>
      <c r="BG109" s="701"/>
      <c r="BH109" s="701"/>
      <c r="BI109" s="701"/>
      <c r="BJ109" s="701"/>
      <c r="BK109" s="701"/>
      <c r="BL109" s="701"/>
      <c r="BM109" s="701"/>
      <c r="BN109" s="701"/>
      <c r="BO109" s="701"/>
      <c r="BP109" s="701"/>
      <c r="BQ109" s="701"/>
      <c r="BR109" s="701"/>
      <c r="BS109" s="701"/>
      <c r="BT109" s="701"/>
      <c r="BU109" s="701"/>
      <c r="BV109" s="701"/>
      <c r="BW109" s="701"/>
      <c r="BX109" s="701"/>
      <c r="BY109" s="701"/>
      <c r="BZ109" s="701"/>
      <c r="CA109" s="701"/>
    </row>
    <row r="110" spans="1:79" s="309" customFormat="1" hidden="1" outlineLevel="1" x14ac:dyDescent="0.35">
      <c r="A110" s="575"/>
      <c r="B110" s="575"/>
      <c r="C110" s="575"/>
      <c r="D110" s="575"/>
      <c r="E110" s="575"/>
      <c r="F110" s="672" t="s">
        <v>898</v>
      </c>
      <c r="G110" s="682"/>
      <c r="H110" s="682"/>
      <c r="I110" s="682"/>
      <c r="J110" s="682"/>
      <c r="K110" s="682"/>
      <c r="L110" s="682"/>
      <c r="M110" s="682"/>
      <c r="N110" s="682"/>
      <c r="O110" s="682"/>
      <c r="P110" s="682"/>
      <c r="Q110" s="682"/>
      <c r="R110" s="682"/>
      <c r="S110" s="700">
        <v>0</v>
      </c>
      <c r="T110" s="700">
        <v>0</v>
      </c>
      <c r="U110" s="700">
        <v>0</v>
      </c>
      <c r="V110" s="700">
        <v>0</v>
      </c>
      <c r="W110" s="700">
        <v>0</v>
      </c>
      <c r="X110" s="700">
        <v>0</v>
      </c>
      <c r="Y110" s="700">
        <v>0</v>
      </c>
      <c r="Z110" s="700">
        <v>0</v>
      </c>
      <c r="AA110" s="700">
        <v>0</v>
      </c>
      <c r="AB110" s="700">
        <v>0</v>
      </c>
      <c r="AC110" s="700">
        <v>0</v>
      </c>
      <c r="AD110" s="701">
        <v>0</v>
      </c>
      <c r="AE110" s="701"/>
      <c r="AF110" s="701"/>
      <c r="AG110" s="701"/>
      <c r="AH110" s="701"/>
      <c r="AI110" s="701"/>
      <c r="AJ110" s="701"/>
      <c r="AK110" s="701"/>
      <c r="AL110" s="701"/>
      <c r="AM110" s="701"/>
      <c r="AN110" s="701"/>
      <c r="AO110" s="701"/>
      <c r="AP110" s="701"/>
      <c r="AQ110" s="701"/>
      <c r="AR110" s="701"/>
      <c r="AS110" s="701"/>
      <c r="AT110" s="701"/>
      <c r="AU110" s="701"/>
      <c r="AV110" s="701"/>
      <c r="AW110" s="701"/>
      <c r="AX110" s="701"/>
      <c r="AY110" s="701"/>
      <c r="AZ110" s="701"/>
      <c r="BA110" s="701"/>
      <c r="BB110" s="701"/>
      <c r="BC110" s="701"/>
      <c r="BD110" s="701"/>
      <c r="BE110" s="701"/>
      <c r="BF110" s="701"/>
      <c r="BG110" s="701"/>
      <c r="BH110" s="701"/>
      <c r="BI110" s="701"/>
      <c r="BJ110" s="701"/>
      <c r="BK110" s="701"/>
      <c r="BL110" s="701"/>
      <c r="BM110" s="701"/>
      <c r="BN110" s="701"/>
      <c r="BO110" s="701"/>
      <c r="BP110" s="701"/>
      <c r="BQ110" s="701"/>
      <c r="BR110" s="701"/>
      <c r="BS110" s="701"/>
      <c r="BT110" s="701"/>
      <c r="BU110" s="701"/>
      <c r="BV110" s="701"/>
      <c r="BW110" s="701"/>
      <c r="BX110" s="701"/>
      <c r="BY110" s="701"/>
      <c r="BZ110" s="701"/>
      <c r="CA110" s="701"/>
    </row>
    <row r="111" spans="1:79" s="309" customFormat="1" hidden="1" outlineLevel="1" x14ac:dyDescent="0.35">
      <c r="A111" s="575"/>
      <c r="B111" s="575"/>
      <c r="C111" s="575"/>
      <c r="D111" s="575"/>
      <c r="E111" s="575"/>
      <c r="F111" s="672" t="s">
        <v>675</v>
      </c>
      <c r="G111" s="682"/>
      <c r="H111" s="682"/>
      <c r="I111" s="682"/>
      <c r="J111" s="682"/>
      <c r="K111" s="682"/>
      <c r="L111" s="682"/>
      <c r="M111" s="682"/>
      <c r="N111" s="682"/>
      <c r="O111" s="682"/>
      <c r="P111" s="682"/>
      <c r="Q111" s="682"/>
      <c r="R111" s="682"/>
      <c r="S111" s="700">
        <v>0</v>
      </c>
      <c r="T111" s="700">
        <v>0</v>
      </c>
      <c r="U111" s="700">
        <v>0</v>
      </c>
      <c r="V111" s="700">
        <v>0</v>
      </c>
      <c r="W111" s="700">
        <v>0</v>
      </c>
      <c r="X111" s="700">
        <v>0</v>
      </c>
      <c r="Y111" s="700">
        <v>0</v>
      </c>
      <c r="Z111" s="700">
        <v>0</v>
      </c>
      <c r="AA111" s="700">
        <v>0</v>
      </c>
      <c r="AB111" s="700">
        <v>0</v>
      </c>
      <c r="AC111" s="700">
        <v>0</v>
      </c>
      <c r="AD111" s="701">
        <v>0</v>
      </c>
      <c r="AE111" s="701"/>
      <c r="AF111" s="701"/>
      <c r="AG111" s="701"/>
      <c r="AH111" s="701"/>
      <c r="AI111" s="701"/>
      <c r="AJ111" s="701"/>
      <c r="AK111" s="701"/>
      <c r="AL111" s="701"/>
      <c r="AM111" s="701"/>
      <c r="AN111" s="701"/>
      <c r="AO111" s="701"/>
      <c r="AP111" s="701"/>
      <c r="AQ111" s="701"/>
      <c r="AR111" s="701"/>
      <c r="AS111" s="701"/>
      <c r="AT111" s="701"/>
      <c r="AU111" s="701"/>
      <c r="AV111" s="701"/>
      <c r="AW111" s="701"/>
      <c r="AX111" s="701"/>
      <c r="AY111" s="701"/>
      <c r="AZ111" s="701"/>
      <c r="BA111" s="701"/>
      <c r="BB111" s="701"/>
      <c r="BC111" s="701"/>
      <c r="BD111" s="701"/>
      <c r="BE111" s="701"/>
      <c r="BF111" s="701"/>
      <c r="BG111" s="701"/>
      <c r="BH111" s="701"/>
      <c r="BI111" s="701"/>
      <c r="BJ111" s="701"/>
      <c r="BK111" s="701"/>
      <c r="BL111" s="701"/>
      <c r="BM111" s="701"/>
      <c r="BN111" s="701"/>
      <c r="BO111" s="701"/>
      <c r="BP111" s="701"/>
      <c r="BQ111" s="701"/>
      <c r="BR111" s="701"/>
      <c r="BS111" s="701"/>
      <c r="BT111" s="701"/>
      <c r="BU111" s="701"/>
      <c r="BV111" s="701"/>
      <c r="BW111" s="701"/>
      <c r="BX111" s="701"/>
      <c r="BY111" s="701"/>
      <c r="BZ111" s="701"/>
      <c r="CA111" s="701"/>
    </row>
    <row r="112" spans="1:79" s="309" customFormat="1" hidden="1" outlineLevel="1" x14ac:dyDescent="0.35">
      <c r="A112" s="575"/>
      <c r="B112" s="575"/>
      <c r="C112" s="575"/>
      <c r="D112" s="575"/>
      <c r="E112" s="575"/>
      <c r="F112" s="672" t="s">
        <v>899</v>
      </c>
      <c r="G112" s="682"/>
      <c r="H112" s="682"/>
      <c r="I112" s="682"/>
      <c r="J112" s="682"/>
      <c r="K112" s="682"/>
      <c r="L112" s="682"/>
      <c r="M112" s="682"/>
      <c r="N112" s="682"/>
      <c r="O112" s="682"/>
      <c r="P112" s="682"/>
      <c r="Q112" s="682"/>
      <c r="R112" s="682"/>
      <c r="S112" s="700">
        <v>0</v>
      </c>
      <c r="T112" s="700">
        <v>0</v>
      </c>
      <c r="U112" s="700">
        <v>0</v>
      </c>
      <c r="V112" s="700">
        <v>0</v>
      </c>
      <c r="W112" s="700">
        <v>0</v>
      </c>
      <c r="X112" s="700">
        <v>0</v>
      </c>
      <c r="Y112" s="700">
        <v>0</v>
      </c>
      <c r="Z112" s="700">
        <v>0</v>
      </c>
      <c r="AA112" s="700">
        <v>0</v>
      </c>
      <c r="AB112" s="700">
        <v>0</v>
      </c>
      <c r="AC112" s="700">
        <v>0</v>
      </c>
      <c r="AD112" s="701">
        <v>0</v>
      </c>
      <c r="AE112" s="701"/>
      <c r="AF112" s="701"/>
      <c r="AG112" s="701"/>
      <c r="AH112" s="701"/>
      <c r="AI112" s="701"/>
      <c r="AJ112" s="701"/>
      <c r="AK112" s="701"/>
      <c r="AL112" s="701"/>
      <c r="AM112" s="701"/>
      <c r="AN112" s="701"/>
      <c r="AO112" s="701"/>
      <c r="AP112" s="701"/>
      <c r="AQ112" s="701"/>
      <c r="AR112" s="701"/>
      <c r="AS112" s="701"/>
      <c r="AT112" s="701"/>
      <c r="AU112" s="701"/>
      <c r="AV112" s="701"/>
      <c r="AW112" s="701"/>
      <c r="AX112" s="701"/>
      <c r="AY112" s="701"/>
      <c r="AZ112" s="701"/>
      <c r="BA112" s="701"/>
      <c r="BB112" s="701"/>
      <c r="BC112" s="701"/>
      <c r="BD112" s="701"/>
      <c r="BE112" s="701"/>
      <c r="BF112" s="701"/>
      <c r="BG112" s="701"/>
      <c r="BH112" s="701"/>
      <c r="BI112" s="701"/>
      <c r="BJ112" s="701"/>
      <c r="BK112" s="701"/>
      <c r="BL112" s="701"/>
      <c r="BM112" s="701"/>
      <c r="BN112" s="701"/>
      <c r="BO112" s="701"/>
      <c r="BP112" s="701"/>
      <c r="BQ112" s="701"/>
      <c r="BR112" s="701"/>
      <c r="BS112" s="701"/>
      <c r="BT112" s="701"/>
      <c r="BU112" s="701"/>
      <c r="BV112" s="701"/>
      <c r="BW112" s="701"/>
      <c r="BX112" s="701"/>
      <c r="BY112" s="701"/>
      <c r="BZ112" s="701"/>
      <c r="CA112" s="701"/>
    </row>
    <row r="113" spans="1:79" s="309" customFormat="1" hidden="1" outlineLevel="1" x14ac:dyDescent="0.35">
      <c r="A113" s="575"/>
      <c r="B113" s="575"/>
      <c r="C113" s="575"/>
      <c r="D113" s="575"/>
      <c r="E113" s="575"/>
      <c r="F113" s="673" t="s">
        <v>676</v>
      </c>
      <c r="G113" s="696">
        <f>SUM(G109:G112)</f>
        <v>0</v>
      </c>
      <c r="H113" s="696">
        <f t="shared" ref="H113:BO113" si="32">SUM(H109:H112)</f>
        <v>0</v>
      </c>
      <c r="I113" s="696">
        <f t="shared" si="32"/>
        <v>0</v>
      </c>
      <c r="J113" s="696">
        <f t="shared" si="32"/>
        <v>0</v>
      </c>
      <c r="K113" s="696">
        <f t="shared" si="32"/>
        <v>0</v>
      </c>
      <c r="L113" s="696">
        <f t="shared" si="32"/>
        <v>0</v>
      </c>
      <c r="M113" s="696">
        <f t="shared" si="32"/>
        <v>0</v>
      </c>
      <c r="N113" s="696">
        <f t="shared" si="32"/>
        <v>0</v>
      </c>
      <c r="O113" s="696">
        <f t="shared" si="32"/>
        <v>0</v>
      </c>
      <c r="P113" s="696">
        <f t="shared" si="32"/>
        <v>0</v>
      </c>
      <c r="Q113" s="696">
        <f t="shared" si="32"/>
        <v>0</v>
      </c>
      <c r="R113" s="696">
        <f t="shared" si="32"/>
        <v>0</v>
      </c>
      <c r="S113" s="696">
        <f t="shared" ref="S113:AA113" si="33">ROUND(SUM(S108:S112),5)</f>
        <v>0</v>
      </c>
      <c r="T113" s="696">
        <f t="shared" si="33"/>
        <v>0</v>
      </c>
      <c r="U113" s="696">
        <f t="shared" si="33"/>
        <v>0</v>
      </c>
      <c r="V113" s="696">
        <f t="shared" si="33"/>
        <v>0</v>
      </c>
      <c r="W113" s="696">
        <f t="shared" si="33"/>
        <v>0</v>
      </c>
      <c r="X113" s="696">
        <f t="shared" si="33"/>
        <v>0</v>
      </c>
      <c r="Y113" s="696">
        <f t="shared" si="33"/>
        <v>0</v>
      </c>
      <c r="Z113" s="696">
        <f t="shared" si="33"/>
        <v>0</v>
      </c>
      <c r="AA113" s="696">
        <f t="shared" si="33"/>
        <v>0</v>
      </c>
      <c r="AB113" s="696">
        <f>ROUND(SUM(AB108:AB112),5)</f>
        <v>0</v>
      </c>
      <c r="AC113" s="696">
        <f>ROUND(SUM(AC108:AC112),5)</f>
        <v>0</v>
      </c>
      <c r="AD113" s="696">
        <v>0</v>
      </c>
      <c r="AE113" s="696">
        <f t="shared" si="32"/>
        <v>0</v>
      </c>
      <c r="AF113" s="696">
        <f t="shared" si="32"/>
        <v>0</v>
      </c>
      <c r="AG113" s="696">
        <f t="shared" si="32"/>
        <v>0</v>
      </c>
      <c r="AH113" s="696">
        <f t="shared" si="32"/>
        <v>0</v>
      </c>
      <c r="AI113" s="696">
        <f t="shared" si="32"/>
        <v>0</v>
      </c>
      <c r="AJ113" s="696">
        <f t="shared" si="32"/>
        <v>0</v>
      </c>
      <c r="AK113" s="696">
        <f t="shared" si="32"/>
        <v>0</v>
      </c>
      <c r="AL113" s="696">
        <f t="shared" si="32"/>
        <v>0</v>
      </c>
      <c r="AM113" s="696">
        <f t="shared" si="32"/>
        <v>0</v>
      </c>
      <c r="AN113" s="696">
        <f t="shared" si="32"/>
        <v>0</v>
      </c>
      <c r="AO113" s="696">
        <f t="shared" si="32"/>
        <v>0</v>
      </c>
      <c r="AP113" s="696">
        <f t="shared" si="32"/>
        <v>0</v>
      </c>
      <c r="AQ113" s="696">
        <f t="shared" si="32"/>
        <v>0</v>
      </c>
      <c r="AR113" s="696">
        <f t="shared" si="32"/>
        <v>0</v>
      </c>
      <c r="AS113" s="696">
        <f t="shared" si="32"/>
        <v>0</v>
      </c>
      <c r="AT113" s="696">
        <f t="shared" si="32"/>
        <v>0</v>
      </c>
      <c r="AU113" s="696">
        <f t="shared" si="32"/>
        <v>0</v>
      </c>
      <c r="AV113" s="696">
        <f t="shared" si="32"/>
        <v>0</v>
      </c>
      <c r="AW113" s="696">
        <f t="shared" si="32"/>
        <v>0</v>
      </c>
      <c r="AX113" s="696">
        <f t="shared" si="32"/>
        <v>0</v>
      </c>
      <c r="AY113" s="696">
        <f t="shared" si="32"/>
        <v>0</v>
      </c>
      <c r="AZ113" s="696">
        <f t="shared" si="32"/>
        <v>0</v>
      </c>
      <c r="BA113" s="696">
        <f t="shared" si="32"/>
        <v>0</v>
      </c>
      <c r="BB113" s="696">
        <f t="shared" si="32"/>
        <v>0</v>
      </c>
      <c r="BC113" s="696">
        <f t="shared" si="32"/>
        <v>0</v>
      </c>
      <c r="BD113" s="696">
        <f t="shared" si="32"/>
        <v>0</v>
      </c>
      <c r="BE113" s="696">
        <f t="shared" si="32"/>
        <v>0</v>
      </c>
      <c r="BF113" s="696">
        <f t="shared" si="32"/>
        <v>0</v>
      </c>
      <c r="BG113" s="696">
        <f t="shared" si="32"/>
        <v>0</v>
      </c>
      <c r="BH113" s="696">
        <f t="shared" si="32"/>
        <v>0</v>
      </c>
      <c r="BI113" s="696">
        <f t="shared" si="32"/>
        <v>0</v>
      </c>
      <c r="BJ113" s="696">
        <f t="shared" si="32"/>
        <v>0</v>
      </c>
      <c r="BK113" s="696">
        <f t="shared" si="32"/>
        <v>0</v>
      </c>
      <c r="BL113" s="696">
        <f t="shared" si="32"/>
        <v>0</v>
      </c>
      <c r="BM113" s="696">
        <f t="shared" si="32"/>
        <v>0</v>
      </c>
      <c r="BN113" s="696">
        <f t="shared" si="32"/>
        <v>0</v>
      </c>
      <c r="BO113" s="696">
        <f t="shared" si="32"/>
        <v>0</v>
      </c>
      <c r="BP113" s="696">
        <f t="shared" ref="BP113:CA113" si="34">SUM(BP109:BP112)</f>
        <v>0</v>
      </c>
      <c r="BQ113" s="696">
        <f t="shared" si="34"/>
        <v>0</v>
      </c>
      <c r="BR113" s="696">
        <f t="shared" si="34"/>
        <v>0</v>
      </c>
      <c r="BS113" s="696">
        <f t="shared" si="34"/>
        <v>0</v>
      </c>
      <c r="BT113" s="696">
        <f t="shared" si="34"/>
        <v>0</v>
      </c>
      <c r="BU113" s="696">
        <f t="shared" si="34"/>
        <v>0</v>
      </c>
      <c r="BV113" s="696">
        <f t="shared" si="34"/>
        <v>0</v>
      </c>
      <c r="BW113" s="696">
        <f t="shared" si="34"/>
        <v>0</v>
      </c>
      <c r="BX113" s="696">
        <f t="shared" si="34"/>
        <v>0</v>
      </c>
      <c r="BY113" s="696">
        <f t="shared" si="34"/>
        <v>0</v>
      </c>
      <c r="BZ113" s="696">
        <f t="shared" si="34"/>
        <v>0</v>
      </c>
      <c r="CA113" s="696">
        <f t="shared" si="34"/>
        <v>0</v>
      </c>
    </row>
    <row r="114" spans="1:79" s="309" customFormat="1" hidden="1" outlineLevel="1" x14ac:dyDescent="0.35">
      <c r="A114" s="30"/>
      <c r="B114" s="30"/>
      <c r="C114" s="30"/>
      <c r="D114" s="30"/>
      <c r="E114" s="30"/>
      <c r="F114" s="674" t="s">
        <v>652</v>
      </c>
      <c r="G114" s="682">
        <v>119.07986837845019</v>
      </c>
      <c r="H114" s="682">
        <v>70.538736296940627</v>
      </c>
      <c r="I114" s="682">
        <v>36.959072925909609</v>
      </c>
      <c r="J114" s="682">
        <v>15.340555097981246</v>
      </c>
      <c r="K114" s="682">
        <v>21.640219021555236</v>
      </c>
      <c r="L114" s="682">
        <v>22.153151534195825</v>
      </c>
      <c r="M114" s="682">
        <v>95.770147762312064</v>
      </c>
      <c r="N114" s="682">
        <v>20.967562972486402</v>
      </c>
      <c r="O114" s="682">
        <v>17.441421656100907</v>
      </c>
      <c r="P114" s="682">
        <v>10.574376106809547</v>
      </c>
      <c r="Q114" s="682">
        <v>19.441663736486372</v>
      </c>
      <c r="R114" s="683">
        <v>18.926313247463614</v>
      </c>
      <c r="S114" s="704">
        <v>0</v>
      </c>
      <c r="T114" s="704">
        <v>0</v>
      </c>
      <c r="U114" s="704">
        <v>0</v>
      </c>
      <c r="V114" s="704">
        <v>0</v>
      </c>
      <c r="W114" s="704">
        <v>0</v>
      </c>
      <c r="X114" s="704">
        <v>0</v>
      </c>
      <c r="Y114" s="704">
        <v>0</v>
      </c>
      <c r="Z114" s="704">
        <v>0</v>
      </c>
      <c r="AA114" s="704">
        <v>0</v>
      </c>
      <c r="AB114" s="704">
        <v>0</v>
      </c>
      <c r="AC114" s="704">
        <v>0</v>
      </c>
      <c r="AD114" s="701">
        <v>0</v>
      </c>
      <c r="AE114" s="701"/>
      <c r="AF114" s="701"/>
      <c r="AG114" s="701"/>
      <c r="AH114" s="701"/>
      <c r="AI114" s="701"/>
      <c r="AJ114" s="701"/>
      <c r="AK114" s="701"/>
      <c r="AL114" s="701"/>
      <c r="AM114" s="701"/>
      <c r="AN114" s="701"/>
      <c r="AO114" s="701"/>
      <c r="AP114" s="701"/>
      <c r="AQ114" s="701"/>
      <c r="AR114" s="701"/>
      <c r="AS114" s="701"/>
      <c r="AT114" s="701"/>
      <c r="AU114" s="701"/>
      <c r="AV114" s="701"/>
      <c r="AW114" s="701"/>
      <c r="AX114" s="701"/>
      <c r="AY114" s="701"/>
      <c r="AZ114" s="701"/>
      <c r="BA114" s="701"/>
      <c r="BB114" s="701"/>
      <c r="BC114" s="701"/>
      <c r="BD114" s="701"/>
      <c r="BE114" s="701"/>
      <c r="BF114" s="701"/>
      <c r="BG114" s="701"/>
      <c r="BH114" s="701"/>
      <c r="BI114" s="701"/>
      <c r="BJ114" s="701"/>
      <c r="BK114" s="701"/>
      <c r="BL114" s="701"/>
      <c r="BM114" s="701"/>
      <c r="BN114" s="701"/>
      <c r="BO114" s="701"/>
      <c r="BP114" s="701"/>
      <c r="BQ114" s="701"/>
      <c r="BR114" s="701"/>
      <c r="BS114" s="701"/>
      <c r="BT114" s="701"/>
      <c r="BU114" s="701"/>
      <c r="BV114" s="701"/>
      <c r="BW114" s="701"/>
      <c r="BX114" s="701"/>
      <c r="BY114" s="701"/>
      <c r="BZ114" s="701"/>
      <c r="CA114" s="701"/>
    </row>
    <row r="115" spans="1:79" hidden="1" outlineLevel="1" x14ac:dyDescent="0.35">
      <c r="F115" s="674" t="s">
        <v>603</v>
      </c>
      <c r="G115" s="681">
        <v>76.10408025353189</v>
      </c>
      <c r="H115" s="681">
        <v>359.04208953366464</v>
      </c>
      <c r="I115" s="681">
        <v>155.35002001488616</v>
      </c>
      <c r="J115" s="702">
        <v>413.71678270438792</v>
      </c>
      <c r="K115" s="702">
        <v>383.15750433656586</v>
      </c>
      <c r="L115" s="702">
        <v>601.53494512110819</v>
      </c>
      <c r="M115" s="702">
        <v>212.97044725885405</v>
      </c>
      <c r="N115" s="702">
        <v>651.17982263950375</v>
      </c>
      <c r="O115" s="702">
        <v>903.98185861062029</v>
      </c>
      <c r="P115" s="682">
        <v>867.75552201679079</v>
      </c>
      <c r="Q115" s="682">
        <v>809.25710009974568</v>
      </c>
      <c r="R115" s="682">
        <v>233.53098003406208</v>
      </c>
      <c r="S115" s="683">
        <v>1696.18</v>
      </c>
      <c r="T115" s="683">
        <v>723.4</v>
      </c>
      <c r="U115" s="683">
        <v>3314.42</v>
      </c>
      <c r="V115" s="683">
        <v>4193.91</v>
      </c>
      <c r="W115" s="683">
        <v>597.27</v>
      </c>
      <c r="X115" s="683">
        <v>1189.78</v>
      </c>
      <c r="Y115" s="683">
        <v>75</v>
      </c>
      <c r="Z115" s="683">
        <v>0</v>
      </c>
      <c r="AA115" s="683">
        <v>5748.9</v>
      </c>
      <c r="AB115" s="683">
        <v>3208.4</v>
      </c>
      <c r="AC115" s="683">
        <v>6896.56</v>
      </c>
      <c r="AD115" s="684">
        <v>11899.34</v>
      </c>
      <c r="AE115" s="684"/>
      <c r="AF115" s="684"/>
      <c r="AG115" s="684"/>
      <c r="AH115" s="684"/>
      <c r="AI115" s="684"/>
      <c r="AJ115" s="684"/>
      <c r="AK115" s="684"/>
      <c r="AL115" s="684"/>
      <c r="AM115" s="684"/>
      <c r="AN115" s="684"/>
      <c r="AO115" s="684"/>
      <c r="AP115" s="684"/>
      <c r="AQ115" s="684"/>
      <c r="AR115" s="684"/>
      <c r="AS115" s="684"/>
      <c r="AT115" s="684"/>
      <c r="AU115" s="684"/>
      <c r="AV115" s="684"/>
      <c r="AW115" s="684"/>
      <c r="AX115" s="684"/>
      <c r="AY115" s="684"/>
      <c r="AZ115" s="684"/>
      <c r="BA115" s="684"/>
      <c r="BB115" s="684"/>
      <c r="BC115" s="684"/>
      <c r="BD115" s="684"/>
      <c r="BE115" s="684"/>
      <c r="BF115" s="684"/>
      <c r="BG115" s="684"/>
      <c r="BH115" s="684"/>
      <c r="BI115" s="684"/>
      <c r="BJ115" s="684"/>
      <c r="BK115" s="684"/>
      <c r="BL115" s="684"/>
      <c r="BM115" s="684"/>
      <c r="BN115" s="684"/>
      <c r="BO115" s="684"/>
      <c r="BP115" s="684"/>
      <c r="BQ115" s="684"/>
      <c r="BR115" s="684"/>
      <c r="BS115" s="684"/>
      <c r="BT115" s="684"/>
      <c r="BU115" s="684"/>
      <c r="BV115" s="684"/>
      <c r="BW115" s="684"/>
      <c r="BX115" s="684"/>
      <c r="BY115" s="684"/>
      <c r="BZ115" s="684"/>
      <c r="CA115" s="684"/>
    </row>
    <row r="116" spans="1:79" hidden="1" outlineLevel="1" x14ac:dyDescent="0.35">
      <c r="A116" s="709"/>
      <c r="B116" s="709"/>
      <c r="C116" s="709"/>
      <c r="D116" s="709"/>
      <c r="E116" s="709"/>
      <c r="F116" s="707" t="s">
        <v>677</v>
      </c>
      <c r="G116" s="718"/>
      <c r="H116" s="718"/>
      <c r="I116" s="718"/>
      <c r="J116" s="719"/>
      <c r="K116" s="719"/>
      <c r="L116" s="719"/>
      <c r="M116" s="719"/>
      <c r="N116" s="719"/>
      <c r="O116" s="719"/>
      <c r="P116" s="720"/>
      <c r="Q116" s="720"/>
      <c r="R116" s="720"/>
      <c r="S116" s="720"/>
      <c r="T116" s="720"/>
      <c r="U116" s="720"/>
      <c r="V116" s="720"/>
      <c r="W116" s="720"/>
      <c r="X116" s="720"/>
      <c r="Y116" s="720"/>
      <c r="Z116" s="720"/>
      <c r="AA116" s="720"/>
      <c r="AB116" s="720"/>
      <c r="AC116" s="720"/>
      <c r="AD116" s="715"/>
      <c r="AE116" s="715"/>
      <c r="AF116" s="715"/>
      <c r="AG116" s="715"/>
      <c r="AH116" s="715"/>
      <c r="AI116" s="715"/>
      <c r="AJ116" s="715"/>
      <c r="AK116" s="715"/>
      <c r="AL116" s="715"/>
      <c r="AM116" s="715"/>
      <c r="AN116" s="715"/>
      <c r="AO116" s="715"/>
      <c r="AP116" s="715"/>
      <c r="AQ116" s="715"/>
      <c r="AR116" s="715"/>
      <c r="AS116" s="715"/>
      <c r="AT116" s="715"/>
      <c r="AU116" s="715"/>
      <c r="AV116" s="715"/>
      <c r="AW116" s="715"/>
      <c r="AX116" s="715"/>
      <c r="AY116" s="715"/>
      <c r="AZ116" s="715"/>
      <c r="BA116" s="715"/>
      <c r="BB116" s="715"/>
      <c r="BC116" s="715"/>
      <c r="BD116" s="715"/>
      <c r="BE116" s="715"/>
      <c r="BF116" s="715"/>
      <c r="BG116" s="715"/>
      <c r="BH116" s="715"/>
      <c r="BI116" s="715"/>
      <c r="BJ116" s="715"/>
      <c r="BK116" s="715"/>
      <c r="BL116" s="715"/>
      <c r="BM116" s="715"/>
      <c r="BN116" s="715"/>
      <c r="BO116" s="715"/>
      <c r="BP116" s="715"/>
      <c r="BQ116" s="715"/>
      <c r="BR116" s="715"/>
      <c r="BS116" s="715"/>
      <c r="BT116" s="715"/>
      <c r="BU116" s="715"/>
      <c r="BV116" s="715"/>
      <c r="BW116" s="715"/>
      <c r="BX116" s="715"/>
      <c r="BY116" s="715"/>
      <c r="BZ116" s="715"/>
      <c r="CA116" s="715"/>
    </row>
    <row r="117" spans="1:79" hidden="1" outlineLevel="1" x14ac:dyDescent="0.35">
      <c r="A117" s="574"/>
      <c r="B117" s="574"/>
      <c r="C117" s="574"/>
      <c r="D117" s="574"/>
      <c r="E117" s="574"/>
      <c r="F117" s="672" t="s">
        <v>900</v>
      </c>
      <c r="G117" s="681"/>
      <c r="H117" s="681"/>
      <c r="I117" s="681"/>
      <c r="J117" s="702"/>
      <c r="K117" s="702"/>
      <c r="L117" s="702"/>
      <c r="M117" s="702"/>
      <c r="N117" s="702"/>
      <c r="O117" s="702"/>
      <c r="P117" s="682"/>
      <c r="Q117" s="682"/>
      <c r="R117" s="682"/>
      <c r="S117" s="683">
        <v>0</v>
      </c>
      <c r="T117" s="683">
        <v>0</v>
      </c>
      <c r="U117" s="683">
        <v>0</v>
      </c>
      <c r="V117" s="683">
        <v>0</v>
      </c>
      <c r="W117" s="683">
        <v>0</v>
      </c>
      <c r="X117" s="683">
        <v>0</v>
      </c>
      <c r="Y117" s="683">
        <v>0</v>
      </c>
      <c r="Z117" s="683">
        <v>0</v>
      </c>
      <c r="AA117" s="683">
        <v>0</v>
      </c>
      <c r="AB117" s="683">
        <v>0</v>
      </c>
      <c r="AC117" s="683">
        <v>0</v>
      </c>
      <c r="AD117" s="684">
        <v>0</v>
      </c>
      <c r="AE117" s="684"/>
      <c r="AF117" s="684"/>
      <c r="AG117" s="684"/>
      <c r="AH117" s="684"/>
      <c r="AI117" s="684"/>
      <c r="AJ117" s="684"/>
      <c r="AK117" s="684"/>
      <c r="AL117" s="684"/>
      <c r="AM117" s="684"/>
      <c r="AN117" s="684"/>
      <c r="AO117" s="684"/>
      <c r="AP117" s="684"/>
      <c r="AQ117" s="684"/>
      <c r="AR117" s="684"/>
      <c r="AS117" s="684"/>
      <c r="AT117" s="684"/>
      <c r="AU117" s="684"/>
      <c r="AV117" s="684"/>
      <c r="AW117" s="684"/>
      <c r="AX117" s="684"/>
      <c r="AY117" s="684"/>
      <c r="AZ117" s="684"/>
      <c r="BA117" s="684"/>
      <c r="BB117" s="684"/>
      <c r="BC117" s="684"/>
      <c r="BD117" s="684"/>
      <c r="BE117" s="684"/>
      <c r="BF117" s="684"/>
      <c r="BG117" s="684"/>
      <c r="BH117" s="684"/>
      <c r="BI117" s="684"/>
      <c r="BJ117" s="684"/>
      <c r="BK117" s="684"/>
      <c r="BL117" s="684"/>
      <c r="BM117" s="684"/>
      <c r="BN117" s="684"/>
      <c r="BO117" s="684"/>
      <c r="BP117" s="684"/>
      <c r="BQ117" s="684"/>
      <c r="BR117" s="684"/>
      <c r="BS117" s="684"/>
      <c r="BT117" s="684"/>
      <c r="BU117" s="684"/>
      <c r="BV117" s="684"/>
      <c r="BW117" s="684"/>
      <c r="BX117" s="684"/>
      <c r="BY117" s="684"/>
      <c r="BZ117" s="684"/>
      <c r="CA117" s="684"/>
    </row>
    <row r="118" spans="1:79" hidden="1" outlineLevel="1" x14ac:dyDescent="0.35">
      <c r="A118" s="574"/>
      <c r="B118" s="574"/>
      <c r="C118" s="574"/>
      <c r="D118" s="574"/>
      <c r="E118" s="574"/>
      <c r="F118" s="672" t="s">
        <v>678</v>
      </c>
      <c r="G118" s="681"/>
      <c r="H118" s="681"/>
      <c r="I118" s="681"/>
      <c r="J118" s="702"/>
      <c r="K118" s="702"/>
      <c r="L118" s="702"/>
      <c r="M118" s="702"/>
      <c r="N118" s="702"/>
      <c r="O118" s="702"/>
      <c r="P118" s="682"/>
      <c r="Q118" s="682"/>
      <c r="R118" s="682"/>
      <c r="S118" s="683">
        <v>0</v>
      </c>
      <c r="T118" s="683">
        <v>0</v>
      </c>
      <c r="U118" s="683">
        <v>0</v>
      </c>
      <c r="V118" s="683">
        <v>0</v>
      </c>
      <c r="W118" s="683">
        <v>0</v>
      </c>
      <c r="X118" s="683">
        <v>0</v>
      </c>
      <c r="Y118" s="683">
        <v>0</v>
      </c>
      <c r="Z118" s="683">
        <v>0</v>
      </c>
      <c r="AA118" s="683">
        <v>0</v>
      </c>
      <c r="AB118" s="683">
        <v>0</v>
      </c>
      <c r="AC118" s="683">
        <v>0</v>
      </c>
      <c r="AD118" s="684">
        <v>0</v>
      </c>
      <c r="AE118" s="684"/>
      <c r="AF118" s="684"/>
      <c r="AG118" s="684"/>
      <c r="AH118" s="684"/>
      <c r="AI118" s="684"/>
      <c r="AJ118" s="684"/>
      <c r="AK118" s="684"/>
      <c r="AL118" s="684"/>
      <c r="AM118" s="684"/>
      <c r="AN118" s="684"/>
      <c r="AO118" s="684"/>
      <c r="AP118" s="684"/>
      <c r="AQ118" s="684"/>
      <c r="AR118" s="684"/>
      <c r="AS118" s="684"/>
      <c r="AT118" s="684"/>
      <c r="AU118" s="684"/>
      <c r="AV118" s="684"/>
      <c r="AW118" s="684"/>
      <c r="AX118" s="684"/>
      <c r="AY118" s="684"/>
      <c r="AZ118" s="684"/>
      <c r="BA118" s="684"/>
      <c r="BB118" s="684"/>
      <c r="BC118" s="684"/>
      <c r="BD118" s="684"/>
      <c r="BE118" s="684"/>
      <c r="BF118" s="684"/>
      <c r="BG118" s="684"/>
      <c r="BH118" s="684"/>
      <c r="BI118" s="684"/>
      <c r="BJ118" s="684"/>
      <c r="BK118" s="684"/>
      <c r="BL118" s="684"/>
      <c r="BM118" s="684"/>
      <c r="BN118" s="684"/>
      <c r="BO118" s="684"/>
      <c r="BP118" s="684"/>
      <c r="BQ118" s="684"/>
      <c r="BR118" s="684"/>
      <c r="BS118" s="684"/>
      <c r="BT118" s="684"/>
      <c r="BU118" s="684"/>
      <c r="BV118" s="684"/>
      <c r="BW118" s="684"/>
      <c r="BX118" s="684"/>
      <c r="BY118" s="684"/>
      <c r="BZ118" s="684"/>
      <c r="CA118" s="684"/>
    </row>
    <row r="119" spans="1:79" hidden="1" outlineLevel="1" x14ac:dyDescent="0.35">
      <c r="A119" s="574"/>
      <c r="B119" s="574"/>
      <c r="C119" s="574"/>
      <c r="D119" s="574"/>
      <c r="E119" s="574"/>
      <c r="F119" s="672" t="s">
        <v>901</v>
      </c>
      <c r="G119" s="681"/>
      <c r="H119" s="681"/>
      <c r="I119" s="681"/>
      <c r="J119" s="702"/>
      <c r="K119" s="702"/>
      <c r="L119" s="702"/>
      <c r="M119" s="702"/>
      <c r="N119" s="702"/>
      <c r="O119" s="702"/>
      <c r="P119" s="682"/>
      <c r="Q119" s="682"/>
      <c r="R119" s="682"/>
      <c r="S119" s="683">
        <v>0</v>
      </c>
      <c r="T119" s="683">
        <v>0</v>
      </c>
      <c r="U119" s="683">
        <v>0</v>
      </c>
      <c r="V119" s="683">
        <v>0</v>
      </c>
      <c r="W119" s="683">
        <v>0</v>
      </c>
      <c r="X119" s="683">
        <v>0</v>
      </c>
      <c r="Y119" s="683">
        <v>0</v>
      </c>
      <c r="Z119" s="683">
        <v>0</v>
      </c>
      <c r="AA119" s="683">
        <v>0</v>
      </c>
      <c r="AB119" s="683">
        <v>0</v>
      </c>
      <c r="AC119" s="683">
        <v>0</v>
      </c>
      <c r="AD119" s="684">
        <v>0</v>
      </c>
      <c r="AE119" s="684"/>
      <c r="AF119" s="684"/>
      <c r="AG119" s="684"/>
      <c r="AH119" s="684"/>
      <c r="AI119" s="684"/>
      <c r="AJ119" s="684"/>
      <c r="AK119" s="684"/>
      <c r="AL119" s="684"/>
      <c r="AM119" s="684"/>
      <c r="AN119" s="684"/>
      <c r="AO119" s="684"/>
      <c r="AP119" s="684"/>
      <c r="AQ119" s="684"/>
      <c r="AR119" s="684"/>
      <c r="AS119" s="684"/>
      <c r="AT119" s="684"/>
      <c r="AU119" s="684"/>
      <c r="AV119" s="684"/>
      <c r="AW119" s="684"/>
      <c r="AX119" s="684"/>
      <c r="AY119" s="684"/>
      <c r="AZ119" s="684"/>
      <c r="BA119" s="684"/>
      <c r="BB119" s="684"/>
      <c r="BC119" s="684"/>
      <c r="BD119" s="684"/>
      <c r="BE119" s="684"/>
      <c r="BF119" s="684"/>
      <c r="BG119" s="684"/>
      <c r="BH119" s="684"/>
      <c r="BI119" s="684"/>
      <c r="BJ119" s="684"/>
      <c r="BK119" s="684"/>
      <c r="BL119" s="684"/>
      <c r="BM119" s="684"/>
      <c r="BN119" s="684"/>
      <c r="BO119" s="684"/>
      <c r="BP119" s="684"/>
      <c r="BQ119" s="684"/>
      <c r="BR119" s="684"/>
      <c r="BS119" s="684"/>
      <c r="BT119" s="684"/>
      <c r="BU119" s="684"/>
      <c r="BV119" s="684"/>
      <c r="BW119" s="684"/>
      <c r="BX119" s="684"/>
      <c r="BY119" s="684"/>
      <c r="BZ119" s="684"/>
      <c r="CA119" s="684"/>
    </row>
    <row r="120" spans="1:79" hidden="1" outlineLevel="1" x14ac:dyDescent="0.35">
      <c r="A120" s="574"/>
      <c r="B120" s="574"/>
      <c r="C120" s="574"/>
      <c r="D120" s="574"/>
      <c r="E120" s="574"/>
      <c r="F120" s="672" t="s">
        <v>771</v>
      </c>
      <c r="G120" s="681"/>
      <c r="H120" s="681"/>
      <c r="I120" s="681"/>
      <c r="J120" s="702"/>
      <c r="K120" s="702"/>
      <c r="L120" s="702"/>
      <c r="M120" s="702"/>
      <c r="N120" s="702"/>
      <c r="O120" s="702"/>
      <c r="P120" s="682"/>
      <c r="Q120" s="682"/>
      <c r="R120" s="682"/>
      <c r="S120" s="683">
        <v>0</v>
      </c>
      <c r="T120" s="683">
        <v>0</v>
      </c>
      <c r="U120" s="683">
        <v>0</v>
      </c>
      <c r="V120" s="683">
        <v>0</v>
      </c>
      <c r="W120" s="683">
        <v>0</v>
      </c>
      <c r="X120" s="683">
        <v>0</v>
      </c>
      <c r="Y120" s="683">
        <v>0</v>
      </c>
      <c r="Z120" s="683">
        <v>0</v>
      </c>
      <c r="AA120" s="683">
        <v>0</v>
      </c>
      <c r="AB120" s="683">
        <v>0</v>
      </c>
      <c r="AC120" s="683">
        <v>0</v>
      </c>
      <c r="AD120" s="684">
        <v>0</v>
      </c>
      <c r="AE120" s="684"/>
      <c r="AF120" s="684"/>
      <c r="AG120" s="684"/>
      <c r="AH120" s="684"/>
      <c r="AI120" s="684"/>
      <c r="AJ120" s="684"/>
      <c r="AK120" s="684"/>
      <c r="AL120" s="684"/>
      <c r="AM120" s="684"/>
      <c r="AN120" s="684"/>
      <c r="AO120" s="684"/>
      <c r="AP120" s="684"/>
      <c r="AQ120" s="684"/>
      <c r="AR120" s="684"/>
      <c r="AS120" s="684"/>
      <c r="AT120" s="684"/>
      <c r="AU120" s="684"/>
      <c r="AV120" s="684"/>
      <c r="AW120" s="684"/>
      <c r="AX120" s="684"/>
      <c r="AY120" s="684"/>
      <c r="AZ120" s="684"/>
      <c r="BA120" s="684"/>
      <c r="BB120" s="684"/>
      <c r="BC120" s="684"/>
      <c r="BD120" s="684"/>
      <c r="BE120" s="684"/>
      <c r="BF120" s="684"/>
      <c r="BG120" s="684"/>
      <c r="BH120" s="684"/>
      <c r="BI120" s="684"/>
      <c r="BJ120" s="684"/>
      <c r="BK120" s="684"/>
      <c r="BL120" s="684"/>
      <c r="BM120" s="684"/>
      <c r="BN120" s="684"/>
      <c r="BO120" s="684"/>
      <c r="BP120" s="684"/>
      <c r="BQ120" s="684"/>
      <c r="BR120" s="684"/>
      <c r="BS120" s="684"/>
      <c r="BT120" s="684"/>
      <c r="BU120" s="684"/>
      <c r="BV120" s="684"/>
      <c r="BW120" s="684"/>
      <c r="BX120" s="684"/>
      <c r="BY120" s="684"/>
      <c r="BZ120" s="684"/>
      <c r="CA120" s="684"/>
    </row>
    <row r="121" spans="1:79" hidden="1" outlineLevel="1" x14ac:dyDescent="0.35">
      <c r="A121" s="574"/>
      <c r="B121" s="574"/>
      <c r="C121" s="574"/>
      <c r="D121" s="574"/>
      <c r="E121" s="574"/>
      <c r="F121" s="673" t="s">
        <v>679</v>
      </c>
      <c r="G121" s="694">
        <f>SUM(G117:G120)</f>
        <v>0</v>
      </c>
      <c r="H121" s="694">
        <f t="shared" ref="H121:BO121" si="35">SUM(H117:H120)</f>
        <v>0</v>
      </c>
      <c r="I121" s="694">
        <f t="shared" si="35"/>
        <v>0</v>
      </c>
      <c r="J121" s="694">
        <f t="shared" si="35"/>
        <v>0</v>
      </c>
      <c r="K121" s="694">
        <f t="shared" si="35"/>
        <v>0</v>
      </c>
      <c r="L121" s="694">
        <f t="shared" si="35"/>
        <v>0</v>
      </c>
      <c r="M121" s="694">
        <f t="shared" si="35"/>
        <v>0</v>
      </c>
      <c r="N121" s="694">
        <f t="shared" si="35"/>
        <v>0</v>
      </c>
      <c r="O121" s="694">
        <f t="shared" si="35"/>
        <v>0</v>
      </c>
      <c r="P121" s="694">
        <f t="shared" si="35"/>
        <v>0</v>
      </c>
      <c r="Q121" s="694">
        <f t="shared" si="35"/>
        <v>0</v>
      </c>
      <c r="R121" s="694">
        <f t="shared" si="35"/>
        <v>0</v>
      </c>
      <c r="S121" s="694">
        <f t="shared" ref="S121:AA121" si="36">ROUND(SUM(S116:S120),5)</f>
        <v>0</v>
      </c>
      <c r="T121" s="694">
        <f t="shared" si="36"/>
        <v>0</v>
      </c>
      <c r="U121" s="694">
        <f t="shared" si="36"/>
        <v>0</v>
      </c>
      <c r="V121" s="694">
        <f t="shared" si="36"/>
        <v>0</v>
      </c>
      <c r="W121" s="694">
        <f t="shared" si="36"/>
        <v>0</v>
      </c>
      <c r="X121" s="694">
        <f t="shared" si="36"/>
        <v>0</v>
      </c>
      <c r="Y121" s="694">
        <f t="shared" si="36"/>
        <v>0</v>
      </c>
      <c r="Z121" s="694">
        <f t="shared" si="36"/>
        <v>0</v>
      </c>
      <c r="AA121" s="694">
        <f t="shared" si="36"/>
        <v>0</v>
      </c>
      <c r="AB121" s="694">
        <f>ROUND(SUM(AB116:AB120),5)</f>
        <v>0</v>
      </c>
      <c r="AC121" s="694">
        <f>ROUND(SUM(AC116:AC120),5)</f>
        <v>0</v>
      </c>
      <c r="AD121" s="694">
        <v>0</v>
      </c>
      <c r="AE121" s="694">
        <f t="shared" si="35"/>
        <v>0</v>
      </c>
      <c r="AF121" s="694">
        <f t="shared" si="35"/>
        <v>0</v>
      </c>
      <c r="AG121" s="694">
        <f t="shared" si="35"/>
        <v>0</v>
      </c>
      <c r="AH121" s="694">
        <f t="shared" si="35"/>
        <v>0</v>
      </c>
      <c r="AI121" s="694">
        <f t="shared" si="35"/>
        <v>0</v>
      </c>
      <c r="AJ121" s="694">
        <f t="shared" si="35"/>
        <v>0</v>
      </c>
      <c r="AK121" s="694">
        <f t="shared" si="35"/>
        <v>0</v>
      </c>
      <c r="AL121" s="694">
        <f t="shared" si="35"/>
        <v>0</v>
      </c>
      <c r="AM121" s="694">
        <f t="shared" si="35"/>
        <v>0</v>
      </c>
      <c r="AN121" s="694">
        <f t="shared" si="35"/>
        <v>0</v>
      </c>
      <c r="AO121" s="694">
        <f t="shared" si="35"/>
        <v>0</v>
      </c>
      <c r="AP121" s="694">
        <f t="shared" si="35"/>
        <v>0</v>
      </c>
      <c r="AQ121" s="694">
        <f t="shared" si="35"/>
        <v>0</v>
      </c>
      <c r="AR121" s="694">
        <f t="shared" si="35"/>
        <v>0</v>
      </c>
      <c r="AS121" s="694">
        <f t="shared" si="35"/>
        <v>0</v>
      </c>
      <c r="AT121" s="694">
        <f t="shared" si="35"/>
        <v>0</v>
      </c>
      <c r="AU121" s="694">
        <f t="shared" si="35"/>
        <v>0</v>
      </c>
      <c r="AV121" s="694">
        <f t="shared" si="35"/>
        <v>0</v>
      </c>
      <c r="AW121" s="694">
        <f t="shared" si="35"/>
        <v>0</v>
      </c>
      <c r="AX121" s="694">
        <f t="shared" si="35"/>
        <v>0</v>
      </c>
      <c r="AY121" s="694">
        <f t="shared" si="35"/>
        <v>0</v>
      </c>
      <c r="AZ121" s="694">
        <f t="shared" si="35"/>
        <v>0</v>
      </c>
      <c r="BA121" s="694">
        <f t="shared" si="35"/>
        <v>0</v>
      </c>
      <c r="BB121" s="694">
        <f t="shared" si="35"/>
        <v>0</v>
      </c>
      <c r="BC121" s="694">
        <f t="shared" si="35"/>
        <v>0</v>
      </c>
      <c r="BD121" s="694">
        <f t="shared" si="35"/>
        <v>0</v>
      </c>
      <c r="BE121" s="694">
        <f t="shared" si="35"/>
        <v>0</v>
      </c>
      <c r="BF121" s="694">
        <f t="shared" si="35"/>
        <v>0</v>
      </c>
      <c r="BG121" s="694">
        <f t="shared" si="35"/>
        <v>0</v>
      </c>
      <c r="BH121" s="694">
        <f t="shared" si="35"/>
        <v>0</v>
      </c>
      <c r="BI121" s="694">
        <f t="shared" si="35"/>
        <v>0</v>
      </c>
      <c r="BJ121" s="694">
        <f t="shared" si="35"/>
        <v>0</v>
      </c>
      <c r="BK121" s="694">
        <f t="shared" si="35"/>
        <v>0</v>
      </c>
      <c r="BL121" s="694">
        <f t="shared" si="35"/>
        <v>0</v>
      </c>
      <c r="BM121" s="694">
        <f t="shared" si="35"/>
        <v>0</v>
      </c>
      <c r="BN121" s="694">
        <f t="shared" si="35"/>
        <v>0</v>
      </c>
      <c r="BO121" s="694">
        <f t="shared" si="35"/>
        <v>0</v>
      </c>
      <c r="BP121" s="694">
        <f t="shared" ref="BP121:CA121" si="37">SUM(BP117:BP120)</f>
        <v>0</v>
      </c>
      <c r="BQ121" s="694">
        <f t="shared" si="37"/>
        <v>0</v>
      </c>
      <c r="BR121" s="694">
        <f t="shared" si="37"/>
        <v>0</v>
      </c>
      <c r="BS121" s="694">
        <f t="shared" si="37"/>
        <v>0</v>
      </c>
      <c r="BT121" s="694">
        <f t="shared" si="37"/>
        <v>0</v>
      </c>
      <c r="BU121" s="694">
        <f t="shared" si="37"/>
        <v>0</v>
      </c>
      <c r="BV121" s="694">
        <f t="shared" si="37"/>
        <v>0</v>
      </c>
      <c r="BW121" s="694">
        <f t="shared" si="37"/>
        <v>0</v>
      </c>
      <c r="BX121" s="694">
        <f t="shared" si="37"/>
        <v>0</v>
      </c>
      <c r="BY121" s="694">
        <f t="shared" si="37"/>
        <v>0</v>
      </c>
      <c r="BZ121" s="694">
        <f t="shared" si="37"/>
        <v>0</v>
      </c>
      <c r="CA121" s="694">
        <f t="shared" si="37"/>
        <v>0</v>
      </c>
    </row>
    <row r="122" spans="1:79" hidden="1" outlineLevel="1" x14ac:dyDescent="0.35">
      <c r="F122" s="674" t="s">
        <v>604</v>
      </c>
      <c r="G122" s="681">
        <v>142.35149658710372</v>
      </c>
      <c r="H122" s="681">
        <v>216.27413023760329</v>
      </c>
      <c r="I122" s="681">
        <v>155.31878637063437</v>
      </c>
      <c r="J122" s="702">
        <v>193.55293937407626</v>
      </c>
      <c r="K122" s="702">
        <v>107.41115623407316</v>
      </c>
      <c r="L122" s="702">
        <v>345.98473222634544</v>
      </c>
      <c r="M122" s="702">
        <v>412.41417166350186</v>
      </c>
      <c r="N122" s="702">
        <v>246.22401395956166</v>
      </c>
      <c r="O122" s="702">
        <v>159.4158621475876</v>
      </c>
      <c r="P122" s="682">
        <v>201.75440571863567</v>
      </c>
      <c r="Q122" s="682">
        <v>202.89846958914978</v>
      </c>
      <c r="R122" s="682">
        <v>87.374708843095235</v>
      </c>
      <c r="S122" s="683">
        <v>1506.25</v>
      </c>
      <c r="T122" s="683">
        <v>1948.96</v>
      </c>
      <c r="U122" s="683">
        <v>304.5</v>
      </c>
      <c r="V122" s="683">
        <v>-173.78</v>
      </c>
      <c r="W122" s="683">
        <v>89.56</v>
      </c>
      <c r="X122" s="683">
        <v>0</v>
      </c>
      <c r="Y122" s="683">
        <v>96.51</v>
      </c>
      <c r="Z122" s="683">
        <v>151.97</v>
      </c>
      <c r="AA122" s="683">
        <v>966.98</v>
      </c>
      <c r="AB122" s="683">
        <v>335.82</v>
      </c>
      <c r="AC122" s="683">
        <v>231.75</v>
      </c>
      <c r="AD122" s="684">
        <v>96.26</v>
      </c>
      <c r="AE122" s="684"/>
      <c r="AF122" s="684"/>
      <c r="AG122" s="684"/>
      <c r="AH122" s="684"/>
      <c r="AI122" s="684"/>
      <c r="AJ122" s="684"/>
      <c r="AK122" s="684"/>
      <c r="AL122" s="684"/>
      <c r="AM122" s="684"/>
      <c r="AN122" s="684"/>
      <c r="AO122" s="684"/>
      <c r="AP122" s="684"/>
      <c r="AQ122" s="684"/>
      <c r="AR122" s="684"/>
      <c r="AS122" s="684"/>
      <c r="AT122" s="684"/>
      <c r="AU122" s="684"/>
      <c r="AV122" s="684"/>
      <c r="AW122" s="684"/>
      <c r="AX122" s="684"/>
      <c r="AY122" s="684"/>
      <c r="AZ122" s="684"/>
      <c r="BA122" s="684"/>
      <c r="BB122" s="684"/>
      <c r="BC122" s="684"/>
      <c r="BD122" s="684"/>
      <c r="BE122" s="684"/>
      <c r="BF122" s="684"/>
      <c r="BG122" s="684"/>
      <c r="BH122" s="684"/>
      <c r="BI122" s="684"/>
      <c r="BJ122" s="684"/>
      <c r="BK122" s="684"/>
      <c r="BL122" s="684"/>
      <c r="BM122" s="684"/>
      <c r="BN122" s="684"/>
      <c r="BO122" s="684"/>
      <c r="BP122" s="684"/>
      <c r="BQ122" s="684"/>
      <c r="BR122" s="684"/>
      <c r="BS122" s="684"/>
      <c r="BT122" s="684"/>
      <c r="BU122" s="684"/>
      <c r="BV122" s="684"/>
      <c r="BW122" s="684"/>
      <c r="BX122" s="684"/>
      <c r="BY122" s="684"/>
      <c r="BZ122" s="684"/>
      <c r="CA122" s="684"/>
    </row>
    <row r="123" spans="1:79" s="757" customFormat="1" hidden="1" outlineLevel="1" x14ac:dyDescent="0.35">
      <c r="A123" s="716"/>
      <c r="B123" s="716"/>
      <c r="C123" s="716"/>
      <c r="D123" s="716"/>
      <c r="E123" s="716"/>
      <c r="F123" s="717" t="s">
        <v>605</v>
      </c>
      <c r="G123" s="727"/>
      <c r="H123" s="727"/>
      <c r="I123" s="727"/>
      <c r="J123" s="727"/>
      <c r="K123" s="727"/>
      <c r="L123" s="727"/>
      <c r="M123" s="727"/>
      <c r="N123" s="727"/>
      <c r="O123" s="727"/>
      <c r="P123" s="727"/>
      <c r="Q123" s="727"/>
      <c r="R123" s="727"/>
      <c r="S123" s="713"/>
      <c r="T123" s="713"/>
      <c r="U123" s="713"/>
      <c r="V123" s="713"/>
      <c r="W123" s="713"/>
      <c r="X123" s="713"/>
      <c r="Y123" s="713"/>
      <c r="Z123" s="713"/>
      <c r="AA123" s="713"/>
      <c r="AB123" s="713"/>
      <c r="AC123" s="713"/>
      <c r="AD123" s="714"/>
      <c r="AE123" s="714"/>
      <c r="AF123" s="714"/>
      <c r="AG123" s="714"/>
      <c r="AH123" s="714"/>
      <c r="AI123" s="714"/>
      <c r="AJ123" s="714"/>
      <c r="AK123" s="714"/>
      <c r="AL123" s="714"/>
      <c r="AM123" s="714"/>
      <c r="AN123" s="714"/>
      <c r="AO123" s="714"/>
      <c r="AP123" s="714"/>
      <c r="AQ123" s="714"/>
      <c r="AR123" s="714"/>
      <c r="AS123" s="714"/>
      <c r="AT123" s="714"/>
      <c r="AU123" s="714"/>
      <c r="AV123" s="714"/>
      <c r="AW123" s="714"/>
      <c r="AX123" s="714"/>
      <c r="AY123" s="714"/>
      <c r="AZ123" s="714"/>
      <c r="BA123" s="714"/>
      <c r="BB123" s="714"/>
      <c r="BC123" s="714"/>
      <c r="BD123" s="714"/>
      <c r="BE123" s="714"/>
      <c r="BF123" s="714"/>
      <c r="BG123" s="714"/>
      <c r="BH123" s="714"/>
      <c r="BI123" s="714"/>
      <c r="BJ123" s="714"/>
      <c r="BK123" s="714"/>
      <c r="BL123" s="714"/>
      <c r="BM123" s="714"/>
      <c r="BN123" s="714"/>
      <c r="BO123" s="714"/>
      <c r="BP123" s="714"/>
      <c r="BQ123" s="714"/>
      <c r="BR123" s="714"/>
      <c r="BS123" s="714"/>
      <c r="BT123" s="714"/>
      <c r="BU123" s="714"/>
      <c r="BV123" s="714"/>
      <c r="BW123" s="714"/>
      <c r="BX123" s="714"/>
      <c r="BY123" s="714"/>
      <c r="BZ123" s="714"/>
      <c r="CA123" s="714"/>
    </row>
    <row r="124" spans="1:79" s="757" customFormat="1" hidden="1" outlineLevel="1" x14ac:dyDescent="0.35">
      <c r="A124" s="504"/>
      <c r="B124" s="504"/>
      <c r="C124" s="504"/>
      <c r="D124" s="504"/>
      <c r="E124" s="504"/>
      <c r="F124" s="672" t="s">
        <v>902</v>
      </c>
      <c r="G124" s="705"/>
      <c r="H124" s="705"/>
      <c r="I124" s="705"/>
      <c r="J124" s="705"/>
      <c r="K124" s="705"/>
      <c r="L124" s="705"/>
      <c r="M124" s="705"/>
      <c r="N124" s="705"/>
      <c r="O124" s="705"/>
      <c r="P124" s="705"/>
      <c r="Q124" s="705"/>
      <c r="R124" s="705"/>
      <c r="S124" s="687"/>
      <c r="T124" s="687"/>
      <c r="U124" s="687"/>
      <c r="V124" s="687"/>
      <c r="W124" s="687"/>
      <c r="X124" s="687"/>
      <c r="Y124" s="687"/>
      <c r="Z124" s="687"/>
      <c r="AA124" s="687"/>
      <c r="AB124" s="687"/>
      <c r="AC124" s="687"/>
      <c r="AD124" s="688"/>
      <c r="AE124" s="688"/>
      <c r="AF124" s="688"/>
      <c r="AG124" s="688"/>
      <c r="AH124" s="688"/>
      <c r="AI124" s="688"/>
      <c r="AJ124" s="688"/>
      <c r="AK124" s="688"/>
      <c r="AL124" s="688"/>
      <c r="AM124" s="688"/>
      <c r="AN124" s="688"/>
      <c r="AO124" s="688"/>
      <c r="AP124" s="688"/>
      <c r="AQ124" s="688"/>
      <c r="AR124" s="688"/>
      <c r="AS124" s="688"/>
      <c r="AT124" s="688"/>
      <c r="AU124" s="688"/>
      <c r="AV124" s="688"/>
      <c r="AW124" s="688"/>
      <c r="AX124" s="688"/>
      <c r="AY124" s="688"/>
      <c r="AZ124" s="688"/>
      <c r="BA124" s="688"/>
      <c r="BB124" s="688"/>
      <c r="BC124" s="688"/>
      <c r="BD124" s="688"/>
      <c r="BE124" s="688"/>
      <c r="BF124" s="688"/>
      <c r="BG124" s="688"/>
      <c r="BH124" s="688"/>
      <c r="BI124" s="688"/>
      <c r="BJ124" s="688"/>
      <c r="BK124" s="688"/>
      <c r="BL124" s="688"/>
      <c r="BM124" s="688"/>
      <c r="BN124" s="688"/>
      <c r="BO124" s="688"/>
      <c r="BP124" s="688"/>
      <c r="BQ124" s="688"/>
      <c r="BR124" s="688"/>
      <c r="BS124" s="688"/>
      <c r="BT124" s="688"/>
      <c r="BU124" s="688"/>
      <c r="BV124" s="688"/>
      <c r="BW124" s="688"/>
      <c r="BX124" s="688"/>
      <c r="BY124" s="688"/>
      <c r="BZ124" s="688"/>
      <c r="CA124" s="688"/>
    </row>
    <row r="125" spans="1:79" s="757" customFormat="1" hidden="1" outlineLevel="1" x14ac:dyDescent="0.35">
      <c r="A125" s="504"/>
      <c r="B125" s="504"/>
      <c r="C125" s="504"/>
      <c r="D125" s="504"/>
      <c r="E125" s="504"/>
      <c r="F125" s="677" t="s">
        <v>903</v>
      </c>
      <c r="G125" s="705"/>
      <c r="H125" s="705"/>
      <c r="I125" s="705"/>
      <c r="J125" s="705"/>
      <c r="K125" s="705"/>
      <c r="L125" s="705"/>
      <c r="M125" s="705"/>
      <c r="N125" s="705"/>
      <c r="O125" s="705"/>
      <c r="P125" s="705"/>
      <c r="Q125" s="705"/>
      <c r="R125" s="705"/>
      <c r="S125" s="687">
        <v>0</v>
      </c>
      <c r="T125" s="687">
        <v>0</v>
      </c>
      <c r="U125" s="687">
        <v>0</v>
      </c>
      <c r="V125" s="687">
        <v>0</v>
      </c>
      <c r="W125" s="687">
        <v>0</v>
      </c>
      <c r="X125" s="687">
        <v>0</v>
      </c>
      <c r="Y125" s="687">
        <v>0</v>
      </c>
      <c r="Z125" s="687">
        <v>0</v>
      </c>
      <c r="AA125" s="687">
        <v>0</v>
      </c>
      <c r="AB125" s="687">
        <v>0</v>
      </c>
      <c r="AC125" s="687">
        <v>8513.98</v>
      </c>
      <c r="AD125" s="688">
        <v>0</v>
      </c>
      <c r="AE125" s="688"/>
      <c r="AF125" s="688"/>
      <c r="AG125" s="688"/>
      <c r="AH125" s="688"/>
      <c r="AI125" s="688"/>
      <c r="AJ125" s="688"/>
      <c r="AK125" s="688"/>
      <c r="AL125" s="688"/>
      <c r="AM125" s="688"/>
      <c r="AN125" s="688"/>
      <c r="AO125" s="688"/>
      <c r="AP125" s="688"/>
      <c r="AQ125" s="688"/>
      <c r="AR125" s="688"/>
      <c r="AS125" s="688"/>
      <c r="AT125" s="688"/>
      <c r="AU125" s="688"/>
      <c r="AV125" s="688"/>
      <c r="AW125" s="688"/>
      <c r="AX125" s="688"/>
      <c r="AY125" s="688"/>
      <c r="AZ125" s="688"/>
      <c r="BA125" s="688"/>
      <c r="BB125" s="688"/>
      <c r="BC125" s="688"/>
      <c r="BD125" s="688"/>
      <c r="BE125" s="688"/>
      <c r="BF125" s="688"/>
      <c r="BG125" s="688"/>
      <c r="BH125" s="688"/>
      <c r="BI125" s="688"/>
      <c r="BJ125" s="688"/>
      <c r="BK125" s="688"/>
      <c r="BL125" s="688"/>
      <c r="BM125" s="688"/>
      <c r="BN125" s="688"/>
      <c r="BO125" s="688"/>
      <c r="BP125" s="688"/>
      <c r="BQ125" s="688"/>
      <c r="BR125" s="688"/>
      <c r="BS125" s="688"/>
      <c r="BT125" s="688"/>
      <c r="BU125" s="688"/>
      <c r="BV125" s="688"/>
      <c r="BW125" s="688"/>
      <c r="BX125" s="688"/>
      <c r="BY125" s="688"/>
      <c r="BZ125" s="688"/>
      <c r="CA125" s="688"/>
    </row>
    <row r="126" spans="1:79" s="757" customFormat="1" hidden="1" outlineLevel="1" x14ac:dyDescent="0.35">
      <c r="A126" s="504"/>
      <c r="B126" s="504"/>
      <c r="C126" s="504"/>
      <c r="D126" s="504"/>
      <c r="E126" s="504"/>
      <c r="F126" s="677" t="s">
        <v>904</v>
      </c>
      <c r="G126" s="705"/>
      <c r="H126" s="705"/>
      <c r="I126" s="705"/>
      <c r="J126" s="705"/>
      <c r="K126" s="705"/>
      <c r="L126" s="705"/>
      <c r="M126" s="705"/>
      <c r="N126" s="705"/>
      <c r="O126" s="705"/>
      <c r="P126" s="705"/>
      <c r="Q126" s="705"/>
      <c r="R126" s="705"/>
      <c r="S126" s="687">
        <v>0</v>
      </c>
      <c r="T126" s="687">
        <v>0</v>
      </c>
      <c r="U126" s="687">
        <v>0</v>
      </c>
      <c r="V126" s="687">
        <v>0</v>
      </c>
      <c r="W126" s="687">
        <v>0</v>
      </c>
      <c r="X126" s="687">
        <v>0</v>
      </c>
      <c r="Y126" s="687">
        <v>0</v>
      </c>
      <c r="Z126" s="687">
        <v>0</v>
      </c>
      <c r="AA126" s="687">
        <v>0</v>
      </c>
      <c r="AB126" s="687">
        <v>0</v>
      </c>
      <c r="AC126" s="687">
        <v>243.98</v>
      </c>
      <c r="AD126" s="688">
        <v>0</v>
      </c>
      <c r="AE126" s="688"/>
      <c r="AF126" s="688"/>
      <c r="AG126" s="688"/>
      <c r="AH126" s="688"/>
      <c r="AI126" s="688"/>
      <c r="AJ126" s="688"/>
      <c r="AK126" s="688"/>
      <c r="AL126" s="688"/>
      <c r="AM126" s="688"/>
      <c r="AN126" s="688"/>
      <c r="AO126" s="688"/>
      <c r="AP126" s="688"/>
      <c r="AQ126" s="688"/>
      <c r="AR126" s="688"/>
      <c r="AS126" s="688"/>
      <c r="AT126" s="688"/>
      <c r="AU126" s="688"/>
      <c r="AV126" s="688"/>
      <c r="AW126" s="688"/>
      <c r="AX126" s="688"/>
      <c r="AY126" s="688"/>
      <c r="AZ126" s="688"/>
      <c r="BA126" s="688"/>
      <c r="BB126" s="688"/>
      <c r="BC126" s="688"/>
      <c r="BD126" s="688"/>
      <c r="BE126" s="688"/>
      <c r="BF126" s="688"/>
      <c r="BG126" s="688"/>
      <c r="BH126" s="688"/>
      <c r="BI126" s="688"/>
      <c r="BJ126" s="688"/>
      <c r="BK126" s="688"/>
      <c r="BL126" s="688"/>
      <c r="BM126" s="688"/>
      <c r="BN126" s="688"/>
      <c r="BO126" s="688"/>
      <c r="BP126" s="688"/>
      <c r="BQ126" s="688"/>
      <c r="BR126" s="688"/>
      <c r="BS126" s="688"/>
      <c r="BT126" s="688"/>
      <c r="BU126" s="688"/>
      <c r="BV126" s="688"/>
      <c r="BW126" s="688"/>
      <c r="BX126" s="688"/>
      <c r="BY126" s="688"/>
      <c r="BZ126" s="688"/>
      <c r="CA126" s="688"/>
    </row>
    <row r="127" spans="1:79" s="757" customFormat="1" hidden="1" outlineLevel="1" x14ac:dyDescent="0.35">
      <c r="A127" s="504"/>
      <c r="B127" s="504"/>
      <c r="C127" s="504"/>
      <c r="D127" s="504"/>
      <c r="E127" s="504"/>
      <c r="F127" s="677" t="s">
        <v>905</v>
      </c>
      <c r="G127" s="705"/>
      <c r="H127" s="705"/>
      <c r="I127" s="705"/>
      <c r="J127" s="705"/>
      <c r="K127" s="705"/>
      <c r="L127" s="705"/>
      <c r="M127" s="705"/>
      <c r="N127" s="705"/>
      <c r="O127" s="705"/>
      <c r="P127" s="705"/>
      <c r="Q127" s="705"/>
      <c r="R127" s="705"/>
      <c r="S127" s="687">
        <v>0</v>
      </c>
      <c r="T127" s="687">
        <v>0</v>
      </c>
      <c r="U127" s="687">
        <v>0</v>
      </c>
      <c r="V127" s="687">
        <v>0</v>
      </c>
      <c r="W127" s="687">
        <v>0</v>
      </c>
      <c r="X127" s="687">
        <v>0</v>
      </c>
      <c r="Y127" s="687">
        <v>0</v>
      </c>
      <c r="Z127" s="687">
        <v>0</v>
      </c>
      <c r="AA127" s="687">
        <v>0</v>
      </c>
      <c r="AB127" s="687">
        <v>0</v>
      </c>
      <c r="AC127" s="687">
        <v>0</v>
      </c>
      <c r="AD127" s="688">
        <v>9720.32</v>
      </c>
      <c r="AE127" s="688"/>
      <c r="AF127" s="688"/>
      <c r="AG127" s="688"/>
      <c r="AH127" s="688"/>
      <c r="AI127" s="688"/>
      <c r="AJ127" s="688"/>
      <c r="AK127" s="688"/>
      <c r="AL127" s="688"/>
      <c r="AM127" s="688"/>
      <c r="AN127" s="688"/>
      <c r="AO127" s="688"/>
      <c r="AP127" s="688"/>
      <c r="AQ127" s="688"/>
      <c r="AR127" s="688"/>
      <c r="AS127" s="688"/>
      <c r="AT127" s="688"/>
      <c r="AU127" s="688"/>
      <c r="AV127" s="688"/>
      <c r="AW127" s="688"/>
      <c r="AX127" s="688"/>
      <c r="AY127" s="688"/>
      <c r="AZ127" s="688"/>
      <c r="BA127" s="688"/>
      <c r="BB127" s="688"/>
      <c r="BC127" s="688"/>
      <c r="BD127" s="688"/>
      <c r="BE127" s="688"/>
      <c r="BF127" s="688"/>
      <c r="BG127" s="688"/>
      <c r="BH127" s="688"/>
      <c r="BI127" s="688"/>
      <c r="BJ127" s="688"/>
      <c r="BK127" s="688"/>
      <c r="BL127" s="688"/>
      <c r="BM127" s="688"/>
      <c r="BN127" s="688"/>
      <c r="BO127" s="688"/>
      <c r="BP127" s="688"/>
      <c r="BQ127" s="688"/>
      <c r="BR127" s="688"/>
      <c r="BS127" s="688"/>
      <c r="BT127" s="688"/>
      <c r="BU127" s="688"/>
      <c r="BV127" s="688"/>
      <c r="BW127" s="688"/>
      <c r="BX127" s="688"/>
      <c r="BY127" s="688"/>
      <c r="BZ127" s="688"/>
      <c r="CA127" s="688"/>
    </row>
    <row r="128" spans="1:79" s="757" customFormat="1" hidden="1" outlineLevel="1" x14ac:dyDescent="0.35">
      <c r="A128" s="504"/>
      <c r="B128" s="504"/>
      <c r="C128" s="504"/>
      <c r="D128" s="504"/>
      <c r="E128" s="504"/>
      <c r="F128" s="677" t="s">
        <v>906</v>
      </c>
      <c r="G128" s="705"/>
      <c r="H128" s="705"/>
      <c r="I128" s="705"/>
      <c r="J128" s="705"/>
      <c r="K128" s="705"/>
      <c r="L128" s="705"/>
      <c r="M128" s="705"/>
      <c r="N128" s="705"/>
      <c r="O128" s="705"/>
      <c r="P128" s="705"/>
      <c r="Q128" s="705"/>
      <c r="R128" s="705"/>
      <c r="S128" s="687">
        <v>0</v>
      </c>
      <c r="T128" s="687">
        <v>0</v>
      </c>
      <c r="U128" s="687">
        <v>0</v>
      </c>
      <c r="V128" s="687">
        <v>0</v>
      </c>
      <c r="W128" s="687">
        <v>0</v>
      </c>
      <c r="X128" s="687">
        <v>0</v>
      </c>
      <c r="Y128" s="687">
        <v>0</v>
      </c>
      <c r="Z128" s="687">
        <v>0</v>
      </c>
      <c r="AA128" s="687">
        <v>0</v>
      </c>
      <c r="AB128" s="687">
        <v>0</v>
      </c>
      <c r="AC128" s="687">
        <v>0</v>
      </c>
      <c r="AD128" s="688">
        <v>0</v>
      </c>
      <c r="AE128" s="688"/>
      <c r="AF128" s="688"/>
      <c r="AG128" s="688"/>
      <c r="AH128" s="688"/>
      <c r="AI128" s="688"/>
      <c r="AJ128" s="688"/>
      <c r="AK128" s="688"/>
      <c r="AL128" s="688"/>
      <c r="AM128" s="688"/>
      <c r="AN128" s="688"/>
      <c r="AO128" s="688"/>
      <c r="AP128" s="688"/>
      <c r="AQ128" s="688"/>
      <c r="AR128" s="688"/>
      <c r="AS128" s="688"/>
      <c r="AT128" s="688"/>
      <c r="AU128" s="688"/>
      <c r="AV128" s="688"/>
      <c r="AW128" s="688"/>
      <c r="AX128" s="688"/>
      <c r="AY128" s="688"/>
      <c r="AZ128" s="688"/>
      <c r="BA128" s="688"/>
      <c r="BB128" s="688"/>
      <c r="BC128" s="688"/>
      <c r="BD128" s="688"/>
      <c r="BE128" s="688"/>
      <c r="BF128" s="688"/>
      <c r="BG128" s="688"/>
      <c r="BH128" s="688"/>
      <c r="BI128" s="688"/>
      <c r="BJ128" s="688"/>
      <c r="BK128" s="688"/>
      <c r="BL128" s="688"/>
      <c r="BM128" s="688"/>
      <c r="BN128" s="688"/>
      <c r="BO128" s="688"/>
      <c r="BP128" s="688"/>
      <c r="BQ128" s="688"/>
      <c r="BR128" s="688"/>
      <c r="BS128" s="688"/>
      <c r="BT128" s="688"/>
      <c r="BU128" s="688"/>
      <c r="BV128" s="688"/>
      <c r="BW128" s="688"/>
      <c r="BX128" s="688"/>
      <c r="BY128" s="688"/>
      <c r="BZ128" s="688"/>
      <c r="CA128" s="688"/>
    </row>
    <row r="129" spans="1:79" s="757" customFormat="1" hidden="1" outlineLevel="1" x14ac:dyDescent="0.35">
      <c r="A129" s="504"/>
      <c r="B129" s="504"/>
      <c r="C129" s="504"/>
      <c r="D129" s="504"/>
      <c r="E129" s="504"/>
      <c r="F129" s="677" t="s">
        <v>907</v>
      </c>
      <c r="G129" s="705"/>
      <c r="H129" s="705"/>
      <c r="I129" s="705"/>
      <c r="J129" s="705"/>
      <c r="K129" s="705"/>
      <c r="L129" s="705"/>
      <c r="M129" s="705"/>
      <c r="N129" s="705"/>
      <c r="O129" s="705"/>
      <c r="P129" s="705"/>
      <c r="Q129" s="705"/>
      <c r="R129" s="705"/>
      <c r="S129" s="687">
        <v>0</v>
      </c>
      <c r="T129" s="687">
        <v>0</v>
      </c>
      <c r="U129" s="687">
        <v>0</v>
      </c>
      <c r="V129" s="687">
        <v>0</v>
      </c>
      <c r="W129" s="687">
        <v>0</v>
      </c>
      <c r="X129" s="687">
        <v>0</v>
      </c>
      <c r="Y129" s="687">
        <v>0</v>
      </c>
      <c r="Z129" s="687">
        <v>0</v>
      </c>
      <c r="AA129" s="687">
        <v>0</v>
      </c>
      <c r="AB129" s="687">
        <v>0</v>
      </c>
      <c r="AC129" s="687">
        <v>0</v>
      </c>
      <c r="AD129" s="688">
        <v>0</v>
      </c>
      <c r="AE129" s="688"/>
      <c r="AF129" s="688"/>
      <c r="AG129" s="688"/>
      <c r="AH129" s="688"/>
      <c r="AI129" s="688"/>
      <c r="AJ129" s="688"/>
      <c r="AK129" s="688"/>
      <c r="AL129" s="688"/>
      <c r="AM129" s="688"/>
      <c r="AN129" s="688"/>
      <c r="AO129" s="688"/>
      <c r="AP129" s="688"/>
      <c r="AQ129" s="688"/>
      <c r="AR129" s="688"/>
      <c r="AS129" s="688"/>
      <c r="AT129" s="688"/>
      <c r="AU129" s="688"/>
      <c r="AV129" s="688"/>
      <c r="AW129" s="688"/>
      <c r="AX129" s="688"/>
      <c r="AY129" s="688"/>
      <c r="AZ129" s="688"/>
      <c r="BA129" s="688"/>
      <c r="BB129" s="688"/>
      <c r="BC129" s="688"/>
      <c r="BD129" s="688"/>
      <c r="BE129" s="688"/>
      <c r="BF129" s="688"/>
      <c r="BG129" s="688"/>
      <c r="BH129" s="688"/>
      <c r="BI129" s="688"/>
      <c r="BJ129" s="688"/>
      <c r="BK129" s="688"/>
      <c r="BL129" s="688"/>
      <c r="BM129" s="688"/>
      <c r="BN129" s="688"/>
      <c r="BO129" s="688"/>
      <c r="BP129" s="688"/>
      <c r="BQ129" s="688"/>
      <c r="BR129" s="688"/>
      <c r="BS129" s="688"/>
      <c r="BT129" s="688"/>
      <c r="BU129" s="688"/>
      <c r="BV129" s="688"/>
      <c r="BW129" s="688"/>
      <c r="BX129" s="688"/>
      <c r="BY129" s="688"/>
      <c r="BZ129" s="688"/>
      <c r="CA129" s="688"/>
    </row>
    <row r="130" spans="1:79" s="757" customFormat="1" hidden="1" outlineLevel="1" x14ac:dyDescent="0.35">
      <c r="A130" s="504"/>
      <c r="B130" s="504"/>
      <c r="C130" s="504"/>
      <c r="D130" s="504"/>
      <c r="E130" s="504"/>
      <c r="F130" s="673" t="s">
        <v>908</v>
      </c>
      <c r="G130" s="695">
        <f t="shared" ref="G130:R130" si="38">SUM(G124:G129)</f>
        <v>0</v>
      </c>
      <c r="H130" s="695">
        <f t="shared" si="38"/>
        <v>0</v>
      </c>
      <c r="I130" s="695">
        <f t="shared" si="38"/>
        <v>0</v>
      </c>
      <c r="J130" s="695">
        <f t="shared" si="38"/>
        <v>0</v>
      </c>
      <c r="K130" s="695">
        <f t="shared" si="38"/>
        <v>0</v>
      </c>
      <c r="L130" s="695">
        <f t="shared" si="38"/>
        <v>0</v>
      </c>
      <c r="M130" s="695">
        <f t="shared" si="38"/>
        <v>0</v>
      </c>
      <c r="N130" s="695">
        <f t="shared" si="38"/>
        <v>0</v>
      </c>
      <c r="O130" s="695">
        <f t="shared" si="38"/>
        <v>0</v>
      </c>
      <c r="P130" s="695">
        <f t="shared" si="38"/>
        <v>0</v>
      </c>
      <c r="Q130" s="695">
        <f t="shared" si="38"/>
        <v>0</v>
      </c>
      <c r="R130" s="695">
        <f t="shared" si="38"/>
        <v>0</v>
      </c>
      <c r="S130" s="695">
        <f t="shared" ref="S130:AB130" si="39">ROUND(SUM(S124:S129),5)</f>
        <v>0</v>
      </c>
      <c r="T130" s="695">
        <f t="shared" si="39"/>
        <v>0</v>
      </c>
      <c r="U130" s="695">
        <f t="shared" si="39"/>
        <v>0</v>
      </c>
      <c r="V130" s="695">
        <f t="shared" si="39"/>
        <v>0</v>
      </c>
      <c r="W130" s="695">
        <f t="shared" si="39"/>
        <v>0</v>
      </c>
      <c r="X130" s="695">
        <f t="shared" si="39"/>
        <v>0</v>
      </c>
      <c r="Y130" s="695">
        <f t="shared" si="39"/>
        <v>0</v>
      </c>
      <c r="Z130" s="695">
        <f t="shared" si="39"/>
        <v>0</v>
      </c>
      <c r="AA130" s="695">
        <f t="shared" si="39"/>
        <v>0</v>
      </c>
      <c r="AB130" s="695">
        <f t="shared" si="39"/>
        <v>0</v>
      </c>
      <c r="AC130" s="695">
        <f>ROUND(SUM(AC124:AC129),5)</f>
        <v>8757.9599999999991</v>
      </c>
      <c r="AD130" s="695">
        <v>9720.32</v>
      </c>
      <c r="AE130" s="695">
        <f t="shared" ref="AE130:BJ130" si="40">SUM(AE124:AE129)</f>
        <v>0</v>
      </c>
      <c r="AF130" s="695">
        <f t="shared" si="40"/>
        <v>0</v>
      </c>
      <c r="AG130" s="695">
        <f t="shared" si="40"/>
        <v>0</v>
      </c>
      <c r="AH130" s="695">
        <f t="shared" si="40"/>
        <v>0</v>
      </c>
      <c r="AI130" s="695">
        <f t="shared" si="40"/>
        <v>0</v>
      </c>
      <c r="AJ130" s="695">
        <f t="shared" si="40"/>
        <v>0</v>
      </c>
      <c r="AK130" s="695">
        <f t="shared" si="40"/>
        <v>0</v>
      </c>
      <c r="AL130" s="695">
        <f t="shared" si="40"/>
        <v>0</v>
      </c>
      <c r="AM130" s="695">
        <f t="shared" si="40"/>
        <v>0</v>
      </c>
      <c r="AN130" s="695">
        <f t="shared" si="40"/>
        <v>0</v>
      </c>
      <c r="AO130" s="695">
        <f t="shared" si="40"/>
        <v>0</v>
      </c>
      <c r="AP130" s="695">
        <f t="shared" si="40"/>
        <v>0</v>
      </c>
      <c r="AQ130" s="695">
        <f t="shared" si="40"/>
        <v>0</v>
      </c>
      <c r="AR130" s="695">
        <f t="shared" si="40"/>
        <v>0</v>
      </c>
      <c r="AS130" s="695">
        <f t="shared" si="40"/>
        <v>0</v>
      </c>
      <c r="AT130" s="695">
        <f t="shared" si="40"/>
        <v>0</v>
      </c>
      <c r="AU130" s="695">
        <f t="shared" si="40"/>
        <v>0</v>
      </c>
      <c r="AV130" s="695">
        <f t="shared" si="40"/>
        <v>0</v>
      </c>
      <c r="AW130" s="695">
        <f t="shared" si="40"/>
        <v>0</v>
      </c>
      <c r="AX130" s="695">
        <f t="shared" si="40"/>
        <v>0</v>
      </c>
      <c r="AY130" s="695">
        <f t="shared" si="40"/>
        <v>0</v>
      </c>
      <c r="AZ130" s="695">
        <f t="shared" si="40"/>
        <v>0</v>
      </c>
      <c r="BA130" s="695">
        <f t="shared" si="40"/>
        <v>0</v>
      </c>
      <c r="BB130" s="695">
        <f t="shared" si="40"/>
        <v>0</v>
      </c>
      <c r="BC130" s="695">
        <f t="shared" si="40"/>
        <v>0</v>
      </c>
      <c r="BD130" s="695">
        <f t="shared" si="40"/>
        <v>0</v>
      </c>
      <c r="BE130" s="695">
        <f t="shared" si="40"/>
        <v>0</v>
      </c>
      <c r="BF130" s="695">
        <f t="shared" si="40"/>
        <v>0</v>
      </c>
      <c r="BG130" s="695">
        <f t="shared" si="40"/>
        <v>0</v>
      </c>
      <c r="BH130" s="695">
        <f t="shared" si="40"/>
        <v>0</v>
      </c>
      <c r="BI130" s="695">
        <f t="shared" si="40"/>
        <v>0</v>
      </c>
      <c r="BJ130" s="695">
        <f t="shared" si="40"/>
        <v>0</v>
      </c>
      <c r="BK130" s="695">
        <f t="shared" ref="BK130:CA130" si="41">SUM(BK124:BK129)</f>
        <v>0</v>
      </c>
      <c r="BL130" s="695">
        <f t="shared" si="41"/>
        <v>0</v>
      </c>
      <c r="BM130" s="695">
        <f t="shared" si="41"/>
        <v>0</v>
      </c>
      <c r="BN130" s="695">
        <f t="shared" si="41"/>
        <v>0</v>
      </c>
      <c r="BO130" s="695">
        <f t="shared" si="41"/>
        <v>0</v>
      </c>
      <c r="BP130" s="695">
        <f t="shared" si="41"/>
        <v>0</v>
      </c>
      <c r="BQ130" s="695">
        <f t="shared" si="41"/>
        <v>0</v>
      </c>
      <c r="BR130" s="695">
        <f t="shared" si="41"/>
        <v>0</v>
      </c>
      <c r="BS130" s="695">
        <f t="shared" si="41"/>
        <v>0</v>
      </c>
      <c r="BT130" s="695">
        <f t="shared" si="41"/>
        <v>0</v>
      </c>
      <c r="BU130" s="695">
        <f t="shared" si="41"/>
        <v>0</v>
      </c>
      <c r="BV130" s="695">
        <f t="shared" si="41"/>
        <v>0</v>
      </c>
      <c r="BW130" s="695">
        <f t="shared" si="41"/>
        <v>0</v>
      </c>
      <c r="BX130" s="695">
        <f t="shared" si="41"/>
        <v>0</v>
      </c>
      <c r="BY130" s="695">
        <f t="shared" si="41"/>
        <v>0</v>
      </c>
      <c r="BZ130" s="695">
        <f t="shared" si="41"/>
        <v>0</v>
      </c>
      <c r="CA130" s="695">
        <f t="shared" si="41"/>
        <v>0</v>
      </c>
    </row>
    <row r="131" spans="1:79" s="757" customFormat="1" hidden="1" outlineLevel="1" x14ac:dyDescent="0.35">
      <c r="A131" s="716"/>
      <c r="B131" s="716"/>
      <c r="C131" s="716"/>
      <c r="D131" s="716"/>
      <c r="E131" s="716"/>
      <c r="F131" s="717" t="s">
        <v>630</v>
      </c>
      <c r="G131" s="727"/>
      <c r="H131" s="728"/>
      <c r="I131" s="728"/>
      <c r="J131" s="728"/>
      <c r="K131" s="728"/>
      <c r="L131" s="728"/>
      <c r="M131" s="728"/>
      <c r="N131" s="728"/>
      <c r="O131" s="728"/>
      <c r="P131" s="727"/>
      <c r="Q131" s="727"/>
      <c r="R131" s="727"/>
      <c r="S131" s="713"/>
      <c r="T131" s="713"/>
      <c r="U131" s="713"/>
      <c r="V131" s="713"/>
      <c r="W131" s="713"/>
      <c r="X131" s="713"/>
      <c r="Y131" s="713"/>
      <c r="Z131" s="713"/>
      <c r="AA131" s="713"/>
      <c r="AB131" s="713"/>
      <c r="AC131" s="713"/>
      <c r="AD131" s="714"/>
      <c r="AE131" s="714"/>
      <c r="AF131" s="714"/>
      <c r="AG131" s="714"/>
      <c r="AH131" s="714"/>
      <c r="AI131" s="714"/>
      <c r="AJ131" s="714"/>
      <c r="AK131" s="714"/>
      <c r="AL131" s="714"/>
      <c r="AM131" s="714"/>
      <c r="AN131" s="714"/>
      <c r="AO131" s="714"/>
      <c r="AP131" s="714"/>
      <c r="AQ131" s="714"/>
      <c r="AR131" s="714"/>
      <c r="AS131" s="714"/>
      <c r="AT131" s="714"/>
      <c r="AU131" s="714"/>
      <c r="AV131" s="714"/>
      <c r="AW131" s="714"/>
      <c r="AX131" s="714"/>
      <c r="AY131" s="714"/>
      <c r="AZ131" s="714"/>
      <c r="BA131" s="714"/>
      <c r="BB131" s="714"/>
      <c r="BC131" s="714"/>
      <c r="BD131" s="714"/>
      <c r="BE131" s="714"/>
      <c r="BF131" s="714"/>
      <c r="BG131" s="714"/>
      <c r="BH131" s="714"/>
      <c r="BI131" s="714"/>
      <c r="BJ131" s="714"/>
      <c r="BK131" s="714"/>
      <c r="BL131" s="714"/>
      <c r="BM131" s="714"/>
      <c r="BN131" s="714"/>
      <c r="BO131" s="714"/>
      <c r="BP131" s="714"/>
      <c r="BQ131" s="714"/>
      <c r="BR131" s="714"/>
      <c r="BS131" s="714"/>
      <c r="BT131" s="714"/>
      <c r="BU131" s="714"/>
      <c r="BV131" s="714"/>
      <c r="BW131" s="714"/>
      <c r="BX131" s="714"/>
      <c r="BY131" s="714"/>
      <c r="BZ131" s="714"/>
      <c r="CA131" s="714"/>
    </row>
    <row r="132" spans="1:79" s="452" customFormat="1" hidden="1" outlineLevel="1" x14ac:dyDescent="0.35">
      <c r="A132" s="80"/>
      <c r="B132" s="80"/>
      <c r="C132" s="80"/>
      <c r="D132" s="80"/>
      <c r="E132" s="80"/>
      <c r="F132" s="677" t="s">
        <v>631</v>
      </c>
      <c r="G132" s="731">
        <v>18.760000000000002</v>
      </c>
      <c r="H132" s="702">
        <v>19.34</v>
      </c>
      <c r="I132" s="702">
        <v>7.18</v>
      </c>
      <c r="J132" s="702">
        <v>2.76</v>
      </c>
      <c r="K132" s="702">
        <v>0.96</v>
      </c>
      <c r="L132" s="702">
        <v>2.35</v>
      </c>
      <c r="M132" s="702">
        <v>8.42</v>
      </c>
      <c r="N132" s="702">
        <v>8.6</v>
      </c>
      <c r="O132" s="702">
        <v>1.63</v>
      </c>
      <c r="P132" s="731">
        <v>0</v>
      </c>
      <c r="Q132" s="731">
        <v>0</v>
      </c>
      <c r="R132" s="731">
        <v>0.35</v>
      </c>
      <c r="S132" s="683">
        <v>35.450000000000003</v>
      </c>
      <c r="T132" s="683">
        <v>36.22</v>
      </c>
      <c r="U132" s="683">
        <v>16.43</v>
      </c>
      <c r="V132" s="683">
        <v>7.38</v>
      </c>
      <c r="W132" s="683">
        <v>1.1100000000000001</v>
      </c>
      <c r="X132" s="683">
        <v>5.57</v>
      </c>
      <c r="Y132" s="683">
        <v>3.11</v>
      </c>
      <c r="Z132" s="683">
        <v>6.56</v>
      </c>
      <c r="AA132" s="683">
        <v>4.93</v>
      </c>
      <c r="AB132" s="683">
        <v>0</v>
      </c>
      <c r="AC132" s="683">
        <v>0</v>
      </c>
      <c r="AD132" s="693">
        <v>4.9000000000000004</v>
      </c>
      <c r="AE132" s="693"/>
      <c r="AF132" s="693"/>
      <c r="AG132" s="693"/>
      <c r="AH132" s="693"/>
      <c r="AI132" s="693"/>
      <c r="AJ132" s="693"/>
      <c r="AK132" s="693"/>
      <c r="AL132" s="693"/>
      <c r="AM132" s="693"/>
      <c r="AN132" s="693"/>
      <c r="AO132" s="693"/>
      <c r="AP132" s="693"/>
      <c r="AQ132" s="693"/>
      <c r="AR132" s="693"/>
      <c r="AS132" s="693"/>
      <c r="AT132" s="693"/>
      <c r="AU132" s="693"/>
      <c r="AV132" s="693"/>
      <c r="AW132" s="693"/>
      <c r="AX132" s="693"/>
      <c r="AY132" s="693"/>
      <c r="AZ132" s="693"/>
      <c r="BA132" s="693"/>
      <c r="BB132" s="693"/>
      <c r="BC132" s="693"/>
      <c r="BD132" s="693"/>
      <c r="BE132" s="693"/>
      <c r="BF132" s="693"/>
      <c r="BG132" s="693"/>
      <c r="BH132" s="693"/>
      <c r="BI132" s="693"/>
      <c r="BJ132" s="693"/>
      <c r="BK132" s="693"/>
      <c r="BL132" s="693"/>
      <c r="BM132" s="693"/>
      <c r="BN132" s="693"/>
      <c r="BO132" s="693"/>
      <c r="BP132" s="693"/>
      <c r="BQ132" s="693"/>
      <c r="BR132" s="693"/>
      <c r="BS132" s="693"/>
      <c r="BT132" s="693"/>
      <c r="BU132" s="693"/>
      <c r="BV132" s="693"/>
      <c r="BW132" s="693"/>
      <c r="BX132" s="693"/>
      <c r="BY132" s="693"/>
      <c r="BZ132" s="693"/>
      <c r="CA132" s="693"/>
    </row>
    <row r="133" spans="1:79" s="452" customFormat="1" hidden="1" outlineLevel="1" x14ac:dyDescent="0.35">
      <c r="A133" s="80"/>
      <c r="B133" s="80"/>
      <c r="C133" s="80"/>
      <c r="D133" s="80"/>
      <c r="E133" s="80"/>
      <c r="F133" s="677" t="s">
        <v>632</v>
      </c>
      <c r="G133" s="731">
        <v>112.47</v>
      </c>
      <c r="H133" s="702">
        <v>116.14</v>
      </c>
      <c r="I133" s="702">
        <v>43.07</v>
      </c>
      <c r="J133" s="702">
        <v>16.54</v>
      </c>
      <c r="K133" s="702">
        <v>5.78</v>
      </c>
      <c r="L133" s="702">
        <v>14.08</v>
      </c>
      <c r="M133" s="702">
        <v>50.5</v>
      </c>
      <c r="N133" s="702">
        <v>51.65</v>
      </c>
      <c r="O133" s="702">
        <v>9.77</v>
      </c>
      <c r="P133" s="731">
        <v>0</v>
      </c>
      <c r="Q133" s="731">
        <v>0</v>
      </c>
      <c r="R133" s="731">
        <v>15.53</v>
      </c>
      <c r="S133" s="683">
        <v>353.17</v>
      </c>
      <c r="T133" s="683">
        <v>240.9</v>
      </c>
      <c r="U133" s="683">
        <v>146</v>
      </c>
      <c r="V133" s="683">
        <v>66.510000000000005</v>
      </c>
      <c r="W133" s="683">
        <v>11.57</v>
      </c>
      <c r="X133" s="683">
        <v>48.24</v>
      </c>
      <c r="Y133" s="683">
        <v>29.71</v>
      </c>
      <c r="Z133" s="683">
        <v>66.150000000000006</v>
      </c>
      <c r="AA133" s="683">
        <v>51.33</v>
      </c>
      <c r="AB133" s="683">
        <v>4.6100000000000003</v>
      </c>
      <c r="AC133" s="683">
        <v>7.27</v>
      </c>
      <c r="AD133" s="693">
        <v>53.58</v>
      </c>
      <c r="AE133" s="693"/>
      <c r="AF133" s="693"/>
      <c r="AG133" s="693"/>
      <c r="AH133" s="693"/>
      <c r="AI133" s="693"/>
      <c r="AJ133" s="693"/>
      <c r="AK133" s="693"/>
      <c r="AL133" s="693"/>
      <c r="AM133" s="693"/>
      <c r="AN133" s="693"/>
      <c r="AO133" s="693"/>
      <c r="AP133" s="693"/>
      <c r="AQ133" s="693"/>
      <c r="AR133" s="693"/>
      <c r="AS133" s="693"/>
      <c r="AT133" s="693"/>
      <c r="AU133" s="693"/>
      <c r="AV133" s="693"/>
      <c r="AW133" s="693"/>
      <c r="AX133" s="693"/>
      <c r="AY133" s="693"/>
      <c r="AZ133" s="693"/>
      <c r="BA133" s="693"/>
      <c r="BB133" s="693"/>
      <c r="BC133" s="693"/>
      <c r="BD133" s="693"/>
      <c r="BE133" s="693"/>
      <c r="BF133" s="693"/>
      <c r="BG133" s="693"/>
      <c r="BH133" s="693"/>
      <c r="BI133" s="693"/>
      <c r="BJ133" s="693"/>
      <c r="BK133" s="693"/>
      <c r="BL133" s="693"/>
      <c r="BM133" s="693"/>
      <c r="BN133" s="693"/>
      <c r="BO133" s="693"/>
      <c r="BP133" s="693"/>
      <c r="BQ133" s="693"/>
      <c r="BR133" s="693"/>
      <c r="BS133" s="693"/>
      <c r="BT133" s="693"/>
      <c r="BU133" s="693"/>
      <c r="BV133" s="693"/>
      <c r="BW133" s="693"/>
      <c r="BX133" s="693"/>
      <c r="BY133" s="693"/>
      <c r="BZ133" s="693"/>
      <c r="CA133" s="693"/>
    </row>
    <row r="134" spans="1:79" s="452" customFormat="1" hidden="1" outlineLevel="1" x14ac:dyDescent="0.35">
      <c r="A134" s="80"/>
      <c r="B134" s="80"/>
      <c r="C134" s="80"/>
      <c r="D134" s="80"/>
      <c r="E134" s="80"/>
      <c r="F134" s="677" t="s">
        <v>633</v>
      </c>
      <c r="G134" s="731">
        <v>271.8</v>
      </c>
      <c r="H134" s="702">
        <v>281.81</v>
      </c>
      <c r="I134" s="702">
        <v>279.57</v>
      </c>
      <c r="J134" s="702">
        <v>311.14999999999998</v>
      </c>
      <c r="K134" s="702">
        <v>388.68</v>
      </c>
      <c r="L134" s="702">
        <v>566.38</v>
      </c>
      <c r="M134" s="702">
        <v>405.05</v>
      </c>
      <c r="N134" s="702">
        <v>577.96</v>
      </c>
      <c r="O134" s="702">
        <v>423.43</v>
      </c>
      <c r="P134" s="731">
        <v>423.41</v>
      </c>
      <c r="Q134" s="731">
        <v>723.13</v>
      </c>
      <c r="R134" s="731">
        <v>751.31</v>
      </c>
      <c r="S134" s="683">
        <v>1686.26</v>
      </c>
      <c r="T134" s="683">
        <v>1433.72</v>
      </c>
      <c r="U134" s="683">
        <v>1833.59</v>
      </c>
      <c r="V134" s="683">
        <v>2162.7199999999998</v>
      </c>
      <c r="W134" s="683">
        <v>1941.99</v>
      </c>
      <c r="X134" s="683">
        <v>1696.86</v>
      </c>
      <c r="Y134" s="683">
        <v>1891.58</v>
      </c>
      <c r="Z134" s="683">
        <v>2007.78</v>
      </c>
      <c r="AA134" s="683">
        <v>1903.84</v>
      </c>
      <c r="AB134" s="683">
        <v>2361.84</v>
      </c>
      <c r="AC134" s="683">
        <v>1910.63</v>
      </c>
      <c r="AD134" s="693">
        <v>-4359.24</v>
      </c>
      <c r="AE134" s="693"/>
      <c r="AF134" s="693"/>
      <c r="AG134" s="693"/>
      <c r="AH134" s="693"/>
      <c r="AI134" s="693"/>
      <c r="AJ134" s="693"/>
      <c r="AK134" s="693"/>
      <c r="AL134" s="693"/>
      <c r="AM134" s="693"/>
      <c r="AN134" s="693"/>
      <c r="AO134" s="693"/>
      <c r="AP134" s="693"/>
      <c r="AQ134" s="693"/>
      <c r="AR134" s="693"/>
      <c r="AS134" s="693"/>
      <c r="AT134" s="693"/>
      <c r="AU134" s="693"/>
      <c r="AV134" s="693"/>
      <c r="AW134" s="693"/>
      <c r="AX134" s="693"/>
      <c r="AY134" s="693"/>
      <c r="AZ134" s="693"/>
      <c r="BA134" s="693"/>
      <c r="BB134" s="693"/>
      <c r="BC134" s="693"/>
      <c r="BD134" s="693"/>
      <c r="BE134" s="693"/>
      <c r="BF134" s="693"/>
      <c r="BG134" s="693"/>
      <c r="BH134" s="693"/>
      <c r="BI134" s="693"/>
      <c r="BJ134" s="693"/>
      <c r="BK134" s="693"/>
      <c r="BL134" s="693"/>
      <c r="BM134" s="693"/>
      <c r="BN134" s="693"/>
      <c r="BO134" s="693"/>
      <c r="BP134" s="693"/>
      <c r="BQ134" s="693"/>
      <c r="BR134" s="693"/>
      <c r="BS134" s="693"/>
      <c r="BT134" s="693"/>
      <c r="BU134" s="693"/>
      <c r="BV134" s="693"/>
      <c r="BW134" s="693"/>
      <c r="BX134" s="693"/>
      <c r="BY134" s="693"/>
      <c r="BZ134" s="693"/>
      <c r="CA134" s="693"/>
    </row>
    <row r="135" spans="1:79" s="452" customFormat="1" hidden="1" outlineLevel="1" x14ac:dyDescent="0.35">
      <c r="A135" s="80"/>
      <c r="B135" s="80"/>
      <c r="C135" s="80"/>
      <c r="D135" s="80"/>
      <c r="E135" s="80"/>
      <c r="F135" s="677" t="s">
        <v>634</v>
      </c>
      <c r="G135" s="731">
        <v>1608.7446745780485</v>
      </c>
      <c r="H135" s="702">
        <v>1531.4802695822175</v>
      </c>
      <c r="I135" s="702">
        <v>1336.1975843622097</v>
      </c>
      <c r="J135" s="702">
        <v>1461.092274063167</v>
      </c>
      <c r="K135" s="702">
        <v>1746.4384578935358</v>
      </c>
      <c r="L135" s="702">
        <v>2509.0514799410312</v>
      </c>
      <c r="M135" s="702">
        <v>1819.2348082787353</v>
      </c>
      <c r="N135" s="702">
        <v>2560.185917676466</v>
      </c>
      <c r="O135" s="702">
        <v>1899.7340444907425</v>
      </c>
      <c r="P135" s="731">
        <v>1899.7775134482779</v>
      </c>
      <c r="Q135" s="731">
        <v>3158.6757765359193</v>
      </c>
      <c r="R135" s="731">
        <v>3233.2355834778236</v>
      </c>
      <c r="S135" s="683">
        <v>4483.04</v>
      </c>
      <c r="T135" s="683">
        <v>3403.14</v>
      </c>
      <c r="U135" s="683">
        <v>5112.83</v>
      </c>
      <c r="V135" s="683">
        <v>6519.99</v>
      </c>
      <c r="W135" s="683">
        <v>5576.42</v>
      </c>
      <c r="X135" s="683">
        <v>4528.24</v>
      </c>
      <c r="Y135" s="683">
        <v>5360.81</v>
      </c>
      <c r="Z135" s="683">
        <v>5857.53</v>
      </c>
      <c r="AA135" s="683">
        <v>5413.17</v>
      </c>
      <c r="AB135" s="683">
        <v>7371.66</v>
      </c>
      <c r="AC135" s="683">
        <v>5442.35</v>
      </c>
      <c r="AD135" s="693">
        <v>11359.72</v>
      </c>
      <c r="AE135" s="693"/>
      <c r="AF135" s="693"/>
      <c r="AG135" s="693"/>
      <c r="AH135" s="693"/>
      <c r="AI135" s="693"/>
      <c r="AJ135" s="693"/>
      <c r="AK135" s="693"/>
      <c r="AL135" s="693"/>
      <c r="AM135" s="693"/>
      <c r="AN135" s="693"/>
      <c r="AO135" s="693"/>
      <c r="AP135" s="693"/>
      <c r="AQ135" s="693"/>
      <c r="AR135" s="693"/>
      <c r="AS135" s="693"/>
      <c r="AT135" s="693"/>
      <c r="AU135" s="693"/>
      <c r="AV135" s="693"/>
      <c r="AW135" s="693"/>
      <c r="AX135" s="693"/>
      <c r="AY135" s="693"/>
      <c r="AZ135" s="693"/>
      <c r="BA135" s="693"/>
      <c r="BB135" s="693"/>
      <c r="BC135" s="693"/>
      <c r="BD135" s="693"/>
      <c r="BE135" s="693"/>
      <c r="BF135" s="693"/>
      <c r="BG135" s="693"/>
      <c r="BH135" s="693"/>
      <c r="BI135" s="693"/>
      <c r="BJ135" s="693"/>
      <c r="BK135" s="693"/>
      <c r="BL135" s="693"/>
      <c r="BM135" s="693"/>
      <c r="BN135" s="693"/>
      <c r="BO135" s="693"/>
      <c r="BP135" s="693"/>
      <c r="BQ135" s="693"/>
      <c r="BR135" s="693"/>
      <c r="BS135" s="693"/>
      <c r="BT135" s="693"/>
      <c r="BU135" s="693"/>
      <c r="BV135" s="693"/>
      <c r="BW135" s="693"/>
      <c r="BX135" s="693"/>
      <c r="BY135" s="693"/>
      <c r="BZ135" s="693"/>
      <c r="CA135" s="693"/>
    </row>
    <row r="136" spans="1:79" s="452" customFormat="1" hidden="1" outlineLevel="1" x14ac:dyDescent="0.35">
      <c r="A136" s="80"/>
      <c r="B136" s="80"/>
      <c r="C136" s="80"/>
      <c r="D136" s="80"/>
      <c r="E136" s="80"/>
      <c r="F136" s="677" t="s">
        <v>635</v>
      </c>
      <c r="G136" s="731"/>
      <c r="H136" s="702"/>
      <c r="I136" s="702"/>
      <c r="J136" s="702"/>
      <c r="K136" s="702"/>
      <c r="L136" s="702"/>
      <c r="M136" s="702"/>
      <c r="N136" s="702"/>
      <c r="O136" s="702"/>
      <c r="P136" s="731"/>
      <c r="Q136" s="731"/>
      <c r="R136" s="731"/>
      <c r="S136" s="683">
        <v>276.42</v>
      </c>
      <c r="T136" s="683">
        <v>104.23</v>
      </c>
      <c r="U136" s="683">
        <v>117.46</v>
      </c>
      <c r="V136" s="683">
        <v>138.66</v>
      </c>
      <c r="W136" s="683">
        <v>72.3</v>
      </c>
      <c r="X136" s="683">
        <v>68.989999999999995</v>
      </c>
      <c r="Y136" s="683">
        <v>77.31</v>
      </c>
      <c r="Z136" s="683">
        <v>79.36</v>
      </c>
      <c r="AA136" s="683">
        <v>60.56</v>
      </c>
      <c r="AB136" s="683">
        <v>58.82</v>
      </c>
      <c r="AC136" s="683">
        <v>48.95</v>
      </c>
      <c r="AD136" s="693">
        <v>74.239999999999995</v>
      </c>
      <c r="AE136" s="693"/>
      <c r="AF136" s="693"/>
      <c r="AG136" s="693"/>
      <c r="AH136" s="693"/>
      <c r="AI136" s="693"/>
      <c r="AJ136" s="693"/>
      <c r="AK136" s="693"/>
      <c r="AL136" s="693"/>
      <c r="AM136" s="693"/>
      <c r="AN136" s="693"/>
      <c r="AO136" s="693"/>
      <c r="AP136" s="693"/>
      <c r="AQ136" s="693"/>
      <c r="AR136" s="693"/>
      <c r="AS136" s="693"/>
      <c r="AT136" s="693"/>
      <c r="AU136" s="693"/>
      <c r="AV136" s="693"/>
      <c r="AW136" s="693"/>
      <c r="AX136" s="693"/>
      <c r="AY136" s="693"/>
      <c r="AZ136" s="693"/>
      <c r="BA136" s="693"/>
      <c r="BB136" s="693"/>
      <c r="BC136" s="693"/>
      <c r="BD136" s="693"/>
      <c r="BE136" s="693"/>
      <c r="BF136" s="693"/>
      <c r="BG136" s="693"/>
      <c r="BH136" s="693"/>
      <c r="BI136" s="693"/>
      <c r="BJ136" s="693"/>
      <c r="BK136" s="693"/>
      <c r="BL136" s="693"/>
      <c r="BM136" s="693"/>
      <c r="BN136" s="693"/>
      <c r="BO136" s="693"/>
      <c r="BP136" s="693"/>
      <c r="BQ136" s="693"/>
      <c r="BR136" s="693"/>
      <c r="BS136" s="693"/>
      <c r="BT136" s="693"/>
      <c r="BU136" s="693"/>
      <c r="BV136" s="693"/>
      <c r="BW136" s="693"/>
      <c r="BX136" s="693"/>
      <c r="BY136" s="693"/>
      <c r="BZ136" s="693"/>
      <c r="CA136" s="693"/>
    </row>
    <row r="137" spans="1:79" s="452" customFormat="1" hidden="1" outlineLevel="1" x14ac:dyDescent="0.35">
      <c r="A137" s="80"/>
      <c r="B137" s="80"/>
      <c r="C137" s="80"/>
      <c r="D137" s="80"/>
      <c r="E137" s="80"/>
      <c r="F137" s="677" t="s">
        <v>636</v>
      </c>
      <c r="G137" s="731">
        <v>1012.19</v>
      </c>
      <c r="H137" s="702">
        <v>1045.3900000000001</v>
      </c>
      <c r="I137" s="702">
        <v>387.5</v>
      </c>
      <c r="J137" s="702">
        <v>148.9</v>
      </c>
      <c r="K137" s="702">
        <v>52.02</v>
      </c>
      <c r="L137" s="702">
        <v>126.7</v>
      </c>
      <c r="M137" s="702">
        <v>454.56</v>
      </c>
      <c r="N137" s="702">
        <v>464.85</v>
      </c>
      <c r="O137" s="702">
        <v>87.89</v>
      </c>
      <c r="P137" s="731">
        <v>0</v>
      </c>
      <c r="Q137" s="731">
        <v>0</v>
      </c>
      <c r="R137" s="731">
        <v>139.72999999999999</v>
      </c>
      <c r="S137" s="683">
        <v>2627.84</v>
      </c>
      <c r="T137" s="683">
        <v>2023.55</v>
      </c>
      <c r="U137" s="683">
        <v>1456.17</v>
      </c>
      <c r="V137" s="683">
        <v>1237.95</v>
      </c>
      <c r="W137" s="683">
        <v>535.91</v>
      </c>
      <c r="X137" s="683">
        <v>691.87</v>
      </c>
      <c r="Y137" s="683">
        <v>649.84</v>
      </c>
      <c r="Z137" s="683">
        <v>802.28</v>
      </c>
      <c r="AA137" s="683">
        <v>608.73</v>
      </c>
      <c r="AB137" s="683">
        <v>398.33</v>
      </c>
      <c r="AC137" s="683">
        <v>332.89</v>
      </c>
      <c r="AD137" s="693">
        <v>700.53</v>
      </c>
      <c r="AE137" s="693"/>
      <c r="AF137" s="693"/>
      <c r="AG137" s="693"/>
      <c r="AH137" s="693"/>
      <c r="AI137" s="693"/>
      <c r="AJ137" s="693"/>
      <c r="AK137" s="693"/>
      <c r="AL137" s="693"/>
      <c r="AM137" s="693"/>
      <c r="AN137" s="693"/>
      <c r="AO137" s="693"/>
      <c r="AP137" s="693"/>
      <c r="AQ137" s="693"/>
      <c r="AR137" s="693"/>
      <c r="AS137" s="693"/>
      <c r="AT137" s="693"/>
      <c r="AU137" s="693"/>
      <c r="AV137" s="693"/>
      <c r="AW137" s="693"/>
      <c r="AX137" s="693"/>
      <c r="AY137" s="693"/>
      <c r="AZ137" s="693"/>
      <c r="BA137" s="693"/>
      <c r="BB137" s="693"/>
      <c r="BC137" s="693"/>
      <c r="BD137" s="693"/>
      <c r="BE137" s="693"/>
      <c r="BF137" s="693"/>
      <c r="BG137" s="693"/>
      <c r="BH137" s="693"/>
      <c r="BI137" s="693"/>
      <c r="BJ137" s="693"/>
      <c r="BK137" s="693"/>
      <c r="BL137" s="693"/>
      <c r="BM137" s="693"/>
      <c r="BN137" s="693"/>
      <c r="BO137" s="693"/>
      <c r="BP137" s="693"/>
      <c r="BQ137" s="693"/>
      <c r="BR137" s="693"/>
      <c r="BS137" s="693"/>
      <c r="BT137" s="693"/>
      <c r="BU137" s="693"/>
      <c r="BV137" s="693"/>
      <c r="BW137" s="693"/>
      <c r="BX137" s="693"/>
      <c r="BY137" s="693"/>
      <c r="BZ137" s="693"/>
      <c r="CA137" s="693"/>
    </row>
    <row r="138" spans="1:79" s="452" customFormat="1" hidden="1" outlineLevel="1" x14ac:dyDescent="0.35">
      <c r="A138" s="580"/>
      <c r="B138" s="580"/>
      <c r="C138" s="580"/>
      <c r="D138" s="580"/>
      <c r="E138" s="580"/>
      <c r="F138" s="677" t="s">
        <v>909</v>
      </c>
      <c r="G138" s="731"/>
      <c r="H138" s="702"/>
      <c r="I138" s="702"/>
      <c r="J138" s="702"/>
      <c r="K138" s="702"/>
      <c r="L138" s="702"/>
      <c r="M138" s="702"/>
      <c r="N138" s="702"/>
      <c r="O138" s="702"/>
      <c r="P138" s="731"/>
      <c r="Q138" s="731"/>
      <c r="R138" s="731"/>
      <c r="S138" s="683">
        <v>0</v>
      </c>
      <c r="T138" s="683">
        <v>0</v>
      </c>
      <c r="U138" s="683">
        <v>0</v>
      </c>
      <c r="V138" s="683">
        <v>0</v>
      </c>
      <c r="W138" s="683">
        <v>0</v>
      </c>
      <c r="X138" s="683">
        <v>0</v>
      </c>
      <c r="Y138" s="683">
        <v>0</v>
      </c>
      <c r="Z138" s="683">
        <v>0</v>
      </c>
      <c r="AA138" s="683">
        <v>0</v>
      </c>
      <c r="AB138" s="683">
        <v>0</v>
      </c>
      <c r="AC138" s="683">
        <v>0</v>
      </c>
      <c r="AD138" s="693">
        <v>0</v>
      </c>
      <c r="AE138" s="693"/>
      <c r="AF138" s="693"/>
      <c r="AG138" s="693"/>
      <c r="AH138" s="693"/>
      <c r="AI138" s="693"/>
      <c r="AJ138" s="693"/>
      <c r="AK138" s="693"/>
      <c r="AL138" s="693"/>
      <c r="AM138" s="693"/>
      <c r="AN138" s="693"/>
      <c r="AO138" s="693"/>
      <c r="AP138" s="693"/>
      <c r="AQ138" s="693"/>
      <c r="AR138" s="693"/>
      <c r="AS138" s="693"/>
      <c r="AT138" s="693"/>
      <c r="AU138" s="693"/>
      <c r="AV138" s="693"/>
      <c r="AW138" s="693"/>
      <c r="AX138" s="693"/>
      <c r="AY138" s="693"/>
      <c r="AZ138" s="693"/>
      <c r="BA138" s="693"/>
      <c r="BB138" s="693"/>
      <c r="BC138" s="693"/>
      <c r="BD138" s="693"/>
      <c r="BE138" s="693"/>
      <c r="BF138" s="693"/>
      <c r="BG138" s="693"/>
      <c r="BH138" s="693"/>
      <c r="BI138" s="693"/>
      <c r="BJ138" s="693"/>
      <c r="BK138" s="693"/>
      <c r="BL138" s="693"/>
      <c r="BM138" s="693"/>
      <c r="BN138" s="693"/>
      <c r="BO138" s="693"/>
      <c r="BP138" s="693"/>
      <c r="BQ138" s="693"/>
      <c r="BR138" s="693"/>
      <c r="BS138" s="693"/>
      <c r="BT138" s="693"/>
      <c r="BU138" s="693"/>
      <c r="BV138" s="693"/>
      <c r="BW138" s="693"/>
      <c r="BX138" s="693"/>
      <c r="BY138" s="693"/>
      <c r="BZ138" s="693"/>
      <c r="CA138" s="693"/>
    </row>
    <row r="139" spans="1:79" s="452" customFormat="1" hidden="1" outlineLevel="1" x14ac:dyDescent="0.35">
      <c r="A139" s="80"/>
      <c r="B139" s="80"/>
      <c r="C139" s="80"/>
      <c r="D139" s="80"/>
      <c r="E139" s="80"/>
      <c r="F139" s="677" t="s">
        <v>637</v>
      </c>
      <c r="G139" s="731">
        <v>0</v>
      </c>
      <c r="H139" s="702"/>
      <c r="I139" s="702"/>
      <c r="J139" s="702"/>
      <c r="K139" s="702"/>
      <c r="L139" s="702"/>
      <c r="M139" s="702"/>
      <c r="N139" s="702"/>
      <c r="O139" s="702"/>
      <c r="P139" s="683"/>
      <c r="Q139" s="731">
        <v>0</v>
      </c>
      <c r="R139" s="731"/>
      <c r="S139" s="683">
        <v>0</v>
      </c>
      <c r="T139" s="683">
        <v>0</v>
      </c>
      <c r="U139" s="683">
        <v>2463.8000000000002</v>
      </c>
      <c r="V139" s="683">
        <v>-2463.8000000000002</v>
      </c>
      <c r="W139" s="683">
        <v>0</v>
      </c>
      <c r="X139" s="683">
        <v>0</v>
      </c>
      <c r="Y139" s="683">
        <v>0</v>
      </c>
      <c r="Z139" s="683">
        <v>0</v>
      </c>
      <c r="AA139" s="683">
        <v>0</v>
      </c>
      <c r="AB139" s="683">
        <v>0</v>
      </c>
      <c r="AC139" s="683">
        <v>0</v>
      </c>
      <c r="AD139" s="693">
        <v>0</v>
      </c>
      <c r="AE139" s="693"/>
      <c r="AF139" s="693"/>
      <c r="AG139" s="693"/>
      <c r="AH139" s="693"/>
      <c r="AI139" s="693"/>
      <c r="AJ139" s="693"/>
      <c r="AK139" s="693"/>
      <c r="AL139" s="693"/>
      <c r="AM139" s="693"/>
      <c r="AN139" s="693"/>
      <c r="AO139" s="693"/>
      <c r="AP139" s="693"/>
      <c r="AQ139" s="693"/>
      <c r="AR139" s="693"/>
      <c r="AS139" s="693"/>
      <c r="AT139" s="693"/>
      <c r="AU139" s="693"/>
      <c r="AV139" s="693"/>
      <c r="AW139" s="693"/>
      <c r="AX139" s="693"/>
      <c r="AY139" s="693"/>
      <c r="AZ139" s="693"/>
      <c r="BA139" s="693"/>
      <c r="BB139" s="693"/>
      <c r="BC139" s="693"/>
      <c r="BD139" s="693"/>
      <c r="BE139" s="693"/>
      <c r="BF139" s="693"/>
      <c r="BG139" s="693"/>
      <c r="BH139" s="693"/>
      <c r="BI139" s="693"/>
      <c r="BJ139" s="693"/>
      <c r="BK139" s="693"/>
      <c r="BL139" s="693"/>
      <c r="BM139" s="693"/>
      <c r="BN139" s="693"/>
      <c r="BO139" s="693"/>
      <c r="BP139" s="693"/>
      <c r="BQ139" s="693"/>
      <c r="BR139" s="693"/>
      <c r="BS139" s="693"/>
      <c r="BT139" s="693"/>
      <c r="BU139" s="693"/>
      <c r="BV139" s="693"/>
      <c r="BW139" s="693"/>
      <c r="BX139" s="693"/>
      <c r="BY139" s="693"/>
      <c r="BZ139" s="693"/>
      <c r="CA139" s="693"/>
    </row>
    <row r="140" spans="1:79" s="757" customFormat="1" hidden="1" outlineLevel="1" x14ac:dyDescent="0.35">
      <c r="A140" s="504"/>
      <c r="B140" s="504"/>
      <c r="C140" s="504"/>
      <c r="D140" s="504"/>
      <c r="E140" s="504"/>
      <c r="F140" s="673" t="s">
        <v>638</v>
      </c>
      <c r="G140" s="695">
        <f>SUM(G132:G139)</f>
        <v>3023.9646745780483</v>
      </c>
      <c r="H140" s="695">
        <f t="shared" ref="H140:BO140" si="42">SUM(H132:H139)</f>
        <v>2994.1602695822176</v>
      </c>
      <c r="I140" s="695">
        <f t="shared" si="42"/>
        <v>2053.5175843622096</v>
      </c>
      <c r="J140" s="695">
        <f t="shared" si="42"/>
        <v>1940.4422740631671</v>
      </c>
      <c r="K140" s="695">
        <f t="shared" si="42"/>
        <v>2193.8784578935356</v>
      </c>
      <c r="L140" s="695">
        <f t="shared" si="42"/>
        <v>3218.5614799410309</v>
      </c>
      <c r="M140" s="695">
        <f t="shared" si="42"/>
        <v>2737.764808278735</v>
      </c>
      <c r="N140" s="695">
        <f t="shared" si="42"/>
        <v>3663.245917676466</v>
      </c>
      <c r="O140" s="695">
        <f t="shared" si="42"/>
        <v>2422.4540444907425</v>
      </c>
      <c r="P140" s="695">
        <f t="shared" si="42"/>
        <v>2323.187513448278</v>
      </c>
      <c r="Q140" s="695">
        <f t="shared" si="42"/>
        <v>3881.8057765359194</v>
      </c>
      <c r="R140" s="695">
        <f t="shared" si="42"/>
        <v>4140.1555834778237</v>
      </c>
      <c r="S140" s="695">
        <f t="shared" ref="S140:AA140" si="43">ROUND(SUM(S131:S139),5)</f>
        <v>9462.18</v>
      </c>
      <c r="T140" s="695">
        <f t="shared" si="43"/>
        <v>7241.76</v>
      </c>
      <c r="U140" s="695">
        <f t="shared" si="43"/>
        <v>11146.28</v>
      </c>
      <c r="V140" s="695">
        <f t="shared" si="43"/>
        <v>7669.41</v>
      </c>
      <c r="W140" s="695">
        <f t="shared" si="43"/>
        <v>8139.3</v>
      </c>
      <c r="X140" s="695">
        <f t="shared" si="43"/>
        <v>7039.77</v>
      </c>
      <c r="Y140" s="695">
        <f t="shared" si="43"/>
        <v>8012.36</v>
      </c>
      <c r="Z140" s="695">
        <f t="shared" si="43"/>
        <v>8819.66</v>
      </c>
      <c r="AA140" s="695">
        <f t="shared" si="43"/>
        <v>8042.56</v>
      </c>
      <c r="AB140" s="695">
        <f>ROUND(SUM(AB131:AB139),5)</f>
        <v>10195.26</v>
      </c>
      <c r="AC140" s="695">
        <f>ROUND(SUM(AC131:AC139),5)</f>
        <v>7742.09</v>
      </c>
      <c r="AD140" s="695">
        <v>7833.73</v>
      </c>
      <c r="AE140" s="695">
        <f t="shared" si="42"/>
        <v>0</v>
      </c>
      <c r="AF140" s="695">
        <f t="shared" si="42"/>
        <v>0</v>
      </c>
      <c r="AG140" s="695">
        <f t="shared" si="42"/>
        <v>0</v>
      </c>
      <c r="AH140" s="695">
        <f t="shared" si="42"/>
        <v>0</v>
      </c>
      <c r="AI140" s="695">
        <f t="shared" si="42"/>
        <v>0</v>
      </c>
      <c r="AJ140" s="695">
        <f t="shared" si="42"/>
        <v>0</v>
      </c>
      <c r="AK140" s="695">
        <f t="shared" si="42"/>
        <v>0</v>
      </c>
      <c r="AL140" s="695">
        <f t="shared" si="42"/>
        <v>0</v>
      </c>
      <c r="AM140" s="695">
        <f t="shared" si="42"/>
        <v>0</v>
      </c>
      <c r="AN140" s="695">
        <f t="shared" si="42"/>
        <v>0</v>
      </c>
      <c r="AO140" s="695">
        <f t="shared" si="42"/>
        <v>0</v>
      </c>
      <c r="AP140" s="695">
        <f t="shared" si="42"/>
        <v>0</v>
      </c>
      <c r="AQ140" s="695">
        <f t="shared" si="42"/>
        <v>0</v>
      </c>
      <c r="AR140" s="695">
        <f t="shared" si="42"/>
        <v>0</v>
      </c>
      <c r="AS140" s="695">
        <f t="shared" si="42"/>
        <v>0</v>
      </c>
      <c r="AT140" s="695">
        <f t="shared" si="42"/>
        <v>0</v>
      </c>
      <c r="AU140" s="695">
        <f t="shared" si="42"/>
        <v>0</v>
      </c>
      <c r="AV140" s="695">
        <f t="shared" si="42"/>
        <v>0</v>
      </c>
      <c r="AW140" s="695">
        <f t="shared" si="42"/>
        <v>0</v>
      </c>
      <c r="AX140" s="695">
        <f t="shared" si="42"/>
        <v>0</v>
      </c>
      <c r="AY140" s="695">
        <f t="shared" si="42"/>
        <v>0</v>
      </c>
      <c r="AZ140" s="695">
        <f t="shared" si="42"/>
        <v>0</v>
      </c>
      <c r="BA140" s="695">
        <f t="shared" si="42"/>
        <v>0</v>
      </c>
      <c r="BB140" s="695">
        <f t="shared" si="42"/>
        <v>0</v>
      </c>
      <c r="BC140" s="695">
        <f t="shared" si="42"/>
        <v>0</v>
      </c>
      <c r="BD140" s="695">
        <f t="shared" si="42"/>
        <v>0</v>
      </c>
      <c r="BE140" s="695">
        <f t="shared" si="42"/>
        <v>0</v>
      </c>
      <c r="BF140" s="695">
        <f t="shared" si="42"/>
        <v>0</v>
      </c>
      <c r="BG140" s="695">
        <f t="shared" si="42"/>
        <v>0</v>
      </c>
      <c r="BH140" s="695">
        <f t="shared" si="42"/>
        <v>0</v>
      </c>
      <c r="BI140" s="695">
        <f t="shared" si="42"/>
        <v>0</v>
      </c>
      <c r="BJ140" s="695">
        <f t="shared" si="42"/>
        <v>0</v>
      </c>
      <c r="BK140" s="695">
        <f t="shared" si="42"/>
        <v>0</v>
      </c>
      <c r="BL140" s="695">
        <f t="shared" si="42"/>
        <v>0</v>
      </c>
      <c r="BM140" s="695">
        <f t="shared" si="42"/>
        <v>0</v>
      </c>
      <c r="BN140" s="695">
        <f t="shared" si="42"/>
        <v>0</v>
      </c>
      <c r="BO140" s="695">
        <f t="shared" si="42"/>
        <v>0</v>
      </c>
      <c r="BP140" s="695">
        <f t="shared" ref="BP140:CA140" si="44">SUM(BP132:BP139)</f>
        <v>0</v>
      </c>
      <c r="BQ140" s="695">
        <f t="shared" si="44"/>
        <v>0</v>
      </c>
      <c r="BR140" s="695">
        <f t="shared" si="44"/>
        <v>0</v>
      </c>
      <c r="BS140" s="695">
        <f t="shared" si="44"/>
        <v>0</v>
      </c>
      <c r="BT140" s="695">
        <f t="shared" si="44"/>
        <v>0</v>
      </c>
      <c r="BU140" s="695">
        <f t="shared" si="44"/>
        <v>0</v>
      </c>
      <c r="BV140" s="695">
        <f t="shared" si="44"/>
        <v>0</v>
      </c>
      <c r="BW140" s="695">
        <f t="shared" si="44"/>
        <v>0</v>
      </c>
      <c r="BX140" s="695">
        <f t="shared" si="44"/>
        <v>0</v>
      </c>
      <c r="BY140" s="695">
        <f t="shared" si="44"/>
        <v>0</v>
      </c>
      <c r="BZ140" s="695">
        <f t="shared" si="44"/>
        <v>0</v>
      </c>
      <c r="CA140" s="695">
        <f t="shared" si="44"/>
        <v>0</v>
      </c>
    </row>
    <row r="141" spans="1:79" s="757" customFormat="1" hidden="1" outlineLevel="1" x14ac:dyDescent="0.35">
      <c r="A141" s="716"/>
      <c r="B141" s="716"/>
      <c r="C141" s="716"/>
      <c r="D141" s="716"/>
      <c r="E141" s="716"/>
      <c r="F141" s="717" t="s">
        <v>639</v>
      </c>
      <c r="G141" s="727"/>
      <c r="H141" s="728"/>
      <c r="I141" s="728"/>
      <c r="J141" s="728"/>
      <c r="K141" s="728"/>
      <c r="L141" s="728"/>
      <c r="M141" s="728"/>
      <c r="N141" s="728"/>
      <c r="O141" s="728"/>
      <c r="P141" s="727"/>
      <c r="Q141" s="727"/>
      <c r="R141" s="727"/>
      <c r="S141" s="713"/>
      <c r="T141" s="713"/>
      <c r="U141" s="713"/>
      <c r="V141" s="713"/>
      <c r="W141" s="713"/>
      <c r="X141" s="713"/>
      <c r="Y141" s="713"/>
      <c r="Z141" s="713"/>
      <c r="AA141" s="713"/>
      <c r="AB141" s="713"/>
      <c r="AC141" s="713"/>
      <c r="AD141" s="714"/>
      <c r="AE141" s="714"/>
      <c r="AF141" s="714"/>
      <c r="AG141" s="714"/>
      <c r="AH141" s="714"/>
      <c r="AI141" s="714"/>
      <c r="AJ141" s="714"/>
      <c r="AK141" s="714"/>
      <c r="AL141" s="714"/>
      <c r="AM141" s="714"/>
      <c r="AN141" s="714"/>
      <c r="AO141" s="714"/>
      <c r="AP141" s="714"/>
      <c r="AQ141" s="714"/>
      <c r="AR141" s="714"/>
      <c r="AS141" s="714"/>
      <c r="AT141" s="714"/>
      <c r="AU141" s="714"/>
      <c r="AV141" s="714"/>
      <c r="AW141" s="714"/>
      <c r="AX141" s="714"/>
      <c r="AY141" s="714"/>
      <c r="AZ141" s="714"/>
      <c r="BA141" s="714"/>
      <c r="BB141" s="714"/>
      <c r="BC141" s="714"/>
      <c r="BD141" s="714"/>
      <c r="BE141" s="714"/>
      <c r="BF141" s="714"/>
      <c r="BG141" s="714"/>
      <c r="BH141" s="714"/>
      <c r="BI141" s="714"/>
      <c r="BJ141" s="714"/>
      <c r="BK141" s="714"/>
      <c r="BL141" s="714"/>
      <c r="BM141" s="714"/>
      <c r="BN141" s="714"/>
      <c r="BO141" s="714"/>
      <c r="BP141" s="714"/>
      <c r="BQ141" s="714"/>
      <c r="BR141" s="714"/>
      <c r="BS141" s="714"/>
      <c r="BT141" s="714"/>
      <c r="BU141" s="714"/>
      <c r="BV141" s="714"/>
      <c r="BW141" s="714"/>
      <c r="BX141" s="714"/>
      <c r="BY141" s="714"/>
      <c r="BZ141" s="714"/>
      <c r="CA141" s="714"/>
    </row>
    <row r="142" spans="1:79" s="43" customFormat="1" hidden="1" outlineLevel="1" x14ac:dyDescent="0.35">
      <c r="A142" s="80"/>
      <c r="B142" s="80"/>
      <c r="C142" s="80"/>
      <c r="D142" s="80"/>
      <c r="E142" s="80"/>
      <c r="F142" s="677" t="s">
        <v>9</v>
      </c>
      <c r="G142" s="731">
        <v>240</v>
      </c>
      <c r="H142" s="702">
        <v>240</v>
      </c>
      <c r="I142" s="702">
        <v>240</v>
      </c>
      <c r="J142" s="702">
        <v>240</v>
      </c>
      <c r="K142" s="702">
        <v>4827.37</v>
      </c>
      <c r="L142" s="702">
        <v>275</v>
      </c>
      <c r="M142" s="702">
        <v>222.5</v>
      </c>
      <c r="N142" s="702">
        <v>10683.18</v>
      </c>
      <c r="O142" s="702">
        <v>240</v>
      </c>
      <c r="P142" s="731">
        <v>240</v>
      </c>
      <c r="Q142" s="731">
        <v>4792.87</v>
      </c>
      <c r="R142" s="731">
        <v>22249.41</v>
      </c>
      <c r="S142" s="683">
        <v>16338.01</v>
      </c>
      <c r="T142" s="683">
        <v>310</v>
      </c>
      <c r="U142" s="683">
        <v>2963.9</v>
      </c>
      <c r="V142" s="683">
        <v>12928.68</v>
      </c>
      <c r="W142" s="683">
        <v>210</v>
      </c>
      <c r="X142" s="683">
        <v>410</v>
      </c>
      <c r="Y142" s="683">
        <v>17270.03</v>
      </c>
      <c r="Z142" s="683">
        <v>-1613.68</v>
      </c>
      <c r="AA142" s="683">
        <v>2319.4699999999998</v>
      </c>
      <c r="AB142" s="683">
        <v>21234.01</v>
      </c>
      <c r="AC142" s="683">
        <v>682.02</v>
      </c>
      <c r="AD142" s="684">
        <v>87880.639999999999</v>
      </c>
      <c r="AE142" s="684"/>
      <c r="AF142" s="684"/>
      <c r="AG142" s="684"/>
      <c r="AH142" s="684"/>
      <c r="AI142" s="684"/>
      <c r="AJ142" s="684"/>
      <c r="AK142" s="684"/>
      <c r="AL142" s="684"/>
      <c r="AM142" s="684"/>
      <c r="AN142" s="684"/>
      <c r="AO142" s="684"/>
      <c r="AP142" s="684"/>
      <c r="AQ142" s="684"/>
      <c r="AR142" s="684"/>
      <c r="AS142" s="684"/>
      <c r="AT142" s="684"/>
      <c r="AU142" s="684"/>
      <c r="AV142" s="684"/>
      <c r="AW142" s="684"/>
      <c r="AX142" s="684"/>
      <c r="AY142" s="684"/>
      <c r="AZ142" s="684"/>
      <c r="BA142" s="684"/>
      <c r="BB142" s="684"/>
      <c r="BC142" s="684"/>
      <c r="BD142" s="684"/>
      <c r="BE142" s="684"/>
      <c r="BF142" s="684"/>
      <c r="BG142" s="684"/>
      <c r="BH142" s="684"/>
      <c r="BI142" s="684"/>
      <c r="BJ142" s="684"/>
      <c r="BK142" s="684"/>
      <c r="BL142" s="684"/>
      <c r="BM142" s="684"/>
      <c r="BN142" s="684"/>
      <c r="BO142" s="684"/>
      <c r="BP142" s="684"/>
      <c r="BQ142" s="684"/>
      <c r="BR142" s="684"/>
      <c r="BS142" s="684"/>
      <c r="BT142" s="684"/>
      <c r="BU142" s="684"/>
      <c r="BV142" s="684"/>
      <c r="BW142" s="684"/>
      <c r="BX142" s="684"/>
      <c r="BY142" s="684"/>
      <c r="BZ142" s="684"/>
      <c r="CA142" s="684"/>
    </row>
    <row r="143" spans="1:79" s="43" customFormat="1" hidden="1" outlineLevel="1" x14ac:dyDescent="0.35">
      <c r="A143" s="580"/>
      <c r="B143" s="580"/>
      <c r="C143" s="580"/>
      <c r="D143" s="580"/>
      <c r="E143" s="580"/>
      <c r="F143" s="677" t="s">
        <v>910</v>
      </c>
      <c r="G143" s="731"/>
      <c r="H143" s="702"/>
      <c r="I143" s="702"/>
      <c r="J143" s="702"/>
      <c r="K143" s="702"/>
      <c r="L143" s="702"/>
      <c r="M143" s="702"/>
      <c r="N143" s="702"/>
      <c r="O143" s="702"/>
      <c r="P143" s="731"/>
      <c r="Q143" s="731"/>
      <c r="R143" s="731"/>
      <c r="S143" s="683">
        <v>0</v>
      </c>
      <c r="T143" s="683">
        <v>0</v>
      </c>
      <c r="U143" s="683">
        <v>0</v>
      </c>
      <c r="V143" s="683">
        <v>0</v>
      </c>
      <c r="W143" s="683">
        <v>0</v>
      </c>
      <c r="X143" s="683">
        <v>0</v>
      </c>
      <c r="Y143" s="683">
        <v>0</v>
      </c>
      <c r="Z143" s="683">
        <v>0</v>
      </c>
      <c r="AA143" s="683">
        <v>0</v>
      </c>
      <c r="AB143" s="683">
        <v>0</v>
      </c>
      <c r="AC143" s="683">
        <v>0</v>
      </c>
      <c r="AD143" s="684">
        <v>0</v>
      </c>
      <c r="AE143" s="684"/>
      <c r="AF143" s="684"/>
      <c r="AG143" s="684"/>
      <c r="AH143" s="684"/>
      <c r="AI143" s="684"/>
      <c r="AJ143" s="684"/>
      <c r="AK143" s="684"/>
      <c r="AL143" s="684"/>
      <c r="AM143" s="684"/>
      <c r="AN143" s="684"/>
      <c r="AO143" s="684"/>
      <c r="AP143" s="684"/>
      <c r="AQ143" s="684"/>
      <c r="AR143" s="684"/>
      <c r="AS143" s="684"/>
      <c r="AT143" s="684"/>
      <c r="AU143" s="684"/>
      <c r="AV143" s="684"/>
      <c r="AW143" s="684"/>
      <c r="AX143" s="684"/>
      <c r="AY143" s="684"/>
      <c r="AZ143" s="684"/>
      <c r="BA143" s="684"/>
      <c r="BB143" s="684"/>
      <c r="BC143" s="684"/>
      <c r="BD143" s="684"/>
      <c r="BE143" s="684"/>
      <c r="BF143" s="684"/>
      <c r="BG143" s="684"/>
      <c r="BH143" s="684"/>
      <c r="BI143" s="684"/>
      <c r="BJ143" s="684"/>
      <c r="BK143" s="684"/>
      <c r="BL143" s="684"/>
      <c r="BM143" s="684"/>
      <c r="BN143" s="684"/>
      <c r="BO143" s="684"/>
      <c r="BP143" s="684"/>
      <c r="BQ143" s="684"/>
      <c r="BR143" s="684"/>
      <c r="BS143" s="684"/>
      <c r="BT143" s="684"/>
      <c r="BU143" s="684"/>
      <c r="BV143" s="684"/>
      <c r="BW143" s="684"/>
      <c r="BX143" s="684"/>
      <c r="BY143" s="684"/>
      <c r="BZ143" s="684"/>
      <c r="CA143" s="684"/>
    </row>
    <row r="144" spans="1:79" s="43" customFormat="1" hidden="1" outlineLevel="1" x14ac:dyDescent="0.35">
      <c r="A144" s="80"/>
      <c r="B144" s="80"/>
      <c r="C144" s="80"/>
      <c r="D144" s="80"/>
      <c r="E144" s="80"/>
      <c r="F144" s="677" t="s">
        <v>647</v>
      </c>
      <c r="G144" s="731">
        <v>888.75</v>
      </c>
      <c r="H144" s="702">
        <v>1273</v>
      </c>
      <c r="I144" s="702">
        <v>1117.5</v>
      </c>
      <c r="J144" s="702">
        <v>2757.5</v>
      </c>
      <c r="K144" s="702">
        <v>2400</v>
      </c>
      <c r="L144" s="702">
        <v>1290</v>
      </c>
      <c r="M144" s="702">
        <v>0</v>
      </c>
      <c r="N144" s="702">
        <v>0</v>
      </c>
      <c r="O144" s="702">
        <v>0</v>
      </c>
      <c r="P144" s="731">
        <v>0</v>
      </c>
      <c r="Q144" s="731">
        <v>1251.3399999999999</v>
      </c>
      <c r="R144" s="731">
        <v>0</v>
      </c>
      <c r="S144" s="683">
        <v>0</v>
      </c>
      <c r="T144" s="683">
        <v>0</v>
      </c>
      <c r="U144" s="683">
        <v>1100.76</v>
      </c>
      <c r="V144" s="683">
        <v>758.07</v>
      </c>
      <c r="W144" s="683">
        <v>1220.17</v>
      </c>
      <c r="X144" s="683">
        <v>3404.61</v>
      </c>
      <c r="Y144" s="683">
        <v>3647.35</v>
      </c>
      <c r="Z144" s="683">
        <v>4083.58</v>
      </c>
      <c r="AA144" s="683">
        <v>2455.41</v>
      </c>
      <c r="AB144" s="683">
        <v>1679.1</v>
      </c>
      <c r="AC144" s="683">
        <v>419.44</v>
      </c>
      <c r="AD144" s="684">
        <v>0</v>
      </c>
      <c r="AE144" s="684"/>
      <c r="AF144" s="684"/>
      <c r="AG144" s="684"/>
      <c r="AH144" s="684"/>
      <c r="AI144" s="684"/>
      <c r="AJ144" s="684"/>
      <c r="AK144" s="684"/>
      <c r="AL144" s="684"/>
      <c r="AM144" s="684"/>
      <c r="AN144" s="684"/>
      <c r="AO144" s="684"/>
      <c r="AP144" s="684"/>
      <c r="AQ144" s="684"/>
      <c r="AR144" s="684"/>
      <c r="AS144" s="684"/>
      <c r="AT144" s="684"/>
      <c r="AU144" s="684"/>
      <c r="AV144" s="684"/>
      <c r="AW144" s="684"/>
      <c r="AX144" s="684"/>
      <c r="AY144" s="684"/>
      <c r="AZ144" s="684"/>
      <c r="BA144" s="684"/>
      <c r="BB144" s="684"/>
      <c r="BC144" s="684"/>
      <c r="BD144" s="684"/>
      <c r="BE144" s="684"/>
      <c r="BF144" s="684"/>
      <c r="BG144" s="684"/>
      <c r="BH144" s="684"/>
      <c r="BI144" s="684"/>
      <c r="BJ144" s="684"/>
      <c r="BK144" s="684"/>
      <c r="BL144" s="684"/>
      <c r="BM144" s="684"/>
      <c r="BN144" s="684"/>
      <c r="BO144" s="684"/>
      <c r="BP144" s="684"/>
      <c r="BQ144" s="684"/>
      <c r="BR144" s="684"/>
      <c r="BS144" s="684"/>
      <c r="BT144" s="684"/>
      <c r="BU144" s="684"/>
      <c r="BV144" s="684"/>
      <c r="BW144" s="684"/>
      <c r="BX144" s="684"/>
      <c r="BY144" s="684"/>
      <c r="BZ144" s="684"/>
      <c r="CA144" s="684"/>
    </row>
    <row r="145" spans="1:79" s="43" customFormat="1" hidden="1" outlineLevel="1" x14ac:dyDescent="0.35">
      <c r="A145" s="80"/>
      <c r="B145" s="80"/>
      <c r="C145" s="80"/>
      <c r="D145" s="80"/>
      <c r="E145" s="80"/>
      <c r="F145" s="677" t="s">
        <v>648</v>
      </c>
      <c r="G145" s="731"/>
      <c r="H145" s="702"/>
      <c r="I145" s="702"/>
      <c r="J145" s="702"/>
      <c r="K145" s="702"/>
      <c r="L145" s="702"/>
      <c r="M145" s="702"/>
      <c r="N145" s="702"/>
      <c r="O145" s="702"/>
      <c r="P145" s="731"/>
      <c r="Q145" s="731"/>
      <c r="R145" s="731"/>
      <c r="S145" s="683">
        <v>0</v>
      </c>
      <c r="T145" s="683">
        <v>0</v>
      </c>
      <c r="U145" s="683">
        <v>6346.15</v>
      </c>
      <c r="V145" s="683">
        <v>-6346.15</v>
      </c>
      <c r="W145" s="683">
        <v>0</v>
      </c>
      <c r="X145" s="683">
        <v>0</v>
      </c>
      <c r="Y145" s="683">
        <v>0</v>
      </c>
      <c r="Z145" s="683">
        <v>0</v>
      </c>
      <c r="AA145" s="683">
        <v>0</v>
      </c>
      <c r="AB145" s="683">
        <v>0</v>
      </c>
      <c r="AC145" s="683">
        <v>0</v>
      </c>
      <c r="AD145" s="684">
        <v>0</v>
      </c>
      <c r="AE145" s="684"/>
      <c r="AF145" s="684"/>
      <c r="AG145" s="684"/>
      <c r="AH145" s="684"/>
      <c r="AI145" s="684"/>
      <c r="AJ145" s="684"/>
      <c r="AK145" s="684"/>
      <c r="AL145" s="684"/>
      <c r="AM145" s="684"/>
      <c r="AN145" s="684"/>
      <c r="AO145" s="684"/>
      <c r="AP145" s="684"/>
      <c r="AQ145" s="684"/>
      <c r="AR145" s="684"/>
      <c r="AS145" s="684"/>
      <c r="AT145" s="684"/>
      <c r="AU145" s="684"/>
      <c r="AV145" s="684"/>
      <c r="AW145" s="684"/>
      <c r="AX145" s="684"/>
      <c r="AY145" s="684"/>
      <c r="AZ145" s="684"/>
      <c r="BA145" s="684"/>
      <c r="BB145" s="684"/>
      <c r="BC145" s="684"/>
      <c r="BD145" s="684"/>
      <c r="BE145" s="684"/>
      <c r="BF145" s="684"/>
      <c r="BG145" s="684"/>
      <c r="BH145" s="684"/>
      <c r="BI145" s="684"/>
      <c r="BJ145" s="684"/>
      <c r="BK145" s="684"/>
      <c r="BL145" s="684"/>
      <c r="BM145" s="684"/>
      <c r="BN145" s="684"/>
      <c r="BO145" s="684"/>
      <c r="BP145" s="684"/>
      <c r="BQ145" s="684"/>
      <c r="BR145" s="684"/>
      <c r="BS145" s="684"/>
      <c r="BT145" s="684"/>
      <c r="BU145" s="684"/>
      <c r="BV145" s="684"/>
      <c r="BW145" s="684"/>
      <c r="BX145" s="684"/>
      <c r="BY145" s="684"/>
      <c r="BZ145" s="684"/>
      <c r="CA145" s="684"/>
    </row>
    <row r="146" spans="1:79" s="43" customFormat="1" hidden="1" outlineLevel="1" x14ac:dyDescent="0.35">
      <c r="A146" s="80"/>
      <c r="B146" s="80"/>
      <c r="C146" s="80"/>
      <c r="D146" s="80"/>
      <c r="E146" s="80"/>
      <c r="F146" s="677" t="s">
        <v>640</v>
      </c>
      <c r="G146" s="731">
        <v>26432.080000000002</v>
      </c>
      <c r="H146" s="702">
        <v>26739.760000000002</v>
      </c>
      <c r="I146" s="702">
        <v>22906.420000000002</v>
      </c>
      <c r="J146" s="702">
        <v>23444.880000000001</v>
      </c>
      <c r="K146" s="702">
        <v>24560.26</v>
      </c>
      <c r="L146" s="702">
        <v>42310.350000000006</v>
      </c>
      <c r="M146" s="702">
        <v>37044.880000000005</v>
      </c>
      <c r="N146" s="702">
        <v>38510.259999999995</v>
      </c>
      <c r="O146" s="702">
        <v>38294.880000000005</v>
      </c>
      <c r="P146" s="731">
        <v>34544.880000000005</v>
      </c>
      <c r="Q146" s="731">
        <v>49410.28</v>
      </c>
      <c r="R146" s="731">
        <v>35147.46</v>
      </c>
      <c r="S146" s="683">
        <v>55969.08</v>
      </c>
      <c r="T146" s="683">
        <v>54756.44</v>
      </c>
      <c r="U146" s="683">
        <v>99107.95</v>
      </c>
      <c r="V146" s="683">
        <v>75117.119999999995</v>
      </c>
      <c r="W146" s="683">
        <v>84511.41</v>
      </c>
      <c r="X146" s="683">
        <v>69339.73</v>
      </c>
      <c r="Y146" s="683">
        <v>77682.36</v>
      </c>
      <c r="Z146" s="683">
        <v>81117.31</v>
      </c>
      <c r="AA146" s="683">
        <v>84116.34</v>
      </c>
      <c r="AB146" s="683">
        <v>96782.89</v>
      </c>
      <c r="AC146" s="683">
        <v>86208.74</v>
      </c>
      <c r="AD146" s="684">
        <v>97961.95</v>
      </c>
      <c r="AE146" s="684"/>
      <c r="AF146" s="684"/>
      <c r="AG146" s="684"/>
      <c r="AH146" s="684"/>
      <c r="AI146" s="684"/>
      <c r="AJ146" s="684"/>
      <c r="AK146" s="684"/>
      <c r="AL146" s="684"/>
      <c r="AM146" s="684"/>
      <c r="AN146" s="684"/>
      <c r="AO146" s="684"/>
      <c r="AP146" s="684"/>
      <c r="AQ146" s="684"/>
      <c r="AR146" s="684"/>
      <c r="AS146" s="684"/>
      <c r="AT146" s="684"/>
      <c r="AU146" s="684"/>
      <c r="AV146" s="684"/>
      <c r="AW146" s="684"/>
      <c r="AX146" s="684"/>
      <c r="AY146" s="684"/>
      <c r="AZ146" s="684"/>
      <c r="BA146" s="684"/>
      <c r="BB146" s="684"/>
      <c r="BC146" s="684"/>
      <c r="BD146" s="684"/>
      <c r="BE146" s="684"/>
      <c r="BF146" s="684"/>
      <c r="BG146" s="684"/>
      <c r="BH146" s="684"/>
      <c r="BI146" s="684"/>
      <c r="BJ146" s="684"/>
      <c r="BK146" s="684"/>
      <c r="BL146" s="684"/>
      <c r="BM146" s="684"/>
      <c r="BN146" s="684"/>
      <c r="BO146" s="684"/>
      <c r="BP146" s="684"/>
      <c r="BQ146" s="684"/>
      <c r="BR146" s="684"/>
      <c r="BS146" s="684"/>
      <c r="BT146" s="684"/>
      <c r="BU146" s="684"/>
      <c r="BV146" s="684"/>
      <c r="BW146" s="684"/>
      <c r="BX146" s="684"/>
      <c r="BY146" s="684"/>
      <c r="BZ146" s="684"/>
      <c r="CA146" s="684"/>
    </row>
    <row r="147" spans="1:79" s="43" customFormat="1" hidden="1" outlineLevel="1" x14ac:dyDescent="0.35">
      <c r="A147" s="80"/>
      <c r="B147" s="80"/>
      <c r="C147" s="80"/>
      <c r="D147" s="80"/>
      <c r="E147" s="80"/>
      <c r="F147" s="677" t="s">
        <v>641</v>
      </c>
      <c r="G147" s="731"/>
      <c r="H147" s="702"/>
      <c r="I147" s="702"/>
      <c r="J147" s="702"/>
      <c r="K147" s="702"/>
      <c r="L147" s="702">
        <v>769.23</v>
      </c>
      <c r="M147" s="702"/>
      <c r="N147" s="702"/>
      <c r="O147" s="702"/>
      <c r="P147" s="731"/>
      <c r="Q147" s="731"/>
      <c r="R147" s="731"/>
      <c r="S147" s="683">
        <v>2303.08</v>
      </c>
      <c r="T147" s="683">
        <v>2271.92</v>
      </c>
      <c r="U147" s="683">
        <v>517.15</v>
      </c>
      <c r="V147" s="683">
        <v>-53.14</v>
      </c>
      <c r="W147" s="683">
        <v>3220.65</v>
      </c>
      <c r="X147" s="683">
        <v>-1994.12</v>
      </c>
      <c r="Y147" s="683">
        <v>433.59</v>
      </c>
      <c r="Z147" s="683">
        <v>-224.29</v>
      </c>
      <c r="AA147" s="683">
        <v>-570.12</v>
      </c>
      <c r="AB147" s="683">
        <v>2131.46</v>
      </c>
      <c r="AC147" s="683">
        <v>-465.65</v>
      </c>
      <c r="AD147" s="684">
        <v>479.14</v>
      </c>
      <c r="AE147" s="684"/>
      <c r="AF147" s="684"/>
      <c r="AG147" s="684"/>
      <c r="AH147" s="684"/>
      <c r="AI147" s="684"/>
      <c r="AJ147" s="684"/>
      <c r="AK147" s="684"/>
      <c r="AL147" s="684"/>
      <c r="AM147" s="684"/>
      <c r="AN147" s="684"/>
      <c r="AO147" s="684"/>
      <c r="AP147" s="684"/>
      <c r="AQ147" s="684"/>
      <c r="AR147" s="684"/>
      <c r="AS147" s="684"/>
      <c r="AT147" s="684"/>
      <c r="AU147" s="684"/>
      <c r="AV147" s="684"/>
      <c r="AW147" s="684"/>
      <c r="AX147" s="684"/>
      <c r="AY147" s="684"/>
      <c r="AZ147" s="684"/>
      <c r="BA147" s="684"/>
      <c r="BB147" s="684"/>
      <c r="BC147" s="684"/>
      <c r="BD147" s="684"/>
      <c r="BE147" s="684"/>
      <c r="BF147" s="684"/>
      <c r="BG147" s="684"/>
      <c r="BH147" s="684"/>
      <c r="BI147" s="684"/>
      <c r="BJ147" s="684"/>
      <c r="BK147" s="684"/>
      <c r="BL147" s="684"/>
      <c r="BM147" s="684"/>
      <c r="BN147" s="684"/>
      <c r="BO147" s="684"/>
      <c r="BP147" s="684"/>
      <c r="BQ147" s="684"/>
      <c r="BR147" s="684"/>
      <c r="BS147" s="684"/>
      <c r="BT147" s="684"/>
      <c r="BU147" s="684"/>
      <c r="BV147" s="684"/>
      <c r="BW147" s="684"/>
      <c r="BX147" s="684"/>
      <c r="BY147" s="684"/>
      <c r="BZ147" s="684"/>
      <c r="CA147" s="684"/>
    </row>
    <row r="148" spans="1:79" s="43" customFormat="1" hidden="1" outlineLevel="1" x14ac:dyDescent="0.35">
      <c r="A148" s="580"/>
      <c r="B148" s="580"/>
      <c r="C148" s="580"/>
      <c r="D148" s="580"/>
      <c r="E148" s="580"/>
      <c r="F148" s="677" t="s">
        <v>911</v>
      </c>
      <c r="G148" s="731"/>
      <c r="H148" s="702"/>
      <c r="I148" s="702"/>
      <c r="J148" s="702"/>
      <c r="K148" s="702"/>
      <c r="L148" s="702"/>
      <c r="M148" s="702"/>
      <c r="N148" s="702"/>
      <c r="O148" s="702"/>
      <c r="P148" s="731"/>
      <c r="Q148" s="731"/>
      <c r="R148" s="731"/>
      <c r="S148" s="683">
        <v>0</v>
      </c>
      <c r="T148" s="683">
        <v>0</v>
      </c>
      <c r="U148" s="683">
        <v>0</v>
      </c>
      <c r="V148" s="683">
        <v>0</v>
      </c>
      <c r="W148" s="683">
        <v>0</v>
      </c>
      <c r="X148" s="683">
        <v>0</v>
      </c>
      <c r="Y148" s="683">
        <v>0</v>
      </c>
      <c r="Z148" s="683">
        <v>0</v>
      </c>
      <c r="AA148" s="683">
        <v>0</v>
      </c>
      <c r="AB148" s="683">
        <v>0</v>
      </c>
      <c r="AC148" s="683">
        <v>0</v>
      </c>
      <c r="AD148" s="684">
        <v>0</v>
      </c>
      <c r="AE148" s="684"/>
      <c r="AF148" s="684"/>
      <c r="AG148" s="684"/>
      <c r="AH148" s="684"/>
      <c r="AI148" s="684"/>
      <c r="AJ148" s="684"/>
      <c r="AK148" s="684"/>
      <c r="AL148" s="684"/>
      <c r="AM148" s="684"/>
      <c r="AN148" s="684"/>
      <c r="AO148" s="684"/>
      <c r="AP148" s="684"/>
      <c r="AQ148" s="684"/>
      <c r="AR148" s="684"/>
      <c r="AS148" s="684"/>
      <c r="AT148" s="684"/>
      <c r="AU148" s="684"/>
      <c r="AV148" s="684"/>
      <c r="AW148" s="684"/>
      <c r="AX148" s="684"/>
      <c r="AY148" s="684"/>
      <c r="AZ148" s="684"/>
      <c r="BA148" s="684"/>
      <c r="BB148" s="684"/>
      <c r="BC148" s="684"/>
      <c r="BD148" s="684"/>
      <c r="BE148" s="684"/>
      <c r="BF148" s="684"/>
      <c r="BG148" s="684"/>
      <c r="BH148" s="684"/>
      <c r="BI148" s="684"/>
      <c r="BJ148" s="684"/>
      <c r="BK148" s="684"/>
      <c r="BL148" s="684"/>
      <c r="BM148" s="684"/>
      <c r="BN148" s="684"/>
      <c r="BO148" s="684"/>
      <c r="BP148" s="684"/>
      <c r="BQ148" s="684"/>
      <c r="BR148" s="684"/>
      <c r="BS148" s="684"/>
      <c r="BT148" s="684"/>
      <c r="BU148" s="684"/>
      <c r="BV148" s="684"/>
      <c r="BW148" s="684"/>
      <c r="BX148" s="684"/>
      <c r="BY148" s="684"/>
      <c r="BZ148" s="684"/>
      <c r="CA148" s="684"/>
    </row>
    <row r="149" spans="1:79" s="43" customFormat="1" hidden="1" outlineLevel="1" x14ac:dyDescent="0.35">
      <c r="A149" s="580"/>
      <c r="B149" s="580"/>
      <c r="C149" s="580"/>
      <c r="D149" s="580"/>
      <c r="E149" s="580"/>
      <c r="F149" s="677" t="s">
        <v>681</v>
      </c>
      <c r="G149" s="731"/>
      <c r="H149" s="702"/>
      <c r="I149" s="702"/>
      <c r="J149" s="702"/>
      <c r="K149" s="702"/>
      <c r="L149" s="702"/>
      <c r="M149" s="702"/>
      <c r="N149" s="702"/>
      <c r="O149" s="702"/>
      <c r="P149" s="731"/>
      <c r="Q149" s="731"/>
      <c r="R149" s="731"/>
      <c r="S149" s="683">
        <v>8329.17</v>
      </c>
      <c r="T149" s="683">
        <v>8329.17</v>
      </c>
      <c r="U149" s="683">
        <v>8329.17</v>
      </c>
      <c r="V149" s="683">
        <v>8329.17</v>
      </c>
      <c r="W149" s="683">
        <v>8329.17</v>
      </c>
      <c r="X149" s="683">
        <v>8329.17</v>
      </c>
      <c r="Y149" s="683">
        <v>8329.17</v>
      </c>
      <c r="Z149" s="683">
        <v>8329.17</v>
      </c>
      <c r="AA149" s="683">
        <v>8329.17</v>
      </c>
      <c r="AB149" s="683">
        <v>8329.17</v>
      </c>
      <c r="AC149" s="683">
        <v>8329.17</v>
      </c>
      <c r="AD149" s="684">
        <v>-91620.87</v>
      </c>
      <c r="AE149" s="684"/>
      <c r="AF149" s="684"/>
      <c r="AG149" s="684"/>
      <c r="AH149" s="684"/>
      <c r="AI149" s="684"/>
      <c r="AJ149" s="684"/>
      <c r="AK149" s="684"/>
      <c r="AL149" s="684"/>
      <c r="AM149" s="684"/>
      <c r="AN149" s="684"/>
      <c r="AO149" s="684"/>
      <c r="AP149" s="684"/>
      <c r="AQ149" s="684"/>
      <c r="AR149" s="684"/>
      <c r="AS149" s="684"/>
      <c r="AT149" s="684"/>
      <c r="AU149" s="684"/>
      <c r="AV149" s="684"/>
      <c r="AW149" s="684"/>
      <c r="AX149" s="684"/>
      <c r="AY149" s="684"/>
      <c r="AZ149" s="684"/>
      <c r="BA149" s="684"/>
      <c r="BB149" s="684"/>
      <c r="BC149" s="684"/>
      <c r="BD149" s="684"/>
      <c r="BE149" s="684"/>
      <c r="BF149" s="684"/>
      <c r="BG149" s="684"/>
      <c r="BH149" s="684"/>
      <c r="BI149" s="684"/>
      <c r="BJ149" s="684"/>
      <c r="BK149" s="684"/>
      <c r="BL149" s="684"/>
      <c r="BM149" s="684"/>
      <c r="BN149" s="684"/>
      <c r="BO149" s="684"/>
      <c r="BP149" s="684"/>
      <c r="BQ149" s="684"/>
      <c r="BR149" s="684"/>
      <c r="BS149" s="684"/>
      <c r="BT149" s="684"/>
      <c r="BU149" s="684"/>
      <c r="BV149" s="684"/>
      <c r="BW149" s="684"/>
      <c r="BX149" s="684"/>
      <c r="BY149" s="684"/>
      <c r="BZ149" s="684"/>
      <c r="CA149" s="684"/>
    </row>
    <row r="150" spans="1:79" s="757" customFormat="1" hidden="1" outlineLevel="1" x14ac:dyDescent="0.35">
      <c r="A150" s="504"/>
      <c r="B150" s="504"/>
      <c r="C150" s="504"/>
      <c r="D150" s="504"/>
      <c r="E150" s="504"/>
      <c r="F150" s="673" t="s">
        <v>642</v>
      </c>
      <c r="G150" s="695">
        <f>SUM(G142:G149)</f>
        <v>27560.83</v>
      </c>
      <c r="H150" s="695">
        <f t="shared" ref="H150:BO150" si="45">SUM(H142:H149)</f>
        <v>28252.760000000002</v>
      </c>
      <c r="I150" s="695">
        <f t="shared" si="45"/>
        <v>24263.920000000002</v>
      </c>
      <c r="J150" s="695">
        <f t="shared" si="45"/>
        <v>26442.38</v>
      </c>
      <c r="K150" s="695">
        <f t="shared" si="45"/>
        <v>31787.629999999997</v>
      </c>
      <c r="L150" s="695">
        <f t="shared" si="45"/>
        <v>44644.580000000009</v>
      </c>
      <c r="M150" s="695">
        <f t="shared" si="45"/>
        <v>37267.380000000005</v>
      </c>
      <c r="N150" s="695">
        <f t="shared" si="45"/>
        <v>49193.439999999995</v>
      </c>
      <c r="O150" s="695">
        <f t="shared" si="45"/>
        <v>38534.880000000005</v>
      </c>
      <c r="P150" s="695">
        <f t="shared" si="45"/>
        <v>34784.880000000005</v>
      </c>
      <c r="Q150" s="695">
        <f t="shared" si="45"/>
        <v>55454.49</v>
      </c>
      <c r="R150" s="695">
        <f t="shared" si="45"/>
        <v>57396.869999999995</v>
      </c>
      <c r="S150" s="695">
        <f t="shared" ref="S150:AA150" si="46">ROUND(SUM(S141:S149),5)</f>
        <v>82939.34</v>
      </c>
      <c r="T150" s="695">
        <f t="shared" si="46"/>
        <v>65667.53</v>
      </c>
      <c r="U150" s="695">
        <f t="shared" si="46"/>
        <v>118365.08</v>
      </c>
      <c r="V150" s="695">
        <f t="shared" si="46"/>
        <v>90733.75</v>
      </c>
      <c r="W150" s="695">
        <f t="shared" si="46"/>
        <v>97491.4</v>
      </c>
      <c r="X150" s="695">
        <f t="shared" si="46"/>
        <v>79489.39</v>
      </c>
      <c r="Y150" s="695">
        <f t="shared" si="46"/>
        <v>107362.5</v>
      </c>
      <c r="Z150" s="695">
        <f t="shared" si="46"/>
        <v>91692.09</v>
      </c>
      <c r="AA150" s="695">
        <f t="shared" si="46"/>
        <v>96650.27</v>
      </c>
      <c r="AB150" s="695">
        <f>ROUND(SUM(AB141:AB149),5)</f>
        <v>130156.63</v>
      </c>
      <c r="AC150" s="695">
        <f>ROUND(SUM(AC141:AC149),5)</f>
        <v>95173.72</v>
      </c>
      <c r="AD150" s="695">
        <v>94700.86</v>
      </c>
      <c r="AE150" s="695">
        <f t="shared" si="45"/>
        <v>0</v>
      </c>
      <c r="AF150" s="695">
        <f t="shared" si="45"/>
        <v>0</v>
      </c>
      <c r="AG150" s="695">
        <f t="shared" si="45"/>
        <v>0</v>
      </c>
      <c r="AH150" s="695">
        <f t="shared" si="45"/>
        <v>0</v>
      </c>
      <c r="AI150" s="695">
        <f t="shared" si="45"/>
        <v>0</v>
      </c>
      <c r="AJ150" s="695">
        <f t="shared" si="45"/>
        <v>0</v>
      </c>
      <c r="AK150" s="695">
        <f t="shared" si="45"/>
        <v>0</v>
      </c>
      <c r="AL150" s="695">
        <f t="shared" si="45"/>
        <v>0</v>
      </c>
      <c r="AM150" s="695">
        <f t="shared" si="45"/>
        <v>0</v>
      </c>
      <c r="AN150" s="695">
        <f t="shared" si="45"/>
        <v>0</v>
      </c>
      <c r="AO150" s="695">
        <f t="shared" si="45"/>
        <v>0</v>
      </c>
      <c r="AP150" s="695">
        <f t="shared" si="45"/>
        <v>0</v>
      </c>
      <c r="AQ150" s="695">
        <f t="shared" si="45"/>
        <v>0</v>
      </c>
      <c r="AR150" s="695">
        <f t="shared" si="45"/>
        <v>0</v>
      </c>
      <c r="AS150" s="695">
        <f t="shared" si="45"/>
        <v>0</v>
      </c>
      <c r="AT150" s="695">
        <f t="shared" si="45"/>
        <v>0</v>
      </c>
      <c r="AU150" s="695">
        <f t="shared" si="45"/>
        <v>0</v>
      </c>
      <c r="AV150" s="695">
        <f t="shared" si="45"/>
        <v>0</v>
      </c>
      <c r="AW150" s="695">
        <f t="shared" si="45"/>
        <v>0</v>
      </c>
      <c r="AX150" s="695">
        <f t="shared" si="45"/>
        <v>0</v>
      </c>
      <c r="AY150" s="695">
        <f t="shared" si="45"/>
        <v>0</v>
      </c>
      <c r="AZ150" s="695">
        <f t="shared" si="45"/>
        <v>0</v>
      </c>
      <c r="BA150" s="695">
        <f t="shared" si="45"/>
        <v>0</v>
      </c>
      <c r="BB150" s="695">
        <f t="shared" si="45"/>
        <v>0</v>
      </c>
      <c r="BC150" s="695">
        <f t="shared" si="45"/>
        <v>0</v>
      </c>
      <c r="BD150" s="695">
        <f t="shared" si="45"/>
        <v>0</v>
      </c>
      <c r="BE150" s="695">
        <f t="shared" si="45"/>
        <v>0</v>
      </c>
      <c r="BF150" s="695">
        <f t="shared" si="45"/>
        <v>0</v>
      </c>
      <c r="BG150" s="695">
        <f t="shared" si="45"/>
        <v>0</v>
      </c>
      <c r="BH150" s="695">
        <f t="shared" si="45"/>
        <v>0</v>
      </c>
      <c r="BI150" s="695">
        <f t="shared" si="45"/>
        <v>0</v>
      </c>
      <c r="BJ150" s="695">
        <f t="shared" si="45"/>
        <v>0</v>
      </c>
      <c r="BK150" s="695">
        <f t="shared" si="45"/>
        <v>0</v>
      </c>
      <c r="BL150" s="695">
        <f t="shared" si="45"/>
        <v>0</v>
      </c>
      <c r="BM150" s="695">
        <f t="shared" si="45"/>
        <v>0</v>
      </c>
      <c r="BN150" s="695">
        <f t="shared" si="45"/>
        <v>0</v>
      </c>
      <c r="BO150" s="695">
        <f t="shared" si="45"/>
        <v>0</v>
      </c>
      <c r="BP150" s="695">
        <f t="shared" ref="BP150:CA150" si="47">SUM(BP142:BP149)</f>
        <v>0</v>
      </c>
      <c r="BQ150" s="695">
        <f t="shared" si="47"/>
        <v>0</v>
      </c>
      <c r="BR150" s="695">
        <f t="shared" si="47"/>
        <v>0</v>
      </c>
      <c r="BS150" s="695">
        <f t="shared" si="47"/>
        <v>0</v>
      </c>
      <c r="BT150" s="695">
        <f t="shared" si="47"/>
        <v>0</v>
      </c>
      <c r="BU150" s="695">
        <f t="shared" si="47"/>
        <v>0</v>
      </c>
      <c r="BV150" s="695">
        <f t="shared" si="47"/>
        <v>0</v>
      </c>
      <c r="BW150" s="695">
        <f t="shared" si="47"/>
        <v>0</v>
      </c>
      <c r="BX150" s="695">
        <f t="shared" si="47"/>
        <v>0</v>
      </c>
      <c r="BY150" s="695">
        <f t="shared" si="47"/>
        <v>0</v>
      </c>
      <c r="BZ150" s="695">
        <f t="shared" si="47"/>
        <v>0</v>
      </c>
      <c r="CA150" s="695">
        <f t="shared" si="47"/>
        <v>0</v>
      </c>
    </row>
    <row r="151" spans="1:79" s="757" customFormat="1" hidden="1" outlineLevel="1" x14ac:dyDescent="0.35">
      <c r="A151" s="504"/>
      <c r="B151" s="504"/>
      <c r="C151" s="504"/>
      <c r="D151" s="504"/>
      <c r="E151" s="504"/>
      <c r="F151" s="672" t="s">
        <v>643</v>
      </c>
      <c r="G151" s="706">
        <v>0</v>
      </c>
      <c r="H151" s="706"/>
      <c r="I151" s="706"/>
      <c r="J151" s="706"/>
      <c r="K151" s="706"/>
      <c r="L151" s="706"/>
      <c r="M151" s="706"/>
      <c r="N151" s="706"/>
      <c r="O151" s="698"/>
      <c r="P151" s="706"/>
      <c r="Q151" s="706"/>
      <c r="R151" s="706"/>
      <c r="S151" s="687">
        <v>43.5</v>
      </c>
      <c r="T151" s="687">
        <v>8.7100000000000009</v>
      </c>
      <c r="U151" s="687">
        <v>0</v>
      </c>
      <c r="V151" s="687">
        <v>0</v>
      </c>
      <c r="W151" s="687">
        <v>0</v>
      </c>
      <c r="X151" s="687">
        <v>0</v>
      </c>
      <c r="Y151" s="687">
        <v>0</v>
      </c>
      <c r="Z151" s="687">
        <v>0</v>
      </c>
      <c r="AA151" s="687">
        <v>0</v>
      </c>
      <c r="AB151" s="687">
        <v>0</v>
      </c>
      <c r="AC151" s="687">
        <v>0</v>
      </c>
      <c r="AD151" s="688">
        <v>0</v>
      </c>
      <c r="AE151" s="688"/>
      <c r="AF151" s="688"/>
      <c r="AG151" s="688"/>
      <c r="AH151" s="688"/>
      <c r="AI151" s="688"/>
      <c r="AJ151" s="688"/>
      <c r="AK151" s="688"/>
      <c r="AL151" s="688"/>
      <c r="AM151" s="688"/>
      <c r="AN151" s="688"/>
      <c r="AO151" s="688"/>
      <c r="AP151" s="688"/>
      <c r="AQ151" s="688"/>
      <c r="AR151" s="688"/>
      <c r="AS151" s="688"/>
      <c r="AT151" s="688"/>
      <c r="AU151" s="688"/>
      <c r="AV151" s="688"/>
      <c r="AW151" s="688"/>
      <c r="AX151" s="688"/>
      <c r="AY151" s="688"/>
      <c r="AZ151" s="688"/>
      <c r="BA151" s="688"/>
      <c r="BB151" s="688"/>
      <c r="BC151" s="688"/>
      <c r="BD151" s="688"/>
      <c r="BE151" s="688"/>
      <c r="BF151" s="688"/>
      <c r="BG151" s="688"/>
      <c r="BH151" s="688"/>
      <c r="BI151" s="688"/>
      <c r="BJ151" s="688"/>
      <c r="BK151" s="688"/>
      <c r="BL151" s="688"/>
      <c r="BM151" s="688"/>
      <c r="BN151" s="688"/>
      <c r="BO151" s="688"/>
      <c r="BP151" s="688"/>
      <c r="BQ151" s="688"/>
      <c r="BR151" s="688"/>
      <c r="BS151" s="688"/>
      <c r="BT151" s="688"/>
      <c r="BU151" s="688"/>
      <c r="BV151" s="688"/>
      <c r="BW151" s="688"/>
      <c r="BX151" s="688"/>
      <c r="BY151" s="688"/>
      <c r="BZ151" s="688"/>
      <c r="CA151" s="688"/>
    </row>
    <row r="152" spans="1:79" s="309" customFormat="1" hidden="1" outlineLevel="1" x14ac:dyDescent="0.35">
      <c r="A152" s="30"/>
      <c r="B152" s="30"/>
      <c r="C152" s="30"/>
      <c r="D152" s="30"/>
      <c r="E152" s="30"/>
      <c r="F152" s="675" t="s">
        <v>644</v>
      </c>
      <c r="G152" s="695">
        <f>SUM(G150+G140)</f>
        <v>30584.79467457805</v>
      </c>
      <c r="H152" s="695">
        <f t="shared" ref="H152:BO152" si="48">SUM(H150+H140)</f>
        <v>31246.92026958222</v>
      </c>
      <c r="I152" s="695">
        <f t="shared" si="48"/>
        <v>26317.437584362211</v>
      </c>
      <c r="J152" s="695">
        <f t="shared" si="48"/>
        <v>28382.822274063168</v>
      </c>
      <c r="K152" s="695">
        <f t="shared" si="48"/>
        <v>33981.508457893535</v>
      </c>
      <c r="L152" s="695">
        <f t="shared" si="48"/>
        <v>47863.141479941041</v>
      </c>
      <c r="M152" s="695">
        <f t="shared" si="48"/>
        <v>40005.144808278739</v>
      </c>
      <c r="N152" s="695">
        <f t="shared" si="48"/>
        <v>52856.685917676463</v>
      </c>
      <c r="O152" s="695">
        <f t="shared" si="48"/>
        <v>40957.334044490744</v>
      </c>
      <c r="P152" s="695">
        <f t="shared" si="48"/>
        <v>37108.067513448281</v>
      </c>
      <c r="Q152" s="695">
        <f t="shared" si="48"/>
        <v>59336.295776535917</v>
      </c>
      <c r="R152" s="695">
        <f t="shared" si="48"/>
        <v>61537.025583477822</v>
      </c>
      <c r="S152" s="695">
        <f t="shared" ref="S152:AB152" si="49">ROUND(S123+S130+S140+SUM(S150:S151),5)</f>
        <v>92445.02</v>
      </c>
      <c r="T152" s="695">
        <f t="shared" si="49"/>
        <v>72918</v>
      </c>
      <c r="U152" s="695">
        <f t="shared" si="49"/>
        <v>129511.36</v>
      </c>
      <c r="V152" s="695">
        <f t="shared" si="49"/>
        <v>98403.16</v>
      </c>
      <c r="W152" s="695">
        <f t="shared" si="49"/>
        <v>105630.7</v>
      </c>
      <c r="X152" s="695">
        <f t="shared" si="49"/>
        <v>86529.16</v>
      </c>
      <c r="Y152" s="695">
        <f t="shared" si="49"/>
        <v>115374.86</v>
      </c>
      <c r="Z152" s="695">
        <f t="shared" si="49"/>
        <v>100511.75</v>
      </c>
      <c r="AA152" s="695">
        <f t="shared" si="49"/>
        <v>104692.83</v>
      </c>
      <c r="AB152" s="695">
        <f t="shared" si="49"/>
        <v>140351.89000000001</v>
      </c>
      <c r="AC152" s="695">
        <f>ROUND(AC123+AC130+AC140+SUM(AC150:AC151),5)</f>
        <v>111673.77</v>
      </c>
      <c r="AD152" s="695">
        <v>112254.91</v>
      </c>
      <c r="AE152" s="695">
        <f t="shared" si="48"/>
        <v>0</v>
      </c>
      <c r="AF152" s="695">
        <f t="shared" si="48"/>
        <v>0</v>
      </c>
      <c r="AG152" s="695">
        <f t="shared" si="48"/>
        <v>0</v>
      </c>
      <c r="AH152" s="695">
        <f t="shared" si="48"/>
        <v>0</v>
      </c>
      <c r="AI152" s="695">
        <f t="shared" si="48"/>
        <v>0</v>
      </c>
      <c r="AJ152" s="695">
        <f t="shared" si="48"/>
        <v>0</v>
      </c>
      <c r="AK152" s="695">
        <f t="shared" si="48"/>
        <v>0</v>
      </c>
      <c r="AL152" s="695">
        <f t="shared" si="48"/>
        <v>0</v>
      </c>
      <c r="AM152" s="695">
        <f t="shared" si="48"/>
        <v>0</v>
      </c>
      <c r="AN152" s="695">
        <f t="shared" si="48"/>
        <v>0</v>
      </c>
      <c r="AO152" s="695">
        <f t="shared" si="48"/>
        <v>0</v>
      </c>
      <c r="AP152" s="695">
        <f t="shared" si="48"/>
        <v>0</v>
      </c>
      <c r="AQ152" s="695">
        <f t="shared" si="48"/>
        <v>0</v>
      </c>
      <c r="AR152" s="695">
        <f t="shared" si="48"/>
        <v>0</v>
      </c>
      <c r="AS152" s="695">
        <f t="shared" si="48"/>
        <v>0</v>
      </c>
      <c r="AT152" s="695">
        <f t="shared" si="48"/>
        <v>0</v>
      </c>
      <c r="AU152" s="695">
        <f t="shared" si="48"/>
        <v>0</v>
      </c>
      <c r="AV152" s="695">
        <f t="shared" si="48"/>
        <v>0</v>
      </c>
      <c r="AW152" s="695">
        <f t="shared" si="48"/>
        <v>0</v>
      </c>
      <c r="AX152" s="695">
        <f t="shared" si="48"/>
        <v>0</v>
      </c>
      <c r="AY152" s="695">
        <f t="shared" si="48"/>
        <v>0</v>
      </c>
      <c r="AZ152" s="695">
        <f t="shared" si="48"/>
        <v>0</v>
      </c>
      <c r="BA152" s="695">
        <f t="shared" si="48"/>
        <v>0</v>
      </c>
      <c r="BB152" s="695">
        <f t="shared" si="48"/>
        <v>0</v>
      </c>
      <c r="BC152" s="695">
        <f t="shared" si="48"/>
        <v>0</v>
      </c>
      <c r="BD152" s="695">
        <f t="shared" si="48"/>
        <v>0</v>
      </c>
      <c r="BE152" s="695">
        <f t="shared" si="48"/>
        <v>0</v>
      </c>
      <c r="BF152" s="695">
        <f t="shared" si="48"/>
        <v>0</v>
      </c>
      <c r="BG152" s="695">
        <f t="shared" si="48"/>
        <v>0</v>
      </c>
      <c r="BH152" s="695">
        <f t="shared" si="48"/>
        <v>0</v>
      </c>
      <c r="BI152" s="695">
        <f t="shared" si="48"/>
        <v>0</v>
      </c>
      <c r="BJ152" s="695">
        <f t="shared" si="48"/>
        <v>0</v>
      </c>
      <c r="BK152" s="695">
        <f t="shared" si="48"/>
        <v>0</v>
      </c>
      <c r="BL152" s="695">
        <f t="shared" si="48"/>
        <v>0</v>
      </c>
      <c r="BM152" s="695">
        <f t="shared" si="48"/>
        <v>0</v>
      </c>
      <c r="BN152" s="695">
        <f t="shared" si="48"/>
        <v>0</v>
      </c>
      <c r="BO152" s="695">
        <f t="shared" si="48"/>
        <v>0</v>
      </c>
      <c r="BP152" s="695">
        <f t="shared" ref="BP152:CA152" si="50">SUM(BP150+BP140)</f>
        <v>0</v>
      </c>
      <c r="BQ152" s="695">
        <f t="shared" si="50"/>
        <v>0</v>
      </c>
      <c r="BR152" s="695">
        <f t="shared" si="50"/>
        <v>0</v>
      </c>
      <c r="BS152" s="695">
        <f t="shared" si="50"/>
        <v>0</v>
      </c>
      <c r="BT152" s="695">
        <f t="shared" si="50"/>
        <v>0</v>
      </c>
      <c r="BU152" s="695">
        <f t="shared" si="50"/>
        <v>0</v>
      </c>
      <c r="BV152" s="695">
        <f t="shared" si="50"/>
        <v>0</v>
      </c>
      <c r="BW152" s="695">
        <f t="shared" si="50"/>
        <v>0</v>
      </c>
      <c r="BX152" s="695">
        <f t="shared" si="50"/>
        <v>0</v>
      </c>
      <c r="BY152" s="695">
        <f t="shared" si="50"/>
        <v>0</v>
      </c>
      <c r="BZ152" s="695">
        <f t="shared" si="50"/>
        <v>0</v>
      </c>
      <c r="CA152" s="695">
        <f t="shared" si="50"/>
        <v>0</v>
      </c>
    </row>
    <row r="153" spans="1:79" s="309" customFormat="1" hidden="1" outlineLevel="1" x14ac:dyDescent="0.35">
      <c r="A153" s="575"/>
      <c r="B153" s="575"/>
      <c r="C153" s="575"/>
      <c r="D153" s="575"/>
      <c r="E153" s="575"/>
      <c r="F153" s="671" t="s">
        <v>912</v>
      </c>
      <c r="G153" s="706"/>
      <c r="H153" s="706"/>
      <c r="I153" s="706"/>
      <c r="J153" s="706"/>
      <c r="K153" s="706"/>
      <c r="L153" s="706"/>
      <c r="M153" s="706"/>
      <c r="N153" s="706"/>
      <c r="O153" s="706"/>
      <c r="P153" s="706"/>
      <c r="Q153" s="706"/>
      <c r="R153" s="706"/>
      <c r="S153" s="700">
        <v>0</v>
      </c>
      <c r="T153" s="700">
        <v>0</v>
      </c>
      <c r="U153" s="700">
        <v>0</v>
      </c>
      <c r="V153" s="700">
        <v>0</v>
      </c>
      <c r="W153" s="700">
        <v>0</v>
      </c>
      <c r="X153" s="700">
        <v>0</v>
      </c>
      <c r="Y153" s="700">
        <v>0</v>
      </c>
      <c r="Z153" s="700">
        <v>0</v>
      </c>
      <c r="AA153" s="700">
        <v>0</v>
      </c>
      <c r="AB153" s="700">
        <v>0</v>
      </c>
      <c r="AC153" s="700">
        <v>0</v>
      </c>
      <c r="AD153" s="701">
        <v>0</v>
      </c>
      <c r="AE153" s="701"/>
      <c r="AF153" s="701"/>
      <c r="AG153" s="701"/>
      <c r="AH153" s="701"/>
      <c r="AI153" s="701"/>
      <c r="AJ153" s="701"/>
      <c r="AK153" s="701"/>
      <c r="AL153" s="701"/>
      <c r="AM153" s="701"/>
      <c r="AN153" s="701"/>
      <c r="AO153" s="701"/>
      <c r="AP153" s="701"/>
      <c r="AQ153" s="701"/>
      <c r="AR153" s="701"/>
      <c r="AS153" s="701"/>
      <c r="AT153" s="701"/>
      <c r="AU153" s="701"/>
      <c r="AV153" s="701"/>
      <c r="AW153" s="701"/>
      <c r="AX153" s="701"/>
      <c r="AY153" s="701"/>
      <c r="AZ153" s="701"/>
      <c r="BA153" s="701"/>
      <c r="BB153" s="701"/>
      <c r="BC153" s="701"/>
      <c r="BD153" s="701"/>
      <c r="BE153" s="701"/>
      <c r="BF153" s="701"/>
      <c r="BG153" s="701"/>
      <c r="BH153" s="701"/>
      <c r="BI153" s="701"/>
      <c r="BJ153" s="701"/>
      <c r="BK153" s="701"/>
      <c r="BL153" s="701"/>
      <c r="BM153" s="701"/>
      <c r="BN153" s="701"/>
      <c r="BO153" s="701"/>
      <c r="BP153" s="701"/>
      <c r="BQ153" s="701"/>
      <c r="BR153" s="701"/>
      <c r="BS153" s="701"/>
      <c r="BT153" s="701"/>
      <c r="BU153" s="701"/>
      <c r="BV153" s="701"/>
      <c r="BW153" s="701"/>
      <c r="BX153" s="701"/>
      <c r="BY153" s="701"/>
      <c r="BZ153" s="701"/>
      <c r="CA153" s="701"/>
    </row>
    <row r="154" spans="1:79" s="757" customFormat="1" hidden="1" outlineLevel="1" x14ac:dyDescent="0.35">
      <c r="A154" s="716"/>
      <c r="B154" s="716"/>
      <c r="C154" s="716"/>
      <c r="D154" s="716"/>
      <c r="E154" s="716"/>
      <c r="F154" s="717" t="s">
        <v>606</v>
      </c>
      <c r="G154" s="712"/>
      <c r="H154" s="712"/>
      <c r="I154" s="712"/>
      <c r="J154" s="713"/>
      <c r="K154" s="713"/>
      <c r="L154" s="713"/>
      <c r="M154" s="713"/>
      <c r="N154" s="713"/>
      <c r="O154" s="713"/>
      <c r="P154" s="713"/>
      <c r="Q154" s="713"/>
      <c r="R154" s="713"/>
      <c r="S154" s="713"/>
      <c r="T154" s="713"/>
      <c r="U154" s="713"/>
      <c r="V154" s="713"/>
      <c r="W154" s="713"/>
      <c r="X154" s="713"/>
      <c r="Y154" s="713"/>
      <c r="Z154" s="713"/>
      <c r="AA154" s="713"/>
      <c r="AB154" s="713"/>
      <c r="AC154" s="713"/>
      <c r="AD154" s="714"/>
      <c r="AE154" s="714"/>
      <c r="AF154" s="714"/>
      <c r="AG154" s="714"/>
      <c r="AH154" s="714"/>
      <c r="AI154" s="714"/>
      <c r="AJ154" s="714"/>
      <c r="AK154" s="714"/>
      <c r="AL154" s="714"/>
      <c r="AM154" s="714"/>
      <c r="AN154" s="714"/>
      <c r="AO154" s="714"/>
      <c r="AP154" s="714"/>
      <c r="AQ154" s="714"/>
      <c r="AR154" s="714"/>
      <c r="AS154" s="714"/>
      <c r="AT154" s="714"/>
      <c r="AU154" s="714"/>
      <c r="AV154" s="714"/>
      <c r="AW154" s="714"/>
      <c r="AX154" s="714"/>
      <c r="AY154" s="714"/>
      <c r="AZ154" s="714"/>
      <c r="BA154" s="714"/>
      <c r="BB154" s="714"/>
      <c r="BC154" s="714"/>
      <c r="BD154" s="714"/>
      <c r="BE154" s="714"/>
      <c r="BF154" s="714"/>
      <c r="BG154" s="714"/>
      <c r="BH154" s="714"/>
      <c r="BI154" s="714"/>
      <c r="BJ154" s="714"/>
      <c r="BK154" s="714"/>
      <c r="BL154" s="714"/>
      <c r="BM154" s="714"/>
      <c r="BN154" s="714"/>
      <c r="BO154" s="714"/>
      <c r="BP154" s="714"/>
      <c r="BQ154" s="714"/>
      <c r="BR154" s="714"/>
      <c r="BS154" s="714"/>
      <c r="BT154" s="714"/>
      <c r="BU154" s="714"/>
      <c r="BV154" s="714"/>
      <c r="BW154" s="714"/>
      <c r="BX154" s="714"/>
      <c r="BY154" s="714"/>
      <c r="BZ154" s="714"/>
      <c r="CA154" s="714"/>
    </row>
    <row r="155" spans="1:79" s="452" customFormat="1" hidden="1" outlineLevel="1" x14ac:dyDescent="0.35">
      <c r="A155" s="80"/>
      <c r="B155" s="80"/>
      <c r="C155" s="80"/>
      <c r="D155" s="80"/>
      <c r="E155" s="80"/>
      <c r="F155" s="672" t="s">
        <v>645</v>
      </c>
      <c r="G155" s="681">
        <v>583.08911240402745</v>
      </c>
      <c r="H155" s="681">
        <v>361.09496888920626</v>
      </c>
      <c r="I155" s="681">
        <v>475.67596733913291</v>
      </c>
      <c r="J155" s="682">
        <v>218.28432268638224</v>
      </c>
      <c r="K155" s="682">
        <v>710.878506328507</v>
      </c>
      <c r="L155" s="682">
        <v>784.92668265095392</v>
      </c>
      <c r="M155" s="682">
        <v>515.88605290083558</v>
      </c>
      <c r="N155" s="682">
        <v>815.06891379593048</v>
      </c>
      <c r="O155" s="682">
        <v>1046.826793758353</v>
      </c>
      <c r="P155" s="682">
        <v>473.90424780788931</v>
      </c>
      <c r="Q155" s="682">
        <v>725.2887367522369</v>
      </c>
      <c r="R155" s="682">
        <v>4536.4033619463344</v>
      </c>
      <c r="S155" s="683">
        <v>8232.8799999999992</v>
      </c>
      <c r="T155" s="683">
        <v>7559.81</v>
      </c>
      <c r="U155" s="683">
        <v>7833.84</v>
      </c>
      <c r="V155" s="683">
        <v>7998.63</v>
      </c>
      <c r="W155" s="683">
        <v>7148.38</v>
      </c>
      <c r="X155" s="683">
        <v>7322.98</v>
      </c>
      <c r="Y155" s="683">
        <v>7824.35</v>
      </c>
      <c r="Z155" s="683">
        <v>6813.22</v>
      </c>
      <c r="AA155" s="683">
        <v>7826.58</v>
      </c>
      <c r="AB155" s="683">
        <v>8605.8799999999992</v>
      </c>
      <c r="AC155" s="683">
        <v>0</v>
      </c>
      <c r="AD155" s="693">
        <v>0</v>
      </c>
      <c r="AE155" s="693"/>
      <c r="AF155" s="693"/>
      <c r="AG155" s="693"/>
      <c r="AH155" s="693"/>
      <c r="AI155" s="693"/>
      <c r="AJ155" s="693"/>
      <c r="AK155" s="693"/>
      <c r="AL155" s="693"/>
      <c r="AM155" s="693"/>
      <c r="AN155" s="693"/>
      <c r="AO155" s="693"/>
      <c r="AP155" s="693"/>
      <c r="AQ155" s="693"/>
      <c r="AR155" s="693"/>
      <c r="AS155" s="693"/>
      <c r="AT155" s="693"/>
      <c r="AU155" s="693"/>
      <c r="AV155" s="693"/>
      <c r="AW155" s="693"/>
      <c r="AX155" s="693"/>
      <c r="AY155" s="693"/>
      <c r="AZ155" s="693"/>
      <c r="BA155" s="693"/>
      <c r="BB155" s="693"/>
      <c r="BC155" s="693"/>
      <c r="BD155" s="693"/>
      <c r="BE155" s="693"/>
      <c r="BF155" s="693"/>
      <c r="BG155" s="693"/>
      <c r="BH155" s="693"/>
      <c r="BI155" s="693"/>
      <c r="BJ155" s="693"/>
      <c r="BK155" s="693"/>
      <c r="BL155" s="693"/>
      <c r="BM155" s="693"/>
      <c r="BN155" s="693"/>
      <c r="BO155" s="693"/>
      <c r="BP155" s="693"/>
      <c r="BQ155" s="693"/>
      <c r="BR155" s="693"/>
      <c r="BS155" s="693"/>
      <c r="BT155" s="693"/>
      <c r="BU155" s="693"/>
      <c r="BV155" s="693"/>
      <c r="BW155" s="693"/>
      <c r="BX155" s="693"/>
      <c r="BY155" s="693"/>
      <c r="BZ155" s="693"/>
      <c r="CA155" s="693"/>
    </row>
    <row r="156" spans="1:79" s="452" customFormat="1" hidden="1" outlineLevel="1" x14ac:dyDescent="0.35">
      <c r="A156" s="580"/>
      <c r="B156" s="580"/>
      <c r="C156" s="580"/>
      <c r="D156" s="580"/>
      <c r="E156" s="580"/>
      <c r="F156" s="672" t="s">
        <v>913</v>
      </c>
      <c r="G156" s="689"/>
      <c r="H156" s="689"/>
      <c r="I156" s="689"/>
      <c r="J156" s="691"/>
      <c r="K156" s="691"/>
      <c r="L156" s="691"/>
      <c r="M156" s="691"/>
      <c r="N156" s="691"/>
      <c r="O156" s="691"/>
      <c r="P156" s="691"/>
      <c r="Q156" s="691"/>
      <c r="R156" s="691"/>
      <c r="S156" s="692">
        <v>0</v>
      </c>
      <c r="T156" s="692">
        <v>0</v>
      </c>
      <c r="U156" s="692">
        <v>0</v>
      </c>
      <c r="V156" s="692">
        <v>0</v>
      </c>
      <c r="W156" s="692">
        <v>0</v>
      </c>
      <c r="X156" s="692">
        <v>0</v>
      </c>
      <c r="Y156" s="692">
        <v>0</v>
      </c>
      <c r="Z156" s="692">
        <v>0</v>
      </c>
      <c r="AA156" s="692">
        <v>0</v>
      </c>
      <c r="AB156" s="692">
        <v>0</v>
      </c>
      <c r="AC156" s="692">
        <v>0</v>
      </c>
      <c r="AD156" s="693">
        <v>0</v>
      </c>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93"/>
      <c r="BG156" s="693"/>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row>
    <row r="157" spans="1:79" s="452" customFormat="1" hidden="1" outlineLevel="1" x14ac:dyDescent="0.35">
      <c r="A157" s="580"/>
      <c r="B157" s="580"/>
      <c r="C157" s="580"/>
      <c r="D157" s="580"/>
      <c r="E157" s="580"/>
      <c r="F157" s="672" t="s">
        <v>770</v>
      </c>
      <c r="G157" s="689"/>
      <c r="H157" s="689"/>
      <c r="I157" s="689"/>
      <c r="J157" s="691"/>
      <c r="K157" s="691"/>
      <c r="L157" s="691"/>
      <c r="M157" s="691"/>
      <c r="N157" s="691"/>
      <c r="O157" s="691"/>
      <c r="P157" s="691"/>
      <c r="Q157" s="691"/>
      <c r="R157" s="691"/>
      <c r="S157" s="692">
        <v>0</v>
      </c>
      <c r="T157" s="692">
        <v>0</v>
      </c>
      <c r="U157" s="692">
        <v>0</v>
      </c>
      <c r="V157" s="692">
        <v>0</v>
      </c>
      <c r="W157" s="692">
        <v>0</v>
      </c>
      <c r="X157" s="692">
        <v>0</v>
      </c>
      <c r="Y157" s="692">
        <v>0</v>
      </c>
      <c r="Z157" s="692">
        <v>0</v>
      </c>
      <c r="AA157" s="692">
        <v>0</v>
      </c>
      <c r="AB157" s="692">
        <v>0</v>
      </c>
      <c r="AC157" s="692">
        <v>0</v>
      </c>
      <c r="AD157" s="693">
        <v>0</v>
      </c>
      <c r="AE157" s="693"/>
      <c r="AF157" s="693"/>
      <c r="AG157" s="693"/>
      <c r="AH157" s="693"/>
      <c r="AI157" s="693"/>
      <c r="AJ157" s="693"/>
      <c r="AK157" s="693"/>
      <c r="AL157" s="693"/>
      <c r="AM157" s="693"/>
      <c r="AN157" s="693"/>
      <c r="AO157" s="693"/>
      <c r="AP157" s="693"/>
      <c r="AQ157" s="693"/>
      <c r="AR157" s="693"/>
      <c r="AS157" s="693"/>
      <c r="AT157" s="693"/>
      <c r="AU157" s="693"/>
      <c r="AV157" s="693"/>
      <c r="AW157" s="693"/>
      <c r="AX157" s="693"/>
      <c r="AY157" s="693"/>
      <c r="AZ157" s="693"/>
      <c r="BA157" s="693"/>
      <c r="BB157" s="693"/>
      <c r="BC157" s="693"/>
      <c r="BD157" s="693"/>
      <c r="BE157" s="693"/>
      <c r="BF157" s="693"/>
      <c r="BG157" s="693"/>
      <c r="BH157" s="693"/>
      <c r="BI157" s="693"/>
      <c r="BJ157" s="693"/>
      <c r="BK157" s="693"/>
      <c r="BL157" s="693"/>
      <c r="BM157" s="693"/>
      <c r="BN157" s="693"/>
      <c r="BO157" s="693"/>
      <c r="BP157" s="693"/>
      <c r="BQ157" s="693"/>
      <c r="BR157" s="693"/>
      <c r="BS157" s="693"/>
      <c r="BT157" s="693"/>
      <c r="BU157" s="693"/>
      <c r="BV157" s="693"/>
      <c r="BW157" s="693"/>
      <c r="BX157" s="693"/>
      <c r="BY157" s="693"/>
      <c r="BZ157" s="693"/>
      <c r="CA157" s="693"/>
    </row>
    <row r="158" spans="1:79" s="309" customFormat="1" hidden="1" outlineLevel="1" x14ac:dyDescent="0.35">
      <c r="A158" s="30"/>
      <c r="B158" s="30"/>
      <c r="C158" s="30"/>
      <c r="D158" s="30"/>
      <c r="E158" s="30"/>
      <c r="F158" s="678" t="s">
        <v>646</v>
      </c>
      <c r="G158" s="694">
        <f>SUM(G155:G157)</f>
        <v>583.08911240402745</v>
      </c>
      <c r="H158" s="694">
        <f t="shared" ref="H158:BO158" si="51">SUM(H155:H157)</f>
        <v>361.09496888920626</v>
      </c>
      <c r="I158" s="694">
        <f t="shared" si="51"/>
        <v>475.67596733913291</v>
      </c>
      <c r="J158" s="694">
        <f t="shared" si="51"/>
        <v>218.28432268638224</v>
      </c>
      <c r="K158" s="694">
        <f t="shared" si="51"/>
        <v>710.878506328507</v>
      </c>
      <c r="L158" s="694">
        <f t="shared" si="51"/>
        <v>784.92668265095392</v>
      </c>
      <c r="M158" s="694">
        <f t="shared" si="51"/>
        <v>515.88605290083558</v>
      </c>
      <c r="N158" s="694">
        <f t="shared" si="51"/>
        <v>815.06891379593048</v>
      </c>
      <c r="O158" s="694">
        <f t="shared" si="51"/>
        <v>1046.826793758353</v>
      </c>
      <c r="P158" s="694">
        <f t="shared" si="51"/>
        <v>473.90424780788931</v>
      </c>
      <c r="Q158" s="694">
        <f t="shared" si="51"/>
        <v>725.2887367522369</v>
      </c>
      <c r="R158" s="694">
        <f t="shared" si="51"/>
        <v>4536.4033619463344</v>
      </c>
      <c r="S158" s="694">
        <f t="shared" ref="S158:AA158" si="52">ROUND(SUM(S154:S157),5)</f>
        <v>8232.8799999999992</v>
      </c>
      <c r="T158" s="694">
        <f t="shared" si="52"/>
        <v>7559.81</v>
      </c>
      <c r="U158" s="694">
        <f t="shared" si="52"/>
        <v>7833.84</v>
      </c>
      <c r="V158" s="694">
        <f t="shared" si="52"/>
        <v>7998.63</v>
      </c>
      <c r="W158" s="694">
        <f t="shared" si="52"/>
        <v>7148.38</v>
      </c>
      <c r="X158" s="694">
        <f t="shared" si="52"/>
        <v>7322.98</v>
      </c>
      <c r="Y158" s="694">
        <f t="shared" si="52"/>
        <v>7824.35</v>
      </c>
      <c r="Z158" s="694">
        <f t="shared" si="52"/>
        <v>6813.22</v>
      </c>
      <c r="AA158" s="694">
        <f t="shared" si="52"/>
        <v>7826.58</v>
      </c>
      <c r="AB158" s="694">
        <f>ROUND(SUM(AB154:AB157),5)</f>
        <v>8605.8799999999992</v>
      </c>
      <c r="AC158" s="694">
        <f>ROUND(SUM(AC154:AC157),5)</f>
        <v>0</v>
      </c>
      <c r="AD158" s="694">
        <v>0</v>
      </c>
      <c r="AE158" s="694">
        <f t="shared" si="51"/>
        <v>0</v>
      </c>
      <c r="AF158" s="694">
        <f t="shared" si="51"/>
        <v>0</v>
      </c>
      <c r="AG158" s="694">
        <f t="shared" si="51"/>
        <v>0</v>
      </c>
      <c r="AH158" s="694">
        <f t="shared" si="51"/>
        <v>0</v>
      </c>
      <c r="AI158" s="694">
        <f t="shared" si="51"/>
        <v>0</v>
      </c>
      <c r="AJ158" s="694">
        <f t="shared" si="51"/>
        <v>0</v>
      </c>
      <c r="AK158" s="694">
        <f t="shared" si="51"/>
        <v>0</v>
      </c>
      <c r="AL158" s="694">
        <f t="shared" si="51"/>
        <v>0</v>
      </c>
      <c r="AM158" s="694">
        <f t="shared" si="51"/>
        <v>0</v>
      </c>
      <c r="AN158" s="694">
        <f t="shared" si="51"/>
        <v>0</v>
      </c>
      <c r="AO158" s="694">
        <f t="shared" si="51"/>
        <v>0</v>
      </c>
      <c r="AP158" s="694">
        <f t="shared" si="51"/>
        <v>0</v>
      </c>
      <c r="AQ158" s="694">
        <f t="shared" si="51"/>
        <v>0</v>
      </c>
      <c r="AR158" s="694">
        <f t="shared" si="51"/>
        <v>0</v>
      </c>
      <c r="AS158" s="694">
        <f t="shared" si="51"/>
        <v>0</v>
      </c>
      <c r="AT158" s="694">
        <f t="shared" si="51"/>
        <v>0</v>
      </c>
      <c r="AU158" s="694">
        <f t="shared" si="51"/>
        <v>0</v>
      </c>
      <c r="AV158" s="694">
        <f t="shared" si="51"/>
        <v>0</v>
      </c>
      <c r="AW158" s="694">
        <f t="shared" si="51"/>
        <v>0</v>
      </c>
      <c r="AX158" s="694">
        <f t="shared" si="51"/>
        <v>0</v>
      </c>
      <c r="AY158" s="694">
        <f t="shared" si="51"/>
        <v>0</v>
      </c>
      <c r="AZ158" s="694">
        <f t="shared" si="51"/>
        <v>0</v>
      </c>
      <c r="BA158" s="694">
        <f t="shared" si="51"/>
        <v>0</v>
      </c>
      <c r="BB158" s="694">
        <f t="shared" si="51"/>
        <v>0</v>
      </c>
      <c r="BC158" s="694">
        <f t="shared" si="51"/>
        <v>0</v>
      </c>
      <c r="BD158" s="694">
        <f t="shared" si="51"/>
        <v>0</v>
      </c>
      <c r="BE158" s="694">
        <f t="shared" si="51"/>
        <v>0</v>
      </c>
      <c r="BF158" s="694">
        <f t="shared" si="51"/>
        <v>0</v>
      </c>
      <c r="BG158" s="694">
        <f t="shared" si="51"/>
        <v>0</v>
      </c>
      <c r="BH158" s="694">
        <f t="shared" si="51"/>
        <v>0</v>
      </c>
      <c r="BI158" s="694">
        <f t="shared" si="51"/>
        <v>0</v>
      </c>
      <c r="BJ158" s="694">
        <f t="shared" si="51"/>
        <v>0</v>
      </c>
      <c r="BK158" s="694">
        <f t="shared" si="51"/>
        <v>0</v>
      </c>
      <c r="BL158" s="694">
        <f t="shared" si="51"/>
        <v>0</v>
      </c>
      <c r="BM158" s="694">
        <f t="shared" si="51"/>
        <v>0</v>
      </c>
      <c r="BN158" s="694">
        <f t="shared" si="51"/>
        <v>0</v>
      </c>
      <c r="BO158" s="694">
        <f t="shared" si="51"/>
        <v>0</v>
      </c>
      <c r="BP158" s="694">
        <f t="shared" ref="BP158:CA158" si="53">SUM(BP155:BP157)</f>
        <v>0</v>
      </c>
      <c r="BQ158" s="694">
        <f t="shared" si="53"/>
        <v>0</v>
      </c>
      <c r="BR158" s="694">
        <f t="shared" si="53"/>
        <v>0</v>
      </c>
      <c r="BS158" s="694">
        <f t="shared" si="53"/>
        <v>0</v>
      </c>
      <c r="BT158" s="694">
        <f t="shared" si="53"/>
        <v>0</v>
      </c>
      <c r="BU158" s="694">
        <f t="shared" si="53"/>
        <v>0</v>
      </c>
      <c r="BV158" s="694">
        <f t="shared" si="53"/>
        <v>0</v>
      </c>
      <c r="BW158" s="694">
        <f t="shared" si="53"/>
        <v>0</v>
      </c>
      <c r="BX158" s="694">
        <f t="shared" si="53"/>
        <v>0</v>
      </c>
      <c r="BY158" s="694">
        <f t="shared" si="53"/>
        <v>0</v>
      </c>
      <c r="BZ158" s="694">
        <f t="shared" si="53"/>
        <v>0</v>
      </c>
      <c r="CA158" s="694">
        <f t="shared" si="53"/>
        <v>0</v>
      </c>
    </row>
    <row r="159" spans="1:79" hidden="1" outlineLevel="1" x14ac:dyDescent="0.35">
      <c r="F159" s="674" t="s">
        <v>607</v>
      </c>
      <c r="G159" s="681"/>
      <c r="H159" s="681">
        <v>33.560439269433019</v>
      </c>
      <c r="I159" s="681">
        <v>33.150791216562098</v>
      </c>
      <c r="J159" s="682">
        <v>28.445308915225748</v>
      </c>
      <c r="K159" s="682">
        <v>63.547062859773682</v>
      </c>
      <c r="L159" s="682"/>
      <c r="M159" s="682">
        <v>7.7217799302010919</v>
      </c>
      <c r="N159" s="682"/>
      <c r="O159" s="682"/>
      <c r="P159" s="682">
        <v>1.9358654869732723</v>
      </c>
      <c r="Q159" s="682"/>
      <c r="R159" s="682"/>
      <c r="S159" s="683">
        <v>0</v>
      </c>
      <c r="T159" s="683">
        <v>472.89</v>
      </c>
      <c r="U159" s="683">
        <v>0</v>
      </c>
      <c r="V159" s="683">
        <v>997.5</v>
      </c>
      <c r="W159" s="683">
        <v>997.5</v>
      </c>
      <c r="X159" s="683">
        <v>48.9</v>
      </c>
      <c r="Y159" s="683">
        <v>0</v>
      </c>
      <c r="Z159" s="683">
        <v>0</v>
      </c>
      <c r="AA159" s="683">
        <v>0</v>
      </c>
      <c r="AB159" s="683">
        <v>0</v>
      </c>
      <c r="AC159" s="683">
        <v>0</v>
      </c>
      <c r="AD159" s="684">
        <v>0</v>
      </c>
      <c r="AE159" s="684"/>
      <c r="AF159" s="684"/>
      <c r="AG159" s="684"/>
      <c r="AH159" s="684"/>
      <c r="AI159" s="684"/>
      <c r="AJ159" s="684"/>
      <c r="AK159" s="684"/>
      <c r="AL159" s="684"/>
      <c r="AM159" s="684"/>
      <c r="AN159" s="684"/>
      <c r="AO159" s="684"/>
      <c r="AP159" s="684"/>
      <c r="AQ159" s="684"/>
      <c r="AR159" s="684"/>
      <c r="AS159" s="684"/>
      <c r="AT159" s="684"/>
      <c r="AU159" s="684"/>
      <c r="AV159" s="684"/>
      <c r="AW159" s="684"/>
      <c r="AX159" s="684"/>
      <c r="AY159" s="684"/>
      <c r="AZ159" s="684"/>
      <c r="BA159" s="684"/>
      <c r="BB159" s="684"/>
      <c r="BC159" s="684"/>
      <c r="BD159" s="684"/>
      <c r="BE159" s="684"/>
      <c r="BF159" s="684"/>
      <c r="BG159" s="684"/>
      <c r="BH159" s="684"/>
      <c r="BI159" s="684"/>
      <c r="BJ159" s="684"/>
      <c r="BK159" s="684"/>
      <c r="BL159" s="684"/>
      <c r="BM159" s="684"/>
      <c r="BN159" s="684"/>
      <c r="BO159" s="684"/>
      <c r="BP159" s="684"/>
      <c r="BQ159" s="684"/>
      <c r="BR159" s="684"/>
      <c r="BS159" s="684"/>
      <c r="BT159" s="684"/>
      <c r="BU159" s="684"/>
      <c r="BV159" s="684"/>
      <c r="BW159" s="684"/>
      <c r="BX159" s="684"/>
      <c r="BY159" s="684"/>
      <c r="BZ159" s="684"/>
      <c r="CA159" s="684"/>
    </row>
    <row r="160" spans="1:79" hidden="1" outlineLevel="1" x14ac:dyDescent="0.35">
      <c r="F160" s="674" t="s">
        <v>608</v>
      </c>
      <c r="G160" s="681">
        <v>194.81837767622494</v>
      </c>
      <c r="H160" s="681">
        <v>33.710183452770586</v>
      </c>
      <c r="I160" s="681">
        <v>20.296402785650265</v>
      </c>
      <c r="J160" s="682">
        <v>2236.014620553608</v>
      </c>
      <c r="K160" s="682">
        <v>129.53824352184637</v>
      </c>
      <c r="L160" s="682">
        <v>2012.7717452546296</v>
      </c>
      <c r="M160" s="682">
        <v>1853.2194614683319</v>
      </c>
      <c r="N160" s="682">
        <v>2754.9999481303234</v>
      </c>
      <c r="O160" s="682">
        <v>13.53815056037079</v>
      </c>
      <c r="P160" s="682">
        <v>1188.4648830619644</v>
      </c>
      <c r="Q160" s="682"/>
      <c r="R160" s="682"/>
      <c r="S160" s="683">
        <v>200</v>
      </c>
      <c r="T160" s="683">
        <v>125</v>
      </c>
      <c r="U160" s="683">
        <v>263.16000000000003</v>
      </c>
      <c r="V160" s="683">
        <v>25</v>
      </c>
      <c r="W160" s="683">
        <v>150</v>
      </c>
      <c r="X160" s="683">
        <v>135</v>
      </c>
      <c r="Y160" s="683">
        <v>60</v>
      </c>
      <c r="Z160" s="683">
        <v>60</v>
      </c>
      <c r="AA160" s="683">
        <v>60</v>
      </c>
      <c r="AB160" s="683">
        <v>135</v>
      </c>
      <c r="AC160" s="683">
        <v>185</v>
      </c>
      <c r="AD160" s="684">
        <v>0</v>
      </c>
      <c r="AE160" s="684"/>
      <c r="AF160" s="684"/>
      <c r="AG160" s="684"/>
      <c r="AH160" s="684"/>
      <c r="AI160" s="684"/>
      <c r="AJ160" s="684"/>
      <c r="AK160" s="684"/>
      <c r="AL160" s="684"/>
      <c r="AM160" s="684"/>
      <c r="AN160" s="684"/>
      <c r="AO160" s="684"/>
      <c r="AP160" s="684"/>
      <c r="AQ160" s="684"/>
      <c r="AR160" s="684"/>
      <c r="AS160" s="684"/>
      <c r="AT160" s="684"/>
      <c r="AU160" s="684"/>
      <c r="AV160" s="684"/>
      <c r="AW160" s="684"/>
      <c r="AX160" s="684"/>
      <c r="AY160" s="684"/>
      <c r="AZ160" s="684"/>
      <c r="BA160" s="684"/>
      <c r="BB160" s="684"/>
      <c r="BC160" s="684"/>
      <c r="BD160" s="684"/>
      <c r="BE160" s="684"/>
      <c r="BF160" s="684"/>
      <c r="BG160" s="684"/>
      <c r="BH160" s="684"/>
      <c r="BI160" s="684"/>
      <c r="BJ160" s="684"/>
      <c r="BK160" s="684"/>
      <c r="BL160" s="684"/>
      <c r="BM160" s="684"/>
      <c r="BN160" s="684"/>
      <c r="BO160" s="684"/>
      <c r="BP160" s="684"/>
      <c r="BQ160" s="684"/>
      <c r="BR160" s="684"/>
      <c r="BS160" s="684"/>
      <c r="BT160" s="684"/>
      <c r="BU160" s="684"/>
      <c r="BV160" s="684"/>
      <c r="BW160" s="684"/>
      <c r="BX160" s="684"/>
      <c r="BY160" s="684"/>
      <c r="BZ160" s="684"/>
      <c r="CA160" s="684"/>
    </row>
    <row r="161" spans="1:79" hidden="1" outlineLevel="1" x14ac:dyDescent="0.35">
      <c r="A161" s="709"/>
      <c r="B161" s="709"/>
      <c r="C161" s="709"/>
      <c r="D161" s="709"/>
      <c r="E161" s="709"/>
      <c r="F161" s="717" t="s">
        <v>656</v>
      </c>
      <c r="G161" s="718"/>
      <c r="H161" s="718"/>
      <c r="I161" s="718"/>
      <c r="J161" s="720"/>
      <c r="K161" s="720"/>
      <c r="L161" s="720"/>
      <c r="M161" s="720"/>
      <c r="N161" s="720"/>
      <c r="O161" s="720"/>
      <c r="P161" s="720"/>
      <c r="Q161" s="720"/>
      <c r="R161" s="720"/>
      <c r="S161" s="720"/>
      <c r="T161" s="720"/>
      <c r="U161" s="720"/>
      <c r="V161" s="720"/>
      <c r="W161" s="720"/>
      <c r="X161" s="720"/>
      <c r="Y161" s="720"/>
      <c r="Z161" s="720"/>
      <c r="AA161" s="720"/>
      <c r="AB161" s="720"/>
      <c r="AC161" s="720"/>
      <c r="AD161" s="715"/>
      <c r="AE161" s="715"/>
      <c r="AF161" s="715"/>
      <c r="AG161" s="715"/>
      <c r="AH161" s="715"/>
      <c r="AI161" s="715"/>
      <c r="AJ161" s="715"/>
      <c r="AK161" s="715"/>
      <c r="AL161" s="715"/>
      <c r="AM161" s="715"/>
      <c r="AN161" s="715"/>
      <c r="AO161" s="715"/>
      <c r="AP161" s="715"/>
      <c r="AQ161" s="715"/>
      <c r="AR161" s="715"/>
      <c r="AS161" s="715"/>
      <c r="AT161" s="715"/>
      <c r="AU161" s="715"/>
      <c r="AV161" s="715"/>
      <c r="AW161" s="715"/>
      <c r="AX161" s="715"/>
      <c r="AY161" s="715"/>
      <c r="AZ161" s="715"/>
      <c r="BA161" s="715"/>
      <c r="BB161" s="715"/>
      <c r="BC161" s="715"/>
      <c r="BD161" s="715"/>
      <c r="BE161" s="715"/>
      <c r="BF161" s="715"/>
      <c r="BG161" s="715"/>
      <c r="BH161" s="715"/>
      <c r="BI161" s="715"/>
      <c r="BJ161" s="715"/>
      <c r="BK161" s="715"/>
      <c r="BL161" s="715"/>
      <c r="BM161" s="715"/>
      <c r="BN161" s="715"/>
      <c r="BO161" s="715"/>
      <c r="BP161" s="715"/>
      <c r="BQ161" s="715"/>
      <c r="BR161" s="715"/>
      <c r="BS161" s="715"/>
      <c r="BT161" s="715"/>
      <c r="BU161" s="715"/>
      <c r="BV161" s="715"/>
      <c r="BW161" s="715"/>
      <c r="BX161" s="715"/>
      <c r="BY161" s="715"/>
      <c r="BZ161" s="715"/>
      <c r="CA161" s="715"/>
    </row>
    <row r="162" spans="1:79" hidden="1" outlineLevel="1" x14ac:dyDescent="0.35">
      <c r="A162" s="574"/>
      <c r="B162" s="574"/>
      <c r="C162" s="574"/>
      <c r="D162" s="574"/>
      <c r="E162" s="574"/>
      <c r="F162" s="672" t="s">
        <v>657</v>
      </c>
      <c r="G162" s="681"/>
      <c r="H162" s="681"/>
      <c r="I162" s="681"/>
      <c r="J162" s="682"/>
      <c r="K162" s="682"/>
      <c r="L162" s="682"/>
      <c r="M162" s="682"/>
      <c r="N162" s="682"/>
      <c r="O162" s="682"/>
      <c r="P162" s="682"/>
      <c r="Q162" s="682"/>
      <c r="R162" s="682"/>
      <c r="S162" s="683">
        <v>0</v>
      </c>
      <c r="T162" s="683">
        <v>0</v>
      </c>
      <c r="U162" s="683">
        <v>0</v>
      </c>
      <c r="V162" s="683">
        <v>0</v>
      </c>
      <c r="W162" s="683">
        <v>0</v>
      </c>
      <c r="X162" s="683">
        <v>0</v>
      </c>
      <c r="Y162" s="683">
        <v>0</v>
      </c>
      <c r="Z162" s="683">
        <v>0</v>
      </c>
      <c r="AA162" s="683">
        <v>0</v>
      </c>
      <c r="AB162" s="683">
        <v>0</v>
      </c>
      <c r="AC162" s="683">
        <v>0</v>
      </c>
      <c r="AD162" s="684">
        <v>0</v>
      </c>
      <c r="AE162" s="684"/>
      <c r="AF162" s="684"/>
      <c r="AG162" s="684"/>
      <c r="AH162" s="684"/>
      <c r="AI162" s="684"/>
      <c r="AJ162" s="684"/>
      <c r="AK162" s="684"/>
      <c r="AL162" s="684"/>
      <c r="AM162" s="684"/>
      <c r="AN162" s="684"/>
      <c r="AO162" s="684"/>
      <c r="AP162" s="684"/>
      <c r="AQ162" s="684"/>
      <c r="AR162" s="684"/>
      <c r="AS162" s="684"/>
      <c r="AT162" s="684"/>
      <c r="AU162" s="684"/>
      <c r="AV162" s="684"/>
      <c r="AW162" s="684"/>
      <c r="AX162" s="684"/>
      <c r="AY162" s="684"/>
      <c r="AZ162" s="684"/>
      <c r="BA162" s="684"/>
      <c r="BB162" s="684"/>
      <c r="BC162" s="684"/>
      <c r="BD162" s="684"/>
      <c r="BE162" s="684"/>
      <c r="BF162" s="684"/>
      <c r="BG162" s="684"/>
      <c r="BH162" s="684"/>
      <c r="BI162" s="684"/>
      <c r="BJ162" s="684"/>
      <c r="BK162" s="684"/>
      <c r="BL162" s="684"/>
      <c r="BM162" s="684"/>
      <c r="BN162" s="684"/>
      <c r="BO162" s="684"/>
      <c r="BP162" s="684"/>
      <c r="BQ162" s="684"/>
      <c r="BR162" s="684"/>
      <c r="BS162" s="684"/>
      <c r="BT162" s="684"/>
      <c r="BU162" s="684"/>
      <c r="BV162" s="684"/>
      <c r="BW162" s="684"/>
      <c r="BX162" s="684"/>
      <c r="BY162" s="684"/>
      <c r="BZ162" s="684"/>
      <c r="CA162" s="684"/>
    </row>
    <row r="163" spans="1:79" hidden="1" outlineLevel="1" x14ac:dyDescent="0.35">
      <c r="A163" s="574"/>
      <c r="B163" s="574"/>
      <c r="C163" s="574"/>
      <c r="D163" s="574"/>
      <c r="E163" s="574"/>
      <c r="F163" s="672" t="s">
        <v>914</v>
      </c>
      <c r="G163" s="681"/>
      <c r="H163" s="681"/>
      <c r="I163" s="681"/>
      <c r="J163" s="682"/>
      <c r="K163" s="682"/>
      <c r="L163" s="682"/>
      <c r="M163" s="682"/>
      <c r="N163" s="682"/>
      <c r="O163" s="682"/>
      <c r="P163" s="682"/>
      <c r="Q163" s="682"/>
      <c r="R163" s="682"/>
      <c r="S163" s="683">
        <v>0</v>
      </c>
      <c r="T163" s="683">
        <v>0</v>
      </c>
      <c r="U163" s="683">
        <v>0</v>
      </c>
      <c r="V163" s="683">
        <v>0</v>
      </c>
      <c r="W163" s="683">
        <v>0</v>
      </c>
      <c r="X163" s="683">
        <v>0</v>
      </c>
      <c r="Y163" s="683">
        <v>0</v>
      </c>
      <c r="Z163" s="683">
        <v>0</v>
      </c>
      <c r="AA163" s="683">
        <v>0</v>
      </c>
      <c r="AB163" s="683">
        <v>0</v>
      </c>
      <c r="AC163" s="683">
        <v>0</v>
      </c>
      <c r="AD163" s="684">
        <v>0</v>
      </c>
      <c r="AE163" s="684"/>
      <c r="AF163" s="684"/>
      <c r="AG163" s="684"/>
      <c r="AH163" s="684"/>
      <c r="AI163" s="684"/>
      <c r="AJ163" s="684"/>
      <c r="AK163" s="684"/>
      <c r="AL163" s="684"/>
      <c r="AM163" s="684"/>
      <c r="AN163" s="684"/>
      <c r="AO163" s="684"/>
      <c r="AP163" s="684"/>
      <c r="AQ163" s="684"/>
      <c r="AR163" s="684"/>
      <c r="AS163" s="684"/>
      <c r="AT163" s="684"/>
      <c r="AU163" s="684"/>
      <c r="AV163" s="684"/>
      <c r="AW163" s="684"/>
      <c r="AX163" s="684"/>
      <c r="AY163" s="684"/>
      <c r="AZ163" s="684"/>
      <c r="BA163" s="684"/>
      <c r="BB163" s="684"/>
      <c r="BC163" s="684"/>
      <c r="BD163" s="684"/>
      <c r="BE163" s="684"/>
      <c r="BF163" s="684"/>
      <c r="BG163" s="684"/>
      <c r="BH163" s="684"/>
      <c r="BI163" s="684"/>
      <c r="BJ163" s="684"/>
      <c r="BK163" s="684"/>
      <c r="BL163" s="684"/>
      <c r="BM163" s="684"/>
      <c r="BN163" s="684"/>
      <c r="BO163" s="684"/>
      <c r="BP163" s="684"/>
      <c r="BQ163" s="684"/>
      <c r="BR163" s="684"/>
      <c r="BS163" s="684"/>
      <c r="BT163" s="684"/>
      <c r="BU163" s="684"/>
      <c r="BV163" s="684"/>
      <c r="BW163" s="684"/>
      <c r="BX163" s="684"/>
      <c r="BY163" s="684"/>
      <c r="BZ163" s="684"/>
      <c r="CA163" s="684"/>
    </row>
    <row r="164" spans="1:79" hidden="1" outlineLevel="1" x14ac:dyDescent="0.35">
      <c r="A164" s="574"/>
      <c r="B164" s="574"/>
      <c r="C164" s="574"/>
      <c r="D164" s="574"/>
      <c r="E164" s="574"/>
      <c r="F164" s="672" t="s">
        <v>915</v>
      </c>
      <c r="G164" s="681"/>
      <c r="H164" s="681"/>
      <c r="I164" s="681"/>
      <c r="J164" s="682"/>
      <c r="K164" s="682"/>
      <c r="L164" s="682"/>
      <c r="M164" s="682"/>
      <c r="N164" s="682"/>
      <c r="O164" s="682"/>
      <c r="P164" s="682"/>
      <c r="Q164" s="682"/>
      <c r="R164" s="682"/>
      <c r="S164" s="683">
        <v>0</v>
      </c>
      <c r="T164" s="683">
        <v>0</v>
      </c>
      <c r="U164" s="683">
        <v>0</v>
      </c>
      <c r="V164" s="683">
        <v>0</v>
      </c>
      <c r="W164" s="683">
        <v>0</v>
      </c>
      <c r="X164" s="683">
        <v>0</v>
      </c>
      <c r="Y164" s="683">
        <v>0</v>
      </c>
      <c r="Z164" s="683">
        <v>0</v>
      </c>
      <c r="AA164" s="683">
        <v>0</v>
      </c>
      <c r="AB164" s="683">
        <v>0</v>
      </c>
      <c r="AC164" s="683">
        <v>0</v>
      </c>
      <c r="AD164" s="684">
        <v>0</v>
      </c>
      <c r="AE164" s="684"/>
      <c r="AF164" s="684"/>
      <c r="AG164" s="684"/>
      <c r="AH164" s="684"/>
      <c r="AI164" s="684"/>
      <c r="AJ164" s="684"/>
      <c r="AK164" s="684"/>
      <c r="AL164" s="684"/>
      <c r="AM164" s="684"/>
      <c r="AN164" s="684"/>
      <c r="AO164" s="684"/>
      <c r="AP164" s="684"/>
      <c r="AQ164" s="684"/>
      <c r="AR164" s="684"/>
      <c r="AS164" s="684"/>
      <c r="AT164" s="684"/>
      <c r="AU164" s="684"/>
      <c r="AV164" s="684"/>
      <c r="AW164" s="684"/>
      <c r="AX164" s="684"/>
      <c r="AY164" s="684"/>
      <c r="AZ164" s="684"/>
      <c r="BA164" s="684"/>
      <c r="BB164" s="684"/>
      <c r="BC164" s="684"/>
      <c r="BD164" s="684"/>
      <c r="BE164" s="684"/>
      <c r="BF164" s="684"/>
      <c r="BG164" s="684"/>
      <c r="BH164" s="684"/>
      <c r="BI164" s="684"/>
      <c r="BJ164" s="684"/>
      <c r="BK164" s="684"/>
      <c r="BL164" s="684"/>
      <c r="BM164" s="684"/>
      <c r="BN164" s="684"/>
      <c r="BO164" s="684"/>
      <c r="BP164" s="684"/>
      <c r="BQ164" s="684"/>
      <c r="BR164" s="684"/>
      <c r="BS164" s="684"/>
      <c r="BT164" s="684"/>
      <c r="BU164" s="684"/>
      <c r="BV164" s="684"/>
      <c r="BW164" s="684"/>
      <c r="BX164" s="684"/>
      <c r="BY164" s="684"/>
      <c r="BZ164" s="684"/>
      <c r="CA164" s="684"/>
    </row>
    <row r="165" spans="1:79" hidden="1" outlineLevel="1" x14ac:dyDescent="0.35">
      <c r="A165" s="574"/>
      <c r="B165" s="574"/>
      <c r="C165" s="574"/>
      <c r="D165" s="574"/>
      <c r="E165" s="574"/>
      <c r="F165" s="672" t="s">
        <v>658</v>
      </c>
      <c r="G165" s="681"/>
      <c r="H165" s="681"/>
      <c r="I165" s="681"/>
      <c r="J165" s="682"/>
      <c r="K165" s="682"/>
      <c r="L165" s="682"/>
      <c r="M165" s="682"/>
      <c r="N165" s="682"/>
      <c r="O165" s="682"/>
      <c r="P165" s="682"/>
      <c r="Q165" s="682"/>
      <c r="R165" s="682"/>
      <c r="S165" s="683">
        <v>0</v>
      </c>
      <c r="T165" s="683">
        <v>0</v>
      </c>
      <c r="U165" s="683">
        <v>0</v>
      </c>
      <c r="V165" s="683">
        <v>0</v>
      </c>
      <c r="W165" s="683">
        <v>0</v>
      </c>
      <c r="X165" s="683">
        <v>0</v>
      </c>
      <c r="Y165" s="683">
        <v>0</v>
      </c>
      <c r="Z165" s="683">
        <v>0</v>
      </c>
      <c r="AA165" s="683">
        <v>0</v>
      </c>
      <c r="AB165" s="683">
        <v>0</v>
      </c>
      <c r="AC165" s="683">
        <v>0</v>
      </c>
      <c r="AD165" s="684">
        <v>0</v>
      </c>
      <c r="AE165" s="684"/>
      <c r="AF165" s="684"/>
      <c r="AG165" s="684"/>
      <c r="AH165" s="684"/>
      <c r="AI165" s="684"/>
      <c r="AJ165" s="684"/>
      <c r="AK165" s="684"/>
      <c r="AL165" s="684"/>
      <c r="AM165" s="684"/>
      <c r="AN165" s="684"/>
      <c r="AO165" s="684"/>
      <c r="AP165" s="684"/>
      <c r="AQ165" s="684"/>
      <c r="AR165" s="684"/>
      <c r="AS165" s="684"/>
      <c r="AT165" s="684"/>
      <c r="AU165" s="684"/>
      <c r="AV165" s="684"/>
      <c r="AW165" s="684"/>
      <c r="AX165" s="684"/>
      <c r="AY165" s="684"/>
      <c r="AZ165" s="684"/>
      <c r="BA165" s="684"/>
      <c r="BB165" s="684"/>
      <c r="BC165" s="684"/>
      <c r="BD165" s="684"/>
      <c r="BE165" s="684"/>
      <c r="BF165" s="684"/>
      <c r="BG165" s="684"/>
      <c r="BH165" s="684"/>
      <c r="BI165" s="684"/>
      <c r="BJ165" s="684"/>
      <c r="BK165" s="684"/>
      <c r="BL165" s="684"/>
      <c r="BM165" s="684"/>
      <c r="BN165" s="684"/>
      <c r="BO165" s="684"/>
      <c r="BP165" s="684"/>
      <c r="BQ165" s="684"/>
      <c r="BR165" s="684"/>
      <c r="BS165" s="684"/>
      <c r="BT165" s="684"/>
      <c r="BU165" s="684"/>
      <c r="BV165" s="684"/>
      <c r="BW165" s="684"/>
      <c r="BX165" s="684"/>
      <c r="BY165" s="684"/>
      <c r="BZ165" s="684"/>
      <c r="CA165" s="684"/>
    </row>
    <row r="166" spans="1:79" hidden="1" outlineLevel="1" x14ac:dyDescent="0.35">
      <c r="A166" s="574"/>
      <c r="B166" s="574"/>
      <c r="C166" s="574"/>
      <c r="D166" s="574"/>
      <c r="E166" s="574"/>
      <c r="F166" s="672" t="s">
        <v>916</v>
      </c>
      <c r="G166" s="681"/>
      <c r="H166" s="681"/>
      <c r="I166" s="681"/>
      <c r="J166" s="682"/>
      <c r="K166" s="682"/>
      <c r="L166" s="682"/>
      <c r="M166" s="682"/>
      <c r="N166" s="682"/>
      <c r="O166" s="682"/>
      <c r="P166" s="682"/>
      <c r="Q166" s="682"/>
      <c r="R166" s="682"/>
      <c r="S166" s="683">
        <v>0</v>
      </c>
      <c r="T166" s="683">
        <v>0</v>
      </c>
      <c r="U166" s="683">
        <v>0</v>
      </c>
      <c r="V166" s="683">
        <v>0</v>
      </c>
      <c r="W166" s="683">
        <v>0</v>
      </c>
      <c r="X166" s="683">
        <v>0</v>
      </c>
      <c r="Y166" s="683">
        <v>0</v>
      </c>
      <c r="Z166" s="683">
        <v>0</v>
      </c>
      <c r="AA166" s="683">
        <v>0</v>
      </c>
      <c r="AB166" s="683">
        <v>0</v>
      </c>
      <c r="AC166" s="683">
        <v>0</v>
      </c>
      <c r="AD166" s="684">
        <v>0</v>
      </c>
      <c r="AE166" s="684"/>
      <c r="AF166" s="684"/>
      <c r="AG166" s="684"/>
      <c r="AH166" s="684"/>
      <c r="AI166" s="684"/>
      <c r="AJ166" s="684"/>
      <c r="AK166" s="684"/>
      <c r="AL166" s="684"/>
      <c r="AM166" s="684"/>
      <c r="AN166" s="684"/>
      <c r="AO166" s="684"/>
      <c r="AP166" s="684"/>
      <c r="AQ166" s="684"/>
      <c r="AR166" s="684"/>
      <c r="AS166" s="684"/>
      <c r="AT166" s="684"/>
      <c r="AU166" s="684"/>
      <c r="AV166" s="684"/>
      <c r="AW166" s="684"/>
      <c r="AX166" s="684"/>
      <c r="AY166" s="684"/>
      <c r="AZ166" s="684"/>
      <c r="BA166" s="684"/>
      <c r="BB166" s="684"/>
      <c r="BC166" s="684"/>
      <c r="BD166" s="684"/>
      <c r="BE166" s="684"/>
      <c r="BF166" s="684"/>
      <c r="BG166" s="684"/>
      <c r="BH166" s="684"/>
      <c r="BI166" s="684"/>
      <c r="BJ166" s="684"/>
      <c r="BK166" s="684"/>
      <c r="BL166" s="684"/>
      <c r="BM166" s="684"/>
      <c r="BN166" s="684"/>
      <c r="BO166" s="684"/>
      <c r="BP166" s="684"/>
      <c r="BQ166" s="684"/>
      <c r="BR166" s="684"/>
      <c r="BS166" s="684"/>
      <c r="BT166" s="684"/>
      <c r="BU166" s="684"/>
      <c r="BV166" s="684"/>
      <c r="BW166" s="684"/>
      <c r="BX166" s="684"/>
      <c r="BY166" s="684"/>
      <c r="BZ166" s="684"/>
      <c r="CA166" s="684"/>
    </row>
    <row r="167" spans="1:79" hidden="1" outlineLevel="1" x14ac:dyDescent="0.35">
      <c r="A167" s="574"/>
      <c r="B167" s="574"/>
      <c r="C167" s="574"/>
      <c r="D167" s="574"/>
      <c r="E167" s="574"/>
      <c r="F167" s="672" t="s">
        <v>917</v>
      </c>
      <c r="G167" s="681"/>
      <c r="H167" s="681"/>
      <c r="I167" s="681"/>
      <c r="J167" s="682"/>
      <c r="K167" s="682"/>
      <c r="L167" s="682"/>
      <c r="M167" s="682"/>
      <c r="N167" s="682"/>
      <c r="O167" s="682"/>
      <c r="P167" s="682"/>
      <c r="Q167" s="682"/>
      <c r="R167" s="682"/>
      <c r="S167" s="683">
        <v>0</v>
      </c>
      <c r="T167" s="683">
        <v>0</v>
      </c>
      <c r="U167" s="683">
        <v>0</v>
      </c>
      <c r="V167" s="683">
        <v>0</v>
      </c>
      <c r="W167" s="683">
        <v>0</v>
      </c>
      <c r="X167" s="683">
        <v>0</v>
      </c>
      <c r="Y167" s="683">
        <v>0</v>
      </c>
      <c r="Z167" s="683">
        <v>0</v>
      </c>
      <c r="AA167" s="683">
        <v>0</v>
      </c>
      <c r="AB167" s="683">
        <v>0</v>
      </c>
      <c r="AC167" s="683">
        <v>0</v>
      </c>
      <c r="AD167" s="684">
        <v>0</v>
      </c>
      <c r="AE167" s="684"/>
      <c r="AF167" s="684"/>
      <c r="AG167" s="684"/>
      <c r="AH167" s="684"/>
      <c r="AI167" s="684"/>
      <c r="AJ167" s="684"/>
      <c r="AK167" s="684"/>
      <c r="AL167" s="684"/>
      <c r="AM167" s="684"/>
      <c r="AN167" s="684"/>
      <c r="AO167" s="684"/>
      <c r="AP167" s="684"/>
      <c r="AQ167" s="684"/>
      <c r="AR167" s="684"/>
      <c r="AS167" s="684"/>
      <c r="AT167" s="684"/>
      <c r="AU167" s="684"/>
      <c r="AV167" s="684"/>
      <c r="AW167" s="684"/>
      <c r="AX167" s="684"/>
      <c r="AY167" s="684"/>
      <c r="AZ167" s="684"/>
      <c r="BA167" s="684"/>
      <c r="BB167" s="684"/>
      <c r="BC167" s="684"/>
      <c r="BD167" s="684"/>
      <c r="BE167" s="684"/>
      <c r="BF167" s="684"/>
      <c r="BG167" s="684"/>
      <c r="BH167" s="684"/>
      <c r="BI167" s="684"/>
      <c r="BJ167" s="684"/>
      <c r="BK167" s="684"/>
      <c r="BL167" s="684"/>
      <c r="BM167" s="684"/>
      <c r="BN167" s="684"/>
      <c r="BO167" s="684"/>
      <c r="BP167" s="684"/>
      <c r="BQ167" s="684"/>
      <c r="BR167" s="684"/>
      <c r="BS167" s="684"/>
      <c r="BT167" s="684"/>
      <c r="BU167" s="684"/>
      <c r="BV167" s="684"/>
      <c r="BW167" s="684"/>
      <c r="BX167" s="684"/>
      <c r="BY167" s="684"/>
      <c r="BZ167" s="684"/>
      <c r="CA167" s="684"/>
    </row>
    <row r="168" spans="1:79" hidden="1" outlineLevel="1" x14ac:dyDescent="0.35">
      <c r="A168" s="574"/>
      <c r="B168" s="574"/>
      <c r="C168" s="574"/>
      <c r="D168" s="574"/>
      <c r="E168" s="574"/>
      <c r="F168" s="672" t="s">
        <v>918</v>
      </c>
      <c r="G168" s="681"/>
      <c r="H168" s="681"/>
      <c r="I168" s="681"/>
      <c r="J168" s="682"/>
      <c r="K168" s="682"/>
      <c r="L168" s="682">
        <v>545</v>
      </c>
      <c r="M168" s="682"/>
      <c r="N168" s="682"/>
      <c r="O168" s="682"/>
      <c r="P168" s="682"/>
      <c r="Q168" s="682"/>
      <c r="R168" s="682">
        <v>399.71</v>
      </c>
      <c r="S168" s="683">
        <v>0</v>
      </c>
      <c r="T168" s="683">
        <v>0</v>
      </c>
      <c r="U168" s="683">
        <v>0</v>
      </c>
      <c r="V168" s="683">
        <v>0</v>
      </c>
      <c r="W168" s="683">
        <v>0</v>
      </c>
      <c r="X168" s="683">
        <v>0</v>
      </c>
      <c r="Y168" s="683">
        <v>0</v>
      </c>
      <c r="Z168" s="683">
        <v>0</v>
      </c>
      <c r="AA168" s="683">
        <v>0</v>
      </c>
      <c r="AB168" s="683">
        <v>0</v>
      </c>
      <c r="AC168" s="683">
        <v>0</v>
      </c>
      <c r="AD168" s="684">
        <v>0</v>
      </c>
      <c r="AE168" s="684"/>
      <c r="AF168" s="684"/>
      <c r="AG168" s="684"/>
      <c r="AH168" s="684"/>
      <c r="AI168" s="684"/>
      <c r="AJ168" s="684"/>
      <c r="AK168" s="684"/>
      <c r="AL168" s="684"/>
      <c r="AM168" s="684"/>
      <c r="AN168" s="684"/>
      <c r="AO168" s="684"/>
      <c r="AP168" s="684"/>
      <c r="AQ168" s="684"/>
      <c r="AR168" s="684"/>
      <c r="AS168" s="684"/>
      <c r="AT168" s="684"/>
      <c r="AU168" s="684"/>
      <c r="AV168" s="684"/>
      <c r="AW168" s="684"/>
      <c r="AX168" s="684"/>
      <c r="AY168" s="684"/>
      <c r="AZ168" s="684"/>
      <c r="BA168" s="684"/>
      <c r="BB168" s="684"/>
      <c r="BC168" s="684"/>
      <c r="BD168" s="684"/>
      <c r="BE168" s="684"/>
      <c r="BF168" s="684"/>
      <c r="BG168" s="684"/>
      <c r="BH168" s="684"/>
      <c r="BI168" s="684"/>
      <c r="BJ168" s="684"/>
      <c r="BK168" s="684"/>
      <c r="BL168" s="684"/>
      <c r="BM168" s="684"/>
      <c r="BN168" s="684"/>
      <c r="BO168" s="684"/>
      <c r="BP168" s="684"/>
      <c r="BQ168" s="684"/>
      <c r="BR168" s="684"/>
      <c r="BS168" s="684"/>
      <c r="BT168" s="684"/>
      <c r="BU168" s="684"/>
      <c r="BV168" s="684"/>
      <c r="BW168" s="684"/>
      <c r="BX168" s="684"/>
      <c r="BY168" s="684"/>
      <c r="BZ168" s="684"/>
      <c r="CA168" s="684"/>
    </row>
    <row r="169" spans="1:79" hidden="1" outlineLevel="1" x14ac:dyDescent="0.35">
      <c r="A169" s="574"/>
      <c r="B169" s="574"/>
      <c r="C169" s="574"/>
      <c r="D169" s="574"/>
      <c r="E169" s="574"/>
      <c r="F169" s="673" t="s">
        <v>659</v>
      </c>
      <c r="G169" s="694">
        <f>SUM(G162:G168)</f>
        <v>0</v>
      </c>
      <c r="H169" s="694">
        <f t="shared" ref="H169:BO169" si="54">SUM(H162:H168)</f>
        <v>0</v>
      </c>
      <c r="I169" s="694">
        <f t="shared" si="54"/>
        <v>0</v>
      </c>
      <c r="J169" s="694">
        <f t="shared" si="54"/>
        <v>0</v>
      </c>
      <c r="K169" s="694">
        <f t="shared" si="54"/>
        <v>0</v>
      </c>
      <c r="L169" s="694">
        <f t="shared" si="54"/>
        <v>545</v>
      </c>
      <c r="M169" s="694">
        <f t="shared" si="54"/>
        <v>0</v>
      </c>
      <c r="N169" s="694">
        <f t="shared" si="54"/>
        <v>0</v>
      </c>
      <c r="O169" s="694">
        <f t="shared" si="54"/>
        <v>0</v>
      </c>
      <c r="P169" s="694">
        <f t="shared" si="54"/>
        <v>0</v>
      </c>
      <c r="Q169" s="694">
        <f t="shared" si="54"/>
        <v>0</v>
      </c>
      <c r="R169" s="694">
        <f t="shared" si="54"/>
        <v>399.71</v>
      </c>
      <c r="S169" s="694">
        <f t="shared" ref="S169:AA169" si="55">ROUND(SUM(S161:S168),5)</f>
        <v>0</v>
      </c>
      <c r="T169" s="694">
        <f t="shared" si="55"/>
        <v>0</v>
      </c>
      <c r="U169" s="694">
        <f t="shared" si="55"/>
        <v>0</v>
      </c>
      <c r="V169" s="694">
        <f t="shared" si="55"/>
        <v>0</v>
      </c>
      <c r="W169" s="694">
        <f t="shared" si="55"/>
        <v>0</v>
      </c>
      <c r="X169" s="694">
        <f t="shared" si="55"/>
        <v>0</v>
      </c>
      <c r="Y169" s="694">
        <f t="shared" si="55"/>
        <v>0</v>
      </c>
      <c r="Z169" s="694">
        <f t="shared" si="55"/>
        <v>0</v>
      </c>
      <c r="AA169" s="694">
        <f t="shared" si="55"/>
        <v>0</v>
      </c>
      <c r="AB169" s="694">
        <f>ROUND(SUM(AB161:AB168),5)</f>
        <v>0</v>
      </c>
      <c r="AC169" s="694">
        <f>ROUND(SUM(AC161:AC168),5)</f>
        <v>0</v>
      </c>
      <c r="AD169" s="694">
        <v>0</v>
      </c>
      <c r="AE169" s="694">
        <f t="shared" si="54"/>
        <v>0</v>
      </c>
      <c r="AF169" s="694">
        <f t="shared" si="54"/>
        <v>0</v>
      </c>
      <c r="AG169" s="694">
        <f t="shared" si="54"/>
        <v>0</v>
      </c>
      <c r="AH169" s="694">
        <f t="shared" si="54"/>
        <v>0</v>
      </c>
      <c r="AI169" s="694">
        <f t="shared" si="54"/>
        <v>0</v>
      </c>
      <c r="AJ169" s="694">
        <f t="shared" si="54"/>
        <v>0</v>
      </c>
      <c r="AK169" s="694">
        <f t="shared" si="54"/>
        <v>0</v>
      </c>
      <c r="AL169" s="694">
        <f t="shared" si="54"/>
        <v>0</v>
      </c>
      <c r="AM169" s="694">
        <f t="shared" si="54"/>
        <v>0</v>
      </c>
      <c r="AN169" s="694">
        <f t="shared" si="54"/>
        <v>0</v>
      </c>
      <c r="AO169" s="694">
        <f t="shared" si="54"/>
        <v>0</v>
      </c>
      <c r="AP169" s="694">
        <f t="shared" si="54"/>
        <v>0</v>
      </c>
      <c r="AQ169" s="694">
        <f t="shared" si="54"/>
        <v>0</v>
      </c>
      <c r="AR169" s="694">
        <f t="shared" si="54"/>
        <v>0</v>
      </c>
      <c r="AS169" s="694">
        <f t="shared" si="54"/>
        <v>0</v>
      </c>
      <c r="AT169" s="694">
        <f t="shared" si="54"/>
        <v>0</v>
      </c>
      <c r="AU169" s="694">
        <f t="shared" si="54"/>
        <v>0</v>
      </c>
      <c r="AV169" s="694">
        <f t="shared" si="54"/>
        <v>0</v>
      </c>
      <c r="AW169" s="694">
        <f t="shared" si="54"/>
        <v>0</v>
      </c>
      <c r="AX169" s="694">
        <f t="shared" si="54"/>
        <v>0</v>
      </c>
      <c r="AY169" s="694">
        <f t="shared" si="54"/>
        <v>0</v>
      </c>
      <c r="AZ169" s="694">
        <f t="shared" si="54"/>
        <v>0</v>
      </c>
      <c r="BA169" s="694">
        <f t="shared" si="54"/>
        <v>0</v>
      </c>
      <c r="BB169" s="694">
        <f t="shared" si="54"/>
        <v>0</v>
      </c>
      <c r="BC169" s="694">
        <f t="shared" si="54"/>
        <v>0</v>
      </c>
      <c r="BD169" s="694">
        <f t="shared" si="54"/>
        <v>0</v>
      </c>
      <c r="BE169" s="694">
        <f t="shared" si="54"/>
        <v>0</v>
      </c>
      <c r="BF169" s="694">
        <f t="shared" si="54"/>
        <v>0</v>
      </c>
      <c r="BG169" s="694">
        <f t="shared" si="54"/>
        <v>0</v>
      </c>
      <c r="BH169" s="694">
        <f t="shared" si="54"/>
        <v>0</v>
      </c>
      <c r="BI169" s="694">
        <f t="shared" si="54"/>
        <v>0</v>
      </c>
      <c r="BJ169" s="694">
        <f t="shared" si="54"/>
        <v>0</v>
      </c>
      <c r="BK169" s="694">
        <f t="shared" si="54"/>
        <v>0</v>
      </c>
      <c r="BL169" s="694">
        <f t="shared" si="54"/>
        <v>0</v>
      </c>
      <c r="BM169" s="694">
        <f t="shared" si="54"/>
        <v>0</v>
      </c>
      <c r="BN169" s="694">
        <f t="shared" si="54"/>
        <v>0</v>
      </c>
      <c r="BO169" s="694">
        <f t="shared" si="54"/>
        <v>0</v>
      </c>
      <c r="BP169" s="694">
        <f t="shared" ref="BP169:CA169" si="56">SUM(BP162:BP168)</f>
        <v>0</v>
      </c>
      <c r="BQ169" s="694">
        <f t="shared" si="56"/>
        <v>0</v>
      </c>
      <c r="BR169" s="694">
        <f t="shared" si="56"/>
        <v>0</v>
      </c>
      <c r="BS169" s="694">
        <f t="shared" si="56"/>
        <v>0</v>
      </c>
      <c r="BT169" s="694">
        <f t="shared" si="56"/>
        <v>0</v>
      </c>
      <c r="BU169" s="694">
        <f t="shared" si="56"/>
        <v>0</v>
      </c>
      <c r="BV169" s="694">
        <f t="shared" si="56"/>
        <v>0</v>
      </c>
      <c r="BW169" s="694">
        <f t="shared" si="56"/>
        <v>0</v>
      </c>
      <c r="BX169" s="694">
        <f t="shared" si="56"/>
        <v>0</v>
      </c>
      <c r="BY169" s="694">
        <f t="shared" si="56"/>
        <v>0</v>
      </c>
      <c r="BZ169" s="694">
        <f t="shared" si="56"/>
        <v>0</v>
      </c>
      <c r="CA169" s="694">
        <f t="shared" si="56"/>
        <v>0</v>
      </c>
    </row>
    <row r="170" spans="1:79" hidden="1" outlineLevel="1" x14ac:dyDescent="0.35">
      <c r="F170" s="641" t="s">
        <v>696</v>
      </c>
      <c r="G170" s="681">
        <v>529.22897498277894</v>
      </c>
      <c r="H170" s="681">
        <v>286.72416670935127</v>
      </c>
      <c r="I170" s="681">
        <v>267.66293905101844</v>
      </c>
      <c r="J170" s="682">
        <v>168.56933000804858</v>
      </c>
      <c r="K170" s="682">
        <v>52.699694429437429</v>
      </c>
      <c r="L170" s="682">
        <v>156.37817821251338</v>
      </c>
      <c r="M170" s="682">
        <v>82.693861170737975</v>
      </c>
      <c r="N170" s="682">
        <v>62.869998624532755</v>
      </c>
      <c r="O170" s="682">
        <v>529.50370025194024</v>
      </c>
      <c r="P170" s="682">
        <v>492.855752409042</v>
      </c>
      <c r="Q170" s="682">
        <v>271.18578416930478</v>
      </c>
      <c r="R170" s="682">
        <v>177.01613853441026</v>
      </c>
      <c r="S170" s="683">
        <v>0</v>
      </c>
      <c r="T170" s="683">
        <v>0</v>
      </c>
      <c r="U170" s="683">
        <v>0</v>
      </c>
      <c r="V170" s="683">
        <v>0</v>
      </c>
      <c r="W170" s="683">
        <v>0</v>
      </c>
      <c r="X170" s="683">
        <v>0</v>
      </c>
      <c r="Y170" s="683">
        <v>0</v>
      </c>
      <c r="Z170" s="683">
        <v>0</v>
      </c>
      <c r="AA170" s="683">
        <v>0</v>
      </c>
      <c r="AB170" s="683">
        <v>0</v>
      </c>
      <c r="AC170" s="683">
        <v>0</v>
      </c>
      <c r="AD170" s="684">
        <v>0</v>
      </c>
      <c r="AE170" s="684"/>
      <c r="AF170" s="684"/>
      <c r="AG170" s="684"/>
      <c r="AH170" s="684"/>
      <c r="AI170" s="684"/>
      <c r="AJ170" s="684"/>
      <c r="AK170" s="684"/>
      <c r="AL170" s="684"/>
      <c r="AM170" s="684"/>
      <c r="AN170" s="684"/>
      <c r="AO170" s="684"/>
      <c r="AP170" s="684"/>
      <c r="AQ170" s="684"/>
      <c r="AR170" s="684"/>
      <c r="AS170" s="684"/>
      <c r="AT170" s="684"/>
      <c r="AU170" s="684"/>
      <c r="AV170" s="684"/>
      <c r="AW170" s="684"/>
      <c r="AX170" s="684"/>
      <c r="AY170" s="684"/>
      <c r="AZ170" s="684"/>
      <c r="BA170" s="684"/>
      <c r="BB170" s="684"/>
      <c r="BC170" s="684"/>
      <c r="BD170" s="684"/>
      <c r="BE170" s="684"/>
      <c r="BF170" s="684"/>
      <c r="BG170" s="684"/>
      <c r="BH170" s="684"/>
      <c r="BI170" s="684"/>
      <c r="BJ170" s="684"/>
      <c r="BK170" s="684"/>
      <c r="BL170" s="684"/>
      <c r="BM170" s="684"/>
      <c r="BN170" s="684"/>
      <c r="BO170" s="684"/>
      <c r="BP170" s="684"/>
      <c r="BQ170" s="684"/>
      <c r="BR170" s="684"/>
      <c r="BS170" s="684"/>
      <c r="BT170" s="684"/>
      <c r="BU170" s="684"/>
      <c r="BV170" s="684"/>
      <c r="BW170" s="684"/>
      <c r="BX170" s="684"/>
      <c r="BY170" s="684"/>
      <c r="BZ170" s="684"/>
      <c r="CA170" s="684"/>
    </row>
    <row r="171" spans="1:79" s="888" customFormat="1" ht="15" collapsed="1" thickBot="1" x14ac:dyDescent="0.4">
      <c r="A171" s="500"/>
      <c r="B171" s="500"/>
      <c r="C171" s="500"/>
      <c r="D171" s="500"/>
      <c r="E171" s="500"/>
      <c r="F171" s="913" t="s">
        <v>660</v>
      </c>
      <c r="G171" s="914">
        <f t="shared" ref="G171:R171" si="57">SUM(G7:G170)-SUM(G169,G158,G152,G150,G140,G130,G121,G113,G107,G99,G85,G81,G61,G46,G35,G31,G25,G16)</f>
        <v>34017.993182829588</v>
      </c>
      <c r="H171" s="914">
        <f t="shared" si="57"/>
        <v>34542.950694408944</v>
      </c>
      <c r="I171" s="914">
        <f t="shared" si="57"/>
        <v>30852.619057067925</v>
      </c>
      <c r="J171" s="914">
        <f t="shared" si="57"/>
        <v>35093.753123859191</v>
      </c>
      <c r="K171" s="914">
        <f t="shared" si="57"/>
        <v>39242.344685416538</v>
      </c>
      <c r="L171" s="914">
        <f t="shared" si="57"/>
        <v>58312.66824735266</v>
      </c>
      <c r="M171" s="914">
        <f t="shared" si="57"/>
        <v>49675.559127334956</v>
      </c>
      <c r="N171" s="914">
        <f t="shared" si="57"/>
        <v>63917.624901386007</v>
      </c>
      <c r="O171" s="914">
        <f t="shared" si="57"/>
        <v>49268.545660767471</v>
      </c>
      <c r="P171" s="914">
        <f t="shared" si="57"/>
        <v>44395.188025324504</v>
      </c>
      <c r="Q171" s="914">
        <f t="shared" si="57"/>
        <v>68735.622734345045</v>
      </c>
      <c r="R171" s="914">
        <f t="shared" si="57"/>
        <v>68706.519374703275</v>
      </c>
      <c r="S171" s="915">
        <f t="shared" ref="S171:AB171" si="58">ROUND(SUM(S6:S12)+SUM(S16:S21)+SUM(S25:S27)+S31+SUM(S35:S37)+SUM(S46:S50)+SUM(S61:S62)+S81+SUM(S85:S88)+S99+S107+SUM(S113:S115)+SUM(S121:S122)+SUM(S152:S153)+SUM(S158:S160)+SUM(S169:S170),5)</f>
        <v>108819.14</v>
      </c>
      <c r="T171" s="915">
        <f t="shared" si="58"/>
        <v>88746.52</v>
      </c>
      <c r="U171" s="915">
        <f t="shared" si="58"/>
        <v>147580.19</v>
      </c>
      <c r="V171" s="915">
        <f t="shared" si="58"/>
        <v>118226.94</v>
      </c>
      <c r="W171" s="915">
        <f t="shared" si="58"/>
        <v>122808.24</v>
      </c>
      <c r="X171" s="915">
        <f t="shared" si="58"/>
        <v>103263.89</v>
      </c>
      <c r="Y171" s="915">
        <f t="shared" si="58"/>
        <v>132491.95000000001</v>
      </c>
      <c r="Z171" s="915">
        <f t="shared" si="58"/>
        <v>115863.47</v>
      </c>
      <c r="AA171" s="915">
        <f t="shared" si="58"/>
        <v>131784.16</v>
      </c>
      <c r="AB171" s="915">
        <f t="shared" si="58"/>
        <v>163135.63</v>
      </c>
      <c r="AC171" s="915">
        <f>ROUND(SUM(AC6:AC12)+SUM(AC16:AC21)+SUM(AC25:AC27)+AC31+SUM(AC35:AC37)+SUM(AC46:AC50)+SUM(AC61:AC62)+AC81+SUM(AC85:AC88)+AC99+AC107+SUM(AC113:AC115)+SUM(AC121:AC122)+SUM(AC152:AC153)+SUM(AC158:AC160)+SUM(AC169:AC170),5)</f>
        <v>129571.93</v>
      </c>
      <c r="AD171" s="914">
        <v>137228.06</v>
      </c>
      <c r="AE171" s="914">
        <f t="shared" ref="AE171:BJ171" si="59">SUM(AE7:AE170)-SUM(AE169,AE158,AE152,AE150,AE140,AE130,AE121,AE113,AE107,AE99,AE85,AE81,AE61,AE46,AE35,AE31,AE25,AE16)</f>
        <v>0</v>
      </c>
      <c r="AF171" s="914">
        <f t="shared" si="59"/>
        <v>0</v>
      </c>
      <c r="AG171" s="914">
        <f t="shared" si="59"/>
        <v>0</v>
      </c>
      <c r="AH171" s="914">
        <f t="shared" si="59"/>
        <v>0</v>
      </c>
      <c r="AI171" s="914">
        <f t="shared" si="59"/>
        <v>0</v>
      </c>
      <c r="AJ171" s="914">
        <f t="shared" si="59"/>
        <v>0</v>
      </c>
      <c r="AK171" s="914">
        <f t="shared" si="59"/>
        <v>0</v>
      </c>
      <c r="AL171" s="914">
        <f t="shared" si="59"/>
        <v>0</v>
      </c>
      <c r="AM171" s="914">
        <f t="shared" si="59"/>
        <v>0</v>
      </c>
      <c r="AN171" s="914">
        <f t="shared" si="59"/>
        <v>0</v>
      </c>
      <c r="AO171" s="914">
        <f t="shared" si="59"/>
        <v>0</v>
      </c>
      <c r="AP171" s="914">
        <f t="shared" si="59"/>
        <v>0</v>
      </c>
      <c r="AQ171" s="914">
        <f t="shared" si="59"/>
        <v>0</v>
      </c>
      <c r="AR171" s="914">
        <f t="shared" si="59"/>
        <v>0</v>
      </c>
      <c r="AS171" s="914">
        <f t="shared" si="59"/>
        <v>0</v>
      </c>
      <c r="AT171" s="914">
        <f t="shared" si="59"/>
        <v>0</v>
      </c>
      <c r="AU171" s="914">
        <f t="shared" si="59"/>
        <v>0</v>
      </c>
      <c r="AV171" s="914">
        <f t="shared" si="59"/>
        <v>0</v>
      </c>
      <c r="AW171" s="914">
        <f t="shared" si="59"/>
        <v>0</v>
      </c>
      <c r="AX171" s="914">
        <f t="shared" si="59"/>
        <v>0</v>
      </c>
      <c r="AY171" s="914">
        <f t="shared" si="59"/>
        <v>0</v>
      </c>
      <c r="AZ171" s="914">
        <f t="shared" si="59"/>
        <v>0</v>
      </c>
      <c r="BA171" s="914">
        <f t="shared" si="59"/>
        <v>0</v>
      </c>
      <c r="BB171" s="914">
        <f t="shared" si="59"/>
        <v>0</v>
      </c>
      <c r="BC171" s="914">
        <f t="shared" si="59"/>
        <v>0</v>
      </c>
      <c r="BD171" s="914">
        <f t="shared" si="59"/>
        <v>0</v>
      </c>
      <c r="BE171" s="914">
        <f t="shared" si="59"/>
        <v>0</v>
      </c>
      <c r="BF171" s="914">
        <f t="shared" si="59"/>
        <v>0</v>
      </c>
      <c r="BG171" s="914">
        <f t="shared" si="59"/>
        <v>0</v>
      </c>
      <c r="BH171" s="914">
        <f t="shared" si="59"/>
        <v>0</v>
      </c>
      <c r="BI171" s="914">
        <f t="shared" si="59"/>
        <v>0</v>
      </c>
      <c r="BJ171" s="914">
        <f t="shared" si="59"/>
        <v>0</v>
      </c>
      <c r="BK171" s="914">
        <f t="shared" ref="BK171:CA171" si="60">SUM(BK7:BK170)-SUM(BK169,BK158,BK152,BK150,BK140,BK130,BK121,BK113,BK107,BK99,BK85,BK81,BK61,BK46,BK35,BK31,BK25,BK16)</f>
        <v>0</v>
      </c>
      <c r="BL171" s="914">
        <f t="shared" si="60"/>
        <v>0</v>
      </c>
      <c r="BM171" s="914">
        <f t="shared" si="60"/>
        <v>0</v>
      </c>
      <c r="BN171" s="914">
        <f t="shared" si="60"/>
        <v>0</v>
      </c>
      <c r="BO171" s="914">
        <f t="shared" si="60"/>
        <v>0</v>
      </c>
      <c r="BP171" s="914">
        <f t="shared" si="60"/>
        <v>0</v>
      </c>
      <c r="BQ171" s="914">
        <f t="shared" si="60"/>
        <v>0</v>
      </c>
      <c r="BR171" s="914">
        <f t="shared" si="60"/>
        <v>0</v>
      </c>
      <c r="BS171" s="914">
        <f t="shared" si="60"/>
        <v>0</v>
      </c>
      <c r="BT171" s="914">
        <f t="shared" si="60"/>
        <v>0</v>
      </c>
      <c r="BU171" s="914">
        <f t="shared" si="60"/>
        <v>0</v>
      </c>
      <c r="BV171" s="914">
        <f t="shared" si="60"/>
        <v>0</v>
      </c>
      <c r="BW171" s="914">
        <f t="shared" si="60"/>
        <v>0</v>
      </c>
      <c r="BX171" s="914">
        <f t="shared" si="60"/>
        <v>0</v>
      </c>
      <c r="BY171" s="914">
        <f t="shared" si="60"/>
        <v>0</v>
      </c>
      <c r="BZ171" s="914">
        <f t="shared" si="60"/>
        <v>0</v>
      </c>
      <c r="CA171" s="914">
        <f t="shared" si="60"/>
        <v>0</v>
      </c>
    </row>
    <row r="172" spans="1:79" ht="15" thickTop="1" x14ac:dyDescent="0.35">
      <c r="G172" s="574"/>
      <c r="H172" s="574"/>
      <c r="I172" s="574"/>
      <c r="J172" s="574"/>
      <c r="K172" s="574"/>
      <c r="L172" s="574"/>
      <c r="M172" s="574"/>
      <c r="N172" s="574"/>
      <c r="O172" s="574"/>
      <c r="P172" s="574"/>
      <c r="Q172" s="574"/>
      <c r="R172" s="574"/>
      <c r="S172" s="574"/>
      <c r="T172" s="574"/>
      <c r="U172" s="574"/>
      <c r="V172" s="574"/>
      <c r="W172" s="574"/>
      <c r="X172" s="574"/>
      <c r="Y172" s="574"/>
      <c r="Z172" s="574"/>
      <c r="AA172" s="574"/>
      <c r="AB172" s="574"/>
      <c r="AC172" s="684"/>
      <c r="AD172" s="684"/>
      <c r="AE172" s="684"/>
      <c r="AF172" s="684"/>
      <c r="AG172" s="684"/>
      <c r="AH172" s="684"/>
      <c r="AI172" s="684"/>
      <c r="AJ172" s="684"/>
      <c r="AK172" s="684"/>
      <c r="AL172" s="684"/>
      <c r="AM172" s="684"/>
      <c r="AN172" s="684"/>
      <c r="AO172" s="684"/>
      <c r="AP172" s="684"/>
      <c r="AQ172" s="684"/>
      <c r="AR172" s="684"/>
      <c r="AS172" s="684"/>
      <c r="AT172" s="684"/>
      <c r="AU172" s="684"/>
      <c r="AV172" s="684"/>
      <c r="AW172" s="684"/>
      <c r="AX172" s="684"/>
      <c r="AY172" s="684"/>
      <c r="AZ172" s="684"/>
      <c r="BA172" s="684"/>
      <c r="BB172" s="684"/>
      <c r="BC172" s="684"/>
      <c r="BD172" s="684"/>
      <c r="BE172" s="684"/>
      <c r="BF172" s="684"/>
      <c r="BG172" s="684"/>
      <c r="BH172" s="684"/>
      <c r="BI172" s="684"/>
      <c r="BJ172" s="684"/>
      <c r="BK172" s="684"/>
      <c r="BL172" s="684"/>
      <c r="BM172" s="684"/>
      <c r="BN172" s="684"/>
      <c r="BO172" s="684"/>
      <c r="BP172" s="684"/>
      <c r="BQ172" s="684"/>
      <c r="BR172" s="684"/>
      <c r="BS172" s="684"/>
      <c r="BT172" s="684"/>
      <c r="BU172" s="684"/>
      <c r="BV172" s="684"/>
      <c r="BW172" s="684"/>
      <c r="BX172" s="684"/>
      <c r="BY172" s="684"/>
      <c r="BZ172" s="684"/>
      <c r="CA172" s="684"/>
    </row>
    <row r="173" spans="1:79" x14ac:dyDescent="0.35">
      <c r="G173" s="574"/>
      <c r="H173" s="574"/>
      <c r="I173" s="574"/>
      <c r="J173" s="574"/>
      <c r="K173" s="574"/>
      <c r="L173" s="574"/>
      <c r="M173" s="574"/>
      <c r="N173" s="574"/>
      <c r="O173" s="574"/>
      <c r="P173" s="574"/>
      <c r="Q173" s="574"/>
      <c r="R173" s="574"/>
      <c r="S173" s="574"/>
      <c r="T173" s="574"/>
      <c r="U173" s="574"/>
      <c r="V173" s="574"/>
      <c r="W173" s="574"/>
      <c r="X173" s="574"/>
      <c r="Y173" s="574"/>
      <c r="Z173" s="574"/>
      <c r="AA173" s="574"/>
      <c r="AB173" s="574"/>
      <c r="AC173" s="682"/>
      <c r="AD173" s="682"/>
      <c r="AE173" s="682"/>
      <c r="AF173" s="682"/>
      <c r="AG173" s="682"/>
      <c r="AH173" s="682"/>
      <c r="AI173" s="682"/>
      <c r="AJ173" s="682"/>
      <c r="AK173" s="682"/>
      <c r="AL173" s="682"/>
      <c r="AM173" s="682"/>
      <c r="AN173" s="682"/>
      <c r="AO173" s="682"/>
      <c r="AP173" s="682"/>
      <c r="AQ173" s="682"/>
      <c r="AR173" s="682"/>
      <c r="AS173" s="682"/>
      <c r="AT173" s="682"/>
      <c r="AU173" s="682"/>
      <c r="AV173" s="682"/>
      <c r="AW173" s="682"/>
      <c r="AX173" s="682"/>
      <c r="AY173" s="682"/>
      <c r="AZ173" s="682"/>
      <c r="BA173" s="682"/>
      <c r="BB173" s="682"/>
      <c r="BC173" s="682"/>
      <c r="BD173" s="682"/>
      <c r="BE173" s="682"/>
      <c r="BF173" s="682"/>
      <c r="BG173" s="682"/>
      <c r="BH173" s="682"/>
      <c r="BI173" s="682"/>
      <c r="BJ173" s="682"/>
      <c r="BK173" s="682"/>
      <c r="BL173" s="682"/>
      <c r="BM173" s="682"/>
      <c r="BN173" s="682"/>
      <c r="BO173" s="682"/>
      <c r="BP173" s="682"/>
      <c r="BQ173" s="682"/>
      <c r="BR173" s="682"/>
      <c r="BS173" s="682"/>
      <c r="BT173" s="682"/>
      <c r="BU173" s="682"/>
      <c r="BV173" s="682"/>
      <c r="BW173" s="682"/>
      <c r="BX173" s="682"/>
      <c r="BY173" s="682"/>
      <c r="BZ173" s="682"/>
      <c r="CA173" s="682"/>
    </row>
    <row r="174" spans="1:79" s="878" customFormat="1" x14ac:dyDescent="0.35">
      <c r="A174" s="882"/>
      <c r="F174" s="883" t="s">
        <v>5</v>
      </c>
      <c r="G174" s="883"/>
      <c r="H174" s="883"/>
      <c r="I174" s="883"/>
      <c r="J174" s="883"/>
      <c r="K174" s="883"/>
      <c r="L174" s="883"/>
      <c r="M174" s="883"/>
      <c r="N174" s="883"/>
      <c r="O174" s="883"/>
      <c r="P174" s="883"/>
      <c r="Q174" s="883"/>
      <c r="R174" s="883"/>
      <c r="S174" s="883"/>
      <c r="T174" s="883"/>
      <c r="U174" s="883"/>
      <c r="V174" s="883"/>
      <c r="W174" s="883"/>
      <c r="X174" s="883"/>
      <c r="Y174" s="883"/>
      <c r="Z174" s="883"/>
      <c r="AA174" s="883"/>
      <c r="AB174" s="883"/>
      <c r="AC174" s="883"/>
      <c r="AD174" s="883"/>
      <c r="AE174" s="883"/>
      <c r="AF174" s="883"/>
      <c r="AG174" s="883"/>
      <c r="AH174" s="883"/>
      <c r="AI174" s="883"/>
      <c r="AJ174" s="883"/>
      <c r="AK174" s="883"/>
      <c r="AL174" s="883"/>
      <c r="AM174" s="883"/>
      <c r="AN174" s="883"/>
      <c r="AO174" s="883"/>
      <c r="AP174" s="883"/>
      <c r="AQ174" s="883"/>
      <c r="AR174" s="883"/>
      <c r="AS174" s="883"/>
      <c r="AT174" s="883"/>
      <c r="AU174" s="883"/>
      <c r="AV174" s="883"/>
      <c r="AW174" s="883"/>
      <c r="AX174" s="883"/>
      <c r="AY174" s="883"/>
      <c r="AZ174" s="883"/>
      <c r="BA174" s="883"/>
      <c r="BB174" s="883"/>
      <c r="BC174" s="883"/>
      <c r="BD174" s="883"/>
      <c r="BE174" s="883"/>
      <c r="BF174" s="883"/>
      <c r="BG174" s="883"/>
      <c r="BH174" s="883"/>
      <c r="BI174" s="883"/>
      <c r="BJ174" s="883"/>
      <c r="BK174" s="883"/>
      <c r="BL174" s="883"/>
      <c r="BM174" s="883"/>
      <c r="BN174" s="883"/>
      <c r="BO174" s="883"/>
      <c r="BP174" s="883"/>
      <c r="BQ174" s="883"/>
      <c r="BR174" s="883"/>
      <c r="BS174" s="883"/>
      <c r="BT174" s="883"/>
      <c r="BU174" s="883"/>
      <c r="BV174" s="883"/>
      <c r="BW174" s="883"/>
      <c r="BX174" s="883"/>
      <c r="BY174" s="883"/>
      <c r="BZ174" s="883"/>
      <c r="CA174" s="883"/>
    </row>
    <row r="175" spans="1:79" hidden="1" outlineLevel="1" x14ac:dyDescent="0.35">
      <c r="A175" s="224"/>
      <c r="B175" s="224"/>
      <c r="C175" s="224"/>
      <c r="D175" s="224"/>
      <c r="E175" s="224"/>
      <c r="F175" s="670" t="s">
        <v>701</v>
      </c>
      <c r="G175" s="679"/>
      <c r="H175" s="679"/>
      <c r="I175" s="679"/>
      <c r="J175" s="679"/>
      <c r="K175" s="679"/>
      <c r="L175" s="679"/>
      <c r="M175" s="679"/>
      <c r="N175" s="679"/>
      <c r="O175" s="679"/>
      <c r="P175" s="679"/>
      <c r="Q175" s="679"/>
      <c r="R175" s="679"/>
      <c r="S175" s="679">
        <v>0</v>
      </c>
      <c r="T175" s="679">
        <v>0</v>
      </c>
      <c r="U175" s="679">
        <v>0</v>
      </c>
      <c r="V175" s="679">
        <v>0</v>
      </c>
      <c r="W175" s="679">
        <v>0</v>
      </c>
      <c r="X175" s="679">
        <v>0</v>
      </c>
      <c r="Y175" s="679">
        <v>0</v>
      </c>
      <c r="Z175" s="679">
        <v>0</v>
      </c>
      <c r="AA175" s="679">
        <v>0</v>
      </c>
      <c r="AB175" s="679">
        <v>0</v>
      </c>
      <c r="AC175" s="679">
        <v>0</v>
      </c>
      <c r="AD175" s="679">
        <v>0</v>
      </c>
      <c r="AE175" s="679"/>
      <c r="AF175" s="679"/>
      <c r="AG175" s="679"/>
      <c r="AH175" s="679"/>
      <c r="AI175" s="679"/>
      <c r="AJ175" s="679"/>
      <c r="AK175" s="679"/>
      <c r="AL175" s="679"/>
      <c r="AM175" s="679"/>
      <c r="AN175" s="679"/>
      <c r="AO175" s="679"/>
      <c r="AP175" s="679"/>
      <c r="AQ175" s="679"/>
      <c r="AR175" s="679"/>
      <c r="AS175" s="679"/>
      <c r="AT175" s="679"/>
      <c r="AU175" s="679"/>
      <c r="AV175" s="679"/>
      <c r="AW175" s="679"/>
      <c r="AX175" s="679"/>
      <c r="AY175" s="679"/>
      <c r="AZ175" s="679"/>
      <c r="BA175" s="679"/>
      <c r="BB175" s="679"/>
      <c r="BC175" s="679"/>
      <c r="BD175" s="679"/>
      <c r="BE175" s="679"/>
      <c r="BF175" s="679"/>
      <c r="BG175" s="679"/>
      <c r="BH175" s="679"/>
      <c r="BI175" s="679"/>
      <c r="BJ175" s="679"/>
      <c r="BK175" s="679"/>
      <c r="BL175" s="679"/>
      <c r="BM175" s="679"/>
      <c r="BN175" s="679"/>
      <c r="BO175" s="679"/>
      <c r="BP175" s="679"/>
      <c r="BQ175" s="679"/>
      <c r="BR175" s="679"/>
      <c r="BS175" s="679"/>
      <c r="BT175" s="679"/>
      <c r="BU175" s="679"/>
      <c r="BV175" s="679"/>
      <c r="BW175" s="679"/>
      <c r="BX175" s="679"/>
      <c r="BY175" s="679"/>
      <c r="BZ175" s="679"/>
      <c r="CA175" s="679"/>
    </row>
    <row r="176" spans="1:79" hidden="1" outlineLevel="1" x14ac:dyDescent="0.35">
      <c r="A176" s="224"/>
      <c r="B176" s="224"/>
      <c r="C176" s="224"/>
      <c r="D176" s="224"/>
      <c r="E176" s="224"/>
      <c r="F176" s="671" t="s">
        <v>857</v>
      </c>
      <c r="G176" s="679"/>
      <c r="H176" s="679"/>
      <c r="I176" s="679"/>
      <c r="J176" s="679"/>
      <c r="K176" s="679"/>
      <c r="L176" s="679"/>
      <c r="M176" s="679"/>
      <c r="N176" s="679"/>
      <c r="O176" s="679"/>
      <c r="P176" s="679"/>
      <c r="Q176" s="679"/>
      <c r="R176" s="679"/>
      <c r="S176" s="679">
        <v>0</v>
      </c>
      <c r="T176" s="679">
        <v>0</v>
      </c>
      <c r="U176" s="679">
        <v>0</v>
      </c>
      <c r="V176" s="679">
        <v>0</v>
      </c>
      <c r="W176" s="679">
        <v>0</v>
      </c>
      <c r="X176" s="679">
        <v>0</v>
      </c>
      <c r="Y176" s="679">
        <v>0</v>
      </c>
      <c r="Z176" s="679">
        <v>0</v>
      </c>
      <c r="AA176" s="679">
        <v>0</v>
      </c>
      <c r="AB176" s="679">
        <v>0</v>
      </c>
      <c r="AC176" s="679">
        <v>0</v>
      </c>
      <c r="AD176" s="679">
        <v>0</v>
      </c>
      <c r="AE176" s="679"/>
      <c r="AF176" s="679"/>
      <c r="AG176" s="679"/>
      <c r="AH176" s="679"/>
      <c r="AI176" s="679"/>
      <c r="AJ176" s="679"/>
      <c r="AK176" s="679"/>
      <c r="AL176" s="679"/>
      <c r="AM176" s="679"/>
      <c r="AN176" s="679"/>
      <c r="AO176" s="679"/>
      <c r="AP176" s="679"/>
      <c r="AQ176" s="679"/>
      <c r="AR176" s="679"/>
      <c r="AS176" s="679"/>
      <c r="AT176" s="679"/>
      <c r="AU176" s="679"/>
      <c r="AV176" s="679"/>
      <c r="AW176" s="679"/>
      <c r="AX176" s="679"/>
      <c r="AY176" s="679"/>
      <c r="AZ176" s="679"/>
      <c r="BA176" s="679"/>
      <c r="BB176" s="679"/>
      <c r="BC176" s="679"/>
      <c r="BD176" s="679"/>
      <c r="BE176" s="679"/>
      <c r="BF176" s="679"/>
      <c r="BG176" s="679"/>
      <c r="BH176" s="679"/>
      <c r="BI176" s="679"/>
      <c r="BJ176" s="679"/>
      <c r="BK176" s="679"/>
      <c r="BL176" s="679"/>
      <c r="BM176" s="679"/>
      <c r="BN176" s="679"/>
      <c r="BO176" s="679"/>
      <c r="BP176" s="679"/>
      <c r="BQ176" s="679"/>
      <c r="BR176" s="679"/>
      <c r="BS176" s="679"/>
      <c r="BT176" s="679"/>
      <c r="BU176" s="679"/>
      <c r="BV176" s="679"/>
      <c r="BW176" s="679"/>
      <c r="BX176" s="679"/>
      <c r="BY176" s="679"/>
      <c r="BZ176" s="679"/>
      <c r="CA176" s="679"/>
    </row>
    <row r="177" spans="1:79" hidden="1" outlineLevel="1" x14ac:dyDescent="0.35">
      <c r="A177" s="224"/>
      <c r="B177" s="224"/>
      <c r="C177" s="224"/>
      <c r="D177" s="224"/>
      <c r="E177" s="224"/>
      <c r="F177" s="671" t="s">
        <v>858</v>
      </c>
      <c r="G177" s="679"/>
      <c r="H177" s="679"/>
      <c r="I177" s="679"/>
      <c r="J177" s="679"/>
      <c r="K177" s="679"/>
      <c r="L177" s="679"/>
      <c r="M177" s="679"/>
      <c r="N177" s="679"/>
      <c r="O177" s="679"/>
      <c r="P177" s="679"/>
      <c r="Q177" s="679"/>
      <c r="R177" s="679"/>
      <c r="S177" s="679">
        <v>0</v>
      </c>
      <c r="T177" s="679">
        <v>0</v>
      </c>
      <c r="U177" s="679">
        <v>0</v>
      </c>
      <c r="V177" s="679">
        <v>0</v>
      </c>
      <c r="W177" s="679">
        <v>0</v>
      </c>
      <c r="X177" s="679">
        <v>0</v>
      </c>
      <c r="Y177" s="679">
        <v>0</v>
      </c>
      <c r="Z177" s="679">
        <v>0</v>
      </c>
      <c r="AA177" s="679">
        <v>0</v>
      </c>
      <c r="AB177" s="679">
        <v>0</v>
      </c>
      <c r="AC177" s="679">
        <v>0</v>
      </c>
      <c r="AD177" s="679">
        <v>0</v>
      </c>
      <c r="AE177" s="679"/>
      <c r="AF177" s="679"/>
      <c r="AG177" s="679"/>
      <c r="AH177" s="679"/>
      <c r="AI177" s="679"/>
      <c r="AJ177" s="679"/>
      <c r="AK177" s="679"/>
      <c r="AL177" s="679"/>
      <c r="AM177" s="679"/>
      <c r="AN177" s="679"/>
      <c r="AO177" s="679"/>
      <c r="AP177" s="679"/>
      <c r="AQ177" s="679"/>
      <c r="AR177" s="679"/>
      <c r="AS177" s="679"/>
      <c r="AT177" s="679"/>
      <c r="AU177" s="679"/>
      <c r="AV177" s="679"/>
      <c r="AW177" s="679"/>
      <c r="AX177" s="679"/>
      <c r="AY177" s="679"/>
      <c r="AZ177" s="679"/>
      <c r="BA177" s="679"/>
      <c r="BB177" s="679"/>
      <c r="BC177" s="679"/>
      <c r="BD177" s="679"/>
      <c r="BE177" s="679"/>
      <c r="BF177" s="679"/>
      <c r="BG177" s="679"/>
      <c r="BH177" s="679"/>
      <c r="BI177" s="679"/>
      <c r="BJ177" s="679"/>
      <c r="BK177" s="679"/>
      <c r="BL177" s="679"/>
      <c r="BM177" s="679"/>
      <c r="BN177" s="679"/>
      <c r="BO177" s="679"/>
      <c r="BP177" s="679"/>
      <c r="BQ177" s="679"/>
      <c r="BR177" s="679"/>
      <c r="BS177" s="679"/>
      <c r="BT177" s="679"/>
      <c r="BU177" s="679"/>
      <c r="BV177" s="679"/>
      <c r="BW177" s="679"/>
      <c r="BX177" s="679"/>
      <c r="BY177" s="679"/>
      <c r="BZ177" s="679"/>
      <c r="CA177" s="679"/>
    </row>
    <row r="178" spans="1:79" hidden="1" outlineLevel="1" x14ac:dyDescent="0.35">
      <c r="A178" s="224"/>
      <c r="B178" s="224"/>
      <c r="C178" s="224"/>
      <c r="D178" s="224"/>
      <c r="E178" s="224"/>
      <c r="F178" s="671" t="s">
        <v>859</v>
      </c>
      <c r="G178" s="679"/>
      <c r="H178" s="679"/>
      <c r="I178" s="679"/>
      <c r="J178" s="679"/>
      <c r="K178" s="679"/>
      <c r="L178" s="679"/>
      <c r="M178" s="679"/>
      <c r="N178" s="679"/>
      <c r="O178" s="679"/>
      <c r="P178" s="679"/>
      <c r="Q178" s="679"/>
      <c r="R178" s="679"/>
      <c r="S178" s="679">
        <v>0</v>
      </c>
      <c r="T178" s="679">
        <v>0</v>
      </c>
      <c r="U178" s="679">
        <v>0</v>
      </c>
      <c r="V178" s="679">
        <v>0</v>
      </c>
      <c r="W178" s="679">
        <v>0</v>
      </c>
      <c r="X178" s="679">
        <v>0</v>
      </c>
      <c r="Y178" s="679">
        <v>0</v>
      </c>
      <c r="Z178" s="679">
        <v>0</v>
      </c>
      <c r="AA178" s="679">
        <v>0</v>
      </c>
      <c r="AB178" s="679">
        <v>0</v>
      </c>
      <c r="AC178" s="679">
        <v>0</v>
      </c>
      <c r="AD178" s="679">
        <v>0</v>
      </c>
      <c r="AE178" s="679"/>
      <c r="AF178" s="679"/>
      <c r="AG178" s="679"/>
      <c r="AH178" s="679"/>
      <c r="AI178" s="679"/>
      <c r="AJ178" s="679"/>
      <c r="AK178" s="679"/>
      <c r="AL178" s="679"/>
      <c r="AM178" s="679"/>
      <c r="AN178" s="679"/>
      <c r="AO178" s="679"/>
      <c r="AP178" s="679"/>
      <c r="AQ178" s="679"/>
      <c r="AR178" s="679"/>
      <c r="AS178" s="679"/>
      <c r="AT178" s="679"/>
      <c r="AU178" s="679"/>
      <c r="AV178" s="679"/>
      <c r="AW178" s="679"/>
      <c r="AX178" s="679"/>
      <c r="AY178" s="679"/>
      <c r="AZ178" s="679"/>
      <c r="BA178" s="679"/>
      <c r="BB178" s="679"/>
      <c r="BC178" s="679"/>
      <c r="BD178" s="679"/>
      <c r="BE178" s="679"/>
      <c r="BF178" s="679"/>
      <c r="BG178" s="679"/>
      <c r="BH178" s="679"/>
      <c r="BI178" s="679"/>
      <c r="BJ178" s="679"/>
      <c r="BK178" s="679"/>
      <c r="BL178" s="679"/>
      <c r="BM178" s="679"/>
      <c r="BN178" s="679"/>
      <c r="BO178" s="679"/>
      <c r="BP178" s="679"/>
      <c r="BQ178" s="679"/>
      <c r="BR178" s="679"/>
      <c r="BS178" s="679"/>
      <c r="BT178" s="679"/>
      <c r="BU178" s="679"/>
      <c r="BV178" s="679"/>
      <c r="BW178" s="679"/>
      <c r="BX178" s="679"/>
      <c r="BY178" s="679"/>
      <c r="BZ178" s="679"/>
      <c r="CA178" s="679"/>
    </row>
    <row r="179" spans="1:79" hidden="1" outlineLevel="1" x14ac:dyDescent="0.35">
      <c r="A179" s="224"/>
      <c r="B179" s="224"/>
      <c r="C179" s="224"/>
      <c r="D179" s="224"/>
      <c r="E179" s="224"/>
      <c r="F179" s="671" t="s">
        <v>702</v>
      </c>
      <c r="G179" s="679"/>
      <c r="H179" s="679"/>
      <c r="I179" s="679"/>
      <c r="J179" s="679"/>
      <c r="K179" s="679"/>
      <c r="L179" s="679"/>
      <c r="M179" s="679"/>
      <c r="N179" s="679"/>
      <c r="O179" s="679"/>
      <c r="P179" s="679"/>
      <c r="Q179" s="679"/>
      <c r="R179" s="679"/>
      <c r="S179" s="679">
        <v>0</v>
      </c>
      <c r="T179" s="679">
        <v>0</v>
      </c>
      <c r="U179" s="679">
        <v>0</v>
      </c>
      <c r="V179" s="679">
        <v>0</v>
      </c>
      <c r="W179" s="679">
        <v>0</v>
      </c>
      <c r="X179" s="679">
        <v>0</v>
      </c>
      <c r="Y179" s="679">
        <v>0</v>
      </c>
      <c r="Z179" s="679">
        <v>0</v>
      </c>
      <c r="AA179" s="679">
        <v>0</v>
      </c>
      <c r="AB179" s="679">
        <v>0</v>
      </c>
      <c r="AC179" s="679">
        <v>0</v>
      </c>
      <c r="AD179" s="679">
        <v>0</v>
      </c>
      <c r="AE179" s="679"/>
      <c r="AF179" s="679"/>
      <c r="AG179" s="679"/>
      <c r="AH179" s="679"/>
      <c r="AI179" s="679"/>
      <c r="AJ179" s="679"/>
      <c r="AK179" s="679"/>
      <c r="AL179" s="679"/>
      <c r="AM179" s="679"/>
      <c r="AN179" s="679"/>
      <c r="AO179" s="679"/>
      <c r="AP179" s="679"/>
      <c r="AQ179" s="679"/>
      <c r="AR179" s="679"/>
      <c r="AS179" s="679"/>
      <c r="AT179" s="679"/>
      <c r="AU179" s="679"/>
      <c r="AV179" s="679"/>
      <c r="AW179" s="679"/>
      <c r="AX179" s="679"/>
      <c r="AY179" s="679"/>
      <c r="AZ179" s="679"/>
      <c r="BA179" s="679"/>
      <c r="BB179" s="679"/>
      <c r="BC179" s="679"/>
      <c r="BD179" s="679"/>
      <c r="BE179" s="679"/>
      <c r="BF179" s="679"/>
      <c r="BG179" s="679"/>
      <c r="BH179" s="679"/>
      <c r="BI179" s="679"/>
      <c r="BJ179" s="679"/>
      <c r="BK179" s="679"/>
      <c r="BL179" s="679"/>
      <c r="BM179" s="679"/>
      <c r="BN179" s="679"/>
      <c r="BO179" s="679"/>
      <c r="BP179" s="679"/>
      <c r="BQ179" s="679"/>
      <c r="BR179" s="679"/>
      <c r="BS179" s="679"/>
      <c r="BT179" s="679"/>
      <c r="BU179" s="679"/>
      <c r="BV179" s="679"/>
      <c r="BW179" s="679"/>
      <c r="BX179" s="679"/>
      <c r="BY179" s="679"/>
      <c r="BZ179" s="679"/>
      <c r="CA179" s="679"/>
    </row>
    <row r="180" spans="1:79" hidden="1" outlineLevel="1" x14ac:dyDescent="0.35">
      <c r="A180" s="224"/>
      <c r="B180" s="224"/>
      <c r="C180" s="224"/>
      <c r="D180" s="224"/>
      <c r="E180" s="224"/>
      <c r="F180" s="671" t="s">
        <v>860</v>
      </c>
      <c r="G180" s="679"/>
      <c r="H180" s="679"/>
      <c r="I180" s="679"/>
      <c r="J180" s="679"/>
      <c r="K180" s="679"/>
      <c r="L180" s="679"/>
      <c r="M180" s="679"/>
      <c r="N180" s="679"/>
      <c r="O180" s="679"/>
      <c r="P180" s="679"/>
      <c r="Q180" s="679"/>
      <c r="R180" s="679"/>
      <c r="S180" s="679">
        <v>0</v>
      </c>
      <c r="T180" s="679">
        <v>0</v>
      </c>
      <c r="U180" s="679">
        <v>0</v>
      </c>
      <c r="V180" s="679">
        <v>0</v>
      </c>
      <c r="W180" s="679">
        <v>0</v>
      </c>
      <c r="X180" s="679">
        <v>0</v>
      </c>
      <c r="Y180" s="679">
        <v>0</v>
      </c>
      <c r="Z180" s="679">
        <v>0</v>
      </c>
      <c r="AA180" s="679">
        <v>0</v>
      </c>
      <c r="AB180" s="679">
        <v>0</v>
      </c>
      <c r="AC180" s="679">
        <v>0</v>
      </c>
      <c r="AD180" s="679">
        <v>0</v>
      </c>
      <c r="AE180" s="679"/>
      <c r="AF180" s="679"/>
      <c r="AG180" s="679"/>
      <c r="AH180" s="679"/>
      <c r="AI180" s="679"/>
      <c r="AJ180" s="679"/>
      <c r="AK180" s="679"/>
      <c r="AL180" s="679"/>
      <c r="AM180" s="679"/>
      <c r="AN180" s="679"/>
      <c r="AO180" s="679"/>
      <c r="AP180" s="679"/>
      <c r="AQ180" s="679"/>
      <c r="AR180" s="679"/>
      <c r="AS180" s="679"/>
      <c r="AT180" s="679"/>
      <c r="AU180" s="679"/>
      <c r="AV180" s="679"/>
      <c r="AW180" s="679"/>
      <c r="AX180" s="679"/>
      <c r="AY180" s="679"/>
      <c r="AZ180" s="679"/>
      <c r="BA180" s="679"/>
      <c r="BB180" s="679"/>
      <c r="BC180" s="679"/>
      <c r="BD180" s="679"/>
      <c r="BE180" s="679"/>
      <c r="BF180" s="679"/>
      <c r="BG180" s="679"/>
      <c r="BH180" s="679"/>
      <c r="BI180" s="679"/>
      <c r="BJ180" s="679"/>
      <c r="BK180" s="679"/>
      <c r="BL180" s="679"/>
      <c r="BM180" s="679"/>
      <c r="BN180" s="679"/>
      <c r="BO180" s="679"/>
      <c r="BP180" s="679"/>
      <c r="BQ180" s="679"/>
      <c r="BR180" s="679"/>
      <c r="BS180" s="679"/>
      <c r="BT180" s="679"/>
      <c r="BU180" s="679"/>
      <c r="BV180" s="679"/>
      <c r="BW180" s="679"/>
      <c r="BX180" s="679"/>
      <c r="BY180" s="679"/>
      <c r="BZ180" s="679"/>
      <c r="CA180" s="679"/>
    </row>
    <row r="181" spans="1:79" hidden="1" outlineLevel="1" x14ac:dyDescent="0.35">
      <c r="A181" s="709"/>
      <c r="B181" s="709"/>
      <c r="C181" s="709"/>
      <c r="D181" s="709"/>
      <c r="E181" s="709"/>
      <c r="F181" s="707" t="s">
        <v>661</v>
      </c>
      <c r="G181" s="708"/>
      <c r="H181" s="708"/>
      <c r="I181" s="708"/>
      <c r="J181" s="708"/>
      <c r="K181" s="708"/>
      <c r="L181" s="708"/>
      <c r="M181" s="708"/>
      <c r="N181" s="708"/>
      <c r="O181" s="708"/>
      <c r="P181" s="708"/>
      <c r="Q181" s="708"/>
      <c r="R181" s="708"/>
      <c r="S181" s="708"/>
      <c r="T181" s="708"/>
      <c r="U181" s="708"/>
      <c r="V181" s="708"/>
      <c r="W181" s="708"/>
      <c r="X181" s="708"/>
      <c r="Y181" s="708"/>
      <c r="Z181" s="708"/>
      <c r="AA181" s="708"/>
      <c r="AB181" s="708"/>
      <c r="AC181" s="708"/>
      <c r="AD181" s="708"/>
      <c r="AE181" s="708"/>
      <c r="AF181" s="708"/>
      <c r="AG181" s="708"/>
      <c r="AH181" s="708"/>
      <c r="AI181" s="708"/>
      <c r="AJ181" s="708"/>
      <c r="AK181" s="708"/>
      <c r="AL181" s="708"/>
      <c r="AM181" s="708"/>
      <c r="AN181" s="708"/>
      <c r="AO181" s="708"/>
      <c r="AP181" s="708"/>
      <c r="AQ181" s="708"/>
      <c r="AR181" s="708"/>
      <c r="AS181" s="708"/>
      <c r="AT181" s="708"/>
      <c r="AU181" s="708"/>
      <c r="AV181" s="708"/>
      <c r="AW181" s="708"/>
      <c r="AX181" s="708"/>
      <c r="AY181" s="708"/>
      <c r="AZ181" s="708"/>
      <c r="BA181" s="708"/>
      <c r="BB181" s="708"/>
      <c r="BC181" s="708"/>
      <c r="BD181" s="708"/>
      <c r="BE181" s="708"/>
      <c r="BF181" s="708"/>
      <c r="BG181" s="708"/>
      <c r="BH181" s="708"/>
      <c r="BI181" s="708"/>
      <c r="BJ181" s="708"/>
      <c r="BK181" s="708"/>
      <c r="BL181" s="708"/>
      <c r="BM181" s="708"/>
      <c r="BN181" s="708"/>
      <c r="BO181" s="708"/>
      <c r="BP181" s="708"/>
      <c r="BQ181" s="708"/>
      <c r="BR181" s="708"/>
      <c r="BS181" s="708"/>
      <c r="BT181" s="708"/>
      <c r="BU181" s="708"/>
      <c r="BV181" s="708"/>
      <c r="BW181" s="708"/>
      <c r="BX181" s="708"/>
      <c r="BY181" s="708"/>
      <c r="BZ181" s="708"/>
      <c r="CA181" s="708"/>
    </row>
    <row r="182" spans="1:79" hidden="1" outlineLevel="1" x14ac:dyDescent="0.35">
      <c r="A182" s="224"/>
      <c r="B182" s="224"/>
      <c r="C182" s="224"/>
      <c r="D182" s="224"/>
      <c r="E182" s="224"/>
      <c r="F182" s="672" t="s">
        <v>662</v>
      </c>
      <c r="G182" s="679"/>
      <c r="H182" s="679"/>
      <c r="I182" s="679"/>
      <c r="J182" s="679"/>
      <c r="K182" s="679"/>
      <c r="L182" s="679"/>
      <c r="M182" s="679"/>
      <c r="N182" s="679"/>
      <c r="O182" s="679"/>
      <c r="P182" s="679"/>
      <c r="Q182" s="679"/>
      <c r="R182" s="679"/>
      <c r="S182" s="679">
        <v>0</v>
      </c>
      <c r="T182" s="679">
        <v>0</v>
      </c>
      <c r="U182" s="679">
        <v>0</v>
      </c>
      <c r="V182" s="679">
        <v>0</v>
      </c>
      <c r="W182" s="679">
        <v>0</v>
      </c>
      <c r="X182" s="679">
        <v>0</v>
      </c>
      <c r="Y182" s="679">
        <v>0</v>
      </c>
      <c r="Z182" s="679">
        <v>0</v>
      </c>
      <c r="AA182" s="679">
        <v>0</v>
      </c>
      <c r="AB182" s="679">
        <v>0</v>
      </c>
      <c r="AC182" s="679">
        <v>0</v>
      </c>
      <c r="AD182" s="679">
        <v>0</v>
      </c>
      <c r="AE182" s="679"/>
      <c r="AF182" s="679"/>
      <c r="AG182" s="679"/>
      <c r="AH182" s="679"/>
      <c r="AI182" s="679"/>
      <c r="AJ182" s="679"/>
      <c r="AK182" s="679"/>
      <c r="AL182" s="679"/>
      <c r="AM182" s="679"/>
      <c r="AN182" s="679"/>
      <c r="AO182" s="679"/>
      <c r="AP182" s="679"/>
      <c r="AQ182" s="679"/>
      <c r="AR182" s="679"/>
      <c r="AS182" s="679"/>
      <c r="AT182" s="679"/>
      <c r="AU182" s="679"/>
      <c r="AV182" s="679"/>
      <c r="AW182" s="679"/>
      <c r="AX182" s="679"/>
      <c r="AY182" s="679"/>
      <c r="AZ182" s="679"/>
      <c r="BA182" s="679"/>
      <c r="BB182" s="679"/>
      <c r="BC182" s="679"/>
      <c r="BD182" s="679"/>
      <c r="BE182" s="679"/>
      <c r="BF182" s="679"/>
      <c r="BG182" s="679"/>
      <c r="BH182" s="679"/>
      <c r="BI182" s="679"/>
      <c r="BJ182" s="679"/>
      <c r="BK182" s="679"/>
      <c r="BL182" s="679"/>
      <c r="BM182" s="679"/>
      <c r="BN182" s="679"/>
      <c r="BO182" s="679"/>
      <c r="BP182" s="679"/>
      <c r="BQ182" s="679"/>
      <c r="BR182" s="679"/>
      <c r="BS182" s="679"/>
      <c r="BT182" s="679"/>
      <c r="BU182" s="679"/>
      <c r="BV182" s="679"/>
      <c r="BW182" s="679"/>
      <c r="BX182" s="679"/>
      <c r="BY182" s="679"/>
      <c r="BZ182" s="679"/>
      <c r="CA182" s="679"/>
    </row>
    <row r="183" spans="1:79" hidden="1" outlineLevel="1" x14ac:dyDescent="0.35">
      <c r="A183" s="224"/>
      <c r="B183" s="224"/>
      <c r="C183" s="224"/>
      <c r="D183" s="224"/>
      <c r="E183" s="224"/>
      <c r="F183" s="672" t="s">
        <v>861</v>
      </c>
      <c r="G183" s="679"/>
      <c r="H183" s="679"/>
      <c r="I183" s="679"/>
      <c r="J183" s="679"/>
      <c r="K183" s="679"/>
      <c r="L183" s="679"/>
      <c r="M183" s="679"/>
      <c r="N183" s="679"/>
      <c r="O183" s="679"/>
      <c r="P183" s="679"/>
      <c r="Q183" s="679"/>
      <c r="R183" s="679"/>
      <c r="S183" s="679">
        <v>0</v>
      </c>
      <c r="T183" s="679">
        <v>0</v>
      </c>
      <c r="U183" s="679">
        <v>0</v>
      </c>
      <c r="V183" s="679">
        <v>0</v>
      </c>
      <c r="W183" s="679">
        <v>0</v>
      </c>
      <c r="X183" s="679">
        <v>0</v>
      </c>
      <c r="Y183" s="679">
        <v>0</v>
      </c>
      <c r="Z183" s="679">
        <v>0</v>
      </c>
      <c r="AA183" s="679">
        <v>0</v>
      </c>
      <c r="AB183" s="679">
        <v>0</v>
      </c>
      <c r="AC183" s="679">
        <v>0</v>
      </c>
      <c r="AD183" s="679">
        <v>0</v>
      </c>
      <c r="AE183" s="679"/>
      <c r="AF183" s="679"/>
      <c r="AG183" s="679"/>
      <c r="AH183" s="679"/>
      <c r="AI183" s="679"/>
      <c r="AJ183" s="679"/>
      <c r="AK183" s="679"/>
      <c r="AL183" s="679"/>
      <c r="AM183" s="679"/>
      <c r="AN183" s="679"/>
      <c r="AO183" s="679"/>
      <c r="AP183" s="679"/>
      <c r="AQ183" s="679"/>
      <c r="AR183" s="679"/>
      <c r="AS183" s="679"/>
      <c r="AT183" s="679"/>
      <c r="AU183" s="679"/>
      <c r="AV183" s="679"/>
      <c r="AW183" s="679"/>
      <c r="AX183" s="679"/>
      <c r="AY183" s="679"/>
      <c r="AZ183" s="679"/>
      <c r="BA183" s="679"/>
      <c r="BB183" s="679"/>
      <c r="BC183" s="679"/>
      <c r="BD183" s="679"/>
      <c r="BE183" s="679"/>
      <c r="BF183" s="679"/>
      <c r="BG183" s="679"/>
      <c r="BH183" s="679"/>
      <c r="BI183" s="679"/>
      <c r="BJ183" s="679"/>
      <c r="BK183" s="679"/>
      <c r="BL183" s="679"/>
      <c r="BM183" s="679"/>
      <c r="BN183" s="679"/>
      <c r="BO183" s="679"/>
      <c r="BP183" s="679"/>
      <c r="BQ183" s="679"/>
      <c r="BR183" s="679"/>
      <c r="BS183" s="679"/>
      <c r="BT183" s="679"/>
      <c r="BU183" s="679"/>
      <c r="BV183" s="679"/>
      <c r="BW183" s="679"/>
      <c r="BX183" s="679"/>
      <c r="BY183" s="679"/>
      <c r="BZ183" s="679"/>
      <c r="CA183" s="679"/>
    </row>
    <row r="184" spans="1:79" hidden="1" outlineLevel="1" x14ac:dyDescent="0.35">
      <c r="A184" s="224"/>
      <c r="B184" s="224"/>
      <c r="C184" s="224"/>
      <c r="D184" s="224"/>
      <c r="E184" s="224"/>
      <c r="F184" s="673" t="s">
        <v>663</v>
      </c>
      <c r="G184" s="680">
        <f>SUM(G182:G183)</f>
        <v>0</v>
      </c>
      <c r="H184" s="680">
        <f t="shared" ref="H184:BO184" si="61">SUM(H182:H183)</f>
        <v>0</v>
      </c>
      <c r="I184" s="680">
        <f t="shared" si="61"/>
        <v>0</v>
      </c>
      <c r="J184" s="680">
        <f t="shared" si="61"/>
        <v>0</v>
      </c>
      <c r="K184" s="680">
        <f t="shared" si="61"/>
        <v>0</v>
      </c>
      <c r="L184" s="680">
        <f t="shared" si="61"/>
        <v>0</v>
      </c>
      <c r="M184" s="680">
        <f t="shared" si="61"/>
        <v>0</v>
      </c>
      <c r="N184" s="680">
        <f t="shared" si="61"/>
        <v>0</v>
      </c>
      <c r="O184" s="680">
        <f t="shared" si="61"/>
        <v>0</v>
      </c>
      <c r="P184" s="680">
        <f t="shared" si="61"/>
        <v>0</v>
      </c>
      <c r="Q184" s="680">
        <f t="shared" si="61"/>
        <v>0</v>
      </c>
      <c r="R184" s="680">
        <f t="shared" si="61"/>
        <v>0</v>
      </c>
      <c r="S184" s="680">
        <f t="shared" ref="S184:AA184" si="62">ROUND(SUM(S181:S183),5)</f>
        <v>0</v>
      </c>
      <c r="T184" s="680">
        <f t="shared" si="62"/>
        <v>0</v>
      </c>
      <c r="U184" s="680">
        <f t="shared" si="62"/>
        <v>0</v>
      </c>
      <c r="V184" s="680">
        <f t="shared" si="62"/>
        <v>0</v>
      </c>
      <c r="W184" s="680">
        <f t="shared" si="62"/>
        <v>0</v>
      </c>
      <c r="X184" s="680">
        <f t="shared" si="62"/>
        <v>0</v>
      </c>
      <c r="Y184" s="680">
        <f t="shared" si="62"/>
        <v>0</v>
      </c>
      <c r="Z184" s="680">
        <f t="shared" si="62"/>
        <v>0</v>
      </c>
      <c r="AA184" s="680">
        <f t="shared" si="62"/>
        <v>0</v>
      </c>
      <c r="AB184" s="680">
        <f>ROUND(SUM(AB181:AB183),5)</f>
        <v>0</v>
      </c>
      <c r="AC184" s="680">
        <f>ROUND(SUM(AC181:AC183),5)</f>
        <v>0</v>
      </c>
      <c r="AD184" s="680">
        <f>ROUND(SUM(AD181:AD183),5)</f>
        <v>0</v>
      </c>
      <c r="AE184" s="680">
        <f t="shared" si="61"/>
        <v>0</v>
      </c>
      <c r="AF184" s="680">
        <f t="shared" si="61"/>
        <v>0</v>
      </c>
      <c r="AG184" s="680">
        <f t="shared" si="61"/>
        <v>0</v>
      </c>
      <c r="AH184" s="680">
        <f t="shared" si="61"/>
        <v>0</v>
      </c>
      <c r="AI184" s="680">
        <f t="shared" si="61"/>
        <v>0</v>
      </c>
      <c r="AJ184" s="680">
        <f t="shared" si="61"/>
        <v>0</v>
      </c>
      <c r="AK184" s="680">
        <f t="shared" si="61"/>
        <v>0</v>
      </c>
      <c r="AL184" s="680">
        <f t="shared" si="61"/>
        <v>0</v>
      </c>
      <c r="AM184" s="680">
        <f t="shared" si="61"/>
        <v>0</v>
      </c>
      <c r="AN184" s="680">
        <f t="shared" si="61"/>
        <v>0</v>
      </c>
      <c r="AO184" s="680">
        <f t="shared" si="61"/>
        <v>0</v>
      </c>
      <c r="AP184" s="680">
        <f t="shared" si="61"/>
        <v>0</v>
      </c>
      <c r="AQ184" s="680">
        <f t="shared" si="61"/>
        <v>0</v>
      </c>
      <c r="AR184" s="680">
        <f t="shared" si="61"/>
        <v>0</v>
      </c>
      <c r="AS184" s="680">
        <f t="shared" si="61"/>
        <v>0</v>
      </c>
      <c r="AT184" s="680">
        <f t="shared" si="61"/>
        <v>0</v>
      </c>
      <c r="AU184" s="680">
        <f t="shared" si="61"/>
        <v>0</v>
      </c>
      <c r="AV184" s="680">
        <f t="shared" si="61"/>
        <v>0</v>
      </c>
      <c r="AW184" s="680">
        <f t="shared" si="61"/>
        <v>0</v>
      </c>
      <c r="AX184" s="680">
        <f t="shared" si="61"/>
        <v>0</v>
      </c>
      <c r="AY184" s="680">
        <f t="shared" si="61"/>
        <v>0</v>
      </c>
      <c r="AZ184" s="680">
        <f t="shared" si="61"/>
        <v>0</v>
      </c>
      <c r="BA184" s="680">
        <f t="shared" si="61"/>
        <v>0</v>
      </c>
      <c r="BB184" s="680">
        <f t="shared" si="61"/>
        <v>0</v>
      </c>
      <c r="BC184" s="680">
        <f t="shared" si="61"/>
        <v>0</v>
      </c>
      <c r="BD184" s="680">
        <f t="shared" si="61"/>
        <v>0</v>
      </c>
      <c r="BE184" s="680">
        <f t="shared" si="61"/>
        <v>0</v>
      </c>
      <c r="BF184" s="680">
        <f t="shared" si="61"/>
        <v>0</v>
      </c>
      <c r="BG184" s="680">
        <f t="shared" si="61"/>
        <v>0</v>
      </c>
      <c r="BH184" s="680">
        <f t="shared" si="61"/>
        <v>0</v>
      </c>
      <c r="BI184" s="680">
        <f t="shared" si="61"/>
        <v>0</v>
      </c>
      <c r="BJ184" s="680">
        <f t="shared" si="61"/>
        <v>0</v>
      </c>
      <c r="BK184" s="680">
        <f t="shared" si="61"/>
        <v>0</v>
      </c>
      <c r="BL184" s="680">
        <f t="shared" si="61"/>
        <v>0</v>
      </c>
      <c r="BM184" s="680">
        <f t="shared" si="61"/>
        <v>0</v>
      </c>
      <c r="BN184" s="680">
        <f t="shared" si="61"/>
        <v>0</v>
      </c>
      <c r="BO184" s="680">
        <f t="shared" si="61"/>
        <v>0</v>
      </c>
      <c r="BP184" s="680">
        <f t="shared" ref="BP184:CA184" si="63">SUM(BP182:BP183)</f>
        <v>0</v>
      </c>
      <c r="BQ184" s="680">
        <f t="shared" si="63"/>
        <v>0</v>
      </c>
      <c r="BR184" s="680">
        <f t="shared" si="63"/>
        <v>0</v>
      </c>
      <c r="BS184" s="680">
        <f t="shared" si="63"/>
        <v>0</v>
      </c>
      <c r="BT184" s="680">
        <f t="shared" si="63"/>
        <v>0</v>
      </c>
      <c r="BU184" s="680">
        <f t="shared" si="63"/>
        <v>0</v>
      </c>
      <c r="BV184" s="680">
        <f t="shared" si="63"/>
        <v>0</v>
      </c>
      <c r="BW184" s="680">
        <f t="shared" si="63"/>
        <v>0</v>
      </c>
      <c r="BX184" s="680">
        <f t="shared" si="63"/>
        <v>0</v>
      </c>
      <c r="BY184" s="680">
        <f t="shared" si="63"/>
        <v>0</v>
      </c>
      <c r="BZ184" s="680">
        <f t="shared" si="63"/>
        <v>0</v>
      </c>
      <c r="CA184" s="680">
        <f t="shared" si="63"/>
        <v>0</v>
      </c>
    </row>
    <row r="185" spans="1:79" hidden="1" outlineLevel="1" x14ac:dyDescent="0.35">
      <c r="A185" s="224"/>
      <c r="B185" s="224"/>
      <c r="C185" s="224"/>
      <c r="D185" s="224"/>
      <c r="E185" s="224"/>
      <c r="F185" s="671" t="s">
        <v>700</v>
      </c>
      <c r="G185" s="679"/>
      <c r="H185" s="679"/>
      <c r="I185" s="679"/>
      <c r="J185" s="679"/>
      <c r="K185" s="679"/>
      <c r="L185" s="679"/>
      <c r="M185" s="679"/>
      <c r="N185" s="679"/>
      <c r="O185" s="679"/>
      <c r="P185" s="679"/>
      <c r="Q185" s="679"/>
      <c r="R185" s="679"/>
      <c r="S185" s="679">
        <v>0</v>
      </c>
      <c r="T185" s="679">
        <v>0</v>
      </c>
      <c r="U185" s="679">
        <v>0</v>
      </c>
      <c r="V185" s="679">
        <v>0</v>
      </c>
      <c r="W185" s="679">
        <v>0</v>
      </c>
      <c r="X185" s="679">
        <v>0</v>
      </c>
      <c r="Y185" s="679">
        <v>0</v>
      </c>
      <c r="Z185" s="679">
        <v>0</v>
      </c>
      <c r="AA185" s="679">
        <v>0</v>
      </c>
      <c r="AB185" s="679">
        <v>0</v>
      </c>
      <c r="AC185" s="679">
        <v>0</v>
      </c>
      <c r="AD185" s="679">
        <v>0</v>
      </c>
      <c r="AE185" s="679"/>
      <c r="AF185" s="679"/>
      <c r="AG185" s="679"/>
      <c r="AH185" s="679"/>
      <c r="AI185" s="679"/>
      <c r="AJ185" s="679"/>
      <c r="AK185" s="679"/>
      <c r="AL185" s="679"/>
      <c r="AM185" s="679"/>
      <c r="AN185" s="679"/>
      <c r="AO185" s="679"/>
      <c r="AP185" s="679"/>
      <c r="AQ185" s="679"/>
      <c r="AR185" s="679"/>
      <c r="AS185" s="679"/>
      <c r="AT185" s="679"/>
      <c r="AU185" s="679"/>
      <c r="AV185" s="679"/>
      <c r="AW185" s="679"/>
      <c r="AX185" s="679"/>
      <c r="AY185" s="679"/>
      <c r="AZ185" s="679"/>
      <c r="BA185" s="679"/>
      <c r="BB185" s="679"/>
      <c r="BC185" s="679"/>
      <c r="BD185" s="679"/>
      <c r="BE185" s="679"/>
      <c r="BF185" s="679"/>
      <c r="BG185" s="679"/>
      <c r="BH185" s="679"/>
      <c r="BI185" s="679"/>
      <c r="BJ185" s="679"/>
      <c r="BK185" s="679"/>
      <c r="BL185" s="679"/>
      <c r="BM185" s="679"/>
      <c r="BN185" s="679"/>
      <c r="BO185" s="679"/>
      <c r="BP185" s="679"/>
      <c r="BQ185" s="679"/>
      <c r="BR185" s="679"/>
      <c r="BS185" s="679"/>
      <c r="BT185" s="679"/>
      <c r="BU185" s="679"/>
      <c r="BV185" s="679"/>
      <c r="BW185" s="679"/>
      <c r="BX185" s="679"/>
      <c r="BY185" s="679"/>
      <c r="BZ185" s="679"/>
      <c r="CA185" s="679"/>
    </row>
    <row r="186" spans="1:79" hidden="1" outlineLevel="1" x14ac:dyDescent="0.35">
      <c r="A186" s="224"/>
      <c r="B186" s="224"/>
      <c r="C186" s="224"/>
      <c r="D186" s="224"/>
      <c r="E186" s="224"/>
      <c r="F186" s="671" t="s">
        <v>862</v>
      </c>
      <c r="G186" s="679"/>
      <c r="H186" s="679"/>
      <c r="I186" s="679"/>
      <c r="J186" s="679"/>
      <c r="K186" s="679"/>
      <c r="L186" s="679"/>
      <c r="M186" s="679"/>
      <c r="N186" s="679"/>
      <c r="O186" s="679"/>
      <c r="P186" s="679"/>
      <c r="Q186" s="679"/>
      <c r="R186" s="679"/>
      <c r="S186" s="679">
        <v>0</v>
      </c>
      <c r="T186" s="679">
        <v>0</v>
      </c>
      <c r="U186" s="679">
        <v>0</v>
      </c>
      <c r="V186" s="679">
        <v>0</v>
      </c>
      <c r="W186" s="679">
        <v>0</v>
      </c>
      <c r="X186" s="679">
        <v>0</v>
      </c>
      <c r="Y186" s="679">
        <v>0</v>
      </c>
      <c r="Z186" s="679">
        <v>0</v>
      </c>
      <c r="AA186" s="679">
        <v>0</v>
      </c>
      <c r="AB186" s="679">
        <v>0</v>
      </c>
      <c r="AC186" s="679">
        <v>0</v>
      </c>
      <c r="AD186" s="679">
        <v>0</v>
      </c>
      <c r="AE186" s="679"/>
      <c r="AF186" s="679"/>
      <c r="AG186" s="679"/>
      <c r="AH186" s="679"/>
      <c r="AI186" s="679"/>
      <c r="AJ186" s="679"/>
      <c r="AK186" s="679"/>
      <c r="AL186" s="679"/>
      <c r="AM186" s="679"/>
      <c r="AN186" s="679"/>
      <c r="AO186" s="679"/>
      <c r="AP186" s="679"/>
      <c r="AQ186" s="679"/>
      <c r="AR186" s="679"/>
      <c r="AS186" s="679"/>
      <c r="AT186" s="679"/>
      <c r="AU186" s="679"/>
      <c r="AV186" s="679"/>
      <c r="AW186" s="679"/>
      <c r="AX186" s="679"/>
      <c r="AY186" s="679"/>
      <c r="AZ186" s="679"/>
      <c r="BA186" s="679"/>
      <c r="BB186" s="679"/>
      <c r="BC186" s="679"/>
      <c r="BD186" s="679"/>
      <c r="BE186" s="679"/>
      <c r="BF186" s="679"/>
      <c r="BG186" s="679"/>
      <c r="BH186" s="679"/>
      <c r="BI186" s="679"/>
      <c r="BJ186" s="679"/>
      <c r="BK186" s="679"/>
      <c r="BL186" s="679"/>
      <c r="BM186" s="679"/>
      <c r="BN186" s="679"/>
      <c r="BO186" s="679"/>
      <c r="BP186" s="679"/>
      <c r="BQ186" s="679"/>
      <c r="BR186" s="679"/>
      <c r="BS186" s="679"/>
      <c r="BT186" s="679"/>
      <c r="BU186" s="679"/>
      <c r="BV186" s="679"/>
      <c r="BW186" s="679"/>
      <c r="BX186" s="679"/>
      <c r="BY186" s="679"/>
      <c r="BZ186" s="679"/>
      <c r="CA186" s="679"/>
    </row>
    <row r="187" spans="1:79" hidden="1" outlineLevel="1" x14ac:dyDescent="0.35">
      <c r="A187" s="224"/>
      <c r="B187" s="224"/>
      <c r="C187" s="224"/>
      <c r="D187" s="224"/>
      <c r="E187" s="224"/>
      <c r="F187" s="671" t="s">
        <v>863</v>
      </c>
      <c r="G187" s="679"/>
      <c r="H187" s="679"/>
      <c r="I187" s="679"/>
      <c r="J187" s="679"/>
      <c r="K187" s="679"/>
      <c r="L187" s="679"/>
      <c r="M187" s="679"/>
      <c r="N187" s="679"/>
      <c r="O187" s="679"/>
      <c r="P187" s="679"/>
      <c r="Q187" s="679"/>
      <c r="R187" s="679"/>
      <c r="S187" s="679">
        <v>0</v>
      </c>
      <c r="T187" s="679">
        <v>0</v>
      </c>
      <c r="U187" s="679">
        <v>0</v>
      </c>
      <c r="V187" s="679">
        <v>0</v>
      </c>
      <c r="W187" s="679">
        <v>0</v>
      </c>
      <c r="X187" s="679">
        <v>0</v>
      </c>
      <c r="Y187" s="679">
        <v>0</v>
      </c>
      <c r="Z187" s="679">
        <v>0</v>
      </c>
      <c r="AA187" s="679">
        <v>0</v>
      </c>
      <c r="AB187" s="679">
        <v>0</v>
      </c>
      <c r="AC187" s="679">
        <v>0</v>
      </c>
      <c r="AD187" s="679">
        <v>0</v>
      </c>
      <c r="AE187" s="679"/>
      <c r="AF187" s="679"/>
      <c r="AG187" s="679"/>
      <c r="AH187" s="679"/>
      <c r="AI187" s="679"/>
      <c r="AJ187" s="679"/>
      <c r="AK187" s="679"/>
      <c r="AL187" s="679"/>
      <c r="AM187" s="679"/>
      <c r="AN187" s="679"/>
      <c r="AO187" s="679"/>
      <c r="AP187" s="679"/>
      <c r="AQ187" s="679"/>
      <c r="AR187" s="679"/>
      <c r="AS187" s="679"/>
      <c r="AT187" s="679"/>
      <c r="AU187" s="679"/>
      <c r="AV187" s="679"/>
      <c r="AW187" s="679"/>
      <c r="AX187" s="679"/>
      <c r="AY187" s="679"/>
      <c r="AZ187" s="679"/>
      <c r="BA187" s="679"/>
      <c r="BB187" s="679"/>
      <c r="BC187" s="679"/>
      <c r="BD187" s="679"/>
      <c r="BE187" s="679"/>
      <c r="BF187" s="679"/>
      <c r="BG187" s="679"/>
      <c r="BH187" s="679"/>
      <c r="BI187" s="679"/>
      <c r="BJ187" s="679"/>
      <c r="BK187" s="679"/>
      <c r="BL187" s="679"/>
      <c r="BM187" s="679"/>
      <c r="BN187" s="679"/>
      <c r="BO187" s="679"/>
      <c r="BP187" s="679"/>
      <c r="BQ187" s="679"/>
      <c r="BR187" s="679"/>
      <c r="BS187" s="679"/>
      <c r="BT187" s="679"/>
      <c r="BU187" s="679"/>
      <c r="BV187" s="679"/>
      <c r="BW187" s="679"/>
      <c r="BX187" s="679"/>
      <c r="BY187" s="679"/>
      <c r="BZ187" s="679"/>
      <c r="CA187" s="679"/>
    </row>
    <row r="188" spans="1:79" hidden="1" outlineLevel="1" x14ac:dyDescent="0.35">
      <c r="A188" s="224"/>
      <c r="B188" s="224"/>
      <c r="C188" s="224"/>
      <c r="D188" s="224"/>
      <c r="E188" s="224"/>
      <c r="F188" s="671" t="s">
        <v>18</v>
      </c>
      <c r="G188" s="679"/>
      <c r="H188" s="679"/>
      <c r="I188" s="679"/>
      <c r="J188" s="679"/>
      <c r="K188" s="679"/>
      <c r="L188" s="679"/>
      <c r="M188" s="679"/>
      <c r="N188" s="679"/>
      <c r="O188" s="679"/>
      <c r="P188" s="679"/>
      <c r="Q188" s="679"/>
      <c r="R188" s="679"/>
      <c r="S188" s="679">
        <v>0</v>
      </c>
      <c r="T188" s="679">
        <v>0</v>
      </c>
      <c r="U188" s="679">
        <v>0</v>
      </c>
      <c r="V188" s="679">
        <v>0</v>
      </c>
      <c r="W188" s="679">
        <v>0</v>
      </c>
      <c r="X188" s="679">
        <v>0</v>
      </c>
      <c r="Y188" s="679">
        <v>0</v>
      </c>
      <c r="Z188" s="679">
        <v>0</v>
      </c>
      <c r="AA188" s="679">
        <v>0</v>
      </c>
      <c r="AB188" s="679">
        <v>0</v>
      </c>
      <c r="AC188" s="679">
        <v>0</v>
      </c>
      <c r="AD188" s="679">
        <v>0</v>
      </c>
      <c r="AE188" s="679"/>
      <c r="AF188" s="679"/>
      <c r="AG188" s="679"/>
      <c r="AH188" s="679"/>
      <c r="AI188" s="679"/>
      <c r="AJ188" s="679"/>
      <c r="AK188" s="679"/>
      <c r="AL188" s="679"/>
      <c r="AM188" s="679"/>
      <c r="AN188" s="679"/>
      <c r="AO188" s="679"/>
      <c r="AP188" s="679"/>
      <c r="AQ188" s="679"/>
      <c r="AR188" s="679"/>
      <c r="AS188" s="679"/>
      <c r="AT188" s="679"/>
      <c r="AU188" s="679"/>
      <c r="AV188" s="679"/>
      <c r="AW188" s="679"/>
      <c r="AX188" s="679"/>
      <c r="AY188" s="679"/>
      <c r="AZ188" s="679"/>
      <c r="BA188" s="679"/>
      <c r="BB188" s="679"/>
      <c r="BC188" s="679"/>
      <c r="BD188" s="679"/>
      <c r="BE188" s="679"/>
      <c r="BF188" s="679"/>
      <c r="BG188" s="679"/>
      <c r="BH188" s="679"/>
      <c r="BI188" s="679"/>
      <c r="BJ188" s="679"/>
      <c r="BK188" s="679"/>
      <c r="BL188" s="679"/>
      <c r="BM188" s="679"/>
      <c r="BN188" s="679"/>
      <c r="BO188" s="679"/>
      <c r="BP188" s="679"/>
      <c r="BQ188" s="679"/>
      <c r="BR188" s="679"/>
      <c r="BS188" s="679"/>
      <c r="BT188" s="679"/>
      <c r="BU188" s="679"/>
      <c r="BV188" s="679"/>
      <c r="BW188" s="679"/>
      <c r="BX188" s="679"/>
      <c r="BY188" s="679"/>
      <c r="BZ188" s="679"/>
      <c r="CA188" s="679"/>
    </row>
    <row r="189" spans="1:79" hidden="1" outlineLevel="1" x14ac:dyDescent="0.35">
      <c r="A189" s="224"/>
      <c r="B189" s="224"/>
      <c r="C189" s="224"/>
      <c r="D189" s="224"/>
      <c r="E189" s="224"/>
      <c r="F189" s="671" t="s">
        <v>864</v>
      </c>
      <c r="G189" s="679"/>
      <c r="H189" s="679"/>
      <c r="I189" s="679"/>
      <c r="J189" s="679"/>
      <c r="K189" s="679"/>
      <c r="L189" s="679"/>
      <c r="M189" s="679"/>
      <c r="N189" s="679"/>
      <c r="O189" s="679"/>
      <c r="P189" s="679"/>
      <c r="Q189" s="679"/>
      <c r="R189" s="679"/>
      <c r="S189" s="679">
        <v>0</v>
      </c>
      <c r="T189" s="679">
        <v>0</v>
      </c>
      <c r="U189" s="679">
        <v>0</v>
      </c>
      <c r="V189" s="679">
        <v>0</v>
      </c>
      <c r="W189" s="679">
        <v>0</v>
      </c>
      <c r="X189" s="679">
        <v>0</v>
      </c>
      <c r="Y189" s="679">
        <v>0</v>
      </c>
      <c r="Z189" s="679">
        <v>0</v>
      </c>
      <c r="AA189" s="679">
        <v>0</v>
      </c>
      <c r="AB189" s="679">
        <v>0</v>
      </c>
      <c r="AC189" s="679">
        <v>0</v>
      </c>
      <c r="AD189" s="679">
        <v>0</v>
      </c>
      <c r="AE189" s="679"/>
      <c r="AF189" s="679"/>
      <c r="AG189" s="679"/>
      <c r="AH189" s="679"/>
      <c r="AI189" s="679"/>
      <c r="AJ189" s="679"/>
      <c r="AK189" s="679"/>
      <c r="AL189" s="679"/>
      <c r="AM189" s="679"/>
      <c r="AN189" s="679"/>
      <c r="AO189" s="679"/>
      <c r="AP189" s="679"/>
      <c r="AQ189" s="679"/>
      <c r="AR189" s="679"/>
      <c r="AS189" s="679"/>
      <c r="AT189" s="679"/>
      <c r="AU189" s="679"/>
      <c r="AV189" s="679"/>
      <c r="AW189" s="679"/>
      <c r="AX189" s="679"/>
      <c r="AY189" s="679"/>
      <c r="AZ189" s="679"/>
      <c r="BA189" s="679"/>
      <c r="BB189" s="679"/>
      <c r="BC189" s="679"/>
      <c r="BD189" s="679"/>
      <c r="BE189" s="679"/>
      <c r="BF189" s="679"/>
      <c r="BG189" s="679"/>
      <c r="BH189" s="679"/>
      <c r="BI189" s="679"/>
      <c r="BJ189" s="679"/>
      <c r="BK189" s="679"/>
      <c r="BL189" s="679"/>
      <c r="BM189" s="679"/>
      <c r="BN189" s="679"/>
      <c r="BO189" s="679"/>
      <c r="BP189" s="679"/>
      <c r="BQ189" s="679"/>
      <c r="BR189" s="679"/>
      <c r="BS189" s="679"/>
      <c r="BT189" s="679"/>
      <c r="BU189" s="679"/>
      <c r="BV189" s="679"/>
      <c r="BW189" s="679"/>
      <c r="BX189" s="679"/>
      <c r="BY189" s="679"/>
      <c r="BZ189" s="679"/>
      <c r="CA189" s="679"/>
    </row>
    <row r="190" spans="1:79" hidden="1" outlineLevel="1" x14ac:dyDescent="0.35">
      <c r="A190" s="709"/>
      <c r="B190" s="709"/>
      <c r="C190" s="709"/>
      <c r="D190" s="709"/>
      <c r="E190" s="709"/>
      <c r="F190" s="707" t="s">
        <v>649</v>
      </c>
      <c r="G190" s="708"/>
      <c r="H190" s="708"/>
      <c r="I190" s="708"/>
      <c r="J190" s="708"/>
      <c r="K190" s="708"/>
      <c r="L190" s="708"/>
      <c r="M190" s="708"/>
      <c r="N190" s="708"/>
      <c r="O190" s="708"/>
      <c r="P190" s="708"/>
      <c r="Q190" s="708"/>
      <c r="R190" s="708"/>
      <c r="S190" s="708"/>
      <c r="T190" s="708"/>
      <c r="U190" s="708"/>
      <c r="V190" s="708"/>
      <c r="W190" s="708"/>
      <c r="X190" s="708"/>
      <c r="Y190" s="708"/>
      <c r="Z190" s="708"/>
      <c r="AA190" s="708"/>
      <c r="AB190" s="708"/>
      <c r="AC190" s="708"/>
      <c r="AD190" s="708"/>
      <c r="AE190" s="708"/>
      <c r="AF190" s="708"/>
      <c r="AG190" s="708"/>
      <c r="AH190" s="708"/>
      <c r="AI190" s="708"/>
      <c r="AJ190" s="708"/>
      <c r="AK190" s="708"/>
      <c r="AL190" s="708"/>
      <c r="AM190" s="708"/>
      <c r="AN190" s="708"/>
      <c r="AO190" s="708"/>
      <c r="AP190" s="708"/>
      <c r="AQ190" s="708"/>
      <c r="AR190" s="708"/>
      <c r="AS190" s="708"/>
      <c r="AT190" s="708"/>
      <c r="AU190" s="708"/>
      <c r="AV190" s="708"/>
      <c r="AW190" s="708"/>
      <c r="AX190" s="708"/>
      <c r="AY190" s="708"/>
      <c r="AZ190" s="708"/>
      <c r="BA190" s="708"/>
      <c r="BB190" s="708"/>
      <c r="BC190" s="708"/>
      <c r="BD190" s="708"/>
      <c r="BE190" s="708"/>
      <c r="BF190" s="708"/>
      <c r="BG190" s="708"/>
      <c r="BH190" s="708"/>
      <c r="BI190" s="708"/>
      <c r="BJ190" s="708"/>
      <c r="BK190" s="708"/>
      <c r="BL190" s="708"/>
      <c r="BM190" s="708"/>
      <c r="BN190" s="708"/>
      <c r="BO190" s="708"/>
      <c r="BP190" s="708"/>
      <c r="BQ190" s="708"/>
      <c r="BR190" s="708"/>
      <c r="BS190" s="708"/>
      <c r="BT190" s="708"/>
      <c r="BU190" s="708"/>
      <c r="BV190" s="708"/>
      <c r="BW190" s="708"/>
      <c r="BX190" s="708"/>
      <c r="BY190" s="708"/>
      <c r="BZ190" s="708"/>
      <c r="CA190" s="708"/>
    </row>
    <row r="191" spans="1:79" hidden="1" outlineLevel="1" x14ac:dyDescent="0.35">
      <c r="A191" s="224"/>
      <c r="B191" s="224"/>
      <c r="C191" s="224"/>
      <c r="D191" s="224"/>
      <c r="E191" s="224"/>
      <c r="F191" s="672" t="s">
        <v>865</v>
      </c>
      <c r="G191" s="679"/>
      <c r="H191" s="679"/>
      <c r="I191" s="679"/>
      <c r="J191" s="679"/>
      <c r="K191" s="679"/>
      <c r="L191" s="679"/>
      <c r="M191" s="679"/>
      <c r="N191" s="679"/>
      <c r="O191" s="679"/>
      <c r="P191" s="679"/>
      <c r="Q191" s="679"/>
      <c r="R191" s="679"/>
      <c r="S191" s="679">
        <v>0</v>
      </c>
      <c r="T191" s="679">
        <v>0</v>
      </c>
      <c r="U191" s="679">
        <v>0</v>
      </c>
      <c r="V191" s="679">
        <v>0</v>
      </c>
      <c r="W191" s="679">
        <v>0</v>
      </c>
      <c r="X191" s="679">
        <v>0</v>
      </c>
      <c r="Y191" s="679">
        <v>0</v>
      </c>
      <c r="Z191" s="679">
        <v>0</v>
      </c>
      <c r="AA191" s="679">
        <v>0</v>
      </c>
      <c r="AB191" s="679">
        <v>0</v>
      </c>
      <c r="AC191" s="679">
        <v>0</v>
      </c>
      <c r="AD191" s="679">
        <v>0</v>
      </c>
      <c r="AE191" s="679"/>
      <c r="AF191" s="679"/>
      <c r="AG191" s="679"/>
      <c r="AH191" s="679"/>
      <c r="AI191" s="679"/>
      <c r="AJ191" s="679"/>
      <c r="AK191" s="679"/>
      <c r="AL191" s="679"/>
      <c r="AM191" s="679"/>
      <c r="AN191" s="679"/>
      <c r="AO191" s="679"/>
      <c r="AP191" s="679"/>
      <c r="AQ191" s="679"/>
      <c r="AR191" s="679"/>
      <c r="AS191" s="679"/>
      <c r="AT191" s="679"/>
      <c r="AU191" s="679"/>
      <c r="AV191" s="679"/>
      <c r="AW191" s="679"/>
      <c r="AX191" s="679"/>
      <c r="AY191" s="679"/>
      <c r="AZ191" s="679"/>
      <c r="BA191" s="679"/>
      <c r="BB191" s="679"/>
      <c r="BC191" s="679"/>
      <c r="BD191" s="679"/>
      <c r="BE191" s="679"/>
      <c r="BF191" s="679"/>
      <c r="BG191" s="679"/>
      <c r="BH191" s="679"/>
      <c r="BI191" s="679"/>
      <c r="BJ191" s="679"/>
      <c r="BK191" s="679"/>
      <c r="BL191" s="679"/>
      <c r="BM191" s="679"/>
      <c r="BN191" s="679"/>
      <c r="BO191" s="679"/>
      <c r="BP191" s="679"/>
      <c r="BQ191" s="679"/>
      <c r="BR191" s="679"/>
      <c r="BS191" s="679"/>
      <c r="BT191" s="679"/>
      <c r="BU191" s="679"/>
      <c r="BV191" s="679"/>
      <c r="BW191" s="679"/>
      <c r="BX191" s="679"/>
      <c r="BY191" s="679"/>
      <c r="BZ191" s="679"/>
      <c r="CA191" s="679"/>
    </row>
    <row r="192" spans="1:79" hidden="1" outlineLevel="1" x14ac:dyDescent="0.35">
      <c r="A192" s="224"/>
      <c r="B192" s="224"/>
      <c r="C192" s="224"/>
      <c r="D192" s="224"/>
      <c r="E192" s="224"/>
      <c r="F192" s="672" t="s">
        <v>866</v>
      </c>
      <c r="G192" s="679"/>
      <c r="H192" s="679"/>
      <c r="I192" s="679"/>
      <c r="J192" s="679"/>
      <c r="K192" s="679"/>
      <c r="L192" s="679"/>
      <c r="M192" s="679"/>
      <c r="N192" s="679"/>
      <c r="O192" s="679"/>
      <c r="P192" s="679"/>
      <c r="Q192" s="679"/>
      <c r="R192" s="679"/>
      <c r="S192" s="679">
        <v>0</v>
      </c>
      <c r="T192" s="679">
        <v>0</v>
      </c>
      <c r="U192" s="679">
        <v>0</v>
      </c>
      <c r="V192" s="679">
        <v>0</v>
      </c>
      <c r="W192" s="679">
        <v>0</v>
      </c>
      <c r="X192" s="679">
        <v>0</v>
      </c>
      <c r="Y192" s="679">
        <v>0</v>
      </c>
      <c r="Z192" s="679">
        <v>0</v>
      </c>
      <c r="AA192" s="679">
        <v>0</v>
      </c>
      <c r="AB192" s="679">
        <v>0</v>
      </c>
      <c r="AC192" s="679">
        <v>0</v>
      </c>
      <c r="AD192" s="679">
        <v>0</v>
      </c>
      <c r="AE192" s="679"/>
      <c r="AF192" s="679"/>
      <c r="AG192" s="679"/>
      <c r="AH192" s="679"/>
      <c r="AI192" s="679"/>
      <c r="AJ192" s="679"/>
      <c r="AK192" s="679"/>
      <c r="AL192" s="679"/>
      <c r="AM192" s="679"/>
      <c r="AN192" s="679"/>
      <c r="AO192" s="679"/>
      <c r="AP192" s="679"/>
      <c r="AQ192" s="679"/>
      <c r="AR192" s="679"/>
      <c r="AS192" s="679"/>
      <c r="AT192" s="679"/>
      <c r="AU192" s="679"/>
      <c r="AV192" s="679"/>
      <c r="AW192" s="679"/>
      <c r="AX192" s="679"/>
      <c r="AY192" s="679"/>
      <c r="AZ192" s="679"/>
      <c r="BA192" s="679"/>
      <c r="BB192" s="679"/>
      <c r="BC192" s="679"/>
      <c r="BD192" s="679"/>
      <c r="BE192" s="679"/>
      <c r="BF192" s="679"/>
      <c r="BG192" s="679"/>
      <c r="BH192" s="679"/>
      <c r="BI192" s="679"/>
      <c r="BJ192" s="679"/>
      <c r="BK192" s="679"/>
      <c r="BL192" s="679"/>
      <c r="BM192" s="679"/>
      <c r="BN192" s="679"/>
      <c r="BO192" s="679"/>
      <c r="BP192" s="679"/>
      <c r="BQ192" s="679"/>
      <c r="BR192" s="679"/>
      <c r="BS192" s="679"/>
      <c r="BT192" s="679"/>
      <c r="BU192" s="679"/>
      <c r="BV192" s="679"/>
      <c r="BW192" s="679"/>
      <c r="BX192" s="679"/>
      <c r="BY192" s="679"/>
      <c r="BZ192" s="679"/>
      <c r="CA192" s="679"/>
    </row>
    <row r="193" spans="1:79" hidden="1" outlineLevel="1" x14ac:dyDescent="0.35">
      <c r="A193" s="224"/>
      <c r="B193" s="224"/>
      <c r="C193" s="224"/>
      <c r="D193" s="224"/>
      <c r="E193" s="224"/>
      <c r="F193" s="673" t="s">
        <v>867</v>
      </c>
      <c r="G193" s="680">
        <f>SUM(G191:G192)</f>
        <v>0</v>
      </c>
      <c r="H193" s="680">
        <f t="shared" ref="H193:BO193" si="64">SUM(H191:H192)</f>
        <v>0</v>
      </c>
      <c r="I193" s="680">
        <f t="shared" si="64"/>
        <v>0</v>
      </c>
      <c r="J193" s="680">
        <f t="shared" si="64"/>
        <v>0</v>
      </c>
      <c r="K193" s="680">
        <f t="shared" si="64"/>
        <v>0</v>
      </c>
      <c r="L193" s="680">
        <f t="shared" si="64"/>
        <v>0</v>
      </c>
      <c r="M193" s="680">
        <f t="shared" si="64"/>
        <v>0</v>
      </c>
      <c r="N193" s="680">
        <f t="shared" si="64"/>
        <v>0</v>
      </c>
      <c r="O193" s="680">
        <f t="shared" si="64"/>
        <v>0</v>
      </c>
      <c r="P193" s="680">
        <f t="shared" si="64"/>
        <v>0</v>
      </c>
      <c r="Q193" s="680">
        <f t="shared" si="64"/>
        <v>0</v>
      </c>
      <c r="R193" s="680">
        <f t="shared" si="64"/>
        <v>0</v>
      </c>
      <c r="S193" s="680">
        <f t="shared" ref="S193:AA193" si="65">ROUND(SUM(S190:S192),5)</f>
        <v>0</v>
      </c>
      <c r="T193" s="680">
        <f t="shared" si="65"/>
        <v>0</v>
      </c>
      <c r="U193" s="680">
        <f t="shared" si="65"/>
        <v>0</v>
      </c>
      <c r="V193" s="680">
        <f t="shared" si="65"/>
        <v>0</v>
      </c>
      <c r="W193" s="680">
        <f t="shared" si="65"/>
        <v>0</v>
      </c>
      <c r="X193" s="680">
        <f t="shared" si="65"/>
        <v>0</v>
      </c>
      <c r="Y193" s="680">
        <f t="shared" si="65"/>
        <v>0</v>
      </c>
      <c r="Z193" s="680">
        <f t="shared" si="65"/>
        <v>0</v>
      </c>
      <c r="AA193" s="680">
        <f t="shared" si="65"/>
        <v>0</v>
      </c>
      <c r="AB193" s="680">
        <f>ROUND(SUM(AB190:AB192),5)</f>
        <v>0</v>
      </c>
      <c r="AC193" s="680">
        <f>ROUND(SUM(AC190:AC192),5)</f>
        <v>0</v>
      </c>
      <c r="AD193" s="680">
        <f>ROUND(SUM(AD190:AD192),5)</f>
        <v>0</v>
      </c>
      <c r="AE193" s="680">
        <f t="shared" si="64"/>
        <v>0</v>
      </c>
      <c r="AF193" s="680">
        <f t="shared" si="64"/>
        <v>0</v>
      </c>
      <c r="AG193" s="680">
        <f t="shared" si="64"/>
        <v>0</v>
      </c>
      <c r="AH193" s="680">
        <f t="shared" si="64"/>
        <v>0</v>
      </c>
      <c r="AI193" s="680">
        <f t="shared" si="64"/>
        <v>0</v>
      </c>
      <c r="AJ193" s="680">
        <f t="shared" si="64"/>
        <v>0</v>
      </c>
      <c r="AK193" s="680">
        <f t="shared" si="64"/>
        <v>0</v>
      </c>
      <c r="AL193" s="680">
        <f t="shared" si="64"/>
        <v>0</v>
      </c>
      <c r="AM193" s="680">
        <f t="shared" si="64"/>
        <v>0</v>
      </c>
      <c r="AN193" s="680">
        <f t="shared" si="64"/>
        <v>0</v>
      </c>
      <c r="AO193" s="680">
        <f t="shared" si="64"/>
        <v>0</v>
      </c>
      <c r="AP193" s="680">
        <f t="shared" si="64"/>
        <v>0</v>
      </c>
      <c r="AQ193" s="680">
        <f t="shared" si="64"/>
        <v>0</v>
      </c>
      <c r="AR193" s="680">
        <f t="shared" si="64"/>
        <v>0</v>
      </c>
      <c r="AS193" s="680">
        <f t="shared" si="64"/>
        <v>0</v>
      </c>
      <c r="AT193" s="680">
        <f t="shared" si="64"/>
        <v>0</v>
      </c>
      <c r="AU193" s="680">
        <f t="shared" si="64"/>
        <v>0</v>
      </c>
      <c r="AV193" s="680">
        <f t="shared" si="64"/>
        <v>0</v>
      </c>
      <c r="AW193" s="680">
        <f t="shared" si="64"/>
        <v>0</v>
      </c>
      <c r="AX193" s="680">
        <f t="shared" si="64"/>
        <v>0</v>
      </c>
      <c r="AY193" s="680">
        <f t="shared" si="64"/>
        <v>0</v>
      </c>
      <c r="AZ193" s="680">
        <f t="shared" si="64"/>
        <v>0</v>
      </c>
      <c r="BA193" s="680">
        <f t="shared" si="64"/>
        <v>0</v>
      </c>
      <c r="BB193" s="680">
        <f t="shared" si="64"/>
        <v>0</v>
      </c>
      <c r="BC193" s="680">
        <f t="shared" si="64"/>
        <v>0</v>
      </c>
      <c r="BD193" s="680">
        <f t="shared" si="64"/>
        <v>0</v>
      </c>
      <c r="BE193" s="680">
        <f t="shared" si="64"/>
        <v>0</v>
      </c>
      <c r="BF193" s="680">
        <f t="shared" si="64"/>
        <v>0</v>
      </c>
      <c r="BG193" s="680">
        <f t="shared" si="64"/>
        <v>0</v>
      </c>
      <c r="BH193" s="680">
        <f t="shared" si="64"/>
        <v>0</v>
      </c>
      <c r="BI193" s="680">
        <f t="shared" si="64"/>
        <v>0</v>
      </c>
      <c r="BJ193" s="680">
        <f t="shared" si="64"/>
        <v>0</v>
      </c>
      <c r="BK193" s="680">
        <f t="shared" si="64"/>
        <v>0</v>
      </c>
      <c r="BL193" s="680">
        <f t="shared" si="64"/>
        <v>0</v>
      </c>
      <c r="BM193" s="680">
        <f t="shared" si="64"/>
        <v>0</v>
      </c>
      <c r="BN193" s="680">
        <f t="shared" si="64"/>
        <v>0</v>
      </c>
      <c r="BO193" s="680">
        <f t="shared" si="64"/>
        <v>0</v>
      </c>
      <c r="BP193" s="680">
        <f t="shared" ref="BP193:CA193" si="66">SUM(BP191:BP192)</f>
        <v>0</v>
      </c>
      <c r="BQ193" s="680">
        <f t="shared" si="66"/>
        <v>0</v>
      </c>
      <c r="BR193" s="680">
        <f t="shared" si="66"/>
        <v>0</v>
      </c>
      <c r="BS193" s="680">
        <f t="shared" si="66"/>
        <v>0</v>
      </c>
      <c r="BT193" s="680">
        <f t="shared" si="66"/>
        <v>0</v>
      </c>
      <c r="BU193" s="680">
        <f t="shared" si="66"/>
        <v>0</v>
      </c>
      <c r="BV193" s="680">
        <f t="shared" si="66"/>
        <v>0</v>
      </c>
      <c r="BW193" s="680">
        <f t="shared" si="66"/>
        <v>0</v>
      </c>
      <c r="BX193" s="680">
        <f t="shared" si="66"/>
        <v>0</v>
      </c>
      <c r="BY193" s="680">
        <f t="shared" si="66"/>
        <v>0</v>
      </c>
      <c r="BZ193" s="680">
        <f t="shared" si="66"/>
        <v>0</v>
      </c>
      <c r="CA193" s="680">
        <f t="shared" si="66"/>
        <v>0</v>
      </c>
    </row>
    <row r="194" spans="1:79" hidden="1" outlineLevel="1" x14ac:dyDescent="0.35">
      <c r="A194" s="224"/>
      <c r="B194" s="224"/>
      <c r="C194" s="224"/>
      <c r="D194" s="224"/>
      <c r="E194" s="224"/>
      <c r="F194" s="671" t="s">
        <v>868</v>
      </c>
      <c r="G194" s="679"/>
      <c r="H194" s="679"/>
      <c r="I194" s="679"/>
      <c r="J194" s="679"/>
      <c r="K194" s="679"/>
      <c r="L194" s="679"/>
      <c r="M194" s="679"/>
      <c r="N194" s="679"/>
      <c r="O194" s="679"/>
      <c r="P194" s="679"/>
      <c r="Q194" s="679"/>
      <c r="R194" s="679"/>
      <c r="S194" s="679">
        <v>0</v>
      </c>
      <c r="T194" s="679">
        <v>0</v>
      </c>
      <c r="U194" s="679">
        <v>0</v>
      </c>
      <c r="V194" s="679">
        <v>0</v>
      </c>
      <c r="W194" s="679">
        <v>0</v>
      </c>
      <c r="X194" s="679">
        <v>0</v>
      </c>
      <c r="Y194" s="679">
        <v>0</v>
      </c>
      <c r="Z194" s="679">
        <v>0</v>
      </c>
      <c r="AA194" s="679">
        <v>0</v>
      </c>
      <c r="AB194" s="679">
        <v>0</v>
      </c>
      <c r="AC194" s="679">
        <v>0</v>
      </c>
      <c r="AD194" s="679">
        <v>0</v>
      </c>
      <c r="AE194" s="679"/>
      <c r="AF194" s="679"/>
      <c r="AG194" s="679"/>
      <c r="AH194" s="679"/>
      <c r="AI194" s="679"/>
      <c r="AJ194" s="679"/>
      <c r="AK194" s="679"/>
      <c r="AL194" s="679"/>
      <c r="AM194" s="679"/>
      <c r="AN194" s="679"/>
      <c r="AO194" s="679"/>
      <c r="AP194" s="679"/>
      <c r="AQ194" s="679"/>
      <c r="AR194" s="679"/>
      <c r="AS194" s="679"/>
      <c r="AT194" s="679"/>
      <c r="AU194" s="679"/>
      <c r="AV194" s="679"/>
      <c r="AW194" s="679"/>
      <c r="AX194" s="679"/>
      <c r="AY194" s="679"/>
      <c r="AZ194" s="679"/>
      <c r="BA194" s="679"/>
      <c r="BB194" s="679"/>
      <c r="BC194" s="679"/>
      <c r="BD194" s="679"/>
      <c r="BE194" s="679"/>
      <c r="BF194" s="679"/>
      <c r="BG194" s="679"/>
      <c r="BH194" s="679"/>
      <c r="BI194" s="679"/>
      <c r="BJ194" s="679"/>
      <c r="BK194" s="679"/>
      <c r="BL194" s="679"/>
      <c r="BM194" s="679"/>
      <c r="BN194" s="679"/>
      <c r="BO194" s="679"/>
      <c r="BP194" s="679"/>
      <c r="BQ194" s="679"/>
      <c r="BR194" s="679"/>
      <c r="BS194" s="679"/>
      <c r="BT194" s="679"/>
      <c r="BU194" s="679"/>
      <c r="BV194" s="679"/>
      <c r="BW194" s="679"/>
      <c r="BX194" s="679"/>
      <c r="BY194" s="679"/>
      <c r="BZ194" s="679"/>
      <c r="CA194" s="679"/>
    </row>
    <row r="195" spans="1:79" hidden="1" outlineLevel="1" x14ac:dyDescent="0.35">
      <c r="A195" s="224"/>
      <c r="B195" s="224"/>
      <c r="C195" s="224"/>
      <c r="D195" s="224"/>
      <c r="E195" s="224"/>
      <c r="F195" s="671" t="s">
        <v>869</v>
      </c>
      <c r="G195" s="679"/>
      <c r="H195" s="679"/>
      <c r="I195" s="679"/>
      <c r="J195" s="679"/>
      <c r="K195" s="679"/>
      <c r="L195" s="679"/>
      <c r="M195" s="679"/>
      <c r="N195" s="679"/>
      <c r="O195" s="679"/>
      <c r="P195" s="679"/>
      <c r="Q195" s="679"/>
      <c r="R195" s="679"/>
      <c r="S195" s="679">
        <v>0</v>
      </c>
      <c r="T195" s="679">
        <v>0</v>
      </c>
      <c r="U195" s="679">
        <v>0</v>
      </c>
      <c r="V195" s="679">
        <v>0</v>
      </c>
      <c r="W195" s="679">
        <v>0</v>
      </c>
      <c r="X195" s="679">
        <v>0</v>
      </c>
      <c r="Y195" s="679">
        <v>0</v>
      </c>
      <c r="Z195" s="679">
        <v>0</v>
      </c>
      <c r="AA195" s="679">
        <v>0</v>
      </c>
      <c r="AB195" s="679">
        <v>0</v>
      </c>
      <c r="AC195" s="679">
        <v>0</v>
      </c>
      <c r="AD195" s="679">
        <v>0</v>
      </c>
      <c r="AE195" s="679"/>
      <c r="AF195" s="679"/>
      <c r="AG195" s="679"/>
      <c r="AH195" s="679"/>
      <c r="AI195" s="679"/>
      <c r="AJ195" s="679"/>
      <c r="AK195" s="679"/>
      <c r="AL195" s="679"/>
      <c r="AM195" s="679"/>
      <c r="AN195" s="679"/>
      <c r="AO195" s="679"/>
      <c r="AP195" s="679"/>
      <c r="AQ195" s="679"/>
      <c r="AR195" s="679"/>
      <c r="AS195" s="679"/>
      <c r="AT195" s="679"/>
      <c r="AU195" s="679"/>
      <c r="AV195" s="679"/>
      <c r="AW195" s="679"/>
      <c r="AX195" s="679"/>
      <c r="AY195" s="679"/>
      <c r="AZ195" s="679"/>
      <c r="BA195" s="679"/>
      <c r="BB195" s="679"/>
      <c r="BC195" s="679"/>
      <c r="BD195" s="679"/>
      <c r="BE195" s="679"/>
      <c r="BF195" s="679"/>
      <c r="BG195" s="679"/>
      <c r="BH195" s="679"/>
      <c r="BI195" s="679"/>
      <c r="BJ195" s="679"/>
      <c r="BK195" s="679"/>
      <c r="BL195" s="679"/>
      <c r="BM195" s="679"/>
      <c r="BN195" s="679"/>
      <c r="BO195" s="679"/>
      <c r="BP195" s="679"/>
      <c r="BQ195" s="679"/>
      <c r="BR195" s="679"/>
      <c r="BS195" s="679"/>
      <c r="BT195" s="679"/>
      <c r="BU195" s="679"/>
      <c r="BV195" s="679"/>
      <c r="BW195" s="679"/>
      <c r="BX195" s="679"/>
      <c r="BY195" s="679"/>
      <c r="BZ195" s="679"/>
      <c r="CA195" s="679"/>
    </row>
    <row r="196" spans="1:79" hidden="1" outlineLevel="1" x14ac:dyDescent="0.35">
      <c r="A196" s="709"/>
      <c r="B196" s="709"/>
      <c r="C196" s="709"/>
      <c r="D196" s="709"/>
      <c r="E196" s="709"/>
      <c r="F196" s="707" t="s">
        <v>870</v>
      </c>
      <c r="G196" s="708"/>
      <c r="H196" s="708"/>
      <c r="I196" s="708"/>
      <c r="J196" s="708"/>
      <c r="K196" s="708"/>
      <c r="L196" s="708"/>
      <c r="M196" s="708"/>
      <c r="N196" s="708"/>
      <c r="O196" s="708"/>
      <c r="P196" s="708"/>
      <c r="Q196" s="708"/>
      <c r="R196" s="708"/>
      <c r="S196" s="708"/>
      <c r="T196" s="708"/>
      <c r="U196" s="708"/>
      <c r="V196" s="708"/>
      <c r="W196" s="708"/>
      <c r="X196" s="708"/>
      <c r="Y196" s="708"/>
      <c r="Z196" s="708"/>
      <c r="AA196" s="708"/>
      <c r="AB196" s="708"/>
      <c r="AC196" s="708"/>
      <c r="AD196" s="708"/>
      <c r="AE196" s="708"/>
      <c r="AF196" s="708"/>
      <c r="AG196" s="708"/>
      <c r="AH196" s="708"/>
      <c r="AI196" s="708"/>
      <c r="AJ196" s="708"/>
      <c r="AK196" s="708"/>
      <c r="AL196" s="708"/>
      <c r="AM196" s="708"/>
      <c r="AN196" s="708"/>
      <c r="AO196" s="708"/>
      <c r="AP196" s="708"/>
      <c r="AQ196" s="708"/>
      <c r="AR196" s="708"/>
      <c r="AS196" s="708"/>
      <c r="AT196" s="708"/>
      <c r="AU196" s="708"/>
      <c r="AV196" s="708"/>
      <c r="AW196" s="708"/>
      <c r="AX196" s="708"/>
      <c r="AY196" s="708"/>
      <c r="AZ196" s="708"/>
      <c r="BA196" s="708"/>
      <c r="BB196" s="708"/>
      <c r="BC196" s="708"/>
      <c r="BD196" s="708"/>
      <c r="BE196" s="708"/>
      <c r="BF196" s="708"/>
      <c r="BG196" s="708"/>
      <c r="BH196" s="708"/>
      <c r="BI196" s="708"/>
      <c r="BJ196" s="708"/>
      <c r="BK196" s="708"/>
      <c r="BL196" s="708"/>
      <c r="BM196" s="708"/>
      <c r="BN196" s="708"/>
      <c r="BO196" s="708"/>
      <c r="BP196" s="708"/>
      <c r="BQ196" s="708"/>
      <c r="BR196" s="708"/>
      <c r="BS196" s="708"/>
      <c r="BT196" s="708"/>
      <c r="BU196" s="708"/>
      <c r="BV196" s="708"/>
      <c r="BW196" s="708"/>
      <c r="BX196" s="708"/>
      <c r="BY196" s="708"/>
      <c r="BZ196" s="708"/>
      <c r="CA196" s="708"/>
    </row>
    <row r="197" spans="1:79" hidden="1" outlineLevel="1" x14ac:dyDescent="0.35">
      <c r="A197" s="224"/>
      <c r="B197" s="224"/>
      <c r="C197" s="224"/>
      <c r="D197" s="224"/>
      <c r="E197" s="224"/>
      <c r="F197" s="672" t="s">
        <v>871</v>
      </c>
      <c r="G197" s="679"/>
      <c r="H197" s="679"/>
      <c r="I197" s="679"/>
      <c r="J197" s="679"/>
      <c r="K197" s="679"/>
      <c r="L197" s="679"/>
      <c r="M197" s="679"/>
      <c r="N197" s="679"/>
      <c r="O197" s="679"/>
      <c r="P197" s="679"/>
      <c r="Q197" s="679"/>
      <c r="R197" s="679"/>
      <c r="S197" s="679">
        <v>0</v>
      </c>
      <c r="T197" s="679">
        <v>0</v>
      </c>
      <c r="U197" s="679">
        <v>0</v>
      </c>
      <c r="V197" s="679">
        <v>0</v>
      </c>
      <c r="W197" s="679">
        <v>0</v>
      </c>
      <c r="X197" s="679">
        <v>0</v>
      </c>
      <c r="Y197" s="679">
        <v>0</v>
      </c>
      <c r="Z197" s="679">
        <v>0</v>
      </c>
      <c r="AA197" s="679">
        <v>0</v>
      </c>
      <c r="AB197" s="679">
        <v>0</v>
      </c>
      <c r="AC197" s="679">
        <v>0</v>
      </c>
      <c r="AD197" s="679">
        <v>0</v>
      </c>
      <c r="AE197" s="679"/>
      <c r="AF197" s="679"/>
      <c r="AG197" s="679"/>
      <c r="AH197" s="679"/>
      <c r="AI197" s="679"/>
      <c r="AJ197" s="679"/>
      <c r="AK197" s="679"/>
      <c r="AL197" s="679"/>
      <c r="AM197" s="679"/>
      <c r="AN197" s="679"/>
      <c r="AO197" s="679"/>
      <c r="AP197" s="679"/>
      <c r="AQ197" s="679"/>
      <c r="AR197" s="679"/>
      <c r="AS197" s="679"/>
      <c r="AT197" s="679"/>
      <c r="AU197" s="679"/>
      <c r="AV197" s="679"/>
      <c r="AW197" s="679"/>
      <c r="AX197" s="679"/>
      <c r="AY197" s="679"/>
      <c r="AZ197" s="679"/>
      <c r="BA197" s="679"/>
      <c r="BB197" s="679"/>
      <c r="BC197" s="679"/>
      <c r="BD197" s="679"/>
      <c r="BE197" s="679"/>
      <c r="BF197" s="679"/>
      <c r="BG197" s="679"/>
      <c r="BH197" s="679"/>
      <c r="BI197" s="679"/>
      <c r="BJ197" s="679"/>
      <c r="BK197" s="679"/>
      <c r="BL197" s="679"/>
      <c r="BM197" s="679"/>
      <c r="BN197" s="679"/>
      <c r="BO197" s="679"/>
      <c r="BP197" s="679"/>
      <c r="BQ197" s="679"/>
      <c r="BR197" s="679"/>
      <c r="BS197" s="679"/>
      <c r="BT197" s="679"/>
      <c r="BU197" s="679"/>
      <c r="BV197" s="679"/>
      <c r="BW197" s="679"/>
      <c r="BX197" s="679"/>
      <c r="BY197" s="679"/>
      <c r="BZ197" s="679"/>
      <c r="CA197" s="679"/>
    </row>
    <row r="198" spans="1:79" hidden="1" outlineLevel="1" x14ac:dyDescent="0.35">
      <c r="A198" s="224"/>
      <c r="B198" s="224"/>
      <c r="C198" s="224"/>
      <c r="D198" s="224"/>
      <c r="E198" s="224"/>
      <c r="F198" s="672" t="s">
        <v>872</v>
      </c>
      <c r="G198" s="679"/>
      <c r="H198" s="679"/>
      <c r="I198" s="679"/>
      <c r="J198" s="679"/>
      <c r="K198" s="679"/>
      <c r="L198" s="679"/>
      <c r="M198" s="679"/>
      <c r="N198" s="679"/>
      <c r="O198" s="679"/>
      <c r="P198" s="679"/>
      <c r="Q198" s="679"/>
      <c r="R198" s="679"/>
      <c r="S198" s="679">
        <v>0</v>
      </c>
      <c r="T198" s="679">
        <v>0</v>
      </c>
      <c r="U198" s="679">
        <v>0</v>
      </c>
      <c r="V198" s="679">
        <v>0</v>
      </c>
      <c r="W198" s="679">
        <v>0</v>
      </c>
      <c r="X198" s="679">
        <v>0</v>
      </c>
      <c r="Y198" s="679">
        <v>0</v>
      </c>
      <c r="Z198" s="679">
        <v>0</v>
      </c>
      <c r="AA198" s="679">
        <v>0</v>
      </c>
      <c r="AB198" s="679">
        <v>0</v>
      </c>
      <c r="AC198" s="679">
        <v>0</v>
      </c>
      <c r="AD198" s="679">
        <v>0</v>
      </c>
      <c r="AE198" s="679"/>
      <c r="AF198" s="679"/>
      <c r="AG198" s="679"/>
      <c r="AH198" s="679"/>
      <c r="AI198" s="679"/>
      <c r="AJ198" s="679"/>
      <c r="AK198" s="679"/>
      <c r="AL198" s="679"/>
      <c r="AM198" s="679"/>
      <c r="AN198" s="679"/>
      <c r="AO198" s="679"/>
      <c r="AP198" s="679"/>
      <c r="AQ198" s="679"/>
      <c r="AR198" s="679"/>
      <c r="AS198" s="679"/>
      <c r="AT198" s="679"/>
      <c r="AU198" s="679"/>
      <c r="AV198" s="679"/>
      <c r="AW198" s="679"/>
      <c r="AX198" s="679"/>
      <c r="AY198" s="679"/>
      <c r="AZ198" s="679"/>
      <c r="BA198" s="679"/>
      <c r="BB198" s="679"/>
      <c r="BC198" s="679"/>
      <c r="BD198" s="679"/>
      <c r="BE198" s="679"/>
      <c r="BF198" s="679"/>
      <c r="BG198" s="679"/>
      <c r="BH198" s="679"/>
      <c r="BI198" s="679"/>
      <c r="BJ198" s="679"/>
      <c r="BK198" s="679"/>
      <c r="BL198" s="679"/>
      <c r="BM198" s="679"/>
      <c r="BN198" s="679"/>
      <c r="BO198" s="679"/>
      <c r="BP198" s="679"/>
      <c r="BQ198" s="679"/>
      <c r="BR198" s="679"/>
      <c r="BS198" s="679"/>
      <c r="BT198" s="679"/>
      <c r="BU198" s="679"/>
      <c r="BV198" s="679"/>
      <c r="BW198" s="679"/>
      <c r="BX198" s="679"/>
      <c r="BY198" s="679"/>
      <c r="BZ198" s="679"/>
      <c r="CA198" s="679"/>
    </row>
    <row r="199" spans="1:79" hidden="1" outlineLevel="1" x14ac:dyDescent="0.35">
      <c r="A199" s="224"/>
      <c r="B199" s="224"/>
      <c r="C199" s="224"/>
      <c r="D199" s="224"/>
      <c r="E199" s="224"/>
      <c r="F199" s="673" t="s">
        <v>873</v>
      </c>
      <c r="G199" s="680">
        <f>SUM(G197:G198)</f>
        <v>0</v>
      </c>
      <c r="H199" s="680">
        <f t="shared" ref="H199:BO199" si="67">SUM(H197:H198)</f>
        <v>0</v>
      </c>
      <c r="I199" s="680">
        <f t="shared" si="67"/>
        <v>0</v>
      </c>
      <c r="J199" s="680">
        <f t="shared" si="67"/>
        <v>0</v>
      </c>
      <c r="K199" s="680">
        <f t="shared" si="67"/>
        <v>0</v>
      </c>
      <c r="L199" s="680">
        <f t="shared" si="67"/>
        <v>0</v>
      </c>
      <c r="M199" s="680">
        <f t="shared" si="67"/>
        <v>0</v>
      </c>
      <c r="N199" s="680">
        <f t="shared" si="67"/>
        <v>0</v>
      </c>
      <c r="O199" s="680">
        <f t="shared" si="67"/>
        <v>0</v>
      </c>
      <c r="P199" s="680">
        <f t="shared" si="67"/>
        <v>0</v>
      </c>
      <c r="Q199" s="680">
        <f t="shared" si="67"/>
        <v>0</v>
      </c>
      <c r="R199" s="680">
        <f t="shared" si="67"/>
        <v>0</v>
      </c>
      <c r="S199" s="680">
        <f t="shared" ref="S199:AA199" si="68">ROUND(SUM(S196:S198),5)</f>
        <v>0</v>
      </c>
      <c r="T199" s="680">
        <f t="shared" si="68"/>
        <v>0</v>
      </c>
      <c r="U199" s="680">
        <f t="shared" si="68"/>
        <v>0</v>
      </c>
      <c r="V199" s="680">
        <f t="shared" si="68"/>
        <v>0</v>
      </c>
      <c r="W199" s="680">
        <f t="shared" si="68"/>
        <v>0</v>
      </c>
      <c r="X199" s="680">
        <f t="shared" si="68"/>
        <v>0</v>
      </c>
      <c r="Y199" s="680">
        <f t="shared" si="68"/>
        <v>0</v>
      </c>
      <c r="Z199" s="680">
        <f t="shared" si="68"/>
        <v>0</v>
      </c>
      <c r="AA199" s="680">
        <f t="shared" si="68"/>
        <v>0</v>
      </c>
      <c r="AB199" s="680">
        <f>ROUND(SUM(AB196:AB198),5)</f>
        <v>0</v>
      </c>
      <c r="AC199" s="680">
        <f>ROUND(SUM(AC196:AC198),5)</f>
        <v>0</v>
      </c>
      <c r="AD199" s="680">
        <f>ROUND(SUM(AD196:AD198),5)</f>
        <v>0</v>
      </c>
      <c r="AE199" s="680">
        <f t="shared" si="67"/>
        <v>0</v>
      </c>
      <c r="AF199" s="680">
        <f t="shared" si="67"/>
        <v>0</v>
      </c>
      <c r="AG199" s="680">
        <f t="shared" si="67"/>
        <v>0</v>
      </c>
      <c r="AH199" s="680">
        <f t="shared" si="67"/>
        <v>0</v>
      </c>
      <c r="AI199" s="680">
        <f t="shared" si="67"/>
        <v>0</v>
      </c>
      <c r="AJ199" s="680">
        <f t="shared" si="67"/>
        <v>0</v>
      </c>
      <c r="AK199" s="680">
        <f t="shared" si="67"/>
        <v>0</v>
      </c>
      <c r="AL199" s="680">
        <f t="shared" si="67"/>
        <v>0</v>
      </c>
      <c r="AM199" s="680">
        <f t="shared" si="67"/>
        <v>0</v>
      </c>
      <c r="AN199" s="680">
        <f t="shared" si="67"/>
        <v>0</v>
      </c>
      <c r="AO199" s="680">
        <f t="shared" si="67"/>
        <v>0</v>
      </c>
      <c r="AP199" s="680">
        <f t="shared" si="67"/>
        <v>0</v>
      </c>
      <c r="AQ199" s="680">
        <f t="shared" si="67"/>
        <v>0</v>
      </c>
      <c r="AR199" s="680">
        <f t="shared" si="67"/>
        <v>0</v>
      </c>
      <c r="AS199" s="680">
        <f t="shared" si="67"/>
        <v>0</v>
      </c>
      <c r="AT199" s="680">
        <f t="shared" si="67"/>
        <v>0</v>
      </c>
      <c r="AU199" s="680">
        <f t="shared" si="67"/>
        <v>0</v>
      </c>
      <c r="AV199" s="680">
        <f t="shared" si="67"/>
        <v>0</v>
      </c>
      <c r="AW199" s="680">
        <f t="shared" si="67"/>
        <v>0</v>
      </c>
      <c r="AX199" s="680">
        <f t="shared" si="67"/>
        <v>0</v>
      </c>
      <c r="AY199" s="680">
        <f t="shared" si="67"/>
        <v>0</v>
      </c>
      <c r="AZ199" s="680">
        <f t="shared" si="67"/>
        <v>0</v>
      </c>
      <c r="BA199" s="680">
        <f t="shared" si="67"/>
        <v>0</v>
      </c>
      <c r="BB199" s="680">
        <f t="shared" si="67"/>
        <v>0</v>
      </c>
      <c r="BC199" s="680">
        <f t="shared" si="67"/>
        <v>0</v>
      </c>
      <c r="BD199" s="680">
        <f t="shared" si="67"/>
        <v>0</v>
      </c>
      <c r="BE199" s="680">
        <f t="shared" si="67"/>
        <v>0</v>
      </c>
      <c r="BF199" s="680">
        <f t="shared" si="67"/>
        <v>0</v>
      </c>
      <c r="BG199" s="680">
        <f t="shared" si="67"/>
        <v>0</v>
      </c>
      <c r="BH199" s="680">
        <f t="shared" si="67"/>
        <v>0</v>
      </c>
      <c r="BI199" s="680">
        <f t="shared" si="67"/>
        <v>0</v>
      </c>
      <c r="BJ199" s="680">
        <f t="shared" si="67"/>
        <v>0</v>
      </c>
      <c r="BK199" s="680">
        <f t="shared" si="67"/>
        <v>0</v>
      </c>
      <c r="BL199" s="680">
        <f t="shared" si="67"/>
        <v>0</v>
      </c>
      <c r="BM199" s="680">
        <f t="shared" si="67"/>
        <v>0</v>
      </c>
      <c r="BN199" s="680">
        <f t="shared" si="67"/>
        <v>0</v>
      </c>
      <c r="BO199" s="680">
        <f t="shared" si="67"/>
        <v>0</v>
      </c>
      <c r="BP199" s="680">
        <f t="shared" ref="BP199:CA199" si="69">SUM(BP197:BP198)</f>
        <v>0</v>
      </c>
      <c r="BQ199" s="680">
        <f t="shared" si="69"/>
        <v>0</v>
      </c>
      <c r="BR199" s="680">
        <f t="shared" si="69"/>
        <v>0</v>
      </c>
      <c r="BS199" s="680">
        <f t="shared" si="69"/>
        <v>0</v>
      </c>
      <c r="BT199" s="680">
        <f t="shared" si="69"/>
        <v>0</v>
      </c>
      <c r="BU199" s="680">
        <f t="shared" si="69"/>
        <v>0</v>
      </c>
      <c r="BV199" s="680">
        <f t="shared" si="69"/>
        <v>0</v>
      </c>
      <c r="BW199" s="680">
        <f t="shared" si="69"/>
        <v>0</v>
      </c>
      <c r="BX199" s="680">
        <f t="shared" si="69"/>
        <v>0</v>
      </c>
      <c r="BY199" s="680">
        <f t="shared" si="69"/>
        <v>0</v>
      </c>
      <c r="BZ199" s="680">
        <f t="shared" si="69"/>
        <v>0</v>
      </c>
      <c r="CA199" s="680">
        <f t="shared" si="69"/>
        <v>0</v>
      </c>
    </row>
    <row r="200" spans="1:79" hidden="1" outlineLevel="1" x14ac:dyDescent="0.35">
      <c r="A200" s="709"/>
      <c r="B200" s="709"/>
      <c r="C200" s="709"/>
      <c r="D200" s="709"/>
      <c r="E200" s="709"/>
      <c r="F200" s="710" t="s">
        <v>650</v>
      </c>
      <c r="G200" s="708"/>
      <c r="H200" s="708"/>
      <c r="I200" s="708"/>
      <c r="J200" s="708"/>
      <c r="K200" s="708"/>
      <c r="L200" s="708"/>
      <c r="M200" s="708"/>
      <c r="N200" s="708"/>
      <c r="O200" s="708"/>
      <c r="P200" s="708"/>
      <c r="Q200" s="708"/>
      <c r="R200" s="708"/>
      <c r="S200" s="708"/>
      <c r="T200" s="708"/>
      <c r="U200" s="708"/>
      <c r="V200" s="708"/>
      <c r="W200" s="708"/>
      <c r="X200" s="708"/>
      <c r="Y200" s="708"/>
      <c r="Z200" s="708"/>
      <c r="AA200" s="708"/>
      <c r="AB200" s="708"/>
      <c r="AC200" s="708"/>
      <c r="AD200" s="708"/>
      <c r="AE200" s="708"/>
      <c r="AF200" s="708"/>
      <c r="AG200" s="708"/>
      <c r="AH200" s="708"/>
      <c r="AI200" s="708"/>
      <c r="AJ200" s="708"/>
      <c r="AK200" s="708"/>
      <c r="AL200" s="708"/>
      <c r="AM200" s="708"/>
      <c r="AN200" s="708"/>
      <c r="AO200" s="708"/>
      <c r="AP200" s="708"/>
      <c r="AQ200" s="708"/>
      <c r="AR200" s="708"/>
      <c r="AS200" s="708"/>
      <c r="AT200" s="708"/>
      <c r="AU200" s="708"/>
      <c r="AV200" s="708"/>
      <c r="AW200" s="708"/>
      <c r="AX200" s="708"/>
      <c r="AY200" s="708"/>
      <c r="AZ200" s="708"/>
      <c r="BA200" s="708"/>
      <c r="BB200" s="708"/>
      <c r="BC200" s="708"/>
      <c r="BD200" s="708"/>
      <c r="BE200" s="708"/>
      <c r="BF200" s="708"/>
      <c r="BG200" s="708"/>
      <c r="BH200" s="708"/>
      <c r="BI200" s="708"/>
      <c r="BJ200" s="708"/>
      <c r="BK200" s="708"/>
      <c r="BL200" s="708"/>
      <c r="BM200" s="708"/>
      <c r="BN200" s="708"/>
      <c r="BO200" s="708"/>
      <c r="BP200" s="708"/>
      <c r="BQ200" s="708"/>
      <c r="BR200" s="708"/>
      <c r="BS200" s="708"/>
      <c r="BT200" s="708"/>
      <c r="BU200" s="708"/>
      <c r="BV200" s="708"/>
      <c r="BW200" s="708"/>
      <c r="BX200" s="708"/>
      <c r="BY200" s="708"/>
      <c r="BZ200" s="708"/>
      <c r="CA200" s="708"/>
    </row>
    <row r="201" spans="1:79" hidden="1" outlineLevel="1" x14ac:dyDescent="0.35">
      <c r="A201" s="224"/>
      <c r="B201" s="224"/>
      <c r="C201" s="224"/>
      <c r="D201" s="224"/>
      <c r="E201" s="224"/>
      <c r="F201" s="672" t="s">
        <v>874</v>
      </c>
      <c r="G201" s="679"/>
      <c r="H201" s="679"/>
      <c r="I201" s="679"/>
      <c r="J201" s="679"/>
      <c r="K201" s="679"/>
      <c r="L201" s="679"/>
      <c r="M201" s="679"/>
      <c r="N201" s="679"/>
      <c r="O201" s="679"/>
      <c r="P201" s="679"/>
      <c r="Q201" s="679"/>
      <c r="R201" s="679"/>
      <c r="S201" s="679">
        <v>0</v>
      </c>
      <c r="T201" s="679">
        <v>0</v>
      </c>
      <c r="U201" s="679">
        <v>0</v>
      </c>
      <c r="V201" s="679">
        <v>0</v>
      </c>
      <c r="W201" s="679">
        <v>0</v>
      </c>
      <c r="X201" s="679">
        <v>0</v>
      </c>
      <c r="Y201" s="679">
        <v>0</v>
      </c>
      <c r="Z201" s="679">
        <v>0</v>
      </c>
      <c r="AA201" s="679">
        <v>0</v>
      </c>
      <c r="AB201" s="679">
        <v>0</v>
      </c>
      <c r="AC201" s="679">
        <v>0</v>
      </c>
      <c r="AD201" s="679">
        <v>0</v>
      </c>
      <c r="AE201" s="679"/>
      <c r="AF201" s="679"/>
      <c r="AG201" s="679"/>
      <c r="AH201" s="679"/>
      <c r="AI201" s="679"/>
      <c r="AJ201" s="679"/>
      <c r="AK201" s="679"/>
      <c r="AL201" s="679"/>
      <c r="AM201" s="679"/>
      <c r="AN201" s="679"/>
      <c r="AO201" s="679"/>
      <c r="AP201" s="679"/>
      <c r="AQ201" s="679"/>
      <c r="AR201" s="679"/>
      <c r="AS201" s="679"/>
      <c r="AT201" s="679"/>
      <c r="AU201" s="679"/>
      <c r="AV201" s="679"/>
      <c r="AW201" s="679"/>
      <c r="AX201" s="679"/>
      <c r="AY201" s="679"/>
      <c r="AZ201" s="679"/>
      <c r="BA201" s="679"/>
      <c r="BB201" s="679"/>
      <c r="BC201" s="679"/>
      <c r="BD201" s="679"/>
      <c r="BE201" s="679"/>
      <c r="BF201" s="679"/>
      <c r="BG201" s="679"/>
      <c r="BH201" s="679"/>
      <c r="BI201" s="679"/>
      <c r="BJ201" s="679"/>
      <c r="BK201" s="679"/>
      <c r="BL201" s="679"/>
      <c r="BM201" s="679"/>
      <c r="BN201" s="679"/>
      <c r="BO201" s="679"/>
      <c r="BP201" s="679"/>
      <c r="BQ201" s="679"/>
      <c r="BR201" s="679"/>
      <c r="BS201" s="679"/>
      <c r="BT201" s="679"/>
      <c r="BU201" s="679"/>
      <c r="BV201" s="679"/>
      <c r="BW201" s="679"/>
      <c r="BX201" s="679"/>
      <c r="BY201" s="679"/>
      <c r="BZ201" s="679"/>
      <c r="CA201" s="679"/>
    </row>
    <row r="202" spans="1:79" hidden="1" outlineLevel="1" x14ac:dyDescent="0.35">
      <c r="A202" s="224"/>
      <c r="B202" s="224"/>
      <c r="C202" s="224"/>
      <c r="D202" s="224"/>
      <c r="E202" s="224"/>
      <c r="F202" s="672" t="s">
        <v>875</v>
      </c>
      <c r="G202" s="679"/>
      <c r="H202" s="679"/>
      <c r="I202" s="679"/>
      <c r="J202" s="679"/>
      <c r="K202" s="679"/>
      <c r="L202" s="679"/>
      <c r="M202" s="679"/>
      <c r="N202" s="679"/>
      <c r="O202" s="679"/>
      <c r="P202" s="679"/>
      <c r="Q202" s="679"/>
      <c r="R202" s="679"/>
      <c r="S202" s="679">
        <v>0</v>
      </c>
      <c r="T202" s="679">
        <v>0</v>
      </c>
      <c r="U202" s="679">
        <v>0</v>
      </c>
      <c r="V202" s="679">
        <v>0</v>
      </c>
      <c r="W202" s="679">
        <v>0</v>
      </c>
      <c r="X202" s="679">
        <v>0</v>
      </c>
      <c r="Y202" s="679">
        <v>0</v>
      </c>
      <c r="Z202" s="679">
        <v>0</v>
      </c>
      <c r="AA202" s="679">
        <v>0</v>
      </c>
      <c r="AB202" s="679">
        <v>0</v>
      </c>
      <c r="AC202" s="679">
        <v>0</v>
      </c>
      <c r="AD202" s="679">
        <v>0</v>
      </c>
      <c r="AE202" s="679"/>
      <c r="AF202" s="679"/>
      <c r="AG202" s="679"/>
      <c r="AH202" s="679"/>
      <c r="AI202" s="679"/>
      <c r="AJ202" s="679"/>
      <c r="AK202" s="679"/>
      <c r="AL202" s="679"/>
      <c r="AM202" s="679"/>
      <c r="AN202" s="679"/>
      <c r="AO202" s="679"/>
      <c r="AP202" s="679"/>
      <c r="AQ202" s="679"/>
      <c r="AR202" s="679"/>
      <c r="AS202" s="679"/>
      <c r="AT202" s="679"/>
      <c r="AU202" s="679"/>
      <c r="AV202" s="679"/>
      <c r="AW202" s="679"/>
      <c r="AX202" s="679"/>
      <c r="AY202" s="679"/>
      <c r="AZ202" s="679"/>
      <c r="BA202" s="679"/>
      <c r="BB202" s="679"/>
      <c r="BC202" s="679"/>
      <c r="BD202" s="679"/>
      <c r="BE202" s="679"/>
      <c r="BF202" s="679"/>
      <c r="BG202" s="679"/>
      <c r="BH202" s="679"/>
      <c r="BI202" s="679"/>
      <c r="BJ202" s="679"/>
      <c r="BK202" s="679"/>
      <c r="BL202" s="679"/>
      <c r="BM202" s="679"/>
      <c r="BN202" s="679"/>
      <c r="BO202" s="679"/>
      <c r="BP202" s="679"/>
      <c r="BQ202" s="679"/>
      <c r="BR202" s="679"/>
      <c r="BS202" s="679"/>
      <c r="BT202" s="679"/>
      <c r="BU202" s="679"/>
      <c r="BV202" s="679"/>
      <c r="BW202" s="679"/>
      <c r="BX202" s="679"/>
      <c r="BY202" s="679"/>
      <c r="BZ202" s="679"/>
      <c r="CA202" s="679"/>
    </row>
    <row r="203" spans="1:79" hidden="1" outlineLevel="1" x14ac:dyDescent="0.35">
      <c r="A203" s="224"/>
      <c r="B203" s="224"/>
      <c r="C203" s="224"/>
      <c r="D203" s="224"/>
      <c r="E203" s="224"/>
      <c r="F203" s="673" t="s">
        <v>876</v>
      </c>
      <c r="G203" s="680">
        <f>SUM(G201:G202)</f>
        <v>0</v>
      </c>
      <c r="H203" s="680">
        <f t="shared" ref="H203:BO203" si="70">SUM(H201:H202)</f>
        <v>0</v>
      </c>
      <c r="I203" s="680">
        <f t="shared" si="70"/>
        <v>0</v>
      </c>
      <c r="J203" s="680">
        <f t="shared" si="70"/>
        <v>0</v>
      </c>
      <c r="K203" s="680">
        <f t="shared" si="70"/>
        <v>0</v>
      </c>
      <c r="L203" s="680">
        <f t="shared" si="70"/>
        <v>0</v>
      </c>
      <c r="M203" s="680">
        <f t="shared" si="70"/>
        <v>0</v>
      </c>
      <c r="N203" s="680">
        <f t="shared" si="70"/>
        <v>0</v>
      </c>
      <c r="O203" s="680">
        <f t="shared" si="70"/>
        <v>0</v>
      </c>
      <c r="P203" s="680">
        <f t="shared" si="70"/>
        <v>0</v>
      </c>
      <c r="Q203" s="680">
        <f t="shared" si="70"/>
        <v>0</v>
      </c>
      <c r="R203" s="680">
        <f t="shared" si="70"/>
        <v>0</v>
      </c>
      <c r="S203" s="680">
        <f t="shared" ref="S203:AA203" si="71">ROUND(SUM(S200:S202),5)</f>
        <v>0</v>
      </c>
      <c r="T203" s="680">
        <f t="shared" si="71"/>
        <v>0</v>
      </c>
      <c r="U203" s="680">
        <f t="shared" si="71"/>
        <v>0</v>
      </c>
      <c r="V203" s="680">
        <f t="shared" si="71"/>
        <v>0</v>
      </c>
      <c r="W203" s="680">
        <f t="shared" si="71"/>
        <v>0</v>
      </c>
      <c r="X203" s="680">
        <f t="shared" si="71"/>
        <v>0</v>
      </c>
      <c r="Y203" s="680">
        <f t="shared" si="71"/>
        <v>0</v>
      </c>
      <c r="Z203" s="680">
        <f t="shared" si="71"/>
        <v>0</v>
      </c>
      <c r="AA203" s="680">
        <f t="shared" si="71"/>
        <v>0</v>
      </c>
      <c r="AB203" s="680">
        <f>ROUND(SUM(AB200:AB202),5)</f>
        <v>0</v>
      </c>
      <c r="AC203" s="680">
        <f>ROUND(SUM(AC200:AC202),5)</f>
        <v>0</v>
      </c>
      <c r="AD203" s="680">
        <f>ROUND(SUM(AD200:AD202),5)</f>
        <v>0</v>
      </c>
      <c r="AE203" s="680">
        <f t="shared" si="70"/>
        <v>0</v>
      </c>
      <c r="AF203" s="680">
        <f t="shared" si="70"/>
        <v>0</v>
      </c>
      <c r="AG203" s="680">
        <f t="shared" si="70"/>
        <v>0</v>
      </c>
      <c r="AH203" s="680">
        <f t="shared" si="70"/>
        <v>0</v>
      </c>
      <c r="AI203" s="680">
        <f t="shared" si="70"/>
        <v>0</v>
      </c>
      <c r="AJ203" s="680">
        <f t="shared" si="70"/>
        <v>0</v>
      </c>
      <c r="AK203" s="680">
        <f t="shared" si="70"/>
        <v>0</v>
      </c>
      <c r="AL203" s="680">
        <f t="shared" si="70"/>
        <v>0</v>
      </c>
      <c r="AM203" s="680">
        <f t="shared" si="70"/>
        <v>0</v>
      </c>
      <c r="AN203" s="680">
        <f t="shared" si="70"/>
        <v>0</v>
      </c>
      <c r="AO203" s="680">
        <f t="shared" si="70"/>
        <v>0</v>
      </c>
      <c r="AP203" s="680">
        <f t="shared" si="70"/>
        <v>0</v>
      </c>
      <c r="AQ203" s="680">
        <f t="shared" si="70"/>
        <v>0</v>
      </c>
      <c r="AR203" s="680">
        <f t="shared" si="70"/>
        <v>0</v>
      </c>
      <c r="AS203" s="680">
        <f t="shared" si="70"/>
        <v>0</v>
      </c>
      <c r="AT203" s="680">
        <f t="shared" si="70"/>
        <v>0</v>
      </c>
      <c r="AU203" s="680">
        <f t="shared" si="70"/>
        <v>0</v>
      </c>
      <c r="AV203" s="680">
        <f t="shared" si="70"/>
        <v>0</v>
      </c>
      <c r="AW203" s="680">
        <f t="shared" si="70"/>
        <v>0</v>
      </c>
      <c r="AX203" s="680">
        <f t="shared" si="70"/>
        <v>0</v>
      </c>
      <c r="AY203" s="680">
        <f t="shared" si="70"/>
        <v>0</v>
      </c>
      <c r="AZ203" s="680">
        <f t="shared" si="70"/>
        <v>0</v>
      </c>
      <c r="BA203" s="680">
        <f t="shared" si="70"/>
        <v>0</v>
      </c>
      <c r="BB203" s="680">
        <f t="shared" si="70"/>
        <v>0</v>
      </c>
      <c r="BC203" s="680">
        <f t="shared" si="70"/>
        <v>0</v>
      </c>
      <c r="BD203" s="680">
        <f t="shared" si="70"/>
        <v>0</v>
      </c>
      <c r="BE203" s="680">
        <f t="shared" si="70"/>
        <v>0</v>
      </c>
      <c r="BF203" s="680">
        <f t="shared" si="70"/>
        <v>0</v>
      </c>
      <c r="BG203" s="680">
        <f t="shared" si="70"/>
        <v>0</v>
      </c>
      <c r="BH203" s="680">
        <f t="shared" si="70"/>
        <v>0</v>
      </c>
      <c r="BI203" s="680">
        <f t="shared" si="70"/>
        <v>0</v>
      </c>
      <c r="BJ203" s="680">
        <f t="shared" si="70"/>
        <v>0</v>
      </c>
      <c r="BK203" s="680">
        <f t="shared" si="70"/>
        <v>0</v>
      </c>
      <c r="BL203" s="680">
        <f t="shared" si="70"/>
        <v>0</v>
      </c>
      <c r="BM203" s="680">
        <f t="shared" si="70"/>
        <v>0</v>
      </c>
      <c r="BN203" s="680">
        <f t="shared" si="70"/>
        <v>0</v>
      </c>
      <c r="BO203" s="680">
        <f t="shared" si="70"/>
        <v>0</v>
      </c>
      <c r="BP203" s="680">
        <f t="shared" ref="BP203:CA203" si="72">SUM(BP201:BP202)</f>
        <v>0</v>
      </c>
      <c r="BQ203" s="680">
        <f t="shared" si="72"/>
        <v>0</v>
      </c>
      <c r="BR203" s="680">
        <f t="shared" si="72"/>
        <v>0</v>
      </c>
      <c r="BS203" s="680">
        <f t="shared" si="72"/>
        <v>0</v>
      </c>
      <c r="BT203" s="680">
        <f t="shared" si="72"/>
        <v>0</v>
      </c>
      <c r="BU203" s="680">
        <f t="shared" si="72"/>
        <v>0</v>
      </c>
      <c r="BV203" s="680">
        <f t="shared" si="72"/>
        <v>0</v>
      </c>
      <c r="BW203" s="680">
        <f t="shared" si="72"/>
        <v>0</v>
      </c>
      <c r="BX203" s="680">
        <f t="shared" si="72"/>
        <v>0</v>
      </c>
      <c r="BY203" s="680">
        <f t="shared" si="72"/>
        <v>0</v>
      </c>
      <c r="BZ203" s="680">
        <f t="shared" si="72"/>
        <v>0</v>
      </c>
      <c r="CA203" s="680">
        <f t="shared" si="72"/>
        <v>0</v>
      </c>
    </row>
    <row r="204" spans="1:79" hidden="1" outlineLevel="1" x14ac:dyDescent="0.35">
      <c r="F204" s="674" t="s">
        <v>593</v>
      </c>
      <c r="G204" s="732"/>
      <c r="H204" s="732">
        <v>8.1276528243856578</v>
      </c>
      <c r="I204" s="732">
        <v>1.7351823953788208</v>
      </c>
      <c r="J204" s="732">
        <v>17.283626836879012</v>
      </c>
      <c r="K204" s="732">
        <v>3.6096244282564913</v>
      </c>
      <c r="L204" s="732">
        <v>21.678996322559826</v>
      </c>
      <c r="M204" s="732">
        <v>0.48446248453913554</v>
      </c>
      <c r="N204" s="732">
        <v>4.9100601965198871</v>
      </c>
      <c r="O204" s="732">
        <v>4.2593384788035404</v>
      </c>
      <c r="P204" s="732">
        <v>20.365630545576224</v>
      </c>
      <c r="Q204" s="732"/>
      <c r="R204" s="732"/>
      <c r="S204" s="683">
        <v>0</v>
      </c>
      <c r="T204" s="683">
        <v>0</v>
      </c>
      <c r="U204" s="683">
        <v>0</v>
      </c>
      <c r="V204" s="683">
        <v>0</v>
      </c>
      <c r="W204" s="683">
        <v>0</v>
      </c>
      <c r="X204" s="683">
        <v>0</v>
      </c>
      <c r="Y204" s="683">
        <v>0</v>
      </c>
      <c r="Z204" s="683">
        <v>0</v>
      </c>
      <c r="AA204" s="683">
        <v>0</v>
      </c>
      <c r="AB204" s="683">
        <v>0</v>
      </c>
      <c r="AC204" s="683">
        <v>0</v>
      </c>
      <c r="AD204" s="683">
        <v>0</v>
      </c>
      <c r="AE204" s="734"/>
      <c r="AF204" s="734"/>
      <c r="AG204" s="734"/>
      <c r="AH204" s="734"/>
      <c r="AI204" s="734"/>
      <c r="AJ204" s="734"/>
      <c r="AK204" s="734"/>
      <c r="AL204" s="734"/>
      <c r="AM204" s="734"/>
      <c r="AN204" s="734"/>
      <c r="AO204" s="734"/>
      <c r="AP204" s="734"/>
      <c r="AQ204" s="734"/>
      <c r="AR204" s="734"/>
      <c r="AS204" s="734"/>
      <c r="AT204" s="734"/>
      <c r="AU204" s="734"/>
      <c r="AV204" s="734"/>
      <c r="AW204" s="734"/>
      <c r="AX204" s="734"/>
      <c r="AY204" s="734"/>
      <c r="AZ204" s="734"/>
      <c r="BA204" s="734"/>
      <c r="BB204" s="734"/>
      <c r="BC204" s="734"/>
      <c r="BD204" s="734"/>
      <c r="BE204" s="734"/>
      <c r="BF204" s="734"/>
      <c r="BG204" s="734"/>
      <c r="BH204" s="734"/>
      <c r="BI204" s="734"/>
      <c r="BJ204" s="734"/>
      <c r="BK204" s="734"/>
      <c r="BL204" s="734"/>
      <c r="BM204" s="734"/>
      <c r="BN204" s="734"/>
      <c r="BO204" s="734"/>
      <c r="BP204" s="734"/>
      <c r="BQ204" s="734"/>
      <c r="BR204" s="734"/>
      <c r="BS204" s="734"/>
      <c r="BT204" s="734"/>
      <c r="BU204" s="734"/>
      <c r="BV204" s="734"/>
      <c r="BW204" s="734"/>
      <c r="BX204" s="734"/>
      <c r="BY204" s="734"/>
      <c r="BZ204" s="734"/>
      <c r="CA204" s="734"/>
    </row>
    <row r="205" spans="1:79" hidden="1" outlineLevel="1" x14ac:dyDescent="0.35">
      <c r="A205" s="574"/>
      <c r="B205" s="574"/>
      <c r="C205" s="574"/>
      <c r="D205" s="574"/>
      <c r="E205" s="574"/>
      <c r="F205" s="671" t="s">
        <v>877</v>
      </c>
      <c r="G205" s="732"/>
      <c r="H205" s="732"/>
      <c r="I205" s="732"/>
      <c r="J205" s="732"/>
      <c r="K205" s="732"/>
      <c r="L205" s="732"/>
      <c r="M205" s="732"/>
      <c r="N205" s="732"/>
      <c r="O205" s="732"/>
      <c r="P205" s="732"/>
      <c r="Q205" s="732"/>
      <c r="R205" s="732"/>
      <c r="S205" s="683">
        <v>0</v>
      </c>
      <c r="T205" s="683">
        <v>0</v>
      </c>
      <c r="U205" s="683">
        <v>0</v>
      </c>
      <c r="V205" s="683">
        <v>0</v>
      </c>
      <c r="W205" s="683">
        <v>0</v>
      </c>
      <c r="X205" s="683">
        <v>0</v>
      </c>
      <c r="Y205" s="683">
        <v>0</v>
      </c>
      <c r="Z205" s="683">
        <v>0</v>
      </c>
      <c r="AA205" s="683">
        <v>0</v>
      </c>
      <c r="AB205" s="683">
        <v>0</v>
      </c>
      <c r="AC205" s="683">
        <v>0</v>
      </c>
      <c r="AD205" s="683">
        <v>0</v>
      </c>
      <c r="AE205" s="734"/>
      <c r="AF205" s="734"/>
      <c r="AG205" s="734"/>
      <c r="AH205" s="734"/>
      <c r="AI205" s="734"/>
      <c r="AJ205" s="734"/>
      <c r="AK205" s="734"/>
      <c r="AL205" s="734"/>
      <c r="AM205" s="734"/>
      <c r="AN205" s="734"/>
      <c r="AO205" s="734"/>
      <c r="AP205" s="734"/>
      <c r="AQ205" s="734"/>
      <c r="AR205" s="734"/>
      <c r="AS205" s="734"/>
      <c r="AT205" s="734"/>
      <c r="AU205" s="734"/>
      <c r="AV205" s="734"/>
      <c r="AW205" s="734"/>
      <c r="AX205" s="734"/>
      <c r="AY205" s="734"/>
      <c r="AZ205" s="734"/>
      <c r="BA205" s="734"/>
      <c r="BB205" s="734"/>
      <c r="BC205" s="734"/>
      <c r="BD205" s="734"/>
      <c r="BE205" s="734"/>
      <c r="BF205" s="734"/>
      <c r="BG205" s="734"/>
      <c r="BH205" s="734"/>
      <c r="BI205" s="734"/>
      <c r="BJ205" s="734"/>
      <c r="BK205" s="734"/>
      <c r="BL205" s="734"/>
      <c r="BM205" s="734"/>
      <c r="BN205" s="734"/>
      <c r="BO205" s="734"/>
      <c r="BP205" s="734"/>
      <c r="BQ205" s="734"/>
      <c r="BR205" s="734"/>
      <c r="BS205" s="734"/>
      <c r="BT205" s="734"/>
      <c r="BU205" s="734"/>
      <c r="BV205" s="734"/>
      <c r="BW205" s="734"/>
      <c r="BX205" s="734"/>
      <c r="BY205" s="734"/>
      <c r="BZ205" s="734"/>
      <c r="CA205" s="734"/>
    </row>
    <row r="206" spans="1:79" s="452" customFormat="1" hidden="1" outlineLevel="1" x14ac:dyDescent="0.35">
      <c r="A206" s="754"/>
      <c r="B206" s="754"/>
      <c r="C206" s="754"/>
      <c r="D206" s="754"/>
      <c r="E206" s="754"/>
      <c r="F206" s="711" t="s">
        <v>594</v>
      </c>
      <c r="G206" s="750"/>
      <c r="H206" s="750"/>
      <c r="I206" s="750"/>
      <c r="J206" s="750"/>
      <c r="K206" s="750"/>
      <c r="L206" s="750"/>
      <c r="M206" s="750"/>
      <c r="N206" s="750"/>
      <c r="O206" s="750"/>
      <c r="P206" s="751"/>
      <c r="Q206" s="751"/>
      <c r="R206" s="751"/>
      <c r="S206" s="713"/>
      <c r="T206" s="713"/>
      <c r="U206" s="713"/>
      <c r="V206" s="713"/>
      <c r="W206" s="713"/>
      <c r="X206" s="713"/>
      <c r="Y206" s="713"/>
      <c r="Z206" s="713"/>
      <c r="AA206" s="713"/>
      <c r="AB206" s="713"/>
      <c r="AC206" s="713"/>
      <c r="AD206" s="713"/>
      <c r="AE206" s="753"/>
      <c r="AF206" s="753"/>
      <c r="AG206" s="753"/>
      <c r="AH206" s="753"/>
      <c r="AI206" s="753"/>
      <c r="AJ206" s="753"/>
      <c r="AK206" s="753"/>
      <c r="AL206" s="753"/>
      <c r="AM206" s="753"/>
      <c r="AN206" s="753"/>
      <c r="AO206" s="753"/>
      <c r="AP206" s="753"/>
      <c r="AQ206" s="753"/>
      <c r="AR206" s="753"/>
      <c r="AS206" s="753"/>
      <c r="AT206" s="753"/>
      <c r="AU206" s="753"/>
      <c r="AV206" s="753"/>
      <c r="AW206" s="753"/>
      <c r="AX206" s="753"/>
      <c r="AY206" s="753"/>
      <c r="AZ206" s="753"/>
      <c r="BA206" s="753"/>
      <c r="BB206" s="753"/>
      <c r="BC206" s="753"/>
      <c r="BD206" s="753"/>
      <c r="BE206" s="753"/>
      <c r="BF206" s="753"/>
      <c r="BG206" s="753"/>
      <c r="BH206" s="753"/>
      <c r="BI206" s="753"/>
      <c r="BJ206" s="753"/>
      <c r="BK206" s="753"/>
      <c r="BL206" s="753"/>
      <c r="BM206" s="753"/>
      <c r="BN206" s="753"/>
      <c r="BO206" s="753"/>
      <c r="BP206" s="753"/>
      <c r="BQ206" s="753"/>
      <c r="BR206" s="753"/>
      <c r="BS206" s="753"/>
      <c r="BT206" s="753"/>
      <c r="BU206" s="753"/>
      <c r="BV206" s="753"/>
      <c r="BW206" s="753"/>
      <c r="BX206" s="753"/>
      <c r="BY206" s="753"/>
      <c r="BZ206" s="753"/>
      <c r="CA206" s="753"/>
    </row>
    <row r="207" spans="1:79" s="452" customFormat="1" hidden="1" outlineLevel="1" x14ac:dyDescent="0.35">
      <c r="A207" s="580"/>
      <c r="B207" s="580"/>
      <c r="C207" s="580"/>
      <c r="D207" s="580"/>
      <c r="E207" s="580"/>
      <c r="F207" s="672" t="s">
        <v>878</v>
      </c>
      <c r="G207" s="735"/>
      <c r="H207" s="735"/>
      <c r="I207" s="735"/>
      <c r="J207" s="735"/>
      <c r="K207" s="735"/>
      <c r="L207" s="735"/>
      <c r="M207" s="735"/>
      <c r="N207" s="735"/>
      <c r="O207" s="735"/>
      <c r="P207" s="732"/>
      <c r="Q207" s="732"/>
      <c r="R207" s="732"/>
      <c r="S207" s="687">
        <v>0</v>
      </c>
      <c r="T207" s="687">
        <v>0</v>
      </c>
      <c r="U207" s="687">
        <v>0</v>
      </c>
      <c r="V207" s="687">
        <v>0</v>
      </c>
      <c r="W207" s="687">
        <v>0</v>
      </c>
      <c r="X207" s="687">
        <v>0</v>
      </c>
      <c r="Y207" s="687">
        <v>0</v>
      </c>
      <c r="Z207" s="687">
        <v>0</v>
      </c>
      <c r="AA207" s="687">
        <v>0</v>
      </c>
      <c r="AB207" s="687">
        <v>0</v>
      </c>
      <c r="AC207" s="687">
        <v>0</v>
      </c>
      <c r="AD207" s="687">
        <v>0</v>
      </c>
      <c r="AE207" s="734"/>
      <c r="AF207" s="734"/>
      <c r="AG207" s="734"/>
      <c r="AH207" s="734"/>
      <c r="AI207" s="734"/>
      <c r="AJ207" s="734"/>
      <c r="AK207" s="734"/>
      <c r="AL207" s="734"/>
      <c r="AM207" s="734"/>
      <c r="AN207" s="734"/>
      <c r="AO207" s="734"/>
      <c r="AP207" s="734"/>
      <c r="AQ207" s="734"/>
      <c r="AR207" s="734"/>
      <c r="AS207" s="734"/>
      <c r="AT207" s="734"/>
      <c r="AU207" s="734"/>
      <c r="AV207" s="734"/>
      <c r="AW207" s="734"/>
      <c r="AX207" s="734"/>
      <c r="AY207" s="734"/>
      <c r="AZ207" s="734"/>
      <c r="BA207" s="734"/>
      <c r="BB207" s="734"/>
      <c r="BC207" s="734"/>
      <c r="BD207" s="734"/>
      <c r="BE207" s="734"/>
      <c r="BF207" s="734"/>
      <c r="BG207" s="734"/>
      <c r="BH207" s="734"/>
      <c r="BI207" s="734"/>
      <c r="BJ207" s="734"/>
      <c r="BK207" s="734"/>
      <c r="BL207" s="734"/>
      <c r="BM207" s="734"/>
      <c r="BN207" s="734"/>
      <c r="BO207" s="734"/>
      <c r="BP207" s="734"/>
      <c r="BQ207" s="734"/>
      <c r="BR207" s="734"/>
      <c r="BS207" s="734"/>
      <c r="BT207" s="734"/>
      <c r="BU207" s="734"/>
      <c r="BV207" s="734"/>
      <c r="BW207" s="734"/>
      <c r="BX207" s="734"/>
      <c r="BY207" s="734"/>
      <c r="BZ207" s="734"/>
      <c r="CA207" s="734"/>
    </row>
    <row r="208" spans="1:79" s="452" customFormat="1" hidden="1" outlineLevel="1" x14ac:dyDescent="0.35">
      <c r="A208" s="580"/>
      <c r="B208" s="580"/>
      <c r="C208" s="580"/>
      <c r="D208" s="580"/>
      <c r="E208" s="580"/>
      <c r="F208" s="672" t="s">
        <v>879</v>
      </c>
      <c r="G208" s="735"/>
      <c r="H208" s="735"/>
      <c r="I208" s="735"/>
      <c r="J208" s="735"/>
      <c r="K208" s="735"/>
      <c r="L208" s="735"/>
      <c r="M208" s="735"/>
      <c r="N208" s="735"/>
      <c r="O208" s="735"/>
      <c r="P208" s="732"/>
      <c r="Q208" s="732"/>
      <c r="R208" s="732"/>
      <c r="S208" s="687">
        <v>0</v>
      </c>
      <c r="T208" s="687">
        <v>0</v>
      </c>
      <c r="U208" s="687">
        <v>0</v>
      </c>
      <c r="V208" s="687">
        <v>0</v>
      </c>
      <c r="W208" s="687">
        <v>0</v>
      </c>
      <c r="X208" s="687">
        <v>0</v>
      </c>
      <c r="Y208" s="687">
        <v>0</v>
      </c>
      <c r="Z208" s="687">
        <v>0</v>
      </c>
      <c r="AA208" s="687">
        <v>0</v>
      </c>
      <c r="AB208" s="687">
        <v>0</v>
      </c>
      <c r="AC208" s="687">
        <v>0</v>
      </c>
      <c r="AD208" s="687">
        <v>0</v>
      </c>
      <c r="AE208" s="734"/>
      <c r="AF208" s="734"/>
      <c r="AG208" s="734"/>
      <c r="AH208" s="734"/>
      <c r="AI208" s="734"/>
      <c r="AJ208" s="734"/>
      <c r="AK208" s="734"/>
      <c r="AL208" s="734"/>
      <c r="AM208" s="734"/>
      <c r="AN208" s="734"/>
      <c r="AO208" s="734"/>
      <c r="AP208" s="734"/>
      <c r="AQ208" s="734"/>
      <c r="AR208" s="734"/>
      <c r="AS208" s="734"/>
      <c r="AT208" s="734"/>
      <c r="AU208" s="734"/>
      <c r="AV208" s="734"/>
      <c r="AW208" s="734"/>
      <c r="AX208" s="734"/>
      <c r="AY208" s="734"/>
      <c r="AZ208" s="734"/>
      <c r="BA208" s="734"/>
      <c r="BB208" s="734"/>
      <c r="BC208" s="734"/>
      <c r="BD208" s="734"/>
      <c r="BE208" s="734"/>
      <c r="BF208" s="734"/>
      <c r="BG208" s="734"/>
      <c r="BH208" s="734"/>
      <c r="BI208" s="734"/>
      <c r="BJ208" s="734"/>
      <c r="BK208" s="734"/>
      <c r="BL208" s="734"/>
      <c r="BM208" s="734"/>
      <c r="BN208" s="734"/>
      <c r="BO208" s="734"/>
      <c r="BP208" s="734"/>
      <c r="BQ208" s="734"/>
      <c r="BR208" s="734"/>
      <c r="BS208" s="734"/>
      <c r="BT208" s="734"/>
      <c r="BU208" s="734"/>
      <c r="BV208" s="734"/>
      <c r="BW208" s="734"/>
      <c r="BX208" s="734"/>
      <c r="BY208" s="734"/>
      <c r="BZ208" s="734"/>
      <c r="CA208" s="734"/>
    </row>
    <row r="209" spans="1:79" s="452" customFormat="1" hidden="1" outlineLevel="1" x14ac:dyDescent="0.35">
      <c r="A209" s="580"/>
      <c r="B209" s="580"/>
      <c r="C209" s="580"/>
      <c r="D209" s="580"/>
      <c r="E209" s="580"/>
      <c r="F209" s="672" t="s">
        <v>880</v>
      </c>
      <c r="G209" s="735"/>
      <c r="H209" s="735"/>
      <c r="I209" s="735"/>
      <c r="J209" s="735"/>
      <c r="K209" s="735"/>
      <c r="L209" s="735"/>
      <c r="M209" s="735"/>
      <c r="N209" s="735"/>
      <c r="O209" s="735"/>
      <c r="P209" s="732"/>
      <c r="Q209" s="732"/>
      <c r="R209" s="732"/>
      <c r="S209" s="687">
        <v>0</v>
      </c>
      <c r="T209" s="687">
        <v>0</v>
      </c>
      <c r="U209" s="687">
        <v>0</v>
      </c>
      <c r="V209" s="687">
        <v>0</v>
      </c>
      <c r="W209" s="687">
        <v>0</v>
      </c>
      <c r="X209" s="687">
        <v>0</v>
      </c>
      <c r="Y209" s="687">
        <v>0</v>
      </c>
      <c r="Z209" s="687">
        <v>0</v>
      </c>
      <c r="AA209" s="687">
        <v>0</v>
      </c>
      <c r="AB209" s="687">
        <v>0</v>
      </c>
      <c r="AC209" s="687">
        <v>0</v>
      </c>
      <c r="AD209" s="687">
        <v>0</v>
      </c>
      <c r="AE209" s="734"/>
      <c r="AF209" s="734"/>
      <c r="AG209" s="734"/>
      <c r="AH209" s="734"/>
      <c r="AI209" s="734"/>
      <c r="AJ209" s="734"/>
      <c r="AK209" s="734"/>
      <c r="AL209" s="734"/>
      <c r="AM209" s="734"/>
      <c r="AN209" s="734"/>
      <c r="AO209" s="734"/>
      <c r="AP209" s="734"/>
      <c r="AQ209" s="734"/>
      <c r="AR209" s="734"/>
      <c r="AS209" s="734"/>
      <c r="AT209" s="734"/>
      <c r="AU209" s="734"/>
      <c r="AV209" s="734"/>
      <c r="AW209" s="734"/>
      <c r="AX209" s="734"/>
      <c r="AY209" s="734"/>
      <c r="AZ209" s="734"/>
      <c r="BA209" s="734"/>
      <c r="BB209" s="734"/>
      <c r="BC209" s="734"/>
      <c r="BD209" s="734"/>
      <c r="BE209" s="734"/>
      <c r="BF209" s="734"/>
      <c r="BG209" s="734"/>
      <c r="BH209" s="734"/>
      <c r="BI209" s="734"/>
      <c r="BJ209" s="734"/>
      <c r="BK209" s="734"/>
      <c r="BL209" s="734"/>
      <c r="BM209" s="734"/>
      <c r="BN209" s="734"/>
      <c r="BO209" s="734"/>
      <c r="BP209" s="734"/>
      <c r="BQ209" s="734"/>
      <c r="BR209" s="734"/>
      <c r="BS209" s="734"/>
      <c r="BT209" s="734"/>
      <c r="BU209" s="734"/>
      <c r="BV209" s="734"/>
      <c r="BW209" s="734"/>
      <c r="BX209" s="734"/>
      <c r="BY209" s="734"/>
      <c r="BZ209" s="734"/>
      <c r="CA209" s="734"/>
    </row>
    <row r="210" spans="1:79" s="452" customFormat="1" hidden="1" outlineLevel="1" x14ac:dyDescent="0.35">
      <c r="A210" s="80"/>
      <c r="B210" s="80"/>
      <c r="C210" s="80"/>
      <c r="D210" s="80"/>
      <c r="E210" s="80"/>
      <c r="F210" s="672" t="s">
        <v>609</v>
      </c>
      <c r="G210" s="735"/>
      <c r="H210" s="735"/>
      <c r="I210" s="735"/>
      <c r="J210" s="735"/>
      <c r="K210" s="735"/>
      <c r="L210" s="735"/>
      <c r="M210" s="735"/>
      <c r="N210" s="735"/>
      <c r="O210" s="735"/>
      <c r="P210" s="732"/>
      <c r="Q210" s="732"/>
      <c r="R210" s="732"/>
      <c r="S210" s="683">
        <v>0</v>
      </c>
      <c r="T210" s="683">
        <v>656.97</v>
      </c>
      <c r="U210" s="683">
        <v>345</v>
      </c>
      <c r="V210" s="683">
        <v>448.25</v>
      </c>
      <c r="W210" s="683">
        <v>0</v>
      </c>
      <c r="X210" s="683">
        <v>0</v>
      </c>
      <c r="Y210" s="683">
        <v>0</v>
      </c>
      <c r="Z210" s="683">
        <v>615.73</v>
      </c>
      <c r="AA210" s="683">
        <v>89</v>
      </c>
      <c r="AB210" s="683">
        <v>1747.06</v>
      </c>
      <c r="AC210" s="683">
        <v>164.99</v>
      </c>
      <c r="AD210" s="683">
        <v>0</v>
      </c>
      <c r="AE210" s="734"/>
      <c r="AF210" s="734"/>
      <c r="AG210" s="734"/>
      <c r="AH210" s="734"/>
      <c r="AI210" s="734"/>
      <c r="AJ210" s="734"/>
      <c r="AK210" s="734"/>
      <c r="AL210" s="734"/>
      <c r="AM210" s="734"/>
      <c r="AN210" s="734"/>
      <c r="AO210" s="734"/>
      <c r="AP210" s="734"/>
      <c r="AQ210" s="734"/>
      <c r="AR210" s="734"/>
      <c r="AS210" s="734"/>
      <c r="AT210" s="734"/>
      <c r="AU210" s="734"/>
      <c r="AV210" s="734"/>
      <c r="AW210" s="734"/>
      <c r="AX210" s="734"/>
      <c r="AY210" s="734"/>
      <c r="AZ210" s="734"/>
      <c r="BA210" s="734"/>
      <c r="BB210" s="734"/>
      <c r="BC210" s="734"/>
      <c r="BD210" s="734"/>
      <c r="BE210" s="734"/>
      <c r="BF210" s="734"/>
      <c r="BG210" s="734"/>
      <c r="BH210" s="734"/>
      <c r="BI210" s="734"/>
      <c r="BJ210" s="734"/>
      <c r="BK210" s="734"/>
      <c r="BL210" s="734"/>
      <c r="BM210" s="734"/>
      <c r="BN210" s="734"/>
      <c r="BO210" s="734"/>
      <c r="BP210" s="734"/>
      <c r="BQ210" s="734"/>
      <c r="BR210" s="734"/>
      <c r="BS210" s="734"/>
      <c r="BT210" s="734"/>
      <c r="BU210" s="734"/>
      <c r="BV210" s="734"/>
      <c r="BW210" s="734"/>
      <c r="BX210" s="734"/>
      <c r="BY210" s="734"/>
      <c r="BZ210" s="734"/>
      <c r="CA210" s="734"/>
    </row>
    <row r="211" spans="1:79" s="452" customFormat="1" hidden="1" outlineLevel="1" x14ac:dyDescent="0.35">
      <c r="A211" s="80"/>
      <c r="B211" s="80"/>
      <c r="C211" s="80"/>
      <c r="D211" s="80"/>
      <c r="E211" s="80"/>
      <c r="F211" s="672" t="s">
        <v>610</v>
      </c>
      <c r="G211" s="735"/>
      <c r="H211" s="735"/>
      <c r="I211" s="735"/>
      <c r="J211" s="735"/>
      <c r="K211" s="735"/>
      <c r="L211" s="735"/>
      <c r="M211" s="735"/>
      <c r="N211" s="735"/>
      <c r="O211" s="735"/>
      <c r="P211" s="732"/>
      <c r="Q211" s="732"/>
      <c r="R211" s="732"/>
      <c r="S211" s="683">
        <v>208</v>
      </c>
      <c r="T211" s="683">
        <v>1499</v>
      </c>
      <c r="U211" s="683">
        <v>1699</v>
      </c>
      <c r="V211" s="683">
        <v>1806.49</v>
      </c>
      <c r="W211" s="683">
        <v>2227.06</v>
      </c>
      <c r="X211" s="683">
        <v>1926</v>
      </c>
      <c r="Y211" s="683">
        <v>1921.88</v>
      </c>
      <c r="Z211" s="683">
        <v>1946.87</v>
      </c>
      <c r="AA211" s="683">
        <v>1876.94</v>
      </c>
      <c r="AB211" s="683">
        <v>2924.2</v>
      </c>
      <c r="AC211" s="683">
        <v>2530.27</v>
      </c>
      <c r="AD211" s="683">
        <v>941.27</v>
      </c>
      <c r="AE211" s="734"/>
      <c r="AF211" s="734"/>
      <c r="AG211" s="734"/>
      <c r="AH211" s="734"/>
      <c r="AI211" s="734"/>
      <c r="AJ211" s="734"/>
      <c r="AK211" s="734"/>
      <c r="AL211" s="734"/>
      <c r="AM211" s="734"/>
      <c r="AN211" s="734"/>
      <c r="AO211" s="734"/>
      <c r="AP211" s="734"/>
      <c r="AQ211" s="734"/>
      <c r="AR211" s="734"/>
      <c r="AS211" s="734"/>
      <c r="AT211" s="734"/>
      <c r="AU211" s="734"/>
      <c r="AV211" s="734"/>
      <c r="AW211" s="734"/>
      <c r="AX211" s="734"/>
      <c r="AY211" s="734"/>
      <c r="AZ211" s="734"/>
      <c r="BA211" s="734"/>
      <c r="BB211" s="734"/>
      <c r="BC211" s="734"/>
      <c r="BD211" s="734"/>
      <c r="BE211" s="734"/>
      <c r="BF211" s="734"/>
      <c r="BG211" s="734"/>
      <c r="BH211" s="734"/>
      <c r="BI211" s="734"/>
      <c r="BJ211" s="734"/>
      <c r="BK211" s="734"/>
      <c r="BL211" s="734"/>
      <c r="BM211" s="734"/>
      <c r="BN211" s="734"/>
      <c r="BO211" s="734"/>
      <c r="BP211" s="734"/>
      <c r="BQ211" s="734"/>
      <c r="BR211" s="734"/>
      <c r="BS211" s="734"/>
      <c r="BT211" s="734"/>
      <c r="BU211" s="734"/>
      <c r="BV211" s="734"/>
      <c r="BW211" s="734"/>
      <c r="BX211" s="734"/>
      <c r="BY211" s="734"/>
      <c r="BZ211" s="734"/>
      <c r="CA211" s="734"/>
    </row>
    <row r="212" spans="1:79" s="452" customFormat="1" hidden="1" outlineLevel="1" x14ac:dyDescent="0.35">
      <c r="A212" s="80"/>
      <c r="B212" s="80"/>
      <c r="C212" s="80"/>
      <c r="D212" s="80"/>
      <c r="E212" s="80"/>
      <c r="F212" s="672" t="s">
        <v>611</v>
      </c>
      <c r="G212" s="735"/>
      <c r="H212" s="735"/>
      <c r="I212" s="735"/>
      <c r="J212" s="735"/>
      <c r="K212" s="735"/>
      <c r="L212" s="735"/>
      <c r="M212" s="735"/>
      <c r="N212" s="735"/>
      <c r="O212" s="735"/>
      <c r="P212" s="732"/>
      <c r="Q212" s="732"/>
      <c r="R212" s="732"/>
      <c r="S212" s="683">
        <v>1000</v>
      </c>
      <c r="T212" s="683">
        <v>0</v>
      </c>
      <c r="U212" s="683">
        <v>87.99</v>
      </c>
      <c r="V212" s="683">
        <v>79.900000000000006</v>
      </c>
      <c r="W212" s="683">
        <v>39.950000000000003</v>
      </c>
      <c r="X212" s="683">
        <v>79.95</v>
      </c>
      <c r="Y212" s="683">
        <v>0</v>
      </c>
      <c r="Z212" s="683">
        <v>0</v>
      </c>
      <c r="AA212" s="683">
        <v>55.95</v>
      </c>
      <c r="AB212" s="683">
        <v>0</v>
      </c>
      <c r="AC212" s="683">
        <v>0</v>
      </c>
      <c r="AD212" s="683">
        <v>0</v>
      </c>
      <c r="AE212" s="734"/>
      <c r="AF212" s="734"/>
      <c r="AG212" s="734"/>
      <c r="AH212" s="734"/>
      <c r="AI212" s="734"/>
      <c r="AJ212" s="734"/>
      <c r="AK212" s="734"/>
      <c r="AL212" s="734"/>
      <c r="AM212" s="734"/>
      <c r="AN212" s="734"/>
      <c r="AO212" s="734"/>
      <c r="AP212" s="734"/>
      <c r="AQ212" s="734"/>
      <c r="AR212" s="734"/>
      <c r="AS212" s="734"/>
      <c r="AT212" s="734"/>
      <c r="AU212" s="734"/>
      <c r="AV212" s="734"/>
      <c r="AW212" s="734"/>
      <c r="AX212" s="734"/>
      <c r="AY212" s="734"/>
      <c r="AZ212" s="734"/>
      <c r="BA212" s="734"/>
      <c r="BB212" s="734"/>
      <c r="BC212" s="734"/>
      <c r="BD212" s="734"/>
      <c r="BE212" s="734"/>
      <c r="BF212" s="734"/>
      <c r="BG212" s="734"/>
      <c r="BH212" s="734"/>
      <c r="BI212" s="734"/>
      <c r="BJ212" s="734"/>
      <c r="BK212" s="734"/>
      <c r="BL212" s="734"/>
      <c r="BM212" s="734"/>
      <c r="BN212" s="734"/>
      <c r="BO212" s="734"/>
      <c r="BP212" s="734"/>
      <c r="BQ212" s="734"/>
      <c r="BR212" s="734"/>
      <c r="BS212" s="734"/>
      <c r="BT212" s="734"/>
      <c r="BU212" s="734"/>
      <c r="BV212" s="734"/>
      <c r="BW212" s="734"/>
      <c r="BX212" s="734"/>
      <c r="BY212" s="734"/>
      <c r="BZ212" s="734"/>
      <c r="CA212" s="734"/>
    </row>
    <row r="213" spans="1:79" s="452" customFormat="1" hidden="1" outlineLevel="1" x14ac:dyDescent="0.35">
      <c r="A213" s="580"/>
      <c r="B213" s="580"/>
      <c r="C213" s="580"/>
      <c r="D213" s="580"/>
      <c r="E213" s="580"/>
      <c r="F213" s="672" t="s">
        <v>881</v>
      </c>
      <c r="G213" s="735">
        <v>572.82144060739211</v>
      </c>
      <c r="H213" s="735">
        <v>132.53275000512107</v>
      </c>
      <c r="I213" s="735">
        <v>677.44009155458502</v>
      </c>
      <c r="J213" s="735">
        <v>191.58981301649402</v>
      </c>
      <c r="K213" s="735">
        <v>342.21557837080104</v>
      </c>
      <c r="L213" s="735">
        <v>442.62849636968673</v>
      </c>
      <c r="M213" s="735">
        <v>311.74010484227074</v>
      </c>
      <c r="N213" s="735">
        <v>171.35303728875837</v>
      </c>
      <c r="O213" s="735">
        <v>137.12587307496952</v>
      </c>
      <c r="P213" s="732">
        <v>286.9447470420813</v>
      </c>
      <c r="Q213" s="732">
        <v>159.69403453046968</v>
      </c>
      <c r="R213" s="732">
        <v>24.400123615266235</v>
      </c>
      <c r="S213" s="692">
        <v>0</v>
      </c>
      <c r="T213" s="692">
        <v>0</v>
      </c>
      <c r="U213" s="692">
        <v>0</v>
      </c>
      <c r="V213" s="692">
        <v>0</v>
      </c>
      <c r="W213" s="692">
        <v>0</v>
      </c>
      <c r="X213" s="692">
        <v>0</v>
      </c>
      <c r="Y213" s="692">
        <v>0</v>
      </c>
      <c r="Z213" s="692">
        <v>0</v>
      </c>
      <c r="AA213" s="692">
        <v>0</v>
      </c>
      <c r="AB213" s="692">
        <v>0</v>
      </c>
      <c r="AC213" s="692">
        <v>0</v>
      </c>
      <c r="AD213" s="692">
        <v>0</v>
      </c>
      <c r="AE213" s="734"/>
      <c r="AF213" s="734"/>
      <c r="AG213" s="734"/>
      <c r="AH213" s="734"/>
      <c r="AI213" s="734"/>
      <c r="AJ213" s="734"/>
      <c r="AK213" s="734"/>
      <c r="AL213" s="734"/>
      <c r="AM213" s="734"/>
      <c r="AN213" s="734"/>
      <c r="AO213" s="734"/>
      <c r="AP213" s="734"/>
      <c r="AQ213" s="734"/>
      <c r="AR213" s="734"/>
      <c r="AS213" s="734"/>
      <c r="AT213" s="734"/>
      <c r="AU213" s="734"/>
      <c r="AV213" s="734"/>
      <c r="AW213" s="734"/>
      <c r="AX213" s="734"/>
      <c r="AY213" s="734"/>
      <c r="AZ213" s="734"/>
      <c r="BA213" s="734"/>
      <c r="BB213" s="734"/>
      <c r="BC213" s="734"/>
      <c r="BD213" s="734"/>
      <c r="BE213" s="734"/>
      <c r="BF213" s="734"/>
      <c r="BG213" s="734"/>
      <c r="BH213" s="734"/>
      <c r="BI213" s="734"/>
      <c r="BJ213" s="734"/>
      <c r="BK213" s="734"/>
      <c r="BL213" s="734"/>
      <c r="BM213" s="734"/>
      <c r="BN213" s="734"/>
      <c r="BO213" s="734"/>
      <c r="BP213" s="734"/>
      <c r="BQ213" s="734"/>
      <c r="BR213" s="734"/>
      <c r="BS213" s="734"/>
      <c r="BT213" s="734"/>
      <c r="BU213" s="734"/>
      <c r="BV213" s="734"/>
      <c r="BW213" s="734"/>
      <c r="BX213" s="734"/>
      <c r="BY213" s="734"/>
      <c r="BZ213" s="734"/>
      <c r="CA213" s="734"/>
    </row>
    <row r="214" spans="1:79" s="309" customFormat="1" hidden="1" outlineLevel="1" x14ac:dyDescent="0.35">
      <c r="A214" s="30"/>
      <c r="B214" s="30"/>
      <c r="C214" s="30"/>
      <c r="D214" s="30"/>
      <c r="E214" s="30"/>
      <c r="F214" s="675" t="s">
        <v>612</v>
      </c>
      <c r="G214" s="695">
        <f>SUM(G207:G213)</f>
        <v>572.82144060739211</v>
      </c>
      <c r="H214" s="695">
        <f t="shared" ref="H214:BO214" si="73">SUM(H207:H213)</f>
        <v>132.53275000512107</v>
      </c>
      <c r="I214" s="695">
        <f t="shared" si="73"/>
        <v>677.44009155458502</v>
      </c>
      <c r="J214" s="695">
        <f t="shared" si="73"/>
        <v>191.58981301649402</v>
      </c>
      <c r="K214" s="695">
        <f t="shared" si="73"/>
        <v>342.21557837080104</v>
      </c>
      <c r="L214" s="695">
        <f t="shared" si="73"/>
        <v>442.62849636968673</v>
      </c>
      <c r="M214" s="695">
        <f t="shared" si="73"/>
        <v>311.74010484227074</v>
      </c>
      <c r="N214" s="695">
        <f t="shared" si="73"/>
        <v>171.35303728875837</v>
      </c>
      <c r="O214" s="695">
        <f t="shared" si="73"/>
        <v>137.12587307496952</v>
      </c>
      <c r="P214" s="695">
        <f t="shared" si="73"/>
        <v>286.9447470420813</v>
      </c>
      <c r="Q214" s="695">
        <f t="shared" si="73"/>
        <v>159.69403453046968</v>
      </c>
      <c r="R214" s="695">
        <f t="shared" si="73"/>
        <v>24.400123615266235</v>
      </c>
      <c r="S214" s="695">
        <f t="shared" ref="S214:AA214" si="74">ROUND(SUM(S206:S213),5)</f>
        <v>1208</v>
      </c>
      <c r="T214" s="695">
        <f t="shared" si="74"/>
        <v>2155.9699999999998</v>
      </c>
      <c r="U214" s="695">
        <f t="shared" si="74"/>
        <v>2131.9899999999998</v>
      </c>
      <c r="V214" s="695">
        <f t="shared" si="74"/>
        <v>2334.64</v>
      </c>
      <c r="W214" s="695">
        <f t="shared" si="74"/>
        <v>2267.0100000000002</v>
      </c>
      <c r="X214" s="695">
        <f t="shared" si="74"/>
        <v>2005.95</v>
      </c>
      <c r="Y214" s="695">
        <f t="shared" si="74"/>
        <v>1921.88</v>
      </c>
      <c r="Z214" s="695">
        <f t="shared" si="74"/>
        <v>2562.6</v>
      </c>
      <c r="AA214" s="695">
        <f t="shared" si="74"/>
        <v>2021.89</v>
      </c>
      <c r="AB214" s="695">
        <f>ROUND(SUM(AB206:AB213),5)</f>
        <v>4671.26</v>
      </c>
      <c r="AC214" s="695">
        <f>ROUND(SUM(AC206:AC213),5)</f>
        <v>2695.26</v>
      </c>
      <c r="AD214" s="695">
        <f>ROUND(SUM(AD206:AD213),5)</f>
        <v>941.27</v>
      </c>
      <c r="AE214" s="695">
        <f t="shared" si="73"/>
        <v>0</v>
      </c>
      <c r="AF214" s="695">
        <f t="shared" si="73"/>
        <v>0</v>
      </c>
      <c r="AG214" s="695">
        <f t="shared" si="73"/>
        <v>0</v>
      </c>
      <c r="AH214" s="695">
        <f t="shared" si="73"/>
        <v>0</v>
      </c>
      <c r="AI214" s="695">
        <f t="shared" si="73"/>
        <v>0</v>
      </c>
      <c r="AJ214" s="695">
        <f t="shared" si="73"/>
        <v>0</v>
      </c>
      <c r="AK214" s="695">
        <f t="shared" si="73"/>
        <v>0</v>
      </c>
      <c r="AL214" s="695">
        <f t="shared" si="73"/>
        <v>0</v>
      </c>
      <c r="AM214" s="695">
        <f t="shared" si="73"/>
        <v>0</v>
      </c>
      <c r="AN214" s="695">
        <f t="shared" si="73"/>
        <v>0</v>
      </c>
      <c r="AO214" s="695">
        <f t="shared" si="73"/>
        <v>0</v>
      </c>
      <c r="AP214" s="695">
        <f t="shared" si="73"/>
        <v>0</v>
      </c>
      <c r="AQ214" s="695">
        <f t="shared" si="73"/>
        <v>0</v>
      </c>
      <c r="AR214" s="695">
        <f t="shared" si="73"/>
        <v>0</v>
      </c>
      <c r="AS214" s="695">
        <f t="shared" si="73"/>
        <v>0</v>
      </c>
      <c r="AT214" s="695">
        <f t="shared" si="73"/>
        <v>0</v>
      </c>
      <c r="AU214" s="695">
        <f t="shared" si="73"/>
        <v>0</v>
      </c>
      <c r="AV214" s="695">
        <f t="shared" si="73"/>
        <v>0</v>
      </c>
      <c r="AW214" s="695">
        <f t="shared" si="73"/>
        <v>0</v>
      </c>
      <c r="AX214" s="695">
        <f t="shared" si="73"/>
        <v>0</v>
      </c>
      <c r="AY214" s="695">
        <f t="shared" si="73"/>
        <v>0</v>
      </c>
      <c r="AZ214" s="695">
        <f t="shared" si="73"/>
        <v>0</v>
      </c>
      <c r="BA214" s="695">
        <f t="shared" si="73"/>
        <v>0</v>
      </c>
      <c r="BB214" s="695">
        <f t="shared" si="73"/>
        <v>0</v>
      </c>
      <c r="BC214" s="695">
        <f t="shared" si="73"/>
        <v>0</v>
      </c>
      <c r="BD214" s="695">
        <f t="shared" si="73"/>
        <v>0</v>
      </c>
      <c r="BE214" s="695">
        <f t="shared" si="73"/>
        <v>0</v>
      </c>
      <c r="BF214" s="695">
        <f t="shared" si="73"/>
        <v>0</v>
      </c>
      <c r="BG214" s="695">
        <f t="shared" si="73"/>
        <v>0</v>
      </c>
      <c r="BH214" s="695">
        <f t="shared" si="73"/>
        <v>0</v>
      </c>
      <c r="BI214" s="695">
        <f t="shared" si="73"/>
        <v>0</v>
      </c>
      <c r="BJ214" s="695">
        <f t="shared" si="73"/>
        <v>0</v>
      </c>
      <c r="BK214" s="695">
        <f t="shared" si="73"/>
        <v>0</v>
      </c>
      <c r="BL214" s="695">
        <f t="shared" si="73"/>
        <v>0</v>
      </c>
      <c r="BM214" s="695">
        <f t="shared" si="73"/>
        <v>0</v>
      </c>
      <c r="BN214" s="695">
        <f t="shared" si="73"/>
        <v>0</v>
      </c>
      <c r="BO214" s="695">
        <f t="shared" si="73"/>
        <v>0</v>
      </c>
      <c r="BP214" s="695">
        <f t="shared" ref="BP214:CA214" si="75">SUM(BP207:BP213)</f>
        <v>0</v>
      </c>
      <c r="BQ214" s="695">
        <f t="shared" si="75"/>
        <v>0</v>
      </c>
      <c r="BR214" s="695">
        <f t="shared" si="75"/>
        <v>0</v>
      </c>
      <c r="BS214" s="695">
        <f t="shared" si="75"/>
        <v>0</v>
      </c>
      <c r="BT214" s="695">
        <f t="shared" si="75"/>
        <v>0</v>
      </c>
      <c r="BU214" s="695">
        <f t="shared" si="75"/>
        <v>0</v>
      </c>
      <c r="BV214" s="695">
        <f t="shared" si="75"/>
        <v>0</v>
      </c>
      <c r="BW214" s="695">
        <f t="shared" si="75"/>
        <v>0</v>
      </c>
      <c r="BX214" s="695">
        <f t="shared" si="75"/>
        <v>0</v>
      </c>
      <c r="BY214" s="695">
        <f t="shared" si="75"/>
        <v>0</v>
      </c>
      <c r="BZ214" s="695">
        <f t="shared" si="75"/>
        <v>0</v>
      </c>
      <c r="CA214" s="695">
        <f t="shared" si="75"/>
        <v>0</v>
      </c>
    </row>
    <row r="215" spans="1:79" s="309" customFormat="1" hidden="1" outlineLevel="1" x14ac:dyDescent="0.35">
      <c r="A215" s="575"/>
      <c r="B215" s="575"/>
      <c r="C215" s="575"/>
      <c r="D215" s="575"/>
      <c r="E215" s="575"/>
      <c r="F215" s="671" t="s">
        <v>882</v>
      </c>
      <c r="G215" s="735"/>
      <c r="H215" s="735"/>
      <c r="I215" s="735"/>
      <c r="J215" s="735"/>
      <c r="K215" s="735"/>
      <c r="L215" s="735"/>
      <c r="M215" s="735"/>
      <c r="N215" s="735"/>
      <c r="O215" s="735"/>
      <c r="P215" s="732"/>
      <c r="Q215" s="732"/>
      <c r="R215" s="732"/>
      <c r="S215" s="700">
        <v>0</v>
      </c>
      <c r="T215" s="700">
        <v>0</v>
      </c>
      <c r="U215" s="700">
        <v>0</v>
      </c>
      <c r="V215" s="700">
        <v>0</v>
      </c>
      <c r="W215" s="700">
        <v>0</v>
      </c>
      <c r="X215" s="700">
        <v>0</v>
      </c>
      <c r="Y215" s="700">
        <v>0</v>
      </c>
      <c r="Z215" s="700">
        <v>0</v>
      </c>
      <c r="AA215" s="700">
        <v>0</v>
      </c>
      <c r="AB215" s="700">
        <v>0</v>
      </c>
      <c r="AC215" s="700">
        <v>0</v>
      </c>
      <c r="AD215" s="700">
        <v>0</v>
      </c>
      <c r="AE215" s="734"/>
      <c r="AF215" s="734"/>
      <c r="AG215" s="734"/>
      <c r="AH215" s="734"/>
      <c r="AI215" s="734"/>
      <c r="AJ215" s="734"/>
      <c r="AK215" s="734"/>
      <c r="AL215" s="734"/>
      <c r="AM215" s="734"/>
      <c r="AN215" s="734"/>
      <c r="AO215" s="734"/>
      <c r="AP215" s="734"/>
      <c r="AQ215" s="734"/>
      <c r="AR215" s="734"/>
      <c r="AS215" s="734"/>
      <c r="AT215" s="734"/>
      <c r="AU215" s="734"/>
      <c r="AV215" s="734"/>
      <c r="AW215" s="734"/>
      <c r="AX215" s="734"/>
      <c r="AY215" s="734"/>
      <c r="AZ215" s="734"/>
      <c r="BA215" s="734"/>
      <c r="BB215" s="734"/>
      <c r="BC215" s="734"/>
      <c r="BD215" s="734"/>
      <c r="BE215" s="734"/>
      <c r="BF215" s="734"/>
      <c r="BG215" s="734"/>
      <c r="BH215" s="734"/>
      <c r="BI215" s="734"/>
      <c r="BJ215" s="734"/>
      <c r="BK215" s="734"/>
      <c r="BL215" s="734"/>
      <c r="BM215" s="734"/>
      <c r="BN215" s="734"/>
      <c r="BO215" s="734"/>
      <c r="BP215" s="734"/>
      <c r="BQ215" s="734"/>
      <c r="BR215" s="734"/>
      <c r="BS215" s="734"/>
      <c r="BT215" s="734"/>
      <c r="BU215" s="734"/>
      <c r="BV215" s="734"/>
      <c r="BW215" s="734"/>
      <c r="BX215" s="734"/>
      <c r="BY215" s="734"/>
      <c r="BZ215" s="734"/>
      <c r="CA215" s="734"/>
    </row>
    <row r="216" spans="1:79" hidden="1" outlineLevel="1" x14ac:dyDescent="0.35">
      <c r="F216" s="674" t="s">
        <v>595</v>
      </c>
      <c r="G216" s="735"/>
      <c r="H216" s="735"/>
      <c r="I216" s="735"/>
      <c r="J216" s="735"/>
      <c r="K216" s="735"/>
      <c r="L216" s="735"/>
      <c r="M216" s="735">
        <v>44.781508495617182</v>
      </c>
      <c r="N216" s="735"/>
      <c r="O216" s="735">
        <v>29.37981361478559</v>
      </c>
      <c r="P216" s="732">
        <v>25.582447790158994</v>
      </c>
      <c r="Q216" s="732"/>
      <c r="R216" s="732"/>
      <c r="S216" s="683">
        <v>0</v>
      </c>
      <c r="T216" s="683">
        <v>904.83</v>
      </c>
      <c r="U216" s="683">
        <v>2449.9899999999998</v>
      </c>
      <c r="V216" s="683">
        <v>595</v>
      </c>
      <c r="W216" s="683">
        <v>0</v>
      </c>
      <c r="X216" s="683">
        <v>0</v>
      </c>
      <c r="Y216" s="683">
        <v>0</v>
      </c>
      <c r="Z216" s="683">
        <v>0</v>
      </c>
      <c r="AA216" s="683">
        <v>0</v>
      </c>
      <c r="AB216" s="683">
        <v>0</v>
      </c>
      <c r="AC216" s="683">
        <v>0</v>
      </c>
      <c r="AD216" s="683">
        <v>0</v>
      </c>
      <c r="AE216" s="734"/>
      <c r="AF216" s="734"/>
      <c r="AG216" s="734"/>
      <c r="AH216" s="734"/>
      <c r="AI216" s="734"/>
      <c r="AJ216" s="734"/>
      <c r="AK216" s="734"/>
      <c r="AL216" s="734"/>
      <c r="AM216" s="734"/>
      <c r="AN216" s="734"/>
      <c r="AO216" s="734"/>
      <c r="AP216" s="734"/>
      <c r="AQ216" s="734"/>
      <c r="AR216" s="734"/>
      <c r="AS216" s="734"/>
      <c r="AT216" s="734"/>
      <c r="AU216" s="734"/>
      <c r="AV216" s="734"/>
      <c r="AW216" s="734"/>
      <c r="AX216" s="734"/>
      <c r="AY216" s="734"/>
      <c r="AZ216" s="734"/>
      <c r="BA216" s="734"/>
      <c r="BB216" s="734"/>
      <c r="BC216" s="734"/>
      <c r="BD216" s="734"/>
      <c r="BE216" s="734"/>
      <c r="BF216" s="734"/>
      <c r="BG216" s="734"/>
      <c r="BH216" s="734"/>
      <c r="BI216" s="734"/>
      <c r="BJ216" s="734"/>
      <c r="BK216" s="734"/>
      <c r="BL216" s="734"/>
      <c r="BM216" s="734"/>
      <c r="BN216" s="734"/>
      <c r="BO216" s="734"/>
      <c r="BP216" s="734"/>
      <c r="BQ216" s="734"/>
      <c r="BR216" s="734"/>
      <c r="BS216" s="734"/>
      <c r="BT216" s="734"/>
      <c r="BU216" s="734"/>
      <c r="BV216" s="734"/>
      <c r="BW216" s="734"/>
      <c r="BX216" s="734"/>
      <c r="BY216" s="734"/>
      <c r="BZ216" s="734"/>
      <c r="CA216" s="734"/>
    </row>
    <row r="217" spans="1:79" hidden="1" outlineLevel="1" x14ac:dyDescent="0.35">
      <c r="F217" s="674" t="s">
        <v>596</v>
      </c>
      <c r="G217" s="735">
        <v>14.766116777832053</v>
      </c>
      <c r="H217" s="735">
        <v>20.615106084027683</v>
      </c>
      <c r="I217" s="735">
        <v>3.2282463169838524</v>
      </c>
      <c r="J217" s="735">
        <v>3.2246825831624077</v>
      </c>
      <c r="K217" s="735">
        <v>149.13577183230689</v>
      </c>
      <c r="L217" s="735"/>
      <c r="M217" s="735"/>
      <c r="N217" s="735">
        <v>4.1669041703266858</v>
      </c>
      <c r="O217" s="735"/>
      <c r="P217" s="732">
        <v>43.517974931572823</v>
      </c>
      <c r="Q217" s="732"/>
      <c r="R217" s="732"/>
      <c r="S217" s="683">
        <v>0</v>
      </c>
      <c r="T217" s="683">
        <v>0</v>
      </c>
      <c r="U217" s="683">
        <v>0</v>
      </c>
      <c r="V217" s="683">
        <v>0</v>
      </c>
      <c r="W217" s="683">
        <v>89.2</v>
      </c>
      <c r="X217" s="683">
        <v>11.98</v>
      </c>
      <c r="Y217" s="683">
        <v>0</v>
      </c>
      <c r="Z217" s="683">
        <v>0</v>
      </c>
      <c r="AA217" s="683">
        <v>45</v>
      </c>
      <c r="AB217" s="683">
        <v>479.4</v>
      </c>
      <c r="AC217" s="683">
        <v>0</v>
      </c>
      <c r="AD217" s="683">
        <v>0</v>
      </c>
      <c r="AE217" s="734"/>
      <c r="AF217" s="734"/>
      <c r="AG217" s="734"/>
      <c r="AH217" s="734"/>
      <c r="AI217" s="734"/>
      <c r="AJ217" s="734"/>
      <c r="AK217" s="734"/>
      <c r="AL217" s="734"/>
      <c r="AM217" s="734"/>
      <c r="AN217" s="734"/>
      <c r="AO217" s="734"/>
      <c r="AP217" s="734"/>
      <c r="AQ217" s="734"/>
      <c r="AR217" s="734"/>
      <c r="AS217" s="734"/>
      <c r="AT217" s="734"/>
      <c r="AU217" s="734"/>
      <c r="AV217" s="734"/>
      <c r="AW217" s="734"/>
      <c r="AX217" s="734"/>
      <c r="AY217" s="734"/>
      <c r="AZ217" s="734"/>
      <c r="BA217" s="734"/>
      <c r="BB217" s="734"/>
      <c r="BC217" s="734"/>
      <c r="BD217" s="734"/>
      <c r="BE217" s="734"/>
      <c r="BF217" s="734"/>
      <c r="BG217" s="734"/>
      <c r="BH217" s="734"/>
      <c r="BI217" s="734"/>
      <c r="BJ217" s="734"/>
      <c r="BK217" s="734"/>
      <c r="BL217" s="734"/>
      <c r="BM217" s="734"/>
      <c r="BN217" s="734"/>
      <c r="BO217" s="734"/>
      <c r="BP217" s="734"/>
      <c r="BQ217" s="734"/>
      <c r="BR217" s="734"/>
      <c r="BS217" s="734"/>
      <c r="BT217" s="734"/>
      <c r="BU217" s="734"/>
      <c r="BV217" s="734"/>
      <c r="BW217" s="734"/>
      <c r="BX217" s="734"/>
      <c r="BY217" s="734"/>
      <c r="BZ217" s="734"/>
      <c r="CA217" s="734"/>
    </row>
    <row r="218" spans="1:79" hidden="1" outlineLevel="1" x14ac:dyDescent="0.35">
      <c r="A218" s="574"/>
      <c r="B218" s="574"/>
      <c r="C218" s="574"/>
      <c r="D218" s="574"/>
      <c r="E218" s="574"/>
      <c r="F218" s="671" t="s">
        <v>883</v>
      </c>
      <c r="G218" s="735"/>
      <c r="H218" s="735"/>
      <c r="I218" s="735"/>
      <c r="J218" s="735"/>
      <c r="K218" s="735"/>
      <c r="L218" s="735"/>
      <c r="M218" s="735"/>
      <c r="N218" s="735"/>
      <c r="O218" s="735"/>
      <c r="P218" s="732"/>
      <c r="Q218" s="732"/>
      <c r="R218" s="732"/>
      <c r="S218" s="683">
        <v>0</v>
      </c>
      <c r="T218" s="683">
        <v>0</v>
      </c>
      <c r="U218" s="683">
        <v>0</v>
      </c>
      <c r="V218" s="683">
        <v>0</v>
      </c>
      <c r="W218" s="683">
        <v>0</v>
      </c>
      <c r="X218" s="683">
        <v>0</v>
      </c>
      <c r="Y218" s="683">
        <v>0</v>
      </c>
      <c r="Z218" s="683">
        <v>0</v>
      </c>
      <c r="AA218" s="683">
        <v>0</v>
      </c>
      <c r="AB218" s="683">
        <v>0</v>
      </c>
      <c r="AC218" s="683">
        <v>0</v>
      </c>
      <c r="AD218" s="683">
        <v>0</v>
      </c>
      <c r="AE218" s="734"/>
      <c r="AF218" s="734"/>
      <c r="AG218" s="734"/>
      <c r="AH218" s="734"/>
      <c r="AI218" s="734"/>
      <c r="AJ218" s="734"/>
      <c r="AK218" s="734"/>
      <c r="AL218" s="734"/>
      <c r="AM218" s="734"/>
      <c r="AN218" s="734"/>
      <c r="AO218" s="734"/>
      <c r="AP218" s="734"/>
      <c r="AQ218" s="734"/>
      <c r="AR218" s="734"/>
      <c r="AS218" s="734"/>
      <c r="AT218" s="734"/>
      <c r="AU218" s="734"/>
      <c r="AV218" s="734"/>
      <c r="AW218" s="734"/>
      <c r="AX218" s="734"/>
      <c r="AY218" s="734"/>
      <c r="AZ218" s="734"/>
      <c r="BA218" s="734"/>
      <c r="BB218" s="734"/>
      <c r="BC218" s="734"/>
      <c r="BD218" s="734"/>
      <c r="BE218" s="734"/>
      <c r="BF218" s="734"/>
      <c r="BG218" s="734"/>
      <c r="BH218" s="734"/>
      <c r="BI218" s="734"/>
      <c r="BJ218" s="734"/>
      <c r="BK218" s="734"/>
      <c r="BL218" s="734"/>
      <c r="BM218" s="734"/>
      <c r="BN218" s="734"/>
      <c r="BO218" s="734"/>
      <c r="BP218" s="734"/>
      <c r="BQ218" s="734"/>
      <c r="BR218" s="734"/>
      <c r="BS218" s="734"/>
      <c r="BT218" s="734"/>
      <c r="BU218" s="734"/>
      <c r="BV218" s="734"/>
      <c r="BW218" s="734"/>
      <c r="BX218" s="734"/>
      <c r="BY218" s="734"/>
      <c r="BZ218" s="734"/>
      <c r="CA218" s="734"/>
    </row>
    <row r="219" spans="1:79" hidden="1" outlineLevel="1" x14ac:dyDescent="0.35">
      <c r="A219" s="709"/>
      <c r="B219" s="709"/>
      <c r="C219" s="709"/>
      <c r="D219" s="709"/>
      <c r="E219" s="709"/>
      <c r="F219" s="717" t="s">
        <v>766</v>
      </c>
      <c r="G219" s="750"/>
      <c r="H219" s="750"/>
      <c r="I219" s="750"/>
      <c r="J219" s="750"/>
      <c r="K219" s="750"/>
      <c r="L219" s="750"/>
      <c r="M219" s="750"/>
      <c r="N219" s="750"/>
      <c r="O219" s="750"/>
      <c r="P219" s="751"/>
      <c r="Q219" s="751"/>
      <c r="R219" s="751"/>
      <c r="S219" s="720"/>
      <c r="T219" s="720"/>
      <c r="U219" s="720"/>
      <c r="V219" s="720"/>
      <c r="W219" s="720"/>
      <c r="X219" s="720"/>
      <c r="Y219" s="720"/>
      <c r="Z219" s="720"/>
      <c r="AA219" s="720"/>
      <c r="AB219" s="720"/>
      <c r="AC219" s="720"/>
      <c r="AD219" s="720"/>
      <c r="AE219" s="753"/>
      <c r="AF219" s="753"/>
      <c r="AG219" s="753"/>
      <c r="AH219" s="753"/>
      <c r="AI219" s="753"/>
      <c r="AJ219" s="753"/>
      <c r="AK219" s="753"/>
      <c r="AL219" s="753"/>
      <c r="AM219" s="753"/>
      <c r="AN219" s="753"/>
      <c r="AO219" s="753"/>
      <c r="AP219" s="753"/>
      <c r="AQ219" s="753"/>
      <c r="AR219" s="753"/>
      <c r="AS219" s="753"/>
      <c r="AT219" s="753"/>
      <c r="AU219" s="753"/>
      <c r="AV219" s="753"/>
      <c r="AW219" s="753"/>
      <c r="AX219" s="753"/>
      <c r="AY219" s="753"/>
      <c r="AZ219" s="753"/>
      <c r="BA219" s="753"/>
      <c r="BB219" s="753"/>
      <c r="BC219" s="753"/>
      <c r="BD219" s="753"/>
      <c r="BE219" s="753"/>
      <c r="BF219" s="753"/>
      <c r="BG219" s="753"/>
      <c r="BH219" s="753"/>
      <c r="BI219" s="753"/>
      <c r="BJ219" s="753"/>
      <c r="BK219" s="753"/>
      <c r="BL219" s="753"/>
      <c r="BM219" s="753"/>
      <c r="BN219" s="753"/>
      <c r="BO219" s="753"/>
      <c r="BP219" s="753"/>
      <c r="BQ219" s="753"/>
      <c r="BR219" s="753"/>
      <c r="BS219" s="753"/>
      <c r="BT219" s="753"/>
      <c r="BU219" s="753"/>
      <c r="BV219" s="753"/>
      <c r="BW219" s="753"/>
      <c r="BX219" s="753"/>
      <c r="BY219" s="753"/>
      <c r="BZ219" s="753"/>
      <c r="CA219" s="753"/>
    </row>
    <row r="220" spans="1:79" hidden="1" outlineLevel="1" x14ac:dyDescent="0.35">
      <c r="A220" s="574"/>
      <c r="B220" s="574"/>
      <c r="C220" s="574"/>
      <c r="D220" s="574"/>
      <c r="E220" s="574"/>
      <c r="F220" s="672" t="s">
        <v>884</v>
      </c>
      <c r="G220" s="735"/>
      <c r="H220" s="735"/>
      <c r="I220" s="735"/>
      <c r="J220" s="735"/>
      <c r="K220" s="735"/>
      <c r="L220" s="735"/>
      <c r="M220" s="735"/>
      <c r="N220" s="735"/>
      <c r="O220" s="735"/>
      <c r="P220" s="732"/>
      <c r="Q220" s="732"/>
      <c r="R220" s="732"/>
      <c r="S220" s="683">
        <v>0</v>
      </c>
      <c r="T220" s="683">
        <v>0</v>
      </c>
      <c r="U220" s="683">
        <v>0</v>
      </c>
      <c r="V220" s="683">
        <v>0</v>
      </c>
      <c r="W220" s="683">
        <v>0</v>
      </c>
      <c r="X220" s="683">
        <v>0</v>
      </c>
      <c r="Y220" s="683">
        <v>0</v>
      </c>
      <c r="Z220" s="683">
        <v>0</v>
      </c>
      <c r="AA220" s="683">
        <v>0</v>
      </c>
      <c r="AB220" s="683">
        <v>0</v>
      </c>
      <c r="AC220" s="683">
        <v>0</v>
      </c>
      <c r="AD220" s="683">
        <v>0</v>
      </c>
      <c r="AE220" s="734"/>
      <c r="AF220" s="734"/>
      <c r="AG220" s="734"/>
      <c r="AH220" s="734"/>
      <c r="AI220" s="734"/>
      <c r="AJ220" s="734"/>
      <c r="AK220" s="734"/>
      <c r="AL220" s="734"/>
      <c r="AM220" s="734"/>
      <c r="AN220" s="734"/>
      <c r="AO220" s="734"/>
      <c r="AP220" s="734"/>
      <c r="AQ220" s="734"/>
      <c r="AR220" s="734"/>
      <c r="AS220" s="734"/>
      <c r="AT220" s="734"/>
      <c r="AU220" s="734"/>
      <c r="AV220" s="734"/>
      <c r="AW220" s="734"/>
      <c r="AX220" s="734"/>
      <c r="AY220" s="734"/>
      <c r="AZ220" s="734"/>
      <c r="BA220" s="734"/>
      <c r="BB220" s="734"/>
      <c r="BC220" s="734"/>
      <c r="BD220" s="734"/>
      <c r="BE220" s="734"/>
      <c r="BF220" s="734"/>
      <c r="BG220" s="734"/>
      <c r="BH220" s="734"/>
      <c r="BI220" s="734"/>
      <c r="BJ220" s="734"/>
      <c r="BK220" s="734"/>
      <c r="BL220" s="734"/>
      <c r="BM220" s="734"/>
      <c r="BN220" s="734"/>
      <c r="BO220" s="734"/>
      <c r="BP220" s="734"/>
      <c r="BQ220" s="734"/>
      <c r="BR220" s="734"/>
      <c r="BS220" s="734"/>
      <c r="BT220" s="734"/>
      <c r="BU220" s="734"/>
      <c r="BV220" s="734"/>
      <c r="BW220" s="734"/>
      <c r="BX220" s="734"/>
      <c r="BY220" s="734"/>
      <c r="BZ220" s="734"/>
      <c r="CA220" s="734"/>
    </row>
    <row r="221" spans="1:79" hidden="1" outlineLevel="1" x14ac:dyDescent="0.35">
      <c r="A221" s="574"/>
      <c r="B221" s="574"/>
      <c r="C221" s="574"/>
      <c r="D221" s="574"/>
      <c r="E221" s="574"/>
      <c r="F221" s="672" t="s">
        <v>885</v>
      </c>
      <c r="G221" s="735"/>
      <c r="H221" s="735"/>
      <c r="I221" s="735"/>
      <c r="J221" s="735"/>
      <c r="K221" s="735"/>
      <c r="L221" s="735"/>
      <c r="M221" s="735"/>
      <c r="N221" s="735"/>
      <c r="O221" s="735"/>
      <c r="P221" s="732"/>
      <c r="Q221" s="732"/>
      <c r="R221" s="732"/>
      <c r="S221" s="683">
        <v>0</v>
      </c>
      <c r="T221" s="683">
        <v>0</v>
      </c>
      <c r="U221" s="683">
        <v>0</v>
      </c>
      <c r="V221" s="683">
        <v>0</v>
      </c>
      <c r="W221" s="683">
        <v>0</v>
      </c>
      <c r="X221" s="683">
        <v>0</v>
      </c>
      <c r="Y221" s="683">
        <v>0</v>
      </c>
      <c r="Z221" s="683">
        <v>0</v>
      </c>
      <c r="AA221" s="683">
        <v>0</v>
      </c>
      <c r="AB221" s="683">
        <v>0</v>
      </c>
      <c r="AC221" s="683">
        <v>0</v>
      </c>
      <c r="AD221" s="683">
        <v>0</v>
      </c>
      <c r="AE221" s="734"/>
      <c r="AF221" s="734"/>
      <c r="AG221" s="734"/>
      <c r="AH221" s="734"/>
      <c r="AI221" s="734"/>
      <c r="AJ221" s="734"/>
      <c r="AK221" s="734"/>
      <c r="AL221" s="734"/>
      <c r="AM221" s="734"/>
      <c r="AN221" s="734"/>
      <c r="AO221" s="734"/>
      <c r="AP221" s="734"/>
      <c r="AQ221" s="734"/>
      <c r="AR221" s="734"/>
      <c r="AS221" s="734"/>
      <c r="AT221" s="734"/>
      <c r="AU221" s="734"/>
      <c r="AV221" s="734"/>
      <c r="AW221" s="734"/>
      <c r="AX221" s="734"/>
      <c r="AY221" s="734"/>
      <c r="AZ221" s="734"/>
      <c r="BA221" s="734"/>
      <c r="BB221" s="734"/>
      <c r="BC221" s="734"/>
      <c r="BD221" s="734"/>
      <c r="BE221" s="734"/>
      <c r="BF221" s="734"/>
      <c r="BG221" s="734"/>
      <c r="BH221" s="734"/>
      <c r="BI221" s="734"/>
      <c r="BJ221" s="734"/>
      <c r="BK221" s="734"/>
      <c r="BL221" s="734"/>
      <c r="BM221" s="734"/>
      <c r="BN221" s="734"/>
      <c r="BO221" s="734"/>
      <c r="BP221" s="734"/>
      <c r="BQ221" s="734"/>
      <c r="BR221" s="734"/>
      <c r="BS221" s="734"/>
      <c r="BT221" s="734"/>
      <c r="BU221" s="734"/>
      <c r="BV221" s="734"/>
      <c r="BW221" s="734"/>
      <c r="BX221" s="734"/>
      <c r="BY221" s="734"/>
      <c r="BZ221" s="734"/>
      <c r="CA221" s="734"/>
    </row>
    <row r="222" spans="1:79" hidden="1" outlineLevel="1" x14ac:dyDescent="0.35">
      <c r="A222" s="574"/>
      <c r="B222" s="574"/>
      <c r="C222" s="574"/>
      <c r="D222" s="574"/>
      <c r="E222" s="574"/>
      <c r="F222" s="672" t="s">
        <v>886</v>
      </c>
      <c r="G222" s="735"/>
      <c r="H222" s="735"/>
      <c r="I222" s="735"/>
      <c r="J222" s="735"/>
      <c r="K222" s="735"/>
      <c r="L222" s="735"/>
      <c r="M222" s="735"/>
      <c r="N222" s="735"/>
      <c r="O222" s="735"/>
      <c r="P222" s="732"/>
      <c r="Q222" s="732"/>
      <c r="R222" s="732"/>
      <c r="S222" s="683">
        <v>0</v>
      </c>
      <c r="T222" s="683">
        <v>0</v>
      </c>
      <c r="U222" s="683">
        <v>0</v>
      </c>
      <c r="V222" s="683">
        <v>0</v>
      </c>
      <c r="W222" s="683">
        <v>0</v>
      </c>
      <c r="X222" s="683">
        <v>0</v>
      </c>
      <c r="Y222" s="683">
        <v>0</v>
      </c>
      <c r="Z222" s="683">
        <v>0</v>
      </c>
      <c r="AA222" s="683">
        <v>0</v>
      </c>
      <c r="AB222" s="683">
        <v>0</v>
      </c>
      <c r="AC222" s="683">
        <v>0</v>
      </c>
      <c r="AD222" s="683">
        <v>0</v>
      </c>
      <c r="AE222" s="734"/>
      <c r="AF222" s="734"/>
      <c r="AG222" s="734"/>
      <c r="AH222" s="734"/>
      <c r="AI222" s="734"/>
      <c r="AJ222" s="734"/>
      <c r="AK222" s="734"/>
      <c r="AL222" s="734"/>
      <c r="AM222" s="734"/>
      <c r="AN222" s="734"/>
      <c r="AO222" s="734"/>
      <c r="AP222" s="734"/>
      <c r="AQ222" s="734"/>
      <c r="AR222" s="734"/>
      <c r="AS222" s="734"/>
      <c r="AT222" s="734"/>
      <c r="AU222" s="734"/>
      <c r="AV222" s="734"/>
      <c r="AW222" s="734"/>
      <c r="AX222" s="734"/>
      <c r="AY222" s="734"/>
      <c r="AZ222" s="734"/>
      <c r="BA222" s="734"/>
      <c r="BB222" s="734"/>
      <c r="BC222" s="734"/>
      <c r="BD222" s="734"/>
      <c r="BE222" s="734"/>
      <c r="BF222" s="734"/>
      <c r="BG222" s="734"/>
      <c r="BH222" s="734"/>
      <c r="BI222" s="734"/>
      <c r="BJ222" s="734"/>
      <c r="BK222" s="734"/>
      <c r="BL222" s="734"/>
      <c r="BM222" s="734"/>
      <c r="BN222" s="734"/>
      <c r="BO222" s="734"/>
      <c r="BP222" s="734"/>
      <c r="BQ222" s="734"/>
      <c r="BR222" s="734"/>
      <c r="BS222" s="734"/>
      <c r="BT222" s="734"/>
      <c r="BU222" s="734"/>
      <c r="BV222" s="734"/>
      <c r="BW222" s="734"/>
      <c r="BX222" s="734"/>
      <c r="BY222" s="734"/>
      <c r="BZ222" s="734"/>
      <c r="CA222" s="734"/>
    </row>
    <row r="223" spans="1:79" hidden="1" outlineLevel="1" x14ac:dyDescent="0.35">
      <c r="A223" s="574"/>
      <c r="B223" s="574"/>
      <c r="C223" s="574"/>
      <c r="D223" s="574"/>
      <c r="E223" s="574"/>
      <c r="F223" s="672" t="s">
        <v>664</v>
      </c>
      <c r="G223" s="735"/>
      <c r="H223" s="735"/>
      <c r="I223" s="735"/>
      <c r="J223" s="735"/>
      <c r="K223" s="735"/>
      <c r="L223" s="735"/>
      <c r="M223" s="735"/>
      <c r="N223" s="735"/>
      <c r="O223" s="735"/>
      <c r="P223" s="732"/>
      <c r="Q223" s="732"/>
      <c r="R223" s="732"/>
      <c r="S223" s="683">
        <v>0</v>
      </c>
      <c r="T223" s="683">
        <v>0</v>
      </c>
      <c r="U223" s="683">
        <v>0</v>
      </c>
      <c r="V223" s="683">
        <v>0</v>
      </c>
      <c r="W223" s="683">
        <v>0</v>
      </c>
      <c r="X223" s="683">
        <v>0</v>
      </c>
      <c r="Y223" s="683">
        <v>0</v>
      </c>
      <c r="Z223" s="683">
        <v>0</v>
      </c>
      <c r="AA223" s="683">
        <v>0</v>
      </c>
      <c r="AB223" s="683">
        <v>0</v>
      </c>
      <c r="AC223" s="683">
        <v>0</v>
      </c>
      <c r="AD223" s="683">
        <v>0</v>
      </c>
      <c r="AE223" s="734"/>
      <c r="AF223" s="734"/>
      <c r="AG223" s="734"/>
      <c r="AH223" s="734"/>
      <c r="AI223" s="734"/>
      <c r="AJ223" s="734"/>
      <c r="AK223" s="734"/>
      <c r="AL223" s="734"/>
      <c r="AM223" s="734"/>
      <c r="AN223" s="734"/>
      <c r="AO223" s="734"/>
      <c r="AP223" s="734"/>
      <c r="AQ223" s="734"/>
      <c r="AR223" s="734"/>
      <c r="AS223" s="734"/>
      <c r="AT223" s="734"/>
      <c r="AU223" s="734"/>
      <c r="AV223" s="734"/>
      <c r="AW223" s="734"/>
      <c r="AX223" s="734"/>
      <c r="AY223" s="734"/>
      <c r="AZ223" s="734"/>
      <c r="BA223" s="734"/>
      <c r="BB223" s="734"/>
      <c r="BC223" s="734"/>
      <c r="BD223" s="734"/>
      <c r="BE223" s="734"/>
      <c r="BF223" s="734"/>
      <c r="BG223" s="734"/>
      <c r="BH223" s="734"/>
      <c r="BI223" s="734"/>
      <c r="BJ223" s="734"/>
      <c r="BK223" s="734"/>
      <c r="BL223" s="734"/>
      <c r="BM223" s="734"/>
      <c r="BN223" s="734"/>
      <c r="BO223" s="734"/>
      <c r="BP223" s="734"/>
      <c r="BQ223" s="734"/>
      <c r="BR223" s="734"/>
      <c r="BS223" s="734"/>
      <c r="BT223" s="734"/>
      <c r="BU223" s="734"/>
      <c r="BV223" s="734"/>
      <c r="BW223" s="734"/>
      <c r="BX223" s="734"/>
      <c r="BY223" s="734"/>
      <c r="BZ223" s="734"/>
      <c r="CA223" s="734"/>
    </row>
    <row r="224" spans="1:79" hidden="1" outlineLevel="1" x14ac:dyDescent="0.35">
      <c r="A224" s="574"/>
      <c r="B224" s="574"/>
      <c r="C224" s="574"/>
      <c r="D224" s="574"/>
      <c r="E224" s="574"/>
      <c r="F224" s="672" t="s">
        <v>665</v>
      </c>
      <c r="G224" s="735"/>
      <c r="H224" s="735"/>
      <c r="I224" s="735"/>
      <c r="J224" s="735"/>
      <c r="K224" s="735"/>
      <c r="L224" s="735"/>
      <c r="M224" s="735"/>
      <c r="N224" s="735"/>
      <c r="O224" s="735"/>
      <c r="P224" s="732"/>
      <c r="Q224" s="732"/>
      <c r="R224" s="732"/>
      <c r="S224" s="683">
        <v>0</v>
      </c>
      <c r="T224" s="683">
        <v>0</v>
      </c>
      <c r="U224" s="683">
        <v>0</v>
      </c>
      <c r="V224" s="683">
        <v>0</v>
      </c>
      <c r="W224" s="683">
        <v>0</v>
      </c>
      <c r="X224" s="683">
        <v>0</v>
      </c>
      <c r="Y224" s="683">
        <v>0</v>
      </c>
      <c r="Z224" s="683">
        <v>0</v>
      </c>
      <c r="AA224" s="683">
        <v>0</v>
      </c>
      <c r="AB224" s="683">
        <v>0</v>
      </c>
      <c r="AC224" s="683">
        <v>0</v>
      </c>
      <c r="AD224" s="683">
        <v>0</v>
      </c>
      <c r="AE224" s="734"/>
      <c r="AF224" s="734"/>
      <c r="AG224" s="734"/>
      <c r="AH224" s="734"/>
      <c r="AI224" s="734"/>
      <c r="AJ224" s="734"/>
      <c r="AK224" s="734"/>
      <c r="AL224" s="734"/>
      <c r="AM224" s="734"/>
      <c r="AN224" s="734"/>
      <c r="AO224" s="734"/>
      <c r="AP224" s="734"/>
      <c r="AQ224" s="734"/>
      <c r="AR224" s="734"/>
      <c r="AS224" s="734"/>
      <c r="AT224" s="734"/>
      <c r="AU224" s="734"/>
      <c r="AV224" s="734"/>
      <c r="AW224" s="734"/>
      <c r="AX224" s="734"/>
      <c r="AY224" s="734"/>
      <c r="AZ224" s="734"/>
      <c r="BA224" s="734"/>
      <c r="BB224" s="734"/>
      <c r="BC224" s="734"/>
      <c r="BD224" s="734"/>
      <c r="BE224" s="734"/>
      <c r="BF224" s="734"/>
      <c r="BG224" s="734"/>
      <c r="BH224" s="734"/>
      <c r="BI224" s="734"/>
      <c r="BJ224" s="734"/>
      <c r="BK224" s="734"/>
      <c r="BL224" s="734"/>
      <c r="BM224" s="734"/>
      <c r="BN224" s="734"/>
      <c r="BO224" s="734"/>
      <c r="BP224" s="734"/>
      <c r="BQ224" s="734"/>
      <c r="BR224" s="734"/>
      <c r="BS224" s="734"/>
      <c r="BT224" s="734"/>
      <c r="BU224" s="734"/>
      <c r="BV224" s="734"/>
      <c r="BW224" s="734"/>
      <c r="BX224" s="734"/>
      <c r="BY224" s="734"/>
      <c r="BZ224" s="734"/>
      <c r="CA224" s="734"/>
    </row>
    <row r="225" spans="1:79" hidden="1" outlineLevel="1" x14ac:dyDescent="0.35">
      <c r="A225" s="574"/>
      <c r="B225" s="574"/>
      <c r="C225" s="574"/>
      <c r="D225" s="574"/>
      <c r="E225" s="574"/>
      <c r="F225" s="672" t="s">
        <v>887</v>
      </c>
      <c r="G225" s="735"/>
      <c r="H225" s="735"/>
      <c r="I225" s="735"/>
      <c r="J225" s="735"/>
      <c r="K225" s="735"/>
      <c r="L225" s="735"/>
      <c r="M225" s="735"/>
      <c r="N225" s="735"/>
      <c r="O225" s="735"/>
      <c r="P225" s="732"/>
      <c r="Q225" s="732"/>
      <c r="R225" s="732"/>
      <c r="S225" s="683">
        <v>0</v>
      </c>
      <c r="T225" s="683">
        <v>0</v>
      </c>
      <c r="U225" s="683">
        <v>0</v>
      </c>
      <c r="V225" s="683">
        <v>0</v>
      </c>
      <c r="W225" s="683">
        <v>0</v>
      </c>
      <c r="X225" s="683">
        <v>0</v>
      </c>
      <c r="Y225" s="683">
        <v>0</v>
      </c>
      <c r="Z225" s="683">
        <v>0</v>
      </c>
      <c r="AA225" s="683">
        <v>0</v>
      </c>
      <c r="AB225" s="683">
        <v>0</v>
      </c>
      <c r="AC225" s="683">
        <v>0</v>
      </c>
      <c r="AD225" s="683">
        <v>0</v>
      </c>
      <c r="AE225" s="734"/>
      <c r="AF225" s="734"/>
      <c r="AG225" s="734"/>
      <c r="AH225" s="734"/>
      <c r="AI225" s="734"/>
      <c r="AJ225" s="734"/>
      <c r="AK225" s="734"/>
      <c r="AL225" s="734"/>
      <c r="AM225" s="734"/>
      <c r="AN225" s="734"/>
      <c r="AO225" s="734"/>
      <c r="AP225" s="734"/>
      <c r="AQ225" s="734"/>
      <c r="AR225" s="734"/>
      <c r="AS225" s="734"/>
      <c r="AT225" s="734"/>
      <c r="AU225" s="734"/>
      <c r="AV225" s="734"/>
      <c r="AW225" s="734"/>
      <c r="AX225" s="734"/>
      <c r="AY225" s="734"/>
      <c r="AZ225" s="734"/>
      <c r="BA225" s="734"/>
      <c r="BB225" s="734"/>
      <c r="BC225" s="734"/>
      <c r="BD225" s="734"/>
      <c r="BE225" s="734"/>
      <c r="BF225" s="734"/>
      <c r="BG225" s="734"/>
      <c r="BH225" s="734"/>
      <c r="BI225" s="734"/>
      <c r="BJ225" s="734"/>
      <c r="BK225" s="734"/>
      <c r="BL225" s="734"/>
      <c r="BM225" s="734"/>
      <c r="BN225" s="734"/>
      <c r="BO225" s="734"/>
      <c r="BP225" s="734"/>
      <c r="BQ225" s="734"/>
      <c r="BR225" s="734"/>
      <c r="BS225" s="734"/>
      <c r="BT225" s="734"/>
      <c r="BU225" s="734"/>
      <c r="BV225" s="734"/>
      <c r="BW225" s="734"/>
      <c r="BX225" s="734"/>
      <c r="BY225" s="734"/>
      <c r="BZ225" s="734"/>
      <c r="CA225" s="734"/>
    </row>
    <row r="226" spans="1:79" hidden="1" outlineLevel="1" x14ac:dyDescent="0.35">
      <c r="A226" s="574"/>
      <c r="B226" s="574"/>
      <c r="C226" s="574"/>
      <c r="D226" s="574"/>
      <c r="E226" s="574"/>
      <c r="F226" s="672" t="s">
        <v>666</v>
      </c>
      <c r="G226" s="735"/>
      <c r="H226" s="735"/>
      <c r="I226" s="735"/>
      <c r="J226" s="735"/>
      <c r="K226" s="735"/>
      <c r="L226" s="735"/>
      <c r="M226" s="735"/>
      <c r="N226" s="735"/>
      <c r="O226" s="735"/>
      <c r="P226" s="732"/>
      <c r="Q226" s="732"/>
      <c r="R226" s="732"/>
      <c r="S226" s="683">
        <v>0</v>
      </c>
      <c r="T226" s="683">
        <v>0</v>
      </c>
      <c r="U226" s="683">
        <v>0</v>
      </c>
      <c r="V226" s="683">
        <v>0</v>
      </c>
      <c r="W226" s="683">
        <v>0</v>
      </c>
      <c r="X226" s="683">
        <v>0</v>
      </c>
      <c r="Y226" s="683">
        <v>0</v>
      </c>
      <c r="Z226" s="683">
        <v>0</v>
      </c>
      <c r="AA226" s="683">
        <v>0</v>
      </c>
      <c r="AB226" s="683">
        <v>0</v>
      </c>
      <c r="AC226" s="683">
        <v>0</v>
      </c>
      <c r="AD226" s="683">
        <v>0</v>
      </c>
      <c r="AE226" s="734"/>
      <c r="AF226" s="734"/>
      <c r="AG226" s="734"/>
      <c r="AH226" s="734"/>
      <c r="AI226" s="734"/>
      <c r="AJ226" s="734"/>
      <c r="AK226" s="734"/>
      <c r="AL226" s="734"/>
      <c r="AM226" s="734"/>
      <c r="AN226" s="734"/>
      <c r="AO226" s="734"/>
      <c r="AP226" s="734"/>
      <c r="AQ226" s="734"/>
      <c r="AR226" s="734"/>
      <c r="AS226" s="734"/>
      <c r="AT226" s="734"/>
      <c r="AU226" s="734"/>
      <c r="AV226" s="734"/>
      <c r="AW226" s="734"/>
      <c r="AX226" s="734"/>
      <c r="AY226" s="734"/>
      <c r="AZ226" s="734"/>
      <c r="BA226" s="734"/>
      <c r="BB226" s="734"/>
      <c r="BC226" s="734"/>
      <c r="BD226" s="734"/>
      <c r="BE226" s="734"/>
      <c r="BF226" s="734"/>
      <c r="BG226" s="734"/>
      <c r="BH226" s="734"/>
      <c r="BI226" s="734"/>
      <c r="BJ226" s="734"/>
      <c r="BK226" s="734"/>
      <c r="BL226" s="734"/>
      <c r="BM226" s="734"/>
      <c r="BN226" s="734"/>
      <c r="BO226" s="734"/>
      <c r="BP226" s="734"/>
      <c r="BQ226" s="734"/>
      <c r="BR226" s="734"/>
      <c r="BS226" s="734"/>
      <c r="BT226" s="734"/>
      <c r="BU226" s="734"/>
      <c r="BV226" s="734"/>
      <c r="BW226" s="734"/>
      <c r="BX226" s="734"/>
      <c r="BY226" s="734"/>
      <c r="BZ226" s="734"/>
      <c r="CA226" s="734"/>
    </row>
    <row r="227" spans="1:79" hidden="1" outlineLevel="1" x14ac:dyDescent="0.35">
      <c r="A227" s="574"/>
      <c r="B227" s="574"/>
      <c r="C227" s="574"/>
      <c r="D227" s="574"/>
      <c r="E227" s="574"/>
      <c r="F227" s="676" t="s">
        <v>667</v>
      </c>
      <c r="G227" s="735"/>
      <c r="H227" s="735"/>
      <c r="I227" s="735"/>
      <c r="J227" s="735"/>
      <c r="K227" s="735"/>
      <c r="L227" s="735"/>
      <c r="M227" s="735"/>
      <c r="N227" s="735"/>
      <c r="O227" s="735"/>
      <c r="P227" s="735"/>
      <c r="Q227" s="735"/>
      <c r="R227" s="735"/>
      <c r="S227" s="683">
        <v>0</v>
      </c>
      <c r="T227" s="683">
        <v>0</v>
      </c>
      <c r="U227" s="683">
        <v>0</v>
      </c>
      <c r="V227" s="683">
        <v>0</v>
      </c>
      <c r="W227" s="683">
        <v>0</v>
      </c>
      <c r="X227" s="683">
        <v>0</v>
      </c>
      <c r="Y227" s="683">
        <v>0</v>
      </c>
      <c r="Z227" s="683">
        <v>54.59</v>
      </c>
      <c r="AA227" s="683">
        <v>69.41</v>
      </c>
      <c r="AB227" s="683">
        <v>78.61</v>
      </c>
      <c r="AC227" s="683">
        <v>73.16</v>
      </c>
      <c r="AD227" s="683">
        <v>0</v>
      </c>
      <c r="AE227" s="734"/>
      <c r="AF227" s="734"/>
      <c r="AG227" s="734"/>
      <c r="AH227" s="734"/>
      <c r="AI227" s="734"/>
      <c r="AJ227" s="734"/>
      <c r="AK227" s="734"/>
      <c r="AL227" s="734"/>
      <c r="AM227" s="734"/>
      <c r="AN227" s="734"/>
      <c r="AO227" s="734"/>
      <c r="AP227" s="734"/>
      <c r="AQ227" s="734"/>
      <c r="AR227" s="734"/>
      <c r="AS227" s="734"/>
      <c r="AT227" s="734"/>
      <c r="AU227" s="734"/>
      <c r="AV227" s="734"/>
      <c r="AW227" s="734"/>
      <c r="AX227" s="734"/>
      <c r="AY227" s="734"/>
      <c r="AZ227" s="734"/>
      <c r="BA227" s="734"/>
      <c r="BB227" s="734"/>
      <c r="BC227" s="734"/>
      <c r="BD227" s="734"/>
      <c r="BE227" s="734"/>
      <c r="BF227" s="734"/>
      <c r="BG227" s="734"/>
      <c r="BH227" s="734"/>
      <c r="BI227" s="734"/>
      <c r="BJ227" s="734"/>
      <c r="BK227" s="734"/>
      <c r="BL227" s="734"/>
      <c r="BM227" s="734"/>
      <c r="BN227" s="734"/>
      <c r="BO227" s="734"/>
      <c r="BP227" s="734"/>
      <c r="BQ227" s="734"/>
      <c r="BR227" s="734"/>
      <c r="BS227" s="734"/>
      <c r="BT227" s="734"/>
      <c r="BU227" s="734"/>
      <c r="BV227" s="734"/>
      <c r="BW227" s="734"/>
      <c r="BX227" s="734"/>
      <c r="BY227" s="734"/>
      <c r="BZ227" s="734"/>
      <c r="CA227" s="734"/>
    </row>
    <row r="228" spans="1:79" hidden="1" outlineLevel="1" x14ac:dyDescent="0.35">
      <c r="A228" s="574"/>
      <c r="B228" s="574"/>
      <c r="C228" s="574"/>
      <c r="D228" s="574"/>
      <c r="E228" s="574"/>
      <c r="F228" s="672" t="s">
        <v>888</v>
      </c>
      <c r="G228" s="735"/>
      <c r="H228" s="735"/>
      <c r="I228" s="735"/>
      <c r="J228" s="735"/>
      <c r="K228" s="735"/>
      <c r="L228" s="735"/>
      <c r="M228" s="735"/>
      <c r="N228" s="735"/>
      <c r="O228" s="735"/>
      <c r="P228" s="732"/>
      <c r="Q228" s="732"/>
      <c r="R228" s="732"/>
      <c r="S228" s="683">
        <v>0</v>
      </c>
      <c r="T228" s="683">
        <v>0</v>
      </c>
      <c r="U228" s="683">
        <v>0</v>
      </c>
      <c r="V228" s="683">
        <v>0</v>
      </c>
      <c r="W228" s="683">
        <v>0</v>
      </c>
      <c r="X228" s="683">
        <v>0</v>
      </c>
      <c r="Y228" s="683">
        <v>0</v>
      </c>
      <c r="Z228" s="683">
        <v>0</v>
      </c>
      <c r="AA228" s="683">
        <v>0</v>
      </c>
      <c r="AB228" s="683">
        <v>0</v>
      </c>
      <c r="AC228" s="683">
        <v>0</v>
      </c>
      <c r="AD228" s="683">
        <v>0</v>
      </c>
      <c r="AE228" s="734"/>
      <c r="AF228" s="734"/>
      <c r="AG228" s="734"/>
      <c r="AH228" s="734"/>
      <c r="AI228" s="734"/>
      <c r="AJ228" s="734"/>
      <c r="AK228" s="734"/>
      <c r="AL228" s="734"/>
      <c r="AM228" s="734"/>
      <c r="AN228" s="734"/>
      <c r="AO228" s="734"/>
      <c r="AP228" s="734"/>
      <c r="AQ228" s="734"/>
      <c r="AR228" s="734"/>
      <c r="AS228" s="734"/>
      <c r="AT228" s="734"/>
      <c r="AU228" s="734"/>
      <c r="AV228" s="734"/>
      <c r="AW228" s="734"/>
      <c r="AX228" s="734"/>
      <c r="AY228" s="734"/>
      <c r="AZ228" s="734"/>
      <c r="BA228" s="734"/>
      <c r="BB228" s="734"/>
      <c r="BC228" s="734"/>
      <c r="BD228" s="734"/>
      <c r="BE228" s="734"/>
      <c r="BF228" s="734"/>
      <c r="BG228" s="734"/>
      <c r="BH228" s="734"/>
      <c r="BI228" s="734"/>
      <c r="BJ228" s="734"/>
      <c r="BK228" s="734"/>
      <c r="BL228" s="734"/>
      <c r="BM228" s="734"/>
      <c r="BN228" s="734"/>
      <c r="BO228" s="734"/>
      <c r="BP228" s="734"/>
      <c r="BQ228" s="734"/>
      <c r="BR228" s="734"/>
      <c r="BS228" s="734"/>
      <c r="BT228" s="734"/>
      <c r="BU228" s="734"/>
      <c r="BV228" s="734"/>
      <c r="BW228" s="734"/>
      <c r="BX228" s="734"/>
      <c r="BY228" s="734"/>
      <c r="BZ228" s="734"/>
      <c r="CA228" s="734"/>
    </row>
    <row r="229" spans="1:79" hidden="1" outlineLevel="1" x14ac:dyDescent="0.35">
      <c r="A229" s="574"/>
      <c r="B229" s="574"/>
      <c r="C229" s="574"/>
      <c r="D229" s="574"/>
      <c r="E229" s="574"/>
      <c r="F229" s="673" t="s">
        <v>668</v>
      </c>
      <c r="G229" s="695">
        <f>SUM(G220:G228)</f>
        <v>0</v>
      </c>
      <c r="H229" s="695">
        <f t="shared" ref="H229:BO229" si="76">SUM(H220:H228)</f>
        <v>0</v>
      </c>
      <c r="I229" s="695">
        <f t="shared" si="76"/>
        <v>0</v>
      </c>
      <c r="J229" s="695">
        <f t="shared" si="76"/>
        <v>0</v>
      </c>
      <c r="K229" s="695">
        <f t="shared" si="76"/>
        <v>0</v>
      </c>
      <c r="L229" s="695">
        <f t="shared" si="76"/>
        <v>0</v>
      </c>
      <c r="M229" s="695">
        <f t="shared" si="76"/>
        <v>0</v>
      </c>
      <c r="N229" s="695">
        <f t="shared" si="76"/>
        <v>0</v>
      </c>
      <c r="O229" s="695">
        <f t="shared" si="76"/>
        <v>0</v>
      </c>
      <c r="P229" s="695">
        <f t="shared" si="76"/>
        <v>0</v>
      </c>
      <c r="Q229" s="695">
        <f t="shared" si="76"/>
        <v>0</v>
      </c>
      <c r="R229" s="695">
        <f t="shared" si="76"/>
        <v>0</v>
      </c>
      <c r="S229" s="694">
        <f t="shared" ref="S229:AA229" si="77">ROUND(SUM(S219:S228),5)</f>
        <v>0</v>
      </c>
      <c r="T229" s="694">
        <f t="shared" si="77"/>
        <v>0</v>
      </c>
      <c r="U229" s="694">
        <f t="shared" si="77"/>
        <v>0</v>
      </c>
      <c r="V229" s="694">
        <f t="shared" si="77"/>
        <v>0</v>
      </c>
      <c r="W229" s="694">
        <f t="shared" si="77"/>
        <v>0</v>
      </c>
      <c r="X229" s="694">
        <f t="shared" si="77"/>
        <v>0</v>
      </c>
      <c r="Y229" s="694">
        <f t="shared" si="77"/>
        <v>0</v>
      </c>
      <c r="Z229" s="694">
        <f t="shared" si="77"/>
        <v>54.59</v>
      </c>
      <c r="AA229" s="694">
        <f t="shared" si="77"/>
        <v>69.41</v>
      </c>
      <c r="AB229" s="694">
        <f>ROUND(SUM(AB219:AB228),5)</f>
        <v>78.61</v>
      </c>
      <c r="AC229" s="694">
        <f>ROUND(SUM(AC219:AC228),5)</f>
        <v>73.16</v>
      </c>
      <c r="AD229" s="694">
        <f>ROUND(SUM(AD219:AD228),5)</f>
        <v>0</v>
      </c>
      <c r="AE229" s="695">
        <f t="shared" si="76"/>
        <v>0</v>
      </c>
      <c r="AF229" s="695">
        <f t="shared" si="76"/>
        <v>0</v>
      </c>
      <c r="AG229" s="695">
        <f t="shared" si="76"/>
        <v>0</v>
      </c>
      <c r="AH229" s="695">
        <f t="shared" si="76"/>
        <v>0</v>
      </c>
      <c r="AI229" s="695">
        <f t="shared" si="76"/>
        <v>0</v>
      </c>
      <c r="AJ229" s="695">
        <f t="shared" si="76"/>
        <v>0</v>
      </c>
      <c r="AK229" s="695">
        <f t="shared" si="76"/>
        <v>0</v>
      </c>
      <c r="AL229" s="695">
        <f t="shared" si="76"/>
        <v>0</v>
      </c>
      <c r="AM229" s="695">
        <f t="shared" si="76"/>
        <v>0</v>
      </c>
      <c r="AN229" s="695">
        <f t="shared" si="76"/>
        <v>0</v>
      </c>
      <c r="AO229" s="695">
        <f t="shared" si="76"/>
        <v>0</v>
      </c>
      <c r="AP229" s="695">
        <f t="shared" si="76"/>
        <v>0</v>
      </c>
      <c r="AQ229" s="695">
        <f t="shared" si="76"/>
        <v>0</v>
      </c>
      <c r="AR229" s="695">
        <f t="shared" si="76"/>
        <v>0</v>
      </c>
      <c r="AS229" s="695">
        <f t="shared" si="76"/>
        <v>0</v>
      </c>
      <c r="AT229" s="695">
        <f t="shared" si="76"/>
        <v>0</v>
      </c>
      <c r="AU229" s="695">
        <f t="shared" si="76"/>
        <v>0</v>
      </c>
      <c r="AV229" s="695">
        <f t="shared" si="76"/>
        <v>0</v>
      </c>
      <c r="AW229" s="695">
        <f t="shared" si="76"/>
        <v>0</v>
      </c>
      <c r="AX229" s="695">
        <f t="shared" si="76"/>
        <v>0</v>
      </c>
      <c r="AY229" s="695">
        <f t="shared" si="76"/>
        <v>0</v>
      </c>
      <c r="AZ229" s="695">
        <f t="shared" si="76"/>
        <v>0</v>
      </c>
      <c r="BA229" s="695">
        <f t="shared" si="76"/>
        <v>0</v>
      </c>
      <c r="BB229" s="695">
        <f t="shared" si="76"/>
        <v>0</v>
      </c>
      <c r="BC229" s="695">
        <f t="shared" si="76"/>
        <v>0</v>
      </c>
      <c r="BD229" s="695">
        <f t="shared" si="76"/>
        <v>0</v>
      </c>
      <c r="BE229" s="695">
        <f t="shared" si="76"/>
        <v>0</v>
      </c>
      <c r="BF229" s="695">
        <f t="shared" si="76"/>
        <v>0</v>
      </c>
      <c r="BG229" s="695">
        <f t="shared" si="76"/>
        <v>0</v>
      </c>
      <c r="BH229" s="695">
        <f t="shared" si="76"/>
        <v>0</v>
      </c>
      <c r="BI229" s="695">
        <f t="shared" si="76"/>
        <v>0</v>
      </c>
      <c r="BJ229" s="695">
        <f t="shared" si="76"/>
        <v>0</v>
      </c>
      <c r="BK229" s="695">
        <f t="shared" si="76"/>
        <v>0</v>
      </c>
      <c r="BL229" s="695">
        <f t="shared" si="76"/>
        <v>0</v>
      </c>
      <c r="BM229" s="695">
        <f t="shared" si="76"/>
        <v>0</v>
      </c>
      <c r="BN229" s="695">
        <f t="shared" si="76"/>
        <v>0</v>
      </c>
      <c r="BO229" s="695">
        <f t="shared" si="76"/>
        <v>0</v>
      </c>
      <c r="BP229" s="695">
        <f t="shared" ref="BP229:CA229" si="78">SUM(BP220:BP228)</f>
        <v>0</v>
      </c>
      <c r="BQ229" s="695">
        <f t="shared" si="78"/>
        <v>0</v>
      </c>
      <c r="BR229" s="695">
        <f t="shared" si="78"/>
        <v>0</v>
      </c>
      <c r="BS229" s="695">
        <f t="shared" si="78"/>
        <v>0</v>
      </c>
      <c r="BT229" s="695">
        <f t="shared" si="78"/>
        <v>0</v>
      </c>
      <c r="BU229" s="695">
        <f t="shared" si="78"/>
        <v>0</v>
      </c>
      <c r="BV229" s="695">
        <f t="shared" si="78"/>
        <v>0</v>
      </c>
      <c r="BW229" s="695">
        <f t="shared" si="78"/>
        <v>0</v>
      </c>
      <c r="BX229" s="695">
        <f t="shared" si="78"/>
        <v>0</v>
      </c>
      <c r="BY229" s="695">
        <f t="shared" si="78"/>
        <v>0</v>
      </c>
      <c r="BZ229" s="695">
        <f t="shared" si="78"/>
        <v>0</v>
      </c>
      <c r="CA229" s="695">
        <f t="shared" si="78"/>
        <v>0</v>
      </c>
    </row>
    <row r="230" spans="1:79" hidden="1" outlineLevel="1" x14ac:dyDescent="0.35">
      <c r="A230" s="574"/>
      <c r="B230" s="574"/>
      <c r="C230" s="574"/>
      <c r="D230" s="574"/>
      <c r="E230" s="574"/>
      <c r="F230" s="671" t="s">
        <v>669</v>
      </c>
      <c r="G230" s="735"/>
      <c r="H230" s="735"/>
      <c r="I230" s="735"/>
      <c r="J230" s="735"/>
      <c r="K230" s="735"/>
      <c r="L230" s="735"/>
      <c r="M230" s="735"/>
      <c r="N230" s="735"/>
      <c r="O230" s="735"/>
      <c r="P230" s="732"/>
      <c r="Q230" s="732"/>
      <c r="R230" s="732"/>
      <c r="S230" s="683">
        <v>0</v>
      </c>
      <c r="T230" s="683">
        <v>0</v>
      </c>
      <c r="U230" s="683">
        <v>0</v>
      </c>
      <c r="V230" s="683">
        <v>0</v>
      </c>
      <c r="W230" s="683">
        <v>0</v>
      </c>
      <c r="X230" s="683">
        <v>0</v>
      </c>
      <c r="Y230" s="683">
        <v>0</v>
      </c>
      <c r="Z230" s="683">
        <v>0</v>
      </c>
      <c r="AA230" s="683">
        <v>0</v>
      </c>
      <c r="AB230" s="683">
        <v>0</v>
      </c>
      <c r="AC230" s="683">
        <v>0</v>
      </c>
      <c r="AD230" s="683">
        <v>0</v>
      </c>
      <c r="AE230" s="734"/>
      <c r="AF230" s="734"/>
      <c r="AG230" s="734"/>
      <c r="AH230" s="734"/>
      <c r="AI230" s="734"/>
      <c r="AJ230" s="734"/>
      <c r="AK230" s="734"/>
      <c r="AL230" s="734"/>
      <c r="AM230" s="734"/>
      <c r="AN230" s="734"/>
      <c r="AO230" s="734"/>
      <c r="AP230" s="734"/>
      <c r="AQ230" s="734"/>
      <c r="AR230" s="734"/>
      <c r="AS230" s="734"/>
      <c r="AT230" s="734"/>
      <c r="AU230" s="734"/>
      <c r="AV230" s="734"/>
      <c r="AW230" s="734"/>
      <c r="AX230" s="734"/>
      <c r="AY230" s="734"/>
      <c r="AZ230" s="734"/>
      <c r="BA230" s="734"/>
      <c r="BB230" s="734"/>
      <c r="BC230" s="734"/>
      <c r="BD230" s="734"/>
      <c r="BE230" s="734"/>
      <c r="BF230" s="734"/>
      <c r="BG230" s="734"/>
      <c r="BH230" s="734"/>
      <c r="BI230" s="734"/>
      <c r="BJ230" s="734"/>
      <c r="BK230" s="734"/>
      <c r="BL230" s="734"/>
      <c r="BM230" s="734"/>
      <c r="BN230" s="734"/>
      <c r="BO230" s="734"/>
      <c r="BP230" s="734"/>
      <c r="BQ230" s="734"/>
      <c r="BR230" s="734"/>
      <c r="BS230" s="734"/>
      <c r="BT230" s="734"/>
      <c r="BU230" s="734"/>
      <c r="BV230" s="734"/>
      <c r="BW230" s="734"/>
      <c r="BX230" s="734"/>
      <c r="BY230" s="734"/>
      <c r="BZ230" s="734"/>
      <c r="CA230" s="734"/>
    </row>
    <row r="231" spans="1:79" s="773" customFormat="1" hidden="1" outlineLevel="1" x14ac:dyDescent="0.35">
      <c r="F231" s="755" t="s">
        <v>597</v>
      </c>
      <c r="G231" s="774"/>
      <c r="H231" s="774"/>
      <c r="I231" s="774"/>
      <c r="J231" s="774"/>
      <c r="K231" s="774"/>
      <c r="L231" s="774"/>
      <c r="M231" s="774"/>
      <c r="N231" s="774"/>
      <c r="O231" s="774"/>
      <c r="P231" s="774"/>
      <c r="Q231" s="774"/>
      <c r="R231" s="774"/>
      <c r="S231" s="713"/>
      <c r="T231" s="713"/>
      <c r="U231" s="713"/>
      <c r="V231" s="713"/>
      <c r="W231" s="713"/>
      <c r="X231" s="713"/>
      <c r="Y231" s="713"/>
      <c r="Z231" s="713"/>
      <c r="AA231" s="713"/>
      <c r="AB231" s="713"/>
      <c r="AC231" s="713"/>
      <c r="AD231" s="713"/>
      <c r="AE231" s="775"/>
      <c r="AF231" s="775"/>
      <c r="AG231" s="775"/>
      <c r="AH231" s="775"/>
      <c r="AI231" s="775"/>
      <c r="AJ231" s="775"/>
      <c r="AK231" s="775"/>
      <c r="AL231" s="775"/>
      <c r="AM231" s="775"/>
      <c r="AN231" s="775"/>
      <c r="AO231" s="775"/>
      <c r="AP231" s="775"/>
      <c r="AQ231" s="775"/>
      <c r="AR231" s="775"/>
      <c r="AS231" s="775"/>
      <c r="AT231" s="775"/>
      <c r="AU231" s="775"/>
      <c r="AV231" s="775"/>
      <c r="AW231" s="775"/>
      <c r="AX231" s="775"/>
      <c r="AY231" s="775"/>
      <c r="AZ231" s="775"/>
      <c r="BA231" s="775"/>
      <c r="BB231" s="775"/>
      <c r="BC231" s="775"/>
      <c r="BD231" s="775"/>
      <c r="BE231" s="775"/>
      <c r="BF231" s="775"/>
      <c r="BG231" s="775"/>
      <c r="BH231" s="775"/>
      <c r="BI231" s="775"/>
      <c r="BJ231" s="775"/>
      <c r="BK231" s="775"/>
      <c r="BL231" s="775"/>
      <c r="BM231" s="775"/>
      <c r="BN231" s="775"/>
      <c r="BO231" s="775"/>
      <c r="BP231" s="775"/>
      <c r="BQ231" s="775"/>
      <c r="BR231" s="775"/>
      <c r="BS231" s="775"/>
      <c r="BT231" s="775"/>
      <c r="BU231" s="775"/>
      <c r="BV231" s="775"/>
      <c r="BW231" s="775"/>
      <c r="BX231" s="775"/>
      <c r="BY231" s="775"/>
      <c r="BZ231" s="775"/>
      <c r="CA231" s="775"/>
    </row>
    <row r="232" spans="1:79" s="452" customFormat="1" hidden="1" outlineLevel="1" x14ac:dyDescent="0.35">
      <c r="A232" s="580"/>
      <c r="B232" s="580"/>
      <c r="C232" s="580"/>
      <c r="D232" s="580"/>
      <c r="E232" s="580"/>
      <c r="F232" s="672" t="s">
        <v>889</v>
      </c>
      <c r="G232" s="735"/>
      <c r="H232" s="735"/>
      <c r="I232" s="735"/>
      <c r="J232" s="735"/>
      <c r="K232" s="735"/>
      <c r="L232" s="735"/>
      <c r="M232" s="735"/>
      <c r="N232" s="735"/>
      <c r="O232" s="735"/>
      <c r="P232" s="732"/>
      <c r="Q232" s="732"/>
      <c r="R232" s="732"/>
      <c r="S232" s="687">
        <v>0</v>
      </c>
      <c r="T232" s="687">
        <v>0</v>
      </c>
      <c r="U232" s="687">
        <v>0</v>
      </c>
      <c r="V232" s="687">
        <v>0</v>
      </c>
      <c r="W232" s="687">
        <v>0</v>
      </c>
      <c r="X232" s="687">
        <v>0</v>
      </c>
      <c r="Y232" s="687">
        <v>0</v>
      </c>
      <c r="Z232" s="687">
        <v>0</v>
      </c>
      <c r="AA232" s="687">
        <v>0</v>
      </c>
      <c r="AB232" s="687">
        <v>0</v>
      </c>
      <c r="AC232" s="687">
        <v>0</v>
      </c>
      <c r="AD232" s="687">
        <v>0</v>
      </c>
      <c r="AE232" s="734"/>
      <c r="AF232" s="734"/>
      <c r="AG232" s="734"/>
      <c r="AH232" s="734"/>
      <c r="AI232" s="734"/>
      <c r="AJ232" s="734"/>
      <c r="AK232" s="734"/>
      <c r="AL232" s="734"/>
      <c r="AM232" s="734"/>
      <c r="AN232" s="734"/>
      <c r="AO232" s="734"/>
      <c r="AP232" s="734"/>
      <c r="AQ232" s="734"/>
      <c r="AR232" s="734"/>
      <c r="AS232" s="734"/>
      <c r="AT232" s="734"/>
      <c r="AU232" s="734"/>
      <c r="AV232" s="734"/>
      <c r="AW232" s="734"/>
      <c r="AX232" s="734"/>
      <c r="AY232" s="734"/>
      <c r="AZ232" s="734"/>
      <c r="BA232" s="734"/>
      <c r="BB232" s="734"/>
      <c r="BC232" s="734"/>
      <c r="BD232" s="734"/>
      <c r="BE232" s="734"/>
      <c r="BF232" s="734"/>
      <c r="BG232" s="734"/>
      <c r="BH232" s="734"/>
      <c r="BI232" s="734"/>
      <c r="BJ232" s="734"/>
      <c r="BK232" s="734"/>
      <c r="BL232" s="734"/>
      <c r="BM232" s="734"/>
      <c r="BN232" s="734"/>
      <c r="BO232" s="734"/>
      <c r="BP232" s="734"/>
      <c r="BQ232" s="734"/>
      <c r="BR232" s="734"/>
      <c r="BS232" s="734"/>
      <c r="BT232" s="734"/>
      <c r="BU232" s="734"/>
      <c r="BV232" s="734"/>
      <c r="BW232" s="734"/>
      <c r="BX232" s="734"/>
      <c r="BY232" s="734"/>
      <c r="BZ232" s="734"/>
      <c r="CA232" s="734"/>
    </row>
    <row r="233" spans="1:79" s="452" customFormat="1" hidden="1" outlineLevel="1" x14ac:dyDescent="0.35">
      <c r="A233" s="580"/>
      <c r="B233" s="580"/>
      <c r="C233" s="580"/>
      <c r="D233" s="580"/>
      <c r="E233" s="580"/>
      <c r="F233" s="672" t="s">
        <v>890</v>
      </c>
      <c r="G233" s="735"/>
      <c r="H233" s="735"/>
      <c r="I233" s="735"/>
      <c r="J233" s="735"/>
      <c r="K233" s="735"/>
      <c r="L233" s="735"/>
      <c r="M233" s="735"/>
      <c r="N233" s="735"/>
      <c r="O233" s="735"/>
      <c r="P233" s="732"/>
      <c r="Q233" s="732"/>
      <c r="R233" s="732"/>
      <c r="S233" s="687">
        <v>0</v>
      </c>
      <c r="T233" s="687">
        <v>0</v>
      </c>
      <c r="U233" s="687">
        <v>0</v>
      </c>
      <c r="V233" s="687">
        <v>0</v>
      </c>
      <c r="W233" s="687">
        <v>0</v>
      </c>
      <c r="X233" s="687">
        <v>0</v>
      </c>
      <c r="Y233" s="687">
        <v>0</v>
      </c>
      <c r="Z233" s="687">
        <v>0</v>
      </c>
      <c r="AA233" s="687">
        <v>0</v>
      </c>
      <c r="AB233" s="687">
        <v>0</v>
      </c>
      <c r="AC233" s="687">
        <v>0</v>
      </c>
      <c r="AD233" s="687">
        <v>0</v>
      </c>
      <c r="AE233" s="734"/>
      <c r="AF233" s="734"/>
      <c r="AG233" s="734"/>
      <c r="AH233" s="734"/>
      <c r="AI233" s="734"/>
      <c r="AJ233" s="734"/>
      <c r="AK233" s="734"/>
      <c r="AL233" s="734"/>
      <c r="AM233" s="734"/>
      <c r="AN233" s="734"/>
      <c r="AO233" s="734"/>
      <c r="AP233" s="734"/>
      <c r="AQ233" s="734"/>
      <c r="AR233" s="734"/>
      <c r="AS233" s="734"/>
      <c r="AT233" s="734"/>
      <c r="AU233" s="734"/>
      <c r="AV233" s="734"/>
      <c r="AW233" s="734"/>
      <c r="AX233" s="734"/>
      <c r="AY233" s="734"/>
      <c r="AZ233" s="734"/>
      <c r="BA233" s="734"/>
      <c r="BB233" s="734"/>
      <c r="BC233" s="734"/>
      <c r="BD233" s="734"/>
      <c r="BE233" s="734"/>
      <c r="BF233" s="734"/>
      <c r="BG233" s="734"/>
      <c r="BH233" s="734"/>
      <c r="BI233" s="734"/>
      <c r="BJ233" s="734"/>
      <c r="BK233" s="734"/>
      <c r="BL233" s="734"/>
      <c r="BM233" s="734"/>
      <c r="BN233" s="734"/>
      <c r="BO233" s="734"/>
      <c r="BP233" s="734"/>
      <c r="BQ233" s="734"/>
      <c r="BR233" s="734"/>
      <c r="BS233" s="734"/>
      <c r="BT233" s="734"/>
      <c r="BU233" s="734"/>
      <c r="BV233" s="734"/>
      <c r="BW233" s="734"/>
      <c r="BX233" s="734"/>
      <c r="BY233" s="734"/>
      <c r="BZ233" s="734"/>
      <c r="CA233" s="734"/>
    </row>
    <row r="234" spans="1:79" s="452" customFormat="1" hidden="1" outlineLevel="1" x14ac:dyDescent="0.35">
      <c r="A234" s="580"/>
      <c r="B234" s="580"/>
      <c r="C234" s="580"/>
      <c r="D234" s="580"/>
      <c r="E234" s="580"/>
      <c r="F234" s="672" t="s">
        <v>891</v>
      </c>
      <c r="G234" s="735"/>
      <c r="H234" s="735"/>
      <c r="I234" s="735"/>
      <c r="J234" s="735"/>
      <c r="K234" s="735"/>
      <c r="L234" s="735"/>
      <c r="M234" s="735"/>
      <c r="N234" s="735"/>
      <c r="O234" s="735"/>
      <c r="P234" s="732"/>
      <c r="Q234" s="732"/>
      <c r="R234" s="732"/>
      <c r="S234" s="687">
        <v>0</v>
      </c>
      <c r="T234" s="687">
        <v>0</v>
      </c>
      <c r="U234" s="687">
        <v>0</v>
      </c>
      <c r="V234" s="687">
        <v>0</v>
      </c>
      <c r="W234" s="687">
        <v>0</v>
      </c>
      <c r="X234" s="687">
        <v>0</v>
      </c>
      <c r="Y234" s="687">
        <v>0</v>
      </c>
      <c r="Z234" s="687">
        <v>0</v>
      </c>
      <c r="AA234" s="687">
        <v>0</v>
      </c>
      <c r="AB234" s="687">
        <v>0</v>
      </c>
      <c r="AC234" s="687">
        <v>0</v>
      </c>
      <c r="AD234" s="687">
        <v>0</v>
      </c>
      <c r="AE234" s="734"/>
      <c r="AF234" s="734"/>
      <c r="AG234" s="734"/>
      <c r="AH234" s="734"/>
      <c r="AI234" s="734"/>
      <c r="AJ234" s="734"/>
      <c r="AK234" s="734"/>
      <c r="AL234" s="734"/>
      <c r="AM234" s="734"/>
      <c r="AN234" s="734"/>
      <c r="AO234" s="734"/>
      <c r="AP234" s="734"/>
      <c r="AQ234" s="734"/>
      <c r="AR234" s="734"/>
      <c r="AS234" s="734"/>
      <c r="AT234" s="734"/>
      <c r="AU234" s="734"/>
      <c r="AV234" s="734"/>
      <c r="AW234" s="734"/>
      <c r="AX234" s="734"/>
      <c r="AY234" s="734"/>
      <c r="AZ234" s="734"/>
      <c r="BA234" s="734"/>
      <c r="BB234" s="734"/>
      <c r="BC234" s="734"/>
      <c r="BD234" s="734"/>
      <c r="BE234" s="734"/>
      <c r="BF234" s="734"/>
      <c r="BG234" s="734"/>
      <c r="BH234" s="734"/>
      <c r="BI234" s="734"/>
      <c r="BJ234" s="734"/>
      <c r="BK234" s="734"/>
      <c r="BL234" s="734"/>
      <c r="BM234" s="734"/>
      <c r="BN234" s="734"/>
      <c r="BO234" s="734"/>
      <c r="BP234" s="734"/>
      <c r="BQ234" s="734"/>
      <c r="BR234" s="734"/>
      <c r="BS234" s="734"/>
      <c r="BT234" s="734"/>
      <c r="BU234" s="734"/>
      <c r="BV234" s="734"/>
      <c r="BW234" s="734"/>
      <c r="BX234" s="734"/>
      <c r="BY234" s="734"/>
      <c r="BZ234" s="734"/>
      <c r="CA234" s="734"/>
    </row>
    <row r="235" spans="1:79" s="452" customFormat="1" hidden="1" outlineLevel="1" x14ac:dyDescent="0.35">
      <c r="A235" s="580"/>
      <c r="B235" s="580"/>
      <c r="C235" s="580"/>
      <c r="D235" s="580"/>
      <c r="E235" s="580"/>
      <c r="F235" s="672" t="s">
        <v>892</v>
      </c>
      <c r="G235" s="735"/>
      <c r="H235" s="735"/>
      <c r="I235" s="735"/>
      <c r="J235" s="735"/>
      <c r="K235" s="735"/>
      <c r="L235" s="735"/>
      <c r="M235" s="735"/>
      <c r="N235" s="735"/>
      <c r="O235" s="735"/>
      <c r="P235" s="732"/>
      <c r="Q235" s="732"/>
      <c r="R235" s="732"/>
      <c r="S235" s="687">
        <v>0</v>
      </c>
      <c r="T235" s="687">
        <v>0</v>
      </c>
      <c r="U235" s="687">
        <v>0</v>
      </c>
      <c r="V235" s="687">
        <v>0</v>
      </c>
      <c r="W235" s="687">
        <v>0</v>
      </c>
      <c r="X235" s="687">
        <v>0</v>
      </c>
      <c r="Y235" s="687">
        <v>0</v>
      </c>
      <c r="Z235" s="687">
        <v>0</v>
      </c>
      <c r="AA235" s="687">
        <v>0</v>
      </c>
      <c r="AB235" s="687">
        <v>0</v>
      </c>
      <c r="AC235" s="687">
        <v>0</v>
      </c>
      <c r="AD235" s="687">
        <v>0</v>
      </c>
      <c r="AE235" s="734"/>
      <c r="AF235" s="734"/>
      <c r="AG235" s="734"/>
      <c r="AH235" s="734"/>
      <c r="AI235" s="734"/>
      <c r="AJ235" s="734"/>
      <c r="AK235" s="734"/>
      <c r="AL235" s="734"/>
      <c r="AM235" s="734"/>
      <c r="AN235" s="734"/>
      <c r="AO235" s="734"/>
      <c r="AP235" s="734"/>
      <c r="AQ235" s="734"/>
      <c r="AR235" s="734"/>
      <c r="AS235" s="734"/>
      <c r="AT235" s="734"/>
      <c r="AU235" s="734"/>
      <c r="AV235" s="734"/>
      <c r="AW235" s="734"/>
      <c r="AX235" s="734"/>
      <c r="AY235" s="734"/>
      <c r="AZ235" s="734"/>
      <c r="BA235" s="734"/>
      <c r="BB235" s="734"/>
      <c r="BC235" s="734"/>
      <c r="BD235" s="734"/>
      <c r="BE235" s="734"/>
      <c r="BF235" s="734"/>
      <c r="BG235" s="734"/>
      <c r="BH235" s="734"/>
      <c r="BI235" s="734"/>
      <c r="BJ235" s="734"/>
      <c r="BK235" s="734"/>
      <c r="BL235" s="734"/>
      <c r="BM235" s="734"/>
      <c r="BN235" s="734"/>
      <c r="BO235" s="734"/>
      <c r="BP235" s="734"/>
      <c r="BQ235" s="734"/>
      <c r="BR235" s="734"/>
      <c r="BS235" s="734"/>
      <c r="BT235" s="734"/>
      <c r="BU235" s="734"/>
      <c r="BV235" s="734"/>
      <c r="BW235" s="734"/>
      <c r="BX235" s="734"/>
      <c r="BY235" s="734"/>
      <c r="BZ235" s="734"/>
      <c r="CA235" s="734"/>
    </row>
    <row r="236" spans="1:79" s="452" customFormat="1" hidden="1" outlineLevel="1" x14ac:dyDescent="0.35">
      <c r="A236" s="580"/>
      <c r="B236" s="580"/>
      <c r="C236" s="580"/>
      <c r="D236" s="580"/>
      <c r="E236" s="580"/>
      <c r="F236" s="672" t="s">
        <v>825</v>
      </c>
      <c r="G236" s="735"/>
      <c r="H236" s="735"/>
      <c r="I236" s="735"/>
      <c r="J236" s="735"/>
      <c r="K236" s="735"/>
      <c r="L236" s="735"/>
      <c r="M236" s="735"/>
      <c r="N236" s="735"/>
      <c r="O236" s="735"/>
      <c r="P236" s="732"/>
      <c r="Q236" s="732"/>
      <c r="R236" s="732"/>
      <c r="S236" s="687">
        <v>0</v>
      </c>
      <c r="T236" s="687">
        <v>0</v>
      </c>
      <c r="U236" s="687">
        <v>0</v>
      </c>
      <c r="V236" s="687">
        <v>0</v>
      </c>
      <c r="W236" s="687">
        <v>0</v>
      </c>
      <c r="X236" s="687">
        <v>0</v>
      </c>
      <c r="Y236" s="687">
        <v>0</v>
      </c>
      <c r="Z236" s="687">
        <v>0</v>
      </c>
      <c r="AA236" s="687">
        <v>0</v>
      </c>
      <c r="AB236" s="687">
        <v>0</v>
      </c>
      <c r="AC236" s="687">
        <v>0</v>
      </c>
      <c r="AD236" s="687">
        <v>0</v>
      </c>
      <c r="AE236" s="734"/>
      <c r="AF236" s="734"/>
      <c r="AG236" s="734"/>
      <c r="AH236" s="734"/>
      <c r="AI236" s="734"/>
      <c r="AJ236" s="734"/>
      <c r="AK236" s="734"/>
      <c r="AL236" s="734"/>
      <c r="AM236" s="734"/>
      <c r="AN236" s="734"/>
      <c r="AO236" s="734"/>
      <c r="AP236" s="734"/>
      <c r="AQ236" s="734"/>
      <c r="AR236" s="734"/>
      <c r="AS236" s="734"/>
      <c r="AT236" s="734"/>
      <c r="AU236" s="734"/>
      <c r="AV236" s="734"/>
      <c r="AW236" s="734"/>
      <c r="AX236" s="734"/>
      <c r="AY236" s="734"/>
      <c r="AZ236" s="734"/>
      <c r="BA236" s="734"/>
      <c r="BB236" s="734"/>
      <c r="BC236" s="734"/>
      <c r="BD236" s="734"/>
      <c r="BE236" s="734"/>
      <c r="BF236" s="734"/>
      <c r="BG236" s="734"/>
      <c r="BH236" s="734"/>
      <c r="BI236" s="734"/>
      <c r="BJ236" s="734"/>
      <c r="BK236" s="734"/>
      <c r="BL236" s="734"/>
      <c r="BM236" s="734"/>
      <c r="BN236" s="734"/>
      <c r="BO236" s="734"/>
      <c r="BP236" s="734"/>
      <c r="BQ236" s="734"/>
      <c r="BR236" s="734"/>
      <c r="BS236" s="734"/>
      <c r="BT236" s="734"/>
      <c r="BU236" s="734"/>
      <c r="BV236" s="734"/>
      <c r="BW236" s="734"/>
      <c r="BX236" s="734"/>
      <c r="BY236" s="734"/>
      <c r="BZ236" s="734"/>
      <c r="CA236" s="734"/>
    </row>
    <row r="237" spans="1:79" s="452" customFormat="1" hidden="1" outlineLevel="1" x14ac:dyDescent="0.35">
      <c r="A237" s="80"/>
      <c r="B237" s="80"/>
      <c r="C237" s="80"/>
      <c r="D237" s="80"/>
      <c r="E237" s="80"/>
      <c r="F237" s="672" t="s">
        <v>613</v>
      </c>
      <c r="G237" s="735"/>
      <c r="H237" s="735"/>
      <c r="I237" s="735"/>
      <c r="J237" s="735"/>
      <c r="K237" s="735"/>
      <c r="L237" s="735"/>
      <c r="M237" s="735"/>
      <c r="N237" s="735"/>
      <c r="O237" s="735"/>
      <c r="P237" s="732"/>
      <c r="Q237" s="732"/>
      <c r="R237" s="732"/>
      <c r="S237" s="687">
        <v>12000</v>
      </c>
      <c r="T237" s="687">
        <v>7285.86</v>
      </c>
      <c r="U237" s="687">
        <v>21140.21</v>
      </c>
      <c r="V237" s="687">
        <v>1356.79</v>
      </c>
      <c r="W237" s="687">
        <v>14085.69</v>
      </c>
      <c r="X237" s="687">
        <v>23574.21</v>
      </c>
      <c r="Y237" s="687">
        <v>78990.66</v>
      </c>
      <c r="Z237" s="687">
        <v>47119.23</v>
      </c>
      <c r="AA237" s="687">
        <v>28275.4</v>
      </c>
      <c r="AB237" s="687">
        <v>34860.03</v>
      </c>
      <c r="AC237" s="687">
        <v>27800</v>
      </c>
      <c r="AD237" s="687">
        <v>27000</v>
      </c>
      <c r="AE237" s="734"/>
      <c r="AF237" s="734"/>
      <c r="AG237" s="734"/>
      <c r="AH237" s="734"/>
      <c r="AI237" s="734"/>
      <c r="AJ237" s="734"/>
      <c r="AK237" s="734"/>
      <c r="AL237" s="734"/>
      <c r="AM237" s="734"/>
      <c r="AN237" s="734"/>
      <c r="AO237" s="734"/>
      <c r="AP237" s="734"/>
      <c r="AQ237" s="734"/>
      <c r="AR237" s="734"/>
      <c r="AS237" s="734"/>
      <c r="AT237" s="734"/>
      <c r="AU237" s="734"/>
      <c r="AV237" s="734"/>
      <c r="AW237" s="734"/>
      <c r="AX237" s="734"/>
      <c r="AY237" s="734"/>
      <c r="AZ237" s="734"/>
      <c r="BA237" s="734"/>
      <c r="BB237" s="734"/>
      <c r="BC237" s="734"/>
      <c r="BD237" s="734"/>
      <c r="BE237" s="734"/>
      <c r="BF237" s="734"/>
      <c r="BG237" s="734"/>
      <c r="BH237" s="734"/>
      <c r="BI237" s="734"/>
      <c r="BJ237" s="734"/>
      <c r="BK237" s="734"/>
      <c r="BL237" s="734"/>
      <c r="BM237" s="734"/>
      <c r="BN237" s="734"/>
      <c r="BO237" s="734"/>
      <c r="BP237" s="734"/>
      <c r="BQ237" s="734"/>
      <c r="BR237" s="734"/>
      <c r="BS237" s="734"/>
      <c r="BT237" s="734"/>
      <c r="BU237" s="734"/>
      <c r="BV237" s="734"/>
      <c r="BW237" s="734"/>
      <c r="BX237" s="734"/>
      <c r="BY237" s="734"/>
      <c r="BZ237" s="734"/>
      <c r="CA237" s="734"/>
    </row>
    <row r="238" spans="1:79" s="452" customFormat="1" hidden="1" outlineLevel="1" x14ac:dyDescent="0.35">
      <c r="A238" s="80"/>
      <c r="B238" s="80"/>
      <c r="C238" s="80"/>
      <c r="D238" s="80"/>
      <c r="E238" s="80"/>
      <c r="F238" s="672" t="s">
        <v>614</v>
      </c>
      <c r="G238" s="735"/>
      <c r="H238" s="735"/>
      <c r="I238" s="735"/>
      <c r="J238" s="735"/>
      <c r="K238" s="735"/>
      <c r="L238" s="735"/>
      <c r="M238" s="735"/>
      <c r="N238" s="735"/>
      <c r="O238" s="735"/>
      <c r="P238" s="732"/>
      <c r="Q238" s="732"/>
      <c r="R238" s="732"/>
      <c r="S238" s="692">
        <v>2484</v>
      </c>
      <c r="T238" s="692">
        <v>8458.64</v>
      </c>
      <c r="U238" s="692">
        <v>2703.95</v>
      </c>
      <c r="V238" s="692">
        <v>2165.87</v>
      </c>
      <c r="W238" s="692">
        <v>2555.71</v>
      </c>
      <c r="X238" s="692">
        <v>32774.410000000003</v>
      </c>
      <c r="Y238" s="692">
        <v>7038.06</v>
      </c>
      <c r="Z238" s="692">
        <v>0</v>
      </c>
      <c r="AA238" s="692">
        <v>16298.09</v>
      </c>
      <c r="AB238" s="692">
        <v>0</v>
      </c>
      <c r="AC238" s="692">
        <v>105.99</v>
      </c>
      <c r="AD238" s="692">
        <v>0</v>
      </c>
      <c r="AE238" s="734"/>
      <c r="AF238" s="734"/>
      <c r="AG238" s="734"/>
      <c r="AH238" s="734"/>
      <c r="AI238" s="734"/>
      <c r="AJ238" s="734"/>
      <c r="AK238" s="734"/>
      <c r="AL238" s="734"/>
      <c r="AM238" s="734"/>
      <c r="AN238" s="734"/>
      <c r="AO238" s="734"/>
      <c r="AP238" s="734"/>
      <c r="AQ238" s="734"/>
      <c r="AR238" s="734"/>
      <c r="AS238" s="734"/>
      <c r="AT238" s="734"/>
      <c r="AU238" s="734"/>
      <c r="AV238" s="734"/>
      <c r="AW238" s="734"/>
      <c r="AX238" s="734"/>
      <c r="AY238" s="734"/>
      <c r="AZ238" s="734"/>
      <c r="BA238" s="734"/>
      <c r="BB238" s="734"/>
      <c r="BC238" s="734"/>
      <c r="BD238" s="734"/>
      <c r="BE238" s="734"/>
      <c r="BF238" s="734"/>
      <c r="BG238" s="734"/>
      <c r="BH238" s="734"/>
      <c r="BI238" s="734"/>
      <c r="BJ238" s="734"/>
      <c r="BK238" s="734"/>
      <c r="BL238" s="734"/>
      <c r="BM238" s="734"/>
      <c r="BN238" s="734"/>
      <c r="BO238" s="734"/>
      <c r="BP238" s="734"/>
      <c r="BQ238" s="734"/>
      <c r="BR238" s="734"/>
      <c r="BS238" s="734"/>
      <c r="BT238" s="734"/>
      <c r="BU238" s="734"/>
      <c r="BV238" s="734"/>
      <c r="BW238" s="734"/>
      <c r="BX238" s="734"/>
      <c r="BY238" s="734"/>
      <c r="BZ238" s="734"/>
      <c r="CA238" s="734"/>
    </row>
    <row r="239" spans="1:79" s="452" customFormat="1" hidden="1" outlineLevel="1" x14ac:dyDescent="0.35">
      <c r="A239" s="80"/>
      <c r="B239" s="80"/>
      <c r="C239" s="80"/>
      <c r="D239" s="80"/>
      <c r="E239" s="80"/>
      <c r="F239" s="672" t="s">
        <v>615</v>
      </c>
      <c r="G239" s="735"/>
      <c r="H239" s="735"/>
      <c r="I239" s="735"/>
      <c r="J239" s="735"/>
      <c r="K239" s="735"/>
      <c r="L239" s="735"/>
      <c r="M239" s="735"/>
      <c r="N239" s="735"/>
      <c r="O239" s="735"/>
      <c r="P239" s="732"/>
      <c r="Q239" s="732"/>
      <c r="R239" s="732"/>
      <c r="S239" s="692">
        <v>241.46</v>
      </c>
      <c r="T239" s="692">
        <v>241.46</v>
      </c>
      <c r="U239" s="692">
        <v>736.85</v>
      </c>
      <c r="V239" s="692">
        <v>13274.46</v>
      </c>
      <c r="W239" s="692">
        <v>3960</v>
      </c>
      <c r="X239" s="692">
        <v>5942.85</v>
      </c>
      <c r="Y239" s="692">
        <v>8207.25</v>
      </c>
      <c r="Z239" s="692">
        <v>7795.25</v>
      </c>
      <c r="AA239" s="692">
        <v>4015.5</v>
      </c>
      <c r="AB239" s="692">
        <v>3875.5</v>
      </c>
      <c r="AC239" s="692">
        <v>3950.5</v>
      </c>
      <c r="AD239" s="692">
        <v>6727.35</v>
      </c>
      <c r="AE239" s="734"/>
      <c r="AF239" s="734"/>
      <c r="AG239" s="734"/>
      <c r="AH239" s="734"/>
      <c r="AI239" s="734"/>
      <c r="AJ239" s="734"/>
      <c r="AK239" s="734"/>
      <c r="AL239" s="734"/>
      <c r="AM239" s="734"/>
      <c r="AN239" s="734"/>
      <c r="AO239" s="734"/>
      <c r="AP239" s="734"/>
      <c r="AQ239" s="734"/>
      <c r="AR239" s="734"/>
      <c r="AS239" s="734"/>
      <c r="AT239" s="734"/>
      <c r="AU239" s="734"/>
      <c r="AV239" s="734"/>
      <c r="AW239" s="734"/>
      <c r="AX239" s="734"/>
      <c r="AY239" s="734"/>
      <c r="AZ239" s="734"/>
      <c r="BA239" s="734"/>
      <c r="BB239" s="734"/>
      <c r="BC239" s="734"/>
      <c r="BD239" s="734"/>
      <c r="BE239" s="734"/>
      <c r="BF239" s="734"/>
      <c r="BG239" s="734"/>
      <c r="BH239" s="734"/>
      <c r="BI239" s="734"/>
      <c r="BJ239" s="734"/>
      <c r="BK239" s="734"/>
      <c r="BL239" s="734"/>
      <c r="BM239" s="734"/>
      <c r="BN239" s="734"/>
      <c r="BO239" s="734"/>
      <c r="BP239" s="734"/>
      <c r="BQ239" s="734"/>
      <c r="BR239" s="734"/>
      <c r="BS239" s="734"/>
      <c r="BT239" s="734"/>
      <c r="BU239" s="734"/>
      <c r="BV239" s="734"/>
      <c r="BW239" s="734"/>
      <c r="BX239" s="734"/>
      <c r="BY239" s="734"/>
      <c r="BZ239" s="734"/>
      <c r="CA239" s="734"/>
    </row>
    <row r="240" spans="1:79" s="452" customFormat="1" hidden="1" outlineLevel="1" x14ac:dyDescent="0.35">
      <c r="A240" s="80"/>
      <c r="B240" s="80"/>
      <c r="C240" s="80"/>
      <c r="D240" s="80"/>
      <c r="E240" s="80"/>
      <c r="F240" s="672" t="s">
        <v>616</v>
      </c>
      <c r="G240" s="735"/>
      <c r="H240" s="735"/>
      <c r="I240" s="735"/>
      <c r="J240" s="735"/>
      <c r="K240" s="735"/>
      <c r="L240" s="735"/>
      <c r="M240" s="735"/>
      <c r="N240" s="735"/>
      <c r="O240" s="735"/>
      <c r="P240" s="732"/>
      <c r="Q240" s="732"/>
      <c r="R240" s="732"/>
      <c r="S240" s="692">
        <v>0</v>
      </c>
      <c r="T240" s="692">
        <v>0</v>
      </c>
      <c r="U240" s="692">
        <v>476.7</v>
      </c>
      <c r="V240" s="692">
        <v>1598.98</v>
      </c>
      <c r="W240" s="692">
        <v>3343.16</v>
      </c>
      <c r="X240" s="692">
        <v>670</v>
      </c>
      <c r="Y240" s="692">
        <v>104.99</v>
      </c>
      <c r="Z240" s="692">
        <v>179.99</v>
      </c>
      <c r="AA240" s="692">
        <v>1042.71</v>
      </c>
      <c r="AB240" s="692">
        <v>5384.78</v>
      </c>
      <c r="AC240" s="692">
        <v>0</v>
      </c>
      <c r="AD240" s="692">
        <v>1072.78</v>
      </c>
      <c r="AE240" s="734"/>
      <c r="AF240" s="734"/>
      <c r="AG240" s="734"/>
      <c r="AH240" s="734"/>
      <c r="AI240" s="734"/>
      <c r="AJ240" s="734"/>
      <c r="AK240" s="734"/>
      <c r="AL240" s="734"/>
      <c r="AM240" s="734"/>
      <c r="AN240" s="734"/>
      <c r="AO240" s="734"/>
      <c r="AP240" s="734"/>
      <c r="AQ240" s="734"/>
      <c r="AR240" s="734"/>
      <c r="AS240" s="734"/>
      <c r="AT240" s="734"/>
      <c r="AU240" s="734"/>
      <c r="AV240" s="734"/>
      <c r="AW240" s="734"/>
      <c r="AX240" s="734"/>
      <c r="AY240" s="734"/>
      <c r="AZ240" s="734"/>
      <c r="BA240" s="734"/>
      <c r="BB240" s="734"/>
      <c r="BC240" s="734"/>
      <c r="BD240" s="734"/>
      <c r="BE240" s="734"/>
      <c r="BF240" s="734"/>
      <c r="BG240" s="734"/>
      <c r="BH240" s="734"/>
      <c r="BI240" s="734"/>
      <c r="BJ240" s="734"/>
      <c r="BK240" s="734"/>
      <c r="BL240" s="734"/>
      <c r="BM240" s="734"/>
      <c r="BN240" s="734"/>
      <c r="BO240" s="734"/>
      <c r="BP240" s="734"/>
      <c r="BQ240" s="734"/>
      <c r="BR240" s="734"/>
      <c r="BS240" s="734"/>
      <c r="BT240" s="734"/>
      <c r="BU240" s="734"/>
      <c r="BV240" s="734"/>
      <c r="BW240" s="734"/>
      <c r="BX240" s="734"/>
      <c r="BY240" s="734"/>
      <c r="BZ240" s="734"/>
      <c r="CA240" s="734"/>
    </row>
    <row r="241" spans="1:79" s="452" customFormat="1" hidden="1" outlineLevel="1" x14ac:dyDescent="0.35">
      <c r="A241" s="580"/>
      <c r="B241" s="580"/>
      <c r="C241" s="580"/>
      <c r="D241" s="580"/>
      <c r="E241" s="580"/>
      <c r="F241" s="672" t="s">
        <v>893</v>
      </c>
      <c r="G241" s="735"/>
      <c r="H241" s="735"/>
      <c r="I241" s="735"/>
      <c r="J241" s="735"/>
      <c r="K241" s="735"/>
      <c r="L241" s="735"/>
      <c r="M241" s="735"/>
      <c r="N241" s="735"/>
      <c r="O241" s="735"/>
      <c r="P241" s="732"/>
      <c r="Q241" s="732"/>
      <c r="R241" s="732"/>
      <c r="S241" s="692">
        <v>0</v>
      </c>
      <c r="T241" s="692">
        <v>0</v>
      </c>
      <c r="U241" s="692">
        <v>0</v>
      </c>
      <c r="V241" s="692">
        <v>0</v>
      </c>
      <c r="W241" s="692">
        <v>0</v>
      </c>
      <c r="X241" s="692">
        <v>0</v>
      </c>
      <c r="Y241" s="692">
        <v>0</v>
      </c>
      <c r="Z241" s="692">
        <v>0</v>
      </c>
      <c r="AA241" s="692">
        <v>0</v>
      </c>
      <c r="AB241" s="692">
        <v>0</v>
      </c>
      <c r="AC241" s="692">
        <v>0</v>
      </c>
      <c r="AD241" s="692">
        <v>0</v>
      </c>
      <c r="AE241" s="734"/>
      <c r="AF241" s="734"/>
      <c r="AG241" s="734"/>
      <c r="AH241" s="734"/>
      <c r="AI241" s="734"/>
      <c r="AJ241" s="734"/>
      <c r="AK241" s="734"/>
      <c r="AL241" s="734"/>
      <c r="AM241" s="734"/>
      <c r="AN241" s="734"/>
      <c r="AO241" s="734"/>
      <c r="AP241" s="734"/>
      <c r="AQ241" s="734"/>
      <c r="AR241" s="734"/>
      <c r="AS241" s="734"/>
      <c r="AT241" s="734"/>
      <c r="AU241" s="734"/>
      <c r="AV241" s="734"/>
      <c r="AW241" s="734"/>
      <c r="AX241" s="734"/>
      <c r="AY241" s="734"/>
      <c r="AZ241" s="734"/>
      <c r="BA241" s="734"/>
      <c r="BB241" s="734"/>
      <c r="BC241" s="734"/>
      <c r="BD241" s="734"/>
      <c r="BE241" s="734"/>
      <c r="BF241" s="734"/>
      <c r="BG241" s="734"/>
      <c r="BH241" s="734"/>
      <c r="BI241" s="734"/>
      <c r="BJ241" s="734"/>
      <c r="BK241" s="734"/>
      <c r="BL241" s="734"/>
      <c r="BM241" s="734"/>
      <c r="BN241" s="734"/>
      <c r="BO241" s="734"/>
      <c r="BP241" s="734"/>
      <c r="BQ241" s="734"/>
      <c r="BR241" s="734"/>
      <c r="BS241" s="734"/>
      <c r="BT241" s="734"/>
      <c r="BU241" s="734"/>
      <c r="BV241" s="734"/>
      <c r="BW241" s="734"/>
      <c r="BX241" s="734"/>
      <c r="BY241" s="734"/>
      <c r="BZ241" s="734"/>
      <c r="CA241" s="734"/>
    </row>
    <row r="242" spans="1:79" s="452" customFormat="1" hidden="1" outlineLevel="1" x14ac:dyDescent="0.35">
      <c r="A242" s="580"/>
      <c r="B242" s="580"/>
      <c r="C242" s="580"/>
      <c r="D242" s="580"/>
      <c r="E242" s="580"/>
      <c r="F242" s="672" t="s">
        <v>768</v>
      </c>
      <c r="G242" s="735"/>
      <c r="H242" s="735"/>
      <c r="I242" s="735"/>
      <c r="J242" s="735"/>
      <c r="K242" s="735"/>
      <c r="L242" s="735"/>
      <c r="M242" s="735"/>
      <c r="N242" s="735"/>
      <c r="O242" s="735"/>
      <c r="P242" s="732"/>
      <c r="Q242" s="732"/>
      <c r="R242" s="732"/>
      <c r="S242" s="692">
        <v>0</v>
      </c>
      <c r="T242" s="692">
        <v>0</v>
      </c>
      <c r="U242" s="692">
        <v>0</v>
      </c>
      <c r="V242" s="692">
        <v>0</v>
      </c>
      <c r="W242" s="692">
        <v>0</v>
      </c>
      <c r="X242" s="692">
        <v>18680.86</v>
      </c>
      <c r="Y242" s="692">
        <v>18962.14</v>
      </c>
      <c r="Z242" s="692">
        <v>16788.7</v>
      </c>
      <c r="AA242" s="692">
        <v>13318.66</v>
      </c>
      <c r="AB242" s="692">
        <v>60</v>
      </c>
      <c r="AC242" s="692">
        <v>169.5</v>
      </c>
      <c r="AD242" s="692">
        <v>0</v>
      </c>
      <c r="AE242" s="734"/>
      <c r="AF242" s="734"/>
      <c r="AG242" s="734"/>
      <c r="AH242" s="734"/>
      <c r="AI242" s="734"/>
      <c r="AJ242" s="734"/>
      <c r="AK242" s="734"/>
      <c r="AL242" s="734"/>
      <c r="AM242" s="734"/>
      <c r="AN242" s="734"/>
      <c r="AO242" s="734"/>
      <c r="AP242" s="734"/>
      <c r="AQ242" s="734"/>
      <c r="AR242" s="734"/>
      <c r="AS242" s="734"/>
      <c r="AT242" s="734"/>
      <c r="AU242" s="734"/>
      <c r="AV242" s="734"/>
      <c r="AW242" s="734"/>
      <c r="AX242" s="734"/>
      <c r="AY242" s="734"/>
      <c r="AZ242" s="734"/>
      <c r="BA242" s="734"/>
      <c r="BB242" s="734"/>
      <c r="BC242" s="734"/>
      <c r="BD242" s="734"/>
      <c r="BE242" s="734"/>
      <c r="BF242" s="734"/>
      <c r="BG242" s="734"/>
      <c r="BH242" s="734"/>
      <c r="BI242" s="734"/>
      <c r="BJ242" s="734"/>
      <c r="BK242" s="734"/>
      <c r="BL242" s="734"/>
      <c r="BM242" s="734"/>
      <c r="BN242" s="734"/>
      <c r="BO242" s="734"/>
      <c r="BP242" s="734"/>
      <c r="BQ242" s="734"/>
      <c r="BR242" s="734"/>
      <c r="BS242" s="734"/>
      <c r="BT242" s="734"/>
      <c r="BU242" s="734"/>
      <c r="BV242" s="734"/>
      <c r="BW242" s="734"/>
      <c r="BX242" s="734"/>
      <c r="BY242" s="734"/>
      <c r="BZ242" s="734"/>
      <c r="CA242" s="734"/>
    </row>
    <row r="243" spans="1:79" s="452" customFormat="1" hidden="1" outlineLevel="1" x14ac:dyDescent="0.35">
      <c r="A243" s="580"/>
      <c r="B243" s="580"/>
      <c r="C243" s="580"/>
      <c r="D243" s="580"/>
      <c r="E243" s="580"/>
      <c r="F243" s="672" t="s">
        <v>785</v>
      </c>
      <c r="G243" s="735"/>
      <c r="H243" s="735"/>
      <c r="I243" s="735"/>
      <c r="J243" s="735"/>
      <c r="K243" s="735"/>
      <c r="L243" s="735"/>
      <c r="M243" s="735"/>
      <c r="N243" s="735"/>
      <c r="O243" s="735"/>
      <c r="P243" s="732"/>
      <c r="Q243" s="732"/>
      <c r="R243" s="732"/>
      <c r="S243" s="692">
        <v>0</v>
      </c>
      <c r="T243" s="692">
        <v>0</v>
      </c>
      <c r="U243" s="692">
        <v>0</v>
      </c>
      <c r="V243" s="692">
        <v>0</v>
      </c>
      <c r="W243" s="692">
        <v>0</v>
      </c>
      <c r="X243" s="692">
        <v>1150</v>
      </c>
      <c r="Y243" s="692">
        <v>595.09</v>
      </c>
      <c r="Z243" s="692">
        <v>5787.96</v>
      </c>
      <c r="AA243" s="692">
        <v>175</v>
      </c>
      <c r="AB243" s="692">
        <v>525</v>
      </c>
      <c r="AC243" s="692">
        <v>375</v>
      </c>
      <c r="AD243" s="692">
        <v>256</v>
      </c>
      <c r="AE243" s="734"/>
      <c r="AF243" s="734"/>
      <c r="AG243" s="734"/>
      <c r="AH243" s="734"/>
      <c r="AI243" s="734"/>
      <c r="AJ243" s="734"/>
      <c r="AK243" s="734"/>
      <c r="AL243" s="734"/>
      <c r="AM243" s="734"/>
      <c r="AN243" s="734"/>
      <c r="AO243" s="734"/>
      <c r="AP243" s="734"/>
      <c r="AQ243" s="734"/>
      <c r="AR243" s="734"/>
      <c r="AS243" s="734"/>
      <c r="AT243" s="734"/>
      <c r="AU243" s="734"/>
      <c r="AV243" s="734"/>
      <c r="AW243" s="734"/>
      <c r="AX243" s="734"/>
      <c r="AY243" s="734"/>
      <c r="AZ243" s="734"/>
      <c r="BA243" s="734"/>
      <c r="BB243" s="734"/>
      <c r="BC243" s="734"/>
      <c r="BD243" s="734"/>
      <c r="BE243" s="734"/>
      <c r="BF243" s="734"/>
      <c r="BG243" s="734"/>
      <c r="BH243" s="734"/>
      <c r="BI243" s="734"/>
      <c r="BJ243" s="734"/>
      <c r="BK243" s="734"/>
      <c r="BL243" s="734"/>
      <c r="BM243" s="734"/>
      <c r="BN243" s="734"/>
      <c r="BO243" s="734"/>
      <c r="BP243" s="734"/>
      <c r="BQ243" s="734"/>
      <c r="BR243" s="734"/>
      <c r="BS243" s="734"/>
      <c r="BT243" s="734"/>
      <c r="BU243" s="734"/>
      <c r="BV243" s="734"/>
      <c r="BW243" s="734"/>
      <c r="BX243" s="734"/>
      <c r="BY243" s="734"/>
      <c r="BZ243" s="734"/>
      <c r="CA243" s="734"/>
    </row>
    <row r="244" spans="1:79" s="452" customFormat="1" hidden="1" outlineLevel="1" x14ac:dyDescent="0.35">
      <c r="A244" s="80"/>
      <c r="B244" s="80"/>
      <c r="C244" s="80"/>
      <c r="D244" s="80"/>
      <c r="E244" s="80"/>
      <c r="F244" s="672" t="s">
        <v>617</v>
      </c>
      <c r="G244" s="732">
        <v>91250.8</v>
      </c>
      <c r="H244" s="732">
        <v>137787.19999999998</v>
      </c>
      <c r="I244" s="732">
        <v>162742.02000000002</v>
      </c>
      <c r="J244" s="732">
        <v>151877.41</v>
      </c>
      <c r="K244" s="732">
        <v>115310.32</v>
      </c>
      <c r="L244" s="732">
        <v>133316.34</v>
      </c>
      <c r="M244" s="732">
        <v>125631.40000000001</v>
      </c>
      <c r="N244" s="732">
        <v>142464.76</v>
      </c>
      <c r="O244" s="732">
        <v>143788.80000000005</v>
      </c>
      <c r="P244" s="732">
        <v>156742.78</v>
      </c>
      <c r="Q244" s="732">
        <v>88581.16</v>
      </c>
      <c r="R244" s="732">
        <v>60219.11</v>
      </c>
      <c r="S244" s="692">
        <v>228490.91</v>
      </c>
      <c r="T244" s="692">
        <v>153736.46</v>
      </c>
      <c r="U244" s="692">
        <v>213606.6</v>
      </c>
      <c r="V244" s="692">
        <v>209812.42</v>
      </c>
      <c r="W244" s="692">
        <v>239450.07</v>
      </c>
      <c r="X244" s="692">
        <v>334802.44</v>
      </c>
      <c r="Y244" s="692">
        <v>558380.03</v>
      </c>
      <c r="Z244" s="692">
        <v>565582.63</v>
      </c>
      <c r="AA244" s="692">
        <v>341707.57</v>
      </c>
      <c r="AB244" s="692">
        <v>317949.32</v>
      </c>
      <c r="AC244" s="692">
        <v>363905.76</v>
      </c>
      <c r="AD244" s="692">
        <v>283172.84999999998</v>
      </c>
      <c r="AE244" s="734"/>
      <c r="AF244" s="734"/>
      <c r="AG244" s="734"/>
      <c r="AH244" s="734"/>
      <c r="AI244" s="734"/>
      <c r="AJ244" s="734"/>
      <c r="AK244" s="734"/>
      <c r="AL244" s="734"/>
      <c r="AM244" s="734"/>
      <c r="AN244" s="734"/>
      <c r="AO244" s="734"/>
      <c r="AP244" s="734"/>
      <c r="AQ244" s="734"/>
      <c r="AR244" s="734"/>
      <c r="AS244" s="734"/>
      <c r="AT244" s="734"/>
      <c r="AU244" s="734"/>
      <c r="AV244" s="734"/>
      <c r="AW244" s="734"/>
      <c r="AX244" s="734"/>
      <c r="AY244" s="734"/>
      <c r="AZ244" s="734"/>
      <c r="BA244" s="734"/>
      <c r="BB244" s="734"/>
      <c r="BC244" s="734"/>
      <c r="BD244" s="734"/>
      <c r="BE244" s="734"/>
      <c r="BF244" s="734"/>
      <c r="BG244" s="734"/>
      <c r="BH244" s="734"/>
      <c r="BI244" s="734"/>
      <c r="BJ244" s="734"/>
      <c r="BK244" s="734"/>
      <c r="BL244" s="734"/>
      <c r="BM244" s="734"/>
      <c r="BN244" s="734"/>
      <c r="BO244" s="734"/>
      <c r="BP244" s="734"/>
      <c r="BQ244" s="734"/>
      <c r="BR244" s="734"/>
      <c r="BS244" s="734"/>
      <c r="BT244" s="734"/>
      <c r="BU244" s="734"/>
      <c r="BV244" s="734"/>
      <c r="BW244" s="734"/>
      <c r="BX244" s="734"/>
      <c r="BY244" s="734"/>
      <c r="BZ244" s="734"/>
      <c r="CA244" s="734"/>
    </row>
    <row r="245" spans="1:79" s="452" customFormat="1" hidden="1" outlineLevel="1" x14ac:dyDescent="0.35">
      <c r="A245" s="80"/>
      <c r="B245" s="80"/>
      <c r="C245" s="80"/>
      <c r="D245" s="80"/>
      <c r="E245" s="80"/>
      <c r="F245" s="672" t="s">
        <v>618</v>
      </c>
      <c r="G245" s="732"/>
      <c r="H245" s="732"/>
      <c r="I245" s="732"/>
      <c r="J245" s="732"/>
      <c r="K245" s="732"/>
      <c r="L245" s="732"/>
      <c r="M245" s="732"/>
      <c r="N245" s="732"/>
      <c r="O245" s="732"/>
      <c r="P245" s="732"/>
      <c r="Q245" s="732"/>
      <c r="R245" s="732"/>
      <c r="S245" s="692">
        <v>8130</v>
      </c>
      <c r="T245" s="692">
        <v>6635</v>
      </c>
      <c r="U245" s="692">
        <v>6550</v>
      </c>
      <c r="V245" s="692">
        <v>6805</v>
      </c>
      <c r="W245" s="692">
        <v>7525</v>
      </c>
      <c r="X245" s="692">
        <v>24000</v>
      </c>
      <c r="Y245" s="692">
        <v>18016.48</v>
      </c>
      <c r="Z245" s="692">
        <v>18610.48</v>
      </c>
      <c r="AA245" s="692">
        <v>20104</v>
      </c>
      <c r="AB245" s="692">
        <v>18030.95</v>
      </c>
      <c r="AC245" s="692">
        <v>18134.849999999999</v>
      </c>
      <c r="AD245" s="692">
        <v>18093.21</v>
      </c>
      <c r="AE245" s="734"/>
      <c r="AF245" s="734"/>
      <c r="AG245" s="734"/>
      <c r="AH245" s="734"/>
      <c r="AI245" s="734"/>
      <c r="AJ245" s="734"/>
      <c r="AK245" s="734"/>
      <c r="AL245" s="734"/>
      <c r="AM245" s="734"/>
      <c r="AN245" s="734"/>
      <c r="AO245" s="734"/>
      <c r="AP245" s="734"/>
      <c r="AQ245" s="734"/>
      <c r="AR245" s="734"/>
      <c r="AS245" s="734"/>
      <c r="AT245" s="734"/>
      <c r="AU245" s="734"/>
      <c r="AV245" s="734"/>
      <c r="AW245" s="734"/>
      <c r="AX245" s="734"/>
      <c r="AY245" s="734"/>
      <c r="AZ245" s="734"/>
      <c r="BA245" s="734"/>
      <c r="BB245" s="734"/>
      <c r="BC245" s="734"/>
      <c r="BD245" s="734"/>
      <c r="BE245" s="734"/>
      <c r="BF245" s="734"/>
      <c r="BG245" s="734"/>
      <c r="BH245" s="734"/>
      <c r="BI245" s="734"/>
      <c r="BJ245" s="734"/>
      <c r="BK245" s="734"/>
      <c r="BL245" s="734"/>
      <c r="BM245" s="734"/>
      <c r="BN245" s="734"/>
      <c r="BO245" s="734"/>
      <c r="BP245" s="734"/>
      <c r="BQ245" s="734"/>
      <c r="BR245" s="734"/>
      <c r="BS245" s="734"/>
      <c r="BT245" s="734"/>
      <c r="BU245" s="734"/>
      <c r="BV245" s="734"/>
      <c r="BW245" s="734"/>
      <c r="BX245" s="734"/>
      <c r="BY245" s="734"/>
      <c r="BZ245" s="734"/>
      <c r="CA245" s="734"/>
    </row>
    <row r="246" spans="1:79" s="452" customFormat="1" hidden="1" outlineLevel="1" x14ac:dyDescent="0.35">
      <c r="A246" s="80"/>
      <c r="B246" s="80"/>
      <c r="C246" s="80"/>
      <c r="D246" s="80"/>
      <c r="E246" s="80"/>
      <c r="F246" s="672" t="s">
        <v>619</v>
      </c>
      <c r="G246" s="735"/>
      <c r="H246" s="735"/>
      <c r="I246" s="735"/>
      <c r="J246" s="735"/>
      <c r="K246" s="735"/>
      <c r="L246" s="735"/>
      <c r="M246" s="735"/>
      <c r="N246" s="735"/>
      <c r="O246" s="735"/>
      <c r="P246" s="732"/>
      <c r="Q246" s="732"/>
      <c r="R246" s="732"/>
      <c r="S246" s="692">
        <v>2685.38</v>
      </c>
      <c r="T246" s="692">
        <v>0</v>
      </c>
      <c r="U246" s="692">
        <v>0</v>
      </c>
      <c r="V246" s="692">
        <v>297</v>
      </c>
      <c r="W246" s="692">
        <v>0</v>
      </c>
      <c r="X246" s="692">
        <v>0</v>
      </c>
      <c r="Y246" s="692">
        <v>0</v>
      </c>
      <c r="Z246" s="692">
        <v>0</v>
      </c>
      <c r="AA246" s="692">
        <v>0</v>
      </c>
      <c r="AB246" s="692">
        <v>0</v>
      </c>
      <c r="AC246" s="692">
        <v>0</v>
      </c>
      <c r="AD246" s="692">
        <v>0</v>
      </c>
      <c r="AE246" s="734"/>
      <c r="AF246" s="734"/>
      <c r="AG246" s="734"/>
      <c r="AH246" s="734"/>
      <c r="AI246" s="734"/>
      <c r="AJ246" s="734"/>
      <c r="AK246" s="734"/>
      <c r="AL246" s="734"/>
      <c r="AM246" s="734"/>
      <c r="AN246" s="734"/>
      <c r="AO246" s="734"/>
      <c r="AP246" s="734"/>
      <c r="AQ246" s="734"/>
      <c r="AR246" s="734"/>
      <c r="AS246" s="734"/>
      <c r="AT246" s="734"/>
      <c r="AU246" s="734"/>
      <c r="AV246" s="734"/>
      <c r="AW246" s="734"/>
      <c r="AX246" s="734"/>
      <c r="AY246" s="734"/>
      <c r="AZ246" s="734"/>
      <c r="BA246" s="734"/>
      <c r="BB246" s="734"/>
      <c r="BC246" s="734"/>
      <c r="BD246" s="734"/>
      <c r="BE246" s="734"/>
      <c r="BF246" s="734"/>
      <c r="BG246" s="734"/>
      <c r="BH246" s="734"/>
      <c r="BI246" s="734"/>
      <c r="BJ246" s="734"/>
      <c r="BK246" s="734"/>
      <c r="BL246" s="734"/>
      <c r="BM246" s="734"/>
      <c r="BN246" s="734"/>
      <c r="BO246" s="734"/>
      <c r="BP246" s="734"/>
      <c r="BQ246" s="734"/>
      <c r="BR246" s="734"/>
      <c r="BS246" s="734"/>
      <c r="BT246" s="734"/>
      <c r="BU246" s="734"/>
      <c r="BV246" s="734"/>
      <c r="BW246" s="734"/>
      <c r="BX246" s="734"/>
      <c r="BY246" s="734"/>
      <c r="BZ246" s="734"/>
      <c r="CA246" s="734"/>
    </row>
    <row r="247" spans="1:79" s="452" customFormat="1" hidden="1" outlineLevel="1" x14ac:dyDescent="0.35">
      <c r="A247" s="580"/>
      <c r="B247" s="580"/>
      <c r="C247" s="580"/>
      <c r="D247" s="580"/>
      <c r="E247" s="580"/>
      <c r="F247" s="672" t="s">
        <v>894</v>
      </c>
      <c r="G247" s="735"/>
      <c r="H247" s="735"/>
      <c r="I247" s="735"/>
      <c r="J247" s="735"/>
      <c r="K247" s="735"/>
      <c r="L247" s="735"/>
      <c r="M247" s="735"/>
      <c r="N247" s="735"/>
      <c r="O247" s="735"/>
      <c r="P247" s="732"/>
      <c r="Q247" s="732"/>
      <c r="R247" s="732"/>
      <c r="S247" s="692">
        <v>0</v>
      </c>
      <c r="T247" s="692">
        <v>0</v>
      </c>
      <c r="U247" s="692">
        <v>0</v>
      </c>
      <c r="V247" s="692">
        <v>0</v>
      </c>
      <c r="W247" s="692">
        <v>0</v>
      </c>
      <c r="X247" s="692">
        <v>0</v>
      </c>
      <c r="Y247" s="692">
        <v>0</v>
      </c>
      <c r="Z247" s="692">
        <v>0</v>
      </c>
      <c r="AA247" s="692">
        <v>0</v>
      </c>
      <c r="AB247" s="692">
        <v>0</v>
      </c>
      <c r="AC247" s="692">
        <v>0</v>
      </c>
      <c r="AD247" s="692">
        <v>0</v>
      </c>
      <c r="AE247" s="734"/>
      <c r="AF247" s="734"/>
      <c r="AG247" s="734"/>
      <c r="AH247" s="734"/>
      <c r="AI247" s="734"/>
      <c r="AJ247" s="734"/>
      <c r="AK247" s="734"/>
      <c r="AL247" s="734"/>
      <c r="AM247" s="734"/>
      <c r="AN247" s="734"/>
      <c r="AO247" s="734"/>
      <c r="AP247" s="734"/>
      <c r="AQ247" s="734"/>
      <c r="AR247" s="734"/>
      <c r="AS247" s="734"/>
      <c r="AT247" s="734"/>
      <c r="AU247" s="734"/>
      <c r="AV247" s="734"/>
      <c r="AW247" s="734"/>
      <c r="AX247" s="734"/>
      <c r="AY247" s="734"/>
      <c r="AZ247" s="734"/>
      <c r="BA247" s="734"/>
      <c r="BB247" s="734"/>
      <c r="BC247" s="734"/>
      <c r="BD247" s="734"/>
      <c r="BE247" s="734"/>
      <c r="BF247" s="734"/>
      <c r="BG247" s="734"/>
      <c r="BH247" s="734"/>
      <c r="BI247" s="734"/>
      <c r="BJ247" s="734"/>
      <c r="BK247" s="734"/>
      <c r="BL247" s="734"/>
      <c r="BM247" s="734"/>
      <c r="BN247" s="734"/>
      <c r="BO247" s="734"/>
      <c r="BP247" s="734"/>
      <c r="BQ247" s="734"/>
      <c r="BR247" s="734"/>
      <c r="BS247" s="734"/>
      <c r="BT247" s="734"/>
      <c r="BU247" s="734"/>
      <c r="BV247" s="734"/>
      <c r="BW247" s="734"/>
      <c r="BX247" s="734"/>
      <c r="BY247" s="734"/>
      <c r="BZ247" s="734"/>
      <c r="CA247" s="734"/>
    </row>
    <row r="248" spans="1:79" s="452" customFormat="1" hidden="1" outlineLevel="1" x14ac:dyDescent="0.35">
      <c r="A248" s="80"/>
      <c r="B248" s="80"/>
      <c r="C248" s="80"/>
      <c r="D248" s="80"/>
      <c r="E248" s="80"/>
      <c r="F248" s="672" t="s">
        <v>620</v>
      </c>
      <c r="G248" s="735"/>
      <c r="H248" s="735"/>
      <c r="I248" s="735"/>
      <c r="J248" s="735"/>
      <c r="K248" s="735"/>
      <c r="L248" s="735"/>
      <c r="M248" s="735"/>
      <c r="N248" s="735"/>
      <c r="O248" s="735"/>
      <c r="P248" s="732"/>
      <c r="Q248" s="732"/>
      <c r="R248" s="732"/>
      <c r="S248" s="692">
        <v>-775</v>
      </c>
      <c r="T248" s="692">
        <v>71.209999999999994</v>
      </c>
      <c r="U248" s="692">
        <v>0</v>
      </c>
      <c r="V248" s="692">
        <v>0</v>
      </c>
      <c r="W248" s="692">
        <v>0</v>
      </c>
      <c r="X248" s="692">
        <v>0</v>
      </c>
      <c r="Y248" s="692">
        <v>0</v>
      </c>
      <c r="Z248" s="692">
        <v>-13333.33</v>
      </c>
      <c r="AA248" s="692">
        <v>0</v>
      </c>
      <c r="AB248" s="692">
        <v>0</v>
      </c>
      <c r="AC248" s="692">
        <v>0</v>
      </c>
      <c r="AD248" s="692">
        <v>0</v>
      </c>
      <c r="AE248" s="734"/>
      <c r="AF248" s="734"/>
      <c r="AG248" s="734"/>
      <c r="AH248" s="734"/>
      <c r="AI248" s="734"/>
      <c r="AJ248" s="734"/>
      <c r="AK248" s="734"/>
      <c r="AL248" s="734"/>
      <c r="AM248" s="734"/>
      <c r="AN248" s="734"/>
      <c r="AO248" s="734"/>
      <c r="AP248" s="734"/>
      <c r="AQ248" s="734"/>
      <c r="AR248" s="734"/>
      <c r="AS248" s="734"/>
      <c r="AT248" s="734"/>
      <c r="AU248" s="734"/>
      <c r="AV248" s="734"/>
      <c r="AW248" s="734"/>
      <c r="AX248" s="734"/>
      <c r="AY248" s="734"/>
      <c r="AZ248" s="734"/>
      <c r="BA248" s="734"/>
      <c r="BB248" s="734"/>
      <c r="BC248" s="734"/>
      <c r="BD248" s="734"/>
      <c r="BE248" s="734"/>
      <c r="BF248" s="734"/>
      <c r="BG248" s="734"/>
      <c r="BH248" s="734"/>
      <c r="BI248" s="734"/>
      <c r="BJ248" s="734"/>
      <c r="BK248" s="734"/>
      <c r="BL248" s="734"/>
      <c r="BM248" s="734"/>
      <c r="BN248" s="734"/>
      <c r="BO248" s="734"/>
      <c r="BP248" s="734"/>
      <c r="BQ248" s="734"/>
      <c r="BR248" s="734"/>
      <c r="BS248" s="734"/>
      <c r="BT248" s="734"/>
      <c r="BU248" s="734"/>
      <c r="BV248" s="734"/>
      <c r="BW248" s="734"/>
      <c r="BX248" s="734"/>
      <c r="BY248" s="734"/>
      <c r="BZ248" s="734"/>
      <c r="CA248" s="734"/>
    </row>
    <row r="249" spans="1:79" s="309" customFormat="1" hidden="1" outlineLevel="1" x14ac:dyDescent="0.35">
      <c r="A249" s="30"/>
      <c r="B249" s="30"/>
      <c r="C249" s="30"/>
      <c r="D249" s="30"/>
      <c r="E249" s="30"/>
      <c r="F249" s="675" t="s">
        <v>621</v>
      </c>
      <c r="G249" s="696">
        <f>SUM(G232:G248)</f>
        <v>91250.8</v>
      </c>
      <c r="H249" s="696">
        <f t="shared" ref="H249:BO249" si="79">SUM(H232:H248)</f>
        <v>137787.19999999998</v>
      </c>
      <c r="I249" s="696">
        <f t="shared" si="79"/>
        <v>162742.02000000002</v>
      </c>
      <c r="J249" s="696">
        <f t="shared" si="79"/>
        <v>151877.41</v>
      </c>
      <c r="K249" s="696">
        <f t="shared" si="79"/>
        <v>115310.32</v>
      </c>
      <c r="L249" s="696">
        <f t="shared" si="79"/>
        <v>133316.34</v>
      </c>
      <c r="M249" s="696">
        <f t="shared" si="79"/>
        <v>125631.40000000001</v>
      </c>
      <c r="N249" s="696">
        <f t="shared" si="79"/>
        <v>142464.76</v>
      </c>
      <c r="O249" s="696">
        <f t="shared" si="79"/>
        <v>143788.80000000005</v>
      </c>
      <c r="P249" s="696">
        <f t="shared" si="79"/>
        <v>156742.78</v>
      </c>
      <c r="Q249" s="696">
        <f t="shared" si="79"/>
        <v>88581.16</v>
      </c>
      <c r="R249" s="696">
        <f t="shared" si="79"/>
        <v>60219.11</v>
      </c>
      <c r="S249" s="694">
        <f t="shared" ref="S249:AA249" si="80">ROUND(SUM(S231:S248),5)</f>
        <v>253256.75</v>
      </c>
      <c r="T249" s="694">
        <f t="shared" si="80"/>
        <v>176428.63</v>
      </c>
      <c r="U249" s="694">
        <f t="shared" si="80"/>
        <v>245214.31</v>
      </c>
      <c r="V249" s="694">
        <f t="shared" si="80"/>
        <v>235310.52</v>
      </c>
      <c r="W249" s="694">
        <f t="shared" si="80"/>
        <v>270919.63</v>
      </c>
      <c r="X249" s="694">
        <f t="shared" si="80"/>
        <v>441594.77</v>
      </c>
      <c r="Y249" s="694">
        <f t="shared" si="80"/>
        <v>690294.7</v>
      </c>
      <c r="Z249" s="694">
        <f t="shared" si="80"/>
        <v>648530.91</v>
      </c>
      <c r="AA249" s="694">
        <f t="shared" si="80"/>
        <v>424936.93</v>
      </c>
      <c r="AB249" s="694">
        <f>ROUND(SUM(AB231:AB248),5)</f>
        <v>380685.58</v>
      </c>
      <c r="AC249" s="694">
        <f>ROUND(SUM(AC231:AC248),5)</f>
        <v>414441.6</v>
      </c>
      <c r="AD249" s="694">
        <f>ROUND(SUM(AD231:AD248),5)</f>
        <v>336322.19</v>
      </c>
      <c r="AE249" s="696">
        <f t="shared" si="79"/>
        <v>0</v>
      </c>
      <c r="AF249" s="696">
        <f t="shared" si="79"/>
        <v>0</v>
      </c>
      <c r="AG249" s="696">
        <f t="shared" si="79"/>
        <v>0</v>
      </c>
      <c r="AH249" s="696">
        <f t="shared" si="79"/>
        <v>0</v>
      </c>
      <c r="AI249" s="696">
        <f t="shared" si="79"/>
        <v>0</v>
      </c>
      <c r="AJ249" s="696">
        <f t="shared" si="79"/>
        <v>0</v>
      </c>
      <c r="AK249" s="696">
        <f t="shared" si="79"/>
        <v>0</v>
      </c>
      <c r="AL249" s="696">
        <f t="shared" si="79"/>
        <v>0</v>
      </c>
      <c r="AM249" s="696">
        <f t="shared" si="79"/>
        <v>0</v>
      </c>
      <c r="AN249" s="696">
        <f t="shared" si="79"/>
        <v>0</v>
      </c>
      <c r="AO249" s="696">
        <f t="shared" si="79"/>
        <v>0</v>
      </c>
      <c r="AP249" s="696">
        <f t="shared" si="79"/>
        <v>0</v>
      </c>
      <c r="AQ249" s="696">
        <f t="shared" si="79"/>
        <v>0</v>
      </c>
      <c r="AR249" s="696">
        <f t="shared" si="79"/>
        <v>0</v>
      </c>
      <c r="AS249" s="696">
        <f t="shared" si="79"/>
        <v>0</v>
      </c>
      <c r="AT249" s="696">
        <f t="shared" si="79"/>
        <v>0</v>
      </c>
      <c r="AU249" s="696">
        <f t="shared" si="79"/>
        <v>0</v>
      </c>
      <c r="AV249" s="696">
        <f t="shared" si="79"/>
        <v>0</v>
      </c>
      <c r="AW249" s="696">
        <f t="shared" si="79"/>
        <v>0</v>
      </c>
      <c r="AX249" s="696">
        <f t="shared" si="79"/>
        <v>0</v>
      </c>
      <c r="AY249" s="696">
        <f t="shared" si="79"/>
        <v>0</v>
      </c>
      <c r="AZ249" s="696">
        <f t="shared" si="79"/>
        <v>0</v>
      </c>
      <c r="BA249" s="696">
        <f t="shared" si="79"/>
        <v>0</v>
      </c>
      <c r="BB249" s="696">
        <f t="shared" si="79"/>
        <v>0</v>
      </c>
      <c r="BC249" s="696">
        <f t="shared" si="79"/>
        <v>0</v>
      </c>
      <c r="BD249" s="696">
        <f t="shared" si="79"/>
        <v>0</v>
      </c>
      <c r="BE249" s="696">
        <f t="shared" si="79"/>
        <v>0</v>
      </c>
      <c r="BF249" s="696">
        <f t="shared" si="79"/>
        <v>0</v>
      </c>
      <c r="BG249" s="696">
        <f t="shared" si="79"/>
        <v>0</v>
      </c>
      <c r="BH249" s="696">
        <f t="shared" si="79"/>
        <v>0</v>
      </c>
      <c r="BI249" s="696">
        <f t="shared" si="79"/>
        <v>0</v>
      </c>
      <c r="BJ249" s="696">
        <f t="shared" si="79"/>
        <v>0</v>
      </c>
      <c r="BK249" s="696">
        <f t="shared" si="79"/>
        <v>0</v>
      </c>
      <c r="BL249" s="696">
        <f t="shared" si="79"/>
        <v>0</v>
      </c>
      <c r="BM249" s="696">
        <f t="shared" si="79"/>
        <v>0</v>
      </c>
      <c r="BN249" s="696">
        <f t="shared" si="79"/>
        <v>0</v>
      </c>
      <c r="BO249" s="696">
        <f t="shared" si="79"/>
        <v>0</v>
      </c>
      <c r="BP249" s="696">
        <f t="shared" ref="BP249:CA249" si="81">SUM(BP232:BP248)</f>
        <v>0</v>
      </c>
      <c r="BQ249" s="696">
        <f t="shared" si="81"/>
        <v>0</v>
      </c>
      <c r="BR249" s="696">
        <f t="shared" si="81"/>
        <v>0</v>
      </c>
      <c r="BS249" s="696">
        <f t="shared" si="81"/>
        <v>0</v>
      </c>
      <c r="BT249" s="696">
        <f t="shared" si="81"/>
        <v>0</v>
      </c>
      <c r="BU249" s="696">
        <f t="shared" si="81"/>
        <v>0</v>
      </c>
      <c r="BV249" s="696">
        <f t="shared" si="81"/>
        <v>0</v>
      </c>
      <c r="BW249" s="696">
        <f t="shared" si="81"/>
        <v>0</v>
      </c>
      <c r="BX249" s="696">
        <f t="shared" si="81"/>
        <v>0</v>
      </c>
      <c r="BY249" s="696">
        <f t="shared" si="81"/>
        <v>0</v>
      </c>
      <c r="BZ249" s="696">
        <f t="shared" si="81"/>
        <v>0</v>
      </c>
      <c r="CA249" s="696">
        <f t="shared" si="81"/>
        <v>0</v>
      </c>
    </row>
    <row r="250" spans="1:79" s="452" customFormat="1" hidden="1" outlineLevel="1" x14ac:dyDescent="0.35">
      <c r="A250" s="754"/>
      <c r="B250" s="754"/>
      <c r="C250" s="754"/>
      <c r="D250" s="754"/>
      <c r="E250" s="754"/>
      <c r="F250" s="707" t="s">
        <v>598</v>
      </c>
      <c r="G250" s="750"/>
      <c r="H250" s="750"/>
      <c r="I250" s="750"/>
      <c r="J250" s="750"/>
      <c r="K250" s="750"/>
      <c r="L250" s="750"/>
      <c r="M250" s="750"/>
      <c r="N250" s="750"/>
      <c r="O250" s="750"/>
      <c r="P250" s="751"/>
      <c r="Q250" s="751"/>
      <c r="R250" s="751"/>
      <c r="S250" s="724"/>
      <c r="T250" s="724"/>
      <c r="U250" s="724"/>
      <c r="V250" s="724"/>
      <c r="W250" s="724"/>
      <c r="X250" s="724"/>
      <c r="Y250" s="724"/>
      <c r="Z250" s="724"/>
      <c r="AA250" s="724"/>
      <c r="AB250" s="724"/>
      <c r="AC250" s="724"/>
      <c r="AD250" s="724"/>
      <c r="AE250" s="753"/>
      <c r="AF250" s="753"/>
      <c r="AG250" s="753"/>
      <c r="AH250" s="753"/>
      <c r="AI250" s="753"/>
      <c r="AJ250" s="753"/>
      <c r="AK250" s="753"/>
      <c r="AL250" s="753"/>
      <c r="AM250" s="753"/>
      <c r="AN250" s="753"/>
      <c r="AO250" s="753"/>
      <c r="AP250" s="753"/>
      <c r="AQ250" s="753"/>
      <c r="AR250" s="753"/>
      <c r="AS250" s="753"/>
      <c r="AT250" s="753"/>
      <c r="AU250" s="753"/>
      <c r="AV250" s="753"/>
      <c r="AW250" s="753"/>
      <c r="AX250" s="753"/>
      <c r="AY250" s="753"/>
      <c r="AZ250" s="753"/>
      <c r="BA250" s="753"/>
      <c r="BB250" s="753"/>
      <c r="BC250" s="753"/>
      <c r="BD250" s="753"/>
      <c r="BE250" s="753"/>
      <c r="BF250" s="753"/>
      <c r="BG250" s="753"/>
      <c r="BH250" s="753"/>
      <c r="BI250" s="753"/>
      <c r="BJ250" s="753"/>
      <c r="BK250" s="753"/>
      <c r="BL250" s="753"/>
      <c r="BM250" s="753"/>
      <c r="BN250" s="753"/>
      <c r="BO250" s="753"/>
      <c r="BP250" s="753"/>
      <c r="BQ250" s="753"/>
      <c r="BR250" s="753"/>
      <c r="BS250" s="753"/>
      <c r="BT250" s="753"/>
      <c r="BU250" s="753"/>
      <c r="BV250" s="753"/>
      <c r="BW250" s="753"/>
      <c r="BX250" s="753"/>
      <c r="BY250" s="753"/>
      <c r="BZ250" s="753"/>
      <c r="CA250" s="753"/>
    </row>
    <row r="251" spans="1:79" s="452" customFormat="1" hidden="1" outlineLevel="1" x14ac:dyDescent="0.35">
      <c r="A251" s="580"/>
      <c r="B251" s="580"/>
      <c r="C251" s="580"/>
      <c r="D251" s="580"/>
      <c r="E251" s="580"/>
      <c r="F251" s="672" t="s">
        <v>895</v>
      </c>
      <c r="G251" s="735"/>
      <c r="H251" s="735"/>
      <c r="I251" s="735"/>
      <c r="J251" s="735"/>
      <c r="K251" s="735"/>
      <c r="L251" s="735"/>
      <c r="M251" s="735"/>
      <c r="N251" s="735"/>
      <c r="O251" s="735"/>
      <c r="P251" s="732"/>
      <c r="Q251" s="732"/>
      <c r="R251" s="732"/>
      <c r="S251" s="700">
        <v>0</v>
      </c>
      <c r="T251" s="700">
        <v>0</v>
      </c>
      <c r="U251" s="700">
        <v>0</v>
      </c>
      <c r="V251" s="700">
        <v>0</v>
      </c>
      <c r="W251" s="700">
        <v>0</v>
      </c>
      <c r="X251" s="700">
        <v>0</v>
      </c>
      <c r="Y251" s="700">
        <v>0</v>
      </c>
      <c r="Z251" s="700">
        <v>0</v>
      </c>
      <c r="AA251" s="700">
        <v>0</v>
      </c>
      <c r="AB251" s="700">
        <v>0</v>
      </c>
      <c r="AC251" s="700">
        <v>0</v>
      </c>
      <c r="AD251" s="700">
        <v>0</v>
      </c>
      <c r="AE251" s="734"/>
      <c r="AF251" s="734"/>
      <c r="AG251" s="734"/>
      <c r="AH251" s="734"/>
      <c r="AI251" s="734"/>
      <c r="AJ251" s="734"/>
      <c r="AK251" s="734"/>
      <c r="AL251" s="734"/>
      <c r="AM251" s="734"/>
      <c r="AN251" s="734"/>
      <c r="AO251" s="734"/>
      <c r="AP251" s="734"/>
      <c r="AQ251" s="734"/>
      <c r="AR251" s="734"/>
      <c r="AS251" s="734"/>
      <c r="AT251" s="734"/>
      <c r="AU251" s="734"/>
      <c r="AV251" s="734"/>
      <c r="AW251" s="734"/>
      <c r="AX251" s="734"/>
      <c r="AY251" s="734"/>
      <c r="AZ251" s="734"/>
      <c r="BA251" s="734"/>
      <c r="BB251" s="734"/>
      <c r="BC251" s="734"/>
      <c r="BD251" s="734"/>
      <c r="BE251" s="734"/>
      <c r="BF251" s="734"/>
      <c r="BG251" s="734"/>
      <c r="BH251" s="734"/>
      <c r="BI251" s="734"/>
      <c r="BJ251" s="734"/>
      <c r="BK251" s="734"/>
      <c r="BL251" s="734"/>
      <c r="BM251" s="734"/>
      <c r="BN251" s="734"/>
      <c r="BO251" s="734"/>
      <c r="BP251" s="734"/>
      <c r="BQ251" s="734"/>
      <c r="BR251" s="734"/>
      <c r="BS251" s="734"/>
      <c r="BT251" s="734"/>
      <c r="BU251" s="734"/>
      <c r="BV251" s="734"/>
      <c r="BW251" s="734"/>
      <c r="BX251" s="734"/>
      <c r="BY251" s="734"/>
      <c r="BZ251" s="734"/>
      <c r="CA251" s="734"/>
    </row>
    <row r="252" spans="1:79" s="452" customFormat="1" hidden="1" outlineLevel="1" x14ac:dyDescent="0.35">
      <c r="A252" s="80"/>
      <c r="B252" s="80"/>
      <c r="C252" s="80"/>
      <c r="D252" s="80"/>
      <c r="E252" s="80"/>
      <c r="F252" s="672" t="s">
        <v>622</v>
      </c>
      <c r="G252" s="732">
        <v>203.31574596330339</v>
      </c>
      <c r="H252" s="732">
        <v>98.568479227138994</v>
      </c>
      <c r="I252" s="732">
        <v>123.19391476400004</v>
      </c>
      <c r="J252" s="732">
        <v>187.84783760228265</v>
      </c>
      <c r="K252" s="732">
        <v>282.77350445274635</v>
      </c>
      <c r="L252" s="732">
        <v>328.42232132654328</v>
      </c>
      <c r="M252" s="732">
        <v>147.10225361649785</v>
      </c>
      <c r="N252" s="732">
        <v>135.73254466202116</v>
      </c>
      <c r="O252" s="732">
        <v>159.48941995087409</v>
      </c>
      <c r="P252" s="732">
        <v>180.87098300660904</v>
      </c>
      <c r="Q252" s="732">
        <v>171.27536527365697</v>
      </c>
      <c r="R252" s="732">
        <v>28.533220648398292</v>
      </c>
      <c r="S252" s="683">
        <v>0</v>
      </c>
      <c r="T252" s="683">
        <v>310.10000000000002</v>
      </c>
      <c r="U252" s="683">
        <v>853.68</v>
      </c>
      <c r="V252" s="683">
        <v>267.36</v>
      </c>
      <c r="W252" s="683">
        <v>999.8</v>
      </c>
      <c r="X252" s="683">
        <v>1941.66</v>
      </c>
      <c r="Y252" s="683">
        <v>0</v>
      </c>
      <c r="Z252" s="683">
        <v>189.93</v>
      </c>
      <c r="AA252" s="683">
        <v>731.04</v>
      </c>
      <c r="AB252" s="683">
        <v>0</v>
      </c>
      <c r="AC252" s="683">
        <v>85.78</v>
      </c>
      <c r="AD252" s="683">
        <v>24.08</v>
      </c>
      <c r="AE252" s="734"/>
      <c r="AF252" s="734"/>
      <c r="AG252" s="734"/>
      <c r="AH252" s="734"/>
      <c r="AI252" s="734"/>
      <c r="AJ252" s="734"/>
      <c r="AK252" s="734"/>
      <c r="AL252" s="734"/>
      <c r="AM252" s="734"/>
      <c r="AN252" s="734"/>
      <c r="AO252" s="734"/>
      <c r="AP252" s="734"/>
      <c r="AQ252" s="734"/>
      <c r="AR252" s="734"/>
      <c r="AS252" s="734"/>
      <c r="AT252" s="734"/>
      <c r="AU252" s="734"/>
      <c r="AV252" s="734"/>
      <c r="AW252" s="734"/>
      <c r="AX252" s="734"/>
      <c r="AY252" s="734"/>
      <c r="AZ252" s="734"/>
      <c r="BA252" s="734"/>
      <c r="BB252" s="734"/>
      <c r="BC252" s="734"/>
      <c r="BD252" s="734"/>
      <c r="BE252" s="734"/>
      <c r="BF252" s="734"/>
      <c r="BG252" s="734"/>
      <c r="BH252" s="734"/>
      <c r="BI252" s="734"/>
      <c r="BJ252" s="734"/>
      <c r="BK252" s="734"/>
      <c r="BL252" s="734"/>
      <c r="BM252" s="734"/>
      <c r="BN252" s="734"/>
      <c r="BO252" s="734"/>
      <c r="BP252" s="734"/>
      <c r="BQ252" s="734"/>
      <c r="BR252" s="734"/>
      <c r="BS252" s="734"/>
      <c r="BT252" s="734"/>
      <c r="BU252" s="734"/>
      <c r="BV252" s="734"/>
      <c r="BW252" s="734"/>
      <c r="BX252" s="734"/>
      <c r="BY252" s="734"/>
      <c r="BZ252" s="734"/>
      <c r="CA252" s="734"/>
    </row>
    <row r="253" spans="1:79" s="309" customFormat="1" hidden="1" outlineLevel="1" x14ac:dyDescent="0.35">
      <c r="A253" s="30"/>
      <c r="B253" s="30"/>
      <c r="C253" s="30"/>
      <c r="D253" s="30"/>
      <c r="E253" s="30"/>
      <c r="F253" s="673" t="s">
        <v>623</v>
      </c>
      <c r="G253" s="696">
        <f>SUM(G251:G252)</f>
        <v>203.31574596330339</v>
      </c>
      <c r="H253" s="696">
        <f t="shared" ref="H253:BO253" si="82">SUM(H251:H252)</f>
        <v>98.568479227138994</v>
      </c>
      <c r="I253" s="696">
        <f t="shared" si="82"/>
        <v>123.19391476400004</v>
      </c>
      <c r="J253" s="696">
        <f t="shared" si="82"/>
        <v>187.84783760228265</v>
      </c>
      <c r="K253" s="696">
        <f t="shared" si="82"/>
        <v>282.77350445274635</v>
      </c>
      <c r="L253" s="696">
        <f t="shared" si="82"/>
        <v>328.42232132654328</v>
      </c>
      <c r="M253" s="696">
        <f t="shared" si="82"/>
        <v>147.10225361649785</v>
      </c>
      <c r="N253" s="696">
        <f t="shared" si="82"/>
        <v>135.73254466202116</v>
      </c>
      <c r="O253" s="696">
        <f t="shared" si="82"/>
        <v>159.48941995087409</v>
      </c>
      <c r="P253" s="696">
        <f t="shared" si="82"/>
        <v>180.87098300660904</v>
      </c>
      <c r="Q253" s="696">
        <f t="shared" si="82"/>
        <v>171.27536527365697</v>
      </c>
      <c r="R253" s="696">
        <f t="shared" si="82"/>
        <v>28.533220648398292</v>
      </c>
      <c r="S253" s="694">
        <f t="shared" ref="S253:AA253" si="83">ROUND(SUM(S250:S252),5)</f>
        <v>0</v>
      </c>
      <c r="T253" s="694">
        <f t="shared" si="83"/>
        <v>310.10000000000002</v>
      </c>
      <c r="U253" s="694">
        <f t="shared" si="83"/>
        <v>853.68</v>
      </c>
      <c r="V253" s="694">
        <f t="shared" si="83"/>
        <v>267.36</v>
      </c>
      <c r="W253" s="694">
        <f t="shared" si="83"/>
        <v>999.8</v>
      </c>
      <c r="X253" s="694">
        <f t="shared" si="83"/>
        <v>1941.66</v>
      </c>
      <c r="Y253" s="694">
        <f t="shared" si="83"/>
        <v>0</v>
      </c>
      <c r="Z253" s="694">
        <f t="shared" si="83"/>
        <v>189.93</v>
      </c>
      <c r="AA253" s="694">
        <f t="shared" si="83"/>
        <v>731.04</v>
      </c>
      <c r="AB253" s="694">
        <f>ROUND(SUM(AB250:AB252),5)</f>
        <v>0</v>
      </c>
      <c r="AC253" s="694">
        <f>ROUND(SUM(AC250:AC252),5)</f>
        <v>85.78</v>
      </c>
      <c r="AD253" s="694">
        <f>ROUND(SUM(AD250:AD252),5)</f>
        <v>24.08</v>
      </c>
      <c r="AE253" s="696">
        <f t="shared" si="82"/>
        <v>0</v>
      </c>
      <c r="AF253" s="696">
        <f t="shared" si="82"/>
        <v>0</v>
      </c>
      <c r="AG253" s="696">
        <f t="shared" si="82"/>
        <v>0</v>
      </c>
      <c r="AH253" s="696">
        <f t="shared" si="82"/>
        <v>0</v>
      </c>
      <c r="AI253" s="696">
        <f t="shared" si="82"/>
        <v>0</v>
      </c>
      <c r="AJ253" s="696">
        <f t="shared" si="82"/>
        <v>0</v>
      </c>
      <c r="AK253" s="696">
        <f t="shared" si="82"/>
        <v>0</v>
      </c>
      <c r="AL253" s="696">
        <f t="shared" si="82"/>
        <v>0</v>
      </c>
      <c r="AM253" s="696">
        <f t="shared" si="82"/>
        <v>0</v>
      </c>
      <c r="AN253" s="696">
        <f t="shared" si="82"/>
        <v>0</v>
      </c>
      <c r="AO253" s="696">
        <f t="shared" si="82"/>
        <v>0</v>
      </c>
      <c r="AP253" s="696">
        <f t="shared" si="82"/>
        <v>0</v>
      </c>
      <c r="AQ253" s="696">
        <f t="shared" si="82"/>
        <v>0</v>
      </c>
      <c r="AR253" s="696">
        <f t="shared" si="82"/>
        <v>0</v>
      </c>
      <c r="AS253" s="696">
        <f t="shared" si="82"/>
        <v>0</v>
      </c>
      <c r="AT253" s="696">
        <f t="shared" si="82"/>
        <v>0</v>
      </c>
      <c r="AU253" s="696">
        <f t="shared" si="82"/>
        <v>0</v>
      </c>
      <c r="AV253" s="696">
        <f t="shared" si="82"/>
        <v>0</v>
      </c>
      <c r="AW253" s="696">
        <f t="shared" si="82"/>
        <v>0</v>
      </c>
      <c r="AX253" s="696">
        <f t="shared" si="82"/>
        <v>0</v>
      </c>
      <c r="AY253" s="696">
        <f t="shared" si="82"/>
        <v>0</v>
      </c>
      <c r="AZ253" s="696">
        <f t="shared" si="82"/>
        <v>0</v>
      </c>
      <c r="BA253" s="696">
        <f t="shared" si="82"/>
        <v>0</v>
      </c>
      <c r="BB253" s="696">
        <f t="shared" si="82"/>
        <v>0</v>
      </c>
      <c r="BC253" s="696">
        <f t="shared" si="82"/>
        <v>0</v>
      </c>
      <c r="BD253" s="696">
        <f t="shared" si="82"/>
        <v>0</v>
      </c>
      <c r="BE253" s="696">
        <f t="shared" si="82"/>
        <v>0</v>
      </c>
      <c r="BF253" s="696">
        <f t="shared" si="82"/>
        <v>0</v>
      </c>
      <c r="BG253" s="696">
        <f t="shared" si="82"/>
        <v>0</v>
      </c>
      <c r="BH253" s="696">
        <f t="shared" si="82"/>
        <v>0</v>
      </c>
      <c r="BI253" s="696">
        <f t="shared" si="82"/>
        <v>0</v>
      </c>
      <c r="BJ253" s="696">
        <f t="shared" si="82"/>
        <v>0</v>
      </c>
      <c r="BK253" s="696">
        <f t="shared" si="82"/>
        <v>0</v>
      </c>
      <c r="BL253" s="696">
        <f t="shared" si="82"/>
        <v>0</v>
      </c>
      <c r="BM253" s="696">
        <f t="shared" si="82"/>
        <v>0</v>
      </c>
      <c r="BN253" s="696">
        <f t="shared" si="82"/>
        <v>0</v>
      </c>
      <c r="BO253" s="696">
        <f t="shared" si="82"/>
        <v>0</v>
      </c>
      <c r="BP253" s="696">
        <f t="shared" ref="BP253:CA253" si="84">SUM(BP251:BP252)</f>
        <v>0</v>
      </c>
      <c r="BQ253" s="696">
        <f t="shared" si="84"/>
        <v>0</v>
      </c>
      <c r="BR253" s="696">
        <f t="shared" si="84"/>
        <v>0</v>
      </c>
      <c r="BS253" s="696">
        <f t="shared" si="84"/>
        <v>0</v>
      </c>
      <c r="BT253" s="696">
        <f t="shared" si="84"/>
        <v>0</v>
      </c>
      <c r="BU253" s="696">
        <f t="shared" si="84"/>
        <v>0</v>
      </c>
      <c r="BV253" s="696">
        <f t="shared" si="84"/>
        <v>0</v>
      </c>
      <c r="BW253" s="696">
        <f t="shared" si="84"/>
        <v>0</v>
      </c>
      <c r="BX253" s="696">
        <f t="shared" si="84"/>
        <v>0</v>
      </c>
      <c r="BY253" s="696">
        <f t="shared" si="84"/>
        <v>0</v>
      </c>
      <c r="BZ253" s="696">
        <f t="shared" si="84"/>
        <v>0</v>
      </c>
      <c r="CA253" s="696">
        <f t="shared" si="84"/>
        <v>0</v>
      </c>
    </row>
    <row r="254" spans="1:79" hidden="1" outlineLevel="1" x14ac:dyDescent="0.35">
      <c r="F254" s="674" t="s">
        <v>599</v>
      </c>
      <c r="G254" s="732">
        <v>0</v>
      </c>
      <c r="H254" s="732"/>
      <c r="I254" s="732"/>
      <c r="J254" s="732"/>
      <c r="K254" s="732">
        <v>9.81014617340265</v>
      </c>
      <c r="L254" s="732">
        <v>42.432527883979795</v>
      </c>
      <c r="M254" s="732">
        <v>23.665425273182962</v>
      </c>
      <c r="N254" s="732">
        <v>0.33300363871648408</v>
      </c>
      <c r="O254" s="732"/>
      <c r="P254" s="732">
        <v>142.44373666380849</v>
      </c>
      <c r="Q254" s="732">
        <v>15.61303758956273</v>
      </c>
      <c r="R254" s="732">
        <v>97.156855849878269</v>
      </c>
      <c r="S254" s="683">
        <v>0</v>
      </c>
      <c r="T254" s="683">
        <v>50</v>
      </c>
      <c r="U254" s="683">
        <v>0</v>
      </c>
      <c r="V254" s="683">
        <v>114.5</v>
      </c>
      <c r="W254" s="683">
        <v>1501.01</v>
      </c>
      <c r="X254" s="683">
        <v>97.14</v>
      </c>
      <c r="Y254" s="683">
        <v>0</v>
      </c>
      <c r="Z254" s="683">
        <v>0</v>
      </c>
      <c r="AA254" s="683">
        <v>0</v>
      </c>
      <c r="AB254" s="683">
        <v>0</v>
      </c>
      <c r="AC254" s="683">
        <v>200</v>
      </c>
      <c r="AD254" s="683">
        <v>2102.19</v>
      </c>
      <c r="AE254" s="734"/>
      <c r="AF254" s="734"/>
      <c r="AG254" s="734"/>
      <c r="AH254" s="734"/>
      <c r="AI254" s="734"/>
      <c r="AJ254" s="734"/>
      <c r="AK254" s="734"/>
      <c r="AL254" s="734"/>
      <c r="AM254" s="734"/>
      <c r="AN254" s="734"/>
      <c r="AO254" s="734"/>
      <c r="AP254" s="734"/>
      <c r="AQ254" s="734"/>
      <c r="AR254" s="734"/>
      <c r="AS254" s="734"/>
      <c r="AT254" s="734"/>
      <c r="AU254" s="734"/>
      <c r="AV254" s="734"/>
      <c r="AW254" s="734"/>
      <c r="AX254" s="734"/>
      <c r="AY254" s="734"/>
      <c r="AZ254" s="734"/>
      <c r="BA254" s="734"/>
      <c r="BB254" s="734"/>
      <c r="BC254" s="734"/>
      <c r="BD254" s="734"/>
      <c r="BE254" s="734"/>
      <c r="BF254" s="734"/>
      <c r="BG254" s="734"/>
      <c r="BH254" s="734"/>
      <c r="BI254" s="734"/>
      <c r="BJ254" s="734"/>
      <c r="BK254" s="734"/>
      <c r="BL254" s="734"/>
      <c r="BM254" s="734"/>
      <c r="BN254" s="734"/>
      <c r="BO254" s="734"/>
      <c r="BP254" s="734"/>
      <c r="BQ254" s="734"/>
      <c r="BR254" s="734"/>
      <c r="BS254" s="734"/>
      <c r="BT254" s="734"/>
      <c r="BU254" s="734"/>
      <c r="BV254" s="734"/>
      <c r="BW254" s="734"/>
      <c r="BX254" s="734"/>
      <c r="BY254" s="734"/>
      <c r="BZ254" s="734"/>
      <c r="CA254" s="734"/>
    </row>
    <row r="255" spans="1:79" hidden="1" outlineLevel="1" x14ac:dyDescent="0.35">
      <c r="F255" s="674" t="s">
        <v>600</v>
      </c>
      <c r="G255" s="732">
        <v>5.6932167802399656</v>
      </c>
      <c r="H255" s="732">
        <v>2.7912853637773485</v>
      </c>
      <c r="I255" s="732"/>
      <c r="J255" s="732">
        <v>4.3788502243859533</v>
      </c>
      <c r="K255" s="732">
        <v>45.930062800702849</v>
      </c>
      <c r="L255" s="732">
        <v>1.1365687392410004</v>
      </c>
      <c r="M255" s="732"/>
      <c r="N255" s="732">
        <v>1.5129000392472729</v>
      </c>
      <c r="O255" s="732">
        <v>0.31546574868876026</v>
      </c>
      <c r="P255" s="732">
        <v>4.9018194526622034</v>
      </c>
      <c r="Q255" s="732">
        <v>21.333590940969835</v>
      </c>
      <c r="R255" s="732">
        <v>10.263871589818473</v>
      </c>
      <c r="S255" s="683">
        <v>0</v>
      </c>
      <c r="T255" s="683">
        <v>16.829999999999998</v>
      </c>
      <c r="U255" s="683">
        <v>416.15</v>
      </c>
      <c r="V255" s="683">
        <v>32.6</v>
      </c>
      <c r="W255" s="683">
        <v>0</v>
      </c>
      <c r="X255" s="683">
        <v>196.3</v>
      </c>
      <c r="Y255" s="683">
        <v>54.18</v>
      </c>
      <c r="Z255" s="683">
        <v>60.28</v>
      </c>
      <c r="AA255" s="683">
        <v>188.72</v>
      </c>
      <c r="AB255" s="683">
        <v>306.70999999999998</v>
      </c>
      <c r="AC255" s="683">
        <v>43.3</v>
      </c>
      <c r="AD255" s="683">
        <v>144.41</v>
      </c>
      <c r="AE255" s="734"/>
      <c r="AF255" s="734"/>
      <c r="AG255" s="734"/>
      <c r="AH255" s="734"/>
      <c r="AI255" s="734"/>
      <c r="AJ255" s="734"/>
      <c r="AK255" s="734"/>
      <c r="AL255" s="734"/>
      <c r="AM255" s="734"/>
      <c r="AN255" s="734"/>
      <c r="AO255" s="734"/>
      <c r="AP255" s="734"/>
      <c r="AQ255" s="734"/>
      <c r="AR255" s="734"/>
      <c r="AS255" s="734"/>
      <c r="AT255" s="734"/>
      <c r="AU255" s="734"/>
      <c r="AV255" s="734"/>
      <c r="AW255" s="734"/>
      <c r="AX255" s="734"/>
      <c r="AY255" s="734"/>
      <c r="AZ255" s="734"/>
      <c r="BA255" s="734"/>
      <c r="BB255" s="734"/>
      <c r="BC255" s="734"/>
      <c r="BD255" s="734"/>
      <c r="BE255" s="734"/>
      <c r="BF255" s="734"/>
      <c r="BG255" s="734"/>
      <c r="BH255" s="734"/>
      <c r="BI255" s="734"/>
      <c r="BJ255" s="734"/>
      <c r="BK255" s="734"/>
      <c r="BL255" s="734"/>
      <c r="BM255" s="734"/>
      <c r="BN255" s="734"/>
      <c r="BO255" s="734"/>
      <c r="BP255" s="734"/>
      <c r="BQ255" s="734"/>
      <c r="BR255" s="734"/>
      <c r="BS255" s="734"/>
      <c r="BT255" s="734"/>
      <c r="BU255" s="734"/>
      <c r="BV255" s="734"/>
      <c r="BW255" s="734"/>
      <c r="BX255" s="734"/>
      <c r="BY255" s="734"/>
      <c r="BZ255" s="734"/>
      <c r="CA255" s="734"/>
    </row>
    <row r="256" spans="1:79" hidden="1" outlineLevel="1" x14ac:dyDescent="0.35">
      <c r="F256" s="674" t="s">
        <v>601</v>
      </c>
      <c r="G256" s="732">
        <v>0</v>
      </c>
      <c r="H256" s="732"/>
      <c r="I256" s="732"/>
      <c r="J256" s="732">
        <v>104.53077316869542</v>
      </c>
      <c r="K256" s="732">
        <v>9.7954529939117823</v>
      </c>
      <c r="L256" s="732"/>
      <c r="M256" s="732"/>
      <c r="N256" s="732"/>
      <c r="O256" s="732">
        <v>4.7099513701203142</v>
      </c>
      <c r="P256" s="732">
        <v>9.1429443841350849E-2</v>
      </c>
      <c r="Q256" s="732">
        <v>7.6016120055644532</v>
      </c>
      <c r="R256" s="732"/>
      <c r="S256" s="683">
        <v>654</v>
      </c>
      <c r="T256" s="683">
        <v>0</v>
      </c>
      <c r="U256" s="683">
        <v>29.74</v>
      </c>
      <c r="V256" s="683">
        <v>0</v>
      </c>
      <c r="W256" s="683">
        <v>618.03</v>
      </c>
      <c r="X256" s="683">
        <v>0</v>
      </c>
      <c r="Y256" s="683">
        <v>0</v>
      </c>
      <c r="Z256" s="683">
        <v>0</v>
      </c>
      <c r="AA256" s="683">
        <v>0</v>
      </c>
      <c r="AB256" s="683">
        <v>0</v>
      </c>
      <c r="AC256" s="683">
        <v>0</v>
      </c>
      <c r="AD256" s="683">
        <v>86.5</v>
      </c>
      <c r="AE256" s="734"/>
      <c r="AF256" s="734"/>
      <c r="AG256" s="734"/>
      <c r="AH256" s="734"/>
      <c r="AI256" s="734"/>
      <c r="AJ256" s="734"/>
      <c r="AK256" s="734"/>
      <c r="AL256" s="734"/>
      <c r="AM256" s="734"/>
      <c r="AN256" s="734"/>
      <c r="AO256" s="734"/>
      <c r="AP256" s="734"/>
      <c r="AQ256" s="734"/>
      <c r="AR256" s="734"/>
      <c r="AS256" s="734"/>
      <c r="AT256" s="734"/>
      <c r="AU256" s="734"/>
      <c r="AV256" s="734"/>
      <c r="AW256" s="734"/>
      <c r="AX256" s="734"/>
      <c r="AY256" s="734"/>
      <c r="AZ256" s="734"/>
      <c r="BA256" s="734"/>
      <c r="BB256" s="734"/>
      <c r="BC256" s="734"/>
      <c r="BD256" s="734"/>
      <c r="BE256" s="734"/>
      <c r="BF256" s="734"/>
      <c r="BG256" s="734"/>
      <c r="BH256" s="734"/>
      <c r="BI256" s="734"/>
      <c r="BJ256" s="734"/>
      <c r="BK256" s="734"/>
      <c r="BL256" s="734"/>
      <c r="BM256" s="734"/>
      <c r="BN256" s="734"/>
      <c r="BO256" s="734"/>
      <c r="BP256" s="734"/>
      <c r="BQ256" s="734"/>
      <c r="BR256" s="734"/>
      <c r="BS256" s="734"/>
      <c r="BT256" s="734"/>
      <c r="BU256" s="734"/>
      <c r="BV256" s="734"/>
      <c r="BW256" s="734"/>
      <c r="BX256" s="734"/>
      <c r="BY256" s="734"/>
      <c r="BZ256" s="734"/>
      <c r="CA256" s="734"/>
    </row>
    <row r="257" spans="1:79" s="757" customFormat="1" hidden="1" outlineLevel="1" x14ac:dyDescent="0.35">
      <c r="A257" s="716"/>
      <c r="B257" s="716"/>
      <c r="C257" s="716"/>
      <c r="D257" s="716"/>
      <c r="E257" s="716"/>
      <c r="F257" s="717" t="s">
        <v>602</v>
      </c>
      <c r="G257" s="750"/>
      <c r="H257" s="756"/>
      <c r="I257" s="750"/>
      <c r="J257" s="750"/>
      <c r="K257" s="750"/>
      <c r="L257" s="750"/>
      <c r="M257" s="750"/>
      <c r="N257" s="750"/>
      <c r="O257" s="750"/>
      <c r="P257" s="751"/>
      <c r="Q257" s="751"/>
      <c r="R257" s="751"/>
      <c r="S257" s="713"/>
      <c r="T257" s="713"/>
      <c r="U257" s="713"/>
      <c r="V257" s="713"/>
      <c r="W257" s="713"/>
      <c r="X257" s="713"/>
      <c r="Y257" s="713"/>
      <c r="Z257" s="713"/>
      <c r="AA257" s="713"/>
      <c r="AB257" s="713"/>
      <c r="AC257" s="713"/>
      <c r="AD257" s="713"/>
      <c r="AE257" s="753"/>
      <c r="AF257" s="753"/>
      <c r="AG257" s="753"/>
      <c r="AH257" s="753"/>
      <c r="AI257" s="753"/>
      <c r="AJ257" s="753"/>
      <c r="AK257" s="753"/>
      <c r="AL257" s="753"/>
      <c r="AM257" s="753"/>
      <c r="AN257" s="753"/>
      <c r="AO257" s="753"/>
      <c r="AP257" s="753"/>
      <c r="AQ257" s="753"/>
      <c r="AR257" s="753"/>
      <c r="AS257" s="753"/>
      <c r="AT257" s="753"/>
      <c r="AU257" s="753"/>
      <c r="AV257" s="753"/>
      <c r="AW257" s="753"/>
      <c r="AX257" s="753"/>
      <c r="AY257" s="753"/>
      <c r="AZ257" s="753"/>
      <c r="BA257" s="753"/>
      <c r="BB257" s="753"/>
      <c r="BC257" s="753"/>
      <c r="BD257" s="753"/>
      <c r="BE257" s="753"/>
      <c r="BF257" s="753"/>
      <c r="BG257" s="753"/>
      <c r="BH257" s="753"/>
      <c r="BI257" s="753"/>
      <c r="BJ257" s="753"/>
      <c r="BK257" s="753"/>
      <c r="BL257" s="753"/>
      <c r="BM257" s="753"/>
      <c r="BN257" s="753"/>
      <c r="BO257" s="753"/>
      <c r="BP257" s="753"/>
      <c r="BQ257" s="753"/>
      <c r="BR257" s="753"/>
      <c r="BS257" s="753"/>
      <c r="BT257" s="753"/>
      <c r="BU257" s="753"/>
      <c r="BV257" s="753"/>
      <c r="BW257" s="753"/>
      <c r="BX257" s="753"/>
      <c r="BY257" s="753"/>
      <c r="BZ257" s="753"/>
      <c r="CA257" s="753"/>
    </row>
    <row r="258" spans="1:79" s="757" customFormat="1" hidden="1" outlineLevel="1" x14ac:dyDescent="0.35">
      <c r="A258" s="504"/>
      <c r="B258" s="504"/>
      <c r="C258" s="504"/>
      <c r="D258" s="504"/>
      <c r="E258" s="504"/>
      <c r="F258" s="672" t="s">
        <v>653</v>
      </c>
      <c r="G258" s="735"/>
      <c r="H258" s="737"/>
      <c r="I258" s="735"/>
      <c r="J258" s="735"/>
      <c r="K258" s="735"/>
      <c r="L258" s="735"/>
      <c r="M258" s="735"/>
      <c r="N258" s="735"/>
      <c r="O258" s="735"/>
      <c r="P258" s="732"/>
      <c r="Q258" s="732"/>
      <c r="R258" s="732"/>
      <c r="S258" s="692">
        <v>0</v>
      </c>
      <c r="T258" s="692">
        <v>0</v>
      </c>
      <c r="U258" s="692">
        <v>0</v>
      </c>
      <c r="V258" s="692">
        <v>0</v>
      </c>
      <c r="W258" s="692">
        <v>0</v>
      </c>
      <c r="X258" s="692">
        <v>0</v>
      </c>
      <c r="Y258" s="692">
        <v>0</v>
      </c>
      <c r="Z258" s="692">
        <v>0</v>
      </c>
      <c r="AA258" s="692">
        <v>0</v>
      </c>
      <c r="AB258" s="692">
        <v>0</v>
      </c>
      <c r="AC258" s="692">
        <v>0</v>
      </c>
      <c r="AD258" s="692">
        <v>0</v>
      </c>
      <c r="AE258" s="734"/>
      <c r="AF258" s="734"/>
      <c r="AG258" s="734"/>
      <c r="AH258" s="734"/>
      <c r="AI258" s="734"/>
      <c r="AJ258" s="734"/>
      <c r="AK258" s="734"/>
      <c r="AL258" s="734"/>
      <c r="AM258" s="734"/>
      <c r="AN258" s="734"/>
      <c r="AO258" s="734"/>
      <c r="AP258" s="734"/>
      <c r="AQ258" s="734"/>
      <c r="AR258" s="734"/>
      <c r="AS258" s="734"/>
      <c r="AT258" s="734"/>
      <c r="AU258" s="734"/>
      <c r="AV258" s="734"/>
      <c r="AW258" s="734"/>
      <c r="AX258" s="734"/>
      <c r="AY258" s="734"/>
      <c r="AZ258" s="734"/>
      <c r="BA258" s="734"/>
      <c r="BB258" s="734"/>
      <c r="BC258" s="734"/>
      <c r="BD258" s="734"/>
      <c r="BE258" s="734"/>
      <c r="BF258" s="734"/>
      <c r="BG258" s="734"/>
      <c r="BH258" s="734"/>
      <c r="BI258" s="734"/>
      <c r="BJ258" s="734"/>
      <c r="BK258" s="734"/>
      <c r="BL258" s="734"/>
      <c r="BM258" s="734"/>
      <c r="BN258" s="734"/>
      <c r="BO258" s="734"/>
      <c r="BP258" s="734"/>
      <c r="BQ258" s="734"/>
      <c r="BR258" s="734"/>
      <c r="BS258" s="734"/>
      <c r="BT258" s="734"/>
      <c r="BU258" s="734"/>
      <c r="BV258" s="734"/>
      <c r="BW258" s="734"/>
      <c r="BX258" s="734"/>
      <c r="BY258" s="734"/>
      <c r="BZ258" s="734"/>
      <c r="CA258" s="734"/>
    </row>
    <row r="259" spans="1:79" s="452" customFormat="1" hidden="1" outlineLevel="1" x14ac:dyDescent="0.35">
      <c r="A259" s="80"/>
      <c r="B259" s="80"/>
      <c r="C259" s="80"/>
      <c r="D259" s="80"/>
      <c r="E259" s="80"/>
      <c r="F259" s="672" t="s">
        <v>624</v>
      </c>
      <c r="G259" s="737"/>
      <c r="H259" s="737"/>
      <c r="I259" s="737"/>
      <c r="J259" s="737"/>
      <c r="K259" s="737"/>
      <c r="L259" s="737"/>
      <c r="M259" s="737"/>
      <c r="N259" s="737"/>
      <c r="O259" s="735"/>
      <c r="P259" s="732"/>
      <c r="Q259" s="732"/>
      <c r="R259" s="732"/>
      <c r="S259" s="683">
        <v>4875</v>
      </c>
      <c r="T259" s="683">
        <v>6375</v>
      </c>
      <c r="U259" s="683">
        <v>7504</v>
      </c>
      <c r="V259" s="683">
        <v>6907</v>
      </c>
      <c r="W259" s="683">
        <v>4725</v>
      </c>
      <c r="X259" s="683">
        <v>5138</v>
      </c>
      <c r="Y259" s="683">
        <v>5134.5</v>
      </c>
      <c r="Z259" s="683">
        <v>4837</v>
      </c>
      <c r="AA259" s="683">
        <v>9847</v>
      </c>
      <c r="AB259" s="683">
        <v>11638.5</v>
      </c>
      <c r="AC259" s="683">
        <v>11359.25</v>
      </c>
      <c r="AD259" s="683">
        <v>10451</v>
      </c>
      <c r="AE259" s="734"/>
      <c r="AF259" s="734"/>
      <c r="AG259" s="734"/>
      <c r="AH259" s="734"/>
      <c r="AI259" s="734"/>
      <c r="AJ259" s="734"/>
      <c r="AK259" s="734"/>
      <c r="AL259" s="734"/>
      <c r="AM259" s="734"/>
      <c r="AN259" s="734"/>
      <c r="AO259" s="734"/>
      <c r="AP259" s="734"/>
      <c r="AQ259" s="734"/>
      <c r="AR259" s="734"/>
      <c r="AS259" s="734"/>
      <c r="AT259" s="734"/>
      <c r="AU259" s="734"/>
      <c r="AV259" s="734"/>
      <c r="AW259" s="734"/>
      <c r="AX259" s="734"/>
      <c r="AY259" s="734"/>
      <c r="AZ259" s="734"/>
      <c r="BA259" s="734"/>
      <c r="BB259" s="734"/>
      <c r="BC259" s="734"/>
      <c r="BD259" s="734"/>
      <c r="BE259" s="734"/>
      <c r="BF259" s="734"/>
      <c r="BG259" s="734"/>
      <c r="BH259" s="734"/>
      <c r="BI259" s="734"/>
      <c r="BJ259" s="734"/>
      <c r="BK259" s="734"/>
      <c r="BL259" s="734"/>
      <c r="BM259" s="734"/>
      <c r="BN259" s="734"/>
      <c r="BO259" s="734"/>
      <c r="BP259" s="734"/>
      <c r="BQ259" s="734"/>
      <c r="BR259" s="734"/>
      <c r="BS259" s="734"/>
      <c r="BT259" s="734"/>
      <c r="BU259" s="734"/>
      <c r="BV259" s="734"/>
      <c r="BW259" s="734"/>
      <c r="BX259" s="734"/>
      <c r="BY259" s="734"/>
      <c r="BZ259" s="734"/>
      <c r="CA259" s="734"/>
    </row>
    <row r="260" spans="1:79" s="452" customFormat="1" hidden="1" outlineLevel="1" x14ac:dyDescent="0.35">
      <c r="A260" s="580"/>
      <c r="B260" s="580"/>
      <c r="C260" s="580"/>
      <c r="D260" s="580"/>
      <c r="E260" s="580"/>
      <c r="F260" s="672" t="s">
        <v>670</v>
      </c>
      <c r="G260" s="737"/>
      <c r="H260" s="737"/>
      <c r="I260" s="737"/>
      <c r="J260" s="737"/>
      <c r="K260" s="737"/>
      <c r="L260" s="737"/>
      <c r="M260" s="737"/>
      <c r="N260" s="737"/>
      <c r="O260" s="735"/>
      <c r="P260" s="732"/>
      <c r="Q260" s="732"/>
      <c r="R260" s="732"/>
      <c r="S260" s="683">
        <v>0</v>
      </c>
      <c r="T260" s="683">
        <v>0</v>
      </c>
      <c r="U260" s="683">
        <v>0</v>
      </c>
      <c r="V260" s="683">
        <v>0</v>
      </c>
      <c r="W260" s="683">
        <v>0</v>
      </c>
      <c r="X260" s="683">
        <v>0</v>
      </c>
      <c r="Y260" s="683">
        <v>0</v>
      </c>
      <c r="Z260" s="683">
        <v>0</v>
      </c>
      <c r="AA260" s="683">
        <v>0</v>
      </c>
      <c r="AB260" s="683">
        <v>0</v>
      </c>
      <c r="AC260" s="683">
        <v>0</v>
      </c>
      <c r="AD260" s="683">
        <v>0</v>
      </c>
      <c r="AE260" s="734"/>
      <c r="AF260" s="734"/>
      <c r="AG260" s="734"/>
      <c r="AH260" s="734"/>
      <c r="AI260" s="734"/>
      <c r="AJ260" s="734"/>
      <c r="AK260" s="734"/>
      <c r="AL260" s="734"/>
      <c r="AM260" s="734"/>
      <c r="AN260" s="734"/>
      <c r="AO260" s="734"/>
      <c r="AP260" s="734"/>
      <c r="AQ260" s="734"/>
      <c r="AR260" s="734"/>
      <c r="AS260" s="734"/>
      <c r="AT260" s="734"/>
      <c r="AU260" s="734"/>
      <c r="AV260" s="734"/>
      <c r="AW260" s="734"/>
      <c r="AX260" s="734"/>
      <c r="AY260" s="734"/>
      <c r="AZ260" s="734"/>
      <c r="BA260" s="734"/>
      <c r="BB260" s="734"/>
      <c r="BC260" s="734"/>
      <c r="BD260" s="734"/>
      <c r="BE260" s="734"/>
      <c r="BF260" s="734"/>
      <c r="BG260" s="734"/>
      <c r="BH260" s="734"/>
      <c r="BI260" s="734"/>
      <c r="BJ260" s="734"/>
      <c r="BK260" s="734"/>
      <c r="BL260" s="734"/>
      <c r="BM260" s="734"/>
      <c r="BN260" s="734"/>
      <c r="BO260" s="734"/>
      <c r="BP260" s="734"/>
      <c r="BQ260" s="734"/>
      <c r="BR260" s="734"/>
      <c r="BS260" s="734"/>
      <c r="BT260" s="734"/>
      <c r="BU260" s="734"/>
      <c r="BV260" s="734"/>
      <c r="BW260" s="734"/>
      <c r="BX260" s="734"/>
      <c r="BY260" s="734"/>
      <c r="BZ260" s="734"/>
      <c r="CA260" s="734"/>
    </row>
    <row r="261" spans="1:79" s="452" customFormat="1" hidden="1" outlineLevel="1" x14ac:dyDescent="0.35">
      <c r="A261" s="80"/>
      <c r="B261" s="80"/>
      <c r="C261" s="80"/>
      <c r="D261" s="80"/>
      <c r="E261" s="80"/>
      <c r="F261" s="672" t="s">
        <v>625</v>
      </c>
      <c r="G261" s="735"/>
      <c r="H261" s="735"/>
      <c r="I261" s="735"/>
      <c r="J261" s="735"/>
      <c r="K261" s="735"/>
      <c r="L261" s="735"/>
      <c r="M261" s="732"/>
      <c r="N261" s="735"/>
      <c r="O261" s="735"/>
      <c r="P261" s="732"/>
      <c r="Q261" s="732"/>
      <c r="R261" s="732"/>
      <c r="S261" s="683">
        <v>1664.5</v>
      </c>
      <c r="T261" s="683">
        <v>9835.5</v>
      </c>
      <c r="U261" s="683">
        <v>-1500</v>
      </c>
      <c r="V261" s="683">
        <v>21600</v>
      </c>
      <c r="W261" s="683">
        <v>3180</v>
      </c>
      <c r="X261" s="683">
        <v>10800</v>
      </c>
      <c r="Y261" s="683">
        <v>10800</v>
      </c>
      <c r="Z261" s="683">
        <v>10800</v>
      </c>
      <c r="AA261" s="683">
        <v>10800</v>
      </c>
      <c r="AB261" s="683">
        <v>0</v>
      </c>
      <c r="AC261" s="683">
        <v>12150</v>
      </c>
      <c r="AD261" s="683">
        <v>0</v>
      </c>
      <c r="AE261" s="734"/>
      <c r="AF261" s="734"/>
      <c r="AG261" s="734"/>
      <c r="AH261" s="734"/>
      <c r="AI261" s="734"/>
      <c r="AJ261" s="734"/>
      <c r="AK261" s="734"/>
      <c r="AL261" s="734"/>
      <c r="AM261" s="734"/>
      <c r="AN261" s="734"/>
      <c r="AO261" s="734"/>
      <c r="AP261" s="734"/>
      <c r="AQ261" s="734"/>
      <c r="AR261" s="734"/>
      <c r="AS261" s="734"/>
      <c r="AT261" s="734"/>
      <c r="AU261" s="734"/>
      <c r="AV261" s="734"/>
      <c r="AW261" s="734"/>
      <c r="AX261" s="734"/>
      <c r="AY261" s="734"/>
      <c r="AZ261" s="734"/>
      <c r="BA261" s="734"/>
      <c r="BB261" s="734"/>
      <c r="BC261" s="734"/>
      <c r="BD261" s="734"/>
      <c r="BE261" s="734"/>
      <c r="BF261" s="734"/>
      <c r="BG261" s="734"/>
      <c r="BH261" s="734"/>
      <c r="BI261" s="734"/>
      <c r="BJ261" s="734"/>
      <c r="BK261" s="734"/>
      <c r="BL261" s="734"/>
      <c r="BM261" s="734"/>
      <c r="BN261" s="734"/>
      <c r="BO261" s="734"/>
      <c r="BP261" s="734"/>
      <c r="BQ261" s="734"/>
      <c r="BR261" s="734"/>
      <c r="BS261" s="734"/>
      <c r="BT261" s="734"/>
      <c r="BU261" s="734"/>
      <c r="BV261" s="734"/>
      <c r="BW261" s="734"/>
      <c r="BX261" s="734"/>
      <c r="BY261" s="734"/>
      <c r="BZ261" s="734"/>
      <c r="CA261" s="734"/>
    </row>
    <row r="262" spans="1:79" s="452" customFormat="1" hidden="1" outlineLevel="1" x14ac:dyDescent="0.35">
      <c r="A262" s="580"/>
      <c r="B262" s="580"/>
      <c r="C262" s="580"/>
      <c r="D262" s="580"/>
      <c r="E262" s="580"/>
      <c r="F262" s="672" t="s">
        <v>654</v>
      </c>
      <c r="G262" s="735"/>
      <c r="H262" s="735"/>
      <c r="I262" s="735"/>
      <c r="J262" s="735"/>
      <c r="K262" s="735"/>
      <c r="L262" s="735"/>
      <c r="M262" s="732"/>
      <c r="N262" s="735"/>
      <c r="O262" s="735"/>
      <c r="P262" s="732"/>
      <c r="Q262" s="732"/>
      <c r="R262" s="732"/>
      <c r="S262" s="683">
        <v>0</v>
      </c>
      <c r="T262" s="683">
        <v>0</v>
      </c>
      <c r="U262" s="683">
        <v>0</v>
      </c>
      <c r="V262" s="683">
        <v>0</v>
      </c>
      <c r="W262" s="683">
        <v>0</v>
      </c>
      <c r="X262" s="683">
        <v>0</v>
      </c>
      <c r="Y262" s="683">
        <v>0</v>
      </c>
      <c r="Z262" s="683">
        <v>0</v>
      </c>
      <c r="AA262" s="683">
        <v>0</v>
      </c>
      <c r="AB262" s="683">
        <v>0</v>
      </c>
      <c r="AC262" s="683">
        <v>0</v>
      </c>
      <c r="AD262" s="683">
        <v>0</v>
      </c>
      <c r="AE262" s="734"/>
      <c r="AF262" s="734"/>
      <c r="AG262" s="734"/>
      <c r="AH262" s="734"/>
      <c r="AI262" s="734"/>
      <c r="AJ262" s="734"/>
      <c r="AK262" s="734"/>
      <c r="AL262" s="734"/>
      <c r="AM262" s="734"/>
      <c r="AN262" s="734"/>
      <c r="AO262" s="734"/>
      <c r="AP262" s="734"/>
      <c r="AQ262" s="734"/>
      <c r="AR262" s="734"/>
      <c r="AS262" s="734"/>
      <c r="AT262" s="734"/>
      <c r="AU262" s="734"/>
      <c r="AV262" s="734"/>
      <c r="AW262" s="734"/>
      <c r="AX262" s="734"/>
      <c r="AY262" s="734"/>
      <c r="AZ262" s="734"/>
      <c r="BA262" s="734"/>
      <c r="BB262" s="734"/>
      <c r="BC262" s="734"/>
      <c r="BD262" s="734"/>
      <c r="BE262" s="734"/>
      <c r="BF262" s="734"/>
      <c r="BG262" s="734"/>
      <c r="BH262" s="734"/>
      <c r="BI262" s="734"/>
      <c r="BJ262" s="734"/>
      <c r="BK262" s="734"/>
      <c r="BL262" s="734"/>
      <c r="BM262" s="734"/>
      <c r="BN262" s="734"/>
      <c r="BO262" s="734"/>
      <c r="BP262" s="734"/>
      <c r="BQ262" s="734"/>
      <c r="BR262" s="734"/>
      <c r="BS262" s="734"/>
      <c r="BT262" s="734"/>
      <c r="BU262" s="734"/>
      <c r="BV262" s="734"/>
      <c r="BW262" s="734"/>
      <c r="BX262" s="734"/>
      <c r="BY262" s="734"/>
      <c r="BZ262" s="734"/>
      <c r="CA262" s="734"/>
    </row>
    <row r="263" spans="1:79" s="452" customFormat="1" hidden="1" outlineLevel="1" x14ac:dyDescent="0.35">
      <c r="A263" s="580"/>
      <c r="B263" s="580"/>
      <c r="C263" s="580"/>
      <c r="D263" s="580"/>
      <c r="E263" s="580"/>
      <c r="F263" s="672" t="s">
        <v>651</v>
      </c>
      <c r="G263" s="735"/>
      <c r="H263" s="735"/>
      <c r="I263" s="735"/>
      <c r="J263" s="735"/>
      <c r="K263" s="735"/>
      <c r="L263" s="735"/>
      <c r="M263" s="732"/>
      <c r="N263" s="735"/>
      <c r="O263" s="735"/>
      <c r="P263" s="732"/>
      <c r="Q263" s="732"/>
      <c r="R263" s="732"/>
      <c r="S263" s="700">
        <v>0</v>
      </c>
      <c r="T263" s="700">
        <v>0</v>
      </c>
      <c r="U263" s="700">
        <v>0</v>
      </c>
      <c r="V263" s="700">
        <v>0</v>
      </c>
      <c r="W263" s="700">
        <v>0</v>
      </c>
      <c r="X263" s="700">
        <v>0</v>
      </c>
      <c r="Y263" s="700">
        <v>0</v>
      </c>
      <c r="Z263" s="700">
        <v>0</v>
      </c>
      <c r="AA263" s="700">
        <v>0</v>
      </c>
      <c r="AB263" s="700">
        <v>0</v>
      </c>
      <c r="AC263" s="700">
        <v>0</v>
      </c>
      <c r="AD263" s="700">
        <v>0</v>
      </c>
      <c r="AE263" s="734"/>
      <c r="AF263" s="734"/>
      <c r="AG263" s="734"/>
      <c r="AH263" s="734"/>
      <c r="AI263" s="734"/>
      <c r="AJ263" s="734"/>
      <c r="AK263" s="734"/>
      <c r="AL263" s="734"/>
      <c r="AM263" s="734"/>
      <c r="AN263" s="734"/>
      <c r="AO263" s="734"/>
      <c r="AP263" s="734"/>
      <c r="AQ263" s="734"/>
      <c r="AR263" s="734"/>
      <c r="AS263" s="734"/>
      <c r="AT263" s="734"/>
      <c r="AU263" s="734"/>
      <c r="AV263" s="734"/>
      <c r="AW263" s="734"/>
      <c r="AX263" s="734"/>
      <c r="AY263" s="734"/>
      <c r="AZ263" s="734"/>
      <c r="BA263" s="734"/>
      <c r="BB263" s="734"/>
      <c r="BC263" s="734"/>
      <c r="BD263" s="734"/>
      <c r="BE263" s="734"/>
      <c r="BF263" s="734"/>
      <c r="BG263" s="734"/>
      <c r="BH263" s="734"/>
      <c r="BI263" s="734"/>
      <c r="BJ263" s="734"/>
      <c r="BK263" s="734"/>
      <c r="BL263" s="734"/>
      <c r="BM263" s="734"/>
      <c r="BN263" s="734"/>
      <c r="BO263" s="734"/>
      <c r="BP263" s="734"/>
      <c r="BQ263" s="734"/>
      <c r="BR263" s="734"/>
      <c r="BS263" s="734"/>
      <c r="BT263" s="734"/>
      <c r="BU263" s="734"/>
      <c r="BV263" s="734"/>
      <c r="BW263" s="734"/>
      <c r="BX263" s="734"/>
      <c r="BY263" s="734"/>
      <c r="BZ263" s="734"/>
      <c r="CA263" s="734"/>
    </row>
    <row r="264" spans="1:79" s="452" customFormat="1" hidden="1" outlineLevel="1" x14ac:dyDescent="0.35">
      <c r="A264" s="580"/>
      <c r="B264" s="580"/>
      <c r="C264" s="580"/>
      <c r="D264" s="580"/>
      <c r="E264" s="580"/>
      <c r="F264" s="672" t="s">
        <v>896</v>
      </c>
      <c r="G264" s="735"/>
      <c r="H264" s="735"/>
      <c r="I264" s="735"/>
      <c r="J264" s="735"/>
      <c r="K264" s="735"/>
      <c r="L264" s="735"/>
      <c r="M264" s="732"/>
      <c r="N264" s="735"/>
      <c r="O264" s="735"/>
      <c r="P264" s="732"/>
      <c r="Q264" s="732"/>
      <c r="R264" s="732"/>
      <c r="S264" s="700">
        <v>0</v>
      </c>
      <c r="T264" s="700">
        <v>0</v>
      </c>
      <c r="U264" s="700">
        <v>0</v>
      </c>
      <c r="V264" s="700">
        <v>0</v>
      </c>
      <c r="W264" s="700">
        <v>0</v>
      </c>
      <c r="X264" s="700">
        <v>0</v>
      </c>
      <c r="Y264" s="700">
        <v>0</v>
      </c>
      <c r="Z264" s="700">
        <v>0</v>
      </c>
      <c r="AA264" s="700">
        <v>0</v>
      </c>
      <c r="AB264" s="700">
        <v>0</v>
      </c>
      <c r="AC264" s="700">
        <v>0</v>
      </c>
      <c r="AD264" s="700">
        <v>0</v>
      </c>
      <c r="AE264" s="734"/>
      <c r="AF264" s="734"/>
      <c r="AG264" s="734"/>
      <c r="AH264" s="734"/>
      <c r="AI264" s="734"/>
      <c r="AJ264" s="734"/>
      <c r="AK264" s="734"/>
      <c r="AL264" s="734"/>
      <c r="AM264" s="734"/>
      <c r="AN264" s="734"/>
      <c r="AO264" s="734"/>
      <c r="AP264" s="734"/>
      <c r="AQ264" s="734"/>
      <c r="AR264" s="734"/>
      <c r="AS264" s="734"/>
      <c r="AT264" s="734"/>
      <c r="AU264" s="734"/>
      <c r="AV264" s="734"/>
      <c r="AW264" s="734"/>
      <c r="AX264" s="734"/>
      <c r="AY264" s="734"/>
      <c r="AZ264" s="734"/>
      <c r="BA264" s="734"/>
      <c r="BB264" s="734"/>
      <c r="BC264" s="734"/>
      <c r="BD264" s="734"/>
      <c r="BE264" s="734"/>
      <c r="BF264" s="734"/>
      <c r="BG264" s="734"/>
      <c r="BH264" s="734"/>
      <c r="BI264" s="734"/>
      <c r="BJ264" s="734"/>
      <c r="BK264" s="734"/>
      <c r="BL264" s="734"/>
      <c r="BM264" s="734"/>
      <c r="BN264" s="734"/>
      <c r="BO264" s="734"/>
      <c r="BP264" s="734"/>
      <c r="BQ264" s="734"/>
      <c r="BR264" s="734"/>
      <c r="BS264" s="734"/>
      <c r="BT264" s="734"/>
      <c r="BU264" s="734"/>
      <c r="BV264" s="734"/>
      <c r="BW264" s="734"/>
      <c r="BX264" s="734"/>
      <c r="BY264" s="734"/>
      <c r="BZ264" s="734"/>
      <c r="CA264" s="734"/>
    </row>
    <row r="265" spans="1:79" s="452" customFormat="1" hidden="1" outlineLevel="1" x14ac:dyDescent="0.35">
      <c r="A265" s="580"/>
      <c r="B265" s="580"/>
      <c r="C265" s="580"/>
      <c r="D265" s="580"/>
      <c r="E265" s="580"/>
      <c r="F265" s="672" t="s">
        <v>689</v>
      </c>
      <c r="G265" s="735"/>
      <c r="H265" s="735"/>
      <c r="I265" s="735"/>
      <c r="J265" s="735"/>
      <c r="K265" s="735"/>
      <c r="L265" s="735"/>
      <c r="M265" s="732"/>
      <c r="N265" s="735"/>
      <c r="O265" s="735"/>
      <c r="P265" s="732"/>
      <c r="Q265" s="732"/>
      <c r="R265" s="732"/>
      <c r="S265" s="683">
        <v>0</v>
      </c>
      <c r="T265" s="683">
        <v>0</v>
      </c>
      <c r="U265" s="683">
        <v>0</v>
      </c>
      <c r="V265" s="683">
        <v>0</v>
      </c>
      <c r="W265" s="683">
        <v>0</v>
      </c>
      <c r="X265" s="683">
        <v>0</v>
      </c>
      <c r="Y265" s="683">
        <v>0</v>
      </c>
      <c r="Z265" s="683">
        <v>0</v>
      </c>
      <c r="AA265" s="683">
        <v>0</v>
      </c>
      <c r="AB265" s="683">
        <v>0</v>
      </c>
      <c r="AC265" s="683">
        <v>0</v>
      </c>
      <c r="AD265" s="683">
        <v>0</v>
      </c>
      <c r="AE265" s="734"/>
      <c r="AF265" s="734"/>
      <c r="AG265" s="734"/>
      <c r="AH265" s="734"/>
      <c r="AI265" s="734"/>
      <c r="AJ265" s="734"/>
      <c r="AK265" s="734"/>
      <c r="AL265" s="734"/>
      <c r="AM265" s="734"/>
      <c r="AN265" s="734"/>
      <c r="AO265" s="734"/>
      <c r="AP265" s="734"/>
      <c r="AQ265" s="734"/>
      <c r="AR265" s="734"/>
      <c r="AS265" s="734"/>
      <c r="AT265" s="734"/>
      <c r="AU265" s="734"/>
      <c r="AV265" s="734"/>
      <c r="AW265" s="734"/>
      <c r="AX265" s="734"/>
      <c r="AY265" s="734"/>
      <c r="AZ265" s="734"/>
      <c r="BA265" s="734"/>
      <c r="BB265" s="734"/>
      <c r="BC265" s="734"/>
      <c r="BD265" s="734"/>
      <c r="BE265" s="734"/>
      <c r="BF265" s="734"/>
      <c r="BG265" s="734"/>
      <c r="BH265" s="734"/>
      <c r="BI265" s="734"/>
      <c r="BJ265" s="734"/>
      <c r="BK265" s="734"/>
      <c r="BL265" s="734"/>
      <c r="BM265" s="734"/>
      <c r="BN265" s="734"/>
      <c r="BO265" s="734"/>
      <c r="BP265" s="734"/>
      <c r="BQ265" s="734"/>
      <c r="BR265" s="734"/>
      <c r="BS265" s="734"/>
      <c r="BT265" s="734"/>
      <c r="BU265" s="734"/>
      <c r="BV265" s="734"/>
      <c r="BW265" s="734"/>
      <c r="BX265" s="734"/>
      <c r="BY265" s="734"/>
      <c r="BZ265" s="734"/>
      <c r="CA265" s="734"/>
    </row>
    <row r="266" spans="1:79" s="452" customFormat="1" hidden="1" outlineLevel="1" x14ac:dyDescent="0.35">
      <c r="A266" s="580"/>
      <c r="B266" s="580"/>
      <c r="C266" s="580"/>
      <c r="D266" s="580"/>
      <c r="E266" s="580"/>
      <c r="F266" s="672" t="s">
        <v>897</v>
      </c>
      <c r="G266" s="735">
        <v>0</v>
      </c>
      <c r="H266" s="735">
        <v>58.900303097221951</v>
      </c>
      <c r="I266" s="735">
        <v>0</v>
      </c>
      <c r="J266" s="735">
        <v>81.423235224850799</v>
      </c>
      <c r="K266" s="735">
        <v>79.588055575533232</v>
      </c>
      <c r="L266" s="735">
        <v>600.7981519619716</v>
      </c>
      <c r="M266" s="735">
        <v>957.17246009714677</v>
      </c>
      <c r="N266" s="735">
        <v>1232.4185712969356</v>
      </c>
      <c r="O266" s="735">
        <v>1143.82959355764</v>
      </c>
      <c r="P266" s="732">
        <v>314.83094986976101</v>
      </c>
      <c r="Q266" s="732">
        <v>1335.3510364063306</v>
      </c>
      <c r="R266" s="732">
        <v>5515.8588502170451</v>
      </c>
      <c r="S266" s="683">
        <v>0</v>
      </c>
      <c r="T266" s="683">
        <v>0</v>
      </c>
      <c r="U266" s="683">
        <v>0</v>
      </c>
      <c r="V266" s="683">
        <v>0</v>
      </c>
      <c r="W266" s="683">
        <v>0</v>
      </c>
      <c r="X266" s="683">
        <v>0</v>
      </c>
      <c r="Y266" s="683">
        <v>0</v>
      </c>
      <c r="Z266" s="683">
        <v>0</v>
      </c>
      <c r="AA266" s="683">
        <v>0</v>
      </c>
      <c r="AB266" s="683">
        <v>0</v>
      </c>
      <c r="AC266" s="683">
        <v>0</v>
      </c>
      <c r="AD266" s="683">
        <v>0</v>
      </c>
      <c r="AE266" s="734"/>
      <c r="AF266" s="734"/>
      <c r="AG266" s="734"/>
      <c r="AH266" s="734"/>
      <c r="AI266" s="734"/>
      <c r="AJ266" s="734"/>
      <c r="AK266" s="734"/>
      <c r="AL266" s="734"/>
      <c r="AM266" s="734"/>
      <c r="AN266" s="734"/>
      <c r="AO266" s="734"/>
      <c r="AP266" s="734"/>
      <c r="AQ266" s="734"/>
      <c r="AR266" s="734"/>
      <c r="AS266" s="734"/>
      <c r="AT266" s="734"/>
      <c r="AU266" s="734"/>
      <c r="AV266" s="734"/>
      <c r="AW266" s="734"/>
      <c r="AX266" s="734"/>
      <c r="AY266" s="734"/>
      <c r="AZ266" s="734"/>
      <c r="BA266" s="734"/>
      <c r="BB266" s="734"/>
      <c r="BC266" s="734"/>
      <c r="BD266" s="734"/>
      <c r="BE266" s="734"/>
      <c r="BF266" s="734"/>
      <c r="BG266" s="734"/>
      <c r="BH266" s="734"/>
      <c r="BI266" s="734"/>
      <c r="BJ266" s="734"/>
      <c r="BK266" s="734"/>
      <c r="BL266" s="734"/>
      <c r="BM266" s="734"/>
      <c r="BN266" s="734"/>
      <c r="BO266" s="734"/>
      <c r="BP266" s="734"/>
      <c r="BQ266" s="734"/>
      <c r="BR266" s="734"/>
      <c r="BS266" s="734"/>
      <c r="BT266" s="734"/>
      <c r="BU266" s="734"/>
      <c r="BV266" s="734"/>
      <c r="BW266" s="734"/>
      <c r="BX266" s="734"/>
      <c r="BY266" s="734"/>
      <c r="BZ266" s="734"/>
      <c r="CA266" s="734"/>
    </row>
    <row r="267" spans="1:79" s="309" customFormat="1" hidden="1" outlineLevel="1" x14ac:dyDescent="0.35">
      <c r="A267" s="30"/>
      <c r="B267" s="30"/>
      <c r="C267" s="30"/>
      <c r="D267" s="30"/>
      <c r="E267" s="30"/>
      <c r="F267" s="675" t="s">
        <v>626</v>
      </c>
      <c r="G267" s="696">
        <f>SUM(G258:G266)</f>
        <v>0</v>
      </c>
      <c r="H267" s="696">
        <f t="shared" ref="H267:BO267" si="85">SUM(H258:H266)</f>
        <v>58.900303097221951</v>
      </c>
      <c r="I267" s="696">
        <f t="shared" si="85"/>
        <v>0</v>
      </c>
      <c r="J267" s="696">
        <f t="shared" si="85"/>
        <v>81.423235224850799</v>
      </c>
      <c r="K267" s="696">
        <f t="shared" si="85"/>
        <v>79.588055575533232</v>
      </c>
      <c r="L267" s="696">
        <f t="shared" si="85"/>
        <v>600.7981519619716</v>
      </c>
      <c r="M267" s="696">
        <f t="shared" si="85"/>
        <v>957.17246009714677</v>
      </c>
      <c r="N267" s="696">
        <f t="shared" si="85"/>
        <v>1232.4185712969356</v>
      </c>
      <c r="O267" s="696">
        <f t="shared" si="85"/>
        <v>1143.82959355764</v>
      </c>
      <c r="P267" s="696">
        <f t="shared" si="85"/>
        <v>314.83094986976101</v>
      </c>
      <c r="Q267" s="696">
        <f t="shared" si="85"/>
        <v>1335.3510364063306</v>
      </c>
      <c r="R267" s="696">
        <f t="shared" si="85"/>
        <v>5515.8588502170451</v>
      </c>
      <c r="S267" s="696">
        <f t="shared" ref="S267:AA267" si="86">ROUND(SUM(S257:S266),5)</f>
        <v>6539.5</v>
      </c>
      <c r="T267" s="696">
        <f t="shared" si="86"/>
        <v>16210.5</v>
      </c>
      <c r="U267" s="696">
        <f t="shared" si="86"/>
        <v>6004</v>
      </c>
      <c r="V267" s="696">
        <f t="shared" si="86"/>
        <v>28507</v>
      </c>
      <c r="W267" s="696">
        <f t="shared" si="86"/>
        <v>7905</v>
      </c>
      <c r="X267" s="696">
        <f t="shared" si="86"/>
        <v>15938</v>
      </c>
      <c r="Y267" s="696">
        <f t="shared" si="86"/>
        <v>15934.5</v>
      </c>
      <c r="Z267" s="696">
        <f t="shared" si="86"/>
        <v>15637</v>
      </c>
      <c r="AA267" s="696">
        <f t="shared" si="86"/>
        <v>20647</v>
      </c>
      <c r="AB267" s="696">
        <f>ROUND(SUM(AB257:AB266),5)</f>
        <v>11638.5</v>
      </c>
      <c r="AC267" s="696">
        <f>ROUND(SUM(AC257:AC266),5)</f>
        <v>23509.25</v>
      </c>
      <c r="AD267" s="696">
        <f>ROUND(SUM(AD257:AD266),5)</f>
        <v>10451</v>
      </c>
      <c r="AE267" s="696">
        <f t="shared" si="85"/>
        <v>0</v>
      </c>
      <c r="AF267" s="696">
        <f t="shared" si="85"/>
        <v>0</v>
      </c>
      <c r="AG267" s="696">
        <f t="shared" si="85"/>
        <v>0</v>
      </c>
      <c r="AH267" s="696">
        <f t="shared" si="85"/>
        <v>0</v>
      </c>
      <c r="AI267" s="696">
        <f t="shared" si="85"/>
        <v>0</v>
      </c>
      <c r="AJ267" s="696">
        <f t="shared" si="85"/>
        <v>0</v>
      </c>
      <c r="AK267" s="696">
        <f t="shared" si="85"/>
        <v>0</v>
      </c>
      <c r="AL267" s="696">
        <f t="shared" si="85"/>
        <v>0</v>
      </c>
      <c r="AM267" s="696">
        <f t="shared" si="85"/>
        <v>0</v>
      </c>
      <c r="AN267" s="696">
        <f t="shared" si="85"/>
        <v>0</v>
      </c>
      <c r="AO267" s="696">
        <f t="shared" si="85"/>
        <v>0</v>
      </c>
      <c r="AP267" s="696">
        <f t="shared" si="85"/>
        <v>0</v>
      </c>
      <c r="AQ267" s="696">
        <f t="shared" si="85"/>
        <v>0</v>
      </c>
      <c r="AR267" s="696">
        <f t="shared" si="85"/>
        <v>0</v>
      </c>
      <c r="AS267" s="696">
        <f t="shared" si="85"/>
        <v>0</v>
      </c>
      <c r="AT267" s="696">
        <f t="shared" si="85"/>
        <v>0</v>
      </c>
      <c r="AU267" s="696">
        <f t="shared" si="85"/>
        <v>0</v>
      </c>
      <c r="AV267" s="696">
        <f t="shared" si="85"/>
        <v>0</v>
      </c>
      <c r="AW267" s="696">
        <f t="shared" si="85"/>
        <v>0</v>
      </c>
      <c r="AX267" s="696">
        <f t="shared" si="85"/>
        <v>0</v>
      </c>
      <c r="AY267" s="696">
        <f t="shared" si="85"/>
        <v>0</v>
      </c>
      <c r="AZ267" s="696">
        <f t="shared" si="85"/>
        <v>0</v>
      </c>
      <c r="BA267" s="696">
        <f t="shared" si="85"/>
        <v>0</v>
      </c>
      <c r="BB267" s="696">
        <f t="shared" si="85"/>
        <v>0</v>
      </c>
      <c r="BC267" s="696">
        <f t="shared" si="85"/>
        <v>0</v>
      </c>
      <c r="BD267" s="696">
        <f t="shared" si="85"/>
        <v>0</v>
      </c>
      <c r="BE267" s="696">
        <f t="shared" si="85"/>
        <v>0</v>
      </c>
      <c r="BF267" s="696">
        <f t="shared" si="85"/>
        <v>0</v>
      </c>
      <c r="BG267" s="696">
        <f t="shared" si="85"/>
        <v>0</v>
      </c>
      <c r="BH267" s="696">
        <f t="shared" si="85"/>
        <v>0</v>
      </c>
      <c r="BI267" s="696">
        <f t="shared" si="85"/>
        <v>0</v>
      </c>
      <c r="BJ267" s="696">
        <f t="shared" si="85"/>
        <v>0</v>
      </c>
      <c r="BK267" s="696">
        <f t="shared" si="85"/>
        <v>0</v>
      </c>
      <c r="BL267" s="696">
        <f t="shared" si="85"/>
        <v>0</v>
      </c>
      <c r="BM267" s="696">
        <f t="shared" si="85"/>
        <v>0</v>
      </c>
      <c r="BN267" s="696">
        <f t="shared" si="85"/>
        <v>0</v>
      </c>
      <c r="BO267" s="696">
        <f t="shared" si="85"/>
        <v>0</v>
      </c>
      <c r="BP267" s="696">
        <f t="shared" ref="BP267:CA267" si="87">SUM(BP258:BP266)</f>
        <v>0</v>
      </c>
      <c r="BQ267" s="696">
        <f t="shared" si="87"/>
        <v>0</v>
      </c>
      <c r="BR267" s="696">
        <f t="shared" si="87"/>
        <v>0</v>
      </c>
      <c r="BS267" s="696">
        <f t="shared" si="87"/>
        <v>0</v>
      </c>
      <c r="BT267" s="696">
        <f t="shared" si="87"/>
        <v>0</v>
      </c>
      <c r="BU267" s="696">
        <f t="shared" si="87"/>
        <v>0</v>
      </c>
      <c r="BV267" s="696">
        <f t="shared" si="87"/>
        <v>0</v>
      </c>
      <c r="BW267" s="696">
        <f t="shared" si="87"/>
        <v>0</v>
      </c>
      <c r="BX267" s="696">
        <f t="shared" si="87"/>
        <v>0</v>
      </c>
      <c r="BY267" s="696">
        <f t="shared" si="87"/>
        <v>0</v>
      </c>
      <c r="BZ267" s="696">
        <f t="shared" si="87"/>
        <v>0</v>
      </c>
      <c r="CA267" s="696">
        <f t="shared" si="87"/>
        <v>0</v>
      </c>
    </row>
    <row r="268" spans="1:79" s="452" customFormat="1" hidden="1" outlineLevel="1" x14ac:dyDescent="0.35">
      <c r="A268" s="754"/>
      <c r="B268" s="754"/>
      <c r="C268" s="754"/>
      <c r="D268" s="754"/>
      <c r="E268" s="754"/>
      <c r="F268" s="707" t="s">
        <v>627</v>
      </c>
      <c r="G268" s="756"/>
      <c r="H268" s="756"/>
      <c r="I268" s="756"/>
      <c r="J268" s="756"/>
      <c r="K268" s="756"/>
      <c r="L268" s="756"/>
      <c r="M268" s="756"/>
      <c r="N268" s="756"/>
      <c r="O268" s="750"/>
      <c r="P268" s="751"/>
      <c r="Q268" s="751"/>
      <c r="R268" s="751"/>
      <c r="S268" s="724"/>
      <c r="T268" s="724"/>
      <c r="U268" s="724"/>
      <c r="V268" s="724"/>
      <c r="W268" s="724"/>
      <c r="X268" s="724"/>
      <c r="Y268" s="724"/>
      <c r="Z268" s="724"/>
      <c r="AA268" s="724"/>
      <c r="AB268" s="724"/>
      <c r="AC268" s="724"/>
      <c r="AD268" s="724"/>
      <c r="AE268" s="753"/>
      <c r="AF268" s="753"/>
      <c r="AG268" s="753"/>
      <c r="AH268" s="753"/>
      <c r="AI268" s="753"/>
      <c r="AJ268" s="753"/>
      <c r="AK268" s="753"/>
      <c r="AL268" s="753"/>
      <c r="AM268" s="753"/>
      <c r="AN268" s="753"/>
      <c r="AO268" s="753"/>
      <c r="AP268" s="753"/>
      <c r="AQ268" s="753"/>
      <c r="AR268" s="753"/>
      <c r="AS268" s="753"/>
      <c r="AT268" s="753"/>
      <c r="AU268" s="753"/>
      <c r="AV268" s="753"/>
      <c r="AW268" s="753"/>
      <c r="AX268" s="753"/>
      <c r="AY268" s="753"/>
      <c r="AZ268" s="753"/>
      <c r="BA268" s="753"/>
      <c r="BB268" s="753"/>
      <c r="BC268" s="753"/>
      <c r="BD268" s="753"/>
      <c r="BE268" s="753"/>
      <c r="BF268" s="753"/>
      <c r="BG268" s="753"/>
      <c r="BH268" s="753"/>
      <c r="BI268" s="753"/>
      <c r="BJ268" s="753"/>
      <c r="BK268" s="753"/>
      <c r="BL268" s="753"/>
      <c r="BM268" s="753"/>
      <c r="BN268" s="753"/>
      <c r="BO268" s="753"/>
      <c r="BP268" s="753"/>
      <c r="BQ268" s="753"/>
      <c r="BR268" s="753"/>
      <c r="BS268" s="753"/>
      <c r="BT268" s="753"/>
      <c r="BU268" s="753"/>
      <c r="BV268" s="753"/>
      <c r="BW268" s="753"/>
      <c r="BX268" s="753"/>
      <c r="BY268" s="753"/>
      <c r="BZ268" s="753"/>
      <c r="CA268" s="753"/>
    </row>
    <row r="269" spans="1:79" s="309" customFormat="1" hidden="1" outlineLevel="1" x14ac:dyDescent="0.35">
      <c r="A269" s="726"/>
      <c r="B269" s="726"/>
      <c r="C269" s="726"/>
      <c r="D269" s="726"/>
      <c r="E269" s="726"/>
      <c r="F269" s="672" t="s">
        <v>923</v>
      </c>
      <c r="G269" s="699"/>
      <c r="H269" s="699"/>
      <c r="I269" s="699"/>
      <c r="J269" s="699"/>
      <c r="K269" s="699"/>
      <c r="L269" s="699"/>
      <c r="M269" s="699"/>
      <c r="N269" s="699"/>
      <c r="O269" s="699"/>
      <c r="P269" s="699"/>
      <c r="Q269" s="699"/>
      <c r="R269" s="699"/>
      <c r="S269" s="700"/>
      <c r="T269" s="700"/>
      <c r="U269" s="700"/>
      <c r="V269" s="700"/>
      <c r="W269" s="700"/>
      <c r="X269" s="700"/>
      <c r="Y269" s="700"/>
      <c r="Z269" s="700"/>
      <c r="AA269" s="700"/>
      <c r="AB269" s="700">
        <v>0</v>
      </c>
      <c r="AC269" s="700">
        <v>0</v>
      </c>
      <c r="AD269" s="700">
        <v>0</v>
      </c>
      <c r="AE269" s="700"/>
      <c r="AF269" s="700"/>
      <c r="AG269" s="700"/>
      <c r="AH269" s="700"/>
      <c r="AI269" s="700"/>
      <c r="AJ269" s="700"/>
      <c r="AK269" s="700"/>
      <c r="AL269" s="700"/>
      <c r="AM269" s="700"/>
      <c r="AN269" s="700"/>
      <c r="AO269" s="700"/>
      <c r="AP269" s="700"/>
      <c r="AQ269" s="700"/>
      <c r="AR269" s="700"/>
      <c r="AS269" s="700"/>
      <c r="AT269" s="700"/>
      <c r="AU269" s="700"/>
      <c r="AV269" s="700"/>
      <c r="AW269" s="700"/>
      <c r="AX269" s="700"/>
      <c r="AY269" s="700"/>
      <c r="AZ269" s="700"/>
      <c r="BA269" s="700"/>
      <c r="BB269" s="700"/>
      <c r="BC269" s="700"/>
      <c r="BD269" s="700"/>
      <c r="BE269" s="700"/>
      <c r="BF269" s="700"/>
      <c r="BG269" s="700"/>
      <c r="BH269" s="700"/>
      <c r="BI269" s="700"/>
      <c r="BJ269" s="700"/>
      <c r="BK269" s="700"/>
      <c r="BL269" s="700"/>
      <c r="BM269" s="700"/>
      <c r="BN269" s="700"/>
      <c r="BO269" s="700"/>
      <c r="BP269" s="700"/>
      <c r="BQ269" s="700"/>
      <c r="BR269" s="700"/>
      <c r="BS269" s="700"/>
      <c r="BT269" s="700"/>
      <c r="BU269" s="700"/>
      <c r="BV269" s="700"/>
      <c r="BW269" s="700"/>
      <c r="BX269" s="700"/>
      <c r="BY269" s="700"/>
      <c r="BZ269" s="700"/>
      <c r="CA269" s="700"/>
    </row>
    <row r="270" spans="1:79" s="452" customFormat="1" hidden="1" outlineLevel="1" x14ac:dyDescent="0.35">
      <c r="A270" s="580"/>
      <c r="B270" s="580"/>
      <c r="C270" s="580"/>
      <c r="D270" s="580"/>
      <c r="E270" s="580"/>
      <c r="F270" s="672" t="s">
        <v>671</v>
      </c>
      <c r="G270" s="737"/>
      <c r="H270" s="737"/>
      <c r="I270" s="737"/>
      <c r="J270" s="737"/>
      <c r="K270" s="737"/>
      <c r="L270" s="737"/>
      <c r="M270" s="737"/>
      <c r="N270" s="737"/>
      <c r="O270" s="735"/>
      <c r="P270" s="732"/>
      <c r="Q270" s="732"/>
      <c r="R270" s="732"/>
      <c r="S270" s="700">
        <v>0</v>
      </c>
      <c r="T270" s="700">
        <v>0</v>
      </c>
      <c r="U270" s="700">
        <v>0</v>
      </c>
      <c r="V270" s="700">
        <v>0</v>
      </c>
      <c r="W270" s="700">
        <v>0</v>
      </c>
      <c r="X270" s="700">
        <v>0</v>
      </c>
      <c r="Y270" s="700">
        <v>0</v>
      </c>
      <c r="Z270" s="700">
        <v>0</v>
      </c>
      <c r="AA270" s="700">
        <v>0</v>
      </c>
      <c r="AB270" s="700">
        <v>0</v>
      </c>
      <c r="AC270" s="700">
        <v>0</v>
      </c>
      <c r="AD270" s="700">
        <v>0</v>
      </c>
      <c r="AE270" s="734"/>
      <c r="AF270" s="734"/>
      <c r="AG270" s="734"/>
      <c r="AH270" s="734"/>
      <c r="AI270" s="734"/>
      <c r="AJ270" s="734"/>
      <c r="AK270" s="734"/>
      <c r="AL270" s="734"/>
      <c r="AM270" s="734"/>
      <c r="AN270" s="734"/>
      <c r="AO270" s="734"/>
      <c r="AP270" s="734"/>
      <c r="AQ270" s="734"/>
      <c r="AR270" s="734"/>
      <c r="AS270" s="734"/>
      <c r="AT270" s="734"/>
      <c r="AU270" s="734"/>
      <c r="AV270" s="734"/>
      <c r="AW270" s="734"/>
      <c r="AX270" s="734"/>
      <c r="AY270" s="734"/>
      <c r="AZ270" s="734"/>
      <c r="BA270" s="734"/>
      <c r="BB270" s="734"/>
      <c r="BC270" s="734"/>
      <c r="BD270" s="734"/>
      <c r="BE270" s="734"/>
      <c r="BF270" s="734"/>
      <c r="BG270" s="734"/>
      <c r="BH270" s="734"/>
      <c r="BI270" s="734"/>
      <c r="BJ270" s="734"/>
      <c r="BK270" s="734"/>
      <c r="BL270" s="734"/>
      <c r="BM270" s="734"/>
      <c r="BN270" s="734"/>
      <c r="BO270" s="734"/>
      <c r="BP270" s="734"/>
      <c r="BQ270" s="734"/>
      <c r="BR270" s="734"/>
      <c r="BS270" s="734"/>
      <c r="BT270" s="734"/>
      <c r="BU270" s="734"/>
      <c r="BV270" s="734"/>
      <c r="BW270" s="734"/>
      <c r="BX270" s="734"/>
      <c r="BY270" s="734"/>
      <c r="BZ270" s="734"/>
      <c r="CA270" s="734"/>
    </row>
    <row r="271" spans="1:79" s="452" customFormat="1" hidden="1" outlineLevel="1" x14ac:dyDescent="0.35">
      <c r="A271" s="580"/>
      <c r="B271" s="580"/>
      <c r="C271" s="580"/>
      <c r="D271" s="580"/>
      <c r="E271" s="580"/>
      <c r="F271" s="672" t="s">
        <v>767</v>
      </c>
      <c r="G271" s="737"/>
      <c r="H271" s="737"/>
      <c r="I271" s="737"/>
      <c r="J271" s="737"/>
      <c r="K271" s="737"/>
      <c r="L271" s="737"/>
      <c r="M271" s="737"/>
      <c r="N271" s="737"/>
      <c r="O271" s="735"/>
      <c r="P271" s="732"/>
      <c r="Q271" s="732"/>
      <c r="R271" s="732"/>
      <c r="S271" s="700">
        <v>0</v>
      </c>
      <c r="T271" s="700">
        <v>0</v>
      </c>
      <c r="U271" s="700">
        <v>0</v>
      </c>
      <c r="V271" s="700">
        <v>0</v>
      </c>
      <c r="W271" s="700">
        <v>0</v>
      </c>
      <c r="X271" s="700">
        <v>0</v>
      </c>
      <c r="Y271" s="700">
        <v>0</v>
      </c>
      <c r="Z271" s="700">
        <v>0</v>
      </c>
      <c r="AA271" s="700">
        <v>0</v>
      </c>
      <c r="AB271" s="700">
        <v>0</v>
      </c>
      <c r="AC271" s="700">
        <v>0</v>
      </c>
      <c r="AD271" s="700">
        <v>0</v>
      </c>
      <c r="AE271" s="734"/>
      <c r="AF271" s="734"/>
      <c r="AG271" s="734"/>
      <c r="AH271" s="734"/>
      <c r="AI271" s="734"/>
      <c r="AJ271" s="734"/>
      <c r="AK271" s="734"/>
      <c r="AL271" s="734"/>
      <c r="AM271" s="734"/>
      <c r="AN271" s="734"/>
      <c r="AO271" s="734"/>
      <c r="AP271" s="734"/>
      <c r="AQ271" s="734"/>
      <c r="AR271" s="734"/>
      <c r="AS271" s="734"/>
      <c r="AT271" s="734"/>
      <c r="AU271" s="734"/>
      <c r="AV271" s="734"/>
      <c r="AW271" s="734"/>
      <c r="AX271" s="734"/>
      <c r="AY271" s="734"/>
      <c r="AZ271" s="734"/>
      <c r="BA271" s="734"/>
      <c r="BB271" s="734"/>
      <c r="BC271" s="734"/>
      <c r="BD271" s="734"/>
      <c r="BE271" s="734"/>
      <c r="BF271" s="734"/>
      <c r="BG271" s="734"/>
      <c r="BH271" s="734"/>
      <c r="BI271" s="734"/>
      <c r="BJ271" s="734"/>
      <c r="BK271" s="734"/>
      <c r="BL271" s="734"/>
      <c r="BM271" s="734"/>
      <c r="BN271" s="734"/>
      <c r="BO271" s="734"/>
      <c r="BP271" s="734"/>
      <c r="BQ271" s="734"/>
      <c r="BR271" s="734"/>
      <c r="BS271" s="734"/>
      <c r="BT271" s="734"/>
      <c r="BU271" s="734"/>
      <c r="BV271" s="734"/>
      <c r="BW271" s="734"/>
      <c r="BX271" s="734"/>
      <c r="BY271" s="734"/>
      <c r="BZ271" s="734"/>
      <c r="CA271" s="734"/>
    </row>
    <row r="272" spans="1:79" s="452" customFormat="1" hidden="1" outlineLevel="1" x14ac:dyDescent="0.35">
      <c r="A272" s="80"/>
      <c r="B272" s="80"/>
      <c r="C272" s="80"/>
      <c r="D272" s="80"/>
      <c r="E272" s="80"/>
      <c r="F272" s="672" t="s">
        <v>628</v>
      </c>
      <c r="G272" s="735">
        <v>0</v>
      </c>
      <c r="H272" s="735">
        <v>17</v>
      </c>
      <c r="I272" s="735">
        <v>45</v>
      </c>
      <c r="J272" s="735"/>
      <c r="K272" s="735"/>
      <c r="L272" s="735"/>
      <c r="M272" s="735"/>
      <c r="N272" s="735"/>
      <c r="O272" s="735"/>
      <c r="P272" s="732"/>
      <c r="Q272" s="732"/>
      <c r="R272" s="732"/>
      <c r="S272" s="700">
        <v>74</v>
      </c>
      <c r="T272" s="700">
        <v>1450.5</v>
      </c>
      <c r="U272" s="700">
        <v>222</v>
      </c>
      <c r="V272" s="700">
        <v>154</v>
      </c>
      <c r="W272" s="700">
        <v>168</v>
      </c>
      <c r="X272" s="700">
        <v>128</v>
      </c>
      <c r="Y272" s="700">
        <v>141</v>
      </c>
      <c r="Z272" s="700">
        <v>196</v>
      </c>
      <c r="AA272" s="700">
        <v>231</v>
      </c>
      <c r="AB272" s="700">
        <v>0</v>
      </c>
      <c r="AC272" s="700">
        <v>28</v>
      </c>
      <c r="AD272" s="700">
        <v>55.5</v>
      </c>
      <c r="AE272" s="734"/>
      <c r="AF272" s="734"/>
      <c r="AG272" s="734"/>
      <c r="AH272" s="734"/>
      <c r="AI272" s="734"/>
      <c r="AJ272" s="734"/>
      <c r="AK272" s="734"/>
      <c r="AL272" s="734"/>
      <c r="AM272" s="734"/>
      <c r="AN272" s="734"/>
      <c r="AO272" s="734"/>
      <c r="AP272" s="734"/>
      <c r="AQ272" s="734"/>
      <c r="AR272" s="734"/>
      <c r="AS272" s="734"/>
      <c r="AT272" s="734"/>
      <c r="AU272" s="734"/>
      <c r="AV272" s="734"/>
      <c r="AW272" s="734"/>
      <c r="AX272" s="734"/>
      <c r="AY272" s="734"/>
      <c r="AZ272" s="734"/>
      <c r="BA272" s="734"/>
      <c r="BB272" s="734"/>
      <c r="BC272" s="734"/>
      <c r="BD272" s="734"/>
      <c r="BE272" s="734"/>
      <c r="BF272" s="734"/>
      <c r="BG272" s="734"/>
      <c r="BH272" s="734"/>
      <c r="BI272" s="734"/>
      <c r="BJ272" s="734"/>
      <c r="BK272" s="734"/>
      <c r="BL272" s="734"/>
      <c r="BM272" s="734"/>
      <c r="BN272" s="734"/>
      <c r="BO272" s="734"/>
      <c r="BP272" s="734"/>
      <c r="BQ272" s="734"/>
      <c r="BR272" s="734"/>
      <c r="BS272" s="734"/>
      <c r="BT272" s="734"/>
      <c r="BU272" s="734"/>
      <c r="BV272" s="734"/>
      <c r="BW272" s="734"/>
      <c r="BX272" s="734"/>
      <c r="BY272" s="734"/>
      <c r="BZ272" s="734"/>
      <c r="CA272" s="734"/>
    </row>
    <row r="273" spans="1:79" s="452" customFormat="1" hidden="1" outlineLevel="1" x14ac:dyDescent="0.35">
      <c r="A273" s="580"/>
      <c r="B273" s="580"/>
      <c r="C273" s="580"/>
      <c r="D273" s="580"/>
      <c r="E273" s="580"/>
      <c r="F273" s="672" t="s">
        <v>655</v>
      </c>
      <c r="G273" s="735"/>
      <c r="H273" s="735"/>
      <c r="I273" s="735"/>
      <c r="J273" s="735"/>
      <c r="K273" s="735"/>
      <c r="L273" s="735"/>
      <c r="M273" s="735"/>
      <c r="N273" s="735"/>
      <c r="O273" s="735"/>
      <c r="P273" s="732"/>
      <c r="Q273" s="732"/>
      <c r="R273" s="732"/>
      <c r="S273" s="700">
        <v>0</v>
      </c>
      <c r="T273" s="700">
        <v>0</v>
      </c>
      <c r="U273" s="700">
        <v>0</v>
      </c>
      <c r="V273" s="700">
        <v>0</v>
      </c>
      <c r="W273" s="700">
        <v>0</v>
      </c>
      <c r="X273" s="700">
        <v>0</v>
      </c>
      <c r="Y273" s="700">
        <v>0</v>
      </c>
      <c r="Z273" s="700">
        <v>0</v>
      </c>
      <c r="AA273" s="700">
        <v>0</v>
      </c>
      <c r="AB273" s="700">
        <v>0</v>
      </c>
      <c r="AC273" s="700">
        <v>0</v>
      </c>
      <c r="AD273" s="700">
        <v>0</v>
      </c>
      <c r="AE273" s="734"/>
      <c r="AF273" s="734"/>
      <c r="AG273" s="734"/>
      <c r="AH273" s="734"/>
      <c r="AI273" s="734"/>
      <c r="AJ273" s="734"/>
      <c r="AK273" s="734"/>
      <c r="AL273" s="734"/>
      <c r="AM273" s="734"/>
      <c r="AN273" s="734"/>
      <c r="AO273" s="734"/>
      <c r="AP273" s="734"/>
      <c r="AQ273" s="734"/>
      <c r="AR273" s="734"/>
      <c r="AS273" s="734"/>
      <c r="AT273" s="734"/>
      <c r="AU273" s="734"/>
      <c r="AV273" s="734"/>
      <c r="AW273" s="734"/>
      <c r="AX273" s="734"/>
      <c r="AY273" s="734"/>
      <c r="AZ273" s="734"/>
      <c r="BA273" s="734"/>
      <c r="BB273" s="734"/>
      <c r="BC273" s="734"/>
      <c r="BD273" s="734"/>
      <c r="BE273" s="734"/>
      <c r="BF273" s="734"/>
      <c r="BG273" s="734"/>
      <c r="BH273" s="734"/>
      <c r="BI273" s="734"/>
      <c r="BJ273" s="734"/>
      <c r="BK273" s="734"/>
      <c r="BL273" s="734"/>
      <c r="BM273" s="734"/>
      <c r="BN273" s="734"/>
      <c r="BO273" s="734"/>
      <c r="BP273" s="734"/>
      <c r="BQ273" s="734"/>
      <c r="BR273" s="734"/>
      <c r="BS273" s="734"/>
      <c r="BT273" s="734"/>
      <c r="BU273" s="734"/>
      <c r="BV273" s="734"/>
      <c r="BW273" s="734"/>
      <c r="BX273" s="734"/>
      <c r="BY273" s="734"/>
      <c r="BZ273" s="734"/>
      <c r="CA273" s="734"/>
    </row>
    <row r="274" spans="1:79" s="452" customFormat="1" hidden="1" outlineLevel="1" x14ac:dyDescent="0.35">
      <c r="A274" s="580"/>
      <c r="B274" s="580"/>
      <c r="C274" s="580"/>
      <c r="D274" s="580"/>
      <c r="E274" s="580"/>
      <c r="F274" s="672" t="s">
        <v>672</v>
      </c>
      <c r="G274" s="735"/>
      <c r="H274" s="735"/>
      <c r="I274" s="735"/>
      <c r="J274" s="735"/>
      <c r="K274" s="735"/>
      <c r="L274" s="735"/>
      <c r="M274" s="735"/>
      <c r="N274" s="735"/>
      <c r="O274" s="735"/>
      <c r="P274" s="732"/>
      <c r="Q274" s="732"/>
      <c r="R274" s="732"/>
      <c r="S274" s="700">
        <v>0</v>
      </c>
      <c r="T274" s="700">
        <v>0</v>
      </c>
      <c r="U274" s="700">
        <v>0</v>
      </c>
      <c r="V274" s="700">
        <v>0</v>
      </c>
      <c r="W274" s="700">
        <v>0</v>
      </c>
      <c r="X274" s="700">
        <v>0</v>
      </c>
      <c r="Y274" s="700">
        <v>0</v>
      </c>
      <c r="Z274" s="700">
        <v>0</v>
      </c>
      <c r="AA274" s="700">
        <v>0</v>
      </c>
      <c r="AB274" s="700">
        <v>0</v>
      </c>
      <c r="AC274" s="700">
        <v>0</v>
      </c>
      <c r="AD274" s="700">
        <v>0</v>
      </c>
      <c r="AE274" s="734"/>
      <c r="AF274" s="734"/>
      <c r="AG274" s="734"/>
      <c r="AH274" s="734"/>
      <c r="AI274" s="734"/>
      <c r="AJ274" s="734"/>
      <c r="AK274" s="734"/>
      <c r="AL274" s="734"/>
      <c r="AM274" s="734"/>
      <c r="AN274" s="734"/>
      <c r="AO274" s="734"/>
      <c r="AP274" s="734"/>
      <c r="AQ274" s="734"/>
      <c r="AR274" s="734"/>
      <c r="AS274" s="734"/>
      <c r="AT274" s="734"/>
      <c r="AU274" s="734"/>
      <c r="AV274" s="734"/>
      <c r="AW274" s="734"/>
      <c r="AX274" s="734"/>
      <c r="AY274" s="734"/>
      <c r="AZ274" s="734"/>
      <c r="BA274" s="734"/>
      <c r="BB274" s="734"/>
      <c r="BC274" s="734"/>
      <c r="BD274" s="734"/>
      <c r="BE274" s="734"/>
      <c r="BF274" s="734"/>
      <c r="BG274" s="734"/>
      <c r="BH274" s="734"/>
      <c r="BI274" s="734"/>
      <c r="BJ274" s="734"/>
      <c r="BK274" s="734"/>
      <c r="BL274" s="734"/>
      <c r="BM274" s="734"/>
      <c r="BN274" s="734"/>
      <c r="BO274" s="734"/>
      <c r="BP274" s="734"/>
      <c r="BQ274" s="734"/>
      <c r="BR274" s="734"/>
      <c r="BS274" s="734"/>
      <c r="BT274" s="734"/>
      <c r="BU274" s="734"/>
      <c r="BV274" s="734"/>
      <c r="BW274" s="734"/>
      <c r="BX274" s="734"/>
      <c r="BY274" s="734"/>
      <c r="BZ274" s="734"/>
      <c r="CA274" s="734"/>
    </row>
    <row r="275" spans="1:79" s="309" customFormat="1" hidden="1" outlineLevel="1" x14ac:dyDescent="0.35">
      <c r="A275" s="30"/>
      <c r="B275" s="30"/>
      <c r="C275" s="30"/>
      <c r="D275" s="30"/>
      <c r="E275" s="30"/>
      <c r="F275" s="673" t="s">
        <v>629</v>
      </c>
      <c r="G275" s="696">
        <f>SUM(G270:G274)</f>
        <v>0</v>
      </c>
      <c r="H275" s="696">
        <f t="shared" ref="H275:BO275" si="88">SUM(H270:H274)</f>
        <v>17</v>
      </c>
      <c r="I275" s="696">
        <f t="shared" si="88"/>
        <v>45</v>
      </c>
      <c r="J275" s="696">
        <f t="shared" si="88"/>
        <v>0</v>
      </c>
      <c r="K275" s="696">
        <f t="shared" si="88"/>
        <v>0</v>
      </c>
      <c r="L275" s="696">
        <f t="shared" si="88"/>
        <v>0</v>
      </c>
      <c r="M275" s="696">
        <f t="shared" si="88"/>
        <v>0</v>
      </c>
      <c r="N275" s="696">
        <f t="shared" si="88"/>
        <v>0</v>
      </c>
      <c r="O275" s="696">
        <f t="shared" si="88"/>
        <v>0</v>
      </c>
      <c r="P275" s="696">
        <f t="shared" si="88"/>
        <v>0</v>
      </c>
      <c r="Q275" s="696">
        <f t="shared" si="88"/>
        <v>0</v>
      </c>
      <c r="R275" s="696">
        <f t="shared" si="88"/>
        <v>0</v>
      </c>
      <c r="S275" s="696">
        <f t="shared" ref="S275:AA275" si="89">ROUND(SUM(S268:S274),5)</f>
        <v>74</v>
      </c>
      <c r="T275" s="696">
        <f t="shared" si="89"/>
        <v>1450.5</v>
      </c>
      <c r="U275" s="696">
        <f t="shared" si="89"/>
        <v>222</v>
      </c>
      <c r="V275" s="696">
        <f t="shared" si="89"/>
        <v>154</v>
      </c>
      <c r="W275" s="696">
        <f t="shared" si="89"/>
        <v>168</v>
      </c>
      <c r="X275" s="696">
        <f t="shared" si="89"/>
        <v>128</v>
      </c>
      <c r="Y275" s="696">
        <f t="shared" si="89"/>
        <v>141</v>
      </c>
      <c r="Z275" s="696">
        <f t="shared" si="89"/>
        <v>196</v>
      </c>
      <c r="AA275" s="696">
        <f t="shared" si="89"/>
        <v>231</v>
      </c>
      <c r="AB275" s="696">
        <f>ROUND(SUM(AB268:AB274),5)</f>
        <v>0</v>
      </c>
      <c r="AC275" s="696">
        <f>ROUND(SUM(AC268:AC274),5)</f>
        <v>28</v>
      </c>
      <c r="AD275" s="696">
        <f>ROUND(SUM(AD268:AD274),5)</f>
        <v>55.5</v>
      </c>
      <c r="AE275" s="696">
        <f t="shared" si="88"/>
        <v>0</v>
      </c>
      <c r="AF275" s="696">
        <f t="shared" si="88"/>
        <v>0</v>
      </c>
      <c r="AG275" s="696">
        <f t="shared" si="88"/>
        <v>0</v>
      </c>
      <c r="AH275" s="696">
        <f t="shared" si="88"/>
        <v>0</v>
      </c>
      <c r="AI275" s="696">
        <f t="shared" si="88"/>
        <v>0</v>
      </c>
      <c r="AJ275" s="696">
        <f t="shared" si="88"/>
        <v>0</v>
      </c>
      <c r="AK275" s="696">
        <f t="shared" si="88"/>
        <v>0</v>
      </c>
      <c r="AL275" s="696">
        <f t="shared" si="88"/>
        <v>0</v>
      </c>
      <c r="AM275" s="696">
        <f t="shared" si="88"/>
        <v>0</v>
      </c>
      <c r="AN275" s="696">
        <f t="shared" si="88"/>
        <v>0</v>
      </c>
      <c r="AO275" s="696">
        <f t="shared" si="88"/>
        <v>0</v>
      </c>
      <c r="AP275" s="696">
        <f t="shared" si="88"/>
        <v>0</v>
      </c>
      <c r="AQ275" s="696">
        <f t="shared" si="88"/>
        <v>0</v>
      </c>
      <c r="AR275" s="696">
        <f t="shared" si="88"/>
        <v>0</v>
      </c>
      <c r="AS275" s="696">
        <f t="shared" si="88"/>
        <v>0</v>
      </c>
      <c r="AT275" s="696">
        <f t="shared" si="88"/>
        <v>0</v>
      </c>
      <c r="AU275" s="696">
        <f t="shared" si="88"/>
        <v>0</v>
      </c>
      <c r="AV275" s="696">
        <f t="shared" si="88"/>
        <v>0</v>
      </c>
      <c r="AW275" s="696">
        <f t="shared" si="88"/>
        <v>0</v>
      </c>
      <c r="AX275" s="696">
        <f t="shared" si="88"/>
        <v>0</v>
      </c>
      <c r="AY275" s="696">
        <f t="shared" si="88"/>
        <v>0</v>
      </c>
      <c r="AZ275" s="696">
        <f t="shared" si="88"/>
        <v>0</v>
      </c>
      <c r="BA275" s="696">
        <f t="shared" si="88"/>
        <v>0</v>
      </c>
      <c r="BB275" s="696">
        <f t="shared" si="88"/>
        <v>0</v>
      </c>
      <c r="BC275" s="696">
        <f t="shared" si="88"/>
        <v>0</v>
      </c>
      <c r="BD275" s="696">
        <f t="shared" si="88"/>
        <v>0</v>
      </c>
      <c r="BE275" s="696">
        <f t="shared" si="88"/>
        <v>0</v>
      </c>
      <c r="BF275" s="696">
        <f t="shared" si="88"/>
        <v>0</v>
      </c>
      <c r="BG275" s="696">
        <f t="shared" si="88"/>
        <v>0</v>
      </c>
      <c r="BH275" s="696">
        <f t="shared" si="88"/>
        <v>0</v>
      </c>
      <c r="BI275" s="696">
        <f t="shared" si="88"/>
        <v>0</v>
      </c>
      <c r="BJ275" s="696">
        <f t="shared" si="88"/>
        <v>0</v>
      </c>
      <c r="BK275" s="696">
        <f t="shared" si="88"/>
        <v>0</v>
      </c>
      <c r="BL275" s="696">
        <f t="shared" si="88"/>
        <v>0</v>
      </c>
      <c r="BM275" s="696">
        <f t="shared" si="88"/>
        <v>0</v>
      </c>
      <c r="BN275" s="696">
        <f t="shared" si="88"/>
        <v>0</v>
      </c>
      <c r="BO275" s="696">
        <f t="shared" si="88"/>
        <v>0</v>
      </c>
      <c r="BP275" s="696">
        <f t="shared" ref="BP275:CA275" si="90">SUM(BP270:BP274)</f>
        <v>0</v>
      </c>
      <c r="BQ275" s="696">
        <f t="shared" si="90"/>
        <v>0</v>
      </c>
      <c r="BR275" s="696">
        <f t="shared" si="90"/>
        <v>0</v>
      </c>
      <c r="BS275" s="696">
        <f t="shared" si="90"/>
        <v>0</v>
      </c>
      <c r="BT275" s="696">
        <f t="shared" si="90"/>
        <v>0</v>
      </c>
      <c r="BU275" s="696">
        <f t="shared" si="90"/>
        <v>0</v>
      </c>
      <c r="BV275" s="696">
        <f t="shared" si="90"/>
        <v>0</v>
      </c>
      <c r="BW275" s="696">
        <f t="shared" si="90"/>
        <v>0</v>
      </c>
      <c r="BX275" s="696">
        <f t="shared" si="90"/>
        <v>0</v>
      </c>
      <c r="BY275" s="696">
        <f t="shared" si="90"/>
        <v>0</v>
      </c>
      <c r="BZ275" s="696">
        <f t="shared" si="90"/>
        <v>0</v>
      </c>
      <c r="CA275" s="696">
        <f t="shared" si="90"/>
        <v>0</v>
      </c>
    </row>
    <row r="276" spans="1:79" s="309" customFormat="1" hidden="1" outlineLevel="1" x14ac:dyDescent="0.35">
      <c r="A276" s="726"/>
      <c r="B276" s="726"/>
      <c r="C276" s="726"/>
      <c r="D276" s="726"/>
      <c r="E276" s="726"/>
      <c r="F276" s="707" t="s">
        <v>673</v>
      </c>
      <c r="G276" s="756"/>
      <c r="H276" s="756"/>
      <c r="I276" s="756"/>
      <c r="J276" s="756"/>
      <c r="K276" s="756"/>
      <c r="L276" s="756"/>
      <c r="M276" s="756"/>
      <c r="N276" s="756"/>
      <c r="O276" s="750"/>
      <c r="P276" s="751"/>
      <c r="Q276" s="751"/>
      <c r="R276" s="751"/>
      <c r="S276" s="724"/>
      <c r="T276" s="724"/>
      <c r="U276" s="724"/>
      <c r="V276" s="724"/>
      <c r="W276" s="724"/>
      <c r="X276" s="724"/>
      <c r="Y276" s="724"/>
      <c r="Z276" s="724"/>
      <c r="AA276" s="724"/>
      <c r="AB276" s="724"/>
      <c r="AC276" s="724"/>
      <c r="AD276" s="724"/>
      <c r="AE276" s="753"/>
      <c r="AF276" s="753"/>
      <c r="AG276" s="753"/>
      <c r="AH276" s="753"/>
      <c r="AI276" s="753"/>
      <c r="AJ276" s="753"/>
      <c r="AK276" s="753"/>
      <c r="AL276" s="753"/>
      <c r="AM276" s="753"/>
      <c r="AN276" s="753"/>
      <c r="AO276" s="753"/>
      <c r="AP276" s="753"/>
      <c r="AQ276" s="753"/>
      <c r="AR276" s="753"/>
      <c r="AS276" s="753"/>
      <c r="AT276" s="753"/>
      <c r="AU276" s="753"/>
      <c r="AV276" s="753"/>
      <c r="AW276" s="753"/>
      <c r="AX276" s="753"/>
      <c r="AY276" s="753"/>
      <c r="AZ276" s="753"/>
      <c r="BA276" s="753"/>
      <c r="BB276" s="753"/>
      <c r="BC276" s="753"/>
      <c r="BD276" s="753"/>
      <c r="BE276" s="753"/>
      <c r="BF276" s="753"/>
      <c r="BG276" s="753"/>
      <c r="BH276" s="753"/>
      <c r="BI276" s="753"/>
      <c r="BJ276" s="753"/>
      <c r="BK276" s="753"/>
      <c r="BL276" s="753"/>
      <c r="BM276" s="753"/>
      <c r="BN276" s="753"/>
      <c r="BO276" s="753"/>
      <c r="BP276" s="753"/>
      <c r="BQ276" s="753"/>
      <c r="BR276" s="753"/>
      <c r="BS276" s="753"/>
      <c r="BT276" s="753"/>
      <c r="BU276" s="753"/>
      <c r="BV276" s="753"/>
      <c r="BW276" s="753"/>
      <c r="BX276" s="753"/>
      <c r="BY276" s="753"/>
      <c r="BZ276" s="753"/>
      <c r="CA276" s="753"/>
    </row>
    <row r="277" spans="1:79" s="309" customFormat="1" hidden="1" outlineLevel="1" x14ac:dyDescent="0.35">
      <c r="A277" s="575"/>
      <c r="B277" s="575"/>
      <c r="C277" s="575"/>
      <c r="D277" s="575"/>
      <c r="E277" s="575"/>
      <c r="F277" s="672" t="s">
        <v>674</v>
      </c>
      <c r="G277" s="737"/>
      <c r="H277" s="737"/>
      <c r="I277" s="737"/>
      <c r="J277" s="737"/>
      <c r="K277" s="737"/>
      <c r="L277" s="737"/>
      <c r="M277" s="737"/>
      <c r="N277" s="737"/>
      <c r="O277" s="735"/>
      <c r="P277" s="732"/>
      <c r="Q277" s="732"/>
      <c r="R277" s="732"/>
      <c r="S277" s="700">
        <v>0</v>
      </c>
      <c r="T277" s="700">
        <v>0</v>
      </c>
      <c r="U277" s="700">
        <v>0</v>
      </c>
      <c r="V277" s="700">
        <v>0</v>
      </c>
      <c r="W277" s="700">
        <v>0</v>
      </c>
      <c r="X277" s="700">
        <v>0</v>
      </c>
      <c r="Y277" s="700">
        <v>0</v>
      </c>
      <c r="Z277" s="700">
        <v>0</v>
      </c>
      <c r="AA277" s="700">
        <v>0</v>
      </c>
      <c r="AB277" s="700">
        <v>0</v>
      </c>
      <c r="AC277" s="700">
        <v>0</v>
      </c>
      <c r="AD277" s="700">
        <v>0</v>
      </c>
      <c r="AE277" s="734"/>
      <c r="AF277" s="734"/>
      <c r="AG277" s="734"/>
      <c r="AH277" s="734"/>
      <c r="AI277" s="734"/>
      <c r="AJ277" s="734"/>
      <c r="AK277" s="734"/>
      <c r="AL277" s="734"/>
      <c r="AM277" s="734"/>
      <c r="AN277" s="734"/>
      <c r="AO277" s="734"/>
      <c r="AP277" s="734"/>
      <c r="AQ277" s="734"/>
      <c r="AR277" s="734"/>
      <c r="AS277" s="734"/>
      <c r="AT277" s="734"/>
      <c r="AU277" s="734"/>
      <c r="AV277" s="734"/>
      <c r="AW277" s="734"/>
      <c r="AX277" s="734"/>
      <c r="AY277" s="734"/>
      <c r="AZ277" s="734"/>
      <c r="BA277" s="734"/>
      <c r="BB277" s="734"/>
      <c r="BC277" s="734"/>
      <c r="BD277" s="734"/>
      <c r="BE277" s="734"/>
      <c r="BF277" s="734"/>
      <c r="BG277" s="734"/>
      <c r="BH277" s="734"/>
      <c r="BI277" s="734"/>
      <c r="BJ277" s="734"/>
      <c r="BK277" s="734"/>
      <c r="BL277" s="734"/>
      <c r="BM277" s="734"/>
      <c r="BN277" s="734"/>
      <c r="BO277" s="734"/>
      <c r="BP277" s="734"/>
      <c r="BQ277" s="734"/>
      <c r="BR277" s="734"/>
      <c r="BS277" s="734"/>
      <c r="BT277" s="734"/>
      <c r="BU277" s="734"/>
      <c r="BV277" s="734"/>
      <c r="BW277" s="734"/>
      <c r="BX277" s="734"/>
      <c r="BY277" s="734"/>
      <c r="BZ277" s="734"/>
      <c r="CA277" s="734"/>
    </row>
    <row r="278" spans="1:79" s="309" customFormat="1" hidden="1" outlineLevel="1" x14ac:dyDescent="0.35">
      <c r="A278" s="575"/>
      <c r="B278" s="575"/>
      <c r="C278" s="575"/>
      <c r="D278" s="575"/>
      <c r="E278" s="575"/>
      <c r="F278" s="672" t="s">
        <v>898</v>
      </c>
      <c r="G278" s="737"/>
      <c r="H278" s="737"/>
      <c r="I278" s="737"/>
      <c r="J278" s="737"/>
      <c r="K278" s="737"/>
      <c r="L278" s="737"/>
      <c r="M278" s="737"/>
      <c r="N278" s="737"/>
      <c r="O278" s="735"/>
      <c r="P278" s="732"/>
      <c r="Q278" s="732"/>
      <c r="R278" s="732"/>
      <c r="S278" s="700">
        <v>0</v>
      </c>
      <c r="T278" s="700">
        <v>0</v>
      </c>
      <c r="U278" s="700">
        <v>0</v>
      </c>
      <c r="V278" s="700">
        <v>0</v>
      </c>
      <c r="W278" s="700">
        <v>0</v>
      </c>
      <c r="X278" s="700">
        <v>0</v>
      </c>
      <c r="Y278" s="700">
        <v>0</v>
      </c>
      <c r="Z278" s="700">
        <v>0</v>
      </c>
      <c r="AA278" s="700">
        <v>0</v>
      </c>
      <c r="AB278" s="700">
        <v>0</v>
      </c>
      <c r="AC278" s="700">
        <v>0</v>
      </c>
      <c r="AD278" s="700">
        <v>0</v>
      </c>
      <c r="AE278" s="734"/>
      <c r="AF278" s="734"/>
      <c r="AG278" s="734"/>
      <c r="AH278" s="734"/>
      <c r="AI278" s="734"/>
      <c r="AJ278" s="734"/>
      <c r="AK278" s="734"/>
      <c r="AL278" s="734"/>
      <c r="AM278" s="734"/>
      <c r="AN278" s="734"/>
      <c r="AO278" s="734"/>
      <c r="AP278" s="734"/>
      <c r="AQ278" s="734"/>
      <c r="AR278" s="734"/>
      <c r="AS278" s="734"/>
      <c r="AT278" s="734"/>
      <c r="AU278" s="734"/>
      <c r="AV278" s="734"/>
      <c r="AW278" s="734"/>
      <c r="AX278" s="734"/>
      <c r="AY278" s="734"/>
      <c r="AZ278" s="734"/>
      <c r="BA278" s="734"/>
      <c r="BB278" s="734"/>
      <c r="BC278" s="734"/>
      <c r="BD278" s="734"/>
      <c r="BE278" s="734"/>
      <c r="BF278" s="734"/>
      <c r="BG278" s="734"/>
      <c r="BH278" s="734"/>
      <c r="BI278" s="734"/>
      <c r="BJ278" s="734"/>
      <c r="BK278" s="734"/>
      <c r="BL278" s="734"/>
      <c r="BM278" s="734"/>
      <c r="BN278" s="734"/>
      <c r="BO278" s="734"/>
      <c r="BP278" s="734"/>
      <c r="BQ278" s="734"/>
      <c r="BR278" s="734"/>
      <c r="BS278" s="734"/>
      <c r="BT278" s="734"/>
      <c r="BU278" s="734"/>
      <c r="BV278" s="734"/>
      <c r="BW278" s="734"/>
      <c r="BX278" s="734"/>
      <c r="BY278" s="734"/>
      <c r="BZ278" s="734"/>
      <c r="CA278" s="734"/>
    </row>
    <row r="279" spans="1:79" s="309" customFormat="1" hidden="1" outlineLevel="1" x14ac:dyDescent="0.35">
      <c r="A279" s="575"/>
      <c r="B279" s="575"/>
      <c r="C279" s="575"/>
      <c r="D279" s="575"/>
      <c r="E279" s="575"/>
      <c r="F279" s="672" t="s">
        <v>675</v>
      </c>
      <c r="G279" s="737"/>
      <c r="H279" s="737"/>
      <c r="I279" s="737"/>
      <c r="J279" s="737"/>
      <c r="K279" s="737"/>
      <c r="L279" s="737"/>
      <c r="M279" s="737"/>
      <c r="N279" s="737"/>
      <c r="O279" s="735"/>
      <c r="P279" s="732"/>
      <c r="Q279" s="732"/>
      <c r="R279" s="732"/>
      <c r="S279" s="700">
        <v>0</v>
      </c>
      <c r="T279" s="700">
        <v>0</v>
      </c>
      <c r="U279" s="700">
        <v>0</v>
      </c>
      <c r="V279" s="700">
        <v>0</v>
      </c>
      <c r="W279" s="700">
        <v>0</v>
      </c>
      <c r="X279" s="700">
        <v>0</v>
      </c>
      <c r="Y279" s="700">
        <v>0</v>
      </c>
      <c r="Z279" s="700">
        <v>0</v>
      </c>
      <c r="AA279" s="700">
        <v>0</v>
      </c>
      <c r="AB279" s="700">
        <v>0</v>
      </c>
      <c r="AC279" s="700">
        <v>0</v>
      </c>
      <c r="AD279" s="700">
        <v>0</v>
      </c>
      <c r="AE279" s="734"/>
      <c r="AF279" s="734"/>
      <c r="AG279" s="734"/>
      <c r="AH279" s="734"/>
      <c r="AI279" s="734"/>
      <c r="AJ279" s="734"/>
      <c r="AK279" s="734"/>
      <c r="AL279" s="734"/>
      <c r="AM279" s="734"/>
      <c r="AN279" s="734"/>
      <c r="AO279" s="734"/>
      <c r="AP279" s="734"/>
      <c r="AQ279" s="734"/>
      <c r="AR279" s="734"/>
      <c r="AS279" s="734"/>
      <c r="AT279" s="734"/>
      <c r="AU279" s="734"/>
      <c r="AV279" s="734"/>
      <c r="AW279" s="734"/>
      <c r="AX279" s="734"/>
      <c r="AY279" s="734"/>
      <c r="AZ279" s="734"/>
      <c r="BA279" s="734"/>
      <c r="BB279" s="734"/>
      <c r="BC279" s="734"/>
      <c r="BD279" s="734"/>
      <c r="BE279" s="734"/>
      <c r="BF279" s="734"/>
      <c r="BG279" s="734"/>
      <c r="BH279" s="734"/>
      <c r="BI279" s="734"/>
      <c r="BJ279" s="734"/>
      <c r="BK279" s="734"/>
      <c r="BL279" s="734"/>
      <c r="BM279" s="734"/>
      <c r="BN279" s="734"/>
      <c r="BO279" s="734"/>
      <c r="BP279" s="734"/>
      <c r="BQ279" s="734"/>
      <c r="BR279" s="734"/>
      <c r="BS279" s="734"/>
      <c r="BT279" s="734"/>
      <c r="BU279" s="734"/>
      <c r="BV279" s="734"/>
      <c r="BW279" s="734"/>
      <c r="BX279" s="734"/>
      <c r="BY279" s="734"/>
      <c r="BZ279" s="734"/>
      <c r="CA279" s="734"/>
    </row>
    <row r="280" spans="1:79" s="309" customFormat="1" hidden="1" outlineLevel="1" x14ac:dyDescent="0.35">
      <c r="A280" s="575"/>
      <c r="B280" s="575"/>
      <c r="C280" s="575"/>
      <c r="D280" s="575"/>
      <c r="E280" s="575"/>
      <c r="F280" s="672" t="s">
        <v>899</v>
      </c>
      <c r="G280" s="737"/>
      <c r="H280" s="737"/>
      <c r="I280" s="737"/>
      <c r="J280" s="737"/>
      <c r="K280" s="737"/>
      <c r="L280" s="737"/>
      <c r="M280" s="737"/>
      <c r="N280" s="737"/>
      <c r="O280" s="735"/>
      <c r="P280" s="732"/>
      <c r="Q280" s="732"/>
      <c r="R280" s="732"/>
      <c r="S280" s="700">
        <v>0</v>
      </c>
      <c r="T280" s="700">
        <v>0</v>
      </c>
      <c r="U280" s="700">
        <v>0</v>
      </c>
      <c r="V280" s="700">
        <v>0</v>
      </c>
      <c r="W280" s="700">
        <v>0</v>
      </c>
      <c r="X280" s="700">
        <v>0</v>
      </c>
      <c r="Y280" s="700">
        <v>0</v>
      </c>
      <c r="Z280" s="700">
        <v>0</v>
      </c>
      <c r="AA280" s="700">
        <v>0</v>
      </c>
      <c r="AB280" s="700">
        <v>0</v>
      </c>
      <c r="AC280" s="700">
        <v>0</v>
      </c>
      <c r="AD280" s="700">
        <v>0</v>
      </c>
      <c r="AE280" s="734"/>
      <c r="AF280" s="734"/>
      <c r="AG280" s="734"/>
      <c r="AH280" s="734"/>
      <c r="AI280" s="734"/>
      <c r="AJ280" s="734"/>
      <c r="AK280" s="734"/>
      <c r="AL280" s="734"/>
      <c r="AM280" s="734"/>
      <c r="AN280" s="734"/>
      <c r="AO280" s="734"/>
      <c r="AP280" s="734"/>
      <c r="AQ280" s="734"/>
      <c r="AR280" s="734"/>
      <c r="AS280" s="734"/>
      <c r="AT280" s="734"/>
      <c r="AU280" s="734"/>
      <c r="AV280" s="734"/>
      <c r="AW280" s="734"/>
      <c r="AX280" s="734"/>
      <c r="AY280" s="734"/>
      <c r="AZ280" s="734"/>
      <c r="BA280" s="734"/>
      <c r="BB280" s="734"/>
      <c r="BC280" s="734"/>
      <c r="BD280" s="734"/>
      <c r="BE280" s="734"/>
      <c r="BF280" s="734"/>
      <c r="BG280" s="734"/>
      <c r="BH280" s="734"/>
      <c r="BI280" s="734"/>
      <c r="BJ280" s="734"/>
      <c r="BK280" s="734"/>
      <c r="BL280" s="734"/>
      <c r="BM280" s="734"/>
      <c r="BN280" s="734"/>
      <c r="BO280" s="734"/>
      <c r="BP280" s="734"/>
      <c r="BQ280" s="734"/>
      <c r="BR280" s="734"/>
      <c r="BS280" s="734"/>
      <c r="BT280" s="734"/>
      <c r="BU280" s="734"/>
      <c r="BV280" s="734"/>
      <c r="BW280" s="734"/>
      <c r="BX280" s="734"/>
      <c r="BY280" s="734"/>
      <c r="BZ280" s="734"/>
      <c r="CA280" s="734"/>
    </row>
    <row r="281" spans="1:79" s="309" customFormat="1" hidden="1" outlineLevel="1" x14ac:dyDescent="0.35">
      <c r="A281" s="575"/>
      <c r="B281" s="575"/>
      <c r="C281" s="575"/>
      <c r="D281" s="575"/>
      <c r="E281" s="575"/>
      <c r="F281" s="673" t="s">
        <v>676</v>
      </c>
      <c r="G281" s="696">
        <f>SUM(G277:G280)</f>
        <v>0</v>
      </c>
      <c r="H281" s="696">
        <f t="shared" ref="H281:BO281" si="91">SUM(H277:H280)</f>
        <v>0</v>
      </c>
      <c r="I281" s="696">
        <f t="shared" si="91"/>
        <v>0</v>
      </c>
      <c r="J281" s="696">
        <f t="shared" si="91"/>
        <v>0</v>
      </c>
      <c r="K281" s="696">
        <f t="shared" si="91"/>
        <v>0</v>
      </c>
      <c r="L281" s="696">
        <f t="shared" si="91"/>
        <v>0</v>
      </c>
      <c r="M281" s="696">
        <f t="shared" si="91"/>
        <v>0</v>
      </c>
      <c r="N281" s="696">
        <f t="shared" si="91"/>
        <v>0</v>
      </c>
      <c r="O281" s="696">
        <f t="shared" si="91"/>
        <v>0</v>
      </c>
      <c r="P281" s="696">
        <f t="shared" si="91"/>
        <v>0</v>
      </c>
      <c r="Q281" s="696">
        <f t="shared" si="91"/>
        <v>0</v>
      </c>
      <c r="R281" s="696">
        <f t="shared" si="91"/>
        <v>0</v>
      </c>
      <c r="S281" s="696">
        <f t="shared" ref="S281:AA281" si="92">ROUND(SUM(S276:S280),5)</f>
        <v>0</v>
      </c>
      <c r="T281" s="696">
        <f t="shared" si="92"/>
        <v>0</v>
      </c>
      <c r="U281" s="696">
        <f t="shared" si="92"/>
        <v>0</v>
      </c>
      <c r="V281" s="696">
        <f t="shared" si="92"/>
        <v>0</v>
      </c>
      <c r="W281" s="696">
        <f t="shared" si="92"/>
        <v>0</v>
      </c>
      <c r="X281" s="696">
        <f t="shared" si="92"/>
        <v>0</v>
      </c>
      <c r="Y281" s="696">
        <f t="shared" si="92"/>
        <v>0</v>
      </c>
      <c r="Z281" s="696">
        <f t="shared" si="92"/>
        <v>0</v>
      </c>
      <c r="AA281" s="696">
        <f t="shared" si="92"/>
        <v>0</v>
      </c>
      <c r="AB281" s="696">
        <f>ROUND(SUM(AB276:AB280),5)</f>
        <v>0</v>
      </c>
      <c r="AC281" s="696">
        <f>ROUND(SUM(AC276:AC280),5)</f>
        <v>0</v>
      </c>
      <c r="AD281" s="696">
        <f>ROUND(SUM(AD276:AD280),5)</f>
        <v>0</v>
      </c>
      <c r="AE281" s="696">
        <f t="shared" si="91"/>
        <v>0</v>
      </c>
      <c r="AF281" s="696">
        <f t="shared" si="91"/>
        <v>0</v>
      </c>
      <c r="AG281" s="696">
        <f t="shared" si="91"/>
        <v>0</v>
      </c>
      <c r="AH281" s="696">
        <f t="shared" si="91"/>
        <v>0</v>
      </c>
      <c r="AI281" s="696">
        <f t="shared" si="91"/>
        <v>0</v>
      </c>
      <c r="AJ281" s="696">
        <f t="shared" si="91"/>
        <v>0</v>
      </c>
      <c r="AK281" s="696">
        <f t="shared" si="91"/>
        <v>0</v>
      </c>
      <c r="AL281" s="696">
        <f t="shared" si="91"/>
        <v>0</v>
      </c>
      <c r="AM281" s="696">
        <f t="shared" si="91"/>
        <v>0</v>
      </c>
      <c r="AN281" s="696">
        <f t="shared" si="91"/>
        <v>0</v>
      </c>
      <c r="AO281" s="696">
        <f t="shared" si="91"/>
        <v>0</v>
      </c>
      <c r="AP281" s="696">
        <f t="shared" si="91"/>
        <v>0</v>
      </c>
      <c r="AQ281" s="696">
        <f t="shared" si="91"/>
        <v>0</v>
      </c>
      <c r="AR281" s="696">
        <f t="shared" si="91"/>
        <v>0</v>
      </c>
      <c r="AS281" s="696">
        <f t="shared" si="91"/>
        <v>0</v>
      </c>
      <c r="AT281" s="696">
        <f t="shared" si="91"/>
        <v>0</v>
      </c>
      <c r="AU281" s="696">
        <f t="shared" si="91"/>
        <v>0</v>
      </c>
      <c r="AV281" s="696">
        <f t="shared" si="91"/>
        <v>0</v>
      </c>
      <c r="AW281" s="696">
        <f t="shared" si="91"/>
        <v>0</v>
      </c>
      <c r="AX281" s="696">
        <f t="shared" si="91"/>
        <v>0</v>
      </c>
      <c r="AY281" s="696">
        <f t="shared" si="91"/>
        <v>0</v>
      </c>
      <c r="AZ281" s="696">
        <f t="shared" si="91"/>
        <v>0</v>
      </c>
      <c r="BA281" s="696">
        <f t="shared" si="91"/>
        <v>0</v>
      </c>
      <c r="BB281" s="696">
        <f t="shared" si="91"/>
        <v>0</v>
      </c>
      <c r="BC281" s="696">
        <f t="shared" si="91"/>
        <v>0</v>
      </c>
      <c r="BD281" s="696">
        <f t="shared" si="91"/>
        <v>0</v>
      </c>
      <c r="BE281" s="696">
        <f t="shared" si="91"/>
        <v>0</v>
      </c>
      <c r="BF281" s="696">
        <f t="shared" si="91"/>
        <v>0</v>
      </c>
      <c r="BG281" s="696">
        <f t="shared" si="91"/>
        <v>0</v>
      </c>
      <c r="BH281" s="696">
        <f t="shared" si="91"/>
        <v>0</v>
      </c>
      <c r="BI281" s="696">
        <f t="shared" si="91"/>
        <v>0</v>
      </c>
      <c r="BJ281" s="696">
        <f t="shared" si="91"/>
        <v>0</v>
      </c>
      <c r="BK281" s="696">
        <f t="shared" si="91"/>
        <v>0</v>
      </c>
      <c r="BL281" s="696">
        <f t="shared" si="91"/>
        <v>0</v>
      </c>
      <c r="BM281" s="696">
        <f t="shared" si="91"/>
        <v>0</v>
      </c>
      <c r="BN281" s="696">
        <f t="shared" si="91"/>
        <v>0</v>
      </c>
      <c r="BO281" s="696">
        <f t="shared" si="91"/>
        <v>0</v>
      </c>
      <c r="BP281" s="696">
        <f t="shared" ref="BP281:CA281" si="93">SUM(BP277:BP280)</f>
        <v>0</v>
      </c>
      <c r="BQ281" s="696">
        <f t="shared" si="93"/>
        <v>0</v>
      </c>
      <c r="BR281" s="696">
        <f t="shared" si="93"/>
        <v>0</v>
      </c>
      <c r="BS281" s="696">
        <f t="shared" si="93"/>
        <v>0</v>
      </c>
      <c r="BT281" s="696">
        <f t="shared" si="93"/>
        <v>0</v>
      </c>
      <c r="BU281" s="696">
        <f t="shared" si="93"/>
        <v>0</v>
      </c>
      <c r="BV281" s="696">
        <f t="shared" si="93"/>
        <v>0</v>
      </c>
      <c r="BW281" s="696">
        <f t="shared" si="93"/>
        <v>0</v>
      </c>
      <c r="BX281" s="696">
        <f t="shared" si="93"/>
        <v>0</v>
      </c>
      <c r="BY281" s="696">
        <f t="shared" si="93"/>
        <v>0</v>
      </c>
      <c r="BZ281" s="696">
        <f t="shared" si="93"/>
        <v>0</v>
      </c>
      <c r="CA281" s="696">
        <f t="shared" si="93"/>
        <v>0</v>
      </c>
    </row>
    <row r="282" spans="1:79" s="309" customFormat="1" hidden="1" outlineLevel="1" x14ac:dyDescent="0.35">
      <c r="A282" s="30"/>
      <c r="B282" s="30"/>
      <c r="C282" s="30"/>
      <c r="D282" s="30"/>
      <c r="E282" s="30"/>
      <c r="F282" s="674" t="s">
        <v>652</v>
      </c>
      <c r="G282" s="735">
        <v>116.24723042537528</v>
      </c>
      <c r="H282" s="735">
        <v>58.54336726045279</v>
      </c>
      <c r="I282" s="735">
        <v>36.740805843856428</v>
      </c>
      <c r="J282" s="735">
        <v>14.492260975829055</v>
      </c>
      <c r="K282" s="735">
        <v>18.068529335019775</v>
      </c>
      <c r="L282" s="735">
        <v>12.893678091046883</v>
      </c>
      <c r="M282" s="735">
        <v>40.191266961505569</v>
      </c>
      <c r="N282" s="735">
        <v>8.964946127121264</v>
      </c>
      <c r="O282" s="735">
        <v>7.2729728603401718</v>
      </c>
      <c r="P282" s="735">
        <v>4.3732638357107447</v>
      </c>
      <c r="Q282" s="735">
        <v>7.6875868821589624</v>
      </c>
      <c r="R282" s="735">
        <v>7.7348735766294112</v>
      </c>
      <c r="S282" s="704">
        <v>0</v>
      </c>
      <c r="T282" s="704">
        <v>0</v>
      </c>
      <c r="U282" s="704">
        <v>0</v>
      </c>
      <c r="V282" s="704">
        <v>0</v>
      </c>
      <c r="W282" s="704">
        <v>0</v>
      </c>
      <c r="X282" s="704">
        <v>0</v>
      </c>
      <c r="Y282" s="704">
        <v>0</v>
      </c>
      <c r="Z282" s="704">
        <v>0</v>
      </c>
      <c r="AA282" s="704">
        <v>0</v>
      </c>
      <c r="AB282" s="704">
        <v>0</v>
      </c>
      <c r="AC282" s="704">
        <v>0</v>
      </c>
      <c r="AD282" s="704">
        <v>0</v>
      </c>
      <c r="AE282" s="734"/>
      <c r="AF282" s="734"/>
      <c r="AG282" s="734"/>
      <c r="AH282" s="734"/>
      <c r="AI282" s="734"/>
      <c r="AJ282" s="734"/>
      <c r="AK282" s="734"/>
      <c r="AL282" s="734"/>
      <c r="AM282" s="734"/>
      <c r="AN282" s="734"/>
      <c r="AO282" s="734"/>
      <c r="AP282" s="734"/>
      <c r="AQ282" s="734"/>
      <c r="AR282" s="734"/>
      <c r="AS282" s="734"/>
      <c r="AT282" s="734"/>
      <c r="AU282" s="734"/>
      <c r="AV282" s="734"/>
      <c r="AW282" s="734"/>
      <c r="AX282" s="734"/>
      <c r="AY282" s="734"/>
      <c r="AZ282" s="734"/>
      <c r="BA282" s="734"/>
      <c r="BB282" s="734"/>
      <c r="BC282" s="734"/>
      <c r="BD282" s="734"/>
      <c r="BE282" s="734"/>
      <c r="BF282" s="734"/>
      <c r="BG282" s="734"/>
      <c r="BH282" s="734"/>
      <c r="BI282" s="734"/>
      <c r="BJ282" s="734"/>
      <c r="BK282" s="734"/>
      <c r="BL282" s="734"/>
      <c r="BM282" s="734"/>
      <c r="BN282" s="734"/>
      <c r="BO282" s="734"/>
      <c r="BP282" s="734"/>
      <c r="BQ282" s="734"/>
      <c r="BR282" s="734"/>
      <c r="BS282" s="734"/>
      <c r="BT282" s="734"/>
      <c r="BU282" s="734"/>
      <c r="BV282" s="734"/>
      <c r="BW282" s="734"/>
      <c r="BX282" s="734"/>
      <c r="BY282" s="734"/>
      <c r="BZ282" s="734"/>
      <c r="CA282" s="734"/>
    </row>
    <row r="283" spans="1:79" hidden="1" outlineLevel="1" x14ac:dyDescent="0.35">
      <c r="F283" s="674" t="s">
        <v>603</v>
      </c>
      <c r="G283" s="735">
        <v>74.293738093722908</v>
      </c>
      <c r="H283" s="735">
        <v>190.43292595575218</v>
      </c>
      <c r="I283" s="735">
        <v>154.43257829134711</v>
      </c>
      <c r="J283" s="735">
        <v>359.98659634494874</v>
      </c>
      <c r="K283" s="735">
        <v>319.91786220565979</v>
      </c>
      <c r="L283" s="735">
        <v>283.48294410585669</v>
      </c>
      <c r="M283" s="735">
        <v>57.901206254180018</v>
      </c>
      <c r="N283" s="735">
        <v>246.3529536682681</v>
      </c>
      <c r="O283" s="735">
        <v>345.68068350554609</v>
      </c>
      <c r="P283" s="735">
        <v>407.43801402449128</v>
      </c>
      <c r="Q283" s="735">
        <v>59.92842950154963</v>
      </c>
      <c r="R283" s="735">
        <v>57.815892779910854</v>
      </c>
      <c r="S283" s="683">
        <v>4738.3599999999997</v>
      </c>
      <c r="T283" s="683">
        <v>8290.17</v>
      </c>
      <c r="U283" s="683">
        <v>3996.56</v>
      </c>
      <c r="V283" s="683">
        <v>653.37</v>
      </c>
      <c r="W283" s="683">
        <v>2.25</v>
      </c>
      <c r="X283" s="683">
        <v>5347.3</v>
      </c>
      <c r="Y283" s="683">
        <v>0</v>
      </c>
      <c r="Z283" s="683">
        <v>1712.42</v>
      </c>
      <c r="AA283" s="683">
        <v>4275.13</v>
      </c>
      <c r="AB283" s="683">
        <v>1224.0899999999999</v>
      </c>
      <c r="AC283" s="683">
        <v>37.58</v>
      </c>
      <c r="AD283" s="683">
        <v>563.1</v>
      </c>
      <c r="AE283" s="734"/>
      <c r="AF283" s="734"/>
      <c r="AG283" s="734"/>
      <c r="AH283" s="734"/>
      <c r="AI283" s="734"/>
      <c r="AJ283" s="734"/>
      <c r="AK283" s="734"/>
      <c r="AL283" s="734"/>
      <c r="AM283" s="734"/>
      <c r="AN283" s="734"/>
      <c r="AO283" s="734"/>
      <c r="AP283" s="734"/>
      <c r="AQ283" s="734"/>
      <c r="AR283" s="734"/>
      <c r="AS283" s="734"/>
      <c r="AT283" s="734"/>
      <c r="AU283" s="734"/>
      <c r="AV283" s="734"/>
      <c r="AW283" s="734"/>
      <c r="AX283" s="734"/>
      <c r="AY283" s="734"/>
      <c r="AZ283" s="734"/>
      <c r="BA283" s="734"/>
      <c r="BB283" s="734"/>
      <c r="BC283" s="734"/>
      <c r="BD283" s="734"/>
      <c r="BE283" s="734"/>
      <c r="BF283" s="734"/>
      <c r="BG283" s="734"/>
      <c r="BH283" s="734"/>
      <c r="BI283" s="734"/>
      <c r="BJ283" s="734"/>
      <c r="BK283" s="734"/>
      <c r="BL283" s="734"/>
      <c r="BM283" s="734"/>
      <c r="BN283" s="734"/>
      <c r="BO283" s="734"/>
      <c r="BP283" s="734"/>
      <c r="BQ283" s="734"/>
      <c r="BR283" s="734"/>
      <c r="BS283" s="734"/>
      <c r="BT283" s="734"/>
      <c r="BU283" s="734"/>
      <c r="BV283" s="734"/>
      <c r="BW283" s="734"/>
      <c r="BX283" s="734"/>
      <c r="BY283" s="734"/>
      <c r="BZ283" s="734"/>
      <c r="CA283" s="734"/>
    </row>
    <row r="284" spans="1:79" hidden="1" outlineLevel="1" x14ac:dyDescent="0.35">
      <c r="A284" s="709"/>
      <c r="B284" s="709"/>
      <c r="C284" s="709"/>
      <c r="D284" s="709"/>
      <c r="E284" s="709"/>
      <c r="F284" s="707" t="s">
        <v>677</v>
      </c>
      <c r="G284" s="750"/>
      <c r="H284" s="750"/>
      <c r="I284" s="750"/>
      <c r="J284" s="750"/>
      <c r="K284" s="750"/>
      <c r="L284" s="750"/>
      <c r="M284" s="750"/>
      <c r="N284" s="750"/>
      <c r="O284" s="750"/>
      <c r="P284" s="750"/>
      <c r="Q284" s="750"/>
      <c r="R284" s="750"/>
      <c r="S284" s="720"/>
      <c r="T284" s="720"/>
      <c r="U284" s="720"/>
      <c r="V284" s="720"/>
      <c r="W284" s="720"/>
      <c r="X284" s="720"/>
      <c r="Y284" s="720"/>
      <c r="Z284" s="720"/>
      <c r="AA284" s="720"/>
      <c r="AB284" s="720"/>
      <c r="AC284" s="720"/>
      <c r="AD284" s="720"/>
      <c r="AE284" s="753"/>
      <c r="AF284" s="753"/>
      <c r="AG284" s="753"/>
      <c r="AH284" s="753"/>
      <c r="AI284" s="753"/>
      <c r="AJ284" s="753"/>
      <c r="AK284" s="753"/>
      <c r="AL284" s="753"/>
      <c r="AM284" s="753"/>
      <c r="AN284" s="753"/>
      <c r="AO284" s="753"/>
      <c r="AP284" s="753"/>
      <c r="AQ284" s="753"/>
      <c r="AR284" s="753"/>
      <c r="AS284" s="753"/>
      <c r="AT284" s="753"/>
      <c r="AU284" s="753"/>
      <c r="AV284" s="753"/>
      <c r="AW284" s="753"/>
      <c r="AX284" s="753"/>
      <c r="AY284" s="753"/>
      <c r="AZ284" s="753"/>
      <c r="BA284" s="753"/>
      <c r="BB284" s="753"/>
      <c r="BC284" s="753"/>
      <c r="BD284" s="753"/>
      <c r="BE284" s="753"/>
      <c r="BF284" s="753"/>
      <c r="BG284" s="753"/>
      <c r="BH284" s="753"/>
      <c r="BI284" s="753"/>
      <c r="BJ284" s="753"/>
      <c r="BK284" s="753"/>
      <c r="BL284" s="753"/>
      <c r="BM284" s="753"/>
      <c r="BN284" s="753"/>
      <c r="BO284" s="753"/>
      <c r="BP284" s="753"/>
      <c r="BQ284" s="753"/>
      <c r="BR284" s="753"/>
      <c r="BS284" s="753"/>
      <c r="BT284" s="753"/>
      <c r="BU284" s="753"/>
      <c r="BV284" s="753"/>
      <c r="BW284" s="753"/>
      <c r="BX284" s="753"/>
      <c r="BY284" s="753"/>
      <c r="BZ284" s="753"/>
      <c r="CA284" s="753"/>
    </row>
    <row r="285" spans="1:79" hidden="1" outlineLevel="1" x14ac:dyDescent="0.35">
      <c r="A285" s="574"/>
      <c r="B285" s="574"/>
      <c r="C285" s="574"/>
      <c r="D285" s="574"/>
      <c r="E285" s="574"/>
      <c r="F285" s="672" t="s">
        <v>900</v>
      </c>
      <c r="G285" s="735"/>
      <c r="H285" s="735"/>
      <c r="I285" s="735"/>
      <c r="J285" s="735"/>
      <c r="K285" s="735"/>
      <c r="L285" s="735"/>
      <c r="M285" s="735"/>
      <c r="N285" s="735"/>
      <c r="O285" s="735"/>
      <c r="P285" s="735"/>
      <c r="Q285" s="735"/>
      <c r="R285" s="735"/>
      <c r="S285" s="683">
        <v>0</v>
      </c>
      <c r="T285" s="683">
        <v>0</v>
      </c>
      <c r="U285" s="683">
        <v>0</v>
      </c>
      <c r="V285" s="683">
        <v>0</v>
      </c>
      <c r="W285" s="683">
        <v>0</v>
      </c>
      <c r="X285" s="683">
        <v>0</v>
      </c>
      <c r="Y285" s="683">
        <v>0</v>
      </c>
      <c r="Z285" s="683">
        <v>0</v>
      </c>
      <c r="AA285" s="683">
        <v>0</v>
      </c>
      <c r="AB285" s="683">
        <v>0</v>
      </c>
      <c r="AC285" s="683">
        <v>0</v>
      </c>
      <c r="AD285" s="683">
        <v>0</v>
      </c>
      <c r="AE285" s="734"/>
      <c r="AF285" s="734"/>
      <c r="AG285" s="734"/>
      <c r="AH285" s="734"/>
      <c r="AI285" s="734"/>
      <c r="AJ285" s="734"/>
      <c r="AK285" s="734"/>
      <c r="AL285" s="734"/>
      <c r="AM285" s="734"/>
      <c r="AN285" s="734"/>
      <c r="AO285" s="734"/>
      <c r="AP285" s="734"/>
      <c r="AQ285" s="734"/>
      <c r="AR285" s="734"/>
      <c r="AS285" s="734"/>
      <c r="AT285" s="734"/>
      <c r="AU285" s="734"/>
      <c r="AV285" s="734"/>
      <c r="AW285" s="734"/>
      <c r="AX285" s="734"/>
      <c r="AY285" s="734"/>
      <c r="AZ285" s="734"/>
      <c r="BA285" s="734"/>
      <c r="BB285" s="734"/>
      <c r="BC285" s="734"/>
      <c r="BD285" s="734"/>
      <c r="BE285" s="734"/>
      <c r="BF285" s="734"/>
      <c r="BG285" s="734"/>
      <c r="BH285" s="734"/>
      <c r="BI285" s="734"/>
      <c r="BJ285" s="734"/>
      <c r="BK285" s="734"/>
      <c r="BL285" s="734"/>
      <c r="BM285" s="734"/>
      <c r="BN285" s="734"/>
      <c r="BO285" s="734"/>
      <c r="BP285" s="734"/>
      <c r="BQ285" s="734"/>
      <c r="BR285" s="734"/>
      <c r="BS285" s="734"/>
      <c r="BT285" s="734"/>
      <c r="BU285" s="734"/>
      <c r="BV285" s="734"/>
      <c r="BW285" s="734"/>
      <c r="BX285" s="734"/>
      <c r="BY285" s="734"/>
      <c r="BZ285" s="734"/>
      <c r="CA285" s="734"/>
    </row>
    <row r="286" spans="1:79" hidden="1" outlineLevel="1" x14ac:dyDescent="0.35">
      <c r="A286" s="574"/>
      <c r="B286" s="574"/>
      <c r="C286" s="574"/>
      <c r="D286" s="574"/>
      <c r="E286" s="574"/>
      <c r="F286" s="672" t="s">
        <v>678</v>
      </c>
      <c r="G286" s="735"/>
      <c r="H286" s="735"/>
      <c r="I286" s="735"/>
      <c r="J286" s="735"/>
      <c r="K286" s="735"/>
      <c r="L286" s="735"/>
      <c r="M286" s="735"/>
      <c r="N286" s="735"/>
      <c r="O286" s="735"/>
      <c r="P286" s="735"/>
      <c r="Q286" s="735"/>
      <c r="R286" s="735"/>
      <c r="S286" s="683">
        <v>0</v>
      </c>
      <c r="T286" s="683">
        <v>0</v>
      </c>
      <c r="U286" s="683">
        <v>0</v>
      </c>
      <c r="V286" s="683">
        <v>0</v>
      </c>
      <c r="W286" s="683">
        <v>0</v>
      </c>
      <c r="X286" s="683">
        <v>0</v>
      </c>
      <c r="Y286" s="683">
        <v>0</v>
      </c>
      <c r="Z286" s="683">
        <v>0</v>
      </c>
      <c r="AA286" s="683">
        <v>0</v>
      </c>
      <c r="AB286" s="683">
        <v>0</v>
      </c>
      <c r="AC286" s="683">
        <v>0</v>
      </c>
      <c r="AD286" s="683">
        <v>0</v>
      </c>
      <c r="AE286" s="734"/>
      <c r="AF286" s="734"/>
      <c r="AG286" s="734"/>
      <c r="AH286" s="734"/>
      <c r="AI286" s="734"/>
      <c r="AJ286" s="734"/>
      <c r="AK286" s="734"/>
      <c r="AL286" s="734"/>
      <c r="AM286" s="734"/>
      <c r="AN286" s="734"/>
      <c r="AO286" s="734"/>
      <c r="AP286" s="734"/>
      <c r="AQ286" s="734"/>
      <c r="AR286" s="734"/>
      <c r="AS286" s="734"/>
      <c r="AT286" s="734"/>
      <c r="AU286" s="734"/>
      <c r="AV286" s="734"/>
      <c r="AW286" s="734"/>
      <c r="AX286" s="734"/>
      <c r="AY286" s="734"/>
      <c r="AZ286" s="734"/>
      <c r="BA286" s="734"/>
      <c r="BB286" s="734"/>
      <c r="BC286" s="734"/>
      <c r="BD286" s="734"/>
      <c r="BE286" s="734"/>
      <c r="BF286" s="734"/>
      <c r="BG286" s="734"/>
      <c r="BH286" s="734"/>
      <c r="BI286" s="734"/>
      <c r="BJ286" s="734"/>
      <c r="BK286" s="734"/>
      <c r="BL286" s="734"/>
      <c r="BM286" s="734"/>
      <c r="BN286" s="734"/>
      <c r="BO286" s="734"/>
      <c r="BP286" s="734"/>
      <c r="BQ286" s="734"/>
      <c r="BR286" s="734"/>
      <c r="BS286" s="734"/>
      <c r="BT286" s="734"/>
      <c r="BU286" s="734"/>
      <c r="BV286" s="734"/>
      <c r="BW286" s="734"/>
      <c r="BX286" s="734"/>
      <c r="BY286" s="734"/>
      <c r="BZ286" s="734"/>
      <c r="CA286" s="734"/>
    </row>
    <row r="287" spans="1:79" hidden="1" outlineLevel="1" x14ac:dyDescent="0.35">
      <c r="A287" s="574"/>
      <c r="B287" s="574"/>
      <c r="C287" s="574"/>
      <c r="D287" s="574"/>
      <c r="E287" s="574"/>
      <c r="F287" s="672" t="s">
        <v>901</v>
      </c>
      <c r="G287" s="735"/>
      <c r="H287" s="735"/>
      <c r="I287" s="735"/>
      <c r="J287" s="735"/>
      <c r="K287" s="735"/>
      <c r="L287" s="735"/>
      <c r="M287" s="735"/>
      <c r="N287" s="735"/>
      <c r="O287" s="735"/>
      <c r="P287" s="735"/>
      <c r="Q287" s="735"/>
      <c r="R287" s="735"/>
      <c r="S287" s="683">
        <v>0</v>
      </c>
      <c r="T287" s="683">
        <v>0</v>
      </c>
      <c r="U287" s="683">
        <v>0</v>
      </c>
      <c r="V287" s="683">
        <v>0</v>
      </c>
      <c r="W287" s="683">
        <v>0</v>
      </c>
      <c r="X287" s="683">
        <v>0</v>
      </c>
      <c r="Y287" s="683">
        <v>0</v>
      </c>
      <c r="Z287" s="683">
        <v>0</v>
      </c>
      <c r="AA287" s="683">
        <v>0</v>
      </c>
      <c r="AB287" s="683">
        <v>0</v>
      </c>
      <c r="AC287" s="683">
        <v>0</v>
      </c>
      <c r="AD287" s="683">
        <v>0</v>
      </c>
      <c r="AE287" s="734"/>
      <c r="AF287" s="734"/>
      <c r="AG287" s="734"/>
      <c r="AH287" s="734"/>
      <c r="AI287" s="734"/>
      <c r="AJ287" s="734"/>
      <c r="AK287" s="734"/>
      <c r="AL287" s="734"/>
      <c r="AM287" s="734"/>
      <c r="AN287" s="734"/>
      <c r="AO287" s="734"/>
      <c r="AP287" s="734"/>
      <c r="AQ287" s="734"/>
      <c r="AR287" s="734"/>
      <c r="AS287" s="734"/>
      <c r="AT287" s="734"/>
      <c r="AU287" s="734"/>
      <c r="AV287" s="734"/>
      <c r="AW287" s="734"/>
      <c r="AX287" s="734"/>
      <c r="AY287" s="734"/>
      <c r="AZ287" s="734"/>
      <c r="BA287" s="734"/>
      <c r="BB287" s="734"/>
      <c r="BC287" s="734"/>
      <c r="BD287" s="734"/>
      <c r="BE287" s="734"/>
      <c r="BF287" s="734"/>
      <c r="BG287" s="734"/>
      <c r="BH287" s="734"/>
      <c r="BI287" s="734"/>
      <c r="BJ287" s="734"/>
      <c r="BK287" s="734"/>
      <c r="BL287" s="734"/>
      <c r="BM287" s="734"/>
      <c r="BN287" s="734"/>
      <c r="BO287" s="734"/>
      <c r="BP287" s="734"/>
      <c r="BQ287" s="734"/>
      <c r="BR287" s="734"/>
      <c r="BS287" s="734"/>
      <c r="BT287" s="734"/>
      <c r="BU287" s="734"/>
      <c r="BV287" s="734"/>
      <c r="BW287" s="734"/>
      <c r="BX287" s="734"/>
      <c r="BY287" s="734"/>
      <c r="BZ287" s="734"/>
      <c r="CA287" s="734"/>
    </row>
    <row r="288" spans="1:79" hidden="1" outlineLevel="1" x14ac:dyDescent="0.35">
      <c r="A288" s="574"/>
      <c r="B288" s="574"/>
      <c r="C288" s="574"/>
      <c r="D288" s="574"/>
      <c r="E288" s="574"/>
      <c r="F288" s="672" t="s">
        <v>771</v>
      </c>
      <c r="G288" s="696"/>
      <c r="H288" s="735"/>
      <c r="I288" s="735"/>
      <c r="J288" s="735"/>
      <c r="K288" s="735"/>
      <c r="L288" s="735"/>
      <c r="M288" s="735"/>
      <c r="N288" s="735"/>
      <c r="O288" s="735"/>
      <c r="P288" s="735"/>
      <c r="Q288" s="735"/>
      <c r="R288" s="735"/>
      <c r="S288" s="683">
        <v>0</v>
      </c>
      <c r="T288" s="683">
        <v>0</v>
      </c>
      <c r="U288" s="683">
        <v>0</v>
      </c>
      <c r="V288" s="683">
        <v>0</v>
      </c>
      <c r="W288" s="683">
        <v>0</v>
      </c>
      <c r="X288" s="683">
        <v>0</v>
      </c>
      <c r="Y288" s="683">
        <v>0</v>
      </c>
      <c r="Z288" s="683">
        <v>0</v>
      </c>
      <c r="AA288" s="683">
        <v>0</v>
      </c>
      <c r="AB288" s="683">
        <v>0</v>
      </c>
      <c r="AC288" s="683">
        <v>0</v>
      </c>
      <c r="AD288" s="683">
        <v>0</v>
      </c>
      <c r="AE288" s="734"/>
      <c r="AF288" s="734"/>
      <c r="AG288" s="734"/>
      <c r="AH288" s="734"/>
      <c r="AI288" s="734"/>
      <c r="AJ288" s="734"/>
      <c r="AK288" s="734"/>
      <c r="AL288" s="734"/>
      <c r="AM288" s="734"/>
      <c r="AN288" s="734"/>
      <c r="AO288" s="734"/>
      <c r="AP288" s="734"/>
      <c r="AQ288" s="734"/>
      <c r="AR288" s="734"/>
      <c r="AS288" s="734"/>
      <c r="AT288" s="734"/>
      <c r="AU288" s="734"/>
      <c r="AV288" s="734"/>
      <c r="AW288" s="734"/>
      <c r="AX288" s="734"/>
      <c r="AY288" s="734"/>
      <c r="AZ288" s="734"/>
      <c r="BA288" s="734"/>
      <c r="BB288" s="734"/>
      <c r="BC288" s="734"/>
      <c r="BD288" s="734"/>
      <c r="BE288" s="734"/>
      <c r="BF288" s="734"/>
      <c r="BG288" s="734"/>
      <c r="BH288" s="734"/>
      <c r="BI288" s="734"/>
      <c r="BJ288" s="734"/>
      <c r="BK288" s="734"/>
      <c r="BL288" s="734"/>
      <c r="BM288" s="734"/>
      <c r="BN288" s="734"/>
      <c r="BO288" s="734"/>
      <c r="BP288" s="734"/>
      <c r="BQ288" s="734"/>
      <c r="BR288" s="734"/>
      <c r="BS288" s="734"/>
      <c r="BT288" s="734"/>
      <c r="BU288" s="734"/>
      <c r="BV288" s="734"/>
      <c r="BW288" s="734"/>
      <c r="BX288" s="734"/>
      <c r="BY288" s="734"/>
      <c r="BZ288" s="734"/>
      <c r="CA288" s="734"/>
    </row>
    <row r="289" spans="1:79" hidden="1" outlineLevel="1" x14ac:dyDescent="0.35">
      <c r="A289" s="574"/>
      <c r="B289" s="574"/>
      <c r="C289" s="574"/>
      <c r="D289" s="574"/>
      <c r="E289" s="574"/>
      <c r="F289" s="673" t="s">
        <v>679</v>
      </c>
      <c r="G289" s="696">
        <f>SUM(G285:G288)</f>
        <v>0</v>
      </c>
      <c r="H289" s="696">
        <f t="shared" ref="H289:BO289" si="94">SUM(H285:H288)</f>
        <v>0</v>
      </c>
      <c r="I289" s="696">
        <f t="shared" si="94"/>
        <v>0</v>
      </c>
      <c r="J289" s="696">
        <f t="shared" si="94"/>
        <v>0</v>
      </c>
      <c r="K289" s="696">
        <f t="shared" si="94"/>
        <v>0</v>
      </c>
      <c r="L289" s="696">
        <f t="shared" si="94"/>
        <v>0</v>
      </c>
      <c r="M289" s="696">
        <f t="shared" si="94"/>
        <v>0</v>
      </c>
      <c r="N289" s="696">
        <f t="shared" si="94"/>
        <v>0</v>
      </c>
      <c r="O289" s="696">
        <f t="shared" si="94"/>
        <v>0</v>
      </c>
      <c r="P289" s="696">
        <f t="shared" si="94"/>
        <v>0</v>
      </c>
      <c r="Q289" s="696">
        <f t="shared" si="94"/>
        <v>0</v>
      </c>
      <c r="R289" s="696">
        <f t="shared" si="94"/>
        <v>0</v>
      </c>
      <c r="S289" s="694">
        <f t="shared" ref="S289:AA289" si="95">ROUND(SUM(S284:S288),5)</f>
        <v>0</v>
      </c>
      <c r="T289" s="694">
        <f t="shared" si="95"/>
        <v>0</v>
      </c>
      <c r="U289" s="694">
        <f t="shared" si="95"/>
        <v>0</v>
      </c>
      <c r="V289" s="694">
        <f t="shared" si="95"/>
        <v>0</v>
      </c>
      <c r="W289" s="694">
        <f t="shared" si="95"/>
        <v>0</v>
      </c>
      <c r="X289" s="694">
        <f t="shared" si="95"/>
        <v>0</v>
      </c>
      <c r="Y289" s="694">
        <f t="shared" si="95"/>
        <v>0</v>
      </c>
      <c r="Z289" s="694">
        <f t="shared" si="95"/>
        <v>0</v>
      </c>
      <c r="AA289" s="694">
        <f t="shared" si="95"/>
        <v>0</v>
      </c>
      <c r="AB289" s="694">
        <f>ROUND(SUM(AB284:AB288),5)</f>
        <v>0</v>
      </c>
      <c r="AC289" s="694">
        <f>ROUND(SUM(AC284:AC288),5)</f>
        <v>0</v>
      </c>
      <c r="AD289" s="694">
        <f>ROUND(SUM(AD284:AD288),5)</f>
        <v>0</v>
      </c>
      <c r="AE289" s="696">
        <f t="shared" si="94"/>
        <v>0</v>
      </c>
      <c r="AF289" s="696">
        <f t="shared" si="94"/>
        <v>0</v>
      </c>
      <c r="AG289" s="696">
        <f t="shared" si="94"/>
        <v>0</v>
      </c>
      <c r="AH289" s="696">
        <f t="shared" si="94"/>
        <v>0</v>
      </c>
      <c r="AI289" s="696">
        <f t="shared" si="94"/>
        <v>0</v>
      </c>
      <c r="AJ289" s="696">
        <f t="shared" si="94"/>
        <v>0</v>
      </c>
      <c r="AK289" s="696">
        <f t="shared" si="94"/>
        <v>0</v>
      </c>
      <c r="AL289" s="696">
        <f t="shared" si="94"/>
        <v>0</v>
      </c>
      <c r="AM289" s="696">
        <f t="shared" si="94"/>
        <v>0</v>
      </c>
      <c r="AN289" s="696">
        <f t="shared" si="94"/>
        <v>0</v>
      </c>
      <c r="AO289" s="696">
        <f t="shared" si="94"/>
        <v>0</v>
      </c>
      <c r="AP289" s="696">
        <f t="shared" si="94"/>
        <v>0</v>
      </c>
      <c r="AQ289" s="696">
        <f t="shared" si="94"/>
        <v>0</v>
      </c>
      <c r="AR289" s="696">
        <f t="shared" si="94"/>
        <v>0</v>
      </c>
      <c r="AS289" s="696">
        <f t="shared" si="94"/>
        <v>0</v>
      </c>
      <c r="AT289" s="696">
        <f t="shared" si="94"/>
        <v>0</v>
      </c>
      <c r="AU289" s="696">
        <f t="shared" si="94"/>
        <v>0</v>
      </c>
      <c r="AV289" s="696">
        <f t="shared" si="94"/>
        <v>0</v>
      </c>
      <c r="AW289" s="696">
        <f t="shared" si="94"/>
        <v>0</v>
      </c>
      <c r="AX289" s="696">
        <f t="shared" si="94"/>
        <v>0</v>
      </c>
      <c r="AY289" s="696">
        <f t="shared" si="94"/>
        <v>0</v>
      </c>
      <c r="AZ289" s="696">
        <f t="shared" si="94"/>
        <v>0</v>
      </c>
      <c r="BA289" s="696">
        <f t="shared" si="94"/>
        <v>0</v>
      </c>
      <c r="BB289" s="696">
        <f t="shared" si="94"/>
        <v>0</v>
      </c>
      <c r="BC289" s="696">
        <f t="shared" si="94"/>
        <v>0</v>
      </c>
      <c r="BD289" s="696">
        <f t="shared" si="94"/>
        <v>0</v>
      </c>
      <c r="BE289" s="696">
        <f t="shared" si="94"/>
        <v>0</v>
      </c>
      <c r="BF289" s="696">
        <f t="shared" si="94"/>
        <v>0</v>
      </c>
      <c r="BG289" s="696">
        <f t="shared" si="94"/>
        <v>0</v>
      </c>
      <c r="BH289" s="696">
        <f t="shared" si="94"/>
        <v>0</v>
      </c>
      <c r="BI289" s="696">
        <f t="shared" si="94"/>
        <v>0</v>
      </c>
      <c r="BJ289" s="696">
        <f t="shared" si="94"/>
        <v>0</v>
      </c>
      <c r="BK289" s="696">
        <f t="shared" si="94"/>
        <v>0</v>
      </c>
      <c r="BL289" s="696">
        <f t="shared" si="94"/>
        <v>0</v>
      </c>
      <c r="BM289" s="696">
        <f t="shared" si="94"/>
        <v>0</v>
      </c>
      <c r="BN289" s="696">
        <f t="shared" si="94"/>
        <v>0</v>
      </c>
      <c r="BO289" s="696">
        <f t="shared" si="94"/>
        <v>0</v>
      </c>
      <c r="BP289" s="696">
        <f t="shared" ref="BP289:CA289" si="96">SUM(BP285:BP288)</f>
        <v>0</v>
      </c>
      <c r="BQ289" s="696">
        <f t="shared" si="96"/>
        <v>0</v>
      </c>
      <c r="BR289" s="696">
        <f t="shared" si="96"/>
        <v>0</v>
      </c>
      <c r="BS289" s="696">
        <f t="shared" si="96"/>
        <v>0</v>
      </c>
      <c r="BT289" s="696">
        <f t="shared" si="96"/>
        <v>0</v>
      </c>
      <c r="BU289" s="696">
        <f t="shared" si="96"/>
        <v>0</v>
      </c>
      <c r="BV289" s="696">
        <f t="shared" si="96"/>
        <v>0</v>
      </c>
      <c r="BW289" s="696">
        <f t="shared" si="96"/>
        <v>0</v>
      </c>
      <c r="BX289" s="696">
        <f t="shared" si="96"/>
        <v>0</v>
      </c>
      <c r="BY289" s="696">
        <f t="shared" si="96"/>
        <v>0</v>
      </c>
      <c r="BZ289" s="696">
        <f t="shared" si="96"/>
        <v>0</v>
      </c>
      <c r="CA289" s="696">
        <f t="shared" si="96"/>
        <v>0</v>
      </c>
    </row>
    <row r="290" spans="1:79" hidden="1" outlineLevel="1" x14ac:dyDescent="0.35">
      <c r="F290" s="674" t="s">
        <v>604</v>
      </c>
      <c r="G290" s="735">
        <v>138.96527977816228</v>
      </c>
      <c r="H290" s="735">
        <v>92.808029584230695</v>
      </c>
      <c r="I290" s="735">
        <v>148.99365579854535</v>
      </c>
      <c r="J290" s="735">
        <v>189.46286612934981</v>
      </c>
      <c r="K290" s="735">
        <v>89.683086173508812</v>
      </c>
      <c r="L290" s="735">
        <v>201.75601271446232</v>
      </c>
      <c r="M290" s="735">
        <v>165.30313649718352</v>
      </c>
      <c r="N290" s="735">
        <v>103.14264666878618</v>
      </c>
      <c r="O290" s="735">
        <v>66.475500780154235</v>
      </c>
      <c r="P290" s="732">
        <v>83.439934168450321</v>
      </c>
      <c r="Q290" s="732">
        <v>68.375102898307603</v>
      </c>
      <c r="R290" s="732">
        <v>35.70860937677422</v>
      </c>
      <c r="S290" s="683">
        <v>306.58999999999997</v>
      </c>
      <c r="T290" s="683">
        <v>27.18</v>
      </c>
      <c r="U290" s="683">
        <v>85.39</v>
      </c>
      <c r="V290" s="683">
        <v>0</v>
      </c>
      <c r="W290" s="683">
        <v>5.46</v>
      </c>
      <c r="X290" s="683">
        <v>81.849999999999994</v>
      </c>
      <c r="Y290" s="683">
        <v>0</v>
      </c>
      <c r="Z290" s="683">
        <v>14.13</v>
      </c>
      <c r="AA290" s="683">
        <v>98.13</v>
      </c>
      <c r="AB290" s="683">
        <v>0</v>
      </c>
      <c r="AC290" s="683">
        <v>74</v>
      </c>
      <c r="AD290" s="683">
        <v>13.1</v>
      </c>
      <c r="AE290" s="734"/>
      <c r="AF290" s="734"/>
      <c r="AG290" s="734"/>
      <c r="AH290" s="734"/>
      <c r="AI290" s="734"/>
      <c r="AJ290" s="734"/>
      <c r="AK290" s="734"/>
      <c r="AL290" s="734"/>
      <c r="AM290" s="734"/>
      <c r="AN290" s="734"/>
      <c r="AO290" s="734"/>
      <c r="AP290" s="734"/>
      <c r="AQ290" s="734"/>
      <c r="AR290" s="734"/>
      <c r="AS290" s="734"/>
      <c r="AT290" s="734"/>
      <c r="AU290" s="734"/>
      <c r="AV290" s="734"/>
      <c r="AW290" s="734"/>
      <c r="AX290" s="734"/>
      <c r="AY290" s="734"/>
      <c r="AZ290" s="734"/>
      <c r="BA290" s="734"/>
      <c r="BB290" s="734"/>
      <c r="BC290" s="734"/>
      <c r="BD290" s="734"/>
      <c r="BE290" s="734"/>
      <c r="BF290" s="734"/>
      <c r="BG290" s="734"/>
      <c r="BH290" s="734"/>
      <c r="BI290" s="734"/>
      <c r="BJ290" s="734"/>
      <c r="BK290" s="734"/>
      <c r="BL290" s="734"/>
      <c r="BM290" s="734"/>
      <c r="BN290" s="734"/>
      <c r="BO290" s="734"/>
      <c r="BP290" s="734"/>
      <c r="BQ290" s="734"/>
      <c r="BR290" s="734"/>
      <c r="BS290" s="734"/>
      <c r="BT290" s="734"/>
      <c r="BU290" s="734"/>
      <c r="BV290" s="734"/>
      <c r="BW290" s="734"/>
      <c r="BX290" s="734"/>
      <c r="BY290" s="734"/>
      <c r="BZ290" s="734"/>
      <c r="CA290" s="734"/>
    </row>
    <row r="291" spans="1:79" s="452" customFormat="1" hidden="1" outlineLevel="1" x14ac:dyDescent="0.35">
      <c r="A291" s="754"/>
      <c r="B291" s="754"/>
      <c r="C291" s="754"/>
      <c r="D291" s="754"/>
      <c r="E291" s="754"/>
      <c r="F291" s="717" t="s">
        <v>605</v>
      </c>
      <c r="G291" s="756"/>
      <c r="H291" s="756"/>
      <c r="I291" s="756"/>
      <c r="J291" s="756"/>
      <c r="K291" s="756"/>
      <c r="L291" s="756"/>
      <c r="M291" s="756"/>
      <c r="N291" s="756"/>
      <c r="O291" s="750"/>
      <c r="P291" s="751"/>
      <c r="Q291" s="751"/>
      <c r="R291" s="751"/>
      <c r="S291" s="713"/>
      <c r="T291" s="713"/>
      <c r="U291" s="713"/>
      <c r="V291" s="713"/>
      <c r="W291" s="713"/>
      <c r="X291" s="713"/>
      <c r="Y291" s="713"/>
      <c r="Z291" s="713"/>
      <c r="AA291" s="713"/>
      <c r="AB291" s="713"/>
      <c r="AC291" s="713"/>
      <c r="AD291" s="713"/>
      <c r="AE291" s="753"/>
      <c r="AF291" s="753"/>
      <c r="AG291" s="753"/>
      <c r="AH291" s="753"/>
      <c r="AI291" s="753"/>
      <c r="AJ291" s="753"/>
      <c r="AK291" s="753"/>
      <c r="AL291" s="753"/>
      <c r="AM291" s="753"/>
      <c r="AN291" s="753"/>
      <c r="AO291" s="753"/>
      <c r="AP291" s="753"/>
      <c r="AQ291" s="753"/>
      <c r="AR291" s="753"/>
      <c r="AS291" s="753"/>
      <c r="AT291" s="753"/>
      <c r="AU291" s="753"/>
      <c r="AV291" s="753"/>
      <c r="AW291" s="753"/>
      <c r="AX291" s="753"/>
      <c r="AY291" s="753"/>
      <c r="AZ291" s="753"/>
      <c r="BA291" s="753"/>
      <c r="BB291" s="753"/>
      <c r="BC291" s="753"/>
      <c r="BD291" s="753"/>
      <c r="BE291" s="753"/>
      <c r="BF291" s="753"/>
      <c r="BG291" s="753"/>
      <c r="BH291" s="753"/>
      <c r="BI291" s="753"/>
      <c r="BJ291" s="753"/>
      <c r="BK291" s="753"/>
      <c r="BL291" s="753"/>
      <c r="BM291" s="753"/>
      <c r="BN291" s="753"/>
      <c r="BO291" s="753"/>
      <c r="BP291" s="753"/>
      <c r="BQ291" s="753"/>
      <c r="BR291" s="753"/>
      <c r="BS291" s="753"/>
      <c r="BT291" s="753"/>
      <c r="BU291" s="753"/>
      <c r="BV291" s="753"/>
      <c r="BW291" s="753"/>
      <c r="BX291" s="753"/>
      <c r="BY291" s="753"/>
      <c r="BZ291" s="753"/>
      <c r="CA291" s="753"/>
    </row>
    <row r="292" spans="1:79" s="452" customFormat="1" hidden="1" outlineLevel="1" x14ac:dyDescent="0.35">
      <c r="A292" s="580"/>
      <c r="B292" s="580"/>
      <c r="C292" s="580"/>
      <c r="D292" s="580"/>
      <c r="E292" s="580"/>
      <c r="F292" s="672" t="s">
        <v>902</v>
      </c>
      <c r="G292" s="737"/>
      <c r="H292" s="737"/>
      <c r="I292" s="737"/>
      <c r="J292" s="737"/>
      <c r="K292" s="737"/>
      <c r="L292" s="737"/>
      <c r="M292" s="737"/>
      <c r="N292" s="737"/>
      <c r="O292" s="735"/>
      <c r="P292" s="732"/>
      <c r="Q292" s="732"/>
      <c r="R292" s="732"/>
      <c r="S292" s="687"/>
      <c r="T292" s="687"/>
      <c r="U292" s="687"/>
      <c r="V292" s="687"/>
      <c r="W292" s="687"/>
      <c r="X292" s="687"/>
      <c r="Y292" s="687"/>
      <c r="Z292" s="687"/>
      <c r="AA292" s="687"/>
      <c r="AB292" s="687"/>
      <c r="AC292" s="687"/>
      <c r="AD292" s="687"/>
      <c r="AE292" s="734"/>
      <c r="AF292" s="734"/>
      <c r="AG292" s="734"/>
      <c r="AH292" s="734"/>
      <c r="AI292" s="734"/>
      <c r="AJ292" s="734"/>
      <c r="AK292" s="734"/>
      <c r="AL292" s="734"/>
      <c r="AM292" s="734"/>
      <c r="AN292" s="734"/>
      <c r="AO292" s="734"/>
      <c r="AP292" s="734"/>
      <c r="AQ292" s="734"/>
      <c r="AR292" s="734"/>
      <c r="AS292" s="734"/>
      <c r="AT292" s="734"/>
      <c r="AU292" s="734"/>
      <c r="AV292" s="734"/>
      <c r="AW292" s="734"/>
      <c r="AX292" s="734"/>
      <c r="AY292" s="734"/>
      <c r="AZ292" s="734"/>
      <c r="BA292" s="734"/>
      <c r="BB292" s="734"/>
      <c r="BC292" s="734"/>
      <c r="BD292" s="734"/>
      <c r="BE292" s="734"/>
      <c r="BF292" s="734"/>
      <c r="BG292" s="734"/>
      <c r="BH292" s="734"/>
      <c r="BI292" s="734"/>
      <c r="BJ292" s="734"/>
      <c r="BK292" s="734"/>
      <c r="BL292" s="734"/>
      <c r="BM292" s="734"/>
      <c r="BN292" s="734"/>
      <c r="BO292" s="734"/>
      <c r="BP292" s="734"/>
      <c r="BQ292" s="734"/>
      <c r="BR292" s="734"/>
      <c r="BS292" s="734"/>
      <c r="BT292" s="734"/>
      <c r="BU292" s="734"/>
      <c r="BV292" s="734"/>
      <c r="BW292" s="734"/>
      <c r="BX292" s="734"/>
      <c r="BY292" s="734"/>
      <c r="BZ292" s="734"/>
      <c r="CA292" s="734"/>
    </row>
    <row r="293" spans="1:79" s="452" customFormat="1" hidden="1" outlineLevel="1" x14ac:dyDescent="0.35">
      <c r="A293" s="580"/>
      <c r="B293" s="580"/>
      <c r="C293" s="580"/>
      <c r="D293" s="580"/>
      <c r="E293" s="580"/>
      <c r="F293" s="677" t="s">
        <v>903</v>
      </c>
      <c r="G293" s="737"/>
      <c r="H293" s="737"/>
      <c r="I293" s="737"/>
      <c r="J293" s="737"/>
      <c r="K293" s="737"/>
      <c r="L293" s="737"/>
      <c r="M293" s="737"/>
      <c r="N293" s="737"/>
      <c r="O293" s="735"/>
      <c r="P293" s="732"/>
      <c r="Q293" s="732"/>
      <c r="R293" s="732"/>
      <c r="S293" s="687">
        <v>0</v>
      </c>
      <c r="T293" s="687">
        <v>0</v>
      </c>
      <c r="U293" s="687">
        <v>0</v>
      </c>
      <c r="V293" s="687">
        <v>0</v>
      </c>
      <c r="W293" s="687">
        <v>0</v>
      </c>
      <c r="X293" s="687">
        <v>0</v>
      </c>
      <c r="Y293" s="687">
        <v>0</v>
      </c>
      <c r="Z293" s="687">
        <v>0</v>
      </c>
      <c r="AA293" s="687">
        <v>0</v>
      </c>
      <c r="AB293" s="687">
        <v>0</v>
      </c>
      <c r="AC293" s="687">
        <v>-633.87</v>
      </c>
      <c r="AD293" s="687">
        <v>0</v>
      </c>
      <c r="AE293" s="734"/>
      <c r="AF293" s="734"/>
      <c r="AG293" s="734"/>
      <c r="AH293" s="734"/>
      <c r="AI293" s="734"/>
      <c r="AJ293" s="734"/>
      <c r="AK293" s="734"/>
      <c r="AL293" s="734"/>
      <c r="AM293" s="734"/>
      <c r="AN293" s="734"/>
      <c r="AO293" s="734"/>
      <c r="AP293" s="734"/>
      <c r="AQ293" s="734"/>
      <c r="AR293" s="734"/>
      <c r="AS293" s="734"/>
      <c r="AT293" s="734"/>
      <c r="AU293" s="734"/>
      <c r="AV293" s="734"/>
      <c r="AW293" s="734"/>
      <c r="AX293" s="734"/>
      <c r="AY293" s="734"/>
      <c r="AZ293" s="734"/>
      <c r="BA293" s="734"/>
      <c r="BB293" s="734"/>
      <c r="BC293" s="734"/>
      <c r="BD293" s="734"/>
      <c r="BE293" s="734"/>
      <c r="BF293" s="734"/>
      <c r="BG293" s="734"/>
      <c r="BH293" s="734"/>
      <c r="BI293" s="734"/>
      <c r="BJ293" s="734"/>
      <c r="BK293" s="734"/>
      <c r="BL293" s="734"/>
      <c r="BM293" s="734"/>
      <c r="BN293" s="734"/>
      <c r="BO293" s="734"/>
      <c r="BP293" s="734"/>
      <c r="BQ293" s="734"/>
      <c r="BR293" s="734"/>
      <c r="BS293" s="734"/>
      <c r="BT293" s="734"/>
      <c r="BU293" s="734"/>
      <c r="BV293" s="734"/>
      <c r="BW293" s="734"/>
      <c r="BX293" s="734"/>
      <c r="BY293" s="734"/>
      <c r="BZ293" s="734"/>
      <c r="CA293" s="734"/>
    </row>
    <row r="294" spans="1:79" s="452" customFormat="1" hidden="1" outlineLevel="1" x14ac:dyDescent="0.35">
      <c r="A294" s="580"/>
      <c r="B294" s="580"/>
      <c r="C294" s="580"/>
      <c r="D294" s="580"/>
      <c r="E294" s="580"/>
      <c r="F294" s="677" t="s">
        <v>904</v>
      </c>
      <c r="G294" s="737"/>
      <c r="H294" s="737"/>
      <c r="I294" s="737"/>
      <c r="J294" s="737"/>
      <c r="K294" s="737"/>
      <c r="L294" s="737"/>
      <c r="M294" s="737"/>
      <c r="N294" s="737"/>
      <c r="O294" s="735"/>
      <c r="P294" s="732"/>
      <c r="Q294" s="732"/>
      <c r="R294" s="732"/>
      <c r="S294" s="687">
        <v>0</v>
      </c>
      <c r="T294" s="687">
        <v>0</v>
      </c>
      <c r="U294" s="687">
        <v>0</v>
      </c>
      <c r="V294" s="687">
        <v>0</v>
      </c>
      <c r="W294" s="687">
        <v>0</v>
      </c>
      <c r="X294" s="687">
        <v>0</v>
      </c>
      <c r="Y294" s="687">
        <v>0</v>
      </c>
      <c r="Z294" s="687">
        <v>0</v>
      </c>
      <c r="AA294" s="687">
        <v>0</v>
      </c>
      <c r="AB294" s="687">
        <v>0</v>
      </c>
      <c r="AC294" s="687">
        <v>0</v>
      </c>
      <c r="AD294" s="687">
        <v>0</v>
      </c>
      <c r="AE294" s="734"/>
      <c r="AF294" s="734"/>
      <c r="AG294" s="734"/>
      <c r="AH294" s="734"/>
      <c r="AI294" s="734"/>
      <c r="AJ294" s="734"/>
      <c r="AK294" s="734"/>
      <c r="AL294" s="734"/>
      <c r="AM294" s="734"/>
      <c r="AN294" s="734"/>
      <c r="AO294" s="734"/>
      <c r="AP294" s="734"/>
      <c r="AQ294" s="734"/>
      <c r="AR294" s="734"/>
      <c r="AS294" s="734"/>
      <c r="AT294" s="734"/>
      <c r="AU294" s="734"/>
      <c r="AV294" s="734"/>
      <c r="AW294" s="734"/>
      <c r="AX294" s="734"/>
      <c r="AY294" s="734"/>
      <c r="AZ294" s="734"/>
      <c r="BA294" s="734"/>
      <c r="BB294" s="734"/>
      <c r="BC294" s="734"/>
      <c r="BD294" s="734"/>
      <c r="BE294" s="734"/>
      <c r="BF294" s="734"/>
      <c r="BG294" s="734"/>
      <c r="BH294" s="734"/>
      <c r="BI294" s="734"/>
      <c r="BJ294" s="734"/>
      <c r="BK294" s="734"/>
      <c r="BL294" s="734"/>
      <c r="BM294" s="734"/>
      <c r="BN294" s="734"/>
      <c r="BO294" s="734"/>
      <c r="BP294" s="734"/>
      <c r="BQ294" s="734"/>
      <c r="BR294" s="734"/>
      <c r="BS294" s="734"/>
      <c r="BT294" s="734"/>
      <c r="BU294" s="734"/>
      <c r="BV294" s="734"/>
      <c r="BW294" s="734"/>
      <c r="BX294" s="734"/>
      <c r="BY294" s="734"/>
      <c r="BZ294" s="734"/>
      <c r="CA294" s="734"/>
    </row>
    <row r="295" spans="1:79" s="452" customFormat="1" hidden="1" outlineLevel="1" x14ac:dyDescent="0.35">
      <c r="A295" s="580"/>
      <c r="B295" s="580"/>
      <c r="C295" s="580"/>
      <c r="D295" s="580"/>
      <c r="E295" s="580"/>
      <c r="F295" s="677" t="s">
        <v>905</v>
      </c>
      <c r="G295" s="737"/>
      <c r="H295" s="737"/>
      <c r="I295" s="737"/>
      <c r="J295" s="737"/>
      <c r="K295" s="737"/>
      <c r="L295" s="737"/>
      <c r="M295" s="737"/>
      <c r="N295" s="737"/>
      <c r="O295" s="735"/>
      <c r="P295" s="732"/>
      <c r="Q295" s="732"/>
      <c r="R295" s="732"/>
      <c r="S295" s="687">
        <v>0</v>
      </c>
      <c r="T295" s="687">
        <v>0</v>
      </c>
      <c r="U295" s="687">
        <v>0</v>
      </c>
      <c r="V295" s="687">
        <v>0</v>
      </c>
      <c r="W295" s="687">
        <v>0</v>
      </c>
      <c r="X295" s="687">
        <v>0</v>
      </c>
      <c r="Y295" s="687">
        <v>0</v>
      </c>
      <c r="Z295" s="687">
        <v>0</v>
      </c>
      <c r="AA295" s="687">
        <v>0</v>
      </c>
      <c r="AB295" s="687">
        <v>0</v>
      </c>
      <c r="AC295" s="687">
        <v>0</v>
      </c>
      <c r="AD295" s="687">
        <v>1864.93</v>
      </c>
      <c r="AE295" s="734"/>
      <c r="AF295" s="734"/>
      <c r="AG295" s="734"/>
      <c r="AH295" s="734"/>
      <c r="AI295" s="734"/>
      <c r="AJ295" s="734"/>
      <c r="AK295" s="734"/>
      <c r="AL295" s="734"/>
      <c r="AM295" s="734"/>
      <c r="AN295" s="734"/>
      <c r="AO295" s="734"/>
      <c r="AP295" s="734"/>
      <c r="AQ295" s="734"/>
      <c r="AR295" s="734"/>
      <c r="AS295" s="734"/>
      <c r="AT295" s="734"/>
      <c r="AU295" s="734"/>
      <c r="AV295" s="734"/>
      <c r="AW295" s="734"/>
      <c r="AX295" s="734"/>
      <c r="AY295" s="734"/>
      <c r="AZ295" s="734"/>
      <c r="BA295" s="734"/>
      <c r="BB295" s="734"/>
      <c r="BC295" s="734"/>
      <c r="BD295" s="734"/>
      <c r="BE295" s="734"/>
      <c r="BF295" s="734"/>
      <c r="BG295" s="734"/>
      <c r="BH295" s="734"/>
      <c r="BI295" s="734"/>
      <c r="BJ295" s="734"/>
      <c r="BK295" s="734"/>
      <c r="BL295" s="734"/>
      <c r="BM295" s="734"/>
      <c r="BN295" s="734"/>
      <c r="BO295" s="734"/>
      <c r="BP295" s="734"/>
      <c r="BQ295" s="734"/>
      <c r="BR295" s="734"/>
      <c r="BS295" s="734"/>
      <c r="BT295" s="734"/>
      <c r="BU295" s="734"/>
      <c r="BV295" s="734"/>
      <c r="BW295" s="734"/>
      <c r="BX295" s="734"/>
      <c r="BY295" s="734"/>
      <c r="BZ295" s="734"/>
      <c r="CA295" s="734"/>
    </row>
    <row r="296" spans="1:79" s="452" customFormat="1" hidden="1" outlineLevel="1" x14ac:dyDescent="0.35">
      <c r="A296" s="580"/>
      <c r="B296" s="580"/>
      <c r="C296" s="580"/>
      <c r="D296" s="580"/>
      <c r="E296" s="580"/>
      <c r="F296" s="677" t="s">
        <v>906</v>
      </c>
      <c r="G296" s="737"/>
      <c r="H296" s="737"/>
      <c r="I296" s="737"/>
      <c r="J296" s="737"/>
      <c r="K296" s="737"/>
      <c r="L296" s="737"/>
      <c r="M296" s="737"/>
      <c r="N296" s="737"/>
      <c r="O296" s="735"/>
      <c r="P296" s="732"/>
      <c r="Q296" s="732"/>
      <c r="R296" s="732"/>
      <c r="S296" s="687">
        <v>0</v>
      </c>
      <c r="T296" s="687">
        <v>0</v>
      </c>
      <c r="U296" s="687">
        <v>0</v>
      </c>
      <c r="V296" s="687">
        <v>0</v>
      </c>
      <c r="W296" s="687">
        <v>0</v>
      </c>
      <c r="X296" s="687">
        <v>0</v>
      </c>
      <c r="Y296" s="687">
        <v>0</v>
      </c>
      <c r="Z296" s="687">
        <v>0</v>
      </c>
      <c r="AA296" s="687">
        <v>0</v>
      </c>
      <c r="AB296" s="687">
        <v>0</v>
      </c>
      <c r="AC296" s="687">
        <v>0</v>
      </c>
      <c r="AD296" s="687">
        <v>0</v>
      </c>
      <c r="AE296" s="734"/>
      <c r="AF296" s="734"/>
      <c r="AG296" s="734"/>
      <c r="AH296" s="734"/>
      <c r="AI296" s="734"/>
      <c r="AJ296" s="734"/>
      <c r="AK296" s="734"/>
      <c r="AL296" s="734"/>
      <c r="AM296" s="734"/>
      <c r="AN296" s="734"/>
      <c r="AO296" s="734"/>
      <c r="AP296" s="734"/>
      <c r="AQ296" s="734"/>
      <c r="AR296" s="734"/>
      <c r="AS296" s="734"/>
      <c r="AT296" s="734"/>
      <c r="AU296" s="734"/>
      <c r="AV296" s="734"/>
      <c r="AW296" s="734"/>
      <c r="AX296" s="734"/>
      <c r="AY296" s="734"/>
      <c r="AZ296" s="734"/>
      <c r="BA296" s="734"/>
      <c r="BB296" s="734"/>
      <c r="BC296" s="734"/>
      <c r="BD296" s="734"/>
      <c r="BE296" s="734"/>
      <c r="BF296" s="734"/>
      <c r="BG296" s="734"/>
      <c r="BH296" s="734"/>
      <c r="BI296" s="734"/>
      <c r="BJ296" s="734"/>
      <c r="BK296" s="734"/>
      <c r="BL296" s="734"/>
      <c r="BM296" s="734"/>
      <c r="BN296" s="734"/>
      <c r="BO296" s="734"/>
      <c r="BP296" s="734"/>
      <c r="BQ296" s="734"/>
      <c r="BR296" s="734"/>
      <c r="BS296" s="734"/>
      <c r="BT296" s="734"/>
      <c r="BU296" s="734"/>
      <c r="BV296" s="734"/>
      <c r="BW296" s="734"/>
      <c r="BX296" s="734"/>
      <c r="BY296" s="734"/>
      <c r="BZ296" s="734"/>
      <c r="CA296" s="734"/>
    </row>
    <row r="297" spans="1:79" s="452" customFormat="1" hidden="1" outlineLevel="1" x14ac:dyDescent="0.35">
      <c r="A297" s="580"/>
      <c r="B297" s="580"/>
      <c r="C297" s="580"/>
      <c r="D297" s="580"/>
      <c r="E297" s="580"/>
      <c r="F297" s="677" t="s">
        <v>907</v>
      </c>
      <c r="G297" s="737"/>
      <c r="H297" s="737"/>
      <c r="I297" s="737"/>
      <c r="J297" s="737"/>
      <c r="K297" s="737"/>
      <c r="L297" s="737"/>
      <c r="M297" s="737"/>
      <c r="N297" s="737"/>
      <c r="O297" s="735"/>
      <c r="P297" s="732"/>
      <c r="Q297" s="732"/>
      <c r="R297" s="732"/>
      <c r="S297" s="687">
        <v>0</v>
      </c>
      <c r="T297" s="687">
        <v>0</v>
      </c>
      <c r="U297" s="687">
        <v>0</v>
      </c>
      <c r="V297" s="687">
        <v>0</v>
      </c>
      <c r="W297" s="687">
        <v>0</v>
      </c>
      <c r="X297" s="687">
        <v>0</v>
      </c>
      <c r="Y297" s="687">
        <v>0</v>
      </c>
      <c r="Z297" s="687">
        <v>0</v>
      </c>
      <c r="AA297" s="687">
        <v>0</v>
      </c>
      <c r="AB297" s="687">
        <v>0</v>
      </c>
      <c r="AC297" s="687">
        <v>0</v>
      </c>
      <c r="AD297" s="687">
        <v>0</v>
      </c>
      <c r="AE297" s="734"/>
      <c r="AF297" s="734"/>
      <c r="AG297" s="734"/>
      <c r="AH297" s="734"/>
      <c r="AI297" s="734"/>
      <c r="AJ297" s="734"/>
      <c r="AK297" s="734"/>
      <c r="AL297" s="734"/>
      <c r="AM297" s="734"/>
      <c r="AN297" s="734"/>
      <c r="AO297" s="734"/>
      <c r="AP297" s="734"/>
      <c r="AQ297" s="734"/>
      <c r="AR297" s="734"/>
      <c r="AS297" s="734"/>
      <c r="AT297" s="734"/>
      <c r="AU297" s="734"/>
      <c r="AV297" s="734"/>
      <c r="AW297" s="734"/>
      <c r="AX297" s="734"/>
      <c r="AY297" s="734"/>
      <c r="AZ297" s="734"/>
      <c r="BA297" s="734"/>
      <c r="BB297" s="734"/>
      <c r="BC297" s="734"/>
      <c r="BD297" s="734"/>
      <c r="BE297" s="734"/>
      <c r="BF297" s="734"/>
      <c r="BG297" s="734"/>
      <c r="BH297" s="734"/>
      <c r="BI297" s="734"/>
      <c r="BJ297" s="734"/>
      <c r="BK297" s="734"/>
      <c r="BL297" s="734"/>
      <c r="BM297" s="734"/>
      <c r="BN297" s="734"/>
      <c r="BO297" s="734"/>
      <c r="BP297" s="734"/>
      <c r="BQ297" s="734"/>
      <c r="BR297" s="734"/>
      <c r="BS297" s="734"/>
      <c r="BT297" s="734"/>
      <c r="BU297" s="734"/>
      <c r="BV297" s="734"/>
      <c r="BW297" s="734"/>
      <c r="BX297" s="734"/>
      <c r="BY297" s="734"/>
      <c r="BZ297" s="734"/>
      <c r="CA297" s="734"/>
    </row>
    <row r="298" spans="1:79" s="452" customFormat="1" hidden="1" outlineLevel="1" x14ac:dyDescent="0.35">
      <c r="A298" s="580"/>
      <c r="B298" s="580"/>
      <c r="C298" s="580"/>
      <c r="D298" s="580"/>
      <c r="E298" s="580"/>
      <c r="F298" s="673" t="s">
        <v>908</v>
      </c>
      <c r="G298" s="696">
        <f t="shared" ref="G298:R298" si="97">SUM(G292:G297)</f>
        <v>0</v>
      </c>
      <c r="H298" s="696">
        <f t="shared" si="97"/>
        <v>0</v>
      </c>
      <c r="I298" s="696">
        <f t="shared" si="97"/>
        <v>0</v>
      </c>
      <c r="J298" s="696">
        <f t="shared" si="97"/>
        <v>0</v>
      </c>
      <c r="K298" s="696">
        <f t="shared" si="97"/>
        <v>0</v>
      </c>
      <c r="L298" s="696">
        <f t="shared" si="97"/>
        <v>0</v>
      </c>
      <c r="M298" s="696">
        <f t="shared" si="97"/>
        <v>0</v>
      </c>
      <c r="N298" s="696">
        <f t="shared" si="97"/>
        <v>0</v>
      </c>
      <c r="O298" s="696">
        <f t="shared" si="97"/>
        <v>0</v>
      </c>
      <c r="P298" s="696">
        <f t="shared" si="97"/>
        <v>0</v>
      </c>
      <c r="Q298" s="696">
        <f t="shared" si="97"/>
        <v>0</v>
      </c>
      <c r="R298" s="696">
        <f t="shared" si="97"/>
        <v>0</v>
      </c>
      <c r="S298" s="695">
        <f t="shared" ref="S298:AB298" si="98">ROUND(SUM(S292:S297),5)</f>
        <v>0</v>
      </c>
      <c r="T298" s="695">
        <f t="shared" si="98"/>
        <v>0</v>
      </c>
      <c r="U298" s="695">
        <f t="shared" si="98"/>
        <v>0</v>
      </c>
      <c r="V298" s="695">
        <f t="shared" si="98"/>
        <v>0</v>
      </c>
      <c r="W298" s="695">
        <f t="shared" si="98"/>
        <v>0</v>
      </c>
      <c r="X298" s="695">
        <f t="shared" si="98"/>
        <v>0</v>
      </c>
      <c r="Y298" s="695">
        <f t="shared" si="98"/>
        <v>0</v>
      </c>
      <c r="Z298" s="695">
        <f t="shared" si="98"/>
        <v>0</v>
      </c>
      <c r="AA298" s="695">
        <f t="shared" si="98"/>
        <v>0</v>
      </c>
      <c r="AB298" s="695">
        <f t="shared" si="98"/>
        <v>0</v>
      </c>
      <c r="AC298" s="695">
        <f>ROUND(SUM(AC292:AC297),5)</f>
        <v>-633.87</v>
      </c>
      <c r="AD298" s="695">
        <f>ROUND(SUM(AD292:AD297),5)</f>
        <v>1864.93</v>
      </c>
      <c r="AE298" s="696">
        <f t="shared" ref="AE298:BJ298" si="99">SUM(AE292:AE297)</f>
        <v>0</v>
      </c>
      <c r="AF298" s="696">
        <f t="shared" si="99"/>
        <v>0</v>
      </c>
      <c r="AG298" s="696">
        <f t="shared" si="99"/>
        <v>0</v>
      </c>
      <c r="AH298" s="696">
        <f t="shared" si="99"/>
        <v>0</v>
      </c>
      <c r="AI298" s="696">
        <f t="shared" si="99"/>
        <v>0</v>
      </c>
      <c r="AJ298" s="696">
        <f t="shared" si="99"/>
        <v>0</v>
      </c>
      <c r="AK298" s="696">
        <f t="shared" si="99"/>
        <v>0</v>
      </c>
      <c r="AL298" s="696">
        <f t="shared" si="99"/>
        <v>0</v>
      </c>
      <c r="AM298" s="696">
        <f t="shared" si="99"/>
        <v>0</v>
      </c>
      <c r="AN298" s="696">
        <f t="shared" si="99"/>
        <v>0</v>
      </c>
      <c r="AO298" s="696">
        <f t="shared" si="99"/>
        <v>0</v>
      </c>
      <c r="AP298" s="696">
        <f t="shared" si="99"/>
        <v>0</v>
      </c>
      <c r="AQ298" s="696">
        <f t="shared" si="99"/>
        <v>0</v>
      </c>
      <c r="AR298" s="696">
        <f t="shared" si="99"/>
        <v>0</v>
      </c>
      <c r="AS298" s="696">
        <f t="shared" si="99"/>
        <v>0</v>
      </c>
      <c r="AT298" s="696">
        <f t="shared" si="99"/>
        <v>0</v>
      </c>
      <c r="AU298" s="696">
        <f t="shared" si="99"/>
        <v>0</v>
      </c>
      <c r="AV298" s="696">
        <f t="shared" si="99"/>
        <v>0</v>
      </c>
      <c r="AW298" s="696">
        <f t="shared" si="99"/>
        <v>0</v>
      </c>
      <c r="AX298" s="696">
        <f t="shared" si="99"/>
        <v>0</v>
      </c>
      <c r="AY298" s="696">
        <f t="shared" si="99"/>
        <v>0</v>
      </c>
      <c r="AZ298" s="696">
        <f t="shared" si="99"/>
        <v>0</v>
      </c>
      <c r="BA298" s="696">
        <f t="shared" si="99"/>
        <v>0</v>
      </c>
      <c r="BB298" s="696">
        <f t="shared" si="99"/>
        <v>0</v>
      </c>
      <c r="BC298" s="696">
        <f t="shared" si="99"/>
        <v>0</v>
      </c>
      <c r="BD298" s="696">
        <f t="shared" si="99"/>
        <v>0</v>
      </c>
      <c r="BE298" s="696">
        <f t="shared" si="99"/>
        <v>0</v>
      </c>
      <c r="BF298" s="696">
        <f t="shared" si="99"/>
        <v>0</v>
      </c>
      <c r="BG298" s="696">
        <f t="shared" si="99"/>
        <v>0</v>
      </c>
      <c r="BH298" s="696">
        <f t="shared" si="99"/>
        <v>0</v>
      </c>
      <c r="BI298" s="696">
        <f t="shared" si="99"/>
        <v>0</v>
      </c>
      <c r="BJ298" s="696">
        <f t="shared" si="99"/>
        <v>0</v>
      </c>
      <c r="BK298" s="696">
        <f t="shared" ref="BK298:CA298" si="100">SUM(BK292:BK297)</f>
        <v>0</v>
      </c>
      <c r="BL298" s="696">
        <f t="shared" si="100"/>
        <v>0</v>
      </c>
      <c r="BM298" s="696">
        <f t="shared" si="100"/>
        <v>0</v>
      </c>
      <c r="BN298" s="696">
        <f t="shared" si="100"/>
        <v>0</v>
      </c>
      <c r="BO298" s="696">
        <f t="shared" si="100"/>
        <v>0</v>
      </c>
      <c r="BP298" s="696">
        <f t="shared" si="100"/>
        <v>0</v>
      </c>
      <c r="BQ298" s="696">
        <f t="shared" si="100"/>
        <v>0</v>
      </c>
      <c r="BR298" s="696">
        <f t="shared" si="100"/>
        <v>0</v>
      </c>
      <c r="BS298" s="696">
        <f t="shared" si="100"/>
        <v>0</v>
      </c>
      <c r="BT298" s="696">
        <f t="shared" si="100"/>
        <v>0</v>
      </c>
      <c r="BU298" s="696">
        <f t="shared" si="100"/>
        <v>0</v>
      </c>
      <c r="BV298" s="696">
        <f t="shared" si="100"/>
        <v>0</v>
      </c>
      <c r="BW298" s="696">
        <f t="shared" si="100"/>
        <v>0</v>
      </c>
      <c r="BX298" s="696">
        <f t="shared" si="100"/>
        <v>0</v>
      </c>
      <c r="BY298" s="696">
        <f t="shared" si="100"/>
        <v>0</v>
      </c>
      <c r="BZ298" s="696">
        <f t="shared" si="100"/>
        <v>0</v>
      </c>
      <c r="CA298" s="696">
        <f t="shared" si="100"/>
        <v>0</v>
      </c>
    </row>
    <row r="299" spans="1:79" s="452" customFormat="1" hidden="1" outlineLevel="1" x14ac:dyDescent="0.35">
      <c r="A299" s="754"/>
      <c r="B299" s="754"/>
      <c r="C299" s="754"/>
      <c r="D299" s="754"/>
      <c r="E299" s="754"/>
      <c r="F299" s="717" t="s">
        <v>630</v>
      </c>
      <c r="G299" s="750"/>
      <c r="H299" s="750"/>
      <c r="I299" s="750"/>
      <c r="J299" s="750"/>
      <c r="K299" s="750"/>
      <c r="L299" s="750"/>
      <c r="M299" s="750"/>
      <c r="N299" s="750"/>
      <c r="O299" s="750"/>
      <c r="P299" s="751"/>
      <c r="Q299" s="751"/>
      <c r="R299" s="751"/>
      <c r="S299" s="713"/>
      <c r="T299" s="713"/>
      <c r="U299" s="713"/>
      <c r="V299" s="713"/>
      <c r="W299" s="713"/>
      <c r="X299" s="713"/>
      <c r="Y299" s="713"/>
      <c r="Z299" s="713"/>
      <c r="AA299" s="713"/>
      <c r="AB299" s="713"/>
      <c r="AC299" s="713"/>
      <c r="AD299" s="713"/>
      <c r="AE299" s="753"/>
      <c r="AF299" s="753"/>
      <c r="AG299" s="753"/>
      <c r="AH299" s="753"/>
      <c r="AI299" s="753"/>
      <c r="AJ299" s="753"/>
      <c r="AK299" s="753"/>
      <c r="AL299" s="753"/>
      <c r="AM299" s="753"/>
      <c r="AN299" s="753"/>
      <c r="AO299" s="753"/>
      <c r="AP299" s="753"/>
      <c r="AQ299" s="753"/>
      <c r="AR299" s="753"/>
      <c r="AS299" s="753"/>
      <c r="AT299" s="753"/>
      <c r="AU299" s="753"/>
      <c r="AV299" s="753"/>
      <c r="AW299" s="753"/>
      <c r="AX299" s="753"/>
      <c r="AY299" s="753"/>
      <c r="AZ299" s="753"/>
      <c r="BA299" s="753"/>
      <c r="BB299" s="753"/>
      <c r="BC299" s="753"/>
      <c r="BD299" s="753"/>
      <c r="BE299" s="753"/>
      <c r="BF299" s="753"/>
      <c r="BG299" s="753"/>
      <c r="BH299" s="753"/>
      <c r="BI299" s="753"/>
      <c r="BJ299" s="753"/>
      <c r="BK299" s="753"/>
      <c r="BL299" s="753"/>
      <c r="BM299" s="753"/>
      <c r="BN299" s="753"/>
      <c r="BO299" s="753"/>
      <c r="BP299" s="753"/>
      <c r="BQ299" s="753"/>
      <c r="BR299" s="753"/>
      <c r="BS299" s="753"/>
      <c r="BT299" s="753"/>
      <c r="BU299" s="753"/>
      <c r="BV299" s="753"/>
      <c r="BW299" s="753"/>
      <c r="BX299" s="753"/>
      <c r="BY299" s="753"/>
      <c r="BZ299" s="753"/>
      <c r="CA299" s="753"/>
    </row>
    <row r="300" spans="1:79" s="452" customFormat="1" hidden="1" outlineLevel="1" x14ac:dyDescent="0.35">
      <c r="A300" s="80"/>
      <c r="B300" s="80"/>
      <c r="C300" s="80"/>
      <c r="D300" s="80"/>
      <c r="E300" s="80"/>
      <c r="F300" s="677" t="s">
        <v>631</v>
      </c>
      <c r="G300" s="735"/>
      <c r="H300" s="735"/>
      <c r="I300" s="735"/>
      <c r="J300" s="735"/>
      <c r="K300" s="735"/>
      <c r="L300" s="735"/>
      <c r="M300" s="735"/>
      <c r="N300" s="735"/>
      <c r="O300" s="735"/>
      <c r="P300" s="732"/>
      <c r="Q300" s="732"/>
      <c r="R300" s="732"/>
      <c r="S300" s="683">
        <v>3.46</v>
      </c>
      <c r="T300" s="683">
        <v>3.46</v>
      </c>
      <c r="U300" s="683">
        <v>0.08</v>
      </c>
      <c r="V300" s="683">
        <v>2.11</v>
      </c>
      <c r="W300" s="683">
        <v>6.26</v>
      </c>
      <c r="X300" s="683">
        <v>0</v>
      </c>
      <c r="Y300" s="683">
        <v>0</v>
      </c>
      <c r="Z300" s="683">
        <v>0</v>
      </c>
      <c r="AA300" s="683">
        <v>1.43</v>
      </c>
      <c r="AB300" s="683">
        <v>5.57</v>
      </c>
      <c r="AC300" s="683">
        <v>0</v>
      </c>
      <c r="AD300" s="683">
        <v>0</v>
      </c>
      <c r="AE300" s="734"/>
      <c r="AF300" s="734"/>
      <c r="AG300" s="734"/>
      <c r="AH300" s="734"/>
      <c r="AI300" s="734"/>
      <c r="AJ300" s="734"/>
      <c r="AK300" s="734"/>
      <c r="AL300" s="734"/>
      <c r="AM300" s="734"/>
      <c r="AN300" s="734"/>
      <c r="AO300" s="734"/>
      <c r="AP300" s="734"/>
      <c r="AQ300" s="734"/>
      <c r="AR300" s="734"/>
      <c r="AS300" s="734"/>
      <c r="AT300" s="734"/>
      <c r="AU300" s="734"/>
      <c r="AV300" s="734"/>
      <c r="AW300" s="734"/>
      <c r="AX300" s="734"/>
      <c r="AY300" s="734"/>
      <c r="AZ300" s="734"/>
      <c r="BA300" s="734"/>
      <c r="BB300" s="734"/>
      <c r="BC300" s="734"/>
      <c r="BD300" s="734"/>
      <c r="BE300" s="734"/>
      <c r="BF300" s="734"/>
      <c r="BG300" s="734"/>
      <c r="BH300" s="734"/>
      <c r="BI300" s="734"/>
      <c r="BJ300" s="734"/>
      <c r="BK300" s="734"/>
      <c r="BL300" s="734"/>
      <c r="BM300" s="734"/>
      <c r="BN300" s="734"/>
      <c r="BO300" s="734"/>
      <c r="BP300" s="734"/>
      <c r="BQ300" s="734"/>
      <c r="BR300" s="734"/>
      <c r="BS300" s="734"/>
      <c r="BT300" s="734"/>
      <c r="BU300" s="734"/>
      <c r="BV300" s="734"/>
      <c r="BW300" s="734"/>
      <c r="BX300" s="734"/>
      <c r="BY300" s="734"/>
      <c r="BZ300" s="734"/>
      <c r="CA300" s="734"/>
    </row>
    <row r="301" spans="1:79" s="452" customFormat="1" hidden="1" outlineLevel="1" x14ac:dyDescent="0.35">
      <c r="A301" s="80"/>
      <c r="B301" s="80"/>
      <c r="C301" s="80"/>
      <c r="D301" s="80"/>
      <c r="E301" s="80"/>
      <c r="F301" s="677" t="s">
        <v>632</v>
      </c>
      <c r="G301" s="735"/>
      <c r="H301" s="735"/>
      <c r="I301" s="735"/>
      <c r="J301" s="735"/>
      <c r="K301" s="735"/>
      <c r="L301" s="735"/>
      <c r="M301" s="735"/>
      <c r="N301" s="735"/>
      <c r="O301" s="735"/>
      <c r="P301" s="732"/>
      <c r="Q301" s="732"/>
      <c r="R301" s="732"/>
      <c r="S301" s="683">
        <v>62.77</v>
      </c>
      <c r="T301" s="683">
        <v>20.76</v>
      </c>
      <c r="U301" s="683">
        <v>0.46</v>
      </c>
      <c r="V301" s="683">
        <v>12.66</v>
      </c>
      <c r="W301" s="683">
        <v>37.64</v>
      </c>
      <c r="X301" s="683">
        <v>0</v>
      </c>
      <c r="Y301" s="683">
        <v>0</v>
      </c>
      <c r="Z301" s="683">
        <v>0</v>
      </c>
      <c r="AA301" s="683">
        <v>8.59</v>
      </c>
      <c r="AB301" s="683">
        <v>33.409999999999997</v>
      </c>
      <c r="AC301" s="683">
        <v>0</v>
      </c>
      <c r="AD301" s="683">
        <v>0</v>
      </c>
      <c r="AE301" s="734"/>
      <c r="AF301" s="734"/>
      <c r="AG301" s="734"/>
      <c r="AH301" s="734"/>
      <c r="AI301" s="734"/>
      <c r="AJ301" s="734"/>
      <c r="AK301" s="734"/>
      <c r="AL301" s="734"/>
      <c r="AM301" s="734"/>
      <c r="AN301" s="734"/>
      <c r="AO301" s="734"/>
      <c r="AP301" s="734"/>
      <c r="AQ301" s="734"/>
      <c r="AR301" s="734"/>
      <c r="AS301" s="734"/>
      <c r="AT301" s="734"/>
      <c r="AU301" s="734"/>
      <c r="AV301" s="734"/>
      <c r="AW301" s="734"/>
      <c r="AX301" s="734"/>
      <c r="AY301" s="734"/>
      <c r="AZ301" s="734"/>
      <c r="BA301" s="734"/>
      <c r="BB301" s="734"/>
      <c r="BC301" s="734"/>
      <c r="BD301" s="734"/>
      <c r="BE301" s="734"/>
      <c r="BF301" s="734"/>
      <c r="BG301" s="734"/>
      <c r="BH301" s="734"/>
      <c r="BI301" s="734"/>
      <c r="BJ301" s="734"/>
      <c r="BK301" s="734"/>
      <c r="BL301" s="734"/>
      <c r="BM301" s="734"/>
      <c r="BN301" s="734"/>
      <c r="BO301" s="734"/>
      <c r="BP301" s="734"/>
      <c r="BQ301" s="734"/>
      <c r="BR301" s="734"/>
      <c r="BS301" s="734"/>
      <c r="BT301" s="734"/>
      <c r="BU301" s="734"/>
      <c r="BV301" s="734"/>
      <c r="BW301" s="734"/>
      <c r="BX301" s="734"/>
      <c r="BY301" s="734"/>
      <c r="BZ301" s="734"/>
      <c r="CA301" s="734"/>
    </row>
    <row r="302" spans="1:79" s="452" customFormat="1" hidden="1" outlineLevel="1" x14ac:dyDescent="0.35">
      <c r="A302" s="80"/>
      <c r="B302" s="80"/>
      <c r="C302" s="80"/>
      <c r="D302" s="80"/>
      <c r="E302" s="80"/>
      <c r="F302" s="677" t="s">
        <v>633</v>
      </c>
      <c r="G302" s="732"/>
      <c r="H302" s="732"/>
      <c r="I302" s="732"/>
      <c r="J302" s="732"/>
      <c r="K302" s="732"/>
      <c r="L302" s="732"/>
      <c r="M302" s="732"/>
      <c r="N302" s="732"/>
      <c r="O302" s="732"/>
      <c r="P302" s="732"/>
      <c r="Q302" s="732"/>
      <c r="R302" s="732"/>
      <c r="S302" s="683">
        <v>427.12</v>
      </c>
      <c r="T302" s="683">
        <v>265.23</v>
      </c>
      <c r="U302" s="683">
        <v>302.10000000000002</v>
      </c>
      <c r="V302" s="683">
        <v>291.57</v>
      </c>
      <c r="W302" s="683">
        <v>355.31</v>
      </c>
      <c r="X302" s="683">
        <v>366.08</v>
      </c>
      <c r="Y302" s="683">
        <v>397.93</v>
      </c>
      <c r="Z302" s="683">
        <v>407.04</v>
      </c>
      <c r="AA302" s="683">
        <v>402.58</v>
      </c>
      <c r="AB302" s="683">
        <v>485.41</v>
      </c>
      <c r="AC302" s="683">
        <v>457.08</v>
      </c>
      <c r="AD302" s="683">
        <v>-639.91</v>
      </c>
      <c r="AE302" s="734"/>
      <c r="AF302" s="734"/>
      <c r="AG302" s="734"/>
      <c r="AH302" s="734"/>
      <c r="AI302" s="734"/>
      <c r="AJ302" s="734"/>
      <c r="AK302" s="734"/>
      <c r="AL302" s="734"/>
      <c r="AM302" s="734"/>
      <c r="AN302" s="734"/>
      <c r="AO302" s="734"/>
      <c r="AP302" s="734"/>
      <c r="AQ302" s="734"/>
      <c r="AR302" s="734"/>
      <c r="AS302" s="734"/>
      <c r="AT302" s="734"/>
      <c r="AU302" s="734"/>
      <c r="AV302" s="734"/>
      <c r="AW302" s="734"/>
      <c r="AX302" s="734"/>
      <c r="AY302" s="734"/>
      <c r="AZ302" s="734"/>
      <c r="BA302" s="734"/>
      <c r="BB302" s="734"/>
      <c r="BC302" s="734"/>
      <c r="BD302" s="734"/>
      <c r="BE302" s="734"/>
      <c r="BF302" s="734"/>
      <c r="BG302" s="734"/>
      <c r="BH302" s="734"/>
      <c r="BI302" s="734"/>
      <c r="BJ302" s="734"/>
      <c r="BK302" s="734"/>
      <c r="BL302" s="734"/>
      <c r="BM302" s="734"/>
      <c r="BN302" s="734"/>
      <c r="BO302" s="734"/>
      <c r="BP302" s="734"/>
      <c r="BQ302" s="734"/>
      <c r="BR302" s="734"/>
      <c r="BS302" s="734"/>
      <c r="BT302" s="734"/>
      <c r="BU302" s="734"/>
      <c r="BV302" s="734"/>
      <c r="BW302" s="734"/>
      <c r="BX302" s="734"/>
      <c r="BY302" s="734"/>
      <c r="BZ302" s="734"/>
      <c r="CA302" s="734"/>
    </row>
    <row r="303" spans="1:79" s="452" customFormat="1" hidden="1" outlineLevel="1" x14ac:dyDescent="0.35">
      <c r="A303" s="80"/>
      <c r="B303" s="80"/>
      <c r="C303" s="80"/>
      <c r="D303" s="80"/>
      <c r="E303" s="80"/>
      <c r="F303" s="677" t="s">
        <v>634</v>
      </c>
      <c r="G303" s="732"/>
      <c r="H303" s="732"/>
      <c r="I303" s="732"/>
      <c r="J303" s="732"/>
      <c r="K303" s="732"/>
      <c r="L303" s="732"/>
      <c r="M303" s="732"/>
      <c r="N303" s="732"/>
      <c r="O303" s="732"/>
      <c r="P303" s="732"/>
      <c r="Q303" s="732"/>
      <c r="R303" s="732"/>
      <c r="S303" s="683">
        <v>1383.83</v>
      </c>
      <c r="T303" s="683">
        <v>691.53</v>
      </c>
      <c r="U303" s="683">
        <v>849.2</v>
      </c>
      <c r="V303" s="683">
        <v>804.21</v>
      </c>
      <c r="W303" s="683">
        <v>1076.77</v>
      </c>
      <c r="X303" s="683">
        <v>1122.82</v>
      </c>
      <c r="Y303" s="683">
        <v>1259.02</v>
      </c>
      <c r="Z303" s="683">
        <v>1297.97</v>
      </c>
      <c r="AA303" s="683">
        <v>1278.9100000000001</v>
      </c>
      <c r="AB303" s="683">
        <v>1633.05</v>
      </c>
      <c r="AC303" s="683">
        <v>1511.91</v>
      </c>
      <c r="AD303" s="683">
        <v>2131.35</v>
      </c>
      <c r="AE303" s="734"/>
      <c r="AF303" s="734"/>
      <c r="AG303" s="734"/>
      <c r="AH303" s="734"/>
      <c r="AI303" s="734"/>
      <c r="AJ303" s="734"/>
      <c r="AK303" s="734"/>
      <c r="AL303" s="734"/>
      <c r="AM303" s="734"/>
      <c r="AN303" s="734"/>
      <c r="AO303" s="734"/>
      <c r="AP303" s="734"/>
      <c r="AQ303" s="734"/>
      <c r="AR303" s="734"/>
      <c r="AS303" s="734"/>
      <c r="AT303" s="734"/>
      <c r="AU303" s="734"/>
      <c r="AV303" s="734"/>
      <c r="AW303" s="734"/>
      <c r="AX303" s="734"/>
      <c r="AY303" s="734"/>
      <c r="AZ303" s="734"/>
      <c r="BA303" s="734"/>
      <c r="BB303" s="734"/>
      <c r="BC303" s="734"/>
      <c r="BD303" s="734"/>
      <c r="BE303" s="734"/>
      <c r="BF303" s="734"/>
      <c r="BG303" s="734"/>
      <c r="BH303" s="734"/>
      <c r="BI303" s="734"/>
      <c r="BJ303" s="734"/>
      <c r="BK303" s="734"/>
      <c r="BL303" s="734"/>
      <c r="BM303" s="734"/>
      <c r="BN303" s="734"/>
      <c r="BO303" s="734"/>
      <c r="BP303" s="734"/>
      <c r="BQ303" s="734"/>
      <c r="BR303" s="734"/>
      <c r="BS303" s="734"/>
      <c r="BT303" s="734"/>
      <c r="BU303" s="734"/>
      <c r="BV303" s="734"/>
      <c r="BW303" s="734"/>
      <c r="BX303" s="734"/>
      <c r="BY303" s="734"/>
      <c r="BZ303" s="734"/>
      <c r="CA303" s="734"/>
    </row>
    <row r="304" spans="1:79" s="452" customFormat="1" hidden="1" outlineLevel="1" x14ac:dyDescent="0.35">
      <c r="A304" s="80"/>
      <c r="B304" s="80"/>
      <c r="C304" s="80"/>
      <c r="D304" s="80"/>
      <c r="E304" s="80"/>
      <c r="F304" s="677" t="s">
        <v>635</v>
      </c>
      <c r="G304" s="732"/>
      <c r="H304" s="732"/>
      <c r="I304" s="732"/>
      <c r="J304" s="732"/>
      <c r="K304" s="732"/>
      <c r="L304" s="732"/>
      <c r="M304" s="732"/>
      <c r="N304" s="732"/>
      <c r="O304" s="732"/>
      <c r="P304" s="732"/>
      <c r="Q304" s="732"/>
      <c r="R304" s="732"/>
      <c r="S304" s="683">
        <v>141.44</v>
      </c>
      <c r="T304" s="683">
        <v>48.07</v>
      </c>
      <c r="U304" s="683">
        <v>21.75</v>
      </c>
      <c r="V304" s="683">
        <v>0</v>
      </c>
      <c r="W304" s="683">
        <v>0</v>
      </c>
      <c r="X304" s="683">
        <v>0</v>
      </c>
      <c r="Y304" s="683">
        <v>0</v>
      </c>
      <c r="Z304" s="683">
        <v>0</v>
      </c>
      <c r="AA304" s="683">
        <v>0</v>
      </c>
      <c r="AB304" s="683">
        <v>0</v>
      </c>
      <c r="AC304" s="683">
        <v>0</v>
      </c>
      <c r="AD304" s="683">
        <v>0</v>
      </c>
      <c r="AE304" s="734"/>
      <c r="AF304" s="734"/>
      <c r="AG304" s="734"/>
      <c r="AH304" s="734"/>
      <c r="AI304" s="734"/>
      <c r="AJ304" s="734"/>
      <c r="AK304" s="734"/>
      <c r="AL304" s="734"/>
      <c r="AM304" s="734"/>
      <c r="AN304" s="734"/>
      <c r="AO304" s="734"/>
      <c r="AP304" s="734"/>
      <c r="AQ304" s="734"/>
      <c r="AR304" s="734"/>
      <c r="AS304" s="734"/>
      <c r="AT304" s="734"/>
      <c r="AU304" s="734"/>
      <c r="AV304" s="734"/>
      <c r="AW304" s="734"/>
      <c r="AX304" s="734"/>
      <c r="AY304" s="734"/>
      <c r="AZ304" s="734"/>
      <c r="BA304" s="734"/>
      <c r="BB304" s="734"/>
      <c r="BC304" s="734"/>
      <c r="BD304" s="734"/>
      <c r="BE304" s="734"/>
      <c r="BF304" s="734"/>
      <c r="BG304" s="734"/>
      <c r="BH304" s="734"/>
      <c r="BI304" s="734"/>
      <c r="BJ304" s="734"/>
      <c r="BK304" s="734"/>
      <c r="BL304" s="734"/>
      <c r="BM304" s="734"/>
      <c r="BN304" s="734"/>
      <c r="BO304" s="734"/>
      <c r="BP304" s="734"/>
      <c r="BQ304" s="734"/>
      <c r="BR304" s="734"/>
      <c r="BS304" s="734"/>
      <c r="BT304" s="734"/>
      <c r="BU304" s="734"/>
      <c r="BV304" s="734"/>
      <c r="BW304" s="734"/>
      <c r="BX304" s="734"/>
      <c r="BY304" s="734"/>
      <c r="BZ304" s="734"/>
      <c r="CA304" s="734"/>
    </row>
    <row r="305" spans="1:79" s="452" customFormat="1" hidden="1" outlineLevel="1" x14ac:dyDescent="0.35">
      <c r="A305" s="80"/>
      <c r="B305" s="80"/>
      <c r="C305" s="80"/>
      <c r="D305" s="80"/>
      <c r="E305" s="80"/>
      <c r="F305" s="677" t="s">
        <v>636</v>
      </c>
      <c r="G305" s="732"/>
      <c r="H305" s="732"/>
      <c r="I305" s="732"/>
      <c r="J305" s="732"/>
      <c r="K305" s="732"/>
      <c r="L305" s="732"/>
      <c r="M305" s="732"/>
      <c r="N305" s="732"/>
      <c r="O305" s="732"/>
      <c r="P305" s="732"/>
      <c r="Q305" s="732"/>
      <c r="R305" s="732"/>
      <c r="S305" s="683">
        <v>757.48</v>
      </c>
      <c r="T305" s="683">
        <v>395.48</v>
      </c>
      <c r="U305" s="683">
        <v>150.96</v>
      </c>
      <c r="V305" s="683">
        <v>84.39</v>
      </c>
      <c r="W305" s="683">
        <v>250.98</v>
      </c>
      <c r="X305" s="683">
        <v>0</v>
      </c>
      <c r="Y305" s="683">
        <v>0</v>
      </c>
      <c r="Z305" s="683">
        <v>0</v>
      </c>
      <c r="AA305" s="683">
        <v>57.23</v>
      </c>
      <c r="AB305" s="683">
        <v>222.77</v>
      </c>
      <c r="AC305" s="683">
        <v>0</v>
      </c>
      <c r="AD305" s="683">
        <v>0</v>
      </c>
      <c r="AE305" s="734"/>
      <c r="AF305" s="734"/>
      <c r="AG305" s="734"/>
      <c r="AH305" s="734"/>
      <c r="AI305" s="734"/>
      <c r="AJ305" s="734"/>
      <c r="AK305" s="734"/>
      <c r="AL305" s="734"/>
      <c r="AM305" s="734"/>
      <c r="AN305" s="734"/>
      <c r="AO305" s="734"/>
      <c r="AP305" s="734"/>
      <c r="AQ305" s="734"/>
      <c r="AR305" s="734"/>
      <c r="AS305" s="734"/>
      <c r="AT305" s="734"/>
      <c r="AU305" s="734"/>
      <c r="AV305" s="734"/>
      <c r="AW305" s="734"/>
      <c r="AX305" s="734"/>
      <c r="AY305" s="734"/>
      <c r="AZ305" s="734"/>
      <c r="BA305" s="734"/>
      <c r="BB305" s="734"/>
      <c r="BC305" s="734"/>
      <c r="BD305" s="734"/>
      <c r="BE305" s="734"/>
      <c r="BF305" s="734"/>
      <c r="BG305" s="734"/>
      <c r="BH305" s="734"/>
      <c r="BI305" s="734"/>
      <c r="BJ305" s="734"/>
      <c r="BK305" s="734"/>
      <c r="BL305" s="734"/>
      <c r="BM305" s="734"/>
      <c r="BN305" s="734"/>
      <c r="BO305" s="734"/>
      <c r="BP305" s="734"/>
      <c r="BQ305" s="734"/>
      <c r="BR305" s="734"/>
      <c r="BS305" s="734"/>
      <c r="BT305" s="734"/>
      <c r="BU305" s="734"/>
      <c r="BV305" s="734"/>
      <c r="BW305" s="734"/>
      <c r="BX305" s="734"/>
      <c r="BY305" s="734"/>
      <c r="BZ305" s="734"/>
      <c r="CA305" s="734"/>
    </row>
    <row r="306" spans="1:79" s="452" customFormat="1" hidden="1" outlineLevel="1" x14ac:dyDescent="0.35">
      <c r="A306" s="580"/>
      <c r="B306" s="580"/>
      <c r="C306" s="580"/>
      <c r="D306" s="580"/>
      <c r="E306" s="580"/>
      <c r="F306" s="677" t="s">
        <v>909</v>
      </c>
      <c r="G306" s="732"/>
      <c r="H306" s="732"/>
      <c r="I306" s="732"/>
      <c r="J306" s="732"/>
      <c r="K306" s="732"/>
      <c r="L306" s="732"/>
      <c r="M306" s="732"/>
      <c r="N306" s="732"/>
      <c r="O306" s="732"/>
      <c r="P306" s="732"/>
      <c r="Q306" s="732"/>
      <c r="R306" s="732"/>
      <c r="S306" s="683">
        <v>0</v>
      </c>
      <c r="T306" s="683">
        <v>0</v>
      </c>
      <c r="U306" s="683">
        <v>0</v>
      </c>
      <c r="V306" s="683">
        <v>0</v>
      </c>
      <c r="W306" s="683">
        <v>0</v>
      </c>
      <c r="X306" s="683">
        <v>0</v>
      </c>
      <c r="Y306" s="683">
        <v>0</v>
      </c>
      <c r="Z306" s="683">
        <v>0</v>
      </c>
      <c r="AA306" s="683">
        <v>0</v>
      </c>
      <c r="AB306" s="683">
        <v>0</v>
      </c>
      <c r="AC306" s="683">
        <v>0</v>
      </c>
      <c r="AD306" s="683">
        <v>0</v>
      </c>
      <c r="AE306" s="734"/>
      <c r="AF306" s="734"/>
      <c r="AG306" s="734"/>
      <c r="AH306" s="734"/>
      <c r="AI306" s="734"/>
      <c r="AJ306" s="734"/>
      <c r="AK306" s="734"/>
      <c r="AL306" s="734"/>
      <c r="AM306" s="734"/>
      <c r="AN306" s="734"/>
      <c r="AO306" s="734"/>
      <c r="AP306" s="734"/>
      <c r="AQ306" s="734"/>
      <c r="AR306" s="734"/>
      <c r="AS306" s="734"/>
      <c r="AT306" s="734"/>
      <c r="AU306" s="734"/>
      <c r="AV306" s="734"/>
      <c r="AW306" s="734"/>
      <c r="AX306" s="734"/>
      <c r="AY306" s="734"/>
      <c r="AZ306" s="734"/>
      <c r="BA306" s="734"/>
      <c r="BB306" s="734"/>
      <c r="BC306" s="734"/>
      <c r="BD306" s="734"/>
      <c r="BE306" s="734"/>
      <c r="BF306" s="734"/>
      <c r="BG306" s="734"/>
      <c r="BH306" s="734"/>
      <c r="BI306" s="734"/>
      <c r="BJ306" s="734"/>
      <c r="BK306" s="734"/>
      <c r="BL306" s="734"/>
      <c r="BM306" s="734"/>
      <c r="BN306" s="734"/>
      <c r="BO306" s="734"/>
      <c r="BP306" s="734"/>
      <c r="BQ306" s="734"/>
      <c r="BR306" s="734"/>
      <c r="BS306" s="734"/>
      <c r="BT306" s="734"/>
      <c r="BU306" s="734"/>
      <c r="BV306" s="734"/>
      <c r="BW306" s="734"/>
      <c r="BX306" s="734"/>
      <c r="BY306" s="734"/>
      <c r="BZ306" s="734"/>
      <c r="CA306" s="734"/>
    </row>
    <row r="307" spans="1:79" s="452" customFormat="1" hidden="1" outlineLevel="1" x14ac:dyDescent="0.35">
      <c r="A307" s="80"/>
      <c r="B307" s="80"/>
      <c r="C307" s="80"/>
      <c r="D307" s="80"/>
      <c r="E307" s="80"/>
      <c r="F307" s="677" t="s">
        <v>637</v>
      </c>
      <c r="G307" s="735">
        <v>2818.3945954083683</v>
      </c>
      <c r="H307" s="735">
        <v>1875.7657334042697</v>
      </c>
      <c r="I307" s="735">
        <v>1933.3504908789948</v>
      </c>
      <c r="J307" s="735">
        <v>1965.7939630017042</v>
      </c>
      <c r="K307" s="735">
        <v>1903.3234780021912</v>
      </c>
      <c r="L307" s="735">
        <v>1868.8245330912969</v>
      </c>
      <c r="M307" s="735">
        <v>1035.9385058957419</v>
      </c>
      <c r="N307" s="735">
        <v>1445.7236565626617</v>
      </c>
      <c r="O307" s="735">
        <v>1061.0098054315304</v>
      </c>
      <c r="P307" s="732">
        <v>1050.4730822438619</v>
      </c>
      <c r="Q307" s="732">
        <v>1603.1000876663168</v>
      </c>
      <c r="R307" s="732">
        <v>1653.9303941181352</v>
      </c>
      <c r="S307" s="683">
        <v>0</v>
      </c>
      <c r="T307" s="683">
        <v>0</v>
      </c>
      <c r="U307" s="683">
        <v>388.38</v>
      </c>
      <c r="V307" s="683">
        <v>-388.38</v>
      </c>
      <c r="W307" s="683">
        <v>0</v>
      </c>
      <c r="X307" s="683">
        <v>0</v>
      </c>
      <c r="Y307" s="683">
        <v>0</v>
      </c>
      <c r="Z307" s="683">
        <v>0</v>
      </c>
      <c r="AA307" s="683">
        <v>0</v>
      </c>
      <c r="AB307" s="683">
        <v>0</v>
      </c>
      <c r="AC307" s="683">
        <v>0</v>
      </c>
      <c r="AD307" s="683">
        <v>0</v>
      </c>
      <c r="AE307" s="734"/>
      <c r="AF307" s="734"/>
      <c r="AG307" s="734"/>
      <c r="AH307" s="734"/>
      <c r="AI307" s="734"/>
      <c r="AJ307" s="734"/>
      <c r="AK307" s="734"/>
      <c r="AL307" s="734"/>
      <c r="AM307" s="734"/>
      <c r="AN307" s="734"/>
      <c r="AO307" s="734"/>
      <c r="AP307" s="734"/>
      <c r="AQ307" s="734"/>
      <c r="AR307" s="734"/>
      <c r="AS307" s="734"/>
      <c r="AT307" s="734"/>
      <c r="AU307" s="734"/>
      <c r="AV307" s="734"/>
      <c r="AW307" s="734"/>
      <c r="AX307" s="734"/>
      <c r="AY307" s="734"/>
      <c r="AZ307" s="734"/>
      <c r="BA307" s="734"/>
      <c r="BB307" s="734"/>
      <c r="BC307" s="734"/>
      <c r="BD307" s="734"/>
      <c r="BE307" s="734"/>
      <c r="BF307" s="734"/>
      <c r="BG307" s="734"/>
      <c r="BH307" s="734"/>
      <c r="BI307" s="734"/>
      <c r="BJ307" s="734"/>
      <c r="BK307" s="734"/>
      <c r="BL307" s="734"/>
      <c r="BM307" s="734"/>
      <c r="BN307" s="734"/>
      <c r="BO307" s="734"/>
      <c r="BP307" s="734"/>
      <c r="BQ307" s="734"/>
      <c r="BR307" s="734"/>
      <c r="BS307" s="734"/>
      <c r="BT307" s="734"/>
      <c r="BU307" s="734"/>
      <c r="BV307" s="734"/>
      <c r="BW307" s="734"/>
      <c r="BX307" s="734"/>
      <c r="BY307" s="734"/>
      <c r="BZ307" s="734"/>
      <c r="CA307" s="734"/>
    </row>
    <row r="308" spans="1:79" s="757" customFormat="1" hidden="1" outlineLevel="1" x14ac:dyDescent="0.35">
      <c r="A308" s="504"/>
      <c r="B308" s="504"/>
      <c r="C308" s="504"/>
      <c r="D308" s="504"/>
      <c r="E308" s="504"/>
      <c r="F308" s="673" t="s">
        <v>638</v>
      </c>
      <c r="G308" s="696">
        <f>SUM(G300:G307)</f>
        <v>2818.3945954083683</v>
      </c>
      <c r="H308" s="696">
        <f t="shared" ref="H308:BO308" si="101">SUM(H300:H307)</f>
        <v>1875.7657334042697</v>
      </c>
      <c r="I308" s="696">
        <f t="shared" si="101"/>
        <v>1933.3504908789948</v>
      </c>
      <c r="J308" s="696">
        <f t="shared" si="101"/>
        <v>1965.7939630017042</v>
      </c>
      <c r="K308" s="696">
        <f t="shared" si="101"/>
        <v>1903.3234780021912</v>
      </c>
      <c r="L308" s="696">
        <f t="shared" si="101"/>
        <v>1868.8245330912969</v>
      </c>
      <c r="M308" s="696">
        <f t="shared" si="101"/>
        <v>1035.9385058957419</v>
      </c>
      <c r="N308" s="696">
        <f t="shared" si="101"/>
        <v>1445.7236565626617</v>
      </c>
      <c r="O308" s="696">
        <f t="shared" si="101"/>
        <v>1061.0098054315304</v>
      </c>
      <c r="P308" s="696">
        <f t="shared" si="101"/>
        <v>1050.4730822438619</v>
      </c>
      <c r="Q308" s="696">
        <f t="shared" si="101"/>
        <v>1603.1000876663168</v>
      </c>
      <c r="R308" s="696">
        <f t="shared" si="101"/>
        <v>1653.9303941181352</v>
      </c>
      <c r="S308" s="695">
        <f t="shared" ref="S308:AA308" si="102">ROUND(SUM(S299:S307),5)</f>
        <v>2776.1</v>
      </c>
      <c r="T308" s="695">
        <f t="shared" si="102"/>
        <v>1424.53</v>
      </c>
      <c r="U308" s="695">
        <f t="shared" si="102"/>
        <v>1712.93</v>
      </c>
      <c r="V308" s="695">
        <f t="shared" si="102"/>
        <v>806.56</v>
      </c>
      <c r="W308" s="695">
        <f t="shared" si="102"/>
        <v>1726.96</v>
      </c>
      <c r="X308" s="695">
        <f t="shared" si="102"/>
        <v>1488.9</v>
      </c>
      <c r="Y308" s="695">
        <f t="shared" si="102"/>
        <v>1656.95</v>
      </c>
      <c r="Z308" s="695">
        <f t="shared" si="102"/>
        <v>1705.01</v>
      </c>
      <c r="AA308" s="695">
        <f t="shared" si="102"/>
        <v>1748.74</v>
      </c>
      <c r="AB308" s="695">
        <f>ROUND(SUM(AB299:AB307),5)</f>
        <v>2380.21</v>
      </c>
      <c r="AC308" s="695">
        <f>ROUND(SUM(AC299:AC307),5)</f>
        <v>1968.99</v>
      </c>
      <c r="AD308" s="695">
        <f>ROUND(SUM(AD299:AD307),5)</f>
        <v>1491.44</v>
      </c>
      <c r="AE308" s="696">
        <f t="shared" si="101"/>
        <v>0</v>
      </c>
      <c r="AF308" s="696">
        <f t="shared" si="101"/>
        <v>0</v>
      </c>
      <c r="AG308" s="696">
        <f t="shared" si="101"/>
        <v>0</v>
      </c>
      <c r="AH308" s="696">
        <f t="shared" si="101"/>
        <v>0</v>
      </c>
      <c r="AI308" s="696">
        <f t="shared" si="101"/>
        <v>0</v>
      </c>
      <c r="AJ308" s="696">
        <f t="shared" si="101"/>
        <v>0</v>
      </c>
      <c r="AK308" s="696">
        <f t="shared" si="101"/>
        <v>0</v>
      </c>
      <c r="AL308" s="696">
        <f t="shared" si="101"/>
        <v>0</v>
      </c>
      <c r="AM308" s="696">
        <f t="shared" si="101"/>
        <v>0</v>
      </c>
      <c r="AN308" s="696">
        <f t="shared" si="101"/>
        <v>0</v>
      </c>
      <c r="AO308" s="696">
        <f t="shared" si="101"/>
        <v>0</v>
      </c>
      <c r="AP308" s="696">
        <f t="shared" si="101"/>
        <v>0</v>
      </c>
      <c r="AQ308" s="696">
        <f t="shared" si="101"/>
        <v>0</v>
      </c>
      <c r="AR308" s="696">
        <f t="shared" si="101"/>
        <v>0</v>
      </c>
      <c r="AS308" s="696">
        <f t="shared" si="101"/>
        <v>0</v>
      </c>
      <c r="AT308" s="696">
        <f t="shared" si="101"/>
        <v>0</v>
      </c>
      <c r="AU308" s="696">
        <f t="shared" si="101"/>
        <v>0</v>
      </c>
      <c r="AV308" s="696">
        <f t="shared" si="101"/>
        <v>0</v>
      </c>
      <c r="AW308" s="696">
        <f t="shared" si="101"/>
        <v>0</v>
      </c>
      <c r="AX308" s="696">
        <f t="shared" si="101"/>
        <v>0</v>
      </c>
      <c r="AY308" s="696">
        <f t="shared" si="101"/>
        <v>0</v>
      </c>
      <c r="AZ308" s="696">
        <f t="shared" si="101"/>
        <v>0</v>
      </c>
      <c r="BA308" s="696">
        <f t="shared" si="101"/>
        <v>0</v>
      </c>
      <c r="BB308" s="696">
        <f t="shared" si="101"/>
        <v>0</v>
      </c>
      <c r="BC308" s="696">
        <f t="shared" si="101"/>
        <v>0</v>
      </c>
      <c r="BD308" s="696">
        <f t="shared" si="101"/>
        <v>0</v>
      </c>
      <c r="BE308" s="696">
        <f t="shared" si="101"/>
        <v>0</v>
      </c>
      <c r="BF308" s="696">
        <f t="shared" si="101"/>
        <v>0</v>
      </c>
      <c r="BG308" s="696">
        <f t="shared" si="101"/>
        <v>0</v>
      </c>
      <c r="BH308" s="696">
        <f t="shared" si="101"/>
        <v>0</v>
      </c>
      <c r="BI308" s="696">
        <f t="shared" si="101"/>
        <v>0</v>
      </c>
      <c r="BJ308" s="696">
        <f t="shared" si="101"/>
        <v>0</v>
      </c>
      <c r="BK308" s="696">
        <f t="shared" si="101"/>
        <v>0</v>
      </c>
      <c r="BL308" s="696">
        <f t="shared" si="101"/>
        <v>0</v>
      </c>
      <c r="BM308" s="696">
        <f t="shared" si="101"/>
        <v>0</v>
      </c>
      <c r="BN308" s="696">
        <f t="shared" si="101"/>
        <v>0</v>
      </c>
      <c r="BO308" s="696">
        <f t="shared" si="101"/>
        <v>0</v>
      </c>
      <c r="BP308" s="696">
        <f t="shared" ref="BP308:CA308" si="103">SUM(BP300:BP307)</f>
        <v>0</v>
      </c>
      <c r="BQ308" s="696">
        <f t="shared" si="103"/>
        <v>0</v>
      </c>
      <c r="BR308" s="696">
        <f t="shared" si="103"/>
        <v>0</v>
      </c>
      <c r="BS308" s="696">
        <f t="shared" si="103"/>
        <v>0</v>
      </c>
      <c r="BT308" s="696">
        <f t="shared" si="103"/>
        <v>0</v>
      </c>
      <c r="BU308" s="696">
        <f t="shared" si="103"/>
        <v>0</v>
      </c>
      <c r="BV308" s="696">
        <f t="shared" si="103"/>
        <v>0</v>
      </c>
      <c r="BW308" s="696">
        <f t="shared" si="103"/>
        <v>0</v>
      </c>
      <c r="BX308" s="696">
        <f t="shared" si="103"/>
        <v>0</v>
      </c>
      <c r="BY308" s="696">
        <f t="shared" si="103"/>
        <v>0</v>
      </c>
      <c r="BZ308" s="696">
        <f t="shared" si="103"/>
        <v>0</v>
      </c>
      <c r="CA308" s="696">
        <f t="shared" si="103"/>
        <v>0</v>
      </c>
    </row>
    <row r="309" spans="1:79" s="452" customFormat="1" hidden="1" outlineLevel="1" x14ac:dyDescent="0.35">
      <c r="A309" s="754"/>
      <c r="B309" s="754"/>
      <c r="C309" s="754"/>
      <c r="D309" s="754"/>
      <c r="E309" s="754"/>
      <c r="F309" s="717" t="s">
        <v>639</v>
      </c>
      <c r="G309" s="750"/>
      <c r="H309" s="750"/>
      <c r="I309" s="750"/>
      <c r="J309" s="750"/>
      <c r="K309" s="750"/>
      <c r="L309" s="750"/>
      <c r="M309" s="750"/>
      <c r="N309" s="750"/>
      <c r="O309" s="750"/>
      <c r="P309" s="751"/>
      <c r="Q309" s="751"/>
      <c r="R309" s="751"/>
      <c r="S309" s="713"/>
      <c r="T309" s="713"/>
      <c r="U309" s="713"/>
      <c r="V309" s="713"/>
      <c r="W309" s="713"/>
      <c r="X309" s="713"/>
      <c r="Y309" s="713"/>
      <c r="Z309" s="713"/>
      <c r="AA309" s="713"/>
      <c r="AB309" s="713"/>
      <c r="AC309" s="713"/>
      <c r="AD309" s="713"/>
      <c r="AE309" s="753"/>
      <c r="AF309" s="753"/>
      <c r="AG309" s="753"/>
      <c r="AH309" s="753"/>
      <c r="AI309" s="753"/>
      <c r="AJ309" s="753"/>
      <c r="AK309" s="753"/>
      <c r="AL309" s="753"/>
      <c r="AM309" s="753"/>
      <c r="AN309" s="753"/>
      <c r="AO309" s="753"/>
      <c r="AP309" s="753"/>
      <c r="AQ309" s="753"/>
      <c r="AR309" s="753"/>
      <c r="AS309" s="753"/>
      <c r="AT309" s="753"/>
      <c r="AU309" s="753"/>
      <c r="AV309" s="753"/>
      <c r="AW309" s="753"/>
      <c r="AX309" s="753"/>
      <c r="AY309" s="753"/>
      <c r="AZ309" s="753"/>
      <c r="BA309" s="753"/>
      <c r="BB309" s="753"/>
      <c r="BC309" s="753"/>
      <c r="BD309" s="753"/>
      <c r="BE309" s="753"/>
      <c r="BF309" s="753"/>
      <c r="BG309" s="753"/>
      <c r="BH309" s="753"/>
      <c r="BI309" s="753"/>
      <c r="BJ309" s="753"/>
      <c r="BK309" s="753"/>
      <c r="BL309" s="753"/>
      <c r="BM309" s="753"/>
      <c r="BN309" s="753"/>
      <c r="BO309" s="753"/>
      <c r="BP309" s="753"/>
      <c r="BQ309" s="753"/>
      <c r="BR309" s="753"/>
      <c r="BS309" s="753"/>
      <c r="BT309" s="753"/>
      <c r="BU309" s="753"/>
      <c r="BV309" s="753"/>
      <c r="BW309" s="753"/>
      <c r="BX309" s="753"/>
      <c r="BY309" s="753"/>
      <c r="BZ309" s="753"/>
      <c r="CA309" s="753"/>
    </row>
    <row r="310" spans="1:79" s="452" customFormat="1" hidden="1" outlineLevel="1" x14ac:dyDescent="0.35">
      <c r="A310" s="80"/>
      <c r="B310" s="80"/>
      <c r="C310" s="80"/>
      <c r="D310" s="80"/>
      <c r="E310" s="80"/>
      <c r="F310" s="677" t="s">
        <v>9</v>
      </c>
      <c r="G310" s="735"/>
      <c r="H310" s="735"/>
      <c r="I310" s="735"/>
      <c r="J310" s="735"/>
      <c r="K310" s="735"/>
      <c r="L310" s="735"/>
      <c r="M310" s="735"/>
      <c r="N310" s="735"/>
      <c r="O310" s="735"/>
      <c r="P310" s="732"/>
      <c r="Q310" s="732"/>
      <c r="R310" s="732"/>
      <c r="S310" s="683">
        <v>11684.59</v>
      </c>
      <c r="T310" s="683">
        <v>1614.58</v>
      </c>
      <c r="U310" s="683">
        <v>1869.72</v>
      </c>
      <c r="V310" s="683">
        <v>2295.4899999999998</v>
      </c>
      <c r="W310" s="683">
        <v>1614.58</v>
      </c>
      <c r="X310" s="683">
        <v>1614.58</v>
      </c>
      <c r="Y310" s="683">
        <v>2607.17</v>
      </c>
      <c r="Z310" s="683">
        <v>3607.17</v>
      </c>
      <c r="AA310" s="683">
        <v>6614.58</v>
      </c>
      <c r="AB310" s="683">
        <v>3599.76</v>
      </c>
      <c r="AC310" s="683">
        <v>2614.58</v>
      </c>
      <c r="AD310" s="683">
        <v>-7327.69</v>
      </c>
      <c r="AE310" s="734"/>
      <c r="AF310" s="734"/>
      <c r="AG310" s="734"/>
      <c r="AH310" s="734"/>
      <c r="AI310" s="734"/>
      <c r="AJ310" s="734"/>
      <c r="AK310" s="734"/>
      <c r="AL310" s="734"/>
      <c r="AM310" s="734"/>
      <c r="AN310" s="734"/>
      <c r="AO310" s="734"/>
      <c r="AP310" s="734"/>
      <c r="AQ310" s="734"/>
      <c r="AR310" s="734"/>
      <c r="AS310" s="734"/>
      <c r="AT310" s="734"/>
      <c r="AU310" s="734"/>
      <c r="AV310" s="734"/>
      <c r="AW310" s="734"/>
      <c r="AX310" s="734"/>
      <c r="AY310" s="734"/>
      <c r="AZ310" s="734"/>
      <c r="BA310" s="734"/>
      <c r="BB310" s="734"/>
      <c r="BC310" s="734"/>
      <c r="BD310" s="734"/>
      <c r="BE310" s="734"/>
      <c r="BF310" s="734"/>
      <c r="BG310" s="734"/>
      <c r="BH310" s="734"/>
      <c r="BI310" s="734"/>
      <c r="BJ310" s="734"/>
      <c r="BK310" s="734"/>
      <c r="BL310" s="734"/>
      <c r="BM310" s="734"/>
      <c r="BN310" s="734"/>
      <c r="BO310" s="734"/>
      <c r="BP310" s="734"/>
      <c r="BQ310" s="734"/>
      <c r="BR310" s="734"/>
      <c r="BS310" s="734"/>
      <c r="BT310" s="734"/>
      <c r="BU310" s="734"/>
      <c r="BV310" s="734"/>
      <c r="BW310" s="734"/>
      <c r="BX310" s="734"/>
      <c r="BY310" s="734"/>
      <c r="BZ310" s="734"/>
      <c r="CA310" s="734"/>
    </row>
    <row r="311" spans="1:79" s="452" customFormat="1" hidden="1" outlineLevel="1" x14ac:dyDescent="0.35">
      <c r="A311" s="580"/>
      <c r="B311" s="580"/>
      <c r="C311" s="580"/>
      <c r="D311" s="580"/>
      <c r="E311" s="580"/>
      <c r="F311" s="677" t="s">
        <v>910</v>
      </c>
      <c r="G311" s="735"/>
      <c r="H311" s="735"/>
      <c r="I311" s="735"/>
      <c r="J311" s="735"/>
      <c r="K311" s="735"/>
      <c r="L311" s="735"/>
      <c r="M311" s="735"/>
      <c r="N311" s="735"/>
      <c r="O311" s="735"/>
      <c r="P311" s="732"/>
      <c r="Q311" s="732"/>
      <c r="R311" s="732"/>
      <c r="S311" s="683">
        <v>0</v>
      </c>
      <c r="T311" s="683">
        <v>0</v>
      </c>
      <c r="U311" s="683">
        <v>0</v>
      </c>
      <c r="V311" s="683">
        <v>0</v>
      </c>
      <c r="W311" s="683">
        <v>0</v>
      </c>
      <c r="X311" s="683">
        <v>0</v>
      </c>
      <c r="Y311" s="683">
        <v>0</v>
      </c>
      <c r="Z311" s="683">
        <v>0</v>
      </c>
      <c r="AA311" s="683">
        <v>0</v>
      </c>
      <c r="AB311" s="683">
        <v>0</v>
      </c>
      <c r="AC311" s="683">
        <v>0</v>
      </c>
      <c r="AD311" s="683">
        <v>0</v>
      </c>
      <c r="AE311" s="734"/>
      <c r="AF311" s="734"/>
      <c r="AG311" s="734"/>
      <c r="AH311" s="734"/>
      <c r="AI311" s="734"/>
      <c r="AJ311" s="734"/>
      <c r="AK311" s="734"/>
      <c r="AL311" s="734"/>
      <c r="AM311" s="734"/>
      <c r="AN311" s="734"/>
      <c r="AO311" s="734"/>
      <c r="AP311" s="734"/>
      <c r="AQ311" s="734"/>
      <c r="AR311" s="734"/>
      <c r="AS311" s="734"/>
      <c r="AT311" s="734"/>
      <c r="AU311" s="734"/>
      <c r="AV311" s="734"/>
      <c r="AW311" s="734"/>
      <c r="AX311" s="734"/>
      <c r="AY311" s="734"/>
      <c r="AZ311" s="734"/>
      <c r="BA311" s="734"/>
      <c r="BB311" s="734"/>
      <c r="BC311" s="734"/>
      <c r="BD311" s="734"/>
      <c r="BE311" s="734"/>
      <c r="BF311" s="734"/>
      <c r="BG311" s="734"/>
      <c r="BH311" s="734"/>
      <c r="BI311" s="734"/>
      <c r="BJ311" s="734"/>
      <c r="BK311" s="734"/>
      <c r="BL311" s="734"/>
      <c r="BM311" s="734"/>
      <c r="BN311" s="734"/>
      <c r="BO311" s="734"/>
      <c r="BP311" s="734"/>
      <c r="BQ311" s="734"/>
      <c r="BR311" s="734"/>
      <c r="BS311" s="734"/>
      <c r="BT311" s="734"/>
      <c r="BU311" s="734"/>
      <c r="BV311" s="734"/>
      <c r="BW311" s="734"/>
      <c r="BX311" s="734"/>
      <c r="BY311" s="734"/>
      <c r="BZ311" s="734"/>
      <c r="CA311" s="734"/>
    </row>
    <row r="312" spans="1:79" s="452" customFormat="1" hidden="1" outlineLevel="1" x14ac:dyDescent="0.35">
      <c r="A312" s="580"/>
      <c r="B312" s="580"/>
      <c r="C312" s="580"/>
      <c r="D312" s="580"/>
      <c r="E312" s="580"/>
      <c r="F312" s="677" t="s">
        <v>647</v>
      </c>
      <c r="G312" s="735"/>
      <c r="H312" s="735"/>
      <c r="I312" s="735"/>
      <c r="J312" s="735"/>
      <c r="K312" s="735"/>
      <c r="L312" s="735"/>
      <c r="M312" s="735"/>
      <c r="N312" s="735"/>
      <c r="O312" s="735"/>
      <c r="P312" s="732"/>
      <c r="Q312" s="732"/>
      <c r="R312" s="732"/>
      <c r="S312" s="683">
        <v>0</v>
      </c>
      <c r="T312" s="683">
        <v>0</v>
      </c>
      <c r="U312" s="683">
        <v>0</v>
      </c>
      <c r="V312" s="683">
        <v>0</v>
      </c>
      <c r="W312" s="683">
        <v>0</v>
      </c>
      <c r="X312" s="683">
        <v>0</v>
      </c>
      <c r="Y312" s="683">
        <v>0</v>
      </c>
      <c r="Z312" s="683">
        <v>0</v>
      </c>
      <c r="AA312" s="683">
        <v>2635.2</v>
      </c>
      <c r="AB312" s="683">
        <v>689.3</v>
      </c>
      <c r="AC312" s="683">
        <v>0</v>
      </c>
      <c r="AD312" s="683">
        <v>0</v>
      </c>
      <c r="AE312" s="734"/>
      <c r="AF312" s="734"/>
      <c r="AG312" s="734"/>
      <c r="AH312" s="734"/>
      <c r="AI312" s="734"/>
      <c r="AJ312" s="734"/>
      <c r="AK312" s="734"/>
      <c r="AL312" s="734"/>
      <c r="AM312" s="734"/>
      <c r="AN312" s="734"/>
      <c r="AO312" s="734"/>
      <c r="AP312" s="734"/>
      <c r="AQ312" s="734"/>
      <c r="AR312" s="734"/>
      <c r="AS312" s="734"/>
      <c r="AT312" s="734"/>
      <c r="AU312" s="734"/>
      <c r="AV312" s="734"/>
      <c r="AW312" s="734"/>
      <c r="AX312" s="734"/>
      <c r="AY312" s="734"/>
      <c r="AZ312" s="734"/>
      <c r="BA312" s="734"/>
      <c r="BB312" s="734"/>
      <c r="BC312" s="734"/>
      <c r="BD312" s="734"/>
      <c r="BE312" s="734"/>
      <c r="BF312" s="734"/>
      <c r="BG312" s="734"/>
      <c r="BH312" s="734"/>
      <c r="BI312" s="734"/>
      <c r="BJ312" s="734"/>
      <c r="BK312" s="734"/>
      <c r="BL312" s="734"/>
      <c r="BM312" s="734"/>
      <c r="BN312" s="734"/>
      <c r="BO312" s="734"/>
      <c r="BP312" s="734"/>
      <c r="BQ312" s="734"/>
      <c r="BR312" s="734"/>
      <c r="BS312" s="734"/>
      <c r="BT312" s="734"/>
      <c r="BU312" s="734"/>
      <c r="BV312" s="734"/>
      <c r="BW312" s="734"/>
      <c r="BX312" s="734"/>
      <c r="BY312" s="734"/>
      <c r="BZ312" s="734"/>
      <c r="CA312" s="734"/>
    </row>
    <row r="313" spans="1:79" s="452" customFormat="1" hidden="1" outlineLevel="1" x14ac:dyDescent="0.35">
      <c r="A313" s="580"/>
      <c r="B313" s="580"/>
      <c r="C313" s="580"/>
      <c r="D313" s="580"/>
      <c r="E313" s="580"/>
      <c r="F313" s="677" t="s">
        <v>648</v>
      </c>
      <c r="G313" s="735"/>
      <c r="H313" s="735"/>
      <c r="I313" s="735"/>
      <c r="J313" s="735"/>
      <c r="K313" s="735"/>
      <c r="L313" s="735"/>
      <c r="M313" s="735"/>
      <c r="N313" s="735"/>
      <c r="O313" s="735"/>
      <c r="P313" s="732"/>
      <c r="Q313" s="732"/>
      <c r="R313" s="732"/>
      <c r="S313" s="683">
        <v>0</v>
      </c>
      <c r="T313" s="683">
        <v>0</v>
      </c>
      <c r="U313" s="683">
        <v>0</v>
      </c>
      <c r="V313" s="683">
        <v>0</v>
      </c>
      <c r="W313" s="683">
        <v>0</v>
      </c>
      <c r="X313" s="683">
        <v>0</v>
      </c>
      <c r="Y313" s="683">
        <v>0</v>
      </c>
      <c r="Z313" s="683">
        <v>0</v>
      </c>
      <c r="AA313" s="683">
        <v>0</v>
      </c>
      <c r="AB313" s="683">
        <v>0</v>
      </c>
      <c r="AC313" s="683">
        <v>0</v>
      </c>
      <c r="AD313" s="683">
        <v>0</v>
      </c>
      <c r="AE313" s="734"/>
      <c r="AF313" s="734"/>
      <c r="AG313" s="734"/>
      <c r="AH313" s="734"/>
      <c r="AI313" s="734"/>
      <c r="AJ313" s="734"/>
      <c r="AK313" s="734"/>
      <c r="AL313" s="734"/>
      <c r="AM313" s="734"/>
      <c r="AN313" s="734"/>
      <c r="AO313" s="734"/>
      <c r="AP313" s="734"/>
      <c r="AQ313" s="734"/>
      <c r="AR313" s="734"/>
      <c r="AS313" s="734"/>
      <c r="AT313" s="734"/>
      <c r="AU313" s="734"/>
      <c r="AV313" s="734"/>
      <c r="AW313" s="734"/>
      <c r="AX313" s="734"/>
      <c r="AY313" s="734"/>
      <c r="AZ313" s="734"/>
      <c r="BA313" s="734"/>
      <c r="BB313" s="734"/>
      <c r="BC313" s="734"/>
      <c r="BD313" s="734"/>
      <c r="BE313" s="734"/>
      <c r="BF313" s="734"/>
      <c r="BG313" s="734"/>
      <c r="BH313" s="734"/>
      <c r="BI313" s="734"/>
      <c r="BJ313" s="734"/>
      <c r="BK313" s="734"/>
      <c r="BL313" s="734"/>
      <c r="BM313" s="734"/>
      <c r="BN313" s="734"/>
      <c r="BO313" s="734"/>
      <c r="BP313" s="734"/>
      <c r="BQ313" s="734"/>
      <c r="BR313" s="734"/>
      <c r="BS313" s="734"/>
      <c r="BT313" s="734"/>
      <c r="BU313" s="734"/>
      <c r="BV313" s="734"/>
      <c r="BW313" s="734"/>
      <c r="BX313" s="734"/>
      <c r="BY313" s="734"/>
      <c r="BZ313" s="734"/>
      <c r="CA313" s="734"/>
    </row>
    <row r="314" spans="1:79" s="452" customFormat="1" hidden="1" outlineLevel="1" x14ac:dyDescent="0.35">
      <c r="A314" s="80"/>
      <c r="B314" s="80"/>
      <c r="C314" s="80"/>
      <c r="D314" s="80"/>
      <c r="E314" s="80"/>
      <c r="F314" s="677" t="s">
        <v>640</v>
      </c>
      <c r="G314" s="735"/>
      <c r="H314" s="735"/>
      <c r="I314" s="735"/>
      <c r="J314" s="735"/>
      <c r="K314" s="735"/>
      <c r="L314" s="735"/>
      <c r="M314" s="735"/>
      <c r="N314" s="735"/>
      <c r="O314" s="735"/>
      <c r="P314" s="732"/>
      <c r="Q314" s="732"/>
      <c r="R314" s="732"/>
      <c r="S314" s="683">
        <v>12249.73</v>
      </c>
      <c r="T314" s="683">
        <v>11153.84</v>
      </c>
      <c r="U314" s="683">
        <v>16230.76</v>
      </c>
      <c r="V314" s="683">
        <v>7528.85</v>
      </c>
      <c r="W314" s="683">
        <v>17528.84</v>
      </c>
      <c r="X314" s="683">
        <v>18269.22</v>
      </c>
      <c r="Y314" s="683">
        <v>20374.990000000002</v>
      </c>
      <c r="Z314" s="683">
        <v>19097.64</v>
      </c>
      <c r="AA314" s="683">
        <v>12826.5</v>
      </c>
      <c r="AB314" s="683">
        <v>24444.23</v>
      </c>
      <c r="AC314" s="683">
        <v>23625</v>
      </c>
      <c r="AD314" s="683">
        <v>24750.01</v>
      </c>
      <c r="AE314" s="734"/>
      <c r="AF314" s="734"/>
      <c r="AG314" s="734"/>
      <c r="AH314" s="734"/>
      <c r="AI314" s="734"/>
      <c r="AJ314" s="734"/>
      <c r="AK314" s="734"/>
      <c r="AL314" s="734"/>
      <c r="AM314" s="734"/>
      <c r="AN314" s="734"/>
      <c r="AO314" s="734"/>
      <c r="AP314" s="734"/>
      <c r="AQ314" s="734"/>
      <c r="AR314" s="734"/>
      <c r="AS314" s="734"/>
      <c r="AT314" s="734"/>
      <c r="AU314" s="734"/>
      <c r="AV314" s="734"/>
      <c r="AW314" s="734"/>
      <c r="AX314" s="734"/>
      <c r="AY314" s="734"/>
      <c r="AZ314" s="734"/>
      <c r="BA314" s="734"/>
      <c r="BB314" s="734"/>
      <c r="BC314" s="734"/>
      <c r="BD314" s="734"/>
      <c r="BE314" s="734"/>
      <c r="BF314" s="734"/>
      <c r="BG314" s="734"/>
      <c r="BH314" s="734"/>
      <c r="BI314" s="734"/>
      <c r="BJ314" s="734"/>
      <c r="BK314" s="734"/>
      <c r="BL314" s="734"/>
      <c r="BM314" s="734"/>
      <c r="BN314" s="734"/>
      <c r="BO314" s="734"/>
      <c r="BP314" s="734"/>
      <c r="BQ314" s="734"/>
      <c r="BR314" s="734"/>
      <c r="BS314" s="734"/>
      <c r="BT314" s="734"/>
      <c r="BU314" s="734"/>
      <c r="BV314" s="734"/>
      <c r="BW314" s="734"/>
      <c r="BX314" s="734"/>
      <c r="BY314" s="734"/>
      <c r="BZ314" s="734"/>
      <c r="CA314" s="734"/>
    </row>
    <row r="315" spans="1:79" s="452" customFormat="1" hidden="1" outlineLevel="1" x14ac:dyDescent="0.35">
      <c r="A315" s="80"/>
      <c r="B315" s="80"/>
      <c r="C315" s="80"/>
      <c r="D315" s="80"/>
      <c r="E315" s="80"/>
      <c r="F315" s="677" t="s">
        <v>641</v>
      </c>
      <c r="G315" s="735"/>
      <c r="H315" s="735"/>
      <c r="I315" s="735"/>
      <c r="J315" s="735"/>
      <c r="K315" s="735"/>
      <c r="L315" s="735"/>
      <c r="M315" s="735"/>
      <c r="N315" s="735"/>
      <c r="O315" s="735"/>
      <c r="P315" s="732"/>
      <c r="Q315" s="732"/>
      <c r="R315" s="732"/>
      <c r="S315" s="683">
        <v>493.59</v>
      </c>
      <c r="T315" s="683">
        <v>-83.33</v>
      </c>
      <c r="U315" s="683">
        <v>5780.81</v>
      </c>
      <c r="V315" s="683">
        <v>-3146.12</v>
      </c>
      <c r="W315" s="683">
        <v>748.6</v>
      </c>
      <c r="X315" s="683">
        <v>-429.56</v>
      </c>
      <c r="Y315" s="683">
        <v>237.62</v>
      </c>
      <c r="Z315" s="683">
        <v>449.15</v>
      </c>
      <c r="AA315" s="683">
        <v>-411.48</v>
      </c>
      <c r="AB315" s="683">
        <v>449.16</v>
      </c>
      <c r="AC315" s="683">
        <v>434.66</v>
      </c>
      <c r="AD315" s="683">
        <v>471.03</v>
      </c>
      <c r="AE315" s="734"/>
      <c r="AF315" s="734"/>
      <c r="AG315" s="734"/>
      <c r="AH315" s="734"/>
      <c r="AI315" s="734"/>
      <c r="AJ315" s="734"/>
      <c r="AK315" s="734"/>
      <c r="AL315" s="734"/>
      <c r="AM315" s="734"/>
      <c r="AN315" s="734"/>
      <c r="AO315" s="734"/>
      <c r="AP315" s="734"/>
      <c r="AQ315" s="734"/>
      <c r="AR315" s="734"/>
      <c r="AS315" s="734"/>
      <c r="AT315" s="734"/>
      <c r="AU315" s="734"/>
      <c r="AV315" s="734"/>
      <c r="AW315" s="734"/>
      <c r="AX315" s="734"/>
      <c r="AY315" s="734"/>
      <c r="AZ315" s="734"/>
      <c r="BA315" s="734"/>
      <c r="BB315" s="734"/>
      <c r="BC315" s="734"/>
      <c r="BD315" s="734"/>
      <c r="BE315" s="734"/>
      <c r="BF315" s="734"/>
      <c r="BG315" s="734"/>
      <c r="BH315" s="734"/>
      <c r="BI315" s="734"/>
      <c r="BJ315" s="734"/>
      <c r="BK315" s="734"/>
      <c r="BL315" s="734"/>
      <c r="BM315" s="734"/>
      <c r="BN315" s="734"/>
      <c r="BO315" s="734"/>
      <c r="BP315" s="734"/>
      <c r="BQ315" s="734"/>
      <c r="BR315" s="734"/>
      <c r="BS315" s="734"/>
      <c r="BT315" s="734"/>
      <c r="BU315" s="734"/>
      <c r="BV315" s="734"/>
      <c r="BW315" s="734"/>
      <c r="BX315" s="734"/>
      <c r="BY315" s="734"/>
      <c r="BZ315" s="734"/>
      <c r="CA315" s="734"/>
    </row>
    <row r="316" spans="1:79" s="452" customFormat="1" hidden="1" outlineLevel="1" x14ac:dyDescent="0.35">
      <c r="A316" s="580"/>
      <c r="B316" s="580"/>
      <c r="C316" s="580"/>
      <c r="D316" s="580"/>
      <c r="E316" s="580"/>
      <c r="F316" s="677" t="s">
        <v>911</v>
      </c>
      <c r="G316" s="735"/>
      <c r="H316" s="735"/>
      <c r="I316" s="735"/>
      <c r="J316" s="735"/>
      <c r="K316" s="735"/>
      <c r="L316" s="735"/>
      <c r="M316" s="735"/>
      <c r="N316" s="735"/>
      <c r="O316" s="735"/>
      <c r="P316" s="732"/>
      <c r="Q316" s="732"/>
      <c r="R316" s="732"/>
      <c r="S316" s="683">
        <v>0</v>
      </c>
      <c r="T316" s="683">
        <v>0</v>
      </c>
      <c r="U316" s="683">
        <v>0</v>
      </c>
      <c r="V316" s="683">
        <v>0</v>
      </c>
      <c r="W316" s="683">
        <v>0</v>
      </c>
      <c r="X316" s="683">
        <v>0</v>
      </c>
      <c r="Y316" s="683">
        <v>0</v>
      </c>
      <c r="Z316" s="683">
        <v>0</v>
      </c>
      <c r="AA316" s="683">
        <v>0</v>
      </c>
      <c r="AB316" s="683">
        <v>0</v>
      </c>
      <c r="AC316" s="683">
        <v>0</v>
      </c>
      <c r="AD316" s="683">
        <v>0</v>
      </c>
      <c r="AE316" s="734"/>
      <c r="AF316" s="734"/>
      <c r="AG316" s="734"/>
      <c r="AH316" s="734"/>
      <c r="AI316" s="734"/>
      <c r="AJ316" s="734"/>
      <c r="AK316" s="734"/>
      <c r="AL316" s="734"/>
      <c r="AM316" s="734"/>
      <c r="AN316" s="734"/>
      <c r="AO316" s="734"/>
      <c r="AP316" s="734"/>
      <c r="AQ316" s="734"/>
      <c r="AR316" s="734"/>
      <c r="AS316" s="734"/>
      <c r="AT316" s="734"/>
      <c r="AU316" s="734"/>
      <c r="AV316" s="734"/>
      <c r="AW316" s="734"/>
      <c r="AX316" s="734"/>
      <c r="AY316" s="734"/>
      <c r="AZ316" s="734"/>
      <c r="BA316" s="734"/>
      <c r="BB316" s="734"/>
      <c r="BC316" s="734"/>
      <c r="BD316" s="734"/>
      <c r="BE316" s="734"/>
      <c r="BF316" s="734"/>
      <c r="BG316" s="734"/>
      <c r="BH316" s="734"/>
      <c r="BI316" s="734"/>
      <c r="BJ316" s="734"/>
      <c r="BK316" s="734"/>
      <c r="BL316" s="734"/>
      <c r="BM316" s="734"/>
      <c r="BN316" s="734"/>
      <c r="BO316" s="734"/>
      <c r="BP316" s="734"/>
      <c r="BQ316" s="734"/>
      <c r="BR316" s="734"/>
      <c r="BS316" s="734"/>
      <c r="BT316" s="734"/>
      <c r="BU316" s="734"/>
      <c r="BV316" s="734"/>
      <c r="BW316" s="734"/>
      <c r="BX316" s="734"/>
      <c r="BY316" s="734"/>
      <c r="BZ316" s="734"/>
      <c r="CA316" s="734"/>
    </row>
    <row r="317" spans="1:79" s="452" customFormat="1" hidden="1" outlineLevel="1" x14ac:dyDescent="0.35">
      <c r="A317" s="580"/>
      <c r="B317" s="580"/>
      <c r="C317" s="580"/>
      <c r="D317" s="580"/>
      <c r="E317" s="580"/>
      <c r="F317" s="677" t="s">
        <v>681</v>
      </c>
      <c r="G317" s="735">
        <v>26313.599999999999</v>
      </c>
      <c r="H317" s="735">
        <v>24678.98</v>
      </c>
      <c r="I317" s="735">
        <v>27275.13</v>
      </c>
      <c r="J317" s="735">
        <v>28140.52</v>
      </c>
      <c r="K317" s="735">
        <v>30289.14</v>
      </c>
      <c r="L317" s="735">
        <v>30728.649999999998</v>
      </c>
      <c r="M317" s="735">
        <v>19839.739999999998</v>
      </c>
      <c r="N317" s="735">
        <v>25167.899999999998</v>
      </c>
      <c r="O317" s="735">
        <v>20132</v>
      </c>
      <c r="P317" s="732">
        <v>19993.580000000002</v>
      </c>
      <c r="Q317" s="732">
        <v>27636.63</v>
      </c>
      <c r="R317" s="732">
        <v>29151.08</v>
      </c>
      <c r="S317" s="683">
        <v>0</v>
      </c>
      <c r="T317" s="683">
        <v>0</v>
      </c>
      <c r="U317" s="683">
        <v>0</v>
      </c>
      <c r="V317" s="683">
        <v>0</v>
      </c>
      <c r="W317" s="683">
        <v>0</v>
      </c>
      <c r="X317" s="683">
        <v>0</v>
      </c>
      <c r="Y317" s="683">
        <v>0</v>
      </c>
      <c r="Z317" s="683">
        <v>0</v>
      </c>
      <c r="AA317" s="683">
        <v>0</v>
      </c>
      <c r="AB317" s="683">
        <v>0</v>
      </c>
      <c r="AC317" s="683">
        <v>0</v>
      </c>
      <c r="AD317" s="683">
        <v>0</v>
      </c>
      <c r="AE317" s="734"/>
      <c r="AF317" s="734"/>
      <c r="AG317" s="734"/>
      <c r="AH317" s="734"/>
      <c r="AI317" s="734"/>
      <c r="AJ317" s="734"/>
      <c r="AK317" s="734"/>
      <c r="AL317" s="734"/>
      <c r="AM317" s="734"/>
      <c r="AN317" s="734"/>
      <c r="AO317" s="734"/>
      <c r="AP317" s="734"/>
      <c r="AQ317" s="734"/>
      <c r="AR317" s="734"/>
      <c r="AS317" s="734"/>
      <c r="AT317" s="734"/>
      <c r="AU317" s="734"/>
      <c r="AV317" s="734"/>
      <c r="AW317" s="734"/>
      <c r="AX317" s="734"/>
      <c r="AY317" s="734"/>
      <c r="AZ317" s="734"/>
      <c r="BA317" s="734"/>
      <c r="BB317" s="734"/>
      <c r="BC317" s="734"/>
      <c r="BD317" s="734"/>
      <c r="BE317" s="734"/>
      <c r="BF317" s="734"/>
      <c r="BG317" s="734"/>
      <c r="BH317" s="734"/>
      <c r="BI317" s="734"/>
      <c r="BJ317" s="734"/>
      <c r="BK317" s="734"/>
      <c r="BL317" s="734"/>
      <c r="BM317" s="734"/>
      <c r="BN317" s="734"/>
      <c r="BO317" s="734"/>
      <c r="BP317" s="734"/>
      <c r="BQ317" s="734"/>
      <c r="BR317" s="734"/>
      <c r="BS317" s="734"/>
      <c r="BT317" s="734"/>
      <c r="BU317" s="734"/>
      <c r="BV317" s="734"/>
      <c r="BW317" s="734"/>
      <c r="BX317" s="734"/>
      <c r="BY317" s="734"/>
      <c r="BZ317" s="734"/>
      <c r="CA317" s="734"/>
    </row>
    <row r="318" spans="1:79" s="452" customFormat="1" hidden="1" outlineLevel="1" x14ac:dyDescent="0.35">
      <c r="A318" s="80"/>
      <c r="B318" s="80"/>
      <c r="C318" s="80"/>
      <c r="D318" s="80"/>
      <c r="E318" s="80"/>
      <c r="F318" s="673" t="s">
        <v>642</v>
      </c>
      <c r="G318" s="696">
        <f>SUM(G310:G317)</f>
        <v>26313.599999999999</v>
      </c>
      <c r="H318" s="696">
        <f t="shared" ref="H318:BO318" si="104">SUM(H310:H317)</f>
        <v>24678.98</v>
      </c>
      <c r="I318" s="696">
        <f t="shared" si="104"/>
        <v>27275.13</v>
      </c>
      <c r="J318" s="696">
        <f t="shared" si="104"/>
        <v>28140.52</v>
      </c>
      <c r="K318" s="696">
        <f t="shared" si="104"/>
        <v>30289.14</v>
      </c>
      <c r="L318" s="696">
        <f t="shared" si="104"/>
        <v>30728.649999999998</v>
      </c>
      <c r="M318" s="696">
        <f t="shared" si="104"/>
        <v>19839.739999999998</v>
      </c>
      <c r="N318" s="696">
        <f t="shared" si="104"/>
        <v>25167.899999999998</v>
      </c>
      <c r="O318" s="696">
        <f t="shared" si="104"/>
        <v>20132</v>
      </c>
      <c r="P318" s="696">
        <f t="shared" si="104"/>
        <v>19993.580000000002</v>
      </c>
      <c r="Q318" s="696">
        <f t="shared" si="104"/>
        <v>27636.63</v>
      </c>
      <c r="R318" s="696">
        <f t="shared" si="104"/>
        <v>29151.08</v>
      </c>
      <c r="S318" s="695">
        <f t="shared" ref="S318:AA318" si="105">ROUND(SUM(S309:S317),5)</f>
        <v>24427.91</v>
      </c>
      <c r="T318" s="695">
        <f t="shared" si="105"/>
        <v>12685.09</v>
      </c>
      <c r="U318" s="695">
        <f t="shared" si="105"/>
        <v>23881.29</v>
      </c>
      <c r="V318" s="695">
        <f t="shared" si="105"/>
        <v>6678.22</v>
      </c>
      <c r="W318" s="695">
        <f t="shared" si="105"/>
        <v>19892.02</v>
      </c>
      <c r="X318" s="695">
        <f t="shared" si="105"/>
        <v>19454.240000000002</v>
      </c>
      <c r="Y318" s="695">
        <f t="shared" si="105"/>
        <v>23219.78</v>
      </c>
      <c r="Z318" s="695">
        <f t="shared" si="105"/>
        <v>23153.96</v>
      </c>
      <c r="AA318" s="695">
        <f t="shared" si="105"/>
        <v>21664.799999999999</v>
      </c>
      <c r="AB318" s="695">
        <f>ROUND(SUM(AB309:AB317),5)</f>
        <v>29182.45</v>
      </c>
      <c r="AC318" s="695">
        <f>ROUND(SUM(AC309:AC317),5)</f>
        <v>26674.240000000002</v>
      </c>
      <c r="AD318" s="695">
        <f>ROUND(SUM(AD309:AD317),5)</f>
        <v>17893.349999999999</v>
      </c>
      <c r="AE318" s="696">
        <f t="shared" si="104"/>
        <v>0</v>
      </c>
      <c r="AF318" s="696">
        <f t="shared" si="104"/>
        <v>0</v>
      </c>
      <c r="AG318" s="696">
        <f t="shared" si="104"/>
        <v>0</v>
      </c>
      <c r="AH318" s="696">
        <f t="shared" si="104"/>
        <v>0</v>
      </c>
      <c r="AI318" s="696">
        <f t="shared" si="104"/>
        <v>0</v>
      </c>
      <c r="AJ318" s="696">
        <f t="shared" si="104"/>
        <v>0</v>
      </c>
      <c r="AK318" s="696">
        <f t="shared" si="104"/>
        <v>0</v>
      </c>
      <c r="AL318" s="696">
        <f t="shared" si="104"/>
        <v>0</v>
      </c>
      <c r="AM318" s="696">
        <f t="shared" si="104"/>
        <v>0</v>
      </c>
      <c r="AN318" s="696">
        <f t="shared" si="104"/>
        <v>0</v>
      </c>
      <c r="AO318" s="696">
        <f t="shared" si="104"/>
        <v>0</v>
      </c>
      <c r="AP318" s="696">
        <f t="shared" si="104"/>
        <v>0</v>
      </c>
      <c r="AQ318" s="696">
        <f t="shared" si="104"/>
        <v>0</v>
      </c>
      <c r="AR318" s="696">
        <f t="shared" si="104"/>
        <v>0</v>
      </c>
      <c r="AS318" s="696">
        <f t="shared" si="104"/>
        <v>0</v>
      </c>
      <c r="AT318" s="696">
        <f t="shared" si="104"/>
        <v>0</v>
      </c>
      <c r="AU318" s="696">
        <f t="shared" si="104"/>
        <v>0</v>
      </c>
      <c r="AV318" s="696">
        <f t="shared" si="104"/>
        <v>0</v>
      </c>
      <c r="AW318" s="696">
        <f t="shared" si="104"/>
        <v>0</v>
      </c>
      <c r="AX318" s="696">
        <f t="shared" si="104"/>
        <v>0</v>
      </c>
      <c r="AY318" s="696">
        <f t="shared" si="104"/>
        <v>0</v>
      </c>
      <c r="AZ318" s="696">
        <f t="shared" si="104"/>
        <v>0</v>
      </c>
      <c r="BA318" s="696">
        <f t="shared" si="104"/>
        <v>0</v>
      </c>
      <c r="BB318" s="696">
        <f t="shared" si="104"/>
        <v>0</v>
      </c>
      <c r="BC318" s="696">
        <f t="shared" si="104"/>
        <v>0</v>
      </c>
      <c r="BD318" s="696">
        <f t="shared" si="104"/>
        <v>0</v>
      </c>
      <c r="BE318" s="696">
        <f t="shared" si="104"/>
        <v>0</v>
      </c>
      <c r="BF318" s="696">
        <f t="shared" si="104"/>
        <v>0</v>
      </c>
      <c r="BG318" s="696">
        <f t="shared" si="104"/>
        <v>0</v>
      </c>
      <c r="BH318" s="696">
        <f t="shared" si="104"/>
        <v>0</v>
      </c>
      <c r="BI318" s="696">
        <f t="shared" si="104"/>
        <v>0</v>
      </c>
      <c r="BJ318" s="696">
        <f t="shared" si="104"/>
        <v>0</v>
      </c>
      <c r="BK318" s="696">
        <f t="shared" si="104"/>
        <v>0</v>
      </c>
      <c r="BL318" s="696">
        <f t="shared" si="104"/>
        <v>0</v>
      </c>
      <c r="BM318" s="696">
        <f t="shared" si="104"/>
        <v>0</v>
      </c>
      <c r="BN318" s="696">
        <f t="shared" si="104"/>
        <v>0</v>
      </c>
      <c r="BO318" s="696">
        <f t="shared" si="104"/>
        <v>0</v>
      </c>
      <c r="BP318" s="696">
        <f t="shared" ref="BP318:CA318" si="106">SUM(BP310:BP317)</f>
        <v>0</v>
      </c>
      <c r="BQ318" s="696">
        <f t="shared" si="106"/>
        <v>0</v>
      </c>
      <c r="BR318" s="696">
        <f t="shared" si="106"/>
        <v>0</v>
      </c>
      <c r="BS318" s="696">
        <f t="shared" si="106"/>
        <v>0</v>
      </c>
      <c r="BT318" s="696">
        <f t="shared" si="106"/>
        <v>0</v>
      </c>
      <c r="BU318" s="696">
        <f t="shared" si="106"/>
        <v>0</v>
      </c>
      <c r="BV318" s="696">
        <f t="shared" si="106"/>
        <v>0</v>
      </c>
      <c r="BW318" s="696">
        <f t="shared" si="106"/>
        <v>0</v>
      </c>
      <c r="BX318" s="696">
        <f t="shared" si="106"/>
        <v>0</v>
      </c>
      <c r="BY318" s="696">
        <f t="shared" si="106"/>
        <v>0</v>
      </c>
      <c r="BZ318" s="696">
        <f t="shared" si="106"/>
        <v>0</v>
      </c>
      <c r="CA318" s="696">
        <f t="shared" si="106"/>
        <v>0</v>
      </c>
    </row>
    <row r="319" spans="1:79" s="452" customFormat="1" hidden="1" outlineLevel="1" x14ac:dyDescent="0.35">
      <c r="A319" s="80"/>
      <c r="B319" s="80"/>
      <c r="C319" s="80"/>
      <c r="D319" s="80"/>
      <c r="E319" s="80"/>
      <c r="F319" s="672" t="s">
        <v>643</v>
      </c>
      <c r="G319" s="735"/>
      <c r="H319" s="735"/>
      <c r="I319" s="735"/>
      <c r="J319" s="735"/>
      <c r="K319" s="735"/>
      <c r="L319" s="735"/>
      <c r="M319" s="735"/>
      <c r="N319" s="735"/>
      <c r="O319" s="735"/>
      <c r="P319" s="732"/>
      <c r="Q319" s="732"/>
      <c r="R319" s="732"/>
      <c r="S319" s="687">
        <v>22.25</v>
      </c>
      <c r="T319" s="687">
        <v>4.54</v>
      </c>
      <c r="U319" s="687">
        <v>0</v>
      </c>
      <c r="V319" s="687">
        <v>0</v>
      </c>
      <c r="W319" s="687">
        <v>0</v>
      </c>
      <c r="X319" s="687">
        <v>0</v>
      </c>
      <c r="Y319" s="687">
        <v>0</v>
      </c>
      <c r="Z319" s="687">
        <v>0</v>
      </c>
      <c r="AA319" s="687">
        <v>0</v>
      </c>
      <c r="AB319" s="687">
        <v>0</v>
      </c>
      <c r="AC319" s="687">
        <v>0</v>
      </c>
      <c r="AD319" s="687">
        <v>0</v>
      </c>
      <c r="AE319" s="734"/>
      <c r="AF319" s="734"/>
      <c r="AG319" s="734"/>
      <c r="AH319" s="734"/>
      <c r="AI319" s="734"/>
      <c r="AJ319" s="734"/>
      <c r="AK319" s="734"/>
      <c r="AL319" s="734"/>
      <c r="AM319" s="734"/>
      <c r="AN319" s="734"/>
      <c r="AO319" s="734"/>
      <c r="AP319" s="734"/>
      <c r="AQ319" s="734"/>
      <c r="AR319" s="734"/>
      <c r="AS319" s="734"/>
      <c r="AT319" s="734"/>
      <c r="AU319" s="734"/>
      <c r="AV319" s="734"/>
      <c r="AW319" s="734"/>
      <c r="AX319" s="734"/>
      <c r="AY319" s="734"/>
      <c r="AZ319" s="734"/>
      <c r="BA319" s="734"/>
      <c r="BB319" s="734"/>
      <c r="BC319" s="734"/>
      <c r="BD319" s="734"/>
      <c r="BE319" s="734"/>
      <c r="BF319" s="734"/>
      <c r="BG319" s="734"/>
      <c r="BH319" s="734"/>
      <c r="BI319" s="734"/>
      <c r="BJ319" s="734"/>
      <c r="BK319" s="734"/>
      <c r="BL319" s="734"/>
      <c r="BM319" s="734"/>
      <c r="BN319" s="734"/>
      <c r="BO319" s="734"/>
      <c r="BP319" s="734"/>
      <c r="BQ319" s="734"/>
      <c r="BR319" s="734"/>
      <c r="BS319" s="734"/>
      <c r="BT319" s="734"/>
      <c r="BU319" s="734"/>
      <c r="BV319" s="734"/>
      <c r="BW319" s="734"/>
      <c r="BX319" s="734"/>
      <c r="BY319" s="734"/>
      <c r="BZ319" s="734"/>
      <c r="CA319" s="734"/>
    </row>
    <row r="320" spans="1:79" s="309" customFormat="1" hidden="1" outlineLevel="1" x14ac:dyDescent="0.35">
      <c r="A320" s="30"/>
      <c r="B320" s="30"/>
      <c r="C320" s="30"/>
      <c r="D320" s="30"/>
      <c r="E320" s="30"/>
      <c r="F320" s="675" t="s">
        <v>644</v>
      </c>
      <c r="G320" s="749">
        <f>G318+G308</f>
        <v>29131.994595408367</v>
      </c>
      <c r="H320" s="749">
        <f t="shared" ref="H320:BO320" si="107">H318+H308</f>
        <v>26554.74573340427</v>
      </c>
      <c r="I320" s="749">
        <f t="shared" si="107"/>
        <v>29208.480490878996</v>
      </c>
      <c r="J320" s="749">
        <f t="shared" si="107"/>
        <v>30106.313963001703</v>
      </c>
      <c r="K320" s="749">
        <f t="shared" si="107"/>
        <v>32192.463478002192</v>
      </c>
      <c r="L320" s="749">
        <f t="shared" si="107"/>
        <v>32597.474533091296</v>
      </c>
      <c r="M320" s="749">
        <f t="shared" si="107"/>
        <v>20875.678505895739</v>
      </c>
      <c r="N320" s="749">
        <f t="shared" si="107"/>
        <v>26613.62365656266</v>
      </c>
      <c r="O320" s="749">
        <f t="shared" si="107"/>
        <v>21193.009805431531</v>
      </c>
      <c r="P320" s="749">
        <f t="shared" si="107"/>
        <v>21044.053082243863</v>
      </c>
      <c r="Q320" s="749">
        <f t="shared" si="107"/>
        <v>29239.730087666318</v>
      </c>
      <c r="R320" s="749">
        <f t="shared" si="107"/>
        <v>30805.010394118137</v>
      </c>
      <c r="S320" s="695">
        <f t="shared" ref="S320:AB320" si="108">ROUND(S291+S298+S308+SUM(S318:S319),5)</f>
        <v>27226.26</v>
      </c>
      <c r="T320" s="695">
        <f t="shared" si="108"/>
        <v>14114.16</v>
      </c>
      <c r="U320" s="695">
        <f t="shared" si="108"/>
        <v>25594.22</v>
      </c>
      <c r="V320" s="695">
        <f t="shared" si="108"/>
        <v>7484.78</v>
      </c>
      <c r="W320" s="695">
        <f t="shared" si="108"/>
        <v>21618.98</v>
      </c>
      <c r="X320" s="695">
        <f t="shared" si="108"/>
        <v>20943.14</v>
      </c>
      <c r="Y320" s="695">
        <f t="shared" si="108"/>
        <v>24876.73</v>
      </c>
      <c r="Z320" s="695">
        <f t="shared" si="108"/>
        <v>24858.97</v>
      </c>
      <c r="AA320" s="695">
        <f t="shared" si="108"/>
        <v>23413.54</v>
      </c>
      <c r="AB320" s="695">
        <f t="shared" si="108"/>
        <v>31562.66</v>
      </c>
      <c r="AC320" s="695">
        <f>ROUND(AC291+AC298+AC308+SUM(AC318:AC319),5)</f>
        <v>28009.360000000001</v>
      </c>
      <c r="AD320" s="695">
        <f>ROUND(AD291+AD298+AD308+SUM(AD318:AD319),5)</f>
        <v>21249.72</v>
      </c>
      <c r="AE320" s="749">
        <f t="shared" si="107"/>
        <v>0</v>
      </c>
      <c r="AF320" s="749">
        <f t="shared" si="107"/>
        <v>0</v>
      </c>
      <c r="AG320" s="749">
        <f t="shared" si="107"/>
        <v>0</v>
      </c>
      <c r="AH320" s="749">
        <f t="shared" si="107"/>
        <v>0</v>
      </c>
      <c r="AI320" s="749">
        <f t="shared" si="107"/>
        <v>0</v>
      </c>
      <c r="AJ320" s="749">
        <f t="shared" si="107"/>
        <v>0</v>
      </c>
      <c r="AK320" s="749">
        <f t="shared" si="107"/>
        <v>0</v>
      </c>
      <c r="AL320" s="749">
        <f t="shared" si="107"/>
        <v>0</v>
      </c>
      <c r="AM320" s="749">
        <f t="shared" si="107"/>
        <v>0</v>
      </c>
      <c r="AN320" s="749">
        <f t="shared" si="107"/>
        <v>0</v>
      </c>
      <c r="AO320" s="749">
        <f t="shared" si="107"/>
        <v>0</v>
      </c>
      <c r="AP320" s="749">
        <f t="shared" si="107"/>
        <v>0</v>
      </c>
      <c r="AQ320" s="749">
        <f t="shared" si="107"/>
        <v>0</v>
      </c>
      <c r="AR320" s="749">
        <f t="shared" si="107"/>
        <v>0</v>
      </c>
      <c r="AS320" s="749">
        <f t="shared" si="107"/>
        <v>0</v>
      </c>
      <c r="AT320" s="749">
        <f t="shared" si="107"/>
        <v>0</v>
      </c>
      <c r="AU320" s="749">
        <f t="shared" si="107"/>
        <v>0</v>
      </c>
      <c r="AV320" s="749">
        <f t="shared" si="107"/>
        <v>0</v>
      </c>
      <c r="AW320" s="749">
        <f t="shared" si="107"/>
        <v>0</v>
      </c>
      <c r="AX320" s="749">
        <f t="shared" si="107"/>
        <v>0</v>
      </c>
      <c r="AY320" s="749">
        <f t="shared" si="107"/>
        <v>0</v>
      </c>
      <c r="AZ320" s="749">
        <f t="shared" si="107"/>
        <v>0</v>
      </c>
      <c r="BA320" s="749">
        <f t="shared" si="107"/>
        <v>0</v>
      </c>
      <c r="BB320" s="749">
        <f t="shared" si="107"/>
        <v>0</v>
      </c>
      <c r="BC320" s="749">
        <f t="shared" si="107"/>
        <v>0</v>
      </c>
      <c r="BD320" s="749">
        <f t="shared" si="107"/>
        <v>0</v>
      </c>
      <c r="BE320" s="749">
        <f t="shared" si="107"/>
        <v>0</v>
      </c>
      <c r="BF320" s="749">
        <f t="shared" si="107"/>
        <v>0</v>
      </c>
      <c r="BG320" s="749">
        <f t="shared" si="107"/>
        <v>0</v>
      </c>
      <c r="BH320" s="749">
        <f t="shared" si="107"/>
        <v>0</v>
      </c>
      <c r="BI320" s="749">
        <f t="shared" si="107"/>
        <v>0</v>
      </c>
      <c r="BJ320" s="749">
        <f t="shared" si="107"/>
        <v>0</v>
      </c>
      <c r="BK320" s="749">
        <f t="shared" si="107"/>
        <v>0</v>
      </c>
      <c r="BL320" s="749">
        <f t="shared" si="107"/>
        <v>0</v>
      </c>
      <c r="BM320" s="749">
        <f t="shared" si="107"/>
        <v>0</v>
      </c>
      <c r="BN320" s="749">
        <f t="shared" si="107"/>
        <v>0</v>
      </c>
      <c r="BO320" s="749">
        <f t="shared" si="107"/>
        <v>0</v>
      </c>
      <c r="BP320" s="749">
        <f t="shared" ref="BP320:CA320" si="109">BP318+BP308</f>
        <v>0</v>
      </c>
      <c r="BQ320" s="749">
        <f t="shared" si="109"/>
        <v>0</v>
      </c>
      <c r="BR320" s="749">
        <f t="shared" si="109"/>
        <v>0</v>
      </c>
      <c r="BS320" s="749">
        <f t="shared" si="109"/>
        <v>0</v>
      </c>
      <c r="BT320" s="749">
        <f t="shared" si="109"/>
        <v>0</v>
      </c>
      <c r="BU320" s="749">
        <f t="shared" si="109"/>
        <v>0</v>
      </c>
      <c r="BV320" s="749">
        <f t="shared" si="109"/>
        <v>0</v>
      </c>
      <c r="BW320" s="749">
        <f t="shared" si="109"/>
        <v>0</v>
      </c>
      <c r="BX320" s="749">
        <f t="shared" si="109"/>
        <v>0</v>
      </c>
      <c r="BY320" s="749">
        <f t="shared" si="109"/>
        <v>0</v>
      </c>
      <c r="BZ320" s="749">
        <f t="shared" si="109"/>
        <v>0</v>
      </c>
      <c r="CA320" s="749">
        <f t="shared" si="109"/>
        <v>0</v>
      </c>
    </row>
    <row r="321" spans="1:79" s="309" customFormat="1" hidden="1" outlineLevel="1" x14ac:dyDescent="0.35">
      <c r="A321" s="575"/>
      <c r="B321" s="575"/>
      <c r="C321" s="575"/>
      <c r="D321" s="575"/>
      <c r="E321" s="575"/>
      <c r="F321" s="671" t="s">
        <v>912</v>
      </c>
      <c r="G321" s="735"/>
      <c r="H321" s="735"/>
      <c r="I321" s="735"/>
      <c r="J321" s="735"/>
      <c r="K321" s="735"/>
      <c r="L321" s="735"/>
      <c r="M321" s="735"/>
      <c r="N321" s="735"/>
      <c r="O321" s="735"/>
      <c r="P321" s="732"/>
      <c r="Q321" s="732"/>
      <c r="R321" s="732"/>
      <c r="S321" s="700">
        <v>0</v>
      </c>
      <c r="T321" s="700">
        <v>0</v>
      </c>
      <c r="U321" s="700">
        <v>0</v>
      </c>
      <c r="V321" s="700">
        <v>0</v>
      </c>
      <c r="W321" s="700">
        <v>0</v>
      </c>
      <c r="X321" s="700">
        <v>0</v>
      </c>
      <c r="Y321" s="700">
        <v>0</v>
      </c>
      <c r="Z321" s="700">
        <v>0</v>
      </c>
      <c r="AA321" s="700">
        <v>0</v>
      </c>
      <c r="AB321" s="700">
        <v>0</v>
      </c>
      <c r="AC321" s="700">
        <v>0</v>
      </c>
      <c r="AD321" s="700">
        <v>0</v>
      </c>
      <c r="AE321" s="734"/>
      <c r="AF321" s="734"/>
      <c r="AG321" s="734"/>
      <c r="AH321" s="734"/>
      <c r="AI321" s="734"/>
      <c r="AJ321" s="734"/>
      <c r="AK321" s="734"/>
      <c r="AL321" s="734"/>
      <c r="AM321" s="734"/>
      <c r="AN321" s="734"/>
      <c r="AO321" s="734"/>
      <c r="AP321" s="734"/>
      <c r="AQ321" s="734"/>
      <c r="AR321" s="734"/>
      <c r="AS321" s="734"/>
      <c r="AT321" s="734"/>
      <c r="AU321" s="734"/>
      <c r="AV321" s="734"/>
      <c r="AW321" s="734"/>
      <c r="AX321" s="734"/>
      <c r="AY321" s="734"/>
      <c r="AZ321" s="734"/>
      <c r="BA321" s="734"/>
      <c r="BB321" s="734"/>
      <c r="BC321" s="734"/>
      <c r="BD321" s="734"/>
      <c r="BE321" s="734"/>
      <c r="BF321" s="734"/>
      <c r="BG321" s="734"/>
      <c r="BH321" s="734"/>
      <c r="BI321" s="734"/>
      <c r="BJ321" s="734"/>
      <c r="BK321" s="734"/>
      <c r="BL321" s="734"/>
      <c r="BM321" s="734"/>
      <c r="BN321" s="734"/>
      <c r="BO321" s="734"/>
      <c r="BP321" s="734"/>
      <c r="BQ321" s="734"/>
      <c r="BR321" s="734"/>
      <c r="BS321" s="734"/>
      <c r="BT321" s="734"/>
      <c r="BU321" s="734"/>
      <c r="BV321" s="734"/>
      <c r="BW321" s="734"/>
      <c r="BX321" s="734"/>
      <c r="BY321" s="734"/>
      <c r="BZ321" s="734"/>
      <c r="CA321" s="734"/>
    </row>
    <row r="322" spans="1:79" s="452" customFormat="1" hidden="1" outlineLevel="1" x14ac:dyDescent="0.35">
      <c r="A322" s="754"/>
      <c r="B322" s="754"/>
      <c r="C322" s="754"/>
      <c r="D322" s="754"/>
      <c r="E322" s="754"/>
      <c r="F322" s="717" t="s">
        <v>606</v>
      </c>
      <c r="G322" s="750">
        <v>0</v>
      </c>
      <c r="H322" s="750"/>
      <c r="I322" s="750"/>
      <c r="J322" s="750"/>
      <c r="K322" s="750"/>
      <c r="L322" s="750"/>
      <c r="M322" s="750"/>
      <c r="N322" s="750"/>
      <c r="O322" s="750"/>
      <c r="P322" s="751"/>
      <c r="Q322" s="751"/>
      <c r="R322" s="751"/>
      <c r="S322" s="713"/>
      <c r="T322" s="713"/>
      <c r="U322" s="713"/>
      <c r="V322" s="713"/>
      <c r="W322" s="713"/>
      <c r="X322" s="713"/>
      <c r="Y322" s="713"/>
      <c r="Z322" s="713"/>
      <c r="AA322" s="713"/>
      <c r="AB322" s="713"/>
      <c r="AC322" s="713"/>
      <c r="AD322" s="713"/>
      <c r="AE322" s="753"/>
      <c r="AF322" s="753"/>
      <c r="AG322" s="753"/>
      <c r="AH322" s="753"/>
      <c r="AI322" s="753"/>
      <c r="AJ322" s="753"/>
      <c r="AK322" s="753"/>
      <c r="AL322" s="753"/>
      <c r="AM322" s="753"/>
      <c r="AN322" s="753"/>
      <c r="AO322" s="753"/>
      <c r="AP322" s="753"/>
      <c r="AQ322" s="753"/>
      <c r="AR322" s="753"/>
      <c r="AS322" s="753"/>
      <c r="AT322" s="753"/>
      <c r="AU322" s="753"/>
      <c r="AV322" s="753"/>
      <c r="AW322" s="753"/>
      <c r="AX322" s="753"/>
      <c r="AY322" s="753"/>
      <c r="AZ322" s="753"/>
      <c r="BA322" s="753"/>
      <c r="BB322" s="753"/>
      <c r="BC322" s="753"/>
      <c r="BD322" s="753"/>
      <c r="BE322" s="753"/>
      <c r="BF322" s="753"/>
      <c r="BG322" s="753"/>
      <c r="BH322" s="753"/>
      <c r="BI322" s="753"/>
      <c r="BJ322" s="753"/>
      <c r="BK322" s="753"/>
      <c r="BL322" s="753"/>
      <c r="BM322" s="753"/>
      <c r="BN322" s="753"/>
      <c r="BO322" s="753"/>
      <c r="BP322" s="753"/>
      <c r="BQ322" s="753"/>
      <c r="BR322" s="753"/>
      <c r="BS322" s="753"/>
      <c r="BT322" s="753"/>
      <c r="BU322" s="753"/>
      <c r="BV322" s="753"/>
      <c r="BW322" s="753"/>
      <c r="BX322" s="753"/>
      <c r="BY322" s="753"/>
      <c r="BZ322" s="753"/>
      <c r="CA322" s="753"/>
    </row>
    <row r="323" spans="1:79" s="452" customFormat="1" hidden="1" outlineLevel="1" x14ac:dyDescent="0.35">
      <c r="A323" s="580" t="s">
        <v>769</v>
      </c>
      <c r="B323" s="580"/>
      <c r="C323" s="580"/>
      <c r="D323" s="580"/>
      <c r="E323" s="580"/>
      <c r="F323" s="672" t="s">
        <v>645</v>
      </c>
      <c r="G323" s="735">
        <v>569.21875486742715</v>
      </c>
      <c r="H323" s="735">
        <v>299.6894541829131</v>
      </c>
      <c r="I323" s="735">
        <v>472.8667949986343</v>
      </c>
      <c r="J323" s="735">
        <v>206.21374853113554</v>
      </c>
      <c r="K323" s="735">
        <v>593.54894386408841</v>
      </c>
      <c r="L323" s="735">
        <v>456.84660060905867</v>
      </c>
      <c r="M323" s="735">
        <v>290.68688832351592</v>
      </c>
      <c r="N323" s="735">
        <v>424.07751869362011</v>
      </c>
      <c r="O323" s="735">
        <v>510.23701956196021</v>
      </c>
      <c r="P323" s="732">
        <v>269.1046602335631</v>
      </c>
      <c r="Q323" s="732">
        <v>356.694359158559</v>
      </c>
      <c r="R323" s="732">
        <v>1752.1407355535234</v>
      </c>
      <c r="S323" s="683">
        <v>2212.89</v>
      </c>
      <c r="T323" s="683">
        <v>1758.79</v>
      </c>
      <c r="U323" s="683">
        <v>1433.02</v>
      </c>
      <c r="V323" s="683">
        <v>1432.09</v>
      </c>
      <c r="W323" s="683">
        <v>1279.27</v>
      </c>
      <c r="X323" s="683">
        <v>428.69</v>
      </c>
      <c r="Y323" s="683">
        <v>1030.73</v>
      </c>
      <c r="Z323" s="683">
        <v>1086.21</v>
      </c>
      <c r="AA323" s="683">
        <v>1095.47</v>
      </c>
      <c r="AB323" s="683">
        <v>1105.07</v>
      </c>
      <c r="AC323" s="683">
        <v>0</v>
      </c>
      <c r="AD323" s="683">
        <v>0</v>
      </c>
      <c r="AE323" s="734"/>
      <c r="AF323" s="734"/>
      <c r="AG323" s="734"/>
      <c r="AH323" s="734"/>
      <c r="AI323" s="734"/>
      <c r="AJ323" s="734"/>
      <c r="AK323" s="734"/>
      <c r="AL323" s="734"/>
      <c r="AM323" s="734"/>
      <c r="AN323" s="734"/>
      <c r="AO323" s="734"/>
      <c r="AP323" s="734"/>
      <c r="AQ323" s="734"/>
      <c r="AR323" s="734"/>
      <c r="AS323" s="734"/>
      <c r="AT323" s="734"/>
      <c r="AU323" s="734"/>
      <c r="AV323" s="734"/>
      <c r="AW323" s="734"/>
      <c r="AX323" s="734"/>
      <c r="AY323" s="734"/>
      <c r="AZ323" s="734"/>
      <c r="BA323" s="734"/>
      <c r="BB323" s="734"/>
      <c r="BC323" s="734"/>
      <c r="BD323" s="734"/>
      <c r="BE323" s="734"/>
      <c r="BF323" s="734"/>
      <c r="BG323" s="734"/>
      <c r="BH323" s="734"/>
      <c r="BI323" s="734"/>
      <c r="BJ323" s="734"/>
      <c r="BK323" s="734"/>
      <c r="BL323" s="734"/>
      <c r="BM323" s="734"/>
      <c r="BN323" s="734"/>
      <c r="BO323" s="734"/>
      <c r="BP323" s="734"/>
      <c r="BQ323" s="734"/>
      <c r="BR323" s="734"/>
      <c r="BS323" s="734"/>
      <c r="BT323" s="734"/>
      <c r="BU323" s="734"/>
      <c r="BV323" s="734"/>
      <c r="BW323" s="734"/>
      <c r="BX323" s="734"/>
      <c r="BY323" s="734"/>
      <c r="BZ323" s="734"/>
      <c r="CA323" s="734"/>
    </row>
    <row r="324" spans="1:79" s="452" customFormat="1" hidden="1" outlineLevel="1" x14ac:dyDescent="0.35">
      <c r="A324" s="580"/>
      <c r="B324" s="580"/>
      <c r="C324" s="580"/>
      <c r="D324" s="580"/>
      <c r="E324" s="580"/>
      <c r="F324" s="672" t="s">
        <v>913</v>
      </c>
      <c r="G324" s="735"/>
      <c r="H324" s="735"/>
      <c r="I324" s="735"/>
      <c r="J324" s="735"/>
      <c r="K324" s="735"/>
      <c r="L324" s="735"/>
      <c r="M324" s="735"/>
      <c r="N324" s="735"/>
      <c r="O324" s="735"/>
      <c r="P324" s="732"/>
      <c r="Q324" s="732"/>
      <c r="R324" s="732"/>
      <c r="S324" s="692">
        <v>0</v>
      </c>
      <c r="T324" s="692">
        <v>0</v>
      </c>
      <c r="U324" s="692">
        <v>0</v>
      </c>
      <c r="V324" s="692">
        <v>0</v>
      </c>
      <c r="W324" s="692">
        <v>0</v>
      </c>
      <c r="X324" s="692">
        <v>0</v>
      </c>
      <c r="Y324" s="692">
        <v>0</v>
      </c>
      <c r="Z324" s="692">
        <v>0</v>
      </c>
      <c r="AA324" s="692">
        <v>0</v>
      </c>
      <c r="AB324" s="692">
        <v>0</v>
      </c>
      <c r="AC324" s="692">
        <v>0</v>
      </c>
      <c r="AD324" s="692">
        <v>0</v>
      </c>
      <c r="AE324" s="734"/>
      <c r="AF324" s="734"/>
      <c r="AG324" s="734"/>
      <c r="AH324" s="734"/>
      <c r="AI324" s="734"/>
      <c r="AJ324" s="734"/>
      <c r="AK324" s="734"/>
      <c r="AL324" s="734"/>
      <c r="AM324" s="734"/>
      <c r="AN324" s="734"/>
      <c r="AO324" s="734"/>
      <c r="AP324" s="734"/>
      <c r="AQ324" s="734"/>
      <c r="AR324" s="734"/>
      <c r="AS324" s="734"/>
      <c r="AT324" s="734"/>
      <c r="AU324" s="734"/>
      <c r="AV324" s="734"/>
      <c r="AW324" s="734"/>
      <c r="AX324" s="734"/>
      <c r="AY324" s="734"/>
      <c r="AZ324" s="734"/>
      <c r="BA324" s="734"/>
      <c r="BB324" s="734"/>
      <c r="BC324" s="734"/>
      <c r="BD324" s="734"/>
      <c r="BE324" s="734"/>
      <c r="BF324" s="734"/>
      <c r="BG324" s="734"/>
      <c r="BH324" s="734"/>
      <c r="BI324" s="734"/>
      <c r="BJ324" s="734"/>
      <c r="BK324" s="734"/>
      <c r="BL324" s="734"/>
      <c r="BM324" s="734"/>
      <c r="BN324" s="734"/>
      <c r="BO324" s="734"/>
      <c r="BP324" s="734"/>
      <c r="BQ324" s="734"/>
      <c r="BR324" s="734"/>
      <c r="BS324" s="734"/>
      <c r="BT324" s="734"/>
      <c r="BU324" s="734"/>
      <c r="BV324" s="734"/>
      <c r="BW324" s="734"/>
      <c r="BX324" s="734"/>
      <c r="BY324" s="734"/>
      <c r="BZ324" s="734"/>
      <c r="CA324" s="734"/>
    </row>
    <row r="325" spans="1:79" s="452" customFormat="1" hidden="1" outlineLevel="1" x14ac:dyDescent="0.35">
      <c r="A325" s="580"/>
      <c r="B325" s="580"/>
      <c r="C325" s="580"/>
      <c r="D325" s="580"/>
      <c r="E325" s="580"/>
      <c r="F325" s="672" t="s">
        <v>770</v>
      </c>
      <c r="G325" s="735"/>
      <c r="H325" s="735"/>
      <c r="I325" s="735"/>
      <c r="J325" s="735"/>
      <c r="K325" s="735"/>
      <c r="L325" s="735"/>
      <c r="M325" s="735"/>
      <c r="N325" s="735"/>
      <c r="O325" s="735"/>
      <c r="P325" s="732"/>
      <c r="Q325" s="732"/>
      <c r="R325" s="732"/>
      <c r="S325" s="692">
        <v>0</v>
      </c>
      <c r="T325" s="692">
        <v>0</v>
      </c>
      <c r="U325" s="692">
        <v>0</v>
      </c>
      <c r="V325" s="692">
        <v>0</v>
      </c>
      <c r="W325" s="692">
        <v>30</v>
      </c>
      <c r="X325" s="692">
        <v>20</v>
      </c>
      <c r="Y325" s="692">
        <v>20</v>
      </c>
      <c r="Z325" s="692">
        <v>20</v>
      </c>
      <c r="AA325" s="692">
        <v>20</v>
      </c>
      <c r="AB325" s="692">
        <v>20</v>
      </c>
      <c r="AC325" s="692">
        <v>20</v>
      </c>
      <c r="AD325" s="692">
        <v>0</v>
      </c>
      <c r="AE325" s="734"/>
      <c r="AF325" s="734"/>
      <c r="AG325" s="734"/>
      <c r="AH325" s="734"/>
      <c r="AI325" s="734"/>
      <c r="AJ325" s="734"/>
      <c r="AK325" s="734"/>
      <c r="AL325" s="734"/>
      <c r="AM325" s="734"/>
      <c r="AN325" s="734"/>
      <c r="AO325" s="734"/>
      <c r="AP325" s="734"/>
      <c r="AQ325" s="734"/>
      <c r="AR325" s="734"/>
      <c r="AS325" s="734"/>
      <c r="AT325" s="734"/>
      <c r="AU325" s="734"/>
      <c r="AV325" s="734"/>
      <c r="AW325" s="734"/>
      <c r="AX325" s="734"/>
      <c r="AY325" s="734"/>
      <c r="AZ325" s="734"/>
      <c r="BA325" s="734"/>
      <c r="BB325" s="734"/>
      <c r="BC325" s="734"/>
      <c r="BD325" s="734"/>
      <c r="BE325" s="734"/>
      <c r="BF325" s="734"/>
      <c r="BG325" s="734"/>
      <c r="BH325" s="734"/>
      <c r="BI325" s="734"/>
      <c r="BJ325" s="734"/>
      <c r="BK325" s="734"/>
      <c r="BL325" s="734"/>
      <c r="BM325" s="734"/>
      <c r="BN325" s="734"/>
      <c r="BO325" s="734"/>
      <c r="BP325" s="734"/>
      <c r="BQ325" s="734"/>
      <c r="BR325" s="734"/>
      <c r="BS325" s="734"/>
      <c r="BT325" s="734"/>
      <c r="BU325" s="734"/>
      <c r="BV325" s="734"/>
      <c r="BW325" s="734"/>
      <c r="BX325" s="734"/>
      <c r="BY325" s="734"/>
      <c r="BZ325" s="734"/>
      <c r="CA325" s="734"/>
    </row>
    <row r="326" spans="1:79" s="309" customFormat="1" hidden="1" outlineLevel="1" x14ac:dyDescent="0.35">
      <c r="A326" s="30"/>
      <c r="B326" s="30"/>
      <c r="C326" s="30"/>
      <c r="D326" s="30"/>
      <c r="E326" s="30"/>
      <c r="F326" s="678" t="s">
        <v>646</v>
      </c>
      <c r="G326" s="749">
        <f>SUM(G323:G325)</f>
        <v>569.21875486742715</v>
      </c>
      <c r="H326" s="749">
        <f t="shared" ref="H326:BO326" si="110">SUM(H323:H325)</f>
        <v>299.6894541829131</v>
      </c>
      <c r="I326" s="749">
        <f t="shared" si="110"/>
        <v>472.8667949986343</v>
      </c>
      <c r="J326" s="749">
        <f t="shared" si="110"/>
        <v>206.21374853113554</v>
      </c>
      <c r="K326" s="749">
        <f t="shared" si="110"/>
        <v>593.54894386408841</v>
      </c>
      <c r="L326" s="749">
        <f t="shared" si="110"/>
        <v>456.84660060905867</v>
      </c>
      <c r="M326" s="749">
        <f t="shared" si="110"/>
        <v>290.68688832351592</v>
      </c>
      <c r="N326" s="749">
        <f t="shared" si="110"/>
        <v>424.07751869362011</v>
      </c>
      <c r="O326" s="749">
        <f t="shared" si="110"/>
        <v>510.23701956196021</v>
      </c>
      <c r="P326" s="749">
        <f t="shared" si="110"/>
        <v>269.1046602335631</v>
      </c>
      <c r="Q326" s="749">
        <f t="shared" si="110"/>
        <v>356.694359158559</v>
      </c>
      <c r="R326" s="749">
        <f t="shared" si="110"/>
        <v>1752.1407355535234</v>
      </c>
      <c r="S326" s="694">
        <f t="shared" ref="S326:AA326" si="111">ROUND(SUM(S322:S325),5)</f>
        <v>2212.89</v>
      </c>
      <c r="T326" s="694">
        <f t="shared" si="111"/>
        <v>1758.79</v>
      </c>
      <c r="U326" s="694">
        <f t="shared" si="111"/>
        <v>1433.02</v>
      </c>
      <c r="V326" s="694">
        <f t="shared" si="111"/>
        <v>1432.09</v>
      </c>
      <c r="W326" s="694">
        <f t="shared" si="111"/>
        <v>1309.27</v>
      </c>
      <c r="X326" s="694">
        <f t="shared" si="111"/>
        <v>448.69</v>
      </c>
      <c r="Y326" s="694">
        <f t="shared" si="111"/>
        <v>1050.73</v>
      </c>
      <c r="Z326" s="694">
        <f t="shared" si="111"/>
        <v>1106.21</v>
      </c>
      <c r="AA326" s="694">
        <f t="shared" si="111"/>
        <v>1115.47</v>
      </c>
      <c r="AB326" s="694">
        <f>ROUND(SUM(AB322:AB325),5)</f>
        <v>1125.07</v>
      </c>
      <c r="AC326" s="694">
        <f>ROUND(SUM(AC322:AC325),5)</f>
        <v>20</v>
      </c>
      <c r="AD326" s="694">
        <f>ROUND(SUM(AD322:AD325),5)</f>
        <v>0</v>
      </c>
      <c r="AE326" s="749">
        <f t="shared" si="110"/>
        <v>0</v>
      </c>
      <c r="AF326" s="749">
        <f t="shared" si="110"/>
        <v>0</v>
      </c>
      <c r="AG326" s="749">
        <f t="shared" si="110"/>
        <v>0</v>
      </c>
      <c r="AH326" s="749">
        <f t="shared" si="110"/>
        <v>0</v>
      </c>
      <c r="AI326" s="749">
        <f t="shared" si="110"/>
        <v>0</v>
      </c>
      <c r="AJ326" s="749">
        <f t="shared" si="110"/>
        <v>0</v>
      </c>
      <c r="AK326" s="749">
        <f t="shared" si="110"/>
        <v>0</v>
      </c>
      <c r="AL326" s="749">
        <f t="shared" si="110"/>
        <v>0</v>
      </c>
      <c r="AM326" s="749">
        <f t="shared" si="110"/>
        <v>0</v>
      </c>
      <c r="AN326" s="749">
        <f t="shared" si="110"/>
        <v>0</v>
      </c>
      <c r="AO326" s="749">
        <f t="shared" si="110"/>
        <v>0</v>
      </c>
      <c r="AP326" s="749">
        <f t="shared" si="110"/>
        <v>0</v>
      </c>
      <c r="AQ326" s="749">
        <f t="shared" si="110"/>
        <v>0</v>
      </c>
      <c r="AR326" s="749">
        <f t="shared" si="110"/>
        <v>0</v>
      </c>
      <c r="AS326" s="749">
        <f t="shared" si="110"/>
        <v>0</v>
      </c>
      <c r="AT326" s="749">
        <f t="shared" si="110"/>
        <v>0</v>
      </c>
      <c r="AU326" s="749">
        <f t="shared" si="110"/>
        <v>0</v>
      </c>
      <c r="AV326" s="749">
        <f t="shared" si="110"/>
        <v>0</v>
      </c>
      <c r="AW326" s="749">
        <f t="shared" si="110"/>
        <v>0</v>
      </c>
      <c r="AX326" s="749">
        <f t="shared" si="110"/>
        <v>0</v>
      </c>
      <c r="AY326" s="749">
        <f t="shared" si="110"/>
        <v>0</v>
      </c>
      <c r="AZ326" s="749">
        <f t="shared" si="110"/>
        <v>0</v>
      </c>
      <c r="BA326" s="749">
        <f t="shared" si="110"/>
        <v>0</v>
      </c>
      <c r="BB326" s="749">
        <f t="shared" si="110"/>
        <v>0</v>
      </c>
      <c r="BC326" s="749">
        <f t="shared" si="110"/>
        <v>0</v>
      </c>
      <c r="BD326" s="749">
        <f t="shared" si="110"/>
        <v>0</v>
      </c>
      <c r="BE326" s="749">
        <f t="shared" si="110"/>
        <v>0</v>
      </c>
      <c r="BF326" s="749">
        <f t="shared" si="110"/>
        <v>0</v>
      </c>
      <c r="BG326" s="749">
        <f t="shared" si="110"/>
        <v>0</v>
      </c>
      <c r="BH326" s="749">
        <f t="shared" si="110"/>
        <v>0</v>
      </c>
      <c r="BI326" s="749">
        <f t="shared" si="110"/>
        <v>0</v>
      </c>
      <c r="BJ326" s="749">
        <f t="shared" si="110"/>
        <v>0</v>
      </c>
      <c r="BK326" s="749">
        <f t="shared" si="110"/>
        <v>0</v>
      </c>
      <c r="BL326" s="749">
        <f t="shared" si="110"/>
        <v>0</v>
      </c>
      <c r="BM326" s="749">
        <f t="shared" si="110"/>
        <v>0</v>
      </c>
      <c r="BN326" s="749">
        <f t="shared" si="110"/>
        <v>0</v>
      </c>
      <c r="BO326" s="749">
        <f t="shared" si="110"/>
        <v>0</v>
      </c>
      <c r="BP326" s="749">
        <f t="shared" ref="BP326:CA326" si="112">SUM(BP323:BP325)</f>
        <v>0</v>
      </c>
      <c r="BQ326" s="749">
        <f t="shared" si="112"/>
        <v>0</v>
      </c>
      <c r="BR326" s="749">
        <f t="shared" si="112"/>
        <v>0</v>
      </c>
      <c r="BS326" s="749">
        <f t="shared" si="112"/>
        <v>0</v>
      </c>
      <c r="BT326" s="749">
        <f t="shared" si="112"/>
        <v>0</v>
      </c>
      <c r="BU326" s="749">
        <f t="shared" si="112"/>
        <v>0</v>
      </c>
      <c r="BV326" s="749">
        <f t="shared" si="112"/>
        <v>0</v>
      </c>
      <c r="BW326" s="749">
        <f t="shared" si="112"/>
        <v>0</v>
      </c>
      <c r="BX326" s="749">
        <f t="shared" si="112"/>
        <v>0</v>
      </c>
      <c r="BY326" s="749">
        <f t="shared" si="112"/>
        <v>0</v>
      </c>
      <c r="BZ326" s="749">
        <f t="shared" si="112"/>
        <v>0</v>
      </c>
      <c r="CA326" s="749">
        <f t="shared" si="112"/>
        <v>0</v>
      </c>
    </row>
    <row r="327" spans="1:79" s="309" customFormat="1" hidden="1" outlineLevel="1" x14ac:dyDescent="0.35">
      <c r="A327" s="30"/>
      <c r="B327" s="30"/>
      <c r="C327" s="30"/>
      <c r="D327" s="30"/>
      <c r="E327" s="30"/>
      <c r="F327" s="674" t="s">
        <v>607</v>
      </c>
      <c r="G327" s="735"/>
      <c r="H327" s="735">
        <v>27.853364331645288</v>
      </c>
      <c r="I327" s="735">
        <v>32.955014485876831</v>
      </c>
      <c r="J327" s="735">
        <v>26.87235485968673</v>
      </c>
      <c r="K327" s="735">
        <v>53.058703717022155</v>
      </c>
      <c r="L327" s="735"/>
      <c r="M327" s="735">
        <v>3.2405517360477294</v>
      </c>
      <c r="N327" s="735"/>
      <c r="O327" s="735"/>
      <c r="P327" s="732">
        <v>0.80061938779810637</v>
      </c>
      <c r="Q327" s="732"/>
      <c r="R327" s="732"/>
      <c r="S327" s="683">
        <v>0</v>
      </c>
      <c r="T327" s="683">
        <v>0</v>
      </c>
      <c r="U327" s="683">
        <v>0</v>
      </c>
      <c r="V327" s="683">
        <v>0</v>
      </c>
      <c r="W327" s="683">
        <v>0</v>
      </c>
      <c r="X327" s="683">
        <v>0</v>
      </c>
      <c r="Y327" s="683">
        <v>0</v>
      </c>
      <c r="Z327" s="683">
        <v>0</v>
      </c>
      <c r="AA327" s="683">
        <v>0</v>
      </c>
      <c r="AB327" s="683">
        <v>0</v>
      </c>
      <c r="AC327" s="683">
        <v>0</v>
      </c>
      <c r="AD327" s="683">
        <v>0</v>
      </c>
      <c r="AE327" s="734"/>
      <c r="AF327" s="734"/>
      <c r="AG327" s="734"/>
      <c r="AH327" s="734"/>
      <c r="AI327" s="734"/>
      <c r="AJ327" s="734"/>
      <c r="AK327" s="734"/>
      <c r="AL327" s="734"/>
      <c r="AM327" s="734"/>
      <c r="AN327" s="734"/>
      <c r="AO327" s="734"/>
      <c r="AP327" s="734"/>
      <c r="AQ327" s="734"/>
      <c r="AR327" s="734"/>
      <c r="AS327" s="734"/>
      <c r="AT327" s="734"/>
      <c r="AU327" s="734"/>
      <c r="AV327" s="734"/>
      <c r="AW327" s="734"/>
      <c r="AX327" s="734"/>
      <c r="AY327" s="734"/>
      <c r="AZ327" s="734"/>
      <c r="BA327" s="734"/>
      <c r="BB327" s="734"/>
      <c r="BC327" s="734"/>
      <c r="BD327" s="734"/>
      <c r="BE327" s="734"/>
      <c r="BF327" s="734"/>
      <c r="BG327" s="734"/>
      <c r="BH327" s="734"/>
      <c r="BI327" s="734"/>
      <c r="BJ327" s="734"/>
      <c r="BK327" s="734"/>
      <c r="BL327" s="734"/>
      <c r="BM327" s="734"/>
      <c r="BN327" s="734"/>
      <c r="BO327" s="734"/>
      <c r="BP327" s="734"/>
      <c r="BQ327" s="734"/>
      <c r="BR327" s="734"/>
      <c r="BS327" s="734"/>
      <c r="BT327" s="734"/>
      <c r="BU327" s="734"/>
      <c r="BV327" s="734"/>
      <c r="BW327" s="734"/>
      <c r="BX327" s="734"/>
      <c r="BY327" s="734"/>
      <c r="BZ327" s="734"/>
      <c r="CA327" s="734"/>
    </row>
    <row r="328" spans="1:79" s="309" customFormat="1" hidden="1" outlineLevel="1" x14ac:dyDescent="0.35">
      <c r="A328" s="30"/>
      <c r="B328" s="30"/>
      <c r="C328" s="30"/>
      <c r="D328" s="30"/>
      <c r="E328" s="30"/>
      <c r="F328" s="674" t="s">
        <v>608</v>
      </c>
      <c r="G328" s="735">
        <v>190.18409366099317</v>
      </c>
      <c r="H328" s="735">
        <v>27.977643971180427</v>
      </c>
      <c r="I328" s="735">
        <v>20.176539481149078</v>
      </c>
      <c r="J328" s="735">
        <v>2112.3686346328245</v>
      </c>
      <c r="K328" s="735">
        <v>108.15812680777593</v>
      </c>
      <c r="L328" s="735">
        <v>1171.4825727620744</v>
      </c>
      <c r="M328" s="735">
        <v>777.7291760997191</v>
      </c>
      <c r="N328" s="735">
        <v>1177.9349916640031</v>
      </c>
      <c r="O328" s="735">
        <v>5.6453311860810507</v>
      </c>
      <c r="P328" s="732">
        <v>491.51556939232478</v>
      </c>
      <c r="Q328" s="732"/>
      <c r="R328" s="732"/>
      <c r="S328" s="683">
        <v>0</v>
      </c>
      <c r="T328" s="683">
        <v>0</v>
      </c>
      <c r="U328" s="683">
        <v>0</v>
      </c>
      <c r="V328" s="683">
        <v>0</v>
      </c>
      <c r="W328" s="683">
        <v>1500</v>
      </c>
      <c r="X328" s="683">
        <v>1000</v>
      </c>
      <c r="Y328" s="683">
        <v>0</v>
      </c>
      <c r="Z328" s="683">
        <v>25</v>
      </c>
      <c r="AA328" s="683">
        <v>1100</v>
      </c>
      <c r="AB328" s="683">
        <v>0</v>
      </c>
      <c r="AC328" s="683">
        <v>0</v>
      </c>
      <c r="AD328" s="683">
        <v>1059</v>
      </c>
      <c r="AE328" s="734"/>
      <c r="AF328" s="734"/>
      <c r="AG328" s="734"/>
      <c r="AH328" s="734"/>
      <c r="AI328" s="734"/>
      <c r="AJ328" s="734"/>
      <c r="AK328" s="734"/>
      <c r="AL328" s="734"/>
      <c r="AM328" s="734"/>
      <c r="AN328" s="734"/>
      <c r="AO328" s="734"/>
      <c r="AP328" s="734"/>
      <c r="AQ328" s="734"/>
      <c r="AR328" s="734"/>
      <c r="AS328" s="734"/>
      <c r="AT328" s="734"/>
      <c r="AU328" s="734"/>
      <c r="AV328" s="734"/>
      <c r="AW328" s="734"/>
      <c r="AX328" s="734"/>
      <c r="AY328" s="734"/>
      <c r="AZ328" s="734"/>
      <c r="BA328" s="734"/>
      <c r="BB328" s="734"/>
      <c r="BC328" s="734"/>
      <c r="BD328" s="734"/>
      <c r="BE328" s="734"/>
      <c r="BF328" s="734"/>
      <c r="BG328" s="734"/>
      <c r="BH328" s="734"/>
      <c r="BI328" s="734"/>
      <c r="BJ328" s="734"/>
      <c r="BK328" s="734"/>
      <c r="BL328" s="734"/>
      <c r="BM328" s="734"/>
      <c r="BN328" s="734"/>
      <c r="BO328" s="734"/>
      <c r="BP328" s="734"/>
      <c r="BQ328" s="734"/>
      <c r="BR328" s="734"/>
      <c r="BS328" s="734"/>
      <c r="BT328" s="734"/>
      <c r="BU328" s="734"/>
      <c r="BV328" s="734"/>
      <c r="BW328" s="734"/>
      <c r="BX328" s="734"/>
      <c r="BY328" s="734"/>
      <c r="BZ328" s="734"/>
      <c r="CA328" s="734"/>
    </row>
    <row r="329" spans="1:79" s="309" customFormat="1" hidden="1" outlineLevel="1" x14ac:dyDescent="0.35">
      <c r="A329" s="726"/>
      <c r="B329" s="726"/>
      <c r="C329" s="726"/>
      <c r="D329" s="726"/>
      <c r="E329" s="726"/>
      <c r="F329" s="717" t="s">
        <v>656</v>
      </c>
      <c r="G329" s="750"/>
      <c r="H329" s="750"/>
      <c r="I329" s="750"/>
      <c r="J329" s="750"/>
      <c r="K329" s="750"/>
      <c r="L329" s="750"/>
      <c r="M329" s="750"/>
      <c r="N329" s="750"/>
      <c r="O329" s="750"/>
      <c r="P329" s="751"/>
      <c r="Q329" s="751"/>
      <c r="R329" s="751"/>
      <c r="S329" s="720"/>
      <c r="T329" s="720"/>
      <c r="U329" s="720"/>
      <c r="V329" s="720"/>
      <c r="W329" s="720"/>
      <c r="X329" s="720"/>
      <c r="Y329" s="720"/>
      <c r="Z329" s="720"/>
      <c r="AA329" s="720"/>
      <c r="AB329" s="720"/>
      <c r="AC329" s="720"/>
      <c r="AD329" s="720"/>
      <c r="AE329" s="753"/>
      <c r="AF329" s="753"/>
      <c r="AG329" s="753"/>
      <c r="AH329" s="753"/>
      <c r="AI329" s="753"/>
      <c r="AJ329" s="753"/>
      <c r="AK329" s="753"/>
      <c r="AL329" s="753"/>
      <c r="AM329" s="753"/>
      <c r="AN329" s="753"/>
      <c r="AO329" s="753"/>
      <c r="AP329" s="753"/>
      <c r="AQ329" s="753"/>
      <c r="AR329" s="753"/>
      <c r="AS329" s="753"/>
      <c r="AT329" s="753"/>
      <c r="AU329" s="753"/>
      <c r="AV329" s="753"/>
      <c r="AW329" s="753"/>
      <c r="AX329" s="753"/>
      <c r="AY329" s="753"/>
      <c r="AZ329" s="753"/>
      <c r="BA329" s="753"/>
      <c r="BB329" s="753"/>
      <c r="BC329" s="753"/>
      <c r="BD329" s="753"/>
      <c r="BE329" s="753"/>
      <c r="BF329" s="753"/>
      <c r="BG329" s="753"/>
      <c r="BH329" s="753"/>
      <c r="BI329" s="753"/>
      <c r="BJ329" s="753"/>
      <c r="BK329" s="753"/>
      <c r="BL329" s="753"/>
      <c r="BM329" s="753"/>
      <c r="BN329" s="753"/>
      <c r="BO329" s="753"/>
      <c r="BP329" s="753"/>
      <c r="BQ329" s="753"/>
      <c r="BR329" s="753"/>
      <c r="BS329" s="753"/>
      <c r="BT329" s="753"/>
      <c r="BU329" s="753"/>
      <c r="BV329" s="753"/>
      <c r="BW329" s="753"/>
      <c r="BX329" s="753"/>
      <c r="BY329" s="753"/>
      <c r="BZ329" s="753"/>
      <c r="CA329" s="753"/>
    </row>
    <row r="330" spans="1:79" s="309" customFormat="1" hidden="1" outlineLevel="1" x14ac:dyDescent="0.35">
      <c r="A330" s="575"/>
      <c r="B330" s="575"/>
      <c r="C330" s="575"/>
      <c r="D330" s="575"/>
      <c r="E330" s="575"/>
      <c r="F330" s="672" t="s">
        <v>657</v>
      </c>
      <c r="G330" s="735"/>
      <c r="H330" s="735"/>
      <c r="I330" s="735"/>
      <c r="J330" s="735"/>
      <c r="K330" s="735"/>
      <c r="L330" s="735"/>
      <c r="M330" s="735"/>
      <c r="N330" s="735"/>
      <c r="O330" s="735"/>
      <c r="P330" s="732"/>
      <c r="Q330" s="732"/>
      <c r="R330" s="732"/>
      <c r="S330" s="683">
        <v>0</v>
      </c>
      <c r="T330" s="683">
        <v>0</v>
      </c>
      <c r="U330" s="683">
        <v>0</v>
      </c>
      <c r="V330" s="683">
        <v>0</v>
      </c>
      <c r="W330" s="683">
        <v>0</v>
      </c>
      <c r="X330" s="683">
        <v>0</v>
      </c>
      <c r="Y330" s="683">
        <v>0</v>
      </c>
      <c r="Z330" s="683">
        <v>0</v>
      </c>
      <c r="AA330" s="683">
        <v>0</v>
      </c>
      <c r="AB330" s="683">
        <v>0</v>
      </c>
      <c r="AC330" s="683">
        <v>0</v>
      </c>
      <c r="AD330" s="683">
        <v>0</v>
      </c>
      <c r="AE330" s="734"/>
      <c r="AF330" s="734"/>
      <c r="AG330" s="734"/>
      <c r="AH330" s="734"/>
      <c r="AI330" s="734"/>
      <c r="AJ330" s="734"/>
      <c r="AK330" s="734"/>
      <c r="AL330" s="734"/>
      <c r="AM330" s="734"/>
      <c r="AN330" s="734"/>
      <c r="AO330" s="734"/>
      <c r="AP330" s="734"/>
      <c r="AQ330" s="734"/>
      <c r="AR330" s="734"/>
      <c r="AS330" s="734"/>
      <c r="AT330" s="734"/>
      <c r="AU330" s="734"/>
      <c r="AV330" s="734"/>
      <c r="AW330" s="734"/>
      <c r="AX330" s="734"/>
      <c r="AY330" s="734"/>
      <c r="AZ330" s="734"/>
      <c r="BA330" s="734"/>
      <c r="BB330" s="734"/>
      <c r="BC330" s="734"/>
      <c r="BD330" s="734"/>
      <c r="BE330" s="734"/>
      <c r="BF330" s="734"/>
      <c r="BG330" s="734"/>
      <c r="BH330" s="734"/>
      <c r="BI330" s="734"/>
      <c r="BJ330" s="734"/>
      <c r="BK330" s="734"/>
      <c r="BL330" s="734"/>
      <c r="BM330" s="734"/>
      <c r="BN330" s="734"/>
      <c r="BO330" s="734"/>
      <c r="BP330" s="734"/>
      <c r="BQ330" s="734"/>
      <c r="BR330" s="734"/>
      <c r="BS330" s="734"/>
      <c r="BT330" s="734"/>
      <c r="BU330" s="734"/>
      <c r="BV330" s="734"/>
      <c r="BW330" s="734"/>
      <c r="BX330" s="734"/>
      <c r="BY330" s="734"/>
      <c r="BZ330" s="734"/>
      <c r="CA330" s="734"/>
    </row>
    <row r="331" spans="1:79" s="309" customFormat="1" hidden="1" outlineLevel="1" x14ac:dyDescent="0.35">
      <c r="A331" s="575"/>
      <c r="B331" s="575"/>
      <c r="C331" s="575"/>
      <c r="D331" s="575"/>
      <c r="E331" s="575"/>
      <c r="F331" s="672" t="s">
        <v>914</v>
      </c>
      <c r="G331" s="735"/>
      <c r="H331" s="735"/>
      <c r="I331" s="735"/>
      <c r="J331" s="735"/>
      <c r="K331" s="735"/>
      <c r="L331" s="735"/>
      <c r="M331" s="735"/>
      <c r="N331" s="735"/>
      <c r="O331" s="735"/>
      <c r="P331" s="732"/>
      <c r="Q331" s="732"/>
      <c r="R331" s="732"/>
      <c r="S331" s="683">
        <v>0</v>
      </c>
      <c r="T331" s="683">
        <v>0</v>
      </c>
      <c r="U331" s="683">
        <v>0</v>
      </c>
      <c r="V331" s="683">
        <v>0</v>
      </c>
      <c r="W331" s="683">
        <v>0</v>
      </c>
      <c r="X331" s="683">
        <v>0</v>
      </c>
      <c r="Y331" s="683">
        <v>0</v>
      </c>
      <c r="Z331" s="683">
        <v>0</v>
      </c>
      <c r="AA331" s="683">
        <v>0</v>
      </c>
      <c r="AB331" s="683">
        <v>0</v>
      </c>
      <c r="AC331" s="683">
        <v>0</v>
      </c>
      <c r="AD331" s="683">
        <v>0</v>
      </c>
      <c r="AE331" s="734"/>
      <c r="AF331" s="734"/>
      <c r="AG331" s="734"/>
      <c r="AH331" s="734"/>
      <c r="AI331" s="734"/>
      <c r="AJ331" s="734"/>
      <c r="AK331" s="734"/>
      <c r="AL331" s="734"/>
      <c r="AM331" s="734"/>
      <c r="AN331" s="734"/>
      <c r="AO331" s="734"/>
      <c r="AP331" s="734"/>
      <c r="AQ331" s="734"/>
      <c r="AR331" s="734"/>
      <c r="AS331" s="734"/>
      <c r="AT331" s="734"/>
      <c r="AU331" s="734"/>
      <c r="AV331" s="734"/>
      <c r="AW331" s="734"/>
      <c r="AX331" s="734"/>
      <c r="AY331" s="734"/>
      <c r="AZ331" s="734"/>
      <c r="BA331" s="734"/>
      <c r="BB331" s="734"/>
      <c r="BC331" s="734"/>
      <c r="BD331" s="734"/>
      <c r="BE331" s="734"/>
      <c r="BF331" s="734"/>
      <c r="BG331" s="734"/>
      <c r="BH331" s="734"/>
      <c r="BI331" s="734"/>
      <c r="BJ331" s="734"/>
      <c r="BK331" s="734"/>
      <c r="BL331" s="734"/>
      <c r="BM331" s="734"/>
      <c r="BN331" s="734"/>
      <c r="BO331" s="734"/>
      <c r="BP331" s="734"/>
      <c r="BQ331" s="734"/>
      <c r="BR331" s="734"/>
      <c r="BS331" s="734"/>
      <c r="BT331" s="734"/>
      <c r="BU331" s="734"/>
      <c r="BV331" s="734"/>
      <c r="BW331" s="734"/>
      <c r="BX331" s="734"/>
      <c r="BY331" s="734"/>
      <c r="BZ331" s="734"/>
      <c r="CA331" s="734"/>
    </row>
    <row r="332" spans="1:79" s="309" customFormat="1" hidden="1" outlineLevel="1" x14ac:dyDescent="0.35">
      <c r="A332" s="575"/>
      <c r="B332" s="575"/>
      <c r="C332" s="575"/>
      <c r="D332" s="575"/>
      <c r="E332" s="575"/>
      <c r="F332" s="672" t="s">
        <v>915</v>
      </c>
      <c r="G332" s="735"/>
      <c r="H332" s="735"/>
      <c r="I332" s="735"/>
      <c r="J332" s="735"/>
      <c r="K332" s="735"/>
      <c r="L332" s="735"/>
      <c r="M332" s="735"/>
      <c r="N332" s="735"/>
      <c r="O332" s="735"/>
      <c r="P332" s="732"/>
      <c r="Q332" s="732"/>
      <c r="R332" s="732"/>
      <c r="S332" s="683">
        <v>0</v>
      </c>
      <c r="T332" s="683">
        <v>0</v>
      </c>
      <c r="U332" s="683">
        <v>0</v>
      </c>
      <c r="V332" s="683">
        <v>0</v>
      </c>
      <c r="W332" s="683">
        <v>0</v>
      </c>
      <c r="X332" s="683">
        <v>0</v>
      </c>
      <c r="Y332" s="683">
        <v>0</v>
      </c>
      <c r="Z332" s="683">
        <v>0</v>
      </c>
      <c r="AA332" s="683">
        <v>0</v>
      </c>
      <c r="AB332" s="683">
        <v>0</v>
      </c>
      <c r="AC332" s="683">
        <v>0</v>
      </c>
      <c r="AD332" s="683">
        <v>0</v>
      </c>
      <c r="AE332" s="734"/>
      <c r="AF332" s="734"/>
      <c r="AG332" s="734"/>
      <c r="AH332" s="734"/>
      <c r="AI332" s="734"/>
      <c r="AJ332" s="734"/>
      <c r="AK332" s="734"/>
      <c r="AL332" s="734"/>
      <c r="AM332" s="734"/>
      <c r="AN332" s="734"/>
      <c r="AO332" s="734"/>
      <c r="AP332" s="734"/>
      <c r="AQ332" s="734"/>
      <c r="AR332" s="734"/>
      <c r="AS332" s="734"/>
      <c r="AT332" s="734"/>
      <c r="AU332" s="734"/>
      <c r="AV332" s="734"/>
      <c r="AW332" s="734"/>
      <c r="AX332" s="734"/>
      <c r="AY332" s="734"/>
      <c r="AZ332" s="734"/>
      <c r="BA332" s="734"/>
      <c r="BB332" s="734"/>
      <c r="BC332" s="734"/>
      <c r="BD332" s="734"/>
      <c r="BE332" s="734"/>
      <c r="BF332" s="734"/>
      <c r="BG332" s="734"/>
      <c r="BH332" s="734"/>
      <c r="BI332" s="734"/>
      <c r="BJ332" s="734"/>
      <c r="BK332" s="734"/>
      <c r="BL332" s="734"/>
      <c r="BM332" s="734"/>
      <c r="BN332" s="734"/>
      <c r="BO332" s="734"/>
      <c r="BP332" s="734"/>
      <c r="BQ332" s="734"/>
      <c r="BR332" s="734"/>
      <c r="BS332" s="734"/>
      <c r="BT332" s="734"/>
      <c r="BU332" s="734"/>
      <c r="BV332" s="734"/>
      <c r="BW332" s="734"/>
      <c r="BX332" s="734"/>
      <c r="BY332" s="734"/>
      <c r="BZ332" s="734"/>
      <c r="CA332" s="734"/>
    </row>
    <row r="333" spans="1:79" s="309" customFormat="1" hidden="1" outlineLevel="1" x14ac:dyDescent="0.35">
      <c r="A333" s="30"/>
      <c r="B333" s="30"/>
      <c r="C333" s="30"/>
      <c r="D333" s="30"/>
      <c r="E333" s="30"/>
      <c r="F333" s="672" t="s">
        <v>658</v>
      </c>
      <c r="G333" s="735"/>
      <c r="H333" s="735"/>
      <c r="I333" s="735"/>
      <c r="J333" s="735">
        <v>255.28737116702393</v>
      </c>
      <c r="K333" s="735"/>
      <c r="L333" s="735">
        <v>317.28425280083206</v>
      </c>
      <c r="M333" s="735"/>
      <c r="N333" s="735"/>
      <c r="O333" s="735"/>
      <c r="P333" s="732"/>
      <c r="Q333" s="732"/>
      <c r="R333" s="732">
        <v>163.35530256873096</v>
      </c>
      <c r="S333" s="683">
        <v>0</v>
      </c>
      <c r="T333" s="683">
        <v>0</v>
      </c>
      <c r="U333" s="683">
        <v>0</v>
      </c>
      <c r="V333" s="683">
        <v>0</v>
      </c>
      <c r="W333" s="683">
        <v>0</v>
      </c>
      <c r="X333" s="683">
        <v>0</v>
      </c>
      <c r="Y333" s="683">
        <v>0</v>
      </c>
      <c r="Z333" s="683">
        <v>0</v>
      </c>
      <c r="AA333" s="683">
        <v>0</v>
      </c>
      <c r="AB333" s="683">
        <v>0</v>
      </c>
      <c r="AC333" s="683">
        <v>0</v>
      </c>
      <c r="AD333" s="683">
        <v>0</v>
      </c>
      <c r="AE333" s="734"/>
      <c r="AF333" s="734"/>
      <c r="AG333" s="734"/>
      <c r="AH333" s="734"/>
      <c r="AI333" s="734"/>
      <c r="AJ333" s="734"/>
      <c r="AK333" s="734"/>
      <c r="AL333" s="734"/>
      <c r="AM333" s="734"/>
      <c r="AN333" s="734"/>
      <c r="AO333" s="734"/>
      <c r="AP333" s="734"/>
      <c r="AQ333" s="734"/>
      <c r="AR333" s="734"/>
      <c r="AS333" s="734"/>
      <c r="AT333" s="734"/>
      <c r="AU333" s="734"/>
      <c r="AV333" s="734"/>
      <c r="AW333" s="734"/>
      <c r="AX333" s="734"/>
      <c r="AY333" s="734"/>
      <c r="AZ333" s="734"/>
      <c r="BA333" s="734"/>
      <c r="BB333" s="734"/>
      <c r="BC333" s="734"/>
      <c r="BD333" s="734"/>
      <c r="BE333" s="734"/>
      <c r="BF333" s="734"/>
      <c r="BG333" s="734"/>
      <c r="BH333" s="734"/>
      <c r="BI333" s="734"/>
      <c r="BJ333" s="734"/>
      <c r="BK333" s="734"/>
      <c r="BL333" s="734"/>
      <c r="BM333" s="734"/>
      <c r="BN333" s="734"/>
      <c r="BO333" s="734"/>
      <c r="BP333" s="734"/>
      <c r="BQ333" s="734"/>
      <c r="BR333" s="734"/>
      <c r="BS333" s="734"/>
      <c r="BT333" s="734"/>
      <c r="BU333" s="734"/>
      <c r="BV333" s="734"/>
      <c r="BW333" s="734"/>
      <c r="BX333" s="734"/>
      <c r="BY333" s="734"/>
      <c r="BZ333" s="734"/>
      <c r="CA333" s="734"/>
    </row>
    <row r="334" spans="1:79" s="309" customFormat="1" hidden="1" outlineLevel="1" x14ac:dyDescent="0.35">
      <c r="A334" s="30"/>
      <c r="B334" s="30"/>
      <c r="C334" s="30"/>
      <c r="D334" s="30"/>
      <c r="E334" s="30"/>
      <c r="F334" s="672" t="s">
        <v>916</v>
      </c>
      <c r="G334" s="735"/>
      <c r="H334" s="735"/>
      <c r="I334" s="735">
        <v>-594.13183258823653</v>
      </c>
      <c r="J334" s="735"/>
      <c r="K334" s="735"/>
      <c r="L334" s="735"/>
      <c r="M334" s="735"/>
      <c r="N334" s="735"/>
      <c r="O334" s="735"/>
      <c r="P334" s="732"/>
      <c r="Q334" s="732"/>
      <c r="R334" s="732"/>
      <c r="S334" s="683">
        <v>0</v>
      </c>
      <c r="T334" s="683">
        <v>0</v>
      </c>
      <c r="U334" s="683">
        <v>0</v>
      </c>
      <c r="V334" s="683">
        <v>0</v>
      </c>
      <c r="W334" s="683">
        <v>0</v>
      </c>
      <c r="X334" s="683">
        <v>0</v>
      </c>
      <c r="Y334" s="683">
        <v>0</v>
      </c>
      <c r="Z334" s="683">
        <v>0</v>
      </c>
      <c r="AA334" s="683">
        <v>0</v>
      </c>
      <c r="AB334" s="683">
        <v>0</v>
      </c>
      <c r="AC334" s="683">
        <v>0</v>
      </c>
      <c r="AD334" s="683">
        <v>0</v>
      </c>
      <c r="AE334" s="734"/>
      <c r="AF334" s="734"/>
      <c r="AG334" s="734"/>
      <c r="AH334" s="734"/>
      <c r="AI334" s="734"/>
      <c r="AJ334" s="734"/>
      <c r="AK334" s="734"/>
      <c r="AL334" s="734"/>
      <c r="AM334" s="734"/>
      <c r="AN334" s="734"/>
      <c r="AO334" s="734"/>
      <c r="AP334" s="734"/>
      <c r="AQ334" s="734"/>
      <c r="AR334" s="734"/>
      <c r="AS334" s="734"/>
      <c r="AT334" s="734"/>
      <c r="AU334" s="734"/>
      <c r="AV334" s="734"/>
      <c r="AW334" s="734"/>
      <c r="AX334" s="734"/>
      <c r="AY334" s="734"/>
      <c r="AZ334" s="734"/>
      <c r="BA334" s="734"/>
      <c r="BB334" s="734"/>
      <c r="BC334" s="734"/>
      <c r="BD334" s="734"/>
      <c r="BE334" s="734"/>
      <c r="BF334" s="734"/>
      <c r="BG334" s="734"/>
      <c r="BH334" s="734"/>
      <c r="BI334" s="734"/>
      <c r="BJ334" s="734"/>
      <c r="BK334" s="734"/>
      <c r="BL334" s="734"/>
      <c r="BM334" s="734"/>
      <c r="BN334" s="734"/>
      <c r="BO334" s="734"/>
      <c r="BP334" s="734"/>
      <c r="BQ334" s="734"/>
      <c r="BR334" s="734"/>
      <c r="BS334" s="734"/>
      <c r="BT334" s="734"/>
      <c r="BU334" s="734"/>
      <c r="BV334" s="734"/>
      <c r="BW334" s="734"/>
      <c r="BX334" s="734"/>
      <c r="BY334" s="734"/>
      <c r="BZ334" s="734"/>
      <c r="CA334" s="734"/>
    </row>
    <row r="335" spans="1:79" s="309" customFormat="1" hidden="1" outlineLevel="1" x14ac:dyDescent="0.35">
      <c r="A335" s="575"/>
      <c r="B335" s="575"/>
      <c r="C335" s="575"/>
      <c r="D335" s="575"/>
      <c r="E335" s="575"/>
      <c r="F335" s="672" t="s">
        <v>917</v>
      </c>
      <c r="G335" s="735"/>
      <c r="H335" s="735"/>
      <c r="I335" s="735"/>
      <c r="J335" s="735"/>
      <c r="K335" s="735"/>
      <c r="L335" s="735"/>
      <c r="M335" s="735"/>
      <c r="N335" s="735"/>
      <c r="O335" s="735"/>
      <c r="P335" s="732"/>
      <c r="Q335" s="732"/>
      <c r="R335" s="732"/>
      <c r="S335" s="683">
        <v>0</v>
      </c>
      <c r="T335" s="683">
        <v>0</v>
      </c>
      <c r="U335" s="683">
        <v>0</v>
      </c>
      <c r="V335" s="683">
        <v>0</v>
      </c>
      <c r="W335" s="683">
        <v>0</v>
      </c>
      <c r="X335" s="683">
        <v>0</v>
      </c>
      <c r="Y335" s="683">
        <v>0</v>
      </c>
      <c r="Z335" s="683">
        <v>0</v>
      </c>
      <c r="AA335" s="683">
        <v>0</v>
      </c>
      <c r="AB335" s="683">
        <v>0</v>
      </c>
      <c r="AC335" s="683">
        <v>0</v>
      </c>
      <c r="AD335" s="683">
        <v>0</v>
      </c>
      <c r="AE335" s="734"/>
      <c r="AF335" s="734"/>
      <c r="AG335" s="734"/>
      <c r="AH335" s="734"/>
      <c r="AI335" s="734"/>
      <c r="AJ335" s="734"/>
      <c r="AK335" s="734"/>
      <c r="AL335" s="734"/>
      <c r="AM335" s="734"/>
      <c r="AN335" s="734"/>
      <c r="AO335" s="734"/>
      <c r="AP335" s="734"/>
      <c r="AQ335" s="734"/>
      <c r="AR335" s="734"/>
      <c r="AS335" s="734"/>
      <c r="AT335" s="734"/>
      <c r="AU335" s="734"/>
      <c r="AV335" s="734"/>
      <c r="AW335" s="734"/>
      <c r="AX335" s="734"/>
      <c r="AY335" s="734"/>
      <c r="AZ335" s="734"/>
      <c r="BA335" s="734"/>
      <c r="BB335" s="734"/>
      <c r="BC335" s="734"/>
      <c r="BD335" s="734"/>
      <c r="BE335" s="734"/>
      <c r="BF335" s="734"/>
      <c r="BG335" s="734"/>
      <c r="BH335" s="734"/>
      <c r="BI335" s="734"/>
      <c r="BJ335" s="734"/>
      <c r="BK335" s="734"/>
      <c r="BL335" s="734"/>
      <c r="BM335" s="734"/>
      <c r="BN335" s="734"/>
      <c r="BO335" s="734"/>
      <c r="BP335" s="734"/>
      <c r="BQ335" s="734"/>
      <c r="BR335" s="734"/>
      <c r="BS335" s="734"/>
      <c r="BT335" s="734"/>
      <c r="BU335" s="734"/>
      <c r="BV335" s="734"/>
      <c r="BW335" s="734"/>
      <c r="BX335" s="734"/>
      <c r="BY335" s="734"/>
      <c r="BZ335" s="734"/>
      <c r="CA335" s="734"/>
    </row>
    <row r="336" spans="1:79" s="309" customFormat="1" hidden="1" outlineLevel="1" x14ac:dyDescent="0.35">
      <c r="A336" s="575"/>
      <c r="B336" s="575"/>
      <c r="C336" s="575"/>
      <c r="D336" s="575"/>
      <c r="E336" s="575"/>
      <c r="F336" s="672" t="s">
        <v>918</v>
      </c>
      <c r="G336" s="735"/>
      <c r="H336" s="735"/>
      <c r="I336" s="735"/>
      <c r="J336" s="735"/>
      <c r="K336" s="735"/>
      <c r="L336" s="735"/>
      <c r="M336" s="735"/>
      <c r="N336" s="735"/>
      <c r="O336" s="735"/>
      <c r="P336" s="732"/>
      <c r="Q336" s="732"/>
      <c r="R336" s="732"/>
      <c r="S336" s="683">
        <v>0</v>
      </c>
      <c r="T336" s="683">
        <v>0</v>
      </c>
      <c r="U336" s="683">
        <v>0</v>
      </c>
      <c r="V336" s="683">
        <v>0</v>
      </c>
      <c r="W336" s="683">
        <v>0</v>
      </c>
      <c r="X336" s="683">
        <v>0</v>
      </c>
      <c r="Y336" s="683">
        <v>0</v>
      </c>
      <c r="Z336" s="683">
        <v>0</v>
      </c>
      <c r="AA336" s="683">
        <v>0</v>
      </c>
      <c r="AB336" s="683">
        <v>0</v>
      </c>
      <c r="AC336" s="683">
        <v>0</v>
      </c>
      <c r="AD336" s="683">
        <v>0</v>
      </c>
      <c r="AE336" s="734"/>
      <c r="AF336" s="734"/>
      <c r="AG336" s="734"/>
      <c r="AH336" s="734"/>
      <c r="AI336" s="734"/>
      <c r="AJ336" s="734"/>
      <c r="AK336" s="734"/>
      <c r="AL336" s="734"/>
      <c r="AM336" s="734"/>
      <c r="AN336" s="734"/>
      <c r="AO336" s="734"/>
      <c r="AP336" s="734"/>
      <c r="AQ336" s="734"/>
      <c r="AR336" s="734"/>
      <c r="AS336" s="734"/>
      <c r="AT336" s="734"/>
      <c r="AU336" s="734"/>
      <c r="AV336" s="734"/>
      <c r="AW336" s="734"/>
      <c r="AX336" s="734"/>
      <c r="AY336" s="734"/>
      <c r="AZ336" s="734"/>
      <c r="BA336" s="734"/>
      <c r="BB336" s="734"/>
      <c r="BC336" s="734"/>
      <c r="BD336" s="734"/>
      <c r="BE336" s="734"/>
      <c r="BF336" s="734"/>
      <c r="BG336" s="734"/>
      <c r="BH336" s="734"/>
      <c r="BI336" s="734"/>
      <c r="BJ336" s="734"/>
      <c r="BK336" s="734"/>
      <c r="BL336" s="734"/>
      <c r="BM336" s="734"/>
      <c r="BN336" s="734"/>
      <c r="BO336" s="734"/>
      <c r="BP336" s="734"/>
      <c r="BQ336" s="734"/>
      <c r="BR336" s="734"/>
      <c r="BS336" s="734"/>
      <c r="BT336" s="734"/>
      <c r="BU336" s="734"/>
      <c r="BV336" s="734"/>
      <c r="BW336" s="734"/>
      <c r="BX336" s="734"/>
      <c r="BY336" s="734"/>
      <c r="BZ336" s="734"/>
      <c r="CA336" s="734"/>
    </row>
    <row r="337" spans="1:79" s="309" customFormat="1" hidden="1" outlineLevel="1" x14ac:dyDescent="0.35">
      <c r="A337" s="30"/>
      <c r="B337" s="30"/>
      <c r="C337" s="30"/>
      <c r="D337" s="30"/>
      <c r="E337" s="30"/>
      <c r="F337" s="673" t="s">
        <v>659</v>
      </c>
      <c r="G337" s="749">
        <f>SUM(G330:G336)</f>
        <v>0</v>
      </c>
      <c r="H337" s="749">
        <f t="shared" ref="H337:BO337" si="113">SUM(H330:H336)</f>
        <v>0</v>
      </c>
      <c r="I337" s="749">
        <f t="shared" si="113"/>
        <v>-594.13183258823653</v>
      </c>
      <c r="J337" s="749">
        <f t="shared" si="113"/>
        <v>255.28737116702393</v>
      </c>
      <c r="K337" s="749">
        <f t="shared" si="113"/>
        <v>0</v>
      </c>
      <c r="L337" s="749">
        <f t="shared" si="113"/>
        <v>317.28425280083206</v>
      </c>
      <c r="M337" s="749">
        <f t="shared" si="113"/>
        <v>0</v>
      </c>
      <c r="N337" s="749">
        <f t="shared" si="113"/>
        <v>0</v>
      </c>
      <c r="O337" s="749">
        <f t="shared" si="113"/>
        <v>0</v>
      </c>
      <c r="P337" s="749">
        <f t="shared" si="113"/>
        <v>0</v>
      </c>
      <c r="Q337" s="749">
        <f t="shared" si="113"/>
        <v>0</v>
      </c>
      <c r="R337" s="749">
        <f t="shared" si="113"/>
        <v>163.35530256873096</v>
      </c>
      <c r="S337" s="694">
        <f t="shared" ref="S337:AA337" si="114">ROUND(SUM(S329:S336),5)</f>
        <v>0</v>
      </c>
      <c r="T337" s="694">
        <f t="shared" si="114"/>
        <v>0</v>
      </c>
      <c r="U337" s="694">
        <f t="shared" si="114"/>
        <v>0</v>
      </c>
      <c r="V337" s="694">
        <f t="shared" si="114"/>
        <v>0</v>
      </c>
      <c r="W337" s="694">
        <f t="shared" si="114"/>
        <v>0</v>
      </c>
      <c r="X337" s="694">
        <f t="shared" si="114"/>
        <v>0</v>
      </c>
      <c r="Y337" s="694">
        <f t="shared" si="114"/>
        <v>0</v>
      </c>
      <c r="Z337" s="694">
        <f t="shared" si="114"/>
        <v>0</v>
      </c>
      <c r="AA337" s="694">
        <f t="shared" si="114"/>
        <v>0</v>
      </c>
      <c r="AB337" s="694">
        <f>ROUND(SUM(AB329:AB336),5)</f>
        <v>0</v>
      </c>
      <c r="AC337" s="694">
        <f>ROUND(SUM(AC329:AC336),5)</f>
        <v>0</v>
      </c>
      <c r="AD337" s="694">
        <f>ROUND(SUM(AD329:AD336),5)</f>
        <v>0</v>
      </c>
      <c r="AE337" s="749">
        <f t="shared" si="113"/>
        <v>0</v>
      </c>
      <c r="AF337" s="749">
        <f t="shared" si="113"/>
        <v>0</v>
      </c>
      <c r="AG337" s="749">
        <f t="shared" si="113"/>
        <v>0</v>
      </c>
      <c r="AH337" s="749">
        <f t="shared" si="113"/>
        <v>0</v>
      </c>
      <c r="AI337" s="749">
        <f t="shared" si="113"/>
        <v>0</v>
      </c>
      <c r="AJ337" s="749">
        <f t="shared" si="113"/>
        <v>0</v>
      </c>
      <c r="AK337" s="749">
        <f t="shared" si="113"/>
        <v>0</v>
      </c>
      <c r="AL337" s="749">
        <f t="shared" si="113"/>
        <v>0</v>
      </c>
      <c r="AM337" s="749">
        <f t="shared" si="113"/>
        <v>0</v>
      </c>
      <c r="AN337" s="749">
        <f t="shared" si="113"/>
        <v>0</v>
      </c>
      <c r="AO337" s="749">
        <f t="shared" si="113"/>
        <v>0</v>
      </c>
      <c r="AP337" s="749">
        <f t="shared" si="113"/>
        <v>0</v>
      </c>
      <c r="AQ337" s="749">
        <f t="shared" si="113"/>
        <v>0</v>
      </c>
      <c r="AR337" s="749">
        <f t="shared" si="113"/>
        <v>0</v>
      </c>
      <c r="AS337" s="749">
        <f t="shared" si="113"/>
        <v>0</v>
      </c>
      <c r="AT337" s="749">
        <f t="shared" si="113"/>
        <v>0</v>
      </c>
      <c r="AU337" s="749">
        <f t="shared" si="113"/>
        <v>0</v>
      </c>
      <c r="AV337" s="749">
        <f t="shared" si="113"/>
        <v>0</v>
      </c>
      <c r="AW337" s="749">
        <f t="shared" si="113"/>
        <v>0</v>
      </c>
      <c r="AX337" s="749">
        <f t="shared" si="113"/>
        <v>0</v>
      </c>
      <c r="AY337" s="749">
        <f t="shared" si="113"/>
        <v>0</v>
      </c>
      <c r="AZ337" s="749">
        <f t="shared" si="113"/>
        <v>0</v>
      </c>
      <c r="BA337" s="749">
        <f t="shared" si="113"/>
        <v>0</v>
      </c>
      <c r="BB337" s="749">
        <f t="shared" si="113"/>
        <v>0</v>
      </c>
      <c r="BC337" s="749">
        <f t="shared" si="113"/>
        <v>0</v>
      </c>
      <c r="BD337" s="749">
        <f t="shared" si="113"/>
        <v>0</v>
      </c>
      <c r="BE337" s="749">
        <f t="shared" si="113"/>
        <v>0</v>
      </c>
      <c r="BF337" s="749">
        <f t="shared" si="113"/>
        <v>0</v>
      </c>
      <c r="BG337" s="749">
        <f t="shared" si="113"/>
        <v>0</v>
      </c>
      <c r="BH337" s="749">
        <f t="shared" si="113"/>
        <v>0</v>
      </c>
      <c r="BI337" s="749">
        <f t="shared" si="113"/>
        <v>0</v>
      </c>
      <c r="BJ337" s="749">
        <f t="shared" si="113"/>
        <v>0</v>
      </c>
      <c r="BK337" s="749">
        <f t="shared" si="113"/>
        <v>0</v>
      </c>
      <c r="BL337" s="749">
        <f t="shared" si="113"/>
        <v>0</v>
      </c>
      <c r="BM337" s="749">
        <f t="shared" si="113"/>
        <v>0</v>
      </c>
      <c r="BN337" s="749">
        <f t="shared" si="113"/>
        <v>0</v>
      </c>
      <c r="BO337" s="749">
        <f t="shared" si="113"/>
        <v>0</v>
      </c>
      <c r="BP337" s="749">
        <f t="shared" ref="BP337:CA337" si="115">SUM(BP330:BP336)</f>
        <v>0</v>
      </c>
      <c r="BQ337" s="749">
        <f t="shared" si="115"/>
        <v>0</v>
      </c>
      <c r="BR337" s="749">
        <f t="shared" si="115"/>
        <v>0</v>
      </c>
      <c r="BS337" s="749">
        <f t="shared" si="115"/>
        <v>0</v>
      </c>
      <c r="BT337" s="749">
        <f t="shared" si="115"/>
        <v>0</v>
      </c>
      <c r="BU337" s="749">
        <f t="shared" si="115"/>
        <v>0</v>
      </c>
      <c r="BV337" s="749">
        <f t="shared" si="115"/>
        <v>0</v>
      </c>
      <c r="BW337" s="749">
        <f t="shared" si="115"/>
        <v>0</v>
      </c>
      <c r="BX337" s="749">
        <f t="shared" si="115"/>
        <v>0</v>
      </c>
      <c r="BY337" s="749">
        <f t="shared" si="115"/>
        <v>0</v>
      </c>
      <c r="BZ337" s="749">
        <f t="shared" si="115"/>
        <v>0</v>
      </c>
      <c r="CA337" s="749">
        <f t="shared" si="115"/>
        <v>0</v>
      </c>
    </row>
    <row r="338" spans="1:79" s="309" customFormat="1" hidden="1" outlineLevel="1" x14ac:dyDescent="0.35">
      <c r="A338" s="30"/>
      <c r="B338" s="30"/>
      <c r="C338" s="30"/>
      <c r="D338" s="30"/>
      <c r="E338" s="30"/>
      <c r="F338" s="30" t="s">
        <v>697</v>
      </c>
      <c r="G338" s="735">
        <v>475.20448253623181</v>
      </c>
      <c r="H338" s="735">
        <v>212.09080004650605</v>
      </c>
      <c r="I338" s="735">
        <v>177.54297142163705</v>
      </c>
      <c r="J338" s="735">
        <v>86.921005572126887</v>
      </c>
      <c r="K338" s="735">
        <v>27.391118920539157</v>
      </c>
      <c r="L338" s="735">
        <v>6.9895045372468303</v>
      </c>
      <c r="M338" s="735">
        <v>31.242020319208677</v>
      </c>
      <c r="N338" s="735">
        <v>31.912841793789994</v>
      </c>
      <c r="O338" s="735">
        <v>198.72363015279552</v>
      </c>
      <c r="P338" s="732">
        <v>62.440503141464433</v>
      </c>
      <c r="Q338" s="732">
        <v>126.62865285605949</v>
      </c>
      <c r="R338" s="732">
        <v>85.508797879279882</v>
      </c>
      <c r="S338" s="683">
        <v>0</v>
      </c>
      <c r="T338" s="683">
        <v>0</v>
      </c>
      <c r="U338" s="683">
        <v>0</v>
      </c>
      <c r="V338" s="683">
        <v>0</v>
      </c>
      <c r="W338" s="683">
        <v>0</v>
      </c>
      <c r="X338" s="683">
        <v>0</v>
      </c>
      <c r="Y338" s="683">
        <v>0</v>
      </c>
      <c r="Z338" s="683">
        <v>0</v>
      </c>
      <c r="AA338" s="683">
        <v>0</v>
      </c>
      <c r="AB338" s="683">
        <v>0</v>
      </c>
      <c r="AC338" s="683">
        <v>0</v>
      </c>
      <c r="AD338" s="683">
        <v>0</v>
      </c>
      <c r="AE338" s="734"/>
      <c r="AF338" s="734"/>
      <c r="AG338" s="734"/>
      <c r="AH338" s="734"/>
      <c r="AI338" s="734"/>
      <c r="AJ338" s="734"/>
      <c r="AK338" s="734"/>
      <c r="AL338" s="734"/>
      <c r="AM338" s="734"/>
      <c r="AN338" s="734"/>
      <c r="AO338" s="734"/>
      <c r="AP338" s="734"/>
      <c r="AQ338" s="734"/>
      <c r="AR338" s="734"/>
      <c r="AS338" s="734"/>
      <c r="AT338" s="734"/>
      <c r="AU338" s="734"/>
      <c r="AV338" s="734"/>
      <c r="AW338" s="734"/>
      <c r="AX338" s="734"/>
      <c r="AY338" s="734"/>
      <c r="AZ338" s="734"/>
      <c r="BA338" s="734"/>
      <c r="BB338" s="734"/>
      <c r="BC338" s="734"/>
      <c r="BD338" s="734"/>
      <c r="BE338" s="734"/>
      <c r="BF338" s="734"/>
      <c r="BG338" s="734"/>
      <c r="BH338" s="734"/>
      <c r="BI338" s="734"/>
      <c r="BJ338" s="734"/>
      <c r="BK338" s="734"/>
      <c r="BL338" s="734"/>
      <c r="BM338" s="734"/>
      <c r="BN338" s="734"/>
      <c r="BO338" s="734"/>
      <c r="BP338" s="734"/>
      <c r="BQ338" s="734"/>
      <c r="BR338" s="734"/>
      <c r="BS338" s="734"/>
      <c r="BT338" s="734"/>
      <c r="BU338" s="734"/>
      <c r="BV338" s="734"/>
      <c r="BW338" s="734"/>
      <c r="BX338" s="734"/>
      <c r="BY338" s="734"/>
      <c r="BZ338" s="734"/>
      <c r="CA338" s="734"/>
    </row>
    <row r="339" spans="1:79" s="888" customFormat="1" ht="15" collapsed="1" thickBot="1" x14ac:dyDescent="0.4">
      <c r="A339" s="500"/>
      <c r="B339" s="500"/>
      <c r="C339" s="500"/>
      <c r="D339" s="500"/>
      <c r="E339" s="500"/>
      <c r="F339" s="913" t="s">
        <v>699</v>
      </c>
      <c r="G339" s="914">
        <f t="shared" ref="G339:R339" si="116">SUM(G175:G338)-SUM(G337,G326,G320,G318,G308,G298,G289,G281,G275,G267,G253,G249,G229,G214,G203,G199,G193,G184)</f>
        <v>122743.50469489908</v>
      </c>
      <c r="H339" s="914">
        <f t="shared" si="116"/>
        <v>165589.8768953385</v>
      </c>
      <c r="I339" s="914">
        <f t="shared" si="116"/>
        <v>193250.67445364263</v>
      </c>
      <c r="J339" s="914">
        <f t="shared" si="116"/>
        <v>185825.60761987136</v>
      </c>
      <c r="K339" s="914">
        <f t="shared" si="116"/>
        <v>149635.4680456534</v>
      </c>
      <c r="L339" s="914">
        <f t="shared" si="116"/>
        <v>169801.64716131589</v>
      </c>
      <c r="M339" s="914">
        <f t="shared" si="116"/>
        <v>149358.31896689636</v>
      </c>
      <c r="N339" s="914">
        <f t="shared" si="116"/>
        <v>172621.196576471</v>
      </c>
      <c r="O339" s="914">
        <f t="shared" si="116"/>
        <v>167594.9543992744</v>
      </c>
      <c r="P339" s="914">
        <f t="shared" si="116"/>
        <v>180125.49536517385</v>
      </c>
      <c r="Q339" s="914">
        <f t="shared" si="116"/>
        <v>120151.07289570948</v>
      </c>
      <c r="R339" s="914">
        <f t="shared" si="116"/>
        <v>98802.597527773381</v>
      </c>
      <c r="S339" s="915">
        <f t="shared" ref="S339:AB339" si="117">ROUND(SUM(S174:S180)+SUM(S184:S189)+SUM(S193:S195)+S199+SUM(S203:S205)+SUM(S214:S218)+SUM(S229:S230)+S249+SUM(S253:S256)+S267+S275+SUM(S281:S283)+SUM(S289:S290)+SUM(S320:S321)+SUM(S326:S328)+SUM(S337:S338),5)</f>
        <v>296216.34999999998</v>
      </c>
      <c r="T339" s="915">
        <f t="shared" si="117"/>
        <v>221717.66</v>
      </c>
      <c r="U339" s="915">
        <f t="shared" si="117"/>
        <v>288431.05</v>
      </c>
      <c r="V339" s="915">
        <f t="shared" si="117"/>
        <v>276885.86</v>
      </c>
      <c r="W339" s="915">
        <f t="shared" si="117"/>
        <v>308903.64</v>
      </c>
      <c r="X339" s="915">
        <f t="shared" si="117"/>
        <v>489734.78</v>
      </c>
      <c r="Y339" s="915">
        <f t="shared" si="117"/>
        <v>734273.72</v>
      </c>
      <c r="Z339" s="915">
        <f t="shared" si="117"/>
        <v>694948.04</v>
      </c>
      <c r="AA339" s="915">
        <f t="shared" si="117"/>
        <v>478873.26</v>
      </c>
      <c r="AB339" s="915">
        <f t="shared" si="117"/>
        <v>431771.88</v>
      </c>
      <c r="AC339" s="915">
        <f>ROUND(SUM(AC174:AC180)+SUM(AC184:AC189)+SUM(AC193:AC195)+AC199+SUM(AC203:AC205)+SUM(AC214:AC218)+SUM(AC229:AC230)+AC249+SUM(AC253:AC256)+AC267+AC275+SUM(AC281:AC283)+SUM(AC289:AC290)+SUM(AC320:AC321)+SUM(AC326:AC328)+SUM(AC337:AC338),5)</f>
        <v>469217.29</v>
      </c>
      <c r="AD339" s="915">
        <f>ROUND(SUM(AD174:AD180)+SUM(AD184:AD189)+SUM(AD193:AD195)+AD199+SUM(AD203:AD205)+SUM(AD214:AD218)+SUM(AD229:AD230)+AD249+SUM(AD253:AD256)+AD267+AD275+SUM(AD281:AD283)+SUM(AD289:AD290)+SUM(AD320:AD321)+SUM(AD326:AD328)+SUM(AD337:AD338),5)</f>
        <v>373012.06</v>
      </c>
      <c r="AE339" s="914">
        <f t="shared" ref="AE339:BJ339" si="118">SUM(AE175:AE338)-SUM(AE337,AE326,AE320,AE318,AE308,AE298,AE289,AE281,AE275,AE267,AE253,AE249,AE229,AE214,AE203,AE199,AE193,AE184)</f>
        <v>0</v>
      </c>
      <c r="AF339" s="914">
        <f t="shared" si="118"/>
        <v>0</v>
      </c>
      <c r="AG339" s="914">
        <f t="shared" si="118"/>
        <v>0</v>
      </c>
      <c r="AH339" s="914">
        <f t="shared" si="118"/>
        <v>0</v>
      </c>
      <c r="AI339" s="914">
        <f t="shared" si="118"/>
        <v>0</v>
      </c>
      <c r="AJ339" s="914">
        <f t="shared" si="118"/>
        <v>0</v>
      </c>
      <c r="AK339" s="914">
        <f t="shared" si="118"/>
        <v>0</v>
      </c>
      <c r="AL339" s="914">
        <f t="shared" si="118"/>
        <v>0</v>
      </c>
      <c r="AM339" s="914">
        <f t="shared" si="118"/>
        <v>0</v>
      </c>
      <c r="AN339" s="914">
        <f t="shared" si="118"/>
        <v>0</v>
      </c>
      <c r="AO339" s="914">
        <f t="shared" si="118"/>
        <v>0</v>
      </c>
      <c r="AP339" s="914">
        <f t="shared" si="118"/>
        <v>0</v>
      </c>
      <c r="AQ339" s="914">
        <f t="shared" si="118"/>
        <v>0</v>
      </c>
      <c r="AR339" s="914">
        <f t="shared" si="118"/>
        <v>0</v>
      </c>
      <c r="AS339" s="914">
        <f t="shared" si="118"/>
        <v>0</v>
      </c>
      <c r="AT339" s="914">
        <f t="shared" si="118"/>
        <v>0</v>
      </c>
      <c r="AU339" s="914">
        <f t="shared" si="118"/>
        <v>0</v>
      </c>
      <c r="AV339" s="914">
        <f t="shared" si="118"/>
        <v>0</v>
      </c>
      <c r="AW339" s="914">
        <f t="shared" si="118"/>
        <v>0</v>
      </c>
      <c r="AX339" s="914">
        <f t="shared" si="118"/>
        <v>0</v>
      </c>
      <c r="AY339" s="914">
        <f t="shared" si="118"/>
        <v>0</v>
      </c>
      <c r="AZ339" s="914">
        <f t="shared" si="118"/>
        <v>0</v>
      </c>
      <c r="BA339" s="914">
        <f t="shared" si="118"/>
        <v>0</v>
      </c>
      <c r="BB339" s="914">
        <f t="shared" si="118"/>
        <v>0</v>
      </c>
      <c r="BC339" s="914">
        <f t="shared" si="118"/>
        <v>0</v>
      </c>
      <c r="BD339" s="914">
        <f t="shared" si="118"/>
        <v>0</v>
      </c>
      <c r="BE339" s="914">
        <f t="shared" si="118"/>
        <v>0</v>
      </c>
      <c r="BF339" s="914">
        <f t="shared" si="118"/>
        <v>0</v>
      </c>
      <c r="BG339" s="914">
        <f t="shared" si="118"/>
        <v>0</v>
      </c>
      <c r="BH339" s="914">
        <f t="shared" si="118"/>
        <v>0</v>
      </c>
      <c r="BI339" s="914">
        <f t="shared" si="118"/>
        <v>0</v>
      </c>
      <c r="BJ339" s="914">
        <f t="shared" si="118"/>
        <v>0</v>
      </c>
      <c r="BK339" s="914">
        <f t="shared" ref="BK339:CA339" si="119">SUM(BK175:BK338)-SUM(BK337,BK326,BK320,BK318,BK308,BK298,BK289,BK281,BK275,BK267,BK253,BK249,BK229,BK214,BK203,BK199,BK193,BK184)</f>
        <v>0</v>
      </c>
      <c r="BL339" s="914">
        <f t="shared" si="119"/>
        <v>0</v>
      </c>
      <c r="BM339" s="914">
        <f t="shared" si="119"/>
        <v>0</v>
      </c>
      <c r="BN339" s="914">
        <f t="shared" si="119"/>
        <v>0</v>
      </c>
      <c r="BO339" s="914">
        <f t="shared" si="119"/>
        <v>0</v>
      </c>
      <c r="BP339" s="914">
        <f t="shared" si="119"/>
        <v>0</v>
      </c>
      <c r="BQ339" s="914">
        <f t="shared" si="119"/>
        <v>0</v>
      </c>
      <c r="BR339" s="914">
        <f t="shared" si="119"/>
        <v>0</v>
      </c>
      <c r="BS339" s="914">
        <f t="shared" si="119"/>
        <v>0</v>
      </c>
      <c r="BT339" s="914">
        <f t="shared" si="119"/>
        <v>0</v>
      </c>
      <c r="BU339" s="914">
        <f t="shared" si="119"/>
        <v>0</v>
      </c>
      <c r="BV339" s="914">
        <f t="shared" si="119"/>
        <v>0</v>
      </c>
      <c r="BW339" s="914">
        <f t="shared" si="119"/>
        <v>0</v>
      </c>
      <c r="BX339" s="914">
        <f t="shared" si="119"/>
        <v>0</v>
      </c>
      <c r="BY339" s="914">
        <f t="shared" si="119"/>
        <v>0</v>
      </c>
      <c r="BZ339" s="914">
        <f t="shared" si="119"/>
        <v>0</v>
      </c>
      <c r="CA339" s="914">
        <f t="shared" si="119"/>
        <v>0</v>
      </c>
    </row>
    <row r="340" spans="1:79" ht="15" thickTop="1" x14ac:dyDescent="0.35">
      <c r="G340" s="761"/>
      <c r="H340" s="761"/>
      <c r="I340" s="761"/>
      <c r="J340" s="761"/>
      <c r="K340" s="761"/>
      <c r="L340" s="761"/>
      <c r="M340" s="761"/>
      <c r="N340" s="761"/>
      <c r="O340" s="761"/>
      <c r="P340" s="761"/>
      <c r="Q340" s="761"/>
      <c r="R340" s="761"/>
      <c r="S340" s="761"/>
      <c r="T340" s="761"/>
      <c r="U340" s="761"/>
      <c r="V340" s="762"/>
      <c r="W340" s="762"/>
      <c r="X340" s="762"/>
      <c r="Y340" s="762"/>
      <c r="Z340" s="762"/>
      <c r="AA340" s="762"/>
      <c r="AB340" s="734"/>
      <c r="AC340" s="734"/>
      <c r="AD340" s="734"/>
      <c r="AE340" s="734"/>
      <c r="AF340" s="734"/>
      <c r="AG340" s="734"/>
      <c r="AH340" s="734"/>
      <c r="AI340" s="734"/>
      <c r="AJ340" s="734"/>
      <c r="AK340" s="734"/>
      <c r="AL340" s="734"/>
      <c r="AM340" s="734"/>
      <c r="AN340" s="734"/>
      <c r="AO340" s="734"/>
      <c r="AP340" s="734"/>
      <c r="AQ340" s="734"/>
      <c r="AR340" s="734"/>
      <c r="AS340" s="734"/>
      <c r="AT340" s="734"/>
      <c r="AU340" s="734"/>
      <c r="AV340" s="734"/>
      <c r="AW340" s="734"/>
      <c r="AX340" s="734"/>
      <c r="AY340" s="734"/>
      <c r="AZ340" s="734"/>
      <c r="BA340" s="734"/>
      <c r="BB340" s="734"/>
      <c r="BC340" s="734"/>
      <c r="BD340" s="734"/>
      <c r="BE340" s="734"/>
      <c r="BF340" s="734"/>
      <c r="BG340" s="734"/>
      <c r="BH340" s="734"/>
      <c r="BI340" s="734"/>
      <c r="BJ340" s="734"/>
      <c r="BK340" s="734"/>
      <c r="BL340" s="734"/>
      <c r="BM340" s="734"/>
      <c r="BN340" s="734"/>
      <c r="BO340" s="734"/>
      <c r="BP340" s="734"/>
      <c r="BQ340" s="734"/>
      <c r="BR340" s="734"/>
      <c r="BS340" s="734"/>
      <c r="BT340" s="734"/>
      <c r="BU340" s="734"/>
      <c r="BV340" s="734"/>
      <c r="BW340" s="734"/>
      <c r="BX340" s="734"/>
      <c r="BY340" s="734"/>
      <c r="BZ340" s="734"/>
      <c r="CA340" s="734"/>
    </row>
    <row r="341" spans="1:79" x14ac:dyDescent="0.35">
      <c r="G341" s="735"/>
      <c r="H341" s="735"/>
      <c r="I341" s="735"/>
      <c r="J341" s="735"/>
      <c r="K341" s="735"/>
      <c r="L341" s="735"/>
      <c r="M341" s="735"/>
      <c r="N341" s="735"/>
      <c r="O341" s="735"/>
      <c r="P341" s="735"/>
      <c r="Q341" s="735"/>
      <c r="R341" s="735"/>
      <c r="S341" s="735"/>
      <c r="T341" s="735"/>
      <c r="U341" s="735"/>
      <c r="V341" s="735"/>
      <c r="W341" s="735"/>
      <c r="X341" s="735"/>
      <c r="Y341" s="735"/>
      <c r="Z341" s="735"/>
      <c r="AA341" s="735"/>
      <c r="AB341" s="734"/>
      <c r="AC341" s="734"/>
      <c r="AD341" s="734"/>
      <c r="AE341" s="734"/>
      <c r="AF341" s="734"/>
      <c r="AG341" s="734"/>
      <c r="AH341" s="734"/>
      <c r="AI341" s="734"/>
      <c r="AJ341" s="734"/>
      <c r="AK341" s="734"/>
      <c r="AL341" s="734"/>
      <c r="AM341" s="734"/>
      <c r="AN341" s="734"/>
      <c r="AO341" s="734"/>
      <c r="AP341" s="734"/>
      <c r="AQ341" s="734"/>
      <c r="AR341" s="734"/>
      <c r="AS341" s="734"/>
      <c r="AT341" s="734"/>
      <c r="AU341" s="734"/>
      <c r="AV341" s="734"/>
      <c r="AW341" s="734"/>
      <c r="AX341" s="734"/>
      <c r="AY341" s="734"/>
      <c r="AZ341" s="734"/>
      <c r="BA341" s="734"/>
      <c r="BB341" s="734"/>
      <c r="BC341" s="734"/>
      <c r="BD341" s="734"/>
      <c r="BE341" s="734"/>
      <c r="BF341" s="734"/>
      <c r="BG341" s="734"/>
      <c r="BH341" s="734"/>
      <c r="BI341" s="734"/>
      <c r="BJ341" s="734"/>
      <c r="BK341" s="734"/>
      <c r="BL341" s="734"/>
      <c r="BM341" s="734"/>
      <c r="BN341" s="734"/>
      <c r="BO341" s="734"/>
      <c r="BP341" s="734"/>
      <c r="BQ341" s="734"/>
      <c r="BR341" s="734"/>
      <c r="BS341" s="734"/>
      <c r="BT341" s="734"/>
      <c r="BU341" s="734"/>
      <c r="BV341" s="734"/>
      <c r="BW341" s="734"/>
      <c r="BX341" s="734"/>
      <c r="BY341" s="734"/>
      <c r="BZ341" s="734"/>
      <c r="CA341" s="734"/>
    </row>
    <row r="342" spans="1:79" s="878" customFormat="1" x14ac:dyDescent="0.35">
      <c r="A342" s="882"/>
      <c r="F342" s="883" t="s">
        <v>67</v>
      </c>
      <c r="G342" s="884"/>
      <c r="H342" s="884"/>
      <c r="I342" s="884"/>
      <c r="J342" s="884"/>
      <c r="K342" s="884"/>
      <c r="L342" s="884"/>
      <c r="M342" s="884"/>
      <c r="N342" s="884"/>
      <c r="O342" s="884"/>
      <c r="P342" s="884"/>
      <c r="Q342" s="884"/>
      <c r="R342" s="884"/>
      <c r="S342" s="884"/>
      <c r="T342" s="884"/>
      <c r="U342" s="884"/>
      <c r="V342" s="884"/>
      <c r="W342" s="884"/>
      <c r="X342" s="884"/>
      <c r="Y342" s="884"/>
      <c r="Z342" s="884"/>
      <c r="AA342" s="884"/>
      <c r="AB342" s="884"/>
      <c r="AC342" s="884"/>
      <c r="AD342" s="884"/>
      <c r="AE342" s="884"/>
      <c r="AF342" s="884"/>
      <c r="AG342" s="884"/>
      <c r="AH342" s="884"/>
      <c r="AI342" s="884"/>
      <c r="AJ342" s="884"/>
      <c r="AK342" s="884"/>
      <c r="AL342" s="884"/>
      <c r="AM342" s="884"/>
      <c r="AN342" s="884"/>
      <c r="AO342" s="884"/>
      <c r="AP342" s="884"/>
      <c r="AQ342" s="884"/>
      <c r="AR342" s="884"/>
      <c r="AS342" s="884"/>
      <c r="AT342" s="884"/>
      <c r="AU342" s="884"/>
      <c r="AV342" s="884"/>
      <c r="AW342" s="884"/>
      <c r="AX342" s="884"/>
      <c r="AY342" s="884"/>
      <c r="AZ342" s="884"/>
      <c r="BA342" s="884"/>
      <c r="BB342" s="884"/>
      <c r="BC342" s="884"/>
      <c r="BD342" s="884"/>
      <c r="BE342" s="884"/>
      <c r="BF342" s="884"/>
      <c r="BG342" s="884"/>
      <c r="BH342" s="884"/>
      <c r="BI342" s="884"/>
      <c r="BJ342" s="884"/>
      <c r="BK342" s="884"/>
      <c r="BL342" s="884"/>
      <c r="BM342" s="884"/>
      <c r="BN342" s="884"/>
      <c r="BO342" s="884"/>
      <c r="BP342" s="884"/>
      <c r="BQ342" s="884"/>
      <c r="BR342" s="884"/>
      <c r="BS342" s="884"/>
      <c r="BT342" s="884"/>
      <c r="BU342" s="884"/>
      <c r="BV342" s="884"/>
      <c r="BW342" s="884"/>
      <c r="BX342" s="884"/>
      <c r="BY342" s="884"/>
      <c r="BZ342" s="884"/>
      <c r="CA342" s="884"/>
    </row>
    <row r="343" spans="1:79" hidden="1" outlineLevel="1" x14ac:dyDescent="0.35">
      <c r="A343" s="224"/>
      <c r="B343" s="224"/>
      <c r="C343" s="224"/>
      <c r="D343" s="224"/>
      <c r="E343" s="224"/>
      <c r="F343" s="670" t="s">
        <v>701</v>
      </c>
      <c r="G343" s="679"/>
      <c r="H343" s="679"/>
      <c r="I343" s="679"/>
      <c r="J343" s="679"/>
      <c r="K343" s="679"/>
      <c r="L343" s="679"/>
      <c r="M343" s="679"/>
      <c r="N343" s="679"/>
      <c r="O343" s="679"/>
      <c r="P343" s="679"/>
      <c r="Q343" s="679"/>
      <c r="R343" s="679"/>
      <c r="S343" s="679">
        <v>0</v>
      </c>
      <c r="T343" s="679">
        <v>0</v>
      </c>
      <c r="U343" s="679">
        <v>0</v>
      </c>
      <c r="V343" s="679">
        <v>0</v>
      </c>
      <c r="W343" s="679">
        <v>0</v>
      </c>
      <c r="X343" s="679">
        <v>0</v>
      </c>
      <c r="Y343" s="679">
        <v>0</v>
      </c>
      <c r="Z343" s="679">
        <v>0</v>
      </c>
      <c r="AA343" s="679">
        <v>0</v>
      </c>
      <c r="AB343" s="679">
        <v>0</v>
      </c>
      <c r="AC343" s="679">
        <v>0</v>
      </c>
      <c r="AD343" s="679">
        <v>0</v>
      </c>
      <c r="AE343" s="679"/>
      <c r="AF343" s="679"/>
      <c r="AG343" s="679"/>
      <c r="AH343" s="679"/>
      <c r="AI343" s="679"/>
      <c r="AJ343" s="679"/>
      <c r="AK343" s="679"/>
      <c r="AL343" s="679"/>
      <c r="AM343" s="679"/>
      <c r="AN343" s="679"/>
      <c r="AO343" s="679"/>
      <c r="AP343" s="679"/>
      <c r="AQ343" s="679"/>
      <c r="AR343" s="679"/>
      <c r="AS343" s="679"/>
      <c r="AT343" s="679"/>
      <c r="AU343" s="679"/>
      <c r="AV343" s="679"/>
      <c r="AW343" s="679"/>
      <c r="AX343" s="679"/>
      <c r="AY343" s="679"/>
      <c r="AZ343" s="679"/>
      <c r="BA343" s="679"/>
      <c r="BB343" s="679"/>
      <c r="BC343" s="679"/>
      <c r="BD343" s="679"/>
      <c r="BE343" s="679"/>
      <c r="BF343" s="679"/>
      <c r="BG343" s="679"/>
      <c r="BH343" s="679"/>
      <c r="BI343" s="679"/>
      <c r="BJ343" s="679"/>
      <c r="BK343" s="679"/>
      <c r="BL343" s="679"/>
      <c r="BM343" s="679"/>
      <c r="BN343" s="679"/>
      <c r="BO343" s="679"/>
      <c r="BP343" s="679"/>
      <c r="BQ343" s="679"/>
      <c r="BR343" s="679"/>
      <c r="BS343" s="679"/>
      <c r="BT343" s="679"/>
      <c r="BU343" s="679"/>
      <c r="BV343" s="679"/>
      <c r="BW343" s="679"/>
      <c r="BX343" s="679"/>
      <c r="BY343" s="679"/>
      <c r="BZ343" s="679"/>
      <c r="CA343" s="679"/>
    </row>
    <row r="344" spans="1:79" hidden="1" outlineLevel="1" x14ac:dyDescent="0.35">
      <c r="A344" s="224"/>
      <c r="B344" s="224"/>
      <c r="C344" s="224"/>
      <c r="D344" s="224"/>
      <c r="E344" s="224"/>
      <c r="F344" s="671" t="s">
        <v>857</v>
      </c>
      <c r="G344" s="679"/>
      <c r="H344" s="679"/>
      <c r="I344" s="679"/>
      <c r="J344" s="679"/>
      <c r="K344" s="679"/>
      <c r="L344" s="679"/>
      <c r="M344" s="679"/>
      <c r="N344" s="679"/>
      <c r="O344" s="679"/>
      <c r="P344" s="679"/>
      <c r="Q344" s="679"/>
      <c r="R344" s="679"/>
      <c r="S344" s="679">
        <v>0</v>
      </c>
      <c r="T344" s="679">
        <v>0</v>
      </c>
      <c r="U344" s="679">
        <v>0</v>
      </c>
      <c r="V344" s="679">
        <v>0</v>
      </c>
      <c r="W344" s="679">
        <v>0</v>
      </c>
      <c r="X344" s="679">
        <v>0</v>
      </c>
      <c r="Y344" s="679">
        <v>0</v>
      </c>
      <c r="Z344" s="679">
        <v>0</v>
      </c>
      <c r="AA344" s="679">
        <v>0</v>
      </c>
      <c r="AB344" s="679">
        <v>0</v>
      </c>
      <c r="AC344" s="679">
        <v>0</v>
      </c>
      <c r="AD344" s="679">
        <v>0</v>
      </c>
      <c r="AE344" s="679"/>
      <c r="AF344" s="679"/>
      <c r="AG344" s="679"/>
      <c r="AH344" s="679"/>
      <c r="AI344" s="679"/>
      <c r="AJ344" s="679"/>
      <c r="AK344" s="679"/>
      <c r="AL344" s="679"/>
      <c r="AM344" s="679"/>
      <c r="AN344" s="679"/>
      <c r="AO344" s="679"/>
      <c r="AP344" s="679"/>
      <c r="AQ344" s="679"/>
      <c r="AR344" s="679"/>
      <c r="AS344" s="679"/>
      <c r="AT344" s="679"/>
      <c r="AU344" s="679"/>
      <c r="AV344" s="679"/>
      <c r="AW344" s="679"/>
      <c r="AX344" s="679"/>
      <c r="AY344" s="679"/>
      <c r="AZ344" s="679"/>
      <c r="BA344" s="679"/>
      <c r="BB344" s="679"/>
      <c r="BC344" s="679"/>
      <c r="BD344" s="679"/>
      <c r="BE344" s="679"/>
      <c r="BF344" s="679"/>
      <c r="BG344" s="679"/>
      <c r="BH344" s="679"/>
      <c r="BI344" s="679"/>
      <c r="BJ344" s="679"/>
      <c r="BK344" s="679"/>
      <c r="BL344" s="679"/>
      <c r="BM344" s="679"/>
      <c r="BN344" s="679"/>
      <c r="BO344" s="679"/>
      <c r="BP344" s="679"/>
      <c r="BQ344" s="679"/>
      <c r="BR344" s="679"/>
      <c r="BS344" s="679"/>
      <c r="BT344" s="679"/>
      <c r="BU344" s="679"/>
      <c r="BV344" s="679"/>
      <c r="BW344" s="679"/>
      <c r="BX344" s="679"/>
      <c r="BY344" s="679"/>
      <c r="BZ344" s="679"/>
      <c r="CA344" s="679"/>
    </row>
    <row r="345" spans="1:79" hidden="1" outlineLevel="1" x14ac:dyDescent="0.35">
      <c r="A345" s="224"/>
      <c r="B345" s="224"/>
      <c r="C345" s="224"/>
      <c r="D345" s="224"/>
      <c r="E345" s="224"/>
      <c r="F345" s="671" t="s">
        <v>858</v>
      </c>
      <c r="G345" s="679"/>
      <c r="H345" s="679"/>
      <c r="I345" s="679"/>
      <c r="J345" s="679"/>
      <c r="K345" s="679"/>
      <c r="L345" s="679"/>
      <c r="M345" s="679"/>
      <c r="N345" s="679"/>
      <c r="O345" s="679"/>
      <c r="P345" s="679"/>
      <c r="Q345" s="679"/>
      <c r="R345" s="679"/>
      <c r="S345" s="679">
        <v>0</v>
      </c>
      <c r="T345" s="679">
        <v>0</v>
      </c>
      <c r="U345" s="679">
        <v>0</v>
      </c>
      <c r="V345" s="679">
        <v>0</v>
      </c>
      <c r="W345" s="679">
        <v>0</v>
      </c>
      <c r="X345" s="679">
        <v>0</v>
      </c>
      <c r="Y345" s="679">
        <v>0</v>
      </c>
      <c r="Z345" s="679">
        <v>0</v>
      </c>
      <c r="AA345" s="679">
        <v>0</v>
      </c>
      <c r="AB345" s="679">
        <v>0</v>
      </c>
      <c r="AC345" s="679">
        <v>0</v>
      </c>
      <c r="AD345" s="679">
        <v>0</v>
      </c>
      <c r="AE345" s="679"/>
      <c r="AF345" s="679"/>
      <c r="AG345" s="679"/>
      <c r="AH345" s="679"/>
      <c r="AI345" s="679"/>
      <c r="AJ345" s="679"/>
      <c r="AK345" s="679"/>
      <c r="AL345" s="679"/>
      <c r="AM345" s="679"/>
      <c r="AN345" s="679"/>
      <c r="AO345" s="679"/>
      <c r="AP345" s="679"/>
      <c r="AQ345" s="679"/>
      <c r="AR345" s="679"/>
      <c r="AS345" s="679"/>
      <c r="AT345" s="679"/>
      <c r="AU345" s="679"/>
      <c r="AV345" s="679"/>
      <c r="AW345" s="679"/>
      <c r="AX345" s="679"/>
      <c r="AY345" s="679"/>
      <c r="AZ345" s="679"/>
      <c r="BA345" s="679"/>
      <c r="BB345" s="679"/>
      <c r="BC345" s="679"/>
      <c r="BD345" s="679"/>
      <c r="BE345" s="679"/>
      <c r="BF345" s="679"/>
      <c r="BG345" s="679"/>
      <c r="BH345" s="679"/>
      <c r="BI345" s="679"/>
      <c r="BJ345" s="679"/>
      <c r="BK345" s="679"/>
      <c r="BL345" s="679"/>
      <c r="BM345" s="679"/>
      <c r="BN345" s="679"/>
      <c r="BO345" s="679"/>
      <c r="BP345" s="679"/>
      <c r="BQ345" s="679"/>
      <c r="BR345" s="679"/>
      <c r="BS345" s="679"/>
      <c r="BT345" s="679"/>
      <c r="BU345" s="679"/>
      <c r="BV345" s="679"/>
      <c r="BW345" s="679"/>
      <c r="BX345" s="679"/>
      <c r="BY345" s="679"/>
      <c r="BZ345" s="679"/>
      <c r="CA345" s="679"/>
    </row>
    <row r="346" spans="1:79" hidden="1" outlineLevel="1" x14ac:dyDescent="0.35">
      <c r="A346" s="224"/>
      <c r="B346" s="224"/>
      <c r="C346" s="224"/>
      <c r="D346" s="224"/>
      <c r="E346" s="224"/>
      <c r="F346" s="671" t="s">
        <v>859</v>
      </c>
      <c r="G346" s="679"/>
      <c r="H346" s="679"/>
      <c r="I346" s="679"/>
      <c r="J346" s="679"/>
      <c r="K346" s="679"/>
      <c r="L346" s="679"/>
      <c r="M346" s="679"/>
      <c r="N346" s="679"/>
      <c r="O346" s="679"/>
      <c r="P346" s="679"/>
      <c r="Q346" s="679"/>
      <c r="R346" s="679"/>
      <c r="S346" s="679">
        <v>0</v>
      </c>
      <c r="T346" s="679">
        <v>0</v>
      </c>
      <c r="U346" s="679">
        <v>0</v>
      </c>
      <c r="V346" s="679">
        <v>0</v>
      </c>
      <c r="W346" s="679">
        <v>0</v>
      </c>
      <c r="X346" s="679">
        <v>0</v>
      </c>
      <c r="Y346" s="679">
        <v>0</v>
      </c>
      <c r="Z346" s="679">
        <v>0</v>
      </c>
      <c r="AA346" s="679">
        <v>0</v>
      </c>
      <c r="AB346" s="679">
        <v>0</v>
      </c>
      <c r="AC346" s="679">
        <v>0</v>
      </c>
      <c r="AD346" s="679">
        <v>0</v>
      </c>
      <c r="AE346" s="679"/>
      <c r="AF346" s="679"/>
      <c r="AG346" s="679"/>
      <c r="AH346" s="679"/>
      <c r="AI346" s="679"/>
      <c r="AJ346" s="679"/>
      <c r="AK346" s="679"/>
      <c r="AL346" s="679"/>
      <c r="AM346" s="679"/>
      <c r="AN346" s="679"/>
      <c r="AO346" s="679"/>
      <c r="AP346" s="679"/>
      <c r="AQ346" s="679"/>
      <c r="AR346" s="679"/>
      <c r="AS346" s="679"/>
      <c r="AT346" s="679"/>
      <c r="AU346" s="679"/>
      <c r="AV346" s="679"/>
      <c r="AW346" s="679"/>
      <c r="AX346" s="679"/>
      <c r="AY346" s="679"/>
      <c r="AZ346" s="679"/>
      <c r="BA346" s="679"/>
      <c r="BB346" s="679"/>
      <c r="BC346" s="679"/>
      <c r="BD346" s="679"/>
      <c r="BE346" s="679"/>
      <c r="BF346" s="679"/>
      <c r="BG346" s="679"/>
      <c r="BH346" s="679"/>
      <c r="BI346" s="679"/>
      <c r="BJ346" s="679"/>
      <c r="BK346" s="679"/>
      <c r="BL346" s="679"/>
      <c r="BM346" s="679"/>
      <c r="BN346" s="679"/>
      <c r="BO346" s="679"/>
      <c r="BP346" s="679"/>
      <c r="BQ346" s="679"/>
      <c r="BR346" s="679"/>
      <c r="BS346" s="679"/>
      <c r="BT346" s="679"/>
      <c r="BU346" s="679"/>
      <c r="BV346" s="679"/>
      <c r="BW346" s="679"/>
      <c r="BX346" s="679"/>
      <c r="BY346" s="679"/>
      <c r="BZ346" s="679"/>
      <c r="CA346" s="679"/>
    </row>
    <row r="347" spans="1:79" hidden="1" outlineLevel="1" x14ac:dyDescent="0.35">
      <c r="A347" s="224"/>
      <c r="B347" s="224"/>
      <c r="C347" s="224"/>
      <c r="D347" s="224"/>
      <c r="E347" s="224"/>
      <c r="F347" s="671" t="s">
        <v>702</v>
      </c>
      <c r="G347" s="679"/>
      <c r="H347" s="679"/>
      <c r="I347" s="679"/>
      <c r="J347" s="679"/>
      <c r="K347" s="679"/>
      <c r="L347" s="679"/>
      <c r="M347" s="679"/>
      <c r="N347" s="679"/>
      <c r="O347" s="679"/>
      <c r="P347" s="679"/>
      <c r="Q347" s="679"/>
      <c r="R347" s="679"/>
      <c r="S347" s="679">
        <v>0</v>
      </c>
      <c r="T347" s="679">
        <v>0</v>
      </c>
      <c r="U347" s="679">
        <v>0</v>
      </c>
      <c r="V347" s="679">
        <v>0</v>
      </c>
      <c r="W347" s="679">
        <v>0</v>
      </c>
      <c r="X347" s="679">
        <v>0</v>
      </c>
      <c r="Y347" s="679">
        <v>0</v>
      </c>
      <c r="Z347" s="679">
        <v>0</v>
      </c>
      <c r="AA347" s="679">
        <v>0</v>
      </c>
      <c r="AB347" s="679">
        <v>0</v>
      </c>
      <c r="AC347" s="679">
        <v>0</v>
      </c>
      <c r="AD347" s="679">
        <v>0</v>
      </c>
      <c r="AE347" s="679"/>
      <c r="AF347" s="679"/>
      <c r="AG347" s="679"/>
      <c r="AH347" s="679"/>
      <c r="AI347" s="679"/>
      <c r="AJ347" s="679"/>
      <c r="AK347" s="679"/>
      <c r="AL347" s="679"/>
      <c r="AM347" s="679"/>
      <c r="AN347" s="679"/>
      <c r="AO347" s="679"/>
      <c r="AP347" s="679"/>
      <c r="AQ347" s="679"/>
      <c r="AR347" s="679"/>
      <c r="AS347" s="679"/>
      <c r="AT347" s="679"/>
      <c r="AU347" s="679"/>
      <c r="AV347" s="679"/>
      <c r="AW347" s="679"/>
      <c r="AX347" s="679"/>
      <c r="AY347" s="679"/>
      <c r="AZ347" s="679"/>
      <c r="BA347" s="679"/>
      <c r="BB347" s="679"/>
      <c r="BC347" s="679"/>
      <c r="BD347" s="679"/>
      <c r="BE347" s="679"/>
      <c r="BF347" s="679"/>
      <c r="BG347" s="679"/>
      <c r="BH347" s="679"/>
      <c r="BI347" s="679"/>
      <c r="BJ347" s="679"/>
      <c r="BK347" s="679"/>
      <c r="BL347" s="679"/>
      <c r="BM347" s="679"/>
      <c r="BN347" s="679"/>
      <c r="BO347" s="679"/>
      <c r="BP347" s="679"/>
      <c r="BQ347" s="679"/>
      <c r="BR347" s="679"/>
      <c r="BS347" s="679"/>
      <c r="BT347" s="679"/>
      <c r="BU347" s="679"/>
      <c r="BV347" s="679"/>
      <c r="BW347" s="679"/>
      <c r="BX347" s="679"/>
      <c r="BY347" s="679"/>
      <c r="BZ347" s="679"/>
      <c r="CA347" s="679"/>
    </row>
    <row r="348" spans="1:79" hidden="1" outlineLevel="1" x14ac:dyDescent="0.35">
      <c r="A348" s="224"/>
      <c r="B348" s="224"/>
      <c r="C348" s="224"/>
      <c r="D348" s="224"/>
      <c r="E348" s="224"/>
      <c r="F348" s="671" t="s">
        <v>860</v>
      </c>
      <c r="G348" s="679"/>
      <c r="H348" s="679"/>
      <c r="I348" s="679"/>
      <c r="J348" s="679"/>
      <c r="K348" s="679"/>
      <c r="L348" s="679"/>
      <c r="M348" s="679"/>
      <c r="N348" s="679"/>
      <c r="O348" s="679"/>
      <c r="P348" s="679"/>
      <c r="Q348" s="679"/>
      <c r="R348" s="679"/>
      <c r="S348" s="679">
        <v>0</v>
      </c>
      <c r="T348" s="679">
        <v>0</v>
      </c>
      <c r="U348" s="679">
        <v>0</v>
      </c>
      <c r="V348" s="679">
        <v>0</v>
      </c>
      <c r="W348" s="679">
        <v>0</v>
      </c>
      <c r="X348" s="679">
        <v>0</v>
      </c>
      <c r="Y348" s="679">
        <v>0</v>
      </c>
      <c r="Z348" s="679">
        <v>0</v>
      </c>
      <c r="AA348" s="679">
        <v>0</v>
      </c>
      <c r="AB348" s="679">
        <v>0</v>
      </c>
      <c r="AC348" s="679">
        <v>0</v>
      </c>
      <c r="AD348" s="679">
        <v>0</v>
      </c>
      <c r="AE348" s="679"/>
      <c r="AF348" s="679"/>
      <c r="AG348" s="679"/>
      <c r="AH348" s="679"/>
      <c r="AI348" s="679"/>
      <c r="AJ348" s="679"/>
      <c r="AK348" s="679"/>
      <c r="AL348" s="679"/>
      <c r="AM348" s="679"/>
      <c r="AN348" s="679"/>
      <c r="AO348" s="679"/>
      <c r="AP348" s="679"/>
      <c r="AQ348" s="679"/>
      <c r="AR348" s="679"/>
      <c r="AS348" s="679"/>
      <c r="AT348" s="679"/>
      <c r="AU348" s="679"/>
      <c r="AV348" s="679"/>
      <c r="AW348" s="679"/>
      <c r="AX348" s="679"/>
      <c r="AY348" s="679"/>
      <c r="AZ348" s="679"/>
      <c r="BA348" s="679"/>
      <c r="BB348" s="679"/>
      <c r="BC348" s="679"/>
      <c r="BD348" s="679"/>
      <c r="BE348" s="679"/>
      <c r="BF348" s="679"/>
      <c r="BG348" s="679"/>
      <c r="BH348" s="679"/>
      <c r="BI348" s="679"/>
      <c r="BJ348" s="679"/>
      <c r="BK348" s="679"/>
      <c r="BL348" s="679"/>
      <c r="BM348" s="679"/>
      <c r="BN348" s="679"/>
      <c r="BO348" s="679"/>
      <c r="BP348" s="679"/>
      <c r="BQ348" s="679"/>
      <c r="BR348" s="679"/>
      <c r="BS348" s="679"/>
      <c r="BT348" s="679"/>
      <c r="BU348" s="679"/>
      <c r="BV348" s="679"/>
      <c r="BW348" s="679"/>
      <c r="BX348" s="679"/>
      <c r="BY348" s="679"/>
      <c r="BZ348" s="679"/>
      <c r="CA348" s="679"/>
    </row>
    <row r="349" spans="1:79" hidden="1" outlineLevel="1" x14ac:dyDescent="0.35">
      <c r="A349" s="709"/>
      <c r="B349" s="709"/>
      <c r="C349" s="709"/>
      <c r="D349" s="709"/>
      <c r="E349" s="709"/>
      <c r="F349" s="707" t="s">
        <v>661</v>
      </c>
      <c r="G349" s="708"/>
      <c r="H349" s="708"/>
      <c r="I349" s="708"/>
      <c r="J349" s="708"/>
      <c r="K349" s="708"/>
      <c r="L349" s="708"/>
      <c r="M349" s="708"/>
      <c r="N349" s="708"/>
      <c r="O349" s="708"/>
      <c r="P349" s="708"/>
      <c r="Q349" s="708"/>
      <c r="R349" s="708"/>
      <c r="S349" s="708"/>
      <c r="T349" s="708"/>
      <c r="U349" s="708"/>
      <c r="V349" s="708"/>
      <c r="W349" s="708"/>
      <c r="X349" s="708"/>
      <c r="Y349" s="708"/>
      <c r="Z349" s="708"/>
      <c r="AA349" s="708"/>
      <c r="AB349" s="708"/>
      <c r="AC349" s="708"/>
      <c r="AD349" s="708"/>
      <c r="AE349" s="708"/>
      <c r="AF349" s="708"/>
      <c r="AG349" s="708"/>
      <c r="AH349" s="708"/>
      <c r="AI349" s="708"/>
      <c r="AJ349" s="708"/>
      <c r="AK349" s="708"/>
      <c r="AL349" s="708"/>
      <c r="AM349" s="708"/>
      <c r="AN349" s="708"/>
      <c r="AO349" s="708"/>
      <c r="AP349" s="708"/>
      <c r="AQ349" s="708"/>
      <c r="AR349" s="708"/>
      <c r="AS349" s="708"/>
      <c r="AT349" s="708"/>
      <c r="AU349" s="708"/>
      <c r="AV349" s="708"/>
      <c r="AW349" s="708"/>
      <c r="AX349" s="708"/>
      <c r="AY349" s="708"/>
      <c r="AZ349" s="708"/>
      <c r="BA349" s="708"/>
      <c r="BB349" s="708"/>
      <c r="BC349" s="708"/>
      <c r="BD349" s="708"/>
      <c r="BE349" s="708"/>
      <c r="BF349" s="708"/>
      <c r="BG349" s="708"/>
      <c r="BH349" s="708"/>
      <c r="BI349" s="708"/>
      <c r="BJ349" s="708"/>
      <c r="BK349" s="708"/>
      <c r="BL349" s="708"/>
      <c r="BM349" s="708"/>
      <c r="BN349" s="708"/>
      <c r="BO349" s="708"/>
      <c r="BP349" s="708"/>
      <c r="BQ349" s="708"/>
      <c r="BR349" s="708"/>
      <c r="BS349" s="708"/>
      <c r="BT349" s="708"/>
      <c r="BU349" s="708"/>
      <c r="BV349" s="708"/>
      <c r="BW349" s="708"/>
      <c r="BX349" s="708"/>
      <c r="BY349" s="708"/>
      <c r="BZ349" s="708"/>
      <c r="CA349" s="708"/>
    </row>
    <row r="350" spans="1:79" hidden="1" outlineLevel="1" x14ac:dyDescent="0.35">
      <c r="A350" s="224"/>
      <c r="B350" s="224"/>
      <c r="C350" s="224"/>
      <c r="D350" s="224"/>
      <c r="E350" s="224"/>
      <c r="F350" s="672" t="s">
        <v>662</v>
      </c>
      <c r="G350" s="679"/>
      <c r="H350" s="679"/>
      <c r="I350" s="679"/>
      <c r="J350" s="679"/>
      <c r="K350" s="679"/>
      <c r="L350" s="679"/>
      <c r="M350" s="679"/>
      <c r="N350" s="679"/>
      <c r="O350" s="679"/>
      <c r="P350" s="679"/>
      <c r="Q350" s="679"/>
      <c r="R350" s="679"/>
      <c r="S350" s="679">
        <v>0</v>
      </c>
      <c r="T350" s="679">
        <v>0</v>
      </c>
      <c r="U350" s="679">
        <v>0</v>
      </c>
      <c r="V350" s="679">
        <v>0</v>
      </c>
      <c r="W350" s="679">
        <v>0</v>
      </c>
      <c r="X350" s="679">
        <v>0</v>
      </c>
      <c r="Y350" s="679">
        <v>0</v>
      </c>
      <c r="Z350" s="679">
        <v>0</v>
      </c>
      <c r="AA350" s="679">
        <v>0</v>
      </c>
      <c r="AB350" s="679">
        <v>0</v>
      </c>
      <c r="AC350" s="679">
        <v>0</v>
      </c>
      <c r="AD350" s="679">
        <v>0</v>
      </c>
      <c r="AE350" s="679"/>
      <c r="AF350" s="679"/>
      <c r="AG350" s="679"/>
      <c r="AH350" s="679"/>
      <c r="AI350" s="679"/>
      <c r="AJ350" s="679"/>
      <c r="AK350" s="679"/>
      <c r="AL350" s="679"/>
      <c r="AM350" s="679"/>
      <c r="AN350" s="679"/>
      <c r="AO350" s="679"/>
      <c r="AP350" s="679"/>
      <c r="AQ350" s="679"/>
      <c r="AR350" s="679"/>
      <c r="AS350" s="679"/>
      <c r="AT350" s="679"/>
      <c r="AU350" s="679"/>
      <c r="AV350" s="679"/>
      <c r="AW350" s="679"/>
      <c r="AX350" s="679"/>
      <c r="AY350" s="679"/>
      <c r="AZ350" s="679"/>
      <c r="BA350" s="679"/>
      <c r="BB350" s="679"/>
      <c r="BC350" s="679"/>
      <c r="BD350" s="679"/>
      <c r="BE350" s="679"/>
      <c r="BF350" s="679"/>
      <c r="BG350" s="679"/>
      <c r="BH350" s="679"/>
      <c r="BI350" s="679"/>
      <c r="BJ350" s="679"/>
      <c r="BK350" s="679"/>
      <c r="BL350" s="679"/>
      <c r="BM350" s="679"/>
      <c r="BN350" s="679"/>
      <c r="BO350" s="679"/>
      <c r="BP350" s="679"/>
      <c r="BQ350" s="679"/>
      <c r="BR350" s="679"/>
      <c r="BS350" s="679"/>
      <c r="BT350" s="679"/>
      <c r="BU350" s="679"/>
      <c r="BV350" s="679"/>
      <c r="BW350" s="679"/>
      <c r="BX350" s="679"/>
      <c r="BY350" s="679"/>
      <c r="BZ350" s="679"/>
      <c r="CA350" s="679"/>
    </row>
    <row r="351" spans="1:79" hidden="1" outlineLevel="1" x14ac:dyDescent="0.35">
      <c r="A351" s="224"/>
      <c r="B351" s="224"/>
      <c r="C351" s="224"/>
      <c r="D351" s="224"/>
      <c r="E351" s="224"/>
      <c r="F351" s="672" t="s">
        <v>861</v>
      </c>
      <c r="G351" s="679"/>
      <c r="H351" s="679"/>
      <c r="I351" s="679"/>
      <c r="J351" s="679"/>
      <c r="K351" s="679"/>
      <c r="L351" s="679"/>
      <c r="M351" s="679"/>
      <c r="N351" s="679"/>
      <c r="O351" s="679"/>
      <c r="P351" s="679"/>
      <c r="Q351" s="679"/>
      <c r="R351" s="679"/>
      <c r="S351" s="679">
        <v>0</v>
      </c>
      <c r="T351" s="679">
        <v>0</v>
      </c>
      <c r="U351" s="679">
        <v>0</v>
      </c>
      <c r="V351" s="679">
        <v>0</v>
      </c>
      <c r="W351" s="679">
        <v>0</v>
      </c>
      <c r="X351" s="679">
        <v>0</v>
      </c>
      <c r="Y351" s="679">
        <v>0</v>
      </c>
      <c r="Z351" s="679">
        <v>0</v>
      </c>
      <c r="AA351" s="679">
        <v>0</v>
      </c>
      <c r="AB351" s="679">
        <v>0</v>
      </c>
      <c r="AC351" s="679">
        <v>0</v>
      </c>
      <c r="AD351" s="679">
        <v>0</v>
      </c>
      <c r="AE351" s="679"/>
      <c r="AF351" s="679"/>
      <c r="AG351" s="679"/>
      <c r="AH351" s="679"/>
      <c r="AI351" s="679"/>
      <c r="AJ351" s="679"/>
      <c r="AK351" s="679"/>
      <c r="AL351" s="679"/>
      <c r="AM351" s="679"/>
      <c r="AN351" s="679"/>
      <c r="AO351" s="679"/>
      <c r="AP351" s="679"/>
      <c r="AQ351" s="679"/>
      <c r="AR351" s="679"/>
      <c r="AS351" s="679"/>
      <c r="AT351" s="679"/>
      <c r="AU351" s="679"/>
      <c r="AV351" s="679"/>
      <c r="AW351" s="679"/>
      <c r="AX351" s="679"/>
      <c r="AY351" s="679"/>
      <c r="AZ351" s="679"/>
      <c r="BA351" s="679"/>
      <c r="BB351" s="679"/>
      <c r="BC351" s="679"/>
      <c r="BD351" s="679"/>
      <c r="BE351" s="679"/>
      <c r="BF351" s="679"/>
      <c r="BG351" s="679"/>
      <c r="BH351" s="679"/>
      <c r="BI351" s="679"/>
      <c r="BJ351" s="679"/>
      <c r="BK351" s="679"/>
      <c r="BL351" s="679"/>
      <c r="BM351" s="679"/>
      <c r="BN351" s="679"/>
      <c r="BO351" s="679"/>
      <c r="BP351" s="679"/>
      <c r="BQ351" s="679"/>
      <c r="BR351" s="679"/>
      <c r="BS351" s="679"/>
      <c r="BT351" s="679"/>
      <c r="BU351" s="679"/>
      <c r="BV351" s="679"/>
      <c r="BW351" s="679"/>
      <c r="BX351" s="679"/>
      <c r="BY351" s="679"/>
      <c r="BZ351" s="679"/>
      <c r="CA351" s="679"/>
    </row>
    <row r="352" spans="1:79" hidden="1" outlineLevel="1" x14ac:dyDescent="0.35">
      <c r="A352" s="224"/>
      <c r="B352" s="224"/>
      <c r="C352" s="224"/>
      <c r="D352" s="224"/>
      <c r="E352" s="224"/>
      <c r="F352" s="673" t="s">
        <v>663</v>
      </c>
      <c r="G352" s="680">
        <f>SUM(G350:G351)</f>
        <v>0</v>
      </c>
      <c r="H352" s="680">
        <f t="shared" ref="H352:BO352" si="120">SUM(H350:H351)</f>
        <v>0</v>
      </c>
      <c r="I352" s="680">
        <f t="shared" si="120"/>
        <v>0</v>
      </c>
      <c r="J352" s="680">
        <f t="shared" si="120"/>
        <v>0</v>
      </c>
      <c r="K352" s="680">
        <f t="shared" si="120"/>
        <v>0</v>
      </c>
      <c r="L352" s="680">
        <f t="shared" si="120"/>
        <v>0</v>
      </c>
      <c r="M352" s="680">
        <f t="shared" si="120"/>
        <v>0</v>
      </c>
      <c r="N352" s="680">
        <f t="shared" si="120"/>
        <v>0</v>
      </c>
      <c r="O352" s="680">
        <f t="shared" si="120"/>
        <v>0</v>
      </c>
      <c r="P352" s="680">
        <f t="shared" si="120"/>
        <v>0</v>
      </c>
      <c r="Q352" s="680">
        <f t="shared" si="120"/>
        <v>0</v>
      </c>
      <c r="R352" s="680">
        <f>SUM(R350:R351)</f>
        <v>0</v>
      </c>
      <c r="S352" s="680">
        <f t="shared" ref="S352:AA352" si="121">ROUND(SUM(S349:S351),5)</f>
        <v>0</v>
      </c>
      <c r="T352" s="680">
        <f t="shared" si="121"/>
        <v>0</v>
      </c>
      <c r="U352" s="680">
        <f t="shared" si="121"/>
        <v>0</v>
      </c>
      <c r="V352" s="680">
        <f t="shared" si="121"/>
        <v>0</v>
      </c>
      <c r="W352" s="680">
        <f t="shared" si="121"/>
        <v>0</v>
      </c>
      <c r="X352" s="680">
        <f t="shared" si="121"/>
        <v>0</v>
      </c>
      <c r="Y352" s="680">
        <f t="shared" si="121"/>
        <v>0</v>
      </c>
      <c r="Z352" s="680">
        <f t="shared" si="121"/>
        <v>0</v>
      </c>
      <c r="AA352" s="680">
        <f t="shared" si="121"/>
        <v>0</v>
      </c>
      <c r="AB352" s="680">
        <f>ROUND(SUM(AB349:AB351),5)</f>
        <v>0</v>
      </c>
      <c r="AC352" s="680">
        <f>ROUND(SUM(AC349:AC351),5)</f>
        <v>0</v>
      </c>
      <c r="AD352" s="680">
        <f>ROUND(SUM(AD349:AD351),5)</f>
        <v>0</v>
      </c>
      <c r="AE352" s="680">
        <f t="shared" si="120"/>
        <v>0</v>
      </c>
      <c r="AF352" s="680">
        <f t="shared" si="120"/>
        <v>0</v>
      </c>
      <c r="AG352" s="680">
        <f t="shared" si="120"/>
        <v>0</v>
      </c>
      <c r="AH352" s="680">
        <f t="shared" si="120"/>
        <v>0</v>
      </c>
      <c r="AI352" s="680">
        <f t="shared" si="120"/>
        <v>0</v>
      </c>
      <c r="AJ352" s="680">
        <f t="shared" si="120"/>
        <v>0</v>
      </c>
      <c r="AK352" s="680">
        <f t="shared" si="120"/>
        <v>0</v>
      </c>
      <c r="AL352" s="680">
        <f t="shared" si="120"/>
        <v>0</v>
      </c>
      <c r="AM352" s="680">
        <f t="shared" si="120"/>
        <v>0</v>
      </c>
      <c r="AN352" s="680">
        <f t="shared" si="120"/>
        <v>0</v>
      </c>
      <c r="AO352" s="680">
        <f t="shared" si="120"/>
        <v>0</v>
      </c>
      <c r="AP352" s="680">
        <f t="shared" si="120"/>
        <v>0</v>
      </c>
      <c r="AQ352" s="680">
        <f t="shared" si="120"/>
        <v>0</v>
      </c>
      <c r="AR352" s="680">
        <f t="shared" si="120"/>
        <v>0</v>
      </c>
      <c r="AS352" s="680">
        <f t="shared" si="120"/>
        <v>0</v>
      </c>
      <c r="AT352" s="680">
        <f t="shared" si="120"/>
        <v>0</v>
      </c>
      <c r="AU352" s="680">
        <f t="shared" si="120"/>
        <v>0</v>
      </c>
      <c r="AV352" s="680">
        <f t="shared" si="120"/>
        <v>0</v>
      </c>
      <c r="AW352" s="680">
        <f t="shared" si="120"/>
        <v>0</v>
      </c>
      <c r="AX352" s="680">
        <f t="shared" si="120"/>
        <v>0</v>
      </c>
      <c r="AY352" s="680">
        <f t="shared" si="120"/>
        <v>0</v>
      </c>
      <c r="AZ352" s="680">
        <f t="shared" si="120"/>
        <v>0</v>
      </c>
      <c r="BA352" s="680">
        <f t="shared" si="120"/>
        <v>0</v>
      </c>
      <c r="BB352" s="680">
        <f t="shared" si="120"/>
        <v>0</v>
      </c>
      <c r="BC352" s="680">
        <f t="shared" si="120"/>
        <v>0</v>
      </c>
      <c r="BD352" s="680">
        <f t="shared" si="120"/>
        <v>0</v>
      </c>
      <c r="BE352" s="680">
        <f t="shared" si="120"/>
        <v>0</v>
      </c>
      <c r="BF352" s="680">
        <f t="shared" si="120"/>
        <v>0</v>
      </c>
      <c r="BG352" s="680">
        <f t="shared" si="120"/>
        <v>0</v>
      </c>
      <c r="BH352" s="680">
        <f t="shared" si="120"/>
        <v>0</v>
      </c>
      <c r="BI352" s="680">
        <f t="shared" si="120"/>
        <v>0</v>
      </c>
      <c r="BJ352" s="680">
        <f t="shared" si="120"/>
        <v>0</v>
      </c>
      <c r="BK352" s="680">
        <f t="shared" si="120"/>
        <v>0</v>
      </c>
      <c r="BL352" s="680">
        <f t="shared" si="120"/>
        <v>0</v>
      </c>
      <c r="BM352" s="680">
        <f t="shared" si="120"/>
        <v>0</v>
      </c>
      <c r="BN352" s="680">
        <f t="shared" si="120"/>
        <v>0</v>
      </c>
      <c r="BO352" s="680">
        <f t="shared" si="120"/>
        <v>0</v>
      </c>
      <c r="BP352" s="680">
        <f t="shared" ref="BP352:CA352" si="122">SUM(BP350:BP351)</f>
        <v>0</v>
      </c>
      <c r="BQ352" s="680">
        <f t="shared" si="122"/>
        <v>0</v>
      </c>
      <c r="BR352" s="680">
        <f t="shared" si="122"/>
        <v>0</v>
      </c>
      <c r="BS352" s="680">
        <f t="shared" si="122"/>
        <v>0</v>
      </c>
      <c r="BT352" s="680">
        <f t="shared" si="122"/>
        <v>0</v>
      </c>
      <c r="BU352" s="680">
        <f t="shared" si="122"/>
        <v>0</v>
      </c>
      <c r="BV352" s="680">
        <f t="shared" si="122"/>
        <v>0</v>
      </c>
      <c r="BW352" s="680">
        <f t="shared" si="122"/>
        <v>0</v>
      </c>
      <c r="BX352" s="680">
        <f t="shared" si="122"/>
        <v>0</v>
      </c>
      <c r="BY352" s="680">
        <f t="shared" si="122"/>
        <v>0</v>
      </c>
      <c r="BZ352" s="680">
        <f t="shared" si="122"/>
        <v>0</v>
      </c>
      <c r="CA352" s="680">
        <f t="shared" si="122"/>
        <v>0</v>
      </c>
    </row>
    <row r="353" spans="1:79" hidden="1" outlineLevel="1" x14ac:dyDescent="0.35">
      <c r="A353" s="224"/>
      <c r="B353" s="224"/>
      <c r="C353" s="224"/>
      <c r="D353" s="224"/>
      <c r="E353" s="224"/>
      <c r="F353" s="671" t="s">
        <v>700</v>
      </c>
      <c r="G353" s="679"/>
      <c r="H353" s="679"/>
      <c r="I353" s="679"/>
      <c r="J353" s="679"/>
      <c r="K353" s="679"/>
      <c r="L353" s="679"/>
      <c r="M353" s="679"/>
      <c r="N353" s="679"/>
      <c r="O353" s="679"/>
      <c r="P353" s="679"/>
      <c r="Q353" s="679"/>
      <c r="R353" s="679"/>
      <c r="S353" s="679">
        <v>0</v>
      </c>
      <c r="T353" s="679">
        <v>0</v>
      </c>
      <c r="U353" s="679">
        <v>0</v>
      </c>
      <c r="V353" s="679">
        <v>0</v>
      </c>
      <c r="W353" s="679">
        <v>0</v>
      </c>
      <c r="X353" s="679">
        <v>0</v>
      </c>
      <c r="Y353" s="679">
        <v>0</v>
      </c>
      <c r="Z353" s="679">
        <v>0</v>
      </c>
      <c r="AA353" s="679">
        <v>0</v>
      </c>
      <c r="AB353" s="679">
        <v>0</v>
      </c>
      <c r="AC353" s="679">
        <v>0</v>
      </c>
      <c r="AD353" s="679">
        <v>0</v>
      </c>
      <c r="AE353" s="679"/>
      <c r="AF353" s="679"/>
      <c r="AG353" s="679"/>
      <c r="AH353" s="679"/>
      <c r="AI353" s="679"/>
      <c r="AJ353" s="679"/>
      <c r="AK353" s="679"/>
      <c r="AL353" s="679"/>
      <c r="AM353" s="679"/>
      <c r="AN353" s="679"/>
      <c r="AO353" s="679"/>
      <c r="AP353" s="679"/>
      <c r="AQ353" s="679"/>
      <c r="AR353" s="679"/>
      <c r="AS353" s="679"/>
      <c r="AT353" s="679"/>
      <c r="AU353" s="679"/>
      <c r="AV353" s="679"/>
      <c r="AW353" s="679"/>
      <c r="AX353" s="679"/>
      <c r="AY353" s="679"/>
      <c r="AZ353" s="679"/>
      <c r="BA353" s="679"/>
      <c r="BB353" s="679"/>
      <c r="BC353" s="679"/>
      <c r="BD353" s="679"/>
      <c r="BE353" s="679"/>
      <c r="BF353" s="679"/>
      <c r="BG353" s="679"/>
      <c r="BH353" s="679"/>
      <c r="BI353" s="679"/>
      <c r="BJ353" s="679"/>
      <c r="BK353" s="679"/>
      <c r="BL353" s="679"/>
      <c r="BM353" s="679"/>
      <c r="BN353" s="679"/>
      <c r="BO353" s="679"/>
      <c r="BP353" s="679"/>
      <c r="BQ353" s="679"/>
      <c r="BR353" s="679"/>
      <c r="BS353" s="679"/>
      <c r="BT353" s="679"/>
      <c r="BU353" s="679"/>
      <c r="BV353" s="679"/>
      <c r="BW353" s="679"/>
      <c r="BX353" s="679"/>
      <c r="BY353" s="679"/>
      <c r="BZ353" s="679"/>
      <c r="CA353" s="679"/>
    </row>
    <row r="354" spans="1:79" hidden="1" outlineLevel="1" x14ac:dyDescent="0.35">
      <c r="A354" s="224"/>
      <c r="B354" s="224"/>
      <c r="C354" s="224"/>
      <c r="D354" s="224"/>
      <c r="E354" s="224"/>
      <c r="F354" s="671" t="s">
        <v>862</v>
      </c>
      <c r="G354" s="679"/>
      <c r="H354" s="679"/>
      <c r="I354" s="679"/>
      <c r="J354" s="679"/>
      <c r="K354" s="679"/>
      <c r="L354" s="679"/>
      <c r="M354" s="679"/>
      <c r="N354" s="679"/>
      <c r="O354" s="679"/>
      <c r="P354" s="679"/>
      <c r="Q354" s="679"/>
      <c r="R354" s="679"/>
      <c r="S354" s="679">
        <v>0</v>
      </c>
      <c r="T354" s="679">
        <v>0</v>
      </c>
      <c r="U354" s="679">
        <v>0</v>
      </c>
      <c r="V354" s="679">
        <v>0</v>
      </c>
      <c r="W354" s="679">
        <v>0</v>
      </c>
      <c r="X354" s="679">
        <v>0</v>
      </c>
      <c r="Y354" s="679">
        <v>0</v>
      </c>
      <c r="Z354" s="679">
        <v>0</v>
      </c>
      <c r="AA354" s="679">
        <v>0</v>
      </c>
      <c r="AB354" s="679">
        <v>0</v>
      </c>
      <c r="AC354" s="679">
        <v>0</v>
      </c>
      <c r="AD354" s="679">
        <v>0</v>
      </c>
      <c r="AE354" s="679"/>
      <c r="AF354" s="679"/>
      <c r="AG354" s="679"/>
      <c r="AH354" s="679"/>
      <c r="AI354" s="679"/>
      <c r="AJ354" s="679"/>
      <c r="AK354" s="679"/>
      <c r="AL354" s="679"/>
      <c r="AM354" s="679"/>
      <c r="AN354" s="679"/>
      <c r="AO354" s="679"/>
      <c r="AP354" s="679"/>
      <c r="AQ354" s="679"/>
      <c r="AR354" s="679"/>
      <c r="AS354" s="679"/>
      <c r="AT354" s="679"/>
      <c r="AU354" s="679"/>
      <c r="AV354" s="679"/>
      <c r="AW354" s="679"/>
      <c r="AX354" s="679"/>
      <c r="AY354" s="679"/>
      <c r="AZ354" s="679"/>
      <c r="BA354" s="679"/>
      <c r="BB354" s="679"/>
      <c r="BC354" s="679"/>
      <c r="BD354" s="679"/>
      <c r="BE354" s="679"/>
      <c r="BF354" s="679"/>
      <c r="BG354" s="679"/>
      <c r="BH354" s="679"/>
      <c r="BI354" s="679"/>
      <c r="BJ354" s="679"/>
      <c r="BK354" s="679"/>
      <c r="BL354" s="679"/>
      <c r="BM354" s="679"/>
      <c r="BN354" s="679"/>
      <c r="BO354" s="679"/>
      <c r="BP354" s="679"/>
      <c r="BQ354" s="679"/>
      <c r="BR354" s="679"/>
      <c r="BS354" s="679"/>
      <c r="BT354" s="679"/>
      <c r="BU354" s="679"/>
      <c r="BV354" s="679"/>
      <c r="BW354" s="679"/>
      <c r="BX354" s="679"/>
      <c r="BY354" s="679"/>
      <c r="BZ354" s="679"/>
      <c r="CA354" s="679"/>
    </row>
    <row r="355" spans="1:79" hidden="1" outlineLevel="1" x14ac:dyDescent="0.35">
      <c r="A355" s="224"/>
      <c r="B355" s="224"/>
      <c r="C355" s="224"/>
      <c r="D355" s="224"/>
      <c r="E355" s="224"/>
      <c r="F355" s="671" t="s">
        <v>863</v>
      </c>
      <c r="G355" s="679"/>
      <c r="H355" s="679"/>
      <c r="I355" s="679"/>
      <c r="J355" s="679"/>
      <c r="K355" s="679"/>
      <c r="L355" s="679"/>
      <c r="M355" s="679"/>
      <c r="N355" s="679"/>
      <c r="O355" s="679"/>
      <c r="P355" s="679"/>
      <c r="Q355" s="679"/>
      <c r="R355" s="679"/>
      <c r="S355" s="679">
        <v>0</v>
      </c>
      <c r="T355" s="679">
        <v>0</v>
      </c>
      <c r="U355" s="679">
        <v>0</v>
      </c>
      <c r="V355" s="679">
        <v>0</v>
      </c>
      <c r="W355" s="679">
        <v>0</v>
      </c>
      <c r="X355" s="679">
        <v>0</v>
      </c>
      <c r="Y355" s="679">
        <v>0</v>
      </c>
      <c r="Z355" s="679">
        <v>0</v>
      </c>
      <c r="AA355" s="679">
        <v>0</v>
      </c>
      <c r="AB355" s="679">
        <v>0</v>
      </c>
      <c r="AC355" s="679">
        <v>0</v>
      </c>
      <c r="AD355" s="679">
        <v>0</v>
      </c>
      <c r="AE355" s="679"/>
      <c r="AF355" s="679"/>
      <c r="AG355" s="679"/>
      <c r="AH355" s="679"/>
      <c r="AI355" s="679"/>
      <c r="AJ355" s="679"/>
      <c r="AK355" s="679"/>
      <c r="AL355" s="679"/>
      <c r="AM355" s="679"/>
      <c r="AN355" s="679"/>
      <c r="AO355" s="679"/>
      <c r="AP355" s="679"/>
      <c r="AQ355" s="679"/>
      <c r="AR355" s="679"/>
      <c r="AS355" s="679"/>
      <c r="AT355" s="679"/>
      <c r="AU355" s="679"/>
      <c r="AV355" s="679"/>
      <c r="AW355" s="679"/>
      <c r="AX355" s="679"/>
      <c r="AY355" s="679"/>
      <c r="AZ355" s="679"/>
      <c r="BA355" s="679"/>
      <c r="BB355" s="679"/>
      <c r="BC355" s="679"/>
      <c r="BD355" s="679"/>
      <c r="BE355" s="679"/>
      <c r="BF355" s="679"/>
      <c r="BG355" s="679"/>
      <c r="BH355" s="679"/>
      <c r="BI355" s="679"/>
      <c r="BJ355" s="679"/>
      <c r="BK355" s="679"/>
      <c r="BL355" s="679"/>
      <c r="BM355" s="679"/>
      <c r="BN355" s="679"/>
      <c r="BO355" s="679"/>
      <c r="BP355" s="679"/>
      <c r="BQ355" s="679"/>
      <c r="BR355" s="679"/>
      <c r="BS355" s="679"/>
      <c r="BT355" s="679"/>
      <c r="BU355" s="679"/>
      <c r="BV355" s="679"/>
      <c r="BW355" s="679"/>
      <c r="BX355" s="679"/>
      <c r="BY355" s="679"/>
      <c r="BZ355" s="679"/>
      <c r="CA355" s="679"/>
    </row>
    <row r="356" spans="1:79" hidden="1" outlineLevel="1" x14ac:dyDescent="0.35">
      <c r="A356" s="224"/>
      <c r="B356" s="224"/>
      <c r="C356" s="224"/>
      <c r="D356" s="224"/>
      <c r="E356" s="224"/>
      <c r="F356" s="671" t="s">
        <v>18</v>
      </c>
      <c r="G356" s="679"/>
      <c r="H356" s="679"/>
      <c r="I356" s="679"/>
      <c r="J356" s="679"/>
      <c r="K356" s="679"/>
      <c r="L356" s="679"/>
      <c r="M356" s="679"/>
      <c r="N356" s="679"/>
      <c r="O356" s="679"/>
      <c r="P356" s="679"/>
      <c r="Q356" s="679"/>
      <c r="R356" s="679"/>
      <c r="S356" s="679">
        <v>0</v>
      </c>
      <c r="T356" s="679">
        <v>0</v>
      </c>
      <c r="U356" s="679">
        <v>0</v>
      </c>
      <c r="V356" s="679">
        <v>0</v>
      </c>
      <c r="W356" s="679">
        <v>0</v>
      </c>
      <c r="X356" s="679">
        <v>0</v>
      </c>
      <c r="Y356" s="679">
        <v>0</v>
      </c>
      <c r="Z356" s="679">
        <v>0</v>
      </c>
      <c r="AA356" s="679">
        <v>0</v>
      </c>
      <c r="AB356" s="679">
        <v>0</v>
      </c>
      <c r="AC356" s="679">
        <v>0</v>
      </c>
      <c r="AD356" s="679">
        <v>0</v>
      </c>
      <c r="AE356" s="679"/>
      <c r="AF356" s="679"/>
      <c r="AG356" s="679"/>
      <c r="AH356" s="679"/>
      <c r="AI356" s="679"/>
      <c r="AJ356" s="679"/>
      <c r="AK356" s="679"/>
      <c r="AL356" s="679"/>
      <c r="AM356" s="679"/>
      <c r="AN356" s="679"/>
      <c r="AO356" s="679"/>
      <c r="AP356" s="679"/>
      <c r="AQ356" s="679"/>
      <c r="AR356" s="679"/>
      <c r="AS356" s="679"/>
      <c r="AT356" s="679"/>
      <c r="AU356" s="679"/>
      <c r="AV356" s="679"/>
      <c r="AW356" s="679"/>
      <c r="AX356" s="679"/>
      <c r="AY356" s="679"/>
      <c r="AZ356" s="679"/>
      <c r="BA356" s="679"/>
      <c r="BB356" s="679"/>
      <c r="BC356" s="679"/>
      <c r="BD356" s="679"/>
      <c r="BE356" s="679"/>
      <c r="BF356" s="679"/>
      <c r="BG356" s="679"/>
      <c r="BH356" s="679"/>
      <c r="BI356" s="679"/>
      <c r="BJ356" s="679"/>
      <c r="BK356" s="679"/>
      <c r="BL356" s="679"/>
      <c r="BM356" s="679"/>
      <c r="BN356" s="679"/>
      <c r="BO356" s="679"/>
      <c r="BP356" s="679"/>
      <c r="BQ356" s="679"/>
      <c r="BR356" s="679"/>
      <c r="BS356" s="679"/>
      <c r="BT356" s="679"/>
      <c r="BU356" s="679"/>
      <c r="BV356" s="679"/>
      <c r="BW356" s="679"/>
      <c r="BX356" s="679"/>
      <c r="BY356" s="679"/>
      <c r="BZ356" s="679"/>
      <c r="CA356" s="679"/>
    </row>
    <row r="357" spans="1:79" hidden="1" outlineLevel="1" x14ac:dyDescent="0.35">
      <c r="A357" s="224"/>
      <c r="B357" s="224"/>
      <c r="C357" s="224"/>
      <c r="D357" s="224"/>
      <c r="E357" s="224"/>
      <c r="F357" s="671" t="s">
        <v>864</v>
      </c>
      <c r="G357" s="679"/>
      <c r="H357" s="679"/>
      <c r="I357" s="679"/>
      <c r="J357" s="679"/>
      <c r="K357" s="679"/>
      <c r="L357" s="679"/>
      <c r="M357" s="679"/>
      <c r="N357" s="679"/>
      <c r="O357" s="679"/>
      <c r="P357" s="679"/>
      <c r="Q357" s="679"/>
      <c r="R357" s="679"/>
      <c r="S357" s="679">
        <v>0</v>
      </c>
      <c r="T357" s="679">
        <v>0</v>
      </c>
      <c r="U357" s="679">
        <v>0</v>
      </c>
      <c r="V357" s="679">
        <v>0</v>
      </c>
      <c r="W357" s="679">
        <v>0</v>
      </c>
      <c r="X357" s="679">
        <v>0</v>
      </c>
      <c r="Y357" s="679">
        <v>0</v>
      </c>
      <c r="Z357" s="679">
        <v>0</v>
      </c>
      <c r="AA357" s="679">
        <v>0</v>
      </c>
      <c r="AB357" s="679">
        <v>0</v>
      </c>
      <c r="AC357" s="679">
        <v>0</v>
      </c>
      <c r="AD357" s="679">
        <v>0</v>
      </c>
      <c r="AE357" s="679"/>
      <c r="AF357" s="679"/>
      <c r="AG357" s="679"/>
      <c r="AH357" s="679"/>
      <c r="AI357" s="679"/>
      <c r="AJ357" s="679"/>
      <c r="AK357" s="679"/>
      <c r="AL357" s="679"/>
      <c r="AM357" s="679"/>
      <c r="AN357" s="679"/>
      <c r="AO357" s="679"/>
      <c r="AP357" s="679"/>
      <c r="AQ357" s="679"/>
      <c r="AR357" s="679"/>
      <c r="AS357" s="679"/>
      <c r="AT357" s="679"/>
      <c r="AU357" s="679"/>
      <c r="AV357" s="679"/>
      <c r="AW357" s="679"/>
      <c r="AX357" s="679"/>
      <c r="AY357" s="679"/>
      <c r="AZ357" s="679"/>
      <c r="BA357" s="679"/>
      <c r="BB357" s="679"/>
      <c r="BC357" s="679"/>
      <c r="BD357" s="679"/>
      <c r="BE357" s="679"/>
      <c r="BF357" s="679"/>
      <c r="BG357" s="679"/>
      <c r="BH357" s="679"/>
      <c r="BI357" s="679"/>
      <c r="BJ357" s="679"/>
      <c r="BK357" s="679"/>
      <c r="BL357" s="679"/>
      <c r="BM357" s="679"/>
      <c r="BN357" s="679"/>
      <c r="BO357" s="679"/>
      <c r="BP357" s="679"/>
      <c r="BQ357" s="679"/>
      <c r="BR357" s="679"/>
      <c r="BS357" s="679"/>
      <c r="BT357" s="679"/>
      <c r="BU357" s="679"/>
      <c r="BV357" s="679"/>
      <c r="BW357" s="679"/>
      <c r="BX357" s="679"/>
      <c r="BY357" s="679"/>
      <c r="BZ357" s="679"/>
      <c r="CA357" s="679"/>
    </row>
    <row r="358" spans="1:79" hidden="1" outlineLevel="1" x14ac:dyDescent="0.35">
      <c r="A358" s="709"/>
      <c r="B358" s="709"/>
      <c r="C358" s="709"/>
      <c r="D358" s="709"/>
      <c r="E358" s="709"/>
      <c r="F358" s="707" t="s">
        <v>649</v>
      </c>
      <c r="G358" s="708"/>
      <c r="H358" s="708"/>
      <c r="I358" s="708"/>
      <c r="J358" s="708"/>
      <c r="K358" s="708"/>
      <c r="L358" s="708"/>
      <c r="M358" s="708"/>
      <c r="N358" s="708"/>
      <c r="O358" s="708"/>
      <c r="P358" s="708"/>
      <c r="Q358" s="708"/>
      <c r="R358" s="708"/>
      <c r="S358" s="708"/>
      <c r="T358" s="708"/>
      <c r="U358" s="708"/>
      <c r="V358" s="708"/>
      <c r="W358" s="708"/>
      <c r="X358" s="708"/>
      <c r="Y358" s="708"/>
      <c r="Z358" s="708"/>
      <c r="AA358" s="708"/>
      <c r="AB358" s="708"/>
      <c r="AC358" s="708"/>
      <c r="AD358" s="708"/>
      <c r="AE358" s="708"/>
      <c r="AF358" s="708"/>
      <c r="AG358" s="708"/>
      <c r="AH358" s="708"/>
      <c r="AI358" s="708"/>
      <c r="AJ358" s="708"/>
      <c r="AK358" s="708"/>
      <c r="AL358" s="708"/>
      <c r="AM358" s="708"/>
      <c r="AN358" s="708"/>
      <c r="AO358" s="708"/>
      <c r="AP358" s="708"/>
      <c r="AQ358" s="708"/>
      <c r="AR358" s="708"/>
      <c r="AS358" s="708"/>
      <c r="AT358" s="708"/>
      <c r="AU358" s="708"/>
      <c r="AV358" s="708"/>
      <c r="AW358" s="708"/>
      <c r="AX358" s="708"/>
      <c r="AY358" s="708"/>
      <c r="AZ358" s="708"/>
      <c r="BA358" s="708"/>
      <c r="BB358" s="708"/>
      <c r="BC358" s="708"/>
      <c r="BD358" s="708"/>
      <c r="BE358" s="708"/>
      <c r="BF358" s="708"/>
      <c r="BG358" s="708"/>
      <c r="BH358" s="708"/>
      <c r="BI358" s="708"/>
      <c r="BJ358" s="708"/>
      <c r="BK358" s="708"/>
      <c r="BL358" s="708"/>
      <c r="BM358" s="708"/>
      <c r="BN358" s="708"/>
      <c r="BO358" s="708"/>
      <c r="BP358" s="708"/>
      <c r="BQ358" s="708"/>
      <c r="BR358" s="708"/>
      <c r="BS358" s="708"/>
      <c r="BT358" s="708"/>
      <c r="BU358" s="708"/>
      <c r="BV358" s="708"/>
      <c r="BW358" s="708"/>
      <c r="BX358" s="708"/>
      <c r="BY358" s="708"/>
      <c r="BZ358" s="708"/>
      <c r="CA358" s="708"/>
    </row>
    <row r="359" spans="1:79" hidden="1" outlineLevel="1" x14ac:dyDescent="0.35">
      <c r="A359" s="224"/>
      <c r="B359" s="224"/>
      <c r="C359" s="224"/>
      <c r="D359" s="224"/>
      <c r="E359" s="224"/>
      <c r="F359" s="672" t="s">
        <v>865</v>
      </c>
      <c r="G359" s="679"/>
      <c r="H359" s="679"/>
      <c r="I359" s="679"/>
      <c r="J359" s="679"/>
      <c r="K359" s="679"/>
      <c r="L359" s="679"/>
      <c r="M359" s="679"/>
      <c r="N359" s="679"/>
      <c r="O359" s="679"/>
      <c r="P359" s="679"/>
      <c r="Q359" s="679"/>
      <c r="R359" s="679"/>
      <c r="S359" s="679">
        <v>0</v>
      </c>
      <c r="T359" s="679">
        <v>0</v>
      </c>
      <c r="U359" s="679">
        <v>0</v>
      </c>
      <c r="V359" s="679">
        <v>0</v>
      </c>
      <c r="W359" s="679">
        <v>0</v>
      </c>
      <c r="X359" s="679">
        <v>0</v>
      </c>
      <c r="Y359" s="679">
        <v>0</v>
      </c>
      <c r="Z359" s="679">
        <v>0</v>
      </c>
      <c r="AA359" s="679">
        <v>0</v>
      </c>
      <c r="AB359" s="679">
        <v>0</v>
      </c>
      <c r="AC359" s="679">
        <v>0</v>
      </c>
      <c r="AD359" s="679">
        <v>0</v>
      </c>
      <c r="AE359" s="679"/>
      <c r="AF359" s="679"/>
      <c r="AG359" s="679"/>
      <c r="AH359" s="679"/>
      <c r="AI359" s="679"/>
      <c r="AJ359" s="679"/>
      <c r="AK359" s="679"/>
      <c r="AL359" s="679"/>
      <c r="AM359" s="679"/>
      <c r="AN359" s="679"/>
      <c r="AO359" s="679"/>
      <c r="AP359" s="679"/>
      <c r="AQ359" s="679"/>
      <c r="AR359" s="679"/>
      <c r="AS359" s="679"/>
      <c r="AT359" s="679"/>
      <c r="AU359" s="679"/>
      <c r="AV359" s="679"/>
      <c r="AW359" s="679"/>
      <c r="AX359" s="679"/>
      <c r="AY359" s="679"/>
      <c r="AZ359" s="679"/>
      <c r="BA359" s="679"/>
      <c r="BB359" s="679"/>
      <c r="BC359" s="679"/>
      <c r="BD359" s="679"/>
      <c r="BE359" s="679"/>
      <c r="BF359" s="679"/>
      <c r="BG359" s="679"/>
      <c r="BH359" s="679"/>
      <c r="BI359" s="679"/>
      <c r="BJ359" s="679"/>
      <c r="BK359" s="679"/>
      <c r="BL359" s="679"/>
      <c r="BM359" s="679"/>
      <c r="BN359" s="679"/>
      <c r="BO359" s="679"/>
      <c r="BP359" s="679"/>
      <c r="BQ359" s="679"/>
      <c r="BR359" s="679"/>
      <c r="BS359" s="679"/>
      <c r="BT359" s="679"/>
      <c r="BU359" s="679"/>
      <c r="BV359" s="679"/>
      <c r="BW359" s="679"/>
      <c r="BX359" s="679"/>
      <c r="BY359" s="679"/>
      <c r="BZ359" s="679"/>
      <c r="CA359" s="679"/>
    </row>
    <row r="360" spans="1:79" hidden="1" outlineLevel="1" x14ac:dyDescent="0.35">
      <c r="A360" s="574"/>
      <c r="B360" s="574"/>
      <c r="C360" s="574"/>
      <c r="D360" s="574"/>
      <c r="E360" s="574"/>
      <c r="F360" s="672" t="s">
        <v>866</v>
      </c>
      <c r="G360" s="735"/>
      <c r="H360" s="735"/>
      <c r="I360" s="735"/>
      <c r="J360" s="735"/>
      <c r="K360" s="735"/>
      <c r="L360" s="735"/>
      <c r="M360" s="735"/>
      <c r="N360" s="735"/>
      <c r="O360" s="735"/>
      <c r="P360" s="732"/>
      <c r="Q360" s="732"/>
      <c r="R360" s="732"/>
      <c r="S360" s="679">
        <v>0</v>
      </c>
      <c r="T360" s="679">
        <v>800</v>
      </c>
      <c r="U360" s="679">
        <v>-1600</v>
      </c>
      <c r="V360" s="679">
        <v>0</v>
      </c>
      <c r="W360" s="679">
        <v>0</v>
      </c>
      <c r="X360" s="679">
        <v>0</v>
      </c>
      <c r="Y360" s="679">
        <v>0</v>
      </c>
      <c r="Z360" s="679">
        <v>0</v>
      </c>
      <c r="AA360" s="679">
        <v>0</v>
      </c>
      <c r="AB360" s="679">
        <v>0</v>
      </c>
      <c r="AC360" s="679">
        <v>0</v>
      </c>
      <c r="AD360" s="679">
        <v>0</v>
      </c>
      <c r="AE360" s="734"/>
      <c r="AF360" s="734"/>
      <c r="AG360" s="734"/>
      <c r="AH360" s="734"/>
      <c r="AI360" s="734"/>
      <c r="AJ360" s="734"/>
      <c r="AK360" s="734"/>
      <c r="AL360" s="734"/>
      <c r="AM360" s="734"/>
      <c r="AN360" s="734"/>
      <c r="AO360" s="734"/>
      <c r="AP360" s="734"/>
      <c r="AQ360" s="734"/>
      <c r="AR360" s="734"/>
      <c r="AS360" s="734"/>
      <c r="AT360" s="734"/>
      <c r="AU360" s="734"/>
      <c r="AV360" s="734"/>
      <c r="AW360" s="734"/>
      <c r="AX360" s="734"/>
      <c r="AY360" s="734"/>
      <c r="AZ360" s="734"/>
      <c r="BA360" s="734"/>
      <c r="BB360" s="734"/>
      <c r="BC360" s="734"/>
      <c r="BD360" s="734"/>
      <c r="BE360" s="734"/>
      <c r="BF360" s="734"/>
      <c r="BG360" s="734"/>
      <c r="BH360" s="734"/>
      <c r="BI360" s="734"/>
      <c r="BJ360" s="734"/>
      <c r="BK360" s="734"/>
      <c r="BL360" s="734"/>
      <c r="BM360" s="734"/>
      <c r="BN360" s="734"/>
      <c r="BO360" s="734"/>
      <c r="BP360" s="734"/>
      <c r="BQ360" s="734"/>
      <c r="BR360" s="734"/>
      <c r="BS360" s="734"/>
      <c r="BT360" s="734"/>
      <c r="BU360" s="734"/>
      <c r="BV360" s="734"/>
      <c r="BW360" s="734"/>
      <c r="BX360" s="734"/>
      <c r="BY360" s="734"/>
      <c r="BZ360" s="734"/>
      <c r="CA360" s="734"/>
    </row>
    <row r="361" spans="1:79" hidden="1" outlineLevel="1" x14ac:dyDescent="0.35">
      <c r="A361" s="224"/>
      <c r="B361" s="224"/>
      <c r="C361" s="224"/>
      <c r="D361" s="224"/>
      <c r="E361" s="224"/>
      <c r="F361" s="673" t="s">
        <v>867</v>
      </c>
      <c r="G361" s="680">
        <f>SUM(G359:G360)</f>
        <v>0</v>
      </c>
      <c r="H361" s="680">
        <f t="shared" ref="H361:BO361" si="123">SUM(H359:H360)</f>
        <v>0</v>
      </c>
      <c r="I361" s="680">
        <f t="shared" si="123"/>
        <v>0</v>
      </c>
      <c r="J361" s="680">
        <f t="shared" si="123"/>
        <v>0</v>
      </c>
      <c r="K361" s="680">
        <f t="shared" si="123"/>
        <v>0</v>
      </c>
      <c r="L361" s="680">
        <f t="shared" si="123"/>
        <v>0</v>
      </c>
      <c r="M361" s="680">
        <f t="shared" si="123"/>
        <v>0</v>
      </c>
      <c r="N361" s="680">
        <f t="shared" si="123"/>
        <v>0</v>
      </c>
      <c r="O361" s="680">
        <f t="shared" si="123"/>
        <v>0</v>
      </c>
      <c r="P361" s="680">
        <f t="shared" si="123"/>
        <v>0</v>
      </c>
      <c r="Q361" s="680">
        <f t="shared" si="123"/>
        <v>0</v>
      </c>
      <c r="R361" s="680">
        <f t="shared" si="123"/>
        <v>0</v>
      </c>
      <c r="S361" s="680">
        <f t="shared" ref="S361:AA361" si="124">ROUND(SUM(S358:S360),5)</f>
        <v>0</v>
      </c>
      <c r="T361" s="680">
        <f t="shared" si="124"/>
        <v>800</v>
      </c>
      <c r="U361" s="680">
        <f t="shared" si="124"/>
        <v>-1600</v>
      </c>
      <c r="V361" s="680">
        <f t="shared" si="124"/>
        <v>0</v>
      </c>
      <c r="W361" s="680">
        <f t="shared" si="124"/>
        <v>0</v>
      </c>
      <c r="X361" s="680">
        <f t="shared" si="124"/>
        <v>0</v>
      </c>
      <c r="Y361" s="680">
        <f t="shared" si="124"/>
        <v>0</v>
      </c>
      <c r="Z361" s="680">
        <f t="shared" si="124"/>
        <v>0</v>
      </c>
      <c r="AA361" s="680">
        <f t="shared" si="124"/>
        <v>0</v>
      </c>
      <c r="AB361" s="680">
        <f>ROUND(SUM(AB358:AB360),5)</f>
        <v>0</v>
      </c>
      <c r="AC361" s="680">
        <f>ROUND(SUM(AC358:AC360),5)</f>
        <v>0</v>
      </c>
      <c r="AD361" s="680">
        <f>ROUND(SUM(AD358:AD360),5)</f>
        <v>0</v>
      </c>
      <c r="AE361" s="680">
        <f t="shared" si="123"/>
        <v>0</v>
      </c>
      <c r="AF361" s="680">
        <f t="shared" si="123"/>
        <v>0</v>
      </c>
      <c r="AG361" s="680">
        <f t="shared" si="123"/>
        <v>0</v>
      </c>
      <c r="AH361" s="680">
        <f t="shared" si="123"/>
        <v>0</v>
      </c>
      <c r="AI361" s="680">
        <f t="shared" si="123"/>
        <v>0</v>
      </c>
      <c r="AJ361" s="680">
        <f t="shared" si="123"/>
        <v>0</v>
      </c>
      <c r="AK361" s="680">
        <f t="shared" si="123"/>
        <v>0</v>
      </c>
      <c r="AL361" s="680">
        <f t="shared" si="123"/>
        <v>0</v>
      </c>
      <c r="AM361" s="680">
        <f t="shared" si="123"/>
        <v>0</v>
      </c>
      <c r="AN361" s="680">
        <f t="shared" si="123"/>
        <v>0</v>
      </c>
      <c r="AO361" s="680">
        <f t="shared" si="123"/>
        <v>0</v>
      </c>
      <c r="AP361" s="680">
        <f t="shared" si="123"/>
        <v>0</v>
      </c>
      <c r="AQ361" s="680">
        <f t="shared" si="123"/>
        <v>0</v>
      </c>
      <c r="AR361" s="680">
        <f t="shared" si="123"/>
        <v>0</v>
      </c>
      <c r="AS361" s="680">
        <f t="shared" si="123"/>
        <v>0</v>
      </c>
      <c r="AT361" s="680">
        <f t="shared" si="123"/>
        <v>0</v>
      </c>
      <c r="AU361" s="680">
        <f t="shared" si="123"/>
        <v>0</v>
      </c>
      <c r="AV361" s="680">
        <f t="shared" si="123"/>
        <v>0</v>
      </c>
      <c r="AW361" s="680">
        <f t="shared" si="123"/>
        <v>0</v>
      </c>
      <c r="AX361" s="680">
        <f t="shared" si="123"/>
        <v>0</v>
      </c>
      <c r="AY361" s="680">
        <f t="shared" si="123"/>
        <v>0</v>
      </c>
      <c r="AZ361" s="680">
        <f t="shared" si="123"/>
        <v>0</v>
      </c>
      <c r="BA361" s="680">
        <f t="shared" si="123"/>
        <v>0</v>
      </c>
      <c r="BB361" s="680">
        <f t="shared" si="123"/>
        <v>0</v>
      </c>
      <c r="BC361" s="680">
        <f t="shared" si="123"/>
        <v>0</v>
      </c>
      <c r="BD361" s="680">
        <f t="shared" si="123"/>
        <v>0</v>
      </c>
      <c r="BE361" s="680">
        <f t="shared" si="123"/>
        <v>0</v>
      </c>
      <c r="BF361" s="680">
        <f t="shared" si="123"/>
        <v>0</v>
      </c>
      <c r="BG361" s="680">
        <f t="shared" si="123"/>
        <v>0</v>
      </c>
      <c r="BH361" s="680">
        <f t="shared" si="123"/>
        <v>0</v>
      </c>
      <c r="BI361" s="680">
        <f t="shared" si="123"/>
        <v>0</v>
      </c>
      <c r="BJ361" s="680">
        <f t="shared" si="123"/>
        <v>0</v>
      </c>
      <c r="BK361" s="680">
        <f t="shared" si="123"/>
        <v>0</v>
      </c>
      <c r="BL361" s="680">
        <f t="shared" si="123"/>
        <v>0</v>
      </c>
      <c r="BM361" s="680">
        <f t="shared" si="123"/>
        <v>0</v>
      </c>
      <c r="BN361" s="680">
        <f t="shared" si="123"/>
        <v>0</v>
      </c>
      <c r="BO361" s="680">
        <f t="shared" si="123"/>
        <v>0</v>
      </c>
      <c r="BP361" s="680">
        <f t="shared" ref="BP361:CA361" si="125">SUM(BP359:BP360)</f>
        <v>0</v>
      </c>
      <c r="BQ361" s="680">
        <f t="shared" si="125"/>
        <v>0</v>
      </c>
      <c r="BR361" s="680">
        <f t="shared" si="125"/>
        <v>0</v>
      </c>
      <c r="BS361" s="680">
        <f t="shared" si="125"/>
        <v>0</v>
      </c>
      <c r="BT361" s="680">
        <f t="shared" si="125"/>
        <v>0</v>
      </c>
      <c r="BU361" s="680">
        <f t="shared" si="125"/>
        <v>0</v>
      </c>
      <c r="BV361" s="680">
        <f t="shared" si="125"/>
        <v>0</v>
      </c>
      <c r="BW361" s="680">
        <f t="shared" si="125"/>
        <v>0</v>
      </c>
      <c r="BX361" s="680">
        <f t="shared" si="125"/>
        <v>0</v>
      </c>
      <c r="BY361" s="680">
        <f t="shared" si="125"/>
        <v>0</v>
      </c>
      <c r="BZ361" s="680">
        <f t="shared" si="125"/>
        <v>0</v>
      </c>
      <c r="CA361" s="680">
        <f t="shared" si="125"/>
        <v>0</v>
      </c>
    </row>
    <row r="362" spans="1:79" hidden="1" outlineLevel="1" x14ac:dyDescent="0.35">
      <c r="A362" s="224"/>
      <c r="B362" s="224"/>
      <c r="C362" s="224"/>
      <c r="D362" s="224"/>
      <c r="E362" s="224"/>
      <c r="F362" s="671" t="s">
        <v>868</v>
      </c>
      <c r="G362" s="680"/>
      <c r="H362" s="680"/>
      <c r="I362" s="680"/>
      <c r="J362" s="680"/>
      <c r="K362" s="680"/>
      <c r="L362" s="680"/>
      <c r="M362" s="680"/>
      <c r="N362" s="680"/>
      <c r="O362" s="680"/>
      <c r="P362" s="680"/>
      <c r="Q362" s="680"/>
      <c r="R362" s="680"/>
      <c r="S362" s="679">
        <v>0</v>
      </c>
      <c r="T362" s="679">
        <v>0</v>
      </c>
      <c r="U362" s="679">
        <v>0</v>
      </c>
      <c r="V362" s="679">
        <v>0</v>
      </c>
      <c r="W362" s="679">
        <v>0</v>
      </c>
      <c r="X362" s="679">
        <v>0</v>
      </c>
      <c r="Y362" s="679">
        <v>0</v>
      </c>
      <c r="Z362" s="679">
        <v>0</v>
      </c>
      <c r="AA362" s="679">
        <v>0</v>
      </c>
      <c r="AB362" s="679">
        <v>0</v>
      </c>
      <c r="AC362" s="679">
        <v>0</v>
      </c>
      <c r="AD362" s="679">
        <v>0</v>
      </c>
      <c r="AE362" s="680"/>
      <c r="AF362" s="680"/>
      <c r="AG362" s="680"/>
      <c r="AH362" s="680"/>
      <c r="AI362" s="680"/>
      <c r="AJ362" s="680"/>
      <c r="AK362" s="680"/>
      <c r="AL362" s="680"/>
      <c r="AM362" s="680"/>
      <c r="AN362" s="680"/>
      <c r="AO362" s="680"/>
      <c r="AP362" s="680"/>
      <c r="AQ362" s="680"/>
      <c r="AR362" s="680"/>
      <c r="AS362" s="680"/>
      <c r="AT362" s="680"/>
      <c r="AU362" s="680"/>
      <c r="AV362" s="680"/>
      <c r="AW362" s="680"/>
      <c r="AX362" s="680"/>
      <c r="AY362" s="680"/>
      <c r="AZ362" s="680"/>
      <c r="BA362" s="680"/>
      <c r="BB362" s="680"/>
      <c r="BC362" s="680"/>
      <c r="BD362" s="680"/>
      <c r="BE362" s="680"/>
      <c r="BF362" s="680"/>
      <c r="BG362" s="680"/>
      <c r="BH362" s="680"/>
      <c r="BI362" s="680"/>
      <c r="BJ362" s="680"/>
      <c r="BK362" s="680"/>
      <c r="BL362" s="680"/>
      <c r="BM362" s="680"/>
      <c r="BN362" s="680"/>
      <c r="BO362" s="680"/>
      <c r="BP362" s="680"/>
      <c r="BQ362" s="680"/>
      <c r="BR362" s="680"/>
      <c r="BS362" s="680"/>
      <c r="BT362" s="680"/>
      <c r="BU362" s="680"/>
      <c r="BV362" s="680"/>
      <c r="BW362" s="680"/>
      <c r="BX362" s="680"/>
      <c r="BY362" s="680"/>
      <c r="BZ362" s="680"/>
      <c r="CA362" s="680"/>
    </row>
    <row r="363" spans="1:79" hidden="1" outlineLevel="1" x14ac:dyDescent="0.35">
      <c r="A363" s="224"/>
      <c r="B363" s="224"/>
      <c r="C363" s="224"/>
      <c r="D363" s="224"/>
      <c r="E363" s="224"/>
      <c r="F363" s="671" t="s">
        <v>869</v>
      </c>
      <c r="G363" s="680"/>
      <c r="H363" s="680"/>
      <c r="I363" s="680"/>
      <c r="J363" s="680"/>
      <c r="K363" s="680"/>
      <c r="L363" s="680"/>
      <c r="M363" s="680"/>
      <c r="N363" s="680"/>
      <c r="O363" s="680"/>
      <c r="P363" s="680"/>
      <c r="Q363" s="680"/>
      <c r="R363" s="680"/>
      <c r="S363" s="679">
        <v>0</v>
      </c>
      <c r="T363" s="679">
        <v>0</v>
      </c>
      <c r="U363" s="679">
        <v>0</v>
      </c>
      <c r="V363" s="679">
        <v>0</v>
      </c>
      <c r="W363" s="679">
        <v>0</v>
      </c>
      <c r="X363" s="679">
        <v>0</v>
      </c>
      <c r="Y363" s="679">
        <v>0</v>
      </c>
      <c r="Z363" s="679">
        <v>0</v>
      </c>
      <c r="AA363" s="679">
        <v>0</v>
      </c>
      <c r="AB363" s="679">
        <v>0</v>
      </c>
      <c r="AC363" s="679">
        <v>0</v>
      </c>
      <c r="AD363" s="679">
        <v>0</v>
      </c>
      <c r="AE363" s="680"/>
      <c r="AF363" s="680"/>
      <c r="AG363" s="680"/>
      <c r="AH363" s="680"/>
      <c r="AI363" s="680"/>
      <c r="AJ363" s="680"/>
      <c r="AK363" s="680"/>
      <c r="AL363" s="680"/>
      <c r="AM363" s="680"/>
      <c r="AN363" s="680"/>
      <c r="AO363" s="680"/>
      <c r="AP363" s="680"/>
      <c r="AQ363" s="680"/>
      <c r="AR363" s="680"/>
      <c r="AS363" s="680"/>
      <c r="AT363" s="680"/>
      <c r="AU363" s="680"/>
      <c r="AV363" s="680"/>
      <c r="AW363" s="680"/>
      <c r="AX363" s="680"/>
      <c r="AY363" s="680"/>
      <c r="AZ363" s="680"/>
      <c r="BA363" s="680"/>
      <c r="BB363" s="680"/>
      <c r="BC363" s="680"/>
      <c r="BD363" s="680"/>
      <c r="BE363" s="680"/>
      <c r="BF363" s="680"/>
      <c r="BG363" s="680"/>
      <c r="BH363" s="680"/>
      <c r="BI363" s="680"/>
      <c r="BJ363" s="680"/>
      <c r="BK363" s="680"/>
      <c r="BL363" s="680"/>
      <c r="BM363" s="680"/>
      <c r="BN363" s="680"/>
      <c r="BO363" s="680"/>
      <c r="BP363" s="680"/>
      <c r="BQ363" s="680"/>
      <c r="BR363" s="680"/>
      <c r="BS363" s="680"/>
      <c r="BT363" s="680"/>
      <c r="BU363" s="680"/>
      <c r="BV363" s="680"/>
      <c r="BW363" s="680"/>
      <c r="BX363" s="680"/>
      <c r="BY363" s="680"/>
      <c r="BZ363" s="680"/>
      <c r="CA363" s="680"/>
    </row>
    <row r="364" spans="1:79" s="709" customFormat="1" hidden="1" outlineLevel="1" x14ac:dyDescent="0.35">
      <c r="F364" s="707" t="s">
        <v>870</v>
      </c>
      <c r="G364" s="763"/>
      <c r="H364" s="763"/>
      <c r="I364" s="763"/>
      <c r="J364" s="763"/>
      <c r="K364" s="763"/>
      <c r="L364" s="763"/>
      <c r="M364" s="763"/>
      <c r="N364" s="763"/>
      <c r="O364" s="763"/>
      <c r="P364" s="763"/>
      <c r="Q364" s="763"/>
      <c r="R364" s="763"/>
      <c r="S364" s="708"/>
      <c r="T364" s="708"/>
      <c r="U364" s="708"/>
      <c r="V364" s="708"/>
      <c r="W364" s="708"/>
      <c r="X364" s="708"/>
      <c r="Y364" s="708"/>
      <c r="Z364" s="708"/>
      <c r="AA364" s="708"/>
      <c r="AB364" s="708"/>
      <c r="AC364" s="708"/>
      <c r="AD364" s="708"/>
      <c r="AE364" s="763"/>
      <c r="AF364" s="763"/>
      <c r="AG364" s="763"/>
      <c r="AH364" s="763"/>
      <c r="AI364" s="763"/>
      <c r="AJ364" s="763"/>
      <c r="AK364" s="763"/>
      <c r="AL364" s="763"/>
      <c r="AM364" s="763"/>
      <c r="AN364" s="763"/>
      <c r="AO364" s="763"/>
      <c r="AP364" s="763"/>
      <c r="AQ364" s="763"/>
      <c r="AR364" s="763"/>
      <c r="AS364" s="763"/>
      <c r="AT364" s="763"/>
      <c r="AU364" s="763"/>
      <c r="AV364" s="763"/>
      <c r="AW364" s="763"/>
      <c r="AX364" s="763"/>
      <c r="AY364" s="763"/>
      <c r="AZ364" s="763"/>
      <c r="BA364" s="763"/>
      <c r="BB364" s="763"/>
      <c r="BC364" s="763"/>
      <c r="BD364" s="763"/>
      <c r="BE364" s="763"/>
      <c r="BF364" s="763"/>
      <c r="BG364" s="763"/>
      <c r="BH364" s="763"/>
      <c r="BI364" s="763"/>
      <c r="BJ364" s="763"/>
      <c r="BK364" s="763"/>
      <c r="BL364" s="763"/>
      <c r="BM364" s="763"/>
      <c r="BN364" s="763"/>
      <c r="BO364" s="763"/>
      <c r="BP364" s="763"/>
      <c r="BQ364" s="763"/>
      <c r="BR364" s="763"/>
      <c r="BS364" s="763"/>
      <c r="BT364" s="763"/>
      <c r="BU364" s="763"/>
      <c r="BV364" s="763"/>
      <c r="BW364" s="763"/>
      <c r="BX364" s="763"/>
      <c r="BY364" s="763"/>
      <c r="BZ364" s="763"/>
      <c r="CA364" s="763"/>
    </row>
    <row r="365" spans="1:79" hidden="1" outlineLevel="1" x14ac:dyDescent="0.35">
      <c r="A365" s="224"/>
      <c r="B365" s="224"/>
      <c r="C365" s="224"/>
      <c r="D365" s="224"/>
      <c r="E365" s="224"/>
      <c r="F365" s="672" t="s">
        <v>871</v>
      </c>
      <c r="G365" s="680"/>
      <c r="H365" s="680"/>
      <c r="I365" s="680"/>
      <c r="J365" s="680"/>
      <c r="K365" s="680"/>
      <c r="L365" s="680"/>
      <c r="M365" s="680"/>
      <c r="N365" s="680"/>
      <c r="O365" s="680"/>
      <c r="P365" s="680"/>
      <c r="Q365" s="680"/>
      <c r="R365" s="680"/>
      <c r="S365" s="679">
        <v>0</v>
      </c>
      <c r="T365" s="679">
        <v>0</v>
      </c>
      <c r="U365" s="679">
        <v>0</v>
      </c>
      <c r="V365" s="679">
        <v>0</v>
      </c>
      <c r="W365" s="679">
        <v>0</v>
      </c>
      <c r="X365" s="679">
        <v>0</v>
      </c>
      <c r="Y365" s="679">
        <v>0</v>
      </c>
      <c r="Z365" s="679">
        <v>0</v>
      </c>
      <c r="AA365" s="679">
        <v>0</v>
      </c>
      <c r="AB365" s="679">
        <v>0</v>
      </c>
      <c r="AC365" s="679">
        <v>0</v>
      </c>
      <c r="AD365" s="679">
        <v>0</v>
      </c>
      <c r="AE365" s="680"/>
      <c r="AF365" s="680"/>
      <c r="AG365" s="680"/>
      <c r="AH365" s="680"/>
      <c r="AI365" s="680"/>
      <c r="AJ365" s="680"/>
      <c r="AK365" s="680"/>
      <c r="AL365" s="680"/>
      <c r="AM365" s="680"/>
      <c r="AN365" s="680"/>
      <c r="AO365" s="680"/>
      <c r="AP365" s="680"/>
      <c r="AQ365" s="680"/>
      <c r="AR365" s="680"/>
      <c r="AS365" s="680"/>
      <c r="AT365" s="680"/>
      <c r="AU365" s="680"/>
      <c r="AV365" s="680"/>
      <c r="AW365" s="680"/>
      <c r="AX365" s="680"/>
      <c r="AY365" s="680"/>
      <c r="AZ365" s="680"/>
      <c r="BA365" s="680"/>
      <c r="BB365" s="680"/>
      <c r="BC365" s="680"/>
      <c r="BD365" s="680"/>
      <c r="BE365" s="680"/>
      <c r="BF365" s="680"/>
      <c r="BG365" s="680"/>
      <c r="BH365" s="680"/>
      <c r="BI365" s="680"/>
      <c r="BJ365" s="680"/>
      <c r="BK365" s="680"/>
      <c r="BL365" s="680"/>
      <c r="BM365" s="680"/>
      <c r="BN365" s="680"/>
      <c r="BO365" s="680"/>
      <c r="BP365" s="680"/>
      <c r="BQ365" s="680"/>
      <c r="BR365" s="680"/>
      <c r="BS365" s="680"/>
      <c r="BT365" s="680"/>
      <c r="BU365" s="680"/>
      <c r="BV365" s="680"/>
      <c r="BW365" s="680"/>
      <c r="BX365" s="680"/>
      <c r="BY365" s="680"/>
      <c r="BZ365" s="680"/>
      <c r="CA365" s="680"/>
    </row>
    <row r="366" spans="1:79" hidden="1" outlineLevel="1" x14ac:dyDescent="0.35">
      <c r="A366" s="224"/>
      <c r="B366" s="224"/>
      <c r="C366" s="224"/>
      <c r="D366" s="224"/>
      <c r="E366" s="224"/>
      <c r="F366" s="672" t="s">
        <v>872</v>
      </c>
      <c r="G366" s="680"/>
      <c r="H366" s="680"/>
      <c r="I366" s="680"/>
      <c r="J366" s="680"/>
      <c r="K366" s="680"/>
      <c r="L366" s="680"/>
      <c r="M366" s="680"/>
      <c r="N366" s="680"/>
      <c r="O366" s="680"/>
      <c r="P366" s="680"/>
      <c r="Q366" s="680"/>
      <c r="R366" s="680"/>
      <c r="S366" s="679">
        <v>0</v>
      </c>
      <c r="T366" s="679">
        <v>0</v>
      </c>
      <c r="U366" s="679">
        <v>0</v>
      </c>
      <c r="V366" s="679">
        <v>0</v>
      </c>
      <c r="W366" s="679">
        <v>0</v>
      </c>
      <c r="X366" s="679">
        <v>0</v>
      </c>
      <c r="Y366" s="679">
        <v>0</v>
      </c>
      <c r="Z366" s="679">
        <v>0</v>
      </c>
      <c r="AA366" s="679">
        <v>0</v>
      </c>
      <c r="AB366" s="679">
        <v>0</v>
      </c>
      <c r="AC366" s="679">
        <v>0</v>
      </c>
      <c r="AD366" s="679">
        <v>0</v>
      </c>
      <c r="AE366" s="680"/>
      <c r="AF366" s="680"/>
      <c r="AG366" s="680"/>
      <c r="AH366" s="680"/>
      <c r="AI366" s="680"/>
      <c r="AJ366" s="680"/>
      <c r="AK366" s="680"/>
      <c r="AL366" s="680"/>
      <c r="AM366" s="680"/>
      <c r="AN366" s="680"/>
      <c r="AO366" s="680"/>
      <c r="AP366" s="680"/>
      <c r="AQ366" s="680"/>
      <c r="AR366" s="680"/>
      <c r="AS366" s="680"/>
      <c r="AT366" s="680"/>
      <c r="AU366" s="680"/>
      <c r="AV366" s="680"/>
      <c r="AW366" s="680"/>
      <c r="AX366" s="680"/>
      <c r="AY366" s="680"/>
      <c r="AZ366" s="680"/>
      <c r="BA366" s="680"/>
      <c r="BB366" s="680"/>
      <c r="BC366" s="680"/>
      <c r="BD366" s="680"/>
      <c r="BE366" s="680"/>
      <c r="BF366" s="680"/>
      <c r="BG366" s="680"/>
      <c r="BH366" s="680"/>
      <c r="BI366" s="680"/>
      <c r="BJ366" s="680"/>
      <c r="BK366" s="680"/>
      <c r="BL366" s="680"/>
      <c r="BM366" s="680"/>
      <c r="BN366" s="680"/>
      <c r="BO366" s="680"/>
      <c r="BP366" s="680"/>
      <c r="BQ366" s="680"/>
      <c r="BR366" s="680"/>
      <c r="BS366" s="680"/>
      <c r="BT366" s="680"/>
      <c r="BU366" s="680"/>
      <c r="BV366" s="680"/>
      <c r="BW366" s="680"/>
      <c r="BX366" s="680"/>
      <c r="BY366" s="680"/>
      <c r="BZ366" s="680"/>
      <c r="CA366" s="680"/>
    </row>
    <row r="367" spans="1:79" hidden="1" outlineLevel="1" x14ac:dyDescent="0.35">
      <c r="A367" s="224"/>
      <c r="B367" s="224"/>
      <c r="C367" s="224"/>
      <c r="D367" s="224"/>
      <c r="E367" s="224"/>
      <c r="F367" s="673" t="s">
        <v>873</v>
      </c>
      <c r="G367" s="680"/>
      <c r="H367" s="680"/>
      <c r="I367" s="680"/>
      <c r="J367" s="680"/>
      <c r="K367" s="680"/>
      <c r="L367" s="680"/>
      <c r="M367" s="680"/>
      <c r="N367" s="680"/>
      <c r="O367" s="680"/>
      <c r="P367" s="680"/>
      <c r="Q367" s="680"/>
      <c r="R367" s="680"/>
      <c r="S367" s="680">
        <f t="shared" ref="S367:AA367" si="126">ROUND(SUM(S364:S366),5)</f>
        <v>0</v>
      </c>
      <c r="T367" s="680">
        <f t="shared" si="126"/>
        <v>0</v>
      </c>
      <c r="U367" s="680">
        <f t="shared" si="126"/>
        <v>0</v>
      </c>
      <c r="V367" s="680">
        <f t="shared" si="126"/>
        <v>0</v>
      </c>
      <c r="W367" s="680">
        <f t="shared" si="126"/>
        <v>0</v>
      </c>
      <c r="X367" s="680">
        <f t="shared" si="126"/>
        <v>0</v>
      </c>
      <c r="Y367" s="680">
        <f t="shared" si="126"/>
        <v>0</v>
      </c>
      <c r="Z367" s="680">
        <f t="shared" si="126"/>
        <v>0</v>
      </c>
      <c r="AA367" s="680">
        <f t="shared" si="126"/>
        <v>0</v>
      </c>
      <c r="AB367" s="680">
        <f>ROUND(SUM(AB364:AB366),5)</f>
        <v>0</v>
      </c>
      <c r="AC367" s="680">
        <f>ROUND(SUM(AC364:AC366),5)</f>
        <v>0</v>
      </c>
      <c r="AD367" s="680">
        <f>ROUND(SUM(AD364:AD366),5)</f>
        <v>0</v>
      </c>
      <c r="AE367" s="680"/>
      <c r="AF367" s="680"/>
      <c r="AG367" s="680"/>
      <c r="AH367" s="680"/>
      <c r="AI367" s="680"/>
      <c r="AJ367" s="680"/>
      <c r="AK367" s="680"/>
      <c r="AL367" s="680"/>
      <c r="AM367" s="680"/>
      <c r="AN367" s="680"/>
      <c r="AO367" s="680"/>
      <c r="AP367" s="680"/>
      <c r="AQ367" s="680"/>
      <c r="AR367" s="680"/>
      <c r="AS367" s="680"/>
      <c r="AT367" s="680"/>
      <c r="AU367" s="680"/>
      <c r="AV367" s="680"/>
      <c r="AW367" s="680"/>
      <c r="AX367" s="680"/>
      <c r="AY367" s="680"/>
      <c r="AZ367" s="680"/>
      <c r="BA367" s="680"/>
      <c r="BB367" s="680"/>
      <c r="BC367" s="680"/>
      <c r="BD367" s="680"/>
      <c r="BE367" s="680"/>
      <c r="BF367" s="680"/>
      <c r="BG367" s="680"/>
      <c r="BH367" s="680"/>
      <c r="BI367" s="680"/>
      <c r="BJ367" s="680"/>
      <c r="BK367" s="680"/>
      <c r="BL367" s="680"/>
      <c r="BM367" s="680"/>
      <c r="BN367" s="680"/>
      <c r="BO367" s="680"/>
      <c r="BP367" s="680"/>
      <c r="BQ367" s="680"/>
      <c r="BR367" s="680"/>
      <c r="BS367" s="680"/>
      <c r="BT367" s="680"/>
      <c r="BU367" s="680"/>
      <c r="BV367" s="680"/>
      <c r="BW367" s="680"/>
      <c r="BX367" s="680"/>
      <c r="BY367" s="680"/>
      <c r="BZ367" s="680"/>
      <c r="CA367" s="680"/>
    </row>
    <row r="368" spans="1:79" s="709" customFormat="1" hidden="1" outlineLevel="1" x14ac:dyDescent="0.35">
      <c r="F368" s="710" t="s">
        <v>650</v>
      </c>
      <c r="G368" s="763"/>
      <c r="H368" s="763"/>
      <c r="I368" s="763"/>
      <c r="J368" s="763"/>
      <c r="K368" s="763"/>
      <c r="L368" s="763"/>
      <c r="M368" s="763"/>
      <c r="N368" s="763"/>
      <c r="O368" s="763"/>
      <c r="P368" s="763"/>
      <c r="Q368" s="763"/>
      <c r="R368" s="763"/>
      <c r="S368" s="708"/>
      <c r="T368" s="708"/>
      <c r="U368" s="708"/>
      <c r="V368" s="708"/>
      <c r="W368" s="708"/>
      <c r="X368" s="708"/>
      <c r="Y368" s="708"/>
      <c r="Z368" s="708"/>
      <c r="AA368" s="708"/>
      <c r="AB368" s="708"/>
      <c r="AC368" s="708"/>
      <c r="AD368" s="708"/>
      <c r="AE368" s="763"/>
      <c r="AF368" s="763"/>
      <c r="AG368" s="763"/>
      <c r="AH368" s="763"/>
      <c r="AI368" s="763"/>
      <c r="AJ368" s="763"/>
      <c r="AK368" s="763"/>
      <c r="AL368" s="763"/>
      <c r="AM368" s="763"/>
      <c r="AN368" s="763"/>
      <c r="AO368" s="763"/>
      <c r="AP368" s="763"/>
      <c r="AQ368" s="763"/>
      <c r="AR368" s="763"/>
      <c r="AS368" s="763"/>
      <c r="AT368" s="763"/>
      <c r="AU368" s="763"/>
      <c r="AV368" s="763"/>
      <c r="AW368" s="763"/>
      <c r="AX368" s="763"/>
      <c r="AY368" s="763"/>
      <c r="AZ368" s="763"/>
      <c r="BA368" s="763"/>
      <c r="BB368" s="763"/>
      <c r="BC368" s="763"/>
      <c r="BD368" s="763"/>
      <c r="BE368" s="763"/>
      <c r="BF368" s="763"/>
      <c r="BG368" s="763"/>
      <c r="BH368" s="763"/>
      <c r="BI368" s="763"/>
      <c r="BJ368" s="763"/>
      <c r="BK368" s="763"/>
      <c r="BL368" s="763"/>
      <c r="BM368" s="763"/>
      <c r="BN368" s="763"/>
      <c r="BO368" s="763"/>
      <c r="BP368" s="763"/>
      <c r="BQ368" s="763"/>
      <c r="BR368" s="763"/>
      <c r="BS368" s="763"/>
      <c r="BT368" s="763"/>
      <c r="BU368" s="763"/>
      <c r="BV368" s="763"/>
      <c r="BW368" s="763"/>
      <c r="BX368" s="763"/>
      <c r="BY368" s="763"/>
      <c r="BZ368" s="763"/>
      <c r="CA368" s="763"/>
    </row>
    <row r="369" spans="1:79" hidden="1" outlineLevel="1" x14ac:dyDescent="0.35">
      <c r="A369" s="224"/>
      <c r="B369" s="224"/>
      <c r="C369" s="224"/>
      <c r="D369" s="224"/>
      <c r="E369" s="224"/>
      <c r="F369" s="672" t="s">
        <v>874</v>
      </c>
      <c r="G369" s="680"/>
      <c r="H369" s="680"/>
      <c r="I369" s="680"/>
      <c r="J369" s="680"/>
      <c r="K369" s="680"/>
      <c r="L369" s="680"/>
      <c r="M369" s="680"/>
      <c r="N369" s="680"/>
      <c r="O369" s="680"/>
      <c r="P369" s="680"/>
      <c r="Q369" s="680"/>
      <c r="R369" s="680"/>
      <c r="S369" s="679">
        <v>0</v>
      </c>
      <c r="T369" s="679">
        <v>0</v>
      </c>
      <c r="U369" s="679">
        <v>0</v>
      </c>
      <c r="V369" s="679">
        <v>0</v>
      </c>
      <c r="W369" s="679">
        <v>0</v>
      </c>
      <c r="X369" s="679">
        <v>0</v>
      </c>
      <c r="Y369" s="679">
        <v>0</v>
      </c>
      <c r="Z369" s="679">
        <v>0</v>
      </c>
      <c r="AA369" s="679">
        <v>0</v>
      </c>
      <c r="AB369" s="679">
        <v>0</v>
      </c>
      <c r="AC369" s="679">
        <v>0</v>
      </c>
      <c r="AD369" s="679">
        <v>0</v>
      </c>
      <c r="AE369" s="680"/>
      <c r="AF369" s="680"/>
      <c r="AG369" s="680"/>
      <c r="AH369" s="680"/>
      <c r="AI369" s="680"/>
      <c r="AJ369" s="680"/>
      <c r="AK369" s="680"/>
      <c r="AL369" s="680"/>
      <c r="AM369" s="680"/>
      <c r="AN369" s="680"/>
      <c r="AO369" s="680"/>
      <c r="AP369" s="680"/>
      <c r="AQ369" s="680"/>
      <c r="AR369" s="680"/>
      <c r="AS369" s="680"/>
      <c r="AT369" s="680"/>
      <c r="AU369" s="680"/>
      <c r="AV369" s="680"/>
      <c r="AW369" s="680"/>
      <c r="AX369" s="680"/>
      <c r="AY369" s="680"/>
      <c r="AZ369" s="680"/>
      <c r="BA369" s="680"/>
      <c r="BB369" s="680"/>
      <c r="BC369" s="680"/>
      <c r="BD369" s="680"/>
      <c r="BE369" s="680"/>
      <c r="BF369" s="680"/>
      <c r="BG369" s="680"/>
      <c r="BH369" s="680"/>
      <c r="BI369" s="680"/>
      <c r="BJ369" s="680"/>
      <c r="BK369" s="680"/>
      <c r="BL369" s="680"/>
      <c r="BM369" s="680"/>
      <c r="BN369" s="680"/>
      <c r="BO369" s="680"/>
      <c r="BP369" s="680"/>
      <c r="BQ369" s="680"/>
      <c r="BR369" s="680"/>
      <c r="BS369" s="680"/>
      <c r="BT369" s="680"/>
      <c r="BU369" s="680"/>
      <c r="BV369" s="680"/>
      <c r="BW369" s="680"/>
      <c r="BX369" s="680"/>
      <c r="BY369" s="680"/>
      <c r="BZ369" s="680"/>
      <c r="CA369" s="680"/>
    </row>
    <row r="370" spans="1:79" hidden="1" outlineLevel="1" x14ac:dyDescent="0.35">
      <c r="F370" s="672" t="s">
        <v>875</v>
      </c>
      <c r="G370" s="735"/>
      <c r="H370" s="735"/>
      <c r="I370" s="735"/>
      <c r="J370" s="735"/>
      <c r="K370" s="735"/>
      <c r="L370" s="735"/>
      <c r="M370" s="735"/>
      <c r="N370" s="735"/>
      <c r="O370" s="735"/>
      <c r="P370" s="732"/>
      <c r="Q370" s="732"/>
      <c r="R370" s="732"/>
      <c r="S370" s="679">
        <v>0</v>
      </c>
      <c r="T370" s="679">
        <v>12.26</v>
      </c>
      <c r="U370" s="679">
        <v>3</v>
      </c>
      <c r="V370" s="679">
        <v>0</v>
      </c>
      <c r="W370" s="679">
        <v>0</v>
      </c>
      <c r="X370" s="679">
        <v>0</v>
      </c>
      <c r="Y370" s="679">
        <v>55</v>
      </c>
      <c r="Z370" s="679">
        <v>0</v>
      </c>
      <c r="AA370" s="679">
        <v>10</v>
      </c>
      <c r="AB370" s="679">
        <v>0</v>
      </c>
      <c r="AC370" s="679">
        <v>0</v>
      </c>
      <c r="AD370" s="679">
        <v>0</v>
      </c>
      <c r="AE370" s="734"/>
      <c r="AF370" s="734"/>
      <c r="AG370" s="734"/>
      <c r="AH370" s="734"/>
      <c r="AI370" s="734"/>
      <c r="AJ370" s="734"/>
      <c r="AK370" s="734"/>
      <c r="AL370" s="734"/>
      <c r="AM370" s="734"/>
      <c r="AN370" s="734"/>
      <c r="AO370" s="734"/>
      <c r="AP370" s="734"/>
      <c r="AQ370" s="734"/>
      <c r="AR370" s="734"/>
      <c r="AS370" s="734"/>
      <c r="AT370" s="734"/>
      <c r="AU370" s="734"/>
      <c r="AV370" s="734"/>
      <c r="AW370" s="734"/>
      <c r="AX370" s="734"/>
      <c r="AY370" s="734"/>
      <c r="AZ370" s="734"/>
      <c r="BA370" s="734"/>
      <c r="BB370" s="734"/>
      <c r="BC370" s="734"/>
      <c r="BD370" s="734"/>
      <c r="BE370" s="734"/>
      <c r="BF370" s="734"/>
      <c r="BG370" s="734"/>
      <c r="BH370" s="734"/>
      <c r="BI370" s="734"/>
      <c r="BJ370" s="734"/>
      <c r="BK370" s="734"/>
      <c r="BL370" s="734"/>
      <c r="BM370" s="734"/>
      <c r="BN370" s="734"/>
      <c r="BO370" s="734"/>
      <c r="BP370" s="734"/>
      <c r="BQ370" s="734"/>
      <c r="BR370" s="734"/>
      <c r="BS370" s="734"/>
      <c r="BT370" s="734"/>
      <c r="BU370" s="734"/>
      <c r="BV370" s="734"/>
      <c r="BW370" s="734"/>
      <c r="BX370" s="734"/>
      <c r="BY370" s="734"/>
      <c r="BZ370" s="734"/>
      <c r="CA370" s="734"/>
    </row>
    <row r="371" spans="1:79" hidden="1" outlineLevel="1" x14ac:dyDescent="0.35">
      <c r="A371" s="574"/>
      <c r="B371" s="574"/>
      <c r="C371" s="574"/>
      <c r="D371" s="574"/>
      <c r="E371" s="574"/>
      <c r="F371" s="673" t="s">
        <v>876</v>
      </c>
      <c r="G371" s="680">
        <f>SUM(G369:G370)</f>
        <v>0</v>
      </c>
      <c r="H371" s="680">
        <f t="shared" ref="H371:BO371" si="127">SUM(H369:H370)</f>
        <v>0</v>
      </c>
      <c r="I371" s="680">
        <f t="shared" si="127"/>
        <v>0</v>
      </c>
      <c r="J371" s="680">
        <f t="shared" si="127"/>
        <v>0</v>
      </c>
      <c r="K371" s="680">
        <f t="shared" si="127"/>
        <v>0</v>
      </c>
      <c r="L371" s="680">
        <f t="shared" si="127"/>
        <v>0</v>
      </c>
      <c r="M371" s="680">
        <f t="shared" si="127"/>
        <v>0</v>
      </c>
      <c r="N371" s="680">
        <f t="shared" si="127"/>
        <v>0</v>
      </c>
      <c r="O371" s="680">
        <f t="shared" si="127"/>
        <v>0</v>
      </c>
      <c r="P371" s="680">
        <f t="shared" si="127"/>
        <v>0</v>
      </c>
      <c r="Q371" s="680">
        <f t="shared" si="127"/>
        <v>0</v>
      </c>
      <c r="R371" s="680">
        <f t="shared" si="127"/>
        <v>0</v>
      </c>
      <c r="S371" s="680">
        <f t="shared" ref="S371:AA371" si="128">ROUND(SUM(S368:S370),5)</f>
        <v>0</v>
      </c>
      <c r="T371" s="680">
        <f t="shared" si="128"/>
        <v>12.26</v>
      </c>
      <c r="U371" s="680">
        <f t="shared" si="128"/>
        <v>3</v>
      </c>
      <c r="V371" s="680">
        <f t="shared" si="128"/>
        <v>0</v>
      </c>
      <c r="W371" s="680">
        <f t="shared" si="128"/>
        <v>0</v>
      </c>
      <c r="X371" s="680">
        <f t="shared" si="128"/>
        <v>0</v>
      </c>
      <c r="Y371" s="680">
        <f t="shared" si="128"/>
        <v>55</v>
      </c>
      <c r="Z371" s="680">
        <f t="shared" si="128"/>
        <v>0</v>
      </c>
      <c r="AA371" s="680">
        <f t="shared" si="128"/>
        <v>10</v>
      </c>
      <c r="AB371" s="680">
        <f>ROUND(SUM(AB368:AB370),5)</f>
        <v>0</v>
      </c>
      <c r="AC371" s="680">
        <f>ROUND(SUM(AC368:AC370),5)</f>
        <v>0</v>
      </c>
      <c r="AD371" s="680">
        <f>ROUND(SUM(AD368:AD370),5)</f>
        <v>0</v>
      </c>
      <c r="AE371" s="680">
        <f t="shared" si="127"/>
        <v>0</v>
      </c>
      <c r="AF371" s="680">
        <f t="shared" si="127"/>
        <v>0</v>
      </c>
      <c r="AG371" s="680">
        <f t="shared" si="127"/>
        <v>0</v>
      </c>
      <c r="AH371" s="680">
        <f t="shared" si="127"/>
        <v>0</v>
      </c>
      <c r="AI371" s="680">
        <f t="shared" si="127"/>
        <v>0</v>
      </c>
      <c r="AJ371" s="680">
        <f t="shared" si="127"/>
        <v>0</v>
      </c>
      <c r="AK371" s="680">
        <f t="shared" si="127"/>
        <v>0</v>
      </c>
      <c r="AL371" s="680">
        <f t="shared" si="127"/>
        <v>0</v>
      </c>
      <c r="AM371" s="680">
        <f t="shared" si="127"/>
        <v>0</v>
      </c>
      <c r="AN371" s="680">
        <f t="shared" si="127"/>
        <v>0</v>
      </c>
      <c r="AO371" s="680">
        <f t="shared" si="127"/>
        <v>0</v>
      </c>
      <c r="AP371" s="680">
        <f t="shared" si="127"/>
        <v>0</v>
      </c>
      <c r="AQ371" s="680">
        <f t="shared" si="127"/>
        <v>0</v>
      </c>
      <c r="AR371" s="680">
        <f t="shared" si="127"/>
        <v>0</v>
      </c>
      <c r="AS371" s="680">
        <f t="shared" si="127"/>
        <v>0</v>
      </c>
      <c r="AT371" s="680">
        <f t="shared" si="127"/>
        <v>0</v>
      </c>
      <c r="AU371" s="680">
        <f t="shared" si="127"/>
        <v>0</v>
      </c>
      <c r="AV371" s="680">
        <f t="shared" si="127"/>
        <v>0</v>
      </c>
      <c r="AW371" s="680">
        <f t="shared" si="127"/>
        <v>0</v>
      </c>
      <c r="AX371" s="680">
        <f t="shared" si="127"/>
        <v>0</v>
      </c>
      <c r="AY371" s="680">
        <f t="shared" si="127"/>
        <v>0</v>
      </c>
      <c r="AZ371" s="680">
        <f t="shared" si="127"/>
        <v>0</v>
      </c>
      <c r="BA371" s="680">
        <f t="shared" si="127"/>
        <v>0</v>
      </c>
      <c r="BB371" s="680">
        <f t="shared" si="127"/>
        <v>0</v>
      </c>
      <c r="BC371" s="680">
        <f t="shared" si="127"/>
        <v>0</v>
      </c>
      <c r="BD371" s="680">
        <f t="shared" si="127"/>
        <v>0</v>
      </c>
      <c r="BE371" s="680">
        <f t="shared" si="127"/>
        <v>0</v>
      </c>
      <c r="BF371" s="680">
        <f t="shared" si="127"/>
        <v>0</v>
      </c>
      <c r="BG371" s="680">
        <f t="shared" si="127"/>
        <v>0</v>
      </c>
      <c r="BH371" s="680">
        <f t="shared" si="127"/>
        <v>0</v>
      </c>
      <c r="BI371" s="680">
        <f t="shared" si="127"/>
        <v>0</v>
      </c>
      <c r="BJ371" s="680">
        <f t="shared" si="127"/>
        <v>0</v>
      </c>
      <c r="BK371" s="680">
        <f t="shared" si="127"/>
        <v>0</v>
      </c>
      <c r="BL371" s="680">
        <f t="shared" si="127"/>
        <v>0</v>
      </c>
      <c r="BM371" s="680">
        <f t="shared" si="127"/>
        <v>0</v>
      </c>
      <c r="BN371" s="680">
        <f t="shared" si="127"/>
        <v>0</v>
      </c>
      <c r="BO371" s="680">
        <f t="shared" si="127"/>
        <v>0</v>
      </c>
      <c r="BP371" s="680">
        <f t="shared" ref="BP371:CA371" si="129">SUM(BP369:BP370)</f>
        <v>0</v>
      </c>
      <c r="BQ371" s="680">
        <f t="shared" si="129"/>
        <v>0</v>
      </c>
      <c r="BR371" s="680">
        <f t="shared" si="129"/>
        <v>0</v>
      </c>
      <c r="BS371" s="680">
        <f t="shared" si="129"/>
        <v>0</v>
      </c>
      <c r="BT371" s="680">
        <f t="shared" si="129"/>
        <v>0</v>
      </c>
      <c r="BU371" s="680">
        <f t="shared" si="129"/>
        <v>0</v>
      </c>
      <c r="BV371" s="680">
        <f t="shared" si="129"/>
        <v>0</v>
      </c>
      <c r="BW371" s="680">
        <f t="shared" si="129"/>
        <v>0</v>
      </c>
      <c r="BX371" s="680">
        <f t="shared" si="129"/>
        <v>0</v>
      </c>
      <c r="BY371" s="680">
        <f t="shared" si="129"/>
        <v>0</v>
      </c>
      <c r="BZ371" s="680">
        <f t="shared" si="129"/>
        <v>0</v>
      </c>
      <c r="CA371" s="680">
        <f t="shared" si="129"/>
        <v>0</v>
      </c>
    </row>
    <row r="372" spans="1:79" hidden="1" outlineLevel="1" x14ac:dyDescent="0.35">
      <c r="F372" s="674" t="s">
        <v>593</v>
      </c>
      <c r="G372" s="735"/>
      <c r="H372" s="735">
        <v>13.24091236110238</v>
      </c>
      <c r="I372" s="735">
        <v>3.1257403222224931</v>
      </c>
      <c r="J372" s="735">
        <v>32.352611487768627</v>
      </c>
      <c r="K372" s="735">
        <v>5.6912038609798126</v>
      </c>
      <c r="L372" s="735">
        <v>53.233676764225166</v>
      </c>
      <c r="M372" s="735">
        <v>2.4895910782827846</v>
      </c>
      <c r="N372" s="735">
        <v>21.143625085320924</v>
      </c>
      <c r="O372" s="735">
        <v>26.284304060217647</v>
      </c>
      <c r="P372" s="732">
        <v>126.33358851741201</v>
      </c>
      <c r="Q372" s="732"/>
      <c r="R372" s="732"/>
      <c r="S372" s="683">
        <v>0</v>
      </c>
      <c r="T372" s="683">
        <v>0</v>
      </c>
      <c r="U372" s="683">
        <v>65.22</v>
      </c>
      <c r="V372" s="683">
        <v>0</v>
      </c>
      <c r="W372" s="683">
        <v>131.72999999999999</v>
      </c>
      <c r="X372" s="683">
        <v>173.78</v>
      </c>
      <c r="Y372" s="683">
        <v>28.81</v>
      </c>
      <c r="Z372" s="683">
        <v>31.19</v>
      </c>
      <c r="AA372" s="683">
        <v>0</v>
      </c>
      <c r="AB372" s="683">
        <v>0</v>
      </c>
      <c r="AC372" s="683">
        <v>0</v>
      </c>
      <c r="AD372" s="683">
        <v>0</v>
      </c>
      <c r="AE372" s="734"/>
      <c r="AF372" s="734"/>
      <c r="AG372" s="734"/>
      <c r="AH372" s="734"/>
      <c r="AI372" s="734"/>
      <c r="AJ372" s="734"/>
      <c r="AK372" s="734"/>
      <c r="AL372" s="734"/>
      <c r="AM372" s="734"/>
      <c r="AN372" s="734"/>
      <c r="AO372" s="734"/>
      <c r="AP372" s="734"/>
      <c r="AQ372" s="734"/>
      <c r="AR372" s="734"/>
      <c r="AS372" s="734"/>
      <c r="AT372" s="734"/>
      <c r="AU372" s="734"/>
      <c r="AV372" s="734"/>
      <c r="AW372" s="734"/>
      <c r="AX372" s="734"/>
      <c r="AY372" s="734"/>
      <c r="AZ372" s="734"/>
      <c r="BA372" s="734"/>
      <c r="BB372" s="734"/>
      <c r="BC372" s="734"/>
      <c r="BD372" s="734"/>
      <c r="BE372" s="734"/>
      <c r="BF372" s="734"/>
      <c r="BG372" s="734"/>
      <c r="BH372" s="734"/>
      <c r="BI372" s="734"/>
      <c r="BJ372" s="734"/>
      <c r="BK372" s="734"/>
      <c r="BL372" s="734"/>
      <c r="BM372" s="734"/>
      <c r="BN372" s="734"/>
      <c r="BO372" s="734"/>
      <c r="BP372" s="734"/>
      <c r="BQ372" s="734"/>
      <c r="BR372" s="734"/>
      <c r="BS372" s="734"/>
      <c r="BT372" s="734"/>
      <c r="BU372" s="734"/>
      <c r="BV372" s="734"/>
      <c r="BW372" s="734"/>
      <c r="BX372" s="734"/>
      <c r="BY372" s="734"/>
      <c r="BZ372" s="734"/>
      <c r="CA372" s="734"/>
    </row>
    <row r="373" spans="1:79" hidden="1" outlineLevel="1" x14ac:dyDescent="0.35">
      <c r="A373" s="574"/>
      <c r="B373" s="574"/>
      <c r="C373" s="574"/>
      <c r="D373" s="574"/>
      <c r="E373" s="574"/>
      <c r="F373" s="671" t="s">
        <v>877</v>
      </c>
      <c r="G373" s="735"/>
      <c r="H373" s="735"/>
      <c r="I373" s="735"/>
      <c r="J373" s="735"/>
      <c r="K373" s="735"/>
      <c r="L373" s="735"/>
      <c r="M373" s="735"/>
      <c r="N373" s="735"/>
      <c r="O373" s="735"/>
      <c r="P373" s="732"/>
      <c r="Q373" s="732"/>
      <c r="R373" s="732"/>
      <c r="S373" s="683">
        <v>0</v>
      </c>
      <c r="T373" s="683">
        <v>0</v>
      </c>
      <c r="U373" s="683">
        <v>0</v>
      </c>
      <c r="V373" s="683">
        <v>0</v>
      </c>
      <c r="W373" s="683">
        <v>0</v>
      </c>
      <c r="X373" s="683">
        <v>0</v>
      </c>
      <c r="Y373" s="683">
        <v>0</v>
      </c>
      <c r="Z373" s="683">
        <v>0</v>
      </c>
      <c r="AA373" s="683">
        <v>0</v>
      </c>
      <c r="AB373" s="683">
        <v>0</v>
      </c>
      <c r="AC373" s="683">
        <v>0</v>
      </c>
      <c r="AD373" s="683">
        <v>0</v>
      </c>
      <c r="AE373" s="734"/>
      <c r="AF373" s="734"/>
      <c r="AG373" s="734"/>
      <c r="AH373" s="734"/>
      <c r="AI373" s="734"/>
      <c r="AJ373" s="734"/>
      <c r="AK373" s="734"/>
      <c r="AL373" s="734"/>
      <c r="AM373" s="734"/>
      <c r="AN373" s="734"/>
      <c r="AO373" s="734"/>
      <c r="AP373" s="734"/>
      <c r="AQ373" s="734"/>
      <c r="AR373" s="734"/>
      <c r="AS373" s="734"/>
      <c r="AT373" s="734"/>
      <c r="AU373" s="734"/>
      <c r="AV373" s="734"/>
      <c r="AW373" s="734"/>
      <c r="AX373" s="734"/>
      <c r="AY373" s="734"/>
      <c r="AZ373" s="734"/>
      <c r="BA373" s="734"/>
      <c r="BB373" s="734"/>
      <c r="BC373" s="734"/>
      <c r="BD373" s="734"/>
      <c r="BE373" s="734"/>
      <c r="BF373" s="734"/>
      <c r="BG373" s="734"/>
      <c r="BH373" s="734"/>
      <c r="BI373" s="734"/>
      <c r="BJ373" s="734"/>
      <c r="BK373" s="734"/>
      <c r="BL373" s="734"/>
      <c r="BM373" s="734"/>
      <c r="BN373" s="734"/>
      <c r="BO373" s="734"/>
      <c r="BP373" s="734"/>
      <c r="BQ373" s="734"/>
      <c r="BR373" s="734"/>
      <c r="BS373" s="734"/>
      <c r="BT373" s="734"/>
      <c r="BU373" s="734"/>
      <c r="BV373" s="734"/>
      <c r="BW373" s="734"/>
      <c r="BX373" s="734"/>
      <c r="BY373" s="734"/>
      <c r="BZ373" s="734"/>
      <c r="CA373" s="734"/>
    </row>
    <row r="374" spans="1:79" s="716" customFormat="1" hidden="1" outlineLevel="1" x14ac:dyDescent="0.35">
      <c r="F374" s="711" t="s">
        <v>594</v>
      </c>
      <c r="G374" s="750"/>
      <c r="H374" s="750"/>
      <c r="I374" s="750"/>
      <c r="J374" s="750"/>
      <c r="K374" s="750"/>
      <c r="L374" s="750"/>
      <c r="M374" s="750"/>
      <c r="N374" s="750"/>
      <c r="O374" s="750"/>
      <c r="P374" s="751"/>
      <c r="Q374" s="751"/>
      <c r="R374" s="751"/>
      <c r="S374" s="713"/>
      <c r="T374" s="713"/>
      <c r="U374" s="713"/>
      <c r="V374" s="713"/>
      <c r="W374" s="713"/>
      <c r="X374" s="713"/>
      <c r="Y374" s="713"/>
      <c r="Z374" s="713"/>
      <c r="AA374" s="713"/>
      <c r="AB374" s="713"/>
      <c r="AC374" s="713"/>
      <c r="AD374" s="713"/>
      <c r="AE374" s="753"/>
      <c r="AF374" s="753"/>
      <c r="AG374" s="753"/>
      <c r="AH374" s="753"/>
      <c r="AI374" s="753"/>
      <c r="AJ374" s="753"/>
      <c r="AK374" s="753"/>
      <c r="AL374" s="753"/>
      <c r="AM374" s="753"/>
      <c r="AN374" s="753"/>
      <c r="AO374" s="753"/>
      <c r="AP374" s="753"/>
      <c r="AQ374" s="753"/>
      <c r="AR374" s="753"/>
      <c r="AS374" s="753"/>
      <c r="AT374" s="753"/>
      <c r="AU374" s="753"/>
      <c r="AV374" s="753"/>
      <c r="AW374" s="753"/>
      <c r="AX374" s="753"/>
      <c r="AY374" s="753"/>
      <c r="AZ374" s="753"/>
      <c r="BA374" s="753"/>
      <c r="BB374" s="753"/>
      <c r="BC374" s="753"/>
      <c r="BD374" s="753"/>
      <c r="BE374" s="753"/>
      <c r="BF374" s="753"/>
      <c r="BG374" s="753"/>
      <c r="BH374" s="753"/>
      <c r="BI374" s="753"/>
      <c r="BJ374" s="753"/>
      <c r="BK374" s="753"/>
      <c r="BL374" s="753"/>
      <c r="BM374" s="753"/>
      <c r="BN374" s="753"/>
      <c r="BO374" s="753"/>
      <c r="BP374" s="753"/>
      <c r="BQ374" s="753"/>
      <c r="BR374" s="753"/>
      <c r="BS374" s="753"/>
      <c r="BT374" s="753"/>
      <c r="BU374" s="753"/>
      <c r="BV374" s="753"/>
      <c r="BW374" s="753"/>
      <c r="BX374" s="753"/>
      <c r="BY374" s="753"/>
      <c r="BZ374" s="753"/>
      <c r="CA374" s="753"/>
    </row>
    <row r="375" spans="1:79" s="757" customFormat="1" hidden="1" outlineLevel="1" x14ac:dyDescent="0.35">
      <c r="A375" s="504"/>
      <c r="B375" s="504"/>
      <c r="C375" s="504"/>
      <c r="D375" s="504"/>
      <c r="E375" s="504"/>
      <c r="F375" s="672" t="s">
        <v>878</v>
      </c>
      <c r="G375" s="735"/>
      <c r="H375" s="735"/>
      <c r="I375" s="735"/>
      <c r="J375" s="735"/>
      <c r="K375" s="735"/>
      <c r="L375" s="735"/>
      <c r="M375" s="735"/>
      <c r="N375" s="735"/>
      <c r="O375" s="735"/>
      <c r="P375" s="732"/>
      <c r="Q375" s="732"/>
      <c r="R375" s="732"/>
      <c r="S375" s="687">
        <v>0</v>
      </c>
      <c r="T375" s="687">
        <v>0</v>
      </c>
      <c r="U375" s="687">
        <v>0</v>
      </c>
      <c r="V375" s="687">
        <v>0</v>
      </c>
      <c r="W375" s="687">
        <v>0</v>
      </c>
      <c r="X375" s="687">
        <v>0</v>
      </c>
      <c r="Y375" s="687">
        <v>0</v>
      </c>
      <c r="Z375" s="687">
        <v>154.75</v>
      </c>
      <c r="AA375" s="687">
        <v>0</v>
      </c>
      <c r="AB375" s="687">
        <v>0</v>
      </c>
      <c r="AC375" s="687">
        <v>0</v>
      </c>
      <c r="AD375" s="687">
        <v>0</v>
      </c>
      <c r="AE375" s="734"/>
      <c r="AF375" s="734"/>
      <c r="AG375" s="734"/>
      <c r="AH375" s="734"/>
      <c r="AI375" s="734"/>
      <c r="AJ375" s="734"/>
      <c r="AK375" s="734"/>
      <c r="AL375" s="734"/>
      <c r="AM375" s="734"/>
      <c r="AN375" s="734"/>
      <c r="AO375" s="734"/>
      <c r="AP375" s="734"/>
      <c r="AQ375" s="734"/>
      <c r="AR375" s="734"/>
      <c r="AS375" s="734"/>
      <c r="AT375" s="734"/>
      <c r="AU375" s="734"/>
      <c r="AV375" s="734"/>
      <c r="AW375" s="734"/>
      <c r="AX375" s="734"/>
      <c r="AY375" s="734"/>
      <c r="AZ375" s="734"/>
      <c r="BA375" s="734"/>
      <c r="BB375" s="734"/>
      <c r="BC375" s="734"/>
      <c r="BD375" s="734"/>
      <c r="BE375" s="734"/>
      <c r="BF375" s="734"/>
      <c r="BG375" s="734"/>
      <c r="BH375" s="734"/>
      <c r="BI375" s="734"/>
      <c r="BJ375" s="734"/>
      <c r="BK375" s="734"/>
      <c r="BL375" s="734"/>
      <c r="BM375" s="734"/>
      <c r="BN375" s="734"/>
      <c r="BO375" s="734"/>
      <c r="BP375" s="734"/>
      <c r="BQ375" s="734"/>
      <c r="BR375" s="734"/>
      <c r="BS375" s="734"/>
      <c r="BT375" s="734"/>
      <c r="BU375" s="734"/>
      <c r="BV375" s="734"/>
      <c r="BW375" s="734"/>
      <c r="BX375" s="734"/>
      <c r="BY375" s="734"/>
      <c r="BZ375" s="734"/>
      <c r="CA375" s="734"/>
    </row>
    <row r="376" spans="1:79" s="757" customFormat="1" hidden="1" outlineLevel="1" x14ac:dyDescent="0.35">
      <c r="A376" s="504"/>
      <c r="B376" s="504"/>
      <c r="C376" s="504"/>
      <c r="D376" s="504"/>
      <c r="E376" s="504"/>
      <c r="F376" s="672" t="s">
        <v>879</v>
      </c>
      <c r="G376" s="735"/>
      <c r="H376" s="735"/>
      <c r="I376" s="735"/>
      <c r="J376" s="735"/>
      <c r="K376" s="735"/>
      <c r="L376" s="735"/>
      <c r="M376" s="735"/>
      <c r="N376" s="735"/>
      <c r="O376" s="735"/>
      <c r="P376" s="732"/>
      <c r="Q376" s="732"/>
      <c r="R376" s="732"/>
      <c r="S376" s="687">
        <v>0</v>
      </c>
      <c r="T376" s="687">
        <v>0</v>
      </c>
      <c r="U376" s="687">
        <v>0</v>
      </c>
      <c r="V376" s="687">
        <v>0</v>
      </c>
      <c r="W376" s="687">
        <v>0</v>
      </c>
      <c r="X376" s="687">
        <v>0</v>
      </c>
      <c r="Y376" s="687">
        <v>0</v>
      </c>
      <c r="Z376" s="687">
        <v>0</v>
      </c>
      <c r="AA376" s="687">
        <v>0</v>
      </c>
      <c r="AB376" s="687">
        <v>0</v>
      </c>
      <c r="AC376" s="687">
        <v>0</v>
      </c>
      <c r="AD376" s="687">
        <v>0</v>
      </c>
      <c r="AE376" s="734"/>
      <c r="AF376" s="734"/>
      <c r="AG376" s="734"/>
      <c r="AH376" s="734"/>
      <c r="AI376" s="734"/>
      <c r="AJ376" s="734"/>
      <c r="AK376" s="734"/>
      <c r="AL376" s="734"/>
      <c r="AM376" s="734"/>
      <c r="AN376" s="734"/>
      <c r="AO376" s="734"/>
      <c r="AP376" s="734"/>
      <c r="AQ376" s="734"/>
      <c r="AR376" s="734"/>
      <c r="AS376" s="734"/>
      <c r="AT376" s="734"/>
      <c r="AU376" s="734"/>
      <c r="AV376" s="734"/>
      <c r="AW376" s="734"/>
      <c r="AX376" s="734"/>
      <c r="AY376" s="734"/>
      <c r="AZ376" s="734"/>
      <c r="BA376" s="734"/>
      <c r="BB376" s="734"/>
      <c r="BC376" s="734"/>
      <c r="BD376" s="734"/>
      <c r="BE376" s="734"/>
      <c r="BF376" s="734"/>
      <c r="BG376" s="734"/>
      <c r="BH376" s="734"/>
      <c r="BI376" s="734"/>
      <c r="BJ376" s="734"/>
      <c r="BK376" s="734"/>
      <c r="BL376" s="734"/>
      <c r="BM376" s="734"/>
      <c r="BN376" s="734"/>
      <c r="BO376" s="734"/>
      <c r="BP376" s="734"/>
      <c r="BQ376" s="734"/>
      <c r="BR376" s="734"/>
      <c r="BS376" s="734"/>
      <c r="BT376" s="734"/>
      <c r="BU376" s="734"/>
      <c r="BV376" s="734"/>
      <c r="BW376" s="734"/>
      <c r="BX376" s="734"/>
      <c r="BY376" s="734"/>
      <c r="BZ376" s="734"/>
      <c r="CA376" s="734"/>
    </row>
    <row r="377" spans="1:79" s="757" customFormat="1" hidden="1" outlineLevel="1" x14ac:dyDescent="0.35">
      <c r="A377" s="504"/>
      <c r="B377" s="504"/>
      <c r="C377" s="504"/>
      <c r="D377" s="504"/>
      <c r="E377" s="504"/>
      <c r="F377" s="672" t="s">
        <v>880</v>
      </c>
      <c r="G377" s="735"/>
      <c r="H377" s="735"/>
      <c r="I377" s="735"/>
      <c r="J377" s="735"/>
      <c r="K377" s="735"/>
      <c r="L377" s="735"/>
      <c r="M377" s="735"/>
      <c r="N377" s="735"/>
      <c r="O377" s="735"/>
      <c r="P377" s="732"/>
      <c r="Q377" s="732"/>
      <c r="R377" s="732"/>
      <c r="S377" s="687">
        <v>0</v>
      </c>
      <c r="T377" s="687">
        <v>0</v>
      </c>
      <c r="U377" s="687">
        <v>0</v>
      </c>
      <c r="V377" s="687">
        <v>0</v>
      </c>
      <c r="W377" s="687">
        <v>0</v>
      </c>
      <c r="X377" s="687">
        <v>0</v>
      </c>
      <c r="Y377" s="687">
        <v>0</v>
      </c>
      <c r="Z377" s="687">
        <v>0</v>
      </c>
      <c r="AA377" s="687">
        <v>0</v>
      </c>
      <c r="AB377" s="687">
        <v>0</v>
      </c>
      <c r="AC377" s="687">
        <v>0</v>
      </c>
      <c r="AD377" s="687">
        <v>0</v>
      </c>
      <c r="AE377" s="734"/>
      <c r="AF377" s="734"/>
      <c r="AG377" s="734"/>
      <c r="AH377" s="734"/>
      <c r="AI377" s="734"/>
      <c r="AJ377" s="734"/>
      <c r="AK377" s="734"/>
      <c r="AL377" s="734"/>
      <c r="AM377" s="734"/>
      <c r="AN377" s="734"/>
      <c r="AO377" s="734"/>
      <c r="AP377" s="734"/>
      <c r="AQ377" s="734"/>
      <c r="AR377" s="734"/>
      <c r="AS377" s="734"/>
      <c r="AT377" s="734"/>
      <c r="AU377" s="734"/>
      <c r="AV377" s="734"/>
      <c r="AW377" s="734"/>
      <c r="AX377" s="734"/>
      <c r="AY377" s="734"/>
      <c r="AZ377" s="734"/>
      <c r="BA377" s="734"/>
      <c r="BB377" s="734"/>
      <c r="BC377" s="734"/>
      <c r="BD377" s="734"/>
      <c r="BE377" s="734"/>
      <c r="BF377" s="734"/>
      <c r="BG377" s="734"/>
      <c r="BH377" s="734"/>
      <c r="BI377" s="734"/>
      <c r="BJ377" s="734"/>
      <c r="BK377" s="734"/>
      <c r="BL377" s="734"/>
      <c r="BM377" s="734"/>
      <c r="BN377" s="734"/>
      <c r="BO377" s="734"/>
      <c r="BP377" s="734"/>
      <c r="BQ377" s="734"/>
      <c r="BR377" s="734"/>
      <c r="BS377" s="734"/>
      <c r="BT377" s="734"/>
      <c r="BU377" s="734"/>
      <c r="BV377" s="734"/>
      <c r="BW377" s="734"/>
      <c r="BX377" s="734"/>
      <c r="BY377" s="734"/>
      <c r="BZ377" s="734"/>
      <c r="CA377" s="734"/>
    </row>
    <row r="378" spans="1:79" s="452" customFormat="1" hidden="1" outlineLevel="1" x14ac:dyDescent="0.35">
      <c r="A378" s="80"/>
      <c r="B378" s="80"/>
      <c r="C378" s="80"/>
      <c r="D378" s="80"/>
      <c r="E378" s="80"/>
      <c r="F378" s="672" t="s">
        <v>609</v>
      </c>
      <c r="G378" s="735"/>
      <c r="H378" s="735"/>
      <c r="I378" s="735"/>
      <c r="J378" s="735"/>
      <c r="K378" s="735"/>
      <c r="L378" s="735"/>
      <c r="M378" s="735"/>
      <c r="N378" s="735"/>
      <c r="O378" s="735"/>
      <c r="P378" s="732"/>
      <c r="Q378" s="732"/>
      <c r="R378" s="732"/>
      <c r="S378" s="683">
        <v>0</v>
      </c>
      <c r="T378" s="683">
        <v>0</v>
      </c>
      <c r="U378" s="683">
        <v>1196.54</v>
      </c>
      <c r="V378" s="683">
        <v>2136.38</v>
      </c>
      <c r="W378" s="683">
        <v>3416.44</v>
      </c>
      <c r="X378" s="683">
        <v>372.23</v>
      </c>
      <c r="Y378" s="683">
        <v>5107.42</v>
      </c>
      <c r="Z378" s="683">
        <v>101.46</v>
      </c>
      <c r="AA378" s="683">
        <v>397.41</v>
      </c>
      <c r="AB378" s="683">
        <v>0</v>
      </c>
      <c r="AC378" s="683">
        <v>1345.67</v>
      </c>
      <c r="AD378" s="683">
        <v>120.09</v>
      </c>
      <c r="AE378" s="734"/>
      <c r="AF378" s="734"/>
      <c r="AG378" s="734"/>
      <c r="AH378" s="734"/>
      <c r="AI378" s="734"/>
      <c r="AJ378" s="734"/>
      <c r="AK378" s="734"/>
      <c r="AL378" s="734"/>
      <c r="AM378" s="734"/>
      <c r="AN378" s="734"/>
      <c r="AO378" s="734"/>
      <c r="AP378" s="734"/>
      <c r="AQ378" s="734"/>
      <c r="AR378" s="734"/>
      <c r="AS378" s="734"/>
      <c r="AT378" s="734"/>
      <c r="AU378" s="734"/>
      <c r="AV378" s="734"/>
      <c r="AW378" s="734"/>
      <c r="AX378" s="734"/>
      <c r="AY378" s="734"/>
      <c r="AZ378" s="734"/>
      <c r="BA378" s="734"/>
      <c r="BB378" s="734"/>
      <c r="BC378" s="734"/>
      <c r="BD378" s="734"/>
      <c r="BE378" s="734"/>
      <c r="BF378" s="734"/>
      <c r="BG378" s="734"/>
      <c r="BH378" s="734"/>
      <c r="BI378" s="734"/>
      <c r="BJ378" s="734"/>
      <c r="BK378" s="734"/>
      <c r="BL378" s="734"/>
      <c r="BM378" s="734"/>
      <c r="BN378" s="734"/>
      <c r="BO378" s="734"/>
      <c r="BP378" s="734"/>
      <c r="BQ378" s="734"/>
      <c r="BR378" s="734"/>
      <c r="BS378" s="734"/>
      <c r="BT378" s="734"/>
      <c r="BU378" s="734"/>
      <c r="BV378" s="734"/>
      <c r="BW378" s="734"/>
      <c r="BX378" s="734"/>
      <c r="BY378" s="734"/>
      <c r="BZ378" s="734"/>
      <c r="CA378" s="734"/>
    </row>
    <row r="379" spans="1:79" s="452" customFormat="1" hidden="1" outlineLevel="1" x14ac:dyDescent="0.35">
      <c r="A379" s="80"/>
      <c r="B379" s="80"/>
      <c r="C379" s="80"/>
      <c r="D379" s="80"/>
      <c r="E379" s="80"/>
      <c r="F379" s="672" t="s">
        <v>610</v>
      </c>
      <c r="G379" s="735"/>
      <c r="H379" s="735"/>
      <c r="I379" s="735"/>
      <c r="J379" s="735"/>
      <c r="K379" s="735"/>
      <c r="L379" s="735"/>
      <c r="M379" s="735"/>
      <c r="N379" s="735"/>
      <c r="O379" s="735"/>
      <c r="P379" s="732"/>
      <c r="Q379" s="732"/>
      <c r="R379" s="732"/>
      <c r="S379" s="683">
        <v>423.38</v>
      </c>
      <c r="T379" s="683">
        <v>72.95</v>
      </c>
      <c r="U379" s="683">
        <v>0</v>
      </c>
      <c r="V379" s="683">
        <v>49</v>
      </c>
      <c r="W379" s="683">
        <v>0</v>
      </c>
      <c r="X379" s="683">
        <v>258.04000000000002</v>
      </c>
      <c r="Y379" s="683">
        <v>239.29</v>
      </c>
      <c r="Z379" s="683">
        <v>167.29</v>
      </c>
      <c r="AA379" s="683">
        <v>167.29</v>
      </c>
      <c r="AB379" s="683">
        <v>167.29</v>
      </c>
      <c r="AC379" s="683">
        <v>167.29</v>
      </c>
      <c r="AD379" s="683">
        <v>167.29</v>
      </c>
      <c r="AE379" s="734"/>
      <c r="AF379" s="734"/>
      <c r="AG379" s="734"/>
      <c r="AH379" s="734"/>
      <c r="AI379" s="734"/>
      <c r="AJ379" s="734"/>
      <c r="AK379" s="734"/>
      <c r="AL379" s="734"/>
      <c r="AM379" s="734"/>
      <c r="AN379" s="734"/>
      <c r="AO379" s="734"/>
      <c r="AP379" s="734"/>
      <c r="AQ379" s="734"/>
      <c r="AR379" s="734"/>
      <c r="AS379" s="734"/>
      <c r="AT379" s="734"/>
      <c r="AU379" s="734"/>
      <c r="AV379" s="734"/>
      <c r="AW379" s="734"/>
      <c r="AX379" s="734"/>
      <c r="AY379" s="734"/>
      <c r="AZ379" s="734"/>
      <c r="BA379" s="734"/>
      <c r="BB379" s="734"/>
      <c r="BC379" s="734"/>
      <c r="BD379" s="734"/>
      <c r="BE379" s="734"/>
      <c r="BF379" s="734"/>
      <c r="BG379" s="734"/>
      <c r="BH379" s="734"/>
      <c r="BI379" s="734"/>
      <c r="BJ379" s="734"/>
      <c r="BK379" s="734"/>
      <c r="BL379" s="734"/>
      <c r="BM379" s="734"/>
      <c r="BN379" s="734"/>
      <c r="BO379" s="734"/>
      <c r="BP379" s="734"/>
      <c r="BQ379" s="734"/>
      <c r="BR379" s="734"/>
      <c r="BS379" s="734"/>
      <c r="BT379" s="734"/>
      <c r="BU379" s="734"/>
      <c r="BV379" s="734"/>
      <c r="BW379" s="734"/>
      <c r="BX379" s="734"/>
      <c r="BY379" s="734"/>
      <c r="BZ379" s="734"/>
      <c r="CA379" s="734"/>
    </row>
    <row r="380" spans="1:79" s="452" customFormat="1" hidden="1" outlineLevel="1" x14ac:dyDescent="0.35">
      <c r="A380" s="580"/>
      <c r="B380" s="580"/>
      <c r="C380" s="580"/>
      <c r="D380" s="580"/>
      <c r="E380" s="580"/>
      <c r="F380" s="672" t="s">
        <v>611</v>
      </c>
      <c r="G380" s="735"/>
      <c r="H380" s="735"/>
      <c r="I380" s="735"/>
      <c r="J380" s="735"/>
      <c r="K380" s="735"/>
      <c r="L380" s="735"/>
      <c r="M380" s="735"/>
      <c r="N380" s="735"/>
      <c r="O380" s="735"/>
      <c r="P380" s="732"/>
      <c r="Q380" s="732"/>
      <c r="R380" s="732"/>
      <c r="S380" s="683">
        <v>0</v>
      </c>
      <c r="T380" s="683">
        <v>0</v>
      </c>
      <c r="U380" s="683">
        <v>0</v>
      </c>
      <c r="V380" s="683">
        <v>0</v>
      </c>
      <c r="W380" s="683">
        <v>23</v>
      </c>
      <c r="X380" s="683">
        <v>0</v>
      </c>
      <c r="Y380" s="683">
        <v>0</v>
      </c>
      <c r="Z380" s="683">
        <v>15.3</v>
      </c>
      <c r="AA380" s="683">
        <v>0</v>
      </c>
      <c r="AB380" s="683">
        <v>0</v>
      </c>
      <c r="AC380" s="683">
        <v>0</v>
      </c>
      <c r="AD380" s="683">
        <v>0</v>
      </c>
      <c r="AE380" s="734"/>
      <c r="AF380" s="734"/>
      <c r="AG380" s="734"/>
      <c r="AH380" s="734"/>
      <c r="AI380" s="734"/>
      <c r="AJ380" s="734"/>
      <c r="AK380" s="734"/>
      <c r="AL380" s="734"/>
      <c r="AM380" s="734"/>
      <c r="AN380" s="734"/>
      <c r="AO380" s="734"/>
      <c r="AP380" s="734"/>
      <c r="AQ380" s="734"/>
      <c r="AR380" s="734"/>
      <c r="AS380" s="734"/>
      <c r="AT380" s="734"/>
      <c r="AU380" s="734"/>
      <c r="AV380" s="734"/>
      <c r="AW380" s="734"/>
      <c r="AX380" s="734"/>
      <c r="AY380" s="734"/>
      <c r="AZ380" s="734"/>
      <c r="BA380" s="734"/>
      <c r="BB380" s="734"/>
      <c r="BC380" s="734"/>
      <c r="BD380" s="734"/>
      <c r="BE380" s="734"/>
      <c r="BF380" s="734"/>
      <c r="BG380" s="734"/>
      <c r="BH380" s="734"/>
      <c r="BI380" s="734"/>
      <c r="BJ380" s="734"/>
      <c r="BK380" s="734"/>
      <c r="BL380" s="734"/>
      <c r="BM380" s="734"/>
      <c r="BN380" s="734"/>
      <c r="BO380" s="734"/>
      <c r="BP380" s="734"/>
      <c r="BQ380" s="734"/>
      <c r="BR380" s="734"/>
      <c r="BS380" s="734"/>
      <c r="BT380" s="734"/>
      <c r="BU380" s="734"/>
      <c r="BV380" s="734"/>
      <c r="BW380" s="734"/>
      <c r="BX380" s="734"/>
      <c r="BY380" s="734"/>
      <c r="BZ380" s="734"/>
      <c r="CA380" s="734"/>
    </row>
    <row r="381" spans="1:79" s="452" customFormat="1" hidden="1" outlineLevel="1" x14ac:dyDescent="0.35">
      <c r="A381" s="580"/>
      <c r="B381" s="580"/>
      <c r="C381" s="580"/>
      <c r="D381" s="580"/>
      <c r="E381" s="580"/>
      <c r="F381" s="672" t="s">
        <v>881</v>
      </c>
      <c r="G381" s="735">
        <v>854.72362073799138</v>
      </c>
      <c r="H381" s="735">
        <v>270.35776364067527</v>
      </c>
      <c r="I381" s="735">
        <v>1220.3338483041584</v>
      </c>
      <c r="J381" s="735">
        <v>358.63021367199036</v>
      </c>
      <c r="K381" s="735">
        <v>539.5626773980124</v>
      </c>
      <c r="L381" s="735">
        <v>1086.892674909438</v>
      </c>
      <c r="M381" s="735">
        <v>1601.992741494852</v>
      </c>
      <c r="N381" s="735">
        <v>737.87779225851887</v>
      </c>
      <c r="O381" s="735">
        <v>846.20139027733626</v>
      </c>
      <c r="P381" s="732">
        <v>1779.9969177935168</v>
      </c>
      <c r="Q381" s="732">
        <v>929.95049335584963</v>
      </c>
      <c r="R381" s="732">
        <v>126.08553875528162</v>
      </c>
      <c r="S381" s="692">
        <v>0</v>
      </c>
      <c r="T381" s="692">
        <v>0</v>
      </c>
      <c r="U381" s="692">
        <v>0</v>
      </c>
      <c r="V381" s="692">
        <v>0</v>
      </c>
      <c r="W381" s="692">
        <v>0</v>
      </c>
      <c r="X381" s="692">
        <v>0</v>
      </c>
      <c r="Y381" s="692">
        <v>0</v>
      </c>
      <c r="Z381" s="692">
        <v>0</v>
      </c>
      <c r="AA381" s="692">
        <v>0</v>
      </c>
      <c r="AB381" s="692">
        <v>0</v>
      </c>
      <c r="AC381" s="692">
        <v>0</v>
      </c>
      <c r="AD381" s="692">
        <v>0</v>
      </c>
      <c r="AE381" s="734"/>
      <c r="AF381" s="734"/>
      <c r="AG381" s="734"/>
      <c r="AH381" s="734"/>
      <c r="AI381" s="734"/>
      <c r="AJ381" s="734"/>
      <c r="AK381" s="734"/>
      <c r="AL381" s="734"/>
      <c r="AM381" s="734"/>
      <c r="AN381" s="734"/>
      <c r="AO381" s="734"/>
      <c r="AP381" s="734"/>
      <c r="AQ381" s="734"/>
      <c r="AR381" s="734"/>
      <c r="AS381" s="734"/>
      <c r="AT381" s="734"/>
      <c r="AU381" s="734"/>
      <c r="AV381" s="734"/>
      <c r="AW381" s="734"/>
      <c r="AX381" s="734"/>
      <c r="AY381" s="734"/>
      <c r="AZ381" s="734"/>
      <c r="BA381" s="734"/>
      <c r="BB381" s="734"/>
      <c r="BC381" s="734"/>
      <c r="BD381" s="734"/>
      <c r="BE381" s="734"/>
      <c r="BF381" s="734"/>
      <c r="BG381" s="734"/>
      <c r="BH381" s="734"/>
      <c r="BI381" s="734"/>
      <c r="BJ381" s="734"/>
      <c r="BK381" s="734"/>
      <c r="BL381" s="734"/>
      <c r="BM381" s="734"/>
      <c r="BN381" s="734"/>
      <c r="BO381" s="734"/>
      <c r="BP381" s="734"/>
      <c r="BQ381" s="734"/>
      <c r="BR381" s="734"/>
      <c r="BS381" s="734"/>
      <c r="BT381" s="734"/>
      <c r="BU381" s="734"/>
      <c r="BV381" s="734"/>
      <c r="BW381" s="734"/>
      <c r="BX381" s="734"/>
      <c r="BY381" s="734"/>
      <c r="BZ381" s="734"/>
      <c r="CA381" s="734"/>
    </row>
    <row r="382" spans="1:79" s="309" customFormat="1" hidden="1" outlineLevel="1" x14ac:dyDescent="0.35">
      <c r="A382" s="30"/>
      <c r="B382" s="30"/>
      <c r="C382" s="30"/>
      <c r="D382" s="30"/>
      <c r="E382" s="30"/>
      <c r="F382" s="675" t="s">
        <v>612</v>
      </c>
      <c r="G382" s="680">
        <f>SUM(G375:G381)</f>
        <v>854.72362073799138</v>
      </c>
      <c r="H382" s="680">
        <f t="shared" ref="H382:BO382" si="130">SUM(H375:H381)</f>
        <v>270.35776364067527</v>
      </c>
      <c r="I382" s="680">
        <f t="shared" si="130"/>
        <v>1220.3338483041584</v>
      </c>
      <c r="J382" s="680">
        <f t="shared" si="130"/>
        <v>358.63021367199036</v>
      </c>
      <c r="K382" s="680">
        <f t="shared" si="130"/>
        <v>539.5626773980124</v>
      </c>
      <c r="L382" s="680">
        <f t="shared" si="130"/>
        <v>1086.892674909438</v>
      </c>
      <c r="M382" s="680">
        <f t="shared" si="130"/>
        <v>1601.992741494852</v>
      </c>
      <c r="N382" s="680">
        <f t="shared" si="130"/>
        <v>737.87779225851887</v>
      </c>
      <c r="O382" s="680">
        <f t="shared" si="130"/>
        <v>846.20139027733626</v>
      </c>
      <c r="P382" s="680">
        <f t="shared" si="130"/>
        <v>1779.9969177935168</v>
      </c>
      <c r="Q382" s="680">
        <f t="shared" si="130"/>
        <v>929.95049335584963</v>
      </c>
      <c r="R382" s="680">
        <f t="shared" si="130"/>
        <v>126.08553875528162</v>
      </c>
      <c r="S382" s="695">
        <f t="shared" ref="S382:AA382" si="131">ROUND(SUM(S374:S381),5)</f>
        <v>423.38</v>
      </c>
      <c r="T382" s="695">
        <f t="shared" si="131"/>
        <v>72.95</v>
      </c>
      <c r="U382" s="695">
        <f t="shared" si="131"/>
        <v>1196.54</v>
      </c>
      <c r="V382" s="695">
        <f t="shared" si="131"/>
        <v>2185.38</v>
      </c>
      <c r="W382" s="695">
        <f t="shared" si="131"/>
        <v>3439.44</v>
      </c>
      <c r="X382" s="695">
        <f t="shared" si="131"/>
        <v>630.27</v>
      </c>
      <c r="Y382" s="695">
        <f t="shared" si="131"/>
        <v>5346.71</v>
      </c>
      <c r="Z382" s="695">
        <f t="shared" si="131"/>
        <v>438.8</v>
      </c>
      <c r="AA382" s="695">
        <f t="shared" si="131"/>
        <v>564.70000000000005</v>
      </c>
      <c r="AB382" s="695">
        <f>ROUND(SUM(AB374:AB381),5)</f>
        <v>167.29</v>
      </c>
      <c r="AC382" s="695">
        <f>ROUND(SUM(AC374:AC381),5)</f>
        <v>1512.96</v>
      </c>
      <c r="AD382" s="695">
        <f>ROUND(SUM(AD374:AD381),5)</f>
        <v>287.38</v>
      </c>
      <c r="AE382" s="680">
        <f t="shared" si="130"/>
        <v>0</v>
      </c>
      <c r="AF382" s="680">
        <f t="shared" si="130"/>
        <v>0</v>
      </c>
      <c r="AG382" s="680">
        <f t="shared" si="130"/>
        <v>0</v>
      </c>
      <c r="AH382" s="680">
        <f t="shared" si="130"/>
        <v>0</v>
      </c>
      <c r="AI382" s="680">
        <f t="shared" si="130"/>
        <v>0</v>
      </c>
      <c r="AJ382" s="680">
        <f t="shared" si="130"/>
        <v>0</v>
      </c>
      <c r="AK382" s="680">
        <f t="shared" si="130"/>
        <v>0</v>
      </c>
      <c r="AL382" s="680">
        <f t="shared" si="130"/>
        <v>0</v>
      </c>
      <c r="AM382" s="680">
        <f t="shared" si="130"/>
        <v>0</v>
      </c>
      <c r="AN382" s="680">
        <f t="shared" si="130"/>
        <v>0</v>
      </c>
      <c r="AO382" s="680">
        <f t="shared" si="130"/>
        <v>0</v>
      </c>
      <c r="AP382" s="680">
        <f t="shared" si="130"/>
        <v>0</v>
      </c>
      <c r="AQ382" s="680">
        <f t="shared" si="130"/>
        <v>0</v>
      </c>
      <c r="AR382" s="680">
        <f t="shared" si="130"/>
        <v>0</v>
      </c>
      <c r="AS382" s="680">
        <f t="shared" si="130"/>
        <v>0</v>
      </c>
      <c r="AT382" s="680">
        <f t="shared" si="130"/>
        <v>0</v>
      </c>
      <c r="AU382" s="680">
        <f t="shared" si="130"/>
        <v>0</v>
      </c>
      <c r="AV382" s="680">
        <f t="shared" si="130"/>
        <v>0</v>
      </c>
      <c r="AW382" s="680">
        <f t="shared" si="130"/>
        <v>0</v>
      </c>
      <c r="AX382" s="680">
        <f t="shared" si="130"/>
        <v>0</v>
      </c>
      <c r="AY382" s="680">
        <f t="shared" si="130"/>
        <v>0</v>
      </c>
      <c r="AZ382" s="680">
        <f t="shared" si="130"/>
        <v>0</v>
      </c>
      <c r="BA382" s="680">
        <f t="shared" si="130"/>
        <v>0</v>
      </c>
      <c r="BB382" s="680">
        <f t="shared" si="130"/>
        <v>0</v>
      </c>
      <c r="BC382" s="680">
        <f t="shared" si="130"/>
        <v>0</v>
      </c>
      <c r="BD382" s="680">
        <f t="shared" si="130"/>
        <v>0</v>
      </c>
      <c r="BE382" s="680">
        <f t="shared" si="130"/>
        <v>0</v>
      </c>
      <c r="BF382" s="680">
        <f t="shared" si="130"/>
        <v>0</v>
      </c>
      <c r="BG382" s="680">
        <f t="shared" si="130"/>
        <v>0</v>
      </c>
      <c r="BH382" s="680">
        <f t="shared" si="130"/>
        <v>0</v>
      </c>
      <c r="BI382" s="680">
        <f t="shared" si="130"/>
        <v>0</v>
      </c>
      <c r="BJ382" s="680">
        <f t="shared" si="130"/>
        <v>0</v>
      </c>
      <c r="BK382" s="680">
        <f t="shared" si="130"/>
        <v>0</v>
      </c>
      <c r="BL382" s="680">
        <f t="shared" si="130"/>
        <v>0</v>
      </c>
      <c r="BM382" s="680">
        <f t="shared" si="130"/>
        <v>0</v>
      </c>
      <c r="BN382" s="680">
        <f t="shared" si="130"/>
        <v>0</v>
      </c>
      <c r="BO382" s="680">
        <f t="shared" si="130"/>
        <v>0</v>
      </c>
      <c r="BP382" s="680">
        <f t="shared" ref="BP382:CA382" si="132">SUM(BP375:BP381)</f>
        <v>0</v>
      </c>
      <c r="BQ382" s="680">
        <f t="shared" si="132"/>
        <v>0</v>
      </c>
      <c r="BR382" s="680">
        <f t="shared" si="132"/>
        <v>0</v>
      </c>
      <c r="BS382" s="680">
        <f t="shared" si="132"/>
        <v>0</v>
      </c>
      <c r="BT382" s="680">
        <f t="shared" si="132"/>
        <v>0</v>
      </c>
      <c r="BU382" s="680">
        <f t="shared" si="132"/>
        <v>0</v>
      </c>
      <c r="BV382" s="680">
        <f t="shared" si="132"/>
        <v>0</v>
      </c>
      <c r="BW382" s="680">
        <f t="shared" si="132"/>
        <v>0</v>
      </c>
      <c r="BX382" s="680">
        <f t="shared" si="132"/>
        <v>0</v>
      </c>
      <c r="BY382" s="680">
        <f t="shared" si="132"/>
        <v>0</v>
      </c>
      <c r="BZ382" s="680">
        <f t="shared" si="132"/>
        <v>0</v>
      </c>
      <c r="CA382" s="680">
        <f t="shared" si="132"/>
        <v>0</v>
      </c>
    </row>
    <row r="383" spans="1:79" s="309" customFormat="1" hidden="1" outlineLevel="1" x14ac:dyDescent="0.35">
      <c r="A383" s="575"/>
      <c r="B383" s="575"/>
      <c r="C383" s="575"/>
      <c r="D383" s="575"/>
      <c r="E383" s="575"/>
      <c r="F383" s="671" t="s">
        <v>882</v>
      </c>
      <c r="G383" s="735"/>
      <c r="H383" s="735"/>
      <c r="I383" s="735"/>
      <c r="J383" s="735"/>
      <c r="K383" s="735"/>
      <c r="L383" s="735"/>
      <c r="M383" s="735"/>
      <c r="N383" s="735"/>
      <c r="O383" s="735"/>
      <c r="P383" s="732"/>
      <c r="Q383" s="732"/>
      <c r="R383" s="732"/>
      <c r="S383" s="700">
        <v>0</v>
      </c>
      <c r="T383" s="700">
        <v>0</v>
      </c>
      <c r="U383" s="700">
        <v>0</v>
      </c>
      <c r="V383" s="700">
        <v>0</v>
      </c>
      <c r="W383" s="700">
        <v>0</v>
      </c>
      <c r="X383" s="700">
        <v>0</v>
      </c>
      <c r="Y383" s="700">
        <v>0</v>
      </c>
      <c r="Z383" s="700">
        <v>0</v>
      </c>
      <c r="AA383" s="700">
        <v>0</v>
      </c>
      <c r="AB383" s="700">
        <v>0</v>
      </c>
      <c r="AC383" s="700">
        <v>0</v>
      </c>
      <c r="AD383" s="700">
        <v>0</v>
      </c>
      <c r="AE383" s="734"/>
      <c r="AF383" s="734"/>
      <c r="AG383" s="734"/>
      <c r="AH383" s="734"/>
      <c r="AI383" s="734"/>
      <c r="AJ383" s="734"/>
      <c r="AK383" s="734"/>
      <c r="AL383" s="734"/>
      <c r="AM383" s="734"/>
      <c r="AN383" s="734"/>
      <c r="AO383" s="734"/>
      <c r="AP383" s="734"/>
      <c r="AQ383" s="734"/>
      <c r="AR383" s="734"/>
      <c r="AS383" s="734"/>
      <c r="AT383" s="734"/>
      <c r="AU383" s="734"/>
      <c r="AV383" s="734"/>
      <c r="AW383" s="734"/>
      <c r="AX383" s="734"/>
      <c r="AY383" s="734"/>
      <c r="AZ383" s="734"/>
      <c r="BA383" s="734"/>
      <c r="BB383" s="734"/>
      <c r="BC383" s="734"/>
      <c r="BD383" s="734"/>
      <c r="BE383" s="734"/>
      <c r="BF383" s="734"/>
      <c r="BG383" s="734"/>
      <c r="BH383" s="734"/>
      <c r="BI383" s="734"/>
      <c r="BJ383" s="734"/>
      <c r="BK383" s="734"/>
      <c r="BL383" s="734"/>
      <c r="BM383" s="734"/>
      <c r="BN383" s="734"/>
      <c r="BO383" s="734"/>
      <c r="BP383" s="734"/>
      <c r="BQ383" s="734"/>
      <c r="BR383" s="734"/>
      <c r="BS383" s="734"/>
      <c r="BT383" s="734"/>
      <c r="BU383" s="734"/>
      <c r="BV383" s="734"/>
      <c r="BW383" s="734"/>
      <c r="BX383" s="734"/>
      <c r="BY383" s="734"/>
      <c r="BZ383" s="734"/>
      <c r="CA383" s="734"/>
    </row>
    <row r="384" spans="1:79" s="309" customFormat="1" hidden="1" outlineLevel="1" x14ac:dyDescent="0.35">
      <c r="A384" s="30"/>
      <c r="B384" s="30"/>
      <c r="C384" s="30"/>
      <c r="D384" s="30"/>
      <c r="E384" s="30"/>
      <c r="F384" s="674" t="s">
        <v>595</v>
      </c>
      <c r="G384" s="735"/>
      <c r="H384" s="735"/>
      <c r="I384" s="735"/>
      <c r="J384" s="735"/>
      <c r="K384" s="735"/>
      <c r="L384" s="735"/>
      <c r="M384" s="735">
        <v>230.12647538393063</v>
      </c>
      <c r="N384" s="735"/>
      <c r="O384" s="735">
        <v>181.30232150520879</v>
      </c>
      <c r="P384" s="735">
        <v>158.69493582128018</v>
      </c>
      <c r="Q384" s="735"/>
      <c r="R384" s="735"/>
      <c r="S384" s="683">
        <v>0</v>
      </c>
      <c r="T384" s="683">
        <v>0</v>
      </c>
      <c r="U384" s="683">
        <v>0</v>
      </c>
      <c r="V384" s="683">
        <v>0</v>
      </c>
      <c r="W384" s="683">
        <v>414.62</v>
      </c>
      <c r="X384" s="683">
        <v>525.26</v>
      </c>
      <c r="Y384" s="683">
        <v>1122.46</v>
      </c>
      <c r="Z384" s="683">
        <v>0</v>
      </c>
      <c r="AA384" s="683">
        <v>0</v>
      </c>
      <c r="AB384" s="683">
        <v>990</v>
      </c>
      <c r="AC384" s="683">
        <v>1267.72</v>
      </c>
      <c r="AD384" s="683">
        <v>0</v>
      </c>
      <c r="AE384" s="734"/>
      <c r="AF384" s="734"/>
      <c r="AG384" s="734"/>
      <c r="AH384" s="734"/>
      <c r="AI384" s="734"/>
      <c r="AJ384" s="734"/>
      <c r="AK384" s="734"/>
      <c r="AL384" s="734"/>
      <c r="AM384" s="734"/>
      <c r="AN384" s="734"/>
      <c r="AO384" s="734"/>
      <c r="AP384" s="734"/>
      <c r="AQ384" s="734"/>
      <c r="AR384" s="734"/>
      <c r="AS384" s="734"/>
      <c r="AT384" s="734"/>
      <c r="AU384" s="734"/>
      <c r="AV384" s="734"/>
      <c r="AW384" s="734"/>
      <c r="AX384" s="734"/>
      <c r="AY384" s="734"/>
      <c r="AZ384" s="734"/>
      <c r="BA384" s="734"/>
      <c r="BB384" s="734"/>
      <c r="BC384" s="734"/>
      <c r="BD384" s="734"/>
      <c r="BE384" s="734"/>
      <c r="BF384" s="734"/>
      <c r="BG384" s="734"/>
      <c r="BH384" s="734"/>
      <c r="BI384" s="734"/>
      <c r="BJ384" s="734"/>
      <c r="BK384" s="734"/>
      <c r="BL384" s="734"/>
      <c r="BM384" s="734"/>
      <c r="BN384" s="734"/>
      <c r="BO384" s="734"/>
      <c r="BP384" s="734"/>
      <c r="BQ384" s="734"/>
      <c r="BR384" s="734"/>
      <c r="BS384" s="734"/>
      <c r="BT384" s="734"/>
      <c r="BU384" s="734"/>
      <c r="BV384" s="734"/>
      <c r="BW384" s="734"/>
      <c r="BX384" s="734"/>
      <c r="BY384" s="734"/>
      <c r="BZ384" s="734"/>
      <c r="CA384" s="734"/>
    </row>
    <row r="385" spans="1:79" hidden="1" outlineLevel="1" x14ac:dyDescent="0.35">
      <c r="F385" s="674" t="s">
        <v>596</v>
      </c>
      <c r="G385" s="735">
        <v>22.11061103839592</v>
      </c>
      <c r="H385" s="735">
        <v>33.584457760604629</v>
      </c>
      <c r="I385" s="735">
        <v>5.8153308320418473</v>
      </c>
      <c r="J385" s="735">
        <v>6.0361695938620672</v>
      </c>
      <c r="K385" s="735">
        <v>235.13861270941018</v>
      </c>
      <c r="L385" s="735"/>
      <c r="M385" s="735"/>
      <c r="N385" s="735">
        <v>17.943458128332715</v>
      </c>
      <c r="O385" s="735"/>
      <c r="P385" s="732">
        <v>253.41937397005296</v>
      </c>
      <c r="Q385" s="732"/>
      <c r="R385" s="732"/>
      <c r="S385" s="683">
        <v>0</v>
      </c>
      <c r="T385" s="683">
        <v>439.75</v>
      </c>
      <c r="U385" s="683">
        <v>0</v>
      </c>
      <c r="V385" s="683">
        <v>210.83</v>
      </c>
      <c r="W385" s="683">
        <v>0</v>
      </c>
      <c r="X385" s="683">
        <v>0</v>
      </c>
      <c r="Y385" s="683">
        <v>152.82</v>
      </c>
      <c r="Z385" s="683">
        <v>252</v>
      </c>
      <c r="AA385" s="683">
        <v>276.14999999999998</v>
      </c>
      <c r="AB385" s="683">
        <v>288</v>
      </c>
      <c r="AC385" s="683">
        <v>288</v>
      </c>
      <c r="AD385" s="683">
        <v>288</v>
      </c>
      <c r="AE385" s="734"/>
      <c r="AF385" s="734"/>
      <c r="AG385" s="734"/>
      <c r="AH385" s="734"/>
      <c r="AI385" s="734"/>
      <c r="AJ385" s="734"/>
      <c r="AK385" s="734"/>
      <c r="AL385" s="734"/>
      <c r="AM385" s="734"/>
      <c r="AN385" s="734"/>
      <c r="AO385" s="734"/>
      <c r="AP385" s="734"/>
      <c r="AQ385" s="734"/>
      <c r="AR385" s="734"/>
      <c r="AS385" s="734"/>
      <c r="AT385" s="734"/>
      <c r="AU385" s="734"/>
      <c r="AV385" s="734"/>
      <c r="AW385" s="734"/>
      <c r="AX385" s="734"/>
      <c r="AY385" s="734"/>
      <c r="AZ385" s="734"/>
      <c r="BA385" s="734"/>
      <c r="BB385" s="734"/>
      <c r="BC385" s="734"/>
      <c r="BD385" s="734"/>
      <c r="BE385" s="734"/>
      <c r="BF385" s="734"/>
      <c r="BG385" s="734"/>
      <c r="BH385" s="734"/>
      <c r="BI385" s="734"/>
      <c r="BJ385" s="734"/>
      <c r="BK385" s="734"/>
      <c r="BL385" s="734"/>
      <c r="BM385" s="734"/>
      <c r="BN385" s="734"/>
      <c r="BO385" s="734"/>
      <c r="BP385" s="734"/>
      <c r="BQ385" s="734"/>
      <c r="BR385" s="734"/>
      <c r="BS385" s="734"/>
      <c r="BT385" s="734"/>
      <c r="BU385" s="734"/>
      <c r="BV385" s="734"/>
      <c r="BW385" s="734"/>
      <c r="BX385" s="734"/>
      <c r="BY385" s="734"/>
      <c r="BZ385" s="734"/>
      <c r="CA385" s="734"/>
    </row>
    <row r="386" spans="1:79" hidden="1" outlineLevel="1" x14ac:dyDescent="0.35">
      <c r="A386" s="574"/>
      <c r="B386" s="574"/>
      <c r="C386" s="574"/>
      <c r="D386" s="574"/>
      <c r="E386" s="574"/>
      <c r="F386" s="671" t="s">
        <v>883</v>
      </c>
      <c r="G386" s="735"/>
      <c r="H386" s="735"/>
      <c r="I386" s="735"/>
      <c r="J386" s="735"/>
      <c r="K386" s="735"/>
      <c r="L386" s="735"/>
      <c r="M386" s="735"/>
      <c r="N386" s="735"/>
      <c r="O386" s="735"/>
      <c r="P386" s="732"/>
      <c r="Q386" s="732"/>
      <c r="R386" s="732"/>
      <c r="S386" s="683">
        <v>0</v>
      </c>
      <c r="T386" s="683">
        <v>0</v>
      </c>
      <c r="U386" s="683">
        <v>0</v>
      </c>
      <c r="V386" s="683">
        <v>0</v>
      </c>
      <c r="W386" s="683">
        <v>0</v>
      </c>
      <c r="X386" s="683">
        <v>0</v>
      </c>
      <c r="Y386" s="683">
        <v>0</v>
      </c>
      <c r="Z386" s="683">
        <v>0</v>
      </c>
      <c r="AA386" s="683">
        <v>0</v>
      </c>
      <c r="AB386" s="683">
        <v>0</v>
      </c>
      <c r="AC386" s="683">
        <v>0</v>
      </c>
      <c r="AD386" s="683">
        <v>0</v>
      </c>
      <c r="AE386" s="734"/>
      <c r="AF386" s="734"/>
      <c r="AG386" s="734"/>
      <c r="AH386" s="734"/>
      <c r="AI386" s="734"/>
      <c r="AJ386" s="734"/>
      <c r="AK386" s="734"/>
      <c r="AL386" s="734"/>
      <c r="AM386" s="734"/>
      <c r="AN386" s="734"/>
      <c r="AO386" s="734"/>
      <c r="AP386" s="734"/>
      <c r="AQ386" s="734"/>
      <c r="AR386" s="734"/>
      <c r="AS386" s="734"/>
      <c r="AT386" s="734"/>
      <c r="AU386" s="734"/>
      <c r="AV386" s="734"/>
      <c r="AW386" s="734"/>
      <c r="AX386" s="734"/>
      <c r="AY386" s="734"/>
      <c r="AZ386" s="734"/>
      <c r="BA386" s="734"/>
      <c r="BB386" s="734"/>
      <c r="BC386" s="734"/>
      <c r="BD386" s="734"/>
      <c r="BE386" s="734"/>
      <c r="BF386" s="734"/>
      <c r="BG386" s="734"/>
      <c r="BH386" s="734"/>
      <c r="BI386" s="734"/>
      <c r="BJ386" s="734"/>
      <c r="BK386" s="734"/>
      <c r="BL386" s="734"/>
      <c r="BM386" s="734"/>
      <c r="BN386" s="734"/>
      <c r="BO386" s="734"/>
      <c r="BP386" s="734"/>
      <c r="BQ386" s="734"/>
      <c r="BR386" s="734"/>
      <c r="BS386" s="734"/>
      <c r="BT386" s="734"/>
      <c r="BU386" s="734"/>
      <c r="BV386" s="734"/>
      <c r="BW386" s="734"/>
      <c r="BX386" s="734"/>
      <c r="BY386" s="734"/>
      <c r="BZ386" s="734"/>
      <c r="CA386" s="734"/>
    </row>
    <row r="387" spans="1:79" s="709" customFormat="1" hidden="1" outlineLevel="1" x14ac:dyDescent="0.35">
      <c r="F387" s="717" t="s">
        <v>766</v>
      </c>
      <c r="G387" s="750"/>
      <c r="H387" s="750"/>
      <c r="I387" s="750"/>
      <c r="J387" s="750"/>
      <c r="K387" s="750"/>
      <c r="L387" s="750"/>
      <c r="M387" s="750"/>
      <c r="N387" s="750"/>
      <c r="O387" s="750"/>
      <c r="P387" s="751"/>
      <c r="Q387" s="751"/>
      <c r="R387" s="751"/>
      <c r="S387" s="720"/>
      <c r="T387" s="720"/>
      <c r="U387" s="720"/>
      <c r="V387" s="720"/>
      <c r="W387" s="720"/>
      <c r="X387" s="720"/>
      <c r="Y387" s="720"/>
      <c r="Z387" s="720"/>
      <c r="AA387" s="720"/>
      <c r="AB387" s="720"/>
      <c r="AC387" s="720"/>
      <c r="AD387" s="720"/>
      <c r="AE387" s="753"/>
      <c r="AF387" s="753"/>
      <c r="AG387" s="753"/>
      <c r="AH387" s="753"/>
      <c r="AI387" s="753"/>
      <c r="AJ387" s="753"/>
      <c r="AK387" s="753"/>
      <c r="AL387" s="753"/>
      <c r="AM387" s="753"/>
      <c r="AN387" s="753"/>
      <c r="AO387" s="753"/>
      <c r="AP387" s="753"/>
      <c r="AQ387" s="753"/>
      <c r="AR387" s="753"/>
      <c r="AS387" s="753"/>
      <c r="AT387" s="753"/>
      <c r="AU387" s="753"/>
      <c r="AV387" s="753"/>
      <c r="AW387" s="753"/>
      <c r="AX387" s="753"/>
      <c r="AY387" s="753"/>
      <c r="AZ387" s="753"/>
      <c r="BA387" s="753"/>
      <c r="BB387" s="753"/>
      <c r="BC387" s="753"/>
      <c r="BD387" s="753"/>
      <c r="BE387" s="753"/>
      <c r="BF387" s="753"/>
      <c r="BG387" s="753"/>
      <c r="BH387" s="753"/>
      <c r="BI387" s="753"/>
      <c r="BJ387" s="753"/>
      <c r="BK387" s="753"/>
      <c r="BL387" s="753"/>
      <c r="BM387" s="753"/>
      <c r="BN387" s="753"/>
      <c r="BO387" s="753"/>
      <c r="BP387" s="753"/>
      <c r="BQ387" s="753"/>
      <c r="BR387" s="753"/>
      <c r="BS387" s="753"/>
      <c r="BT387" s="753"/>
      <c r="BU387" s="753"/>
      <c r="BV387" s="753"/>
      <c r="BW387" s="753"/>
      <c r="BX387" s="753"/>
      <c r="BY387" s="753"/>
      <c r="BZ387" s="753"/>
      <c r="CA387" s="753"/>
    </row>
    <row r="388" spans="1:79" hidden="1" outlineLevel="1" x14ac:dyDescent="0.35">
      <c r="A388" s="574"/>
      <c r="B388" s="574"/>
      <c r="C388" s="574"/>
      <c r="D388" s="574"/>
      <c r="E388" s="574"/>
      <c r="F388" s="672" t="s">
        <v>884</v>
      </c>
      <c r="G388" s="735"/>
      <c r="H388" s="735"/>
      <c r="I388" s="735"/>
      <c r="J388" s="735"/>
      <c r="K388" s="735"/>
      <c r="L388" s="735"/>
      <c r="M388" s="735"/>
      <c r="N388" s="735"/>
      <c r="O388" s="735"/>
      <c r="P388" s="732"/>
      <c r="Q388" s="732"/>
      <c r="R388" s="732"/>
      <c r="S388" s="683">
        <v>0</v>
      </c>
      <c r="T388" s="683">
        <v>0</v>
      </c>
      <c r="U388" s="683">
        <v>0</v>
      </c>
      <c r="V388" s="683">
        <v>0</v>
      </c>
      <c r="W388" s="683">
        <v>0</v>
      </c>
      <c r="X388" s="683">
        <v>0</v>
      </c>
      <c r="Y388" s="683">
        <v>0</v>
      </c>
      <c r="Z388" s="683">
        <v>0</v>
      </c>
      <c r="AA388" s="683">
        <v>0</v>
      </c>
      <c r="AB388" s="683">
        <v>0</v>
      </c>
      <c r="AC388" s="683">
        <v>0</v>
      </c>
      <c r="AD388" s="683">
        <v>0</v>
      </c>
      <c r="AE388" s="734"/>
      <c r="AF388" s="734"/>
      <c r="AG388" s="734"/>
      <c r="AH388" s="734"/>
      <c r="AI388" s="734"/>
      <c r="AJ388" s="734"/>
      <c r="AK388" s="734"/>
      <c r="AL388" s="734"/>
      <c r="AM388" s="734"/>
      <c r="AN388" s="734"/>
      <c r="AO388" s="734"/>
      <c r="AP388" s="734"/>
      <c r="AQ388" s="734"/>
      <c r="AR388" s="734"/>
      <c r="AS388" s="734"/>
      <c r="AT388" s="734"/>
      <c r="AU388" s="734"/>
      <c r="AV388" s="734"/>
      <c r="AW388" s="734"/>
      <c r="AX388" s="734"/>
      <c r="AY388" s="734"/>
      <c r="AZ388" s="734"/>
      <c r="BA388" s="734"/>
      <c r="BB388" s="734"/>
      <c r="BC388" s="734"/>
      <c r="BD388" s="734"/>
      <c r="BE388" s="734"/>
      <c r="BF388" s="734"/>
      <c r="BG388" s="734"/>
      <c r="BH388" s="734"/>
      <c r="BI388" s="734"/>
      <c r="BJ388" s="734"/>
      <c r="BK388" s="734"/>
      <c r="BL388" s="734"/>
      <c r="BM388" s="734"/>
      <c r="BN388" s="734"/>
      <c r="BO388" s="734"/>
      <c r="BP388" s="734"/>
      <c r="BQ388" s="734"/>
      <c r="BR388" s="734"/>
      <c r="BS388" s="734"/>
      <c r="BT388" s="734"/>
      <c r="BU388" s="734"/>
      <c r="BV388" s="734"/>
      <c r="BW388" s="734"/>
      <c r="BX388" s="734"/>
      <c r="BY388" s="734"/>
      <c r="BZ388" s="734"/>
      <c r="CA388" s="734"/>
    </row>
    <row r="389" spans="1:79" hidden="1" outlineLevel="1" x14ac:dyDescent="0.35">
      <c r="A389" s="574"/>
      <c r="B389" s="574"/>
      <c r="C389" s="574"/>
      <c r="D389" s="574"/>
      <c r="E389" s="574"/>
      <c r="F389" s="672" t="s">
        <v>885</v>
      </c>
      <c r="G389" s="735"/>
      <c r="H389" s="735"/>
      <c r="I389" s="735"/>
      <c r="J389" s="735"/>
      <c r="K389" s="735"/>
      <c r="L389" s="735"/>
      <c r="M389" s="735"/>
      <c r="N389" s="735"/>
      <c r="O389" s="735"/>
      <c r="P389" s="732"/>
      <c r="Q389" s="732"/>
      <c r="R389" s="732"/>
      <c r="S389" s="683">
        <v>0</v>
      </c>
      <c r="T389" s="683">
        <v>0</v>
      </c>
      <c r="U389" s="683">
        <v>0</v>
      </c>
      <c r="V389" s="683">
        <v>0</v>
      </c>
      <c r="W389" s="683">
        <v>0</v>
      </c>
      <c r="X389" s="683">
        <v>0</v>
      </c>
      <c r="Y389" s="683">
        <v>0</v>
      </c>
      <c r="Z389" s="683">
        <v>0</v>
      </c>
      <c r="AA389" s="683">
        <v>0</v>
      </c>
      <c r="AB389" s="683">
        <v>0</v>
      </c>
      <c r="AC389" s="683">
        <v>0</v>
      </c>
      <c r="AD389" s="683">
        <v>0</v>
      </c>
      <c r="AE389" s="734"/>
      <c r="AF389" s="734"/>
      <c r="AG389" s="734"/>
      <c r="AH389" s="734"/>
      <c r="AI389" s="734"/>
      <c r="AJ389" s="734"/>
      <c r="AK389" s="734"/>
      <c r="AL389" s="734"/>
      <c r="AM389" s="734"/>
      <c r="AN389" s="734"/>
      <c r="AO389" s="734"/>
      <c r="AP389" s="734"/>
      <c r="AQ389" s="734"/>
      <c r="AR389" s="734"/>
      <c r="AS389" s="734"/>
      <c r="AT389" s="734"/>
      <c r="AU389" s="734"/>
      <c r="AV389" s="734"/>
      <c r="AW389" s="734"/>
      <c r="AX389" s="734"/>
      <c r="AY389" s="734"/>
      <c r="AZ389" s="734"/>
      <c r="BA389" s="734"/>
      <c r="BB389" s="734"/>
      <c r="BC389" s="734"/>
      <c r="BD389" s="734"/>
      <c r="BE389" s="734"/>
      <c r="BF389" s="734"/>
      <c r="BG389" s="734"/>
      <c r="BH389" s="734"/>
      <c r="BI389" s="734"/>
      <c r="BJ389" s="734"/>
      <c r="BK389" s="734"/>
      <c r="BL389" s="734"/>
      <c r="BM389" s="734"/>
      <c r="BN389" s="734"/>
      <c r="BO389" s="734"/>
      <c r="BP389" s="734"/>
      <c r="BQ389" s="734"/>
      <c r="BR389" s="734"/>
      <c r="BS389" s="734"/>
      <c r="BT389" s="734"/>
      <c r="BU389" s="734"/>
      <c r="BV389" s="734"/>
      <c r="BW389" s="734"/>
      <c r="BX389" s="734"/>
      <c r="BY389" s="734"/>
      <c r="BZ389" s="734"/>
      <c r="CA389" s="734"/>
    </row>
    <row r="390" spans="1:79" hidden="1" outlineLevel="1" x14ac:dyDescent="0.35">
      <c r="A390" s="574"/>
      <c r="B390" s="574"/>
      <c r="C390" s="574"/>
      <c r="D390" s="574"/>
      <c r="E390" s="574"/>
      <c r="F390" s="672" t="s">
        <v>886</v>
      </c>
      <c r="G390" s="735"/>
      <c r="H390" s="735"/>
      <c r="I390" s="735"/>
      <c r="J390" s="735"/>
      <c r="K390" s="735"/>
      <c r="L390" s="735"/>
      <c r="M390" s="735"/>
      <c r="N390" s="735"/>
      <c r="O390" s="735"/>
      <c r="P390" s="732"/>
      <c r="Q390" s="732"/>
      <c r="R390" s="732"/>
      <c r="S390" s="683">
        <v>0</v>
      </c>
      <c r="T390" s="683">
        <v>0</v>
      </c>
      <c r="U390" s="683">
        <v>0</v>
      </c>
      <c r="V390" s="683">
        <v>0</v>
      </c>
      <c r="W390" s="683">
        <v>0</v>
      </c>
      <c r="X390" s="683">
        <v>0</v>
      </c>
      <c r="Y390" s="683">
        <v>0</v>
      </c>
      <c r="Z390" s="683">
        <v>0</v>
      </c>
      <c r="AA390" s="683">
        <v>0</v>
      </c>
      <c r="AB390" s="683">
        <v>0</v>
      </c>
      <c r="AC390" s="683">
        <v>0</v>
      </c>
      <c r="AD390" s="683">
        <v>0</v>
      </c>
      <c r="AE390" s="734"/>
      <c r="AF390" s="734"/>
      <c r="AG390" s="734"/>
      <c r="AH390" s="734"/>
      <c r="AI390" s="734"/>
      <c r="AJ390" s="734"/>
      <c r="AK390" s="734"/>
      <c r="AL390" s="734"/>
      <c r="AM390" s="734"/>
      <c r="AN390" s="734"/>
      <c r="AO390" s="734"/>
      <c r="AP390" s="734"/>
      <c r="AQ390" s="734"/>
      <c r="AR390" s="734"/>
      <c r="AS390" s="734"/>
      <c r="AT390" s="734"/>
      <c r="AU390" s="734"/>
      <c r="AV390" s="734"/>
      <c r="AW390" s="734"/>
      <c r="AX390" s="734"/>
      <c r="AY390" s="734"/>
      <c r="AZ390" s="734"/>
      <c r="BA390" s="734"/>
      <c r="BB390" s="734"/>
      <c r="BC390" s="734"/>
      <c r="BD390" s="734"/>
      <c r="BE390" s="734"/>
      <c r="BF390" s="734"/>
      <c r="BG390" s="734"/>
      <c r="BH390" s="734"/>
      <c r="BI390" s="734"/>
      <c r="BJ390" s="734"/>
      <c r="BK390" s="734"/>
      <c r="BL390" s="734"/>
      <c r="BM390" s="734"/>
      <c r="BN390" s="734"/>
      <c r="BO390" s="734"/>
      <c r="BP390" s="734"/>
      <c r="BQ390" s="734"/>
      <c r="BR390" s="734"/>
      <c r="BS390" s="734"/>
      <c r="BT390" s="734"/>
      <c r="BU390" s="734"/>
      <c r="BV390" s="734"/>
      <c r="BW390" s="734"/>
      <c r="BX390" s="734"/>
      <c r="BY390" s="734"/>
      <c r="BZ390" s="734"/>
      <c r="CA390" s="734"/>
    </row>
    <row r="391" spans="1:79" hidden="1" outlineLevel="1" x14ac:dyDescent="0.35">
      <c r="A391" s="574"/>
      <c r="B391" s="574"/>
      <c r="C391" s="574"/>
      <c r="D391" s="574"/>
      <c r="E391" s="574"/>
      <c r="F391" s="672" t="s">
        <v>664</v>
      </c>
      <c r="G391" s="735"/>
      <c r="H391" s="735"/>
      <c r="I391" s="735"/>
      <c r="J391" s="735"/>
      <c r="K391" s="735"/>
      <c r="L391" s="735"/>
      <c r="M391" s="735"/>
      <c r="N391" s="735"/>
      <c r="O391" s="735"/>
      <c r="P391" s="732"/>
      <c r="Q391" s="732"/>
      <c r="R391" s="732"/>
      <c r="S391" s="683">
        <v>0</v>
      </c>
      <c r="T391" s="683">
        <v>0</v>
      </c>
      <c r="U391" s="683">
        <v>0</v>
      </c>
      <c r="V391" s="683">
        <v>0</v>
      </c>
      <c r="W391" s="683">
        <v>0</v>
      </c>
      <c r="X391" s="683">
        <v>0</v>
      </c>
      <c r="Y391" s="683">
        <v>0</v>
      </c>
      <c r="Z391" s="683">
        <v>0</v>
      </c>
      <c r="AA391" s="683">
        <v>0</v>
      </c>
      <c r="AB391" s="683">
        <v>0</v>
      </c>
      <c r="AC391" s="683">
        <v>0</v>
      </c>
      <c r="AD391" s="683">
        <v>0</v>
      </c>
      <c r="AE391" s="734"/>
      <c r="AF391" s="734"/>
      <c r="AG391" s="734"/>
      <c r="AH391" s="734"/>
      <c r="AI391" s="734"/>
      <c r="AJ391" s="734"/>
      <c r="AK391" s="734"/>
      <c r="AL391" s="734"/>
      <c r="AM391" s="734"/>
      <c r="AN391" s="734"/>
      <c r="AO391" s="734"/>
      <c r="AP391" s="734"/>
      <c r="AQ391" s="734"/>
      <c r="AR391" s="734"/>
      <c r="AS391" s="734"/>
      <c r="AT391" s="734"/>
      <c r="AU391" s="734"/>
      <c r="AV391" s="734"/>
      <c r="AW391" s="734"/>
      <c r="AX391" s="734"/>
      <c r="AY391" s="734"/>
      <c r="AZ391" s="734"/>
      <c r="BA391" s="734"/>
      <c r="BB391" s="734"/>
      <c r="BC391" s="734"/>
      <c r="BD391" s="734"/>
      <c r="BE391" s="734"/>
      <c r="BF391" s="734"/>
      <c r="BG391" s="734"/>
      <c r="BH391" s="734"/>
      <c r="BI391" s="734"/>
      <c r="BJ391" s="734"/>
      <c r="BK391" s="734"/>
      <c r="BL391" s="734"/>
      <c r="BM391" s="734"/>
      <c r="BN391" s="734"/>
      <c r="BO391" s="734"/>
      <c r="BP391" s="734"/>
      <c r="BQ391" s="734"/>
      <c r="BR391" s="734"/>
      <c r="BS391" s="734"/>
      <c r="BT391" s="734"/>
      <c r="BU391" s="734"/>
      <c r="BV391" s="734"/>
      <c r="BW391" s="734"/>
      <c r="BX391" s="734"/>
      <c r="BY391" s="734"/>
      <c r="BZ391" s="734"/>
      <c r="CA391" s="734"/>
    </row>
    <row r="392" spans="1:79" hidden="1" outlineLevel="1" x14ac:dyDescent="0.35">
      <c r="A392" s="574"/>
      <c r="B392" s="574"/>
      <c r="C392" s="574"/>
      <c r="D392" s="574"/>
      <c r="E392" s="574"/>
      <c r="F392" s="672" t="s">
        <v>665</v>
      </c>
      <c r="G392" s="735"/>
      <c r="H392" s="735"/>
      <c r="I392" s="735"/>
      <c r="J392" s="735"/>
      <c r="K392" s="735"/>
      <c r="L392" s="735"/>
      <c r="M392" s="735"/>
      <c r="N392" s="735"/>
      <c r="O392" s="735"/>
      <c r="P392" s="732"/>
      <c r="Q392" s="732"/>
      <c r="R392" s="732"/>
      <c r="S392" s="683">
        <v>0</v>
      </c>
      <c r="T392" s="683">
        <v>0</v>
      </c>
      <c r="U392" s="683">
        <v>0</v>
      </c>
      <c r="V392" s="683">
        <v>0</v>
      </c>
      <c r="W392" s="683">
        <v>0</v>
      </c>
      <c r="X392" s="683">
        <v>0</v>
      </c>
      <c r="Y392" s="683">
        <v>0</v>
      </c>
      <c r="Z392" s="683">
        <v>0</v>
      </c>
      <c r="AA392" s="683">
        <v>0</v>
      </c>
      <c r="AB392" s="683">
        <v>0</v>
      </c>
      <c r="AC392" s="683">
        <v>0</v>
      </c>
      <c r="AD392" s="683">
        <v>0</v>
      </c>
      <c r="AE392" s="734"/>
      <c r="AF392" s="734"/>
      <c r="AG392" s="734"/>
      <c r="AH392" s="734"/>
      <c r="AI392" s="734"/>
      <c r="AJ392" s="734"/>
      <c r="AK392" s="734"/>
      <c r="AL392" s="734"/>
      <c r="AM392" s="734"/>
      <c r="AN392" s="734"/>
      <c r="AO392" s="734"/>
      <c r="AP392" s="734"/>
      <c r="AQ392" s="734"/>
      <c r="AR392" s="734"/>
      <c r="AS392" s="734"/>
      <c r="AT392" s="734"/>
      <c r="AU392" s="734"/>
      <c r="AV392" s="734"/>
      <c r="AW392" s="734"/>
      <c r="AX392" s="734"/>
      <c r="AY392" s="734"/>
      <c r="AZ392" s="734"/>
      <c r="BA392" s="734"/>
      <c r="BB392" s="734"/>
      <c r="BC392" s="734"/>
      <c r="BD392" s="734"/>
      <c r="BE392" s="734"/>
      <c r="BF392" s="734"/>
      <c r="BG392" s="734"/>
      <c r="BH392" s="734"/>
      <c r="BI392" s="734"/>
      <c r="BJ392" s="734"/>
      <c r="BK392" s="734"/>
      <c r="BL392" s="734"/>
      <c r="BM392" s="734"/>
      <c r="BN392" s="734"/>
      <c r="BO392" s="734"/>
      <c r="BP392" s="734"/>
      <c r="BQ392" s="734"/>
      <c r="BR392" s="734"/>
      <c r="BS392" s="734"/>
      <c r="BT392" s="734"/>
      <c r="BU392" s="734"/>
      <c r="BV392" s="734"/>
      <c r="BW392" s="734"/>
      <c r="BX392" s="734"/>
      <c r="BY392" s="734"/>
      <c r="BZ392" s="734"/>
      <c r="CA392" s="734"/>
    </row>
    <row r="393" spans="1:79" hidden="1" outlineLevel="1" x14ac:dyDescent="0.35">
      <c r="A393" s="574"/>
      <c r="B393" s="574"/>
      <c r="C393" s="574"/>
      <c r="D393" s="574"/>
      <c r="E393" s="574"/>
      <c r="F393" s="672" t="s">
        <v>887</v>
      </c>
      <c r="G393" s="735"/>
      <c r="H393" s="735"/>
      <c r="I393" s="735"/>
      <c r="J393" s="735"/>
      <c r="K393" s="735"/>
      <c r="L393" s="735"/>
      <c r="M393" s="735"/>
      <c r="N393" s="735"/>
      <c r="O393" s="735"/>
      <c r="P393" s="732"/>
      <c r="Q393" s="732"/>
      <c r="R393" s="732"/>
      <c r="S393" s="683">
        <v>0</v>
      </c>
      <c r="T393" s="683">
        <v>0</v>
      </c>
      <c r="U393" s="683">
        <v>0</v>
      </c>
      <c r="V393" s="683">
        <v>0</v>
      </c>
      <c r="W393" s="683">
        <v>0</v>
      </c>
      <c r="X393" s="683">
        <v>0</v>
      </c>
      <c r="Y393" s="683">
        <v>0</v>
      </c>
      <c r="Z393" s="683">
        <v>0</v>
      </c>
      <c r="AA393" s="683">
        <v>0</v>
      </c>
      <c r="AB393" s="683">
        <v>0</v>
      </c>
      <c r="AC393" s="683">
        <v>0</v>
      </c>
      <c r="AD393" s="683">
        <v>0</v>
      </c>
      <c r="AE393" s="734"/>
      <c r="AF393" s="734"/>
      <c r="AG393" s="734"/>
      <c r="AH393" s="734"/>
      <c r="AI393" s="734"/>
      <c r="AJ393" s="734"/>
      <c r="AK393" s="734"/>
      <c r="AL393" s="734"/>
      <c r="AM393" s="734"/>
      <c r="AN393" s="734"/>
      <c r="AO393" s="734"/>
      <c r="AP393" s="734"/>
      <c r="AQ393" s="734"/>
      <c r="AR393" s="734"/>
      <c r="AS393" s="734"/>
      <c r="AT393" s="734"/>
      <c r="AU393" s="734"/>
      <c r="AV393" s="734"/>
      <c r="AW393" s="734"/>
      <c r="AX393" s="734"/>
      <c r="AY393" s="734"/>
      <c r="AZ393" s="734"/>
      <c r="BA393" s="734"/>
      <c r="BB393" s="734"/>
      <c r="BC393" s="734"/>
      <c r="BD393" s="734"/>
      <c r="BE393" s="734"/>
      <c r="BF393" s="734"/>
      <c r="BG393" s="734"/>
      <c r="BH393" s="734"/>
      <c r="BI393" s="734"/>
      <c r="BJ393" s="734"/>
      <c r="BK393" s="734"/>
      <c r="BL393" s="734"/>
      <c r="BM393" s="734"/>
      <c r="BN393" s="734"/>
      <c r="BO393" s="734"/>
      <c r="BP393" s="734"/>
      <c r="BQ393" s="734"/>
      <c r="BR393" s="734"/>
      <c r="BS393" s="734"/>
      <c r="BT393" s="734"/>
      <c r="BU393" s="734"/>
      <c r="BV393" s="734"/>
      <c r="BW393" s="734"/>
      <c r="BX393" s="734"/>
      <c r="BY393" s="734"/>
      <c r="BZ393" s="734"/>
      <c r="CA393" s="734"/>
    </row>
    <row r="394" spans="1:79" hidden="1" outlineLevel="1" x14ac:dyDescent="0.35">
      <c r="A394" s="574"/>
      <c r="B394" s="574"/>
      <c r="C394" s="574"/>
      <c r="D394" s="574"/>
      <c r="E394" s="574"/>
      <c r="F394" s="672" t="s">
        <v>666</v>
      </c>
      <c r="G394" s="735"/>
      <c r="H394" s="735"/>
      <c r="I394" s="735"/>
      <c r="J394" s="735"/>
      <c r="K394" s="735"/>
      <c r="L394" s="735"/>
      <c r="M394" s="735"/>
      <c r="N394" s="735"/>
      <c r="O394" s="735"/>
      <c r="P394" s="732"/>
      <c r="Q394" s="732"/>
      <c r="R394" s="732"/>
      <c r="S394" s="683">
        <v>0</v>
      </c>
      <c r="T394" s="683">
        <v>0</v>
      </c>
      <c r="U394" s="683">
        <v>0</v>
      </c>
      <c r="V394" s="683">
        <v>0</v>
      </c>
      <c r="W394" s="683">
        <v>0</v>
      </c>
      <c r="X394" s="683">
        <v>0</v>
      </c>
      <c r="Y394" s="683">
        <v>0</v>
      </c>
      <c r="Z394" s="683">
        <v>0</v>
      </c>
      <c r="AA394" s="683">
        <v>0</v>
      </c>
      <c r="AB394" s="683">
        <v>0</v>
      </c>
      <c r="AC394" s="683">
        <v>0</v>
      </c>
      <c r="AD394" s="683">
        <v>0</v>
      </c>
      <c r="AE394" s="734"/>
      <c r="AF394" s="734"/>
      <c r="AG394" s="734"/>
      <c r="AH394" s="734"/>
      <c r="AI394" s="734"/>
      <c r="AJ394" s="734"/>
      <c r="AK394" s="734"/>
      <c r="AL394" s="734"/>
      <c r="AM394" s="734"/>
      <c r="AN394" s="734"/>
      <c r="AO394" s="734"/>
      <c r="AP394" s="734"/>
      <c r="AQ394" s="734"/>
      <c r="AR394" s="734"/>
      <c r="AS394" s="734"/>
      <c r="AT394" s="734"/>
      <c r="AU394" s="734"/>
      <c r="AV394" s="734"/>
      <c r="AW394" s="734"/>
      <c r="AX394" s="734"/>
      <c r="AY394" s="734"/>
      <c r="AZ394" s="734"/>
      <c r="BA394" s="734"/>
      <c r="BB394" s="734"/>
      <c r="BC394" s="734"/>
      <c r="BD394" s="734"/>
      <c r="BE394" s="734"/>
      <c r="BF394" s="734"/>
      <c r="BG394" s="734"/>
      <c r="BH394" s="734"/>
      <c r="BI394" s="734"/>
      <c r="BJ394" s="734"/>
      <c r="BK394" s="734"/>
      <c r="BL394" s="734"/>
      <c r="BM394" s="734"/>
      <c r="BN394" s="734"/>
      <c r="BO394" s="734"/>
      <c r="BP394" s="734"/>
      <c r="BQ394" s="734"/>
      <c r="BR394" s="734"/>
      <c r="BS394" s="734"/>
      <c r="BT394" s="734"/>
      <c r="BU394" s="734"/>
      <c r="BV394" s="734"/>
      <c r="BW394" s="734"/>
      <c r="BX394" s="734"/>
      <c r="BY394" s="734"/>
      <c r="BZ394" s="734"/>
      <c r="CA394" s="734"/>
    </row>
    <row r="395" spans="1:79" hidden="1" outlineLevel="1" x14ac:dyDescent="0.35">
      <c r="A395" s="574"/>
      <c r="B395" s="574"/>
      <c r="C395" s="574"/>
      <c r="D395" s="574"/>
      <c r="E395" s="574"/>
      <c r="F395" s="676" t="s">
        <v>667</v>
      </c>
      <c r="G395" s="735"/>
      <c r="H395" s="735"/>
      <c r="I395" s="735"/>
      <c r="J395" s="735"/>
      <c r="K395" s="735"/>
      <c r="L395" s="735"/>
      <c r="M395" s="735"/>
      <c r="N395" s="735"/>
      <c r="O395" s="735"/>
      <c r="P395" s="732"/>
      <c r="Q395" s="732"/>
      <c r="R395" s="732"/>
      <c r="S395" s="683">
        <v>0</v>
      </c>
      <c r="T395" s="683">
        <v>0</v>
      </c>
      <c r="U395" s="683">
        <v>0</v>
      </c>
      <c r="V395" s="683">
        <v>0</v>
      </c>
      <c r="W395" s="683">
        <v>0</v>
      </c>
      <c r="X395" s="683">
        <v>0</v>
      </c>
      <c r="Y395" s="683">
        <v>0</v>
      </c>
      <c r="Z395" s="683">
        <v>292.86</v>
      </c>
      <c r="AA395" s="683">
        <v>337.51</v>
      </c>
      <c r="AB395" s="683">
        <v>279.88</v>
      </c>
      <c r="AC395" s="683">
        <v>262.42</v>
      </c>
      <c r="AD395" s="683">
        <v>0</v>
      </c>
      <c r="AE395" s="734"/>
      <c r="AF395" s="734"/>
      <c r="AG395" s="734"/>
      <c r="AH395" s="734"/>
      <c r="AI395" s="734"/>
      <c r="AJ395" s="734"/>
      <c r="AK395" s="734"/>
      <c r="AL395" s="734"/>
      <c r="AM395" s="734"/>
      <c r="AN395" s="734"/>
      <c r="AO395" s="734"/>
      <c r="AP395" s="734"/>
      <c r="AQ395" s="734"/>
      <c r="AR395" s="734"/>
      <c r="AS395" s="734"/>
      <c r="AT395" s="734"/>
      <c r="AU395" s="734"/>
      <c r="AV395" s="734"/>
      <c r="AW395" s="734"/>
      <c r="AX395" s="734"/>
      <c r="AY395" s="734"/>
      <c r="AZ395" s="734"/>
      <c r="BA395" s="734"/>
      <c r="BB395" s="734"/>
      <c r="BC395" s="734"/>
      <c r="BD395" s="734"/>
      <c r="BE395" s="734"/>
      <c r="BF395" s="734"/>
      <c r="BG395" s="734"/>
      <c r="BH395" s="734"/>
      <c r="BI395" s="734"/>
      <c r="BJ395" s="734"/>
      <c r="BK395" s="734"/>
      <c r="BL395" s="734"/>
      <c r="BM395" s="734"/>
      <c r="BN395" s="734"/>
      <c r="BO395" s="734"/>
      <c r="BP395" s="734"/>
      <c r="BQ395" s="734"/>
      <c r="BR395" s="734"/>
      <c r="BS395" s="734"/>
      <c r="BT395" s="734"/>
      <c r="BU395" s="734"/>
      <c r="BV395" s="734"/>
      <c r="BW395" s="734"/>
      <c r="BX395" s="734"/>
      <c r="BY395" s="734"/>
      <c r="BZ395" s="734"/>
      <c r="CA395" s="734"/>
    </row>
    <row r="396" spans="1:79" hidden="1" outlineLevel="1" x14ac:dyDescent="0.35">
      <c r="A396" s="574"/>
      <c r="B396" s="574"/>
      <c r="C396" s="574"/>
      <c r="D396" s="574"/>
      <c r="E396" s="574"/>
      <c r="F396" s="672" t="s">
        <v>888</v>
      </c>
      <c r="G396" s="735"/>
      <c r="H396" s="735"/>
      <c r="I396" s="735"/>
      <c r="J396" s="735"/>
      <c r="K396" s="735"/>
      <c r="L396" s="735"/>
      <c r="M396" s="735"/>
      <c r="N396" s="735"/>
      <c r="O396" s="735"/>
      <c r="P396" s="732"/>
      <c r="Q396" s="732"/>
      <c r="R396" s="732"/>
      <c r="S396" s="683">
        <v>0</v>
      </c>
      <c r="T396" s="683">
        <v>0</v>
      </c>
      <c r="U396" s="683">
        <v>0</v>
      </c>
      <c r="V396" s="683">
        <v>0</v>
      </c>
      <c r="W396" s="683">
        <v>0</v>
      </c>
      <c r="X396" s="683">
        <v>0</v>
      </c>
      <c r="Y396" s="683">
        <v>0</v>
      </c>
      <c r="Z396" s="683">
        <v>0</v>
      </c>
      <c r="AA396" s="683">
        <v>0</v>
      </c>
      <c r="AB396" s="683">
        <v>0</v>
      </c>
      <c r="AC396" s="683">
        <v>0</v>
      </c>
      <c r="AD396" s="683">
        <v>0</v>
      </c>
      <c r="AE396" s="734"/>
      <c r="AF396" s="734"/>
      <c r="AG396" s="734"/>
      <c r="AH396" s="734"/>
      <c r="AI396" s="734"/>
      <c r="AJ396" s="734"/>
      <c r="AK396" s="734"/>
      <c r="AL396" s="734"/>
      <c r="AM396" s="734"/>
      <c r="AN396" s="734"/>
      <c r="AO396" s="734"/>
      <c r="AP396" s="734"/>
      <c r="AQ396" s="734"/>
      <c r="AR396" s="734"/>
      <c r="AS396" s="734"/>
      <c r="AT396" s="734"/>
      <c r="AU396" s="734"/>
      <c r="AV396" s="734"/>
      <c r="AW396" s="734"/>
      <c r="AX396" s="734"/>
      <c r="AY396" s="734"/>
      <c r="AZ396" s="734"/>
      <c r="BA396" s="734"/>
      <c r="BB396" s="734"/>
      <c r="BC396" s="734"/>
      <c r="BD396" s="734"/>
      <c r="BE396" s="734"/>
      <c r="BF396" s="734"/>
      <c r="BG396" s="734"/>
      <c r="BH396" s="734"/>
      <c r="BI396" s="734"/>
      <c r="BJ396" s="734"/>
      <c r="BK396" s="734"/>
      <c r="BL396" s="734"/>
      <c r="BM396" s="734"/>
      <c r="BN396" s="734"/>
      <c r="BO396" s="734"/>
      <c r="BP396" s="734"/>
      <c r="BQ396" s="734"/>
      <c r="BR396" s="734"/>
      <c r="BS396" s="734"/>
      <c r="BT396" s="734"/>
      <c r="BU396" s="734"/>
      <c r="BV396" s="734"/>
      <c r="BW396" s="734"/>
      <c r="BX396" s="734"/>
      <c r="BY396" s="734"/>
      <c r="BZ396" s="734"/>
      <c r="CA396" s="734"/>
    </row>
    <row r="397" spans="1:79" hidden="1" outlineLevel="1" x14ac:dyDescent="0.35">
      <c r="A397" s="574"/>
      <c r="B397" s="574"/>
      <c r="C397" s="574"/>
      <c r="D397" s="574"/>
      <c r="E397" s="574"/>
      <c r="F397" s="673" t="s">
        <v>668</v>
      </c>
      <c r="G397" s="680">
        <f>SUM(G388:G396)</f>
        <v>0</v>
      </c>
      <c r="H397" s="680">
        <f t="shared" ref="H397:BO397" si="133">SUM(H388:H396)</f>
        <v>0</v>
      </c>
      <c r="I397" s="680">
        <f t="shared" si="133"/>
        <v>0</v>
      </c>
      <c r="J397" s="680">
        <f t="shared" si="133"/>
        <v>0</v>
      </c>
      <c r="K397" s="680">
        <f t="shared" si="133"/>
        <v>0</v>
      </c>
      <c r="L397" s="680">
        <f t="shared" si="133"/>
        <v>0</v>
      </c>
      <c r="M397" s="680">
        <f t="shared" si="133"/>
        <v>0</v>
      </c>
      <c r="N397" s="680">
        <f t="shared" si="133"/>
        <v>0</v>
      </c>
      <c r="O397" s="680">
        <f t="shared" si="133"/>
        <v>0</v>
      </c>
      <c r="P397" s="680">
        <f t="shared" si="133"/>
        <v>0</v>
      </c>
      <c r="Q397" s="680">
        <f t="shared" si="133"/>
        <v>0</v>
      </c>
      <c r="R397" s="680">
        <f t="shared" si="133"/>
        <v>0</v>
      </c>
      <c r="S397" s="694">
        <f t="shared" ref="S397:AA397" si="134">ROUND(SUM(S387:S396),5)</f>
        <v>0</v>
      </c>
      <c r="T397" s="694">
        <f t="shared" si="134"/>
        <v>0</v>
      </c>
      <c r="U397" s="694">
        <f t="shared" si="134"/>
        <v>0</v>
      </c>
      <c r="V397" s="694">
        <f t="shared" si="134"/>
        <v>0</v>
      </c>
      <c r="W397" s="694">
        <f t="shared" si="134"/>
        <v>0</v>
      </c>
      <c r="X397" s="694">
        <f t="shared" si="134"/>
        <v>0</v>
      </c>
      <c r="Y397" s="694">
        <f t="shared" si="134"/>
        <v>0</v>
      </c>
      <c r="Z397" s="694">
        <f t="shared" si="134"/>
        <v>292.86</v>
      </c>
      <c r="AA397" s="694">
        <f t="shared" si="134"/>
        <v>337.51</v>
      </c>
      <c r="AB397" s="694">
        <f>ROUND(SUM(AB387:AB396),5)</f>
        <v>279.88</v>
      </c>
      <c r="AC397" s="694">
        <f>ROUND(SUM(AC387:AC396),5)</f>
        <v>262.42</v>
      </c>
      <c r="AD397" s="694">
        <f>ROUND(SUM(AD387:AD396),5)</f>
        <v>0</v>
      </c>
      <c r="AE397" s="680">
        <f t="shared" si="133"/>
        <v>0</v>
      </c>
      <c r="AF397" s="680">
        <f t="shared" si="133"/>
        <v>0</v>
      </c>
      <c r="AG397" s="680">
        <f t="shared" si="133"/>
        <v>0</v>
      </c>
      <c r="AH397" s="680">
        <f t="shared" si="133"/>
        <v>0</v>
      </c>
      <c r="AI397" s="680">
        <f t="shared" si="133"/>
        <v>0</v>
      </c>
      <c r="AJ397" s="680">
        <f t="shared" si="133"/>
        <v>0</v>
      </c>
      <c r="AK397" s="680">
        <f t="shared" si="133"/>
        <v>0</v>
      </c>
      <c r="AL397" s="680">
        <f t="shared" si="133"/>
        <v>0</v>
      </c>
      <c r="AM397" s="680">
        <f t="shared" si="133"/>
        <v>0</v>
      </c>
      <c r="AN397" s="680">
        <f t="shared" si="133"/>
        <v>0</v>
      </c>
      <c r="AO397" s="680">
        <f t="shared" si="133"/>
        <v>0</v>
      </c>
      <c r="AP397" s="680">
        <f t="shared" si="133"/>
        <v>0</v>
      </c>
      <c r="AQ397" s="680">
        <f t="shared" si="133"/>
        <v>0</v>
      </c>
      <c r="AR397" s="680">
        <f t="shared" si="133"/>
        <v>0</v>
      </c>
      <c r="AS397" s="680">
        <f t="shared" si="133"/>
        <v>0</v>
      </c>
      <c r="AT397" s="680">
        <f t="shared" si="133"/>
        <v>0</v>
      </c>
      <c r="AU397" s="680">
        <f t="shared" si="133"/>
        <v>0</v>
      </c>
      <c r="AV397" s="680">
        <f t="shared" si="133"/>
        <v>0</v>
      </c>
      <c r="AW397" s="680">
        <f t="shared" si="133"/>
        <v>0</v>
      </c>
      <c r="AX397" s="680">
        <f t="shared" si="133"/>
        <v>0</v>
      </c>
      <c r="AY397" s="680">
        <f t="shared" si="133"/>
        <v>0</v>
      </c>
      <c r="AZ397" s="680">
        <f t="shared" si="133"/>
        <v>0</v>
      </c>
      <c r="BA397" s="680">
        <f t="shared" si="133"/>
        <v>0</v>
      </c>
      <c r="BB397" s="680">
        <f t="shared" si="133"/>
        <v>0</v>
      </c>
      <c r="BC397" s="680">
        <f t="shared" si="133"/>
        <v>0</v>
      </c>
      <c r="BD397" s="680">
        <f t="shared" si="133"/>
        <v>0</v>
      </c>
      <c r="BE397" s="680">
        <f t="shared" si="133"/>
        <v>0</v>
      </c>
      <c r="BF397" s="680">
        <f t="shared" si="133"/>
        <v>0</v>
      </c>
      <c r="BG397" s="680">
        <f t="shared" si="133"/>
        <v>0</v>
      </c>
      <c r="BH397" s="680">
        <f t="shared" si="133"/>
        <v>0</v>
      </c>
      <c r="BI397" s="680">
        <f t="shared" si="133"/>
        <v>0</v>
      </c>
      <c r="BJ397" s="680">
        <f t="shared" si="133"/>
        <v>0</v>
      </c>
      <c r="BK397" s="680">
        <f t="shared" si="133"/>
        <v>0</v>
      </c>
      <c r="BL397" s="680">
        <f t="shared" si="133"/>
        <v>0</v>
      </c>
      <c r="BM397" s="680">
        <f t="shared" si="133"/>
        <v>0</v>
      </c>
      <c r="BN397" s="680">
        <f t="shared" si="133"/>
        <v>0</v>
      </c>
      <c r="BO397" s="680">
        <f t="shared" si="133"/>
        <v>0</v>
      </c>
      <c r="BP397" s="680">
        <f t="shared" ref="BP397:CA397" si="135">SUM(BP388:BP396)</f>
        <v>0</v>
      </c>
      <c r="BQ397" s="680">
        <f t="shared" si="135"/>
        <v>0</v>
      </c>
      <c r="BR397" s="680">
        <f t="shared" si="135"/>
        <v>0</v>
      </c>
      <c r="BS397" s="680">
        <f t="shared" si="135"/>
        <v>0</v>
      </c>
      <c r="BT397" s="680">
        <f t="shared" si="135"/>
        <v>0</v>
      </c>
      <c r="BU397" s="680">
        <f t="shared" si="135"/>
        <v>0</v>
      </c>
      <c r="BV397" s="680">
        <f t="shared" si="135"/>
        <v>0</v>
      </c>
      <c r="BW397" s="680">
        <f t="shared" si="135"/>
        <v>0</v>
      </c>
      <c r="BX397" s="680">
        <f t="shared" si="135"/>
        <v>0</v>
      </c>
      <c r="BY397" s="680">
        <f t="shared" si="135"/>
        <v>0</v>
      </c>
      <c r="BZ397" s="680">
        <f t="shared" si="135"/>
        <v>0</v>
      </c>
      <c r="CA397" s="680">
        <f t="shared" si="135"/>
        <v>0</v>
      </c>
    </row>
    <row r="398" spans="1:79" hidden="1" outlineLevel="1" x14ac:dyDescent="0.35">
      <c r="A398" s="574"/>
      <c r="B398" s="574"/>
      <c r="C398" s="574"/>
      <c r="D398" s="574"/>
      <c r="E398" s="574"/>
      <c r="F398" s="671" t="s">
        <v>669</v>
      </c>
      <c r="G398" s="735"/>
      <c r="H398" s="735"/>
      <c r="I398" s="735"/>
      <c r="J398" s="735"/>
      <c r="K398" s="735"/>
      <c r="L398" s="735"/>
      <c r="M398" s="735"/>
      <c r="N398" s="735"/>
      <c r="O398" s="735"/>
      <c r="P398" s="732"/>
      <c r="Q398" s="732"/>
      <c r="R398" s="732"/>
      <c r="S398" s="683">
        <v>0</v>
      </c>
      <c r="T398" s="683">
        <v>0</v>
      </c>
      <c r="U398" s="683">
        <v>0</v>
      </c>
      <c r="V398" s="683">
        <v>0</v>
      </c>
      <c r="W398" s="683">
        <v>0</v>
      </c>
      <c r="X398" s="683">
        <v>0</v>
      </c>
      <c r="Y398" s="683">
        <v>0</v>
      </c>
      <c r="Z398" s="683">
        <v>0</v>
      </c>
      <c r="AA398" s="683">
        <v>0</v>
      </c>
      <c r="AB398" s="683">
        <v>0</v>
      </c>
      <c r="AC398" s="683">
        <v>0</v>
      </c>
      <c r="AD398" s="683">
        <v>0</v>
      </c>
      <c r="AE398" s="734"/>
      <c r="AF398" s="734"/>
      <c r="AG398" s="734"/>
      <c r="AH398" s="734"/>
      <c r="AI398" s="734"/>
      <c r="AJ398" s="734"/>
      <c r="AK398" s="734"/>
      <c r="AL398" s="734"/>
      <c r="AM398" s="734"/>
      <c r="AN398" s="734"/>
      <c r="AO398" s="734"/>
      <c r="AP398" s="734"/>
      <c r="AQ398" s="734"/>
      <c r="AR398" s="734"/>
      <c r="AS398" s="734"/>
      <c r="AT398" s="734"/>
      <c r="AU398" s="734"/>
      <c r="AV398" s="734"/>
      <c r="AW398" s="734"/>
      <c r="AX398" s="734"/>
      <c r="AY398" s="734"/>
      <c r="AZ398" s="734"/>
      <c r="BA398" s="734"/>
      <c r="BB398" s="734"/>
      <c r="BC398" s="734"/>
      <c r="BD398" s="734"/>
      <c r="BE398" s="734"/>
      <c r="BF398" s="734"/>
      <c r="BG398" s="734"/>
      <c r="BH398" s="734"/>
      <c r="BI398" s="734"/>
      <c r="BJ398" s="734"/>
      <c r="BK398" s="734"/>
      <c r="BL398" s="734"/>
      <c r="BM398" s="734"/>
      <c r="BN398" s="734"/>
      <c r="BO398" s="734"/>
      <c r="BP398" s="734"/>
      <c r="BQ398" s="734"/>
      <c r="BR398" s="734"/>
      <c r="BS398" s="734"/>
      <c r="BT398" s="734"/>
      <c r="BU398" s="734"/>
      <c r="BV398" s="734"/>
      <c r="BW398" s="734"/>
      <c r="BX398" s="734"/>
      <c r="BY398" s="734"/>
      <c r="BZ398" s="734"/>
      <c r="CA398" s="734"/>
    </row>
    <row r="399" spans="1:79" s="709" customFormat="1" hidden="1" outlineLevel="1" x14ac:dyDescent="0.35">
      <c r="F399" s="717" t="s">
        <v>597</v>
      </c>
      <c r="G399" s="750"/>
      <c r="H399" s="750"/>
      <c r="I399" s="750"/>
      <c r="J399" s="750"/>
      <c r="K399" s="750"/>
      <c r="L399" s="750"/>
      <c r="M399" s="750"/>
      <c r="N399" s="750"/>
      <c r="O399" s="750"/>
      <c r="P399" s="751"/>
      <c r="Q399" s="751"/>
      <c r="R399" s="751"/>
      <c r="S399" s="713"/>
      <c r="T399" s="713"/>
      <c r="U399" s="713"/>
      <c r="V399" s="713"/>
      <c r="W399" s="713"/>
      <c r="X399" s="713"/>
      <c r="Y399" s="713"/>
      <c r="Z399" s="713"/>
      <c r="AA399" s="713"/>
      <c r="AB399" s="713"/>
      <c r="AC399" s="713"/>
      <c r="AD399" s="713"/>
      <c r="AE399" s="753"/>
      <c r="AF399" s="753"/>
      <c r="AG399" s="753"/>
      <c r="AH399" s="753"/>
      <c r="AI399" s="753"/>
      <c r="AJ399" s="753"/>
      <c r="AK399" s="753"/>
      <c r="AL399" s="753"/>
      <c r="AM399" s="753"/>
      <c r="AN399" s="753"/>
      <c r="AO399" s="753"/>
      <c r="AP399" s="753"/>
      <c r="AQ399" s="753"/>
      <c r="AR399" s="753"/>
      <c r="AS399" s="753"/>
      <c r="AT399" s="753"/>
      <c r="AU399" s="753"/>
      <c r="AV399" s="753"/>
      <c r="AW399" s="753"/>
      <c r="AX399" s="753"/>
      <c r="AY399" s="753"/>
      <c r="AZ399" s="753"/>
      <c r="BA399" s="753"/>
      <c r="BB399" s="753"/>
      <c r="BC399" s="753"/>
      <c r="BD399" s="753"/>
      <c r="BE399" s="753"/>
      <c r="BF399" s="753"/>
      <c r="BG399" s="753"/>
      <c r="BH399" s="753"/>
      <c r="BI399" s="753"/>
      <c r="BJ399" s="753"/>
      <c r="BK399" s="753"/>
      <c r="BL399" s="753"/>
      <c r="BM399" s="753"/>
      <c r="BN399" s="753"/>
      <c r="BO399" s="753"/>
      <c r="BP399" s="753"/>
      <c r="BQ399" s="753"/>
      <c r="BR399" s="753"/>
      <c r="BS399" s="753"/>
      <c r="BT399" s="753"/>
      <c r="BU399" s="753"/>
      <c r="BV399" s="753"/>
      <c r="BW399" s="753"/>
      <c r="BX399" s="753"/>
      <c r="BY399" s="753"/>
      <c r="BZ399" s="753"/>
      <c r="CA399" s="753"/>
    </row>
    <row r="400" spans="1:79" hidden="1" outlineLevel="1" x14ac:dyDescent="0.35">
      <c r="A400" s="574"/>
      <c r="B400" s="574"/>
      <c r="C400" s="574"/>
      <c r="D400" s="574"/>
      <c r="E400" s="574"/>
      <c r="F400" s="672" t="s">
        <v>889</v>
      </c>
      <c r="G400" s="735"/>
      <c r="H400" s="735"/>
      <c r="I400" s="735"/>
      <c r="J400" s="735"/>
      <c r="K400" s="735"/>
      <c r="L400" s="735"/>
      <c r="M400" s="735"/>
      <c r="N400" s="735"/>
      <c r="O400" s="735"/>
      <c r="P400" s="732"/>
      <c r="Q400" s="732"/>
      <c r="R400" s="732"/>
      <c r="S400" s="687">
        <v>0</v>
      </c>
      <c r="T400" s="687">
        <v>0</v>
      </c>
      <c r="U400" s="687">
        <v>0</v>
      </c>
      <c r="V400" s="687">
        <v>0</v>
      </c>
      <c r="W400" s="687">
        <v>0</v>
      </c>
      <c r="X400" s="687">
        <v>0</v>
      </c>
      <c r="Y400" s="687">
        <v>0</v>
      </c>
      <c r="Z400" s="687">
        <v>0</v>
      </c>
      <c r="AA400" s="687">
        <v>0</v>
      </c>
      <c r="AB400" s="687">
        <v>0</v>
      </c>
      <c r="AC400" s="687">
        <v>0</v>
      </c>
      <c r="AD400" s="687">
        <v>0</v>
      </c>
      <c r="AE400" s="734"/>
      <c r="AF400" s="734"/>
      <c r="AG400" s="734"/>
      <c r="AH400" s="734"/>
      <c r="AI400" s="734"/>
      <c r="AJ400" s="734"/>
      <c r="AK400" s="734"/>
      <c r="AL400" s="734"/>
      <c r="AM400" s="734"/>
      <c r="AN400" s="734"/>
      <c r="AO400" s="734"/>
      <c r="AP400" s="734"/>
      <c r="AQ400" s="734"/>
      <c r="AR400" s="734"/>
      <c r="AS400" s="734"/>
      <c r="AT400" s="734"/>
      <c r="AU400" s="734"/>
      <c r="AV400" s="734"/>
      <c r="AW400" s="734"/>
      <c r="AX400" s="734"/>
      <c r="AY400" s="734"/>
      <c r="AZ400" s="734"/>
      <c r="BA400" s="734"/>
      <c r="BB400" s="734"/>
      <c r="BC400" s="734"/>
      <c r="BD400" s="734"/>
      <c r="BE400" s="734"/>
      <c r="BF400" s="734"/>
      <c r="BG400" s="734"/>
      <c r="BH400" s="734"/>
      <c r="BI400" s="734"/>
      <c r="BJ400" s="734"/>
      <c r="BK400" s="734"/>
      <c r="BL400" s="734"/>
      <c r="BM400" s="734"/>
      <c r="BN400" s="734"/>
      <c r="BO400" s="734"/>
      <c r="BP400" s="734"/>
      <c r="BQ400" s="734"/>
      <c r="BR400" s="734"/>
      <c r="BS400" s="734"/>
      <c r="BT400" s="734"/>
      <c r="BU400" s="734"/>
      <c r="BV400" s="734"/>
      <c r="BW400" s="734"/>
      <c r="BX400" s="734"/>
      <c r="BY400" s="734"/>
      <c r="BZ400" s="734"/>
      <c r="CA400" s="734"/>
    </row>
    <row r="401" spans="1:79" hidden="1" outlineLevel="1" x14ac:dyDescent="0.35">
      <c r="A401" s="574"/>
      <c r="B401" s="574"/>
      <c r="C401" s="574"/>
      <c r="D401" s="574"/>
      <c r="E401" s="574"/>
      <c r="F401" s="672" t="s">
        <v>890</v>
      </c>
      <c r="G401" s="735"/>
      <c r="H401" s="735"/>
      <c r="I401" s="735"/>
      <c r="J401" s="735"/>
      <c r="K401" s="735"/>
      <c r="L401" s="735"/>
      <c r="M401" s="735"/>
      <c r="N401" s="735"/>
      <c r="O401" s="735"/>
      <c r="P401" s="732"/>
      <c r="Q401" s="732"/>
      <c r="R401" s="732"/>
      <c r="S401" s="687">
        <v>0</v>
      </c>
      <c r="T401" s="687">
        <v>0</v>
      </c>
      <c r="U401" s="687">
        <v>0</v>
      </c>
      <c r="V401" s="687">
        <v>0</v>
      </c>
      <c r="W401" s="687">
        <v>0</v>
      </c>
      <c r="X401" s="687">
        <v>0</v>
      </c>
      <c r="Y401" s="687">
        <v>0</v>
      </c>
      <c r="Z401" s="687">
        <v>0</v>
      </c>
      <c r="AA401" s="687">
        <v>0</v>
      </c>
      <c r="AB401" s="687">
        <v>0</v>
      </c>
      <c r="AC401" s="687">
        <v>0</v>
      </c>
      <c r="AD401" s="687">
        <v>0</v>
      </c>
      <c r="AE401" s="734"/>
      <c r="AF401" s="734"/>
      <c r="AG401" s="734"/>
      <c r="AH401" s="734"/>
      <c r="AI401" s="734"/>
      <c r="AJ401" s="734"/>
      <c r="AK401" s="734"/>
      <c r="AL401" s="734"/>
      <c r="AM401" s="734"/>
      <c r="AN401" s="734"/>
      <c r="AO401" s="734"/>
      <c r="AP401" s="734"/>
      <c r="AQ401" s="734"/>
      <c r="AR401" s="734"/>
      <c r="AS401" s="734"/>
      <c r="AT401" s="734"/>
      <c r="AU401" s="734"/>
      <c r="AV401" s="734"/>
      <c r="AW401" s="734"/>
      <c r="AX401" s="734"/>
      <c r="AY401" s="734"/>
      <c r="AZ401" s="734"/>
      <c r="BA401" s="734"/>
      <c r="BB401" s="734"/>
      <c r="BC401" s="734"/>
      <c r="BD401" s="734"/>
      <c r="BE401" s="734"/>
      <c r="BF401" s="734"/>
      <c r="BG401" s="734"/>
      <c r="BH401" s="734"/>
      <c r="BI401" s="734"/>
      <c r="BJ401" s="734"/>
      <c r="BK401" s="734"/>
      <c r="BL401" s="734"/>
      <c r="BM401" s="734"/>
      <c r="BN401" s="734"/>
      <c r="BO401" s="734"/>
      <c r="BP401" s="734"/>
      <c r="BQ401" s="734"/>
      <c r="BR401" s="734"/>
      <c r="BS401" s="734"/>
      <c r="BT401" s="734"/>
      <c r="BU401" s="734"/>
      <c r="BV401" s="734"/>
      <c r="BW401" s="734"/>
      <c r="BX401" s="734"/>
      <c r="BY401" s="734"/>
      <c r="BZ401" s="734"/>
      <c r="CA401" s="734"/>
    </row>
    <row r="402" spans="1:79" hidden="1" outlineLevel="1" x14ac:dyDescent="0.35">
      <c r="A402" s="574"/>
      <c r="B402" s="574"/>
      <c r="C402" s="574"/>
      <c r="D402" s="574"/>
      <c r="E402" s="574"/>
      <c r="F402" s="672" t="s">
        <v>891</v>
      </c>
      <c r="G402" s="735"/>
      <c r="H402" s="735"/>
      <c r="I402" s="735"/>
      <c r="J402" s="735"/>
      <c r="K402" s="735"/>
      <c r="L402" s="735"/>
      <c r="M402" s="735"/>
      <c r="N402" s="735"/>
      <c r="O402" s="735"/>
      <c r="P402" s="732"/>
      <c r="Q402" s="732"/>
      <c r="R402" s="732"/>
      <c r="S402" s="687">
        <v>0</v>
      </c>
      <c r="T402" s="687">
        <v>0</v>
      </c>
      <c r="U402" s="687">
        <v>0</v>
      </c>
      <c r="V402" s="687">
        <v>0</v>
      </c>
      <c r="W402" s="687">
        <v>0</v>
      </c>
      <c r="X402" s="687">
        <v>0</v>
      </c>
      <c r="Y402" s="687">
        <v>0</v>
      </c>
      <c r="Z402" s="687">
        <v>0</v>
      </c>
      <c r="AA402" s="687">
        <v>0</v>
      </c>
      <c r="AB402" s="687">
        <v>0</v>
      </c>
      <c r="AC402" s="687">
        <v>0</v>
      </c>
      <c r="AD402" s="687">
        <v>0</v>
      </c>
      <c r="AE402" s="734"/>
      <c r="AF402" s="734"/>
      <c r="AG402" s="734"/>
      <c r="AH402" s="734"/>
      <c r="AI402" s="734"/>
      <c r="AJ402" s="734"/>
      <c r="AK402" s="734"/>
      <c r="AL402" s="734"/>
      <c r="AM402" s="734"/>
      <c r="AN402" s="734"/>
      <c r="AO402" s="734"/>
      <c r="AP402" s="734"/>
      <c r="AQ402" s="734"/>
      <c r="AR402" s="734"/>
      <c r="AS402" s="734"/>
      <c r="AT402" s="734"/>
      <c r="AU402" s="734"/>
      <c r="AV402" s="734"/>
      <c r="AW402" s="734"/>
      <c r="AX402" s="734"/>
      <c r="AY402" s="734"/>
      <c r="AZ402" s="734"/>
      <c r="BA402" s="734"/>
      <c r="BB402" s="734"/>
      <c r="BC402" s="734"/>
      <c r="BD402" s="734"/>
      <c r="BE402" s="734"/>
      <c r="BF402" s="734"/>
      <c r="BG402" s="734"/>
      <c r="BH402" s="734"/>
      <c r="BI402" s="734"/>
      <c r="BJ402" s="734"/>
      <c r="BK402" s="734"/>
      <c r="BL402" s="734"/>
      <c r="BM402" s="734"/>
      <c r="BN402" s="734"/>
      <c r="BO402" s="734"/>
      <c r="BP402" s="734"/>
      <c r="BQ402" s="734"/>
      <c r="BR402" s="734"/>
      <c r="BS402" s="734"/>
      <c r="BT402" s="734"/>
      <c r="BU402" s="734"/>
      <c r="BV402" s="734"/>
      <c r="BW402" s="734"/>
      <c r="BX402" s="734"/>
      <c r="BY402" s="734"/>
      <c r="BZ402" s="734"/>
      <c r="CA402" s="734"/>
    </row>
    <row r="403" spans="1:79" hidden="1" outlineLevel="1" x14ac:dyDescent="0.35">
      <c r="A403" s="574"/>
      <c r="B403" s="574"/>
      <c r="C403" s="574"/>
      <c r="D403" s="574"/>
      <c r="E403" s="574"/>
      <c r="F403" s="672" t="s">
        <v>892</v>
      </c>
      <c r="G403" s="735"/>
      <c r="H403" s="735"/>
      <c r="I403" s="735"/>
      <c r="J403" s="735"/>
      <c r="K403" s="735"/>
      <c r="L403" s="735"/>
      <c r="M403" s="735"/>
      <c r="N403" s="735"/>
      <c r="O403" s="735"/>
      <c r="P403" s="732"/>
      <c r="Q403" s="732"/>
      <c r="R403" s="732"/>
      <c r="S403" s="687">
        <v>0</v>
      </c>
      <c r="T403" s="687">
        <v>0</v>
      </c>
      <c r="U403" s="687">
        <v>0</v>
      </c>
      <c r="V403" s="687">
        <v>0</v>
      </c>
      <c r="W403" s="687">
        <v>0</v>
      </c>
      <c r="X403" s="687">
        <v>0</v>
      </c>
      <c r="Y403" s="687">
        <v>0</v>
      </c>
      <c r="Z403" s="687">
        <v>0</v>
      </c>
      <c r="AA403" s="687">
        <v>0</v>
      </c>
      <c r="AB403" s="687">
        <v>0</v>
      </c>
      <c r="AC403" s="687">
        <v>0</v>
      </c>
      <c r="AD403" s="687">
        <v>0</v>
      </c>
      <c r="AE403" s="734"/>
      <c r="AF403" s="734"/>
      <c r="AG403" s="734"/>
      <c r="AH403" s="734"/>
      <c r="AI403" s="734"/>
      <c r="AJ403" s="734"/>
      <c r="AK403" s="734"/>
      <c r="AL403" s="734"/>
      <c r="AM403" s="734"/>
      <c r="AN403" s="734"/>
      <c r="AO403" s="734"/>
      <c r="AP403" s="734"/>
      <c r="AQ403" s="734"/>
      <c r="AR403" s="734"/>
      <c r="AS403" s="734"/>
      <c r="AT403" s="734"/>
      <c r="AU403" s="734"/>
      <c r="AV403" s="734"/>
      <c r="AW403" s="734"/>
      <c r="AX403" s="734"/>
      <c r="AY403" s="734"/>
      <c r="AZ403" s="734"/>
      <c r="BA403" s="734"/>
      <c r="BB403" s="734"/>
      <c r="BC403" s="734"/>
      <c r="BD403" s="734"/>
      <c r="BE403" s="734"/>
      <c r="BF403" s="734"/>
      <c r="BG403" s="734"/>
      <c r="BH403" s="734"/>
      <c r="BI403" s="734"/>
      <c r="BJ403" s="734"/>
      <c r="BK403" s="734"/>
      <c r="BL403" s="734"/>
      <c r="BM403" s="734"/>
      <c r="BN403" s="734"/>
      <c r="BO403" s="734"/>
      <c r="BP403" s="734"/>
      <c r="BQ403" s="734"/>
      <c r="BR403" s="734"/>
      <c r="BS403" s="734"/>
      <c r="BT403" s="734"/>
      <c r="BU403" s="734"/>
      <c r="BV403" s="734"/>
      <c r="BW403" s="734"/>
      <c r="BX403" s="734"/>
      <c r="BY403" s="734"/>
      <c r="BZ403" s="734"/>
      <c r="CA403" s="734"/>
    </row>
    <row r="404" spans="1:79" hidden="1" outlineLevel="1" x14ac:dyDescent="0.35">
      <c r="A404" s="574"/>
      <c r="B404" s="574"/>
      <c r="C404" s="574"/>
      <c r="D404" s="574"/>
      <c r="E404" s="574"/>
      <c r="F404" s="672" t="s">
        <v>825</v>
      </c>
      <c r="G404" s="735"/>
      <c r="H404" s="735"/>
      <c r="I404" s="735"/>
      <c r="J404" s="735"/>
      <c r="K404" s="735"/>
      <c r="L404" s="735"/>
      <c r="M404" s="735"/>
      <c r="N404" s="735"/>
      <c r="O404" s="735"/>
      <c r="P404" s="732"/>
      <c r="Q404" s="732"/>
      <c r="R404" s="732"/>
      <c r="S404" s="687">
        <v>0</v>
      </c>
      <c r="T404" s="687">
        <v>0</v>
      </c>
      <c r="U404" s="687">
        <v>0</v>
      </c>
      <c r="V404" s="687">
        <v>0</v>
      </c>
      <c r="W404" s="687">
        <v>0</v>
      </c>
      <c r="X404" s="687">
        <v>0</v>
      </c>
      <c r="Y404" s="687">
        <v>0</v>
      </c>
      <c r="Z404" s="687">
        <v>0</v>
      </c>
      <c r="AA404" s="687">
        <v>0</v>
      </c>
      <c r="AB404" s="687">
        <v>0</v>
      </c>
      <c r="AC404" s="687">
        <v>0</v>
      </c>
      <c r="AD404" s="687">
        <v>0</v>
      </c>
      <c r="AE404" s="734"/>
      <c r="AF404" s="734"/>
      <c r="AG404" s="734"/>
      <c r="AH404" s="734"/>
      <c r="AI404" s="734"/>
      <c r="AJ404" s="734"/>
      <c r="AK404" s="734"/>
      <c r="AL404" s="734"/>
      <c r="AM404" s="734"/>
      <c r="AN404" s="734"/>
      <c r="AO404" s="734"/>
      <c r="AP404" s="734"/>
      <c r="AQ404" s="734"/>
      <c r="AR404" s="734"/>
      <c r="AS404" s="734"/>
      <c r="AT404" s="734"/>
      <c r="AU404" s="734"/>
      <c r="AV404" s="734"/>
      <c r="AW404" s="734"/>
      <c r="AX404" s="734"/>
      <c r="AY404" s="734"/>
      <c r="AZ404" s="734"/>
      <c r="BA404" s="734"/>
      <c r="BB404" s="734"/>
      <c r="BC404" s="734"/>
      <c r="BD404" s="734"/>
      <c r="BE404" s="734"/>
      <c r="BF404" s="734"/>
      <c r="BG404" s="734"/>
      <c r="BH404" s="734"/>
      <c r="BI404" s="734"/>
      <c r="BJ404" s="734"/>
      <c r="BK404" s="734"/>
      <c r="BL404" s="734"/>
      <c r="BM404" s="734"/>
      <c r="BN404" s="734"/>
      <c r="BO404" s="734"/>
      <c r="BP404" s="734"/>
      <c r="BQ404" s="734"/>
      <c r="BR404" s="734"/>
      <c r="BS404" s="734"/>
      <c r="BT404" s="734"/>
      <c r="BU404" s="734"/>
      <c r="BV404" s="734"/>
      <c r="BW404" s="734"/>
      <c r="BX404" s="734"/>
      <c r="BY404" s="734"/>
      <c r="BZ404" s="734"/>
      <c r="CA404" s="734"/>
    </row>
    <row r="405" spans="1:79" hidden="1" outlineLevel="1" x14ac:dyDescent="0.35">
      <c r="A405" s="574"/>
      <c r="B405" s="574"/>
      <c r="C405" s="574"/>
      <c r="D405" s="574"/>
      <c r="E405" s="574"/>
      <c r="F405" s="672" t="s">
        <v>613</v>
      </c>
      <c r="G405" s="735"/>
      <c r="H405" s="735"/>
      <c r="I405" s="735"/>
      <c r="J405" s="735"/>
      <c r="K405" s="735"/>
      <c r="L405" s="735"/>
      <c r="M405" s="735"/>
      <c r="N405" s="735"/>
      <c r="O405" s="735"/>
      <c r="P405" s="732"/>
      <c r="Q405" s="732"/>
      <c r="R405" s="732"/>
      <c r="S405" s="687">
        <v>0</v>
      </c>
      <c r="T405" s="687">
        <v>0</v>
      </c>
      <c r="U405" s="687">
        <v>0</v>
      </c>
      <c r="V405" s="687">
        <v>0</v>
      </c>
      <c r="W405" s="687">
        <v>0</v>
      </c>
      <c r="X405" s="687">
        <v>0</v>
      </c>
      <c r="Y405" s="687">
        <v>0</v>
      </c>
      <c r="Z405" s="687">
        <v>0</v>
      </c>
      <c r="AA405" s="687">
        <v>0</v>
      </c>
      <c r="AB405" s="687">
        <v>0</v>
      </c>
      <c r="AC405" s="687">
        <v>0</v>
      </c>
      <c r="AD405" s="687">
        <v>0</v>
      </c>
      <c r="AE405" s="734"/>
      <c r="AF405" s="734"/>
      <c r="AG405" s="734"/>
      <c r="AH405" s="734"/>
      <c r="AI405" s="734"/>
      <c r="AJ405" s="734"/>
      <c r="AK405" s="734"/>
      <c r="AL405" s="734"/>
      <c r="AM405" s="734"/>
      <c r="AN405" s="734"/>
      <c r="AO405" s="734"/>
      <c r="AP405" s="734"/>
      <c r="AQ405" s="734"/>
      <c r="AR405" s="734"/>
      <c r="AS405" s="734"/>
      <c r="AT405" s="734"/>
      <c r="AU405" s="734"/>
      <c r="AV405" s="734"/>
      <c r="AW405" s="734"/>
      <c r="AX405" s="734"/>
      <c r="AY405" s="734"/>
      <c r="AZ405" s="734"/>
      <c r="BA405" s="734"/>
      <c r="BB405" s="734"/>
      <c r="BC405" s="734"/>
      <c r="BD405" s="734"/>
      <c r="BE405" s="734"/>
      <c r="BF405" s="734"/>
      <c r="BG405" s="734"/>
      <c r="BH405" s="734"/>
      <c r="BI405" s="734"/>
      <c r="BJ405" s="734"/>
      <c r="BK405" s="734"/>
      <c r="BL405" s="734"/>
      <c r="BM405" s="734"/>
      <c r="BN405" s="734"/>
      <c r="BO405" s="734"/>
      <c r="BP405" s="734"/>
      <c r="BQ405" s="734"/>
      <c r="BR405" s="734"/>
      <c r="BS405" s="734"/>
      <c r="BT405" s="734"/>
      <c r="BU405" s="734"/>
      <c r="BV405" s="734"/>
      <c r="BW405" s="734"/>
      <c r="BX405" s="734"/>
      <c r="BY405" s="734"/>
      <c r="BZ405" s="734"/>
      <c r="CA405" s="734"/>
    </row>
    <row r="406" spans="1:79" hidden="1" outlineLevel="1" x14ac:dyDescent="0.35">
      <c r="A406" s="574"/>
      <c r="B406" s="574"/>
      <c r="C406" s="574"/>
      <c r="D406" s="574"/>
      <c r="E406" s="574"/>
      <c r="F406" s="672" t="s">
        <v>614</v>
      </c>
      <c r="G406" s="735"/>
      <c r="H406" s="735"/>
      <c r="I406" s="735"/>
      <c r="J406" s="735"/>
      <c r="K406" s="735"/>
      <c r="L406" s="735"/>
      <c r="M406" s="735"/>
      <c r="N406" s="735"/>
      <c r="O406" s="735"/>
      <c r="P406" s="732"/>
      <c r="Q406" s="732"/>
      <c r="R406" s="732"/>
      <c r="S406" s="692">
        <v>0</v>
      </c>
      <c r="T406" s="692">
        <v>0</v>
      </c>
      <c r="U406" s="692">
        <v>0</v>
      </c>
      <c r="V406" s="692">
        <v>0</v>
      </c>
      <c r="W406" s="692">
        <v>0</v>
      </c>
      <c r="X406" s="692">
        <v>0</v>
      </c>
      <c r="Y406" s="692">
        <v>0</v>
      </c>
      <c r="Z406" s="692">
        <v>0</v>
      </c>
      <c r="AA406" s="692">
        <v>0</v>
      </c>
      <c r="AB406" s="692">
        <v>0</v>
      </c>
      <c r="AC406" s="692">
        <v>0</v>
      </c>
      <c r="AD406" s="692">
        <v>0</v>
      </c>
      <c r="AE406" s="734"/>
      <c r="AF406" s="734"/>
      <c r="AG406" s="734"/>
      <c r="AH406" s="734"/>
      <c r="AI406" s="734"/>
      <c r="AJ406" s="734"/>
      <c r="AK406" s="734"/>
      <c r="AL406" s="734"/>
      <c r="AM406" s="734"/>
      <c r="AN406" s="734"/>
      <c r="AO406" s="734"/>
      <c r="AP406" s="734"/>
      <c r="AQ406" s="734"/>
      <c r="AR406" s="734"/>
      <c r="AS406" s="734"/>
      <c r="AT406" s="734"/>
      <c r="AU406" s="734"/>
      <c r="AV406" s="734"/>
      <c r="AW406" s="734"/>
      <c r="AX406" s="734"/>
      <c r="AY406" s="734"/>
      <c r="AZ406" s="734"/>
      <c r="BA406" s="734"/>
      <c r="BB406" s="734"/>
      <c r="BC406" s="734"/>
      <c r="BD406" s="734"/>
      <c r="BE406" s="734"/>
      <c r="BF406" s="734"/>
      <c r="BG406" s="734"/>
      <c r="BH406" s="734"/>
      <c r="BI406" s="734"/>
      <c r="BJ406" s="734"/>
      <c r="BK406" s="734"/>
      <c r="BL406" s="734"/>
      <c r="BM406" s="734"/>
      <c r="BN406" s="734"/>
      <c r="BO406" s="734"/>
      <c r="BP406" s="734"/>
      <c r="BQ406" s="734"/>
      <c r="BR406" s="734"/>
      <c r="BS406" s="734"/>
      <c r="BT406" s="734"/>
      <c r="BU406" s="734"/>
      <c r="BV406" s="734"/>
      <c r="BW406" s="734"/>
      <c r="BX406" s="734"/>
      <c r="BY406" s="734"/>
      <c r="BZ406" s="734"/>
      <c r="CA406" s="734"/>
    </row>
    <row r="407" spans="1:79" hidden="1" outlineLevel="1" x14ac:dyDescent="0.35">
      <c r="A407" s="574"/>
      <c r="B407" s="574"/>
      <c r="C407" s="574"/>
      <c r="D407" s="574"/>
      <c r="E407" s="574"/>
      <c r="F407" s="672" t="s">
        <v>615</v>
      </c>
      <c r="G407" s="735"/>
      <c r="H407" s="735"/>
      <c r="I407" s="735"/>
      <c r="J407" s="735"/>
      <c r="K407" s="735"/>
      <c r="L407" s="735"/>
      <c r="M407" s="735"/>
      <c r="N407" s="735"/>
      <c r="O407" s="735"/>
      <c r="P407" s="732"/>
      <c r="Q407" s="732"/>
      <c r="R407" s="732"/>
      <c r="S407" s="692">
        <v>0</v>
      </c>
      <c r="T407" s="692">
        <v>0</v>
      </c>
      <c r="U407" s="692">
        <v>0</v>
      </c>
      <c r="V407" s="692">
        <v>0</v>
      </c>
      <c r="W407" s="692">
        <v>0</v>
      </c>
      <c r="X407" s="692">
        <v>0</v>
      </c>
      <c r="Y407" s="692">
        <v>0</v>
      </c>
      <c r="Z407" s="692">
        <v>0</v>
      </c>
      <c r="AA407" s="692">
        <v>0</v>
      </c>
      <c r="AB407" s="692">
        <v>0</v>
      </c>
      <c r="AC407" s="692">
        <v>0</v>
      </c>
      <c r="AD407" s="692">
        <v>0</v>
      </c>
      <c r="AE407" s="734"/>
      <c r="AF407" s="734"/>
      <c r="AG407" s="734"/>
      <c r="AH407" s="734"/>
      <c r="AI407" s="734"/>
      <c r="AJ407" s="734"/>
      <c r="AK407" s="734"/>
      <c r="AL407" s="734"/>
      <c r="AM407" s="734"/>
      <c r="AN407" s="734"/>
      <c r="AO407" s="734"/>
      <c r="AP407" s="734"/>
      <c r="AQ407" s="734"/>
      <c r="AR407" s="734"/>
      <c r="AS407" s="734"/>
      <c r="AT407" s="734"/>
      <c r="AU407" s="734"/>
      <c r="AV407" s="734"/>
      <c r="AW407" s="734"/>
      <c r="AX407" s="734"/>
      <c r="AY407" s="734"/>
      <c r="AZ407" s="734"/>
      <c r="BA407" s="734"/>
      <c r="BB407" s="734"/>
      <c r="BC407" s="734"/>
      <c r="BD407" s="734"/>
      <c r="BE407" s="734"/>
      <c r="BF407" s="734"/>
      <c r="BG407" s="734"/>
      <c r="BH407" s="734"/>
      <c r="BI407" s="734"/>
      <c r="BJ407" s="734"/>
      <c r="BK407" s="734"/>
      <c r="BL407" s="734"/>
      <c r="BM407" s="734"/>
      <c r="BN407" s="734"/>
      <c r="BO407" s="734"/>
      <c r="BP407" s="734"/>
      <c r="BQ407" s="734"/>
      <c r="BR407" s="734"/>
      <c r="BS407" s="734"/>
      <c r="BT407" s="734"/>
      <c r="BU407" s="734"/>
      <c r="BV407" s="734"/>
      <c r="BW407" s="734"/>
      <c r="BX407" s="734"/>
      <c r="BY407" s="734"/>
      <c r="BZ407" s="734"/>
      <c r="CA407" s="734"/>
    </row>
    <row r="408" spans="1:79" hidden="1" outlineLevel="1" x14ac:dyDescent="0.35">
      <c r="A408" s="574"/>
      <c r="B408" s="574"/>
      <c r="C408" s="574"/>
      <c r="D408" s="574"/>
      <c r="E408" s="574"/>
      <c r="F408" s="672" t="s">
        <v>616</v>
      </c>
      <c r="G408" s="735"/>
      <c r="H408" s="735"/>
      <c r="I408" s="735"/>
      <c r="J408" s="735"/>
      <c r="K408" s="735"/>
      <c r="L408" s="735"/>
      <c r="M408" s="735"/>
      <c r="N408" s="735"/>
      <c r="O408" s="735"/>
      <c r="P408" s="732"/>
      <c r="Q408" s="732"/>
      <c r="R408" s="732"/>
      <c r="S408" s="692">
        <v>0</v>
      </c>
      <c r="T408" s="692">
        <v>0</v>
      </c>
      <c r="U408" s="692">
        <v>0</v>
      </c>
      <c r="V408" s="692">
        <v>0</v>
      </c>
      <c r="W408" s="692">
        <v>0</v>
      </c>
      <c r="X408" s="692">
        <v>0</v>
      </c>
      <c r="Y408" s="692">
        <v>0</v>
      </c>
      <c r="Z408" s="692">
        <v>0</v>
      </c>
      <c r="AA408" s="692">
        <v>0</v>
      </c>
      <c r="AB408" s="692">
        <v>0</v>
      </c>
      <c r="AC408" s="692">
        <v>0</v>
      </c>
      <c r="AD408" s="692">
        <v>0</v>
      </c>
      <c r="AE408" s="734"/>
      <c r="AF408" s="734"/>
      <c r="AG408" s="734"/>
      <c r="AH408" s="734"/>
      <c r="AI408" s="734"/>
      <c r="AJ408" s="734"/>
      <c r="AK408" s="734"/>
      <c r="AL408" s="734"/>
      <c r="AM408" s="734"/>
      <c r="AN408" s="734"/>
      <c r="AO408" s="734"/>
      <c r="AP408" s="734"/>
      <c r="AQ408" s="734"/>
      <c r="AR408" s="734"/>
      <c r="AS408" s="734"/>
      <c r="AT408" s="734"/>
      <c r="AU408" s="734"/>
      <c r="AV408" s="734"/>
      <c r="AW408" s="734"/>
      <c r="AX408" s="734"/>
      <c r="AY408" s="734"/>
      <c r="AZ408" s="734"/>
      <c r="BA408" s="734"/>
      <c r="BB408" s="734"/>
      <c r="BC408" s="734"/>
      <c r="BD408" s="734"/>
      <c r="BE408" s="734"/>
      <c r="BF408" s="734"/>
      <c r="BG408" s="734"/>
      <c r="BH408" s="734"/>
      <c r="BI408" s="734"/>
      <c r="BJ408" s="734"/>
      <c r="BK408" s="734"/>
      <c r="BL408" s="734"/>
      <c r="BM408" s="734"/>
      <c r="BN408" s="734"/>
      <c r="BO408" s="734"/>
      <c r="BP408" s="734"/>
      <c r="BQ408" s="734"/>
      <c r="BR408" s="734"/>
      <c r="BS408" s="734"/>
      <c r="BT408" s="734"/>
      <c r="BU408" s="734"/>
      <c r="BV408" s="734"/>
      <c r="BW408" s="734"/>
      <c r="BX408" s="734"/>
      <c r="BY408" s="734"/>
      <c r="BZ408" s="734"/>
      <c r="CA408" s="734"/>
    </row>
    <row r="409" spans="1:79" hidden="1" outlineLevel="1" x14ac:dyDescent="0.35">
      <c r="A409" s="574"/>
      <c r="B409" s="574"/>
      <c r="C409" s="574"/>
      <c r="D409" s="574"/>
      <c r="E409" s="574"/>
      <c r="F409" s="672" t="s">
        <v>893</v>
      </c>
      <c r="G409" s="735"/>
      <c r="H409" s="735"/>
      <c r="I409" s="735"/>
      <c r="J409" s="735"/>
      <c r="K409" s="735"/>
      <c r="L409" s="735"/>
      <c r="M409" s="735"/>
      <c r="N409" s="735"/>
      <c r="O409" s="735"/>
      <c r="P409" s="732"/>
      <c r="Q409" s="732"/>
      <c r="R409" s="732"/>
      <c r="S409" s="692">
        <v>0</v>
      </c>
      <c r="T409" s="692">
        <v>0</v>
      </c>
      <c r="U409" s="692">
        <v>0</v>
      </c>
      <c r="V409" s="692">
        <v>0</v>
      </c>
      <c r="W409" s="692">
        <v>0</v>
      </c>
      <c r="X409" s="692">
        <v>0</v>
      </c>
      <c r="Y409" s="692">
        <v>0</v>
      </c>
      <c r="Z409" s="692">
        <v>0</v>
      </c>
      <c r="AA409" s="692">
        <v>0</v>
      </c>
      <c r="AB409" s="692">
        <v>0</v>
      </c>
      <c r="AC409" s="692">
        <v>0</v>
      </c>
      <c r="AD409" s="692">
        <v>0</v>
      </c>
      <c r="AE409" s="734"/>
      <c r="AF409" s="734"/>
      <c r="AG409" s="734"/>
      <c r="AH409" s="734"/>
      <c r="AI409" s="734"/>
      <c r="AJ409" s="734"/>
      <c r="AK409" s="734"/>
      <c r="AL409" s="734"/>
      <c r="AM409" s="734"/>
      <c r="AN409" s="734"/>
      <c r="AO409" s="734"/>
      <c r="AP409" s="734"/>
      <c r="AQ409" s="734"/>
      <c r="AR409" s="734"/>
      <c r="AS409" s="734"/>
      <c r="AT409" s="734"/>
      <c r="AU409" s="734"/>
      <c r="AV409" s="734"/>
      <c r="AW409" s="734"/>
      <c r="AX409" s="734"/>
      <c r="AY409" s="734"/>
      <c r="AZ409" s="734"/>
      <c r="BA409" s="734"/>
      <c r="BB409" s="734"/>
      <c r="BC409" s="734"/>
      <c r="BD409" s="734"/>
      <c r="BE409" s="734"/>
      <c r="BF409" s="734"/>
      <c r="BG409" s="734"/>
      <c r="BH409" s="734"/>
      <c r="BI409" s="734"/>
      <c r="BJ409" s="734"/>
      <c r="BK409" s="734"/>
      <c r="BL409" s="734"/>
      <c r="BM409" s="734"/>
      <c r="BN409" s="734"/>
      <c r="BO409" s="734"/>
      <c r="BP409" s="734"/>
      <c r="BQ409" s="734"/>
      <c r="BR409" s="734"/>
      <c r="BS409" s="734"/>
      <c r="BT409" s="734"/>
      <c r="BU409" s="734"/>
      <c r="BV409" s="734"/>
      <c r="BW409" s="734"/>
      <c r="BX409" s="734"/>
      <c r="BY409" s="734"/>
      <c r="BZ409" s="734"/>
      <c r="CA409" s="734"/>
    </row>
    <row r="410" spans="1:79" hidden="1" outlineLevel="1" x14ac:dyDescent="0.35">
      <c r="A410" s="574"/>
      <c r="B410" s="574"/>
      <c r="C410" s="574"/>
      <c r="D410" s="574"/>
      <c r="E410" s="574"/>
      <c r="F410" s="672" t="s">
        <v>768</v>
      </c>
      <c r="G410" s="735"/>
      <c r="H410" s="735"/>
      <c r="I410" s="735"/>
      <c r="J410" s="735"/>
      <c r="K410" s="735"/>
      <c r="L410" s="735"/>
      <c r="M410" s="735"/>
      <c r="N410" s="735"/>
      <c r="O410" s="735"/>
      <c r="P410" s="732"/>
      <c r="Q410" s="732"/>
      <c r="R410" s="732"/>
      <c r="S410" s="692">
        <v>0</v>
      </c>
      <c r="T410" s="692">
        <v>0</v>
      </c>
      <c r="U410" s="692">
        <v>0</v>
      </c>
      <c r="V410" s="692">
        <v>0</v>
      </c>
      <c r="W410" s="692">
        <v>0</v>
      </c>
      <c r="X410" s="692">
        <v>0</v>
      </c>
      <c r="Y410" s="692">
        <v>0</v>
      </c>
      <c r="Z410" s="692">
        <v>0</v>
      </c>
      <c r="AA410" s="692">
        <v>0</v>
      </c>
      <c r="AB410" s="692">
        <v>0</v>
      </c>
      <c r="AC410" s="692">
        <v>0</v>
      </c>
      <c r="AD410" s="692">
        <v>0</v>
      </c>
      <c r="AE410" s="734"/>
      <c r="AF410" s="734"/>
      <c r="AG410" s="734"/>
      <c r="AH410" s="734"/>
      <c r="AI410" s="734"/>
      <c r="AJ410" s="734"/>
      <c r="AK410" s="734"/>
      <c r="AL410" s="734"/>
      <c r="AM410" s="734"/>
      <c r="AN410" s="734"/>
      <c r="AO410" s="734"/>
      <c r="AP410" s="734"/>
      <c r="AQ410" s="734"/>
      <c r="AR410" s="734"/>
      <c r="AS410" s="734"/>
      <c r="AT410" s="734"/>
      <c r="AU410" s="734"/>
      <c r="AV410" s="734"/>
      <c r="AW410" s="734"/>
      <c r="AX410" s="734"/>
      <c r="AY410" s="734"/>
      <c r="AZ410" s="734"/>
      <c r="BA410" s="734"/>
      <c r="BB410" s="734"/>
      <c r="BC410" s="734"/>
      <c r="BD410" s="734"/>
      <c r="BE410" s="734"/>
      <c r="BF410" s="734"/>
      <c r="BG410" s="734"/>
      <c r="BH410" s="734"/>
      <c r="BI410" s="734"/>
      <c r="BJ410" s="734"/>
      <c r="BK410" s="734"/>
      <c r="BL410" s="734"/>
      <c r="BM410" s="734"/>
      <c r="BN410" s="734"/>
      <c r="BO410" s="734"/>
      <c r="BP410" s="734"/>
      <c r="BQ410" s="734"/>
      <c r="BR410" s="734"/>
      <c r="BS410" s="734"/>
      <c r="BT410" s="734"/>
      <c r="BU410" s="734"/>
      <c r="BV410" s="734"/>
      <c r="BW410" s="734"/>
      <c r="BX410" s="734"/>
      <c r="BY410" s="734"/>
      <c r="BZ410" s="734"/>
      <c r="CA410" s="734"/>
    </row>
    <row r="411" spans="1:79" hidden="1" outlineLevel="1" x14ac:dyDescent="0.35">
      <c r="A411" s="574"/>
      <c r="B411" s="574"/>
      <c r="C411" s="574"/>
      <c r="D411" s="574"/>
      <c r="E411" s="574"/>
      <c r="F411" s="672" t="s">
        <v>785</v>
      </c>
      <c r="G411" s="735"/>
      <c r="H411" s="735"/>
      <c r="I411" s="735"/>
      <c r="J411" s="735"/>
      <c r="K411" s="735"/>
      <c r="L411" s="735"/>
      <c r="M411" s="735"/>
      <c r="N411" s="735"/>
      <c r="O411" s="735"/>
      <c r="P411" s="732"/>
      <c r="Q411" s="732"/>
      <c r="R411" s="732"/>
      <c r="S411" s="692">
        <v>0</v>
      </c>
      <c r="T411" s="692">
        <v>0</v>
      </c>
      <c r="U411" s="692">
        <v>0</v>
      </c>
      <c r="V411" s="692">
        <v>0</v>
      </c>
      <c r="W411" s="692">
        <v>0</v>
      </c>
      <c r="X411" s="692">
        <v>0</v>
      </c>
      <c r="Y411" s="692">
        <v>0</v>
      </c>
      <c r="Z411" s="692">
        <v>0</v>
      </c>
      <c r="AA411" s="692">
        <v>0</v>
      </c>
      <c r="AB411" s="692">
        <v>0</v>
      </c>
      <c r="AC411" s="692">
        <v>0</v>
      </c>
      <c r="AD411" s="692">
        <v>0</v>
      </c>
      <c r="AE411" s="734"/>
      <c r="AF411" s="734"/>
      <c r="AG411" s="734"/>
      <c r="AH411" s="734"/>
      <c r="AI411" s="734"/>
      <c r="AJ411" s="734"/>
      <c r="AK411" s="734"/>
      <c r="AL411" s="734"/>
      <c r="AM411" s="734"/>
      <c r="AN411" s="734"/>
      <c r="AO411" s="734"/>
      <c r="AP411" s="734"/>
      <c r="AQ411" s="734"/>
      <c r="AR411" s="734"/>
      <c r="AS411" s="734"/>
      <c r="AT411" s="734"/>
      <c r="AU411" s="734"/>
      <c r="AV411" s="734"/>
      <c r="AW411" s="734"/>
      <c r="AX411" s="734"/>
      <c r="AY411" s="734"/>
      <c r="AZ411" s="734"/>
      <c r="BA411" s="734"/>
      <c r="BB411" s="734"/>
      <c r="BC411" s="734"/>
      <c r="BD411" s="734"/>
      <c r="BE411" s="734"/>
      <c r="BF411" s="734"/>
      <c r="BG411" s="734"/>
      <c r="BH411" s="734"/>
      <c r="BI411" s="734"/>
      <c r="BJ411" s="734"/>
      <c r="BK411" s="734"/>
      <c r="BL411" s="734"/>
      <c r="BM411" s="734"/>
      <c r="BN411" s="734"/>
      <c r="BO411" s="734"/>
      <c r="BP411" s="734"/>
      <c r="BQ411" s="734"/>
      <c r="BR411" s="734"/>
      <c r="BS411" s="734"/>
      <c r="BT411" s="734"/>
      <c r="BU411" s="734"/>
      <c r="BV411" s="734"/>
      <c r="BW411" s="734"/>
      <c r="BX411" s="734"/>
      <c r="BY411" s="734"/>
      <c r="BZ411" s="734"/>
      <c r="CA411" s="734"/>
    </row>
    <row r="412" spans="1:79" hidden="1" outlineLevel="1" x14ac:dyDescent="0.35">
      <c r="A412" s="574"/>
      <c r="B412" s="574"/>
      <c r="C412" s="574"/>
      <c r="D412" s="574"/>
      <c r="E412" s="574"/>
      <c r="F412" s="672" t="s">
        <v>617</v>
      </c>
      <c r="G412" s="735"/>
      <c r="H412" s="735"/>
      <c r="I412" s="735"/>
      <c r="J412" s="735"/>
      <c r="K412" s="735"/>
      <c r="L412" s="735"/>
      <c r="M412" s="735"/>
      <c r="N412" s="735"/>
      <c r="O412" s="735"/>
      <c r="P412" s="732"/>
      <c r="Q412" s="732"/>
      <c r="R412" s="732"/>
      <c r="S412" s="692">
        <v>0</v>
      </c>
      <c r="T412" s="692">
        <v>0</v>
      </c>
      <c r="U412" s="692">
        <v>0</v>
      </c>
      <c r="V412" s="692">
        <v>0</v>
      </c>
      <c r="W412" s="692">
        <v>0</v>
      </c>
      <c r="X412" s="692">
        <v>0</v>
      </c>
      <c r="Y412" s="692">
        <v>0</v>
      </c>
      <c r="Z412" s="692">
        <v>0</v>
      </c>
      <c r="AA412" s="692">
        <v>0</v>
      </c>
      <c r="AB412" s="692">
        <v>0</v>
      </c>
      <c r="AC412" s="692">
        <v>0</v>
      </c>
      <c r="AD412" s="692">
        <v>0</v>
      </c>
      <c r="AE412" s="734"/>
      <c r="AF412" s="734"/>
      <c r="AG412" s="734"/>
      <c r="AH412" s="734"/>
      <c r="AI412" s="734"/>
      <c r="AJ412" s="734"/>
      <c r="AK412" s="734"/>
      <c r="AL412" s="734"/>
      <c r="AM412" s="734"/>
      <c r="AN412" s="734"/>
      <c r="AO412" s="734"/>
      <c r="AP412" s="734"/>
      <c r="AQ412" s="734"/>
      <c r="AR412" s="734"/>
      <c r="AS412" s="734"/>
      <c r="AT412" s="734"/>
      <c r="AU412" s="734"/>
      <c r="AV412" s="734"/>
      <c r="AW412" s="734"/>
      <c r="AX412" s="734"/>
      <c r="AY412" s="734"/>
      <c r="AZ412" s="734"/>
      <c r="BA412" s="734"/>
      <c r="BB412" s="734"/>
      <c r="BC412" s="734"/>
      <c r="BD412" s="734"/>
      <c r="BE412" s="734"/>
      <c r="BF412" s="734"/>
      <c r="BG412" s="734"/>
      <c r="BH412" s="734"/>
      <c r="BI412" s="734"/>
      <c r="BJ412" s="734"/>
      <c r="BK412" s="734"/>
      <c r="BL412" s="734"/>
      <c r="BM412" s="734"/>
      <c r="BN412" s="734"/>
      <c r="BO412" s="734"/>
      <c r="BP412" s="734"/>
      <c r="BQ412" s="734"/>
      <c r="BR412" s="734"/>
      <c r="BS412" s="734"/>
      <c r="BT412" s="734"/>
      <c r="BU412" s="734"/>
      <c r="BV412" s="734"/>
      <c r="BW412" s="734"/>
      <c r="BX412" s="734"/>
      <c r="BY412" s="734"/>
      <c r="BZ412" s="734"/>
      <c r="CA412" s="734"/>
    </row>
    <row r="413" spans="1:79" hidden="1" outlineLevel="1" x14ac:dyDescent="0.35">
      <c r="A413" s="574"/>
      <c r="B413" s="574"/>
      <c r="C413" s="574"/>
      <c r="D413" s="574"/>
      <c r="E413" s="574"/>
      <c r="F413" s="672" t="s">
        <v>618</v>
      </c>
      <c r="G413" s="735"/>
      <c r="H413" s="735"/>
      <c r="I413" s="735"/>
      <c r="J413" s="735"/>
      <c r="K413" s="735"/>
      <c r="L413" s="735"/>
      <c r="M413" s="735"/>
      <c r="N413" s="735"/>
      <c r="O413" s="735"/>
      <c r="P413" s="732"/>
      <c r="Q413" s="732"/>
      <c r="R413" s="732"/>
      <c r="S413" s="692">
        <v>0</v>
      </c>
      <c r="T413" s="692">
        <v>0</v>
      </c>
      <c r="U413" s="692">
        <v>0</v>
      </c>
      <c r="V413" s="692">
        <v>0</v>
      </c>
      <c r="W413" s="692">
        <v>0</v>
      </c>
      <c r="X413" s="692">
        <v>0</v>
      </c>
      <c r="Y413" s="692">
        <v>0</v>
      </c>
      <c r="Z413" s="692">
        <v>0</v>
      </c>
      <c r="AA413" s="692">
        <v>0</v>
      </c>
      <c r="AB413" s="692">
        <v>0</v>
      </c>
      <c r="AC413" s="692">
        <v>0</v>
      </c>
      <c r="AD413" s="692">
        <v>0</v>
      </c>
      <c r="AE413" s="734"/>
      <c r="AF413" s="734"/>
      <c r="AG413" s="734"/>
      <c r="AH413" s="734"/>
      <c r="AI413" s="734"/>
      <c r="AJ413" s="734"/>
      <c r="AK413" s="734"/>
      <c r="AL413" s="734"/>
      <c r="AM413" s="734"/>
      <c r="AN413" s="734"/>
      <c r="AO413" s="734"/>
      <c r="AP413" s="734"/>
      <c r="AQ413" s="734"/>
      <c r="AR413" s="734"/>
      <c r="AS413" s="734"/>
      <c r="AT413" s="734"/>
      <c r="AU413" s="734"/>
      <c r="AV413" s="734"/>
      <c r="AW413" s="734"/>
      <c r="AX413" s="734"/>
      <c r="AY413" s="734"/>
      <c r="AZ413" s="734"/>
      <c r="BA413" s="734"/>
      <c r="BB413" s="734"/>
      <c r="BC413" s="734"/>
      <c r="BD413" s="734"/>
      <c r="BE413" s="734"/>
      <c r="BF413" s="734"/>
      <c r="BG413" s="734"/>
      <c r="BH413" s="734"/>
      <c r="BI413" s="734"/>
      <c r="BJ413" s="734"/>
      <c r="BK413" s="734"/>
      <c r="BL413" s="734"/>
      <c r="BM413" s="734"/>
      <c r="BN413" s="734"/>
      <c r="BO413" s="734"/>
      <c r="BP413" s="734"/>
      <c r="BQ413" s="734"/>
      <c r="BR413" s="734"/>
      <c r="BS413" s="734"/>
      <c r="BT413" s="734"/>
      <c r="BU413" s="734"/>
      <c r="BV413" s="734"/>
      <c r="BW413" s="734"/>
      <c r="BX413" s="734"/>
      <c r="BY413" s="734"/>
      <c r="BZ413" s="734"/>
      <c r="CA413" s="734"/>
    </row>
    <row r="414" spans="1:79" hidden="1" outlineLevel="1" x14ac:dyDescent="0.35">
      <c r="A414" s="574"/>
      <c r="B414" s="574"/>
      <c r="C414" s="574"/>
      <c r="D414" s="574"/>
      <c r="E414" s="574"/>
      <c r="F414" s="672" t="s">
        <v>619</v>
      </c>
      <c r="G414" s="735"/>
      <c r="H414" s="735"/>
      <c r="I414" s="735"/>
      <c r="J414" s="735"/>
      <c r="K414" s="735"/>
      <c r="L414" s="735"/>
      <c r="M414" s="735"/>
      <c r="N414" s="735"/>
      <c r="O414" s="735"/>
      <c r="P414" s="732"/>
      <c r="Q414" s="732"/>
      <c r="R414" s="732"/>
      <c r="S414" s="692">
        <v>0</v>
      </c>
      <c r="T414" s="692">
        <v>0</v>
      </c>
      <c r="U414" s="692">
        <v>0</v>
      </c>
      <c r="V414" s="692">
        <v>0</v>
      </c>
      <c r="W414" s="692">
        <v>0</v>
      </c>
      <c r="X414" s="692">
        <v>0</v>
      </c>
      <c r="Y414" s="692">
        <v>0</v>
      </c>
      <c r="Z414" s="692">
        <v>0</v>
      </c>
      <c r="AA414" s="692">
        <v>0</v>
      </c>
      <c r="AB414" s="692">
        <v>0</v>
      </c>
      <c r="AC414" s="692">
        <v>0</v>
      </c>
      <c r="AD414" s="692">
        <v>0</v>
      </c>
      <c r="AE414" s="734"/>
      <c r="AF414" s="734"/>
      <c r="AG414" s="734"/>
      <c r="AH414" s="734"/>
      <c r="AI414" s="734"/>
      <c r="AJ414" s="734"/>
      <c r="AK414" s="734"/>
      <c r="AL414" s="734"/>
      <c r="AM414" s="734"/>
      <c r="AN414" s="734"/>
      <c r="AO414" s="734"/>
      <c r="AP414" s="734"/>
      <c r="AQ414" s="734"/>
      <c r="AR414" s="734"/>
      <c r="AS414" s="734"/>
      <c r="AT414" s="734"/>
      <c r="AU414" s="734"/>
      <c r="AV414" s="734"/>
      <c r="AW414" s="734"/>
      <c r="AX414" s="734"/>
      <c r="AY414" s="734"/>
      <c r="AZ414" s="734"/>
      <c r="BA414" s="734"/>
      <c r="BB414" s="734"/>
      <c r="BC414" s="734"/>
      <c r="BD414" s="734"/>
      <c r="BE414" s="734"/>
      <c r="BF414" s="734"/>
      <c r="BG414" s="734"/>
      <c r="BH414" s="734"/>
      <c r="BI414" s="734"/>
      <c r="BJ414" s="734"/>
      <c r="BK414" s="734"/>
      <c r="BL414" s="734"/>
      <c r="BM414" s="734"/>
      <c r="BN414" s="734"/>
      <c r="BO414" s="734"/>
      <c r="BP414" s="734"/>
      <c r="BQ414" s="734"/>
      <c r="BR414" s="734"/>
      <c r="BS414" s="734"/>
      <c r="BT414" s="734"/>
      <c r="BU414" s="734"/>
      <c r="BV414" s="734"/>
      <c r="BW414" s="734"/>
      <c r="BX414" s="734"/>
      <c r="BY414" s="734"/>
      <c r="BZ414" s="734"/>
      <c r="CA414" s="734"/>
    </row>
    <row r="415" spans="1:79" hidden="1" outlineLevel="1" x14ac:dyDescent="0.35">
      <c r="A415" s="574"/>
      <c r="B415" s="574"/>
      <c r="C415" s="574"/>
      <c r="D415" s="574"/>
      <c r="E415" s="574"/>
      <c r="F415" s="672" t="s">
        <v>894</v>
      </c>
      <c r="G415" s="735"/>
      <c r="H415" s="735"/>
      <c r="I415" s="735"/>
      <c r="J415" s="735"/>
      <c r="K415" s="735"/>
      <c r="L415" s="735"/>
      <c r="M415" s="735"/>
      <c r="N415" s="735"/>
      <c r="O415" s="735"/>
      <c r="P415" s="732"/>
      <c r="Q415" s="732"/>
      <c r="R415" s="732"/>
      <c r="S415" s="692">
        <v>0</v>
      </c>
      <c r="T415" s="692">
        <v>0</v>
      </c>
      <c r="U415" s="692">
        <v>0</v>
      </c>
      <c r="V415" s="692">
        <v>0</v>
      </c>
      <c r="W415" s="692">
        <v>0</v>
      </c>
      <c r="X415" s="692">
        <v>0</v>
      </c>
      <c r="Y415" s="692">
        <v>0</v>
      </c>
      <c r="Z415" s="692">
        <v>0</v>
      </c>
      <c r="AA415" s="692">
        <v>0</v>
      </c>
      <c r="AB415" s="692">
        <v>0</v>
      </c>
      <c r="AC415" s="692">
        <v>0</v>
      </c>
      <c r="AD415" s="692">
        <v>0</v>
      </c>
      <c r="AE415" s="734"/>
      <c r="AF415" s="734"/>
      <c r="AG415" s="734"/>
      <c r="AH415" s="734"/>
      <c r="AI415" s="734"/>
      <c r="AJ415" s="734"/>
      <c r="AK415" s="734"/>
      <c r="AL415" s="734"/>
      <c r="AM415" s="734"/>
      <c r="AN415" s="734"/>
      <c r="AO415" s="734"/>
      <c r="AP415" s="734"/>
      <c r="AQ415" s="734"/>
      <c r="AR415" s="734"/>
      <c r="AS415" s="734"/>
      <c r="AT415" s="734"/>
      <c r="AU415" s="734"/>
      <c r="AV415" s="734"/>
      <c r="AW415" s="734"/>
      <c r="AX415" s="734"/>
      <c r="AY415" s="734"/>
      <c r="AZ415" s="734"/>
      <c r="BA415" s="734"/>
      <c r="BB415" s="734"/>
      <c r="BC415" s="734"/>
      <c r="BD415" s="734"/>
      <c r="BE415" s="734"/>
      <c r="BF415" s="734"/>
      <c r="BG415" s="734"/>
      <c r="BH415" s="734"/>
      <c r="BI415" s="734"/>
      <c r="BJ415" s="734"/>
      <c r="BK415" s="734"/>
      <c r="BL415" s="734"/>
      <c r="BM415" s="734"/>
      <c r="BN415" s="734"/>
      <c r="BO415" s="734"/>
      <c r="BP415" s="734"/>
      <c r="BQ415" s="734"/>
      <c r="BR415" s="734"/>
      <c r="BS415" s="734"/>
      <c r="BT415" s="734"/>
      <c r="BU415" s="734"/>
      <c r="BV415" s="734"/>
      <c r="BW415" s="734"/>
      <c r="BX415" s="734"/>
      <c r="BY415" s="734"/>
      <c r="BZ415" s="734"/>
      <c r="CA415" s="734"/>
    </row>
    <row r="416" spans="1:79" hidden="1" outlineLevel="1" x14ac:dyDescent="0.35">
      <c r="A416" s="574"/>
      <c r="B416" s="574"/>
      <c r="C416" s="574"/>
      <c r="D416" s="574"/>
      <c r="E416" s="574"/>
      <c r="F416" s="672" t="s">
        <v>620</v>
      </c>
      <c r="G416" s="735"/>
      <c r="H416" s="735"/>
      <c r="I416" s="735"/>
      <c r="J416" s="735"/>
      <c r="K416" s="735"/>
      <c r="L416" s="735"/>
      <c r="M416" s="735"/>
      <c r="N416" s="735"/>
      <c r="O416" s="735"/>
      <c r="P416" s="732"/>
      <c r="Q416" s="732"/>
      <c r="R416" s="732"/>
      <c r="S416" s="692">
        <v>0</v>
      </c>
      <c r="T416" s="692">
        <v>0</v>
      </c>
      <c r="U416" s="692">
        <v>0</v>
      </c>
      <c r="V416" s="692">
        <v>0</v>
      </c>
      <c r="W416" s="692">
        <v>0</v>
      </c>
      <c r="X416" s="692">
        <v>0</v>
      </c>
      <c r="Y416" s="692">
        <v>0</v>
      </c>
      <c r="Z416" s="692">
        <v>0</v>
      </c>
      <c r="AA416" s="692">
        <v>0</v>
      </c>
      <c r="AB416" s="692">
        <v>0</v>
      </c>
      <c r="AC416" s="692">
        <v>0</v>
      </c>
      <c r="AD416" s="692">
        <v>0</v>
      </c>
      <c r="AE416" s="734"/>
      <c r="AF416" s="734"/>
      <c r="AG416" s="734"/>
      <c r="AH416" s="734"/>
      <c r="AI416" s="734"/>
      <c r="AJ416" s="734"/>
      <c r="AK416" s="734"/>
      <c r="AL416" s="734"/>
      <c r="AM416" s="734"/>
      <c r="AN416" s="734"/>
      <c r="AO416" s="734"/>
      <c r="AP416" s="734"/>
      <c r="AQ416" s="734"/>
      <c r="AR416" s="734"/>
      <c r="AS416" s="734"/>
      <c r="AT416" s="734"/>
      <c r="AU416" s="734"/>
      <c r="AV416" s="734"/>
      <c r="AW416" s="734"/>
      <c r="AX416" s="734"/>
      <c r="AY416" s="734"/>
      <c r="AZ416" s="734"/>
      <c r="BA416" s="734"/>
      <c r="BB416" s="734"/>
      <c r="BC416" s="734"/>
      <c r="BD416" s="734"/>
      <c r="BE416" s="734"/>
      <c r="BF416" s="734"/>
      <c r="BG416" s="734"/>
      <c r="BH416" s="734"/>
      <c r="BI416" s="734"/>
      <c r="BJ416" s="734"/>
      <c r="BK416" s="734"/>
      <c r="BL416" s="734"/>
      <c r="BM416" s="734"/>
      <c r="BN416" s="734"/>
      <c r="BO416" s="734"/>
      <c r="BP416" s="734"/>
      <c r="BQ416" s="734"/>
      <c r="BR416" s="734"/>
      <c r="BS416" s="734"/>
      <c r="BT416" s="734"/>
      <c r="BU416" s="734"/>
      <c r="BV416" s="734"/>
      <c r="BW416" s="734"/>
      <c r="BX416" s="734"/>
      <c r="BY416" s="734"/>
      <c r="BZ416" s="734"/>
      <c r="CA416" s="734"/>
    </row>
    <row r="417" spans="1:79" hidden="1" outlineLevel="1" x14ac:dyDescent="0.35">
      <c r="A417" s="574"/>
      <c r="B417" s="574"/>
      <c r="C417" s="574"/>
      <c r="D417" s="574"/>
      <c r="E417" s="574"/>
      <c r="F417" s="675" t="s">
        <v>621</v>
      </c>
      <c r="G417" s="680">
        <f>SUM(G400:G416)</f>
        <v>0</v>
      </c>
      <c r="H417" s="680">
        <f t="shared" ref="H417:BO417" si="136">SUM(H400:H416)</f>
        <v>0</v>
      </c>
      <c r="I417" s="680">
        <f t="shared" si="136"/>
        <v>0</v>
      </c>
      <c r="J417" s="680">
        <f t="shared" si="136"/>
        <v>0</v>
      </c>
      <c r="K417" s="680">
        <f t="shared" si="136"/>
        <v>0</v>
      </c>
      <c r="L417" s="680">
        <f t="shared" si="136"/>
        <v>0</v>
      </c>
      <c r="M417" s="680">
        <f t="shared" si="136"/>
        <v>0</v>
      </c>
      <c r="N417" s="680">
        <f t="shared" si="136"/>
        <v>0</v>
      </c>
      <c r="O417" s="680">
        <f t="shared" si="136"/>
        <v>0</v>
      </c>
      <c r="P417" s="680">
        <f t="shared" si="136"/>
        <v>0</v>
      </c>
      <c r="Q417" s="680">
        <f t="shared" si="136"/>
        <v>0</v>
      </c>
      <c r="R417" s="680">
        <f>SUM(R400:R416)</f>
        <v>0</v>
      </c>
      <c r="S417" s="694">
        <f t="shared" ref="S417:AA417" si="137">ROUND(SUM(S399:S416),5)</f>
        <v>0</v>
      </c>
      <c r="T417" s="694">
        <f t="shared" si="137"/>
        <v>0</v>
      </c>
      <c r="U417" s="694">
        <f t="shared" si="137"/>
        <v>0</v>
      </c>
      <c r="V417" s="694">
        <f t="shared" si="137"/>
        <v>0</v>
      </c>
      <c r="W417" s="694">
        <f t="shared" si="137"/>
        <v>0</v>
      </c>
      <c r="X417" s="694">
        <f t="shared" si="137"/>
        <v>0</v>
      </c>
      <c r="Y417" s="694">
        <f t="shared" si="137"/>
        <v>0</v>
      </c>
      <c r="Z417" s="694">
        <f t="shared" si="137"/>
        <v>0</v>
      </c>
      <c r="AA417" s="694">
        <f t="shared" si="137"/>
        <v>0</v>
      </c>
      <c r="AB417" s="694">
        <f>ROUND(SUM(AB399:AB416),5)</f>
        <v>0</v>
      </c>
      <c r="AC417" s="694">
        <f>ROUND(SUM(AC399:AC416),5)</f>
        <v>0</v>
      </c>
      <c r="AD417" s="694">
        <f>ROUND(SUM(AD399:AD416),5)</f>
        <v>0</v>
      </c>
      <c r="AE417" s="680">
        <f t="shared" si="136"/>
        <v>0</v>
      </c>
      <c r="AF417" s="680">
        <f t="shared" si="136"/>
        <v>0</v>
      </c>
      <c r="AG417" s="680">
        <f t="shared" si="136"/>
        <v>0</v>
      </c>
      <c r="AH417" s="680">
        <f t="shared" si="136"/>
        <v>0</v>
      </c>
      <c r="AI417" s="680">
        <f t="shared" si="136"/>
        <v>0</v>
      </c>
      <c r="AJ417" s="680">
        <f t="shared" si="136"/>
        <v>0</v>
      </c>
      <c r="AK417" s="680">
        <f t="shared" si="136"/>
        <v>0</v>
      </c>
      <c r="AL417" s="680">
        <f t="shared" si="136"/>
        <v>0</v>
      </c>
      <c r="AM417" s="680">
        <f t="shared" si="136"/>
        <v>0</v>
      </c>
      <c r="AN417" s="680">
        <f t="shared" si="136"/>
        <v>0</v>
      </c>
      <c r="AO417" s="680">
        <f t="shared" si="136"/>
        <v>0</v>
      </c>
      <c r="AP417" s="680">
        <f t="shared" si="136"/>
        <v>0</v>
      </c>
      <c r="AQ417" s="680">
        <f t="shared" si="136"/>
        <v>0</v>
      </c>
      <c r="AR417" s="680">
        <f t="shared" si="136"/>
        <v>0</v>
      </c>
      <c r="AS417" s="680">
        <f t="shared" si="136"/>
        <v>0</v>
      </c>
      <c r="AT417" s="680">
        <f t="shared" si="136"/>
        <v>0</v>
      </c>
      <c r="AU417" s="680">
        <f t="shared" si="136"/>
        <v>0</v>
      </c>
      <c r="AV417" s="680">
        <f t="shared" si="136"/>
        <v>0</v>
      </c>
      <c r="AW417" s="680">
        <f t="shared" si="136"/>
        <v>0</v>
      </c>
      <c r="AX417" s="680">
        <f t="shared" si="136"/>
        <v>0</v>
      </c>
      <c r="AY417" s="680">
        <f t="shared" si="136"/>
        <v>0</v>
      </c>
      <c r="AZ417" s="680">
        <f t="shared" si="136"/>
        <v>0</v>
      </c>
      <c r="BA417" s="680">
        <f t="shared" si="136"/>
        <v>0</v>
      </c>
      <c r="BB417" s="680">
        <f t="shared" si="136"/>
        <v>0</v>
      </c>
      <c r="BC417" s="680">
        <f t="shared" si="136"/>
        <v>0</v>
      </c>
      <c r="BD417" s="680">
        <f t="shared" si="136"/>
        <v>0</v>
      </c>
      <c r="BE417" s="680">
        <f t="shared" si="136"/>
        <v>0</v>
      </c>
      <c r="BF417" s="680">
        <f t="shared" si="136"/>
        <v>0</v>
      </c>
      <c r="BG417" s="680">
        <f t="shared" si="136"/>
        <v>0</v>
      </c>
      <c r="BH417" s="680">
        <f t="shared" si="136"/>
        <v>0</v>
      </c>
      <c r="BI417" s="680">
        <f t="shared" si="136"/>
        <v>0</v>
      </c>
      <c r="BJ417" s="680">
        <f t="shared" si="136"/>
        <v>0</v>
      </c>
      <c r="BK417" s="680">
        <f t="shared" si="136"/>
        <v>0</v>
      </c>
      <c r="BL417" s="680">
        <f t="shared" si="136"/>
        <v>0</v>
      </c>
      <c r="BM417" s="680">
        <f t="shared" si="136"/>
        <v>0</v>
      </c>
      <c r="BN417" s="680">
        <f t="shared" si="136"/>
        <v>0</v>
      </c>
      <c r="BO417" s="680">
        <f t="shared" si="136"/>
        <v>0</v>
      </c>
      <c r="BP417" s="680">
        <f t="shared" ref="BP417:CA417" si="138">SUM(BP400:BP416)</f>
        <v>0</v>
      </c>
      <c r="BQ417" s="680">
        <f t="shared" si="138"/>
        <v>0</v>
      </c>
      <c r="BR417" s="680">
        <f t="shared" si="138"/>
        <v>0</v>
      </c>
      <c r="BS417" s="680">
        <f t="shared" si="138"/>
        <v>0</v>
      </c>
      <c r="BT417" s="680">
        <f t="shared" si="138"/>
        <v>0</v>
      </c>
      <c r="BU417" s="680">
        <f t="shared" si="138"/>
        <v>0</v>
      </c>
      <c r="BV417" s="680">
        <f t="shared" si="138"/>
        <v>0</v>
      </c>
      <c r="BW417" s="680">
        <f t="shared" si="138"/>
        <v>0</v>
      </c>
      <c r="BX417" s="680">
        <f t="shared" si="138"/>
        <v>0</v>
      </c>
      <c r="BY417" s="680">
        <f t="shared" si="138"/>
        <v>0</v>
      </c>
      <c r="BZ417" s="680">
        <f t="shared" si="138"/>
        <v>0</v>
      </c>
      <c r="CA417" s="680">
        <f t="shared" si="138"/>
        <v>0</v>
      </c>
    </row>
    <row r="418" spans="1:79" s="709" customFormat="1" hidden="1" outlineLevel="1" x14ac:dyDescent="0.35">
      <c r="F418" s="707" t="s">
        <v>598</v>
      </c>
      <c r="G418" s="750"/>
      <c r="H418" s="750"/>
      <c r="I418" s="750"/>
      <c r="J418" s="750"/>
      <c r="K418" s="750"/>
      <c r="L418" s="750"/>
      <c r="M418" s="750"/>
      <c r="N418" s="750"/>
      <c r="O418" s="750"/>
      <c r="P418" s="751"/>
      <c r="Q418" s="751"/>
      <c r="R418" s="751"/>
      <c r="S418" s="724"/>
      <c r="T418" s="724"/>
      <c r="U418" s="724"/>
      <c r="V418" s="724"/>
      <c r="W418" s="724"/>
      <c r="X418" s="724"/>
      <c r="Y418" s="724"/>
      <c r="Z418" s="724"/>
      <c r="AA418" s="724"/>
      <c r="AB418" s="724"/>
      <c r="AC418" s="724"/>
      <c r="AD418" s="724"/>
      <c r="AE418" s="753"/>
      <c r="AF418" s="753"/>
      <c r="AG418" s="753"/>
      <c r="AH418" s="753"/>
      <c r="AI418" s="753"/>
      <c r="AJ418" s="753"/>
      <c r="AK418" s="753"/>
      <c r="AL418" s="753"/>
      <c r="AM418" s="753"/>
      <c r="AN418" s="753"/>
      <c r="AO418" s="753"/>
      <c r="AP418" s="753"/>
      <c r="AQ418" s="753"/>
      <c r="AR418" s="753"/>
      <c r="AS418" s="753"/>
      <c r="AT418" s="753"/>
      <c r="AU418" s="753"/>
      <c r="AV418" s="753"/>
      <c r="AW418" s="753"/>
      <c r="AX418" s="753"/>
      <c r="AY418" s="753"/>
      <c r="AZ418" s="753"/>
      <c r="BA418" s="753"/>
      <c r="BB418" s="753"/>
      <c r="BC418" s="753"/>
      <c r="BD418" s="753"/>
      <c r="BE418" s="753"/>
      <c r="BF418" s="753"/>
      <c r="BG418" s="753"/>
      <c r="BH418" s="753"/>
      <c r="BI418" s="753"/>
      <c r="BJ418" s="753"/>
      <c r="BK418" s="753"/>
      <c r="BL418" s="753"/>
      <c r="BM418" s="753"/>
      <c r="BN418" s="753"/>
      <c r="BO418" s="753"/>
      <c r="BP418" s="753"/>
      <c r="BQ418" s="753"/>
      <c r="BR418" s="753"/>
      <c r="BS418" s="753"/>
      <c r="BT418" s="753"/>
      <c r="BU418" s="753"/>
      <c r="BV418" s="753"/>
      <c r="BW418" s="753"/>
      <c r="BX418" s="753"/>
      <c r="BY418" s="753"/>
      <c r="BZ418" s="753"/>
      <c r="CA418" s="753"/>
    </row>
    <row r="419" spans="1:79" hidden="1" outlineLevel="1" x14ac:dyDescent="0.35">
      <c r="A419" s="574"/>
      <c r="B419" s="574"/>
      <c r="C419" s="574"/>
      <c r="D419" s="574"/>
      <c r="E419" s="574"/>
      <c r="F419" s="672" t="s">
        <v>895</v>
      </c>
      <c r="G419" s="735"/>
      <c r="H419" s="735"/>
      <c r="I419" s="735"/>
      <c r="J419" s="735"/>
      <c r="K419" s="735"/>
      <c r="L419" s="735"/>
      <c r="M419" s="735"/>
      <c r="N419" s="735"/>
      <c r="O419" s="735"/>
      <c r="P419" s="732"/>
      <c r="Q419" s="732"/>
      <c r="R419" s="732"/>
      <c r="S419" s="700">
        <v>0</v>
      </c>
      <c r="T419" s="700">
        <v>0</v>
      </c>
      <c r="U419" s="700">
        <v>0</v>
      </c>
      <c r="V419" s="700">
        <v>0</v>
      </c>
      <c r="W419" s="700">
        <v>0</v>
      </c>
      <c r="X419" s="700">
        <v>0</v>
      </c>
      <c r="Y419" s="700">
        <v>0</v>
      </c>
      <c r="Z419" s="700">
        <v>0</v>
      </c>
      <c r="AA419" s="700">
        <v>0</v>
      </c>
      <c r="AB419" s="700">
        <v>0</v>
      </c>
      <c r="AC419" s="700">
        <v>0</v>
      </c>
      <c r="AD419" s="700">
        <v>0</v>
      </c>
      <c r="AE419" s="734"/>
      <c r="AF419" s="734"/>
      <c r="AG419" s="734"/>
      <c r="AH419" s="734"/>
      <c r="AI419" s="734"/>
      <c r="AJ419" s="734"/>
      <c r="AK419" s="734"/>
      <c r="AL419" s="734"/>
      <c r="AM419" s="734"/>
      <c r="AN419" s="734"/>
      <c r="AO419" s="734"/>
      <c r="AP419" s="734"/>
      <c r="AQ419" s="734"/>
      <c r="AR419" s="734"/>
      <c r="AS419" s="734"/>
      <c r="AT419" s="734"/>
      <c r="AU419" s="734"/>
      <c r="AV419" s="734"/>
      <c r="AW419" s="734"/>
      <c r="AX419" s="734"/>
      <c r="AY419" s="734"/>
      <c r="AZ419" s="734"/>
      <c r="BA419" s="734"/>
      <c r="BB419" s="734"/>
      <c r="BC419" s="734"/>
      <c r="BD419" s="734"/>
      <c r="BE419" s="734"/>
      <c r="BF419" s="734"/>
      <c r="BG419" s="734"/>
      <c r="BH419" s="734"/>
      <c r="BI419" s="734"/>
      <c r="BJ419" s="734"/>
      <c r="BK419" s="734"/>
      <c r="BL419" s="734"/>
      <c r="BM419" s="734"/>
      <c r="BN419" s="734"/>
      <c r="BO419" s="734"/>
      <c r="BP419" s="734"/>
      <c r="BQ419" s="734"/>
      <c r="BR419" s="734"/>
      <c r="BS419" s="734"/>
      <c r="BT419" s="734"/>
      <c r="BU419" s="734"/>
      <c r="BV419" s="734"/>
      <c r="BW419" s="734"/>
      <c r="BX419" s="734"/>
      <c r="BY419" s="734"/>
      <c r="BZ419" s="734"/>
      <c r="CA419" s="734"/>
    </row>
    <row r="420" spans="1:79" hidden="1" outlineLevel="1" x14ac:dyDescent="0.35">
      <c r="F420" s="672" t="s">
        <v>622</v>
      </c>
      <c r="G420" s="735">
        <v>304.4426266305021</v>
      </c>
      <c r="H420" s="735">
        <v>160.57976678061894</v>
      </c>
      <c r="I420" s="735">
        <v>221.92029371425696</v>
      </c>
      <c r="J420" s="735">
        <v>351.62574187244627</v>
      </c>
      <c r="K420" s="735">
        <v>445.84185759779763</v>
      </c>
      <c r="L420" s="735">
        <v>690.34191265521838</v>
      </c>
      <c r="M420" s="735">
        <v>755.93976806544742</v>
      </c>
      <c r="N420" s="735">
        <v>584.48937922277253</v>
      </c>
      <c r="O420" s="735">
        <v>984.20645112808234</v>
      </c>
      <c r="P420" s="732">
        <v>883.10419890229639</v>
      </c>
      <c r="Q420" s="732">
        <v>271.04885618884373</v>
      </c>
      <c r="R420" s="732">
        <v>64.764339013570037</v>
      </c>
      <c r="S420" s="683">
        <v>839.45</v>
      </c>
      <c r="T420" s="683">
        <v>1700.66</v>
      </c>
      <c r="U420" s="683">
        <v>97.11</v>
      </c>
      <c r="V420" s="683">
        <v>1527.89</v>
      </c>
      <c r="W420" s="683">
        <v>1410.19</v>
      </c>
      <c r="X420" s="683">
        <v>155.78</v>
      </c>
      <c r="Y420" s="683">
        <v>635.14</v>
      </c>
      <c r="Z420" s="683">
        <v>0</v>
      </c>
      <c r="AA420" s="683">
        <v>1108.6300000000001</v>
      </c>
      <c r="AB420" s="683">
        <v>4068.05</v>
      </c>
      <c r="AC420" s="683">
        <v>395.27</v>
      </c>
      <c r="AD420" s="683">
        <v>17.760000000000002</v>
      </c>
      <c r="AE420" s="734"/>
      <c r="AF420" s="734"/>
      <c r="AG420" s="734"/>
      <c r="AH420" s="734"/>
      <c r="AI420" s="734"/>
      <c r="AJ420" s="734"/>
      <c r="AK420" s="734"/>
      <c r="AL420" s="734"/>
      <c r="AM420" s="734"/>
      <c r="AN420" s="734"/>
      <c r="AO420" s="734"/>
      <c r="AP420" s="734"/>
      <c r="AQ420" s="734"/>
      <c r="AR420" s="734"/>
      <c r="AS420" s="734"/>
      <c r="AT420" s="734"/>
      <c r="AU420" s="734"/>
      <c r="AV420" s="734"/>
      <c r="AW420" s="734"/>
      <c r="AX420" s="734"/>
      <c r="AY420" s="734"/>
      <c r="AZ420" s="734"/>
      <c r="BA420" s="734"/>
      <c r="BB420" s="734"/>
      <c r="BC420" s="734"/>
      <c r="BD420" s="734"/>
      <c r="BE420" s="734"/>
      <c r="BF420" s="734"/>
      <c r="BG420" s="734"/>
      <c r="BH420" s="734"/>
      <c r="BI420" s="734"/>
      <c r="BJ420" s="734"/>
      <c r="BK420" s="734"/>
      <c r="BL420" s="734"/>
      <c r="BM420" s="734"/>
      <c r="BN420" s="734"/>
      <c r="BO420" s="734"/>
      <c r="BP420" s="734"/>
      <c r="BQ420" s="734"/>
      <c r="BR420" s="734"/>
      <c r="BS420" s="734"/>
      <c r="BT420" s="734"/>
      <c r="BU420" s="734"/>
      <c r="BV420" s="734"/>
      <c r="BW420" s="734"/>
      <c r="BX420" s="734"/>
      <c r="BY420" s="734"/>
      <c r="BZ420" s="734"/>
      <c r="CA420" s="734"/>
    </row>
    <row r="421" spans="1:79" hidden="1" outlineLevel="1" x14ac:dyDescent="0.35">
      <c r="A421" s="574"/>
      <c r="B421" s="574"/>
      <c r="C421" s="574"/>
      <c r="D421" s="574"/>
      <c r="E421" s="574"/>
      <c r="F421" s="673" t="s">
        <v>623</v>
      </c>
      <c r="G421" s="680">
        <f>SUM(G419:G420)</f>
        <v>304.4426266305021</v>
      </c>
      <c r="H421" s="680">
        <f t="shared" ref="H421:BO421" si="139">SUM(H419:H420)</f>
        <v>160.57976678061894</v>
      </c>
      <c r="I421" s="680">
        <f t="shared" si="139"/>
        <v>221.92029371425696</v>
      </c>
      <c r="J421" s="680">
        <f t="shared" si="139"/>
        <v>351.62574187244627</v>
      </c>
      <c r="K421" s="680">
        <f t="shared" si="139"/>
        <v>445.84185759779763</v>
      </c>
      <c r="L421" s="680">
        <f t="shared" si="139"/>
        <v>690.34191265521838</v>
      </c>
      <c r="M421" s="680">
        <f t="shared" si="139"/>
        <v>755.93976806544742</v>
      </c>
      <c r="N421" s="680">
        <f t="shared" si="139"/>
        <v>584.48937922277253</v>
      </c>
      <c r="O421" s="680">
        <f t="shared" si="139"/>
        <v>984.20645112808234</v>
      </c>
      <c r="P421" s="680">
        <f t="shared" si="139"/>
        <v>883.10419890229639</v>
      </c>
      <c r="Q421" s="680">
        <f t="shared" si="139"/>
        <v>271.04885618884373</v>
      </c>
      <c r="R421" s="680">
        <f t="shared" si="139"/>
        <v>64.764339013570037</v>
      </c>
      <c r="S421" s="694">
        <f t="shared" ref="S421:AA421" si="140">ROUND(SUM(S418:S420),5)</f>
        <v>839.45</v>
      </c>
      <c r="T421" s="694">
        <f t="shared" si="140"/>
        <v>1700.66</v>
      </c>
      <c r="U421" s="694">
        <f t="shared" si="140"/>
        <v>97.11</v>
      </c>
      <c r="V421" s="694">
        <f t="shared" si="140"/>
        <v>1527.89</v>
      </c>
      <c r="W421" s="694">
        <f t="shared" si="140"/>
        <v>1410.19</v>
      </c>
      <c r="X421" s="694">
        <f t="shared" si="140"/>
        <v>155.78</v>
      </c>
      <c r="Y421" s="694">
        <f t="shared" si="140"/>
        <v>635.14</v>
      </c>
      <c r="Z421" s="694">
        <f t="shared" si="140"/>
        <v>0</v>
      </c>
      <c r="AA421" s="694">
        <f t="shared" si="140"/>
        <v>1108.6300000000001</v>
      </c>
      <c r="AB421" s="694">
        <f>ROUND(SUM(AB418:AB420),5)</f>
        <v>4068.05</v>
      </c>
      <c r="AC421" s="694">
        <f>ROUND(SUM(AC418:AC420),5)</f>
        <v>395.27</v>
      </c>
      <c r="AD421" s="694">
        <f>ROUND(SUM(AD418:AD420),5)</f>
        <v>17.760000000000002</v>
      </c>
      <c r="AE421" s="680">
        <f t="shared" si="139"/>
        <v>0</v>
      </c>
      <c r="AF421" s="680">
        <f t="shared" si="139"/>
        <v>0</v>
      </c>
      <c r="AG421" s="680">
        <f t="shared" si="139"/>
        <v>0</v>
      </c>
      <c r="AH421" s="680">
        <f t="shared" si="139"/>
        <v>0</v>
      </c>
      <c r="AI421" s="680">
        <f t="shared" si="139"/>
        <v>0</v>
      </c>
      <c r="AJ421" s="680">
        <f t="shared" si="139"/>
        <v>0</v>
      </c>
      <c r="AK421" s="680">
        <f t="shared" si="139"/>
        <v>0</v>
      </c>
      <c r="AL421" s="680">
        <f t="shared" si="139"/>
        <v>0</v>
      </c>
      <c r="AM421" s="680">
        <f t="shared" si="139"/>
        <v>0</v>
      </c>
      <c r="AN421" s="680">
        <f t="shared" si="139"/>
        <v>0</v>
      </c>
      <c r="AO421" s="680">
        <f t="shared" si="139"/>
        <v>0</v>
      </c>
      <c r="AP421" s="680">
        <f t="shared" si="139"/>
        <v>0</v>
      </c>
      <c r="AQ421" s="680">
        <f t="shared" si="139"/>
        <v>0</v>
      </c>
      <c r="AR421" s="680">
        <f t="shared" si="139"/>
        <v>0</v>
      </c>
      <c r="AS421" s="680">
        <f t="shared" si="139"/>
        <v>0</v>
      </c>
      <c r="AT421" s="680">
        <f t="shared" si="139"/>
        <v>0</v>
      </c>
      <c r="AU421" s="680">
        <f t="shared" si="139"/>
        <v>0</v>
      </c>
      <c r="AV421" s="680">
        <f t="shared" si="139"/>
        <v>0</v>
      </c>
      <c r="AW421" s="680">
        <f t="shared" si="139"/>
        <v>0</v>
      </c>
      <c r="AX421" s="680">
        <f t="shared" si="139"/>
        <v>0</v>
      </c>
      <c r="AY421" s="680">
        <f t="shared" si="139"/>
        <v>0</v>
      </c>
      <c r="AZ421" s="680">
        <f t="shared" si="139"/>
        <v>0</v>
      </c>
      <c r="BA421" s="680">
        <f t="shared" si="139"/>
        <v>0</v>
      </c>
      <c r="BB421" s="680">
        <f t="shared" si="139"/>
        <v>0</v>
      </c>
      <c r="BC421" s="680">
        <f t="shared" si="139"/>
        <v>0</v>
      </c>
      <c r="BD421" s="680">
        <f t="shared" si="139"/>
        <v>0</v>
      </c>
      <c r="BE421" s="680">
        <f t="shared" si="139"/>
        <v>0</v>
      </c>
      <c r="BF421" s="680">
        <f t="shared" si="139"/>
        <v>0</v>
      </c>
      <c r="BG421" s="680">
        <f t="shared" si="139"/>
        <v>0</v>
      </c>
      <c r="BH421" s="680">
        <f t="shared" si="139"/>
        <v>0</v>
      </c>
      <c r="BI421" s="680">
        <f t="shared" si="139"/>
        <v>0</v>
      </c>
      <c r="BJ421" s="680">
        <f t="shared" si="139"/>
        <v>0</v>
      </c>
      <c r="BK421" s="680">
        <f t="shared" si="139"/>
        <v>0</v>
      </c>
      <c r="BL421" s="680">
        <f t="shared" si="139"/>
        <v>0</v>
      </c>
      <c r="BM421" s="680">
        <f t="shared" si="139"/>
        <v>0</v>
      </c>
      <c r="BN421" s="680">
        <f t="shared" si="139"/>
        <v>0</v>
      </c>
      <c r="BO421" s="680">
        <f t="shared" si="139"/>
        <v>0</v>
      </c>
      <c r="BP421" s="680">
        <f t="shared" ref="BP421:CA421" si="141">SUM(BP419:BP420)</f>
        <v>0</v>
      </c>
      <c r="BQ421" s="680">
        <f t="shared" si="141"/>
        <v>0</v>
      </c>
      <c r="BR421" s="680">
        <f t="shared" si="141"/>
        <v>0</v>
      </c>
      <c r="BS421" s="680">
        <f t="shared" si="141"/>
        <v>0</v>
      </c>
      <c r="BT421" s="680">
        <f t="shared" si="141"/>
        <v>0</v>
      </c>
      <c r="BU421" s="680">
        <f t="shared" si="141"/>
        <v>0</v>
      </c>
      <c r="BV421" s="680">
        <f t="shared" si="141"/>
        <v>0</v>
      </c>
      <c r="BW421" s="680">
        <f t="shared" si="141"/>
        <v>0</v>
      </c>
      <c r="BX421" s="680">
        <f t="shared" si="141"/>
        <v>0</v>
      </c>
      <c r="BY421" s="680">
        <f t="shared" si="141"/>
        <v>0</v>
      </c>
      <c r="BZ421" s="680">
        <f t="shared" si="141"/>
        <v>0</v>
      </c>
      <c r="CA421" s="680">
        <f t="shared" si="141"/>
        <v>0</v>
      </c>
    </row>
    <row r="422" spans="1:79" hidden="1" outlineLevel="1" x14ac:dyDescent="0.35">
      <c r="F422" s="674" t="s">
        <v>599</v>
      </c>
      <c r="G422" s="735">
        <v>0</v>
      </c>
      <c r="H422" s="735"/>
      <c r="I422" s="735"/>
      <c r="J422" s="735"/>
      <c r="K422" s="735">
        <v>15.467410221903075</v>
      </c>
      <c r="L422" s="735">
        <v>104.19483633170482</v>
      </c>
      <c r="M422" s="735">
        <v>341.6336099370659</v>
      </c>
      <c r="N422" s="735">
        <v>1.4339751056533674</v>
      </c>
      <c r="O422" s="735"/>
      <c r="P422" s="732">
        <v>883.61754252077901</v>
      </c>
      <c r="Q422" s="732">
        <v>90.919814580969756</v>
      </c>
      <c r="R422" s="732">
        <v>502.04969068012127</v>
      </c>
      <c r="S422" s="683">
        <v>200</v>
      </c>
      <c r="T422" s="683">
        <v>0</v>
      </c>
      <c r="U422" s="683">
        <v>0</v>
      </c>
      <c r="V422" s="683">
        <v>85</v>
      </c>
      <c r="W422" s="683">
        <v>0</v>
      </c>
      <c r="X422" s="683">
        <v>0</v>
      </c>
      <c r="Y422" s="683">
        <v>0</v>
      </c>
      <c r="Z422" s="683">
        <v>0</v>
      </c>
      <c r="AA422" s="683">
        <v>0</v>
      </c>
      <c r="AB422" s="683">
        <v>0</v>
      </c>
      <c r="AC422" s="683">
        <v>0</v>
      </c>
      <c r="AD422" s="683">
        <v>0</v>
      </c>
      <c r="AE422" s="734"/>
      <c r="AF422" s="734"/>
      <c r="AG422" s="734"/>
      <c r="AH422" s="734"/>
      <c r="AI422" s="734"/>
      <c r="AJ422" s="734"/>
      <c r="AK422" s="734"/>
      <c r="AL422" s="734"/>
      <c r="AM422" s="734"/>
      <c r="AN422" s="734"/>
      <c r="AO422" s="734"/>
      <c r="AP422" s="734"/>
      <c r="AQ422" s="734"/>
      <c r="AR422" s="734"/>
      <c r="AS422" s="734"/>
      <c r="AT422" s="734"/>
      <c r="AU422" s="734"/>
      <c r="AV422" s="734"/>
      <c r="AW422" s="734"/>
      <c r="AX422" s="734"/>
      <c r="AY422" s="734"/>
      <c r="AZ422" s="734"/>
      <c r="BA422" s="734"/>
      <c r="BB422" s="734"/>
      <c r="BC422" s="734"/>
      <c r="BD422" s="734"/>
      <c r="BE422" s="734"/>
      <c r="BF422" s="734"/>
      <c r="BG422" s="734"/>
      <c r="BH422" s="734"/>
      <c r="BI422" s="734"/>
      <c r="BJ422" s="734"/>
      <c r="BK422" s="734"/>
      <c r="BL422" s="734"/>
      <c r="BM422" s="734"/>
      <c r="BN422" s="734"/>
      <c r="BO422" s="734"/>
      <c r="BP422" s="734"/>
      <c r="BQ422" s="734"/>
      <c r="BR422" s="734"/>
      <c r="BS422" s="734"/>
      <c r="BT422" s="734"/>
      <c r="BU422" s="734"/>
      <c r="BV422" s="734"/>
      <c r="BW422" s="734"/>
      <c r="BX422" s="734"/>
      <c r="BY422" s="734"/>
      <c r="BZ422" s="734"/>
      <c r="CA422" s="734"/>
    </row>
    <row r="423" spans="1:79" hidden="1" outlineLevel="1" x14ac:dyDescent="0.35">
      <c r="F423" s="674" t="s">
        <v>600</v>
      </c>
      <c r="G423" s="735">
        <v>8.5249564038485364</v>
      </c>
      <c r="H423" s="735">
        <v>4.5473355807858669</v>
      </c>
      <c r="I423" s="735"/>
      <c r="J423" s="735">
        <v>8.1966152943318669</v>
      </c>
      <c r="K423" s="735">
        <v>72.416772421020156</v>
      </c>
      <c r="L423" s="735">
        <v>2.7908917915224842</v>
      </c>
      <c r="M423" s="735"/>
      <c r="N423" s="735">
        <v>6.5148266907367001</v>
      </c>
      <c r="O423" s="735">
        <v>1.9467336771621795</v>
      </c>
      <c r="P423" s="732">
        <v>30.407329659320947</v>
      </c>
      <c r="Q423" s="732">
        <v>124.23246415520586</v>
      </c>
      <c r="R423" s="732">
        <v>53.037673067672721</v>
      </c>
      <c r="S423" s="683">
        <v>2.19</v>
      </c>
      <c r="T423" s="683">
        <v>0</v>
      </c>
      <c r="U423" s="683">
        <v>0</v>
      </c>
      <c r="V423" s="683">
        <v>127.04</v>
      </c>
      <c r="W423" s="683">
        <v>0</v>
      </c>
      <c r="X423" s="683">
        <v>0</v>
      </c>
      <c r="Y423" s="683">
        <v>0</v>
      </c>
      <c r="Z423" s="683">
        <v>18.39</v>
      </c>
      <c r="AA423" s="683">
        <v>0</v>
      </c>
      <c r="AB423" s="683">
        <v>0</v>
      </c>
      <c r="AC423" s="683">
        <v>0</v>
      </c>
      <c r="AD423" s="683">
        <v>0</v>
      </c>
      <c r="AE423" s="734"/>
      <c r="AF423" s="734"/>
      <c r="AG423" s="734"/>
      <c r="AH423" s="734"/>
      <c r="AI423" s="734"/>
      <c r="AJ423" s="734"/>
      <c r="AK423" s="734"/>
      <c r="AL423" s="734"/>
      <c r="AM423" s="734"/>
      <c r="AN423" s="734"/>
      <c r="AO423" s="734"/>
      <c r="AP423" s="734"/>
      <c r="AQ423" s="734"/>
      <c r="AR423" s="734"/>
      <c r="AS423" s="734"/>
      <c r="AT423" s="734"/>
      <c r="AU423" s="734"/>
      <c r="AV423" s="734"/>
      <c r="AW423" s="734"/>
      <c r="AX423" s="734"/>
      <c r="AY423" s="734"/>
      <c r="AZ423" s="734"/>
      <c r="BA423" s="734"/>
      <c r="BB423" s="734"/>
      <c r="BC423" s="734"/>
      <c r="BD423" s="734"/>
      <c r="BE423" s="734"/>
      <c r="BF423" s="734"/>
      <c r="BG423" s="734"/>
      <c r="BH423" s="734"/>
      <c r="BI423" s="734"/>
      <c r="BJ423" s="734"/>
      <c r="BK423" s="734"/>
      <c r="BL423" s="734"/>
      <c r="BM423" s="734"/>
      <c r="BN423" s="734"/>
      <c r="BO423" s="734"/>
      <c r="BP423" s="734"/>
      <c r="BQ423" s="734"/>
      <c r="BR423" s="734"/>
      <c r="BS423" s="734"/>
      <c r="BT423" s="734"/>
      <c r="BU423" s="734"/>
      <c r="BV423" s="734"/>
      <c r="BW423" s="734"/>
      <c r="BX423" s="734"/>
      <c r="BY423" s="734"/>
      <c r="BZ423" s="734"/>
      <c r="CA423" s="734"/>
    </row>
    <row r="424" spans="1:79" hidden="1" outlineLevel="1" x14ac:dyDescent="0.35">
      <c r="F424" s="674" t="s">
        <v>601</v>
      </c>
      <c r="G424" s="735">
        <v>0</v>
      </c>
      <c r="H424" s="735"/>
      <c r="I424" s="735"/>
      <c r="J424" s="735">
        <v>195.66746752636712</v>
      </c>
      <c r="K424" s="735">
        <v>15.444243856118895</v>
      </c>
      <c r="L424" s="735"/>
      <c r="M424" s="735"/>
      <c r="N424" s="735"/>
      <c r="O424" s="735">
        <v>29.065028416303786</v>
      </c>
      <c r="P424" s="732">
        <v>0.56716190106561881</v>
      </c>
      <c r="Q424" s="732">
        <v>44.266668167404973</v>
      </c>
      <c r="R424" s="732"/>
      <c r="S424" s="683">
        <v>0</v>
      </c>
      <c r="T424" s="683">
        <v>0</v>
      </c>
      <c r="U424" s="683">
        <v>0</v>
      </c>
      <c r="V424" s="683">
        <v>71.25</v>
      </c>
      <c r="W424" s="683">
        <v>0</v>
      </c>
      <c r="X424" s="683">
        <v>0</v>
      </c>
      <c r="Y424" s="683">
        <v>0</v>
      </c>
      <c r="Z424" s="683">
        <v>0</v>
      </c>
      <c r="AA424" s="683">
        <v>0</v>
      </c>
      <c r="AB424" s="683">
        <v>0</v>
      </c>
      <c r="AC424" s="683">
        <v>0</v>
      </c>
      <c r="AD424" s="683">
        <v>0</v>
      </c>
      <c r="AE424" s="734"/>
      <c r="AF424" s="734"/>
      <c r="AG424" s="734"/>
      <c r="AH424" s="734"/>
      <c r="AI424" s="734"/>
      <c r="AJ424" s="734"/>
      <c r="AK424" s="734"/>
      <c r="AL424" s="734"/>
      <c r="AM424" s="734"/>
      <c r="AN424" s="734"/>
      <c r="AO424" s="734"/>
      <c r="AP424" s="734"/>
      <c r="AQ424" s="734"/>
      <c r="AR424" s="734"/>
      <c r="AS424" s="734"/>
      <c r="AT424" s="734"/>
      <c r="AU424" s="734"/>
      <c r="AV424" s="734"/>
      <c r="AW424" s="734"/>
      <c r="AX424" s="734"/>
      <c r="AY424" s="734"/>
      <c r="AZ424" s="734"/>
      <c r="BA424" s="734"/>
      <c r="BB424" s="734"/>
      <c r="BC424" s="734"/>
      <c r="BD424" s="734"/>
      <c r="BE424" s="734"/>
      <c r="BF424" s="734"/>
      <c r="BG424" s="734"/>
      <c r="BH424" s="734"/>
      <c r="BI424" s="734"/>
      <c r="BJ424" s="734"/>
      <c r="BK424" s="734"/>
      <c r="BL424" s="734"/>
      <c r="BM424" s="734"/>
      <c r="BN424" s="734"/>
      <c r="BO424" s="734"/>
      <c r="BP424" s="734"/>
      <c r="BQ424" s="734"/>
      <c r="BR424" s="734"/>
      <c r="BS424" s="734"/>
      <c r="BT424" s="734"/>
      <c r="BU424" s="734"/>
      <c r="BV424" s="734"/>
      <c r="BW424" s="734"/>
      <c r="BX424" s="734"/>
      <c r="BY424" s="734"/>
      <c r="BZ424" s="734"/>
      <c r="CA424" s="734"/>
    </row>
    <row r="425" spans="1:79" s="716" customFormat="1" hidden="1" outlineLevel="1" x14ac:dyDescent="0.35">
      <c r="F425" s="717" t="s">
        <v>602</v>
      </c>
      <c r="G425" s="750"/>
      <c r="H425" s="750"/>
      <c r="I425" s="750"/>
      <c r="J425" s="750"/>
      <c r="K425" s="750"/>
      <c r="L425" s="750"/>
      <c r="M425" s="750"/>
      <c r="N425" s="750"/>
      <c r="O425" s="750"/>
      <c r="P425" s="751"/>
      <c r="Q425" s="751"/>
      <c r="R425" s="751"/>
      <c r="S425" s="713"/>
      <c r="T425" s="713"/>
      <c r="U425" s="713"/>
      <c r="V425" s="713"/>
      <c r="W425" s="713"/>
      <c r="X425" s="713"/>
      <c r="Y425" s="713"/>
      <c r="Z425" s="713"/>
      <c r="AA425" s="713"/>
      <c r="AB425" s="713"/>
      <c r="AC425" s="713"/>
      <c r="AD425" s="713"/>
      <c r="AE425" s="753"/>
      <c r="AF425" s="753"/>
      <c r="AG425" s="753"/>
      <c r="AH425" s="753"/>
      <c r="AI425" s="753"/>
      <c r="AJ425" s="753"/>
      <c r="AK425" s="753"/>
      <c r="AL425" s="753"/>
      <c r="AM425" s="753"/>
      <c r="AN425" s="753"/>
      <c r="AO425" s="753"/>
      <c r="AP425" s="753"/>
      <c r="AQ425" s="753"/>
      <c r="AR425" s="753"/>
      <c r="AS425" s="753"/>
      <c r="AT425" s="753"/>
      <c r="AU425" s="753"/>
      <c r="AV425" s="753"/>
      <c r="AW425" s="753"/>
      <c r="AX425" s="753"/>
      <c r="AY425" s="753"/>
      <c r="AZ425" s="753"/>
      <c r="BA425" s="753"/>
      <c r="BB425" s="753"/>
      <c r="BC425" s="753"/>
      <c r="BD425" s="753"/>
      <c r="BE425" s="753"/>
      <c r="BF425" s="753"/>
      <c r="BG425" s="753"/>
      <c r="BH425" s="753"/>
      <c r="BI425" s="753"/>
      <c r="BJ425" s="753"/>
      <c r="BK425" s="753"/>
      <c r="BL425" s="753"/>
      <c r="BM425" s="753"/>
      <c r="BN425" s="753"/>
      <c r="BO425" s="753"/>
      <c r="BP425" s="753"/>
      <c r="BQ425" s="753"/>
      <c r="BR425" s="753"/>
      <c r="BS425" s="753"/>
      <c r="BT425" s="753"/>
      <c r="BU425" s="753"/>
      <c r="BV425" s="753"/>
      <c r="BW425" s="753"/>
      <c r="BX425" s="753"/>
      <c r="BY425" s="753"/>
      <c r="BZ425" s="753"/>
      <c r="CA425" s="753"/>
    </row>
    <row r="426" spans="1:79" s="757" customFormat="1" hidden="1" outlineLevel="1" x14ac:dyDescent="0.35">
      <c r="A426" s="504"/>
      <c r="B426" s="504"/>
      <c r="C426" s="504"/>
      <c r="D426" s="504"/>
      <c r="E426" s="504"/>
      <c r="F426" s="672" t="s">
        <v>653</v>
      </c>
      <c r="G426" s="735"/>
      <c r="H426" s="735"/>
      <c r="I426" s="735"/>
      <c r="J426" s="735"/>
      <c r="K426" s="735"/>
      <c r="L426" s="735"/>
      <c r="M426" s="735"/>
      <c r="N426" s="735"/>
      <c r="O426" s="735"/>
      <c r="P426" s="732"/>
      <c r="Q426" s="732"/>
      <c r="R426" s="732"/>
      <c r="S426" s="692">
        <v>0</v>
      </c>
      <c r="T426" s="692">
        <v>0</v>
      </c>
      <c r="U426" s="692">
        <v>0</v>
      </c>
      <c r="V426" s="692">
        <v>0</v>
      </c>
      <c r="W426" s="692">
        <v>0</v>
      </c>
      <c r="X426" s="692">
        <v>0</v>
      </c>
      <c r="Y426" s="692">
        <v>0</v>
      </c>
      <c r="Z426" s="692">
        <v>0</v>
      </c>
      <c r="AA426" s="692">
        <v>0</v>
      </c>
      <c r="AB426" s="692">
        <v>0</v>
      </c>
      <c r="AC426" s="692">
        <v>0</v>
      </c>
      <c r="AD426" s="692">
        <v>0</v>
      </c>
      <c r="AE426" s="734"/>
      <c r="AF426" s="734"/>
      <c r="AG426" s="734"/>
      <c r="AH426" s="734"/>
      <c r="AI426" s="734"/>
      <c r="AJ426" s="734"/>
      <c r="AK426" s="734"/>
      <c r="AL426" s="734"/>
      <c r="AM426" s="734"/>
      <c r="AN426" s="734"/>
      <c r="AO426" s="734"/>
      <c r="AP426" s="734"/>
      <c r="AQ426" s="734"/>
      <c r="AR426" s="734"/>
      <c r="AS426" s="734"/>
      <c r="AT426" s="734"/>
      <c r="AU426" s="734"/>
      <c r="AV426" s="734"/>
      <c r="AW426" s="734"/>
      <c r="AX426" s="734"/>
      <c r="AY426" s="734"/>
      <c r="AZ426" s="734"/>
      <c r="BA426" s="734"/>
      <c r="BB426" s="734"/>
      <c r="BC426" s="734"/>
      <c r="BD426" s="734"/>
      <c r="BE426" s="734"/>
      <c r="BF426" s="734"/>
      <c r="BG426" s="734"/>
      <c r="BH426" s="734"/>
      <c r="BI426" s="734"/>
      <c r="BJ426" s="734"/>
      <c r="BK426" s="734"/>
      <c r="BL426" s="734"/>
      <c r="BM426" s="734"/>
      <c r="BN426" s="734"/>
      <c r="BO426" s="734"/>
      <c r="BP426" s="734"/>
      <c r="BQ426" s="734"/>
      <c r="BR426" s="734"/>
      <c r="BS426" s="734"/>
      <c r="BT426" s="734"/>
      <c r="BU426" s="734"/>
      <c r="BV426" s="734"/>
      <c r="BW426" s="734"/>
      <c r="BX426" s="734"/>
      <c r="BY426" s="734"/>
      <c r="BZ426" s="734"/>
      <c r="CA426" s="734"/>
    </row>
    <row r="427" spans="1:79" s="757" customFormat="1" hidden="1" outlineLevel="1" x14ac:dyDescent="0.35">
      <c r="A427" s="504"/>
      <c r="B427" s="504"/>
      <c r="C427" s="504"/>
      <c r="D427" s="504"/>
      <c r="E427" s="504"/>
      <c r="F427" s="672" t="s">
        <v>624</v>
      </c>
      <c r="G427" s="735"/>
      <c r="H427" s="735"/>
      <c r="I427" s="735"/>
      <c r="J427" s="735"/>
      <c r="K427" s="735"/>
      <c r="L427" s="735"/>
      <c r="M427" s="735"/>
      <c r="N427" s="735"/>
      <c r="O427" s="735"/>
      <c r="P427" s="732"/>
      <c r="Q427" s="732"/>
      <c r="R427" s="732"/>
      <c r="S427" s="683">
        <v>0</v>
      </c>
      <c r="T427" s="683">
        <v>0</v>
      </c>
      <c r="U427" s="683">
        <v>0</v>
      </c>
      <c r="V427" s="683">
        <v>0</v>
      </c>
      <c r="W427" s="683">
        <v>0</v>
      </c>
      <c r="X427" s="683">
        <v>0</v>
      </c>
      <c r="Y427" s="683">
        <v>0</v>
      </c>
      <c r="Z427" s="683">
        <v>0</v>
      </c>
      <c r="AA427" s="683">
        <v>0</v>
      </c>
      <c r="AB427" s="683">
        <v>0</v>
      </c>
      <c r="AC427" s="683">
        <v>0</v>
      </c>
      <c r="AD427" s="683">
        <v>0</v>
      </c>
      <c r="AE427" s="734"/>
      <c r="AF427" s="734"/>
      <c r="AG427" s="734"/>
      <c r="AH427" s="734"/>
      <c r="AI427" s="734"/>
      <c r="AJ427" s="734"/>
      <c r="AK427" s="734"/>
      <c r="AL427" s="734"/>
      <c r="AM427" s="734"/>
      <c r="AN427" s="734"/>
      <c r="AO427" s="734"/>
      <c r="AP427" s="734"/>
      <c r="AQ427" s="734"/>
      <c r="AR427" s="734"/>
      <c r="AS427" s="734"/>
      <c r="AT427" s="734"/>
      <c r="AU427" s="734"/>
      <c r="AV427" s="734"/>
      <c r="AW427" s="734"/>
      <c r="AX427" s="734"/>
      <c r="AY427" s="734"/>
      <c r="AZ427" s="734"/>
      <c r="BA427" s="734"/>
      <c r="BB427" s="734"/>
      <c r="BC427" s="734"/>
      <c r="BD427" s="734"/>
      <c r="BE427" s="734"/>
      <c r="BF427" s="734"/>
      <c r="BG427" s="734"/>
      <c r="BH427" s="734"/>
      <c r="BI427" s="734"/>
      <c r="BJ427" s="734"/>
      <c r="BK427" s="734"/>
      <c r="BL427" s="734"/>
      <c r="BM427" s="734"/>
      <c r="BN427" s="734"/>
      <c r="BO427" s="734"/>
      <c r="BP427" s="734"/>
      <c r="BQ427" s="734"/>
      <c r="BR427" s="734"/>
      <c r="BS427" s="734"/>
      <c r="BT427" s="734"/>
      <c r="BU427" s="734"/>
      <c r="BV427" s="734"/>
      <c r="BW427" s="734"/>
      <c r="BX427" s="734"/>
      <c r="BY427" s="734"/>
      <c r="BZ427" s="734"/>
      <c r="CA427" s="734"/>
    </row>
    <row r="428" spans="1:79" s="757" customFormat="1" hidden="1" outlineLevel="1" x14ac:dyDescent="0.35">
      <c r="A428" s="504"/>
      <c r="B428" s="504"/>
      <c r="C428" s="504"/>
      <c r="D428" s="504"/>
      <c r="E428" s="504"/>
      <c r="F428" s="672" t="s">
        <v>670</v>
      </c>
      <c r="G428" s="735"/>
      <c r="H428" s="735"/>
      <c r="I428" s="735"/>
      <c r="J428" s="735"/>
      <c r="K428" s="735"/>
      <c r="L428" s="735"/>
      <c r="M428" s="735"/>
      <c r="N428" s="735"/>
      <c r="O428" s="735"/>
      <c r="P428" s="732"/>
      <c r="Q428" s="732"/>
      <c r="R428" s="732"/>
      <c r="S428" s="683">
        <v>0</v>
      </c>
      <c r="T428" s="683">
        <v>0</v>
      </c>
      <c r="U428" s="683">
        <v>0</v>
      </c>
      <c r="V428" s="683">
        <v>0</v>
      </c>
      <c r="W428" s="683">
        <v>0</v>
      </c>
      <c r="X428" s="683">
        <v>0</v>
      </c>
      <c r="Y428" s="683">
        <v>0</v>
      </c>
      <c r="Z428" s="683">
        <v>3250</v>
      </c>
      <c r="AA428" s="683">
        <v>0</v>
      </c>
      <c r="AB428" s="683">
        <v>0</v>
      </c>
      <c r="AC428" s="683">
        <v>0</v>
      </c>
      <c r="AD428" s="683">
        <v>0</v>
      </c>
      <c r="AE428" s="734"/>
      <c r="AF428" s="734"/>
      <c r="AG428" s="734"/>
      <c r="AH428" s="734"/>
      <c r="AI428" s="734"/>
      <c r="AJ428" s="734"/>
      <c r="AK428" s="734"/>
      <c r="AL428" s="734"/>
      <c r="AM428" s="734"/>
      <c r="AN428" s="734"/>
      <c r="AO428" s="734"/>
      <c r="AP428" s="734"/>
      <c r="AQ428" s="734"/>
      <c r="AR428" s="734"/>
      <c r="AS428" s="734"/>
      <c r="AT428" s="734"/>
      <c r="AU428" s="734"/>
      <c r="AV428" s="734"/>
      <c r="AW428" s="734"/>
      <c r="AX428" s="734"/>
      <c r="AY428" s="734"/>
      <c r="AZ428" s="734"/>
      <c r="BA428" s="734"/>
      <c r="BB428" s="734"/>
      <c r="BC428" s="734"/>
      <c r="BD428" s="734"/>
      <c r="BE428" s="734"/>
      <c r="BF428" s="734"/>
      <c r="BG428" s="734"/>
      <c r="BH428" s="734"/>
      <c r="BI428" s="734"/>
      <c r="BJ428" s="734"/>
      <c r="BK428" s="734"/>
      <c r="BL428" s="734"/>
      <c r="BM428" s="734"/>
      <c r="BN428" s="734"/>
      <c r="BO428" s="734"/>
      <c r="BP428" s="734"/>
      <c r="BQ428" s="734"/>
      <c r="BR428" s="734"/>
      <c r="BS428" s="734"/>
      <c r="BT428" s="734"/>
      <c r="BU428" s="734"/>
      <c r="BV428" s="734"/>
      <c r="BW428" s="734"/>
      <c r="BX428" s="734"/>
      <c r="BY428" s="734"/>
      <c r="BZ428" s="734"/>
      <c r="CA428" s="734"/>
    </row>
    <row r="429" spans="1:79" s="452" customFormat="1" hidden="1" outlineLevel="1" x14ac:dyDescent="0.35">
      <c r="A429" s="80"/>
      <c r="B429" s="80"/>
      <c r="C429" s="80"/>
      <c r="D429" s="80"/>
      <c r="E429" s="80"/>
      <c r="F429" s="672" t="s">
        <v>625</v>
      </c>
      <c r="G429" s="735"/>
      <c r="H429" s="735"/>
      <c r="I429" s="735"/>
      <c r="J429" s="735"/>
      <c r="K429" s="735"/>
      <c r="L429" s="735"/>
      <c r="M429" s="735"/>
      <c r="N429" s="735"/>
      <c r="O429" s="735"/>
      <c r="P429" s="732"/>
      <c r="Q429" s="732"/>
      <c r="R429" s="732"/>
      <c r="S429" s="683">
        <v>24542.3</v>
      </c>
      <c r="T429" s="683">
        <v>33285.94</v>
      </c>
      <c r="U429" s="683">
        <v>22569.81</v>
      </c>
      <c r="V429" s="683">
        <v>44332.59</v>
      </c>
      <c r="W429" s="683">
        <v>38551.74</v>
      </c>
      <c r="X429" s="683">
        <v>13441.7</v>
      </c>
      <c r="Y429" s="683">
        <v>92442.89</v>
      </c>
      <c r="Z429" s="683">
        <v>60969.5</v>
      </c>
      <c r="AA429" s="683">
        <v>57772.639999999999</v>
      </c>
      <c r="AB429" s="683">
        <v>60730.34</v>
      </c>
      <c r="AC429" s="683">
        <v>67048.78</v>
      </c>
      <c r="AD429" s="683">
        <v>90162.65</v>
      </c>
      <c r="AE429" s="734"/>
      <c r="AF429" s="734"/>
      <c r="AG429" s="734"/>
      <c r="AH429" s="734"/>
      <c r="AI429" s="734"/>
      <c r="AJ429" s="734"/>
      <c r="AK429" s="734"/>
      <c r="AL429" s="734"/>
      <c r="AM429" s="734"/>
      <c r="AN429" s="734"/>
      <c r="AO429" s="734"/>
      <c r="AP429" s="734"/>
      <c r="AQ429" s="734"/>
      <c r="AR429" s="734"/>
      <c r="AS429" s="734"/>
      <c r="AT429" s="734"/>
      <c r="AU429" s="734"/>
      <c r="AV429" s="734"/>
      <c r="AW429" s="734"/>
      <c r="AX429" s="734"/>
      <c r="AY429" s="734"/>
      <c r="AZ429" s="734"/>
      <c r="BA429" s="734"/>
      <c r="BB429" s="734"/>
      <c r="BC429" s="734"/>
      <c r="BD429" s="734"/>
      <c r="BE429" s="734"/>
      <c r="BF429" s="734"/>
      <c r="BG429" s="734"/>
      <c r="BH429" s="734"/>
      <c r="BI429" s="734"/>
      <c r="BJ429" s="734"/>
      <c r="BK429" s="734"/>
      <c r="BL429" s="734"/>
      <c r="BM429" s="734"/>
      <c r="BN429" s="734"/>
      <c r="BO429" s="734"/>
      <c r="BP429" s="734"/>
      <c r="BQ429" s="734"/>
      <c r="BR429" s="734"/>
      <c r="BS429" s="734"/>
      <c r="BT429" s="734"/>
      <c r="BU429" s="734"/>
      <c r="BV429" s="734"/>
      <c r="BW429" s="734"/>
      <c r="BX429" s="734"/>
      <c r="BY429" s="734"/>
      <c r="BZ429" s="734"/>
      <c r="CA429" s="734"/>
    </row>
    <row r="430" spans="1:79" s="452" customFormat="1" hidden="1" outlineLevel="1" x14ac:dyDescent="0.35">
      <c r="A430" s="580"/>
      <c r="B430" s="580"/>
      <c r="C430" s="580"/>
      <c r="D430" s="580"/>
      <c r="E430" s="580"/>
      <c r="F430" s="672" t="s">
        <v>654</v>
      </c>
      <c r="G430" s="735"/>
      <c r="H430" s="735"/>
      <c r="I430" s="735"/>
      <c r="J430" s="735"/>
      <c r="K430" s="735"/>
      <c r="L430" s="735"/>
      <c r="M430" s="735"/>
      <c r="N430" s="735"/>
      <c r="O430" s="735"/>
      <c r="P430" s="732"/>
      <c r="Q430" s="732"/>
      <c r="R430" s="732"/>
      <c r="S430" s="683">
        <v>0</v>
      </c>
      <c r="T430" s="683">
        <v>0</v>
      </c>
      <c r="U430" s="683">
        <v>0</v>
      </c>
      <c r="V430" s="683">
        <v>0</v>
      </c>
      <c r="W430" s="683">
        <v>0</v>
      </c>
      <c r="X430" s="683">
        <v>0</v>
      </c>
      <c r="Y430" s="683">
        <v>0</v>
      </c>
      <c r="Z430" s="683">
        <v>0</v>
      </c>
      <c r="AA430" s="683">
        <v>0</v>
      </c>
      <c r="AB430" s="683">
        <v>0</v>
      </c>
      <c r="AC430" s="683">
        <v>0</v>
      </c>
      <c r="AD430" s="683">
        <v>0</v>
      </c>
      <c r="AE430" s="734"/>
      <c r="AF430" s="734"/>
      <c r="AG430" s="734"/>
      <c r="AH430" s="734"/>
      <c r="AI430" s="734"/>
      <c r="AJ430" s="734"/>
      <c r="AK430" s="734"/>
      <c r="AL430" s="734"/>
      <c r="AM430" s="734"/>
      <c r="AN430" s="734"/>
      <c r="AO430" s="734"/>
      <c r="AP430" s="734"/>
      <c r="AQ430" s="734"/>
      <c r="AR430" s="734"/>
      <c r="AS430" s="734"/>
      <c r="AT430" s="734"/>
      <c r="AU430" s="734"/>
      <c r="AV430" s="734"/>
      <c r="AW430" s="734"/>
      <c r="AX430" s="734"/>
      <c r="AY430" s="734"/>
      <c r="AZ430" s="734"/>
      <c r="BA430" s="734"/>
      <c r="BB430" s="734"/>
      <c r="BC430" s="734"/>
      <c r="BD430" s="734"/>
      <c r="BE430" s="734"/>
      <c r="BF430" s="734"/>
      <c r="BG430" s="734"/>
      <c r="BH430" s="734"/>
      <c r="BI430" s="734"/>
      <c r="BJ430" s="734"/>
      <c r="BK430" s="734"/>
      <c r="BL430" s="734"/>
      <c r="BM430" s="734"/>
      <c r="BN430" s="734"/>
      <c r="BO430" s="734"/>
      <c r="BP430" s="734"/>
      <c r="BQ430" s="734"/>
      <c r="BR430" s="734"/>
      <c r="BS430" s="734"/>
      <c r="BT430" s="734"/>
      <c r="BU430" s="734"/>
      <c r="BV430" s="734"/>
      <c r="BW430" s="734"/>
      <c r="BX430" s="734"/>
      <c r="BY430" s="734"/>
      <c r="BZ430" s="734"/>
      <c r="CA430" s="734"/>
    </row>
    <row r="431" spans="1:79" s="452" customFormat="1" hidden="1" outlineLevel="1" x14ac:dyDescent="0.35">
      <c r="A431" s="80"/>
      <c r="B431" s="80"/>
      <c r="C431" s="80"/>
      <c r="D431" s="80"/>
      <c r="E431" s="80"/>
      <c r="F431" s="672" t="s">
        <v>651</v>
      </c>
      <c r="G431" s="735"/>
      <c r="H431" s="735"/>
      <c r="I431" s="735"/>
      <c r="J431" s="735"/>
      <c r="K431" s="735"/>
      <c r="L431" s="735"/>
      <c r="M431" s="735"/>
      <c r="N431" s="735"/>
      <c r="O431" s="735"/>
      <c r="P431" s="732"/>
      <c r="Q431" s="732"/>
      <c r="R431" s="732"/>
      <c r="S431" s="700">
        <v>733</v>
      </c>
      <c r="T431" s="700">
        <v>0</v>
      </c>
      <c r="U431" s="700">
        <v>0</v>
      </c>
      <c r="V431" s="700">
        <v>0</v>
      </c>
      <c r="W431" s="700">
        <v>0</v>
      </c>
      <c r="X431" s="700">
        <v>0</v>
      </c>
      <c r="Y431" s="700">
        <v>0</v>
      </c>
      <c r="Z431" s="700">
        <v>0</v>
      </c>
      <c r="AA431" s="700">
        <v>0</v>
      </c>
      <c r="AB431" s="700">
        <v>0</v>
      </c>
      <c r="AC431" s="700">
        <v>0</v>
      </c>
      <c r="AD431" s="700">
        <v>0</v>
      </c>
      <c r="AE431" s="734"/>
      <c r="AF431" s="734"/>
      <c r="AG431" s="734"/>
      <c r="AH431" s="734"/>
      <c r="AI431" s="734"/>
      <c r="AJ431" s="734"/>
      <c r="AK431" s="734"/>
      <c r="AL431" s="734"/>
      <c r="AM431" s="734"/>
      <c r="AN431" s="734"/>
      <c r="AO431" s="734"/>
      <c r="AP431" s="734"/>
      <c r="AQ431" s="734"/>
      <c r="AR431" s="734"/>
      <c r="AS431" s="734"/>
      <c r="AT431" s="734"/>
      <c r="AU431" s="734"/>
      <c r="AV431" s="734"/>
      <c r="AW431" s="734"/>
      <c r="AX431" s="734"/>
      <c r="AY431" s="734"/>
      <c r="AZ431" s="734"/>
      <c r="BA431" s="734"/>
      <c r="BB431" s="734"/>
      <c r="BC431" s="734"/>
      <c r="BD431" s="734"/>
      <c r="BE431" s="734"/>
      <c r="BF431" s="734"/>
      <c r="BG431" s="734"/>
      <c r="BH431" s="734"/>
      <c r="BI431" s="734"/>
      <c r="BJ431" s="734"/>
      <c r="BK431" s="734"/>
      <c r="BL431" s="734"/>
      <c r="BM431" s="734"/>
      <c r="BN431" s="734"/>
      <c r="BO431" s="734"/>
      <c r="BP431" s="734"/>
      <c r="BQ431" s="734"/>
      <c r="BR431" s="734"/>
      <c r="BS431" s="734"/>
      <c r="BT431" s="734"/>
      <c r="BU431" s="734"/>
      <c r="BV431" s="734"/>
      <c r="BW431" s="734"/>
      <c r="BX431" s="734"/>
      <c r="BY431" s="734"/>
      <c r="BZ431" s="734"/>
      <c r="CA431" s="734"/>
    </row>
    <row r="432" spans="1:79" s="452" customFormat="1" hidden="1" outlineLevel="1" x14ac:dyDescent="0.35">
      <c r="A432" s="580"/>
      <c r="B432" s="580"/>
      <c r="C432" s="580"/>
      <c r="D432" s="580"/>
      <c r="E432" s="580"/>
      <c r="F432" s="672" t="s">
        <v>896</v>
      </c>
      <c r="G432" s="735"/>
      <c r="H432" s="735"/>
      <c r="I432" s="735"/>
      <c r="J432" s="735"/>
      <c r="K432" s="735"/>
      <c r="L432" s="735"/>
      <c r="M432" s="735"/>
      <c r="N432" s="735"/>
      <c r="O432" s="735"/>
      <c r="P432" s="732"/>
      <c r="Q432" s="732"/>
      <c r="R432" s="732"/>
      <c r="S432" s="700">
        <v>0</v>
      </c>
      <c r="T432" s="700">
        <v>0</v>
      </c>
      <c r="U432" s="700">
        <v>0</v>
      </c>
      <c r="V432" s="700">
        <v>0</v>
      </c>
      <c r="W432" s="700">
        <v>0</v>
      </c>
      <c r="X432" s="700">
        <v>0</v>
      </c>
      <c r="Y432" s="700">
        <v>0</v>
      </c>
      <c r="Z432" s="700">
        <v>0</v>
      </c>
      <c r="AA432" s="700">
        <v>0</v>
      </c>
      <c r="AB432" s="700">
        <v>0</v>
      </c>
      <c r="AC432" s="700">
        <v>0</v>
      </c>
      <c r="AD432" s="700">
        <v>0</v>
      </c>
      <c r="AE432" s="734"/>
      <c r="AF432" s="734"/>
      <c r="AG432" s="734"/>
      <c r="AH432" s="734"/>
      <c r="AI432" s="734"/>
      <c r="AJ432" s="734"/>
      <c r="AK432" s="734"/>
      <c r="AL432" s="734"/>
      <c r="AM432" s="734"/>
      <c r="AN432" s="734"/>
      <c r="AO432" s="734"/>
      <c r="AP432" s="734"/>
      <c r="AQ432" s="734"/>
      <c r="AR432" s="734"/>
      <c r="AS432" s="734"/>
      <c r="AT432" s="734"/>
      <c r="AU432" s="734"/>
      <c r="AV432" s="734"/>
      <c r="AW432" s="734"/>
      <c r="AX432" s="734"/>
      <c r="AY432" s="734"/>
      <c r="AZ432" s="734"/>
      <c r="BA432" s="734"/>
      <c r="BB432" s="734"/>
      <c r="BC432" s="734"/>
      <c r="BD432" s="734"/>
      <c r="BE432" s="734"/>
      <c r="BF432" s="734"/>
      <c r="BG432" s="734"/>
      <c r="BH432" s="734"/>
      <c r="BI432" s="734"/>
      <c r="BJ432" s="734"/>
      <c r="BK432" s="734"/>
      <c r="BL432" s="734"/>
      <c r="BM432" s="734"/>
      <c r="BN432" s="734"/>
      <c r="BO432" s="734"/>
      <c r="BP432" s="734"/>
      <c r="BQ432" s="734"/>
      <c r="BR432" s="734"/>
      <c r="BS432" s="734"/>
      <c r="BT432" s="734"/>
      <c r="BU432" s="734"/>
      <c r="BV432" s="734"/>
      <c r="BW432" s="734"/>
      <c r="BX432" s="734"/>
      <c r="BY432" s="734"/>
      <c r="BZ432" s="734"/>
      <c r="CA432" s="734"/>
    </row>
    <row r="433" spans="1:79" s="452" customFormat="1" hidden="1" outlineLevel="1" x14ac:dyDescent="0.35">
      <c r="A433" s="580"/>
      <c r="B433" s="580"/>
      <c r="C433" s="580"/>
      <c r="D433" s="580"/>
      <c r="E433" s="580"/>
      <c r="F433" s="672" t="s">
        <v>689</v>
      </c>
      <c r="G433" s="735"/>
      <c r="H433" s="735"/>
      <c r="I433" s="735"/>
      <c r="J433" s="735"/>
      <c r="K433" s="735"/>
      <c r="L433" s="735"/>
      <c r="M433" s="735"/>
      <c r="N433" s="735"/>
      <c r="O433" s="735"/>
      <c r="P433" s="732"/>
      <c r="Q433" s="732"/>
      <c r="R433" s="732"/>
      <c r="S433" s="683">
        <v>0</v>
      </c>
      <c r="T433" s="683">
        <v>0</v>
      </c>
      <c r="U433" s="683">
        <v>0</v>
      </c>
      <c r="V433" s="683">
        <v>0</v>
      </c>
      <c r="W433" s="683">
        <v>0</v>
      </c>
      <c r="X433" s="683">
        <v>0</v>
      </c>
      <c r="Y433" s="683">
        <v>0</v>
      </c>
      <c r="Z433" s="683">
        <v>0</v>
      </c>
      <c r="AA433" s="683">
        <v>0</v>
      </c>
      <c r="AB433" s="683">
        <v>0</v>
      </c>
      <c r="AC433" s="683">
        <v>0</v>
      </c>
      <c r="AD433" s="683">
        <v>0</v>
      </c>
      <c r="AE433" s="734"/>
      <c r="AF433" s="734"/>
      <c r="AG433" s="734"/>
      <c r="AH433" s="734"/>
      <c r="AI433" s="734"/>
      <c r="AJ433" s="734"/>
      <c r="AK433" s="734"/>
      <c r="AL433" s="734"/>
      <c r="AM433" s="734"/>
      <c r="AN433" s="734"/>
      <c r="AO433" s="734"/>
      <c r="AP433" s="734"/>
      <c r="AQ433" s="734"/>
      <c r="AR433" s="734"/>
      <c r="AS433" s="734"/>
      <c r="AT433" s="734"/>
      <c r="AU433" s="734"/>
      <c r="AV433" s="734"/>
      <c r="AW433" s="734"/>
      <c r="AX433" s="734"/>
      <c r="AY433" s="734"/>
      <c r="AZ433" s="734"/>
      <c r="BA433" s="734"/>
      <c r="BB433" s="734"/>
      <c r="BC433" s="734"/>
      <c r="BD433" s="734"/>
      <c r="BE433" s="734"/>
      <c r="BF433" s="734"/>
      <c r="BG433" s="734"/>
      <c r="BH433" s="734"/>
      <c r="BI433" s="734"/>
      <c r="BJ433" s="734"/>
      <c r="BK433" s="734"/>
      <c r="BL433" s="734"/>
      <c r="BM433" s="734"/>
      <c r="BN433" s="734"/>
      <c r="BO433" s="734"/>
      <c r="BP433" s="734"/>
      <c r="BQ433" s="734"/>
      <c r="BR433" s="734"/>
      <c r="BS433" s="734"/>
      <c r="BT433" s="734"/>
      <c r="BU433" s="734"/>
      <c r="BV433" s="734"/>
      <c r="BW433" s="734"/>
      <c r="BX433" s="734"/>
      <c r="BY433" s="734"/>
      <c r="BZ433" s="734"/>
      <c r="CA433" s="734"/>
    </row>
    <row r="434" spans="1:79" s="452" customFormat="1" hidden="1" outlineLevel="1" x14ac:dyDescent="0.35">
      <c r="A434" s="580"/>
      <c r="B434" s="580"/>
      <c r="C434" s="580"/>
      <c r="D434" s="580"/>
      <c r="E434" s="580"/>
      <c r="F434" s="672" t="s">
        <v>897</v>
      </c>
      <c r="G434" s="735">
        <v>8616</v>
      </c>
      <c r="H434" s="735">
        <v>11985.015593601727</v>
      </c>
      <c r="I434" s="735">
        <v>25778.66</v>
      </c>
      <c r="J434" s="735">
        <v>25840.583282245014</v>
      </c>
      <c r="K434" s="735">
        <v>27893.584481330963</v>
      </c>
      <c r="L434" s="735">
        <v>28219.524840046091</v>
      </c>
      <c r="M434" s="735">
        <v>31195.597507979561</v>
      </c>
      <c r="N434" s="735">
        <v>30369.671742454055</v>
      </c>
      <c r="O434" s="735">
        <v>36046.392632001538</v>
      </c>
      <c r="P434" s="732">
        <v>33708.99267757449</v>
      </c>
      <c r="Q434" s="732">
        <v>41161.854995015412</v>
      </c>
      <c r="R434" s="732">
        <v>68064.846210471078</v>
      </c>
      <c r="S434" s="683">
        <v>0</v>
      </c>
      <c r="T434" s="683">
        <v>0</v>
      </c>
      <c r="U434" s="683">
        <v>0</v>
      </c>
      <c r="V434" s="683">
        <v>0</v>
      </c>
      <c r="W434" s="683">
        <v>0</v>
      </c>
      <c r="X434" s="683">
        <v>0</v>
      </c>
      <c r="Y434" s="683">
        <v>0</v>
      </c>
      <c r="Z434" s="683">
        <v>0</v>
      </c>
      <c r="AA434" s="683">
        <v>0</v>
      </c>
      <c r="AB434" s="683">
        <v>0</v>
      </c>
      <c r="AC434" s="683">
        <v>0</v>
      </c>
      <c r="AD434" s="683">
        <v>0</v>
      </c>
      <c r="AE434" s="734"/>
      <c r="AF434" s="734"/>
      <c r="AG434" s="734"/>
      <c r="AH434" s="734"/>
      <c r="AI434" s="734"/>
      <c r="AJ434" s="734"/>
      <c r="AK434" s="734"/>
      <c r="AL434" s="734"/>
      <c r="AM434" s="734"/>
      <c r="AN434" s="734"/>
      <c r="AO434" s="734"/>
      <c r="AP434" s="734"/>
      <c r="AQ434" s="734"/>
      <c r="AR434" s="734"/>
      <c r="AS434" s="734"/>
      <c r="AT434" s="734"/>
      <c r="AU434" s="734"/>
      <c r="AV434" s="734"/>
      <c r="AW434" s="734"/>
      <c r="AX434" s="734"/>
      <c r="AY434" s="734"/>
      <c r="AZ434" s="734"/>
      <c r="BA434" s="734"/>
      <c r="BB434" s="734"/>
      <c r="BC434" s="734"/>
      <c r="BD434" s="734"/>
      <c r="BE434" s="734"/>
      <c r="BF434" s="734"/>
      <c r="BG434" s="734"/>
      <c r="BH434" s="734"/>
      <c r="BI434" s="734"/>
      <c r="BJ434" s="734"/>
      <c r="BK434" s="734"/>
      <c r="BL434" s="734"/>
      <c r="BM434" s="734"/>
      <c r="BN434" s="734"/>
      <c r="BO434" s="734"/>
      <c r="BP434" s="734"/>
      <c r="BQ434" s="734"/>
      <c r="BR434" s="734"/>
      <c r="BS434" s="734"/>
      <c r="BT434" s="734"/>
      <c r="BU434" s="734"/>
      <c r="BV434" s="734"/>
      <c r="BW434" s="734"/>
      <c r="BX434" s="734"/>
      <c r="BY434" s="734"/>
      <c r="BZ434" s="734"/>
      <c r="CA434" s="734"/>
    </row>
    <row r="435" spans="1:79" s="309" customFormat="1" hidden="1" outlineLevel="1" x14ac:dyDescent="0.35">
      <c r="A435" s="30"/>
      <c r="B435" s="30"/>
      <c r="C435" s="30"/>
      <c r="D435" s="30"/>
      <c r="E435" s="30"/>
      <c r="F435" s="675" t="s">
        <v>626</v>
      </c>
      <c r="G435" s="680">
        <f>SUM(G426:G434)</f>
        <v>8616</v>
      </c>
      <c r="H435" s="680">
        <f t="shared" ref="H435:BO435" si="142">SUM(H426:H434)</f>
        <v>11985.015593601727</v>
      </c>
      <c r="I435" s="680">
        <f t="shared" si="142"/>
        <v>25778.66</v>
      </c>
      <c r="J435" s="680">
        <f t="shared" si="142"/>
        <v>25840.583282245014</v>
      </c>
      <c r="K435" s="680">
        <f t="shared" si="142"/>
        <v>27893.584481330963</v>
      </c>
      <c r="L435" s="680">
        <f t="shared" si="142"/>
        <v>28219.524840046091</v>
      </c>
      <c r="M435" s="680">
        <f t="shared" si="142"/>
        <v>31195.597507979561</v>
      </c>
      <c r="N435" s="680">
        <f t="shared" si="142"/>
        <v>30369.671742454055</v>
      </c>
      <c r="O435" s="680">
        <f t="shared" si="142"/>
        <v>36046.392632001538</v>
      </c>
      <c r="P435" s="680">
        <f t="shared" si="142"/>
        <v>33708.99267757449</v>
      </c>
      <c r="Q435" s="680">
        <f t="shared" si="142"/>
        <v>41161.854995015412</v>
      </c>
      <c r="R435" s="680">
        <f t="shared" si="142"/>
        <v>68064.846210471078</v>
      </c>
      <c r="S435" s="696">
        <f t="shared" ref="S435:AA435" si="143">ROUND(SUM(S425:S434),5)</f>
        <v>25275.3</v>
      </c>
      <c r="T435" s="696">
        <f t="shared" si="143"/>
        <v>33285.94</v>
      </c>
      <c r="U435" s="696">
        <f t="shared" si="143"/>
        <v>22569.81</v>
      </c>
      <c r="V435" s="696">
        <f t="shared" si="143"/>
        <v>44332.59</v>
      </c>
      <c r="W435" s="696">
        <f t="shared" si="143"/>
        <v>38551.74</v>
      </c>
      <c r="X435" s="696">
        <f t="shared" si="143"/>
        <v>13441.7</v>
      </c>
      <c r="Y435" s="696">
        <f t="shared" si="143"/>
        <v>92442.89</v>
      </c>
      <c r="Z435" s="696">
        <f t="shared" si="143"/>
        <v>64219.5</v>
      </c>
      <c r="AA435" s="696">
        <f t="shared" si="143"/>
        <v>57772.639999999999</v>
      </c>
      <c r="AB435" s="696">
        <f>ROUND(SUM(AB425:AB434),5)</f>
        <v>60730.34</v>
      </c>
      <c r="AC435" s="696">
        <f>ROUND(SUM(AC425:AC434),5)</f>
        <v>67048.78</v>
      </c>
      <c r="AD435" s="696">
        <f>ROUND(SUM(AD425:AD434),5)</f>
        <v>90162.65</v>
      </c>
      <c r="AE435" s="680">
        <f t="shared" si="142"/>
        <v>0</v>
      </c>
      <c r="AF435" s="680">
        <f t="shared" si="142"/>
        <v>0</v>
      </c>
      <c r="AG435" s="680">
        <f t="shared" si="142"/>
        <v>0</v>
      </c>
      <c r="AH435" s="680">
        <f t="shared" si="142"/>
        <v>0</v>
      </c>
      <c r="AI435" s="680">
        <f t="shared" si="142"/>
        <v>0</v>
      </c>
      <c r="AJ435" s="680">
        <f t="shared" si="142"/>
        <v>0</v>
      </c>
      <c r="AK435" s="680">
        <f t="shared" si="142"/>
        <v>0</v>
      </c>
      <c r="AL435" s="680">
        <f t="shared" si="142"/>
        <v>0</v>
      </c>
      <c r="AM435" s="680">
        <f t="shared" si="142"/>
        <v>0</v>
      </c>
      <c r="AN435" s="680">
        <f t="shared" si="142"/>
        <v>0</v>
      </c>
      <c r="AO435" s="680">
        <f t="shared" si="142"/>
        <v>0</v>
      </c>
      <c r="AP435" s="680">
        <f t="shared" si="142"/>
        <v>0</v>
      </c>
      <c r="AQ435" s="680">
        <f t="shared" si="142"/>
        <v>0</v>
      </c>
      <c r="AR435" s="680">
        <f t="shared" si="142"/>
        <v>0</v>
      </c>
      <c r="AS435" s="680">
        <f t="shared" si="142"/>
        <v>0</v>
      </c>
      <c r="AT435" s="680">
        <f t="shared" si="142"/>
        <v>0</v>
      </c>
      <c r="AU435" s="680">
        <f t="shared" si="142"/>
        <v>0</v>
      </c>
      <c r="AV435" s="680">
        <f t="shared" si="142"/>
        <v>0</v>
      </c>
      <c r="AW435" s="680">
        <f t="shared" si="142"/>
        <v>0</v>
      </c>
      <c r="AX435" s="680">
        <f t="shared" si="142"/>
        <v>0</v>
      </c>
      <c r="AY435" s="680">
        <f t="shared" si="142"/>
        <v>0</v>
      </c>
      <c r="AZ435" s="680">
        <f t="shared" si="142"/>
        <v>0</v>
      </c>
      <c r="BA435" s="680">
        <f t="shared" si="142"/>
        <v>0</v>
      </c>
      <c r="BB435" s="680">
        <f t="shared" si="142"/>
        <v>0</v>
      </c>
      <c r="BC435" s="680">
        <f t="shared" si="142"/>
        <v>0</v>
      </c>
      <c r="BD435" s="680">
        <f t="shared" si="142"/>
        <v>0</v>
      </c>
      <c r="BE435" s="680">
        <f t="shared" si="142"/>
        <v>0</v>
      </c>
      <c r="BF435" s="680">
        <f t="shared" si="142"/>
        <v>0</v>
      </c>
      <c r="BG435" s="680">
        <f t="shared" si="142"/>
        <v>0</v>
      </c>
      <c r="BH435" s="680">
        <f t="shared" si="142"/>
        <v>0</v>
      </c>
      <c r="BI435" s="680">
        <f t="shared" si="142"/>
        <v>0</v>
      </c>
      <c r="BJ435" s="680">
        <f t="shared" si="142"/>
        <v>0</v>
      </c>
      <c r="BK435" s="680">
        <f t="shared" si="142"/>
        <v>0</v>
      </c>
      <c r="BL435" s="680">
        <f t="shared" si="142"/>
        <v>0</v>
      </c>
      <c r="BM435" s="680">
        <f t="shared" si="142"/>
        <v>0</v>
      </c>
      <c r="BN435" s="680">
        <f t="shared" si="142"/>
        <v>0</v>
      </c>
      <c r="BO435" s="680">
        <f t="shared" si="142"/>
        <v>0</v>
      </c>
      <c r="BP435" s="680">
        <f t="shared" ref="BP435:CA435" si="144">SUM(BP426:BP434)</f>
        <v>0</v>
      </c>
      <c r="BQ435" s="680">
        <f t="shared" si="144"/>
        <v>0</v>
      </c>
      <c r="BR435" s="680">
        <f t="shared" si="144"/>
        <v>0</v>
      </c>
      <c r="BS435" s="680">
        <f t="shared" si="144"/>
        <v>0</v>
      </c>
      <c r="BT435" s="680">
        <f t="shared" si="144"/>
        <v>0</v>
      </c>
      <c r="BU435" s="680">
        <f t="shared" si="144"/>
        <v>0</v>
      </c>
      <c r="BV435" s="680">
        <f t="shared" si="144"/>
        <v>0</v>
      </c>
      <c r="BW435" s="680">
        <f t="shared" si="144"/>
        <v>0</v>
      </c>
      <c r="BX435" s="680">
        <f t="shared" si="144"/>
        <v>0</v>
      </c>
      <c r="BY435" s="680">
        <f t="shared" si="144"/>
        <v>0</v>
      </c>
      <c r="BZ435" s="680">
        <f t="shared" si="144"/>
        <v>0</v>
      </c>
      <c r="CA435" s="680">
        <f t="shared" si="144"/>
        <v>0</v>
      </c>
    </row>
    <row r="436" spans="1:79" s="716" customFormat="1" hidden="1" outlineLevel="1" x14ac:dyDescent="0.35">
      <c r="F436" s="707" t="s">
        <v>627</v>
      </c>
      <c r="G436" s="750"/>
      <c r="H436" s="750"/>
      <c r="I436" s="750"/>
      <c r="J436" s="750"/>
      <c r="K436" s="750"/>
      <c r="L436" s="750"/>
      <c r="M436" s="750"/>
      <c r="N436" s="750"/>
      <c r="O436" s="750"/>
      <c r="P436" s="751"/>
      <c r="Q436" s="751"/>
      <c r="R436" s="751"/>
      <c r="S436" s="724"/>
      <c r="T436" s="724"/>
      <c r="U436" s="724"/>
      <c r="V436" s="724"/>
      <c r="W436" s="724"/>
      <c r="X436" s="724"/>
      <c r="Y436" s="724"/>
      <c r="Z436" s="724"/>
      <c r="AA436" s="724"/>
      <c r="AB436" s="724"/>
      <c r="AC436" s="724"/>
      <c r="AD436" s="724"/>
      <c r="AE436" s="753"/>
      <c r="AF436" s="753"/>
      <c r="AG436" s="753"/>
      <c r="AH436" s="753"/>
      <c r="AI436" s="753"/>
      <c r="AJ436" s="753"/>
      <c r="AK436" s="753"/>
      <c r="AL436" s="753"/>
      <c r="AM436" s="753"/>
      <c r="AN436" s="753"/>
      <c r="AO436" s="753"/>
      <c r="AP436" s="753"/>
      <c r="AQ436" s="753"/>
      <c r="AR436" s="753"/>
      <c r="AS436" s="753"/>
      <c r="AT436" s="753"/>
      <c r="AU436" s="753"/>
      <c r="AV436" s="753"/>
      <c r="AW436" s="753"/>
      <c r="AX436" s="753"/>
      <c r="AY436" s="753"/>
      <c r="AZ436" s="753"/>
      <c r="BA436" s="753"/>
      <c r="BB436" s="753"/>
      <c r="BC436" s="753"/>
      <c r="BD436" s="753"/>
      <c r="BE436" s="753"/>
      <c r="BF436" s="753"/>
      <c r="BG436" s="753"/>
      <c r="BH436" s="753"/>
      <c r="BI436" s="753"/>
      <c r="BJ436" s="753"/>
      <c r="BK436" s="753"/>
      <c r="BL436" s="753"/>
      <c r="BM436" s="753"/>
      <c r="BN436" s="753"/>
      <c r="BO436" s="753"/>
      <c r="BP436" s="753"/>
      <c r="BQ436" s="753"/>
      <c r="BR436" s="753"/>
      <c r="BS436" s="753"/>
      <c r="BT436" s="753"/>
      <c r="BU436" s="753"/>
      <c r="BV436" s="753"/>
      <c r="BW436" s="753"/>
      <c r="BX436" s="753"/>
      <c r="BY436" s="753"/>
      <c r="BZ436" s="753"/>
      <c r="CA436" s="753"/>
    </row>
    <row r="437" spans="1:79" s="309" customFormat="1" hidden="1" outlineLevel="1" x14ac:dyDescent="0.35">
      <c r="A437" s="726"/>
      <c r="B437" s="726"/>
      <c r="C437" s="726"/>
      <c r="D437" s="726"/>
      <c r="E437" s="726"/>
      <c r="F437" s="672" t="s">
        <v>923</v>
      </c>
      <c r="G437" s="699"/>
      <c r="H437" s="699"/>
      <c r="I437" s="699"/>
      <c r="J437" s="699"/>
      <c r="K437" s="699"/>
      <c r="L437" s="699"/>
      <c r="M437" s="699"/>
      <c r="N437" s="699"/>
      <c r="O437" s="699"/>
      <c r="P437" s="699"/>
      <c r="Q437" s="699"/>
      <c r="R437" s="699"/>
      <c r="S437" s="700"/>
      <c r="T437" s="700"/>
      <c r="U437" s="700"/>
      <c r="V437" s="700"/>
      <c r="W437" s="700"/>
      <c r="X437" s="700"/>
      <c r="Y437" s="700"/>
      <c r="Z437" s="700"/>
      <c r="AA437" s="700"/>
      <c r="AB437" s="700">
        <v>0</v>
      </c>
      <c r="AC437" s="700">
        <v>0</v>
      </c>
      <c r="AD437" s="700">
        <v>0</v>
      </c>
      <c r="AE437" s="700"/>
      <c r="AF437" s="700"/>
      <c r="AG437" s="700"/>
      <c r="AH437" s="700"/>
      <c r="AI437" s="700"/>
      <c r="AJ437" s="700"/>
      <c r="AK437" s="700"/>
      <c r="AL437" s="700"/>
      <c r="AM437" s="700"/>
      <c r="AN437" s="700"/>
      <c r="AO437" s="700"/>
      <c r="AP437" s="700"/>
      <c r="AQ437" s="700"/>
      <c r="AR437" s="700"/>
      <c r="AS437" s="700"/>
      <c r="AT437" s="700"/>
      <c r="AU437" s="700"/>
      <c r="AV437" s="700"/>
      <c r="AW437" s="700"/>
      <c r="AX437" s="700"/>
      <c r="AY437" s="700"/>
      <c r="AZ437" s="700"/>
      <c r="BA437" s="700"/>
      <c r="BB437" s="700"/>
      <c r="BC437" s="700"/>
      <c r="BD437" s="700"/>
      <c r="BE437" s="700"/>
      <c r="BF437" s="700"/>
      <c r="BG437" s="700"/>
      <c r="BH437" s="700"/>
      <c r="BI437" s="700"/>
      <c r="BJ437" s="700"/>
      <c r="BK437" s="700"/>
      <c r="BL437" s="700"/>
      <c r="BM437" s="700"/>
      <c r="BN437" s="700"/>
      <c r="BO437" s="700"/>
      <c r="BP437" s="700"/>
      <c r="BQ437" s="700"/>
      <c r="BR437" s="700"/>
      <c r="BS437" s="700"/>
      <c r="BT437" s="700"/>
      <c r="BU437" s="700"/>
      <c r="BV437" s="700"/>
      <c r="BW437" s="700"/>
      <c r="BX437" s="700"/>
      <c r="BY437" s="700"/>
      <c r="BZ437" s="700"/>
      <c r="CA437" s="700"/>
    </row>
    <row r="438" spans="1:79" s="757" customFormat="1" hidden="1" outlineLevel="1" x14ac:dyDescent="0.35">
      <c r="A438" s="504"/>
      <c r="B438" s="504"/>
      <c r="C438" s="504"/>
      <c r="D438" s="504"/>
      <c r="E438" s="504"/>
      <c r="F438" s="672" t="s">
        <v>671</v>
      </c>
      <c r="G438" s="735"/>
      <c r="H438" s="735"/>
      <c r="I438" s="735"/>
      <c r="J438" s="735"/>
      <c r="K438" s="735"/>
      <c r="L438" s="735"/>
      <c r="M438" s="735"/>
      <c r="N438" s="735"/>
      <c r="O438" s="735"/>
      <c r="P438" s="732"/>
      <c r="Q438" s="732"/>
      <c r="R438" s="732"/>
      <c r="S438" s="700">
        <v>0</v>
      </c>
      <c r="T438" s="700">
        <v>0</v>
      </c>
      <c r="U438" s="700">
        <v>0</v>
      </c>
      <c r="V438" s="700">
        <v>0</v>
      </c>
      <c r="W438" s="700">
        <v>0</v>
      </c>
      <c r="X438" s="700">
        <v>0</v>
      </c>
      <c r="Y438" s="700">
        <v>0</v>
      </c>
      <c r="Z438" s="700">
        <v>0</v>
      </c>
      <c r="AA438" s="700">
        <v>0</v>
      </c>
      <c r="AB438" s="700">
        <v>0</v>
      </c>
      <c r="AC438" s="700">
        <v>0</v>
      </c>
      <c r="AD438" s="700">
        <v>0</v>
      </c>
      <c r="AE438" s="734"/>
      <c r="AF438" s="734"/>
      <c r="AG438" s="734"/>
      <c r="AH438" s="734"/>
      <c r="AI438" s="734"/>
      <c r="AJ438" s="734"/>
      <c r="AK438" s="734"/>
      <c r="AL438" s="734"/>
      <c r="AM438" s="734"/>
      <c r="AN438" s="734"/>
      <c r="AO438" s="734"/>
      <c r="AP438" s="734"/>
      <c r="AQ438" s="734"/>
      <c r="AR438" s="734"/>
      <c r="AS438" s="734"/>
      <c r="AT438" s="734"/>
      <c r="AU438" s="734"/>
      <c r="AV438" s="734"/>
      <c r="AW438" s="734"/>
      <c r="AX438" s="734"/>
      <c r="AY438" s="734"/>
      <c r="AZ438" s="734"/>
      <c r="BA438" s="734"/>
      <c r="BB438" s="734"/>
      <c r="BC438" s="734"/>
      <c r="BD438" s="734"/>
      <c r="BE438" s="734"/>
      <c r="BF438" s="734"/>
      <c r="BG438" s="734"/>
      <c r="BH438" s="734"/>
      <c r="BI438" s="734"/>
      <c r="BJ438" s="734"/>
      <c r="BK438" s="734"/>
      <c r="BL438" s="734"/>
      <c r="BM438" s="734"/>
      <c r="BN438" s="734"/>
      <c r="BO438" s="734"/>
      <c r="BP438" s="734"/>
      <c r="BQ438" s="734"/>
      <c r="BR438" s="734"/>
      <c r="BS438" s="734"/>
      <c r="BT438" s="734"/>
      <c r="BU438" s="734"/>
      <c r="BV438" s="734"/>
      <c r="BW438" s="734"/>
      <c r="BX438" s="734"/>
      <c r="BY438" s="734"/>
      <c r="BZ438" s="734"/>
      <c r="CA438" s="734"/>
    </row>
    <row r="439" spans="1:79" s="757" customFormat="1" hidden="1" outlineLevel="1" x14ac:dyDescent="0.35">
      <c r="A439" s="504"/>
      <c r="B439" s="504"/>
      <c r="C439" s="504"/>
      <c r="D439" s="504"/>
      <c r="E439" s="504"/>
      <c r="F439" s="672" t="s">
        <v>767</v>
      </c>
      <c r="G439" s="735"/>
      <c r="H439" s="735"/>
      <c r="I439" s="735"/>
      <c r="J439" s="735"/>
      <c r="K439" s="735"/>
      <c r="L439" s="735"/>
      <c r="M439" s="735"/>
      <c r="N439" s="735"/>
      <c r="O439" s="735"/>
      <c r="P439" s="732"/>
      <c r="Q439" s="732"/>
      <c r="R439" s="732"/>
      <c r="S439" s="700">
        <v>0</v>
      </c>
      <c r="T439" s="700">
        <v>0</v>
      </c>
      <c r="U439" s="700">
        <v>0</v>
      </c>
      <c r="V439" s="700">
        <v>0</v>
      </c>
      <c r="W439" s="700">
        <v>0</v>
      </c>
      <c r="X439" s="700">
        <v>0</v>
      </c>
      <c r="Y439" s="700">
        <v>-600</v>
      </c>
      <c r="Z439" s="700">
        <v>600</v>
      </c>
      <c r="AA439" s="700">
        <v>600</v>
      </c>
      <c r="AB439" s="700">
        <v>0</v>
      </c>
      <c r="AC439" s="700">
        <v>0</v>
      </c>
      <c r="AD439" s="700">
        <v>0</v>
      </c>
      <c r="AE439" s="734"/>
      <c r="AF439" s="734"/>
      <c r="AG439" s="734"/>
      <c r="AH439" s="734"/>
      <c r="AI439" s="734"/>
      <c r="AJ439" s="734"/>
      <c r="AK439" s="734"/>
      <c r="AL439" s="734"/>
      <c r="AM439" s="734"/>
      <c r="AN439" s="734"/>
      <c r="AO439" s="734"/>
      <c r="AP439" s="734"/>
      <c r="AQ439" s="734"/>
      <c r="AR439" s="734"/>
      <c r="AS439" s="734"/>
      <c r="AT439" s="734"/>
      <c r="AU439" s="734"/>
      <c r="AV439" s="734"/>
      <c r="AW439" s="734"/>
      <c r="AX439" s="734"/>
      <c r="AY439" s="734"/>
      <c r="AZ439" s="734"/>
      <c r="BA439" s="734"/>
      <c r="BB439" s="734"/>
      <c r="BC439" s="734"/>
      <c r="BD439" s="734"/>
      <c r="BE439" s="734"/>
      <c r="BF439" s="734"/>
      <c r="BG439" s="734"/>
      <c r="BH439" s="734"/>
      <c r="BI439" s="734"/>
      <c r="BJ439" s="734"/>
      <c r="BK439" s="734"/>
      <c r="BL439" s="734"/>
      <c r="BM439" s="734"/>
      <c r="BN439" s="734"/>
      <c r="BO439" s="734"/>
      <c r="BP439" s="734"/>
      <c r="BQ439" s="734"/>
      <c r="BR439" s="734"/>
      <c r="BS439" s="734"/>
      <c r="BT439" s="734"/>
      <c r="BU439" s="734"/>
      <c r="BV439" s="734"/>
      <c r="BW439" s="734"/>
      <c r="BX439" s="734"/>
      <c r="BY439" s="734"/>
      <c r="BZ439" s="734"/>
      <c r="CA439" s="734"/>
    </row>
    <row r="440" spans="1:79" s="758" customFormat="1" hidden="1" outlineLevel="1" x14ac:dyDescent="0.35">
      <c r="A440" s="498"/>
      <c r="B440" s="498"/>
      <c r="C440" s="498"/>
      <c r="D440" s="498"/>
      <c r="E440" s="498"/>
      <c r="F440" s="672" t="s">
        <v>628</v>
      </c>
      <c r="G440" s="740"/>
      <c r="H440" s="740"/>
      <c r="I440" s="740">
        <v>9</v>
      </c>
      <c r="J440" s="740"/>
      <c r="K440" s="740"/>
      <c r="L440" s="740"/>
      <c r="M440" s="740"/>
      <c r="N440" s="740"/>
      <c r="O440" s="740"/>
      <c r="P440" s="741"/>
      <c r="Q440" s="741"/>
      <c r="R440" s="741"/>
      <c r="S440" s="700">
        <v>43.14</v>
      </c>
      <c r="T440" s="700">
        <v>0</v>
      </c>
      <c r="U440" s="700">
        <v>0</v>
      </c>
      <c r="V440" s="700">
        <v>28</v>
      </c>
      <c r="W440" s="700">
        <v>0</v>
      </c>
      <c r="X440" s="700">
        <v>191.16</v>
      </c>
      <c r="Y440" s="700">
        <v>175</v>
      </c>
      <c r="Z440" s="700">
        <v>257</v>
      </c>
      <c r="AA440" s="700">
        <v>144.5</v>
      </c>
      <c r="AB440" s="700">
        <v>0</v>
      </c>
      <c r="AC440" s="700">
        <v>0</v>
      </c>
      <c r="AD440" s="700">
        <v>0</v>
      </c>
      <c r="AE440" s="743"/>
      <c r="AF440" s="743"/>
      <c r="AG440" s="743"/>
      <c r="AH440" s="743"/>
      <c r="AI440" s="743"/>
      <c r="AJ440" s="743"/>
      <c r="AK440" s="743"/>
      <c r="AL440" s="743"/>
      <c r="AM440" s="743"/>
      <c r="AN440" s="743"/>
      <c r="AO440" s="743"/>
      <c r="AP440" s="743"/>
      <c r="AQ440" s="743"/>
      <c r="AR440" s="743"/>
      <c r="AS440" s="743"/>
      <c r="AT440" s="743"/>
      <c r="AU440" s="743"/>
      <c r="AV440" s="743"/>
      <c r="AW440" s="743"/>
      <c r="AX440" s="743"/>
      <c r="AY440" s="743"/>
      <c r="AZ440" s="743"/>
      <c r="BA440" s="743"/>
      <c r="BB440" s="743"/>
      <c r="BC440" s="743"/>
      <c r="BD440" s="743"/>
      <c r="BE440" s="743"/>
      <c r="BF440" s="743"/>
      <c r="BG440" s="743"/>
      <c r="BH440" s="743"/>
      <c r="BI440" s="743"/>
      <c r="BJ440" s="743"/>
      <c r="BK440" s="743"/>
      <c r="BL440" s="743"/>
      <c r="BM440" s="743"/>
      <c r="BN440" s="743"/>
      <c r="BO440" s="743"/>
      <c r="BP440" s="743"/>
      <c r="BQ440" s="743"/>
      <c r="BR440" s="743"/>
      <c r="BS440" s="743"/>
      <c r="BT440" s="743"/>
      <c r="BU440" s="743"/>
      <c r="BV440" s="743"/>
      <c r="BW440" s="743"/>
      <c r="BX440" s="743"/>
      <c r="BY440" s="743"/>
      <c r="BZ440" s="743"/>
      <c r="CA440" s="743"/>
    </row>
    <row r="441" spans="1:79" s="758" customFormat="1" hidden="1" outlineLevel="1" x14ac:dyDescent="0.35">
      <c r="A441" s="583"/>
      <c r="B441" s="583"/>
      <c r="C441" s="583"/>
      <c r="D441" s="583"/>
      <c r="E441" s="583"/>
      <c r="F441" s="672" t="s">
        <v>655</v>
      </c>
      <c r="G441" s="740"/>
      <c r="H441" s="740"/>
      <c r="I441" s="740"/>
      <c r="J441" s="740"/>
      <c r="K441" s="740"/>
      <c r="L441" s="740"/>
      <c r="M441" s="740"/>
      <c r="N441" s="740"/>
      <c r="O441" s="740"/>
      <c r="P441" s="741"/>
      <c r="Q441" s="741"/>
      <c r="R441" s="741"/>
      <c r="S441" s="700">
        <v>0</v>
      </c>
      <c r="T441" s="700">
        <v>0</v>
      </c>
      <c r="U441" s="700">
        <v>0</v>
      </c>
      <c r="V441" s="700">
        <v>0</v>
      </c>
      <c r="W441" s="700">
        <v>0</v>
      </c>
      <c r="X441" s="700">
        <v>0</v>
      </c>
      <c r="Y441" s="700">
        <v>0</v>
      </c>
      <c r="Z441" s="700">
        <v>0</v>
      </c>
      <c r="AA441" s="700">
        <v>0</v>
      </c>
      <c r="AB441" s="700">
        <v>0</v>
      </c>
      <c r="AC441" s="700">
        <v>0</v>
      </c>
      <c r="AD441" s="700">
        <v>0</v>
      </c>
      <c r="AE441" s="743"/>
      <c r="AF441" s="743"/>
      <c r="AG441" s="743"/>
      <c r="AH441" s="743"/>
      <c r="AI441" s="743"/>
      <c r="AJ441" s="743"/>
      <c r="AK441" s="743"/>
      <c r="AL441" s="743"/>
      <c r="AM441" s="743"/>
      <c r="AN441" s="743"/>
      <c r="AO441" s="743"/>
      <c r="AP441" s="743"/>
      <c r="AQ441" s="743"/>
      <c r="AR441" s="743"/>
      <c r="AS441" s="743"/>
      <c r="AT441" s="743"/>
      <c r="AU441" s="743"/>
      <c r="AV441" s="743"/>
      <c r="AW441" s="743"/>
      <c r="AX441" s="743"/>
      <c r="AY441" s="743"/>
      <c r="AZ441" s="743"/>
      <c r="BA441" s="743"/>
      <c r="BB441" s="743"/>
      <c r="BC441" s="743"/>
      <c r="BD441" s="743"/>
      <c r="BE441" s="743"/>
      <c r="BF441" s="743"/>
      <c r="BG441" s="743"/>
      <c r="BH441" s="743"/>
      <c r="BI441" s="743"/>
      <c r="BJ441" s="743"/>
      <c r="BK441" s="743"/>
      <c r="BL441" s="743"/>
      <c r="BM441" s="743"/>
      <c r="BN441" s="743"/>
      <c r="BO441" s="743"/>
      <c r="BP441" s="743"/>
      <c r="BQ441" s="743"/>
      <c r="BR441" s="743"/>
      <c r="BS441" s="743"/>
      <c r="BT441" s="743"/>
      <c r="BU441" s="743"/>
      <c r="BV441" s="743"/>
      <c r="BW441" s="743"/>
      <c r="BX441" s="743"/>
      <c r="BY441" s="743"/>
      <c r="BZ441" s="743"/>
      <c r="CA441" s="743"/>
    </row>
    <row r="442" spans="1:79" s="758" customFormat="1" hidden="1" outlineLevel="1" x14ac:dyDescent="0.35">
      <c r="A442" s="583"/>
      <c r="B442" s="583"/>
      <c r="C442" s="583"/>
      <c r="D442" s="583"/>
      <c r="E442" s="583"/>
      <c r="F442" s="672" t="s">
        <v>672</v>
      </c>
      <c r="G442" s="740"/>
      <c r="H442" s="740"/>
      <c r="I442" s="740"/>
      <c r="J442" s="740"/>
      <c r="K442" s="740"/>
      <c r="L442" s="740"/>
      <c r="M442" s="740"/>
      <c r="N442" s="740"/>
      <c r="O442" s="740"/>
      <c r="P442" s="741"/>
      <c r="Q442" s="741"/>
      <c r="R442" s="741"/>
      <c r="S442" s="700">
        <v>0</v>
      </c>
      <c r="T442" s="700">
        <v>0</v>
      </c>
      <c r="U442" s="700">
        <v>0</v>
      </c>
      <c r="V442" s="700">
        <v>0</v>
      </c>
      <c r="W442" s="700">
        <v>0</v>
      </c>
      <c r="X442" s="700">
        <v>0</v>
      </c>
      <c r="Y442" s="700">
        <v>0</v>
      </c>
      <c r="Z442" s="700">
        <v>0</v>
      </c>
      <c r="AA442" s="700">
        <v>0</v>
      </c>
      <c r="AB442" s="700">
        <v>0</v>
      </c>
      <c r="AC442" s="700">
        <v>0</v>
      </c>
      <c r="AD442" s="700">
        <v>0</v>
      </c>
      <c r="AE442" s="743"/>
      <c r="AF442" s="743"/>
      <c r="AG442" s="743"/>
      <c r="AH442" s="743"/>
      <c r="AI442" s="743"/>
      <c r="AJ442" s="743"/>
      <c r="AK442" s="743"/>
      <c r="AL442" s="743"/>
      <c r="AM442" s="743"/>
      <c r="AN442" s="743"/>
      <c r="AO442" s="743"/>
      <c r="AP442" s="743"/>
      <c r="AQ442" s="743"/>
      <c r="AR442" s="743"/>
      <c r="AS442" s="743"/>
      <c r="AT442" s="743"/>
      <c r="AU442" s="743"/>
      <c r="AV442" s="743"/>
      <c r="AW442" s="743"/>
      <c r="AX442" s="743"/>
      <c r="AY442" s="743"/>
      <c r="AZ442" s="743"/>
      <c r="BA442" s="743"/>
      <c r="BB442" s="743"/>
      <c r="BC442" s="743"/>
      <c r="BD442" s="743"/>
      <c r="BE442" s="743"/>
      <c r="BF442" s="743"/>
      <c r="BG442" s="743"/>
      <c r="BH442" s="743"/>
      <c r="BI442" s="743"/>
      <c r="BJ442" s="743"/>
      <c r="BK442" s="743"/>
      <c r="BL442" s="743"/>
      <c r="BM442" s="743"/>
      <c r="BN442" s="743"/>
      <c r="BO442" s="743"/>
      <c r="BP442" s="743"/>
      <c r="BQ442" s="743"/>
      <c r="BR442" s="743"/>
      <c r="BS442" s="743"/>
      <c r="BT442" s="743"/>
      <c r="BU442" s="743"/>
      <c r="BV442" s="743"/>
      <c r="BW442" s="743"/>
      <c r="BX442" s="743"/>
      <c r="BY442" s="743"/>
      <c r="BZ442" s="743"/>
      <c r="CA442" s="743"/>
    </row>
    <row r="443" spans="1:79" s="309" customFormat="1" hidden="1" outlineLevel="1" x14ac:dyDescent="0.35">
      <c r="A443" s="30"/>
      <c r="B443" s="30"/>
      <c r="C443" s="30"/>
      <c r="D443" s="30"/>
      <c r="E443" s="30"/>
      <c r="F443" s="673" t="s">
        <v>629</v>
      </c>
      <c r="G443" s="680">
        <f>SUM(G438:G442)</f>
        <v>0</v>
      </c>
      <c r="H443" s="680">
        <f t="shared" ref="H443:BO443" si="145">SUM(H438:H442)</f>
        <v>0</v>
      </c>
      <c r="I443" s="680">
        <f t="shared" si="145"/>
        <v>9</v>
      </c>
      <c r="J443" s="680">
        <f t="shared" si="145"/>
        <v>0</v>
      </c>
      <c r="K443" s="680">
        <f t="shared" si="145"/>
        <v>0</v>
      </c>
      <c r="L443" s="680">
        <f t="shared" si="145"/>
        <v>0</v>
      </c>
      <c r="M443" s="680">
        <f t="shared" si="145"/>
        <v>0</v>
      </c>
      <c r="N443" s="680">
        <f t="shared" si="145"/>
        <v>0</v>
      </c>
      <c r="O443" s="680">
        <f t="shared" si="145"/>
        <v>0</v>
      </c>
      <c r="P443" s="680">
        <f t="shared" si="145"/>
        <v>0</v>
      </c>
      <c r="Q443" s="680">
        <f t="shared" si="145"/>
        <v>0</v>
      </c>
      <c r="R443" s="680">
        <f t="shared" si="145"/>
        <v>0</v>
      </c>
      <c r="S443" s="696">
        <f t="shared" ref="S443:AB443" si="146">ROUND(SUM(S436:S442),5)</f>
        <v>43.14</v>
      </c>
      <c r="T443" s="696">
        <f t="shared" si="146"/>
        <v>0</v>
      </c>
      <c r="U443" s="696">
        <f t="shared" si="146"/>
        <v>0</v>
      </c>
      <c r="V443" s="696">
        <f t="shared" si="146"/>
        <v>28</v>
      </c>
      <c r="W443" s="696">
        <f t="shared" si="146"/>
        <v>0</v>
      </c>
      <c r="X443" s="696">
        <f t="shared" si="146"/>
        <v>191.16</v>
      </c>
      <c r="Y443" s="696">
        <f t="shared" si="146"/>
        <v>-425</v>
      </c>
      <c r="Z443" s="696">
        <f t="shared" si="146"/>
        <v>857</v>
      </c>
      <c r="AA443" s="696">
        <f t="shared" si="146"/>
        <v>744.5</v>
      </c>
      <c r="AB443" s="696">
        <f t="shared" si="146"/>
        <v>0</v>
      </c>
      <c r="AC443" s="696">
        <f>ROUND(SUM(AC436:AC442),5)</f>
        <v>0</v>
      </c>
      <c r="AD443" s="696">
        <f>ROUND(SUM(AD436:AD442),5)</f>
        <v>0</v>
      </c>
      <c r="AE443" s="680">
        <f t="shared" si="145"/>
        <v>0</v>
      </c>
      <c r="AF443" s="680">
        <f t="shared" si="145"/>
        <v>0</v>
      </c>
      <c r="AG443" s="680">
        <f t="shared" si="145"/>
        <v>0</v>
      </c>
      <c r="AH443" s="680">
        <f t="shared" si="145"/>
        <v>0</v>
      </c>
      <c r="AI443" s="680">
        <f t="shared" si="145"/>
        <v>0</v>
      </c>
      <c r="AJ443" s="680">
        <f t="shared" si="145"/>
        <v>0</v>
      </c>
      <c r="AK443" s="680">
        <f t="shared" si="145"/>
        <v>0</v>
      </c>
      <c r="AL443" s="680">
        <f t="shared" si="145"/>
        <v>0</v>
      </c>
      <c r="AM443" s="680">
        <f t="shared" si="145"/>
        <v>0</v>
      </c>
      <c r="AN443" s="680">
        <f t="shared" si="145"/>
        <v>0</v>
      </c>
      <c r="AO443" s="680">
        <f t="shared" si="145"/>
        <v>0</v>
      </c>
      <c r="AP443" s="680">
        <f t="shared" si="145"/>
        <v>0</v>
      </c>
      <c r="AQ443" s="680">
        <f t="shared" si="145"/>
        <v>0</v>
      </c>
      <c r="AR443" s="680">
        <f t="shared" si="145"/>
        <v>0</v>
      </c>
      <c r="AS443" s="680">
        <f t="shared" si="145"/>
        <v>0</v>
      </c>
      <c r="AT443" s="680">
        <f t="shared" si="145"/>
        <v>0</v>
      </c>
      <c r="AU443" s="680">
        <f t="shared" si="145"/>
        <v>0</v>
      </c>
      <c r="AV443" s="680">
        <f t="shared" si="145"/>
        <v>0</v>
      </c>
      <c r="AW443" s="680">
        <f t="shared" si="145"/>
        <v>0</v>
      </c>
      <c r="AX443" s="680">
        <f t="shared" si="145"/>
        <v>0</v>
      </c>
      <c r="AY443" s="680">
        <f t="shared" si="145"/>
        <v>0</v>
      </c>
      <c r="AZ443" s="680">
        <f t="shared" si="145"/>
        <v>0</v>
      </c>
      <c r="BA443" s="680">
        <f t="shared" si="145"/>
        <v>0</v>
      </c>
      <c r="BB443" s="680">
        <f t="shared" si="145"/>
        <v>0</v>
      </c>
      <c r="BC443" s="680">
        <f t="shared" si="145"/>
        <v>0</v>
      </c>
      <c r="BD443" s="680">
        <f t="shared" si="145"/>
        <v>0</v>
      </c>
      <c r="BE443" s="680">
        <f t="shared" si="145"/>
        <v>0</v>
      </c>
      <c r="BF443" s="680">
        <f t="shared" si="145"/>
        <v>0</v>
      </c>
      <c r="BG443" s="680">
        <f t="shared" si="145"/>
        <v>0</v>
      </c>
      <c r="BH443" s="680">
        <f t="shared" si="145"/>
        <v>0</v>
      </c>
      <c r="BI443" s="680">
        <f t="shared" si="145"/>
        <v>0</v>
      </c>
      <c r="BJ443" s="680">
        <f t="shared" si="145"/>
        <v>0</v>
      </c>
      <c r="BK443" s="680">
        <f t="shared" si="145"/>
        <v>0</v>
      </c>
      <c r="BL443" s="680">
        <f t="shared" si="145"/>
        <v>0</v>
      </c>
      <c r="BM443" s="680">
        <f t="shared" si="145"/>
        <v>0</v>
      </c>
      <c r="BN443" s="680">
        <f t="shared" si="145"/>
        <v>0</v>
      </c>
      <c r="BO443" s="680">
        <f t="shared" si="145"/>
        <v>0</v>
      </c>
      <c r="BP443" s="680">
        <f t="shared" ref="BP443:CA443" si="147">SUM(BP438:BP442)</f>
        <v>0</v>
      </c>
      <c r="BQ443" s="680">
        <f t="shared" si="147"/>
        <v>0</v>
      </c>
      <c r="BR443" s="680">
        <f t="shared" si="147"/>
        <v>0</v>
      </c>
      <c r="BS443" s="680">
        <f t="shared" si="147"/>
        <v>0</v>
      </c>
      <c r="BT443" s="680">
        <f t="shared" si="147"/>
        <v>0</v>
      </c>
      <c r="BU443" s="680">
        <f t="shared" si="147"/>
        <v>0</v>
      </c>
      <c r="BV443" s="680">
        <f t="shared" si="147"/>
        <v>0</v>
      </c>
      <c r="BW443" s="680">
        <f t="shared" si="147"/>
        <v>0</v>
      </c>
      <c r="BX443" s="680">
        <f t="shared" si="147"/>
        <v>0</v>
      </c>
      <c r="BY443" s="680">
        <f t="shared" si="147"/>
        <v>0</v>
      </c>
      <c r="BZ443" s="680">
        <f t="shared" si="147"/>
        <v>0</v>
      </c>
      <c r="CA443" s="680">
        <f t="shared" si="147"/>
        <v>0</v>
      </c>
    </row>
    <row r="444" spans="1:79" s="726" customFormat="1" hidden="1" outlineLevel="1" x14ac:dyDescent="0.35">
      <c r="F444" s="707" t="s">
        <v>673</v>
      </c>
      <c r="G444" s="750"/>
      <c r="H444" s="750"/>
      <c r="I444" s="750"/>
      <c r="J444" s="750"/>
      <c r="K444" s="750"/>
      <c r="L444" s="750"/>
      <c r="M444" s="750"/>
      <c r="N444" s="750"/>
      <c r="O444" s="750"/>
      <c r="P444" s="751"/>
      <c r="Q444" s="751"/>
      <c r="R444" s="751"/>
      <c r="S444" s="724"/>
      <c r="T444" s="724"/>
      <c r="U444" s="724"/>
      <c r="V444" s="724"/>
      <c r="W444" s="724"/>
      <c r="X444" s="724"/>
      <c r="Y444" s="724"/>
      <c r="Z444" s="724"/>
      <c r="AA444" s="724"/>
      <c r="AB444" s="724"/>
      <c r="AC444" s="724"/>
      <c r="AD444" s="724"/>
      <c r="AE444" s="753"/>
      <c r="AF444" s="753"/>
      <c r="AG444" s="753"/>
      <c r="AH444" s="753"/>
      <c r="AI444" s="753"/>
      <c r="AJ444" s="753"/>
      <c r="AK444" s="753"/>
      <c r="AL444" s="753"/>
      <c r="AM444" s="753"/>
      <c r="AN444" s="753"/>
      <c r="AO444" s="753"/>
      <c r="AP444" s="753"/>
      <c r="AQ444" s="753"/>
      <c r="AR444" s="753"/>
      <c r="AS444" s="753"/>
      <c r="AT444" s="753"/>
      <c r="AU444" s="753"/>
      <c r="AV444" s="753"/>
      <c r="AW444" s="753"/>
      <c r="AX444" s="753"/>
      <c r="AY444" s="753"/>
      <c r="AZ444" s="753"/>
      <c r="BA444" s="753"/>
      <c r="BB444" s="753"/>
      <c r="BC444" s="753"/>
      <c r="BD444" s="753"/>
      <c r="BE444" s="753"/>
      <c r="BF444" s="753"/>
      <c r="BG444" s="753"/>
      <c r="BH444" s="753"/>
      <c r="BI444" s="753"/>
      <c r="BJ444" s="753"/>
      <c r="BK444" s="753"/>
      <c r="BL444" s="753"/>
      <c r="BM444" s="753"/>
      <c r="BN444" s="753"/>
      <c r="BO444" s="753"/>
      <c r="BP444" s="753"/>
      <c r="BQ444" s="753"/>
      <c r="BR444" s="753"/>
      <c r="BS444" s="753"/>
      <c r="BT444" s="753"/>
      <c r="BU444" s="753"/>
      <c r="BV444" s="753"/>
      <c r="BW444" s="753"/>
      <c r="BX444" s="753"/>
      <c r="BY444" s="753"/>
      <c r="BZ444" s="753"/>
      <c r="CA444" s="753"/>
    </row>
    <row r="445" spans="1:79" s="309" customFormat="1" hidden="1" outlineLevel="1" x14ac:dyDescent="0.35">
      <c r="A445" s="575"/>
      <c r="B445" s="575"/>
      <c r="C445" s="575"/>
      <c r="D445" s="575"/>
      <c r="E445" s="575"/>
      <c r="F445" s="672" t="s">
        <v>674</v>
      </c>
      <c r="G445" s="735"/>
      <c r="H445" s="735"/>
      <c r="I445" s="735"/>
      <c r="J445" s="735"/>
      <c r="K445" s="735"/>
      <c r="L445" s="735"/>
      <c r="M445" s="735"/>
      <c r="N445" s="735"/>
      <c r="O445" s="735"/>
      <c r="P445" s="732"/>
      <c r="Q445" s="732"/>
      <c r="R445" s="732"/>
      <c r="S445" s="700">
        <v>0</v>
      </c>
      <c r="T445" s="700">
        <v>0</v>
      </c>
      <c r="U445" s="700">
        <v>0</v>
      </c>
      <c r="V445" s="700">
        <v>0</v>
      </c>
      <c r="W445" s="700">
        <v>0</v>
      </c>
      <c r="X445" s="700">
        <v>0</v>
      </c>
      <c r="Y445" s="700">
        <v>0</v>
      </c>
      <c r="Z445" s="700">
        <v>0</v>
      </c>
      <c r="AA445" s="700">
        <v>0</v>
      </c>
      <c r="AB445" s="700">
        <v>0</v>
      </c>
      <c r="AC445" s="700">
        <v>0</v>
      </c>
      <c r="AD445" s="700">
        <v>0</v>
      </c>
      <c r="AE445" s="734"/>
      <c r="AF445" s="734"/>
      <c r="AG445" s="734"/>
      <c r="AH445" s="734"/>
      <c r="AI445" s="734"/>
      <c r="AJ445" s="734"/>
      <c r="AK445" s="734"/>
      <c r="AL445" s="734"/>
      <c r="AM445" s="734"/>
      <c r="AN445" s="734"/>
      <c r="AO445" s="734"/>
      <c r="AP445" s="734"/>
      <c r="AQ445" s="734"/>
      <c r="AR445" s="734"/>
      <c r="AS445" s="734"/>
      <c r="AT445" s="734"/>
      <c r="AU445" s="734"/>
      <c r="AV445" s="734"/>
      <c r="AW445" s="734"/>
      <c r="AX445" s="734"/>
      <c r="AY445" s="734"/>
      <c r="AZ445" s="734"/>
      <c r="BA445" s="734"/>
      <c r="BB445" s="734"/>
      <c r="BC445" s="734"/>
      <c r="BD445" s="734"/>
      <c r="BE445" s="734"/>
      <c r="BF445" s="734"/>
      <c r="BG445" s="734"/>
      <c r="BH445" s="734"/>
      <c r="BI445" s="734"/>
      <c r="BJ445" s="734"/>
      <c r="BK445" s="734"/>
      <c r="BL445" s="734"/>
      <c r="BM445" s="734"/>
      <c r="BN445" s="734"/>
      <c r="BO445" s="734"/>
      <c r="BP445" s="734"/>
      <c r="BQ445" s="734"/>
      <c r="BR445" s="734"/>
      <c r="BS445" s="734"/>
      <c r="BT445" s="734"/>
      <c r="BU445" s="734"/>
      <c r="BV445" s="734"/>
      <c r="BW445" s="734"/>
      <c r="BX445" s="734"/>
      <c r="BY445" s="734"/>
      <c r="BZ445" s="734"/>
      <c r="CA445" s="734"/>
    </row>
    <row r="446" spans="1:79" s="309" customFormat="1" hidden="1" outlineLevel="1" x14ac:dyDescent="0.35">
      <c r="A446" s="575"/>
      <c r="B446" s="575"/>
      <c r="C446" s="575"/>
      <c r="D446" s="575"/>
      <c r="E446" s="575"/>
      <c r="F446" s="672" t="s">
        <v>898</v>
      </c>
      <c r="G446" s="735"/>
      <c r="H446" s="735"/>
      <c r="I446" s="735"/>
      <c r="J446" s="735"/>
      <c r="K446" s="735"/>
      <c r="L446" s="735"/>
      <c r="M446" s="735"/>
      <c r="N446" s="735"/>
      <c r="O446" s="735"/>
      <c r="P446" s="732"/>
      <c r="Q446" s="732"/>
      <c r="R446" s="732"/>
      <c r="S446" s="700">
        <v>0</v>
      </c>
      <c r="T446" s="700">
        <v>0</v>
      </c>
      <c r="U446" s="700">
        <v>0</v>
      </c>
      <c r="V446" s="700">
        <v>0</v>
      </c>
      <c r="W446" s="700">
        <v>0</v>
      </c>
      <c r="X446" s="700">
        <v>0</v>
      </c>
      <c r="Y446" s="700">
        <v>0</v>
      </c>
      <c r="Z446" s="700">
        <v>0</v>
      </c>
      <c r="AA446" s="700">
        <v>0</v>
      </c>
      <c r="AB446" s="700">
        <v>0</v>
      </c>
      <c r="AC446" s="700">
        <v>0</v>
      </c>
      <c r="AD446" s="700">
        <v>0</v>
      </c>
      <c r="AE446" s="734"/>
      <c r="AF446" s="734"/>
      <c r="AG446" s="734"/>
      <c r="AH446" s="734"/>
      <c r="AI446" s="734"/>
      <c r="AJ446" s="734"/>
      <c r="AK446" s="734"/>
      <c r="AL446" s="734"/>
      <c r="AM446" s="734"/>
      <c r="AN446" s="734"/>
      <c r="AO446" s="734"/>
      <c r="AP446" s="734"/>
      <c r="AQ446" s="734"/>
      <c r="AR446" s="734"/>
      <c r="AS446" s="734"/>
      <c r="AT446" s="734"/>
      <c r="AU446" s="734"/>
      <c r="AV446" s="734"/>
      <c r="AW446" s="734"/>
      <c r="AX446" s="734"/>
      <c r="AY446" s="734"/>
      <c r="AZ446" s="734"/>
      <c r="BA446" s="734"/>
      <c r="BB446" s="734"/>
      <c r="BC446" s="734"/>
      <c r="BD446" s="734"/>
      <c r="BE446" s="734"/>
      <c r="BF446" s="734"/>
      <c r="BG446" s="734"/>
      <c r="BH446" s="734"/>
      <c r="BI446" s="734"/>
      <c r="BJ446" s="734"/>
      <c r="BK446" s="734"/>
      <c r="BL446" s="734"/>
      <c r="BM446" s="734"/>
      <c r="BN446" s="734"/>
      <c r="BO446" s="734"/>
      <c r="BP446" s="734"/>
      <c r="BQ446" s="734"/>
      <c r="BR446" s="734"/>
      <c r="BS446" s="734"/>
      <c r="BT446" s="734"/>
      <c r="BU446" s="734"/>
      <c r="BV446" s="734"/>
      <c r="BW446" s="734"/>
      <c r="BX446" s="734"/>
      <c r="BY446" s="734"/>
      <c r="BZ446" s="734"/>
      <c r="CA446" s="734"/>
    </row>
    <row r="447" spans="1:79" s="309" customFormat="1" hidden="1" outlineLevel="1" x14ac:dyDescent="0.35">
      <c r="A447" s="575"/>
      <c r="B447" s="575"/>
      <c r="C447" s="575"/>
      <c r="D447" s="575"/>
      <c r="E447" s="575"/>
      <c r="F447" s="672" t="s">
        <v>675</v>
      </c>
      <c r="G447" s="735"/>
      <c r="H447" s="735"/>
      <c r="I447" s="735"/>
      <c r="J447" s="735"/>
      <c r="K447" s="735"/>
      <c r="L447" s="735"/>
      <c r="M447" s="735"/>
      <c r="N447" s="735"/>
      <c r="O447" s="735"/>
      <c r="P447" s="732"/>
      <c r="Q447" s="732"/>
      <c r="R447" s="732"/>
      <c r="S447" s="700">
        <v>0</v>
      </c>
      <c r="T447" s="700">
        <v>0</v>
      </c>
      <c r="U447" s="700">
        <v>0</v>
      </c>
      <c r="V447" s="700">
        <v>0</v>
      </c>
      <c r="W447" s="700">
        <v>0</v>
      </c>
      <c r="X447" s="700">
        <v>0</v>
      </c>
      <c r="Y447" s="700">
        <v>0</v>
      </c>
      <c r="Z447" s="700">
        <v>0</v>
      </c>
      <c r="AA447" s="700">
        <v>0</v>
      </c>
      <c r="AB447" s="700">
        <v>0</v>
      </c>
      <c r="AC447" s="700">
        <v>0</v>
      </c>
      <c r="AD447" s="700">
        <v>0</v>
      </c>
      <c r="AE447" s="734"/>
      <c r="AF447" s="734"/>
      <c r="AG447" s="734"/>
      <c r="AH447" s="734"/>
      <c r="AI447" s="734"/>
      <c r="AJ447" s="734"/>
      <c r="AK447" s="734"/>
      <c r="AL447" s="734"/>
      <c r="AM447" s="734"/>
      <c r="AN447" s="734"/>
      <c r="AO447" s="734"/>
      <c r="AP447" s="734"/>
      <c r="AQ447" s="734"/>
      <c r="AR447" s="734"/>
      <c r="AS447" s="734"/>
      <c r="AT447" s="734"/>
      <c r="AU447" s="734"/>
      <c r="AV447" s="734"/>
      <c r="AW447" s="734"/>
      <c r="AX447" s="734"/>
      <c r="AY447" s="734"/>
      <c r="AZ447" s="734"/>
      <c r="BA447" s="734"/>
      <c r="BB447" s="734"/>
      <c r="BC447" s="734"/>
      <c r="BD447" s="734"/>
      <c r="BE447" s="734"/>
      <c r="BF447" s="734"/>
      <c r="BG447" s="734"/>
      <c r="BH447" s="734"/>
      <c r="BI447" s="734"/>
      <c r="BJ447" s="734"/>
      <c r="BK447" s="734"/>
      <c r="BL447" s="734"/>
      <c r="BM447" s="734"/>
      <c r="BN447" s="734"/>
      <c r="BO447" s="734"/>
      <c r="BP447" s="734"/>
      <c r="BQ447" s="734"/>
      <c r="BR447" s="734"/>
      <c r="BS447" s="734"/>
      <c r="BT447" s="734"/>
      <c r="BU447" s="734"/>
      <c r="BV447" s="734"/>
      <c r="BW447" s="734"/>
      <c r="BX447" s="734"/>
      <c r="BY447" s="734"/>
      <c r="BZ447" s="734"/>
      <c r="CA447" s="734"/>
    </row>
    <row r="448" spans="1:79" s="309" customFormat="1" hidden="1" outlineLevel="1" x14ac:dyDescent="0.35">
      <c r="A448" s="575"/>
      <c r="B448" s="575"/>
      <c r="C448" s="575"/>
      <c r="D448" s="575"/>
      <c r="E448" s="575"/>
      <c r="F448" s="672" t="s">
        <v>899</v>
      </c>
      <c r="G448" s="735"/>
      <c r="H448" s="735"/>
      <c r="I448" s="735"/>
      <c r="J448" s="735"/>
      <c r="K448" s="735"/>
      <c r="L448" s="735"/>
      <c r="M448" s="735"/>
      <c r="N448" s="735"/>
      <c r="O448" s="735"/>
      <c r="P448" s="732"/>
      <c r="Q448" s="732"/>
      <c r="R448" s="732"/>
      <c r="S448" s="700">
        <v>0</v>
      </c>
      <c r="T448" s="700">
        <v>0</v>
      </c>
      <c r="U448" s="700">
        <v>0</v>
      </c>
      <c r="V448" s="700">
        <v>0</v>
      </c>
      <c r="W448" s="700">
        <v>0</v>
      </c>
      <c r="X448" s="700">
        <v>0</v>
      </c>
      <c r="Y448" s="700">
        <v>0</v>
      </c>
      <c r="Z448" s="700">
        <v>0</v>
      </c>
      <c r="AA448" s="700">
        <v>0</v>
      </c>
      <c r="AB448" s="700">
        <v>0</v>
      </c>
      <c r="AC448" s="700">
        <v>0</v>
      </c>
      <c r="AD448" s="700">
        <v>0</v>
      </c>
      <c r="AE448" s="734"/>
      <c r="AF448" s="734"/>
      <c r="AG448" s="734"/>
      <c r="AH448" s="734"/>
      <c r="AI448" s="734"/>
      <c r="AJ448" s="734"/>
      <c r="AK448" s="734"/>
      <c r="AL448" s="734"/>
      <c r="AM448" s="734"/>
      <c r="AN448" s="734"/>
      <c r="AO448" s="734"/>
      <c r="AP448" s="734"/>
      <c r="AQ448" s="734"/>
      <c r="AR448" s="734"/>
      <c r="AS448" s="734"/>
      <c r="AT448" s="734"/>
      <c r="AU448" s="734"/>
      <c r="AV448" s="734"/>
      <c r="AW448" s="734"/>
      <c r="AX448" s="734"/>
      <c r="AY448" s="734"/>
      <c r="AZ448" s="734"/>
      <c r="BA448" s="734"/>
      <c r="BB448" s="734"/>
      <c r="BC448" s="734"/>
      <c r="BD448" s="734"/>
      <c r="BE448" s="734"/>
      <c r="BF448" s="734"/>
      <c r="BG448" s="734"/>
      <c r="BH448" s="734"/>
      <c r="BI448" s="734"/>
      <c r="BJ448" s="734"/>
      <c r="BK448" s="734"/>
      <c r="BL448" s="734"/>
      <c r="BM448" s="734"/>
      <c r="BN448" s="734"/>
      <c r="BO448" s="734"/>
      <c r="BP448" s="734"/>
      <c r="BQ448" s="734"/>
      <c r="BR448" s="734"/>
      <c r="BS448" s="734"/>
      <c r="BT448" s="734"/>
      <c r="BU448" s="734"/>
      <c r="BV448" s="734"/>
      <c r="BW448" s="734"/>
      <c r="BX448" s="734"/>
      <c r="BY448" s="734"/>
      <c r="BZ448" s="734"/>
      <c r="CA448" s="734"/>
    </row>
    <row r="449" spans="1:79" s="309" customFormat="1" hidden="1" outlineLevel="1" x14ac:dyDescent="0.35">
      <c r="A449" s="575"/>
      <c r="B449" s="575"/>
      <c r="C449" s="575"/>
      <c r="D449" s="575"/>
      <c r="E449" s="575"/>
      <c r="F449" s="673" t="s">
        <v>676</v>
      </c>
      <c r="G449" s="680">
        <f>SUM(G445:G448)</f>
        <v>0</v>
      </c>
      <c r="H449" s="680">
        <f t="shared" ref="H449:BO449" si="148">SUM(H445:H448)</f>
        <v>0</v>
      </c>
      <c r="I449" s="680">
        <f t="shared" si="148"/>
        <v>0</v>
      </c>
      <c r="J449" s="680">
        <f t="shared" si="148"/>
        <v>0</v>
      </c>
      <c r="K449" s="680">
        <f t="shared" si="148"/>
        <v>0</v>
      </c>
      <c r="L449" s="680">
        <f t="shared" si="148"/>
        <v>0</v>
      </c>
      <c r="M449" s="680">
        <f t="shared" si="148"/>
        <v>0</v>
      </c>
      <c r="N449" s="680">
        <f t="shared" si="148"/>
        <v>0</v>
      </c>
      <c r="O449" s="680">
        <f t="shared" si="148"/>
        <v>0</v>
      </c>
      <c r="P449" s="680">
        <f t="shared" si="148"/>
        <v>0</v>
      </c>
      <c r="Q449" s="680">
        <f t="shared" si="148"/>
        <v>0</v>
      </c>
      <c r="R449" s="680">
        <f t="shared" si="148"/>
        <v>0</v>
      </c>
      <c r="S449" s="696">
        <f t="shared" ref="S449:AA449" si="149">ROUND(SUM(S444:S448),5)</f>
        <v>0</v>
      </c>
      <c r="T449" s="696">
        <f t="shared" si="149"/>
        <v>0</v>
      </c>
      <c r="U449" s="696">
        <f t="shared" si="149"/>
        <v>0</v>
      </c>
      <c r="V449" s="696">
        <f t="shared" si="149"/>
        <v>0</v>
      </c>
      <c r="W449" s="696">
        <f t="shared" si="149"/>
        <v>0</v>
      </c>
      <c r="X449" s="696">
        <f t="shared" si="149"/>
        <v>0</v>
      </c>
      <c r="Y449" s="696">
        <f t="shared" si="149"/>
        <v>0</v>
      </c>
      <c r="Z449" s="696">
        <f t="shared" si="149"/>
        <v>0</v>
      </c>
      <c r="AA449" s="696">
        <f t="shared" si="149"/>
        <v>0</v>
      </c>
      <c r="AB449" s="696">
        <f>ROUND(SUM(AB444:AB448),5)</f>
        <v>0</v>
      </c>
      <c r="AC449" s="696">
        <f>ROUND(SUM(AC444:AC448),5)</f>
        <v>0</v>
      </c>
      <c r="AD449" s="696">
        <f>ROUND(SUM(AD444:AD448),5)</f>
        <v>0</v>
      </c>
      <c r="AE449" s="680">
        <f t="shared" si="148"/>
        <v>0</v>
      </c>
      <c r="AF449" s="680">
        <f t="shared" si="148"/>
        <v>0</v>
      </c>
      <c r="AG449" s="680">
        <f t="shared" si="148"/>
        <v>0</v>
      </c>
      <c r="AH449" s="680">
        <f t="shared" si="148"/>
        <v>0</v>
      </c>
      <c r="AI449" s="680">
        <f t="shared" si="148"/>
        <v>0</v>
      </c>
      <c r="AJ449" s="680">
        <f t="shared" si="148"/>
        <v>0</v>
      </c>
      <c r="AK449" s="680">
        <f t="shared" si="148"/>
        <v>0</v>
      </c>
      <c r="AL449" s="680">
        <f t="shared" si="148"/>
        <v>0</v>
      </c>
      <c r="AM449" s="680">
        <f t="shared" si="148"/>
        <v>0</v>
      </c>
      <c r="AN449" s="680">
        <f t="shared" si="148"/>
        <v>0</v>
      </c>
      <c r="AO449" s="680">
        <f t="shared" si="148"/>
        <v>0</v>
      </c>
      <c r="AP449" s="680">
        <f t="shared" si="148"/>
        <v>0</v>
      </c>
      <c r="AQ449" s="680">
        <f t="shared" si="148"/>
        <v>0</v>
      </c>
      <c r="AR449" s="680">
        <f t="shared" si="148"/>
        <v>0</v>
      </c>
      <c r="AS449" s="680">
        <f t="shared" si="148"/>
        <v>0</v>
      </c>
      <c r="AT449" s="680">
        <f t="shared" si="148"/>
        <v>0</v>
      </c>
      <c r="AU449" s="680">
        <f t="shared" si="148"/>
        <v>0</v>
      </c>
      <c r="AV449" s="680">
        <f t="shared" si="148"/>
        <v>0</v>
      </c>
      <c r="AW449" s="680">
        <f t="shared" si="148"/>
        <v>0</v>
      </c>
      <c r="AX449" s="680">
        <f t="shared" si="148"/>
        <v>0</v>
      </c>
      <c r="AY449" s="680">
        <f t="shared" si="148"/>
        <v>0</v>
      </c>
      <c r="AZ449" s="680">
        <f t="shared" si="148"/>
        <v>0</v>
      </c>
      <c r="BA449" s="680">
        <f t="shared" si="148"/>
        <v>0</v>
      </c>
      <c r="BB449" s="680">
        <f t="shared" si="148"/>
        <v>0</v>
      </c>
      <c r="BC449" s="680">
        <f t="shared" si="148"/>
        <v>0</v>
      </c>
      <c r="BD449" s="680">
        <f t="shared" si="148"/>
        <v>0</v>
      </c>
      <c r="BE449" s="680">
        <f t="shared" si="148"/>
        <v>0</v>
      </c>
      <c r="BF449" s="680">
        <f t="shared" si="148"/>
        <v>0</v>
      </c>
      <c r="BG449" s="680">
        <f t="shared" si="148"/>
        <v>0</v>
      </c>
      <c r="BH449" s="680">
        <f t="shared" si="148"/>
        <v>0</v>
      </c>
      <c r="BI449" s="680">
        <f t="shared" si="148"/>
        <v>0</v>
      </c>
      <c r="BJ449" s="680">
        <f t="shared" si="148"/>
        <v>0</v>
      </c>
      <c r="BK449" s="680">
        <f t="shared" si="148"/>
        <v>0</v>
      </c>
      <c r="BL449" s="680">
        <f t="shared" si="148"/>
        <v>0</v>
      </c>
      <c r="BM449" s="680">
        <f t="shared" si="148"/>
        <v>0</v>
      </c>
      <c r="BN449" s="680">
        <f t="shared" si="148"/>
        <v>0</v>
      </c>
      <c r="BO449" s="680">
        <f t="shared" si="148"/>
        <v>0</v>
      </c>
      <c r="BP449" s="680">
        <f t="shared" ref="BP449:CA449" si="150">SUM(BP445:BP448)</f>
        <v>0</v>
      </c>
      <c r="BQ449" s="680">
        <f t="shared" si="150"/>
        <v>0</v>
      </c>
      <c r="BR449" s="680">
        <f t="shared" si="150"/>
        <v>0</v>
      </c>
      <c r="BS449" s="680">
        <f t="shared" si="150"/>
        <v>0</v>
      </c>
      <c r="BT449" s="680">
        <f t="shared" si="150"/>
        <v>0</v>
      </c>
      <c r="BU449" s="680">
        <f t="shared" si="150"/>
        <v>0</v>
      </c>
      <c r="BV449" s="680">
        <f t="shared" si="150"/>
        <v>0</v>
      </c>
      <c r="BW449" s="680">
        <f t="shared" si="150"/>
        <v>0</v>
      </c>
      <c r="BX449" s="680">
        <f t="shared" si="150"/>
        <v>0</v>
      </c>
      <c r="BY449" s="680">
        <f t="shared" si="150"/>
        <v>0</v>
      </c>
      <c r="BZ449" s="680">
        <f t="shared" si="150"/>
        <v>0</v>
      </c>
      <c r="CA449" s="680">
        <f t="shared" si="150"/>
        <v>0</v>
      </c>
    </row>
    <row r="450" spans="1:79" hidden="1" outlineLevel="1" x14ac:dyDescent="0.35">
      <c r="F450" s="674" t="s">
        <v>652</v>
      </c>
      <c r="G450" s="732">
        <v>174.06724698838696</v>
      </c>
      <c r="H450" s="732">
        <v>95.374102704501041</v>
      </c>
      <c r="I450" s="732">
        <v>66.184522504919599</v>
      </c>
      <c r="J450" s="732">
        <v>27.127552183081775</v>
      </c>
      <c r="K450" s="732">
        <v>28.488194812932644</v>
      </c>
      <c r="L450" s="732">
        <v>31.660962601229642</v>
      </c>
      <c r="M450" s="732">
        <v>206.53780807699039</v>
      </c>
      <c r="N450" s="732">
        <v>38.604712006647205</v>
      </c>
      <c r="O450" s="732">
        <v>44.881389688614433</v>
      </c>
      <c r="P450" s="732">
        <v>346.49855428965691</v>
      </c>
      <c r="Q450" s="732">
        <v>44.767327939326613</v>
      </c>
      <c r="R450" s="732">
        <v>39.969293495838301</v>
      </c>
      <c r="S450" s="704">
        <v>0</v>
      </c>
      <c r="T450" s="704">
        <v>43.26</v>
      </c>
      <c r="U450" s="704">
        <v>26.51</v>
      </c>
      <c r="V450" s="704">
        <v>0</v>
      </c>
      <c r="W450" s="704">
        <v>50</v>
      </c>
      <c r="X450" s="704">
        <v>0</v>
      </c>
      <c r="Y450" s="704">
        <v>0</v>
      </c>
      <c r="Z450" s="704">
        <v>0</v>
      </c>
      <c r="AA450" s="704">
        <v>0</v>
      </c>
      <c r="AB450" s="704">
        <v>0</v>
      </c>
      <c r="AC450" s="704">
        <v>0</v>
      </c>
      <c r="AD450" s="704">
        <v>0</v>
      </c>
      <c r="AE450" s="734"/>
      <c r="AF450" s="734"/>
      <c r="AG450" s="734"/>
      <c r="AH450" s="734"/>
      <c r="AI450" s="734"/>
      <c r="AJ450" s="734"/>
      <c r="AK450" s="734"/>
      <c r="AL450" s="734"/>
      <c r="AM450" s="734"/>
      <c r="AN450" s="734"/>
      <c r="AO450" s="734"/>
      <c r="AP450" s="734"/>
      <c r="AQ450" s="734"/>
      <c r="AR450" s="734"/>
      <c r="AS450" s="734"/>
      <c r="AT450" s="734"/>
      <c r="AU450" s="734"/>
      <c r="AV450" s="734"/>
      <c r="AW450" s="734"/>
      <c r="AX450" s="734"/>
      <c r="AY450" s="734"/>
      <c r="AZ450" s="734"/>
      <c r="BA450" s="734"/>
      <c r="BB450" s="734"/>
      <c r="BC450" s="734"/>
      <c r="BD450" s="734"/>
      <c r="BE450" s="734"/>
      <c r="BF450" s="734"/>
      <c r="BG450" s="734"/>
      <c r="BH450" s="734"/>
      <c r="BI450" s="734"/>
      <c r="BJ450" s="734"/>
      <c r="BK450" s="734"/>
      <c r="BL450" s="734"/>
      <c r="BM450" s="734"/>
      <c r="BN450" s="734"/>
      <c r="BO450" s="734"/>
      <c r="BP450" s="734"/>
      <c r="BQ450" s="734"/>
      <c r="BR450" s="734"/>
      <c r="BS450" s="734"/>
      <c r="BT450" s="734"/>
      <c r="BU450" s="734"/>
      <c r="BV450" s="734"/>
      <c r="BW450" s="734"/>
      <c r="BX450" s="734"/>
      <c r="BY450" s="734"/>
      <c r="BZ450" s="734"/>
      <c r="CA450" s="734"/>
    </row>
    <row r="451" spans="1:79" hidden="1" outlineLevel="1" x14ac:dyDescent="0.35">
      <c r="F451" s="674" t="s">
        <v>603</v>
      </c>
      <c r="G451" s="732">
        <v>111.24657689588867</v>
      </c>
      <c r="H451" s="732">
        <v>310.23786789748925</v>
      </c>
      <c r="I451" s="732">
        <v>278.19331173231518</v>
      </c>
      <c r="J451" s="732">
        <v>682.97162386959712</v>
      </c>
      <c r="K451" s="732">
        <v>504.40643030020044</v>
      </c>
      <c r="L451" s="732">
        <v>561.68373186851807</v>
      </c>
      <c r="M451" s="732">
        <v>381.54693317346693</v>
      </c>
      <c r="N451" s="732">
        <v>1060.8412692608422</v>
      </c>
      <c r="O451" s="732">
        <v>2133.1895171561737</v>
      </c>
      <c r="P451" s="732">
        <v>1560.6073788224332</v>
      </c>
      <c r="Q451" s="732">
        <v>697.21280793559595</v>
      </c>
      <c r="R451" s="732">
        <v>195.41037126893255</v>
      </c>
      <c r="S451" s="683">
        <v>3620.4</v>
      </c>
      <c r="T451" s="683">
        <v>6180.12</v>
      </c>
      <c r="U451" s="683">
        <v>635.97</v>
      </c>
      <c r="V451" s="683">
        <v>13565.36</v>
      </c>
      <c r="W451" s="683">
        <v>2247.19</v>
      </c>
      <c r="X451" s="683">
        <v>2060.0500000000002</v>
      </c>
      <c r="Y451" s="683">
        <v>1426.5</v>
      </c>
      <c r="Z451" s="683">
        <v>2824.62</v>
      </c>
      <c r="AA451" s="683">
        <v>4415.6000000000004</v>
      </c>
      <c r="AB451" s="683">
        <v>5955</v>
      </c>
      <c r="AC451" s="683">
        <v>101.34</v>
      </c>
      <c r="AD451" s="683">
        <v>1013.4</v>
      </c>
      <c r="AE451" s="734"/>
      <c r="AF451" s="734"/>
      <c r="AG451" s="734"/>
      <c r="AH451" s="734"/>
      <c r="AI451" s="734"/>
      <c r="AJ451" s="734"/>
      <c r="AK451" s="734"/>
      <c r="AL451" s="734"/>
      <c r="AM451" s="734"/>
      <c r="AN451" s="734"/>
      <c r="AO451" s="734"/>
      <c r="AP451" s="734"/>
      <c r="AQ451" s="734"/>
      <c r="AR451" s="734"/>
      <c r="AS451" s="734"/>
      <c r="AT451" s="734"/>
      <c r="AU451" s="734"/>
      <c r="AV451" s="734"/>
      <c r="AW451" s="734"/>
      <c r="AX451" s="734"/>
      <c r="AY451" s="734"/>
      <c r="AZ451" s="734"/>
      <c r="BA451" s="734"/>
      <c r="BB451" s="734"/>
      <c r="BC451" s="734"/>
      <c r="BD451" s="734"/>
      <c r="BE451" s="734"/>
      <c r="BF451" s="734"/>
      <c r="BG451" s="734"/>
      <c r="BH451" s="734"/>
      <c r="BI451" s="734"/>
      <c r="BJ451" s="734"/>
      <c r="BK451" s="734"/>
      <c r="BL451" s="734"/>
      <c r="BM451" s="734"/>
      <c r="BN451" s="734"/>
      <c r="BO451" s="734"/>
      <c r="BP451" s="734"/>
      <c r="BQ451" s="734"/>
      <c r="BR451" s="734"/>
      <c r="BS451" s="734"/>
      <c r="BT451" s="734"/>
      <c r="BU451" s="734"/>
      <c r="BV451" s="734"/>
      <c r="BW451" s="734"/>
      <c r="BX451" s="734"/>
      <c r="BY451" s="734"/>
      <c r="BZ451" s="734"/>
      <c r="CA451" s="734"/>
    </row>
    <row r="452" spans="1:79" s="709" customFormat="1" hidden="1" outlineLevel="1" x14ac:dyDescent="0.35">
      <c r="F452" s="707" t="s">
        <v>677</v>
      </c>
      <c r="G452" s="751"/>
      <c r="H452" s="751"/>
      <c r="I452" s="751"/>
      <c r="J452" s="751"/>
      <c r="K452" s="751"/>
      <c r="L452" s="751"/>
      <c r="M452" s="751"/>
      <c r="N452" s="751"/>
      <c r="O452" s="751"/>
      <c r="P452" s="751"/>
      <c r="Q452" s="751"/>
      <c r="R452" s="751"/>
      <c r="S452" s="720"/>
      <c r="T452" s="720"/>
      <c r="U452" s="720"/>
      <c r="V452" s="720"/>
      <c r="W452" s="720"/>
      <c r="X452" s="720"/>
      <c r="Y452" s="720"/>
      <c r="Z452" s="720"/>
      <c r="AA452" s="720"/>
      <c r="AB452" s="720"/>
      <c r="AC452" s="720"/>
      <c r="AD452" s="720"/>
      <c r="AE452" s="753"/>
      <c r="AF452" s="753"/>
      <c r="AG452" s="753"/>
      <c r="AH452" s="753"/>
      <c r="AI452" s="753"/>
      <c r="AJ452" s="753"/>
      <c r="AK452" s="753"/>
      <c r="AL452" s="753"/>
      <c r="AM452" s="753"/>
      <c r="AN452" s="753"/>
      <c r="AO452" s="753"/>
      <c r="AP452" s="753"/>
      <c r="AQ452" s="753"/>
      <c r="AR452" s="753"/>
      <c r="AS452" s="753"/>
      <c r="AT452" s="753"/>
      <c r="AU452" s="753"/>
      <c r="AV452" s="753"/>
      <c r="AW452" s="753"/>
      <c r="AX452" s="753"/>
      <c r="AY452" s="753"/>
      <c r="AZ452" s="753"/>
      <c r="BA452" s="753"/>
      <c r="BB452" s="753"/>
      <c r="BC452" s="753"/>
      <c r="BD452" s="753"/>
      <c r="BE452" s="753"/>
      <c r="BF452" s="753"/>
      <c r="BG452" s="753"/>
      <c r="BH452" s="753"/>
      <c r="BI452" s="753"/>
      <c r="BJ452" s="753"/>
      <c r="BK452" s="753"/>
      <c r="BL452" s="753"/>
      <c r="BM452" s="753"/>
      <c r="BN452" s="753"/>
      <c r="BO452" s="753"/>
      <c r="BP452" s="753"/>
      <c r="BQ452" s="753"/>
      <c r="BR452" s="753"/>
      <c r="BS452" s="753"/>
      <c r="BT452" s="753"/>
      <c r="BU452" s="753"/>
      <c r="BV452" s="753"/>
      <c r="BW452" s="753"/>
      <c r="BX452" s="753"/>
      <c r="BY452" s="753"/>
      <c r="BZ452" s="753"/>
      <c r="CA452" s="753"/>
    </row>
    <row r="453" spans="1:79" hidden="1" outlineLevel="1" x14ac:dyDescent="0.35">
      <c r="A453" s="574"/>
      <c r="B453" s="574"/>
      <c r="C453" s="574"/>
      <c r="D453" s="574"/>
      <c r="E453" s="574"/>
      <c r="F453" s="672" t="s">
        <v>900</v>
      </c>
      <c r="G453" s="732"/>
      <c r="H453" s="732"/>
      <c r="I453" s="732"/>
      <c r="J453" s="732"/>
      <c r="K453" s="732"/>
      <c r="L453" s="732"/>
      <c r="M453" s="732"/>
      <c r="N453" s="732"/>
      <c r="O453" s="732"/>
      <c r="P453" s="732"/>
      <c r="Q453" s="732"/>
      <c r="R453" s="732"/>
      <c r="S453" s="683">
        <v>0</v>
      </c>
      <c r="T453" s="683">
        <v>0</v>
      </c>
      <c r="U453" s="683">
        <v>0</v>
      </c>
      <c r="V453" s="683">
        <v>0</v>
      </c>
      <c r="W453" s="683">
        <v>0</v>
      </c>
      <c r="X453" s="683">
        <v>0</v>
      </c>
      <c r="Y453" s="683">
        <v>0</v>
      </c>
      <c r="Z453" s="683">
        <v>0</v>
      </c>
      <c r="AA453" s="683">
        <v>0</v>
      </c>
      <c r="AB453" s="683">
        <v>0</v>
      </c>
      <c r="AC453" s="683">
        <v>0</v>
      </c>
      <c r="AD453" s="683">
        <v>0</v>
      </c>
      <c r="AE453" s="734"/>
      <c r="AF453" s="734"/>
      <c r="AG453" s="734"/>
      <c r="AH453" s="734"/>
      <c r="AI453" s="734"/>
      <c r="AJ453" s="734"/>
      <c r="AK453" s="734"/>
      <c r="AL453" s="734"/>
      <c r="AM453" s="734"/>
      <c r="AN453" s="734"/>
      <c r="AO453" s="734"/>
      <c r="AP453" s="734"/>
      <c r="AQ453" s="734"/>
      <c r="AR453" s="734"/>
      <c r="AS453" s="734"/>
      <c r="AT453" s="734"/>
      <c r="AU453" s="734"/>
      <c r="AV453" s="734"/>
      <c r="AW453" s="734"/>
      <c r="AX453" s="734"/>
      <c r="AY453" s="734"/>
      <c r="AZ453" s="734"/>
      <c r="BA453" s="734"/>
      <c r="BB453" s="734"/>
      <c r="BC453" s="734"/>
      <c r="BD453" s="734"/>
      <c r="BE453" s="734"/>
      <c r="BF453" s="734"/>
      <c r="BG453" s="734"/>
      <c r="BH453" s="734"/>
      <c r="BI453" s="734"/>
      <c r="BJ453" s="734"/>
      <c r="BK453" s="734"/>
      <c r="BL453" s="734"/>
      <c r="BM453" s="734"/>
      <c r="BN453" s="734"/>
      <c r="BO453" s="734"/>
      <c r="BP453" s="734"/>
      <c r="BQ453" s="734"/>
      <c r="BR453" s="734"/>
      <c r="BS453" s="734"/>
      <c r="BT453" s="734"/>
      <c r="BU453" s="734"/>
      <c r="BV453" s="734"/>
      <c r="BW453" s="734"/>
      <c r="BX453" s="734"/>
      <c r="BY453" s="734"/>
      <c r="BZ453" s="734"/>
      <c r="CA453" s="734"/>
    </row>
    <row r="454" spans="1:79" hidden="1" outlineLevel="1" x14ac:dyDescent="0.35">
      <c r="A454" s="574"/>
      <c r="B454" s="574"/>
      <c r="C454" s="574"/>
      <c r="D454" s="574"/>
      <c r="E454" s="574"/>
      <c r="F454" s="672" t="s">
        <v>678</v>
      </c>
      <c r="G454" s="732"/>
      <c r="H454" s="732"/>
      <c r="I454" s="732"/>
      <c r="J454" s="732"/>
      <c r="K454" s="732"/>
      <c r="L454" s="732"/>
      <c r="M454" s="732"/>
      <c r="N454" s="732"/>
      <c r="O454" s="732"/>
      <c r="P454" s="732"/>
      <c r="Q454" s="732"/>
      <c r="R454" s="732"/>
      <c r="S454" s="683">
        <v>0</v>
      </c>
      <c r="T454" s="683">
        <v>0</v>
      </c>
      <c r="U454" s="683">
        <v>0</v>
      </c>
      <c r="V454" s="683">
        <v>0</v>
      </c>
      <c r="W454" s="683">
        <v>0</v>
      </c>
      <c r="X454" s="683">
        <v>0</v>
      </c>
      <c r="Y454" s="683">
        <v>0</v>
      </c>
      <c r="Z454" s="683">
        <v>0</v>
      </c>
      <c r="AA454" s="683">
        <v>0</v>
      </c>
      <c r="AB454" s="683">
        <v>0</v>
      </c>
      <c r="AC454" s="683">
        <v>0</v>
      </c>
      <c r="AD454" s="683">
        <v>0</v>
      </c>
      <c r="AE454" s="734"/>
      <c r="AF454" s="734"/>
      <c r="AG454" s="734"/>
      <c r="AH454" s="734"/>
      <c r="AI454" s="734"/>
      <c r="AJ454" s="734"/>
      <c r="AK454" s="734"/>
      <c r="AL454" s="734"/>
      <c r="AM454" s="734"/>
      <c r="AN454" s="734"/>
      <c r="AO454" s="734"/>
      <c r="AP454" s="734"/>
      <c r="AQ454" s="734"/>
      <c r="AR454" s="734"/>
      <c r="AS454" s="734"/>
      <c r="AT454" s="734"/>
      <c r="AU454" s="734"/>
      <c r="AV454" s="734"/>
      <c r="AW454" s="734"/>
      <c r="AX454" s="734"/>
      <c r="AY454" s="734"/>
      <c r="AZ454" s="734"/>
      <c r="BA454" s="734"/>
      <c r="BB454" s="734"/>
      <c r="BC454" s="734"/>
      <c r="BD454" s="734"/>
      <c r="BE454" s="734"/>
      <c r="BF454" s="734"/>
      <c r="BG454" s="734"/>
      <c r="BH454" s="734"/>
      <c r="BI454" s="734"/>
      <c r="BJ454" s="734"/>
      <c r="BK454" s="734"/>
      <c r="BL454" s="734"/>
      <c r="BM454" s="734"/>
      <c r="BN454" s="734"/>
      <c r="BO454" s="734"/>
      <c r="BP454" s="734"/>
      <c r="BQ454" s="734"/>
      <c r="BR454" s="734"/>
      <c r="BS454" s="734"/>
      <c r="BT454" s="734"/>
      <c r="BU454" s="734"/>
      <c r="BV454" s="734"/>
      <c r="BW454" s="734"/>
      <c r="BX454" s="734"/>
      <c r="BY454" s="734"/>
      <c r="BZ454" s="734"/>
      <c r="CA454" s="734"/>
    </row>
    <row r="455" spans="1:79" hidden="1" outlineLevel="1" x14ac:dyDescent="0.35">
      <c r="A455" s="574"/>
      <c r="B455" s="574"/>
      <c r="C455" s="574"/>
      <c r="D455" s="574"/>
      <c r="E455" s="574"/>
      <c r="F455" s="672" t="s">
        <v>901</v>
      </c>
      <c r="G455" s="732"/>
      <c r="H455" s="732"/>
      <c r="I455" s="732"/>
      <c r="J455" s="732"/>
      <c r="K455" s="732"/>
      <c r="L455" s="732"/>
      <c r="M455" s="732"/>
      <c r="N455" s="732"/>
      <c r="O455" s="732"/>
      <c r="P455" s="732"/>
      <c r="Q455" s="732"/>
      <c r="R455" s="732"/>
      <c r="S455" s="683">
        <v>0</v>
      </c>
      <c r="T455" s="683">
        <v>0</v>
      </c>
      <c r="U455" s="683">
        <v>0</v>
      </c>
      <c r="V455" s="683">
        <v>0</v>
      </c>
      <c r="W455" s="683">
        <v>0</v>
      </c>
      <c r="X455" s="683">
        <v>0</v>
      </c>
      <c r="Y455" s="683">
        <v>0</v>
      </c>
      <c r="Z455" s="683">
        <v>0</v>
      </c>
      <c r="AA455" s="683">
        <v>0</v>
      </c>
      <c r="AB455" s="683">
        <v>0</v>
      </c>
      <c r="AC455" s="683">
        <v>0</v>
      </c>
      <c r="AD455" s="683">
        <v>0</v>
      </c>
      <c r="AE455" s="734"/>
      <c r="AF455" s="734"/>
      <c r="AG455" s="734"/>
      <c r="AH455" s="734"/>
      <c r="AI455" s="734"/>
      <c r="AJ455" s="734"/>
      <c r="AK455" s="734"/>
      <c r="AL455" s="734"/>
      <c r="AM455" s="734"/>
      <c r="AN455" s="734"/>
      <c r="AO455" s="734"/>
      <c r="AP455" s="734"/>
      <c r="AQ455" s="734"/>
      <c r="AR455" s="734"/>
      <c r="AS455" s="734"/>
      <c r="AT455" s="734"/>
      <c r="AU455" s="734"/>
      <c r="AV455" s="734"/>
      <c r="AW455" s="734"/>
      <c r="AX455" s="734"/>
      <c r="AY455" s="734"/>
      <c r="AZ455" s="734"/>
      <c r="BA455" s="734"/>
      <c r="BB455" s="734"/>
      <c r="BC455" s="734"/>
      <c r="BD455" s="734"/>
      <c r="BE455" s="734"/>
      <c r="BF455" s="734"/>
      <c r="BG455" s="734"/>
      <c r="BH455" s="734"/>
      <c r="BI455" s="734"/>
      <c r="BJ455" s="734"/>
      <c r="BK455" s="734"/>
      <c r="BL455" s="734"/>
      <c r="BM455" s="734"/>
      <c r="BN455" s="734"/>
      <c r="BO455" s="734"/>
      <c r="BP455" s="734"/>
      <c r="BQ455" s="734"/>
      <c r="BR455" s="734"/>
      <c r="BS455" s="734"/>
      <c r="BT455" s="734"/>
      <c r="BU455" s="734"/>
      <c r="BV455" s="734"/>
      <c r="BW455" s="734"/>
      <c r="BX455" s="734"/>
      <c r="BY455" s="734"/>
      <c r="BZ455" s="734"/>
      <c r="CA455" s="734"/>
    </row>
    <row r="456" spans="1:79" hidden="1" outlineLevel="1" x14ac:dyDescent="0.35">
      <c r="A456" s="574"/>
      <c r="B456" s="574"/>
      <c r="C456" s="574"/>
      <c r="D456" s="574"/>
      <c r="E456" s="574"/>
      <c r="F456" s="672" t="s">
        <v>771</v>
      </c>
      <c r="G456" s="732"/>
      <c r="H456" s="732"/>
      <c r="I456" s="732"/>
      <c r="J456" s="732"/>
      <c r="K456" s="732"/>
      <c r="L456" s="732"/>
      <c r="M456" s="732"/>
      <c r="N456" s="732"/>
      <c r="O456" s="732"/>
      <c r="P456" s="732"/>
      <c r="Q456" s="732"/>
      <c r="R456" s="732"/>
      <c r="S456" s="683">
        <v>0</v>
      </c>
      <c r="T456" s="683">
        <v>0</v>
      </c>
      <c r="U456" s="683">
        <v>0</v>
      </c>
      <c r="V456" s="683">
        <v>0</v>
      </c>
      <c r="W456" s="683">
        <v>0</v>
      </c>
      <c r="X456" s="683">
        <v>0</v>
      </c>
      <c r="Y456" s="683">
        <v>0</v>
      </c>
      <c r="Z456" s="683">
        <v>0</v>
      </c>
      <c r="AA456" s="683">
        <v>0</v>
      </c>
      <c r="AB456" s="683">
        <v>0</v>
      </c>
      <c r="AC456" s="683">
        <v>0</v>
      </c>
      <c r="AD456" s="683">
        <v>0</v>
      </c>
      <c r="AE456" s="734"/>
      <c r="AF456" s="734"/>
      <c r="AG456" s="734"/>
      <c r="AH456" s="734"/>
      <c r="AI456" s="734"/>
      <c r="AJ456" s="734"/>
      <c r="AK456" s="734"/>
      <c r="AL456" s="734"/>
      <c r="AM456" s="734"/>
      <c r="AN456" s="734"/>
      <c r="AO456" s="734"/>
      <c r="AP456" s="734"/>
      <c r="AQ456" s="734"/>
      <c r="AR456" s="734"/>
      <c r="AS456" s="734"/>
      <c r="AT456" s="734"/>
      <c r="AU456" s="734"/>
      <c r="AV456" s="734"/>
      <c r="AW456" s="734"/>
      <c r="AX456" s="734"/>
      <c r="AY456" s="734"/>
      <c r="AZ456" s="734"/>
      <c r="BA456" s="734"/>
      <c r="BB456" s="734"/>
      <c r="BC456" s="734"/>
      <c r="BD456" s="734"/>
      <c r="BE456" s="734"/>
      <c r="BF456" s="734"/>
      <c r="BG456" s="734"/>
      <c r="BH456" s="734"/>
      <c r="BI456" s="734"/>
      <c r="BJ456" s="734"/>
      <c r="BK456" s="734"/>
      <c r="BL456" s="734"/>
      <c r="BM456" s="734"/>
      <c r="BN456" s="734"/>
      <c r="BO456" s="734"/>
      <c r="BP456" s="734"/>
      <c r="BQ456" s="734"/>
      <c r="BR456" s="734"/>
      <c r="BS456" s="734"/>
      <c r="BT456" s="734"/>
      <c r="BU456" s="734"/>
      <c r="BV456" s="734"/>
      <c r="BW456" s="734"/>
      <c r="BX456" s="734"/>
      <c r="BY456" s="734"/>
      <c r="BZ456" s="734"/>
      <c r="CA456" s="734"/>
    </row>
    <row r="457" spans="1:79" hidden="1" outlineLevel="1" x14ac:dyDescent="0.35">
      <c r="A457" s="574"/>
      <c r="B457" s="574"/>
      <c r="C457" s="574"/>
      <c r="D457" s="574"/>
      <c r="E457" s="574"/>
      <c r="F457" s="673" t="s">
        <v>679</v>
      </c>
      <c r="G457" s="680">
        <f>SUM(G453:G456)</f>
        <v>0</v>
      </c>
      <c r="H457" s="680">
        <f t="shared" ref="H457:BO457" si="151">SUM(H453:H456)</f>
        <v>0</v>
      </c>
      <c r="I457" s="680">
        <f t="shared" si="151"/>
        <v>0</v>
      </c>
      <c r="J457" s="680">
        <f t="shared" si="151"/>
        <v>0</v>
      </c>
      <c r="K457" s="680">
        <f t="shared" si="151"/>
        <v>0</v>
      </c>
      <c r="L457" s="680">
        <f t="shared" si="151"/>
        <v>0</v>
      </c>
      <c r="M457" s="680">
        <f t="shared" si="151"/>
        <v>0</v>
      </c>
      <c r="N457" s="680">
        <f t="shared" si="151"/>
        <v>0</v>
      </c>
      <c r="O457" s="680">
        <f t="shared" si="151"/>
        <v>0</v>
      </c>
      <c r="P457" s="680">
        <f t="shared" si="151"/>
        <v>0</v>
      </c>
      <c r="Q457" s="680">
        <f t="shared" si="151"/>
        <v>0</v>
      </c>
      <c r="R457" s="680">
        <f t="shared" si="151"/>
        <v>0</v>
      </c>
      <c r="S457" s="694">
        <f t="shared" ref="S457:AA457" si="152">ROUND(SUM(S452:S456),5)</f>
        <v>0</v>
      </c>
      <c r="T457" s="694">
        <f t="shared" si="152"/>
        <v>0</v>
      </c>
      <c r="U457" s="694">
        <f t="shared" si="152"/>
        <v>0</v>
      </c>
      <c r="V457" s="694">
        <f t="shared" si="152"/>
        <v>0</v>
      </c>
      <c r="W457" s="694">
        <f t="shared" si="152"/>
        <v>0</v>
      </c>
      <c r="X457" s="694">
        <f t="shared" si="152"/>
        <v>0</v>
      </c>
      <c r="Y457" s="694">
        <f t="shared" si="152"/>
        <v>0</v>
      </c>
      <c r="Z457" s="694">
        <f t="shared" si="152"/>
        <v>0</v>
      </c>
      <c r="AA457" s="694">
        <f t="shared" si="152"/>
        <v>0</v>
      </c>
      <c r="AB457" s="694">
        <f>ROUND(SUM(AB452:AB456),5)</f>
        <v>0</v>
      </c>
      <c r="AC457" s="694">
        <f>ROUND(SUM(AC452:AC456),5)</f>
        <v>0</v>
      </c>
      <c r="AD457" s="694">
        <f>ROUND(SUM(AD452:AD456),5)</f>
        <v>0</v>
      </c>
      <c r="AE457" s="680">
        <f t="shared" si="151"/>
        <v>0</v>
      </c>
      <c r="AF457" s="680">
        <f t="shared" si="151"/>
        <v>0</v>
      </c>
      <c r="AG457" s="680">
        <f t="shared" si="151"/>
        <v>0</v>
      </c>
      <c r="AH457" s="680">
        <f t="shared" si="151"/>
        <v>0</v>
      </c>
      <c r="AI457" s="680">
        <f t="shared" si="151"/>
        <v>0</v>
      </c>
      <c r="AJ457" s="680">
        <f t="shared" si="151"/>
        <v>0</v>
      </c>
      <c r="AK457" s="680">
        <f t="shared" si="151"/>
        <v>0</v>
      </c>
      <c r="AL457" s="680">
        <f t="shared" si="151"/>
        <v>0</v>
      </c>
      <c r="AM457" s="680">
        <f t="shared" si="151"/>
        <v>0</v>
      </c>
      <c r="AN457" s="680">
        <f t="shared" si="151"/>
        <v>0</v>
      </c>
      <c r="AO457" s="680">
        <f t="shared" si="151"/>
        <v>0</v>
      </c>
      <c r="AP457" s="680">
        <f t="shared" si="151"/>
        <v>0</v>
      </c>
      <c r="AQ457" s="680">
        <f t="shared" si="151"/>
        <v>0</v>
      </c>
      <c r="AR457" s="680">
        <f t="shared" si="151"/>
        <v>0</v>
      </c>
      <c r="AS457" s="680">
        <f t="shared" si="151"/>
        <v>0</v>
      </c>
      <c r="AT457" s="680">
        <f t="shared" si="151"/>
        <v>0</v>
      </c>
      <c r="AU457" s="680">
        <f t="shared" si="151"/>
        <v>0</v>
      </c>
      <c r="AV457" s="680">
        <f t="shared" si="151"/>
        <v>0</v>
      </c>
      <c r="AW457" s="680">
        <f t="shared" si="151"/>
        <v>0</v>
      </c>
      <c r="AX457" s="680">
        <f t="shared" si="151"/>
        <v>0</v>
      </c>
      <c r="AY457" s="680">
        <f t="shared" si="151"/>
        <v>0</v>
      </c>
      <c r="AZ457" s="680">
        <f t="shared" si="151"/>
        <v>0</v>
      </c>
      <c r="BA457" s="680">
        <f t="shared" si="151"/>
        <v>0</v>
      </c>
      <c r="BB457" s="680">
        <f t="shared" si="151"/>
        <v>0</v>
      </c>
      <c r="BC457" s="680">
        <f t="shared" si="151"/>
        <v>0</v>
      </c>
      <c r="BD457" s="680">
        <f t="shared" si="151"/>
        <v>0</v>
      </c>
      <c r="BE457" s="680">
        <f t="shared" si="151"/>
        <v>0</v>
      </c>
      <c r="BF457" s="680">
        <f t="shared" si="151"/>
        <v>0</v>
      </c>
      <c r="BG457" s="680">
        <f t="shared" si="151"/>
        <v>0</v>
      </c>
      <c r="BH457" s="680">
        <f t="shared" si="151"/>
        <v>0</v>
      </c>
      <c r="BI457" s="680">
        <f t="shared" si="151"/>
        <v>0</v>
      </c>
      <c r="BJ457" s="680">
        <f t="shared" si="151"/>
        <v>0</v>
      </c>
      <c r="BK457" s="680">
        <f t="shared" si="151"/>
        <v>0</v>
      </c>
      <c r="BL457" s="680">
        <f t="shared" si="151"/>
        <v>0</v>
      </c>
      <c r="BM457" s="680">
        <f t="shared" si="151"/>
        <v>0</v>
      </c>
      <c r="BN457" s="680">
        <f t="shared" si="151"/>
        <v>0</v>
      </c>
      <c r="BO457" s="680">
        <f t="shared" si="151"/>
        <v>0</v>
      </c>
      <c r="BP457" s="680">
        <f t="shared" ref="BP457:CA457" si="153">SUM(BP453:BP456)</f>
        <v>0</v>
      </c>
      <c r="BQ457" s="680">
        <f t="shared" si="153"/>
        <v>0</v>
      </c>
      <c r="BR457" s="680">
        <f t="shared" si="153"/>
        <v>0</v>
      </c>
      <c r="BS457" s="680">
        <f t="shared" si="153"/>
        <v>0</v>
      </c>
      <c r="BT457" s="680">
        <f t="shared" si="153"/>
        <v>0</v>
      </c>
      <c r="BU457" s="680">
        <f t="shared" si="153"/>
        <v>0</v>
      </c>
      <c r="BV457" s="680">
        <f t="shared" si="153"/>
        <v>0</v>
      </c>
      <c r="BW457" s="680">
        <f t="shared" si="153"/>
        <v>0</v>
      </c>
      <c r="BX457" s="680">
        <f t="shared" si="153"/>
        <v>0</v>
      </c>
      <c r="BY457" s="680">
        <f t="shared" si="153"/>
        <v>0</v>
      </c>
      <c r="BZ457" s="680">
        <f t="shared" si="153"/>
        <v>0</v>
      </c>
      <c r="CA457" s="680">
        <f t="shared" si="153"/>
        <v>0</v>
      </c>
    </row>
    <row r="458" spans="1:79" hidden="1" outlineLevel="1" x14ac:dyDescent="0.35">
      <c r="F458" s="674" t="s">
        <v>604</v>
      </c>
      <c r="G458" s="732">
        <v>208.08498911708659</v>
      </c>
      <c r="H458" s="732">
        <v>151.19530972637</v>
      </c>
      <c r="I458" s="732">
        <v>415.08569080758139</v>
      </c>
      <c r="J458" s="732">
        <v>354.64885681070547</v>
      </c>
      <c r="K458" s="732">
        <v>141.4010616450179</v>
      </c>
      <c r="L458" s="732">
        <v>463.27723792200788</v>
      </c>
      <c r="M458" s="732">
        <v>997.39178980647125</v>
      </c>
      <c r="N458" s="732">
        <v>444.15126580693186</v>
      </c>
      <c r="O458" s="732">
        <v>410.21916519572301</v>
      </c>
      <c r="P458" s="732">
        <v>517.60078263065111</v>
      </c>
      <c r="Q458" s="732">
        <v>398.17054444451406</v>
      </c>
      <c r="R458" s="732">
        <v>184.52116564915823</v>
      </c>
      <c r="S458" s="683">
        <v>641.36</v>
      </c>
      <c r="T458" s="683">
        <v>3606.17</v>
      </c>
      <c r="U458" s="683">
        <v>226.9</v>
      </c>
      <c r="V458" s="683">
        <v>47.95</v>
      </c>
      <c r="W458" s="683">
        <v>0</v>
      </c>
      <c r="X458" s="683">
        <v>87.31</v>
      </c>
      <c r="Y458" s="683">
        <v>476.52</v>
      </c>
      <c r="Z458" s="683">
        <v>14.95</v>
      </c>
      <c r="AA458" s="683">
        <v>31.58</v>
      </c>
      <c r="AB458" s="683">
        <v>0</v>
      </c>
      <c r="AC458" s="683">
        <v>353.69</v>
      </c>
      <c r="AD458" s="683">
        <v>65.66</v>
      </c>
      <c r="AE458" s="734"/>
      <c r="AF458" s="734"/>
      <c r="AG458" s="734"/>
      <c r="AH458" s="734"/>
      <c r="AI458" s="734"/>
      <c r="AJ458" s="734"/>
      <c r="AK458" s="734"/>
      <c r="AL458" s="734"/>
      <c r="AM458" s="734"/>
      <c r="AN458" s="734"/>
      <c r="AO458" s="734"/>
      <c r="AP458" s="734"/>
      <c r="AQ458" s="734"/>
      <c r="AR458" s="734"/>
      <c r="AS458" s="734"/>
      <c r="AT458" s="734"/>
      <c r="AU458" s="734"/>
      <c r="AV458" s="734"/>
      <c r="AW458" s="734"/>
      <c r="AX458" s="734"/>
      <c r="AY458" s="734"/>
      <c r="AZ458" s="734"/>
      <c r="BA458" s="734"/>
      <c r="BB458" s="734"/>
      <c r="BC458" s="734"/>
      <c r="BD458" s="734"/>
      <c r="BE458" s="734"/>
      <c r="BF458" s="734"/>
      <c r="BG458" s="734"/>
      <c r="BH458" s="734"/>
      <c r="BI458" s="734"/>
      <c r="BJ458" s="734"/>
      <c r="BK458" s="734"/>
      <c r="BL458" s="734"/>
      <c r="BM458" s="734"/>
      <c r="BN458" s="734"/>
      <c r="BO458" s="734"/>
      <c r="BP458" s="734"/>
      <c r="BQ458" s="734"/>
      <c r="BR458" s="734"/>
      <c r="BS458" s="734"/>
      <c r="BT458" s="734"/>
      <c r="BU458" s="734"/>
      <c r="BV458" s="734"/>
      <c r="BW458" s="734"/>
      <c r="BX458" s="734"/>
      <c r="BY458" s="734"/>
      <c r="BZ458" s="734"/>
      <c r="CA458" s="734"/>
    </row>
    <row r="459" spans="1:79" s="716" customFormat="1" hidden="1" outlineLevel="1" x14ac:dyDescent="0.35">
      <c r="F459" s="717" t="s">
        <v>605</v>
      </c>
      <c r="G459" s="751"/>
      <c r="H459" s="751"/>
      <c r="I459" s="751"/>
      <c r="J459" s="751"/>
      <c r="K459" s="751"/>
      <c r="L459" s="751"/>
      <c r="M459" s="751"/>
      <c r="N459" s="751"/>
      <c r="O459" s="751"/>
      <c r="P459" s="751"/>
      <c r="Q459" s="751"/>
      <c r="R459" s="751"/>
      <c r="S459" s="713"/>
      <c r="T459" s="713"/>
      <c r="U459" s="713"/>
      <c r="V459" s="713"/>
      <c r="W459" s="713"/>
      <c r="X459" s="713"/>
      <c r="Y459" s="713"/>
      <c r="Z459" s="713"/>
      <c r="AA459" s="713"/>
      <c r="AB459" s="713"/>
      <c r="AC459" s="713"/>
      <c r="AD459" s="713"/>
      <c r="AE459" s="753"/>
      <c r="AF459" s="753"/>
      <c r="AG459" s="753"/>
      <c r="AH459" s="753"/>
      <c r="AI459" s="753"/>
      <c r="AJ459" s="753"/>
      <c r="AK459" s="753"/>
      <c r="AL459" s="753"/>
      <c r="AM459" s="753"/>
      <c r="AN459" s="753"/>
      <c r="AO459" s="753"/>
      <c r="AP459" s="753"/>
      <c r="AQ459" s="753"/>
      <c r="AR459" s="753"/>
      <c r="AS459" s="753"/>
      <c r="AT459" s="753"/>
      <c r="AU459" s="753"/>
      <c r="AV459" s="753"/>
      <c r="AW459" s="753"/>
      <c r="AX459" s="753"/>
      <c r="AY459" s="753"/>
      <c r="AZ459" s="753"/>
      <c r="BA459" s="753"/>
      <c r="BB459" s="753"/>
      <c r="BC459" s="753"/>
      <c r="BD459" s="753"/>
      <c r="BE459" s="753"/>
      <c r="BF459" s="753"/>
      <c r="BG459" s="753"/>
      <c r="BH459" s="753"/>
      <c r="BI459" s="753"/>
      <c r="BJ459" s="753"/>
      <c r="BK459" s="753"/>
      <c r="BL459" s="753"/>
      <c r="BM459" s="753"/>
      <c r="BN459" s="753"/>
      <c r="BO459" s="753"/>
      <c r="BP459" s="753"/>
      <c r="BQ459" s="753"/>
      <c r="BR459" s="753"/>
      <c r="BS459" s="753"/>
      <c r="BT459" s="753"/>
      <c r="BU459" s="753"/>
      <c r="BV459" s="753"/>
      <c r="BW459" s="753"/>
      <c r="BX459" s="753"/>
      <c r="BY459" s="753"/>
      <c r="BZ459" s="753"/>
      <c r="CA459" s="753"/>
    </row>
    <row r="460" spans="1:79" s="757" customFormat="1" hidden="1" outlineLevel="1" x14ac:dyDescent="0.35">
      <c r="A460" s="504"/>
      <c r="B460" s="504"/>
      <c r="C460" s="504"/>
      <c r="D460" s="504"/>
      <c r="E460" s="504"/>
      <c r="F460" s="672" t="s">
        <v>902</v>
      </c>
      <c r="G460" s="732"/>
      <c r="H460" s="732"/>
      <c r="I460" s="732"/>
      <c r="J460" s="732"/>
      <c r="K460" s="732"/>
      <c r="L460" s="732"/>
      <c r="M460" s="732"/>
      <c r="N460" s="732"/>
      <c r="O460" s="732"/>
      <c r="P460" s="732"/>
      <c r="Q460" s="732"/>
      <c r="R460" s="732"/>
      <c r="S460" s="687"/>
      <c r="T460" s="687"/>
      <c r="U460" s="687"/>
      <c r="V460" s="687"/>
      <c r="W460" s="687"/>
      <c r="X460" s="687"/>
      <c r="Y460" s="687"/>
      <c r="Z460" s="687"/>
      <c r="AA460" s="687"/>
      <c r="AB460" s="687"/>
      <c r="AC460" s="687"/>
      <c r="AD460" s="687"/>
      <c r="AE460" s="734"/>
      <c r="AF460" s="734"/>
      <c r="AG460" s="734"/>
      <c r="AH460" s="734"/>
      <c r="AI460" s="734"/>
      <c r="AJ460" s="734"/>
      <c r="AK460" s="734"/>
      <c r="AL460" s="734"/>
      <c r="AM460" s="734"/>
      <c r="AN460" s="734"/>
      <c r="AO460" s="734"/>
      <c r="AP460" s="734"/>
      <c r="AQ460" s="734"/>
      <c r="AR460" s="734"/>
      <c r="AS460" s="734"/>
      <c r="AT460" s="734"/>
      <c r="AU460" s="734"/>
      <c r="AV460" s="734"/>
      <c r="AW460" s="734"/>
      <c r="AX460" s="734"/>
      <c r="AY460" s="734"/>
      <c r="AZ460" s="734"/>
      <c r="BA460" s="734"/>
      <c r="BB460" s="734"/>
      <c r="BC460" s="734"/>
      <c r="BD460" s="734"/>
      <c r="BE460" s="734"/>
      <c r="BF460" s="734"/>
      <c r="BG460" s="734"/>
      <c r="BH460" s="734"/>
      <c r="BI460" s="734"/>
      <c r="BJ460" s="734"/>
      <c r="BK460" s="734"/>
      <c r="BL460" s="734"/>
      <c r="BM460" s="734"/>
      <c r="BN460" s="734"/>
      <c r="BO460" s="734"/>
      <c r="BP460" s="734"/>
      <c r="BQ460" s="734"/>
      <c r="BR460" s="734"/>
      <c r="BS460" s="734"/>
      <c r="BT460" s="734"/>
      <c r="BU460" s="734"/>
      <c r="BV460" s="734"/>
      <c r="BW460" s="734"/>
      <c r="BX460" s="734"/>
      <c r="BY460" s="734"/>
      <c r="BZ460" s="734"/>
      <c r="CA460" s="734"/>
    </row>
    <row r="461" spans="1:79" s="757" customFormat="1" hidden="1" outlineLevel="1" x14ac:dyDescent="0.35">
      <c r="A461" s="504"/>
      <c r="B461" s="504"/>
      <c r="C461" s="504"/>
      <c r="D461" s="504"/>
      <c r="E461" s="504"/>
      <c r="F461" s="677" t="s">
        <v>903</v>
      </c>
      <c r="G461" s="732"/>
      <c r="H461" s="732"/>
      <c r="I461" s="732"/>
      <c r="J461" s="732"/>
      <c r="K461" s="732"/>
      <c r="L461" s="732"/>
      <c r="M461" s="732"/>
      <c r="N461" s="732"/>
      <c r="O461" s="732"/>
      <c r="P461" s="732"/>
      <c r="Q461" s="732"/>
      <c r="R461" s="732"/>
      <c r="S461" s="687">
        <v>0</v>
      </c>
      <c r="T461" s="687">
        <v>0</v>
      </c>
      <c r="U461" s="687">
        <v>0</v>
      </c>
      <c r="V461" s="687">
        <v>0</v>
      </c>
      <c r="W461" s="687">
        <v>0</v>
      </c>
      <c r="X461" s="687">
        <v>0</v>
      </c>
      <c r="Y461" s="687">
        <v>0</v>
      </c>
      <c r="Z461" s="687">
        <v>0</v>
      </c>
      <c r="AA461" s="687">
        <v>0</v>
      </c>
      <c r="AB461" s="687">
        <v>0</v>
      </c>
      <c r="AC461" s="687">
        <v>7100.77</v>
      </c>
      <c r="AD461" s="687">
        <v>0</v>
      </c>
      <c r="AE461" s="734"/>
      <c r="AF461" s="734"/>
      <c r="AG461" s="734"/>
      <c r="AH461" s="734"/>
      <c r="AI461" s="734"/>
      <c r="AJ461" s="734"/>
      <c r="AK461" s="734"/>
      <c r="AL461" s="734"/>
      <c r="AM461" s="734"/>
      <c r="AN461" s="734"/>
      <c r="AO461" s="734"/>
      <c r="AP461" s="734"/>
      <c r="AQ461" s="734"/>
      <c r="AR461" s="734"/>
      <c r="AS461" s="734"/>
      <c r="AT461" s="734"/>
      <c r="AU461" s="734"/>
      <c r="AV461" s="734"/>
      <c r="AW461" s="734"/>
      <c r="AX461" s="734"/>
      <c r="AY461" s="734"/>
      <c r="AZ461" s="734"/>
      <c r="BA461" s="734"/>
      <c r="BB461" s="734"/>
      <c r="BC461" s="734"/>
      <c r="BD461" s="734"/>
      <c r="BE461" s="734"/>
      <c r="BF461" s="734"/>
      <c r="BG461" s="734"/>
      <c r="BH461" s="734"/>
      <c r="BI461" s="734"/>
      <c r="BJ461" s="734"/>
      <c r="BK461" s="734"/>
      <c r="BL461" s="734"/>
      <c r="BM461" s="734"/>
      <c r="BN461" s="734"/>
      <c r="BO461" s="734"/>
      <c r="BP461" s="734"/>
      <c r="BQ461" s="734"/>
      <c r="BR461" s="734"/>
      <c r="BS461" s="734"/>
      <c r="BT461" s="734"/>
      <c r="BU461" s="734"/>
      <c r="BV461" s="734"/>
      <c r="BW461" s="734"/>
      <c r="BX461" s="734"/>
      <c r="BY461" s="734"/>
      <c r="BZ461" s="734"/>
      <c r="CA461" s="734"/>
    </row>
    <row r="462" spans="1:79" s="757" customFormat="1" hidden="1" outlineLevel="1" x14ac:dyDescent="0.35">
      <c r="A462" s="504"/>
      <c r="B462" s="504"/>
      <c r="C462" s="504"/>
      <c r="D462" s="504"/>
      <c r="E462" s="504"/>
      <c r="F462" s="677" t="s">
        <v>904</v>
      </c>
      <c r="G462" s="732"/>
      <c r="H462" s="732"/>
      <c r="I462" s="732"/>
      <c r="J462" s="732"/>
      <c r="K462" s="732"/>
      <c r="L462" s="732"/>
      <c r="M462" s="732"/>
      <c r="N462" s="732"/>
      <c r="O462" s="732"/>
      <c r="P462" s="732"/>
      <c r="Q462" s="732"/>
      <c r="R462" s="732"/>
      <c r="S462" s="687">
        <v>0</v>
      </c>
      <c r="T462" s="687">
        <v>0</v>
      </c>
      <c r="U462" s="687">
        <v>0</v>
      </c>
      <c r="V462" s="687">
        <v>0</v>
      </c>
      <c r="W462" s="687">
        <v>0</v>
      </c>
      <c r="X462" s="687">
        <v>0</v>
      </c>
      <c r="Y462" s="687">
        <v>0</v>
      </c>
      <c r="Z462" s="687">
        <v>0</v>
      </c>
      <c r="AA462" s="687">
        <v>0</v>
      </c>
      <c r="AB462" s="687">
        <v>0</v>
      </c>
      <c r="AC462" s="687">
        <v>74.989999999999995</v>
      </c>
      <c r="AD462" s="687">
        <v>0</v>
      </c>
      <c r="AE462" s="734"/>
      <c r="AF462" s="734"/>
      <c r="AG462" s="734"/>
      <c r="AH462" s="734"/>
      <c r="AI462" s="734"/>
      <c r="AJ462" s="734"/>
      <c r="AK462" s="734"/>
      <c r="AL462" s="734"/>
      <c r="AM462" s="734"/>
      <c r="AN462" s="734"/>
      <c r="AO462" s="734"/>
      <c r="AP462" s="734"/>
      <c r="AQ462" s="734"/>
      <c r="AR462" s="734"/>
      <c r="AS462" s="734"/>
      <c r="AT462" s="734"/>
      <c r="AU462" s="734"/>
      <c r="AV462" s="734"/>
      <c r="AW462" s="734"/>
      <c r="AX462" s="734"/>
      <c r="AY462" s="734"/>
      <c r="AZ462" s="734"/>
      <c r="BA462" s="734"/>
      <c r="BB462" s="734"/>
      <c r="BC462" s="734"/>
      <c r="BD462" s="734"/>
      <c r="BE462" s="734"/>
      <c r="BF462" s="734"/>
      <c r="BG462" s="734"/>
      <c r="BH462" s="734"/>
      <c r="BI462" s="734"/>
      <c r="BJ462" s="734"/>
      <c r="BK462" s="734"/>
      <c r="BL462" s="734"/>
      <c r="BM462" s="734"/>
      <c r="BN462" s="734"/>
      <c r="BO462" s="734"/>
      <c r="BP462" s="734"/>
      <c r="BQ462" s="734"/>
      <c r="BR462" s="734"/>
      <c r="BS462" s="734"/>
      <c r="BT462" s="734"/>
      <c r="BU462" s="734"/>
      <c r="BV462" s="734"/>
      <c r="BW462" s="734"/>
      <c r="BX462" s="734"/>
      <c r="BY462" s="734"/>
      <c r="BZ462" s="734"/>
      <c r="CA462" s="734"/>
    </row>
    <row r="463" spans="1:79" s="757" customFormat="1" hidden="1" outlineLevel="1" x14ac:dyDescent="0.35">
      <c r="A463" s="504"/>
      <c r="B463" s="504"/>
      <c r="C463" s="504"/>
      <c r="D463" s="504"/>
      <c r="E463" s="504"/>
      <c r="F463" s="677" t="s">
        <v>905</v>
      </c>
      <c r="G463" s="732"/>
      <c r="H463" s="732"/>
      <c r="I463" s="732"/>
      <c r="J463" s="732"/>
      <c r="K463" s="732"/>
      <c r="L463" s="732"/>
      <c r="M463" s="732"/>
      <c r="N463" s="732"/>
      <c r="O463" s="732"/>
      <c r="P463" s="732"/>
      <c r="Q463" s="732"/>
      <c r="R463" s="732"/>
      <c r="S463" s="687">
        <v>0</v>
      </c>
      <c r="T463" s="687">
        <v>0</v>
      </c>
      <c r="U463" s="687">
        <v>0</v>
      </c>
      <c r="V463" s="687">
        <v>0</v>
      </c>
      <c r="W463" s="687">
        <v>0</v>
      </c>
      <c r="X463" s="687">
        <v>0</v>
      </c>
      <c r="Y463" s="687">
        <v>0</v>
      </c>
      <c r="Z463" s="687">
        <v>0</v>
      </c>
      <c r="AA463" s="687">
        <v>0</v>
      </c>
      <c r="AB463" s="687">
        <v>0</v>
      </c>
      <c r="AC463" s="687">
        <v>0</v>
      </c>
      <c r="AD463" s="687">
        <v>6939.57</v>
      </c>
      <c r="AE463" s="734"/>
      <c r="AF463" s="734"/>
      <c r="AG463" s="734"/>
      <c r="AH463" s="734"/>
      <c r="AI463" s="734"/>
      <c r="AJ463" s="734"/>
      <c r="AK463" s="734"/>
      <c r="AL463" s="734"/>
      <c r="AM463" s="734"/>
      <c r="AN463" s="734"/>
      <c r="AO463" s="734"/>
      <c r="AP463" s="734"/>
      <c r="AQ463" s="734"/>
      <c r="AR463" s="734"/>
      <c r="AS463" s="734"/>
      <c r="AT463" s="734"/>
      <c r="AU463" s="734"/>
      <c r="AV463" s="734"/>
      <c r="AW463" s="734"/>
      <c r="AX463" s="734"/>
      <c r="AY463" s="734"/>
      <c r="AZ463" s="734"/>
      <c r="BA463" s="734"/>
      <c r="BB463" s="734"/>
      <c r="BC463" s="734"/>
      <c r="BD463" s="734"/>
      <c r="BE463" s="734"/>
      <c r="BF463" s="734"/>
      <c r="BG463" s="734"/>
      <c r="BH463" s="734"/>
      <c r="BI463" s="734"/>
      <c r="BJ463" s="734"/>
      <c r="BK463" s="734"/>
      <c r="BL463" s="734"/>
      <c r="BM463" s="734"/>
      <c r="BN463" s="734"/>
      <c r="BO463" s="734"/>
      <c r="BP463" s="734"/>
      <c r="BQ463" s="734"/>
      <c r="BR463" s="734"/>
      <c r="BS463" s="734"/>
      <c r="BT463" s="734"/>
      <c r="BU463" s="734"/>
      <c r="BV463" s="734"/>
      <c r="BW463" s="734"/>
      <c r="BX463" s="734"/>
      <c r="BY463" s="734"/>
      <c r="BZ463" s="734"/>
      <c r="CA463" s="734"/>
    </row>
    <row r="464" spans="1:79" s="757" customFormat="1" hidden="1" outlineLevel="1" x14ac:dyDescent="0.35">
      <c r="A464" s="504"/>
      <c r="B464" s="504"/>
      <c r="C464" s="504"/>
      <c r="D464" s="504"/>
      <c r="E464" s="504"/>
      <c r="F464" s="677" t="s">
        <v>906</v>
      </c>
      <c r="G464" s="732"/>
      <c r="H464" s="732"/>
      <c r="I464" s="732"/>
      <c r="J464" s="732"/>
      <c r="K464" s="732"/>
      <c r="L464" s="732"/>
      <c r="M464" s="732"/>
      <c r="N464" s="732"/>
      <c r="O464" s="732"/>
      <c r="P464" s="732"/>
      <c r="Q464" s="732"/>
      <c r="R464" s="732"/>
      <c r="S464" s="687">
        <v>0</v>
      </c>
      <c r="T464" s="687">
        <v>0</v>
      </c>
      <c r="U464" s="687">
        <v>0</v>
      </c>
      <c r="V464" s="687">
        <v>0</v>
      </c>
      <c r="W464" s="687">
        <v>0</v>
      </c>
      <c r="X464" s="687">
        <v>0</v>
      </c>
      <c r="Y464" s="687">
        <v>0</v>
      </c>
      <c r="Z464" s="687">
        <v>0</v>
      </c>
      <c r="AA464" s="687">
        <v>0</v>
      </c>
      <c r="AB464" s="687">
        <v>0</v>
      </c>
      <c r="AC464" s="687">
        <v>0</v>
      </c>
      <c r="AD464" s="687">
        <v>0</v>
      </c>
      <c r="AE464" s="734"/>
      <c r="AF464" s="734"/>
      <c r="AG464" s="734"/>
      <c r="AH464" s="734"/>
      <c r="AI464" s="734"/>
      <c r="AJ464" s="734"/>
      <c r="AK464" s="734"/>
      <c r="AL464" s="734"/>
      <c r="AM464" s="734"/>
      <c r="AN464" s="734"/>
      <c r="AO464" s="734"/>
      <c r="AP464" s="734"/>
      <c r="AQ464" s="734"/>
      <c r="AR464" s="734"/>
      <c r="AS464" s="734"/>
      <c r="AT464" s="734"/>
      <c r="AU464" s="734"/>
      <c r="AV464" s="734"/>
      <c r="AW464" s="734"/>
      <c r="AX464" s="734"/>
      <c r="AY464" s="734"/>
      <c r="AZ464" s="734"/>
      <c r="BA464" s="734"/>
      <c r="BB464" s="734"/>
      <c r="BC464" s="734"/>
      <c r="BD464" s="734"/>
      <c r="BE464" s="734"/>
      <c r="BF464" s="734"/>
      <c r="BG464" s="734"/>
      <c r="BH464" s="734"/>
      <c r="BI464" s="734"/>
      <c r="BJ464" s="734"/>
      <c r="BK464" s="734"/>
      <c r="BL464" s="734"/>
      <c r="BM464" s="734"/>
      <c r="BN464" s="734"/>
      <c r="BO464" s="734"/>
      <c r="BP464" s="734"/>
      <c r="BQ464" s="734"/>
      <c r="BR464" s="734"/>
      <c r="BS464" s="734"/>
      <c r="BT464" s="734"/>
      <c r="BU464" s="734"/>
      <c r="BV464" s="734"/>
      <c r="BW464" s="734"/>
      <c r="BX464" s="734"/>
      <c r="BY464" s="734"/>
      <c r="BZ464" s="734"/>
      <c r="CA464" s="734"/>
    </row>
    <row r="465" spans="1:79" s="757" customFormat="1" hidden="1" outlineLevel="1" x14ac:dyDescent="0.35">
      <c r="A465" s="504"/>
      <c r="B465" s="504"/>
      <c r="C465" s="504"/>
      <c r="D465" s="504"/>
      <c r="E465" s="504"/>
      <c r="F465" s="677" t="s">
        <v>907</v>
      </c>
      <c r="G465" s="732"/>
      <c r="H465" s="732"/>
      <c r="I465" s="732"/>
      <c r="J465" s="732"/>
      <c r="K465" s="732"/>
      <c r="L465" s="732"/>
      <c r="M465" s="732"/>
      <c r="N465" s="732"/>
      <c r="O465" s="732"/>
      <c r="P465" s="732"/>
      <c r="Q465" s="732"/>
      <c r="R465" s="732"/>
      <c r="S465" s="687">
        <v>0</v>
      </c>
      <c r="T465" s="687">
        <v>0</v>
      </c>
      <c r="U465" s="687">
        <v>0</v>
      </c>
      <c r="V465" s="687">
        <v>0</v>
      </c>
      <c r="W465" s="687">
        <v>0</v>
      </c>
      <c r="X465" s="687">
        <v>0</v>
      </c>
      <c r="Y465" s="687">
        <v>0</v>
      </c>
      <c r="Z465" s="687">
        <v>0</v>
      </c>
      <c r="AA465" s="687">
        <v>0</v>
      </c>
      <c r="AB465" s="687">
        <v>0</v>
      </c>
      <c r="AC465" s="687">
        <v>0</v>
      </c>
      <c r="AD465" s="687">
        <v>0</v>
      </c>
      <c r="AE465" s="734"/>
      <c r="AF465" s="734"/>
      <c r="AG465" s="734"/>
      <c r="AH465" s="734"/>
      <c r="AI465" s="734"/>
      <c r="AJ465" s="734"/>
      <c r="AK465" s="734"/>
      <c r="AL465" s="734"/>
      <c r="AM465" s="734"/>
      <c r="AN465" s="734"/>
      <c r="AO465" s="734"/>
      <c r="AP465" s="734"/>
      <c r="AQ465" s="734"/>
      <c r="AR465" s="734"/>
      <c r="AS465" s="734"/>
      <c r="AT465" s="734"/>
      <c r="AU465" s="734"/>
      <c r="AV465" s="734"/>
      <c r="AW465" s="734"/>
      <c r="AX465" s="734"/>
      <c r="AY465" s="734"/>
      <c r="AZ465" s="734"/>
      <c r="BA465" s="734"/>
      <c r="BB465" s="734"/>
      <c r="BC465" s="734"/>
      <c r="BD465" s="734"/>
      <c r="BE465" s="734"/>
      <c r="BF465" s="734"/>
      <c r="BG465" s="734"/>
      <c r="BH465" s="734"/>
      <c r="BI465" s="734"/>
      <c r="BJ465" s="734"/>
      <c r="BK465" s="734"/>
      <c r="BL465" s="734"/>
      <c r="BM465" s="734"/>
      <c r="BN465" s="734"/>
      <c r="BO465" s="734"/>
      <c r="BP465" s="734"/>
      <c r="BQ465" s="734"/>
      <c r="BR465" s="734"/>
      <c r="BS465" s="734"/>
      <c r="BT465" s="734"/>
      <c r="BU465" s="734"/>
      <c r="BV465" s="734"/>
      <c r="BW465" s="734"/>
      <c r="BX465" s="734"/>
      <c r="BY465" s="734"/>
      <c r="BZ465" s="734"/>
      <c r="CA465" s="734"/>
    </row>
    <row r="466" spans="1:79" s="757" customFormat="1" hidden="1" outlineLevel="1" x14ac:dyDescent="0.35">
      <c r="A466" s="504"/>
      <c r="B466" s="504"/>
      <c r="C466" s="504"/>
      <c r="D466" s="504"/>
      <c r="E466" s="504"/>
      <c r="F466" s="673" t="s">
        <v>908</v>
      </c>
      <c r="G466" s="680">
        <f t="shared" ref="G466:R466" si="154">SUM(G460:G465)</f>
        <v>0</v>
      </c>
      <c r="H466" s="680">
        <f t="shared" si="154"/>
        <v>0</v>
      </c>
      <c r="I466" s="680">
        <f t="shared" si="154"/>
        <v>0</v>
      </c>
      <c r="J466" s="680">
        <f t="shared" si="154"/>
        <v>0</v>
      </c>
      <c r="K466" s="680">
        <f t="shared" si="154"/>
        <v>0</v>
      </c>
      <c r="L466" s="680">
        <f t="shared" si="154"/>
        <v>0</v>
      </c>
      <c r="M466" s="680">
        <f t="shared" si="154"/>
        <v>0</v>
      </c>
      <c r="N466" s="680">
        <f t="shared" si="154"/>
        <v>0</v>
      </c>
      <c r="O466" s="680">
        <f t="shared" si="154"/>
        <v>0</v>
      </c>
      <c r="P466" s="680">
        <f t="shared" si="154"/>
        <v>0</v>
      </c>
      <c r="Q466" s="680">
        <f t="shared" si="154"/>
        <v>0</v>
      </c>
      <c r="R466" s="680">
        <f t="shared" si="154"/>
        <v>0</v>
      </c>
      <c r="S466" s="695">
        <f t="shared" ref="S466:AB466" si="155">ROUND(SUM(S460:S465),5)</f>
        <v>0</v>
      </c>
      <c r="T466" s="695">
        <f t="shared" si="155"/>
        <v>0</v>
      </c>
      <c r="U466" s="695">
        <f t="shared" si="155"/>
        <v>0</v>
      </c>
      <c r="V466" s="695">
        <f t="shared" si="155"/>
        <v>0</v>
      </c>
      <c r="W466" s="695">
        <f t="shared" si="155"/>
        <v>0</v>
      </c>
      <c r="X466" s="695">
        <f t="shared" si="155"/>
        <v>0</v>
      </c>
      <c r="Y466" s="695">
        <f t="shared" si="155"/>
        <v>0</v>
      </c>
      <c r="Z466" s="695">
        <f t="shared" si="155"/>
        <v>0</v>
      </c>
      <c r="AA466" s="695">
        <f t="shared" si="155"/>
        <v>0</v>
      </c>
      <c r="AB466" s="695">
        <f t="shared" si="155"/>
        <v>0</v>
      </c>
      <c r="AC466" s="695">
        <f>ROUND(SUM(AC460:AC465),5)</f>
        <v>7175.76</v>
      </c>
      <c r="AD466" s="695">
        <f>ROUND(SUM(AD460:AD465),5)</f>
        <v>6939.57</v>
      </c>
      <c r="AE466" s="680">
        <f t="shared" ref="AE466:BJ466" si="156">SUM(AE460:AE465)</f>
        <v>0</v>
      </c>
      <c r="AF466" s="680">
        <f t="shared" si="156"/>
        <v>0</v>
      </c>
      <c r="AG466" s="680">
        <f t="shared" si="156"/>
        <v>0</v>
      </c>
      <c r="AH466" s="680">
        <f t="shared" si="156"/>
        <v>0</v>
      </c>
      <c r="AI466" s="680">
        <f t="shared" si="156"/>
        <v>0</v>
      </c>
      <c r="AJ466" s="680">
        <f t="shared" si="156"/>
        <v>0</v>
      </c>
      <c r="AK466" s="680">
        <f t="shared" si="156"/>
        <v>0</v>
      </c>
      <c r="AL466" s="680">
        <f t="shared" si="156"/>
        <v>0</v>
      </c>
      <c r="AM466" s="680">
        <f t="shared" si="156"/>
        <v>0</v>
      </c>
      <c r="AN466" s="680">
        <f t="shared" si="156"/>
        <v>0</v>
      </c>
      <c r="AO466" s="680">
        <f t="shared" si="156"/>
        <v>0</v>
      </c>
      <c r="AP466" s="680">
        <f t="shared" si="156"/>
        <v>0</v>
      </c>
      <c r="AQ466" s="680">
        <f t="shared" si="156"/>
        <v>0</v>
      </c>
      <c r="AR466" s="680">
        <f t="shared" si="156"/>
        <v>0</v>
      </c>
      <c r="AS466" s="680">
        <f t="shared" si="156"/>
        <v>0</v>
      </c>
      <c r="AT466" s="680">
        <f t="shared" si="156"/>
        <v>0</v>
      </c>
      <c r="AU466" s="680">
        <f t="shared" si="156"/>
        <v>0</v>
      </c>
      <c r="AV466" s="680">
        <f t="shared" si="156"/>
        <v>0</v>
      </c>
      <c r="AW466" s="680">
        <f t="shared" si="156"/>
        <v>0</v>
      </c>
      <c r="AX466" s="680">
        <f t="shared" si="156"/>
        <v>0</v>
      </c>
      <c r="AY466" s="680">
        <f t="shared" si="156"/>
        <v>0</v>
      </c>
      <c r="AZ466" s="680">
        <f t="shared" si="156"/>
        <v>0</v>
      </c>
      <c r="BA466" s="680">
        <f t="shared" si="156"/>
        <v>0</v>
      </c>
      <c r="BB466" s="680">
        <f t="shared" si="156"/>
        <v>0</v>
      </c>
      <c r="BC466" s="680">
        <f t="shared" si="156"/>
        <v>0</v>
      </c>
      <c r="BD466" s="680">
        <f t="shared" si="156"/>
        <v>0</v>
      </c>
      <c r="BE466" s="680">
        <f t="shared" si="156"/>
        <v>0</v>
      </c>
      <c r="BF466" s="680">
        <f t="shared" si="156"/>
        <v>0</v>
      </c>
      <c r="BG466" s="680">
        <f t="shared" si="156"/>
        <v>0</v>
      </c>
      <c r="BH466" s="680">
        <f t="shared" si="156"/>
        <v>0</v>
      </c>
      <c r="BI466" s="680">
        <f t="shared" si="156"/>
        <v>0</v>
      </c>
      <c r="BJ466" s="680">
        <f t="shared" si="156"/>
        <v>0</v>
      </c>
      <c r="BK466" s="680">
        <f t="shared" ref="BK466:CA466" si="157">SUM(BK460:BK465)</f>
        <v>0</v>
      </c>
      <c r="BL466" s="680">
        <f t="shared" si="157"/>
        <v>0</v>
      </c>
      <c r="BM466" s="680">
        <f t="shared" si="157"/>
        <v>0</v>
      </c>
      <c r="BN466" s="680">
        <f t="shared" si="157"/>
        <v>0</v>
      </c>
      <c r="BO466" s="680">
        <f t="shared" si="157"/>
        <v>0</v>
      </c>
      <c r="BP466" s="680">
        <f t="shared" si="157"/>
        <v>0</v>
      </c>
      <c r="BQ466" s="680">
        <f t="shared" si="157"/>
        <v>0</v>
      </c>
      <c r="BR466" s="680">
        <f t="shared" si="157"/>
        <v>0</v>
      </c>
      <c r="BS466" s="680">
        <f t="shared" si="157"/>
        <v>0</v>
      </c>
      <c r="BT466" s="680">
        <f t="shared" si="157"/>
        <v>0</v>
      </c>
      <c r="BU466" s="680">
        <f t="shared" si="157"/>
        <v>0</v>
      </c>
      <c r="BV466" s="680">
        <f t="shared" si="157"/>
        <v>0</v>
      </c>
      <c r="BW466" s="680">
        <f t="shared" si="157"/>
        <v>0</v>
      </c>
      <c r="BX466" s="680">
        <f t="shared" si="157"/>
        <v>0</v>
      </c>
      <c r="BY466" s="680">
        <f t="shared" si="157"/>
        <v>0</v>
      </c>
      <c r="BZ466" s="680">
        <f t="shared" si="157"/>
        <v>0</v>
      </c>
      <c r="CA466" s="680">
        <f t="shared" si="157"/>
        <v>0</v>
      </c>
    </row>
    <row r="467" spans="1:79" s="764" customFormat="1" hidden="1" outlineLevel="1" x14ac:dyDescent="0.35">
      <c r="F467" s="717" t="s">
        <v>630</v>
      </c>
      <c r="G467" s="765"/>
      <c r="H467" s="765"/>
      <c r="I467" s="765"/>
      <c r="J467" s="765"/>
      <c r="K467" s="765"/>
      <c r="L467" s="765"/>
      <c r="M467" s="765"/>
      <c r="N467" s="765"/>
      <c r="O467" s="765"/>
      <c r="P467" s="766"/>
      <c r="Q467" s="766"/>
      <c r="R467" s="766"/>
      <c r="S467" s="713"/>
      <c r="T467" s="713"/>
      <c r="U467" s="713"/>
      <c r="V467" s="713"/>
      <c r="W467" s="713"/>
      <c r="X467" s="713"/>
      <c r="Y467" s="713"/>
      <c r="Z467" s="713"/>
      <c r="AA467" s="713"/>
      <c r="AB467" s="713"/>
      <c r="AC467" s="713"/>
      <c r="AD467" s="713"/>
      <c r="AE467" s="767"/>
      <c r="AF467" s="767"/>
      <c r="AG467" s="767"/>
      <c r="AH467" s="767"/>
      <c r="AI467" s="767"/>
      <c r="AJ467" s="767"/>
      <c r="AK467" s="767"/>
      <c r="AL467" s="767"/>
      <c r="AM467" s="767"/>
      <c r="AN467" s="767"/>
      <c r="AO467" s="767"/>
      <c r="AP467" s="767"/>
      <c r="AQ467" s="767"/>
      <c r="AR467" s="767"/>
      <c r="AS467" s="767"/>
      <c r="AT467" s="767"/>
      <c r="AU467" s="767"/>
      <c r="AV467" s="767"/>
      <c r="AW467" s="767"/>
      <c r="AX467" s="767"/>
      <c r="AY467" s="767"/>
      <c r="AZ467" s="767"/>
      <c r="BA467" s="767"/>
      <c r="BB467" s="767"/>
      <c r="BC467" s="767"/>
      <c r="BD467" s="767"/>
      <c r="BE467" s="767"/>
      <c r="BF467" s="767"/>
      <c r="BG467" s="767"/>
      <c r="BH467" s="767"/>
      <c r="BI467" s="767"/>
      <c r="BJ467" s="767"/>
      <c r="BK467" s="767"/>
      <c r="BL467" s="767"/>
      <c r="BM467" s="767"/>
      <c r="BN467" s="767"/>
      <c r="BO467" s="767"/>
      <c r="BP467" s="767"/>
      <c r="BQ467" s="767"/>
      <c r="BR467" s="767"/>
      <c r="BS467" s="767"/>
      <c r="BT467" s="767"/>
      <c r="BU467" s="767"/>
      <c r="BV467" s="767"/>
      <c r="BW467" s="767"/>
      <c r="BX467" s="767"/>
      <c r="BY467" s="767"/>
      <c r="BZ467" s="767"/>
      <c r="CA467" s="767"/>
    </row>
    <row r="468" spans="1:79" s="759" customFormat="1" hidden="1" outlineLevel="1" x14ac:dyDescent="0.35">
      <c r="A468" s="502"/>
      <c r="B468" s="502"/>
      <c r="C468" s="502"/>
      <c r="D468" s="502"/>
      <c r="E468" s="502"/>
      <c r="F468" s="677" t="s">
        <v>631</v>
      </c>
      <c r="G468" s="744"/>
      <c r="H468" s="744"/>
      <c r="I468" s="744"/>
      <c r="J468" s="744"/>
      <c r="K468" s="744"/>
      <c r="L468" s="744"/>
      <c r="M468" s="744"/>
      <c r="N468" s="744"/>
      <c r="O468" s="744"/>
      <c r="P468" s="745"/>
      <c r="Q468" s="745"/>
      <c r="R468" s="745"/>
      <c r="S468" s="683">
        <v>49.97</v>
      </c>
      <c r="T468" s="683">
        <v>4.38</v>
      </c>
      <c r="U468" s="683">
        <v>3.65</v>
      </c>
      <c r="V468" s="683">
        <v>10.029999999999999</v>
      </c>
      <c r="W468" s="683">
        <v>0.34</v>
      </c>
      <c r="X468" s="683">
        <v>3.12</v>
      </c>
      <c r="Y468" s="683">
        <v>5.3</v>
      </c>
      <c r="Z468" s="683">
        <v>3.1</v>
      </c>
      <c r="AA468" s="683">
        <v>0.51</v>
      </c>
      <c r="AB468" s="683">
        <v>6.06</v>
      </c>
      <c r="AC468" s="683">
        <v>0.94</v>
      </c>
      <c r="AD468" s="683">
        <v>0</v>
      </c>
      <c r="AE468" s="746"/>
      <c r="AF468" s="746"/>
      <c r="AG468" s="746"/>
      <c r="AH468" s="746"/>
      <c r="AI468" s="746"/>
      <c r="AJ468" s="746"/>
      <c r="AK468" s="746"/>
      <c r="AL468" s="746"/>
      <c r="AM468" s="746"/>
      <c r="AN468" s="746"/>
      <c r="AO468" s="746"/>
      <c r="AP468" s="746"/>
      <c r="AQ468" s="746"/>
      <c r="AR468" s="746"/>
      <c r="AS468" s="746"/>
      <c r="AT468" s="746"/>
      <c r="AU468" s="746"/>
      <c r="AV468" s="746"/>
      <c r="AW468" s="746"/>
      <c r="AX468" s="746"/>
      <c r="AY468" s="746"/>
      <c r="AZ468" s="746"/>
      <c r="BA468" s="746"/>
      <c r="BB468" s="746"/>
      <c r="BC468" s="746"/>
      <c r="BD468" s="746"/>
      <c r="BE468" s="746"/>
      <c r="BF468" s="746"/>
      <c r="BG468" s="746"/>
      <c r="BH468" s="746"/>
      <c r="BI468" s="746"/>
      <c r="BJ468" s="746"/>
      <c r="BK468" s="746"/>
      <c r="BL468" s="746"/>
      <c r="BM468" s="746"/>
      <c r="BN468" s="746"/>
      <c r="BO468" s="746"/>
      <c r="BP468" s="746"/>
      <c r="BQ468" s="746"/>
      <c r="BR468" s="746"/>
      <c r="BS468" s="746"/>
      <c r="BT468" s="746"/>
      <c r="BU468" s="746"/>
      <c r="BV468" s="746"/>
      <c r="BW468" s="746"/>
      <c r="BX468" s="746"/>
      <c r="BY468" s="746"/>
      <c r="BZ468" s="746"/>
      <c r="CA468" s="746"/>
    </row>
    <row r="469" spans="1:79" s="759" customFormat="1" hidden="1" outlineLevel="1" x14ac:dyDescent="0.35">
      <c r="A469" s="502"/>
      <c r="B469" s="502"/>
      <c r="C469" s="502"/>
      <c r="D469" s="502"/>
      <c r="E469" s="502"/>
      <c r="F469" s="677" t="s">
        <v>632</v>
      </c>
      <c r="G469" s="744"/>
      <c r="H469" s="744"/>
      <c r="I469" s="744"/>
      <c r="J469" s="744"/>
      <c r="K469" s="744"/>
      <c r="L469" s="744"/>
      <c r="M469" s="744"/>
      <c r="N469" s="744"/>
      <c r="O469" s="744"/>
      <c r="P469" s="745"/>
      <c r="Q469" s="745"/>
      <c r="R469" s="745"/>
      <c r="S469" s="683">
        <v>353.31</v>
      </c>
      <c r="T469" s="683">
        <v>34.31</v>
      </c>
      <c r="U469" s="683">
        <v>21.92</v>
      </c>
      <c r="V469" s="683">
        <v>97.87</v>
      </c>
      <c r="W469" s="683">
        <v>6.33</v>
      </c>
      <c r="X469" s="683">
        <v>18.73</v>
      </c>
      <c r="Y469" s="683">
        <v>31.77</v>
      </c>
      <c r="Z469" s="683">
        <v>19.46</v>
      </c>
      <c r="AA469" s="683">
        <v>11.84</v>
      </c>
      <c r="AB469" s="683">
        <v>79.91</v>
      </c>
      <c r="AC469" s="683">
        <v>35.99</v>
      </c>
      <c r="AD469" s="683">
        <v>0.46</v>
      </c>
      <c r="AE469" s="746"/>
      <c r="AF469" s="746"/>
      <c r="AG469" s="746"/>
      <c r="AH469" s="746"/>
      <c r="AI469" s="746"/>
      <c r="AJ469" s="746"/>
      <c r="AK469" s="746"/>
      <c r="AL469" s="746"/>
      <c r="AM469" s="746"/>
      <c r="AN469" s="746"/>
      <c r="AO469" s="746"/>
      <c r="AP469" s="746"/>
      <c r="AQ469" s="746"/>
      <c r="AR469" s="746"/>
      <c r="AS469" s="746"/>
      <c r="AT469" s="746"/>
      <c r="AU469" s="746"/>
      <c r="AV469" s="746"/>
      <c r="AW469" s="746"/>
      <c r="AX469" s="746"/>
      <c r="AY469" s="746"/>
      <c r="AZ469" s="746"/>
      <c r="BA469" s="746"/>
      <c r="BB469" s="746"/>
      <c r="BC469" s="746"/>
      <c r="BD469" s="746"/>
      <c r="BE469" s="746"/>
      <c r="BF469" s="746"/>
      <c r="BG469" s="746"/>
      <c r="BH469" s="746"/>
      <c r="BI469" s="746"/>
      <c r="BJ469" s="746"/>
      <c r="BK469" s="746"/>
      <c r="BL469" s="746"/>
      <c r="BM469" s="746"/>
      <c r="BN469" s="746"/>
      <c r="BO469" s="746"/>
      <c r="BP469" s="746"/>
      <c r="BQ469" s="746"/>
      <c r="BR469" s="746"/>
      <c r="BS469" s="746"/>
      <c r="BT469" s="746"/>
      <c r="BU469" s="746"/>
      <c r="BV469" s="746"/>
      <c r="BW469" s="746"/>
      <c r="BX469" s="746"/>
      <c r="BY469" s="746"/>
      <c r="BZ469" s="746"/>
      <c r="CA469" s="746"/>
    </row>
    <row r="470" spans="1:79" s="759" customFormat="1" hidden="1" outlineLevel="1" x14ac:dyDescent="0.35">
      <c r="A470" s="502"/>
      <c r="B470" s="502"/>
      <c r="C470" s="502"/>
      <c r="D470" s="502"/>
      <c r="E470" s="502"/>
      <c r="F470" s="677" t="s">
        <v>633</v>
      </c>
      <c r="G470" s="744"/>
      <c r="H470" s="744"/>
      <c r="I470" s="744"/>
      <c r="J470" s="744"/>
      <c r="K470" s="745"/>
      <c r="L470" s="745"/>
      <c r="M470" s="745"/>
      <c r="N470" s="745"/>
      <c r="O470" s="745"/>
      <c r="P470" s="745"/>
      <c r="Q470" s="745"/>
      <c r="R470" s="745"/>
      <c r="S470" s="683">
        <v>2394</v>
      </c>
      <c r="T470" s="683">
        <v>2506.16</v>
      </c>
      <c r="U470" s="683">
        <v>2892.91</v>
      </c>
      <c r="V470" s="683">
        <v>3872.58</v>
      </c>
      <c r="W470" s="683">
        <v>3098.49</v>
      </c>
      <c r="X470" s="683">
        <v>2889.4</v>
      </c>
      <c r="Y470" s="683">
        <v>3170.03</v>
      </c>
      <c r="Z470" s="683">
        <v>2152.04</v>
      </c>
      <c r="AA470" s="683">
        <v>3969.13</v>
      </c>
      <c r="AB470" s="683">
        <v>3157.83</v>
      </c>
      <c r="AC470" s="683">
        <v>3092.85</v>
      </c>
      <c r="AD470" s="683">
        <v>-7611.51</v>
      </c>
      <c r="AE470" s="746"/>
      <c r="AF470" s="746"/>
      <c r="AG470" s="746"/>
      <c r="AH470" s="746"/>
      <c r="AI470" s="746"/>
      <c r="AJ470" s="746"/>
      <c r="AK470" s="746"/>
      <c r="AL470" s="746"/>
      <c r="AM470" s="746"/>
      <c r="AN470" s="746"/>
      <c r="AO470" s="746"/>
      <c r="AP470" s="746"/>
      <c r="AQ470" s="746"/>
      <c r="AR470" s="746"/>
      <c r="AS470" s="746"/>
      <c r="AT470" s="746"/>
      <c r="AU470" s="746"/>
      <c r="AV470" s="746"/>
      <c r="AW470" s="746"/>
      <c r="AX470" s="746"/>
      <c r="AY470" s="746"/>
      <c r="AZ470" s="746"/>
      <c r="BA470" s="746"/>
      <c r="BB470" s="746"/>
      <c r="BC470" s="746"/>
      <c r="BD470" s="746"/>
      <c r="BE470" s="746"/>
      <c r="BF470" s="746"/>
      <c r="BG470" s="746"/>
      <c r="BH470" s="746"/>
      <c r="BI470" s="746"/>
      <c r="BJ470" s="746"/>
      <c r="BK470" s="746"/>
      <c r="BL470" s="746"/>
      <c r="BM470" s="746"/>
      <c r="BN470" s="746"/>
      <c r="BO470" s="746"/>
      <c r="BP470" s="746"/>
      <c r="BQ470" s="746"/>
      <c r="BR470" s="746"/>
      <c r="BS470" s="746"/>
      <c r="BT470" s="746"/>
      <c r="BU470" s="746"/>
      <c r="BV470" s="746"/>
      <c r="BW470" s="746"/>
      <c r="BX470" s="746"/>
      <c r="BY470" s="746"/>
      <c r="BZ470" s="746"/>
      <c r="CA470" s="746"/>
    </row>
    <row r="471" spans="1:79" s="759" customFormat="1" hidden="1" outlineLevel="1" x14ac:dyDescent="0.35">
      <c r="A471" s="502"/>
      <c r="B471" s="502"/>
      <c r="C471" s="502"/>
      <c r="D471" s="502"/>
      <c r="E471" s="502"/>
      <c r="F471" s="677" t="s">
        <v>634</v>
      </c>
      <c r="G471" s="744"/>
      <c r="H471" s="744"/>
      <c r="I471" s="744"/>
      <c r="J471" s="744"/>
      <c r="K471" s="744"/>
      <c r="L471" s="744"/>
      <c r="M471" s="744"/>
      <c r="N471" s="744"/>
      <c r="O471" s="744"/>
      <c r="P471" s="745"/>
      <c r="Q471" s="745"/>
      <c r="R471" s="745"/>
      <c r="S471" s="683">
        <v>5377.3</v>
      </c>
      <c r="T471" s="683">
        <v>5856.92</v>
      </c>
      <c r="U471" s="683">
        <v>7510.62</v>
      </c>
      <c r="V471" s="683">
        <v>11699.49</v>
      </c>
      <c r="W471" s="683">
        <v>8337.7099999999991</v>
      </c>
      <c r="X471" s="683">
        <v>4951.4799999999996</v>
      </c>
      <c r="Y471" s="683">
        <v>5701.4</v>
      </c>
      <c r="Z471" s="683">
        <v>4960.59</v>
      </c>
      <c r="AA471" s="683">
        <v>4340.13</v>
      </c>
      <c r="AB471" s="683">
        <v>4452.82</v>
      </c>
      <c r="AC471" s="683">
        <v>4235.83</v>
      </c>
      <c r="AD471" s="683">
        <v>7028.28</v>
      </c>
      <c r="AE471" s="746"/>
      <c r="AF471" s="746"/>
      <c r="AG471" s="746"/>
      <c r="AH471" s="746"/>
      <c r="AI471" s="746"/>
      <c r="AJ471" s="746"/>
      <c r="AK471" s="746"/>
      <c r="AL471" s="746"/>
      <c r="AM471" s="746"/>
      <c r="AN471" s="746"/>
      <c r="AO471" s="746"/>
      <c r="AP471" s="746"/>
      <c r="AQ471" s="746"/>
      <c r="AR471" s="746"/>
      <c r="AS471" s="746"/>
      <c r="AT471" s="746"/>
      <c r="AU471" s="746"/>
      <c r="AV471" s="746"/>
      <c r="AW471" s="746"/>
      <c r="AX471" s="746"/>
      <c r="AY471" s="746"/>
      <c r="AZ471" s="746"/>
      <c r="BA471" s="746"/>
      <c r="BB471" s="746"/>
      <c r="BC471" s="746"/>
      <c r="BD471" s="746"/>
      <c r="BE471" s="746"/>
      <c r="BF471" s="746"/>
      <c r="BG471" s="746"/>
      <c r="BH471" s="746"/>
      <c r="BI471" s="746"/>
      <c r="BJ471" s="746"/>
      <c r="BK471" s="746"/>
      <c r="BL471" s="746"/>
      <c r="BM471" s="746"/>
      <c r="BN471" s="746"/>
      <c r="BO471" s="746"/>
      <c r="BP471" s="746"/>
      <c r="BQ471" s="746"/>
      <c r="BR471" s="746"/>
      <c r="BS471" s="746"/>
      <c r="BT471" s="746"/>
      <c r="BU471" s="746"/>
      <c r="BV471" s="746"/>
      <c r="BW471" s="746"/>
      <c r="BX471" s="746"/>
      <c r="BY471" s="746"/>
      <c r="BZ471" s="746"/>
      <c r="CA471" s="746"/>
    </row>
    <row r="472" spans="1:79" s="759" customFormat="1" hidden="1" outlineLevel="1" x14ac:dyDescent="0.35">
      <c r="A472" s="502"/>
      <c r="B472" s="502"/>
      <c r="C472" s="502"/>
      <c r="D472" s="502"/>
      <c r="E472" s="502"/>
      <c r="F472" s="677" t="s">
        <v>635</v>
      </c>
      <c r="G472" s="744"/>
      <c r="H472" s="744"/>
      <c r="I472" s="744"/>
      <c r="J472" s="744"/>
      <c r="K472" s="744"/>
      <c r="L472" s="744"/>
      <c r="M472" s="744"/>
      <c r="N472" s="744"/>
      <c r="O472" s="744"/>
      <c r="P472" s="745"/>
      <c r="Q472" s="745"/>
      <c r="R472" s="745"/>
      <c r="S472" s="683">
        <v>53.97</v>
      </c>
      <c r="T472" s="683">
        <v>43.27</v>
      </c>
      <c r="U472" s="683">
        <v>23.08</v>
      </c>
      <c r="V472" s="683">
        <v>76.819999999999993</v>
      </c>
      <c r="W472" s="683">
        <v>93.91</v>
      </c>
      <c r="X472" s="683">
        <v>65.78</v>
      </c>
      <c r="Y472" s="683">
        <v>0.49</v>
      </c>
      <c r="Z472" s="683">
        <v>1.22</v>
      </c>
      <c r="AA472" s="683">
        <v>6.81</v>
      </c>
      <c r="AB472" s="683">
        <v>29.08</v>
      </c>
      <c r="AC472" s="683">
        <v>23.7</v>
      </c>
      <c r="AD472" s="683">
        <v>27.22</v>
      </c>
      <c r="AE472" s="746"/>
      <c r="AF472" s="746"/>
      <c r="AG472" s="746"/>
      <c r="AH472" s="746"/>
      <c r="AI472" s="746"/>
      <c r="AJ472" s="746"/>
      <c r="AK472" s="746"/>
      <c r="AL472" s="746"/>
      <c r="AM472" s="746"/>
      <c r="AN472" s="746"/>
      <c r="AO472" s="746"/>
      <c r="AP472" s="746"/>
      <c r="AQ472" s="746"/>
      <c r="AR472" s="746"/>
      <c r="AS472" s="746"/>
      <c r="AT472" s="746"/>
      <c r="AU472" s="746"/>
      <c r="AV472" s="746"/>
      <c r="AW472" s="746"/>
      <c r="AX472" s="746"/>
      <c r="AY472" s="746"/>
      <c r="AZ472" s="746"/>
      <c r="BA472" s="746"/>
      <c r="BB472" s="746"/>
      <c r="BC472" s="746"/>
      <c r="BD472" s="746"/>
      <c r="BE472" s="746"/>
      <c r="BF472" s="746"/>
      <c r="BG472" s="746"/>
      <c r="BH472" s="746"/>
      <c r="BI472" s="746"/>
      <c r="BJ472" s="746"/>
      <c r="BK472" s="746"/>
      <c r="BL472" s="746"/>
      <c r="BM472" s="746"/>
      <c r="BN472" s="746"/>
      <c r="BO472" s="746"/>
      <c r="BP472" s="746"/>
      <c r="BQ472" s="746"/>
      <c r="BR472" s="746"/>
      <c r="BS472" s="746"/>
      <c r="BT472" s="746"/>
      <c r="BU472" s="746"/>
      <c r="BV472" s="746"/>
      <c r="BW472" s="746"/>
      <c r="BX472" s="746"/>
      <c r="BY472" s="746"/>
      <c r="BZ472" s="746"/>
      <c r="CA472" s="746"/>
    </row>
    <row r="473" spans="1:79" s="759" customFormat="1" hidden="1" outlineLevel="1" x14ac:dyDescent="0.35">
      <c r="A473" s="502"/>
      <c r="B473" s="502"/>
      <c r="C473" s="502"/>
      <c r="D473" s="502"/>
      <c r="E473" s="502"/>
      <c r="F473" s="677" t="s">
        <v>636</v>
      </c>
      <c r="G473" s="744"/>
      <c r="H473" s="744"/>
      <c r="I473" s="744"/>
      <c r="J473" s="744"/>
      <c r="K473" s="744"/>
      <c r="L473" s="744"/>
      <c r="M473" s="744"/>
      <c r="N473" s="744"/>
      <c r="O473" s="744"/>
      <c r="P473" s="745"/>
      <c r="Q473" s="745"/>
      <c r="R473" s="745"/>
      <c r="S473" s="683">
        <v>2234.67</v>
      </c>
      <c r="T473" s="683">
        <v>392.72</v>
      </c>
      <c r="U473" s="683">
        <v>303.07</v>
      </c>
      <c r="V473" s="683">
        <v>923.38</v>
      </c>
      <c r="W473" s="683">
        <v>652.16999999999996</v>
      </c>
      <c r="X473" s="683">
        <v>572.05999999999995</v>
      </c>
      <c r="Y473" s="683">
        <v>211.69</v>
      </c>
      <c r="Z473" s="683">
        <v>132.28</v>
      </c>
      <c r="AA473" s="683">
        <v>66.64</v>
      </c>
      <c r="AB473" s="683">
        <v>440.14</v>
      </c>
      <c r="AC473" s="683">
        <v>198.9</v>
      </c>
      <c r="AD473" s="683">
        <v>185.14</v>
      </c>
      <c r="AE473" s="746"/>
      <c r="AF473" s="746"/>
      <c r="AG473" s="746"/>
      <c r="AH473" s="746"/>
      <c r="AI473" s="746"/>
      <c r="AJ473" s="746"/>
      <c r="AK473" s="746"/>
      <c r="AL473" s="746"/>
      <c r="AM473" s="746"/>
      <c r="AN473" s="746"/>
      <c r="AO473" s="746"/>
      <c r="AP473" s="746"/>
      <c r="AQ473" s="746"/>
      <c r="AR473" s="746"/>
      <c r="AS473" s="746"/>
      <c r="AT473" s="746"/>
      <c r="AU473" s="746"/>
      <c r="AV473" s="746"/>
      <c r="AW473" s="746"/>
      <c r="AX473" s="746"/>
      <c r="AY473" s="746"/>
      <c r="AZ473" s="746"/>
      <c r="BA473" s="746"/>
      <c r="BB473" s="746"/>
      <c r="BC473" s="746"/>
      <c r="BD473" s="746"/>
      <c r="BE473" s="746"/>
      <c r="BF473" s="746"/>
      <c r="BG473" s="746"/>
      <c r="BH473" s="746"/>
      <c r="BI473" s="746"/>
      <c r="BJ473" s="746"/>
      <c r="BK473" s="746"/>
      <c r="BL473" s="746"/>
      <c r="BM473" s="746"/>
      <c r="BN473" s="746"/>
      <c r="BO473" s="746"/>
      <c r="BP473" s="746"/>
      <c r="BQ473" s="746"/>
      <c r="BR473" s="746"/>
      <c r="BS473" s="746"/>
      <c r="BT473" s="746"/>
      <c r="BU473" s="746"/>
      <c r="BV473" s="746"/>
      <c r="BW473" s="746"/>
      <c r="BX473" s="746"/>
      <c r="BY473" s="746"/>
      <c r="BZ473" s="746"/>
      <c r="CA473" s="746"/>
    </row>
    <row r="474" spans="1:79" s="759" customFormat="1" hidden="1" outlineLevel="1" x14ac:dyDescent="0.35">
      <c r="A474" s="502"/>
      <c r="B474" s="502"/>
      <c r="C474" s="502"/>
      <c r="D474" s="502"/>
      <c r="E474" s="502"/>
      <c r="F474" s="677" t="s">
        <v>909</v>
      </c>
      <c r="G474" s="744"/>
      <c r="H474" s="744"/>
      <c r="I474" s="744"/>
      <c r="J474" s="744"/>
      <c r="K474" s="744"/>
      <c r="L474" s="744"/>
      <c r="M474" s="744"/>
      <c r="N474" s="744"/>
      <c r="O474" s="744"/>
      <c r="P474" s="745"/>
      <c r="Q474" s="745"/>
      <c r="R474" s="745"/>
      <c r="S474" s="683">
        <v>0</v>
      </c>
      <c r="T474" s="683">
        <v>0</v>
      </c>
      <c r="U474" s="683">
        <v>0</v>
      </c>
      <c r="V474" s="683">
        <v>0</v>
      </c>
      <c r="W474" s="683">
        <v>0</v>
      </c>
      <c r="X474" s="683">
        <v>0</v>
      </c>
      <c r="Y474" s="683">
        <v>0</v>
      </c>
      <c r="Z474" s="683">
        <v>0</v>
      </c>
      <c r="AA474" s="683">
        <v>0</v>
      </c>
      <c r="AB474" s="683">
        <v>0</v>
      </c>
      <c r="AC474" s="683">
        <v>0</v>
      </c>
      <c r="AD474" s="683">
        <v>0</v>
      </c>
      <c r="AE474" s="746"/>
      <c r="AF474" s="746"/>
      <c r="AG474" s="746"/>
      <c r="AH474" s="746"/>
      <c r="AI474" s="746"/>
      <c r="AJ474" s="746"/>
      <c r="AK474" s="746"/>
      <c r="AL474" s="746"/>
      <c r="AM474" s="746"/>
      <c r="AN474" s="746"/>
      <c r="AO474" s="746"/>
      <c r="AP474" s="746"/>
      <c r="AQ474" s="746"/>
      <c r="AR474" s="746"/>
      <c r="AS474" s="746"/>
      <c r="AT474" s="746"/>
      <c r="AU474" s="746"/>
      <c r="AV474" s="746"/>
      <c r="AW474" s="746"/>
      <c r="AX474" s="746"/>
      <c r="AY474" s="746"/>
      <c r="AZ474" s="746"/>
      <c r="BA474" s="746"/>
      <c r="BB474" s="746"/>
      <c r="BC474" s="746"/>
      <c r="BD474" s="746"/>
      <c r="BE474" s="746"/>
      <c r="BF474" s="746"/>
      <c r="BG474" s="746"/>
      <c r="BH474" s="746"/>
      <c r="BI474" s="746"/>
      <c r="BJ474" s="746"/>
      <c r="BK474" s="746"/>
      <c r="BL474" s="746"/>
      <c r="BM474" s="746"/>
      <c r="BN474" s="746"/>
      <c r="BO474" s="746"/>
      <c r="BP474" s="746"/>
      <c r="BQ474" s="746"/>
      <c r="BR474" s="746"/>
      <c r="BS474" s="746"/>
      <c r="BT474" s="746"/>
      <c r="BU474" s="746"/>
      <c r="BV474" s="746"/>
      <c r="BW474" s="746"/>
      <c r="BX474" s="746"/>
      <c r="BY474" s="746"/>
      <c r="BZ474" s="746"/>
      <c r="CA474" s="746"/>
    </row>
    <row r="475" spans="1:79" s="759" customFormat="1" hidden="1" outlineLevel="1" x14ac:dyDescent="0.35">
      <c r="A475" s="502"/>
      <c r="B475" s="502"/>
      <c r="C475" s="502"/>
      <c r="D475" s="502"/>
      <c r="E475" s="502"/>
      <c r="F475" s="677" t="s">
        <v>637</v>
      </c>
      <c r="G475" s="740">
        <v>4241.5936311661462</v>
      </c>
      <c r="H475" s="740">
        <v>2509.5118324297018</v>
      </c>
      <c r="I475" s="740">
        <v>3041.6596527474453</v>
      </c>
      <c r="J475" s="740">
        <v>3273.7284275491593</v>
      </c>
      <c r="K475" s="740">
        <v>2705.4840857339209</v>
      </c>
      <c r="L475" s="740">
        <v>4643.7623132824692</v>
      </c>
      <c r="M475" s="740">
        <v>5397.5291196317567</v>
      </c>
      <c r="N475" s="740">
        <v>6243.3643184587963</v>
      </c>
      <c r="O475" s="740">
        <v>5551.4297776393587</v>
      </c>
      <c r="P475" s="741">
        <v>5051.8735629275907</v>
      </c>
      <c r="Q475" s="741">
        <v>7606.9648773333984</v>
      </c>
      <c r="R475" s="741">
        <v>6338.2563158951643</v>
      </c>
      <c r="S475" s="683">
        <v>0</v>
      </c>
      <c r="T475" s="683">
        <v>0</v>
      </c>
      <c r="U475" s="683">
        <v>3085.48</v>
      </c>
      <c r="V475" s="683">
        <v>-3085.48</v>
      </c>
      <c r="W475" s="683">
        <v>0</v>
      </c>
      <c r="X475" s="683">
        <v>0</v>
      </c>
      <c r="Y475" s="683">
        <v>0</v>
      </c>
      <c r="Z475" s="683">
        <v>0</v>
      </c>
      <c r="AA475" s="683">
        <v>0</v>
      </c>
      <c r="AB475" s="683">
        <v>0</v>
      </c>
      <c r="AC475" s="683">
        <v>0</v>
      </c>
      <c r="AD475" s="683">
        <v>0</v>
      </c>
      <c r="AE475" s="746"/>
      <c r="AF475" s="746"/>
      <c r="AG475" s="746"/>
      <c r="AH475" s="746"/>
      <c r="AI475" s="746"/>
      <c r="AJ475" s="746"/>
      <c r="AK475" s="746"/>
      <c r="AL475" s="746"/>
      <c r="AM475" s="746"/>
      <c r="AN475" s="746"/>
      <c r="AO475" s="746"/>
      <c r="AP475" s="746"/>
      <c r="AQ475" s="746"/>
      <c r="AR475" s="746"/>
      <c r="AS475" s="746"/>
      <c r="AT475" s="746"/>
      <c r="AU475" s="746"/>
      <c r="AV475" s="746"/>
      <c r="AW475" s="746"/>
      <c r="AX475" s="746"/>
      <c r="AY475" s="746"/>
      <c r="AZ475" s="746"/>
      <c r="BA475" s="746"/>
      <c r="BB475" s="746"/>
      <c r="BC475" s="746"/>
      <c r="BD475" s="746"/>
      <c r="BE475" s="746"/>
      <c r="BF475" s="746"/>
      <c r="BG475" s="746"/>
      <c r="BH475" s="746"/>
      <c r="BI475" s="746"/>
      <c r="BJ475" s="746"/>
      <c r="BK475" s="746"/>
      <c r="BL475" s="746"/>
      <c r="BM475" s="746"/>
      <c r="BN475" s="746"/>
      <c r="BO475" s="746"/>
      <c r="BP475" s="746"/>
      <c r="BQ475" s="746"/>
      <c r="BR475" s="746"/>
      <c r="BS475" s="746"/>
      <c r="BT475" s="746"/>
      <c r="BU475" s="746"/>
      <c r="BV475" s="746"/>
      <c r="BW475" s="746"/>
      <c r="BX475" s="746"/>
      <c r="BY475" s="746"/>
      <c r="BZ475" s="746"/>
      <c r="CA475" s="746"/>
    </row>
    <row r="476" spans="1:79" s="760" customFormat="1" hidden="1" outlineLevel="1" x14ac:dyDescent="0.35">
      <c r="A476" s="503"/>
      <c r="B476" s="503"/>
      <c r="C476" s="503"/>
      <c r="D476" s="503"/>
      <c r="E476" s="503"/>
      <c r="F476" s="673" t="s">
        <v>638</v>
      </c>
      <c r="G476" s="680">
        <f>SUM(G468:G475)</f>
        <v>4241.5936311661462</v>
      </c>
      <c r="H476" s="680">
        <f t="shared" ref="H476:BO476" si="158">SUM(H468:H475)</f>
        <v>2509.5118324297018</v>
      </c>
      <c r="I476" s="680">
        <f t="shared" si="158"/>
        <v>3041.6596527474453</v>
      </c>
      <c r="J476" s="680">
        <f t="shared" si="158"/>
        <v>3273.7284275491593</v>
      </c>
      <c r="K476" s="680">
        <f t="shared" si="158"/>
        <v>2705.4840857339209</v>
      </c>
      <c r="L476" s="680">
        <f t="shared" si="158"/>
        <v>4643.7623132824692</v>
      </c>
      <c r="M476" s="680">
        <f t="shared" si="158"/>
        <v>5397.5291196317567</v>
      </c>
      <c r="N476" s="680">
        <f t="shared" si="158"/>
        <v>6243.3643184587963</v>
      </c>
      <c r="O476" s="680">
        <f t="shared" si="158"/>
        <v>5551.4297776393587</v>
      </c>
      <c r="P476" s="680">
        <f t="shared" si="158"/>
        <v>5051.8735629275907</v>
      </c>
      <c r="Q476" s="680">
        <f t="shared" si="158"/>
        <v>7606.9648773333984</v>
      </c>
      <c r="R476" s="680">
        <f t="shared" si="158"/>
        <v>6338.2563158951643</v>
      </c>
      <c r="S476" s="695">
        <f t="shared" ref="S476:AA476" si="159">ROUND(SUM(S467:S475),5)</f>
        <v>10463.219999999999</v>
      </c>
      <c r="T476" s="695">
        <f t="shared" si="159"/>
        <v>8837.76</v>
      </c>
      <c r="U476" s="695">
        <f t="shared" si="159"/>
        <v>13840.73</v>
      </c>
      <c r="V476" s="695">
        <f t="shared" si="159"/>
        <v>13594.69</v>
      </c>
      <c r="W476" s="695">
        <f t="shared" si="159"/>
        <v>12188.95</v>
      </c>
      <c r="X476" s="695">
        <f t="shared" si="159"/>
        <v>8500.57</v>
      </c>
      <c r="Y476" s="695">
        <f t="shared" si="159"/>
        <v>9120.68</v>
      </c>
      <c r="Z476" s="695">
        <f t="shared" si="159"/>
        <v>7268.69</v>
      </c>
      <c r="AA476" s="695">
        <f t="shared" si="159"/>
        <v>8395.06</v>
      </c>
      <c r="AB476" s="695">
        <f>ROUND(SUM(AB467:AB475),5)</f>
        <v>8165.84</v>
      </c>
      <c r="AC476" s="695">
        <f>ROUND(SUM(AC467:AC475),5)</f>
        <v>7588.21</v>
      </c>
      <c r="AD476" s="695">
        <f>ROUND(SUM(AD467:AD475),5)</f>
        <v>-370.41</v>
      </c>
      <c r="AE476" s="680">
        <f t="shared" si="158"/>
        <v>0</v>
      </c>
      <c r="AF476" s="680">
        <f t="shared" si="158"/>
        <v>0</v>
      </c>
      <c r="AG476" s="680">
        <f t="shared" si="158"/>
        <v>0</v>
      </c>
      <c r="AH476" s="680">
        <f t="shared" si="158"/>
        <v>0</v>
      </c>
      <c r="AI476" s="680">
        <f t="shared" si="158"/>
        <v>0</v>
      </c>
      <c r="AJ476" s="680">
        <f t="shared" si="158"/>
        <v>0</v>
      </c>
      <c r="AK476" s="680">
        <f t="shared" si="158"/>
        <v>0</v>
      </c>
      <c r="AL476" s="680">
        <f t="shared" si="158"/>
        <v>0</v>
      </c>
      <c r="AM476" s="680">
        <f t="shared" si="158"/>
        <v>0</v>
      </c>
      <c r="AN476" s="680">
        <f t="shared" si="158"/>
        <v>0</v>
      </c>
      <c r="AO476" s="680">
        <f t="shared" si="158"/>
        <v>0</v>
      </c>
      <c r="AP476" s="680">
        <f t="shared" si="158"/>
        <v>0</v>
      </c>
      <c r="AQ476" s="680">
        <f t="shared" si="158"/>
        <v>0</v>
      </c>
      <c r="AR476" s="680">
        <f t="shared" si="158"/>
        <v>0</v>
      </c>
      <c r="AS476" s="680">
        <f t="shared" si="158"/>
        <v>0</v>
      </c>
      <c r="AT476" s="680">
        <f t="shared" si="158"/>
        <v>0</v>
      </c>
      <c r="AU476" s="680">
        <f t="shared" si="158"/>
        <v>0</v>
      </c>
      <c r="AV476" s="680">
        <f t="shared" si="158"/>
        <v>0</v>
      </c>
      <c r="AW476" s="680">
        <f t="shared" si="158"/>
        <v>0</v>
      </c>
      <c r="AX476" s="680">
        <f t="shared" si="158"/>
        <v>0</v>
      </c>
      <c r="AY476" s="680">
        <f t="shared" si="158"/>
        <v>0</v>
      </c>
      <c r="AZ476" s="680">
        <f t="shared" si="158"/>
        <v>0</v>
      </c>
      <c r="BA476" s="680">
        <f t="shared" si="158"/>
        <v>0</v>
      </c>
      <c r="BB476" s="680">
        <f t="shared" si="158"/>
        <v>0</v>
      </c>
      <c r="BC476" s="680">
        <f t="shared" si="158"/>
        <v>0</v>
      </c>
      <c r="BD476" s="680">
        <f t="shared" si="158"/>
        <v>0</v>
      </c>
      <c r="BE476" s="680">
        <f t="shared" si="158"/>
        <v>0</v>
      </c>
      <c r="BF476" s="680">
        <f t="shared" si="158"/>
        <v>0</v>
      </c>
      <c r="BG476" s="680">
        <f t="shared" si="158"/>
        <v>0</v>
      </c>
      <c r="BH476" s="680">
        <f t="shared" si="158"/>
        <v>0</v>
      </c>
      <c r="BI476" s="680">
        <f t="shared" si="158"/>
        <v>0</v>
      </c>
      <c r="BJ476" s="680">
        <f t="shared" si="158"/>
        <v>0</v>
      </c>
      <c r="BK476" s="680">
        <f t="shared" si="158"/>
        <v>0</v>
      </c>
      <c r="BL476" s="680">
        <f t="shared" si="158"/>
        <v>0</v>
      </c>
      <c r="BM476" s="680">
        <f t="shared" si="158"/>
        <v>0</v>
      </c>
      <c r="BN476" s="680">
        <f t="shared" si="158"/>
        <v>0</v>
      </c>
      <c r="BO476" s="680">
        <f t="shared" si="158"/>
        <v>0</v>
      </c>
      <c r="BP476" s="680">
        <f t="shared" ref="BP476:CA476" si="160">SUM(BP468:BP475)</f>
        <v>0</v>
      </c>
      <c r="BQ476" s="680">
        <f t="shared" si="160"/>
        <v>0</v>
      </c>
      <c r="BR476" s="680">
        <f t="shared" si="160"/>
        <v>0</v>
      </c>
      <c r="BS476" s="680">
        <f t="shared" si="160"/>
        <v>0</v>
      </c>
      <c r="BT476" s="680">
        <f t="shared" si="160"/>
        <v>0</v>
      </c>
      <c r="BU476" s="680">
        <f t="shared" si="160"/>
        <v>0</v>
      </c>
      <c r="BV476" s="680">
        <f t="shared" si="160"/>
        <v>0</v>
      </c>
      <c r="BW476" s="680">
        <f t="shared" si="160"/>
        <v>0</v>
      </c>
      <c r="BX476" s="680">
        <f t="shared" si="160"/>
        <v>0</v>
      </c>
      <c r="BY476" s="680">
        <f t="shared" si="160"/>
        <v>0</v>
      </c>
      <c r="BZ476" s="680">
        <f t="shared" si="160"/>
        <v>0</v>
      </c>
      <c r="CA476" s="680">
        <f t="shared" si="160"/>
        <v>0</v>
      </c>
    </row>
    <row r="477" spans="1:79" s="768" customFormat="1" hidden="1" outlineLevel="1" x14ac:dyDescent="0.35">
      <c r="F477" s="717" t="s">
        <v>639</v>
      </c>
      <c r="G477" s="769"/>
      <c r="H477" s="769"/>
      <c r="I477" s="769"/>
      <c r="J477" s="769"/>
      <c r="K477" s="769"/>
      <c r="L477" s="769"/>
      <c r="M477" s="769"/>
      <c r="N477" s="769"/>
      <c r="O477" s="769"/>
      <c r="P477" s="770"/>
      <c r="Q477" s="770"/>
      <c r="R477" s="770"/>
      <c r="S477" s="713"/>
      <c r="T477" s="713"/>
      <c r="U477" s="713"/>
      <c r="V477" s="713"/>
      <c r="W477" s="713"/>
      <c r="X477" s="713"/>
      <c r="Y477" s="713"/>
      <c r="Z477" s="713"/>
      <c r="AA477" s="713"/>
      <c r="AB477" s="713"/>
      <c r="AC477" s="713"/>
      <c r="AD477" s="713"/>
      <c r="AE477" s="771"/>
      <c r="AF477" s="771"/>
      <c r="AG477" s="771"/>
      <c r="AH477" s="771"/>
      <c r="AI477" s="771"/>
      <c r="AJ477" s="771"/>
      <c r="AK477" s="771"/>
      <c r="AL477" s="771"/>
      <c r="AM477" s="771"/>
      <c r="AN477" s="771"/>
      <c r="AO477" s="771"/>
      <c r="AP477" s="771"/>
      <c r="AQ477" s="771"/>
      <c r="AR477" s="771"/>
      <c r="AS477" s="771"/>
      <c r="AT477" s="771"/>
      <c r="AU477" s="771"/>
      <c r="AV477" s="771"/>
      <c r="AW477" s="771"/>
      <c r="AX477" s="771"/>
      <c r="AY477" s="771"/>
      <c r="AZ477" s="771"/>
      <c r="BA477" s="771"/>
      <c r="BB477" s="771"/>
      <c r="BC477" s="771"/>
      <c r="BD477" s="771"/>
      <c r="BE477" s="771"/>
      <c r="BF477" s="771"/>
      <c r="BG477" s="771"/>
      <c r="BH477" s="771"/>
      <c r="BI477" s="771"/>
      <c r="BJ477" s="771"/>
      <c r="BK477" s="771"/>
      <c r="BL477" s="771"/>
      <c r="BM477" s="771"/>
      <c r="BN477" s="771"/>
      <c r="BO477" s="771"/>
      <c r="BP477" s="771"/>
      <c r="BQ477" s="771"/>
      <c r="BR477" s="771"/>
      <c r="BS477" s="771"/>
      <c r="BT477" s="771"/>
      <c r="BU477" s="771"/>
      <c r="BV477" s="771"/>
      <c r="BW477" s="771"/>
      <c r="BX477" s="771"/>
      <c r="BY477" s="771"/>
      <c r="BZ477" s="771"/>
      <c r="CA477" s="771"/>
    </row>
    <row r="478" spans="1:79" s="759" customFormat="1" hidden="1" outlineLevel="1" x14ac:dyDescent="0.35">
      <c r="A478" s="502"/>
      <c r="B478" s="502"/>
      <c r="C478" s="502"/>
      <c r="D478" s="502"/>
      <c r="E478" s="502"/>
      <c r="F478" s="677" t="s">
        <v>9</v>
      </c>
      <c r="G478" s="744"/>
      <c r="H478" s="744"/>
      <c r="I478" s="744"/>
      <c r="J478" s="744"/>
      <c r="K478" s="744"/>
      <c r="L478" s="744"/>
      <c r="M478" s="744"/>
      <c r="N478" s="744"/>
      <c r="O478" s="744"/>
      <c r="P478" s="745"/>
      <c r="Q478" s="745"/>
      <c r="R478" s="745"/>
      <c r="S478" s="683">
        <v>19932.419999999998</v>
      </c>
      <c r="T478" s="683">
        <v>19967.419999999998</v>
      </c>
      <c r="U478" s="683">
        <v>22043.54</v>
      </c>
      <c r="V478" s="683">
        <v>26060.61</v>
      </c>
      <c r="W478" s="683">
        <v>19932.419999999998</v>
      </c>
      <c r="X478" s="683">
        <v>22432.42</v>
      </c>
      <c r="Y478" s="683">
        <v>29226.23</v>
      </c>
      <c r="Z478" s="683">
        <v>20109.419999999998</v>
      </c>
      <c r="AA478" s="683">
        <v>20153.919999999998</v>
      </c>
      <c r="AB478" s="683">
        <v>25509.81</v>
      </c>
      <c r="AC478" s="683">
        <v>20282.400000000001</v>
      </c>
      <c r="AD478" s="683">
        <v>-19772.349999999999</v>
      </c>
      <c r="AE478" s="746"/>
      <c r="AF478" s="746"/>
      <c r="AG478" s="746"/>
      <c r="AH478" s="746"/>
      <c r="AI478" s="746"/>
      <c r="AJ478" s="746"/>
      <c r="AK478" s="746"/>
      <c r="AL478" s="746"/>
      <c r="AM478" s="746"/>
      <c r="AN478" s="746"/>
      <c r="AO478" s="746"/>
      <c r="AP478" s="746"/>
      <c r="AQ478" s="746"/>
      <c r="AR478" s="746"/>
      <c r="AS478" s="746"/>
      <c r="AT478" s="746"/>
      <c r="AU478" s="746"/>
      <c r="AV478" s="746"/>
      <c r="AW478" s="746"/>
      <c r="AX478" s="746"/>
      <c r="AY478" s="746"/>
      <c r="AZ478" s="746"/>
      <c r="BA478" s="746"/>
      <c r="BB478" s="746"/>
      <c r="BC478" s="746"/>
      <c r="BD478" s="746"/>
      <c r="BE478" s="746"/>
      <c r="BF478" s="746"/>
      <c r="BG478" s="746"/>
      <c r="BH478" s="746"/>
      <c r="BI478" s="746"/>
      <c r="BJ478" s="746"/>
      <c r="BK478" s="746"/>
      <c r="BL478" s="746"/>
      <c r="BM478" s="746"/>
      <c r="BN478" s="746"/>
      <c r="BO478" s="746"/>
      <c r="BP478" s="746"/>
      <c r="BQ478" s="746"/>
      <c r="BR478" s="746"/>
      <c r="BS478" s="746"/>
      <c r="BT478" s="746"/>
      <c r="BU478" s="746"/>
      <c r="BV478" s="746"/>
      <c r="BW478" s="746"/>
      <c r="BX478" s="746"/>
      <c r="BY478" s="746"/>
      <c r="BZ478" s="746"/>
      <c r="CA478" s="746"/>
    </row>
    <row r="479" spans="1:79" s="759" customFormat="1" hidden="1" outlineLevel="1" x14ac:dyDescent="0.35">
      <c r="A479" s="502"/>
      <c r="B479" s="502"/>
      <c r="C479" s="502"/>
      <c r="D479" s="502"/>
      <c r="E479" s="502"/>
      <c r="F479" s="677" t="s">
        <v>910</v>
      </c>
      <c r="G479" s="744"/>
      <c r="H479" s="744"/>
      <c r="I479" s="744"/>
      <c r="J479" s="744"/>
      <c r="K479" s="744"/>
      <c r="L479" s="744"/>
      <c r="M479" s="744"/>
      <c r="N479" s="744"/>
      <c r="O479" s="744"/>
      <c r="P479" s="745"/>
      <c r="Q479" s="745"/>
      <c r="R479" s="745"/>
      <c r="S479" s="683">
        <v>0</v>
      </c>
      <c r="T479" s="683">
        <v>0</v>
      </c>
      <c r="U479" s="683">
        <v>0</v>
      </c>
      <c r="V479" s="683">
        <v>0</v>
      </c>
      <c r="W479" s="683">
        <v>0</v>
      </c>
      <c r="X479" s="683">
        <v>0</v>
      </c>
      <c r="Y479" s="683">
        <v>0</v>
      </c>
      <c r="Z479" s="683">
        <v>0</v>
      </c>
      <c r="AA479" s="683">
        <v>0</v>
      </c>
      <c r="AB479" s="683">
        <v>0</v>
      </c>
      <c r="AC479" s="683">
        <v>0</v>
      </c>
      <c r="AD479" s="683">
        <v>0</v>
      </c>
      <c r="AE479" s="746"/>
      <c r="AF479" s="746"/>
      <c r="AG479" s="746"/>
      <c r="AH479" s="746"/>
      <c r="AI479" s="746"/>
      <c r="AJ479" s="746"/>
      <c r="AK479" s="746"/>
      <c r="AL479" s="746"/>
      <c r="AM479" s="746"/>
      <c r="AN479" s="746"/>
      <c r="AO479" s="746"/>
      <c r="AP479" s="746"/>
      <c r="AQ479" s="746"/>
      <c r="AR479" s="746"/>
      <c r="AS479" s="746"/>
      <c r="AT479" s="746"/>
      <c r="AU479" s="746"/>
      <c r="AV479" s="746"/>
      <c r="AW479" s="746"/>
      <c r="AX479" s="746"/>
      <c r="AY479" s="746"/>
      <c r="AZ479" s="746"/>
      <c r="BA479" s="746"/>
      <c r="BB479" s="746"/>
      <c r="BC479" s="746"/>
      <c r="BD479" s="746"/>
      <c r="BE479" s="746"/>
      <c r="BF479" s="746"/>
      <c r="BG479" s="746"/>
      <c r="BH479" s="746"/>
      <c r="BI479" s="746"/>
      <c r="BJ479" s="746"/>
      <c r="BK479" s="746"/>
      <c r="BL479" s="746"/>
      <c r="BM479" s="746"/>
      <c r="BN479" s="746"/>
      <c r="BO479" s="746"/>
      <c r="BP479" s="746"/>
      <c r="BQ479" s="746"/>
      <c r="BR479" s="746"/>
      <c r="BS479" s="746"/>
      <c r="BT479" s="746"/>
      <c r="BU479" s="746"/>
      <c r="BV479" s="746"/>
      <c r="BW479" s="746"/>
      <c r="BX479" s="746"/>
      <c r="BY479" s="746"/>
      <c r="BZ479" s="746"/>
      <c r="CA479" s="746"/>
    </row>
    <row r="480" spans="1:79" s="759" customFormat="1" hidden="1" outlineLevel="1" x14ac:dyDescent="0.35">
      <c r="A480" s="502"/>
      <c r="B480" s="502"/>
      <c r="C480" s="502"/>
      <c r="D480" s="502"/>
      <c r="E480" s="502"/>
      <c r="F480" s="677" t="s">
        <v>647</v>
      </c>
      <c r="G480" s="745"/>
      <c r="H480" s="745"/>
      <c r="I480" s="745"/>
      <c r="J480" s="745"/>
      <c r="K480" s="745"/>
      <c r="L480" s="745"/>
      <c r="M480" s="745"/>
      <c r="N480" s="745"/>
      <c r="O480" s="745"/>
      <c r="P480" s="745"/>
      <c r="Q480" s="745"/>
      <c r="R480" s="745"/>
      <c r="S480" s="683">
        <v>0</v>
      </c>
      <c r="T480" s="683">
        <v>0</v>
      </c>
      <c r="U480" s="683">
        <v>2665</v>
      </c>
      <c r="V480" s="683">
        <v>6315</v>
      </c>
      <c r="W480" s="683">
        <v>0</v>
      </c>
      <c r="X480" s="683">
        <v>1590</v>
      </c>
      <c r="Y480" s="683">
        <v>1842.25</v>
      </c>
      <c r="Z480" s="683">
        <v>1050.25</v>
      </c>
      <c r="AA480" s="683">
        <v>507.5</v>
      </c>
      <c r="AB480" s="683">
        <v>0</v>
      </c>
      <c r="AC480" s="683">
        <v>0</v>
      </c>
      <c r="AD480" s="683">
        <v>0</v>
      </c>
      <c r="AE480" s="746"/>
      <c r="AF480" s="746"/>
      <c r="AG480" s="746"/>
      <c r="AH480" s="746"/>
      <c r="AI480" s="746"/>
      <c r="AJ480" s="746"/>
      <c r="AK480" s="746"/>
      <c r="AL480" s="746"/>
      <c r="AM480" s="746"/>
      <c r="AN480" s="746"/>
      <c r="AO480" s="746"/>
      <c r="AP480" s="746"/>
      <c r="AQ480" s="746"/>
      <c r="AR480" s="746"/>
      <c r="AS480" s="746"/>
      <c r="AT480" s="746"/>
      <c r="AU480" s="746"/>
      <c r="AV480" s="746"/>
      <c r="AW480" s="746"/>
      <c r="AX480" s="746"/>
      <c r="AY480" s="746"/>
      <c r="AZ480" s="746"/>
      <c r="BA480" s="746"/>
      <c r="BB480" s="746"/>
      <c r="BC480" s="746"/>
      <c r="BD480" s="746"/>
      <c r="BE480" s="746"/>
      <c r="BF480" s="746"/>
      <c r="BG480" s="746"/>
      <c r="BH480" s="746"/>
      <c r="BI480" s="746"/>
      <c r="BJ480" s="746"/>
      <c r="BK480" s="746"/>
      <c r="BL480" s="746"/>
      <c r="BM480" s="746"/>
      <c r="BN480" s="746"/>
      <c r="BO480" s="746"/>
      <c r="BP480" s="746"/>
      <c r="BQ480" s="746"/>
      <c r="BR480" s="746"/>
      <c r="BS480" s="746"/>
      <c r="BT480" s="746"/>
      <c r="BU480" s="746"/>
      <c r="BV480" s="746"/>
      <c r="BW480" s="746"/>
      <c r="BX480" s="746"/>
      <c r="BY480" s="746"/>
      <c r="BZ480" s="746"/>
      <c r="CA480" s="746"/>
    </row>
    <row r="481" spans="1:79" s="759" customFormat="1" hidden="1" outlineLevel="1" x14ac:dyDescent="0.35">
      <c r="A481" s="502"/>
      <c r="B481" s="502"/>
      <c r="C481" s="502"/>
      <c r="D481" s="502"/>
      <c r="E481" s="502"/>
      <c r="F481" s="677" t="s">
        <v>648</v>
      </c>
      <c r="G481" s="745"/>
      <c r="H481" s="745"/>
      <c r="I481" s="745"/>
      <c r="J481" s="745"/>
      <c r="K481" s="745"/>
      <c r="L481" s="745"/>
      <c r="M481" s="745"/>
      <c r="N481" s="745"/>
      <c r="O481" s="745"/>
      <c r="P481" s="745"/>
      <c r="Q481" s="745"/>
      <c r="R481" s="745"/>
      <c r="S481" s="683">
        <v>0</v>
      </c>
      <c r="T481" s="683">
        <v>21153.84</v>
      </c>
      <c r="U481" s="683">
        <v>61346.14</v>
      </c>
      <c r="V481" s="683">
        <v>2115.38</v>
      </c>
      <c r="W481" s="683">
        <v>0</v>
      </c>
      <c r="X481" s="683">
        <v>0</v>
      </c>
      <c r="Y481" s="683">
        <v>0</v>
      </c>
      <c r="Z481" s="683">
        <v>0</v>
      </c>
      <c r="AA481" s="683">
        <v>0</v>
      </c>
      <c r="AB481" s="683">
        <v>0</v>
      </c>
      <c r="AC481" s="683">
        <v>0</v>
      </c>
      <c r="AD481" s="683">
        <v>0</v>
      </c>
      <c r="AE481" s="746"/>
      <c r="AF481" s="746"/>
      <c r="AG481" s="746"/>
      <c r="AH481" s="746"/>
      <c r="AI481" s="746"/>
      <c r="AJ481" s="746"/>
      <c r="AK481" s="746"/>
      <c r="AL481" s="746"/>
      <c r="AM481" s="746"/>
      <c r="AN481" s="746"/>
      <c r="AO481" s="746"/>
      <c r="AP481" s="746"/>
      <c r="AQ481" s="746"/>
      <c r="AR481" s="746"/>
      <c r="AS481" s="746"/>
      <c r="AT481" s="746"/>
      <c r="AU481" s="746"/>
      <c r="AV481" s="746"/>
      <c r="AW481" s="746"/>
      <c r="AX481" s="746"/>
      <c r="AY481" s="746"/>
      <c r="AZ481" s="746"/>
      <c r="BA481" s="746"/>
      <c r="BB481" s="746"/>
      <c r="BC481" s="746"/>
      <c r="BD481" s="746"/>
      <c r="BE481" s="746"/>
      <c r="BF481" s="746"/>
      <c r="BG481" s="746"/>
      <c r="BH481" s="746"/>
      <c r="BI481" s="746"/>
      <c r="BJ481" s="746"/>
      <c r="BK481" s="746"/>
      <c r="BL481" s="746"/>
      <c r="BM481" s="746"/>
      <c r="BN481" s="746"/>
      <c r="BO481" s="746"/>
      <c r="BP481" s="746"/>
      <c r="BQ481" s="746"/>
      <c r="BR481" s="746"/>
      <c r="BS481" s="746"/>
      <c r="BT481" s="746"/>
      <c r="BU481" s="746"/>
      <c r="BV481" s="746"/>
      <c r="BW481" s="746"/>
      <c r="BX481" s="746"/>
      <c r="BY481" s="746"/>
      <c r="BZ481" s="746"/>
      <c r="CA481" s="746"/>
    </row>
    <row r="482" spans="1:79" s="759" customFormat="1" hidden="1" outlineLevel="1" x14ac:dyDescent="0.35">
      <c r="A482" s="502"/>
      <c r="B482" s="502"/>
      <c r="C482" s="502"/>
      <c r="D482" s="502"/>
      <c r="E482" s="502"/>
      <c r="F482" s="677" t="s">
        <v>640</v>
      </c>
      <c r="G482" s="744"/>
      <c r="H482" s="744"/>
      <c r="I482" s="744"/>
      <c r="J482" s="744"/>
      <c r="K482" s="744"/>
      <c r="L482" s="744"/>
      <c r="M482" s="744"/>
      <c r="N482" s="744"/>
      <c r="O482" s="744"/>
      <c r="P482" s="745"/>
      <c r="Q482" s="745"/>
      <c r="R482" s="745"/>
      <c r="S482" s="683">
        <v>92003.66</v>
      </c>
      <c r="T482" s="683">
        <v>78846.14</v>
      </c>
      <c r="U482" s="683">
        <v>100999.96</v>
      </c>
      <c r="V482" s="683">
        <v>143461.47</v>
      </c>
      <c r="W482" s="683">
        <v>142679.44</v>
      </c>
      <c r="X482" s="683">
        <v>123423.02</v>
      </c>
      <c r="Y482" s="683">
        <v>144988.4</v>
      </c>
      <c r="Z482" s="683">
        <v>140549.94</v>
      </c>
      <c r="AA482" s="683">
        <v>133983</v>
      </c>
      <c r="AB482" s="683">
        <v>141363.04</v>
      </c>
      <c r="AC482" s="683">
        <v>136176.87</v>
      </c>
      <c r="AD482" s="683">
        <v>143123.01999999999</v>
      </c>
      <c r="AE482" s="746"/>
      <c r="AF482" s="746"/>
      <c r="AG482" s="746"/>
      <c r="AH482" s="746"/>
      <c r="AI482" s="746"/>
      <c r="AJ482" s="746"/>
      <c r="AK482" s="746"/>
      <c r="AL482" s="746"/>
      <c r="AM482" s="746"/>
      <c r="AN482" s="746"/>
      <c r="AO482" s="746"/>
      <c r="AP482" s="746"/>
      <c r="AQ482" s="746"/>
      <c r="AR482" s="746"/>
      <c r="AS482" s="746"/>
      <c r="AT482" s="746"/>
      <c r="AU482" s="746"/>
      <c r="AV482" s="746"/>
      <c r="AW482" s="746"/>
      <c r="AX482" s="746"/>
      <c r="AY482" s="746"/>
      <c r="AZ482" s="746"/>
      <c r="BA482" s="746"/>
      <c r="BB482" s="746"/>
      <c r="BC482" s="746"/>
      <c r="BD482" s="746"/>
      <c r="BE482" s="746"/>
      <c r="BF482" s="746"/>
      <c r="BG482" s="746"/>
      <c r="BH482" s="746"/>
      <c r="BI482" s="746"/>
      <c r="BJ482" s="746"/>
      <c r="BK482" s="746"/>
      <c r="BL482" s="746"/>
      <c r="BM482" s="746"/>
      <c r="BN482" s="746"/>
      <c r="BO482" s="746"/>
      <c r="BP482" s="746"/>
      <c r="BQ482" s="746"/>
      <c r="BR482" s="746"/>
      <c r="BS482" s="746"/>
      <c r="BT482" s="746"/>
      <c r="BU482" s="746"/>
      <c r="BV482" s="746"/>
      <c r="BW482" s="746"/>
      <c r="BX482" s="746"/>
      <c r="BY482" s="746"/>
      <c r="BZ482" s="746"/>
      <c r="CA482" s="746"/>
    </row>
    <row r="483" spans="1:79" s="759" customFormat="1" hidden="1" outlineLevel="1" x14ac:dyDescent="0.35">
      <c r="A483" s="502"/>
      <c r="B483" s="502"/>
      <c r="C483" s="502"/>
      <c r="D483" s="502"/>
      <c r="E483" s="502"/>
      <c r="F483" s="677" t="s">
        <v>641</v>
      </c>
      <c r="G483" s="744"/>
      <c r="H483" s="744"/>
      <c r="I483" s="744"/>
      <c r="J483" s="744"/>
      <c r="K483" s="744"/>
      <c r="L483" s="744"/>
      <c r="M483" s="744"/>
      <c r="N483" s="744"/>
      <c r="O483" s="744"/>
      <c r="P483" s="745"/>
      <c r="Q483" s="745"/>
      <c r="R483" s="745"/>
      <c r="S483" s="683">
        <v>5224.3599999999997</v>
      </c>
      <c r="T483" s="683">
        <v>3846.16</v>
      </c>
      <c r="U483" s="683">
        <v>612.16999999999996</v>
      </c>
      <c r="V483" s="683">
        <v>3860.86</v>
      </c>
      <c r="W483" s="683">
        <v>570.84</v>
      </c>
      <c r="X483" s="683">
        <v>8969.32</v>
      </c>
      <c r="Y483" s="683">
        <v>-7133.96</v>
      </c>
      <c r="Z483" s="683">
        <v>2982.19</v>
      </c>
      <c r="AA483" s="683">
        <v>6099.94</v>
      </c>
      <c r="AB483" s="683">
        <v>3549.75</v>
      </c>
      <c r="AC483" s="683">
        <v>3219.27</v>
      </c>
      <c r="AD483" s="683">
        <v>-1688.99</v>
      </c>
      <c r="AE483" s="746"/>
      <c r="AF483" s="746"/>
      <c r="AG483" s="746"/>
      <c r="AH483" s="746"/>
      <c r="AI483" s="746"/>
      <c r="AJ483" s="746"/>
      <c r="AK483" s="746"/>
      <c r="AL483" s="746"/>
      <c r="AM483" s="746"/>
      <c r="AN483" s="746"/>
      <c r="AO483" s="746"/>
      <c r="AP483" s="746"/>
      <c r="AQ483" s="746"/>
      <c r="AR483" s="746"/>
      <c r="AS483" s="746"/>
      <c r="AT483" s="746"/>
      <c r="AU483" s="746"/>
      <c r="AV483" s="746"/>
      <c r="AW483" s="746"/>
      <c r="AX483" s="746"/>
      <c r="AY483" s="746"/>
      <c r="AZ483" s="746"/>
      <c r="BA483" s="746"/>
      <c r="BB483" s="746"/>
      <c r="BC483" s="746"/>
      <c r="BD483" s="746"/>
      <c r="BE483" s="746"/>
      <c r="BF483" s="746"/>
      <c r="BG483" s="746"/>
      <c r="BH483" s="746"/>
      <c r="BI483" s="746"/>
      <c r="BJ483" s="746"/>
      <c r="BK483" s="746"/>
      <c r="BL483" s="746"/>
      <c r="BM483" s="746"/>
      <c r="BN483" s="746"/>
      <c r="BO483" s="746"/>
      <c r="BP483" s="746"/>
      <c r="BQ483" s="746"/>
      <c r="BR483" s="746"/>
      <c r="BS483" s="746"/>
      <c r="BT483" s="746"/>
      <c r="BU483" s="746"/>
      <c r="BV483" s="746"/>
      <c r="BW483" s="746"/>
      <c r="BX483" s="746"/>
      <c r="BY483" s="746"/>
      <c r="BZ483" s="746"/>
      <c r="CA483" s="746"/>
    </row>
    <row r="484" spans="1:79" s="759" customFormat="1" hidden="1" outlineLevel="1" x14ac:dyDescent="0.35">
      <c r="A484" s="502"/>
      <c r="B484" s="502"/>
      <c r="C484" s="502"/>
      <c r="D484" s="502"/>
      <c r="E484" s="502"/>
      <c r="F484" s="677" t="s">
        <v>911</v>
      </c>
      <c r="G484" s="744"/>
      <c r="H484" s="744"/>
      <c r="I484" s="744"/>
      <c r="J484" s="744"/>
      <c r="K484" s="744"/>
      <c r="L484" s="744"/>
      <c r="M484" s="744"/>
      <c r="N484" s="744"/>
      <c r="O484" s="744"/>
      <c r="P484" s="745"/>
      <c r="Q484" s="745"/>
      <c r="R484" s="745"/>
      <c r="S484" s="683">
        <v>0</v>
      </c>
      <c r="T484" s="683">
        <v>0</v>
      </c>
      <c r="U484" s="683">
        <v>0</v>
      </c>
      <c r="V484" s="683">
        <v>0</v>
      </c>
      <c r="W484" s="683">
        <v>0</v>
      </c>
      <c r="X484" s="683">
        <v>0</v>
      </c>
      <c r="Y484" s="683">
        <v>0</v>
      </c>
      <c r="Z484" s="683">
        <v>0</v>
      </c>
      <c r="AA484" s="683">
        <v>0</v>
      </c>
      <c r="AB484" s="683">
        <v>0</v>
      </c>
      <c r="AC484" s="683">
        <v>0</v>
      </c>
      <c r="AD484" s="683">
        <v>0</v>
      </c>
      <c r="AE484" s="746"/>
      <c r="AF484" s="746"/>
      <c r="AG484" s="746"/>
      <c r="AH484" s="746"/>
      <c r="AI484" s="746"/>
      <c r="AJ484" s="746"/>
      <c r="AK484" s="746"/>
      <c r="AL484" s="746"/>
      <c r="AM484" s="746"/>
      <c r="AN484" s="746"/>
      <c r="AO484" s="746"/>
      <c r="AP484" s="746"/>
      <c r="AQ484" s="746"/>
      <c r="AR484" s="746"/>
      <c r="AS484" s="746"/>
      <c r="AT484" s="746"/>
      <c r="AU484" s="746"/>
      <c r="AV484" s="746"/>
      <c r="AW484" s="746"/>
      <c r="AX484" s="746"/>
      <c r="AY484" s="746"/>
      <c r="AZ484" s="746"/>
      <c r="BA484" s="746"/>
      <c r="BB484" s="746"/>
      <c r="BC484" s="746"/>
      <c r="BD484" s="746"/>
      <c r="BE484" s="746"/>
      <c r="BF484" s="746"/>
      <c r="BG484" s="746"/>
      <c r="BH484" s="746"/>
      <c r="BI484" s="746"/>
      <c r="BJ484" s="746"/>
      <c r="BK484" s="746"/>
      <c r="BL484" s="746"/>
      <c r="BM484" s="746"/>
      <c r="BN484" s="746"/>
      <c r="BO484" s="746"/>
      <c r="BP484" s="746"/>
      <c r="BQ484" s="746"/>
      <c r="BR484" s="746"/>
      <c r="BS484" s="746"/>
      <c r="BT484" s="746"/>
      <c r="BU484" s="746"/>
      <c r="BV484" s="746"/>
      <c r="BW484" s="746"/>
      <c r="BX484" s="746"/>
      <c r="BY484" s="746"/>
      <c r="BZ484" s="746"/>
      <c r="CA484" s="746"/>
    </row>
    <row r="485" spans="1:79" s="759" customFormat="1" hidden="1" outlineLevel="1" x14ac:dyDescent="0.35">
      <c r="A485" s="502"/>
      <c r="B485" s="502"/>
      <c r="C485" s="502"/>
      <c r="D485" s="502"/>
      <c r="E485" s="502"/>
      <c r="F485" s="677" t="s">
        <v>681</v>
      </c>
      <c r="G485" s="740">
        <v>44281.53</v>
      </c>
      <c r="H485" s="740">
        <v>38178.959999999999</v>
      </c>
      <c r="I485" s="740">
        <v>45621.25</v>
      </c>
      <c r="J485" s="740">
        <v>48563.58</v>
      </c>
      <c r="K485" s="740">
        <v>45951.17</v>
      </c>
      <c r="L485" s="740">
        <v>66236.66</v>
      </c>
      <c r="M485" s="740">
        <v>71140.509999999995</v>
      </c>
      <c r="N485" s="740">
        <v>84309.07</v>
      </c>
      <c r="O485" s="740">
        <v>86178.98000000001</v>
      </c>
      <c r="P485" s="741">
        <v>86178.98000000001</v>
      </c>
      <c r="Q485" s="741">
        <v>126554.75</v>
      </c>
      <c r="R485" s="741">
        <v>122238.36</v>
      </c>
      <c r="S485" s="683">
        <v>0</v>
      </c>
      <c r="T485" s="683">
        <v>0</v>
      </c>
      <c r="U485" s="683">
        <v>0</v>
      </c>
      <c r="V485" s="683">
        <v>0</v>
      </c>
      <c r="W485" s="683">
        <v>0</v>
      </c>
      <c r="X485" s="683">
        <v>0</v>
      </c>
      <c r="Y485" s="683">
        <v>0</v>
      </c>
      <c r="Z485" s="683">
        <v>0</v>
      </c>
      <c r="AA485" s="683">
        <v>0</v>
      </c>
      <c r="AB485" s="683">
        <v>0</v>
      </c>
      <c r="AC485" s="683">
        <v>0</v>
      </c>
      <c r="AD485" s="683">
        <v>0</v>
      </c>
      <c r="AE485" s="746"/>
      <c r="AF485" s="746"/>
      <c r="AG485" s="746"/>
      <c r="AH485" s="746"/>
      <c r="AI485" s="746"/>
      <c r="AJ485" s="746"/>
      <c r="AK485" s="746"/>
      <c r="AL485" s="746"/>
      <c r="AM485" s="746"/>
      <c r="AN485" s="746"/>
      <c r="AO485" s="746"/>
      <c r="AP485" s="746"/>
      <c r="AQ485" s="746"/>
      <c r="AR485" s="746"/>
      <c r="AS485" s="746"/>
      <c r="AT485" s="746"/>
      <c r="AU485" s="746"/>
      <c r="AV485" s="746"/>
      <c r="AW485" s="746"/>
      <c r="AX485" s="746"/>
      <c r="AY485" s="746"/>
      <c r="AZ485" s="746"/>
      <c r="BA485" s="746"/>
      <c r="BB485" s="746"/>
      <c r="BC485" s="746"/>
      <c r="BD485" s="746"/>
      <c r="BE485" s="746"/>
      <c r="BF485" s="746"/>
      <c r="BG485" s="746"/>
      <c r="BH485" s="746"/>
      <c r="BI485" s="746"/>
      <c r="BJ485" s="746"/>
      <c r="BK485" s="746"/>
      <c r="BL485" s="746"/>
      <c r="BM485" s="746"/>
      <c r="BN485" s="746"/>
      <c r="BO485" s="746"/>
      <c r="BP485" s="746"/>
      <c r="BQ485" s="746"/>
      <c r="BR485" s="746"/>
      <c r="BS485" s="746"/>
      <c r="BT485" s="746"/>
      <c r="BU485" s="746"/>
      <c r="BV485" s="746"/>
      <c r="BW485" s="746"/>
      <c r="BX485" s="746"/>
      <c r="BY485" s="746"/>
      <c r="BZ485" s="746"/>
      <c r="CA485" s="746"/>
    </row>
    <row r="486" spans="1:79" s="760" customFormat="1" hidden="1" outlineLevel="1" x14ac:dyDescent="0.35">
      <c r="A486" s="503"/>
      <c r="B486" s="503"/>
      <c r="C486" s="503"/>
      <c r="D486" s="503"/>
      <c r="E486" s="503"/>
      <c r="F486" s="673" t="s">
        <v>642</v>
      </c>
      <c r="G486" s="680">
        <f>SUM(G478:G485)</f>
        <v>44281.53</v>
      </c>
      <c r="H486" s="680">
        <f t="shared" ref="H486:BO486" si="161">SUM(H478:H485)</f>
        <v>38178.959999999999</v>
      </c>
      <c r="I486" s="680">
        <f t="shared" si="161"/>
        <v>45621.25</v>
      </c>
      <c r="J486" s="680">
        <f t="shared" si="161"/>
        <v>48563.58</v>
      </c>
      <c r="K486" s="680">
        <f t="shared" si="161"/>
        <v>45951.17</v>
      </c>
      <c r="L486" s="680">
        <f t="shared" si="161"/>
        <v>66236.66</v>
      </c>
      <c r="M486" s="680">
        <f t="shared" si="161"/>
        <v>71140.509999999995</v>
      </c>
      <c r="N486" s="680">
        <f t="shared" si="161"/>
        <v>84309.07</v>
      </c>
      <c r="O486" s="680">
        <f t="shared" si="161"/>
        <v>86178.98000000001</v>
      </c>
      <c r="P486" s="680">
        <f t="shared" si="161"/>
        <v>86178.98000000001</v>
      </c>
      <c r="Q486" s="680">
        <f t="shared" si="161"/>
        <v>126554.75</v>
      </c>
      <c r="R486" s="680">
        <f t="shared" si="161"/>
        <v>122238.36</v>
      </c>
      <c r="S486" s="695">
        <f t="shared" ref="S486:AA486" si="162">ROUND(SUM(S477:S485),5)</f>
        <v>117160.44</v>
      </c>
      <c r="T486" s="695">
        <f t="shared" si="162"/>
        <v>123813.56</v>
      </c>
      <c r="U486" s="695">
        <f t="shared" si="162"/>
        <v>187666.81</v>
      </c>
      <c r="V486" s="695">
        <f t="shared" si="162"/>
        <v>181813.32</v>
      </c>
      <c r="W486" s="695">
        <f t="shared" si="162"/>
        <v>163182.70000000001</v>
      </c>
      <c r="X486" s="695">
        <f t="shared" si="162"/>
        <v>156414.76</v>
      </c>
      <c r="Y486" s="695">
        <f t="shared" si="162"/>
        <v>168922.92</v>
      </c>
      <c r="Z486" s="695">
        <f t="shared" si="162"/>
        <v>164691.79999999999</v>
      </c>
      <c r="AA486" s="695">
        <f t="shared" si="162"/>
        <v>160744.35999999999</v>
      </c>
      <c r="AB486" s="695">
        <f>ROUND(SUM(AB477:AB485),5)</f>
        <v>170422.6</v>
      </c>
      <c r="AC486" s="695">
        <f>ROUND(SUM(AC477:AC485),5)</f>
        <v>159678.54</v>
      </c>
      <c r="AD486" s="695">
        <f>ROUND(SUM(AD477:AD485),5)</f>
        <v>121661.68</v>
      </c>
      <c r="AE486" s="680">
        <f t="shared" si="161"/>
        <v>0</v>
      </c>
      <c r="AF486" s="680">
        <f t="shared" si="161"/>
        <v>0</v>
      </c>
      <c r="AG486" s="680">
        <f t="shared" si="161"/>
        <v>0</v>
      </c>
      <c r="AH486" s="680">
        <f t="shared" si="161"/>
        <v>0</v>
      </c>
      <c r="AI486" s="680">
        <f t="shared" si="161"/>
        <v>0</v>
      </c>
      <c r="AJ486" s="680">
        <f t="shared" si="161"/>
        <v>0</v>
      </c>
      <c r="AK486" s="680">
        <f t="shared" si="161"/>
        <v>0</v>
      </c>
      <c r="AL486" s="680">
        <f t="shared" si="161"/>
        <v>0</v>
      </c>
      <c r="AM486" s="680">
        <f t="shared" si="161"/>
        <v>0</v>
      </c>
      <c r="AN486" s="680">
        <f t="shared" si="161"/>
        <v>0</v>
      </c>
      <c r="AO486" s="680">
        <f t="shared" si="161"/>
        <v>0</v>
      </c>
      <c r="AP486" s="680">
        <f t="shared" si="161"/>
        <v>0</v>
      </c>
      <c r="AQ486" s="680">
        <f t="shared" si="161"/>
        <v>0</v>
      </c>
      <c r="AR486" s="680">
        <f t="shared" si="161"/>
        <v>0</v>
      </c>
      <c r="AS486" s="680">
        <f t="shared" si="161"/>
        <v>0</v>
      </c>
      <c r="AT486" s="680">
        <f t="shared" si="161"/>
        <v>0</v>
      </c>
      <c r="AU486" s="680">
        <f t="shared" si="161"/>
        <v>0</v>
      </c>
      <c r="AV486" s="680">
        <f t="shared" si="161"/>
        <v>0</v>
      </c>
      <c r="AW486" s="680">
        <f t="shared" si="161"/>
        <v>0</v>
      </c>
      <c r="AX486" s="680">
        <f t="shared" si="161"/>
        <v>0</v>
      </c>
      <c r="AY486" s="680">
        <f t="shared" si="161"/>
        <v>0</v>
      </c>
      <c r="AZ486" s="680">
        <f t="shared" si="161"/>
        <v>0</v>
      </c>
      <c r="BA486" s="680">
        <f t="shared" si="161"/>
        <v>0</v>
      </c>
      <c r="BB486" s="680">
        <f t="shared" si="161"/>
        <v>0</v>
      </c>
      <c r="BC486" s="680">
        <f t="shared" si="161"/>
        <v>0</v>
      </c>
      <c r="BD486" s="680">
        <f t="shared" si="161"/>
        <v>0</v>
      </c>
      <c r="BE486" s="680">
        <f t="shared" si="161"/>
        <v>0</v>
      </c>
      <c r="BF486" s="680">
        <f t="shared" si="161"/>
        <v>0</v>
      </c>
      <c r="BG486" s="680">
        <f t="shared" si="161"/>
        <v>0</v>
      </c>
      <c r="BH486" s="680">
        <f t="shared" si="161"/>
        <v>0</v>
      </c>
      <c r="BI486" s="680">
        <f t="shared" si="161"/>
        <v>0</v>
      </c>
      <c r="BJ486" s="680">
        <f t="shared" si="161"/>
        <v>0</v>
      </c>
      <c r="BK486" s="680">
        <f t="shared" si="161"/>
        <v>0</v>
      </c>
      <c r="BL486" s="680">
        <f t="shared" si="161"/>
        <v>0</v>
      </c>
      <c r="BM486" s="680">
        <f t="shared" si="161"/>
        <v>0</v>
      </c>
      <c r="BN486" s="680">
        <f t="shared" si="161"/>
        <v>0</v>
      </c>
      <c r="BO486" s="680">
        <f t="shared" si="161"/>
        <v>0</v>
      </c>
      <c r="BP486" s="680">
        <f t="shared" ref="BP486:CA486" si="163">SUM(BP478:BP485)</f>
        <v>0</v>
      </c>
      <c r="BQ486" s="680">
        <f t="shared" si="163"/>
        <v>0</v>
      </c>
      <c r="BR486" s="680">
        <f t="shared" si="163"/>
        <v>0</v>
      </c>
      <c r="BS486" s="680">
        <f t="shared" si="163"/>
        <v>0</v>
      </c>
      <c r="BT486" s="680">
        <f t="shared" si="163"/>
        <v>0</v>
      </c>
      <c r="BU486" s="680">
        <f t="shared" si="163"/>
        <v>0</v>
      </c>
      <c r="BV486" s="680">
        <f t="shared" si="163"/>
        <v>0</v>
      </c>
      <c r="BW486" s="680">
        <f t="shared" si="163"/>
        <v>0</v>
      </c>
      <c r="BX486" s="680">
        <f t="shared" si="163"/>
        <v>0</v>
      </c>
      <c r="BY486" s="680">
        <f t="shared" si="163"/>
        <v>0</v>
      </c>
      <c r="BZ486" s="680">
        <f t="shared" si="163"/>
        <v>0</v>
      </c>
      <c r="CA486" s="680">
        <f t="shared" si="163"/>
        <v>0</v>
      </c>
    </row>
    <row r="487" spans="1:79" s="758" customFormat="1" hidden="1" outlineLevel="1" x14ac:dyDescent="0.35">
      <c r="A487" s="498"/>
      <c r="B487" s="498"/>
      <c r="C487" s="498"/>
      <c r="D487" s="498"/>
      <c r="E487" s="498"/>
      <c r="F487" s="672" t="s">
        <v>643</v>
      </c>
      <c r="G487" s="740"/>
      <c r="H487" s="740"/>
      <c r="I487" s="740"/>
      <c r="J487" s="740"/>
      <c r="K487" s="740"/>
      <c r="L487" s="740"/>
      <c r="M487" s="740"/>
      <c r="N487" s="740"/>
      <c r="O487" s="740"/>
      <c r="P487" s="741"/>
      <c r="Q487" s="741"/>
      <c r="R487" s="741"/>
      <c r="S487" s="687">
        <v>200.59</v>
      </c>
      <c r="T487" s="687">
        <v>5</v>
      </c>
      <c r="U487" s="687">
        <v>0</v>
      </c>
      <c r="V487" s="687">
        <v>0</v>
      </c>
      <c r="W487" s="687">
        <v>0</v>
      </c>
      <c r="X487" s="687">
        <v>0</v>
      </c>
      <c r="Y487" s="687">
        <v>0</v>
      </c>
      <c r="Z487" s="687">
        <v>0</v>
      </c>
      <c r="AA487" s="687">
        <v>0</v>
      </c>
      <c r="AB487" s="687">
        <v>0</v>
      </c>
      <c r="AC487" s="687">
        <v>0</v>
      </c>
      <c r="AD487" s="687">
        <v>0</v>
      </c>
      <c r="AE487" s="743"/>
      <c r="AF487" s="743"/>
      <c r="AG487" s="743"/>
      <c r="AH487" s="743"/>
      <c r="AI487" s="743"/>
      <c r="AJ487" s="743"/>
      <c r="AK487" s="743"/>
      <c r="AL487" s="743"/>
      <c r="AM487" s="743"/>
      <c r="AN487" s="743"/>
      <c r="AO487" s="743"/>
      <c r="AP487" s="743"/>
      <c r="AQ487" s="743"/>
      <c r="AR487" s="743"/>
      <c r="AS487" s="743"/>
      <c r="AT487" s="743"/>
      <c r="AU487" s="743"/>
      <c r="AV487" s="743"/>
      <c r="AW487" s="743"/>
      <c r="AX487" s="743"/>
      <c r="AY487" s="743"/>
      <c r="AZ487" s="743"/>
      <c r="BA487" s="743"/>
      <c r="BB487" s="743"/>
      <c r="BC487" s="743"/>
      <c r="BD487" s="743"/>
      <c r="BE487" s="743"/>
      <c r="BF487" s="743"/>
      <c r="BG487" s="743"/>
      <c r="BH487" s="743"/>
      <c r="BI487" s="743"/>
      <c r="BJ487" s="743"/>
      <c r="BK487" s="743"/>
      <c r="BL487" s="743"/>
      <c r="BM487" s="743"/>
      <c r="BN487" s="743"/>
      <c r="BO487" s="743"/>
      <c r="BP487" s="743"/>
      <c r="BQ487" s="743"/>
      <c r="BR487" s="743"/>
      <c r="BS487" s="743"/>
      <c r="BT487" s="743"/>
      <c r="BU487" s="743"/>
      <c r="BV487" s="743"/>
      <c r="BW487" s="743"/>
      <c r="BX487" s="743"/>
      <c r="BY487" s="743"/>
      <c r="BZ487" s="743"/>
      <c r="CA487" s="743"/>
    </row>
    <row r="488" spans="1:79" s="309" customFormat="1" hidden="1" outlineLevel="1" x14ac:dyDescent="0.35">
      <c r="A488" s="30"/>
      <c r="B488" s="30"/>
      <c r="C488" s="30"/>
      <c r="D488" s="30"/>
      <c r="E488" s="30"/>
      <c r="F488" s="675" t="s">
        <v>644</v>
      </c>
      <c r="G488" s="680">
        <f>SUM(G486+G476)</f>
        <v>48523.123631166149</v>
      </c>
      <c r="H488" s="680">
        <f t="shared" ref="H488:BO488" si="164">SUM(H486+H476)</f>
        <v>40688.471832429699</v>
      </c>
      <c r="I488" s="680">
        <f t="shared" si="164"/>
        <v>48662.909652747447</v>
      </c>
      <c r="J488" s="680">
        <f t="shared" si="164"/>
        <v>51837.308427549164</v>
      </c>
      <c r="K488" s="680">
        <f t="shared" si="164"/>
        <v>48656.654085733921</v>
      </c>
      <c r="L488" s="680">
        <f t="shared" si="164"/>
        <v>70880.42231328247</v>
      </c>
      <c r="M488" s="680">
        <f t="shared" si="164"/>
        <v>76538.039119631751</v>
      </c>
      <c r="N488" s="680">
        <f t="shared" si="164"/>
        <v>90552.434318458807</v>
      </c>
      <c r="O488" s="680">
        <f t="shared" si="164"/>
        <v>91730.409777639376</v>
      </c>
      <c r="P488" s="680">
        <f t="shared" si="164"/>
        <v>91230.853562927601</v>
      </c>
      <c r="Q488" s="680">
        <f t="shared" si="164"/>
        <v>134161.7148773334</v>
      </c>
      <c r="R488" s="680">
        <f t="shared" si="164"/>
        <v>128576.61631589517</v>
      </c>
      <c r="S488" s="695">
        <f t="shared" ref="S488:AB488" si="165">ROUND(S459+S466+S476+SUM(S486:S487),5)</f>
        <v>127824.25</v>
      </c>
      <c r="T488" s="695">
        <f t="shared" si="165"/>
        <v>132656.32000000001</v>
      </c>
      <c r="U488" s="695">
        <f t="shared" si="165"/>
        <v>201507.54</v>
      </c>
      <c r="V488" s="695">
        <f t="shared" si="165"/>
        <v>195408.01</v>
      </c>
      <c r="W488" s="695">
        <f t="shared" si="165"/>
        <v>175371.65</v>
      </c>
      <c r="X488" s="695">
        <f t="shared" si="165"/>
        <v>164915.32999999999</v>
      </c>
      <c r="Y488" s="695">
        <f t="shared" si="165"/>
        <v>178043.6</v>
      </c>
      <c r="Z488" s="695">
        <f t="shared" si="165"/>
        <v>171960.49</v>
      </c>
      <c r="AA488" s="695">
        <f t="shared" si="165"/>
        <v>169139.42</v>
      </c>
      <c r="AB488" s="695">
        <f t="shared" si="165"/>
        <v>178588.44</v>
      </c>
      <c r="AC488" s="695">
        <f>ROUND(AC459+AC466+AC476+SUM(AC486:AC487),5)</f>
        <v>174442.51</v>
      </c>
      <c r="AD488" s="695">
        <f>ROUND(AD459+AD466+AD476+SUM(AD486:AD487),5)</f>
        <v>128230.84</v>
      </c>
      <c r="AE488" s="680">
        <f t="shared" si="164"/>
        <v>0</v>
      </c>
      <c r="AF488" s="680">
        <f t="shared" si="164"/>
        <v>0</v>
      </c>
      <c r="AG488" s="680">
        <f t="shared" si="164"/>
        <v>0</v>
      </c>
      <c r="AH488" s="680">
        <f t="shared" si="164"/>
        <v>0</v>
      </c>
      <c r="AI488" s="680">
        <f t="shared" si="164"/>
        <v>0</v>
      </c>
      <c r="AJ488" s="680">
        <f t="shared" si="164"/>
        <v>0</v>
      </c>
      <c r="AK488" s="680">
        <f t="shared" si="164"/>
        <v>0</v>
      </c>
      <c r="AL488" s="680">
        <f t="shared" si="164"/>
        <v>0</v>
      </c>
      <c r="AM488" s="680">
        <f t="shared" si="164"/>
        <v>0</v>
      </c>
      <c r="AN488" s="680">
        <f t="shared" si="164"/>
        <v>0</v>
      </c>
      <c r="AO488" s="680">
        <f t="shared" si="164"/>
        <v>0</v>
      </c>
      <c r="AP488" s="680">
        <f t="shared" si="164"/>
        <v>0</v>
      </c>
      <c r="AQ488" s="680">
        <f t="shared" si="164"/>
        <v>0</v>
      </c>
      <c r="AR488" s="680">
        <f t="shared" si="164"/>
        <v>0</v>
      </c>
      <c r="AS488" s="680">
        <f t="shared" si="164"/>
        <v>0</v>
      </c>
      <c r="AT488" s="680">
        <f t="shared" si="164"/>
        <v>0</v>
      </c>
      <c r="AU488" s="680">
        <f t="shared" si="164"/>
        <v>0</v>
      </c>
      <c r="AV488" s="680">
        <f t="shared" si="164"/>
        <v>0</v>
      </c>
      <c r="AW488" s="680">
        <f t="shared" si="164"/>
        <v>0</v>
      </c>
      <c r="AX488" s="680">
        <f t="shared" si="164"/>
        <v>0</v>
      </c>
      <c r="AY488" s="680">
        <f t="shared" si="164"/>
        <v>0</v>
      </c>
      <c r="AZ488" s="680">
        <f t="shared" si="164"/>
        <v>0</v>
      </c>
      <c r="BA488" s="680">
        <f t="shared" si="164"/>
        <v>0</v>
      </c>
      <c r="BB488" s="680">
        <f t="shared" si="164"/>
        <v>0</v>
      </c>
      <c r="BC488" s="680">
        <f t="shared" si="164"/>
        <v>0</v>
      </c>
      <c r="BD488" s="680">
        <f t="shared" si="164"/>
        <v>0</v>
      </c>
      <c r="BE488" s="680">
        <f t="shared" si="164"/>
        <v>0</v>
      </c>
      <c r="BF488" s="680">
        <f t="shared" si="164"/>
        <v>0</v>
      </c>
      <c r="BG488" s="680">
        <f t="shared" si="164"/>
        <v>0</v>
      </c>
      <c r="BH488" s="680">
        <f t="shared" si="164"/>
        <v>0</v>
      </c>
      <c r="BI488" s="680">
        <f t="shared" si="164"/>
        <v>0</v>
      </c>
      <c r="BJ488" s="680">
        <f t="shared" si="164"/>
        <v>0</v>
      </c>
      <c r="BK488" s="680">
        <f t="shared" si="164"/>
        <v>0</v>
      </c>
      <c r="BL488" s="680">
        <f t="shared" si="164"/>
        <v>0</v>
      </c>
      <c r="BM488" s="680">
        <f t="shared" si="164"/>
        <v>0</v>
      </c>
      <c r="BN488" s="680">
        <f t="shared" si="164"/>
        <v>0</v>
      </c>
      <c r="BO488" s="680">
        <f t="shared" si="164"/>
        <v>0</v>
      </c>
      <c r="BP488" s="680">
        <f t="shared" ref="BP488:CA488" si="166">SUM(BP486+BP476)</f>
        <v>0</v>
      </c>
      <c r="BQ488" s="680">
        <f t="shared" si="166"/>
        <v>0</v>
      </c>
      <c r="BR488" s="680">
        <f t="shared" si="166"/>
        <v>0</v>
      </c>
      <c r="BS488" s="680">
        <f t="shared" si="166"/>
        <v>0</v>
      </c>
      <c r="BT488" s="680">
        <f t="shared" si="166"/>
        <v>0</v>
      </c>
      <c r="BU488" s="680">
        <f t="shared" si="166"/>
        <v>0</v>
      </c>
      <c r="BV488" s="680">
        <f t="shared" si="166"/>
        <v>0</v>
      </c>
      <c r="BW488" s="680">
        <f t="shared" si="166"/>
        <v>0</v>
      </c>
      <c r="BX488" s="680">
        <f t="shared" si="166"/>
        <v>0</v>
      </c>
      <c r="BY488" s="680">
        <f t="shared" si="166"/>
        <v>0</v>
      </c>
      <c r="BZ488" s="680">
        <f t="shared" si="166"/>
        <v>0</v>
      </c>
      <c r="CA488" s="680">
        <f t="shared" si="166"/>
        <v>0</v>
      </c>
    </row>
    <row r="489" spans="1:79" s="309" customFormat="1" hidden="1" outlineLevel="1" x14ac:dyDescent="0.35">
      <c r="A489" s="575"/>
      <c r="B489" s="575"/>
      <c r="C489" s="575"/>
      <c r="D489" s="575"/>
      <c r="E489" s="575"/>
      <c r="F489" s="671" t="s">
        <v>912</v>
      </c>
      <c r="G489" s="735"/>
      <c r="H489" s="735"/>
      <c r="I489" s="735"/>
      <c r="J489" s="735"/>
      <c r="K489" s="735"/>
      <c r="L489" s="735"/>
      <c r="M489" s="735"/>
      <c r="N489" s="735"/>
      <c r="O489" s="735"/>
      <c r="P489" s="735"/>
      <c r="Q489" s="735"/>
      <c r="R489" s="735"/>
      <c r="S489" s="700">
        <v>0</v>
      </c>
      <c r="T489" s="700">
        <v>0</v>
      </c>
      <c r="U489" s="700">
        <v>0</v>
      </c>
      <c r="V489" s="700">
        <v>0</v>
      </c>
      <c r="W489" s="700">
        <v>0</v>
      </c>
      <c r="X489" s="700">
        <v>0</v>
      </c>
      <c r="Y489" s="700">
        <v>0</v>
      </c>
      <c r="Z489" s="700">
        <v>0</v>
      </c>
      <c r="AA489" s="700">
        <v>0</v>
      </c>
      <c r="AB489" s="700">
        <v>0</v>
      </c>
      <c r="AC489" s="700">
        <v>0</v>
      </c>
      <c r="AD489" s="700">
        <v>0</v>
      </c>
      <c r="AE489" s="734"/>
      <c r="AF489" s="734"/>
      <c r="AG489" s="734"/>
      <c r="AH489" s="734"/>
      <c r="AI489" s="734"/>
      <c r="AJ489" s="734"/>
      <c r="AK489" s="734"/>
      <c r="AL489" s="734"/>
      <c r="AM489" s="734"/>
      <c r="AN489" s="734"/>
      <c r="AO489" s="734"/>
      <c r="AP489" s="734"/>
      <c r="AQ489" s="734"/>
      <c r="AR489" s="734"/>
      <c r="AS489" s="734"/>
      <c r="AT489" s="734"/>
      <c r="AU489" s="734"/>
      <c r="AV489" s="734"/>
      <c r="AW489" s="734"/>
      <c r="AX489" s="734"/>
      <c r="AY489" s="734"/>
      <c r="AZ489" s="734"/>
      <c r="BA489" s="734"/>
      <c r="BB489" s="734"/>
      <c r="BC489" s="734"/>
      <c r="BD489" s="734"/>
      <c r="BE489" s="734"/>
      <c r="BF489" s="734"/>
      <c r="BG489" s="734"/>
      <c r="BH489" s="734"/>
      <c r="BI489" s="734"/>
      <c r="BJ489" s="734"/>
      <c r="BK489" s="734"/>
      <c r="BL489" s="734"/>
      <c r="BM489" s="734"/>
      <c r="BN489" s="734"/>
      <c r="BO489" s="734"/>
      <c r="BP489" s="734"/>
      <c r="BQ489" s="734"/>
      <c r="BR489" s="734"/>
      <c r="BS489" s="734"/>
      <c r="BT489" s="734"/>
      <c r="BU489" s="734"/>
      <c r="BV489" s="734"/>
      <c r="BW489" s="734"/>
      <c r="BX489" s="734"/>
      <c r="BY489" s="734"/>
      <c r="BZ489" s="734"/>
      <c r="CA489" s="734"/>
    </row>
    <row r="490" spans="1:79" s="772" customFormat="1" hidden="1" outlineLevel="1" x14ac:dyDescent="0.35">
      <c r="F490" s="717" t="s">
        <v>606</v>
      </c>
      <c r="G490" s="769"/>
      <c r="H490" s="769"/>
      <c r="I490" s="769"/>
      <c r="J490" s="769"/>
      <c r="K490" s="769"/>
      <c r="L490" s="769"/>
      <c r="M490" s="769"/>
      <c r="N490" s="769"/>
      <c r="O490" s="769"/>
      <c r="P490" s="770"/>
      <c r="Q490" s="770"/>
      <c r="R490" s="770"/>
      <c r="S490" s="713"/>
      <c r="T490" s="713"/>
      <c r="U490" s="713"/>
      <c r="V490" s="713"/>
      <c r="W490" s="713"/>
      <c r="X490" s="713"/>
      <c r="Y490" s="713"/>
      <c r="Z490" s="713"/>
      <c r="AA490" s="713"/>
      <c r="AB490" s="713"/>
      <c r="AC490" s="713"/>
      <c r="AD490" s="713"/>
      <c r="AE490" s="771"/>
      <c r="AF490" s="771"/>
      <c r="AG490" s="771"/>
      <c r="AH490" s="771"/>
      <c r="AI490" s="771"/>
      <c r="AJ490" s="771"/>
      <c r="AK490" s="771"/>
      <c r="AL490" s="771"/>
      <c r="AM490" s="771"/>
      <c r="AN490" s="771"/>
      <c r="AO490" s="771"/>
      <c r="AP490" s="771"/>
      <c r="AQ490" s="771"/>
      <c r="AR490" s="771"/>
      <c r="AS490" s="771"/>
      <c r="AT490" s="771"/>
      <c r="AU490" s="771"/>
      <c r="AV490" s="771"/>
      <c r="AW490" s="771"/>
      <c r="AX490" s="771"/>
      <c r="AY490" s="771"/>
      <c r="AZ490" s="771"/>
      <c r="BA490" s="771"/>
      <c r="BB490" s="771"/>
      <c r="BC490" s="771"/>
      <c r="BD490" s="771"/>
      <c r="BE490" s="771"/>
      <c r="BF490" s="771"/>
      <c r="BG490" s="771"/>
      <c r="BH490" s="771"/>
      <c r="BI490" s="771"/>
      <c r="BJ490" s="771"/>
      <c r="BK490" s="771"/>
      <c r="BL490" s="771"/>
      <c r="BM490" s="771"/>
      <c r="BN490" s="771"/>
      <c r="BO490" s="771"/>
      <c r="BP490" s="771"/>
      <c r="BQ490" s="771"/>
      <c r="BR490" s="771"/>
      <c r="BS490" s="771"/>
      <c r="BT490" s="771"/>
      <c r="BU490" s="771"/>
      <c r="BV490" s="771"/>
      <c r="BW490" s="771"/>
      <c r="BX490" s="771"/>
      <c r="BY490" s="771"/>
      <c r="BZ490" s="771"/>
      <c r="CA490" s="771"/>
    </row>
    <row r="491" spans="1:79" s="758" customFormat="1" hidden="1" outlineLevel="1" x14ac:dyDescent="0.35">
      <c r="A491" s="498"/>
      <c r="B491" s="498"/>
      <c r="C491" s="498"/>
      <c r="D491" s="498"/>
      <c r="E491" s="498"/>
      <c r="F491" s="672" t="s">
        <v>645</v>
      </c>
      <c r="G491" s="740"/>
      <c r="H491" s="740"/>
      <c r="I491" s="740"/>
      <c r="J491" s="740"/>
      <c r="K491" s="740"/>
      <c r="L491" s="740"/>
      <c r="M491" s="740"/>
      <c r="N491" s="740"/>
      <c r="O491" s="740"/>
      <c r="P491" s="741"/>
      <c r="Q491" s="741"/>
      <c r="R491" s="741"/>
      <c r="S491" s="683">
        <v>14023.9</v>
      </c>
      <c r="T491" s="683">
        <v>6178.38</v>
      </c>
      <c r="U491" s="683">
        <v>5372.79</v>
      </c>
      <c r="V491" s="683">
        <v>5001.71</v>
      </c>
      <c r="W491" s="683">
        <v>7441.31</v>
      </c>
      <c r="X491" s="683">
        <v>9473.3700000000008</v>
      </c>
      <c r="Y491" s="683">
        <v>7438.7</v>
      </c>
      <c r="Z491" s="683">
        <v>7323.23</v>
      </c>
      <c r="AA491" s="683">
        <v>6715.82</v>
      </c>
      <c r="AB491" s="683">
        <v>7897.72</v>
      </c>
      <c r="AC491" s="683">
        <v>0</v>
      </c>
      <c r="AD491" s="683">
        <v>0</v>
      </c>
      <c r="AE491" s="743"/>
      <c r="AF491" s="743"/>
      <c r="AG491" s="743"/>
      <c r="AH491" s="743"/>
      <c r="AI491" s="743"/>
      <c r="AJ491" s="743"/>
      <c r="AK491" s="743"/>
      <c r="AL491" s="743"/>
      <c r="AM491" s="743"/>
      <c r="AN491" s="743"/>
      <c r="AO491" s="743"/>
      <c r="AP491" s="743"/>
      <c r="AQ491" s="743"/>
      <c r="AR491" s="743"/>
      <c r="AS491" s="743"/>
      <c r="AT491" s="743"/>
      <c r="AU491" s="743"/>
      <c r="AV491" s="743"/>
      <c r="AW491" s="743"/>
      <c r="AX491" s="743"/>
      <c r="AY491" s="743"/>
      <c r="AZ491" s="743"/>
      <c r="BA491" s="743"/>
      <c r="BB491" s="743"/>
      <c r="BC491" s="743"/>
      <c r="BD491" s="743"/>
      <c r="BE491" s="743"/>
      <c r="BF491" s="743"/>
      <c r="BG491" s="743"/>
      <c r="BH491" s="743"/>
      <c r="BI491" s="743"/>
      <c r="BJ491" s="743"/>
      <c r="BK491" s="743"/>
      <c r="BL491" s="743"/>
      <c r="BM491" s="743"/>
      <c r="BN491" s="743"/>
      <c r="BO491" s="743"/>
      <c r="BP491" s="743"/>
      <c r="BQ491" s="743"/>
      <c r="BR491" s="743"/>
      <c r="BS491" s="743"/>
      <c r="BT491" s="743"/>
      <c r="BU491" s="743"/>
      <c r="BV491" s="743"/>
      <c r="BW491" s="743"/>
      <c r="BX491" s="743"/>
      <c r="BY491" s="743"/>
      <c r="BZ491" s="743"/>
      <c r="CA491" s="743"/>
    </row>
    <row r="492" spans="1:79" s="758" customFormat="1" hidden="1" outlineLevel="1" x14ac:dyDescent="0.35">
      <c r="A492" s="583"/>
      <c r="B492" s="583"/>
      <c r="C492" s="583"/>
      <c r="D492" s="583"/>
      <c r="E492" s="583"/>
      <c r="F492" s="672" t="s">
        <v>913</v>
      </c>
      <c r="G492" s="740"/>
      <c r="H492" s="740"/>
      <c r="I492" s="740"/>
      <c r="J492" s="740"/>
      <c r="K492" s="740"/>
      <c r="L492" s="740"/>
      <c r="M492" s="740"/>
      <c r="N492" s="740"/>
      <c r="O492" s="740"/>
      <c r="P492" s="741"/>
      <c r="Q492" s="741"/>
      <c r="R492" s="741"/>
      <c r="S492" s="692">
        <v>0</v>
      </c>
      <c r="T492" s="692">
        <v>0</v>
      </c>
      <c r="U492" s="692">
        <v>0</v>
      </c>
      <c r="V492" s="692">
        <v>0</v>
      </c>
      <c r="W492" s="692">
        <v>0</v>
      </c>
      <c r="X492" s="692">
        <v>0</v>
      </c>
      <c r="Y492" s="692">
        <v>0</v>
      </c>
      <c r="Z492" s="692">
        <v>0</v>
      </c>
      <c r="AA492" s="692">
        <v>0</v>
      </c>
      <c r="AB492" s="692">
        <v>0</v>
      </c>
      <c r="AC492" s="692">
        <v>0</v>
      </c>
      <c r="AD492" s="692">
        <v>0</v>
      </c>
      <c r="AE492" s="743"/>
      <c r="AF492" s="743"/>
      <c r="AG492" s="743"/>
      <c r="AH492" s="743"/>
      <c r="AI492" s="743"/>
      <c r="AJ492" s="743"/>
      <c r="AK492" s="743"/>
      <c r="AL492" s="743"/>
      <c r="AM492" s="743"/>
      <c r="AN492" s="743"/>
      <c r="AO492" s="743"/>
      <c r="AP492" s="743"/>
      <c r="AQ492" s="743"/>
      <c r="AR492" s="743"/>
      <c r="AS492" s="743"/>
      <c r="AT492" s="743"/>
      <c r="AU492" s="743"/>
      <c r="AV492" s="743"/>
      <c r="AW492" s="743"/>
      <c r="AX492" s="743"/>
      <c r="AY492" s="743"/>
      <c r="AZ492" s="743"/>
      <c r="BA492" s="743"/>
      <c r="BB492" s="743"/>
      <c r="BC492" s="743"/>
      <c r="BD492" s="743"/>
      <c r="BE492" s="743"/>
      <c r="BF492" s="743"/>
      <c r="BG492" s="743"/>
      <c r="BH492" s="743"/>
      <c r="BI492" s="743"/>
      <c r="BJ492" s="743"/>
      <c r="BK492" s="743"/>
      <c r="BL492" s="743"/>
      <c r="BM492" s="743"/>
      <c r="BN492" s="743"/>
      <c r="BO492" s="743"/>
      <c r="BP492" s="743"/>
      <c r="BQ492" s="743"/>
      <c r="BR492" s="743"/>
      <c r="BS492" s="743"/>
      <c r="BT492" s="743"/>
      <c r="BU492" s="743"/>
      <c r="BV492" s="743"/>
      <c r="BW492" s="743"/>
      <c r="BX492" s="743"/>
      <c r="BY492" s="743"/>
      <c r="BZ492" s="743"/>
      <c r="CA492" s="743"/>
    </row>
    <row r="493" spans="1:79" s="758" customFormat="1" hidden="1" outlineLevel="1" x14ac:dyDescent="0.35">
      <c r="A493" s="583"/>
      <c r="B493" s="583"/>
      <c r="C493" s="583"/>
      <c r="D493" s="583"/>
      <c r="E493" s="583"/>
      <c r="F493" s="672" t="s">
        <v>770</v>
      </c>
      <c r="G493" s="735">
        <v>852.34152445065149</v>
      </c>
      <c r="H493" s="735">
        <v>488.22973669307771</v>
      </c>
      <c r="I493" s="735">
        <v>851.81754500492298</v>
      </c>
      <c r="J493" s="735">
        <v>1828.524242780155</v>
      </c>
      <c r="K493" s="735">
        <v>935.83366029895365</v>
      </c>
      <c r="L493" s="735">
        <v>1121.8058209802803</v>
      </c>
      <c r="M493" s="735">
        <v>1018.7029400407547</v>
      </c>
      <c r="N493" s="735">
        <v>1351.0560354649642</v>
      </c>
      <c r="O493" s="735">
        <v>1858.9638199068484</v>
      </c>
      <c r="P493" s="732">
        <v>577.90996933157385</v>
      </c>
      <c r="Q493" s="732">
        <v>985.72769216041388</v>
      </c>
      <c r="R493" s="732">
        <v>9943.7617819453189</v>
      </c>
      <c r="S493" s="692">
        <v>0</v>
      </c>
      <c r="T493" s="692">
        <v>0</v>
      </c>
      <c r="U493" s="692">
        <v>0</v>
      </c>
      <c r="V493" s="692">
        <v>0</v>
      </c>
      <c r="W493" s="692">
        <v>310</v>
      </c>
      <c r="X493" s="692">
        <v>60</v>
      </c>
      <c r="Y493" s="692">
        <v>60</v>
      </c>
      <c r="Z493" s="692">
        <v>60</v>
      </c>
      <c r="AA493" s="692">
        <v>60</v>
      </c>
      <c r="AB493" s="692">
        <v>40</v>
      </c>
      <c r="AC493" s="692">
        <v>40</v>
      </c>
      <c r="AD493" s="692">
        <v>0</v>
      </c>
      <c r="AE493" s="743"/>
      <c r="AF493" s="743"/>
      <c r="AG493" s="743"/>
      <c r="AH493" s="743"/>
      <c r="AI493" s="743"/>
      <c r="AJ493" s="743"/>
      <c r="AK493" s="743"/>
      <c r="AL493" s="743"/>
      <c r="AM493" s="743"/>
      <c r="AN493" s="743"/>
      <c r="AO493" s="743"/>
      <c r="AP493" s="743"/>
      <c r="AQ493" s="743"/>
      <c r="AR493" s="743"/>
      <c r="AS493" s="743"/>
      <c r="AT493" s="743"/>
      <c r="AU493" s="743"/>
      <c r="AV493" s="743"/>
      <c r="AW493" s="743"/>
      <c r="AX493" s="743"/>
      <c r="AY493" s="743"/>
      <c r="AZ493" s="743"/>
      <c r="BA493" s="743"/>
      <c r="BB493" s="743"/>
      <c r="BC493" s="743"/>
      <c r="BD493" s="743"/>
      <c r="BE493" s="743"/>
      <c r="BF493" s="743"/>
      <c r="BG493" s="743"/>
      <c r="BH493" s="743"/>
      <c r="BI493" s="743"/>
      <c r="BJ493" s="743"/>
      <c r="BK493" s="743"/>
      <c r="BL493" s="743"/>
      <c r="BM493" s="743"/>
      <c r="BN493" s="743"/>
      <c r="BO493" s="743"/>
      <c r="BP493" s="743"/>
      <c r="BQ493" s="743"/>
      <c r="BR493" s="743"/>
      <c r="BS493" s="743"/>
      <c r="BT493" s="743"/>
      <c r="BU493" s="743"/>
      <c r="BV493" s="743"/>
      <c r="BW493" s="743"/>
      <c r="BX493" s="743"/>
      <c r="BY493" s="743"/>
      <c r="BZ493" s="743"/>
      <c r="CA493" s="743"/>
    </row>
    <row r="494" spans="1:79" s="309" customFormat="1" hidden="1" outlineLevel="1" x14ac:dyDescent="0.35">
      <c r="A494" s="30"/>
      <c r="B494" s="30"/>
      <c r="C494" s="30"/>
      <c r="D494" s="30"/>
      <c r="E494" s="30"/>
      <c r="F494" s="678" t="s">
        <v>646</v>
      </c>
      <c r="G494" s="680">
        <f>SUM(G491:G493)</f>
        <v>852.34152445065149</v>
      </c>
      <c r="H494" s="680">
        <f t="shared" ref="H494:BO494" si="167">SUM(H491:H493)</f>
        <v>488.22973669307771</v>
      </c>
      <c r="I494" s="680">
        <f t="shared" si="167"/>
        <v>851.81754500492298</v>
      </c>
      <c r="J494" s="680">
        <f t="shared" si="167"/>
        <v>1828.524242780155</v>
      </c>
      <c r="K494" s="680">
        <f t="shared" si="167"/>
        <v>935.83366029895365</v>
      </c>
      <c r="L494" s="680">
        <f t="shared" si="167"/>
        <v>1121.8058209802803</v>
      </c>
      <c r="M494" s="680">
        <f t="shared" si="167"/>
        <v>1018.7029400407547</v>
      </c>
      <c r="N494" s="680">
        <f t="shared" si="167"/>
        <v>1351.0560354649642</v>
      </c>
      <c r="O494" s="680">
        <f t="shared" si="167"/>
        <v>1858.9638199068484</v>
      </c>
      <c r="P494" s="680">
        <f t="shared" si="167"/>
        <v>577.90996933157385</v>
      </c>
      <c r="Q494" s="680">
        <f t="shared" si="167"/>
        <v>985.72769216041388</v>
      </c>
      <c r="R494" s="680">
        <f t="shared" si="167"/>
        <v>9943.7617819453189</v>
      </c>
      <c r="S494" s="694">
        <f t="shared" ref="S494:AA494" si="168">ROUND(SUM(S490:S493),5)</f>
        <v>14023.9</v>
      </c>
      <c r="T494" s="694">
        <f t="shared" si="168"/>
        <v>6178.38</v>
      </c>
      <c r="U494" s="694">
        <f t="shared" si="168"/>
        <v>5372.79</v>
      </c>
      <c r="V494" s="694">
        <f t="shared" si="168"/>
        <v>5001.71</v>
      </c>
      <c r="W494" s="694">
        <f t="shared" si="168"/>
        <v>7751.31</v>
      </c>
      <c r="X494" s="694">
        <f t="shared" si="168"/>
        <v>9533.3700000000008</v>
      </c>
      <c r="Y494" s="694">
        <f t="shared" si="168"/>
        <v>7498.7</v>
      </c>
      <c r="Z494" s="694">
        <f t="shared" si="168"/>
        <v>7383.23</v>
      </c>
      <c r="AA494" s="694">
        <f t="shared" si="168"/>
        <v>6775.82</v>
      </c>
      <c r="AB494" s="694">
        <f>ROUND(SUM(AB490:AB493),5)</f>
        <v>7937.72</v>
      </c>
      <c r="AC494" s="694">
        <f>ROUND(SUM(AC490:AC493),5)</f>
        <v>40</v>
      </c>
      <c r="AD494" s="694">
        <f>ROUND(SUM(AD490:AD493),5)</f>
        <v>0</v>
      </c>
      <c r="AE494" s="680">
        <f t="shared" si="167"/>
        <v>0</v>
      </c>
      <c r="AF494" s="680">
        <f t="shared" si="167"/>
        <v>0</v>
      </c>
      <c r="AG494" s="680">
        <f t="shared" si="167"/>
        <v>0</v>
      </c>
      <c r="AH494" s="680">
        <f t="shared" si="167"/>
        <v>0</v>
      </c>
      <c r="AI494" s="680">
        <f t="shared" si="167"/>
        <v>0</v>
      </c>
      <c r="AJ494" s="680">
        <f t="shared" si="167"/>
        <v>0</v>
      </c>
      <c r="AK494" s="680">
        <f t="shared" si="167"/>
        <v>0</v>
      </c>
      <c r="AL494" s="680">
        <f t="shared" si="167"/>
        <v>0</v>
      </c>
      <c r="AM494" s="680">
        <f t="shared" si="167"/>
        <v>0</v>
      </c>
      <c r="AN494" s="680">
        <f t="shared" si="167"/>
        <v>0</v>
      </c>
      <c r="AO494" s="680">
        <f t="shared" si="167"/>
        <v>0</v>
      </c>
      <c r="AP494" s="680">
        <f t="shared" si="167"/>
        <v>0</v>
      </c>
      <c r="AQ494" s="680">
        <f t="shared" si="167"/>
        <v>0</v>
      </c>
      <c r="AR494" s="680">
        <f t="shared" si="167"/>
        <v>0</v>
      </c>
      <c r="AS494" s="680">
        <f t="shared" si="167"/>
        <v>0</v>
      </c>
      <c r="AT494" s="680">
        <f t="shared" si="167"/>
        <v>0</v>
      </c>
      <c r="AU494" s="680">
        <f t="shared" si="167"/>
        <v>0</v>
      </c>
      <c r="AV494" s="680">
        <f t="shared" si="167"/>
        <v>0</v>
      </c>
      <c r="AW494" s="680">
        <f t="shared" si="167"/>
        <v>0</v>
      </c>
      <c r="AX494" s="680">
        <f t="shared" si="167"/>
        <v>0</v>
      </c>
      <c r="AY494" s="680">
        <f t="shared" si="167"/>
        <v>0</v>
      </c>
      <c r="AZ494" s="680">
        <f t="shared" si="167"/>
        <v>0</v>
      </c>
      <c r="BA494" s="680">
        <f t="shared" si="167"/>
        <v>0</v>
      </c>
      <c r="BB494" s="680">
        <f t="shared" si="167"/>
        <v>0</v>
      </c>
      <c r="BC494" s="680">
        <f t="shared" si="167"/>
        <v>0</v>
      </c>
      <c r="BD494" s="680">
        <f t="shared" si="167"/>
        <v>0</v>
      </c>
      <c r="BE494" s="680">
        <f t="shared" si="167"/>
        <v>0</v>
      </c>
      <c r="BF494" s="680">
        <f t="shared" si="167"/>
        <v>0</v>
      </c>
      <c r="BG494" s="680">
        <f t="shared" si="167"/>
        <v>0</v>
      </c>
      <c r="BH494" s="680">
        <f t="shared" si="167"/>
        <v>0</v>
      </c>
      <c r="BI494" s="680">
        <f t="shared" si="167"/>
        <v>0</v>
      </c>
      <c r="BJ494" s="680">
        <f t="shared" si="167"/>
        <v>0</v>
      </c>
      <c r="BK494" s="680">
        <f t="shared" si="167"/>
        <v>0</v>
      </c>
      <c r="BL494" s="680">
        <f t="shared" si="167"/>
        <v>0</v>
      </c>
      <c r="BM494" s="680">
        <f t="shared" si="167"/>
        <v>0</v>
      </c>
      <c r="BN494" s="680">
        <f t="shared" si="167"/>
        <v>0</v>
      </c>
      <c r="BO494" s="680">
        <f t="shared" si="167"/>
        <v>0</v>
      </c>
      <c r="BP494" s="680">
        <f t="shared" ref="BP494:CA494" si="169">SUM(BP491:BP493)</f>
        <v>0</v>
      </c>
      <c r="BQ494" s="680">
        <f t="shared" si="169"/>
        <v>0</v>
      </c>
      <c r="BR494" s="680">
        <f t="shared" si="169"/>
        <v>0</v>
      </c>
      <c r="BS494" s="680">
        <f t="shared" si="169"/>
        <v>0</v>
      </c>
      <c r="BT494" s="680">
        <f t="shared" si="169"/>
        <v>0</v>
      </c>
      <c r="BU494" s="680">
        <f t="shared" si="169"/>
        <v>0</v>
      </c>
      <c r="BV494" s="680">
        <f t="shared" si="169"/>
        <v>0</v>
      </c>
      <c r="BW494" s="680">
        <f t="shared" si="169"/>
        <v>0</v>
      </c>
      <c r="BX494" s="680">
        <f t="shared" si="169"/>
        <v>0</v>
      </c>
      <c r="BY494" s="680">
        <f t="shared" si="169"/>
        <v>0</v>
      </c>
      <c r="BZ494" s="680">
        <f t="shared" si="169"/>
        <v>0</v>
      </c>
      <c r="CA494" s="680">
        <f t="shared" si="169"/>
        <v>0</v>
      </c>
    </row>
    <row r="495" spans="1:79" s="309" customFormat="1" hidden="1" outlineLevel="1" x14ac:dyDescent="0.35">
      <c r="A495" s="30"/>
      <c r="B495" s="30"/>
      <c r="C495" s="30"/>
      <c r="D495" s="30"/>
      <c r="E495" s="30"/>
      <c r="F495" s="674" t="s">
        <v>607</v>
      </c>
      <c r="G495" s="735"/>
      <c r="H495" s="735">
        <v>45.376440658320917</v>
      </c>
      <c r="I495" s="735">
        <v>59.364835577093857</v>
      </c>
      <c r="J495" s="735">
        <v>50.301413282183894</v>
      </c>
      <c r="K495" s="735">
        <v>83.656320887310684</v>
      </c>
      <c r="L495" s="735"/>
      <c r="M495" s="735">
        <v>16.652783132326316</v>
      </c>
      <c r="N495" s="735"/>
      <c r="O495" s="735"/>
      <c r="P495" s="732">
        <v>4.9664615132242389</v>
      </c>
      <c r="Q495" s="732"/>
      <c r="R495" s="732"/>
      <c r="S495" s="683">
        <v>0</v>
      </c>
      <c r="T495" s="683">
        <v>0</v>
      </c>
      <c r="U495" s="683">
        <v>0</v>
      </c>
      <c r="V495" s="683">
        <v>0</v>
      </c>
      <c r="W495" s="683">
        <v>0</v>
      </c>
      <c r="X495" s="683">
        <v>17.95</v>
      </c>
      <c r="Y495" s="683">
        <v>71.849999999999994</v>
      </c>
      <c r="Z495" s="683">
        <v>0</v>
      </c>
      <c r="AA495" s="683">
        <v>0</v>
      </c>
      <c r="AB495" s="683">
        <v>0</v>
      </c>
      <c r="AC495" s="683">
        <v>0</v>
      </c>
      <c r="AD495" s="683">
        <v>0</v>
      </c>
      <c r="AE495" s="734"/>
      <c r="AF495" s="734"/>
      <c r="AG495" s="734"/>
      <c r="AH495" s="734"/>
      <c r="AI495" s="734"/>
      <c r="AJ495" s="734"/>
      <c r="AK495" s="734"/>
      <c r="AL495" s="734"/>
      <c r="AM495" s="734"/>
      <c r="AN495" s="734"/>
      <c r="AO495" s="734"/>
      <c r="AP495" s="734"/>
      <c r="AQ495" s="734"/>
      <c r="AR495" s="734"/>
      <c r="AS495" s="734"/>
      <c r="AT495" s="734"/>
      <c r="AU495" s="734"/>
      <c r="AV495" s="734"/>
      <c r="AW495" s="734"/>
      <c r="AX495" s="734"/>
      <c r="AY495" s="734"/>
      <c r="AZ495" s="734"/>
      <c r="BA495" s="734"/>
      <c r="BB495" s="734"/>
      <c r="BC495" s="734"/>
      <c r="BD495" s="734"/>
      <c r="BE495" s="734"/>
      <c r="BF495" s="734"/>
      <c r="BG495" s="734"/>
      <c r="BH495" s="734"/>
      <c r="BI495" s="734"/>
      <c r="BJ495" s="734"/>
      <c r="BK495" s="734"/>
      <c r="BL495" s="734"/>
      <c r="BM495" s="734"/>
      <c r="BN495" s="734"/>
      <c r="BO495" s="734"/>
      <c r="BP495" s="734"/>
      <c r="BQ495" s="734"/>
      <c r="BR495" s="734"/>
      <c r="BS495" s="734"/>
      <c r="BT495" s="734"/>
      <c r="BU495" s="734"/>
      <c r="BV495" s="734"/>
      <c r="BW495" s="734"/>
      <c r="BX495" s="734"/>
      <c r="BY495" s="734"/>
      <c r="BZ495" s="734"/>
      <c r="CA495" s="734"/>
    </row>
    <row r="496" spans="1:79" hidden="1" outlineLevel="1" x14ac:dyDescent="0.35">
      <c r="F496" s="674" t="s">
        <v>608</v>
      </c>
      <c r="G496" s="735">
        <v>284.77944363416213</v>
      </c>
      <c r="H496" s="735">
        <v>45.578906960820568</v>
      </c>
      <c r="I496" s="735">
        <v>36.345817700261549</v>
      </c>
      <c r="J496" s="735">
        <v>3954.0683445792706</v>
      </c>
      <c r="K496" s="735">
        <v>170.53019257797948</v>
      </c>
      <c r="L496" s="735">
        <v>2876.6241612598556</v>
      </c>
      <c r="M496" s="735">
        <v>3996.6512989751841</v>
      </c>
      <c r="N496" s="735">
        <v>5072.4053966338033</v>
      </c>
      <c r="O496" s="735">
        <v>34.837241077225869</v>
      </c>
      <c r="P496" s="732">
        <v>3049.0058019342564</v>
      </c>
      <c r="Q496" s="732"/>
      <c r="R496" s="732"/>
      <c r="S496" s="683">
        <v>575</v>
      </c>
      <c r="T496" s="683">
        <v>0</v>
      </c>
      <c r="U496" s="683">
        <v>19550</v>
      </c>
      <c r="V496" s="683">
        <v>0</v>
      </c>
      <c r="W496" s="683">
        <v>0</v>
      </c>
      <c r="X496" s="683">
        <v>0</v>
      </c>
      <c r="Y496" s="683">
        <v>0</v>
      </c>
      <c r="Z496" s="683">
        <v>1557</v>
      </c>
      <c r="AA496" s="683">
        <v>1166.9000000000001</v>
      </c>
      <c r="AB496" s="683">
        <v>500</v>
      </c>
      <c r="AC496" s="683">
        <v>0</v>
      </c>
      <c r="AD496" s="683">
        <v>0</v>
      </c>
      <c r="AE496" s="734"/>
      <c r="AF496" s="734"/>
      <c r="AG496" s="734"/>
      <c r="AH496" s="734"/>
      <c r="AI496" s="734"/>
      <c r="AJ496" s="734"/>
      <c r="AK496" s="734"/>
      <c r="AL496" s="734"/>
      <c r="AM496" s="734"/>
      <c r="AN496" s="734"/>
      <c r="AO496" s="734"/>
      <c r="AP496" s="734"/>
      <c r="AQ496" s="734"/>
      <c r="AR496" s="734"/>
      <c r="AS496" s="734"/>
      <c r="AT496" s="734"/>
      <c r="AU496" s="734"/>
      <c r="AV496" s="734"/>
      <c r="AW496" s="734"/>
      <c r="AX496" s="734"/>
      <c r="AY496" s="734"/>
      <c r="AZ496" s="734"/>
      <c r="BA496" s="734"/>
      <c r="BB496" s="734"/>
      <c r="BC496" s="734"/>
      <c r="BD496" s="734"/>
      <c r="BE496" s="734"/>
      <c r="BF496" s="734"/>
      <c r="BG496" s="734"/>
      <c r="BH496" s="734"/>
      <c r="BI496" s="734"/>
      <c r="BJ496" s="734"/>
      <c r="BK496" s="734"/>
      <c r="BL496" s="734"/>
      <c r="BM496" s="734"/>
      <c r="BN496" s="734"/>
      <c r="BO496" s="734"/>
      <c r="BP496" s="734"/>
      <c r="BQ496" s="734"/>
      <c r="BR496" s="734"/>
      <c r="BS496" s="734"/>
      <c r="BT496" s="734"/>
      <c r="BU496" s="734"/>
      <c r="BV496" s="734"/>
      <c r="BW496" s="734"/>
      <c r="BX496" s="734"/>
      <c r="BY496" s="734"/>
      <c r="BZ496" s="734"/>
      <c r="CA496" s="734"/>
    </row>
    <row r="497" spans="1:79" s="709" customFormat="1" hidden="1" outlineLevel="1" x14ac:dyDescent="0.35">
      <c r="F497" s="717" t="s">
        <v>656</v>
      </c>
      <c r="G497" s="750"/>
      <c r="H497" s="750"/>
      <c r="I497" s="750"/>
      <c r="J497" s="750"/>
      <c r="K497" s="750"/>
      <c r="L497" s="750"/>
      <c r="M497" s="750"/>
      <c r="N497" s="750"/>
      <c r="O497" s="750"/>
      <c r="P497" s="751"/>
      <c r="Q497" s="751"/>
      <c r="R497" s="751"/>
      <c r="S497" s="720"/>
      <c r="T497" s="720"/>
      <c r="U497" s="720"/>
      <c r="V497" s="720"/>
      <c r="W497" s="720"/>
      <c r="X497" s="720"/>
      <c r="Y497" s="720"/>
      <c r="Z497" s="720"/>
      <c r="AA497" s="720"/>
      <c r="AB497" s="720"/>
      <c r="AC497" s="720"/>
      <c r="AD497" s="720"/>
      <c r="AE497" s="753"/>
      <c r="AF497" s="753"/>
      <c r="AG497" s="753"/>
      <c r="AH497" s="753"/>
      <c r="AI497" s="753"/>
      <c r="AJ497" s="753"/>
      <c r="AK497" s="753"/>
      <c r="AL497" s="753"/>
      <c r="AM497" s="753"/>
      <c r="AN497" s="753"/>
      <c r="AO497" s="753"/>
      <c r="AP497" s="753"/>
      <c r="AQ497" s="753"/>
      <c r="AR497" s="753"/>
      <c r="AS497" s="753"/>
      <c r="AT497" s="753"/>
      <c r="AU497" s="753"/>
      <c r="AV497" s="753"/>
      <c r="AW497" s="753"/>
      <c r="AX497" s="753"/>
      <c r="AY497" s="753"/>
      <c r="AZ497" s="753"/>
      <c r="BA497" s="753"/>
      <c r="BB497" s="753"/>
      <c r="BC497" s="753"/>
      <c r="BD497" s="753"/>
      <c r="BE497" s="753"/>
      <c r="BF497" s="753"/>
      <c r="BG497" s="753"/>
      <c r="BH497" s="753"/>
      <c r="BI497" s="753"/>
      <c r="BJ497" s="753"/>
      <c r="BK497" s="753"/>
      <c r="BL497" s="753"/>
      <c r="BM497" s="753"/>
      <c r="BN497" s="753"/>
      <c r="BO497" s="753"/>
      <c r="BP497" s="753"/>
      <c r="BQ497" s="753"/>
      <c r="BR497" s="753"/>
      <c r="BS497" s="753"/>
      <c r="BT497" s="753"/>
      <c r="BU497" s="753"/>
      <c r="BV497" s="753"/>
      <c r="BW497" s="753"/>
      <c r="BX497" s="753"/>
      <c r="BY497" s="753"/>
      <c r="BZ497" s="753"/>
      <c r="CA497" s="753"/>
    </row>
    <row r="498" spans="1:79" hidden="1" outlineLevel="1" x14ac:dyDescent="0.35">
      <c r="A498" s="574"/>
      <c r="B498" s="574"/>
      <c r="C498" s="574"/>
      <c r="D498" s="574"/>
      <c r="E498" s="574"/>
      <c r="F498" s="672" t="s">
        <v>657</v>
      </c>
      <c r="G498" s="735"/>
      <c r="H498" s="735"/>
      <c r="I498" s="735"/>
      <c r="J498" s="735"/>
      <c r="K498" s="735"/>
      <c r="L498" s="735"/>
      <c r="M498" s="735"/>
      <c r="N498" s="735"/>
      <c r="O498" s="735"/>
      <c r="P498" s="732"/>
      <c r="Q498" s="732"/>
      <c r="R498" s="732"/>
      <c r="S498" s="683">
        <v>0</v>
      </c>
      <c r="T498" s="683">
        <v>0</v>
      </c>
      <c r="U498" s="683">
        <v>0</v>
      </c>
      <c r="V498" s="683">
        <v>0</v>
      </c>
      <c r="W498" s="683">
        <v>0</v>
      </c>
      <c r="X498" s="683">
        <v>0</v>
      </c>
      <c r="Y498" s="683">
        <v>0</v>
      </c>
      <c r="Z498" s="683">
        <v>0</v>
      </c>
      <c r="AA498" s="683">
        <v>0</v>
      </c>
      <c r="AB498" s="683">
        <v>0</v>
      </c>
      <c r="AC498" s="683">
        <v>0</v>
      </c>
      <c r="AD498" s="683">
        <v>0</v>
      </c>
      <c r="AE498" s="734"/>
      <c r="AF498" s="734"/>
      <c r="AG498" s="734"/>
      <c r="AH498" s="734"/>
      <c r="AI498" s="734"/>
      <c r="AJ498" s="734"/>
      <c r="AK498" s="734"/>
      <c r="AL498" s="734"/>
      <c r="AM498" s="734"/>
      <c r="AN498" s="734"/>
      <c r="AO498" s="734"/>
      <c r="AP498" s="734"/>
      <c r="AQ498" s="734"/>
      <c r="AR498" s="734"/>
      <c r="AS498" s="734"/>
      <c r="AT498" s="734"/>
      <c r="AU498" s="734"/>
      <c r="AV498" s="734"/>
      <c r="AW498" s="734"/>
      <c r="AX498" s="734"/>
      <c r="AY498" s="734"/>
      <c r="AZ498" s="734"/>
      <c r="BA498" s="734"/>
      <c r="BB498" s="734"/>
      <c r="BC498" s="734"/>
      <c r="BD498" s="734"/>
      <c r="BE498" s="734"/>
      <c r="BF498" s="734"/>
      <c r="BG498" s="734"/>
      <c r="BH498" s="734"/>
      <c r="BI498" s="734"/>
      <c r="BJ498" s="734"/>
      <c r="BK498" s="734"/>
      <c r="BL498" s="734"/>
      <c r="BM498" s="734"/>
      <c r="BN498" s="734"/>
      <c r="BO498" s="734"/>
      <c r="BP498" s="734"/>
      <c r="BQ498" s="734"/>
      <c r="BR498" s="734"/>
      <c r="BS498" s="734"/>
      <c r="BT498" s="734"/>
      <c r="BU498" s="734"/>
      <c r="BV498" s="734"/>
      <c r="BW498" s="734"/>
      <c r="BX498" s="734"/>
      <c r="BY498" s="734"/>
      <c r="BZ498" s="734"/>
      <c r="CA498" s="734"/>
    </row>
    <row r="499" spans="1:79" hidden="1" outlineLevel="1" x14ac:dyDescent="0.35">
      <c r="A499" s="574"/>
      <c r="B499" s="574"/>
      <c r="C499" s="574"/>
      <c r="D499" s="574"/>
      <c r="E499" s="574"/>
      <c r="F499" s="672" t="s">
        <v>914</v>
      </c>
      <c r="G499" s="735"/>
      <c r="H499" s="735"/>
      <c r="I499" s="735"/>
      <c r="J499" s="735"/>
      <c r="K499" s="735"/>
      <c r="L499" s="735"/>
      <c r="M499" s="735"/>
      <c r="N499" s="735"/>
      <c r="O499" s="735"/>
      <c r="P499" s="732"/>
      <c r="Q499" s="732"/>
      <c r="R499" s="732"/>
      <c r="S499" s="683">
        <v>0</v>
      </c>
      <c r="T499" s="683">
        <v>0</v>
      </c>
      <c r="U499" s="683">
        <v>0</v>
      </c>
      <c r="V499" s="683">
        <v>0</v>
      </c>
      <c r="W499" s="683">
        <v>0</v>
      </c>
      <c r="X499" s="683">
        <v>0</v>
      </c>
      <c r="Y499" s="683">
        <v>0</v>
      </c>
      <c r="Z499" s="683">
        <v>0</v>
      </c>
      <c r="AA499" s="683">
        <v>0</v>
      </c>
      <c r="AB499" s="683">
        <v>0</v>
      </c>
      <c r="AC499" s="683">
        <v>0</v>
      </c>
      <c r="AD499" s="683">
        <v>0</v>
      </c>
      <c r="AE499" s="734"/>
      <c r="AF499" s="734"/>
      <c r="AG499" s="734"/>
      <c r="AH499" s="734"/>
      <c r="AI499" s="734"/>
      <c r="AJ499" s="734"/>
      <c r="AK499" s="734"/>
      <c r="AL499" s="734"/>
      <c r="AM499" s="734"/>
      <c r="AN499" s="734"/>
      <c r="AO499" s="734"/>
      <c r="AP499" s="734"/>
      <c r="AQ499" s="734"/>
      <c r="AR499" s="734"/>
      <c r="AS499" s="734"/>
      <c r="AT499" s="734"/>
      <c r="AU499" s="734"/>
      <c r="AV499" s="734"/>
      <c r="AW499" s="734"/>
      <c r="AX499" s="734"/>
      <c r="AY499" s="734"/>
      <c r="AZ499" s="734"/>
      <c r="BA499" s="734"/>
      <c r="BB499" s="734"/>
      <c r="BC499" s="734"/>
      <c r="BD499" s="734"/>
      <c r="BE499" s="734"/>
      <c r="BF499" s="734"/>
      <c r="BG499" s="734"/>
      <c r="BH499" s="734"/>
      <c r="BI499" s="734"/>
      <c r="BJ499" s="734"/>
      <c r="BK499" s="734"/>
      <c r="BL499" s="734"/>
      <c r="BM499" s="734"/>
      <c r="BN499" s="734"/>
      <c r="BO499" s="734"/>
      <c r="BP499" s="734"/>
      <c r="BQ499" s="734"/>
      <c r="BR499" s="734"/>
      <c r="BS499" s="734"/>
      <c r="BT499" s="734"/>
      <c r="BU499" s="734"/>
      <c r="BV499" s="734"/>
      <c r="BW499" s="734"/>
      <c r="BX499" s="734"/>
      <c r="BY499" s="734"/>
      <c r="BZ499" s="734"/>
      <c r="CA499" s="734"/>
    </row>
    <row r="500" spans="1:79" hidden="1" outlineLevel="1" x14ac:dyDescent="0.35">
      <c r="A500" s="574"/>
      <c r="B500" s="574"/>
      <c r="C500" s="574"/>
      <c r="D500" s="574"/>
      <c r="E500" s="574"/>
      <c r="F500" s="672" t="s">
        <v>915</v>
      </c>
      <c r="G500" s="735"/>
      <c r="H500" s="735"/>
      <c r="I500" s="735"/>
      <c r="J500" s="735"/>
      <c r="K500" s="735"/>
      <c r="L500" s="735"/>
      <c r="M500" s="735"/>
      <c r="N500" s="735"/>
      <c r="O500" s="735"/>
      <c r="P500" s="732"/>
      <c r="Q500" s="732"/>
      <c r="R500" s="732"/>
      <c r="S500" s="683">
        <v>0</v>
      </c>
      <c r="T500" s="683">
        <v>0</v>
      </c>
      <c r="U500" s="683">
        <v>0</v>
      </c>
      <c r="V500" s="683">
        <v>0</v>
      </c>
      <c r="W500" s="683">
        <v>0</v>
      </c>
      <c r="X500" s="683">
        <v>0</v>
      </c>
      <c r="Y500" s="683">
        <v>0</v>
      </c>
      <c r="Z500" s="683">
        <v>0</v>
      </c>
      <c r="AA500" s="683">
        <v>0</v>
      </c>
      <c r="AB500" s="683">
        <v>0</v>
      </c>
      <c r="AC500" s="683">
        <v>0</v>
      </c>
      <c r="AD500" s="683">
        <v>0</v>
      </c>
      <c r="AE500" s="734"/>
      <c r="AF500" s="734"/>
      <c r="AG500" s="734"/>
      <c r="AH500" s="734"/>
      <c r="AI500" s="734"/>
      <c r="AJ500" s="734"/>
      <c r="AK500" s="734"/>
      <c r="AL500" s="734"/>
      <c r="AM500" s="734"/>
      <c r="AN500" s="734"/>
      <c r="AO500" s="734"/>
      <c r="AP500" s="734"/>
      <c r="AQ500" s="734"/>
      <c r="AR500" s="734"/>
      <c r="AS500" s="734"/>
      <c r="AT500" s="734"/>
      <c r="AU500" s="734"/>
      <c r="AV500" s="734"/>
      <c r="AW500" s="734"/>
      <c r="AX500" s="734"/>
      <c r="AY500" s="734"/>
      <c r="AZ500" s="734"/>
      <c r="BA500" s="734"/>
      <c r="BB500" s="734"/>
      <c r="BC500" s="734"/>
      <c r="BD500" s="734"/>
      <c r="BE500" s="734"/>
      <c r="BF500" s="734"/>
      <c r="BG500" s="734"/>
      <c r="BH500" s="734"/>
      <c r="BI500" s="734"/>
      <c r="BJ500" s="734"/>
      <c r="BK500" s="734"/>
      <c r="BL500" s="734"/>
      <c r="BM500" s="734"/>
      <c r="BN500" s="734"/>
      <c r="BO500" s="734"/>
      <c r="BP500" s="734"/>
      <c r="BQ500" s="734"/>
      <c r="BR500" s="734"/>
      <c r="BS500" s="734"/>
      <c r="BT500" s="734"/>
      <c r="BU500" s="734"/>
      <c r="BV500" s="734"/>
      <c r="BW500" s="734"/>
      <c r="BX500" s="734"/>
      <c r="BY500" s="734"/>
      <c r="BZ500" s="734"/>
      <c r="CA500" s="734"/>
    </row>
    <row r="501" spans="1:79" hidden="1" outlineLevel="1" x14ac:dyDescent="0.35">
      <c r="F501" s="672" t="s">
        <v>658</v>
      </c>
      <c r="G501" s="735"/>
      <c r="H501" s="735"/>
      <c r="I501" s="735"/>
      <c r="J501" s="735">
        <v>477.86342618074701</v>
      </c>
      <c r="K501" s="735"/>
      <c r="L501" s="735">
        <v>779.10467369754258</v>
      </c>
      <c r="M501" s="735"/>
      <c r="N501" s="735"/>
      <c r="O501" s="735"/>
      <c r="P501" s="732"/>
      <c r="Q501" s="732"/>
      <c r="R501" s="732">
        <v>844.12446664917218</v>
      </c>
      <c r="S501" s="683">
        <v>0</v>
      </c>
      <c r="T501" s="683">
        <v>0</v>
      </c>
      <c r="U501" s="683">
        <v>0</v>
      </c>
      <c r="V501" s="683">
        <v>0</v>
      </c>
      <c r="W501" s="683">
        <v>0</v>
      </c>
      <c r="X501" s="683">
        <v>0</v>
      </c>
      <c r="Y501" s="683">
        <v>0</v>
      </c>
      <c r="Z501" s="683">
        <v>0</v>
      </c>
      <c r="AA501" s="683">
        <v>0</v>
      </c>
      <c r="AB501" s="683">
        <v>0</v>
      </c>
      <c r="AC501" s="683">
        <v>0</v>
      </c>
      <c r="AD501" s="683">
        <v>0</v>
      </c>
      <c r="AE501" s="734"/>
      <c r="AF501" s="734"/>
      <c r="AG501" s="734"/>
      <c r="AH501" s="734"/>
      <c r="AI501" s="734"/>
      <c r="AJ501" s="734"/>
      <c r="AK501" s="734"/>
      <c r="AL501" s="734"/>
      <c r="AM501" s="734"/>
      <c r="AN501" s="734"/>
      <c r="AO501" s="734"/>
      <c r="AP501" s="734"/>
      <c r="AQ501" s="734"/>
      <c r="AR501" s="734"/>
      <c r="AS501" s="734"/>
      <c r="AT501" s="734"/>
      <c r="AU501" s="734"/>
      <c r="AV501" s="734"/>
      <c r="AW501" s="734"/>
      <c r="AX501" s="734"/>
      <c r="AY501" s="734"/>
      <c r="AZ501" s="734"/>
      <c r="BA501" s="734"/>
      <c r="BB501" s="734"/>
      <c r="BC501" s="734"/>
      <c r="BD501" s="734"/>
      <c r="BE501" s="734"/>
      <c r="BF501" s="734"/>
      <c r="BG501" s="734"/>
      <c r="BH501" s="734"/>
      <c r="BI501" s="734"/>
      <c r="BJ501" s="734"/>
      <c r="BK501" s="734"/>
      <c r="BL501" s="734"/>
      <c r="BM501" s="734"/>
      <c r="BN501" s="734"/>
      <c r="BO501" s="734"/>
      <c r="BP501" s="734"/>
      <c r="BQ501" s="734"/>
      <c r="BR501" s="734"/>
      <c r="BS501" s="734"/>
      <c r="BT501" s="734"/>
      <c r="BU501" s="734"/>
      <c r="BV501" s="734"/>
      <c r="BW501" s="734"/>
      <c r="BX501" s="734"/>
      <c r="BY501" s="734"/>
      <c r="BZ501" s="734"/>
      <c r="CA501" s="734"/>
    </row>
    <row r="502" spans="1:79" hidden="1" outlineLevel="1" x14ac:dyDescent="0.35">
      <c r="F502" s="672" t="s">
        <v>916</v>
      </c>
      <c r="G502" s="735"/>
      <c r="H502" s="735"/>
      <c r="I502" s="735">
        <v>-1070.2631785470351</v>
      </c>
      <c r="J502" s="735"/>
      <c r="K502" s="735"/>
      <c r="L502" s="735"/>
      <c r="M502" s="735"/>
      <c r="N502" s="735"/>
      <c r="O502" s="735"/>
      <c r="P502" s="732"/>
      <c r="Q502" s="732"/>
      <c r="R502" s="732"/>
      <c r="S502" s="683">
        <v>0</v>
      </c>
      <c r="T502" s="683">
        <v>0</v>
      </c>
      <c r="U502" s="683">
        <v>0</v>
      </c>
      <c r="V502" s="683">
        <v>0</v>
      </c>
      <c r="W502" s="683">
        <v>0</v>
      </c>
      <c r="X502" s="683">
        <v>0</v>
      </c>
      <c r="Y502" s="683">
        <v>0</v>
      </c>
      <c r="Z502" s="683">
        <v>0</v>
      </c>
      <c r="AA502" s="683">
        <v>0</v>
      </c>
      <c r="AB502" s="683">
        <v>0</v>
      </c>
      <c r="AC502" s="683">
        <v>0</v>
      </c>
      <c r="AD502" s="683">
        <v>0</v>
      </c>
      <c r="AE502" s="734"/>
      <c r="AF502" s="734"/>
      <c r="AG502" s="734"/>
      <c r="AH502" s="734"/>
      <c r="AI502" s="734"/>
      <c r="AJ502" s="734"/>
      <c r="AK502" s="734"/>
      <c r="AL502" s="734"/>
      <c r="AM502" s="734"/>
      <c r="AN502" s="734"/>
      <c r="AO502" s="734"/>
      <c r="AP502" s="734"/>
      <c r="AQ502" s="734"/>
      <c r="AR502" s="734"/>
      <c r="AS502" s="734"/>
      <c r="AT502" s="734"/>
      <c r="AU502" s="734"/>
      <c r="AV502" s="734"/>
      <c r="AW502" s="734"/>
      <c r="AX502" s="734"/>
      <c r="AY502" s="734"/>
      <c r="AZ502" s="734"/>
      <c r="BA502" s="734"/>
      <c r="BB502" s="734"/>
      <c r="BC502" s="734"/>
      <c r="BD502" s="734"/>
      <c r="BE502" s="734"/>
      <c r="BF502" s="734"/>
      <c r="BG502" s="734"/>
      <c r="BH502" s="734"/>
      <c r="BI502" s="734"/>
      <c r="BJ502" s="734"/>
      <c r="BK502" s="734"/>
      <c r="BL502" s="734"/>
      <c r="BM502" s="734"/>
      <c r="BN502" s="734"/>
      <c r="BO502" s="734"/>
      <c r="BP502" s="734"/>
      <c r="BQ502" s="734"/>
      <c r="BR502" s="734"/>
      <c r="BS502" s="734"/>
      <c r="BT502" s="734"/>
      <c r="BU502" s="734"/>
      <c r="BV502" s="734"/>
      <c r="BW502" s="734"/>
      <c r="BX502" s="734"/>
      <c r="BY502" s="734"/>
      <c r="BZ502" s="734"/>
      <c r="CA502" s="734"/>
    </row>
    <row r="503" spans="1:79" hidden="1" outlineLevel="1" x14ac:dyDescent="0.35">
      <c r="A503" s="574"/>
      <c r="B503" s="574"/>
      <c r="C503" s="574"/>
      <c r="D503" s="574"/>
      <c r="E503" s="574"/>
      <c r="F503" s="672" t="s">
        <v>917</v>
      </c>
      <c r="G503" s="735"/>
      <c r="H503" s="735"/>
      <c r="I503" s="735"/>
      <c r="J503" s="735"/>
      <c r="K503" s="735"/>
      <c r="L503" s="735"/>
      <c r="M503" s="735"/>
      <c r="N503" s="735"/>
      <c r="O503" s="735"/>
      <c r="P503" s="732"/>
      <c r="Q503" s="732"/>
      <c r="R503" s="732"/>
      <c r="S503" s="683">
        <v>0</v>
      </c>
      <c r="T503" s="683">
        <v>0</v>
      </c>
      <c r="U503" s="683">
        <v>0</v>
      </c>
      <c r="V503" s="683">
        <v>0</v>
      </c>
      <c r="W503" s="683">
        <v>0</v>
      </c>
      <c r="X503" s="683">
        <v>0</v>
      </c>
      <c r="Y503" s="683">
        <v>0</v>
      </c>
      <c r="Z503" s="683">
        <v>0</v>
      </c>
      <c r="AA503" s="683">
        <v>0</v>
      </c>
      <c r="AB503" s="683">
        <v>0</v>
      </c>
      <c r="AC503" s="683">
        <v>0</v>
      </c>
      <c r="AD503" s="683">
        <v>0</v>
      </c>
      <c r="AE503" s="734"/>
      <c r="AF503" s="734"/>
      <c r="AG503" s="734"/>
      <c r="AH503" s="734"/>
      <c r="AI503" s="734"/>
      <c r="AJ503" s="734"/>
      <c r="AK503" s="734"/>
      <c r="AL503" s="734"/>
      <c r="AM503" s="734"/>
      <c r="AN503" s="734"/>
      <c r="AO503" s="734"/>
      <c r="AP503" s="734"/>
      <c r="AQ503" s="734"/>
      <c r="AR503" s="734"/>
      <c r="AS503" s="734"/>
      <c r="AT503" s="734"/>
      <c r="AU503" s="734"/>
      <c r="AV503" s="734"/>
      <c r="AW503" s="734"/>
      <c r="AX503" s="734"/>
      <c r="AY503" s="734"/>
      <c r="AZ503" s="734"/>
      <c r="BA503" s="734"/>
      <c r="BB503" s="734"/>
      <c r="BC503" s="734"/>
      <c r="BD503" s="734"/>
      <c r="BE503" s="734"/>
      <c r="BF503" s="734"/>
      <c r="BG503" s="734"/>
      <c r="BH503" s="734"/>
      <c r="BI503" s="734"/>
      <c r="BJ503" s="734"/>
      <c r="BK503" s="734"/>
      <c r="BL503" s="734"/>
      <c r="BM503" s="734"/>
      <c r="BN503" s="734"/>
      <c r="BO503" s="734"/>
      <c r="BP503" s="734"/>
      <c r="BQ503" s="734"/>
      <c r="BR503" s="734"/>
      <c r="BS503" s="734"/>
      <c r="BT503" s="734"/>
      <c r="BU503" s="734"/>
      <c r="BV503" s="734"/>
      <c r="BW503" s="734"/>
      <c r="BX503" s="734"/>
      <c r="BY503" s="734"/>
      <c r="BZ503" s="734"/>
      <c r="CA503" s="734"/>
    </row>
    <row r="504" spans="1:79" hidden="1" outlineLevel="1" x14ac:dyDescent="0.35">
      <c r="A504" s="574"/>
      <c r="B504" s="574"/>
      <c r="C504" s="574"/>
      <c r="D504" s="574"/>
      <c r="E504" s="574"/>
      <c r="F504" s="672" t="s">
        <v>918</v>
      </c>
      <c r="G504" s="735"/>
      <c r="H504" s="735"/>
      <c r="I504" s="735"/>
      <c r="J504" s="735"/>
      <c r="K504" s="735"/>
      <c r="L504" s="735"/>
      <c r="M504" s="735"/>
      <c r="N504" s="735"/>
      <c r="O504" s="735"/>
      <c r="P504" s="732"/>
      <c r="Q504" s="732"/>
      <c r="R504" s="732"/>
      <c r="S504" s="683">
        <v>0</v>
      </c>
      <c r="T504" s="683">
        <v>0</v>
      </c>
      <c r="U504" s="683">
        <v>0</v>
      </c>
      <c r="V504" s="683">
        <v>0</v>
      </c>
      <c r="W504" s="683">
        <v>0</v>
      </c>
      <c r="X504" s="683">
        <v>0</v>
      </c>
      <c r="Y504" s="683">
        <v>0</v>
      </c>
      <c r="Z504" s="683">
        <v>0</v>
      </c>
      <c r="AA504" s="683">
        <v>0</v>
      </c>
      <c r="AB504" s="683">
        <v>0</v>
      </c>
      <c r="AC504" s="683">
        <v>0</v>
      </c>
      <c r="AD504" s="683">
        <v>0</v>
      </c>
      <c r="AE504" s="734"/>
      <c r="AF504" s="734"/>
      <c r="AG504" s="734"/>
      <c r="AH504" s="734"/>
      <c r="AI504" s="734"/>
      <c r="AJ504" s="734"/>
      <c r="AK504" s="734"/>
      <c r="AL504" s="734"/>
      <c r="AM504" s="734"/>
      <c r="AN504" s="734"/>
      <c r="AO504" s="734"/>
      <c r="AP504" s="734"/>
      <c r="AQ504" s="734"/>
      <c r="AR504" s="734"/>
      <c r="AS504" s="734"/>
      <c r="AT504" s="734"/>
      <c r="AU504" s="734"/>
      <c r="AV504" s="734"/>
      <c r="AW504" s="734"/>
      <c r="AX504" s="734"/>
      <c r="AY504" s="734"/>
      <c r="AZ504" s="734"/>
      <c r="BA504" s="734"/>
      <c r="BB504" s="734"/>
      <c r="BC504" s="734"/>
      <c r="BD504" s="734"/>
      <c r="BE504" s="734"/>
      <c r="BF504" s="734"/>
      <c r="BG504" s="734"/>
      <c r="BH504" s="734"/>
      <c r="BI504" s="734"/>
      <c r="BJ504" s="734"/>
      <c r="BK504" s="734"/>
      <c r="BL504" s="734"/>
      <c r="BM504" s="734"/>
      <c r="BN504" s="734"/>
      <c r="BO504" s="734"/>
      <c r="BP504" s="734"/>
      <c r="BQ504" s="734"/>
      <c r="BR504" s="734"/>
      <c r="BS504" s="734"/>
      <c r="BT504" s="734"/>
      <c r="BU504" s="734"/>
      <c r="BV504" s="734"/>
      <c r="BW504" s="734"/>
      <c r="BX504" s="734"/>
      <c r="BY504" s="734"/>
      <c r="BZ504" s="734"/>
      <c r="CA504" s="734"/>
    </row>
    <row r="505" spans="1:79" hidden="1" outlineLevel="1" x14ac:dyDescent="0.35">
      <c r="F505" s="673" t="s">
        <v>659</v>
      </c>
      <c r="G505" s="680">
        <f>SUM(G498:G504)</f>
        <v>0</v>
      </c>
      <c r="H505" s="680">
        <f t="shared" ref="H505:BO505" si="170">SUM(H498:H504)</f>
        <v>0</v>
      </c>
      <c r="I505" s="680">
        <f t="shared" si="170"/>
        <v>-1070.2631785470351</v>
      </c>
      <c r="J505" s="680">
        <f t="shared" si="170"/>
        <v>477.86342618074701</v>
      </c>
      <c r="K505" s="680">
        <f t="shared" si="170"/>
        <v>0</v>
      </c>
      <c r="L505" s="680">
        <f t="shared" si="170"/>
        <v>779.10467369754258</v>
      </c>
      <c r="M505" s="680">
        <f t="shared" si="170"/>
        <v>0</v>
      </c>
      <c r="N505" s="680">
        <f t="shared" si="170"/>
        <v>0</v>
      </c>
      <c r="O505" s="680">
        <f t="shared" si="170"/>
        <v>0</v>
      </c>
      <c r="P505" s="680">
        <f t="shared" si="170"/>
        <v>0</v>
      </c>
      <c r="Q505" s="680">
        <f t="shared" si="170"/>
        <v>0</v>
      </c>
      <c r="R505" s="680">
        <f t="shared" si="170"/>
        <v>844.12446664917218</v>
      </c>
      <c r="S505" s="694">
        <f t="shared" ref="S505:AA505" si="171">ROUND(SUM(S497:S504),5)</f>
        <v>0</v>
      </c>
      <c r="T505" s="694">
        <f t="shared" si="171"/>
        <v>0</v>
      </c>
      <c r="U505" s="694">
        <f t="shared" si="171"/>
        <v>0</v>
      </c>
      <c r="V505" s="694">
        <f t="shared" si="171"/>
        <v>0</v>
      </c>
      <c r="W505" s="694">
        <f t="shared" si="171"/>
        <v>0</v>
      </c>
      <c r="X505" s="694">
        <f t="shared" si="171"/>
        <v>0</v>
      </c>
      <c r="Y505" s="694">
        <f t="shared" si="171"/>
        <v>0</v>
      </c>
      <c r="Z505" s="694">
        <f t="shared" si="171"/>
        <v>0</v>
      </c>
      <c r="AA505" s="694">
        <f t="shared" si="171"/>
        <v>0</v>
      </c>
      <c r="AB505" s="694">
        <f>ROUND(SUM(AB497:AB504),5)</f>
        <v>0</v>
      </c>
      <c r="AC505" s="694">
        <f>ROUND(SUM(AC497:AC504),5)</f>
        <v>0</v>
      </c>
      <c r="AD505" s="694">
        <f>ROUND(SUM(AD497:AD504),5)</f>
        <v>0</v>
      </c>
      <c r="AE505" s="680">
        <f t="shared" si="170"/>
        <v>0</v>
      </c>
      <c r="AF505" s="680">
        <f t="shared" si="170"/>
        <v>0</v>
      </c>
      <c r="AG505" s="680">
        <f t="shared" si="170"/>
        <v>0</v>
      </c>
      <c r="AH505" s="680">
        <f t="shared" si="170"/>
        <v>0</v>
      </c>
      <c r="AI505" s="680">
        <f t="shared" si="170"/>
        <v>0</v>
      </c>
      <c r="AJ505" s="680">
        <f t="shared" si="170"/>
        <v>0</v>
      </c>
      <c r="AK505" s="680">
        <f t="shared" si="170"/>
        <v>0</v>
      </c>
      <c r="AL505" s="680">
        <f t="shared" si="170"/>
        <v>0</v>
      </c>
      <c r="AM505" s="680">
        <f t="shared" si="170"/>
        <v>0</v>
      </c>
      <c r="AN505" s="680">
        <f t="shared" si="170"/>
        <v>0</v>
      </c>
      <c r="AO505" s="680">
        <f t="shared" si="170"/>
        <v>0</v>
      </c>
      <c r="AP505" s="680">
        <f t="shared" si="170"/>
        <v>0</v>
      </c>
      <c r="AQ505" s="680">
        <f t="shared" si="170"/>
        <v>0</v>
      </c>
      <c r="AR505" s="680">
        <f t="shared" si="170"/>
        <v>0</v>
      </c>
      <c r="AS505" s="680">
        <f t="shared" si="170"/>
        <v>0</v>
      </c>
      <c r="AT505" s="680">
        <f t="shared" si="170"/>
        <v>0</v>
      </c>
      <c r="AU505" s="680">
        <f t="shared" si="170"/>
        <v>0</v>
      </c>
      <c r="AV505" s="680">
        <f t="shared" si="170"/>
        <v>0</v>
      </c>
      <c r="AW505" s="680">
        <f t="shared" si="170"/>
        <v>0</v>
      </c>
      <c r="AX505" s="680">
        <f t="shared" si="170"/>
        <v>0</v>
      </c>
      <c r="AY505" s="680">
        <f t="shared" si="170"/>
        <v>0</v>
      </c>
      <c r="AZ505" s="680">
        <f t="shared" si="170"/>
        <v>0</v>
      </c>
      <c r="BA505" s="680">
        <f t="shared" si="170"/>
        <v>0</v>
      </c>
      <c r="BB505" s="680">
        <f t="shared" si="170"/>
        <v>0</v>
      </c>
      <c r="BC505" s="680">
        <f t="shared" si="170"/>
        <v>0</v>
      </c>
      <c r="BD505" s="680">
        <f t="shared" si="170"/>
        <v>0</v>
      </c>
      <c r="BE505" s="680">
        <f t="shared" si="170"/>
        <v>0</v>
      </c>
      <c r="BF505" s="680">
        <f t="shared" si="170"/>
        <v>0</v>
      </c>
      <c r="BG505" s="680">
        <f t="shared" si="170"/>
        <v>0</v>
      </c>
      <c r="BH505" s="680">
        <f t="shared" si="170"/>
        <v>0</v>
      </c>
      <c r="BI505" s="680">
        <f t="shared" si="170"/>
        <v>0</v>
      </c>
      <c r="BJ505" s="680">
        <f t="shared" si="170"/>
        <v>0</v>
      </c>
      <c r="BK505" s="680">
        <f t="shared" si="170"/>
        <v>0</v>
      </c>
      <c r="BL505" s="680">
        <f t="shared" si="170"/>
        <v>0</v>
      </c>
      <c r="BM505" s="680">
        <f t="shared" si="170"/>
        <v>0</v>
      </c>
      <c r="BN505" s="680">
        <f t="shared" si="170"/>
        <v>0</v>
      </c>
      <c r="BO505" s="680">
        <f t="shared" si="170"/>
        <v>0</v>
      </c>
      <c r="BP505" s="680">
        <f t="shared" ref="BP505:CA505" si="172">SUM(BP498:BP504)</f>
        <v>0</v>
      </c>
      <c r="BQ505" s="680">
        <f t="shared" si="172"/>
        <v>0</v>
      </c>
      <c r="BR505" s="680">
        <f t="shared" si="172"/>
        <v>0</v>
      </c>
      <c r="BS505" s="680">
        <f t="shared" si="172"/>
        <v>0</v>
      </c>
      <c r="BT505" s="680">
        <f t="shared" si="172"/>
        <v>0</v>
      </c>
      <c r="BU505" s="680">
        <f t="shared" si="172"/>
        <v>0</v>
      </c>
      <c r="BV505" s="680">
        <f t="shared" si="172"/>
        <v>0</v>
      </c>
      <c r="BW505" s="680">
        <f t="shared" si="172"/>
        <v>0</v>
      </c>
      <c r="BX505" s="680">
        <f t="shared" si="172"/>
        <v>0</v>
      </c>
      <c r="BY505" s="680">
        <f t="shared" si="172"/>
        <v>0</v>
      </c>
      <c r="BZ505" s="680">
        <f t="shared" si="172"/>
        <v>0</v>
      </c>
      <c r="CA505" s="680">
        <f t="shared" si="172"/>
        <v>0</v>
      </c>
    </row>
    <row r="506" spans="1:79" hidden="1" outlineLevel="1" x14ac:dyDescent="0.35">
      <c r="F506" s="641" t="s">
        <v>696</v>
      </c>
      <c r="G506" s="735">
        <v>991.58131636906182</v>
      </c>
      <c r="H506" s="735">
        <v>282.10729957163312</v>
      </c>
      <c r="I506" s="735">
        <v>337.82131900452077</v>
      </c>
      <c r="J506" s="735">
        <v>232.07963685410141</v>
      </c>
      <c r="K506" s="735">
        <v>85.23349376555052</v>
      </c>
      <c r="L506" s="735">
        <v>118.92047198833461</v>
      </c>
      <c r="M506" s="735">
        <v>89.689320816447434</v>
      </c>
      <c r="N506" s="735">
        <v>82.222472332632606</v>
      </c>
      <c r="O506" s="735">
        <v>579.98205661012616</v>
      </c>
      <c r="P506" s="732">
        <v>499.11174817690335</v>
      </c>
      <c r="Q506" s="732">
        <v>380.23536030414107</v>
      </c>
      <c r="R506" s="732">
        <v>224.47531199372315</v>
      </c>
      <c r="S506" s="683">
        <v>0</v>
      </c>
      <c r="T506" s="683">
        <v>0</v>
      </c>
      <c r="U506" s="683">
        <v>0</v>
      </c>
      <c r="V506" s="683">
        <v>0</v>
      </c>
      <c r="W506" s="683">
        <v>0</v>
      </c>
      <c r="X506" s="683">
        <v>0</v>
      </c>
      <c r="Y506" s="683">
        <v>0</v>
      </c>
      <c r="Z506" s="683">
        <v>0</v>
      </c>
      <c r="AA506" s="683">
        <v>0</v>
      </c>
      <c r="AB506" s="683">
        <v>0</v>
      </c>
      <c r="AC506" s="683">
        <v>0</v>
      </c>
      <c r="AD506" s="683">
        <v>0</v>
      </c>
      <c r="AE506" s="734"/>
      <c r="AF506" s="734"/>
      <c r="AG506" s="734"/>
      <c r="AH506" s="734"/>
      <c r="AI506" s="734"/>
      <c r="AJ506" s="734"/>
      <c r="AK506" s="734"/>
      <c r="AL506" s="734"/>
      <c r="AM506" s="734"/>
      <c r="AN506" s="734"/>
      <c r="AO506" s="734"/>
      <c r="AP506" s="734"/>
      <c r="AQ506" s="734"/>
      <c r="AR506" s="734"/>
      <c r="AS506" s="734"/>
      <c r="AT506" s="734"/>
      <c r="AU506" s="734"/>
      <c r="AV506" s="734"/>
      <c r="AW506" s="734"/>
      <c r="AX506" s="734"/>
      <c r="AY506" s="734"/>
      <c r="AZ506" s="734"/>
      <c r="BA506" s="734"/>
      <c r="BB506" s="734"/>
      <c r="BC506" s="734"/>
      <c r="BD506" s="734"/>
      <c r="BE506" s="734"/>
      <c r="BF506" s="734"/>
      <c r="BG506" s="734"/>
      <c r="BH506" s="734"/>
      <c r="BI506" s="734"/>
      <c r="BJ506" s="734"/>
      <c r="BK506" s="734"/>
      <c r="BL506" s="734"/>
      <c r="BM506" s="734"/>
      <c r="BN506" s="734"/>
      <c r="BO506" s="734"/>
      <c r="BP506" s="734"/>
      <c r="BQ506" s="734"/>
      <c r="BR506" s="734"/>
      <c r="BS506" s="734"/>
      <c r="BT506" s="734"/>
      <c r="BU506" s="734"/>
      <c r="BV506" s="734"/>
      <c r="BW506" s="734"/>
      <c r="BX506" s="734"/>
      <c r="BY506" s="734"/>
      <c r="BZ506" s="734"/>
      <c r="CA506" s="734"/>
    </row>
    <row r="507" spans="1:79" s="888" customFormat="1" ht="15" collapsed="1" thickBot="1" x14ac:dyDescent="0.4">
      <c r="A507" s="500"/>
      <c r="B507" s="500"/>
      <c r="C507" s="500"/>
      <c r="D507" s="500"/>
      <c r="E507" s="500"/>
      <c r="F507" s="913" t="s">
        <v>683</v>
      </c>
      <c r="G507" s="914">
        <f t="shared" ref="G507:R507" si="173">SUM(G343:G506)-SUM(G505,G494,G488,G486,G476,G466,G457,G449,G443,G435,G421,G417,G397,G382,G371,G367,G361,G352)</f>
        <v>60951.026543432119</v>
      </c>
      <c r="H507" s="914">
        <f t="shared" si="173"/>
        <v>54573.897326367412</v>
      </c>
      <c r="I507" s="914">
        <f t="shared" si="173"/>
        <v>76876.314729704696</v>
      </c>
      <c r="J507" s="914">
        <f t="shared" si="173"/>
        <v>86237.985625780828</v>
      </c>
      <c r="K507" s="914">
        <f t="shared" si="173"/>
        <v>79829.350699418079</v>
      </c>
      <c r="L507" s="914">
        <f t="shared" si="173"/>
        <v>106990.47820609846</v>
      </c>
      <c r="M507" s="914">
        <f t="shared" si="173"/>
        <v>117372.99168759244</v>
      </c>
      <c r="N507" s="914">
        <f t="shared" si="173"/>
        <v>130340.79026891006</v>
      </c>
      <c r="O507" s="914">
        <f t="shared" si="173"/>
        <v>134907.88182833997</v>
      </c>
      <c r="P507" s="914">
        <f t="shared" si="173"/>
        <v>135611.68798628659</v>
      </c>
      <c r="Q507" s="914">
        <f t="shared" si="173"/>
        <v>179290.10190158105</v>
      </c>
      <c r="R507" s="914">
        <f t="shared" si="173"/>
        <v>208819.66215888504</v>
      </c>
      <c r="S507" s="915">
        <f t="shared" ref="S507:AB507" si="174">ROUND(SUM(S342:S348)+SUM(S352:S357)+SUM(S361:S363)+S367+SUM(S371:S373)+SUM(S382:S386)+SUM(S397:S398)+S417+SUM(S421:S424)+S435+S443+SUM(S449:S451)+SUM(S457:S458)+SUM(S488:S489)+SUM(S494:S496)+SUM(S505:S506),5)</f>
        <v>173468.37</v>
      </c>
      <c r="T507" s="915">
        <f t="shared" si="174"/>
        <v>184975.81</v>
      </c>
      <c r="U507" s="915">
        <f t="shared" si="174"/>
        <v>249651.39</v>
      </c>
      <c r="V507" s="915">
        <f t="shared" si="174"/>
        <v>262591.01</v>
      </c>
      <c r="W507" s="915">
        <f t="shared" si="174"/>
        <v>229367.87</v>
      </c>
      <c r="X507" s="915">
        <f t="shared" si="174"/>
        <v>191731.96</v>
      </c>
      <c r="Y507" s="915">
        <f t="shared" si="174"/>
        <v>286876</v>
      </c>
      <c r="Z507" s="915">
        <f t="shared" si="174"/>
        <v>249850.03</v>
      </c>
      <c r="AA507" s="915">
        <f t="shared" si="174"/>
        <v>242343.45</v>
      </c>
      <c r="AB507" s="915">
        <f t="shared" si="174"/>
        <v>259504.72</v>
      </c>
      <c r="AC507" s="915">
        <f>ROUND(SUM(AC342:AC348)+SUM(AC352:AC357)+SUM(AC361:AC363)+AC367+SUM(AC371:AC373)+SUM(AC382:AC386)+SUM(AC397:AC398)+AC417+SUM(AC421:AC424)+AC435+AC443+SUM(AC449:AC451)+SUM(AC457:AC458)+SUM(AC488:AC489)+SUM(AC494:AC496)+SUM(AC505:AC506),5)</f>
        <v>245712.69</v>
      </c>
      <c r="AD507" s="915">
        <f>ROUND(SUM(AD342:AD348)+SUM(AD352:AD357)+SUM(AD361:AD363)+AD367+SUM(AD371:AD373)+SUM(AD382:AD386)+SUM(AD397:AD398)+AD417+SUM(AD421:AD424)+AD435+AD443+SUM(AD449:AD451)+SUM(AD457:AD458)+SUM(AD488:AD489)+SUM(AD494:AD496)+SUM(AD505:AD506),5)</f>
        <v>220065.69</v>
      </c>
      <c r="AE507" s="914">
        <f t="shared" ref="AE507:BJ507" si="175">SUM(AE343:AE506)-SUM(AE505,AE494,AE488,AE486,AE476,AE466,AE457,AE449,AE443,AE435,AE421,AE417,AE397,AE382,AE371,AE367,AE361,AE352)</f>
        <v>0</v>
      </c>
      <c r="AF507" s="914">
        <f t="shared" si="175"/>
        <v>0</v>
      </c>
      <c r="AG507" s="914">
        <f t="shared" si="175"/>
        <v>0</v>
      </c>
      <c r="AH507" s="914">
        <f t="shared" si="175"/>
        <v>0</v>
      </c>
      <c r="AI507" s="914">
        <f t="shared" si="175"/>
        <v>0</v>
      </c>
      <c r="AJ507" s="914">
        <f t="shared" si="175"/>
        <v>0</v>
      </c>
      <c r="AK507" s="914">
        <f t="shared" si="175"/>
        <v>0</v>
      </c>
      <c r="AL507" s="914">
        <f t="shared" si="175"/>
        <v>0</v>
      </c>
      <c r="AM507" s="914">
        <f t="shared" si="175"/>
        <v>0</v>
      </c>
      <c r="AN507" s="914">
        <f t="shared" si="175"/>
        <v>0</v>
      </c>
      <c r="AO507" s="914">
        <f t="shared" si="175"/>
        <v>0</v>
      </c>
      <c r="AP507" s="914">
        <f t="shared" si="175"/>
        <v>0</v>
      </c>
      <c r="AQ507" s="914">
        <f t="shared" si="175"/>
        <v>0</v>
      </c>
      <c r="AR507" s="914">
        <f t="shared" si="175"/>
        <v>0</v>
      </c>
      <c r="AS507" s="914">
        <f t="shared" si="175"/>
        <v>0</v>
      </c>
      <c r="AT507" s="914">
        <f t="shared" si="175"/>
        <v>0</v>
      </c>
      <c r="AU507" s="914">
        <f t="shared" si="175"/>
        <v>0</v>
      </c>
      <c r="AV507" s="914">
        <f t="shared" si="175"/>
        <v>0</v>
      </c>
      <c r="AW507" s="914">
        <f t="shared" si="175"/>
        <v>0</v>
      </c>
      <c r="AX507" s="914">
        <f t="shared" si="175"/>
        <v>0</v>
      </c>
      <c r="AY507" s="914">
        <f t="shared" si="175"/>
        <v>0</v>
      </c>
      <c r="AZ507" s="914">
        <f t="shared" si="175"/>
        <v>0</v>
      </c>
      <c r="BA507" s="914">
        <f t="shared" si="175"/>
        <v>0</v>
      </c>
      <c r="BB507" s="914">
        <f t="shared" si="175"/>
        <v>0</v>
      </c>
      <c r="BC507" s="914">
        <f t="shared" si="175"/>
        <v>0</v>
      </c>
      <c r="BD507" s="914">
        <f t="shared" si="175"/>
        <v>0</v>
      </c>
      <c r="BE507" s="914">
        <f t="shared" si="175"/>
        <v>0</v>
      </c>
      <c r="BF507" s="914">
        <f t="shared" si="175"/>
        <v>0</v>
      </c>
      <c r="BG507" s="914">
        <f t="shared" si="175"/>
        <v>0</v>
      </c>
      <c r="BH507" s="914">
        <f t="shared" si="175"/>
        <v>0</v>
      </c>
      <c r="BI507" s="914">
        <f t="shared" si="175"/>
        <v>0</v>
      </c>
      <c r="BJ507" s="914">
        <f t="shared" si="175"/>
        <v>0</v>
      </c>
      <c r="BK507" s="914">
        <f t="shared" ref="BK507:CA507" si="176">SUM(BK343:BK506)-SUM(BK505,BK494,BK488,BK486,BK476,BK466,BK457,BK449,BK443,BK435,BK421,BK417,BK397,BK382,BK371,BK367,BK361,BK352)</f>
        <v>0</v>
      </c>
      <c r="BL507" s="914">
        <f t="shared" si="176"/>
        <v>0</v>
      </c>
      <c r="BM507" s="914">
        <f t="shared" si="176"/>
        <v>0</v>
      </c>
      <c r="BN507" s="914">
        <f t="shared" si="176"/>
        <v>0</v>
      </c>
      <c r="BO507" s="914">
        <f t="shared" si="176"/>
        <v>0</v>
      </c>
      <c r="BP507" s="914">
        <f t="shared" si="176"/>
        <v>0</v>
      </c>
      <c r="BQ507" s="914">
        <f t="shared" si="176"/>
        <v>0</v>
      </c>
      <c r="BR507" s="914">
        <f t="shared" si="176"/>
        <v>0</v>
      </c>
      <c r="BS507" s="914">
        <f t="shared" si="176"/>
        <v>0</v>
      </c>
      <c r="BT507" s="914">
        <f t="shared" si="176"/>
        <v>0</v>
      </c>
      <c r="BU507" s="914">
        <f t="shared" si="176"/>
        <v>0</v>
      </c>
      <c r="BV507" s="914">
        <f t="shared" si="176"/>
        <v>0</v>
      </c>
      <c r="BW507" s="914">
        <f t="shared" si="176"/>
        <v>0</v>
      </c>
      <c r="BX507" s="914">
        <f t="shared" si="176"/>
        <v>0</v>
      </c>
      <c r="BY507" s="914">
        <f t="shared" si="176"/>
        <v>0</v>
      </c>
      <c r="BZ507" s="914">
        <f t="shared" si="176"/>
        <v>0</v>
      </c>
      <c r="CA507" s="914">
        <f t="shared" si="176"/>
        <v>0</v>
      </c>
    </row>
    <row r="508" spans="1:79" ht="15" thickTop="1" x14ac:dyDescent="0.35">
      <c r="G508" s="739"/>
      <c r="H508" s="739"/>
      <c r="I508" s="739"/>
      <c r="J508" s="739"/>
      <c r="K508" s="739"/>
      <c r="L508" s="739"/>
      <c r="M508" s="739"/>
      <c r="N508" s="739"/>
      <c r="O508" s="739"/>
      <c r="P508" s="734"/>
      <c r="Q508" s="734"/>
      <c r="R508" s="734"/>
      <c r="S508" s="734"/>
      <c r="T508" s="734"/>
      <c r="U508" s="734"/>
      <c r="V508" s="734"/>
      <c r="W508" s="734"/>
      <c r="X508" s="734"/>
      <c r="Y508" s="734"/>
      <c r="Z508" s="734"/>
      <c r="AA508" s="734"/>
      <c r="AB508" s="734"/>
      <c r="AC508" s="734"/>
      <c r="AD508" s="734"/>
      <c r="AE508" s="734"/>
      <c r="AF508" s="734"/>
      <c r="AG508" s="734"/>
      <c r="AH508" s="734"/>
      <c r="AI508" s="734"/>
      <c r="AJ508" s="734"/>
      <c r="AK508" s="734"/>
      <c r="AL508" s="734"/>
      <c r="AM508" s="734"/>
      <c r="AN508" s="734"/>
      <c r="AO508" s="734"/>
      <c r="AP508" s="734"/>
      <c r="AQ508" s="734"/>
      <c r="AR508" s="734"/>
      <c r="AS508" s="734"/>
      <c r="AT508" s="734"/>
      <c r="AU508" s="734"/>
      <c r="AV508" s="734"/>
      <c r="AW508" s="734"/>
      <c r="AX508" s="734"/>
      <c r="AY508" s="734"/>
      <c r="AZ508" s="734"/>
      <c r="BA508" s="734"/>
      <c r="BB508" s="734"/>
      <c r="BC508" s="734"/>
      <c r="BD508" s="734"/>
      <c r="BE508" s="734"/>
      <c r="BF508" s="734"/>
      <c r="BG508" s="734"/>
      <c r="BH508" s="734"/>
      <c r="BI508" s="734"/>
      <c r="BJ508" s="734"/>
      <c r="BK508" s="734"/>
      <c r="BL508" s="734"/>
      <c r="BM508" s="734"/>
      <c r="BN508" s="734"/>
      <c r="BO508" s="734"/>
      <c r="BP508" s="734"/>
      <c r="BQ508" s="734"/>
      <c r="BR508" s="734"/>
      <c r="BS508" s="734"/>
      <c r="BT508" s="734"/>
      <c r="BU508" s="734"/>
      <c r="BV508" s="734"/>
      <c r="BW508" s="734"/>
      <c r="BX508" s="734"/>
      <c r="BY508" s="734"/>
      <c r="BZ508" s="734"/>
      <c r="CA508" s="734"/>
    </row>
    <row r="509" spans="1:79" x14ac:dyDescent="0.35">
      <c r="G509" s="739"/>
      <c r="H509" s="739"/>
      <c r="I509" s="739"/>
      <c r="J509" s="739"/>
      <c r="K509" s="739"/>
      <c r="L509" s="739"/>
      <c r="M509" s="739"/>
      <c r="N509" s="739"/>
      <c r="O509" s="739"/>
      <c r="P509" s="739"/>
      <c r="Q509" s="739"/>
      <c r="R509" s="739"/>
      <c r="S509" s="739"/>
      <c r="T509" s="739"/>
      <c r="U509" s="739"/>
      <c r="V509" s="739"/>
      <c r="W509" s="777"/>
      <c r="X509" s="777"/>
      <c r="Y509" s="777"/>
      <c r="Z509" s="739"/>
      <c r="AA509" s="739"/>
      <c r="AB509" s="739"/>
      <c r="AC509" s="739"/>
      <c r="AD509" s="739"/>
      <c r="AE509" s="739"/>
      <c r="AF509" s="739"/>
      <c r="AG509" s="739"/>
      <c r="AH509" s="739"/>
      <c r="AI509" s="739"/>
      <c r="AJ509" s="739"/>
      <c r="AK509" s="739"/>
      <c r="AL509" s="739"/>
      <c r="AM509" s="739"/>
      <c r="AN509" s="739"/>
      <c r="AO509" s="739"/>
      <c r="AP509" s="734"/>
      <c r="AQ509" s="734"/>
      <c r="AR509" s="734"/>
      <c r="AS509" s="734"/>
      <c r="AT509" s="734"/>
      <c r="AU509" s="734"/>
      <c r="AV509" s="734"/>
      <c r="AW509" s="734"/>
      <c r="AX509" s="734"/>
      <c r="AY509" s="734"/>
      <c r="AZ509" s="734"/>
      <c r="BA509" s="734"/>
      <c r="BB509" s="734"/>
      <c r="BC509" s="734"/>
      <c r="BD509" s="734"/>
      <c r="BE509" s="734"/>
      <c r="BF509" s="734"/>
      <c r="BG509" s="734"/>
      <c r="BH509" s="734"/>
      <c r="BI509" s="734"/>
      <c r="BJ509" s="734"/>
      <c r="BK509" s="734"/>
      <c r="BL509" s="734"/>
      <c r="BM509" s="734"/>
      <c r="BN509" s="734"/>
      <c r="BO509" s="734"/>
      <c r="BP509" s="734"/>
      <c r="BQ509" s="734"/>
      <c r="BR509" s="734"/>
      <c r="BS509" s="734"/>
      <c r="BT509" s="734"/>
      <c r="BU509" s="734"/>
      <c r="BV509" s="734"/>
      <c r="BW509" s="734"/>
      <c r="BX509" s="734"/>
      <c r="BY509" s="734"/>
      <c r="BZ509" s="734"/>
      <c r="CA509" s="734"/>
    </row>
    <row r="510" spans="1:79" s="878" customFormat="1" x14ac:dyDescent="0.35">
      <c r="A510" s="882"/>
      <c r="F510" s="883" t="s">
        <v>4</v>
      </c>
      <c r="G510" s="884"/>
      <c r="H510" s="884"/>
      <c r="I510" s="884"/>
      <c r="J510" s="884"/>
      <c r="K510" s="884"/>
      <c r="L510" s="884"/>
      <c r="M510" s="884"/>
      <c r="N510" s="884"/>
      <c r="O510" s="884"/>
      <c r="P510" s="884"/>
      <c r="Q510" s="884"/>
      <c r="R510" s="884"/>
      <c r="S510" s="884"/>
      <c r="T510" s="884"/>
      <c r="U510" s="884"/>
      <c r="V510" s="884"/>
      <c r="W510" s="884"/>
      <c r="X510" s="884"/>
      <c r="Y510" s="884"/>
      <c r="Z510" s="884"/>
      <c r="AA510" s="884"/>
      <c r="AB510" s="884"/>
      <c r="AC510" s="884"/>
      <c r="AD510" s="884"/>
      <c r="AE510" s="884"/>
      <c r="AF510" s="884"/>
      <c r="AG510" s="884"/>
      <c r="AH510" s="884"/>
      <c r="AI510" s="884"/>
      <c r="AJ510" s="884"/>
      <c r="AK510" s="884"/>
      <c r="AL510" s="884"/>
      <c r="AM510" s="884"/>
      <c r="AN510" s="884"/>
      <c r="AO510" s="884"/>
      <c r="AP510" s="884"/>
      <c r="AQ510" s="884"/>
      <c r="AR510" s="884"/>
      <c r="AS510" s="884"/>
      <c r="AT510" s="884"/>
      <c r="AU510" s="884"/>
      <c r="AV510" s="884"/>
      <c r="AW510" s="884"/>
      <c r="AX510" s="884"/>
      <c r="AY510" s="884"/>
      <c r="AZ510" s="884"/>
      <c r="BA510" s="884"/>
      <c r="BB510" s="884"/>
      <c r="BC510" s="884"/>
      <c r="BD510" s="884"/>
      <c r="BE510" s="884"/>
      <c r="BF510" s="884"/>
      <c r="BG510" s="884"/>
      <c r="BH510" s="884"/>
      <c r="BI510" s="884"/>
      <c r="BJ510" s="884"/>
      <c r="BK510" s="884"/>
      <c r="BL510" s="884"/>
      <c r="BM510" s="884"/>
      <c r="BN510" s="884"/>
      <c r="BO510" s="884"/>
      <c r="BP510" s="884"/>
      <c r="BQ510" s="884"/>
      <c r="BR510" s="884"/>
      <c r="BS510" s="884"/>
      <c r="BT510" s="884"/>
      <c r="BU510" s="884"/>
      <c r="BV510" s="884"/>
      <c r="BW510" s="884"/>
      <c r="BX510" s="884"/>
      <c r="BY510" s="884"/>
      <c r="BZ510" s="884"/>
      <c r="CA510" s="884"/>
    </row>
    <row r="511" spans="1:79" hidden="1" outlineLevel="1" x14ac:dyDescent="0.35">
      <c r="A511" s="224"/>
      <c r="B511" s="224"/>
      <c r="C511" s="224"/>
      <c r="D511" s="224"/>
      <c r="E511" s="224"/>
      <c r="F511" s="670" t="s">
        <v>701</v>
      </c>
      <c r="G511" s="679"/>
      <c r="H511" s="679"/>
      <c r="I511" s="679"/>
      <c r="J511" s="679"/>
      <c r="K511" s="679"/>
      <c r="L511" s="679"/>
      <c r="M511" s="679"/>
      <c r="N511" s="679"/>
      <c r="O511" s="679"/>
      <c r="P511" s="679"/>
      <c r="Q511" s="679"/>
      <c r="R511" s="679"/>
      <c r="S511" s="679">
        <v>0</v>
      </c>
      <c r="T511" s="679">
        <v>0</v>
      </c>
      <c r="U511" s="679">
        <v>0</v>
      </c>
      <c r="V511" s="679">
        <v>0</v>
      </c>
      <c r="W511" s="679">
        <v>0</v>
      </c>
      <c r="X511" s="679">
        <v>0</v>
      </c>
      <c r="Y511" s="679">
        <v>0</v>
      </c>
      <c r="Z511" s="679">
        <v>0</v>
      </c>
      <c r="AA511" s="679">
        <v>0</v>
      </c>
      <c r="AB511" s="679">
        <v>0</v>
      </c>
      <c r="AC511" s="679">
        <v>0</v>
      </c>
      <c r="AD511" s="679">
        <v>0</v>
      </c>
      <c r="AE511" s="679"/>
      <c r="AF511" s="679"/>
      <c r="AG511" s="679"/>
      <c r="AH511" s="679"/>
      <c r="AI511" s="679"/>
      <c r="AJ511" s="679"/>
      <c r="AK511" s="679"/>
      <c r="AL511" s="679"/>
      <c r="AM511" s="679"/>
      <c r="AN511" s="679"/>
      <c r="AO511" s="679"/>
      <c r="AP511" s="679"/>
      <c r="AQ511" s="679"/>
      <c r="AR511" s="679"/>
      <c r="AS511" s="679"/>
      <c r="AT511" s="679"/>
      <c r="AU511" s="679"/>
      <c r="AV511" s="679"/>
      <c r="AW511" s="679"/>
      <c r="AX511" s="679"/>
      <c r="AY511" s="679"/>
      <c r="AZ511" s="679"/>
      <c r="BA511" s="679"/>
      <c r="BB511" s="679"/>
      <c r="BC511" s="679"/>
      <c r="BD511" s="679"/>
      <c r="BE511" s="679"/>
      <c r="BF511" s="679"/>
      <c r="BG511" s="679"/>
      <c r="BH511" s="679"/>
      <c r="BI511" s="679"/>
      <c r="BJ511" s="679"/>
      <c r="BK511" s="679"/>
      <c r="BL511" s="679"/>
      <c r="BM511" s="679"/>
      <c r="BN511" s="679"/>
      <c r="BO511" s="679"/>
      <c r="BP511" s="679"/>
      <c r="BQ511" s="679"/>
      <c r="BR511" s="679"/>
      <c r="BS511" s="679"/>
      <c r="BT511" s="679"/>
      <c r="BU511" s="679"/>
      <c r="BV511" s="679"/>
      <c r="BW511" s="679"/>
      <c r="BX511" s="679"/>
      <c r="BY511" s="679"/>
      <c r="BZ511" s="679"/>
      <c r="CA511" s="679"/>
    </row>
    <row r="512" spans="1:79" hidden="1" outlineLevel="1" x14ac:dyDescent="0.35">
      <c r="A512" s="224"/>
      <c r="B512" s="224"/>
      <c r="C512" s="224"/>
      <c r="D512" s="224"/>
      <c r="E512" s="224"/>
      <c r="F512" s="671" t="s">
        <v>857</v>
      </c>
      <c r="G512" s="679"/>
      <c r="H512" s="679"/>
      <c r="I512" s="679"/>
      <c r="J512" s="679"/>
      <c r="K512" s="679"/>
      <c r="L512" s="679"/>
      <c r="M512" s="679"/>
      <c r="N512" s="679"/>
      <c r="O512" s="679"/>
      <c r="P512" s="679"/>
      <c r="Q512" s="679"/>
      <c r="R512" s="679"/>
      <c r="S512" s="679">
        <v>0</v>
      </c>
      <c r="T512" s="679">
        <v>0</v>
      </c>
      <c r="U512" s="679">
        <v>0</v>
      </c>
      <c r="V512" s="679">
        <v>0</v>
      </c>
      <c r="W512" s="679">
        <v>0</v>
      </c>
      <c r="X512" s="679">
        <v>0</v>
      </c>
      <c r="Y512" s="679">
        <v>0</v>
      </c>
      <c r="Z512" s="679">
        <v>0</v>
      </c>
      <c r="AA512" s="679">
        <v>0</v>
      </c>
      <c r="AB512" s="679">
        <v>0</v>
      </c>
      <c r="AC512" s="679">
        <v>0</v>
      </c>
      <c r="AD512" s="679">
        <v>0</v>
      </c>
      <c r="AE512" s="679"/>
      <c r="AF512" s="679"/>
      <c r="AG512" s="679"/>
      <c r="AH512" s="679"/>
      <c r="AI512" s="679"/>
      <c r="AJ512" s="679"/>
      <c r="AK512" s="679"/>
      <c r="AL512" s="679"/>
      <c r="AM512" s="679"/>
      <c r="AN512" s="679"/>
      <c r="AO512" s="679"/>
      <c r="AP512" s="679"/>
      <c r="AQ512" s="679"/>
      <c r="AR512" s="679"/>
      <c r="AS512" s="679"/>
      <c r="AT512" s="679"/>
      <c r="AU512" s="679"/>
      <c r="AV512" s="679"/>
      <c r="AW512" s="679"/>
      <c r="AX512" s="679"/>
      <c r="AY512" s="679"/>
      <c r="AZ512" s="679"/>
      <c r="BA512" s="679"/>
      <c r="BB512" s="679"/>
      <c r="BC512" s="679"/>
      <c r="BD512" s="679"/>
      <c r="BE512" s="679"/>
      <c r="BF512" s="679"/>
      <c r="BG512" s="679"/>
      <c r="BH512" s="679"/>
      <c r="BI512" s="679"/>
      <c r="BJ512" s="679"/>
      <c r="BK512" s="679"/>
      <c r="BL512" s="679"/>
      <c r="BM512" s="679"/>
      <c r="BN512" s="679"/>
      <c r="BO512" s="679"/>
      <c r="BP512" s="679"/>
      <c r="BQ512" s="679"/>
      <c r="BR512" s="679"/>
      <c r="BS512" s="679"/>
      <c r="BT512" s="679"/>
      <c r="BU512" s="679"/>
      <c r="BV512" s="679"/>
      <c r="BW512" s="679"/>
      <c r="BX512" s="679"/>
      <c r="BY512" s="679"/>
      <c r="BZ512" s="679"/>
      <c r="CA512" s="679"/>
    </row>
    <row r="513" spans="1:79" hidden="1" outlineLevel="1" x14ac:dyDescent="0.35">
      <c r="A513" s="224"/>
      <c r="B513" s="224"/>
      <c r="C513" s="224"/>
      <c r="D513" s="224"/>
      <c r="E513" s="224"/>
      <c r="F513" s="671" t="s">
        <v>858</v>
      </c>
      <c r="G513" s="679"/>
      <c r="H513" s="679"/>
      <c r="I513" s="679"/>
      <c r="J513" s="679"/>
      <c r="K513" s="679"/>
      <c r="L513" s="679"/>
      <c r="M513" s="679"/>
      <c r="N513" s="679"/>
      <c r="O513" s="679"/>
      <c r="P513" s="679"/>
      <c r="Q513" s="679"/>
      <c r="R513" s="679"/>
      <c r="S513" s="679">
        <v>0</v>
      </c>
      <c r="T513" s="679">
        <v>0</v>
      </c>
      <c r="U513" s="679">
        <v>0</v>
      </c>
      <c r="V513" s="679">
        <v>0</v>
      </c>
      <c r="W513" s="679">
        <v>0</v>
      </c>
      <c r="X513" s="679">
        <v>0</v>
      </c>
      <c r="Y513" s="679">
        <v>0</v>
      </c>
      <c r="Z513" s="679">
        <v>0</v>
      </c>
      <c r="AA513" s="679">
        <v>0</v>
      </c>
      <c r="AB513" s="679">
        <v>0</v>
      </c>
      <c r="AC513" s="679">
        <v>0</v>
      </c>
      <c r="AD513" s="679">
        <v>0</v>
      </c>
      <c r="AE513" s="679"/>
      <c r="AF513" s="679"/>
      <c r="AG513" s="679"/>
      <c r="AH513" s="679"/>
      <c r="AI513" s="679"/>
      <c r="AJ513" s="679"/>
      <c r="AK513" s="679"/>
      <c r="AL513" s="679"/>
      <c r="AM513" s="679"/>
      <c r="AN513" s="679"/>
      <c r="AO513" s="679"/>
      <c r="AP513" s="679"/>
      <c r="AQ513" s="679"/>
      <c r="AR513" s="679"/>
      <c r="AS513" s="679"/>
      <c r="AT513" s="679"/>
      <c r="AU513" s="679"/>
      <c r="AV513" s="679"/>
      <c r="AW513" s="679"/>
      <c r="AX513" s="679"/>
      <c r="AY513" s="679"/>
      <c r="AZ513" s="679"/>
      <c r="BA513" s="679"/>
      <c r="BB513" s="679"/>
      <c r="BC513" s="679"/>
      <c r="BD513" s="679"/>
      <c r="BE513" s="679"/>
      <c r="BF513" s="679"/>
      <c r="BG513" s="679"/>
      <c r="BH513" s="679"/>
      <c r="BI513" s="679"/>
      <c r="BJ513" s="679"/>
      <c r="BK513" s="679"/>
      <c r="BL513" s="679"/>
      <c r="BM513" s="679"/>
      <c r="BN513" s="679"/>
      <c r="BO513" s="679"/>
      <c r="BP513" s="679"/>
      <c r="BQ513" s="679"/>
      <c r="BR513" s="679"/>
      <c r="BS513" s="679"/>
      <c r="BT513" s="679"/>
      <c r="BU513" s="679"/>
      <c r="BV513" s="679"/>
      <c r="BW513" s="679"/>
      <c r="BX513" s="679"/>
      <c r="BY513" s="679"/>
      <c r="BZ513" s="679"/>
      <c r="CA513" s="679"/>
    </row>
    <row r="514" spans="1:79" hidden="1" outlineLevel="1" x14ac:dyDescent="0.35">
      <c r="A514" s="224"/>
      <c r="B514" s="224"/>
      <c r="C514" s="224"/>
      <c r="D514" s="224"/>
      <c r="E514" s="224"/>
      <c r="F514" s="671" t="s">
        <v>859</v>
      </c>
      <c r="G514" s="679"/>
      <c r="H514" s="679"/>
      <c r="I514" s="679"/>
      <c r="J514" s="679"/>
      <c r="K514" s="679"/>
      <c r="L514" s="679"/>
      <c r="M514" s="679"/>
      <c r="N514" s="679"/>
      <c r="O514" s="679"/>
      <c r="P514" s="679"/>
      <c r="Q514" s="679"/>
      <c r="R514" s="679"/>
      <c r="S514" s="679">
        <v>0</v>
      </c>
      <c r="T514" s="679">
        <v>0</v>
      </c>
      <c r="U514" s="679">
        <v>0</v>
      </c>
      <c r="V514" s="679">
        <v>0</v>
      </c>
      <c r="W514" s="679">
        <v>0</v>
      </c>
      <c r="X514" s="679">
        <v>0</v>
      </c>
      <c r="Y514" s="679">
        <v>0</v>
      </c>
      <c r="Z514" s="679">
        <v>0</v>
      </c>
      <c r="AA514" s="679">
        <v>0</v>
      </c>
      <c r="AB514" s="679">
        <v>0</v>
      </c>
      <c r="AC514" s="679">
        <v>0</v>
      </c>
      <c r="AD514" s="679">
        <v>0</v>
      </c>
      <c r="AE514" s="679"/>
      <c r="AF514" s="679"/>
      <c r="AG514" s="679"/>
      <c r="AH514" s="679"/>
      <c r="AI514" s="679"/>
      <c r="AJ514" s="679"/>
      <c r="AK514" s="679"/>
      <c r="AL514" s="679"/>
      <c r="AM514" s="679"/>
      <c r="AN514" s="679"/>
      <c r="AO514" s="679"/>
      <c r="AP514" s="679"/>
      <c r="AQ514" s="679"/>
      <c r="AR514" s="679"/>
      <c r="AS514" s="679"/>
      <c r="AT514" s="679"/>
      <c r="AU514" s="679"/>
      <c r="AV514" s="679"/>
      <c r="AW514" s="679"/>
      <c r="AX514" s="679"/>
      <c r="AY514" s="679"/>
      <c r="AZ514" s="679"/>
      <c r="BA514" s="679"/>
      <c r="BB514" s="679"/>
      <c r="BC514" s="679"/>
      <c r="BD514" s="679"/>
      <c r="BE514" s="679"/>
      <c r="BF514" s="679"/>
      <c r="BG514" s="679"/>
      <c r="BH514" s="679"/>
      <c r="BI514" s="679"/>
      <c r="BJ514" s="679"/>
      <c r="BK514" s="679"/>
      <c r="BL514" s="679"/>
      <c r="BM514" s="679"/>
      <c r="BN514" s="679"/>
      <c r="BO514" s="679"/>
      <c r="BP514" s="679"/>
      <c r="BQ514" s="679"/>
      <c r="BR514" s="679"/>
      <c r="BS514" s="679"/>
      <c r="BT514" s="679"/>
      <c r="BU514" s="679"/>
      <c r="BV514" s="679"/>
      <c r="BW514" s="679"/>
      <c r="BX514" s="679"/>
      <c r="BY514" s="679"/>
      <c r="BZ514" s="679"/>
      <c r="CA514" s="679"/>
    </row>
    <row r="515" spans="1:79" hidden="1" outlineLevel="1" x14ac:dyDescent="0.35">
      <c r="A515" s="224"/>
      <c r="B515" s="224"/>
      <c r="C515" s="224"/>
      <c r="D515" s="224"/>
      <c r="E515" s="224"/>
      <c r="F515" s="671" t="s">
        <v>702</v>
      </c>
      <c r="G515" s="679"/>
      <c r="H515" s="679"/>
      <c r="I515" s="679"/>
      <c r="J515" s="679"/>
      <c r="K515" s="679"/>
      <c r="L515" s="679"/>
      <c r="M515" s="679"/>
      <c r="N515" s="679"/>
      <c r="O515" s="679"/>
      <c r="P515" s="679"/>
      <c r="Q515" s="679"/>
      <c r="R515" s="679"/>
      <c r="S515" s="679">
        <v>0</v>
      </c>
      <c r="T515" s="679">
        <v>0</v>
      </c>
      <c r="U515" s="679">
        <v>0</v>
      </c>
      <c r="V515" s="679">
        <v>0</v>
      </c>
      <c r="W515" s="679">
        <v>0</v>
      </c>
      <c r="X515" s="679">
        <v>0</v>
      </c>
      <c r="Y515" s="679">
        <v>0</v>
      </c>
      <c r="Z515" s="679">
        <v>0</v>
      </c>
      <c r="AA515" s="679">
        <v>0</v>
      </c>
      <c r="AB515" s="679">
        <v>0</v>
      </c>
      <c r="AC515" s="679">
        <v>0</v>
      </c>
      <c r="AD515" s="679">
        <v>0</v>
      </c>
      <c r="AE515" s="679"/>
      <c r="AF515" s="679"/>
      <c r="AG515" s="679"/>
      <c r="AH515" s="679"/>
      <c r="AI515" s="679"/>
      <c r="AJ515" s="679"/>
      <c r="AK515" s="679"/>
      <c r="AL515" s="679"/>
      <c r="AM515" s="679"/>
      <c r="AN515" s="679"/>
      <c r="AO515" s="679"/>
      <c r="AP515" s="679"/>
      <c r="AQ515" s="679"/>
      <c r="AR515" s="679"/>
      <c r="AS515" s="679"/>
      <c r="AT515" s="679"/>
      <c r="AU515" s="679"/>
      <c r="AV515" s="679"/>
      <c r="AW515" s="679"/>
      <c r="AX515" s="679"/>
      <c r="AY515" s="679"/>
      <c r="AZ515" s="679"/>
      <c r="BA515" s="679"/>
      <c r="BB515" s="679"/>
      <c r="BC515" s="679"/>
      <c r="BD515" s="679"/>
      <c r="BE515" s="679"/>
      <c r="BF515" s="679"/>
      <c r="BG515" s="679"/>
      <c r="BH515" s="679"/>
      <c r="BI515" s="679"/>
      <c r="BJ515" s="679"/>
      <c r="BK515" s="679"/>
      <c r="BL515" s="679"/>
      <c r="BM515" s="679"/>
      <c r="BN515" s="679"/>
      <c r="BO515" s="679"/>
      <c r="BP515" s="679"/>
      <c r="BQ515" s="679"/>
      <c r="BR515" s="679"/>
      <c r="BS515" s="679"/>
      <c r="BT515" s="679"/>
      <c r="BU515" s="679"/>
      <c r="BV515" s="679"/>
      <c r="BW515" s="679"/>
      <c r="BX515" s="679"/>
      <c r="BY515" s="679"/>
      <c r="BZ515" s="679"/>
      <c r="CA515" s="679"/>
    </row>
    <row r="516" spans="1:79" hidden="1" outlineLevel="1" x14ac:dyDescent="0.35">
      <c r="A516" s="224"/>
      <c r="B516" s="224"/>
      <c r="C516" s="224"/>
      <c r="D516" s="224"/>
      <c r="E516" s="224"/>
      <c r="F516" s="671" t="s">
        <v>860</v>
      </c>
      <c r="G516" s="679"/>
      <c r="H516" s="679"/>
      <c r="I516" s="679"/>
      <c r="J516" s="679"/>
      <c r="K516" s="679"/>
      <c r="L516" s="679"/>
      <c r="M516" s="679"/>
      <c r="N516" s="679"/>
      <c r="O516" s="679"/>
      <c r="P516" s="679"/>
      <c r="Q516" s="679"/>
      <c r="R516" s="679"/>
      <c r="S516" s="679">
        <v>0</v>
      </c>
      <c r="T516" s="679">
        <v>0</v>
      </c>
      <c r="U516" s="679">
        <v>0</v>
      </c>
      <c r="V516" s="679">
        <v>0</v>
      </c>
      <c r="W516" s="679">
        <v>0</v>
      </c>
      <c r="X516" s="679">
        <v>0</v>
      </c>
      <c r="Y516" s="679">
        <v>0</v>
      </c>
      <c r="Z516" s="679">
        <v>0</v>
      </c>
      <c r="AA516" s="679">
        <v>0</v>
      </c>
      <c r="AB516" s="679">
        <v>0</v>
      </c>
      <c r="AC516" s="679">
        <v>0</v>
      </c>
      <c r="AD516" s="679">
        <v>0</v>
      </c>
      <c r="AE516" s="679"/>
      <c r="AF516" s="679"/>
      <c r="AG516" s="679"/>
      <c r="AH516" s="679"/>
      <c r="AI516" s="679"/>
      <c r="AJ516" s="679"/>
      <c r="AK516" s="679"/>
      <c r="AL516" s="679"/>
      <c r="AM516" s="679"/>
      <c r="AN516" s="679"/>
      <c r="AO516" s="679"/>
      <c r="AP516" s="679"/>
      <c r="AQ516" s="679"/>
      <c r="AR516" s="679"/>
      <c r="AS516" s="679"/>
      <c r="AT516" s="679"/>
      <c r="AU516" s="679"/>
      <c r="AV516" s="679"/>
      <c r="AW516" s="679"/>
      <c r="AX516" s="679"/>
      <c r="AY516" s="679"/>
      <c r="AZ516" s="679"/>
      <c r="BA516" s="679"/>
      <c r="BB516" s="679"/>
      <c r="BC516" s="679"/>
      <c r="BD516" s="679"/>
      <c r="BE516" s="679"/>
      <c r="BF516" s="679"/>
      <c r="BG516" s="679"/>
      <c r="BH516" s="679"/>
      <c r="BI516" s="679"/>
      <c r="BJ516" s="679"/>
      <c r="BK516" s="679"/>
      <c r="BL516" s="679"/>
      <c r="BM516" s="679"/>
      <c r="BN516" s="679"/>
      <c r="BO516" s="679"/>
      <c r="BP516" s="679"/>
      <c r="BQ516" s="679"/>
      <c r="BR516" s="679"/>
      <c r="BS516" s="679"/>
      <c r="BT516" s="679"/>
      <c r="BU516" s="679"/>
      <c r="BV516" s="679"/>
      <c r="BW516" s="679"/>
      <c r="BX516" s="679"/>
      <c r="BY516" s="679"/>
      <c r="BZ516" s="679"/>
      <c r="CA516" s="679"/>
    </row>
    <row r="517" spans="1:79" hidden="1" outlineLevel="1" x14ac:dyDescent="0.35">
      <c r="A517" s="709"/>
      <c r="B517" s="709"/>
      <c r="C517" s="709"/>
      <c r="D517" s="709"/>
      <c r="E517" s="709"/>
      <c r="F517" s="707" t="s">
        <v>661</v>
      </c>
      <c r="G517" s="708"/>
      <c r="H517" s="708"/>
      <c r="I517" s="708"/>
      <c r="J517" s="708"/>
      <c r="K517" s="708"/>
      <c r="L517" s="708"/>
      <c r="M517" s="708"/>
      <c r="N517" s="708"/>
      <c r="O517" s="708"/>
      <c r="P517" s="708"/>
      <c r="Q517" s="708"/>
      <c r="R517" s="708"/>
      <c r="S517" s="708"/>
      <c r="T517" s="708"/>
      <c r="U517" s="708"/>
      <c r="V517" s="708"/>
      <c r="W517" s="708"/>
      <c r="X517" s="708"/>
      <c r="Y517" s="708"/>
      <c r="Z517" s="708"/>
      <c r="AA517" s="708"/>
      <c r="AB517" s="708"/>
      <c r="AC517" s="708"/>
      <c r="AD517" s="708"/>
      <c r="AE517" s="708"/>
      <c r="AF517" s="708"/>
      <c r="AG517" s="708"/>
      <c r="AH517" s="708"/>
      <c r="AI517" s="708"/>
      <c r="AJ517" s="708"/>
      <c r="AK517" s="708"/>
      <c r="AL517" s="708"/>
      <c r="AM517" s="708"/>
      <c r="AN517" s="708"/>
      <c r="AO517" s="708"/>
      <c r="AP517" s="708"/>
      <c r="AQ517" s="708"/>
      <c r="AR517" s="708"/>
      <c r="AS517" s="708"/>
      <c r="AT517" s="708"/>
      <c r="AU517" s="708"/>
      <c r="AV517" s="708"/>
      <c r="AW517" s="708"/>
      <c r="AX517" s="708"/>
      <c r="AY517" s="708"/>
      <c r="AZ517" s="708"/>
      <c r="BA517" s="708"/>
      <c r="BB517" s="708"/>
      <c r="BC517" s="708"/>
      <c r="BD517" s="708"/>
      <c r="BE517" s="708"/>
      <c r="BF517" s="708"/>
      <c r="BG517" s="708"/>
      <c r="BH517" s="708"/>
      <c r="BI517" s="708"/>
      <c r="BJ517" s="708"/>
      <c r="BK517" s="708"/>
      <c r="BL517" s="708"/>
      <c r="BM517" s="708"/>
      <c r="BN517" s="708"/>
      <c r="BO517" s="708"/>
      <c r="BP517" s="708"/>
      <c r="BQ517" s="708"/>
      <c r="BR517" s="708"/>
      <c r="BS517" s="708"/>
      <c r="BT517" s="708"/>
      <c r="BU517" s="708"/>
      <c r="BV517" s="708"/>
      <c r="BW517" s="708"/>
      <c r="BX517" s="708"/>
      <c r="BY517" s="708"/>
      <c r="BZ517" s="708"/>
      <c r="CA517" s="708"/>
    </row>
    <row r="518" spans="1:79" hidden="1" outlineLevel="1" x14ac:dyDescent="0.35">
      <c r="A518" s="224"/>
      <c r="B518" s="224"/>
      <c r="C518" s="224"/>
      <c r="D518" s="224"/>
      <c r="E518" s="224"/>
      <c r="F518" s="672" t="s">
        <v>662</v>
      </c>
      <c r="G518" s="679"/>
      <c r="H518" s="679"/>
      <c r="I518" s="679"/>
      <c r="J518" s="679"/>
      <c r="K518" s="679"/>
      <c r="L518" s="679"/>
      <c r="M518" s="679"/>
      <c r="N518" s="679"/>
      <c r="O518" s="679"/>
      <c r="P518" s="679"/>
      <c r="Q518" s="679"/>
      <c r="R518" s="679"/>
      <c r="S518" s="679">
        <v>0</v>
      </c>
      <c r="T518" s="679">
        <v>0</v>
      </c>
      <c r="U518" s="679">
        <v>0</v>
      </c>
      <c r="V518" s="679">
        <v>0</v>
      </c>
      <c r="W518" s="679">
        <v>0</v>
      </c>
      <c r="X518" s="679">
        <v>0</v>
      </c>
      <c r="Y518" s="679">
        <v>0</v>
      </c>
      <c r="Z518" s="679">
        <v>0</v>
      </c>
      <c r="AA518" s="679">
        <v>0</v>
      </c>
      <c r="AB518" s="679">
        <v>0</v>
      </c>
      <c r="AC518" s="679">
        <v>0</v>
      </c>
      <c r="AD518" s="679">
        <v>0</v>
      </c>
      <c r="AE518" s="679"/>
      <c r="AF518" s="679"/>
      <c r="AG518" s="679"/>
      <c r="AH518" s="679"/>
      <c r="AI518" s="679"/>
      <c r="AJ518" s="679"/>
      <c r="AK518" s="679"/>
      <c r="AL518" s="679"/>
      <c r="AM518" s="679"/>
      <c r="AN518" s="679"/>
      <c r="AO518" s="679"/>
      <c r="AP518" s="679"/>
      <c r="AQ518" s="679"/>
      <c r="AR518" s="679"/>
      <c r="AS518" s="679"/>
      <c r="AT518" s="679"/>
      <c r="AU518" s="679"/>
      <c r="AV518" s="679"/>
      <c r="AW518" s="679"/>
      <c r="AX518" s="679"/>
      <c r="AY518" s="679"/>
      <c r="AZ518" s="679"/>
      <c r="BA518" s="679"/>
      <c r="BB518" s="679"/>
      <c r="BC518" s="679"/>
      <c r="BD518" s="679"/>
      <c r="BE518" s="679"/>
      <c r="BF518" s="679"/>
      <c r="BG518" s="679"/>
      <c r="BH518" s="679"/>
      <c r="BI518" s="679"/>
      <c r="BJ518" s="679"/>
      <c r="BK518" s="679"/>
      <c r="BL518" s="679"/>
      <c r="BM518" s="679"/>
      <c r="BN518" s="679"/>
      <c r="BO518" s="679"/>
      <c r="BP518" s="679"/>
      <c r="BQ518" s="679"/>
      <c r="BR518" s="679"/>
      <c r="BS518" s="679"/>
      <c r="BT518" s="679"/>
      <c r="BU518" s="679"/>
      <c r="BV518" s="679"/>
      <c r="BW518" s="679"/>
      <c r="BX518" s="679"/>
      <c r="BY518" s="679"/>
      <c r="BZ518" s="679"/>
      <c r="CA518" s="679"/>
    </row>
    <row r="519" spans="1:79" hidden="1" outlineLevel="1" x14ac:dyDescent="0.35">
      <c r="A519" s="224"/>
      <c r="B519" s="224"/>
      <c r="C519" s="224"/>
      <c r="D519" s="224"/>
      <c r="E519" s="224"/>
      <c r="F519" s="672" t="s">
        <v>861</v>
      </c>
      <c r="G519" s="679"/>
      <c r="H519" s="679"/>
      <c r="I519" s="679"/>
      <c r="J519" s="679"/>
      <c r="K519" s="679"/>
      <c r="L519" s="679"/>
      <c r="M519" s="679"/>
      <c r="N519" s="679"/>
      <c r="O519" s="679"/>
      <c r="P519" s="679"/>
      <c r="Q519" s="679"/>
      <c r="R519" s="679"/>
      <c r="S519" s="679">
        <v>0</v>
      </c>
      <c r="T519" s="679">
        <v>0</v>
      </c>
      <c r="U519" s="679">
        <v>0</v>
      </c>
      <c r="V519" s="679">
        <v>0</v>
      </c>
      <c r="W519" s="679">
        <v>0</v>
      </c>
      <c r="X519" s="679">
        <v>0</v>
      </c>
      <c r="Y519" s="679">
        <v>0</v>
      </c>
      <c r="Z519" s="679">
        <v>0</v>
      </c>
      <c r="AA519" s="679">
        <v>0</v>
      </c>
      <c r="AB519" s="679">
        <v>0</v>
      </c>
      <c r="AC519" s="679">
        <v>0</v>
      </c>
      <c r="AD519" s="679">
        <v>0</v>
      </c>
      <c r="AE519" s="679"/>
      <c r="AF519" s="679"/>
      <c r="AG519" s="679"/>
      <c r="AH519" s="679"/>
      <c r="AI519" s="679"/>
      <c r="AJ519" s="679"/>
      <c r="AK519" s="679"/>
      <c r="AL519" s="679"/>
      <c r="AM519" s="679"/>
      <c r="AN519" s="679"/>
      <c r="AO519" s="679"/>
      <c r="AP519" s="679"/>
      <c r="AQ519" s="679"/>
      <c r="AR519" s="679"/>
      <c r="AS519" s="679"/>
      <c r="AT519" s="679"/>
      <c r="AU519" s="679"/>
      <c r="AV519" s="679"/>
      <c r="AW519" s="679"/>
      <c r="AX519" s="679"/>
      <c r="AY519" s="679"/>
      <c r="AZ519" s="679"/>
      <c r="BA519" s="679"/>
      <c r="BB519" s="679"/>
      <c r="BC519" s="679"/>
      <c r="BD519" s="679"/>
      <c r="BE519" s="679"/>
      <c r="BF519" s="679"/>
      <c r="BG519" s="679"/>
      <c r="BH519" s="679"/>
      <c r="BI519" s="679"/>
      <c r="BJ519" s="679"/>
      <c r="BK519" s="679"/>
      <c r="BL519" s="679"/>
      <c r="BM519" s="679"/>
      <c r="BN519" s="679"/>
      <c r="BO519" s="679"/>
      <c r="BP519" s="679"/>
      <c r="BQ519" s="679"/>
      <c r="BR519" s="679"/>
      <c r="BS519" s="679"/>
      <c r="BT519" s="679"/>
      <c r="BU519" s="679"/>
      <c r="BV519" s="679"/>
      <c r="BW519" s="679"/>
      <c r="BX519" s="679"/>
      <c r="BY519" s="679"/>
      <c r="BZ519" s="679"/>
      <c r="CA519" s="679"/>
    </row>
    <row r="520" spans="1:79" hidden="1" outlineLevel="1" x14ac:dyDescent="0.35">
      <c r="A520" s="224"/>
      <c r="B520" s="224"/>
      <c r="C520" s="224"/>
      <c r="D520" s="224"/>
      <c r="E520" s="224"/>
      <c r="F520" s="673" t="s">
        <v>663</v>
      </c>
      <c r="G520" s="680">
        <f>SUM(G518:G519)</f>
        <v>0</v>
      </c>
      <c r="H520" s="680">
        <f t="shared" ref="H520:Q520" si="177">SUM(H518:H519)</f>
        <v>0</v>
      </c>
      <c r="I520" s="680">
        <f t="shared" si="177"/>
        <v>0</v>
      </c>
      <c r="J520" s="680">
        <f t="shared" si="177"/>
        <v>0</v>
      </c>
      <c r="K520" s="680">
        <f t="shared" si="177"/>
        <v>0</v>
      </c>
      <c r="L520" s="680">
        <f t="shared" si="177"/>
        <v>0</v>
      </c>
      <c r="M520" s="680">
        <f t="shared" si="177"/>
        <v>0</v>
      </c>
      <c r="N520" s="680">
        <f t="shared" si="177"/>
        <v>0</v>
      </c>
      <c r="O520" s="680">
        <f t="shared" si="177"/>
        <v>0</v>
      </c>
      <c r="P520" s="680">
        <f t="shared" si="177"/>
        <v>0</v>
      </c>
      <c r="Q520" s="680">
        <f t="shared" si="177"/>
        <v>0</v>
      </c>
      <c r="R520" s="680">
        <f>SUM(R518:R519)</f>
        <v>0</v>
      </c>
      <c r="S520" s="680">
        <f t="shared" ref="S520:AA520" si="178">ROUND(SUM(S517:S519),5)</f>
        <v>0</v>
      </c>
      <c r="T520" s="680">
        <f t="shared" si="178"/>
        <v>0</v>
      </c>
      <c r="U520" s="680">
        <f t="shared" si="178"/>
        <v>0</v>
      </c>
      <c r="V520" s="680">
        <f t="shared" si="178"/>
        <v>0</v>
      </c>
      <c r="W520" s="680">
        <f t="shared" si="178"/>
        <v>0</v>
      </c>
      <c r="X520" s="680">
        <f t="shared" si="178"/>
        <v>0</v>
      </c>
      <c r="Y520" s="680">
        <f t="shared" si="178"/>
        <v>0</v>
      </c>
      <c r="Z520" s="680">
        <f t="shared" si="178"/>
        <v>0</v>
      </c>
      <c r="AA520" s="680">
        <f t="shared" si="178"/>
        <v>0</v>
      </c>
      <c r="AB520" s="680">
        <f>ROUND(SUM(AB517:AB519),5)</f>
        <v>0</v>
      </c>
      <c r="AC520" s="680">
        <f>ROUND(SUM(AC517:AC519),5)</f>
        <v>0</v>
      </c>
      <c r="AD520" s="680">
        <f>ROUND(SUM(AD517:AD519),5)</f>
        <v>0</v>
      </c>
      <c r="AE520" s="680">
        <f t="shared" ref="AE520:BO520" si="179">SUM(AE518:AE519)</f>
        <v>0</v>
      </c>
      <c r="AF520" s="680">
        <f t="shared" si="179"/>
        <v>0</v>
      </c>
      <c r="AG520" s="680">
        <f t="shared" si="179"/>
        <v>0</v>
      </c>
      <c r="AH520" s="680">
        <f t="shared" si="179"/>
        <v>0</v>
      </c>
      <c r="AI520" s="680">
        <f t="shared" si="179"/>
        <v>0</v>
      </c>
      <c r="AJ520" s="680">
        <f t="shared" si="179"/>
        <v>0</v>
      </c>
      <c r="AK520" s="680">
        <f t="shared" si="179"/>
        <v>0</v>
      </c>
      <c r="AL520" s="680">
        <f t="shared" si="179"/>
        <v>0</v>
      </c>
      <c r="AM520" s="680">
        <f t="shared" si="179"/>
        <v>0</v>
      </c>
      <c r="AN520" s="680">
        <f t="shared" si="179"/>
        <v>0</v>
      </c>
      <c r="AO520" s="680">
        <f t="shared" si="179"/>
        <v>0</v>
      </c>
      <c r="AP520" s="680">
        <f t="shared" si="179"/>
        <v>0</v>
      </c>
      <c r="AQ520" s="680">
        <f t="shared" si="179"/>
        <v>0</v>
      </c>
      <c r="AR520" s="680">
        <f t="shared" si="179"/>
        <v>0</v>
      </c>
      <c r="AS520" s="680">
        <f t="shared" si="179"/>
        <v>0</v>
      </c>
      <c r="AT520" s="680">
        <f t="shared" si="179"/>
        <v>0</v>
      </c>
      <c r="AU520" s="680">
        <f t="shared" si="179"/>
        <v>0</v>
      </c>
      <c r="AV520" s="680">
        <f t="shared" si="179"/>
        <v>0</v>
      </c>
      <c r="AW520" s="680">
        <f t="shared" si="179"/>
        <v>0</v>
      </c>
      <c r="AX520" s="680">
        <f t="shared" si="179"/>
        <v>0</v>
      </c>
      <c r="AY520" s="680">
        <f t="shared" si="179"/>
        <v>0</v>
      </c>
      <c r="AZ520" s="680">
        <f t="shared" si="179"/>
        <v>0</v>
      </c>
      <c r="BA520" s="680">
        <f t="shared" si="179"/>
        <v>0</v>
      </c>
      <c r="BB520" s="680">
        <f t="shared" si="179"/>
        <v>0</v>
      </c>
      <c r="BC520" s="680">
        <f t="shared" si="179"/>
        <v>0</v>
      </c>
      <c r="BD520" s="680">
        <f t="shared" si="179"/>
        <v>0</v>
      </c>
      <c r="BE520" s="680">
        <f t="shared" si="179"/>
        <v>0</v>
      </c>
      <c r="BF520" s="680">
        <f t="shared" si="179"/>
        <v>0</v>
      </c>
      <c r="BG520" s="680">
        <f t="shared" si="179"/>
        <v>0</v>
      </c>
      <c r="BH520" s="680">
        <f t="shared" si="179"/>
        <v>0</v>
      </c>
      <c r="BI520" s="680">
        <f t="shared" si="179"/>
        <v>0</v>
      </c>
      <c r="BJ520" s="680">
        <f t="shared" si="179"/>
        <v>0</v>
      </c>
      <c r="BK520" s="680">
        <f t="shared" si="179"/>
        <v>0</v>
      </c>
      <c r="BL520" s="680">
        <f t="shared" si="179"/>
        <v>0</v>
      </c>
      <c r="BM520" s="680">
        <f t="shared" si="179"/>
        <v>0</v>
      </c>
      <c r="BN520" s="680">
        <f t="shared" si="179"/>
        <v>0</v>
      </c>
      <c r="BO520" s="680">
        <f t="shared" si="179"/>
        <v>0</v>
      </c>
      <c r="BP520" s="680">
        <f t="shared" ref="BP520:CA520" si="180">SUM(BP518:BP519)</f>
        <v>0</v>
      </c>
      <c r="BQ520" s="680">
        <f t="shared" si="180"/>
        <v>0</v>
      </c>
      <c r="BR520" s="680">
        <f t="shared" si="180"/>
        <v>0</v>
      </c>
      <c r="BS520" s="680">
        <f t="shared" si="180"/>
        <v>0</v>
      </c>
      <c r="BT520" s="680">
        <f t="shared" si="180"/>
        <v>0</v>
      </c>
      <c r="BU520" s="680">
        <f t="shared" si="180"/>
        <v>0</v>
      </c>
      <c r="BV520" s="680">
        <f t="shared" si="180"/>
        <v>0</v>
      </c>
      <c r="BW520" s="680">
        <f t="shared" si="180"/>
        <v>0</v>
      </c>
      <c r="BX520" s="680">
        <f t="shared" si="180"/>
        <v>0</v>
      </c>
      <c r="BY520" s="680">
        <f t="shared" si="180"/>
        <v>0</v>
      </c>
      <c r="BZ520" s="680">
        <f t="shared" si="180"/>
        <v>0</v>
      </c>
      <c r="CA520" s="680">
        <f t="shared" si="180"/>
        <v>0</v>
      </c>
    </row>
    <row r="521" spans="1:79" hidden="1" outlineLevel="1" x14ac:dyDescent="0.35">
      <c r="A521" s="224"/>
      <c r="B521" s="224"/>
      <c r="C521" s="224"/>
      <c r="D521" s="224"/>
      <c r="E521" s="224"/>
      <c r="F521" s="671" t="s">
        <v>700</v>
      </c>
      <c r="G521" s="679"/>
      <c r="H521" s="679"/>
      <c r="I521" s="679"/>
      <c r="J521" s="679"/>
      <c r="K521" s="679"/>
      <c r="L521" s="679"/>
      <c r="M521" s="679"/>
      <c r="N521" s="679"/>
      <c r="O521" s="679"/>
      <c r="P521" s="679"/>
      <c r="Q521" s="679"/>
      <c r="R521" s="679"/>
      <c r="S521" s="679">
        <v>0</v>
      </c>
      <c r="T521" s="679">
        <v>0</v>
      </c>
      <c r="U521" s="679">
        <v>0</v>
      </c>
      <c r="V521" s="679">
        <v>0</v>
      </c>
      <c r="W521" s="679">
        <v>0</v>
      </c>
      <c r="X521" s="679">
        <v>0</v>
      </c>
      <c r="Y521" s="679">
        <v>0</v>
      </c>
      <c r="Z521" s="679">
        <v>0</v>
      </c>
      <c r="AA521" s="679">
        <v>0</v>
      </c>
      <c r="AB521" s="679">
        <v>0</v>
      </c>
      <c r="AC521" s="679">
        <v>0</v>
      </c>
      <c r="AD521" s="679">
        <v>0</v>
      </c>
      <c r="AE521" s="679"/>
      <c r="AF521" s="679"/>
      <c r="AG521" s="679"/>
      <c r="AH521" s="679"/>
      <c r="AI521" s="679"/>
      <c r="AJ521" s="679"/>
      <c r="AK521" s="679"/>
      <c r="AL521" s="679"/>
      <c r="AM521" s="679"/>
      <c r="AN521" s="679"/>
      <c r="AO521" s="679"/>
      <c r="AP521" s="679"/>
      <c r="AQ521" s="679"/>
      <c r="AR521" s="679"/>
      <c r="AS521" s="679"/>
      <c r="AT521" s="679"/>
      <c r="AU521" s="679"/>
      <c r="AV521" s="679"/>
      <c r="AW521" s="679"/>
      <c r="AX521" s="679"/>
      <c r="AY521" s="679"/>
      <c r="AZ521" s="679"/>
      <c r="BA521" s="679"/>
      <c r="BB521" s="679"/>
      <c r="BC521" s="679"/>
      <c r="BD521" s="679"/>
      <c r="BE521" s="679"/>
      <c r="BF521" s="679"/>
      <c r="BG521" s="679"/>
      <c r="BH521" s="679"/>
      <c r="BI521" s="679"/>
      <c r="BJ521" s="679"/>
      <c r="BK521" s="679"/>
      <c r="BL521" s="679"/>
      <c r="BM521" s="679"/>
      <c r="BN521" s="679"/>
      <c r="BO521" s="679"/>
      <c r="BP521" s="679"/>
      <c r="BQ521" s="679"/>
      <c r="BR521" s="679"/>
      <c r="BS521" s="679"/>
      <c r="BT521" s="679"/>
      <c r="BU521" s="679"/>
      <c r="BV521" s="679"/>
      <c r="BW521" s="679"/>
      <c r="BX521" s="679"/>
      <c r="BY521" s="679"/>
      <c r="BZ521" s="679"/>
      <c r="CA521" s="679"/>
    </row>
    <row r="522" spans="1:79" hidden="1" outlineLevel="1" x14ac:dyDescent="0.35">
      <c r="A522" s="224"/>
      <c r="B522" s="224"/>
      <c r="C522" s="224"/>
      <c r="D522" s="224"/>
      <c r="E522" s="224"/>
      <c r="F522" s="671" t="s">
        <v>862</v>
      </c>
      <c r="G522" s="679"/>
      <c r="H522" s="679"/>
      <c r="I522" s="679"/>
      <c r="J522" s="679"/>
      <c r="K522" s="679"/>
      <c r="L522" s="679"/>
      <c r="M522" s="679"/>
      <c r="N522" s="679"/>
      <c r="O522" s="679"/>
      <c r="P522" s="679"/>
      <c r="Q522" s="679"/>
      <c r="R522" s="679"/>
      <c r="S522" s="679">
        <v>0</v>
      </c>
      <c r="T522" s="679">
        <v>0</v>
      </c>
      <c r="U522" s="679">
        <v>0</v>
      </c>
      <c r="V522" s="679">
        <v>0</v>
      </c>
      <c r="W522" s="679">
        <v>0</v>
      </c>
      <c r="X522" s="679">
        <v>0</v>
      </c>
      <c r="Y522" s="679">
        <v>0</v>
      </c>
      <c r="Z522" s="679">
        <v>0</v>
      </c>
      <c r="AA522" s="679">
        <v>0</v>
      </c>
      <c r="AB522" s="679">
        <v>0</v>
      </c>
      <c r="AC522" s="679">
        <v>0</v>
      </c>
      <c r="AD522" s="679">
        <v>0</v>
      </c>
      <c r="AE522" s="679"/>
      <c r="AF522" s="679"/>
      <c r="AG522" s="679"/>
      <c r="AH522" s="679"/>
      <c r="AI522" s="679"/>
      <c r="AJ522" s="679"/>
      <c r="AK522" s="679"/>
      <c r="AL522" s="679"/>
      <c r="AM522" s="679"/>
      <c r="AN522" s="679"/>
      <c r="AO522" s="679"/>
      <c r="AP522" s="679"/>
      <c r="AQ522" s="679"/>
      <c r="AR522" s="679"/>
      <c r="AS522" s="679"/>
      <c r="AT522" s="679"/>
      <c r="AU522" s="679"/>
      <c r="AV522" s="679"/>
      <c r="AW522" s="679"/>
      <c r="AX522" s="679"/>
      <c r="AY522" s="679"/>
      <c r="AZ522" s="679"/>
      <c r="BA522" s="679"/>
      <c r="BB522" s="679"/>
      <c r="BC522" s="679"/>
      <c r="BD522" s="679"/>
      <c r="BE522" s="679"/>
      <c r="BF522" s="679"/>
      <c r="BG522" s="679"/>
      <c r="BH522" s="679"/>
      <c r="BI522" s="679"/>
      <c r="BJ522" s="679"/>
      <c r="BK522" s="679"/>
      <c r="BL522" s="679"/>
      <c r="BM522" s="679"/>
      <c r="BN522" s="679"/>
      <c r="BO522" s="679"/>
      <c r="BP522" s="679"/>
      <c r="BQ522" s="679"/>
      <c r="BR522" s="679"/>
      <c r="BS522" s="679"/>
      <c r="BT522" s="679"/>
      <c r="BU522" s="679"/>
      <c r="BV522" s="679"/>
      <c r="BW522" s="679"/>
      <c r="BX522" s="679"/>
      <c r="BY522" s="679"/>
      <c r="BZ522" s="679"/>
      <c r="CA522" s="679"/>
    </row>
    <row r="523" spans="1:79" hidden="1" outlineLevel="1" x14ac:dyDescent="0.35">
      <c r="A523" s="224"/>
      <c r="B523" s="224"/>
      <c r="C523" s="224"/>
      <c r="D523" s="224"/>
      <c r="E523" s="224"/>
      <c r="F523" s="671" t="s">
        <v>863</v>
      </c>
      <c r="G523" s="679"/>
      <c r="H523" s="679"/>
      <c r="I523" s="679"/>
      <c r="J523" s="679"/>
      <c r="K523" s="679"/>
      <c r="L523" s="679"/>
      <c r="M523" s="679"/>
      <c r="N523" s="679"/>
      <c r="O523" s="679"/>
      <c r="P523" s="679"/>
      <c r="Q523" s="679"/>
      <c r="R523" s="679"/>
      <c r="S523" s="679">
        <v>0</v>
      </c>
      <c r="T523" s="679">
        <v>0</v>
      </c>
      <c r="U523" s="679">
        <v>0</v>
      </c>
      <c r="V523" s="679">
        <v>0</v>
      </c>
      <c r="W523" s="679">
        <v>0</v>
      </c>
      <c r="X523" s="679">
        <v>0</v>
      </c>
      <c r="Y523" s="679">
        <v>0</v>
      </c>
      <c r="Z523" s="679">
        <v>0</v>
      </c>
      <c r="AA523" s="679">
        <v>0</v>
      </c>
      <c r="AB523" s="679">
        <v>0</v>
      </c>
      <c r="AC523" s="679">
        <v>0</v>
      </c>
      <c r="AD523" s="679">
        <v>0</v>
      </c>
      <c r="AE523" s="679"/>
      <c r="AF523" s="679"/>
      <c r="AG523" s="679"/>
      <c r="AH523" s="679"/>
      <c r="AI523" s="679"/>
      <c r="AJ523" s="679"/>
      <c r="AK523" s="679"/>
      <c r="AL523" s="679"/>
      <c r="AM523" s="679"/>
      <c r="AN523" s="679"/>
      <c r="AO523" s="679"/>
      <c r="AP523" s="679"/>
      <c r="AQ523" s="679"/>
      <c r="AR523" s="679"/>
      <c r="AS523" s="679"/>
      <c r="AT523" s="679"/>
      <c r="AU523" s="679"/>
      <c r="AV523" s="679"/>
      <c r="AW523" s="679"/>
      <c r="AX523" s="679"/>
      <c r="AY523" s="679"/>
      <c r="AZ523" s="679"/>
      <c r="BA523" s="679"/>
      <c r="BB523" s="679"/>
      <c r="BC523" s="679"/>
      <c r="BD523" s="679"/>
      <c r="BE523" s="679"/>
      <c r="BF523" s="679"/>
      <c r="BG523" s="679"/>
      <c r="BH523" s="679"/>
      <c r="BI523" s="679"/>
      <c r="BJ523" s="679"/>
      <c r="BK523" s="679"/>
      <c r="BL523" s="679"/>
      <c r="BM523" s="679"/>
      <c r="BN523" s="679"/>
      <c r="BO523" s="679"/>
      <c r="BP523" s="679"/>
      <c r="BQ523" s="679"/>
      <c r="BR523" s="679"/>
      <c r="BS523" s="679"/>
      <c r="BT523" s="679"/>
      <c r="BU523" s="679"/>
      <c r="BV523" s="679"/>
      <c r="BW523" s="679"/>
      <c r="BX523" s="679"/>
      <c r="BY523" s="679"/>
      <c r="BZ523" s="679"/>
      <c r="CA523" s="679"/>
    </row>
    <row r="524" spans="1:79" hidden="1" outlineLevel="1" x14ac:dyDescent="0.35">
      <c r="A524" s="224"/>
      <c r="B524" s="224"/>
      <c r="C524" s="224"/>
      <c r="D524" s="224"/>
      <c r="E524" s="224"/>
      <c r="F524" s="671" t="s">
        <v>18</v>
      </c>
      <c r="G524" s="679"/>
      <c r="H524" s="679"/>
      <c r="I524" s="679"/>
      <c r="J524" s="679"/>
      <c r="K524" s="679"/>
      <c r="L524" s="679"/>
      <c r="M524" s="679"/>
      <c r="N524" s="679"/>
      <c r="O524" s="679"/>
      <c r="P524" s="679"/>
      <c r="Q524" s="679"/>
      <c r="R524" s="679"/>
      <c r="S524" s="679">
        <v>0</v>
      </c>
      <c r="T524" s="679">
        <v>0</v>
      </c>
      <c r="U524" s="679">
        <v>0</v>
      </c>
      <c r="V524" s="679">
        <v>0</v>
      </c>
      <c r="W524" s="679">
        <v>0</v>
      </c>
      <c r="X524" s="679">
        <v>0</v>
      </c>
      <c r="Y524" s="679">
        <v>0</v>
      </c>
      <c r="Z524" s="679">
        <v>0</v>
      </c>
      <c r="AA524" s="679">
        <v>0</v>
      </c>
      <c r="AB524" s="679">
        <v>0</v>
      </c>
      <c r="AC524" s="679">
        <v>0</v>
      </c>
      <c r="AD524" s="679">
        <v>0</v>
      </c>
      <c r="AE524" s="679"/>
      <c r="AF524" s="679"/>
      <c r="AG524" s="679"/>
      <c r="AH524" s="679"/>
      <c r="AI524" s="679"/>
      <c r="AJ524" s="679"/>
      <c r="AK524" s="679"/>
      <c r="AL524" s="679"/>
      <c r="AM524" s="679"/>
      <c r="AN524" s="679"/>
      <c r="AO524" s="679"/>
      <c r="AP524" s="679"/>
      <c r="AQ524" s="679"/>
      <c r="AR524" s="679"/>
      <c r="AS524" s="679"/>
      <c r="AT524" s="679"/>
      <c r="AU524" s="679"/>
      <c r="AV524" s="679"/>
      <c r="AW524" s="679"/>
      <c r="AX524" s="679"/>
      <c r="AY524" s="679"/>
      <c r="AZ524" s="679"/>
      <c r="BA524" s="679"/>
      <c r="BB524" s="679"/>
      <c r="BC524" s="679"/>
      <c r="BD524" s="679"/>
      <c r="BE524" s="679"/>
      <c r="BF524" s="679"/>
      <c r="BG524" s="679"/>
      <c r="BH524" s="679"/>
      <c r="BI524" s="679"/>
      <c r="BJ524" s="679"/>
      <c r="BK524" s="679"/>
      <c r="BL524" s="679"/>
      <c r="BM524" s="679"/>
      <c r="BN524" s="679"/>
      <c r="BO524" s="679"/>
      <c r="BP524" s="679"/>
      <c r="BQ524" s="679"/>
      <c r="BR524" s="679"/>
      <c r="BS524" s="679"/>
      <c r="BT524" s="679"/>
      <c r="BU524" s="679"/>
      <c r="BV524" s="679"/>
      <c r="BW524" s="679"/>
      <c r="BX524" s="679"/>
      <c r="BY524" s="679"/>
      <c r="BZ524" s="679"/>
      <c r="CA524" s="679"/>
    </row>
    <row r="525" spans="1:79" hidden="1" outlineLevel="1" x14ac:dyDescent="0.35">
      <c r="A525" s="224"/>
      <c r="B525" s="224"/>
      <c r="C525" s="224"/>
      <c r="D525" s="224"/>
      <c r="E525" s="224"/>
      <c r="F525" s="671" t="s">
        <v>864</v>
      </c>
      <c r="G525" s="679"/>
      <c r="H525" s="679"/>
      <c r="I525" s="679"/>
      <c r="J525" s="679"/>
      <c r="K525" s="679"/>
      <c r="L525" s="679"/>
      <c r="M525" s="679"/>
      <c r="N525" s="679"/>
      <c r="O525" s="679"/>
      <c r="P525" s="679"/>
      <c r="Q525" s="679"/>
      <c r="R525" s="679"/>
      <c r="S525" s="679">
        <v>0</v>
      </c>
      <c r="T525" s="679">
        <v>0</v>
      </c>
      <c r="U525" s="679">
        <v>0</v>
      </c>
      <c r="V525" s="679">
        <v>0</v>
      </c>
      <c r="W525" s="679">
        <v>0</v>
      </c>
      <c r="X525" s="679">
        <v>0</v>
      </c>
      <c r="Y525" s="679">
        <v>0</v>
      </c>
      <c r="Z525" s="679">
        <v>0</v>
      </c>
      <c r="AA525" s="679">
        <v>0</v>
      </c>
      <c r="AB525" s="679">
        <v>0</v>
      </c>
      <c r="AC525" s="679">
        <v>0</v>
      </c>
      <c r="AD525" s="679">
        <v>0</v>
      </c>
      <c r="AE525" s="679"/>
      <c r="AF525" s="679"/>
      <c r="AG525" s="679"/>
      <c r="AH525" s="679"/>
      <c r="AI525" s="679"/>
      <c r="AJ525" s="679"/>
      <c r="AK525" s="679"/>
      <c r="AL525" s="679"/>
      <c r="AM525" s="679"/>
      <c r="AN525" s="679"/>
      <c r="AO525" s="679"/>
      <c r="AP525" s="679"/>
      <c r="AQ525" s="679"/>
      <c r="AR525" s="679"/>
      <c r="AS525" s="679"/>
      <c r="AT525" s="679"/>
      <c r="AU525" s="679"/>
      <c r="AV525" s="679"/>
      <c r="AW525" s="679"/>
      <c r="AX525" s="679"/>
      <c r="AY525" s="679"/>
      <c r="AZ525" s="679"/>
      <c r="BA525" s="679"/>
      <c r="BB525" s="679"/>
      <c r="BC525" s="679"/>
      <c r="BD525" s="679"/>
      <c r="BE525" s="679"/>
      <c r="BF525" s="679"/>
      <c r="BG525" s="679"/>
      <c r="BH525" s="679"/>
      <c r="BI525" s="679"/>
      <c r="BJ525" s="679"/>
      <c r="BK525" s="679"/>
      <c r="BL525" s="679"/>
      <c r="BM525" s="679"/>
      <c r="BN525" s="679"/>
      <c r="BO525" s="679"/>
      <c r="BP525" s="679"/>
      <c r="BQ525" s="679"/>
      <c r="BR525" s="679"/>
      <c r="BS525" s="679"/>
      <c r="BT525" s="679"/>
      <c r="BU525" s="679"/>
      <c r="BV525" s="679"/>
      <c r="BW525" s="679"/>
      <c r="BX525" s="679"/>
      <c r="BY525" s="679"/>
      <c r="BZ525" s="679"/>
      <c r="CA525" s="679"/>
    </row>
    <row r="526" spans="1:79" hidden="1" outlineLevel="1" x14ac:dyDescent="0.35">
      <c r="A526" s="709"/>
      <c r="B526" s="709"/>
      <c r="C526" s="709"/>
      <c r="D526" s="709"/>
      <c r="E526" s="709"/>
      <c r="F526" s="707" t="s">
        <v>649</v>
      </c>
      <c r="G526" s="708"/>
      <c r="H526" s="708"/>
      <c r="I526" s="708"/>
      <c r="J526" s="708"/>
      <c r="K526" s="708"/>
      <c r="L526" s="708"/>
      <c r="M526" s="708"/>
      <c r="N526" s="708"/>
      <c r="O526" s="708"/>
      <c r="P526" s="708"/>
      <c r="Q526" s="708"/>
      <c r="R526" s="708"/>
      <c r="S526" s="708"/>
      <c r="T526" s="708"/>
      <c r="U526" s="708"/>
      <c r="V526" s="708"/>
      <c r="W526" s="708"/>
      <c r="X526" s="708"/>
      <c r="Y526" s="708"/>
      <c r="Z526" s="708"/>
      <c r="AA526" s="708"/>
      <c r="AB526" s="708"/>
      <c r="AC526" s="708"/>
      <c r="AD526" s="708"/>
      <c r="AE526" s="708"/>
      <c r="AF526" s="708"/>
      <c r="AG526" s="708"/>
      <c r="AH526" s="708"/>
      <c r="AI526" s="708"/>
      <c r="AJ526" s="708"/>
      <c r="AK526" s="708"/>
      <c r="AL526" s="708"/>
      <c r="AM526" s="708"/>
      <c r="AN526" s="708"/>
      <c r="AO526" s="708"/>
      <c r="AP526" s="708"/>
      <c r="AQ526" s="708"/>
      <c r="AR526" s="708"/>
      <c r="AS526" s="708"/>
      <c r="AT526" s="708"/>
      <c r="AU526" s="708"/>
      <c r="AV526" s="708"/>
      <c r="AW526" s="708"/>
      <c r="AX526" s="708"/>
      <c r="AY526" s="708"/>
      <c r="AZ526" s="708"/>
      <c r="BA526" s="708"/>
      <c r="BB526" s="708"/>
      <c r="BC526" s="708"/>
      <c r="BD526" s="708"/>
      <c r="BE526" s="708"/>
      <c r="BF526" s="708"/>
      <c r="BG526" s="708"/>
      <c r="BH526" s="708"/>
      <c r="BI526" s="708"/>
      <c r="BJ526" s="708"/>
      <c r="BK526" s="708"/>
      <c r="BL526" s="708"/>
      <c r="BM526" s="708"/>
      <c r="BN526" s="708"/>
      <c r="BO526" s="708"/>
      <c r="BP526" s="708"/>
      <c r="BQ526" s="708"/>
      <c r="BR526" s="708"/>
      <c r="BS526" s="708"/>
      <c r="BT526" s="708"/>
      <c r="BU526" s="708"/>
      <c r="BV526" s="708"/>
      <c r="BW526" s="708"/>
      <c r="BX526" s="708"/>
      <c r="BY526" s="708"/>
      <c r="BZ526" s="708"/>
      <c r="CA526" s="708"/>
    </row>
    <row r="527" spans="1:79" hidden="1" outlineLevel="1" x14ac:dyDescent="0.35">
      <c r="A527" s="224"/>
      <c r="B527" s="224"/>
      <c r="C527" s="224"/>
      <c r="D527" s="224"/>
      <c r="E527" s="224"/>
      <c r="F527" s="672" t="s">
        <v>865</v>
      </c>
      <c r="G527" s="679"/>
      <c r="H527" s="679"/>
      <c r="I527" s="679"/>
      <c r="J527" s="679"/>
      <c r="K527" s="679"/>
      <c r="L527" s="679"/>
      <c r="M527" s="679"/>
      <c r="N527" s="679"/>
      <c r="O527" s="679"/>
      <c r="P527" s="679"/>
      <c r="Q527" s="679"/>
      <c r="R527" s="679"/>
      <c r="S527" s="679">
        <v>0</v>
      </c>
      <c r="T527" s="679">
        <v>0</v>
      </c>
      <c r="U527" s="679">
        <v>0</v>
      </c>
      <c r="V527" s="679">
        <v>0</v>
      </c>
      <c r="W527" s="679">
        <v>0</v>
      </c>
      <c r="X527" s="679">
        <v>0</v>
      </c>
      <c r="Y527" s="679">
        <v>0</v>
      </c>
      <c r="Z527" s="679">
        <v>0</v>
      </c>
      <c r="AA527" s="679">
        <v>0</v>
      </c>
      <c r="AB527" s="679">
        <v>0</v>
      </c>
      <c r="AC527" s="679">
        <v>0</v>
      </c>
      <c r="AD527" s="679">
        <v>0</v>
      </c>
      <c r="AE527" s="679"/>
      <c r="AF527" s="679"/>
      <c r="AG527" s="679"/>
      <c r="AH527" s="679"/>
      <c r="AI527" s="679"/>
      <c r="AJ527" s="679"/>
      <c r="AK527" s="679"/>
      <c r="AL527" s="679"/>
      <c r="AM527" s="679"/>
      <c r="AN527" s="679"/>
      <c r="AO527" s="679"/>
      <c r="AP527" s="679"/>
      <c r="AQ527" s="679"/>
      <c r="AR527" s="679"/>
      <c r="AS527" s="679"/>
      <c r="AT527" s="679"/>
      <c r="AU527" s="679"/>
      <c r="AV527" s="679"/>
      <c r="AW527" s="679"/>
      <c r="AX527" s="679"/>
      <c r="AY527" s="679"/>
      <c r="AZ527" s="679"/>
      <c r="BA527" s="679"/>
      <c r="BB527" s="679"/>
      <c r="BC527" s="679"/>
      <c r="BD527" s="679"/>
      <c r="BE527" s="679"/>
      <c r="BF527" s="679"/>
      <c r="BG527" s="679"/>
      <c r="BH527" s="679"/>
      <c r="BI527" s="679"/>
      <c r="BJ527" s="679"/>
      <c r="BK527" s="679"/>
      <c r="BL527" s="679"/>
      <c r="BM527" s="679"/>
      <c r="BN527" s="679"/>
      <c r="BO527" s="679"/>
      <c r="BP527" s="679"/>
      <c r="BQ527" s="679"/>
      <c r="BR527" s="679"/>
      <c r="BS527" s="679"/>
      <c r="BT527" s="679"/>
      <c r="BU527" s="679"/>
      <c r="BV527" s="679"/>
      <c r="BW527" s="679"/>
      <c r="BX527" s="679"/>
      <c r="BY527" s="679"/>
      <c r="BZ527" s="679"/>
      <c r="CA527" s="679"/>
    </row>
    <row r="528" spans="1:79" hidden="1" outlineLevel="1" x14ac:dyDescent="0.35">
      <c r="A528" s="574"/>
      <c r="B528" s="574"/>
      <c r="C528" s="574"/>
      <c r="D528" s="574"/>
      <c r="E528" s="574"/>
      <c r="F528" s="672" t="s">
        <v>866</v>
      </c>
      <c r="G528" s="735"/>
      <c r="H528" s="735"/>
      <c r="I528" s="735"/>
      <c r="J528" s="735"/>
      <c r="K528" s="735"/>
      <c r="L528" s="735"/>
      <c r="M528" s="735"/>
      <c r="N528" s="735"/>
      <c r="O528" s="735"/>
      <c r="P528" s="732"/>
      <c r="Q528" s="732"/>
      <c r="R528" s="732"/>
      <c r="S528" s="679">
        <v>0</v>
      </c>
      <c r="T528" s="679">
        <v>0</v>
      </c>
      <c r="U528" s="679">
        <v>0</v>
      </c>
      <c r="V528" s="679">
        <v>0</v>
      </c>
      <c r="W528" s="679">
        <v>0</v>
      </c>
      <c r="X528" s="679">
        <v>0</v>
      </c>
      <c r="Y528" s="679">
        <v>0</v>
      </c>
      <c r="Z528" s="679">
        <v>0</v>
      </c>
      <c r="AA528" s="679">
        <v>0</v>
      </c>
      <c r="AB528" s="679">
        <v>0</v>
      </c>
      <c r="AC528" s="679">
        <v>0</v>
      </c>
      <c r="AD528" s="679">
        <v>0</v>
      </c>
      <c r="AE528" s="734"/>
      <c r="AF528" s="734"/>
      <c r="AG528" s="734"/>
      <c r="AH528" s="734"/>
      <c r="AI528" s="734"/>
      <c r="AJ528" s="734"/>
      <c r="AK528" s="734"/>
      <c r="AL528" s="734"/>
      <c r="AM528" s="734"/>
      <c r="AN528" s="734"/>
      <c r="AO528" s="734"/>
      <c r="AP528" s="734"/>
      <c r="AQ528" s="734"/>
      <c r="AR528" s="734"/>
      <c r="AS528" s="734"/>
      <c r="AT528" s="734"/>
      <c r="AU528" s="734"/>
      <c r="AV528" s="734"/>
      <c r="AW528" s="734"/>
      <c r="AX528" s="734"/>
      <c r="AY528" s="734"/>
      <c r="AZ528" s="734"/>
      <c r="BA528" s="734"/>
      <c r="BB528" s="734"/>
      <c r="BC528" s="734"/>
      <c r="BD528" s="734"/>
      <c r="BE528" s="734"/>
      <c r="BF528" s="734"/>
      <c r="BG528" s="734"/>
      <c r="BH528" s="734"/>
      <c r="BI528" s="734"/>
      <c r="BJ528" s="734"/>
      <c r="BK528" s="734"/>
      <c r="BL528" s="734"/>
      <c r="BM528" s="734"/>
      <c r="BN528" s="734"/>
      <c r="BO528" s="734"/>
      <c r="BP528" s="734"/>
      <c r="BQ528" s="734"/>
      <c r="BR528" s="734"/>
      <c r="BS528" s="734"/>
      <c r="BT528" s="734"/>
      <c r="BU528" s="734"/>
      <c r="BV528" s="734"/>
      <c r="BW528" s="734"/>
      <c r="BX528" s="734"/>
      <c r="BY528" s="734"/>
      <c r="BZ528" s="734"/>
      <c r="CA528" s="734"/>
    </row>
    <row r="529" spans="1:79" hidden="1" outlineLevel="1" x14ac:dyDescent="0.35">
      <c r="A529" s="224"/>
      <c r="B529" s="224"/>
      <c r="C529" s="224"/>
      <c r="D529" s="224"/>
      <c r="E529" s="224"/>
      <c r="F529" s="673" t="s">
        <v>867</v>
      </c>
      <c r="G529" s="680">
        <f>SUM(G527:G528)</f>
        <v>0</v>
      </c>
      <c r="H529" s="680">
        <f t="shared" ref="H529:BO529" si="181">SUM(H527:H528)</f>
        <v>0</v>
      </c>
      <c r="I529" s="680">
        <f t="shared" si="181"/>
        <v>0</v>
      </c>
      <c r="J529" s="680">
        <f t="shared" si="181"/>
        <v>0</v>
      </c>
      <c r="K529" s="680">
        <f t="shared" si="181"/>
        <v>0</v>
      </c>
      <c r="L529" s="680">
        <f t="shared" si="181"/>
        <v>0</v>
      </c>
      <c r="M529" s="680">
        <f t="shared" si="181"/>
        <v>0</v>
      </c>
      <c r="N529" s="680">
        <f t="shared" si="181"/>
        <v>0</v>
      </c>
      <c r="O529" s="680">
        <f t="shared" si="181"/>
        <v>0</v>
      </c>
      <c r="P529" s="680">
        <f t="shared" si="181"/>
        <v>0</v>
      </c>
      <c r="Q529" s="680">
        <f t="shared" si="181"/>
        <v>0</v>
      </c>
      <c r="R529" s="680">
        <f t="shared" si="181"/>
        <v>0</v>
      </c>
      <c r="S529" s="680">
        <f t="shared" ref="S529:AA529" si="182">ROUND(SUM(S526:S528),5)</f>
        <v>0</v>
      </c>
      <c r="T529" s="680">
        <f t="shared" si="182"/>
        <v>0</v>
      </c>
      <c r="U529" s="680">
        <f t="shared" si="182"/>
        <v>0</v>
      </c>
      <c r="V529" s="680">
        <f t="shared" si="182"/>
        <v>0</v>
      </c>
      <c r="W529" s="680">
        <f t="shared" si="182"/>
        <v>0</v>
      </c>
      <c r="X529" s="680">
        <f t="shared" si="182"/>
        <v>0</v>
      </c>
      <c r="Y529" s="680">
        <f t="shared" si="182"/>
        <v>0</v>
      </c>
      <c r="Z529" s="680">
        <f t="shared" si="182"/>
        <v>0</v>
      </c>
      <c r="AA529" s="680">
        <f t="shared" si="182"/>
        <v>0</v>
      </c>
      <c r="AB529" s="680">
        <f>ROUND(SUM(AB526:AB528),5)</f>
        <v>0</v>
      </c>
      <c r="AC529" s="680">
        <f>ROUND(SUM(AC526:AC528),5)</f>
        <v>0</v>
      </c>
      <c r="AD529" s="680">
        <f>ROUND(SUM(AD526:AD528),5)</f>
        <v>0</v>
      </c>
      <c r="AE529" s="680">
        <f t="shared" si="181"/>
        <v>0</v>
      </c>
      <c r="AF529" s="680">
        <f t="shared" si="181"/>
        <v>0</v>
      </c>
      <c r="AG529" s="680">
        <f t="shared" si="181"/>
        <v>0</v>
      </c>
      <c r="AH529" s="680">
        <f t="shared" si="181"/>
        <v>0</v>
      </c>
      <c r="AI529" s="680">
        <f t="shared" si="181"/>
        <v>0</v>
      </c>
      <c r="AJ529" s="680">
        <f t="shared" si="181"/>
        <v>0</v>
      </c>
      <c r="AK529" s="680">
        <f t="shared" si="181"/>
        <v>0</v>
      </c>
      <c r="AL529" s="680">
        <f t="shared" si="181"/>
        <v>0</v>
      </c>
      <c r="AM529" s="680">
        <f t="shared" si="181"/>
        <v>0</v>
      </c>
      <c r="AN529" s="680">
        <f t="shared" si="181"/>
        <v>0</v>
      </c>
      <c r="AO529" s="680">
        <f t="shared" si="181"/>
        <v>0</v>
      </c>
      <c r="AP529" s="680">
        <f t="shared" si="181"/>
        <v>0</v>
      </c>
      <c r="AQ529" s="680">
        <f t="shared" si="181"/>
        <v>0</v>
      </c>
      <c r="AR529" s="680">
        <f t="shared" si="181"/>
        <v>0</v>
      </c>
      <c r="AS529" s="680">
        <f t="shared" si="181"/>
        <v>0</v>
      </c>
      <c r="AT529" s="680">
        <f t="shared" si="181"/>
        <v>0</v>
      </c>
      <c r="AU529" s="680">
        <f t="shared" si="181"/>
        <v>0</v>
      </c>
      <c r="AV529" s="680">
        <f t="shared" si="181"/>
        <v>0</v>
      </c>
      <c r="AW529" s="680">
        <f t="shared" si="181"/>
        <v>0</v>
      </c>
      <c r="AX529" s="680">
        <f t="shared" si="181"/>
        <v>0</v>
      </c>
      <c r="AY529" s="680">
        <f t="shared" si="181"/>
        <v>0</v>
      </c>
      <c r="AZ529" s="680">
        <f t="shared" si="181"/>
        <v>0</v>
      </c>
      <c r="BA529" s="680">
        <f t="shared" si="181"/>
        <v>0</v>
      </c>
      <c r="BB529" s="680">
        <f t="shared" si="181"/>
        <v>0</v>
      </c>
      <c r="BC529" s="680">
        <f t="shared" si="181"/>
        <v>0</v>
      </c>
      <c r="BD529" s="680">
        <f t="shared" si="181"/>
        <v>0</v>
      </c>
      <c r="BE529" s="680">
        <f t="shared" si="181"/>
        <v>0</v>
      </c>
      <c r="BF529" s="680">
        <f t="shared" si="181"/>
        <v>0</v>
      </c>
      <c r="BG529" s="680">
        <f t="shared" si="181"/>
        <v>0</v>
      </c>
      <c r="BH529" s="680">
        <f t="shared" si="181"/>
        <v>0</v>
      </c>
      <c r="BI529" s="680">
        <f t="shared" si="181"/>
        <v>0</v>
      </c>
      <c r="BJ529" s="680">
        <f t="shared" si="181"/>
        <v>0</v>
      </c>
      <c r="BK529" s="680">
        <f t="shared" si="181"/>
        <v>0</v>
      </c>
      <c r="BL529" s="680">
        <f t="shared" si="181"/>
        <v>0</v>
      </c>
      <c r="BM529" s="680">
        <f t="shared" si="181"/>
        <v>0</v>
      </c>
      <c r="BN529" s="680">
        <f t="shared" si="181"/>
        <v>0</v>
      </c>
      <c r="BO529" s="680">
        <f t="shared" si="181"/>
        <v>0</v>
      </c>
      <c r="BP529" s="680">
        <f t="shared" ref="BP529:CA529" si="183">SUM(BP527:BP528)</f>
        <v>0</v>
      </c>
      <c r="BQ529" s="680">
        <f t="shared" si="183"/>
        <v>0</v>
      </c>
      <c r="BR529" s="680">
        <f t="shared" si="183"/>
        <v>0</v>
      </c>
      <c r="BS529" s="680">
        <f t="shared" si="183"/>
        <v>0</v>
      </c>
      <c r="BT529" s="680">
        <f t="shared" si="183"/>
        <v>0</v>
      </c>
      <c r="BU529" s="680">
        <f t="shared" si="183"/>
        <v>0</v>
      </c>
      <c r="BV529" s="680">
        <f t="shared" si="183"/>
        <v>0</v>
      </c>
      <c r="BW529" s="680">
        <f t="shared" si="183"/>
        <v>0</v>
      </c>
      <c r="BX529" s="680">
        <f t="shared" si="183"/>
        <v>0</v>
      </c>
      <c r="BY529" s="680">
        <f t="shared" si="183"/>
        <v>0</v>
      </c>
      <c r="BZ529" s="680">
        <f t="shared" si="183"/>
        <v>0</v>
      </c>
      <c r="CA529" s="680">
        <f t="shared" si="183"/>
        <v>0</v>
      </c>
    </row>
    <row r="530" spans="1:79" hidden="1" outlineLevel="1" x14ac:dyDescent="0.35">
      <c r="A530" s="224"/>
      <c r="B530" s="224"/>
      <c r="C530" s="224"/>
      <c r="D530" s="224"/>
      <c r="E530" s="224"/>
      <c r="F530" s="671" t="s">
        <v>868</v>
      </c>
      <c r="G530" s="680"/>
      <c r="H530" s="680"/>
      <c r="I530" s="680"/>
      <c r="J530" s="680"/>
      <c r="K530" s="680"/>
      <c r="L530" s="680"/>
      <c r="M530" s="680"/>
      <c r="N530" s="680"/>
      <c r="O530" s="680"/>
      <c r="P530" s="680"/>
      <c r="Q530" s="680"/>
      <c r="R530" s="680"/>
      <c r="S530" s="679">
        <v>0</v>
      </c>
      <c r="T530" s="679">
        <v>0</v>
      </c>
      <c r="U530" s="679">
        <v>0</v>
      </c>
      <c r="V530" s="679">
        <v>0</v>
      </c>
      <c r="W530" s="679">
        <v>0</v>
      </c>
      <c r="X530" s="679">
        <v>0</v>
      </c>
      <c r="Y530" s="679">
        <v>0</v>
      </c>
      <c r="Z530" s="679">
        <v>0</v>
      </c>
      <c r="AA530" s="679">
        <v>0</v>
      </c>
      <c r="AB530" s="679">
        <v>0</v>
      </c>
      <c r="AC530" s="679">
        <v>0</v>
      </c>
      <c r="AD530" s="679">
        <v>0</v>
      </c>
      <c r="AE530" s="680"/>
      <c r="AF530" s="680"/>
      <c r="AG530" s="680"/>
      <c r="AH530" s="680"/>
      <c r="AI530" s="680"/>
      <c r="AJ530" s="680"/>
      <c r="AK530" s="680"/>
      <c r="AL530" s="680"/>
      <c r="AM530" s="680"/>
      <c r="AN530" s="680"/>
      <c r="AO530" s="680"/>
      <c r="AP530" s="680"/>
      <c r="AQ530" s="680"/>
      <c r="AR530" s="680"/>
      <c r="AS530" s="680"/>
      <c r="AT530" s="680"/>
      <c r="AU530" s="680"/>
      <c r="AV530" s="680"/>
      <c r="AW530" s="680"/>
      <c r="AX530" s="680"/>
      <c r="AY530" s="680"/>
      <c r="AZ530" s="680"/>
      <c r="BA530" s="680"/>
      <c r="BB530" s="680"/>
      <c r="BC530" s="680"/>
      <c r="BD530" s="680"/>
      <c r="BE530" s="680"/>
      <c r="BF530" s="680"/>
      <c r="BG530" s="680"/>
      <c r="BH530" s="680"/>
      <c r="BI530" s="680"/>
      <c r="BJ530" s="680"/>
      <c r="BK530" s="680"/>
      <c r="BL530" s="680"/>
      <c r="BM530" s="680"/>
      <c r="BN530" s="680"/>
      <c r="BO530" s="680"/>
      <c r="BP530" s="680"/>
      <c r="BQ530" s="680"/>
      <c r="BR530" s="680"/>
      <c r="BS530" s="680"/>
      <c r="BT530" s="680"/>
      <c r="BU530" s="680"/>
      <c r="BV530" s="680"/>
      <c r="BW530" s="680"/>
      <c r="BX530" s="680"/>
      <c r="BY530" s="680"/>
      <c r="BZ530" s="680"/>
      <c r="CA530" s="680"/>
    </row>
    <row r="531" spans="1:79" hidden="1" outlineLevel="1" x14ac:dyDescent="0.35">
      <c r="A531" s="224"/>
      <c r="B531" s="224"/>
      <c r="C531" s="224"/>
      <c r="D531" s="224"/>
      <c r="E531" s="224"/>
      <c r="F531" s="671" t="s">
        <v>869</v>
      </c>
      <c r="G531" s="680"/>
      <c r="H531" s="680"/>
      <c r="I531" s="680"/>
      <c r="J531" s="680"/>
      <c r="K531" s="680"/>
      <c r="L531" s="680"/>
      <c r="M531" s="680"/>
      <c r="N531" s="680"/>
      <c r="O531" s="680"/>
      <c r="P531" s="680"/>
      <c r="Q531" s="680"/>
      <c r="R531" s="680"/>
      <c r="S531" s="679">
        <v>0</v>
      </c>
      <c r="T531" s="679">
        <v>0</v>
      </c>
      <c r="U531" s="679">
        <v>0</v>
      </c>
      <c r="V531" s="679">
        <v>0</v>
      </c>
      <c r="W531" s="679">
        <v>0</v>
      </c>
      <c r="X531" s="679">
        <v>0</v>
      </c>
      <c r="Y531" s="679">
        <v>0</v>
      </c>
      <c r="Z531" s="679">
        <v>0</v>
      </c>
      <c r="AA531" s="679">
        <v>0</v>
      </c>
      <c r="AB531" s="679">
        <v>0</v>
      </c>
      <c r="AC531" s="679">
        <v>0</v>
      </c>
      <c r="AD531" s="679">
        <v>0</v>
      </c>
      <c r="AE531" s="680"/>
      <c r="AF531" s="680"/>
      <c r="AG531" s="680"/>
      <c r="AH531" s="680"/>
      <c r="AI531" s="680"/>
      <c r="AJ531" s="680"/>
      <c r="AK531" s="680"/>
      <c r="AL531" s="680"/>
      <c r="AM531" s="680"/>
      <c r="AN531" s="680"/>
      <c r="AO531" s="680"/>
      <c r="AP531" s="680"/>
      <c r="AQ531" s="680"/>
      <c r="AR531" s="680"/>
      <c r="AS531" s="680"/>
      <c r="AT531" s="680"/>
      <c r="AU531" s="680"/>
      <c r="AV531" s="680"/>
      <c r="AW531" s="680"/>
      <c r="AX531" s="680"/>
      <c r="AY531" s="680"/>
      <c r="AZ531" s="680"/>
      <c r="BA531" s="680"/>
      <c r="BB531" s="680"/>
      <c r="BC531" s="680"/>
      <c r="BD531" s="680"/>
      <c r="BE531" s="680"/>
      <c r="BF531" s="680"/>
      <c r="BG531" s="680"/>
      <c r="BH531" s="680"/>
      <c r="BI531" s="680"/>
      <c r="BJ531" s="680"/>
      <c r="BK531" s="680"/>
      <c r="BL531" s="680"/>
      <c r="BM531" s="680"/>
      <c r="BN531" s="680"/>
      <c r="BO531" s="680"/>
      <c r="BP531" s="680"/>
      <c r="BQ531" s="680"/>
      <c r="BR531" s="680"/>
      <c r="BS531" s="680"/>
      <c r="BT531" s="680"/>
      <c r="BU531" s="680"/>
      <c r="BV531" s="680"/>
      <c r="BW531" s="680"/>
      <c r="BX531" s="680"/>
      <c r="BY531" s="680"/>
      <c r="BZ531" s="680"/>
      <c r="CA531" s="680"/>
    </row>
    <row r="532" spans="1:79" s="709" customFormat="1" hidden="1" outlineLevel="1" x14ac:dyDescent="0.35">
      <c r="F532" s="707" t="s">
        <v>870</v>
      </c>
      <c r="G532" s="763"/>
      <c r="H532" s="763"/>
      <c r="I532" s="763"/>
      <c r="J532" s="763"/>
      <c r="K532" s="763"/>
      <c r="L532" s="763"/>
      <c r="M532" s="763"/>
      <c r="N532" s="763"/>
      <c r="O532" s="763"/>
      <c r="P532" s="763"/>
      <c r="Q532" s="763"/>
      <c r="R532" s="763"/>
      <c r="S532" s="708"/>
      <c r="T532" s="708"/>
      <c r="U532" s="708"/>
      <c r="V532" s="708"/>
      <c r="W532" s="708"/>
      <c r="X532" s="708"/>
      <c r="Y532" s="708"/>
      <c r="Z532" s="708"/>
      <c r="AA532" s="708"/>
      <c r="AB532" s="708"/>
      <c r="AC532" s="708"/>
      <c r="AD532" s="708"/>
      <c r="AE532" s="763"/>
      <c r="AF532" s="763"/>
      <c r="AG532" s="763"/>
      <c r="AH532" s="763"/>
      <c r="AI532" s="763"/>
      <c r="AJ532" s="763"/>
      <c r="AK532" s="763"/>
      <c r="AL532" s="763"/>
      <c r="AM532" s="763"/>
      <c r="AN532" s="763"/>
      <c r="AO532" s="763"/>
      <c r="AP532" s="763"/>
      <c r="AQ532" s="763"/>
      <c r="AR532" s="763"/>
      <c r="AS532" s="763"/>
      <c r="AT532" s="763"/>
      <c r="AU532" s="763"/>
      <c r="AV532" s="763"/>
      <c r="AW532" s="763"/>
      <c r="AX532" s="763"/>
      <c r="AY532" s="763"/>
      <c r="AZ532" s="763"/>
      <c r="BA532" s="763"/>
      <c r="BB532" s="763"/>
      <c r="BC532" s="763"/>
      <c r="BD532" s="763"/>
      <c r="BE532" s="763"/>
      <c r="BF532" s="763"/>
      <c r="BG532" s="763"/>
      <c r="BH532" s="763"/>
      <c r="BI532" s="763"/>
      <c r="BJ532" s="763"/>
      <c r="BK532" s="763"/>
      <c r="BL532" s="763"/>
      <c r="BM532" s="763"/>
      <c r="BN532" s="763"/>
      <c r="BO532" s="763"/>
      <c r="BP532" s="763"/>
      <c r="BQ532" s="763"/>
      <c r="BR532" s="763"/>
      <c r="BS532" s="763"/>
      <c r="BT532" s="763"/>
      <c r="BU532" s="763"/>
      <c r="BV532" s="763"/>
      <c r="BW532" s="763"/>
      <c r="BX532" s="763"/>
      <c r="BY532" s="763"/>
      <c r="BZ532" s="763"/>
      <c r="CA532" s="763"/>
    </row>
    <row r="533" spans="1:79" hidden="1" outlineLevel="1" x14ac:dyDescent="0.35">
      <c r="A533" s="224"/>
      <c r="B533" s="224"/>
      <c r="C533" s="224"/>
      <c r="D533" s="224"/>
      <c r="E533" s="224"/>
      <c r="F533" s="672" t="s">
        <v>871</v>
      </c>
      <c r="G533" s="680"/>
      <c r="H533" s="680"/>
      <c r="I533" s="680"/>
      <c r="J533" s="680"/>
      <c r="K533" s="680"/>
      <c r="L533" s="680"/>
      <c r="M533" s="680"/>
      <c r="N533" s="680"/>
      <c r="O533" s="680"/>
      <c r="P533" s="680"/>
      <c r="Q533" s="680"/>
      <c r="R533" s="680"/>
      <c r="S533" s="679">
        <v>0</v>
      </c>
      <c r="T533" s="679">
        <v>0</v>
      </c>
      <c r="U533" s="679">
        <v>0</v>
      </c>
      <c r="V533" s="679">
        <v>0</v>
      </c>
      <c r="W533" s="679">
        <v>0</v>
      </c>
      <c r="X533" s="679">
        <v>0</v>
      </c>
      <c r="Y533" s="679">
        <v>0</v>
      </c>
      <c r="Z533" s="679">
        <v>0</v>
      </c>
      <c r="AA533" s="679">
        <v>0</v>
      </c>
      <c r="AB533" s="679">
        <v>0</v>
      </c>
      <c r="AC533" s="679">
        <v>0</v>
      </c>
      <c r="AD533" s="679">
        <v>0</v>
      </c>
      <c r="AE533" s="680"/>
      <c r="AF533" s="680"/>
      <c r="AG533" s="680"/>
      <c r="AH533" s="680"/>
      <c r="AI533" s="680"/>
      <c r="AJ533" s="680"/>
      <c r="AK533" s="680"/>
      <c r="AL533" s="680"/>
      <c r="AM533" s="680"/>
      <c r="AN533" s="680"/>
      <c r="AO533" s="680"/>
      <c r="AP533" s="680"/>
      <c r="AQ533" s="680"/>
      <c r="AR533" s="680"/>
      <c r="AS533" s="680"/>
      <c r="AT533" s="680"/>
      <c r="AU533" s="680"/>
      <c r="AV533" s="680"/>
      <c r="AW533" s="680"/>
      <c r="AX533" s="680"/>
      <c r="AY533" s="680"/>
      <c r="AZ533" s="680"/>
      <c r="BA533" s="680"/>
      <c r="BB533" s="680"/>
      <c r="BC533" s="680"/>
      <c r="BD533" s="680"/>
      <c r="BE533" s="680"/>
      <c r="BF533" s="680"/>
      <c r="BG533" s="680"/>
      <c r="BH533" s="680"/>
      <c r="BI533" s="680"/>
      <c r="BJ533" s="680"/>
      <c r="BK533" s="680"/>
      <c r="BL533" s="680"/>
      <c r="BM533" s="680"/>
      <c r="BN533" s="680"/>
      <c r="BO533" s="680"/>
      <c r="BP533" s="680"/>
      <c r="BQ533" s="680"/>
      <c r="BR533" s="680"/>
      <c r="BS533" s="680"/>
      <c r="BT533" s="680"/>
      <c r="BU533" s="680"/>
      <c r="BV533" s="680"/>
      <c r="BW533" s="680"/>
      <c r="BX533" s="680"/>
      <c r="BY533" s="680"/>
      <c r="BZ533" s="680"/>
      <c r="CA533" s="680"/>
    </row>
    <row r="534" spans="1:79" hidden="1" outlineLevel="1" x14ac:dyDescent="0.35">
      <c r="A534" s="224"/>
      <c r="B534" s="224"/>
      <c r="C534" s="224"/>
      <c r="D534" s="224"/>
      <c r="E534" s="224"/>
      <c r="F534" s="672" t="s">
        <v>872</v>
      </c>
      <c r="G534" s="680"/>
      <c r="H534" s="680"/>
      <c r="I534" s="680"/>
      <c r="J534" s="680"/>
      <c r="K534" s="680"/>
      <c r="L534" s="680"/>
      <c r="M534" s="680"/>
      <c r="N534" s="680"/>
      <c r="O534" s="680"/>
      <c r="P534" s="680"/>
      <c r="Q534" s="680"/>
      <c r="R534" s="680"/>
      <c r="S534" s="679">
        <v>0</v>
      </c>
      <c r="T534" s="679">
        <v>0</v>
      </c>
      <c r="U534" s="679">
        <v>0</v>
      </c>
      <c r="V534" s="679">
        <v>0</v>
      </c>
      <c r="W534" s="679">
        <v>0</v>
      </c>
      <c r="X534" s="679">
        <v>0</v>
      </c>
      <c r="Y534" s="679">
        <v>0</v>
      </c>
      <c r="Z534" s="679">
        <v>0</v>
      </c>
      <c r="AA534" s="679">
        <v>0</v>
      </c>
      <c r="AB534" s="679">
        <v>0</v>
      </c>
      <c r="AC534" s="679">
        <v>0</v>
      </c>
      <c r="AD534" s="679">
        <v>0</v>
      </c>
      <c r="AE534" s="680"/>
      <c r="AF534" s="680"/>
      <c r="AG534" s="680"/>
      <c r="AH534" s="680"/>
      <c r="AI534" s="680"/>
      <c r="AJ534" s="680"/>
      <c r="AK534" s="680"/>
      <c r="AL534" s="680"/>
      <c r="AM534" s="680"/>
      <c r="AN534" s="680"/>
      <c r="AO534" s="680"/>
      <c r="AP534" s="680"/>
      <c r="AQ534" s="680"/>
      <c r="AR534" s="680"/>
      <c r="AS534" s="680"/>
      <c r="AT534" s="680"/>
      <c r="AU534" s="680"/>
      <c r="AV534" s="680"/>
      <c r="AW534" s="680"/>
      <c r="AX534" s="680"/>
      <c r="AY534" s="680"/>
      <c r="AZ534" s="680"/>
      <c r="BA534" s="680"/>
      <c r="BB534" s="680"/>
      <c r="BC534" s="680"/>
      <c r="BD534" s="680"/>
      <c r="BE534" s="680"/>
      <c r="BF534" s="680"/>
      <c r="BG534" s="680"/>
      <c r="BH534" s="680"/>
      <c r="BI534" s="680"/>
      <c r="BJ534" s="680"/>
      <c r="BK534" s="680"/>
      <c r="BL534" s="680"/>
      <c r="BM534" s="680"/>
      <c r="BN534" s="680"/>
      <c r="BO534" s="680"/>
      <c r="BP534" s="680"/>
      <c r="BQ534" s="680"/>
      <c r="BR534" s="680"/>
      <c r="BS534" s="680"/>
      <c r="BT534" s="680"/>
      <c r="BU534" s="680"/>
      <c r="BV534" s="680"/>
      <c r="BW534" s="680"/>
      <c r="BX534" s="680"/>
      <c r="BY534" s="680"/>
      <c r="BZ534" s="680"/>
      <c r="CA534" s="680"/>
    </row>
    <row r="535" spans="1:79" hidden="1" outlineLevel="1" x14ac:dyDescent="0.35">
      <c r="A535" s="224"/>
      <c r="B535" s="224"/>
      <c r="C535" s="224"/>
      <c r="D535" s="224"/>
      <c r="E535" s="224"/>
      <c r="F535" s="673" t="s">
        <v>873</v>
      </c>
      <c r="G535" s="680">
        <f>SUM(G533:G534)</f>
        <v>0</v>
      </c>
      <c r="H535" s="680">
        <f t="shared" ref="H535:BO535" si="184">SUM(H533:H534)</f>
        <v>0</v>
      </c>
      <c r="I535" s="680">
        <f t="shared" si="184"/>
        <v>0</v>
      </c>
      <c r="J535" s="680">
        <f t="shared" si="184"/>
        <v>0</v>
      </c>
      <c r="K535" s="680">
        <f t="shared" si="184"/>
        <v>0</v>
      </c>
      <c r="L535" s="680">
        <f t="shared" si="184"/>
        <v>0</v>
      </c>
      <c r="M535" s="680">
        <f t="shared" si="184"/>
        <v>0</v>
      </c>
      <c r="N535" s="680">
        <f t="shared" si="184"/>
        <v>0</v>
      </c>
      <c r="O535" s="680">
        <f t="shared" si="184"/>
        <v>0</v>
      </c>
      <c r="P535" s="680">
        <f t="shared" si="184"/>
        <v>0</v>
      </c>
      <c r="Q535" s="680">
        <f t="shared" si="184"/>
        <v>0</v>
      </c>
      <c r="R535" s="680">
        <f t="shared" si="184"/>
        <v>0</v>
      </c>
      <c r="S535" s="680">
        <f t="shared" ref="S535:AA535" si="185">ROUND(SUM(S532:S534),5)</f>
        <v>0</v>
      </c>
      <c r="T535" s="680">
        <f t="shared" si="185"/>
        <v>0</v>
      </c>
      <c r="U535" s="680">
        <f t="shared" si="185"/>
        <v>0</v>
      </c>
      <c r="V535" s="680">
        <f t="shared" si="185"/>
        <v>0</v>
      </c>
      <c r="W535" s="680">
        <f t="shared" si="185"/>
        <v>0</v>
      </c>
      <c r="X535" s="680">
        <f t="shared" si="185"/>
        <v>0</v>
      </c>
      <c r="Y535" s="680">
        <f t="shared" si="185"/>
        <v>0</v>
      </c>
      <c r="Z535" s="680">
        <f t="shared" si="185"/>
        <v>0</v>
      </c>
      <c r="AA535" s="680">
        <f t="shared" si="185"/>
        <v>0</v>
      </c>
      <c r="AB535" s="680">
        <f>ROUND(SUM(AB532:AB534),5)</f>
        <v>0</v>
      </c>
      <c r="AC535" s="680">
        <f>ROUND(SUM(AC532:AC534),5)</f>
        <v>0</v>
      </c>
      <c r="AD535" s="680">
        <f>ROUND(SUM(AD532:AD534),5)</f>
        <v>0</v>
      </c>
      <c r="AE535" s="680">
        <f t="shared" si="184"/>
        <v>0</v>
      </c>
      <c r="AF535" s="680">
        <f t="shared" si="184"/>
        <v>0</v>
      </c>
      <c r="AG535" s="680">
        <f t="shared" si="184"/>
        <v>0</v>
      </c>
      <c r="AH535" s="680">
        <f t="shared" si="184"/>
        <v>0</v>
      </c>
      <c r="AI535" s="680">
        <f t="shared" si="184"/>
        <v>0</v>
      </c>
      <c r="AJ535" s="680">
        <f t="shared" si="184"/>
        <v>0</v>
      </c>
      <c r="AK535" s="680">
        <f t="shared" si="184"/>
        <v>0</v>
      </c>
      <c r="AL535" s="680">
        <f t="shared" si="184"/>
        <v>0</v>
      </c>
      <c r="AM535" s="680">
        <f t="shared" si="184"/>
        <v>0</v>
      </c>
      <c r="AN535" s="680">
        <f t="shared" si="184"/>
        <v>0</v>
      </c>
      <c r="AO535" s="680">
        <f t="shared" si="184"/>
        <v>0</v>
      </c>
      <c r="AP535" s="680">
        <f t="shared" si="184"/>
        <v>0</v>
      </c>
      <c r="AQ535" s="680">
        <f t="shared" si="184"/>
        <v>0</v>
      </c>
      <c r="AR535" s="680">
        <f t="shared" si="184"/>
        <v>0</v>
      </c>
      <c r="AS535" s="680">
        <f t="shared" si="184"/>
        <v>0</v>
      </c>
      <c r="AT535" s="680">
        <f t="shared" si="184"/>
        <v>0</v>
      </c>
      <c r="AU535" s="680">
        <f t="shared" si="184"/>
        <v>0</v>
      </c>
      <c r="AV535" s="680">
        <f t="shared" si="184"/>
        <v>0</v>
      </c>
      <c r="AW535" s="680">
        <f t="shared" si="184"/>
        <v>0</v>
      </c>
      <c r="AX535" s="680">
        <f t="shared" si="184"/>
        <v>0</v>
      </c>
      <c r="AY535" s="680">
        <f t="shared" si="184"/>
        <v>0</v>
      </c>
      <c r="AZ535" s="680">
        <f t="shared" si="184"/>
        <v>0</v>
      </c>
      <c r="BA535" s="680">
        <f t="shared" si="184"/>
        <v>0</v>
      </c>
      <c r="BB535" s="680">
        <f t="shared" si="184"/>
        <v>0</v>
      </c>
      <c r="BC535" s="680">
        <f t="shared" si="184"/>
        <v>0</v>
      </c>
      <c r="BD535" s="680">
        <f t="shared" si="184"/>
        <v>0</v>
      </c>
      <c r="BE535" s="680">
        <f t="shared" si="184"/>
        <v>0</v>
      </c>
      <c r="BF535" s="680">
        <f t="shared" si="184"/>
        <v>0</v>
      </c>
      <c r="BG535" s="680">
        <f t="shared" si="184"/>
        <v>0</v>
      </c>
      <c r="BH535" s="680">
        <f t="shared" si="184"/>
        <v>0</v>
      </c>
      <c r="BI535" s="680">
        <f t="shared" si="184"/>
        <v>0</v>
      </c>
      <c r="BJ535" s="680">
        <f t="shared" si="184"/>
        <v>0</v>
      </c>
      <c r="BK535" s="680">
        <f t="shared" si="184"/>
        <v>0</v>
      </c>
      <c r="BL535" s="680">
        <f t="shared" si="184"/>
        <v>0</v>
      </c>
      <c r="BM535" s="680">
        <f t="shared" si="184"/>
        <v>0</v>
      </c>
      <c r="BN535" s="680">
        <f t="shared" si="184"/>
        <v>0</v>
      </c>
      <c r="BO535" s="680">
        <f t="shared" si="184"/>
        <v>0</v>
      </c>
      <c r="BP535" s="680">
        <f t="shared" ref="BP535:CA535" si="186">SUM(BP533:BP534)</f>
        <v>0</v>
      </c>
      <c r="BQ535" s="680">
        <f t="shared" si="186"/>
        <v>0</v>
      </c>
      <c r="BR535" s="680">
        <f t="shared" si="186"/>
        <v>0</v>
      </c>
      <c r="BS535" s="680">
        <f t="shared" si="186"/>
        <v>0</v>
      </c>
      <c r="BT535" s="680">
        <f t="shared" si="186"/>
        <v>0</v>
      </c>
      <c r="BU535" s="680">
        <f t="shared" si="186"/>
        <v>0</v>
      </c>
      <c r="BV535" s="680">
        <f t="shared" si="186"/>
        <v>0</v>
      </c>
      <c r="BW535" s="680">
        <f t="shared" si="186"/>
        <v>0</v>
      </c>
      <c r="BX535" s="680">
        <f t="shared" si="186"/>
        <v>0</v>
      </c>
      <c r="BY535" s="680">
        <f t="shared" si="186"/>
        <v>0</v>
      </c>
      <c r="BZ535" s="680">
        <f t="shared" si="186"/>
        <v>0</v>
      </c>
      <c r="CA535" s="680">
        <f t="shared" si="186"/>
        <v>0</v>
      </c>
    </row>
    <row r="536" spans="1:79" s="709" customFormat="1" hidden="1" outlineLevel="1" x14ac:dyDescent="0.35">
      <c r="F536" s="710" t="s">
        <v>650</v>
      </c>
      <c r="G536" s="763"/>
      <c r="H536" s="763"/>
      <c r="I536" s="763"/>
      <c r="J536" s="763"/>
      <c r="K536" s="763"/>
      <c r="L536" s="763"/>
      <c r="M536" s="763"/>
      <c r="N536" s="763"/>
      <c r="O536" s="763"/>
      <c r="P536" s="763"/>
      <c r="Q536" s="763"/>
      <c r="R536" s="763"/>
      <c r="S536" s="708"/>
      <c r="T536" s="708"/>
      <c r="U536" s="708"/>
      <c r="V536" s="708"/>
      <c r="W536" s="708"/>
      <c r="X536" s="708"/>
      <c r="Y536" s="708"/>
      <c r="Z536" s="708"/>
      <c r="AA536" s="708"/>
      <c r="AB536" s="708"/>
      <c r="AC536" s="708"/>
      <c r="AD536" s="708"/>
      <c r="AE536" s="763"/>
      <c r="AF536" s="763"/>
      <c r="AG536" s="763"/>
      <c r="AH536" s="763"/>
      <c r="AI536" s="763"/>
      <c r="AJ536" s="763"/>
      <c r="AK536" s="763"/>
      <c r="AL536" s="763"/>
      <c r="AM536" s="763"/>
      <c r="AN536" s="763"/>
      <c r="AO536" s="763"/>
      <c r="AP536" s="763"/>
      <c r="AQ536" s="763"/>
      <c r="AR536" s="763"/>
      <c r="AS536" s="763"/>
      <c r="AT536" s="763"/>
      <c r="AU536" s="763"/>
      <c r="AV536" s="763"/>
      <c r="AW536" s="763"/>
      <c r="AX536" s="763"/>
      <c r="AY536" s="763"/>
      <c r="AZ536" s="763"/>
      <c r="BA536" s="763"/>
      <c r="BB536" s="763"/>
      <c r="BC536" s="763"/>
      <c r="BD536" s="763"/>
      <c r="BE536" s="763"/>
      <c r="BF536" s="763"/>
      <c r="BG536" s="763"/>
      <c r="BH536" s="763"/>
      <c r="BI536" s="763"/>
      <c r="BJ536" s="763"/>
      <c r="BK536" s="763"/>
      <c r="BL536" s="763"/>
      <c r="BM536" s="763"/>
      <c r="BN536" s="763"/>
      <c r="BO536" s="763"/>
      <c r="BP536" s="763"/>
      <c r="BQ536" s="763"/>
      <c r="BR536" s="763"/>
      <c r="BS536" s="763"/>
      <c r="BT536" s="763"/>
      <c r="BU536" s="763"/>
      <c r="BV536" s="763"/>
      <c r="BW536" s="763"/>
      <c r="BX536" s="763"/>
      <c r="BY536" s="763"/>
      <c r="BZ536" s="763"/>
      <c r="CA536" s="763"/>
    </row>
    <row r="537" spans="1:79" hidden="1" outlineLevel="1" x14ac:dyDescent="0.35">
      <c r="A537" s="224"/>
      <c r="B537" s="224"/>
      <c r="C537" s="224"/>
      <c r="D537" s="224"/>
      <c r="E537" s="224"/>
      <c r="F537" s="672" t="s">
        <v>874</v>
      </c>
      <c r="G537" s="680"/>
      <c r="H537" s="680"/>
      <c r="I537" s="680"/>
      <c r="J537" s="680"/>
      <c r="K537" s="680"/>
      <c r="L537" s="680"/>
      <c r="M537" s="680"/>
      <c r="N537" s="680"/>
      <c r="O537" s="680"/>
      <c r="P537" s="680"/>
      <c r="Q537" s="680"/>
      <c r="R537" s="680"/>
      <c r="S537" s="679">
        <v>0</v>
      </c>
      <c r="T537" s="679">
        <v>0</v>
      </c>
      <c r="U537" s="679">
        <v>0</v>
      </c>
      <c r="V537" s="679">
        <v>0</v>
      </c>
      <c r="W537" s="679">
        <v>0</v>
      </c>
      <c r="X537" s="679">
        <v>0</v>
      </c>
      <c r="Y537" s="679">
        <v>0</v>
      </c>
      <c r="Z537" s="679">
        <v>0</v>
      </c>
      <c r="AA537" s="679">
        <v>0</v>
      </c>
      <c r="AB537" s="679">
        <v>0</v>
      </c>
      <c r="AC537" s="679">
        <v>0</v>
      </c>
      <c r="AD537" s="679">
        <v>0</v>
      </c>
      <c r="AE537" s="680"/>
      <c r="AF537" s="680"/>
      <c r="AG537" s="680"/>
      <c r="AH537" s="680"/>
      <c r="AI537" s="680"/>
      <c r="AJ537" s="680"/>
      <c r="AK537" s="680"/>
      <c r="AL537" s="680"/>
      <c r="AM537" s="680"/>
      <c r="AN537" s="680"/>
      <c r="AO537" s="680"/>
      <c r="AP537" s="680"/>
      <c r="AQ537" s="680"/>
      <c r="AR537" s="680"/>
      <c r="AS537" s="680"/>
      <c r="AT537" s="680"/>
      <c r="AU537" s="680"/>
      <c r="AV537" s="680"/>
      <c r="AW537" s="680"/>
      <c r="AX537" s="680"/>
      <c r="AY537" s="680"/>
      <c r="AZ537" s="680"/>
      <c r="BA537" s="680"/>
      <c r="BB537" s="680"/>
      <c r="BC537" s="680"/>
      <c r="BD537" s="680"/>
      <c r="BE537" s="680"/>
      <c r="BF537" s="680"/>
      <c r="BG537" s="680"/>
      <c r="BH537" s="680"/>
      <c r="BI537" s="680"/>
      <c r="BJ537" s="680"/>
      <c r="BK537" s="680"/>
      <c r="BL537" s="680"/>
      <c r="BM537" s="680"/>
      <c r="BN537" s="680"/>
      <c r="BO537" s="680"/>
      <c r="BP537" s="680"/>
      <c r="BQ537" s="680"/>
      <c r="BR537" s="680"/>
      <c r="BS537" s="680"/>
      <c r="BT537" s="680"/>
      <c r="BU537" s="680"/>
      <c r="BV537" s="680"/>
      <c r="BW537" s="680"/>
      <c r="BX537" s="680"/>
      <c r="BY537" s="680"/>
      <c r="BZ537" s="680"/>
      <c r="CA537" s="680"/>
    </row>
    <row r="538" spans="1:79" hidden="1" outlineLevel="1" x14ac:dyDescent="0.35">
      <c r="F538" s="672" t="s">
        <v>875</v>
      </c>
      <c r="G538" s="735"/>
      <c r="H538" s="735"/>
      <c r="I538" s="735"/>
      <c r="J538" s="735"/>
      <c r="K538" s="735"/>
      <c r="L538" s="735"/>
      <c r="M538" s="735"/>
      <c r="N538" s="735"/>
      <c r="O538" s="735"/>
      <c r="P538" s="732"/>
      <c r="Q538" s="732"/>
      <c r="R538" s="732"/>
      <c r="S538" s="679">
        <v>2704.36</v>
      </c>
      <c r="T538" s="679">
        <v>3</v>
      </c>
      <c r="U538" s="679">
        <v>48</v>
      </c>
      <c r="V538" s="679">
        <v>48</v>
      </c>
      <c r="W538" s="679">
        <v>31.4</v>
      </c>
      <c r="X538" s="679">
        <v>3</v>
      </c>
      <c r="Y538" s="679">
        <v>63</v>
      </c>
      <c r="Z538" s="679">
        <v>32.950000000000003</v>
      </c>
      <c r="AA538" s="679">
        <v>32.950000000000003</v>
      </c>
      <c r="AB538" s="679">
        <v>32.950000000000003</v>
      </c>
      <c r="AC538" s="679">
        <v>5417.44</v>
      </c>
      <c r="AD538" s="679">
        <v>72.95</v>
      </c>
      <c r="AE538" s="732"/>
      <c r="AF538" s="732"/>
      <c r="AG538" s="732"/>
      <c r="AH538" s="732"/>
      <c r="AI538" s="732"/>
      <c r="AJ538" s="732"/>
      <c r="AK538" s="732"/>
      <c r="AL538" s="732"/>
      <c r="AM538" s="732"/>
      <c r="AN538" s="732"/>
      <c r="AO538" s="732"/>
      <c r="AP538" s="732"/>
      <c r="AQ538" s="732"/>
      <c r="AR538" s="732"/>
      <c r="AS538" s="732"/>
      <c r="AT538" s="732"/>
      <c r="AU538" s="732"/>
      <c r="AV538" s="732"/>
      <c r="AW538" s="732"/>
      <c r="AX538" s="732"/>
      <c r="AY538" s="732"/>
      <c r="AZ538" s="732"/>
      <c r="BA538" s="732"/>
      <c r="BB538" s="732"/>
      <c r="BC538" s="732"/>
      <c r="BD538" s="732"/>
      <c r="BE538" s="732"/>
      <c r="BF538" s="732"/>
      <c r="BG538" s="732"/>
      <c r="BH538" s="732"/>
      <c r="BI538" s="732"/>
      <c r="BJ538" s="732"/>
      <c r="BK538" s="732"/>
      <c r="BL538" s="732"/>
      <c r="BM538" s="732"/>
      <c r="BN538" s="732"/>
      <c r="BO538" s="732"/>
      <c r="BP538" s="732"/>
      <c r="BQ538" s="732"/>
      <c r="BR538" s="732"/>
      <c r="BS538" s="732"/>
      <c r="BT538" s="732"/>
      <c r="BU538" s="732"/>
      <c r="BV538" s="732"/>
      <c r="BW538" s="732"/>
      <c r="BX538" s="732"/>
      <c r="BY538" s="732"/>
      <c r="BZ538" s="732"/>
      <c r="CA538" s="732"/>
    </row>
    <row r="539" spans="1:79" hidden="1" outlineLevel="1" x14ac:dyDescent="0.35">
      <c r="A539" s="574"/>
      <c r="B539" s="574"/>
      <c r="C539" s="574"/>
      <c r="D539" s="574"/>
      <c r="E539" s="574"/>
      <c r="F539" s="673" t="s">
        <v>876</v>
      </c>
      <c r="G539" s="680">
        <f>SUM(G537:G538)</f>
        <v>0</v>
      </c>
      <c r="H539" s="680">
        <f t="shared" ref="H539:BO539" si="187">SUM(H537:H538)</f>
        <v>0</v>
      </c>
      <c r="I539" s="680">
        <f t="shared" si="187"/>
        <v>0</v>
      </c>
      <c r="J539" s="680">
        <f t="shared" si="187"/>
        <v>0</v>
      </c>
      <c r="K539" s="680">
        <f t="shared" si="187"/>
        <v>0</v>
      </c>
      <c r="L539" s="680">
        <f t="shared" si="187"/>
        <v>0</v>
      </c>
      <c r="M539" s="680">
        <f t="shared" si="187"/>
        <v>0</v>
      </c>
      <c r="N539" s="680">
        <f t="shared" si="187"/>
        <v>0</v>
      </c>
      <c r="O539" s="680">
        <f t="shared" si="187"/>
        <v>0</v>
      </c>
      <c r="P539" s="680">
        <f t="shared" si="187"/>
        <v>0</v>
      </c>
      <c r="Q539" s="680">
        <f t="shared" si="187"/>
        <v>0</v>
      </c>
      <c r="R539" s="680">
        <f t="shared" si="187"/>
        <v>0</v>
      </c>
      <c r="S539" s="680">
        <f t="shared" ref="S539:AA539" si="188">ROUND(SUM(S536:S538),5)</f>
        <v>2704.36</v>
      </c>
      <c r="T539" s="680">
        <f t="shared" si="188"/>
        <v>3</v>
      </c>
      <c r="U539" s="680">
        <f t="shared" si="188"/>
        <v>48</v>
      </c>
      <c r="V539" s="680">
        <f t="shared" si="188"/>
        <v>48</v>
      </c>
      <c r="W539" s="680">
        <f t="shared" si="188"/>
        <v>31.4</v>
      </c>
      <c r="X539" s="680">
        <f t="shared" si="188"/>
        <v>3</v>
      </c>
      <c r="Y539" s="680">
        <f t="shared" si="188"/>
        <v>63</v>
      </c>
      <c r="Z539" s="680">
        <f t="shared" si="188"/>
        <v>32.950000000000003</v>
      </c>
      <c r="AA539" s="680">
        <f t="shared" si="188"/>
        <v>32.950000000000003</v>
      </c>
      <c r="AB539" s="680">
        <f>ROUND(SUM(AB536:AB538),5)</f>
        <v>32.950000000000003</v>
      </c>
      <c r="AC539" s="680">
        <f>ROUND(SUM(AC536:AC538),5)</f>
        <v>5417.44</v>
      </c>
      <c r="AD539" s="680">
        <f>ROUND(SUM(AD536:AD538),5)</f>
        <v>72.95</v>
      </c>
      <c r="AE539" s="680">
        <f t="shared" si="187"/>
        <v>0</v>
      </c>
      <c r="AF539" s="680">
        <f t="shared" si="187"/>
        <v>0</v>
      </c>
      <c r="AG539" s="680">
        <f t="shared" si="187"/>
        <v>0</v>
      </c>
      <c r="AH539" s="680">
        <f t="shared" si="187"/>
        <v>0</v>
      </c>
      <c r="AI539" s="680">
        <f t="shared" si="187"/>
        <v>0</v>
      </c>
      <c r="AJ539" s="680">
        <f t="shared" si="187"/>
        <v>0</v>
      </c>
      <c r="AK539" s="680">
        <f t="shared" si="187"/>
        <v>0</v>
      </c>
      <c r="AL539" s="680">
        <f t="shared" si="187"/>
        <v>0</v>
      </c>
      <c r="AM539" s="680">
        <f t="shared" si="187"/>
        <v>0</v>
      </c>
      <c r="AN539" s="680">
        <f t="shared" si="187"/>
        <v>0</v>
      </c>
      <c r="AO539" s="680">
        <f t="shared" si="187"/>
        <v>0</v>
      </c>
      <c r="AP539" s="680">
        <f t="shared" si="187"/>
        <v>0</v>
      </c>
      <c r="AQ539" s="680">
        <f t="shared" si="187"/>
        <v>0</v>
      </c>
      <c r="AR539" s="680">
        <f t="shared" si="187"/>
        <v>0</v>
      </c>
      <c r="AS539" s="680">
        <f t="shared" si="187"/>
        <v>0</v>
      </c>
      <c r="AT539" s="680">
        <f t="shared" si="187"/>
        <v>0</v>
      </c>
      <c r="AU539" s="680">
        <f t="shared" si="187"/>
        <v>0</v>
      </c>
      <c r="AV539" s="680">
        <f t="shared" si="187"/>
        <v>0</v>
      </c>
      <c r="AW539" s="680">
        <f t="shared" si="187"/>
        <v>0</v>
      </c>
      <c r="AX539" s="680">
        <f t="shared" si="187"/>
        <v>0</v>
      </c>
      <c r="AY539" s="680">
        <f t="shared" si="187"/>
        <v>0</v>
      </c>
      <c r="AZ539" s="680">
        <f t="shared" si="187"/>
        <v>0</v>
      </c>
      <c r="BA539" s="680">
        <f t="shared" si="187"/>
        <v>0</v>
      </c>
      <c r="BB539" s="680">
        <f t="shared" si="187"/>
        <v>0</v>
      </c>
      <c r="BC539" s="680">
        <f t="shared" si="187"/>
        <v>0</v>
      </c>
      <c r="BD539" s="680">
        <f t="shared" si="187"/>
        <v>0</v>
      </c>
      <c r="BE539" s="680">
        <f t="shared" si="187"/>
        <v>0</v>
      </c>
      <c r="BF539" s="680">
        <f t="shared" si="187"/>
        <v>0</v>
      </c>
      <c r="BG539" s="680">
        <f t="shared" si="187"/>
        <v>0</v>
      </c>
      <c r="BH539" s="680">
        <f t="shared" si="187"/>
        <v>0</v>
      </c>
      <c r="BI539" s="680">
        <f t="shared" si="187"/>
        <v>0</v>
      </c>
      <c r="BJ539" s="680">
        <f t="shared" si="187"/>
        <v>0</v>
      </c>
      <c r="BK539" s="680">
        <f t="shared" si="187"/>
        <v>0</v>
      </c>
      <c r="BL539" s="680">
        <f t="shared" si="187"/>
        <v>0</v>
      </c>
      <c r="BM539" s="680">
        <f t="shared" si="187"/>
        <v>0</v>
      </c>
      <c r="BN539" s="680">
        <f t="shared" si="187"/>
        <v>0</v>
      </c>
      <c r="BO539" s="680">
        <f t="shared" si="187"/>
        <v>0</v>
      </c>
      <c r="BP539" s="680">
        <f t="shared" ref="BP539:CA539" si="189">SUM(BP537:BP538)</f>
        <v>0</v>
      </c>
      <c r="BQ539" s="680">
        <f t="shared" si="189"/>
        <v>0</v>
      </c>
      <c r="BR539" s="680">
        <f t="shared" si="189"/>
        <v>0</v>
      </c>
      <c r="BS539" s="680">
        <f t="shared" si="189"/>
        <v>0</v>
      </c>
      <c r="BT539" s="680">
        <f t="shared" si="189"/>
        <v>0</v>
      </c>
      <c r="BU539" s="680">
        <f t="shared" si="189"/>
        <v>0</v>
      </c>
      <c r="BV539" s="680">
        <f t="shared" si="189"/>
        <v>0</v>
      </c>
      <c r="BW539" s="680">
        <f t="shared" si="189"/>
        <v>0</v>
      </c>
      <c r="BX539" s="680">
        <f t="shared" si="189"/>
        <v>0</v>
      </c>
      <c r="BY539" s="680">
        <f t="shared" si="189"/>
        <v>0</v>
      </c>
      <c r="BZ539" s="680">
        <f t="shared" si="189"/>
        <v>0</v>
      </c>
      <c r="CA539" s="680">
        <f t="shared" si="189"/>
        <v>0</v>
      </c>
    </row>
    <row r="540" spans="1:79" hidden="1" outlineLevel="1" x14ac:dyDescent="0.35">
      <c r="F540" s="674" t="s">
        <v>593</v>
      </c>
      <c r="G540" s="735"/>
      <c r="H540" s="735">
        <v>1.2901486307198837</v>
      </c>
      <c r="I540" s="735">
        <v>0.24617068856341651</v>
      </c>
      <c r="J540" s="735">
        <v>1.8790205295375235</v>
      </c>
      <c r="K540" s="735">
        <v>0.10097224824392792</v>
      </c>
      <c r="L540" s="735">
        <v>2.8985221787487263</v>
      </c>
      <c r="M540" s="735">
        <v>0.12433487796805044</v>
      </c>
      <c r="N540" s="735">
        <v>1.4757630029416444</v>
      </c>
      <c r="O540" s="735">
        <v>1.1297483618911388</v>
      </c>
      <c r="P540" s="732">
        <v>7.0825628987797531</v>
      </c>
      <c r="Q540" s="732"/>
      <c r="R540" s="732"/>
      <c r="S540" s="683">
        <v>0</v>
      </c>
      <c r="T540" s="683">
        <v>54.99</v>
      </c>
      <c r="U540" s="683">
        <v>0</v>
      </c>
      <c r="V540" s="683">
        <v>0</v>
      </c>
      <c r="W540" s="683">
        <v>0</v>
      </c>
      <c r="X540" s="683">
        <v>0</v>
      </c>
      <c r="Y540" s="683">
        <v>0</v>
      </c>
      <c r="Z540" s="683">
        <v>0</v>
      </c>
      <c r="AA540" s="683">
        <v>0</v>
      </c>
      <c r="AB540" s="683">
        <v>0</v>
      </c>
      <c r="AC540" s="682">
        <v>0</v>
      </c>
      <c r="AD540" s="682">
        <v>0</v>
      </c>
      <c r="AE540" s="732"/>
      <c r="AF540" s="732"/>
      <c r="AG540" s="732"/>
      <c r="AH540" s="732"/>
      <c r="AI540" s="732"/>
      <c r="AJ540" s="732"/>
      <c r="AK540" s="732"/>
      <c r="AL540" s="732"/>
      <c r="AM540" s="732"/>
      <c r="AN540" s="732"/>
      <c r="AO540" s="732"/>
      <c r="AP540" s="732"/>
      <c r="AQ540" s="732"/>
      <c r="AR540" s="732"/>
      <c r="AS540" s="732"/>
      <c r="AT540" s="732"/>
      <c r="AU540" s="732"/>
      <c r="AV540" s="732"/>
      <c r="AW540" s="732"/>
      <c r="AX540" s="732"/>
      <c r="AY540" s="732"/>
      <c r="AZ540" s="732"/>
      <c r="BA540" s="732"/>
      <c r="BB540" s="732"/>
      <c r="BC540" s="732"/>
      <c r="BD540" s="732"/>
      <c r="BE540" s="732"/>
      <c r="BF540" s="732"/>
      <c r="BG540" s="732"/>
      <c r="BH540" s="732"/>
      <c r="BI540" s="732"/>
      <c r="BJ540" s="732"/>
      <c r="BK540" s="732"/>
      <c r="BL540" s="732"/>
      <c r="BM540" s="732"/>
      <c r="BN540" s="732"/>
      <c r="BO540" s="732"/>
      <c r="BP540" s="732"/>
      <c r="BQ540" s="732"/>
      <c r="BR540" s="732"/>
      <c r="BS540" s="732"/>
      <c r="BT540" s="732"/>
      <c r="BU540" s="732"/>
      <c r="BV540" s="732"/>
      <c r="BW540" s="732"/>
      <c r="BX540" s="732"/>
      <c r="BY540" s="732"/>
      <c r="BZ540" s="732"/>
      <c r="CA540" s="732"/>
    </row>
    <row r="541" spans="1:79" hidden="1" outlineLevel="1" x14ac:dyDescent="0.35">
      <c r="A541" s="574"/>
      <c r="B541" s="574"/>
      <c r="C541" s="574"/>
      <c r="D541" s="574"/>
      <c r="E541" s="574"/>
      <c r="F541" s="671" t="s">
        <v>877</v>
      </c>
      <c r="G541" s="735"/>
      <c r="H541" s="735"/>
      <c r="I541" s="735"/>
      <c r="J541" s="735"/>
      <c r="K541" s="735"/>
      <c r="L541" s="735"/>
      <c r="M541" s="735"/>
      <c r="N541" s="735"/>
      <c r="O541" s="735"/>
      <c r="P541" s="732"/>
      <c r="Q541" s="732"/>
      <c r="R541" s="732"/>
      <c r="S541" s="683">
        <v>0</v>
      </c>
      <c r="T541" s="683">
        <v>0</v>
      </c>
      <c r="U541" s="683">
        <v>0</v>
      </c>
      <c r="V541" s="683">
        <v>0</v>
      </c>
      <c r="W541" s="683">
        <v>0</v>
      </c>
      <c r="X541" s="683">
        <v>0</v>
      </c>
      <c r="Y541" s="683">
        <v>0</v>
      </c>
      <c r="Z541" s="683">
        <v>0</v>
      </c>
      <c r="AA541" s="683">
        <v>0</v>
      </c>
      <c r="AB541" s="683">
        <v>0</v>
      </c>
      <c r="AC541" s="682">
        <v>0</v>
      </c>
      <c r="AD541" s="682">
        <v>0</v>
      </c>
      <c r="AE541" s="732"/>
      <c r="AF541" s="732"/>
      <c r="AG541" s="732"/>
      <c r="AH541" s="732"/>
      <c r="AI541" s="732"/>
      <c r="AJ541" s="732"/>
      <c r="AK541" s="732"/>
      <c r="AL541" s="732"/>
      <c r="AM541" s="732"/>
      <c r="AN541" s="732"/>
      <c r="AO541" s="732"/>
      <c r="AP541" s="732"/>
      <c r="AQ541" s="732"/>
      <c r="AR541" s="732"/>
      <c r="AS541" s="732"/>
      <c r="AT541" s="732"/>
      <c r="AU541" s="732"/>
      <c r="AV541" s="732"/>
      <c r="AW541" s="732"/>
      <c r="AX541" s="732"/>
      <c r="AY541" s="732"/>
      <c r="AZ541" s="732"/>
      <c r="BA541" s="732"/>
      <c r="BB541" s="732"/>
      <c r="BC541" s="732"/>
      <c r="BD541" s="732"/>
      <c r="BE541" s="732"/>
      <c r="BF541" s="732"/>
      <c r="BG541" s="732"/>
      <c r="BH541" s="732"/>
      <c r="BI541" s="732"/>
      <c r="BJ541" s="732"/>
      <c r="BK541" s="732"/>
      <c r="BL541" s="732"/>
      <c r="BM541" s="732"/>
      <c r="BN541" s="732"/>
      <c r="BO541" s="732"/>
      <c r="BP541" s="732"/>
      <c r="BQ541" s="732"/>
      <c r="BR541" s="732"/>
      <c r="BS541" s="732"/>
      <c r="BT541" s="732"/>
      <c r="BU541" s="732"/>
      <c r="BV541" s="732"/>
      <c r="BW541" s="732"/>
      <c r="BX541" s="732"/>
      <c r="BY541" s="732"/>
      <c r="BZ541" s="732"/>
      <c r="CA541" s="732"/>
    </row>
    <row r="542" spans="1:79" s="726" customFormat="1" hidden="1" outlineLevel="1" x14ac:dyDescent="0.35">
      <c r="F542" s="711" t="s">
        <v>594</v>
      </c>
      <c r="G542" s="750"/>
      <c r="H542" s="750"/>
      <c r="I542" s="750"/>
      <c r="J542" s="750"/>
      <c r="K542" s="750"/>
      <c r="L542" s="750"/>
      <c r="M542" s="750"/>
      <c r="N542" s="750"/>
      <c r="O542" s="750"/>
      <c r="P542" s="751"/>
      <c r="Q542" s="751"/>
      <c r="R542" s="751"/>
      <c r="S542" s="713"/>
      <c r="T542" s="713"/>
      <c r="U542" s="713"/>
      <c r="V542" s="713"/>
      <c r="W542" s="713"/>
      <c r="X542" s="713"/>
      <c r="Y542" s="713"/>
      <c r="Z542" s="713"/>
      <c r="AA542" s="713"/>
      <c r="AB542" s="713"/>
      <c r="AC542" s="713"/>
      <c r="AD542" s="713"/>
      <c r="AE542" s="751"/>
      <c r="AF542" s="751"/>
      <c r="AG542" s="751"/>
      <c r="AH542" s="751"/>
      <c r="AI542" s="751"/>
      <c r="AJ542" s="751"/>
      <c r="AK542" s="751"/>
      <c r="AL542" s="751"/>
      <c r="AM542" s="751"/>
      <c r="AN542" s="751"/>
      <c r="AO542" s="751"/>
      <c r="AP542" s="751"/>
      <c r="AQ542" s="751"/>
      <c r="AR542" s="751"/>
      <c r="AS542" s="751"/>
      <c r="AT542" s="751"/>
      <c r="AU542" s="751"/>
      <c r="AV542" s="751"/>
      <c r="AW542" s="751"/>
      <c r="AX542" s="751"/>
      <c r="AY542" s="751"/>
      <c r="AZ542" s="751"/>
      <c r="BA542" s="751"/>
      <c r="BB542" s="751"/>
      <c r="BC542" s="751"/>
      <c r="BD542" s="751"/>
      <c r="BE542" s="751"/>
      <c r="BF542" s="751"/>
      <c r="BG542" s="751"/>
      <c r="BH542" s="751"/>
      <c r="BI542" s="751"/>
      <c r="BJ542" s="751"/>
      <c r="BK542" s="751"/>
      <c r="BL542" s="751"/>
      <c r="BM542" s="751"/>
      <c r="BN542" s="751"/>
      <c r="BO542" s="751"/>
      <c r="BP542" s="751"/>
      <c r="BQ542" s="751"/>
      <c r="BR542" s="751"/>
      <c r="BS542" s="751"/>
      <c r="BT542" s="751"/>
      <c r="BU542" s="751"/>
      <c r="BV542" s="751"/>
      <c r="BW542" s="751"/>
      <c r="BX542" s="751"/>
      <c r="BY542" s="751"/>
      <c r="BZ542" s="751"/>
      <c r="CA542" s="751"/>
    </row>
    <row r="543" spans="1:79" s="309" customFormat="1" hidden="1" outlineLevel="1" x14ac:dyDescent="0.35">
      <c r="A543" s="575"/>
      <c r="B543" s="575"/>
      <c r="C543" s="575"/>
      <c r="D543" s="575"/>
      <c r="E543" s="575"/>
      <c r="F543" s="672" t="s">
        <v>878</v>
      </c>
      <c r="G543" s="672"/>
      <c r="H543" s="735"/>
      <c r="I543" s="735"/>
      <c r="J543" s="735"/>
      <c r="K543" s="735"/>
      <c r="L543" s="735"/>
      <c r="M543" s="735"/>
      <c r="N543" s="735"/>
      <c r="O543" s="735"/>
      <c r="P543" s="732"/>
      <c r="Q543" s="732"/>
      <c r="R543" s="732"/>
      <c r="S543" s="687">
        <v>0</v>
      </c>
      <c r="T543" s="687">
        <v>0</v>
      </c>
      <c r="U543" s="687">
        <v>0</v>
      </c>
      <c r="V543" s="687">
        <v>0</v>
      </c>
      <c r="W543" s="687">
        <v>0</v>
      </c>
      <c r="X543" s="687">
        <v>0</v>
      </c>
      <c r="Y543" s="687">
        <v>0</v>
      </c>
      <c r="Z543" s="687">
        <v>0</v>
      </c>
      <c r="AA543" s="687">
        <v>0</v>
      </c>
      <c r="AB543" s="687">
        <v>0</v>
      </c>
      <c r="AC543" s="686">
        <v>0</v>
      </c>
      <c r="AD543" s="686">
        <v>0</v>
      </c>
      <c r="AE543" s="732"/>
      <c r="AF543" s="732"/>
      <c r="AG543" s="732"/>
      <c r="AH543" s="732"/>
      <c r="AI543" s="732"/>
      <c r="AJ543" s="732"/>
      <c r="AK543" s="732"/>
      <c r="AL543" s="732"/>
      <c r="AM543" s="732"/>
      <c r="AN543" s="732"/>
      <c r="AO543" s="732"/>
      <c r="AP543" s="732"/>
      <c r="AQ543" s="732"/>
      <c r="AR543" s="732"/>
      <c r="AS543" s="732"/>
      <c r="AT543" s="732"/>
      <c r="AU543" s="732"/>
      <c r="AV543" s="732"/>
      <c r="AW543" s="732"/>
      <c r="AX543" s="732"/>
      <c r="AY543" s="732"/>
      <c r="AZ543" s="732"/>
      <c r="BA543" s="732"/>
      <c r="BB543" s="732"/>
      <c r="BC543" s="732"/>
      <c r="BD543" s="732"/>
      <c r="BE543" s="732"/>
      <c r="BF543" s="732"/>
      <c r="BG543" s="732"/>
      <c r="BH543" s="732"/>
      <c r="BI543" s="732"/>
      <c r="BJ543" s="732"/>
      <c r="BK543" s="732"/>
      <c r="BL543" s="732"/>
      <c r="BM543" s="732"/>
      <c r="BN543" s="732"/>
      <c r="BO543" s="732"/>
      <c r="BP543" s="732"/>
      <c r="BQ543" s="732"/>
      <c r="BR543" s="732"/>
      <c r="BS543" s="732"/>
      <c r="BT543" s="732"/>
      <c r="BU543" s="732"/>
      <c r="BV543" s="732"/>
      <c r="BW543" s="732"/>
      <c r="BX543" s="732"/>
      <c r="BY543" s="732"/>
      <c r="BZ543" s="732"/>
      <c r="CA543" s="732"/>
    </row>
    <row r="544" spans="1:79" s="309" customFormat="1" hidden="1" outlineLevel="1" x14ac:dyDescent="0.35">
      <c r="A544" s="575"/>
      <c r="B544" s="575"/>
      <c r="C544" s="575"/>
      <c r="D544" s="575"/>
      <c r="E544" s="575"/>
      <c r="F544" s="672" t="s">
        <v>879</v>
      </c>
      <c r="G544" s="672"/>
      <c r="H544" s="735"/>
      <c r="I544" s="735"/>
      <c r="J544" s="735"/>
      <c r="K544" s="735"/>
      <c r="L544" s="735"/>
      <c r="M544" s="735"/>
      <c r="N544" s="735"/>
      <c r="O544" s="735"/>
      <c r="P544" s="732"/>
      <c r="Q544" s="732"/>
      <c r="R544" s="732"/>
      <c r="S544" s="687">
        <v>0</v>
      </c>
      <c r="T544" s="687">
        <v>0</v>
      </c>
      <c r="U544" s="687">
        <v>0</v>
      </c>
      <c r="V544" s="687">
        <v>0</v>
      </c>
      <c r="W544" s="687">
        <v>0</v>
      </c>
      <c r="X544" s="687">
        <v>0</v>
      </c>
      <c r="Y544" s="687">
        <v>0</v>
      </c>
      <c r="Z544" s="687">
        <v>0</v>
      </c>
      <c r="AA544" s="687">
        <v>0</v>
      </c>
      <c r="AB544" s="687">
        <v>0</v>
      </c>
      <c r="AC544" s="686">
        <v>0</v>
      </c>
      <c r="AD544" s="686">
        <v>0</v>
      </c>
      <c r="AE544" s="732"/>
      <c r="AF544" s="732"/>
      <c r="AG544" s="732"/>
      <c r="AH544" s="732"/>
      <c r="AI544" s="732"/>
      <c r="AJ544" s="732"/>
      <c r="AK544" s="732"/>
      <c r="AL544" s="732"/>
      <c r="AM544" s="732"/>
      <c r="AN544" s="732"/>
      <c r="AO544" s="732"/>
      <c r="AP544" s="732"/>
      <c r="AQ544" s="732"/>
      <c r="AR544" s="732"/>
      <c r="AS544" s="732"/>
      <c r="AT544" s="732"/>
      <c r="AU544" s="732"/>
      <c r="AV544" s="732"/>
      <c r="AW544" s="732"/>
      <c r="AX544" s="732"/>
      <c r="AY544" s="732"/>
      <c r="AZ544" s="732"/>
      <c r="BA544" s="732"/>
      <c r="BB544" s="732"/>
      <c r="BC544" s="732"/>
      <c r="BD544" s="732"/>
      <c r="BE544" s="732"/>
      <c r="BF544" s="732"/>
      <c r="BG544" s="732"/>
      <c r="BH544" s="732"/>
      <c r="BI544" s="732"/>
      <c r="BJ544" s="732"/>
      <c r="BK544" s="732"/>
      <c r="BL544" s="732"/>
      <c r="BM544" s="732"/>
      <c r="BN544" s="732"/>
      <c r="BO544" s="732"/>
      <c r="BP544" s="732"/>
      <c r="BQ544" s="732"/>
      <c r="BR544" s="732"/>
      <c r="BS544" s="732"/>
      <c r="BT544" s="732"/>
      <c r="BU544" s="732"/>
      <c r="BV544" s="732"/>
      <c r="BW544" s="732"/>
      <c r="BX544" s="732"/>
      <c r="BY544" s="732"/>
      <c r="BZ544" s="732"/>
      <c r="CA544" s="732"/>
    </row>
    <row r="545" spans="1:79" s="309" customFormat="1" hidden="1" outlineLevel="1" x14ac:dyDescent="0.35">
      <c r="A545" s="575"/>
      <c r="B545" s="575"/>
      <c r="C545" s="575"/>
      <c r="D545" s="575"/>
      <c r="E545" s="575"/>
      <c r="F545" s="672" t="s">
        <v>880</v>
      </c>
      <c r="G545" s="672"/>
      <c r="H545" s="735"/>
      <c r="I545" s="735"/>
      <c r="J545" s="735"/>
      <c r="K545" s="735"/>
      <c r="L545" s="735"/>
      <c r="M545" s="735"/>
      <c r="N545" s="735"/>
      <c r="O545" s="735"/>
      <c r="P545" s="732"/>
      <c r="Q545" s="732"/>
      <c r="R545" s="732"/>
      <c r="S545" s="687">
        <v>0</v>
      </c>
      <c r="T545" s="687">
        <v>0</v>
      </c>
      <c r="U545" s="687">
        <v>0</v>
      </c>
      <c r="V545" s="687">
        <v>0</v>
      </c>
      <c r="W545" s="687">
        <v>0</v>
      </c>
      <c r="X545" s="687">
        <v>0</v>
      </c>
      <c r="Y545" s="687">
        <v>0</v>
      </c>
      <c r="Z545" s="687">
        <v>0</v>
      </c>
      <c r="AA545" s="687">
        <v>0</v>
      </c>
      <c r="AB545" s="687">
        <v>0</v>
      </c>
      <c r="AC545" s="686">
        <v>0</v>
      </c>
      <c r="AD545" s="686">
        <v>0</v>
      </c>
      <c r="AE545" s="732"/>
      <c r="AF545" s="732"/>
      <c r="AG545" s="732"/>
      <c r="AH545" s="732"/>
      <c r="AI545" s="732"/>
      <c r="AJ545" s="732"/>
      <c r="AK545" s="732"/>
      <c r="AL545" s="732"/>
      <c r="AM545" s="732"/>
      <c r="AN545" s="732"/>
      <c r="AO545" s="732"/>
      <c r="AP545" s="732"/>
      <c r="AQ545" s="732"/>
      <c r="AR545" s="732"/>
      <c r="AS545" s="732"/>
      <c r="AT545" s="732"/>
      <c r="AU545" s="732"/>
      <c r="AV545" s="732"/>
      <c r="AW545" s="732"/>
      <c r="AX545" s="732"/>
      <c r="AY545" s="732"/>
      <c r="AZ545" s="732"/>
      <c r="BA545" s="732"/>
      <c r="BB545" s="732"/>
      <c r="BC545" s="732"/>
      <c r="BD545" s="732"/>
      <c r="BE545" s="732"/>
      <c r="BF545" s="732"/>
      <c r="BG545" s="732"/>
      <c r="BH545" s="732"/>
      <c r="BI545" s="732"/>
      <c r="BJ545" s="732"/>
      <c r="BK545" s="732"/>
      <c r="BL545" s="732"/>
      <c r="BM545" s="732"/>
      <c r="BN545" s="732"/>
      <c r="BO545" s="732"/>
      <c r="BP545" s="732"/>
      <c r="BQ545" s="732"/>
      <c r="BR545" s="732"/>
      <c r="BS545" s="732"/>
      <c r="BT545" s="732"/>
      <c r="BU545" s="732"/>
      <c r="BV545" s="732"/>
      <c r="BW545" s="732"/>
      <c r="BX545" s="732"/>
      <c r="BY545" s="732"/>
      <c r="BZ545" s="732"/>
      <c r="CA545" s="732"/>
    </row>
    <row r="546" spans="1:79" s="309" customFormat="1" hidden="1" outlineLevel="1" x14ac:dyDescent="0.35">
      <c r="A546" s="30"/>
      <c r="B546" s="30"/>
      <c r="C546" s="30"/>
      <c r="D546" s="30"/>
      <c r="E546" s="30"/>
      <c r="F546" s="672" t="s">
        <v>609</v>
      </c>
      <c r="G546" s="672"/>
      <c r="H546" s="735"/>
      <c r="I546" s="735"/>
      <c r="J546" s="735"/>
      <c r="K546" s="735"/>
      <c r="L546" s="735"/>
      <c r="M546" s="735"/>
      <c r="N546" s="735"/>
      <c r="O546" s="735"/>
      <c r="P546" s="732"/>
      <c r="Q546" s="732"/>
      <c r="R546" s="732"/>
      <c r="S546" s="683">
        <v>0</v>
      </c>
      <c r="T546" s="683">
        <v>0</v>
      </c>
      <c r="U546" s="683">
        <v>0</v>
      </c>
      <c r="V546" s="683">
        <v>34.21</v>
      </c>
      <c r="W546" s="683">
        <v>0</v>
      </c>
      <c r="X546" s="683">
        <v>197.09</v>
      </c>
      <c r="Y546" s="683">
        <v>0</v>
      </c>
      <c r="Z546" s="683">
        <v>647.39</v>
      </c>
      <c r="AA546" s="683">
        <v>845.51</v>
      </c>
      <c r="AB546" s="683">
        <v>1116.5</v>
      </c>
      <c r="AC546" s="690">
        <v>0</v>
      </c>
      <c r="AD546" s="690">
        <v>0</v>
      </c>
      <c r="AE546" s="732"/>
      <c r="AF546" s="732"/>
      <c r="AG546" s="732"/>
      <c r="AH546" s="732"/>
      <c r="AI546" s="732"/>
      <c r="AJ546" s="732"/>
      <c r="AK546" s="732"/>
      <c r="AL546" s="732"/>
      <c r="AM546" s="732"/>
      <c r="AN546" s="732"/>
      <c r="AO546" s="732"/>
      <c r="AP546" s="732"/>
      <c r="AQ546" s="732"/>
      <c r="AR546" s="732"/>
      <c r="AS546" s="732"/>
      <c r="AT546" s="732"/>
      <c r="AU546" s="732"/>
      <c r="AV546" s="732"/>
      <c r="AW546" s="732"/>
      <c r="AX546" s="732"/>
      <c r="AY546" s="732"/>
      <c r="AZ546" s="732"/>
      <c r="BA546" s="732"/>
      <c r="BB546" s="732"/>
      <c r="BC546" s="732"/>
      <c r="BD546" s="732"/>
      <c r="BE546" s="732"/>
      <c r="BF546" s="732"/>
      <c r="BG546" s="732"/>
      <c r="BH546" s="732"/>
      <c r="BI546" s="732"/>
      <c r="BJ546" s="732"/>
      <c r="BK546" s="732"/>
      <c r="BL546" s="732"/>
      <c r="BM546" s="732"/>
      <c r="BN546" s="732"/>
      <c r="BO546" s="732"/>
      <c r="BP546" s="732"/>
      <c r="BQ546" s="732"/>
      <c r="BR546" s="732"/>
      <c r="BS546" s="732"/>
      <c r="BT546" s="732"/>
      <c r="BU546" s="732"/>
      <c r="BV546" s="732"/>
      <c r="BW546" s="732"/>
      <c r="BX546" s="732"/>
      <c r="BY546" s="732"/>
      <c r="BZ546" s="732"/>
      <c r="CA546" s="732"/>
    </row>
    <row r="547" spans="1:79" s="452" customFormat="1" hidden="1" outlineLevel="1" x14ac:dyDescent="0.35">
      <c r="A547" s="80"/>
      <c r="B547" s="80"/>
      <c r="C547" s="80"/>
      <c r="D547" s="80"/>
      <c r="E547" s="80"/>
      <c r="F547" s="672" t="s">
        <v>610</v>
      </c>
      <c r="G547" s="672"/>
      <c r="H547" s="735"/>
      <c r="I547" s="735"/>
      <c r="J547" s="735"/>
      <c r="K547" s="735"/>
      <c r="L547" s="735"/>
      <c r="M547" s="735"/>
      <c r="N547" s="735"/>
      <c r="O547" s="735"/>
      <c r="P547" s="732"/>
      <c r="Q547" s="732"/>
      <c r="R547" s="732"/>
      <c r="S547" s="683">
        <v>280</v>
      </c>
      <c r="T547" s="683">
        <v>0</v>
      </c>
      <c r="U547" s="683">
        <v>416.09</v>
      </c>
      <c r="V547" s="683">
        <v>269.98</v>
      </c>
      <c r="W547" s="683">
        <v>89.95</v>
      </c>
      <c r="X547" s="683">
        <v>-79.959999999999994</v>
      </c>
      <c r="Y547" s="683">
        <v>0</v>
      </c>
      <c r="Z547" s="683">
        <v>1358.32</v>
      </c>
      <c r="AA547" s="683">
        <v>819.49</v>
      </c>
      <c r="AB547" s="683">
        <v>1125.28</v>
      </c>
      <c r="AC547" s="690">
        <v>777.34</v>
      </c>
      <c r="AD547" s="690">
        <v>618.48</v>
      </c>
      <c r="AE547" s="732"/>
      <c r="AF547" s="732"/>
      <c r="AG547" s="732"/>
      <c r="AH547" s="732"/>
      <c r="AI547" s="732"/>
      <c r="AJ547" s="732"/>
      <c r="AK547" s="732"/>
      <c r="AL547" s="732"/>
      <c r="AM547" s="732"/>
      <c r="AN547" s="732"/>
      <c r="AO547" s="732"/>
      <c r="AP547" s="732"/>
      <c r="AQ547" s="732"/>
      <c r="AR547" s="732"/>
      <c r="AS547" s="732"/>
      <c r="AT547" s="732"/>
      <c r="AU547" s="732"/>
      <c r="AV547" s="732"/>
      <c r="AW547" s="732"/>
      <c r="AX547" s="732"/>
      <c r="AY547" s="732"/>
      <c r="AZ547" s="732"/>
      <c r="BA547" s="732"/>
      <c r="BB547" s="732"/>
      <c r="BC547" s="732"/>
      <c r="BD547" s="732"/>
      <c r="BE547" s="732"/>
      <c r="BF547" s="732"/>
      <c r="BG547" s="732"/>
      <c r="BH547" s="732"/>
      <c r="BI547" s="732"/>
      <c r="BJ547" s="732"/>
      <c r="BK547" s="732"/>
      <c r="BL547" s="732"/>
      <c r="BM547" s="732"/>
      <c r="BN547" s="732"/>
      <c r="BO547" s="732"/>
      <c r="BP547" s="732"/>
      <c r="BQ547" s="732"/>
      <c r="BR547" s="732"/>
      <c r="BS547" s="732"/>
      <c r="BT547" s="732"/>
      <c r="BU547" s="732"/>
      <c r="BV547" s="732"/>
      <c r="BW547" s="732"/>
      <c r="BX547" s="732"/>
      <c r="BY547" s="732"/>
      <c r="BZ547" s="732"/>
      <c r="CA547" s="732"/>
    </row>
    <row r="548" spans="1:79" s="452" customFormat="1" hidden="1" outlineLevel="1" x14ac:dyDescent="0.35">
      <c r="A548" s="580"/>
      <c r="B548" s="580"/>
      <c r="C548" s="580"/>
      <c r="D548" s="580"/>
      <c r="E548" s="580"/>
      <c r="F548" s="672" t="s">
        <v>611</v>
      </c>
      <c r="G548" s="672"/>
      <c r="H548" s="735"/>
      <c r="I548" s="735"/>
      <c r="J548" s="735"/>
      <c r="K548" s="735"/>
      <c r="L548" s="735"/>
      <c r="M548" s="735"/>
      <c r="N548" s="735"/>
      <c r="O548" s="735"/>
      <c r="P548" s="732"/>
      <c r="Q548" s="732"/>
      <c r="R548" s="732"/>
      <c r="S548" s="683">
        <v>0</v>
      </c>
      <c r="T548" s="683">
        <v>0</v>
      </c>
      <c r="U548" s="683">
        <v>0</v>
      </c>
      <c r="V548" s="683">
        <v>0</v>
      </c>
      <c r="W548" s="683">
        <v>0</v>
      </c>
      <c r="X548" s="683">
        <v>0</v>
      </c>
      <c r="Y548" s="683">
        <v>0</v>
      </c>
      <c r="Z548" s="683">
        <v>0</v>
      </c>
      <c r="AA548" s="683">
        <v>0</v>
      </c>
      <c r="AB548" s="683">
        <v>39.950000000000003</v>
      </c>
      <c r="AC548" s="690">
        <v>0</v>
      </c>
      <c r="AD548" s="690">
        <v>0</v>
      </c>
      <c r="AE548" s="732"/>
      <c r="AF548" s="732"/>
      <c r="AG548" s="732"/>
      <c r="AH548" s="732"/>
      <c r="AI548" s="732"/>
      <c r="AJ548" s="732"/>
      <c r="AK548" s="732"/>
      <c r="AL548" s="732"/>
      <c r="AM548" s="732"/>
      <c r="AN548" s="732"/>
      <c r="AO548" s="732"/>
      <c r="AP548" s="732"/>
      <c r="AQ548" s="732"/>
      <c r="AR548" s="732"/>
      <c r="AS548" s="732"/>
      <c r="AT548" s="732"/>
      <c r="AU548" s="732"/>
      <c r="AV548" s="732"/>
      <c r="AW548" s="732"/>
      <c r="AX548" s="732"/>
      <c r="AY548" s="732"/>
      <c r="AZ548" s="732"/>
      <c r="BA548" s="732"/>
      <c r="BB548" s="732"/>
      <c r="BC548" s="732"/>
      <c r="BD548" s="732"/>
      <c r="BE548" s="732"/>
      <c r="BF548" s="732"/>
      <c r="BG548" s="732"/>
      <c r="BH548" s="732"/>
      <c r="BI548" s="732"/>
      <c r="BJ548" s="732"/>
      <c r="BK548" s="732"/>
      <c r="BL548" s="732"/>
      <c r="BM548" s="732"/>
      <c r="BN548" s="732"/>
      <c r="BO548" s="732"/>
      <c r="BP548" s="732"/>
      <c r="BQ548" s="732"/>
      <c r="BR548" s="732"/>
      <c r="BS548" s="732"/>
      <c r="BT548" s="732"/>
      <c r="BU548" s="732"/>
      <c r="BV548" s="732"/>
      <c r="BW548" s="732"/>
      <c r="BX548" s="732"/>
      <c r="BY548" s="732"/>
      <c r="BZ548" s="732"/>
      <c r="CA548" s="732"/>
    </row>
    <row r="549" spans="1:79" s="452" customFormat="1" hidden="1" outlineLevel="1" x14ac:dyDescent="0.35">
      <c r="A549" s="580"/>
      <c r="B549" s="580"/>
      <c r="C549" s="580"/>
      <c r="D549" s="580"/>
      <c r="E549" s="580"/>
      <c r="F549" s="672" t="s">
        <v>881</v>
      </c>
      <c r="G549" s="735">
        <v>79.858363030945156</v>
      </c>
      <c r="H549" s="735">
        <v>26.34272390399445</v>
      </c>
      <c r="I549" s="735">
        <v>96.10856716999379</v>
      </c>
      <c r="J549" s="735">
        <v>20.829030579397472</v>
      </c>
      <c r="K549" s="735">
        <v>9.5728176210526641</v>
      </c>
      <c r="L549" s="735">
        <v>59.180254223238229</v>
      </c>
      <c r="M549" s="735">
        <v>80.006541538883369</v>
      </c>
      <c r="N549" s="735">
        <v>51.501705223830335</v>
      </c>
      <c r="O549" s="735">
        <v>36.371312411606183</v>
      </c>
      <c r="P549" s="732">
        <v>99.790881252210411</v>
      </c>
      <c r="Q549" s="732">
        <v>64.569829696633235</v>
      </c>
      <c r="R549" s="732">
        <v>6.5295603308207211</v>
      </c>
      <c r="S549" s="692">
        <v>0</v>
      </c>
      <c r="T549" s="692">
        <v>0</v>
      </c>
      <c r="U549" s="692">
        <v>0</v>
      </c>
      <c r="V549" s="692">
        <v>0</v>
      </c>
      <c r="W549" s="692">
        <v>0</v>
      </c>
      <c r="X549" s="692">
        <v>0</v>
      </c>
      <c r="Y549" s="692">
        <v>0</v>
      </c>
      <c r="Z549" s="692">
        <v>0</v>
      </c>
      <c r="AA549" s="692">
        <v>0</v>
      </c>
      <c r="AB549" s="692">
        <v>0</v>
      </c>
      <c r="AC549" s="702">
        <v>0</v>
      </c>
      <c r="AD549" s="702">
        <v>0</v>
      </c>
      <c r="AE549" s="732"/>
      <c r="AF549" s="732"/>
      <c r="AG549" s="732"/>
      <c r="AH549" s="732"/>
      <c r="AI549" s="732"/>
      <c r="AJ549" s="732"/>
      <c r="AK549" s="732"/>
      <c r="AL549" s="732"/>
      <c r="AM549" s="732"/>
      <c r="AN549" s="732"/>
      <c r="AO549" s="732"/>
      <c r="AP549" s="732"/>
      <c r="AQ549" s="732"/>
      <c r="AR549" s="732"/>
      <c r="AS549" s="732"/>
      <c r="AT549" s="732"/>
      <c r="AU549" s="732"/>
      <c r="AV549" s="732"/>
      <c r="AW549" s="732"/>
      <c r="AX549" s="732"/>
      <c r="AY549" s="732"/>
      <c r="AZ549" s="732"/>
      <c r="BA549" s="732"/>
      <c r="BB549" s="732"/>
      <c r="BC549" s="732"/>
      <c r="BD549" s="732"/>
      <c r="BE549" s="732"/>
      <c r="BF549" s="732"/>
      <c r="BG549" s="732"/>
      <c r="BH549" s="732"/>
      <c r="BI549" s="732"/>
      <c r="BJ549" s="732"/>
      <c r="BK549" s="732"/>
      <c r="BL549" s="732"/>
      <c r="BM549" s="732"/>
      <c r="BN549" s="732"/>
      <c r="BO549" s="732"/>
      <c r="BP549" s="732"/>
      <c r="BQ549" s="732"/>
      <c r="BR549" s="732"/>
      <c r="BS549" s="732"/>
      <c r="BT549" s="732"/>
      <c r="BU549" s="732"/>
      <c r="BV549" s="732"/>
      <c r="BW549" s="732"/>
      <c r="BX549" s="732"/>
      <c r="BY549" s="732"/>
      <c r="BZ549" s="732"/>
      <c r="CA549" s="732"/>
    </row>
    <row r="550" spans="1:79" s="309" customFormat="1" hidden="1" outlineLevel="1" x14ac:dyDescent="0.35">
      <c r="A550" s="30"/>
      <c r="B550" s="30"/>
      <c r="C550" s="30"/>
      <c r="D550" s="30"/>
      <c r="E550" s="30"/>
      <c r="F550" s="675" t="s">
        <v>612</v>
      </c>
      <c r="G550" s="680">
        <f>SUM(G543:G549)</f>
        <v>79.858363030945156</v>
      </c>
      <c r="H550" s="680">
        <f t="shared" ref="H550:R550" si="190">SUM(H543:H549)</f>
        <v>26.34272390399445</v>
      </c>
      <c r="I550" s="680">
        <f t="shared" si="190"/>
        <v>96.10856716999379</v>
      </c>
      <c r="J550" s="680">
        <f t="shared" si="190"/>
        <v>20.829030579397472</v>
      </c>
      <c r="K550" s="680">
        <f t="shared" si="190"/>
        <v>9.5728176210526641</v>
      </c>
      <c r="L550" s="680">
        <f t="shared" si="190"/>
        <v>59.180254223238229</v>
      </c>
      <c r="M550" s="680">
        <f t="shared" si="190"/>
        <v>80.006541538883369</v>
      </c>
      <c r="N550" s="680">
        <f t="shared" si="190"/>
        <v>51.501705223830335</v>
      </c>
      <c r="O550" s="680">
        <f t="shared" si="190"/>
        <v>36.371312411606183</v>
      </c>
      <c r="P550" s="680">
        <f t="shared" si="190"/>
        <v>99.790881252210411</v>
      </c>
      <c r="Q550" s="680">
        <f t="shared" si="190"/>
        <v>64.569829696633235</v>
      </c>
      <c r="R550" s="680">
        <f t="shared" si="190"/>
        <v>6.5295603308207211</v>
      </c>
      <c r="S550" s="695">
        <f t="shared" ref="S550:AA550" si="191">ROUND(SUM(S542:S549),5)</f>
        <v>280</v>
      </c>
      <c r="T550" s="695">
        <f t="shared" si="191"/>
        <v>0</v>
      </c>
      <c r="U550" s="695">
        <f t="shared" si="191"/>
        <v>416.09</v>
      </c>
      <c r="V550" s="695">
        <f t="shared" si="191"/>
        <v>304.19</v>
      </c>
      <c r="W550" s="695">
        <f t="shared" si="191"/>
        <v>89.95</v>
      </c>
      <c r="X550" s="695">
        <f t="shared" si="191"/>
        <v>117.13</v>
      </c>
      <c r="Y550" s="695">
        <f t="shared" si="191"/>
        <v>0</v>
      </c>
      <c r="Z550" s="695">
        <f t="shared" si="191"/>
        <v>2005.71</v>
      </c>
      <c r="AA550" s="695">
        <f t="shared" si="191"/>
        <v>1665</v>
      </c>
      <c r="AB550" s="695">
        <f>ROUND(SUM(AB542:AB549),5)</f>
        <v>2281.73</v>
      </c>
      <c r="AC550" s="695">
        <f>ROUND(SUM(AC542:AC549),5)</f>
        <v>777.34</v>
      </c>
      <c r="AD550" s="695">
        <f>ROUND(SUM(AD542:AD549),5)</f>
        <v>618.48</v>
      </c>
      <c r="AE550" s="680">
        <f t="shared" ref="AE550" si="192">SUM(AE543:AE549)</f>
        <v>0</v>
      </c>
      <c r="AF550" s="680">
        <f t="shared" ref="AF550" si="193">SUM(AF543:AF549)</f>
        <v>0</v>
      </c>
      <c r="AG550" s="680">
        <f t="shared" ref="AG550" si="194">SUM(AG543:AG549)</f>
        <v>0</v>
      </c>
      <c r="AH550" s="680">
        <f t="shared" ref="AH550" si="195">SUM(AH543:AH549)</f>
        <v>0</v>
      </c>
      <c r="AI550" s="680">
        <f t="shared" ref="AI550" si="196">SUM(AI543:AI549)</f>
        <v>0</v>
      </c>
      <c r="AJ550" s="680">
        <f t="shared" ref="AJ550" si="197">SUM(AJ543:AJ549)</f>
        <v>0</v>
      </c>
      <c r="AK550" s="680">
        <f t="shared" ref="AK550" si="198">SUM(AK543:AK549)</f>
        <v>0</v>
      </c>
      <c r="AL550" s="680">
        <f t="shared" ref="AL550" si="199">SUM(AL543:AL549)</f>
        <v>0</v>
      </c>
      <c r="AM550" s="680">
        <f t="shared" ref="AM550" si="200">SUM(AM543:AM549)</f>
        <v>0</v>
      </c>
      <c r="AN550" s="680">
        <f t="shared" ref="AN550" si="201">SUM(AN543:AN549)</f>
        <v>0</v>
      </c>
      <c r="AO550" s="680">
        <f t="shared" ref="AO550" si="202">SUM(AO543:AO549)</f>
        <v>0</v>
      </c>
      <c r="AP550" s="680">
        <f t="shared" ref="AP550" si="203">SUM(AP543:AP549)</f>
        <v>0</v>
      </c>
      <c r="AQ550" s="680">
        <f t="shared" ref="AQ550" si="204">SUM(AQ543:AQ549)</f>
        <v>0</v>
      </c>
      <c r="AR550" s="680">
        <f t="shared" ref="AR550" si="205">SUM(AR543:AR549)</f>
        <v>0</v>
      </c>
      <c r="AS550" s="680">
        <f t="shared" ref="AS550" si="206">SUM(AS543:AS549)</f>
        <v>0</v>
      </c>
      <c r="AT550" s="680">
        <f t="shared" ref="AT550" si="207">SUM(AT543:AT549)</f>
        <v>0</v>
      </c>
      <c r="AU550" s="680">
        <f t="shared" ref="AU550" si="208">SUM(AU543:AU549)</f>
        <v>0</v>
      </c>
      <c r="AV550" s="680">
        <f t="shared" ref="AV550" si="209">SUM(AV543:AV549)</f>
        <v>0</v>
      </c>
      <c r="AW550" s="680">
        <f t="shared" ref="AW550" si="210">SUM(AW543:AW549)</f>
        <v>0</v>
      </c>
      <c r="AX550" s="680">
        <f t="shared" ref="AX550" si="211">SUM(AX543:AX549)</f>
        <v>0</v>
      </c>
      <c r="AY550" s="680">
        <f t="shared" ref="AY550" si="212">SUM(AY543:AY549)</f>
        <v>0</v>
      </c>
      <c r="AZ550" s="680">
        <f t="shared" ref="AZ550" si="213">SUM(AZ543:AZ549)</f>
        <v>0</v>
      </c>
      <c r="BA550" s="680">
        <f t="shared" ref="BA550" si="214">SUM(BA543:BA549)</f>
        <v>0</v>
      </c>
      <c r="BB550" s="680">
        <f t="shared" ref="BB550" si="215">SUM(BB543:BB549)</f>
        <v>0</v>
      </c>
      <c r="BC550" s="680">
        <f t="shared" ref="BC550" si="216">SUM(BC543:BC549)</f>
        <v>0</v>
      </c>
      <c r="BD550" s="680">
        <f t="shared" ref="BD550" si="217">SUM(BD543:BD549)</f>
        <v>0</v>
      </c>
      <c r="BE550" s="680">
        <f t="shared" ref="BE550" si="218">SUM(BE543:BE549)</f>
        <v>0</v>
      </c>
      <c r="BF550" s="680">
        <f t="shared" ref="BF550" si="219">SUM(BF543:BF549)</f>
        <v>0</v>
      </c>
      <c r="BG550" s="680">
        <f t="shared" ref="BG550" si="220">SUM(BG543:BG549)</f>
        <v>0</v>
      </c>
      <c r="BH550" s="680">
        <f t="shared" ref="BH550" si="221">SUM(BH543:BH549)</f>
        <v>0</v>
      </c>
      <c r="BI550" s="680">
        <f t="shared" ref="BI550" si="222">SUM(BI543:BI549)</f>
        <v>0</v>
      </c>
      <c r="BJ550" s="680">
        <f t="shared" ref="BJ550" si="223">SUM(BJ543:BJ549)</f>
        <v>0</v>
      </c>
      <c r="BK550" s="680">
        <f t="shared" ref="BK550" si="224">SUM(BK543:BK549)</f>
        <v>0</v>
      </c>
      <c r="BL550" s="680">
        <f t="shared" ref="BL550" si="225">SUM(BL543:BL549)</f>
        <v>0</v>
      </c>
      <c r="BM550" s="680">
        <f t="shared" ref="BM550" si="226">SUM(BM543:BM549)</f>
        <v>0</v>
      </c>
      <c r="BN550" s="680">
        <f t="shared" ref="BN550" si="227">SUM(BN543:BN549)</f>
        <v>0</v>
      </c>
      <c r="BO550" s="680">
        <f t="shared" ref="BO550:BW550" si="228">SUM(BO543:BO549)</f>
        <v>0</v>
      </c>
      <c r="BP550" s="680">
        <f t="shared" si="228"/>
        <v>0</v>
      </c>
      <c r="BQ550" s="680">
        <f t="shared" si="228"/>
        <v>0</v>
      </c>
      <c r="BR550" s="680">
        <f t="shared" ref="BR550" si="229">SUM(BR543:BR549)</f>
        <v>0</v>
      </c>
      <c r="BS550" s="680">
        <f t="shared" si="228"/>
        <v>0</v>
      </c>
      <c r="BT550" s="680">
        <f t="shared" si="228"/>
        <v>0</v>
      </c>
      <c r="BU550" s="680">
        <f t="shared" ref="BU550" si="230">SUM(BU543:BU549)</f>
        <v>0</v>
      </c>
      <c r="BV550" s="680">
        <f t="shared" si="228"/>
        <v>0</v>
      </c>
      <c r="BW550" s="680">
        <f t="shared" si="228"/>
        <v>0</v>
      </c>
      <c r="BX550" s="680">
        <f t="shared" ref="BX550:CA550" si="231">SUM(BX543:BX549)</f>
        <v>0</v>
      </c>
      <c r="BY550" s="680">
        <f t="shared" si="231"/>
        <v>0</v>
      </c>
      <c r="BZ550" s="680">
        <f t="shared" si="231"/>
        <v>0</v>
      </c>
      <c r="CA550" s="680">
        <f t="shared" si="231"/>
        <v>0</v>
      </c>
    </row>
    <row r="551" spans="1:79" s="309" customFormat="1" hidden="1" outlineLevel="1" x14ac:dyDescent="0.35">
      <c r="A551" s="30"/>
      <c r="B551" s="30"/>
      <c r="C551" s="30"/>
      <c r="D551" s="30"/>
      <c r="E551" s="30"/>
      <c r="F551" s="671" t="s">
        <v>882</v>
      </c>
      <c r="G551" s="735"/>
      <c r="H551" s="735"/>
      <c r="I551" s="735"/>
      <c r="J551" s="735"/>
      <c r="K551" s="735"/>
      <c r="L551" s="735"/>
      <c r="M551" s="735"/>
      <c r="N551" s="735"/>
      <c r="O551" s="735"/>
      <c r="P551" s="732"/>
      <c r="Q551" s="732"/>
      <c r="R551" s="732"/>
      <c r="S551" s="700">
        <v>0</v>
      </c>
      <c r="T551" s="700">
        <v>0</v>
      </c>
      <c r="U551" s="700">
        <v>0</v>
      </c>
      <c r="V551" s="700">
        <v>0</v>
      </c>
      <c r="W551" s="700">
        <v>0</v>
      </c>
      <c r="X551" s="700">
        <v>0</v>
      </c>
      <c r="Y551" s="700">
        <v>0</v>
      </c>
      <c r="Z551" s="700">
        <v>0</v>
      </c>
      <c r="AA551" s="700">
        <v>0</v>
      </c>
      <c r="AB551" s="700">
        <v>0</v>
      </c>
      <c r="AC551" s="698">
        <v>0</v>
      </c>
      <c r="AD551" s="698">
        <v>0</v>
      </c>
      <c r="AE551" s="732"/>
      <c r="AF551" s="732"/>
      <c r="AG551" s="732"/>
      <c r="AH551" s="732"/>
      <c r="AI551" s="732"/>
      <c r="AJ551" s="732"/>
      <c r="AK551" s="732"/>
      <c r="AL551" s="732"/>
      <c r="AM551" s="732"/>
      <c r="AN551" s="732"/>
      <c r="AO551" s="732"/>
      <c r="AP551" s="732"/>
      <c r="AQ551" s="732"/>
      <c r="AR551" s="732"/>
      <c r="AS551" s="732"/>
      <c r="AT551" s="732"/>
      <c r="AU551" s="732"/>
      <c r="AV551" s="732"/>
      <c r="AW551" s="732"/>
      <c r="AX551" s="732"/>
      <c r="AY551" s="732"/>
      <c r="AZ551" s="732"/>
      <c r="BA551" s="732"/>
      <c r="BB551" s="732"/>
      <c r="BC551" s="732"/>
      <c r="BD551" s="732"/>
      <c r="BE551" s="732"/>
      <c r="BF551" s="732"/>
      <c r="BG551" s="732"/>
      <c r="BH551" s="732"/>
      <c r="BI551" s="732"/>
      <c r="BJ551" s="732"/>
      <c r="BK551" s="732"/>
      <c r="BL551" s="732"/>
      <c r="BM551" s="732"/>
      <c r="BN551" s="732"/>
      <c r="BO551" s="732"/>
      <c r="BP551" s="732"/>
      <c r="BQ551" s="732"/>
      <c r="BR551" s="732"/>
      <c r="BS551" s="732"/>
      <c r="BT551" s="732"/>
      <c r="BU551" s="732"/>
      <c r="BV551" s="732"/>
      <c r="BW551" s="732"/>
      <c r="BX551" s="732"/>
      <c r="BY551" s="732"/>
      <c r="BZ551" s="732"/>
      <c r="CA551" s="732"/>
    </row>
    <row r="552" spans="1:79" s="309" customFormat="1" hidden="1" outlineLevel="1" x14ac:dyDescent="0.35">
      <c r="A552" s="30"/>
      <c r="B552" s="30"/>
      <c r="C552" s="30"/>
      <c r="D552" s="30"/>
      <c r="E552" s="30"/>
      <c r="F552" s="674" t="s">
        <v>595</v>
      </c>
      <c r="G552" s="735"/>
      <c r="H552" s="735"/>
      <c r="I552" s="735"/>
      <c r="J552" s="735"/>
      <c r="K552" s="735"/>
      <c r="L552" s="735"/>
      <c r="M552" s="735">
        <v>11.492950582797899</v>
      </c>
      <c r="N552" s="735"/>
      <c r="O552" s="735">
        <v>7.7927115840050964</v>
      </c>
      <c r="P552" s="732">
        <v>8.8968173694925294</v>
      </c>
      <c r="Q552" s="732"/>
      <c r="R552" s="732"/>
      <c r="S552" s="683">
        <v>0</v>
      </c>
      <c r="T552" s="683">
        <v>0</v>
      </c>
      <c r="U552" s="683">
        <v>0</v>
      </c>
      <c r="V552" s="683">
        <v>0</v>
      </c>
      <c r="W552" s="683">
        <v>0</v>
      </c>
      <c r="X552" s="683">
        <v>0</v>
      </c>
      <c r="Y552" s="683">
        <v>0</v>
      </c>
      <c r="Z552" s="683">
        <v>0</v>
      </c>
      <c r="AA552" s="683">
        <v>0</v>
      </c>
      <c r="AB552" s="683">
        <v>0</v>
      </c>
      <c r="AC552" s="702">
        <v>0</v>
      </c>
      <c r="AD552" s="702">
        <v>0</v>
      </c>
      <c r="AE552" s="732"/>
      <c r="AF552" s="732"/>
      <c r="AG552" s="732"/>
      <c r="AH552" s="732"/>
      <c r="AI552" s="732"/>
      <c r="AJ552" s="732"/>
      <c r="AK552" s="732"/>
      <c r="AL552" s="732"/>
      <c r="AM552" s="732"/>
      <c r="AN552" s="732"/>
      <c r="AO552" s="732"/>
      <c r="AP552" s="732"/>
      <c r="AQ552" s="732"/>
      <c r="AR552" s="732"/>
      <c r="AS552" s="732"/>
      <c r="AT552" s="732"/>
      <c r="AU552" s="732"/>
      <c r="AV552" s="732"/>
      <c r="AW552" s="732"/>
      <c r="AX552" s="732"/>
      <c r="AY552" s="732"/>
      <c r="AZ552" s="732"/>
      <c r="BA552" s="732"/>
      <c r="BB552" s="732"/>
      <c r="BC552" s="732"/>
      <c r="BD552" s="732"/>
      <c r="BE552" s="732"/>
      <c r="BF552" s="732"/>
      <c r="BG552" s="732"/>
      <c r="BH552" s="732"/>
      <c r="BI552" s="732"/>
      <c r="BJ552" s="732"/>
      <c r="BK552" s="732"/>
      <c r="BL552" s="732"/>
      <c r="BM552" s="732"/>
      <c r="BN552" s="732"/>
      <c r="BO552" s="732"/>
      <c r="BP552" s="732"/>
      <c r="BQ552" s="732"/>
      <c r="BR552" s="732"/>
      <c r="BS552" s="732"/>
      <c r="BT552" s="732"/>
      <c r="BU552" s="732"/>
      <c r="BV552" s="732"/>
      <c r="BW552" s="732"/>
      <c r="BX552" s="732"/>
      <c r="BY552" s="732"/>
      <c r="BZ552" s="732"/>
      <c r="CA552" s="732"/>
    </row>
    <row r="553" spans="1:79" hidden="1" outlineLevel="1" x14ac:dyDescent="0.35">
      <c r="F553" s="674" t="s">
        <v>596</v>
      </c>
      <c r="G553" s="735">
        <v>2.0658341015727122</v>
      </c>
      <c r="H553" s="735">
        <v>3.2723532194503897</v>
      </c>
      <c r="I553" s="735">
        <v>0.45799197872263536</v>
      </c>
      <c r="J553" s="735">
        <v>0.3505771579189223</v>
      </c>
      <c r="K553" s="735">
        <v>4.1717842049221243</v>
      </c>
      <c r="L553" s="735"/>
      <c r="M553" s="735"/>
      <c r="N553" s="735">
        <v>1.2524007375163888</v>
      </c>
      <c r="O553" s="735"/>
      <c r="P553" s="732">
        <v>17.595824655165014</v>
      </c>
      <c r="Q553" s="732"/>
      <c r="R553" s="732"/>
      <c r="S553" s="683">
        <v>0</v>
      </c>
      <c r="T553" s="683">
        <v>420</v>
      </c>
      <c r="U553" s="683">
        <v>0</v>
      </c>
      <c r="V553" s="683">
        <v>125</v>
      </c>
      <c r="W553" s="683">
        <v>0</v>
      </c>
      <c r="X553" s="683">
        <v>125</v>
      </c>
      <c r="Y553" s="683">
        <v>125</v>
      </c>
      <c r="Z553" s="683">
        <v>125</v>
      </c>
      <c r="AA553" s="683">
        <v>125</v>
      </c>
      <c r="AB553" s="683">
        <v>0</v>
      </c>
      <c r="AC553" s="702">
        <v>0</v>
      </c>
      <c r="AD553" s="702">
        <v>45</v>
      </c>
      <c r="AE553" s="732"/>
      <c r="AF553" s="732"/>
      <c r="AG553" s="732"/>
      <c r="AH553" s="732"/>
      <c r="AI553" s="732"/>
      <c r="AJ553" s="732"/>
      <c r="AK553" s="732"/>
      <c r="AL553" s="732"/>
      <c r="AM553" s="732"/>
      <c r="AN553" s="732"/>
      <c r="AO553" s="732"/>
      <c r="AP553" s="732"/>
      <c r="AQ553" s="732"/>
      <c r="AR553" s="732"/>
      <c r="AS553" s="732"/>
      <c r="AT553" s="732"/>
      <c r="AU553" s="732"/>
      <c r="AV553" s="732"/>
      <c r="AW553" s="732"/>
      <c r="AX553" s="732"/>
      <c r="AY553" s="732"/>
      <c r="AZ553" s="732"/>
      <c r="BA553" s="732"/>
      <c r="BB553" s="732"/>
      <c r="BC553" s="732"/>
      <c r="BD553" s="732"/>
      <c r="BE553" s="732"/>
      <c r="BF553" s="732"/>
      <c r="BG553" s="732"/>
      <c r="BH553" s="732"/>
      <c r="BI553" s="732"/>
      <c r="BJ553" s="732"/>
      <c r="BK553" s="732"/>
      <c r="BL553" s="732"/>
      <c r="BM553" s="732"/>
      <c r="BN553" s="732"/>
      <c r="BO553" s="732"/>
      <c r="BP553" s="732"/>
      <c r="BQ553" s="732"/>
      <c r="BR553" s="732"/>
      <c r="BS553" s="732"/>
      <c r="BT553" s="732"/>
      <c r="BU553" s="732"/>
      <c r="BV553" s="732"/>
      <c r="BW553" s="732"/>
      <c r="BX553" s="732"/>
      <c r="BY553" s="732"/>
      <c r="BZ553" s="732"/>
      <c r="CA553" s="732"/>
    </row>
    <row r="554" spans="1:79" hidden="1" outlineLevel="1" x14ac:dyDescent="0.35">
      <c r="A554" s="574"/>
      <c r="B554" s="574"/>
      <c r="C554" s="574"/>
      <c r="D554" s="574"/>
      <c r="E554" s="574"/>
      <c r="F554" s="671" t="s">
        <v>883</v>
      </c>
      <c r="G554" s="574"/>
      <c r="H554" s="735"/>
      <c r="I554" s="735"/>
      <c r="J554" s="735"/>
      <c r="K554" s="735"/>
      <c r="L554" s="735"/>
      <c r="M554" s="735"/>
      <c r="N554" s="735"/>
      <c r="O554" s="735"/>
      <c r="P554" s="732"/>
      <c r="Q554" s="732"/>
      <c r="R554" s="732"/>
      <c r="S554" s="683">
        <v>0</v>
      </c>
      <c r="T554" s="683">
        <v>0</v>
      </c>
      <c r="U554" s="683">
        <v>0</v>
      </c>
      <c r="V554" s="683">
        <v>0</v>
      </c>
      <c r="W554" s="683">
        <v>0</v>
      </c>
      <c r="X554" s="683">
        <v>0</v>
      </c>
      <c r="Y554" s="683">
        <v>0</v>
      </c>
      <c r="Z554" s="683">
        <v>0</v>
      </c>
      <c r="AA554" s="683">
        <v>0</v>
      </c>
      <c r="AB554" s="683">
        <v>0</v>
      </c>
      <c r="AC554" s="702">
        <v>0</v>
      </c>
      <c r="AD554" s="702">
        <v>0</v>
      </c>
      <c r="AE554" s="732"/>
      <c r="AF554" s="732"/>
      <c r="AG554" s="732"/>
      <c r="AH554" s="732"/>
      <c r="AI554" s="732"/>
      <c r="AJ554" s="732"/>
      <c r="AK554" s="732"/>
      <c r="AL554" s="732"/>
      <c r="AM554" s="732"/>
      <c r="AN554" s="732"/>
      <c r="AO554" s="732"/>
      <c r="AP554" s="732"/>
      <c r="AQ554" s="732"/>
      <c r="AR554" s="732"/>
      <c r="AS554" s="732"/>
      <c r="AT554" s="732"/>
      <c r="AU554" s="732"/>
      <c r="AV554" s="732"/>
      <c r="AW554" s="732"/>
      <c r="AX554" s="732"/>
      <c r="AY554" s="732"/>
      <c r="AZ554" s="732"/>
      <c r="BA554" s="732"/>
      <c r="BB554" s="732"/>
      <c r="BC554" s="732"/>
      <c r="BD554" s="732"/>
      <c r="BE554" s="732"/>
      <c r="BF554" s="732"/>
      <c r="BG554" s="732"/>
      <c r="BH554" s="732"/>
      <c r="BI554" s="732"/>
      <c r="BJ554" s="732"/>
      <c r="BK554" s="732"/>
      <c r="BL554" s="732"/>
      <c r="BM554" s="732"/>
      <c r="BN554" s="732"/>
      <c r="BO554" s="732"/>
      <c r="BP554" s="732"/>
      <c r="BQ554" s="732"/>
      <c r="BR554" s="732"/>
      <c r="BS554" s="732"/>
      <c r="BT554" s="732"/>
      <c r="BU554" s="732"/>
      <c r="BV554" s="732"/>
      <c r="BW554" s="732"/>
      <c r="BX554" s="732"/>
      <c r="BY554" s="732"/>
      <c r="BZ554" s="732"/>
      <c r="CA554" s="732"/>
    </row>
    <row r="555" spans="1:79" s="709" customFormat="1" hidden="1" outlineLevel="1" x14ac:dyDescent="0.35">
      <c r="F555" s="717" t="s">
        <v>766</v>
      </c>
      <c r="H555" s="750"/>
      <c r="I555" s="750"/>
      <c r="J555" s="750"/>
      <c r="K555" s="750"/>
      <c r="L555" s="750"/>
      <c r="M555" s="750"/>
      <c r="N555" s="750"/>
      <c r="O555" s="750"/>
      <c r="P555" s="751"/>
      <c r="Q555" s="751"/>
      <c r="R555" s="751"/>
      <c r="S555" s="720"/>
      <c r="T555" s="720"/>
      <c r="U555" s="720"/>
      <c r="V555" s="720"/>
      <c r="W555" s="720"/>
      <c r="X555" s="720"/>
      <c r="Y555" s="720"/>
      <c r="Z555" s="720"/>
      <c r="AA555" s="720"/>
      <c r="AB555" s="720"/>
      <c r="AC555" s="719"/>
      <c r="AD555" s="719"/>
      <c r="AE555" s="751"/>
      <c r="AF555" s="751"/>
      <c r="AG555" s="751"/>
      <c r="AH555" s="751"/>
      <c r="AI555" s="751"/>
      <c r="AJ555" s="751"/>
      <c r="AK555" s="751"/>
      <c r="AL555" s="751"/>
      <c r="AM555" s="751"/>
      <c r="AN555" s="751"/>
      <c r="AO555" s="751"/>
      <c r="AP555" s="751"/>
      <c r="AQ555" s="751"/>
      <c r="AR555" s="751"/>
      <c r="AS555" s="751"/>
      <c r="AT555" s="751"/>
      <c r="AU555" s="751"/>
      <c r="AV555" s="751"/>
      <c r="AW555" s="751"/>
      <c r="AX555" s="751"/>
      <c r="AY555" s="751"/>
      <c r="AZ555" s="751"/>
      <c r="BA555" s="751"/>
      <c r="BB555" s="751"/>
      <c r="BC555" s="751"/>
      <c r="BD555" s="751"/>
      <c r="BE555" s="751"/>
      <c r="BF555" s="751"/>
      <c r="BG555" s="751"/>
      <c r="BH555" s="751"/>
      <c r="BI555" s="751"/>
      <c r="BJ555" s="751"/>
      <c r="BK555" s="751"/>
      <c r="BL555" s="751"/>
      <c r="BM555" s="751"/>
      <c r="BN555" s="751"/>
      <c r="BO555" s="751"/>
      <c r="BP555" s="751"/>
      <c r="BQ555" s="751"/>
      <c r="BR555" s="751"/>
      <c r="BS555" s="751"/>
      <c r="BT555" s="751"/>
      <c r="BU555" s="751"/>
      <c r="BV555" s="751"/>
      <c r="BW555" s="751"/>
      <c r="BX555" s="751"/>
      <c r="BY555" s="751"/>
      <c r="BZ555" s="751"/>
      <c r="CA555" s="751"/>
    </row>
    <row r="556" spans="1:79" hidden="1" outlineLevel="1" x14ac:dyDescent="0.35">
      <c r="A556" s="574"/>
      <c r="B556" s="574"/>
      <c r="C556" s="574"/>
      <c r="D556" s="574"/>
      <c r="E556" s="574"/>
      <c r="F556" s="672" t="s">
        <v>884</v>
      </c>
      <c r="G556" s="574"/>
      <c r="H556" s="735"/>
      <c r="I556" s="735"/>
      <c r="J556" s="735"/>
      <c r="K556" s="735"/>
      <c r="L556" s="735"/>
      <c r="M556" s="735"/>
      <c r="N556" s="735"/>
      <c r="O556" s="735"/>
      <c r="P556" s="732"/>
      <c r="Q556" s="732"/>
      <c r="R556" s="732"/>
      <c r="S556" s="683">
        <v>0</v>
      </c>
      <c r="T556" s="683">
        <v>0</v>
      </c>
      <c r="U556" s="683">
        <v>0</v>
      </c>
      <c r="V556" s="683">
        <v>0</v>
      </c>
      <c r="W556" s="683">
        <v>0</v>
      </c>
      <c r="X556" s="683">
        <v>0</v>
      </c>
      <c r="Y556" s="683">
        <v>0</v>
      </c>
      <c r="Z556" s="683">
        <v>0</v>
      </c>
      <c r="AA556" s="683">
        <v>0</v>
      </c>
      <c r="AB556" s="683">
        <v>0</v>
      </c>
      <c r="AC556" s="702">
        <v>0</v>
      </c>
      <c r="AD556" s="702">
        <v>0</v>
      </c>
      <c r="AE556" s="732"/>
      <c r="AF556" s="732"/>
      <c r="AG556" s="732"/>
      <c r="AH556" s="732"/>
      <c r="AI556" s="732"/>
      <c r="AJ556" s="732"/>
      <c r="AK556" s="732"/>
      <c r="AL556" s="732"/>
      <c r="AM556" s="732"/>
      <c r="AN556" s="732"/>
      <c r="AO556" s="732"/>
      <c r="AP556" s="732"/>
      <c r="AQ556" s="732"/>
      <c r="AR556" s="732"/>
      <c r="AS556" s="732"/>
      <c r="AT556" s="732"/>
      <c r="AU556" s="732"/>
      <c r="AV556" s="732"/>
      <c r="AW556" s="732"/>
      <c r="AX556" s="732"/>
      <c r="AY556" s="732"/>
      <c r="AZ556" s="732"/>
      <c r="BA556" s="732"/>
      <c r="BB556" s="732"/>
      <c r="BC556" s="732"/>
      <c r="BD556" s="732"/>
      <c r="BE556" s="732"/>
      <c r="BF556" s="732"/>
      <c r="BG556" s="732"/>
      <c r="BH556" s="732"/>
      <c r="BI556" s="732"/>
      <c r="BJ556" s="732"/>
      <c r="BK556" s="732"/>
      <c r="BL556" s="732"/>
      <c r="BM556" s="732"/>
      <c r="BN556" s="732"/>
      <c r="BO556" s="732"/>
      <c r="BP556" s="732"/>
      <c r="BQ556" s="732"/>
      <c r="BR556" s="732"/>
      <c r="BS556" s="732"/>
      <c r="BT556" s="732"/>
      <c r="BU556" s="732"/>
      <c r="BV556" s="732"/>
      <c r="BW556" s="732"/>
      <c r="BX556" s="732"/>
      <c r="BY556" s="732"/>
      <c r="BZ556" s="732"/>
      <c r="CA556" s="732"/>
    </row>
    <row r="557" spans="1:79" hidden="1" outlineLevel="1" x14ac:dyDescent="0.35">
      <c r="A557" s="574"/>
      <c r="B557" s="574"/>
      <c r="C557" s="574"/>
      <c r="D557" s="574"/>
      <c r="E557" s="574"/>
      <c r="F557" s="672" t="s">
        <v>885</v>
      </c>
      <c r="G557" s="574"/>
      <c r="H557" s="735"/>
      <c r="I557" s="735"/>
      <c r="J557" s="735"/>
      <c r="K557" s="735"/>
      <c r="L557" s="735"/>
      <c r="M557" s="735"/>
      <c r="N557" s="735"/>
      <c r="O557" s="735"/>
      <c r="P557" s="732"/>
      <c r="Q557" s="732"/>
      <c r="R557" s="732"/>
      <c r="S557" s="683">
        <v>0</v>
      </c>
      <c r="T557" s="683">
        <v>0</v>
      </c>
      <c r="U557" s="683">
        <v>0</v>
      </c>
      <c r="V557" s="683">
        <v>0</v>
      </c>
      <c r="W557" s="683">
        <v>0</v>
      </c>
      <c r="X557" s="683">
        <v>0</v>
      </c>
      <c r="Y557" s="683">
        <v>0</v>
      </c>
      <c r="Z557" s="683">
        <v>0</v>
      </c>
      <c r="AA557" s="683">
        <v>0</v>
      </c>
      <c r="AB557" s="683">
        <v>0</v>
      </c>
      <c r="AC557" s="702">
        <v>0</v>
      </c>
      <c r="AD557" s="702">
        <v>0</v>
      </c>
      <c r="AE557" s="732"/>
      <c r="AF557" s="732"/>
      <c r="AG557" s="732"/>
      <c r="AH557" s="732"/>
      <c r="AI557" s="732"/>
      <c r="AJ557" s="732"/>
      <c r="AK557" s="732"/>
      <c r="AL557" s="732"/>
      <c r="AM557" s="732"/>
      <c r="AN557" s="732"/>
      <c r="AO557" s="732"/>
      <c r="AP557" s="732"/>
      <c r="AQ557" s="732"/>
      <c r="AR557" s="732"/>
      <c r="AS557" s="732"/>
      <c r="AT557" s="732"/>
      <c r="AU557" s="732"/>
      <c r="AV557" s="732"/>
      <c r="AW557" s="732"/>
      <c r="AX557" s="732"/>
      <c r="AY557" s="732"/>
      <c r="AZ557" s="732"/>
      <c r="BA557" s="732"/>
      <c r="BB557" s="732"/>
      <c r="BC557" s="732"/>
      <c r="BD557" s="732"/>
      <c r="BE557" s="732"/>
      <c r="BF557" s="732"/>
      <c r="BG557" s="732"/>
      <c r="BH557" s="732"/>
      <c r="BI557" s="732"/>
      <c r="BJ557" s="732"/>
      <c r="BK557" s="732"/>
      <c r="BL557" s="732"/>
      <c r="BM557" s="732"/>
      <c r="BN557" s="732"/>
      <c r="BO557" s="732"/>
      <c r="BP557" s="732"/>
      <c r="BQ557" s="732"/>
      <c r="BR557" s="732"/>
      <c r="BS557" s="732"/>
      <c r="BT557" s="732"/>
      <c r="BU557" s="732"/>
      <c r="BV557" s="732"/>
      <c r="BW557" s="732"/>
      <c r="BX557" s="732"/>
      <c r="BY557" s="732"/>
      <c r="BZ557" s="732"/>
      <c r="CA557" s="732"/>
    </row>
    <row r="558" spans="1:79" hidden="1" outlineLevel="1" x14ac:dyDescent="0.35">
      <c r="A558" s="574"/>
      <c r="B558" s="574"/>
      <c r="C558" s="574"/>
      <c r="D558" s="574"/>
      <c r="E558" s="574"/>
      <c r="F558" s="672" t="s">
        <v>886</v>
      </c>
      <c r="G558" s="574"/>
      <c r="H558" s="735"/>
      <c r="I558" s="735"/>
      <c r="J558" s="735"/>
      <c r="K558" s="735"/>
      <c r="L558" s="735"/>
      <c r="M558" s="735"/>
      <c r="N558" s="735"/>
      <c r="O558" s="735"/>
      <c r="P558" s="732"/>
      <c r="Q558" s="732"/>
      <c r="R558" s="732"/>
      <c r="S558" s="683">
        <v>0</v>
      </c>
      <c r="T558" s="683">
        <v>0</v>
      </c>
      <c r="U558" s="683">
        <v>0</v>
      </c>
      <c r="V558" s="683">
        <v>0</v>
      </c>
      <c r="W558" s="683">
        <v>0</v>
      </c>
      <c r="X558" s="683">
        <v>0</v>
      </c>
      <c r="Y558" s="683">
        <v>0</v>
      </c>
      <c r="Z558" s="683">
        <v>0</v>
      </c>
      <c r="AA558" s="683">
        <v>0</v>
      </c>
      <c r="AB558" s="683">
        <v>0</v>
      </c>
      <c r="AC558" s="702">
        <v>0</v>
      </c>
      <c r="AD558" s="702">
        <v>0</v>
      </c>
      <c r="AE558" s="732"/>
      <c r="AF558" s="732"/>
      <c r="AG558" s="732"/>
      <c r="AH558" s="732"/>
      <c r="AI558" s="732"/>
      <c r="AJ558" s="732"/>
      <c r="AK558" s="732"/>
      <c r="AL558" s="732"/>
      <c r="AM558" s="732"/>
      <c r="AN558" s="732"/>
      <c r="AO558" s="732"/>
      <c r="AP558" s="732"/>
      <c r="AQ558" s="732"/>
      <c r="AR558" s="732"/>
      <c r="AS558" s="732"/>
      <c r="AT558" s="732"/>
      <c r="AU558" s="732"/>
      <c r="AV558" s="732"/>
      <c r="AW558" s="732"/>
      <c r="AX558" s="732"/>
      <c r="AY558" s="732"/>
      <c r="AZ558" s="732"/>
      <c r="BA558" s="732"/>
      <c r="BB558" s="732"/>
      <c r="BC558" s="732"/>
      <c r="BD558" s="732"/>
      <c r="BE558" s="732"/>
      <c r="BF558" s="732"/>
      <c r="BG558" s="732"/>
      <c r="BH558" s="732"/>
      <c r="BI558" s="732"/>
      <c r="BJ558" s="732"/>
      <c r="BK558" s="732"/>
      <c r="BL558" s="732"/>
      <c r="BM558" s="732"/>
      <c r="BN558" s="732"/>
      <c r="BO558" s="732"/>
      <c r="BP558" s="732"/>
      <c r="BQ558" s="732"/>
      <c r="BR558" s="732"/>
      <c r="BS558" s="732"/>
      <c r="BT558" s="732"/>
      <c r="BU558" s="732"/>
      <c r="BV558" s="732"/>
      <c r="BW558" s="732"/>
      <c r="BX558" s="732"/>
      <c r="BY558" s="732"/>
      <c r="BZ558" s="732"/>
      <c r="CA558" s="732"/>
    </row>
    <row r="559" spans="1:79" hidden="1" outlineLevel="1" x14ac:dyDescent="0.35">
      <c r="A559" s="574"/>
      <c r="B559" s="574"/>
      <c r="C559" s="574"/>
      <c r="D559" s="574"/>
      <c r="E559" s="574"/>
      <c r="F559" s="672" t="s">
        <v>664</v>
      </c>
      <c r="G559" s="574"/>
      <c r="H559" s="735"/>
      <c r="I559" s="735"/>
      <c r="J559" s="735"/>
      <c r="K559" s="735"/>
      <c r="L559" s="735"/>
      <c r="M559" s="735"/>
      <c r="N559" s="735"/>
      <c r="O559" s="735"/>
      <c r="P559" s="732"/>
      <c r="Q559" s="732"/>
      <c r="R559" s="732"/>
      <c r="S559" s="683">
        <v>0</v>
      </c>
      <c r="T559" s="683">
        <v>0</v>
      </c>
      <c r="U559" s="683">
        <v>0</v>
      </c>
      <c r="V559" s="683">
        <v>0</v>
      </c>
      <c r="W559" s="683">
        <v>0</v>
      </c>
      <c r="X559" s="683">
        <v>0</v>
      </c>
      <c r="Y559" s="683">
        <v>0</v>
      </c>
      <c r="Z559" s="683">
        <v>0</v>
      </c>
      <c r="AA559" s="683">
        <v>0</v>
      </c>
      <c r="AB559" s="683">
        <v>0</v>
      </c>
      <c r="AC559" s="702">
        <v>0</v>
      </c>
      <c r="AD559" s="702">
        <v>0</v>
      </c>
      <c r="AE559" s="732"/>
      <c r="AF559" s="732"/>
      <c r="AG559" s="732"/>
      <c r="AH559" s="732"/>
      <c r="AI559" s="732"/>
      <c r="AJ559" s="732"/>
      <c r="AK559" s="732"/>
      <c r="AL559" s="732"/>
      <c r="AM559" s="732"/>
      <c r="AN559" s="732"/>
      <c r="AO559" s="732"/>
      <c r="AP559" s="732"/>
      <c r="AQ559" s="732"/>
      <c r="AR559" s="732"/>
      <c r="AS559" s="732"/>
      <c r="AT559" s="732"/>
      <c r="AU559" s="732"/>
      <c r="AV559" s="732"/>
      <c r="AW559" s="732"/>
      <c r="AX559" s="732"/>
      <c r="AY559" s="732"/>
      <c r="AZ559" s="732"/>
      <c r="BA559" s="732"/>
      <c r="BB559" s="732"/>
      <c r="BC559" s="732"/>
      <c r="BD559" s="732"/>
      <c r="BE559" s="732"/>
      <c r="BF559" s="732"/>
      <c r="BG559" s="732"/>
      <c r="BH559" s="732"/>
      <c r="BI559" s="732"/>
      <c r="BJ559" s="732"/>
      <c r="BK559" s="732"/>
      <c r="BL559" s="732"/>
      <c r="BM559" s="732"/>
      <c r="BN559" s="732"/>
      <c r="BO559" s="732"/>
      <c r="BP559" s="732"/>
      <c r="BQ559" s="732"/>
      <c r="BR559" s="732"/>
      <c r="BS559" s="732"/>
      <c r="BT559" s="732"/>
      <c r="BU559" s="732"/>
      <c r="BV559" s="732"/>
      <c r="BW559" s="732"/>
      <c r="BX559" s="732"/>
      <c r="BY559" s="732"/>
      <c r="BZ559" s="732"/>
      <c r="CA559" s="732"/>
    </row>
    <row r="560" spans="1:79" hidden="1" outlineLevel="1" x14ac:dyDescent="0.35">
      <c r="A560" s="574"/>
      <c r="B560" s="574"/>
      <c r="C560" s="574"/>
      <c r="D560" s="574"/>
      <c r="E560" s="574"/>
      <c r="F560" s="672" t="s">
        <v>665</v>
      </c>
      <c r="G560" s="574"/>
      <c r="H560" s="735"/>
      <c r="I560" s="735"/>
      <c r="J560" s="735"/>
      <c r="K560" s="735"/>
      <c r="L560" s="735"/>
      <c r="M560" s="735"/>
      <c r="N560" s="735"/>
      <c r="O560" s="735"/>
      <c r="P560" s="732"/>
      <c r="Q560" s="732"/>
      <c r="R560" s="732"/>
      <c r="S560" s="683">
        <v>0</v>
      </c>
      <c r="T560" s="683">
        <v>0</v>
      </c>
      <c r="U560" s="683">
        <v>0</v>
      </c>
      <c r="V560" s="683">
        <v>0</v>
      </c>
      <c r="W560" s="683">
        <v>0</v>
      </c>
      <c r="X560" s="683">
        <v>0</v>
      </c>
      <c r="Y560" s="683">
        <v>0</v>
      </c>
      <c r="Z560" s="683">
        <v>0</v>
      </c>
      <c r="AA560" s="683">
        <v>0</v>
      </c>
      <c r="AB560" s="683">
        <v>0</v>
      </c>
      <c r="AC560" s="702">
        <v>0</v>
      </c>
      <c r="AD560" s="702">
        <v>0</v>
      </c>
      <c r="AE560" s="732"/>
      <c r="AF560" s="732"/>
      <c r="AG560" s="732"/>
      <c r="AH560" s="732"/>
      <c r="AI560" s="732"/>
      <c r="AJ560" s="732"/>
      <c r="AK560" s="732"/>
      <c r="AL560" s="732"/>
      <c r="AM560" s="732"/>
      <c r="AN560" s="732"/>
      <c r="AO560" s="732"/>
      <c r="AP560" s="732"/>
      <c r="AQ560" s="732"/>
      <c r="AR560" s="732"/>
      <c r="AS560" s="732"/>
      <c r="AT560" s="732"/>
      <c r="AU560" s="732"/>
      <c r="AV560" s="732"/>
      <c r="AW560" s="732"/>
      <c r="AX560" s="732"/>
      <c r="AY560" s="732"/>
      <c r="AZ560" s="732"/>
      <c r="BA560" s="732"/>
      <c r="BB560" s="732"/>
      <c r="BC560" s="732"/>
      <c r="BD560" s="732"/>
      <c r="BE560" s="732"/>
      <c r="BF560" s="732"/>
      <c r="BG560" s="732"/>
      <c r="BH560" s="732"/>
      <c r="BI560" s="732"/>
      <c r="BJ560" s="732"/>
      <c r="BK560" s="732"/>
      <c r="BL560" s="732"/>
      <c r="BM560" s="732"/>
      <c r="BN560" s="732"/>
      <c r="BO560" s="732"/>
      <c r="BP560" s="732"/>
      <c r="BQ560" s="732"/>
      <c r="BR560" s="732"/>
      <c r="BS560" s="732"/>
      <c r="BT560" s="732"/>
      <c r="BU560" s="732"/>
      <c r="BV560" s="732"/>
      <c r="BW560" s="732"/>
      <c r="BX560" s="732"/>
      <c r="BY560" s="732"/>
      <c r="BZ560" s="732"/>
      <c r="CA560" s="732"/>
    </row>
    <row r="561" spans="1:79" hidden="1" outlineLevel="1" x14ac:dyDescent="0.35">
      <c r="A561" s="574"/>
      <c r="B561" s="574"/>
      <c r="C561" s="574"/>
      <c r="D561" s="574"/>
      <c r="E561" s="574"/>
      <c r="F561" s="672" t="s">
        <v>887</v>
      </c>
      <c r="G561" s="574"/>
      <c r="H561" s="735"/>
      <c r="I561" s="735"/>
      <c r="J561" s="735"/>
      <c r="K561" s="735"/>
      <c r="L561" s="735"/>
      <c r="M561" s="735"/>
      <c r="N561" s="735"/>
      <c r="O561" s="735"/>
      <c r="P561" s="732"/>
      <c r="Q561" s="732"/>
      <c r="R561" s="732"/>
      <c r="S561" s="683">
        <v>0</v>
      </c>
      <c r="T561" s="683">
        <v>0</v>
      </c>
      <c r="U561" s="683">
        <v>0</v>
      </c>
      <c r="V561" s="683">
        <v>0</v>
      </c>
      <c r="W561" s="683">
        <v>0</v>
      </c>
      <c r="X561" s="683">
        <v>0</v>
      </c>
      <c r="Y561" s="683">
        <v>0</v>
      </c>
      <c r="Z561" s="683">
        <v>0</v>
      </c>
      <c r="AA561" s="683">
        <v>0</v>
      </c>
      <c r="AB561" s="683">
        <v>0</v>
      </c>
      <c r="AC561" s="702">
        <v>0</v>
      </c>
      <c r="AD561" s="702">
        <v>0</v>
      </c>
      <c r="AE561" s="732"/>
      <c r="AF561" s="732"/>
      <c r="AG561" s="732"/>
      <c r="AH561" s="732"/>
      <c r="AI561" s="732"/>
      <c r="AJ561" s="732"/>
      <c r="AK561" s="732"/>
      <c r="AL561" s="732"/>
      <c r="AM561" s="732"/>
      <c r="AN561" s="732"/>
      <c r="AO561" s="732"/>
      <c r="AP561" s="732"/>
      <c r="AQ561" s="732"/>
      <c r="AR561" s="732"/>
      <c r="AS561" s="732"/>
      <c r="AT561" s="732"/>
      <c r="AU561" s="732"/>
      <c r="AV561" s="732"/>
      <c r="AW561" s="732"/>
      <c r="AX561" s="732"/>
      <c r="AY561" s="732"/>
      <c r="AZ561" s="732"/>
      <c r="BA561" s="732"/>
      <c r="BB561" s="732"/>
      <c r="BC561" s="732"/>
      <c r="BD561" s="732"/>
      <c r="BE561" s="732"/>
      <c r="BF561" s="732"/>
      <c r="BG561" s="732"/>
      <c r="BH561" s="732"/>
      <c r="BI561" s="732"/>
      <c r="BJ561" s="732"/>
      <c r="BK561" s="732"/>
      <c r="BL561" s="732"/>
      <c r="BM561" s="732"/>
      <c r="BN561" s="732"/>
      <c r="BO561" s="732"/>
      <c r="BP561" s="732"/>
      <c r="BQ561" s="732"/>
      <c r="BR561" s="732"/>
      <c r="BS561" s="732"/>
      <c r="BT561" s="732"/>
      <c r="BU561" s="732"/>
      <c r="BV561" s="732"/>
      <c r="BW561" s="732"/>
      <c r="BX561" s="732"/>
      <c r="BY561" s="732"/>
      <c r="BZ561" s="732"/>
      <c r="CA561" s="732"/>
    </row>
    <row r="562" spans="1:79" hidden="1" outlineLevel="1" x14ac:dyDescent="0.35">
      <c r="A562" s="574"/>
      <c r="B562" s="574"/>
      <c r="C562" s="574"/>
      <c r="D562" s="574"/>
      <c r="E562" s="574"/>
      <c r="F562" s="672" t="s">
        <v>666</v>
      </c>
      <c r="G562" s="574"/>
      <c r="H562" s="735"/>
      <c r="I562" s="735"/>
      <c r="J562" s="735"/>
      <c r="K562" s="735"/>
      <c r="L562" s="735"/>
      <c r="M562" s="735"/>
      <c r="N562" s="735"/>
      <c r="O562" s="735"/>
      <c r="P562" s="732"/>
      <c r="Q562" s="732"/>
      <c r="R562" s="732"/>
      <c r="S562" s="683">
        <v>0</v>
      </c>
      <c r="T562" s="683">
        <v>0</v>
      </c>
      <c r="U562" s="683">
        <v>0</v>
      </c>
      <c r="V562" s="683">
        <v>0</v>
      </c>
      <c r="W562" s="683">
        <v>0</v>
      </c>
      <c r="X562" s="683">
        <v>0</v>
      </c>
      <c r="Y562" s="683">
        <v>0</v>
      </c>
      <c r="Z562" s="683">
        <v>0</v>
      </c>
      <c r="AA562" s="683">
        <v>0</v>
      </c>
      <c r="AB562" s="683">
        <v>0</v>
      </c>
      <c r="AC562" s="702">
        <v>0</v>
      </c>
      <c r="AD562" s="702">
        <v>0</v>
      </c>
      <c r="AE562" s="732"/>
      <c r="AF562" s="732"/>
      <c r="AG562" s="732"/>
      <c r="AH562" s="732"/>
      <c r="AI562" s="732"/>
      <c r="AJ562" s="732"/>
      <c r="AK562" s="732"/>
      <c r="AL562" s="732"/>
      <c r="AM562" s="732"/>
      <c r="AN562" s="732"/>
      <c r="AO562" s="732"/>
      <c r="AP562" s="732"/>
      <c r="AQ562" s="732"/>
      <c r="AR562" s="732"/>
      <c r="AS562" s="732"/>
      <c r="AT562" s="732"/>
      <c r="AU562" s="732"/>
      <c r="AV562" s="732"/>
      <c r="AW562" s="732"/>
      <c r="AX562" s="732"/>
      <c r="AY562" s="732"/>
      <c r="AZ562" s="732"/>
      <c r="BA562" s="732"/>
      <c r="BB562" s="732"/>
      <c r="BC562" s="732"/>
      <c r="BD562" s="732"/>
      <c r="BE562" s="732"/>
      <c r="BF562" s="732"/>
      <c r="BG562" s="732"/>
      <c r="BH562" s="732"/>
      <c r="BI562" s="732"/>
      <c r="BJ562" s="732"/>
      <c r="BK562" s="732"/>
      <c r="BL562" s="732"/>
      <c r="BM562" s="732"/>
      <c r="BN562" s="732"/>
      <c r="BO562" s="732"/>
      <c r="BP562" s="732"/>
      <c r="BQ562" s="732"/>
      <c r="BR562" s="732"/>
      <c r="BS562" s="732"/>
      <c r="BT562" s="732"/>
      <c r="BU562" s="732"/>
      <c r="BV562" s="732"/>
      <c r="BW562" s="732"/>
      <c r="BX562" s="732"/>
      <c r="BY562" s="732"/>
      <c r="BZ562" s="732"/>
      <c r="CA562" s="732"/>
    </row>
    <row r="563" spans="1:79" hidden="1" outlineLevel="1" x14ac:dyDescent="0.35">
      <c r="A563" s="574"/>
      <c r="B563" s="574"/>
      <c r="C563" s="574"/>
      <c r="D563" s="574"/>
      <c r="E563" s="574"/>
      <c r="F563" s="676" t="s">
        <v>667</v>
      </c>
      <c r="G563" s="574"/>
      <c r="H563" s="735"/>
      <c r="I563" s="735"/>
      <c r="J563" s="735"/>
      <c r="K563" s="735"/>
      <c r="L563" s="735"/>
      <c r="M563" s="735"/>
      <c r="N563" s="735"/>
      <c r="O563" s="735"/>
      <c r="P563" s="732"/>
      <c r="Q563" s="732"/>
      <c r="R563" s="732"/>
      <c r="S563" s="683">
        <v>0</v>
      </c>
      <c r="T563" s="683">
        <v>0</v>
      </c>
      <c r="U563" s="683">
        <v>0</v>
      </c>
      <c r="V563" s="683">
        <v>0</v>
      </c>
      <c r="W563" s="683">
        <v>0</v>
      </c>
      <c r="X563" s="683">
        <v>0</v>
      </c>
      <c r="Y563" s="683">
        <v>0</v>
      </c>
      <c r="Z563" s="683">
        <v>51.26</v>
      </c>
      <c r="AA563" s="683">
        <v>77</v>
      </c>
      <c r="AB563" s="683">
        <v>70.709999999999994</v>
      </c>
      <c r="AC563" s="702">
        <v>62.84</v>
      </c>
      <c r="AD563" s="702">
        <v>0</v>
      </c>
      <c r="AE563" s="732"/>
      <c r="AF563" s="732"/>
      <c r="AG563" s="732"/>
      <c r="AH563" s="732"/>
      <c r="AI563" s="732"/>
      <c r="AJ563" s="732"/>
      <c r="AK563" s="732"/>
      <c r="AL563" s="732"/>
      <c r="AM563" s="732"/>
      <c r="AN563" s="732"/>
      <c r="AO563" s="732"/>
      <c r="AP563" s="732"/>
      <c r="AQ563" s="732"/>
      <c r="AR563" s="732"/>
      <c r="AS563" s="732"/>
      <c r="AT563" s="732"/>
      <c r="AU563" s="732"/>
      <c r="AV563" s="732"/>
      <c r="AW563" s="732"/>
      <c r="AX563" s="732"/>
      <c r="AY563" s="732"/>
      <c r="AZ563" s="732"/>
      <c r="BA563" s="732"/>
      <c r="BB563" s="732"/>
      <c r="BC563" s="732"/>
      <c r="BD563" s="732"/>
      <c r="BE563" s="732"/>
      <c r="BF563" s="732"/>
      <c r="BG563" s="732"/>
      <c r="BH563" s="732"/>
      <c r="BI563" s="732"/>
      <c r="BJ563" s="732"/>
      <c r="BK563" s="732"/>
      <c r="BL563" s="732"/>
      <c r="BM563" s="732"/>
      <c r="BN563" s="732"/>
      <c r="BO563" s="732"/>
      <c r="BP563" s="732"/>
      <c r="BQ563" s="732"/>
      <c r="BR563" s="732"/>
      <c r="BS563" s="732"/>
      <c r="BT563" s="732"/>
      <c r="BU563" s="732"/>
      <c r="BV563" s="732"/>
      <c r="BW563" s="732"/>
      <c r="BX563" s="732"/>
      <c r="BY563" s="732"/>
      <c r="BZ563" s="732"/>
      <c r="CA563" s="732"/>
    </row>
    <row r="564" spans="1:79" hidden="1" outlineLevel="1" x14ac:dyDescent="0.35">
      <c r="A564" s="574"/>
      <c r="B564" s="574"/>
      <c r="C564" s="574"/>
      <c r="D564" s="574"/>
      <c r="E564" s="574"/>
      <c r="F564" s="672" t="s">
        <v>888</v>
      </c>
      <c r="G564" s="574"/>
      <c r="H564" s="735"/>
      <c r="I564" s="735"/>
      <c r="J564" s="735"/>
      <c r="K564" s="735"/>
      <c r="L564" s="735"/>
      <c r="M564" s="735"/>
      <c r="N564" s="735"/>
      <c r="O564" s="735"/>
      <c r="P564" s="732"/>
      <c r="Q564" s="732"/>
      <c r="R564" s="732"/>
      <c r="S564" s="683">
        <v>0</v>
      </c>
      <c r="T564" s="683">
        <v>0</v>
      </c>
      <c r="U564" s="683">
        <v>0</v>
      </c>
      <c r="V564" s="683">
        <v>0</v>
      </c>
      <c r="W564" s="683">
        <v>0</v>
      </c>
      <c r="X564" s="683">
        <v>0</v>
      </c>
      <c r="Y564" s="683">
        <v>0</v>
      </c>
      <c r="Z564" s="683">
        <v>0</v>
      </c>
      <c r="AA564" s="683">
        <v>0</v>
      </c>
      <c r="AB564" s="683">
        <v>0</v>
      </c>
      <c r="AC564" s="702">
        <v>0</v>
      </c>
      <c r="AD564" s="702">
        <v>0</v>
      </c>
      <c r="AE564" s="732"/>
      <c r="AF564" s="732"/>
      <c r="AG564" s="732"/>
      <c r="AH564" s="732"/>
      <c r="AI564" s="732"/>
      <c r="AJ564" s="732"/>
      <c r="AK564" s="732"/>
      <c r="AL564" s="732"/>
      <c r="AM564" s="732"/>
      <c r="AN564" s="732"/>
      <c r="AO564" s="732"/>
      <c r="AP564" s="732"/>
      <c r="AQ564" s="732"/>
      <c r="AR564" s="732"/>
      <c r="AS564" s="732"/>
      <c r="AT564" s="732"/>
      <c r="AU564" s="732"/>
      <c r="AV564" s="732"/>
      <c r="AW564" s="732"/>
      <c r="AX564" s="732"/>
      <c r="AY564" s="732"/>
      <c r="AZ564" s="732"/>
      <c r="BA564" s="732"/>
      <c r="BB564" s="732"/>
      <c r="BC564" s="732"/>
      <c r="BD564" s="732"/>
      <c r="BE564" s="732"/>
      <c r="BF564" s="732"/>
      <c r="BG564" s="732"/>
      <c r="BH564" s="732"/>
      <c r="BI564" s="732"/>
      <c r="BJ564" s="732"/>
      <c r="BK564" s="732"/>
      <c r="BL564" s="732"/>
      <c r="BM564" s="732"/>
      <c r="BN564" s="732"/>
      <c r="BO564" s="732"/>
      <c r="BP564" s="732"/>
      <c r="BQ564" s="732"/>
      <c r="BR564" s="732"/>
      <c r="BS564" s="732"/>
      <c r="BT564" s="732"/>
      <c r="BU564" s="732"/>
      <c r="BV564" s="732"/>
      <c r="BW564" s="732"/>
      <c r="BX564" s="732"/>
      <c r="BY564" s="732"/>
      <c r="BZ564" s="732"/>
      <c r="CA564" s="732"/>
    </row>
    <row r="565" spans="1:79" hidden="1" outlineLevel="1" x14ac:dyDescent="0.35">
      <c r="A565" s="574"/>
      <c r="B565" s="574"/>
      <c r="C565" s="574"/>
      <c r="D565" s="574"/>
      <c r="E565" s="574"/>
      <c r="F565" s="673" t="s">
        <v>668</v>
      </c>
      <c r="G565" s="680">
        <f>SUM(G556:G564)</f>
        <v>0</v>
      </c>
      <c r="H565" s="680">
        <f t="shared" ref="H565:BO565" si="232">SUM(H556:H564)</f>
        <v>0</v>
      </c>
      <c r="I565" s="680">
        <f t="shared" si="232"/>
        <v>0</v>
      </c>
      <c r="J565" s="680">
        <f t="shared" si="232"/>
        <v>0</v>
      </c>
      <c r="K565" s="680">
        <f t="shared" si="232"/>
        <v>0</v>
      </c>
      <c r="L565" s="680">
        <f t="shared" si="232"/>
        <v>0</v>
      </c>
      <c r="M565" s="680">
        <f t="shared" si="232"/>
        <v>0</v>
      </c>
      <c r="N565" s="680">
        <f t="shared" si="232"/>
        <v>0</v>
      </c>
      <c r="O565" s="680">
        <f t="shared" si="232"/>
        <v>0</v>
      </c>
      <c r="P565" s="680">
        <f t="shared" si="232"/>
        <v>0</v>
      </c>
      <c r="Q565" s="680">
        <f t="shared" si="232"/>
        <v>0</v>
      </c>
      <c r="R565" s="680">
        <f t="shared" si="232"/>
        <v>0</v>
      </c>
      <c r="S565" s="694">
        <f t="shared" ref="S565:AA565" si="233">ROUND(SUM(S555:S564),5)</f>
        <v>0</v>
      </c>
      <c r="T565" s="694">
        <f t="shared" si="233"/>
        <v>0</v>
      </c>
      <c r="U565" s="694">
        <f t="shared" si="233"/>
        <v>0</v>
      </c>
      <c r="V565" s="694">
        <f t="shared" si="233"/>
        <v>0</v>
      </c>
      <c r="W565" s="694">
        <f t="shared" si="233"/>
        <v>0</v>
      </c>
      <c r="X565" s="694">
        <f t="shared" si="233"/>
        <v>0</v>
      </c>
      <c r="Y565" s="694">
        <f t="shared" si="233"/>
        <v>0</v>
      </c>
      <c r="Z565" s="694">
        <f t="shared" si="233"/>
        <v>51.26</v>
      </c>
      <c r="AA565" s="694">
        <f t="shared" si="233"/>
        <v>77</v>
      </c>
      <c r="AB565" s="694">
        <f>ROUND(SUM(AB555:AB564),5)</f>
        <v>70.709999999999994</v>
      </c>
      <c r="AC565" s="694">
        <f>ROUND(SUM(AC555:AC564),5)</f>
        <v>62.84</v>
      </c>
      <c r="AD565" s="694">
        <f>ROUND(SUM(AD555:AD564),5)</f>
        <v>0</v>
      </c>
      <c r="AE565" s="680">
        <f t="shared" si="232"/>
        <v>0</v>
      </c>
      <c r="AF565" s="680">
        <f t="shared" si="232"/>
        <v>0</v>
      </c>
      <c r="AG565" s="680">
        <f t="shared" si="232"/>
        <v>0</v>
      </c>
      <c r="AH565" s="680">
        <f t="shared" si="232"/>
        <v>0</v>
      </c>
      <c r="AI565" s="680">
        <f t="shared" si="232"/>
        <v>0</v>
      </c>
      <c r="AJ565" s="680">
        <f t="shared" si="232"/>
        <v>0</v>
      </c>
      <c r="AK565" s="680">
        <f t="shared" si="232"/>
        <v>0</v>
      </c>
      <c r="AL565" s="680">
        <f t="shared" si="232"/>
        <v>0</v>
      </c>
      <c r="AM565" s="680">
        <f t="shared" si="232"/>
        <v>0</v>
      </c>
      <c r="AN565" s="680">
        <f t="shared" si="232"/>
        <v>0</v>
      </c>
      <c r="AO565" s="680">
        <f t="shared" si="232"/>
        <v>0</v>
      </c>
      <c r="AP565" s="680">
        <f t="shared" si="232"/>
        <v>0</v>
      </c>
      <c r="AQ565" s="680">
        <f t="shared" si="232"/>
        <v>0</v>
      </c>
      <c r="AR565" s="680">
        <f t="shared" si="232"/>
        <v>0</v>
      </c>
      <c r="AS565" s="680">
        <f t="shared" si="232"/>
        <v>0</v>
      </c>
      <c r="AT565" s="680">
        <f t="shared" si="232"/>
        <v>0</v>
      </c>
      <c r="AU565" s="680">
        <f t="shared" si="232"/>
        <v>0</v>
      </c>
      <c r="AV565" s="680">
        <f t="shared" si="232"/>
        <v>0</v>
      </c>
      <c r="AW565" s="680">
        <f t="shared" si="232"/>
        <v>0</v>
      </c>
      <c r="AX565" s="680">
        <f t="shared" si="232"/>
        <v>0</v>
      </c>
      <c r="AY565" s="680">
        <f t="shared" si="232"/>
        <v>0</v>
      </c>
      <c r="AZ565" s="680">
        <f t="shared" si="232"/>
        <v>0</v>
      </c>
      <c r="BA565" s="680">
        <f t="shared" si="232"/>
        <v>0</v>
      </c>
      <c r="BB565" s="680">
        <f t="shared" si="232"/>
        <v>0</v>
      </c>
      <c r="BC565" s="680">
        <f t="shared" si="232"/>
        <v>0</v>
      </c>
      <c r="BD565" s="680">
        <f t="shared" si="232"/>
        <v>0</v>
      </c>
      <c r="BE565" s="680">
        <f t="shared" si="232"/>
        <v>0</v>
      </c>
      <c r="BF565" s="680">
        <f t="shared" si="232"/>
        <v>0</v>
      </c>
      <c r="BG565" s="680">
        <f t="shared" si="232"/>
        <v>0</v>
      </c>
      <c r="BH565" s="680">
        <f t="shared" si="232"/>
        <v>0</v>
      </c>
      <c r="BI565" s="680">
        <f t="shared" si="232"/>
        <v>0</v>
      </c>
      <c r="BJ565" s="680">
        <f t="shared" si="232"/>
        <v>0</v>
      </c>
      <c r="BK565" s="680">
        <f t="shared" si="232"/>
        <v>0</v>
      </c>
      <c r="BL565" s="680">
        <f t="shared" si="232"/>
        <v>0</v>
      </c>
      <c r="BM565" s="680">
        <f t="shared" si="232"/>
        <v>0</v>
      </c>
      <c r="BN565" s="680">
        <f t="shared" si="232"/>
        <v>0</v>
      </c>
      <c r="BO565" s="680">
        <f t="shared" si="232"/>
        <v>0</v>
      </c>
      <c r="BP565" s="680">
        <f t="shared" ref="BP565:CA565" si="234">SUM(BP556:BP564)</f>
        <v>0</v>
      </c>
      <c r="BQ565" s="680">
        <f t="shared" si="234"/>
        <v>0</v>
      </c>
      <c r="BR565" s="680">
        <f t="shared" si="234"/>
        <v>0</v>
      </c>
      <c r="BS565" s="680">
        <f t="shared" si="234"/>
        <v>0</v>
      </c>
      <c r="BT565" s="680">
        <f t="shared" si="234"/>
        <v>0</v>
      </c>
      <c r="BU565" s="680">
        <f t="shared" si="234"/>
        <v>0</v>
      </c>
      <c r="BV565" s="680">
        <f t="shared" si="234"/>
        <v>0</v>
      </c>
      <c r="BW565" s="680">
        <f t="shared" si="234"/>
        <v>0</v>
      </c>
      <c r="BX565" s="680">
        <f t="shared" si="234"/>
        <v>0</v>
      </c>
      <c r="BY565" s="680">
        <f t="shared" si="234"/>
        <v>0</v>
      </c>
      <c r="BZ565" s="680">
        <f t="shared" si="234"/>
        <v>0</v>
      </c>
      <c r="CA565" s="680">
        <f t="shared" si="234"/>
        <v>0</v>
      </c>
    </row>
    <row r="566" spans="1:79" hidden="1" outlineLevel="1" x14ac:dyDescent="0.35">
      <c r="A566" s="574"/>
      <c r="B566" s="574"/>
      <c r="C566" s="574"/>
      <c r="D566" s="574"/>
      <c r="E566" s="574"/>
      <c r="F566" s="671" t="s">
        <v>669</v>
      </c>
      <c r="G566" s="574"/>
      <c r="H566" s="735"/>
      <c r="I566" s="735"/>
      <c r="J566" s="735"/>
      <c r="K566" s="735"/>
      <c r="L566" s="735"/>
      <c r="M566" s="735"/>
      <c r="N566" s="735"/>
      <c r="O566" s="735"/>
      <c r="P566" s="732"/>
      <c r="Q566" s="732"/>
      <c r="R566" s="732"/>
      <c r="S566" s="683">
        <v>0</v>
      </c>
      <c r="T566" s="683">
        <v>0</v>
      </c>
      <c r="U566" s="683">
        <v>0</v>
      </c>
      <c r="V566" s="683">
        <v>0</v>
      </c>
      <c r="W566" s="683">
        <v>0</v>
      </c>
      <c r="X566" s="683">
        <v>0</v>
      </c>
      <c r="Y566" s="683">
        <v>0</v>
      </c>
      <c r="Z566" s="683">
        <v>0</v>
      </c>
      <c r="AA566" s="683">
        <v>0</v>
      </c>
      <c r="AB566" s="683">
        <v>0</v>
      </c>
      <c r="AC566" s="702">
        <v>0</v>
      </c>
      <c r="AD566" s="702">
        <v>0</v>
      </c>
      <c r="AE566" s="732"/>
      <c r="AF566" s="732"/>
      <c r="AG566" s="732"/>
      <c r="AH566" s="732"/>
      <c r="AI566" s="732"/>
      <c r="AJ566" s="732"/>
      <c r="AK566" s="732"/>
      <c r="AL566" s="732"/>
      <c r="AM566" s="732"/>
      <c r="AN566" s="732"/>
      <c r="AO566" s="732"/>
      <c r="AP566" s="732"/>
      <c r="AQ566" s="732"/>
      <c r="AR566" s="732"/>
      <c r="AS566" s="732"/>
      <c r="AT566" s="732"/>
      <c r="AU566" s="732"/>
      <c r="AV566" s="732"/>
      <c r="AW566" s="732"/>
      <c r="AX566" s="732"/>
      <c r="AY566" s="732"/>
      <c r="AZ566" s="732"/>
      <c r="BA566" s="732"/>
      <c r="BB566" s="732"/>
      <c r="BC566" s="732"/>
      <c r="BD566" s="732"/>
      <c r="BE566" s="732"/>
      <c r="BF566" s="732"/>
      <c r="BG566" s="732"/>
      <c r="BH566" s="732"/>
      <c r="BI566" s="732"/>
      <c r="BJ566" s="732"/>
      <c r="BK566" s="732"/>
      <c r="BL566" s="732"/>
      <c r="BM566" s="732"/>
      <c r="BN566" s="732"/>
      <c r="BO566" s="732"/>
      <c r="BP566" s="732"/>
      <c r="BQ566" s="732"/>
      <c r="BR566" s="732"/>
      <c r="BS566" s="732"/>
      <c r="BT566" s="732"/>
      <c r="BU566" s="732"/>
      <c r="BV566" s="732"/>
      <c r="BW566" s="732"/>
      <c r="BX566" s="732"/>
      <c r="BY566" s="732"/>
      <c r="BZ566" s="732"/>
      <c r="CA566" s="732"/>
    </row>
    <row r="567" spans="1:79" s="709" customFormat="1" hidden="1" outlineLevel="1" x14ac:dyDescent="0.35">
      <c r="F567" s="717" t="s">
        <v>597</v>
      </c>
      <c r="H567" s="750"/>
      <c r="I567" s="750"/>
      <c r="J567" s="750"/>
      <c r="K567" s="750"/>
      <c r="L567" s="750"/>
      <c r="M567" s="750"/>
      <c r="N567" s="750"/>
      <c r="O567" s="750"/>
      <c r="P567" s="751"/>
      <c r="Q567" s="751"/>
      <c r="R567" s="751"/>
      <c r="S567" s="713"/>
      <c r="T567" s="713"/>
      <c r="U567" s="713"/>
      <c r="V567" s="713"/>
      <c r="W567" s="713"/>
      <c r="X567" s="713"/>
      <c r="Y567" s="713"/>
      <c r="Z567" s="713"/>
      <c r="AA567" s="713"/>
      <c r="AB567" s="713"/>
      <c r="AC567" s="721"/>
      <c r="AD567" s="721"/>
      <c r="AE567" s="751"/>
      <c r="AF567" s="751"/>
      <c r="AG567" s="751"/>
      <c r="AH567" s="751"/>
      <c r="AI567" s="751"/>
      <c r="AJ567" s="751"/>
      <c r="AK567" s="751"/>
      <c r="AL567" s="751"/>
      <c r="AM567" s="751"/>
      <c r="AN567" s="751"/>
      <c r="AO567" s="751"/>
      <c r="AP567" s="751"/>
      <c r="AQ567" s="751"/>
      <c r="AR567" s="751"/>
      <c r="AS567" s="751"/>
      <c r="AT567" s="751"/>
      <c r="AU567" s="751"/>
      <c r="AV567" s="751"/>
      <c r="AW567" s="751"/>
      <c r="AX567" s="751"/>
      <c r="AY567" s="751"/>
      <c r="AZ567" s="751"/>
      <c r="BA567" s="751"/>
      <c r="BB567" s="751"/>
      <c r="BC567" s="751"/>
      <c r="BD567" s="751"/>
      <c r="BE567" s="751"/>
      <c r="BF567" s="751"/>
      <c r="BG567" s="751"/>
      <c r="BH567" s="751"/>
      <c r="BI567" s="751"/>
      <c r="BJ567" s="751"/>
      <c r="BK567" s="751"/>
      <c r="BL567" s="751"/>
      <c r="BM567" s="751"/>
      <c r="BN567" s="751"/>
      <c r="BO567" s="751"/>
      <c r="BP567" s="751"/>
      <c r="BQ567" s="751"/>
      <c r="BR567" s="751"/>
      <c r="BS567" s="751"/>
      <c r="BT567" s="751"/>
      <c r="BU567" s="751"/>
      <c r="BV567" s="751"/>
      <c r="BW567" s="751"/>
      <c r="BX567" s="751"/>
      <c r="BY567" s="751"/>
      <c r="BZ567" s="751"/>
      <c r="CA567" s="751"/>
    </row>
    <row r="568" spans="1:79" hidden="1" outlineLevel="1" x14ac:dyDescent="0.35">
      <c r="A568" s="574"/>
      <c r="B568" s="574"/>
      <c r="C568" s="574"/>
      <c r="D568" s="574"/>
      <c r="E568" s="574"/>
      <c r="F568" s="672" t="s">
        <v>889</v>
      </c>
      <c r="G568" s="574"/>
      <c r="H568" s="735"/>
      <c r="I568" s="735"/>
      <c r="J568" s="735"/>
      <c r="K568" s="735"/>
      <c r="L568" s="735"/>
      <c r="M568" s="735"/>
      <c r="N568" s="735"/>
      <c r="O568" s="735"/>
      <c r="P568" s="732"/>
      <c r="Q568" s="732"/>
      <c r="R568" s="732"/>
      <c r="S568" s="687">
        <v>0</v>
      </c>
      <c r="T568" s="687">
        <v>0</v>
      </c>
      <c r="U568" s="687">
        <v>0</v>
      </c>
      <c r="V568" s="687">
        <v>0</v>
      </c>
      <c r="W568" s="687">
        <v>0</v>
      </c>
      <c r="X568" s="687">
        <v>0</v>
      </c>
      <c r="Y568" s="687">
        <v>0</v>
      </c>
      <c r="Z568" s="687">
        <v>0</v>
      </c>
      <c r="AA568" s="687">
        <v>0</v>
      </c>
      <c r="AB568" s="687">
        <v>0</v>
      </c>
      <c r="AC568" s="703">
        <v>0</v>
      </c>
      <c r="AD568" s="703">
        <v>0</v>
      </c>
      <c r="AE568" s="732"/>
      <c r="AF568" s="732"/>
      <c r="AG568" s="732"/>
      <c r="AH568" s="732"/>
      <c r="AI568" s="732"/>
      <c r="AJ568" s="732"/>
      <c r="AK568" s="732"/>
      <c r="AL568" s="732"/>
      <c r="AM568" s="732"/>
      <c r="AN568" s="732"/>
      <c r="AO568" s="732"/>
      <c r="AP568" s="732"/>
      <c r="AQ568" s="732"/>
      <c r="AR568" s="732"/>
      <c r="AS568" s="732"/>
      <c r="AT568" s="732"/>
      <c r="AU568" s="732"/>
      <c r="AV568" s="732"/>
      <c r="AW568" s="732"/>
      <c r="AX568" s="732"/>
      <c r="AY568" s="732"/>
      <c r="AZ568" s="732"/>
      <c r="BA568" s="732"/>
      <c r="BB568" s="732"/>
      <c r="BC568" s="732"/>
      <c r="BD568" s="732"/>
      <c r="BE568" s="732"/>
      <c r="BF568" s="732"/>
      <c r="BG568" s="732"/>
      <c r="BH568" s="732"/>
      <c r="BI568" s="732"/>
      <c r="BJ568" s="732"/>
      <c r="BK568" s="732"/>
      <c r="BL568" s="732"/>
      <c r="BM568" s="732"/>
      <c r="BN568" s="732"/>
      <c r="BO568" s="732"/>
      <c r="BP568" s="732"/>
      <c r="BQ568" s="732"/>
      <c r="BR568" s="732"/>
      <c r="BS568" s="732"/>
      <c r="BT568" s="732"/>
      <c r="BU568" s="732"/>
      <c r="BV568" s="732"/>
      <c r="BW568" s="732"/>
      <c r="BX568" s="732"/>
      <c r="BY568" s="732"/>
      <c r="BZ568" s="732"/>
      <c r="CA568" s="732"/>
    </row>
    <row r="569" spans="1:79" hidden="1" outlineLevel="1" x14ac:dyDescent="0.35">
      <c r="A569" s="574"/>
      <c r="B569" s="574"/>
      <c r="C569" s="574"/>
      <c r="D569" s="574"/>
      <c r="E569" s="574"/>
      <c r="F569" s="672" t="s">
        <v>890</v>
      </c>
      <c r="G569" s="574"/>
      <c r="H569" s="735"/>
      <c r="I569" s="735"/>
      <c r="J569" s="735"/>
      <c r="K569" s="735"/>
      <c r="L569" s="735"/>
      <c r="M569" s="735"/>
      <c r="N569" s="735"/>
      <c r="O569" s="735"/>
      <c r="P569" s="732"/>
      <c r="Q569" s="732"/>
      <c r="R569" s="732"/>
      <c r="S569" s="687">
        <v>0</v>
      </c>
      <c r="T569" s="687">
        <v>0</v>
      </c>
      <c r="U569" s="687">
        <v>0</v>
      </c>
      <c r="V569" s="687">
        <v>0</v>
      </c>
      <c r="W569" s="687">
        <v>0</v>
      </c>
      <c r="X569" s="687">
        <v>0</v>
      </c>
      <c r="Y569" s="687">
        <v>0</v>
      </c>
      <c r="Z569" s="687">
        <v>0</v>
      </c>
      <c r="AA569" s="687">
        <v>0</v>
      </c>
      <c r="AB569" s="687">
        <v>0</v>
      </c>
      <c r="AC569" s="703">
        <v>0</v>
      </c>
      <c r="AD569" s="703">
        <v>0</v>
      </c>
      <c r="AE569" s="732"/>
      <c r="AF569" s="732"/>
      <c r="AG569" s="732"/>
      <c r="AH569" s="732"/>
      <c r="AI569" s="732"/>
      <c r="AJ569" s="732"/>
      <c r="AK569" s="732"/>
      <c r="AL569" s="732"/>
      <c r="AM569" s="732"/>
      <c r="AN569" s="732"/>
      <c r="AO569" s="732"/>
      <c r="AP569" s="732"/>
      <c r="AQ569" s="732"/>
      <c r="AR569" s="732"/>
      <c r="AS569" s="732"/>
      <c r="AT569" s="732"/>
      <c r="AU569" s="732"/>
      <c r="AV569" s="732"/>
      <c r="AW569" s="732"/>
      <c r="AX569" s="732"/>
      <c r="AY569" s="732"/>
      <c r="AZ569" s="732"/>
      <c r="BA569" s="732"/>
      <c r="BB569" s="732"/>
      <c r="BC569" s="732"/>
      <c r="BD569" s="732"/>
      <c r="BE569" s="732"/>
      <c r="BF569" s="732"/>
      <c r="BG569" s="732"/>
      <c r="BH569" s="732"/>
      <c r="BI569" s="732"/>
      <c r="BJ569" s="732"/>
      <c r="BK569" s="732"/>
      <c r="BL569" s="732"/>
      <c r="BM569" s="732"/>
      <c r="BN569" s="732"/>
      <c r="BO569" s="732"/>
      <c r="BP569" s="732"/>
      <c r="BQ569" s="732"/>
      <c r="BR569" s="732"/>
      <c r="BS569" s="732"/>
      <c r="BT569" s="732"/>
      <c r="BU569" s="732"/>
      <c r="BV569" s="732"/>
      <c r="BW569" s="732"/>
      <c r="BX569" s="732"/>
      <c r="BY569" s="732"/>
      <c r="BZ569" s="732"/>
      <c r="CA569" s="732"/>
    </row>
    <row r="570" spans="1:79" hidden="1" outlineLevel="1" x14ac:dyDescent="0.35">
      <c r="A570" s="574"/>
      <c r="B570" s="574"/>
      <c r="C570" s="574"/>
      <c r="D570" s="574"/>
      <c r="E570" s="574"/>
      <c r="F570" s="672" t="s">
        <v>891</v>
      </c>
      <c r="G570" s="574"/>
      <c r="H570" s="735"/>
      <c r="I570" s="735"/>
      <c r="J570" s="735"/>
      <c r="K570" s="735"/>
      <c r="L570" s="735"/>
      <c r="M570" s="735"/>
      <c r="N570" s="735"/>
      <c r="O570" s="735"/>
      <c r="P570" s="732"/>
      <c r="Q570" s="732"/>
      <c r="R570" s="732"/>
      <c r="S570" s="687">
        <v>0</v>
      </c>
      <c r="T570" s="687">
        <v>0</v>
      </c>
      <c r="U570" s="687">
        <v>0</v>
      </c>
      <c r="V570" s="687">
        <v>0</v>
      </c>
      <c r="W570" s="687">
        <v>0</v>
      </c>
      <c r="X570" s="687">
        <v>0</v>
      </c>
      <c r="Y570" s="687">
        <v>0</v>
      </c>
      <c r="Z570" s="687">
        <v>0</v>
      </c>
      <c r="AA570" s="687">
        <v>0</v>
      </c>
      <c r="AB570" s="687">
        <v>0</v>
      </c>
      <c r="AC570" s="703">
        <v>0</v>
      </c>
      <c r="AD570" s="703">
        <v>0</v>
      </c>
      <c r="AE570" s="732"/>
      <c r="AF570" s="732"/>
      <c r="AG570" s="732"/>
      <c r="AH570" s="732"/>
      <c r="AI570" s="732"/>
      <c r="AJ570" s="732"/>
      <c r="AK570" s="732"/>
      <c r="AL570" s="732"/>
      <c r="AM570" s="732"/>
      <c r="AN570" s="732"/>
      <c r="AO570" s="732"/>
      <c r="AP570" s="732"/>
      <c r="AQ570" s="732"/>
      <c r="AR570" s="732"/>
      <c r="AS570" s="732"/>
      <c r="AT570" s="732"/>
      <c r="AU570" s="732"/>
      <c r="AV570" s="732"/>
      <c r="AW570" s="732"/>
      <c r="AX570" s="732"/>
      <c r="AY570" s="732"/>
      <c r="AZ570" s="732"/>
      <c r="BA570" s="732"/>
      <c r="BB570" s="732"/>
      <c r="BC570" s="732"/>
      <c r="BD570" s="732"/>
      <c r="BE570" s="732"/>
      <c r="BF570" s="732"/>
      <c r="BG570" s="732"/>
      <c r="BH570" s="732"/>
      <c r="BI570" s="732"/>
      <c r="BJ570" s="732"/>
      <c r="BK570" s="732"/>
      <c r="BL570" s="732"/>
      <c r="BM570" s="732"/>
      <c r="BN570" s="732"/>
      <c r="BO570" s="732"/>
      <c r="BP570" s="732"/>
      <c r="BQ570" s="732"/>
      <c r="BR570" s="732"/>
      <c r="BS570" s="732"/>
      <c r="BT570" s="732"/>
      <c r="BU570" s="732"/>
      <c r="BV570" s="732"/>
      <c r="BW570" s="732"/>
      <c r="BX570" s="732"/>
      <c r="BY570" s="732"/>
      <c r="BZ570" s="732"/>
      <c r="CA570" s="732"/>
    </row>
    <row r="571" spans="1:79" hidden="1" outlineLevel="1" x14ac:dyDescent="0.35">
      <c r="A571" s="574"/>
      <c r="B571" s="574"/>
      <c r="C571" s="574"/>
      <c r="D571" s="574"/>
      <c r="E571" s="574"/>
      <c r="F571" s="672" t="s">
        <v>892</v>
      </c>
      <c r="G571" s="574"/>
      <c r="H571" s="735"/>
      <c r="I571" s="735"/>
      <c r="J571" s="735"/>
      <c r="K571" s="735"/>
      <c r="L571" s="735"/>
      <c r="M571" s="735"/>
      <c r="N571" s="735"/>
      <c r="O571" s="735"/>
      <c r="P571" s="732"/>
      <c r="Q571" s="732"/>
      <c r="R571" s="732"/>
      <c r="S571" s="687">
        <v>0</v>
      </c>
      <c r="T571" s="687">
        <v>0</v>
      </c>
      <c r="U571" s="687">
        <v>0</v>
      </c>
      <c r="V571" s="687">
        <v>0</v>
      </c>
      <c r="W571" s="687">
        <v>0</v>
      </c>
      <c r="X571" s="687">
        <v>0</v>
      </c>
      <c r="Y571" s="687">
        <v>0</v>
      </c>
      <c r="Z571" s="687">
        <v>0</v>
      </c>
      <c r="AA571" s="687">
        <v>0</v>
      </c>
      <c r="AB571" s="687">
        <v>0</v>
      </c>
      <c r="AC571" s="703">
        <v>0</v>
      </c>
      <c r="AD571" s="703">
        <v>0</v>
      </c>
      <c r="AE571" s="732"/>
      <c r="AF571" s="732"/>
      <c r="AG571" s="732"/>
      <c r="AH571" s="732"/>
      <c r="AI571" s="732"/>
      <c r="AJ571" s="732"/>
      <c r="AK571" s="732"/>
      <c r="AL571" s="732"/>
      <c r="AM571" s="732"/>
      <c r="AN571" s="732"/>
      <c r="AO571" s="732"/>
      <c r="AP571" s="732"/>
      <c r="AQ571" s="732"/>
      <c r="AR571" s="732"/>
      <c r="AS571" s="732"/>
      <c r="AT571" s="732"/>
      <c r="AU571" s="732"/>
      <c r="AV571" s="732"/>
      <c r="AW571" s="732"/>
      <c r="AX571" s="732"/>
      <c r="AY571" s="732"/>
      <c r="AZ571" s="732"/>
      <c r="BA571" s="732"/>
      <c r="BB571" s="732"/>
      <c r="BC571" s="732"/>
      <c r="BD571" s="732"/>
      <c r="BE571" s="732"/>
      <c r="BF571" s="732"/>
      <c r="BG571" s="732"/>
      <c r="BH571" s="732"/>
      <c r="BI571" s="732"/>
      <c r="BJ571" s="732"/>
      <c r="BK571" s="732"/>
      <c r="BL571" s="732"/>
      <c r="BM571" s="732"/>
      <c r="BN571" s="732"/>
      <c r="BO571" s="732"/>
      <c r="BP571" s="732"/>
      <c r="BQ571" s="732"/>
      <c r="BR571" s="732"/>
      <c r="BS571" s="732"/>
      <c r="BT571" s="732"/>
      <c r="BU571" s="732"/>
      <c r="BV571" s="732"/>
      <c r="BW571" s="732"/>
      <c r="BX571" s="732"/>
      <c r="BY571" s="732"/>
      <c r="BZ571" s="732"/>
      <c r="CA571" s="732"/>
    </row>
    <row r="572" spans="1:79" hidden="1" outlineLevel="1" x14ac:dyDescent="0.35">
      <c r="A572" s="574"/>
      <c r="B572" s="574"/>
      <c r="C572" s="574"/>
      <c r="D572" s="574"/>
      <c r="E572" s="574"/>
      <c r="F572" s="672" t="s">
        <v>825</v>
      </c>
      <c r="G572" s="574"/>
      <c r="H572" s="735"/>
      <c r="I572" s="735"/>
      <c r="J572" s="735"/>
      <c r="K572" s="735"/>
      <c r="L572" s="735"/>
      <c r="M572" s="735"/>
      <c r="N572" s="735"/>
      <c r="O572" s="735"/>
      <c r="P572" s="732"/>
      <c r="Q572" s="732"/>
      <c r="R572" s="732"/>
      <c r="S572" s="687">
        <v>0</v>
      </c>
      <c r="T572" s="687">
        <v>0</v>
      </c>
      <c r="U572" s="687">
        <v>0</v>
      </c>
      <c r="V572" s="687">
        <v>0</v>
      </c>
      <c r="W572" s="687">
        <v>0</v>
      </c>
      <c r="X572" s="687">
        <v>0</v>
      </c>
      <c r="Y572" s="687">
        <v>0</v>
      </c>
      <c r="Z572" s="687">
        <v>0</v>
      </c>
      <c r="AA572" s="687">
        <v>0</v>
      </c>
      <c r="AB572" s="687">
        <v>0</v>
      </c>
      <c r="AC572" s="703">
        <v>0</v>
      </c>
      <c r="AD572" s="703">
        <v>0</v>
      </c>
      <c r="AE572" s="732"/>
      <c r="AF572" s="732"/>
      <c r="AG572" s="732"/>
      <c r="AH572" s="732"/>
      <c r="AI572" s="732"/>
      <c r="AJ572" s="732"/>
      <c r="AK572" s="732"/>
      <c r="AL572" s="732"/>
      <c r="AM572" s="732"/>
      <c r="AN572" s="732"/>
      <c r="AO572" s="732"/>
      <c r="AP572" s="732"/>
      <c r="AQ572" s="732"/>
      <c r="AR572" s="732"/>
      <c r="AS572" s="732"/>
      <c r="AT572" s="732"/>
      <c r="AU572" s="732"/>
      <c r="AV572" s="732"/>
      <c r="AW572" s="732"/>
      <c r="AX572" s="732"/>
      <c r="AY572" s="732"/>
      <c r="AZ572" s="732"/>
      <c r="BA572" s="732"/>
      <c r="BB572" s="732"/>
      <c r="BC572" s="732"/>
      <c r="BD572" s="732"/>
      <c r="BE572" s="732"/>
      <c r="BF572" s="732"/>
      <c r="BG572" s="732"/>
      <c r="BH572" s="732"/>
      <c r="BI572" s="732"/>
      <c r="BJ572" s="732"/>
      <c r="BK572" s="732"/>
      <c r="BL572" s="732"/>
      <c r="BM572" s="732"/>
      <c r="BN572" s="732"/>
      <c r="BO572" s="732"/>
      <c r="BP572" s="732"/>
      <c r="BQ572" s="732"/>
      <c r="BR572" s="732"/>
      <c r="BS572" s="732"/>
      <c r="BT572" s="732"/>
      <c r="BU572" s="732"/>
      <c r="BV572" s="732"/>
      <c r="BW572" s="732"/>
      <c r="BX572" s="732"/>
      <c r="BY572" s="732"/>
      <c r="BZ572" s="732"/>
      <c r="CA572" s="732"/>
    </row>
    <row r="573" spans="1:79" hidden="1" outlineLevel="1" x14ac:dyDescent="0.35">
      <c r="A573" s="574"/>
      <c r="B573" s="574"/>
      <c r="C573" s="574"/>
      <c r="D573" s="574"/>
      <c r="E573" s="574"/>
      <c r="F573" s="672" t="s">
        <v>613</v>
      </c>
      <c r="G573" s="574"/>
      <c r="H573" s="735"/>
      <c r="I573" s="735"/>
      <c r="J573" s="735"/>
      <c r="K573" s="735"/>
      <c r="L573" s="735"/>
      <c r="M573" s="735"/>
      <c r="N573" s="735"/>
      <c r="O573" s="735"/>
      <c r="P573" s="732"/>
      <c r="Q573" s="732"/>
      <c r="R573" s="732"/>
      <c r="S573" s="687">
        <v>0</v>
      </c>
      <c r="T573" s="687">
        <v>0</v>
      </c>
      <c r="U573" s="687">
        <v>0</v>
      </c>
      <c r="V573" s="687">
        <v>0</v>
      </c>
      <c r="W573" s="687">
        <v>0</v>
      </c>
      <c r="X573" s="687">
        <v>0</v>
      </c>
      <c r="Y573" s="687">
        <v>0</v>
      </c>
      <c r="Z573" s="687">
        <v>0</v>
      </c>
      <c r="AA573" s="687">
        <v>0</v>
      </c>
      <c r="AB573" s="687">
        <v>0</v>
      </c>
      <c r="AC573" s="703">
        <v>0</v>
      </c>
      <c r="AD573" s="703">
        <v>0</v>
      </c>
      <c r="AE573" s="732"/>
      <c r="AF573" s="732"/>
      <c r="AG573" s="732"/>
      <c r="AH573" s="732"/>
      <c r="AI573" s="732"/>
      <c r="AJ573" s="732"/>
      <c r="AK573" s="732"/>
      <c r="AL573" s="732"/>
      <c r="AM573" s="732"/>
      <c r="AN573" s="732"/>
      <c r="AO573" s="732"/>
      <c r="AP573" s="732"/>
      <c r="AQ573" s="732"/>
      <c r="AR573" s="732"/>
      <c r="AS573" s="732"/>
      <c r="AT573" s="732"/>
      <c r="AU573" s="732"/>
      <c r="AV573" s="732"/>
      <c r="AW573" s="732"/>
      <c r="AX573" s="732"/>
      <c r="AY573" s="732"/>
      <c r="AZ573" s="732"/>
      <c r="BA573" s="732"/>
      <c r="BB573" s="732"/>
      <c r="BC573" s="732"/>
      <c r="BD573" s="732"/>
      <c r="BE573" s="732"/>
      <c r="BF573" s="732"/>
      <c r="BG573" s="732"/>
      <c r="BH573" s="732"/>
      <c r="BI573" s="732"/>
      <c r="BJ573" s="732"/>
      <c r="BK573" s="732"/>
      <c r="BL573" s="732"/>
      <c r="BM573" s="732"/>
      <c r="BN573" s="732"/>
      <c r="BO573" s="732"/>
      <c r="BP573" s="732"/>
      <c r="BQ573" s="732"/>
      <c r="BR573" s="732"/>
      <c r="BS573" s="732"/>
      <c r="BT573" s="732"/>
      <c r="BU573" s="732"/>
      <c r="BV573" s="732"/>
      <c r="BW573" s="732"/>
      <c r="BX573" s="732"/>
      <c r="BY573" s="732"/>
      <c r="BZ573" s="732"/>
      <c r="CA573" s="732"/>
    </row>
    <row r="574" spans="1:79" hidden="1" outlineLevel="1" x14ac:dyDescent="0.35">
      <c r="A574" s="574"/>
      <c r="B574" s="574"/>
      <c r="C574" s="574"/>
      <c r="D574" s="574"/>
      <c r="E574" s="574"/>
      <c r="F574" s="672" t="s">
        <v>614</v>
      </c>
      <c r="G574" s="574"/>
      <c r="H574" s="735"/>
      <c r="I574" s="735"/>
      <c r="J574" s="735"/>
      <c r="K574" s="735"/>
      <c r="L574" s="735"/>
      <c r="M574" s="735"/>
      <c r="N574" s="735"/>
      <c r="O574" s="735"/>
      <c r="P574" s="732"/>
      <c r="Q574" s="732"/>
      <c r="R574" s="732"/>
      <c r="S574" s="692">
        <v>0</v>
      </c>
      <c r="T574" s="692">
        <v>0</v>
      </c>
      <c r="U574" s="692">
        <v>0</v>
      </c>
      <c r="V574" s="692">
        <v>0</v>
      </c>
      <c r="W574" s="692">
        <v>0</v>
      </c>
      <c r="X574" s="692">
        <v>23.99</v>
      </c>
      <c r="Y574" s="692">
        <v>0</v>
      </c>
      <c r="Z574" s="692">
        <v>0</v>
      </c>
      <c r="AA574" s="692">
        <v>0</v>
      </c>
      <c r="AB574" s="692">
        <v>0</v>
      </c>
      <c r="AC574" s="690">
        <v>0</v>
      </c>
      <c r="AD574" s="690">
        <v>0</v>
      </c>
      <c r="AE574" s="732"/>
      <c r="AF574" s="732"/>
      <c r="AG574" s="732"/>
      <c r="AH574" s="732"/>
      <c r="AI574" s="732"/>
      <c r="AJ574" s="732"/>
      <c r="AK574" s="732"/>
      <c r="AL574" s="732"/>
      <c r="AM574" s="732"/>
      <c r="AN574" s="732"/>
      <c r="AO574" s="732"/>
      <c r="AP574" s="732"/>
      <c r="AQ574" s="732"/>
      <c r="AR574" s="732"/>
      <c r="AS574" s="732"/>
      <c r="AT574" s="732"/>
      <c r="AU574" s="732"/>
      <c r="AV574" s="732"/>
      <c r="AW574" s="732"/>
      <c r="AX574" s="732"/>
      <c r="AY574" s="732"/>
      <c r="AZ574" s="732"/>
      <c r="BA574" s="732"/>
      <c r="BB574" s="732"/>
      <c r="BC574" s="732"/>
      <c r="BD574" s="732"/>
      <c r="BE574" s="732"/>
      <c r="BF574" s="732"/>
      <c r="BG574" s="732"/>
      <c r="BH574" s="732"/>
      <c r="BI574" s="732"/>
      <c r="BJ574" s="732"/>
      <c r="BK574" s="732"/>
      <c r="BL574" s="732"/>
      <c r="BM574" s="732"/>
      <c r="BN574" s="732"/>
      <c r="BO574" s="732"/>
      <c r="BP574" s="732"/>
      <c r="BQ574" s="732"/>
      <c r="BR574" s="732"/>
      <c r="BS574" s="732"/>
      <c r="BT574" s="732"/>
      <c r="BU574" s="732"/>
      <c r="BV574" s="732"/>
      <c r="BW574" s="732"/>
      <c r="BX574" s="732"/>
      <c r="BY574" s="732"/>
      <c r="BZ574" s="732"/>
      <c r="CA574" s="732"/>
    </row>
    <row r="575" spans="1:79" hidden="1" outlineLevel="1" x14ac:dyDescent="0.35">
      <c r="A575" s="574"/>
      <c r="B575" s="574"/>
      <c r="C575" s="574"/>
      <c r="D575" s="574"/>
      <c r="E575" s="574"/>
      <c r="F575" s="672" t="s">
        <v>615</v>
      </c>
      <c r="G575" s="574"/>
      <c r="H575" s="735"/>
      <c r="I575" s="735"/>
      <c r="J575" s="735"/>
      <c r="K575" s="735"/>
      <c r="L575" s="735"/>
      <c r="M575" s="735"/>
      <c r="N575" s="735"/>
      <c r="O575" s="735"/>
      <c r="P575" s="732"/>
      <c r="Q575" s="732"/>
      <c r="R575" s="732"/>
      <c r="S575" s="692">
        <v>0</v>
      </c>
      <c r="T575" s="692">
        <v>0</v>
      </c>
      <c r="U575" s="692">
        <v>0</v>
      </c>
      <c r="V575" s="692">
        <v>0</v>
      </c>
      <c r="W575" s="692">
        <v>0</v>
      </c>
      <c r="X575" s="692">
        <v>0</v>
      </c>
      <c r="Y575" s="692">
        <v>0</v>
      </c>
      <c r="Z575" s="692">
        <v>0</v>
      </c>
      <c r="AA575" s="692">
        <v>0</v>
      </c>
      <c r="AB575" s="692">
        <v>0</v>
      </c>
      <c r="AC575" s="690">
        <v>0</v>
      </c>
      <c r="AD575" s="690">
        <v>0</v>
      </c>
      <c r="AE575" s="732"/>
      <c r="AF575" s="732"/>
      <c r="AG575" s="732"/>
      <c r="AH575" s="732"/>
      <c r="AI575" s="732"/>
      <c r="AJ575" s="732"/>
      <c r="AK575" s="732"/>
      <c r="AL575" s="732"/>
      <c r="AM575" s="732"/>
      <c r="AN575" s="732"/>
      <c r="AO575" s="732"/>
      <c r="AP575" s="732"/>
      <c r="AQ575" s="732"/>
      <c r="AR575" s="732"/>
      <c r="AS575" s="732"/>
      <c r="AT575" s="732"/>
      <c r="AU575" s="732"/>
      <c r="AV575" s="732"/>
      <c r="AW575" s="732"/>
      <c r="AX575" s="732"/>
      <c r="AY575" s="732"/>
      <c r="AZ575" s="732"/>
      <c r="BA575" s="732"/>
      <c r="BB575" s="732"/>
      <c r="BC575" s="732"/>
      <c r="BD575" s="732"/>
      <c r="BE575" s="732"/>
      <c r="BF575" s="732"/>
      <c r="BG575" s="732"/>
      <c r="BH575" s="732"/>
      <c r="BI575" s="732"/>
      <c r="BJ575" s="732"/>
      <c r="BK575" s="732"/>
      <c r="BL575" s="732"/>
      <c r="BM575" s="732"/>
      <c r="BN575" s="732"/>
      <c r="BO575" s="732"/>
      <c r="BP575" s="732"/>
      <c r="BQ575" s="732"/>
      <c r="BR575" s="732"/>
      <c r="BS575" s="732"/>
      <c r="BT575" s="732"/>
      <c r="BU575" s="732"/>
      <c r="BV575" s="732"/>
      <c r="BW575" s="732"/>
      <c r="BX575" s="732"/>
      <c r="BY575" s="732"/>
      <c r="BZ575" s="732"/>
      <c r="CA575" s="732"/>
    </row>
    <row r="576" spans="1:79" hidden="1" outlineLevel="1" x14ac:dyDescent="0.35">
      <c r="A576" s="574"/>
      <c r="B576" s="574"/>
      <c r="C576" s="574"/>
      <c r="D576" s="574"/>
      <c r="E576" s="574"/>
      <c r="F576" s="672" t="s">
        <v>616</v>
      </c>
      <c r="G576" s="574"/>
      <c r="H576" s="735"/>
      <c r="I576" s="735"/>
      <c r="J576" s="735"/>
      <c r="K576" s="735"/>
      <c r="L576" s="735"/>
      <c r="M576" s="735"/>
      <c r="N576" s="735"/>
      <c r="O576" s="735"/>
      <c r="P576" s="732"/>
      <c r="Q576" s="732"/>
      <c r="R576" s="732"/>
      <c r="S576" s="692">
        <v>0</v>
      </c>
      <c r="T576" s="692">
        <v>0</v>
      </c>
      <c r="U576" s="692">
        <v>0</v>
      </c>
      <c r="V576" s="692">
        <v>0</v>
      </c>
      <c r="W576" s="692">
        <v>0</v>
      </c>
      <c r="X576" s="692">
        <v>0</v>
      </c>
      <c r="Y576" s="692">
        <v>0</v>
      </c>
      <c r="Z576" s="692">
        <v>0</v>
      </c>
      <c r="AA576" s="692">
        <v>0</v>
      </c>
      <c r="AB576" s="692">
        <v>0</v>
      </c>
      <c r="AC576" s="690">
        <v>0</v>
      </c>
      <c r="AD576" s="690">
        <v>0</v>
      </c>
      <c r="AE576" s="732"/>
      <c r="AF576" s="732"/>
      <c r="AG576" s="732"/>
      <c r="AH576" s="732"/>
      <c r="AI576" s="732"/>
      <c r="AJ576" s="732"/>
      <c r="AK576" s="732"/>
      <c r="AL576" s="732"/>
      <c r="AM576" s="732"/>
      <c r="AN576" s="732"/>
      <c r="AO576" s="732"/>
      <c r="AP576" s="732"/>
      <c r="AQ576" s="732"/>
      <c r="AR576" s="732"/>
      <c r="AS576" s="732"/>
      <c r="AT576" s="732"/>
      <c r="AU576" s="732"/>
      <c r="AV576" s="732"/>
      <c r="AW576" s="732"/>
      <c r="AX576" s="732"/>
      <c r="AY576" s="732"/>
      <c r="AZ576" s="732"/>
      <c r="BA576" s="732"/>
      <c r="BB576" s="732"/>
      <c r="BC576" s="732"/>
      <c r="BD576" s="732"/>
      <c r="BE576" s="732"/>
      <c r="BF576" s="732"/>
      <c r="BG576" s="732"/>
      <c r="BH576" s="732"/>
      <c r="BI576" s="732"/>
      <c r="BJ576" s="732"/>
      <c r="BK576" s="732"/>
      <c r="BL576" s="732"/>
      <c r="BM576" s="732"/>
      <c r="BN576" s="732"/>
      <c r="BO576" s="732"/>
      <c r="BP576" s="732"/>
      <c r="BQ576" s="732"/>
      <c r="BR576" s="732"/>
      <c r="BS576" s="732"/>
      <c r="BT576" s="732"/>
      <c r="BU576" s="732"/>
      <c r="BV576" s="732"/>
      <c r="BW576" s="732"/>
      <c r="BX576" s="732"/>
      <c r="BY576" s="732"/>
      <c r="BZ576" s="732"/>
      <c r="CA576" s="732"/>
    </row>
    <row r="577" spans="1:79" hidden="1" outlineLevel="1" x14ac:dyDescent="0.35">
      <c r="A577" s="574"/>
      <c r="B577" s="574"/>
      <c r="C577" s="574"/>
      <c r="D577" s="574"/>
      <c r="E577" s="574"/>
      <c r="F577" s="672" t="s">
        <v>893</v>
      </c>
      <c r="G577" s="574"/>
      <c r="H577" s="735"/>
      <c r="I577" s="735"/>
      <c r="J577" s="735"/>
      <c r="K577" s="735"/>
      <c r="L577" s="735"/>
      <c r="M577" s="735"/>
      <c r="N577" s="735"/>
      <c r="O577" s="735"/>
      <c r="P577" s="732"/>
      <c r="Q577" s="732"/>
      <c r="R577" s="732"/>
      <c r="S577" s="692">
        <v>0</v>
      </c>
      <c r="T577" s="692">
        <v>0</v>
      </c>
      <c r="U577" s="692">
        <v>0</v>
      </c>
      <c r="V577" s="692">
        <v>0</v>
      </c>
      <c r="W577" s="692">
        <v>0</v>
      </c>
      <c r="X577" s="692">
        <v>0</v>
      </c>
      <c r="Y577" s="692">
        <v>0</v>
      </c>
      <c r="Z577" s="692">
        <v>0</v>
      </c>
      <c r="AA577" s="692">
        <v>0</v>
      </c>
      <c r="AB577" s="692">
        <v>0</v>
      </c>
      <c r="AC577" s="690">
        <v>0</v>
      </c>
      <c r="AD577" s="690">
        <v>0</v>
      </c>
      <c r="AE577" s="732"/>
      <c r="AF577" s="732"/>
      <c r="AG577" s="732"/>
      <c r="AH577" s="732"/>
      <c r="AI577" s="732"/>
      <c r="AJ577" s="732"/>
      <c r="AK577" s="732"/>
      <c r="AL577" s="732"/>
      <c r="AM577" s="732"/>
      <c r="AN577" s="732"/>
      <c r="AO577" s="732"/>
      <c r="AP577" s="732"/>
      <c r="AQ577" s="732"/>
      <c r="AR577" s="732"/>
      <c r="AS577" s="732"/>
      <c r="AT577" s="732"/>
      <c r="AU577" s="732"/>
      <c r="AV577" s="732"/>
      <c r="AW577" s="732"/>
      <c r="AX577" s="732"/>
      <c r="AY577" s="732"/>
      <c r="AZ577" s="732"/>
      <c r="BA577" s="732"/>
      <c r="BB577" s="732"/>
      <c r="BC577" s="732"/>
      <c r="BD577" s="732"/>
      <c r="BE577" s="732"/>
      <c r="BF577" s="732"/>
      <c r="BG577" s="732"/>
      <c r="BH577" s="732"/>
      <c r="BI577" s="732"/>
      <c r="BJ577" s="732"/>
      <c r="BK577" s="732"/>
      <c r="BL577" s="732"/>
      <c r="BM577" s="732"/>
      <c r="BN577" s="732"/>
      <c r="BO577" s="732"/>
      <c r="BP577" s="732"/>
      <c r="BQ577" s="732"/>
      <c r="BR577" s="732"/>
      <c r="BS577" s="732"/>
      <c r="BT577" s="732"/>
      <c r="BU577" s="732"/>
      <c r="BV577" s="732"/>
      <c r="BW577" s="732"/>
      <c r="BX577" s="732"/>
      <c r="BY577" s="732"/>
      <c r="BZ577" s="732"/>
      <c r="CA577" s="732"/>
    </row>
    <row r="578" spans="1:79" hidden="1" outlineLevel="1" x14ac:dyDescent="0.35">
      <c r="A578" s="574"/>
      <c r="B578" s="574"/>
      <c r="C578" s="574"/>
      <c r="D578" s="574"/>
      <c r="E578" s="574"/>
      <c r="F578" s="672" t="s">
        <v>768</v>
      </c>
      <c r="G578" s="574"/>
      <c r="H578" s="735"/>
      <c r="I578" s="735"/>
      <c r="J578" s="735"/>
      <c r="K578" s="735"/>
      <c r="L578" s="735"/>
      <c r="M578" s="735"/>
      <c r="N578" s="735"/>
      <c r="O578" s="735"/>
      <c r="P578" s="732"/>
      <c r="Q578" s="732"/>
      <c r="R578" s="732"/>
      <c r="S578" s="692">
        <v>0</v>
      </c>
      <c r="T578" s="692">
        <v>0</v>
      </c>
      <c r="U578" s="692">
        <v>0</v>
      </c>
      <c r="V578" s="692">
        <v>0</v>
      </c>
      <c r="W578" s="692">
        <v>0</v>
      </c>
      <c r="X578" s="692">
        <v>0</v>
      </c>
      <c r="Y578" s="692">
        <v>0</v>
      </c>
      <c r="Z578" s="692">
        <v>0</v>
      </c>
      <c r="AA578" s="692">
        <v>0</v>
      </c>
      <c r="AB578" s="692">
        <v>0</v>
      </c>
      <c r="AC578" s="690">
        <v>0</v>
      </c>
      <c r="AD578" s="690">
        <v>0</v>
      </c>
      <c r="AE578" s="732"/>
      <c r="AF578" s="732"/>
      <c r="AG578" s="732"/>
      <c r="AH578" s="732"/>
      <c r="AI578" s="732"/>
      <c r="AJ578" s="732"/>
      <c r="AK578" s="732"/>
      <c r="AL578" s="732"/>
      <c r="AM578" s="732"/>
      <c r="AN578" s="732"/>
      <c r="AO578" s="732"/>
      <c r="AP578" s="732"/>
      <c r="AQ578" s="732"/>
      <c r="AR578" s="732"/>
      <c r="AS578" s="732"/>
      <c r="AT578" s="732"/>
      <c r="AU578" s="732"/>
      <c r="AV578" s="732"/>
      <c r="AW578" s="732"/>
      <c r="AX578" s="732"/>
      <c r="AY578" s="732"/>
      <c r="AZ578" s="732"/>
      <c r="BA578" s="732"/>
      <c r="BB578" s="732"/>
      <c r="BC578" s="732"/>
      <c r="BD578" s="732"/>
      <c r="BE578" s="732"/>
      <c r="BF578" s="732"/>
      <c r="BG578" s="732"/>
      <c r="BH578" s="732"/>
      <c r="BI578" s="732"/>
      <c r="BJ578" s="732"/>
      <c r="BK578" s="732"/>
      <c r="BL578" s="732"/>
      <c r="BM578" s="732"/>
      <c r="BN578" s="732"/>
      <c r="BO578" s="732"/>
      <c r="BP578" s="732"/>
      <c r="BQ578" s="732"/>
      <c r="BR578" s="732"/>
      <c r="BS578" s="732"/>
      <c r="BT578" s="732"/>
      <c r="BU578" s="732"/>
      <c r="BV578" s="732"/>
      <c r="BW578" s="732"/>
      <c r="BX578" s="732"/>
      <c r="BY578" s="732"/>
      <c r="BZ578" s="732"/>
      <c r="CA578" s="732"/>
    </row>
    <row r="579" spans="1:79" hidden="1" outlineLevel="1" x14ac:dyDescent="0.35">
      <c r="A579" s="574"/>
      <c r="B579" s="574"/>
      <c r="C579" s="574"/>
      <c r="D579" s="574"/>
      <c r="E579" s="574"/>
      <c r="F579" s="672" t="s">
        <v>785</v>
      </c>
      <c r="G579" s="574"/>
      <c r="H579" s="735"/>
      <c r="I579" s="735"/>
      <c r="J579" s="735"/>
      <c r="K579" s="735"/>
      <c r="L579" s="735"/>
      <c r="M579" s="735"/>
      <c r="N579" s="735"/>
      <c r="O579" s="735"/>
      <c r="P579" s="732"/>
      <c r="Q579" s="732"/>
      <c r="R579" s="732"/>
      <c r="S579" s="692">
        <v>0</v>
      </c>
      <c r="T579" s="692">
        <v>0</v>
      </c>
      <c r="U579" s="692">
        <v>0</v>
      </c>
      <c r="V579" s="692">
        <v>0</v>
      </c>
      <c r="W579" s="692">
        <v>0</v>
      </c>
      <c r="X579" s="692">
        <v>0</v>
      </c>
      <c r="Y579" s="692">
        <v>0</v>
      </c>
      <c r="Z579" s="692">
        <v>0</v>
      </c>
      <c r="AA579" s="692">
        <v>0</v>
      </c>
      <c r="AB579" s="692">
        <v>0</v>
      </c>
      <c r="AC579" s="690">
        <v>0</v>
      </c>
      <c r="AD579" s="690">
        <v>0</v>
      </c>
      <c r="AE579" s="732"/>
      <c r="AF579" s="732"/>
      <c r="AG579" s="732"/>
      <c r="AH579" s="732"/>
      <c r="AI579" s="732"/>
      <c r="AJ579" s="732"/>
      <c r="AK579" s="732"/>
      <c r="AL579" s="732"/>
      <c r="AM579" s="732"/>
      <c r="AN579" s="732"/>
      <c r="AO579" s="732"/>
      <c r="AP579" s="732"/>
      <c r="AQ579" s="732"/>
      <c r="AR579" s="732"/>
      <c r="AS579" s="732"/>
      <c r="AT579" s="732"/>
      <c r="AU579" s="732"/>
      <c r="AV579" s="732"/>
      <c r="AW579" s="732"/>
      <c r="AX579" s="732"/>
      <c r="AY579" s="732"/>
      <c r="AZ579" s="732"/>
      <c r="BA579" s="732"/>
      <c r="BB579" s="732"/>
      <c r="BC579" s="732"/>
      <c r="BD579" s="732"/>
      <c r="BE579" s="732"/>
      <c r="BF579" s="732"/>
      <c r="BG579" s="732"/>
      <c r="BH579" s="732"/>
      <c r="BI579" s="732"/>
      <c r="BJ579" s="732"/>
      <c r="BK579" s="732"/>
      <c r="BL579" s="732"/>
      <c r="BM579" s="732"/>
      <c r="BN579" s="732"/>
      <c r="BO579" s="732"/>
      <c r="BP579" s="732"/>
      <c r="BQ579" s="732"/>
      <c r="BR579" s="732"/>
      <c r="BS579" s="732"/>
      <c r="BT579" s="732"/>
      <c r="BU579" s="732"/>
      <c r="BV579" s="732"/>
      <c r="BW579" s="732"/>
      <c r="BX579" s="732"/>
      <c r="BY579" s="732"/>
      <c r="BZ579" s="732"/>
      <c r="CA579" s="732"/>
    </row>
    <row r="580" spans="1:79" hidden="1" outlineLevel="1" x14ac:dyDescent="0.35">
      <c r="A580" s="574"/>
      <c r="B580" s="574"/>
      <c r="C580" s="574"/>
      <c r="D580" s="574"/>
      <c r="E580" s="574"/>
      <c r="F580" s="672" t="s">
        <v>617</v>
      </c>
      <c r="G580" s="574"/>
      <c r="H580" s="735"/>
      <c r="I580" s="735"/>
      <c r="J580" s="735"/>
      <c r="K580" s="735"/>
      <c r="L580" s="735"/>
      <c r="M580" s="735"/>
      <c r="N580" s="735"/>
      <c r="O580" s="735"/>
      <c r="P580" s="732"/>
      <c r="Q580" s="732"/>
      <c r="R580" s="732"/>
      <c r="S580" s="692">
        <v>0</v>
      </c>
      <c r="T580" s="692">
        <v>0</v>
      </c>
      <c r="U580" s="692">
        <v>0</v>
      </c>
      <c r="V580" s="692">
        <v>0</v>
      </c>
      <c r="W580" s="692">
        <v>0</v>
      </c>
      <c r="X580" s="692">
        <v>0</v>
      </c>
      <c r="Y580" s="692">
        <v>0</v>
      </c>
      <c r="Z580" s="692">
        <v>0</v>
      </c>
      <c r="AA580" s="692">
        <v>0</v>
      </c>
      <c r="AB580" s="692">
        <v>0</v>
      </c>
      <c r="AC580" s="690">
        <v>0</v>
      </c>
      <c r="AD580" s="690">
        <v>0</v>
      </c>
      <c r="AE580" s="732"/>
      <c r="AF580" s="732"/>
      <c r="AG580" s="732"/>
      <c r="AH580" s="732"/>
      <c r="AI580" s="732"/>
      <c r="AJ580" s="732"/>
      <c r="AK580" s="732"/>
      <c r="AL580" s="732"/>
      <c r="AM580" s="732"/>
      <c r="AN580" s="732"/>
      <c r="AO580" s="732"/>
      <c r="AP580" s="732"/>
      <c r="AQ580" s="732"/>
      <c r="AR580" s="732"/>
      <c r="AS580" s="732"/>
      <c r="AT580" s="732"/>
      <c r="AU580" s="732"/>
      <c r="AV580" s="732"/>
      <c r="AW580" s="732"/>
      <c r="AX580" s="732"/>
      <c r="AY580" s="732"/>
      <c r="AZ580" s="732"/>
      <c r="BA580" s="732"/>
      <c r="BB580" s="732"/>
      <c r="BC580" s="732"/>
      <c r="BD580" s="732"/>
      <c r="BE580" s="732"/>
      <c r="BF580" s="732"/>
      <c r="BG580" s="732"/>
      <c r="BH580" s="732"/>
      <c r="BI580" s="732"/>
      <c r="BJ580" s="732"/>
      <c r="BK580" s="732"/>
      <c r="BL580" s="732"/>
      <c r="BM580" s="732"/>
      <c r="BN580" s="732"/>
      <c r="BO580" s="732"/>
      <c r="BP580" s="732"/>
      <c r="BQ580" s="732"/>
      <c r="BR580" s="732"/>
      <c r="BS580" s="732"/>
      <c r="BT580" s="732"/>
      <c r="BU580" s="732"/>
      <c r="BV580" s="732"/>
      <c r="BW580" s="732"/>
      <c r="BX580" s="732"/>
      <c r="BY580" s="732"/>
      <c r="BZ580" s="732"/>
      <c r="CA580" s="732"/>
    </row>
    <row r="581" spans="1:79" hidden="1" outlineLevel="1" x14ac:dyDescent="0.35">
      <c r="A581" s="574"/>
      <c r="B581" s="574"/>
      <c r="C581" s="574"/>
      <c r="D581" s="574"/>
      <c r="E581" s="574"/>
      <c r="F581" s="672" t="s">
        <v>618</v>
      </c>
      <c r="G581" s="574"/>
      <c r="H581" s="735"/>
      <c r="I581" s="735"/>
      <c r="J581" s="735"/>
      <c r="K581" s="735"/>
      <c r="L581" s="735"/>
      <c r="M581" s="735"/>
      <c r="N581" s="735"/>
      <c r="O581" s="735"/>
      <c r="P581" s="732"/>
      <c r="Q581" s="732"/>
      <c r="R581" s="732"/>
      <c r="S581" s="692">
        <v>0</v>
      </c>
      <c r="T581" s="692">
        <v>0</v>
      </c>
      <c r="U581" s="692">
        <v>0</v>
      </c>
      <c r="V581" s="692">
        <v>0</v>
      </c>
      <c r="W581" s="692">
        <v>0</v>
      </c>
      <c r="X581" s="692">
        <v>0</v>
      </c>
      <c r="Y581" s="692">
        <v>0</v>
      </c>
      <c r="Z581" s="692">
        <v>0</v>
      </c>
      <c r="AA581" s="692">
        <v>0</v>
      </c>
      <c r="AB581" s="692">
        <v>0</v>
      </c>
      <c r="AC581" s="690">
        <v>0</v>
      </c>
      <c r="AD581" s="690">
        <v>0</v>
      </c>
      <c r="AE581" s="732"/>
      <c r="AF581" s="732"/>
      <c r="AG581" s="732"/>
      <c r="AH581" s="732"/>
      <c r="AI581" s="732"/>
      <c r="AJ581" s="732"/>
      <c r="AK581" s="732"/>
      <c r="AL581" s="732"/>
      <c r="AM581" s="732"/>
      <c r="AN581" s="732"/>
      <c r="AO581" s="732"/>
      <c r="AP581" s="732"/>
      <c r="AQ581" s="732"/>
      <c r="AR581" s="732"/>
      <c r="AS581" s="732"/>
      <c r="AT581" s="732"/>
      <c r="AU581" s="732"/>
      <c r="AV581" s="732"/>
      <c r="AW581" s="732"/>
      <c r="AX581" s="732"/>
      <c r="AY581" s="732"/>
      <c r="AZ581" s="732"/>
      <c r="BA581" s="732"/>
      <c r="BB581" s="732"/>
      <c r="BC581" s="732"/>
      <c r="BD581" s="732"/>
      <c r="BE581" s="732"/>
      <c r="BF581" s="732"/>
      <c r="BG581" s="732"/>
      <c r="BH581" s="732"/>
      <c r="BI581" s="732"/>
      <c r="BJ581" s="732"/>
      <c r="BK581" s="732"/>
      <c r="BL581" s="732"/>
      <c r="BM581" s="732"/>
      <c r="BN581" s="732"/>
      <c r="BO581" s="732"/>
      <c r="BP581" s="732"/>
      <c r="BQ581" s="732"/>
      <c r="BR581" s="732"/>
      <c r="BS581" s="732"/>
      <c r="BT581" s="732"/>
      <c r="BU581" s="732"/>
      <c r="BV581" s="732"/>
      <c r="BW581" s="732"/>
      <c r="BX581" s="732"/>
      <c r="BY581" s="732"/>
      <c r="BZ581" s="732"/>
      <c r="CA581" s="732"/>
    </row>
    <row r="582" spans="1:79" hidden="1" outlineLevel="1" x14ac:dyDescent="0.35">
      <c r="A582" s="574"/>
      <c r="B582" s="574"/>
      <c r="C582" s="574"/>
      <c r="D582" s="574"/>
      <c r="E582" s="574"/>
      <c r="F582" s="672" t="s">
        <v>619</v>
      </c>
      <c r="G582" s="574"/>
      <c r="H582" s="735"/>
      <c r="I582" s="735"/>
      <c r="J582" s="735"/>
      <c r="K582" s="735"/>
      <c r="L582" s="735"/>
      <c r="M582" s="735"/>
      <c r="N582" s="735"/>
      <c r="O582" s="735"/>
      <c r="P582" s="732"/>
      <c r="Q582" s="732"/>
      <c r="R582" s="732"/>
      <c r="S582" s="692">
        <v>0</v>
      </c>
      <c r="T582" s="692">
        <v>0</v>
      </c>
      <c r="U582" s="692">
        <v>0</v>
      </c>
      <c r="V582" s="692">
        <v>0</v>
      </c>
      <c r="W582" s="692">
        <v>0</v>
      </c>
      <c r="X582" s="692">
        <v>0</v>
      </c>
      <c r="Y582" s="692">
        <v>0</v>
      </c>
      <c r="Z582" s="692">
        <v>0</v>
      </c>
      <c r="AA582" s="692">
        <v>0</v>
      </c>
      <c r="AB582" s="692">
        <v>0</v>
      </c>
      <c r="AC582" s="690">
        <v>0</v>
      </c>
      <c r="AD582" s="690">
        <v>0</v>
      </c>
      <c r="AE582" s="732"/>
      <c r="AF582" s="732"/>
      <c r="AG582" s="732"/>
      <c r="AH582" s="732"/>
      <c r="AI582" s="732"/>
      <c r="AJ582" s="732"/>
      <c r="AK582" s="732"/>
      <c r="AL582" s="732"/>
      <c r="AM582" s="732"/>
      <c r="AN582" s="732"/>
      <c r="AO582" s="732"/>
      <c r="AP582" s="732"/>
      <c r="AQ582" s="732"/>
      <c r="AR582" s="732"/>
      <c r="AS582" s="732"/>
      <c r="AT582" s="732"/>
      <c r="AU582" s="732"/>
      <c r="AV582" s="732"/>
      <c r="AW582" s="732"/>
      <c r="AX582" s="732"/>
      <c r="AY582" s="732"/>
      <c r="AZ582" s="732"/>
      <c r="BA582" s="732"/>
      <c r="BB582" s="732"/>
      <c r="BC582" s="732"/>
      <c r="BD582" s="732"/>
      <c r="BE582" s="732"/>
      <c r="BF582" s="732"/>
      <c r="BG582" s="732"/>
      <c r="BH582" s="732"/>
      <c r="BI582" s="732"/>
      <c r="BJ582" s="732"/>
      <c r="BK582" s="732"/>
      <c r="BL582" s="732"/>
      <c r="BM582" s="732"/>
      <c r="BN582" s="732"/>
      <c r="BO582" s="732"/>
      <c r="BP582" s="732"/>
      <c r="BQ582" s="732"/>
      <c r="BR582" s="732"/>
      <c r="BS582" s="732"/>
      <c r="BT582" s="732"/>
      <c r="BU582" s="732"/>
      <c r="BV582" s="732"/>
      <c r="BW582" s="732"/>
      <c r="BX582" s="732"/>
      <c r="BY582" s="732"/>
      <c r="BZ582" s="732"/>
      <c r="CA582" s="732"/>
    </row>
    <row r="583" spans="1:79" hidden="1" outlineLevel="1" x14ac:dyDescent="0.35">
      <c r="A583" s="574"/>
      <c r="B583" s="574"/>
      <c r="C583" s="574"/>
      <c r="D583" s="574"/>
      <c r="E583" s="574"/>
      <c r="F583" s="672" t="s">
        <v>894</v>
      </c>
      <c r="G583" s="574"/>
      <c r="H583" s="735"/>
      <c r="I583" s="735"/>
      <c r="J583" s="735"/>
      <c r="K583" s="735"/>
      <c r="L583" s="735"/>
      <c r="M583" s="735"/>
      <c r="N583" s="735"/>
      <c r="O583" s="735"/>
      <c r="P583" s="732"/>
      <c r="Q583" s="732"/>
      <c r="R583" s="732"/>
      <c r="S583" s="692">
        <v>0</v>
      </c>
      <c r="T583" s="692">
        <v>0</v>
      </c>
      <c r="U583" s="692">
        <v>0</v>
      </c>
      <c r="V583" s="692">
        <v>0</v>
      </c>
      <c r="W583" s="692">
        <v>0</v>
      </c>
      <c r="X583" s="692">
        <v>0</v>
      </c>
      <c r="Y583" s="692">
        <v>0</v>
      </c>
      <c r="Z583" s="692">
        <v>0</v>
      </c>
      <c r="AA583" s="692">
        <v>0</v>
      </c>
      <c r="AB583" s="692">
        <v>0</v>
      </c>
      <c r="AC583" s="690">
        <v>0</v>
      </c>
      <c r="AD583" s="690">
        <v>0</v>
      </c>
      <c r="AE583" s="732"/>
      <c r="AF583" s="732"/>
      <c r="AG583" s="732"/>
      <c r="AH583" s="732"/>
      <c r="AI583" s="732"/>
      <c r="AJ583" s="732"/>
      <c r="AK583" s="732"/>
      <c r="AL583" s="732"/>
      <c r="AM583" s="732"/>
      <c r="AN583" s="732"/>
      <c r="AO583" s="732"/>
      <c r="AP583" s="732"/>
      <c r="AQ583" s="732"/>
      <c r="AR583" s="732"/>
      <c r="AS583" s="732"/>
      <c r="AT583" s="732"/>
      <c r="AU583" s="732"/>
      <c r="AV583" s="732"/>
      <c r="AW583" s="732"/>
      <c r="AX583" s="732"/>
      <c r="AY583" s="732"/>
      <c r="AZ583" s="732"/>
      <c r="BA583" s="732"/>
      <c r="BB583" s="732"/>
      <c r="BC583" s="732"/>
      <c r="BD583" s="732"/>
      <c r="BE583" s="732"/>
      <c r="BF583" s="732"/>
      <c r="BG583" s="732"/>
      <c r="BH583" s="732"/>
      <c r="BI583" s="732"/>
      <c r="BJ583" s="732"/>
      <c r="BK583" s="732"/>
      <c r="BL583" s="732"/>
      <c r="BM583" s="732"/>
      <c r="BN583" s="732"/>
      <c r="BO583" s="732"/>
      <c r="BP583" s="732"/>
      <c r="BQ583" s="732"/>
      <c r="BR583" s="732"/>
      <c r="BS583" s="732"/>
      <c r="BT583" s="732"/>
      <c r="BU583" s="732"/>
      <c r="BV583" s="732"/>
      <c r="BW583" s="732"/>
      <c r="BX583" s="732"/>
      <c r="BY583" s="732"/>
      <c r="BZ583" s="732"/>
      <c r="CA583" s="732"/>
    </row>
    <row r="584" spans="1:79" hidden="1" outlineLevel="1" x14ac:dyDescent="0.35">
      <c r="A584" s="574"/>
      <c r="B584" s="574"/>
      <c r="C584" s="574"/>
      <c r="D584" s="574"/>
      <c r="E584" s="574"/>
      <c r="F584" s="672" t="s">
        <v>620</v>
      </c>
      <c r="G584" s="574"/>
      <c r="H584" s="735"/>
      <c r="I584" s="735"/>
      <c r="J584" s="735"/>
      <c r="K584" s="735"/>
      <c r="L584" s="735"/>
      <c r="M584" s="735"/>
      <c r="N584" s="735"/>
      <c r="O584" s="735"/>
      <c r="P584" s="732"/>
      <c r="Q584" s="732"/>
      <c r="R584" s="732"/>
      <c r="S584" s="692">
        <v>0</v>
      </c>
      <c r="T584" s="692">
        <v>0</v>
      </c>
      <c r="U584" s="692">
        <v>0</v>
      </c>
      <c r="V584" s="692">
        <v>0</v>
      </c>
      <c r="W584" s="692">
        <v>0</v>
      </c>
      <c r="X584" s="692">
        <v>0</v>
      </c>
      <c r="Y584" s="692">
        <v>0</v>
      </c>
      <c r="Z584" s="692">
        <v>0</v>
      </c>
      <c r="AA584" s="692">
        <v>0</v>
      </c>
      <c r="AB584" s="692">
        <v>0</v>
      </c>
      <c r="AC584" s="690">
        <v>0</v>
      </c>
      <c r="AD584" s="690">
        <v>0</v>
      </c>
      <c r="AE584" s="732"/>
      <c r="AF584" s="732"/>
      <c r="AG584" s="732"/>
      <c r="AH584" s="732"/>
      <c r="AI584" s="732"/>
      <c r="AJ584" s="732"/>
      <c r="AK584" s="732"/>
      <c r="AL584" s="732"/>
      <c r="AM584" s="732"/>
      <c r="AN584" s="732"/>
      <c r="AO584" s="732"/>
      <c r="AP584" s="732"/>
      <c r="AQ584" s="732"/>
      <c r="AR584" s="732"/>
      <c r="AS584" s="732"/>
      <c r="AT584" s="732"/>
      <c r="AU584" s="732"/>
      <c r="AV584" s="732"/>
      <c r="AW584" s="732"/>
      <c r="AX584" s="732"/>
      <c r="AY584" s="732"/>
      <c r="AZ584" s="732"/>
      <c r="BA584" s="732"/>
      <c r="BB584" s="732"/>
      <c r="BC584" s="732"/>
      <c r="BD584" s="732"/>
      <c r="BE584" s="732"/>
      <c r="BF584" s="732"/>
      <c r="BG584" s="732"/>
      <c r="BH584" s="732"/>
      <c r="BI584" s="732"/>
      <c r="BJ584" s="732"/>
      <c r="BK584" s="732"/>
      <c r="BL584" s="732"/>
      <c r="BM584" s="732"/>
      <c r="BN584" s="732"/>
      <c r="BO584" s="732"/>
      <c r="BP584" s="732"/>
      <c r="BQ584" s="732"/>
      <c r="BR584" s="732"/>
      <c r="BS584" s="732"/>
      <c r="BT584" s="732"/>
      <c r="BU584" s="732"/>
      <c r="BV584" s="732"/>
      <c r="BW584" s="732"/>
      <c r="BX584" s="732"/>
      <c r="BY584" s="732"/>
      <c r="BZ584" s="732"/>
      <c r="CA584" s="732"/>
    </row>
    <row r="585" spans="1:79" hidden="1" outlineLevel="1" x14ac:dyDescent="0.35">
      <c r="A585" s="574"/>
      <c r="B585" s="574"/>
      <c r="C585" s="574"/>
      <c r="D585" s="574"/>
      <c r="E585" s="574"/>
      <c r="F585" s="675" t="s">
        <v>621</v>
      </c>
      <c r="G585" s="680">
        <f>SUM(G568:G584)</f>
        <v>0</v>
      </c>
      <c r="H585" s="680">
        <f t="shared" ref="H585:BO585" si="235">SUM(H568:H584)</f>
        <v>0</v>
      </c>
      <c r="I585" s="680">
        <f t="shared" si="235"/>
        <v>0</v>
      </c>
      <c r="J585" s="680">
        <f t="shared" si="235"/>
        <v>0</v>
      </c>
      <c r="K585" s="680">
        <f t="shared" si="235"/>
        <v>0</v>
      </c>
      <c r="L585" s="680">
        <f t="shared" si="235"/>
        <v>0</v>
      </c>
      <c r="M585" s="680">
        <f t="shared" si="235"/>
        <v>0</v>
      </c>
      <c r="N585" s="680">
        <f t="shared" si="235"/>
        <v>0</v>
      </c>
      <c r="O585" s="680">
        <f t="shared" si="235"/>
        <v>0</v>
      </c>
      <c r="P585" s="680">
        <f t="shared" si="235"/>
        <v>0</v>
      </c>
      <c r="Q585" s="680">
        <f t="shared" si="235"/>
        <v>0</v>
      </c>
      <c r="R585" s="680">
        <f t="shared" si="235"/>
        <v>0</v>
      </c>
      <c r="S585" s="694">
        <f t="shared" ref="S585:AA585" si="236">ROUND(SUM(S567:S584),5)</f>
        <v>0</v>
      </c>
      <c r="T585" s="694">
        <f t="shared" si="236"/>
        <v>0</v>
      </c>
      <c r="U585" s="694">
        <f t="shared" si="236"/>
        <v>0</v>
      </c>
      <c r="V585" s="694">
        <f t="shared" si="236"/>
        <v>0</v>
      </c>
      <c r="W585" s="694">
        <f t="shared" si="236"/>
        <v>0</v>
      </c>
      <c r="X585" s="694">
        <f t="shared" si="236"/>
        <v>23.99</v>
      </c>
      <c r="Y585" s="694">
        <f t="shared" si="236"/>
        <v>0</v>
      </c>
      <c r="Z585" s="694">
        <f t="shared" si="236"/>
        <v>0</v>
      </c>
      <c r="AA585" s="694">
        <f t="shared" si="236"/>
        <v>0</v>
      </c>
      <c r="AB585" s="694">
        <f>ROUND(SUM(AB567:AB584),5)</f>
        <v>0</v>
      </c>
      <c r="AC585" s="694">
        <f>ROUND(SUM(AC567:AC584),5)</f>
        <v>0</v>
      </c>
      <c r="AD585" s="694">
        <f>ROUND(SUM(AD567:AD584),5)</f>
        <v>0</v>
      </c>
      <c r="AE585" s="680">
        <f t="shared" si="235"/>
        <v>0</v>
      </c>
      <c r="AF585" s="680">
        <f t="shared" si="235"/>
        <v>0</v>
      </c>
      <c r="AG585" s="680">
        <f t="shared" si="235"/>
        <v>0</v>
      </c>
      <c r="AH585" s="680">
        <f t="shared" si="235"/>
        <v>0</v>
      </c>
      <c r="AI585" s="680">
        <f t="shared" si="235"/>
        <v>0</v>
      </c>
      <c r="AJ585" s="680">
        <f t="shared" si="235"/>
        <v>0</v>
      </c>
      <c r="AK585" s="680">
        <f t="shared" si="235"/>
        <v>0</v>
      </c>
      <c r="AL585" s="680">
        <f t="shared" si="235"/>
        <v>0</v>
      </c>
      <c r="AM585" s="680">
        <f t="shared" si="235"/>
        <v>0</v>
      </c>
      <c r="AN585" s="680">
        <f t="shared" si="235"/>
        <v>0</v>
      </c>
      <c r="AO585" s="680">
        <f t="shared" si="235"/>
        <v>0</v>
      </c>
      <c r="AP585" s="680">
        <f t="shared" si="235"/>
        <v>0</v>
      </c>
      <c r="AQ585" s="680">
        <f t="shared" si="235"/>
        <v>0</v>
      </c>
      <c r="AR585" s="680">
        <f t="shared" si="235"/>
        <v>0</v>
      </c>
      <c r="AS585" s="680">
        <f t="shared" si="235"/>
        <v>0</v>
      </c>
      <c r="AT585" s="680">
        <f t="shared" si="235"/>
        <v>0</v>
      </c>
      <c r="AU585" s="680">
        <f t="shared" si="235"/>
        <v>0</v>
      </c>
      <c r="AV585" s="680">
        <f t="shared" si="235"/>
        <v>0</v>
      </c>
      <c r="AW585" s="680">
        <f t="shared" si="235"/>
        <v>0</v>
      </c>
      <c r="AX585" s="680">
        <f t="shared" si="235"/>
        <v>0</v>
      </c>
      <c r="AY585" s="680">
        <f t="shared" si="235"/>
        <v>0</v>
      </c>
      <c r="AZ585" s="680">
        <f t="shared" si="235"/>
        <v>0</v>
      </c>
      <c r="BA585" s="680">
        <f t="shared" si="235"/>
        <v>0</v>
      </c>
      <c r="BB585" s="680">
        <f t="shared" si="235"/>
        <v>0</v>
      </c>
      <c r="BC585" s="680">
        <f t="shared" si="235"/>
        <v>0</v>
      </c>
      <c r="BD585" s="680">
        <f t="shared" si="235"/>
        <v>0</v>
      </c>
      <c r="BE585" s="680">
        <f t="shared" si="235"/>
        <v>0</v>
      </c>
      <c r="BF585" s="680">
        <f t="shared" si="235"/>
        <v>0</v>
      </c>
      <c r="BG585" s="680">
        <f t="shared" si="235"/>
        <v>0</v>
      </c>
      <c r="BH585" s="680">
        <f t="shared" si="235"/>
        <v>0</v>
      </c>
      <c r="BI585" s="680">
        <f t="shared" si="235"/>
        <v>0</v>
      </c>
      <c r="BJ585" s="680">
        <f t="shared" si="235"/>
        <v>0</v>
      </c>
      <c r="BK585" s="680">
        <f t="shared" si="235"/>
        <v>0</v>
      </c>
      <c r="BL585" s="680">
        <f t="shared" si="235"/>
        <v>0</v>
      </c>
      <c r="BM585" s="680">
        <f t="shared" si="235"/>
        <v>0</v>
      </c>
      <c r="BN585" s="680">
        <f t="shared" si="235"/>
        <v>0</v>
      </c>
      <c r="BO585" s="680">
        <f t="shared" si="235"/>
        <v>0</v>
      </c>
      <c r="BP585" s="680">
        <f t="shared" ref="BP585:CA585" si="237">SUM(BP568:BP584)</f>
        <v>0</v>
      </c>
      <c r="BQ585" s="680">
        <f t="shared" si="237"/>
        <v>0</v>
      </c>
      <c r="BR585" s="680">
        <f t="shared" si="237"/>
        <v>0</v>
      </c>
      <c r="BS585" s="680">
        <f t="shared" si="237"/>
        <v>0</v>
      </c>
      <c r="BT585" s="680">
        <f t="shared" si="237"/>
        <v>0</v>
      </c>
      <c r="BU585" s="680">
        <f t="shared" si="237"/>
        <v>0</v>
      </c>
      <c r="BV585" s="680">
        <f t="shared" si="237"/>
        <v>0</v>
      </c>
      <c r="BW585" s="680">
        <f t="shared" si="237"/>
        <v>0</v>
      </c>
      <c r="BX585" s="680">
        <f t="shared" si="237"/>
        <v>0</v>
      </c>
      <c r="BY585" s="680">
        <f t="shared" si="237"/>
        <v>0</v>
      </c>
      <c r="BZ585" s="680">
        <f t="shared" si="237"/>
        <v>0</v>
      </c>
      <c r="CA585" s="680">
        <f t="shared" si="237"/>
        <v>0</v>
      </c>
    </row>
    <row r="586" spans="1:79" s="709" customFormat="1" hidden="1" outlineLevel="1" x14ac:dyDescent="0.35">
      <c r="F586" s="707" t="s">
        <v>598</v>
      </c>
      <c r="H586" s="750"/>
      <c r="I586" s="750"/>
      <c r="J586" s="750"/>
      <c r="K586" s="750"/>
      <c r="L586" s="750"/>
      <c r="M586" s="750"/>
      <c r="N586" s="750"/>
      <c r="O586" s="750"/>
      <c r="P586" s="751"/>
      <c r="Q586" s="751"/>
      <c r="R586" s="751"/>
      <c r="S586" s="724"/>
      <c r="T586" s="724"/>
      <c r="U586" s="724"/>
      <c r="V586" s="724"/>
      <c r="W586" s="724"/>
      <c r="X586" s="724"/>
      <c r="Y586" s="724"/>
      <c r="Z586" s="724"/>
      <c r="AA586" s="724"/>
      <c r="AB586" s="724"/>
      <c r="AC586" s="723"/>
      <c r="AD586" s="723"/>
      <c r="AE586" s="751"/>
      <c r="AF586" s="751"/>
      <c r="AG586" s="751"/>
      <c r="AH586" s="751"/>
      <c r="AI586" s="751"/>
      <c r="AJ586" s="751"/>
      <c r="AK586" s="751"/>
      <c r="AL586" s="751"/>
      <c r="AM586" s="751"/>
      <c r="AN586" s="751"/>
      <c r="AO586" s="751"/>
      <c r="AP586" s="751"/>
      <c r="AQ586" s="751"/>
      <c r="AR586" s="751"/>
      <c r="AS586" s="751"/>
      <c r="AT586" s="751"/>
      <c r="AU586" s="751"/>
      <c r="AV586" s="751"/>
      <c r="AW586" s="751"/>
      <c r="AX586" s="751"/>
      <c r="AY586" s="751"/>
      <c r="AZ586" s="751"/>
      <c r="BA586" s="751"/>
      <c r="BB586" s="751"/>
      <c r="BC586" s="751"/>
      <c r="BD586" s="751"/>
      <c r="BE586" s="751"/>
      <c r="BF586" s="751"/>
      <c r="BG586" s="751"/>
      <c r="BH586" s="751"/>
      <c r="BI586" s="751"/>
      <c r="BJ586" s="751"/>
      <c r="BK586" s="751"/>
      <c r="BL586" s="751"/>
      <c r="BM586" s="751"/>
      <c r="BN586" s="751"/>
      <c r="BO586" s="751"/>
      <c r="BP586" s="751"/>
      <c r="BQ586" s="751"/>
      <c r="BR586" s="751"/>
      <c r="BS586" s="751"/>
      <c r="BT586" s="751"/>
      <c r="BU586" s="751"/>
      <c r="BV586" s="751"/>
      <c r="BW586" s="751"/>
      <c r="BX586" s="751"/>
      <c r="BY586" s="751"/>
      <c r="BZ586" s="751"/>
      <c r="CA586" s="751"/>
    </row>
    <row r="587" spans="1:79" hidden="1" outlineLevel="1" x14ac:dyDescent="0.35">
      <c r="A587" s="574"/>
      <c r="B587" s="574"/>
      <c r="C587" s="574"/>
      <c r="D587" s="574"/>
      <c r="E587" s="574"/>
      <c r="F587" s="672" t="s">
        <v>895</v>
      </c>
      <c r="G587" s="574"/>
      <c r="H587" s="735"/>
      <c r="I587" s="735"/>
      <c r="J587" s="735"/>
      <c r="K587" s="735"/>
      <c r="L587" s="735"/>
      <c r="M587" s="735"/>
      <c r="N587" s="735"/>
      <c r="O587" s="735"/>
      <c r="P587" s="732"/>
      <c r="Q587" s="732"/>
      <c r="R587" s="732"/>
      <c r="S587" s="700">
        <v>0</v>
      </c>
      <c r="T587" s="700">
        <v>0</v>
      </c>
      <c r="U587" s="700">
        <v>0</v>
      </c>
      <c r="V587" s="700">
        <v>0</v>
      </c>
      <c r="W587" s="700">
        <v>0</v>
      </c>
      <c r="X587" s="700">
        <v>0</v>
      </c>
      <c r="Y587" s="700">
        <v>0</v>
      </c>
      <c r="Z587" s="700">
        <v>0</v>
      </c>
      <c r="AA587" s="700">
        <v>0</v>
      </c>
      <c r="AB587" s="700">
        <v>0</v>
      </c>
      <c r="AC587" s="698">
        <v>0</v>
      </c>
      <c r="AD587" s="698">
        <v>0</v>
      </c>
      <c r="AE587" s="732"/>
      <c r="AF587" s="732"/>
      <c r="AG587" s="732"/>
      <c r="AH587" s="732"/>
      <c r="AI587" s="732"/>
      <c r="AJ587" s="732"/>
      <c r="AK587" s="732"/>
      <c r="AL587" s="732"/>
      <c r="AM587" s="732"/>
      <c r="AN587" s="732"/>
      <c r="AO587" s="732"/>
      <c r="AP587" s="732"/>
      <c r="AQ587" s="732"/>
      <c r="AR587" s="732"/>
      <c r="AS587" s="732"/>
      <c r="AT587" s="732"/>
      <c r="AU587" s="732"/>
      <c r="AV587" s="732"/>
      <c r="AW587" s="732"/>
      <c r="AX587" s="732"/>
      <c r="AY587" s="732"/>
      <c r="AZ587" s="732"/>
      <c r="BA587" s="732"/>
      <c r="BB587" s="732"/>
      <c r="BC587" s="732"/>
      <c r="BD587" s="732"/>
      <c r="BE587" s="732"/>
      <c r="BF587" s="732"/>
      <c r="BG587" s="732"/>
      <c r="BH587" s="732"/>
      <c r="BI587" s="732"/>
      <c r="BJ587" s="732"/>
      <c r="BK587" s="732"/>
      <c r="BL587" s="732"/>
      <c r="BM587" s="732"/>
      <c r="BN587" s="732"/>
      <c r="BO587" s="732"/>
      <c r="BP587" s="732"/>
      <c r="BQ587" s="732"/>
      <c r="BR587" s="732"/>
      <c r="BS587" s="732"/>
      <c r="BT587" s="732"/>
      <c r="BU587" s="732"/>
      <c r="BV587" s="732"/>
      <c r="BW587" s="732"/>
      <c r="BX587" s="732"/>
      <c r="BY587" s="732"/>
      <c r="BZ587" s="732"/>
      <c r="CA587" s="732"/>
    </row>
    <row r="588" spans="1:79" hidden="1" outlineLevel="1" x14ac:dyDescent="0.35">
      <c r="A588" s="574"/>
      <c r="B588" s="574"/>
      <c r="C588" s="574"/>
      <c r="D588" s="574"/>
      <c r="E588" s="574"/>
      <c r="F588" s="672" t="s">
        <v>622</v>
      </c>
      <c r="G588" s="735">
        <v>28.444621407047624</v>
      </c>
      <c r="H588" s="735">
        <v>15.646336187673825</v>
      </c>
      <c r="I588" s="735">
        <v>17.477546398029169</v>
      </c>
      <c r="J588" s="735">
        <v>20.422215002395721</v>
      </c>
      <c r="K588" s="735">
        <v>7.9100407967372339</v>
      </c>
      <c r="L588" s="735">
        <v>36.220144833106495</v>
      </c>
      <c r="M588" s="735">
        <v>37.753058979647335</v>
      </c>
      <c r="N588" s="735">
        <v>40.795643981983893</v>
      </c>
      <c r="O588" s="735">
        <v>42.30302706045606</v>
      </c>
      <c r="P588" s="732">
        <v>91.508931934122728</v>
      </c>
      <c r="Q588" s="732">
        <v>86.689903434239923</v>
      </c>
      <c r="R588" s="732">
        <v>3.353934662527803</v>
      </c>
      <c r="S588" s="683">
        <v>0</v>
      </c>
      <c r="T588" s="683">
        <v>0</v>
      </c>
      <c r="U588" s="683">
        <v>0</v>
      </c>
      <c r="V588" s="683">
        <v>0</v>
      </c>
      <c r="W588" s="683">
        <v>0</v>
      </c>
      <c r="X588" s="683">
        <v>0</v>
      </c>
      <c r="Y588" s="683">
        <v>7</v>
      </c>
      <c r="Z588" s="683">
        <v>48.48</v>
      </c>
      <c r="AA588" s="683">
        <v>4.9800000000000004</v>
      </c>
      <c r="AB588" s="683">
        <v>166.3</v>
      </c>
      <c r="AC588" s="702">
        <v>482.11</v>
      </c>
      <c r="AD588" s="702">
        <v>37.270000000000003</v>
      </c>
      <c r="AE588" s="732"/>
      <c r="AF588" s="732"/>
      <c r="AG588" s="732"/>
      <c r="AH588" s="732"/>
      <c r="AI588" s="732"/>
      <c r="AJ588" s="732"/>
      <c r="AK588" s="732"/>
      <c r="AL588" s="732"/>
      <c r="AM588" s="732"/>
      <c r="AN588" s="732"/>
      <c r="AO588" s="732"/>
      <c r="AP588" s="732"/>
      <c r="AQ588" s="732"/>
      <c r="AR588" s="732"/>
      <c r="AS588" s="732"/>
      <c r="AT588" s="732"/>
      <c r="AU588" s="732"/>
      <c r="AV588" s="732"/>
      <c r="AW588" s="732"/>
      <c r="AX588" s="732"/>
      <c r="AY588" s="732"/>
      <c r="AZ588" s="732"/>
      <c r="BA588" s="732"/>
      <c r="BB588" s="732"/>
      <c r="BC588" s="732"/>
      <c r="BD588" s="732"/>
      <c r="BE588" s="732"/>
      <c r="BF588" s="732"/>
      <c r="BG588" s="732"/>
      <c r="BH588" s="732"/>
      <c r="BI588" s="732"/>
      <c r="BJ588" s="732"/>
      <c r="BK588" s="732"/>
      <c r="BL588" s="732"/>
      <c r="BM588" s="732"/>
      <c r="BN588" s="732"/>
      <c r="BO588" s="732"/>
      <c r="BP588" s="732"/>
      <c r="BQ588" s="732"/>
      <c r="BR588" s="732"/>
      <c r="BS588" s="732"/>
      <c r="BT588" s="732"/>
      <c r="BU588" s="732"/>
      <c r="BV588" s="732"/>
      <c r="BW588" s="732"/>
      <c r="BX588" s="732"/>
      <c r="BY588" s="732"/>
      <c r="BZ588" s="732"/>
      <c r="CA588" s="732"/>
    </row>
    <row r="589" spans="1:79" hidden="1" outlineLevel="1" x14ac:dyDescent="0.35">
      <c r="F589" s="673" t="s">
        <v>623</v>
      </c>
      <c r="G589" s="680">
        <f>SUM(G587:G588)</f>
        <v>28.444621407047624</v>
      </c>
      <c r="H589" s="680">
        <f t="shared" ref="H589:BO589" si="238">SUM(H587:H588)</f>
        <v>15.646336187673825</v>
      </c>
      <c r="I589" s="680">
        <f t="shared" si="238"/>
        <v>17.477546398029169</v>
      </c>
      <c r="J589" s="680">
        <f t="shared" si="238"/>
        <v>20.422215002395721</v>
      </c>
      <c r="K589" s="680">
        <f t="shared" si="238"/>
        <v>7.9100407967372339</v>
      </c>
      <c r="L589" s="680">
        <f t="shared" si="238"/>
        <v>36.220144833106495</v>
      </c>
      <c r="M589" s="680">
        <f t="shared" si="238"/>
        <v>37.753058979647335</v>
      </c>
      <c r="N589" s="680">
        <f t="shared" si="238"/>
        <v>40.795643981983893</v>
      </c>
      <c r="O589" s="680">
        <f t="shared" si="238"/>
        <v>42.30302706045606</v>
      </c>
      <c r="P589" s="680">
        <f t="shared" si="238"/>
        <v>91.508931934122728</v>
      </c>
      <c r="Q589" s="680">
        <f t="shared" si="238"/>
        <v>86.689903434239923</v>
      </c>
      <c r="R589" s="680">
        <f t="shared" si="238"/>
        <v>3.353934662527803</v>
      </c>
      <c r="S589" s="694">
        <f t="shared" ref="S589:AA589" si="239">ROUND(SUM(S586:S588),5)</f>
        <v>0</v>
      </c>
      <c r="T589" s="694">
        <f t="shared" si="239"/>
        <v>0</v>
      </c>
      <c r="U589" s="694">
        <f t="shared" si="239"/>
        <v>0</v>
      </c>
      <c r="V589" s="694">
        <f t="shared" si="239"/>
        <v>0</v>
      </c>
      <c r="W589" s="694">
        <f t="shared" si="239"/>
        <v>0</v>
      </c>
      <c r="X589" s="694">
        <f t="shared" si="239"/>
        <v>0</v>
      </c>
      <c r="Y589" s="694">
        <f t="shared" si="239"/>
        <v>7</v>
      </c>
      <c r="Z589" s="694">
        <f t="shared" si="239"/>
        <v>48.48</v>
      </c>
      <c r="AA589" s="694">
        <f t="shared" si="239"/>
        <v>4.9800000000000004</v>
      </c>
      <c r="AB589" s="694">
        <f>ROUND(SUM(AB586:AB588),5)</f>
        <v>166.3</v>
      </c>
      <c r="AC589" s="694">
        <f>ROUND(SUM(AC586:AC588),5)</f>
        <v>482.11</v>
      </c>
      <c r="AD589" s="694">
        <f>ROUND(SUM(AD586:AD588),5)</f>
        <v>37.270000000000003</v>
      </c>
      <c r="AE589" s="680">
        <f t="shared" si="238"/>
        <v>0</v>
      </c>
      <c r="AF589" s="680">
        <f t="shared" si="238"/>
        <v>0</v>
      </c>
      <c r="AG589" s="680">
        <f t="shared" si="238"/>
        <v>0</v>
      </c>
      <c r="AH589" s="680">
        <f t="shared" si="238"/>
        <v>0</v>
      </c>
      <c r="AI589" s="680">
        <f t="shared" si="238"/>
        <v>0</v>
      </c>
      <c r="AJ589" s="680">
        <f t="shared" si="238"/>
        <v>0</v>
      </c>
      <c r="AK589" s="680">
        <f t="shared" si="238"/>
        <v>0</v>
      </c>
      <c r="AL589" s="680">
        <f t="shared" si="238"/>
        <v>0</v>
      </c>
      <c r="AM589" s="680">
        <f t="shared" si="238"/>
        <v>0</v>
      </c>
      <c r="AN589" s="680">
        <f t="shared" si="238"/>
        <v>0</v>
      </c>
      <c r="AO589" s="680">
        <f t="shared" si="238"/>
        <v>0</v>
      </c>
      <c r="AP589" s="680">
        <f t="shared" si="238"/>
        <v>0</v>
      </c>
      <c r="AQ589" s="680">
        <f t="shared" si="238"/>
        <v>0</v>
      </c>
      <c r="AR589" s="680">
        <f t="shared" si="238"/>
        <v>0</v>
      </c>
      <c r="AS589" s="680">
        <f t="shared" si="238"/>
        <v>0</v>
      </c>
      <c r="AT589" s="680">
        <f t="shared" si="238"/>
        <v>0</v>
      </c>
      <c r="AU589" s="680">
        <f t="shared" si="238"/>
        <v>0</v>
      </c>
      <c r="AV589" s="680">
        <f t="shared" si="238"/>
        <v>0</v>
      </c>
      <c r="AW589" s="680">
        <f t="shared" si="238"/>
        <v>0</v>
      </c>
      <c r="AX589" s="680">
        <f t="shared" si="238"/>
        <v>0</v>
      </c>
      <c r="AY589" s="680">
        <f t="shared" si="238"/>
        <v>0</v>
      </c>
      <c r="AZ589" s="680">
        <f t="shared" si="238"/>
        <v>0</v>
      </c>
      <c r="BA589" s="680">
        <f t="shared" si="238"/>
        <v>0</v>
      </c>
      <c r="BB589" s="680">
        <f t="shared" si="238"/>
        <v>0</v>
      </c>
      <c r="BC589" s="680">
        <f t="shared" si="238"/>
        <v>0</v>
      </c>
      <c r="BD589" s="680">
        <f t="shared" si="238"/>
        <v>0</v>
      </c>
      <c r="BE589" s="680">
        <f t="shared" si="238"/>
        <v>0</v>
      </c>
      <c r="BF589" s="680">
        <f t="shared" si="238"/>
        <v>0</v>
      </c>
      <c r="BG589" s="680">
        <f t="shared" si="238"/>
        <v>0</v>
      </c>
      <c r="BH589" s="680">
        <f t="shared" si="238"/>
        <v>0</v>
      </c>
      <c r="BI589" s="680">
        <f t="shared" si="238"/>
        <v>0</v>
      </c>
      <c r="BJ589" s="680">
        <f t="shared" si="238"/>
        <v>0</v>
      </c>
      <c r="BK589" s="680">
        <f t="shared" si="238"/>
        <v>0</v>
      </c>
      <c r="BL589" s="680">
        <f t="shared" si="238"/>
        <v>0</v>
      </c>
      <c r="BM589" s="680">
        <f t="shared" si="238"/>
        <v>0</v>
      </c>
      <c r="BN589" s="680">
        <f t="shared" si="238"/>
        <v>0</v>
      </c>
      <c r="BO589" s="680">
        <f t="shared" si="238"/>
        <v>0</v>
      </c>
      <c r="BP589" s="680">
        <f t="shared" ref="BP589:CA589" si="240">SUM(BP587:BP588)</f>
        <v>0</v>
      </c>
      <c r="BQ589" s="680">
        <f t="shared" si="240"/>
        <v>0</v>
      </c>
      <c r="BR589" s="680">
        <f t="shared" si="240"/>
        <v>0</v>
      </c>
      <c r="BS589" s="680">
        <f t="shared" si="240"/>
        <v>0</v>
      </c>
      <c r="BT589" s="680">
        <f t="shared" si="240"/>
        <v>0</v>
      </c>
      <c r="BU589" s="680">
        <f t="shared" si="240"/>
        <v>0</v>
      </c>
      <c r="BV589" s="680">
        <f t="shared" si="240"/>
        <v>0</v>
      </c>
      <c r="BW589" s="680">
        <f t="shared" si="240"/>
        <v>0</v>
      </c>
      <c r="BX589" s="680">
        <f t="shared" si="240"/>
        <v>0</v>
      </c>
      <c r="BY589" s="680">
        <f t="shared" si="240"/>
        <v>0</v>
      </c>
      <c r="BZ589" s="680">
        <f t="shared" si="240"/>
        <v>0</v>
      </c>
      <c r="CA589" s="680">
        <f t="shared" si="240"/>
        <v>0</v>
      </c>
    </row>
    <row r="590" spans="1:79" hidden="1" outlineLevel="1" x14ac:dyDescent="0.35">
      <c r="F590" s="674" t="s">
        <v>599</v>
      </c>
      <c r="G590" s="735"/>
      <c r="H590" s="735"/>
      <c r="I590" s="735"/>
      <c r="J590" s="735"/>
      <c r="K590" s="735">
        <v>0.27441982799536996</v>
      </c>
      <c r="L590" s="735">
        <v>5.6733079955413048</v>
      </c>
      <c r="M590" s="735">
        <v>6.0736132462399706</v>
      </c>
      <c r="N590" s="735">
        <v>0.10008725559231391</v>
      </c>
      <c r="O590" s="735"/>
      <c r="P590" s="732">
        <v>49.537711204222305</v>
      </c>
      <c r="Q590" s="732">
        <v>6.3128919071353709</v>
      </c>
      <c r="R590" s="732">
        <v>25.999522044540686</v>
      </c>
      <c r="S590" s="683">
        <v>3803.8</v>
      </c>
      <c r="T590" s="683">
        <v>3803.8</v>
      </c>
      <c r="U590" s="683">
        <v>0</v>
      </c>
      <c r="V590" s="683">
        <v>0</v>
      </c>
      <c r="W590" s="683">
        <v>0</v>
      </c>
      <c r="X590" s="683">
        <v>102.6</v>
      </c>
      <c r="Y590" s="683">
        <v>0</v>
      </c>
      <c r="Z590" s="683">
        <v>0</v>
      </c>
      <c r="AA590" s="683">
        <v>-3619.17</v>
      </c>
      <c r="AB590" s="683">
        <v>0</v>
      </c>
      <c r="AC590" s="702">
        <v>0</v>
      </c>
      <c r="AD590" s="702">
        <v>0</v>
      </c>
      <c r="AE590" s="732"/>
      <c r="AF590" s="732"/>
      <c r="AG590" s="732"/>
      <c r="AH590" s="732"/>
      <c r="AI590" s="732"/>
      <c r="AJ590" s="732"/>
      <c r="AK590" s="732"/>
      <c r="AL590" s="732"/>
      <c r="AM590" s="732"/>
      <c r="AN590" s="732"/>
      <c r="AO590" s="732"/>
      <c r="AP590" s="732"/>
      <c r="AQ590" s="732"/>
      <c r="AR590" s="732"/>
      <c r="AS590" s="732"/>
      <c r="AT590" s="732"/>
      <c r="AU590" s="732"/>
      <c r="AV590" s="732"/>
      <c r="AW590" s="732"/>
      <c r="AX590" s="732"/>
      <c r="AY590" s="732"/>
      <c r="AZ590" s="732"/>
      <c r="BA590" s="732"/>
      <c r="BB590" s="732"/>
      <c r="BC590" s="732"/>
      <c r="BD590" s="732"/>
      <c r="BE590" s="732"/>
      <c r="BF590" s="732"/>
      <c r="BG590" s="732"/>
      <c r="BH590" s="732"/>
      <c r="BI590" s="732"/>
      <c r="BJ590" s="732"/>
      <c r="BK590" s="732"/>
      <c r="BL590" s="732"/>
      <c r="BM590" s="732"/>
      <c r="BN590" s="732"/>
      <c r="BO590" s="732"/>
      <c r="BP590" s="732"/>
      <c r="BQ590" s="732"/>
      <c r="BR590" s="732"/>
      <c r="BS590" s="732"/>
      <c r="BT590" s="732"/>
      <c r="BU590" s="732"/>
      <c r="BV590" s="732"/>
      <c r="BW590" s="732"/>
      <c r="BX590" s="732"/>
      <c r="BY590" s="732"/>
      <c r="BZ590" s="732"/>
      <c r="CA590" s="732"/>
    </row>
    <row r="591" spans="1:79" hidden="1" outlineLevel="1" x14ac:dyDescent="0.35">
      <c r="F591" s="674" t="s">
        <v>600</v>
      </c>
      <c r="G591" s="735">
        <v>0.79650198824937746</v>
      </c>
      <c r="H591" s="735">
        <v>22.043076625913585</v>
      </c>
      <c r="I591" s="735"/>
      <c r="J591" s="735">
        <v>0.47605456569073662</v>
      </c>
      <c r="K591" s="735">
        <v>1.2848044984036844</v>
      </c>
      <c r="L591" s="735">
        <v>0.15196135694410798</v>
      </c>
      <c r="M591" s="735"/>
      <c r="N591" s="735">
        <v>0.45471579078654661</v>
      </c>
      <c r="O591" s="735">
        <v>8.3674240633254723E-2</v>
      </c>
      <c r="P591" s="732">
        <v>55.70470757162407</v>
      </c>
      <c r="Q591" s="732">
        <v>8.6259097775705023</v>
      </c>
      <c r="R591" s="732">
        <v>2.7466487395820209</v>
      </c>
      <c r="S591" s="683">
        <v>43.21</v>
      </c>
      <c r="T591" s="683">
        <v>0</v>
      </c>
      <c r="U591" s="683">
        <v>0</v>
      </c>
      <c r="V591" s="683">
        <v>0</v>
      </c>
      <c r="W591" s="683">
        <v>0</v>
      </c>
      <c r="X591" s="683">
        <v>46</v>
      </c>
      <c r="Y591" s="683">
        <v>0</v>
      </c>
      <c r="Z591" s="683">
        <v>51.64</v>
      </c>
      <c r="AA591" s="683">
        <v>0</v>
      </c>
      <c r="AB591" s="683">
        <v>0</v>
      </c>
      <c r="AC591" s="702">
        <v>64.540000000000006</v>
      </c>
      <c r="AD591" s="702">
        <v>8.3000000000000007</v>
      </c>
      <c r="AE591" s="732"/>
      <c r="AF591" s="732"/>
      <c r="AG591" s="732"/>
      <c r="AH591" s="732"/>
      <c r="AI591" s="732"/>
      <c r="AJ591" s="732"/>
      <c r="AK591" s="732"/>
      <c r="AL591" s="732"/>
      <c r="AM591" s="732"/>
      <c r="AN591" s="732"/>
      <c r="AO591" s="732"/>
      <c r="AP591" s="732"/>
      <c r="AQ591" s="732"/>
      <c r="AR591" s="732"/>
      <c r="AS591" s="732"/>
      <c r="AT591" s="732"/>
      <c r="AU591" s="732"/>
      <c r="AV591" s="732"/>
      <c r="AW591" s="732"/>
      <c r="AX591" s="732"/>
      <c r="AY591" s="732"/>
      <c r="AZ591" s="732"/>
      <c r="BA591" s="732"/>
      <c r="BB591" s="732"/>
      <c r="BC591" s="732"/>
      <c r="BD591" s="732"/>
      <c r="BE591" s="732"/>
      <c r="BF591" s="732"/>
      <c r="BG591" s="732"/>
      <c r="BH591" s="732"/>
      <c r="BI591" s="732"/>
      <c r="BJ591" s="732"/>
      <c r="BK591" s="732"/>
      <c r="BL591" s="732"/>
      <c r="BM591" s="732"/>
      <c r="BN591" s="732"/>
      <c r="BO591" s="732"/>
      <c r="BP591" s="732"/>
      <c r="BQ591" s="732"/>
      <c r="BR591" s="732"/>
      <c r="BS591" s="732"/>
      <c r="BT591" s="732"/>
      <c r="BU591" s="732"/>
      <c r="BV591" s="732"/>
      <c r="BW591" s="732"/>
      <c r="BX591" s="732"/>
      <c r="BY591" s="732"/>
      <c r="BZ591" s="732"/>
      <c r="CA591" s="732"/>
    </row>
    <row r="592" spans="1:79" hidden="1" outlineLevel="1" x14ac:dyDescent="0.35">
      <c r="F592" s="674" t="s">
        <v>601</v>
      </c>
      <c r="G592" s="732"/>
      <c r="H592" s="732"/>
      <c r="I592" s="732"/>
      <c r="J592" s="732">
        <v>11.364250721573466</v>
      </c>
      <c r="K592" s="732">
        <v>0.2740088147732101</v>
      </c>
      <c r="L592" s="732"/>
      <c r="M592" s="732"/>
      <c r="N592" s="732"/>
      <c r="O592" s="732">
        <v>1.2492690758108169</v>
      </c>
      <c r="P592" s="732">
        <v>3.1796451642273307E-2</v>
      </c>
      <c r="Q592" s="732">
        <v>3.0735950410566395</v>
      </c>
      <c r="R592" s="732"/>
      <c r="S592" s="683">
        <v>0</v>
      </c>
      <c r="T592" s="683">
        <v>0</v>
      </c>
      <c r="U592" s="683">
        <v>615.75</v>
      </c>
      <c r="V592" s="683">
        <v>0</v>
      </c>
      <c r="W592" s="683">
        <v>0</v>
      </c>
      <c r="X592" s="683">
        <v>0</v>
      </c>
      <c r="Y592" s="683">
        <v>0</v>
      </c>
      <c r="Z592" s="683">
        <v>0</v>
      </c>
      <c r="AA592" s="683">
        <v>0</v>
      </c>
      <c r="AB592" s="683">
        <v>0</v>
      </c>
      <c r="AC592" s="681">
        <v>0</v>
      </c>
      <c r="AD592" s="681">
        <v>0</v>
      </c>
      <c r="AE592" s="732"/>
      <c r="AF592" s="732"/>
      <c r="AG592" s="732"/>
      <c r="AH592" s="732"/>
      <c r="AI592" s="732"/>
      <c r="AJ592" s="732"/>
      <c r="AK592" s="732"/>
      <c r="AL592" s="732"/>
      <c r="AM592" s="732"/>
      <c r="AN592" s="732"/>
      <c r="AO592" s="732"/>
      <c r="AP592" s="732"/>
      <c r="AQ592" s="732"/>
      <c r="AR592" s="732"/>
      <c r="AS592" s="732"/>
      <c r="AT592" s="732"/>
      <c r="AU592" s="732"/>
      <c r="AV592" s="732"/>
      <c r="AW592" s="732"/>
      <c r="AX592" s="732"/>
      <c r="AY592" s="732"/>
      <c r="AZ592" s="732"/>
      <c r="BA592" s="732"/>
      <c r="BB592" s="732"/>
      <c r="BC592" s="732"/>
      <c r="BD592" s="732"/>
      <c r="BE592" s="732"/>
      <c r="BF592" s="732"/>
      <c r="BG592" s="732"/>
      <c r="BH592" s="732"/>
      <c r="BI592" s="732"/>
      <c r="BJ592" s="732"/>
      <c r="BK592" s="732"/>
      <c r="BL592" s="732"/>
      <c r="BM592" s="732"/>
      <c r="BN592" s="732"/>
      <c r="BO592" s="732"/>
      <c r="BP592" s="732"/>
      <c r="BQ592" s="732"/>
      <c r="BR592" s="732"/>
      <c r="BS592" s="732"/>
      <c r="BT592" s="732"/>
      <c r="BU592" s="732"/>
      <c r="BV592" s="732"/>
      <c r="BW592" s="732"/>
      <c r="BX592" s="732"/>
      <c r="BY592" s="732"/>
      <c r="BZ592" s="732"/>
      <c r="CA592" s="732"/>
    </row>
    <row r="593" spans="1:79" s="726" customFormat="1" hidden="1" outlineLevel="1" x14ac:dyDescent="0.35">
      <c r="F593" s="717" t="s">
        <v>602</v>
      </c>
      <c r="G593" s="751"/>
      <c r="H593" s="751"/>
      <c r="I593" s="751"/>
      <c r="J593" s="751"/>
      <c r="K593" s="751"/>
      <c r="L593" s="751"/>
      <c r="M593" s="751"/>
      <c r="N593" s="751"/>
      <c r="O593" s="751"/>
      <c r="P593" s="751"/>
      <c r="Q593" s="751"/>
      <c r="R593" s="751"/>
      <c r="S593" s="713"/>
      <c r="T593" s="713"/>
      <c r="U593" s="713"/>
      <c r="V593" s="713"/>
      <c r="W593" s="713"/>
      <c r="X593" s="713"/>
      <c r="Y593" s="713"/>
      <c r="Z593" s="713"/>
      <c r="AA593" s="713"/>
      <c r="AB593" s="713"/>
      <c r="AC593" s="721"/>
      <c r="AD593" s="721"/>
      <c r="AE593" s="751"/>
      <c r="AF593" s="751"/>
      <c r="AG593" s="751"/>
      <c r="AH593" s="751"/>
      <c r="AI593" s="751"/>
      <c r="AJ593" s="751"/>
      <c r="AK593" s="751"/>
      <c r="AL593" s="751"/>
      <c r="AM593" s="751"/>
      <c r="AN593" s="751"/>
      <c r="AO593" s="751"/>
      <c r="AP593" s="751"/>
      <c r="AQ593" s="751"/>
      <c r="AR593" s="751"/>
      <c r="AS593" s="751"/>
      <c r="AT593" s="751"/>
      <c r="AU593" s="751"/>
      <c r="AV593" s="751"/>
      <c r="AW593" s="751"/>
      <c r="AX593" s="751"/>
      <c r="AY593" s="751"/>
      <c r="AZ593" s="751"/>
      <c r="BA593" s="751"/>
      <c r="BB593" s="751"/>
      <c r="BC593" s="751"/>
      <c r="BD593" s="751"/>
      <c r="BE593" s="751"/>
      <c r="BF593" s="751"/>
      <c r="BG593" s="751"/>
      <c r="BH593" s="751"/>
      <c r="BI593" s="751"/>
      <c r="BJ593" s="751"/>
      <c r="BK593" s="751"/>
      <c r="BL593" s="751"/>
      <c r="BM593" s="751"/>
      <c r="BN593" s="751"/>
      <c r="BO593" s="751"/>
      <c r="BP593" s="751"/>
      <c r="BQ593" s="751"/>
      <c r="BR593" s="751"/>
      <c r="BS593" s="751"/>
      <c r="BT593" s="751"/>
      <c r="BU593" s="751"/>
      <c r="BV593" s="751"/>
      <c r="BW593" s="751"/>
      <c r="BX593" s="751"/>
      <c r="BY593" s="751"/>
      <c r="BZ593" s="751"/>
      <c r="CA593" s="751"/>
    </row>
    <row r="594" spans="1:79" s="452" customFormat="1" hidden="1" outlineLevel="1" x14ac:dyDescent="0.35">
      <c r="A594" s="80"/>
      <c r="B594" s="80"/>
      <c r="C594" s="80"/>
      <c r="D594" s="80"/>
      <c r="E594" s="80"/>
      <c r="F594" s="672" t="s">
        <v>653</v>
      </c>
      <c r="G594" s="732"/>
      <c r="H594" s="732"/>
      <c r="I594" s="732"/>
      <c r="J594" s="732"/>
      <c r="K594" s="732"/>
      <c r="L594" s="732"/>
      <c r="M594" s="732"/>
      <c r="N594" s="732"/>
      <c r="O594" s="732"/>
      <c r="P594" s="732"/>
      <c r="Q594" s="732"/>
      <c r="R594" s="732"/>
      <c r="S594" s="692">
        <v>0</v>
      </c>
      <c r="T594" s="692">
        <v>26824.45</v>
      </c>
      <c r="U594" s="692">
        <v>8490.2999999999993</v>
      </c>
      <c r="V594" s="692">
        <v>3861.65</v>
      </c>
      <c r="W594" s="692">
        <v>10139.299999999999</v>
      </c>
      <c r="X594" s="692">
        <v>494.75</v>
      </c>
      <c r="Y594" s="692">
        <v>29741.45</v>
      </c>
      <c r="Z594" s="692">
        <v>1382.9</v>
      </c>
      <c r="AA594" s="692">
        <v>12472.75</v>
      </c>
      <c r="AB594" s="692">
        <v>-178.45</v>
      </c>
      <c r="AC594" s="690">
        <v>1150.5</v>
      </c>
      <c r="AD594" s="690">
        <v>62474.35</v>
      </c>
      <c r="AE594" s="732"/>
      <c r="AF594" s="732"/>
      <c r="AG594" s="732"/>
      <c r="AH594" s="732"/>
      <c r="AI594" s="732"/>
      <c r="AJ594" s="732"/>
      <c r="AK594" s="732"/>
      <c r="AL594" s="732"/>
      <c r="AM594" s="732"/>
      <c r="AN594" s="732"/>
      <c r="AO594" s="732"/>
      <c r="AP594" s="732"/>
      <c r="AQ594" s="732"/>
      <c r="AR594" s="732"/>
      <c r="AS594" s="732"/>
      <c r="AT594" s="732"/>
      <c r="AU594" s="732"/>
      <c r="AV594" s="732"/>
      <c r="AW594" s="732"/>
      <c r="AX594" s="732"/>
      <c r="AY594" s="732"/>
      <c r="AZ594" s="732"/>
      <c r="BA594" s="732"/>
      <c r="BB594" s="732"/>
      <c r="BC594" s="732"/>
      <c r="BD594" s="732"/>
      <c r="BE594" s="732"/>
      <c r="BF594" s="732"/>
      <c r="BG594" s="732"/>
      <c r="BH594" s="732"/>
      <c r="BI594" s="732"/>
      <c r="BJ594" s="732"/>
      <c r="BK594" s="732"/>
      <c r="BL594" s="732"/>
      <c r="BM594" s="732"/>
      <c r="BN594" s="732"/>
      <c r="BO594" s="732"/>
      <c r="BP594" s="732"/>
      <c r="BQ594" s="732"/>
      <c r="BR594" s="732"/>
      <c r="BS594" s="732"/>
      <c r="BT594" s="732"/>
      <c r="BU594" s="732"/>
      <c r="BV594" s="732"/>
      <c r="BW594" s="732"/>
      <c r="BX594" s="732"/>
      <c r="BY594" s="732"/>
      <c r="BZ594" s="732"/>
      <c r="CA594" s="732"/>
    </row>
    <row r="595" spans="1:79" s="452" customFormat="1" hidden="1" outlineLevel="1" x14ac:dyDescent="0.35">
      <c r="A595" s="580"/>
      <c r="B595" s="580"/>
      <c r="C595" s="580"/>
      <c r="D595" s="580"/>
      <c r="E595" s="580"/>
      <c r="F595" s="672" t="s">
        <v>624</v>
      </c>
      <c r="G595" s="732"/>
      <c r="H595" s="732"/>
      <c r="I595" s="732"/>
      <c r="J595" s="732"/>
      <c r="K595" s="732"/>
      <c r="L595" s="732"/>
      <c r="M595" s="732"/>
      <c r="N595" s="732"/>
      <c r="O595" s="732"/>
      <c r="P595" s="732"/>
      <c r="Q595" s="732"/>
      <c r="R595" s="732"/>
      <c r="S595" s="683">
        <v>0</v>
      </c>
      <c r="T595" s="683">
        <v>0</v>
      </c>
      <c r="U595" s="683">
        <v>0</v>
      </c>
      <c r="V595" s="683">
        <v>0</v>
      </c>
      <c r="W595" s="683">
        <v>0</v>
      </c>
      <c r="X595" s="683">
        <v>0</v>
      </c>
      <c r="Y595" s="683">
        <v>0</v>
      </c>
      <c r="Z595" s="683">
        <v>0</v>
      </c>
      <c r="AA595" s="683">
        <v>0</v>
      </c>
      <c r="AB595" s="683">
        <v>0</v>
      </c>
      <c r="AC595" s="702">
        <v>0</v>
      </c>
      <c r="AD595" s="702">
        <v>0</v>
      </c>
      <c r="AE595" s="732"/>
      <c r="AF595" s="732"/>
      <c r="AG595" s="732"/>
      <c r="AH595" s="732"/>
      <c r="AI595" s="732"/>
      <c r="AJ595" s="732"/>
      <c r="AK595" s="732"/>
      <c r="AL595" s="732"/>
      <c r="AM595" s="732"/>
      <c r="AN595" s="732"/>
      <c r="AO595" s="732"/>
      <c r="AP595" s="732"/>
      <c r="AQ595" s="732"/>
      <c r="AR595" s="732"/>
      <c r="AS595" s="732"/>
      <c r="AT595" s="732"/>
      <c r="AU595" s="732"/>
      <c r="AV595" s="732"/>
      <c r="AW595" s="732"/>
      <c r="AX595" s="732"/>
      <c r="AY595" s="732"/>
      <c r="AZ595" s="732"/>
      <c r="BA595" s="732"/>
      <c r="BB595" s="732"/>
      <c r="BC595" s="732"/>
      <c r="BD595" s="732"/>
      <c r="BE595" s="732"/>
      <c r="BF595" s="732"/>
      <c r="BG595" s="732"/>
      <c r="BH595" s="732"/>
      <c r="BI595" s="732"/>
      <c r="BJ595" s="732"/>
      <c r="BK595" s="732"/>
      <c r="BL595" s="732"/>
      <c r="BM595" s="732"/>
      <c r="BN595" s="732"/>
      <c r="BO595" s="732"/>
      <c r="BP595" s="732"/>
      <c r="BQ595" s="732"/>
      <c r="BR595" s="732"/>
      <c r="BS595" s="732"/>
      <c r="BT595" s="732"/>
      <c r="BU595" s="732"/>
      <c r="BV595" s="732"/>
      <c r="BW595" s="732"/>
      <c r="BX595" s="732"/>
      <c r="BY595" s="732"/>
      <c r="BZ595" s="732"/>
      <c r="CA595" s="732"/>
    </row>
    <row r="596" spans="1:79" s="452" customFormat="1" hidden="1" outlineLevel="1" x14ac:dyDescent="0.35">
      <c r="A596" s="80"/>
      <c r="B596" s="80"/>
      <c r="C596" s="80"/>
      <c r="D596" s="80"/>
      <c r="E596" s="80"/>
      <c r="F596" s="672" t="s">
        <v>670</v>
      </c>
      <c r="G596" s="732"/>
      <c r="H596" s="732"/>
      <c r="I596" s="732"/>
      <c r="J596" s="732"/>
      <c r="K596" s="732"/>
      <c r="L596" s="732"/>
      <c r="M596" s="732"/>
      <c r="N596" s="732"/>
      <c r="O596" s="732"/>
      <c r="P596" s="732"/>
      <c r="Q596" s="732"/>
      <c r="R596" s="732"/>
      <c r="S596" s="683">
        <v>0</v>
      </c>
      <c r="T596" s="683">
        <v>0</v>
      </c>
      <c r="U596" s="683">
        <v>0</v>
      </c>
      <c r="V596" s="683">
        <v>0</v>
      </c>
      <c r="W596" s="683">
        <v>2760.68</v>
      </c>
      <c r="X596" s="683">
        <v>391.5</v>
      </c>
      <c r="Y596" s="683">
        <v>0</v>
      </c>
      <c r="Z596" s="683">
        <v>15831.21</v>
      </c>
      <c r="AA596" s="683">
        <v>0</v>
      </c>
      <c r="AB596" s="683">
        <v>0</v>
      </c>
      <c r="AC596" s="702">
        <v>1739</v>
      </c>
      <c r="AD596" s="702">
        <v>0</v>
      </c>
      <c r="AE596" s="732"/>
      <c r="AF596" s="732"/>
      <c r="AG596" s="732"/>
      <c r="AH596" s="732"/>
      <c r="AI596" s="732"/>
      <c r="AJ596" s="732"/>
      <c r="AK596" s="732"/>
      <c r="AL596" s="732"/>
      <c r="AM596" s="732"/>
      <c r="AN596" s="732"/>
      <c r="AO596" s="732"/>
      <c r="AP596" s="732"/>
      <c r="AQ596" s="732"/>
      <c r="AR596" s="732"/>
      <c r="AS596" s="732"/>
      <c r="AT596" s="732"/>
      <c r="AU596" s="732"/>
      <c r="AV596" s="732"/>
      <c r="AW596" s="732"/>
      <c r="AX596" s="732"/>
      <c r="AY596" s="732"/>
      <c r="AZ596" s="732"/>
      <c r="BA596" s="732"/>
      <c r="BB596" s="732"/>
      <c r="BC596" s="732"/>
      <c r="BD596" s="732"/>
      <c r="BE596" s="732"/>
      <c r="BF596" s="732"/>
      <c r="BG596" s="732"/>
      <c r="BH596" s="732"/>
      <c r="BI596" s="732"/>
      <c r="BJ596" s="732"/>
      <c r="BK596" s="732"/>
      <c r="BL596" s="732"/>
      <c r="BM596" s="732"/>
      <c r="BN596" s="732"/>
      <c r="BO596" s="732"/>
      <c r="BP596" s="732"/>
      <c r="BQ596" s="732"/>
      <c r="BR596" s="732"/>
      <c r="BS596" s="732"/>
      <c r="BT596" s="732"/>
      <c r="BU596" s="732"/>
      <c r="BV596" s="732"/>
      <c r="BW596" s="732"/>
      <c r="BX596" s="732"/>
      <c r="BY596" s="732"/>
      <c r="BZ596" s="732"/>
      <c r="CA596" s="732"/>
    </row>
    <row r="597" spans="1:79" s="452" customFormat="1" hidden="1" outlineLevel="1" x14ac:dyDescent="0.35">
      <c r="A597" s="80"/>
      <c r="B597" s="80"/>
      <c r="C597" s="80"/>
      <c r="D597" s="80"/>
      <c r="E597" s="80"/>
      <c r="F597" s="672" t="s">
        <v>625</v>
      </c>
      <c r="G597" s="732"/>
      <c r="H597" s="732"/>
      <c r="I597" s="732"/>
      <c r="J597" s="732"/>
      <c r="K597" s="732"/>
      <c r="L597" s="732"/>
      <c r="M597" s="732"/>
      <c r="N597" s="732"/>
      <c r="O597" s="732"/>
      <c r="P597" s="732"/>
      <c r="Q597" s="732"/>
      <c r="R597" s="732"/>
      <c r="S597" s="683">
        <v>313.25</v>
      </c>
      <c r="T597" s="683">
        <v>0</v>
      </c>
      <c r="U597" s="683">
        <v>0</v>
      </c>
      <c r="V597" s="683">
        <v>0</v>
      </c>
      <c r="W597" s="683">
        <v>0</v>
      </c>
      <c r="X597" s="683">
        <v>0</v>
      </c>
      <c r="Y597" s="683">
        <v>0</v>
      </c>
      <c r="Z597" s="683">
        <v>0</v>
      </c>
      <c r="AA597" s="683">
        <v>0</v>
      </c>
      <c r="AB597" s="683">
        <v>0</v>
      </c>
      <c r="AC597" s="702">
        <v>115</v>
      </c>
      <c r="AD597" s="702">
        <v>0</v>
      </c>
      <c r="AE597" s="732"/>
      <c r="AF597" s="732"/>
      <c r="AG597" s="732"/>
      <c r="AH597" s="732"/>
      <c r="AI597" s="732"/>
      <c r="AJ597" s="732"/>
      <c r="AK597" s="732"/>
      <c r="AL597" s="732"/>
      <c r="AM597" s="732"/>
      <c r="AN597" s="732"/>
      <c r="AO597" s="732"/>
      <c r="AP597" s="732"/>
      <c r="AQ597" s="732"/>
      <c r="AR597" s="732"/>
      <c r="AS597" s="732"/>
      <c r="AT597" s="732"/>
      <c r="AU597" s="732"/>
      <c r="AV597" s="732"/>
      <c r="AW597" s="732"/>
      <c r="AX597" s="732"/>
      <c r="AY597" s="732"/>
      <c r="AZ597" s="732"/>
      <c r="BA597" s="732"/>
      <c r="BB597" s="732"/>
      <c r="BC597" s="732"/>
      <c r="BD597" s="732"/>
      <c r="BE597" s="732"/>
      <c r="BF597" s="732"/>
      <c r="BG597" s="732"/>
      <c r="BH597" s="732"/>
      <c r="BI597" s="732"/>
      <c r="BJ597" s="732"/>
      <c r="BK597" s="732"/>
      <c r="BL597" s="732"/>
      <c r="BM597" s="732"/>
      <c r="BN597" s="732"/>
      <c r="BO597" s="732"/>
      <c r="BP597" s="732"/>
      <c r="BQ597" s="732"/>
      <c r="BR597" s="732"/>
      <c r="BS597" s="732"/>
      <c r="BT597" s="732"/>
      <c r="BU597" s="732"/>
      <c r="BV597" s="732"/>
      <c r="BW597" s="732"/>
      <c r="BX597" s="732"/>
      <c r="BY597" s="732"/>
      <c r="BZ597" s="732"/>
      <c r="CA597" s="732"/>
    </row>
    <row r="598" spans="1:79" s="452" customFormat="1" hidden="1" outlineLevel="1" x14ac:dyDescent="0.35">
      <c r="A598" s="80"/>
      <c r="B598" s="80"/>
      <c r="C598" s="80"/>
      <c r="D598" s="80"/>
      <c r="E598" s="80"/>
      <c r="F598" s="672" t="s">
        <v>654</v>
      </c>
      <c r="G598" s="735"/>
      <c r="H598" s="735"/>
      <c r="I598" s="735"/>
      <c r="J598" s="735"/>
      <c r="K598" s="735"/>
      <c r="L598" s="735"/>
      <c r="M598" s="735"/>
      <c r="N598" s="735"/>
      <c r="O598" s="735"/>
      <c r="P598" s="732"/>
      <c r="Q598" s="732"/>
      <c r="R598" s="732"/>
      <c r="S598" s="683">
        <v>600</v>
      </c>
      <c r="T598" s="683">
        <v>0</v>
      </c>
      <c r="U598" s="683">
        <v>600</v>
      </c>
      <c r="V598" s="683">
        <v>0</v>
      </c>
      <c r="W598" s="683">
        <v>0</v>
      </c>
      <c r="X598" s="683">
        <v>0</v>
      </c>
      <c r="Y598" s="683">
        <v>200</v>
      </c>
      <c r="Z598" s="683">
        <v>200</v>
      </c>
      <c r="AA598" s="683">
        <v>200</v>
      </c>
      <c r="AB598" s="683">
        <v>200</v>
      </c>
      <c r="AC598" s="702">
        <v>200</v>
      </c>
      <c r="AD598" s="702">
        <v>-400</v>
      </c>
      <c r="AE598" s="732"/>
      <c r="AF598" s="732"/>
      <c r="AG598" s="732"/>
      <c r="AH598" s="732"/>
      <c r="AI598" s="732"/>
      <c r="AJ598" s="732"/>
      <c r="AK598" s="732"/>
      <c r="AL598" s="732"/>
      <c r="AM598" s="732"/>
      <c r="AN598" s="732"/>
      <c r="AO598" s="732"/>
      <c r="AP598" s="732"/>
      <c r="AQ598" s="732"/>
      <c r="AR598" s="732"/>
      <c r="AS598" s="732"/>
      <c r="AT598" s="732"/>
      <c r="AU598" s="732"/>
      <c r="AV598" s="732"/>
      <c r="AW598" s="732"/>
      <c r="AX598" s="732"/>
      <c r="AY598" s="732"/>
      <c r="AZ598" s="732"/>
      <c r="BA598" s="732"/>
      <c r="BB598" s="732"/>
      <c r="BC598" s="732"/>
      <c r="BD598" s="732"/>
      <c r="BE598" s="732"/>
      <c r="BF598" s="732"/>
      <c r="BG598" s="732"/>
      <c r="BH598" s="732"/>
      <c r="BI598" s="732"/>
      <c r="BJ598" s="732"/>
      <c r="BK598" s="732"/>
      <c r="BL598" s="732"/>
      <c r="BM598" s="732"/>
      <c r="BN598" s="732"/>
      <c r="BO598" s="732"/>
      <c r="BP598" s="732"/>
      <c r="BQ598" s="732"/>
      <c r="BR598" s="732"/>
      <c r="BS598" s="732"/>
      <c r="BT598" s="732"/>
      <c r="BU598" s="732"/>
      <c r="BV598" s="732"/>
      <c r="BW598" s="732"/>
      <c r="BX598" s="732"/>
      <c r="BY598" s="732"/>
      <c r="BZ598" s="732"/>
      <c r="CA598" s="732"/>
    </row>
    <row r="599" spans="1:79" s="452" customFormat="1" hidden="1" outlineLevel="1" x14ac:dyDescent="0.35">
      <c r="A599" s="580"/>
      <c r="B599" s="580"/>
      <c r="C599" s="580"/>
      <c r="D599" s="580"/>
      <c r="E599" s="580"/>
      <c r="F599" s="672" t="s">
        <v>651</v>
      </c>
      <c r="G599" s="735"/>
      <c r="H599" s="735"/>
      <c r="I599" s="735"/>
      <c r="J599" s="735"/>
      <c r="K599" s="735"/>
      <c r="L599" s="735"/>
      <c r="M599" s="735"/>
      <c r="N599" s="735"/>
      <c r="O599" s="735"/>
      <c r="P599" s="732"/>
      <c r="Q599" s="732"/>
      <c r="R599" s="732"/>
      <c r="S599" s="700">
        <v>0</v>
      </c>
      <c r="T599" s="700">
        <v>0</v>
      </c>
      <c r="U599" s="700">
        <v>0</v>
      </c>
      <c r="V599" s="700">
        <v>0</v>
      </c>
      <c r="W599" s="700">
        <v>0</v>
      </c>
      <c r="X599" s="700">
        <v>0</v>
      </c>
      <c r="Y599" s="700">
        <v>0</v>
      </c>
      <c r="Z599" s="700">
        <v>0</v>
      </c>
      <c r="AA599" s="700">
        <v>0</v>
      </c>
      <c r="AB599" s="700">
        <v>0</v>
      </c>
      <c r="AC599" s="702">
        <v>0</v>
      </c>
      <c r="AD599" s="702">
        <v>0</v>
      </c>
      <c r="AE599" s="732"/>
      <c r="AF599" s="732"/>
      <c r="AG599" s="732"/>
      <c r="AH599" s="732"/>
      <c r="AI599" s="732"/>
      <c r="AJ599" s="732"/>
      <c r="AK599" s="732"/>
      <c r="AL599" s="732"/>
      <c r="AM599" s="732"/>
      <c r="AN599" s="732"/>
      <c r="AO599" s="732"/>
      <c r="AP599" s="732"/>
      <c r="AQ599" s="732"/>
      <c r="AR599" s="732"/>
      <c r="AS599" s="732"/>
      <c r="AT599" s="732"/>
      <c r="AU599" s="732"/>
      <c r="AV599" s="732"/>
      <c r="AW599" s="732"/>
      <c r="AX599" s="732"/>
      <c r="AY599" s="732"/>
      <c r="AZ599" s="732"/>
      <c r="BA599" s="732"/>
      <c r="BB599" s="732"/>
      <c r="BC599" s="732"/>
      <c r="BD599" s="732"/>
      <c r="BE599" s="732"/>
      <c r="BF599" s="732"/>
      <c r="BG599" s="732"/>
      <c r="BH599" s="732"/>
      <c r="BI599" s="732"/>
      <c r="BJ599" s="732"/>
      <c r="BK599" s="732"/>
      <c r="BL599" s="732"/>
      <c r="BM599" s="732"/>
      <c r="BN599" s="732"/>
      <c r="BO599" s="732"/>
      <c r="BP599" s="732"/>
      <c r="BQ599" s="732"/>
      <c r="BR599" s="732"/>
      <c r="BS599" s="732"/>
      <c r="BT599" s="732"/>
      <c r="BU599" s="732"/>
      <c r="BV599" s="732"/>
      <c r="BW599" s="732"/>
      <c r="BX599" s="732"/>
      <c r="BY599" s="732"/>
      <c r="BZ599" s="732"/>
      <c r="CA599" s="732"/>
    </row>
    <row r="600" spans="1:79" s="452" customFormat="1" hidden="1" outlineLevel="1" x14ac:dyDescent="0.35">
      <c r="A600" s="580"/>
      <c r="B600" s="580"/>
      <c r="C600" s="580"/>
      <c r="D600" s="580"/>
      <c r="E600" s="580"/>
      <c r="F600" s="672" t="s">
        <v>896</v>
      </c>
      <c r="G600" s="735"/>
      <c r="H600" s="735"/>
      <c r="I600" s="735"/>
      <c r="J600" s="735"/>
      <c r="K600" s="735"/>
      <c r="L600" s="735"/>
      <c r="M600" s="735"/>
      <c r="N600" s="735"/>
      <c r="O600" s="735"/>
      <c r="P600" s="732"/>
      <c r="Q600" s="732"/>
      <c r="R600" s="732"/>
      <c r="S600" s="700">
        <v>0</v>
      </c>
      <c r="T600" s="700">
        <v>0</v>
      </c>
      <c r="U600" s="700">
        <v>0</v>
      </c>
      <c r="V600" s="700">
        <v>0</v>
      </c>
      <c r="W600" s="700">
        <v>0</v>
      </c>
      <c r="X600" s="700">
        <v>0</v>
      </c>
      <c r="Y600" s="700">
        <v>0</v>
      </c>
      <c r="Z600" s="700">
        <v>0</v>
      </c>
      <c r="AA600" s="700">
        <v>0</v>
      </c>
      <c r="AB600" s="700">
        <v>0</v>
      </c>
      <c r="AC600" s="702">
        <v>0</v>
      </c>
      <c r="AD600" s="702">
        <v>0</v>
      </c>
      <c r="AE600" s="732"/>
      <c r="AF600" s="732"/>
      <c r="AG600" s="732"/>
      <c r="AH600" s="732"/>
      <c r="AI600" s="732"/>
      <c r="AJ600" s="732"/>
      <c r="AK600" s="732"/>
      <c r="AL600" s="732"/>
      <c r="AM600" s="732"/>
      <c r="AN600" s="732"/>
      <c r="AO600" s="732"/>
      <c r="AP600" s="732"/>
      <c r="AQ600" s="732"/>
      <c r="AR600" s="732"/>
      <c r="AS600" s="732"/>
      <c r="AT600" s="732"/>
      <c r="AU600" s="732"/>
      <c r="AV600" s="732"/>
      <c r="AW600" s="732"/>
      <c r="AX600" s="732"/>
      <c r="AY600" s="732"/>
      <c r="AZ600" s="732"/>
      <c r="BA600" s="732"/>
      <c r="BB600" s="732"/>
      <c r="BC600" s="732"/>
      <c r="BD600" s="732"/>
      <c r="BE600" s="732"/>
      <c r="BF600" s="732"/>
      <c r="BG600" s="732"/>
      <c r="BH600" s="732"/>
      <c r="BI600" s="732"/>
      <c r="BJ600" s="732"/>
      <c r="BK600" s="732"/>
      <c r="BL600" s="732"/>
      <c r="BM600" s="732"/>
      <c r="BN600" s="732"/>
      <c r="BO600" s="732"/>
      <c r="BP600" s="732"/>
      <c r="BQ600" s="732"/>
      <c r="BR600" s="732"/>
      <c r="BS600" s="732"/>
      <c r="BT600" s="732"/>
      <c r="BU600" s="732"/>
      <c r="BV600" s="732"/>
      <c r="BW600" s="732"/>
      <c r="BX600" s="732"/>
      <c r="BY600" s="732"/>
      <c r="BZ600" s="732"/>
      <c r="CA600" s="732"/>
    </row>
    <row r="601" spans="1:79" s="452" customFormat="1" hidden="1" outlineLevel="1" x14ac:dyDescent="0.35">
      <c r="A601" s="580"/>
      <c r="B601" s="580"/>
      <c r="C601" s="580"/>
      <c r="D601" s="580"/>
      <c r="E601" s="580"/>
      <c r="F601" s="672" t="s">
        <v>689</v>
      </c>
      <c r="G601" s="735"/>
      <c r="H601" s="735"/>
      <c r="I601" s="735"/>
      <c r="J601" s="735"/>
      <c r="K601" s="735"/>
      <c r="L601" s="735"/>
      <c r="M601" s="735"/>
      <c r="N601" s="735"/>
      <c r="O601" s="735"/>
      <c r="P601" s="732"/>
      <c r="Q601" s="732"/>
      <c r="R601" s="732"/>
      <c r="S601" s="683">
        <v>0</v>
      </c>
      <c r="T601" s="683">
        <v>0</v>
      </c>
      <c r="U601" s="683">
        <v>0</v>
      </c>
      <c r="V601" s="683">
        <v>0</v>
      </c>
      <c r="W601" s="683">
        <v>0</v>
      </c>
      <c r="X601" s="683">
        <v>0</v>
      </c>
      <c r="Y601" s="683">
        <v>0</v>
      </c>
      <c r="Z601" s="683">
        <v>0</v>
      </c>
      <c r="AA601" s="683">
        <v>0</v>
      </c>
      <c r="AB601" s="683">
        <v>0</v>
      </c>
      <c r="AC601" s="702">
        <v>0</v>
      </c>
      <c r="AD601" s="702">
        <v>0</v>
      </c>
      <c r="AE601" s="732"/>
      <c r="AF601" s="732"/>
      <c r="AG601" s="732"/>
      <c r="AH601" s="732"/>
      <c r="AI601" s="732"/>
      <c r="AJ601" s="732"/>
      <c r="AK601" s="732"/>
      <c r="AL601" s="732"/>
      <c r="AM601" s="732"/>
      <c r="AN601" s="732"/>
      <c r="AO601" s="732"/>
      <c r="AP601" s="732"/>
      <c r="AQ601" s="732"/>
      <c r="AR601" s="732"/>
      <c r="AS601" s="732"/>
      <c r="AT601" s="732"/>
      <c r="AU601" s="732"/>
      <c r="AV601" s="732"/>
      <c r="AW601" s="732"/>
      <c r="AX601" s="732"/>
      <c r="AY601" s="732"/>
      <c r="AZ601" s="732"/>
      <c r="BA601" s="732"/>
      <c r="BB601" s="732"/>
      <c r="BC601" s="732"/>
      <c r="BD601" s="732"/>
      <c r="BE601" s="732"/>
      <c r="BF601" s="732"/>
      <c r="BG601" s="732"/>
      <c r="BH601" s="732"/>
      <c r="BI601" s="732"/>
      <c r="BJ601" s="732"/>
      <c r="BK601" s="732"/>
      <c r="BL601" s="732"/>
      <c r="BM601" s="732"/>
      <c r="BN601" s="732"/>
      <c r="BO601" s="732"/>
      <c r="BP601" s="732"/>
      <c r="BQ601" s="732"/>
      <c r="BR601" s="732"/>
      <c r="BS601" s="732"/>
      <c r="BT601" s="732"/>
      <c r="BU601" s="732"/>
      <c r="BV601" s="732"/>
      <c r="BW601" s="732"/>
      <c r="BX601" s="732"/>
      <c r="BY601" s="732"/>
      <c r="BZ601" s="732"/>
      <c r="CA601" s="732"/>
    </row>
    <row r="602" spans="1:79" s="452" customFormat="1" hidden="1" outlineLevel="1" x14ac:dyDescent="0.35">
      <c r="A602" s="580"/>
      <c r="B602" s="580"/>
      <c r="C602" s="580"/>
      <c r="D602" s="580"/>
      <c r="E602" s="580"/>
      <c r="F602" s="672" t="s">
        <v>897</v>
      </c>
      <c r="G602" s="735">
        <v>0</v>
      </c>
      <c r="H602" s="735">
        <v>9.3495806270011137</v>
      </c>
      <c r="I602" s="735">
        <v>0</v>
      </c>
      <c r="J602" s="735">
        <v>8.8520732374527871</v>
      </c>
      <c r="K602" s="735">
        <v>2.2263216200323321</v>
      </c>
      <c r="L602" s="735">
        <v>80.327831717967527</v>
      </c>
      <c r="M602" s="735">
        <v>245.65353318073815</v>
      </c>
      <c r="N602" s="735">
        <v>370.414548674434</v>
      </c>
      <c r="O602" s="735">
        <v>303.38974374427841</v>
      </c>
      <c r="P602" s="732">
        <v>109.48887636673307</v>
      </c>
      <c r="Q602" s="732">
        <v>539.92867835979177</v>
      </c>
      <c r="R602" s="732">
        <v>138.04567295604059</v>
      </c>
      <c r="S602" s="683">
        <v>0</v>
      </c>
      <c r="T602" s="683">
        <v>0</v>
      </c>
      <c r="U602" s="683">
        <v>0</v>
      </c>
      <c r="V602" s="683">
        <v>0</v>
      </c>
      <c r="W602" s="683">
        <v>0</v>
      </c>
      <c r="X602" s="683">
        <v>0</v>
      </c>
      <c r="Y602" s="683">
        <v>0</v>
      </c>
      <c r="Z602" s="683">
        <v>0</v>
      </c>
      <c r="AA602" s="683">
        <v>0</v>
      </c>
      <c r="AB602" s="683">
        <v>0</v>
      </c>
      <c r="AC602" s="702">
        <v>0</v>
      </c>
      <c r="AD602" s="702">
        <v>0</v>
      </c>
      <c r="AE602" s="732"/>
      <c r="AF602" s="732"/>
      <c r="AG602" s="732"/>
      <c r="AH602" s="732"/>
      <c r="AI602" s="732"/>
      <c r="AJ602" s="732"/>
      <c r="AK602" s="732"/>
      <c r="AL602" s="732"/>
      <c r="AM602" s="732"/>
      <c r="AN602" s="732"/>
      <c r="AO602" s="732"/>
      <c r="AP602" s="732"/>
      <c r="AQ602" s="732"/>
      <c r="AR602" s="732"/>
      <c r="AS602" s="732"/>
      <c r="AT602" s="732"/>
      <c r="AU602" s="732"/>
      <c r="AV602" s="732"/>
      <c r="AW602" s="732"/>
      <c r="AX602" s="732"/>
      <c r="AY602" s="732"/>
      <c r="AZ602" s="732"/>
      <c r="BA602" s="732"/>
      <c r="BB602" s="732"/>
      <c r="BC602" s="732"/>
      <c r="BD602" s="732"/>
      <c r="BE602" s="732"/>
      <c r="BF602" s="732"/>
      <c r="BG602" s="732"/>
      <c r="BH602" s="732"/>
      <c r="BI602" s="732"/>
      <c r="BJ602" s="732"/>
      <c r="BK602" s="732"/>
      <c r="BL602" s="732"/>
      <c r="BM602" s="732"/>
      <c r="BN602" s="732"/>
      <c r="BO602" s="732"/>
      <c r="BP602" s="732"/>
      <c r="BQ602" s="732"/>
      <c r="BR602" s="732"/>
      <c r="BS602" s="732"/>
      <c r="BT602" s="732"/>
      <c r="BU602" s="732"/>
      <c r="BV602" s="732"/>
      <c r="BW602" s="732"/>
      <c r="BX602" s="732"/>
      <c r="BY602" s="732"/>
      <c r="BZ602" s="732"/>
      <c r="CA602" s="732"/>
    </row>
    <row r="603" spans="1:79" s="309" customFormat="1" hidden="1" outlineLevel="1" x14ac:dyDescent="0.35">
      <c r="A603" s="30"/>
      <c r="B603" s="30"/>
      <c r="C603" s="30"/>
      <c r="D603" s="30"/>
      <c r="E603" s="30"/>
      <c r="F603" s="675" t="s">
        <v>626</v>
      </c>
      <c r="G603" s="680">
        <f>SUM(G594:G602)</f>
        <v>0</v>
      </c>
      <c r="H603" s="680">
        <f t="shared" ref="H603:BO603" si="241">SUM(H594:H602)</f>
        <v>9.3495806270011137</v>
      </c>
      <c r="I603" s="680">
        <f t="shared" si="241"/>
        <v>0</v>
      </c>
      <c r="J603" s="680">
        <f t="shared" si="241"/>
        <v>8.8520732374527871</v>
      </c>
      <c r="K603" s="680">
        <f t="shared" si="241"/>
        <v>2.2263216200323321</v>
      </c>
      <c r="L603" s="680">
        <f t="shared" si="241"/>
        <v>80.327831717967527</v>
      </c>
      <c r="M603" s="680">
        <f t="shared" si="241"/>
        <v>245.65353318073815</v>
      </c>
      <c r="N603" s="680">
        <f t="shared" si="241"/>
        <v>370.414548674434</v>
      </c>
      <c r="O603" s="680">
        <f t="shared" si="241"/>
        <v>303.38974374427841</v>
      </c>
      <c r="P603" s="680">
        <f t="shared" si="241"/>
        <v>109.48887636673307</v>
      </c>
      <c r="Q603" s="680">
        <f t="shared" si="241"/>
        <v>539.92867835979177</v>
      </c>
      <c r="R603" s="680">
        <f t="shared" si="241"/>
        <v>138.04567295604059</v>
      </c>
      <c r="S603" s="696">
        <f t="shared" ref="S603:AA603" si="242">ROUND(SUM(S593:S602),5)</f>
        <v>913.25</v>
      </c>
      <c r="T603" s="696">
        <f t="shared" si="242"/>
        <v>26824.45</v>
      </c>
      <c r="U603" s="696">
        <f t="shared" si="242"/>
        <v>9090.2999999999993</v>
      </c>
      <c r="V603" s="696">
        <f t="shared" si="242"/>
        <v>3861.65</v>
      </c>
      <c r="W603" s="696">
        <f t="shared" si="242"/>
        <v>12899.98</v>
      </c>
      <c r="X603" s="696">
        <f t="shared" si="242"/>
        <v>886.25</v>
      </c>
      <c r="Y603" s="696">
        <f t="shared" si="242"/>
        <v>29941.45</v>
      </c>
      <c r="Z603" s="696">
        <f t="shared" si="242"/>
        <v>17414.11</v>
      </c>
      <c r="AA603" s="696">
        <f t="shared" si="242"/>
        <v>12672.75</v>
      </c>
      <c r="AB603" s="696">
        <f>ROUND(SUM(AB593:AB602),5)</f>
        <v>21.55</v>
      </c>
      <c r="AC603" s="696">
        <f>ROUND(SUM(AC593:AC602),5)</f>
        <v>3204.5</v>
      </c>
      <c r="AD603" s="696">
        <f>ROUND(SUM(AD593:AD602),5)</f>
        <v>62074.35</v>
      </c>
      <c r="AE603" s="680">
        <f t="shared" si="241"/>
        <v>0</v>
      </c>
      <c r="AF603" s="680">
        <f t="shared" si="241"/>
        <v>0</v>
      </c>
      <c r="AG603" s="680">
        <f t="shared" si="241"/>
        <v>0</v>
      </c>
      <c r="AH603" s="680">
        <f t="shared" si="241"/>
        <v>0</v>
      </c>
      <c r="AI603" s="680">
        <f t="shared" si="241"/>
        <v>0</v>
      </c>
      <c r="AJ603" s="680">
        <f t="shared" si="241"/>
        <v>0</v>
      </c>
      <c r="AK603" s="680">
        <f t="shared" si="241"/>
        <v>0</v>
      </c>
      <c r="AL603" s="680">
        <f t="shared" si="241"/>
        <v>0</v>
      </c>
      <c r="AM603" s="680">
        <f t="shared" si="241"/>
        <v>0</v>
      </c>
      <c r="AN603" s="680">
        <f t="shared" si="241"/>
        <v>0</v>
      </c>
      <c r="AO603" s="680">
        <f t="shared" si="241"/>
        <v>0</v>
      </c>
      <c r="AP603" s="680">
        <f t="shared" si="241"/>
        <v>0</v>
      </c>
      <c r="AQ603" s="680">
        <f t="shared" si="241"/>
        <v>0</v>
      </c>
      <c r="AR603" s="680">
        <f t="shared" si="241"/>
        <v>0</v>
      </c>
      <c r="AS603" s="680">
        <f t="shared" si="241"/>
        <v>0</v>
      </c>
      <c r="AT603" s="680">
        <f t="shared" si="241"/>
        <v>0</v>
      </c>
      <c r="AU603" s="680">
        <f t="shared" si="241"/>
        <v>0</v>
      </c>
      <c r="AV603" s="680">
        <f t="shared" si="241"/>
        <v>0</v>
      </c>
      <c r="AW603" s="680">
        <f t="shared" si="241"/>
        <v>0</v>
      </c>
      <c r="AX603" s="680">
        <f t="shared" si="241"/>
        <v>0</v>
      </c>
      <c r="AY603" s="680">
        <f t="shared" si="241"/>
        <v>0</v>
      </c>
      <c r="AZ603" s="680">
        <f t="shared" si="241"/>
        <v>0</v>
      </c>
      <c r="BA603" s="680">
        <f t="shared" si="241"/>
        <v>0</v>
      </c>
      <c r="BB603" s="680">
        <f t="shared" si="241"/>
        <v>0</v>
      </c>
      <c r="BC603" s="680">
        <f t="shared" si="241"/>
        <v>0</v>
      </c>
      <c r="BD603" s="680">
        <f t="shared" si="241"/>
        <v>0</v>
      </c>
      <c r="BE603" s="680">
        <f t="shared" si="241"/>
        <v>0</v>
      </c>
      <c r="BF603" s="680">
        <f t="shared" si="241"/>
        <v>0</v>
      </c>
      <c r="BG603" s="680">
        <f t="shared" si="241"/>
        <v>0</v>
      </c>
      <c r="BH603" s="680">
        <f t="shared" si="241"/>
        <v>0</v>
      </c>
      <c r="BI603" s="680">
        <f t="shared" si="241"/>
        <v>0</v>
      </c>
      <c r="BJ603" s="680">
        <f t="shared" si="241"/>
        <v>0</v>
      </c>
      <c r="BK603" s="680">
        <f t="shared" si="241"/>
        <v>0</v>
      </c>
      <c r="BL603" s="680">
        <f t="shared" si="241"/>
        <v>0</v>
      </c>
      <c r="BM603" s="680">
        <f t="shared" si="241"/>
        <v>0</v>
      </c>
      <c r="BN603" s="680">
        <f t="shared" si="241"/>
        <v>0</v>
      </c>
      <c r="BO603" s="680">
        <f t="shared" si="241"/>
        <v>0</v>
      </c>
      <c r="BP603" s="680">
        <f t="shared" ref="BP603:CA603" si="243">SUM(BP594:BP602)</f>
        <v>0</v>
      </c>
      <c r="BQ603" s="680">
        <f t="shared" si="243"/>
        <v>0</v>
      </c>
      <c r="BR603" s="680">
        <f t="shared" si="243"/>
        <v>0</v>
      </c>
      <c r="BS603" s="680">
        <f t="shared" si="243"/>
        <v>0</v>
      </c>
      <c r="BT603" s="680">
        <f t="shared" si="243"/>
        <v>0</v>
      </c>
      <c r="BU603" s="680">
        <f t="shared" si="243"/>
        <v>0</v>
      </c>
      <c r="BV603" s="680">
        <f t="shared" si="243"/>
        <v>0</v>
      </c>
      <c r="BW603" s="680">
        <f t="shared" si="243"/>
        <v>0</v>
      </c>
      <c r="BX603" s="680">
        <f t="shared" si="243"/>
        <v>0</v>
      </c>
      <c r="BY603" s="680">
        <f t="shared" si="243"/>
        <v>0</v>
      </c>
      <c r="BZ603" s="680">
        <f t="shared" si="243"/>
        <v>0</v>
      </c>
      <c r="CA603" s="680">
        <f t="shared" si="243"/>
        <v>0</v>
      </c>
    </row>
    <row r="604" spans="1:79" s="726" customFormat="1" hidden="1" outlineLevel="1" x14ac:dyDescent="0.35">
      <c r="F604" s="707" t="s">
        <v>627</v>
      </c>
      <c r="G604" s="750"/>
      <c r="H604" s="750"/>
      <c r="I604" s="750"/>
      <c r="J604" s="750"/>
      <c r="K604" s="750"/>
      <c r="L604" s="750"/>
      <c r="M604" s="750"/>
      <c r="N604" s="750"/>
      <c r="O604" s="750"/>
      <c r="P604" s="751"/>
      <c r="Q604" s="751"/>
      <c r="R604" s="751"/>
      <c r="S604" s="724"/>
      <c r="T604" s="724"/>
      <c r="U604" s="724"/>
      <c r="V604" s="724"/>
      <c r="W604" s="724"/>
      <c r="X604" s="724"/>
      <c r="Y604" s="724"/>
      <c r="Z604" s="724"/>
      <c r="AA604" s="724"/>
      <c r="AB604" s="724"/>
      <c r="AC604" s="724"/>
      <c r="AD604" s="724"/>
      <c r="AE604" s="751"/>
      <c r="AF604" s="751"/>
      <c r="AG604" s="751"/>
      <c r="AH604" s="751"/>
      <c r="AI604" s="751"/>
      <c r="AJ604" s="751"/>
      <c r="AK604" s="751"/>
      <c r="AL604" s="751"/>
      <c r="AM604" s="751"/>
      <c r="AN604" s="751"/>
      <c r="AO604" s="751"/>
      <c r="AP604" s="751"/>
      <c r="AQ604" s="751"/>
      <c r="AR604" s="751"/>
      <c r="AS604" s="751"/>
      <c r="AT604" s="751"/>
      <c r="AU604" s="751"/>
      <c r="AV604" s="751"/>
      <c r="AW604" s="751"/>
      <c r="AX604" s="751"/>
      <c r="AY604" s="751"/>
      <c r="AZ604" s="751"/>
      <c r="BA604" s="751"/>
      <c r="BB604" s="751"/>
      <c r="BC604" s="751"/>
      <c r="BD604" s="751"/>
      <c r="BE604" s="751"/>
      <c r="BF604" s="751"/>
      <c r="BG604" s="751"/>
      <c r="BH604" s="751"/>
      <c r="BI604" s="751"/>
      <c r="BJ604" s="751"/>
      <c r="BK604" s="751"/>
      <c r="BL604" s="751"/>
      <c r="BM604" s="751"/>
      <c r="BN604" s="751"/>
      <c r="BO604" s="751"/>
      <c r="BP604" s="751"/>
      <c r="BQ604" s="751"/>
      <c r="BR604" s="751"/>
      <c r="BS604" s="751"/>
      <c r="BT604" s="751"/>
      <c r="BU604" s="751"/>
      <c r="BV604" s="751"/>
      <c r="BW604" s="751"/>
      <c r="BX604" s="751"/>
      <c r="BY604" s="751"/>
      <c r="BZ604" s="751"/>
      <c r="CA604" s="751"/>
    </row>
    <row r="605" spans="1:79" s="309" customFormat="1" hidden="1" outlineLevel="1" x14ac:dyDescent="0.35">
      <c r="A605" s="726"/>
      <c r="B605" s="726"/>
      <c r="C605" s="726"/>
      <c r="D605" s="726"/>
      <c r="E605" s="726"/>
      <c r="F605" s="672" t="s">
        <v>923</v>
      </c>
      <c r="G605" s="699"/>
      <c r="H605" s="699"/>
      <c r="I605" s="699"/>
      <c r="J605" s="699"/>
      <c r="K605" s="699"/>
      <c r="L605" s="699"/>
      <c r="M605" s="699"/>
      <c r="N605" s="699"/>
      <c r="O605" s="699"/>
      <c r="P605" s="699"/>
      <c r="Q605" s="699"/>
      <c r="R605" s="699"/>
      <c r="S605" s="700"/>
      <c r="T605" s="700"/>
      <c r="U605" s="700"/>
      <c r="V605" s="700"/>
      <c r="W605" s="700"/>
      <c r="X605" s="700"/>
      <c r="Y605" s="700"/>
      <c r="Z605" s="700"/>
      <c r="AA605" s="700"/>
      <c r="AB605" s="700">
        <v>0</v>
      </c>
      <c r="AC605" s="699">
        <v>0</v>
      </c>
      <c r="AD605" s="699">
        <v>0</v>
      </c>
      <c r="AE605" s="700"/>
      <c r="AF605" s="700"/>
      <c r="AG605" s="700"/>
      <c r="AH605" s="700"/>
      <c r="AI605" s="700"/>
      <c r="AJ605" s="700"/>
      <c r="AK605" s="700"/>
      <c r="AL605" s="700"/>
      <c r="AM605" s="700"/>
      <c r="AN605" s="700"/>
      <c r="AO605" s="700"/>
      <c r="AP605" s="700"/>
      <c r="AQ605" s="700"/>
      <c r="AR605" s="700"/>
      <c r="AS605" s="700"/>
      <c r="AT605" s="700"/>
      <c r="AU605" s="700"/>
      <c r="AV605" s="700"/>
      <c r="AW605" s="700"/>
      <c r="AX605" s="700"/>
      <c r="AY605" s="700"/>
      <c r="AZ605" s="700"/>
      <c r="BA605" s="700"/>
      <c r="BB605" s="700"/>
      <c r="BC605" s="700"/>
      <c r="BD605" s="700"/>
      <c r="BE605" s="700"/>
      <c r="BF605" s="700"/>
      <c r="BG605" s="700"/>
      <c r="BH605" s="700"/>
      <c r="BI605" s="700"/>
      <c r="BJ605" s="700"/>
      <c r="BK605" s="700"/>
      <c r="BL605" s="700"/>
      <c r="BM605" s="700"/>
      <c r="BN605" s="700"/>
      <c r="BO605" s="700"/>
      <c r="BP605" s="700"/>
      <c r="BQ605" s="700"/>
      <c r="BR605" s="700"/>
      <c r="BS605" s="700"/>
      <c r="BT605" s="700"/>
      <c r="BU605" s="700"/>
      <c r="BV605" s="700"/>
      <c r="BW605" s="700"/>
      <c r="BX605" s="700"/>
      <c r="BY605" s="700"/>
      <c r="BZ605" s="700"/>
      <c r="CA605" s="700"/>
    </row>
    <row r="606" spans="1:79" s="309" customFormat="1" hidden="1" outlineLevel="1" x14ac:dyDescent="0.35">
      <c r="A606" s="575"/>
      <c r="B606" s="575"/>
      <c r="C606" s="575"/>
      <c r="D606" s="575"/>
      <c r="E606" s="575"/>
      <c r="F606" s="672" t="s">
        <v>671</v>
      </c>
      <c r="G606" s="574"/>
      <c r="H606" s="735"/>
      <c r="I606" s="735"/>
      <c r="J606" s="735"/>
      <c r="K606" s="735"/>
      <c r="L606" s="735"/>
      <c r="M606" s="735"/>
      <c r="N606" s="735"/>
      <c r="O606" s="735"/>
      <c r="P606" s="732"/>
      <c r="Q606" s="732"/>
      <c r="R606" s="732"/>
      <c r="S606" s="700">
        <v>0</v>
      </c>
      <c r="T606" s="700">
        <v>0</v>
      </c>
      <c r="U606" s="700">
        <v>0</v>
      </c>
      <c r="V606" s="700">
        <v>0</v>
      </c>
      <c r="W606" s="700">
        <v>0</v>
      </c>
      <c r="X606" s="700">
        <v>0</v>
      </c>
      <c r="Y606" s="700">
        <v>0</v>
      </c>
      <c r="Z606" s="700">
        <v>0</v>
      </c>
      <c r="AA606" s="700">
        <v>0</v>
      </c>
      <c r="AB606" s="700">
        <v>0</v>
      </c>
      <c r="AC606" s="699">
        <v>0</v>
      </c>
      <c r="AD606" s="699">
        <v>0</v>
      </c>
      <c r="AE606" s="732"/>
      <c r="AF606" s="732"/>
      <c r="AG606" s="732"/>
      <c r="AH606" s="732"/>
      <c r="AI606" s="732"/>
      <c r="AJ606" s="732"/>
      <c r="AK606" s="732"/>
      <c r="AL606" s="732"/>
      <c r="AM606" s="732"/>
      <c r="AN606" s="732"/>
      <c r="AO606" s="732"/>
      <c r="AP606" s="732"/>
      <c r="AQ606" s="732"/>
      <c r="AR606" s="732"/>
      <c r="AS606" s="732"/>
      <c r="AT606" s="732"/>
      <c r="AU606" s="732"/>
      <c r="AV606" s="732"/>
      <c r="AW606" s="732"/>
      <c r="AX606" s="732"/>
      <c r="AY606" s="732"/>
      <c r="AZ606" s="732"/>
      <c r="BA606" s="732"/>
      <c r="BB606" s="732"/>
      <c r="BC606" s="732"/>
      <c r="BD606" s="732"/>
      <c r="BE606" s="732"/>
      <c r="BF606" s="732"/>
      <c r="BG606" s="732"/>
      <c r="BH606" s="732"/>
      <c r="BI606" s="732"/>
      <c r="BJ606" s="732"/>
      <c r="BK606" s="732"/>
      <c r="BL606" s="732"/>
      <c r="BM606" s="732"/>
      <c r="BN606" s="732"/>
      <c r="BO606" s="732"/>
      <c r="BP606" s="732"/>
      <c r="BQ606" s="732"/>
      <c r="BR606" s="732"/>
      <c r="BS606" s="732"/>
      <c r="BT606" s="732"/>
      <c r="BU606" s="732"/>
      <c r="BV606" s="732"/>
      <c r="BW606" s="732"/>
      <c r="BX606" s="732"/>
      <c r="BY606" s="732"/>
      <c r="BZ606" s="732"/>
      <c r="CA606" s="732"/>
    </row>
    <row r="607" spans="1:79" s="309" customFormat="1" hidden="1" outlineLevel="1" x14ac:dyDescent="0.35">
      <c r="A607" s="575"/>
      <c r="B607" s="575"/>
      <c r="C607" s="575"/>
      <c r="D607" s="575"/>
      <c r="E607" s="575"/>
      <c r="F607" s="672" t="s">
        <v>767</v>
      </c>
      <c r="G607" s="574"/>
      <c r="H607" s="735"/>
      <c r="I607" s="735"/>
      <c r="J607" s="735"/>
      <c r="K607" s="735"/>
      <c r="L607" s="735"/>
      <c r="M607" s="735"/>
      <c r="N607" s="735"/>
      <c r="O607" s="735"/>
      <c r="P607" s="732"/>
      <c r="Q607" s="732"/>
      <c r="R607" s="732"/>
      <c r="S607" s="700">
        <v>0</v>
      </c>
      <c r="T607" s="700">
        <v>0</v>
      </c>
      <c r="U607" s="700">
        <v>0</v>
      </c>
      <c r="V607" s="700">
        <v>0</v>
      </c>
      <c r="W607" s="700">
        <v>0</v>
      </c>
      <c r="X607" s="700">
        <v>0</v>
      </c>
      <c r="Y607" s="700">
        <v>0</v>
      </c>
      <c r="Z607" s="700">
        <v>0</v>
      </c>
      <c r="AA607" s="700">
        <v>0</v>
      </c>
      <c r="AB607" s="700">
        <v>0</v>
      </c>
      <c r="AC607" s="699">
        <v>0</v>
      </c>
      <c r="AD607" s="699">
        <v>0</v>
      </c>
      <c r="AE607" s="732"/>
      <c r="AF607" s="732"/>
      <c r="AG607" s="732"/>
      <c r="AH607" s="732"/>
      <c r="AI607" s="732"/>
      <c r="AJ607" s="732"/>
      <c r="AK607" s="732"/>
      <c r="AL607" s="732"/>
      <c r="AM607" s="732"/>
      <c r="AN607" s="732"/>
      <c r="AO607" s="732"/>
      <c r="AP607" s="732"/>
      <c r="AQ607" s="732"/>
      <c r="AR607" s="732"/>
      <c r="AS607" s="732"/>
      <c r="AT607" s="732"/>
      <c r="AU607" s="732"/>
      <c r="AV607" s="732"/>
      <c r="AW607" s="732"/>
      <c r="AX607" s="732"/>
      <c r="AY607" s="732"/>
      <c r="AZ607" s="732"/>
      <c r="BA607" s="732"/>
      <c r="BB607" s="732"/>
      <c r="BC607" s="732"/>
      <c r="BD607" s="732"/>
      <c r="BE607" s="732"/>
      <c r="BF607" s="732"/>
      <c r="BG607" s="732"/>
      <c r="BH607" s="732"/>
      <c r="BI607" s="732"/>
      <c r="BJ607" s="732"/>
      <c r="BK607" s="732"/>
      <c r="BL607" s="732"/>
      <c r="BM607" s="732"/>
      <c r="BN607" s="732"/>
      <c r="BO607" s="732"/>
      <c r="BP607" s="732"/>
      <c r="BQ607" s="732"/>
      <c r="BR607" s="732"/>
      <c r="BS607" s="732"/>
      <c r="BT607" s="732"/>
      <c r="BU607" s="732"/>
      <c r="BV607" s="732"/>
      <c r="BW607" s="732"/>
      <c r="BX607" s="732"/>
      <c r="BY607" s="732"/>
      <c r="BZ607" s="732"/>
      <c r="CA607" s="732"/>
    </row>
    <row r="608" spans="1:79" s="309" customFormat="1" hidden="1" outlineLevel="1" x14ac:dyDescent="0.35">
      <c r="A608" s="575"/>
      <c r="B608" s="575"/>
      <c r="C608" s="575"/>
      <c r="D608" s="575"/>
      <c r="E608" s="575"/>
      <c r="F608" s="672" t="s">
        <v>628</v>
      </c>
      <c r="G608" s="574"/>
      <c r="H608" s="735"/>
      <c r="I608" s="735"/>
      <c r="J608" s="735"/>
      <c r="K608" s="735"/>
      <c r="L608" s="735"/>
      <c r="M608" s="735"/>
      <c r="N608" s="735"/>
      <c r="O608" s="735">
        <v>81</v>
      </c>
      <c r="P608" s="732">
        <v>296</v>
      </c>
      <c r="Q608" s="732">
        <v>308</v>
      </c>
      <c r="R608" s="732">
        <v>28</v>
      </c>
      <c r="S608" s="700">
        <v>0</v>
      </c>
      <c r="T608" s="700">
        <v>0</v>
      </c>
      <c r="U608" s="700">
        <v>0</v>
      </c>
      <c r="V608" s="700">
        <v>14</v>
      </c>
      <c r="W608" s="700">
        <v>14</v>
      </c>
      <c r="X608" s="700">
        <v>0</v>
      </c>
      <c r="Y608" s="700">
        <v>660</v>
      </c>
      <c r="Z608" s="700">
        <v>0</v>
      </c>
      <c r="AA608" s="700">
        <v>0</v>
      </c>
      <c r="AB608" s="700">
        <v>106</v>
      </c>
      <c r="AC608" s="682">
        <v>0</v>
      </c>
      <c r="AD608" s="682">
        <v>125</v>
      </c>
      <c r="AE608" s="732"/>
      <c r="AF608" s="732"/>
      <c r="AG608" s="732"/>
      <c r="AH608" s="732"/>
      <c r="AI608" s="732"/>
      <c r="AJ608" s="732"/>
      <c r="AK608" s="732"/>
      <c r="AL608" s="732"/>
      <c r="AM608" s="732"/>
      <c r="AN608" s="732"/>
      <c r="AO608" s="732"/>
      <c r="AP608" s="732"/>
      <c r="AQ608" s="732"/>
      <c r="AR608" s="732"/>
      <c r="AS608" s="732"/>
      <c r="AT608" s="732"/>
      <c r="AU608" s="732"/>
      <c r="AV608" s="732"/>
      <c r="AW608" s="732"/>
      <c r="AX608" s="732"/>
      <c r="AY608" s="732"/>
      <c r="AZ608" s="732"/>
      <c r="BA608" s="732"/>
      <c r="BB608" s="732"/>
      <c r="BC608" s="732"/>
      <c r="BD608" s="732"/>
      <c r="BE608" s="732"/>
      <c r="BF608" s="732"/>
      <c r="BG608" s="732"/>
      <c r="BH608" s="732"/>
      <c r="BI608" s="732"/>
      <c r="BJ608" s="732"/>
      <c r="BK608" s="732"/>
      <c r="BL608" s="732"/>
      <c r="BM608" s="732"/>
      <c r="BN608" s="732"/>
      <c r="BO608" s="732"/>
      <c r="BP608" s="732"/>
      <c r="BQ608" s="732"/>
      <c r="BR608" s="732"/>
      <c r="BS608" s="732"/>
      <c r="BT608" s="732"/>
      <c r="BU608" s="732"/>
      <c r="BV608" s="732"/>
      <c r="BW608" s="732"/>
      <c r="BX608" s="732"/>
      <c r="BY608" s="732"/>
      <c r="BZ608" s="732"/>
      <c r="CA608" s="732"/>
    </row>
    <row r="609" spans="1:79" s="758" customFormat="1" hidden="1" outlineLevel="1" x14ac:dyDescent="0.35">
      <c r="A609" s="498"/>
      <c r="B609" s="498"/>
      <c r="C609" s="498"/>
      <c r="D609" s="498"/>
      <c r="E609" s="498"/>
      <c r="F609" s="672" t="s">
        <v>655</v>
      </c>
      <c r="G609" s="673"/>
      <c r="H609" s="740"/>
      <c r="I609" s="740"/>
      <c r="J609" s="740"/>
      <c r="K609" s="740"/>
      <c r="L609" s="740"/>
      <c r="M609" s="740"/>
      <c r="N609" s="740"/>
      <c r="O609" s="740"/>
      <c r="P609" s="741"/>
      <c r="Q609" s="741"/>
      <c r="R609" s="741"/>
      <c r="S609" s="700">
        <v>0</v>
      </c>
      <c r="T609" s="700">
        <v>0</v>
      </c>
      <c r="U609" s="700">
        <v>21</v>
      </c>
      <c r="V609" s="700">
        <v>0</v>
      </c>
      <c r="W609" s="700">
        <v>0</v>
      </c>
      <c r="X609" s="700">
        <v>0</v>
      </c>
      <c r="Y609" s="700">
        <v>0</v>
      </c>
      <c r="Z609" s="700">
        <v>0</v>
      </c>
      <c r="AA609" s="700">
        <v>0</v>
      </c>
      <c r="AB609" s="700">
        <v>0</v>
      </c>
      <c r="AC609" s="682">
        <v>0</v>
      </c>
      <c r="AD609" s="682">
        <v>0</v>
      </c>
      <c r="AE609" s="741"/>
      <c r="AF609" s="741"/>
      <c r="AG609" s="741"/>
      <c r="AH609" s="741"/>
      <c r="AI609" s="741"/>
      <c r="AJ609" s="741"/>
      <c r="AK609" s="741"/>
      <c r="AL609" s="741"/>
      <c r="AM609" s="741"/>
      <c r="AN609" s="741"/>
      <c r="AO609" s="741"/>
      <c r="AP609" s="741"/>
      <c r="AQ609" s="741"/>
      <c r="AR609" s="741"/>
      <c r="AS609" s="741"/>
      <c r="AT609" s="741"/>
      <c r="AU609" s="741"/>
      <c r="AV609" s="741"/>
      <c r="AW609" s="741"/>
      <c r="AX609" s="741"/>
      <c r="AY609" s="741"/>
      <c r="AZ609" s="741"/>
      <c r="BA609" s="741"/>
      <c r="BB609" s="741"/>
      <c r="BC609" s="741"/>
      <c r="BD609" s="741"/>
      <c r="BE609" s="741"/>
      <c r="BF609" s="741"/>
      <c r="BG609" s="741"/>
      <c r="BH609" s="741"/>
      <c r="BI609" s="741"/>
      <c r="BJ609" s="741"/>
      <c r="BK609" s="741"/>
      <c r="BL609" s="741"/>
      <c r="BM609" s="741"/>
      <c r="BN609" s="741"/>
      <c r="BO609" s="741"/>
      <c r="BP609" s="741"/>
      <c r="BQ609" s="741"/>
      <c r="BR609" s="741"/>
      <c r="BS609" s="741"/>
      <c r="BT609" s="741"/>
      <c r="BU609" s="741"/>
      <c r="BV609" s="741"/>
      <c r="BW609" s="741"/>
      <c r="BX609" s="741"/>
      <c r="BY609" s="741"/>
      <c r="BZ609" s="741"/>
      <c r="CA609" s="741"/>
    </row>
    <row r="610" spans="1:79" s="758" customFormat="1" hidden="1" outlineLevel="1" x14ac:dyDescent="0.35">
      <c r="A610" s="498"/>
      <c r="B610" s="498"/>
      <c r="C610" s="498"/>
      <c r="D610" s="498"/>
      <c r="E610" s="498"/>
      <c r="F610" s="672" t="s">
        <v>672</v>
      </c>
      <c r="G610" s="740"/>
      <c r="H610" s="740"/>
      <c r="I610" s="740"/>
      <c r="J610" s="740"/>
      <c r="K610" s="740"/>
      <c r="L610" s="740"/>
      <c r="M610" s="740"/>
      <c r="N610" s="740"/>
      <c r="O610" s="740"/>
      <c r="P610" s="741"/>
      <c r="Q610" s="741"/>
      <c r="R610" s="741"/>
      <c r="S610" s="700">
        <v>0</v>
      </c>
      <c r="T610" s="700">
        <v>0</v>
      </c>
      <c r="U610" s="700">
        <v>0</v>
      </c>
      <c r="V610" s="700">
        <v>0</v>
      </c>
      <c r="W610" s="700">
        <v>0</v>
      </c>
      <c r="X610" s="700">
        <v>0</v>
      </c>
      <c r="Y610" s="700">
        <v>0</v>
      </c>
      <c r="Z610" s="700">
        <v>0</v>
      </c>
      <c r="AA610" s="700">
        <v>0</v>
      </c>
      <c r="AB610" s="700">
        <v>0</v>
      </c>
      <c r="AC610" s="682">
        <v>0</v>
      </c>
      <c r="AD610" s="682">
        <v>0</v>
      </c>
      <c r="AE610" s="741"/>
      <c r="AF610" s="741"/>
      <c r="AG610" s="741"/>
      <c r="AH610" s="741"/>
      <c r="AI610" s="741"/>
      <c r="AJ610" s="741"/>
      <c r="AK610" s="741"/>
      <c r="AL610" s="741"/>
      <c r="AM610" s="741"/>
      <c r="AN610" s="741"/>
      <c r="AO610" s="741"/>
      <c r="AP610" s="741"/>
      <c r="AQ610" s="741"/>
      <c r="AR610" s="741"/>
      <c r="AS610" s="741"/>
      <c r="AT610" s="741"/>
      <c r="AU610" s="741"/>
      <c r="AV610" s="741"/>
      <c r="AW610" s="741"/>
      <c r="AX610" s="741"/>
      <c r="AY610" s="741"/>
      <c r="AZ610" s="741"/>
      <c r="BA610" s="741"/>
      <c r="BB610" s="741"/>
      <c r="BC610" s="741"/>
      <c r="BD610" s="741"/>
      <c r="BE610" s="741"/>
      <c r="BF610" s="741"/>
      <c r="BG610" s="741"/>
      <c r="BH610" s="741"/>
      <c r="BI610" s="741"/>
      <c r="BJ610" s="741"/>
      <c r="BK610" s="741"/>
      <c r="BL610" s="741"/>
      <c r="BM610" s="741"/>
      <c r="BN610" s="741"/>
      <c r="BO610" s="741"/>
      <c r="BP610" s="741"/>
      <c r="BQ610" s="741"/>
      <c r="BR610" s="741"/>
      <c r="BS610" s="741"/>
      <c r="BT610" s="741"/>
      <c r="BU610" s="741"/>
      <c r="BV610" s="741"/>
      <c r="BW610" s="741"/>
      <c r="BX610" s="741"/>
      <c r="BY610" s="741"/>
      <c r="BZ610" s="741"/>
      <c r="CA610" s="741"/>
    </row>
    <row r="611" spans="1:79" s="309" customFormat="1" hidden="1" outlineLevel="1" x14ac:dyDescent="0.35">
      <c r="A611" s="30"/>
      <c r="B611" s="30"/>
      <c r="C611" s="30"/>
      <c r="D611" s="30"/>
      <c r="E611" s="30"/>
      <c r="F611" s="673" t="s">
        <v>629</v>
      </c>
      <c r="G611" s="680">
        <f>SUM(G606:G610)</f>
        <v>0</v>
      </c>
      <c r="H611" s="680">
        <f t="shared" ref="H611:BO611" si="244">SUM(H606:H610)</f>
        <v>0</v>
      </c>
      <c r="I611" s="680">
        <f t="shared" si="244"/>
        <v>0</v>
      </c>
      <c r="J611" s="680">
        <f t="shared" si="244"/>
        <v>0</v>
      </c>
      <c r="K611" s="680">
        <f t="shared" si="244"/>
        <v>0</v>
      </c>
      <c r="L611" s="680">
        <f t="shared" si="244"/>
        <v>0</v>
      </c>
      <c r="M611" s="680">
        <f t="shared" si="244"/>
        <v>0</v>
      </c>
      <c r="N611" s="680">
        <f t="shared" si="244"/>
        <v>0</v>
      </c>
      <c r="O611" s="680">
        <f t="shared" si="244"/>
        <v>81</v>
      </c>
      <c r="P611" s="680">
        <f t="shared" si="244"/>
        <v>296</v>
      </c>
      <c r="Q611" s="680">
        <f t="shared" si="244"/>
        <v>308</v>
      </c>
      <c r="R611" s="680">
        <f t="shared" si="244"/>
        <v>28</v>
      </c>
      <c r="S611" s="696">
        <f t="shared" ref="S611:AA611" si="245">ROUND(SUM(S604:S610),5)</f>
        <v>0</v>
      </c>
      <c r="T611" s="696">
        <f t="shared" si="245"/>
        <v>0</v>
      </c>
      <c r="U611" s="696">
        <f t="shared" si="245"/>
        <v>21</v>
      </c>
      <c r="V611" s="696">
        <f t="shared" si="245"/>
        <v>14</v>
      </c>
      <c r="W611" s="696">
        <f t="shared" si="245"/>
        <v>14</v>
      </c>
      <c r="X611" s="696">
        <f t="shared" si="245"/>
        <v>0</v>
      </c>
      <c r="Y611" s="696">
        <f t="shared" si="245"/>
        <v>660</v>
      </c>
      <c r="Z611" s="696">
        <f t="shared" si="245"/>
        <v>0</v>
      </c>
      <c r="AA611" s="696">
        <f t="shared" si="245"/>
        <v>0</v>
      </c>
      <c r="AB611" s="696">
        <f>ROUND(SUM(AB604:AB610),5)</f>
        <v>106</v>
      </c>
      <c r="AC611" s="696">
        <f>ROUND(SUM(AC604:AC610),5)</f>
        <v>0</v>
      </c>
      <c r="AD611" s="696">
        <f>ROUND(SUM(AD604:AD610),5)</f>
        <v>125</v>
      </c>
      <c r="AE611" s="680">
        <f t="shared" si="244"/>
        <v>0</v>
      </c>
      <c r="AF611" s="680">
        <f t="shared" si="244"/>
        <v>0</v>
      </c>
      <c r="AG611" s="680">
        <f t="shared" si="244"/>
        <v>0</v>
      </c>
      <c r="AH611" s="680">
        <f t="shared" si="244"/>
        <v>0</v>
      </c>
      <c r="AI611" s="680">
        <f t="shared" si="244"/>
        <v>0</v>
      </c>
      <c r="AJ611" s="680">
        <f t="shared" si="244"/>
        <v>0</v>
      </c>
      <c r="AK611" s="680">
        <f t="shared" si="244"/>
        <v>0</v>
      </c>
      <c r="AL611" s="680">
        <f t="shared" si="244"/>
        <v>0</v>
      </c>
      <c r="AM611" s="680">
        <f t="shared" si="244"/>
        <v>0</v>
      </c>
      <c r="AN611" s="680">
        <f t="shared" si="244"/>
        <v>0</v>
      </c>
      <c r="AO611" s="680">
        <f t="shared" si="244"/>
        <v>0</v>
      </c>
      <c r="AP611" s="680">
        <f t="shared" si="244"/>
        <v>0</v>
      </c>
      <c r="AQ611" s="680">
        <f t="shared" si="244"/>
        <v>0</v>
      </c>
      <c r="AR611" s="680">
        <f t="shared" si="244"/>
        <v>0</v>
      </c>
      <c r="AS611" s="680">
        <f t="shared" si="244"/>
        <v>0</v>
      </c>
      <c r="AT611" s="680">
        <f t="shared" si="244"/>
        <v>0</v>
      </c>
      <c r="AU611" s="680">
        <f t="shared" si="244"/>
        <v>0</v>
      </c>
      <c r="AV611" s="680">
        <f t="shared" si="244"/>
        <v>0</v>
      </c>
      <c r="AW611" s="680">
        <f t="shared" si="244"/>
        <v>0</v>
      </c>
      <c r="AX611" s="680">
        <f t="shared" si="244"/>
        <v>0</v>
      </c>
      <c r="AY611" s="680">
        <f t="shared" si="244"/>
        <v>0</v>
      </c>
      <c r="AZ611" s="680">
        <f t="shared" si="244"/>
        <v>0</v>
      </c>
      <c r="BA611" s="680">
        <f t="shared" si="244"/>
        <v>0</v>
      </c>
      <c r="BB611" s="680">
        <f t="shared" si="244"/>
        <v>0</v>
      </c>
      <c r="BC611" s="680">
        <f t="shared" si="244"/>
        <v>0</v>
      </c>
      <c r="BD611" s="680">
        <f t="shared" si="244"/>
        <v>0</v>
      </c>
      <c r="BE611" s="680">
        <f t="shared" si="244"/>
        <v>0</v>
      </c>
      <c r="BF611" s="680">
        <f t="shared" si="244"/>
        <v>0</v>
      </c>
      <c r="BG611" s="680">
        <f t="shared" si="244"/>
        <v>0</v>
      </c>
      <c r="BH611" s="680">
        <f t="shared" si="244"/>
        <v>0</v>
      </c>
      <c r="BI611" s="680">
        <f t="shared" si="244"/>
        <v>0</v>
      </c>
      <c r="BJ611" s="680">
        <f t="shared" si="244"/>
        <v>0</v>
      </c>
      <c r="BK611" s="680">
        <f t="shared" si="244"/>
        <v>0</v>
      </c>
      <c r="BL611" s="680">
        <f t="shared" si="244"/>
        <v>0</v>
      </c>
      <c r="BM611" s="680">
        <f t="shared" si="244"/>
        <v>0</v>
      </c>
      <c r="BN611" s="680">
        <f t="shared" si="244"/>
        <v>0</v>
      </c>
      <c r="BO611" s="680">
        <f t="shared" si="244"/>
        <v>0</v>
      </c>
      <c r="BP611" s="680">
        <f t="shared" ref="BP611:CA611" si="246">SUM(BP606:BP610)</f>
        <v>0</v>
      </c>
      <c r="BQ611" s="680">
        <f t="shared" si="246"/>
        <v>0</v>
      </c>
      <c r="BR611" s="680">
        <f t="shared" si="246"/>
        <v>0</v>
      </c>
      <c r="BS611" s="680">
        <f t="shared" si="246"/>
        <v>0</v>
      </c>
      <c r="BT611" s="680">
        <f t="shared" si="246"/>
        <v>0</v>
      </c>
      <c r="BU611" s="680">
        <f t="shared" si="246"/>
        <v>0</v>
      </c>
      <c r="BV611" s="680">
        <f t="shared" si="246"/>
        <v>0</v>
      </c>
      <c r="BW611" s="680">
        <f t="shared" si="246"/>
        <v>0</v>
      </c>
      <c r="BX611" s="680">
        <f t="shared" si="246"/>
        <v>0</v>
      </c>
      <c r="BY611" s="680">
        <f t="shared" si="246"/>
        <v>0</v>
      </c>
      <c r="BZ611" s="680">
        <f t="shared" si="246"/>
        <v>0</v>
      </c>
      <c r="CA611" s="680">
        <f t="shared" si="246"/>
        <v>0</v>
      </c>
    </row>
    <row r="612" spans="1:79" s="726" customFormat="1" hidden="1" outlineLevel="1" x14ac:dyDescent="0.35">
      <c r="F612" s="707" t="s">
        <v>673</v>
      </c>
      <c r="G612" s="750"/>
      <c r="H612" s="750"/>
      <c r="I612" s="750"/>
      <c r="J612" s="750"/>
      <c r="K612" s="750"/>
      <c r="L612" s="750"/>
      <c r="M612" s="750"/>
      <c r="N612" s="750"/>
      <c r="O612" s="750"/>
      <c r="P612" s="751"/>
      <c r="Q612" s="751"/>
      <c r="R612" s="751"/>
      <c r="S612" s="724"/>
      <c r="T612" s="724"/>
      <c r="U612" s="724"/>
      <c r="V612" s="724"/>
      <c r="W612" s="724"/>
      <c r="X612" s="724"/>
      <c r="Y612" s="724"/>
      <c r="Z612" s="724"/>
      <c r="AA612" s="724"/>
      <c r="AB612" s="724"/>
      <c r="AC612" s="720"/>
      <c r="AD612" s="720"/>
      <c r="AE612" s="751"/>
      <c r="AF612" s="751"/>
      <c r="AG612" s="751"/>
      <c r="AH612" s="751"/>
      <c r="AI612" s="751"/>
      <c r="AJ612" s="751"/>
      <c r="AK612" s="751"/>
      <c r="AL612" s="751"/>
      <c r="AM612" s="751"/>
      <c r="AN612" s="751"/>
      <c r="AO612" s="751"/>
      <c r="AP612" s="751"/>
      <c r="AQ612" s="751"/>
      <c r="AR612" s="751"/>
      <c r="AS612" s="751"/>
      <c r="AT612" s="751"/>
      <c r="AU612" s="751"/>
      <c r="AV612" s="751"/>
      <c r="AW612" s="751"/>
      <c r="AX612" s="751"/>
      <c r="AY612" s="751"/>
      <c r="AZ612" s="751"/>
      <c r="BA612" s="751"/>
      <c r="BB612" s="751"/>
      <c r="BC612" s="751"/>
      <c r="BD612" s="751"/>
      <c r="BE612" s="751"/>
      <c r="BF612" s="751"/>
      <c r="BG612" s="751"/>
      <c r="BH612" s="751"/>
      <c r="BI612" s="751"/>
      <c r="BJ612" s="751"/>
      <c r="BK612" s="751"/>
      <c r="BL612" s="751"/>
      <c r="BM612" s="751"/>
      <c r="BN612" s="751"/>
      <c r="BO612" s="751"/>
      <c r="BP612" s="751"/>
      <c r="BQ612" s="751"/>
      <c r="BR612" s="751"/>
      <c r="BS612" s="751"/>
      <c r="BT612" s="751"/>
      <c r="BU612" s="751"/>
      <c r="BV612" s="751"/>
      <c r="BW612" s="751"/>
      <c r="BX612" s="751"/>
      <c r="BY612" s="751"/>
      <c r="BZ612" s="751"/>
      <c r="CA612" s="751"/>
    </row>
    <row r="613" spans="1:79" s="309" customFormat="1" hidden="1" outlineLevel="1" x14ac:dyDescent="0.35">
      <c r="A613" s="575"/>
      <c r="B613" s="575"/>
      <c r="C613" s="575"/>
      <c r="D613" s="575"/>
      <c r="E613" s="575"/>
      <c r="F613" s="672" t="s">
        <v>674</v>
      </c>
      <c r="G613" s="735"/>
      <c r="H613" s="735"/>
      <c r="I613" s="735"/>
      <c r="J613" s="735"/>
      <c r="K613" s="735"/>
      <c r="L613" s="735"/>
      <c r="M613" s="735"/>
      <c r="N613" s="735"/>
      <c r="O613" s="735"/>
      <c r="P613" s="732"/>
      <c r="Q613" s="732"/>
      <c r="R613" s="732"/>
      <c r="S613" s="700">
        <v>0</v>
      </c>
      <c r="T613" s="700">
        <v>0</v>
      </c>
      <c r="U613" s="700">
        <v>0</v>
      </c>
      <c r="V613" s="700">
        <v>0</v>
      </c>
      <c r="W613" s="700">
        <v>0</v>
      </c>
      <c r="X613" s="700">
        <v>0</v>
      </c>
      <c r="Y613" s="700">
        <v>0</v>
      </c>
      <c r="Z613" s="700">
        <v>0</v>
      </c>
      <c r="AA613" s="700">
        <v>0</v>
      </c>
      <c r="AB613" s="700">
        <v>0</v>
      </c>
      <c r="AC613" s="682">
        <v>0</v>
      </c>
      <c r="AD613" s="682">
        <v>0</v>
      </c>
      <c r="AE613" s="732"/>
      <c r="AF613" s="732"/>
      <c r="AG613" s="732"/>
      <c r="AH613" s="732"/>
      <c r="AI613" s="732"/>
      <c r="AJ613" s="732"/>
      <c r="AK613" s="732"/>
      <c r="AL613" s="732"/>
      <c r="AM613" s="732"/>
      <c r="AN613" s="732"/>
      <c r="AO613" s="732"/>
      <c r="AP613" s="732"/>
      <c r="AQ613" s="732"/>
      <c r="AR613" s="732"/>
      <c r="AS613" s="732"/>
      <c r="AT613" s="732"/>
      <c r="AU613" s="732"/>
      <c r="AV613" s="732"/>
      <c r="AW613" s="732"/>
      <c r="AX613" s="732"/>
      <c r="AY613" s="732"/>
      <c r="AZ613" s="732"/>
      <c r="BA613" s="732"/>
      <c r="BB613" s="732"/>
      <c r="BC613" s="732"/>
      <c r="BD613" s="732"/>
      <c r="BE613" s="732"/>
      <c r="BF613" s="732"/>
      <c r="BG613" s="732"/>
      <c r="BH613" s="732"/>
      <c r="BI613" s="732"/>
      <c r="BJ613" s="732"/>
      <c r="BK613" s="732"/>
      <c r="BL613" s="732"/>
      <c r="BM613" s="732"/>
      <c r="BN613" s="732"/>
      <c r="BO613" s="732"/>
      <c r="BP613" s="732"/>
      <c r="BQ613" s="732"/>
      <c r="BR613" s="732"/>
      <c r="BS613" s="732"/>
      <c r="BT613" s="732"/>
      <c r="BU613" s="732"/>
      <c r="BV613" s="732"/>
      <c r="BW613" s="732"/>
      <c r="BX613" s="732"/>
      <c r="BY613" s="732"/>
      <c r="BZ613" s="732"/>
      <c r="CA613" s="732"/>
    </row>
    <row r="614" spans="1:79" s="309" customFormat="1" hidden="1" outlineLevel="1" x14ac:dyDescent="0.35">
      <c r="A614" s="575"/>
      <c r="B614" s="575"/>
      <c r="C614" s="575"/>
      <c r="D614" s="575"/>
      <c r="E614" s="575"/>
      <c r="F614" s="672" t="s">
        <v>898</v>
      </c>
      <c r="G614" s="735"/>
      <c r="H614" s="735"/>
      <c r="I614" s="735"/>
      <c r="J614" s="735"/>
      <c r="K614" s="735"/>
      <c r="L614" s="735"/>
      <c r="M614" s="735"/>
      <c r="N614" s="735"/>
      <c r="O614" s="735"/>
      <c r="P614" s="732"/>
      <c r="Q614" s="732"/>
      <c r="R614" s="732"/>
      <c r="S614" s="700">
        <v>0</v>
      </c>
      <c r="T614" s="700">
        <v>0</v>
      </c>
      <c r="U614" s="700">
        <v>0</v>
      </c>
      <c r="V614" s="700">
        <v>0</v>
      </c>
      <c r="W614" s="700">
        <v>0</v>
      </c>
      <c r="X614" s="700">
        <v>0</v>
      </c>
      <c r="Y614" s="700">
        <v>0</v>
      </c>
      <c r="Z614" s="700">
        <v>0</v>
      </c>
      <c r="AA614" s="700">
        <v>0</v>
      </c>
      <c r="AB614" s="700">
        <v>0</v>
      </c>
      <c r="AC614" s="682">
        <v>0</v>
      </c>
      <c r="AD614" s="682">
        <v>0</v>
      </c>
      <c r="AE614" s="732"/>
      <c r="AF614" s="732"/>
      <c r="AG614" s="732"/>
      <c r="AH614" s="732"/>
      <c r="AI614" s="732"/>
      <c r="AJ614" s="732"/>
      <c r="AK614" s="732"/>
      <c r="AL614" s="732"/>
      <c r="AM614" s="732"/>
      <c r="AN614" s="732"/>
      <c r="AO614" s="732"/>
      <c r="AP614" s="732"/>
      <c r="AQ614" s="732"/>
      <c r="AR614" s="732"/>
      <c r="AS614" s="732"/>
      <c r="AT614" s="732"/>
      <c r="AU614" s="732"/>
      <c r="AV614" s="732"/>
      <c r="AW614" s="732"/>
      <c r="AX614" s="732"/>
      <c r="AY614" s="732"/>
      <c r="AZ614" s="732"/>
      <c r="BA614" s="732"/>
      <c r="BB614" s="732"/>
      <c r="BC614" s="732"/>
      <c r="BD614" s="732"/>
      <c r="BE614" s="732"/>
      <c r="BF614" s="732"/>
      <c r="BG614" s="732"/>
      <c r="BH614" s="732"/>
      <c r="BI614" s="732"/>
      <c r="BJ614" s="732"/>
      <c r="BK614" s="732"/>
      <c r="BL614" s="732"/>
      <c r="BM614" s="732"/>
      <c r="BN614" s="732"/>
      <c r="BO614" s="732"/>
      <c r="BP614" s="732"/>
      <c r="BQ614" s="732"/>
      <c r="BR614" s="732"/>
      <c r="BS614" s="732"/>
      <c r="BT614" s="732"/>
      <c r="BU614" s="732"/>
      <c r="BV614" s="732"/>
      <c r="BW614" s="732"/>
      <c r="BX614" s="732"/>
      <c r="BY614" s="732"/>
      <c r="BZ614" s="732"/>
      <c r="CA614" s="732"/>
    </row>
    <row r="615" spans="1:79" s="309" customFormat="1" hidden="1" outlineLevel="1" x14ac:dyDescent="0.35">
      <c r="A615" s="575"/>
      <c r="B615" s="575"/>
      <c r="C615" s="575"/>
      <c r="D615" s="575"/>
      <c r="E615" s="575"/>
      <c r="F615" s="672" t="s">
        <v>675</v>
      </c>
      <c r="G615" s="735"/>
      <c r="H615" s="735"/>
      <c r="I615" s="735"/>
      <c r="J615" s="735"/>
      <c r="K615" s="735"/>
      <c r="L615" s="735"/>
      <c r="M615" s="735"/>
      <c r="N615" s="735"/>
      <c r="O615" s="735"/>
      <c r="P615" s="732"/>
      <c r="Q615" s="732"/>
      <c r="R615" s="732"/>
      <c r="S615" s="700">
        <v>0</v>
      </c>
      <c r="T615" s="700">
        <v>0</v>
      </c>
      <c r="U615" s="700">
        <v>0</v>
      </c>
      <c r="V615" s="700">
        <v>0</v>
      </c>
      <c r="W615" s="700">
        <v>0</v>
      </c>
      <c r="X615" s="700">
        <v>0</v>
      </c>
      <c r="Y615" s="700">
        <v>0</v>
      </c>
      <c r="Z615" s="700">
        <v>0</v>
      </c>
      <c r="AA615" s="700">
        <v>0</v>
      </c>
      <c r="AB615" s="700">
        <v>0</v>
      </c>
      <c r="AC615" s="682">
        <v>0</v>
      </c>
      <c r="AD615" s="682">
        <v>0</v>
      </c>
      <c r="AE615" s="732"/>
      <c r="AF615" s="732"/>
      <c r="AG615" s="732"/>
      <c r="AH615" s="732"/>
      <c r="AI615" s="732"/>
      <c r="AJ615" s="732"/>
      <c r="AK615" s="732"/>
      <c r="AL615" s="732"/>
      <c r="AM615" s="732"/>
      <c r="AN615" s="732"/>
      <c r="AO615" s="732"/>
      <c r="AP615" s="732"/>
      <c r="AQ615" s="732"/>
      <c r="AR615" s="732"/>
      <c r="AS615" s="732"/>
      <c r="AT615" s="732"/>
      <c r="AU615" s="732"/>
      <c r="AV615" s="732"/>
      <c r="AW615" s="732"/>
      <c r="AX615" s="732"/>
      <c r="AY615" s="732"/>
      <c r="AZ615" s="732"/>
      <c r="BA615" s="732"/>
      <c r="BB615" s="732"/>
      <c r="BC615" s="732"/>
      <c r="BD615" s="732"/>
      <c r="BE615" s="732"/>
      <c r="BF615" s="732"/>
      <c r="BG615" s="732"/>
      <c r="BH615" s="732"/>
      <c r="BI615" s="732"/>
      <c r="BJ615" s="732"/>
      <c r="BK615" s="732"/>
      <c r="BL615" s="732"/>
      <c r="BM615" s="732"/>
      <c r="BN615" s="732"/>
      <c r="BO615" s="732"/>
      <c r="BP615" s="732"/>
      <c r="BQ615" s="732"/>
      <c r="BR615" s="732"/>
      <c r="BS615" s="732"/>
      <c r="BT615" s="732"/>
      <c r="BU615" s="732"/>
      <c r="BV615" s="732"/>
      <c r="BW615" s="732"/>
      <c r="BX615" s="732"/>
      <c r="BY615" s="732"/>
      <c r="BZ615" s="732"/>
      <c r="CA615" s="732"/>
    </row>
    <row r="616" spans="1:79" s="309" customFormat="1" hidden="1" outlineLevel="1" x14ac:dyDescent="0.35">
      <c r="A616" s="575"/>
      <c r="B616" s="575"/>
      <c r="C616" s="575"/>
      <c r="D616" s="575"/>
      <c r="E616" s="575"/>
      <c r="F616" s="672" t="s">
        <v>899</v>
      </c>
      <c r="G616" s="735"/>
      <c r="H616" s="735"/>
      <c r="I616" s="735"/>
      <c r="J616" s="735"/>
      <c r="K616" s="735"/>
      <c r="L616" s="735"/>
      <c r="M616" s="735"/>
      <c r="N616" s="735"/>
      <c r="O616" s="735"/>
      <c r="P616" s="732"/>
      <c r="Q616" s="732"/>
      <c r="R616" s="732"/>
      <c r="S616" s="700">
        <v>0</v>
      </c>
      <c r="T616" s="700">
        <v>0</v>
      </c>
      <c r="U616" s="700">
        <v>0</v>
      </c>
      <c r="V616" s="700">
        <v>0</v>
      </c>
      <c r="W616" s="700">
        <v>0</v>
      </c>
      <c r="X616" s="700">
        <v>0</v>
      </c>
      <c r="Y616" s="700">
        <v>0</v>
      </c>
      <c r="Z616" s="700">
        <v>0</v>
      </c>
      <c r="AA616" s="700">
        <v>0</v>
      </c>
      <c r="AB616" s="700">
        <v>0</v>
      </c>
      <c r="AC616" s="682">
        <v>0</v>
      </c>
      <c r="AD616" s="682">
        <v>0</v>
      </c>
      <c r="AE616" s="732"/>
      <c r="AF616" s="732"/>
      <c r="AG616" s="732"/>
      <c r="AH616" s="732"/>
      <c r="AI616" s="732"/>
      <c r="AJ616" s="732"/>
      <c r="AK616" s="732"/>
      <c r="AL616" s="732"/>
      <c r="AM616" s="732"/>
      <c r="AN616" s="732"/>
      <c r="AO616" s="732"/>
      <c r="AP616" s="732"/>
      <c r="AQ616" s="732"/>
      <c r="AR616" s="732"/>
      <c r="AS616" s="732"/>
      <c r="AT616" s="732"/>
      <c r="AU616" s="732"/>
      <c r="AV616" s="732"/>
      <c r="AW616" s="732"/>
      <c r="AX616" s="732"/>
      <c r="AY616" s="732"/>
      <c r="AZ616" s="732"/>
      <c r="BA616" s="732"/>
      <c r="BB616" s="732"/>
      <c r="BC616" s="732"/>
      <c r="BD616" s="732"/>
      <c r="BE616" s="732"/>
      <c r="BF616" s="732"/>
      <c r="BG616" s="732"/>
      <c r="BH616" s="732"/>
      <c r="BI616" s="732"/>
      <c r="BJ616" s="732"/>
      <c r="BK616" s="732"/>
      <c r="BL616" s="732"/>
      <c r="BM616" s="732"/>
      <c r="BN616" s="732"/>
      <c r="BO616" s="732"/>
      <c r="BP616" s="732"/>
      <c r="BQ616" s="732"/>
      <c r="BR616" s="732"/>
      <c r="BS616" s="732"/>
      <c r="BT616" s="732"/>
      <c r="BU616" s="732"/>
      <c r="BV616" s="732"/>
      <c r="BW616" s="732"/>
      <c r="BX616" s="732"/>
      <c r="BY616" s="732"/>
      <c r="BZ616" s="732"/>
      <c r="CA616" s="732"/>
    </row>
    <row r="617" spans="1:79" s="309" customFormat="1" hidden="1" outlineLevel="1" x14ac:dyDescent="0.35">
      <c r="A617" s="575"/>
      <c r="B617" s="575"/>
      <c r="C617" s="575"/>
      <c r="D617" s="575"/>
      <c r="E617" s="575"/>
      <c r="F617" s="673" t="s">
        <v>676</v>
      </c>
      <c r="G617" s="680">
        <f>SUM(G613:G616)</f>
        <v>0</v>
      </c>
      <c r="H617" s="680">
        <f t="shared" ref="H617:BO617" si="247">SUM(H613:H616)</f>
        <v>0</v>
      </c>
      <c r="I617" s="680">
        <f t="shared" si="247"/>
        <v>0</v>
      </c>
      <c r="J617" s="680">
        <f t="shared" si="247"/>
        <v>0</v>
      </c>
      <c r="K617" s="680">
        <f t="shared" si="247"/>
        <v>0</v>
      </c>
      <c r="L617" s="680">
        <f t="shared" si="247"/>
        <v>0</v>
      </c>
      <c r="M617" s="680">
        <f t="shared" si="247"/>
        <v>0</v>
      </c>
      <c r="N617" s="680">
        <f t="shared" si="247"/>
        <v>0</v>
      </c>
      <c r="O617" s="680">
        <f t="shared" si="247"/>
        <v>0</v>
      </c>
      <c r="P617" s="680">
        <f t="shared" si="247"/>
        <v>0</v>
      </c>
      <c r="Q617" s="680">
        <f t="shared" si="247"/>
        <v>0</v>
      </c>
      <c r="R617" s="680">
        <f t="shared" si="247"/>
        <v>0</v>
      </c>
      <c r="S617" s="696">
        <f t="shared" ref="S617:AA617" si="248">ROUND(SUM(S612:S616),5)</f>
        <v>0</v>
      </c>
      <c r="T617" s="696">
        <f t="shared" si="248"/>
        <v>0</v>
      </c>
      <c r="U617" s="696">
        <f t="shared" si="248"/>
        <v>0</v>
      </c>
      <c r="V617" s="696">
        <f t="shared" si="248"/>
        <v>0</v>
      </c>
      <c r="W617" s="696">
        <f t="shared" si="248"/>
        <v>0</v>
      </c>
      <c r="X617" s="696">
        <f t="shared" si="248"/>
        <v>0</v>
      </c>
      <c r="Y617" s="696">
        <f t="shared" si="248"/>
        <v>0</v>
      </c>
      <c r="Z617" s="696">
        <f t="shared" si="248"/>
        <v>0</v>
      </c>
      <c r="AA617" s="696">
        <f t="shared" si="248"/>
        <v>0</v>
      </c>
      <c r="AB617" s="696">
        <f>ROUND(SUM(AB612:AB616),5)</f>
        <v>0</v>
      </c>
      <c r="AC617" s="696">
        <f>ROUND(SUM(AC612:AC616),5)</f>
        <v>0</v>
      </c>
      <c r="AD617" s="696">
        <f>ROUND(SUM(AD612:AD616),5)</f>
        <v>0</v>
      </c>
      <c r="AE617" s="680">
        <f t="shared" si="247"/>
        <v>0</v>
      </c>
      <c r="AF617" s="680">
        <f t="shared" si="247"/>
        <v>0</v>
      </c>
      <c r="AG617" s="680">
        <f t="shared" si="247"/>
        <v>0</v>
      </c>
      <c r="AH617" s="680">
        <f t="shared" si="247"/>
        <v>0</v>
      </c>
      <c r="AI617" s="680">
        <f t="shared" si="247"/>
        <v>0</v>
      </c>
      <c r="AJ617" s="680">
        <f t="shared" si="247"/>
        <v>0</v>
      </c>
      <c r="AK617" s="680">
        <f t="shared" si="247"/>
        <v>0</v>
      </c>
      <c r="AL617" s="680">
        <f t="shared" si="247"/>
        <v>0</v>
      </c>
      <c r="AM617" s="680">
        <f t="shared" si="247"/>
        <v>0</v>
      </c>
      <c r="AN617" s="680">
        <f t="shared" si="247"/>
        <v>0</v>
      </c>
      <c r="AO617" s="680">
        <f t="shared" si="247"/>
        <v>0</v>
      </c>
      <c r="AP617" s="680">
        <f t="shared" si="247"/>
        <v>0</v>
      </c>
      <c r="AQ617" s="680">
        <f t="shared" si="247"/>
        <v>0</v>
      </c>
      <c r="AR617" s="680">
        <f t="shared" si="247"/>
        <v>0</v>
      </c>
      <c r="AS617" s="680">
        <f t="shared" si="247"/>
        <v>0</v>
      </c>
      <c r="AT617" s="680">
        <f t="shared" si="247"/>
        <v>0</v>
      </c>
      <c r="AU617" s="680">
        <f t="shared" si="247"/>
        <v>0</v>
      </c>
      <c r="AV617" s="680">
        <f t="shared" si="247"/>
        <v>0</v>
      </c>
      <c r="AW617" s="680">
        <f t="shared" si="247"/>
        <v>0</v>
      </c>
      <c r="AX617" s="680">
        <f t="shared" si="247"/>
        <v>0</v>
      </c>
      <c r="AY617" s="680">
        <f t="shared" si="247"/>
        <v>0</v>
      </c>
      <c r="AZ617" s="680">
        <f t="shared" si="247"/>
        <v>0</v>
      </c>
      <c r="BA617" s="680">
        <f t="shared" si="247"/>
        <v>0</v>
      </c>
      <c r="BB617" s="680">
        <f t="shared" si="247"/>
        <v>0</v>
      </c>
      <c r="BC617" s="680">
        <f t="shared" si="247"/>
        <v>0</v>
      </c>
      <c r="BD617" s="680">
        <f t="shared" si="247"/>
        <v>0</v>
      </c>
      <c r="BE617" s="680">
        <f t="shared" si="247"/>
        <v>0</v>
      </c>
      <c r="BF617" s="680">
        <f t="shared" si="247"/>
        <v>0</v>
      </c>
      <c r="BG617" s="680">
        <f t="shared" si="247"/>
        <v>0</v>
      </c>
      <c r="BH617" s="680">
        <f t="shared" si="247"/>
        <v>0</v>
      </c>
      <c r="BI617" s="680">
        <f t="shared" si="247"/>
        <v>0</v>
      </c>
      <c r="BJ617" s="680">
        <f t="shared" si="247"/>
        <v>0</v>
      </c>
      <c r="BK617" s="680">
        <f t="shared" si="247"/>
        <v>0</v>
      </c>
      <c r="BL617" s="680">
        <f t="shared" si="247"/>
        <v>0</v>
      </c>
      <c r="BM617" s="680">
        <f t="shared" si="247"/>
        <v>0</v>
      </c>
      <c r="BN617" s="680">
        <f t="shared" si="247"/>
        <v>0</v>
      </c>
      <c r="BO617" s="680">
        <f t="shared" si="247"/>
        <v>0</v>
      </c>
      <c r="BP617" s="680">
        <f t="shared" ref="BP617:CA617" si="249">SUM(BP613:BP616)</f>
        <v>0</v>
      </c>
      <c r="BQ617" s="680">
        <f t="shared" si="249"/>
        <v>0</v>
      </c>
      <c r="BR617" s="680">
        <f t="shared" si="249"/>
        <v>0</v>
      </c>
      <c r="BS617" s="680">
        <f t="shared" si="249"/>
        <v>0</v>
      </c>
      <c r="BT617" s="680">
        <f t="shared" si="249"/>
        <v>0</v>
      </c>
      <c r="BU617" s="680">
        <f t="shared" si="249"/>
        <v>0</v>
      </c>
      <c r="BV617" s="680">
        <f t="shared" si="249"/>
        <v>0</v>
      </c>
      <c r="BW617" s="680">
        <f t="shared" si="249"/>
        <v>0</v>
      </c>
      <c r="BX617" s="680">
        <f t="shared" si="249"/>
        <v>0</v>
      </c>
      <c r="BY617" s="680">
        <f t="shared" si="249"/>
        <v>0</v>
      </c>
      <c r="BZ617" s="680">
        <f t="shared" si="249"/>
        <v>0</v>
      </c>
      <c r="CA617" s="680">
        <f t="shared" si="249"/>
        <v>0</v>
      </c>
    </row>
    <row r="618" spans="1:79" s="309" customFormat="1" hidden="1" outlineLevel="1" x14ac:dyDescent="0.35">
      <c r="A618" s="30"/>
      <c r="B618" s="30"/>
      <c r="C618" s="30"/>
      <c r="D618" s="30"/>
      <c r="E618" s="30"/>
      <c r="F618" s="674" t="s">
        <v>652</v>
      </c>
      <c r="G618" s="735">
        <v>16.263415523480607</v>
      </c>
      <c r="H618" s="735">
        <v>9.2929221684014873</v>
      </c>
      <c r="I618" s="735">
        <v>5.2124257928414259</v>
      </c>
      <c r="J618" s="735">
        <v>1.5755521772139565</v>
      </c>
      <c r="K618" s="735">
        <v>0.5054320929170838</v>
      </c>
      <c r="L618" s="735">
        <v>1.7239087712586976</v>
      </c>
      <c r="M618" s="735">
        <v>10.314888009943427</v>
      </c>
      <c r="N618" s="735">
        <v>2.6944956453176867</v>
      </c>
      <c r="O618" s="735">
        <v>1.9290857526204614</v>
      </c>
      <c r="P618" s="732">
        <v>1.520891588407423</v>
      </c>
      <c r="Q618" s="732">
        <v>3.1083576616906448</v>
      </c>
      <c r="R618" s="732">
        <v>2.0698798279150323</v>
      </c>
      <c r="S618" s="704">
        <v>0</v>
      </c>
      <c r="T618" s="704">
        <v>0</v>
      </c>
      <c r="U618" s="704">
        <v>0</v>
      </c>
      <c r="V618" s="704">
        <v>0</v>
      </c>
      <c r="W618" s="704">
        <v>0</v>
      </c>
      <c r="X618" s="704">
        <v>0</v>
      </c>
      <c r="Y618" s="704">
        <v>0</v>
      </c>
      <c r="Z618" s="704">
        <v>-1.72</v>
      </c>
      <c r="AA618" s="704">
        <v>0</v>
      </c>
      <c r="AB618" s="704">
        <v>0</v>
      </c>
      <c r="AC618" s="682">
        <v>0</v>
      </c>
      <c r="AD618" s="682">
        <v>0</v>
      </c>
      <c r="AE618" s="732"/>
      <c r="AF618" s="732"/>
      <c r="AG618" s="732"/>
      <c r="AH618" s="732"/>
      <c r="AI618" s="732"/>
      <c r="AJ618" s="732"/>
      <c r="AK618" s="732"/>
      <c r="AL618" s="732"/>
      <c r="AM618" s="732"/>
      <c r="AN618" s="732"/>
      <c r="AO618" s="732"/>
      <c r="AP618" s="732"/>
      <c r="AQ618" s="732"/>
      <c r="AR618" s="732"/>
      <c r="AS618" s="732"/>
      <c r="AT618" s="732"/>
      <c r="AU618" s="732"/>
      <c r="AV618" s="732"/>
      <c r="AW618" s="732"/>
      <c r="AX618" s="732"/>
      <c r="AY618" s="732"/>
      <c r="AZ618" s="732"/>
      <c r="BA618" s="732"/>
      <c r="BB618" s="732"/>
      <c r="BC618" s="732"/>
      <c r="BD618" s="732"/>
      <c r="BE618" s="732"/>
      <c r="BF618" s="732"/>
      <c r="BG618" s="732"/>
      <c r="BH618" s="732"/>
      <c r="BI618" s="732"/>
      <c r="BJ618" s="732"/>
      <c r="BK618" s="732"/>
      <c r="BL618" s="732"/>
      <c r="BM618" s="732"/>
      <c r="BN618" s="732"/>
      <c r="BO618" s="732"/>
      <c r="BP618" s="732"/>
      <c r="BQ618" s="732"/>
      <c r="BR618" s="732"/>
      <c r="BS618" s="732"/>
      <c r="BT618" s="732"/>
      <c r="BU618" s="732"/>
      <c r="BV618" s="732"/>
      <c r="BW618" s="732"/>
      <c r="BX618" s="732"/>
      <c r="BY618" s="732"/>
      <c r="BZ618" s="732"/>
      <c r="CA618" s="732"/>
    </row>
    <row r="619" spans="1:79" s="309" customFormat="1" hidden="1" outlineLevel="1" x14ac:dyDescent="0.35">
      <c r="A619" s="30"/>
      <c r="B619" s="30"/>
      <c r="C619" s="30"/>
      <c r="D619" s="30"/>
      <c r="E619" s="30"/>
      <c r="F619" s="674" t="s">
        <v>603</v>
      </c>
      <c r="G619" s="735">
        <v>10.393967486274889</v>
      </c>
      <c r="H619" s="735">
        <v>30.22850310838238</v>
      </c>
      <c r="I619" s="735">
        <v>21.909382112135201</v>
      </c>
      <c r="J619" s="735">
        <v>34.787917454110463</v>
      </c>
      <c r="K619" s="735">
        <v>8.9490822223572462</v>
      </c>
      <c r="L619" s="735">
        <v>26.00941688436674</v>
      </c>
      <c r="M619" s="735">
        <v>14.86005551217214</v>
      </c>
      <c r="N619" s="735">
        <v>74.043608456512857</v>
      </c>
      <c r="O619" s="735">
        <v>91.688460044035168</v>
      </c>
      <c r="P619" s="732">
        <v>87.491379375218841</v>
      </c>
      <c r="Q619" s="732">
        <v>24.231139868680788</v>
      </c>
      <c r="R619" s="732">
        <v>30.119668132164151</v>
      </c>
      <c r="S619" s="683">
        <v>0</v>
      </c>
      <c r="T619" s="683">
        <v>0</v>
      </c>
      <c r="U619" s="683">
        <v>0</v>
      </c>
      <c r="V619" s="683">
        <v>0</v>
      </c>
      <c r="W619" s="683">
        <v>0</v>
      </c>
      <c r="X619" s="683">
        <v>886.6</v>
      </c>
      <c r="Y619" s="683">
        <v>220.23</v>
      </c>
      <c r="Z619" s="683">
        <v>3060.93</v>
      </c>
      <c r="AA619" s="683">
        <v>207.07</v>
      </c>
      <c r="AB619" s="683">
        <v>5293.32</v>
      </c>
      <c r="AC619" s="702">
        <v>2625.87</v>
      </c>
      <c r="AD619" s="702">
        <v>851.01</v>
      </c>
      <c r="AE619" s="732"/>
      <c r="AF619" s="732"/>
      <c r="AG619" s="732"/>
      <c r="AH619" s="732"/>
      <c r="AI619" s="732"/>
      <c r="AJ619" s="732"/>
      <c r="AK619" s="732"/>
      <c r="AL619" s="732"/>
      <c r="AM619" s="732"/>
      <c r="AN619" s="732"/>
      <c r="AO619" s="732"/>
      <c r="AP619" s="732"/>
      <c r="AQ619" s="732"/>
      <c r="AR619" s="732"/>
      <c r="AS619" s="732"/>
      <c r="AT619" s="732"/>
      <c r="AU619" s="732"/>
      <c r="AV619" s="732"/>
      <c r="AW619" s="732"/>
      <c r="AX619" s="732"/>
      <c r="AY619" s="732"/>
      <c r="AZ619" s="732"/>
      <c r="BA619" s="732"/>
      <c r="BB619" s="732"/>
      <c r="BC619" s="732"/>
      <c r="BD619" s="732"/>
      <c r="BE619" s="732"/>
      <c r="BF619" s="732"/>
      <c r="BG619" s="732"/>
      <c r="BH619" s="732"/>
      <c r="BI619" s="732"/>
      <c r="BJ619" s="732"/>
      <c r="BK619" s="732"/>
      <c r="BL619" s="732"/>
      <c r="BM619" s="732"/>
      <c r="BN619" s="732"/>
      <c r="BO619" s="732"/>
      <c r="BP619" s="732"/>
      <c r="BQ619" s="732"/>
      <c r="BR619" s="732"/>
      <c r="BS619" s="732"/>
      <c r="BT619" s="732"/>
      <c r="BU619" s="732"/>
      <c r="BV619" s="732"/>
      <c r="BW619" s="732"/>
      <c r="BX619" s="732"/>
      <c r="BY619" s="732"/>
      <c r="BZ619" s="732"/>
      <c r="CA619" s="732"/>
    </row>
    <row r="620" spans="1:79" s="709" customFormat="1" hidden="1" outlineLevel="1" x14ac:dyDescent="0.35">
      <c r="F620" s="707" t="s">
        <v>677</v>
      </c>
      <c r="G620" s="750">
        <v>19.441754268888371</v>
      </c>
      <c r="H620" s="750">
        <v>14.731947202353116</v>
      </c>
      <c r="I620" s="750">
        <v>72.467761042983128</v>
      </c>
      <c r="J620" s="750">
        <v>20.597795728986782</v>
      </c>
      <c r="K620" s="750">
        <v>2.5087105377240233</v>
      </c>
      <c r="L620" s="750">
        <v>25.224997231993008</v>
      </c>
      <c r="M620" s="750">
        <v>42.424224702693159</v>
      </c>
      <c r="N620" s="750">
        <v>31.000455368584277</v>
      </c>
      <c r="O620" s="750">
        <v>17.631984047759531</v>
      </c>
      <c r="P620" s="751">
        <v>29.017936895966134</v>
      </c>
      <c r="Q620" s="751">
        <v>27.646422501719172</v>
      </c>
      <c r="R620" s="751">
        <v>9.5557515581387236</v>
      </c>
      <c r="S620" s="720"/>
      <c r="T620" s="720"/>
      <c r="U620" s="720"/>
      <c r="V620" s="720"/>
      <c r="W620" s="720"/>
      <c r="X620" s="720"/>
      <c r="Y620" s="720"/>
      <c r="Z620" s="720"/>
      <c r="AA620" s="720"/>
      <c r="AB620" s="720"/>
      <c r="AC620" s="719"/>
      <c r="AD620" s="719"/>
      <c r="AE620" s="751"/>
      <c r="AF620" s="751"/>
      <c r="AG620" s="751"/>
      <c r="AH620" s="751"/>
      <c r="AI620" s="751"/>
      <c r="AJ620" s="751"/>
      <c r="AK620" s="751"/>
      <c r="AL620" s="751"/>
      <c r="AM620" s="751"/>
      <c r="AN620" s="751"/>
      <c r="AO620" s="751"/>
      <c r="AP620" s="751"/>
      <c r="AQ620" s="751"/>
      <c r="AR620" s="751"/>
      <c r="AS620" s="751"/>
      <c r="AT620" s="751"/>
      <c r="AU620" s="751"/>
      <c r="AV620" s="751"/>
      <c r="AW620" s="751"/>
      <c r="AX620" s="751"/>
      <c r="AY620" s="751"/>
      <c r="AZ620" s="751"/>
      <c r="BA620" s="751"/>
      <c r="BB620" s="751"/>
      <c r="BC620" s="751"/>
      <c r="BD620" s="751"/>
      <c r="BE620" s="751"/>
      <c r="BF620" s="751"/>
      <c r="BG620" s="751"/>
      <c r="BH620" s="751"/>
      <c r="BI620" s="751"/>
      <c r="BJ620" s="751"/>
      <c r="BK620" s="751"/>
      <c r="BL620" s="751"/>
      <c r="BM620" s="751"/>
      <c r="BN620" s="751"/>
      <c r="BO620" s="751"/>
      <c r="BP620" s="751"/>
      <c r="BQ620" s="751"/>
      <c r="BR620" s="751"/>
      <c r="BS620" s="751"/>
      <c r="BT620" s="751"/>
      <c r="BU620" s="751"/>
      <c r="BV620" s="751"/>
      <c r="BW620" s="751"/>
      <c r="BX620" s="751"/>
      <c r="BY620" s="751"/>
      <c r="BZ620" s="751"/>
      <c r="CA620" s="751"/>
    </row>
    <row r="621" spans="1:79" hidden="1" outlineLevel="1" x14ac:dyDescent="0.35">
      <c r="A621" s="224"/>
      <c r="B621" s="224"/>
      <c r="C621" s="224"/>
      <c r="D621" s="224"/>
      <c r="E621" s="224"/>
      <c r="F621" s="776" t="s">
        <v>900</v>
      </c>
      <c r="G621" s="735"/>
      <c r="H621" s="735"/>
      <c r="I621" s="735"/>
      <c r="J621" s="735"/>
      <c r="K621" s="735"/>
      <c r="L621" s="735"/>
      <c r="M621" s="735"/>
      <c r="N621" s="735"/>
      <c r="O621" s="735"/>
      <c r="P621" s="738"/>
      <c r="Q621" s="738"/>
      <c r="R621" s="738"/>
      <c r="S621" s="683">
        <v>0</v>
      </c>
      <c r="T621" s="683">
        <v>0</v>
      </c>
      <c r="U621" s="683">
        <v>0</v>
      </c>
      <c r="V621" s="683">
        <v>0</v>
      </c>
      <c r="W621" s="683">
        <v>0</v>
      </c>
      <c r="X621" s="683">
        <v>0</v>
      </c>
      <c r="Y621" s="683">
        <v>0</v>
      </c>
      <c r="Z621" s="683">
        <v>0</v>
      </c>
      <c r="AA621" s="683">
        <v>0</v>
      </c>
      <c r="AB621" s="683">
        <v>0</v>
      </c>
      <c r="AC621" s="702">
        <v>0</v>
      </c>
      <c r="AD621" s="702">
        <v>0</v>
      </c>
      <c r="AE621" s="738"/>
      <c r="AF621" s="738"/>
      <c r="AG621" s="738"/>
      <c r="AH621" s="738"/>
      <c r="AI621" s="738"/>
      <c r="AJ621" s="738"/>
      <c r="AK621" s="738"/>
      <c r="AL621" s="738"/>
      <c r="AM621" s="738"/>
      <c r="AN621" s="738"/>
      <c r="AO621" s="738"/>
      <c r="AP621" s="738"/>
      <c r="AQ621" s="738"/>
      <c r="AR621" s="738"/>
      <c r="AS621" s="738"/>
      <c r="AT621" s="738"/>
      <c r="AU621" s="738"/>
      <c r="AV621" s="738"/>
      <c r="AW621" s="738"/>
      <c r="AX621" s="738"/>
      <c r="AY621" s="738"/>
      <c r="AZ621" s="738"/>
      <c r="BA621" s="738"/>
      <c r="BB621" s="738"/>
      <c r="BC621" s="738"/>
      <c r="BD621" s="738"/>
      <c r="BE621" s="738"/>
      <c r="BF621" s="738"/>
      <c r="BG621" s="738"/>
      <c r="BH621" s="738"/>
      <c r="BI621" s="738"/>
      <c r="BJ621" s="738"/>
      <c r="BK621" s="738"/>
      <c r="BL621" s="738"/>
      <c r="BM621" s="738"/>
      <c r="BN621" s="738"/>
      <c r="BO621" s="738"/>
      <c r="BP621" s="738"/>
      <c r="BQ621" s="738"/>
      <c r="BR621" s="738"/>
      <c r="BS621" s="738"/>
      <c r="BT621" s="738"/>
      <c r="BU621" s="738"/>
      <c r="BV621" s="738"/>
      <c r="BW621" s="738"/>
      <c r="BX621" s="738"/>
      <c r="BY621" s="738"/>
      <c r="BZ621" s="738"/>
      <c r="CA621" s="738"/>
    </row>
    <row r="622" spans="1:79" hidden="1" outlineLevel="1" x14ac:dyDescent="0.35">
      <c r="A622" s="574"/>
      <c r="B622" s="574"/>
      <c r="C622" s="574"/>
      <c r="D622" s="574"/>
      <c r="E622" s="574"/>
      <c r="F622" s="672" t="s">
        <v>678</v>
      </c>
      <c r="G622" s="735"/>
      <c r="H622" s="735"/>
      <c r="I622" s="735"/>
      <c r="J622" s="735"/>
      <c r="K622" s="735"/>
      <c r="L622" s="735"/>
      <c r="M622" s="735"/>
      <c r="N622" s="735"/>
      <c r="O622" s="735"/>
      <c r="P622" s="732"/>
      <c r="Q622" s="732"/>
      <c r="R622" s="732"/>
      <c r="S622" s="683">
        <v>0</v>
      </c>
      <c r="T622" s="683">
        <v>0</v>
      </c>
      <c r="U622" s="683">
        <v>0</v>
      </c>
      <c r="V622" s="683">
        <v>0</v>
      </c>
      <c r="W622" s="683">
        <v>0</v>
      </c>
      <c r="X622" s="683">
        <v>0</v>
      </c>
      <c r="Y622" s="683">
        <v>0</v>
      </c>
      <c r="Z622" s="683">
        <v>958.17</v>
      </c>
      <c r="AA622" s="683">
        <v>0</v>
      </c>
      <c r="AB622" s="683">
        <v>0</v>
      </c>
      <c r="AC622" s="702">
        <v>0</v>
      </c>
      <c r="AD622" s="702">
        <v>0</v>
      </c>
      <c r="AE622" s="732"/>
      <c r="AF622" s="732"/>
      <c r="AG622" s="732"/>
      <c r="AH622" s="732"/>
      <c r="AI622" s="732"/>
      <c r="AJ622" s="732"/>
      <c r="AK622" s="732"/>
      <c r="AL622" s="732"/>
      <c r="AM622" s="732"/>
      <c r="AN622" s="732"/>
      <c r="AO622" s="732"/>
      <c r="AP622" s="732"/>
      <c r="AQ622" s="732"/>
      <c r="AR622" s="732"/>
      <c r="AS622" s="732"/>
      <c r="AT622" s="732"/>
      <c r="AU622" s="732"/>
      <c r="AV622" s="732"/>
      <c r="AW622" s="732"/>
      <c r="AX622" s="732"/>
      <c r="AY622" s="732"/>
      <c r="AZ622" s="732"/>
      <c r="BA622" s="732"/>
      <c r="BB622" s="732"/>
      <c r="BC622" s="732"/>
      <c r="BD622" s="732"/>
      <c r="BE622" s="732"/>
      <c r="BF622" s="732"/>
      <c r="BG622" s="732"/>
      <c r="BH622" s="732"/>
      <c r="BI622" s="732"/>
      <c r="BJ622" s="732"/>
      <c r="BK622" s="732"/>
      <c r="BL622" s="732"/>
      <c r="BM622" s="732"/>
      <c r="BN622" s="732"/>
      <c r="BO622" s="732"/>
      <c r="BP622" s="732"/>
      <c r="BQ622" s="732"/>
      <c r="BR622" s="732"/>
      <c r="BS622" s="732"/>
      <c r="BT622" s="732"/>
      <c r="BU622" s="732"/>
      <c r="BV622" s="732"/>
      <c r="BW622" s="732"/>
      <c r="BX622" s="732"/>
      <c r="BY622" s="732"/>
      <c r="BZ622" s="732"/>
      <c r="CA622" s="732"/>
    </row>
    <row r="623" spans="1:79" hidden="1" outlineLevel="1" x14ac:dyDescent="0.35">
      <c r="A623" s="574"/>
      <c r="B623" s="574"/>
      <c r="C623" s="574"/>
      <c r="D623" s="574"/>
      <c r="E623" s="574"/>
      <c r="F623" s="672" t="s">
        <v>901</v>
      </c>
      <c r="G623" s="735"/>
      <c r="H623" s="735"/>
      <c r="I623" s="735"/>
      <c r="J623" s="735"/>
      <c r="K623" s="735"/>
      <c r="L623" s="735"/>
      <c r="M623" s="735"/>
      <c r="N623" s="735"/>
      <c r="O623" s="735"/>
      <c r="P623" s="732"/>
      <c r="Q623" s="732"/>
      <c r="R623" s="732"/>
      <c r="S623" s="683">
        <v>0</v>
      </c>
      <c r="T623" s="683">
        <v>0</v>
      </c>
      <c r="U623" s="683">
        <v>0</v>
      </c>
      <c r="V623" s="683">
        <v>0</v>
      </c>
      <c r="W623" s="683">
        <v>0</v>
      </c>
      <c r="X623" s="683">
        <v>0</v>
      </c>
      <c r="Y623" s="683">
        <v>0</v>
      </c>
      <c r="Z623" s="683">
        <v>0</v>
      </c>
      <c r="AA623" s="683">
        <v>0</v>
      </c>
      <c r="AB623" s="683">
        <v>0</v>
      </c>
      <c r="AC623" s="702">
        <v>0</v>
      </c>
      <c r="AD623" s="702">
        <v>0</v>
      </c>
      <c r="AE623" s="732"/>
      <c r="AF623" s="732"/>
      <c r="AG623" s="732"/>
      <c r="AH623" s="732"/>
      <c r="AI623" s="732"/>
      <c r="AJ623" s="732"/>
      <c r="AK623" s="732"/>
      <c r="AL623" s="732"/>
      <c r="AM623" s="732"/>
      <c r="AN623" s="732"/>
      <c r="AO623" s="732"/>
      <c r="AP623" s="732"/>
      <c r="AQ623" s="732"/>
      <c r="AR623" s="732"/>
      <c r="AS623" s="732"/>
      <c r="AT623" s="732"/>
      <c r="AU623" s="732"/>
      <c r="AV623" s="732"/>
      <c r="AW623" s="732"/>
      <c r="AX623" s="732"/>
      <c r="AY623" s="732"/>
      <c r="AZ623" s="732"/>
      <c r="BA623" s="732"/>
      <c r="BB623" s="732"/>
      <c r="BC623" s="732"/>
      <c r="BD623" s="732"/>
      <c r="BE623" s="732"/>
      <c r="BF623" s="732"/>
      <c r="BG623" s="732"/>
      <c r="BH623" s="732"/>
      <c r="BI623" s="732"/>
      <c r="BJ623" s="732"/>
      <c r="BK623" s="732"/>
      <c r="BL623" s="732"/>
      <c r="BM623" s="732"/>
      <c r="BN623" s="732"/>
      <c r="BO623" s="732"/>
      <c r="BP623" s="732"/>
      <c r="BQ623" s="732"/>
      <c r="BR623" s="732"/>
      <c r="BS623" s="732"/>
      <c r="BT623" s="732"/>
      <c r="BU623" s="732"/>
      <c r="BV623" s="732"/>
      <c r="BW623" s="732"/>
      <c r="BX623" s="732"/>
      <c r="BY623" s="732"/>
      <c r="BZ623" s="732"/>
      <c r="CA623" s="732"/>
    </row>
    <row r="624" spans="1:79" hidden="1" outlineLevel="1" x14ac:dyDescent="0.35">
      <c r="A624" s="574"/>
      <c r="B624" s="574"/>
      <c r="C624" s="574"/>
      <c r="D624" s="574"/>
      <c r="E624" s="574"/>
      <c r="F624" s="672" t="s">
        <v>771</v>
      </c>
      <c r="G624" s="735"/>
      <c r="H624" s="735"/>
      <c r="I624" s="735"/>
      <c r="J624" s="735"/>
      <c r="K624" s="735"/>
      <c r="L624" s="735"/>
      <c r="M624" s="735"/>
      <c r="N624" s="735"/>
      <c r="O624" s="735"/>
      <c r="P624" s="732"/>
      <c r="Q624" s="732"/>
      <c r="R624" s="732"/>
      <c r="S624" s="683">
        <v>0</v>
      </c>
      <c r="T624" s="683">
        <v>0</v>
      </c>
      <c r="U624" s="683">
        <v>0</v>
      </c>
      <c r="V624" s="683">
        <v>0</v>
      </c>
      <c r="W624" s="683">
        <v>0</v>
      </c>
      <c r="X624" s="683">
        <v>0</v>
      </c>
      <c r="Y624" s="683">
        <v>0</v>
      </c>
      <c r="Z624" s="683">
        <v>0</v>
      </c>
      <c r="AA624" s="683">
        <v>0</v>
      </c>
      <c r="AB624" s="683">
        <v>0</v>
      </c>
      <c r="AC624" s="702">
        <v>0</v>
      </c>
      <c r="AD624" s="702">
        <v>0</v>
      </c>
      <c r="AE624" s="732"/>
      <c r="AF624" s="732"/>
      <c r="AG624" s="732"/>
      <c r="AH624" s="732"/>
      <c r="AI624" s="732"/>
      <c r="AJ624" s="732"/>
      <c r="AK624" s="732"/>
      <c r="AL624" s="732"/>
      <c r="AM624" s="732"/>
      <c r="AN624" s="732"/>
      <c r="AO624" s="732"/>
      <c r="AP624" s="732"/>
      <c r="AQ624" s="732"/>
      <c r="AR624" s="732"/>
      <c r="AS624" s="732"/>
      <c r="AT624" s="732"/>
      <c r="AU624" s="732"/>
      <c r="AV624" s="732"/>
      <c r="AW624" s="732"/>
      <c r="AX624" s="732"/>
      <c r="AY624" s="732"/>
      <c r="AZ624" s="732"/>
      <c r="BA624" s="732"/>
      <c r="BB624" s="732"/>
      <c r="BC624" s="732"/>
      <c r="BD624" s="732"/>
      <c r="BE624" s="732"/>
      <c r="BF624" s="732"/>
      <c r="BG624" s="732"/>
      <c r="BH624" s="732"/>
      <c r="BI624" s="732"/>
      <c r="BJ624" s="732"/>
      <c r="BK624" s="732"/>
      <c r="BL624" s="732"/>
      <c r="BM624" s="732"/>
      <c r="BN624" s="732"/>
      <c r="BO624" s="732"/>
      <c r="BP624" s="732"/>
      <c r="BQ624" s="732"/>
      <c r="BR624" s="732"/>
      <c r="BS624" s="732"/>
      <c r="BT624" s="732"/>
      <c r="BU624" s="732"/>
      <c r="BV624" s="732"/>
      <c r="BW624" s="732"/>
      <c r="BX624" s="732"/>
      <c r="BY624" s="732"/>
      <c r="BZ624" s="732"/>
      <c r="CA624" s="732"/>
    </row>
    <row r="625" spans="1:79" hidden="1" outlineLevel="1" x14ac:dyDescent="0.35">
      <c r="A625" s="574"/>
      <c r="B625" s="574"/>
      <c r="C625" s="574"/>
      <c r="D625" s="574"/>
      <c r="E625" s="574"/>
      <c r="F625" s="673" t="s">
        <v>679</v>
      </c>
      <c r="G625" s="680">
        <f>SUM(G621:G624)</f>
        <v>0</v>
      </c>
      <c r="H625" s="680">
        <f t="shared" ref="H625:BO625" si="250">SUM(H621:H624)</f>
        <v>0</v>
      </c>
      <c r="I625" s="680">
        <f t="shared" si="250"/>
        <v>0</v>
      </c>
      <c r="J625" s="680">
        <f t="shared" si="250"/>
        <v>0</v>
      </c>
      <c r="K625" s="680">
        <f t="shared" si="250"/>
        <v>0</v>
      </c>
      <c r="L625" s="680">
        <f t="shared" si="250"/>
        <v>0</v>
      </c>
      <c r="M625" s="680">
        <f t="shared" si="250"/>
        <v>0</v>
      </c>
      <c r="N625" s="680">
        <f t="shared" si="250"/>
        <v>0</v>
      </c>
      <c r="O625" s="680">
        <f t="shared" si="250"/>
        <v>0</v>
      </c>
      <c r="P625" s="680">
        <f t="shared" si="250"/>
        <v>0</v>
      </c>
      <c r="Q625" s="680">
        <f t="shared" si="250"/>
        <v>0</v>
      </c>
      <c r="R625" s="680">
        <f t="shared" si="250"/>
        <v>0</v>
      </c>
      <c r="S625" s="694">
        <f t="shared" ref="S625:AA625" si="251">ROUND(SUM(S620:S624),5)</f>
        <v>0</v>
      </c>
      <c r="T625" s="694">
        <f t="shared" si="251"/>
        <v>0</v>
      </c>
      <c r="U625" s="694">
        <f t="shared" si="251"/>
        <v>0</v>
      </c>
      <c r="V625" s="694">
        <f t="shared" si="251"/>
        <v>0</v>
      </c>
      <c r="W625" s="694">
        <f t="shared" si="251"/>
        <v>0</v>
      </c>
      <c r="X625" s="694">
        <f t="shared" si="251"/>
        <v>0</v>
      </c>
      <c r="Y625" s="694">
        <f t="shared" si="251"/>
        <v>0</v>
      </c>
      <c r="Z625" s="694">
        <f t="shared" si="251"/>
        <v>958.17</v>
      </c>
      <c r="AA625" s="694">
        <f t="shared" si="251"/>
        <v>0</v>
      </c>
      <c r="AB625" s="694">
        <f>ROUND(SUM(AB620:AB624),5)</f>
        <v>0</v>
      </c>
      <c r="AC625" s="694">
        <f>ROUND(SUM(AC620:AC624),5)</f>
        <v>0</v>
      </c>
      <c r="AD625" s="694">
        <f>ROUND(SUM(AD620:AD624),5)</f>
        <v>0</v>
      </c>
      <c r="AE625" s="680">
        <f t="shared" si="250"/>
        <v>0</v>
      </c>
      <c r="AF625" s="680">
        <f t="shared" si="250"/>
        <v>0</v>
      </c>
      <c r="AG625" s="680">
        <f t="shared" si="250"/>
        <v>0</v>
      </c>
      <c r="AH625" s="680">
        <f t="shared" si="250"/>
        <v>0</v>
      </c>
      <c r="AI625" s="680">
        <f t="shared" si="250"/>
        <v>0</v>
      </c>
      <c r="AJ625" s="680">
        <f t="shared" si="250"/>
        <v>0</v>
      </c>
      <c r="AK625" s="680">
        <f t="shared" si="250"/>
        <v>0</v>
      </c>
      <c r="AL625" s="680">
        <f t="shared" si="250"/>
        <v>0</v>
      </c>
      <c r="AM625" s="680">
        <f t="shared" si="250"/>
        <v>0</v>
      </c>
      <c r="AN625" s="680">
        <f t="shared" si="250"/>
        <v>0</v>
      </c>
      <c r="AO625" s="680">
        <f t="shared" si="250"/>
        <v>0</v>
      </c>
      <c r="AP625" s="680">
        <f t="shared" si="250"/>
        <v>0</v>
      </c>
      <c r="AQ625" s="680">
        <f t="shared" si="250"/>
        <v>0</v>
      </c>
      <c r="AR625" s="680">
        <f t="shared" si="250"/>
        <v>0</v>
      </c>
      <c r="AS625" s="680">
        <f t="shared" si="250"/>
        <v>0</v>
      </c>
      <c r="AT625" s="680">
        <f t="shared" si="250"/>
        <v>0</v>
      </c>
      <c r="AU625" s="680">
        <f t="shared" si="250"/>
        <v>0</v>
      </c>
      <c r="AV625" s="680">
        <f t="shared" si="250"/>
        <v>0</v>
      </c>
      <c r="AW625" s="680">
        <f t="shared" si="250"/>
        <v>0</v>
      </c>
      <c r="AX625" s="680">
        <f t="shared" si="250"/>
        <v>0</v>
      </c>
      <c r="AY625" s="680">
        <f t="shared" si="250"/>
        <v>0</v>
      </c>
      <c r="AZ625" s="680">
        <f t="shared" si="250"/>
        <v>0</v>
      </c>
      <c r="BA625" s="680">
        <f t="shared" si="250"/>
        <v>0</v>
      </c>
      <c r="BB625" s="680">
        <f t="shared" si="250"/>
        <v>0</v>
      </c>
      <c r="BC625" s="680">
        <f t="shared" si="250"/>
        <v>0</v>
      </c>
      <c r="BD625" s="680">
        <f t="shared" si="250"/>
        <v>0</v>
      </c>
      <c r="BE625" s="680">
        <f t="shared" si="250"/>
        <v>0</v>
      </c>
      <c r="BF625" s="680">
        <f t="shared" si="250"/>
        <v>0</v>
      </c>
      <c r="BG625" s="680">
        <f t="shared" si="250"/>
        <v>0</v>
      </c>
      <c r="BH625" s="680">
        <f t="shared" si="250"/>
        <v>0</v>
      </c>
      <c r="BI625" s="680">
        <f t="shared" si="250"/>
        <v>0</v>
      </c>
      <c r="BJ625" s="680">
        <f t="shared" si="250"/>
        <v>0</v>
      </c>
      <c r="BK625" s="680">
        <f t="shared" si="250"/>
        <v>0</v>
      </c>
      <c r="BL625" s="680">
        <f t="shared" si="250"/>
        <v>0</v>
      </c>
      <c r="BM625" s="680">
        <f t="shared" si="250"/>
        <v>0</v>
      </c>
      <c r="BN625" s="680">
        <f t="shared" si="250"/>
        <v>0</v>
      </c>
      <c r="BO625" s="680">
        <f t="shared" si="250"/>
        <v>0</v>
      </c>
      <c r="BP625" s="680">
        <f t="shared" ref="BP625:CA625" si="252">SUM(BP621:BP624)</f>
        <v>0</v>
      </c>
      <c r="BQ625" s="680">
        <f t="shared" si="252"/>
        <v>0</v>
      </c>
      <c r="BR625" s="680">
        <f t="shared" si="252"/>
        <v>0</v>
      </c>
      <c r="BS625" s="680">
        <f t="shared" si="252"/>
        <v>0</v>
      </c>
      <c r="BT625" s="680">
        <f t="shared" si="252"/>
        <v>0</v>
      </c>
      <c r="BU625" s="680">
        <f t="shared" si="252"/>
        <v>0</v>
      </c>
      <c r="BV625" s="680">
        <f t="shared" si="252"/>
        <v>0</v>
      </c>
      <c r="BW625" s="680">
        <f t="shared" si="252"/>
        <v>0</v>
      </c>
      <c r="BX625" s="680">
        <f t="shared" si="252"/>
        <v>0</v>
      </c>
      <c r="BY625" s="680">
        <f t="shared" si="252"/>
        <v>0</v>
      </c>
      <c r="BZ625" s="680">
        <f t="shared" si="252"/>
        <v>0</v>
      </c>
      <c r="CA625" s="680">
        <f t="shared" si="252"/>
        <v>0</v>
      </c>
    </row>
    <row r="626" spans="1:79" hidden="1" outlineLevel="1" x14ac:dyDescent="0.35">
      <c r="A626" s="574"/>
      <c r="B626" s="574"/>
      <c r="C626" s="574"/>
      <c r="D626" s="574"/>
      <c r="E626" s="574"/>
      <c r="F626" s="674" t="s">
        <v>604</v>
      </c>
      <c r="G626" s="735"/>
      <c r="H626" s="735"/>
      <c r="I626" s="735"/>
      <c r="J626" s="735"/>
      <c r="K626" s="735"/>
      <c r="L626" s="735"/>
      <c r="M626" s="735"/>
      <c r="N626" s="735"/>
      <c r="O626" s="735"/>
      <c r="P626" s="732"/>
      <c r="Q626" s="732"/>
      <c r="R626" s="732"/>
      <c r="S626" s="683">
        <v>0</v>
      </c>
      <c r="T626" s="683">
        <v>100</v>
      </c>
      <c r="U626" s="683">
        <v>0</v>
      </c>
      <c r="V626" s="683">
        <v>25.46</v>
      </c>
      <c r="W626" s="683">
        <v>0</v>
      </c>
      <c r="X626" s="683">
        <v>0</v>
      </c>
      <c r="Y626" s="683">
        <v>0</v>
      </c>
      <c r="Z626" s="683">
        <v>161.55000000000001</v>
      </c>
      <c r="AA626" s="683">
        <v>0</v>
      </c>
      <c r="AB626" s="683">
        <v>0</v>
      </c>
      <c r="AC626" s="702">
        <v>198.9</v>
      </c>
      <c r="AD626" s="702">
        <v>0</v>
      </c>
      <c r="AE626" s="732"/>
      <c r="AF626" s="732"/>
      <c r="AG626" s="732"/>
      <c r="AH626" s="732"/>
      <c r="AI626" s="732"/>
      <c r="AJ626" s="732"/>
      <c r="AK626" s="732"/>
      <c r="AL626" s="732"/>
      <c r="AM626" s="732"/>
      <c r="AN626" s="732"/>
      <c r="AO626" s="732"/>
      <c r="AP626" s="732"/>
      <c r="AQ626" s="732"/>
      <c r="AR626" s="732"/>
      <c r="AS626" s="732"/>
      <c r="AT626" s="732"/>
      <c r="AU626" s="732"/>
      <c r="AV626" s="732"/>
      <c r="AW626" s="732"/>
      <c r="AX626" s="732"/>
      <c r="AY626" s="732"/>
      <c r="AZ626" s="732"/>
      <c r="BA626" s="732"/>
      <c r="BB626" s="732"/>
      <c r="BC626" s="732"/>
      <c r="BD626" s="732"/>
      <c r="BE626" s="732"/>
      <c r="BF626" s="732"/>
      <c r="BG626" s="732"/>
      <c r="BH626" s="732"/>
      <c r="BI626" s="732"/>
      <c r="BJ626" s="732"/>
      <c r="BK626" s="732"/>
      <c r="BL626" s="732"/>
      <c r="BM626" s="732"/>
      <c r="BN626" s="732"/>
      <c r="BO626" s="732"/>
      <c r="BP626" s="732"/>
      <c r="BQ626" s="732"/>
      <c r="BR626" s="732"/>
      <c r="BS626" s="732"/>
      <c r="BT626" s="732"/>
      <c r="BU626" s="732"/>
      <c r="BV626" s="732"/>
      <c r="BW626" s="732"/>
      <c r="BX626" s="732"/>
      <c r="BY626" s="732"/>
      <c r="BZ626" s="732"/>
      <c r="CA626" s="732"/>
    </row>
    <row r="627" spans="1:79" s="726" customFormat="1" hidden="1" outlineLevel="1" x14ac:dyDescent="0.35">
      <c r="F627" s="717" t="s">
        <v>605</v>
      </c>
      <c r="G627" s="750"/>
      <c r="H627" s="750"/>
      <c r="I627" s="750"/>
      <c r="J627" s="750"/>
      <c r="K627" s="750"/>
      <c r="L627" s="750"/>
      <c r="M627" s="750"/>
      <c r="N627" s="750"/>
      <c r="O627" s="750"/>
      <c r="P627" s="751"/>
      <c r="Q627" s="751"/>
      <c r="R627" s="751"/>
      <c r="S627" s="713"/>
      <c r="T627" s="713"/>
      <c r="U627" s="713"/>
      <c r="V627" s="713"/>
      <c r="W627" s="713"/>
      <c r="X627" s="713"/>
      <c r="Y627" s="713"/>
      <c r="Z627" s="713"/>
      <c r="AA627" s="713"/>
      <c r="AB627" s="713"/>
      <c r="AC627" s="727"/>
      <c r="AD627" s="727"/>
      <c r="AE627" s="751"/>
      <c r="AF627" s="751"/>
      <c r="AG627" s="751"/>
      <c r="AH627" s="751"/>
      <c r="AI627" s="751"/>
      <c r="AJ627" s="751"/>
      <c r="AK627" s="751"/>
      <c r="AL627" s="751"/>
      <c r="AM627" s="751"/>
      <c r="AN627" s="751"/>
      <c r="AO627" s="751"/>
      <c r="AP627" s="751"/>
      <c r="AQ627" s="751"/>
      <c r="AR627" s="751"/>
      <c r="AS627" s="751"/>
      <c r="AT627" s="751"/>
      <c r="AU627" s="751"/>
      <c r="AV627" s="751"/>
      <c r="AW627" s="751"/>
      <c r="AX627" s="751"/>
      <c r="AY627" s="751"/>
      <c r="AZ627" s="751"/>
      <c r="BA627" s="751"/>
      <c r="BB627" s="751"/>
      <c r="BC627" s="751"/>
      <c r="BD627" s="751"/>
      <c r="BE627" s="751"/>
      <c r="BF627" s="751"/>
      <c r="BG627" s="751"/>
      <c r="BH627" s="751"/>
      <c r="BI627" s="751"/>
      <c r="BJ627" s="751"/>
      <c r="BK627" s="751"/>
      <c r="BL627" s="751"/>
      <c r="BM627" s="751"/>
      <c r="BN627" s="751"/>
      <c r="BO627" s="751"/>
      <c r="BP627" s="751"/>
      <c r="BQ627" s="751"/>
      <c r="BR627" s="751"/>
      <c r="BS627" s="751"/>
      <c r="BT627" s="751"/>
      <c r="BU627" s="751"/>
      <c r="BV627" s="751"/>
      <c r="BW627" s="751"/>
      <c r="BX627" s="751"/>
      <c r="BY627" s="751"/>
      <c r="BZ627" s="751"/>
      <c r="CA627" s="751"/>
    </row>
    <row r="628" spans="1:79" s="309" customFormat="1" hidden="1" outlineLevel="1" x14ac:dyDescent="0.35">
      <c r="A628" s="575"/>
      <c r="B628" s="575"/>
      <c r="C628" s="575"/>
      <c r="D628" s="575"/>
      <c r="E628" s="575"/>
      <c r="F628" s="672" t="s">
        <v>902</v>
      </c>
      <c r="G628" s="735"/>
      <c r="H628" s="735"/>
      <c r="I628" s="735"/>
      <c r="J628" s="735"/>
      <c r="K628" s="735"/>
      <c r="L628" s="735"/>
      <c r="M628" s="735"/>
      <c r="N628" s="735"/>
      <c r="O628" s="735"/>
      <c r="P628" s="732"/>
      <c r="Q628" s="732"/>
      <c r="R628" s="732"/>
      <c r="S628" s="687"/>
      <c r="T628" s="687"/>
      <c r="U628" s="687"/>
      <c r="V628" s="687"/>
      <c r="W628" s="687"/>
      <c r="X628" s="687"/>
      <c r="Y628" s="687"/>
      <c r="Z628" s="687"/>
      <c r="AA628" s="687"/>
      <c r="AB628" s="687"/>
      <c r="AC628" s="705"/>
      <c r="AD628" s="705"/>
      <c r="AE628" s="732"/>
      <c r="AF628" s="732"/>
      <c r="AG628" s="732"/>
      <c r="AH628" s="732"/>
      <c r="AI628" s="732"/>
      <c r="AJ628" s="732"/>
      <c r="AK628" s="732"/>
      <c r="AL628" s="732"/>
      <c r="AM628" s="732"/>
      <c r="AN628" s="732"/>
      <c r="AO628" s="732"/>
      <c r="AP628" s="732"/>
      <c r="AQ628" s="732"/>
      <c r="AR628" s="732"/>
      <c r="AS628" s="732"/>
      <c r="AT628" s="732"/>
      <c r="AU628" s="732"/>
      <c r="AV628" s="732"/>
      <c r="AW628" s="732"/>
      <c r="AX628" s="732"/>
      <c r="AY628" s="732"/>
      <c r="AZ628" s="732"/>
      <c r="BA628" s="732"/>
      <c r="BB628" s="732"/>
      <c r="BC628" s="732"/>
      <c r="BD628" s="732"/>
      <c r="BE628" s="732"/>
      <c r="BF628" s="732"/>
      <c r="BG628" s="732"/>
      <c r="BH628" s="732"/>
      <c r="BI628" s="732"/>
      <c r="BJ628" s="732"/>
      <c r="BK628" s="732"/>
      <c r="BL628" s="732"/>
      <c r="BM628" s="732"/>
      <c r="BN628" s="732"/>
      <c r="BO628" s="732"/>
      <c r="BP628" s="732"/>
      <c r="BQ628" s="732"/>
      <c r="BR628" s="732"/>
      <c r="BS628" s="732"/>
      <c r="BT628" s="732"/>
      <c r="BU628" s="732"/>
      <c r="BV628" s="732"/>
      <c r="BW628" s="732"/>
      <c r="BX628" s="732"/>
      <c r="BY628" s="732"/>
      <c r="BZ628" s="732"/>
      <c r="CA628" s="732"/>
    </row>
    <row r="629" spans="1:79" s="309" customFormat="1" hidden="1" outlineLevel="1" x14ac:dyDescent="0.35">
      <c r="A629" s="575"/>
      <c r="B629" s="575"/>
      <c r="C629" s="575"/>
      <c r="D629" s="575"/>
      <c r="E629" s="575"/>
      <c r="F629" s="677" t="s">
        <v>903</v>
      </c>
      <c r="G629" s="735"/>
      <c r="H629" s="735"/>
      <c r="I629" s="735"/>
      <c r="J629" s="735"/>
      <c r="K629" s="735"/>
      <c r="L629" s="735"/>
      <c r="M629" s="735"/>
      <c r="N629" s="735"/>
      <c r="O629" s="735"/>
      <c r="P629" s="732"/>
      <c r="Q629" s="732"/>
      <c r="R629" s="732"/>
      <c r="S629" s="687">
        <v>0</v>
      </c>
      <c r="T629" s="687">
        <v>0</v>
      </c>
      <c r="U629" s="687">
        <v>0</v>
      </c>
      <c r="V629" s="687">
        <v>0</v>
      </c>
      <c r="W629" s="687">
        <v>0</v>
      </c>
      <c r="X629" s="687">
        <v>0</v>
      </c>
      <c r="Y629" s="687">
        <v>0</v>
      </c>
      <c r="Z629" s="687">
        <v>0</v>
      </c>
      <c r="AA629" s="687">
        <v>0</v>
      </c>
      <c r="AB629" s="687">
        <v>0</v>
      </c>
      <c r="AC629" s="705">
        <v>1403.81</v>
      </c>
      <c r="AD629" s="705">
        <v>0</v>
      </c>
      <c r="AE629" s="732"/>
      <c r="AF629" s="732"/>
      <c r="AG629" s="732"/>
      <c r="AH629" s="732"/>
      <c r="AI629" s="732"/>
      <c r="AJ629" s="732"/>
      <c r="AK629" s="732"/>
      <c r="AL629" s="732"/>
      <c r="AM629" s="732"/>
      <c r="AN629" s="732"/>
      <c r="AO629" s="732"/>
      <c r="AP629" s="732"/>
      <c r="AQ629" s="732"/>
      <c r="AR629" s="732"/>
      <c r="AS629" s="732"/>
      <c r="AT629" s="732"/>
      <c r="AU629" s="732"/>
      <c r="AV629" s="732"/>
      <c r="AW629" s="732"/>
      <c r="AX629" s="732"/>
      <c r="AY629" s="732"/>
      <c r="AZ629" s="732"/>
      <c r="BA629" s="732"/>
      <c r="BB629" s="732"/>
      <c r="BC629" s="732"/>
      <c r="BD629" s="732"/>
      <c r="BE629" s="732"/>
      <c r="BF629" s="732"/>
      <c r="BG629" s="732"/>
      <c r="BH629" s="732"/>
      <c r="BI629" s="732"/>
      <c r="BJ629" s="732"/>
      <c r="BK629" s="732"/>
      <c r="BL629" s="732"/>
      <c r="BM629" s="732"/>
      <c r="BN629" s="732"/>
      <c r="BO629" s="732"/>
      <c r="BP629" s="732"/>
      <c r="BQ629" s="732"/>
      <c r="BR629" s="732"/>
      <c r="BS629" s="732"/>
      <c r="BT629" s="732"/>
      <c r="BU629" s="732"/>
      <c r="BV629" s="732"/>
      <c r="BW629" s="732"/>
      <c r="BX629" s="732"/>
      <c r="BY629" s="732"/>
      <c r="BZ629" s="732"/>
      <c r="CA629" s="732"/>
    </row>
    <row r="630" spans="1:79" s="309" customFormat="1" hidden="1" outlineLevel="1" x14ac:dyDescent="0.35">
      <c r="A630" s="575"/>
      <c r="B630" s="575"/>
      <c r="C630" s="575"/>
      <c r="D630" s="575"/>
      <c r="E630" s="575"/>
      <c r="F630" s="677" t="s">
        <v>904</v>
      </c>
      <c r="G630" s="735"/>
      <c r="H630" s="735"/>
      <c r="I630" s="735"/>
      <c r="J630" s="735"/>
      <c r="K630" s="735"/>
      <c r="L630" s="735"/>
      <c r="M630" s="735"/>
      <c r="N630" s="735"/>
      <c r="O630" s="735"/>
      <c r="P630" s="732"/>
      <c r="Q630" s="732"/>
      <c r="R630" s="732"/>
      <c r="S630" s="687">
        <v>0</v>
      </c>
      <c r="T630" s="687">
        <v>0</v>
      </c>
      <c r="U630" s="687">
        <v>0</v>
      </c>
      <c r="V630" s="687">
        <v>0</v>
      </c>
      <c r="W630" s="687">
        <v>0</v>
      </c>
      <c r="X630" s="687">
        <v>0</v>
      </c>
      <c r="Y630" s="687">
        <v>0</v>
      </c>
      <c r="Z630" s="687">
        <v>0</v>
      </c>
      <c r="AA630" s="687">
        <v>0</v>
      </c>
      <c r="AB630" s="687">
        <v>0</v>
      </c>
      <c r="AC630" s="705">
        <v>144.99</v>
      </c>
      <c r="AD630" s="705">
        <v>0</v>
      </c>
      <c r="AE630" s="732"/>
      <c r="AF630" s="732"/>
      <c r="AG630" s="732"/>
      <c r="AH630" s="732"/>
      <c r="AI630" s="732"/>
      <c r="AJ630" s="732"/>
      <c r="AK630" s="732"/>
      <c r="AL630" s="732"/>
      <c r="AM630" s="732"/>
      <c r="AN630" s="732"/>
      <c r="AO630" s="732"/>
      <c r="AP630" s="732"/>
      <c r="AQ630" s="732"/>
      <c r="AR630" s="732"/>
      <c r="AS630" s="732"/>
      <c r="AT630" s="732"/>
      <c r="AU630" s="732"/>
      <c r="AV630" s="732"/>
      <c r="AW630" s="732"/>
      <c r="AX630" s="732"/>
      <c r="AY630" s="732"/>
      <c r="AZ630" s="732"/>
      <c r="BA630" s="732"/>
      <c r="BB630" s="732"/>
      <c r="BC630" s="732"/>
      <c r="BD630" s="732"/>
      <c r="BE630" s="732"/>
      <c r="BF630" s="732"/>
      <c r="BG630" s="732"/>
      <c r="BH630" s="732"/>
      <c r="BI630" s="732"/>
      <c r="BJ630" s="732"/>
      <c r="BK630" s="732"/>
      <c r="BL630" s="732"/>
      <c r="BM630" s="732"/>
      <c r="BN630" s="732"/>
      <c r="BO630" s="732"/>
      <c r="BP630" s="732"/>
      <c r="BQ630" s="732"/>
      <c r="BR630" s="732"/>
      <c r="BS630" s="732"/>
      <c r="BT630" s="732"/>
      <c r="BU630" s="732"/>
      <c r="BV630" s="732"/>
      <c r="BW630" s="732"/>
      <c r="BX630" s="732"/>
      <c r="BY630" s="732"/>
      <c r="BZ630" s="732"/>
      <c r="CA630" s="732"/>
    </row>
    <row r="631" spans="1:79" s="309" customFormat="1" hidden="1" outlineLevel="1" x14ac:dyDescent="0.35">
      <c r="A631" s="575"/>
      <c r="B631" s="575"/>
      <c r="C631" s="575"/>
      <c r="D631" s="575"/>
      <c r="E631" s="575"/>
      <c r="F631" s="677" t="s">
        <v>905</v>
      </c>
      <c r="G631" s="735"/>
      <c r="H631" s="735"/>
      <c r="I631" s="735"/>
      <c r="J631" s="735"/>
      <c r="K631" s="735"/>
      <c r="L631" s="735"/>
      <c r="M631" s="735"/>
      <c r="N631" s="735"/>
      <c r="O631" s="735"/>
      <c r="P631" s="732"/>
      <c r="Q631" s="732"/>
      <c r="R631" s="732"/>
      <c r="S631" s="687">
        <v>0</v>
      </c>
      <c r="T631" s="687">
        <v>0</v>
      </c>
      <c r="U631" s="687">
        <v>0</v>
      </c>
      <c r="V631" s="687">
        <v>0</v>
      </c>
      <c r="W631" s="687">
        <v>0</v>
      </c>
      <c r="X631" s="687">
        <v>0</v>
      </c>
      <c r="Y631" s="687">
        <v>0</v>
      </c>
      <c r="Z631" s="687">
        <v>0</v>
      </c>
      <c r="AA631" s="687">
        <v>0</v>
      </c>
      <c r="AB631" s="687">
        <v>0</v>
      </c>
      <c r="AC631" s="705">
        <v>0</v>
      </c>
      <c r="AD631" s="705">
        <v>1461.53</v>
      </c>
      <c r="AE631" s="732"/>
      <c r="AF631" s="732"/>
      <c r="AG631" s="732"/>
      <c r="AH631" s="732"/>
      <c r="AI631" s="732"/>
      <c r="AJ631" s="732"/>
      <c r="AK631" s="732"/>
      <c r="AL631" s="732"/>
      <c r="AM631" s="732"/>
      <c r="AN631" s="732"/>
      <c r="AO631" s="732"/>
      <c r="AP631" s="732"/>
      <c r="AQ631" s="732"/>
      <c r="AR631" s="732"/>
      <c r="AS631" s="732"/>
      <c r="AT631" s="732"/>
      <c r="AU631" s="732"/>
      <c r="AV631" s="732"/>
      <c r="AW631" s="732"/>
      <c r="AX631" s="732"/>
      <c r="AY631" s="732"/>
      <c r="AZ631" s="732"/>
      <c r="BA631" s="732"/>
      <c r="BB631" s="732"/>
      <c r="BC631" s="732"/>
      <c r="BD631" s="732"/>
      <c r="BE631" s="732"/>
      <c r="BF631" s="732"/>
      <c r="BG631" s="732"/>
      <c r="BH631" s="732"/>
      <c r="BI631" s="732"/>
      <c r="BJ631" s="732"/>
      <c r="BK631" s="732"/>
      <c r="BL631" s="732"/>
      <c r="BM631" s="732"/>
      <c r="BN631" s="732"/>
      <c r="BO631" s="732"/>
      <c r="BP631" s="732"/>
      <c r="BQ631" s="732"/>
      <c r="BR631" s="732"/>
      <c r="BS631" s="732"/>
      <c r="BT631" s="732"/>
      <c r="BU631" s="732"/>
      <c r="BV631" s="732"/>
      <c r="BW631" s="732"/>
      <c r="BX631" s="732"/>
      <c r="BY631" s="732"/>
      <c r="BZ631" s="732"/>
      <c r="CA631" s="732"/>
    </row>
    <row r="632" spans="1:79" s="309" customFormat="1" hidden="1" outlineLevel="1" x14ac:dyDescent="0.35">
      <c r="A632" s="575"/>
      <c r="B632" s="575"/>
      <c r="C632" s="575"/>
      <c r="D632" s="575"/>
      <c r="E632" s="575"/>
      <c r="F632" s="677" t="s">
        <v>906</v>
      </c>
      <c r="G632" s="735"/>
      <c r="H632" s="735"/>
      <c r="I632" s="735"/>
      <c r="J632" s="735"/>
      <c r="K632" s="735"/>
      <c r="L632" s="735"/>
      <c r="M632" s="735"/>
      <c r="N632" s="735"/>
      <c r="O632" s="735"/>
      <c r="P632" s="732"/>
      <c r="Q632" s="732"/>
      <c r="R632" s="732"/>
      <c r="S632" s="687">
        <v>0</v>
      </c>
      <c r="T632" s="687">
        <v>0</v>
      </c>
      <c r="U632" s="687">
        <v>0</v>
      </c>
      <c r="V632" s="687">
        <v>0</v>
      </c>
      <c r="W632" s="687">
        <v>0</v>
      </c>
      <c r="X632" s="687">
        <v>0</v>
      </c>
      <c r="Y632" s="687">
        <v>0</v>
      </c>
      <c r="Z632" s="687">
        <v>0</v>
      </c>
      <c r="AA632" s="687">
        <v>0</v>
      </c>
      <c r="AB632" s="687">
        <v>0</v>
      </c>
      <c r="AC632" s="705">
        <v>0</v>
      </c>
      <c r="AD632" s="705">
        <v>0</v>
      </c>
      <c r="AE632" s="732"/>
      <c r="AF632" s="732"/>
      <c r="AG632" s="732"/>
      <c r="AH632" s="732"/>
      <c r="AI632" s="732"/>
      <c r="AJ632" s="732"/>
      <c r="AK632" s="732"/>
      <c r="AL632" s="732"/>
      <c r="AM632" s="732"/>
      <c r="AN632" s="732"/>
      <c r="AO632" s="732"/>
      <c r="AP632" s="732"/>
      <c r="AQ632" s="732"/>
      <c r="AR632" s="732"/>
      <c r="AS632" s="732"/>
      <c r="AT632" s="732"/>
      <c r="AU632" s="732"/>
      <c r="AV632" s="732"/>
      <c r="AW632" s="732"/>
      <c r="AX632" s="732"/>
      <c r="AY632" s="732"/>
      <c r="AZ632" s="732"/>
      <c r="BA632" s="732"/>
      <c r="BB632" s="732"/>
      <c r="BC632" s="732"/>
      <c r="BD632" s="732"/>
      <c r="BE632" s="732"/>
      <c r="BF632" s="732"/>
      <c r="BG632" s="732"/>
      <c r="BH632" s="732"/>
      <c r="BI632" s="732"/>
      <c r="BJ632" s="732"/>
      <c r="BK632" s="732"/>
      <c r="BL632" s="732"/>
      <c r="BM632" s="732"/>
      <c r="BN632" s="732"/>
      <c r="BO632" s="732"/>
      <c r="BP632" s="732"/>
      <c r="BQ632" s="732"/>
      <c r="BR632" s="732"/>
      <c r="BS632" s="732"/>
      <c r="BT632" s="732"/>
      <c r="BU632" s="732"/>
      <c r="BV632" s="732"/>
      <c r="BW632" s="732"/>
      <c r="BX632" s="732"/>
      <c r="BY632" s="732"/>
      <c r="BZ632" s="732"/>
      <c r="CA632" s="732"/>
    </row>
    <row r="633" spans="1:79" s="309" customFormat="1" hidden="1" outlineLevel="1" x14ac:dyDescent="0.35">
      <c r="A633" s="575"/>
      <c r="B633" s="575"/>
      <c r="C633" s="575"/>
      <c r="D633" s="575"/>
      <c r="E633" s="575"/>
      <c r="F633" s="677" t="s">
        <v>907</v>
      </c>
      <c r="G633" s="735"/>
      <c r="H633" s="735"/>
      <c r="I633" s="735"/>
      <c r="J633" s="735"/>
      <c r="K633" s="735"/>
      <c r="L633" s="735"/>
      <c r="M633" s="735"/>
      <c r="N633" s="735"/>
      <c r="O633" s="735"/>
      <c r="P633" s="732"/>
      <c r="Q633" s="732"/>
      <c r="R633" s="732"/>
      <c r="S633" s="687">
        <v>0</v>
      </c>
      <c r="T633" s="687">
        <v>0</v>
      </c>
      <c r="U633" s="687">
        <v>0</v>
      </c>
      <c r="V633" s="687">
        <v>0</v>
      </c>
      <c r="W633" s="687">
        <v>0</v>
      </c>
      <c r="X633" s="687">
        <v>0</v>
      </c>
      <c r="Y633" s="687">
        <v>0</v>
      </c>
      <c r="Z633" s="687">
        <v>0</v>
      </c>
      <c r="AA633" s="687">
        <v>0</v>
      </c>
      <c r="AB633" s="687">
        <v>0</v>
      </c>
      <c r="AC633" s="705">
        <v>0</v>
      </c>
      <c r="AD633" s="705">
        <v>0</v>
      </c>
      <c r="AE633" s="732"/>
      <c r="AF633" s="732"/>
      <c r="AG633" s="732"/>
      <c r="AH633" s="732"/>
      <c r="AI633" s="732"/>
      <c r="AJ633" s="732"/>
      <c r="AK633" s="732"/>
      <c r="AL633" s="732"/>
      <c r="AM633" s="732"/>
      <c r="AN633" s="732"/>
      <c r="AO633" s="732"/>
      <c r="AP633" s="732"/>
      <c r="AQ633" s="732"/>
      <c r="AR633" s="732"/>
      <c r="AS633" s="732"/>
      <c r="AT633" s="732"/>
      <c r="AU633" s="732"/>
      <c r="AV633" s="732"/>
      <c r="AW633" s="732"/>
      <c r="AX633" s="732"/>
      <c r="AY633" s="732"/>
      <c r="AZ633" s="732"/>
      <c r="BA633" s="732"/>
      <c r="BB633" s="732"/>
      <c r="BC633" s="732"/>
      <c r="BD633" s="732"/>
      <c r="BE633" s="732"/>
      <c r="BF633" s="732"/>
      <c r="BG633" s="732"/>
      <c r="BH633" s="732"/>
      <c r="BI633" s="732"/>
      <c r="BJ633" s="732"/>
      <c r="BK633" s="732"/>
      <c r="BL633" s="732"/>
      <c r="BM633" s="732"/>
      <c r="BN633" s="732"/>
      <c r="BO633" s="732"/>
      <c r="BP633" s="732"/>
      <c r="BQ633" s="732"/>
      <c r="BR633" s="732"/>
      <c r="BS633" s="732"/>
      <c r="BT633" s="732"/>
      <c r="BU633" s="732"/>
      <c r="BV633" s="732"/>
      <c r="BW633" s="732"/>
      <c r="BX633" s="732"/>
      <c r="BY633" s="732"/>
      <c r="BZ633" s="732"/>
      <c r="CA633" s="732"/>
    </row>
    <row r="634" spans="1:79" s="309" customFormat="1" hidden="1" outlineLevel="1" x14ac:dyDescent="0.35">
      <c r="A634" s="575"/>
      <c r="B634" s="575"/>
      <c r="C634" s="575"/>
      <c r="D634" s="575"/>
      <c r="E634" s="575"/>
      <c r="F634" s="673" t="s">
        <v>908</v>
      </c>
      <c r="G634" s="680">
        <f t="shared" ref="G634:R634" si="253">SUM(G628:G633)</f>
        <v>0</v>
      </c>
      <c r="H634" s="680">
        <f t="shared" si="253"/>
        <v>0</v>
      </c>
      <c r="I634" s="680">
        <f t="shared" si="253"/>
        <v>0</v>
      </c>
      <c r="J634" s="680">
        <f t="shared" si="253"/>
        <v>0</v>
      </c>
      <c r="K634" s="680">
        <f t="shared" si="253"/>
        <v>0</v>
      </c>
      <c r="L634" s="680">
        <f t="shared" si="253"/>
        <v>0</v>
      </c>
      <c r="M634" s="680">
        <f t="shared" si="253"/>
        <v>0</v>
      </c>
      <c r="N634" s="680">
        <f t="shared" si="253"/>
        <v>0</v>
      </c>
      <c r="O634" s="680">
        <f t="shared" si="253"/>
        <v>0</v>
      </c>
      <c r="P634" s="680">
        <f t="shared" si="253"/>
        <v>0</v>
      </c>
      <c r="Q634" s="680">
        <f t="shared" si="253"/>
        <v>0</v>
      </c>
      <c r="R634" s="680">
        <f t="shared" si="253"/>
        <v>0</v>
      </c>
      <c r="S634" s="695">
        <f t="shared" ref="S634:AB634" si="254">ROUND(SUM(S628:S633),5)</f>
        <v>0</v>
      </c>
      <c r="T634" s="695">
        <f t="shared" si="254"/>
        <v>0</v>
      </c>
      <c r="U634" s="695">
        <f t="shared" si="254"/>
        <v>0</v>
      </c>
      <c r="V634" s="695">
        <f t="shared" si="254"/>
        <v>0</v>
      </c>
      <c r="W634" s="695">
        <f t="shared" si="254"/>
        <v>0</v>
      </c>
      <c r="X634" s="695">
        <f t="shared" si="254"/>
        <v>0</v>
      </c>
      <c r="Y634" s="695">
        <f t="shared" si="254"/>
        <v>0</v>
      </c>
      <c r="Z634" s="695">
        <f t="shared" si="254"/>
        <v>0</v>
      </c>
      <c r="AA634" s="695">
        <f t="shared" si="254"/>
        <v>0</v>
      </c>
      <c r="AB634" s="695">
        <f t="shared" si="254"/>
        <v>0</v>
      </c>
      <c r="AC634" s="695">
        <f>ROUND(SUM(AC628:AC633),5)</f>
        <v>1548.8</v>
      </c>
      <c r="AD634" s="695">
        <f>ROUND(SUM(AD628:AD633),5)</f>
        <v>1461.53</v>
      </c>
      <c r="AE634" s="680">
        <f t="shared" ref="AE634:BJ634" si="255">SUM(AE628:AE633)</f>
        <v>0</v>
      </c>
      <c r="AF634" s="680">
        <f t="shared" si="255"/>
        <v>0</v>
      </c>
      <c r="AG634" s="680">
        <f t="shared" si="255"/>
        <v>0</v>
      </c>
      <c r="AH634" s="680">
        <f t="shared" si="255"/>
        <v>0</v>
      </c>
      <c r="AI634" s="680">
        <f t="shared" si="255"/>
        <v>0</v>
      </c>
      <c r="AJ634" s="680">
        <f t="shared" si="255"/>
        <v>0</v>
      </c>
      <c r="AK634" s="680">
        <f t="shared" si="255"/>
        <v>0</v>
      </c>
      <c r="AL634" s="680">
        <f t="shared" si="255"/>
        <v>0</v>
      </c>
      <c r="AM634" s="680">
        <f t="shared" si="255"/>
        <v>0</v>
      </c>
      <c r="AN634" s="680">
        <f t="shared" si="255"/>
        <v>0</v>
      </c>
      <c r="AO634" s="680">
        <f t="shared" si="255"/>
        <v>0</v>
      </c>
      <c r="AP634" s="680">
        <f t="shared" si="255"/>
        <v>0</v>
      </c>
      <c r="AQ634" s="680">
        <f t="shared" si="255"/>
        <v>0</v>
      </c>
      <c r="AR634" s="680">
        <f t="shared" si="255"/>
        <v>0</v>
      </c>
      <c r="AS634" s="680">
        <f t="shared" si="255"/>
        <v>0</v>
      </c>
      <c r="AT634" s="680">
        <f t="shared" si="255"/>
        <v>0</v>
      </c>
      <c r="AU634" s="680">
        <f t="shared" si="255"/>
        <v>0</v>
      </c>
      <c r="AV634" s="680">
        <f t="shared" si="255"/>
        <v>0</v>
      </c>
      <c r="AW634" s="680">
        <f t="shared" si="255"/>
        <v>0</v>
      </c>
      <c r="AX634" s="680">
        <f t="shared" si="255"/>
        <v>0</v>
      </c>
      <c r="AY634" s="680">
        <f t="shared" si="255"/>
        <v>0</v>
      </c>
      <c r="AZ634" s="680">
        <f t="shared" si="255"/>
        <v>0</v>
      </c>
      <c r="BA634" s="680">
        <f t="shared" si="255"/>
        <v>0</v>
      </c>
      <c r="BB634" s="680">
        <f t="shared" si="255"/>
        <v>0</v>
      </c>
      <c r="BC634" s="680">
        <f t="shared" si="255"/>
        <v>0</v>
      </c>
      <c r="BD634" s="680">
        <f t="shared" si="255"/>
        <v>0</v>
      </c>
      <c r="BE634" s="680">
        <f t="shared" si="255"/>
        <v>0</v>
      </c>
      <c r="BF634" s="680">
        <f t="shared" si="255"/>
        <v>0</v>
      </c>
      <c r="BG634" s="680">
        <f t="shared" si="255"/>
        <v>0</v>
      </c>
      <c r="BH634" s="680">
        <f t="shared" si="255"/>
        <v>0</v>
      </c>
      <c r="BI634" s="680">
        <f t="shared" si="255"/>
        <v>0</v>
      </c>
      <c r="BJ634" s="680">
        <f t="shared" si="255"/>
        <v>0</v>
      </c>
      <c r="BK634" s="680">
        <f t="shared" ref="BK634:CA634" si="256">SUM(BK628:BK633)</f>
        <v>0</v>
      </c>
      <c r="BL634" s="680">
        <f t="shared" si="256"/>
        <v>0</v>
      </c>
      <c r="BM634" s="680">
        <f t="shared" si="256"/>
        <v>0</v>
      </c>
      <c r="BN634" s="680">
        <f t="shared" si="256"/>
        <v>0</v>
      </c>
      <c r="BO634" s="680">
        <f t="shared" si="256"/>
        <v>0</v>
      </c>
      <c r="BP634" s="680">
        <f t="shared" si="256"/>
        <v>0</v>
      </c>
      <c r="BQ634" s="680">
        <f t="shared" si="256"/>
        <v>0</v>
      </c>
      <c r="BR634" s="680">
        <f t="shared" si="256"/>
        <v>0</v>
      </c>
      <c r="BS634" s="680">
        <f t="shared" si="256"/>
        <v>0</v>
      </c>
      <c r="BT634" s="680">
        <f t="shared" si="256"/>
        <v>0</v>
      </c>
      <c r="BU634" s="680">
        <f t="shared" si="256"/>
        <v>0</v>
      </c>
      <c r="BV634" s="680">
        <f t="shared" si="256"/>
        <v>0</v>
      </c>
      <c r="BW634" s="680">
        <f t="shared" si="256"/>
        <v>0</v>
      </c>
      <c r="BX634" s="680">
        <f t="shared" si="256"/>
        <v>0</v>
      </c>
      <c r="BY634" s="680">
        <f t="shared" si="256"/>
        <v>0</v>
      </c>
      <c r="BZ634" s="680">
        <f t="shared" si="256"/>
        <v>0</v>
      </c>
      <c r="CA634" s="680">
        <f t="shared" si="256"/>
        <v>0</v>
      </c>
    </row>
    <row r="635" spans="1:79" s="716" customFormat="1" hidden="1" outlineLevel="1" x14ac:dyDescent="0.35">
      <c r="F635" s="717" t="s">
        <v>630</v>
      </c>
      <c r="G635" s="750"/>
      <c r="H635" s="750"/>
      <c r="I635" s="750"/>
      <c r="J635" s="750"/>
      <c r="K635" s="750"/>
      <c r="L635" s="750"/>
      <c r="M635" s="750"/>
      <c r="N635" s="750"/>
      <c r="O635" s="750"/>
      <c r="P635" s="751"/>
      <c r="Q635" s="751"/>
      <c r="R635" s="751"/>
      <c r="S635" s="713"/>
      <c r="T635" s="713"/>
      <c r="U635" s="713"/>
      <c r="V635" s="713"/>
      <c r="W635" s="713"/>
      <c r="X635" s="713"/>
      <c r="Y635" s="713"/>
      <c r="Z635" s="713"/>
      <c r="AA635" s="713"/>
      <c r="AB635" s="713"/>
      <c r="AC635" s="728"/>
      <c r="AD635" s="728"/>
      <c r="AE635" s="751"/>
      <c r="AF635" s="751"/>
      <c r="AG635" s="751"/>
      <c r="AH635" s="751"/>
      <c r="AI635" s="751"/>
      <c r="AJ635" s="751"/>
      <c r="AK635" s="751"/>
      <c r="AL635" s="751"/>
      <c r="AM635" s="751"/>
      <c r="AN635" s="751"/>
      <c r="AO635" s="751"/>
      <c r="AP635" s="751"/>
      <c r="AQ635" s="751"/>
      <c r="AR635" s="751"/>
      <c r="AS635" s="751"/>
      <c r="AT635" s="751"/>
      <c r="AU635" s="751"/>
      <c r="AV635" s="751"/>
      <c r="AW635" s="751"/>
      <c r="AX635" s="751"/>
      <c r="AY635" s="751"/>
      <c r="AZ635" s="751"/>
      <c r="BA635" s="751"/>
      <c r="BB635" s="751"/>
      <c r="BC635" s="751"/>
      <c r="BD635" s="751"/>
      <c r="BE635" s="751"/>
      <c r="BF635" s="751"/>
      <c r="BG635" s="751"/>
      <c r="BH635" s="751"/>
      <c r="BI635" s="751"/>
      <c r="BJ635" s="751"/>
      <c r="BK635" s="751"/>
      <c r="BL635" s="751"/>
      <c r="BM635" s="751"/>
      <c r="BN635" s="751"/>
      <c r="BO635" s="751"/>
      <c r="BP635" s="751"/>
      <c r="BQ635" s="751"/>
      <c r="BR635" s="751"/>
      <c r="BS635" s="751"/>
      <c r="BT635" s="751"/>
      <c r="BU635" s="751"/>
      <c r="BV635" s="751"/>
      <c r="BW635" s="751"/>
      <c r="BX635" s="751"/>
      <c r="BY635" s="751"/>
      <c r="BZ635" s="751"/>
      <c r="CA635" s="751"/>
    </row>
    <row r="636" spans="1:79" s="452" customFormat="1" hidden="1" outlineLevel="1" x14ac:dyDescent="0.35">
      <c r="A636" s="80"/>
      <c r="B636" s="80"/>
      <c r="C636" s="80"/>
      <c r="D636" s="80"/>
      <c r="E636" s="80"/>
      <c r="F636" s="677" t="s">
        <v>631</v>
      </c>
      <c r="G636" s="735"/>
      <c r="H636" s="735"/>
      <c r="I636" s="735"/>
      <c r="J636" s="735"/>
      <c r="K636" s="735"/>
      <c r="L636" s="735"/>
      <c r="M636" s="735"/>
      <c r="N636" s="735"/>
      <c r="O636" s="735"/>
      <c r="P636" s="732"/>
      <c r="Q636" s="732"/>
      <c r="R636" s="732"/>
      <c r="S636" s="683">
        <v>5.64</v>
      </c>
      <c r="T636" s="683">
        <v>0</v>
      </c>
      <c r="U636" s="683">
        <v>0</v>
      </c>
      <c r="V636" s="683">
        <v>2.64</v>
      </c>
      <c r="W636" s="683">
        <v>4.2300000000000004</v>
      </c>
      <c r="X636" s="683">
        <v>0.13</v>
      </c>
      <c r="Y636" s="683">
        <v>0</v>
      </c>
      <c r="Z636" s="683">
        <v>0</v>
      </c>
      <c r="AA636" s="683">
        <v>0</v>
      </c>
      <c r="AB636" s="683">
        <v>0</v>
      </c>
      <c r="AC636" s="702">
        <v>0</v>
      </c>
      <c r="AD636" s="702">
        <v>0</v>
      </c>
      <c r="AE636" s="732"/>
      <c r="AF636" s="732"/>
      <c r="AG636" s="732"/>
      <c r="AH636" s="732"/>
      <c r="AI636" s="732"/>
      <c r="AJ636" s="732"/>
      <c r="AK636" s="732"/>
      <c r="AL636" s="732"/>
      <c r="AM636" s="732"/>
      <c r="AN636" s="732"/>
      <c r="AO636" s="732"/>
      <c r="AP636" s="732"/>
      <c r="AQ636" s="732"/>
      <c r="AR636" s="732"/>
      <c r="AS636" s="732"/>
      <c r="AT636" s="732"/>
      <c r="AU636" s="732"/>
      <c r="AV636" s="732"/>
      <c r="AW636" s="732"/>
      <c r="AX636" s="732"/>
      <c r="AY636" s="732"/>
      <c r="AZ636" s="732"/>
      <c r="BA636" s="732"/>
      <c r="BB636" s="732"/>
      <c r="BC636" s="732"/>
      <c r="BD636" s="732"/>
      <c r="BE636" s="732"/>
      <c r="BF636" s="732"/>
      <c r="BG636" s="732"/>
      <c r="BH636" s="732"/>
      <c r="BI636" s="732"/>
      <c r="BJ636" s="732"/>
      <c r="BK636" s="732"/>
      <c r="BL636" s="732"/>
      <c r="BM636" s="732"/>
      <c r="BN636" s="732"/>
      <c r="BO636" s="732"/>
      <c r="BP636" s="732"/>
      <c r="BQ636" s="732"/>
      <c r="BR636" s="732"/>
      <c r="BS636" s="732"/>
      <c r="BT636" s="732"/>
      <c r="BU636" s="732"/>
      <c r="BV636" s="732"/>
      <c r="BW636" s="732"/>
      <c r="BX636" s="732"/>
      <c r="BY636" s="732"/>
      <c r="BZ636" s="732"/>
      <c r="CA636" s="732"/>
    </row>
    <row r="637" spans="1:79" s="452" customFormat="1" hidden="1" outlineLevel="1" x14ac:dyDescent="0.35">
      <c r="A637" s="80"/>
      <c r="B637" s="80"/>
      <c r="C637" s="80"/>
      <c r="D637" s="80"/>
      <c r="E637" s="80"/>
      <c r="F637" s="677" t="s">
        <v>632</v>
      </c>
      <c r="G637" s="735"/>
      <c r="H637" s="735"/>
      <c r="I637" s="735"/>
      <c r="J637" s="735"/>
      <c r="K637" s="735"/>
      <c r="L637" s="735"/>
      <c r="M637" s="735"/>
      <c r="N637" s="735"/>
      <c r="O637" s="735"/>
      <c r="P637" s="732"/>
      <c r="Q637" s="732"/>
      <c r="R637" s="732"/>
      <c r="S637" s="683">
        <v>33.840000000000003</v>
      </c>
      <c r="T637" s="683">
        <v>0</v>
      </c>
      <c r="U637" s="683">
        <v>0</v>
      </c>
      <c r="V637" s="683">
        <v>15.82</v>
      </c>
      <c r="W637" s="683">
        <v>25.44</v>
      </c>
      <c r="X637" s="683">
        <v>0.75</v>
      </c>
      <c r="Y637" s="683">
        <v>0</v>
      </c>
      <c r="Z637" s="683">
        <v>33.42</v>
      </c>
      <c r="AA637" s="683">
        <v>8.58</v>
      </c>
      <c r="AB637" s="683">
        <v>0</v>
      </c>
      <c r="AC637" s="702">
        <v>0</v>
      </c>
      <c r="AD637" s="702">
        <v>0</v>
      </c>
      <c r="AE637" s="732"/>
      <c r="AF637" s="732"/>
      <c r="AG637" s="732"/>
      <c r="AH637" s="732"/>
      <c r="AI637" s="732"/>
      <c r="AJ637" s="732"/>
      <c r="AK637" s="732"/>
      <c r="AL637" s="732"/>
      <c r="AM637" s="732"/>
      <c r="AN637" s="732"/>
      <c r="AO637" s="732"/>
      <c r="AP637" s="732"/>
      <c r="AQ637" s="732"/>
      <c r="AR637" s="732"/>
      <c r="AS637" s="732"/>
      <c r="AT637" s="732"/>
      <c r="AU637" s="732"/>
      <c r="AV637" s="732"/>
      <c r="AW637" s="732"/>
      <c r="AX637" s="732"/>
      <c r="AY637" s="732"/>
      <c r="AZ637" s="732"/>
      <c r="BA637" s="732"/>
      <c r="BB637" s="732"/>
      <c r="BC637" s="732"/>
      <c r="BD637" s="732"/>
      <c r="BE637" s="732"/>
      <c r="BF637" s="732"/>
      <c r="BG637" s="732"/>
      <c r="BH637" s="732"/>
      <c r="BI637" s="732"/>
      <c r="BJ637" s="732"/>
      <c r="BK637" s="732"/>
      <c r="BL637" s="732"/>
      <c r="BM637" s="732"/>
      <c r="BN637" s="732"/>
      <c r="BO637" s="732"/>
      <c r="BP637" s="732"/>
      <c r="BQ637" s="732"/>
      <c r="BR637" s="732"/>
      <c r="BS637" s="732"/>
      <c r="BT637" s="732"/>
      <c r="BU637" s="732"/>
      <c r="BV637" s="732"/>
      <c r="BW637" s="732"/>
      <c r="BX637" s="732"/>
      <c r="BY637" s="732"/>
      <c r="BZ637" s="732"/>
      <c r="CA637" s="732"/>
    </row>
    <row r="638" spans="1:79" s="452" customFormat="1" hidden="1" outlineLevel="1" x14ac:dyDescent="0.35">
      <c r="A638" s="80"/>
      <c r="B638" s="80"/>
      <c r="C638" s="80"/>
      <c r="D638" s="80"/>
      <c r="E638" s="80"/>
      <c r="F638" s="677" t="s">
        <v>633</v>
      </c>
      <c r="G638" s="735"/>
      <c r="H638" s="735"/>
      <c r="I638" s="735"/>
      <c r="J638" s="735"/>
      <c r="K638" s="735"/>
      <c r="L638" s="735"/>
      <c r="M638" s="735"/>
      <c r="N638" s="735"/>
      <c r="O638" s="735"/>
      <c r="P638" s="732"/>
      <c r="Q638" s="732"/>
      <c r="R638" s="732"/>
      <c r="S638" s="683">
        <v>370.25</v>
      </c>
      <c r="T638" s="683">
        <v>345.6</v>
      </c>
      <c r="U638" s="683">
        <v>347.2</v>
      </c>
      <c r="V638" s="683">
        <v>357.71</v>
      </c>
      <c r="W638" s="683">
        <v>491.48</v>
      </c>
      <c r="X638" s="683">
        <v>471.33</v>
      </c>
      <c r="Y638" s="683">
        <v>502.57</v>
      </c>
      <c r="Z638" s="683">
        <v>587.53</v>
      </c>
      <c r="AA638" s="683">
        <v>623.71</v>
      </c>
      <c r="AB638" s="683">
        <v>659.6</v>
      </c>
      <c r="AC638" s="702">
        <v>619.42999999999995</v>
      </c>
      <c r="AD638" s="702">
        <v>-2452.5300000000002</v>
      </c>
      <c r="AE638" s="732"/>
      <c r="AF638" s="732"/>
      <c r="AG638" s="732"/>
      <c r="AH638" s="732"/>
      <c r="AI638" s="732"/>
      <c r="AJ638" s="732"/>
      <c r="AK638" s="732"/>
      <c r="AL638" s="732"/>
      <c r="AM638" s="732"/>
      <c r="AN638" s="732"/>
      <c r="AO638" s="732"/>
      <c r="AP638" s="732"/>
      <c r="AQ638" s="732"/>
      <c r="AR638" s="732"/>
      <c r="AS638" s="732"/>
      <c r="AT638" s="732"/>
      <c r="AU638" s="732"/>
      <c r="AV638" s="732"/>
      <c r="AW638" s="732"/>
      <c r="AX638" s="732"/>
      <c r="AY638" s="732"/>
      <c r="AZ638" s="732"/>
      <c r="BA638" s="732"/>
      <c r="BB638" s="732"/>
      <c r="BC638" s="732"/>
      <c r="BD638" s="732"/>
      <c r="BE638" s="732"/>
      <c r="BF638" s="732"/>
      <c r="BG638" s="732"/>
      <c r="BH638" s="732"/>
      <c r="BI638" s="732"/>
      <c r="BJ638" s="732"/>
      <c r="BK638" s="732"/>
      <c r="BL638" s="732"/>
      <c r="BM638" s="732"/>
      <c r="BN638" s="732"/>
      <c r="BO638" s="732"/>
      <c r="BP638" s="732"/>
      <c r="BQ638" s="732"/>
      <c r="BR638" s="732"/>
      <c r="BS638" s="732"/>
      <c r="BT638" s="732"/>
      <c r="BU638" s="732"/>
      <c r="BV638" s="732"/>
      <c r="BW638" s="732"/>
      <c r="BX638" s="732"/>
      <c r="BY638" s="732"/>
      <c r="BZ638" s="732"/>
      <c r="CA638" s="732"/>
    </row>
    <row r="639" spans="1:79" s="452" customFormat="1" hidden="1" outlineLevel="1" x14ac:dyDescent="0.35">
      <c r="A639" s="80"/>
      <c r="B639" s="80"/>
      <c r="C639" s="80"/>
      <c r="D639" s="80"/>
      <c r="E639" s="80"/>
      <c r="F639" s="677" t="s">
        <v>634</v>
      </c>
      <c r="G639" s="732"/>
      <c r="H639" s="732"/>
      <c r="I639" s="732"/>
      <c r="J639" s="732"/>
      <c r="K639" s="732"/>
      <c r="L639" s="732"/>
      <c r="M639" s="732"/>
      <c r="N639" s="732"/>
      <c r="O639" s="732"/>
      <c r="P639" s="732"/>
      <c r="Q639" s="732"/>
      <c r="R639" s="732"/>
      <c r="S639" s="683">
        <v>349.68</v>
      </c>
      <c r="T639" s="683">
        <v>244.28</v>
      </c>
      <c r="U639" s="683">
        <v>251.11</v>
      </c>
      <c r="V639" s="683">
        <v>296.07</v>
      </c>
      <c r="W639" s="683">
        <v>868.07</v>
      </c>
      <c r="X639" s="683">
        <v>781.94</v>
      </c>
      <c r="Y639" s="683">
        <v>915.5</v>
      </c>
      <c r="Z639" s="683">
        <v>1278.78</v>
      </c>
      <c r="AA639" s="683">
        <v>1433.52</v>
      </c>
      <c r="AB639" s="683">
        <v>1586.99</v>
      </c>
      <c r="AC639" s="702">
        <v>1415.21</v>
      </c>
      <c r="AD639" s="702">
        <v>2906.88</v>
      </c>
      <c r="AE639" s="732"/>
      <c r="AF639" s="732"/>
      <c r="AG639" s="732"/>
      <c r="AH639" s="732"/>
      <c r="AI639" s="732"/>
      <c r="AJ639" s="732"/>
      <c r="AK639" s="732"/>
      <c r="AL639" s="732"/>
      <c r="AM639" s="732"/>
      <c r="AN639" s="732"/>
      <c r="AO639" s="732"/>
      <c r="AP639" s="732"/>
      <c r="AQ639" s="732"/>
      <c r="AR639" s="732"/>
      <c r="AS639" s="732"/>
      <c r="AT639" s="732"/>
      <c r="AU639" s="732"/>
      <c r="AV639" s="732"/>
      <c r="AW639" s="732"/>
      <c r="AX639" s="732"/>
      <c r="AY639" s="732"/>
      <c r="AZ639" s="732"/>
      <c r="BA639" s="732"/>
      <c r="BB639" s="732"/>
      <c r="BC639" s="732"/>
      <c r="BD639" s="732"/>
      <c r="BE639" s="732"/>
      <c r="BF639" s="732"/>
      <c r="BG639" s="732"/>
      <c r="BH639" s="732"/>
      <c r="BI639" s="732"/>
      <c r="BJ639" s="732"/>
      <c r="BK639" s="732"/>
      <c r="BL639" s="732"/>
      <c r="BM639" s="732"/>
      <c r="BN639" s="732"/>
      <c r="BO639" s="732"/>
      <c r="BP639" s="732"/>
      <c r="BQ639" s="732"/>
      <c r="BR639" s="732"/>
      <c r="BS639" s="732"/>
      <c r="BT639" s="732"/>
      <c r="BU639" s="732"/>
      <c r="BV639" s="732"/>
      <c r="BW639" s="732"/>
      <c r="BX639" s="732"/>
      <c r="BY639" s="732"/>
      <c r="BZ639" s="732"/>
      <c r="CA639" s="732"/>
    </row>
    <row r="640" spans="1:79" s="452" customFormat="1" hidden="1" outlineLevel="1" x14ac:dyDescent="0.35">
      <c r="A640" s="580"/>
      <c r="B640" s="580"/>
      <c r="C640" s="580"/>
      <c r="D640" s="580"/>
      <c r="E640" s="580"/>
      <c r="F640" s="677" t="s">
        <v>635</v>
      </c>
      <c r="G640" s="732"/>
      <c r="H640" s="732"/>
      <c r="I640" s="732"/>
      <c r="J640" s="732"/>
      <c r="K640" s="732"/>
      <c r="L640" s="732"/>
      <c r="M640" s="732"/>
      <c r="N640" s="732"/>
      <c r="O640" s="732"/>
      <c r="P640" s="732"/>
      <c r="Q640" s="732"/>
      <c r="R640" s="732"/>
      <c r="S640" s="683">
        <v>0</v>
      </c>
      <c r="T640" s="683">
        <v>0</v>
      </c>
      <c r="U640" s="683">
        <v>0</v>
      </c>
      <c r="V640" s="683">
        <v>0</v>
      </c>
      <c r="W640" s="683">
        <v>0</v>
      </c>
      <c r="X640" s="683">
        <v>0</v>
      </c>
      <c r="Y640" s="683">
        <v>0</v>
      </c>
      <c r="Z640" s="683">
        <v>31.97</v>
      </c>
      <c r="AA640" s="683">
        <v>47.66</v>
      </c>
      <c r="AB640" s="683">
        <v>50.88</v>
      </c>
      <c r="AC640" s="702">
        <v>24.02</v>
      </c>
      <c r="AD640" s="702">
        <v>0</v>
      </c>
      <c r="AE640" s="732"/>
      <c r="AF640" s="732"/>
      <c r="AG640" s="732"/>
      <c r="AH640" s="732"/>
      <c r="AI640" s="732"/>
      <c r="AJ640" s="732"/>
      <c r="AK640" s="732"/>
      <c r="AL640" s="732"/>
      <c r="AM640" s="732"/>
      <c r="AN640" s="732"/>
      <c r="AO640" s="732"/>
      <c r="AP640" s="732"/>
      <c r="AQ640" s="732"/>
      <c r="AR640" s="732"/>
      <c r="AS640" s="732"/>
      <c r="AT640" s="732"/>
      <c r="AU640" s="732"/>
      <c r="AV640" s="732"/>
      <c r="AW640" s="732"/>
      <c r="AX640" s="732"/>
      <c r="AY640" s="732"/>
      <c r="AZ640" s="732"/>
      <c r="BA640" s="732"/>
      <c r="BB640" s="732"/>
      <c r="BC640" s="732"/>
      <c r="BD640" s="732"/>
      <c r="BE640" s="732"/>
      <c r="BF640" s="732"/>
      <c r="BG640" s="732"/>
      <c r="BH640" s="732"/>
      <c r="BI640" s="732"/>
      <c r="BJ640" s="732"/>
      <c r="BK640" s="732"/>
      <c r="BL640" s="732"/>
      <c r="BM640" s="732"/>
      <c r="BN640" s="732"/>
      <c r="BO640" s="732"/>
      <c r="BP640" s="732"/>
      <c r="BQ640" s="732"/>
      <c r="BR640" s="732"/>
      <c r="BS640" s="732"/>
      <c r="BT640" s="732"/>
      <c r="BU640" s="732"/>
      <c r="BV640" s="732"/>
      <c r="BW640" s="732"/>
      <c r="BX640" s="732"/>
      <c r="BY640" s="732"/>
      <c r="BZ640" s="732"/>
      <c r="CA640" s="732"/>
    </row>
    <row r="641" spans="1:79" s="452" customFormat="1" hidden="1" outlineLevel="1" x14ac:dyDescent="0.35">
      <c r="A641" s="80"/>
      <c r="B641" s="80"/>
      <c r="C641" s="80"/>
      <c r="D641" s="80"/>
      <c r="E641" s="80"/>
      <c r="F641" s="677" t="s">
        <v>636</v>
      </c>
      <c r="G641" s="732"/>
      <c r="H641" s="732"/>
      <c r="I641" s="732"/>
      <c r="J641" s="732"/>
      <c r="K641" s="732"/>
      <c r="L641" s="732"/>
      <c r="M641" s="732"/>
      <c r="N641" s="732"/>
      <c r="O641" s="732"/>
      <c r="P641" s="732"/>
      <c r="Q641" s="732"/>
      <c r="R641" s="732"/>
      <c r="S641" s="683">
        <v>225.6</v>
      </c>
      <c r="T641" s="683">
        <v>0</v>
      </c>
      <c r="U641" s="683">
        <v>0</v>
      </c>
      <c r="V641" s="683">
        <v>105.45</v>
      </c>
      <c r="W641" s="683">
        <v>169.53</v>
      </c>
      <c r="X641" s="683">
        <v>5.03</v>
      </c>
      <c r="Y641" s="683">
        <v>0</v>
      </c>
      <c r="Z641" s="683">
        <v>217.32</v>
      </c>
      <c r="AA641" s="683">
        <v>324.08</v>
      </c>
      <c r="AB641" s="683">
        <v>345.9</v>
      </c>
      <c r="AC641" s="702">
        <v>163.33000000000001</v>
      </c>
      <c r="AD641" s="702">
        <v>0</v>
      </c>
      <c r="AE641" s="732"/>
      <c r="AF641" s="732"/>
      <c r="AG641" s="732"/>
      <c r="AH641" s="732"/>
      <c r="AI641" s="732"/>
      <c r="AJ641" s="732"/>
      <c r="AK641" s="732"/>
      <c r="AL641" s="732"/>
      <c r="AM641" s="732"/>
      <c r="AN641" s="732"/>
      <c r="AO641" s="732"/>
      <c r="AP641" s="732"/>
      <c r="AQ641" s="732"/>
      <c r="AR641" s="732"/>
      <c r="AS641" s="732"/>
      <c r="AT641" s="732"/>
      <c r="AU641" s="732"/>
      <c r="AV641" s="732"/>
      <c r="AW641" s="732"/>
      <c r="AX641" s="732"/>
      <c r="AY641" s="732"/>
      <c r="AZ641" s="732"/>
      <c r="BA641" s="732"/>
      <c r="BB641" s="732"/>
      <c r="BC641" s="732"/>
      <c r="BD641" s="732"/>
      <c r="BE641" s="732"/>
      <c r="BF641" s="732"/>
      <c r="BG641" s="732"/>
      <c r="BH641" s="732"/>
      <c r="BI641" s="732"/>
      <c r="BJ641" s="732"/>
      <c r="BK641" s="732"/>
      <c r="BL641" s="732"/>
      <c r="BM641" s="732"/>
      <c r="BN641" s="732"/>
      <c r="BO641" s="732"/>
      <c r="BP641" s="732"/>
      <c r="BQ641" s="732"/>
      <c r="BR641" s="732"/>
      <c r="BS641" s="732"/>
      <c r="BT641" s="732"/>
      <c r="BU641" s="732"/>
      <c r="BV641" s="732"/>
      <c r="BW641" s="732"/>
      <c r="BX641" s="732"/>
      <c r="BY641" s="732"/>
      <c r="BZ641" s="732"/>
      <c r="CA641" s="732"/>
    </row>
    <row r="642" spans="1:79" s="452" customFormat="1" hidden="1" outlineLevel="1" x14ac:dyDescent="0.35">
      <c r="A642" s="677" t="s">
        <v>909</v>
      </c>
      <c r="B642" s="677" t="s">
        <v>909</v>
      </c>
      <c r="C642" s="677" t="s">
        <v>909</v>
      </c>
      <c r="D642" s="677" t="s">
        <v>909</v>
      </c>
      <c r="E642" s="677" t="s">
        <v>909</v>
      </c>
      <c r="F642" s="677" t="s">
        <v>909</v>
      </c>
      <c r="G642" s="677"/>
      <c r="H642" s="677"/>
      <c r="I642" s="677"/>
      <c r="J642" s="677"/>
      <c r="K642" s="677"/>
      <c r="L642" s="677"/>
      <c r="M642" s="677"/>
      <c r="N642" s="677"/>
      <c r="O642" s="677"/>
      <c r="P642" s="677"/>
      <c r="Q642" s="677"/>
      <c r="R642" s="677"/>
      <c r="S642" s="683">
        <v>0</v>
      </c>
      <c r="T642" s="683">
        <v>0</v>
      </c>
      <c r="U642" s="683">
        <v>0</v>
      </c>
      <c r="V642" s="683">
        <v>0</v>
      </c>
      <c r="W642" s="683">
        <v>0</v>
      </c>
      <c r="X642" s="683">
        <v>0</v>
      </c>
      <c r="Y642" s="683">
        <v>0</v>
      </c>
      <c r="Z642" s="683">
        <v>0</v>
      </c>
      <c r="AA642" s="683">
        <v>0</v>
      </c>
      <c r="AB642" s="683">
        <v>0</v>
      </c>
      <c r="AC642" s="702">
        <v>0</v>
      </c>
      <c r="AD642" s="702">
        <v>0</v>
      </c>
      <c r="AE642" s="677"/>
      <c r="AF642" s="677"/>
      <c r="AG642" s="677"/>
      <c r="AH642" s="677"/>
      <c r="AI642" s="677"/>
      <c r="AJ642" s="677"/>
      <c r="AK642" s="677"/>
      <c r="AL642" s="677"/>
      <c r="AM642" s="677"/>
      <c r="AN642" s="677"/>
      <c r="AO642" s="677"/>
      <c r="AP642" s="677"/>
      <c r="AQ642" s="677"/>
      <c r="AR642" s="677"/>
      <c r="AS642" s="677"/>
      <c r="AT642" s="677"/>
      <c r="AU642" s="677"/>
      <c r="AV642" s="677"/>
      <c r="AW642" s="677"/>
      <c r="AX642" s="677"/>
      <c r="AY642" s="677"/>
      <c r="AZ642" s="677"/>
      <c r="BA642" s="677"/>
      <c r="BB642" s="677"/>
      <c r="BC642" s="677"/>
      <c r="BD642" s="677"/>
      <c r="BE642" s="677"/>
      <c r="BF642" s="677"/>
      <c r="BG642" s="677"/>
      <c r="BH642" s="677"/>
      <c r="BI642" s="677"/>
      <c r="BJ642" s="677"/>
      <c r="BK642" s="677"/>
      <c r="BL642" s="677"/>
      <c r="BM642" s="677"/>
      <c r="BN642" s="677"/>
      <c r="BO642" s="677"/>
      <c r="BP642" s="677"/>
      <c r="BQ642" s="677"/>
      <c r="BR642" s="677"/>
      <c r="BS642" s="677"/>
      <c r="BT642" s="677"/>
      <c r="BU642" s="677"/>
      <c r="BV642" s="677"/>
      <c r="BW642" s="677"/>
      <c r="BX642" s="677"/>
      <c r="BY642" s="677"/>
      <c r="BZ642" s="677"/>
      <c r="CA642" s="677"/>
    </row>
    <row r="643" spans="1:79" s="452" customFormat="1" hidden="1" outlineLevel="1" x14ac:dyDescent="0.35">
      <c r="A643" s="80"/>
      <c r="B643" s="80"/>
      <c r="C643" s="80"/>
      <c r="D643" s="80"/>
      <c r="E643" s="80"/>
      <c r="F643" s="677" t="s">
        <v>637</v>
      </c>
      <c r="G643" s="735">
        <v>647.48502524795185</v>
      </c>
      <c r="H643" s="735">
        <v>567.98781123560491</v>
      </c>
      <c r="I643" s="735">
        <v>483.76489939748262</v>
      </c>
      <c r="J643" s="735">
        <v>348.93037782828418</v>
      </c>
      <c r="K643" s="735">
        <v>146.98486452232405</v>
      </c>
      <c r="L643" s="735">
        <v>339.33401443279348</v>
      </c>
      <c r="M643" s="735">
        <v>325.3248696523367</v>
      </c>
      <c r="N643" s="735">
        <v>489.50498386607944</v>
      </c>
      <c r="O643" s="735">
        <v>341.10004171152525</v>
      </c>
      <c r="P643" s="732">
        <v>414.56456151665077</v>
      </c>
      <c r="Q643" s="732">
        <v>679.6212555026276</v>
      </c>
      <c r="R643" s="732">
        <v>456.44717565552685</v>
      </c>
      <c r="S643" s="683">
        <v>0</v>
      </c>
      <c r="T643" s="683">
        <v>0</v>
      </c>
      <c r="U643" s="683">
        <v>166.15</v>
      </c>
      <c r="V643" s="683">
        <v>-166.15</v>
      </c>
      <c r="W643" s="683">
        <v>0</v>
      </c>
      <c r="X643" s="683">
        <v>0</v>
      </c>
      <c r="Y643" s="683">
        <v>0</v>
      </c>
      <c r="Z643" s="683">
        <v>0</v>
      </c>
      <c r="AA643" s="683">
        <v>0</v>
      </c>
      <c r="AB643" s="683">
        <v>0</v>
      </c>
      <c r="AC643" s="702">
        <v>0</v>
      </c>
      <c r="AD643" s="702">
        <v>0</v>
      </c>
      <c r="AE643" s="732"/>
      <c r="AF643" s="732"/>
      <c r="AG643" s="732"/>
      <c r="AH643" s="732"/>
      <c r="AI643" s="732"/>
      <c r="AJ643" s="732"/>
      <c r="AK643" s="732"/>
      <c r="AL643" s="732"/>
      <c r="AM643" s="732"/>
      <c r="AN643" s="732"/>
      <c r="AO643" s="732"/>
      <c r="AP643" s="732"/>
      <c r="AQ643" s="732"/>
      <c r="AR643" s="732"/>
      <c r="AS643" s="732"/>
      <c r="AT643" s="732"/>
      <c r="AU643" s="732"/>
      <c r="AV643" s="732"/>
      <c r="AW643" s="732"/>
      <c r="AX643" s="732"/>
      <c r="AY643" s="732"/>
      <c r="AZ643" s="732"/>
      <c r="BA643" s="732"/>
      <c r="BB643" s="732"/>
      <c r="BC643" s="732"/>
      <c r="BD643" s="732"/>
      <c r="BE643" s="732"/>
      <c r="BF643" s="732"/>
      <c r="BG643" s="732"/>
      <c r="BH643" s="732"/>
      <c r="BI643" s="732"/>
      <c r="BJ643" s="732"/>
      <c r="BK643" s="732"/>
      <c r="BL643" s="732"/>
      <c r="BM643" s="732"/>
      <c r="BN643" s="732"/>
      <c r="BO643" s="732"/>
      <c r="BP643" s="732"/>
      <c r="BQ643" s="732"/>
      <c r="BR643" s="732"/>
      <c r="BS643" s="732"/>
      <c r="BT643" s="732"/>
      <c r="BU643" s="732"/>
      <c r="BV643" s="732"/>
      <c r="BW643" s="732"/>
      <c r="BX643" s="732"/>
      <c r="BY643" s="732"/>
      <c r="BZ643" s="732"/>
      <c r="CA643" s="732"/>
    </row>
    <row r="644" spans="1:79" s="757" customFormat="1" hidden="1" outlineLevel="1" x14ac:dyDescent="0.35">
      <c r="A644" s="504"/>
      <c r="B644" s="504"/>
      <c r="C644" s="504"/>
      <c r="D644" s="504"/>
      <c r="E644" s="504"/>
      <c r="F644" s="673" t="s">
        <v>638</v>
      </c>
      <c r="G644" s="680">
        <f>SUM(G636:G643)</f>
        <v>647.48502524795185</v>
      </c>
      <c r="H644" s="680">
        <f t="shared" ref="H644:BO644" si="257">SUM(H636:H643)</f>
        <v>567.98781123560491</v>
      </c>
      <c r="I644" s="680">
        <f t="shared" si="257"/>
        <v>483.76489939748262</v>
      </c>
      <c r="J644" s="680">
        <f t="shared" si="257"/>
        <v>348.93037782828418</v>
      </c>
      <c r="K644" s="680">
        <f t="shared" si="257"/>
        <v>146.98486452232405</v>
      </c>
      <c r="L644" s="680">
        <f t="shared" si="257"/>
        <v>339.33401443279348</v>
      </c>
      <c r="M644" s="680">
        <f t="shared" si="257"/>
        <v>325.3248696523367</v>
      </c>
      <c r="N644" s="680">
        <f t="shared" si="257"/>
        <v>489.50498386607944</v>
      </c>
      <c r="O644" s="680">
        <f t="shared" si="257"/>
        <v>341.10004171152525</v>
      </c>
      <c r="P644" s="680">
        <f t="shared" si="257"/>
        <v>414.56456151665077</v>
      </c>
      <c r="Q644" s="680">
        <f t="shared" si="257"/>
        <v>679.6212555026276</v>
      </c>
      <c r="R644" s="680">
        <f t="shared" si="257"/>
        <v>456.44717565552685</v>
      </c>
      <c r="S644" s="695">
        <f t="shared" ref="S644:AA644" si="258">ROUND(SUM(S635:S643),5)</f>
        <v>985.01</v>
      </c>
      <c r="T644" s="695">
        <f t="shared" si="258"/>
        <v>589.88</v>
      </c>
      <c r="U644" s="695">
        <f t="shared" si="258"/>
        <v>764.46</v>
      </c>
      <c r="V644" s="695">
        <f t="shared" si="258"/>
        <v>611.54</v>
      </c>
      <c r="W644" s="695">
        <f t="shared" si="258"/>
        <v>1558.75</v>
      </c>
      <c r="X644" s="695">
        <f t="shared" si="258"/>
        <v>1259.18</v>
      </c>
      <c r="Y644" s="695">
        <f t="shared" si="258"/>
        <v>1418.07</v>
      </c>
      <c r="Z644" s="695">
        <f t="shared" si="258"/>
        <v>2149.02</v>
      </c>
      <c r="AA644" s="695">
        <f t="shared" si="258"/>
        <v>2437.5500000000002</v>
      </c>
      <c r="AB644" s="695">
        <f>ROUND(SUM(AB635:AB643),5)</f>
        <v>2643.37</v>
      </c>
      <c r="AC644" s="695">
        <f>ROUND(SUM(AC635:AC643),5)</f>
        <v>2221.9899999999998</v>
      </c>
      <c r="AD644" s="695">
        <f>ROUND(SUM(AD635:AD643),5)</f>
        <v>454.35</v>
      </c>
      <c r="AE644" s="680">
        <f t="shared" si="257"/>
        <v>0</v>
      </c>
      <c r="AF644" s="680">
        <f t="shared" si="257"/>
        <v>0</v>
      </c>
      <c r="AG644" s="680">
        <f t="shared" si="257"/>
        <v>0</v>
      </c>
      <c r="AH644" s="680">
        <f t="shared" si="257"/>
        <v>0</v>
      </c>
      <c r="AI644" s="680">
        <f t="shared" si="257"/>
        <v>0</v>
      </c>
      <c r="AJ644" s="680">
        <f t="shared" si="257"/>
        <v>0</v>
      </c>
      <c r="AK644" s="680">
        <f t="shared" si="257"/>
        <v>0</v>
      </c>
      <c r="AL644" s="680">
        <f t="shared" si="257"/>
        <v>0</v>
      </c>
      <c r="AM644" s="680">
        <f t="shared" si="257"/>
        <v>0</v>
      </c>
      <c r="AN644" s="680">
        <f t="shared" si="257"/>
        <v>0</v>
      </c>
      <c r="AO644" s="680">
        <f t="shared" si="257"/>
        <v>0</v>
      </c>
      <c r="AP644" s="680">
        <f t="shared" si="257"/>
        <v>0</v>
      </c>
      <c r="AQ644" s="680">
        <f t="shared" si="257"/>
        <v>0</v>
      </c>
      <c r="AR644" s="680">
        <f t="shared" si="257"/>
        <v>0</v>
      </c>
      <c r="AS644" s="680">
        <f t="shared" si="257"/>
        <v>0</v>
      </c>
      <c r="AT644" s="680">
        <f t="shared" si="257"/>
        <v>0</v>
      </c>
      <c r="AU644" s="680">
        <f t="shared" si="257"/>
        <v>0</v>
      </c>
      <c r="AV644" s="680">
        <f t="shared" si="257"/>
        <v>0</v>
      </c>
      <c r="AW644" s="680">
        <f t="shared" si="257"/>
        <v>0</v>
      </c>
      <c r="AX644" s="680">
        <f t="shared" si="257"/>
        <v>0</v>
      </c>
      <c r="AY644" s="680">
        <f t="shared" si="257"/>
        <v>0</v>
      </c>
      <c r="AZ644" s="680">
        <f t="shared" si="257"/>
        <v>0</v>
      </c>
      <c r="BA644" s="680">
        <f t="shared" si="257"/>
        <v>0</v>
      </c>
      <c r="BB644" s="680">
        <f t="shared" si="257"/>
        <v>0</v>
      </c>
      <c r="BC644" s="680">
        <f t="shared" si="257"/>
        <v>0</v>
      </c>
      <c r="BD644" s="680">
        <f t="shared" si="257"/>
        <v>0</v>
      </c>
      <c r="BE644" s="680">
        <f t="shared" si="257"/>
        <v>0</v>
      </c>
      <c r="BF644" s="680">
        <f t="shared" si="257"/>
        <v>0</v>
      </c>
      <c r="BG644" s="680">
        <f t="shared" si="257"/>
        <v>0</v>
      </c>
      <c r="BH644" s="680">
        <f t="shared" si="257"/>
        <v>0</v>
      </c>
      <c r="BI644" s="680">
        <f t="shared" si="257"/>
        <v>0</v>
      </c>
      <c r="BJ644" s="680">
        <f t="shared" si="257"/>
        <v>0</v>
      </c>
      <c r="BK644" s="680">
        <f t="shared" si="257"/>
        <v>0</v>
      </c>
      <c r="BL644" s="680">
        <f t="shared" si="257"/>
        <v>0</v>
      </c>
      <c r="BM644" s="680">
        <f t="shared" si="257"/>
        <v>0</v>
      </c>
      <c r="BN644" s="680">
        <f t="shared" si="257"/>
        <v>0</v>
      </c>
      <c r="BO644" s="680">
        <f t="shared" si="257"/>
        <v>0</v>
      </c>
      <c r="BP644" s="680">
        <f t="shared" ref="BP644:CA644" si="259">SUM(BP636:BP643)</f>
        <v>0</v>
      </c>
      <c r="BQ644" s="680">
        <f t="shared" si="259"/>
        <v>0</v>
      </c>
      <c r="BR644" s="680">
        <f t="shared" si="259"/>
        <v>0</v>
      </c>
      <c r="BS644" s="680">
        <f t="shared" si="259"/>
        <v>0</v>
      </c>
      <c r="BT644" s="680">
        <f t="shared" si="259"/>
        <v>0</v>
      </c>
      <c r="BU644" s="680">
        <f t="shared" si="259"/>
        <v>0</v>
      </c>
      <c r="BV644" s="680">
        <f t="shared" si="259"/>
        <v>0</v>
      </c>
      <c r="BW644" s="680">
        <f t="shared" si="259"/>
        <v>0</v>
      </c>
      <c r="BX644" s="680">
        <f t="shared" si="259"/>
        <v>0</v>
      </c>
      <c r="BY644" s="680">
        <f t="shared" si="259"/>
        <v>0</v>
      </c>
      <c r="BZ644" s="680">
        <f t="shared" si="259"/>
        <v>0</v>
      </c>
      <c r="CA644" s="680">
        <f t="shared" si="259"/>
        <v>0</v>
      </c>
    </row>
    <row r="645" spans="1:79" s="716" customFormat="1" hidden="1" outlineLevel="1" x14ac:dyDescent="0.35">
      <c r="F645" s="717" t="s">
        <v>639</v>
      </c>
      <c r="G645" s="750"/>
      <c r="H645" s="750"/>
      <c r="I645" s="750"/>
      <c r="J645" s="750"/>
      <c r="K645" s="750"/>
      <c r="L645" s="750"/>
      <c r="M645" s="750"/>
      <c r="N645" s="750"/>
      <c r="O645" s="750"/>
      <c r="P645" s="751"/>
      <c r="Q645" s="751"/>
      <c r="R645" s="751"/>
      <c r="S645" s="713"/>
      <c r="T645" s="713"/>
      <c r="U645" s="713"/>
      <c r="V645" s="713"/>
      <c r="W645" s="713"/>
      <c r="X645" s="713"/>
      <c r="Y645" s="713"/>
      <c r="Z645" s="713"/>
      <c r="AA645" s="713"/>
      <c r="AB645" s="713"/>
      <c r="AC645" s="728"/>
      <c r="AD645" s="728"/>
      <c r="AE645" s="751"/>
      <c r="AF645" s="751"/>
      <c r="AG645" s="751"/>
      <c r="AH645" s="751"/>
      <c r="AI645" s="751"/>
      <c r="AJ645" s="751"/>
      <c r="AK645" s="751"/>
      <c r="AL645" s="751"/>
      <c r="AM645" s="751"/>
      <c r="AN645" s="751"/>
      <c r="AO645" s="751"/>
      <c r="AP645" s="751"/>
      <c r="AQ645" s="751"/>
      <c r="AR645" s="751"/>
      <c r="AS645" s="751"/>
      <c r="AT645" s="751"/>
      <c r="AU645" s="751"/>
      <c r="AV645" s="751"/>
      <c r="AW645" s="751"/>
      <c r="AX645" s="751"/>
      <c r="AY645" s="751"/>
      <c r="AZ645" s="751"/>
      <c r="BA645" s="751"/>
      <c r="BB645" s="751"/>
      <c r="BC645" s="751"/>
      <c r="BD645" s="751"/>
      <c r="BE645" s="751"/>
      <c r="BF645" s="751"/>
      <c r="BG645" s="751"/>
      <c r="BH645" s="751"/>
      <c r="BI645" s="751"/>
      <c r="BJ645" s="751"/>
      <c r="BK645" s="751"/>
      <c r="BL645" s="751"/>
      <c r="BM645" s="751"/>
      <c r="BN645" s="751"/>
      <c r="BO645" s="751"/>
      <c r="BP645" s="751"/>
      <c r="BQ645" s="751"/>
      <c r="BR645" s="751"/>
      <c r="BS645" s="751"/>
      <c r="BT645" s="751"/>
      <c r="BU645" s="751"/>
      <c r="BV645" s="751"/>
      <c r="BW645" s="751"/>
      <c r="BX645" s="751"/>
      <c r="BY645" s="751"/>
      <c r="BZ645" s="751"/>
      <c r="CA645" s="751"/>
    </row>
    <row r="646" spans="1:79" s="452" customFormat="1" hidden="1" outlineLevel="1" x14ac:dyDescent="0.35">
      <c r="A646" s="80"/>
      <c r="B646" s="80"/>
      <c r="C646" s="80"/>
      <c r="D646" s="80"/>
      <c r="E646" s="80"/>
      <c r="F646" s="677" t="s">
        <v>9</v>
      </c>
      <c r="G646" s="677"/>
      <c r="H646" s="735"/>
      <c r="I646" s="735"/>
      <c r="J646" s="735"/>
      <c r="K646" s="735"/>
      <c r="L646" s="735"/>
      <c r="M646" s="735"/>
      <c r="N646" s="735"/>
      <c r="O646" s="735"/>
      <c r="P646" s="732"/>
      <c r="Q646" s="732"/>
      <c r="R646" s="732"/>
      <c r="S646" s="683">
        <v>3770.83</v>
      </c>
      <c r="T646" s="683">
        <v>3770.83</v>
      </c>
      <c r="U646" s="683">
        <v>4025.97</v>
      </c>
      <c r="V646" s="683">
        <v>4451.74</v>
      </c>
      <c r="W646" s="683">
        <v>3770.83</v>
      </c>
      <c r="X646" s="683">
        <v>3770.83</v>
      </c>
      <c r="Y646" s="683">
        <v>4763.42</v>
      </c>
      <c r="Z646" s="683">
        <v>3770.83</v>
      </c>
      <c r="AA646" s="683">
        <v>4015.82</v>
      </c>
      <c r="AB646" s="683">
        <v>4763.42</v>
      </c>
      <c r="AC646" s="702">
        <v>3815.83</v>
      </c>
      <c r="AD646" s="702">
        <v>-15197.26</v>
      </c>
      <c r="AE646" s="732"/>
      <c r="AF646" s="732"/>
      <c r="AG646" s="732"/>
      <c r="AH646" s="732"/>
      <c r="AI646" s="732"/>
      <c r="AJ646" s="732"/>
      <c r="AK646" s="732"/>
      <c r="AL646" s="732"/>
      <c r="AM646" s="732"/>
      <c r="AN646" s="732"/>
      <c r="AO646" s="732"/>
      <c r="AP646" s="732"/>
      <c r="AQ646" s="732"/>
      <c r="AR646" s="732"/>
      <c r="AS646" s="732"/>
      <c r="AT646" s="732"/>
      <c r="AU646" s="732"/>
      <c r="AV646" s="732"/>
      <c r="AW646" s="732"/>
      <c r="AX646" s="732"/>
      <c r="AY646" s="732"/>
      <c r="AZ646" s="732"/>
      <c r="BA646" s="732"/>
      <c r="BB646" s="732"/>
      <c r="BC646" s="732"/>
      <c r="BD646" s="732"/>
      <c r="BE646" s="732"/>
      <c r="BF646" s="732"/>
      <c r="BG646" s="732"/>
      <c r="BH646" s="732"/>
      <c r="BI646" s="732"/>
      <c r="BJ646" s="732"/>
      <c r="BK646" s="732"/>
      <c r="BL646" s="732"/>
      <c r="BM646" s="732"/>
      <c r="BN646" s="732"/>
      <c r="BO646" s="732"/>
      <c r="BP646" s="732"/>
      <c r="BQ646" s="732"/>
      <c r="BR646" s="732"/>
      <c r="BS646" s="732"/>
      <c r="BT646" s="732"/>
      <c r="BU646" s="732"/>
      <c r="BV646" s="732"/>
      <c r="BW646" s="732"/>
      <c r="BX646" s="732"/>
      <c r="BY646" s="732"/>
      <c r="BZ646" s="732"/>
      <c r="CA646" s="732"/>
    </row>
    <row r="647" spans="1:79" s="452" customFormat="1" hidden="1" outlineLevel="1" x14ac:dyDescent="0.35">
      <c r="A647" s="580"/>
      <c r="B647" s="580"/>
      <c r="C647" s="580"/>
      <c r="D647" s="580"/>
      <c r="E647" s="580"/>
      <c r="F647" s="677" t="s">
        <v>910</v>
      </c>
      <c r="G647" s="677"/>
      <c r="H647" s="735"/>
      <c r="I647" s="735"/>
      <c r="J647" s="735"/>
      <c r="K647" s="735"/>
      <c r="L647" s="735"/>
      <c r="M647" s="735"/>
      <c r="N647" s="735"/>
      <c r="O647" s="735"/>
      <c r="P647" s="732"/>
      <c r="Q647" s="732"/>
      <c r="R647" s="732"/>
      <c r="S647" s="683">
        <v>0</v>
      </c>
      <c r="T647" s="683">
        <v>0</v>
      </c>
      <c r="U647" s="683">
        <v>0</v>
      </c>
      <c r="V647" s="683">
        <v>0</v>
      </c>
      <c r="W647" s="683">
        <v>0</v>
      </c>
      <c r="X647" s="683">
        <v>0</v>
      </c>
      <c r="Y647" s="683">
        <v>0</v>
      </c>
      <c r="Z647" s="683">
        <v>0</v>
      </c>
      <c r="AA647" s="683">
        <v>0</v>
      </c>
      <c r="AB647" s="683">
        <v>0</v>
      </c>
      <c r="AC647" s="702">
        <v>0</v>
      </c>
      <c r="AD647" s="702">
        <v>0</v>
      </c>
      <c r="AE647" s="732"/>
      <c r="AF647" s="732"/>
      <c r="AG647" s="732"/>
      <c r="AH647" s="732"/>
      <c r="AI647" s="732"/>
      <c r="AJ647" s="732"/>
      <c r="AK647" s="732"/>
      <c r="AL647" s="732"/>
      <c r="AM647" s="732"/>
      <c r="AN647" s="732"/>
      <c r="AO647" s="732"/>
      <c r="AP647" s="732"/>
      <c r="AQ647" s="732"/>
      <c r="AR647" s="732"/>
      <c r="AS647" s="732"/>
      <c r="AT647" s="732"/>
      <c r="AU647" s="732"/>
      <c r="AV647" s="732"/>
      <c r="AW647" s="732"/>
      <c r="AX647" s="732"/>
      <c r="AY647" s="732"/>
      <c r="AZ647" s="732"/>
      <c r="BA647" s="732"/>
      <c r="BB647" s="732"/>
      <c r="BC647" s="732"/>
      <c r="BD647" s="732"/>
      <c r="BE647" s="732"/>
      <c r="BF647" s="732"/>
      <c r="BG647" s="732"/>
      <c r="BH647" s="732"/>
      <c r="BI647" s="732"/>
      <c r="BJ647" s="732"/>
      <c r="BK647" s="732"/>
      <c r="BL647" s="732"/>
      <c r="BM647" s="732"/>
      <c r="BN647" s="732"/>
      <c r="BO647" s="732"/>
      <c r="BP647" s="732"/>
      <c r="BQ647" s="732"/>
      <c r="BR647" s="732"/>
      <c r="BS647" s="732"/>
      <c r="BT647" s="732"/>
      <c r="BU647" s="732"/>
      <c r="BV647" s="732"/>
      <c r="BW647" s="732"/>
      <c r="BX647" s="732"/>
      <c r="BY647" s="732"/>
      <c r="BZ647" s="732"/>
      <c r="CA647" s="732"/>
    </row>
    <row r="648" spans="1:79" s="452" customFormat="1" hidden="1" outlineLevel="1" x14ac:dyDescent="0.35">
      <c r="A648" s="80"/>
      <c r="B648" s="80"/>
      <c r="C648" s="80"/>
      <c r="D648" s="80"/>
      <c r="E648" s="80"/>
      <c r="F648" s="677" t="s">
        <v>647</v>
      </c>
      <c r="G648" s="677"/>
      <c r="H648" s="735"/>
      <c r="I648" s="735"/>
      <c r="J648" s="735"/>
      <c r="K648" s="735"/>
      <c r="L648" s="735"/>
      <c r="M648" s="735"/>
      <c r="N648" s="735"/>
      <c r="O648" s="735"/>
      <c r="P648" s="732"/>
      <c r="Q648" s="732"/>
      <c r="R648" s="732"/>
      <c r="S648" s="683">
        <v>5640</v>
      </c>
      <c r="T648" s="683">
        <v>3940</v>
      </c>
      <c r="U648" s="683">
        <v>5967</v>
      </c>
      <c r="V648" s="683">
        <v>-509.5</v>
      </c>
      <c r="W648" s="683">
        <v>712.5</v>
      </c>
      <c r="X648" s="683">
        <v>0</v>
      </c>
      <c r="Y648" s="683">
        <v>0</v>
      </c>
      <c r="Z648" s="683">
        <v>0</v>
      </c>
      <c r="AA648" s="683">
        <v>0</v>
      </c>
      <c r="AB648" s="683">
        <v>0</v>
      </c>
      <c r="AC648" s="702">
        <v>0</v>
      </c>
      <c r="AD648" s="702">
        <v>0</v>
      </c>
      <c r="AE648" s="732"/>
      <c r="AF648" s="732"/>
      <c r="AG648" s="732"/>
      <c r="AH648" s="732"/>
      <c r="AI648" s="732"/>
      <c r="AJ648" s="732"/>
      <c r="AK648" s="732"/>
      <c r="AL648" s="732"/>
      <c r="AM648" s="732"/>
      <c r="AN648" s="732"/>
      <c r="AO648" s="732"/>
      <c r="AP648" s="732"/>
      <c r="AQ648" s="732"/>
      <c r="AR648" s="732"/>
      <c r="AS648" s="732"/>
      <c r="AT648" s="732"/>
      <c r="AU648" s="732"/>
      <c r="AV648" s="732"/>
      <c r="AW648" s="732"/>
      <c r="AX648" s="732"/>
      <c r="AY648" s="732"/>
      <c r="AZ648" s="732"/>
      <c r="BA648" s="732"/>
      <c r="BB648" s="732"/>
      <c r="BC648" s="732"/>
      <c r="BD648" s="732"/>
      <c r="BE648" s="732"/>
      <c r="BF648" s="732"/>
      <c r="BG648" s="732"/>
      <c r="BH648" s="732"/>
      <c r="BI648" s="732"/>
      <c r="BJ648" s="732"/>
      <c r="BK648" s="732"/>
      <c r="BL648" s="732"/>
      <c r="BM648" s="732"/>
      <c r="BN648" s="732"/>
      <c r="BO648" s="732"/>
      <c r="BP648" s="732"/>
      <c r="BQ648" s="732"/>
      <c r="BR648" s="732"/>
      <c r="BS648" s="732"/>
      <c r="BT648" s="732"/>
      <c r="BU648" s="732"/>
      <c r="BV648" s="732"/>
      <c r="BW648" s="732"/>
      <c r="BX648" s="732"/>
      <c r="BY648" s="732"/>
      <c r="BZ648" s="732"/>
      <c r="CA648" s="732"/>
    </row>
    <row r="649" spans="1:79" s="452" customFormat="1" hidden="1" outlineLevel="1" x14ac:dyDescent="0.35">
      <c r="A649" s="580"/>
      <c r="B649" s="580"/>
      <c r="C649" s="580"/>
      <c r="D649" s="580"/>
      <c r="E649" s="580"/>
      <c r="F649" s="677" t="s">
        <v>648</v>
      </c>
      <c r="G649" s="677"/>
      <c r="H649" s="735"/>
      <c r="I649" s="735"/>
      <c r="J649" s="735"/>
      <c r="K649" s="735"/>
      <c r="L649" s="735"/>
      <c r="M649" s="735"/>
      <c r="N649" s="735"/>
      <c r="O649" s="735"/>
      <c r="P649" s="732"/>
      <c r="Q649" s="732"/>
      <c r="R649" s="732"/>
      <c r="S649" s="683">
        <v>0</v>
      </c>
      <c r="T649" s="683">
        <v>0</v>
      </c>
      <c r="U649" s="683">
        <v>0</v>
      </c>
      <c r="V649" s="683">
        <v>0</v>
      </c>
      <c r="W649" s="683">
        <v>0</v>
      </c>
      <c r="X649" s="683">
        <v>0</v>
      </c>
      <c r="Y649" s="683">
        <v>0</v>
      </c>
      <c r="Z649" s="683">
        <v>0</v>
      </c>
      <c r="AA649" s="683">
        <v>0</v>
      </c>
      <c r="AB649" s="683">
        <v>0</v>
      </c>
      <c r="AC649" s="702">
        <v>0</v>
      </c>
      <c r="AD649" s="702">
        <v>0</v>
      </c>
      <c r="AE649" s="732"/>
      <c r="AF649" s="732"/>
      <c r="AG649" s="732"/>
      <c r="AH649" s="732"/>
      <c r="AI649" s="732"/>
      <c r="AJ649" s="732"/>
      <c r="AK649" s="732"/>
      <c r="AL649" s="732"/>
      <c r="AM649" s="732"/>
      <c r="AN649" s="732"/>
      <c r="AO649" s="732"/>
      <c r="AP649" s="732"/>
      <c r="AQ649" s="732"/>
      <c r="AR649" s="732"/>
      <c r="AS649" s="732"/>
      <c r="AT649" s="732"/>
      <c r="AU649" s="732"/>
      <c r="AV649" s="732"/>
      <c r="AW649" s="732"/>
      <c r="AX649" s="732"/>
      <c r="AY649" s="732"/>
      <c r="AZ649" s="732"/>
      <c r="BA649" s="732"/>
      <c r="BB649" s="732"/>
      <c r="BC649" s="732"/>
      <c r="BD649" s="732"/>
      <c r="BE649" s="732"/>
      <c r="BF649" s="732"/>
      <c r="BG649" s="732"/>
      <c r="BH649" s="732"/>
      <c r="BI649" s="732"/>
      <c r="BJ649" s="732"/>
      <c r="BK649" s="732"/>
      <c r="BL649" s="732"/>
      <c r="BM649" s="732"/>
      <c r="BN649" s="732"/>
      <c r="BO649" s="732"/>
      <c r="BP649" s="732"/>
      <c r="BQ649" s="732"/>
      <c r="BR649" s="732"/>
      <c r="BS649" s="732"/>
      <c r="BT649" s="732"/>
      <c r="BU649" s="732"/>
      <c r="BV649" s="732"/>
      <c r="BW649" s="732"/>
      <c r="BX649" s="732"/>
      <c r="BY649" s="732"/>
      <c r="BZ649" s="732"/>
      <c r="CA649" s="732"/>
    </row>
    <row r="650" spans="1:79" s="452" customFormat="1" hidden="1" outlineLevel="1" x14ac:dyDescent="0.35">
      <c r="A650" s="80"/>
      <c r="B650" s="80"/>
      <c r="C650" s="80"/>
      <c r="D650" s="80"/>
      <c r="E650" s="80"/>
      <c r="F650" s="677" t="s">
        <v>640</v>
      </c>
      <c r="G650" s="677"/>
      <c r="H650" s="735"/>
      <c r="I650" s="735"/>
      <c r="J650" s="735"/>
      <c r="K650" s="735"/>
      <c r="L650" s="735"/>
      <c r="M650" s="735"/>
      <c r="N650" s="735"/>
      <c r="O650" s="735"/>
      <c r="P650" s="732"/>
      <c r="Q650" s="732"/>
      <c r="R650" s="732"/>
      <c r="S650" s="683">
        <v>0</v>
      </c>
      <c r="T650" s="683">
        <v>0</v>
      </c>
      <c r="U650" s="683">
        <v>0</v>
      </c>
      <c r="V650" s="683">
        <v>2692.31</v>
      </c>
      <c r="W650" s="683">
        <v>13269.24</v>
      </c>
      <c r="X650" s="683">
        <v>12692.32</v>
      </c>
      <c r="Y650" s="683">
        <v>14596.17</v>
      </c>
      <c r="Z650" s="683">
        <v>20596.169999999998</v>
      </c>
      <c r="AA650" s="683">
        <v>22615.41</v>
      </c>
      <c r="AB650" s="683">
        <v>24769.24</v>
      </c>
      <c r="AC650" s="702">
        <v>22615.41</v>
      </c>
      <c r="AD650" s="702">
        <v>23692.34</v>
      </c>
      <c r="AE650" s="732"/>
      <c r="AF650" s="732"/>
      <c r="AG650" s="732"/>
      <c r="AH650" s="732"/>
      <c r="AI650" s="732"/>
      <c r="AJ650" s="732"/>
      <c r="AK650" s="732"/>
      <c r="AL650" s="732"/>
      <c r="AM650" s="732"/>
      <c r="AN650" s="732"/>
      <c r="AO650" s="732"/>
      <c r="AP650" s="732"/>
      <c r="AQ650" s="732"/>
      <c r="AR650" s="732"/>
      <c r="AS650" s="732"/>
      <c r="AT650" s="732"/>
      <c r="AU650" s="732"/>
      <c r="AV650" s="732"/>
      <c r="AW650" s="732"/>
      <c r="AX650" s="732"/>
      <c r="AY650" s="732"/>
      <c r="AZ650" s="732"/>
      <c r="BA650" s="732"/>
      <c r="BB650" s="732"/>
      <c r="BC650" s="732"/>
      <c r="BD650" s="732"/>
      <c r="BE650" s="732"/>
      <c r="BF650" s="732"/>
      <c r="BG650" s="732"/>
      <c r="BH650" s="732"/>
      <c r="BI650" s="732"/>
      <c r="BJ650" s="732"/>
      <c r="BK650" s="732"/>
      <c r="BL650" s="732"/>
      <c r="BM650" s="732"/>
      <c r="BN650" s="732"/>
      <c r="BO650" s="732"/>
      <c r="BP650" s="732"/>
      <c r="BQ650" s="732"/>
      <c r="BR650" s="732"/>
      <c r="BS650" s="732"/>
      <c r="BT650" s="732"/>
      <c r="BU650" s="732"/>
      <c r="BV650" s="732"/>
      <c r="BW650" s="732"/>
      <c r="BX650" s="732"/>
      <c r="BY650" s="732"/>
      <c r="BZ650" s="732"/>
      <c r="CA650" s="732"/>
    </row>
    <row r="651" spans="1:79" s="452" customFormat="1" hidden="1" outlineLevel="1" x14ac:dyDescent="0.35">
      <c r="A651" s="80"/>
      <c r="B651" s="80"/>
      <c r="C651" s="80"/>
      <c r="D651" s="80"/>
      <c r="E651" s="80"/>
      <c r="F651" s="677" t="s">
        <v>641</v>
      </c>
      <c r="G651" s="677"/>
      <c r="H651" s="735"/>
      <c r="I651" s="735"/>
      <c r="J651" s="735"/>
      <c r="K651" s="735"/>
      <c r="L651" s="735"/>
      <c r="M651" s="735"/>
      <c r="N651" s="735"/>
      <c r="O651" s="735"/>
      <c r="P651" s="732"/>
      <c r="Q651" s="732"/>
      <c r="R651" s="732"/>
      <c r="S651" s="683">
        <v>0</v>
      </c>
      <c r="T651" s="683">
        <v>0</v>
      </c>
      <c r="U651" s="683">
        <v>0</v>
      </c>
      <c r="V651" s="683">
        <v>1381.53</v>
      </c>
      <c r="W651" s="683">
        <v>-1256.6600000000001</v>
      </c>
      <c r="X651" s="683">
        <v>703.37</v>
      </c>
      <c r="Y651" s="683">
        <v>726.82</v>
      </c>
      <c r="Z651" s="683">
        <v>84.56</v>
      </c>
      <c r="AA651" s="683">
        <v>682.3</v>
      </c>
      <c r="AB651" s="683">
        <v>-842.47</v>
      </c>
      <c r="AC651" s="702">
        <v>521.6</v>
      </c>
      <c r="AD651" s="702">
        <v>598.27</v>
      </c>
      <c r="AE651" s="732"/>
      <c r="AF651" s="732"/>
      <c r="AG651" s="732"/>
      <c r="AH651" s="732"/>
      <c r="AI651" s="732"/>
      <c r="AJ651" s="732"/>
      <c r="AK651" s="732"/>
      <c r="AL651" s="732"/>
      <c r="AM651" s="732"/>
      <c r="AN651" s="732"/>
      <c r="AO651" s="732"/>
      <c r="AP651" s="732"/>
      <c r="AQ651" s="732"/>
      <c r="AR651" s="732"/>
      <c r="AS651" s="732"/>
      <c r="AT651" s="732"/>
      <c r="AU651" s="732"/>
      <c r="AV651" s="732"/>
      <c r="AW651" s="732"/>
      <c r="AX651" s="732"/>
      <c r="AY651" s="732"/>
      <c r="AZ651" s="732"/>
      <c r="BA651" s="732"/>
      <c r="BB651" s="732"/>
      <c r="BC651" s="732"/>
      <c r="BD651" s="732"/>
      <c r="BE651" s="732"/>
      <c r="BF651" s="732"/>
      <c r="BG651" s="732"/>
      <c r="BH651" s="732"/>
      <c r="BI651" s="732"/>
      <c r="BJ651" s="732"/>
      <c r="BK651" s="732"/>
      <c r="BL651" s="732"/>
      <c r="BM651" s="732"/>
      <c r="BN651" s="732"/>
      <c r="BO651" s="732"/>
      <c r="BP651" s="732"/>
      <c r="BQ651" s="732"/>
      <c r="BR651" s="732"/>
      <c r="BS651" s="732"/>
      <c r="BT651" s="732"/>
      <c r="BU651" s="732"/>
      <c r="BV651" s="732"/>
      <c r="BW651" s="732"/>
      <c r="BX651" s="732"/>
      <c r="BY651" s="732"/>
      <c r="BZ651" s="732"/>
      <c r="CA651" s="732"/>
    </row>
    <row r="652" spans="1:79" s="452" customFormat="1" hidden="1" outlineLevel="1" x14ac:dyDescent="0.35">
      <c r="A652" s="580"/>
      <c r="B652" s="580"/>
      <c r="C652" s="580"/>
      <c r="D652" s="580"/>
      <c r="E652" s="580"/>
      <c r="F652" s="677" t="s">
        <v>911</v>
      </c>
      <c r="G652" s="677"/>
      <c r="H652" s="735"/>
      <c r="I652" s="735"/>
      <c r="J652" s="735"/>
      <c r="K652" s="735"/>
      <c r="L652" s="735"/>
      <c r="M652" s="735"/>
      <c r="N652" s="735"/>
      <c r="O652" s="735"/>
      <c r="P652" s="732"/>
      <c r="Q652" s="732"/>
      <c r="R652" s="732"/>
      <c r="S652" s="683">
        <v>0</v>
      </c>
      <c r="T652" s="683">
        <v>0</v>
      </c>
      <c r="U652" s="683">
        <v>0</v>
      </c>
      <c r="V652" s="683">
        <v>0</v>
      </c>
      <c r="W652" s="683">
        <v>0</v>
      </c>
      <c r="X652" s="683">
        <v>0</v>
      </c>
      <c r="Y652" s="683">
        <v>0</v>
      </c>
      <c r="Z652" s="683">
        <v>0</v>
      </c>
      <c r="AA652" s="683">
        <v>0</v>
      </c>
      <c r="AB652" s="683">
        <v>0</v>
      </c>
      <c r="AC652" s="702">
        <v>0</v>
      </c>
      <c r="AD652" s="702">
        <v>0</v>
      </c>
      <c r="AE652" s="732"/>
      <c r="AF652" s="732"/>
      <c r="AG652" s="732"/>
      <c r="AH652" s="732"/>
      <c r="AI652" s="732"/>
      <c r="AJ652" s="732"/>
      <c r="AK652" s="732"/>
      <c r="AL652" s="732"/>
      <c r="AM652" s="732"/>
      <c r="AN652" s="732"/>
      <c r="AO652" s="732"/>
      <c r="AP652" s="732"/>
      <c r="AQ652" s="732"/>
      <c r="AR652" s="732"/>
      <c r="AS652" s="732"/>
      <c r="AT652" s="732"/>
      <c r="AU652" s="732"/>
      <c r="AV652" s="732"/>
      <c r="AW652" s="732"/>
      <c r="AX652" s="732"/>
      <c r="AY652" s="732"/>
      <c r="AZ652" s="732"/>
      <c r="BA652" s="732"/>
      <c r="BB652" s="732"/>
      <c r="BC652" s="732"/>
      <c r="BD652" s="732"/>
      <c r="BE652" s="732"/>
      <c r="BF652" s="732"/>
      <c r="BG652" s="732"/>
      <c r="BH652" s="732"/>
      <c r="BI652" s="732"/>
      <c r="BJ652" s="732"/>
      <c r="BK652" s="732"/>
      <c r="BL652" s="732"/>
      <c r="BM652" s="732"/>
      <c r="BN652" s="732"/>
      <c r="BO652" s="732"/>
      <c r="BP652" s="732"/>
      <c r="BQ652" s="732"/>
      <c r="BR652" s="732"/>
      <c r="BS652" s="732"/>
      <c r="BT652" s="732"/>
      <c r="BU652" s="732"/>
      <c r="BV652" s="732"/>
      <c r="BW652" s="732"/>
      <c r="BX652" s="732"/>
      <c r="BY652" s="732"/>
      <c r="BZ652" s="732"/>
      <c r="CA652" s="732"/>
    </row>
    <row r="653" spans="1:79" s="452" customFormat="1" hidden="1" outlineLevel="1" x14ac:dyDescent="0.35">
      <c r="A653" s="580"/>
      <c r="B653" s="580"/>
      <c r="C653" s="580"/>
      <c r="D653" s="580"/>
      <c r="E653" s="580"/>
      <c r="F653" s="677" t="s">
        <v>681</v>
      </c>
      <c r="G653" s="735">
        <v>8393.34</v>
      </c>
      <c r="H653" s="735">
        <v>8393.34</v>
      </c>
      <c r="I653" s="735">
        <v>8503.34</v>
      </c>
      <c r="J653" s="735">
        <v>9153.34</v>
      </c>
      <c r="K653" s="735">
        <v>6460.67</v>
      </c>
      <c r="L653" s="735">
        <v>9833.34</v>
      </c>
      <c r="M653" s="735">
        <v>8893.34</v>
      </c>
      <c r="N653" s="735">
        <v>11018.35</v>
      </c>
      <c r="O653" s="735">
        <v>9073.34</v>
      </c>
      <c r="P653" s="732">
        <v>10033.34</v>
      </c>
      <c r="Q653" s="732">
        <v>13806.810000000001</v>
      </c>
      <c r="R653" s="732">
        <v>11515.74</v>
      </c>
      <c r="S653" s="683">
        <v>0</v>
      </c>
      <c r="T653" s="683">
        <v>0</v>
      </c>
      <c r="U653" s="683">
        <v>0</v>
      </c>
      <c r="V653" s="683">
        <v>0</v>
      </c>
      <c r="W653" s="683">
        <v>0</v>
      </c>
      <c r="X653" s="683">
        <v>0</v>
      </c>
      <c r="Y653" s="683">
        <v>0</v>
      </c>
      <c r="Z653" s="683">
        <v>0</v>
      </c>
      <c r="AA653" s="683">
        <v>0</v>
      </c>
      <c r="AB653" s="683">
        <v>0</v>
      </c>
      <c r="AC653" s="702">
        <v>0</v>
      </c>
      <c r="AD653" s="702">
        <v>0</v>
      </c>
      <c r="AE653" s="732"/>
      <c r="AF653" s="732"/>
      <c r="AG653" s="732"/>
      <c r="AH653" s="732"/>
      <c r="AI653" s="732"/>
      <c r="AJ653" s="732"/>
      <c r="AK653" s="732"/>
      <c r="AL653" s="732"/>
      <c r="AM653" s="732"/>
      <c r="AN653" s="732"/>
      <c r="AO653" s="732"/>
      <c r="AP653" s="732"/>
      <c r="AQ653" s="732"/>
      <c r="AR653" s="732"/>
      <c r="AS653" s="732"/>
      <c r="AT653" s="732"/>
      <c r="AU653" s="732"/>
      <c r="AV653" s="732"/>
      <c r="AW653" s="732"/>
      <c r="AX653" s="732"/>
      <c r="AY653" s="732"/>
      <c r="AZ653" s="732"/>
      <c r="BA653" s="732"/>
      <c r="BB653" s="732"/>
      <c r="BC653" s="732"/>
      <c r="BD653" s="732"/>
      <c r="BE653" s="732"/>
      <c r="BF653" s="732"/>
      <c r="BG653" s="732"/>
      <c r="BH653" s="732"/>
      <c r="BI653" s="732"/>
      <c r="BJ653" s="732"/>
      <c r="BK653" s="732"/>
      <c r="BL653" s="732"/>
      <c r="BM653" s="732"/>
      <c r="BN653" s="732"/>
      <c r="BO653" s="732"/>
      <c r="BP653" s="732"/>
      <c r="BQ653" s="732"/>
      <c r="BR653" s="732"/>
      <c r="BS653" s="732"/>
      <c r="BT653" s="732"/>
      <c r="BU653" s="732"/>
      <c r="BV653" s="732"/>
      <c r="BW653" s="732"/>
      <c r="BX653" s="732"/>
      <c r="BY653" s="732"/>
      <c r="BZ653" s="732"/>
      <c r="CA653" s="732"/>
    </row>
    <row r="654" spans="1:79" s="757" customFormat="1" hidden="1" outlineLevel="1" x14ac:dyDescent="0.35">
      <c r="A654" s="504"/>
      <c r="B654" s="504"/>
      <c r="C654" s="504"/>
      <c r="D654" s="504"/>
      <c r="E654" s="504"/>
      <c r="F654" s="673" t="s">
        <v>642</v>
      </c>
      <c r="G654" s="749">
        <f>SUM(G646:G653)</f>
        <v>8393.34</v>
      </c>
      <c r="H654" s="749">
        <f t="shared" ref="H654:BO654" si="260">SUM(H646:H653)</f>
        <v>8393.34</v>
      </c>
      <c r="I654" s="749">
        <f t="shared" si="260"/>
        <v>8503.34</v>
      </c>
      <c r="J654" s="749">
        <f t="shared" si="260"/>
        <v>9153.34</v>
      </c>
      <c r="K654" s="749">
        <f t="shared" si="260"/>
        <v>6460.67</v>
      </c>
      <c r="L654" s="749">
        <f t="shared" si="260"/>
        <v>9833.34</v>
      </c>
      <c r="M654" s="749">
        <f t="shared" si="260"/>
        <v>8893.34</v>
      </c>
      <c r="N654" s="749">
        <f t="shared" si="260"/>
        <v>11018.35</v>
      </c>
      <c r="O654" s="749">
        <f t="shared" si="260"/>
        <v>9073.34</v>
      </c>
      <c r="P654" s="749">
        <f t="shared" si="260"/>
        <v>10033.34</v>
      </c>
      <c r="Q654" s="749">
        <f t="shared" si="260"/>
        <v>13806.810000000001</v>
      </c>
      <c r="R654" s="749">
        <f t="shared" si="260"/>
        <v>11515.74</v>
      </c>
      <c r="S654" s="695">
        <f t="shared" ref="S654:AA654" si="261">ROUND(SUM(S645:S653),5)</f>
        <v>9410.83</v>
      </c>
      <c r="T654" s="695">
        <f t="shared" si="261"/>
        <v>7710.83</v>
      </c>
      <c r="U654" s="695">
        <f t="shared" si="261"/>
        <v>9992.9699999999993</v>
      </c>
      <c r="V654" s="695">
        <f t="shared" si="261"/>
        <v>8016.08</v>
      </c>
      <c r="W654" s="695">
        <f t="shared" si="261"/>
        <v>16495.91</v>
      </c>
      <c r="X654" s="695">
        <f t="shared" si="261"/>
        <v>17166.52</v>
      </c>
      <c r="Y654" s="695">
        <f t="shared" si="261"/>
        <v>20086.41</v>
      </c>
      <c r="Z654" s="695">
        <f t="shared" si="261"/>
        <v>24451.56</v>
      </c>
      <c r="AA654" s="695">
        <f t="shared" si="261"/>
        <v>27313.53</v>
      </c>
      <c r="AB654" s="695">
        <f>ROUND(SUM(AB645:AB653),5)</f>
        <v>28690.19</v>
      </c>
      <c r="AC654" s="695">
        <f>ROUND(SUM(AC645:AC653),5)</f>
        <v>26952.84</v>
      </c>
      <c r="AD654" s="695">
        <f>ROUND(SUM(AD645:AD653),5)</f>
        <v>9093.35</v>
      </c>
      <c r="AE654" s="749">
        <f t="shared" si="260"/>
        <v>0</v>
      </c>
      <c r="AF654" s="749">
        <f t="shared" si="260"/>
        <v>0</v>
      </c>
      <c r="AG654" s="749">
        <f t="shared" si="260"/>
        <v>0</v>
      </c>
      <c r="AH654" s="749">
        <f t="shared" si="260"/>
        <v>0</v>
      </c>
      <c r="AI654" s="749">
        <f t="shared" si="260"/>
        <v>0</v>
      </c>
      <c r="AJ654" s="749">
        <f t="shared" si="260"/>
        <v>0</v>
      </c>
      <c r="AK654" s="749">
        <f t="shared" si="260"/>
        <v>0</v>
      </c>
      <c r="AL654" s="749">
        <f t="shared" si="260"/>
        <v>0</v>
      </c>
      <c r="AM654" s="749">
        <f t="shared" si="260"/>
        <v>0</v>
      </c>
      <c r="AN654" s="749">
        <f t="shared" si="260"/>
        <v>0</v>
      </c>
      <c r="AO654" s="749">
        <f t="shared" si="260"/>
        <v>0</v>
      </c>
      <c r="AP654" s="749">
        <f t="shared" si="260"/>
        <v>0</v>
      </c>
      <c r="AQ654" s="749">
        <f t="shared" si="260"/>
        <v>0</v>
      </c>
      <c r="AR654" s="749">
        <f t="shared" si="260"/>
        <v>0</v>
      </c>
      <c r="AS654" s="749">
        <f t="shared" si="260"/>
        <v>0</v>
      </c>
      <c r="AT654" s="749">
        <f t="shared" si="260"/>
        <v>0</v>
      </c>
      <c r="AU654" s="749">
        <f t="shared" si="260"/>
        <v>0</v>
      </c>
      <c r="AV654" s="749">
        <f t="shared" si="260"/>
        <v>0</v>
      </c>
      <c r="AW654" s="749">
        <f t="shared" si="260"/>
        <v>0</v>
      </c>
      <c r="AX654" s="749">
        <f t="shared" si="260"/>
        <v>0</v>
      </c>
      <c r="AY654" s="749">
        <f t="shared" si="260"/>
        <v>0</v>
      </c>
      <c r="AZ654" s="749">
        <f t="shared" si="260"/>
        <v>0</v>
      </c>
      <c r="BA654" s="749">
        <f t="shared" si="260"/>
        <v>0</v>
      </c>
      <c r="BB654" s="749">
        <f t="shared" si="260"/>
        <v>0</v>
      </c>
      <c r="BC654" s="749">
        <f t="shared" si="260"/>
        <v>0</v>
      </c>
      <c r="BD654" s="749">
        <f t="shared" si="260"/>
        <v>0</v>
      </c>
      <c r="BE654" s="749">
        <f t="shared" si="260"/>
        <v>0</v>
      </c>
      <c r="BF654" s="749">
        <f t="shared" si="260"/>
        <v>0</v>
      </c>
      <c r="BG654" s="749">
        <f t="shared" si="260"/>
        <v>0</v>
      </c>
      <c r="BH654" s="749">
        <f t="shared" si="260"/>
        <v>0</v>
      </c>
      <c r="BI654" s="749">
        <f t="shared" si="260"/>
        <v>0</v>
      </c>
      <c r="BJ654" s="749">
        <f t="shared" si="260"/>
        <v>0</v>
      </c>
      <c r="BK654" s="749">
        <f t="shared" si="260"/>
        <v>0</v>
      </c>
      <c r="BL654" s="749">
        <f t="shared" si="260"/>
        <v>0</v>
      </c>
      <c r="BM654" s="749">
        <f t="shared" si="260"/>
        <v>0</v>
      </c>
      <c r="BN654" s="749">
        <f t="shared" si="260"/>
        <v>0</v>
      </c>
      <c r="BO654" s="749">
        <f t="shared" si="260"/>
        <v>0</v>
      </c>
      <c r="BP654" s="749">
        <f t="shared" ref="BP654:CA654" si="262">SUM(BP646:BP653)</f>
        <v>0</v>
      </c>
      <c r="BQ654" s="749">
        <f t="shared" si="262"/>
        <v>0</v>
      </c>
      <c r="BR654" s="749">
        <f t="shared" si="262"/>
        <v>0</v>
      </c>
      <c r="BS654" s="749">
        <f t="shared" si="262"/>
        <v>0</v>
      </c>
      <c r="BT654" s="749">
        <f t="shared" si="262"/>
        <v>0</v>
      </c>
      <c r="BU654" s="749">
        <f t="shared" si="262"/>
        <v>0</v>
      </c>
      <c r="BV654" s="749">
        <f t="shared" si="262"/>
        <v>0</v>
      </c>
      <c r="BW654" s="749">
        <f t="shared" si="262"/>
        <v>0</v>
      </c>
      <c r="BX654" s="749">
        <f t="shared" si="262"/>
        <v>0</v>
      </c>
      <c r="BY654" s="749">
        <f t="shared" si="262"/>
        <v>0</v>
      </c>
      <c r="BZ654" s="749">
        <f t="shared" si="262"/>
        <v>0</v>
      </c>
      <c r="CA654" s="749">
        <f t="shared" si="262"/>
        <v>0</v>
      </c>
    </row>
    <row r="655" spans="1:79" s="452" customFormat="1" hidden="1" outlineLevel="1" x14ac:dyDescent="0.35">
      <c r="A655" s="80"/>
      <c r="B655" s="80"/>
      <c r="C655" s="80"/>
      <c r="D655" s="80"/>
      <c r="E655" s="80"/>
      <c r="F655" s="672" t="s">
        <v>643</v>
      </c>
      <c r="G655" s="735"/>
      <c r="H655" s="735"/>
      <c r="I655" s="735"/>
      <c r="J655" s="735"/>
      <c r="K655" s="735"/>
      <c r="L655" s="735"/>
      <c r="M655" s="735"/>
      <c r="N655" s="735"/>
      <c r="O655" s="735"/>
      <c r="P655" s="732"/>
      <c r="Q655" s="732"/>
      <c r="R655" s="732"/>
      <c r="S655" s="687">
        <v>4.4000000000000004</v>
      </c>
      <c r="T655" s="687">
        <v>0</v>
      </c>
      <c r="U655" s="687">
        <v>0</v>
      </c>
      <c r="V655" s="687">
        <v>0</v>
      </c>
      <c r="W655" s="687">
        <v>0</v>
      </c>
      <c r="X655" s="687">
        <v>0</v>
      </c>
      <c r="Y655" s="687">
        <v>0</v>
      </c>
      <c r="Z655" s="687">
        <v>0</v>
      </c>
      <c r="AA655" s="687">
        <v>0</v>
      </c>
      <c r="AB655" s="687">
        <v>0</v>
      </c>
      <c r="AC655" s="706">
        <v>0</v>
      </c>
      <c r="AD655" s="706">
        <v>0</v>
      </c>
      <c r="AE655" s="732"/>
      <c r="AF655" s="732"/>
      <c r="AG655" s="732"/>
      <c r="AH655" s="732"/>
      <c r="AI655" s="732"/>
      <c r="AJ655" s="732"/>
      <c r="AK655" s="732"/>
      <c r="AL655" s="732"/>
      <c r="AM655" s="732"/>
      <c r="AN655" s="732"/>
      <c r="AO655" s="732"/>
      <c r="AP655" s="732"/>
      <c r="AQ655" s="732"/>
      <c r="AR655" s="732"/>
      <c r="AS655" s="732"/>
      <c r="AT655" s="732"/>
      <c r="AU655" s="732"/>
      <c r="AV655" s="732"/>
      <c r="AW655" s="732"/>
      <c r="AX655" s="732"/>
      <c r="AY655" s="732"/>
      <c r="AZ655" s="732"/>
      <c r="BA655" s="732"/>
      <c r="BB655" s="732"/>
      <c r="BC655" s="732"/>
      <c r="BD655" s="732"/>
      <c r="BE655" s="732"/>
      <c r="BF655" s="732"/>
      <c r="BG655" s="732"/>
      <c r="BH655" s="732"/>
      <c r="BI655" s="732"/>
      <c r="BJ655" s="732"/>
      <c r="BK655" s="732"/>
      <c r="BL655" s="732"/>
      <c r="BM655" s="732"/>
      <c r="BN655" s="732"/>
      <c r="BO655" s="732"/>
      <c r="BP655" s="732"/>
      <c r="BQ655" s="732"/>
      <c r="BR655" s="732"/>
      <c r="BS655" s="732"/>
      <c r="BT655" s="732"/>
      <c r="BU655" s="732"/>
      <c r="BV655" s="732"/>
      <c r="BW655" s="732"/>
      <c r="BX655" s="732"/>
      <c r="BY655" s="732"/>
      <c r="BZ655" s="732"/>
      <c r="CA655" s="732"/>
    </row>
    <row r="656" spans="1:79" s="309" customFormat="1" hidden="1" outlineLevel="1" x14ac:dyDescent="0.35">
      <c r="A656" s="30"/>
      <c r="B656" s="30"/>
      <c r="C656" s="30"/>
      <c r="D656" s="30"/>
      <c r="E656" s="30"/>
      <c r="F656" s="675" t="s">
        <v>644</v>
      </c>
      <c r="G656" s="749">
        <f>G654+G644</f>
        <v>9040.825025247952</v>
      </c>
      <c r="H656" s="749">
        <f t="shared" ref="H656:BO656" si="263">H654+H644</f>
        <v>8961.3278112356056</v>
      </c>
      <c r="I656" s="749">
        <f t="shared" si="263"/>
        <v>8987.1048993974837</v>
      </c>
      <c r="J656" s="749">
        <f t="shared" si="263"/>
        <v>9502.2703778282848</v>
      </c>
      <c r="K656" s="749">
        <f t="shared" si="263"/>
        <v>6607.6548645223238</v>
      </c>
      <c r="L656" s="749">
        <f t="shared" si="263"/>
        <v>10172.674014432794</v>
      </c>
      <c r="M656" s="749">
        <f t="shared" si="263"/>
        <v>9218.6648696523371</v>
      </c>
      <c r="N656" s="749">
        <f t="shared" si="263"/>
        <v>11507.85498386608</v>
      </c>
      <c r="O656" s="749">
        <f t="shared" si="263"/>
        <v>9414.4400417115248</v>
      </c>
      <c r="P656" s="749">
        <f t="shared" si="263"/>
        <v>10447.904561516651</v>
      </c>
      <c r="Q656" s="749">
        <f t="shared" si="263"/>
        <v>14486.431255502628</v>
      </c>
      <c r="R656" s="749">
        <f t="shared" si="263"/>
        <v>11972.187175655527</v>
      </c>
      <c r="S656" s="695">
        <f t="shared" ref="S656:AB656" si="264">ROUND(S627+S634+S644+SUM(S654:S655),5)</f>
        <v>10400.24</v>
      </c>
      <c r="T656" s="695">
        <f t="shared" si="264"/>
        <v>8300.7099999999991</v>
      </c>
      <c r="U656" s="695">
        <f t="shared" si="264"/>
        <v>10757.43</v>
      </c>
      <c r="V656" s="695">
        <f t="shared" si="264"/>
        <v>8627.6200000000008</v>
      </c>
      <c r="W656" s="695">
        <f t="shared" si="264"/>
        <v>18054.66</v>
      </c>
      <c r="X656" s="695">
        <f t="shared" si="264"/>
        <v>18425.7</v>
      </c>
      <c r="Y656" s="695">
        <f t="shared" si="264"/>
        <v>21504.48</v>
      </c>
      <c r="Z656" s="695">
        <f t="shared" si="264"/>
        <v>26600.58</v>
      </c>
      <c r="AA656" s="695">
        <f t="shared" si="264"/>
        <v>29751.08</v>
      </c>
      <c r="AB656" s="695">
        <f t="shared" si="264"/>
        <v>31333.56</v>
      </c>
      <c r="AC656" s="695">
        <f>ROUND(AC627+AC634+AC644+SUM(AC654:AC655),5)</f>
        <v>30723.63</v>
      </c>
      <c r="AD656" s="695">
        <f>ROUND(AD627+AD634+AD644+SUM(AD654:AD655),5)</f>
        <v>11009.23</v>
      </c>
      <c r="AE656" s="749">
        <f t="shared" si="263"/>
        <v>0</v>
      </c>
      <c r="AF656" s="749">
        <f t="shared" si="263"/>
        <v>0</v>
      </c>
      <c r="AG656" s="749">
        <f t="shared" si="263"/>
        <v>0</v>
      </c>
      <c r="AH656" s="749">
        <f t="shared" si="263"/>
        <v>0</v>
      </c>
      <c r="AI656" s="749">
        <f t="shared" si="263"/>
        <v>0</v>
      </c>
      <c r="AJ656" s="749">
        <f t="shared" si="263"/>
        <v>0</v>
      </c>
      <c r="AK656" s="749">
        <f t="shared" si="263"/>
        <v>0</v>
      </c>
      <c r="AL656" s="749">
        <f t="shared" si="263"/>
        <v>0</v>
      </c>
      <c r="AM656" s="749">
        <f t="shared" si="263"/>
        <v>0</v>
      </c>
      <c r="AN656" s="749">
        <f t="shared" si="263"/>
        <v>0</v>
      </c>
      <c r="AO656" s="749">
        <f t="shared" si="263"/>
        <v>0</v>
      </c>
      <c r="AP656" s="749">
        <f t="shared" si="263"/>
        <v>0</v>
      </c>
      <c r="AQ656" s="749">
        <f t="shared" si="263"/>
        <v>0</v>
      </c>
      <c r="AR656" s="749">
        <f t="shared" si="263"/>
        <v>0</v>
      </c>
      <c r="AS656" s="749">
        <f t="shared" si="263"/>
        <v>0</v>
      </c>
      <c r="AT656" s="749">
        <f t="shared" si="263"/>
        <v>0</v>
      </c>
      <c r="AU656" s="749">
        <f t="shared" si="263"/>
        <v>0</v>
      </c>
      <c r="AV656" s="749">
        <f t="shared" si="263"/>
        <v>0</v>
      </c>
      <c r="AW656" s="749">
        <f t="shared" si="263"/>
        <v>0</v>
      </c>
      <c r="AX656" s="749">
        <f t="shared" si="263"/>
        <v>0</v>
      </c>
      <c r="AY656" s="749">
        <f t="shared" si="263"/>
        <v>0</v>
      </c>
      <c r="AZ656" s="749">
        <f t="shared" si="263"/>
        <v>0</v>
      </c>
      <c r="BA656" s="749">
        <f t="shared" si="263"/>
        <v>0</v>
      </c>
      <c r="BB656" s="749">
        <f t="shared" si="263"/>
        <v>0</v>
      </c>
      <c r="BC656" s="749">
        <f t="shared" si="263"/>
        <v>0</v>
      </c>
      <c r="BD656" s="749">
        <f t="shared" si="263"/>
        <v>0</v>
      </c>
      <c r="BE656" s="749">
        <f t="shared" si="263"/>
        <v>0</v>
      </c>
      <c r="BF656" s="749">
        <f t="shared" si="263"/>
        <v>0</v>
      </c>
      <c r="BG656" s="749">
        <f t="shared" si="263"/>
        <v>0</v>
      </c>
      <c r="BH656" s="749">
        <f t="shared" si="263"/>
        <v>0</v>
      </c>
      <c r="BI656" s="749">
        <f t="shared" si="263"/>
        <v>0</v>
      </c>
      <c r="BJ656" s="749">
        <f t="shared" si="263"/>
        <v>0</v>
      </c>
      <c r="BK656" s="749">
        <f t="shared" si="263"/>
        <v>0</v>
      </c>
      <c r="BL656" s="749">
        <f t="shared" si="263"/>
        <v>0</v>
      </c>
      <c r="BM656" s="749">
        <f t="shared" si="263"/>
        <v>0</v>
      </c>
      <c r="BN656" s="749">
        <f t="shared" si="263"/>
        <v>0</v>
      </c>
      <c r="BO656" s="749">
        <f t="shared" si="263"/>
        <v>0</v>
      </c>
      <c r="BP656" s="749">
        <f t="shared" ref="BP656:CA656" si="265">BP654+BP644</f>
        <v>0</v>
      </c>
      <c r="BQ656" s="749">
        <f t="shared" si="265"/>
        <v>0</v>
      </c>
      <c r="BR656" s="749">
        <f t="shared" si="265"/>
        <v>0</v>
      </c>
      <c r="BS656" s="749">
        <f t="shared" si="265"/>
        <v>0</v>
      </c>
      <c r="BT656" s="749">
        <f t="shared" si="265"/>
        <v>0</v>
      </c>
      <c r="BU656" s="749">
        <f t="shared" si="265"/>
        <v>0</v>
      </c>
      <c r="BV656" s="749">
        <f t="shared" si="265"/>
        <v>0</v>
      </c>
      <c r="BW656" s="749">
        <f t="shared" si="265"/>
        <v>0</v>
      </c>
      <c r="BX656" s="749">
        <f t="shared" si="265"/>
        <v>0</v>
      </c>
      <c r="BY656" s="749">
        <f t="shared" si="265"/>
        <v>0</v>
      </c>
      <c r="BZ656" s="749">
        <f t="shared" si="265"/>
        <v>0</v>
      </c>
      <c r="CA656" s="749">
        <f t="shared" si="265"/>
        <v>0</v>
      </c>
    </row>
    <row r="657" spans="1:79" s="309" customFormat="1" hidden="1" outlineLevel="1" x14ac:dyDescent="0.35">
      <c r="A657" s="575"/>
      <c r="B657" s="575"/>
      <c r="C657" s="575"/>
      <c r="D657" s="575"/>
      <c r="E657" s="575"/>
      <c r="F657" s="671" t="s">
        <v>912</v>
      </c>
      <c r="G657" s="749"/>
      <c r="H657" s="749"/>
      <c r="I657" s="749"/>
      <c r="J657" s="749"/>
      <c r="K657" s="749"/>
      <c r="L657" s="749"/>
      <c r="M657" s="749"/>
      <c r="N657" s="749"/>
      <c r="O657" s="749"/>
      <c r="P657" s="749"/>
      <c r="Q657" s="749"/>
      <c r="R657" s="749"/>
      <c r="S657" s="700">
        <v>0</v>
      </c>
      <c r="T657" s="700">
        <v>0</v>
      </c>
      <c r="U657" s="700">
        <v>0</v>
      </c>
      <c r="V657" s="700">
        <v>0</v>
      </c>
      <c r="W657" s="700">
        <v>0</v>
      </c>
      <c r="X657" s="700">
        <v>0</v>
      </c>
      <c r="Y657" s="700">
        <v>0</v>
      </c>
      <c r="Z657" s="700">
        <v>0</v>
      </c>
      <c r="AA657" s="700">
        <v>0</v>
      </c>
      <c r="AB657" s="700">
        <v>0</v>
      </c>
      <c r="AC657" s="706">
        <v>0</v>
      </c>
      <c r="AD657" s="706">
        <v>0</v>
      </c>
      <c r="AE657" s="749"/>
      <c r="AF657" s="749"/>
      <c r="AG657" s="749"/>
      <c r="AH657" s="749"/>
      <c r="AI657" s="749"/>
      <c r="AJ657" s="749"/>
      <c r="AK657" s="749"/>
      <c r="AL657" s="749"/>
      <c r="AM657" s="749"/>
      <c r="AN657" s="749"/>
      <c r="AO657" s="749"/>
      <c r="AP657" s="749"/>
      <c r="AQ657" s="749"/>
      <c r="AR657" s="749"/>
      <c r="AS657" s="749"/>
      <c r="AT657" s="749"/>
      <c r="AU657" s="749"/>
      <c r="AV657" s="749"/>
      <c r="AW657" s="749"/>
      <c r="AX657" s="749"/>
      <c r="AY657" s="749"/>
      <c r="AZ657" s="749"/>
      <c r="BA657" s="749"/>
      <c r="BB657" s="749"/>
      <c r="BC657" s="749"/>
      <c r="BD657" s="749"/>
      <c r="BE657" s="749"/>
      <c r="BF657" s="749"/>
      <c r="BG657" s="749"/>
      <c r="BH657" s="749"/>
      <c r="BI657" s="749"/>
      <c r="BJ657" s="749"/>
      <c r="BK657" s="749"/>
      <c r="BL657" s="749"/>
      <c r="BM657" s="749"/>
      <c r="BN657" s="749"/>
      <c r="BO657" s="749"/>
      <c r="BP657" s="749"/>
      <c r="BQ657" s="749"/>
      <c r="BR657" s="749"/>
      <c r="BS657" s="749"/>
      <c r="BT657" s="749"/>
      <c r="BU657" s="749"/>
      <c r="BV657" s="749"/>
      <c r="BW657" s="749"/>
      <c r="BX657" s="749"/>
      <c r="BY657" s="749"/>
      <c r="BZ657" s="749"/>
      <c r="CA657" s="749"/>
    </row>
    <row r="658" spans="1:79" s="726" customFormat="1" hidden="1" outlineLevel="1" x14ac:dyDescent="0.35">
      <c r="F658" s="717" t="s">
        <v>606</v>
      </c>
      <c r="G658" s="750"/>
      <c r="H658" s="750"/>
      <c r="I658" s="750"/>
      <c r="J658" s="750"/>
      <c r="K658" s="750"/>
      <c r="L658" s="750"/>
      <c r="M658" s="750"/>
      <c r="N658" s="750"/>
      <c r="O658" s="750"/>
      <c r="P658" s="751"/>
      <c r="Q658" s="751"/>
      <c r="R658" s="751"/>
      <c r="S658" s="713"/>
      <c r="T658" s="713"/>
      <c r="U658" s="713"/>
      <c r="V658" s="713"/>
      <c r="W658" s="713"/>
      <c r="X658" s="713"/>
      <c r="Y658" s="713"/>
      <c r="Z658" s="713"/>
      <c r="AA658" s="713"/>
      <c r="AB658" s="713"/>
      <c r="AC658" s="713"/>
      <c r="AD658" s="713"/>
      <c r="AE658" s="751"/>
      <c r="AF658" s="751"/>
      <c r="AG658" s="751"/>
      <c r="AH658" s="751"/>
      <c r="AI658" s="751"/>
      <c r="AJ658" s="751"/>
      <c r="AK658" s="751"/>
      <c r="AL658" s="751"/>
      <c r="AM658" s="751"/>
      <c r="AN658" s="751"/>
      <c r="AO658" s="751"/>
      <c r="AP658" s="751"/>
      <c r="AQ658" s="751"/>
      <c r="AR658" s="751"/>
      <c r="AS658" s="751"/>
      <c r="AT658" s="751"/>
      <c r="AU658" s="751"/>
      <c r="AV658" s="751"/>
      <c r="AW658" s="751"/>
      <c r="AX658" s="751"/>
      <c r="AY658" s="751"/>
      <c r="AZ658" s="751"/>
      <c r="BA658" s="751"/>
      <c r="BB658" s="751"/>
      <c r="BC658" s="751"/>
      <c r="BD658" s="751"/>
      <c r="BE658" s="751"/>
      <c r="BF658" s="751"/>
      <c r="BG658" s="751"/>
      <c r="BH658" s="751"/>
      <c r="BI658" s="751"/>
      <c r="BJ658" s="751"/>
      <c r="BK658" s="751"/>
      <c r="BL658" s="751"/>
      <c r="BM658" s="751"/>
      <c r="BN658" s="751"/>
      <c r="BO658" s="751"/>
      <c r="BP658" s="751"/>
      <c r="BQ658" s="751"/>
      <c r="BR658" s="751"/>
      <c r="BS658" s="751"/>
      <c r="BT658" s="751"/>
      <c r="BU658" s="751"/>
      <c r="BV658" s="751"/>
      <c r="BW658" s="751"/>
      <c r="BX658" s="751"/>
      <c r="BY658" s="751"/>
      <c r="BZ658" s="751"/>
      <c r="CA658" s="751"/>
    </row>
    <row r="659" spans="1:79" s="452" customFormat="1" hidden="1" outlineLevel="1" x14ac:dyDescent="0.35">
      <c r="A659" s="80"/>
      <c r="B659" s="80"/>
      <c r="C659" s="80"/>
      <c r="D659" s="80"/>
      <c r="E659" s="80"/>
      <c r="F659" s="672" t="s">
        <v>645</v>
      </c>
      <c r="G659" s="735">
        <v>79.635799496401887</v>
      </c>
      <c r="H659" s="735">
        <v>47.571414196631828</v>
      </c>
      <c r="I659" s="735">
        <v>67.085710893335957</v>
      </c>
      <c r="J659" s="735">
        <v>-103.00110200944022</v>
      </c>
      <c r="K659" s="735">
        <v>16.603381458639483</v>
      </c>
      <c r="L659" s="735">
        <v>-127.04875876313812</v>
      </c>
      <c r="M659" s="735">
        <v>-50.816661372038567</v>
      </c>
      <c r="N659" s="735">
        <v>-294.42966602875572</v>
      </c>
      <c r="O659" s="735">
        <v>-28.104562373952291</v>
      </c>
      <c r="P659" s="732">
        <v>-69.853372363127178</v>
      </c>
      <c r="Q659" s="732">
        <v>-19.216115292375406</v>
      </c>
      <c r="R659" s="732">
        <v>341.17510993168139</v>
      </c>
      <c r="S659" s="683">
        <v>606.96</v>
      </c>
      <c r="T659" s="683">
        <v>346.91</v>
      </c>
      <c r="U659" s="683">
        <v>346.92</v>
      </c>
      <c r="V659" s="683">
        <v>346.91</v>
      </c>
      <c r="W659" s="683">
        <v>951.81</v>
      </c>
      <c r="X659" s="683">
        <v>1112.57</v>
      </c>
      <c r="Y659" s="683">
        <v>1086.55</v>
      </c>
      <c r="Z659" s="683">
        <v>1038.47</v>
      </c>
      <c r="AA659" s="683">
        <v>1044.44</v>
      </c>
      <c r="AB659" s="683">
        <v>1403.81</v>
      </c>
      <c r="AC659" s="682">
        <v>0</v>
      </c>
      <c r="AD659" s="682">
        <v>0</v>
      </c>
      <c r="AE659" s="732"/>
      <c r="AF659" s="732"/>
      <c r="AG659" s="732"/>
      <c r="AH659" s="732"/>
      <c r="AI659" s="732"/>
      <c r="AJ659" s="732"/>
      <c r="AK659" s="732"/>
      <c r="AL659" s="732"/>
      <c r="AM659" s="732"/>
      <c r="AN659" s="732"/>
      <c r="AO659" s="732"/>
      <c r="AP659" s="732"/>
      <c r="AQ659" s="732"/>
      <c r="AR659" s="732"/>
      <c r="AS659" s="732"/>
      <c r="AT659" s="732"/>
      <c r="AU659" s="732"/>
      <c r="AV659" s="732"/>
      <c r="AW659" s="732"/>
      <c r="AX659" s="732"/>
      <c r="AY659" s="732"/>
      <c r="AZ659" s="732"/>
      <c r="BA659" s="732"/>
      <c r="BB659" s="732"/>
      <c r="BC659" s="732"/>
      <c r="BD659" s="732"/>
      <c r="BE659" s="732"/>
      <c r="BF659" s="732"/>
      <c r="BG659" s="732"/>
      <c r="BH659" s="732"/>
      <c r="BI659" s="732"/>
      <c r="BJ659" s="732"/>
      <c r="BK659" s="732"/>
      <c r="BL659" s="732"/>
      <c r="BM659" s="732"/>
      <c r="BN659" s="732"/>
      <c r="BO659" s="732"/>
      <c r="BP659" s="732"/>
      <c r="BQ659" s="732"/>
      <c r="BR659" s="732"/>
      <c r="BS659" s="732"/>
      <c r="BT659" s="732"/>
      <c r="BU659" s="732"/>
      <c r="BV659" s="732"/>
      <c r="BW659" s="732"/>
      <c r="BX659" s="732"/>
      <c r="BY659" s="732"/>
      <c r="BZ659" s="732"/>
      <c r="CA659" s="732"/>
    </row>
    <row r="660" spans="1:79" s="452" customFormat="1" hidden="1" outlineLevel="1" x14ac:dyDescent="0.35">
      <c r="A660" s="580"/>
      <c r="B660" s="580"/>
      <c r="C660" s="580"/>
      <c r="D660" s="580"/>
      <c r="E660" s="580"/>
      <c r="F660" s="672" t="s">
        <v>913</v>
      </c>
      <c r="G660" s="735"/>
      <c r="H660" s="735"/>
      <c r="I660" s="735"/>
      <c r="J660" s="735"/>
      <c r="K660" s="735"/>
      <c r="L660" s="735"/>
      <c r="M660" s="735"/>
      <c r="N660" s="735"/>
      <c r="O660" s="735"/>
      <c r="P660" s="732"/>
      <c r="Q660" s="732"/>
      <c r="R660" s="732"/>
      <c r="S660" s="692">
        <v>0</v>
      </c>
      <c r="T660" s="692">
        <v>0</v>
      </c>
      <c r="U660" s="692">
        <v>0</v>
      </c>
      <c r="V660" s="692">
        <v>0</v>
      </c>
      <c r="W660" s="692">
        <v>0</v>
      </c>
      <c r="X660" s="692">
        <v>0</v>
      </c>
      <c r="Y660" s="692">
        <v>0</v>
      </c>
      <c r="Z660" s="692">
        <v>0</v>
      </c>
      <c r="AA660" s="692">
        <v>0</v>
      </c>
      <c r="AB660" s="692">
        <v>0</v>
      </c>
      <c r="AC660" s="691">
        <v>0</v>
      </c>
      <c r="AD660" s="691">
        <v>0</v>
      </c>
      <c r="AE660" s="732"/>
      <c r="AF660" s="732"/>
      <c r="AG660" s="732"/>
      <c r="AH660" s="732"/>
      <c r="AI660" s="732"/>
      <c r="AJ660" s="732"/>
      <c r="AK660" s="732"/>
      <c r="AL660" s="732"/>
      <c r="AM660" s="732"/>
      <c r="AN660" s="732"/>
      <c r="AO660" s="732"/>
      <c r="AP660" s="732"/>
      <c r="AQ660" s="732"/>
      <c r="AR660" s="732"/>
      <c r="AS660" s="732"/>
      <c r="AT660" s="732"/>
      <c r="AU660" s="732"/>
      <c r="AV660" s="732"/>
      <c r="AW660" s="732"/>
      <c r="AX660" s="732"/>
      <c r="AY660" s="732"/>
      <c r="AZ660" s="732"/>
      <c r="BA660" s="732"/>
      <c r="BB660" s="732"/>
      <c r="BC660" s="732"/>
      <c r="BD660" s="732"/>
      <c r="BE660" s="732"/>
      <c r="BF660" s="732"/>
      <c r="BG660" s="732"/>
      <c r="BH660" s="732"/>
      <c r="BI660" s="732"/>
      <c r="BJ660" s="732"/>
      <c r="BK660" s="732"/>
      <c r="BL660" s="732"/>
      <c r="BM660" s="732"/>
      <c r="BN660" s="732"/>
      <c r="BO660" s="732"/>
      <c r="BP660" s="732"/>
      <c r="BQ660" s="732"/>
      <c r="BR660" s="732"/>
      <c r="BS660" s="732"/>
      <c r="BT660" s="732"/>
      <c r="BU660" s="732"/>
      <c r="BV660" s="732"/>
      <c r="BW660" s="732"/>
      <c r="BX660" s="732"/>
      <c r="BY660" s="732"/>
      <c r="BZ660" s="732"/>
      <c r="CA660" s="732"/>
    </row>
    <row r="661" spans="1:79" s="452" customFormat="1" hidden="1" outlineLevel="1" x14ac:dyDescent="0.35">
      <c r="A661" s="580"/>
      <c r="B661" s="580"/>
      <c r="C661" s="580"/>
      <c r="D661" s="580"/>
      <c r="E661" s="580"/>
      <c r="F661" s="672" t="s">
        <v>770</v>
      </c>
      <c r="G661" s="735"/>
      <c r="H661" s="735"/>
      <c r="I661" s="735"/>
      <c r="J661" s="735"/>
      <c r="K661" s="735"/>
      <c r="L661" s="735"/>
      <c r="M661" s="735"/>
      <c r="N661" s="735"/>
      <c r="O661" s="735"/>
      <c r="P661" s="732"/>
      <c r="Q661" s="732"/>
      <c r="R661" s="732"/>
      <c r="S661" s="692">
        <v>0</v>
      </c>
      <c r="T661" s="692">
        <v>0</v>
      </c>
      <c r="U661" s="692">
        <v>0</v>
      </c>
      <c r="V661" s="692">
        <v>0</v>
      </c>
      <c r="W661" s="692">
        <v>0</v>
      </c>
      <c r="X661" s="692">
        <v>0</v>
      </c>
      <c r="Y661" s="692">
        <v>0</v>
      </c>
      <c r="Z661" s="692">
        <v>0</v>
      </c>
      <c r="AA661" s="692">
        <v>0</v>
      </c>
      <c r="AB661" s="692">
        <v>0</v>
      </c>
      <c r="AC661" s="691">
        <v>0</v>
      </c>
      <c r="AD661" s="691">
        <v>0</v>
      </c>
      <c r="AE661" s="732"/>
      <c r="AF661" s="732"/>
      <c r="AG661" s="732"/>
      <c r="AH661" s="732"/>
      <c r="AI661" s="732"/>
      <c r="AJ661" s="732"/>
      <c r="AK661" s="732"/>
      <c r="AL661" s="732"/>
      <c r="AM661" s="732"/>
      <c r="AN661" s="732"/>
      <c r="AO661" s="732"/>
      <c r="AP661" s="732"/>
      <c r="AQ661" s="732"/>
      <c r="AR661" s="732"/>
      <c r="AS661" s="732"/>
      <c r="AT661" s="732"/>
      <c r="AU661" s="732"/>
      <c r="AV661" s="732"/>
      <c r="AW661" s="732"/>
      <c r="AX661" s="732"/>
      <c r="AY661" s="732"/>
      <c r="AZ661" s="732"/>
      <c r="BA661" s="732"/>
      <c r="BB661" s="732"/>
      <c r="BC661" s="732"/>
      <c r="BD661" s="732"/>
      <c r="BE661" s="732"/>
      <c r="BF661" s="732"/>
      <c r="BG661" s="732"/>
      <c r="BH661" s="732"/>
      <c r="BI661" s="732"/>
      <c r="BJ661" s="732"/>
      <c r="BK661" s="732"/>
      <c r="BL661" s="732"/>
      <c r="BM661" s="732"/>
      <c r="BN661" s="732"/>
      <c r="BO661" s="732"/>
      <c r="BP661" s="732"/>
      <c r="BQ661" s="732"/>
      <c r="BR661" s="732"/>
      <c r="BS661" s="732"/>
      <c r="BT661" s="732"/>
      <c r="BU661" s="732"/>
      <c r="BV661" s="732"/>
      <c r="BW661" s="732"/>
      <c r="BX661" s="732"/>
      <c r="BY661" s="732"/>
      <c r="BZ661" s="732"/>
      <c r="CA661" s="732"/>
    </row>
    <row r="662" spans="1:79" s="309" customFormat="1" hidden="1" outlineLevel="1" x14ac:dyDescent="0.35">
      <c r="A662" s="30"/>
      <c r="B662" s="30"/>
      <c r="C662" s="30"/>
      <c r="D662" s="30"/>
      <c r="E662" s="30"/>
      <c r="F662" s="678" t="s">
        <v>646</v>
      </c>
      <c r="G662" s="695">
        <f>SUM(G659:G661)</f>
        <v>79.635799496401887</v>
      </c>
      <c r="H662" s="695">
        <f t="shared" ref="H662:BO662" si="266">SUM(H659:H661)</f>
        <v>47.571414196631828</v>
      </c>
      <c r="I662" s="695">
        <f t="shared" si="266"/>
        <v>67.085710893335957</v>
      </c>
      <c r="J662" s="695">
        <f t="shared" si="266"/>
        <v>-103.00110200944022</v>
      </c>
      <c r="K662" s="695">
        <f t="shared" si="266"/>
        <v>16.603381458639483</v>
      </c>
      <c r="L662" s="695">
        <f t="shared" si="266"/>
        <v>-127.04875876313812</v>
      </c>
      <c r="M662" s="695">
        <f t="shared" si="266"/>
        <v>-50.816661372038567</v>
      </c>
      <c r="N662" s="695">
        <f t="shared" si="266"/>
        <v>-294.42966602875572</v>
      </c>
      <c r="O662" s="695">
        <f t="shared" si="266"/>
        <v>-28.104562373952291</v>
      </c>
      <c r="P662" s="695">
        <f t="shared" si="266"/>
        <v>-69.853372363127178</v>
      </c>
      <c r="Q662" s="695">
        <f t="shared" si="266"/>
        <v>-19.216115292375406</v>
      </c>
      <c r="R662" s="695">
        <f t="shared" si="266"/>
        <v>341.17510993168139</v>
      </c>
      <c r="S662" s="694">
        <f t="shared" ref="S662:AA662" si="267">ROUND(SUM(S658:S661),5)</f>
        <v>606.96</v>
      </c>
      <c r="T662" s="694">
        <f t="shared" si="267"/>
        <v>346.91</v>
      </c>
      <c r="U662" s="694">
        <f t="shared" si="267"/>
        <v>346.92</v>
      </c>
      <c r="V662" s="694">
        <f t="shared" si="267"/>
        <v>346.91</v>
      </c>
      <c r="W662" s="694">
        <f t="shared" si="267"/>
        <v>951.81</v>
      </c>
      <c r="X662" s="694">
        <f t="shared" si="267"/>
        <v>1112.57</v>
      </c>
      <c r="Y662" s="694">
        <f t="shared" si="267"/>
        <v>1086.55</v>
      </c>
      <c r="Z662" s="694">
        <f t="shared" si="267"/>
        <v>1038.47</v>
      </c>
      <c r="AA662" s="694">
        <f t="shared" si="267"/>
        <v>1044.44</v>
      </c>
      <c r="AB662" s="694">
        <f>ROUND(SUM(AB658:AB661),5)</f>
        <v>1403.81</v>
      </c>
      <c r="AC662" s="694">
        <f>ROUND(SUM(AC658:AC661),5)</f>
        <v>0</v>
      </c>
      <c r="AD662" s="694">
        <f>ROUND(SUM(AD658:AD661),5)</f>
        <v>0</v>
      </c>
      <c r="AE662" s="695">
        <f t="shared" si="266"/>
        <v>0</v>
      </c>
      <c r="AF662" s="695">
        <f t="shared" si="266"/>
        <v>0</v>
      </c>
      <c r="AG662" s="695">
        <f t="shared" si="266"/>
        <v>0</v>
      </c>
      <c r="AH662" s="695">
        <f t="shared" si="266"/>
        <v>0</v>
      </c>
      <c r="AI662" s="695">
        <f t="shared" si="266"/>
        <v>0</v>
      </c>
      <c r="AJ662" s="695">
        <f t="shared" si="266"/>
        <v>0</v>
      </c>
      <c r="AK662" s="695">
        <f t="shared" si="266"/>
        <v>0</v>
      </c>
      <c r="AL662" s="695">
        <f t="shared" si="266"/>
        <v>0</v>
      </c>
      <c r="AM662" s="695">
        <f t="shared" si="266"/>
        <v>0</v>
      </c>
      <c r="AN662" s="695">
        <f t="shared" si="266"/>
        <v>0</v>
      </c>
      <c r="AO662" s="695">
        <f t="shared" si="266"/>
        <v>0</v>
      </c>
      <c r="AP662" s="695">
        <f t="shared" si="266"/>
        <v>0</v>
      </c>
      <c r="AQ662" s="695">
        <f t="shared" si="266"/>
        <v>0</v>
      </c>
      <c r="AR662" s="695">
        <f t="shared" si="266"/>
        <v>0</v>
      </c>
      <c r="AS662" s="695">
        <f t="shared" si="266"/>
        <v>0</v>
      </c>
      <c r="AT662" s="695">
        <f t="shared" si="266"/>
        <v>0</v>
      </c>
      <c r="AU662" s="695">
        <f t="shared" si="266"/>
        <v>0</v>
      </c>
      <c r="AV662" s="695">
        <f t="shared" si="266"/>
        <v>0</v>
      </c>
      <c r="AW662" s="695">
        <f t="shared" si="266"/>
        <v>0</v>
      </c>
      <c r="AX662" s="695">
        <f t="shared" si="266"/>
        <v>0</v>
      </c>
      <c r="AY662" s="695">
        <f t="shared" si="266"/>
        <v>0</v>
      </c>
      <c r="AZ662" s="695">
        <f t="shared" si="266"/>
        <v>0</v>
      </c>
      <c r="BA662" s="695">
        <f t="shared" si="266"/>
        <v>0</v>
      </c>
      <c r="BB662" s="695">
        <f t="shared" si="266"/>
        <v>0</v>
      </c>
      <c r="BC662" s="695">
        <f t="shared" si="266"/>
        <v>0</v>
      </c>
      <c r="BD662" s="695">
        <f t="shared" si="266"/>
        <v>0</v>
      </c>
      <c r="BE662" s="695">
        <f t="shared" si="266"/>
        <v>0</v>
      </c>
      <c r="BF662" s="695">
        <f t="shared" si="266"/>
        <v>0</v>
      </c>
      <c r="BG662" s="695">
        <f t="shared" si="266"/>
        <v>0</v>
      </c>
      <c r="BH662" s="695">
        <f t="shared" si="266"/>
        <v>0</v>
      </c>
      <c r="BI662" s="695">
        <f t="shared" si="266"/>
        <v>0</v>
      </c>
      <c r="BJ662" s="695">
        <f t="shared" si="266"/>
        <v>0</v>
      </c>
      <c r="BK662" s="695">
        <f t="shared" si="266"/>
        <v>0</v>
      </c>
      <c r="BL662" s="695">
        <f t="shared" si="266"/>
        <v>0</v>
      </c>
      <c r="BM662" s="695">
        <f t="shared" si="266"/>
        <v>0</v>
      </c>
      <c r="BN662" s="695">
        <f t="shared" si="266"/>
        <v>0</v>
      </c>
      <c r="BO662" s="695">
        <f t="shared" si="266"/>
        <v>0</v>
      </c>
      <c r="BP662" s="695">
        <f t="shared" ref="BP662:CA662" si="268">SUM(BP659:BP661)</f>
        <v>0</v>
      </c>
      <c r="BQ662" s="695">
        <f t="shared" si="268"/>
        <v>0</v>
      </c>
      <c r="BR662" s="695">
        <f t="shared" si="268"/>
        <v>0</v>
      </c>
      <c r="BS662" s="695">
        <f t="shared" si="268"/>
        <v>0</v>
      </c>
      <c r="BT662" s="695">
        <f t="shared" si="268"/>
        <v>0</v>
      </c>
      <c r="BU662" s="695">
        <f t="shared" si="268"/>
        <v>0</v>
      </c>
      <c r="BV662" s="695">
        <f t="shared" si="268"/>
        <v>0</v>
      </c>
      <c r="BW662" s="695">
        <f t="shared" si="268"/>
        <v>0</v>
      </c>
      <c r="BX662" s="695">
        <f t="shared" si="268"/>
        <v>0</v>
      </c>
      <c r="BY662" s="695">
        <f t="shared" si="268"/>
        <v>0</v>
      </c>
      <c r="BZ662" s="695">
        <f t="shared" si="268"/>
        <v>0</v>
      </c>
      <c r="CA662" s="695">
        <f t="shared" si="268"/>
        <v>0</v>
      </c>
    </row>
    <row r="663" spans="1:79" s="309" customFormat="1" hidden="1" outlineLevel="1" x14ac:dyDescent="0.35">
      <c r="A663" s="30"/>
      <c r="B663" s="30"/>
      <c r="C663" s="30"/>
      <c r="D663" s="30"/>
      <c r="E663" s="30"/>
      <c r="F663" s="674" t="s">
        <v>607</v>
      </c>
      <c r="G663" s="735"/>
      <c r="H663" s="735">
        <v>4.4213231827025563</v>
      </c>
      <c r="I663" s="735">
        <v>4.675334782793569</v>
      </c>
      <c r="J663" s="735">
        <v>2.9214763159910189</v>
      </c>
      <c r="K663" s="735">
        <v>1.484214413354888</v>
      </c>
      <c r="L663" s="735"/>
      <c r="M663" s="735">
        <v>0.83167142453545451</v>
      </c>
      <c r="N663" s="735"/>
      <c r="O663" s="735"/>
      <c r="P663" s="732">
        <v>0.27843170185046623</v>
      </c>
      <c r="Q663" s="732"/>
      <c r="R663" s="732"/>
      <c r="S663" s="683">
        <v>0</v>
      </c>
      <c r="T663" s="683">
        <v>0</v>
      </c>
      <c r="U663" s="683">
        <v>0</v>
      </c>
      <c r="V663" s="683">
        <v>0</v>
      </c>
      <c r="W663" s="683">
        <v>0</v>
      </c>
      <c r="X663" s="683">
        <v>0</v>
      </c>
      <c r="Y663" s="683">
        <v>0</v>
      </c>
      <c r="Z663" s="683">
        <v>0</v>
      </c>
      <c r="AA663" s="683">
        <v>0</v>
      </c>
      <c r="AB663" s="683">
        <v>0</v>
      </c>
      <c r="AC663" s="682">
        <v>0</v>
      </c>
      <c r="AD663" s="682">
        <v>0</v>
      </c>
      <c r="AE663" s="732"/>
      <c r="AF663" s="732"/>
      <c r="AG663" s="732"/>
      <c r="AH663" s="732"/>
      <c r="AI663" s="732"/>
      <c r="AJ663" s="732"/>
      <c r="AK663" s="732"/>
      <c r="AL663" s="732"/>
      <c r="AM663" s="732"/>
      <c r="AN663" s="732"/>
      <c r="AO663" s="732"/>
      <c r="AP663" s="732"/>
      <c r="AQ663" s="732"/>
      <c r="AR663" s="732"/>
      <c r="AS663" s="732"/>
      <c r="AT663" s="732"/>
      <c r="AU663" s="732"/>
      <c r="AV663" s="732"/>
      <c r="AW663" s="732"/>
      <c r="AX663" s="732"/>
      <c r="AY663" s="732"/>
      <c r="AZ663" s="732"/>
      <c r="BA663" s="732"/>
      <c r="BB663" s="732"/>
      <c r="BC663" s="732"/>
      <c r="BD663" s="732"/>
      <c r="BE663" s="732"/>
      <c r="BF663" s="732"/>
      <c r="BG663" s="732"/>
      <c r="BH663" s="732"/>
      <c r="BI663" s="732"/>
      <c r="BJ663" s="732"/>
      <c r="BK663" s="732"/>
      <c r="BL663" s="732"/>
      <c r="BM663" s="732"/>
      <c r="BN663" s="732"/>
      <c r="BO663" s="732"/>
      <c r="BP663" s="732"/>
      <c r="BQ663" s="732"/>
      <c r="BR663" s="732"/>
      <c r="BS663" s="732"/>
      <c r="BT663" s="732"/>
      <c r="BU663" s="732"/>
      <c r="BV663" s="732"/>
      <c r="BW663" s="732"/>
      <c r="BX663" s="732"/>
      <c r="BY663" s="732"/>
      <c r="BZ663" s="732"/>
      <c r="CA663" s="732"/>
    </row>
    <row r="664" spans="1:79" s="309" customFormat="1" hidden="1" outlineLevel="1" x14ac:dyDescent="0.35">
      <c r="A664" s="30"/>
      <c r="B664" s="30"/>
      <c r="C664" s="30"/>
      <c r="D664" s="30"/>
      <c r="E664" s="30"/>
      <c r="F664" s="674" t="s">
        <v>608</v>
      </c>
      <c r="G664" s="735">
        <v>26.607454903201837</v>
      </c>
      <c r="H664" s="735">
        <v>4.4410507978255289</v>
      </c>
      <c r="I664" s="735">
        <v>2.8624498670164709</v>
      </c>
      <c r="J664" s="735">
        <v>229.64994950926402</v>
      </c>
      <c r="K664" s="735">
        <v>3.0255139964541948</v>
      </c>
      <c r="L664" s="735">
        <v>156.62940150208703</v>
      </c>
      <c r="M664" s="735">
        <v>199.60031021708457</v>
      </c>
      <c r="N664" s="735">
        <v>354.0390160186235</v>
      </c>
      <c r="O664" s="735">
        <v>1.4973695308665793</v>
      </c>
      <c r="P664" s="732">
        <v>170.93455212005998</v>
      </c>
      <c r="Q664" s="732"/>
      <c r="R664" s="732"/>
      <c r="S664" s="683">
        <v>0</v>
      </c>
      <c r="T664" s="683">
        <v>0</v>
      </c>
      <c r="U664" s="683">
        <v>0</v>
      </c>
      <c r="V664" s="683">
        <v>0</v>
      </c>
      <c r="W664" s="683">
        <v>720.25</v>
      </c>
      <c r="X664" s="683">
        <v>0</v>
      </c>
      <c r="Y664" s="683">
        <v>0</v>
      </c>
      <c r="Z664" s="683">
        <v>0</v>
      </c>
      <c r="AA664" s="683">
        <v>0</v>
      </c>
      <c r="AB664" s="683">
        <v>0</v>
      </c>
      <c r="AC664" s="682">
        <v>0</v>
      </c>
      <c r="AD664" s="682">
        <v>0</v>
      </c>
      <c r="AE664" s="732"/>
      <c r="AF664" s="732"/>
      <c r="AG664" s="732"/>
      <c r="AH664" s="732"/>
      <c r="AI664" s="732"/>
      <c r="AJ664" s="732"/>
      <c r="AK664" s="732"/>
      <c r="AL664" s="732"/>
      <c r="AM664" s="732"/>
      <c r="AN664" s="732"/>
      <c r="AO664" s="732"/>
      <c r="AP664" s="732"/>
      <c r="AQ664" s="732"/>
      <c r="AR664" s="732"/>
      <c r="AS664" s="732"/>
      <c r="AT664" s="732"/>
      <c r="AU664" s="732"/>
      <c r="AV664" s="732"/>
      <c r="AW664" s="732"/>
      <c r="AX664" s="732"/>
      <c r="AY664" s="732"/>
      <c r="AZ664" s="732"/>
      <c r="BA664" s="732"/>
      <c r="BB664" s="732"/>
      <c r="BC664" s="732"/>
      <c r="BD664" s="732"/>
      <c r="BE664" s="732"/>
      <c r="BF664" s="732"/>
      <c r="BG664" s="732"/>
      <c r="BH664" s="732"/>
      <c r="BI664" s="732"/>
      <c r="BJ664" s="732"/>
      <c r="BK664" s="732"/>
      <c r="BL664" s="732"/>
      <c r="BM664" s="732"/>
      <c r="BN664" s="732"/>
      <c r="BO664" s="732"/>
      <c r="BP664" s="732"/>
      <c r="BQ664" s="732"/>
      <c r="BR664" s="732"/>
      <c r="BS664" s="732"/>
      <c r="BT664" s="732"/>
      <c r="BU664" s="732"/>
      <c r="BV664" s="732"/>
      <c r="BW664" s="732"/>
      <c r="BX664" s="732"/>
      <c r="BY664" s="732"/>
      <c r="BZ664" s="732"/>
      <c r="CA664" s="732"/>
    </row>
    <row r="665" spans="1:79" s="709" customFormat="1" hidden="1" outlineLevel="1" x14ac:dyDescent="0.35">
      <c r="F665" s="717" t="s">
        <v>656</v>
      </c>
      <c r="G665" s="750"/>
      <c r="H665" s="750"/>
      <c r="I665" s="750"/>
      <c r="J665" s="750">
        <v>27.75402500191468</v>
      </c>
      <c r="K665" s="750"/>
      <c r="L665" s="750">
        <v>42.421495443214226</v>
      </c>
      <c r="M665" s="750"/>
      <c r="N665" s="750"/>
      <c r="O665" s="750"/>
      <c r="P665" s="751"/>
      <c r="Q665" s="751"/>
      <c r="R665" s="751">
        <v>43.714463102746194</v>
      </c>
      <c r="S665" s="720"/>
      <c r="T665" s="720"/>
      <c r="U665" s="720"/>
      <c r="V665" s="720"/>
      <c r="W665" s="720"/>
      <c r="X665" s="720"/>
      <c r="Y665" s="720"/>
      <c r="Z665" s="720"/>
      <c r="AA665" s="720"/>
      <c r="AB665" s="720"/>
      <c r="AC665" s="720"/>
      <c r="AD665" s="720"/>
      <c r="AE665" s="751"/>
      <c r="AF665" s="751"/>
      <c r="AG665" s="751"/>
      <c r="AH665" s="751"/>
      <c r="AI665" s="751"/>
      <c r="AJ665" s="751"/>
      <c r="AK665" s="751"/>
      <c r="AL665" s="751"/>
      <c r="AM665" s="751"/>
      <c r="AN665" s="751"/>
      <c r="AO665" s="751"/>
      <c r="AP665" s="751"/>
      <c r="AQ665" s="751"/>
      <c r="AR665" s="751"/>
      <c r="AS665" s="751"/>
      <c r="AT665" s="751"/>
      <c r="AU665" s="751"/>
      <c r="AV665" s="751"/>
      <c r="AW665" s="751"/>
      <c r="AX665" s="751"/>
      <c r="AY665" s="751"/>
      <c r="AZ665" s="751"/>
      <c r="BA665" s="751"/>
      <c r="BB665" s="751"/>
      <c r="BC665" s="751"/>
      <c r="BD665" s="751"/>
      <c r="BE665" s="751"/>
      <c r="BF665" s="751"/>
      <c r="BG665" s="751"/>
      <c r="BH665" s="751"/>
      <c r="BI665" s="751"/>
      <c r="BJ665" s="751"/>
      <c r="BK665" s="751"/>
      <c r="BL665" s="751"/>
      <c r="BM665" s="751"/>
      <c r="BN665" s="751"/>
      <c r="BO665" s="751"/>
      <c r="BP665" s="751"/>
      <c r="BQ665" s="751"/>
      <c r="BR665" s="751"/>
      <c r="BS665" s="751"/>
      <c r="BT665" s="751"/>
      <c r="BU665" s="751"/>
      <c r="BV665" s="751"/>
      <c r="BW665" s="751"/>
      <c r="BX665" s="751"/>
      <c r="BY665" s="751"/>
      <c r="BZ665" s="751"/>
      <c r="CA665" s="751"/>
    </row>
    <row r="666" spans="1:79" hidden="1" outlineLevel="1" x14ac:dyDescent="0.35">
      <c r="F666" s="672" t="s">
        <v>657</v>
      </c>
      <c r="G666" s="672"/>
      <c r="H666" s="735"/>
      <c r="I666" s="735">
        <v>-84.289607084078355</v>
      </c>
      <c r="J666" s="735"/>
      <c r="K666" s="735"/>
      <c r="L666" s="735"/>
      <c r="M666" s="735"/>
      <c r="N666" s="735"/>
      <c r="O666" s="735"/>
      <c r="P666" s="732"/>
      <c r="Q666" s="732"/>
      <c r="R666" s="732"/>
      <c r="S666" s="683">
        <v>0</v>
      </c>
      <c r="T666" s="683">
        <v>2375.33</v>
      </c>
      <c r="U666" s="683">
        <v>0</v>
      </c>
      <c r="V666" s="683">
        <v>0</v>
      </c>
      <c r="W666" s="683">
        <v>0</v>
      </c>
      <c r="X666" s="683">
        <v>0</v>
      </c>
      <c r="Y666" s="683">
        <v>0</v>
      </c>
      <c r="Z666" s="683">
        <v>0</v>
      </c>
      <c r="AA666" s="683">
        <v>0</v>
      </c>
      <c r="AB666" s="683">
        <v>0</v>
      </c>
      <c r="AC666" s="682">
        <v>0</v>
      </c>
      <c r="AD666" s="682">
        <v>0</v>
      </c>
      <c r="AE666" s="732"/>
      <c r="AF666" s="732"/>
      <c r="AG666" s="732"/>
      <c r="AH666" s="732"/>
      <c r="AI666" s="732"/>
      <c r="AJ666" s="732"/>
      <c r="AK666" s="732"/>
      <c r="AL666" s="732"/>
      <c r="AM666" s="732"/>
      <c r="AN666" s="732"/>
      <c r="AO666" s="732"/>
      <c r="AP666" s="732"/>
      <c r="AQ666" s="732"/>
      <c r="AR666" s="732"/>
      <c r="AS666" s="732"/>
      <c r="AT666" s="732"/>
      <c r="AU666" s="732"/>
      <c r="AV666" s="732"/>
      <c r="AW666" s="732"/>
      <c r="AX666" s="732"/>
      <c r="AY666" s="732"/>
      <c r="AZ666" s="732"/>
      <c r="BA666" s="732"/>
      <c r="BB666" s="732"/>
      <c r="BC666" s="732"/>
      <c r="BD666" s="732"/>
      <c r="BE666" s="732"/>
      <c r="BF666" s="732"/>
      <c r="BG666" s="732"/>
      <c r="BH666" s="732"/>
      <c r="BI666" s="732"/>
      <c r="BJ666" s="732"/>
      <c r="BK666" s="732"/>
      <c r="BL666" s="732"/>
      <c r="BM666" s="732"/>
      <c r="BN666" s="732"/>
      <c r="BO666" s="732"/>
      <c r="BP666" s="732"/>
      <c r="BQ666" s="732"/>
      <c r="BR666" s="732"/>
      <c r="BS666" s="732"/>
      <c r="BT666" s="732"/>
      <c r="BU666" s="732"/>
      <c r="BV666" s="732"/>
      <c r="BW666" s="732"/>
      <c r="BX666" s="732"/>
      <c r="BY666" s="732"/>
      <c r="BZ666" s="732"/>
      <c r="CA666" s="732"/>
    </row>
    <row r="667" spans="1:79" hidden="1" outlineLevel="1" x14ac:dyDescent="0.35">
      <c r="A667" s="574"/>
      <c r="B667" s="574"/>
      <c r="C667" s="574"/>
      <c r="D667" s="574"/>
      <c r="E667" s="574"/>
      <c r="F667" s="672" t="s">
        <v>914</v>
      </c>
      <c r="G667" s="672"/>
      <c r="H667" s="735"/>
      <c r="I667" s="735"/>
      <c r="J667" s="735"/>
      <c r="K667" s="735"/>
      <c r="L667" s="735"/>
      <c r="M667" s="735"/>
      <c r="N667" s="735"/>
      <c r="O667" s="735"/>
      <c r="P667" s="732"/>
      <c r="Q667" s="732"/>
      <c r="R667" s="732"/>
      <c r="S667" s="683">
        <v>0</v>
      </c>
      <c r="T667" s="683">
        <v>0</v>
      </c>
      <c r="U667" s="683">
        <v>0</v>
      </c>
      <c r="V667" s="683">
        <v>0</v>
      </c>
      <c r="W667" s="683">
        <v>0</v>
      </c>
      <c r="X667" s="683">
        <v>0</v>
      </c>
      <c r="Y667" s="683">
        <v>0</v>
      </c>
      <c r="Z667" s="683">
        <v>0</v>
      </c>
      <c r="AA667" s="683">
        <v>0</v>
      </c>
      <c r="AB667" s="683">
        <v>0</v>
      </c>
      <c r="AC667" s="682">
        <v>0</v>
      </c>
      <c r="AD667" s="682">
        <v>0</v>
      </c>
      <c r="AE667" s="732"/>
      <c r="AF667" s="732"/>
      <c r="AG667" s="732"/>
      <c r="AH667" s="732"/>
      <c r="AI667" s="732"/>
      <c r="AJ667" s="732"/>
      <c r="AK667" s="732"/>
      <c r="AL667" s="732"/>
      <c r="AM667" s="732"/>
      <c r="AN667" s="732"/>
      <c r="AO667" s="732"/>
      <c r="AP667" s="732"/>
      <c r="AQ667" s="732"/>
      <c r="AR667" s="732"/>
      <c r="AS667" s="732"/>
      <c r="AT667" s="732"/>
      <c r="AU667" s="732"/>
      <c r="AV667" s="732"/>
      <c r="AW667" s="732"/>
      <c r="AX667" s="732"/>
      <c r="AY667" s="732"/>
      <c r="AZ667" s="732"/>
      <c r="BA667" s="732"/>
      <c r="BB667" s="732"/>
      <c r="BC667" s="732"/>
      <c r="BD667" s="732"/>
      <c r="BE667" s="732"/>
      <c r="BF667" s="732"/>
      <c r="BG667" s="732"/>
      <c r="BH667" s="732"/>
      <c r="BI667" s="732"/>
      <c r="BJ667" s="732"/>
      <c r="BK667" s="732"/>
      <c r="BL667" s="732"/>
      <c r="BM667" s="732"/>
      <c r="BN667" s="732"/>
      <c r="BO667" s="732"/>
      <c r="BP667" s="732"/>
      <c r="BQ667" s="732"/>
      <c r="BR667" s="732"/>
      <c r="BS667" s="732"/>
      <c r="BT667" s="732"/>
      <c r="BU667" s="732"/>
      <c r="BV667" s="732"/>
      <c r="BW667" s="732"/>
      <c r="BX667" s="732"/>
      <c r="BY667" s="732"/>
      <c r="BZ667" s="732"/>
      <c r="CA667" s="732"/>
    </row>
    <row r="668" spans="1:79" hidden="1" outlineLevel="1" x14ac:dyDescent="0.35">
      <c r="A668" s="574"/>
      <c r="B668" s="574"/>
      <c r="C668" s="574"/>
      <c r="D668" s="574"/>
      <c r="E668" s="574"/>
      <c r="F668" s="672" t="s">
        <v>915</v>
      </c>
      <c r="G668" s="672"/>
      <c r="H668" s="735"/>
      <c r="I668" s="735"/>
      <c r="J668" s="735"/>
      <c r="K668" s="735"/>
      <c r="L668" s="735"/>
      <c r="M668" s="735"/>
      <c r="N668" s="735"/>
      <c r="O668" s="735"/>
      <c r="P668" s="732"/>
      <c r="Q668" s="732"/>
      <c r="R668" s="732"/>
      <c r="S668" s="683">
        <v>0</v>
      </c>
      <c r="T668" s="683">
        <v>0</v>
      </c>
      <c r="U668" s="683">
        <v>0</v>
      </c>
      <c r="V668" s="683">
        <v>0</v>
      </c>
      <c r="W668" s="683">
        <v>0</v>
      </c>
      <c r="X668" s="683">
        <v>0</v>
      </c>
      <c r="Y668" s="683">
        <v>0</v>
      </c>
      <c r="Z668" s="683">
        <v>0</v>
      </c>
      <c r="AA668" s="683">
        <v>0</v>
      </c>
      <c r="AB668" s="683">
        <v>0</v>
      </c>
      <c r="AC668" s="682">
        <v>0</v>
      </c>
      <c r="AD668" s="682">
        <v>0</v>
      </c>
      <c r="AE668" s="732"/>
      <c r="AF668" s="732"/>
      <c r="AG668" s="732"/>
      <c r="AH668" s="732"/>
      <c r="AI668" s="732"/>
      <c r="AJ668" s="732"/>
      <c r="AK668" s="732"/>
      <c r="AL668" s="732"/>
      <c r="AM668" s="732"/>
      <c r="AN668" s="732"/>
      <c r="AO668" s="732"/>
      <c r="AP668" s="732"/>
      <c r="AQ668" s="732"/>
      <c r="AR668" s="732"/>
      <c r="AS668" s="732"/>
      <c r="AT668" s="732"/>
      <c r="AU668" s="732"/>
      <c r="AV668" s="732"/>
      <c r="AW668" s="732"/>
      <c r="AX668" s="732"/>
      <c r="AY668" s="732"/>
      <c r="AZ668" s="732"/>
      <c r="BA668" s="732"/>
      <c r="BB668" s="732"/>
      <c r="BC668" s="732"/>
      <c r="BD668" s="732"/>
      <c r="BE668" s="732"/>
      <c r="BF668" s="732"/>
      <c r="BG668" s="732"/>
      <c r="BH668" s="732"/>
      <c r="BI668" s="732"/>
      <c r="BJ668" s="732"/>
      <c r="BK668" s="732"/>
      <c r="BL668" s="732"/>
      <c r="BM668" s="732"/>
      <c r="BN668" s="732"/>
      <c r="BO668" s="732"/>
      <c r="BP668" s="732"/>
      <c r="BQ668" s="732"/>
      <c r="BR668" s="732"/>
      <c r="BS668" s="732"/>
      <c r="BT668" s="732"/>
      <c r="BU668" s="732"/>
      <c r="BV668" s="732"/>
      <c r="BW668" s="732"/>
      <c r="BX668" s="732"/>
      <c r="BY668" s="732"/>
      <c r="BZ668" s="732"/>
      <c r="CA668" s="732"/>
    </row>
    <row r="669" spans="1:79" hidden="1" outlineLevel="1" x14ac:dyDescent="0.35">
      <c r="F669" s="672" t="s">
        <v>658</v>
      </c>
      <c r="G669" s="672"/>
      <c r="H669" s="735"/>
      <c r="I669" s="735"/>
      <c r="J669" s="735"/>
      <c r="K669" s="735"/>
      <c r="L669" s="735"/>
      <c r="M669" s="735"/>
      <c r="N669" s="735"/>
      <c r="O669" s="735"/>
      <c r="P669" s="732"/>
      <c r="Q669" s="732"/>
      <c r="R669" s="732"/>
      <c r="S669" s="683">
        <v>0</v>
      </c>
      <c r="T669" s="683">
        <v>0</v>
      </c>
      <c r="U669" s="683">
        <v>0</v>
      </c>
      <c r="V669" s="683">
        <v>0</v>
      </c>
      <c r="W669" s="683">
        <v>0</v>
      </c>
      <c r="X669" s="683">
        <v>0</v>
      </c>
      <c r="Y669" s="683">
        <v>0</v>
      </c>
      <c r="Z669" s="683">
        <v>0</v>
      </c>
      <c r="AA669" s="683">
        <v>0</v>
      </c>
      <c r="AB669" s="683">
        <v>0</v>
      </c>
      <c r="AC669" s="682">
        <v>0</v>
      </c>
      <c r="AD669" s="682">
        <v>0</v>
      </c>
      <c r="AE669" s="732"/>
      <c r="AF669" s="732"/>
      <c r="AG669" s="732"/>
      <c r="AH669" s="732"/>
      <c r="AI669" s="732"/>
      <c r="AJ669" s="732"/>
      <c r="AK669" s="732"/>
      <c r="AL669" s="732"/>
      <c r="AM669" s="732"/>
      <c r="AN669" s="732"/>
      <c r="AO669" s="732"/>
      <c r="AP669" s="732"/>
      <c r="AQ669" s="732"/>
      <c r="AR669" s="732"/>
      <c r="AS669" s="732"/>
      <c r="AT669" s="732"/>
      <c r="AU669" s="732"/>
      <c r="AV669" s="732"/>
      <c r="AW669" s="732"/>
      <c r="AX669" s="732"/>
      <c r="AY669" s="732"/>
      <c r="AZ669" s="732"/>
      <c r="BA669" s="732"/>
      <c r="BB669" s="732"/>
      <c r="BC669" s="732"/>
      <c r="BD669" s="732"/>
      <c r="BE669" s="732"/>
      <c r="BF669" s="732"/>
      <c r="BG669" s="732"/>
      <c r="BH669" s="732"/>
      <c r="BI669" s="732"/>
      <c r="BJ669" s="732"/>
      <c r="BK669" s="732"/>
      <c r="BL669" s="732"/>
      <c r="BM669" s="732"/>
      <c r="BN669" s="732"/>
      <c r="BO669" s="732"/>
      <c r="BP669" s="732"/>
      <c r="BQ669" s="732"/>
      <c r="BR669" s="732"/>
      <c r="BS669" s="732"/>
      <c r="BT669" s="732"/>
      <c r="BU669" s="732"/>
      <c r="BV669" s="732"/>
      <c r="BW669" s="732"/>
      <c r="BX669" s="732"/>
      <c r="BY669" s="732"/>
      <c r="BZ669" s="732"/>
      <c r="CA669" s="732"/>
    </row>
    <row r="670" spans="1:79" hidden="1" outlineLevel="1" x14ac:dyDescent="0.35">
      <c r="A670" s="574"/>
      <c r="B670" s="574"/>
      <c r="C670" s="574"/>
      <c r="D670" s="574"/>
      <c r="E670" s="574"/>
      <c r="F670" s="672" t="s">
        <v>916</v>
      </c>
      <c r="G670" s="672"/>
      <c r="H670" s="735"/>
      <c r="I670" s="735"/>
      <c r="J670" s="735"/>
      <c r="K670" s="735"/>
      <c r="L670" s="735"/>
      <c r="M670" s="735"/>
      <c r="N670" s="735"/>
      <c r="O670" s="735"/>
      <c r="P670" s="732"/>
      <c r="Q670" s="732"/>
      <c r="R670" s="732"/>
      <c r="S670" s="683">
        <v>0</v>
      </c>
      <c r="T670" s="683">
        <v>0</v>
      </c>
      <c r="U670" s="683">
        <v>0</v>
      </c>
      <c r="V670" s="683">
        <v>0</v>
      </c>
      <c r="W670" s="683">
        <v>0</v>
      </c>
      <c r="X670" s="683">
        <v>0</v>
      </c>
      <c r="Y670" s="683">
        <v>0</v>
      </c>
      <c r="Z670" s="683">
        <v>0</v>
      </c>
      <c r="AA670" s="683">
        <v>0</v>
      </c>
      <c r="AB670" s="683">
        <v>0</v>
      </c>
      <c r="AC670" s="682">
        <v>0</v>
      </c>
      <c r="AD670" s="682">
        <v>0</v>
      </c>
      <c r="AE670" s="732"/>
      <c r="AF670" s="732"/>
      <c r="AG670" s="732"/>
      <c r="AH670" s="732"/>
      <c r="AI670" s="732"/>
      <c r="AJ670" s="732"/>
      <c r="AK670" s="732"/>
      <c r="AL670" s="732"/>
      <c r="AM670" s="732"/>
      <c r="AN670" s="732"/>
      <c r="AO670" s="732"/>
      <c r="AP670" s="732"/>
      <c r="AQ670" s="732"/>
      <c r="AR670" s="732"/>
      <c r="AS670" s="732"/>
      <c r="AT670" s="732"/>
      <c r="AU670" s="732"/>
      <c r="AV670" s="732"/>
      <c r="AW670" s="732"/>
      <c r="AX670" s="732"/>
      <c r="AY670" s="732"/>
      <c r="AZ670" s="732"/>
      <c r="BA670" s="732"/>
      <c r="BB670" s="732"/>
      <c r="BC670" s="732"/>
      <c r="BD670" s="732"/>
      <c r="BE670" s="732"/>
      <c r="BF670" s="732"/>
      <c r="BG670" s="732"/>
      <c r="BH670" s="732"/>
      <c r="BI670" s="732"/>
      <c r="BJ670" s="732"/>
      <c r="BK670" s="732"/>
      <c r="BL670" s="732"/>
      <c r="BM670" s="732"/>
      <c r="BN670" s="732"/>
      <c r="BO670" s="732"/>
      <c r="BP670" s="732"/>
      <c r="BQ670" s="732"/>
      <c r="BR670" s="732"/>
      <c r="BS670" s="732"/>
      <c r="BT670" s="732"/>
      <c r="BU670" s="732"/>
      <c r="BV670" s="732"/>
      <c r="BW670" s="732"/>
      <c r="BX670" s="732"/>
      <c r="BY670" s="732"/>
      <c r="BZ670" s="732"/>
      <c r="CA670" s="732"/>
    </row>
    <row r="671" spans="1:79" hidden="1" outlineLevel="1" x14ac:dyDescent="0.35">
      <c r="A671" s="574"/>
      <c r="B671" s="574"/>
      <c r="C671" s="574"/>
      <c r="D671" s="574"/>
      <c r="E671" s="574"/>
      <c r="F671" s="672" t="s">
        <v>917</v>
      </c>
      <c r="G671" s="672"/>
      <c r="H671" s="735"/>
      <c r="I671" s="735"/>
      <c r="J671" s="735"/>
      <c r="K671" s="735"/>
      <c r="L671" s="735"/>
      <c r="M671" s="735"/>
      <c r="N671" s="735"/>
      <c r="O671" s="735"/>
      <c r="P671" s="732"/>
      <c r="Q671" s="732"/>
      <c r="R671" s="732"/>
      <c r="S671" s="683">
        <v>0</v>
      </c>
      <c r="T671" s="683">
        <v>0</v>
      </c>
      <c r="U671" s="683">
        <v>0</v>
      </c>
      <c r="V671" s="683">
        <v>0</v>
      </c>
      <c r="W671" s="683">
        <v>0</v>
      </c>
      <c r="X671" s="683">
        <v>0</v>
      </c>
      <c r="Y671" s="683">
        <v>0</v>
      </c>
      <c r="Z671" s="683">
        <v>0</v>
      </c>
      <c r="AA671" s="683">
        <v>0</v>
      </c>
      <c r="AB671" s="683">
        <v>0</v>
      </c>
      <c r="AC671" s="682">
        <v>0</v>
      </c>
      <c r="AD671" s="682">
        <v>0</v>
      </c>
      <c r="AE671" s="732"/>
      <c r="AF671" s="732"/>
      <c r="AG671" s="732"/>
      <c r="AH671" s="732"/>
      <c r="AI671" s="732"/>
      <c r="AJ671" s="732"/>
      <c r="AK671" s="732"/>
      <c r="AL671" s="732"/>
      <c r="AM671" s="732"/>
      <c r="AN671" s="732"/>
      <c r="AO671" s="732"/>
      <c r="AP671" s="732"/>
      <c r="AQ671" s="732"/>
      <c r="AR671" s="732"/>
      <c r="AS671" s="732"/>
      <c r="AT671" s="732"/>
      <c r="AU671" s="732"/>
      <c r="AV671" s="732"/>
      <c r="AW671" s="732"/>
      <c r="AX671" s="732"/>
      <c r="AY671" s="732"/>
      <c r="AZ671" s="732"/>
      <c r="BA671" s="732"/>
      <c r="BB671" s="732"/>
      <c r="BC671" s="732"/>
      <c r="BD671" s="732"/>
      <c r="BE671" s="732"/>
      <c r="BF671" s="732"/>
      <c r="BG671" s="732"/>
      <c r="BH671" s="732"/>
      <c r="BI671" s="732"/>
      <c r="BJ671" s="732"/>
      <c r="BK671" s="732"/>
      <c r="BL671" s="732"/>
      <c r="BM671" s="732"/>
      <c r="BN671" s="732"/>
      <c r="BO671" s="732"/>
      <c r="BP671" s="732"/>
      <c r="BQ671" s="732"/>
      <c r="BR671" s="732"/>
      <c r="BS671" s="732"/>
      <c r="BT671" s="732"/>
      <c r="BU671" s="732"/>
      <c r="BV671" s="732"/>
      <c r="BW671" s="732"/>
      <c r="BX671" s="732"/>
      <c r="BY671" s="732"/>
      <c r="BZ671" s="732"/>
      <c r="CA671" s="732"/>
    </row>
    <row r="672" spans="1:79" hidden="1" outlineLevel="1" x14ac:dyDescent="0.35">
      <c r="A672" s="574"/>
      <c r="B672" s="574"/>
      <c r="C672" s="574"/>
      <c r="D672" s="574"/>
      <c r="E672" s="574"/>
      <c r="F672" s="672" t="s">
        <v>918</v>
      </c>
      <c r="G672" s="672"/>
      <c r="H672" s="735"/>
      <c r="I672" s="735"/>
      <c r="J672" s="735"/>
      <c r="K672" s="735"/>
      <c r="L672" s="735"/>
      <c r="M672" s="735"/>
      <c r="N672" s="735"/>
      <c r="O672" s="735"/>
      <c r="P672" s="732"/>
      <c r="Q672" s="732"/>
      <c r="R672" s="732"/>
      <c r="S672" s="683">
        <v>0</v>
      </c>
      <c r="T672" s="683">
        <v>0</v>
      </c>
      <c r="U672" s="683">
        <v>0</v>
      </c>
      <c r="V672" s="683">
        <v>0</v>
      </c>
      <c r="W672" s="683">
        <v>0</v>
      </c>
      <c r="X672" s="683">
        <v>0</v>
      </c>
      <c r="Y672" s="683">
        <v>0</v>
      </c>
      <c r="Z672" s="683">
        <v>0</v>
      </c>
      <c r="AA672" s="683">
        <v>0</v>
      </c>
      <c r="AB672" s="683">
        <v>0</v>
      </c>
      <c r="AC672" s="682">
        <v>0</v>
      </c>
      <c r="AD672" s="682">
        <v>0</v>
      </c>
      <c r="AE672" s="732"/>
      <c r="AF672" s="732"/>
      <c r="AG672" s="732"/>
      <c r="AH672" s="732"/>
      <c r="AI672" s="732"/>
      <c r="AJ672" s="732"/>
      <c r="AK672" s="732"/>
      <c r="AL672" s="732"/>
      <c r="AM672" s="732"/>
      <c r="AN672" s="732"/>
      <c r="AO672" s="732"/>
      <c r="AP672" s="732"/>
      <c r="AQ672" s="732"/>
      <c r="AR672" s="732"/>
      <c r="AS672" s="732"/>
      <c r="AT672" s="732"/>
      <c r="AU672" s="732"/>
      <c r="AV672" s="732"/>
      <c r="AW672" s="732"/>
      <c r="AX672" s="732"/>
      <c r="AY672" s="732"/>
      <c r="AZ672" s="732"/>
      <c r="BA672" s="732"/>
      <c r="BB672" s="732"/>
      <c r="BC672" s="732"/>
      <c r="BD672" s="732"/>
      <c r="BE672" s="732"/>
      <c r="BF672" s="732"/>
      <c r="BG672" s="732"/>
      <c r="BH672" s="732"/>
      <c r="BI672" s="732"/>
      <c r="BJ672" s="732"/>
      <c r="BK672" s="732"/>
      <c r="BL672" s="732"/>
      <c r="BM672" s="732"/>
      <c r="BN672" s="732"/>
      <c r="BO672" s="732"/>
      <c r="BP672" s="732"/>
      <c r="BQ672" s="732"/>
      <c r="BR672" s="732"/>
      <c r="BS672" s="732"/>
      <c r="BT672" s="732"/>
      <c r="BU672" s="732"/>
      <c r="BV672" s="732"/>
      <c r="BW672" s="732"/>
      <c r="BX672" s="732"/>
      <c r="BY672" s="732"/>
      <c r="BZ672" s="732"/>
      <c r="CA672" s="732"/>
    </row>
    <row r="673" spans="1:79" hidden="1" outlineLevel="1" x14ac:dyDescent="0.35">
      <c r="F673" s="673" t="s">
        <v>659</v>
      </c>
      <c r="G673" s="695">
        <f>SUM(G666:G672)</f>
        <v>0</v>
      </c>
      <c r="H673" s="695">
        <f t="shared" ref="H673:L673" si="269">SUM(H666:H672)</f>
        <v>0</v>
      </c>
      <c r="I673" s="695">
        <f t="shared" si="269"/>
        <v>-84.289607084078355</v>
      </c>
      <c r="J673" s="695">
        <f t="shared" si="269"/>
        <v>0</v>
      </c>
      <c r="K673" s="695">
        <f t="shared" si="269"/>
        <v>0</v>
      </c>
      <c r="L673" s="695">
        <f t="shared" si="269"/>
        <v>0</v>
      </c>
      <c r="M673" s="695">
        <f t="shared" ref="M673:BO673" si="270">SUM(M666:M672)</f>
        <v>0</v>
      </c>
      <c r="N673" s="695">
        <f t="shared" si="270"/>
        <v>0</v>
      </c>
      <c r="O673" s="695">
        <f t="shared" si="270"/>
        <v>0</v>
      </c>
      <c r="P673" s="695">
        <f t="shared" si="270"/>
        <v>0</v>
      </c>
      <c r="Q673" s="695">
        <f t="shared" si="270"/>
        <v>0</v>
      </c>
      <c r="R673" s="695">
        <f t="shared" si="270"/>
        <v>0</v>
      </c>
      <c r="S673" s="694">
        <f t="shared" ref="S673:AA673" si="271">ROUND(SUM(S665:S672),5)</f>
        <v>0</v>
      </c>
      <c r="T673" s="694">
        <f t="shared" si="271"/>
        <v>2375.33</v>
      </c>
      <c r="U673" s="694">
        <f t="shared" si="271"/>
        <v>0</v>
      </c>
      <c r="V673" s="694">
        <f t="shared" si="271"/>
        <v>0</v>
      </c>
      <c r="W673" s="694">
        <f t="shared" si="271"/>
        <v>0</v>
      </c>
      <c r="X673" s="694">
        <f t="shared" si="271"/>
        <v>0</v>
      </c>
      <c r="Y673" s="694">
        <f t="shared" si="271"/>
        <v>0</v>
      </c>
      <c r="Z673" s="694">
        <f t="shared" si="271"/>
        <v>0</v>
      </c>
      <c r="AA673" s="694">
        <f t="shared" si="271"/>
        <v>0</v>
      </c>
      <c r="AB673" s="694">
        <f>ROUND(SUM(AB665:AB672),5)</f>
        <v>0</v>
      </c>
      <c r="AC673" s="694">
        <f>ROUND(SUM(AC665:AC672),5)</f>
        <v>0</v>
      </c>
      <c r="AD673" s="694">
        <f>ROUND(SUM(AD665:AD672),5)</f>
        <v>0</v>
      </c>
      <c r="AE673" s="695">
        <f t="shared" si="270"/>
        <v>0</v>
      </c>
      <c r="AF673" s="695">
        <f t="shared" si="270"/>
        <v>0</v>
      </c>
      <c r="AG673" s="695">
        <f t="shared" si="270"/>
        <v>0</v>
      </c>
      <c r="AH673" s="695">
        <f t="shared" si="270"/>
        <v>0</v>
      </c>
      <c r="AI673" s="695">
        <f t="shared" si="270"/>
        <v>0</v>
      </c>
      <c r="AJ673" s="695">
        <f t="shared" si="270"/>
        <v>0</v>
      </c>
      <c r="AK673" s="695">
        <f t="shared" si="270"/>
        <v>0</v>
      </c>
      <c r="AL673" s="695">
        <f t="shared" si="270"/>
        <v>0</v>
      </c>
      <c r="AM673" s="695">
        <f t="shared" si="270"/>
        <v>0</v>
      </c>
      <c r="AN673" s="695">
        <f t="shared" si="270"/>
        <v>0</v>
      </c>
      <c r="AO673" s="695">
        <f t="shared" si="270"/>
        <v>0</v>
      </c>
      <c r="AP673" s="695">
        <f t="shared" si="270"/>
        <v>0</v>
      </c>
      <c r="AQ673" s="695">
        <f t="shared" si="270"/>
        <v>0</v>
      </c>
      <c r="AR673" s="695">
        <f t="shared" si="270"/>
        <v>0</v>
      </c>
      <c r="AS673" s="695">
        <f t="shared" si="270"/>
        <v>0</v>
      </c>
      <c r="AT673" s="695">
        <f t="shared" si="270"/>
        <v>0</v>
      </c>
      <c r="AU673" s="695">
        <f t="shared" si="270"/>
        <v>0</v>
      </c>
      <c r="AV673" s="695">
        <f t="shared" si="270"/>
        <v>0</v>
      </c>
      <c r="AW673" s="695">
        <f t="shared" si="270"/>
        <v>0</v>
      </c>
      <c r="AX673" s="695">
        <f t="shared" si="270"/>
        <v>0</v>
      </c>
      <c r="AY673" s="695">
        <f t="shared" si="270"/>
        <v>0</v>
      </c>
      <c r="AZ673" s="695">
        <f t="shared" si="270"/>
        <v>0</v>
      </c>
      <c r="BA673" s="695">
        <f t="shared" si="270"/>
        <v>0</v>
      </c>
      <c r="BB673" s="695">
        <f t="shared" si="270"/>
        <v>0</v>
      </c>
      <c r="BC673" s="695">
        <f t="shared" si="270"/>
        <v>0</v>
      </c>
      <c r="BD673" s="695">
        <f t="shared" si="270"/>
        <v>0</v>
      </c>
      <c r="BE673" s="695">
        <f t="shared" si="270"/>
        <v>0</v>
      </c>
      <c r="BF673" s="695">
        <f t="shared" si="270"/>
        <v>0</v>
      </c>
      <c r="BG673" s="695">
        <f t="shared" si="270"/>
        <v>0</v>
      </c>
      <c r="BH673" s="695">
        <f t="shared" si="270"/>
        <v>0</v>
      </c>
      <c r="BI673" s="695">
        <f t="shared" si="270"/>
        <v>0</v>
      </c>
      <c r="BJ673" s="695">
        <f t="shared" si="270"/>
        <v>0</v>
      </c>
      <c r="BK673" s="695">
        <f t="shared" si="270"/>
        <v>0</v>
      </c>
      <c r="BL673" s="695">
        <f t="shared" si="270"/>
        <v>0</v>
      </c>
      <c r="BM673" s="695">
        <f t="shared" si="270"/>
        <v>0</v>
      </c>
      <c r="BN673" s="695">
        <f t="shared" si="270"/>
        <v>0</v>
      </c>
      <c r="BO673" s="695">
        <f t="shared" si="270"/>
        <v>0</v>
      </c>
      <c r="BP673" s="695">
        <f t="shared" ref="BP673:CA673" si="272">SUM(BP666:BP672)</f>
        <v>0</v>
      </c>
      <c r="BQ673" s="695">
        <f t="shared" si="272"/>
        <v>0</v>
      </c>
      <c r="BR673" s="695">
        <f t="shared" si="272"/>
        <v>0</v>
      </c>
      <c r="BS673" s="695">
        <f t="shared" si="272"/>
        <v>0</v>
      </c>
      <c r="BT673" s="695">
        <f t="shared" si="272"/>
        <v>0</v>
      </c>
      <c r="BU673" s="695">
        <f t="shared" si="272"/>
        <v>0</v>
      </c>
      <c r="BV673" s="695">
        <f t="shared" si="272"/>
        <v>0</v>
      </c>
      <c r="BW673" s="695">
        <f t="shared" si="272"/>
        <v>0</v>
      </c>
      <c r="BX673" s="695">
        <f t="shared" si="272"/>
        <v>0</v>
      </c>
      <c r="BY673" s="695">
        <f t="shared" si="272"/>
        <v>0</v>
      </c>
      <c r="BZ673" s="695">
        <f t="shared" si="272"/>
        <v>0</v>
      </c>
      <c r="CA673" s="695">
        <f t="shared" si="272"/>
        <v>0</v>
      </c>
    </row>
    <row r="674" spans="1:79" hidden="1" outlineLevel="1" x14ac:dyDescent="0.35">
      <c r="F674" s="641" t="s">
        <v>696</v>
      </c>
      <c r="G674" s="735">
        <v>350.15136637896001</v>
      </c>
      <c r="H674" s="735">
        <v>141.920530196031</v>
      </c>
      <c r="I674" s="735">
        <v>189.18027592355156</v>
      </c>
      <c r="J674" s="735">
        <v>130.09497615084274</v>
      </c>
      <c r="K674" s="735">
        <v>44.456064162790426</v>
      </c>
      <c r="L674" s="735">
        <v>62.946774858891331</v>
      </c>
      <c r="M674" s="735">
        <v>46.734450666664088</v>
      </c>
      <c r="N674" s="735">
        <v>43.016287140970235</v>
      </c>
      <c r="O674" s="735">
        <v>309.27802933323164</v>
      </c>
      <c r="P674" s="732">
        <v>277.066806799593</v>
      </c>
      <c r="Q674" s="732">
        <v>199.52990839475115</v>
      </c>
      <c r="R674" s="732">
        <v>118.93466962073217</v>
      </c>
      <c r="S674" s="683">
        <v>0</v>
      </c>
      <c r="T674" s="683">
        <v>0</v>
      </c>
      <c r="U674" s="683">
        <v>0</v>
      </c>
      <c r="V674" s="683">
        <v>0</v>
      </c>
      <c r="W674" s="683">
        <v>0</v>
      </c>
      <c r="X674" s="683">
        <v>0</v>
      </c>
      <c r="Y674" s="683">
        <v>0</v>
      </c>
      <c r="Z674" s="683">
        <v>0</v>
      </c>
      <c r="AA674" s="683">
        <v>0</v>
      </c>
      <c r="AB674" s="683">
        <v>0</v>
      </c>
      <c r="AC674" s="682">
        <v>0</v>
      </c>
      <c r="AD674" s="682">
        <v>0</v>
      </c>
      <c r="AE674" s="732"/>
      <c r="AF674" s="732"/>
      <c r="AG674" s="732"/>
      <c r="AH674" s="732"/>
      <c r="AI674" s="732"/>
      <c r="AJ674" s="732"/>
      <c r="AK674" s="732"/>
      <c r="AL674" s="732"/>
      <c r="AM674" s="732"/>
      <c r="AN674" s="732"/>
      <c r="AO674" s="732"/>
      <c r="AP674" s="732"/>
      <c r="AQ674" s="732"/>
      <c r="AR674" s="732"/>
      <c r="AS674" s="732"/>
      <c r="AT674" s="732"/>
      <c r="AU674" s="732"/>
      <c r="AV674" s="732"/>
      <c r="AW674" s="732"/>
      <c r="AX674" s="732"/>
      <c r="AY674" s="732"/>
      <c r="AZ674" s="732"/>
      <c r="BA674" s="732"/>
      <c r="BB674" s="732"/>
      <c r="BC674" s="732"/>
      <c r="BD674" s="732"/>
      <c r="BE674" s="732"/>
      <c r="BF674" s="732"/>
      <c r="BG674" s="732"/>
      <c r="BH674" s="732"/>
      <c r="BI674" s="732"/>
      <c r="BJ674" s="732"/>
      <c r="BK674" s="732"/>
      <c r="BL674" s="732"/>
      <c r="BM674" s="732"/>
      <c r="BN674" s="732"/>
      <c r="BO674" s="732"/>
      <c r="BP674" s="732"/>
      <c r="BQ674" s="732"/>
      <c r="BR674" s="732"/>
      <c r="BS674" s="732"/>
      <c r="BT674" s="732"/>
      <c r="BU674" s="732"/>
      <c r="BV674" s="732"/>
      <c r="BW674" s="732"/>
      <c r="BX674" s="732"/>
      <c r="BY674" s="732"/>
      <c r="BZ674" s="732"/>
      <c r="CA674" s="732"/>
    </row>
    <row r="675" spans="1:79" s="888" customFormat="1" ht="15" collapsed="1" thickBot="1" x14ac:dyDescent="0.4">
      <c r="A675" s="500"/>
      <c r="B675" s="500"/>
      <c r="C675" s="500"/>
      <c r="D675" s="500"/>
      <c r="E675" s="500"/>
      <c r="F675" s="913" t="s">
        <v>684</v>
      </c>
      <c r="G675" s="914">
        <f t="shared" ref="G675:R675" si="273">SUM(G511:G674)-SUM(G673,G662,G656,G654,G644,G634,G625,G617,G611,G603,G589,G585,G565,G550,G539,G535,G529,G520)</f>
        <v>9654.4841038329723</v>
      </c>
      <c r="H675" s="914">
        <f t="shared" si="273"/>
        <v>9291.879721282683</v>
      </c>
      <c r="I675" s="914">
        <f t="shared" si="273"/>
        <v>9380.4989089633636</v>
      </c>
      <c r="J675" s="914">
        <f t="shared" si="273"/>
        <v>9910.8241899511377</v>
      </c>
      <c r="K675" s="914">
        <f t="shared" si="273"/>
        <v>6711.0024330387223</v>
      </c>
      <c r="L675" s="914">
        <f t="shared" si="273"/>
        <v>10545.033272667006</v>
      </c>
      <c r="M675" s="914">
        <f t="shared" si="273"/>
        <v>9863.7178412196627</v>
      </c>
      <c r="N675" s="914">
        <f t="shared" si="273"/>
        <v>12184.214045134417</v>
      </c>
      <c r="O675" s="914">
        <f t="shared" si="273"/>
        <v>10281.679894524765</v>
      </c>
      <c r="P675" s="914">
        <f t="shared" si="273"/>
        <v>11679.999297338611</v>
      </c>
      <c r="Q675" s="914">
        <f t="shared" si="273"/>
        <v>15738.931776853529</v>
      </c>
      <c r="R675" s="914">
        <f t="shared" si="273"/>
        <v>12722.432056562415</v>
      </c>
      <c r="S675" s="915">
        <f t="shared" ref="S675:AB675" si="274">ROUND(SUM(S510:S516)+SUM(S520:S525)+SUM(S529:S531)+S535+SUM(S539:S541)+SUM(S550:S554)+SUM(S565:S566)+S585+SUM(S589:S592)+S603+S611+SUM(S617:S619)+SUM(S625:S626)+SUM(S656:S657)+SUM(S662:S664)+SUM(S673:S674),5)</f>
        <v>18751.82</v>
      </c>
      <c r="T675" s="915">
        <f t="shared" si="274"/>
        <v>42229.19</v>
      </c>
      <c r="U675" s="915">
        <f t="shared" si="274"/>
        <v>21295.49</v>
      </c>
      <c r="V675" s="915">
        <f t="shared" si="274"/>
        <v>13352.83</v>
      </c>
      <c r="W675" s="915">
        <f t="shared" si="274"/>
        <v>32762.05</v>
      </c>
      <c r="X675" s="915">
        <f t="shared" si="274"/>
        <v>21728.84</v>
      </c>
      <c r="Y675" s="915">
        <f t="shared" si="274"/>
        <v>53607.71</v>
      </c>
      <c r="Z675" s="915">
        <f t="shared" si="274"/>
        <v>51547.13</v>
      </c>
      <c r="AA675" s="915">
        <f t="shared" si="274"/>
        <v>41961.1</v>
      </c>
      <c r="AB675" s="915">
        <f t="shared" si="274"/>
        <v>40709.93</v>
      </c>
      <c r="AC675" s="914">
        <f>ROUND(SUM(AC510:AC516)+SUM(AC520:AC525)+SUM(AC529:AC531)+AC535+SUM(AC539:AC541)+SUM(AC550:AC554)+SUM(AC565:AC566)+AC585+SUM(AC589:AC592)+AC603+AC611+SUM(AC617:AC619)+SUM(AC625:AC626)+SUM(AC656:AC657)+SUM(AC662:AC664)+SUM(AC673:AC674),5)</f>
        <v>43557.17</v>
      </c>
      <c r="AD675" s="914">
        <f>ROUND(SUM(AD510:AD516)+SUM(AD520:AD525)+SUM(AD529:AD531)+AD535+SUM(AD539:AD541)+SUM(AD550:AD554)+SUM(AD565:AD566)+AD585+SUM(AD589:AD592)+AD603+AD611+SUM(AD617:AD619)+SUM(AD625:AD626)+SUM(AD656:AD657)+SUM(AD662:AD664)+SUM(AD673:AD674),5)</f>
        <v>74841.59</v>
      </c>
      <c r="AE675" s="914"/>
      <c r="AF675" s="914"/>
      <c r="AG675" s="914"/>
      <c r="AH675" s="914"/>
      <c r="AI675" s="914"/>
      <c r="AJ675" s="914"/>
      <c r="AK675" s="914"/>
      <c r="AL675" s="914"/>
      <c r="AM675" s="914"/>
      <c r="AN675" s="914"/>
      <c r="AO675" s="914"/>
      <c r="AP675" s="914"/>
      <c r="AQ675" s="914"/>
      <c r="AR675" s="914"/>
      <c r="AS675" s="914"/>
      <c r="AT675" s="914"/>
      <c r="AU675" s="914"/>
      <c r="AV675" s="914"/>
      <c r="AW675" s="914"/>
      <c r="AX675" s="914"/>
      <c r="AY675" s="914"/>
      <c r="AZ675" s="914"/>
      <c r="BA675" s="914"/>
      <c r="BB675" s="914"/>
      <c r="BC675" s="914"/>
      <c r="BD675" s="914"/>
      <c r="BE675" s="914"/>
      <c r="BF675" s="914"/>
      <c r="BG675" s="914"/>
      <c r="BH675" s="914"/>
      <c r="BI675" s="914"/>
      <c r="BJ675" s="914"/>
      <c r="BK675" s="914"/>
      <c r="BL675" s="914"/>
      <c r="BM675" s="914"/>
      <c r="BN675" s="914"/>
      <c r="BO675" s="914"/>
      <c r="BP675" s="914"/>
      <c r="BQ675" s="914"/>
      <c r="BR675" s="914"/>
      <c r="BS675" s="914"/>
      <c r="BT675" s="914"/>
      <c r="BU675" s="914"/>
      <c r="BV675" s="914"/>
      <c r="BW675" s="914"/>
      <c r="BX675" s="914"/>
      <c r="BY675" s="914"/>
      <c r="BZ675" s="914"/>
      <c r="CA675" s="914"/>
    </row>
    <row r="676" spans="1:79" ht="15" thickTop="1" x14ac:dyDescent="0.35">
      <c r="G676" s="778"/>
      <c r="H676" s="778"/>
      <c r="I676" s="778"/>
      <c r="J676" s="778"/>
      <c r="K676" s="778"/>
      <c r="L676" s="778"/>
      <c r="M676" s="778"/>
      <c r="N676" s="778"/>
      <c r="O676" s="778"/>
      <c r="P676" s="778"/>
      <c r="Q676" s="778"/>
      <c r="R676" s="778"/>
      <c r="S676" s="501"/>
      <c r="T676" s="501"/>
      <c r="U676" s="501"/>
      <c r="V676" s="501"/>
      <c r="W676" s="501"/>
      <c r="X676" s="501"/>
      <c r="Y676" s="501"/>
      <c r="Z676" s="501"/>
      <c r="AA676" s="501"/>
      <c r="AB676" s="732"/>
      <c r="AC676" s="732"/>
      <c r="AD676" s="732"/>
      <c r="AE676" s="732"/>
      <c r="AF676" s="732"/>
      <c r="AG676" s="732"/>
      <c r="AH676" s="732"/>
      <c r="AI676" s="732"/>
      <c r="AJ676" s="732"/>
      <c r="AK676" s="732"/>
      <c r="AL676" s="732"/>
      <c r="AM676" s="732"/>
      <c r="AN676" s="732"/>
      <c r="AO676" s="732"/>
      <c r="AP676" s="732"/>
      <c r="AQ676" s="732"/>
      <c r="AR676" s="732"/>
      <c r="AS676" s="732"/>
      <c r="AT676" s="732"/>
      <c r="AU676" s="732"/>
      <c r="AV676" s="732"/>
      <c r="AW676" s="732"/>
      <c r="AX676" s="732"/>
      <c r="AY676" s="732"/>
      <c r="AZ676" s="732"/>
      <c r="BA676" s="732"/>
      <c r="BB676" s="732"/>
      <c r="BC676" s="732"/>
      <c r="BD676" s="732"/>
      <c r="BE676" s="732"/>
      <c r="BF676" s="732"/>
      <c r="BG676" s="732"/>
      <c r="BH676" s="732"/>
      <c r="BI676" s="732"/>
      <c r="BJ676" s="732"/>
      <c r="BK676" s="732"/>
      <c r="BL676" s="732"/>
      <c r="BM676" s="732"/>
      <c r="BN676" s="732"/>
      <c r="BO676" s="732"/>
      <c r="BP676" s="732"/>
      <c r="BQ676" s="732"/>
      <c r="BR676" s="732"/>
      <c r="BS676" s="732"/>
      <c r="BT676" s="732"/>
      <c r="BU676" s="732"/>
      <c r="BV676" s="732"/>
      <c r="BW676" s="732"/>
      <c r="BX676" s="732"/>
      <c r="BY676" s="732"/>
      <c r="BZ676" s="732"/>
      <c r="CA676" s="732"/>
    </row>
    <row r="677" spans="1:79" x14ac:dyDescent="0.35">
      <c r="G677" s="739"/>
      <c r="H677" s="739"/>
      <c r="I677" s="739"/>
      <c r="J677" s="739"/>
      <c r="K677" s="739"/>
      <c r="L677" s="739"/>
      <c r="M677" s="739"/>
      <c r="N677" s="739"/>
      <c r="O677" s="739"/>
      <c r="P677" s="739"/>
      <c r="Q677" s="739"/>
      <c r="R677" s="739"/>
      <c r="S677" s="739"/>
      <c r="T677" s="739"/>
      <c r="U677" s="739"/>
      <c r="V677" s="739"/>
      <c r="W677" s="739"/>
      <c r="X677" s="739"/>
      <c r="Y677" s="739"/>
      <c r="Z677" s="777"/>
      <c r="AA677" s="739"/>
      <c r="AB677" s="732"/>
      <c r="AC677" s="732"/>
      <c r="AD677" s="732"/>
      <c r="AE677" s="732"/>
      <c r="AF677" s="732"/>
      <c r="AG677" s="732"/>
      <c r="AH677" s="732"/>
      <c r="AI677" s="732"/>
      <c r="AJ677" s="732"/>
      <c r="AK677" s="732"/>
      <c r="AL677" s="732"/>
      <c r="AM677" s="732"/>
      <c r="AN677" s="732"/>
      <c r="AO677" s="732"/>
      <c r="AP677" s="732"/>
      <c r="AQ677" s="732"/>
      <c r="AR677" s="732"/>
      <c r="AS677" s="732"/>
      <c r="AT677" s="732"/>
      <c r="AU677" s="732"/>
      <c r="AV677" s="732"/>
      <c r="AW677" s="732"/>
      <c r="AX677" s="732"/>
      <c r="AY677" s="732"/>
      <c r="AZ677" s="732"/>
      <c r="BA677" s="732"/>
      <c r="BB677" s="732"/>
      <c r="BC677" s="732"/>
      <c r="BD677" s="732"/>
      <c r="BE677" s="732"/>
      <c r="BF677" s="732"/>
      <c r="BG677" s="732"/>
      <c r="BH677" s="732"/>
      <c r="BI677" s="732"/>
      <c r="BJ677" s="732"/>
      <c r="BK677" s="732"/>
      <c r="BL677" s="732"/>
      <c r="BM677" s="732"/>
      <c r="BN677" s="732"/>
      <c r="BO677" s="732"/>
      <c r="BP677" s="732"/>
      <c r="BQ677" s="732"/>
      <c r="BR677" s="732"/>
      <c r="BS677" s="732"/>
      <c r="BT677" s="732"/>
      <c r="BU677" s="732"/>
      <c r="BV677" s="732"/>
      <c r="BW677" s="732"/>
      <c r="BX677" s="732"/>
      <c r="BY677" s="732"/>
      <c r="BZ677" s="732"/>
      <c r="CA677" s="732"/>
    </row>
    <row r="678" spans="1:79" s="878" customFormat="1" x14ac:dyDescent="0.35">
      <c r="A678" s="882"/>
      <c r="F678" s="883" t="s">
        <v>342</v>
      </c>
      <c r="G678" s="884"/>
      <c r="H678" s="884"/>
      <c r="I678" s="884"/>
      <c r="J678" s="884"/>
      <c r="K678" s="884"/>
      <c r="L678" s="884"/>
      <c r="M678" s="884"/>
      <c r="N678" s="884"/>
      <c r="O678" s="884"/>
      <c r="P678" s="884"/>
      <c r="Q678" s="884"/>
      <c r="R678" s="884"/>
      <c r="S678" s="884"/>
      <c r="T678" s="884"/>
      <c r="U678" s="884"/>
      <c r="V678" s="884"/>
      <c r="W678" s="884"/>
      <c r="X678" s="884"/>
      <c r="Y678" s="884"/>
      <c r="Z678" s="884"/>
      <c r="AA678" s="884"/>
      <c r="AB678" s="884"/>
      <c r="AC678" s="884"/>
      <c r="AD678" s="884"/>
      <c r="AE678" s="884"/>
      <c r="AF678" s="884"/>
      <c r="AG678" s="884"/>
      <c r="AH678" s="884"/>
      <c r="AI678" s="884"/>
      <c r="AJ678" s="884"/>
      <c r="AK678" s="884"/>
      <c r="AL678" s="884"/>
      <c r="AM678" s="884"/>
      <c r="AN678" s="884"/>
      <c r="AO678" s="884"/>
      <c r="AP678" s="884"/>
      <c r="AQ678" s="884"/>
      <c r="AR678" s="884"/>
      <c r="AS678" s="884"/>
      <c r="AT678" s="884"/>
      <c r="AU678" s="884"/>
      <c r="AV678" s="884"/>
      <c r="AW678" s="884"/>
      <c r="AX678" s="884"/>
      <c r="AY678" s="884"/>
      <c r="AZ678" s="884"/>
      <c r="BA678" s="884"/>
      <c r="BB678" s="884"/>
      <c r="BC678" s="884"/>
      <c r="BD678" s="884"/>
      <c r="BE678" s="884"/>
      <c r="BF678" s="884"/>
      <c r="BG678" s="884"/>
      <c r="BH678" s="884"/>
      <c r="BI678" s="884"/>
      <c r="BJ678" s="884"/>
      <c r="BK678" s="884"/>
      <c r="BL678" s="884"/>
      <c r="BM678" s="884"/>
      <c r="BN678" s="884"/>
      <c r="BO678" s="884"/>
      <c r="BP678" s="884"/>
      <c r="BQ678" s="884"/>
      <c r="BR678" s="884"/>
      <c r="BS678" s="884"/>
      <c r="BT678" s="884"/>
      <c r="BU678" s="884"/>
      <c r="BV678" s="884"/>
      <c r="BW678" s="884"/>
      <c r="BX678" s="884"/>
      <c r="BY678" s="884"/>
      <c r="BZ678" s="884"/>
      <c r="CA678" s="884"/>
    </row>
    <row r="679" spans="1:79" hidden="1" outlineLevel="1" x14ac:dyDescent="0.35">
      <c r="A679" s="224"/>
      <c r="B679" s="224"/>
      <c r="C679" s="224"/>
      <c r="D679" s="224"/>
      <c r="E679" s="224"/>
      <c r="F679" s="670" t="s">
        <v>701</v>
      </c>
      <c r="G679" s="679"/>
      <c r="H679" s="679"/>
      <c r="I679" s="679"/>
      <c r="J679" s="679"/>
      <c r="K679" s="679"/>
      <c r="L679" s="679"/>
      <c r="M679" s="679"/>
      <c r="N679" s="679"/>
      <c r="O679" s="679"/>
      <c r="P679" s="679"/>
      <c r="Q679" s="679"/>
      <c r="R679" s="679"/>
      <c r="S679" s="679">
        <v>0</v>
      </c>
      <c r="T679" s="679">
        <v>0</v>
      </c>
      <c r="U679" s="679">
        <v>0</v>
      </c>
      <c r="V679" s="679">
        <v>0</v>
      </c>
      <c r="W679" s="679">
        <v>0</v>
      </c>
      <c r="X679" s="679">
        <v>0</v>
      </c>
      <c r="Y679" s="679">
        <v>0</v>
      </c>
      <c r="Z679" s="679">
        <v>0</v>
      </c>
      <c r="AA679" s="679">
        <v>0</v>
      </c>
      <c r="AB679" s="679">
        <v>0</v>
      </c>
      <c r="AC679" s="679">
        <v>0</v>
      </c>
      <c r="AD679" s="679">
        <v>0</v>
      </c>
      <c r="AE679" s="679"/>
      <c r="AF679" s="679"/>
      <c r="AG679" s="679"/>
      <c r="AH679" s="679"/>
      <c r="AI679" s="679"/>
      <c r="AJ679" s="679"/>
      <c r="AK679" s="679"/>
      <c r="AL679" s="679"/>
      <c r="AM679" s="679"/>
      <c r="AN679" s="679"/>
      <c r="AO679" s="679"/>
      <c r="AP679" s="679"/>
      <c r="AQ679" s="679"/>
      <c r="AR679" s="679"/>
      <c r="AS679" s="679"/>
      <c r="AT679" s="679"/>
      <c r="AU679" s="679"/>
      <c r="AV679" s="679"/>
      <c r="AW679" s="679"/>
      <c r="AX679" s="679"/>
      <c r="AY679" s="679"/>
      <c r="AZ679" s="679"/>
      <c r="BA679" s="679"/>
      <c r="BB679" s="679"/>
      <c r="BC679" s="679"/>
      <c r="BD679" s="679"/>
      <c r="BE679" s="679"/>
      <c r="BF679" s="679"/>
      <c r="BG679" s="679"/>
      <c r="BH679" s="679"/>
      <c r="BI679" s="679"/>
      <c r="BJ679" s="679"/>
      <c r="BK679" s="679"/>
      <c r="BL679" s="679"/>
      <c r="BM679" s="679"/>
      <c r="BN679" s="679"/>
      <c r="BO679" s="679"/>
      <c r="BP679" s="679"/>
      <c r="BQ679" s="679"/>
      <c r="BR679" s="679"/>
      <c r="BS679" s="679"/>
      <c r="BT679" s="679"/>
      <c r="BU679" s="679"/>
      <c r="BV679" s="679"/>
      <c r="BW679" s="679"/>
      <c r="BX679" s="679"/>
      <c r="BY679" s="679"/>
      <c r="BZ679" s="679"/>
      <c r="CA679" s="679"/>
    </row>
    <row r="680" spans="1:79" hidden="1" outlineLevel="1" x14ac:dyDescent="0.35">
      <c r="A680" s="224"/>
      <c r="B680" s="224"/>
      <c r="C680" s="224"/>
      <c r="D680" s="224"/>
      <c r="E680" s="224"/>
      <c r="F680" s="671" t="s">
        <v>857</v>
      </c>
      <c r="G680" s="679"/>
      <c r="H680" s="679"/>
      <c r="I680" s="679"/>
      <c r="J680" s="679"/>
      <c r="K680" s="679"/>
      <c r="L680" s="679"/>
      <c r="M680" s="679"/>
      <c r="N680" s="679"/>
      <c r="O680" s="679"/>
      <c r="P680" s="679"/>
      <c r="Q680" s="679"/>
      <c r="R680" s="679"/>
      <c r="S680" s="679">
        <v>0</v>
      </c>
      <c r="T680" s="679">
        <v>0</v>
      </c>
      <c r="U680" s="679">
        <v>0</v>
      </c>
      <c r="V680" s="679">
        <v>0</v>
      </c>
      <c r="W680" s="679">
        <v>0</v>
      </c>
      <c r="X680" s="679">
        <v>0</v>
      </c>
      <c r="Y680" s="679">
        <v>0</v>
      </c>
      <c r="Z680" s="679">
        <v>0</v>
      </c>
      <c r="AA680" s="679">
        <v>0</v>
      </c>
      <c r="AB680" s="679">
        <v>0</v>
      </c>
      <c r="AC680" s="679">
        <v>0</v>
      </c>
      <c r="AD680" s="679">
        <v>0</v>
      </c>
      <c r="AE680" s="679"/>
      <c r="AF680" s="679"/>
      <c r="AG680" s="679"/>
      <c r="AH680" s="679"/>
      <c r="AI680" s="679"/>
      <c r="AJ680" s="679"/>
      <c r="AK680" s="679"/>
      <c r="AL680" s="679"/>
      <c r="AM680" s="679"/>
      <c r="AN680" s="679"/>
      <c r="AO680" s="679"/>
      <c r="AP680" s="679"/>
      <c r="AQ680" s="679"/>
      <c r="AR680" s="679"/>
      <c r="AS680" s="679"/>
      <c r="AT680" s="679"/>
      <c r="AU680" s="679"/>
      <c r="AV680" s="679"/>
      <c r="AW680" s="679"/>
      <c r="AX680" s="679"/>
      <c r="AY680" s="679"/>
      <c r="AZ680" s="679"/>
      <c r="BA680" s="679"/>
      <c r="BB680" s="679"/>
      <c r="BC680" s="679"/>
      <c r="BD680" s="679"/>
      <c r="BE680" s="679"/>
      <c r="BF680" s="679"/>
      <c r="BG680" s="679"/>
      <c r="BH680" s="679"/>
      <c r="BI680" s="679"/>
      <c r="BJ680" s="679"/>
      <c r="BK680" s="679"/>
      <c r="BL680" s="679"/>
      <c r="BM680" s="679"/>
      <c r="BN680" s="679"/>
      <c r="BO680" s="679"/>
      <c r="BP680" s="679"/>
      <c r="BQ680" s="679"/>
      <c r="BR680" s="679"/>
      <c r="BS680" s="679"/>
      <c r="BT680" s="679"/>
      <c r="BU680" s="679"/>
      <c r="BV680" s="679"/>
      <c r="BW680" s="679"/>
      <c r="BX680" s="679"/>
      <c r="BY680" s="679"/>
      <c r="BZ680" s="679"/>
      <c r="CA680" s="679"/>
    </row>
    <row r="681" spans="1:79" hidden="1" outlineLevel="1" x14ac:dyDescent="0.35">
      <c r="A681" s="224"/>
      <c r="B681" s="224"/>
      <c r="C681" s="224"/>
      <c r="D681" s="224"/>
      <c r="E681" s="224"/>
      <c r="F681" s="671" t="s">
        <v>858</v>
      </c>
      <c r="G681" s="679"/>
      <c r="H681" s="679"/>
      <c r="I681" s="679"/>
      <c r="J681" s="679"/>
      <c r="K681" s="679"/>
      <c r="L681" s="679"/>
      <c r="M681" s="679"/>
      <c r="N681" s="679"/>
      <c r="O681" s="679"/>
      <c r="P681" s="679"/>
      <c r="Q681" s="679"/>
      <c r="R681" s="679"/>
      <c r="S681" s="679">
        <v>0</v>
      </c>
      <c r="T681" s="679">
        <v>0</v>
      </c>
      <c r="U681" s="679">
        <v>0</v>
      </c>
      <c r="V681" s="679">
        <v>0</v>
      </c>
      <c r="W681" s="679">
        <v>0</v>
      </c>
      <c r="X681" s="679">
        <v>0</v>
      </c>
      <c r="Y681" s="679">
        <v>0</v>
      </c>
      <c r="Z681" s="679">
        <v>0</v>
      </c>
      <c r="AA681" s="679">
        <v>0</v>
      </c>
      <c r="AB681" s="679">
        <v>0</v>
      </c>
      <c r="AC681" s="679">
        <v>0</v>
      </c>
      <c r="AD681" s="679">
        <v>0</v>
      </c>
      <c r="AE681" s="679"/>
      <c r="AF681" s="679"/>
      <c r="AG681" s="679"/>
      <c r="AH681" s="679"/>
      <c r="AI681" s="679"/>
      <c r="AJ681" s="679"/>
      <c r="AK681" s="679"/>
      <c r="AL681" s="679"/>
      <c r="AM681" s="679"/>
      <c r="AN681" s="679"/>
      <c r="AO681" s="679"/>
      <c r="AP681" s="679"/>
      <c r="AQ681" s="679"/>
      <c r="AR681" s="679"/>
      <c r="AS681" s="679"/>
      <c r="AT681" s="679"/>
      <c r="AU681" s="679"/>
      <c r="AV681" s="679"/>
      <c r="AW681" s="679"/>
      <c r="AX681" s="679"/>
      <c r="AY681" s="679"/>
      <c r="AZ681" s="679"/>
      <c r="BA681" s="679"/>
      <c r="BB681" s="679"/>
      <c r="BC681" s="679"/>
      <c r="BD681" s="679"/>
      <c r="BE681" s="679"/>
      <c r="BF681" s="679"/>
      <c r="BG681" s="679"/>
      <c r="BH681" s="679"/>
      <c r="BI681" s="679"/>
      <c r="BJ681" s="679"/>
      <c r="BK681" s="679"/>
      <c r="BL681" s="679"/>
      <c r="BM681" s="679"/>
      <c r="BN681" s="679"/>
      <c r="BO681" s="679"/>
      <c r="BP681" s="679"/>
      <c r="BQ681" s="679"/>
      <c r="BR681" s="679"/>
      <c r="BS681" s="679"/>
      <c r="BT681" s="679"/>
      <c r="BU681" s="679"/>
      <c r="BV681" s="679"/>
      <c r="BW681" s="679"/>
      <c r="BX681" s="679"/>
      <c r="BY681" s="679"/>
      <c r="BZ681" s="679"/>
      <c r="CA681" s="679"/>
    </row>
    <row r="682" spans="1:79" hidden="1" outlineLevel="1" x14ac:dyDescent="0.35">
      <c r="A682" s="224"/>
      <c r="B682" s="224"/>
      <c r="C682" s="224"/>
      <c r="D682" s="224"/>
      <c r="E682" s="224"/>
      <c r="F682" s="671" t="s">
        <v>859</v>
      </c>
      <c r="G682" s="679"/>
      <c r="H682" s="679"/>
      <c r="I682" s="679"/>
      <c r="J682" s="679"/>
      <c r="K682" s="679"/>
      <c r="L682" s="679"/>
      <c r="M682" s="679"/>
      <c r="N682" s="679"/>
      <c r="O682" s="679"/>
      <c r="P682" s="679"/>
      <c r="Q682" s="679"/>
      <c r="R682" s="679"/>
      <c r="S682" s="679">
        <v>0</v>
      </c>
      <c r="T682" s="679">
        <v>0</v>
      </c>
      <c r="U682" s="679">
        <v>0</v>
      </c>
      <c r="V682" s="679">
        <v>0</v>
      </c>
      <c r="W682" s="679">
        <v>0</v>
      </c>
      <c r="X682" s="679">
        <v>0</v>
      </c>
      <c r="Y682" s="679">
        <v>0</v>
      </c>
      <c r="Z682" s="679">
        <v>0</v>
      </c>
      <c r="AA682" s="679">
        <v>0</v>
      </c>
      <c r="AB682" s="679">
        <v>0</v>
      </c>
      <c r="AC682" s="679">
        <v>0</v>
      </c>
      <c r="AD682" s="679">
        <v>0</v>
      </c>
      <c r="AE682" s="679"/>
      <c r="AF682" s="679"/>
      <c r="AG682" s="679"/>
      <c r="AH682" s="679"/>
      <c r="AI682" s="679"/>
      <c r="AJ682" s="679"/>
      <c r="AK682" s="679"/>
      <c r="AL682" s="679"/>
      <c r="AM682" s="679"/>
      <c r="AN682" s="679"/>
      <c r="AO682" s="679"/>
      <c r="AP682" s="679"/>
      <c r="AQ682" s="679"/>
      <c r="AR682" s="679"/>
      <c r="AS682" s="679"/>
      <c r="AT682" s="679"/>
      <c r="AU682" s="679"/>
      <c r="AV682" s="679"/>
      <c r="AW682" s="679"/>
      <c r="AX682" s="679"/>
      <c r="AY682" s="679"/>
      <c r="AZ682" s="679"/>
      <c r="BA682" s="679"/>
      <c r="BB682" s="679"/>
      <c r="BC682" s="679"/>
      <c r="BD682" s="679"/>
      <c r="BE682" s="679"/>
      <c r="BF682" s="679"/>
      <c r="BG682" s="679"/>
      <c r="BH682" s="679"/>
      <c r="BI682" s="679"/>
      <c r="BJ682" s="679"/>
      <c r="BK682" s="679"/>
      <c r="BL682" s="679"/>
      <c r="BM682" s="679"/>
      <c r="BN682" s="679"/>
      <c r="BO682" s="679"/>
      <c r="BP682" s="679"/>
      <c r="BQ682" s="679"/>
      <c r="BR682" s="679"/>
      <c r="BS682" s="679"/>
      <c r="BT682" s="679"/>
      <c r="BU682" s="679"/>
      <c r="BV682" s="679"/>
      <c r="BW682" s="679"/>
      <c r="BX682" s="679"/>
      <c r="BY682" s="679"/>
      <c r="BZ682" s="679"/>
      <c r="CA682" s="679"/>
    </row>
    <row r="683" spans="1:79" hidden="1" outlineLevel="1" x14ac:dyDescent="0.35">
      <c r="A683" s="224"/>
      <c r="B683" s="224"/>
      <c r="C683" s="224"/>
      <c r="D683" s="224"/>
      <c r="E683" s="224"/>
      <c r="F683" s="671" t="s">
        <v>702</v>
      </c>
      <c r="G683" s="679"/>
      <c r="H683" s="679"/>
      <c r="I683" s="679"/>
      <c r="J683" s="679"/>
      <c r="K683" s="679"/>
      <c r="L683" s="679"/>
      <c r="M683" s="679"/>
      <c r="N683" s="679"/>
      <c r="O683" s="679"/>
      <c r="P683" s="679"/>
      <c r="Q683" s="679"/>
      <c r="R683" s="679"/>
      <c r="S683" s="679">
        <v>0</v>
      </c>
      <c r="T683" s="679">
        <v>0</v>
      </c>
      <c r="U683" s="679">
        <v>0</v>
      </c>
      <c r="V683" s="679">
        <v>0</v>
      </c>
      <c r="W683" s="679">
        <v>0</v>
      </c>
      <c r="X683" s="679">
        <v>0</v>
      </c>
      <c r="Y683" s="679">
        <v>0</v>
      </c>
      <c r="Z683" s="679">
        <v>0</v>
      </c>
      <c r="AA683" s="679">
        <v>0</v>
      </c>
      <c r="AB683" s="679">
        <v>0</v>
      </c>
      <c r="AC683" s="679">
        <v>0</v>
      </c>
      <c r="AD683" s="679">
        <v>0</v>
      </c>
      <c r="AE683" s="679"/>
      <c r="AF683" s="679"/>
      <c r="AG683" s="679"/>
      <c r="AH683" s="679"/>
      <c r="AI683" s="679"/>
      <c r="AJ683" s="679"/>
      <c r="AK683" s="679"/>
      <c r="AL683" s="679"/>
      <c r="AM683" s="679"/>
      <c r="AN683" s="679"/>
      <c r="AO683" s="679"/>
      <c r="AP683" s="679"/>
      <c r="AQ683" s="679"/>
      <c r="AR683" s="679"/>
      <c r="AS683" s="679"/>
      <c r="AT683" s="679"/>
      <c r="AU683" s="679"/>
      <c r="AV683" s="679"/>
      <c r="AW683" s="679"/>
      <c r="AX683" s="679"/>
      <c r="AY683" s="679"/>
      <c r="AZ683" s="679"/>
      <c r="BA683" s="679"/>
      <c r="BB683" s="679"/>
      <c r="BC683" s="679"/>
      <c r="BD683" s="679"/>
      <c r="BE683" s="679"/>
      <c r="BF683" s="679"/>
      <c r="BG683" s="679"/>
      <c r="BH683" s="679"/>
      <c r="BI683" s="679"/>
      <c r="BJ683" s="679"/>
      <c r="BK683" s="679"/>
      <c r="BL683" s="679"/>
      <c r="BM683" s="679"/>
      <c r="BN683" s="679"/>
      <c r="BO683" s="679"/>
      <c r="BP683" s="679"/>
      <c r="BQ683" s="679"/>
      <c r="BR683" s="679"/>
      <c r="BS683" s="679"/>
      <c r="BT683" s="679"/>
      <c r="BU683" s="679"/>
      <c r="BV683" s="679"/>
      <c r="BW683" s="679"/>
      <c r="BX683" s="679"/>
      <c r="BY683" s="679"/>
      <c r="BZ683" s="679"/>
      <c r="CA683" s="679"/>
    </row>
    <row r="684" spans="1:79" hidden="1" outlineLevel="1" x14ac:dyDescent="0.35">
      <c r="A684" s="224"/>
      <c r="B684" s="224"/>
      <c r="C684" s="224"/>
      <c r="D684" s="224"/>
      <c r="E684" s="224"/>
      <c r="F684" s="671" t="s">
        <v>860</v>
      </c>
      <c r="G684" s="679"/>
      <c r="H684" s="679"/>
      <c r="I684" s="679"/>
      <c r="J684" s="679"/>
      <c r="K684" s="679"/>
      <c r="L684" s="679"/>
      <c r="M684" s="679"/>
      <c r="N684" s="679"/>
      <c r="O684" s="679"/>
      <c r="P684" s="679"/>
      <c r="Q684" s="679"/>
      <c r="R684" s="679"/>
      <c r="S684" s="679">
        <v>0</v>
      </c>
      <c r="T684" s="679">
        <v>0</v>
      </c>
      <c r="U684" s="679">
        <v>0</v>
      </c>
      <c r="V684" s="679">
        <v>0</v>
      </c>
      <c r="W684" s="679">
        <v>0</v>
      </c>
      <c r="X684" s="679">
        <v>0</v>
      </c>
      <c r="Y684" s="679">
        <v>0</v>
      </c>
      <c r="Z684" s="679">
        <v>0</v>
      </c>
      <c r="AA684" s="679">
        <v>0</v>
      </c>
      <c r="AB684" s="679">
        <v>0</v>
      </c>
      <c r="AC684" s="679">
        <v>0</v>
      </c>
      <c r="AD684" s="679">
        <v>0</v>
      </c>
      <c r="AE684" s="679"/>
      <c r="AF684" s="679"/>
      <c r="AG684" s="679"/>
      <c r="AH684" s="679"/>
      <c r="AI684" s="679"/>
      <c r="AJ684" s="679"/>
      <c r="AK684" s="679"/>
      <c r="AL684" s="679"/>
      <c r="AM684" s="679"/>
      <c r="AN684" s="679"/>
      <c r="AO684" s="679"/>
      <c r="AP684" s="679"/>
      <c r="AQ684" s="679"/>
      <c r="AR684" s="679"/>
      <c r="AS684" s="679"/>
      <c r="AT684" s="679"/>
      <c r="AU684" s="679"/>
      <c r="AV684" s="679"/>
      <c r="AW684" s="679"/>
      <c r="AX684" s="679"/>
      <c r="AY684" s="679"/>
      <c r="AZ684" s="679"/>
      <c r="BA684" s="679"/>
      <c r="BB684" s="679"/>
      <c r="BC684" s="679"/>
      <c r="BD684" s="679"/>
      <c r="BE684" s="679"/>
      <c r="BF684" s="679"/>
      <c r="BG684" s="679"/>
      <c r="BH684" s="679"/>
      <c r="BI684" s="679"/>
      <c r="BJ684" s="679"/>
      <c r="BK684" s="679"/>
      <c r="BL684" s="679"/>
      <c r="BM684" s="679"/>
      <c r="BN684" s="679"/>
      <c r="BO684" s="679"/>
      <c r="BP684" s="679"/>
      <c r="BQ684" s="679"/>
      <c r="BR684" s="679"/>
      <c r="BS684" s="679"/>
      <c r="BT684" s="679"/>
      <c r="BU684" s="679"/>
      <c r="BV684" s="679"/>
      <c r="BW684" s="679"/>
      <c r="BX684" s="679"/>
      <c r="BY684" s="679"/>
      <c r="BZ684" s="679"/>
      <c r="CA684" s="679"/>
    </row>
    <row r="685" spans="1:79" hidden="1" outlineLevel="1" x14ac:dyDescent="0.35">
      <c r="A685" s="709"/>
      <c r="B685" s="709"/>
      <c r="C685" s="709"/>
      <c r="D685" s="709"/>
      <c r="E685" s="709"/>
      <c r="F685" s="707" t="s">
        <v>661</v>
      </c>
      <c r="G685" s="708"/>
      <c r="H685" s="708"/>
      <c r="I685" s="708"/>
      <c r="J685" s="708"/>
      <c r="K685" s="708"/>
      <c r="L685" s="708"/>
      <c r="M685" s="708"/>
      <c r="N685" s="708"/>
      <c r="O685" s="708"/>
      <c r="P685" s="708"/>
      <c r="Q685" s="708"/>
      <c r="R685" s="708"/>
      <c r="S685" s="708"/>
      <c r="T685" s="708"/>
      <c r="U685" s="708"/>
      <c r="V685" s="708"/>
      <c r="W685" s="708"/>
      <c r="X685" s="708"/>
      <c r="Y685" s="708"/>
      <c r="Z685" s="708"/>
      <c r="AA685" s="708"/>
      <c r="AB685" s="708"/>
      <c r="AC685" s="708"/>
      <c r="AD685" s="708"/>
      <c r="AE685" s="708"/>
      <c r="AF685" s="708"/>
      <c r="AG685" s="708"/>
      <c r="AH685" s="708"/>
      <c r="AI685" s="708"/>
      <c r="AJ685" s="708"/>
      <c r="AK685" s="708"/>
      <c r="AL685" s="708"/>
      <c r="AM685" s="708"/>
      <c r="AN685" s="708"/>
      <c r="AO685" s="708"/>
      <c r="AP685" s="708"/>
      <c r="AQ685" s="708"/>
      <c r="AR685" s="708"/>
      <c r="AS685" s="708"/>
      <c r="AT685" s="708"/>
      <c r="AU685" s="708"/>
      <c r="AV685" s="708"/>
      <c r="AW685" s="708"/>
      <c r="AX685" s="708"/>
      <c r="AY685" s="708"/>
      <c r="AZ685" s="708"/>
      <c r="BA685" s="708"/>
      <c r="BB685" s="708"/>
      <c r="BC685" s="708"/>
      <c r="BD685" s="708"/>
      <c r="BE685" s="708"/>
      <c r="BF685" s="708"/>
      <c r="BG685" s="708"/>
      <c r="BH685" s="708"/>
      <c r="BI685" s="708"/>
      <c r="BJ685" s="708"/>
      <c r="BK685" s="708"/>
      <c r="BL685" s="708"/>
      <c r="BM685" s="708"/>
      <c r="BN685" s="708"/>
      <c r="BO685" s="708"/>
      <c r="BP685" s="708"/>
      <c r="BQ685" s="708"/>
      <c r="BR685" s="708"/>
      <c r="BS685" s="708"/>
      <c r="BT685" s="708"/>
      <c r="BU685" s="708"/>
      <c r="BV685" s="708"/>
      <c r="BW685" s="708"/>
      <c r="BX685" s="708"/>
      <c r="BY685" s="708"/>
      <c r="BZ685" s="708"/>
      <c r="CA685" s="708"/>
    </row>
    <row r="686" spans="1:79" hidden="1" outlineLevel="1" x14ac:dyDescent="0.35">
      <c r="A686" s="224"/>
      <c r="B686" s="224"/>
      <c r="C686" s="224"/>
      <c r="D686" s="224"/>
      <c r="E686" s="224"/>
      <c r="F686" s="672" t="s">
        <v>662</v>
      </c>
      <c r="G686" s="679"/>
      <c r="H686" s="679"/>
      <c r="I686" s="679"/>
      <c r="J686" s="679"/>
      <c r="K686" s="679"/>
      <c r="L686" s="679"/>
      <c r="M686" s="679"/>
      <c r="N686" s="679"/>
      <c r="O686" s="679"/>
      <c r="P686" s="679"/>
      <c r="Q686" s="679"/>
      <c r="R686" s="679"/>
      <c r="S686" s="679">
        <v>0</v>
      </c>
      <c r="T686" s="679">
        <v>0</v>
      </c>
      <c r="U686" s="679">
        <v>0</v>
      </c>
      <c r="V686" s="679">
        <v>0</v>
      </c>
      <c r="W686" s="679">
        <v>0</v>
      </c>
      <c r="X686" s="679">
        <v>0</v>
      </c>
      <c r="Y686" s="679">
        <v>0</v>
      </c>
      <c r="Z686" s="679">
        <v>0</v>
      </c>
      <c r="AA686" s="679">
        <v>0</v>
      </c>
      <c r="AB686" s="679">
        <v>0</v>
      </c>
      <c r="AC686" s="679">
        <v>0</v>
      </c>
      <c r="AD686" s="679">
        <v>0</v>
      </c>
      <c r="AE686" s="679"/>
      <c r="AF686" s="679"/>
      <c r="AG686" s="679"/>
      <c r="AH686" s="679"/>
      <c r="AI686" s="679"/>
      <c r="AJ686" s="679"/>
      <c r="AK686" s="679"/>
      <c r="AL686" s="679"/>
      <c r="AM686" s="679"/>
      <c r="AN686" s="679"/>
      <c r="AO686" s="679"/>
      <c r="AP686" s="679"/>
      <c r="AQ686" s="679"/>
      <c r="AR686" s="679"/>
      <c r="AS686" s="679"/>
      <c r="AT686" s="679"/>
      <c r="AU686" s="679"/>
      <c r="AV686" s="679"/>
      <c r="AW686" s="679"/>
      <c r="AX686" s="679"/>
      <c r="AY686" s="679"/>
      <c r="AZ686" s="679"/>
      <c r="BA686" s="679"/>
      <c r="BB686" s="679"/>
      <c r="BC686" s="679"/>
      <c r="BD686" s="679"/>
      <c r="BE686" s="679"/>
      <c r="BF686" s="679"/>
      <c r="BG686" s="679"/>
      <c r="BH686" s="679"/>
      <c r="BI686" s="679"/>
      <c r="BJ686" s="679"/>
      <c r="BK686" s="679"/>
      <c r="BL686" s="679"/>
      <c r="BM686" s="679"/>
      <c r="BN686" s="679"/>
      <c r="BO686" s="679"/>
      <c r="BP686" s="679"/>
      <c r="BQ686" s="679"/>
      <c r="BR686" s="679"/>
      <c r="BS686" s="679"/>
      <c r="BT686" s="679"/>
      <c r="BU686" s="679"/>
      <c r="BV686" s="679"/>
      <c r="BW686" s="679"/>
      <c r="BX686" s="679"/>
      <c r="BY686" s="679"/>
      <c r="BZ686" s="679"/>
      <c r="CA686" s="679"/>
    </row>
    <row r="687" spans="1:79" hidden="1" outlineLevel="1" x14ac:dyDescent="0.35">
      <c r="A687" s="224"/>
      <c r="B687" s="224"/>
      <c r="C687" s="224"/>
      <c r="D687" s="224"/>
      <c r="E687" s="224"/>
      <c r="F687" s="672" t="s">
        <v>861</v>
      </c>
      <c r="G687" s="679"/>
      <c r="H687" s="679"/>
      <c r="I687" s="679"/>
      <c r="J687" s="679"/>
      <c r="K687" s="679"/>
      <c r="L687" s="679"/>
      <c r="M687" s="679"/>
      <c r="N687" s="679"/>
      <c r="O687" s="679"/>
      <c r="P687" s="679"/>
      <c r="Q687" s="679"/>
      <c r="R687" s="679"/>
      <c r="S687" s="679">
        <v>0</v>
      </c>
      <c r="T687" s="679">
        <v>0</v>
      </c>
      <c r="U687" s="679">
        <v>0</v>
      </c>
      <c r="V687" s="679">
        <v>0</v>
      </c>
      <c r="W687" s="679">
        <v>0</v>
      </c>
      <c r="X687" s="679">
        <v>0</v>
      </c>
      <c r="Y687" s="679">
        <v>0</v>
      </c>
      <c r="Z687" s="679">
        <v>0</v>
      </c>
      <c r="AA687" s="679">
        <v>0</v>
      </c>
      <c r="AB687" s="679">
        <v>0</v>
      </c>
      <c r="AC687" s="679">
        <v>0</v>
      </c>
      <c r="AD687" s="679">
        <v>0</v>
      </c>
      <c r="AE687" s="679"/>
      <c r="AF687" s="679"/>
      <c r="AG687" s="679"/>
      <c r="AH687" s="679"/>
      <c r="AI687" s="679"/>
      <c r="AJ687" s="679"/>
      <c r="AK687" s="679"/>
      <c r="AL687" s="679"/>
      <c r="AM687" s="679"/>
      <c r="AN687" s="679"/>
      <c r="AO687" s="679"/>
      <c r="AP687" s="679"/>
      <c r="AQ687" s="679"/>
      <c r="AR687" s="679"/>
      <c r="AS687" s="679"/>
      <c r="AT687" s="679"/>
      <c r="AU687" s="679"/>
      <c r="AV687" s="679"/>
      <c r="AW687" s="679"/>
      <c r="AX687" s="679"/>
      <c r="AY687" s="679"/>
      <c r="AZ687" s="679"/>
      <c r="BA687" s="679"/>
      <c r="BB687" s="679"/>
      <c r="BC687" s="679"/>
      <c r="BD687" s="679"/>
      <c r="BE687" s="679"/>
      <c r="BF687" s="679"/>
      <c r="BG687" s="679"/>
      <c r="BH687" s="679"/>
      <c r="BI687" s="679"/>
      <c r="BJ687" s="679"/>
      <c r="BK687" s="679"/>
      <c r="BL687" s="679"/>
      <c r="BM687" s="679"/>
      <c r="BN687" s="679"/>
      <c r="BO687" s="679"/>
      <c r="BP687" s="679"/>
      <c r="BQ687" s="679"/>
      <c r="BR687" s="679"/>
      <c r="BS687" s="679"/>
      <c r="BT687" s="679"/>
      <c r="BU687" s="679"/>
      <c r="BV687" s="679"/>
      <c r="BW687" s="679"/>
      <c r="BX687" s="679"/>
      <c r="BY687" s="679"/>
      <c r="BZ687" s="679"/>
      <c r="CA687" s="679"/>
    </row>
    <row r="688" spans="1:79" hidden="1" outlineLevel="1" x14ac:dyDescent="0.35">
      <c r="A688" s="224"/>
      <c r="B688" s="224"/>
      <c r="C688" s="224"/>
      <c r="D688" s="224"/>
      <c r="E688" s="224"/>
      <c r="F688" s="673" t="s">
        <v>663</v>
      </c>
      <c r="G688" s="680">
        <f>SUM(G686:G687)</f>
        <v>0</v>
      </c>
      <c r="H688" s="680">
        <f t="shared" ref="H688:Q688" si="275">SUM(H686:H687)</f>
        <v>0</v>
      </c>
      <c r="I688" s="680">
        <f t="shared" si="275"/>
        <v>0</v>
      </c>
      <c r="J688" s="680">
        <f t="shared" si="275"/>
        <v>0</v>
      </c>
      <c r="K688" s="680">
        <f t="shared" si="275"/>
        <v>0</v>
      </c>
      <c r="L688" s="680">
        <f t="shared" si="275"/>
        <v>0</v>
      </c>
      <c r="M688" s="680">
        <f t="shared" si="275"/>
        <v>0</v>
      </c>
      <c r="N688" s="680">
        <f t="shared" si="275"/>
        <v>0</v>
      </c>
      <c r="O688" s="680">
        <f t="shared" si="275"/>
        <v>0</v>
      </c>
      <c r="P688" s="680">
        <f t="shared" si="275"/>
        <v>0</v>
      </c>
      <c r="Q688" s="680">
        <f t="shared" si="275"/>
        <v>0</v>
      </c>
      <c r="R688" s="680">
        <f>SUM(R686:R687)</f>
        <v>0</v>
      </c>
      <c r="S688" s="680">
        <f t="shared" ref="S688:AA688" si="276">ROUND(SUM(S685:S687),5)</f>
        <v>0</v>
      </c>
      <c r="T688" s="680">
        <f t="shared" si="276"/>
        <v>0</v>
      </c>
      <c r="U688" s="680">
        <f t="shared" si="276"/>
        <v>0</v>
      </c>
      <c r="V688" s="680">
        <f t="shared" si="276"/>
        <v>0</v>
      </c>
      <c r="W688" s="680">
        <f t="shared" si="276"/>
        <v>0</v>
      </c>
      <c r="X688" s="680">
        <f t="shared" si="276"/>
        <v>0</v>
      </c>
      <c r="Y688" s="680">
        <f t="shared" si="276"/>
        <v>0</v>
      </c>
      <c r="Z688" s="680">
        <f t="shared" si="276"/>
        <v>0</v>
      </c>
      <c r="AA688" s="680">
        <f t="shared" si="276"/>
        <v>0</v>
      </c>
      <c r="AB688" s="680">
        <f>ROUND(SUM(AB685:AB687),5)</f>
        <v>0</v>
      </c>
      <c r="AC688" s="680">
        <f>ROUND(SUM(AC685:AC687),5)</f>
        <v>0</v>
      </c>
      <c r="AD688" s="680">
        <f>ROUND(SUM(AD685:AD687),5)</f>
        <v>0</v>
      </c>
      <c r="AE688" s="680">
        <f t="shared" ref="AE688:BO688" si="277">SUM(AE686:AE687)</f>
        <v>0</v>
      </c>
      <c r="AF688" s="680">
        <f t="shared" si="277"/>
        <v>0</v>
      </c>
      <c r="AG688" s="680">
        <f t="shared" si="277"/>
        <v>0</v>
      </c>
      <c r="AH688" s="680">
        <f t="shared" si="277"/>
        <v>0</v>
      </c>
      <c r="AI688" s="680">
        <f t="shared" si="277"/>
        <v>0</v>
      </c>
      <c r="AJ688" s="680">
        <f t="shared" si="277"/>
        <v>0</v>
      </c>
      <c r="AK688" s="680">
        <f t="shared" si="277"/>
        <v>0</v>
      </c>
      <c r="AL688" s="680">
        <f t="shared" si="277"/>
        <v>0</v>
      </c>
      <c r="AM688" s="680">
        <f t="shared" si="277"/>
        <v>0</v>
      </c>
      <c r="AN688" s="680">
        <f t="shared" si="277"/>
        <v>0</v>
      </c>
      <c r="AO688" s="680">
        <f t="shared" si="277"/>
        <v>0</v>
      </c>
      <c r="AP688" s="680">
        <f t="shared" si="277"/>
        <v>0</v>
      </c>
      <c r="AQ688" s="680">
        <f t="shared" si="277"/>
        <v>0</v>
      </c>
      <c r="AR688" s="680">
        <f t="shared" si="277"/>
        <v>0</v>
      </c>
      <c r="AS688" s="680">
        <f t="shared" si="277"/>
        <v>0</v>
      </c>
      <c r="AT688" s="680">
        <f t="shared" si="277"/>
        <v>0</v>
      </c>
      <c r="AU688" s="680">
        <f t="shared" si="277"/>
        <v>0</v>
      </c>
      <c r="AV688" s="680">
        <f t="shared" si="277"/>
        <v>0</v>
      </c>
      <c r="AW688" s="680">
        <f t="shared" si="277"/>
        <v>0</v>
      </c>
      <c r="AX688" s="680">
        <f t="shared" si="277"/>
        <v>0</v>
      </c>
      <c r="AY688" s="680">
        <f t="shared" si="277"/>
        <v>0</v>
      </c>
      <c r="AZ688" s="680">
        <f t="shared" si="277"/>
        <v>0</v>
      </c>
      <c r="BA688" s="680">
        <f t="shared" si="277"/>
        <v>0</v>
      </c>
      <c r="BB688" s="680">
        <f t="shared" si="277"/>
        <v>0</v>
      </c>
      <c r="BC688" s="680">
        <f t="shared" si="277"/>
        <v>0</v>
      </c>
      <c r="BD688" s="680">
        <f t="shared" si="277"/>
        <v>0</v>
      </c>
      <c r="BE688" s="680">
        <f t="shared" si="277"/>
        <v>0</v>
      </c>
      <c r="BF688" s="680">
        <f t="shared" si="277"/>
        <v>0</v>
      </c>
      <c r="BG688" s="680">
        <f t="shared" si="277"/>
        <v>0</v>
      </c>
      <c r="BH688" s="680">
        <f t="shared" si="277"/>
        <v>0</v>
      </c>
      <c r="BI688" s="680">
        <f t="shared" si="277"/>
        <v>0</v>
      </c>
      <c r="BJ688" s="680">
        <f t="shared" si="277"/>
        <v>0</v>
      </c>
      <c r="BK688" s="680">
        <f t="shared" si="277"/>
        <v>0</v>
      </c>
      <c r="BL688" s="680">
        <f t="shared" si="277"/>
        <v>0</v>
      </c>
      <c r="BM688" s="680">
        <f t="shared" si="277"/>
        <v>0</v>
      </c>
      <c r="BN688" s="680">
        <f t="shared" si="277"/>
        <v>0</v>
      </c>
      <c r="BO688" s="680">
        <f t="shared" si="277"/>
        <v>0</v>
      </c>
      <c r="BP688" s="680">
        <f t="shared" ref="BP688:CA688" si="278">SUM(BP686:BP687)</f>
        <v>0</v>
      </c>
      <c r="BQ688" s="680">
        <f t="shared" si="278"/>
        <v>0</v>
      </c>
      <c r="BR688" s="680">
        <f t="shared" si="278"/>
        <v>0</v>
      </c>
      <c r="BS688" s="680">
        <f t="shared" si="278"/>
        <v>0</v>
      </c>
      <c r="BT688" s="680">
        <f t="shared" si="278"/>
        <v>0</v>
      </c>
      <c r="BU688" s="680">
        <f t="shared" si="278"/>
        <v>0</v>
      </c>
      <c r="BV688" s="680">
        <f t="shared" si="278"/>
        <v>0</v>
      </c>
      <c r="BW688" s="680">
        <f t="shared" si="278"/>
        <v>0</v>
      </c>
      <c r="BX688" s="680">
        <f t="shared" si="278"/>
        <v>0</v>
      </c>
      <c r="BY688" s="680">
        <f t="shared" si="278"/>
        <v>0</v>
      </c>
      <c r="BZ688" s="680">
        <f t="shared" si="278"/>
        <v>0</v>
      </c>
      <c r="CA688" s="680">
        <f t="shared" si="278"/>
        <v>0</v>
      </c>
    </row>
    <row r="689" spans="1:79" hidden="1" outlineLevel="1" x14ac:dyDescent="0.35">
      <c r="A689" s="224"/>
      <c r="B689" s="224"/>
      <c r="C689" s="224"/>
      <c r="D689" s="224"/>
      <c r="E689" s="224"/>
      <c r="F689" s="671" t="s">
        <v>700</v>
      </c>
      <c r="G689" s="679"/>
      <c r="H689" s="679"/>
      <c r="I689" s="679"/>
      <c r="J689" s="679"/>
      <c r="K689" s="679"/>
      <c r="L689" s="679"/>
      <c r="M689" s="679"/>
      <c r="N689" s="679"/>
      <c r="O689" s="679"/>
      <c r="P689" s="679"/>
      <c r="Q689" s="679"/>
      <c r="R689" s="679"/>
      <c r="S689" s="679">
        <v>0</v>
      </c>
      <c r="T689" s="679">
        <v>0</v>
      </c>
      <c r="U689" s="679">
        <v>0</v>
      </c>
      <c r="V689" s="679">
        <v>0</v>
      </c>
      <c r="W689" s="679">
        <v>0</v>
      </c>
      <c r="X689" s="679">
        <v>0</v>
      </c>
      <c r="Y689" s="679">
        <v>0</v>
      </c>
      <c r="Z689" s="679">
        <v>0</v>
      </c>
      <c r="AA689" s="679">
        <v>0</v>
      </c>
      <c r="AB689" s="679">
        <v>0</v>
      </c>
      <c r="AC689" s="679">
        <v>0</v>
      </c>
      <c r="AD689" s="679">
        <v>0</v>
      </c>
      <c r="AE689" s="679"/>
      <c r="AF689" s="679"/>
      <c r="AG689" s="679"/>
      <c r="AH689" s="679"/>
      <c r="AI689" s="679"/>
      <c r="AJ689" s="679"/>
      <c r="AK689" s="679"/>
      <c r="AL689" s="679"/>
      <c r="AM689" s="679"/>
      <c r="AN689" s="679"/>
      <c r="AO689" s="679"/>
      <c r="AP689" s="679"/>
      <c r="AQ689" s="679"/>
      <c r="AR689" s="679"/>
      <c r="AS689" s="679"/>
      <c r="AT689" s="679"/>
      <c r="AU689" s="679"/>
      <c r="AV689" s="679"/>
      <c r="AW689" s="679"/>
      <c r="AX689" s="679"/>
      <c r="AY689" s="679"/>
      <c r="AZ689" s="679"/>
      <c r="BA689" s="679"/>
      <c r="BB689" s="679"/>
      <c r="BC689" s="679"/>
      <c r="BD689" s="679"/>
      <c r="BE689" s="679"/>
      <c r="BF689" s="679"/>
      <c r="BG689" s="679"/>
      <c r="BH689" s="679"/>
      <c r="BI689" s="679"/>
      <c r="BJ689" s="679"/>
      <c r="BK689" s="679"/>
      <c r="BL689" s="679"/>
      <c r="BM689" s="679"/>
      <c r="BN689" s="679"/>
      <c r="BO689" s="679"/>
      <c r="BP689" s="679"/>
      <c r="BQ689" s="679"/>
      <c r="BR689" s="679"/>
      <c r="BS689" s="679"/>
      <c r="BT689" s="679"/>
      <c r="BU689" s="679"/>
      <c r="BV689" s="679"/>
      <c r="BW689" s="679"/>
      <c r="BX689" s="679"/>
      <c r="BY689" s="679"/>
      <c r="BZ689" s="679"/>
      <c r="CA689" s="679"/>
    </row>
    <row r="690" spans="1:79" hidden="1" outlineLevel="1" x14ac:dyDescent="0.35">
      <c r="A690" s="224"/>
      <c r="B690" s="224"/>
      <c r="C690" s="224"/>
      <c r="D690" s="224"/>
      <c r="E690" s="224"/>
      <c r="F690" s="671" t="s">
        <v>862</v>
      </c>
      <c r="G690" s="679"/>
      <c r="H690" s="679"/>
      <c r="I690" s="679"/>
      <c r="J690" s="679"/>
      <c r="K690" s="679"/>
      <c r="L690" s="679"/>
      <c r="M690" s="679"/>
      <c r="N690" s="679"/>
      <c r="O690" s="679"/>
      <c r="P690" s="679"/>
      <c r="Q690" s="679"/>
      <c r="R690" s="679"/>
      <c r="S690" s="679">
        <v>0</v>
      </c>
      <c r="T690" s="679">
        <v>0</v>
      </c>
      <c r="U690" s="679">
        <v>0</v>
      </c>
      <c r="V690" s="679">
        <v>0</v>
      </c>
      <c r="W690" s="679">
        <v>0</v>
      </c>
      <c r="X690" s="679">
        <v>0</v>
      </c>
      <c r="Y690" s="679">
        <v>0</v>
      </c>
      <c r="Z690" s="679">
        <v>0</v>
      </c>
      <c r="AA690" s="679">
        <v>0</v>
      </c>
      <c r="AB690" s="679">
        <v>0</v>
      </c>
      <c r="AC690" s="679">
        <v>0</v>
      </c>
      <c r="AD690" s="679">
        <v>0</v>
      </c>
      <c r="AE690" s="679"/>
      <c r="AF690" s="679"/>
      <c r="AG690" s="679"/>
      <c r="AH690" s="679"/>
      <c r="AI690" s="679"/>
      <c r="AJ690" s="679"/>
      <c r="AK690" s="679"/>
      <c r="AL690" s="679"/>
      <c r="AM690" s="679"/>
      <c r="AN690" s="679"/>
      <c r="AO690" s="679"/>
      <c r="AP690" s="679"/>
      <c r="AQ690" s="679"/>
      <c r="AR690" s="679"/>
      <c r="AS690" s="679"/>
      <c r="AT690" s="679"/>
      <c r="AU690" s="679"/>
      <c r="AV690" s="679"/>
      <c r="AW690" s="679"/>
      <c r="AX690" s="679"/>
      <c r="AY690" s="679"/>
      <c r="AZ690" s="679"/>
      <c r="BA690" s="679"/>
      <c r="BB690" s="679"/>
      <c r="BC690" s="679"/>
      <c r="BD690" s="679"/>
      <c r="BE690" s="679"/>
      <c r="BF690" s="679"/>
      <c r="BG690" s="679"/>
      <c r="BH690" s="679"/>
      <c r="BI690" s="679"/>
      <c r="BJ690" s="679"/>
      <c r="BK690" s="679"/>
      <c r="BL690" s="679"/>
      <c r="BM690" s="679"/>
      <c r="BN690" s="679"/>
      <c r="BO690" s="679"/>
      <c r="BP690" s="679"/>
      <c r="BQ690" s="679"/>
      <c r="BR690" s="679"/>
      <c r="BS690" s="679"/>
      <c r="BT690" s="679"/>
      <c r="BU690" s="679"/>
      <c r="BV690" s="679"/>
      <c r="BW690" s="679"/>
      <c r="BX690" s="679"/>
      <c r="BY690" s="679"/>
      <c r="BZ690" s="679"/>
      <c r="CA690" s="679"/>
    </row>
    <row r="691" spans="1:79" hidden="1" outlineLevel="1" x14ac:dyDescent="0.35">
      <c r="A691" s="224"/>
      <c r="B691" s="224"/>
      <c r="C691" s="224"/>
      <c r="D691" s="224"/>
      <c r="E691" s="224"/>
      <c r="F691" s="671" t="s">
        <v>863</v>
      </c>
      <c r="G691" s="679"/>
      <c r="H691" s="679"/>
      <c r="I691" s="679"/>
      <c r="J691" s="679"/>
      <c r="K691" s="679"/>
      <c r="L691" s="679"/>
      <c r="M691" s="679"/>
      <c r="N691" s="679"/>
      <c r="O691" s="679"/>
      <c r="P691" s="679"/>
      <c r="Q691" s="679"/>
      <c r="R691" s="679"/>
      <c r="S691" s="679">
        <v>0</v>
      </c>
      <c r="T691" s="679">
        <v>0</v>
      </c>
      <c r="U691" s="679">
        <v>0</v>
      </c>
      <c r="V691" s="679">
        <v>0</v>
      </c>
      <c r="W691" s="679">
        <v>0</v>
      </c>
      <c r="X691" s="679">
        <v>0</v>
      </c>
      <c r="Y691" s="679">
        <v>0</v>
      </c>
      <c r="Z691" s="679">
        <v>0</v>
      </c>
      <c r="AA691" s="679">
        <v>0</v>
      </c>
      <c r="AB691" s="679">
        <v>0</v>
      </c>
      <c r="AC691" s="679">
        <v>0</v>
      </c>
      <c r="AD691" s="679">
        <v>0</v>
      </c>
      <c r="AE691" s="679"/>
      <c r="AF691" s="679"/>
      <c r="AG691" s="679"/>
      <c r="AH691" s="679"/>
      <c r="AI691" s="679"/>
      <c r="AJ691" s="679"/>
      <c r="AK691" s="679"/>
      <c r="AL691" s="679"/>
      <c r="AM691" s="679"/>
      <c r="AN691" s="679"/>
      <c r="AO691" s="679"/>
      <c r="AP691" s="679"/>
      <c r="AQ691" s="679"/>
      <c r="AR691" s="679"/>
      <c r="AS691" s="679"/>
      <c r="AT691" s="679"/>
      <c r="AU691" s="679"/>
      <c r="AV691" s="679"/>
      <c r="AW691" s="679"/>
      <c r="AX691" s="679"/>
      <c r="AY691" s="679"/>
      <c r="AZ691" s="679"/>
      <c r="BA691" s="679"/>
      <c r="BB691" s="679"/>
      <c r="BC691" s="679"/>
      <c r="BD691" s="679"/>
      <c r="BE691" s="679"/>
      <c r="BF691" s="679"/>
      <c r="BG691" s="679"/>
      <c r="BH691" s="679"/>
      <c r="BI691" s="679"/>
      <c r="BJ691" s="679"/>
      <c r="BK691" s="679"/>
      <c r="BL691" s="679"/>
      <c r="BM691" s="679"/>
      <c r="BN691" s="679"/>
      <c r="BO691" s="679"/>
      <c r="BP691" s="679"/>
      <c r="BQ691" s="679"/>
      <c r="BR691" s="679"/>
      <c r="BS691" s="679"/>
      <c r="BT691" s="679"/>
      <c r="BU691" s="679"/>
      <c r="BV691" s="679"/>
      <c r="BW691" s="679"/>
      <c r="BX691" s="679"/>
      <c r="BY691" s="679"/>
      <c r="BZ691" s="679"/>
      <c r="CA691" s="679"/>
    </row>
    <row r="692" spans="1:79" hidden="1" outlineLevel="1" x14ac:dyDescent="0.35">
      <c r="A692" s="224"/>
      <c r="B692" s="224"/>
      <c r="C692" s="224"/>
      <c r="D692" s="224"/>
      <c r="E692" s="224"/>
      <c r="F692" s="671" t="s">
        <v>18</v>
      </c>
      <c r="G692" s="679"/>
      <c r="H692" s="679"/>
      <c r="I692" s="679"/>
      <c r="J692" s="679"/>
      <c r="K692" s="679"/>
      <c r="L692" s="679"/>
      <c r="M692" s="679"/>
      <c r="N692" s="679"/>
      <c r="O692" s="679"/>
      <c r="P692" s="679"/>
      <c r="Q692" s="679"/>
      <c r="R692" s="679"/>
      <c r="S692" s="679">
        <v>0</v>
      </c>
      <c r="T692" s="679">
        <v>0</v>
      </c>
      <c r="U692" s="679">
        <v>0</v>
      </c>
      <c r="V692" s="679">
        <v>0</v>
      </c>
      <c r="W692" s="679">
        <v>0</v>
      </c>
      <c r="X692" s="679">
        <v>0</v>
      </c>
      <c r="Y692" s="679">
        <v>0</v>
      </c>
      <c r="Z692" s="679">
        <v>0</v>
      </c>
      <c r="AA692" s="679">
        <v>0</v>
      </c>
      <c r="AB692" s="679">
        <v>0</v>
      </c>
      <c r="AC692" s="679">
        <v>0</v>
      </c>
      <c r="AD692" s="679">
        <v>0</v>
      </c>
      <c r="AE692" s="679"/>
      <c r="AF692" s="679"/>
      <c r="AG692" s="679"/>
      <c r="AH692" s="679"/>
      <c r="AI692" s="679"/>
      <c r="AJ692" s="679"/>
      <c r="AK692" s="679"/>
      <c r="AL692" s="679"/>
      <c r="AM692" s="679"/>
      <c r="AN692" s="679"/>
      <c r="AO692" s="679"/>
      <c r="AP692" s="679"/>
      <c r="AQ692" s="679"/>
      <c r="AR692" s="679"/>
      <c r="AS692" s="679"/>
      <c r="AT692" s="679"/>
      <c r="AU692" s="679"/>
      <c r="AV692" s="679"/>
      <c r="AW692" s="679"/>
      <c r="AX692" s="679"/>
      <c r="AY692" s="679"/>
      <c r="AZ692" s="679"/>
      <c r="BA692" s="679"/>
      <c r="BB692" s="679"/>
      <c r="BC692" s="679"/>
      <c r="BD692" s="679"/>
      <c r="BE692" s="679"/>
      <c r="BF692" s="679"/>
      <c r="BG692" s="679"/>
      <c r="BH692" s="679"/>
      <c r="BI692" s="679"/>
      <c r="BJ692" s="679"/>
      <c r="BK692" s="679"/>
      <c r="BL692" s="679"/>
      <c r="BM692" s="679"/>
      <c r="BN692" s="679"/>
      <c r="BO692" s="679"/>
      <c r="BP692" s="679"/>
      <c r="BQ692" s="679"/>
      <c r="BR692" s="679"/>
      <c r="BS692" s="679"/>
      <c r="BT692" s="679"/>
      <c r="BU692" s="679"/>
      <c r="BV692" s="679"/>
      <c r="BW692" s="679"/>
      <c r="BX692" s="679"/>
      <c r="BY692" s="679"/>
      <c r="BZ692" s="679"/>
      <c r="CA692" s="679"/>
    </row>
    <row r="693" spans="1:79" hidden="1" outlineLevel="1" x14ac:dyDescent="0.35">
      <c r="A693" s="224"/>
      <c r="B693" s="224"/>
      <c r="C693" s="224"/>
      <c r="D693" s="224"/>
      <c r="E693" s="224"/>
      <c r="F693" s="671" t="s">
        <v>864</v>
      </c>
      <c r="G693" s="679"/>
      <c r="H693" s="679"/>
      <c r="I693" s="679"/>
      <c r="J693" s="679"/>
      <c r="K693" s="679"/>
      <c r="L693" s="679"/>
      <c r="M693" s="679"/>
      <c r="N693" s="679"/>
      <c r="O693" s="679"/>
      <c r="P693" s="679"/>
      <c r="Q693" s="679"/>
      <c r="R693" s="679"/>
      <c r="S693" s="679">
        <v>0</v>
      </c>
      <c r="T693" s="679">
        <v>0</v>
      </c>
      <c r="U693" s="679">
        <v>0</v>
      </c>
      <c r="V693" s="679">
        <v>0</v>
      </c>
      <c r="W693" s="679">
        <v>0</v>
      </c>
      <c r="X693" s="679">
        <v>0</v>
      </c>
      <c r="Y693" s="679">
        <v>0</v>
      </c>
      <c r="Z693" s="679">
        <v>0</v>
      </c>
      <c r="AA693" s="679">
        <v>0</v>
      </c>
      <c r="AB693" s="679">
        <v>0</v>
      </c>
      <c r="AC693" s="679">
        <v>0</v>
      </c>
      <c r="AD693" s="679">
        <v>0</v>
      </c>
      <c r="AE693" s="679"/>
      <c r="AF693" s="679"/>
      <c r="AG693" s="679"/>
      <c r="AH693" s="679"/>
      <c r="AI693" s="679"/>
      <c r="AJ693" s="679"/>
      <c r="AK693" s="679"/>
      <c r="AL693" s="679"/>
      <c r="AM693" s="679"/>
      <c r="AN693" s="679"/>
      <c r="AO693" s="679"/>
      <c r="AP693" s="679"/>
      <c r="AQ693" s="679"/>
      <c r="AR693" s="679"/>
      <c r="AS693" s="679"/>
      <c r="AT693" s="679"/>
      <c r="AU693" s="679"/>
      <c r="AV693" s="679"/>
      <c r="AW693" s="679"/>
      <c r="AX693" s="679"/>
      <c r="AY693" s="679"/>
      <c r="AZ693" s="679"/>
      <c r="BA693" s="679"/>
      <c r="BB693" s="679"/>
      <c r="BC693" s="679"/>
      <c r="BD693" s="679"/>
      <c r="BE693" s="679"/>
      <c r="BF693" s="679"/>
      <c r="BG693" s="679"/>
      <c r="BH693" s="679"/>
      <c r="BI693" s="679"/>
      <c r="BJ693" s="679"/>
      <c r="BK693" s="679"/>
      <c r="BL693" s="679"/>
      <c r="BM693" s="679"/>
      <c r="BN693" s="679"/>
      <c r="BO693" s="679"/>
      <c r="BP693" s="679"/>
      <c r="BQ693" s="679"/>
      <c r="BR693" s="679"/>
      <c r="BS693" s="679"/>
      <c r="BT693" s="679"/>
      <c r="BU693" s="679"/>
      <c r="BV693" s="679"/>
      <c r="BW693" s="679"/>
      <c r="BX693" s="679"/>
      <c r="BY693" s="679"/>
      <c r="BZ693" s="679"/>
      <c r="CA693" s="679"/>
    </row>
    <row r="694" spans="1:79" hidden="1" outlineLevel="1" x14ac:dyDescent="0.35">
      <c r="A694" s="709"/>
      <c r="B694" s="709"/>
      <c r="C694" s="709"/>
      <c r="D694" s="709"/>
      <c r="E694" s="709"/>
      <c r="F694" s="707" t="s">
        <v>649</v>
      </c>
      <c r="G694" s="708"/>
      <c r="H694" s="708"/>
      <c r="I694" s="708"/>
      <c r="J694" s="708"/>
      <c r="K694" s="708"/>
      <c r="L694" s="708"/>
      <c r="M694" s="708"/>
      <c r="N694" s="708"/>
      <c r="O694" s="708"/>
      <c r="P694" s="708"/>
      <c r="Q694" s="708"/>
      <c r="R694" s="708"/>
      <c r="S694" s="708"/>
      <c r="T694" s="708"/>
      <c r="U694" s="708"/>
      <c r="V694" s="708"/>
      <c r="W694" s="708"/>
      <c r="X694" s="708"/>
      <c r="Y694" s="708"/>
      <c r="Z694" s="708"/>
      <c r="AA694" s="708"/>
      <c r="AB694" s="708"/>
      <c r="AC694" s="708"/>
      <c r="AD694" s="708"/>
      <c r="AE694" s="708"/>
      <c r="AF694" s="708"/>
      <c r="AG694" s="708"/>
      <c r="AH694" s="708"/>
      <c r="AI694" s="708"/>
      <c r="AJ694" s="708"/>
      <c r="AK694" s="708"/>
      <c r="AL694" s="708"/>
      <c r="AM694" s="708"/>
      <c r="AN694" s="708"/>
      <c r="AO694" s="708"/>
      <c r="AP694" s="708"/>
      <c r="AQ694" s="708"/>
      <c r="AR694" s="708"/>
      <c r="AS694" s="708"/>
      <c r="AT694" s="708"/>
      <c r="AU694" s="708"/>
      <c r="AV694" s="708"/>
      <c r="AW694" s="708"/>
      <c r="AX694" s="708"/>
      <c r="AY694" s="708"/>
      <c r="AZ694" s="708"/>
      <c r="BA694" s="708"/>
      <c r="BB694" s="708"/>
      <c r="BC694" s="708"/>
      <c r="BD694" s="708"/>
      <c r="BE694" s="708"/>
      <c r="BF694" s="708"/>
      <c r="BG694" s="708"/>
      <c r="BH694" s="708"/>
      <c r="BI694" s="708"/>
      <c r="BJ694" s="708"/>
      <c r="BK694" s="708"/>
      <c r="BL694" s="708"/>
      <c r="BM694" s="708"/>
      <c r="BN694" s="708"/>
      <c r="BO694" s="708"/>
      <c r="BP694" s="708"/>
      <c r="BQ694" s="708"/>
      <c r="BR694" s="708"/>
      <c r="BS694" s="708"/>
      <c r="BT694" s="708"/>
      <c r="BU694" s="708"/>
      <c r="BV694" s="708"/>
      <c r="BW694" s="708"/>
      <c r="BX694" s="708"/>
      <c r="BY694" s="708"/>
      <c r="BZ694" s="708"/>
      <c r="CA694" s="708"/>
    </row>
    <row r="695" spans="1:79" hidden="1" outlineLevel="1" x14ac:dyDescent="0.35">
      <c r="A695" s="224"/>
      <c r="B695" s="224"/>
      <c r="C695" s="224"/>
      <c r="D695" s="224"/>
      <c r="E695" s="224"/>
      <c r="F695" s="672" t="s">
        <v>865</v>
      </c>
      <c r="G695" s="679"/>
      <c r="H695" s="679"/>
      <c r="I695" s="679"/>
      <c r="J695" s="679"/>
      <c r="K695" s="679"/>
      <c r="L695" s="679"/>
      <c r="M695" s="679"/>
      <c r="N695" s="679"/>
      <c r="O695" s="679"/>
      <c r="P695" s="679"/>
      <c r="Q695" s="679"/>
      <c r="R695" s="679"/>
      <c r="S695" s="679">
        <v>0</v>
      </c>
      <c r="T695" s="679">
        <v>0</v>
      </c>
      <c r="U695" s="679">
        <v>0</v>
      </c>
      <c r="V695" s="679">
        <v>0</v>
      </c>
      <c r="W695" s="679">
        <v>0</v>
      </c>
      <c r="X695" s="679">
        <v>0</v>
      </c>
      <c r="Y695" s="679">
        <v>0</v>
      </c>
      <c r="Z695" s="679">
        <v>0</v>
      </c>
      <c r="AA695" s="679">
        <v>0</v>
      </c>
      <c r="AB695" s="679">
        <v>0</v>
      </c>
      <c r="AC695" s="679">
        <v>0</v>
      </c>
      <c r="AD695" s="679">
        <v>0</v>
      </c>
      <c r="AE695" s="679"/>
      <c r="AF695" s="679"/>
      <c r="AG695" s="679"/>
      <c r="AH695" s="679"/>
      <c r="AI695" s="679"/>
      <c r="AJ695" s="679"/>
      <c r="AK695" s="679"/>
      <c r="AL695" s="679"/>
      <c r="AM695" s="679"/>
      <c r="AN695" s="679"/>
      <c r="AO695" s="679"/>
      <c r="AP695" s="679"/>
      <c r="AQ695" s="679"/>
      <c r="AR695" s="679"/>
      <c r="AS695" s="679"/>
      <c r="AT695" s="679"/>
      <c r="AU695" s="679"/>
      <c r="AV695" s="679"/>
      <c r="AW695" s="679"/>
      <c r="AX695" s="679"/>
      <c r="AY695" s="679"/>
      <c r="AZ695" s="679"/>
      <c r="BA695" s="679"/>
      <c r="BB695" s="679"/>
      <c r="BC695" s="679"/>
      <c r="BD695" s="679"/>
      <c r="BE695" s="679"/>
      <c r="BF695" s="679"/>
      <c r="BG695" s="679"/>
      <c r="BH695" s="679"/>
      <c r="BI695" s="679"/>
      <c r="BJ695" s="679"/>
      <c r="BK695" s="679"/>
      <c r="BL695" s="679"/>
      <c r="BM695" s="679"/>
      <c r="BN695" s="679"/>
      <c r="BO695" s="679"/>
      <c r="BP695" s="679"/>
      <c r="BQ695" s="679"/>
      <c r="BR695" s="679"/>
      <c r="BS695" s="679"/>
      <c r="BT695" s="679"/>
      <c r="BU695" s="679"/>
      <c r="BV695" s="679"/>
      <c r="BW695" s="679"/>
      <c r="BX695" s="679"/>
      <c r="BY695" s="679"/>
      <c r="BZ695" s="679"/>
      <c r="CA695" s="679"/>
    </row>
    <row r="696" spans="1:79" hidden="1" outlineLevel="1" x14ac:dyDescent="0.35">
      <c r="F696" s="672" t="s">
        <v>866</v>
      </c>
      <c r="G696" s="732"/>
      <c r="H696" s="732"/>
      <c r="I696" s="732"/>
      <c r="J696" s="732"/>
      <c r="K696" s="732"/>
      <c r="L696" s="732"/>
      <c r="M696" s="732"/>
      <c r="N696" s="732"/>
      <c r="O696" s="732"/>
      <c r="P696" s="732"/>
      <c r="Q696" s="732"/>
      <c r="R696" s="732"/>
      <c r="S696" s="679">
        <v>800</v>
      </c>
      <c r="T696" s="679">
        <v>0</v>
      </c>
      <c r="U696" s="679">
        <v>0</v>
      </c>
      <c r="V696" s="679">
        <v>48.41</v>
      </c>
      <c r="W696" s="679">
        <v>0</v>
      </c>
      <c r="X696" s="679">
        <v>0</v>
      </c>
      <c r="Y696" s="679">
        <v>0</v>
      </c>
      <c r="Z696" s="679">
        <v>0</v>
      </c>
      <c r="AA696" s="679">
        <v>0</v>
      </c>
      <c r="AB696" s="679">
        <v>0</v>
      </c>
      <c r="AC696" s="679">
        <v>0</v>
      </c>
      <c r="AD696" s="679">
        <v>0</v>
      </c>
      <c r="AE696" s="732"/>
      <c r="AF696" s="732"/>
      <c r="AG696" s="732"/>
      <c r="AH696" s="732"/>
      <c r="AI696" s="732"/>
      <c r="AJ696" s="732"/>
      <c r="AK696" s="732"/>
      <c r="AL696" s="732"/>
      <c r="AM696" s="732"/>
      <c r="AN696" s="732"/>
      <c r="AO696" s="732"/>
      <c r="AP696" s="732"/>
      <c r="AQ696" s="732"/>
      <c r="AR696" s="732"/>
      <c r="AS696" s="732"/>
      <c r="AT696" s="732"/>
      <c r="AU696" s="732"/>
      <c r="AV696" s="732"/>
      <c r="AW696" s="732"/>
      <c r="AX696" s="732"/>
      <c r="AY696" s="732"/>
      <c r="AZ696" s="732"/>
      <c r="BA696" s="732"/>
      <c r="BB696" s="732"/>
      <c r="BC696" s="732"/>
      <c r="BD696" s="732"/>
      <c r="BE696" s="732"/>
      <c r="BF696" s="732"/>
      <c r="BG696" s="732"/>
      <c r="BH696" s="732"/>
      <c r="BI696" s="732"/>
      <c r="BJ696" s="732"/>
      <c r="BK696" s="732"/>
      <c r="BL696" s="732"/>
      <c r="BM696" s="732"/>
      <c r="BN696" s="732"/>
      <c r="BO696" s="732"/>
      <c r="BP696" s="732"/>
      <c r="BQ696" s="732"/>
      <c r="BR696" s="732"/>
      <c r="BS696" s="732"/>
      <c r="BT696" s="732"/>
      <c r="BU696" s="732"/>
      <c r="BV696" s="732"/>
      <c r="BW696" s="732"/>
      <c r="BX696" s="732"/>
      <c r="BY696" s="732"/>
      <c r="BZ696" s="732"/>
      <c r="CA696" s="732"/>
    </row>
    <row r="697" spans="1:79" hidden="1" outlineLevel="1" x14ac:dyDescent="0.35">
      <c r="A697" s="574"/>
      <c r="B697" s="574"/>
      <c r="C697" s="574"/>
      <c r="D697" s="574"/>
      <c r="E697" s="574"/>
      <c r="F697" s="673" t="s">
        <v>867</v>
      </c>
      <c r="G697" s="680">
        <f>SUM(G695:G696)</f>
        <v>0</v>
      </c>
      <c r="H697" s="680">
        <f t="shared" ref="H697:BO697" si="279">SUM(H695:H696)</f>
        <v>0</v>
      </c>
      <c r="I697" s="680">
        <f t="shared" si="279"/>
        <v>0</v>
      </c>
      <c r="J697" s="680">
        <f t="shared" si="279"/>
        <v>0</v>
      </c>
      <c r="K697" s="680">
        <f t="shared" si="279"/>
        <v>0</v>
      </c>
      <c r="L697" s="680">
        <f t="shared" si="279"/>
        <v>0</v>
      </c>
      <c r="M697" s="680">
        <f t="shared" si="279"/>
        <v>0</v>
      </c>
      <c r="N697" s="680">
        <f t="shared" si="279"/>
        <v>0</v>
      </c>
      <c r="O697" s="680">
        <f t="shared" si="279"/>
        <v>0</v>
      </c>
      <c r="P697" s="680">
        <f t="shared" si="279"/>
        <v>0</v>
      </c>
      <c r="Q697" s="680">
        <f t="shared" si="279"/>
        <v>0</v>
      </c>
      <c r="R697" s="680">
        <f t="shared" si="279"/>
        <v>0</v>
      </c>
      <c r="S697" s="680">
        <f t="shared" ref="S697:AA697" si="280">ROUND(SUM(S694:S696),5)</f>
        <v>800</v>
      </c>
      <c r="T697" s="680">
        <f t="shared" si="280"/>
        <v>0</v>
      </c>
      <c r="U697" s="680">
        <f t="shared" si="280"/>
        <v>0</v>
      </c>
      <c r="V697" s="680">
        <f t="shared" si="280"/>
        <v>48.41</v>
      </c>
      <c r="W697" s="680">
        <f t="shared" si="280"/>
        <v>0</v>
      </c>
      <c r="X697" s="680">
        <f t="shared" si="280"/>
        <v>0</v>
      </c>
      <c r="Y697" s="680">
        <f t="shared" si="280"/>
        <v>0</v>
      </c>
      <c r="Z697" s="680">
        <f t="shared" si="280"/>
        <v>0</v>
      </c>
      <c r="AA697" s="680">
        <f t="shared" si="280"/>
        <v>0</v>
      </c>
      <c r="AB697" s="680">
        <f>ROUND(SUM(AB694:AB696),5)</f>
        <v>0</v>
      </c>
      <c r="AC697" s="680">
        <f>ROUND(SUM(AC694:AC696),5)</f>
        <v>0</v>
      </c>
      <c r="AD697" s="680">
        <f>ROUND(SUM(AD694:AD696),5)</f>
        <v>0</v>
      </c>
      <c r="AE697" s="680">
        <f t="shared" si="279"/>
        <v>0</v>
      </c>
      <c r="AF697" s="680">
        <f t="shared" si="279"/>
        <v>0</v>
      </c>
      <c r="AG697" s="680">
        <f t="shared" si="279"/>
        <v>0</v>
      </c>
      <c r="AH697" s="680">
        <f t="shared" si="279"/>
        <v>0</v>
      </c>
      <c r="AI697" s="680">
        <f t="shared" si="279"/>
        <v>0</v>
      </c>
      <c r="AJ697" s="680">
        <f t="shared" si="279"/>
        <v>0</v>
      </c>
      <c r="AK697" s="680">
        <f t="shared" si="279"/>
        <v>0</v>
      </c>
      <c r="AL697" s="680">
        <f t="shared" si="279"/>
        <v>0</v>
      </c>
      <c r="AM697" s="680">
        <f t="shared" si="279"/>
        <v>0</v>
      </c>
      <c r="AN697" s="680">
        <f t="shared" si="279"/>
        <v>0</v>
      </c>
      <c r="AO697" s="680">
        <f t="shared" si="279"/>
        <v>0</v>
      </c>
      <c r="AP697" s="680">
        <f t="shared" si="279"/>
        <v>0</v>
      </c>
      <c r="AQ697" s="680">
        <f t="shared" si="279"/>
        <v>0</v>
      </c>
      <c r="AR697" s="680">
        <f t="shared" si="279"/>
        <v>0</v>
      </c>
      <c r="AS697" s="680">
        <f t="shared" si="279"/>
        <v>0</v>
      </c>
      <c r="AT697" s="680">
        <f t="shared" si="279"/>
        <v>0</v>
      </c>
      <c r="AU697" s="680">
        <f t="shared" si="279"/>
        <v>0</v>
      </c>
      <c r="AV697" s="680">
        <f t="shared" si="279"/>
        <v>0</v>
      </c>
      <c r="AW697" s="680">
        <f t="shared" si="279"/>
        <v>0</v>
      </c>
      <c r="AX697" s="680">
        <f t="shared" si="279"/>
        <v>0</v>
      </c>
      <c r="AY697" s="680">
        <f t="shared" si="279"/>
        <v>0</v>
      </c>
      <c r="AZ697" s="680">
        <f t="shared" si="279"/>
        <v>0</v>
      </c>
      <c r="BA697" s="680">
        <f t="shared" si="279"/>
        <v>0</v>
      </c>
      <c r="BB697" s="680">
        <f t="shared" si="279"/>
        <v>0</v>
      </c>
      <c r="BC697" s="680">
        <f t="shared" si="279"/>
        <v>0</v>
      </c>
      <c r="BD697" s="680">
        <f t="shared" si="279"/>
        <v>0</v>
      </c>
      <c r="BE697" s="680">
        <f t="shared" si="279"/>
        <v>0</v>
      </c>
      <c r="BF697" s="680">
        <f t="shared" si="279"/>
        <v>0</v>
      </c>
      <c r="BG697" s="680">
        <f t="shared" si="279"/>
        <v>0</v>
      </c>
      <c r="BH697" s="680">
        <f t="shared" si="279"/>
        <v>0</v>
      </c>
      <c r="BI697" s="680">
        <f t="shared" si="279"/>
        <v>0</v>
      </c>
      <c r="BJ697" s="680">
        <f t="shared" si="279"/>
        <v>0</v>
      </c>
      <c r="BK697" s="680">
        <f t="shared" si="279"/>
        <v>0</v>
      </c>
      <c r="BL697" s="680">
        <f t="shared" si="279"/>
        <v>0</v>
      </c>
      <c r="BM697" s="680">
        <f t="shared" si="279"/>
        <v>0</v>
      </c>
      <c r="BN697" s="680">
        <f t="shared" si="279"/>
        <v>0</v>
      </c>
      <c r="BO697" s="680">
        <f t="shared" si="279"/>
        <v>0</v>
      </c>
      <c r="BP697" s="680">
        <f t="shared" ref="BP697:CA697" si="281">SUM(BP695:BP696)</f>
        <v>0</v>
      </c>
      <c r="BQ697" s="680">
        <f t="shared" si="281"/>
        <v>0</v>
      </c>
      <c r="BR697" s="680">
        <f t="shared" si="281"/>
        <v>0</v>
      </c>
      <c r="BS697" s="680">
        <f t="shared" si="281"/>
        <v>0</v>
      </c>
      <c r="BT697" s="680">
        <f t="shared" si="281"/>
        <v>0</v>
      </c>
      <c r="BU697" s="680">
        <f t="shared" si="281"/>
        <v>0</v>
      </c>
      <c r="BV697" s="680">
        <f t="shared" si="281"/>
        <v>0</v>
      </c>
      <c r="BW697" s="680">
        <f t="shared" si="281"/>
        <v>0</v>
      </c>
      <c r="BX697" s="680">
        <f t="shared" si="281"/>
        <v>0</v>
      </c>
      <c r="BY697" s="680">
        <f t="shared" si="281"/>
        <v>0</v>
      </c>
      <c r="BZ697" s="680">
        <f t="shared" si="281"/>
        <v>0</v>
      </c>
      <c r="CA697" s="680">
        <f t="shared" si="281"/>
        <v>0</v>
      </c>
    </row>
    <row r="698" spans="1:79" hidden="1" outlineLevel="1" x14ac:dyDescent="0.35">
      <c r="A698" s="574"/>
      <c r="B698" s="574"/>
      <c r="C698" s="574"/>
      <c r="D698" s="574"/>
      <c r="E698" s="574"/>
      <c r="F698" s="671" t="s">
        <v>868</v>
      </c>
      <c r="G698" s="732"/>
      <c r="H698" s="732"/>
      <c r="I698" s="732"/>
      <c r="J698" s="732"/>
      <c r="K698" s="732"/>
      <c r="L698" s="732"/>
      <c r="M698" s="732"/>
      <c r="N698" s="732"/>
      <c r="O698" s="732"/>
      <c r="P698" s="732"/>
      <c r="Q698" s="732"/>
      <c r="R698" s="732"/>
      <c r="S698" s="679">
        <v>0</v>
      </c>
      <c r="T698" s="679">
        <v>0</v>
      </c>
      <c r="U698" s="679">
        <v>0</v>
      </c>
      <c r="V698" s="679">
        <v>0</v>
      </c>
      <c r="W698" s="679">
        <v>0</v>
      </c>
      <c r="X698" s="679">
        <v>0</v>
      </c>
      <c r="Y698" s="679">
        <v>0</v>
      </c>
      <c r="Z698" s="679">
        <v>0</v>
      </c>
      <c r="AA698" s="679">
        <v>0</v>
      </c>
      <c r="AB698" s="679">
        <v>0</v>
      </c>
      <c r="AC698" s="679">
        <v>0</v>
      </c>
      <c r="AD698" s="679">
        <v>0</v>
      </c>
      <c r="AE698" s="732"/>
      <c r="AF698" s="732"/>
      <c r="AG698" s="732"/>
      <c r="AH698" s="732"/>
      <c r="AI698" s="732"/>
      <c r="AJ698" s="732"/>
      <c r="AK698" s="732"/>
      <c r="AL698" s="732"/>
      <c r="AM698" s="732"/>
      <c r="AN698" s="732"/>
      <c r="AO698" s="732"/>
      <c r="AP698" s="732"/>
      <c r="AQ698" s="732"/>
      <c r="AR698" s="732"/>
      <c r="AS698" s="732"/>
      <c r="AT698" s="732"/>
      <c r="AU698" s="732"/>
      <c r="AV698" s="732"/>
      <c r="AW698" s="732"/>
      <c r="AX698" s="732"/>
      <c r="AY698" s="732"/>
      <c r="AZ698" s="732"/>
      <c r="BA698" s="732"/>
      <c r="BB698" s="732"/>
      <c r="BC698" s="732"/>
      <c r="BD698" s="732"/>
      <c r="BE698" s="732"/>
      <c r="BF698" s="732"/>
      <c r="BG698" s="732"/>
      <c r="BH698" s="732"/>
      <c r="BI698" s="732"/>
      <c r="BJ698" s="732"/>
      <c r="BK698" s="732"/>
      <c r="BL698" s="732"/>
      <c r="BM698" s="732"/>
      <c r="BN698" s="732"/>
      <c r="BO698" s="732"/>
      <c r="BP698" s="732"/>
      <c r="BQ698" s="732"/>
      <c r="BR698" s="732"/>
      <c r="BS698" s="732"/>
      <c r="BT698" s="732"/>
      <c r="BU698" s="732"/>
      <c r="BV698" s="732"/>
      <c r="BW698" s="732"/>
      <c r="BX698" s="732"/>
      <c r="BY698" s="732"/>
      <c r="BZ698" s="732"/>
      <c r="CA698" s="732"/>
    </row>
    <row r="699" spans="1:79" hidden="1" outlineLevel="1" x14ac:dyDescent="0.35">
      <c r="A699" s="574"/>
      <c r="B699" s="574"/>
      <c r="C699" s="574"/>
      <c r="D699" s="574"/>
      <c r="E699" s="574"/>
      <c r="F699" s="671" t="s">
        <v>869</v>
      </c>
      <c r="G699" s="732"/>
      <c r="H699" s="732"/>
      <c r="I699" s="732"/>
      <c r="J699" s="732"/>
      <c r="K699" s="732"/>
      <c r="L699" s="732"/>
      <c r="M699" s="732"/>
      <c r="N699" s="732"/>
      <c r="O699" s="732"/>
      <c r="P699" s="732"/>
      <c r="Q699" s="732"/>
      <c r="R699" s="732"/>
      <c r="S699" s="679">
        <v>0</v>
      </c>
      <c r="T699" s="679">
        <v>0</v>
      </c>
      <c r="U699" s="679">
        <v>0</v>
      </c>
      <c r="V699" s="679">
        <v>0</v>
      </c>
      <c r="W699" s="679">
        <v>0</v>
      </c>
      <c r="X699" s="679">
        <v>0</v>
      </c>
      <c r="Y699" s="679">
        <v>0</v>
      </c>
      <c r="Z699" s="679">
        <v>0</v>
      </c>
      <c r="AA699" s="679">
        <v>0</v>
      </c>
      <c r="AB699" s="679">
        <v>0</v>
      </c>
      <c r="AC699" s="679">
        <v>0</v>
      </c>
      <c r="AD699" s="679">
        <v>0</v>
      </c>
      <c r="AE699" s="732"/>
      <c r="AF699" s="732"/>
      <c r="AG699" s="732"/>
      <c r="AH699" s="732"/>
      <c r="AI699" s="732"/>
      <c r="AJ699" s="732"/>
      <c r="AK699" s="732"/>
      <c r="AL699" s="732"/>
      <c r="AM699" s="732"/>
      <c r="AN699" s="732"/>
      <c r="AO699" s="732"/>
      <c r="AP699" s="732"/>
      <c r="AQ699" s="732"/>
      <c r="AR699" s="732"/>
      <c r="AS699" s="732"/>
      <c r="AT699" s="732"/>
      <c r="AU699" s="732"/>
      <c r="AV699" s="732"/>
      <c r="AW699" s="732"/>
      <c r="AX699" s="732"/>
      <c r="AY699" s="732"/>
      <c r="AZ699" s="732"/>
      <c r="BA699" s="732"/>
      <c r="BB699" s="732"/>
      <c r="BC699" s="732"/>
      <c r="BD699" s="732"/>
      <c r="BE699" s="732"/>
      <c r="BF699" s="732"/>
      <c r="BG699" s="732"/>
      <c r="BH699" s="732"/>
      <c r="BI699" s="732"/>
      <c r="BJ699" s="732"/>
      <c r="BK699" s="732"/>
      <c r="BL699" s="732"/>
      <c r="BM699" s="732"/>
      <c r="BN699" s="732"/>
      <c r="BO699" s="732"/>
      <c r="BP699" s="732"/>
      <c r="BQ699" s="732"/>
      <c r="BR699" s="732"/>
      <c r="BS699" s="732"/>
      <c r="BT699" s="732"/>
      <c r="BU699" s="732"/>
      <c r="BV699" s="732"/>
      <c r="BW699" s="732"/>
      <c r="BX699" s="732"/>
      <c r="BY699" s="732"/>
      <c r="BZ699" s="732"/>
      <c r="CA699" s="732"/>
    </row>
    <row r="700" spans="1:79" s="709" customFormat="1" hidden="1" outlineLevel="1" x14ac:dyDescent="0.35">
      <c r="F700" s="707" t="s">
        <v>870</v>
      </c>
      <c r="G700" s="751"/>
      <c r="H700" s="751"/>
      <c r="I700" s="751"/>
      <c r="J700" s="751"/>
      <c r="K700" s="751"/>
      <c r="L700" s="751"/>
      <c r="M700" s="751"/>
      <c r="N700" s="751"/>
      <c r="O700" s="751"/>
      <c r="P700" s="751"/>
      <c r="Q700" s="751"/>
      <c r="R700" s="751"/>
      <c r="S700" s="708"/>
      <c r="T700" s="708"/>
      <c r="U700" s="708"/>
      <c r="V700" s="708"/>
      <c r="W700" s="708"/>
      <c r="X700" s="708"/>
      <c r="Y700" s="708"/>
      <c r="Z700" s="708"/>
      <c r="AA700" s="708"/>
      <c r="AB700" s="708"/>
      <c r="AC700" s="708"/>
      <c r="AD700" s="708"/>
      <c r="AE700" s="751"/>
      <c r="AF700" s="751"/>
      <c r="AG700" s="751"/>
      <c r="AH700" s="751"/>
      <c r="AI700" s="751"/>
      <c r="AJ700" s="751"/>
      <c r="AK700" s="751"/>
      <c r="AL700" s="751"/>
      <c r="AM700" s="751"/>
      <c r="AN700" s="751"/>
      <c r="AO700" s="751"/>
      <c r="AP700" s="751"/>
      <c r="AQ700" s="751"/>
      <c r="AR700" s="751"/>
      <c r="AS700" s="751"/>
      <c r="AT700" s="751"/>
      <c r="AU700" s="751"/>
      <c r="AV700" s="751"/>
      <c r="AW700" s="751"/>
      <c r="AX700" s="751"/>
      <c r="AY700" s="751"/>
      <c r="AZ700" s="751"/>
      <c r="BA700" s="751"/>
      <c r="BB700" s="751"/>
      <c r="BC700" s="751"/>
      <c r="BD700" s="751"/>
      <c r="BE700" s="751"/>
      <c r="BF700" s="751"/>
      <c r="BG700" s="751"/>
      <c r="BH700" s="751"/>
      <c r="BI700" s="751"/>
      <c r="BJ700" s="751"/>
      <c r="BK700" s="751"/>
      <c r="BL700" s="751"/>
      <c r="BM700" s="751"/>
      <c r="BN700" s="751"/>
      <c r="BO700" s="751"/>
      <c r="BP700" s="751"/>
      <c r="BQ700" s="751"/>
      <c r="BR700" s="751"/>
      <c r="BS700" s="751"/>
      <c r="BT700" s="751"/>
      <c r="BU700" s="751"/>
      <c r="BV700" s="751"/>
      <c r="BW700" s="751"/>
      <c r="BX700" s="751"/>
      <c r="BY700" s="751"/>
      <c r="BZ700" s="751"/>
      <c r="CA700" s="751"/>
    </row>
    <row r="701" spans="1:79" hidden="1" outlineLevel="1" x14ac:dyDescent="0.35">
      <c r="A701" s="574"/>
      <c r="B701" s="574"/>
      <c r="C701" s="574"/>
      <c r="D701" s="574"/>
      <c r="E701" s="574"/>
      <c r="F701" s="672" t="s">
        <v>871</v>
      </c>
      <c r="G701" s="732"/>
      <c r="H701" s="732"/>
      <c r="I701" s="732"/>
      <c r="J701" s="732"/>
      <c r="K701" s="732"/>
      <c r="L701" s="732"/>
      <c r="M701" s="732"/>
      <c r="N701" s="732"/>
      <c r="O701" s="732"/>
      <c r="P701" s="732"/>
      <c r="Q701" s="732"/>
      <c r="R701" s="732"/>
      <c r="S701" s="679">
        <v>0</v>
      </c>
      <c r="T701" s="679">
        <v>0</v>
      </c>
      <c r="U701" s="679">
        <v>0</v>
      </c>
      <c r="V701" s="679">
        <v>0</v>
      </c>
      <c r="W701" s="679">
        <v>0</v>
      </c>
      <c r="X701" s="679">
        <v>0</v>
      </c>
      <c r="Y701" s="679">
        <v>0</v>
      </c>
      <c r="Z701" s="679">
        <v>0</v>
      </c>
      <c r="AA701" s="679">
        <v>0</v>
      </c>
      <c r="AB701" s="679">
        <v>0</v>
      </c>
      <c r="AC701" s="679">
        <v>0</v>
      </c>
      <c r="AD701" s="679">
        <v>0</v>
      </c>
      <c r="AE701" s="732"/>
      <c r="AF701" s="732"/>
      <c r="AG701" s="732"/>
      <c r="AH701" s="732"/>
      <c r="AI701" s="732"/>
      <c r="AJ701" s="732"/>
      <c r="AK701" s="732"/>
      <c r="AL701" s="732"/>
      <c r="AM701" s="732"/>
      <c r="AN701" s="732"/>
      <c r="AO701" s="732"/>
      <c r="AP701" s="732"/>
      <c r="AQ701" s="732"/>
      <c r="AR701" s="732"/>
      <c r="AS701" s="732"/>
      <c r="AT701" s="732"/>
      <c r="AU701" s="732"/>
      <c r="AV701" s="732"/>
      <c r="AW701" s="732"/>
      <c r="AX701" s="732"/>
      <c r="AY701" s="732"/>
      <c r="AZ701" s="732"/>
      <c r="BA701" s="732"/>
      <c r="BB701" s="732"/>
      <c r="BC701" s="732"/>
      <c r="BD701" s="732"/>
      <c r="BE701" s="732"/>
      <c r="BF701" s="732"/>
      <c r="BG701" s="732"/>
      <c r="BH701" s="732"/>
      <c r="BI701" s="732"/>
      <c r="BJ701" s="732"/>
      <c r="BK701" s="732"/>
      <c r="BL701" s="732"/>
      <c r="BM701" s="732"/>
      <c r="BN701" s="732"/>
      <c r="BO701" s="732"/>
      <c r="BP701" s="732"/>
      <c r="BQ701" s="732"/>
      <c r="BR701" s="732"/>
      <c r="BS701" s="732"/>
      <c r="BT701" s="732"/>
      <c r="BU701" s="732"/>
      <c r="BV701" s="732"/>
      <c r="BW701" s="732"/>
      <c r="BX701" s="732"/>
      <c r="BY701" s="732"/>
      <c r="BZ701" s="732"/>
      <c r="CA701" s="732"/>
    </row>
    <row r="702" spans="1:79" hidden="1" outlineLevel="1" x14ac:dyDescent="0.35">
      <c r="A702" s="574"/>
      <c r="B702" s="574"/>
      <c r="C702" s="574"/>
      <c r="D702" s="574"/>
      <c r="E702" s="574"/>
      <c r="F702" s="672" t="s">
        <v>872</v>
      </c>
      <c r="G702" s="732"/>
      <c r="H702" s="732"/>
      <c r="I702" s="732"/>
      <c r="J702" s="732"/>
      <c r="K702" s="732"/>
      <c r="L702" s="732"/>
      <c r="M702" s="732"/>
      <c r="N702" s="732"/>
      <c r="O702" s="732"/>
      <c r="P702" s="732"/>
      <c r="Q702" s="732"/>
      <c r="R702" s="732"/>
      <c r="S702" s="679">
        <v>0</v>
      </c>
      <c r="T702" s="679">
        <v>0</v>
      </c>
      <c r="U702" s="679">
        <v>0</v>
      </c>
      <c r="V702" s="679">
        <v>0</v>
      </c>
      <c r="W702" s="679">
        <v>0</v>
      </c>
      <c r="X702" s="679">
        <v>0</v>
      </c>
      <c r="Y702" s="679">
        <v>0</v>
      </c>
      <c r="Z702" s="679">
        <v>0</v>
      </c>
      <c r="AA702" s="679">
        <v>0</v>
      </c>
      <c r="AB702" s="679">
        <v>0</v>
      </c>
      <c r="AC702" s="679">
        <v>0</v>
      </c>
      <c r="AD702" s="679">
        <v>0</v>
      </c>
      <c r="AE702" s="732"/>
      <c r="AF702" s="732"/>
      <c r="AG702" s="732"/>
      <c r="AH702" s="732"/>
      <c r="AI702" s="732"/>
      <c r="AJ702" s="732"/>
      <c r="AK702" s="732"/>
      <c r="AL702" s="732"/>
      <c r="AM702" s="732"/>
      <c r="AN702" s="732"/>
      <c r="AO702" s="732"/>
      <c r="AP702" s="732"/>
      <c r="AQ702" s="732"/>
      <c r="AR702" s="732"/>
      <c r="AS702" s="732"/>
      <c r="AT702" s="732"/>
      <c r="AU702" s="732"/>
      <c r="AV702" s="732"/>
      <c r="AW702" s="732"/>
      <c r="AX702" s="732"/>
      <c r="AY702" s="732"/>
      <c r="AZ702" s="732"/>
      <c r="BA702" s="732"/>
      <c r="BB702" s="732"/>
      <c r="BC702" s="732"/>
      <c r="BD702" s="732"/>
      <c r="BE702" s="732"/>
      <c r="BF702" s="732"/>
      <c r="BG702" s="732"/>
      <c r="BH702" s="732"/>
      <c r="BI702" s="732"/>
      <c r="BJ702" s="732"/>
      <c r="BK702" s="732"/>
      <c r="BL702" s="732"/>
      <c r="BM702" s="732"/>
      <c r="BN702" s="732"/>
      <c r="BO702" s="732"/>
      <c r="BP702" s="732"/>
      <c r="BQ702" s="732"/>
      <c r="BR702" s="732"/>
      <c r="BS702" s="732"/>
      <c r="BT702" s="732"/>
      <c r="BU702" s="732"/>
      <c r="BV702" s="732"/>
      <c r="BW702" s="732"/>
      <c r="BX702" s="732"/>
      <c r="BY702" s="732"/>
      <c r="BZ702" s="732"/>
      <c r="CA702" s="732"/>
    </row>
    <row r="703" spans="1:79" hidden="1" outlineLevel="1" x14ac:dyDescent="0.35">
      <c r="A703" s="574"/>
      <c r="B703" s="574"/>
      <c r="C703" s="574"/>
      <c r="D703" s="574"/>
      <c r="E703" s="574"/>
      <c r="F703" s="673" t="s">
        <v>873</v>
      </c>
      <c r="G703" s="680">
        <f>SUM(G701:G702)</f>
        <v>0</v>
      </c>
      <c r="H703" s="680">
        <f t="shared" ref="H703:BO703" si="282">SUM(H701:H702)</f>
        <v>0</v>
      </c>
      <c r="I703" s="680">
        <f t="shared" si="282"/>
        <v>0</v>
      </c>
      <c r="J703" s="680">
        <f t="shared" si="282"/>
        <v>0</v>
      </c>
      <c r="K703" s="680">
        <f t="shared" si="282"/>
        <v>0</v>
      </c>
      <c r="L703" s="680">
        <f t="shared" si="282"/>
        <v>0</v>
      </c>
      <c r="M703" s="680">
        <f t="shared" si="282"/>
        <v>0</v>
      </c>
      <c r="N703" s="680">
        <f t="shared" si="282"/>
        <v>0</v>
      </c>
      <c r="O703" s="680">
        <f t="shared" si="282"/>
        <v>0</v>
      </c>
      <c r="P703" s="680">
        <f t="shared" si="282"/>
        <v>0</v>
      </c>
      <c r="Q703" s="680">
        <f t="shared" si="282"/>
        <v>0</v>
      </c>
      <c r="R703" s="680">
        <f t="shared" si="282"/>
        <v>0</v>
      </c>
      <c r="S703" s="680">
        <f t="shared" ref="S703:AA703" si="283">ROUND(SUM(S700:S702),5)</f>
        <v>0</v>
      </c>
      <c r="T703" s="680">
        <f t="shared" si="283"/>
        <v>0</v>
      </c>
      <c r="U703" s="680">
        <f t="shared" si="283"/>
        <v>0</v>
      </c>
      <c r="V703" s="680">
        <f t="shared" si="283"/>
        <v>0</v>
      </c>
      <c r="W703" s="680">
        <f t="shared" si="283"/>
        <v>0</v>
      </c>
      <c r="X703" s="680">
        <f t="shared" si="283"/>
        <v>0</v>
      </c>
      <c r="Y703" s="680">
        <f t="shared" si="283"/>
        <v>0</v>
      </c>
      <c r="Z703" s="680">
        <f t="shared" si="283"/>
        <v>0</v>
      </c>
      <c r="AA703" s="680">
        <f t="shared" si="283"/>
        <v>0</v>
      </c>
      <c r="AB703" s="680">
        <f>ROUND(SUM(AB700:AB702),5)</f>
        <v>0</v>
      </c>
      <c r="AC703" s="680">
        <f>ROUND(SUM(AC700:AC702),5)</f>
        <v>0</v>
      </c>
      <c r="AD703" s="680">
        <f>ROUND(SUM(AD700:AD702),5)</f>
        <v>0</v>
      </c>
      <c r="AE703" s="680">
        <f t="shared" si="282"/>
        <v>0</v>
      </c>
      <c r="AF703" s="680">
        <f t="shared" si="282"/>
        <v>0</v>
      </c>
      <c r="AG703" s="680">
        <f t="shared" si="282"/>
        <v>0</v>
      </c>
      <c r="AH703" s="680">
        <f t="shared" si="282"/>
        <v>0</v>
      </c>
      <c r="AI703" s="680">
        <f t="shared" si="282"/>
        <v>0</v>
      </c>
      <c r="AJ703" s="680">
        <f t="shared" si="282"/>
        <v>0</v>
      </c>
      <c r="AK703" s="680">
        <f t="shared" si="282"/>
        <v>0</v>
      </c>
      <c r="AL703" s="680">
        <f t="shared" si="282"/>
        <v>0</v>
      </c>
      <c r="AM703" s="680">
        <f t="shared" si="282"/>
        <v>0</v>
      </c>
      <c r="AN703" s="680">
        <f t="shared" si="282"/>
        <v>0</v>
      </c>
      <c r="AO703" s="680">
        <f t="shared" si="282"/>
        <v>0</v>
      </c>
      <c r="AP703" s="680">
        <f t="shared" si="282"/>
        <v>0</v>
      </c>
      <c r="AQ703" s="680">
        <f t="shared" si="282"/>
        <v>0</v>
      </c>
      <c r="AR703" s="680">
        <f t="shared" si="282"/>
        <v>0</v>
      </c>
      <c r="AS703" s="680">
        <f t="shared" si="282"/>
        <v>0</v>
      </c>
      <c r="AT703" s="680">
        <f t="shared" si="282"/>
        <v>0</v>
      </c>
      <c r="AU703" s="680">
        <f t="shared" si="282"/>
        <v>0</v>
      </c>
      <c r="AV703" s="680">
        <f t="shared" si="282"/>
        <v>0</v>
      </c>
      <c r="AW703" s="680">
        <f t="shared" si="282"/>
        <v>0</v>
      </c>
      <c r="AX703" s="680">
        <f t="shared" si="282"/>
        <v>0</v>
      </c>
      <c r="AY703" s="680">
        <f t="shared" si="282"/>
        <v>0</v>
      </c>
      <c r="AZ703" s="680">
        <f t="shared" si="282"/>
        <v>0</v>
      </c>
      <c r="BA703" s="680">
        <f t="shared" si="282"/>
        <v>0</v>
      </c>
      <c r="BB703" s="680">
        <f t="shared" si="282"/>
        <v>0</v>
      </c>
      <c r="BC703" s="680">
        <f t="shared" si="282"/>
        <v>0</v>
      </c>
      <c r="BD703" s="680">
        <f t="shared" si="282"/>
        <v>0</v>
      </c>
      <c r="BE703" s="680">
        <f t="shared" si="282"/>
        <v>0</v>
      </c>
      <c r="BF703" s="680">
        <f t="shared" si="282"/>
        <v>0</v>
      </c>
      <c r="BG703" s="680">
        <f t="shared" si="282"/>
        <v>0</v>
      </c>
      <c r="BH703" s="680">
        <f t="shared" si="282"/>
        <v>0</v>
      </c>
      <c r="BI703" s="680">
        <f t="shared" si="282"/>
        <v>0</v>
      </c>
      <c r="BJ703" s="680">
        <f t="shared" si="282"/>
        <v>0</v>
      </c>
      <c r="BK703" s="680">
        <f t="shared" si="282"/>
        <v>0</v>
      </c>
      <c r="BL703" s="680">
        <f t="shared" si="282"/>
        <v>0</v>
      </c>
      <c r="BM703" s="680">
        <f t="shared" si="282"/>
        <v>0</v>
      </c>
      <c r="BN703" s="680">
        <f t="shared" si="282"/>
        <v>0</v>
      </c>
      <c r="BO703" s="680">
        <f t="shared" si="282"/>
        <v>0</v>
      </c>
      <c r="BP703" s="680">
        <f t="shared" ref="BP703:CA703" si="284">SUM(BP701:BP702)</f>
        <v>0</v>
      </c>
      <c r="BQ703" s="680">
        <f t="shared" si="284"/>
        <v>0</v>
      </c>
      <c r="BR703" s="680">
        <f t="shared" si="284"/>
        <v>0</v>
      </c>
      <c r="BS703" s="680">
        <f t="shared" si="284"/>
        <v>0</v>
      </c>
      <c r="BT703" s="680">
        <f t="shared" si="284"/>
        <v>0</v>
      </c>
      <c r="BU703" s="680">
        <f t="shared" si="284"/>
        <v>0</v>
      </c>
      <c r="BV703" s="680">
        <f t="shared" si="284"/>
        <v>0</v>
      </c>
      <c r="BW703" s="680">
        <f t="shared" si="284"/>
        <v>0</v>
      </c>
      <c r="BX703" s="680">
        <f t="shared" si="284"/>
        <v>0</v>
      </c>
      <c r="BY703" s="680">
        <f t="shared" si="284"/>
        <v>0</v>
      </c>
      <c r="BZ703" s="680">
        <f t="shared" si="284"/>
        <v>0</v>
      </c>
      <c r="CA703" s="680">
        <f t="shared" si="284"/>
        <v>0</v>
      </c>
    </row>
    <row r="704" spans="1:79" s="709" customFormat="1" hidden="1" outlineLevel="1" x14ac:dyDescent="0.35">
      <c r="F704" s="710" t="s">
        <v>650</v>
      </c>
      <c r="G704" s="751"/>
      <c r="H704" s="751"/>
      <c r="I704" s="751"/>
      <c r="J704" s="751"/>
      <c r="K704" s="751"/>
      <c r="L704" s="751"/>
      <c r="M704" s="751"/>
      <c r="N704" s="751"/>
      <c r="O704" s="751"/>
      <c r="P704" s="751"/>
      <c r="Q704" s="751"/>
      <c r="R704" s="751"/>
      <c r="S704" s="708"/>
      <c r="T704" s="708"/>
      <c r="U704" s="708"/>
      <c r="V704" s="708"/>
      <c r="W704" s="708"/>
      <c r="X704" s="708"/>
      <c r="Y704" s="708"/>
      <c r="Z704" s="708"/>
      <c r="AA704" s="708"/>
      <c r="AB704" s="708"/>
      <c r="AC704" s="708"/>
      <c r="AD704" s="708"/>
      <c r="AE704" s="751"/>
      <c r="AF704" s="751"/>
      <c r="AG704" s="751"/>
      <c r="AH704" s="751"/>
      <c r="AI704" s="751"/>
      <c r="AJ704" s="751"/>
      <c r="AK704" s="751"/>
      <c r="AL704" s="751"/>
      <c r="AM704" s="751"/>
      <c r="AN704" s="751"/>
      <c r="AO704" s="751"/>
      <c r="AP704" s="751"/>
      <c r="AQ704" s="751"/>
      <c r="AR704" s="751"/>
      <c r="AS704" s="751"/>
      <c r="AT704" s="751"/>
      <c r="AU704" s="751"/>
      <c r="AV704" s="751"/>
      <c r="AW704" s="751"/>
      <c r="AX704" s="751"/>
      <c r="AY704" s="751"/>
      <c r="AZ704" s="751"/>
      <c r="BA704" s="751"/>
      <c r="BB704" s="751"/>
      <c r="BC704" s="751"/>
      <c r="BD704" s="751"/>
      <c r="BE704" s="751"/>
      <c r="BF704" s="751"/>
      <c r="BG704" s="751"/>
      <c r="BH704" s="751"/>
      <c r="BI704" s="751"/>
      <c r="BJ704" s="751"/>
      <c r="BK704" s="751"/>
      <c r="BL704" s="751"/>
      <c r="BM704" s="751"/>
      <c r="BN704" s="751"/>
      <c r="BO704" s="751"/>
      <c r="BP704" s="751"/>
      <c r="BQ704" s="751"/>
      <c r="BR704" s="751"/>
      <c r="BS704" s="751"/>
      <c r="BT704" s="751"/>
      <c r="BU704" s="751"/>
      <c r="BV704" s="751"/>
      <c r="BW704" s="751"/>
      <c r="BX704" s="751"/>
      <c r="BY704" s="751"/>
      <c r="BZ704" s="751"/>
      <c r="CA704" s="751"/>
    </row>
    <row r="705" spans="1:79" hidden="1" outlineLevel="1" x14ac:dyDescent="0.35">
      <c r="A705" s="574"/>
      <c r="B705" s="574"/>
      <c r="C705" s="574"/>
      <c r="D705" s="574"/>
      <c r="E705" s="574"/>
      <c r="F705" s="672" t="s">
        <v>874</v>
      </c>
      <c r="G705" s="732"/>
      <c r="H705" s="732"/>
      <c r="I705" s="732"/>
      <c r="J705" s="732"/>
      <c r="K705" s="732"/>
      <c r="L705" s="732"/>
      <c r="M705" s="732"/>
      <c r="N705" s="732"/>
      <c r="O705" s="732"/>
      <c r="P705" s="732"/>
      <c r="Q705" s="732"/>
      <c r="R705" s="732"/>
      <c r="S705" s="679">
        <v>0</v>
      </c>
      <c r="T705" s="679">
        <v>0</v>
      </c>
      <c r="U705" s="679">
        <v>0</v>
      </c>
      <c r="V705" s="679">
        <v>0</v>
      </c>
      <c r="W705" s="679">
        <v>0</v>
      </c>
      <c r="X705" s="679">
        <v>0</v>
      </c>
      <c r="Y705" s="679">
        <v>0</v>
      </c>
      <c r="Z705" s="679">
        <v>0</v>
      </c>
      <c r="AA705" s="679">
        <v>0</v>
      </c>
      <c r="AB705" s="679">
        <v>0</v>
      </c>
      <c r="AC705" s="679">
        <v>0</v>
      </c>
      <c r="AD705" s="679">
        <v>0</v>
      </c>
      <c r="AE705" s="732"/>
      <c r="AF705" s="732"/>
      <c r="AG705" s="732"/>
      <c r="AH705" s="732"/>
      <c r="AI705" s="732"/>
      <c r="AJ705" s="732"/>
      <c r="AK705" s="732"/>
      <c r="AL705" s="732"/>
      <c r="AM705" s="732"/>
      <c r="AN705" s="732"/>
      <c r="AO705" s="732"/>
      <c r="AP705" s="732"/>
      <c r="AQ705" s="732"/>
      <c r="AR705" s="732"/>
      <c r="AS705" s="732"/>
      <c r="AT705" s="732"/>
      <c r="AU705" s="732"/>
      <c r="AV705" s="732"/>
      <c r="AW705" s="732"/>
      <c r="AX705" s="732"/>
      <c r="AY705" s="732"/>
      <c r="AZ705" s="732"/>
      <c r="BA705" s="732"/>
      <c r="BB705" s="732"/>
      <c r="BC705" s="732"/>
      <c r="BD705" s="732"/>
      <c r="BE705" s="732"/>
      <c r="BF705" s="732"/>
      <c r="BG705" s="732"/>
      <c r="BH705" s="732"/>
      <c r="BI705" s="732"/>
      <c r="BJ705" s="732"/>
      <c r="BK705" s="732"/>
      <c r="BL705" s="732"/>
      <c r="BM705" s="732"/>
      <c r="BN705" s="732"/>
      <c r="BO705" s="732"/>
      <c r="BP705" s="732"/>
      <c r="BQ705" s="732"/>
      <c r="BR705" s="732"/>
      <c r="BS705" s="732"/>
      <c r="BT705" s="732"/>
      <c r="BU705" s="732"/>
      <c r="BV705" s="732"/>
      <c r="BW705" s="732"/>
      <c r="BX705" s="732"/>
      <c r="BY705" s="732"/>
      <c r="BZ705" s="732"/>
      <c r="CA705" s="732"/>
    </row>
    <row r="706" spans="1:79" hidden="1" outlineLevel="1" x14ac:dyDescent="0.35">
      <c r="F706" s="672" t="s">
        <v>875</v>
      </c>
      <c r="G706" s="735"/>
      <c r="H706" s="735"/>
      <c r="I706" s="735"/>
      <c r="J706" s="735"/>
      <c r="K706" s="735"/>
      <c r="L706" s="735"/>
      <c r="M706" s="735"/>
      <c r="N706" s="735"/>
      <c r="O706" s="735"/>
      <c r="P706" s="732"/>
      <c r="Q706" s="732"/>
      <c r="R706" s="732"/>
      <c r="S706" s="679">
        <v>0</v>
      </c>
      <c r="T706" s="679">
        <v>69</v>
      </c>
      <c r="U706" s="679">
        <v>0</v>
      </c>
      <c r="V706" s="679">
        <v>0</v>
      </c>
      <c r="W706" s="679">
        <v>0</v>
      </c>
      <c r="X706" s="679">
        <v>0</v>
      </c>
      <c r="Y706" s="679">
        <v>0</v>
      </c>
      <c r="Z706" s="679">
        <v>0</v>
      </c>
      <c r="AA706" s="679">
        <v>0</v>
      </c>
      <c r="AB706" s="679">
        <v>0</v>
      </c>
      <c r="AC706" s="679">
        <v>0</v>
      </c>
      <c r="AD706" s="679">
        <v>1.41</v>
      </c>
      <c r="AE706" s="732"/>
      <c r="AF706" s="732"/>
      <c r="AG706" s="732"/>
      <c r="AH706" s="732"/>
      <c r="AI706" s="732"/>
      <c r="AJ706" s="732"/>
      <c r="AK706" s="732"/>
      <c r="AL706" s="732"/>
      <c r="AM706" s="732"/>
      <c r="AN706" s="732"/>
      <c r="AO706" s="732"/>
      <c r="AP706" s="732"/>
      <c r="AQ706" s="732"/>
      <c r="AR706" s="732"/>
      <c r="AS706" s="732"/>
      <c r="AT706" s="732"/>
      <c r="AU706" s="732"/>
      <c r="AV706" s="732"/>
      <c r="AW706" s="732"/>
      <c r="AX706" s="732"/>
      <c r="AY706" s="732"/>
      <c r="AZ706" s="732"/>
      <c r="BA706" s="732"/>
      <c r="BB706" s="732"/>
      <c r="BC706" s="732"/>
      <c r="BD706" s="732"/>
      <c r="BE706" s="732"/>
      <c r="BF706" s="732"/>
      <c r="BG706" s="732"/>
      <c r="BH706" s="732"/>
      <c r="BI706" s="732"/>
      <c r="BJ706" s="732"/>
      <c r="BK706" s="732"/>
      <c r="BL706" s="732"/>
      <c r="BM706" s="732"/>
      <c r="BN706" s="732"/>
      <c r="BO706" s="732"/>
      <c r="BP706" s="732"/>
      <c r="BQ706" s="732"/>
      <c r="BR706" s="732"/>
      <c r="BS706" s="732"/>
      <c r="BT706" s="732"/>
      <c r="BU706" s="732"/>
      <c r="BV706" s="732"/>
      <c r="BW706" s="732"/>
      <c r="BX706" s="732"/>
      <c r="BY706" s="732"/>
      <c r="BZ706" s="732"/>
      <c r="CA706" s="732"/>
    </row>
    <row r="707" spans="1:79" hidden="1" outlineLevel="1" x14ac:dyDescent="0.35">
      <c r="A707" s="574"/>
      <c r="B707" s="574"/>
      <c r="C707" s="574"/>
      <c r="D707" s="574"/>
      <c r="E707" s="574"/>
      <c r="F707" s="673" t="s">
        <v>876</v>
      </c>
      <c r="G707" s="680">
        <f>SUM(G705:G706)</f>
        <v>0</v>
      </c>
      <c r="H707" s="680">
        <f t="shared" ref="H707:BO707" si="285">SUM(H705:H706)</f>
        <v>0</v>
      </c>
      <c r="I707" s="680">
        <f t="shared" si="285"/>
        <v>0</v>
      </c>
      <c r="J707" s="680">
        <f t="shared" si="285"/>
        <v>0</v>
      </c>
      <c r="K707" s="680">
        <f t="shared" si="285"/>
        <v>0</v>
      </c>
      <c r="L707" s="680">
        <f t="shared" si="285"/>
        <v>0</v>
      </c>
      <c r="M707" s="680">
        <f t="shared" si="285"/>
        <v>0</v>
      </c>
      <c r="N707" s="680">
        <f t="shared" si="285"/>
        <v>0</v>
      </c>
      <c r="O707" s="680">
        <f t="shared" si="285"/>
        <v>0</v>
      </c>
      <c r="P707" s="680">
        <f t="shared" si="285"/>
        <v>0</v>
      </c>
      <c r="Q707" s="680">
        <f t="shared" si="285"/>
        <v>0</v>
      </c>
      <c r="R707" s="680">
        <f t="shared" si="285"/>
        <v>0</v>
      </c>
      <c r="S707" s="680">
        <f t="shared" ref="S707:AA707" si="286">ROUND(SUM(S704:S706),5)</f>
        <v>0</v>
      </c>
      <c r="T707" s="680">
        <f t="shared" si="286"/>
        <v>69</v>
      </c>
      <c r="U707" s="680">
        <f t="shared" si="286"/>
        <v>0</v>
      </c>
      <c r="V707" s="680">
        <f t="shared" si="286"/>
        <v>0</v>
      </c>
      <c r="W707" s="680">
        <f t="shared" si="286"/>
        <v>0</v>
      </c>
      <c r="X707" s="680">
        <f t="shared" si="286"/>
        <v>0</v>
      </c>
      <c r="Y707" s="680">
        <f t="shared" si="286"/>
        <v>0</v>
      </c>
      <c r="Z707" s="680">
        <f t="shared" si="286"/>
        <v>0</v>
      </c>
      <c r="AA707" s="680">
        <f t="shared" si="286"/>
        <v>0</v>
      </c>
      <c r="AB707" s="680">
        <f>ROUND(SUM(AB704:AB706),5)</f>
        <v>0</v>
      </c>
      <c r="AC707" s="680">
        <f>ROUND(SUM(AC704:AC706),5)</f>
        <v>0</v>
      </c>
      <c r="AD707" s="680">
        <f>ROUND(SUM(AD704:AD706),5)</f>
        <v>1.41</v>
      </c>
      <c r="AE707" s="680">
        <f t="shared" si="285"/>
        <v>0</v>
      </c>
      <c r="AF707" s="680">
        <f t="shared" si="285"/>
        <v>0</v>
      </c>
      <c r="AG707" s="680">
        <f t="shared" si="285"/>
        <v>0</v>
      </c>
      <c r="AH707" s="680">
        <f t="shared" si="285"/>
        <v>0</v>
      </c>
      <c r="AI707" s="680">
        <f t="shared" si="285"/>
        <v>0</v>
      </c>
      <c r="AJ707" s="680">
        <f t="shared" si="285"/>
        <v>0</v>
      </c>
      <c r="AK707" s="680">
        <f t="shared" si="285"/>
        <v>0</v>
      </c>
      <c r="AL707" s="680">
        <f t="shared" si="285"/>
        <v>0</v>
      </c>
      <c r="AM707" s="680">
        <f t="shared" si="285"/>
        <v>0</v>
      </c>
      <c r="AN707" s="680">
        <f t="shared" si="285"/>
        <v>0</v>
      </c>
      <c r="AO707" s="680">
        <f t="shared" si="285"/>
        <v>0</v>
      </c>
      <c r="AP707" s="680">
        <f t="shared" si="285"/>
        <v>0</v>
      </c>
      <c r="AQ707" s="680">
        <f t="shared" si="285"/>
        <v>0</v>
      </c>
      <c r="AR707" s="680">
        <f t="shared" si="285"/>
        <v>0</v>
      </c>
      <c r="AS707" s="680">
        <f t="shared" si="285"/>
        <v>0</v>
      </c>
      <c r="AT707" s="680">
        <f t="shared" si="285"/>
        <v>0</v>
      </c>
      <c r="AU707" s="680">
        <f t="shared" si="285"/>
        <v>0</v>
      </c>
      <c r="AV707" s="680">
        <f t="shared" si="285"/>
        <v>0</v>
      </c>
      <c r="AW707" s="680">
        <f t="shared" si="285"/>
        <v>0</v>
      </c>
      <c r="AX707" s="680">
        <f t="shared" si="285"/>
        <v>0</v>
      </c>
      <c r="AY707" s="680">
        <f t="shared" si="285"/>
        <v>0</v>
      </c>
      <c r="AZ707" s="680">
        <f t="shared" si="285"/>
        <v>0</v>
      </c>
      <c r="BA707" s="680">
        <f t="shared" si="285"/>
        <v>0</v>
      </c>
      <c r="BB707" s="680">
        <f t="shared" si="285"/>
        <v>0</v>
      </c>
      <c r="BC707" s="680">
        <f t="shared" si="285"/>
        <v>0</v>
      </c>
      <c r="BD707" s="680">
        <f t="shared" si="285"/>
        <v>0</v>
      </c>
      <c r="BE707" s="680">
        <f t="shared" si="285"/>
        <v>0</v>
      </c>
      <c r="BF707" s="680">
        <f t="shared" si="285"/>
        <v>0</v>
      </c>
      <c r="BG707" s="680">
        <f t="shared" si="285"/>
        <v>0</v>
      </c>
      <c r="BH707" s="680">
        <f t="shared" si="285"/>
        <v>0</v>
      </c>
      <c r="BI707" s="680">
        <f t="shared" si="285"/>
        <v>0</v>
      </c>
      <c r="BJ707" s="680">
        <f t="shared" si="285"/>
        <v>0</v>
      </c>
      <c r="BK707" s="680">
        <f t="shared" si="285"/>
        <v>0</v>
      </c>
      <c r="BL707" s="680">
        <f t="shared" si="285"/>
        <v>0</v>
      </c>
      <c r="BM707" s="680">
        <f t="shared" si="285"/>
        <v>0</v>
      </c>
      <c r="BN707" s="680">
        <f t="shared" si="285"/>
        <v>0</v>
      </c>
      <c r="BO707" s="680">
        <f t="shared" si="285"/>
        <v>0</v>
      </c>
      <c r="BP707" s="680">
        <f t="shared" ref="BP707:CA707" si="287">SUM(BP705:BP706)</f>
        <v>0</v>
      </c>
      <c r="BQ707" s="680">
        <f t="shared" si="287"/>
        <v>0</v>
      </c>
      <c r="BR707" s="680">
        <f t="shared" si="287"/>
        <v>0</v>
      </c>
      <c r="BS707" s="680">
        <f t="shared" si="287"/>
        <v>0</v>
      </c>
      <c r="BT707" s="680">
        <f t="shared" si="287"/>
        <v>0</v>
      </c>
      <c r="BU707" s="680">
        <f t="shared" si="287"/>
        <v>0</v>
      </c>
      <c r="BV707" s="680">
        <f t="shared" si="287"/>
        <v>0</v>
      </c>
      <c r="BW707" s="680">
        <f t="shared" si="287"/>
        <v>0</v>
      </c>
      <c r="BX707" s="680">
        <f t="shared" si="287"/>
        <v>0</v>
      </c>
      <c r="BY707" s="680">
        <f t="shared" si="287"/>
        <v>0</v>
      </c>
      <c r="BZ707" s="680">
        <f t="shared" si="287"/>
        <v>0</v>
      </c>
      <c r="CA707" s="680">
        <f t="shared" si="287"/>
        <v>0</v>
      </c>
    </row>
    <row r="708" spans="1:79" hidden="1" outlineLevel="1" x14ac:dyDescent="0.35">
      <c r="F708" s="674" t="s">
        <v>593</v>
      </c>
      <c r="G708" s="735"/>
      <c r="H708" s="735">
        <v>8.8334996973265927</v>
      </c>
      <c r="I708" s="735">
        <v>1.6231803078904836</v>
      </c>
      <c r="J708" s="735">
        <v>17.302481279370031</v>
      </c>
      <c r="K708" s="735">
        <v>3.2975361360764506</v>
      </c>
      <c r="L708" s="735">
        <v>27.303806491878245</v>
      </c>
      <c r="M708" s="735">
        <v>0.77826487001260092</v>
      </c>
      <c r="N708" s="735">
        <v>6.5434631486602299</v>
      </c>
      <c r="O708" s="735">
        <v>7.1749156084777184</v>
      </c>
      <c r="P708" s="732">
        <v>41.622404873219068</v>
      </c>
      <c r="Q708" s="732"/>
      <c r="R708" s="732"/>
      <c r="S708" s="683">
        <v>0</v>
      </c>
      <c r="T708" s="683">
        <v>0</v>
      </c>
      <c r="U708" s="683">
        <v>0</v>
      </c>
      <c r="V708" s="683">
        <v>0</v>
      </c>
      <c r="W708" s="683">
        <v>0</v>
      </c>
      <c r="X708" s="683">
        <v>25.51</v>
      </c>
      <c r="Y708" s="683">
        <v>26.99</v>
      </c>
      <c r="Z708" s="683">
        <v>0</v>
      </c>
      <c r="AA708" s="683">
        <v>0</v>
      </c>
      <c r="AB708" s="683">
        <v>0</v>
      </c>
      <c r="AC708" s="681">
        <v>0</v>
      </c>
      <c r="AD708" s="681">
        <v>0</v>
      </c>
      <c r="AE708" s="732"/>
      <c r="AF708" s="732"/>
      <c r="AG708" s="732"/>
      <c r="AH708" s="732"/>
      <c r="AI708" s="732"/>
      <c r="AJ708" s="732"/>
      <c r="AK708" s="732"/>
      <c r="AL708" s="732"/>
      <c r="AM708" s="732"/>
      <c r="AN708" s="732"/>
      <c r="AO708" s="732"/>
      <c r="AP708" s="732"/>
      <c r="AQ708" s="732"/>
      <c r="AR708" s="732"/>
      <c r="AS708" s="732"/>
      <c r="AT708" s="732"/>
      <c r="AU708" s="732"/>
      <c r="AV708" s="732"/>
      <c r="AW708" s="732"/>
      <c r="AX708" s="732"/>
      <c r="AY708" s="732"/>
      <c r="AZ708" s="732"/>
      <c r="BA708" s="732"/>
      <c r="BB708" s="732"/>
      <c r="BC708" s="732"/>
      <c r="BD708" s="732"/>
      <c r="BE708" s="732"/>
      <c r="BF708" s="732"/>
      <c r="BG708" s="732"/>
      <c r="BH708" s="732"/>
      <c r="BI708" s="732"/>
      <c r="BJ708" s="732"/>
      <c r="BK708" s="732"/>
      <c r="BL708" s="732"/>
      <c r="BM708" s="732"/>
      <c r="BN708" s="732"/>
      <c r="BO708" s="732"/>
      <c r="BP708" s="732"/>
      <c r="BQ708" s="732"/>
      <c r="BR708" s="732"/>
      <c r="BS708" s="732"/>
      <c r="BT708" s="732"/>
      <c r="BU708" s="732"/>
      <c r="BV708" s="732"/>
      <c r="BW708" s="732"/>
      <c r="BX708" s="732"/>
      <c r="BY708" s="732"/>
      <c r="BZ708" s="732"/>
      <c r="CA708" s="732"/>
    </row>
    <row r="709" spans="1:79" hidden="1" outlineLevel="1" x14ac:dyDescent="0.35">
      <c r="A709" s="574"/>
      <c r="B709" s="574"/>
      <c r="C709" s="574"/>
      <c r="D709" s="574"/>
      <c r="E709" s="574"/>
      <c r="F709" s="671" t="s">
        <v>877</v>
      </c>
      <c r="G709" s="735"/>
      <c r="H709" s="735"/>
      <c r="I709" s="735"/>
      <c r="J709" s="735"/>
      <c r="K709" s="735"/>
      <c r="L709" s="735"/>
      <c r="M709" s="735"/>
      <c r="N709" s="735"/>
      <c r="O709" s="735"/>
      <c r="P709" s="732"/>
      <c r="Q709" s="732"/>
      <c r="R709" s="732"/>
      <c r="S709" s="683">
        <v>0</v>
      </c>
      <c r="T709" s="683">
        <v>0</v>
      </c>
      <c r="U709" s="683">
        <v>0</v>
      </c>
      <c r="V709" s="683">
        <v>0</v>
      </c>
      <c r="W709" s="683">
        <v>0</v>
      </c>
      <c r="X709" s="683">
        <v>0</v>
      </c>
      <c r="Y709" s="683">
        <v>0</v>
      </c>
      <c r="Z709" s="683">
        <v>0</v>
      </c>
      <c r="AA709" s="683">
        <v>0</v>
      </c>
      <c r="AB709" s="683">
        <v>0</v>
      </c>
      <c r="AC709" s="681">
        <v>0</v>
      </c>
      <c r="AD709" s="681">
        <v>0</v>
      </c>
      <c r="AE709" s="732"/>
      <c r="AF709" s="732"/>
      <c r="AG709" s="732"/>
      <c r="AH709" s="732"/>
      <c r="AI709" s="732"/>
      <c r="AJ709" s="732"/>
      <c r="AK709" s="732"/>
      <c r="AL709" s="732"/>
      <c r="AM709" s="732"/>
      <c r="AN709" s="732"/>
      <c r="AO709" s="732"/>
      <c r="AP709" s="732"/>
      <c r="AQ709" s="732"/>
      <c r="AR709" s="732"/>
      <c r="AS709" s="732"/>
      <c r="AT709" s="732"/>
      <c r="AU709" s="732"/>
      <c r="AV709" s="732"/>
      <c r="AW709" s="732"/>
      <c r="AX709" s="732"/>
      <c r="AY709" s="732"/>
      <c r="AZ709" s="732"/>
      <c r="BA709" s="732"/>
      <c r="BB709" s="732"/>
      <c r="BC709" s="732"/>
      <c r="BD709" s="732"/>
      <c r="BE709" s="732"/>
      <c r="BF709" s="732"/>
      <c r="BG709" s="732"/>
      <c r="BH709" s="732"/>
      <c r="BI709" s="732"/>
      <c r="BJ709" s="732"/>
      <c r="BK709" s="732"/>
      <c r="BL709" s="732"/>
      <c r="BM709" s="732"/>
      <c r="BN709" s="732"/>
      <c r="BO709" s="732"/>
      <c r="BP709" s="732"/>
      <c r="BQ709" s="732"/>
      <c r="BR709" s="732"/>
      <c r="BS709" s="732"/>
      <c r="BT709" s="732"/>
      <c r="BU709" s="732"/>
      <c r="BV709" s="732"/>
      <c r="BW709" s="732"/>
      <c r="BX709" s="732"/>
      <c r="BY709" s="732"/>
      <c r="BZ709" s="732"/>
      <c r="CA709" s="732"/>
    </row>
    <row r="710" spans="1:79" s="716" customFormat="1" hidden="1" outlineLevel="1" x14ac:dyDescent="0.35">
      <c r="F710" s="711" t="s">
        <v>594</v>
      </c>
      <c r="G710" s="750"/>
      <c r="H710" s="750"/>
      <c r="I710" s="750"/>
      <c r="J710" s="750"/>
      <c r="K710" s="750"/>
      <c r="L710" s="750"/>
      <c r="M710" s="750"/>
      <c r="N710" s="750"/>
      <c r="O710" s="750"/>
      <c r="P710" s="751"/>
      <c r="Q710" s="751"/>
      <c r="R710" s="751"/>
      <c r="S710" s="713"/>
      <c r="T710" s="713"/>
      <c r="U710" s="713"/>
      <c r="V710" s="713"/>
      <c r="W710" s="713"/>
      <c r="X710" s="713"/>
      <c r="Y710" s="713"/>
      <c r="Z710" s="713"/>
      <c r="AA710" s="713"/>
      <c r="AB710" s="713"/>
      <c r="AC710" s="712"/>
      <c r="AD710" s="712"/>
      <c r="AE710" s="751"/>
      <c r="AF710" s="751"/>
      <c r="AG710" s="751"/>
      <c r="AH710" s="751"/>
      <c r="AI710" s="751"/>
      <c r="AJ710" s="751"/>
      <c r="AK710" s="751"/>
      <c r="AL710" s="751"/>
      <c r="AM710" s="751"/>
      <c r="AN710" s="751"/>
      <c r="AO710" s="751"/>
      <c r="AP710" s="751"/>
      <c r="AQ710" s="751"/>
      <c r="AR710" s="751"/>
      <c r="AS710" s="751"/>
      <c r="AT710" s="751"/>
      <c r="AU710" s="751"/>
      <c r="AV710" s="751"/>
      <c r="AW710" s="751"/>
      <c r="AX710" s="751"/>
      <c r="AY710" s="751"/>
      <c r="AZ710" s="751"/>
      <c r="BA710" s="751"/>
      <c r="BB710" s="751"/>
      <c r="BC710" s="751"/>
      <c r="BD710" s="751"/>
      <c r="BE710" s="751"/>
      <c r="BF710" s="751"/>
      <c r="BG710" s="751"/>
      <c r="BH710" s="751"/>
      <c r="BI710" s="751"/>
      <c r="BJ710" s="751"/>
      <c r="BK710" s="751"/>
      <c r="BL710" s="751"/>
      <c r="BM710" s="751"/>
      <c r="BN710" s="751"/>
      <c r="BO710" s="751"/>
      <c r="BP710" s="751"/>
      <c r="BQ710" s="751"/>
      <c r="BR710" s="751"/>
      <c r="BS710" s="751"/>
      <c r="BT710" s="751"/>
      <c r="BU710" s="751"/>
      <c r="BV710" s="751"/>
      <c r="BW710" s="751"/>
      <c r="BX710" s="751"/>
      <c r="BY710" s="751"/>
      <c r="BZ710" s="751"/>
      <c r="CA710" s="751"/>
    </row>
    <row r="711" spans="1:79" s="757" customFormat="1" hidden="1" outlineLevel="1" x14ac:dyDescent="0.35">
      <c r="A711" s="504"/>
      <c r="B711" s="504"/>
      <c r="C711" s="504"/>
      <c r="D711" s="504"/>
      <c r="E711" s="504"/>
      <c r="F711" s="672" t="s">
        <v>878</v>
      </c>
      <c r="G711" s="735"/>
      <c r="H711" s="735"/>
      <c r="I711" s="735"/>
      <c r="J711" s="735"/>
      <c r="K711" s="735"/>
      <c r="L711" s="735"/>
      <c r="M711" s="735"/>
      <c r="N711" s="735"/>
      <c r="O711" s="735"/>
      <c r="P711" s="732"/>
      <c r="Q711" s="732"/>
      <c r="R711" s="732"/>
      <c r="S711" s="687">
        <v>0</v>
      </c>
      <c r="T711" s="687">
        <v>0</v>
      </c>
      <c r="U711" s="687">
        <v>0</v>
      </c>
      <c r="V711" s="687">
        <v>0</v>
      </c>
      <c r="W711" s="687">
        <v>0</v>
      </c>
      <c r="X711" s="687">
        <v>0</v>
      </c>
      <c r="Y711" s="687">
        <v>0</v>
      </c>
      <c r="Z711" s="687">
        <v>0</v>
      </c>
      <c r="AA711" s="687">
        <v>0</v>
      </c>
      <c r="AB711" s="687">
        <v>0</v>
      </c>
      <c r="AC711" s="685">
        <v>0</v>
      </c>
      <c r="AD711" s="685">
        <v>0</v>
      </c>
      <c r="AE711" s="732"/>
      <c r="AF711" s="732"/>
      <c r="AG711" s="732"/>
      <c r="AH711" s="732"/>
      <c r="AI711" s="732"/>
      <c r="AJ711" s="732"/>
      <c r="AK711" s="732"/>
      <c r="AL711" s="732"/>
      <c r="AM711" s="732"/>
      <c r="AN711" s="732"/>
      <c r="AO711" s="732"/>
      <c r="AP711" s="732"/>
      <c r="AQ711" s="732"/>
      <c r="AR711" s="732"/>
      <c r="AS711" s="732"/>
      <c r="AT711" s="732"/>
      <c r="AU711" s="732"/>
      <c r="AV711" s="732"/>
      <c r="AW711" s="732"/>
      <c r="AX711" s="732"/>
      <c r="AY711" s="732"/>
      <c r="AZ711" s="732"/>
      <c r="BA711" s="732"/>
      <c r="BB711" s="732"/>
      <c r="BC711" s="732"/>
      <c r="BD711" s="732"/>
      <c r="BE711" s="732"/>
      <c r="BF711" s="732"/>
      <c r="BG711" s="732"/>
      <c r="BH711" s="732"/>
      <c r="BI711" s="732"/>
      <c r="BJ711" s="732"/>
      <c r="BK711" s="732"/>
      <c r="BL711" s="732"/>
      <c r="BM711" s="732"/>
      <c r="BN711" s="732"/>
      <c r="BO711" s="732"/>
      <c r="BP711" s="732"/>
      <c r="BQ711" s="732"/>
      <c r="BR711" s="732"/>
      <c r="BS711" s="732"/>
      <c r="BT711" s="732"/>
      <c r="BU711" s="732"/>
      <c r="BV711" s="732"/>
      <c r="BW711" s="732"/>
      <c r="BX711" s="732"/>
      <c r="BY711" s="732"/>
      <c r="BZ711" s="732"/>
      <c r="CA711" s="732"/>
    </row>
    <row r="712" spans="1:79" s="757" customFormat="1" hidden="1" outlineLevel="1" x14ac:dyDescent="0.35">
      <c r="A712" s="504"/>
      <c r="B712" s="504"/>
      <c r="C712" s="504"/>
      <c r="D712" s="504"/>
      <c r="E712" s="504"/>
      <c r="F712" s="672" t="s">
        <v>879</v>
      </c>
      <c r="G712" s="735"/>
      <c r="H712" s="735"/>
      <c r="I712" s="735"/>
      <c r="J712" s="735"/>
      <c r="K712" s="735"/>
      <c r="L712" s="735"/>
      <c r="M712" s="735"/>
      <c r="N712" s="735"/>
      <c r="O712" s="735"/>
      <c r="P712" s="732"/>
      <c r="Q712" s="732"/>
      <c r="R712" s="732"/>
      <c r="S712" s="687">
        <v>0</v>
      </c>
      <c r="T712" s="687">
        <v>0</v>
      </c>
      <c r="U712" s="687">
        <v>0</v>
      </c>
      <c r="V712" s="687">
        <v>0</v>
      </c>
      <c r="W712" s="687">
        <v>0</v>
      </c>
      <c r="X712" s="687">
        <v>0</v>
      </c>
      <c r="Y712" s="687">
        <v>0</v>
      </c>
      <c r="Z712" s="687">
        <v>0</v>
      </c>
      <c r="AA712" s="687">
        <v>0</v>
      </c>
      <c r="AB712" s="687">
        <v>0</v>
      </c>
      <c r="AC712" s="685">
        <v>0</v>
      </c>
      <c r="AD712" s="685">
        <v>0</v>
      </c>
      <c r="AE712" s="732"/>
      <c r="AF712" s="732"/>
      <c r="AG712" s="732"/>
      <c r="AH712" s="732"/>
      <c r="AI712" s="732"/>
      <c r="AJ712" s="732"/>
      <c r="AK712" s="732"/>
      <c r="AL712" s="732"/>
      <c r="AM712" s="732"/>
      <c r="AN712" s="732"/>
      <c r="AO712" s="732"/>
      <c r="AP712" s="732"/>
      <c r="AQ712" s="732"/>
      <c r="AR712" s="732"/>
      <c r="AS712" s="732"/>
      <c r="AT712" s="732"/>
      <c r="AU712" s="732"/>
      <c r="AV712" s="732"/>
      <c r="AW712" s="732"/>
      <c r="AX712" s="732"/>
      <c r="AY712" s="732"/>
      <c r="AZ712" s="732"/>
      <c r="BA712" s="732"/>
      <c r="BB712" s="732"/>
      <c r="BC712" s="732"/>
      <c r="BD712" s="732"/>
      <c r="BE712" s="732"/>
      <c r="BF712" s="732"/>
      <c r="BG712" s="732"/>
      <c r="BH712" s="732"/>
      <c r="BI712" s="732"/>
      <c r="BJ712" s="732"/>
      <c r="BK712" s="732"/>
      <c r="BL712" s="732"/>
      <c r="BM712" s="732"/>
      <c r="BN712" s="732"/>
      <c r="BO712" s="732"/>
      <c r="BP712" s="732"/>
      <c r="BQ712" s="732"/>
      <c r="BR712" s="732"/>
      <c r="BS712" s="732"/>
      <c r="BT712" s="732"/>
      <c r="BU712" s="732"/>
      <c r="BV712" s="732"/>
      <c r="BW712" s="732"/>
      <c r="BX712" s="732"/>
      <c r="BY712" s="732"/>
      <c r="BZ712" s="732"/>
      <c r="CA712" s="732"/>
    </row>
    <row r="713" spans="1:79" s="757" customFormat="1" hidden="1" outlineLevel="1" x14ac:dyDescent="0.35">
      <c r="A713" s="504"/>
      <c r="B713" s="504"/>
      <c r="C713" s="504"/>
      <c r="D713" s="504"/>
      <c r="E713" s="504"/>
      <c r="F713" s="672" t="s">
        <v>880</v>
      </c>
      <c r="G713" s="735"/>
      <c r="H713" s="735"/>
      <c r="I713" s="735"/>
      <c r="J713" s="735"/>
      <c r="K713" s="735"/>
      <c r="L713" s="735"/>
      <c r="M713" s="735"/>
      <c r="N713" s="735"/>
      <c r="O713" s="735"/>
      <c r="P713" s="732"/>
      <c r="Q713" s="732"/>
      <c r="R713" s="732"/>
      <c r="S713" s="687">
        <v>0</v>
      </c>
      <c r="T713" s="687">
        <v>0</v>
      </c>
      <c r="U713" s="687">
        <v>0</v>
      </c>
      <c r="V713" s="687">
        <v>0</v>
      </c>
      <c r="W713" s="687">
        <v>0</v>
      </c>
      <c r="X713" s="687">
        <v>0</v>
      </c>
      <c r="Y713" s="687">
        <v>0</v>
      </c>
      <c r="Z713" s="687">
        <v>0</v>
      </c>
      <c r="AA713" s="687">
        <v>0</v>
      </c>
      <c r="AB713" s="687">
        <v>0</v>
      </c>
      <c r="AC713" s="685">
        <v>0</v>
      </c>
      <c r="AD713" s="685">
        <v>0</v>
      </c>
      <c r="AE713" s="732"/>
      <c r="AF713" s="732"/>
      <c r="AG713" s="732"/>
      <c r="AH713" s="732"/>
      <c r="AI713" s="732"/>
      <c r="AJ713" s="732"/>
      <c r="AK713" s="732"/>
      <c r="AL713" s="732"/>
      <c r="AM713" s="732"/>
      <c r="AN713" s="732"/>
      <c r="AO713" s="732"/>
      <c r="AP713" s="732"/>
      <c r="AQ713" s="732"/>
      <c r="AR713" s="732"/>
      <c r="AS713" s="732"/>
      <c r="AT713" s="732"/>
      <c r="AU713" s="732"/>
      <c r="AV713" s="732"/>
      <c r="AW713" s="732"/>
      <c r="AX713" s="732"/>
      <c r="AY713" s="732"/>
      <c r="AZ713" s="732"/>
      <c r="BA713" s="732"/>
      <c r="BB713" s="732"/>
      <c r="BC713" s="732"/>
      <c r="BD713" s="732"/>
      <c r="BE713" s="732"/>
      <c r="BF713" s="732"/>
      <c r="BG713" s="732"/>
      <c r="BH713" s="732"/>
      <c r="BI713" s="732"/>
      <c r="BJ713" s="732"/>
      <c r="BK713" s="732"/>
      <c r="BL713" s="732"/>
      <c r="BM713" s="732"/>
      <c r="BN713" s="732"/>
      <c r="BO713" s="732"/>
      <c r="BP713" s="732"/>
      <c r="BQ713" s="732"/>
      <c r="BR713" s="732"/>
      <c r="BS713" s="732"/>
      <c r="BT713" s="732"/>
      <c r="BU713" s="732"/>
      <c r="BV713" s="732"/>
      <c r="BW713" s="732"/>
      <c r="BX713" s="732"/>
      <c r="BY713" s="732"/>
      <c r="BZ713" s="732"/>
      <c r="CA713" s="732"/>
    </row>
    <row r="714" spans="1:79" s="452" customFormat="1" hidden="1" outlineLevel="1" x14ac:dyDescent="0.35">
      <c r="A714" s="80"/>
      <c r="B714" s="80"/>
      <c r="C714" s="80"/>
      <c r="D714" s="80"/>
      <c r="E714" s="80"/>
      <c r="F714" s="672" t="s">
        <v>609</v>
      </c>
      <c r="G714" s="735"/>
      <c r="H714" s="735"/>
      <c r="I714" s="735"/>
      <c r="J714" s="735"/>
      <c r="K714" s="735"/>
      <c r="L714" s="735"/>
      <c r="M714" s="735"/>
      <c r="N714" s="735"/>
      <c r="O714" s="735"/>
      <c r="P714" s="732"/>
      <c r="Q714" s="732"/>
      <c r="R714" s="732"/>
      <c r="S714" s="683">
        <v>657.92</v>
      </c>
      <c r="T714" s="683">
        <v>107.98</v>
      </c>
      <c r="U714" s="683">
        <v>526.71</v>
      </c>
      <c r="V714" s="683">
        <v>163.81</v>
      </c>
      <c r="W714" s="683">
        <v>13.68</v>
      </c>
      <c r="X714" s="683">
        <v>987.99</v>
      </c>
      <c r="Y714" s="683">
        <v>861.5</v>
      </c>
      <c r="Z714" s="683">
        <v>473.24</v>
      </c>
      <c r="AA714" s="683">
        <v>643.41999999999996</v>
      </c>
      <c r="AB714" s="683">
        <v>1550.29</v>
      </c>
      <c r="AC714" s="689">
        <v>-9.2799999999999994</v>
      </c>
      <c r="AD714" s="689">
        <v>6851.15</v>
      </c>
      <c r="AE714" s="732"/>
      <c r="AF714" s="732"/>
      <c r="AG714" s="732"/>
      <c r="AH714" s="732"/>
      <c r="AI714" s="732"/>
      <c r="AJ714" s="732"/>
      <c r="AK714" s="732"/>
      <c r="AL714" s="732"/>
      <c r="AM714" s="732"/>
      <c r="AN714" s="732"/>
      <c r="AO714" s="732"/>
      <c r="AP714" s="732"/>
      <c r="AQ714" s="732"/>
      <c r="AR714" s="732"/>
      <c r="AS714" s="732"/>
      <c r="AT714" s="732"/>
      <c r="AU714" s="732"/>
      <c r="AV714" s="732"/>
      <c r="AW714" s="732"/>
      <c r="AX714" s="732"/>
      <c r="AY714" s="732"/>
      <c r="AZ714" s="732"/>
      <c r="BA714" s="732"/>
      <c r="BB714" s="732"/>
      <c r="BC714" s="732"/>
      <c r="BD714" s="732"/>
      <c r="BE714" s="732"/>
      <c r="BF714" s="732"/>
      <c r="BG714" s="732"/>
      <c r="BH714" s="732"/>
      <c r="BI714" s="732"/>
      <c r="BJ714" s="732"/>
      <c r="BK714" s="732"/>
      <c r="BL714" s="732"/>
      <c r="BM714" s="732"/>
      <c r="BN714" s="732"/>
      <c r="BO714" s="732"/>
      <c r="BP714" s="732"/>
      <c r="BQ714" s="732"/>
      <c r="BR714" s="732"/>
      <c r="BS714" s="732"/>
      <c r="BT714" s="732"/>
      <c r="BU714" s="732"/>
      <c r="BV714" s="732"/>
      <c r="BW714" s="732"/>
      <c r="BX714" s="732"/>
      <c r="BY714" s="732"/>
      <c r="BZ714" s="732"/>
      <c r="CA714" s="732"/>
    </row>
    <row r="715" spans="1:79" s="452" customFormat="1" hidden="1" outlineLevel="1" x14ac:dyDescent="0.35">
      <c r="A715" s="80"/>
      <c r="B715" s="80"/>
      <c r="C715" s="80"/>
      <c r="D715" s="80"/>
      <c r="E715" s="80"/>
      <c r="F715" s="672" t="s">
        <v>610</v>
      </c>
      <c r="G715" s="735"/>
      <c r="H715" s="735"/>
      <c r="I715" s="735"/>
      <c r="J715" s="735"/>
      <c r="K715" s="735"/>
      <c r="L715" s="735"/>
      <c r="M715" s="735"/>
      <c r="N715" s="735"/>
      <c r="O715" s="735"/>
      <c r="P715" s="732"/>
      <c r="Q715" s="732"/>
      <c r="R715" s="732"/>
      <c r="S715" s="683">
        <v>0</v>
      </c>
      <c r="T715" s="683">
        <v>190.83</v>
      </c>
      <c r="U715" s="683">
        <v>640.95000000000005</v>
      </c>
      <c r="V715" s="683">
        <v>303.72000000000003</v>
      </c>
      <c r="W715" s="683">
        <v>371.28</v>
      </c>
      <c r="X715" s="683">
        <v>735.88</v>
      </c>
      <c r="Y715" s="683">
        <v>698.59</v>
      </c>
      <c r="Z715" s="683">
        <v>574.75</v>
      </c>
      <c r="AA715" s="683">
        <v>2124.12</v>
      </c>
      <c r="AB715" s="683">
        <v>1163.27</v>
      </c>
      <c r="AC715" s="689">
        <v>5178.7</v>
      </c>
      <c r="AD715" s="689">
        <v>639.05999999999995</v>
      </c>
      <c r="AE715" s="732"/>
      <c r="AF715" s="732"/>
      <c r="AG715" s="732"/>
      <c r="AH715" s="732"/>
      <c r="AI715" s="732"/>
      <c r="AJ715" s="732"/>
      <c r="AK715" s="732"/>
      <c r="AL715" s="732"/>
      <c r="AM715" s="732"/>
      <c r="AN715" s="732"/>
      <c r="AO715" s="732"/>
      <c r="AP715" s="732"/>
      <c r="AQ715" s="732"/>
      <c r="AR715" s="732"/>
      <c r="AS715" s="732"/>
      <c r="AT715" s="732"/>
      <c r="AU715" s="732"/>
      <c r="AV715" s="732"/>
      <c r="AW715" s="732"/>
      <c r="AX715" s="732"/>
      <c r="AY715" s="732"/>
      <c r="AZ715" s="732"/>
      <c r="BA715" s="732"/>
      <c r="BB715" s="732"/>
      <c r="BC715" s="732"/>
      <c r="BD715" s="732"/>
      <c r="BE715" s="732"/>
      <c r="BF715" s="732"/>
      <c r="BG715" s="732"/>
      <c r="BH715" s="732"/>
      <c r="BI715" s="732"/>
      <c r="BJ715" s="732"/>
      <c r="BK715" s="732"/>
      <c r="BL715" s="732"/>
      <c r="BM715" s="732"/>
      <c r="BN715" s="732"/>
      <c r="BO715" s="732"/>
      <c r="BP715" s="732"/>
      <c r="BQ715" s="732"/>
      <c r="BR715" s="732"/>
      <c r="BS715" s="732"/>
      <c r="BT715" s="732"/>
      <c r="BU715" s="732"/>
      <c r="BV715" s="732"/>
      <c r="BW715" s="732"/>
      <c r="BX715" s="732"/>
      <c r="BY715" s="732"/>
      <c r="BZ715" s="732"/>
      <c r="CA715" s="732"/>
    </row>
    <row r="716" spans="1:79" s="452" customFormat="1" hidden="1" outlineLevel="1" x14ac:dyDescent="0.35">
      <c r="A716" s="80"/>
      <c r="B716" s="80"/>
      <c r="C716" s="80"/>
      <c r="D716" s="80"/>
      <c r="E716" s="80"/>
      <c r="F716" s="672" t="s">
        <v>611</v>
      </c>
      <c r="G716" s="735"/>
      <c r="H716" s="735"/>
      <c r="I716" s="735"/>
      <c r="J716" s="735"/>
      <c r="K716" s="735"/>
      <c r="L716" s="735"/>
      <c r="M716" s="735"/>
      <c r="N716" s="735"/>
      <c r="O716" s="735"/>
      <c r="P716" s="732"/>
      <c r="Q716" s="732"/>
      <c r="R716" s="732"/>
      <c r="S716" s="683">
        <v>0</v>
      </c>
      <c r="T716" s="683">
        <v>0</v>
      </c>
      <c r="U716" s="683">
        <v>40.32</v>
      </c>
      <c r="V716" s="683">
        <v>0</v>
      </c>
      <c r="W716" s="683">
        <v>39.99</v>
      </c>
      <c r="X716" s="683">
        <v>0</v>
      </c>
      <c r="Y716" s="683">
        <v>0</v>
      </c>
      <c r="Z716" s="683">
        <v>14.95</v>
      </c>
      <c r="AA716" s="683">
        <v>0</v>
      </c>
      <c r="AB716" s="683">
        <v>30</v>
      </c>
      <c r="AC716" s="689">
        <v>58.85</v>
      </c>
      <c r="AD716" s="689">
        <v>0</v>
      </c>
      <c r="AE716" s="732"/>
      <c r="AF716" s="732"/>
      <c r="AG716" s="732"/>
      <c r="AH716" s="732"/>
      <c r="AI716" s="732"/>
      <c r="AJ716" s="732"/>
      <c r="AK716" s="732"/>
      <c r="AL716" s="732"/>
      <c r="AM716" s="732"/>
      <c r="AN716" s="732"/>
      <c r="AO716" s="732"/>
      <c r="AP716" s="732"/>
      <c r="AQ716" s="732"/>
      <c r="AR716" s="732"/>
      <c r="AS716" s="732"/>
      <c r="AT716" s="732"/>
      <c r="AU716" s="732"/>
      <c r="AV716" s="732"/>
      <c r="AW716" s="732"/>
      <c r="AX716" s="732"/>
      <c r="AY716" s="732"/>
      <c r="AZ716" s="732"/>
      <c r="BA716" s="732"/>
      <c r="BB716" s="732"/>
      <c r="BC716" s="732"/>
      <c r="BD716" s="732"/>
      <c r="BE716" s="732"/>
      <c r="BF716" s="732"/>
      <c r="BG716" s="732"/>
      <c r="BH716" s="732"/>
      <c r="BI716" s="732"/>
      <c r="BJ716" s="732"/>
      <c r="BK716" s="732"/>
      <c r="BL716" s="732"/>
      <c r="BM716" s="732"/>
      <c r="BN716" s="732"/>
      <c r="BO716" s="732"/>
      <c r="BP716" s="732"/>
      <c r="BQ716" s="732"/>
      <c r="BR716" s="732"/>
      <c r="BS716" s="732"/>
      <c r="BT716" s="732"/>
      <c r="BU716" s="732"/>
      <c r="BV716" s="732"/>
      <c r="BW716" s="732"/>
      <c r="BX716" s="732"/>
      <c r="BY716" s="732"/>
      <c r="BZ716" s="732"/>
      <c r="CA716" s="732"/>
    </row>
    <row r="717" spans="1:79" s="452" customFormat="1" hidden="1" outlineLevel="1" x14ac:dyDescent="0.35">
      <c r="A717" s="580"/>
      <c r="B717" s="580"/>
      <c r="C717" s="580"/>
      <c r="D717" s="580"/>
      <c r="E717" s="580"/>
      <c r="F717" s="672" t="s">
        <v>881</v>
      </c>
      <c r="G717" s="735">
        <v>5427.6807265344432</v>
      </c>
      <c r="H717" s="735">
        <v>5218.9756091181134</v>
      </c>
      <c r="I717" s="735">
        <v>1767.4228703676508</v>
      </c>
      <c r="J717" s="735">
        <v>3826.2188153946104</v>
      </c>
      <c r="K717" s="735">
        <v>3998.5476039058967</v>
      </c>
      <c r="L717" s="735">
        <v>4819.2724324341762</v>
      </c>
      <c r="M717" s="735">
        <v>4735.2149633160625</v>
      </c>
      <c r="N717" s="735">
        <v>4548.2761178546652</v>
      </c>
      <c r="O717" s="735">
        <v>4683.4704629434627</v>
      </c>
      <c r="P717" s="732">
        <v>5081.3954042265459</v>
      </c>
      <c r="Q717" s="732">
        <v>7474.3501257457829</v>
      </c>
      <c r="R717" s="732">
        <v>2644.8572067467021</v>
      </c>
      <c r="S717" s="692">
        <v>0</v>
      </c>
      <c r="T717" s="692">
        <v>0</v>
      </c>
      <c r="U717" s="692">
        <v>0</v>
      </c>
      <c r="V717" s="692">
        <v>0</v>
      </c>
      <c r="W717" s="692">
        <v>0</v>
      </c>
      <c r="X717" s="692">
        <v>0</v>
      </c>
      <c r="Y717" s="692">
        <v>0</v>
      </c>
      <c r="Z717" s="692">
        <v>0</v>
      </c>
      <c r="AA717" s="692">
        <v>0</v>
      </c>
      <c r="AB717" s="692">
        <v>0</v>
      </c>
      <c r="AC717" s="729">
        <v>0</v>
      </c>
      <c r="AD717" s="729">
        <v>0</v>
      </c>
      <c r="AE717" s="732"/>
      <c r="AF717" s="732"/>
      <c r="AG717" s="732"/>
      <c r="AH717" s="732"/>
      <c r="AI717" s="732"/>
      <c r="AJ717" s="732"/>
      <c r="AK717" s="732"/>
      <c r="AL717" s="732"/>
      <c r="AM717" s="732"/>
      <c r="AN717" s="732"/>
      <c r="AO717" s="732"/>
      <c r="AP717" s="732"/>
      <c r="AQ717" s="732"/>
      <c r="AR717" s="732"/>
      <c r="AS717" s="732"/>
      <c r="AT717" s="732"/>
      <c r="AU717" s="732"/>
      <c r="AV717" s="732"/>
      <c r="AW717" s="732"/>
      <c r="AX717" s="732"/>
      <c r="AY717" s="732"/>
      <c r="AZ717" s="732"/>
      <c r="BA717" s="732"/>
      <c r="BB717" s="732"/>
      <c r="BC717" s="732"/>
      <c r="BD717" s="732"/>
      <c r="BE717" s="732"/>
      <c r="BF717" s="732"/>
      <c r="BG717" s="732"/>
      <c r="BH717" s="732"/>
      <c r="BI717" s="732"/>
      <c r="BJ717" s="732"/>
      <c r="BK717" s="732"/>
      <c r="BL717" s="732"/>
      <c r="BM717" s="732"/>
      <c r="BN717" s="732"/>
      <c r="BO717" s="732"/>
      <c r="BP717" s="732"/>
      <c r="BQ717" s="732"/>
      <c r="BR717" s="732"/>
      <c r="BS717" s="732"/>
      <c r="BT717" s="732"/>
      <c r="BU717" s="732"/>
      <c r="BV717" s="732"/>
      <c r="BW717" s="732"/>
      <c r="BX717" s="732"/>
      <c r="BY717" s="732"/>
      <c r="BZ717" s="732"/>
      <c r="CA717" s="732"/>
    </row>
    <row r="718" spans="1:79" s="309" customFormat="1" hidden="1" outlineLevel="1" x14ac:dyDescent="0.35">
      <c r="A718" s="30"/>
      <c r="B718" s="30"/>
      <c r="C718" s="30"/>
      <c r="D718" s="30"/>
      <c r="E718" s="30"/>
      <c r="F718" s="675" t="s">
        <v>612</v>
      </c>
      <c r="G718" s="680">
        <f>SUM(G711:G717)</f>
        <v>5427.6807265344432</v>
      </c>
      <c r="H718" s="680">
        <f t="shared" ref="H718:BO718" si="288">SUM(H711:H717)</f>
        <v>5218.9756091181134</v>
      </c>
      <c r="I718" s="680">
        <f t="shared" si="288"/>
        <v>1767.4228703676508</v>
      </c>
      <c r="J718" s="680">
        <f t="shared" si="288"/>
        <v>3826.2188153946104</v>
      </c>
      <c r="K718" s="680">
        <f t="shared" si="288"/>
        <v>3998.5476039058967</v>
      </c>
      <c r="L718" s="680">
        <f t="shared" si="288"/>
        <v>4819.2724324341762</v>
      </c>
      <c r="M718" s="680">
        <f t="shared" si="288"/>
        <v>4735.2149633160625</v>
      </c>
      <c r="N718" s="680">
        <f t="shared" si="288"/>
        <v>4548.2761178546652</v>
      </c>
      <c r="O718" s="680">
        <f t="shared" si="288"/>
        <v>4683.4704629434627</v>
      </c>
      <c r="P718" s="680">
        <f t="shared" si="288"/>
        <v>5081.3954042265459</v>
      </c>
      <c r="Q718" s="680">
        <f t="shared" si="288"/>
        <v>7474.3501257457829</v>
      </c>
      <c r="R718" s="680">
        <f t="shared" si="288"/>
        <v>2644.8572067467021</v>
      </c>
      <c r="S718" s="695">
        <f t="shared" ref="S718:AA718" si="289">ROUND(SUM(S710:S717),5)</f>
        <v>657.92</v>
      </c>
      <c r="T718" s="695">
        <f t="shared" si="289"/>
        <v>298.81</v>
      </c>
      <c r="U718" s="695">
        <f t="shared" si="289"/>
        <v>1207.98</v>
      </c>
      <c r="V718" s="695">
        <f t="shared" si="289"/>
        <v>467.53</v>
      </c>
      <c r="W718" s="695">
        <f t="shared" si="289"/>
        <v>424.95</v>
      </c>
      <c r="X718" s="695">
        <f t="shared" si="289"/>
        <v>1723.87</v>
      </c>
      <c r="Y718" s="695">
        <f t="shared" si="289"/>
        <v>1560.09</v>
      </c>
      <c r="Z718" s="695">
        <f t="shared" si="289"/>
        <v>1062.94</v>
      </c>
      <c r="AA718" s="695">
        <f t="shared" si="289"/>
        <v>2767.54</v>
      </c>
      <c r="AB718" s="695">
        <f>ROUND(SUM(AB710:AB717),5)</f>
        <v>2743.56</v>
      </c>
      <c r="AC718" s="695">
        <f>ROUND(SUM(AC710:AC717),5)</f>
        <v>5228.2700000000004</v>
      </c>
      <c r="AD718" s="695">
        <f>ROUND(SUM(AD710:AD717),5)</f>
        <v>7490.21</v>
      </c>
      <c r="AE718" s="680">
        <f t="shared" si="288"/>
        <v>0</v>
      </c>
      <c r="AF718" s="680">
        <f t="shared" si="288"/>
        <v>0</v>
      </c>
      <c r="AG718" s="680">
        <f t="shared" si="288"/>
        <v>0</v>
      </c>
      <c r="AH718" s="680">
        <f t="shared" si="288"/>
        <v>0</v>
      </c>
      <c r="AI718" s="680">
        <f t="shared" si="288"/>
        <v>0</v>
      </c>
      <c r="AJ718" s="680">
        <f t="shared" si="288"/>
        <v>0</v>
      </c>
      <c r="AK718" s="680">
        <f t="shared" si="288"/>
        <v>0</v>
      </c>
      <c r="AL718" s="680">
        <f t="shared" si="288"/>
        <v>0</v>
      </c>
      <c r="AM718" s="680">
        <f t="shared" si="288"/>
        <v>0</v>
      </c>
      <c r="AN718" s="680">
        <f t="shared" si="288"/>
        <v>0</v>
      </c>
      <c r="AO718" s="680">
        <f t="shared" si="288"/>
        <v>0</v>
      </c>
      <c r="AP718" s="680">
        <f t="shared" si="288"/>
        <v>0</v>
      </c>
      <c r="AQ718" s="680">
        <f t="shared" si="288"/>
        <v>0</v>
      </c>
      <c r="AR718" s="680">
        <f t="shared" si="288"/>
        <v>0</v>
      </c>
      <c r="AS718" s="680">
        <f t="shared" si="288"/>
        <v>0</v>
      </c>
      <c r="AT718" s="680">
        <f t="shared" si="288"/>
        <v>0</v>
      </c>
      <c r="AU718" s="680">
        <f t="shared" si="288"/>
        <v>0</v>
      </c>
      <c r="AV718" s="680">
        <f t="shared" si="288"/>
        <v>0</v>
      </c>
      <c r="AW718" s="680">
        <f t="shared" si="288"/>
        <v>0</v>
      </c>
      <c r="AX718" s="680">
        <f t="shared" si="288"/>
        <v>0</v>
      </c>
      <c r="AY718" s="680">
        <f t="shared" si="288"/>
        <v>0</v>
      </c>
      <c r="AZ718" s="680">
        <f t="shared" si="288"/>
        <v>0</v>
      </c>
      <c r="BA718" s="680">
        <f t="shared" si="288"/>
        <v>0</v>
      </c>
      <c r="BB718" s="680">
        <f t="shared" si="288"/>
        <v>0</v>
      </c>
      <c r="BC718" s="680">
        <f t="shared" si="288"/>
        <v>0</v>
      </c>
      <c r="BD718" s="680">
        <f t="shared" si="288"/>
        <v>0</v>
      </c>
      <c r="BE718" s="680">
        <f t="shared" si="288"/>
        <v>0</v>
      </c>
      <c r="BF718" s="680">
        <f t="shared" si="288"/>
        <v>0</v>
      </c>
      <c r="BG718" s="680">
        <f t="shared" si="288"/>
        <v>0</v>
      </c>
      <c r="BH718" s="680">
        <f t="shared" si="288"/>
        <v>0</v>
      </c>
      <c r="BI718" s="680">
        <f t="shared" si="288"/>
        <v>0</v>
      </c>
      <c r="BJ718" s="680">
        <f t="shared" si="288"/>
        <v>0</v>
      </c>
      <c r="BK718" s="680">
        <f t="shared" si="288"/>
        <v>0</v>
      </c>
      <c r="BL718" s="680">
        <f t="shared" si="288"/>
        <v>0</v>
      </c>
      <c r="BM718" s="680">
        <f t="shared" si="288"/>
        <v>0</v>
      </c>
      <c r="BN718" s="680">
        <f t="shared" si="288"/>
        <v>0</v>
      </c>
      <c r="BO718" s="680">
        <f t="shared" si="288"/>
        <v>0</v>
      </c>
      <c r="BP718" s="680">
        <f t="shared" ref="BP718:CA718" si="290">SUM(BP711:BP717)</f>
        <v>0</v>
      </c>
      <c r="BQ718" s="680">
        <f t="shared" si="290"/>
        <v>0</v>
      </c>
      <c r="BR718" s="680">
        <f t="shared" si="290"/>
        <v>0</v>
      </c>
      <c r="BS718" s="680">
        <f t="shared" si="290"/>
        <v>0</v>
      </c>
      <c r="BT718" s="680">
        <f t="shared" si="290"/>
        <v>0</v>
      </c>
      <c r="BU718" s="680">
        <f t="shared" si="290"/>
        <v>0</v>
      </c>
      <c r="BV718" s="680">
        <f t="shared" si="290"/>
        <v>0</v>
      </c>
      <c r="BW718" s="680">
        <f t="shared" si="290"/>
        <v>0</v>
      </c>
      <c r="BX718" s="680">
        <f t="shared" si="290"/>
        <v>0</v>
      </c>
      <c r="BY718" s="680">
        <f t="shared" si="290"/>
        <v>0</v>
      </c>
      <c r="BZ718" s="680">
        <f t="shared" si="290"/>
        <v>0</v>
      </c>
      <c r="CA718" s="680">
        <f t="shared" si="290"/>
        <v>0</v>
      </c>
    </row>
    <row r="719" spans="1:79" s="309" customFormat="1" hidden="1" outlineLevel="1" x14ac:dyDescent="0.35">
      <c r="A719" s="575"/>
      <c r="B719" s="575"/>
      <c r="C719" s="575"/>
      <c r="D719" s="575"/>
      <c r="E719" s="575"/>
      <c r="F719" s="671" t="s">
        <v>882</v>
      </c>
      <c r="G719" s="735"/>
      <c r="H719" s="735"/>
      <c r="I719" s="735"/>
      <c r="J719" s="735"/>
      <c r="K719" s="735"/>
      <c r="L719" s="735"/>
      <c r="M719" s="735"/>
      <c r="N719" s="735"/>
      <c r="O719" s="735"/>
      <c r="P719" s="732"/>
      <c r="Q719" s="732"/>
      <c r="R719" s="732"/>
      <c r="S719" s="700">
        <v>0</v>
      </c>
      <c r="T719" s="700">
        <v>0</v>
      </c>
      <c r="U719" s="700">
        <v>0</v>
      </c>
      <c r="V719" s="700">
        <v>0</v>
      </c>
      <c r="W719" s="700">
        <v>0</v>
      </c>
      <c r="X719" s="700">
        <v>0</v>
      </c>
      <c r="Y719" s="700">
        <v>0</v>
      </c>
      <c r="Z719" s="700">
        <v>0</v>
      </c>
      <c r="AA719" s="700">
        <v>0</v>
      </c>
      <c r="AB719" s="700">
        <v>0</v>
      </c>
      <c r="AC719" s="697">
        <v>0</v>
      </c>
      <c r="AD719" s="697">
        <v>0</v>
      </c>
      <c r="AE719" s="732"/>
      <c r="AF719" s="732"/>
      <c r="AG719" s="732"/>
      <c r="AH719" s="732"/>
      <c r="AI719" s="732"/>
      <c r="AJ719" s="732"/>
      <c r="AK719" s="732"/>
      <c r="AL719" s="732"/>
      <c r="AM719" s="732"/>
      <c r="AN719" s="732"/>
      <c r="AO719" s="732"/>
      <c r="AP719" s="732"/>
      <c r="AQ719" s="732"/>
      <c r="AR719" s="732"/>
      <c r="AS719" s="732"/>
      <c r="AT719" s="732"/>
      <c r="AU719" s="732"/>
      <c r="AV719" s="732"/>
      <c r="AW719" s="732"/>
      <c r="AX719" s="732"/>
      <c r="AY719" s="732"/>
      <c r="AZ719" s="732"/>
      <c r="BA719" s="732"/>
      <c r="BB719" s="732"/>
      <c r="BC719" s="732"/>
      <c r="BD719" s="732"/>
      <c r="BE719" s="732"/>
      <c r="BF719" s="732"/>
      <c r="BG719" s="732"/>
      <c r="BH719" s="732"/>
      <c r="BI719" s="732"/>
      <c r="BJ719" s="732"/>
      <c r="BK719" s="732"/>
      <c r="BL719" s="732"/>
      <c r="BM719" s="732"/>
      <c r="BN719" s="732"/>
      <c r="BO719" s="732"/>
      <c r="BP719" s="732"/>
      <c r="BQ719" s="732"/>
      <c r="BR719" s="732"/>
      <c r="BS719" s="732"/>
      <c r="BT719" s="732"/>
      <c r="BU719" s="732"/>
      <c r="BV719" s="732"/>
      <c r="BW719" s="732"/>
      <c r="BX719" s="732"/>
      <c r="BY719" s="732"/>
      <c r="BZ719" s="732"/>
      <c r="CA719" s="732"/>
    </row>
    <row r="720" spans="1:79" s="309" customFormat="1" hidden="1" outlineLevel="1" x14ac:dyDescent="0.35">
      <c r="A720" s="30"/>
      <c r="B720" s="30"/>
      <c r="C720" s="30"/>
      <c r="D720" s="30"/>
      <c r="E720" s="30"/>
      <c r="F720" s="674" t="s">
        <v>595</v>
      </c>
      <c r="G720" s="735"/>
      <c r="H720" s="735"/>
      <c r="I720" s="735"/>
      <c r="J720" s="735"/>
      <c r="K720" s="735"/>
      <c r="L720" s="735"/>
      <c r="M720" s="735">
        <v>71.939264650107916</v>
      </c>
      <c r="N720" s="735"/>
      <c r="O720" s="735">
        <v>49.490709491137906</v>
      </c>
      <c r="P720" s="732">
        <v>52.28431288621605</v>
      </c>
      <c r="Q720" s="732"/>
      <c r="R720" s="732"/>
      <c r="S720" s="683">
        <v>0</v>
      </c>
      <c r="T720" s="683">
        <v>0</v>
      </c>
      <c r="U720" s="683">
        <v>0</v>
      </c>
      <c r="V720" s="683">
        <v>0</v>
      </c>
      <c r="W720" s="683">
        <v>80.12</v>
      </c>
      <c r="X720" s="683">
        <v>0</v>
      </c>
      <c r="Y720" s="683">
        <v>0</v>
      </c>
      <c r="Z720" s="683">
        <v>0</v>
      </c>
      <c r="AA720" s="683">
        <v>0</v>
      </c>
      <c r="AB720" s="683">
        <v>0</v>
      </c>
      <c r="AC720" s="681">
        <v>0</v>
      </c>
      <c r="AD720" s="681">
        <v>0</v>
      </c>
      <c r="AE720" s="732"/>
      <c r="AF720" s="732"/>
      <c r="AG720" s="732"/>
      <c r="AH720" s="732"/>
      <c r="AI720" s="732"/>
      <c r="AJ720" s="732"/>
      <c r="AK720" s="732"/>
      <c r="AL720" s="732"/>
      <c r="AM720" s="732"/>
      <c r="AN720" s="732"/>
      <c r="AO720" s="732"/>
      <c r="AP720" s="732"/>
      <c r="AQ720" s="732"/>
      <c r="AR720" s="732"/>
      <c r="AS720" s="732"/>
      <c r="AT720" s="732"/>
      <c r="AU720" s="732"/>
      <c r="AV720" s="732"/>
      <c r="AW720" s="732"/>
      <c r="AX720" s="732"/>
      <c r="AY720" s="732"/>
      <c r="AZ720" s="732"/>
      <c r="BA720" s="732"/>
      <c r="BB720" s="732"/>
      <c r="BC720" s="732"/>
      <c r="BD720" s="732"/>
      <c r="BE720" s="732"/>
      <c r="BF720" s="732"/>
      <c r="BG720" s="732"/>
      <c r="BH720" s="732"/>
      <c r="BI720" s="732"/>
      <c r="BJ720" s="732"/>
      <c r="BK720" s="732"/>
      <c r="BL720" s="732"/>
      <c r="BM720" s="732"/>
      <c r="BN720" s="732"/>
      <c r="BO720" s="732"/>
      <c r="BP720" s="732"/>
      <c r="BQ720" s="732"/>
      <c r="BR720" s="732"/>
      <c r="BS720" s="732"/>
      <c r="BT720" s="732"/>
      <c r="BU720" s="732"/>
      <c r="BV720" s="732"/>
      <c r="BW720" s="732"/>
      <c r="BX720" s="732"/>
      <c r="BY720" s="732"/>
      <c r="BZ720" s="732"/>
      <c r="CA720" s="732"/>
    </row>
    <row r="721" spans="1:79" hidden="1" outlineLevel="1" x14ac:dyDescent="0.35">
      <c r="F721" s="674" t="s">
        <v>596</v>
      </c>
      <c r="G721" s="735">
        <v>14.727084431585991</v>
      </c>
      <c r="H721" s="735">
        <v>22.405427161854536</v>
      </c>
      <c r="I721" s="735">
        <v>3.0198703402613649</v>
      </c>
      <c r="J721" s="735">
        <v>3.2282003397588586</v>
      </c>
      <c r="K721" s="735">
        <v>136.2414862191695</v>
      </c>
      <c r="L721" s="735"/>
      <c r="M721" s="735"/>
      <c r="N721" s="735">
        <v>5.5530854594932793</v>
      </c>
      <c r="O721" s="735"/>
      <c r="P721" s="732">
        <v>109.54298378539447</v>
      </c>
      <c r="Q721" s="732"/>
      <c r="R721" s="732"/>
      <c r="S721" s="683">
        <v>0</v>
      </c>
      <c r="T721" s="683">
        <v>45</v>
      </c>
      <c r="U721" s="683">
        <v>349</v>
      </c>
      <c r="V721" s="683">
        <v>210</v>
      </c>
      <c r="W721" s="683">
        <v>-210</v>
      </c>
      <c r="X721" s="683">
        <v>0</v>
      </c>
      <c r="Y721" s="683">
        <v>136.5</v>
      </c>
      <c r="Z721" s="683">
        <v>0</v>
      </c>
      <c r="AA721" s="683">
        <v>0</v>
      </c>
      <c r="AB721" s="683">
        <v>0</v>
      </c>
      <c r="AC721" s="681">
        <v>0</v>
      </c>
      <c r="AD721" s="681">
        <v>0</v>
      </c>
      <c r="AE721" s="732"/>
      <c r="AF721" s="732"/>
      <c r="AG721" s="732"/>
      <c r="AH721" s="732"/>
      <c r="AI721" s="732"/>
      <c r="AJ721" s="732"/>
      <c r="AK721" s="732"/>
      <c r="AL721" s="732"/>
      <c r="AM721" s="732"/>
      <c r="AN721" s="732"/>
      <c r="AO721" s="732"/>
      <c r="AP721" s="732"/>
      <c r="AQ721" s="732"/>
      <c r="AR721" s="732"/>
      <c r="AS721" s="732"/>
      <c r="AT721" s="732"/>
      <c r="AU721" s="732"/>
      <c r="AV721" s="732"/>
      <c r="AW721" s="732"/>
      <c r="AX721" s="732"/>
      <c r="AY721" s="732"/>
      <c r="AZ721" s="732"/>
      <c r="BA721" s="732"/>
      <c r="BB721" s="732"/>
      <c r="BC721" s="732"/>
      <c r="BD721" s="732"/>
      <c r="BE721" s="732"/>
      <c r="BF721" s="732"/>
      <c r="BG721" s="732"/>
      <c r="BH721" s="732"/>
      <c r="BI721" s="732"/>
      <c r="BJ721" s="732"/>
      <c r="BK721" s="732"/>
      <c r="BL721" s="732"/>
      <c r="BM721" s="732"/>
      <c r="BN721" s="732"/>
      <c r="BO721" s="732"/>
      <c r="BP721" s="732"/>
      <c r="BQ721" s="732"/>
      <c r="BR721" s="732"/>
      <c r="BS721" s="732"/>
      <c r="BT721" s="732"/>
      <c r="BU721" s="732"/>
      <c r="BV721" s="732"/>
      <c r="BW721" s="732"/>
      <c r="BX721" s="732"/>
      <c r="BY721" s="732"/>
      <c r="BZ721" s="732"/>
      <c r="CA721" s="732"/>
    </row>
    <row r="722" spans="1:79" hidden="1" outlineLevel="1" x14ac:dyDescent="0.35">
      <c r="A722" s="574"/>
      <c r="B722" s="574"/>
      <c r="C722" s="574"/>
      <c r="D722" s="574"/>
      <c r="E722" s="574"/>
      <c r="F722" s="671" t="s">
        <v>883</v>
      </c>
      <c r="G722" s="735"/>
      <c r="H722" s="735"/>
      <c r="I722" s="735"/>
      <c r="J722" s="735"/>
      <c r="K722" s="735"/>
      <c r="L722" s="735"/>
      <c r="M722" s="735"/>
      <c r="N722" s="735"/>
      <c r="O722" s="735"/>
      <c r="P722" s="732"/>
      <c r="Q722" s="732"/>
      <c r="R722" s="732"/>
      <c r="S722" s="683">
        <v>0</v>
      </c>
      <c r="T722" s="683">
        <v>0</v>
      </c>
      <c r="U722" s="683">
        <v>0</v>
      </c>
      <c r="V722" s="683">
        <v>0</v>
      </c>
      <c r="W722" s="683">
        <v>0</v>
      </c>
      <c r="X722" s="683">
        <v>0</v>
      </c>
      <c r="Y722" s="683">
        <v>0</v>
      </c>
      <c r="Z722" s="683">
        <v>0</v>
      </c>
      <c r="AA722" s="683">
        <v>0</v>
      </c>
      <c r="AB722" s="683">
        <v>0</v>
      </c>
      <c r="AC722" s="681">
        <v>0</v>
      </c>
      <c r="AD722" s="681">
        <v>0</v>
      </c>
      <c r="AE722" s="732"/>
      <c r="AF722" s="732"/>
      <c r="AG722" s="732"/>
      <c r="AH722" s="732"/>
      <c r="AI722" s="732"/>
      <c r="AJ722" s="732"/>
      <c r="AK722" s="732"/>
      <c r="AL722" s="732"/>
      <c r="AM722" s="732"/>
      <c r="AN722" s="732"/>
      <c r="AO722" s="732"/>
      <c r="AP722" s="732"/>
      <c r="AQ722" s="732"/>
      <c r="AR722" s="732"/>
      <c r="AS722" s="732"/>
      <c r="AT722" s="732"/>
      <c r="AU722" s="732"/>
      <c r="AV722" s="732"/>
      <c r="AW722" s="732"/>
      <c r="AX722" s="732"/>
      <c r="AY722" s="732"/>
      <c r="AZ722" s="732"/>
      <c r="BA722" s="732"/>
      <c r="BB722" s="732"/>
      <c r="BC722" s="732"/>
      <c r="BD722" s="732"/>
      <c r="BE722" s="732"/>
      <c r="BF722" s="732"/>
      <c r="BG722" s="732"/>
      <c r="BH722" s="732"/>
      <c r="BI722" s="732"/>
      <c r="BJ722" s="732"/>
      <c r="BK722" s="732"/>
      <c r="BL722" s="732"/>
      <c r="BM722" s="732"/>
      <c r="BN722" s="732"/>
      <c r="BO722" s="732"/>
      <c r="BP722" s="732"/>
      <c r="BQ722" s="732"/>
      <c r="BR722" s="732"/>
      <c r="BS722" s="732"/>
      <c r="BT722" s="732"/>
      <c r="BU722" s="732"/>
      <c r="BV722" s="732"/>
      <c r="BW722" s="732"/>
      <c r="BX722" s="732"/>
      <c r="BY722" s="732"/>
      <c r="BZ722" s="732"/>
      <c r="CA722" s="732"/>
    </row>
    <row r="723" spans="1:79" s="709" customFormat="1" hidden="1" outlineLevel="1" x14ac:dyDescent="0.35">
      <c r="F723" s="717" t="s">
        <v>766</v>
      </c>
      <c r="G723" s="750"/>
      <c r="H723" s="750"/>
      <c r="I723" s="750"/>
      <c r="J723" s="750"/>
      <c r="K723" s="750"/>
      <c r="L723" s="750"/>
      <c r="M723" s="750"/>
      <c r="N723" s="750"/>
      <c r="O723" s="750"/>
      <c r="P723" s="751"/>
      <c r="Q723" s="751"/>
      <c r="R723" s="751"/>
      <c r="S723" s="720"/>
      <c r="T723" s="720"/>
      <c r="U723" s="720"/>
      <c r="V723" s="720"/>
      <c r="W723" s="720"/>
      <c r="X723" s="720"/>
      <c r="Y723" s="720"/>
      <c r="Z723" s="720"/>
      <c r="AA723" s="720"/>
      <c r="AB723" s="720"/>
      <c r="AC723" s="718"/>
      <c r="AD723" s="718"/>
      <c r="AE723" s="751"/>
      <c r="AF723" s="751"/>
      <c r="AG723" s="751"/>
      <c r="AH723" s="751"/>
      <c r="AI723" s="751"/>
      <c r="AJ723" s="751"/>
      <c r="AK723" s="751"/>
      <c r="AL723" s="751"/>
      <c r="AM723" s="751"/>
      <c r="AN723" s="751"/>
      <c r="AO723" s="751"/>
      <c r="AP723" s="751"/>
      <c r="AQ723" s="751"/>
      <c r="AR723" s="751"/>
      <c r="AS723" s="751"/>
      <c r="AT723" s="751"/>
      <c r="AU723" s="751"/>
      <c r="AV723" s="751"/>
      <c r="AW723" s="751"/>
      <c r="AX723" s="751"/>
      <c r="AY723" s="751"/>
      <c r="AZ723" s="751"/>
      <c r="BA723" s="751"/>
      <c r="BB723" s="751"/>
      <c r="BC723" s="751"/>
      <c r="BD723" s="751"/>
      <c r="BE723" s="751"/>
      <c r="BF723" s="751"/>
      <c r="BG723" s="751"/>
      <c r="BH723" s="751"/>
      <c r="BI723" s="751"/>
      <c r="BJ723" s="751"/>
      <c r="BK723" s="751"/>
      <c r="BL723" s="751"/>
      <c r="BM723" s="751"/>
      <c r="BN723" s="751"/>
      <c r="BO723" s="751"/>
      <c r="BP723" s="751"/>
      <c r="BQ723" s="751"/>
      <c r="BR723" s="751"/>
      <c r="BS723" s="751"/>
      <c r="BT723" s="751"/>
      <c r="BU723" s="751"/>
      <c r="BV723" s="751"/>
      <c r="BW723" s="751"/>
      <c r="BX723" s="751"/>
      <c r="BY723" s="751"/>
      <c r="BZ723" s="751"/>
      <c r="CA723" s="751"/>
    </row>
    <row r="724" spans="1:79" hidden="1" outlineLevel="1" x14ac:dyDescent="0.35">
      <c r="A724" s="574"/>
      <c r="B724" s="574"/>
      <c r="C724" s="574"/>
      <c r="D724" s="574"/>
      <c r="E724" s="574"/>
      <c r="F724" s="672" t="s">
        <v>884</v>
      </c>
      <c r="G724" s="735"/>
      <c r="H724" s="735"/>
      <c r="I724" s="735"/>
      <c r="J724" s="735"/>
      <c r="K724" s="735"/>
      <c r="L724" s="735"/>
      <c r="M724" s="735"/>
      <c r="N724" s="735"/>
      <c r="O724" s="735"/>
      <c r="P724" s="732"/>
      <c r="Q724" s="732"/>
      <c r="R724" s="732"/>
      <c r="S724" s="683">
        <v>0</v>
      </c>
      <c r="T724" s="683">
        <v>0</v>
      </c>
      <c r="U724" s="683">
        <v>0</v>
      </c>
      <c r="V724" s="683">
        <v>0</v>
      </c>
      <c r="W724" s="683">
        <v>0</v>
      </c>
      <c r="X724" s="683">
        <v>0</v>
      </c>
      <c r="Y724" s="683">
        <v>0</v>
      </c>
      <c r="Z724" s="683">
        <v>0</v>
      </c>
      <c r="AA724" s="683">
        <v>0</v>
      </c>
      <c r="AB724" s="683">
        <v>0</v>
      </c>
      <c r="AC724" s="681">
        <v>0</v>
      </c>
      <c r="AD724" s="681">
        <v>0</v>
      </c>
      <c r="AE724" s="732"/>
      <c r="AF724" s="732"/>
      <c r="AG724" s="732"/>
      <c r="AH724" s="732"/>
      <c r="AI724" s="732"/>
      <c r="AJ724" s="732"/>
      <c r="AK724" s="732"/>
      <c r="AL724" s="732"/>
      <c r="AM724" s="732"/>
      <c r="AN724" s="732"/>
      <c r="AO724" s="732"/>
      <c r="AP724" s="732"/>
      <c r="AQ724" s="732"/>
      <c r="AR724" s="732"/>
      <c r="AS724" s="732"/>
      <c r="AT724" s="732"/>
      <c r="AU724" s="732"/>
      <c r="AV724" s="732"/>
      <c r="AW724" s="732"/>
      <c r="AX724" s="732"/>
      <c r="AY724" s="732"/>
      <c r="AZ724" s="732"/>
      <c r="BA724" s="732"/>
      <c r="BB724" s="732"/>
      <c r="BC724" s="732"/>
      <c r="BD724" s="732"/>
      <c r="BE724" s="732"/>
      <c r="BF724" s="732"/>
      <c r="BG724" s="732"/>
      <c r="BH724" s="732"/>
      <c r="BI724" s="732"/>
      <c r="BJ724" s="732"/>
      <c r="BK724" s="732"/>
      <c r="BL724" s="732"/>
      <c r="BM724" s="732"/>
      <c r="BN724" s="732"/>
      <c r="BO724" s="732"/>
      <c r="BP724" s="732"/>
      <c r="BQ724" s="732"/>
      <c r="BR724" s="732"/>
      <c r="BS724" s="732"/>
      <c r="BT724" s="732"/>
      <c r="BU724" s="732"/>
      <c r="BV724" s="732"/>
      <c r="BW724" s="732"/>
      <c r="BX724" s="732"/>
      <c r="BY724" s="732"/>
      <c r="BZ724" s="732"/>
      <c r="CA724" s="732"/>
    </row>
    <row r="725" spans="1:79" hidden="1" outlineLevel="1" x14ac:dyDescent="0.35">
      <c r="A725" s="574"/>
      <c r="B725" s="574"/>
      <c r="C725" s="574"/>
      <c r="D725" s="574"/>
      <c r="E725" s="574"/>
      <c r="F725" s="672" t="s">
        <v>885</v>
      </c>
      <c r="G725" s="735"/>
      <c r="H725" s="735"/>
      <c r="I725" s="735"/>
      <c r="J725" s="735"/>
      <c r="K725" s="735"/>
      <c r="L725" s="735"/>
      <c r="M725" s="735"/>
      <c r="N725" s="735"/>
      <c r="O725" s="735"/>
      <c r="P725" s="732"/>
      <c r="Q725" s="732"/>
      <c r="R725" s="732"/>
      <c r="S725" s="683">
        <v>0</v>
      </c>
      <c r="T725" s="683">
        <v>0</v>
      </c>
      <c r="U725" s="683">
        <v>0</v>
      </c>
      <c r="V725" s="683">
        <v>0</v>
      </c>
      <c r="W725" s="683">
        <v>0</v>
      </c>
      <c r="X725" s="683">
        <v>0</v>
      </c>
      <c r="Y725" s="683">
        <v>0</v>
      </c>
      <c r="Z725" s="683">
        <v>0</v>
      </c>
      <c r="AA725" s="683">
        <v>0</v>
      </c>
      <c r="AB725" s="683">
        <v>0</v>
      </c>
      <c r="AC725" s="681">
        <v>0</v>
      </c>
      <c r="AD725" s="681">
        <v>0</v>
      </c>
      <c r="AE725" s="732"/>
      <c r="AF725" s="732"/>
      <c r="AG725" s="732"/>
      <c r="AH725" s="732"/>
      <c r="AI725" s="732"/>
      <c r="AJ725" s="732"/>
      <c r="AK725" s="732"/>
      <c r="AL725" s="732"/>
      <c r="AM725" s="732"/>
      <c r="AN725" s="732"/>
      <c r="AO725" s="732"/>
      <c r="AP725" s="732"/>
      <c r="AQ725" s="732"/>
      <c r="AR725" s="732"/>
      <c r="AS725" s="732"/>
      <c r="AT725" s="732"/>
      <c r="AU725" s="732"/>
      <c r="AV725" s="732"/>
      <c r="AW725" s="732"/>
      <c r="AX725" s="732"/>
      <c r="AY725" s="732"/>
      <c r="AZ725" s="732"/>
      <c r="BA725" s="732"/>
      <c r="BB725" s="732"/>
      <c r="BC725" s="732"/>
      <c r="BD725" s="732"/>
      <c r="BE725" s="732"/>
      <c r="BF725" s="732"/>
      <c r="BG725" s="732"/>
      <c r="BH725" s="732"/>
      <c r="BI725" s="732"/>
      <c r="BJ725" s="732"/>
      <c r="BK725" s="732"/>
      <c r="BL725" s="732"/>
      <c r="BM725" s="732"/>
      <c r="BN725" s="732"/>
      <c r="BO725" s="732"/>
      <c r="BP725" s="732"/>
      <c r="BQ725" s="732"/>
      <c r="BR725" s="732"/>
      <c r="BS725" s="732"/>
      <c r="BT725" s="732"/>
      <c r="BU725" s="732"/>
      <c r="BV725" s="732"/>
      <c r="BW725" s="732"/>
      <c r="BX725" s="732"/>
      <c r="BY725" s="732"/>
      <c r="BZ725" s="732"/>
      <c r="CA725" s="732"/>
    </row>
    <row r="726" spans="1:79" hidden="1" outlineLevel="1" x14ac:dyDescent="0.35">
      <c r="A726" s="574"/>
      <c r="B726" s="574"/>
      <c r="C726" s="574"/>
      <c r="D726" s="574"/>
      <c r="E726" s="574"/>
      <c r="F726" s="672" t="s">
        <v>886</v>
      </c>
      <c r="G726" s="735"/>
      <c r="H726" s="735"/>
      <c r="I726" s="735"/>
      <c r="J726" s="735"/>
      <c r="K726" s="735"/>
      <c r="L726" s="735"/>
      <c r="M726" s="735"/>
      <c r="N726" s="735"/>
      <c r="O726" s="735"/>
      <c r="P726" s="732"/>
      <c r="Q726" s="732"/>
      <c r="R726" s="732"/>
      <c r="S726" s="683">
        <v>0</v>
      </c>
      <c r="T726" s="683">
        <v>0</v>
      </c>
      <c r="U726" s="683">
        <v>0</v>
      </c>
      <c r="V726" s="683">
        <v>0</v>
      </c>
      <c r="W726" s="683">
        <v>0</v>
      </c>
      <c r="X726" s="683">
        <v>0</v>
      </c>
      <c r="Y726" s="683">
        <v>0</v>
      </c>
      <c r="Z726" s="683">
        <v>0</v>
      </c>
      <c r="AA726" s="683">
        <v>0</v>
      </c>
      <c r="AB726" s="683">
        <v>0</v>
      </c>
      <c r="AC726" s="681">
        <v>0</v>
      </c>
      <c r="AD726" s="681">
        <v>0</v>
      </c>
      <c r="AE726" s="732"/>
      <c r="AF726" s="732"/>
      <c r="AG726" s="732"/>
      <c r="AH726" s="732"/>
      <c r="AI726" s="732"/>
      <c r="AJ726" s="732"/>
      <c r="AK726" s="732"/>
      <c r="AL726" s="732"/>
      <c r="AM726" s="732"/>
      <c r="AN726" s="732"/>
      <c r="AO726" s="732"/>
      <c r="AP726" s="732"/>
      <c r="AQ726" s="732"/>
      <c r="AR726" s="732"/>
      <c r="AS726" s="732"/>
      <c r="AT726" s="732"/>
      <c r="AU726" s="732"/>
      <c r="AV726" s="732"/>
      <c r="AW726" s="732"/>
      <c r="AX726" s="732"/>
      <c r="AY726" s="732"/>
      <c r="AZ726" s="732"/>
      <c r="BA726" s="732"/>
      <c r="BB726" s="732"/>
      <c r="BC726" s="732"/>
      <c r="BD726" s="732"/>
      <c r="BE726" s="732"/>
      <c r="BF726" s="732"/>
      <c r="BG726" s="732"/>
      <c r="BH726" s="732"/>
      <c r="BI726" s="732"/>
      <c r="BJ726" s="732"/>
      <c r="BK726" s="732"/>
      <c r="BL726" s="732"/>
      <c r="BM726" s="732"/>
      <c r="BN726" s="732"/>
      <c r="BO726" s="732"/>
      <c r="BP726" s="732"/>
      <c r="BQ726" s="732"/>
      <c r="BR726" s="732"/>
      <c r="BS726" s="732"/>
      <c r="BT726" s="732"/>
      <c r="BU726" s="732"/>
      <c r="BV726" s="732"/>
      <c r="BW726" s="732"/>
      <c r="BX726" s="732"/>
      <c r="BY726" s="732"/>
      <c r="BZ726" s="732"/>
      <c r="CA726" s="732"/>
    </row>
    <row r="727" spans="1:79" hidden="1" outlineLevel="1" x14ac:dyDescent="0.35">
      <c r="A727" s="574"/>
      <c r="B727" s="574"/>
      <c r="C727" s="574"/>
      <c r="D727" s="574"/>
      <c r="E727" s="574"/>
      <c r="F727" s="672" t="s">
        <v>664</v>
      </c>
      <c r="G727" s="735"/>
      <c r="H727" s="735"/>
      <c r="I727" s="735"/>
      <c r="J727" s="735"/>
      <c r="K727" s="735"/>
      <c r="L727" s="735"/>
      <c r="M727" s="735"/>
      <c r="N727" s="735"/>
      <c r="O727" s="735"/>
      <c r="P727" s="732"/>
      <c r="Q727" s="732"/>
      <c r="R727" s="732"/>
      <c r="S727" s="683">
        <v>0</v>
      </c>
      <c r="T727" s="683">
        <v>0</v>
      </c>
      <c r="U727" s="683">
        <v>0</v>
      </c>
      <c r="V727" s="683">
        <v>0</v>
      </c>
      <c r="W727" s="683">
        <v>0</v>
      </c>
      <c r="X727" s="683">
        <v>0</v>
      </c>
      <c r="Y727" s="683">
        <v>0</v>
      </c>
      <c r="Z727" s="683">
        <v>0</v>
      </c>
      <c r="AA727" s="683">
        <v>0</v>
      </c>
      <c r="AB727" s="683">
        <v>0</v>
      </c>
      <c r="AC727" s="681">
        <v>0</v>
      </c>
      <c r="AD727" s="681">
        <v>0</v>
      </c>
      <c r="AE727" s="732"/>
      <c r="AF727" s="732"/>
      <c r="AG727" s="732"/>
      <c r="AH727" s="732"/>
      <c r="AI727" s="732"/>
      <c r="AJ727" s="732"/>
      <c r="AK727" s="732"/>
      <c r="AL727" s="732"/>
      <c r="AM727" s="732"/>
      <c r="AN727" s="732"/>
      <c r="AO727" s="732"/>
      <c r="AP727" s="732"/>
      <c r="AQ727" s="732"/>
      <c r="AR727" s="732"/>
      <c r="AS727" s="732"/>
      <c r="AT727" s="732"/>
      <c r="AU727" s="732"/>
      <c r="AV727" s="732"/>
      <c r="AW727" s="732"/>
      <c r="AX727" s="732"/>
      <c r="AY727" s="732"/>
      <c r="AZ727" s="732"/>
      <c r="BA727" s="732"/>
      <c r="BB727" s="732"/>
      <c r="BC727" s="732"/>
      <c r="BD727" s="732"/>
      <c r="BE727" s="732"/>
      <c r="BF727" s="732"/>
      <c r="BG727" s="732"/>
      <c r="BH727" s="732"/>
      <c r="BI727" s="732"/>
      <c r="BJ727" s="732"/>
      <c r="BK727" s="732"/>
      <c r="BL727" s="732"/>
      <c r="BM727" s="732"/>
      <c r="BN727" s="732"/>
      <c r="BO727" s="732"/>
      <c r="BP727" s="732"/>
      <c r="BQ727" s="732"/>
      <c r="BR727" s="732"/>
      <c r="BS727" s="732"/>
      <c r="BT727" s="732"/>
      <c r="BU727" s="732"/>
      <c r="BV727" s="732"/>
      <c r="BW727" s="732"/>
      <c r="BX727" s="732"/>
      <c r="BY727" s="732"/>
      <c r="BZ727" s="732"/>
      <c r="CA727" s="732"/>
    </row>
    <row r="728" spans="1:79" hidden="1" outlineLevel="1" x14ac:dyDescent="0.35">
      <c r="A728" s="574"/>
      <c r="B728" s="574"/>
      <c r="C728" s="574"/>
      <c r="D728" s="574"/>
      <c r="E728" s="574"/>
      <c r="F728" s="672" t="s">
        <v>665</v>
      </c>
      <c r="G728" s="735"/>
      <c r="H728" s="735"/>
      <c r="I728" s="735"/>
      <c r="J728" s="735"/>
      <c r="K728" s="735"/>
      <c r="L728" s="735"/>
      <c r="M728" s="735"/>
      <c r="N728" s="735"/>
      <c r="O728" s="735"/>
      <c r="P728" s="732"/>
      <c r="Q728" s="732"/>
      <c r="R728" s="732"/>
      <c r="S728" s="683">
        <v>0</v>
      </c>
      <c r="T728" s="683">
        <v>0</v>
      </c>
      <c r="U728" s="683">
        <v>0</v>
      </c>
      <c r="V728" s="683">
        <v>0</v>
      </c>
      <c r="W728" s="683">
        <v>0</v>
      </c>
      <c r="X728" s="683">
        <v>0</v>
      </c>
      <c r="Y728" s="683">
        <v>0</v>
      </c>
      <c r="Z728" s="683">
        <v>0</v>
      </c>
      <c r="AA728" s="683">
        <v>0</v>
      </c>
      <c r="AB728" s="683">
        <v>0</v>
      </c>
      <c r="AC728" s="681">
        <v>0</v>
      </c>
      <c r="AD728" s="681">
        <v>0</v>
      </c>
      <c r="AE728" s="732"/>
      <c r="AF728" s="732"/>
      <c r="AG728" s="732"/>
      <c r="AH728" s="732"/>
      <c r="AI728" s="732"/>
      <c r="AJ728" s="732"/>
      <c r="AK728" s="732"/>
      <c r="AL728" s="732"/>
      <c r="AM728" s="732"/>
      <c r="AN728" s="732"/>
      <c r="AO728" s="732"/>
      <c r="AP728" s="732"/>
      <c r="AQ728" s="732"/>
      <c r="AR728" s="732"/>
      <c r="AS728" s="732"/>
      <c r="AT728" s="732"/>
      <c r="AU728" s="732"/>
      <c r="AV728" s="732"/>
      <c r="AW728" s="732"/>
      <c r="AX728" s="732"/>
      <c r="AY728" s="732"/>
      <c r="AZ728" s="732"/>
      <c r="BA728" s="732"/>
      <c r="BB728" s="732"/>
      <c r="BC728" s="732"/>
      <c r="BD728" s="732"/>
      <c r="BE728" s="732"/>
      <c r="BF728" s="732"/>
      <c r="BG728" s="732"/>
      <c r="BH728" s="732"/>
      <c r="BI728" s="732"/>
      <c r="BJ728" s="732"/>
      <c r="BK728" s="732"/>
      <c r="BL728" s="732"/>
      <c r="BM728" s="732"/>
      <c r="BN728" s="732"/>
      <c r="BO728" s="732"/>
      <c r="BP728" s="732"/>
      <c r="BQ728" s="732"/>
      <c r="BR728" s="732"/>
      <c r="BS728" s="732"/>
      <c r="BT728" s="732"/>
      <c r="BU728" s="732"/>
      <c r="BV728" s="732"/>
      <c r="BW728" s="732"/>
      <c r="BX728" s="732"/>
      <c r="BY728" s="732"/>
      <c r="BZ728" s="732"/>
      <c r="CA728" s="732"/>
    </row>
    <row r="729" spans="1:79" hidden="1" outlineLevel="1" x14ac:dyDescent="0.35">
      <c r="A729" s="574"/>
      <c r="B729" s="574"/>
      <c r="C729" s="574"/>
      <c r="D729" s="574"/>
      <c r="E729" s="574"/>
      <c r="F729" s="672" t="s">
        <v>887</v>
      </c>
      <c r="G729" s="735"/>
      <c r="H729" s="735"/>
      <c r="I729" s="735"/>
      <c r="J729" s="735"/>
      <c r="K729" s="735"/>
      <c r="L729" s="735"/>
      <c r="M729" s="735"/>
      <c r="N729" s="735"/>
      <c r="O729" s="735"/>
      <c r="P729" s="732"/>
      <c r="Q729" s="732"/>
      <c r="R729" s="732"/>
      <c r="S729" s="683">
        <v>0</v>
      </c>
      <c r="T729" s="683">
        <v>0</v>
      </c>
      <c r="U729" s="683">
        <v>0</v>
      </c>
      <c r="V729" s="683">
        <v>0</v>
      </c>
      <c r="W729" s="683">
        <v>0</v>
      </c>
      <c r="X729" s="683">
        <v>0</v>
      </c>
      <c r="Y729" s="683">
        <v>0</v>
      </c>
      <c r="Z729" s="683">
        <v>0</v>
      </c>
      <c r="AA729" s="683">
        <v>0</v>
      </c>
      <c r="AB729" s="683">
        <v>0</v>
      </c>
      <c r="AC729" s="681">
        <v>0</v>
      </c>
      <c r="AD729" s="681">
        <v>0</v>
      </c>
      <c r="AE729" s="732"/>
      <c r="AF729" s="732"/>
      <c r="AG729" s="732"/>
      <c r="AH729" s="732"/>
      <c r="AI729" s="732"/>
      <c r="AJ729" s="732"/>
      <c r="AK729" s="732"/>
      <c r="AL729" s="732"/>
      <c r="AM729" s="732"/>
      <c r="AN729" s="732"/>
      <c r="AO729" s="732"/>
      <c r="AP729" s="732"/>
      <c r="AQ729" s="732"/>
      <c r="AR729" s="732"/>
      <c r="AS729" s="732"/>
      <c r="AT729" s="732"/>
      <c r="AU729" s="732"/>
      <c r="AV729" s="732"/>
      <c r="AW729" s="732"/>
      <c r="AX729" s="732"/>
      <c r="AY729" s="732"/>
      <c r="AZ729" s="732"/>
      <c r="BA729" s="732"/>
      <c r="BB729" s="732"/>
      <c r="BC729" s="732"/>
      <c r="BD729" s="732"/>
      <c r="BE729" s="732"/>
      <c r="BF729" s="732"/>
      <c r="BG729" s="732"/>
      <c r="BH729" s="732"/>
      <c r="BI729" s="732"/>
      <c r="BJ729" s="732"/>
      <c r="BK729" s="732"/>
      <c r="BL729" s="732"/>
      <c r="BM729" s="732"/>
      <c r="BN729" s="732"/>
      <c r="BO729" s="732"/>
      <c r="BP729" s="732"/>
      <c r="BQ729" s="732"/>
      <c r="BR729" s="732"/>
      <c r="BS729" s="732"/>
      <c r="BT729" s="732"/>
      <c r="BU729" s="732"/>
      <c r="BV729" s="732"/>
      <c r="BW729" s="732"/>
      <c r="BX729" s="732"/>
      <c r="BY729" s="732"/>
      <c r="BZ729" s="732"/>
      <c r="CA729" s="732"/>
    </row>
    <row r="730" spans="1:79" hidden="1" outlineLevel="1" x14ac:dyDescent="0.35">
      <c r="A730" s="574"/>
      <c r="B730" s="574"/>
      <c r="C730" s="574"/>
      <c r="D730" s="574"/>
      <c r="E730" s="574"/>
      <c r="F730" s="672" t="s">
        <v>666</v>
      </c>
      <c r="G730" s="735"/>
      <c r="H730" s="735"/>
      <c r="I730" s="735"/>
      <c r="J730" s="735"/>
      <c r="K730" s="735"/>
      <c r="L730" s="735"/>
      <c r="M730" s="735"/>
      <c r="N730" s="735"/>
      <c r="O730" s="735"/>
      <c r="P730" s="732"/>
      <c r="Q730" s="732"/>
      <c r="R730" s="732"/>
      <c r="S730" s="683">
        <v>0</v>
      </c>
      <c r="T730" s="683">
        <v>0</v>
      </c>
      <c r="U730" s="683">
        <v>0</v>
      </c>
      <c r="V730" s="683">
        <v>0</v>
      </c>
      <c r="W730" s="683">
        <v>0</v>
      </c>
      <c r="X730" s="683">
        <v>0</v>
      </c>
      <c r="Y730" s="683">
        <v>0</v>
      </c>
      <c r="Z730" s="683">
        <v>0</v>
      </c>
      <c r="AA730" s="683">
        <v>0</v>
      </c>
      <c r="AB730" s="683">
        <v>0</v>
      </c>
      <c r="AC730" s="681">
        <v>0</v>
      </c>
      <c r="AD730" s="681">
        <v>0</v>
      </c>
      <c r="AE730" s="732"/>
      <c r="AF730" s="732"/>
      <c r="AG730" s="732"/>
      <c r="AH730" s="732"/>
      <c r="AI730" s="732"/>
      <c r="AJ730" s="732"/>
      <c r="AK730" s="732"/>
      <c r="AL730" s="732"/>
      <c r="AM730" s="732"/>
      <c r="AN730" s="732"/>
      <c r="AO730" s="732"/>
      <c r="AP730" s="732"/>
      <c r="AQ730" s="732"/>
      <c r="AR730" s="732"/>
      <c r="AS730" s="732"/>
      <c r="AT730" s="732"/>
      <c r="AU730" s="732"/>
      <c r="AV730" s="732"/>
      <c r="AW730" s="732"/>
      <c r="AX730" s="732"/>
      <c r="AY730" s="732"/>
      <c r="AZ730" s="732"/>
      <c r="BA730" s="732"/>
      <c r="BB730" s="732"/>
      <c r="BC730" s="732"/>
      <c r="BD730" s="732"/>
      <c r="BE730" s="732"/>
      <c r="BF730" s="732"/>
      <c r="BG730" s="732"/>
      <c r="BH730" s="732"/>
      <c r="BI730" s="732"/>
      <c r="BJ730" s="732"/>
      <c r="BK730" s="732"/>
      <c r="BL730" s="732"/>
      <c r="BM730" s="732"/>
      <c r="BN730" s="732"/>
      <c r="BO730" s="732"/>
      <c r="BP730" s="732"/>
      <c r="BQ730" s="732"/>
      <c r="BR730" s="732"/>
      <c r="BS730" s="732"/>
      <c r="BT730" s="732"/>
      <c r="BU730" s="732"/>
      <c r="BV730" s="732"/>
      <c r="BW730" s="732"/>
      <c r="BX730" s="732"/>
      <c r="BY730" s="732"/>
      <c r="BZ730" s="732"/>
      <c r="CA730" s="732"/>
    </row>
    <row r="731" spans="1:79" s="309" customFormat="1" hidden="1" outlineLevel="1" x14ac:dyDescent="0.35">
      <c r="A731" s="575"/>
      <c r="B731" s="575"/>
      <c r="C731" s="575"/>
      <c r="D731" s="575"/>
      <c r="E731" s="575"/>
      <c r="F731" s="676" t="s">
        <v>667</v>
      </c>
      <c r="G731" s="732"/>
      <c r="H731" s="732"/>
      <c r="I731" s="732"/>
      <c r="J731" s="732"/>
      <c r="K731" s="732"/>
      <c r="L731" s="732"/>
      <c r="M731" s="732"/>
      <c r="N731" s="732"/>
      <c r="O731" s="732"/>
      <c r="P731" s="732"/>
      <c r="Q731" s="732"/>
      <c r="R731" s="732"/>
      <c r="S731" s="683">
        <v>0</v>
      </c>
      <c r="T731" s="683">
        <v>0</v>
      </c>
      <c r="U731" s="683">
        <v>0</v>
      </c>
      <c r="V731" s="683">
        <v>0</v>
      </c>
      <c r="W731" s="683">
        <v>0</v>
      </c>
      <c r="X731" s="683">
        <v>0</v>
      </c>
      <c r="Y731" s="683">
        <v>0</v>
      </c>
      <c r="Z731" s="683">
        <v>87.37</v>
      </c>
      <c r="AA731" s="683">
        <v>83.25</v>
      </c>
      <c r="AB731" s="683">
        <v>81.150000000000006</v>
      </c>
      <c r="AC731" s="681">
        <v>73.11</v>
      </c>
      <c r="AD731" s="681">
        <v>0</v>
      </c>
      <c r="AE731" s="732"/>
      <c r="AF731" s="732"/>
      <c r="AG731" s="732"/>
      <c r="AH731" s="732"/>
      <c r="AI731" s="732"/>
      <c r="AJ731" s="732"/>
      <c r="AK731" s="732"/>
      <c r="AL731" s="732"/>
      <c r="AM731" s="732"/>
      <c r="AN731" s="732"/>
      <c r="AO731" s="732"/>
      <c r="AP731" s="732"/>
      <c r="AQ731" s="732"/>
      <c r="AR731" s="732"/>
      <c r="AS731" s="732"/>
      <c r="AT731" s="732"/>
      <c r="AU731" s="732"/>
      <c r="AV731" s="732"/>
      <c r="AW731" s="732"/>
      <c r="AX731" s="732"/>
      <c r="AY731" s="732"/>
      <c r="AZ731" s="732"/>
      <c r="BA731" s="732"/>
      <c r="BB731" s="732"/>
      <c r="BC731" s="732"/>
      <c r="BD731" s="732"/>
      <c r="BE731" s="732"/>
      <c r="BF731" s="732"/>
      <c r="BG731" s="732"/>
      <c r="BH731" s="732"/>
      <c r="BI731" s="732"/>
      <c r="BJ731" s="732"/>
      <c r="BK731" s="732"/>
      <c r="BL731" s="732"/>
      <c r="BM731" s="732"/>
      <c r="BN731" s="732"/>
      <c r="BO731" s="732"/>
      <c r="BP731" s="732"/>
      <c r="BQ731" s="732"/>
      <c r="BR731" s="732"/>
      <c r="BS731" s="732"/>
      <c r="BT731" s="732"/>
      <c r="BU731" s="732"/>
      <c r="BV731" s="732"/>
      <c r="BW731" s="732"/>
      <c r="BX731" s="732"/>
      <c r="BY731" s="732"/>
      <c r="BZ731" s="732"/>
      <c r="CA731" s="732"/>
    </row>
    <row r="732" spans="1:79" hidden="1" outlineLevel="1" x14ac:dyDescent="0.35">
      <c r="A732" s="574"/>
      <c r="B732" s="574"/>
      <c r="C732" s="574"/>
      <c r="D732" s="574"/>
      <c r="E732" s="574"/>
      <c r="F732" s="672" t="s">
        <v>888</v>
      </c>
      <c r="G732" s="735"/>
      <c r="H732" s="735"/>
      <c r="I732" s="735"/>
      <c r="J732" s="735"/>
      <c r="K732" s="735"/>
      <c r="L732" s="735"/>
      <c r="M732" s="735"/>
      <c r="N732" s="735"/>
      <c r="O732" s="735"/>
      <c r="P732" s="732"/>
      <c r="Q732" s="732"/>
      <c r="R732" s="732"/>
      <c r="S732" s="683">
        <v>0</v>
      </c>
      <c r="T732" s="683">
        <v>0</v>
      </c>
      <c r="U732" s="683">
        <v>0</v>
      </c>
      <c r="V732" s="683">
        <v>0</v>
      </c>
      <c r="W732" s="683">
        <v>0</v>
      </c>
      <c r="X732" s="683">
        <v>0</v>
      </c>
      <c r="Y732" s="683">
        <v>0</v>
      </c>
      <c r="Z732" s="683">
        <v>0</v>
      </c>
      <c r="AA732" s="683">
        <v>0</v>
      </c>
      <c r="AB732" s="683">
        <v>0</v>
      </c>
      <c r="AC732" s="681">
        <v>0</v>
      </c>
      <c r="AD732" s="681">
        <v>0</v>
      </c>
      <c r="AE732" s="732"/>
      <c r="AF732" s="732"/>
      <c r="AG732" s="732"/>
      <c r="AH732" s="732"/>
      <c r="AI732" s="732"/>
      <c r="AJ732" s="732"/>
      <c r="AK732" s="732"/>
      <c r="AL732" s="732"/>
      <c r="AM732" s="732"/>
      <c r="AN732" s="732"/>
      <c r="AO732" s="732"/>
      <c r="AP732" s="732"/>
      <c r="AQ732" s="732"/>
      <c r="AR732" s="732"/>
      <c r="AS732" s="732"/>
      <c r="AT732" s="732"/>
      <c r="AU732" s="732"/>
      <c r="AV732" s="732"/>
      <c r="AW732" s="732"/>
      <c r="AX732" s="732"/>
      <c r="AY732" s="732"/>
      <c r="AZ732" s="732"/>
      <c r="BA732" s="732"/>
      <c r="BB732" s="732"/>
      <c r="BC732" s="732"/>
      <c r="BD732" s="732"/>
      <c r="BE732" s="732"/>
      <c r="BF732" s="732"/>
      <c r="BG732" s="732"/>
      <c r="BH732" s="732"/>
      <c r="BI732" s="732"/>
      <c r="BJ732" s="732"/>
      <c r="BK732" s="732"/>
      <c r="BL732" s="732"/>
      <c r="BM732" s="732"/>
      <c r="BN732" s="732"/>
      <c r="BO732" s="732"/>
      <c r="BP732" s="732"/>
      <c r="BQ732" s="732"/>
      <c r="BR732" s="732"/>
      <c r="BS732" s="732"/>
      <c r="BT732" s="732"/>
      <c r="BU732" s="732"/>
      <c r="BV732" s="732"/>
      <c r="BW732" s="732"/>
      <c r="BX732" s="732"/>
      <c r="BY732" s="732"/>
      <c r="BZ732" s="732"/>
      <c r="CA732" s="732"/>
    </row>
    <row r="733" spans="1:79" hidden="1" outlineLevel="1" x14ac:dyDescent="0.35">
      <c r="A733" s="574"/>
      <c r="B733" s="574"/>
      <c r="C733" s="574"/>
      <c r="D733" s="574"/>
      <c r="E733" s="574"/>
      <c r="F733" s="673" t="s">
        <v>668</v>
      </c>
      <c r="G733" s="680">
        <f>SUM(G724:G732)</f>
        <v>0</v>
      </c>
      <c r="H733" s="680">
        <f t="shared" ref="H733:BO733" si="291">SUM(H724:H732)</f>
        <v>0</v>
      </c>
      <c r="I733" s="680">
        <f t="shared" si="291"/>
        <v>0</v>
      </c>
      <c r="J733" s="680">
        <f t="shared" si="291"/>
        <v>0</v>
      </c>
      <c r="K733" s="680">
        <f t="shared" si="291"/>
        <v>0</v>
      </c>
      <c r="L733" s="680">
        <f t="shared" si="291"/>
        <v>0</v>
      </c>
      <c r="M733" s="680">
        <f t="shared" si="291"/>
        <v>0</v>
      </c>
      <c r="N733" s="680">
        <f t="shared" si="291"/>
        <v>0</v>
      </c>
      <c r="O733" s="680">
        <f t="shared" si="291"/>
        <v>0</v>
      </c>
      <c r="P733" s="680">
        <f t="shared" si="291"/>
        <v>0</v>
      </c>
      <c r="Q733" s="680">
        <f t="shared" si="291"/>
        <v>0</v>
      </c>
      <c r="R733" s="680">
        <f t="shared" si="291"/>
        <v>0</v>
      </c>
      <c r="S733" s="694">
        <f t="shared" ref="S733:AA733" si="292">ROUND(SUM(S723:S732),5)</f>
        <v>0</v>
      </c>
      <c r="T733" s="694">
        <f t="shared" si="292"/>
        <v>0</v>
      </c>
      <c r="U733" s="694">
        <f t="shared" si="292"/>
        <v>0</v>
      </c>
      <c r="V733" s="694">
        <f t="shared" si="292"/>
        <v>0</v>
      </c>
      <c r="W733" s="694">
        <f t="shared" si="292"/>
        <v>0</v>
      </c>
      <c r="X733" s="694">
        <f t="shared" si="292"/>
        <v>0</v>
      </c>
      <c r="Y733" s="694">
        <f t="shared" si="292"/>
        <v>0</v>
      </c>
      <c r="Z733" s="694">
        <f t="shared" si="292"/>
        <v>87.37</v>
      </c>
      <c r="AA733" s="694">
        <f t="shared" si="292"/>
        <v>83.25</v>
      </c>
      <c r="AB733" s="694">
        <f>ROUND(SUM(AB723:AB732),5)</f>
        <v>81.150000000000006</v>
      </c>
      <c r="AC733" s="694">
        <f>ROUND(SUM(AC723:AC732),5)</f>
        <v>73.11</v>
      </c>
      <c r="AD733" s="694">
        <f>ROUND(SUM(AD723:AD732),5)</f>
        <v>0</v>
      </c>
      <c r="AE733" s="680">
        <f t="shared" si="291"/>
        <v>0</v>
      </c>
      <c r="AF733" s="680">
        <f t="shared" si="291"/>
        <v>0</v>
      </c>
      <c r="AG733" s="680">
        <f t="shared" si="291"/>
        <v>0</v>
      </c>
      <c r="AH733" s="680">
        <f t="shared" si="291"/>
        <v>0</v>
      </c>
      <c r="AI733" s="680">
        <f t="shared" si="291"/>
        <v>0</v>
      </c>
      <c r="AJ733" s="680">
        <f t="shared" si="291"/>
        <v>0</v>
      </c>
      <c r="AK733" s="680">
        <f t="shared" si="291"/>
        <v>0</v>
      </c>
      <c r="AL733" s="680">
        <f t="shared" si="291"/>
        <v>0</v>
      </c>
      <c r="AM733" s="680">
        <f t="shared" si="291"/>
        <v>0</v>
      </c>
      <c r="AN733" s="680">
        <f t="shared" si="291"/>
        <v>0</v>
      </c>
      <c r="AO733" s="680">
        <f t="shared" si="291"/>
        <v>0</v>
      </c>
      <c r="AP733" s="680">
        <f t="shared" si="291"/>
        <v>0</v>
      </c>
      <c r="AQ733" s="680">
        <f t="shared" si="291"/>
        <v>0</v>
      </c>
      <c r="AR733" s="680">
        <f t="shared" si="291"/>
        <v>0</v>
      </c>
      <c r="AS733" s="680">
        <f t="shared" si="291"/>
        <v>0</v>
      </c>
      <c r="AT733" s="680">
        <f t="shared" si="291"/>
        <v>0</v>
      </c>
      <c r="AU733" s="680">
        <f t="shared" si="291"/>
        <v>0</v>
      </c>
      <c r="AV733" s="680">
        <f t="shared" si="291"/>
        <v>0</v>
      </c>
      <c r="AW733" s="680">
        <f t="shared" si="291"/>
        <v>0</v>
      </c>
      <c r="AX733" s="680">
        <f t="shared" si="291"/>
        <v>0</v>
      </c>
      <c r="AY733" s="680">
        <f t="shared" si="291"/>
        <v>0</v>
      </c>
      <c r="AZ733" s="680">
        <f t="shared" si="291"/>
        <v>0</v>
      </c>
      <c r="BA733" s="680">
        <f t="shared" si="291"/>
        <v>0</v>
      </c>
      <c r="BB733" s="680">
        <f t="shared" si="291"/>
        <v>0</v>
      </c>
      <c r="BC733" s="680">
        <f t="shared" si="291"/>
        <v>0</v>
      </c>
      <c r="BD733" s="680">
        <f t="shared" si="291"/>
        <v>0</v>
      </c>
      <c r="BE733" s="680">
        <f t="shared" si="291"/>
        <v>0</v>
      </c>
      <c r="BF733" s="680">
        <f t="shared" si="291"/>
        <v>0</v>
      </c>
      <c r="BG733" s="680">
        <f t="shared" si="291"/>
        <v>0</v>
      </c>
      <c r="BH733" s="680">
        <f t="shared" si="291"/>
        <v>0</v>
      </c>
      <c r="BI733" s="680">
        <f t="shared" si="291"/>
        <v>0</v>
      </c>
      <c r="BJ733" s="680">
        <f t="shared" si="291"/>
        <v>0</v>
      </c>
      <c r="BK733" s="680">
        <f t="shared" si="291"/>
        <v>0</v>
      </c>
      <c r="BL733" s="680">
        <f t="shared" si="291"/>
        <v>0</v>
      </c>
      <c r="BM733" s="680">
        <f t="shared" si="291"/>
        <v>0</v>
      </c>
      <c r="BN733" s="680">
        <f t="shared" si="291"/>
        <v>0</v>
      </c>
      <c r="BO733" s="680">
        <f t="shared" si="291"/>
        <v>0</v>
      </c>
      <c r="BP733" s="680">
        <f t="shared" ref="BP733:CA733" si="293">SUM(BP724:BP732)</f>
        <v>0</v>
      </c>
      <c r="BQ733" s="680">
        <f t="shared" si="293"/>
        <v>0</v>
      </c>
      <c r="BR733" s="680">
        <f t="shared" si="293"/>
        <v>0</v>
      </c>
      <c r="BS733" s="680">
        <f t="shared" si="293"/>
        <v>0</v>
      </c>
      <c r="BT733" s="680">
        <f t="shared" si="293"/>
        <v>0</v>
      </c>
      <c r="BU733" s="680">
        <f t="shared" si="293"/>
        <v>0</v>
      </c>
      <c r="BV733" s="680">
        <f t="shared" si="293"/>
        <v>0</v>
      </c>
      <c r="BW733" s="680">
        <f t="shared" si="293"/>
        <v>0</v>
      </c>
      <c r="BX733" s="680">
        <f t="shared" si="293"/>
        <v>0</v>
      </c>
      <c r="BY733" s="680">
        <f t="shared" si="293"/>
        <v>0</v>
      </c>
      <c r="BZ733" s="680">
        <f t="shared" si="293"/>
        <v>0</v>
      </c>
      <c r="CA733" s="680">
        <f t="shared" si="293"/>
        <v>0</v>
      </c>
    </row>
    <row r="734" spans="1:79" hidden="1" outlineLevel="1" x14ac:dyDescent="0.35">
      <c r="A734" s="574"/>
      <c r="B734" s="574"/>
      <c r="C734" s="574"/>
      <c r="D734" s="574"/>
      <c r="E734" s="574"/>
      <c r="F734" s="671" t="s">
        <v>669</v>
      </c>
      <c r="G734" s="735"/>
      <c r="H734" s="735"/>
      <c r="I734" s="735"/>
      <c r="J734" s="735"/>
      <c r="K734" s="735"/>
      <c r="L734" s="735"/>
      <c r="M734" s="735"/>
      <c r="N734" s="735"/>
      <c r="O734" s="735"/>
      <c r="P734" s="732"/>
      <c r="Q734" s="732"/>
      <c r="R734" s="732"/>
      <c r="S734" s="683">
        <v>0</v>
      </c>
      <c r="T734" s="683">
        <v>0</v>
      </c>
      <c r="U734" s="683">
        <v>0</v>
      </c>
      <c r="V734" s="683">
        <v>0</v>
      </c>
      <c r="W734" s="683">
        <v>0</v>
      </c>
      <c r="X734" s="683">
        <v>0</v>
      </c>
      <c r="Y734" s="683">
        <v>0</v>
      </c>
      <c r="Z734" s="683">
        <v>0</v>
      </c>
      <c r="AA734" s="683">
        <v>0</v>
      </c>
      <c r="AB734" s="683">
        <v>0</v>
      </c>
      <c r="AC734" s="681">
        <v>0</v>
      </c>
      <c r="AD734" s="681">
        <v>0</v>
      </c>
      <c r="AE734" s="732"/>
      <c r="AF734" s="732"/>
      <c r="AG734" s="732"/>
      <c r="AH734" s="732"/>
      <c r="AI734" s="732"/>
      <c r="AJ734" s="732"/>
      <c r="AK734" s="732"/>
      <c r="AL734" s="732"/>
      <c r="AM734" s="732"/>
      <c r="AN734" s="732"/>
      <c r="AO734" s="732"/>
      <c r="AP734" s="732"/>
      <c r="AQ734" s="732"/>
      <c r="AR734" s="732"/>
      <c r="AS734" s="732"/>
      <c r="AT734" s="732"/>
      <c r="AU734" s="732"/>
      <c r="AV734" s="732"/>
      <c r="AW734" s="732"/>
      <c r="AX734" s="732"/>
      <c r="AY734" s="732"/>
      <c r="AZ734" s="732"/>
      <c r="BA734" s="732"/>
      <c r="BB734" s="732"/>
      <c r="BC734" s="732"/>
      <c r="BD734" s="732"/>
      <c r="BE734" s="732"/>
      <c r="BF734" s="732"/>
      <c r="BG734" s="732"/>
      <c r="BH734" s="732"/>
      <c r="BI734" s="732"/>
      <c r="BJ734" s="732"/>
      <c r="BK734" s="732"/>
      <c r="BL734" s="732"/>
      <c r="BM734" s="732"/>
      <c r="BN734" s="732"/>
      <c r="BO734" s="732"/>
      <c r="BP734" s="732"/>
      <c r="BQ734" s="732"/>
      <c r="BR734" s="732"/>
      <c r="BS734" s="732"/>
      <c r="BT734" s="732"/>
      <c r="BU734" s="732"/>
      <c r="BV734" s="732"/>
      <c r="BW734" s="732"/>
      <c r="BX734" s="732"/>
      <c r="BY734" s="732"/>
      <c r="BZ734" s="732"/>
      <c r="CA734" s="732"/>
    </row>
    <row r="735" spans="1:79" s="709" customFormat="1" hidden="1" outlineLevel="1" x14ac:dyDescent="0.35">
      <c r="F735" s="717" t="s">
        <v>597</v>
      </c>
      <c r="G735" s="750"/>
      <c r="H735" s="750"/>
      <c r="I735" s="750"/>
      <c r="J735" s="750"/>
      <c r="K735" s="750"/>
      <c r="L735" s="750"/>
      <c r="M735" s="750"/>
      <c r="N735" s="750"/>
      <c r="O735" s="750"/>
      <c r="P735" s="751"/>
      <c r="Q735" s="751"/>
      <c r="R735" s="751"/>
      <c r="S735" s="713"/>
      <c r="T735" s="713"/>
      <c r="U735" s="713"/>
      <c r="V735" s="713"/>
      <c r="W735" s="713"/>
      <c r="X735" s="713"/>
      <c r="Y735" s="713"/>
      <c r="Z735" s="713"/>
      <c r="AA735" s="713"/>
      <c r="AB735" s="713"/>
      <c r="AC735" s="712"/>
      <c r="AD735" s="712"/>
      <c r="AE735" s="751"/>
      <c r="AF735" s="751"/>
      <c r="AG735" s="751"/>
      <c r="AH735" s="751"/>
      <c r="AI735" s="751"/>
      <c r="AJ735" s="751"/>
      <c r="AK735" s="751"/>
      <c r="AL735" s="751"/>
      <c r="AM735" s="751"/>
      <c r="AN735" s="751"/>
      <c r="AO735" s="751"/>
      <c r="AP735" s="751"/>
      <c r="AQ735" s="751"/>
      <c r="AR735" s="751"/>
      <c r="AS735" s="751"/>
      <c r="AT735" s="751"/>
      <c r="AU735" s="751"/>
      <c r="AV735" s="751"/>
      <c r="AW735" s="751"/>
      <c r="AX735" s="751"/>
      <c r="AY735" s="751"/>
      <c r="AZ735" s="751"/>
      <c r="BA735" s="751"/>
      <c r="BB735" s="751"/>
      <c r="BC735" s="751"/>
      <c r="BD735" s="751"/>
      <c r="BE735" s="751"/>
      <c r="BF735" s="751"/>
      <c r="BG735" s="751"/>
      <c r="BH735" s="751"/>
      <c r="BI735" s="751"/>
      <c r="BJ735" s="751"/>
      <c r="BK735" s="751"/>
      <c r="BL735" s="751"/>
      <c r="BM735" s="751"/>
      <c r="BN735" s="751"/>
      <c r="BO735" s="751"/>
      <c r="BP735" s="751"/>
      <c r="BQ735" s="751"/>
      <c r="BR735" s="751"/>
      <c r="BS735" s="751"/>
      <c r="BT735" s="751"/>
      <c r="BU735" s="751"/>
      <c r="BV735" s="751"/>
      <c r="BW735" s="751"/>
      <c r="BX735" s="751"/>
      <c r="BY735" s="751"/>
      <c r="BZ735" s="751"/>
      <c r="CA735" s="751"/>
    </row>
    <row r="736" spans="1:79" hidden="1" outlineLevel="1" x14ac:dyDescent="0.35">
      <c r="A736" s="574"/>
      <c r="B736" s="574"/>
      <c r="C736" s="574"/>
      <c r="D736" s="574"/>
      <c r="E736" s="574"/>
      <c r="F736" s="672" t="s">
        <v>889</v>
      </c>
      <c r="G736" s="735"/>
      <c r="H736" s="735"/>
      <c r="I736" s="735"/>
      <c r="J736" s="735"/>
      <c r="K736" s="735"/>
      <c r="L736" s="735"/>
      <c r="M736" s="735"/>
      <c r="N736" s="735"/>
      <c r="O736" s="735"/>
      <c r="P736" s="732"/>
      <c r="Q736" s="732"/>
      <c r="R736" s="732"/>
      <c r="S736" s="687">
        <v>0</v>
      </c>
      <c r="T736" s="687">
        <v>0</v>
      </c>
      <c r="U736" s="687">
        <v>0</v>
      </c>
      <c r="V736" s="687">
        <v>0</v>
      </c>
      <c r="W736" s="687">
        <v>0</v>
      </c>
      <c r="X736" s="687">
        <v>0</v>
      </c>
      <c r="Y736" s="687">
        <v>0</v>
      </c>
      <c r="Z736" s="687">
        <v>0</v>
      </c>
      <c r="AA736" s="687">
        <v>0</v>
      </c>
      <c r="AB736" s="687">
        <v>0</v>
      </c>
      <c r="AC736" s="685">
        <v>0</v>
      </c>
      <c r="AD736" s="685">
        <v>0</v>
      </c>
      <c r="AE736" s="732"/>
      <c r="AF736" s="732"/>
      <c r="AG736" s="732"/>
      <c r="AH736" s="732"/>
      <c r="AI736" s="732"/>
      <c r="AJ736" s="732"/>
      <c r="AK736" s="732"/>
      <c r="AL736" s="732"/>
      <c r="AM736" s="732"/>
      <c r="AN736" s="732"/>
      <c r="AO736" s="732"/>
      <c r="AP736" s="732"/>
      <c r="AQ736" s="732"/>
      <c r="AR736" s="732"/>
      <c r="AS736" s="732"/>
      <c r="AT736" s="732"/>
      <c r="AU736" s="732"/>
      <c r="AV736" s="732"/>
      <c r="AW736" s="732"/>
      <c r="AX736" s="732"/>
      <c r="AY736" s="732"/>
      <c r="AZ736" s="732"/>
      <c r="BA736" s="732"/>
      <c r="BB736" s="732"/>
      <c r="BC736" s="732"/>
      <c r="BD736" s="732"/>
      <c r="BE736" s="732"/>
      <c r="BF736" s="732"/>
      <c r="BG736" s="732"/>
      <c r="BH736" s="732"/>
      <c r="BI736" s="732"/>
      <c r="BJ736" s="732"/>
      <c r="BK736" s="732"/>
      <c r="BL736" s="732"/>
      <c r="BM736" s="732"/>
      <c r="BN736" s="732"/>
      <c r="BO736" s="732"/>
      <c r="BP736" s="732"/>
      <c r="BQ736" s="732"/>
      <c r="BR736" s="732"/>
      <c r="BS736" s="732"/>
      <c r="BT736" s="732"/>
      <c r="BU736" s="732"/>
      <c r="BV736" s="732"/>
      <c r="BW736" s="732"/>
      <c r="BX736" s="732"/>
      <c r="BY736" s="732"/>
      <c r="BZ736" s="732"/>
      <c r="CA736" s="732"/>
    </row>
    <row r="737" spans="1:79" hidden="1" outlineLevel="1" x14ac:dyDescent="0.35">
      <c r="A737" s="574"/>
      <c r="B737" s="574"/>
      <c r="C737" s="574"/>
      <c r="D737" s="574"/>
      <c r="E737" s="574"/>
      <c r="F737" s="672" t="s">
        <v>890</v>
      </c>
      <c r="G737" s="735"/>
      <c r="H737" s="735"/>
      <c r="I737" s="735"/>
      <c r="J737" s="735"/>
      <c r="K737" s="735"/>
      <c r="L737" s="735"/>
      <c r="M737" s="735"/>
      <c r="N737" s="735"/>
      <c r="O737" s="735"/>
      <c r="P737" s="732"/>
      <c r="Q737" s="732"/>
      <c r="R737" s="732"/>
      <c r="S737" s="687">
        <v>0</v>
      </c>
      <c r="T737" s="687">
        <v>0</v>
      </c>
      <c r="U737" s="687">
        <v>0</v>
      </c>
      <c r="V737" s="687">
        <v>0</v>
      </c>
      <c r="W737" s="687">
        <v>0</v>
      </c>
      <c r="X737" s="687">
        <v>0</v>
      </c>
      <c r="Y737" s="687">
        <v>0</v>
      </c>
      <c r="Z737" s="687">
        <v>0</v>
      </c>
      <c r="AA737" s="687">
        <v>0</v>
      </c>
      <c r="AB737" s="687">
        <v>0</v>
      </c>
      <c r="AC737" s="685">
        <v>0</v>
      </c>
      <c r="AD737" s="685">
        <v>0</v>
      </c>
      <c r="AE737" s="732"/>
      <c r="AF737" s="732"/>
      <c r="AG737" s="732"/>
      <c r="AH737" s="732"/>
      <c r="AI737" s="732"/>
      <c r="AJ737" s="732"/>
      <c r="AK737" s="732"/>
      <c r="AL737" s="732"/>
      <c r="AM737" s="732"/>
      <c r="AN737" s="732"/>
      <c r="AO737" s="732"/>
      <c r="AP737" s="732"/>
      <c r="AQ737" s="732"/>
      <c r="AR737" s="732"/>
      <c r="AS737" s="732"/>
      <c r="AT737" s="732"/>
      <c r="AU737" s="732"/>
      <c r="AV737" s="732"/>
      <c r="AW737" s="732"/>
      <c r="AX737" s="732"/>
      <c r="AY737" s="732"/>
      <c r="AZ737" s="732"/>
      <c r="BA737" s="732"/>
      <c r="BB737" s="732"/>
      <c r="BC737" s="732"/>
      <c r="BD737" s="732"/>
      <c r="BE737" s="732"/>
      <c r="BF737" s="732"/>
      <c r="BG737" s="732"/>
      <c r="BH737" s="732"/>
      <c r="BI737" s="732"/>
      <c r="BJ737" s="732"/>
      <c r="BK737" s="732"/>
      <c r="BL737" s="732"/>
      <c r="BM737" s="732"/>
      <c r="BN737" s="732"/>
      <c r="BO737" s="732"/>
      <c r="BP737" s="732"/>
      <c r="BQ737" s="732"/>
      <c r="BR737" s="732"/>
      <c r="BS737" s="732"/>
      <c r="BT737" s="732"/>
      <c r="BU737" s="732"/>
      <c r="BV737" s="732"/>
      <c r="BW737" s="732"/>
      <c r="BX737" s="732"/>
      <c r="BY737" s="732"/>
      <c r="BZ737" s="732"/>
      <c r="CA737" s="732"/>
    </row>
    <row r="738" spans="1:79" hidden="1" outlineLevel="1" x14ac:dyDescent="0.35">
      <c r="A738" s="574"/>
      <c r="B738" s="574"/>
      <c r="C738" s="574"/>
      <c r="D738" s="574"/>
      <c r="E738" s="574"/>
      <c r="F738" s="672" t="s">
        <v>891</v>
      </c>
      <c r="G738" s="735"/>
      <c r="H738" s="735"/>
      <c r="I738" s="735"/>
      <c r="J738" s="735"/>
      <c r="K738" s="735"/>
      <c r="L738" s="735"/>
      <c r="M738" s="735"/>
      <c r="N738" s="735"/>
      <c r="O738" s="735"/>
      <c r="P738" s="732"/>
      <c r="Q738" s="732"/>
      <c r="R738" s="732"/>
      <c r="S738" s="687">
        <v>0</v>
      </c>
      <c r="T738" s="687">
        <v>0</v>
      </c>
      <c r="U738" s="687">
        <v>0</v>
      </c>
      <c r="V738" s="687">
        <v>0</v>
      </c>
      <c r="W738" s="687">
        <v>0</v>
      </c>
      <c r="X738" s="687">
        <v>0</v>
      </c>
      <c r="Y738" s="687">
        <v>0</v>
      </c>
      <c r="Z738" s="687">
        <v>0</v>
      </c>
      <c r="AA738" s="687">
        <v>0</v>
      </c>
      <c r="AB738" s="687">
        <v>0</v>
      </c>
      <c r="AC738" s="685">
        <v>0</v>
      </c>
      <c r="AD738" s="685">
        <v>0</v>
      </c>
      <c r="AE738" s="732"/>
      <c r="AF738" s="732"/>
      <c r="AG738" s="732"/>
      <c r="AH738" s="732"/>
      <c r="AI738" s="732"/>
      <c r="AJ738" s="732"/>
      <c r="AK738" s="732"/>
      <c r="AL738" s="732"/>
      <c r="AM738" s="732"/>
      <c r="AN738" s="732"/>
      <c r="AO738" s="732"/>
      <c r="AP738" s="732"/>
      <c r="AQ738" s="732"/>
      <c r="AR738" s="732"/>
      <c r="AS738" s="732"/>
      <c r="AT738" s="732"/>
      <c r="AU738" s="732"/>
      <c r="AV738" s="732"/>
      <c r="AW738" s="732"/>
      <c r="AX738" s="732"/>
      <c r="AY738" s="732"/>
      <c r="AZ738" s="732"/>
      <c r="BA738" s="732"/>
      <c r="BB738" s="732"/>
      <c r="BC738" s="732"/>
      <c r="BD738" s="732"/>
      <c r="BE738" s="732"/>
      <c r="BF738" s="732"/>
      <c r="BG738" s="732"/>
      <c r="BH738" s="732"/>
      <c r="BI738" s="732"/>
      <c r="BJ738" s="732"/>
      <c r="BK738" s="732"/>
      <c r="BL738" s="732"/>
      <c r="BM738" s="732"/>
      <c r="BN738" s="732"/>
      <c r="BO738" s="732"/>
      <c r="BP738" s="732"/>
      <c r="BQ738" s="732"/>
      <c r="BR738" s="732"/>
      <c r="BS738" s="732"/>
      <c r="BT738" s="732"/>
      <c r="BU738" s="732"/>
      <c r="BV738" s="732"/>
      <c r="BW738" s="732"/>
      <c r="BX738" s="732"/>
      <c r="BY738" s="732"/>
      <c r="BZ738" s="732"/>
      <c r="CA738" s="732"/>
    </row>
    <row r="739" spans="1:79" hidden="1" outlineLevel="1" x14ac:dyDescent="0.35">
      <c r="A739" s="574"/>
      <c r="B739" s="574"/>
      <c r="C739" s="574"/>
      <c r="D739" s="574"/>
      <c r="E739" s="574"/>
      <c r="F739" s="672" t="s">
        <v>892</v>
      </c>
      <c r="G739" s="735"/>
      <c r="H739" s="735"/>
      <c r="I739" s="735"/>
      <c r="J739" s="735"/>
      <c r="K739" s="735"/>
      <c r="L739" s="735"/>
      <c r="M739" s="735"/>
      <c r="N739" s="735"/>
      <c r="O739" s="735"/>
      <c r="P739" s="732"/>
      <c r="Q739" s="732"/>
      <c r="R739" s="732"/>
      <c r="S739" s="687">
        <v>0</v>
      </c>
      <c r="T739" s="687">
        <v>0</v>
      </c>
      <c r="U739" s="687">
        <v>0</v>
      </c>
      <c r="V739" s="687">
        <v>0</v>
      </c>
      <c r="W739" s="687">
        <v>0</v>
      </c>
      <c r="X739" s="687">
        <v>0</v>
      </c>
      <c r="Y739" s="687">
        <v>0</v>
      </c>
      <c r="Z739" s="687">
        <v>0</v>
      </c>
      <c r="AA739" s="687">
        <v>0</v>
      </c>
      <c r="AB739" s="687">
        <v>0</v>
      </c>
      <c r="AC739" s="685">
        <v>0</v>
      </c>
      <c r="AD739" s="685">
        <v>0</v>
      </c>
      <c r="AE739" s="732"/>
      <c r="AF739" s="732"/>
      <c r="AG739" s="732"/>
      <c r="AH739" s="732"/>
      <c r="AI739" s="732"/>
      <c r="AJ739" s="732"/>
      <c r="AK739" s="732"/>
      <c r="AL739" s="732"/>
      <c r="AM739" s="732"/>
      <c r="AN739" s="732"/>
      <c r="AO739" s="732"/>
      <c r="AP739" s="732"/>
      <c r="AQ739" s="732"/>
      <c r="AR739" s="732"/>
      <c r="AS739" s="732"/>
      <c r="AT739" s="732"/>
      <c r="AU739" s="732"/>
      <c r="AV739" s="732"/>
      <c r="AW739" s="732"/>
      <c r="AX739" s="732"/>
      <c r="AY739" s="732"/>
      <c r="AZ739" s="732"/>
      <c r="BA739" s="732"/>
      <c r="BB739" s="732"/>
      <c r="BC739" s="732"/>
      <c r="BD739" s="732"/>
      <c r="BE739" s="732"/>
      <c r="BF739" s="732"/>
      <c r="BG739" s="732"/>
      <c r="BH739" s="732"/>
      <c r="BI739" s="732"/>
      <c r="BJ739" s="732"/>
      <c r="BK739" s="732"/>
      <c r="BL739" s="732"/>
      <c r="BM739" s="732"/>
      <c r="BN739" s="732"/>
      <c r="BO739" s="732"/>
      <c r="BP739" s="732"/>
      <c r="BQ739" s="732"/>
      <c r="BR739" s="732"/>
      <c r="BS739" s="732"/>
      <c r="BT739" s="732"/>
      <c r="BU739" s="732"/>
      <c r="BV739" s="732"/>
      <c r="BW739" s="732"/>
      <c r="BX739" s="732"/>
      <c r="BY739" s="732"/>
      <c r="BZ739" s="732"/>
      <c r="CA739" s="732"/>
    </row>
    <row r="740" spans="1:79" hidden="1" outlineLevel="1" x14ac:dyDescent="0.35">
      <c r="A740" s="574"/>
      <c r="B740" s="574"/>
      <c r="C740" s="574"/>
      <c r="D740" s="574"/>
      <c r="E740" s="574"/>
      <c r="F740" s="672" t="s">
        <v>825</v>
      </c>
      <c r="G740" s="735"/>
      <c r="H740" s="735"/>
      <c r="I740" s="735"/>
      <c r="J740" s="735"/>
      <c r="K740" s="735"/>
      <c r="L740" s="735"/>
      <c r="M740" s="735"/>
      <c r="N740" s="735"/>
      <c r="O740" s="735"/>
      <c r="P740" s="732"/>
      <c r="Q740" s="732"/>
      <c r="R740" s="732"/>
      <c r="S740" s="687">
        <v>0</v>
      </c>
      <c r="T740" s="687">
        <v>0</v>
      </c>
      <c r="U740" s="687">
        <v>0</v>
      </c>
      <c r="V740" s="687">
        <v>0</v>
      </c>
      <c r="W740" s="687">
        <v>0</v>
      </c>
      <c r="X740" s="687">
        <v>0</v>
      </c>
      <c r="Y740" s="687">
        <v>0</v>
      </c>
      <c r="Z740" s="687">
        <v>0</v>
      </c>
      <c r="AA740" s="687">
        <v>0</v>
      </c>
      <c r="AB740" s="687">
        <v>0</v>
      </c>
      <c r="AC740" s="685">
        <v>0</v>
      </c>
      <c r="AD740" s="685">
        <v>0</v>
      </c>
      <c r="AE740" s="732"/>
      <c r="AF740" s="732"/>
      <c r="AG740" s="732"/>
      <c r="AH740" s="732"/>
      <c r="AI740" s="732"/>
      <c r="AJ740" s="732"/>
      <c r="AK740" s="732"/>
      <c r="AL740" s="732"/>
      <c r="AM740" s="732"/>
      <c r="AN740" s="732"/>
      <c r="AO740" s="732"/>
      <c r="AP740" s="732"/>
      <c r="AQ740" s="732"/>
      <c r="AR740" s="732"/>
      <c r="AS740" s="732"/>
      <c r="AT740" s="732"/>
      <c r="AU740" s="732"/>
      <c r="AV740" s="732"/>
      <c r="AW740" s="732"/>
      <c r="AX740" s="732"/>
      <c r="AY740" s="732"/>
      <c r="AZ740" s="732"/>
      <c r="BA740" s="732"/>
      <c r="BB740" s="732"/>
      <c r="BC740" s="732"/>
      <c r="BD740" s="732"/>
      <c r="BE740" s="732"/>
      <c r="BF740" s="732"/>
      <c r="BG740" s="732"/>
      <c r="BH740" s="732"/>
      <c r="BI740" s="732"/>
      <c r="BJ740" s="732"/>
      <c r="BK740" s="732"/>
      <c r="BL740" s="732"/>
      <c r="BM740" s="732"/>
      <c r="BN740" s="732"/>
      <c r="BO740" s="732"/>
      <c r="BP740" s="732"/>
      <c r="BQ740" s="732"/>
      <c r="BR740" s="732"/>
      <c r="BS740" s="732"/>
      <c r="BT740" s="732"/>
      <c r="BU740" s="732"/>
      <c r="BV740" s="732"/>
      <c r="BW740" s="732"/>
      <c r="BX740" s="732"/>
      <c r="BY740" s="732"/>
      <c r="BZ740" s="732"/>
      <c r="CA740" s="732"/>
    </row>
    <row r="741" spans="1:79" hidden="1" outlineLevel="1" x14ac:dyDescent="0.35">
      <c r="A741" s="574"/>
      <c r="B741" s="574"/>
      <c r="C741" s="574"/>
      <c r="D741" s="574"/>
      <c r="E741" s="574"/>
      <c r="F741" s="672" t="s">
        <v>613</v>
      </c>
      <c r="G741" s="735"/>
      <c r="H741" s="735"/>
      <c r="I741" s="735"/>
      <c r="J741" s="735"/>
      <c r="K741" s="735"/>
      <c r="L741" s="735"/>
      <c r="M741" s="735"/>
      <c r="N741" s="735"/>
      <c r="O741" s="735"/>
      <c r="P741" s="732"/>
      <c r="Q741" s="732"/>
      <c r="R741" s="732"/>
      <c r="S741" s="687">
        <v>0</v>
      </c>
      <c r="T741" s="687">
        <v>0</v>
      </c>
      <c r="U741" s="687">
        <v>0</v>
      </c>
      <c r="V741" s="687">
        <v>0</v>
      </c>
      <c r="W741" s="687">
        <v>0</v>
      </c>
      <c r="X741" s="687">
        <v>0</v>
      </c>
      <c r="Y741" s="687">
        <v>0</v>
      </c>
      <c r="Z741" s="687">
        <v>0</v>
      </c>
      <c r="AA741" s="687">
        <v>0</v>
      </c>
      <c r="AB741" s="687">
        <v>0</v>
      </c>
      <c r="AC741" s="685">
        <v>0</v>
      </c>
      <c r="AD741" s="685">
        <v>0</v>
      </c>
      <c r="AE741" s="732"/>
      <c r="AF741" s="732"/>
      <c r="AG741" s="732"/>
      <c r="AH741" s="732"/>
      <c r="AI741" s="732"/>
      <c r="AJ741" s="732"/>
      <c r="AK741" s="732"/>
      <c r="AL741" s="732"/>
      <c r="AM741" s="732"/>
      <c r="AN741" s="732"/>
      <c r="AO741" s="732"/>
      <c r="AP741" s="732"/>
      <c r="AQ741" s="732"/>
      <c r="AR741" s="732"/>
      <c r="AS741" s="732"/>
      <c r="AT741" s="732"/>
      <c r="AU741" s="732"/>
      <c r="AV741" s="732"/>
      <c r="AW741" s="732"/>
      <c r="AX741" s="732"/>
      <c r="AY741" s="732"/>
      <c r="AZ741" s="732"/>
      <c r="BA741" s="732"/>
      <c r="BB741" s="732"/>
      <c r="BC741" s="732"/>
      <c r="BD741" s="732"/>
      <c r="BE741" s="732"/>
      <c r="BF741" s="732"/>
      <c r="BG741" s="732"/>
      <c r="BH741" s="732"/>
      <c r="BI741" s="732"/>
      <c r="BJ741" s="732"/>
      <c r="BK741" s="732"/>
      <c r="BL741" s="732"/>
      <c r="BM741" s="732"/>
      <c r="BN741" s="732"/>
      <c r="BO741" s="732"/>
      <c r="BP741" s="732"/>
      <c r="BQ741" s="732"/>
      <c r="BR741" s="732"/>
      <c r="BS741" s="732"/>
      <c r="BT741" s="732"/>
      <c r="BU741" s="732"/>
      <c r="BV741" s="732"/>
      <c r="BW741" s="732"/>
      <c r="BX741" s="732"/>
      <c r="BY741" s="732"/>
      <c r="BZ741" s="732"/>
      <c r="CA741" s="732"/>
    </row>
    <row r="742" spans="1:79" hidden="1" outlineLevel="1" x14ac:dyDescent="0.35">
      <c r="A742" s="574"/>
      <c r="B742" s="574"/>
      <c r="C742" s="574"/>
      <c r="D742" s="574"/>
      <c r="E742" s="574"/>
      <c r="F742" s="672" t="s">
        <v>614</v>
      </c>
      <c r="G742" s="735"/>
      <c r="H742" s="735"/>
      <c r="I742" s="735"/>
      <c r="J742" s="735"/>
      <c r="K742" s="735"/>
      <c r="L742" s="735"/>
      <c r="M742" s="735"/>
      <c r="N742" s="735"/>
      <c r="O742" s="735"/>
      <c r="P742" s="732"/>
      <c r="Q742" s="732"/>
      <c r="R742" s="732"/>
      <c r="S742" s="692">
        <v>0</v>
      </c>
      <c r="T742" s="692">
        <v>0</v>
      </c>
      <c r="U742" s="692">
        <v>0</v>
      </c>
      <c r="V742" s="692">
        <v>0</v>
      </c>
      <c r="W742" s="692">
        <v>0</v>
      </c>
      <c r="X742" s="692">
        <v>0</v>
      </c>
      <c r="Y742" s="692">
        <v>0</v>
      </c>
      <c r="Z742" s="692">
        <v>0</v>
      </c>
      <c r="AA742" s="692">
        <v>0</v>
      </c>
      <c r="AB742" s="692">
        <v>0</v>
      </c>
      <c r="AC742" s="689">
        <v>0</v>
      </c>
      <c r="AD742" s="689">
        <v>0</v>
      </c>
      <c r="AE742" s="732"/>
      <c r="AF742" s="732"/>
      <c r="AG742" s="732"/>
      <c r="AH742" s="732"/>
      <c r="AI742" s="732"/>
      <c r="AJ742" s="732"/>
      <c r="AK742" s="732"/>
      <c r="AL742" s="732"/>
      <c r="AM742" s="732"/>
      <c r="AN742" s="732"/>
      <c r="AO742" s="732"/>
      <c r="AP742" s="732"/>
      <c r="AQ742" s="732"/>
      <c r="AR742" s="732"/>
      <c r="AS742" s="732"/>
      <c r="AT742" s="732"/>
      <c r="AU742" s="732"/>
      <c r="AV742" s="732"/>
      <c r="AW742" s="732"/>
      <c r="AX742" s="732"/>
      <c r="AY742" s="732"/>
      <c r="AZ742" s="732"/>
      <c r="BA742" s="732"/>
      <c r="BB742" s="732"/>
      <c r="BC742" s="732"/>
      <c r="BD742" s="732"/>
      <c r="BE742" s="732"/>
      <c r="BF742" s="732"/>
      <c r="BG742" s="732"/>
      <c r="BH742" s="732"/>
      <c r="BI742" s="732"/>
      <c r="BJ742" s="732"/>
      <c r="BK742" s="732"/>
      <c r="BL742" s="732"/>
      <c r="BM742" s="732"/>
      <c r="BN742" s="732"/>
      <c r="BO742" s="732"/>
      <c r="BP742" s="732"/>
      <c r="BQ742" s="732"/>
      <c r="BR742" s="732"/>
      <c r="BS742" s="732"/>
      <c r="BT742" s="732"/>
      <c r="BU742" s="732"/>
      <c r="BV742" s="732"/>
      <c r="BW742" s="732"/>
      <c r="BX742" s="732"/>
      <c r="BY742" s="732"/>
      <c r="BZ742" s="732"/>
      <c r="CA742" s="732"/>
    </row>
    <row r="743" spans="1:79" hidden="1" outlineLevel="1" x14ac:dyDescent="0.35">
      <c r="A743" s="574"/>
      <c r="B743" s="574"/>
      <c r="C743" s="574"/>
      <c r="D743" s="574"/>
      <c r="E743" s="574"/>
      <c r="F743" s="672" t="s">
        <v>615</v>
      </c>
      <c r="G743" s="735"/>
      <c r="H743" s="735"/>
      <c r="I743" s="735"/>
      <c r="J743" s="735"/>
      <c r="K743" s="735"/>
      <c r="L743" s="735"/>
      <c r="M743" s="735"/>
      <c r="N743" s="735"/>
      <c r="O743" s="735"/>
      <c r="P743" s="732"/>
      <c r="Q743" s="732"/>
      <c r="R743" s="732"/>
      <c r="S743" s="692">
        <v>0</v>
      </c>
      <c r="T743" s="692">
        <v>0</v>
      </c>
      <c r="U743" s="692">
        <v>0</v>
      </c>
      <c r="V743" s="692">
        <v>0</v>
      </c>
      <c r="W743" s="692">
        <v>0</v>
      </c>
      <c r="X743" s="692">
        <v>0</v>
      </c>
      <c r="Y743" s="692">
        <v>0</v>
      </c>
      <c r="Z743" s="692">
        <v>0</v>
      </c>
      <c r="AA743" s="692">
        <v>0</v>
      </c>
      <c r="AB743" s="692">
        <v>0</v>
      </c>
      <c r="AC743" s="689">
        <v>0</v>
      </c>
      <c r="AD743" s="689">
        <v>0</v>
      </c>
      <c r="AE743" s="732"/>
      <c r="AF743" s="732"/>
      <c r="AG743" s="732"/>
      <c r="AH743" s="732"/>
      <c r="AI743" s="732"/>
      <c r="AJ743" s="732"/>
      <c r="AK743" s="732"/>
      <c r="AL743" s="732"/>
      <c r="AM743" s="732"/>
      <c r="AN743" s="732"/>
      <c r="AO743" s="732"/>
      <c r="AP743" s="732"/>
      <c r="AQ743" s="732"/>
      <c r="AR743" s="732"/>
      <c r="AS743" s="732"/>
      <c r="AT743" s="732"/>
      <c r="AU743" s="732"/>
      <c r="AV743" s="732"/>
      <c r="AW743" s="732"/>
      <c r="AX743" s="732"/>
      <c r="AY743" s="732"/>
      <c r="AZ743" s="732"/>
      <c r="BA743" s="732"/>
      <c r="BB743" s="732"/>
      <c r="BC743" s="732"/>
      <c r="BD743" s="732"/>
      <c r="BE743" s="732"/>
      <c r="BF743" s="732"/>
      <c r="BG743" s="732"/>
      <c r="BH743" s="732"/>
      <c r="BI743" s="732"/>
      <c r="BJ743" s="732"/>
      <c r="BK743" s="732"/>
      <c r="BL743" s="732"/>
      <c r="BM743" s="732"/>
      <c r="BN743" s="732"/>
      <c r="BO743" s="732"/>
      <c r="BP743" s="732"/>
      <c r="BQ743" s="732"/>
      <c r="BR743" s="732"/>
      <c r="BS743" s="732"/>
      <c r="BT743" s="732"/>
      <c r="BU743" s="732"/>
      <c r="BV743" s="732"/>
      <c r="BW743" s="732"/>
      <c r="BX743" s="732"/>
      <c r="BY743" s="732"/>
      <c r="BZ743" s="732"/>
      <c r="CA743" s="732"/>
    </row>
    <row r="744" spans="1:79" hidden="1" outlineLevel="1" x14ac:dyDescent="0.35">
      <c r="A744" s="574"/>
      <c r="B744" s="574"/>
      <c r="C744" s="574"/>
      <c r="D744" s="574"/>
      <c r="E744" s="574"/>
      <c r="F744" s="672" t="s">
        <v>616</v>
      </c>
      <c r="G744" s="735"/>
      <c r="H744" s="735"/>
      <c r="I744" s="735"/>
      <c r="J744" s="735"/>
      <c r="K744" s="735"/>
      <c r="L744" s="735"/>
      <c r="M744" s="735"/>
      <c r="N744" s="735"/>
      <c r="O744" s="735"/>
      <c r="P744" s="732"/>
      <c r="Q744" s="732"/>
      <c r="R744" s="732"/>
      <c r="S744" s="692">
        <v>0</v>
      </c>
      <c r="T744" s="692">
        <v>0</v>
      </c>
      <c r="U744" s="692">
        <v>0</v>
      </c>
      <c r="V744" s="692">
        <v>0</v>
      </c>
      <c r="W744" s="692">
        <v>0</v>
      </c>
      <c r="X744" s="692">
        <v>0</v>
      </c>
      <c r="Y744" s="692">
        <v>0</v>
      </c>
      <c r="Z744" s="692">
        <v>0</v>
      </c>
      <c r="AA744" s="692">
        <v>0</v>
      </c>
      <c r="AB744" s="692">
        <v>0</v>
      </c>
      <c r="AC744" s="689">
        <v>0</v>
      </c>
      <c r="AD744" s="689">
        <v>0</v>
      </c>
      <c r="AE744" s="732"/>
      <c r="AF744" s="732"/>
      <c r="AG744" s="732"/>
      <c r="AH744" s="732"/>
      <c r="AI744" s="732"/>
      <c r="AJ744" s="732"/>
      <c r="AK744" s="732"/>
      <c r="AL744" s="732"/>
      <c r="AM744" s="732"/>
      <c r="AN744" s="732"/>
      <c r="AO744" s="732"/>
      <c r="AP744" s="732"/>
      <c r="AQ744" s="732"/>
      <c r="AR744" s="732"/>
      <c r="AS744" s="732"/>
      <c r="AT744" s="732"/>
      <c r="AU744" s="732"/>
      <c r="AV744" s="732"/>
      <c r="AW744" s="732"/>
      <c r="AX744" s="732"/>
      <c r="AY744" s="732"/>
      <c r="AZ744" s="732"/>
      <c r="BA744" s="732"/>
      <c r="BB744" s="732"/>
      <c r="BC744" s="732"/>
      <c r="BD744" s="732"/>
      <c r="BE744" s="732"/>
      <c r="BF744" s="732"/>
      <c r="BG744" s="732"/>
      <c r="BH744" s="732"/>
      <c r="BI744" s="732"/>
      <c r="BJ744" s="732"/>
      <c r="BK744" s="732"/>
      <c r="BL744" s="732"/>
      <c r="BM744" s="732"/>
      <c r="BN744" s="732"/>
      <c r="BO744" s="732"/>
      <c r="BP744" s="732"/>
      <c r="BQ744" s="732"/>
      <c r="BR744" s="732"/>
      <c r="BS744" s="732"/>
      <c r="BT744" s="732"/>
      <c r="BU744" s="732"/>
      <c r="BV744" s="732"/>
      <c r="BW744" s="732"/>
      <c r="BX744" s="732"/>
      <c r="BY744" s="732"/>
      <c r="BZ744" s="732"/>
      <c r="CA744" s="732"/>
    </row>
    <row r="745" spans="1:79" hidden="1" outlineLevel="1" x14ac:dyDescent="0.35">
      <c r="A745" s="574"/>
      <c r="B745" s="574"/>
      <c r="C745" s="574"/>
      <c r="D745" s="574"/>
      <c r="E745" s="574"/>
      <c r="F745" s="672" t="s">
        <v>893</v>
      </c>
      <c r="G745" s="735"/>
      <c r="H745" s="735"/>
      <c r="I745" s="735"/>
      <c r="J745" s="735"/>
      <c r="K745" s="735"/>
      <c r="L745" s="735"/>
      <c r="M745" s="735"/>
      <c r="N745" s="735"/>
      <c r="O745" s="735"/>
      <c r="P745" s="732"/>
      <c r="Q745" s="732"/>
      <c r="R745" s="732"/>
      <c r="S745" s="692">
        <v>0</v>
      </c>
      <c r="T745" s="692">
        <v>0</v>
      </c>
      <c r="U745" s="692">
        <v>0</v>
      </c>
      <c r="V745" s="692">
        <v>0</v>
      </c>
      <c r="W745" s="692">
        <v>0</v>
      </c>
      <c r="X745" s="692">
        <v>0</v>
      </c>
      <c r="Y745" s="692">
        <v>0</v>
      </c>
      <c r="Z745" s="692">
        <v>0</v>
      </c>
      <c r="AA745" s="692">
        <v>0</v>
      </c>
      <c r="AB745" s="692">
        <v>0</v>
      </c>
      <c r="AC745" s="689">
        <v>0</v>
      </c>
      <c r="AD745" s="689">
        <v>0</v>
      </c>
      <c r="AE745" s="732"/>
      <c r="AF745" s="732"/>
      <c r="AG745" s="732"/>
      <c r="AH745" s="732"/>
      <c r="AI745" s="732"/>
      <c r="AJ745" s="732"/>
      <c r="AK745" s="732"/>
      <c r="AL745" s="732"/>
      <c r="AM745" s="732"/>
      <c r="AN745" s="732"/>
      <c r="AO745" s="732"/>
      <c r="AP745" s="732"/>
      <c r="AQ745" s="732"/>
      <c r="AR745" s="732"/>
      <c r="AS745" s="732"/>
      <c r="AT745" s="732"/>
      <c r="AU745" s="732"/>
      <c r="AV745" s="732"/>
      <c r="AW745" s="732"/>
      <c r="AX745" s="732"/>
      <c r="AY745" s="732"/>
      <c r="AZ745" s="732"/>
      <c r="BA745" s="732"/>
      <c r="BB745" s="732"/>
      <c r="BC745" s="732"/>
      <c r="BD745" s="732"/>
      <c r="BE745" s="732"/>
      <c r="BF745" s="732"/>
      <c r="BG745" s="732"/>
      <c r="BH745" s="732"/>
      <c r="BI745" s="732"/>
      <c r="BJ745" s="732"/>
      <c r="BK745" s="732"/>
      <c r="BL745" s="732"/>
      <c r="BM745" s="732"/>
      <c r="BN745" s="732"/>
      <c r="BO745" s="732"/>
      <c r="BP745" s="732"/>
      <c r="BQ745" s="732"/>
      <c r="BR745" s="732"/>
      <c r="BS745" s="732"/>
      <c r="BT745" s="732"/>
      <c r="BU745" s="732"/>
      <c r="BV745" s="732"/>
      <c r="BW745" s="732"/>
      <c r="BX745" s="732"/>
      <c r="BY745" s="732"/>
      <c r="BZ745" s="732"/>
      <c r="CA745" s="732"/>
    </row>
    <row r="746" spans="1:79" hidden="1" outlineLevel="1" x14ac:dyDescent="0.35">
      <c r="A746" s="574"/>
      <c r="B746" s="574"/>
      <c r="C746" s="574"/>
      <c r="D746" s="574"/>
      <c r="E746" s="574"/>
      <c r="F746" s="672" t="s">
        <v>768</v>
      </c>
      <c r="G746" s="735"/>
      <c r="H746" s="735"/>
      <c r="I746" s="735"/>
      <c r="J746" s="735"/>
      <c r="K746" s="735"/>
      <c r="L746" s="735"/>
      <c r="M746" s="735"/>
      <c r="N746" s="735"/>
      <c r="O746" s="735"/>
      <c r="P746" s="732"/>
      <c r="Q746" s="732"/>
      <c r="R746" s="732"/>
      <c r="S746" s="692">
        <v>0</v>
      </c>
      <c r="T746" s="692">
        <v>0</v>
      </c>
      <c r="U746" s="692">
        <v>0</v>
      </c>
      <c r="V746" s="692">
        <v>0</v>
      </c>
      <c r="W746" s="692">
        <v>0</v>
      </c>
      <c r="X746" s="692">
        <v>0</v>
      </c>
      <c r="Y746" s="692">
        <v>0</v>
      </c>
      <c r="Z746" s="692">
        <v>0</v>
      </c>
      <c r="AA746" s="692">
        <v>0</v>
      </c>
      <c r="AB746" s="692">
        <v>0</v>
      </c>
      <c r="AC746" s="689">
        <v>0</v>
      </c>
      <c r="AD746" s="689">
        <v>0</v>
      </c>
      <c r="AE746" s="732"/>
      <c r="AF746" s="732"/>
      <c r="AG746" s="732"/>
      <c r="AH746" s="732"/>
      <c r="AI746" s="732"/>
      <c r="AJ746" s="732"/>
      <c r="AK746" s="732"/>
      <c r="AL746" s="732"/>
      <c r="AM746" s="732"/>
      <c r="AN746" s="732"/>
      <c r="AO746" s="732"/>
      <c r="AP746" s="732"/>
      <c r="AQ746" s="732"/>
      <c r="AR746" s="732"/>
      <c r="AS746" s="732"/>
      <c r="AT746" s="732"/>
      <c r="AU746" s="732"/>
      <c r="AV746" s="732"/>
      <c r="AW746" s="732"/>
      <c r="AX746" s="732"/>
      <c r="AY746" s="732"/>
      <c r="AZ746" s="732"/>
      <c r="BA746" s="732"/>
      <c r="BB746" s="732"/>
      <c r="BC746" s="732"/>
      <c r="BD746" s="732"/>
      <c r="BE746" s="732"/>
      <c r="BF746" s="732"/>
      <c r="BG746" s="732"/>
      <c r="BH746" s="732"/>
      <c r="BI746" s="732"/>
      <c r="BJ746" s="732"/>
      <c r="BK746" s="732"/>
      <c r="BL746" s="732"/>
      <c r="BM746" s="732"/>
      <c r="BN746" s="732"/>
      <c r="BO746" s="732"/>
      <c r="BP746" s="732"/>
      <c r="BQ746" s="732"/>
      <c r="BR746" s="732"/>
      <c r="BS746" s="732"/>
      <c r="BT746" s="732"/>
      <c r="BU746" s="732"/>
      <c r="BV746" s="732"/>
      <c r="BW746" s="732"/>
      <c r="BX746" s="732"/>
      <c r="BY746" s="732"/>
      <c r="BZ746" s="732"/>
      <c r="CA746" s="732"/>
    </row>
    <row r="747" spans="1:79" hidden="1" outlineLevel="1" x14ac:dyDescent="0.35">
      <c r="A747" s="574"/>
      <c r="B747" s="574"/>
      <c r="C747" s="574"/>
      <c r="D747" s="574"/>
      <c r="E747" s="574"/>
      <c r="F747" s="672" t="s">
        <v>785</v>
      </c>
      <c r="G747" s="735"/>
      <c r="H747" s="735"/>
      <c r="I747" s="735"/>
      <c r="J747" s="735"/>
      <c r="K747" s="735"/>
      <c r="L747" s="735"/>
      <c r="M747" s="735"/>
      <c r="N747" s="735"/>
      <c r="O747" s="735"/>
      <c r="P747" s="732"/>
      <c r="Q747" s="732"/>
      <c r="R747" s="732"/>
      <c r="S747" s="692">
        <v>0</v>
      </c>
      <c r="T747" s="692">
        <v>0</v>
      </c>
      <c r="U747" s="692">
        <v>0</v>
      </c>
      <c r="V747" s="692">
        <v>0</v>
      </c>
      <c r="W747" s="692">
        <v>0</v>
      </c>
      <c r="X747" s="692">
        <v>0</v>
      </c>
      <c r="Y747" s="692">
        <v>0</v>
      </c>
      <c r="Z747" s="692">
        <v>0</v>
      </c>
      <c r="AA747" s="692">
        <v>0</v>
      </c>
      <c r="AB747" s="692">
        <v>0</v>
      </c>
      <c r="AC747" s="689">
        <v>0</v>
      </c>
      <c r="AD747" s="689">
        <v>0</v>
      </c>
      <c r="AE747" s="732"/>
      <c r="AF747" s="732"/>
      <c r="AG747" s="732"/>
      <c r="AH747" s="732"/>
      <c r="AI747" s="732"/>
      <c r="AJ747" s="732"/>
      <c r="AK747" s="732"/>
      <c r="AL747" s="732"/>
      <c r="AM747" s="732"/>
      <c r="AN747" s="732"/>
      <c r="AO747" s="732"/>
      <c r="AP747" s="732"/>
      <c r="AQ747" s="732"/>
      <c r="AR747" s="732"/>
      <c r="AS747" s="732"/>
      <c r="AT747" s="732"/>
      <c r="AU747" s="732"/>
      <c r="AV747" s="732"/>
      <c r="AW747" s="732"/>
      <c r="AX747" s="732"/>
      <c r="AY747" s="732"/>
      <c r="AZ747" s="732"/>
      <c r="BA747" s="732"/>
      <c r="BB747" s="732"/>
      <c r="BC747" s="732"/>
      <c r="BD747" s="732"/>
      <c r="BE747" s="732"/>
      <c r="BF747" s="732"/>
      <c r="BG747" s="732"/>
      <c r="BH747" s="732"/>
      <c r="BI747" s="732"/>
      <c r="BJ747" s="732"/>
      <c r="BK747" s="732"/>
      <c r="BL747" s="732"/>
      <c r="BM747" s="732"/>
      <c r="BN747" s="732"/>
      <c r="BO747" s="732"/>
      <c r="BP747" s="732"/>
      <c r="BQ747" s="732"/>
      <c r="BR747" s="732"/>
      <c r="BS747" s="732"/>
      <c r="BT747" s="732"/>
      <c r="BU747" s="732"/>
      <c r="BV747" s="732"/>
      <c r="BW747" s="732"/>
      <c r="BX747" s="732"/>
      <c r="BY747" s="732"/>
      <c r="BZ747" s="732"/>
      <c r="CA747" s="732"/>
    </row>
    <row r="748" spans="1:79" hidden="1" outlineLevel="1" x14ac:dyDescent="0.35">
      <c r="A748" s="574"/>
      <c r="B748" s="574"/>
      <c r="C748" s="574"/>
      <c r="D748" s="574"/>
      <c r="E748" s="574"/>
      <c r="F748" s="672" t="s">
        <v>617</v>
      </c>
      <c r="G748" s="735"/>
      <c r="H748" s="735"/>
      <c r="I748" s="735"/>
      <c r="J748" s="735"/>
      <c r="K748" s="735"/>
      <c r="L748" s="735"/>
      <c r="M748" s="735"/>
      <c r="N748" s="735"/>
      <c r="O748" s="735"/>
      <c r="P748" s="732"/>
      <c r="Q748" s="732"/>
      <c r="R748" s="732"/>
      <c r="S748" s="692">
        <v>0</v>
      </c>
      <c r="T748" s="692">
        <v>0</v>
      </c>
      <c r="U748" s="692">
        <v>0</v>
      </c>
      <c r="V748" s="692">
        <v>0</v>
      </c>
      <c r="W748" s="692">
        <v>0</v>
      </c>
      <c r="X748" s="692">
        <v>0</v>
      </c>
      <c r="Y748" s="692">
        <v>0</v>
      </c>
      <c r="Z748" s="692">
        <v>0</v>
      </c>
      <c r="AA748" s="692">
        <v>0</v>
      </c>
      <c r="AB748" s="692">
        <v>0</v>
      </c>
      <c r="AC748" s="689">
        <v>0</v>
      </c>
      <c r="AD748" s="689">
        <v>0</v>
      </c>
      <c r="AE748" s="732"/>
      <c r="AF748" s="732"/>
      <c r="AG748" s="732"/>
      <c r="AH748" s="732"/>
      <c r="AI748" s="732"/>
      <c r="AJ748" s="732"/>
      <c r="AK748" s="732"/>
      <c r="AL748" s="732"/>
      <c r="AM748" s="732"/>
      <c r="AN748" s="732"/>
      <c r="AO748" s="732"/>
      <c r="AP748" s="732"/>
      <c r="AQ748" s="732"/>
      <c r="AR748" s="732"/>
      <c r="AS748" s="732"/>
      <c r="AT748" s="732"/>
      <c r="AU748" s="732"/>
      <c r="AV748" s="732"/>
      <c r="AW748" s="732"/>
      <c r="AX748" s="732"/>
      <c r="AY748" s="732"/>
      <c r="AZ748" s="732"/>
      <c r="BA748" s="732"/>
      <c r="BB748" s="732"/>
      <c r="BC748" s="732"/>
      <c r="BD748" s="732"/>
      <c r="BE748" s="732"/>
      <c r="BF748" s="732"/>
      <c r="BG748" s="732"/>
      <c r="BH748" s="732"/>
      <c r="BI748" s="732"/>
      <c r="BJ748" s="732"/>
      <c r="BK748" s="732"/>
      <c r="BL748" s="732"/>
      <c r="BM748" s="732"/>
      <c r="BN748" s="732"/>
      <c r="BO748" s="732"/>
      <c r="BP748" s="732"/>
      <c r="BQ748" s="732"/>
      <c r="BR748" s="732"/>
      <c r="BS748" s="732"/>
      <c r="BT748" s="732"/>
      <c r="BU748" s="732"/>
      <c r="BV748" s="732"/>
      <c r="BW748" s="732"/>
      <c r="BX748" s="732"/>
      <c r="BY748" s="732"/>
      <c r="BZ748" s="732"/>
      <c r="CA748" s="732"/>
    </row>
    <row r="749" spans="1:79" hidden="1" outlineLevel="1" x14ac:dyDescent="0.35">
      <c r="A749" s="574"/>
      <c r="B749" s="574"/>
      <c r="C749" s="574"/>
      <c r="D749" s="574"/>
      <c r="E749" s="574"/>
      <c r="F749" s="672" t="s">
        <v>618</v>
      </c>
      <c r="G749" s="735"/>
      <c r="H749" s="735"/>
      <c r="I749" s="735"/>
      <c r="J749" s="735"/>
      <c r="K749" s="735"/>
      <c r="L749" s="735"/>
      <c r="M749" s="735"/>
      <c r="N749" s="735"/>
      <c r="O749" s="735"/>
      <c r="P749" s="732"/>
      <c r="Q749" s="732"/>
      <c r="R749" s="732"/>
      <c r="S749" s="692">
        <v>0</v>
      </c>
      <c r="T749" s="692">
        <v>0</v>
      </c>
      <c r="U749" s="692">
        <v>0</v>
      </c>
      <c r="V749" s="692">
        <v>0</v>
      </c>
      <c r="W749" s="692">
        <v>0</v>
      </c>
      <c r="X749" s="692">
        <v>0</v>
      </c>
      <c r="Y749" s="692">
        <v>0</v>
      </c>
      <c r="Z749" s="692">
        <v>0</v>
      </c>
      <c r="AA749" s="692">
        <v>0</v>
      </c>
      <c r="AB749" s="692">
        <v>0</v>
      </c>
      <c r="AC749" s="689">
        <v>0</v>
      </c>
      <c r="AD749" s="689">
        <v>0</v>
      </c>
      <c r="AE749" s="732"/>
      <c r="AF749" s="732"/>
      <c r="AG749" s="732"/>
      <c r="AH749" s="732"/>
      <c r="AI749" s="732"/>
      <c r="AJ749" s="732"/>
      <c r="AK749" s="732"/>
      <c r="AL749" s="732"/>
      <c r="AM749" s="732"/>
      <c r="AN749" s="732"/>
      <c r="AO749" s="732"/>
      <c r="AP749" s="732"/>
      <c r="AQ749" s="732"/>
      <c r="AR749" s="732"/>
      <c r="AS749" s="732"/>
      <c r="AT749" s="732"/>
      <c r="AU749" s="732"/>
      <c r="AV749" s="732"/>
      <c r="AW749" s="732"/>
      <c r="AX749" s="732"/>
      <c r="AY749" s="732"/>
      <c r="AZ749" s="732"/>
      <c r="BA749" s="732"/>
      <c r="BB749" s="732"/>
      <c r="BC749" s="732"/>
      <c r="BD749" s="732"/>
      <c r="BE749" s="732"/>
      <c r="BF749" s="732"/>
      <c r="BG749" s="732"/>
      <c r="BH749" s="732"/>
      <c r="BI749" s="732"/>
      <c r="BJ749" s="732"/>
      <c r="BK749" s="732"/>
      <c r="BL749" s="732"/>
      <c r="BM749" s="732"/>
      <c r="BN749" s="732"/>
      <c r="BO749" s="732"/>
      <c r="BP749" s="732"/>
      <c r="BQ749" s="732"/>
      <c r="BR749" s="732"/>
      <c r="BS749" s="732"/>
      <c r="BT749" s="732"/>
      <c r="BU749" s="732"/>
      <c r="BV749" s="732"/>
      <c r="BW749" s="732"/>
      <c r="BX749" s="732"/>
      <c r="BY749" s="732"/>
      <c r="BZ749" s="732"/>
      <c r="CA749" s="732"/>
    </row>
    <row r="750" spans="1:79" hidden="1" outlineLevel="1" x14ac:dyDescent="0.35">
      <c r="A750" s="574"/>
      <c r="B750" s="574"/>
      <c r="C750" s="574"/>
      <c r="D750" s="574"/>
      <c r="E750" s="574"/>
      <c r="F750" s="672" t="s">
        <v>619</v>
      </c>
      <c r="G750" s="735"/>
      <c r="H750" s="735"/>
      <c r="I750" s="735"/>
      <c r="J750" s="735"/>
      <c r="K750" s="735"/>
      <c r="L750" s="735"/>
      <c r="M750" s="735"/>
      <c r="N750" s="735"/>
      <c r="O750" s="735"/>
      <c r="P750" s="732"/>
      <c r="Q750" s="732"/>
      <c r="R750" s="732"/>
      <c r="S750" s="692">
        <v>0</v>
      </c>
      <c r="T750" s="692">
        <v>0</v>
      </c>
      <c r="U750" s="692">
        <v>0</v>
      </c>
      <c r="V750" s="692">
        <v>0</v>
      </c>
      <c r="W750" s="692">
        <v>0</v>
      </c>
      <c r="X750" s="692">
        <v>0</v>
      </c>
      <c r="Y750" s="692">
        <v>0</v>
      </c>
      <c r="Z750" s="692">
        <v>0</v>
      </c>
      <c r="AA750" s="692">
        <v>0</v>
      </c>
      <c r="AB750" s="692">
        <v>0</v>
      </c>
      <c r="AC750" s="689">
        <v>0</v>
      </c>
      <c r="AD750" s="689">
        <v>0</v>
      </c>
      <c r="AE750" s="732"/>
      <c r="AF750" s="732"/>
      <c r="AG750" s="732"/>
      <c r="AH750" s="732"/>
      <c r="AI750" s="732"/>
      <c r="AJ750" s="732"/>
      <c r="AK750" s="732"/>
      <c r="AL750" s="732"/>
      <c r="AM750" s="732"/>
      <c r="AN750" s="732"/>
      <c r="AO750" s="732"/>
      <c r="AP750" s="732"/>
      <c r="AQ750" s="732"/>
      <c r="AR750" s="732"/>
      <c r="AS750" s="732"/>
      <c r="AT750" s="732"/>
      <c r="AU750" s="732"/>
      <c r="AV750" s="732"/>
      <c r="AW750" s="732"/>
      <c r="AX750" s="732"/>
      <c r="AY750" s="732"/>
      <c r="AZ750" s="732"/>
      <c r="BA750" s="732"/>
      <c r="BB750" s="732"/>
      <c r="BC750" s="732"/>
      <c r="BD750" s="732"/>
      <c r="BE750" s="732"/>
      <c r="BF750" s="732"/>
      <c r="BG750" s="732"/>
      <c r="BH750" s="732"/>
      <c r="BI750" s="732"/>
      <c r="BJ750" s="732"/>
      <c r="BK750" s="732"/>
      <c r="BL750" s="732"/>
      <c r="BM750" s="732"/>
      <c r="BN750" s="732"/>
      <c r="BO750" s="732"/>
      <c r="BP750" s="732"/>
      <c r="BQ750" s="732"/>
      <c r="BR750" s="732"/>
      <c r="BS750" s="732"/>
      <c r="BT750" s="732"/>
      <c r="BU750" s="732"/>
      <c r="BV750" s="732"/>
      <c r="BW750" s="732"/>
      <c r="BX750" s="732"/>
      <c r="BY750" s="732"/>
      <c r="BZ750" s="732"/>
      <c r="CA750" s="732"/>
    </row>
    <row r="751" spans="1:79" hidden="1" outlineLevel="1" x14ac:dyDescent="0.35">
      <c r="A751" s="574"/>
      <c r="B751" s="574"/>
      <c r="C751" s="574"/>
      <c r="D751" s="574"/>
      <c r="E751" s="574"/>
      <c r="F751" s="672" t="s">
        <v>894</v>
      </c>
      <c r="G751" s="735"/>
      <c r="H751" s="735"/>
      <c r="I751" s="735"/>
      <c r="J751" s="735"/>
      <c r="K751" s="735"/>
      <c r="L751" s="735"/>
      <c r="M751" s="735"/>
      <c r="N751" s="735"/>
      <c r="O751" s="735"/>
      <c r="P751" s="732"/>
      <c r="Q751" s="732"/>
      <c r="R751" s="732"/>
      <c r="S751" s="692">
        <v>0</v>
      </c>
      <c r="T751" s="692">
        <v>0</v>
      </c>
      <c r="U751" s="692">
        <v>0</v>
      </c>
      <c r="V751" s="692">
        <v>0</v>
      </c>
      <c r="W751" s="692">
        <v>0</v>
      </c>
      <c r="X751" s="692">
        <v>0</v>
      </c>
      <c r="Y751" s="692">
        <v>0</v>
      </c>
      <c r="Z751" s="692">
        <v>0</v>
      </c>
      <c r="AA751" s="692">
        <v>0</v>
      </c>
      <c r="AB751" s="692">
        <v>0</v>
      </c>
      <c r="AC751" s="689">
        <v>0</v>
      </c>
      <c r="AD751" s="689">
        <v>0</v>
      </c>
      <c r="AE751" s="732"/>
      <c r="AF751" s="732"/>
      <c r="AG751" s="732"/>
      <c r="AH751" s="732"/>
      <c r="AI751" s="732"/>
      <c r="AJ751" s="732"/>
      <c r="AK751" s="732"/>
      <c r="AL751" s="732"/>
      <c r="AM751" s="732"/>
      <c r="AN751" s="732"/>
      <c r="AO751" s="732"/>
      <c r="AP751" s="732"/>
      <c r="AQ751" s="732"/>
      <c r="AR751" s="732"/>
      <c r="AS751" s="732"/>
      <c r="AT751" s="732"/>
      <c r="AU751" s="732"/>
      <c r="AV751" s="732"/>
      <c r="AW751" s="732"/>
      <c r="AX751" s="732"/>
      <c r="AY751" s="732"/>
      <c r="AZ751" s="732"/>
      <c r="BA751" s="732"/>
      <c r="BB751" s="732"/>
      <c r="BC751" s="732"/>
      <c r="BD751" s="732"/>
      <c r="BE751" s="732"/>
      <c r="BF751" s="732"/>
      <c r="BG751" s="732"/>
      <c r="BH751" s="732"/>
      <c r="BI751" s="732"/>
      <c r="BJ751" s="732"/>
      <c r="BK751" s="732"/>
      <c r="BL751" s="732"/>
      <c r="BM751" s="732"/>
      <c r="BN751" s="732"/>
      <c r="BO751" s="732"/>
      <c r="BP751" s="732"/>
      <c r="BQ751" s="732"/>
      <c r="BR751" s="732"/>
      <c r="BS751" s="732"/>
      <c r="BT751" s="732"/>
      <c r="BU751" s="732"/>
      <c r="BV751" s="732"/>
      <c r="BW751" s="732"/>
      <c r="BX751" s="732"/>
      <c r="BY751" s="732"/>
      <c r="BZ751" s="732"/>
      <c r="CA751" s="732"/>
    </row>
    <row r="752" spans="1:79" hidden="1" outlineLevel="1" x14ac:dyDescent="0.35">
      <c r="A752" s="574"/>
      <c r="B752" s="574"/>
      <c r="C752" s="574"/>
      <c r="D752" s="574"/>
      <c r="E752" s="574"/>
      <c r="F752" s="672" t="s">
        <v>620</v>
      </c>
      <c r="G752" s="735"/>
      <c r="H752" s="735"/>
      <c r="I752" s="735"/>
      <c r="J752" s="735"/>
      <c r="K752" s="735"/>
      <c r="L752" s="735"/>
      <c r="M752" s="735"/>
      <c r="N752" s="735"/>
      <c r="O752" s="735"/>
      <c r="P752" s="732"/>
      <c r="Q752" s="732"/>
      <c r="R752" s="732"/>
      <c r="S752" s="692">
        <v>0</v>
      </c>
      <c r="T752" s="692">
        <v>0</v>
      </c>
      <c r="U752" s="692">
        <v>0</v>
      </c>
      <c r="V752" s="692">
        <v>0</v>
      </c>
      <c r="W752" s="692">
        <v>0</v>
      </c>
      <c r="X752" s="692">
        <v>0</v>
      </c>
      <c r="Y752" s="692">
        <v>0</v>
      </c>
      <c r="Z752" s="692">
        <v>0</v>
      </c>
      <c r="AA752" s="692">
        <v>0</v>
      </c>
      <c r="AB752" s="692">
        <v>0</v>
      </c>
      <c r="AC752" s="689">
        <v>0</v>
      </c>
      <c r="AD752" s="689">
        <v>0</v>
      </c>
      <c r="AE752" s="732"/>
      <c r="AF752" s="732"/>
      <c r="AG752" s="732"/>
      <c r="AH752" s="732"/>
      <c r="AI752" s="732"/>
      <c r="AJ752" s="732"/>
      <c r="AK752" s="732"/>
      <c r="AL752" s="732"/>
      <c r="AM752" s="732"/>
      <c r="AN752" s="732"/>
      <c r="AO752" s="732"/>
      <c r="AP752" s="732"/>
      <c r="AQ752" s="732"/>
      <c r="AR752" s="732"/>
      <c r="AS752" s="732"/>
      <c r="AT752" s="732"/>
      <c r="AU752" s="732"/>
      <c r="AV752" s="732"/>
      <c r="AW752" s="732"/>
      <c r="AX752" s="732"/>
      <c r="AY752" s="732"/>
      <c r="AZ752" s="732"/>
      <c r="BA752" s="732"/>
      <c r="BB752" s="732"/>
      <c r="BC752" s="732"/>
      <c r="BD752" s="732"/>
      <c r="BE752" s="732"/>
      <c r="BF752" s="732"/>
      <c r="BG752" s="732"/>
      <c r="BH752" s="732"/>
      <c r="BI752" s="732"/>
      <c r="BJ752" s="732"/>
      <c r="BK752" s="732"/>
      <c r="BL752" s="732"/>
      <c r="BM752" s="732"/>
      <c r="BN752" s="732"/>
      <c r="BO752" s="732"/>
      <c r="BP752" s="732"/>
      <c r="BQ752" s="732"/>
      <c r="BR752" s="732"/>
      <c r="BS752" s="732"/>
      <c r="BT752" s="732"/>
      <c r="BU752" s="732"/>
      <c r="BV752" s="732"/>
      <c r="BW752" s="732"/>
      <c r="BX752" s="732"/>
      <c r="BY752" s="732"/>
      <c r="BZ752" s="732"/>
      <c r="CA752" s="732"/>
    </row>
    <row r="753" spans="1:79" hidden="1" outlineLevel="1" x14ac:dyDescent="0.35">
      <c r="A753" s="574"/>
      <c r="B753" s="574"/>
      <c r="C753" s="574"/>
      <c r="D753" s="574"/>
      <c r="E753" s="574"/>
      <c r="F753" s="675" t="s">
        <v>621</v>
      </c>
      <c r="G753" s="680">
        <f>SUM(G736:G752)</f>
        <v>0</v>
      </c>
      <c r="H753" s="680">
        <f t="shared" ref="H753:BO753" si="294">SUM(H736:H752)</f>
        <v>0</v>
      </c>
      <c r="I753" s="680">
        <f t="shared" si="294"/>
        <v>0</v>
      </c>
      <c r="J753" s="680">
        <f t="shared" si="294"/>
        <v>0</v>
      </c>
      <c r="K753" s="680">
        <f t="shared" si="294"/>
        <v>0</v>
      </c>
      <c r="L753" s="680">
        <f t="shared" si="294"/>
        <v>0</v>
      </c>
      <c r="M753" s="680">
        <f t="shared" si="294"/>
        <v>0</v>
      </c>
      <c r="N753" s="680">
        <f t="shared" si="294"/>
        <v>0</v>
      </c>
      <c r="O753" s="680">
        <f t="shared" si="294"/>
        <v>0</v>
      </c>
      <c r="P753" s="680">
        <f t="shared" si="294"/>
        <v>0</v>
      </c>
      <c r="Q753" s="680">
        <f t="shared" si="294"/>
        <v>0</v>
      </c>
      <c r="R753" s="680">
        <f t="shared" si="294"/>
        <v>0</v>
      </c>
      <c r="S753" s="694">
        <f t="shared" ref="S753:AA753" si="295">ROUND(SUM(S735:S752),5)</f>
        <v>0</v>
      </c>
      <c r="T753" s="694">
        <f t="shared" si="295"/>
        <v>0</v>
      </c>
      <c r="U753" s="694">
        <f t="shared" si="295"/>
        <v>0</v>
      </c>
      <c r="V753" s="694">
        <f t="shared" si="295"/>
        <v>0</v>
      </c>
      <c r="W753" s="694">
        <f t="shared" si="295"/>
        <v>0</v>
      </c>
      <c r="X753" s="694">
        <f t="shared" si="295"/>
        <v>0</v>
      </c>
      <c r="Y753" s="694">
        <f t="shared" si="295"/>
        <v>0</v>
      </c>
      <c r="Z753" s="694">
        <f t="shared" si="295"/>
        <v>0</v>
      </c>
      <c r="AA753" s="694">
        <f t="shared" si="295"/>
        <v>0</v>
      </c>
      <c r="AB753" s="694">
        <f>ROUND(SUM(AB735:AB752),5)</f>
        <v>0</v>
      </c>
      <c r="AC753" s="694">
        <f>ROUND(SUM(AC735:AC752),5)</f>
        <v>0</v>
      </c>
      <c r="AD753" s="694">
        <f>ROUND(SUM(AD735:AD752),5)</f>
        <v>0</v>
      </c>
      <c r="AE753" s="680">
        <f t="shared" si="294"/>
        <v>0</v>
      </c>
      <c r="AF753" s="680">
        <f t="shared" si="294"/>
        <v>0</v>
      </c>
      <c r="AG753" s="680">
        <f t="shared" si="294"/>
        <v>0</v>
      </c>
      <c r="AH753" s="680">
        <f t="shared" si="294"/>
        <v>0</v>
      </c>
      <c r="AI753" s="680">
        <f t="shared" si="294"/>
        <v>0</v>
      </c>
      <c r="AJ753" s="680">
        <f t="shared" si="294"/>
        <v>0</v>
      </c>
      <c r="AK753" s="680">
        <f t="shared" si="294"/>
        <v>0</v>
      </c>
      <c r="AL753" s="680">
        <f t="shared" si="294"/>
        <v>0</v>
      </c>
      <c r="AM753" s="680">
        <f t="shared" si="294"/>
        <v>0</v>
      </c>
      <c r="AN753" s="680">
        <f t="shared" si="294"/>
        <v>0</v>
      </c>
      <c r="AO753" s="680">
        <f t="shared" si="294"/>
        <v>0</v>
      </c>
      <c r="AP753" s="680">
        <f t="shared" si="294"/>
        <v>0</v>
      </c>
      <c r="AQ753" s="680">
        <f t="shared" si="294"/>
        <v>0</v>
      </c>
      <c r="AR753" s="680">
        <f t="shared" si="294"/>
        <v>0</v>
      </c>
      <c r="AS753" s="680">
        <f t="shared" si="294"/>
        <v>0</v>
      </c>
      <c r="AT753" s="680">
        <f t="shared" si="294"/>
        <v>0</v>
      </c>
      <c r="AU753" s="680">
        <f t="shared" si="294"/>
        <v>0</v>
      </c>
      <c r="AV753" s="680">
        <f t="shared" si="294"/>
        <v>0</v>
      </c>
      <c r="AW753" s="680">
        <f t="shared" si="294"/>
        <v>0</v>
      </c>
      <c r="AX753" s="680">
        <f t="shared" si="294"/>
        <v>0</v>
      </c>
      <c r="AY753" s="680">
        <f t="shared" si="294"/>
        <v>0</v>
      </c>
      <c r="AZ753" s="680">
        <f t="shared" si="294"/>
        <v>0</v>
      </c>
      <c r="BA753" s="680">
        <f t="shared" si="294"/>
        <v>0</v>
      </c>
      <c r="BB753" s="680">
        <f t="shared" si="294"/>
        <v>0</v>
      </c>
      <c r="BC753" s="680">
        <f t="shared" si="294"/>
        <v>0</v>
      </c>
      <c r="BD753" s="680">
        <f t="shared" si="294"/>
        <v>0</v>
      </c>
      <c r="BE753" s="680">
        <f t="shared" si="294"/>
        <v>0</v>
      </c>
      <c r="BF753" s="680">
        <f t="shared" si="294"/>
        <v>0</v>
      </c>
      <c r="BG753" s="680">
        <f t="shared" si="294"/>
        <v>0</v>
      </c>
      <c r="BH753" s="680">
        <f t="shared" si="294"/>
        <v>0</v>
      </c>
      <c r="BI753" s="680">
        <f t="shared" si="294"/>
        <v>0</v>
      </c>
      <c r="BJ753" s="680">
        <f t="shared" si="294"/>
        <v>0</v>
      </c>
      <c r="BK753" s="680">
        <f t="shared" si="294"/>
        <v>0</v>
      </c>
      <c r="BL753" s="680">
        <f t="shared" si="294"/>
        <v>0</v>
      </c>
      <c r="BM753" s="680">
        <f t="shared" si="294"/>
        <v>0</v>
      </c>
      <c r="BN753" s="680">
        <f t="shared" si="294"/>
        <v>0</v>
      </c>
      <c r="BO753" s="680">
        <f t="shared" si="294"/>
        <v>0</v>
      </c>
      <c r="BP753" s="680">
        <f t="shared" ref="BP753:CA753" si="296">SUM(BP736:BP752)</f>
        <v>0</v>
      </c>
      <c r="BQ753" s="680">
        <f t="shared" si="296"/>
        <v>0</v>
      </c>
      <c r="BR753" s="680">
        <f t="shared" si="296"/>
        <v>0</v>
      </c>
      <c r="BS753" s="680">
        <f t="shared" si="296"/>
        <v>0</v>
      </c>
      <c r="BT753" s="680">
        <f t="shared" si="296"/>
        <v>0</v>
      </c>
      <c r="BU753" s="680">
        <f t="shared" si="296"/>
        <v>0</v>
      </c>
      <c r="BV753" s="680">
        <f t="shared" si="296"/>
        <v>0</v>
      </c>
      <c r="BW753" s="680">
        <f t="shared" si="296"/>
        <v>0</v>
      </c>
      <c r="BX753" s="680">
        <f t="shared" si="296"/>
        <v>0</v>
      </c>
      <c r="BY753" s="680">
        <f t="shared" si="296"/>
        <v>0</v>
      </c>
      <c r="BZ753" s="680">
        <f t="shared" si="296"/>
        <v>0</v>
      </c>
      <c r="CA753" s="680">
        <f t="shared" si="296"/>
        <v>0</v>
      </c>
    </row>
    <row r="754" spans="1:79" s="709" customFormat="1" hidden="1" outlineLevel="1" x14ac:dyDescent="0.35">
      <c r="F754" s="707" t="s">
        <v>598</v>
      </c>
      <c r="G754" s="750"/>
      <c r="H754" s="750"/>
      <c r="I754" s="750"/>
      <c r="J754" s="750"/>
      <c r="K754" s="750"/>
      <c r="L754" s="750"/>
      <c r="M754" s="750"/>
      <c r="N754" s="750"/>
      <c r="O754" s="750"/>
      <c r="P754" s="751"/>
      <c r="Q754" s="751"/>
      <c r="R754" s="751"/>
      <c r="S754" s="724"/>
      <c r="T754" s="724"/>
      <c r="U754" s="724"/>
      <c r="V754" s="724"/>
      <c r="W754" s="724"/>
      <c r="X754" s="724"/>
      <c r="Y754" s="724"/>
      <c r="Z754" s="724"/>
      <c r="AA754" s="724"/>
      <c r="AB754" s="724"/>
      <c r="AC754" s="722"/>
      <c r="AD754" s="722"/>
      <c r="AE754" s="751"/>
      <c r="AF754" s="751"/>
      <c r="AG754" s="751"/>
      <c r="AH754" s="751"/>
      <c r="AI754" s="751"/>
      <c r="AJ754" s="751"/>
      <c r="AK754" s="751"/>
      <c r="AL754" s="751"/>
      <c r="AM754" s="751"/>
      <c r="AN754" s="751"/>
      <c r="AO754" s="751"/>
      <c r="AP754" s="751"/>
      <c r="AQ754" s="751"/>
      <c r="AR754" s="751"/>
      <c r="AS754" s="751"/>
      <c r="AT754" s="751"/>
      <c r="AU754" s="751"/>
      <c r="AV754" s="751"/>
      <c r="AW754" s="751"/>
      <c r="AX754" s="751"/>
      <c r="AY754" s="751"/>
      <c r="AZ754" s="751"/>
      <c r="BA754" s="751"/>
      <c r="BB754" s="751"/>
      <c r="BC754" s="751"/>
      <c r="BD754" s="751"/>
      <c r="BE754" s="751"/>
      <c r="BF754" s="751"/>
      <c r="BG754" s="751"/>
      <c r="BH754" s="751"/>
      <c r="BI754" s="751"/>
      <c r="BJ754" s="751"/>
      <c r="BK754" s="751"/>
      <c r="BL754" s="751"/>
      <c r="BM754" s="751"/>
      <c r="BN754" s="751"/>
      <c r="BO754" s="751"/>
      <c r="BP754" s="751"/>
      <c r="BQ754" s="751"/>
      <c r="BR754" s="751"/>
      <c r="BS754" s="751"/>
      <c r="BT754" s="751"/>
      <c r="BU754" s="751"/>
      <c r="BV754" s="751"/>
      <c r="BW754" s="751"/>
      <c r="BX754" s="751"/>
      <c r="BY754" s="751"/>
      <c r="BZ754" s="751"/>
      <c r="CA754" s="751"/>
    </row>
    <row r="755" spans="1:79" hidden="1" outlineLevel="1" x14ac:dyDescent="0.35">
      <c r="A755" s="574"/>
      <c r="B755" s="574"/>
      <c r="C755" s="574"/>
      <c r="D755" s="574"/>
      <c r="E755" s="574"/>
      <c r="F755" s="672" t="s">
        <v>895</v>
      </c>
      <c r="G755" s="735"/>
      <c r="H755" s="735"/>
      <c r="I755" s="735"/>
      <c r="J755" s="735"/>
      <c r="K755" s="735"/>
      <c r="L755" s="735"/>
      <c r="M755" s="735"/>
      <c r="N755" s="735"/>
      <c r="O755" s="735"/>
      <c r="P755" s="732"/>
      <c r="Q755" s="732"/>
      <c r="R755" s="732"/>
      <c r="S755" s="700">
        <v>0</v>
      </c>
      <c r="T755" s="700">
        <v>0</v>
      </c>
      <c r="U755" s="700">
        <v>0</v>
      </c>
      <c r="V755" s="700">
        <v>0</v>
      </c>
      <c r="W755" s="700">
        <v>0</v>
      </c>
      <c r="X755" s="700">
        <v>0</v>
      </c>
      <c r="Y755" s="700">
        <v>0</v>
      </c>
      <c r="Z755" s="700">
        <v>0</v>
      </c>
      <c r="AA755" s="700">
        <v>0</v>
      </c>
      <c r="AB755" s="700">
        <v>0</v>
      </c>
      <c r="AC755" s="697">
        <v>0</v>
      </c>
      <c r="AD755" s="697">
        <v>0</v>
      </c>
      <c r="AE755" s="732"/>
      <c r="AF755" s="732"/>
      <c r="AG755" s="732"/>
      <c r="AH755" s="732"/>
      <c r="AI755" s="732"/>
      <c r="AJ755" s="732"/>
      <c r="AK755" s="732"/>
      <c r="AL755" s="732"/>
      <c r="AM755" s="732"/>
      <c r="AN755" s="732"/>
      <c r="AO755" s="732"/>
      <c r="AP755" s="732"/>
      <c r="AQ755" s="732"/>
      <c r="AR755" s="732"/>
      <c r="AS755" s="732"/>
      <c r="AT755" s="732"/>
      <c r="AU755" s="732"/>
      <c r="AV755" s="732"/>
      <c r="AW755" s="732"/>
      <c r="AX755" s="732"/>
      <c r="AY755" s="732"/>
      <c r="AZ755" s="732"/>
      <c r="BA755" s="732"/>
      <c r="BB755" s="732"/>
      <c r="BC755" s="732"/>
      <c r="BD755" s="732"/>
      <c r="BE755" s="732"/>
      <c r="BF755" s="732"/>
      <c r="BG755" s="732"/>
      <c r="BH755" s="732"/>
      <c r="BI755" s="732"/>
      <c r="BJ755" s="732"/>
      <c r="BK755" s="732"/>
      <c r="BL755" s="732"/>
      <c r="BM755" s="732"/>
      <c r="BN755" s="732"/>
      <c r="BO755" s="732"/>
      <c r="BP755" s="732"/>
      <c r="BQ755" s="732"/>
      <c r="BR755" s="732"/>
      <c r="BS755" s="732"/>
      <c r="BT755" s="732"/>
      <c r="BU755" s="732"/>
      <c r="BV755" s="732"/>
      <c r="BW755" s="732"/>
      <c r="BX755" s="732"/>
      <c r="BY755" s="732"/>
      <c r="BZ755" s="732"/>
      <c r="CA755" s="732"/>
    </row>
    <row r="756" spans="1:79" hidden="1" outlineLevel="1" x14ac:dyDescent="0.35">
      <c r="F756" s="672" t="s">
        <v>622</v>
      </c>
      <c r="G756" s="735">
        <v>302.77830672229516</v>
      </c>
      <c r="H756" s="735">
        <v>107.12866927662951</v>
      </c>
      <c r="I756" s="735">
        <v>115.242027022299</v>
      </c>
      <c r="J756" s="735">
        <v>188.05275791701524</v>
      </c>
      <c r="K756" s="735">
        <v>258.32489440135402</v>
      </c>
      <c r="L756" s="735">
        <v>341.19035999850996</v>
      </c>
      <c r="M756" s="735">
        <v>236.31244924632784</v>
      </c>
      <c r="N756" s="735">
        <v>180.88595017619494</v>
      </c>
      <c r="O756" s="735">
        <v>268.66217237424803</v>
      </c>
      <c r="P756" s="732">
        <v>290.95128970301607</v>
      </c>
      <c r="Q756" s="732">
        <v>117.16349856523964</v>
      </c>
      <c r="R756" s="732">
        <v>26.426062591615533</v>
      </c>
      <c r="S756" s="683">
        <v>0</v>
      </c>
      <c r="T756" s="683">
        <v>0</v>
      </c>
      <c r="U756" s="683">
        <v>419.38</v>
      </c>
      <c r="V756" s="683">
        <v>746.4</v>
      </c>
      <c r="W756" s="683">
        <v>226.48</v>
      </c>
      <c r="X756" s="683">
        <v>0</v>
      </c>
      <c r="Y756" s="683">
        <v>0</v>
      </c>
      <c r="Z756" s="683">
        <v>72.69</v>
      </c>
      <c r="AA756" s="683">
        <v>0</v>
      </c>
      <c r="AB756" s="683">
        <v>76.680000000000007</v>
      </c>
      <c r="AC756" s="681">
        <v>1447.77</v>
      </c>
      <c r="AD756" s="681">
        <v>0</v>
      </c>
      <c r="AE756" s="732"/>
      <c r="AF756" s="732"/>
      <c r="AG756" s="732"/>
      <c r="AH756" s="732"/>
      <c r="AI756" s="732"/>
      <c r="AJ756" s="732"/>
      <c r="AK756" s="732"/>
      <c r="AL756" s="732"/>
      <c r="AM756" s="732"/>
      <c r="AN756" s="732"/>
      <c r="AO756" s="732"/>
      <c r="AP756" s="732"/>
      <c r="AQ756" s="732"/>
      <c r="AR756" s="732"/>
      <c r="AS756" s="732"/>
      <c r="AT756" s="732"/>
      <c r="AU756" s="732"/>
      <c r="AV756" s="732"/>
      <c r="AW756" s="732"/>
      <c r="AX756" s="732"/>
      <c r="AY756" s="732"/>
      <c r="AZ756" s="732"/>
      <c r="BA756" s="732"/>
      <c r="BB756" s="732"/>
      <c r="BC756" s="732"/>
      <c r="BD756" s="732"/>
      <c r="BE756" s="732"/>
      <c r="BF756" s="732"/>
      <c r="BG756" s="732"/>
      <c r="BH756" s="732"/>
      <c r="BI756" s="732"/>
      <c r="BJ756" s="732"/>
      <c r="BK756" s="732"/>
      <c r="BL756" s="732"/>
      <c r="BM756" s="732"/>
      <c r="BN756" s="732"/>
      <c r="BO756" s="732"/>
      <c r="BP756" s="732"/>
      <c r="BQ756" s="732"/>
      <c r="BR756" s="732"/>
      <c r="BS756" s="732"/>
      <c r="BT756" s="732"/>
      <c r="BU756" s="732"/>
      <c r="BV756" s="732"/>
      <c r="BW756" s="732"/>
      <c r="BX756" s="732"/>
      <c r="BY756" s="732"/>
      <c r="BZ756" s="732"/>
      <c r="CA756" s="732"/>
    </row>
    <row r="757" spans="1:79" hidden="1" outlineLevel="1" x14ac:dyDescent="0.35">
      <c r="A757" s="574"/>
      <c r="B757" s="574"/>
      <c r="C757" s="574"/>
      <c r="D757" s="574"/>
      <c r="E757" s="574"/>
      <c r="F757" s="673" t="s">
        <v>623</v>
      </c>
      <c r="G757" s="680">
        <f>SUM(G755:G756)</f>
        <v>302.77830672229516</v>
      </c>
      <c r="H757" s="680">
        <f t="shared" ref="H757:BO757" si="297">SUM(H755:H756)</f>
        <v>107.12866927662951</v>
      </c>
      <c r="I757" s="680">
        <f t="shared" si="297"/>
        <v>115.242027022299</v>
      </c>
      <c r="J757" s="680">
        <f t="shared" si="297"/>
        <v>188.05275791701524</v>
      </c>
      <c r="K757" s="680">
        <f t="shared" si="297"/>
        <v>258.32489440135402</v>
      </c>
      <c r="L757" s="680">
        <f t="shared" si="297"/>
        <v>341.19035999850996</v>
      </c>
      <c r="M757" s="680">
        <f t="shared" si="297"/>
        <v>236.31244924632784</v>
      </c>
      <c r="N757" s="680">
        <f t="shared" si="297"/>
        <v>180.88595017619494</v>
      </c>
      <c r="O757" s="680">
        <f t="shared" si="297"/>
        <v>268.66217237424803</v>
      </c>
      <c r="P757" s="680">
        <f t="shared" si="297"/>
        <v>290.95128970301607</v>
      </c>
      <c r="Q757" s="680">
        <f t="shared" si="297"/>
        <v>117.16349856523964</v>
      </c>
      <c r="R757" s="680">
        <f t="shared" si="297"/>
        <v>26.426062591615533</v>
      </c>
      <c r="S757" s="694">
        <f t="shared" ref="S757:AA757" si="298">ROUND(SUM(S754:S756),5)</f>
        <v>0</v>
      </c>
      <c r="T757" s="694">
        <f t="shared" si="298"/>
        <v>0</v>
      </c>
      <c r="U757" s="694">
        <f t="shared" si="298"/>
        <v>419.38</v>
      </c>
      <c r="V757" s="694">
        <f t="shared" si="298"/>
        <v>746.4</v>
      </c>
      <c r="W757" s="694">
        <f t="shared" si="298"/>
        <v>226.48</v>
      </c>
      <c r="X757" s="694">
        <f t="shared" si="298"/>
        <v>0</v>
      </c>
      <c r="Y757" s="694">
        <f t="shared" si="298"/>
        <v>0</v>
      </c>
      <c r="Z757" s="694">
        <f t="shared" si="298"/>
        <v>72.69</v>
      </c>
      <c r="AA757" s="694">
        <f t="shared" si="298"/>
        <v>0</v>
      </c>
      <c r="AB757" s="694">
        <f>ROUND(SUM(AB754:AB756),5)</f>
        <v>76.680000000000007</v>
      </c>
      <c r="AC757" s="694">
        <f>ROUND(SUM(AC754:AC756),5)</f>
        <v>1447.77</v>
      </c>
      <c r="AD757" s="694">
        <f>ROUND(SUM(AD754:AD756),5)</f>
        <v>0</v>
      </c>
      <c r="AE757" s="680">
        <f t="shared" si="297"/>
        <v>0</v>
      </c>
      <c r="AF757" s="680">
        <f t="shared" si="297"/>
        <v>0</v>
      </c>
      <c r="AG757" s="680">
        <f t="shared" si="297"/>
        <v>0</v>
      </c>
      <c r="AH757" s="680">
        <f t="shared" si="297"/>
        <v>0</v>
      </c>
      <c r="AI757" s="680">
        <f t="shared" si="297"/>
        <v>0</v>
      </c>
      <c r="AJ757" s="680">
        <f t="shared" si="297"/>
        <v>0</v>
      </c>
      <c r="AK757" s="680">
        <f t="shared" si="297"/>
        <v>0</v>
      </c>
      <c r="AL757" s="680">
        <f t="shared" si="297"/>
        <v>0</v>
      </c>
      <c r="AM757" s="680">
        <f t="shared" si="297"/>
        <v>0</v>
      </c>
      <c r="AN757" s="680">
        <f t="shared" si="297"/>
        <v>0</v>
      </c>
      <c r="AO757" s="680">
        <f t="shared" si="297"/>
        <v>0</v>
      </c>
      <c r="AP757" s="680">
        <f t="shared" si="297"/>
        <v>0</v>
      </c>
      <c r="AQ757" s="680">
        <f t="shared" si="297"/>
        <v>0</v>
      </c>
      <c r="AR757" s="680">
        <f t="shared" si="297"/>
        <v>0</v>
      </c>
      <c r="AS757" s="680">
        <f t="shared" si="297"/>
        <v>0</v>
      </c>
      <c r="AT757" s="680">
        <f t="shared" si="297"/>
        <v>0</v>
      </c>
      <c r="AU757" s="680">
        <f t="shared" si="297"/>
        <v>0</v>
      </c>
      <c r="AV757" s="680">
        <f t="shared" si="297"/>
        <v>0</v>
      </c>
      <c r="AW757" s="680">
        <f t="shared" si="297"/>
        <v>0</v>
      </c>
      <c r="AX757" s="680">
        <f t="shared" si="297"/>
        <v>0</v>
      </c>
      <c r="AY757" s="680">
        <f t="shared" si="297"/>
        <v>0</v>
      </c>
      <c r="AZ757" s="680">
        <f t="shared" si="297"/>
        <v>0</v>
      </c>
      <c r="BA757" s="680">
        <f t="shared" si="297"/>
        <v>0</v>
      </c>
      <c r="BB757" s="680">
        <f t="shared" si="297"/>
        <v>0</v>
      </c>
      <c r="BC757" s="680">
        <f t="shared" si="297"/>
        <v>0</v>
      </c>
      <c r="BD757" s="680">
        <f t="shared" si="297"/>
        <v>0</v>
      </c>
      <c r="BE757" s="680">
        <f t="shared" si="297"/>
        <v>0</v>
      </c>
      <c r="BF757" s="680">
        <f t="shared" si="297"/>
        <v>0</v>
      </c>
      <c r="BG757" s="680">
        <f t="shared" si="297"/>
        <v>0</v>
      </c>
      <c r="BH757" s="680">
        <f t="shared" si="297"/>
        <v>0</v>
      </c>
      <c r="BI757" s="680">
        <f t="shared" si="297"/>
        <v>0</v>
      </c>
      <c r="BJ757" s="680">
        <f t="shared" si="297"/>
        <v>0</v>
      </c>
      <c r="BK757" s="680">
        <f t="shared" si="297"/>
        <v>0</v>
      </c>
      <c r="BL757" s="680">
        <f t="shared" si="297"/>
        <v>0</v>
      </c>
      <c r="BM757" s="680">
        <f t="shared" si="297"/>
        <v>0</v>
      </c>
      <c r="BN757" s="680">
        <f t="shared" si="297"/>
        <v>0</v>
      </c>
      <c r="BO757" s="680">
        <f t="shared" si="297"/>
        <v>0</v>
      </c>
      <c r="BP757" s="680">
        <f t="shared" ref="BP757:CA757" si="299">SUM(BP755:BP756)</f>
        <v>0</v>
      </c>
      <c r="BQ757" s="680">
        <f t="shared" si="299"/>
        <v>0</v>
      </c>
      <c r="BR757" s="680">
        <f t="shared" si="299"/>
        <v>0</v>
      </c>
      <c r="BS757" s="680">
        <f t="shared" si="299"/>
        <v>0</v>
      </c>
      <c r="BT757" s="680">
        <f t="shared" si="299"/>
        <v>0</v>
      </c>
      <c r="BU757" s="680">
        <f t="shared" si="299"/>
        <v>0</v>
      </c>
      <c r="BV757" s="680">
        <f t="shared" si="299"/>
        <v>0</v>
      </c>
      <c r="BW757" s="680">
        <f t="shared" si="299"/>
        <v>0</v>
      </c>
      <c r="BX757" s="680">
        <f t="shared" si="299"/>
        <v>0</v>
      </c>
      <c r="BY757" s="680">
        <f t="shared" si="299"/>
        <v>0</v>
      </c>
      <c r="BZ757" s="680">
        <f t="shared" si="299"/>
        <v>0</v>
      </c>
      <c r="CA757" s="680">
        <f t="shared" si="299"/>
        <v>0</v>
      </c>
    </row>
    <row r="758" spans="1:79" hidden="1" outlineLevel="1" x14ac:dyDescent="0.35">
      <c r="F758" s="674" t="s">
        <v>599</v>
      </c>
      <c r="G758" s="735">
        <v>0</v>
      </c>
      <c r="H758" s="735"/>
      <c r="I758" s="735"/>
      <c r="J758" s="735"/>
      <c r="K758" s="735">
        <v>8.9619604892281295</v>
      </c>
      <c r="L758" s="735">
        <v>53.4420280841032</v>
      </c>
      <c r="M758" s="735">
        <v>38.017327887725905</v>
      </c>
      <c r="N758" s="735">
        <v>0.44378214341557171</v>
      </c>
      <c r="O758" s="735"/>
      <c r="P758" s="732">
        <v>291.12041808904797</v>
      </c>
      <c r="Q758" s="732">
        <v>39.300972212137147</v>
      </c>
      <c r="R758" s="732">
        <v>204.85342322777717</v>
      </c>
      <c r="S758" s="683">
        <v>0</v>
      </c>
      <c r="T758" s="683">
        <v>21.89</v>
      </c>
      <c r="U758" s="683">
        <v>0</v>
      </c>
      <c r="V758" s="683">
        <v>0</v>
      </c>
      <c r="W758" s="683">
        <v>53.65</v>
      </c>
      <c r="X758" s="683">
        <v>0</v>
      </c>
      <c r="Y758" s="683">
        <v>0</v>
      </c>
      <c r="Z758" s="683">
        <v>84.64</v>
      </c>
      <c r="AA758" s="683">
        <v>0</v>
      </c>
      <c r="AB758" s="683">
        <v>140.4</v>
      </c>
      <c r="AC758" s="681">
        <v>0</v>
      </c>
      <c r="AD758" s="681">
        <v>0</v>
      </c>
      <c r="AE758" s="732"/>
      <c r="AF758" s="732"/>
      <c r="AG758" s="732"/>
      <c r="AH758" s="732"/>
      <c r="AI758" s="732"/>
      <c r="AJ758" s="732"/>
      <c r="AK758" s="732"/>
      <c r="AL758" s="732"/>
      <c r="AM758" s="732"/>
      <c r="AN758" s="732"/>
      <c r="AO758" s="732"/>
      <c r="AP758" s="732"/>
      <c r="AQ758" s="732"/>
      <c r="AR758" s="732"/>
      <c r="AS758" s="732"/>
      <c r="AT758" s="732"/>
      <c r="AU758" s="732"/>
      <c r="AV758" s="732"/>
      <c r="AW758" s="732"/>
      <c r="AX758" s="732"/>
      <c r="AY758" s="732"/>
      <c r="AZ758" s="732"/>
      <c r="BA758" s="732"/>
      <c r="BB758" s="732"/>
      <c r="BC758" s="732"/>
      <c r="BD758" s="732"/>
      <c r="BE758" s="732"/>
      <c r="BF758" s="732"/>
      <c r="BG758" s="732"/>
      <c r="BH758" s="732"/>
      <c r="BI758" s="732"/>
      <c r="BJ758" s="732"/>
      <c r="BK758" s="732"/>
      <c r="BL758" s="732"/>
      <c r="BM758" s="732"/>
      <c r="BN758" s="732"/>
      <c r="BO758" s="732"/>
      <c r="BP758" s="732"/>
      <c r="BQ758" s="732"/>
      <c r="BR758" s="732"/>
      <c r="BS758" s="732"/>
      <c r="BT758" s="732"/>
      <c r="BU758" s="732"/>
      <c r="BV758" s="732"/>
      <c r="BW758" s="732"/>
      <c r="BX758" s="732"/>
      <c r="BY758" s="732"/>
      <c r="BZ758" s="732"/>
      <c r="CA758" s="732"/>
    </row>
    <row r="759" spans="1:79" hidden="1" outlineLevel="1" x14ac:dyDescent="0.35">
      <c r="F759" s="674" t="s">
        <v>600</v>
      </c>
      <c r="G759" s="735">
        <v>5.6781674878658306</v>
      </c>
      <c r="H759" s="735">
        <v>3.0336948377151041</v>
      </c>
      <c r="I759" s="735"/>
      <c r="J759" s="735">
        <v>4.3836270446975503</v>
      </c>
      <c r="K759" s="735">
        <v>41.958947482725833</v>
      </c>
      <c r="L759" s="735">
        <v>1.4314616995741991</v>
      </c>
      <c r="M759" s="735"/>
      <c r="N759" s="735">
        <v>2.0161882458055622</v>
      </c>
      <c r="O759" s="735">
        <v>0.53140649316109323</v>
      </c>
      <c r="P759" s="732">
        <v>10.018128995198005</v>
      </c>
      <c r="Q759" s="732">
        <v>53.700688283530731</v>
      </c>
      <c r="R759" s="732">
        <v>21.641182316495023</v>
      </c>
      <c r="S759" s="683">
        <v>0</v>
      </c>
      <c r="T759" s="683">
        <v>0</v>
      </c>
      <c r="U759" s="683">
        <v>0</v>
      </c>
      <c r="V759" s="683">
        <v>0</v>
      </c>
      <c r="W759" s="683">
        <v>0</v>
      </c>
      <c r="X759" s="683">
        <v>0</v>
      </c>
      <c r="Y759" s="683">
        <v>0</v>
      </c>
      <c r="Z759" s="683">
        <v>0</v>
      </c>
      <c r="AA759" s="683">
        <v>881.17</v>
      </c>
      <c r="AB759" s="683">
        <v>0</v>
      </c>
      <c r="AC759" s="681">
        <v>47.62</v>
      </c>
      <c r="AD759" s="681">
        <v>0</v>
      </c>
      <c r="AE759" s="732"/>
      <c r="AF759" s="732"/>
      <c r="AG759" s="732"/>
      <c r="AH759" s="732"/>
      <c r="AI759" s="732"/>
      <c r="AJ759" s="732"/>
      <c r="AK759" s="732"/>
      <c r="AL759" s="732"/>
      <c r="AM759" s="732"/>
      <c r="AN759" s="732"/>
      <c r="AO759" s="732"/>
      <c r="AP759" s="732"/>
      <c r="AQ759" s="732"/>
      <c r="AR759" s="732"/>
      <c r="AS759" s="732"/>
      <c r="AT759" s="732"/>
      <c r="AU759" s="732"/>
      <c r="AV759" s="732"/>
      <c r="AW759" s="732"/>
      <c r="AX759" s="732"/>
      <c r="AY759" s="732"/>
      <c r="AZ759" s="732"/>
      <c r="BA759" s="732"/>
      <c r="BB759" s="732"/>
      <c r="BC759" s="732"/>
      <c r="BD759" s="732"/>
      <c r="BE759" s="732"/>
      <c r="BF759" s="732"/>
      <c r="BG759" s="732"/>
      <c r="BH759" s="732"/>
      <c r="BI759" s="732"/>
      <c r="BJ759" s="732"/>
      <c r="BK759" s="732"/>
      <c r="BL759" s="732"/>
      <c r="BM759" s="732"/>
      <c r="BN759" s="732"/>
      <c r="BO759" s="732"/>
      <c r="BP759" s="732"/>
      <c r="BQ759" s="732"/>
      <c r="BR759" s="732"/>
      <c r="BS759" s="732"/>
      <c r="BT759" s="732"/>
      <c r="BU759" s="732"/>
      <c r="BV759" s="732"/>
      <c r="BW759" s="732"/>
      <c r="BX759" s="732"/>
      <c r="BY759" s="732"/>
      <c r="BZ759" s="732"/>
      <c r="CA759" s="732"/>
    </row>
    <row r="760" spans="1:79" hidden="1" outlineLevel="1" x14ac:dyDescent="0.35">
      <c r="F760" s="674" t="s">
        <v>601</v>
      </c>
      <c r="G760" s="735">
        <v>0</v>
      </c>
      <c r="H760" s="735"/>
      <c r="I760" s="735"/>
      <c r="J760" s="735">
        <v>104.64480418023321</v>
      </c>
      <c r="K760" s="735">
        <v>8.9485376827040728</v>
      </c>
      <c r="L760" s="735"/>
      <c r="M760" s="735"/>
      <c r="N760" s="735"/>
      <c r="O760" s="735">
        <v>7.9339793652980459</v>
      </c>
      <c r="P760" s="732">
        <v>0.18685958779334608</v>
      </c>
      <c r="Q760" s="732">
        <v>19.134696914958475</v>
      </c>
      <c r="R760" s="732"/>
      <c r="S760" s="683">
        <v>0</v>
      </c>
      <c r="T760" s="683">
        <v>0</v>
      </c>
      <c r="U760" s="683">
        <v>33.67</v>
      </c>
      <c r="V760" s="683">
        <v>0</v>
      </c>
      <c r="W760" s="683">
        <v>454.53</v>
      </c>
      <c r="X760" s="683">
        <v>0</v>
      </c>
      <c r="Y760" s="683">
        <v>0</v>
      </c>
      <c r="Z760" s="683">
        <v>0</v>
      </c>
      <c r="AA760" s="683">
        <v>0</v>
      </c>
      <c r="AB760" s="683">
        <v>0</v>
      </c>
      <c r="AC760" s="681">
        <v>0</v>
      </c>
      <c r="AD760" s="681">
        <v>0</v>
      </c>
      <c r="AE760" s="732"/>
      <c r="AF760" s="732"/>
      <c r="AG760" s="732"/>
      <c r="AH760" s="732"/>
      <c r="AI760" s="732"/>
      <c r="AJ760" s="732"/>
      <c r="AK760" s="732"/>
      <c r="AL760" s="732"/>
      <c r="AM760" s="732"/>
      <c r="AN760" s="732"/>
      <c r="AO760" s="732"/>
      <c r="AP760" s="732"/>
      <c r="AQ760" s="732"/>
      <c r="AR760" s="732"/>
      <c r="AS760" s="732"/>
      <c r="AT760" s="732"/>
      <c r="AU760" s="732"/>
      <c r="AV760" s="732"/>
      <c r="AW760" s="732"/>
      <c r="AX760" s="732"/>
      <c r="AY760" s="732"/>
      <c r="AZ760" s="732"/>
      <c r="BA760" s="732"/>
      <c r="BB760" s="732"/>
      <c r="BC760" s="732"/>
      <c r="BD760" s="732"/>
      <c r="BE760" s="732"/>
      <c r="BF760" s="732"/>
      <c r="BG760" s="732"/>
      <c r="BH760" s="732"/>
      <c r="BI760" s="732"/>
      <c r="BJ760" s="732"/>
      <c r="BK760" s="732"/>
      <c r="BL760" s="732"/>
      <c r="BM760" s="732"/>
      <c r="BN760" s="732"/>
      <c r="BO760" s="732"/>
      <c r="BP760" s="732"/>
      <c r="BQ760" s="732"/>
      <c r="BR760" s="732"/>
      <c r="BS760" s="732"/>
      <c r="BT760" s="732"/>
      <c r="BU760" s="732"/>
      <c r="BV760" s="732"/>
      <c r="BW760" s="732"/>
      <c r="BX760" s="732"/>
      <c r="BY760" s="732"/>
      <c r="BZ760" s="732"/>
      <c r="CA760" s="732"/>
    </row>
    <row r="761" spans="1:79" s="716" customFormat="1" hidden="1" outlineLevel="1" x14ac:dyDescent="0.35">
      <c r="F761" s="717" t="s">
        <v>602</v>
      </c>
      <c r="G761" s="750"/>
      <c r="H761" s="750"/>
      <c r="I761" s="750"/>
      <c r="J761" s="750"/>
      <c r="K761" s="750"/>
      <c r="L761" s="750"/>
      <c r="M761" s="750"/>
      <c r="N761" s="750"/>
      <c r="O761" s="750"/>
      <c r="P761" s="751"/>
      <c r="Q761" s="751"/>
      <c r="R761" s="751"/>
      <c r="S761" s="713"/>
      <c r="T761" s="713"/>
      <c r="U761" s="713"/>
      <c r="V761" s="713"/>
      <c r="W761" s="713"/>
      <c r="X761" s="713"/>
      <c r="Y761" s="713"/>
      <c r="Z761" s="713"/>
      <c r="AA761" s="713"/>
      <c r="AB761" s="713"/>
      <c r="AC761" s="712"/>
      <c r="AD761" s="712"/>
      <c r="AE761" s="751"/>
      <c r="AF761" s="751"/>
      <c r="AG761" s="751"/>
      <c r="AH761" s="751"/>
      <c r="AI761" s="751"/>
      <c r="AJ761" s="751"/>
      <c r="AK761" s="751"/>
      <c r="AL761" s="751"/>
      <c r="AM761" s="751"/>
      <c r="AN761" s="751"/>
      <c r="AO761" s="751"/>
      <c r="AP761" s="751"/>
      <c r="AQ761" s="751"/>
      <c r="AR761" s="751"/>
      <c r="AS761" s="751"/>
      <c r="AT761" s="751"/>
      <c r="AU761" s="751"/>
      <c r="AV761" s="751"/>
      <c r="AW761" s="751"/>
      <c r="AX761" s="751"/>
      <c r="AY761" s="751"/>
      <c r="AZ761" s="751"/>
      <c r="BA761" s="751"/>
      <c r="BB761" s="751"/>
      <c r="BC761" s="751"/>
      <c r="BD761" s="751"/>
      <c r="BE761" s="751"/>
      <c r="BF761" s="751"/>
      <c r="BG761" s="751"/>
      <c r="BH761" s="751"/>
      <c r="BI761" s="751"/>
      <c r="BJ761" s="751"/>
      <c r="BK761" s="751"/>
      <c r="BL761" s="751"/>
      <c r="BM761" s="751"/>
      <c r="BN761" s="751"/>
      <c r="BO761" s="751"/>
      <c r="BP761" s="751"/>
      <c r="BQ761" s="751"/>
      <c r="BR761" s="751"/>
      <c r="BS761" s="751"/>
      <c r="BT761" s="751"/>
      <c r="BU761" s="751"/>
      <c r="BV761" s="751"/>
      <c r="BW761" s="751"/>
      <c r="BX761" s="751"/>
      <c r="BY761" s="751"/>
      <c r="BZ761" s="751"/>
      <c r="CA761" s="751"/>
    </row>
    <row r="762" spans="1:79" s="757" customFormat="1" hidden="1" outlineLevel="1" x14ac:dyDescent="0.35">
      <c r="A762" s="504"/>
      <c r="B762" s="504"/>
      <c r="C762" s="504"/>
      <c r="D762" s="504"/>
      <c r="E762" s="504"/>
      <c r="F762" s="672" t="s">
        <v>653</v>
      </c>
      <c r="G762" s="735"/>
      <c r="H762" s="735"/>
      <c r="I762" s="735"/>
      <c r="J762" s="735"/>
      <c r="K762" s="735"/>
      <c r="L762" s="735"/>
      <c r="M762" s="735"/>
      <c r="N762" s="735"/>
      <c r="O762" s="735"/>
      <c r="P762" s="732"/>
      <c r="Q762" s="732"/>
      <c r="R762" s="732"/>
      <c r="S762" s="692">
        <v>0</v>
      </c>
      <c r="T762" s="692">
        <v>0</v>
      </c>
      <c r="U762" s="692">
        <v>0</v>
      </c>
      <c r="V762" s="692">
        <v>0</v>
      </c>
      <c r="W762" s="692">
        <v>0</v>
      </c>
      <c r="X762" s="692">
        <v>0</v>
      </c>
      <c r="Y762" s="692">
        <v>0</v>
      </c>
      <c r="Z762" s="692">
        <v>0</v>
      </c>
      <c r="AA762" s="692">
        <v>0</v>
      </c>
      <c r="AB762" s="692">
        <v>0</v>
      </c>
      <c r="AC762" s="685">
        <v>0</v>
      </c>
      <c r="AD762" s="685">
        <v>0</v>
      </c>
      <c r="AE762" s="732"/>
      <c r="AF762" s="732"/>
      <c r="AG762" s="732"/>
      <c r="AH762" s="732"/>
      <c r="AI762" s="732"/>
      <c r="AJ762" s="732"/>
      <c r="AK762" s="732"/>
      <c r="AL762" s="732"/>
      <c r="AM762" s="732"/>
      <c r="AN762" s="732"/>
      <c r="AO762" s="732"/>
      <c r="AP762" s="732"/>
      <c r="AQ762" s="732"/>
      <c r="AR762" s="732"/>
      <c r="AS762" s="732"/>
      <c r="AT762" s="732"/>
      <c r="AU762" s="732"/>
      <c r="AV762" s="732"/>
      <c r="AW762" s="732"/>
      <c r="AX762" s="732"/>
      <c r="AY762" s="732"/>
      <c r="AZ762" s="732"/>
      <c r="BA762" s="732"/>
      <c r="BB762" s="732"/>
      <c r="BC762" s="732"/>
      <c r="BD762" s="732"/>
      <c r="BE762" s="732"/>
      <c r="BF762" s="732"/>
      <c r="BG762" s="732"/>
      <c r="BH762" s="732"/>
      <c r="BI762" s="732"/>
      <c r="BJ762" s="732"/>
      <c r="BK762" s="732"/>
      <c r="BL762" s="732"/>
      <c r="BM762" s="732"/>
      <c r="BN762" s="732"/>
      <c r="BO762" s="732"/>
      <c r="BP762" s="732"/>
      <c r="BQ762" s="732"/>
      <c r="BR762" s="732"/>
      <c r="BS762" s="732"/>
      <c r="BT762" s="732"/>
      <c r="BU762" s="732"/>
      <c r="BV762" s="732"/>
      <c r="BW762" s="732"/>
      <c r="BX762" s="732"/>
      <c r="BY762" s="732"/>
      <c r="BZ762" s="732"/>
      <c r="CA762" s="732"/>
    </row>
    <row r="763" spans="1:79" s="757" customFormat="1" hidden="1" outlineLevel="1" x14ac:dyDescent="0.35">
      <c r="A763" s="504"/>
      <c r="B763" s="504"/>
      <c r="C763" s="504"/>
      <c r="D763" s="504"/>
      <c r="E763" s="504"/>
      <c r="F763" s="672" t="s">
        <v>624</v>
      </c>
      <c r="G763" s="735"/>
      <c r="H763" s="735"/>
      <c r="I763" s="735"/>
      <c r="J763" s="735"/>
      <c r="K763" s="735"/>
      <c r="L763" s="735"/>
      <c r="M763" s="735"/>
      <c r="N763" s="735"/>
      <c r="O763" s="735"/>
      <c r="P763" s="732"/>
      <c r="Q763" s="732"/>
      <c r="R763" s="732"/>
      <c r="S763" s="683">
        <v>0</v>
      </c>
      <c r="T763" s="683">
        <v>0</v>
      </c>
      <c r="U763" s="683">
        <v>0</v>
      </c>
      <c r="V763" s="683">
        <v>0</v>
      </c>
      <c r="W763" s="683">
        <v>0</v>
      </c>
      <c r="X763" s="683">
        <v>0</v>
      </c>
      <c r="Y763" s="683">
        <v>0</v>
      </c>
      <c r="Z763" s="683">
        <v>0</v>
      </c>
      <c r="AA763" s="683">
        <v>0</v>
      </c>
      <c r="AB763" s="683">
        <v>0</v>
      </c>
      <c r="AC763" s="697">
        <v>0</v>
      </c>
      <c r="AD763" s="697">
        <v>0</v>
      </c>
      <c r="AE763" s="732"/>
      <c r="AF763" s="732"/>
      <c r="AG763" s="732"/>
      <c r="AH763" s="732"/>
      <c r="AI763" s="732"/>
      <c r="AJ763" s="732"/>
      <c r="AK763" s="732"/>
      <c r="AL763" s="732"/>
      <c r="AM763" s="732"/>
      <c r="AN763" s="732"/>
      <c r="AO763" s="732"/>
      <c r="AP763" s="732"/>
      <c r="AQ763" s="732"/>
      <c r="AR763" s="732"/>
      <c r="AS763" s="732"/>
      <c r="AT763" s="732"/>
      <c r="AU763" s="732"/>
      <c r="AV763" s="732"/>
      <c r="AW763" s="732"/>
      <c r="AX763" s="732"/>
      <c r="AY763" s="732"/>
      <c r="AZ763" s="732"/>
      <c r="BA763" s="732"/>
      <c r="BB763" s="732"/>
      <c r="BC763" s="732"/>
      <c r="BD763" s="732"/>
      <c r="BE763" s="732"/>
      <c r="BF763" s="732"/>
      <c r="BG763" s="732"/>
      <c r="BH763" s="732"/>
      <c r="BI763" s="732"/>
      <c r="BJ763" s="732"/>
      <c r="BK763" s="732"/>
      <c r="BL763" s="732"/>
      <c r="BM763" s="732"/>
      <c r="BN763" s="732"/>
      <c r="BO763" s="732"/>
      <c r="BP763" s="732"/>
      <c r="BQ763" s="732"/>
      <c r="BR763" s="732"/>
      <c r="BS763" s="732"/>
      <c r="BT763" s="732"/>
      <c r="BU763" s="732"/>
      <c r="BV763" s="732"/>
      <c r="BW763" s="732"/>
      <c r="BX763" s="732"/>
      <c r="BY763" s="732"/>
      <c r="BZ763" s="732"/>
      <c r="CA763" s="732"/>
    </row>
    <row r="764" spans="1:79" s="757" customFormat="1" hidden="1" outlineLevel="1" x14ac:dyDescent="0.35">
      <c r="A764" s="504"/>
      <c r="B764" s="504"/>
      <c r="C764" s="504"/>
      <c r="D764" s="504"/>
      <c r="E764" s="504"/>
      <c r="F764" s="672" t="s">
        <v>670</v>
      </c>
      <c r="G764" s="735"/>
      <c r="H764" s="735"/>
      <c r="I764" s="735"/>
      <c r="J764" s="735"/>
      <c r="K764" s="735"/>
      <c r="L764" s="735"/>
      <c r="M764" s="735"/>
      <c r="N764" s="735"/>
      <c r="O764" s="735"/>
      <c r="P764" s="732"/>
      <c r="Q764" s="732"/>
      <c r="R764" s="732"/>
      <c r="S764" s="683">
        <v>0</v>
      </c>
      <c r="T764" s="683">
        <v>0</v>
      </c>
      <c r="U764" s="683">
        <v>0</v>
      </c>
      <c r="V764" s="683">
        <v>0</v>
      </c>
      <c r="W764" s="683">
        <v>0</v>
      </c>
      <c r="X764" s="683">
        <v>0</v>
      </c>
      <c r="Y764" s="683">
        <v>0</v>
      </c>
      <c r="Z764" s="683">
        <v>0</v>
      </c>
      <c r="AA764" s="683">
        <v>0</v>
      </c>
      <c r="AB764" s="683">
        <v>0</v>
      </c>
      <c r="AC764" s="697">
        <v>0</v>
      </c>
      <c r="AD764" s="697">
        <v>0</v>
      </c>
      <c r="AE764" s="732"/>
      <c r="AF764" s="732"/>
      <c r="AG764" s="732"/>
      <c r="AH764" s="732"/>
      <c r="AI764" s="732"/>
      <c r="AJ764" s="732"/>
      <c r="AK764" s="732"/>
      <c r="AL764" s="732"/>
      <c r="AM764" s="732"/>
      <c r="AN764" s="732"/>
      <c r="AO764" s="732"/>
      <c r="AP764" s="732"/>
      <c r="AQ764" s="732"/>
      <c r="AR764" s="732"/>
      <c r="AS764" s="732"/>
      <c r="AT764" s="732"/>
      <c r="AU764" s="732"/>
      <c r="AV764" s="732"/>
      <c r="AW764" s="732"/>
      <c r="AX764" s="732"/>
      <c r="AY764" s="732"/>
      <c r="AZ764" s="732"/>
      <c r="BA764" s="732"/>
      <c r="BB764" s="732"/>
      <c r="BC764" s="732"/>
      <c r="BD764" s="732"/>
      <c r="BE764" s="732"/>
      <c r="BF764" s="732"/>
      <c r="BG764" s="732"/>
      <c r="BH764" s="732"/>
      <c r="BI764" s="732"/>
      <c r="BJ764" s="732"/>
      <c r="BK764" s="732"/>
      <c r="BL764" s="732"/>
      <c r="BM764" s="732"/>
      <c r="BN764" s="732"/>
      <c r="BO764" s="732"/>
      <c r="BP764" s="732"/>
      <c r="BQ764" s="732"/>
      <c r="BR764" s="732"/>
      <c r="BS764" s="732"/>
      <c r="BT764" s="732"/>
      <c r="BU764" s="732"/>
      <c r="BV764" s="732"/>
      <c r="BW764" s="732"/>
      <c r="BX764" s="732"/>
      <c r="BY764" s="732"/>
      <c r="BZ764" s="732"/>
      <c r="CA764" s="732"/>
    </row>
    <row r="765" spans="1:79" s="452" customFormat="1" hidden="1" outlineLevel="1" x14ac:dyDescent="0.35">
      <c r="A765" s="80"/>
      <c r="B765" s="80"/>
      <c r="C765" s="80"/>
      <c r="D765" s="80"/>
      <c r="E765" s="80"/>
      <c r="F765" s="672" t="s">
        <v>625</v>
      </c>
      <c r="G765" s="732">
        <v>1340</v>
      </c>
      <c r="H765" s="732">
        <v>3012.0155061767273</v>
      </c>
      <c r="I765" s="732">
        <v>2304</v>
      </c>
      <c r="J765" s="732">
        <v>3097.5120585789114</v>
      </c>
      <c r="K765" s="732">
        <v>3096.7068686719704</v>
      </c>
      <c r="L765" s="732">
        <v>3372.6806247749187</v>
      </c>
      <c r="M765" s="732">
        <v>3929.6499192621604</v>
      </c>
      <c r="N765" s="732">
        <v>4690.4005373135196</v>
      </c>
      <c r="O765" s="732">
        <v>4166.7970472637262</v>
      </c>
      <c r="P765" s="732">
        <v>4627.4380331497159</v>
      </c>
      <c r="Q765" s="732">
        <v>5233.3314304922224</v>
      </c>
      <c r="R765" s="732">
        <v>5023.6787895708676</v>
      </c>
      <c r="S765" s="683">
        <v>17399.939999999999</v>
      </c>
      <c r="T765" s="683">
        <v>2395</v>
      </c>
      <c r="U765" s="683">
        <v>17262.650000000001</v>
      </c>
      <c r="V765" s="683">
        <v>21845.95</v>
      </c>
      <c r="W765" s="683">
        <v>26398.36</v>
      </c>
      <c r="X765" s="683">
        <v>6000</v>
      </c>
      <c r="Y765" s="683">
        <v>46279.96</v>
      </c>
      <c r="Z765" s="683">
        <v>35001.94</v>
      </c>
      <c r="AA765" s="683">
        <v>32803.440000000002</v>
      </c>
      <c r="AB765" s="683">
        <v>33178.54</v>
      </c>
      <c r="AC765" s="697">
        <v>32840.21</v>
      </c>
      <c r="AD765" s="697">
        <v>40796.839999999997</v>
      </c>
      <c r="AE765" s="732"/>
      <c r="AF765" s="732"/>
      <c r="AG765" s="732"/>
      <c r="AH765" s="732"/>
      <c r="AI765" s="732"/>
      <c r="AJ765" s="732"/>
      <c r="AK765" s="732"/>
      <c r="AL765" s="732"/>
      <c r="AM765" s="732"/>
      <c r="AN765" s="732"/>
      <c r="AO765" s="732"/>
      <c r="AP765" s="732"/>
      <c r="AQ765" s="732"/>
      <c r="AR765" s="732"/>
      <c r="AS765" s="732"/>
      <c r="AT765" s="732"/>
      <c r="AU765" s="732"/>
      <c r="AV765" s="732"/>
      <c r="AW765" s="732"/>
      <c r="AX765" s="732"/>
      <c r="AY765" s="732"/>
      <c r="AZ765" s="732"/>
      <c r="BA765" s="732"/>
      <c r="BB765" s="732"/>
      <c r="BC765" s="732"/>
      <c r="BD765" s="732"/>
      <c r="BE765" s="732"/>
      <c r="BF765" s="732"/>
      <c r="BG765" s="732"/>
      <c r="BH765" s="732"/>
      <c r="BI765" s="732"/>
      <c r="BJ765" s="732"/>
      <c r="BK765" s="732"/>
      <c r="BL765" s="732"/>
      <c r="BM765" s="732"/>
      <c r="BN765" s="732"/>
      <c r="BO765" s="732"/>
      <c r="BP765" s="732"/>
      <c r="BQ765" s="732"/>
      <c r="BR765" s="732"/>
      <c r="BS765" s="732"/>
      <c r="BT765" s="732"/>
      <c r="BU765" s="732"/>
      <c r="BV765" s="732"/>
      <c r="BW765" s="732"/>
      <c r="BX765" s="732"/>
      <c r="BY765" s="732"/>
      <c r="BZ765" s="732"/>
      <c r="CA765" s="732"/>
    </row>
    <row r="766" spans="1:79" s="452" customFormat="1" hidden="1" outlineLevel="1" x14ac:dyDescent="0.35">
      <c r="A766" s="580"/>
      <c r="B766" s="580"/>
      <c r="C766" s="580"/>
      <c r="D766" s="580"/>
      <c r="E766" s="580"/>
      <c r="F766" s="672" t="s">
        <v>654</v>
      </c>
      <c r="G766" s="732"/>
      <c r="H766" s="732"/>
      <c r="I766" s="732"/>
      <c r="J766" s="732"/>
      <c r="K766" s="732"/>
      <c r="L766" s="732"/>
      <c r="M766" s="732"/>
      <c r="N766" s="732"/>
      <c r="O766" s="732"/>
      <c r="P766" s="732"/>
      <c r="Q766" s="732"/>
      <c r="R766" s="732"/>
      <c r="S766" s="683">
        <v>0</v>
      </c>
      <c r="T766" s="683">
        <v>0</v>
      </c>
      <c r="U766" s="683">
        <v>0</v>
      </c>
      <c r="V766" s="683">
        <v>0</v>
      </c>
      <c r="W766" s="683">
        <v>0</v>
      </c>
      <c r="X766" s="683">
        <v>0</v>
      </c>
      <c r="Y766" s="683">
        <v>0</v>
      </c>
      <c r="Z766" s="683">
        <v>0</v>
      </c>
      <c r="AA766" s="683">
        <v>0</v>
      </c>
      <c r="AB766" s="683">
        <v>0</v>
      </c>
      <c r="AC766" s="697">
        <v>0</v>
      </c>
      <c r="AD766" s="697">
        <v>0</v>
      </c>
      <c r="AE766" s="732"/>
      <c r="AF766" s="732"/>
      <c r="AG766" s="732"/>
      <c r="AH766" s="732"/>
      <c r="AI766" s="732"/>
      <c r="AJ766" s="732"/>
      <c r="AK766" s="732"/>
      <c r="AL766" s="732"/>
      <c r="AM766" s="732"/>
      <c r="AN766" s="732"/>
      <c r="AO766" s="732"/>
      <c r="AP766" s="732"/>
      <c r="AQ766" s="732"/>
      <c r="AR766" s="732"/>
      <c r="AS766" s="732"/>
      <c r="AT766" s="732"/>
      <c r="AU766" s="732"/>
      <c r="AV766" s="732"/>
      <c r="AW766" s="732"/>
      <c r="AX766" s="732"/>
      <c r="AY766" s="732"/>
      <c r="AZ766" s="732"/>
      <c r="BA766" s="732"/>
      <c r="BB766" s="732"/>
      <c r="BC766" s="732"/>
      <c r="BD766" s="732"/>
      <c r="BE766" s="732"/>
      <c r="BF766" s="732"/>
      <c r="BG766" s="732"/>
      <c r="BH766" s="732"/>
      <c r="BI766" s="732"/>
      <c r="BJ766" s="732"/>
      <c r="BK766" s="732"/>
      <c r="BL766" s="732"/>
      <c r="BM766" s="732"/>
      <c r="BN766" s="732"/>
      <c r="BO766" s="732"/>
      <c r="BP766" s="732"/>
      <c r="BQ766" s="732"/>
      <c r="BR766" s="732"/>
      <c r="BS766" s="732"/>
      <c r="BT766" s="732"/>
      <c r="BU766" s="732"/>
      <c r="BV766" s="732"/>
      <c r="BW766" s="732"/>
      <c r="BX766" s="732"/>
      <c r="BY766" s="732"/>
      <c r="BZ766" s="732"/>
      <c r="CA766" s="732"/>
    </row>
    <row r="767" spans="1:79" s="452" customFormat="1" hidden="1" outlineLevel="1" x14ac:dyDescent="0.35">
      <c r="A767" s="580"/>
      <c r="B767" s="580"/>
      <c r="C767" s="580"/>
      <c r="D767" s="580"/>
      <c r="E767" s="580"/>
      <c r="F767" s="672" t="s">
        <v>651</v>
      </c>
      <c r="G767" s="732"/>
      <c r="H767" s="732"/>
      <c r="I767" s="732"/>
      <c r="J767" s="732"/>
      <c r="K767" s="732"/>
      <c r="L767" s="732"/>
      <c r="M767" s="732"/>
      <c r="N767" s="732"/>
      <c r="O767" s="732"/>
      <c r="P767" s="732"/>
      <c r="Q767" s="732"/>
      <c r="R767" s="732"/>
      <c r="S767" s="700">
        <v>0</v>
      </c>
      <c r="T767" s="700">
        <v>0</v>
      </c>
      <c r="U767" s="700">
        <v>0</v>
      </c>
      <c r="V767" s="700">
        <v>0</v>
      </c>
      <c r="W767" s="700">
        <v>0</v>
      </c>
      <c r="X767" s="700">
        <v>0</v>
      </c>
      <c r="Y767" s="700">
        <v>0</v>
      </c>
      <c r="Z767" s="700">
        <v>0</v>
      </c>
      <c r="AA767" s="700">
        <v>0</v>
      </c>
      <c r="AB767" s="700">
        <v>0</v>
      </c>
      <c r="AC767" s="681">
        <v>0</v>
      </c>
      <c r="AD767" s="681">
        <v>0</v>
      </c>
      <c r="AE767" s="732"/>
      <c r="AF767" s="732"/>
      <c r="AG767" s="732"/>
      <c r="AH767" s="732"/>
      <c r="AI767" s="732"/>
      <c r="AJ767" s="732"/>
      <c r="AK767" s="732"/>
      <c r="AL767" s="732"/>
      <c r="AM767" s="732"/>
      <c r="AN767" s="732"/>
      <c r="AO767" s="732"/>
      <c r="AP767" s="732"/>
      <c r="AQ767" s="732"/>
      <c r="AR767" s="732"/>
      <c r="AS767" s="732"/>
      <c r="AT767" s="732"/>
      <c r="AU767" s="732"/>
      <c r="AV767" s="732"/>
      <c r="AW767" s="732"/>
      <c r="AX767" s="732"/>
      <c r="AY767" s="732"/>
      <c r="AZ767" s="732"/>
      <c r="BA767" s="732"/>
      <c r="BB767" s="732"/>
      <c r="BC767" s="732"/>
      <c r="BD767" s="732"/>
      <c r="BE767" s="732"/>
      <c r="BF767" s="732"/>
      <c r="BG767" s="732"/>
      <c r="BH767" s="732"/>
      <c r="BI767" s="732"/>
      <c r="BJ767" s="732"/>
      <c r="BK767" s="732"/>
      <c r="BL767" s="732"/>
      <c r="BM767" s="732"/>
      <c r="BN767" s="732"/>
      <c r="BO767" s="732"/>
      <c r="BP767" s="732"/>
      <c r="BQ767" s="732"/>
      <c r="BR767" s="732"/>
      <c r="BS767" s="732"/>
      <c r="BT767" s="732"/>
      <c r="BU767" s="732"/>
      <c r="BV767" s="732"/>
      <c r="BW767" s="732"/>
      <c r="BX767" s="732"/>
      <c r="BY767" s="732"/>
      <c r="BZ767" s="732"/>
      <c r="CA767" s="732"/>
    </row>
    <row r="768" spans="1:79" s="452" customFormat="1" hidden="1" outlineLevel="1" x14ac:dyDescent="0.35">
      <c r="A768" s="580"/>
      <c r="B768" s="580"/>
      <c r="C768" s="580"/>
      <c r="D768" s="580"/>
      <c r="E768" s="580"/>
      <c r="F768" s="672" t="s">
        <v>896</v>
      </c>
      <c r="G768" s="732"/>
      <c r="H768" s="732"/>
      <c r="I768" s="732"/>
      <c r="J768" s="732"/>
      <c r="K768" s="732"/>
      <c r="L768" s="732"/>
      <c r="M768" s="732"/>
      <c r="N768" s="732"/>
      <c r="O768" s="732"/>
      <c r="P768" s="732"/>
      <c r="Q768" s="732"/>
      <c r="R768" s="732"/>
      <c r="S768" s="700">
        <v>0</v>
      </c>
      <c r="T768" s="700">
        <v>0</v>
      </c>
      <c r="U768" s="700">
        <v>0</v>
      </c>
      <c r="V768" s="700">
        <v>0</v>
      </c>
      <c r="W768" s="700">
        <v>0</v>
      </c>
      <c r="X768" s="700">
        <v>0</v>
      </c>
      <c r="Y768" s="700">
        <v>0</v>
      </c>
      <c r="Z768" s="700">
        <v>0</v>
      </c>
      <c r="AA768" s="700">
        <v>0</v>
      </c>
      <c r="AB768" s="700">
        <v>0</v>
      </c>
      <c r="AC768" s="681">
        <v>0</v>
      </c>
      <c r="AD768" s="681">
        <v>0</v>
      </c>
      <c r="AE768" s="732"/>
      <c r="AF768" s="732"/>
      <c r="AG768" s="732"/>
      <c r="AH768" s="732"/>
      <c r="AI768" s="732"/>
      <c r="AJ768" s="732"/>
      <c r="AK768" s="732"/>
      <c r="AL768" s="732"/>
      <c r="AM768" s="732"/>
      <c r="AN768" s="732"/>
      <c r="AO768" s="732"/>
      <c r="AP768" s="732"/>
      <c r="AQ768" s="732"/>
      <c r="AR768" s="732"/>
      <c r="AS768" s="732"/>
      <c r="AT768" s="732"/>
      <c r="AU768" s="732"/>
      <c r="AV768" s="732"/>
      <c r="AW768" s="732"/>
      <c r="AX768" s="732"/>
      <c r="AY768" s="732"/>
      <c r="AZ768" s="732"/>
      <c r="BA768" s="732"/>
      <c r="BB768" s="732"/>
      <c r="BC768" s="732"/>
      <c r="BD768" s="732"/>
      <c r="BE768" s="732"/>
      <c r="BF768" s="732"/>
      <c r="BG768" s="732"/>
      <c r="BH768" s="732"/>
      <c r="BI768" s="732"/>
      <c r="BJ768" s="732"/>
      <c r="BK768" s="732"/>
      <c r="BL768" s="732"/>
      <c r="BM768" s="732"/>
      <c r="BN768" s="732"/>
      <c r="BO768" s="732"/>
      <c r="BP768" s="732"/>
      <c r="BQ768" s="732"/>
      <c r="BR768" s="732"/>
      <c r="BS768" s="732"/>
      <c r="BT768" s="732"/>
      <c r="BU768" s="732"/>
      <c r="BV768" s="732"/>
      <c r="BW768" s="732"/>
      <c r="BX768" s="732"/>
      <c r="BY768" s="732"/>
      <c r="BZ768" s="732"/>
      <c r="CA768" s="732"/>
    </row>
    <row r="769" spans="1:79" s="452" customFormat="1" hidden="1" outlineLevel="1" x14ac:dyDescent="0.35">
      <c r="A769" s="580"/>
      <c r="B769" s="580"/>
      <c r="C769" s="580"/>
      <c r="D769" s="580"/>
      <c r="E769" s="580"/>
      <c r="F769" s="672" t="s">
        <v>689</v>
      </c>
      <c r="G769" s="732"/>
      <c r="H769" s="732"/>
      <c r="I769" s="732"/>
      <c r="J769" s="732"/>
      <c r="K769" s="732"/>
      <c r="L769" s="732"/>
      <c r="M769" s="732"/>
      <c r="N769" s="732"/>
      <c r="O769" s="732"/>
      <c r="P769" s="732"/>
      <c r="Q769" s="732"/>
      <c r="R769" s="732"/>
      <c r="S769" s="683">
        <v>0</v>
      </c>
      <c r="T769" s="683">
        <v>0</v>
      </c>
      <c r="U769" s="683">
        <v>0</v>
      </c>
      <c r="V769" s="683">
        <v>0</v>
      </c>
      <c r="W769" s="683">
        <v>0</v>
      </c>
      <c r="X769" s="683">
        <v>0</v>
      </c>
      <c r="Y769" s="683">
        <v>0</v>
      </c>
      <c r="Z769" s="683">
        <v>0</v>
      </c>
      <c r="AA769" s="683">
        <v>0</v>
      </c>
      <c r="AB769" s="683">
        <v>0</v>
      </c>
      <c r="AC769" s="681">
        <v>0</v>
      </c>
      <c r="AD769" s="681">
        <v>0</v>
      </c>
      <c r="AE769" s="732"/>
      <c r="AF769" s="732"/>
      <c r="AG769" s="732"/>
      <c r="AH769" s="732"/>
      <c r="AI769" s="732"/>
      <c r="AJ769" s="732"/>
      <c r="AK769" s="732"/>
      <c r="AL769" s="732"/>
      <c r="AM769" s="732"/>
      <c r="AN769" s="732"/>
      <c r="AO769" s="732"/>
      <c r="AP769" s="732"/>
      <c r="AQ769" s="732"/>
      <c r="AR769" s="732"/>
      <c r="AS769" s="732"/>
      <c r="AT769" s="732"/>
      <c r="AU769" s="732"/>
      <c r="AV769" s="732"/>
      <c r="AW769" s="732"/>
      <c r="AX769" s="732"/>
      <c r="AY769" s="732"/>
      <c r="AZ769" s="732"/>
      <c r="BA769" s="732"/>
      <c r="BB769" s="732"/>
      <c r="BC769" s="732"/>
      <c r="BD769" s="732"/>
      <c r="BE769" s="732"/>
      <c r="BF769" s="732"/>
      <c r="BG769" s="732"/>
      <c r="BH769" s="732"/>
      <c r="BI769" s="732"/>
      <c r="BJ769" s="732"/>
      <c r="BK769" s="732"/>
      <c r="BL769" s="732"/>
      <c r="BM769" s="732"/>
      <c r="BN769" s="732"/>
      <c r="BO769" s="732"/>
      <c r="BP769" s="732"/>
      <c r="BQ769" s="732"/>
      <c r="BR769" s="732"/>
      <c r="BS769" s="732"/>
      <c r="BT769" s="732"/>
      <c r="BU769" s="732"/>
      <c r="BV769" s="732"/>
      <c r="BW769" s="732"/>
      <c r="BX769" s="732"/>
      <c r="BY769" s="732"/>
      <c r="BZ769" s="732"/>
      <c r="CA769" s="732"/>
    </row>
    <row r="770" spans="1:79" s="452" customFormat="1" hidden="1" outlineLevel="1" x14ac:dyDescent="0.35">
      <c r="A770" s="580"/>
      <c r="B770" s="580"/>
      <c r="C770" s="580"/>
      <c r="D770" s="580"/>
      <c r="E770" s="580"/>
      <c r="F770" s="672" t="s">
        <v>897</v>
      </c>
      <c r="G770" s="732"/>
      <c r="H770" s="732"/>
      <c r="I770" s="732"/>
      <c r="J770" s="732"/>
      <c r="K770" s="732"/>
      <c r="L770" s="732"/>
      <c r="M770" s="732"/>
      <c r="N770" s="732"/>
      <c r="O770" s="732"/>
      <c r="P770" s="732"/>
      <c r="Q770" s="732"/>
      <c r="R770" s="732"/>
      <c r="S770" s="683">
        <v>0</v>
      </c>
      <c r="T770" s="683">
        <v>0</v>
      </c>
      <c r="U770" s="683">
        <v>0</v>
      </c>
      <c r="V770" s="683">
        <v>0</v>
      </c>
      <c r="W770" s="683">
        <v>0</v>
      </c>
      <c r="X770" s="683">
        <v>0</v>
      </c>
      <c r="Y770" s="683">
        <v>0</v>
      </c>
      <c r="Z770" s="683">
        <v>0</v>
      </c>
      <c r="AA770" s="683">
        <v>0</v>
      </c>
      <c r="AB770" s="683">
        <v>0</v>
      </c>
      <c r="AC770" s="681">
        <v>0</v>
      </c>
      <c r="AD770" s="681">
        <v>0</v>
      </c>
      <c r="AE770" s="732"/>
      <c r="AF770" s="732"/>
      <c r="AG770" s="732"/>
      <c r="AH770" s="732"/>
      <c r="AI770" s="732"/>
      <c r="AJ770" s="732"/>
      <c r="AK770" s="732"/>
      <c r="AL770" s="732"/>
      <c r="AM770" s="732"/>
      <c r="AN770" s="732"/>
      <c r="AO770" s="732"/>
      <c r="AP770" s="732"/>
      <c r="AQ770" s="732"/>
      <c r="AR770" s="732"/>
      <c r="AS770" s="732"/>
      <c r="AT770" s="732"/>
      <c r="AU770" s="732"/>
      <c r="AV770" s="732"/>
      <c r="AW770" s="732"/>
      <c r="AX770" s="732"/>
      <c r="AY770" s="732"/>
      <c r="AZ770" s="732"/>
      <c r="BA770" s="732"/>
      <c r="BB770" s="732"/>
      <c r="BC770" s="732"/>
      <c r="BD770" s="732"/>
      <c r="BE770" s="732"/>
      <c r="BF770" s="732"/>
      <c r="BG770" s="732"/>
      <c r="BH770" s="732"/>
      <c r="BI770" s="732"/>
      <c r="BJ770" s="732"/>
      <c r="BK770" s="732"/>
      <c r="BL770" s="732"/>
      <c r="BM770" s="732"/>
      <c r="BN770" s="732"/>
      <c r="BO770" s="732"/>
      <c r="BP770" s="732"/>
      <c r="BQ770" s="732"/>
      <c r="BR770" s="732"/>
      <c r="BS770" s="732"/>
      <c r="BT770" s="732"/>
      <c r="BU770" s="732"/>
      <c r="BV770" s="732"/>
      <c r="BW770" s="732"/>
      <c r="BX770" s="732"/>
      <c r="BY770" s="732"/>
      <c r="BZ770" s="732"/>
      <c r="CA770" s="732"/>
    </row>
    <row r="771" spans="1:79" s="309" customFormat="1" hidden="1" outlineLevel="1" x14ac:dyDescent="0.35">
      <c r="A771" s="30"/>
      <c r="B771" s="30"/>
      <c r="C771" s="30"/>
      <c r="D771" s="30"/>
      <c r="E771" s="30"/>
      <c r="F771" s="675" t="s">
        <v>626</v>
      </c>
      <c r="G771" s="680">
        <f>SUM(G762:G770)</f>
        <v>1340</v>
      </c>
      <c r="H771" s="680">
        <f t="shared" ref="H771:BO771" si="300">SUM(H762:H770)</f>
        <v>3012.0155061767273</v>
      </c>
      <c r="I771" s="680">
        <f t="shared" si="300"/>
        <v>2304</v>
      </c>
      <c r="J771" s="680">
        <f t="shared" si="300"/>
        <v>3097.5120585789114</v>
      </c>
      <c r="K771" s="680">
        <f t="shared" si="300"/>
        <v>3096.7068686719704</v>
      </c>
      <c r="L771" s="680">
        <f t="shared" si="300"/>
        <v>3372.6806247749187</v>
      </c>
      <c r="M771" s="680">
        <f t="shared" si="300"/>
        <v>3929.6499192621604</v>
      </c>
      <c r="N771" s="680">
        <f t="shared" si="300"/>
        <v>4690.4005373135196</v>
      </c>
      <c r="O771" s="680">
        <f t="shared" si="300"/>
        <v>4166.7970472637262</v>
      </c>
      <c r="P771" s="680">
        <f t="shared" si="300"/>
        <v>4627.4380331497159</v>
      </c>
      <c r="Q771" s="680">
        <f t="shared" si="300"/>
        <v>5233.3314304922224</v>
      </c>
      <c r="R771" s="680">
        <f t="shared" si="300"/>
        <v>5023.6787895708676</v>
      </c>
      <c r="S771" s="696">
        <f t="shared" ref="S771:AA771" si="301">ROUND(SUM(S761:S770),5)</f>
        <v>17399.939999999999</v>
      </c>
      <c r="T771" s="696">
        <f t="shared" si="301"/>
        <v>2395</v>
      </c>
      <c r="U771" s="696">
        <f t="shared" si="301"/>
        <v>17262.650000000001</v>
      </c>
      <c r="V771" s="696">
        <f t="shared" si="301"/>
        <v>21845.95</v>
      </c>
      <c r="W771" s="696">
        <f t="shared" si="301"/>
        <v>26398.36</v>
      </c>
      <c r="X771" s="696">
        <f t="shared" si="301"/>
        <v>6000</v>
      </c>
      <c r="Y771" s="696">
        <f t="shared" si="301"/>
        <v>46279.96</v>
      </c>
      <c r="Z771" s="696">
        <f t="shared" si="301"/>
        <v>35001.94</v>
      </c>
      <c r="AA771" s="696">
        <f t="shared" si="301"/>
        <v>32803.440000000002</v>
      </c>
      <c r="AB771" s="696">
        <f>ROUND(SUM(AB761:AB770),5)</f>
        <v>33178.54</v>
      </c>
      <c r="AC771" s="696">
        <f>ROUND(SUM(AC761:AC770),5)</f>
        <v>32840.21</v>
      </c>
      <c r="AD771" s="696">
        <f>ROUND(SUM(AD761:AD770),5)</f>
        <v>40796.839999999997</v>
      </c>
      <c r="AE771" s="680">
        <f t="shared" si="300"/>
        <v>0</v>
      </c>
      <c r="AF771" s="680">
        <f t="shared" si="300"/>
        <v>0</v>
      </c>
      <c r="AG771" s="680">
        <f t="shared" si="300"/>
        <v>0</v>
      </c>
      <c r="AH771" s="680">
        <f t="shared" si="300"/>
        <v>0</v>
      </c>
      <c r="AI771" s="680">
        <f t="shared" si="300"/>
        <v>0</v>
      </c>
      <c r="AJ771" s="680">
        <f t="shared" si="300"/>
        <v>0</v>
      </c>
      <c r="AK771" s="680">
        <f t="shared" si="300"/>
        <v>0</v>
      </c>
      <c r="AL771" s="680">
        <f t="shared" si="300"/>
        <v>0</v>
      </c>
      <c r="AM771" s="680">
        <f t="shared" si="300"/>
        <v>0</v>
      </c>
      <c r="AN771" s="680">
        <f t="shared" si="300"/>
        <v>0</v>
      </c>
      <c r="AO771" s="680">
        <f t="shared" si="300"/>
        <v>0</v>
      </c>
      <c r="AP771" s="680">
        <f t="shared" si="300"/>
        <v>0</v>
      </c>
      <c r="AQ771" s="680">
        <f t="shared" si="300"/>
        <v>0</v>
      </c>
      <c r="AR771" s="680">
        <f t="shared" si="300"/>
        <v>0</v>
      </c>
      <c r="AS771" s="680">
        <f t="shared" si="300"/>
        <v>0</v>
      </c>
      <c r="AT771" s="680">
        <f t="shared" si="300"/>
        <v>0</v>
      </c>
      <c r="AU771" s="680">
        <f t="shared" si="300"/>
        <v>0</v>
      </c>
      <c r="AV771" s="680">
        <f t="shared" si="300"/>
        <v>0</v>
      </c>
      <c r="AW771" s="680">
        <f t="shared" si="300"/>
        <v>0</v>
      </c>
      <c r="AX771" s="680">
        <f t="shared" si="300"/>
        <v>0</v>
      </c>
      <c r="AY771" s="680">
        <f t="shared" si="300"/>
        <v>0</v>
      </c>
      <c r="AZ771" s="680">
        <f t="shared" si="300"/>
        <v>0</v>
      </c>
      <c r="BA771" s="680">
        <f t="shared" si="300"/>
        <v>0</v>
      </c>
      <c r="BB771" s="680">
        <f t="shared" si="300"/>
        <v>0</v>
      </c>
      <c r="BC771" s="680">
        <f t="shared" si="300"/>
        <v>0</v>
      </c>
      <c r="BD771" s="680">
        <f t="shared" si="300"/>
        <v>0</v>
      </c>
      <c r="BE771" s="680">
        <f t="shared" si="300"/>
        <v>0</v>
      </c>
      <c r="BF771" s="680">
        <f t="shared" si="300"/>
        <v>0</v>
      </c>
      <c r="BG771" s="680">
        <f t="shared" si="300"/>
        <v>0</v>
      </c>
      <c r="BH771" s="680">
        <f t="shared" si="300"/>
        <v>0</v>
      </c>
      <c r="BI771" s="680">
        <f t="shared" si="300"/>
        <v>0</v>
      </c>
      <c r="BJ771" s="680">
        <f t="shared" si="300"/>
        <v>0</v>
      </c>
      <c r="BK771" s="680">
        <f t="shared" si="300"/>
        <v>0</v>
      </c>
      <c r="BL771" s="680">
        <f t="shared" si="300"/>
        <v>0</v>
      </c>
      <c r="BM771" s="680">
        <f t="shared" si="300"/>
        <v>0</v>
      </c>
      <c r="BN771" s="680">
        <f t="shared" si="300"/>
        <v>0</v>
      </c>
      <c r="BO771" s="680">
        <f t="shared" si="300"/>
        <v>0</v>
      </c>
      <c r="BP771" s="680">
        <f t="shared" ref="BP771:CA771" si="302">SUM(BP762:BP770)</f>
        <v>0</v>
      </c>
      <c r="BQ771" s="680">
        <f t="shared" si="302"/>
        <v>0</v>
      </c>
      <c r="BR771" s="680">
        <f t="shared" si="302"/>
        <v>0</v>
      </c>
      <c r="BS771" s="680">
        <f t="shared" si="302"/>
        <v>0</v>
      </c>
      <c r="BT771" s="680">
        <f t="shared" si="302"/>
        <v>0</v>
      </c>
      <c r="BU771" s="680">
        <f t="shared" si="302"/>
        <v>0</v>
      </c>
      <c r="BV771" s="680">
        <f t="shared" si="302"/>
        <v>0</v>
      </c>
      <c r="BW771" s="680">
        <f t="shared" si="302"/>
        <v>0</v>
      </c>
      <c r="BX771" s="680">
        <f t="shared" si="302"/>
        <v>0</v>
      </c>
      <c r="BY771" s="680">
        <f t="shared" si="302"/>
        <v>0</v>
      </c>
      <c r="BZ771" s="680">
        <f t="shared" si="302"/>
        <v>0</v>
      </c>
      <c r="CA771" s="680">
        <f t="shared" si="302"/>
        <v>0</v>
      </c>
    </row>
    <row r="772" spans="1:79" s="726" customFormat="1" hidden="1" outlineLevel="1" x14ac:dyDescent="0.35">
      <c r="F772" s="707" t="s">
        <v>627</v>
      </c>
      <c r="G772" s="751"/>
      <c r="H772" s="751"/>
      <c r="I772" s="751"/>
      <c r="J772" s="751"/>
      <c r="K772" s="751"/>
      <c r="L772" s="751"/>
      <c r="M772" s="751"/>
      <c r="N772" s="751"/>
      <c r="O772" s="751"/>
      <c r="P772" s="751"/>
      <c r="Q772" s="751"/>
      <c r="R772" s="751"/>
      <c r="S772" s="724"/>
      <c r="T772" s="724"/>
      <c r="U772" s="724"/>
      <c r="V772" s="724"/>
      <c r="W772" s="724"/>
      <c r="X772" s="724"/>
      <c r="Y772" s="724"/>
      <c r="Z772" s="724"/>
      <c r="AA772" s="724"/>
      <c r="AB772" s="724"/>
      <c r="AC772" s="724"/>
      <c r="AD772" s="724"/>
      <c r="AE772" s="751"/>
      <c r="AF772" s="751"/>
      <c r="AG772" s="751"/>
      <c r="AH772" s="751"/>
      <c r="AI772" s="751"/>
      <c r="AJ772" s="751"/>
      <c r="AK772" s="751"/>
      <c r="AL772" s="751"/>
      <c r="AM772" s="751"/>
      <c r="AN772" s="751"/>
      <c r="AO772" s="751"/>
      <c r="AP772" s="751"/>
      <c r="AQ772" s="751"/>
      <c r="AR772" s="751"/>
      <c r="AS772" s="751"/>
      <c r="AT772" s="751"/>
      <c r="AU772" s="751"/>
      <c r="AV772" s="751"/>
      <c r="AW772" s="751"/>
      <c r="AX772" s="751"/>
      <c r="AY772" s="751"/>
      <c r="AZ772" s="751"/>
      <c r="BA772" s="751"/>
      <c r="BB772" s="751"/>
      <c r="BC772" s="751"/>
      <c r="BD772" s="751"/>
      <c r="BE772" s="751"/>
      <c r="BF772" s="751"/>
      <c r="BG772" s="751"/>
      <c r="BH772" s="751"/>
      <c r="BI772" s="751"/>
      <c r="BJ772" s="751"/>
      <c r="BK772" s="751"/>
      <c r="BL772" s="751"/>
      <c r="BM772" s="751"/>
      <c r="BN772" s="751"/>
      <c r="BO772" s="751"/>
      <c r="BP772" s="751"/>
      <c r="BQ772" s="751"/>
      <c r="BR772" s="751"/>
      <c r="BS772" s="751"/>
      <c r="BT772" s="751"/>
      <c r="BU772" s="751"/>
      <c r="BV772" s="751"/>
      <c r="BW772" s="751"/>
      <c r="BX772" s="751"/>
      <c r="BY772" s="751"/>
      <c r="BZ772" s="751"/>
      <c r="CA772" s="751"/>
    </row>
    <row r="773" spans="1:79" s="309" customFormat="1" hidden="1" outlineLevel="1" x14ac:dyDescent="0.35">
      <c r="A773" s="726"/>
      <c r="B773" s="726"/>
      <c r="C773" s="726"/>
      <c r="D773" s="726"/>
      <c r="E773" s="726"/>
      <c r="F773" s="672" t="s">
        <v>923</v>
      </c>
      <c r="G773" s="699"/>
      <c r="H773" s="699"/>
      <c r="I773" s="699"/>
      <c r="J773" s="699"/>
      <c r="K773" s="699"/>
      <c r="L773" s="699"/>
      <c r="M773" s="699"/>
      <c r="N773" s="699"/>
      <c r="O773" s="699"/>
      <c r="P773" s="699"/>
      <c r="Q773" s="699"/>
      <c r="R773" s="699"/>
      <c r="S773" s="700"/>
      <c r="T773" s="700"/>
      <c r="U773" s="700"/>
      <c r="V773" s="700"/>
      <c r="W773" s="700"/>
      <c r="X773" s="700"/>
      <c r="Y773" s="700"/>
      <c r="Z773" s="700"/>
      <c r="AA773" s="700"/>
      <c r="AB773" s="700">
        <v>0</v>
      </c>
      <c r="AC773" s="699">
        <v>0</v>
      </c>
      <c r="AD773" s="699">
        <v>0</v>
      </c>
      <c r="AE773" s="700"/>
      <c r="AF773" s="700"/>
      <c r="AG773" s="700"/>
      <c r="AH773" s="700"/>
      <c r="AI773" s="700"/>
      <c r="AJ773" s="700"/>
      <c r="AK773" s="700"/>
      <c r="AL773" s="700"/>
      <c r="AM773" s="700"/>
      <c r="AN773" s="700"/>
      <c r="AO773" s="700"/>
      <c r="AP773" s="700"/>
      <c r="AQ773" s="700"/>
      <c r="AR773" s="700"/>
      <c r="AS773" s="700"/>
      <c r="AT773" s="700"/>
      <c r="AU773" s="700"/>
      <c r="AV773" s="700"/>
      <c r="AW773" s="700"/>
      <c r="AX773" s="700"/>
      <c r="AY773" s="700"/>
      <c r="AZ773" s="700"/>
      <c r="BA773" s="700"/>
      <c r="BB773" s="700"/>
      <c r="BC773" s="700"/>
      <c r="BD773" s="700"/>
      <c r="BE773" s="700"/>
      <c r="BF773" s="700"/>
      <c r="BG773" s="700"/>
      <c r="BH773" s="700"/>
      <c r="BI773" s="700"/>
      <c r="BJ773" s="700"/>
      <c r="BK773" s="700"/>
      <c r="BL773" s="700"/>
      <c r="BM773" s="700"/>
      <c r="BN773" s="700"/>
      <c r="BO773" s="700"/>
      <c r="BP773" s="700"/>
      <c r="BQ773" s="700"/>
      <c r="BR773" s="700"/>
      <c r="BS773" s="700"/>
      <c r="BT773" s="700"/>
      <c r="BU773" s="700"/>
      <c r="BV773" s="700"/>
      <c r="BW773" s="700"/>
      <c r="BX773" s="700"/>
      <c r="BY773" s="700"/>
      <c r="BZ773" s="700"/>
      <c r="CA773" s="700"/>
    </row>
    <row r="774" spans="1:79" s="309" customFormat="1" hidden="1" outlineLevel="1" x14ac:dyDescent="0.35">
      <c r="A774" s="575"/>
      <c r="B774" s="575"/>
      <c r="C774" s="575"/>
      <c r="D774" s="575"/>
      <c r="E774" s="575"/>
      <c r="F774" s="672" t="s">
        <v>671</v>
      </c>
      <c r="G774" s="732"/>
      <c r="H774" s="732"/>
      <c r="I774" s="732"/>
      <c r="J774" s="732"/>
      <c r="K774" s="732"/>
      <c r="L774" s="732"/>
      <c r="M774" s="732"/>
      <c r="N774" s="732"/>
      <c r="O774" s="732"/>
      <c r="P774" s="732"/>
      <c r="Q774" s="732"/>
      <c r="R774" s="732"/>
      <c r="S774" s="700">
        <v>0</v>
      </c>
      <c r="T774" s="700">
        <v>0</v>
      </c>
      <c r="U774" s="700">
        <v>0</v>
      </c>
      <c r="V774" s="700">
        <v>0</v>
      </c>
      <c r="W774" s="700">
        <v>0</v>
      </c>
      <c r="X774" s="700">
        <v>0</v>
      </c>
      <c r="Y774" s="700">
        <v>0</v>
      </c>
      <c r="Z774" s="700">
        <v>0</v>
      </c>
      <c r="AA774" s="700">
        <v>0</v>
      </c>
      <c r="AB774" s="700">
        <v>0</v>
      </c>
      <c r="AC774" s="699">
        <v>0</v>
      </c>
      <c r="AD774" s="699">
        <v>0</v>
      </c>
      <c r="AE774" s="732"/>
      <c r="AF774" s="732"/>
      <c r="AG774" s="732"/>
      <c r="AH774" s="732"/>
      <c r="AI774" s="732"/>
      <c r="AJ774" s="732"/>
      <c r="AK774" s="732"/>
      <c r="AL774" s="732"/>
      <c r="AM774" s="732"/>
      <c r="AN774" s="732"/>
      <c r="AO774" s="732"/>
      <c r="AP774" s="732"/>
      <c r="AQ774" s="732"/>
      <c r="AR774" s="732"/>
      <c r="AS774" s="732"/>
      <c r="AT774" s="732"/>
      <c r="AU774" s="732"/>
      <c r="AV774" s="732"/>
      <c r="AW774" s="732"/>
      <c r="AX774" s="732"/>
      <c r="AY774" s="732"/>
      <c r="AZ774" s="732"/>
      <c r="BA774" s="732"/>
      <c r="BB774" s="732"/>
      <c r="BC774" s="732"/>
      <c r="BD774" s="732"/>
      <c r="BE774" s="732"/>
      <c r="BF774" s="732"/>
      <c r="BG774" s="732"/>
      <c r="BH774" s="732"/>
      <c r="BI774" s="732"/>
      <c r="BJ774" s="732"/>
      <c r="BK774" s="732"/>
      <c r="BL774" s="732"/>
      <c r="BM774" s="732"/>
      <c r="BN774" s="732"/>
      <c r="BO774" s="732"/>
      <c r="BP774" s="732"/>
      <c r="BQ774" s="732"/>
      <c r="BR774" s="732"/>
      <c r="BS774" s="732"/>
      <c r="BT774" s="732"/>
      <c r="BU774" s="732"/>
      <c r="BV774" s="732"/>
      <c r="BW774" s="732"/>
      <c r="BX774" s="732"/>
      <c r="BY774" s="732"/>
      <c r="BZ774" s="732"/>
      <c r="CA774" s="732"/>
    </row>
    <row r="775" spans="1:79" s="309" customFormat="1" hidden="1" outlineLevel="1" x14ac:dyDescent="0.35">
      <c r="A775" s="575"/>
      <c r="B775" s="575"/>
      <c r="C775" s="575"/>
      <c r="D775" s="575"/>
      <c r="E775" s="575"/>
      <c r="F775" s="672" t="s">
        <v>767</v>
      </c>
      <c r="G775" s="732"/>
      <c r="H775" s="732"/>
      <c r="I775" s="732"/>
      <c r="J775" s="732"/>
      <c r="K775" s="732"/>
      <c r="L775" s="732"/>
      <c r="M775" s="732"/>
      <c r="N775" s="732"/>
      <c r="O775" s="732"/>
      <c r="P775" s="732"/>
      <c r="Q775" s="732"/>
      <c r="R775" s="732"/>
      <c r="S775" s="700">
        <v>0</v>
      </c>
      <c r="T775" s="700">
        <v>0</v>
      </c>
      <c r="U775" s="700">
        <v>0</v>
      </c>
      <c r="V775" s="700">
        <v>0</v>
      </c>
      <c r="W775" s="700">
        <v>0</v>
      </c>
      <c r="X775" s="700">
        <v>0</v>
      </c>
      <c r="Y775" s="700">
        <v>0</v>
      </c>
      <c r="Z775" s="700">
        <v>0</v>
      </c>
      <c r="AA775" s="700">
        <v>0</v>
      </c>
      <c r="AB775" s="700">
        <v>0</v>
      </c>
      <c r="AC775" s="699">
        <v>0</v>
      </c>
      <c r="AD775" s="699">
        <v>0</v>
      </c>
      <c r="AE775" s="732"/>
      <c r="AF775" s="732"/>
      <c r="AG775" s="732"/>
      <c r="AH775" s="732"/>
      <c r="AI775" s="732"/>
      <c r="AJ775" s="732"/>
      <c r="AK775" s="732"/>
      <c r="AL775" s="732"/>
      <c r="AM775" s="732"/>
      <c r="AN775" s="732"/>
      <c r="AO775" s="732"/>
      <c r="AP775" s="732"/>
      <c r="AQ775" s="732"/>
      <c r="AR775" s="732"/>
      <c r="AS775" s="732"/>
      <c r="AT775" s="732"/>
      <c r="AU775" s="732"/>
      <c r="AV775" s="732"/>
      <c r="AW775" s="732"/>
      <c r="AX775" s="732"/>
      <c r="AY775" s="732"/>
      <c r="AZ775" s="732"/>
      <c r="BA775" s="732"/>
      <c r="BB775" s="732"/>
      <c r="BC775" s="732"/>
      <c r="BD775" s="732"/>
      <c r="BE775" s="732"/>
      <c r="BF775" s="732"/>
      <c r="BG775" s="732"/>
      <c r="BH775" s="732"/>
      <c r="BI775" s="732"/>
      <c r="BJ775" s="732"/>
      <c r="BK775" s="732"/>
      <c r="BL775" s="732"/>
      <c r="BM775" s="732"/>
      <c r="BN775" s="732"/>
      <c r="BO775" s="732"/>
      <c r="BP775" s="732"/>
      <c r="BQ775" s="732"/>
      <c r="BR775" s="732"/>
      <c r="BS775" s="732"/>
      <c r="BT775" s="732"/>
      <c r="BU775" s="732"/>
      <c r="BV775" s="732"/>
      <c r="BW775" s="732"/>
      <c r="BX775" s="732"/>
      <c r="BY775" s="732"/>
      <c r="BZ775" s="732"/>
      <c r="CA775" s="732"/>
    </row>
    <row r="776" spans="1:79" s="309" customFormat="1" hidden="1" outlineLevel="1" x14ac:dyDescent="0.35">
      <c r="A776" s="30"/>
      <c r="B776" s="30"/>
      <c r="C776" s="30"/>
      <c r="D776" s="30"/>
      <c r="E776" s="30"/>
      <c r="F776" s="672" t="s">
        <v>628</v>
      </c>
      <c r="G776" s="732"/>
      <c r="H776" s="732"/>
      <c r="I776" s="732">
        <v>43</v>
      </c>
      <c r="J776" s="732"/>
      <c r="K776" s="732"/>
      <c r="L776" s="732"/>
      <c r="M776" s="732"/>
      <c r="N776" s="732"/>
      <c r="O776" s="732"/>
      <c r="P776" s="732"/>
      <c r="Q776" s="732"/>
      <c r="R776" s="732"/>
      <c r="S776" s="700">
        <v>0</v>
      </c>
      <c r="T776" s="700">
        <v>0</v>
      </c>
      <c r="U776" s="700">
        <v>0</v>
      </c>
      <c r="V776" s="700">
        <v>0</v>
      </c>
      <c r="W776" s="700">
        <v>0</v>
      </c>
      <c r="X776" s="700">
        <v>0</v>
      </c>
      <c r="Y776" s="700">
        <v>0</v>
      </c>
      <c r="Z776" s="700">
        <v>0</v>
      </c>
      <c r="AA776" s="700">
        <v>0</v>
      </c>
      <c r="AB776" s="700">
        <v>0</v>
      </c>
      <c r="AC776" s="682">
        <v>0</v>
      </c>
      <c r="AD776" s="682">
        <v>0</v>
      </c>
      <c r="AE776" s="732"/>
      <c r="AF776" s="732"/>
      <c r="AG776" s="732"/>
      <c r="AH776" s="732"/>
      <c r="AI776" s="732"/>
      <c r="AJ776" s="732"/>
      <c r="AK776" s="732"/>
      <c r="AL776" s="732"/>
      <c r="AM776" s="732"/>
      <c r="AN776" s="732"/>
      <c r="AO776" s="732"/>
      <c r="AP776" s="732"/>
      <c r="AQ776" s="732"/>
      <c r="AR776" s="732"/>
      <c r="AS776" s="732"/>
      <c r="AT776" s="732"/>
      <c r="AU776" s="732"/>
      <c r="AV776" s="732"/>
      <c r="AW776" s="732"/>
      <c r="AX776" s="732"/>
      <c r="AY776" s="732"/>
      <c r="AZ776" s="732"/>
      <c r="BA776" s="732"/>
      <c r="BB776" s="732"/>
      <c r="BC776" s="732"/>
      <c r="BD776" s="732"/>
      <c r="BE776" s="732"/>
      <c r="BF776" s="732"/>
      <c r="BG776" s="732"/>
      <c r="BH776" s="732"/>
      <c r="BI776" s="732"/>
      <c r="BJ776" s="732"/>
      <c r="BK776" s="732"/>
      <c r="BL776" s="732"/>
      <c r="BM776" s="732"/>
      <c r="BN776" s="732"/>
      <c r="BO776" s="732"/>
      <c r="BP776" s="732"/>
      <c r="BQ776" s="732"/>
      <c r="BR776" s="732"/>
      <c r="BS776" s="732"/>
      <c r="BT776" s="732"/>
      <c r="BU776" s="732"/>
      <c r="BV776" s="732"/>
      <c r="BW776" s="732"/>
      <c r="BX776" s="732"/>
      <c r="BY776" s="732"/>
      <c r="BZ776" s="732"/>
      <c r="CA776" s="732"/>
    </row>
    <row r="777" spans="1:79" s="309" customFormat="1" hidden="1" outlineLevel="1" x14ac:dyDescent="0.35">
      <c r="A777" s="575"/>
      <c r="B777" s="575"/>
      <c r="C777" s="575"/>
      <c r="D777" s="575"/>
      <c r="E777" s="575"/>
      <c r="F777" s="672" t="s">
        <v>655</v>
      </c>
      <c r="G777" s="732"/>
      <c r="H777" s="732"/>
      <c r="I777" s="732"/>
      <c r="J777" s="732"/>
      <c r="K777" s="732"/>
      <c r="L777" s="732"/>
      <c r="M777" s="732"/>
      <c r="N777" s="732"/>
      <c r="O777" s="732"/>
      <c r="P777" s="732"/>
      <c r="Q777" s="732"/>
      <c r="R777" s="732"/>
      <c r="S777" s="700">
        <v>0</v>
      </c>
      <c r="T777" s="700">
        <v>0</v>
      </c>
      <c r="U777" s="700">
        <v>0</v>
      </c>
      <c r="V777" s="700">
        <v>0</v>
      </c>
      <c r="W777" s="700">
        <v>0</v>
      </c>
      <c r="X777" s="700">
        <v>0</v>
      </c>
      <c r="Y777" s="700">
        <v>0</v>
      </c>
      <c r="Z777" s="700">
        <v>0</v>
      </c>
      <c r="AA777" s="700">
        <v>0</v>
      </c>
      <c r="AB777" s="700">
        <v>0</v>
      </c>
      <c r="AC777" s="682">
        <v>0</v>
      </c>
      <c r="AD777" s="682">
        <v>0</v>
      </c>
      <c r="AE777" s="732"/>
      <c r="AF777" s="732"/>
      <c r="AG777" s="732"/>
      <c r="AH777" s="732"/>
      <c r="AI777" s="732"/>
      <c r="AJ777" s="732"/>
      <c r="AK777" s="732"/>
      <c r="AL777" s="732"/>
      <c r="AM777" s="732"/>
      <c r="AN777" s="732"/>
      <c r="AO777" s="732"/>
      <c r="AP777" s="732"/>
      <c r="AQ777" s="732"/>
      <c r="AR777" s="732"/>
      <c r="AS777" s="732"/>
      <c r="AT777" s="732"/>
      <c r="AU777" s="732"/>
      <c r="AV777" s="732"/>
      <c r="AW777" s="732"/>
      <c r="AX777" s="732"/>
      <c r="AY777" s="732"/>
      <c r="AZ777" s="732"/>
      <c r="BA777" s="732"/>
      <c r="BB777" s="732"/>
      <c r="BC777" s="732"/>
      <c r="BD777" s="732"/>
      <c r="BE777" s="732"/>
      <c r="BF777" s="732"/>
      <c r="BG777" s="732"/>
      <c r="BH777" s="732"/>
      <c r="BI777" s="732"/>
      <c r="BJ777" s="732"/>
      <c r="BK777" s="732"/>
      <c r="BL777" s="732"/>
      <c r="BM777" s="732"/>
      <c r="BN777" s="732"/>
      <c r="BO777" s="732"/>
      <c r="BP777" s="732"/>
      <c r="BQ777" s="732"/>
      <c r="BR777" s="732"/>
      <c r="BS777" s="732"/>
      <c r="BT777" s="732"/>
      <c r="BU777" s="732"/>
      <c r="BV777" s="732"/>
      <c r="BW777" s="732"/>
      <c r="BX777" s="732"/>
      <c r="BY777" s="732"/>
      <c r="BZ777" s="732"/>
      <c r="CA777" s="732"/>
    </row>
    <row r="778" spans="1:79" s="309" customFormat="1" hidden="1" outlineLevel="1" x14ac:dyDescent="0.35">
      <c r="A778" s="575"/>
      <c r="B778" s="575"/>
      <c r="C778" s="575"/>
      <c r="D778" s="575"/>
      <c r="E778" s="575"/>
      <c r="F778" s="672" t="s">
        <v>672</v>
      </c>
      <c r="G778" s="732"/>
      <c r="H778" s="732"/>
      <c r="I778" s="732"/>
      <c r="J778" s="732"/>
      <c r="K778" s="732"/>
      <c r="L778" s="732"/>
      <c r="M778" s="732"/>
      <c r="N778" s="732"/>
      <c r="O778" s="732"/>
      <c r="P778" s="732"/>
      <c r="Q778" s="732"/>
      <c r="R778" s="732"/>
      <c r="S778" s="700">
        <v>0</v>
      </c>
      <c r="T778" s="700">
        <v>0</v>
      </c>
      <c r="U778" s="700">
        <v>0</v>
      </c>
      <c r="V778" s="700">
        <v>0</v>
      </c>
      <c r="W778" s="700">
        <v>0</v>
      </c>
      <c r="X778" s="700">
        <v>0</v>
      </c>
      <c r="Y778" s="700">
        <v>0</v>
      </c>
      <c r="Z778" s="700">
        <v>0</v>
      </c>
      <c r="AA778" s="700">
        <v>0</v>
      </c>
      <c r="AB778" s="700">
        <v>0</v>
      </c>
      <c r="AC778" s="682">
        <v>0</v>
      </c>
      <c r="AD778" s="682">
        <v>0</v>
      </c>
      <c r="AE778" s="732"/>
      <c r="AF778" s="732"/>
      <c r="AG778" s="732"/>
      <c r="AH778" s="732"/>
      <c r="AI778" s="732"/>
      <c r="AJ778" s="732"/>
      <c r="AK778" s="732"/>
      <c r="AL778" s="732"/>
      <c r="AM778" s="732"/>
      <c r="AN778" s="732"/>
      <c r="AO778" s="732"/>
      <c r="AP778" s="732"/>
      <c r="AQ778" s="732"/>
      <c r="AR778" s="732"/>
      <c r="AS778" s="732"/>
      <c r="AT778" s="732"/>
      <c r="AU778" s="732"/>
      <c r="AV778" s="732"/>
      <c r="AW778" s="732"/>
      <c r="AX778" s="732"/>
      <c r="AY778" s="732"/>
      <c r="AZ778" s="732"/>
      <c r="BA778" s="732"/>
      <c r="BB778" s="732"/>
      <c r="BC778" s="732"/>
      <c r="BD778" s="732"/>
      <c r="BE778" s="732"/>
      <c r="BF778" s="732"/>
      <c r="BG778" s="732"/>
      <c r="BH778" s="732"/>
      <c r="BI778" s="732"/>
      <c r="BJ778" s="732"/>
      <c r="BK778" s="732"/>
      <c r="BL778" s="732"/>
      <c r="BM778" s="732"/>
      <c r="BN778" s="732"/>
      <c r="BO778" s="732"/>
      <c r="BP778" s="732"/>
      <c r="BQ778" s="732"/>
      <c r="BR778" s="732"/>
      <c r="BS778" s="732"/>
      <c r="BT778" s="732"/>
      <c r="BU778" s="732"/>
      <c r="BV778" s="732"/>
      <c r="BW778" s="732"/>
      <c r="BX778" s="732"/>
      <c r="BY778" s="732"/>
      <c r="BZ778" s="732"/>
      <c r="CA778" s="732"/>
    </row>
    <row r="779" spans="1:79" s="309" customFormat="1" hidden="1" outlineLevel="1" x14ac:dyDescent="0.35">
      <c r="A779" s="575"/>
      <c r="B779" s="575"/>
      <c r="C779" s="575"/>
      <c r="D779" s="575"/>
      <c r="E779" s="575"/>
      <c r="F779" s="673" t="s">
        <v>629</v>
      </c>
      <c r="G779" s="680">
        <f>SUM(G774:G778)</f>
        <v>0</v>
      </c>
      <c r="H779" s="680">
        <f t="shared" ref="H779:BO779" si="303">SUM(H774:H778)</f>
        <v>0</v>
      </c>
      <c r="I779" s="680">
        <f t="shared" si="303"/>
        <v>43</v>
      </c>
      <c r="J779" s="680">
        <f t="shared" si="303"/>
        <v>0</v>
      </c>
      <c r="K779" s="680">
        <f t="shared" si="303"/>
        <v>0</v>
      </c>
      <c r="L779" s="680">
        <f t="shared" si="303"/>
        <v>0</v>
      </c>
      <c r="M779" s="680">
        <f t="shared" si="303"/>
        <v>0</v>
      </c>
      <c r="N779" s="680">
        <f t="shared" si="303"/>
        <v>0</v>
      </c>
      <c r="O779" s="680">
        <f t="shared" si="303"/>
        <v>0</v>
      </c>
      <c r="P779" s="680">
        <f t="shared" si="303"/>
        <v>0</v>
      </c>
      <c r="Q779" s="680">
        <f t="shared" si="303"/>
        <v>0</v>
      </c>
      <c r="R779" s="680">
        <f t="shared" si="303"/>
        <v>0</v>
      </c>
      <c r="S779" s="696">
        <f t="shared" ref="S779:AA779" si="304">ROUND(SUM(S772:S778),5)</f>
        <v>0</v>
      </c>
      <c r="T779" s="696">
        <f t="shared" si="304"/>
        <v>0</v>
      </c>
      <c r="U779" s="696">
        <f t="shared" si="304"/>
        <v>0</v>
      </c>
      <c r="V779" s="696">
        <f t="shared" si="304"/>
        <v>0</v>
      </c>
      <c r="W779" s="696">
        <f t="shared" si="304"/>
        <v>0</v>
      </c>
      <c r="X779" s="696">
        <f t="shared" si="304"/>
        <v>0</v>
      </c>
      <c r="Y779" s="696">
        <f t="shared" si="304"/>
        <v>0</v>
      </c>
      <c r="Z779" s="696">
        <f t="shared" si="304"/>
        <v>0</v>
      </c>
      <c r="AA779" s="696">
        <f t="shared" si="304"/>
        <v>0</v>
      </c>
      <c r="AB779" s="696">
        <f>ROUND(SUM(AB772:AB778),5)</f>
        <v>0</v>
      </c>
      <c r="AC779" s="696">
        <f>ROUND(SUM(AC772:AC778),5)</f>
        <v>0</v>
      </c>
      <c r="AD779" s="696">
        <f>ROUND(SUM(AD772:AD778),5)</f>
        <v>0</v>
      </c>
      <c r="AE779" s="680">
        <f t="shared" si="303"/>
        <v>0</v>
      </c>
      <c r="AF779" s="680">
        <f t="shared" si="303"/>
        <v>0</v>
      </c>
      <c r="AG779" s="680">
        <f t="shared" si="303"/>
        <v>0</v>
      </c>
      <c r="AH779" s="680">
        <f t="shared" si="303"/>
        <v>0</v>
      </c>
      <c r="AI779" s="680">
        <f t="shared" si="303"/>
        <v>0</v>
      </c>
      <c r="AJ779" s="680">
        <f t="shared" si="303"/>
        <v>0</v>
      </c>
      <c r="AK779" s="680">
        <f t="shared" si="303"/>
        <v>0</v>
      </c>
      <c r="AL779" s="680">
        <f t="shared" si="303"/>
        <v>0</v>
      </c>
      <c r="AM779" s="680">
        <f t="shared" si="303"/>
        <v>0</v>
      </c>
      <c r="AN779" s="680">
        <f t="shared" si="303"/>
        <v>0</v>
      </c>
      <c r="AO779" s="680">
        <f t="shared" si="303"/>
        <v>0</v>
      </c>
      <c r="AP779" s="680">
        <f t="shared" si="303"/>
        <v>0</v>
      </c>
      <c r="AQ779" s="680">
        <f t="shared" si="303"/>
        <v>0</v>
      </c>
      <c r="AR779" s="680">
        <f t="shared" si="303"/>
        <v>0</v>
      </c>
      <c r="AS779" s="680">
        <f t="shared" si="303"/>
        <v>0</v>
      </c>
      <c r="AT779" s="680">
        <f t="shared" si="303"/>
        <v>0</v>
      </c>
      <c r="AU779" s="680">
        <f t="shared" si="303"/>
        <v>0</v>
      </c>
      <c r="AV779" s="680">
        <f t="shared" si="303"/>
        <v>0</v>
      </c>
      <c r="AW779" s="680">
        <f t="shared" si="303"/>
        <v>0</v>
      </c>
      <c r="AX779" s="680">
        <f t="shared" si="303"/>
        <v>0</v>
      </c>
      <c r="AY779" s="680">
        <f t="shared" si="303"/>
        <v>0</v>
      </c>
      <c r="AZ779" s="680">
        <f t="shared" si="303"/>
        <v>0</v>
      </c>
      <c r="BA779" s="680">
        <f t="shared" si="303"/>
        <v>0</v>
      </c>
      <c r="BB779" s="680">
        <f t="shared" si="303"/>
        <v>0</v>
      </c>
      <c r="BC779" s="680">
        <f t="shared" si="303"/>
        <v>0</v>
      </c>
      <c r="BD779" s="680">
        <f t="shared" si="303"/>
        <v>0</v>
      </c>
      <c r="BE779" s="680">
        <f t="shared" si="303"/>
        <v>0</v>
      </c>
      <c r="BF779" s="680">
        <f t="shared" si="303"/>
        <v>0</v>
      </c>
      <c r="BG779" s="680">
        <f t="shared" si="303"/>
        <v>0</v>
      </c>
      <c r="BH779" s="680">
        <f t="shared" si="303"/>
        <v>0</v>
      </c>
      <c r="BI779" s="680">
        <f t="shared" si="303"/>
        <v>0</v>
      </c>
      <c r="BJ779" s="680">
        <f t="shared" si="303"/>
        <v>0</v>
      </c>
      <c r="BK779" s="680">
        <f t="shared" si="303"/>
        <v>0</v>
      </c>
      <c r="BL779" s="680">
        <f t="shared" si="303"/>
        <v>0</v>
      </c>
      <c r="BM779" s="680">
        <f t="shared" si="303"/>
        <v>0</v>
      </c>
      <c r="BN779" s="680">
        <f t="shared" si="303"/>
        <v>0</v>
      </c>
      <c r="BO779" s="680">
        <f t="shared" si="303"/>
        <v>0</v>
      </c>
      <c r="BP779" s="680">
        <f t="shared" ref="BP779:CA779" si="305">SUM(BP774:BP778)</f>
        <v>0</v>
      </c>
      <c r="BQ779" s="680">
        <f t="shared" si="305"/>
        <v>0</v>
      </c>
      <c r="BR779" s="680">
        <f t="shared" si="305"/>
        <v>0</v>
      </c>
      <c r="BS779" s="680">
        <f t="shared" si="305"/>
        <v>0</v>
      </c>
      <c r="BT779" s="680">
        <f t="shared" si="305"/>
        <v>0</v>
      </c>
      <c r="BU779" s="680">
        <f t="shared" si="305"/>
        <v>0</v>
      </c>
      <c r="BV779" s="680">
        <f t="shared" si="305"/>
        <v>0</v>
      </c>
      <c r="BW779" s="680">
        <f t="shared" si="305"/>
        <v>0</v>
      </c>
      <c r="BX779" s="680">
        <f t="shared" si="305"/>
        <v>0</v>
      </c>
      <c r="BY779" s="680">
        <f t="shared" si="305"/>
        <v>0</v>
      </c>
      <c r="BZ779" s="680">
        <f t="shared" si="305"/>
        <v>0</v>
      </c>
      <c r="CA779" s="680">
        <f t="shared" si="305"/>
        <v>0</v>
      </c>
    </row>
    <row r="780" spans="1:79" s="726" customFormat="1" hidden="1" outlineLevel="1" x14ac:dyDescent="0.35">
      <c r="F780" s="707" t="s">
        <v>673</v>
      </c>
      <c r="G780" s="751"/>
      <c r="H780" s="751"/>
      <c r="I780" s="751"/>
      <c r="J780" s="751"/>
      <c r="K780" s="751"/>
      <c r="L780" s="751"/>
      <c r="M780" s="751"/>
      <c r="N780" s="751"/>
      <c r="O780" s="751"/>
      <c r="P780" s="751"/>
      <c r="Q780" s="751"/>
      <c r="R780" s="751"/>
      <c r="S780" s="724"/>
      <c r="T780" s="724"/>
      <c r="U780" s="724"/>
      <c r="V780" s="724"/>
      <c r="W780" s="724"/>
      <c r="X780" s="724"/>
      <c r="Y780" s="724"/>
      <c r="Z780" s="724"/>
      <c r="AA780" s="724"/>
      <c r="AB780" s="724"/>
      <c r="AC780" s="720"/>
      <c r="AD780" s="720"/>
      <c r="AE780" s="751"/>
      <c r="AF780" s="751"/>
      <c r="AG780" s="751"/>
      <c r="AH780" s="751"/>
      <c r="AI780" s="751"/>
      <c r="AJ780" s="751"/>
      <c r="AK780" s="751"/>
      <c r="AL780" s="751"/>
      <c r="AM780" s="751"/>
      <c r="AN780" s="751"/>
      <c r="AO780" s="751"/>
      <c r="AP780" s="751"/>
      <c r="AQ780" s="751"/>
      <c r="AR780" s="751"/>
      <c r="AS780" s="751"/>
      <c r="AT780" s="751"/>
      <c r="AU780" s="751"/>
      <c r="AV780" s="751"/>
      <c r="AW780" s="751"/>
      <c r="AX780" s="751"/>
      <c r="AY780" s="751"/>
      <c r="AZ780" s="751"/>
      <c r="BA780" s="751"/>
      <c r="BB780" s="751"/>
      <c r="BC780" s="751"/>
      <c r="BD780" s="751"/>
      <c r="BE780" s="751"/>
      <c r="BF780" s="751"/>
      <c r="BG780" s="751"/>
      <c r="BH780" s="751"/>
      <c r="BI780" s="751"/>
      <c r="BJ780" s="751"/>
      <c r="BK780" s="751"/>
      <c r="BL780" s="751"/>
      <c r="BM780" s="751"/>
      <c r="BN780" s="751"/>
      <c r="BO780" s="751"/>
      <c r="BP780" s="751"/>
      <c r="BQ780" s="751"/>
      <c r="BR780" s="751"/>
      <c r="BS780" s="751"/>
      <c r="BT780" s="751"/>
      <c r="BU780" s="751"/>
      <c r="BV780" s="751"/>
      <c r="BW780" s="751"/>
      <c r="BX780" s="751"/>
      <c r="BY780" s="751"/>
      <c r="BZ780" s="751"/>
      <c r="CA780" s="751"/>
    </row>
    <row r="781" spans="1:79" s="309" customFormat="1" hidden="1" outlineLevel="1" x14ac:dyDescent="0.35">
      <c r="A781" s="575"/>
      <c r="B781" s="575"/>
      <c r="C781" s="575"/>
      <c r="D781" s="575"/>
      <c r="E781" s="575"/>
      <c r="F781" s="672" t="s">
        <v>674</v>
      </c>
      <c r="G781" s="732"/>
      <c r="H781" s="732"/>
      <c r="I781" s="732"/>
      <c r="J781" s="732"/>
      <c r="K781" s="732"/>
      <c r="L781" s="732"/>
      <c r="M781" s="732"/>
      <c r="N781" s="732"/>
      <c r="O781" s="732"/>
      <c r="P781" s="732"/>
      <c r="Q781" s="732"/>
      <c r="R781" s="732"/>
      <c r="S781" s="700">
        <v>0</v>
      </c>
      <c r="T781" s="700">
        <v>0</v>
      </c>
      <c r="U781" s="700">
        <v>0</v>
      </c>
      <c r="V781" s="700">
        <v>0</v>
      </c>
      <c r="W781" s="700">
        <v>0</v>
      </c>
      <c r="X781" s="700">
        <v>0</v>
      </c>
      <c r="Y781" s="700">
        <v>0</v>
      </c>
      <c r="Z781" s="700">
        <v>0</v>
      </c>
      <c r="AA781" s="700">
        <v>0</v>
      </c>
      <c r="AB781" s="700">
        <v>0</v>
      </c>
      <c r="AC781" s="682">
        <v>0</v>
      </c>
      <c r="AD781" s="682">
        <v>0</v>
      </c>
      <c r="AE781" s="732"/>
      <c r="AF781" s="732"/>
      <c r="AG781" s="732"/>
      <c r="AH781" s="732"/>
      <c r="AI781" s="732"/>
      <c r="AJ781" s="732"/>
      <c r="AK781" s="732"/>
      <c r="AL781" s="732"/>
      <c r="AM781" s="732"/>
      <c r="AN781" s="732"/>
      <c r="AO781" s="732"/>
      <c r="AP781" s="732"/>
      <c r="AQ781" s="732"/>
      <c r="AR781" s="732"/>
      <c r="AS781" s="732"/>
      <c r="AT781" s="732"/>
      <c r="AU781" s="732"/>
      <c r="AV781" s="732"/>
      <c r="AW781" s="732"/>
      <c r="AX781" s="732"/>
      <c r="AY781" s="732"/>
      <c r="AZ781" s="732"/>
      <c r="BA781" s="732"/>
      <c r="BB781" s="732"/>
      <c r="BC781" s="732"/>
      <c r="BD781" s="732"/>
      <c r="BE781" s="732"/>
      <c r="BF781" s="732"/>
      <c r="BG781" s="732"/>
      <c r="BH781" s="732"/>
      <c r="BI781" s="732"/>
      <c r="BJ781" s="732"/>
      <c r="BK781" s="732"/>
      <c r="BL781" s="732"/>
      <c r="BM781" s="732"/>
      <c r="BN781" s="732"/>
      <c r="BO781" s="732"/>
      <c r="BP781" s="732"/>
      <c r="BQ781" s="732"/>
      <c r="BR781" s="732"/>
      <c r="BS781" s="732"/>
      <c r="BT781" s="732"/>
      <c r="BU781" s="732"/>
      <c r="BV781" s="732"/>
      <c r="BW781" s="732"/>
      <c r="BX781" s="732"/>
      <c r="BY781" s="732"/>
      <c r="BZ781" s="732"/>
      <c r="CA781" s="732"/>
    </row>
    <row r="782" spans="1:79" s="309" customFormat="1" hidden="1" outlineLevel="1" x14ac:dyDescent="0.35">
      <c r="A782" s="575"/>
      <c r="B782" s="575"/>
      <c r="C782" s="575"/>
      <c r="D782" s="575"/>
      <c r="E782" s="575"/>
      <c r="F782" s="672" t="s">
        <v>898</v>
      </c>
      <c r="G782" s="732"/>
      <c r="H782" s="732"/>
      <c r="I782" s="732"/>
      <c r="J782" s="732"/>
      <c r="K782" s="732"/>
      <c r="L782" s="732"/>
      <c r="M782" s="732"/>
      <c r="N782" s="732"/>
      <c r="O782" s="732"/>
      <c r="P782" s="732"/>
      <c r="Q782" s="732"/>
      <c r="R782" s="732"/>
      <c r="S782" s="700">
        <v>0</v>
      </c>
      <c r="T782" s="700">
        <v>0</v>
      </c>
      <c r="U782" s="700">
        <v>0</v>
      </c>
      <c r="V782" s="700">
        <v>0</v>
      </c>
      <c r="W782" s="700">
        <v>0</v>
      </c>
      <c r="X782" s="700">
        <v>0</v>
      </c>
      <c r="Y782" s="700">
        <v>0</v>
      </c>
      <c r="Z782" s="700">
        <v>0</v>
      </c>
      <c r="AA782" s="700">
        <v>0</v>
      </c>
      <c r="AB782" s="700">
        <v>0</v>
      </c>
      <c r="AC782" s="682">
        <v>0</v>
      </c>
      <c r="AD782" s="682">
        <v>0</v>
      </c>
      <c r="AE782" s="732"/>
      <c r="AF782" s="732"/>
      <c r="AG782" s="732"/>
      <c r="AH782" s="732"/>
      <c r="AI782" s="732"/>
      <c r="AJ782" s="732"/>
      <c r="AK782" s="732"/>
      <c r="AL782" s="732"/>
      <c r="AM782" s="732"/>
      <c r="AN782" s="732"/>
      <c r="AO782" s="732"/>
      <c r="AP782" s="732"/>
      <c r="AQ782" s="732"/>
      <c r="AR782" s="732"/>
      <c r="AS782" s="732"/>
      <c r="AT782" s="732"/>
      <c r="AU782" s="732"/>
      <c r="AV782" s="732"/>
      <c r="AW782" s="732"/>
      <c r="AX782" s="732"/>
      <c r="AY782" s="732"/>
      <c r="AZ782" s="732"/>
      <c r="BA782" s="732"/>
      <c r="BB782" s="732"/>
      <c r="BC782" s="732"/>
      <c r="BD782" s="732"/>
      <c r="BE782" s="732"/>
      <c r="BF782" s="732"/>
      <c r="BG782" s="732"/>
      <c r="BH782" s="732"/>
      <c r="BI782" s="732"/>
      <c r="BJ782" s="732"/>
      <c r="BK782" s="732"/>
      <c r="BL782" s="732"/>
      <c r="BM782" s="732"/>
      <c r="BN782" s="732"/>
      <c r="BO782" s="732"/>
      <c r="BP782" s="732"/>
      <c r="BQ782" s="732"/>
      <c r="BR782" s="732"/>
      <c r="BS782" s="732"/>
      <c r="BT782" s="732"/>
      <c r="BU782" s="732"/>
      <c r="BV782" s="732"/>
      <c r="BW782" s="732"/>
      <c r="BX782" s="732"/>
      <c r="BY782" s="732"/>
      <c r="BZ782" s="732"/>
      <c r="CA782" s="732"/>
    </row>
    <row r="783" spans="1:79" s="309" customFormat="1" hidden="1" outlineLevel="1" x14ac:dyDescent="0.35">
      <c r="A783" s="575"/>
      <c r="B783" s="575"/>
      <c r="C783" s="575"/>
      <c r="D783" s="575"/>
      <c r="E783" s="575"/>
      <c r="F783" s="672" t="s">
        <v>675</v>
      </c>
      <c r="G783" s="732"/>
      <c r="H783" s="732"/>
      <c r="I783" s="732"/>
      <c r="J783" s="732"/>
      <c r="K783" s="732"/>
      <c r="L783" s="732"/>
      <c r="M783" s="732"/>
      <c r="N783" s="732"/>
      <c r="O783" s="732"/>
      <c r="P783" s="732"/>
      <c r="Q783" s="732"/>
      <c r="R783" s="732"/>
      <c r="S783" s="700">
        <v>0</v>
      </c>
      <c r="T783" s="700">
        <v>0</v>
      </c>
      <c r="U783" s="700">
        <v>0</v>
      </c>
      <c r="V783" s="700">
        <v>0</v>
      </c>
      <c r="W783" s="700">
        <v>0</v>
      </c>
      <c r="X783" s="700">
        <v>0</v>
      </c>
      <c r="Y783" s="700">
        <v>1518.55</v>
      </c>
      <c r="Z783" s="700">
        <v>0</v>
      </c>
      <c r="AA783" s="700">
        <v>0</v>
      </c>
      <c r="AB783" s="700">
        <v>0</v>
      </c>
      <c r="AC783" s="682">
        <v>0</v>
      </c>
      <c r="AD783" s="682">
        <v>0</v>
      </c>
      <c r="AE783" s="732"/>
      <c r="AF783" s="732"/>
      <c r="AG783" s="732"/>
      <c r="AH783" s="732"/>
      <c r="AI783" s="732"/>
      <c r="AJ783" s="732"/>
      <c r="AK783" s="732"/>
      <c r="AL783" s="732"/>
      <c r="AM783" s="732"/>
      <c r="AN783" s="732"/>
      <c r="AO783" s="732"/>
      <c r="AP783" s="732"/>
      <c r="AQ783" s="732"/>
      <c r="AR783" s="732"/>
      <c r="AS783" s="732"/>
      <c r="AT783" s="732"/>
      <c r="AU783" s="732"/>
      <c r="AV783" s="732"/>
      <c r="AW783" s="732"/>
      <c r="AX783" s="732"/>
      <c r="AY783" s="732"/>
      <c r="AZ783" s="732"/>
      <c r="BA783" s="732"/>
      <c r="BB783" s="732"/>
      <c r="BC783" s="732"/>
      <c r="BD783" s="732"/>
      <c r="BE783" s="732"/>
      <c r="BF783" s="732"/>
      <c r="BG783" s="732"/>
      <c r="BH783" s="732"/>
      <c r="BI783" s="732"/>
      <c r="BJ783" s="732"/>
      <c r="BK783" s="732"/>
      <c r="BL783" s="732"/>
      <c r="BM783" s="732"/>
      <c r="BN783" s="732"/>
      <c r="BO783" s="732"/>
      <c r="BP783" s="732"/>
      <c r="BQ783" s="732"/>
      <c r="BR783" s="732"/>
      <c r="BS783" s="732"/>
      <c r="BT783" s="732"/>
      <c r="BU783" s="732"/>
      <c r="BV783" s="732"/>
      <c r="BW783" s="732"/>
      <c r="BX783" s="732"/>
      <c r="BY783" s="732"/>
      <c r="BZ783" s="732"/>
      <c r="CA783" s="732"/>
    </row>
    <row r="784" spans="1:79" s="309" customFormat="1" hidden="1" outlineLevel="1" x14ac:dyDescent="0.35">
      <c r="A784" s="575"/>
      <c r="B784" s="575"/>
      <c r="C784" s="575"/>
      <c r="D784" s="575"/>
      <c r="E784" s="575"/>
      <c r="F784" s="672" t="s">
        <v>899</v>
      </c>
      <c r="G784" s="732"/>
      <c r="H784" s="732"/>
      <c r="I784" s="732"/>
      <c r="J784" s="732"/>
      <c r="K784" s="732"/>
      <c r="L784" s="732"/>
      <c r="M784" s="732"/>
      <c r="N784" s="732"/>
      <c r="O784" s="732"/>
      <c r="P784" s="732"/>
      <c r="Q784" s="732"/>
      <c r="R784" s="732"/>
      <c r="S784" s="700">
        <v>0</v>
      </c>
      <c r="T784" s="700">
        <v>0</v>
      </c>
      <c r="U784" s="700">
        <v>0</v>
      </c>
      <c r="V784" s="700">
        <v>0</v>
      </c>
      <c r="W784" s="700">
        <v>0</v>
      </c>
      <c r="X784" s="700">
        <v>0</v>
      </c>
      <c r="Y784" s="700">
        <v>0</v>
      </c>
      <c r="Z784" s="700">
        <v>0</v>
      </c>
      <c r="AA784" s="700">
        <v>0</v>
      </c>
      <c r="AB784" s="700">
        <v>0</v>
      </c>
      <c r="AC784" s="682">
        <v>0</v>
      </c>
      <c r="AD784" s="682">
        <v>0</v>
      </c>
      <c r="AE784" s="732"/>
      <c r="AF784" s="732"/>
      <c r="AG784" s="732"/>
      <c r="AH784" s="732"/>
      <c r="AI784" s="732"/>
      <c r="AJ784" s="732"/>
      <c r="AK784" s="732"/>
      <c r="AL784" s="732"/>
      <c r="AM784" s="732"/>
      <c r="AN784" s="732"/>
      <c r="AO784" s="732"/>
      <c r="AP784" s="732"/>
      <c r="AQ784" s="732"/>
      <c r="AR784" s="732"/>
      <c r="AS784" s="732"/>
      <c r="AT784" s="732"/>
      <c r="AU784" s="732"/>
      <c r="AV784" s="732"/>
      <c r="AW784" s="732"/>
      <c r="AX784" s="732"/>
      <c r="AY784" s="732"/>
      <c r="AZ784" s="732"/>
      <c r="BA784" s="732"/>
      <c r="BB784" s="732"/>
      <c r="BC784" s="732"/>
      <c r="BD784" s="732"/>
      <c r="BE784" s="732"/>
      <c r="BF784" s="732"/>
      <c r="BG784" s="732"/>
      <c r="BH784" s="732"/>
      <c r="BI784" s="732"/>
      <c r="BJ784" s="732"/>
      <c r="BK784" s="732"/>
      <c r="BL784" s="732"/>
      <c r="BM784" s="732"/>
      <c r="BN784" s="732"/>
      <c r="BO784" s="732"/>
      <c r="BP784" s="732"/>
      <c r="BQ784" s="732"/>
      <c r="BR784" s="732"/>
      <c r="BS784" s="732"/>
      <c r="BT784" s="732"/>
      <c r="BU784" s="732"/>
      <c r="BV784" s="732"/>
      <c r="BW784" s="732"/>
      <c r="BX784" s="732"/>
      <c r="BY784" s="732"/>
      <c r="BZ784" s="732"/>
      <c r="CA784" s="732"/>
    </row>
    <row r="785" spans="1:79" s="309" customFormat="1" hidden="1" outlineLevel="1" x14ac:dyDescent="0.35">
      <c r="A785" s="575"/>
      <c r="B785" s="575"/>
      <c r="C785" s="575"/>
      <c r="D785" s="575"/>
      <c r="E785" s="575"/>
      <c r="F785" s="673" t="s">
        <v>676</v>
      </c>
      <c r="G785" s="680">
        <f>SUM(G781:G784)</f>
        <v>0</v>
      </c>
      <c r="H785" s="680">
        <f t="shared" ref="H785:BO785" si="306">SUM(H781:H784)</f>
        <v>0</v>
      </c>
      <c r="I785" s="680">
        <f t="shared" si="306"/>
        <v>0</v>
      </c>
      <c r="J785" s="680">
        <f t="shared" si="306"/>
        <v>0</v>
      </c>
      <c r="K785" s="680">
        <f t="shared" si="306"/>
        <v>0</v>
      </c>
      <c r="L785" s="680">
        <f t="shared" si="306"/>
        <v>0</v>
      </c>
      <c r="M785" s="680">
        <f t="shared" si="306"/>
        <v>0</v>
      </c>
      <c r="N785" s="680">
        <f t="shared" si="306"/>
        <v>0</v>
      </c>
      <c r="O785" s="680">
        <f t="shared" si="306"/>
        <v>0</v>
      </c>
      <c r="P785" s="680">
        <f t="shared" si="306"/>
        <v>0</v>
      </c>
      <c r="Q785" s="680">
        <f t="shared" si="306"/>
        <v>0</v>
      </c>
      <c r="R785" s="680">
        <f t="shared" si="306"/>
        <v>0</v>
      </c>
      <c r="S785" s="696">
        <f t="shared" ref="S785:AA785" si="307">ROUND(SUM(S780:S784),5)</f>
        <v>0</v>
      </c>
      <c r="T785" s="696">
        <f t="shared" si="307"/>
        <v>0</v>
      </c>
      <c r="U785" s="696">
        <f t="shared" si="307"/>
        <v>0</v>
      </c>
      <c r="V785" s="696">
        <f t="shared" si="307"/>
        <v>0</v>
      </c>
      <c r="W785" s="696">
        <f t="shared" si="307"/>
        <v>0</v>
      </c>
      <c r="X785" s="696">
        <f t="shared" si="307"/>
        <v>0</v>
      </c>
      <c r="Y785" s="696">
        <f t="shared" si="307"/>
        <v>1518.55</v>
      </c>
      <c r="Z785" s="696">
        <f t="shared" si="307"/>
        <v>0</v>
      </c>
      <c r="AA785" s="696">
        <f t="shared" si="307"/>
        <v>0</v>
      </c>
      <c r="AB785" s="696">
        <f>ROUND(SUM(AB780:AB784),5)</f>
        <v>0</v>
      </c>
      <c r="AC785" s="696">
        <f>ROUND(SUM(AC780:AC784),5)</f>
        <v>0</v>
      </c>
      <c r="AD785" s="696">
        <f>ROUND(SUM(AD780:AD784),5)</f>
        <v>0</v>
      </c>
      <c r="AE785" s="680">
        <f t="shared" si="306"/>
        <v>0</v>
      </c>
      <c r="AF785" s="680">
        <f t="shared" si="306"/>
        <v>0</v>
      </c>
      <c r="AG785" s="680">
        <f t="shared" si="306"/>
        <v>0</v>
      </c>
      <c r="AH785" s="680">
        <f t="shared" si="306"/>
        <v>0</v>
      </c>
      <c r="AI785" s="680">
        <f t="shared" si="306"/>
        <v>0</v>
      </c>
      <c r="AJ785" s="680">
        <f t="shared" si="306"/>
        <v>0</v>
      </c>
      <c r="AK785" s="680">
        <f t="shared" si="306"/>
        <v>0</v>
      </c>
      <c r="AL785" s="680">
        <f t="shared" si="306"/>
        <v>0</v>
      </c>
      <c r="AM785" s="680">
        <f t="shared" si="306"/>
        <v>0</v>
      </c>
      <c r="AN785" s="680">
        <f t="shared" si="306"/>
        <v>0</v>
      </c>
      <c r="AO785" s="680">
        <f t="shared" si="306"/>
        <v>0</v>
      </c>
      <c r="AP785" s="680">
        <f t="shared" si="306"/>
        <v>0</v>
      </c>
      <c r="AQ785" s="680">
        <f t="shared" si="306"/>
        <v>0</v>
      </c>
      <c r="AR785" s="680">
        <f t="shared" si="306"/>
        <v>0</v>
      </c>
      <c r="AS785" s="680">
        <f t="shared" si="306"/>
        <v>0</v>
      </c>
      <c r="AT785" s="680">
        <f t="shared" si="306"/>
        <v>0</v>
      </c>
      <c r="AU785" s="680">
        <f t="shared" si="306"/>
        <v>0</v>
      </c>
      <c r="AV785" s="680">
        <f t="shared" si="306"/>
        <v>0</v>
      </c>
      <c r="AW785" s="680">
        <f t="shared" si="306"/>
        <v>0</v>
      </c>
      <c r="AX785" s="680">
        <f t="shared" si="306"/>
        <v>0</v>
      </c>
      <c r="AY785" s="680">
        <f t="shared" si="306"/>
        <v>0</v>
      </c>
      <c r="AZ785" s="680">
        <f t="shared" si="306"/>
        <v>0</v>
      </c>
      <c r="BA785" s="680">
        <f t="shared" si="306"/>
        <v>0</v>
      </c>
      <c r="BB785" s="680">
        <f t="shared" si="306"/>
        <v>0</v>
      </c>
      <c r="BC785" s="680">
        <f t="shared" si="306"/>
        <v>0</v>
      </c>
      <c r="BD785" s="680">
        <f t="shared" si="306"/>
        <v>0</v>
      </c>
      <c r="BE785" s="680">
        <f t="shared" si="306"/>
        <v>0</v>
      </c>
      <c r="BF785" s="680">
        <f t="shared" si="306"/>
        <v>0</v>
      </c>
      <c r="BG785" s="680">
        <f t="shared" si="306"/>
        <v>0</v>
      </c>
      <c r="BH785" s="680">
        <f t="shared" si="306"/>
        <v>0</v>
      </c>
      <c r="BI785" s="680">
        <f t="shared" si="306"/>
        <v>0</v>
      </c>
      <c r="BJ785" s="680">
        <f t="shared" si="306"/>
        <v>0</v>
      </c>
      <c r="BK785" s="680">
        <f t="shared" si="306"/>
        <v>0</v>
      </c>
      <c r="BL785" s="680">
        <f t="shared" si="306"/>
        <v>0</v>
      </c>
      <c r="BM785" s="680">
        <f t="shared" si="306"/>
        <v>0</v>
      </c>
      <c r="BN785" s="680">
        <f t="shared" si="306"/>
        <v>0</v>
      </c>
      <c r="BO785" s="680">
        <f t="shared" si="306"/>
        <v>0</v>
      </c>
      <c r="BP785" s="680">
        <f t="shared" ref="BP785:CA785" si="308">SUM(BP781:BP784)</f>
        <v>0</v>
      </c>
      <c r="BQ785" s="680">
        <f t="shared" si="308"/>
        <v>0</v>
      </c>
      <c r="BR785" s="680">
        <f t="shared" si="308"/>
        <v>0</v>
      </c>
      <c r="BS785" s="680">
        <f t="shared" si="308"/>
        <v>0</v>
      </c>
      <c r="BT785" s="680">
        <f t="shared" si="308"/>
        <v>0</v>
      </c>
      <c r="BU785" s="680">
        <f t="shared" si="308"/>
        <v>0</v>
      </c>
      <c r="BV785" s="680">
        <f t="shared" si="308"/>
        <v>0</v>
      </c>
      <c r="BW785" s="680">
        <f t="shared" si="308"/>
        <v>0</v>
      </c>
      <c r="BX785" s="680">
        <f t="shared" si="308"/>
        <v>0</v>
      </c>
      <c r="BY785" s="680">
        <f t="shared" si="308"/>
        <v>0</v>
      </c>
      <c r="BZ785" s="680">
        <f t="shared" si="308"/>
        <v>0</v>
      </c>
      <c r="CA785" s="680">
        <f t="shared" si="308"/>
        <v>0</v>
      </c>
    </row>
    <row r="786" spans="1:79" hidden="1" outlineLevel="1" x14ac:dyDescent="0.35">
      <c r="F786" s="674" t="s">
        <v>652</v>
      </c>
      <c r="G786" s="735">
        <v>115.93994569937874</v>
      </c>
      <c r="H786" s="735">
        <v>63.627572209296282</v>
      </c>
      <c r="I786" s="735">
        <v>34.369270170445432</v>
      </c>
      <c r="J786" s="735">
        <v>14.50807036026627</v>
      </c>
      <c r="K786" s="735">
        <v>16.506323467221218</v>
      </c>
      <c r="L786" s="735">
        <v>16.239058595169549</v>
      </c>
      <c r="M786" s="735">
        <v>64.56527007905207</v>
      </c>
      <c r="N786" s="735">
        <v>11.947265871428639</v>
      </c>
      <c r="O786" s="735">
        <v>12.251425134531189</v>
      </c>
      <c r="P786" s="732">
        <v>8.9378896263488805</v>
      </c>
      <c r="Q786" s="732">
        <v>19.351111960179498</v>
      </c>
      <c r="R786" s="732">
        <v>16.308837050623847</v>
      </c>
      <c r="S786" s="704">
        <v>97.45</v>
      </c>
      <c r="T786" s="704">
        <v>97.55</v>
      </c>
      <c r="U786" s="704">
        <v>100.54</v>
      </c>
      <c r="V786" s="704">
        <v>137.35</v>
      </c>
      <c r="W786" s="704">
        <v>112.87</v>
      </c>
      <c r="X786" s="704">
        <v>0</v>
      </c>
      <c r="Y786" s="704">
        <v>362.79</v>
      </c>
      <c r="Z786" s="704">
        <v>116.12</v>
      </c>
      <c r="AA786" s="704">
        <v>116.12</v>
      </c>
      <c r="AB786" s="704">
        <v>116.07</v>
      </c>
      <c r="AC786" s="682">
        <v>281.8</v>
      </c>
      <c r="AD786" s="682">
        <v>114.08</v>
      </c>
      <c r="AE786" s="732"/>
      <c r="AF786" s="732"/>
      <c r="AG786" s="732"/>
      <c r="AH786" s="732"/>
      <c r="AI786" s="732"/>
      <c r="AJ786" s="732"/>
      <c r="AK786" s="732"/>
      <c r="AL786" s="732"/>
      <c r="AM786" s="732"/>
      <c r="AN786" s="732"/>
      <c r="AO786" s="732"/>
      <c r="AP786" s="732"/>
      <c r="AQ786" s="732"/>
      <c r="AR786" s="732"/>
      <c r="AS786" s="732"/>
      <c r="AT786" s="732"/>
      <c r="AU786" s="732"/>
      <c r="AV786" s="732"/>
      <c r="AW786" s="732"/>
      <c r="AX786" s="732"/>
      <c r="AY786" s="732"/>
      <c r="AZ786" s="732"/>
      <c r="BA786" s="732"/>
      <c r="BB786" s="732"/>
      <c r="BC786" s="732"/>
      <c r="BD786" s="732"/>
      <c r="BE786" s="732"/>
      <c r="BF786" s="732"/>
      <c r="BG786" s="732"/>
      <c r="BH786" s="732"/>
      <c r="BI786" s="732"/>
      <c r="BJ786" s="732"/>
      <c r="BK786" s="732"/>
      <c r="BL786" s="732"/>
      <c r="BM786" s="732"/>
      <c r="BN786" s="732"/>
      <c r="BO786" s="732"/>
      <c r="BP786" s="732"/>
      <c r="BQ786" s="732"/>
      <c r="BR786" s="732"/>
      <c r="BS786" s="732"/>
      <c r="BT786" s="732"/>
      <c r="BU786" s="732"/>
      <c r="BV786" s="732"/>
      <c r="BW786" s="732"/>
      <c r="BX786" s="732"/>
      <c r="BY786" s="732"/>
      <c r="BZ786" s="732"/>
      <c r="CA786" s="732"/>
    </row>
    <row r="787" spans="1:79" hidden="1" outlineLevel="1" x14ac:dyDescent="0.35">
      <c r="F787" s="674" t="s">
        <v>603</v>
      </c>
      <c r="G787" s="735">
        <v>74.097352073429349</v>
      </c>
      <c r="H787" s="735">
        <v>206.9710936402239</v>
      </c>
      <c r="I787" s="735">
        <v>144.46430568156146</v>
      </c>
      <c r="J787" s="735">
        <v>320.33566479774646</v>
      </c>
      <c r="K787" s="735">
        <v>292.25774929416787</v>
      </c>
      <c r="L787" s="735">
        <v>285.00626242712076</v>
      </c>
      <c r="M787" s="735">
        <v>93.015406139960859</v>
      </c>
      <c r="N787" s="735">
        <v>328.30584745874495</v>
      </c>
      <c r="O787" s="735">
        <v>582.30397606951681</v>
      </c>
      <c r="P787" s="732">
        <v>514.16438756924765</v>
      </c>
      <c r="Q787" s="732">
        <v>150.8512055419566</v>
      </c>
      <c r="R787" s="732">
        <v>79.734106467475044</v>
      </c>
      <c r="S787" s="683">
        <v>864.12</v>
      </c>
      <c r="T787" s="683">
        <v>0</v>
      </c>
      <c r="U787" s="683">
        <v>1785.46</v>
      </c>
      <c r="V787" s="683">
        <v>183.88</v>
      </c>
      <c r="W787" s="683">
        <v>1777.08</v>
      </c>
      <c r="X787" s="683">
        <v>-889.72</v>
      </c>
      <c r="Y787" s="683">
        <v>13</v>
      </c>
      <c r="Z787" s="683">
        <v>1819.42</v>
      </c>
      <c r="AA787" s="683">
        <v>255.3</v>
      </c>
      <c r="AB787" s="683">
        <v>6401.27</v>
      </c>
      <c r="AC787" s="681">
        <v>4130.91</v>
      </c>
      <c r="AD787" s="681">
        <v>1102.92</v>
      </c>
      <c r="AE787" s="732"/>
      <c r="AF787" s="732"/>
      <c r="AG787" s="732"/>
      <c r="AH787" s="732"/>
      <c r="AI787" s="732"/>
      <c r="AJ787" s="732"/>
      <c r="AK787" s="732"/>
      <c r="AL787" s="732"/>
      <c r="AM787" s="732"/>
      <c r="AN787" s="732"/>
      <c r="AO787" s="732"/>
      <c r="AP787" s="732"/>
      <c r="AQ787" s="732"/>
      <c r="AR787" s="732"/>
      <c r="AS787" s="732"/>
      <c r="AT787" s="732"/>
      <c r="AU787" s="732"/>
      <c r="AV787" s="732"/>
      <c r="AW787" s="732"/>
      <c r="AX787" s="732"/>
      <c r="AY787" s="732"/>
      <c r="AZ787" s="732"/>
      <c r="BA787" s="732"/>
      <c r="BB787" s="732"/>
      <c r="BC787" s="732"/>
      <c r="BD787" s="732"/>
      <c r="BE787" s="732"/>
      <c r="BF787" s="732"/>
      <c r="BG787" s="732"/>
      <c r="BH787" s="732"/>
      <c r="BI787" s="732"/>
      <c r="BJ787" s="732"/>
      <c r="BK787" s="732"/>
      <c r="BL787" s="732"/>
      <c r="BM787" s="732"/>
      <c r="BN787" s="732"/>
      <c r="BO787" s="732"/>
      <c r="BP787" s="732"/>
      <c r="BQ787" s="732"/>
      <c r="BR787" s="732"/>
      <c r="BS787" s="732"/>
      <c r="BT787" s="732"/>
      <c r="BU787" s="732"/>
      <c r="BV787" s="732"/>
      <c r="BW787" s="732"/>
      <c r="BX787" s="732"/>
      <c r="BY787" s="732"/>
      <c r="BZ787" s="732"/>
      <c r="CA787" s="732"/>
    </row>
    <row r="788" spans="1:79" s="709" customFormat="1" hidden="1" outlineLevel="1" x14ac:dyDescent="0.35">
      <c r="F788" s="707" t="s">
        <v>677</v>
      </c>
      <c r="G788" s="750"/>
      <c r="H788" s="750"/>
      <c r="I788" s="750"/>
      <c r="J788" s="750"/>
      <c r="K788" s="750"/>
      <c r="L788" s="750"/>
      <c r="M788" s="750"/>
      <c r="N788" s="750"/>
      <c r="O788" s="750"/>
      <c r="P788" s="751"/>
      <c r="Q788" s="751"/>
      <c r="R788" s="751"/>
      <c r="S788" s="720"/>
      <c r="T788" s="720"/>
      <c r="U788" s="720"/>
      <c r="V788" s="720"/>
      <c r="W788" s="720"/>
      <c r="X788" s="720"/>
      <c r="Y788" s="720"/>
      <c r="Z788" s="720"/>
      <c r="AA788" s="720"/>
      <c r="AB788" s="720"/>
      <c r="AC788" s="718"/>
      <c r="AD788" s="718"/>
      <c r="AE788" s="751"/>
      <c r="AF788" s="751"/>
      <c r="AG788" s="751"/>
      <c r="AH788" s="751"/>
      <c r="AI788" s="751"/>
      <c r="AJ788" s="751"/>
      <c r="AK788" s="751"/>
      <c r="AL788" s="751"/>
      <c r="AM788" s="751"/>
      <c r="AN788" s="751"/>
      <c r="AO788" s="751"/>
      <c r="AP788" s="751"/>
      <c r="AQ788" s="751"/>
      <c r="AR788" s="751"/>
      <c r="AS788" s="751"/>
      <c r="AT788" s="751"/>
      <c r="AU788" s="751"/>
      <c r="AV788" s="751"/>
      <c r="AW788" s="751"/>
      <c r="AX788" s="751"/>
      <c r="AY788" s="751"/>
      <c r="AZ788" s="751"/>
      <c r="BA788" s="751"/>
      <c r="BB788" s="751"/>
      <c r="BC788" s="751"/>
      <c r="BD788" s="751"/>
      <c r="BE788" s="751"/>
      <c r="BF788" s="751"/>
      <c r="BG788" s="751"/>
      <c r="BH788" s="751"/>
      <c r="BI788" s="751"/>
      <c r="BJ788" s="751"/>
      <c r="BK788" s="751"/>
      <c r="BL788" s="751"/>
      <c r="BM788" s="751"/>
      <c r="BN788" s="751"/>
      <c r="BO788" s="751"/>
      <c r="BP788" s="751"/>
      <c r="BQ788" s="751"/>
      <c r="BR788" s="751"/>
      <c r="BS788" s="751"/>
      <c r="BT788" s="751"/>
      <c r="BU788" s="751"/>
      <c r="BV788" s="751"/>
      <c r="BW788" s="751"/>
      <c r="BX788" s="751"/>
      <c r="BY788" s="751"/>
      <c r="BZ788" s="751"/>
      <c r="CA788" s="751"/>
    </row>
    <row r="789" spans="1:79" hidden="1" outlineLevel="1" x14ac:dyDescent="0.35">
      <c r="A789" s="574"/>
      <c r="B789" s="574"/>
      <c r="C789" s="574"/>
      <c r="D789" s="574"/>
      <c r="E789" s="574"/>
      <c r="F789" s="672" t="s">
        <v>900</v>
      </c>
      <c r="G789" s="735"/>
      <c r="H789" s="735"/>
      <c r="I789" s="735"/>
      <c r="J789" s="735"/>
      <c r="K789" s="735"/>
      <c r="L789" s="735"/>
      <c r="M789" s="735"/>
      <c r="N789" s="735"/>
      <c r="O789" s="735"/>
      <c r="P789" s="732"/>
      <c r="Q789" s="732"/>
      <c r="R789" s="732"/>
      <c r="S789" s="683">
        <v>0</v>
      </c>
      <c r="T789" s="683">
        <v>0</v>
      </c>
      <c r="U789" s="683">
        <v>0</v>
      </c>
      <c r="V789" s="683">
        <v>0</v>
      </c>
      <c r="W789" s="683">
        <v>0</v>
      </c>
      <c r="X789" s="683">
        <v>0</v>
      </c>
      <c r="Y789" s="683">
        <v>0</v>
      </c>
      <c r="Z789" s="683">
        <v>0</v>
      </c>
      <c r="AA789" s="683">
        <v>0</v>
      </c>
      <c r="AB789" s="683">
        <v>0</v>
      </c>
      <c r="AC789" s="681">
        <v>0</v>
      </c>
      <c r="AD789" s="681">
        <v>0</v>
      </c>
      <c r="AE789" s="732"/>
      <c r="AF789" s="732"/>
      <c r="AG789" s="732"/>
      <c r="AH789" s="732"/>
      <c r="AI789" s="732"/>
      <c r="AJ789" s="732"/>
      <c r="AK789" s="732"/>
      <c r="AL789" s="732"/>
      <c r="AM789" s="732"/>
      <c r="AN789" s="732"/>
      <c r="AO789" s="732"/>
      <c r="AP789" s="732"/>
      <c r="AQ789" s="732"/>
      <c r="AR789" s="732"/>
      <c r="AS789" s="732"/>
      <c r="AT789" s="732"/>
      <c r="AU789" s="732"/>
      <c r="AV789" s="732"/>
      <c r="AW789" s="732"/>
      <c r="AX789" s="732"/>
      <c r="AY789" s="732"/>
      <c r="AZ789" s="732"/>
      <c r="BA789" s="732"/>
      <c r="BB789" s="732"/>
      <c r="BC789" s="732"/>
      <c r="BD789" s="732"/>
      <c r="BE789" s="732"/>
      <c r="BF789" s="732"/>
      <c r="BG789" s="732"/>
      <c r="BH789" s="732"/>
      <c r="BI789" s="732"/>
      <c r="BJ789" s="732"/>
      <c r="BK789" s="732"/>
      <c r="BL789" s="732"/>
      <c r="BM789" s="732"/>
      <c r="BN789" s="732"/>
      <c r="BO789" s="732"/>
      <c r="BP789" s="732"/>
      <c r="BQ789" s="732"/>
      <c r="BR789" s="732"/>
      <c r="BS789" s="732"/>
      <c r="BT789" s="732"/>
      <c r="BU789" s="732"/>
      <c r="BV789" s="732"/>
      <c r="BW789" s="732"/>
      <c r="BX789" s="732"/>
      <c r="BY789" s="732"/>
      <c r="BZ789" s="732"/>
      <c r="CA789" s="732"/>
    </row>
    <row r="790" spans="1:79" hidden="1" outlineLevel="1" x14ac:dyDescent="0.35">
      <c r="A790" s="574"/>
      <c r="B790" s="574"/>
      <c r="C790" s="574"/>
      <c r="D790" s="574"/>
      <c r="E790" s="574"/>
      <c r="F790" s="672" t="s">
        <v>678</v>
      </c>
      <c r="G790" s="735"/>
      <c r="H790" s="735"/>
      <c r="I790" s="735"/>
      <c r="J790" s="735"/>
      <c r="K790" s="735"/>
      <c r="L790" s="735"/>
      <c r="M790" s="735"/>
      <c r="N790" s="735"/>
      <c r="O790" s="735"/>
      <c r="P790" s="732"/>
      <c r="Q790" s="732"/>
      <c r="R790" s="732"/>
      <c r="S790" s="683">
        <v>0</v>
      </c>
      <c r="T790" s="683">
        <v>0</v>
      </c>
      <c r="U790" s="683">
        <v>0</v>
      </c>
      <c r="V790" s="683">
        <v>0</v>
      </c>
      <c r="W790" s="683">
        <v>0</v>
      </c>
      <c r="X790" s="683">
        <v>0</v>
      </c>
      <c r="Y790" s="683">
        <v>0</v>
      </c>
      <c r="Z790" s="683">
        <v>0</v>
      </c>
      <c r="AA790" s="683">
        <v>0</v>
      </c>
      <c r="AB790" s="683">
        <v>0</v>
      </c>
      <c r="AC790" s="681">
        <v>0</v>
      </c>
      <c r="AD790" s="681">
        <v>0</v>
      </c>
      <c r="AE790" s="732"/>
      <c r="AF790" s="732"/>
      <c r="AG790" s="732"/>
      <c r="AH790" s="732"/>
      <c r="AI790" s="732"/>
      <c r="AJ790" s="732"/>
      <c r="AK790" s="732"/>
      <c r="AL790" s="732"/>
      <c r="AM790" s="732"/>
      <c r="AN790" s="732"/>
      <c r="AO790" s="732"/>
      <c r="AP790" s="732"/>
      <c r="AQ790" s="732"/>
      <c r="AR790" s="732"/>
      <c r="AS790" s="732"/>
      <c r="AT790" s="732"/>
      <c r="AU790" s="732"/>
      <c r="AV790" s="732"/>
      <c r="AW790" s="732"/>
      <c r="AX790" s="732"/>
      <c r="AY790" s="732"/>
      <c r="AZ790" s="732"/>
      <c r="BA790" s="732"/>
      <c r="BB790" s="732"/>
      <c r="BC790" s="732"/>
      <c r="BD790" s="732"/>
      <c r="BE790" s="732"/>
      <c r="BF790" s="732"/>
      <c r="BG790" s="732"/>
      <c r="BH790" s="732"/>
      <c r="BI790" s="732"/>
      <c r="BJ790" s="732"/>
      <c r="BK790" s="732"/>
      <c r="BL790" s="732"/>
      <c r="BM790" s="732"/>
      <c r="BN790" s="732"/>
      <c r="BO790" s="732"/>
      <c r="BP790" s="732"/>
      <c r="BQ790" s="732"/>
      <c r="BR790" s="732"/>
      <c r="BS790" s="732"/>
      <c r="BT790" s="732"/>
      <c r="BU790" s="732"/>
      <c r="BV790" s="732"/>
      <c r="BW790" s="732"/>
      <c r="BX790" s="732"/>
      <c r="BY790" s="732"/>
      <c r="BZ790" s="732"/>
      <c r="CA790" s="732"/>
    </row>
    <row r="791" spans="1:79" hidden="1" outlineLevel="1" x14ac:dyDescent="0.35">
      <c r="A791" s="574"/>
      <c r="B791" s="574"/>
      <c r="C791" s="574"/>
      <c r="D791" s="574"/>
      <c r="E791" s="574"/>
      <c r="F791" s="672" t="s">
        <v>901</v>
      </c>
      <c r="G791" s="735"/>
      <c r="H791" s="735"/>
      <c r="I791" s="735"/>
      <c r="J791" s="735"/>
      <c r="K791" s="735"/>
      <c r="L791" s="735"/>
      <c r="M791" s="735"/>
      <c r="N791" s="735"/>
      <c r="O791" s="735"/>
      <c r="P791" s="732"/>
      <c r="Q791" s="732"/>
      <c r="R791" s="732"/>
      <c r="S791" s="683">
        <v>0</v>
      </c>
      <c r="T791" s="683">
        <v>0</v>
      </c>
      <c r="U791" s="683">
        <v>0</v>
      </c>
      <c r="V791" s="683">
        <v>0</v>
      </c>
      <c r="W791" s="683">
        <v>0</v>
      </c>
      <c r="X791" s="683">
        <v>0</v>
      </c>
      <c r="Y791" s="683">
        <v>0</v>
      </c>
      <c r="Z791" s="683">
        <v>0</v>
      </c>
      <c r="AA791" s="683">
        <v>0</v>
      </c>
      <c r="AB791" s="683">
        <v>0</v>
      </c>
      <c r="AC791" s="681">
        <v>0</v>
      </c>
      <c r="AD791" s="681">
        <v>0</v>
      </c>
      <c r="AE791" s="732"/>
      <c r="AF791" s="732"/>
      <c r="AG791" s="732"/>
      <c r="AH791" s="732"/>
      <c r="AI791" s="732"/>
      <c r="AJ791" s="732"/>
      <c r="AK791" s="732"/>
      <c r="AL791" s="732"/>
      <c r="AM791" s="732"/>
      <c r="AN791" s="732"/>
      <c r="AO791" s="732"/>
      <c r="AP791" s="732"/>
      <c r="AQ791" s="732"/>
      <c r="AR791" s="732"/>
      <c r="AS791" s="732"/>
      <c r="AT791" s="732"/>
      <c r="AU791" s="732"/>
      <c r="AV791" s="732"/>
      <c r="AW791" s="732"/>
      <c r="AX791" s="732"/>
      <c r="AY791" s="732"/>
      <c r="AZ791" s="732"/>
      <c r="BA791" s="732"/>
      <c r="BB791" s="732"/>
      <c r="BC791" s="732"/>
      <c r="BD791" s="732"/>
      <c r="BE791" s="732"/>
      <c r="BF791" s="732"/>
      <c r="BG791" s="732"/>
      <c r="BH791" s="732"/>
      <c r="BI791" s="732"/>
      <c r="BJ791" s="732"/>
      <c r="BK791" s="732"/>
      <c r="BL791" s="732"/>
      <c r="BM791" s="732"/>
      <c r="BN791" s="732"/>
      <c r="BO791" s="732"/>
      <c r="BP791" s="732"/>
      <c r="BQ791" s="732"/>
      <c r="BR791" s="732"/>
      <c r="BS791" s="732"/>
      <c r="BT791" s="732"/>
      <c r="BU791" s="732"/>
      <c r="BV791" s="732"/>
      <c r="BW791" s="732"/>
      <c r="BX791" s="732"/>
      <c r="BY791" s="732"/>
      <c r="BZ791" s="732"/>
      <c r="CA791" s="732"/>
    </row>
    <row r="792" spans="1:79" hidden="1" outlineLevel="1" x14ac:dyDescent="0.35">
      <c r="A792" s="574"/>
      <c r="B792" s="574"/>
      <c r="C792" s="574"/>
      <c r="D792" s="574"/>
      <c r="E792" s="574"/>
      <c r="F792" s="672" t="s">
        <v>771</v>
      </c>
      <c r="G792" s="735"/>
      <c r="H792" s="735"/>
      <c r="I792" s="735"/>
      <c r="J792" s="735"/>
      <c r="K792" s="735"/>
      <c r="L792" s="735"/>
      <c r="M792" s="735"/>
      <c r="N792" s="735"/>
      <c r="O792" s="735"/>
      <c r="P792" s="732"/>
      <c r="Q792" s="732"/>
      <c r="R792" s="732"/>
      <c r="S792" s="683">
        <v>0</v>
      </c>
      <c r="T792" s="683">
        <v>0</v>
      </c>
      <c r="U792" s="683">
        <v>0</v>
      </c>
      <c r="V792" s="683">
        <v>0</v>
      </c>
      <c r="W792" s="683">
        <v>0</v>
      </c>
      <c r="X792" s="683">
        <v>0</v>
      </c>
      <c r="Y792" s="683">
        <v>0</v>
      </c>
      <c r="Z792" s="683">
        <v>0</v>
      </c>
      <c r="AA792" s="683">
        <v>0</v>
      </c>
      <c r="AB792" s="683">
        <v>0</v>
      </c>
      <c r="AC792" s="681">
        <v>0</v>
      </c>
      <c r="AD792" s="681">
        <v>0</v>
      </c>
      <c r="AE792" s="732"/>
      <c r="AF792" s="732"/>
      <c r="AG792" s="732"/>
      <c r="AH792" s="732"/>
      <c r="AI792" s="732"/>
      <c r="AJ792" s="732"/>
      <c r="AK792" s="732"/>
      <c r="AL792" s="732"/>
      <c r="AM792" s="732"/>
      <c r="AN792" s="732"/>
      <c r="AO792" s="732"/>
      <c r="AP792" s="732"/>
      <c r="AQ792" s="732"/>
      <c r="AR792" s="732"/>
      <c r="AS792" s="732"/>
      <c r="AT792" s="732"/>
      <c r="AU792" s="732"/>
      <c r="AV792" s="732"/>
      <c r="AW792" s="732"/>
      <c r="AX792" s="732"/>
      <c r="AY792" s="732"/>
      <c r="AZ792" s="732"/>
      <c r="BA792" s="732"/>
      <c r="BB792" s="732"/>
      <c r="BC792" s="732"/>
      <c r="BD792" s="732"/>
      <c r="BE792" s="732"/>
      <c r="BF792" s="732"/>
      <c r="BG792" s="732"/>
      <c r="BH792" s="732"/>
      <c r="BI792" s="732"/>
      <c r="BJ792" s="732"/>
      <c r="BK792" s="732"/>
      <c r="BL792" s="732"/>
      <c r="BM792" s="732"/>
      <c r="BN792" s="732"/>
      <c r="BO792" s="732"/>
      <c r="BP792" s="732"/>
      <c r="BQ792" s="732"/>
      <c r="BR792" s="732"/>
      <c r="BS792" s="732"/>
      <c r="BT792" s="732"/>
      <c r="BU792" s="732"/>
      <c r="BV792" s="732"/>
      <c r="BW792" s="732"/>
      <c r="BX792" s="732"/>
      <c r="BY792" s="732"/>
      <c r="BZ792" s="732"/>
      <c r="CA792" s="732"/>
    </row>
    <row r="793" spans="1:79" hidden="1" outlineLevel="1" x14ac:dyDescent="0.35">
      <c r="A793" s="574"/>
      <c r="B793" s="574"/>
      <c r="C793" s="574"/>
      <c r="D793" s="574"/>
      <c r="E793" s="574"/>
      <c r="F793" s="673" t="s">
        <v>679</v>
      </c>
      <c r="G793" s="680">
        <f>SUM(G789:G792)</f>
        <v>0</v>
      </c>
      <c r="H793" s="680">
        <f t="shared" ref="H793:BO793" si="309">SUM(H789:H792)</f>
        <v>0</v>
      </c>
      <c r="I793" s="680">
        <f t="shared" si="309"/>
        <v>0</v>
      </c>
      <c r="J793" s="680">
        <f t="shared" si="309"/>
        <v>0</v>
      </c>
      <c r="K793" s="680">
        <f t="shared" si="309"/>
        <v>0</v>
      </c>
      <c r="L793" s="680">
        <f t="shared" si="309"/>
        <v>0</v>
      </c>
      <c r="M793" s="680">
        <f t="shared" si="309"/>
        <v>0</v>
      </c>
      <c r="N793" s="680">
        <f t="shared" si="309"/>
        <v>0</v>
      </c>
      <c r="O793" s="680">
        <f t="shared" si="309"/>
        <v>0</v>
      </c>
      <c r="P793" s="680">
        <f t="shared" si="309"/>
        <v>0</v>
      </c>
      <c r="Q793" s="680">
        <f t="shared" si="309"/>
        <v>0</v>
      </c>
      <c r="R793" s="680">
        <f t="shared" si="309"/>
        <v>0</v>
      </c>
      <c r="S793" s="694">
        <f t="shared" ref="S793:AA793" si="310">ROUND(SUM(S788:S792),5)</f>
        <v>0</v>
      </c>
      <c r="T793" s="694">
        <f t="shared" si="310"/>
        <v>0</v>
      </c>
      <c r="U793" s="694">
        <f t="shared" si="310"/>
        <v>0</v>
      </c>
      <c r="V793" s="694">
        <f t="shared" si="310"/>
        <v>0</v>
      </c>
      <c r="W793" s="694">
        <f t="shared" si="310"/>
        <v>0</v>
      </c>
      <c r="X793" s="694">
        <f t="shared" si="310"/>
        <v>0</v>
      </c>
      <c r="Y793" s="694">
        <f t="shared" si="310"/>
        <v>0</v>
      </c>
      <c r="Z793" s="694">
        <f t="shared" si="310"/>
        <v>0</v>
      </c>
      <c r="AA793" s="694">
        <f t="shared" si="310"/>
        <v>0</v>
      </c>
      <c r="AB793" s="694">
        <f>ROUND(SUM(AB788:AB792),5)</f>
        <v>0</v>
      </c>
      <c r="AC793" s="694">
        <f>ROUND(SUM(AC788:AC792),5)</f>
        <v>0</v>
      </c>
      <c r="AD793" s="694">
        <f>ROUND(SUM(AD788:AD792),5)</f>
        <v>0</v>
      </c>
      <c r="AE793" s="680">
        <f t="shared" si="309"/>
        <v>0</v>
      </c>
      <c r="AF793" s="680">
        <f t="shared" si="309"/>
        <v>0</v>
      </c>
      <c r="AG793" s="680">
        <f t="shared" si="309"/>
        <v>0</v>
      </c>
      <c r="AH793" s="680">
        <f t="shared" si="309"/>
        <v>0</v>
      </c>
      <c r="AI793" s="680">
        <f t="shared" si="309"/>
        <v>0</v>
      </c>
      <c r="AJ793" s="680">
        <f t="shared" si="309"/>
        <v>0</v>
      </c>
      <c r="AK793" s="680">
        <f t="shared" si="309"/>
        <v>0</v>
      </c>
      <c r="AL793" s="680">
        <f t="shared" si="309"/>
        <v>0</v>
      </c>
      <c r="AM793" s="680">
        <f t="shared" si="309"/>
        <v>0</v>
      </c>
      <c r="AN793" s="680">
        <f t="shared" si="309"/>
        <v>0</v>
      </c>
      <c r="AO793" s="680">
        <f t="shared" si="309"/>
        <v>0</v>
      </c>
      <c r="AP793" s="680">
        <f t="shared" si="309"/>
        <v>0</v>
      </c>
      <c r="AQ793" s="680">
        <f t="shared" si="309"/>
        <v>0</v>
      </c>
      <c r="AR793" s="680">
        <f t="shared" si="309"/>
        <v>0</v>
      </c>
      <c r="AS793" s="680">
        <f t="shared" si="309"/>
        <v>0</v>
      </c>
      <c r="AT793" s="680">
        <f t="shared" si="309"/>
        <v>0</v>
      </c>
      <c r="AU793" s="680">
        <f t="shared" si="309"/>
        <v>0</v>
      </c>
      <c r="AV793" s="680">
        <f t="shared" si="309"/>
        <v>0</v>
      </c>
      <c r="AW793" s="680">
        <f t="shared" si="309"/>
        <v>0</v>
      </c>
      <c r="AX793" s="680">
        <f t="shared" si="309"/>
        <v>0</v>
      </c>
      <c r="AY793" s="680">
        <f t="shared" si="309"/>
        <v>0</v>
      </c>
      <c r="AZ793" s="680">
        <f t="shared" si="309"/>
        <v>0</v>
      </c>
      <c r="BA793" s="680">
        <f t="shared" si="309"/>
        <v>0</v>
      </c>
      <c r="BB793" s="680">
        <f t="shared" si="309"/>
        <v>0</v>
      </c>
      <c r="BC793" s="680">
        <f t="shared" si="309"/>
        <v>0</v>
      </c>
      <c r="BD793" s="680">
        <f t="shared" si="309"/>
        <v>0</v>
      </c>
      <c r="BE793" s="680">
        <f t="shared" si="309"/>
        <v>0</v>
      </c>
      <c r="BF793" s="680">
        <f t="shared" si="309"/>
        <v>0</v>
      </c>
      <c r="BG793" s="680">
        <f t="shared" si="309"/>
        <v>0</v>
      </c>
      <c r="BH793" s="680">
        <f t="shared" si="309"/>
        <v>0</v>
      </c>
      <c r="BI793" s="680">
        <f t="shared" si="309"/>
        <v>0</v>
      </c>
      <c r="BJ793" s="680">
        <f t="shared" si="309"/>
        <v>0</v>
      </c>
      <c r="BK793" s="680">
        <f t="shared" si="309"/>
        <v>0</v>
      </c>
      <c r="BL793" s="680">
        <f t="shared" si="309"/>
        <v>0</v>
      </c>
      <c r="BM793" s="680">
        <f t="shared" si="309"/>
        <v>0</v>
      </c>
      <c r="BN793" s="680">
        <f t="shared" si="309"/>
        <v>0</v>
      </c>
      <c r="BO793" s="680">
        <f t="shared" si="309"/>
        <v>0</v>
      </c>
      <c r="BP793" s="680">
        <f t="shared" ref="BP793:CA793" si="311">SUM(BP789:BP792)</f>
        <v>0</v>
      </c>
      <c r="BQ793" s="680">
        <f t="shared" si="311"/>
        <v>0</v>
      </c>
      <c r="BR793" s="680">
        <f t="shared" si="311"/>
        <v>0</v>
      </c>
      <c r="BS793" s="680">
        <f t="shared" si="311"/>
        <v>0</v>
      </c>
      <c r="BT793" s="680">
        <f t="shared" si="311"/>
        <v>0</v>
      </c>
      <c r="BU793" s="680">
        <f t="shared" si="311"/>
        <v>0</v>
      </c>
      <c r="BV793" s="680">
        <f t="shared" si="311"/>
        <v>0</v>
      </c>
      <c r="BW793" s="680">
        <f t="shared" si="311"/>
        <v>0</v>
      </c>
      <c r="BX793" s="680">
        <f t="shared" si="311"/>
        <v>0</v>
      </c>
      <c r="BY793" s="680">
        <f t="shared" si="311"/>
        <v>0</v>
      </c>
      <c r="BZ793" s="680">
        <f t="shared" si="311"/>
        <v>0</v>
      </c>
      <c r="CA793" s="680">
        <f t="shared" si="311"/>
        <v>0</v>
      </c>
    </row>
    <row r="794" spans="1:79" hidden="1" outlineLevel="1" x14ac:dyDescent="0.35">
      <c r="F794" s="674" t="s">
        <v>604</v>
      </c>
      <c r="G794" s="735">
        <v>138.59794278644722</v>
      </c>
      <c r="H794" s="735">
        <v>100.86795277254559</v>
      </c>
      <c r="I794" s="735">
        <v>202.9264532978753</v>
      </c>
      <c r="J794" s="735">
        <v>189.66954825384448</v>
      </c>
      <c r="K794" s="735">
        <v>81.9290824654707</v>
      </c>
      <c r="L794" s="735">
        <v>277.61710302931868</v>
      </c>
      <c r="M794" s="735">
        <v>265.55126174741662</v>
      </c>
      <c r="N794" s="735">
        <v>137.45454852281497</v>
      </c>
      <c r="O794" s="735">
        <v>111.9789165623859</v>
      </c>
      <c r="P794" s="732">
        <v>170.53096955588128</v>
      </c>
      <c r="Q794" s="732">
        <v>172.11308200556667</v>
      </c>
      <c r="R794" s="732">
        <v>75.290938612078051</v>
      </c>
      <c r="S794" s="683">
        <v>210.45</v>
      </c>
      <c r="T794" s="683">
        <v>0</v>
      </c>
      <c r="U794" s="683">
        <v>0</v>
      </c>
      <c r="V794" s="683">
        <v>0</v>
      </c>
      <c r="W794" s="683">
        <v>163.38</v>
      </c>
      <c r="X794" s="683">
        <v>0</v>
      </c>
      <c r="Y794" s="683">
        <v>224.76</v>
      </c>
      <c r="Z794" s="683">
        <v>33.61</v>
      </c>
      <c r="AA794" s="683">
        <v>0</v>
      </c>
      <c r="AB794" s="683">
        <v>0</v>
      </c>
      <c r="AC794" s="681">
        <v>0</v>
      </c>
      <c r="AD794" s="681">
        <v>57.51</v>
      </c>
      <c r="AE794" s="732"/>
      <c r="AF794" s="732"/>
      <c r="AG794" s="732"/>
      <c r="AH794" s="732"/>
      <c r="AI794" s="732"/>
      <c r="AJ794" s="732"/>
      <c r="AK794" s="732"/>
      <c r="AL794" s="732"/>
      <c r="AM794" s="732"/>
      <c r="AN794" s="732"/>
      <c r="AO794" s="732"/>
      <c r="AP794" s="732"/>
      <c r="AQ794" s="732"/>
      <c r="AR794" s="732"/>
      <c r="AS794" s="732"/>
      <c r="AT794" s="732"/>
      <c r="AU794" s="732"/>
      <c r="AV794" s="732"/>
      <c r="AW794" s="732"/>
      <c r="AX794" s="732"/>
      <c r="AY794" s="732"/>
      <c r="AZ794" s="732"/>
      <c r="BA794" s="732"/>
      <c r="BB794" s="732"/>
      <c r="BC794" s="732"/>
      <c r="BD794" s="732"/>
      <c r="BE794" s="732"/>
      <c r="BF794" s="732"/>
      <c r="BG794" s="732"/>
      <c r="BH794" s="732"/>
      <c r="BI794" s="732"/>
      <c r="BJ794" s="732"/>
      <c r="BK794" s="732"/>
      <c r="BL794" s="732"/>
      <c r="BM794" s="732"/>
      <c r="BN794" s="732"/>
      <c r="BO794" s="732"/>
      <c r="BP794" s="732"/>
      <c r="BQ794" s="732"/>
      <c r="BR794" s="732"/>
      <c r="BS794" s="732"/>
      <c r="BT794" s="732"/>
      <c r="BU794" s="732"/>
      <c r="BV794" s="732"/>
      <c r="BW794" s="732"/>
      <c r="BX794" s="732"/>
      <c r="BY794" s="732"/>
      <c r="BZ794" s="732"/>
      <c r="CA794" s="732"/>
    </row>
    <row r="795" spans="1:79" s="768" customFormat="1" hidden="1" outlineLevel="1" x14ac:dyDescent="0.35">
      <c r="F795" s="717" t="s">
        <v>605</v>
      </c>
      <c r="G795" s="769"/>
      <c r="H795" s="769"/>
      <c r="I795" s="769"/>
      <c r="J795" s="769"/>
      <c r="K795" s="769"/>
      <c r="L795" s="769"/>
      <c r="M795" s="769"/>
      <c r="N795" s="769"/>
      <c r="O795" s="769"/>
      <c r="P795" s="770"/>
      <c r="Q795" s="770"/>
      <c r="R795" s="770"/>
      <c r="S795" s="713"/>
      <c r="T795" s="713"/>
      <c r="U795" s="713"/>
      <c r="V795" s="713"/>
      <c r="W795" s="713"/>
      <c r="X795" s="713"/>
      <c r="Y795" s="713"/>
      <c r="Z795" s="713"/>
      <c r="AA795" s="713"/>
      <c r="AB795" s="713"/>
      <c r="AC795" s="727"/>
      <c r="AD795" s="727"/>
      <c r="AE795" s="770"/>
      <c r="AF795" s="770"/>
      <c r="AG795" s="770"/>
      <c r="AH795" s="770"/>
      <c r="AI795" s="770"/>
      <c r="AJ795" s="770"/>
      <c r="AK795" s="770"/>
      <c r="AL795" s="770"/>
      <c r="AM795" s="770"/>
      <c r="AN795" s="770"/>
      <c r="AO795" s="770"/>
      <c r="AP795" s="770"/>
      <c r="AQ795" s="770"/>
      <c r="AR795" s="770"/>
      <c r="AS795" s="770"/>
      <c r="AT795" s="770"/>
      <c r="AU795" s="770"/>
      <c r="AV795" s="770"/>
      <c r="AW795" s="770"/>
      <c r="AX795" s="770"/>
      <c r="AY795" s="770"/>
      <c r="AZ795" s="770"/>
      <c r="BA795" s="770"/>
      <c r="BB795" s="770"/>
      <c r="BC795" s="770"/>
      <c r="BD795" s="770"/>
      <c r="BE795" s="770"/>
      <c r="BF795" s="770"/>
      <c r="BG795" s="770"/>
      <c r="BH795" s="770"/>
      <c r="BI795" s="770"/>
      <c r="BJ795" s="770"/>
      <c r="BK795" s="770"/>
      <c r="BL795" s="770"/>
      <c r="BM795" s="770"/>
      <c r="BN795" s="770"/>
      <c r="BO795" s="770"/>
      <c r="BP795" s="770"/>
      <c r="BQ795" s="770"/>
      <c r="BR795" s="770"/>
      <c r="BS795" s="770"/>
      <c r="BT795" s="770"/>
      <c r="BU795" s="770"/>
      <c r="BV795" s="770"/>
      <c r="BW795" s="770"/>
      <c r="BX795" s="770"/>
      <c r="BY795" s="770"/>
      <c r="BZ795" s="770"/>
      <c r="CA795" s="770"/>
    </row>
    <row r="796" spans="1:79" s="760" customFormat="1" hidden="1" outlineLevel="1" x14ac:dyDescent="0.35">
      <c r="A796" s="503"/>
      <c r="B796" s="503"/>
      <c r="C796" s="503"/>
      <c r="D796" s="503"/>
      <c r="E796" s="503"/>
      <c r="F796" s="672" t="s">
        <v>902</v>
      </c>
      <c r="G796" s="740"/>
      <c r="H796" s="740"/>
      <c r="I796" s="740"/>
      <c r="J796" s="740"/>
      <c r="K796" s="740"/>
      <c r="L796" s="740"/>
      <c r="M796" s="740"/>
      <c r="N796" s="740"/>
      <c r="O796" s="740"/>
      <c r="P796" s="741"/>
      <c r="Q796" s="741"/>
      <c r="R796" s="741"/>
      <c r="S796" s="687"/>
      <c r="T796" s="687"/>
      <c r="U796" s="687"/>
      <c r="V796" s="687"/>
      <c r="W796" s="687"/>
      <c r="X796" s="687"/>
      <c r="Y796" s="687"/>
      <c r="Z796" s="687"/>
      <c r="AA796" s="687"/>
      <c r="AB796" s="687"/>
      <c r="AC796" s="705"/>
      <c r="AD796" s="705"/>
      <c r="AE796" s="741"/>
      <c r="AF796" s="741"/>
      <c r="AG796" s="741"/>
      <c r="AH796" s="741"/>
      <c r="AI796" s="741"/>
      <c r="AJ796" s="741"/>
      <c r="AK796" s="741"/>
      <c r="AL796" s="741"/>
      <c r="AM796" s="741"/>
      <c r="AN796" s="741"/>
      <c r="AO796" s="741"/>
      <c r="AP796" s="741"/>
      <c r="AQ796" s="741"/>
      <c r="AR796" s="741"/>
      <c r="AS796" s="741"/>
      <c r="AT796" s="741"/>
      <c r="AU796" s="741"/>
      <c r="AV796" s="741"/>
      <c r="AW796" s="741"/>
      <c r="AX796" s="741"/>
      <c r="AY796" s="741"/>
      <c r="AZ796" s="741"/>
      <c r="BA796" s="741"/>
      <c r="BB796" s="741"/>
      <c r="BC796" s="741"/>
      <c r="BD796" s="741"/>
      <c r="BE796" s="741"/>
      <c r="BF796" s="741"/>
      <c r="BG796" s="741"/>
      <c r="BH796" s="741"/>
      <c r="BI796" s="741"/>
      <c r="BJ796" s="741"/>
      <c r="BK796" s="741"/>
      <c r="BL796" s="741"/>
      <c r="BM796" s="741"/>
      <c r="BN796" s="741"/>
      <c r="BO796" s="741"/>
      <c r="BP796" s="741"/>
      <c r="BQ796" s="741"/>
      <c r="BR796" s="741"/>
      <c r="BS796" s="741"/>
      <c r="BT796" s="741"/>
      <c r="BU796" s="741"/>
      <c r="BV796" s="741"/>
      <c r="BW796" s="741"/>
      <c r="BX796" s="741"/>
      <c r="BY796" s="741"/>
      <c r="BZ796" s="741"/>
      <c r="CA796" s="741"/>
    </row>
    <row r="797" spans="1:79" s="760" customFormat="1" hidden="1" outlineLevel="1" x14ac:dyDescent="0.35">
      <c r="A797" s="503"/>
      <c r="B797" s="503"/>
      <c r="C797" s="503"/>
      <c r="D797" s="503"/>
      <c r="E797" s="503"/>
      <c r="F797" s="677" t="s">
        <v>903</v>
      </c>
      <c r="G797" s="740"/>
      <c r="H797" s="740"/>
      <c r="I797" s="740"/>
      <c r="J797" s="740"/>
      <c r="K797" s="740"/>
      <c r="L797" s="740"/>
      <c r="M797" s="740"/>
      <c r="N797" s="740"/>
      <c r="O797" s="740"/>
      <c r="P797" s="741"/>
      <c r="Q797" s="741"/>
      <c r="R797" s="741"/>
      <c r="S797" s="687">
        <v>0</v>
      </c>
      <c r="T797" s="687">
        <v>0</v>
      </c>
      <c r="U797" s="687">
        <v>0</v>
      </c>
      <c r="V797" s="687">
        <v>0</v>
      </c>
      <c r="W797" s="687">
        <v>0</v>
      </c>
      <c r="X797" s="687">
        <v>0</v>
      </c>
      <c r="Y797" s="687">
        <v>0</v>
      </c>
      <c r="Z797" s="687">
        <v>0</v>
      </c>
      <c r="AA797" s="687">
        <v>0</v>
      </c>
      <c r="AB797" s="687">
        <v>0</v>
      </c>
      <c r="AC797" s="705">
        <v>2124.66</v>
      </c>
      <c r="AD797" s="705">
        <v>0</v>
      </c>
      <c r="AE797" s="741"/>
      <c r="AF797" s="741"/>
      <c r="AG797" s="741"/>
      <c r="AH797" s="741"/>
      <c r="AI797" s="741"/>
      <c r="AJ797" s="741"/>
      <c r="AK797" s="741"/>
      <c r="AL797" s="741"/>
      <c r="AM797" s="741"/>
      <c r="AN797" s="741"/>
      <c r="AO797" s="741"/>
      <c r="AP797" s="741"/>
      <c r="AQ797" s="741"/>
      <c r="AR797" s="741"/>
      <c r="AS797" s="741"/>
      <c r="AT797" s="741"/>
      <c r="AU797" s="741"/>
      <c r="AV797" s="741"/>
      <c r="AW797" s="741"/>
      <c r="AX797" s="741"/>
      <c r="AY797" s="741"/>
      <c r="AZ797" s="741"/>
      <c r="BA797" s="741"/>
      <c r="BB797" s="741"/>
      <c r="BC797" s="741"/>
      <c r="BD797" s="741"/>
      <c r="BE797" s="741"/>
      <c r="BF797" s="741"/>
      <c r="BG797" s="741"/>
      <c r="BH797" s="741"/>
      <c r="BI797" s="741"/>
      <c r="BJ797" s="741"/>
      <c r="BK797" s="741"/>
      <c r="BL797" s="741"/>
      <c r="BM797" s="741"/>
      <c r="BN797" s="741"/>
      <c r="BO797" s="741"/>
      <c r="BP797" s="741"/>
      <c r="BQ797" s="741"/>
      <c r="BR797" s="741"/>
      <c r="BS797" s="741"/>
      <c r="BT797" s="741"/>
      <c r="BU797" s="741"/>
      <c r="BV797" s="741"/>
      <c r="BW797" s="741"/>
      <c r="BX797" s="741"/>
      <c r="BY797" s="741"/>
      <c r="BZ797" s="741"/>
      <c r="CA797" s="741"/>
    </row>
    <row r="798" spans="1:79" s="760" customFormat="1" hidden="1" outlineLevel="1" x14ac:dyDescent="0.35">
      <c r="A798" s="503"/>
      <c r="B798" s="503"/>
      <c r="C798" s="503"/>
      <c r="D798" s="503"/>
      <c r="E798" s="503"/>
      <c r="F798" s="677" t="s">
        <v>904</v>
      </c>
      <c r="G798" s="740"/>
      <c r="H798" s="740"/>
      <c r="I798" s="740"/>
      <c r="J798" s="740"/>
      <c r="K798" s="740"/>
      <c r="L798" s="740"/>
      <c r="M798" s="740"/>
      <c r="N798" s="740"/>
      <c r="O798" s="740"/>
      <c r="P798" s="741"/>
      <c r="Q798" s="741"/>
      <c r="R798" s="741"/>
      <c r="S798" s="687">
        <v>0</v>
      </c>
      <c r="T798" s="687">
        <v>0</v>
      </c>
      <c r="U798" s="687">
        <v>0</v>
      </c>
      <c r="V798" s="687">
        <v>0</v>
      </c>
      <c r="W798" s="687">
        <v>0</v>
      </c>
      <c r="X798" s="687">
        <v>0</v>
      </c>
      <c r="Y798" s="687">
        <v>0</v>
      </c>
      <c r="Z798" s="687">
        <v>0</v>
      </c>
      <c r="AA798" s="687">
        <v>0</v>
      </c>
      <c r="AB798" s="687">
        <v>0</v>
      </c>
      <c r="AC798" s="705">
        <v>0</v>
      </c>
      <c r="AD798" s="705">
        <v>0</v>
      </c>
      <c r="AE798" s="741"/>
      <c r="AF798" s="741"/>
      <c r="AG798" s="741"/>
      <c r="AH798" s="741"/>
      <c r="AI798" s="741"/>
      <c r="AJ798" s="741"/>
      <c r="AK798" s="741"/>
      <c r="AL798" s="741"/>
      <c r="AM798" s="741"/>
      <c r="AN798" s="741"/>
      <c r="AO798" s="741"/>
      <c r="AP798" s="741"/>
      <c r="AQ798" s="741"/>
      <c r="AR798" s="741"/>
      <c r="AS798" s="741"/>
      <c r="AT798" s="741"/>
      <c r="AU798" s="741"/>
      <c r="AV798" s="741"/>
      <c r="AW798" s="741"/>
      <c r="AX798" s="741"/>
      <c r="AY798" s="741"/>
      <c r="AZ798" s="741"/>
      <c r="BA798" s="741"/>
      <c r="BB798" s="741"/>
      <c r="BC798" s="741"/>
      <c r="BD798" s="741"/>
      <c r="BE798" s="741"/>
      <c r="BF798" s="741"/>
      <c r="BG798" s="741"/>
      <c r="BH798" s="741"/>
      <c r="BI798" s="741"/>
      <c r="BJ798" s="741"/>
      <c r="BK798" s="741"/>
      <c r="BL798" s="741"/>
      <c r="BM798" s="741"/>
      <c r="BN798" s="741"/>
      <c r="BO798" s="741"/>
      <c r="BP798" s="741"/>
      <c r="BQ798" s="741"/>
      <c r="BR798" s="741"/>
      <c r="BS798" s="741"/>
      <c r="BT798" s="741"/>
      <c r="BU798" s="741"/>
      <c r="BV798" s="741"/>
      <c r="BW798" s="741"/>
      <c r="BX798" s="741"/>
      <c r="BY798" s="741"/>
      <c r="BZ798" s="741"/>
      <c r="CA798" s="741"/>
    </row>
    <row r="799" spans="1:79" s="760" customFormat="1" hidden="1" outlineLevel="1" x14ac:dyDescent="0.35">
      <c r="A799" s="503"/>
      <c r="B799" s="503"/>
      <c r="C799" s="503"/>
      <c r="D799" s="503"/>
      <c r="E799" s="503"/>
      <c r="F799" s="677" t="s">
        <v>905</v>
      </c>
      <c r="G799" s="740"/>
      <c r="H799" s="740"/>
      <c r="I799" s="740"/>
      <c r="J799" s="740"/>
      <c r="K799" s="740"/>
      <c r="L799" s="740"/>
      <c r="M799" s="740"/>
      <c r="N799" s="740"/>
      <c r="O799" s="740"/>
      <c r="P799" s="741"/>
      <c r="Q799" s="741"/>
      <c r="R799" s="741"/>
      <c r="S799" s="687">
        <v>0</v>
      </c>
      <c r="T799" s="687">
        <v>0</v>
      </c>
      <c r="U799" s="687">
        <v>0</v>
      </c>
      <c r="V799" s="687">
        <v>0</v>
      </c>
      <c r="W799" s="687">
        <v>0</v>
      </c>
      <c r="X799" s="687">
        <v>0</v>
      </c>
      <c r="Y799" s="687">
        <v>0</v>
      </c>
      <c r="Z799" s="687">
        <v>0</v>
      </c>
      <c r="AA799" s="687">
        <v>0</v>
      </c>
      <c r="AB799" s="687">
        <v>0</v>
      </c>
      <c r="AC799" s="705">
        <v>0</v>
      </c>
      <c r="AD799" s="705">
        <v>3358.86</v>
      </c>
      <c r="AE799" s="741"/>
      <c r="AF799" s="741"/>
      <c r="AG799" s="741"/>
      <c r="AH799" s="741"/>
      <c r="AI799" s="741"/>
      <c r="AJ799" s="741"/>
      <c r="AK799" s="741"/>
      <c r="AL799" s="741"/>
      <c r="AM799" s="741"/>
      <c r="AN799" s="741"/>
      <c r="AO799" s="741"/>
      <c r="AP799" s="741"/>
      <c r="AQ799" s="741"/>
      <c r="AR799" s="741"/>
      <c r="AS799" s="741"/>
      <c r="AT799" s="741"/>
      <c r="AU799" s="741"/>
      <c r="AV799" s="741"/>
      <c r="AW799" s="741"/>
      <c r="AX799" s="741"/>
      <c r="AY799" s="741"/>
      <c r="AZ799" s="741"/>
      <c r="BA799" s="741"/>
      <c r="BB799" s="741"/>
      <c r="BC799" s="741"/>
      <c r="BD799" s="741"/>
      <c r="BE799" s="741"/>
      <c r="BF799" s="741"/>
      <c r="BG799" s="741"/>
      <c r="BH799" s="741"/>
      <c r="BI799" s="741"/>
      <c r="BJ799" s="741"/>
      <c r="BK799" s="741"/>
      <c r="BL799" s="741"/>
      <c r="BM799" s="741"/>
      <c r="BN799" s="741"/>
      <c r="BO799" s="741"/>
      <c r="BP799" s="741"/>
      <c r="BQ799" s="741"/>
      <c r="BR799" s="741"/>
      <c r="BS799" s="741"/>
      <c r="BT799" s="741"/>
      <c r="BU799" s="741"/>
      <c r="BV799" s="741"/>
      <c r="BW799" s="741"/>
      <c r="BX799" s="741"/>
      <c r="BY799" s="741"/>
      <c r="BZ799" s="741"/>
      <c r="CA799" s="741"/>
    </row>
    <row r="800" spans="1:79" s="760" customFormat="1" hidden="1" outlineLevel="1" x14ac:dyDescent="0.35">
      <c r="A800" s="503"/>
      <c r="B800" s="503"/>
      <c r="C800" s="503"/>
      <c r="D800" s="503"/>
      <c r="E800" s="503"/>
      <c r="F800" s="677" t="s">
        <v>906</v>
      </c>
      <c r="G800" s="740"/>
      <c r="H800" s="740"/>
      <c r="I800" s="740"/>
      <c r="J800" s="740"/>
      <c r="K800" s="740"/>
      <c r="L800" s="740"/>
      <c r="M800" s="740"/>
      <c r="N800" s="740"/>
      <c r="O800" s="740"/>
      <c r="P800" s="741"/>
      <c r="Q800" s="741"/>
      <c r="R800" s="741"/>
      <c r="S800" s="687">
        <v>0</v>
      </c>
      <c r="T800" s="687">
        <v>0</v>
      </c>
      <c r="U800" s="687">
        <v>0</v>
      </c>
      <c r="V800" s="687">
        <v>0</v>
      </c>
      <c r="W800" s="687">
        <v>0</v>
      </c>
      <c r="X800" s="687">
        <v>0</v>
      </c>
      <c r="Y800" s="687">
        <v>0</v>
      </c>
      <c r="Z800" s="687">
        <v>0</v>
      </c>
      <c r="AA800" s="687">
        <v>0</v>
      </c>
      <c r="AB800" s="687">
        <v>0</v>
      </c>
      <c r="AC800" s="705">
        <v>0</v>
      </c>
      <c r="AD800" s="705">
        <v>0</v>
      </c>
      <c r="AE800" s="741"/>
      <c r="AF800" s="741"/>
      <c r="AG800" s="741"/>
      <c r="AH800" s="741"/>
      <c r="AI800" s="741"/>
      <c r="AJ800" s="741"/>
      <c r="AK800" s="741"/>
      <c r="AL800" s="741"/>
      <c r="AM800" s="741"/>
      <c r="AN800" s="741"/>
      <c r="AO800" s="741"/>
      <c r="AP800" s="741"/>
      <c r="AQ800" s="741"/>
      <c r="AR800" s="741"/>
      <c r="AS800" s="741"/>
      <c r="AT800" s="741"/>
      <c r="AU800" s="741"/>
      <c r="AV800" s="741"/>
      <c r="AW800" s="741"/>
      <c r="AX800" s="741"/>
      <c r="AY800" s="741"/>
      <c r="AZ800" s="741"/>
      <c r="BA800" s="741"/>
      <c r="BB800" s="741"/>
      <c r="BC800" s="741"/>
      <c r="BD800" s="741"/>
      <c r="BE800" s="741"/>
      <c r="BF800" s="741"/>
      <c r="BG800" s="741"/>
      <c r="BH800" s="741"/>
      <c r="BI800" s="741"/>
      <c r="BJ800" s="741"/>
      <c r="BK800" s="741"/>
      <c r="BL800" s="741"/>
      <c r="BM800" s="741"/>
      <c r="BN800" s="741"/>
      <c r="BO800" s="741"/>
      <c r="BP800" s="741"/>
      <c r="BQ800" s="741"/>
      <c r="BR800" s="741"/>
      <c r="BS800" s="741"/>
      <c r="BT800" s="741"/>
      <c r="BU800" s="741"/>
      <c r="BV800" s="741"/>
      <c r="BW800" s="741"/>
      <c r="BX800" s="741"/>
      <c r="BY800" s="741"/>
      <c r="BZ800" s="741"/>
      <c r="CA800" s="741"/>
    </row>
    <row r="801" spans="1:79" s="760" customFormat="1" hidden="1" outlineLevel="1" x14ac:dyDescent="0.35">
      <c r="A801" s="503"/>
      <c r="B801" s="503"/>
      <c r="C801" s="503"/>
      <c r="D801" s="503"/>
      <c r="E801" s="503"/>
      <c r="F801" s="677" t="s">
        <v>907</v>
      </c>
      <c r="G801" s="740"/>
      <c r="H801" s="740"/>
      <c r="I801" s="740"/>
      <c r="J801" s="740"/>
      <c r="K801" s="740"/>
      <c r="L801" s="740"/>
      <c r="M801" s="740"/>
      <c r="N801" s="740"/>
      <c r="O801" s="740"/>
      <c r="P801" s="741"/>
      <c r="Q801" s="741"/>
      <c r="R801" s="741"/>
      <c r="S801" s="687">
        <v>0</v>
      </c>
      <c r="T801" s="687">
        <v>0</v>
      </c>
      <c r="U801" s="687">
        <v>0</v>
      </c>
      <c r="V801" s="687">
        <v>0</v>
      </c>
      <c r="W801" s="687">
        <v>0</v>
      </c>
      <c r="X801" s="687">
        <v>0</v>
      </c>
      <c r="Y801" s="687">
        <v>0</v>
      </c>
      <c r="Z801" s="687">
        <v>0</v>
      </c>
      <c r="AA801" s="687">
        <v>0</v>
      </c>
      <c r="AB801" s="687">
        <v>0</v>
      </c>
      <c r="AC801" s="705">
        <v>0</v>
      </c>
      <c r="AD801" s="705">
        <v>0</v>
      </c>
      <c r="AE801" s="741"/>
      <c r="AF801" s="741"/>
      <c r="AG801" s="741"/>
      <c r="AH801" s="741"/>
      <c r="AI801" s="741"/>
      <c r="AJ801" s="741"/>
      <c r="AK801" s="741"/>
      <c r="AL801" s="741"/>
      <c r="AM801" s="741"/>
      <c r="AN801" s="741"/>
      <c r="AO801" s="741"/>
      <c r="AP801" s="741"/>
      <c r="AQ801" s="741"/>
      <c r="AR801" s="741"/>
      <c r="AS801" s="741"/>
      <c r="AT801" s="741"/>
      <c r="AU801" s="741"/>
      <c r="AV801" s="741"/>
      <c r="AW801" s="741"/>
      <c r="AX801" s="741"/>
      <c r="AY801" s="741"/>
      <c r="AZ801" s="741"/>
      <c r="BA801" s="741"/>
      <c r="BB801" s="741"/>
      <c r="BC801" s="741"/>
      <c r="BD801" s="741"/>
      <c r="BE801" s="741"/>
      <c r="BF801" s="741"/>
      <c r="BG801" s="741"/>
      <c r="BH801" s="741"/>
      <c r="BI801" s="741"/>
      <c r="BJ801" s="741"/>
      <c r="BK801" s="741"/>
      <c r="BL801" s="741"/>
      <c r="BM801" s="741"/>
      <c r="BN801" s="741"/>
      <c r="BO801" s="741"/>
      <c r="BP801" s="741"/>
      <c r="BQ801" s="741"/>
      <c r="BR801" s="741"/>
      <c r="BS801" s="741"/>
      <c r="BT801" s="741"/>
      <c r="BU801" s="741"/>
      <c r="BV801" s="741"/>
      <c r="BW801" s="741"/>
      <c r="BX801" s="741"/>
      <c r="BY801" s="741"/>
      <c r="BZ801" s="741"/>
      <c r="CA801" s="741"/>
    </row>
    <row r="802" spans="1:79" s="760" customFormat="1" hidden="1" outlineLevel="1" x14ac:dyDescent="0.35">
      <c r="A802" s="503"/>
      <c r="B802" s="503"/>
      <c r="C802" s="503"/>
      <c r="D802" s="503"/>
      <c r="E802" s="503"/>
      <c r="F802" s="673" t="s">
        <v>908</v>
      </c>
      <c r="G802" s="680">
        <f t="shared" ref="G802:R802" si="312">SUM(G796:G801)</f>
        <v>0</v>
      </c>
      <c r="H802" s="680">
        <f t="shared" si="312"/>
        <v>0</v>
      </c>
      <c r="I802" s="680">
        <f t="shared" si="312"/>
        <v>0</v>
      </c>
      <c r="J802" s="680">
        <f t="shared" si="312"/>
        <v>0</v>
      </c>
      <c r="K802" s="680">
        <f t="shared" si="312"/>
        <v>0</v>
      </c>
      <c r="L802" s="680">
        <f t="shared" si="312"/>
        <v>0</v>
      </c>
      <c r="M802" s="680">
        <f t="shared" si="312"/>
        <v>0</v>
      </c>
      <c r="N802" s="680">
        <f t="shared" si="312"/>
        <v>0</v>
      </c>
      <c r="O802" s="680">
        <f t="shared" si="312"/>
        <v>0</v>
      </c>
      <c r="P802" s="680">
        <f t="shared" si="312"/>
        <v>0</v>
      </c>
      <c r="Q802" s="680">
        <f t="shared" si="312"/>
        <v>0</v>
      </c>
      <c r="R802" s="680">
        <f t="shared" si="312"/>
        <v>0</v>
      </c>
      <c r="S802" s="695">
        <f t="shared" ref="S802:AB802" si="313">ROUND(SUM(S796:S801),5)</f>
        <v>0</v>
      </c>
      <c r="T802" s="695">
        <f t="shared" si="313"/>
        <v>0</v>
      </c>
      <c r="U802" s="695">
        <f t="shared" si="313"/>
        <v>0</v>
      </c>
      <c r="V802" s="695">
        <f t="shared" si="313"/>
        <v>0</v>
      </c>
      <c r="W802" s="695">
        <f t="shared" si="313"/>
        <v>0</v>
      </c>
      <c r="X802" s="695">
        <f t="shared" si="313"/>
        <v>0</v>
      </c>
      <c r="Y802" s="695">
        <f t="shared" si="313"/>
        <v>0</v>
      </c>
      <c r="Z802" s="695">
        <f t="shared" si="313"/>
        <v>0</v>
      </c>
      <c r="AA802" s="695">
        <f t="shared" si="313"/>
        <v>0</v>
      </c>
      <c r="AB802" s="695">
        <f t="shared" si="313"/>
        <v>0</v>
      </c>
      <c r="AC802" s="695">
        <f>ROUND(SUM(AC796:AC801),5)</f>
        <v>2124.66</v>
      </c>
      <c r="AD802" s="695">
        <f>ROUND(SUM(AD796:AD801),5)</f>
        <v>3358.86</v>
      </c>
      <c r="AE802" s="680">
        <f t="shared" ref="AE802:BJ802" si="314">SUM(AE796:AE801)</f>
        <v>0</v>
      </c>
      <c r="AF802" s="680">
        <f t="shared" si="314"/>
        <v>0</v>
      </c>
      <c r="AG802" s="680">
        <f t="shared" si="314"/>
        <v>0</v>
      </c>
      <c r="AH802" s="680">
        <f t="shared" si="314"/>
        <v>0</v>
      </c>
      <c r="AI802" s="680">
        <f t="shared" si="314"/>
        <v>0</v>
      </c>
      <c r="AJ802" s="680">
        <f t="shared" si="314"/>
        <v>0</v>
      </c>
      <c r="AK802" s="680">
        <f t="shared" si="314"/>
        <v>0</v>
      </c>
      <c r="AL802" s="680">
        <f t="shared" si="314"/>
        <v>0</v>
      </c>
      <c r="AM802" s="680">
        <f t="shared" si="314"/>
        <v>0</v>
      </c>
      <c r="AN802" s="680">
        <f t="shared" si="314"/>
        <v>0</v>
      </c>
      <c r="AO802" s="680">
        <f t="shared" si="314"/>
        <v>0</v>
      </c>
      <c r="AP802" s="680">
        <f t="shared" si="314"/>
        <v>0</v>
      </c>
      <c r="AQ802" s="680">
        <f t="shared" si="314"/>
        <v>0</v>
      </c>
      <c r="AR802" s="680">
        <f t="shared" si="314"/>
        <v>0</v>
      </c>
      <c r="AS802" s="680">
        <f t="shared" si="314"/>
        <v>0</v>
      </c>
      <c r="AT802" s="680">
        <f t="shared" si="314"/>
        <v>0</v>
      </c>
      <c r="AU802" s="680">
        <f t="shared" si="314"/>
        <v>0</v>
      </c>
      <c r="AV802" s="680">
        <f t="shared" si="314"/>
        <v>0</v>
      </c>
      <c r="AW802" s="680">
        <f t="shared" si="314"/>
        <v>0</v>
      </c>
      <c r="AX802" s="680">
        <f t="shared" si="314"/>
        <v>0</v>
      </c>
      <c r="AY802" s="680">
        <f t="shared" si="314"/>
        <v>0</v>
      </c>
      <c r="AZ802" s="680">
        <f t="shared" si="314"/>
        <v>0</v>
      </c>
      <c r="BA802" s="680">
        <f t="shared" si="314"/>
        <v>0</v>
      </c>
      <c r="BB802" s="680">
        <f t="shared" si="314"/>
        <v>0</v>
      </c>
      <c r="BC802" s="680">
        <f t="shared" si="314"/>
        <v>0</v>
      </c>
      <c r="BD802" s="680">
        <f t="shared" si="314"/>
        <v>0</v>
      </c>
      <c r="BE802" s="680">
        <f t="shared" si="314"/>
        <v>0</v>
      </c>
      <c r="BF802" s="680">
        <f t="shared" si="314"/>
        <v>0</v>
      </c>
      <c r="BG802" s="680">
        <f t="shared" si="314"/>
        <v>0</v>
      </c>
      <c r="BH802" s="680">
        <f t="shared" si="314"/>
        <v>0</v>
      </c>
      <c r="BI802" s="680">
        <f t="shared" si="314"/>
        <v>0</v>
      </c>
      <c r="BJ802" s="680">
        <f t="shared" si="314"/>
        <v>0</v>
      </c>
      <c r="BK802" s="680">
        <f t="shared" ref="BK802:CA802" si="315">SUM(BK796:BK801)</f>
        <v>0</v>
      </c>
      <c r="BL802" s="680">
        <f t="shared" si="315"/>
        <v>0</v>
      </c>
      <c r="BM802" s="680">
        <f t="shared" si="315"/>
        <v>0</v>
      </c>
      <c r="BN802" s="680">
        <f t="shared" si="315"/>
        <v>0</v>
      </c>
      <c r="BO802" s="680">
        <f t="shared" si="315"/>
        <v>0</v>
      </c>
      <c r="BP802" s="680">
        <f t="shared" si="315"/>
        <v>0</v>
      </c>
      <c r="BQ802" s="680">
        <f t="shared" si="315"/>
        <v>0</v>
      </c>
      <c r="BR802" s="680">
        <f t="shared" si="315"/>
        <v>0</v>
      </c>
      <c r="BS802" s="680">
        <f t="shared" si="315"/>
        <v>0</v>
      </c>
      <c r="BT802" s="680">
        <f t="shared" si="315"/>
        <v>0</v>
      </c>
      <c r="BU802" s="680">
        <f t="shared" si="315"/>
        <v>0</v>
      </c>
      <c r="BV802" s="680">
        <f t="shared" si="315"/>
        <v>0</v>
      </c>
      <c r="BW802" s="680">
        <f t="shared" si="315"/>
        <v>0</v>
      </c>
      <c r="BX802" s="680">
        <f t="shared" si="315"/>
        <v>0</v>
      </c>
      <c r="BY802" s="680">
        <f t="shared" si="315"/>
        <v>0</v>
      </c>
      <c r="BZ802" s="680">
        <f t="shared" si="315"/>
        <v>0</v>
      </c>
      <c r="CA802" s="680">
        <f t="shared" si="315"/>
        <v>0</v>
      </c>
    </row>
    <row r="803" spans="1:79" s="768" customFormat="1" hidden="1" outlineLevel="1" x14ac:dyDescent="0.35">
      <c r="F803" s="717" t="s">
        <v>630</v>
      </c>
      <c r="G803" s="769"/>
      <c r="H803" s="769"/>
      <c r="I803" s="769"/>
      <c r="J803" s="769"/>
      <c r="K803" s="769"/>
      <c r="L803" s="769"/>
      <c r="M803" s="769"/>
      <c r="N803" s="769"/>
      <c r="O803" s="769"/>
      <c r="P803" s="770"/>
      <c r="Q803" s="770"/>
      <c r="R803" s="770"/>
      <c r="S803" s="713"/>
      <c r="T803" s="713"/>
      <c r="U803" s="713"/>
      <c r="V803" s="713"/>
      <c r="W803" s="713"/>
      <c r="X803" s="713"/>
      <c r="Y803" s="713"/>
      <c r="Z803" s="713"/>
      <c r="AA803" s="713"/>
      <c r="AB803" s="713"/>
      <c r="AC803" s="728"/>
      <c r="AD803" s="728"/>
      <c r="AE803" s="770"/>
      <c r="AF803" s="770"/>
      <c r="AG803" s="770"/>
      <c r="AH803" s="770"/>
      <c r="AI803" s="770"/>
      <c r="AJ803" s="770"/>
      <c r="AK803" s="770"/>
      <c r="AL803" s="770"/>
      <c r="AM803" s="770"/>
      <c r="AN803" s="770"/>
      <c r="AO803" s="770"/>
      <c r="AP803" s="770"/>
      <c r="AQ803" s="770"/>
      <c r="AR803" s="770"/>
      <c r="AS803" s="770"/>
      <c r="AT803" s="770"/>
      <c r="AU803" s="770"/>
      <c r="AV803" s="770"/>
      <c r="AW803" s="770"/>
      <c r="AX803" s="770"/>
      <c r="AY803" s="770"/>
      <c r="AZ803" s="770"/>
      <c r="BA803" s="770"/>
      <c r="BB803" s="770"/>
      <c r="BC803" s="770"/>
      <c r="BD803" s="770"/>
      <c r="BE803" s="770"/>
      <c r="BF803" s="770"/>
      <c r="BG803" s="770"/>
      <c r="BH803" s="770"/>
      <c r="BI803" s="770"/>
      <c r="BJ803" s="770"/>
      <c r="BK803" s="770"/>
      <c r="BL803" s="770"/>
      <c r="BM803" s="770"/>
      <c r="BN803" s="770"/>
      <c r="BO803" s="770"/>
      <c r="BP803" s="770"/>
      <c r="BQ803" s="770"/>
      <c r="BR803" s="770"/>
      <c r="BS803" s="770"/>
      <c r="BT803" s="770"/>
      <c r="BU803" s="770"/>
      <c r="BV803" s="770"/>
      <c r="BW803" s="770"/>
      <c r="BX803" s="770"/>
      <c r="BY803" s="770"/>
      <c r="BZ803" s="770"/>
      <c r="CA803" s="770"/>
    </row>
    <row r="804" spans="1:79" s="758" customFormat="1" hidden="1" outlineLevel="1" x14ac:dyDescent="0.35">
      <c r="A804" s="498"/>
      <c r="B804" s="498"/>
      <c r="C804" s="498"/>
      <c r="D804" s="498"/>
      <c r="E804" s="498"/>
      <c r="F804" s="677" t="s">
        <v>631</v>
      </c>
      <c r="G804" s="740"/>
      <c r="H804" s="740"/>
      <c r="I804" s="740"/>
      <c r="J804" s="740"/>
      <c r="K804" s="740"/>
      <c r="L804" s="740"/>
      <c r="M804" s="740"/>
      <c r="N804" s="740"/>
      <c r="O804" s="740"/>
      <c r="P804" s="741"/>
      <c r="Q804" s="741"/>
      <c r="R804" s="741"/>
      <c r="S804" s="683">
        <v>20.27</v>
      </c>
      <c r="T804" s="683">
        <v>2.38</v>
      </c>
      <c r="U804" s="683">
        <v>0</v>
      </c>
      <c r="V804" s="683">
        <v>0</v>
      </c>
      <c r="W804" s="683">
        <v>2.4500000000000002</v>
      </c>
      <c r="X804" s="683">
        <v>4.04</v>
      </c>
      <c r="Y804" s="683">
        <v>0.51</v>
      </c>
      <c r="Z804" s="683">
        <v>0</v>
      </c>
      <c r="AA804" s="683">
        <v>0</v>
      </c>
      <c r="AB804" s="683">
        <v>0</v>
      </c>
      <c r="AC804" s="702">
        <v>0</v>
      </c>
      <c r="AD804" s="702">
        <v>8.1199999999999992</v>
      </c>
      <c r="AE804" s="741"/>
      <c r="AF804" s="741"/>
      <c r="AG804" s="741"/>
      <c r="AH804" s="741"/>
      <c r="AI804" s="741"/>
      <c r="AJ804" s="741"/>
      <c r="AK804" s="741"/>
      <c r="AL804" s="741"/>
      <c r="AM804" s="741"/>
      <c r="AN804" s="741"/>
      <c r="AO804" s="741"/>
      <c r="AP804" s="741"/>
      <c r="AQ804" s="741"/>
      <c r="AR804" s="741"/>
      <c r="AS804" s="741"/>
      <c r="AT804" s="741"/>
      <c r="AU804" s="741"/>
      <c r="AV804" s="741"/>
      <c r="AW804" s="741"/>
      <c r="AX804" s="741"/>
      <c r="AY804" s="741"/>
      <c r="AZ804" s="741"/>
      <c r="BA804" s="741"/>
      <c r="BB804" s="741"/>
      <c r="BC804" s="741"/>
      <c r="BD804" s="741"/>
      <c r="BE804" s="741"/>
      <c r="BF804" s="741"/>
      <c r="BG804" s="741"/>
      <c r="BH804" s="741"/>
      <c r="BI804" s="741"/>
      <c r="BJ804" s="741"/>
      <c r="BK804" s="741"/>
      <c r="BL804" s="741"/>
      <c r="BM804" s="741"/>
      <c r="BN804" s="741"/>
      <c r="BO804" s="741"/>
      <c r="BP804" s="741"/>
      <c r="BQ804" s="741"/>
      <c r="BR804" s="741"/>
      <c r="BS804" s="741"/>
      <c r="BT804" s="741"/>
      <c r="BU804" s="741"/>
      <c r="BV804" s="741"/>
      <c r="BW804" s="741"/>
      <c r="BX804" s="741"/>
      <c r="BY804" s="741"/>
      <c r="BZ804" s="741"/>
      <c r="CA804" s="741"/>
    </row>
    <row r="805" spans="1:79" s="758" customFormat="1" hidden="1" outlineLevel="1" x14ac:dyDescent="0.35">
      <c r="A805" s="498"/>
      <c r="B805" s="498"/>
      <c r="C805" s="498"/>
      <c r="D805" s="498"/>
      <c r="E805" s="498"/>
      <c r="F805" s="677" t="s">
        <v>632</v>
      </c>
      <c r="G805" s="740"/>
      <c r="H805" s="740"/>
      <c r="I805" s="740"/>
      <c r="J805" s="740"/>
      <c r="K805" s="740"/>
      <c r="L805" s="740"/>
      <c r="M805" s="740"/>
      <c r="N805" s="740"/>
      <c r="O805" s="740"/>
      <c r="P805" s="741"/>
      <c r="Q805" s="741"/>
      <c r="R805" s="741"/>
      <c r="S805" s="683">
        <v>144.07</v>
      </c>
      <c r="T805" s="683">
        <v>14.31</v>
      </c>
      <c r="U805" s="683">
        <v>0</v>
      </c>
      <c r="V805" s="683">
        <v>0</v>
      </c>
      <c r="W805" s="683">
        <v>14.72</v>
      </c>
      <c r="X805" s="683">
        <v>24.22</v>
      </c>
      <c r="Y805" s="683">
        <v>3.06</v>
      </c>
      <c r="Z805" s="683">
        <v>0</v>
      </c>
      <c r="AA805" s="683">
        <v>0</v>
      </c>
      <c r="AB805" s="683">
        <v>0</v>
      </c>
      <c r="AC805" s="702">
        <v>0</v>
      </c>
      <c r="AD805" s="702">
        <v>48.69</v>
      </c>
      <c r="AE805" s="741"/>
      <c r="AF805" s="741"/>
      <c r="AG805" s="741"/>
      <c r="AH805" s="741"/>
      <c r="AI805" s="741"/>
      <c r="AJ805" s="741"/>
      <c r="AK805" s="741"/>
      <c r="AL805" s="741"/>
      <c r="AM805" s="741"/>
      <c r="AN805" s="741"/>
      <c r="AO805" s="741"/>
      <c r="AP805" s="741"/>
      <c r="AQ805" s="741"/>
      <c r="AR805" s="741"/>
      <c r="AS805" s="741"/>
      <c r="AT805" s="741"/>
      <c r="AU805" s="741"/>
      <c r="AV805" s="741"/>
      <c r="AW805" s="741"/>
      <c r="AX805" s="741"/>
      <c r="AY805" s="741"/>
      <c r="AZ805" s="741"/>
      <c r="BA805" s="741"/>
      <c r="BB805" s="741"/>
      <c r="BC805" s="741"/>
      <c r="BD805" s="741"/>
      <c r="BE805" s="741"/>
      <c r="BF805" s="741"/>
      <c r="BG805" s="741"/>
      <c r="BH805" s="741"/>
      <c r="BI805" s="741"/>
      <c r="BJ805" s="741"/>
      <c r="BK805" s="741"/>
      <c r="BL805" s="741"/>
      <c r="BM805" s="741"/>
      <c r="BN805" s="741"/>
      <c r="BO805" s="741"/>
      <c r="BP805" s="741"/>
      <c r="BQ805" s="741"/>
      <c r="BR805" s="741"/>
      <c r="BS805" s="741"/>
      <c r="BT805" s="741"/>
      <c r="BU805" s="741"/>
      <c r="BV805" s="741"/>
      <c r="BW805" s="741"/>
      <c r="BX805" s="741"/>
      <c r="BY805" s="741"/>
      <c r="BZ805" s="741"/>
      <c r="CA805" s="741"/>
    </row>
    <row r="806" spans="1:79" s="758" customFormat="1" hidden="1" outlineLevel="1" x14ac:dyDescent="0.35">
      <c r="A806" s="498"/>
      <c r="B806" s="498"/>
      <c r="C806" s="498"/>
      <c r="D806" s="498"/>
      <c r="E806" s="498"/>
      <c r="F806" s="677" t="s">
        <v>633</v>
      </c>
      <c r="G806" s="740"/>
      <c r="H806" s="740"/>
      <c r="I806" s="740"/>
      <c r="J806" s="740"/>
      <c r="K806" s="740"/>
      <c r="L806" s="740"/>
      <c r="M806" s="740"/>
      <c r="N806" s="740"/>
      <c r="O806" s="740"/>
      <c r="P806" s="741"/>
      <c r="Q806" s="741"/>
      <c r="R806" s="741"/>
      <c r="S806" s="683">
        <v>652.45000000000005</v>
      </c>
      <c r="T806" s="683">
        <v>495.78</v>
      </c>
      <c r="U806" s="683">
        <v>675.95</v>
      </c>
      <c r="V806" s="683">
        <v>694.47</v>
      </c>
      <c r="W806" s="683">
        <v>1040.52</v>
      </c>
      <c r="X806" s="683">
        <v>1138.08</v>
      </c>
      <c r="Y806" s="683">
        <v>952.26</v>
      </c>
      <c r="Z806" s="683">
        <v>555.41</v>
      </c>
      <c r="AA806" s="683">
        <v>1403.92</v>
      </c>
      <c r="AB806" s="683">
        <v>1001.73</v>
      </c>
      <c r="AC806" s="702">
        <v>934.5</v>
      </c>
      <c r="AD806" s="702">
        <v>-258.52999999999997</v>
      </c>
      <c r="AE806" s="741"/>
      <c r="AF806" s="741"/>
      <c r="AG806" s="741"/>
      <c r="AH806" s="741"/>
      <c r="AI806" s="741"/>
      <c r="AJ806" s="741"/>
      <c r="AK806" s="741"/>
      <c r="AL806" s="741"/>
      <c r="AM806" s="741"/>
      <c r="AN806" s="741"/>
      <c r="AO806" s="741"/>
      <c r="AP806" s="741"/>
      <c r="AQ806" s="741"/>
      <c r="AR806" s="741"/>
      <c r="AS806" s="741"/>
      <c r="AT806" s="741"/>
      <c r="AU806" s="741"/>
      <c r="AV806" s="741"/>
      <c r="AW806" s="741"/>
      <c r="AX806" s="741"/>
      <c r="AY806" s="741"/>
      <c r="AZ806" s="741"/>
      <c r="BA806" s="741"/>
      <c r="BB806" s="741"/>
      <c r="BC806" s="741"/>
      <c r="BD806" s="741"/>
      <c r="BE806" s="741"/>
      <c r="BF806" s="741"/>
      <c r="BG806" s="741"/>
      <c r="BH806" s="741"/>
      <c r="BI806" s="741"/>
      <c r="BJ806" s="741"/>
      <c r="BK806" s="741"/>
      <c r="BL806" s="741"/>
      <c r="BM806" s="741"/>
      <c r="BN806" s="741"/>
      <c r="BO806" s="741"/>
      <c r="BP806" s="741"/>
      <c r="BQ806" s="741"/>
      <c r="BR806" s="741"/>
      <c r="BS806" s="741"/>
      <c r="BT806" s="741"/>
      <c r="BU806" s="741"/>
      <c r="BV806" s="741"/>
      <c r="BW806" s="741"/>
      <c r="BX806" s="741"/>
      <c r="BY806" s="741"/>
      <c r="BZ806" s="741"/>
      <c r="CA806" s="741"/>
    </row>
    <row r="807" spans="1:79" s="758" customFormat="1" hidden="1" outlineLevel="1" x14ac:dyDescent="0.35">
      <c r="A807" s="498"/>
      <c r="B807" s="498"/>
      <c r="C807" s="498"/>
      <c r="D807" s="498"/>
      <c r="E807" s="498"/>
      <c r="F807" s="677" t="s">
        <v>634</v>
      </c>
      <c r="G807" s="740"/>
      <c r="H807" s="740"/>
      <c r="I807" s="740"/>
      <c r="J807" s="740"/>
      <c r="K807" s="740"/>
      <c r="L807" s="740"/>
      <c r="M807" s="740"/>
      <c r="N807" s="740"/>
      <c r="O807" s="740"/>
      <c r="P807" s="741"/>
      <c r="Q807" s="741"/>
      <c r="R807" s="741"/>
      <c r="S807" s="683">
        <v>1710.59</v>
      </c>
      <c r="T807" s="683">
        <v>1040.71</v>
      </c>
      <c r="U807" s="683">
        <v>1811.08</v>
      </c>
      <c r="V807" s="683">
        <v>1890.25</v>
      </c>
      <c r="W807" s="683">
        <v>3292.71</v>
      </c>
      <c r="X807" s="683">
        <v>2486.36</v>
      </c>
      <c r="Y807" s="683">
        <v>1509.2</v>
      </c>
      <c r="Z807" s="683">
        <v>2026.93</v>
      </c>
      <c r="AA807" s="683">
        <v>1419.36</v>
      </c>
      <c r="AB807" s="683">
        <v>1720.71</v>
      </c>
      <c r="AC807" s="702">
        <v>1551.51</v>
      </c>
      <c r="AD807" s="702">
        <v>3478.61</v>
      </c>
      <c r="AE807" s="741"/>
      <c r="AF807" s="741"/>
      <c r="AG807" s="741"/>
      <c r="AH807" s="741"/>
      <c r="AI807" s="741"/>
      <c r="AJ807" s="741"/>
      <c r="AK807" s="741"/>
      <c r="AL807" s="741"/>
      <c r="AM807" s="741"/>
      <c r="AN807" s="741"/>
      <c r="AO807" s="741"/>
      <c r="AP807" s="741"/>
      <c r="AQ807" s="741"/>
      <c r="AR807" s="741"/>
      <c r="AS807" s="741"/>
      <c r="AT807" s="741"/>
      <c r="AU807" s="741"/>
      <c r="AV807" s="741"/>
      <c r="AW807" s="741"/>
      <c r="AX807" s="741"/>
      <c r="AY807" s="741"/>
      <c r="AZ807" s="741"/>
      <c r="BA807" s="741"/>
      <c r="BB807" s="741"/>
      <c r="BC807" s="741"/>
      <c r="BD807" s="741"/>
      <c r="BE807" s="741"/>
      <c r="BF807" s="741"/>
      <c r="BG807" s="741"/>
      <c r="BH807" s="741"/>
      <c r="BI807" s="741"/>
      <c r="BJ807" s="741"/>
      <c r="BK807" s="741"/>
      <c r="BL807" s="741"/>
      <c r="BM807" s="741"/>
      <c r="BN807" s="741"/>
      <c r="BO807" s="741"/>
      <c r="BP807" s="741"/>
      <c r="BQ807" s="741"/>
      <c r="BR807" s="741"/>
      <c r="BS807" s="741"/>
      <c r="BT807" s="741"/>
      <c r="BU807" s="741"/>
      <c r="BV807" s="741"/>
      <c r="BW807" s="741"/>
      <c r="BX807" s="741"/>
      <c r="BY807" s="741"/>
      <c r="BZ807" s="741"/>
      <c r="CA807" s="741"/>
    </row>
    <row r="808" spans="1:79" s="758" customFormat="1" hidden="1" outlineLevel="1" x14ac:dyDescent="0.35">
      <c r="A808" s="498"/>
      <c r="B808" s="498"/>
      <c r="C808" s="498"/>
      <c r="D808" s="498"/>
      <c r="E808" s="498"/>
      <c r="F808" s="677" t="s">
        <v>635</v>
      </c>
      <c r="G808" s="740"/>
      <c r="H808" s="740"/>
      <c r="I808" s="740"/>
      <c r="J808" s="740"/>
      <c r="K808" s="740"/>
      <c r="L808" s="740"/>
      <c r="M808" s="740"/>
      <c r="N808" s="740"/>
      <c r="O808" s="740"/>
      <c r="P808" s="741"/>
      <c r="Q808" s="741"/>
      <c r="R808" s="741"/>
      <c r="S808" s="683">
        <v>28.08</v>
      </c>
      <c r="T808" s="683">
        <v>9.6199999999999992</v>
      </c>
      <c r="U808" s="683">
        <v>19.239999999999998</v>
      </c>
      <c r="V808" s="683">
        <v>28.35</v>
      </c>
      <c r="W808" s="683">
        <v>23.15</v>
      </c>
      <c r="X808" s="683">
        <v>19.239999999999998</v>
      </c>
      <c r="Y808" s="683">
        <v>17</v>
      </c>
      <c r="Z808" s="683">
        <v>0</v>
      </c>
      <c r="AA808" s="683">
        <v>0</v>
      </c>
      <c r="AB808" s="683">
        <v>0</v>
      </c>
      <c r="AC808" s="702">
        <v>0</v>
      </c>
      <c r="AD808" s="702">
        <v>0</v>
      </c>
      <c r="AE808" s="741"/>
      <c r="AF808" s="741"/>
      <c r="AG808" s="741"/>
      <c r="AH808" s="741"/>
      <c r="AI808" s="741"/>
      <c r="AJ808" s="741"/>
      <c r="AK808" s="741"/>
      <c r="AL808" s="741"/>
      <c r="AM808" s="741"/>
      <c r="AN808" s="741"/>
      <c r="AO808" s="741"/>
      <c r="AP808" s="741"/>
      <c r="AQ808" s="741"/>
      <c r="AR808" s="741"/>
      <c r="AS808" s="741"/>
      <c r="AT808" s="741"/>
      <c r="AU808" s="741"/>
      <c r="AV808" s="741"/>
      <c r="AW808" s="741"/>
      <c r="AX808" s="741"/>
      <c r="AY808" s="741"/>
      <c r="AZ808" s="741"/>
      <c r="BA808" s="741"/>
      <c r="BB808" s="741"/>
      <c r="BC808" s="741"/>
      <c r="BD808" s="741"/>
      <c r="BE808" s="741"/>
      <c r="BF808" s="741"/>
      <c r="BG808" s="741"/>
      <c r="BH808" s="741"/>
      <c r="BI808" s="741"/>
      <c r="BJ808" s="741"/>
      <c r="BK808" s="741"/>
      <c r="BL808" s="741"/>
      <c r="BM808" s="741"/>
      <c r="BN808" s="741"/>
      <c r="BO808" s="741"/>
      <c r="BP808" s="741"/>
      <c r="BQ808" s="741"/>
      <c r="BR808" s="741"/>
      <c r="BS808" s="741"/>
      <c r="BT808" s="741"/>
      <c r="BU808" s="741"/>
      <c r="BV808" s="741"/>
      <c r="BW808" s="741"/>
      <c r="BX808" s="741"/>
      <c r="BY808" s="741"/>
      <c r="BZ808" s="741"/>
      <c r="CA808" s="741"/>
    </row>
    <row r="809" spans="1:79" s="758" customFormat="1" hidden="1" outlineLevel="1" x14ac:dyDescent="0.35">
      <c r="A809" s="498"/>
      <c r="B809" s="498"/>
      <c r="C809" s="498"/>
      <c r="D809" s="498"/>
      <c r="E809" s="498"/>
      <c r="F809" s="677" t="s">
        <v>636</v>
      </c>
      <c r="G809" s="740"/>
      <c r="H809" s="740"/>
      <c r="I809" s="740"/>
      <c r="J809" s="740"/>
      <c r="K809" s="740"/>
      <c r="L809" s="740"/>
      <c r="M809" s="740"/>
      <c r="N809" s="740"/>
      <c r="O809" s="740"/>
      <c r="P809" s="741"/>
      <c r="Q809" s="741"/>
      <c r="R809" s="741"/>
      <c r="S809" s="683">
        <v>933.67</v>
      </c>
      <c r="T809" s="683">
        <v>160.77000000000001</v>
      </c>
      <c r="U809" s="683">
        <v>130.78</v>
      </c>
      <c r="V809" s="683">
        <v>192.76</v>
      </c>
      <c r="W809" s="683">
        <v>255.49</v>
      </c>
      <c r="X809" s="683">
        <v>292.2</v>
      </c>
      <c r="Y809" s="683">
        <v>135.97</v>
      </c>
      <c r="Z809" s="683">
        <v>0</v>
      </c>
      <c r="AA809" s="683">
        <v>0</v>
      </c>
      <c r="AB809" s="683">
        <v>0</v>
      </c>
      <c r="AC809" s="702">
        <v>0</v>
      </c>
      <c r="AD809" s="702">
        <v>324.62</v>
      </c>
      <c r="AE809" s="741"/>
      <c r="AF809" s="741"/>
      <c r="AG809" s="741"/>
      <c r="AH809" s="741"/>
      <c r="AI809" s="741"/>
      <c r="AJ809" s="741"/>
      <c r="AK809" s="741"/>
      <c r="AL809" s="741"/>
      <c r="AM809" s="741"/>
      <c r="AN809" s="741"/>
      <c r="AO809" s="741"/>
      <c r="AP809" s="741"/>
      <c r="AQ809" s="741"/>
      <c r="AR809" s="741"/>
      <c r="AS809" s="741"/>
      <c r="AT809" s="741"/>
      <c r="AU809" s="741"/>
      <c r="AV809" s="741"/>
      <c r="AW809" s="741"/>
      <c r="AX809" s="741"/>
      <c r="AY809" s="741"/>
      <c r="AZ809" s="741"/>
      <c r="BA809" s="741"/>
      <c r="BB809" s="741"/>
      <c r="BC809" s="741"/>
      <c r="BD809" s="741"/>
      <c r="BE809" s="741"/>
      <c r="BF809" s="741"/>
      <c r="BG809" s="741"/>
      <c r="BH809" s="741"/>
      <c r="BI809" s="741"/>
      <c r="BJ809" s="741"/>
      <c r="BK809" s="741"/>
      <c r="BL809" s="741"/>
      <c r="BM809" s="741"/>
      <c r="BN809" s="741"/>
      <c r="BO809" s="741"/>
      <c r="BP809" s="741"/>
      <c r="BQ809" s="741"/>
      <c r="BR809" s="741"/>
      <c r="BS809" s="741"/>
      <c r="BT809" s="741"/>
      <c r="BU809" s="741"/>
      <c r="BV809" s="741"/>
      <c r="BW809" s="741"/>
      <c r="BX809" s="741"/>
      <c r="BY809" s="741"/>
      <c r="BZ809" s="741"/>
      <c r="CA809" s="741"/>
    </row>
    <row r="810" spans="1:79" s="758" customFormat="1" hidden="1" outlineLevel="1" x14ac:dyDescent="0.35">
      <c r="A810" s="583"/>
      <c r="B810" s="583"/>
      <c r="C810" s="583"/>
      <c r="D810" s="583"/>
      <c r="E810" s="583"/>
      <c r="F810" s="677" t="s">
        <v>909</v>
      </c>
      <c r="G810" s="740"/>
      <c r="H810" s="740"/>
      <c r="I810" s="740"/>
      <c r="J810" s="740"/>
      <c r="K810" s="740"/>
      <c r="L810" s="740"/>
      <c r="M810" s="740"/>
      <c r="N810" s="740"/>
      <c r="O810" s="740"/>
      <c r="P810" s="741"/>
      <c r="Q810" s="741"/>
      <c r="R810" s="741"/>
      <c r="S810" s="683">
        <v>0</v>
      </c>
      <c r="T810" s="683">
        <v>0</v>
      </c>
      <c r="U810" s="683">
        <v>0</v>
      </c>
      <c r="V810" s="683">
        <v>0</v>
      </c>
      <c r="W810" s="683">
        <v>0</v>
      </c>
      <c r="X810" s="683">
        <v>0</v>
      </c>
      <c r="Y810" s="683">
        <v>0</v>
      </c>
      <c r="Z810" s="683">
        <v>0</v>
      </c>
      <c r="AA810" s="683">
        <v>0</v>
      </c>
      <c r="AB810" s="683">
        <v>0</v>
      </c>
      <c r="AC810" s="702">
        <v>0</v>
      </c>
      <c r="AD810" s="702">
        <v>0</v>
      </c>
      <c r="AE810" s="741"/>
      <c r="AF810" s="741"/>
      <c r="AG810" s="741"/>
      <c r="AH810" s="741"/>
      <c r="AI810" s="741"/>
      <c r="AJ810" s="741"/>
      <c r="AK810" s="741"/>
      <c r="AL810" s="741"/>
      <c r="AM810" s="741"/>
      <c r="AN810" s="741"/>
      <c r="AO810" s="741"/>
      <c r="AP810" s="741"/>
      <c r="AQ810" s="741"/>
      <c r="AR810" s="741"/>
      <c r="AS810" s="741"/>
      <c r="AT810" s="741"/>
      <c r="AU810" s="741"/>
      <c r="AV810" s="741"/>
      <c r="AW810" s="741"/>
      <c r="AX810" s="741"/>
      <c r="AY810" s="741"/>
      <c r="AZ810" s="741"/>
      <c r="BA810" s="741"/>
      <c r="BB810" s="741"/>
      <c r="BC810" s="741"/>
      <c r="BD810" s="741"/>
      <c r="BE810" s="741"/>
      <c r="BF810" s="741"/>
      <c r="BG810" s="741"/>
      <c r="BH810" s="741"/>
      <c r="BI810" s="741"/>
      <c r="BJ810" s="741"/>
      <c r="BK810" s="741"/>
      <c r="BL810" s="741"/>
      <c r="BM810" s="741"/>
      <c r="BN810" s="741"/>
      <c r="BO810" s="741"/>
      <c r="BP810" s="741"/>
      <c r="BQ810" s="741"/>
      <c r="BR810" s="741"/>
      <c r="BS810" s="741"/>
      <c r="BT810" s="741"/>
      <c r="BU810" s="741"/>
      <c r="BV810" s="741"/>
      <c r="BW810" s="741"/>
      <c r="BX810" s="741"/>
      <c r="BY810" s="741"/>
      <c r="BZ810" s="741"/>
      <c r="CA810" s="741"/>
    </row>
    <row r="811" spans="1:79" s="758" customFormat="1" hidden="1" outlineLevel="1" x14ac:dyDescent="0.35">
      <c r="A811" s="498"/>
      <c r="B811" s="498"/>
      <c r="C811" s="498"/>
      <c r="D811" s="498"/>
      <c r="E811" s="498"/>
      <c r="F811" s="677" t="s">
        <v>637</v>
      </c>
      <c r="G811" s="740">
        <v>2451.62</v>
      </c>
      <c r="H811" s="740">
        <v>1630.4499999999998</v>
      </c>
      <c r="I811" s="740">
        <v>1400.55</v>
      </c>
      <c r="J811" s="740">
        <v>1563.8300000000002</v>
      </c>
      <c r="K811" s="740">
        <v>1567.25</v>
      </c>
      <c r="L811" s="740">
        <v>2197.9</v>
      </c>
      <c r="M811" s="740">
        <v>1465.27</v>
      </c>
      <c r="N811" s="740">
        <v>1758.75</v>
      </c>
      <c r="O811" s="740">
        <v>1574.12</v>
      </c>
      <c r="P811" s="741">
        <v>2032.06</v>
      </c>
      <c r="Q811" s="741">
        <v>4050.1600000000003</v>
      </c>
      <c r="R811" s="741">
        <v>3655.92</v>
      </c>
      <c r="S811" s="683">
        <v>0</v>
      </c>
      <c r="T811" s="683">
        <v>0</v>
      </c>
      <c r="U811" s="683">
        <v>638.13</v>
      </c>
      <c r="V811" s="683">
        <v>-638.13</v>
      </c>
      <c r="W811" s="683">
        <v>0</v>
      </c>
      <c r="X811" s="683">
        <v>0</v>
      </c>
      <c r="Y811" s="683">
        <v>0</v>
      </c>
      <c r="Z811" s="683">
        <v>0</v>
      </c>
      <c r="AA811" s="683">
        <v>0</v>
      </c>
      <c r="AB811" s="683">
        <v>0</v>
      </c>
      <c r="AC811" s="702">
        <v>0</v>
      </c>
      <c r="AD811" s="702">
        <v>0</v>
      </c>
      <c r="AE811" s="741"/>
      <c r="AF811" s="741"/>
      <c r="AG811" s="741"/>
      <c r="AH811" s="741"/>
      <c r="AI811" s="741"/>
      <c r="AJ811" s="741"/>
      <c r="AK811" s="741"/>
      <c r="AL811" s="741"/>
      <c r="AM811" s="741"/>
      <c r="AN811" s="741"/>
      <c r="AO811" s="741"/>
      <c r="AP811" s="741"/>
      <c r="AQ811" s="741"/>
      <c r="AR811" s="741"/>
      <c r="AS811" s="741"/>
      <c r="AT811" s="741"/>
      <c r="AU811" s="741"/>
      <c r="AV811" s="741"/>
      <c r="AW811" s="741"/>
      <c r="AX811" s="741"/>
      <c r="AY811" s="741"/>
      <c r="AZ811" s="741"/>
      <c r="BA811" s="741"/>
      <c r="BB811" s="741"/>
      <c r="BC811" s="741"/>
      <c r="BD811" s="741"/>
      <c r="BE811" s="741"/>
      <c r="BF811" s="741"/>
      <c r="BG811" s="741"/>
      <c r="BH811" s="741"/>
      <c r="BI811" s="741"/>
      <c r="BJ811" s="741"/>
      <c r="BK811" s="741"/>
      <c r="BL811" s="741"/>
      <c r="BM811" s="741"/>
      <c r="BN811" s="741"/>
      <c r="BO811" s="741"/>
      <c r="BP811" s="741"/>
      <c r="BQ811" s="741"/>
      <c r="BR811" s="741"/>
      <c r="BS811" s="741"/>
      <c r="BT811" s="741"/>
      <c r="BU811" s="741"/>
      <c r="BV811" s="741"/>
      <c r="BW811" s="741"/>
      <c r="BX811" s="741"/>
      <c r="BY811" s="741"/>
      <c r="BZ811" s="741"/>
      <c r="CA811" s="741"/>
    </row>
    <row r="812" spans="1:79" s="760" customFormat="1" hidden="1" outlineLevel="1" x14ac:dyDescent="0.35">
      <c r="A812" s="503"/>
      <c r="B812" s="503"/>
      <c r="C812" s="503"/>
      <c r="D812" s="503"/>
      <c r="E812" s="503"/>
      <c r="F812" s="673" t="s">
        <v>638</v>
      </c>
      <c r="G812" s="680">
        <f>SUM(G804:G811)</f>
        <v>2451.62</v>
      </c>
      <c r="H812" s="680">
        <f t="shared" ref="H812:BO812" si="316">SUM(H804:H811)</f>
        <v>1630.4499999999998</v>
      </c>
      <c r="I812" s="680">
        <f t="shared" si="316"/>
        <v>1400.55</v>
      </c>
      <c r="J812" s="680">
        <f t="shared" si="316"/>
        <v>1563.8300000000002</v>
      </c>
      <c r="K812" s="680">
        <f t="shared" si="316"/>
        <v>1567.25</v>
      </c>
      <c r="L812" s="680">
        <f t="shared" si="316"/>
        <v>2197.9</v>
      </c>
      <c r="M812" s="680">
        <f t="shared" si="316"/>
        <v>1465.27</v>
      </c>
      <c r="N812" s="680">
        <f t="shared" si="316"/>
        <v>1758.75</v>
      </c>
      <c r="O812" s="680">
        <f t="shared" si="316"/>
        <v>1574.12</v>
      </c>
      <c r="P812" s="680">
        <f t="shared" si="316"/>
        <v>2032.06</v>
      </c>
      <c r="Q812" s="680">
        <f t="shared" si="316"/>
        <v>4050.1600000000003</v>
      </c>
      <c r="R812" s="680">
        <f t="shared" si="316"/>
        <v>3655.92</v>
      </c>
      <c r="S812" s="695">
        <f t="shared" ref="S812:AA812" si="317">ROUND(SUM(S803:S811),5)</f>
        <v>3489.13</v>
      </c>
      <c r="T812" s="695">
        <f t="shared" si="317"/>
        <v>1723.57</v>
      </c>
      <c r="U812" s="695">
        <f t="shared" si="317"/>
        <v>3275.18</v>
      </c>
      <c r="V812" s="695">
        <f t="shared" si="317"/>
        <v>2167.6999999999998</v>
      </c>
      <c r="W812" s="695">
        <f t="shared" si="317"/>
        <v>4629.04</v>
      </c>
      <c r="X812" s="695">
        <f t="shared" si="317"/>
        <v>3964.14</v>
      </c>
      <c r="Y812" s="695">
        <f t="shared" si="317"/>
        <v>2618</v>
      </c>
      <c r="Z812" s="695">
        <f t="shared" si="317"/>
        <v>2582.34</v>
      </c>
      <c r="AA812" s="695">
        <f t="shared" si="317"/>
        <v>2823.28</v>
      </c>
      <c r="AB812" s="695">
        <f>ROUND(SUM(AB803:AB811),5)</f>
        <v>2722.44</v>
      </c>
      <c r="AC812" s="695">
        <f>ROUND(SUM(AC803:AC811),5)</f>
        <v>2486.0100000000002</v>
      </c>
      <c r="AD812" s="695">
        <f>ROUND(SUM(AD803:AD811),5)</f>
        <v>3601.51</v>
      </c>
      <c r="AE812" s="680">
        <f t="shared" si="316"/>
        <v>0</v>
      </c>
      <c r="AF812" s="680">
        <f t="shared" si="316"/>
        <v>0</v>
      </c>
      <c r="AG812" s="680">
        <f t="shared" si="316"/>
        <v>0</v>
      </c>
      <c r="AH812" s="680">
        <f t="shared" si="316"/>
        <v>0</v>
      </c>
      <c r="AI812" s="680">
        <f t="shared" si="316"/>
        <v>0</v>
      </c>
      <c r="AJ812" s="680">
        <f t="shared" si="316"/>
        <v>0</v>
      </c>
      <c r="AK812" s="680">
        <f t="shared" si="316"/>
        <v>0</v>
      </c>
      <c r="AL812" s="680">
        <f t="shared" si="316"/>
        <v>0</v>
      </c>
      <c r="AM812" s="680">
        <f t="shared" si="316"/>
        <v>0</v>
      </c>
      <c r="AN812" s="680">
        <f t="shared" si="316"/>
        <v>0</v>
      </c>
      <c r="AO812" s="680">
        <f t="shared" si="316"/>
        <v>0</v>
      </c>
      <c r="AP812" s="680">
        <f t="shared" si="316"/>
        <v>0</v>
      </c>
      <c r="AQ812" s="680">
        <f t="shared" si="316"/>
        <v>0</v>
      </c>
      <c r="AR812" s="680">
        <f t="shared" si="316"/>
        <v>0</v>
      </c>
      <c r="AS812" s="680">
        <f t="shared" si="316"/>
        <v>0</v>
      </c>
      <c r="AT812" s="680">
        <f t="shared" si="316"/>
        <v>0</v>
      </c>
      <c r="AU812" s="680">
        <f t="shared" si="316"/>
        <v>0</v>
      </c>
      <c r="AV812" s="680">
        <f t="shared" si="316"/>
        <v>0</v>
      </c>
      <c r="AW812" s="680">
        <f t="shared" si="316"/>
        <v>0</v>
      </c>
      <c r="AX812" s="680">
        <f t="shared" si="316"/>
        <v>0</v>
      </c>
      <c r="AY812" s="680">
        <f t="shared" si="316"/>
        <v>0</v>
      </c>
      <c r="AZ812" s="680">
        <f t="shared" si="316"/>
        <v>0</v>
      </c>
      <c r="BA812" s="680">
        <f t="shared" si="316"/>
        <v>0</v>
      </c>
      <c r="BB812" s="680">
        <f t="shared" si="316"/>
        <v>0</v>
      </c>
      <c r="BC812" s="680">
        <f t="shared" si="316"/>
        <v>0</v>
      </c>
      <c r="BD812" s="680">
        <f t="shared" si="316"/>
        <v>0</v>
      </c>
      <c r="BE812" s="680">
        <f t="shared" si="316"/>
        <v>0</v>
      </c>
      <c r="BF812" s="680">
        <f t="shared" si="316"/>
        <v>0</v>
      </c>
      <c r="BG812" s="680">
        <f t="shared" si="316"/>
        <v>0</v>
      </c>
      <c r="BH812" s="680">
        <f t="shared" si="316"/>
        <v>0</v>
      </c>
      <c r="BI812" s="680">
        <f t="shared" si="316"/>
        <v>0</v>
      </c>
      <c r="BJ812" s="680">
        <f t="shared" si="316"/>
        <v>0</v>
      </c>
      <c r="BK812" s="680">
        <f t="shared" si="316"/>
        <v>0</v>
      </c>
      <c r="BL812" s="680">
        <f t="shared" si="316"/>
        <v>0</v>
      </c>
      <c r="BM812" s="680">
        <f t="shared" si="316"/>
        <v>0</v>
      </c>
      <c r="BN812" s="680">
        <f t="shared" si="316"/>
        <v>0</v>
      </c>
      <c r="BO812" s="680">
        <f t="shared" si="316"/>
        <v>0</v>
      </c>
      <c r="BP812" s="680">
        <f t="shared" ref="BP812:CA812" si="318">SUM(BP804:BP811)</f>
        <v>0</v>
      </c>
      <c r="BQ812" s="680">
        <f t="shared" si="318"/>
        <v>0</v>
      </c>
      <c r="BR812" s="680">
        <f t="shared" si="318"/>
        <v>0</v>
      </c>
      <c r="BS812" s="680">
        <f t="shared" si="318"/>
        <v>0</v>
      </c>
      <c r="BT812" s="680">
        <f t="shared" si="318"/>
        <v>0</v>
      </c>
      <c r="BU812" s="680">
        <f t="shared" si="318"/>
        <v>0</v>
      </c>
      <c r="BV812" s="680">
        <f t="shared" si="318"/>
        <v>0</v>
      </c>
      <c r="BW812" s="680">
        <f t="shared" si="318"/>
        <v>0</v>
      </c>
      <c r="BX812" s="680">
        <f t="shared" si="318"/>
        <v>0</v>
      </c>
      <c r="BY812" s="680">
        <f t="shared" si="318"/>
        <v>0</v>
      </c>
      <c r="BZ812" s="680">
        <f t="shared" si="318"/>
        <v>0</v>
      </c>
      <c r="CA812" s="680">
        <f t="shared" si="318"/>
        <v>0</v>
      </c>
    </row>
    <row r="813" spans="1:79" s="780" customFormat="1" hidden="1" outlineLevel="1" x14ac:dyDescent="0.35">
      <c r="F813" s="717" t="s">
        <v>639</v>
      </c>
      <c r="G813" s="769"/>
      <c r="H813" s="769"/>
      <c r="I813" s="769"/>
      <c r="J813" s="769"/>
      <c r="K813" s="769"/>
      <c r="L813" s="769"/>
      <c r="M813" s="769"/>
      <c r="N813" s="769"/>
      <c r="O813" s="769"/>
      <c r="P813" s="770"/>
      <c r="Q813" s="770"/>
      <c r="R813" s="770"/>
      <c r="S813" s="713"/>
      <c r="T813" s="713"/>
      <c r="U813" s="713"/>
      <c r="V813" s="713"/>
      <c r="W813" s="713"/>
      <c r="X813" s="713"/>
      <c r="Y813" s="713"/>
      <c r="Z813" s="713"/>
      <c r="AA813" s="713"/>
      <c r="AB813" s="713"/>
      <c r="AC813" s="728"/>
      <c r="AD813" s="728"/>
      <c r="AE813" s="770"/>
      <c r="AF813" s="770"/>
      <c r="AG813" s="770"/>
      <c r="AH813" s="770"/>
      <c r="AI813" s="770"/>
      <c r="AJ813" s="770"/>
      <c r="AK813" s="770"/>
      <c r="AL813" s="770"/>
      <c r="AM813" s="770"/>
      <c r="AN813" s="770"/>
      <c r="AO813" s="770"/>
      <c r="AP813" s="770"/>
      <c r="AQ813" s="770"/>
      <c r="AR813" s="770"/>
      <c r="AS813" s="770"/>
      <c r="AT813" s="770"/>
      <c r="AU813" s="770"/>
      <c r="AV813" s="770"/>
      <c r="AW813" s="770"/>
      <c r="AX813" s="770"/>
      <c r="AY813" s="770"/>
      <c r="AZ813" s="770"/>
      <c r="BA813" s="770"/>
      <c r="BB813" s="770"/>
      <c r="BC813" s="770"/>
      <c r="BD813" s="770"/>
      <c r="BE813" s="770"/>
      <c r="BF813" s="770"/>
      <c r="BG813" s="770"/>
      <c r="BH813" s="770"/>
      <c r="BI813" s="770"/>
      <c r="BJ813" s="770"/>
      <c r="BK813" s="770"/>
      <c r="BL813" s="770"/>
      <c r="BM813" s="770"/>
      <c r="BN813" s="770"/>
      <c r="BO813" s="770"/>
      <c r="BP813" s="770"/>
      <c r="BQ813" s="770"/>
      <c r="BR813" s="770"/>
      <c r="BS813" s="770"/>
      <c r="BT813" s="770"/>
      <c r="BU813" s="770"/>
      <c r="BV813" s="770"/>
      <c r="BW813" s="770"/>
      <c r="BX813" s="770"/>
      <c r="BY813" s="770"/>
      <c r="BZ813" s="770"/>
      <c r="CA813" s="770"/>
    </row>
    <row r="814" spans="1:79" s="758" customFormat="1" hidden="1" outlineLevel="1" x14ac:dyDescent="0.35">
      <c r="A814" s="498"/>
      <c r="B814" s="498"/>
      <c r="C814" s="498"/>
      <c r="D814" s="498"/>
      <c r="E814" s="498"/>
      <c r="F814" s="677" t="s">
        <v>9</v>
      </c>
      <c r="G814" s="740"/>
      <c r="H814" s="740"/>
      <c r="I814" s="740"/>
      <c r="J814" s="740"/>
      <c r="K814" s="740"/>
      <c r="L814" s="740"/>
      <c r="M814" s="740"/>
      <c r="N814" s="740"/>
      <c r="O814" s="740"/>
      <c r="P814" s="741"/>
      <c r="Q814" s="741"/>
      <c r="R814" s="741"/>
      <c r="S814" s="683">
        <v>7052.71</v>
      </c>
      <c r="T814" s="683">
        <v>5779.75</v>
      </c>
      <c r="U814" s="683">
        <v>6034.89</v>
      </c>
      <c r="V814" s="683">
        <v>7141.57</v>
      </c>
      <c r="W814" s="683">
        <v>5779.75</v>
      </c>
      <c r="X814" s="683">
        <v>5779.75</v>
      </c>
      <c r="Y814" s="683">
        <v>7764.93</v>
      </c>
      <c r="Z814" s="683">
        <v>11772.34</v>
      </c>
      <c r="AA814" s="683">
        <v>5779.75</v>
      </c>
      <c r="AB814" s="683">
        <v>8757.52</v>
      </c>
      <c r="AC814" s="702">
        <v>5899.41</v>
      </c>
      <c r="AD814" s="702">
        <v>53436.99</v>
      </c>
      <c r="AE814" s="742"/>
      <c r="AF814" s="741"/>
      <c r="AG814" s="741"/>
      <c r="AH814" s="741"/>
      <c r="AI814" s="747"/>
      <c r="AJ814" s="741"/>
      <c r="AK814" s="741"/>
      <c r="AL814" s="741"/>
      <c r="AM814" s="741"/>
      <c r="AN814" s="741"/>
      <c r="AO814" s="741"/>
      <c r="AP814" s="741"/>
      <c r="AQ814" s="741"/>
      <c r="AR814" s="741"/>
      <c r="AS814" s="741"/>
      <c r="AT814" s="741"/>
      <c r="AU814" s="741"/>
      <c r="AV814" s="741"/>
      <c r="AW814" s="741"/>
      <c r="AX814" s="741"/>
      <c r="AY814" s="741"/>
      <c r="AZ814" s="741"/>
      <c r="BA814" s="741"/>
      <c r="BB814" s="741"/>
      <c r="BC814" s="741"/>
      <c r="BD814" s="741"/>
      <c r="BE814" s="741"/>
      <c r="BF814" s="741"/>
      <c r="BG814" s="741"/>
      <c r="BH814" s="741"/>
      <c r="BI814" s="741"/>
      <c r="BJ814" s="741"/>
      <c r="BK814" s="741"/>
      <c r="BL814" s="741"/>
      <c r="BM814" s="741"/>
      <c r="BN814" s="741"/>
      <c r="BO814" s="741"/>
      <c r="BP814" s="741"/>
      <c r="BQ814" s="741"/>
      <c r="BR814" s="741"/>
      <c r="BS814" s="741"/>
      <c r="BT814" s="741"/>
      <c r="BU814" s="741"/>
      <c r="BV814" s="741"/>
      <c r="BW814" s="741"/>
      <c r="BX814" s="741"/>
      <c r="BY814" s="741"/>
      <c r="BZ814" s="741"/>
      <c r="CA814" s="741"/>
    </row>
    <row r="815" spans="1:79" s="758" customFormat="1" hidden="1" outlineLevel="1" x14ac:dyDescent="0.35">
      <c r="A815" s="583"/>
      <c r="B815" s="583"/>
      <c r="C815" s="583"/>
      <c r="D815" s="583"/>
      <c r="E815" s="583"/>
      <c r="F815" s="677" t="s">
        <v>910</v>
      </c>
      <c r="G815" s="740"/>
      <c r="H815" s="740"/>
      <c r="I815" s="740"/>
      <c r="J815" s="740"/>
      <c r="K815" s="740"/>
      <c r="L815" s="740"/>
      <c r="M815" s="740"/>
      <c r="N815" s="740"/>
      <c r="O815" s="740"/>
      <c r="P815" s="741"/>
      <c r="Q815" s="741"/>
      <c r="R815" s="741"/>
      <c r="S815" s="683">
        <v>0</v>
      </c>
      <c r="T815" s="683">
        <v>0</v>
      </c>
      <c r="U815" s="683">
        <v>0</v>
      </c>
      <c r="V815" s="683">
        <v>0</v>
      </c>
      <c r="W815" s="683">
        <v>0</v>
      </c>
      <c r="X815" s="683">
        <v>0</v>
      </c>
      <c r="Y815" s="683">
        <v>0</v>
      </c>
      <c r="Z815" s="683">
        <v>0</v>
      </c>
      <c r="AA815" s="683">
        <v>0</v>
      </c>
      <c r="AB815" s="683">
        <v>0</v>
      </c>
      <c r="AC815" s="702">
        <v>0</v>
      </c>
      <c r="AD815" s="702">
        <v>0</v>
      </c>
      <c r="AE815" s="742"/>
      <c r="AF815" s="741"/>
      <c r="AG815" s="741"/>
      <c r="AH815" s="741"/>
      <c r="AI815" s="747"/>
      <c r="AJ815" s="741"/>
      <c r="AK815" s="741"/>
      <c r="AL815" s="741"/>
      <c r="AM815" s="741"/>
      <c r="AN815" s="741"/>
      <c r="AO815" s="741"/>
      <c r="AP815" s="741"/>
      <c r="AQ815" s="741"/>
      <c r="AR815" s="741"/>
      <c r="AS815" s="741"/>
      <c r="AT815" s="741"/>
      <c r="AU815" s="741"/>
      <c r="AV815" s="741"/>
      <c r="AW815" s="741"/>
      <c r="AX815" s="741"/>
      <c r="AY815" s="741"/>
      <c r="AZ815" s="741"/>
      <c r="BA815" s="741"/>
      <c r="BB815" s="741"/>
      <c r="BC815" s="741"/>
      <c r="BD815" s="741"/>
      <c r="BE815" s="741"/>
      <c r="BF815" s="741"/>
      <c r="BG815" s="741"/>
      <c r="BH815" s="741"/>
      <c r="BI815" s="741"/>
      <c r="BJ815" s="741"/>
      <c r="BK815" s="741"/>
      <c r="BL815" s="741"/>
      <c r="BM815" s="741"/>
      <c r="BN815" s="741"/>
      <c r="BO815" s="741"/>
      <c r="BP815" s="741"/>
      <c r="BQ815" s="741"/>
      <c r="BR815" s="741"/>
      <c r="BS815" s="741"/>
      <c r="BT815" s="741"/>
      <c r="BU815" s="741"/>
      <c r="BV815" s="741"/>
      <c r="BW815" s="741"/>
      <c r="BX815" s="741"/>
      <c r="BY815" s="741"/>
      <c r="BZ815" s="741"/>
      <c r="CA815" s="741"/>
    </row>
    <row r="816" spans="1:79" s="758" customFormat="1" hidden="1" outlineLevel="1" x14ac:dyDescent="0.35">
      <c r="A816" s="583"/>
      <c r="B816" s="583"/>
      <c r="C816" s="583"/>
      <c r="D816" s="583"/>
      <c r="E816" s="583"/>
      <c r="F816" s="677" t="s">
        <v>647</v>
      </c>
      <c r="G816" s="740"/>
      <c r="H816" s="740"/>
      <c r="I816" s="740"/>
      <c r="J816" s="740"/>
      <c r="K816" s="740"/>
      <c r="L816" s="740"/>
      <c r="M816" s="740"/>
      <c r="N816" s="740"/>
      <c r="O816" s="740"/>
      <c r="P816" s="741"/>
      <c r="Q816" s="741"/>
      <c r="R816" s="741"/>
      <c r="S816" s="683">
        <v>0</v>
      </c>
      <c r="T816" s="683">
        <v>0</v>
      </c>
      <c r="U816" s="683">
        <v>0</v>
      </c>
      <c r="V816" s="683">
        <v>0</v>
      </c>
      <c r="W816" s="683">
        <v>0</v>
      </c>
      <c r="X816" s="683">
        <v>0</v>
      </c>
      <c r="Y816" s="683">
        <v>0</v>
      </c>
      <c r="Z816" s="683">
        <v>0</v>
      </c>
      <c r="AA816" s="683">
        <v>0</v>
      </c>
      <c r="AB816" s="683">
        <v>0</v>
      </c>
      <c r="AC816" s="702">
        <v>0</v>
      </c>
      <c r="AD816" s="702">
        <v>0</v>
      </c>
      <c r="AE816" s="742"/>
      <c r="AF816" s="741"/>
      <c r="AG816" s="741"/>
      <c r="AH816" s="741"/>
      <c r="AI816" s="747"/>
      <c r="AJ816" s="741"/>
      <c r="AK816" s="741"/>
      <c r="AL816" s="741"/>
      <c r="AM816" s="741"/>
      <c r="AN816" s="741"/>
      <c r="AO816" s="741"/>
      <c r="AP816" s="741"/>
      <c r="AQ816" s="741"/>
      <c r="AR816" s="741"/>
      <c r="AS816" s="741"/>
      <c r="AT816" s="741"/>
      <c r="AU816" s="741"/>
      <c r="AV816" s="741"/>
      <c r="AW816" s="741"/>
      <c r="AX816" s="741"/>
      <c r="AY816" s="741"/>
      <c r="AZ816" s="741"/>
      <c r="BA816" s="741"/>
      <c r="BB816" s="741"/>
      <c r="BC816" s="741"/>
      <c r="BD816" s="741"/>
      <c r="BE816" s="741"/>
      <c r="BF816" s="741"/>
      <c r="BG816" s="741"/>
      <c r="BH816" s="741"/>
      <c r="BI816" s="741"/>
      <c r="BJ816" s="741"/>
      <c r="BK816" s="741"/>
      <c r="BL816" s="741"/>
      <c r="BM816" s="741"/>
      <c r="BN816" s="741"/>
      <c r="BO816" s="741"/>
      <c r="BP816" s="741"/>
      <c r="BQ816" s="741"/>
      <c r="BR816" s="741"/>
      <c r="BS816" s="741"/>
      <c r="BT816" s="741"/>
      <c r="BU816" s="741"/>
      <c r="BV816" s="741"/>
      <c r="BW816" s="741"/>
      <c r="BX816" s="741"/>
      <c r="BY816" s="741"/>
      <c r="BZ816" s="741"/>
      <c r="CA816" s="741"/>
    </row>
    <row r="817" spans="1:79" s="758" customFormat="1" hidden="1" outlineLevel="1" x14ac:dyDescent="0.35">
      <c r="A817" s="498"/>
      <c r="B817" s="498"/>
      <c r="C817" s="498"/>
      <c r="D817" s="498"/>
      <c r="E817" s="498"/>
      <c r="F817" s="677" t="s">
        <v>648</v>
      </c>
      <c r="G817" s="740"/>
      <c r="H817" s="740"/>
      <c r="I817" s="740"/>
      <c r="J817" s="740"/>
      <c r="K817" s="740"/>
      <c r="L817" s="740"/>
      <c r="M817" s="740"/>
      <c r="N817" s="740"/>
      <c r="O817" s="740"/>
      <c r="P817" s="741"/>
      <c r="Q817" s="741"/>
      <c r="R817" s="741"/>
      <c r="S817" s="683">
        <v>0</v>
      </c>
      <c r="T817" s="683">
        <v>10576.92</v>
      </c>
      <c r="U817" s="683">
        <v>21153.84</v>
      </c>
      <c r="V817" s="683">
        <v>0</v>
      </c>
      <c r="W817" s="683">
        <v>0</v>
      </c>
      <c r="X817" s="683">
        <v>0</v>
      </c>
      <c r="Y817" s="683">
        <v>0</v>
      </c>
      <c r="Z817" s="683">
        <v>0</v>
      </c>
      <c r="AA817" s="683">
        <v>0</v>
      </c>
      <c r="AB817" s="683">
        <v>0</v>
      </c>
      <c r="AC817" s="702">
        <v>0</v>
      </c>
      <c r="AD817" s="702">
        <v>0</v>
      </c>
      <c r="AE817" s="741"/>
      <c r="AF817" s="741"/>
      <c r="AG817" s="741"/>
      <c r="AH817" s="741"/>
      <c r="AI817" s="741"/>
      <c r="AJ817" s="741"/>
      <c r="AK817" s="741"/>
      <c r="AL817" s="741"/>
      <c r="AM817" s="741"/>
      <c r="AN817" s="741"/>
      <c r="AO817" s="741"/>
      <c r="AP817" s="741"/>
      <c r="AQ817" s="741"/>
      <c r="AR817" s="741"/>
      <c r="AS817" s="741"/>
      <c r="AT817" s="741"/>
      <c r="AU817" s="741"/>
      <c r="AV817" s="741"/>
      <c r="AW817" s="741"/>
      <c r="AX817" s="741"/>
      <c r="AY817" s="741"/>
      <c r="AZ817" s="741"/>
      <c r="BA817" s="741"/>
      <c r="BB817" s="741"/>
      <c r="BC817" s="741"/>
      <c r="BD817" s="741"/>
      <c r="BE817" s="741"/>
      <c r="BF817" s="741"/>
      <c r="BG817" s="741"/>
      <c r="BH817" s="741"/>
      <c r="BI817" s="741"/>
      <c r="BJ817" s="741"/>
      <c r="BK817" s="741"/>
      <c r="BL817" s="741"/>
      <c r="BM817" s="741"/>
      <c r="BN817" s="741"/>
      <c r="BO817" s="741"/>
      <c r="BP817" s="741"/>
      <c r="BQ817" s="741"/>
      <c r="BR817" s="741"/>
      <c r="BS817" s="741"/>
      <c r="BT817" s="741"/>
      <c r="BU817" s="741"/>
      <c r="BV817" s="741"/>
      <c r="BW817" s="741"/>
      <c r="BX817" s="741"/>
      <c r="BY817" s="741"/>
      <c r="BZ817" s="741"/>
      <c r="CA817" s="741"/>
    </row>
    <row r="818" spans="1:79" s="758" customFormat="1" hidden="1" outlineLevel="1" x14ac:dyDescent="0.35">
      <c r="A818" s="498"/>
      <c r="B818" s="498"/>
      <c r="C818" s="498"/>
      <c r="D818" s="498"/>
      <c r="E818" s="498"/>
      <c r="F818" s="677" t="s">
        <v>640</v>
      </c>
      <c r="G818" s="740"/>
      <c r="H818" s="740"/>
      <c r="I818" s="740"/>
      <c r="J818" s="740"/>
      <c r="K818" s="740"/>
      <c r="L818" s="740"/>
      <c r="M818" s="740"/>
      <c r="N818" s="740"/>
      <c r="O818" s="740"/>
      <c r="P818" s="741"/>
      <c r="Q818" s="741"/>
      <c r="R818" s="741"/>
      <c r="S818" s="683">
        <v>26317.18</v>
      </c>
      <c r="T818" s="683">
        <v>6538.46</v>
      </c>
      <c r="U818" s="683">
        <v>16307.7</v>
      </c>
      <c r="V818" s="683">
        <v>22403.85</v>
      </c>
      <c r="W818" s="683">
        <v>54703.86</v>
      </c>
      <c r="X818" s="683">
        <v>58980.78</v>
      </c>
      <c r="Y818" s="683">
        <v>48919.24</v>
      </c>
      <c r="Z818" s="683">
        <v>49388.480000000003</v>
      </c>
      <c r="AA818" s="683">
        <v>45876.94</v>
      </c>
      <c r="AB818" s="683">
        <v>50246.16</v>
      </c>
      <c r="AC818" s="702">
        <v>47223.09</v>
      </c>
      <c r="AD818" s="702">
        <v>57715.38</v>
      </c>
      <c r="AE818" s="741"/>
      <c r="AF818" s="741"/>
      <c r="AG818" s="741"/>
      <c r="AH818" s="741"/>
      <c r="AI818" s="741"/>
      <c r="AJ818" s="741"/>
      <c r="AK818" s="741"/>
      <c r="AL818" s="741"/>
      <c r="AM818" s="741"/>
      <c r="AN818" s="741"/>
      <c r="AO818" s="741"/>
      <c r="AP818" s="741"/>
      <c r="AQ818" s="741"/>
      <c r="AR818" s="741"/>
      <c r="AS818" s="741"/>
      <c r="AT818" s="741"/>
      <c r="AU818" s="741"/>
      <c r="AV818" s="741"/>
      <c r="AW818" s="741"/>
      <c r="AX818" s="741"/>
      <c r="AY818" s="741"/>
      <c r="AZ818" s="741"/>
      <c r="BA818" s="741"/>
      <c r="BB818" s="741"/>
      <c r="BC818" s="741"/>
      <c r="BD818" s="741"/>
      <c r="BE818" s="741"/>
      <c r="BF818" s="741"/>
      <c r="BG818" s="741"/>
      <c r="BH818" s="741"/>
      <c r="BI818" s="741"/>
      <c r="BJ818" s="741"/>
      <c r="BK818" s="741"/>
      <c r="BL818" s="741"/>
      <c r="BM818" s="741"/>
      <c r="BN818" s="741"/>
      <c r="BO818" s="741"/>
      <c r="BP818" s="741"/>
      <c r="BQ818" s="741"/>
      <c r="BR818" s="741"/>
      <c r="BS818" s="741"/>
      <c r="BT818" s="741"/>
      <c r="BU818" s="741"/>
      <c r="BV818" s="741"/>
      <c r="BW818" s="741"/>
      <c r="BX818" s="741"/>
      <c r="BY818" s="741"/>
      <c r="BZ818" s="741"/>
      <c r="CA818" s="741"/>
    </row>
    <row r="819" spans="1:79" s="758" customFormat="1" hidden="1" outlineLevel="1" x14ac:dyDescent="0.35">
      <c r="A819" s="498"/>
      <c r="B819" s="498"/>
      <c r="C819" s="498"/>
      <c r="D819" s="498"/>
      <c r="E819" s="498"/>
      <c r="F819" s="677" t="s">
        <v>641</v>
      </c>
      <c r="G819" s="740"/>
      <c r="H819" s="740"/>
      <c r="I819" s="740"/>
      <c r="J819" s="740"/>
      <c r="K819" s="740"/>
      <c r="L819" s="740"/>
      <c r="M819" s="740"/>
      <c r="N819" s="740"/>
      <c r="O819" s="740"/>
      <c r="P819" s="741"/>
      <c r="Q819" s="741"/>
      <c r="R819" s="741"/>
      <c r="S819" s="683">
        <v>2836.53</v>
      </c>
      <c r="T819" s="683">
        <v>2836.54</v>
      </c>
      <c r="U819" s="683">
        <v>1990.39</v>
      </c>
      <c r="V819" s="683">
        <v>2868.59</v>
      </c>
      <c r="W819" s="683">
        <v>-648.13</v>
      </c>
      <c r="X819" s="683">
        <v>2895.8</v>
      </c>
      <c r="Y819" s="683">
        <v>-5302.11</v>
      </c>
      <c r="Z819" s="683">
        <v>149.41999999999999</v>
      </c>
      <c r="AA819" s="683">
        <v>733.93</v>
      </c>
      <c r="AB819" s="683">
        <v>265.05</v>
      </c>
      <c r="AC819" s="702">
        <v>768.17</v>
      </c>
      <c r="AD819" s="702">
        <v>2804.51</v>
      </c>
      <c r="AE819" s="741"/>
      <c r="AF819" s="741"/>
      <c r="AG819" s="741"/>
      <c r="AH819" s="741"/>
      <c r="AI819" s="741"/>
      <c r="AJ819" s="741"/>
      <c r="AK819" s="741"/>
      <c r="AL819" s="741"/>
      <c r="AM819" s="741"/>
      <c r="AN819" s="741"/>
      <c r="AO819" s="741"/>
      <c r="AP819" s="741"/>
      <c r="AQ819" s="741"/>
      <c r="AR819" s="741"/>
      <c r="AS819" s="741"/>
      <c r="AT819" s="741"/>
      <c r="AU819" s="741"/>
      <c r="AV819" s="741"/>
      <c r="AW819" s="741"/>
      <c r="AX819" s="741"/>
      <c r="AY819" s="741"/>
      <c r="AZ819" s="741"/>
      <c r="BA819" s="741"/>
      <c r="BB819" s="741"/>
      <c r="BC819" s="741"/>
      <c r="BD819" s="741"/>
      <c r="BE819" s="741"/>
      <c r="BF819" s="741"/>
      <c r="BG819" s="741"/>
      <c r="BH819" s="741"/>
      <c r="BI819" s="741"/>
      <c r="BJ819" s="741"/>
      <c r="BK819" s="741"/>
      <c r="BL819" s="741"/>
      <c r="BM819" s="741"/>
      <c r="BN819" s="741"/>
      <c r="BO819" s="741"/>
      <c r="BP819" s="741"/>
      <c r="BQ819" s="741"/>
      <c r="BR819" s="741"/>
      <c r="BS819" s="741"/>
      <c r="BT819" s="741"/>
      <c r="BU819" s="741"/>
      <c r="BV819" s="741"/>
      <c r="BW819" s="741"/>
      <c r="BX819" s="741"/>
      <c r="BY819" s="741"/>
      <c r="BZ819" s="741"/>
      <c r="CA819" s="741"/>
    </row>
    <row r="820" spans="1:79" s="758" customFormat="1" hidden="1" outlineLevel="1" x14ac:dyDescent="0.35">
      <c r="A820" s="583"/>
      <c r="B820" s="583"/>
      <c r="C820" s="583"/>
      <c r="D820" s="583"/>
      <c r="E820" s="583"/>
      <c r="F820" s="677" t="s">
        <v>911</v>
      </c>
      <c r="G820" s="740"/>
      <c r="H820" s="740"/>
      <c r="I820" s="740"/>
      <c r="J820" s="740"/>
      <c r="K820" s="740"/>
      <c r="L820" s="740"/>
      <c r="M820" s="740"/>
      <c r="N820" s="740"/>
      <c r="O820" s="740"/>
      <c r="P820" s="741"/>
      <c r="Q820" s="741"/>
      <c r="R820" s="741"/>
      <c r="S820" s="683">
        <v>0</v>
      </c>
      <c r="T820" s="683">
        <v>0</v>
      </c>
      <c r="U820" s="683">
        <v>0</v>
      </c>
      <c r="V820" s="683">
        <v>0</v>
      </c>
      <c r="W820" s="683">
        <v>0</v>
      </c>
      <c r="X820" s="683">
        <v>0</v>
      </c>
      <c r="Y820" s="683">
        <v>0</v>
      </c>
      <c r="Z820" s="683">
        <v>0</v>
      </c>
      <c r="AA820" s="683">
        <v>0</v>
      </c>
      <c r="AB820" s="683">
        <v>0</v>
      </c>
      <c r="AC820" s="702">
        <v>0</v>
      </c>
      <c r="AD820" s="702">
        <v>0</v>
      </c>
      <c r="AE820" s="741"/>
      <c r="AF820" s="741"/>
      <c r="AG820" s="741"/>
      <c r="AH820" s="741"/>
      <c r="AI820" s="741"/>
      <c r="AJ820" s="741"/>
      <c r="AK820" s="741"/>
      <c r="AL820" s="741"/>
      <c r="AM820" s="741"/>
      <c r="AN820" s="741"/>
      <c r="AO820" s="741"/>
      <c r="AP820" s="741"/>
      <c r="AQ820" s="741"/>
      <c r="AR820" s="741"/>
      <c r="AS820" s="741"/>
      <c r="AT820" s="741"/>
      <c r="AU820" s="741"/>
      <c r="AV820" s="741"/>
      <c r="AW820" s="741"/>
      <c r="AX820" s="741"/>
      <c r="AY820" s="741"/>
      <c r="AZ820" s="741"/>
      <c r="BA820" s="741"/>
      <c r="BB820" s="741"/>
      <c r="BC820" s="741"/>
      <c r="BD820" s="741"/>
      <c r="BE820" s="741"/>
      <c r="BF820" s="741"/>
      <c r="BG820" s="741"/>
      <c r="BH820" s="741"/>
      <c r="BI820" s="741"/>
      <c r="BJ820" s="741"/>
      <c r="BK820" s="741"/>
      <c r="BL820" s="741"/>
      <c r="BM820" s="741"/>
      <c r="BN820" s="741"/>
      <c r="BO820" s="741"/>
      <c r="BP820" s="741"/>
      <c r="BQ820" s="741"/>
      <c r="BR820" s="741"/>
      <c r="BS820" s="741"/>
      <c r="BT820" s="741"/>
      <c r="BU820" s="741"/>
      <c r="BV820" s="741"/>
      <c r="BW820" s="741"/>
      <c r="BX820" s="741"/>
      <c r="BY820" s="741"/>
      <c r="BZ820" s="741"/>
      <c r="CA820" s="741"/>
    </row>
    <row r="821" spans="1:79" s="758" customFormat="1" hidden="1" outlineLevel="1" x14ac:dyDescent="0.35">
      <c r="A821" s="583"/>
      <c r="B821" s="583"/>
      <c r="C821" s="583"/>
      <c r="D821" s="583"/>
      <c r="E821" s="583"/>
      <c r="F821" s="677" t="s">
        <v>681</v>
      </c>
      <c r="G821" s="740">
        <v>18307.68</v>
      </c>
      <c r="H821" s="740">
        <v>18307.68</v>
      </c>
      <c r="I821" s="740">
        <v>18307.68</v>
      </c>
      <c r="J821" s="740">
        <v>20442.310000000001</v>
      </c>
      <c r="K821" s="740">
        <v>20486.919999999998</v>
      </c>
      <c r="L821" s="740">
        <v>28730.76</v>
      </c>
      <c r="M821" s="740">
        <v>19153.84</v>
      </c>
      <c r="N821" s="740">
        <v>22990.11</v>
      </c>
      <c r="O821" s="740">
        <v>20576.919999999998</v>
      </c>
      <c r="P821" s="741">
        <v>24538.46</v>
      </c>
      <c r="Q821" s="741">
        <v>49386.07</v>
      </c>
      <c r="R821" s="741">
        <v>44541.54</v>
      </c>
      <c r="S821" s="683">
        <v>3216.67</v>
      </c>
      <c r="T821" s="683">
        <v>3216.67</v>
      </c>
      <c r="U821" s="683">
        <v>3216.67</v>
      </c>
      <c r="V821" s="683">
        <v>3216.67</v>
      </c>
      <c r="W821" s="683">
        <v>3216.67</v>
      </c>
      <c r="X821" s="683">
        <v>3216.67</v>
      </c>
      <c r="Y821" s="683">
        <v>3216.67</v>
      </c>
      <c r="Z821" s="683">
        <v>3216.67</v>
      </c>
      <c r="AA821" s="683">
        <v>3216.67</v>
      </c>
      <c r="AB821" s="683">
        <v>3216.67</v>
      </c>
      <c r="AC821" s="702">
        <v>3216.67</v>
      </c>
      <c r="AD821" s="702">
        <v>-35383.370000000003</v>
      </c>
      <c r="AE821" s="741"/>
      <c r="AF821" s="741"/>
      <c r="AG821" s="741"/>
      <c r="AH821" s="741"/>
      <c r="AI821" s="741"/>
      <c r="AJ821" s="741"/>
      <c r="AK821" s="741"/>
      <c r="AL821" s="741"/>
      <c r="AM821" s="741"/>
      <c r="AN821" s="741"/>
      <c r="AO821" s="741"/>
      <c r="AP821" s="741"/>
      <c r="AQ821" s="741"/>
      <c r="AR821" s="741"/>
      <c r="AS821" s="741"/>
      <c r="AT821" s="741"/>
      <c r="AU821" s="741"/>
      <c r="AV821" s="741"/>
      <c r="AW821" s="741"/>
      <c r="AX821" s="741"/>
      <c r="AY821" s="741"/>
      <c r="AZ821" s="741"/>
      <c r="BA821" s="741"/>
      <c r="BB821" s="741"/>
      <c r="BC821" s="741"/>
      <c r="BD821" s="741"/>
      <c r="BE821" s="741"/>
      <c r="BF821" s="741"/>
      <c r="BG821" s="741"/>
      <c r="BH821" s="741"/>
      <c r="BI821" s="741"/>
      <c r="BJ821" s="741"/>
      <c r="BK821" s="741"/>
      <c r="BL821" s="741"/>
      <c r="BM821" s="741"/>
      <c r="BN821" s="741"/>
      <c r="BO821" s="741"/>
      <c r="BP821" s="741"/>
      <c r="BQ821" s="741"/>
      <c r="BR821" s="741"/>
      <c r="BS821" s="741"/>
      <c r="BT821" s="741"/>
      <c r="BU821" s="741"/>
      <c r="BV821" s="741"/>
      <c r="BW821" s="741"/>
      <c r="BX821" s="741"/>
      <c r="BY821" s="741"/>
      <c r="BZ821" s="741"/>
      <c r="CA821" s="741"/>
    </row>
    <row r="822" spans="1:79" s="760" customFormat="1" hidden="1" outlineLevel="1" x14ac:dyDescent="0.35">
      <c r="A822" s="503"/>
      <c r="B822" s="503"/>
      <c r="C822" s="503"/>
      <c r="D822" s="503"/>
      <c r="E822" s="503"/>
      <c r="F822" s="673" t="s">
        <v>642</v>
      </c>
      <c r="G822" s="680">
        <f>SUM(G814:G821)</f>
        <v>18307.68</v>
      </c>
      <c r="H822" s="680">
        <f t="shared" ref="H822:BO822" si="319">SUM(H814:H821)</f>
        <v>18307.68</v>
      </c>
      <c r="I822" s="680">
        <f t="shared" si="319"/>
        <v>18307.68</v>
      </c>
      <c r="J822" s="680">
        <f t="shared" si="319"/>
        <v>20442.310000000001</v>
      </c>
      <c r="K822" s="680">
        <f t="shared" si="319"/>
        <v>20486.919999999998</v>
      </c>
      <c r="L822" s="680">
        <f t="shared" si="319"/>
        <v>28730.76</v>
      </c>
      <c r="M822" s="680">
        <f t="shared" si="319"/>
        <v>19153.84</v>
      </c>
      <c r="N822" s="680">
        <f t="shared" si="319"/>
        <v>22990.11</v>
      </c>
      <c r="O822" s="680">
        <f t="shared" si="319"/>
        <v>20576.919999999998</v>
      </c>
      <c r="P822" s="680">
        <f t="shared" si="319"/>
        <v>24538.46</v>
      </c>
      <c r="Q822" s="680">
        <f t="shared" si="319"/>
        <v>49386.07</v>
      </c>
      <c r="R822" s="680">
        <f t="shared" si="319"/>
        <v>44541.54</v>
      </c>
      <c r="S822" s="695">
        <f t="shared" ref="S822:AA822" si="320">ROUND(SUM(S813:S821),5)</f>
        <v>39423.089999999997</v>
      </c>
      <c r="T822" s="695">
        <f t="shared" si="320"/>
        <v>28948.34</v>
      </c>
      <c r="U822" s="695">
        <f t="shared" si="320"/>
        <v>48703.49</v>
      </c>
      <c r="V822" s="695">
        <f t="shared" si="320"/>
        <v>35630.68</v>
      </c>
      <c r="W822" s="695">
        <f t="shared" si="320"/>
        <v>63052.15</v>
      </c>
      <c r="X822" s="695">
        <f t="shared" si="320"/>
        <v>70873</v>
      </c>
      <c r="Y822" s="695">
        <f t="shared" si="320"/>
        <v>54598.73</v>
      </c>
      <c r="Z822" s="695">
        <f t="shared" si="320"/>
        <v>64526.91</v>
      </c>
      <c r="AA822" s="695">
        <f t="shared" si="320"/>
        <v>55607.29</v>
      </c>
      <c r="AB822" s="695">
        <f>ROUND(SUM(AB813:AB821),5)</f>
        <v>62485.4</v>
      </c>
      <c r="AC822" s="695">
        <f>ROUND(SUM(AC813:AC821),5)</f>
        <v>57107.34</v>
      </c>
      <c r="AD822" s="695">
        <f>ROUND(SUM(AD813:AD821),5)</f>
        <v>78573.509999999995</v>
      </c>
      <c r="AE822" s="680">
        <f t="shared" si="319"/>
        <v>0</v>
      </c>
      <c r="AF822" s="680">
        <f t="shared" si="319"/>
        <v>0</v>
      </c>
      <c r="AG822" s="680">
        <f t="shared" si="319"/>
        <v>0</v>
      </c>
      <c r="AH822" s="680">
        <f t="shared" si="319"/>
        <v>0</v>
      </c>
      <c r="AI822" s="680">
        <f t="shared" si="319"/>
        <v>0</v>
      </c>
      <c r="AJ822" s="680">
        <f t="shared" si="319"/>
        <v>0</v>
      </c>
      <c r="AK822" s="680">
        <f t="shared" si="319"/>
        <v>0</v>
      </c>
      <c r="AL822" s="680">
        <f t="shared" si="319"/>
        <v>0</v>
      </c>
      <c r="AM822" s="680">
        <f t="shared" si="319"/>
        <v>0</v>
      </c>
      <c r="AN822" s="680">
        <f t="shared" si="319"/>
        <v>0</v>
      </c>
      <c r="AO822" s="680">
        <f t="shared" si="319"/>
        <v>0</v>
      </c>
      <c r="AP822" s="680">
        <f t="shared" si="319"/>
        <v>0</v>
      </c>
      <c r="AQ822" s="680">
        <f t="shared" si="319"/>
        <v>0</v>
      </c>
      <c r="AR822" s="680">
        <f t="shared" si="319"/>
        <v>0</v>
      </c>
      <c r="AS822" s="680">
        <f t="shared" si="319"/>
        <v>0</v>
      </c>
      <c r="AT822" s="680">
        <f t="shared" si="319"/>
        <v>0</v>
      </c>
      <c r="AU822" s="680">
        <f t="shared" si="319"/>
        <v>0</v>
      </c>
      <c r="AV822" s="680">
        <f t="shared" si="319"/>
        <v>0</v>
      </c>
      <c r="AW822" s="680">
        <f t="shared" si="319"/>
        <v>0</v>
      </c>
      <c r="AX822" s="680">
        <f t="shared" si="319"/>
        <v>0</v>
      </c>
      <c r="AY822" s="680">
        <f t="shared" si="319"/>
        <v>0</v>
      </c>
      <c r="AZ822" s="680">
        <f t="shared" si="319"/>
        <v>0</v>
      </c>
      <c r="BA822" s="680">
        <f t="shared" si="319"/>
        <v>0</v>
      </c>
      <c r="BB822" s="680">
        <f t="shared" si="319"/>
        <v>0</v>
      </c>
      <c r="BC822" s="680">
        <f t="shared" si="319"/>
        <v>0</v>
      </c>
      <c r="BD822" s="680">
        <f t="shared" si="319"/>
        <v>0</v>
      </c>
      <c r="BE822" s="680">
        <f t="shared" si="319"/>
        <v>0</v>
      </c>
      <c r="BF822" s="680">
        <f t="shared" si="319"/>
        <v>0</v>
      </c>
      <c r="BG822" s="680">
        <f t="shared" si="319"/>
        <v>0</v>
      </c>
      <c r="BH822" s="680">
        <f t="shared" si="319"/>
        <v>0</v>
      </c>
      <c r="BI822" s="680">
        <f t="shared" si="319"/>
        <v>0</v>
      </c>
      <c r="BJ822" s="680">
        <f t="shared" si="319"/>
        <v>0</v>
      </c>
      <c r="BK822" s="680">
        <f t="shared" si="319"/>
        <v>0</v>
      </c>
      <c r="BL822" s="680">
        <f t="shared" si="319"/>
        <v>0</v>
      </c>
      <c r="BM822" s="680">
        <f t="shared" si="319"/>
        <v>0</v>
      </c>
      <c r="BN822" s="680">
        <f t="shared" si="319"/>
        <v>0</v>
      </c>
      <c r="BO822" s="680">
        <f t="shared" si="319"/>
        <v>0</v>
      </c>
      <c r="BP822" s="680">
        <f t="shared" ref="BP822:CA822" si="321">SUM(BP814:BP821)</f>
        <v>0</v>
      </c>
      <c r="BQ822" s="680">
        <f t="shared" si="321"/>
        <v>0</v>
      </c>
      <c r="BR822" s="680">
        <f t="shared" si="321"/>
        <v>0</v>
      </c>
      <c r="BS822" s="680">
        <f t="shared" si="321"/>
        <v>0</v>
      </c>
      <c r="BT822" s="680">
        <f t="shared" si="321"/>
        <v>0</v>
      </c>
      <c r="BU822" s="680">
        <f t="shared" si="321"/>
        <v>0</v>
      </c>
      <c r="BV822" s="680">
        <f t="shared" si="321"/>
        <v>0</v>
      </c>
      <c r="BW822" s="680">
        <f t="shared" si="321"/>
        <v>0</v>
      </c>
      <c r="BX822" s="680">
        <f t="shared" si="321"/>
        <v>0</v>
      </c>
      <c r="BY822" s="680">
        <f t="shared" si="321"/>
        <v>0</v>
      </c>
      <c r="BZ822" s="680">
        <f t="shared" si="321"/>
        <v>0</v>
      </c>
      <c r="CA822" s="680">
        <f t="shared" si="321"/>
        <v>0</v>
      </c>
    </row>
    <row r="823" spans="1:79" s="758" customFormat="1" hidden="1" outlineLevel="1" x14ac:dyDescent="0.35">
      <c r="A823" s="498"/>
      <c r="B823" s="498"/>
      <c r="C823" s="498"/>
      <c r="D823" s="498"/>
      <c r="E823" s="498"/>
      <c r="F823" s="672" t="s">
        <v>643</v>
      </c>
      <c r="G823" s="740"/>
      <c r="H823" s="740"/>
      <c r="I823" s="740"/>
      <c r="J823" s="740"/>
      <c r="K823" s="740"/>
      <c r="L823" s="740"/>
      <c r="M823" s="740"/>
      <c r="N823" s="740"/>
      <c r="O823" s="740"/>
      <c r="P823" s="741"/>
      <c r="Q823" s="741"/>
      <c r="R823" s="741"/>
      <c r="S823" s="687">
        <v>4.42</v>
      </c>
      <c r="T823" s="687">
        <v>0</v>
      </c>
      <c r="U823" s="687">
        <v>0</v>
      </c>
      <c r="V823" s="687">
        <v>0</v>
      </c>
      <c r="W823" s="687">
        <v>0</v>
      </c>
      <c r="X823" s="687">
        <v>0</v>
      </c>
      <c r="Y823" s="687">
        <v>0</v>
      </c>
      <c r="Z823" s="687">
        <v>0</v>
      </c>
      <c r="AA823" s="687">
        <v>0</v>
      </c>
      <c r="AB823" s="687">
        <v>0</v>
      </c>
      <c r="AC823" s="706">
        <v>0</v>
      </c>
      <c r="AD823" s="706">
        <v>0</v>
      </c>
      <c r="AE823" s="741"/>
      <c r="AF823" s="741"/>
      <c r="AG823" s="741"/>
      <c r="AH823" s="741"/>
      <c r="AI823" s="741"/>
      <c r="AJ823" s="741"/>
      <c r="AK823" s="741"/>
      <c r="AL823" s="741"/>
      <c r="AM823" s="741"/>
      <c r="AN823" s="741"/>
      <c r="AO823" s="741"/>
      <c r="AP823" s="741"/>
      <c r="AQ823" s="741"/>
      <c r="AR823" s="741"/>
      <c r="AS823" s="741"/>
      <c r="AT823" s="741"/>
      <c r="AU823" s="741"/>
      <c r="AV823" s="741"/>
      <c r="AW823" s="741"/>
      <c r="AX823" s="741"/>
      <c r="AY823" s="741"/>
      <c r="AZ823" s="741"/>
      <c r="BA823" s="741"/>
      <c r="BB823" s="741"/>
      <c r="BC823" s="741"/>
      <c r="BD823" s="741"/>
      <c r="BE823" s="741"/>
      <c r="BF823" s="741"/>
      <c r="BG823" s="741"/>
      <c r="BH823" s="741"/>
      <c r="BI823" s="741"/>
      <c r="BJ823" s="741"/>
      <c r="BK823" s="741"/>
      <c r="BL823" s="741"/>
      <c r="BM823" s="741"/>
      <c r="BN823" s="741"/>
      <c r="BO823" s="741"/>
      <c r="BP823" s="741"/>
      <c r="BQ823" s="741"/>
      <c r="BR823" s="741"/>
      <c r="BS823" s="741"/>
      <c r="BT823" s="741"/>
      <c r="BU823" s="741"/>
      <c r="BV823" s="741"/>
      <c r="BW823" s="741"/>
      <c r="BX823" s="741"/>
      <c r="BY823" s="741"/>
      <c r="BZ823" s="741"/>
      <c r="CA823" s="741"/>
    </row>
    <row r="824" spans="1:79" s="309" customFormat="1" hidden="1" outlineLevel="1" x14ac:dyDescent="0.35">
      <c r="A824" s="30"/>
      <c r="B824" s="30"/>
      <c r="C824" s="30"/>
      <c r="D824" s="30"/>
      <c r="E824" s="30"/>
      <c r="F824" s="675" t="s">
        <v>644</v>
      </c>
      <c r="G824" s="695">
        <f>G822+G812</f>
        <v>20759.3</v>
      </c>
      <c r="H824" s="695">
        <f t="shared" ref="H824:BO824" si="322">H822+H812</f>
        <v>19938.13</v>
      </c>
      <c r="I824" s="695">
        <f t="shared" si="322"/>
        <v>19708.23</v>
      </c>
      <c r="J824" s="695">
        <f t="shared" si="322"/>
        <v>22006.140000000003</v>
      </c>
      <c r="K824" s="695">
        <f t="shared" si="322"/>
        <v>22054.17</v>
      </c>
      <c r="L824" s="695">
        <f t="shared" si="322"/>
        <v>30928.66</v>
      </c>
      <c r="M824" s="695">
        <f t="shared" si="322"/>
        <v>20619.11</v>
      </c>
      <c r="N824" s="695">
        <f t="shared" si="322"/>
        <v>24748.86</v>
      </c>
      <c r="O824" s="695">
        <f t="shared" si="322"/>
        <v>22151.039999999997</v>
      </c>
      <c r="P824" s="695">
        <f t="shared" si="322"/>
        <v>26570.52</v>
      </c>
      <c r="Q824" s="695">
        <f t="shared" si="322"/>
        <v>53436.23</v>
      </c>
      <c r="R824" s="695">
        <f t="shared" si="322"/>
        <v>48197.46</v>
      </c>
      <c r="S824" s="695">
        <f t="shared" ref="S824:AB824" si="323">ROUND(S795+S802+S812+SUM(S822:S823),5)</f>
        <v>42916.639999999999</v>
      </c>
      <c r="T824" s="695">
        <f t="shared" si="323"/>
        <v>30671.91</v>
      </c>
      <c r="U824" s="695">
        <f t="shared" si="323"/>
        <v>51978.67</v>
      </c>
      <c r="V824" s="695">
        <f t="shared" si="323"/>
        <v>37798.379999999997</v>
      </c>
      <c r="W824" s="695">
        <f t="shared" si="323"/>
        <v>67681.19</v>
      </c>
      <c r="X824" s="695">
        <f t="shared" si="323"/>
        <v>74837.14</v>
      </c>
      <c r="Y824" s="695">
        <f t="shared" si="323"/>
        <v>57216.73</v>
      </c>
      <c r="Z824" s="695">
        <f t="shared" si="323"/>
        <v>67109.25</v>
      </c>
      <c r="AA824" s="695">
        <f t="shared" si="323"/>
        <v>58430.57</v>
      </c>
      <c r="AB824" s="695">
        <f t="shared" si="323"/>
        <v>65207.839999999997</v>
      </c>
      <c r="AC824" s="695">
        <f>ROUND(AC795+AC802+AC812+SUM(AC822:AC823),5)</f>
        <v>61718.01</v>
      </c>
      <c r="AD824" s="695">
        <f>ROUND(AD795+AD802+AD812+SUM(AD822:AD823),5)</f>
        <v>85533.88</v>
      </c>
      <c r="AE824" s="695">
        <f t="shared" si="322"/>
        <v>0</v>
      </c>
      <c r="AF824" s="695">
        <f t="shared" si="322"/>
        <v>0</v>
      </c>
      <c r="AG824" s="695">
        <f t="shared" si="322"/>
        <v>0</v>
      </c>
      <c r="AH824" s="695">
        <f t="shared" si="322"/>
        <v>0</v>
      </c>
      <c r="AI824" s="695">
        <f t="shared" si="322"/>
        <v>0</v>
      </c>
      <c r="AJ824" s="695">
        <f t="shared" si="322"/>
        <v>0</v>
      </c>
      <c r="AK824" s="695">
        <f t="shared" si="322"/>
        <v>0</v>
      </c>
      <c r="AL824" s="695">
        <f t="shared" si="322"/>
        <v>0</v>
      </c>
      <c r="AM824" s="695">
        <f t="shared" si="322"/>
        <v>0</v>
      </c>
      <c r="AN824" s="695">
        <f t="shared" si="322"/>
        <v>0</v>
      </c>
      <c r="AO824" s="695">
        <f t="shared" si="322"/>
        <v>0</v>
      </c>
      <c r="AP824" s="695">
        <f t="shared" si="322"/>
        <v>0</v>
      </c>
      <c r="AQ824" s="695">
        <f t="shared" si="322"/>
        <v>0</v>
      </c>
      <c r="AR824" s="695">
        <f t="shared" si="322"/>
        <v>0</v>
      </c>
      <c r="AS824" s="695">
        <f t="shared" si="322"/>
        <v>0</v>
      </c>
      <c r="AT824" s="695">
        <f t="shared" si="322"/>
        <v>0</v>
      </c>
      <c r="AU824" s="695">
        <f t="shared" si="322"/>
        <v>0</v>
      </c>
      <c r="AV824" s="695">
        <f t="shared" si="322"/>
        <v>0</v>
      </c>
      <c r="AW824" s="695">
        <f t="shared" si="322"/>
        <v>0</v>
      </c>
      <c r="AX824" s="695">
        <f t="shared" si="322"/>
        <v>0</v>
      </c>
      <c r="AY824" s="695">
        <f t="shared" si="322"/>
        <v>0</v>
      </c>
      <c r="AZ824" s="695">
        <f t="shared" si="322"/>
        <v>0</v>
      </c>
      <c r="BA824" s="695">
        <f t="shared" si="322"/>
        <v>0</v>
      </c>
      <c r="BB824" s="695">
        <f t="shared" si="322"/>
        <v>0</v>
      </c>
      <c r="BC824" s="695">
        <f t="shared" si="322"/>
        <v>0</v>
      </c>
      <c r="BD824" s="695">
        <f t="shared" si="322"/>
        <v>0</v>
      </c>
      <c r="BE824" s="695">
        <f t="shared" si="322"/>
        <v>0</v>
      </c>
      <c r="BF824" s="695">
        <f t="shared" si="322"/>
        <v>0</v>
      </c>
      <c r="BG824" s="695">
        <f t="shared" si="322"/>
        <v>0</v>
      </c>
      <c r="BH824" s="695">
        <f t="shared" si="322"/>
        <v>0</v>
      </c>
      <c r="BI824" s="695">
        <f t="shared" si="322"/>
        <v>0</v>
      </c>
      <c r="BJ824" s="695">
        <f t="shared" si="322"/>
        <v>0</v>
      </c>
      <c r="BK824" s="695">
        <f t="shared" si="322"/>
        <v>0</v>
      </c>
      <c r="BL824" s="695">
        <f t="shared" si="322"/>
        <v>0</v>
      </c>
      <c r="BM824" s="695">
        <f t="shared" si="322"/>
        <v>0</v>
      </c>
      <c r="BN824" s="695">
        <f t="shared" si="322"/>
        <v>0</v>
      </c>
      <c r="BO824" s="695">
        <f t="shared" si="322"/>
        <v>0</v>
      </c>
      <c r="BP824" s="695">
        <f t="shared" ref="BP824:CA824" si="324">BP822+BP812</f>
        <v>0</v>
      </c>
      <c r="BQ824" s="695">
        <f t="shared" si="324"/>
        <v>0</v>
      </c>
      <c r="BR824" s="695">
        <f t="shared" si="324"/>
        <v>0</v>
      </c>
      <c r="BS824" s="695">
        <f t="shared" si="324"/>
        <v>0</v>
      </c>
      <c r="BT824" s="695">
        <f t="shared" si="324"/>
        <v>0</v>
      </c>
      <c r="BU824" s="695">
        <f t="shared" si="324"/>
        <v>0</v>
      </c>
      <c r="BV824" s="695">
        <f t="shared" si="324"/>
        <v>0</v>
      </c>
      <c r="BW824" s="695">
        <f t="shared" si="324"/>
        <v>0</v>
      </c>
      <c r="BX824" s="695">
        <f t="shared" si="324"/>
        <v>0</v>
      </c>
      <c r="BY824" s="695">
        <f t="shared" si="324"/>
        <v>0</v>
      </c>
      <c r="BZ824" s="695">
        <f t="shared" si="324"/>
        <v>0</v>
      </c>
      <c r="CA824" s="695">
        <f t="shared" si="324"/>
        <v>0</v>
      </c>
    </row>
    <row r="825" spans="1:79" s="309" customFormat="1" hidden="1" outlineLevel="1" x14ac:dyDescent="0.35">
      <c r="A825" s="575"/>
      <c r="B825" s="575"/>
      <c r="C825" s="575"/>
      <c r="D825" s="575"/>
      <c r="E825" s="575"/>
      <c r="F825" s="671" t="s">
        <v>912</v>
      </c>
      <c r="G825" s="735"/>
      <c r="H825" s="735"/>
      <c r="I825" s="735"/>
      <c r="J825" s="735"/>
      <c r="K825" s="735"/>
      <c r="L825" s="735"/>
      <c r="M825" s="735"/>
      <c r="N825" s="735"/>
      <c r="O825" s="735"/>
      <c r="P825" s="735"/>
      <c r="Q825" s="735"/>
      <c r="R825" s="735"/>
      <c r="S825" s="700">
        <v>0</v>
      </c>
      <c r="T825" s="700">
        <v>0</v>
      </c>
      <c r="U825" s="700">
        <v>0</v>
      </c>
      <c r="V825" s="700">
        <v>0</v>
      </c>
      <c r="W825" s="700">
        <v>0</v>
      </c>
      <c r="X825" s="700">
        <v>0</v>
      </c>
      <c r="Y825" s="700">
        <v>0</v>
      </c>
      <c r="Z825" s="700">
        <v>0</v>
      </c>
      <c r="AA825" s="700">
        <v>0</v>
      </c>
      <c r="AB825" s="700">
        <v>0</v>
      </c>
      <c r="AC825" s="706">
        <v>0</v>
      </c>
      <c r="AD825" s="706">
        <v>0</v>
      </c>
      <c r="AE825" s="732"/>
      <c r="AF825" s="732"/>
      <c r="AG825" s="732"/>
      <c r="AH825" s="732"/>
      <c r="AI825" s="732"/>
      <c r="AJ825" s="732"/>
      <c r="AK825" s="732"/>
      <c r="AL825" s="732"/>
      <c r="AM825" s="732"/>
      <c r="AN825" s="732"/>
      <c r="AO825" s="732"/>
      <c r="AP825" s="732"/>
      <c r="AQ825" s="732"/>
      <c r="AR825" s="732"/>
      <c r="AS825" s="732"/>
      <c r="AT825" s="732"/>
      <c r="AU825" s="732"/>
      <c r="AV825" s="732"/>
      <c r="AW825" s="732"/>
      <c r="AX825" s="732"/>
      <c r="AY825" s="732"/>
      <c r="AZ825" s="732"/>
      <c r="BA825" s="732"/>
      <c r="BB825" s="732"/>
      <c r="BC825" s="732"/>
      <c r="BD825" s="732"/>
      <c r="BE825" s="732"/>
      <c r="BF825" s="732"/>
      <c r="BG825" s="732"/>
      <c r="BH825" s="732"/>
      <c r="BI825" s="732"/>
      <c r="BJ825" s="732"/>
      <c r="BK825" s="732"/>
      <c r="BL825" s="732"/>
      <c r="BM825" s="732"/>
      <c r="BN825" s="732"/>
      <c r="BO825" s="732"/>
      <c r="BP825" s="732"/>
      <c r="BQ825" s="732"/>
      <c r="BR825" s="732"/>
      <c r="BS825" s="732"/>
      <c r="BT825" s="732"/>
      <c r="BU825" s="732"/>
      <c r="BV825" s="732"/>
      <c r="BW825" s="732"/>
      <c r="BX825" s="732"/>
      <c r="BY825" s="732"/>
      <c r="BZ825" s="732"/>
      <c r="CA825" s="732"/>
    </row>
    <row r="826" spans="1:79" s="716" customFormat="1" hidden="1" outlineLevel="1" x14ac:dyDescent="0.35">
      <c r="F826" s="717" t="s">
        <v>606</v>
      </c>
      <c r="G826" s="750"/>
      <c r="H826" s="750"/>
      <c r="I826" s="750"/>
      <c r="J826" s="750"/>
      <c r="K826" s="750"/>
      <c r="L826" s="750"/>
      <c r="M826" s="750"/>
      <c r="N826" s="750"/>
      <c r="O826" s="750"/>
      <c r="P826" s="751"/>
      <c r="Q826" s="751"/>
      <c r="R826" s="751"/>
      <c r="S826" s="713"/>
      <c r="T826" s="713"/>
      <c r="U826" s="713"/>
      <c r="V826" s="713"/>
      <c r="W826" s="713"/>
      <c r="X826" s="713"/>
      <c r="Y826" s="713"/>
      <c r="Z826" s="713"/>
      <c r="AA826" s="713"/>
      <c r="AB826" s="713"/>
      <c r="AC826" s="712"/>
      <c r="AD826" s="712"/>
      <c r="AE826" s="751"/>
      <c r="AF826" s="751"/>
      <c r="AG826" s="751"/>
      <c r="AH826" s="751"/>
      <c r="AI826" s="751"/>
      <c r="AJ826" s="751"/>
      <c r="AK826" s="751"/>
      <c r="AL826" s="751"/>
      <c r="AM826" s="751"/>
      <c r="AN826" s="751"/>
      <c r="AO826" s="751"/>
      <c r="AP826" s="751"/>
      <c r="AQ826" s="751"/>
      <c r="AR826" s="751"/>
      <c r="AS826" s="751"/>
      <c r="AT826" s="751"/>
      <c r="AU826" s="751"/>
      <c r="AV826" s="751"/>
      <c r="AW826" s="751"/>
      <c r="AX826" s="751"/>
      <c r="AY826" s="751"/>
      <c r="AZ826" s="751"/>
      <c r="BA826" s="751"/>
      <c r="BB826" s="751"/>
      <c r="BC826" s="751"/>
      <c r="BD826" s="751"/>
      <c r="BE826" s="751"/>
      <c r="BF826" s="751"/>
      <c r="BG826" s="751"/>
      <c r="BH826" s="751"/>
      <c r="BI826" s="751"/>
      <c r="BJ826" s="751"/>
      <c r="BK826" s="751"/>
      <c r="BL826" s="751"/>
      <c r="BM826" s="751"/>
      <c r="BN826" s="751"/>
      <c r="BO826" s="751"/>
      <c r="BP826" s="751"/>
      <c r="BQ826" s="751"/>
      <c r="BR826" s="751"/>
      <c r="BS826" s="751"/>
      <c r="BT826" s="751"/>
      <c r="BU826" s="751"/>
      <c r="BV826" s="751"/>
      <c r="BW826" s="751"/>
      <c r="BX826" s="751"/>
      <c r="BY826" s="751"/>
      <c r="BZ826" s="751"/>
      <c r="CA826" s="751"/>
    </row>
    <row r="827" spans="1:79" s="452" customFormat="1" hidden="1" outlineLevel="1" x14ac:dyDescent="0.35">
      <c r="A827" s="80"/>
      <c r="B827" s="80"/>
      <c r="C827" s="80"/>
      <c r="D827" s="80"/>
      <c r="E827" s="80"/>
      <c r="F827" s="672" t="s">
        <v>645</v>
      </c>
      <c r="G827" s="732">
        <v>567.71409769424986</v>
      </c>
      <c r="H827" s="732">
        <v>325.71601666768237</v>
      </c>
      <c r="I827" s="732">
        <v>442.34431604494245</v>
      </c>
      <c r="J827" s="732">
        <v>927.69870393541692</v>
      </c>
      <c r="K827" s="732">
        <v>542.23067519166477</v>
      </c>
      <c r="L827" s="732">
        <v>575.37955142884823</v>
      </c>
      <c r="M827" s="732">
        <v>466.97401878430333</v>
      </c>
      <c r="N827" s="732">
        <v>565.15307443965139</v>
      </c>
      <c r="O827" s="732">
        <v>859.50143992938024</v>
      </c>
      <c r="P827" s="732">
        <v>549.98459765069379</v>
      </c>
      <c r="Q827" s="732">
        <v>897.86724825974136</v>
      </c>
      <c r="R827" s="732">
        <v>4057.3944743069546</v>
      </c>
      <c r="S827" s="683">
        <v>2124.6</v>
      </c>
      <c r="T827" s="683">
        <v>2888.78</v>
      </c>
      <c r="U827" s="683">
        <v>1552.44</v>
      </c>
      <c r="V827" s="683">
        <v>1726.05</v>
      </c>
      <c r="W827" s="683">
        <v>1239.06</v>
      </c>
      <c r="X827" s="683">
        <v>1472.7</v>
      </c>
      <c r="Y827" s="683">
        <v>3953.13</v>
      </c>
      <c r="Z827" s="683">
        <v>2493.44</v>
      </c>
      <c r="AA827" s="683">
        <v>2527.9499999999998</v>
      </c>
      <c r="AB827" s="683">
        <v>2124.66</v>
      </c>
      <c r="AC827" s="681">
        <v>0</v>
      </c>
      <c r="AD827" s="681">
        <v>0</v>
      </c>
      <c r="AE827" s="732"/>
      <c r="AF827" s="732"/>
      <c r="AG827" s="732"/>
      <c r="AH827" s="732"/>
      <c r="AI827" s="732"/>
      <c r="AJ827" s="732"/>
      <c r="AK827" s="732"/>
      <c r="AL827" s="732"/>
      <c r="AM827" s="732"/>
      <c r="AN827" s="732"/>
      <c r="AO827" s="732"/>
      <c r="AP827" s="732"/>
      <c r="AQ827" s="732"/>
      <c r="AR827" s="732"/>
      <c r="AS827" s="732"/>
      <c r="AT827" s="732"/>
      <c r="AU827" s="732"/>
      <c r="AV827" s="732"/>
      <c r="AW827" s="732"/>
      <c r="AX827" s="732"/>
      <c r="AY827" s="732"/>
      <c r="AZ827" s="732"/>
      <c r="BA827" s="732"/>
      <c r="BB827" s="732"/>
      <c r="BC827" s="732"/>
      <c r="BD827" s="732"/>
      <c r="BE827" s="732"/>
      <c r="BF827" s="732"/>
      <c r="BG827" s="732"/>
      <c r="BH827" s="732"/>
      <c r="BI827" s="732"/>
      <c r="BJ827" s="732"/>
      <c r="BK827" s="732"/>
      <c r="BL827" s="732"/>
      <c r="BM827" s="732"/>
      <c r="BN827" s="732"/>
      <c r="BO827" s="732"/>
      <c r="BP827" s="732"/>
      <c r="BQ827" s="732"/>
      <c r="BR827" s="732"/>
      <c r="BS827" s="732"/>
      <c r="BT827" s="732"/>
      <c r="BU827" s="732"/>
      <c r="BV827" s="732"/>
      <c r="BW827" s="732"/>
      <c r="BX827" s="732"/>
      <c r="BY827" s="732"/>
      <c r="BZ827" s="732"/>
      <c r="CA827" s="732"/>
    </row>
    <row r="828" spans="1:79" s="452" customFormat="1" hidden="1" outlineLevel="1" x14ac:dyDescent="0.35">
      <c r="A828" s="580"/>
      <c r="B828" s="580"/>
      <c r="C828" s="580"/>
      <c r="D828" s="580"/>
      <c r="E828" s="580"/>
      <c r="F828" s="672" t="s">
        <v>913</v>
      </c>
      <c r="G828" s="732"/>
      <c r="H828" s="732"/>
      <c r="I828" s="732"/>
      <c r="J828" s="732"/>
      <c r="K828" s="732"/>
      <c r="L828" s="732"/>
      <c r="M828" s="732"/>
      <c r="N828" s="732"/>
      <c r="O828" s="732"/>
      <c r="P828" s="732"/>
      <c r="Q828" s="732"/>
      <c r="R828" s="732"/>
      <c r="S828" s="692">
        <v>0</v>
      </c>
      <c r="T828" s="692">
        <v>0</v>
      </c>
      <c r="U828" s="692">
        <v>0</v>
      </c>
      <c r="V828" s="692">
        <v>0</v>
      </c>
      <c r="W828" s="692">
        <v>0</v>
      </c>
      <c r="X828" s="692">
        <v>0</v>
      </c>
      <c r="Y828" s="692">
        <v>0</v>
      </c>
      <c r="Z828" s="692">
        <v>0</v>
      </c>
      <c r="AA828" s="692">
        <v>0</v>
      </c>
      <c r="AB828" s="692">
        <v>0</v>
      </c>
      <c r="AC828" s="689">
        <v>0</v>
      </c>
      <c r="AD828" s="689">
        <v>0</v>
      </c>
      <c r="AE828" s="732"/>
      <c r="AF828" s="732"/>
      <c r="AG828" s="732"/>
      <c r="AH828" s="732"/>
      <c r="AI828" s="732"/>
      <c r="AJ828" s="732"/>
      <c r="AK828" s="732"/>
      <c r="AL828" s="732"/>
      <c r="AM828" s="732"/>
      <c r="AN828" s="732"/>
      <c r="AO828" s="732"/>
      <c r="AP828" s="732"/>
      <c r="AQ828" s="732"/>
      <c r="AR828" s="732"/>
      <c r="AS828" s="732"/>
      <c r="AT828" s="732"/>
      <c r="AU828" s="732"/>
      <c r="AV828" s="732"/>
      <c r="AW828" s="732"/>
      <c r="AX828" s="732"/>
      <c r="AY828" s="732"/>
      <c r="AZ828" s="732"/>
      <c r="BA828" s="732"/>
      <c r="BB828" s="732"/>
      <c r="BC828" s="732"/>
      <c r="BD828" s="732"/>
      <c r="BE828" s="732"/>
      <c r="BF828" s="732"/>
      <c r="BG828" s="732"/>
      <c r="BH828" s="732"/>
      <c r="BI828" s="732"/>
      <c r="BJ828" s="732"/>
      <c r="BK828" s="732"/>
      <c r="BL828" s="732"/>
      <c r="BM828" s="732"/>
      <c r="BN828" s="732"/>
      <c r="BO828" s="732"/>
      <c r="BP828" s="732"/>
      <c r="BQ828" s="732"/>
      <c r="BR828" s="732"/>
      <c r="BS828" s="732"/>
      <c r="BT828" s="732"/>
      <c r="BU828" s="732"/>
      <c r="BV828" s="732"/>
      <c r="BW828" s="732"/>
      <c r="BX828" s="732"/>
      <c r="BY828" s="732"/>
      <c r="BZ828" s="732"/>
      <c r="CA828" s="732"/>
    </row>
    <row r="829" spans="1:79" s="452" customFormat="1" hidden="1" outlineLevel="1" x14ac:dyDescent="0.35">
      <c r="A829" s="580"/>
      <c r="B829" s="580"/>
      <c r="C829" s="580"/>
      <c r="D829" s="580"/>
      <c r="E829" s="580"/>
      <c r="F829" s="672" t="s">
        <v>770</v>
      </c>
      <c r="G829" s="732"/>
      <c r="H829" s="732"/>
      <c r="I829" s="732"/>
      <c r="J829" s="732"/>
      <c r="K829" s="732"/>
      <c r="L829" s="732"/>
      <c r="M829" s="732"/>
      <c r="N829" s="732"/>
      <c r="O829" s="732"/>
      <c r="P829" s="732"/>
      <c r="Q829" s="732"/>
      <c r="R829" s="732"/>
      <c r="S829" s="692">
        <v>0</v>
      </c>
      <c r="T829" s="692">
        <v>0</v>
      </c>
      <c r="U829" s="692">
        <v>0</v>
      </c>
      <c r="V829" s="692">
        <v>0</v>
      </c>
      <c r="W829" s="692">
        <v>130</v>
      </c>
      <c r="X829" s="692">
        <v>20</v>
      </c>
      <c r="Y829" s="692">
        <v>20</v>
      </c>
      <c r="Z829" s="692">
        <v>20</v>
      </c>
      <c r="AA829" s="692">
        <v>20</v>
      </c>
      <c r="AB829" s="692">
        <v>20</v>
      </c>
      <c r="AC829" s="689">
        <v>20</v>
      </c>
      <c r="AD829" s="689">
        <v>0</v>
      </c>
      <c r="AE829" s="732"/>
      <c r="AF829" s="732"/>
      <c r="AG829" s="732"/>
      <c r="AH829" s="732"/>
      <c r="AI829" s="732"/>
      <c r="AJ829" s="732"/>
      <c r="AK829" s="732"/>
      <c r="AL829" s="732"/>
      <c r="AM829" s="732"/>
      <c r="AN829" s="732"/>
      <c r="AO829" s="732"/>
      <c r="AP829" s="732"/>
      <c r="AQ829" s="732"/>
      <c r="AR829" s="732"/>
      <c r="AS829" s="732"/>
      <c r="AT829" s="732"/>
      <c r="AU829" s="732"/>
      <c r="AV829" s="732"/>
      <c r="AW829" s="732"/>
      <c r="AX829" s="732"/>
      <c r="AY829" s="732"/>
      <c r="AZ829" s="732"/>
      <c r="BA829" s="732"/>
      <c r="BB829" s="732"/>
      <c r="BC829" s="732"/>
      <c r="BD829" s="732"/>
      <c r="BE829" s="732"/>
      <c r="BF829" s="732"/>
      <c r="BG829" s="732"/>
      <c r="BH829" s="732"/>
      <c r="BI829" s="732"/>
      <c r="BJ829" s="732"/>
      <c r="BK829" s="732"/>
      <c r="BL829" s="732"/>
      <c r="BM829" s="732"/>
      <c r="BN829" s="732"/>
      <c r="BO829" s="732"/>
      <c r="BP829" s="732"/>
      <c r="BQ829" s="732"/>
      <c r="BR829" s="732"/>
      <c r="BS829" s="732"/>
      <c r="BT829" s="732"/>
      <c r="BU829" s="732"/>
      <c r="BV829" s="732"/>
      <c r="BW829" s="732"/>
      <c r="BX829" s="732"/>
      <c r="BY829" s="732"/>
      <c r="BZ829" s="732"/>
      <c r="CA829" s="732"/>
    </row>
    <row r="830" spans="1:79" s="309" customFormat="1" hidden="1" outlineLevel="1" x14ac:dyDescent="0.35">
      <c r="A830" s="30"/>
      <c r="B830" s="30"/>
      <c r="C830" s="30"/>
      <c r="D830" s="30"/>
      <c r="E830" s="30"/>
      <c r="F830" s="678" t="s">
        <v>646</v>
      </c>
      <c r="G830" s="680">
        <f>SUM(G827:G829)</f>
        <v>567.71409769424986</v>
      </c>
      <c r="H830" s="680">
        <f t="shared" ref="H830:BN830" si="325">SUM(H827:H829)</f>
        <v>325.71601666768237</v>
      </c>
      <c r="I830" s="680">
        <f t="shared" si="325"/>
        <v>442.34431604494245</v>
      </c>
      <c r="J830" s="680">
        <f t="shared" si="325"/>
        <v>927.69870393541692</v>
      </c>
      <c r="K830" s="680">
        <f t="shared" si="325"/>
        <v>542.23067519166477</v>
      </c>
      <c r="L830" s="680">
        <f t="shared" si="325"/>
        <v>575.37955142884823</v>
      </c>
      <c r="M830" s="680">
        <f t="shared" si="325"/>
        <v>466.97401878430333</v>
      </c>
      <c r="N830" s="680">
        <f t="shared" si="325"/>
        <v>565.15307443965139</v>
      </c>
      <c r="O830" s="680">
        <f t="shared" si="325"/>
        <v>859.50143992938024</v>
      </c>
      <c r="P830" s="680">
        <f t="shared" si="325"/>
        <v>549.98459765069379</v>
      </c>
      <c r="Q830" s="680">
        <f t="shared" si="325"/>
        <v>897.86724825974136</v>
      </c>
      <c r="R830" s="680">
        <f t="shared" si="325"/>
        <v>4057.3944743069546</v>
      </c>
      <c r="S830" s="694">
        <f t="shared" ref="S830:AA830" si="326">ROUND(SUM(S826:S829),5)</f>
        <v>2124.6</v>
      </c>
      <c r="T830" s="694">
        <f t="shared" si="326"/>
        <v>2888.78</v>
      </c>
      <c r="U830" s="694">
        <f t="shared" si="326"/>
        <v>1552.44</v>
      </c>
      <c r="V830" s="694">
        <f t="shared" si="326"/>
        <v>1726.05</v>
      </c>
      <c r="W830" s="694">
        <f t="shared" si="326"/>
        <v>1369.06</v>
      </c>
      <c r="X830" s="694">
        <f t="shared" si="326"/>
        <v>1492.7</v>
      </c>
      <c r="Y830" s="694">
        <f t="shared" si="326"/>
        <v>3973.13</v>
      </c>
      <c r="Z830" s="694">
        <f t="shared" si="326"/>
        <v>2513.44</v>
      </c>
      <c r="AA830" s="694">
        <f t="shared" si="326"/>
        <v>2547.9499999999998</v>
      </c>
      <c r="AB830" s="694">
        <f>ROUND(SUM(AB826:AB829),5)</f>
        <v>2144.66</v>
      </c>
      <c r="AC830" s="694">
        <f>ROUND(SUM(AC826:AC829),5)</f>
        <v>20</v>
      </c>
      <c r="AD830" s="694">
        <f>ROUND(SUM(AD826:AD829),5)</f>
        <v>0</v>
      </c>
      <c r="AE830" s="680">
        <f t="shared" si="325"/>
        <v>0</v>
      </c>
      <c r="AF830" s="680">
        <f t="shared" si="325"/>
        <v>0</v>
      </c>
      <c r="AG830" s="680">
        <f t="shared" si="325"/>
        <v>0</v>
      </c>
      <c r="AH830" s="680">
        <f t="shared" si="325"/>
        <v>0</v>
      </c>
      <c r="AI830" s="680">
        <f t="shared" si="325"/>
        <v>0</v>
      </c>
      <c r="AJ830" s="680">
        <f t="shared" si="325"/>
        <v>0</v>
      </c>
      <c r="AK830" s="680">
        <f t="shared" si="325"/>
        <v>0</v>
      </c>
      <c r="AL830" s="680">
        <f t="shared" si="325"/>
        <v>0</v>
      </c>
      <c r="AM830" s="680">
        <f t="shared" si="325"/>
        <v>0</v>
      </c>
      <c r="AN830" s="680">
        <f t="shared" si="325"/>
        <v>0</v>
      </c>
      <c r="AO830" s="680">
        <f t="shared" si="325"/>
        <v>0</v>
      </c>
      <c r="AP830" s="680">
        <f t="shared" si="325"/>
        <v>0</v>
      </c>
      <c r="AQ830" s="680">
        <f t="shared" si="325"/>
        <v>0</v>
      </c>
      <c r="AR830" s="680">
        <f t="shared" si="325"/>
        <v>0</v>
      </c>
      <c r="AS830" s="680">
        <f t="shared" si="325"/>
        <v>0</v>
      </c>
      <c r="AT830" s="680">
        <f t="shared" si="325"/>
        <v>0</v>
      </c>
      <c r="AU830" s="680">
        <f t="shared" si="325"/>
        <v>0</v>
      </c>
      <c r="AV830" s="680">
        <f t="shared" si="325"/>
        <v>0</v>
      </c>
      <c r="AW830" s="680">
        <f t="shared" si="325"/>
        <v>0</v>
      </c>
      <c r="AX830" s="680">
        <f t="shared" si="325"/>
        <v>0</v>
      </c>
      <c r="AY830" s="680">
        <f t="shared" si="325"/>
        <v>0</v>
      </c>
      <c r="AZ830" s="680">
        <f t="shared" si="325"/>
        <v>0</v>
      </c>
      <c r="BA830" s="680">
        <f t="shared" si="325"/>
        <v>0</v>
      </c>
      <c r="BB830" s="680">
        <f t="shared" si="325"/>
        <v>0</v>
      </c>
      <c r="BC830" s="680">
        <f t="shared" si="325"/>
        <v>0</v>
      </c>
      <c r="BD830" s="680">
        <f t="shared" si="325"/>
        <v>0</v>
      </c>
      <c r="BE830" s="680">
        <f t="shared" si="325"/>
        <v>0</v>
      </c>
      <c r="BF830" s="680">
        <f t="shared" si="325"/>
        <v>0</v>
      </c>
      <c r="BG830" s="680">
        <f t="shared" si="325"/>
        <v>0</v>
      </c>
      <c r="BH830" s="680">
        <f t="shared" si="325"/>
        <v>0</v>
      </c>
      <c r="BI830" s="680">
        <f t="shared" si="325"/>
        <v>0</v>
      </c>
      <c r="BJ830" s="680">
        <f t="shared" si="325"/>
        <v>0</v>
      </c>
      <c r="BK830" s="680">
        <f t="shared" si="325"/>
        <v>0</v>
      </c>
      <c r="BL830" s="680">
        <f t="shared" si="325"/>
        <v>0</v>
      </c>
      <c r="BM830" s="680">
        <f t="shared" si="325"/>
        <v>0</v>
      </c>
      <c r="BN830" s="680">
        <f t="shared" si="325"/>
        <v>0</v>
      </c>
      <c r="BO830" s="680">
        <f>SUM(BO827:BO829)</f>
        <v>0</v>
      </c>
      <c r="BP830" s="680">
        <f t="shared" ref="BP830:BZ830" si="327">SUM(BP827:BP829)</f>
        <v>0</v>
      </c>
      <c r="BQ830" s="680">
        <f t="shared" si="327"/>
        <v>0</v>
      </c>
      <c r="BR830" s="680">
        <f t="shared" si="327"/>
        <v>0</v>
      </c>
      <c r="BS830" s="680">
        <f t="shared" si="327"/>
        <v>0</v>
      </c>
      <c r="BT830" s="680">
        <f t="shared" si="327"/>
        <v>0</v>
      </c>
      <c r="BU830" s="680">
        <f t="shared" si="327"/>
        <v>0</v>
      </c>
      <c r="BV830" s="680">
        <f t="shared" si="327"/>
        <v>0</v>
      </c>
      <c r="BW830" s="680">
        <f t="shared" si="327"/>
        <v>0</v>
      </c>
      <c r="BX830" s="680">
        <f t="shared" si="327"/>
        <v>0</v>
      </c>
      <c r="BY830" s="680">
        <f t="shared" si="327"/>
        <v>0</v>
      </c>
      <c r="BZ830" s="680">
        <f t="shared" si="327"/>
        <v>0</v>
      </c>
      <c r="CA830" s="680">
        <f>SUM(CA827:CA829)</f>
        <v>0</v>
      </c>
    </row>
    <row r="831" spans="1:79" s="309" customFormat="1" hidden="1" outlineLevel="1" x14ac:dyDescent="0.35">
      <c r="A831" s="30"/>
      <c r="B831" s="30"/>
      <c r="C831" s="30"/>
      <c r="D831" s="30"/>
      <c r="E831" s="30"/>
      <c r="F831" s="674" t="s">
        <v>607</v>
      </c>
      <c r="G831" s="732"/>
      <c r="H831" s="732">
        <v>30.272292715912545</v>
      </c>
      <c r="I831" s="732">
        <v>30.827843056834766</v>
      </c>
      <c r="J831" s="732">
        <v>26.90166949799049</v>
      </c>
      <c r="K831" s="732">
        <v>48.471245781313726</v>
      </c>
      <c r="L831" s="732"/>
      <c r="M831" s="732">
        <v>5.2057850836963269</v>
      </c>
      <c r="N831" s="732">
        <v>400</v>
      </c>
      <c r="O831" s="732"/>
      <c r="P831" s="732">
        <v>1.6362716702390572</v>
      </c>
      <c r="Q831" s="732"/>
      <c r="R831" s="732"/>
      <c r="S831" s="683">
        <v>0</v>
      </c>
      <c r="T831" s="683">
        <v>0</v>
      </c>
      <c r="U831" s="683">
        <v>104.43</v>
      </c>
      <c r="V831" s="683">
        <v>0</v>
      </c>
      <c r="W831" s="683">
        <v>0</v>
      </c>
      <c r="X831" s="683">
        <v>0</v>
      </c>
      <c r="Y831" s="683">
        <v>0</v>
      </c>
      <c r="Z831" s="683">
        <v>978.35</v>
      </c>
      <c r="AA831" s="683">
        <v>0</v>
      </c>
      <c r="AB831" s="683">
        <v>0</v>
      </c>
      <c r="AC831" s="681">
        <v>0</v>
      </c>
      <c r="AD831" s="681">
        <v>0</v>
      </c>
      <c r="AE831" s="732"/>
      <c r="AF831" s="732"/>
      <c r="AG831" s="732"/>
      <c r="AH831" s="732"/>
      <c r="AI831" s="732"/>
      <c r="AJ831" s="732"/>
      <c r="AK831" s="732"/>
      <c r="AL831" s="732"/>
      <c r="AM831" s="732"/>
      <c r="AN831" s="732"/>
      <c r="AO831" s="732"/>
      <c r="AP831" s="732"/>
      <c r="AQ831" s="732"/>
      <c r="AR831" s="732"/>
      <c r="AS831" s="732"/>
      <c r="AT831" s="732"/>
      <c r="AU831" s="732"/>
      <c r="AV831" s="732"/>
      <c r="AW831" s="732"/>
      <c r="AX831" s="732"/>
      <c r="AY831" s="732"/>
      <c r="AZ831" s="732"/>
      <c r="BA831" s="732"/>
      <c r="BB831" s="732"/>
      <c r="BC831" s="732"/>
      <c r="BD831" s="732"/>
      <c r="BE831" s="732"/>
      <c r="BF831" s="732"/>
      <c r="BG831" s="732"/>
      <c r="BH831" s="732"/>
      <c r="BI831" s="732"/>
      <c r="BJ831" s="732"/>
      <c r="BK831" s="732"/>
      <c r="BL831" s="732"/>
      <c r="BM831" s="732"/>
      <c r="BN831" s="732"/>
      <c r="BO831" s="732"/>
      <c r="BP831" s="732"/>
      <c r="BQ831" s="732"/>
      <c r="BR831" s="732"/>
      <c r="BS831" s="732"/>
      <c r="BT831" s="732"/>
      <c r="BU831" s="732"/>
      <c r="BV831" s="732"/>
      <c r="BW831" s="732"/>
      <c r="BX831" s="732"/>
      <c r="BY831" s="732"/>
      <c r="BZ831" s="732"/>
      <c r="CA831" s="732"/>
    </row>
    <row r="832" spans="1:79" s="309" customFormat="1" hidden="1" outlineLevel="1" x14ac:dyDescent="0.35">
      <c r="A832" s="30"/>
      <c r="B832" s="30"/>
      <c r="C832" s="30"/>
      <c r="D832" s="30"/>
      <c r="E832" s="30"/>
      <c r="F832" s="674" t="s">
        <v>608</v>
      </c>
      <c r="G832" s="732">
        <v>189.68136626787017</v>
      </c>
      <c r="H832" s="732">
        <v>30.40736543394544</v>
      </c>
      <c r="I832" s="732">
        <v>18.87418962663353</v>
      </c>
      <c r="J832" s="732">
        <v>2114.6729850632873</v>
      </c>
      <c r="K832" s="732">
        <v>98.806770246524138</v>
      </c>
      <c r="L832" s="732">
        <v>1475.4342405611192</v>
      </c>
      <c r="M832" s="732">
        <v>1249.383214302035</v>
      </c>
      <c r="N832" s="732">
        <v>1569.7922023306055</v>
      </c>
      <c r="O832" s="732">
        <v>9.5096398287221486</v>
      </c>
      <c r="P832" s="732">
        <v>1004.538503482869</v>
      </c>
      <c r="Q832" s="732"/>
      <c r="R832" s="732"/>
      <c r="S832" s="683">
        <v>0</v>
      </c>
      <c r="T832" s="683">
        <v>0</v>
      </c>
      <c r="U832" s="683">
        <v>0</v>
      </c>
      <c r="V832" s="683">
        <v>0</v>
      </c>
      <c r="W832" s="683">
        <v>0</v>
      </c>
      <c r="X832" s="683">
        <v>0</v>
      </c>
      <c r="Y832" s="683">
        <v>0</v>
      </c>
      <c r="Z832" s="683">
        <v>0</v>
      </c>
      <c r="AA832" s="683">
        <v>0</v>
      </c>
      <c r="AB832" s="683">
        <v>0</v>
      </c>
      <c r="AC832" s="681">
        <v>0</v>
      </c>
      <c r="AD832" s="681">
        <v>0</v>
      </c>
      <c r="AE832" s="732"/>
      <c r="AF832" s="732"/>
      <c r="AG832" s="732"/>
      <c r="AH832" s="732"/>
      <c r="AI832" s="732"/>
      <c r="AJ832" s="732"/>
      <c r="AK832" s="732"/>
      <c r="AL832" s="732"/>
      <c r="AM832" s="732"/>
      <c r="AN832" s="732"/>
      <c r="AO832" s="732"/>
      <c r="AP832" s="732"/>
      <c r="AQ832" s="732"/>
      <c r="AR832" s="732"/>
      <c r="AS832" s="732"/>
      <c r="AT832" s="732"/>
      <c r="AU832" s="732"/>
      <c r="AV832" s="732"/>
      <c r="AW832" s="732"/>
      <c r="AX832" s="732"/>
      <c r="AY832" s="732"/>
      <c r="AZ832" s="732"/>
      <c r="BA832" s="732"/>
      <c r="BB832" s="732"/>
      <c r="BC832" s="732"/>
      <c r="BD832" s="732"/>
      <c r="BE832" s="732"/>
      <c r="BF832" s="732"/>
      <c r="BG832" s="732"/>
      <c r="BH832" s="732"/>
      <c r="BI832" s="732"/>
      <c r="BJ832" s="732"/>
      <c r="BK832" s="732"/>
      <c r="BL832" s="732"/>
      <c r="BM832" s="732"/>
      <c r="BN832" s="732"/>
      <c r="BO832" s="732"/>
      <c r="BP832" s="732"/>
      <c r="BQ832" s="732"/>
      <c r="BR832" s="732"/>
      <c r="BS832" s="732"/>
      <c r="BT832" s="732"/>
      <c r="BU832" s="732"/>
      <c r="BV832" s="732"/>
      <c r="BW832" s="732"/>
      <c r="BX832" s="732"/>
      <c r="BY832" s="732"/>
      <c r="BZ832" s="732"/>
      <c r="CA832" s="732"/>
    </row>
    <row r="833" spans="1:79" s="726" customFormat="1" hidden="1" outlineLevel="1" x14ac:dyDescent="0.35">
      <c r="F833" s="717" t="s">
        <v>656</v>
      </c>
      <c r="G833" s="751"/>
      <c r="H833" s="751"/>
      <c r="I833" s="751"/>
      <c r="J833" s="751"/>
      <c r="K833" s="751"/>
      <c r="L833" s="751"/>
      <c r="M833" s="751"/>
      <c r="N833" s="751"/>
      <c r="O833" s="751"/>
      <c r="P833" s="751"/>
      <c r="Q833" s="751"/>
      <c r="R833" s="751"/>
      <c r="S833" s="720"/>
      <c r="T833" s="720"/>
      <c r="U833" s="720"/>
      <c r="V833" s="720"/>
      <c r="W833" s="720"/>
      <c r="X833" s="720"/>
      <c r="Y833" s="720"/>
      <c r="Z833" s="720"/>
      <c r="AA833" s="720"/>
      <c r="AB833" s="720"/>
      <c r="AC833" s="718"/>
      <c r="AD833" s="718"/>
      <c r="AE833" s="751"/>
      <c r="AF833" s="751"/>
      <c r="AG833" s="751"/>
      <c r="AH833" s="751"/>
      <c r="AI833" s="751"/>
      <c r="AJ833" s="751"/>
      <c r="AK833" s="751"/>
      <c r="AL833" s="751"/>
      <c r="AM833" s="751"/>
      <c r="AN833" s="751"/>
      <c r="AO833" s="751"/>
      <c r="AP833" s="751"/>
      <c r="AQ833" s="751"/>
      <c r="AR833" s="751"/>
      <c r="AS833" s="751"/>
      <c r="AT833" s="751"/>
      <c r="AU833" s="751"/>
      <c r="AV833" s="751"/>
      <c r="AW833" s="751"/>
      <c r="AX833" s="751"/>
      <c r="AY833" s="751"/>
      <c r="AZ833" s="751"/>
      <c r="BA833" s="751"/>
      <c r="BB833" s="751"/>
      <c r="BC833" s="751"/>
      <c r="BD833" s="751"/>
      <c r="BE833" s="751"/>
      <c r="BF833" s="751"/>
      <c r="BG833" s="751"/>
      <c r="BH833" s="751"/>
      <c r="BI833" s="751"/>
      <c r="BJ833" s="751"/>
      <c r="BK833" s="751"/>
      <c r="BL833" s="751"/>
      <c r="BM833" s="751"/>
      <c r="BN833" s="751"/>
      <c r="BO833" s="751"/>
      <c r="BP833" s="751"/>
      <c r="BQ833" s="751"/>
      <c r="BR833" s="751"/>
      <c r="BS833" s="751"/>
      <c r="BT833" s="751"/>
      <c r="BU833" s="751"/>
      <c r="BV833" s="751"/>
      <c r="BW833" s="751"/>
      <c r="BX833" s="751"/>
      <c r="BY833" s="751"/>
      <c r="BZ833" s="751"/>
      <c r="CA833" s="751"/>
    </row>
    <row r="834" spans="1:79" s="309" customFormat="1" hidden="1" outlineLevel="1" x14ac:dyDescent="0.35">
      <c r="A834" s="575"/>
      <c r="B834" s="575"/>
      <c r="C834" s="575"/>
      <c r="D834" s="575"/>
      <c r="E834" s="575"/>
      <c r="F834" s="672" t="s">
        <v>657</v>
      </c>
      <c r="G834" s="732"/>
      <c r="H834" s="732"/>
      <c r="I834" s="732"/>
      <c r="J834" s="732"/>
      <c r="K834" s="732"/>
      <c r="L834" s="732"/>
      <c r="M834" s="732"/>
      <c r="N834" s="732"/>
      <c r="O834" s="732"/>
      <c r="P834" s="732"/>
      <c r="Q834" s="732"/>
      <c r="R834" s="732"/>
      <c r="S834" s="683">
        <v>0</v>
      </c>
      <c r="T834" s="683">
        <v>0</v>
      </c>
      <c r="U834" s="683">
        <v>0</v>
      </c>
      <c r="V834" s="683">
        <v>0</v>
      </c>
      <c r="W834" s="683">
        <v>0</v>
      </c>
      <c r="X834" s="683">
        <v>0</v>
      </c>
      <c r="Y834" s="683">
        <v>0</v>
      </c>
      <c r="Z834" s="683">
        <v>0</v>
      </c>
      <c r="AA834" s="683">
        <v>0</v>
      </c>
      <c r="AB834" s="683">
        <v>0</v>
      </c>
      <c r="AC834" s="681">
        <v>0</v>
      </c>
      <c r="AD834" s="681">
        <v>0</v>
      </c>
      <c r="AE834" s="732"/>
      <c r="AF834" s="732"/>
      <c r="AG834" s="732"/>
      <c r="AH834" s="732"/>
      <c r="AI834" s="732"/>
      <c r="AJ834" s="732"/>
      <c r="AK834" s="732"/>
      <c r="AL834" s="732"/>
      <c r="AM834" s="732"/>
      <c r="AN834" s="732"/>
      <c r="AO834" s="732"/>
      <c r="AP834" s="732"/>
      <c r="AQ834" s="732"/>
      <c r="AR834" s="732"/>
      <c r="AS834" s="732"/>
      <c r="AT834" s="732"/>
      <c r="AU834" s="732"/>
      <c r="AV834" s="732"/>
      <c r="AW834" s="732"/>
      <c r="AX834" s="732"/>
      <c r="AY834" s="732"/>
      <c r="AZ834" s="732"/>
      <c r="BA834" s="732"/>
      <c r="BB834" s="732"/>
      <c r="BC834" s="732"/>
      <c r="BD834" s="732"/>
      <c r="BE834" s="732"/>
      <c r="BF834" s="732"/>
      <c r="BG834" s="732"/>
      <c r="BH834" s="732"/>
      <c r="BI834" s="732"/>
      <c r="BJ834" s="732"/>
      <c r="BK834" s="732"/>
      <c r="BL834" s="732"/>
      <c r="BM834" s="732"/>
      <c r="BN834" s="732"/>
      <c r="BO834" s="732"/>
      <c r="BP834" s="732"/>
      <c r="BQ834" s="732"/>
      <c r="BR834" s="732"/>
      <c r="BS834" s="732"/>
      <c r="BT834" s="732"/>
      <c r="BU834" s="732"/>
      <c r="BV834" s="732"/>
      <c r="BW834" s="732"/>
      <c r="BX834" s="732"/>
      <c r="BY834" s="732"/>
      <c r="BZ834" s="732"/>
      <c r="CA834" s="732"/>
    </row>
    <row r="835" spans="1:79" s="309" customFormat="1" hidden="1" outlineLevel="1" x14ac:dyDescent="0.35">
      <c r="A835" s="575"/>
      <c r="B835" s="575"/>
      <c r="C835" s="575"/>
      <c r="D835" s="575"/>
      <c r="E835" s="575"/>
      <c r="F835" s="672" t="s">
        <v>914</v>
      </c>
      <c r="G835" s="732"/>
      <c r="H835" s="732"/>
      <c r="I835" s="732"/>
      <c r="J835" s="732"/>
      <c r="K835" s="732"/>
      <c r="L835" s="732"/>
      <c r="M835" s="732"/>
      <c r="N835" s="732"/>
      <c r="O835" s="732"/>
      <c r="P835" s="732"/>
      <c r="Q835" s="732"/>
      <c r="R835" s="732"/>
      <c r="S835" s="683">
        <v>0</v>
      </c>
      <c r="T835" s="683">
        <v>0</v>
      </c>
      <c r="U835" s="683">
        <v>0</v>
      </c>
      <c r="V835" s="683">
        <v>0</v>
      </c>
      <c r="W835" s="683">
        <v>0</v>
      </c>
      <c r="X835" s="683">
        <v>0</v>
      </c>
      <c r="Y835" s="683">
        <v>0</v>
      </c>
      <c r="Z835" s="683">
        <v>0</v>
      </c>
      <c r="AA835" s="683">
        <v>0</v>
      </c>
      <c r="AB835" s="683">
        <v>0</v>
      </c>
      <c r="AC835" s="681">
        <v>0</v>
      </c>
      <c r="AD835" s="681">
        <v>0</v>
      </c>
      <c r="AE835" s="732"/>
      <c r="AF835" s="732"/>
      <c r="AG835" s="732"/>
      <c r="AH835" s="732"/>
      <c r="AI835" s="732"/>
      <c r="AJ835" s="732"/>
      <c r="AK835" s="732"/>
      <c r="AL835" s="732"/>
      <c r="AM835" s="732"/>
      <c r="AN835" s="732"/>
      <c r="AO835" s="732"/>
      <c r="AP835" s="732"/>
      <c r="AQ835" s="732"/>
      <c r="AR835" s="732"/>
      <c r="AS835" s="732"/>
      <c r="AT835" s="732"/>
      <c r="AU835" s="732"/>
      <c r="AV835" s="732"/>
      <c r="AW835" s="732"/>
      <c r="AX835" s="732"/>
      <c r="AY835" s="732"/>
      <c r="AZ835" s="732"/>
      <c r="BA835" s="732"/>
      <c r="BB835" s="732"/>
      <c r="BC835" s="732"/>
      <c r="BD835" s="732"/>
      <c r="BE835" s="732"/>
      <c r="BF835" s="732"/>
      <c r="BG835" s="732"/>
      <c r="BH835" s="732"/>
      <c r="BI835" s="732"/>
      <c r="BJ835" s="732"/>
      <c r="BK835" s="732"/>
      <c r="BL835" s="732"/>
      <c r="BM835" s="732"/>
      <c r="BN835" s="732"/>
      <c r="BO835" s="732"/>
      <c r="BP835" s="732"/>
      <c r="BQ835" s="732"/>
      <c r="BR835" s="732"/>
      <c r="BS835" s="732"/>
      <c r="BT835" s="732"/>
      <c r="BU835" s="732"/>
      <c r="BV835" s="732"/>
      <c r="BW835" s="732"/>
      <c r="BX835" s="732"/>
      <c r="BY835" s="732"/>
      <c r="BZ835" s="732"/>
      <c r="CA835" s="732"/>
    </row>
    <row r="836" spans="1:79" s="309" customFormat="1" hidden="1" outlineLevel="1" x14ac:dyDescent="0.35">
      <c r="A836" s="575"/>
      <c r="B836" s="575"/>
      <c r="C836" s="575"/>
      <c r="D836" s="575"/>
      <c r="E836" s="575"/>
      <c r="F836" s="672" t="s">
        <v>915</v>
      </c>
      <c r="G836" s="732"/>
      <c r="H836" s="732"/>
      <c r="I836" s="732"/>
      <c r="J836" s="732"/>
      <c r="K836" s="732"/>
      <c r="L836" s="732"/>
      <c r="M836" s="732"/>
      <c r="N836" s="732"/>
      <c r="O836" s="732"/>
      <c r="P836" s="732"/>
      <c r="Q836" s="732"/>
      <c r="R836" s="732"/>
      <c r="S836" s="683">
        <v>0</v>
      </c>
      <c r="T836" s="683">
        <v>0</v>
      </c>
      <c r="U836" s="683">
        <v>0</v>
      </c>
      <c r="V836" s="683">
        <v>0</v>
      </c>
      <c r="W836" s="683">
        <v>0</v>
      </c>
      <c r="X836" s="683">
        <v>0</v>
      </c>
      <c r="Y836" s="683">
        <v>0</v>
      </c>
      <c r="Z836" s="683">
        <v>0</v>
      </c>
      <c r="AA836" s="683">
        <v>0</v>
      </c>
      <c r="AB836" s="683">
        <v>0</v>
      </c>
      <c r="AC836" s="681">
        <v>0</v>
      </c>
      <c r="AD836" s="681">
        <v>0</v>
      </c>
      <c r="AE836" s="732"/>
      <c r="AF836" s="732"/>
      <c r="AG836" s="732"/>
      <c r="AH836" s="732"/>
      <c r="AI836" s="732"/>
      <c r="AJ836" s="732"/>
      <c r="AK836" s="732"/>
      <c r="AL836" s="732"/>
      <c r="AM836" s="732"/>
      <c r="AN836" s="732"/>
      <c r="AO836" s="732"/>
      <c r="AP836" s="732"/>
      <c r="AQ836" s="732"/>
      <c r="AR836" s="732"/>
      <c r="AS836" s="732"/>
      <c r="AT836" s="732"/>
      <c r="AU836" s="732"/>
      <c r="AV836" s="732"/>
      <c r="AW836" s="732"/>
      <c r="AX836" s="732"/>
      <c r="AY836" s="732"/>
      <c r="AZ836" s="732"/>
      <c r="BA836" s="732"/>
      <c r="BB836" s="732"/>
      <c r="BC836" s="732"/>
      <c r="BD836" s="732"/>
      <c r="BE836" s="732"/>
      <c r="BF836" s="732"/>
      <c r="BG836" s="732"/>
      <c r="BH836" s="732"/>
      <c r="BI836" s="732"/>
      <c r="BJ836" s="732"/>
      <c r="BK836" s="732"/>
      <c r="BL836" s="732"/>
      <c r="BM836" s="732"/>
      <c r="BN836" s="732"/>
      <c r="BO836" s="732"/>
      <c r="BP836" s="732"/>
      <c r="BQ836" s="732"/>
      <c r="BR836" s="732"/>
      <c r="BS836" s="732"/>
      <c r="BT836" s="732"/>
      <c r="BU836" s="732"/>
      <c r="BV836" s="732"/>
      <c r="BW836" s="732"/>
      <c r="BX836" s="732"/>
      <c r="BY836" s="732"/>
      <c r="BZ836" s="732"/>
      <c r="CA836" s="732"/>
    </row>
    <row r="837" spans="1:79" s="309" customFormat="1" hidden="1" outlineLevel="1" x14ac:dyDescent="0.35">
      <c r="A837" s="30"/>
      <c r="B837" s="30"/>
      <c r="C837" s="30"/>
      <c r="D837" s="30"/>
      <c r="E837" s="30"/>
      <c r="F837" s="672" t="s">
        <v>658</v>
      </c>
      <c r="G837" s="732"/>
      <c r="H837" s="732"/>
      <c r="I837" s="732"/>
      <c r="J837" s="732">
        <v>255.56586023090964</v>
      </c>
      <c r="K837" s="732"/>
      <c r="L837" s="732">
        <v>399.60649988113352</v>
      </c>
      <c r="M837" s="732"/>
      <c r="N837" s="732"/>
      <c r="O837" s="732"/>
      <c r="P837" s="732"/>
      <c r="Q837" s="732"/>
      <c r="R837" s="732">
        <v>344.43161669744131</v>
      </c>
      <c r="S837" s="683">
        <v>0</v>
      </c>
      <c r="T837" s="683">
        <v>0</v>
      </c>
      <c r="U837" s="683">
        <v>0</v>
      </c>
      <c r="V837" s="683">
        <v>0</v>
      </c>
      <c r="W837" s="683">
        <v>0</v>
      </c>
      <c r="X837" s="683">
        <v>0</v>
      </c>
      <c r="Y837" s="683">
        <v>0</v>
      </c>
      <c r="Z837" s="683">
        <v>0</v>
      </c>
      <c r="AA837" s="683">
        <v>0</v>
      </c>
      <c r="AB837" s="683">
        <v>0</v>
      </c>
      <c r="AC837" s="681">
        <v>0</v>
      </c>
      <c r="AD837" s="681">
        <v>0</v>
      </c>
      <c r="AE837" s="732"/>
      <c r="AF837" s="732"/>
      <c r="AG837" s="732"/>
      <c r="AH837" s="732"/>
      <c r="AI837" s="732"/>
      <c r="AJ837" s="732"/>
      <c r="AK837" s="732"/>
      <c r="AL837" s="732"/>
      <c r="AM837" s="732"/>
      <c r="AN837" s="732"/>
      <c r="AO837" s="732"/>
      <c r="AP837" s="732"/>
      <c r="AQ837" s="732"/>
      <c r="AR837" s="732"/>
      <c r="AS837" s="732"/>
      <c r="AT837" s="732"/>
      <c r="AU837" s="732"/>
      <c r="AV837" s="732"/>
      <c r="AW837" s="732"/>
      <c r="AX837" s="732"/>
      <c r="AY837" s="732"/>
      <c r="AZ837" s="732"/>
      <c r="BA837" s="732"/>
      <c r="BB837" s="732"/>
      <c r="BC837" s="732"/>
      <c r="BD837" s="732"/>
      <c r="BE837" s="732"/>
      <c r="BF837" s="732"/>
      <c r="BG837" s="732"/>
      <c r="BH837" s="732"/>
      <c r="BI837" s="732"/>
      <c r="BJ837" s="732"/>
      <c r="BK837" s="732"/>
      <c r="BL837" s="732"/>
      <c r="BM837" s="732"/>
      <c r="BN837" s="732"/>
      <c r="BO837" s="732"/>
      <c r="BP837" s="732"/>
      <c r="BQ837" s="732"/>
      <c r="BR837" s="732"/>
      <c r="BS837" s="732"/>
      <c r="BT837" s="732"/>
      <c r="BU837" s="732"/>
      <c r="BV837" s="732"/>
      <c r="BW837" s="732"/>
      <c r="BX837" s="732"/>
      <c r="BY837" s="732"/>
      <c r="BZ837" s="732"/>
      <c r="CA837" s="732"/>
    </row>
    <row r="838" spans="1:79" s="309" customFormat="1" hidden="1" outlineLevel="1" x14ac:dyDescent="0.35">
      <c r="A838" s="30"/>
      <c r="B838" s="30"/>
      <c r="C838" s="30"/>
      <c r="D838" s="30"/>
      <c r="E838" s="30"/>
      <c r="F838" s="672" t="s">
        <v>916</v>
      </c>
      <c r="G838" s="732"/>
      <c r="H838" s="732"/>
      <c r="I838" s="732">
        <v>-555.7819705389353</v>
      </c>
      <c r="J838" s="732"/>
      <c r="K838" s="732"/>
      <c r="L838" s="732"/>
      <c r="M838" s="732"/>
      <c r="N838" s="732"/>
      <c r="O838" s="732"/>
      <c r="P838" s="732"/>
      <c r="Q838" s="732"/>
      <c r="R838" s="732"/>
      <c r="S838" s="683">
        <v>0</v>
      </c>
      <c r="T838" s="683">
        <v>0</v>
      </c>
      <c r="U838" s="683">
        <v>0</v>
      </c>
      <c r="V838" s="683">
        <v>0</v>
      </c>
      <c r="W838" s="683">
        <v>0</v>
      </c>
      <c r="X838" s="683">
        <v>0</v>
      </c>
      <c r="Y838" s="683">
        <v>0</v>
      </c>
      <c r="Z838" s="683">
        <v>0</v>
      </c>
      <c r="AA838" s="683">
        <v>0</v>
      </c>
      <c r="AB838" s="683">
        <v>0</v>
      </c>
      <c r="AC838" s="681">
        <v>0</v>
      </c>
      <c r="AD838" s="681">
        <v>0</v>
      </c>
      <c r="AE838" s="732"/>
      <c r="AF838" s="732"/>
      <c r="AG838" s="732"/>
      <c r="AH838" s="732"/>
      <c r="AI838" s="732"/>
      <c r="AJ838" s="732"/>
      <c r="AK838" s="732"/>
      <c r="AL838" s="732"/>
      <c r="AM838" s="732"/>
      <c r="AN838" s="732"/>
      <c r="AO838" s="732"/>
      <c r="AP838" s="732"/>
      <c r="AQ838" s="732"/>
      <c r="AR838" s="732"/>
      <c r="AS838" s="732"/>
      <c r="AT838" s="732"/>
      <c r="AU838" s="732"/>
      <c r="AV838" s="732"/>
      <c r="AW838" s="732"/>
      <c r="AX838" s="732"/>
      <c r="AY838" s="732"/>
      <c r="AZ838" s="732"/>
      <c r="BA838" s="732"/>
      <c r="BB838" s="732"/>
      <c r="BC838" s="732"/>
      <c r="BD838" s="732"/>
      <c r="BE838" s="732"/>
      <c r="BF838" s="732"/>
      <c r="BG838" s="732"/>
      <c r="BH838" s="732"/>
      <c r="BI838" s="732"/>
      <c r="BJ838" s="732"/>
      <c r="BK838" s="732"/>
      <c r="BL838" s="732"/>
      <c r="BM838" s="732"/>
      <c r="BN838" s="732"/>
      <c r="BO838" s="732"/>
      <c r="BP838" s="732"/>
      <c r="BQ838" s="732"/>
      <c r="BR838" s="732"/>
      <c r="BS838" s="732"/>
      <c r="BT838" s="732"/>
      <c r="BU838" s="732"/>
      <c r="BV838" s="732"/>
      <c r="BW838" s="732"/>
      <c r="BX838" s="732"/>
      <c r="BY838" s="732"/>
      <c r="BZ838" s="732"/>
      <c r="CA838" s="732"/>
    </row>
    <row r="839" spans="1:79" s="309" customFormat="1" hidden="1" outlineLevel="1" x14ac:dyDescent="0.35">
      <c r="A839" s="575"/>
      <c r="B839" s="575"/>
      <c r="C839" s="575"/>
      <c r="D839" s="575"/>
      <c r="E839" s="575"/>
      <c r="F839" s="672" t="s">
        <v>917</v>
      </c>
      <c r="G839" s="732"/>
      <c r="H839" s="732"/>
      <c r="I839" s="732"/>
      <c r="J839" s="732"/>
      <c r="K839" s="732"/>
      <c r="L839" s="732"/>
      <c r="M839" s="732"/>
      <c r="N839" s="732"/>
      <c r="O839" s="732"/>
      <c r="P839" s="732"/>
      <c r="Q839" s="732"/>
      <c r="R839" s="732"/>
      <c r="S839" s="683">
        <v>0</v>
      </c>
      <c r="T839" s="683">
        <v>0</v>
      </c>
      <c r="U839" s="683">
        <v>0</v>
      </c>
      <c r="V839" s="683">
        <v>0</v>
      </c>
      <c r="W839" s="683">
        <v>0</v>
      </c>
      <c r="X839" s="683">
        <v>0</v>
      </c>
      <c r="Y839" s="683">
        <v>0</v>
      </c>
      <c r="Z839" s="683">
        <v>0</v>
      </c>
      <c r="AA839" s="683">
        <v>0</v>
      </c>
      <c r="AB839" s="683">
        <v>0</v>
      </c>
      <c r="AC839" s="681">
        <v>0</v>
      </c>
      <c r="AD839" s="681">
        <v>0</v>
      </c>
      <c r="AE839" s="732"/>
      <c r="AF839" s="732"/>
      <c r="AG839" s="732"/>
      <c r="AH839" s="732"/>
      <c r="AI839" s="732"/>
      <c r="AJ839" s="732"/>
      <c r="AK839" s="732"/>
      <c r="AL839" s="732"/>
      <c r="AM839" s="732"/>
      <c r="AN839" s="732"/>
      <c r="AO839" s="732"/>
      <c r="AP839" s="732"/>
      <c r="AQ839" s="732"/>
      <c r="AR839" s="732"/>
      <c r="AS839" s="732"/>
      <c r="AT839" s="732"/>
      <c r="AU839" s="732"/>
      <c r="AV839" s="732"/>
      <c r="AW839" s="732"/>
      <c r="AX839" s="732"/>
      <c r="AY839" s="732"/>
      <c r="AZ839" s="732"/>
      <c r="BA839" s="732"/>
      <c r="BB839" s="732"/>
      <c r="BC839" s="732"/>
      <c r="BD839" s="732"/>
      <c r="BE839" s="732"/>
      <c r="BF839" s="732"/>
      <c r="BG839" s="732"/>
      <c r="BH839" s="732"/>
      <c r="BI839" s="732"/>
      <c r="BJ839" s="732"/>
      <c r="BK839" s="732"/>
      <c r="BL839" s="732"/>
      <c r="BM839" s="732"/>
      <c r="BN839" s="732"/>
      <c r="BO839" s="732"/>
      <c r="BP839" s="732"/>
      <c r="BQ839" s="732"/>
      <c r="BR839" s="732"/>
      <c r="BS839" s="732"/>
      <c r="BT839" s="732"/>
      <c r="BU839" s="732"/>
      <c r="BV839" s="732"/>
      <c r="BW839" s="732"/>
      <c r="BX839" s="732"/>
      <c r="BY839" s="732"/>
      <c r="BZ839" s="732"/>
      <c r="CA839" s="732"/>
    </row>
    <row r="840" spans="1:79" s="309" customFormat="1" hidden="1" outlineLevel="1" x14ac:dyDescent="0.35">
      <c r="A840" s="575"/>
      <c r="B840" s="575"/>
      <c r="C840" s="575"/>
      <c r="D840" s="575"/>
      <c r="E840" s="575"/>
      <c r="F840" s="672" t="s">
        <v>918</v>
      </c>
      <c r="G840" s="732"/>
      <c r="H840" s="732"/>
      <c r="I840" s="732"/>
      <c r="J840" s="732"/>
      <c r="K840" s="732"/>
      <c r="L840" s="732"/>
      <c r="M840" s="732"/>
      <c r="N840" s="732"/>
      <c r="O840" s="732"/>
      <c r="P840" s="732"/>
      <c r="Q840" s="732"/>
      <c r="R840" s="732"/>
      <c r="S840" s="683">
        <v>0</v>
      </c>
      <c r="T840" s="683">
        <v>0</v>
      </c>
      <c r="U840" s="683">
        <v>0</v>
      </c>
      <c r="V840" s="683">
        <v>0</v>
      </c>
      <c r="W840" s="683">
        <v>0</v>
      </c>
      <c r="X840" s="683">
        <v>0</v>
      </c>
      <c r="Y840" s="683">
        <v>0</v>
      </c>
      <c r="Z840" s="683">
        <v>0</v>
      </c>
      <c r="AA840" s="683">
        <v>0</v>
      </c>
      <c r="AB840" s="683">
        <v>0</v>
      </c>
      <c r="AC840" s="681">
        <v>0</v>
      </c>
      <c r="AD840" s="681">
        <v>0</v>
      </c>
      <c r="AE840" s="732"/>
      <c r="AF840" s="732"/>
      <c r="AG840" s="732"/>
      <c r="AH840" s="732"/>
      <c r="AI840" s="732"/>
      <c r="AJ840" s="732"/>
      <c r="AK840" s="732"/>
      <c r="AL840" s="732"/>
      <c r="AM840" s="732"/>
      <c r="AN840" s="732"/>
      <c r="AO840" s="732"/>
      <c r="AP840" s="732"/>
      <c r="AQ840" s="732"/>
      <c r="AR840" s="732"/>
      <c r="AS840" s="732"/>
      <c r="AT840" s="732"/>
      <c r="AU840" s="732"/>
      <c r="AV840" s="732"/>
      <c r="AW840" s="732"/>
      <c r="AX840" s="732"/>
      <c r="AY840" s="732"/>
      <c r="AZ840" s="732"/>
      <c r="BA840" s="732"/>
      <c r="BB840" s="732"/>
      <c r="BC840" s="732"/>
      <c r="BD840" s="732"/>
      <c r="BE840" s="732"/>
      <c r="BF840" s="732"/>
      <c r="BG840" s="732"/>
      <c r="BH840" s="732"/>
      <c r="BI840" s="732"/>
      <c r="BJ840" s="732"/>
      <c r="BK840" s="732"/>
      <c r="BL840" s="732"/>
      <c r="BM840" s="732"/>
      <c r="BN840" s="732"/>
      <c r="BO840" s="732"/>
      <c r="BP840" s="732"/>
      <c r="BQ840" s="732"/>
      <c r="BR840" s="732"/>
      <c r="BS840" s="732"/>
      <c r="BT840" s="732"/>
      <c r="BU840" s="732"/>
      <c r="BV840" s="732"/>
      <c r="BW840" s="732"/>
      <c r="BX840" s="732"/>
      <c r="BY840" s="732"/>
      <c r="BZ840" s="732"/>
      <c r="CA840" s="732"/>
    </row>
    <row r="841" spans="1:79" s="309" customFormat="1" hidden="1" outlineLevel="1" x14ac:dyDescent="0.35">
      <c r="A841" s="575"/>
      <c r="B841" s="575"/>
      <c r="C841" s="575"/>
      <c r="D841" s="575"/>
      <c r="E841" s="575"/>
      <c r="F841" s="673" t="s">
        <v>659</v>
      </c>
      <c r="G841" s="680">
        <f>SUM(G834:G840)</f>
        <v>0</v>
      </c>
      <c r="H841" s="680">
        <f t="shared" ref="H841:BO841" si="328">SUM(H834:H840)</f>
        <v>0</v>
      </c>
      <c r="I841" s="680">
        <f t="shared" si="328"/>
        <v>-555.7819705389353</v>
      </c>
      <c r="J841" s="680">
        <f t="shared" si="328"/>
        <v>255.56586023090964</v>
      </c>
      <c r="K841" s="680">
        <f t="shared" si="328"/>
        <v>0</v>
      </c>
      <c r="L841" s="680">
        <f t="shared" si="328"/>
        <v>399.60649988113352</v>
      </c>
      <c r="M841" s="680">
        <f t="shared" si="328"/>
        <v>0</v>
      </c>
      <c r="N841" s="680">
        <f t="shared" si="328"/>
        <v>0</v>
      </c>
      <c r="O841" s="680">
        <f t="shared" si="328"/>
        <v>0</v>
      </c>
      <c r="P841" s="680">
        <f t="shared" si="328"/>
        <v>0</v>
      </c>
      <c r="Q841" s="680">
        <f t="shared" si="328"/>
        <v>0</v>
      </c>
      <c r="R841" s="680">
        <f t="shared" si="328"/>
        <v>344.43161669744131</v>
      </c>
      <c r="S841" s="694">
        <f t="shared" ref="S841:AA841" si="329">ROUND(SUM(S833:S840),5)</f>
        <v>0</v>
      </c>
      <c r="T841" s="694">
        <f t="shared" si="329"/>
        <v>0</v>
      </c>
      <c r="U841" s="694">
        <f t="shared" si="329"/>
        <v>0</v>
      </c>
      <c r="V841" s="694">
        <f t="shared" si="329"/>
        <v>0</v>
      </c>
      <c r="W841" s="694">
        <f t="shared" si="329"/>
        <v>0</v>
      </c>
      <c r="X841" s="694">
        <f t="shared" si="329"/>
        <v>0</v>
      </c>
      <c r="Y841" s="694">
        <f t="shared" si="329"/>
        <v>0</v>
      </c>
      <c r="Z841" s="694">
        <f t="shared" si="329"/>
        <v>0</v>
      </c>
      <c r="AA841" s="694">
        <f t="shared" si="329"/>
        <v>0</v>
      </c>
      <c r="AB841" s="694">
        <f>ROUND(SUM(AB833:AB840),5)</f>
        <v>0</v>
      </c>
      <c r="AC841" s="694">
        <f>ROUND(SUM(AC833:AC840),5)</f>
        <v>0</v>
      </c>
      <c r="AD841" s="694">
        <f>ROUND(SUM(AD833:AD840),5)</f>
        <v>0</v>
      </c>
      <c r="AE841" s="680">
        <f t="shared" si="328"/>
        <v>0</v>
      </c>
      <c r="AF841" s="680">
        <f t="shared" si="328"/>
        <v>0</v>
      </c>
      <c r="AG841" s="680">
        <f t="shared" si="328"/>
        <v>0</v>
      </c>
      <c r="AH841" s="680">
        <f t="shared" si="328"/>
        <v>0</v>
      </c>
      <c r="AI841" s="680">
        <f t="shared" si="328"/>
        <v>0</v>
      </c>
      <c r="AJ841" s="680">
        <f t="shared" si="328"/>
        <v>0</v>
      </c>
      <c r="AK841" s="680">
        <f t="shared" si="328"/>
        <v>0</v>
      </c>
      <c r="AL841" s="680">
        <f t="shared" si="328"/>
        <v>0</v>
      </c>
      <c r="AM841" s="680">
        <f t="shared" si="328"/>
        <v>0</v>
      </c>
      <c r="AN841" s="680">
        <f t="shared" si="328"/>
        <v>0</v>
      </c>
      <c r="AO841" s="680">
        <f t="shared" si="328"/>
        <v>0</v>
      </c>
      <c r="AP841" s="680">
        <f t="shared" si="328"/>
        <v>0</v>
      </c>
      <c r="AQ841" s="680">
        <f t="shared" si="328"/>
        <v>0</v>
      </c>
      <c r="AR841" s="680">
        <f t="shared" si="328"/>
        <v>0</v>
      </c>
      <c r="AS841" s="680">
        <f t="shared" si="328"/>
        <v>0</v>
      </c>
      <c r="AT841" s="680">
        <f t="shared" si="328"/>
        <v>0</v>
      </c>
      <c r="AU841" s="680">
        <f t="shared" si="328"/>
        <v>0</v>
      </c>
      <c r="AV841" s="680">
        <f t="shared" si="328"/>
        <v>0</v>
      </c>
      <c r="AW841" s="680">
        <f t="shared" si="328"/>
        <v>0</v>
      </c>
      <c r="AX841" s="680">
        <f t="shared" si="328"/>
        <v>0</v>
      </c>
      <c r="AY841" s="680">
        <f t="shared" si="328"/>
        <v>0</v>
      </c>
      <c r="AZ841" s="680">
        <f t="shared" si="328"/>
        <v>0</v>
      </c>
      <c r="BA841" s="680">
        <f t="shared" si="328"/>
        <v>0</v>
      </c>
      <c r="BB841" s="680">
        <f t="shared" si="328"/>
        <v>0</v>
      </c>
      <c r="BC841" s="680">
        <f t="shared" si="328"/>
        <v>0</v>
      </c>
      <c r="BD841" s="680">
        <f t="shared" si="328"/>
        <v>0</v>
      </c>
      <c r="BE841" s="680">
        <f t="shared" si="328"/>
        <v>0</v>
      </c>
      <c r="BF841" s="680">
        <f t="shared" si="328"/>
        <v>0</v>
      </c>
      <c r="BG841" s="680">
        <f t="shared" si="328"/>
        <v>0</v>
      </c>
      <c r="BH841" s="680">
        <f t="shared" si="328"/>
        <v>0</v>
      </c>
      <c r="BI841" s="680">
        <f t="shared" si="328"/>
        <v>0</v>
      </c>
      <c r="BJ841" s="680">
        <f t="shared" si="328"/>
        <v>0</v>
      </c>
      <c r="BK841" s="680">
        <f t="shared" si="328"/>
        <v>0</v>
      </c>
      <c r="BL841" s="680">
        <f t="shared" si="328"/>
        <v>0</v>
      </c>
      <c r="BM841" s="680">
        <f t="shared" si="328"/>
        <v>0</v>
      </c>
      <c r="BN841" s="680">
        <f t="shared" si="328"/>
        <v>0</v>
      </c>
      <c r="BO841" s="680">
        <f t="shared" si="328"/>
        <v>0</v>
      </c>
      <c r="BP841" s="680">
        <f t="shared" ref="BP841:CA841" si="330">SUM(BP834:BP840)</f>
        <v>0</v>
      </c>
      <c r="BQ841" s="680">
        <f t="shared" si="330"/>
        <v>0</v>
      </c>
      <c r="BR841" s="680">
        <f t="shared" si="330"/>
        <v>0</v>
      </c>
      <c r="BS841" s="680">
        <f t="shared" si="330"/>
        <v>0</v>
      </c>
      <c r="BT841" s="680">
        <f t="shared" si="330"/>
        <v>0</v>
      </c>
      <c r="BU841" s="680">
        <f t="shared" si="330"/>
        <v>0</v>
      </c>
      <c r="BV841" s="680">
        <f t="shared" si="330"/>
        <v>0</v>
      </c>
      <c r="BW841" s="680">
        <f t="shared" si="330"/>
        <v>0</v>
      </c>
      <c r="BX841" s="680">
        <f t="shared" si="330"/>
        <v>0</v>
      </c>
      <c r="BY841" s="680">
        <f t="shared" si="330"/>
        <v>0</v>
      </c>
      <c r="BZ841" s="680">
        <f t="shared" si="330"/>
        <v>0</v>
      </c>
      <c r="CA841" s="680">
        <f t="shared" si="330"/>
        <v>0</v>
      </c>
    </row>
    <row r="842" spans="1:79" s="309" customFormat="1" hidden="1" outlineLevel="1" x14ac:dyDescent="0.35">
      <c r="A842" s="575"/>
      <c r="B842" s="575"/>
      <c r="C842" s="575"/>
      <c r="D842" s="575"/>
      <c r="E842" s="575"/>
      <c r="F842" s="673"/>
      <c r="G842" s="680"/>
      <c r="H842" s="680"/>
      <c r="I842" s="680"/>
      <c r="J842" s="680"/>
      <c r="K842" s="680"/>
      <c r="L842" s="680"/>
      <c r="M842" s="680"/>
      <c r="N842" s="680"/>
      <c r="O842" s="680"/>
      <c r="P842" s="680"/>
      <c r="Q842" s="680"/>
      <c r="R842" s="680"/>
      <c r="S842" s="683">
        <v>0</v>
      </c>
      <c r="T842" s="683">
        <v>0</v>
      </c>
      <c r="U842" s="683">
        <v>0</v>
      </c>
      <c r="V842" s="683">
        <v>0</v>
      </c>
      <c r="W842" s="683">
        <v>0</v>
      </c>
      <c r="X842" s="683">
        <v>0</v>
      </c>
      <c r="Y842" s="683">
        <v>0</v>
      </c>
      <c r="Z842" s="683">
        <v>0</v>
      </c>
      <c r="AA842" s="683">
        <v>0</v>
      </c>
      <c r="AB842" s="683">
        <v>0</v>
      </c>
      <c r="AC842" s="681">
        <v>0</v>
      </c>
      <c r="AD842" s="681">
        <v>0</v>
      </c>
      <c r="AE842" s="680"/>
      <c r="AF842" s="680"/>
      <c r="AG842" s="680"/>
      <c r="AH842" s="680"/>
      <c r="AI842" s="680"/>
      <c r="AJ842" s="680"/>
      <c r="AK842" s="680"/>
      <c r="AL842" s="680"/>
      <c r="AM842" s="680"/>
      <c r="AN842" s="680"/>
      <c r="AO842" s="680"/>
      <c r="AP842" s="680"/>
      <c r="AQ842" s="680"/>
      <c r="AR842" s="680"/>
      <c r="AS842" s="680"/>
      <c r="AT842" s="680"/>
      <c r="AU842" s="680"/>
      <c r="AV842" s="680"/>
      <c r="AW842" s="680"/>
      <c r="AX842" s="680"/>
      <c r="AY842" s="680"/>
      <c r="AZ842" s="680"/>
      <c r="BA842" s="680"/>
      <c r="BB842" s="680"/>
      <c r="BC842" s="680"/>
      <c r="BD842" s="680"/>
      <c r="BE842" s="680"/>
      <c r="BF842" s="680"/>
      <c r="BG842" s="680"/>
      <c r="BH842" s="680"/>
      <c r="BI842" s="680"/>
      <c r="BJ842" s="680"/>
      <c r="BK842" s="680"/>
      <c r="BL842" s="680"/>
      <c r="BM842" s="680"/>
      <c r="BN842" s="680"/>
      <c r="BO842" s="680"/>
      <c r="BP842" s="680"/>
      <c r="BQ842" s="680"/>
      <c r="BR842" s="680"/>
      <c r="BS842" s="680"/>
      <c r="BT842" s="680"/>
      <c r="BU842" s="680"/>
      <c r="BV842" s="680"/>
      <c r="BW842" s="680"/>
      <c r="BX842" s="680"/>
      <c r="BY842" s="680"/>
      <c r="BZ842" s="680"/>
      <c r="CA842" s="680"/>
    </row>
    <row r="843" spans="1:79" s="888" customFormat="1" ht="15" collapsed="1" thickBot="1" x14ac:dyDescent="0.4">
      <c r="A843" s="500"/>
      <c r="B843" s="500"/>
      <c r="C843" s="500"/>
      <c r="D843" s="500"/>
      <c r="E843" s="500"/>
      <c r="F843" s="913" t="s">
        <v>685</v>
      </c>
      <c r="G843" s="914">
        <f t="shared" ref="G843:R843" si="331">SUM(G679:G842)-SUM(G841,G830,G824,G822,G812,G802,G793,G785,G779,G771,G757,G753,G733,G718,G707,G703,G697,G688)</f>
        <v>28936.194989697571</v>
      </c>
      <c r="H843" s="914">
        <f t="shared" si="331"/>
        <v>29068.38469970796</v>
      </c>
      <c r="I843" s="914">
        <f t="shared" si="331"/>
        <v>24260.562355377435</v>
      </c>
      <c r="J843" s="914">
        <f t="shared" si="331"/>
        <v>33096.835246874049</v>
      </c>
      <c r="K843" s="914">
        <f t="shared" si="331"/>
        <v>30687.359681435475</v>
      </c>
      <c r="L843" s="914">
        <f t="shared" si="331"/>
        <v>42573.263429405881</v>
      </c>
      <c r="M843" s="914">
        <f t="shared" si="331"/>
        <v>31775.717145368864</v>
      </c>
      <c r="N843" s="914">
        <f t="shared" si="331"/>
        <v>37195.632062964993</v>
      </c>
      <c r="O843" s="914">
        <f t="shared" si="331"/>
        <v>32910.646091064053</v>
      </c>
      <c r="P843" s="914">
        <f t="shared" si="331"/>
        <v>39324.872454851429</v>
      </c>
      <c r="Q843" s="914">
        <f t="shared" si="331"/>
        <v>67613.394059981336</v>
      </c>
      <c r="R843" s="914">
        <f t="shared" si="331"/>
        <v>60692.076637588005</v>
      </c>
      <c r="S843" s="915">
        <f t="shared" ref="S843:AB843" si="332">ROUND(SUM(S678:S684)+SUM(S688:S693)+SUM(S697:S699)+S703+SUM(S707:S709)+SUM(S718:S722)+SUM(S733:S734)+S753+SUM(S757:S760)+S771+S779+SUM(S785:S787)+SUM(S793:S794)+SUM(S824:S825)+SUM(S830:S832)+SUM(S841:S842),5)</f>
        <v>65071.12</v>
      </c>
      <c r="T843" s="915">
        <f t="shared" si="332"/>
        <v>36487.94</v>
      </c>
      <c r="U843" s="915">
        <f t="shared" si="332"/>
        <v>74794.22</v>
      </c>
      <c r="V843" s="915">
        <f t="shared" si="332"/>
        <v>63163.95</v>
      </c>
      <c r="W843" s="915">
        <f t="shared" si="332"/>
        <v>98531.67</v>
      </c>
      <c r="X843" s="915">
        <f t="shared" si="332"/>
        <v>83189.5</v>
      </c>
      <c r="Y843" s="915">
        <f t="shared" si="332"/>
        <v>111312.5</v>
      </c>
      <c r="Z843" s="915">
        <f t="shared" si="332"/>
        <v>108879.77</v>
      </c>
      <c r="AA843" s="915">
        <f t="shared" si="332"/>
        <v>97885.34</v>
      </c>
      <c r="AB843" s="915">
        <f t="shared" si="332"/>
        <v>110090.17</v>
      </c>
      <c r="AC843" s="914">
        <f>ROUND(SUM(AC678:AC684)+SUM(AC688:AC693)+SUM(AC697:AC699)+AC703+SUM(AC707:AC709)+SUM(AC718:AC722)+SUM(AC733:AC734)+AC753+SUM(AC757:AC760)+AC771+AC779+SUM(AC785:AC787)+SUM(AC793:AC794)+SUM(AC824:AC825)+SUM(AC830:AC832)+SUM(AC841:AC842),5)</f>
        <v>105787.7</v>
      </c>
      <c r="AD843" s="914">
        <f>ROUND(SUM(AD678:AD684)+SUM(AD688:AD693)+SUM(AD697:AD699)+AD703+SUM(AD707:AD709)+SUM(AD718:AD722)+SUM(AD733:AD734)+AD753+SUM(AD757:AD760)+AD771+AD779+SUM(AD785:AD787)+SUM(AD793:AD794)+SUM(AD824:AD825)+SUM(AD830:AD832)+SUM(AD841:AD842),5)</f>
        <v>135096.85</v>
      </c>
      <c r="AE843" s="914">
        <f t="shared" ref="AE843:BJ843" si="333">SUM(AE679:AE842)-SUM(AE841,AE830,AE824,AE822,AE812,AE802,AE793,AE785,AE779,AE771,AE757,AE753,AE733,AE718,AE707,AE703,AE697,AE688)</f>
        <v>0</v>
      </c>
      <c r="AF843" s="914">
        <f t="shared" si="333"/>
        <v>0</v>
      </c>
      <c r="AG843" s="914">
        <f t="shared" si="333"/>
        <v>0</v>
      </c>
      <c r="AH843" s="914">
        <f t="shared" si="333"/>
        <v>0</v>
      </c>
      <c r="AI843" s="914">
        <f t="shared" si="333"/>
        <v>0</v>
      </c>
      <c r="AJ843" s="914">
        <f t="shared" si="333"/>
        <v>0</v>
      </c>
      <c r="AK843" s="914">
        <f t="shared" si="333"/>
        <v>0</v>
      </c>
      <c r="AL843" s="914">
        <f t="shared" si="333"/>
        <v>0</v>
      </c>
      <c r="AM843" s="914">
        <f t="shared" si="333"/>
        <v>0</v>
      </c>
      <c r="AN843" s="914">
        <f t="shared" si="333"/>
        <v>0</v>
      </c>
      <c r="AO843" s="914">
        <f t="shared" si="333"/>
        <v>0</v>
      </c>
      <c r="AP843" s="914">
        <f t="shared" si="333"/>
        <v>0</v>
      </c>
      <c r="AQ843" s="914">
        <f t="shared" si="333"/>
        <v>0</v>
      </c>
      <c r="AR843" s="914">
        <f t="shared" si="333"/>
        <v>0</v>
      </c>
      <c r="AS843" s="914">
        <f t="shared" si="333"/>
        <v>0</v>
      </c>
      <c r="AT843" s="914">
        <f t="shared" si="333"/>
        <v>0</v>
      </c>
      <c r="AU843" s="914">
        <f t="shared" si="333"/>
        <v>0</v>
      </c>
      <c r="AV843" s="914">
        <f t="shared" si="333"/>
        <v>0</v>
      </c>
      <c r="AW843" s="914">
        <f t="shared" si="333"/>
        <v>0</v>
      </c>
      <c r="AX843" s="914">
        <f t="shared" si="333"/>
        <v>0</v>
      </c>
      <c r="AY843" s="914">
        <f t="shared" si="333"/>
        <v>0</v>
      </c>
      <c r="AZ843" s="914">
        <f t="shared" si="333"/>
        <v>0</v>
      </c>
      <c r="BA843" s="914">
        <f t="shared" si="333"/>
        <v>0</v>
      </c>
      <c r="BB843" s="914">
        <f t="shared" si="333"/>
        <v>0</v>
      </c>
      <c r="BC843" s="914">
        <f t="shared" si="333"/>
        <v>0</v>
      </c>
      <c r="BD843" s="914">
        <f t="shared" si="333"/>
        <v>0</v>
      </c>
      <c r="BE843" s="914">
        <f t="shared" si="333"/>
        <v>0</v>
      </c>
      <c r="BF843" s="914">
        <f t="shared" si="333"/>
        <v>0</v>
      </c>
      <c r="BG843" s="914">
        <f t="shared" si="333"/>
        <v>0</v>
      </c>
      <c r="BH843" s="914">
        <f t="shared" si="333"/>
        <v>0</v>
      </c>
      <c r="BI843" s="914">
        <f t="shared" si="333"/>
        <v>0</v>
      </c>
      <c r="BJ843" s="914">
        <f t="shared" si="333"/>
        <v>0</v>
      </c>
      <c r="BK843" s="914">
        <f t="shared" ref="BK843:CA843" si="334">SUM(BK679:BK842)-SUM(BK841,BK830,BK824,BK822,BK812,BK802,BK793,BK785,BK779,BK771,BK757,BK753,BK733,BK718,BK707,BK703,BK697,BK688)</f>
        <v>0</v>
      </c>
      <c r="BL843" s="914">
        <f t="shared" si="334"/>
        <v>0</v>
      </c>
      <c r="BM843" s="914">
        <f t="shared" si="334"/>
        <v>0</v>
      </c>
      <c r="BN843" s="914">
        <f t="shared" si="334"/>
        <v>0</v>
      </c>
      <c r="BO843" s="914">
        <f t="shared" si="334"/>
        <v>0</v>
      </c>
      <c r="BP843" s="914">
        <f t="shared" si="334"/>
        <v>0</v>
      </c>
      <c r="BQ843" s="914">
        <f t="shared" si="334"/>
        <v>0</v>
      </c>
      <c r="BR843" s="914">
        <f t="shared" si="334"/>
        <v>0</v>
      </c>
      <c r="BS843" s="914">
        <f t="shared" si="334"/>
        <v>0</v>
      </c>
      <c r="BT843" s="914">
        <f t="shared" si="334"/>
        <v>0</v>
      </c>
      <c r="BU843" s="914">
        <f t="shared" si="334"/>
        <v>0</v>
      </c>
      <c r="BV843" s="914">
        <f t="shared" si="334"/>
        <v>0</v>
      </c>
      <c r="BW843" s="914">
        <f t="shared" si="334"/>
        <v>0</v>
      </c>
      <c r="BX843" s="914">
        <f t="shared" si="334"/>
        <v>0</v>
      </c>
      <c r="BY843" s="914">
        <f t="shared" si="334"/>
        <v>0</v>
      </c>
      <c r="BZ843" s="914">
        <f t="shared" si="334"/>
        <v>0</v>
      </c>
      <c r="CA843" s="914">
        <f t="shared" si="334"/>
        <v>0</v>
      </c>
    </row>
    <row r="844" spans="1:79" s="169" customFormat="1" ht="15" thickTop="1" x14ac:dyDescent="0.35">
      <c r="A844" s="157"/>
      <c r="B844" s="157"/>
      <c r="C844" s="157"/>
      <c r="D844" s="157"/>
      <c r="E844" s="157"/>
      <c r="F844" s="157"/>
      <c r="G844" s="778"/>
      <c r="H844" s="778"/>
      <c r="I844" s="778"/>
      <c r="J844" s="778"/>
      <c r="K844" s="778"/>
      <c r="L844" s="778"/>
      <c r="M844" s="778"/>
      <c r="N844" s="778"/>
      <c r="O844" s="778"/>
      <c r="P844" s="778"/>
      <c r="Q844" s="778"/>
      <c r="R844" s="778"/>
      <c r="S844" s="501"/>
      <c r="T844" s="501"/>
      <c r="U844" s="501"/>
      <c r="V844" s="501"/>
      <c r="W844" s="501"/>
      <c r="X844" s="501"/>
      <c r="Y844" s="501"/>
      <c r="Z844" s="501"/>
      <c r="AA844" s="501"/>
      <c r="AB844" s="735"/>
      <c r="AC844" s="735"/>
      <c r="AD844" s="735"/>
      <c r="AE844" s="735"/>
      <c r="AF844" s="735"/>
      <c r="AG844" s="735"/>
      <c r="AH844" s="735"/>
      <c r="AI844" s="735"/>
      <c r="AJ844" s="735"/>
      <c r="AK844" s="735"/>
      <c r="AL844" s="735"/>
      <c r="AM844" s="735"/>
      <c r="AN844" s="735"/>
      <c r="AO844" s="735"/>
      <c r="AP844" s="735"/>
      <c r="AQ844" s="735"/>
      <c r="AR844" s="735"/>
      <c r="AS844" s="735"/>
      <c r="AT844" s="735"/>
      <c r="AU844" s="735"/>
      <c r="AV844" s="735"/>
      <c r="AW844" s="735"/>
      <c r="AX844" s="735"/>
      <c r="AY844" s="735"/>
      <c r="AZ844" s="735"/>
      <c r="BA844" s="735"/>
      <c r="BB844" s="735"/>
      <c r="BC844" s="735"/>
      <c r="BD844" s="735"/>
      <c r="BE844" s="735"/>
      <c r="BF844" s="735"/>
      <c r="BG844" s="735"/>
      <c r="BH844" s="735"/>
      <c r="BI844" s="735"/>
      <c r="BJ844" s="735"/>
      <c r="BK844" s="735"/>
      <c r="BL844" s="735"/>
      <c r="BM844" s="735"/>
      <c r="BN844" s="735"/>
      <c r="BO844" s="735"/>
      <c r="BP844" s="735"/>
      <c r="BQ844" s="735"/>
      <c r="BR844" s="735"/>
      <c r="BS844" s="735"/>
      <c r="BT844" s="735"/>
      <c r="BU844" s="735"/>
      <c r="BV844" s="735"/>
      <c r="BW844" s="735"/>
      <c r="BX844" s="735"/>
      <c r="BY844" s="735"/>
      <c r="BZ844" s="735"/>
      <c r="CA844" s="735"/>
    </row>
    <row r="845" spans="1:79" s="169" customFormat="1" x14ac:dyDescent="0.35">
      <c r="A845" s="157"/>
      <c r="B845" s="157"/>
      <c r="C845" s="157"/>
      <c r="D845" s="157"/>
      <c r="E845" s="157"/>
      <c r="F845" s="157"/>
      <c r="G845" s="739"/>
      <c r="H845" s="739"/>
      <c r="I845" s="739"/>
      <c r="J845" s="739"/>
      <c r="K845" s="739"/>
      <c r="L845" s="739"/>
      <c r="M845" s="739"/>
      <c r="N845" s="739"/>
      <c r="O845" s="739"/>
      <c r="P845" s="739"/>
      <c r="Q845" s="739"/>
      <c r="R845" s="739"/>
      <c r="S845" s="739"/>
      <c r="T845" s="739"/>
      <c r="U845" s="739"/>
      <c r="V845" s="739"/>
      <c r="W845" s="739"/>
      <c r="X845" s="739"/>
      <c r="Y845" s="739"/>
      <c r="Z845" s="739"/>
      <c r="AA845" s="739"/>
      <c r="AB845" s="732"/>
      <c r="AC845" s="732"/>
      <c r="AD845" s="732"/>
      <c r="AE845" s="732"/>
      <c r="AF845" s="732"/>
      <c r="AG845" s="732"/>
      <c r="AH845" s="732"/>
      <c r="AI845" s="732"/>
      <c r="AJ845" s="732"/>
      <c r="AK845" s="732"/>
      <c r="AL845" s="732"/>
      <c r="AM845" s="732"/>
      <c r="AN845" s="732"/>
      <c r="AO845" s="732"/>
      <c r="AP845" s="732"/>
      <c r="AQ845" s="732"/>
      <c r="AR845" s="732"/>
      <c r="AS845" s="732"/>
      <c r="AT845" s="732"/>
      <c r="AU845" s="732"/>
      <c r="AV845" s="732"/>
      <c r="AW845" s="732"/>
      <c r="AX845" s="732"/>
      <c r="AY845" s="732"/>
      <c r="AZ845" s="732"/>
      <c r="BA845" s="732"/>
      <c r="BB845" s="732"/>
      <c r="BC845" s="732"/>
      <c r="BD845" s="732"/>
      <c r="BE845" s="732"/>
      <c r="BF845" s="732"/>
      <c r="BG845" s="732"/>
      <c r="BH845" s="732"/>
      <c r="BI845" s="732"/>
      <c r="BJ845" s="732"/>
      <c r="BK845" s="732"/>
      <c r="BL845" s="732"/>
      <c r="BM845" s="732"/>
      <c r="BN845" s="732"/>
      <c r="BO845" s="732"/>
      <c r="BP845" s="732"/>
      <c r="BQ845" s="732"/>
      <c r="BR845" s="732"/>
      <c r="BS845" s="732"/>
      <c r="BT845" s="732"/>
      <c r="BU845" s="732"/>
      <c r="BV845" s="732"/>
      <c r="BW845" s="732"/>
      <c r="BX845" s="732"/>
      <c r="BY845" s="732"/>
      <c r="BZ845" s="732"/>
      <c r="CA845" s="732"/>
    </row>
    <row r="846" spans="1:79" s="878" customFormat="1" x14ac:dyDescent="0.35">
      <c r="A846" s="882"/>
      <c r="F846" s="883" t="s">
        <v>3</v>
      </c>
      <c r="G846" s="884"/>
      <c r="H846" s="884"/>
      <c r="I846" s="884"/>
      <c r="J846" s="884"/>
      <c r="K846" s="884"/>
      <c r="L846" s="884"/>
      <c r="M846" s="884"/>
      <c r="N846" s="884"/>
      <c r="O846" s="884"/>
      <c r="P846" s="884"/>
      <c r="Q846" s="884"/>
      <c r="R846" s="884"/>
      <c r="S846" s="884"/>
      <c r="T846" s="884"/>
      <c r="U846" s="884"/>
      <c r="V846" s="884"/>
      <c r="W846" s="884"/>
      <c r="X846" s="884"/>
      <c r="Y846" s="884"/>
      <c r="Z846" s="884"/>
      <c r="AA846" s="884"/>
      <c r="AB846" s="884"/>
      <c r="AC846" s="884"/>
      <c r="AD846" s="884"/>
      <c r="AE846" s="884"/>
      <c r="AF846" s="884"/>
      <c r="AG846" s="884"/>
      <c r="AH846" s="884"/>
      <c r="AI846" s="884"/>
      <c r="AJ846" s="884"/>
      <c r="AK846" s="884"/>
      <c r="AL846" s="884"/>
      <c r="AM846" s="884"/>
      <c r="AN846" s="884"/>
      <c r="AO846" s="884"/>
      <c r="AP846" s="884"/>
      <c r="AQ846" s="884"/>
      <c r="AR846" s="884"/>
      <c r="AS846" s="884"/>
      <c r="AT846" s="884"/>
      <c r="AU846" s="884"/>
      <c r="AV846" s="884"/>
      <c r="AW846" s="884"/>
      <c r="AX846" s="884"/>
      <c r="AY846" s="884"/>
      <c r="AZ846" s="884"/>
      <c r="BA846" s="884"/>
      <c r="BB846" s="884"/>
      <c r="BC846" s="884"/>
      <c r="BD846" s="884"/>
      <c r="BE846" s="884"/>
      <c r="BF846" s="884"/>
      <c r="BG846" s="884"/>
      <c r="BH846" s="884"/>
      <c r="BI846" s="884"/>
      <c r="BJ846" s="884"/>
      <c r="BK846" s="884"/>
      <c r="BL846" s="884"/>
      <c r="BM846" s="884"/>
      <c r="BN846" s="884"/>
      <c r="BO846" s="884"/>
      <c r="BP846" s="884"/>
      <c r="BQ846" s="884"/>
      <c r="BR846" s="884"/>
      <c r="BS846" s="884"/>
      <c r="BT846" s="884"/>
      <c r="BU846" s="884"/>
      <c r="BV846" s="884"/>
      <c r="BW846" s="884"/>
      <c r="BX846" s="884"/>
      <c r="BY846" s="884"/>
      <c r="BZ846" s="884"/>
      <c r="CA846" s="884"/>
    </row>
    <row r="847" spans="1:79" hidden="1" outlineLevel="1" x14ac:dyDescent="0.35">
      <c r="A847" s="224"/>
      <c r="B847" s="224"/>
      <c r="C847" s="224"/>
      <c r="D847" s="224"/>
      <c r="E847" s="224"/>
      <c r="F847" s="670" t="s">
        <v>701</v>
      </c>
      <c r="G847" s="679"/>
      <c r="H847" s="679"/>
      <c r="I847" s="679"/>
      <c r="J847" s="679"/>
      <c r="K847" s="679"/>
      <c r="L847" s="679"/>
      <c r="M847" s="679"/>
      <c r="N847" s="679"/>
      <c r="O847" s="679"/>
      <c r="P847" s="679"/>
      <c r="Q847" s="679"/>
      <c r="R847" s="679"/>
      <c r="S847" s="679">
        <v>0</v>
      </c>
      <c r="T847" s="679">
        <v>0</v>
      </c>
      <c r="U847" s="679">
        <v>0</v>
      </c>
      <c r="V847" s="679">
        <v>0</v>
      </c>
      <c r="W847" s="679">
        <v>0</v>
      </c>
      <c r="X847" s="679">
        <v>0</v>
      </c>
      <c r="Y847" s="679">
        <v>0</v>
      </c>
      <c r="Z847" s="679">
        <v>0</v>
      </c>
      <c r="AA847" s="679">
        <v>0</v>
      </c>
      <c r="AB847" s="679">
        <v>0</v>
      </c>
      <c r="AC847" s="679">
        <v>0</v>
      </c>
      <c r="AD847" s="679">
        <v>0</v>
      </c>
      <c r="AE847" s="679"/>
      <c r="AF847" s="679"/>
      <c r="AG847" s="679"/>
      <c r="AH847" s="679"/>
      <c r="AI847" s="679"/>
      <c r="AJ847" s="679"/>
      <c r="AK847" s="679"/>
      <c r="AL847" s="679"/>
      <c r="AM847" s="679"/>
      <c r="AN847" s="679"/>
      <c r="AO847" s="679"/>
      <c r="AP847" s="679"/>
      <c r="AQ847" s="679"/>
      <c r="AR847" s="679"/>
      <c r="AS847" s="679"/>
      <c r="AT847" s="679"/>
      <c r="AU847" s="679"/>
      <c r="AV847" s="679"/>
      <c r="AW847" s="679"/>
      <c r="AX847" s="679"/>
      <c r="AY847" s="679"/>
      <c r="AZ847" s="679"/>
      <c r="BA847" s="679"/>
      <c r="BB847" s="679"/>
      <c r="BC847" s="679"/>
      <c r="BD847" s="679"/>
      <c r="BE847" s="679"/>
      <c r="BF847" s="679"/>
      <c r="BG847" s="679"/>
      <c r="BH847" s="679"/>
      <c r="BI847" s="679"/>
      <c r="BJ847" s="679"/>
      <c r="BK847" s="679"/>
      <c r="BL847" s="679"/>
      <c r="BM847" s="679"/>
      <c r="BN847" s="679"/>
      <c r="BO847" s="679"/>
      <c r="BP847" s="679"/>
      <c r="BQ847" s="679"/>
      <c r="BR847" s="679"/>
      <c r="BS847" s="679"/>
      <c r="BT847" s="679"/>
      <c r="BU847" s="679"/>
      <c r="BV847" s="679"/>
      <c r="BW847" s="679"/>
      <c r="BX847" s="679"/>
      <c r="BY847" s="679"/>
      <c r="BZ847" s="679"/>
      <c r="CA847" s="679"/>
    </row>
    <row r="848" spans="1:79" hidden="1" outlineLevel="1" x14ac:dyDescent="0.35">
      <c r="A848" s="224"/>
      <c r="B848" s="224"/>
      <c r="C848" s="224"/>
      <c r="D848" s="224"/>
      <c r="E848" s="224"/>
      <c r="F848" s="671" t="s">
        <v>857</v>
      </c>
      <c r="G848" s="679"/>
      <c r="H848" s="679"/>
      <c r="I848" s="679"/>
      <c r="J848" s="679"/>
      <c r="K848" s="679"/>
      <c r="L848" s="679"/>
      <c r="M848" s="679"/>
      <c r="N848" s="679"/>
      <c r="O848" s="679"/>
      <c r="P848" s="679"/>
      <c r="Q848" s="679"/>
      <c r="R848" s="679"/>
      <c r="S848" s="679">
        <v>0</v>
      </c>
      <c r="T848" s="679">
        <v>0</v>
      </c>
      <c r="U848" s="679">
        <v>0</v>
      </c>
      <c r="V848" s="679">
        <v>0</v>
      </c>
      <c r="W848" s="679">
        <v>0</v>
      </c>
      <c r="X848" s="679">
        <v>0</v>
      </c>
      <c r="Y848" s="679">
        <v>0</v>
      </c>
      <c r="Z848" s="679">
        <v>0</v>
      </c>
      <c r="AA848" s="679">
        <v>0</v>
      </c>
      <c r="AB848" s="679">
        <v>0</v>
      </c>
      <c r="AC848" s="679">
        <v>0</v>
      </c>
      <c r="AD848" s="679">
        <v>0</v>
      </c>
      <c r="AE848" s="679"/>
      <c r="AF848" s="679"/>
      <c r="AG848" s="679"/>
      <c r="AH848" s="679"/>
      <c r="AI848" s="679"/>
      <c r="AJ848" s="679"/>
      <c r="AK848" s="679"/>
      <c r="AL848" s="679"/>
      <c r="AM848" s="679"/>
      <c r="AN848" s="679"/>
      <c r="AO848" s="679"/>
      <c r="AP848" s="679"/>
      <c r="AQ848" s="679"/>
      <c r="AR848" s="679"/>
      <c r="AS848" s="679"/>
      <c r="AT848" s="679"/>
      <c r="AU848" s="679"/>
      <c r="AV848" s="679"/>
      <c r="AW848" s="679"/>
      <c r="AX848" s="679"/>
      <c r="AY848" s="679"/>
      <c r="AZ848" s="679"/>
      <c r="BA848" s="679"/>
      <c r="BB848" s="679"/>
      <c r="BC848" s="679"/>
      <c r="BD848" s="679"/>
      <c r="BE848" s="679"/>
      <c r="BF848" s="679"/>
      <c r="BG848" s="679"/>
      <c r="BH848" s="679"/>
      <c r="BI848" s="679"/>
      <c r="BJ848" s="679"/>
      <c r="BK848" s="679"/>
      <c r="BL848" s="679"/>
      <c r="BM848" s="679"/>
      <c r="BN848" s="679"/>
      <c r="BO848" s="679"/>
      <c r="BP848" s="679"/>
      <c r="BQ848" s="679"/>
      <c r="BR848" s="679"/>
      <c r="BS848" s="679"/>
      <c r="BT848" s="679"/>
      <c r="BU848" s="679"/>
      <c r="BV848" s="679"/>
      <c r="BW848" s="679"/>
      <c r="BX848" s="679"/>
      <c r="BY848" s="679"/>
      <c r="BZ848" s="679"/>
      <c r="CA848" s="679"/>
    </row>
    <row r="849" spans="1:79" hidden="1" outlineLevel="1" x14ac:dyDescent="0.35">
      <c r="A849" s="224"/>
      <c r="B849" s="224"/>
      <c r="C849" s="224"/>
      <c r="D849" s="224"/>
      <c r="E849" s="224"/>
      <c r="F849" s="671" t="s">
        <v>858</v>
      </c>
      <c r="G849" s="679"/>
      <c r="H849" s="679"/>
      <c r="I849" s="679"/>
      <c r="J849" s="679"/>
      <c r="K849" s="679"/>
      <c r="L849" s="679"/>
      <c r="M849" s="679"/>
      <c r="N849" s="679"/>
      <c r="O849" s="679"/>
      <c r="P849" s="679"/>
      <c r="Q849" s="679"/>
      <c r="R849" s="679"/>
      <c r="S849" s="679">
        <v>0</v>
      </c>
      <c r="T849" s="679">
        <v>0</v>
      </c>
      <c r="U849" s="679">
        <v>0</v>
      </c>
      <c r="V849" s="679">
        <v>0</v>
      </c>
      <c r="W849" s="679">
        <v>0</v>
      </c>
      <c r="X849" s="679">
        <v>0</v>
      </c>
      <c r="Y849" s="679">
        <v>0</v>
      </c>
      <c r="Z849" s="679">
        <v>0</v>
      </c>
      <c r="AA849" s="679">
        <v>0</v>
      </c>
      <c r="AB849" s="679">
        <v>0</v>
      </c>
      <c r="AC849" s="679">
        <v>0</v>
      </c>
      <c r="AD849" s="679">
        <v>0</v>
      </c>
      <c r="AE849" s="679"/>
      <c r="AF849" s="679"/>
      <c r="AG849" s="679"/>
      <c r="AH849" s="679"/>
      <c r="AI849" s="679"/>
      <c r="AJ849" s="679"/>
      <c r="AK849" s="679"/>
      <c r="AL849" s="679"/>
      <c r="AM849" s="679"/>
      <c r="AN849" s="679"/>
      <c r="AO849" s="679"/>
      <c r="AP849" s="679"/>
      <c r="AQ849" s="679"/>
      <c r="AR849" s="679"/>
      <c r="AS849" s="679"/>
      <c r="AT849" s="679"/>
      <c r="AU849" s="679"/>
      <c r="AV849" s="679"/>
      <c r="AW849" s="679"/>
      <c r="AX849" s="679"/>
      <c r="AY849" s="679"/>
      <c r="AZ849" s="679"/>
      <c r="BA849" s="679"/>
      <c r="BB849" s="679"/>
      <c r="BC849" s="679"/>
      <c r="BD849" s="679"/>
      <c r="BE849" s="679"/>
      <c r="BF849" s="679"/>
      <c r="BG849" s="679"/>
      <c r="BH849" s="679"/>
      <c r="BI849" s="679"/>
      <c r="BJ849" s="679"/>
      <c r="BK849" s="679"/>
      <c r="BL849" s="679"/>
      <c r="BM849" s="679"/>
      <c r="BN849" s="679"/>
      <c r="BO849" s="679"/>
      <c r="BP849" s="679"/>
      <c r="BQ849" s="679"/>
      <c r="BR849" s="679"/>
      <c r="BS849" s="679"/>
      <c r="BT849" s="679"/>
      <c r="BU849" s="679"/>
      <c r="BV849" s="679"/>
      <c r="BW849" s="679"/>
      <c r="BX849" s="679"/>
      <c r="BY849" s="679"/>
      <c r="BZ849" s="679"/>
      <c r="CA849" s="679"/>
    </row>
    <row r="850" spans="1:79" hidden="1" outlineLevel="1" x14ac:dyDescent="0.35">
      <c r="A850" s="224"/>
      <c r="B850" s="224"/>
      <c r="C850" s="224"/>
      <c r="D850" s="224"/>
      <c r="E850" s="224"/>
      <c r="F850" s="671" t="s">
        <v>859</v>
      </c>
      <c r="G850" s="679"/>
      <c r="H850" s="679"/>
      <c r="I850" s="679"/>
      <c r="J850" s="679"/>
      <c r="K850" s="679"/>
      <c r="L850" s="679"/>
      <c r="M850" s="679"/>
      <c r="N850" s="679"/>
      <c r="O850" s="679"/>
      <c r="P850" s="679"/>
      <c r="Q850" s="679"/>
      <c r="R850" s="679"/>
      <c r="S850" s="679">
        <v>0</v>
      </c>
      <c r="T850" s="679">
        <v>0</v>
      </c>
      <c r="U850" s="679">
        <v>0</v>
      </c>
      <c r="V850" s="679">
        <v>0</v>
      </c>
      <c r="W850" s="679">
        <v>0</v>
      </c>
      <c r="X850" s="679">
        <v>0</v>
      </c>
      <c r="Y850" s="679">
        <v>0</v>
      </c>
      <c r="Z850" s="679">
        <v>0</v>
      </c>
      <c r="AA850" s="679">
        <v>0</v>
      </c>
      <c r="AB850" s="679">
        <v>0</v>
      </c>
      <c r="AC850" s="679">
        <v>0</v>
      </c>
      <c r="AD850" s="679">
        <v>0</v>
      </c>
      <c r="AE850" s="679"/>
      <c r="AF850" s="679"/>
      <c r="AG850" s="679"/>
      <c r="AH850" s="679"/>
      <c r="AI850" s="679"/>
      <c r="AJ850" s="679"/>
      <c r="AK850" s="679"/>
      <c r="AL850" s="679"/>
      <c r="AM850" s="679"/>
      <c r="AN850" s="679"/>
      <c r="AO850" s="679"/>
      <c r="AP850" s="679"/>
      <c r="AQ850" s="679"/>
      <c r="AR850" s="679"/>
      <c r="AS850" s="679"/>
      <c r="AT850" s="679"/>
      <c r="AU850" s="679"/>
      <c r="AV850" s="679"/>
      <c r="AW850" s="679"/>
      <c r="AX850" s="679"/>
      <c r="AY850" s="679"/>
      <c r="AZ850" s="679"/>
      <c r="BA850" s="679"/>
      <c r="BB850" s="679"/>
      <c r="BC850" s="679"/>
      <c r="BD850" s="679"/>
      <c r="BE850" s="679"/>
      <c r="BF850" s="679"/>
      <c r="BG850" s="679"/>
      <c r="BH850" s="679"/>
      <c r="BI850" s="679"/>
      <c r="BJ850" s="679"/>
      <c r="BK850" s="679"/>
      <c r="BL850" s="679"/>
      <c r="BM850" s="679"/>
      <c r="BN850" s="679"/>
      <c r="BO850" s="679"/>
      <c r="BP850" s="679"/>
      <c r="BQ850" s="679"/>
      <c r="BR850" s="679"/>
      <c r="BS850" s="679"/>
      <c r="BT850" s="679"/>
      <c r="BU850" s="679"/>
      <c r="BV850" s="679"/>
      <c r="BW850" s="679"/>
      <c r="BX850" s="679"/>
      <c r="BY850" s="679"/>
      <c r="BZ850" s="679"/>
      <c r="CA850" s="679"/>
    </row>
    <row r="851" spans="1:79" hidden="1" outlineLevel="1" x14ac:dyDescent="0.35">
      <c r="A851" s="224"/>
      <c r="B851" s="224"/>
      <c r="C851" s="224"/>
      <c r="D851" s="224"/>
      <c r="E851" s="224"/>
      <c r="F851" s="671" t="s">
        <v>702</v>
      </c>
      <c r="G851" s="679"/>
      <c r="H851" s="679"/>
      <c r="I851" s="679"/>
      <c r="J851" s="679"/>
      <c r="K851" s="679"/>
      <c r="L851" s="679"/>
      <c r="M851" s="679"/>
      <c r="N851" s="679"/>
      <c r="O851" s="679"/>
      <c r="P851" s="679"/>
      <c r="Q851" s="679"/>
      <c r="R851" s="679"/>
      <c r="S851" s="679">
        <v>0</v>
      </c>
      <c r="T851" s="679">
        <v>0</v>
      </c>
      <c r="U851" s="679">
        <v>0</v>
      </c>
      <c r="V851" s="679">
        <v>0</v>
      </c>
      <c r="W851" s="679">
        <v>0</v>
      </c>
      <c r="X851" s="679">
        <v>0</v>
      </c>
      <c r="Y851" s="679">
        <v>0</v>
      </c>
      <c r="Z851" s="679">
        <v>0</v>
      </c>
      <c r="AA851" s="679">
        <v>0</v>
      </c>
      <c r="AB851" s="679">
        <v>0</v>
      </c>
      <c r="AC851" s="679">
        <v>0</v>
      </c>
      <c r="AD851" s="679">
        <v>0</v>
      </c>
      <c r="AE851" s="679"/>
      <c r="AF851" s="679"/>
      <c r="AG851" s="679"/>
      <c r="AH851" s="679"/>
      <c r="AI851" s="679"/>
      <c r="AJ851" s="679"/>
      <c r="AK851" s="679"/>
      <c r="AL851" s="679"/>
      <c r="AM851" s="679"/>
      <c r="AN851" s="679"/>
      <c r="AO851" s="679"/>
      <c r="AP851" s="679"/>
      <c r="AQ851" s="679"/>
      <c r="AR851" s="679"/>
      <c r="AS851" s="679"/>
      <c r="AT851" s="679"/>
      <c r="AU851" s="679"/>
      <c r="AV851" s="679"/>
      <c r="AW851" s="679"/>
      <c r="AX851" s="679"/>
      <c r="AY851" s="679"/>
      <c r="AZ851" s="679"/>
      <c r="BA851" s="679"/>
      <c r="BB851" s="679"/>
      <c r="BC851" s="679"/>
      <c r="BD851" s="679"/>
      <c r="BE851" s="679"/>
      <c r="BF851" s="679"/>
      <c r="BG851" s="679"/>
      <c r="BH851" s="679"/>
      <c r="BI851" s="679"/>
      <c r="BJ851" s="679"/>
      <c r="BK851" s="679"/>
      <c r="BL851" s="679"/>
      <c r="BM851" s="679"/>
      <c r="BN851" s="679"/>
      <c r="BO851" s="679"/>
      <c r="BP851" s="679"/>
      <c r="BQ851" s="679"/>
      <c r="BR851" s="679"/>
      <c r="BS851" s="679"/>
      <c r="BT851" s="679"/>
      <c r="BU851" s="679"/>
      <c r="BV851" s="679"/>
      <c r="BW851" s="679"/>
      <c r="BX851" s="679"/>
      <c r="BY851" s="679"/>
      <c r="BZ851" s="679"/>
      <c r="CA851" s="679"/>
    </row>
    <row r="852" spans="1:79" hidden="1" outlineLevel="1" x14ac:dyDescent="0.35">
      <c r="A852" s="224"/>
      <c r="B852" s="224"/>
      <c r="C852" s="224"/>
      <c r="D852" s="224"/>
      <c r="E852" s="224"/>
      <c r="F852" s="671" t="s">
        <v>860</v>
      </c>
      <c r="G852" s="679"/>
      <c r="H852" s="679"/>
      <c r="I852" s="679"/>
      <c r="J852" s="679"/>
      <c r="K852" s="679"/>
      <c r="L852" s="679"/>
      <c r="M852" s="679"/>
      <c r="N852" s="679"/>
      <c r="O852" s="679"/>
      <c r="P852" s="679"/>
      <c r="Q852" s="679"/>
      <c r="R852" s="679"/>
      <c r="S852" s="679">
        <v>0</v>
      </c>
      <c r="T852" s="679">
        <v>0</v>
      </c>
      <c r="U852" s="679">
        <v>0</v>
      </c>
      <c r="V852" s="679">
        <v>0</v>
      </c>
      <c r="W852" s="679">
        <v>0</v>
      </c>
      <c r="X852" s="679">
        <v>0</v>
      </c>
      <c r="Y852" s="679">
        <v>0</v>
      </c>
      <c r="Z852" s="679">
        <v>0</v>
      </c>
      <c r="AA852" s="679">
        <v>0</v>
      </c>
      <c r="AB852" s="679">
        <v>0</v>
      </c>
      <c r="AC852" s="679">
        <v>0</v>
      </c>
      <c r="AD852" s="679">
        <v>0</v>
      </c>
      <c r="AE852" s="679"/>
      <c r="AF852" s="679"/>
      <c r="AG852" s="679"/>
      <c r="AH852" s="679"/>
      <c r="AI852" s="679"/>
      <c r="AJ852" s="679"/>
      <c r="AK852" s="679"/>
      <c r="AL852" s="679"/>
      <c r="AM852" s="679"/>
      <c r="AN852" s="679"/>
      <c r="AO852" s="679"/>
      <c r="AP852" s="679"/>
      <c r="AQ852" s="679"/>
      <c r="AR852" s="679"/>
      <c r="AS852" s="679"/>
      <c r="AT852" s="679"/>
      <c r="AU852" s="679"/>
      <c r="AV852" s="679"/>
      <c r="AW852" s="679"/>
      <c r="AX852" s="679"/>
      <c r="AY852" s="679"/>
      <c r="AZ852" s="679"/>
      <c r="BA852" s="679"/>
      <c r="BB852" s="679"/>
      <c r="BC852" s="679"/>
      <c r="BD852" s="679"/>
      <c r="BE852" s="679"/>
      <c r="BF852" s="679"/>
      <c r="BG852" s="679"/>
      <c r="BH852" s="679"/>
      <c r="BI852" s="679"/>
      <c r="BJ852" s="679"/>
      <c r="BK852" s="679"/>
      <c r="BL852" s="679"/>
      <c r="BM852" s="679"/>
      <c r="BN852" s="679"/>
      <c r="BO852" s="679"/>
      <c r="BP852" s="679"/>
      <c r="BQ852" s="679"/>
      <c r="BR852" s="679"/>
      <c r="BS852" s="679"/>
      <c r="BT852" s="679"/>
      <c r="BU852" s="679"/>
      <c r="BV852" s="679"/>
      <c r="BW852" s="679"/>
      <c r="BX852" s="679"/>
      <c r="BY852" s="679"/>
      <c r="BZ852" s="679"/>
      <c r="CA852" s="679"/>
    </row>
    <row r="853" spans="1:79" hidden="1" outlineLevel="1" x14ac:dyDescent="0.35">
      <c r="A853" s="709"/>
      <c r="B853" s="709"/>
      <c r="C853" s="709"/>
      <c r="D853" s="709"/>
      <c r="E853" s="709"/>
      <c r="F853" s="707" t="s">
        <v>661</v>
      </c>
      <c r="G853" s="708"/>
      <c r="H853" s="708"/>
      <c r="I853" s="708"/>
      <c r="J853" s="708"/>
      <c r="K853" s="708"/>
      <c r="L853" s="708"/>
      <c r="M853" s="708"/>
      <c r="N853" s="708"/>
      <c r="O853" s="708"/>
      <c r="P853" s="708"/>
      <c r="Q853" s="708"/>
      <c r="R853" s="708"/>
      <c r="S853" s="708"/>
      <c r="T853" s="708"/>
      <c r="U853" s="708"/>
      <c r="V853" s="708"/>
      <c r="W853" s="708"/>
      <c r="X853" s="708"/>
      <c r="Y853" s="708"/>
      <c r="Z853" s="708"/>
      <c r="AA853" s="708"/>
      <c r="AB853" s="708"/>
      <c r="AC853" s="708"/>
      <c r="AD853" s="708"/>
      <c r="AE853" s="708"/>
      <c r="AF853" s="708"/>
      <c r="AG853" s="708"/>
      <c r="AH853" s="708"/>
      <c r="AI853" s="708"/>
      <c r="AJ853" s="708"/>
      <c r="AK853" s="708"/>
      <c r="AL853" s="708"/>
      <c r="AM853" s="708"/>
      <c r="AN853" s="708"/>
      <c r="AO853" s="708"/>
      <c r="AP853" s="708"/>
      <c r="AQ853" s="708"/>
      <c r="AR853" s="708"/>
      <c r="AS853" s="708"/>
      <c r="AT853" s="708"/>
      <c r="AU853" s="708"/>
      <c r="AV853" s="708"/>
      <c r="AW853" s="708"/>
      <c r="AX853" s="708"/>
      <c r="AY853" s="708"/>
      <c r="AZ853" s="708"/>
      <c r="BA853" s="708"/>
      <c r="BB853" s="708"/>
      <c r="BC853" s="708"/>
      <c r="BD853" s="708"/>
      <c r="BE853" s="708"/>
      <c r="BF853" s="708"/>
      <c r="BG853" s="708"/>
      <c r="BH853" s="708"/>
      <c r="BI853" s="708"/>
      <c r="BJ853" s="708"/>
      <c r="BK853" s="708"/>
      <c r="BL853" s="708"/>
      <c r="BM853" s="708"/>
      <c r="BN853" s="708"/>
      <c r="BO853" s="708"/>
      <c r="BP853" s="708"/>
      <c r="BQ853" s="708"/>
      <c r="BR853" s="708"/>
      <c r="BS853" s="708"/>
      <c r="BT853" s="708"/>
      <c r="BU853" s="708"/>
      <c r="BV853" s="708"/>
      <c r="BW853" s="708"/>
      <c r="BX853" s="708"/>
      <c r="BY853" s="708"/>
      <c r="BZ853" s="708"/>
      <c r="CA853" s="708"/>
    </row>
    <row r="854" spans="1:79" hidden="1" outlineLevel="1" x14ac:dyDescent="0.35">
      <c r="A854" s="224"/>
      <c r="B854" s="224"/>
      <c r="C854" s="224"/>
      <c r="D854" s="224"/>
      <c r="E854" s="224"/>
      <c r="F854" s="672" t="s">
        <v>662</v>
      </c>
      <c r="G854" s="679"/>
      <c r="H854" s="679"/>
      <c r="I854" s="679"/>
      <c r="J854" s="679"/>
      <c r="K854" s="679"/>
      <c r="L854" s="679"/>
      <c r="M854" s="679"/>
      <c r="N854" s="679"/>
      <c r="O854" s="679"/>
      <c r="P854" s="679"/>
      <c r="Q854" s="679"/>
      <c r="R854" s="679"/>
      <c r="S854" s="679">
        <v>0</v>
      </c>
      <c r="T854" s="679">
        <v>0</v>
      </c>
      <c r="U854" s="679">
        <v>0</v>
      </c>
      <c r="V854" s="679">
        <v>0</v>
      </c>
      <c r="W854" s="679">
        <v>0</v>
      </c>
      <c r="X854" s="679">
        <v>0</v>
      </c>
      <c r="Y854" s="679">
        <v>0</v>
      </c>
      <c r="Z854" s="679">
        <v>0</v>
      </c>
      <c r="AA854" s="679">
        <v>0</v>
      </c>
      <c r="AB854" s="679">
        <v>0</v>
      </c>
      <c r="AC854" s="679">
        <v>0</v>
      </c>
      <c r="AD854" s="679">
        <v>0</v>
      </c>
      <c r="AE854" s="679"/>
      <c r="AF854" s="679"/>
      <c r="AG854" s="679"/>
      <c r="AH854" s="679"/>
      <c r="AI854" s="679"/>
      <c r="AJ854" s="679"/>
      <c r="AK854" s="679"/>
      <c r="AL854" s="679"/>
      <c r="AM854" s="679"/>
      <c r="AN854" s="679"/>
      <c r="AO854" s="679"/>
      <c r="AP854" s="679"/>
      <c r="AQ854" s="679"/>
      <c r="AR854" s="679"/>
      <c r="AS854" s="679"/>
      <c r="AT854" s="679"/>
      <c r="AU854" s="679"/>
      <c r="AV854" s="679"/>
      <c r="AW854" s="679"/>
      <c r="AX854" s="679"/>
      <c r="AY854" s="679"/>
      <c r="AZ854" s="679"/>
      <c r="BA854" s="679"/>
      <c r="BB854" s="679"/>
      <c r="BC854" s="679"/>
      <c r="BD854" s="679"/>
      <c r="BE854" s="679"/>
      <c r="BF854" s="679"/>
      <c r="BG854" s="679"/>
      <c r="BH854" s="679"/>
      <c r="BI854" s="679"/>
      <c r="BJ854" s="679"/>
      <c r="BK854" s="679"/>
      <c r="BL854" s="679"/>
      <c r="BM854" s="679"/>
      <c r="BN854" s="679"/>
      <c r="BO854" s="679"/>
      <c r="BP854" s="679"/>
      <c r="BQ854" s="679"/>
      <c r="BR854" s="679"/>
      <c r="BS854" s="679"/>
      <c r="BT854" s="679"/>
      <c r="BU854" s="679"/>
      <c r="BV854" s="679"/>
      <c r="BW854" s="679"/>
      <c r="BX854" s="679"/>
      <c r="BY854" s="679"/>
      <c r="BZ854" s="679"/>
      <c r="CA854" s="679"/>
    </row>
    <row r="855" spans="1:79" hidden="1" outlineLevel="1" x14ac:dyDescent="0.35">
      <c r="A855" s="224"/>
      <c r="B855" s="224"/>
      <c r="C855" s="224"/>
      <c r="D855" s="224"/>
      <c r="E855" s="224"/>
      <c r="F855" s="672" t="s">
        <v>861</v>
      </c>
      <c r="G855" s="679"/>
      <c r="H855" s="679"/>
      <c r="I855" s="679"/>
      <c r="J855" s="679"/>
      <c r="K855" s="679"/>
      <c r="L855" s="679"/>
      <c r="M855" s="679"/>
      <c r="N855" s="679"/>
      <c r="O855" s="679"/>
      <c r="P855" s="679"/>
      <c r="Q855" s="679"/>
      <c r="R855" s="679"/>
      <c r="S855" s="679">
        <v>0</v>
      </c>
      <c r="T855" s="679">
        <v>0</v>
      </c>
      <c r="U855" s="679">
        <v>0</v>
      </c>
      <c r="V855" s="679">
        <v>0</v>
      </c>
      <c r="W855" s="679">
        <v>0</v>
      </c>
      <c r="X855" s="679">
        <v>0</v>
      </c>
      <c r="Y855" s="679">
        <v>0</v>
      </c>
      <c r="Z855" s="679">
        <v>0</v>
      </c>
      <c r="AA855" s="679">
        <v>0</v>
      </c>
      <c r="AB855" s="679">
        <v>0</v>
      </c>
      <c r="AC855" s="679">
        <v>0</v>
      </c>
      <c r="AD855" s="679">
        <v>0</v>
      </c>
      <c r="AE855" s="679"/>
      <c r="AF855" s="679"/>
      <c r="AG855" s="679"/>
      <c r="AH855" s="679"/>
      <c r="AI855" s="679"/>
      <c r="AJ855" s="679"/>
      <c r="AK855" s="679"/>
      <c r="AL855" s="679"/>
      <c r="AM855" s="679"/>
      <c r="AN855" s="679"/>
      <c r="AO855" s="679"/>
      <c r="AP855" s="679"/>
      <c r="AQ855" s="679"/>
      <c r="AR855" s="679"/>
      <c r="AS855" s="679"/>
      <c r="AT855" s="679"/>
      <c r="AU855" s="679"/>
      <c r="AV855" s="679"/>
      <c r="AW855" s="679"/>
      <c r="AX855" s="679"/>
      <c r="AY855" s="679"/>
      <c r="AZ855" s="679"/>
      <c r="BA855" s="679"/>
      <c r="BB855" s="679"/>
      <c r="BC855" s="679"/>
      <c r="BD855" s="679"/>
      <c r="BE855" s="679"/>
      <c r="BF855" s="679"/>
      <c r="BG855" s="679"/>
      <c r="BH855" s="679"/>
      <c r="BI855" s="679"/>
      <c r="BJ855" s="679"/>
      <c r="BK855" s="679"/>
      <c r="BL855" s="679"/>
      <c r="BM855" s="679"/>
      <c r="BN855" s="679"/>
      <c r="BO855" s="679"/>
      <c r="BP855" s="679"/>
      <c r="BQ855" s="679"/>
      <c r="BR855" s="679"/>
      <c r="BS855" s="679"/>
      <c r="BT855" s="679"/>
      <c r="BU855" s="679"/>
      <c r="BV855" s="679"/>
      <c r="BW855" s="679"/>
      <c r="BX855" s="679"/>
      <c r="BY855" s="679"/>
      <c r="BZ855" s="679"/>
      <c r="CA855" s="679"/>
    </row>
    <row r="856" spans="1:79" hidden="1" outlineLevel="1" x14ac:dyDescent="0.35">
      <c r="A856" s="224"/>
      <c r="B856" s="224"/>
      <c r="C856" s="224"/>
      <c r="D856" s="224"/>
      <c r="E856" s="224"/>
      <c r="F856" s="673" t="s">
        <v>663</v>
      </c>
      <c r="G856" s="680">
        <f>SUM(G854:G855)</f>
        <v>0</v>
      </c>
      <c r="H856" s="680">
        <f t="shared" ref="H856:Q856" si="335">SUM(H854:H855)</f>
        <v>0</v>
      </c>
      <c r="I856" s="680">
        <f t="shared" si="335"/>
        <v>0</v>
      </c>
      <c r="J856" s="680">
        <f t="shared" si="335"/>
        <v>0</v>
      </c>
      <c r="K856" s="680">
        <f t="shared" si="335"/>
        <v>0</v>
      </c>
      <c r="L856" s="680">
        <f t="shared" si="335"/>
        <v>0</v>
      </c>
      <c r="M856" s="680">
        <f t="shared" si="335"/>
        <v>0</v>
      </c>
      <c r="N856" s="680">
        <f t="shared" si="335"/>
        <v>0</v>
      </c>
      <c r="O856" s="680">
        <f t="shared" si="335"/>
        <v>0</v>
      </c>
      <c r="P856" s="680">
        <f t="shared" si="335"/>
        <v>0</v>
      </c>
      <c r="Q856" s="680">
        <f t="shared" si="335"/>
        <v>0</v>
      </c>
      <c r="R856" s="680">
        <f>SUM(R854:R855)</f>
        <v>0</v>
      </c>
      <c r="S856" s="680">
        <f t="shared" ref="S856:AA856" si="336">ROUND(SUM(S853:S855),5)</f>
        <v>0</v>
      </c>
      <c r="T856" s="680">
        <f t="shared" si="336"/>
        <v>0</v>
      </c>
      <c r="U856" s="680">
        <f t="shared" si="336"/>
        <v>0</v>
      </c>
      <c r="V856" s="680">
        <f t="shared" si="336"/>
        <v>0</v>
      </c>
      <c r="W856" s="680">
        <f t="shared" si="336"/>
        <v>0</v>
      </c>
      <c r="X856" s="680">
        <f t="shared" si="336"/>
        <v>0</v>
      </c>
      <c r="Y856" s="680">
        <f t="shared" si="336"/>
        <v>0</v>
      </c>
      <c r="Z856" s="680">
        <f t="shared" si="336"/>
        <v>0</v>
      </c>
      <c r="AA856" s="680">
        <f t="shared" si="336"/>
        <v>0</v>
      </c>
      <c r="AB856" s="680">
        <f>ROUND(SUM(AB853:AB855),5)</f>
        <v>0</v>
      </c>
      <c r="AC856" s="680">
        <f>ROUND(SUM(AC853:AC855),5)</f>
        <v>0</v>
      </c>
      <c r="AD856" s="680">
        <f>ROUND(SUM(AD853:AD855),5)</f>
        <v>0</v>
      </c>
      <c r="AE856" s="680">
        <f t="shared" ref="AE856:BO856" si="337">SUM(AE854:AE855)</f>
        <v>0</v>
      </c>
      <c r="AF856" s="680">
        <f t="shared" si="337"/>
        <v>0</v>
      </c>
      <c r="AG856" s="680">
        <f t="shared" si="337"/>
        <v>0</v>
      </c>
      <c r="AH856" s="680">
        <f t="shared" si="337"/>
        <v>0</v>
      </c>
      <c r="AI856" s="680">
        <f t="shared" si="337"/>
        <v>0</v>
      </c>
      <c r="AJ856" s="680">
        <f t="shared" si="337"/>
        <v>0</v>
      </c>
      <c r="AK856" s="680">
        <f t="shared" si="337"/>
        <v>0</v>
      </c>
      <c r="AL856" s="680">
        <f t="shared" si="337"/>
        <v>0</v>
      </c>
      <c r="AM856" s="680">
        <f t="shared" si="337"/>
        <v>0</v>
      </c>
      <c r="AN856" s="680">
        <f t="shared" si="337"/>
        <v>0</v>
      </c>
      <c r="AO856" s="680">
        <f t="shared" si="337"/>
        <v>0</v>
      </c>
      <c r="AP856" s="680">
        <f t="shared" si="337"/>
        <v>0</v>
      </c>
      <c r="AQ856" s="680">
        <f t="shared" si="337"/>
        <v>0</v>
      </c>
      <c r="AR856" s="680">
        <f t="shared" si="337"/>
        <v>0</v>
      </c>
      <c r="AS856" s="680">
        <f t="shared" si="337"/>
        <v>0</v>
      </c>
      <c r="AT856" s="680">
        <f t="shared" si="337"/>
        <v>0</v>
      </c>
      <c r="AU856" s="680">
        <f t="shared" si="337"/>
        <v>0</v>
      </c>
      <c r="AV856" s="680">
        <f t="shared" si="337"/>
        <v>0</v>
      </c>
      <c r="AW856" s="680">
        <f t="shared" si="337"/>
        <v>0</v>
      </c>
      <c r="AX856" s="680">
        <f t="shared" si="337"/>
        <v>0</v>
      </c>
      <c r="AY856" s="680">
        <f t="shared" si="337"/>
        <v>0</v>
      </c>
      <c r="AZ856" s="680">
        <f t="shared" si="337"/>
        <v>0</v>
      </c>
      <c r="BA856" s="680">
        <f t="shared" si="337"/>
        <v>0</v>
      </c>
      <c r="BB856" s="680">
        <f t="shared" si="337"/>
        <v>0</v>
      </c>
      <c r="BC856" s="680">
        <f t="shared" si="337"/>
        <v>0</v>
      </c>
      <c r="BD856" s="680">
        <f t="shared" si="337"/>
        <v>0</v>
      </c>
      <c r="BE856" s="680">
        <f t="shared" si="337"/>
        <v>0</v>
      </c>
      <c r="BF856" s="680">
        <f t="shared" si="337"/>
        <v>0</v>
      </c>
      <c r="BG856" s="680">
        <f t="shared" si="337"/>
        <v>0</v>
      </c>
      <c r="BH856" s="680">
        <f t="shared" si="337"/>
        <v>0</v>
      </c>
      <c r="BI856" s="680">
        <f t="shared" si="337"/>
        <v>0</v>
      </c>
      <c r="BJ856" s="680">
        <f t="shared" si="337"/>
        <v>0</v>
      </c>
      <c r="BK856" s="680">
        <f t="shared" si="337"/>
        <v>0</v>
      </c>
      <c r="BL856" s="680">
        <f t="shared" si="337"/>
        <v>0</v>
      </c>
      <c r="BM856" s="680">
        <f t="shared" si="337"/>
        <v>0</v>
      </c>
      <c r="BN856" s="680">
        <f t="shared" si="337"/>
        <v>0</v>
      </c>
      <c r="BO856" s="680">
        <f t="shared" si="337"/>
        <v>0</v>
      </c>
      <c r="BP856" s="680">
        <f t="shared" ref="BP856:CA856" si="338">SUM(BP854:BP855)</f>
        <v>0</v>
      </c>
      <c r="BQ856" s="680">
        <f t="shared" si="338"/>
        <v>0</v>
      </c>
      <c r="BR856" s="680">
        <f t="shared" si="338"/>
        <v>0</v>
      </c>
      <c r="BS856" s="680">
        <f t="shared" si="338"/>
        <v>0</v>
      </c>
      <c r="BT856" s="680">
        <f t="shared" si="338"/>
        <v>0</v>
      </c>
      <c r="BU856" s="680">
        <f t="shared" si="338"/>
        <v>0</v>
      </c>
      <c r="BV856" s="680">
        <f t="shared" si="338"/>
        <v>0</v>
      </c>
      <c r="BW856" s="680">
        <f t="shared" si="338"/>
        <v>0</v>
      </c>
      <c r="BX856" s="680">
        <f t="shared" si="338"/>
        <v>0</v>
      </c>
      <c r="BY856" s="680">
        <f t="shared" si="338"/>
        <v>0</v>
      </c>
      <c r="BZ856" s="680">
        <f t="shared" si="338"/>
        <v>0</v>
      </c>
      <c r="CA856" s="680">
        <f t="shared" si="338"/>
        <v>0</v>
      </c>
    </row>
    <row r="857" spans="1:79" hidden="1" outlineLevel="1" x14ac:dyDescent="0.35">
      <c r="A857" s="224"/>
      <c r="B857" s="224"/>
      <c r="C857" s="224"/>
      <c r="D857" s="224"/>
      <c r="E857" s="224"/>
      <c r="F857" s="671" t="s">
        <v>700</v>
      </c>
      <c r="G857" s="679"/>
      <c r="H857" s="679"/>
      <c r="I857" s="679"/>
      <c r="J857" s="679"/>
      <c r="K857" s="679"/>
      <c r="L857" s="679"/>
      <c r="M857" s="679"/>
      <c r="N857" s="679"/>
      <c r="O857" s="679"/>
      <c r="P857" s="679"/>
      <c r="Q857" s="679"/>
      <c r="R857" s="679"/>
      <c r="S857" s="679">
        <v>0</v>
      </c>
      <c r="T857" s="679">
        <v>0</v>
      </c>
      <c r="U857" s="679">
        <v>0</v>
      </c>
      <c r="V857" s="679">
        <v>0</v>
      </c>
      <c r="W857" s="679">
        <v>0</v>
      </c>
      <c r="X857" s="679">
        <v>0</v>
      </c>
      <c r="Y857" s="679">
        <v>0</v>
      </c>
      <c r="Z857" s="679">
        <v>0</v>
      </c>
      <c r="AA857" s="679">
        <v>0</v>
      </c>
      <c r="AB857" s="679">
        <v>0</v>
      </c>
      <c r="AC857" s="679">
        <v>0</v>
      </c>
      <c r="AD857" s="679">
        <v>0</v>
      </c>
      <c r="AE857" s="679"/>
      <c r="AF857" s="679"/>
      <c r="AG857" s="679"/>
      <c r="AH857" s="679"/>
      <c r="AI857" s="679"/>
      <c r="AJ857" s="679"/>
      <c r="AK857" s="679"/>
      <c r="AL857" s="679"/>
      <c r="AM857" s="679"/>
      <c r="AN857" s="679"/>
      <c r="AO857" s="679"/>
      <c r="AP857" s="679"/>
      <c r="AQ857" s="679"/>
      <c r="AR857" s="679"/>
      <c r="AS857" s="679"/>
      <c r="AT857" s="679"/>
      <c r="AU857" s="679"/>
      <c r="AV857" s="679"/>
      <c r="AW857" s="679"/>
      <c r="AX857" s="679"/>
      <c r="AY857" s="679"/>
      <c r="AZ857" s="679"/>
      <c r="BA857" s="679"/>
      <c r="BB857" s="679"/>
      <c r="BC857" s="679"/>
      <c r="BD857" s="679"/>
      <c r="BE857" s="679"/>
      <c r="BF857" s="679"/>
      <c r="BG857" s="679"/>
      <c r="BH857" s="679"/>
      <c r="BI857" s="679"/>
      <c r="BJ857" s="679"/>
      <c r="BK857" s="679"/>
      <c r="BL857" s="679"/>
      <c r="BM857" s="679"/>
      <c r="BN857" s="679"/>
      <c r="BO857" s="679"/>
      <c r="BP857" s="679"/>
      <c r="BQ857" s="679"/>
      <c r="BR857" s="679"/>
      <c r="BS857" s="679"/>
      <c r="BT857" s="679"/>
      <c r="BU857" s="679"/>
      <c r="BV857" s="679"/>
      <c r="BW857" s="679"/>
      <c r="BX857" s="679"/>
      <c r="BY857" s="679"/>
      <c r="BZ857" s="679"/>
      <c r="CA857" s="679"/>
    </row>
    <row r="858" spans="1:79" hidden="1" outlineLevel="1" x14ac:dyDescent="0.35">
      <c r="A858" s="224"/>
      <c r="B858" s="224"/>
      <c r="C858" s="224"/>
      <c r="D858" s="224"/>
      <c r="E858" s="224"/>
      <c r="F858" s="671" t="s">
        <v>862</v>
      </c>
      <c r="G858" s="679"/>
      <c r="H858" s="679"/>
      <c r="I858" s="679"/>
      <c r="J858" s="679"/>
      <c r="K858" s="679"/>
      <c r="L858" s="679"/>
      <c r="M858" s="679"/>
      <c r="N858" s="679"/>
      <c r="O858" s="679"/>
      <c r="P858" s="679"/>
      <c r="Q858" s="679"/>
      <c r="R858" s="679"/>
      <c r="S858" s="679">
        <v>0</v>
      </c>
      <c r="T858" s="679">
        <v>0</v>
      </c>
      <c r="U858" s="679">
        <v>0</v>
      </c>
      <c r="V858" s="679">
        <v>0</v>
      </c>
      <c r="W858" s="679">
        <v>0</v>
      </c>
      <c r="X858" s="679">
        <v>0</v>
      </c>
      <c r="Y858" s="679">
        <v>0</v>
      </c>
      <c r="Z858" s="679">
        <v>0</v>
      </c>
      <c r="AA858" s="679">
        <v>0</v>
      </c>
      <c r="AB858" s="679">
        <v>0</v>
      </c>
      <c r="AC858" s="679">
        <v>0</v>
      </c>
      <c r="AD858" s="679">
        <v>0</v>
      </c>
      <c r="AE858" s="679"/>
      <c r="AF858" s="679"/>
      <c r="AG858" s="679"/>
      <c r="AH858" s="679"/>
      <c r="AI858" s="679"/>
      <c r="AJ858" s="679"/>
      <c r="AK858" s="679"/>
      <c r="AL858" s="679"/>
      <c r="AM858" s="679"/>
      <c r="AN858" s="679"/>
      <c r="AO858" s="679"/>
      <c r="AP858" s="679"/>
      <c r="AQ858" s="679"/>
      <c r="AR858" s="679"/>
      <c r="AS858" s="679"/>
      <c r="AT858" s="679"/>
      <c r="AU858" s="679"/>
      <c r="AV858" s="679"/>
      <c r="AW858" s="679"/>
      <c r="AX858" s="679"/>
      <c r="AY858" s="679"/>
      <c r="AZ858" s="679"/>
      <c r="BA858" s="679"/>
      <c r="BB858" s="679"/>
      <c r="BC858" s="679"/>
      <c r="BD858" s="679"/>
      <c r="BE858" s="679"/>
      <c r="BF858" s="679"/>
      <c r="BG858" s="679"/>
      <c r="BH858" s="679"/>
      <c r="BI858" s="679"/>
      <c r="BJ858" s="679"/>
      <c r="BK858" s="679"/>
      <c r="BL858" s="679"/>
      <c r="BM858" s="679"/>
      <c r="BN858" s="679"/>
      <c r="BO858" s="679"/>
      <c r="BP858" s="679"/>
      <c r="BQ858" s="679"/>
      <c r="BR858" s="679"/>
      <c r="BS858" s="679"/>
      <c r="BT858" s="679"/>
      <c r="BU858" s="679"/>
      <c r="BV858" s="679"/>
      <c r="BW858" s="679"/>
      <c r="BX858" s="679"/>
      <c r="BY858" s="679"/>
      <c r="BZ858" s="679"/>
      <c r="CA858" s="679"/>
    </row>
    <row r="859" spans="1:79" hidden="1" outlineLevel="1" x14ac:dyDescent="0.35">
      <c r="A859" s="224"/>
      <c r="B859" s="224"/>
      <c r="C859" s="224"/>
      <c r="D859" s="224"/>
      <c r="E859" s="224"/>
      <c r="F859" s="671" t="s">
        <v>863</v>
      </c>
      <c r="G859" s="679"/>
      <c r="H859" s="679"/>
      <c r="I859" s="679"/>
      <c r="J859" s="679"/>
      <c r="K859" s="679"/>
      <c r="L859" s="679"/>
      <c r="M859" s="679"/>
      <c r="N859" s="679"/>
      <c r="O859" s="679"/>
      <c r="P859" s="679"/>
      <c r="Q859" s="679"/>
      <c r="R859" s="679"/>
      <c r="S859" s="679">
        <v>0</v>
      </c>
      <c r="T859" s="679">
        <v>0</v>
      </c>
      <c r="U859" s="679">
        <v>0</v>
      </c>
      <c r="V859" s="679">
        <v>0</v>
      </c>
      <c r="W859" s="679">
        <v>0</v>
      </c>
      <c r="X859" s="679">
        <v>0</v>
      </c>
      <c r="Y859" s="679">
        <v>0</v>
      </c>
      <c r="Z859" s="679">
        <v>0</v>
      </c>
      <c r="AA859" s="679">
        <v>0</v>
      </c>
      <c r="AB859" s="679">
        <v>0</v>
      </c>
      <c r="AC859" s="679">
        <v>0</v>
      </c>
      <c r="AD859" s="679">
        <v>0</v>
      </c>
      <c r="AE859" s="679"/>
      <c r="AF859" s="679"/>
      <c r="AG859" s="679"/>
      <c r="AH859" s="679"/>
      <c r="AI859" s="679"/>
      <c r="AJ859" s="679"/>
      <c r="AK859" s="679"/>
      <c r="AL859" s="679"/>
      <c r="AM859" s="679"/>
      <c r="AN859" s="679"/>
      <c r="AO859" s="679"/>
      <c r="AP859" s="679"/>
      <c r="AQ859" s="679"/>
      <c r="AR859" s="679"/>
      <c r="AS859" s="679"/>
      <c r="AT859" s="679"/>
      <c r="AU859" s="679"/>
      <c r="AV859" s="679"/>
      <c r="AW859" s="679"/>
      <c r="AX859" s="679"/>
      <c r="AY859" s="679"/>
      <c r="AZ859" s="679"/>
      <c r="BA859" s="679"/>
      <c r="BB859" s="679"/>
      <c r="BC859" s="679"/>
      <c r="BD859" s="679"/>
      <c r="BE859" s="679"/>
      <c r="BF859" s="679"/>
      <c r="BG859" s="679"/>
      <c r="BH859" s="679"/>
      <c r="BI859" s="679"/>
      <c r="BJ859" s="679"/>
      <c r="BK859" s="679"/>
      <c r="BL859" s="679"/>
      <c r="BM859" s="679"/>
      <c r="BN859" s="679"/>
      <c r="BO859" s="679"/>
      <c r="BP859" s="679"/>
      <c r="BQ859" s="679"/>
      <c r="BR859" s="679"/>
      <c r="BS859" s="679"/>
      <c r="BT859" s="679"/>
      <c r="BU859" s="679"/>
      <c r="BV859" s="679"/>
      <c r="BW859" s="679"/>
      <c r="BX859" s="679"/>
      <c r="BY859" s="679"/>
      <c r="BZ859" s="679"/>
      <c r="CA859" s="679"/>
    </row>
    <row r="860" spans="1:79" hidden="1" outlineLevel="1" x14ac:dyDescent="0.35">
      <c r="A860" s="224"/>
      <c r="B860" s="224"/>
      <c r="C860" s="224"/>
      <c r="D860" s="224"/>
      <c r="E860" s="224"/>
      <c r="F860" s="671" t="s">
        <v>18</v>
      </c>
      <c r="G860" s="679"/>
      <c r="H860" s="679"/>
      <c r="I860" s="679"/>
      <c r="J860" s="679"/>
      <c r="K860" s="679"/>
      <c r="L860" s="679"/>
      <c r="M860" s="679"/>
      <c r="N860" s="679"/>
      <c r="O860" s="679"/>
      <c r="P860" s="679"/>
      <c r="Q860" s="679"/>
      <c r="R860" s="679"/>
      <c r="S860" s="679">
        <v>0</v>
      </c>
      <c r="T860" s="679">
        <v>0</v>
      </c>
      <c r="U860" s="679">
        <v>0</v>
      </c>
      <c r="V860" s="679">
        <v>0</v>
      </c>
      <c r="W860" s="679">
        <v>0</v>
      </c>
      <c r="X860" s="679">
        <v>0</v>
      </c>
      <c r="Y860" s="679">
        <v>0</v>
      </c>
      <c r="Z860" s="679">
        <v>0</v>
      </c>
      <c r="AA860" s="679">
        <v>0</v>
      </c>
      <c r="AB860" s="679">
        <v>0</v>
      </c>
      <c r="AC860" s="679">
        <v>0</v>
      </c>
      <c r="AD860" s="679">
        <v>0</v>
      </c>
      <c r="AE860" s="679"/>
      <c r="AF860" s="679"/>
      <c r="AG860" s="679"/>
      <c r="AH860" s="679"/>
      <c r="AI860" s="679"/>
      <c r="AJ860" s="679"/>
      <c r="AK860" s="679"/>
      <c r="AL860" s="679"/>
      <c r="AM860" s="679"/>
      <c r="AN860" s="679"/>
      <c r="AO860" s="679"/>
      <c r="AP860" s="679"/>
      <c r="AQ860" s="679"/>
      <c r="AR860" s="679"/>
      <c r="AS860" s="679"/>
      <c r="AT860" s="679"/>
      <c r="AU860" s="679"/>
      <c r="AV860" s="679"/>
      <c r="AW860" s="679"/>
      <c r="AX860" s="679"/>
      <c r="AY860" s="679"/>
      <c r="AZ860" s="679"/>
      <c r="BA860" s="679"/>
      <c r="BB860" s="679"/>
      <c r="BC860" s="679"/>
      <c r="BD860" s="679"/>
      <c r="BE860" s="679"/>
      <c r="BF860" s="679"/>
      <c r="BG860" s="679"/>
      <c r="BH860" s="679"/>
      <c r="BI860" s="679"/>
      <c r="BJ860" s="679"/>
      <c r="BK860" s="679"/>
      <c r="BL860" s="679"/>
      <c r="BM860" s="679"/>
      <c r="BN860" s="679"/>
      <c r="BO860" s="679"/>
      <c r="BP860" s="679"/>
      <c r="BQ860" s="679"/>
      <c r="BR860" s="679"/>
      <c r="BS860" s="679"/>
      <c r="BT860" s="679"/>
      <c r="BU860" s="679"/>
      <c r="BV860" s="679"/>
      <c r="BW860" s="679"/>
      <c r="BX860" s="679"/>
      <c r="BY860" s="679"/>
      <c r="BZ860" s="679"/>
      <c r="CA860" s="679"/>
    </row>
    <row r="861" spans="1:79" hidden="1" outlineLevel="1" x14ac:dyDescent="0.35">
      <c r="A861" s="224"/>
      <c r="B861" s="224"/>
      <c r="C861" s="224"/>
      <c r="D861" s="224"/>
      <c r="E861" s="224"/>
      <c r="F861" s="671" t="s">
        <v>864</v>
      </c>
      <c r="G861" s="679"/>
      <c r="H861" s="679"/>
      <c r="I861" s="679"/>
      <c r="J861" s="679"/>
      <c r="K861" s="679"/>
      <c r="L861" s="679"/>
      <c r="M861" s="679"/>
      <c r="N861" s="679"/>
      <c r="O861" s="679"/>
      <c r="P861" s="679"/>
      <c r="Q861" s="679"/>
      <c r="R861" s="679"/>
      <c r="S861" s="679">
        <v>0</v>
      </c>
      <c r="T861" s="679">
        <v>0</v>
      </c>
      <c r="U861" s="679">
        <v>0</v>
      </c>
      <c r="V861" s="679">
        <v>0</v>
      </c>
      <c r="W861" s="679">
        <v>0</v>
      </c>
      <c r="X861" s="679">
        <v>0</v>
      </c>
      <c r="Y861" s="679">
        <v>0</v>
      </c>
      <c r="Z861" s="679">
        <v>0</v>
      </c>
      <c r="AA861" s="679">
        <v>0</v>
      </c>
      <c r="AB861" s="679">
        <v>0</v>
      </c>
      <c r="AC861" s="679">
        <v>0</v>
      </c>
      <c r="AD861" s="679">
        <v>0</v>
      </c>
      <c r="AE861" s="679"/>
      <c r="AF861" s="679"/>
      <c r="AG861" s="679"/>
      <c r="AH861" s="679"/>
      <c r="AI861" s="679"/>
      <c r="AJ861" s="679"/>
      <c r="AK861" s="679"/>
      <c r="AL861" s="679"/>
      <c r="AM861" s="679"/>
      <c r="AN861" s="679"/>
      <c r="AO861" s="679"/>
      <c r="AP861" s="679"/>
      <c r="AQ861" s="679"/>
      <c r="AR861" s="679"/>
      <c r="AS861" s="679"/>
      <c r="AT861" s="679"/>
      <c r="AU861" s="679"/>
      <c r="AV861" s="679"/>
      <c r="AW861" s="679"/>
      <c r="AX861" s="679"/>
      <c r="AY861" s="679"/>
      <c r="AZ861" s="679"/>
      <c r="BA861" s="679"/>
      <c r="BB861" s="679"/>
      <c r="BC861" s="679"/>
      <c r="BD861" s="679"/>
      <c r="BE861" s="679"/>
      <c r="BF861" s="679"/>
      <c r="BG861" s="679"/>
      <c r="BH861" s="679"/>
      <c r="BI861" s="679"/>
      <c r="BJ861" s="679"/>
      <c r="BK861" s="679"/>
      <c r="BL861" s="679"/>
      <c r="BM861" s="679"/>
      <c r="BN861" s="679"/>
      <c r="BO861" s="679"/>
      <c r="BP861" s="679"/>
      <c r="BQ861" s="679"/>
      <c r="BR861" s="679"/>
      <c r="BS861" s="679"/>
      <c r="BT861" s="679"/>
      <c r="BU861" s="679"/>
      <c r="BV861" s="679"/>
      <c r="BW861" s="679"/>
      <c r="BX861" s="679"/>
      <c r="BY861" s="679"/>
      <c r="BZ861" s="679"/>
      <c r="CA861" s="679"/>
    </row>
    <row r="862" spans="1:79" hidden="1" outlineLevel="1" x14ac:dyDescent="0.35">
      <c r="A862" s="709"/>
      <c r="B862" s="709"/>
      <c r="C862" s="709"/>
      <c r="D862" s="709"/>
      <c r="E862" s="709"/>
      <c r="F862" s="707" t="s">
        <v>649</v>
      </c>
      <c r="G862" s="708"/>
      <c r="H862" s="708"/>
      <c r="I862" s="708"/>
      <c r="J862" s="708"/>
      <c r="K862" s="708"/>
      <c r="L862" s="708"/>
      <c r="M862" s="708"/>
      <c r="N862" s="708"/>
      <c r="O862" s="708"/>
      <c r="P862" s="708"/>
      <c r="Q862" s="708"/>
      <c r="R862" s="708"/>
      <c r="S862" s="708"/>
      <c r="T862" s="708"/>
      <c r="U862" s="708"/>
      <c r="V862" s="708"/>
      <c r="W862" s="708"/>
      <c r="X862" s="708"/>
      <c r="Y862" s="708"/>
      <c r="Z862" s="708"/>
      <c r="AA862" s="708"/>
      <c r="AB862" s="708"/>
      <c r="AC862" s="708"/>
      <c r="AD862" s="708"/>
      <c r="AE862" s="708"/>
      <c r="AF862" s="708"/>
      <c r="AG862" s="708"/>
      <c r="AH862" s="708"/>
      <c r="AI862" s="708"/>
      <c r="AJ862" s="708"/>
      <c r="AK862" s="708"/>
      <c r="AL862" s="708"/>
      <c r="AM862" s="708"/>
      <c r="AN862" s="708"/>
      <c r="AO862" s="708"/>
      <c r="AP862" s="708"/>
      <c r="AQ862" s="708"/>
      <c r="AR862" s="708"/>
      <c r="AS862" s="708"/>
      <c r="AT862" s="708"/>
      <c r="AU862" s="708"/>
      <c r="AV862" s="708"/>
      <c r="AW862" s="708"/>
      <c r="AX862" s="708"/>
      <c r="AY862" s="708"/>
      <c r="AZ862" s="708"/>
      <c r="BA862" s="708"/>
      <c r="BB862" s="708"/>
      <c r="BC862" s="708"/>
      <c r="BD862" s="708"/>
      <c r="BE862" s="708"/>
      <c r="BF862" s="708"/>
      <c r="BG862" s="708"/>
      <c r="BH862" s="708"/>
      <c r="BI862" s="708"/>
      <c r="BJ862" s="708"/>
      <c r="BK862" s="708"/>
      <c r="BL862" s="708"/>
      <c r="BM862" s="708"/>
      <c r="BN862" s="708"/>
      <c r="BO862" s="708"/>
      <c r="BP862" s="708"/>
      <c r="BQ862" s="708"/>
      <c r="BR862" s="708"/>
      <c r="BS862" s="708"/>
      <c r="BT862" s="708"/>
      <c r="BU862" s="708"/>
      <c r="BV862" s="708"/>
      <c r="BW862" s="708"/>
      <c r="BX862" s="708"/>
      <c r="BY862" s="708"/>
      <c r="BZ862" s="708"/>
      <c r="CA862" s="708"/>
    </row>
    <row r="863" spans="1:79" hidden="1" outlineLevel="1" x14ac:dyDescent="0.35">
      <c r="A863" s="224"/>
      <c r="B863" s="224"/>
      <c r="C863" s="224"/>
      <c r="D863" s="224"/>
      <c r="E863" s="224"/>
      <c r="F863" s="672" t="s">
        <v>865</v>
      </c>
      <c r="G863" s="679"/>
      <c r="H863" s="679"/>
      <c r="I863" s="679"/>
      <c r="J863" s="679"/>
      <c r="K863" s="679"/>
      <c r="L863" s="679"/>
      <c r="M863" s="679"/>
      <c r="N863" s="679"/>
      <c r="O863" s="679"/>
      <c r="P863" s="679"/>
      <c r="Q863" s="679"/>
      <c r="R863" s="679"/>
      <c r="S863" s="679">
        <v>0</v>
      </c>
      <c r="T863" s="679">
        <v>0</v>
      </c>
      <c r="U863" s="679">
        <v>0</v>
      </c>
      <c r="V863" s="679">
        <v>0</v>
      </c>
      <c r="W863" s="679">
        <v>0</v>
      </c>
      <c r="X863" s="679">
        <v>0</v>
      </c>
      <c r="Y863" s="679">
        <v>0</v>
      </c>
      <c r="Z863" s="679">
        <v>0</v>
      </c>
      <c r="AA863" s="679">
        <v>0</v>
      </c>
      <c r="AB863" s="679">
        <v>0</v>
      </c>
      <c r="AC863" s="679">
        <v>0</v>
      </c>
      <c r="AD863" s="679">
        <v>0</v>
      </c>
      <c r="AE863" s="679"/>
      <c r="AF863" s="679"/>
      <c r="AG863" s="679"/>
      <c r="AH863" s="679"/>
      <c r="AI863" s="679"/>
      <c r="AJ863" s="679"/>
      <c r="AK863" s="679"/>
      <c r="AL863" s="679"/>
      <c r="AM863" s="679"/>
      <c r="AN863" s="679"/>
      <c r="AO863" s="679"/>
      <c r="AP863" s="679"/>
      <c r="AQ863" s="679"/>
      <c r="AR863" s="679"/>
      <c r="AS863" s="679"/>
      <c r="AT863" s="679"/>
      <c r="AU863" s="679"/>
      <c r="AV863" s="679"/>
      <c r="AW863" s="679"/>
      <c r="AX863" s="679"/>
      <c r="AY863" s="679"/>
      <c r="AZ863" s="679"/>
      <c r="BA863" s="679"/>
      <c r="BB863" s="679"/>
      <c r="BC863" s="679"/>
      <c r="BD863" s="679"/>
      <c r="BE863" s="679"/>
      <c r="BF863" s="679"/>
      <c r="BG863" s="679"/>
      <c r="BH863" s="679"/>
      <c r="BI863" s="679"/>
      <c r="BJ863" s="679"/>
      <c r="BK863" s="679"/>
      <c r="BL863" s="679"/>
      <c r="BM863" s="679"/>
      <c r="BN863" s="679"/>
      <c r="BO863" s="679"/>
      <c r="BP863" s="679"/>
      <c r="BQ863" s="679"/>
      <c r="BR863" s="679"/>
      <c r="BS863" s="679"/>
      <c r="BT863" s="679"/>
      <c r="BU863" s="679"/>
      <c r="BV863" s="679"/>
      <c r="BW863" s="679"/>
      <c r="BX863" s="679"/>
      <c r="BY863" s="679"/>
      <c r="BZ863" s="679"/>
      <c r="CA863" s="679"/>
    </row>
    <row r="864" spans="1:79" hidden="1" outlineLevel="1" x14ac:dyDescent="0.35">
      <c r="A864" s="574"/>
      <c r="B864" s="574"/>
      <c r="C864" s="574"/>
      <c r="D864" s="574"/>
      <c r="E864" s="574"/>
      <c r="F864" s="672" t="s">
        <v>866</v>
      </c>
      <c r="G864" s="735"/>
      <c r="H864" s="735"/>
      <c r="I864" s="735"/>
      <c r="J864" s="735"/>
      <c r="K864" s="735"/>
      <c r="L864" s="735"/>
      <c r="M864" s="735"/>
      <c r="N864" s="735"/>
      <c r="O864" s="735"/>
      <c r="P864" s="732"/>
      <c r="Q864" s="732"/>
      <c r="R864" s="732"/>
      <c r="S864" s="679">
        <v>0</v>
      </c>
      <c r="T864" s="679">
        <v>0</v>
      </c>
      <c r="U864" s="679">
        <v>0</v>
      </c>
      <c r="V864" s="679">
        <v>0</v>
      </c>
      <c r="W864" s="679">
        <v>0</v>
      </c>
      <c r="X864" s="679">
        <v>0</v>
      </c>
      <c r="Y864" s="679">
        <v>0</v>
      </c>
      <c r="Z864" s="679">
        <v>0</v>
      </c>
      <c r="AA864" s="679">
        <v>0</v>
      </c>
      <c r="AB864" s="679">
        <v>0</v>
      </c>
      <c r="AC864" s="679">
        <v>0</v>
      </c>
      <c r="AD864" s="679">
        <v>0</v>
      </c>
      <c r="AE864" s="734"/>
      <c r="AF864" s="734"/>
      <c r="AG864" s="734"/>
      <c r="AH864" s="734"/>
      <c r="AI864" s="734"/>
      <c r="AJ864" s="734"/>
      <c r="AK864" s="734"/>
      <c r="AL864" s="734"/>
      <c r="AM864" s="734"/>
      <c r="AN864" s="734"/>
      <c r="AO864" s="734"/>
      <c r="AP864" s="734"/>
      <c r="AQ864" s="734"/>
      <c r="AR864" s="734"/>
      <c r="AS864" s="734"/>
      <c r="AT864" s="734"/>
      <c r="AU864" s="734"/>
      <c r="AV864" s="734"/>
      <c r="AW864" s="734"/>
      <c r="AX864" s="734"/>
      <c r="AY864" s="734"/>
      <c r="AZ864" s="734"/>
      <c r="BA864" s="734"/>
      <c r="BB864" s="734"/>
      <c r="BC864" s="734"/>
      <c r="BD864" s="734"/>
      <c r="BE864" s="734"/>
      <c r="BF864" s="734"/>
      <c r="BG864" s="734"/>
      <c r="BH864" s="734"/>
      <c r="BI864" s="734"/>
      <c r="BJ864" s="734"/>
      <c r="BK864" s="734"/>
      <c r="BL864" s="734"/>
      <c r="BM864" s="734"/>
      <c r="BN864" s="734"/>
      <c r="BO864" s="734"/>
      <c r="BP864" s="734"/>
      <c r="BQ864" s="734"/>
      <c r="BR864" s="734"/>
      <c r="BS864" s="734"/>
      <c r="BT864" s="734"/>
      <c r="BU864" s="734"/>
      <c r="BV864" s="734"/>
      <c r="BW864" s="734"/>
      <c r="BX864" s="734"/>
      <c r="BY864" s="734"/>
      <c r="BZ864" s="734"/>
      <c r="CA864" s="734"/>
    </row>
    <row r="865" spans="1:79" hidden="1" outlineLevel="1" x14ac:dyDescent="0.35">
      <c r="A865" s="224"/>
      <c r="B865" s="224"/>
      <c r="C865" s="224"/>
      <c r="D865" s="224"/>
      <c r="E865" s="224"/>
      <c r="F865" s="673" t="s">
        <v>867</v>
      </c>
      <c r="G865" s="680">
        <f>SUM(G863:G864)</f>
        <v>0</v>
      </c>
      <c r="H865" s="680">
        <f t="shared" ref="H865:BO865" si="339">SUM(H863:H864)</f>
        <v>0</v>
      </c>
      <c r="I865" s="680">
        <f t="shared" si="339"/>
        <v>0</v>
      </c>
      <c r="J865" s="680">
        <f t="shared" si="339"/>
        <v>0</v>
      </c>
      <c r="K865" s="680">
        <f t="shared" si="339"/>
        <v>0</v>
      </c>
      <c r="L865" s="680">
        <f t="shared" si="339"/>
        <v>0</v>
      </c>
      <c r="M865" s="680">
        <f t="shared" si="339"/>
        <v>0</v>
      </c>
      <c r="N865" s="680">
        <f t="shared" si="339"/>
        <v>0</v>
      </c>
      <c r="O865" s="680">
        <f t="shared" si="339"/>
        <v>0</v>
      </c>
      <c r="P865" s="680">
        <f t="shared" si="339"/>
        <v>0</v>
      </c>
      <c r="Q865" s="680">
        <f t="shared" si="339"/>
        <v>0</v>
      </c>
      <c r="R865" s="680">
        <f t="shared" si="339"/>
        <v>0</v>
      </c>
      <c r="S865" s="680">
        <f t="shared" ref="S865:AA865" si="340">ROUND(SUM(S862:S864),5)</f>
        <v>0</v>
      </c>
      <c r="T865" s="680">
        <f t="shared" si="340"/>
        <v>0</v>
      </c>
      <c r="U865" s="680">
        <f t="shared" si="340"/>
        <v>0</v>
      </c>
      <c r="V865" s="680">
        <f t="shared" si="340"/>
        <v>0</v>
      </c>
      <c r="W865" s="680">
        <f t="shared" si="340"/>
        <v>0</v>
      </c>
      <c r="X865" s="680">
        <f t="shared" si="340"/>
        <v>0</v>
      </c>
      <c r="Y865" s="680">
        <f t="shared" si="340"/>
        <v>0</v>
      </c>
      <c r="Z865" s="680">
        <f t="shared" si="340"/>
        <v>0</v>
      </c>
      <c r="AA865" s="680">
        <f t="shared" si="340"/>
        <v>0</v>
      </c>
      <c r="AB865" s="680">
        <f>ROUND(SUM(AB862:AB864),5)</f>
        <v>0</v>
      </c>
      <c r="AC865" s="680">
        <f>ROUND(SUM(AC862:AC864),5)</f>
        <v>0</v>
      </c>
      <c r="AD865" s="680">
        <f>ROUND(SUM(AD862:AD864),5)</f>
        <v>0</v>
      </c>
      <c r="AE865" s="680">
        <f t="shared" si="339"/>
        <v>0</v>
      </c>
      <c r="AF865" s="680">
        <f t="shared" si="339"/>
        <v>0</v>
      </c>
      <c r="AG865" s="680">
        <f t="shared" si="339"/>
        <v>0</v>
      </c>
      <c r="AH865" s="680">
        <f t="shared" si="339"/>
        <v>0</v>
      </c>
      <c r="AI865" s="680">
        <f t="shared" si="339"/>
        <v>0</v>
      </c>
      <c r="AJ865" s="680">
        <f t="shared" si="339"/>
        <v>0</v>
      </c>
      <c r="AK865" s="680">
        <f t="shared" si="339"/>
        <v>0</v>
      </c>
      <c r="AL865" s="680">
        <f t="shared" si="339"/>
        <v>0</v>
      </c>
      <c r="AM865" s="680">
        <f t="shared" si="339"/>
        <v>0</v>
      </c>
      <c r="AN865" s="680">
        <f t="shared" si="339"/>
        <v>0</v>
      </c>
      <c r="AO865" s="680">
        <f t="shared" si="339"/>
        <v>0</v>
      </c>
      <c r="AP865" s="680">
        <f t="shared" si="339"/>
        <v>0</v>
      </c>
      <c r="AQ865" s="680">
        <f t="shared" si="339"/>
        <v>0</v>
      </c>
      <c r="AR865" s="680">
        <f t="shared" si="339"/>
        <v>0</v>
      </c>
      <c r="AS865" s="680">
        <f t="shared" si="339"/>
        <v>0</v>
      </c>
      <c r="AT865" s="680">
        <f t="shared" si="339"/>
        <v>0</v>
      </c>
      <c r="AU865" s="680">
        <f t="shared" si="339"/>
        <v>0</v>
      </c>
      <c r="AV865" s="680">
        <f t="shared" si="339"/>
        <v>0</v>
      </c>
      <c r="AW865" s="680">
        <f t="shared" si="339"/>
        <v>0</v>
      </c>
      <c r="AX865" s="680">
        <f t="shared" si="339"/>
        <v>0</v>
      </c>
      <c r="AY865" s="680">
        <f t="shared" si="339"/>
        <v>0</v>
      </c>
      <c r="AZ865" s="680">
        <f t="shared" si="339"/>
        <v>0</v>
      </c>
      <c r="BA865" s="680">
        <f t="shared" si="339"/>
        <v>0</v>
      </c>
      <c r="BB865" s="680">
        <f t="shared" si="339"/>
        <v>0</v>
      </c>
      <c r="BC865" s="680">
        <f t="shared" si="339"/>
        <v>0</v>
      </c>
      <c r="BD865" s="680">
        <f t="shared" si="339"/>
        <v>0</v>
      </c>
      <c r="BE865" s="680">
        <f t="shared" si="339"/>
        <v>0</v>
      </c>
      <c r="BF865" s="680">
        <f t="shared" si="339"/>
        <v>0</v>
      </c>
      <c r="BG865" s="680">
        <f t="shared" si="339"/>
        <v>0</v>
      </c>
      <c r="BH865" s="680">
        <f t="shared" si="339"/>
        <v>0</v>
      </c>
      <c r="BI865" s="680">
        <f t="shared" si="339"/>
        <v>0</v>
      </c>
      <c r="BJ865" s="680">
        <f t="shared" si="339"/>
        <v>0</v>
      </c>
      <c r="BK865" s="680">
        <f t="shared" si="339"/>
        <v>0</v>
      </c>
      <c r="BL865" s="680">
        <f t="shared" si="339"/>
        <v>0</v>
      </c>
      <c r="BM865" s="680">
        <f t="shared" si="339"/>
        <v>0</v>
      </c>
      <c r="BN865" s="680">
        <f t="shared" si="339"/>
        <v>0</v>
      </c>
      <c r="BO865" s="680">
        <f t="shared" si="339"/>
        <v>0</v>
      </c>
      <c r="BP865" s="680">
        <f t="shared" ref="BP865:CA865" si="341">SUM(BP863:BP864)</f>
        <v>0</v>
      </c>
      <c r="BQ865" s="680">
        <f t="shared" si="341"/>
        <v>0</v>
      </c>
      <c r="BR865" s="680">
        <f t="shared" si="341"/>
        <v>0</v>
      </c>
      <c r="BS865" s="680">
        <f t="shared" si="341"/>
        <v>0</v>
      </c>
      <c r="BT865" s="680">
        <f t="shared" si="341"/>
        <v>0</v>
      </c>
      <c r="BU865" s="680">
        <f t="shared" si="341"/>
        <v>0</v>
      </c>
      <c r="BV865" s="680">
        <f t="shared" si="341"/>
        <v>0</v>
      </c>
      <c r="BW865" s="680">
        <f t="shared" si="341"/>
        <v>0</v>
      </c>
      <c r="BX865" s="680">
        <f t="shared" si="341"/>
        <v>0</v>
      </c>
      <c r="BY865" s="680">
        <f t="shared" si="341"/>
        <v>0</v>
      </c>
      <c r="BZ865" s="680">
        <f t="shared" si="341"/>
        <v>0</v>
      </c>
      <c r="CA865" s="680">
        <f t="shared" si="341"/>
        <v>0</v>
      </c>
    </row>
    <row r="866" spans="1:79" hidden="1" outlineLevel="1" x14ac:dyDescent="0.35">
      <c r="A866" s="224"/>
      <c r="B866" s="224"/>
      <c r="C866" s="224"/>
      <c r="D866" s="224"/>
      <c r="E866" s="224"/>
      <c r="F866" s="671" t="s">
        <v>868</v>
      </c>
      <c r="G866" s="680"/>
      <c r="H866" s="680"/>
      <c r="I866" s="680"/>
      <c r="J866" s="680"/>
      <c r="K866" s="680"/>
      <c r="L866" s="680"/>
      <c r="M866" s="680"/>
      <c r="N866" s="680"/>
      <c r="O866" s="680"/>
      <c r="P866" s="680"/>
      <c r="Q866" s="680"/>
      <c r="R866" s="680"/>
      <c r="S866" s="679">
        <v>0</v>
      </c>
      <c r="T866" s="679">
        <v>0</v>
      </c>
      <c r="U866" s="679">
        <v>0</v>
      </c>
      <c r="V866" s="679">
        <v>0</v>
      </c>
      <c r="W866" s="679">
        <v>0</v>
      </c>
      <c r="X866" s="679">
        <v>0</v>
      </c>
      <c r="Y866" s="679">
        <v>0</v>
      </c>
      <c r="Z866" s="679">
        <v>0</v>
      </c>
      <c r="AA866" s="679">
        <v>0</v>
      </c>
      <c r="AB866" s="679">
        <v>0</v>
      </c>
      <c r="AC866" s="679">
        <v>0</v>
      </c>
      <c r="AD866" s="679">
        <v>0</v>
      </c>
      <c r="AE866" s="680"/>
      <c r="AF866" s="680"/>
      <c r="AG866" s="680"/>
      <c r="AH866" s="680"/>
      <c r="AI866" s="680"/>
      <c r="AJ866" s="680"/>
      <c r="AK866" s="680"/>
      <c r="AL866" s="680"/>
      <c r="AM866" s="680"/>
      <c r="AN866" s="680"/>
      <c r="AO866" s="680"/>
      <c r="AP866" s="680"/>
      <c r="AQ866" s="680"/>
      <c r="AR866" s="680"/>
      <c r="AS866" s="680"/>
      <c r="AT866" s="680"/>
      <c r="AU866" s="680"/>
      <c r="AV866" s="680"/>
      <c r="AW866" s="680"/>
      <c r="AX866" s="680"/>
      <c r="AY866" s="680"/>
      <c r="AZ866" s="680"/>
      <c r="BA866" s="680"/>
      <c r="BB866" s="680"/>
      <c r="BC866" s="680"/>
      <c r="BD866" s="680"/>
      <c r="BE866" s="680"/>
      <c r="BF866" s="680"/>
      <c r="BG866" s="680"/>
      <c r="BH866" s="680"/>
      <c r="BI866" s="680"/>
      <c r="BJ866" s="680"/>
      <c r="BK866" s="680"/>
      <c r="BL866" s="680"/>
      <c r="BM866" s="680"/>
      <c r="BN866" s="680"/>
      <c r="BO866" s="680"/>
      <c r="BP866" s="680"/>
      <c r="BQ866" s="680"/>
      <c r="BR866" s="680"/>
      <c r="BS866" s="680"/>
      <c r="BT866" s="680"/>
      <c r="BU866" s="680"/>
      <c r="BV866" s="680"/>
      <c r="BW866" s="680"/>
      <c r="BX866" s="680"/>
      <c r="BY866" s="680"/>
      <c r="BZ866" s="680"/>
      <c r="CA866" s="680"/>
    </row>
    <row r="867" spans="1:79" hidden="1" outlineLevel="1" x14ac:dyDescent="0.35">
      <c r="A867" s="224"/>
      <c r="B867" s="224"/>
      <c r="C867" s="224"/>
      <c r="D867" s="224"/>
      <c r="E867" s="224"/>
      <c r="F867" s="671" t="s">
        <v>869</v>
      </c>
      <c r="G867" s="680"/>
      <c r="H867" s="680"/>
      <c r="I867" s="680"/>
      <c r="J867" s="680"/>
      <c r="K867" s="680"/>
      <c r="L867" s="680"/>
      <c r="M867" s="680"/>
      <c r="N867" s="680"/>
      <c r="O867" s="680"/>
      <c r="P867" s="680"/>
      <c r="Q867" s="680"/>
      <c r="R867" s="680"/>
      <c r="S867" s="679">
        <v>0</v>
      </c>
      <c r="T867" s="679">
        <v>0</v>
      </c>
      <c r="U867" s="679">
        <v>0</v>
      </c>
      <c r="V867" s="679">
        <v>0</v>
      </c>
      <c r="W867" s="679">
        <v>0</v>
      </c>
      <c r="X867" s="679">
        <v>0</v>
      </c>
      <c r="Y867" s="679">
        <v>0</v>
      </c>
      <c r="Z867" s="679">
        <v>0</v>
      </c>
      <c r="AA867" s="679">
        <v>0</v>
      </c>
      <c r="AB867" s="679">
        <v>0</v>
      </c>
      <c r="AC867" s="679">
        <v>0</v>
      </c>
      <c r="AD867" s="679">
        <v>0</v>
      </c>
      <c r="AE867" s="680"/>
      <c r="AF867" s="680"/>
      <c r="AG867" s="680"/>
      <c r="AH867" s="680"/>
      <c r="AI867" s="680"/>
      <c r="AJ867" s="680"/>
      <c r="AK867" s="680"/>
      <c r="AL867" s="680"/>
      <c r="AM867" s="680"/>
      <c r="AN867" s="680"/>
      <c r="AO867" s="680"/>
      <c r="AP867" s="680"/>
      <c r="AQ867" s="680"/>
      <c r="AR867" s="680"/>
      <c r="AS867" s="680"/>
      <c r="AT867" s="680"/>
      <c r="AU867" s="680"/>
      <c r="AV867" s="680"/>
      <c r="AW867" s="680"/>
      <c r="AX867" s="680"/>
      <c r="AY867" s="680"/>
      <c r="AZ867" s="680"/>
      <c r="BA867" s="680"/>
      <c r="BB867" s="680"/>
      <c r="BC867" s="680"/>
      <c r="BD867" s="680"/>
      <c r="BE867" s="680"/>
      <c r="BF867" s="680"/>
      <c r="BG867" s="680"/>
      <c r="BH867" s="680"/>
      <c r="BI867" s="680"/>
      <c r="BJ867" s="680"/>
      <c r="BK867" s="680"/>
      <c r="BL867" s="680"/>
      <c r="BM867" s="680"/>
      <c r="BN867" s="680"/>
      <c r="BO867" s="680"/>
      <c r="BP867" s="680"/>
      <c r="BQ867" s="680"/>
      <c r="BR867" s="680"/>
      <c r="BS867" s="680"/>
      <c r="BT867" s="680"/>
      <c r="BU867" s="680"/>
      <c r="BV867" s="680"/>
      <c r="BW867" s="680"/>
      <c r="BX867" s="680"/>
      <c r="BY867" s="680"/>
      <c r="BZ867" s="680"/>
      <c r="CA867" s="680"/>
    </row>
    <row r="868" spans="1:79" s="709" customFormat="1" hidden="1" outlineLevel="1" x14ac:dyDescent="0.35">
      <c r="F868" s="707" t="s">
        <v>870</v>
      </c>
      <c r="G868" s="763"/>
      <c r="H868" s="763"/>
      <c r="I868" s="763"/>
      <c r="J868" s="763"/>
      <c r="K868" s="763"/>
      <c r="L868" s="763"/>
      <c r="M868" s="763"/>
      <c r="N868" s="763"/>
      <c r="O868" s="763"/>
      <c r="P868" s="763"/>
      <c r="Q868" s="763"/>
      <c r="R868" s="763"/>
      <c r="S868" s="708"/>
      <c r="T868" s="708"/>
      <c r="U868" s="708"/>
      <c r="V868" s="708"/>
      <c r="W868" s="708"/>
      <c r="X868" s="708"/>
      <c r="Y868" s="708"/>
      <c r="Z868" s="708"/>
      <c r="AA868" s="708"/>
      <c r="AB868" s="708"/>
      <c r="AC868" s="708"/>
      <c r="AD868" s="708"/>
      <c r="AE868" s="763"/>
      <c r="AF868" s="763"/>
      <c r="AG868" s="763"/>
      <c r="AH868" s="763"/>
      <c r="AI868" s="763"/>
      <c r="AJ868" s="763"/>
      <c r="AK868" s="763"/>
      <c r="AL868" s="763"/>
      <c r="AM868" s="763"/>
      <c r="AN868" s="763"/>
      <c r="AO868" s="763"/>
      <c r="AP868" s="763"/>
      <c r="AQ868" s="763"/>
      <c r="AR868" s="763"/>
      <c r="AS868" s="763"/>
      <c r="AT868" s="763"/>
      <c r="AU868" s="763"/>
      <c r="AV868" s="763"/>
      <c r="AW868" s="763"/>
      <c r="AX868" s="763"/>
      <c r="AY868" s="763"/>
      <c r="AZ868" s="763"/>
      <c r="BA868" s="763"/>
      <c r="BB868" s="763"/>
      <c r="BC868" s="763"/>
      <c r="BD868" s="763"/>
      <c r="BE868" s="763"/>
      <c r="BF868" s="763"/>
      <c r="BG868" s="763"/>
      <c r="BH868" s="763"/>
      <c r="BI868" s="763"/>
      <c r="BJ868" s="763"/>
      <c r="BK868" s="763"/>
      <c r="BL868" s="763"/>
      <c r="BM868" s="763"/>
      <c r="BN868" s="763"/>
      <c r="BO868" s="763"/>
      <c r="BP868" s="763"/>
      <c r="BQ868" s="763"/>
      <c r="BR868" s="763"/>
      <c r="BS868" s="763"/>
      <c r="BT868" s="763"/>
      <c r="BU868" s="763"/>
      <c r="BV868" s="763"/>
      <c r="BW868" s="763"/>
      <c r="BX868" s="763"/>
      <c r="BY868" s="763"/>
      <c r="BZ868" s="763"/>
      <c r="CA868" s="763"/>
    </row>
    <row r="869" spans="1:79" hidden="1" outlineLevel="1" x14ac:dyDescent="0.35">
      <c r="A869" s="224"/>
      <c r="B869" s="224"/>
      <c r="C869" s="224"/>
      <c r="D869" s="224"/>
      <c r="E869" s="224"/>
      <c r="F869" s="672" t="s">
        <v>871</v>
      </c>
      <c r="G869" s="680"/>
      <c r="H869" s="680"/>
      <c r="I869" s="680"/>
      <c r="J869" s="680"/>
      <c r="K869" s="680"/>
      <c r="L869" s="680"/>
      <c r="M869" s="680"/>
      <c r="N869" s="680"/>
      <c r="O869" s="680"/>
      <c r="P869" s="680"/>
      <c r="Q869" s="680"/>
      <c r="R869" s="680"/>
      <c r="S869" s="679">
        <v>0</v>
      </c>
      <c r="T869" s="679">
        <v>0</v>
      </c>
      <c r="U869" s="679">
        <v>0</v>
      </c>
      <c r="V869" s="679">
        <v>0</v>
      </c>
      <c r="W869" s="679">
        <v>0</v>
      </c>
      <c r="X869" s="679">
        <v>0</v>
      </c>
      <c r="Y869" s="679">
        <v>0</v>
      </c>
      <c r="Z869" s="679">
        <v>0</v>
      </c>
      <c r="AA869" s="679">
        <v>0</v>
      </c>
      <c r="AB869" s="679">
        <v>0</v>
      </c>
      <c r="AC869" s="679">
        <v>0</v>
      </c>
      <c r="AD869" s="679">
        <v>0</v>
      </c>
      <c r="AE869" s="680"/>
      <c r="AF869" s="680"/>
      <c r="AG869" s="680"/>
      <c r="AH869" s="680"/>
      <c r="AI869" s="680"/>
      <c r="AJ869" s="680"/>
      <c r="AK869" s="680"/>
      <c r="AL869" s="680"/>
      <c r="AM869" s="680"/>
      <c r="AN869" s="680"/>
      <c r="AO869" s="680"/>
      <c r="AP869" s="680"/>
      <c r="AQ869" s="680"/>
      <c r="AR869" s="680"/>
      <c r="AS869" s="680"/>
      <c r="AT869" s="680"/>
      <c r="AU869" s="680"/>
      <c r="AV869" s="680"/>
      <c r="AW869" s="680"/>
      <c r="AX869" s="680"/>
      <c r="AY869" s="680"/>
      <c r="AZ869" s="680"/>
      <c r="BA869" s="680"/>
      <c r="BB869" s="680"/>
      <c r="BC869" s="680"/>
      <c r="BD869" s="680"/>
      <c r="BE869" s="680"/>
      <c r="BF869" s="680"/>
      <c r="BG869" s="680"/>
      <c r="BH869" s="680"/>
      <c r="BI869" s="680"/>
      <c r="BJ869" s="680"/>
      <c r="BK869" s="680"/>
      <c r="BL869" s="680"/>
      <c r="BM869" s="680"/>
      <c r="BN869" s="680"/>
      <c r="BO869" s="680"/>
      <c r="BP869" s="680"/>
      <c r="BQ869" s="680"/>
      <c r="BR869" s="680"/>
      <c r="BS869" s="680"/>
      <c r="BT869" s="680"/>
      <c r="BU869" s="680"/>
      <c r="BV869" s="680"/>
      <c r="BW869" s="680"/>
      <c r="BX869" s="680"/>
      <c r="BY869" s="680"/>
      <c r="BZ869" s="680"/>
      <c r="CA869" s="680"/>
    </row>
    <row r="870" spans="1:79" hidden="1" outlineLevel="1" x14ac:dyDescent="0.35">
      <c r="A870" s="224"/>
      <c r="B870" s="224"/>
      <c r="C870" s="224"/>
      <c r="D870" s="224"/>
      <c r="E870" s="224"/>
      <c r="F870" s="672" t="s">
        <v>872</v>
      </c>
      <c r="G870" s="680"/>
      <c r="H870" s="680"/>
      <c r="I870" s="680"/>
      <c r="J870" s="680"/>
      <c r="K870" s="680"/>
      <c r="L870" s="680"/>
      <c r="M870" s="680"/>
      <c r="N870" s="680"/>
      <c r="O870" s="680"/>
      <c r="P870" s="680"/>
      <c r="Q870" s="680"/>
      <c r="R870" s="680"/>
      <c r="S870" s="679">
        <v>0</v>
      </c>
      <c r="T870" s="679">
        <v>0</v>
      </c>
      <c r="U870" s="679">
        <v>0</v>
      </c>
      <c r="V870" s="679">
        <v>0</v>
      </c>
      <c r="W870" s="679">
        <v>0</v>
      </c>
      <c r="X870" s="679">
        <v>0</v>
      </c>
      <c r="Y870" s="679">
        <v>0</v>
      </c>
      <c r="Z870" s="679">
        <v>0</v>
      </c>
      <c r="AA870" s="679">
        <v>0</v>
      </c>
      <c r="AB870" s="679">
        <v>0</v>
      </c>
      <c r="AC870" s="679">
        <v>0</v>
      </c>
      <c r="AD870" s="679">
        <v>0</v>
      </c>
      <c r="AE870" s="680"/>
      <c r="AF870" s="680"/>
      <c r="AG870" s="680"/>
      <c r="AH870" s="680"/>
      <c r="AI870" s="680"/>
      <c r="AJ870" s="680"/>
      <c r="AK870" s="680"/>
      <c r="AL870" s="680"/>
      <c r="AM870" s="680"/>
      <c r="AN870" s="680"/>
      <c r="AO870" s="680"/>
      <c r="AP870" s="680"/>
      <c r="AQ870" s="680"/>
      <c r="AR870" s="680"/>
      <c r="AS870" s="680"/>
      <c r="AT870" s="680"/>
      <c r="AU870" s="680"/>
      <c r="AV870" s="680"/>
      <c r="AW870" s="680"/>
      <c r="AX870" s="680"/>
      <c r="AY870" s="680"/>
      <c r="AZ870" s="680"/>
      <c r="BA870" s="680"/>
      <c r="BB870" s="680"/>
      <c r="BC870" s="680"/>
      <c r="BD870" s="680"/>
      <c r="BE870" s="680"/>
      <c r="BF870" s="680"/>
      <c r="BG870" s="680"/>
      <c r="BH870" s="680"/>
      <c r="BI870" s="680"/>
      <c r="BJ870" s="680"/>
      <c r="BK870" s="680"/>
      <c r="BL870" s="680"/>
      <c r="BM870" s="680"/>
      <c r="BN870" s="680"/>
      <c r="BO870" s="680"/>
      <c r="BP870" s="680"/>
      <c r="BQ870" s="680"/>
      <c r="BR870" s="680"/>
      <c r="BS870" s="680"/>
      <c r="BT870" s="680"/>
      <c r="BU870" s="680"/>
      <c r="BV870" s="680"/>
      <c r="BW870" s="680"/>
      <c r="BX870" s="680"/>
      <c r="BY870" s="680"/>
      <c r="BZ870" s="680"/>
      <c r="CA870" s="680"/>
    </row>
    <row r="871" spans="1:79" hidden="1" outlineLevel="1" x14ac:dyDescent="0.35">
      <c r="A871" s="224"/>
      <c r="B871" s="224"/>
      <c r="C871" s="224"/>
      <c r="D871" s="224"/>
      <c r="E871" s="224"/>
      <c r="F871" s="673" t="s">
        <v>873</v>
      </c>
      <c r="G871" s="680">
        <f>SUM(G869:G870)</f>
        <v>0</v>
      </c>
      <c r="H871" s="680">
        <f t="shared" ref="H871:BO871" si="342">SUM(H869:H870)</f>
        <v>0</v>
      </c>
      <c r="I871" s="680">
        <f t="shared" si="342"/>
        <v>0</v>
      </c>
      <c r="J871" s="680">
        <f t="shared" si="342"/>
        <v>0</v>
      </c>
      <c r="K871" s="680">
        <f t="shared" si="342"/>
        <v>0</v>
      </c>
      <c r="L871" s="680">
        <f t="shared" si="342"/>
        <v>0</v>
      </c>
      <c r="M871" s="680">
        <f t="shared" si="342"/>
        <v>0</v>
      </c>
      <c r="N871" s="680">
        <f t="shared" si="342"/>
        <v>0</v>
      </c>
      <c r="O871" s="680">
        <f t="shared" si="342"/>
        <v>0</v>
      </c>
      <c r="P871" s="680">
        <f t="shared" si="342"/>
        <v>0</v>
      </c>
      <c r="Q871" s="680">
        <f t="shared" si="342"/>
        <v>0</v>
      </c>
      <c r="R871" s="680">
        <f t="shared" si="342"/>
        <v>0</v>
      </c>
      <c r="S871" s="680">
        <f t="shared" ref="S871:AA871" si="343">ROUND(SUM(S868:S870),5)</f>
        <v>0</v>
      </c>
      <c r="T871" s="680">
        <f t="shared" si="343"/>
        <v>0</v>
      </c>
      <c r="U871" s="680">
        <f t="shared" si="343"/>
        <v>0</v>
      </c>
      <c r="V871" s="680">
        <f t="shared" si="343"/>
        <v>0</v>
      </c>
      <c r="W871" s="680">
        <f t="shared" si="343"/>
        <v>0</v>
      </c>
      <c r="X871" s="680">
        <f t="shared" si="343"/>
        <v>0</v>
      </c>
      <c r="Y871" s="680">
        <f t="shared" si="343"/>
        <v>0</v>
      </c>
      <c r="Z871" s="680">
        <f t="shared" si="343"/>
        <v>0</v>
      </c>
      <c r="AA871" s="680">
        <f t="shared" si="343"/>
        <v>0</v>
      </c>
      <c r="AB871" s="680">
        <f>ROUND(SUM(AB868:AB870),5)</f>
        <v>0</v>
      </c>
      <c r="AC871" s="680">
        <f>ROUND(SUM(AC868:AC870),5)</f>
        <v>0</v>
      </c>
      <c r="AD871" s="680">
        <f>ROUND(SUM(AD868:AD870),5)</f>
        <v>0</v>
      </c>
      <c r="AE871" s="680">
        <f t="shared" si="342"/>
        <v>0</v>
      </c>
      <c r="AF871" s="680">
        <f t="shared" si="342"/>
        <v>0</v>
      </c>
      <c r="AG871" s="680">
        <f t="shared" si="342"/>
        <v>0</v>
      </c>
      <c r="AH871" s="680">
        <f t="shared" si="342"/>
        <v>0</v>
      </c>
      <c r="AI871" s="680">
        <f t="shared" si="342"/>
        <v>0</v>
      </c>
      <c r="AJ871" s="680">
        <f t="shared" si="342"/>
        <v>0</v>
      </c>
      <c r="AK871" s="680">
        <f t="shared" si="342"/>
        <v>0</v>
      </c>
      <c r="AL871" s="680">
        <f t="shared" si="342"/>
        <v>0</v>
      </c>
      <c r="AM871" s="680">
        <f t="shared" si="342"/>
        <v>0</v>
      </c>
      <c r="AN871" s="680">
        <f t="shared" si="342"/>
        <v>0</v>
      </c>
      <c r="AO871" s="680">
        <f t="shared" si="342"/>
        <v>0</v>
      </c>
      <c r="AP871" s="680">
        <f t="shared" si="342"/>
        <v>0</v>
      </c>
      <c r="AQ871" s="680">
        <f t="shared" si="342"/>
        <v>0</v>
      </c>
      <c r="AR871" s="680">
        <f t="shared" si="342"/>
        <v>0</v>
      </c>
      <c r="AS871" s="680">
        <f t="shared" si="342"/>
        <v>0</v>
      </c>
      <c r="AT871" s="680">
        <f t="shared" si="342"/>
        <v>0</v>
      </c>
      <c r="AU871" s="680">
        <f t="shared" si="342"/>
        <v>0</v>
      </c>
      <c r="AV871" s="680">
        <f t="shared" si="342"/>
        <v>0</v>
      </c>
      <c r="AW871" s="680">
        <f t="shared" si="342"/>
        <v>0</v>
      </c>
      <c r="AX871" s="680">
        <f t="shared" si="342"/>
        <v>0</v>
      </c>
      <c r="AY871" s="680">
        <f t="shared" si="342"/>
        <v>0</v>
      </c>
      <c r="AZ871" s="680">
        <f t="shared" si="342"/>
        <v>0</v>
      </c>
      <c r="BA871" s="680">
        <f t="shared" si="342"/>
        <v>0</v>
      </c>
      <c r="BB871" s="680">
        <f t="shared" si="342"/>
        <v>0</v>
      </c>
      <c r="BC871" s="680">
        <f t="shared" si="342"/>
        <v>0</v>
      </c>
      <c r="BD871" s="680">
        <f t="shared" si="342"/>
        <v>0</v>
      </c>
      <c r="BE871" s="680">
        <f t="shared" si="342"/>
        <v>0</v>
      </c>
      <c r="BF871" s="680">
        <f t="shared" si="342"/>
        <v>0</v>
      </c>
      <c r="BG871" s="680">
        <f t="shared" si="342"/>
        <v>0</v>
      </c>
      <c r="BH871" s="680">
        <f t="shared" si="342"/>
        <v>0</v>
      </c>
      <c r="BI871" s="680">
        <f t="shared" si="342"/>
        <v>0</v>
      </c>
      <c r="BJ871" s="680">
        <f t="shared" si="342"/>
        <v>0</v>
      </c>
      <c r="BK871" s="680">
        <f t="shared" si="342"/>
        <v>0</v>
      </c>
      <c r="BL871" s="680">
        <f t="shared" si="342"/>
        <v>0</v>
      </c>
      <c r="BM871" s="680">
        <f t="shared" si="342"/>
        <v>0</v>
      </c>
      <c r="BN871" s="680">
        <f t="shared" si="342"/>
        <v>0</v>
      </c>
      <c r="BO871" s="680">
        <f t="shared" si="342"/>
        <v>0</v>
      </c>
      <c r="BP871" s="680">
        <f t="shared" ref="BP871:CA871" si="344">SUM(BP869:BP870)</f>
        <v>0</v>
      </c>
      <c r="BQ871" s="680">
        <f t="shared" si="344"/>
        <v>0</v>
      </c>
      <c r="BR871" s="680">
        <f t="shared" si="344"/>
        <v>0</v>
      </c>
      <c r="BS871" s="680">
        <f t="shared" si="344"/>
        <v>0</v>
      </c>
      <c r="BT871" s="680">
        <f t="shared" si="344"/>
        <v>0</v>
      </c>
      <c r="BU871" s="680">
        <f t="shared" si="344"/>
        <v>0</v>
      </c>
      <c r="BV871" s="680">
        <f t="shared" si="344"/>
        <v>0</v>
      </c>
      <c r="BW871" s="680">
        <f t="shared" si="344"/>
        <v>0</v>
      </c>
      <c r="BX871" s="680">
        <f t="shared" si="344"/>
        <v>0</v>
      </c>
      <c r="BY871" s="680">
        <f t="shared" si="344"/>
        <v>0</v>
      </c>
      <c r="BZ871" s="680">
        <f t="shared" si="344"/>
        <v>0</v>
      </c>
      <c r="CA871" s="680">
        <f t="shared" si="344"/>
        <v>0</v>
      </c>
    </row>
    <row r="872" spans="1:79" s="709" customFormat="1" hidden="1" outlineLevel="1" x14ac:dyDescent="0.35">
      <c r="F872" s="710" t="s">
        <v>650</v>
      </c>
      <c r="G872" s="763"/>
      <c r="H872" s="763"/>
      <c r="I872" s="763"/>
      <c r="J872" s="763"/>
      <c r="K872" s="763"/>
      <c r="L872" s="763"/>
      <c r="M872" s="763"/>
      <c r="N872" s="763"/>
      <c r="O872" s="763"/>
      <c r="P872" s="763"/>
      <c r="Q872" s="763"/>
      <c r="R872" s="763"/>
      <c r="S872" s="708"/>
      <c r="T872" s="708"/>
      <c r="U872" s="708"/>
      <c r="V872" s="708"/>
      <c r="W872" s="708"/>
      <c r="X872" s="708"/>
      <c r="Y872" s="708"/>
      <c r="Z872" s="708"/>
      <c r="AA872" s="708"/>
      <c r="AB872" s="708"/>
      <c r="AC872" s="708"/>
      <c r="AD872" s="708"/>
      <c r="AE872" s="763"/>
      <c r="AF872" s="763"/>
      <c r="AG872" s="763"/>
      <c r="AH872" s="763"/>
      <c r="AI872" s="763"/>
      <c r="AJ872" s="763"/>
      <c r="AK872" s="763"/>
      <c r="AL872" s="763"/>
      <c r="AM872" s="763"/>
      <c r="AN872" s="763"/>
      <c r="AO872" s="763"/>
      <c r="AP872" s="763"/>
      <c r="AQ872" s="763"/>
      <c r="AR872" s="763"/>
      <c r="AS872" s="763"/>
      <c r="AT872" s="763"/>
      <c r="AU872" s="763"/>
      <c r="AV872" s="763"/>
      <c r="AW872" s="763"/>
      <c r="AX872" s="763"/>
      <c r="AY872" s="763"/>
      <c r="AZ872" s="763"/>
      <c r="BA872" s="763"/>
      <c r="BB872" s="763"/>
      <c r="BC872" s="763"/>
      <c r="BD872" s="763"/>
      <c r="BE872" s="763"/>
      <c r="BF872" s="763"/>
      <c r="BG872" s="763"/>
      <c r="BH872" s="763"/>
      <c r="BI872" s="763"/>
      <c r="BJ872" s="763"/>
      <c r="BK872" s="763"/>
      <c r="BL872" s="763"/>
      <c r="BM872" s="763"/>
      <c r="BN872" s="763"/>
      <c r="BO872" s="763"/>
      <c r="BP872" s="763"/>
      <c r="BQ872" s="763"/>
      <c r="BR872" s="763"/>
      <c r="BS872" s="763"/>
      <c r="BT872" s="763"/>
      <c r="BU872" s="763"/>
      <c r="BV872" s="763"/>
      <c r="BW872" s="763"/>
      <c r="BX872" s="763"/>
      <c r="BY872" s="763"/>
      <c r="BZ872" s="763"/>
      <c r="CA872" s="763"/>
    </row>
    <row r="873" spans="1:79" hidden="1" outlineLevel="1" x14ac:dyDescent="0.35">
      <c r="A873" s="224"/>
      <c r="B873" s="224"/>
      <c r="C873" s="224"/>
      <c r="D873" s="224"/>
      <c r="E873" s="224"/>
      <c r="F873" s="672" t="s">
        <v>874</v>
      </c>
      <c r="G873" s="680"/>
      <c r="H873" s="680"/>
      <c r="I873" s="680"/>
      <c r="J873" s="680"/>
      <c r="K873" s="680"/>
      <c r="L873" s="680"/>
      <c r="M873" s="680"/>
      <c r="N873" s="680"/>
      <c r="O873" s="680"/>
      <c r="P873" s="680"/>
      <c r="Q873" s="680"/>
      <c r="R873" s="680"/>
      <c r="S873" s="679">
        <v>0</v>
      </c>
      <c r="T873" s="679">
        <v>0</v>
      </c>
      <c r="U873" s="679">
        <v>0</v>
      </c>
      <c r="V873" s="679">
        <v>0</v>
      </c>
      <c r="W873" s="679">
        <v>0</v>
      </c>
      <c r="X873" s="679">
        <v>0</v>
      </c>
      <c r="Y873" s="679">
        <v>0</v>
      </c>
      <c r="Z873" s="679">
        <v>0</v>
      </c>
      <c r="AA873" s="679">
        <v>0</v>
      </c>
      <c r="AB873" s="679">
        <v>0</v>
      </c>
      <c r="AC873" s="679">
        <v>0</v>
      </c>
      <c r="AD873" s="679">
        <v>0</v>
      </c>
      <c r="AE873" s="680"/>
      <c r="AF873" s="680"/>
      <c r="AG873" s="680"/>
      <c r="AH873" s="680"/>
      <c r="AI873" s="680"/>
      <c r="AJ873" s="680"/>
      <c r="AK873" s="680"/>
      <c r="AL873" s="680"/>
      <c r="AM873" s="680"/>
      <c r="AN873" s="680"/>
      <c r="AO873" s="680"/>
      <c r="AP873" s="680"/>
      <c r="AQ873" s="680"/>
      <c r="AR873" s="680"/>
      <c r="AS873" s="680"/>
      <c r="AT873" s="680"/>
      <c r="AU873" s="680"/>
      <c r="AV873" s="680"/>
      <c r="AW873" s="680"/>
      <c r="AX873" s="680"/>
      <c r="AY873" s="680"/>
      <c r="AZ873" s="680"/>
      <c r="BA873" s="680"/>
      <c r="BB873" s="680"/>
      <c r="BC873" s="680"/>
      <c r="BD873" s="680"/>
      <c r="BE873" s="680"/>
      <c r="BF873" s="680"/>
      <c r="BG873" s="680"/>
      <c r="BH873" s="680"/>
      <c r="BI873" s="680"/>
      <c r="BJ873" s="680"/>
      <c r="BK873" s="680"/>
      <c r="BL873" s="680"/>
      <c r="BM873" s="680"/>
      <c r="BN873" s="680"/>
      <c r="BO873" s="680"/>
      <c r="BP873" s="680"/>
      <c r="BQ873" s="680"/>
      <c r="BR873" s="680"/>
      <c r="BS873" s="680"/>
      <c r="BT873" s="680"/>
      <c r="BU873" s="680"/>
      <c r="BV873" s="680"/>
      <c r="BW873" s="680"/>
      <c r="BX873" s="680"/>
      <c r="BY873" s="680"/>
      <c r="BZ873" s="680"/>
      <c r="CA873" s="680"/>
    </row>
    <row r="874" spans="1:79" hidden="1" outlineLevel="1" x14ac:dyDescent="0.35">
      <c r="F874" s="672" t="s">
        <v>875</v>
      </c>
      <c r="G874" s="739"/>
      <c r="H874" s="739"/>
      <c r="I874" s="739"/>
      <c r="J874" s="739"/>
      <c r="K874" s="739"/>
      <c r="L874" s="739"/>
      <c r="M874" s="739"/>
      <c r="N874" s="739"/>
      <c r="O874" s="739"/>
      <c r="P874" s="734"/>
      <c r="Q874" s="734"/>
      <c r="R874" s="734"/>
      <c r="S874" s="679">
        <v>0</v>
      </c>
      <c r="T874" s="679">
        <v>17.239999999999998</v>
      </c>
      <c r="U874" s="679">
        <v>0</v>
      </c>
      <c r="V874" s="679">
        <v>0</v>
      </c>
      <c r="W874" s="679">
        <v>0</v>
      </c>
      <c r="X874" s="679">
        <v>0</v>
      </c>
      <c r="Y874" s="679">
        <v>0</v>
      </c>
      <c r="Z874" s="679">
        <v>0</v>
      </c>
      <c r="AA874" s="679">
        <v>0</v>
      </c>
      <c r="AB874" s="679">
        <v>0</v>
      </c>
      <c r="AC874" s="679">
        <v>0</v>
      </c>
      <c r="AD874" s="679">
        <v>0</v>
      </c>
      <c r="AE874" s="732"/>
      <c r="AF874" s="732"/>
      <c r="AG874" s="732"/>
      <c r="AH874" s="732"/>
      <c r="AI874" s="732"/>
      <c r="AJ874" s="732"/>
      <c r="AK874" s="732"/>
      <c r="AL874" s="732"/>
      <c r="AM874" s="732"/>
      <c r="AN874" s="732"/>
      <c r="AO874" s="732"/>
      <c r="AP874" s="732"/>
      <c r="AQ874" s="732"/>
      <c r="AR874" s="732"/>
      <c r="AS874" s="732"/>
      <c r="AT874" s="732"/>
      <c r="AU874" s="732"/>
      <c r="AV874" s="732"/>
      <c r="AW874" s="732"/>
      <c r="AX874" s="732"/>
      <c r="AY874" s="732"/>
      <c r="AZ874" s="732"/>
      <c r="BA874" s="732"/>
      <c r="BB874" s="732"/>
      <c r="BC874" s="732"/>
      <c r="BD874" s="732"/>
      <c r="BE874" s="732"/>
      <c r="BF874" s="732"/>
      <c r="BG874" s="732"/>
      <c r="BH874" s="732"/>
      <c r="BI874" s="732"/>
      <c r="BJ874" s="732"/>
      <c r="BK874" s="732"/>
      <c r="BL874" s="732"/>
      <c r="BM874" s="732"/>
      <c r="BN874" s="732"/>
      <c r="BO874" s="732"/>
      <c r="BP874" s="732"/>
      <c r="BQ874" s="732"/>
      <c r="BR874" s="732"/>
      <c r="BS874" s="732"/>
      <c r="BT874" s="732"/>
      <c r="BU874" s="732"/>
      <c r="BV874" s="732"/>
      <c r="BW874" s="732"/>
      <c r="BX874" s="732"/>
      <c r="BY874" s="732"/>
      <c r="BZ874" s="732"/>
      <c r="CA874" s="732"/>
    </row>
    <row r="875" spans="1:79" hidden="1" outlineLevel="1" x14ac:dyDescent="0.35">
      <c r="A875" s="574"/>
      <c r="B875" s="574"/>
      <c r="C875" s="574"/>
      <c r="D875" s="574"/>
      <c r="E875" s="574"/>
      <c r="F875" s="673" t="s">
        <v>876</v>
      </c>
      <c r="G875" s="680">
        <f>SUM(G873:G874)</f>
        <v>0</v>
      </c>
      <c r="H875" s="680">
        <f t="shared" ref="H875:BO875" si="345">SUM(H873:H874)</f>
        <v>0</v>
      </c>
      <c r="I875" s="680">
        <f t="shared" si="345"/>
        <v>0</v>
      </c>
      <c r="J875" s="680">
        <f t="shared" si="345"/>
        <v>0</v>
      </c>
      <c r="K875" s="680">
        <f t="shared" si="345"/>
        <v>0</v>
      </c>
      <c r="L875" s="680">
        <f t="shared" si="345"/>
        <v>0</v>
      </c>
      <c r="M875" s="680">
        <f t="shared" si="345"/>
        <v>0</v>
      </c>
      <c r="N875" s="680">
        <f t="shared" si="345"/>
        <v>0</v>
      </c>
      <c r="O875" s="680">
        <f t="shared" si="345"/>
        <v>0</v>
      </c>
      <c r="P875" s="680">
        <f t="shared" si="345"/>
        <v>0</v>
      </c>
      <c r="Q875" s="680">
        <f t="shared" si="345"/>
        <v>0</v>
      </c>
      <c r="R875" s="680">
        <f t="shared" si="345"/>
        <v>0</v>
      </c>
      <c r="S875" s="680">
        <f t="shared" ref="S875:AA875" si="346">ROUND(SUM(S872:S874),5)</f>
        <v>0</v>
      </c>
      <c r="T875" s="680">
        <f t="shared" si="346"/>
        <v>17.239999999999998</v>
      </c>
      <c r="U875" s="680">
        <f t="shared" si="346"/>
        <v>0</v>
      </c>
      <c r="V875" s="680">
        <f t="shared" si="346"/>
        <v>0</v>
      </c>
      <c r="W875" s="680">
        <f t="shared" si="346"/>
        <v>0</v>
      </c>
      <c r="X875" s="680">
        <f t="shared" si="346"/>
        <v>0</v>
      </c>
      <c r="Y875" s="680">
        <f t="shared" si="346"/>
        <v>0</v>
      </c>
      <c r="Z875" s="680">
        <f t="shared" si="346"/>
        <v>0</v>
      </c>
      <c r="AA875" s="680">
        <f t="shared" si="346"/>
        <v>0</v>
      </c>
      <c r="AB875" s="680">
        <f>ROUND(SUM(AB872:AB874),5)</f>
        <v>0</v>
      </c>
      <c r="AC875" s="680">
        <f>ROUND(SUM(AC872:AC874),5)</f>
        <v>0</v>
      </c>
      <c r="AD875" s="680">
        <f>ROUND(SUM(AD872:AD874),5)</f>
        <v>0</v>
      </c>
      <c r="AE875" s="680">
        <f t="shared" si="345"/>
        <v>0</v>
      </c>
      <c r="AF875" s="680">
        <f t="shared" si="345"/>
        <v>0</v>
      </c>
      <c r="AG875" s="680">
        <f t="shared" si="345"/>
        <v>0</v>
      </c>
      <c r="AH875" s="680">
        <f t="shared" si="345"/>
        <v>0</v>
      </c>
      <c r="AI875" s="680">
        <f t="shared" si="345"/>
        <v>0</v>
      </c>
      <c r="AJ875" s="680">
        <f t="shared" si="345"/>
        <v>0</v>
      </c>
      <c r="AK875" s="680">
        <f t="shared" si="345"/>
        <v>0</v>
      </c>
      <c r="AL875" s="680">
        <f t="shared" si="345"/>
        <v>0</v>
      </c>
      <c r="AM875" s="680">
        <f t="shared" si="345"/>
        <v>0</v>
      </c>
      <c r="AN875" s="680">
        <f t="shared" si="345"/>
        <v>0</v>
      </c>
      <c r="AO875" s="680">
        <f t="shared" si="345"/>
        <v>0</v>
      </c>
      <c r="AP875" s="680">
        <f t="shared" si="345"/>
        <v>0</v>
      </c>
      <c r="AQ875" s="680">
        <f t="shared" si="345"/>
        <v>0</v>
      </c>
      <c r="AR875" s="680">
        <f t="shared" si="345"/>
        <v>0</v>
      </c>
      <c r="AS875" s="680">
        <f t="shared" si="345"/>
        <v>0</v>
      </c>
      <c r="AT875" s="680">
        <f t="shared" si="345"/>
        <v>0</v>
      </c>
      <c r="AU875" s="680">
        <f t="shared" si="345"/>
        <v>0</v>
      </c>
      <c r="AV875" s="680">
        <f t="shared" si="345"/>
        <v>0</v>
      </c>
      <c r="AW875" s="680">
        <f t="shared" si="345"/>
        <v>0</v>
      </c>
      <c r="AX875" s="680">
        <f t="shared" si="345"/>
        <v>0</v>
      </c>
      <c r="AY875" s="680">
        <f t="shared" si="345"/>
        <v>0</v>
      </c>
      <c r="AZ875" s="680">
        <f t="shared" si="345"/>
        <v>0</v>
      </c>
      <c r="BA875" s="680">
        <f t="shared" si="345"/>
        <v>0</v>
      </c>
      <c r="BB875" s="680">
        <f t="shared" si="345"/>
        <v>0</v>
      </c>
      <c r="BC875" s="680">
        <f t="shared" si="345"/>
        <v>0</v>
      </c>
      <c r="BD875" s="680">
        <f t="shared" si="345"/>
        <v>0</v>
      </c>
      <c r="BE875" s="680">
        <f t="shared" si="345"/>
        <v>0</v>
      </c>
      <c r="BF875" s="680">
        <f t="shared" si="345"/>
        <v>0</v>
      </c>
      <c r="BG875" s="680">
        <f t="shared" si="345"/>
        <v>0</v>
      </c>
      <c r="BH875" s="680">
        <f t="shared" si="345"/>
        <v>0</v>
      </c>
      <c r="BI875" s="680">
        <f t="shared" si="345"/>
        <v>0</v>
      </c>
      <c r="BJ875" s="680">
        <f t="shared" si="345"/>
        <v>0</v>
      </c>
      <c r="BK875" s="680">
        <f t="shared" si="345"/>
        <v>0</v>
      </c>
      <c r="BL875" s="680">
        <f t="shared" si="345"/>
        <v>0</v>
      </c>
      <c r="BM875" s="680">
        <f t="shared" si="345"/>
        <v>0</v>
      </c>
      <c r="BN875" s="680">
        <f t="shared" si="345"/>
        <v>0</v>
      </c>
      <c r="BO875" s="680">
        <f t="shared" si="345"/>
        <v>0</v>
      </c>
      <c r="BP875" s="680">
        <f t="shared" ref="BP875:CA875" si="347">SUM(BP873:BP874)</f>
        <v>0</v>
      </c>
      <c r="BQ875" s="680">
        <f t="shared" si="347"/>
        <v>0</v>
      </c>
      <c r="BR875" s="680">
        <f t="shared" si="347"/>
        <v>0</v>
      </c>
      <c r="BS875" s="680">
        <f t="shared" si="347"/>
        <v>0</v>
      </c>
      <c r="BT875" s="680">
        <f t="shared" si="347"/>
        <v>0</v>
      </c>
      <c r="BU875" s="680">
        <f t="shared" si="347"/>
        <v>0</v>
      </c>
      <c r="BV875" s="680">
        <f t="shared" si="347"/>
        <v>0</v>
      </c>
      <c r="BW875" s="680">
        <f t="shared" si="347"/>
        <v>0</v>
      </c>
      <c r="BX875" s="680">
        <f t="shared" si="347"/>
        <v>0</v>
      </c>
      <c r="BY875" s="680">
        <f t="shared" si="347"/>
        <v>0</v>
      </c>
      <c r="BZ875" s="680">
        <f t="shared" si="347"/>
        <v>0</v>
      </c>
      <c r="CA875" s="680">
        <f t="shared" si="347"/>
        <v>0</v>
      </c>
    </row>
    <row r="876" spans="1:79" hidden="1" outlineLevel="1" x14ac:dyDescent="0.35">
      <c r="F876" s="674" t="s">
        <v>593</v>
      </c>
      <c r="G876" s="735"/>
      <c r="H876" s="735">
        <v>7.7043848313071734</v>
      </c>
      <c r="I876" s="735">
        <v>1.4322183547532432</v>
      </c>
      <c r="J876" s="735">
        <v>21.957704458447207</v>
      </c>
      <c r="K876" s="735">
        <v>4.6171026177841581</v>
      </c>
      <c r="L876" s="735">
        <v>40.791235357501442</v>
      </c>
      <c r="M876" s="735">
        <v>1.162709207997259</v>
      </c>
      <c r="N876" s="735">
        <v>8.14453329401878</v>
      </c>
      <c r="O876" s="735">
        <v>9.9778275587247993</v>
      </c>
      <c r="P876" s="732">
        <v>48.2548217355506</v>
      </c>
      <c r="Q876" s="732"/>
      <c r="R876" s="732"/>
      <c r="S876" s="683">
        <v>14.95</v>
      </c>
      <c r="T876" s="683">
        <v>14.95</v>
      </c>
      <c r="U876" s="683">
        <v>0</v>
      </c>
      <c r="V876" s="683">
        <v>0</v>
      </c>
      <c r="W876" s="683">
        <v>48.83</v>
      </c>
      <c r="X876" s="683">
        <v>0</v>
      </c>
      <c r="Y876" s="683">
        <v>0</v>
      </c>
      <c r="Z876" s="683">
        <v>14.95</v>
      </c>
      <c r="AA876" s="683">
        <v>14.95</v>
      </c>
      <c r="AB876" s="683">
        <v>14.95</v>
      </c>
      <c r="AC876" s="682">
        <v>14.95</v>
      </c>
      <c r="AD876" s="682">
        <v>14.95</v>
      </c>
      <c r="AE876" s="732"/>
      <c r="AF876" s="732"/>
      <c r="AG876" s="732"/>
      <c r="AH876" s="732"/>
      <c r="AI876" s="732"/>
      <c r="AJ876" s="732"/>
      <c r="AK876" s="732"/>
      <c r="AL876" s="732"/>
      <c r="AM876" s="732"/>
      <c r="AN876" s="732"/>
      <c r="AO876" s="732"/>
      <c r="AP876" s="732"/>
      <c r="AQ876" s="732"/>
      <c r="AR876" s="732"/>
      <c r="AS876" s="732"/>
      <c r="AT876" s="732"/>
      <c r="AU876" s="732"/>
      <c r="AV876" s="732"/>
      <c r="AW876" s="732"/>
      <c r="AX876" s="732"/>
      <c r="AY876" s="732"/>
      <c r="AZ876" s="732"/>
      <c r="BA876" s="732"/>
      <c r="BB876" s="732"/>
      <c r="BC876" s="732"/>
      <c r="BD876" s="732"/>
      <c r="BE876" s="732"/>
      <c r="BF876" s="732"/>
      <c r="BG876" s="732"/>
      <c r="BH876" s="732"/>
      <c r="BI876" s="732"/>
      <c r="BJ876" s="732"/>
      <c r="BK876" s="732"/>
      <c r="BL876" s="732"/>
      <c r="BM876" s="732"/>
      <c r="BN876" s="732"/>
      <c r="BO876" s="732"/>
      <c r="BP876" s="732"/>
      <c r="BQ876" s="732"/>
      <c r="BR876" s="732"/>
      <c r="BS876" s="732"/>
      <c r="BT876" s="732"/>
      <c r="BU876" s="732"/>
      <c r="BV876" s="732"/>
      <c r="BW876" s="732"/>
      <c r="BX876" s="732"/>
      <c r="BY876" s="732"/>
      <c r="BZ876" s="732"/>
      <c r="CA876" s="732"/>
    </row>
    <row r="877" spans="1:79" hidden="1" outlineLevel="1" x14ac:dyDescent="0.35">
      <c r="A877" s="574"/>
      <c r="B877" s="574"/>
      <c r="C877" s="574"/>
      <c r="D877" s="574"/>
      <c r="E877" s="574"/>
      <c r="F877" s="671" t="s">
        <v>877</v>
      </c>
      <c r="G877" s="735"/>
      <c r="H877" s="735"/>
      <c r="I877" s="735"/>
      <c r="J877" s="735"/>
      <c r="K877" s="735"/>
      <c r="L877" s="735"/>
      <c r="M877" s="735"/>
      <c r="N877" s="735"/>
      <c r="O877" s="735"/>
      <c r="P877" s="732"/>
      <c r="Q877" s="732"/>
      <c r="R877" s="732"/>
      <c r="S877" s="683">
        <v>0</v>
      </c>
      <c r="T877" s="683">
        <v>0</v>
      </c>
      <c r="U877" s="683">
        <v>0</v>
      </c>
      <c r="V877" s="683">
        <v>0</v>
      </c>
      <c r="W877" s="683">
        <v>0</v>
      </c>
      <c r="X877" s="683">
        <v>0</v>
      </c>
      <c r="Y877" s="683">
        <v>0</v>
      </c>
      <c r="Z877" s="683">
        <v>0</v>
      </c>
      <c r="AA877" s="683">
        <v>0</v>
      </c>
      <c r="AB877" s="683">
        <v>0</v>
      </c>
      <c r="AC877" s="682">
        <v>0</v>
      </c>
      <c r="AD877" s="682">
        <v>0</v>
      </c>
      <c r="AE877" s="732"/>
      <c r="AF877" s="732"/>
      <c r="AG877" s="732"/>
      <c r="AH877" s="732"/>
      <c r="AI877" s="732"/>
      <c r="AJ877" s="732"/>
      <c r="AK877" s="732"/>
      <c r="AL877" s="732"/>
      <c r="AM877" s="732"/>
      <c r="AN877" s="732"/>
      <c r="AO877" s="732"/>
      <c r="AP877" s="732"/>
      <c r="AQ877" s="732"/>
      <c r="AR877" s="732"/>
      <c r="AS877" s="732"/>
      <c r="AT877" s="732"/>
      <c r="AU877" s="732"/>
      <c r="AV877" s="732"/>
      <c r="AW877" s="732"/>
      <c r="AX877" s="732"/>
      <c r="AY877" s="732"/>
      <c r="AZ877" s="732"/>
      <c r="BA877" s="732"/>
      <c r="BB877" s="732"/>
      <c r="BC877" s="732"/>
      <c r="BD877" s="732"/>
      <c r="BE877" s="732"/>
      <c r="BF877" s="732"/>
      <c r="BG877" s="732"/>
      <c r="BH877" s="732"/>
      <c r="BI877" s="732"/>
      <c r="BJ877" s="732"/>
      <c r="BK877" s="732"/>
      <c r="BL877" s="732"/>
      <c r="BM877" s="732"/>
      <c r="BN877" s="732"/>
      <c r="BO877" s="732"/>
      <c r="BP877" s="732"/>
      <c r="BQ877" s="732"/>
      <c r="BR877" s="732"/>
      <c r="BS877" s="732"/>
      <c r="BT877" s="732"/>
      <c r="BU877" s="732"/>
      <c r="BV877" s="732"/>
      <c r="BW877" s="732"/>
      <c r="BX877" s="732"/>
      <c r="BY877" s="732"/>
      <c r="BZ877" s="732"/>
      <c r="CA877" s="732"/>
    </row>
    <row r="878" spans="1:79" s="716" customFormat="1" hidden="1" outlineLevel="1" x14ac:dyDescent="0.35">
      <c r="F878" s="711" t="s">
        <v>594</v>
      </c>
      <c r="G878" s="750"/>
      <c r="H878" s="750"/>
      <c r="I878" s="750"/>
      <c r="J878" s="750"/>
      <c r="K878" s="750"/>
      <c r="L878" s="750"/>
      <c r="M878" s="750"/>
      <c r="N878" s="750"/>
      <c r="O878" s="750"/>
      <c r="P878" s="753"/>
      <c r="Q878" s="753"/>
      <c r="R878" s="753"/>
      <c r="S878" s="713"/>
      <c r="T878" s="713"/>
      <c r="U878" s="713"/>
      <c r="V878" s="713"/>
      <c r="W878" s="713"/>
      <c r="X878" s="713"/>
      <c r="Y878" s="713"/>
      <c r="Z878" s="713"/>
      <c r="AA878" s="713"/>
      <c r="AB878" s="713"/>
      <c r="AC878" s="713"/>
      <c r="AD878" s="713"/>
      <c r="AE878" s="751"/>
      <c r="AF878" s="751"/>
      <c r="AG878" s="751"/>
      <c r="AH878" s="751"/>
      <c r="AI878" s="751"/>
      <c r="AJ878" s="751"/>
      <c r="AK878" s="751"/>
      <c r="AL878" s="751"/>
      <c r="AM878" s="751"/>
      <c r="AN878" s="751"/>
      <c r="AO878" s="751"/>
      <c r="AP878" s="751"/>
      <c r="AQ878" s="751"/>
      <c r="AR878" s="751"/>
      <c r="AS878" s="751"/>
      <c r="AT878" s="751"/>
      <c r="AU878" s="751"/>
      <c r="AV878" s="751"/>
      <c r="AW878" s="751"/>
      <c r="AX878" s="751"/>
      <c r="AY878" s="751"/>
      <c r="AZ878" s="751"/>
      <c r="BA878" s="751"/>
      <c r="BB878" s="751"/>
      <c r="BC878" s="751"/>
      <c r="BD878" s="751"/>
      <c r="BE878" s="751"/>
      <c r="BF878" s="751"/>
      <c r="BG878" s="751"/>
      <c r="BH878" s="751"/>
      <c r="BI878" s="751"/>
      <c r="BJ878" s="751"/>
      <c r="BK878" s="751"/>
      <c r="BL878" s="751"/>
      <c r="BM878" s="751"/>
      <c r="BN878" s="751"/>
      <c r="BO878" s="751"/>
      <c r="BP878" s="751"/>
      <c r="BQ878" s="751"/>
      <c r="BR878" s="751"/>
      <c r="BS878" s="751"/>
      <c r="BT878" s="751"/>
      <c r="BU878" s="751"/>
      <c r="BV878" s="751"/>
      <c r="BW878" s="751"/>
      <c r="BX878" s="751"/>
      <c r="BY878" s="751"/>
      <c r="BZ878" s="751"/>
      <c r="CA878" s="751"/>
    </row>
    <row r="879" spans="1:79" s="757" customFormat="1" hidden="1" outlineLevel="1" x14ac:dyDescent="0.35">
      <c r="A879" s="504"/>
      <c r="B879" s="504"/>
      <c r="C879" s="504"/>
      <c r="D879" s="504"/>
      <c r="E879" s="504"/>
      <c r="F879" s="672" t="s">
        <v>878</v>
      </c>
      <c r="G879" s="735"/>
      <c r="H879" s="735"/>
      <c r="I879" s="735"/>
      <c r="J879" s="735"/>
      <c r="K879" s="735"/>
      <c r="L879" s="735"/>
      <c r="M879" s="735"/>
      <c r="N879" s="735"/>
      <c r="O879" s="735"/>
      <c r="P879" s="734"/>
      <c r="Q879" s="734"/>
      <c r="R879" s="734"/>
      <c r="S879" s="687">
        <v>0</v>
      </c>
      <c r="T879" s="687">
        <v>0</v>
      </c>
      <c r="U879" s="687">
        <v>0</v>
      </c>
      <c r="V879" s="687">
        <v>0</v>
      </c>
      <c r="W879" s="687">
        <v>0</v>
      </c>
      <c r="X879" s="687">
        <v>0</v>
      </c>
      <c r="Y879" s="687">
        <v>0</v>
      </c>
      <c r="Z879" s="687">
        <v>0</v>
      </c>
      <c r="AA879" s="687">
        <v>0</v>
      </c>
      <c r="AB879" s="687">
        <v>0</v>
      </c>
      <c r="AC879" s="686">
        <v>0</v>
      </c>
      <c r="AD879" s="686">
        <v>0</v>
      </c>
      <c r="AE879" s="732"/>
      <c r="AF879" s="732"/>
      <c r="AG879" s="732"/>
      <c r="AH879" s="732"/>
      <c r="AI879" s="732"/>
      <c r="AJ879" s="732"/>
      <c r="AK879" s="732"/>
      <c r="AL879" s="732"/>
      <c r="AM879" s="732"/>
      <c r="AN879" s="732"/>
      <c r="AO879" s="732"/>
      <c r="AP879" s="732"/>
      <c r="AQ879" s="732"/>
      <c r="AR879" s="732"/>
      <c r="AS879" s="732"/>
      <c r="AT879" s="732"/>
      <c r="AU879" s="732"/>
      <c r="AV879" s="732"/>
      <c r="AW879" s="732"/>
      <c r="AX879" s="732"/>
      <c r="AY879" s="732"/>
      <c r="AZ879" s="732"/>
      <c r="BA879" s="732"/>
      <c r="BB879" s="732"/>
      <c r="BC879" s="732"/>
      <c r="BD879" s="732"/>
      <c r="BE879" s="732"/>
      <c r="BF879" s="732"/>
      <c r="BG879" s="732"/>
      <c r="BH879" s="732"/>
      <c r="BI879" s="732"/>
      <c r="BJ879" s="732"/>
      <c r="BK879" s="732"/>
      <c r="BL879" s="732"/>
      <c r="BM879" s="732"/>
      <c r="BN879" s="732"/>
      <c r="BO879" s="732"/>
      <c r="BP879" s="732"/>
      <c r="BQ879" s="732"/>
      <c r="BR879" s="732"/>
      <c r="BS879" s="732"/>
      <c r="BT879" s="732"/>
      <c r="BU879" s="732"/>
      <c r="BV879" s="732"/>
      <c r="BW879" s="732"/>
      <c r="BX879" s="732"/>
      <c r="BY879" s="732"/>
      <c r="BZ879" s="732"/>
      <c r="CA879" s="732"/>
    </row>
    <row r="880" spans="1:79" s="757" customFormat="1" hidden="1" outlineLevel="1" x14ac:dyDescent="0.35">
      <c r="A880" s="504"/>
      <c r="B880" s="504"/>
      <c r="C880" s="504"/>
      <c r="D880" s="504"/>
      <c r="E880" s="504"/>
      <c r="F880" s="672" t="s">
        <v>879</v>
      </c>
      <c r="G880" s="735"/>
      <c r="H880" s="735"/>
      <c r="I880" s="735"/>
      <c r="J880" s="735"/>
      <c r="K880" s="735"/>
      <c r="L880" s="735"/>
      <c r="M880" s="735"/>
      <c r="N880" s="735"/>
      <c r="O880" s="735"/>
      <c r="P880" s="734"/>
      <c r="Q880" s="734"/>
      <c r="R880" s="734"/>
      <c r="S880" s="687">
        <v>0</v>
      </c>
      <c r="T880" s="687">
        <v>0</v>
      </c>
      <c r="U880" s="687">
        <v>0</v>
      </c>
      <c r="V880" s="687">
        <v>0</v>
      </c>
      <c r="W880" s="687">
        <v>0</v>
      </c>
      <c r="X880" s="687">
        <v>0</v>
      </c>
      <c r="Y880" s="687">
        <v>0</v>
      </c>
      <c r="Z880" s="687">
        <v>0</v>
      </c>
      <c r="AA880" s="687">
        <v>0</v>
      </c>
      <c r="AB880" s="687">
        <v>0</v>
      </c>
      <c r="AC880" s="686">
        <v>0</v>
      </c>
      <c r="AD880" s="686">
        <v>0</v>
      </c>
      <c r="AE880" s="732"/>
      <c r="AF880" s="732"/>
      <c r="AG880" s="732"/>
      <c r="AH880" s="732"/>
      <c r="AI880" s="732"/>
      <c r="AJ880" s="732"/>
      <c r="AK880" s="732"/>
      <c r="AL880" s="732"/>
      <c r="AM880" s="732"/>
      <c r="AN880" s="732"/>
      <c r="AO880" s="732"/>
      <c r="AP880" s="732"/>
      <c r="AQ880" s="732"/>
      <c r="AR880" s="732"/>
      <c r="AS880" s="732"/>
      <c r="AT880" s="732"/>
      <c r="AU880" s="732"/>
      <c r="AV880" s="732"/>
      <c r="AW880" s="732"/>
      <c r="AX880" s="732"/>
      <c r="AY880" s="732"/>
      <c r="AZ880" s="732"/>
      <c r="BA880" s="732"/>
      <c r="BB880" s="732"/>
      <c r="BC880" s="732"/>
      <c r="BD880" s="732"/>
      <c r="BE880" s="732"/>
      <c r="BF880" s="732"/>
      <c r="BG880" s="732"/>
      <c r="BH880" s="732"/>
      <c r="BI880" s="732"/>
      <c r="BJ880" s="732"/>
      <c r="BK880" s="732"/>
      <c r="BL880" s="732"/>
      <c r="BM880" s="732"/>
      <c r="BN880" s="732"/>
      <c r="BO880" s="732"/>
      <c r="BP880" s="732"/>
      <c r="BQ880" s="732"/>
      <c r="BR880" s="732"/>
      <c r="BS880" s="732"/>
      <c r="BT880" s="732"/>
      <c r="BU880" s="732"/>
      <c r="BV880" s="732"/>
      <c r="BW880" s="732"/>
      <c r="BX880" s="732"/>
      <c r="BY880" s="732"/>
      <c r="BZ880" s="732"/>
      <c r="CA880" s="732"/>
    </row>
    <row r="881" spans="1:79" s="757" customFormat="1" hidden="1" outlineLevel="1" x14ac:dyDescent="0.35">
      <c r="A881" s="504"/>
      <c r="B881" s="504"/>
      <c r="C881" s="504"/>
      <c r="D881" s="504"/>
      <c r="E881" s="504"/>
      <c r="F881" s="672" t="s">
        <v>880</v>
      </c>
      <c r="G881" s="735"/>
      <c r="H881" s="735"/>
      <c r="I881" s="735"/>
      <c r="J881" s="735"/>
      <c r="K881" s="735"/>
      <c r="L881" s="735"/>
      <c r="M881" s="735"/>
      <c r="N881" s="735"/>
      <c r="O881" s="735"/>
      <c r="P881" s="734"/>
      <c r="Q881" s="734"/>
      <c r="R881" s="734"/>
      <c r="S881" s="687">
        <v>0</v>
      </c>
      <c r="T881" s="687">
        <v>0</v>
      </c>
      <c r="U881" s="687">
        <v>0</v>
      </c>
      <c r="V881" s="687">
        <v>0</v>
      </c>
      <c r="W881" s="687">
        <v>0</v>
      </c>
      <c r="X881" s="687">
        <v>0</v>
      </c>
      <c r="Y881" s="687">
        <v>0</v>
      </c>
      <c r="Z881" s="687">
        <v>0</v>
      </c>
      <c r="AA881" s="687">
        <v>0</v>
      </c>
      <c r="AB881" s="687">
        <v>0</v>
      </c>
      <c r="AC881" s="686">
        <v>0</v>
      </c>
      <c r="AD881" s="686">
        <v>0</v>
      </c>
      <c r="AE881" s="732"/>
      <c r="AF881" s="732"/>
      <c r="AG881" s="732"/>
      <c r="AH881" s="732"/>
      <c r="AI881" s="732"/>
      <c r="AJ881" s="732"/>
      <c r="AK881" s="732"/>
      <c r="AL881" s="732"/>
      <c r="AM881" s="732"/>
      <c r="AN881" s="732"/>
      <c r="AO881" s="732"/>
      <c r="AP881" s="732"/>
      <c r="AQ881" s="732"/>
      <c r="AR881" s="732"/>
      <c r="AS881" s="732"/>
      <c r="AT881" s="732"/>
      <c r="AU881" s="732"/>
      <c r="AV881" s="732"/>
      <c r="AW881" s="732"/>
      <c r="AX881" s="732"/>
      <c r="AY881" s="732"/>
      <c r="AZ881" s="732"/>
      <c r="BA881" s="732"/>
      <c r="BB881" s="732"/>
      <c r="BC881" s="732"/>
      <c r="BD881" s="732"/>
      <c r="BE881" s="732"/>
      <c r="BF881" s="732"/>
      <c r="BG881" s="732"/>
      <c r="BH881" s="732"/>
      <c r="BI881" s="732"/>
      <c r="BJ881" s="732"/>
      <c r="BK881" s="732"/>
      <c r="BL881" s="732"/>
      <c r="BM881" s="732"/>
      <c r="BN881" s="732"/>
      <c r="BO881" s="732"/>
      <c r="BP881" s="732"/>
      <c r="BQ881" s="732"/>
      <c r="BR881" s="732"/>
      <c r="BS881" s="732"/>
      <c r="BT881" s="732"/>
      <c r="BU881" s="732"/>
      <c r="BV881" s="732"/>
      <c r="BW881" s="732"/>
      <c r="BX881" s="732"/>
      <c r="BY881" s="732"/>
      <c r="BZ881" s="732"/>
      <c r="CA881" s="732"/>
    </row>
    <row r="882" spans="1:79" s="757" customFormat="1" hidden="1" outlineLevel="1" x14ac:dyDescent="0.35">
      <c r="A882" s="504"/>
      <c r="B882" s="504"/>
      <c r="C882" s="504"/>
      <c r="D882" s="504"/>
      <c r="E882" s="504"/>
      <c r="F882" s="672" t="s">
        <v>609</v>
      </c>
      <c r="G882" s="735"/>
      <c r="H882" s="735"/>
      <c r="I882" s="735"/>
      <c r="J882" s="735"/>
      <c r="K882" s="735"/>
      <c r="L882" s="735"/>
      <c r="M882" s="735"/>
      <c r="N882" s="735"/>
      <c r="O882" s="735"/>
      <c r="P882" s="734"/>
      <c r="Q882" s="734"/>
      <c r="R882" s="734"/>
      <c r="S882" s="683">
        <v>0</v>
      </c>
      <c r="T882" s="683">
        <v>0</v>
      </c>
      <c r="U882" s="683">
        <v>0</v>
      </c>
      <c r="V882" s="683">
        <v>0</v>
      </c>
      <c r="W882" s="683">
        <v>0</v>
      </c>
      <c r="X882" s="683">
        <v>447.65</v>
      </c>
      <c r="Y882" s="683">
        <v>0</v>
      </c>
      <c r="Z882" s="683">
        <v>0</v>
      </c>
      <c r="AA882" s="683">
        <v>0</v>
      </c>
      <c r="AB882" s="683">
        <v>837.15</v>
      </c>
      <c r="AC882" s="690">
        <v>0</v>
      </c>
      <c r="AD882" s="690">
        <v>0</v>
      </c>
      <c r="AE882" s="732"/>
      <c r="AF882" s="732"/>
      <c r="AG882" s="732"/>
      <c r="AH882" s="732"/>
      <c r="AI882" s="732"/>
      <c r="AJ882" s="732"/>
      <c r="AK882" s="732"/>
      <c r="AL882" s="732"/>
      <c r="AM882" s="732"/>
      <c r="AN882" s="732"/>
      <c r="AO882" s="732"/>
      <c r="AP882" s="732"/>
      <c r="AQ882" s="732"/>
      <c r="AR882" s="732"/>
      <c r="AS882" s="732"/>
      <c r="AT882" s="732"/>
      <c r="AU882" s="732"/>
      <c r="AV882" s="732"/>
      <c r="AW882" s="732"/>
      <c r="AX882" s="732"/>
      <c r="AY882" s="732"/>
      <c r="AZ882" s="732"/>
      <c r="BA882" s="732"/>
      <c r="BB882" s="732"/>
      <c r="BC882" s="732"/>
      <c r="BD882" s="732"/>
      <c r="BE882" s="732"/>
      <c r="BF882" s="732"/>
      <c r="BG882" s="732"/>
      <c r="BH882" s="732"/>
      <c r="BI882" s="732"/>
      <c r="BJ882" s="732"/>
      <c r="BK882" s="732"/>
      <c r="BL882" s="732"/>
      <c r="BM882" s="732"/>
      <c r="BN882" s="732"/>
      <c r="BO882" s="732"/>
      <c r="BP882" s="732"/>
      <c r="BQ882" s="732"/>
      <c r="BR882" s="732"/>
      <c r="BS882" s="732"/>
      <c r="BT882" s="732"/>
      <c r="BU882" s="732"/>
      <c r="BV882" s="732"/>
      <c r="BW882" s="732"/>
      <c r="BX882" s="732"/>
      <c r="BY882" s="732"/>
      <c r="BZ882" s="732"/>
      <c r="CA882" s="732"/>
    </row>
    <row r="883" spans="1:79" s="452" customFormat="1" hidden="1" outlineLevel="1" x14ac:dyDescent="0.35">
      <c r="A883" s="80"/>
      <c r="B883" s="80"/>
      <c r="C883" s="80"/>
      <c r="D883" s="80"/>
      <c r="E883" s="80"/>
      <c r="F883" s="672" t="s">
        <v>610</v>
      </c>
      <c r="G883" s="732"/>
      <c r="H883" s="732"/>
      <c r="I883" s="732"/>
      <c r="J883" s="732"/>
      <c r="K883" s="732"/>
      <c r="L883" s="732"/>
      <c r="M883" s="732"/>
      <c r="N883" s="732"/>
      <c r="O883" s="732"/>
      <c r="P883" s="734"/>
      <c r="Q883" s="734"/>
      <c r="R883" s="734"/>
      <c r="S883" s="683">
        <v>0</v>
      </c>
      <c r="T883" s="683">
        <v>69.91</v>
      </c>
      <c r="U883" s="683">
        <v>209.87</v>
      </c>
      <c r="V883" s="683">
        <v>118.77</v>
      </c>
      <c r="W883" s="683">
        <v>68.989999999999995</v>
      </c>
      <c r="X883" s="683">
        <v>82.48</v>
      </c>
      <c r="Y883" s="683">
        <v>49</v>
      </c>
      <c r="Z883" s="683">
        <v>51.49</v>
      </c>
      <c r="AA883" s="683">
        <v>181.47</v>
      </c>
      <c r="AB883" s="683">
        <v>0</v>
      </c>
      <c r="AC883" s="690">
        <v>418.38</v>
      </c>
      <c r="AD883" s="690">
        <v>1064.27</v>
      </c>
      <c r="AE883" s="732"/>
      <c r="AF883" s="732"/>
      <c r="AG883" s="732"/>
      <c r="AH883" s="732"/>
      <c r="AI883" s="732"/>
      <c r="AJ883" s="732"/>
      <c r="AK883" s="732"/>
      <c r="AL883" s="732"/>
      <c r="AM883" s="732"/>
      <c r="AN883" s="732"/>
      <c r="AO883" s="732"/>
      <c r="AP883" s="732"/>
      <c r="AQ883" s="732"/>
      <c r="AR883" s="732"/>
      <c r="AS883" s="732"/>
      <c r="AT883" s="732"/>
      <c r="AU883" s="732"/>
      <c r="AV883" s="732"/>
      <c r="AW883" s="732"/>
      <c r="AX883" s="732"/>
      <c r="AY883" s="732"/>
      <c r="AZ883" s="732"/>
      <c r="BA883" s="732"/>
      <c r="BB883" s="732"/>
      <c r="BC883" s="732"/>
      <c r="BD883" s="732"/>
      <c r="BE883" s="732"/>
      <c r="BF883" s="732"/>
      <c r="BG883" s="732"/>
      <c r="BH883" s="732"/>
      <c r="BI883" s="732"/>
      <c r="BJ883" s="732"/>
      <c r="BK883" s="732"/>
      <c r="BL883" s="732"/>
      <c r="BM883" s="732"/>
      <c r="BN883" s="732"/>
      <c r="BO883" s="732"/>
      <c r="BP883" s="732"/>
      <c r="BQ883" s="732"/>
      <c r="BR883" s="732"/>
      <c r="BS883" s="732"/>
      <c r="BT883" s="732"/>
      <c r="BU883" s="732"/>
      <c r="BV883" s="732"/>
      <c r="BW883" s="732"/>
      <c r="BX883" s="732"/>
      <c r="BY883" s="732"/>
      <c r="BZ883" s="732"/>
      <c r="CA883" s="732"/>
    </row>
    <row r="884" spans="1:79" s="452" customFormat="1" hidden="1" outlineLevel="1" x14ac:dyDescent="0.35">
      <c r="A884" s="80"/>
      <c r="B884" s="80"/>
      <c r="C884" s="80"/>
      <c r="D884" s="80"/>
      <c r="E884" s="80"/>
      <c r="F884" s="672" t="s">
        <v>611</v>
      </c>
      <c r="G884" s="732"/>
      <c r="H884" s="732"/>
      <c r="I884" s="732"/>
      <c r="J884" s="732"/>
      <c r="K884" s="732"/>
      <c r="L884" s="732"/>
      <c r="M884" s="732"/>
      <c r="N884" s="732"/>
      <c r="O884" s="732"/>
      <c r="P884" s="734"/>
      <c r="Q884" s="734"/>
      <c r="R884" s="734"/>
      <c r="S884" s="683">
        <v>169.8</v>
      </c>
      <c r="T884" s="683">
        <v>154.80000000000001</v>
      </c>
      <c r="U884" s="683">
        <v>129.85</v>
      </c>
      <c r="V884" s="683">
        <v>79.900000000000006</v>
      </c>
      <c r="W884" s="683">
        <v>33.96</v>
      </c>
      <c r="X884" s="683">
        <v>67.849999999999994</v>
      </c>
      <c r="Y884" s="683">
        <v>80.849999999999994</v>
      </c>
      <c r="Z884" s="683">
        <v>0</v>
      </c>
      <c r="AA884" s="683">
        <v>0</v>
      </c>
      <c r="AB884" s="683">
        <v>79.8</v>
      </c>
      <c r="AC884" s="690">
        <v>39.950000000000003</v>
      </c>
      <c r="AD884" s="690">
        <v>0</v>
      </c>
      <c r="AE884" s="732"/>
      <c r="AF884" s="732"/>
      <c r="AG884" s="732"/>
      <c r="AH884" s="732"/>
      <c r="AI884" s="732"/>
      <c r="AJ884" s="732"/>
      <c r="AK884" s="732"/>
      <c r="AL884" s="732"/>
      <c r="AM884" s="732"/>
      <c r="AN884" s="732"/>
      <c r="AO884" s="732"/>
      <c r="AP884" s="732"/>
      <c r="AQ884" s="732"/>
      <c r="AR884" s="732"/>
      <c r="AS884" s="732"/>
      <c r="AT884" s="732"/>
      <c r="AU884" s="732"/>
      <c r="AV884" s="732"/>
      <c r="AW884" s="732"/>
      <c r="AX884" s="732"/>
      <c r="AY884" s="732"/>
      <c r="AZ884" s="732"/>
      <c r="BA884" s="732"/>
      <c r="BB884" s="732"/>
      <c r="BC884" s="732"/>
      <c r="BD884" s="732"/>
      <c r="BE884" s="732"/>
      <c r="BF884" s="732"/>
      <c r="BG884" s="732"/>
      <c r="BH884" s="732"/>
      <c r="BI884" s="732"/>
      <c r="BJ884" s="732"/>
      <c r="BK884" s="732"/>
      <c r="BL884" s="732"/>
      <c r="BM884" s="732"/>
      <c r="BN884" s="732"/>
      <c r="BO884" s="732"/>
      <c r="BP884" s="732"/>
      <c r="BQ884" s="732"/>
      <c r="BR884" s="732"/>
      <c r="BS884" s="732"/>
      <c r="BT884" s="732"/>
      <c r="BU884" s="732"/>
      <c r="BV884" s="732"/>
      <c r="BW884" s="732"/>
      <c r="BX884" s="732"/>
      <c r="BY884" s="732"/>
      <c r="BZ884" s="732"/>
      <c r="CA884" s="732"/>
    </row>
    <row r="885" spans="1:79" s="452" customFormat="1" hidden="1" outlineLevel="1" x14ac:dyDescent="0.35">
      <c r="A885" s="580"/>
      <c r="B885" s="580"/>
      <c r="C885" s="580"/>
      <c r="D885" s="580"/>
      <c r="E885" s="580"/>
      <c r="F885" s="672" t="s">
        <v>881</v>
      </c>
      <c r="G885" s="735">
        <v>500.31099895556702</v>
      </c>
      <c r="H885" s="735">
        <v>157.31093118162838</v>
      </c>
      <c r="I885" s="735">
        <v>559.15858526121872</v>
      </c>
      <c r="J885" s="735">
        <v>243.40218237580234</v>
      </c>
      <c r="K885" s="735">
        <v>437.73098119948531</v>
      </c>
      <c r="L885" s="735">
        <v>832.85051128330622</v>
      </c>
      <c r="M885" s="735">
        <v>748.17576586337066</v>
      </c>
      <c r="N885" s="735">
        <v>284.23083656259234</v>
      </c>
      <c r="O885" s="735">
        <v>321.22789071366913</v>
      </c>
      <c r="P885" s="732">
        <v>679.89388226803464</v>
      </c>
      <c r="Q885" s="732">
        <v>361.88399193104539</v>
      </c>
      <c r="R885" s="732">
        <v>32.772615739428673</v>
      </c>
      <c r="S885" s="692">
        <v>0</v>
      </c>
      <c r="T885" s="692">
        <v>0</v>
      </c>
      <c r="U885" s="692">
        <v>0</v>
      </c>
      <c r="V885" s="692">
        <v>0</v>
      </c>
      <c r="W885" s="692">
        <v>0</v>
      </c>
      <c r="X885" s="692">
        <v>0</v>
      </c>
      <c r="Y885" s="692">
        <v>0</v>
      </c>
      <c r="Z885" s="692">
        <v>0</v>
      </c>
      <c r="AA885" s="692">
        <v>0</v>
      </c>
      <c r="AB885" s="692">
        <v>0</v>
      </c>
      <c r="AC885" s="702">
        <v>0</v>
      </c>
      <c r="AD885" s="702">
        <v>0</v>
      </c>
      <c r="AE885" s="732"/>
      <c r="AF885" s="732"/>
      <c r="AG885" s="732"/>
      <c r="AH885" s="732"/>
      <c r="AI885" s="732"/>
      <c r="AJ885" s="732"/>
      <c r="AK885" s="732"/>
      <c r="AL885" s="732"/>
      <c r="AM885" s="732"/>
      <c r="AN885" s="732"/>
      <c r="AO885" s="732"/>
      <c r="AP885" s="732"/>
      <c r="AQ885" s="732"/>
      <c r="AR885" s="732"/>
      <c r="AS885" s="732"/>
      <c r="AT885" s="732"/>
      <c r="AU885" s="732"/>
      <c r="AV885" s="732"/>
      <c r="AW885" s="732"/>
      <c r="AX885" s="732"/>
      <c r="AY885" s="732"/>
      <c r="AZ885" s="732"/>
      <c r="BA885" s="732"/>
      <c r="BB885" s="732"/>
      <c r="BC885" s="732"/>
      <c r="BD885" s="732"/>
      <c r="BE885" s="732"/>
      <c r="BF885" s="732"/>
      <c r="BG885" s="732"/>
      <c r="BH885" s="732"/>
      <c r="BI885" s="732"/>
      <c r="BJ885" s="732"/>
      <c r="BK885" s="732"/>
      <c r="BL885" s="732"/>
      <c r="BM885" s="732"/>
      <c r="BN885" s="732"/>
      <c r="BO885" s="732"/>
      <c r="BP885" s="732"/>
      <c r="BQ885" s="732"/>
      <c r="BR885" s="732"/>
      <c r="BS885" s="732"/>
      <c r="BT885" s="732"/>
      <c r="BU885" s="732"/>
      <c r="BV885" s="732"/>
      <c r="BW885" s="732"/>
      <c r="BX885" s="732"/>
      <c r="BY885" s="732"/>
      <c r="BZ885" s="732"/>
      <c r="CA885" s="732"/>
    </row>
    <row r="886" spans="1:79" s="309" customFormat="1" hidden="1" outlineLevel="1" x14ac:dyDescent="0.35">
      <c r="A886" s="30"/>
      <c r="B886" s="30"/>
      <c r="C886" s="30"/>
      <c r="D886" s="30"/>
      <c r="E886" s="30"/>
      <c r="F886" s="675" t="s">
        <v>612</v>
      </c>
      <c r="G886" s="680">
        <f>SUM(G879:G885)</f>
        <v>500.31099895556702</v>
      </c>
      <c r="H886" s="680">
        <f t="shared" ref="H886:BO886" si="348">SUM(H879:H885)</f>
        <v>157.31093118162838</v>
      </c>
      <c r="I886" s="680">
        <f t="shared" si="348"/>
        <v>559.15858526121872</v>
      </c>
      <c r="J886" s="680">
        <f t="shared" si="348"/>
        <v>243.40218237580234</v>
      </c>
      <c r="K886" s="680">
        <f t="shared" si="348"/>
        <v>437.73098119948531</v>
      </c>
      <c r="L886" s="680">
        <f t="shared" si="348"/>
        <v>832.85051128330622</v>
      </c>
      <c r="M886" s="680">
        <f t="shared" si="348"/>
        <v>748.17576586337066</v>
      </c>
      <c r="N886" s="680">
        <f t="shared" si="348"/>
        <v>284.23083656259234</v>
      </c>
      <c r="O886" s="680">
        <f t="shared" si="348"/>
        <v>321.22789071366913</v>
      </c>
      <c r="P886" s="680">
        <f t="shared" si="348"/>
        <v>679.89388226803464</v>
      </c>
      <c r="Q886" s="680">
        <f t="shared" si="348"/>
        <v>361.88399193104539</v>
      </c>
      <c r="R886" s="680">
        <f t="shared" si="348"/>
        <v>32.772615739428673</v>
      </c>
      <c r="S886" s="695">
        <f t="shared" ref="S886:AA886" si="349">ROUND(SUM(S878:S885),5)</f>
        <v>169.8</v>
      </c>
      <c r="T886" s="695">
        <f t="shared" si="349"/>
        <v>224.71</v>
      </c>
      <c r="U886" s="695">
        <f t="shared" si="349"/>
        <v>339.72</v>
      </c>
      <c r="V886" s="695">
        <f t="shared" si="349"/>
        <v>198.67</v>
      </c>
      <c r="W886" s="695">
        <f t="shared" si="349"/>
        <v>102.95</v>
      </c>
      <c r="X886" s="695">
        <f t="shared" si="349"/>
        <v>597.98</v>
      </c>
      <c r="Y886" s="695">
        <f t="shared" si="349"/>
        <v>129.85</v>
      </c>
      <c r="Z886" s="695">
        <f t="shared" si="349"/>
        <v>51.49</v>
      </c>
      <c r="AA886" s="695">
        <f t="shared" si="349"/>
        <v>181.47</v>
      </c>
      <c r="AB886" s="695">
        <f>ROUND(SUM(AB878:AB885),5)</f>
        <v>916.95</v>
      </c>
      <c r="AC886" s="695">
        <f>ROUND(SUM(AC878:AC885),5)</f>
        <v>458.33</v>
      </c>
      <c r="AD886" s="695">
        <f>ROUND(SUM(AD878:AD885),5)</f>
        <v>1064.27</v>
      </c>
      <c r="AE886" s="680">
        <f t="shared" si="348"/>
        <v>0</v>
      </c>
      <c r="AF886" s="680">
        <f t="shared" si="348"/>
        <v>0</v>
      </c>
      <c r="AG886" s="680">
        <f t="shared" si="348"/>
        <v>0</v>
      </c>
      <c r="AH886" s="680">
        <f t="shared" si="348"/>
        <v>0</v>
      </c>
      <c r="AI886" s="680">
        <f t="shared" si="348"/>
        <v>0</v>
      </c>
      <c r="AJ886" s="680">
        <f t="shared" si="348"/>
        <v>0</v>
      </c>
      <c r="AK886" s="680">
        <f t="shared" si="348"/>
        <v>0</v>
      </c>
      <c r="AL886" s="680">
        <f t="shared" si="348"/>
        <v>0</v>
      </c>
      <c r="AM886" s="680">
        <f t="shared" si="348"/>
        <v>0</v>
      </c>
      <c r="AN886" s="680">
        <f t="shared" si="348"/>
        <v>0</v>
      </c>
      <c r="AO886" s="680">
        <f t="shared" si="348"/>
        <v>0</v>
      </c>
      <c r="AP886" s="680">
        <f t="shared" si="348"/>
        <v>0</v>
      </c>
      <c r="AQ886" s="680">
        <f t="shared" si="348"/>
        <v>0</v>
      </c>
      <c r="AR886" s="680">
        <f t="shared" si="348"/>
        <v>0</v>
      </c>
      <c r="AS886" s="680">
        <f t="shared" si="348"/>
        <v>0</v>
      </c>
      <c r="AT886" s="680">
        <f t="shared" si="348"/>
        <v>0</v>
      </c>
      <c r="AU886" s="680">
        <f t="shared" si="348"/>
        <v>0</v>
      </c>
      <c r="AV886" s="680">
        <f t="shared" si="348"/>
        <v>0</v>
      </c>
      <c r="AW886" s="680">
        <f t="shared" si="348"/>
        <v>0</v>
      </c>
      <c r="AX886" s="680">
        <f t="shared" si="348"/>
        <v>0</v>
      </c>
      <c r="AY886" s="680">
        <f t="shared" si="348"/>
        <v>0</v>
      </c>
      <c r="AZ886" s="680">
        <f t="shared" si="348"/>
        <v>0</v>
      </c>
      <c r="BA886" s="680">
        <f t="shared" si="348"/>
        <v>0</v>
      </c>
      <c r="BB886" s="680">
        <f t="shared" si="348"/>
        <v>0</v>
      </c>
      <c r="BC886" s="680">
        <f t="shared" si="348"/>
        <v>0</v>
      </c>
      <c r="BD886" s="680">
        <f t="shared" si="348"/>
        <v>0</v>
      </c>
      <c r="BE886" s="680">
        <f t="shared" si="348"/>
        <v>0</v>
      </c>
      <c r="BF886" s="680">
        <f t="shared" si="348"/>
        <v>0</v>
      </c>
      <c r="BG886" s="680">
        <f t="shared" si="348"/>
        <v>0</v>
      </c>
      <c r="BH886" s="680">
        <f t="shared" si="348"/>
        <v>0</v>
      </c>
      <c r="BI886" s="680">
        <f t="shared" si="348"/>
        <v>0</v>
      </c>
      <c r="BJ886" s="680">
        <f t="shared" si="348"/>
        <v>0</v>
      </c>
      <c r="BK886" s="680">
        <f t="shared" si="348"/>
        <v>0</v>
      </c>
      <c r="BL886" s="680">
        <f t="shared" si="348"/>
        <v>0</v>
      </c>
      <c r="BM886" s="680">
        <f t="shared" si="348"/>
        <v>0</v>
      </c>
      <c r="BN886" s="680">
        <f t="shared" si="348"/>
        <v>0</v>
      </c>
      <c r="BO886" s="680">
        <f t="shared" si="348"/>
        <v>0</v>
      </c>
      <c r="BP886" s="680">
        <f t="shared" ref="BP886:CA886" si="350">SUM(BP879:BP885)</f>
        <v>0</v>
      </c>
      <c r="BQ886" s="680">
        <f t="shared" si="350"/>
        <v>0</v>
      </c>
      <c r="BR886" s="680">
        <f t="shared" si="350"/>
        <v>0</v>
      </c>
      <c r="BS886" s="680">
        <f t="shared" si="350"/>
        <v>0</v>
      </c>
      <c r="BT886" s="680">
        <f t="shared" si="350"/>
        <v>0</v>
      </c>
      <c r="BU886" s="680">
        <f t="shared" si="350"/>
        <v>0</v>
      </c>
      <c r="BV886" s="680">
        <f t="shared" si="350"/>
        <v>0</v>
      </c>
      <c r="BW886" s="680">
        <f t="shared" si="350"/>
        <v>0</v>
      </c>
      <c r="BX886" s="680">
        <f t="shared" si="350"/>
        <v>0</v>
      </c>
      <c r="BY886" s="680">
        <f t="shared" si="350"/>
        <v>0</v>
      </c>
      <c r="BZ886" s="680">
        <f t="shared" si="350"/>
        <v>0</v>
      </c>
      <c r="CA886" s="680">
        <f t="shared" si="350"/>
        <v>0</v>
      </c>
    </row>
    <row r="887" spans="1:79" s="309" customFormat="1" hidden="1" outlineLevel="1" x14ac:dyDescent="0.35">
      <c r="A887" s="575"/>
      <c r="B887" s="575"/>
      <c r="C887" s="575"/>
      <c r="D887" s="575"/>
      <c r="E887" s="575"/>
      <c r="F887" s="671" t="s">
        <v>882</v>
      </c>
      <c r="G887" s="735"/>
      <c r="H887" s="735"/>
      <c r="I887" s="735"/>
      <c r="J887" s="735"/>
      <c r="K887" s="735"/>
      <c r="L887" s="735"/>
      <c r="M887" s="735"/>
      <c r="N887" s="735"/>
      <c r="O887" s="735"/>
      <c r="P887" s="732"/>
      <c r="Q887" s="732"/>
      <c r="R887" s="732"/>
      <c r="S887" s="700">
        <v>0</v>
      </c>
      <c r="T887" s="700">
        <v>0</v>
      </c>
      <c r="U887" s="700">
        <v>0</v>
      </c>
      <c r="V887" s="700">
        <v>0</v>
      </c>
      <c r="W887" s="700">
        <v>0</v>
      </c>
      <c r="X887" s="700">
        <v>0</v>
      </c>
      <c r="Y887" s="700">
        <v>0</v>
      </c>
      <c r="Z887" s="700">
        <v>0</v>
      </c>
      <c r="AA887" s="700">
        <v>0</v>
      </c>
      <c r="AB887" s="700">
        <v>0</v>
      </c>
      <c r="AC887" s="698">
        <v>0</v>
      </c>
      <c r="AD887" s="698">
        <v>0</v>
      </c>
      <c r="AE887" s="732"/>
      <c r="AF887" s="732"/>
      <c r="AG887" s="732"/>
      <c r="AH887" s="732"/>
      <c r="AI887" s="732"/>
      <c r="AJ887" s="732"/>
      <c r="AK887" s="732"/>
      <c r="AL887" s="732"/>
      <c r="AM887" s="732"/>
      <c r="AN887" s="732"/>
      <c r="AO887" s="732"/>
      <c r="AP887" s="732"/>
      <c r="AQ887" s="732"/>
      <c r="AR887" s="732"/>
      <c r="AS887" s="732"/>
      <c r="AT887" s="732"/>
      <c r="AU887" s="732"/>
      <c r="AV887" s="732"/>
      <c r="AW887" s="732"/>
      <c r="AX887" s="732"/>
      <c r="AY887" s="732"/>
      <c r="AZ887" s="732"/>
      <c r="BA887" s="732"/>
      <c r="BB887" s="732"/>
      <c r="BC887" s="732"/>
      <c r="BD887" s="732"/>
      <c r="BE887" s="732"/>
      <c r="BF887" s="732"/>
      <c r="BG887" s="732"/>
      <c r="BH887" s="732"/>
      <c r="BI887" s="732"/>
      <c r="BJ887" s="732"/>
      <c r="BK887" s="732"/>
      <c r="BL887" s="732"/>
      <c r="BM887" s="732"/>
      <c r="BN887" s="732"/>
      <c r="BO887" s="732"/>
      <c r="BP887" s="732"/>
      <c r="BQ887" s="732"/>
      <c r="BR887" s="732"/>
      <c r="BS887" s="732"/>
      <c r="BT887" s="732"/>
      <c r="BU887" s="732"/>
      <c r="BV887" s="732"/>
      <c r="BW887" s="732"/>
      <c r="BX887" s="732"/>
      <c r="BY887" s="732"/>
      <c r="BZ887" s="732"/>
      <c r="CA887" s="732"/>
    </row>
    <row r="888" spans="1:79" hidden="1" outlineLevel="1" x14ac:dyDescent="0.35">
      <c r="F888" s="674" t="s">
        <v>595</v>
      </c>
      <c r="G888" s="735"/>
      <c r="H888" s="735"/>
      <c r="I888" s="735"/>
      <c r="J888" s="735"/>
      <c r="K888" s="735"/>
      <c r="L888" s="735"/>
      <c r="M888" s="735">
        <v>107.47555061026705</v>
      </c>
      <c r="N888" s="735"/>
      <c r="O888" s="735">
        <v>68.824470141229853</v>
      </c>
      <c r="P888" s="732">
        <v>60.615675753840229</v>
      </c>
      <c r="Q888" s="732"/>
      <c r="R888" s="732"/>
      <c r="S888" s="683">
        <v>0</v>
      </c>
      <c r="T888" s="683">
        <v>500</v>
      </c>
      <c r="U888" s="683">
        <v>882</v>
      </c>
      <c r="V888" s="683">
        <v>279</v>
      </c>
      <c r="W888" s="683">
        <v>0</v>
      </c>
      <c r="X888" s="683">
        <v>3250</v>
      </c>
      <c r="Y888" s="683">
        <v>340</v>
      </c>
      <c r="Z888" s="683">
        <v>-100</v>
      </c>
      <c r="AA888" s="683">
        <v>0</v>
      </c>
      <c r="AB888" s="683">
        <v>0</v>
      </c>
      <c r="AC888" s="702">
        <v>525.17999999999995</v>
      </c>
      <c r="AD888" s="702">
        <v>480</v>
      </c>
      <c r="AE888" s="732"/>
      <c r="AF888" s="732"/>
      <c r="AG888" s="732"/>
      <c r="AH888" s="732"/>
      <c r="AI888" s="732"/>
      <c r="AJ888" s="732"/>
      <c r="AK888" s="732"/>
      <c r="AL888" s="732"/>
      <c r="AM888" s="732"/>
      <c r="AN888" s="732"/>
      <c r="AO888" s="732"/>
      <c r="AP888" s="732"/>
      <c r="AQ888" s="732"/>
      <c r="AR888" s="732"/>
      <c r="AS888" s="732"/>
      <c r="AT888" s="732"/>
      <c r="AU888" s="732"/>
      <c r="AV888" s="732"/>
      <c r="AW888" s="732"/>
      <c r="AX888" s="732"/>
      <c r="AY888" s="732"/>
      <c r="AZ888" s="732"/>
      <c r="BA888" s="732"/>
      <c r="BB888" s="732"/>
      <c r="BC888" s="732"/>
      <c r="BD888" s="732"/>
      <c r="BE888" s="732"/>
      <c r="BF888" s="732"/>
      <c r="BG888" s="732"/>
      <c r="BH888" s="732"/>
      <c r="BI888" s="732"/>
      <c r="BJ888" s="732"/>
      <c r="BK888" s="732"/>
      <c r="BL888" s="732"/>
      <c r="BM888" s="732"/>
      <c r="BN888" s="732"/>
      <c r="BO888" s="732"/>
      <c r="BP888" s="732"/>
      <c r="BQ888" s="732"/>
      <c r="BR888" s="732"/>
      <c r="BS888" s="732"/>
      <c r="BT888" s="732"/>
      <c r="BU888" s="732"/>
      <c r="BV888" s="732"/>
      <c r="BW888" s="732"/>
      <c r="BX888" s="732"/>
      <c r="BY888" s="732"/>
      <c r="BZ888" s="732"/>
      <c r="CA888" s="732"/>
    </row>
    <row r="889" spans="1:79" hidden="1" outlineLevel="1" x14ac:dyDescent="0.35">
      <c r="F889" s="674" t="s">
        <v>596</v>
      </c>
      <c r="G889" s="735">
        <v>12.94240808108996</v>
      </c>
      <c r="H889" s="735">
        <v>19.541522508569539</v>
      </c>
      <c r="I889" s="735">
        <v>2.6645922879130106</v>
      </c>
      <c r="J889" s="735">
        <v>4.0967458856666763</v>
      </c>
      <c r="K889" s="735">
        <v>190.76088834671319</v>
      </c>
      <c r="L889" s="736">
        <v>262.11</v>
      </c>
      <c r="M889" s="735"/>
      <c r="N889" s="735">
        <v>6.9118276334504687</v>
      </c>
      <c r="O889" s="735"/>
      <c r="P889" s="732">
        <v>98.616448230493674</v>
      </c>
      <c r="Q889" s="732"/>
      <c r="R889" s="732"/>
      <c r="S889" s="683">
        <v>0</v>
      </c>
      <c r="T889" s="683">
        <v>45</v>
      </c>
      <c r="U889" s="683">
        <v>0</v>
      </c>
      <c r="V889" s="683">
        <v>0</v>
      </c>
      <c r="W889" s="683">
        <v>4470.83</v>
      </c>
      <c r="X889" s="683">
        <v>489.17</v>
      </c>
      <c r="Y889" s="683">
        <v>4252.51</v>
      </c>
      <c r="Z889" s="683">
        <v>745.79</v>
      </c>
      <c r="AA889" s="683">
        <v>745.79</v>
      </c>
      <c r="AB889" s="683">
        <v>745.79</v>
      </c>
      <c r="AC889" s="702">
        <v>745.79</v>
      </c>
      <c r="AD889" s="702">
        <v>745.79</v>
      </c>
      <c r="AE889" s="732"/>
      <c r="AF889" s="732"/>
      <c r="AG889" s="732"/>
      <c r="AH889" s="732"/>
      <c r="AI889" s="732"/>
      <c r="AJ889" s="732"/>
      <c r="AK889" s="732"/>
      <c r="AL889" s="732"/>
      <c r="AM889" s="732"/>
      <c r="AN889" s="732"/>
      <c r="AO889" s="732"/>
      <c r="AP889" s="732"/>
      <c r="AQ889" s="732"/>
      <c r="AR889" s="732"/>
      <c r="AS889" s="732"/>
      <c r="AT889" s="732"/>
      <c r="AU889" s="732"/>
      <c r="AV889" s="732"/>
      <c r="AW889" s="732"/>
      <c r="AX889" s="732"/>
      <c r="AY889" s="732"/>
      <c r="AZ889" s="732"/>
      <c r="BA889" s="732"/>
      <c r="BB889" s="732"/>
      <c r="BC889" s="732"/>
      <c r="BD889" s="732"/>
      <c r="BE889" s="732"/>
      <c r="BF889" s="732"/>
      <c r="BG889" s="732"/>
      <c r="BH889" s="732"/>
      <c r="BI889" s="732"/>
      <c r="BJ889" s="732"/>
      <c r="BK889" s="732"/>
      <c r="BL889" s="732"/>
      <c r="BM889" s="732"/>
      <c r="BN889" s="732"/>
      <c r="BO889" s="732"/>
      <c r="BP889" s="732"/>
      <c r="BQ889" s="732"/>
      <c r="BR889" s="732"/>
      <c r="BS889" s="732"/>
      <c r="BT889" s="732"/>
      <c r="BU889" s="732"/>
      <c r="BV889" s="732"/>
      <c r="BW889" s="732"/>
      <c r="BX889" s="732"/>
      <c r="BY889" s="732"/>
      <c r="BZ889" s="732"/>
      <c r="CA889" s="732"/>
    </row>
    <row r="890" spans="1:79" hidden="1" outlineLevel="1" x14ac:dyDescent="0.35">
      <c r="A890" s="574"/>
      <c r="B890" s="574"/>
      <c r="C890" s="574"/>
      <c r="D890" s="574"/>
      <c r="E890" s="574"/>
      <c r="F890" s="671" t="s">
        <v>883</v>
      </c>
      <c r="G890" s="735"/>
      <c r="H890" s="735"/>
      <c r="I890" s="735"/>
      <c r="J890" s="735"/>
      <c r="K890" s="735"/>
      <c r="L890" s="736"/>
      <c r="M890" s="735"/>
      <c r="N890" s="735"/>
      <c r="O890" s="735"/>
      <c r="P890" s="732"/>
      <c r="Q890" s="732"/>
      <c r="R890" s="732"/>
      <c r="S890" s="683">
        <v>0</v>
      </c>
      <c r="T890" s="683">
        <v>0</v>
      </c>
      <c r="U890" s="683">
        <v>0</v>
      </c>
      <c r="V890" s="683">
        <v>0</v>
      </c>
      <c r="W890" s="683">
        <v>0</v>
      </c>
      <c r="X890" s="683">
        <v>0</v>
      </c>
      <c r="Y890" s="683">
        <v>0</v>
      </c>
      <c r="Z890" s="683">
        <v>0</v>
      </c>
      <c r="AA890" s="683">
        <v>0</v>
      </c>
      <c r="AB890" s="683">
        <v>0</v>
      </c>
      <c r="AC890" s="702">
        <v>0</v>
      </c>
      <c r="AD890" s="702">
        <v>0</v>
      </c>
      <c r="AE890" s="732"/>
      <c r="AF890" s="732"/>
      <c r="AG890" s="732"/>
      <c r="AH890" s="732"/>
      <c r="AI890" s="732"/>
      <c r="AJ890" s="732"/>
      <c r="AK890" s="732"/>
      <c r="AL890" s="732"/>
      <c r="AM890" s="732"/>
      <c r="AN890" s="732"/>
      <c r="AO890" s="732"/>
      <c r="AP890" s="732"/>
      <c r="AQ890" s="732"/>
      <c r="AR890" s="732"/>
      <c r="AS890" s="732"/>
      <c r="AT890" s="732"/>
      <c r="AU890" s="732"/>
      <c r="AV890" s="732"/>
      <c r="AW890" s="732"/>
      <c r="AX890" s="732"/>
      <c r="AY890" s="732"/>
      <c r="AZ890" s="732"/>
      <c r="BA890" s="732"/>
      <c r="BB890" s="732"/>
      <c r="BC890" s="732"/>
      <c r="BD890" s="732"/>
      <c r="BE890" s="732"/>
      <c r="BF890" s="732"/>
      <c r="BG890" s="732"/>
      <c r="BH890" s="732"/>
      <c r="BI890" s="732"/>
      <c r="BJ890" s="732"/>
      <c r="BK890" s="732"/>
      <c r="BL890" s="732"/>
      <c r="BM890" s="732"/>
      <c r="BN890" s="732"/>
      <c r="BO890" s="732"/>
      <c r="BP890" s="732"/>
      <c r="BQ890" s="732"/>
      <c r="BR890" s="732"/>
      <c r="BS890" s="732"/>
      <c r="BT890" s="732"/>
      <c r="BU890" s="732"/>
      <c r="BV890" s="732"/>
      <c r="BW890" s="732"/>
      <c r="BX890" s="732"/>
      <c r="BY890" s="732"/>
      <c r="BZ890" s="732"/>
      <c r="CA890" s="732"/>
    </row>
    <row r="891" spans="1:79" s="709" customFormat="1" hidden="1" outlineLevel="1" x14ac:dyDescent="0.35">
      <c r="F891" s="717" t="s">
        <v>766</v>
      </c>
      <c r="G891" s="750"/>
      <c r="H891" s="750"/>
      <c r="I891" s="750"/>
      <c r="J891" s="750"/>
      <c r="K891" s="750"/>
      <c r="L891" s="752"/>
      <c r="M891" s="750"/>
      <c r="N891" s="750"/>
      <c r="O891" s="750"/>
      <c r="P891" s="751"/>
      <c r="Q891" s="751"/>
      <c r="R891" s="751"/>
      <c r="S891" s="720"/>
      <c r="T891" s="720"/>
      <c r="U891" s="720"/>
      <c r="V891" s="720"/>
      <c r="W891" s="720"/>
      <c r="X891" s="720"/>
      <c r="Y891" s="720"/>
      <c r="Z891" s="720"/>
      <c r="AA891" s="720"/>
      <c r="AB891" s="720"/>
      <c r="AC891" s="719"/>
      <c r="AD891" s="719"/>
      <c r="AE891" s="751"/>
      <c r="AF891" s="751"/>
      <c r="AG891" s="751"/>
      <c r="AH891" s="751"/>
      <c r="AI891" s="751"/>
      <c r="AJ891" s="751"/>
      <c r="AK891" s="751"/>
      <c r="AL891" s="751"/>
      <c r="AM891" s="751"/>
      <c r="AN891" s="751"/>
      <c r="AO891" s="751"/>
      <c r="AP891" s="751"/>
      <c r="AQ891" s="751"/>
      <c r="AR891" s="751"/>
      <c r="AS891" s="751"/>
      <c r="AT891" s="751"/>
      <c r="AU891" s="751"/>
      <c r="AV891" s="751"/>
      <c r="AW891" s="751"/>
      <c r="AX891" s="751"/>
      <c r="AY891" s="751"/>
      <c r="AZ891" s="751"/>
      <c r="BA891" s="751"/>
      <c r="BB891" s="751"/>
      <c r="BC891" s="751"/>
      <c r="BD891" s="751"/>
      <c r="BE891" s="751"/>
      <c r="BF891" s="751"/>
      <c r="BG891" s="751"/>
      <c r="BH891" s="751"/>
      <c r="BI891" s="751"/>
      <c r="BJ891" s="751"/>
      <c r="BK891" s="751"/>
      <c r="BL891" s="751"/>
      <c r="BM891" s="751"/>
      <c r="BN891" s="751"/>
      <c r="BO891" s="751"/>
      <c r="BP891" s="751"/>
      <c r="BQ891" s="751"/>
      <c r="BR891" s="751"/>
      <c r="BS891" s="751"/>
      <c r="BT891" s="751"/>
      <c r="BU891" s="751"/>
      <c r="BV891" s="751"/>
      <c r="BW891" s="751"/>
      <c r="BX891" s="751"/>
      <c r="BY891" s="751"/>
      <c r="BZ891" s="751"/>
      <c r="CA891" s="751"/>
    </row>
    <row r="892" spans="1:79" hidden="1" outlineLevel="1" x14ac:dyDescent="0.35">
      <c r="A892" s="574"/>
      <c r="B892" s="574"/>
      <c r="C892" s="574"/>
      <c r="D892" s="574"/>
      <c r="E892" s="574"/>
      <c r="F892" s="672" t="s">
        <v>884</v>
      </c>
      <c r="G892" s="735"/>
      <c r="H892" s="735"/>
      <c r="I892" s="735"/>
      <c r="J892" s="735"/>
      <c r="K892" s="735"/>
      <c r="L892" s="736"/>
      <c r="M892" s="735"/>
      <c r="N892" s="735"/>
      <c r="O892" s="735"/>
      <c r="P892" s="732"/>
      <c r="Q892" s="732"/>
      <c r="R892" s="732"/>
      <c r="S892" s="683">
        <v>0</v>
      </c>
      <c r="T892" s="683">
        <v>0</v>
      </c>
      <c r="U892" s="683">
        <v>0</v>
      </c>
      <c r="V892" s="683">
        <v>0</v>
      </c>
      <c r="W892" s="683">
        <v>0</v>
      </c>
      <c r="X892" s="683">
        <v>0</v>
      </c>
      <c r="Y892" s="683">
        <v>0</v>
      </c>
      <c r="Z892" s="683">
        <v>0</v>
      </c>
      <c r="AA892" s="683">
        <v>0</v>
      </c>
      <c r="AB892" s="683">
        <v>0</v>
      </c>
      <c r="AC892" s="702">
        <v>0</v>
      </c>
      <c r="AD892" s="702">
        <v>0</v>
      </c>
      <c r="AE892" s="732"/>
      <c r="AF892" s="732"/>
      <c r="AG892" s="732"/>
      <c r="AH892" s="732"/>
      <c r="AI892" s="732"/>
      <c r="AJ892" s="732"/>
      <c r="AK892" s="732"/>
      <c r="AL892" s="732"/>
      <c r="AM892" s="732"/>
      <c r="AN892" s="732"/>
      <c r="AO892" s="732"/>
      <c r="AP892" s="732"/>
      <c r="AQ892" s="732"/>
      <c r="AR892" s="732"/>
      <c r="AS892" s="732"/>
      <c r="AT892" s="732"/>
      <c r="AU892" s="732"/>
      <c r="AV892" s="732"/>
      <c r="AW892" s="732"/>
      <c r="AX892" s="732"/>
      <c r="AY892" s="732"/>
      <c r="AZ892" s="732"/>
      <c r="BA892" s="732"/>
      <c r="BB892" s="732"/>
      <c r="BC892" s="732"/>
      <c r="BD892" s="732"/>
      <c r="BE892" s="732"/>
      <c r="BF892" s="732"/>
      <c r="BG892" s="732"/>
      <c r="BH892" s="732"/>
      <c r="BI892" s="732"/>
      <c r="BJ892" s="732"/>
      <c r="BK892" s="732"/>
      <c r="BL892" s="732"/>
      <c r="BM892" s="732"/>
      <c r="BN892" s="732"/>
      <c r="BO892" s="732"/>
      <c r="BP892" s="732"/>
      <c r="BQ892" s="732"/>
      <c r="BR892" s="732"/>
      <c r="BS892" s="732"/>
      <c r="BT892" s="732"/>
      <c r="BU892" s="732"/>
      <c r="BV892" s="732"/>
      <c r="BW892" s="732"/>
      <c r="BX892" s="732"/>
      <c r="BY892" s="732"/>
      <c r="BZ892" s="732"/>
      <c r="CA892" s="732"/>
    </row>
    <row r="893" spans="1:79" hidden="1" outlineLevel="1" x14ac:dyDescent="0.35">
      <c r="A893" s="574"/>
      <c r="B893" s="574"/>
      <c r="C893" s="574"/>
      <c r="D893" s="574"/>
      <c r="E893" s="574"/>
      <c r="F893" s="672" t="s">
        <v>885</v>
      </c>
      <c r="G893" s="735"/>
      <c r="H893" s="735"/>
      <c r="I893" s="735"/>
      <c r="J893" s="735"/>
      <c r="K893" s="735"/>
      <c r="L893" s="736"/>
      <c r="M893" s="735"/>
      <c r="N893" s="735"/>
      <c r="O893" s="735"/>
      <c r="P893" s="732"/>
      <c r="Q893" s="732"/>
      <c r="R893" s="732"/>
      <c r="S893" s="683">
        <v>0</v>
      </c>
      <c r="T893" s="683">
        <v>0</v>
      </c>
      <c r="U893" s="683">
        <v>0</v>
      </c>
      <c r="V893" s="683">
        <v>0</v>
      </c>
      <c r="W893" s="683">
        <v>0</v>
      </c>
      <c r="X893" s="683">
        <v>0</v>
      </c>
      <c r="Y893" s="683">
        <v>0</v>
      </c>
      <c r="Z893" s="683">
        <v>0</v>
      </c>
      <c r="AA893" s="683">
        <v>0</v>
      </c>
      <c r="AB893" s="683">
        <v>0</v>
      </c>
      <c r="AC893" s="702">
        <v>0</v>
      </c>
      <c r="AD893" s="702">
        <v>0</v>
      </c>
      <c r="AE893" s="732"/>
      <c r="AF893" s="732"/>
      <c r="AG893" s="732"/>
      <c r="AH893" s="732"/>
      <c r="AI893" s="732"/>
      <c r="AJ893" s="732"/>
      <c r="AK893" s="732"/>
      <c r="AL893" s="732"/>
      <c r="AM893" s="732"/>
      <c r="AN893" s="732"/>
      <c r="AO893" s="732"/>
      <c r="AP893" s="732"/>
      <c r="AQ893" s="732"/>
      <c r="AR893" s="732"/>
      <c r="AS893" s="732"/>
      <c r="AT893" s="732"/>
      <c r="AU893" s="732"/>
      <c r="AV893" s="732"/>
      <c r="AW893" s="732"/>
      <c r="AX893" s="732"/>
      <c r="AY893" s="732"/>
      <c r="AZ893" s="732"/>
      <c r="BA893" s="732"/>
      <c r="BB893" s="732"/>
      <c r="BC893" s="732"/>
      <c r="BD893" s="732"/>
      <c r="BE893" s="732"/>
      <c r="BF893" s="732"/>
      <c r="BG893" s="732"/>
      <c r="BH893" s="732"/>
      <c r="BI893" s="732"/>
      <c r="BJ893" s="732"/>
      <c r="BK893" s="732"/>
      <c r="BL893" s="732"/>
      <c r="BM893" s="732"/>
      <c r="BN893" s="732"/>
      <c r="BO893" s="732"/>
      <c r="BP893" s="732"/>
      <c r="BQ893" s="732"/>
      <c r="BR893" s="732"/>
      <c r="BS893" s="732"/>
      <c r="BT893" s="732"/>
      <c r="BU893" s="732"/>
      <c r="BV893" s="732"/>
      <c r="BW893" s="732"/>
      <c r="BX893" s="732"/>
      <c r="BY893" s="732"/>
      <c r="BZ893" s="732"/>
      <c r="CA893" s="732"/>
    </row>
    <row r="894" spans="1:79" hidden="1" outlineLevel="1" x14ac:dyDescent="0.35">
      <c r="A894" s="574"/>
      <c r="B894" s="574"/>
      <c r="C894" s="574"/>
      <c r="D894" s="574"/>
      <c r="E894" s="574"/>
      <c r="F894" s="672" t="s">
        <v>886</v>
      </c>
      <c r="G894" s="735"/>
      <c r="H894" s="735"/>
      <c r="I894" s="735"/>
      <c r="J894" s="735"/>
      <c r="K894" s="735"/>
      <c r="L894" s="736"/>
      <c r="M894" s="735"/>
      <c r="N894" s="735"/>
      <c r="O894" s="735"/>
      <c r="P894" s="732"/>
      <c r="Q894" s="732"/>
      <c r="R894" s="732"/>
      <c r="S894" s="683">
        <v>0</v>
      </c>
      <c r="T894" s="683">
        <v>0</v>
      </c>
      <c r="U894" s="683">
        <v>0</v>
      </c>
      <c r="V894" s="683">
        <v>0</v>
      </c>
      <c r="W894" s="683">
        <v>0</v>
      </c>
      <c r="X894" s="683">
        <v>0</v>
      </c>
      <c r="Y894" s="683">
        <v>0</v>
      </c>
      <c r="Z894" s="683">
        <v>0</v>
      </c>
      <c r="AA894" s="683">
        <v>0</v>
      </c>
      <c r="AB894" s="683">
        <v>0</v>
      </c>
      <c r="AC894" s="702">
        <v>0</v>
      </c>
      <c r="AD894" s="702">
        <v>0</v>
      </c>
      <c r="AE894" s="732"/>
      <c r="AF894" s="732"/>
      <c r="AG894" s="732"/>
      <c r="AH894" s="732"/>
      <c r="AI894" s="732"/>
      <c r="AJ894" s="732"/>
      <c r="AK894" s="732"/>
      <c r="AL894" s="732"/>
      <c r="AM894" s="732"/>
      <c r="AN894" s="732"/>
      <c r="AO894" s="732"/>
      <c r="AP894" s="732"/>
      <c r="AQ894" s="732"/>
      <c r="AR894" s="732"/>
      <c r="AS894" s="732"/>
      <c r="AT894" s="732"/>
      <c r="AU894" s="732"/>
      <c r="AV894" s="732"/>
      <c r="AW894" s="732"/>
      <c r="AX894" s="732"/>
      <c r="AY894" s="732"/>
      <c r="AZ894" s="732"/>
      <c r="BA894" s="732"/>
      <c r="BB894" s="732"/>
      <c r="BC894" s="732"/>
      <c r="BD894" s="732"/>
      <c r="BE894" s="732"/>
      <c r="BF894" s="732"/>
      <c r="BG894" s="732"/>
      <c r="BH894" s="732"/>
      <c r="BI894" s="732"/>
      <c r="BJ894" s="732"/>
      <c r="BK894" s="732"/>
      <c r="BL894" s="732"/>
      <c r="BM894" s="732"/>
      <c r="BN894" s="732"/>
      <c r="BO894" s="732"/>
      <c r="BP894" s="732"/>
      <c r="BQ894" s="732"/>
      <c r="BR894" s="732"/>
      <c r="BS894" s="732"/>
      <c r="BT894" s="732"/>
      <c r="BU894" s="732"/>
      <c r="BV894" s="732"/>
      <c r="BW894" s="732"/>
      <c r="BX894" s="732"/>
      <c r="BY894" s="732"/>
      <c r="BZ894" s="732"/>
      <c r="CA894" s="732"/>
    </row>
    <row r="895" spans="1:79" hidden="1" outlineLevel="1" x14ac:dyDescent="0.35">
      <c r="A895" s="574"/>
      <c r="B895" s="574"/>
      <c r="C895" s="574"/>
      <c r="D895" s="574"/>
      <c r="E895" s="574"/>
      <c r="F895" s="672" t="s">
        <v>664</v>
      </c>
      <c r="G895" s="735"/>
      <c r="H895" s="735"/>
      <c r="I895" s="735"/>
      <c r="J895" s="735"/>
      <c r="K895" s="735"/>
      <c r="L895" s="736"/>
      <c r="M895" s="735"/>
      <c r="N895" s="735"/>
      <c r="O895" s="735"/>
      <c r="P895" s="732"/>
      <c r="Q895" s="732"/>
      <c r="R895" s="732"/>
      <c r="S895" s="683">
        <v>0</v>
      </c>
      <c r="T895" s="683">
        <v>0</v>
      </c>
      <c r="U895" s="683">
        <v>0</v>
      </c>
      <c r="V895" s="683">
        <v>0</v>
      </c>
      <c r="W895" s="683">
        <v>0</v>
      </c>
      <c r="X895" s="683">
        <v>0</v>
      </c>
      <c r="Y895" s="683">
        <v>0</v>
      </c>
      <c r="Z895" s="683">
        <v>0</v>
      </c>
      <c r="AA895" s="683">
        <v>0</v>
      </c>
      <c r="AB895" s="683">
        <v>0</v>
      </c>
      <c r="AC895" s="702">
        <v>0</v>
      </c>
      <c r="AD895" s="702">
        <v>0</v>
      </c>
      <c r="AE895" s="732"/>
      <c r="AF895" s="732"/>
      <c r="AG895" s="732"/>
      <c r="AH895" s="732"/>
      <c r="AI895" s="732"/>
      <c r="AJ895" s="732"/>
      <c r="AK895" s="732"/>
      <c r="AL895" s="732"/>
      <c r="AM895" s="732"/>
      <c r="AN895" s="732"/>
      <c r="AO895" s="732"/>
      <c r="AP895" s="732"/>
      <c r="AQ895" s="732"/>
      <c r="AR895" s="732"/>
      <c r="AS895" s="732"/>
      <c r="AT895" s="732"/>
      <c r="AU895" s="732"/>
      <c r="AV895" s="732"/>
      <c r="AW895" s="732"/>
      <c r="AX895" s="732"/>
      <c r="AY895" s="732"/>
      <c r="AZ895" s="732"/>
      <c r="BA895" s="732"/>
      <c r="BB895" s="732"/>
      <c r="BC895" s="732"/>
      <c r="BD895" s="732"/>
      <c r="BE895" s="732"/>
      <c r="BF895" s="732"/>
      <c r="BG895" s="732"/>
      <c r="BH895" s="732"/>
      <c r="BI895" s="732"/>
      <c r="BJ895" s="732"/>
      <c r="BK895" s="732"/>
      <c r="BL895" s="732"/>
      <c r="BM895" s="732"/>
      <c r="BN895" s="732"/>
      <c r="BO895" s="732"/>
      <c r="BP895" s="732"/>
      <c r="BQ895" s="732"/>
      <c r="BR895" s="732"/>
      <c r="BS895" s="732"/>
      <c r="BT895" s="732"/>
      <c r="BU895" s="732"/>
      <c r="BV895" s="732"/>
      <c r="BW895" s="732"/>
      <c r="BX895" s="732"/>
      <c r="BY895" s="732"/>
      <c r="BZ895" s="732"/>
      <c r="CA895" s="732"/>
    </row>
    <row r="896" spans="1:79" hidden="1" outlineLevel="1" x14ac:dyDescent="0.35">
      <c r="A896" s="574"/>
      <c r="B896" s="574"/>
      <c r="C896" s="574"/>
      <c r="D896" s="574"/>
      <c r="E896" s="574"/>
      <c r="F896" s="672" t="s">
        <v>665</v>
      </c>
      <c r="G896" s="735"/>
      <c r="H896" s="735"/>
      <c r="I896" s="735"/>
      <c r="J896" s="735"/>
      <c r="K896" s="735"/>
      <c r="L896" s="736"/>
      <c r="M896" s="735"/>
      <c r="N896" s="735"/>
      <c r="O896" s="735"/>
      <c r="P896" s="732"/>
      <c r="Q896" s="732"/>
      <c r="R896" s="732"/>
      <c r="S896" s="683">
        <v>0</v>
      </c>
      <c r="T896" s="683">
        <v>0</v>
      </c>
      <c r="U896" s="683">
        <v>0</v>
      </c>
      <c r="V896" s="683">
        <v>0</v>
      </c>
      <c r="W896" s="683">
        <v>0</v>
      </c>
      <c r="X896" s="683">
        <v>0</v>
      </c>
      <c r="Y896" s="683">
        <v>0</v>
      </c>
      <c r="Z896" s="683">
        <v>0</v>
      </c>
      <c r="AA896" s="683">
        <v>0</v>
      </c>
      <c r="AB896" s="683">
        <v>0</v>
      </c>
      <c r="AC896" s="702">
        <v>0</v>
      </c>
      <c r="AD896" s="702">
        <v>0</v>
      </c>
      <c r="AE896" s="732"/>
      <c r="AF896" s="732"/>
      <c r="AG896" s="732"/>
      <c r="AH896" s="732"/>
      <c r="AI896" s="732"/>
      <c r="AJ896" s="732"/>
      <c r="AK896" s="732"/>
      <c r="AL896" s="732"/>
      <c r="AM896" s="732"/>
      <c r="AN896" s="732"/>
      <c r="AO896" s="732"/>
      <c r="AP896" s="732"/>
      <c r="AQ896" s="732"/>
      <c r="AR896" s="732"/>
      <c r="AS896" s="732"/>
      <c r="AT896" s="732"/>
      <c r="AU896" s="732"/>
      <c r="AV896" s="732"/>
      <c r="AW896" s="732"/>
      <c r="AX896" s="732"/>
      <c r="AY896" s="732"/>
      <c r="AZ896" s="732"/>
      <c r="BA896" s="732"/>
      <c r="BB896" s="732"/>
      <c r="BC896" s="732"/>
      <c r="BD896" s="732"/>
      <c r="BE896" s="732"/>
      <c r="BF896" s="732"/>
      <c r="BG896" s="732"/>
      <c r="BH896" s="732"/>
      <c r="BI896" s="732"/>
      <c r="BJ896" s="732"/>
      <c r="BK896" s="732"/>
      <c r="BL896" s="732"/>
      <c r="BM896" s="732"/>
      <c r="BN896" s="732"/>
      <c r="BO896" s="732"/>
      <c r="BP896" s="732"/>
      <c r="BQ896" s="732"/>
      <c r="BR896" s="732"/>
      <c r="BS896" s="732"/>
      <c r="BT896" s="732"/>
      <c r="BU896" s="732"/>
      <c r="BV896" s="732"/>
      <c r="BW896" s="732"/>
      <c r="BX896" s="732"/>
      <c r="BY896" s="732"/>
      <c r="BZ896" s="732"/>
      <c r="CA896" s="732"/>
    </row>
    <row r="897" spans="1:79" hidden="1" outlineLevel="1" x14ac:dyDescent="0.35">
      <c r="A897" s="574"/>
      <c r="B897" s="574"/>
      <c r="C897" s="574"/>
      <c r="D897" s="574"/>
      <c r="E897" s="574"/>
      <c r="F897" s="672" t="s">
        <v>887</v>
      </c>
      <c r="G897" s="735"/>
      <c r="H897" s="735"/>
      <c r="I897" s="735"/>
      <c r="J897" s="735"/>
      <c r="K897" s="735"/>
      <c r="L897" s="736"/>
      <c r="M897" s="735"/>
      <c r="N897" s="735"/>
      <c r="O897" s="735"/>
      <c r="P897" s="732"/>
      <c r="Q897" s="732"/>
      <c r="R897" s="732"/>
      <c r="S897" s="683">
        <v>0</v>
      </c>
      <c r="T897" s="683">
        <v>0</v>
      </c>
      <c r="U897" s="683">
        <v>0</v>
      </c>
      <c r="V897" s="683">
        <v>0</v>
      </c>
      <c r="W897" s="683">
        <v>0</v>
      </c>
      <c r="X897" s="683">
        <v>0</v>
      </c>
      <c r="Y897" s="683">
        <v>0</v>
      </c>
      <c r="Z897" s="683">
        <v>0</v>
      </c>
      <c r="AA897" s="683">
        <v>0</v>
      </c>
      <c r="AB897" s="683">
        <v>0</v>
      </c>
      <c r="AC897" s="702">
        <v>0</v>
      </c>
      <c r="AD897" s="702">
        <v>0</v>
      </c>
      <c r="AE897" s="732"/>
      <c r="AF897" s="732"/>
      <c r="AG897" s="732"/>
      <c r="AH897" s="732"/>
      <c r="AI897" s="732"/>
      <c r="AJ897" s="732"/>
      <c r="AK897" s="732"/>
      <c r="AL897" s="732"/>
      <c r="AM897" s="732"/>
      <c r="AN897" s="732"/>
      <c r="AO897" s="732"/>
      <c r="AP897" s="732"/>
      <c r="AQ897" s="732"/>
      <c r="AR897" s="732"/>
      <c r="AS897" s="732"/>
      <c r="AT897" s="732"/>
      <c r="AU897" s="732"/>
      <c r="AV897" s="732"/>
      <c r="AW897" s="732"/>
      <c r="AX897" s="732"/>
      <c r="AY897" s="732"/>
      <c r="AZ897" s="732"/>
      <c r="BA897" s="732"/>
      <c r="BB897" s="732"/>
      <c r="BC897" s="732"/>
      <c r="BD897" s="732"/>
      <c r="BE897" s="732"/>
      <c r="BF897" s="732"/>
      <c r="BG897" s="732"/>
      <c r="BH897" s="732"/>
      <c r="BI897" s="732"/>
      <c r="BJ897" s="732"/>
      <c r="BK897" s="732"/>
      <c r="BL897" s="732"/>
      <c r="BM897" s="732"/>
      <c r="BN897" s="732"/>
      <c r="BO897" s="732"/>
      <c r="BP897" s="732"/>
      <c r="BQ897" s="732"/>
      <c r="BR897" s="732"/>
      <c r="BS897" s="732"/>
      <c r="BT897" s="732"/>
      <c r="BU897" s="732"/>
      <c r="BV897" s="732"/>
      <c r="BW897" s="732"/>
      <c r="BX897" s="732"/>
      <c r="BY897" s="732"/>
      <c r="BZ897" s="732"/>
      <c r="CA897" s="732"/>
    </row>
    <row r="898" spans="1:79" hidden="1" outlineLevel="1" x14ac:dyDescent="0.35">
      <c r="A898" s="574"/>
      <c r="B898" s="574"/>
      <c r="C898" s="574"/>
      <c r="D898" s="574"/>
      <c r="E898" s="574"/>
      <c r="F898" s="672" t="s">
        <v>666</v>
      </c>
      <c r="G898" s="735"/>
      <c r="H898" s="735"/>
      <c r="I898" s="735"/>
      <c r="J898" s="735"/>
      <c r="K898" s="735"/>
      <c r="L898" s="736"/>
      <c r="M898" s="735"/>
      <c r="N898" s="735"/>
      <c r="O898" s="735"/>
      <c r="P898" s="732"/>
      <c r="Q898" s="732"/>
      <c r="R898" s="732"/>
      <c r="S898" s="683">
        <v>0</v>
      </c>
      <c r="T898" s="683">
        <v>0</v>
      </c>
      <c r="U898" s="683">
        <v>0</v>
      </c>
      <c r="V898" s="683">
        <v>0</v>
      </c>
      <c r="W898" s="683">
        <v>0</v>
      </c>
      <c r="X898" s="683">
        <v>0</v>
      </c>
      <c r="Y898" s="683">
        <v>0</v>
      </c>
      <c r="Z898" s="683">
        <v>0</v>
      </c>
      <c r="AA898" s="683">
        <v>0</v>
      </c>
      <c r="AB898" s="683">
        <v>0</v>
      </c>
      <c r="AC898" s="702">
        <v>0</v>
      </c>
      <c r="AD898" s="702">
        <v>0</v>
      </c>
      <c r="AE898" s="732"/>
      <c r="AF898" s="732"/>
      <c r="AG898" s="732"/>
      <c r="AH898" s="732"/>
      <c r="AI898" s="732"/>
      <c r="AJ898" s="732"/>
      <c r="AK898" s="732"/>
      <c r="AL898" s="732"/>
      <c r="AM898" s="732"/>
      <c r="AN898" s="732"/>
      <c r="AO898" s="732"/>
      <c r="AP898" s="732"/>
      <c r="AQ898" s="732"/>
      <c r="AR898" s="732"/>
      <c r="AS898" s="732"/>
      <c r="AT898" s="732"/>
      <c r="AU898" s="732"/>
      <c r="AV898" s="732"/>
      <c r="AW898" s="732"/>
      <c r="AX898" s="732"/>
      <c r="AY898" s="732"/>
      <c r="AZ898" s="732"/>
      <c r="BA898" s="732"/>
      <c r="BB898" s="732"/>
      <c r="BC898" s="732"/>
      <c r="BD898" s="732"/>
      <c r="BE898" s="732"/>
      <c r="BF898" s="732"/>
      <c r="BG898" s="732"/>
      <c r="BH898" s="732"/>
      <c r="BI898" s="732"/>
      <c r="BJ898" s="732"/>
      <c r="BK898" s="732"/>
      <c r="BL898" s="732"/>
      <c r="BM898" s="732"/>
      <c r="BN898" s="732"/>
      <c r="BO898" s="732"/>
      <c r="BP898" s="732"/>
      <c r="BQ898" s="732"/>
      <c r="BR898" s="732"/>
      <c r="BS898" s="732"/>
      <c r="BT898" s="732"/>
      <c r="BU898" s="732"/>
      <c r="BV898" s="732"/>
      <c r="BW898" s="732"/>
      <c r="BX898" s="732"/>
      <c r="BY898" s="732"/>
      <c r="BZ898" s="732"/>
      <c r="CA898" s="732"/>
    </row>
    <row r="899" spans="1:79" hidden="1" outlineLevel="1" x14ac:dyDescent="0.35">
      <c r="A899" s="574"/>
      <c r="B899" s="574"/>
      <c r="C899" s="574"/>
      <c r="D899" s="574"/>
      <c r="E899" s="574"/>
      <c r="F899" s="676" t="s">
        <v>667</v>
      </c>
      <c r="G899" s="735"/>
      <c r="H899" s="735"/>
      <c r="I899" s="735"/>
      <c r="J899" s="735"/>
      <c r="K899" s="735"/>
      <c r="L899" s="736"/>
      <c r="M899" s="735"/>
      <c r="N899" s="735"/>
      <c r="O899" s="735"/>
      <c r="P899" s="732"/>
      <c r="Q899" s="732"/>
      <c r="R899" s="732"/>
      <c r="S899" s="683">
        <v>0</v>
      </c>
      <c r="T899" s="683">
        <v>0</v>
      </c>
      <c r="U899" s="683">
        <v>0</v>
      </c>
      <c r="V899" s="683">
        <v>0</v>
      </c>
      <c r="W899" s="683">
        <v>0</v>
      </c>
      <c r="X899" s="683">
        <v>0</v>
      </c>
      <c r="Y899" s="683">
        <v>0</v>
      </c>
      <c r="Z899" s="683">
        <v>0</v>
      </c>
      <c r="AA899" s="683">
        <v>0</v>
      </c>
      <c r="AB899" s="683">
        <v>0</v>
      </c>
      <c r="AC899" s="702">
        <v>0</v>
      </c>
      <c r="AD899" s="702">
        <v>0</v>
      </c>
      <c r="AE899" s="732"/>
      <c r="AF899" s="732"/>
      <c r="AG899" s="732"/>
      <c r="AH899" s="732"/>
      <c r="AI899" s="732"/>
      <c r="AJ899" s="732"/>
      <c r="AK899" s="732"/>
      <c r="AL899" s="732"/>
      <c r="AM899" s="732"/>
      <c r="AN899" s="732"/>
      <c r="AO899" s="732"/>
      <c r="AP899" s="732"/>
      <c r="AQ899" s="732"/>
      <c r="AR899" s="732"/>
      <c r="AS899" s="732"/>
      <c r="AT899" s="732"/>
      <c r="AU899" s="732"/>
      <c r="AV899" s="732"/>
      <c r="AW899" s="732"/>
      <c r="AX899" s="732"/>
      <c r="AY899" s="732"/>
      <c r="AZ899" s="732"/>
      <c r="BA899" s="732"/>
      <c r="BB899" s="732"/>
      <c r="BC899" s="732"/>
      <c r="BD899" s="732"/>
      <c r="BE899" s="732"/>
      <c r="BF899" s="732"/>
      <c r="BG899" s="732"/>
      <c r="BH899" s="732"/>
      <c r="BI899" s="732"/>
      <c r="BJ899" s="732"/>
      <c r="BK899" s="732"/>
      <c r="BL899" s="732"/>
      <c r="BM899" s="732"/>
      <c r="BN899" s="732"/>
      <c r="BO899" s="732"/>
      <c r="BP899" s="732"/>
      <c r="BQ899" s="732"/>
      <c r="BR899" s="732"/>
      <c r="BS899" s="732"/>
      <c r="BT899" s="732"/>
      <c r="BU899" s="732"/>
      <c r="BV899" s="732"/>
      <c r="BW899" s="732"/>
      <c r="BX899" s="732"/>
      <c r="BY899" s="732"/>
      <c r="BZ899" s="732"/>
      <c r="CA899" s="732"/>
    </row>
    <row r="900" spans="1:79" hidden="1" outlineLevel="1" x14ac:dyDescent="0.35">
      <c r="A900" s="574"/>
      <c r="B900" s="574"/>
      <c r="C900" s="574"/>
      <c r="D900" s="574"/>
      <c r="E900" s="574"/>
      <c r="F900" s="672" t="s">
        <v>888</v>
      </c>
      <c r="G900" s="735"/>
      <c r="H900" s="735"/>
      <c r="I900" s="735"/>
      <c r="J900" s="735"/>
      <c r="K900" s="735"/>
      <c r="L900" s="736"/>
      <c r="M900" s="735"/>
      <c r="N900" s="735"/>
      <c r="O900" s="735"/>
      <c r="P900" s="732"/>
      <c r="Q900" s="732"/>
      <c r="R900" s="732"/>
      <c r="S900" s="683">
        <v>0</v>
      </c>
      <c r="T900" s="683">
        <v>0</v>
      </c>
      <c r="U900" s="683">
        <v>0</v>
      </c>
      <c r="V900" s="683">
        <v>0</v>
      </c>
      <c r="W900" s="683">
        <v>0</v>
      </c>
      <c r="X900" s="683">
        <v>0</v>
      </c>
      <c r="Y900" s="683">
        <v>0</v>
      </c>
      <c r="Z900" s="683">
        <v>0</v>
      </c>
      <c r="AA900" s="683">
        <v>0</v>
      </c>
      <c r="AB900" s="683">
        <v>0</v>
      </c>
      <c r="AC900" s="702">
        <v>0</v>
      </c>
      <c r="AD900" s="702">
        <v>0</v>
      </c>
      <c r="AE900" s="732"/>
      <c r="AF900" s="732"/>
      <c r="AG900" s="732"/>
      <c r="AH900" s="732"/>
      <c r="AI900" s="732"/>
      <c r="AJ900" s="732"/>
      <c r="AK900" s="732"/>
      <c r="AL900" s="732"/>
      <c r="AM900" s="732"/>
      <c r="AN900" s="732"/>
      <c r="AO900" s="732"/>
      <c r="AP900" s="732"/>
      <c r="AQ900" s="732"/>
      <c r="AR900" s="732"/>
      <c r="AS900" s="732"/>
      <c r="AT900" s="732"/>
      <c r="AU900" s="732"/>
      <c r="AV900" s="732"/>
      <c r="AW900" s="732"/>
      <c r="AX900" s="732"/>
      <c r="AY900" s="732"/>
      <c r="AZ900" s="732"/>
      <c r="BA900" s="732"/>
      <c r="BB900" s="732"/>
      <c r="BC900" s="732"/>
      <c r="BD900" s="732"/>
      <c r="BE900" s="732"/>
      <c r="BF900" s="732"/>
      <c r="BG900" s="732"/>
      <c r="BH900" s="732"/>
      <c r="BI900" s="732"/>
      <c r="BJ900" s="732"/>
      <c r="BK900" s="732"/>
      <c r="BL900" s="732"/>
      <c r="BM900" s="732"/>
      <c r="BN900" s="732"/>
      <c r="BO900" s="732"/>
      <c r="BP900" s="732"/>
      <c r="BQ900" s="732"/>
      <c r="BR900" s="732"/>
      <c r="BS900" s="732"/>
      <c r="BT900" s="732"/>
      <c r="BU900" s="732"/>
      <c r="BV900" s="732"/>
      <c r="BW900" s="732"/>
      <c r="BX900" s="732"/>
      <c r="BY900" s="732"/>
      <c r="BZ900" s="732"/>
      <c r="CA900" s="732"/>
    </row>
    <row r="901" spans="1:79" hidden="1" outlineLevel="1" x14ac:dyDescent="0.35">
      <c r="A901" s="574"/>
      <c r="B901" s="574"/>
      <c r="C901" s="574"/>
      <c r="D901" s="574"/>
      <c r="E901" s="574"/>
      <c r="F901" s="673" t="s">
        <v>668</v>
      </c>
      <c r="G901" s="680">
        <f>SUM(G892:G900)</f>
        <v>0</v>
      </c>
      <c r="H901" s="680">
        <f t="shared" ref="H901:BO901" si="351">SUM(H892:H900)</f>
        <v>0</v>
      </c>
      <c r="I901" s="680">
        <f t="shared" si="351"/>
        <v>0</v>
      </c>
      <c r="J901" s="680">
        <f t="shared" si="351"/>
        <v>0</v>
      </c>
      <c r="K901" s="680">
        <f t="shared" si="351"/>
        <v>0</v>
      </c>
      <c r="L901" s="680">
        <f t="shared" si="351"/>
        <v>0</v>
      </c>
      <c r="M901" s="680">
        <f t="shared" si="351"/>
        <v>0</v>
      </c>
      <c r="N901" s="680">
        <f t="shared" si="351"/>
        <v>0</v>
      </c>
      <c r="O901" s="680">
        <f t="shared" si="351"/>
        <v>0</v>
      </c>
      <c r="P901" s="680">
        <f t="shared" si="351"/>
        <v>0</v>
      </c>
      <c r="Q901" s="680">
        <f t="shared" si="351"/>
        <v>0</v>
      </c>
      <c r="R901" s="680">
        <f t="shared" si="351"/>
        <v>0</v>
      </c>
      <c r="S901" s="694">
        <f t="shared" ref="S901:AA901" si="352">ROUND(SUM(S891:S900),5)</f>
        <v>0</v>
      </c>
      <c r="T901" s="694">
        <f t="shared" si="352"/>
        <v>0</v>
      </c>
      <c r="U901" s="694">
        <f t="shared" si="352"/>
        <v>0</v>
      </c>
      <c r="V901" s="694">
        <f t="shared" si="352"/>
        <v>0</v>
      </c>
      <c r="W901" s="694">
        <f t="shared" si="352"/>
        <v>0</v>
      </c>
      <c r="X901" s="694">
        <f t="shared" si="352"/>
        <v>0</v>
      </c>
      <c r="Y901" s="694">
        <f t="shared" si="352"/>
        <v>0</v>
      </c>
      <c r="Z901" s="694">
        <f t="shared" si="352"/>
        <v>0</v>
      </c>
      <c r="AA901" s="694">
        <f t="shared" si="352"/>
        <v>0</v>
      </c>
      <c r="AB901" s="694">
        <f>ROUND(SUM(AB891:AB900),5)</f>
        <v>0</v>
      </c>
      <c r="AC901" s="694">
        <f>ROUND(SUM(AC891:AC900),5)</f>
        <v>0</v>
      </c>
      <c r="AD901" s="694">
        <f>ROUND(SUM(AD891:AD900),5)</f>
        <v>0</v>
      </c>
      <c r="AE901" s="680">
        <f t="shared" si="351"/>
        <v>0</v>
      </c>
      <c r="AF901" s="680">
        <f t="shared" si="351"/>
        <v>0</v>
      </c>
      <c r="AG901" s="680">
        <f t="shared" si="351"/>
        <v>0</v>
      </c>
      <c r="AH901" s="680">
        <f t="shared" si="351"/>
        <v>0</v>
      </c>
      <c r="AI901" s="680">
        <f t="shared" si="351"/>
        <v>0</v>
      </c>
      <c r="AJ901" s="680">
        <f t="shared" si="351"/>
        <v>0</v>
      </c>
      <c r="AK901" s="680">
        <f t="shared" si="351"/>
        <v>0</v>
      </c>
      <c r="AL901" s="680">
        <f t="shared" si="351"/>
        <v>0</v>
      </c>
      <c r="AM901" s="680">
        <f t="shared" si="351"/>
        <v>0</v>
      </c>
      <c r="AN901" s="680">
        <f t="shared" si="351"/>
        <v>0</v>
      </c>
      <c r="AO901" s="680">
        <f t="shared" si="351"/>
        <v>0</v>
      </c>
      <c r="AP901" s="680">
        <f t="shared" si="351"/>
        <v>0</v>
      </c>
      <c r="AQ901" s="680">
        <f t="shared" si="351"/>
        <v>0</v>
      </c>
      <c r="AR901" s="680">
        <f t="shared" si="351"/>
        <v>0</v>
      </c>
      <c r="AS901" s="680">
        <f t="shared" si="351"/>
        <v>0</v>
      </c>
      <c r="AT901" s="680">
        <f t="shared" si="351"/>
        <v>0</v>
      </c>
      <c r="AU901" s="680">
        <f t="shared" si="351"/>
        <v>0</v>
      </c>
      <c r="AV901" s="680">
        <f t="shared" si="351"/>
        <v>0</v>
      </c>
      <c r="AW901" s="680">
        <f t="shared" si="351"/>
        <v>0</v>
      </c>
      <c r="AX901" s="680">
        <f t="shared" si="351"/>
        <v>0</v>
      </c>
      <c r="AY901" s="680">
        <f t="shared" si="351"/>
        <v>0</v>
      </c>
      <c r="AZ901" s="680">
        <f t="shared" si="351"/>
        <v>0</v>
      </c>
      <c r="BA901" s="680">
        <f t="shared" si="351"/>
        <v>0</v>
      </c>
      <c r="BB901" s="680">
        <f t="shared" si="351"/>
        <v>0</v>
      </c>
      <c r="BC901" s="680">
        <f t="shared" si="351"/>
        <v>0</v>
      </c>
      <c r="BD901" s="680">
        <f t="shared" si="351"/>
        <v>0</v>
      </c>
      <c r="BE901" s="680">
        <f t="shared" si="351"/>
        <v>0</v>
      </c>
      <c r="BF901" s="680">
        <f t="shared" si="351"/>
        <v>0</v>
      </c>
      <c r="BG901" s="680">
        <f t="shared" si="351"/>
        <v>0</v>
      </c>
      <c r="BH901" s="680">
        <f t="shared" si="351"/>
        <v>0</v>
      </c>
      <c r="BI901" s="680">
        <f t="shared" si="351"/>
        <v>0</v>
      </c>
      <c r="BJ901" s="680">
        <f t="shared" si="351"/>
        <v>0</v>
      </c>
      <c r="BK901" s="680">
        <f t="shared" si="351"/>
        <v>0</v>
      </c>
      <c r="BL901" s="680">
        <f t="shared" si="351"/>
        <v>0</v>
      </c>
      <c r="BM901" s="680">
        <f t="shared" si="351"/>
        <v>0</v>
      </c>
      <c r="BN901" s="680">
        <f t="shared" si="351"/>
        <v>0</v>
      </c>
      <c r="BO901" s="680">
        <f t="shared" si="351"/>
        <v>0</v>
      </c>
      <c r="BP901" s="680">
        <f t="shared" ref="BP901:CA901" si="353">SUM(BP892:BP900)</f>
        <v>0</v>
      </c>
      <c r="BQ901" s="680">
        <f t="shared" si="353"/>
        <v>0</v>
      </c>
      <c r="BR901" s="680">
        <f t="shared" si="353"/>
        <v>0</v>
      </c>
      <c r="BS901" s="680">
        <f t="shared" si="353"/>
        <v>0</v>
      </c>
      <c r="BT901" s="680">
        <f t="shared" si="353"/>
        <v>0</v>
      </c>
      <c r="BU901" s="680">
        <f t="shared" si="353"/>
        <v>0</v>
      </c>
      <c r="BV901" s="680">
        <f t="shared" si="353"/>
        <v>0</v>
      </c>
      <c r="BW901" s="680">
        <f t="shared" si="353"/>
        <v>0</v>
      </c>
      <c r="BX901" s="680">
        <f t="shared" si="353"/>
        <v>0</v>
      </c>
      <c r="BY901" s="680">
        <f t="shared" si="353"/>
        <v>0</v>
      </c>
      <c r="BZ901" s="680">
        <f t="shared" si="353"/>
        <v>0</v>
      </c>
      <c r="CA901" s="680">
        <f t="shared" si="353"/>
        <v>0</v>
      </c>
    </row>
    <row r="902" spans="1:79" hidden="1" outlineLevel="1" x14ac:dyDescent="0.35">
      <c r="A902" s="574"/>
      <c r="B902" s="574"/>
      <c r="C902" s="574"/>
      <c r="D902" s="574"/>
      <c r="E902" s="574"/>
      <c r="F902" s="671" t="s">
        <v>669</v>
      </c>
      <c r="G902" s="735"/>
      <c r="H902" s="735"/>
      <c r="I902" s="735"/>
      <c r="J902" s="735"/>
      <c r="K902" s="735"/>
      <c r="L902" s="736"/>
      <c r="M902" s="735"/>
      <c r="N902" s="735"/>
      <c r="O902" s="735"/>
      <c r="P902" s="732"/>
      <c r="Q902" s="732"/>
      <c r="R902" s="732"/>
      <c r="S902" s="683">
        <v>0</v>
      </c>
      <c r="T902" s="683">
        <v>0</v>
      </c>
      <c r="U902" s="683">
        <v>0</v>
      </c>
      <c r="V902" s="683">
        <v>0</v>
      </c>
      <c r="W902" s="683">
        <v>0</v>
      </c>
      <c r="X902" s="683">
        <v>0</v>
      </c>
      <c r="Y902" s="683">
        <v>0</v>
      </c>
      <c r="Z902" s="683">
        <v>0</v>
      </c>
      <c r="AA902" s="683">
        <v>0</v>
      </c>
      <c r="AB902" s="683">
        <v>0</v>
      </c>
      <c r="AC902" s="702">
        <v>0</v>
      </c>
      <c r="AD902" s="702">
        <v>0</v>
      </c>
      <c r="AE902" s="732"/>
      <c r="AF902" s="732"/>
      <c r="AG902" s="732"/>
      <c r="AH902" s="732"/>
      <c r="AI902" s="732"/>
      <c r="AJ902" s="732"/>
      <c r="AK902" s="732"/>
      <c r="AL902" s="732"/>
      <c r="AM902" s="732"/>
      <c r="AN902" s="732"/>
      <c r="AO902" s="732"/>
      <c r="AP902" s="732"/>
      <c r="AQ902" s="732"/>
      <c r="AR902" s="732"/>
      <c r="AS902" s="732"/>
      <c r="AT902" s="732"/>
      <c r="AU902" s="732"/>
      <c r="AV902" s="732"/>
      <c r="AW902" s="732"/>
      <c r="AX902" s="732"/>
      <c r="AY902" s="732"/>
      <c r="AZ902" s="732"/>
      <c r="BA902" s="732"/>
      <c r="BB902" s="732"/>
      <c r="BC902" s="732"/>
      <c r="BD902" s="732"/>
      <c r="BE902" s="732"/>
      <c r="BF902" s="732"/>
      <c r="BG902" s="732"/>
      <c r="BH902" s="732"/>
      <c r="BI902" s="732"/>
      <c r="BJ902" s="732"/>
      <c r="BK902" s="732"/>
      <c r="BL902" s="732"/>
      <c r="BM902" s="732"/>
      <c r="BN902" s="732"/>
      <c r="BO902" s="732"/>
      <c r="BP902" s="732"/>
      <c r="BQ902" s="732"/>
      <c r="BR902" s="732"/>
      <c r="BS902" s="732"/>
      <c r="BT902" s="732"/>
      <c r="BU902" s="732"/>
      <c r="BV902" s="732"/>
      <c r="BW902" s="732"/>
      <c r="BX902" s="732"/>
      <c r="BY902" s="732"/>
      <c r="BZ902" s="732"/>
      <c r="CA902" s="732"/>
    </row>
    <row r="903" spans="1:79" s="709" customFormat="1" hidden="1" outlineLevel="1" x14ac:dyDescent="0.35">
      <c r="F903" s="717" t="s">
        <v>597</v>
      </c>
      <c r="G903" s="750"/>
      <c r="H903" s="750"/>
      <c r="I903" s="750"/>
      <c r="J903" s="750"/>
      <c r="K903" s="750"/>
      <c r="L903" s="752"/>
      <c r="M903" s="750"/>
      <c r="N903" s="750"/>
      <c r="O903" s="750"/>
      <c r="P903" s="751"/>
      <c r="Q903" s="751"/>
      <c r="R903" s="751"/>
      <c r="S903" s="713"/>
      <c r="T903" s="713"/>
      <c r="U903" s="713"/>
      <c r="V903" s="713"/>
      <c r="W903" s="713"/>
      <c r="X903" s="713"/>
      <c r="Y903" s="713"/>
      <c r="Z903" s="713"/>
      <c r="AA903" s="713"/>
      <c r="AB903" s="713"/>
      <c r="AC903" s="721"/>
      <c r="AD903" s="721"/>
      <c r="AE903" s="751"/>
      <c r="AF903" s="751"/>
      <c r="AG903" s="751"/>
      <c r="AH903" s="751"/>
      <c r="AI903" s="751"/>
      <c r="AJ903" s="751"/>
      <c r="AK903" s="751"/>
      <c r="AL903" s="751"/>
      <c r="AM903" s="751"/>
      <c r="AN903" s="751"/>
      <c r="AO903" s="751"/>
      <c r="AP903" s="751"/>
      <c r="AQ903" s="751"/>
      <c r="AR903" s="751"/>
      <c r="AS903" s="751"/>
      <c r="AT903" s="751"/>
      <c r="AU903" s="751"/>
      <c r="AV903" s="751"/>
      <c r="AW903" s="751"/>
      <c r="AX903" s="751"/>
      <c r="AY903" s="751"/>
      <c r="AZ903" s="751"/>
      <c r="BA903" s="751"/>
      <c r="BB903" s="751"/>
      <c r="BC903" s="751"/>
      <c r="BD903" s="751"/>
      <c r="BE903" s="751"/>
      <c r="BF903" s="751"/>
      <c r="BG903" s="751"/>
      <c r="BH903" s="751"/>
      <c r="BI903" s="751"/>
      <c r="BJ903" s="751"/>
      <c r="BK903" s="751"/>
      <c r="BL903" s="751"/>
      <c r="BM903" s="751"/>
      <c r="BN903" s="751"/>
      <c r="BO903" s="751"/>
      <c r="BP903" s="751"/>
      <c r="BQ903" s="751"/>
      <c r="BR903" s="751"/>
      <c r="BS903" s="751"/>
      <c r="BT903" s="751"/>
      <c r="BU903" s="751"/>
      <c r="BV903" s="751"/>
      <c r="BW903" s="751"/>
      <c r="BX903" s="751"/>
      <c r="BY903" s="751"/>
      <c r="BZ903" s="751"/>
      <c r="CA903" s="751"/>
    </row>
    <row r="904" spans="1:79" hidden="1" outlineLevel="1" x14ac:dyDescent="0.35">
      <c r="A904" s="574"/>
      <c r="B904" s="574"/>
      <c r="C904" s="574"/>
      <c r="D904" s="574"/>
      <c r="E904" s="574"/>
      <c r="F904" s="672" t="s">
        <v>889</v>
      </c>
      <c r="G904" s="735"/>
      <c r="H904" s="735"/>
      <c r="I904" s="735"/>
      <c r="J904" s="735"/>
      <c r="K904" s="735"/>
      <c r="L904" s="736"/>
      <c r="M904" s="735"/>
      <c r="N904" s="735"/>
      <c r="O904" s="735"/>
      <c r="P904" s="732"/>
      <c r="Q904" s="732"/>
      <c r="R904" s="732"/>
      <c r="S904" s="687">
        <v>0</v>
      </c>
      <c r="T904" s="687">
        <v>0</v>
      </c>
      <c r="U904" s="687">
        <v>0</v>
      </c>
      <c r="V904" s="687">
        <v>0</v>
      </c>
      <c r="W904" s="687">
        <v>0</v>
      </c>
      <c r="X904" s="687">
        <v>0</v>
      </c>
      <c r="Y904" s="687">
        <v>0</v>
      </c>
      <c r="Z904" s="687">
        <v>0</v>
      </c>
      <c r="AA904" s="687">
        <v>0</v>
      </c>
      <c r="AB904" s="687">
        <v>0</v>
      </c>
      <c r="AC904" s="703">
        <v>0</v>
      </c>
      <c r="AD904" s="703">
        <v>0</v>
      </c>
      <c r="AE904" s="732"/>
      <c r="AF904" s="732"/>
      <c r="AG904" s="732"/>
      <c r="AH904" s="732"/>
      <c r="AI904" s="732"/>
      <c r="AJ904" s="732"/>
      <c r="AK904" s="732"/>
      <c r="AL904" s="732"/>
      <c r="AM904" s="732"/>
      <c r="AN904" s="732"/>
      <c r="AO904" s="732"/>
      <c r="AP904" s="732"/>
      <c r="AQ904" s="732"/>
      <c r="AR904" s="732"/>
      <c r="AS904" s="732"/>
      <c r="AT904" s="732"/>
      <c r="AU904" s="732"/>
      <c r="AV904" s="732"/>
      <c r="AW904" s="732"/>
      <c r="AX904" s="732"/>
      <c r="AY904" s="732"/>
      <c r="AZ904" s="732"/>
      <c r="BA904" s="732"/>
      <c r="BB904" s="732"/>
      <c r="BC904" s="732"/>
      <c r="BD904" s="732"/>
      <c r="BE904" s="732"/>
      <c r="BF904" s="732"/>
      <c r="BG904" s="732"/>
      <c r="BH904" s="732"/>
      <c r="BI904" s="732"/>
      <c r="BJ904" s="732"/>
      <c r="BK904" s="732"/>
      <c r="BL904" s="732"/>
      <c r="BM904" s="732"/>
      <c r="BN904" s="732"/>
      <c r="BO904" s="732"/>
      <c r="BP904" s="732"/>
      <c r="BQ904" s="732"/>
      <c r="BR904" s="732"/>
      <c r="BS904" s="732"/>
      <c r="BT904" s="732"/>
      <c r="BU904" s="732"/>
      <c r="BV904" s="732"/>
      <c r="BW904" s="732"/>
      <c r="BX904" s="732"/>
      <c r="BY904" s="732"/>
      <c r="BZ904" s="732"/>
      <c r="CA904" s="732"/>
    </row>
    <row r="905" spans="1:79" hidden="1" outlineLevel="1" x14ac:dyDescent="0.35">
      <c r="A905" s="574"/>
      <c r="B905" s="574"/>
      <c r="C905" s="574"/>
      <c r="D905" s="574"/>
      <c r="E905" s="574"/>
      <c r="F905" s="672" t="s">
        <v>890</v>
      </c>
      <c r="G905" s="735"/>
      <c r="H905" s="735"/>
      <c r="I905" s="735"/>
      <c r="J905" s="735"/>
      <c r="K905" s="735"/>
      <c r="L905" s="736"/>
      <c r="M905" s="735"/>
      <c r="N905" s="735"/>
      <c r="O905" s="735"/>
      <c r="P905" s="732"/>
      <c r="Q905" s="732"/>
      <c r="R905" s="732"/>
      <c r="S905" s="687">
        <v>0</v>
      </c>
      <c r="T905" s="687">
        <v>0</v>
      </c>
      <c r="U905" s="687">
        <v>0</v>
      </c>
      <c r="V905" s="687">
        <v>0</v>
      </c>
      <c r="W905" s="687">
        <v>0</v>
      </c>
      <c r="X905" s="687">
        <v>0</v>
      </c>
      <c r="Y905" s="687">
        <v>0</v>
      </c>
      <c r="Z905" s="687">
        <v>0</v>
      </c>
      <c r="AA905" s="687">
        <v>0</v>
      </c>
      <c r="AB905" s="687">
        <v>0</v>
      </c>
      <c r="AC905" s="703">
        <v>0</v>
      </c>
      <c r="AD905" s="703">
        <v>0</v>
      </c>
      <c r="AE905" s="732"/>
      <c r="AF905" s="732"/>
      <c r="AG905" s="732"/>
      <c r="AH905" s="732"/>
      <c r="AI905" s="732"/>
      <c r="AJ905" s="732"/>
      <c r="AK905" s="732"/>
      <c r="AL905" s="732"/>
      <c r="AM905" s="732"/>
      <c r="AN905" s="732"/>
      <c r="AO905" s="732"/>
      <c r="AP905" s="732"/>
      <c r="AQ905" s="732"/>
      <c r="AR905" s="732"/>
      <c r="AS905" s="732"/>
      <c r="AT905" s="732"/>
      <c r="AU905" s="732"/>
      <c r="AV905" s="732"/>
      <c r="AW905" s="732"/>
      <c r="AX905" s="732"/>
      <c r="AY905" s="732"/>
      <c r="AZ905" s="732"/>
      <c r="BA905" s="732"/>
      <c r="BB905" s="732"/>
      <c r="BC905" s="732"/>
      <c r="BD905" s="732"/>
      <c r="BE905" s="732"/>
      <c r="BF905" s="732"/>
      <c r="BG905" s="732"/>
      <c r="BH905" s="732"/>
      <c r="BI905" s="732"/>
      <c r="BJ905" s="732"/>
      <c r="BK905" s="732"/>
      <c r="BL905" s="732"/>
      <c r="BM905" s="732"/>
      <c r="BN905" s="732"/>
      <c r="BO905" s="732"/>
      <c r="BP905" s="732"/>
      <c r="BQ905" s="732"/>
      <c r="BR905" s="732"/>
      <c r="BS905" s="732"/>
      <c r="BT905" s="732"/>
      <c r="BU905" s="732"/>
      <c r="BV905" s="732"/>
      <c r="BW905" s="732"/>
      <c r="BX905" s="732"/>
      <c r="BY905" s="732"/>
      <c r="BZ905" s="732"/>
      <c r="CA905" s="732"/>
    </row>
    <row r="906" spans="1:79" hidden="1" outlineLevel="1" x14ac:dyDescent="0.35">
      <c r="A906" s="574"/>
      <c r="B906" s="574"/>
      <c r="C906" s="574"/>
      <c r="D906" s="574"/>
      <c r="E906" s="574"/>
      <c r="F906" s="672" t="s">
        <v>891</v>
      </c>
      <c r="G906" s="735"/>
      <c r="H906" s="735"/>
      <c r="I906" s="735"/>
      <c r="J906" s="735"/>
      <c r="K906" s="735"/>
      <c r="L906" s="736"/>
      <c r="M906" s="735"/>
      <c r="N906" s="735"/>
      <c r="O906" s="735"/>
      <c r="P906" s="732"/>
      <c r="Q906" s="732"/>
      <c r="R906" s="732"/>
      <c r="S906" s="687">
        <v>0</v>
      </c>
      <c r="T906" s="687">
        <v>0</v>
      </c>
      <c r="U906" s="687">
        <v>0</v>
      </c>
      <c r="V906" s="687">
        <v>0</v>
      </c>
      <c r="W906" s="687">
        <v>0</v>
      </c>
      <c r="X906" s="687">
        <v>0</v>
      </c>
      <c r="Y906" s="687">
        <v>0</v>
      </c>
      <c r="Z906" s="687">
        <v>0</v>
      </c>
      <c r="AA906" s="687">
        <v>0</v>
      </c>
      <c r="AB906" s="687">
        <v>0</v>
      </c>
      <c r="AC906" s="703">
        <v>0</v>
      </c>
      <c r="AD906" s="703">
        <v>0</v>
      </c>
      <c r="AE906" s="732"/>
      <c r="AF906" s="732"/>
      <c r="AG906" s="732"/>
      <c r="AH906" s="732"/>
      <c r="AI906" s="732"/>
      <c r="AJ906" s="732"/>
      <c r="AK906" s="732"/>
      <c r="AL906" s="732"/>
      <c r="AM906" s="732"/>
      <c r="AN906" s="732"/>
      <c r="AO906" s="732"/>
      <c r="AP906" s="732"/>
      <c r="AQ906" s="732"/>
      <c r="AR906" s="732"/>
      <c r="AS906" s="732"/>
      <c r="AT906" s="732"/>
      <c r="AU906" s="732"/>
      <c r="AV906" s="732"/>
      <c r="AW906" s="732"/>
      <c r="AX906" s="732"/>
      <c r="AY906" s="732"/>
      <c r="AZ906" s="732"/>
      <c r="BA906" s="732"/>
      <c r="BB906" s="732"/>
      <c r="BC906" s="732"/>
      <c r="BD906" s="732"/>
      <c r="BE906" s="732"/>
      <c r="BF906" s="732"/>
      <c r="BG906" s="732"/>
      <c r="BH906" s="732"/>
      <c r="BI906" s="732"/>
      <c r="BJ906" s="732"/>
      <c r="BK906" s="732"/>
      <c r="BL906" s="732"/>
      <c r="BM906" s="732"/>
      <c r="BN906" s="732"/>
      <c r="BO906" s="732"/>
      <c r="BP906" s="732"/>
      <c r="BQ906" s="732"/>
      <c r="BR906" s="732"/>
      <c r="BS906" s="732"/>
      <c r="BT906" s="732"/>
      <c r="BU906" s="732"/>
      <c r="BV906" s="732"/>
      <c r="BW906" s="732"/>
      <c r="BX906" s="732"/>
      <c r="BY906" s="732"/>
      <c r="BZ906" s="732"/>
      <c r="CA906" s="732"/>
    </row>
    <row r="907" spans="1:79" hidden="1" outlineLevel="1" x14ac:dyDescent="0.35">
      <c r="A907" s="574"/>
      <c r="B907" s="574"/>
      <c r="C907" s="574"/>
      <c r="D907" s="574"/>
      <c r="E907" s="574"/>
      <c r="F907" s="672" t="s">
        <v>892</v>
      </c>
      <c r="G907" s="735"/>
      <c r="H907" s="735"/>
      <c r="I907" s="735"/>
      <c r="J907" s="735"/>
      <c r="K907" s="735"/>
      <c r="L907" s="736"/>
      <c r="M907" s="735"/>
      <c r="N907" s="735"/>
      <c r="O907" s="735"/>
      <c r="P907" s="732"/>
      <c r="Q907" s="732"/>
      <c r="R907" s="732"/>
      <c r="S907" s="687">
        <v>0</v>
      </c>
      <c r="T907" s="687">
        <v>0</v>
      </c>
      <c r="U907" s="687">
        <v>0</v>
      </c>
      <c r="V907" s="687">
        <v>0</v>
      </c>
      <c r="W907" s="687">
        <v>0</v>
      </c>
      <c r="X907" s="687">
        <v>0</v>
      </c>
      <c r="Y907" s="687">
        <v>0</v>
      </c>
      <c r="Z907" s="687">
        <v>0</v>
      </c>
      <c r="AA907" s="687">
        <v>0</v>
      </c>
      <c r="AB907" s="687">
        <v>0</v>
      </c>
      <c r="AC907" s="703">
        <v>0</v>
      </c>
      <c r="AD907" s="703">
        <v>0</v>
      </c>
      <c r="AE907" s="732"/>
      <c r="AF907" s="732"/>
      <c r="AG907" s="732"/>
      <c r="AH907" s="732"/>
      <c r="AI907" s="732"/>
      <c r="AJ907" s="732"/>
      <c r="AK907" s="732"/>
      <c r="AL907" s="732"/>
      <c r="AM907" s="732"/>
      <c r="AN907" s="732"/>
      <c r="AO907" s="732"/>
      <c r="AP907" s="732"/>
      <c r="AQ907" s="732"/>
      <c r="AR907" s="732"/>
      <c r="AS907" s="732"/>
      <c r="AT907" s="732"/>
      <c r="AU907" s="732"/>
      <c r="AV907" s="732"/>
      <c r="AW907" s="732"/>
      <c r="AX907" s="732"/>
      <c r="AY907" s="732"/>
      <c r="AZ907" s="732"/>
      <c r="BA907" s="732"/>
      <c r="BB907" s="732"/>
      <c r="BC907" s="732"/>
      <c r="BD907" s="732"/>
      <c r="BE907" s="732"/>
      <c r="BF907" s="732"/>
      <c r="BG907" s="732"/>
      <c r="BH907" s="732"/>
      <c r="BI907" s="732"/>
      <c r="BJ907" s="732"/>
      <c r="BK907" s="732"/>
      <c r="BL907" s="732"/>
      <c r="BM907" s="732"/>
      <c r="BN907" s="732"/>
      <c r="BO907" s="732"/>
      <c r="BP907" s="732"/>
      <c r="BQ907" s="732"/>
      <c r="BR907" s="732"/>
      <c r="BS907" s="732"/>
      <c r="BT907" s="732"/>
      <c r="BU907" s="732"/>
      <c r="BV907" s="732"/>
      <c r="BW907" s="732"/>
      <c r="BX907" s="732"/>
      <c r="BY907" s="732"/>
      <c r="BZ907" s="732"/>
      <c r="CA907" s="732"/>
    </row>
    <row r="908" spans="1:79" hidden="1" outlineLevel="1" x14ac:dyDescent="0.35">
      <c r="A908" s="574"/>
      <c r="B908" s="574"/>
      <c r="C908" s="574"/>
      <c r="D908" s="574"/>
      <c r="E908" s="574"/>
      <c r="F908" s="672" t="s">
        <v>825</v>
      </c>
      <c r="G908" s="735"/>
      <c r="H908" s="735"/>
      <c r="I908" s="735"/>
      <c r="J908" s="735"/>
      <c r="K908" s="735"/>
      <c r="L908" s="736"/>
      <c r="M908" s="735"/>
      <c r="N908" s="735"/>
      <c r="O908" s="735"/>
      <c r="P908" s="732"/>
      <c r="Q908" s="732"/>
      <c r="R908" s="732"/>
      <c r="S908" s="687">
        <v>0</v>
      </c>
      <c r="T908" s="687">
        <v>0</v>
      </c>
      <c r="U908" s="687">
        <v>0</v>
      </c>
      <c r="V908" s="687">
        <v>0</v>
      </c>
      <c r="W908" s="687">
        <v>0</v>
      </c>
      <c r="X908" s="687">
        <v>0</v>
      </c>
      <c r="Y908" s="687">
        <v>0</v>
      </c>
      <c r="Z908" s="687">
        <v>0</v>
      </c>
      <c r="AA908" s="687">
        <v>0</v>
      </c>
      <c r="AB908" s="687">
        <v>0</v>
      </c>
      <c r="AC908" s="703">
        <v>0</v>
      </c>
      <c r="AD908" s="703">
        <v>0</v>
      </c>
      <c r="AE908" s="732"/>
      <c r="AF908" s="732"/>
      <c r="AG908" s="732"/>
      <c r="AH908" s="732"/>
      <c r="AI908" s="732"/>
      <c r="AJ908" s="732"/>
      <c r="AK908" s="732"/>
      <c r="AL908" s="732"/>
      <c r="AM908" s="732"/>
      <c r="AN908" s="732"/>
      <c r="AO908" s="732"/>
      <c r="AP908" s="732"/>
      <c r="AQ908" s="732"/>
      <c r="AR908" s="732"/>
      <c r="AS908" s="732"/>
      <c r="AT908" s="732"/>
      <c r="AU908" s="732"/>
      <c r="AV908" s="732"/>
      <c r="AW908" s="732"/>
      <c r="AX908" s="732"/>
      <c r="AY908" s="732"/>
      <c r="AZ908" s="732"/>
      <c r="BA908" s="732"/>
      <c r="BB908" s="732"/>
      <c r="BC908" s="732"/>
      <c r="BD908" s="732"/>
      <c r="BE908" s="732"/>
      <c r="BF908" s="732"/>
      <c r="BG908" s="732"/>
      <c r="BH908" s="732"/>
      <c r="BI908" s="732"/>
      <c r="BJ908" s="732"/>
      <c r="BK908" s="732"/>
      <c r="BL908" s="732"/>
      <c r="BM908" s="732"/>
      <c r="BN908" s="732"/>
      <c r="BO908" s="732"/>
      <c r="BP908" s="732"/>
      <c r="BQ908" s="732"/>
      <c r="BR908" s="732"/>
      <c r="BS908" s="732"/>
      <c r="BT908" s="732"/>
      <c r="BU908" s="732"/>
      <c r="BV908" s="732"/>
      <c r="BW908" s="732"/>
      <c r="BX908" s="732"/>
      <c r="BY908" s="732"/>
      <c r="BZ908" s="732"/>
      <c r="CA908" s="732"/>
    </row>
    <row r="909" spans="1:79" hidden="1" outlineLevel="1" x14ac:dyDescent="0.35">
      <c r="A909" s="574"/>
      <c r="B909" s="574"/>
      <c r="C909" s="574"/>
      <c r="D909" s="574"/>
      <c r="E909" s="574"/>
      <c r="F909" s="672" t="s">
        <v>613</v>
      </c>
      <c r="G909" s="735"/>
      <c r="H909" s="735"/>
      <c r="I909" s="735"/>
      <c r="J909" s="735"/>
      <c r="K909" s="735"/>
      <c r="L909" s="736"/>
      <c r="M909" s="735"/>
      <c r="N909" s="735"/>
      <c r="O909" s="735"/>
      <c r="P909" s="732"/>
      <c r="Q909" s="732"/>
      <c r="R909" s="732"/>
      <c r="S909" s="687">
        <v>0</v>
      </c>
      <c r="T909" s="687">
        <v>0</v>
      </c>
      <c r="U909" s="687">
        <v>0</v>
      </c>
      <c r="V909" s="687">
        <v>0</v>
      </c>
      <c r="W909" s="687">
        <v>0</v>
      </c>
      <c r="X909" s="687">
        <v>0</v>
      </c>
      <c r="Y909" s="687">
        <v>0</v>
      </c>
      <c r="Z909" s="687">
        <v>0</v>
      </c>
      <c r="AA909" s="687">
        <v>0</v>
      </c>
      <c r="AB909" s="687">
        <v>0</v>
      </c>
      <c r="AC909" s="703">
        <v>0</v>
      </c>
      <c r="AD909" s="703">
        <v>0</v>
      </c>
      <c r="AE909" s="732"/>
      <c r="AF909" s="732"/>
      <c r="AG909" s="732"/>
      <c r="AH909" s="732"/>
      <c r="AI909" s="732"/>
      <c r="AJ909" s="732"/>
      <c r="AK909" s="732"/>
      <c r="AL909" s="732"/>
      <c r="AM909" s="732"/>
      <c r="AN909" s="732"/>
      <c r="AO909" s="732"/>
      <c r="AP909" s="732"/>
      <c r="AQ909" s="732"/>
      <c r="AR909" s="732"/>
      <c r="AS909" s="732"/>
      <c r="AT909" s="732"/>
      <c r="AU909" s="732"/>
      <c r="AV909" s="732"/>
      <c r="AW909" s="732"/>
      <c r="AX909" s="732"/>
      <c r="AY909" s="732"/>
      <c r="AZ909" s="732"/>
      <c r="BA909" s="732"/>
      <c r="BB909" s="732"/>
      <c r="BC909" s="732"/>
      <c r="BD909" s="732"/>
      <c r="BE909" s="732"/>
      <c r="BF909" s="732"/>
      <c r="BG909" s="732"/>
      <c r="BH909" s="732"/>
      <c r="BI909" s="732"/>
      <c r="BJ909" s="732"/>
      <c r="BK909" s="732"/>
      <c r="BL909" s="732"/>
      <c r="BM909" s="732"/>
      <c r="BN909" s="732"/>
      <c r="BO909" s="732"/>
      <c r="BP909" s="732"/>
      <c r="BQ909" s="732"/>
      <c r="BR909" s="732"/>
      <c r="BS909" s="732"/>
      <c r="BT909" s="732"/>
      <c r="BU909" s="732"/>
      <c r="BV909" s="732"/>
      <c r="BW909" s="732"/>
      <c r="BX909" s="732"/>
      <c r="BY909" s="732"/>
      <c r="BZ909" s="732"/>
      <c r="CA909" s="732"/>
    </row>
    <row r="910" spans="1:79" hidden="1" outlineLevel="1" x14ac:dyDescent="0.35">
      <c r="A910" s="574"/>
      <c r="B910" s="574"/>
      <c r="C910" s="574"/>
      <c r="D910" s="574"/>
      <c r="E910" s="574"/>
      <c r="F910" s="672" t="s">
        <v>614</v>
      </c>
      <c r="G910" s="735"/>
      <c r="H910" s="735"/>
      <c r="I910" s="735"/>
      <c r="J910" s="735"/>
      <c r="K910" s="735"/>
      <c r="L910" s="736"/>
      <c r="M910" s="735"/>
      <c r="N910" s="735"/>
      <c r="O910" s="735"/>
      <c r="P910" s="732"/>
      <c r="Q910" s="732"/>
      <c r="R910" s="732"/>
      <c r="S910" s="692">
        <v>0</v>
      </c>
      <c r="T910" s="692">
        <v>0</v>
      </c>
      <c r="U910" s="692">
        <v>0</v>
      </c>
      <c r="V910" s="692">
        <v>0</v>
      </c>
      <c r="W910" s="692">
        <v>0</v>
      </c>
      <c r="X910" s="692">
        <v>0</v>
      </c>
      <c r="Y910" s="692">
        <v>0</v>
      </c>
      <c r="Z910" s="692">
        <v>0</v>
      </c>
      <c r="AA910" s="692">
        <v>0</v>
      </c>
      <c r="AB910" s="692">
        <v>0</v>
      </c>
      <c r="AC910" s="690">
        <v>0</v>
      </c>
      <c r="AD910" s="690">
        <v>0</v>
      </c>
      <c r="AE910" s="732"/>
      <c r="AF910" s="732"/>
      <c r="AG910" s="732"/>
      <c r="AH910" s="732"/>
      <c r="AI910" s="732"/>
      <c r="AJ910" s="732"/>
      <c r="AK910" s="732"/>
      <c r="AL910" s="732"/>
      <c r="AM910" s="732"/>
      <c r="AN910" s="732"/>
      <c r="AO910" s="732"/>
      <c r="AP910" s="732"/>
      <c r="AQ910" s="732"/>
      <c r="AR910" s="732"/>
      <c r="AS910" s="732"/>
      <c r="AT910" s="732"/>
      <c r="AU910" s="732"/>
      <c r="AV910" s="732"/>
      <c r="AW910" s="732"/>
      <c r="AX910" s="732"/>
      <c r="AY910" s="732"/>
      <c r="AZ910" s="732"/>
      <c r="BA910" s="732"/>
      <c r="BB910" s="732"/>
      <c r="BC910" s="732"/>
      <c r="BD910" s="732"/>
      <c r="BE910" s="732"/>
      <c r="BF910" s="732"/>
      <c r="BG910" s="732"/>
      <c r="BH910" s="732"/>
      <c r="BI910" s="732"/>
      <c r="BJ910" s="732"/>
      <c r="BK910" s="732"/>
      <c r="BL910" s="732"/>
      <c r="BM910" s="732"/>
      <c r="BN910" s="732"/>
      <c r="BO910" s="732"/>
      <c r="BP910" s="732"/>
      <c r="BQ910" s="732"/>
      <c r="BR910" s="732"/>
      <c r="BS910" s="732"/>
      <c r="BT910" s="732"/>
      <c r="BU910" s="732"/>
      <c r="BV910" s="732"/>
      <c r="BW910" s="732"/>
      <c r="BX910" s="732"/>
      <c r="BY910" s="732"/>
      <c r="BZ910" s="732"/>
      <c r="CA910" s="732"/>
    </row>
    <row r="911" spans="1:79" hidden="1" outlineLevel="1" x14ac:dyDescent="0.35">
      <c r="A911" s="574"/>
      <c r="B911" s="574"/>
      <c r="C911" s="574"/>
      <c r="D911" s="574"/>
      <c r="E911" s="574"/>
      <c r="F911" s="672" t="s">
        <v>615</v>
      </c>
      <c r="G911" s="735"/>
      <c r="H911" s="735"/>
      <c r="I911" s="735"/>
      <c r="J911" s="735"/>
      <c r="K911" s="735"/>
      <c r="L911" s="736"/>
      <c r="M911" s="735"/>
      <c r="N911" s="735"/>
      <c r="O911" s="735"/>
      <c r="P911" s="732"/>
      <c r="Q911" s="732"/>
      <c r="R911" s="732"/>
      <c r="S911" s="692">
        <v>0</v>
      </c>
      <c r="T911" s="692">
        <v>0</v>
      </c>
      <c r="U911" s="692">
        <v>0</v>
      </c>
      <c r="V911" s="692">
        <v>0</v>
      </c>
      <c r="W911" s="692">
        <v>0</v>
      </c>
      <c r="X911" s="692">
        <v>0</v>
      </c>
      <c r="Y911" s="692">
        <v>0</v>
      </c>
      <c r="Z911" s="692">
        <v>0</v>
      </c>
      <c r="AA911" s="692">
        <v>0</v>
      </c>
      <c r="AB911" s="692">
        <v>0</v>
      </c>
      <c r="AC911" s="690">
        <v>0</v>
      </c>
      <c r="AD911" s="690">
        <v>0</v>
      </c>
      <c r="AE911" s="732"/>
      <c r="AF911" s="732"/>
      <c r="AG911" s="732"/>
      <c r="AH911" s="732"/>
      <c r="AI911" s="732"/>
      <c r="AJ911" s="732"/>
      <c r="AK911" s="732"/>
      <c r="AL911" s="732"/>
      <c r="AM911" s="732"/>
      <c r="AN911" s="732"/>
      <c r="AO911" s="732"/>
      <c r="AP911" s="732"/>
      <c r="AQ911" s="732"/>
      <c r="AR911" s="732"/>
      <c r="AS911" s="732"/>
      <c r="AT911" s="732"/>
      <c r="AU911" s="732"/>
      <c r="AV911" s="732"/>
      <c r="AW911" s="732"/>
      <c r="AX911" s="732"/>
      <c r="AY911" s="732"/>
      <c r="AZ911" s="732"/>
      <c r="BA911" s="732"/>
      <c r="BB911" s="732"/>
      <c r="BC911" s="732"/>
      <c r="BD911" s="732"/>
      <c r="BE911" s="732"/>
      <c r="BF911" s="732"/>
      <c r="BG911" s="732"/>
      <c r="BH911" s="732"/>
      <c r="BI911" s="732"/>
      <c r="BJ911" s="732"/>
      <c r="BK911" s="732"/>
      <c r="BL911" s="732"/>
      <c r="BM911" s="732"/>
      <c r="BN911" s="732"/>
      <c r="BO911" s="732"/>
      <c r="BP911" s="732"/>
      <c r="BQ911" s="732"/>
      <c r="BR911" s="732"/>
      <c r="BS911" s="732"/>
      <c r="BT911" s="732"/>
      <c r="BU911" s="732"/>
      <c r="BV911" s="732"/>
      <c r="BW911" s="732"/>
      <c r="BX911" s="732"/>
      <c r="BY911" s="732"/>
      <c r="BZ911" s="732"/>
      <c r="CA911" s="732"/>
    </row>
    <row r="912" spans="1:79" hidden="1" outlineLevel="1" x14ac:dyDescent="0.35">
      <c r="A912" s="574"/>
      <c r="B912" s="574"/>
      <c r="C912" s="574"/>
      <c r="D912" s="574"/>
      <c r="E912" s="574"/>
      <c r="F912" s="672" t="s">
        <v>616</v>
      </c>
      <c r="G912" s="735"/>
      <c r="H912" s="735"/>
      <c r="I912" s="735"/>
      <c r="J912" s="735"/>
      <c r="K912" s="735"/>
      <c r="L912" s="736"/>
      <c r="M912" s="735"/>
      <c r="N912" s="735"/>
      <c r="O912" s="735"/>
      <c r="P912" s="732"/>
      <c r="Q912" s="732"/>
      <c r="R912" s="732"/>
      <c r="S912" s="692">
        <v>0</v>
      </c>
      <c r="T912" s="692">
        <v>0</v>
      </c>
      <c r="U912" s="692">
        <v>0</v>
      </c>
      <c r="V912" s="692">
        <v>0</v>
      </c>
      <c r="W912" s="692">
        <v>0</v>
      </c>
      <c r="X912" s="692">
        <v>0</v>
      </c>
      <c r="Y912" s="692">
        <v>0</v>
      </c>
      <c r="Z912" s="692">
        <v>0</v>
      </c>
      <c r="AA912" s="692">
        <v>0</v>
      </c>
      <c r="AB912" s="692">
        <v>0</v>
      </c>
      <c r="AC912" s="690">
        <v>0</v>
      </c>
      <c r="AD912" s="690">
        <v>0</v>
      </c>
      <c r="AE912" s="732"/>
      <c r="AF912" s="732"/>
      <c r="AG912" s="732"/>
      <c r="AH912" s="732"/>
      <c r="AI912" s="732"/>
      <c r="AJ912" s="732"/>
      <c r="AK912" s="732"/>
      <c r="AL912" s="732"/>
      <c r="AM912" s="732"/>
      <c r="AN912" s="732"/>
      <c r="AO912" s="732"/>
      <c r="AP912" s="732"/>
      <c r="AQ912" s="732"/>
      <c r="AR912" s="732"/>
      <c r="AS912" s="732"/>
      <c r="AT912" s="732"/>
      <c r="AU912" s="732"/>
      <c r="AV912" s="732"/>
      <c r="AW912" s="732"/>
      <c r="AX912" s="732"/>
      <c r="AY912" s="732"/>
      <c r="AZ912" s="732"/>
      <c r="BA912" s="732"/>
      <c r="BB912" s="732"/>
      <c r="BC912" s="732"/>
      <c r="BD912" s="732"/>
      <c r="BE912" s="732"/>
      <c r="BF912" s="732"/>
      <c r="BG912" s="732"/>
      <c r="BH912" s="732"/>
      <c r="BI912" s="732"/>
      <c r="BJ912" s="732"/>
      <c r="BK912" s="732"/>
      <c r="BL912" s="732"/>
      <c r="BM912" s="732"/>
      <c r="BN912" s="732"/>
      <c r="BO912" s="732"/>
      <c r="BP912" s="732"/>
      <c r="BQ912" s="732"/>
      <c r="BR912" s="732"/>
      <c r="BS912" s="732"/>
      <c r="BT912" s="732"/>
      <c r="BU912" s="732"/>
      <c r="BV912" s="732"/>
      <c r="BW912" s="732"/>
      <c r="BX912" s="732"/>
      <c r="BY912" s="732"/>
      <c r="BZ912" s="732"/>
      <c r="CA912" s="732"/>
    </row>
    <row r="913" spans="1:79" hidden="1" outlineLevel="1" x14ac:dyDescent="0.35">
      <c r="A913" s="574"/>
      <c r="B913" s="574"/>
      <c r="C913" s="574"/>
      <c r="D913" s="574"/>
      <c r="E913" s="574"/>
      <c r="F913" s="672" t="s">
        <v>893</v>
      </c>
      <c r="G913" s="735"/>
      <c r="H913" s="735"/>
      <c r="I913" s="735"/>
      <c r="J913" s="735"/>
      <c r="K913" s="735"/>
      <c r="L913" s="736"/>
      <c r="M913" s="735"/>
      <c r="N913" s="735"/>
      <c r="O913" s="735"/>
      <c r="P913" s="732"/>
      <c r="Q913" s="732"/>
      <c r="R913" s="732"/>
      <c r="S913" s="692">
        <v>0</v>
      </c>
      <c r="T913" s="692">
        <v>0</v>
      </c>
      <c r="U913" s="692">
        <v>0</v>
      </c>
      <c r="V913" s="692">
        <v>0</v>
      </c>
      <c r="W913" s="692">
        <v>0</v>
      </c>
      <c r="X913" s="692">
        <v>0</v>
      </c>
      <c r="Y913" s="692">
        <v>0</v>
      </c>
      <c r="Z913" s="692">
        <v>0</v>
      </c>
      <c r="AA913" s="692">
        <v>0</v>
      </c>
      <c r="AB913" s="692">
        <v>0</v>
      </c>
      <c r="AC913" s="690">
        <v>0</v>
      </c>
      <c r="AD913" s="690">
        <v>0</v>
      </c>
      <c r="AE913" s="732"/>
      <c r="AF913" s="732"/>
      <c r="AG913" s="732"/>
      <c r="AH913" s="732"/>
      <c r="AI913" s="732"/>
      <c r="AJ913" s="732"/>
      <c r="AK913" s="732"/>
      <c r="AL913" s="732"/>
      <c r="AM913" s="732"/>
      <c r="AN913" s="732"/>
      <c r="AO913" s="732"/>
      <c r="AP913" s="732"/>
      <c r="AQ913" s="732"/>
      <c r="AR913" s="732"/>
      <c r="AS913" s="732"/>
      <c r="AT913" s="732"/>
      <c r="AU913" s="732"/>
      <c r="AV913" s="732"/>
      <c r="AW913" s="732"/>
      <c r="AX913" s="732"/>
      <c r="AY913" s="732"/>
      <c r="AZ913" s="732"/>
      <c r="BA913" s="732"/>
      <c r="BB913" s="732"/>
      <c r="BC913" s="732"/>
      <c r="BD913" s="732"/>
      <c r="BE913" s="732"/>
      <c r="BF913" s="732"/>
      <c r="BG913" s="732"/>
      <c r="BH913" s="732"/>
      <c r="BI913" s="732"/>
      <c r="BJ913" s="732"/>
      <c r="BK913" s="732"/>
      <c r="BL913" s="732"/>
      <c r="BM913" s="732"/>
      <c r="BN913" s="732"/>
      <c r="BO913" s="732"/>
      <c r="BP913" s="732"/>
      <c r="BQ913" s="732"/>
      <c r="BR913" s="732"/>
      <c r="BS913" s="732"/>
      <c r="BT913" s="732"/>
      <c r="BU913" s="732"/>
      <c r="BV913" s="732"/>
      <c r="BW913" s="732"/>
      <c r="BX913" s="732"/>
      <c r="BY913" s="732"/>
      <c r="BZ913" s="732"/>
      <c r="CA913" s="732"/>
    </row>
    <row r="914" spans="1:79" hidden="1" outlineLevel="1" x14ac:dyDescent="0.35">
      <c r="A914" s="574"/>
      <c r="B914" s="574"/>
      <c r="C914" s="574"/>
      <c r="D914" s="574"/>
      <c r="E914" s="574"/>
      <c r="F914" s="672" t="s">
        <v>768</v>
      </c>
      <c r="G914" s="735"/>
      <c r="H914" s="735"/>
      <c r="I914" s="735"/>
      <c r="J914" s="735"/>
      <c r="K914" s="735"/>
      <c r="L914" s="736"/>
      <c r="M914" s="735"/>
      <c r="N914" s="735"/>
      <c r="O914" s="735"/>
      <c r="P914" s="732"/>
      <c r="Q914" s="732"/>
      <c r="R914" s="732"/>
      <c r="S914" s="692">
        <v>0</v>
      </c>
      <c r="T914" s="692">
        <v>0</v>
      </c>
      <c r="U914" s="692">
        <v>0</v>
      </c>
      <c r="V914" s="692">
        <v>0</v>
      </c>
      <c r="W914" s="692">
        <v>0</v>
      </c>
      <c r="X914" s="692">
        <v>0</v>
      </c>
      <c r="Y914" s="692">
        <v>0</v>
      </c>
      <c r="Z914" s="692">
        <v>0</v>
      </c>
      <c r="AA914" s="692">
        <v>0</v>
      </c>
      <c r="AB914" s="692">
        <v>0</v>
      </c>
      <c r="AC914" s="690">
        <v>0</v>
      </c>
      <c r="AD914" s="690">
        <v>0</v>
      </c>
      <c r="AE914" s="732"/>
      <c r="AF914" s="732"/>
      <c r="AG914" s="732"/>
      <c r="AH914" s="732"/>
      <c r="AI914" s="732"/>
      <c r="AJ914" s="732"/>
      <c r="AK914" s="732"/>
      <c r="AL914" s="732"/>
      <c r="AM914" s="732"/>
      <c r="AN914" s="732"/>
      <c r="AO914" s="732"/>
      <c r="AP914" s="732"/>
      <c r="AQ914" s="732"/>
      <c r="AR914" s="732"/>
      <c r="AS914" s="732"/>
      <c r="AT914" s="732"/>
      <c r="AU914" s="732"/>
      <c r="AV914" s="732"/>
      <c r="AW914" s="732"/>
      <c r="AX914" s="732"/>
      <c r="AY914" s="732"/>
      <c r="AZ914" s="732"/>
      <c r="BA914" s="732"/>
      <c r="BB914" s="732"/>
      <c r="BC914" s="732"/>
      <c r="BD914" s="732"/>
      <c r="BE914" s="732"/>
      <c r="BF914" s="732"/>
      <c r="BG914" s="732"/>
      <c r="BH914" s="732"/>
      <c r="BI914" s="732"/>
      <c r="BJ914" s="732"/>
      <c r="BK914" s="732"/>
      <c r="BL914" s="732"/>
      <c r="BM914" s="732"/>
      <c r="BN914" s="732"/>
      <c r="BO914" s="732"/>
      <c r="BP914" s="732"/>
      <c r="BQ914" s="732"/>
      <c r="BR914" s="732"/>
      <c r="BS914" s="732"/>
      <c r="BT914" s="732"/>
      <c r="BU914" s="732"/>
      <c r="BV914" s="732"/>
      <c r="BW914" s="732"/>
      <c r="BX914" s="732"/>
      <c r="BY914" s="732"/>
      <c r="BZ914" s="732"/>
      <c r="CA914" s="732"/>
    </row>
    <row r="915" spans="1:79" hidden="1" outlineLevel="1" x14ac:dyDescent="0.35">
      <c r="A915" s="574"/>
      <c r="B915" s="574"/>
      <c r="C915" s="574"/>
      <c r="D915" s="574"/>
      <c r="E915" s="574"/>
      <c r="F915" s="672" t="s">
        <v>785</v>
      </c>
      <c r="G915" s="735"/>
      <c r="H915" s="735"/>
      <c r="I915" s="735"/>
      <c r="J915" s="735"/>
      <c r="K915" s="735"/>
      <c r="L915" s="736"/>
      <c r="M915" s="735"/>
      <c r="N915" s="735"/>
      <c r="O915" s="735"/>
      <c r="P915" s="732"/>
      <c r="Q915" s="732"/>
      <c r="R915" s="732"/>
      <c r="S915" s="692">
        <v>0</v>
      </c>
      <c r="T915" s="692">
        <v>0</v>
      </c>
      <c r="U915" s="692">
        <v>0</v>
      </c>
      <c r="V915" s="692">
        <v>0</v>
      </c>
      <c r="W915" s="692">
        <v>0</v>
      </c>
      <c r="X915" s="692">
        <v>0</v>
      </c>
      <c r="Y915" s="692">
        <v>0</v>
      </c>
      <c r="Z915" s="692">
        <v>0</v>
      </c>
      <c r="AA915" s="692">
        <v>0</v>
      </c>
      <c r="AB915" s="692">
        <v>0</v>
      </c>
      <c r="AC915" s="690">
        <v>0</v>
      </c>
      <c r="AD915" s="690">
        <v>0</v>
      </c>
      <c r="AE915" s="732"/>
      <c r="AF915" s="732"/>
      <c r="AG915" s="732"/>
      <c r="AH915" s="732"/>
      <c r="AI915" s="732"/>
      <c r="AJ915" s="732"/>
      <c r="AK915" s="732"/>
      <c r="AL915" s="732"/>
      <c r="AM915" s="732"/>
      <c r="AN915" s="732"/>
      <c r="AO915" s="732"/>
      <c r="AP915" s="732"/>
      <c r="AQ915" s="732"/>
      <c r="AR915" s="732"/>
      <c r="AS915" s="732"/>
      <c r="AT915" s="732"/>
      <c r="AU915" s="732"/>
      <c r="AV915" s="732"/>
      <c r="AW915" s="732"/>
      <c r="AX915" s="732"/>
      <c r="AY915" s="732"/>
      <c r="AZ915" s="732"/>
      <c r="BA915" s="732"/>
      <c r="BB915" s="732"/>
      <c r="BC915" s="732"/>
      <c r="BD915" s="732"/>
      <c r="BE915" s="732"/>
      <c r="BF915" s="732"/>
      <c r="BG915" s="732"/>
      <c r="BH915" s="732"/>
      <c r="BI915" s="732"/>
      <c r="BJ915" s="732"/>
      <c r="BK915" s="732"/>
      <c r="BL915" s="732"/>
      <c r="BM915" s="732"/>
      <c r="BN915" s="732"/>
      <c r="BO915" s="732"/>
      <c r="BP915" s="732"/>
      <c r="BQ915" s="732"/>
      <c r="BR915" s="732"/>
      <c r="BS915" s="732"/>
      <c r="BT915" s="732"/>
      <c r="BU915" s="732"/>
      <c r="BV915" s="732"/>
      <c r="BW915" s="732"/>
      <c r="BX915" s="732"/>
      <c r="BY915" s="732"/>
      <c r="BZ915" s="732"/>
      <c r="CA915" s="732"/>
    </row>
    <row r="916" spans="1:79" hidden="1" outlineLevel="1" x14ac:dyDescent="0.35">
      <c r="A916" s="574"/>
      <c r="B916" s="574"/>
      <c r="C916" s="574"/>
      <c r="D916" s="574"/>
      <c r="E916" s="574"/>
      <c r="F916" s="672" t="s">
        <v>617</v>
      </c>
      <c r="G916" s="735"/>
      <c r="H916" s="735"/>
      <c r="I916" s="735"/>
      <c r="J916" s="735"/>
      <c r="K916" s="735"/>
      <c r="L916" s="736"/>
      <c r="M916" s="735"/>
      <c r="N916" s="735"/>
      <c r="O916" s="735"/>
      <c r="P916" s="732"/>
      <c r="Q916" s="732"/>
      <c r="R916" s="732"/>
      <c r="S916" s="692">
        <v>0</v>
      </c>
      <c r="T916" s="692">
        <v>0</v>
      </c>
      <c r="U916" s="692">
        <v>0</v>
      </c>
      <c r="V916" s="692">
        <v>0</v>
      </c>
      <c r="W916" s="692">
        <v>0</v>
      </c>
      <c r="X916" s="692">
        <v>0</v>
      </c>
      <c r="Y916" s="692">
        <v>0</v>
      </c>
      <c r="Z916" s="692">
        <v>0</v>
      </c>
      <c r="AA916" s="692">
        <v>0</v>
      </c>
      <c r="AB916" s="692">
        <v>0</v>
      </c>
      <c r="AC916" s="690">
        <v>0</v>
      </c>
      <c r="AD916" s="690">
        <v>0</v>
      </c>
      <c r="AE916" s="732"/>
      <c r="AF916" s="732"/>
      <c r="AG916" s="732"/>
      <c r="AH916" s="732"/>
      <c r="AI916" s="732"/>
      <c r="AJ916" s="732"/>
      <c r="AK916" s="732"/>
      <c r="AL916" s="732"/>
      <c r="AM916" s="732"/>
      <c r="AN916" s="732"/>
      <c r="AO916" s="732"/>
      <c r="AP916" s="732"/>
      <c r="AQ916" s="732"/>
      <c r="AR916" s="732"/>
      <c r="AS916" s="732"/>
      <c r="AT916" s="732"/>
      <c r="AU916" s="732"/>
      <c r="AV916" s="732"/>
      <c r="AW916" s="732"/>
      <c r="AX916" s="732"/>
      <c r="AY916" s="732"/>
      <c r="AZ916" s="732"/>
      <c r="BA916" s="732"/>
      <c r="BB916" s="732"/>
      <c r="BC916" s="732"/>
      <c r="BD916" s="732"/>
      <c r="BE916" s="732"/>
      <c r="BF916" s="732"/>
      <c r="BG916" s="732"/>
      <c r="BH916" s="732"/>
      <c r="BI916" s="732"/>
      <c r="BJ916" s="732"/>
      <c r="BK916" s="732"/>
      <c r="BL916" s="732"/>
      <c r="BM916" s="732"/>
      <c r="BN916" s="732"/>
      <c r="BO916" s="732"/>
      <c r="BP916" s="732"/>
      <c r="BQ916" s="732"/>
      <c r="BR916" s="732"/>
      <c r="BS916" s="732"/>
      <c r="BT916" s="732"/>
      <c r="BU916" s="732"/>
      <c r="BV916" s="732"/>
      <c r="BW916" s="732"/>
      <c r="BX916" s="732"/>
      <c r="BY916" s="732"/>
      <c r="BZ916" s="732"/>
      <c r="CA916" s="732"/>
    </row>
    <row r="917" spans="1:79" hidden="1" outlineLevel="1" x14ac:dyDescent="0.35">
      <c r="A917" s="574"/>
      <c r="B917" s="574"/>
      <c r="C917" s="574"/>
      <c r="D917" s="574"/>
      <c r="E917" s="574"/>
      <c r="F917" s="672" t="s">
        <v>618</v>
      </c>
      <c r="G917" s="735"/>
      <c r="H917" s="735"/>
      <c r="I917" s="735"/>
      <c r="J917" s="735"/>
      <c r="K917" s="735"/>
      <c r="L917" s="736"/>
      <c r="M917" s="735"/>
      <c r="N917" s="735"/>
      <c r="O917" s="735"/>
      <c r="P917" s="732"/>
      <c r="Q917" s="732"/>
      <c r="R917" s="732"/>
      <c r="S917" s="692">
        <v>0</v>
      </c>
      <c r="T917" s="692">
        <v>0</v>
      </c>
      <c r="U917" s="692">
        <v>0</v>
      </c>
      <c r="V917" s="692">
        <v>0</v>
      </c>
      <c r="W917" s="692">
        <v>0</v>
      </c>
      <c r="X917" s="692">
        <v>0</v>
      </c>
      <c r="Y917" s="692">
        <v>0</v>
      </c>
      <c r="Z917" s="692">
        <v>0</v>
      </c>
      <c r="AA917" s="692">
        <v>0</v>
      </c>
      <c r="AB917" s="692">
        <v>0</v>
      </c>
      <c r="AC917" s="690">
        <v>0</v>
      </c>
      <c r="AD917" s="690">
        <v>0</v>
      </c>
      <c r="AE917" s="732"/>
      <c r="AF917" s="732"/>
      <c r="AG917" s="732"/>
      <c r="AH917" s="732"/>
      <c r="AI917" s="732"/>
      <c r="AJ917" s="732"/>
      <c r="AK917" s="732"/>
      <c r="AL917" s="732"/>
      <c r="AM917" s="732"/>
      <c r="AN917" s="732"/>
      <c r="AO917" s="732"/>
      <c r="AP917" s="732"/>
      <c r="AQ917" s="732"/>
      <c r="AR917" s="732"/>
      <c r="AS917" s="732"/>
      <c r="AT917" s="732"/>
      <c r="AU917" s="732"/>
      <c r="AV917" s="732"/>
      <c r="AW917" s="732"/>
      <c r="AX917" s="732"/>
      <c r="AY917" s="732"/>
      <c r="AZ917" s="732"/>
      <c r="BA917" s="732"/>
      <c r="BB917" s="732"/>
      <c r="BC917" s="732"/>
      <c r="BD917" s="732"/>
      <c r="BE917" s="732"/>
      <c r="BF917" s="732"/>
      <c r="BG917" s="732"/>
      <c r="BH917" s="732"/>
      <c r="BI917" s="732"/>
      <c r="BJ917" s="732"/>
      <c r="BK917" s="732"/>
      <c r="BL917" s="732"/>
      <c r="BM917" s="732"/>
      <c r="BN917" s="732"/>
      <c r="BO917" s="732"/>
      <c r="BP917" s="732"/>
      <c r="BQ917" s="732"/>
      <c r="BR917" s="732"/>
      <c r="BS917" s="732"/>
      <c r="BT917" s="732"/>
      <c r="BU917" s="732"/>
      <c r="BV917" s="732"/>
      <c r="BW917" s="732"/>
      <c r="BX917" s="732"/>
      <c r="BY917" s="732"/>
      <c r="BZ917" s="732"/>
      <c r="CA917" s="732"/>
    </row>
    <row r="918" spans="1:79" hidden="1" outlineLevel="1" x14ac:dyDescent="0.35">
      <c r="A918" s="574"/>
      <c r="B918" s="574"/>
      <c r="C918" s="574"/>
      <c r="D918" s="574"/>
      <c r="E918" s="574"/>
      <c r="F918" s="672" t="s">
        <v>619</v>
      </c>
      <c r="G918" s="735"/>
      <c r="H918" s="735"/>
      <c r="I918" s="735"/>
      <c r="J918" s="735"/>
      <c r="K918" s="735"/>
      <c r="L918" s="736"/>
      <c r="M918" s="735"/>
      <c r="N918" s="735"/>
      <c r="O918" s="735"/>
      <c r="P918" s="732"/>
      <c r="Q918" s="732"/>
      <c r="R918" s="732"/>
      <c r="S918" s="692">
        <v>0</v>
      </c>
      <c r="T918" s="692">
        <v>0</v>
      </c>
      <c r="U918" s="692">
        <v>0</v>
      </c>
      <c r="V918" s="692">
        <v>0</v>
      </c>
      <c r="W918" s="692">
        <v>0</v>
      </c>
      <c r="X918" s="692">
        <v>0</v>
      </c>
      <c r="Y918" s="692">
        <v>0</v>
      </c>
      <c r="Z918" s="692">
        <v>0</v>
      </c>
      <c r="AA918" s="692">
        <v>0</v>
      </c>
      <c r="AB918" s="692">
        <v>0</v>
      </c>
      <c r="AC918" s="690">
        <v>0</v>
      </c>
      <c r="AD918" s="690">
        <v>0</v>
      </c>
      <c r="AE918" s="732"/>
      <c r="AF918" s="732"/>
      <c r="AG918" s="732"/>
      <c r="AH918" s="732"/>
      <c r="AI918" s="732"/>
      <c r="AJ918" s="732"/>
      <c r="AK918" s="732"/>
      <c r="AL918" s="732"/>
      <c r="AM918" s="732"/>
      <c r="AN918" s="732"/>
      <c r="AO918" s="732"/>
      <c r="AP918" s="732"/>
      <c r="AQ918" s="732"/>
      <c r="AR918" s="732"/>
      <c r="AS918" s="732"/>
      <c r="AT918" s="732"/>
      <c r="AU918" s="732"/>
      <c r="AV918" s="732"/>
      <c r="AW918" s="732"/>
      <c r="AX918" s="732"/>
      <c r="AY918" s="732"/>
      <c r="AZ918" s="732"/>
      <c r="BA918" s="732"/>
      <c r="BB918" s="732"/>
      <c r="BC918" s="732"/>
      <c r="BD918" s="732"/>
      <c r="BE918" s="732"/>
      <c r="BF918" s="732"/>
      <c r="BG918" s="732"/>
      <c r="BH918" s="732"/>
      <c r="BI918" s="732"/>
      <c r="BJ918" s="732"/>
      <c r="BK918" s="732"/>
      <c r="BL918" s="732"/>
      <c r="BM918" s="732"/>
      <c r="BN918" s="732"/>
      <c r="BO918" s="732"/>
      <c r="BP918" s="732"/>
      <c r="BQ918" s="732"/>
      <c r="BR918" s="732"/>
      <c r="BS918" s="732"/>
      <c r="BT918" s="732"/>
      <c r="BU918" s="732"/>
      <c r="BV918" s="732"/>
      <c r="BW918" s="732"/>
      <c r="BX918" s="732"/>
      <c r="BY918" s="732"/>
      <c r="BZ918" s="732"/>
      <c r="CA918" s="732"/>
    </row>
    <row r="919" spans="1:79" hidden="1" outlineLevel="1" x14ac:dyDescent="0.35">
      <c r="A919" s="574"/>
      <c r="B919" s="574"/>
      <c r="C919" s="574"/>
      <c r="D919" s="574"/>
      <c r="E919" s="574"/>
      <c r="F919" s="672" t="s">
        <v>894</v>
      </c>
      <c r="G919" s="735"/>
      <c r="H919" s="735"/>
      <c r="I919" s="735"/>
      <c r="J919" s="735"/>
      <c r="K919" s="735"/>
      <c r="L919" s="736"/>
      <c r="M919" s="735"/>
      <c r="N919" s="735"/>
      <c r="O919" s="735"/>
      <c r="P919" s="732"/>
      <c r="Q919" s="732"/>
      <c r="R919" s="732"/>
      <c r="S919" s="692">
        <v>0</v>
      </c>
      <c r="T919" s="692">
        <v>0</v>
      </c>
      <c r="U919" s="692">
        <v>0</v>
      </c>
      <c r="V919" s="692">
        <v>0</v>
      </c>
      <c r="W919" s="692">
        <v>0</v>
      </c>
      <c r="X919" s="692">
        <v>0</v>
      </c>
      <c r="Y919" s="692">
        <v>0</v>
      </c>
      <c r="Z919" s="692">
        <v>0</v>
      </c>
      <c r="AA919" s="692">
        <v>0</v>
      </c>
      <c r="AB919" s="692">
        <v>0</v>
      </c>
      <c r="AC919" s="690">
        <v>0</v>
      </c>
      <c r="AD919" s="690">
        <v>0</v>
      </c>
      <c r="AE919" s="732"/>
      <c r="AF919" s="732"/>
      <c r="AG919" s="732"/>
      <c r="AH919" s="732"/>
      <c r="AI919" s="732"/>
      <c r="AJ919" s="732"/>
      <c r="AK919" s="732"/>
      <c r="AL919" s="732"/>
      <c r="AM919" s="732"/>
      <c r="AN919" s="732"/>
      <c r="AO919" s="732"/>
      <c r="AP919" s="732"/>
      <c r="AQ919" s="732"/>
      <c r="AR919" s="732"/>
      <c r="AS919" s="732"/>
      <c r="AT919" s="732"/>
      <c r="AU919" s="732"/>
      <c r="AV919" s="732"/>
      <c r="AW919" s="732"/>
      <c r="AX919" s="732"/>
      <c r="AY919" s="732"/>
      <c r="AZ919" s="732"/>
      <c r="BA919" s="732"/>
      <c r="BB919" s="732"/>
      <c r="BC919" s="732"/>
      <c r="BD919" s="732"/>
      <c r="BE919" s="732"/>
      <c r="BF919" s="732"/>
      <c r="BG919" s="732"/>
      <c r="BH919" s="732"/>
      <c r="BI919" s="732"/>
      <c r="BJ919" s="732"/>
      <c r="BK919" s="732"/>
      <c r="BL919" s="732"/>
      <c r="BM919" s="732"/>
      <c r="BN919" s="732"/>
      <c r="BO919" s="732"/>
      <c r="BP919" s="732"/>
      <c r="BQ919" s="732"/>
      <c r="BR919" s="732"/>
      <c r="BS919" s="732"/>
      <c r="BT919" s="732"/>
      <c r="BU919" s="732"/>
      <c r="BV919" s="732"/>
      <c r="BW919" s="732"/>
      <c r="BX919" s="732"/>
      <c r="BY919" s="732"/>
      <c r="BZ919" s="732"/>
      <c r="CA919" s="732"/>
    </row>
    <row r="920" spans="1:79" hidden="1" outlineLevel="1" x14ac:dyDescent="0.35">
      <c r="A920" s="574"/>
      <c r="B920" s="574"/>
      <c r="C920" s="574"/>
      <c r="D920" s="574"/>
      <c r="E920" s="574"/>
      <c r="F920" s="672" t="s">
        <v>620</v>
      </c>
      <c r="G920" s="735"/>
      <c r="H920" s="735"/>
      <c r="I920" s="735"/>
      <c r="J920" s="735"/>
      <c r="K920" s="735"/>
      <c r="L920" s="736"/>
      <c r="M920" s="735"/>
      <c r="N920" s="735"/>
      <c r="O920" s="735"/>
      <c r="P920" s="732"/>
      <c r="Q920" s="732"/>
      <c r="R920" s="732"/>
      <c r="S920" s="692">
        <v>0</v>
      </c>
      <c r="T920" s="692">
        <v>0</v>
      </c>
      <c r="U920" s="692">
        <v>0</v>
      </c>
      <c r="V920" s="692">
        <v>0</v>
      </c>
      <c r="W920" s="692">
        <v>0</v>
      </c>
      <c r="X920" s="692">
        <v>0</v>
      </c>
      <c r="Y920" s="692">
        <v>0</v>
      </c>
      <c r="Z920" s="692">
        <v>0</v>
      </c>
      <c r="AA920" s="692">
        <v>0</v>
      </c>
      <c r="AB920" s="692">
        <v>0</v>
      </c>
      <c r="AC920" s="690">
        <v>0</v>
      </c>
      <c r="AD920" s="690">
        <v>0</v>
      </c>
      <c r="AE920" s="732"/>
      <c r="AF920" s="732"/>
      <c r="AG920" s="732"/>
      <c r="AH920" s="732"/>
      <c r="AI920" s="732"/>
      <c r="AJ920" s="732"/>
      <c r="AK920" s="732"/>
      <c r="AL920" s="732"/>
      <c r="AM920" s="732"/>
      <c r="AN920" s="732"/>
      <c r="AO920" s="732"/>
      <c r="AP920" s="732"/>
      <c r="AQ920" s="732"/>
      <c r="AR920" s="732"/>
      <c r="AS920" s="732"/>
      <c r="AT920" s="732"/>
      <c r="AU920" s="732"/>
      <c r="AV920" s="732"/>
      <c r="AW920" s="732"/>
      <c r="AX920" s="732"/>
      <c r="AY920" s="732"/>
      <c r="AZ920" s="732"/>
      <c r="BA920" s="732"/>
      <c r="BB920" s="732"/>
      <c r="BC920" s="732"/>
      <c r="BD920" s="732"/>
      <c r="BE920" s="732"/>
      <c r="BF920" s="732"/>
      <c r="BG920" s="732"/>
      <c r="BH920" s="732"/>
      <c r="BI920" s="732"/>
      <c r="BJ920" s="732"/>
      <c r="BK920" s="732"/>
      <c r="BL920" s="732"/>
      <c r="BM920" s="732"/>
      <c r="BN920" s="732"/>
      <c r="BO920" s="732"/>
      <c r="BP920" s="732"/>
      <c r="BQ920" s="732"/>
      <c r="BR920" s="732"/>
      <c r="BS920" s="732"/>
      <c r="BT920" s="732"/>
      <c r="BU920" s="732"/>
      <c r="BV920" s="732"/>
      <c r="BW920" s="732"/>
      <c r="BX920" s="732"/>
      <c r="BY920" s="732"/>
      <c r="BZ920" s="732"/>
      <c r="CA920" s="732"/>
    </row>
    <row r="921" spans="1:79" hidden="1" outlineLevel="1" x14ac:dyDescent="0.35">
      <c r="A921" s="574"/>
      <c r="B921" s="574"/>
      <c r="C921" s="574"/>
      <c r="D921" s="574"/>
      <c r="E921" s="574"/>
      <c r="F921" s="675" t="s">
        <v>621</v>
      </c>
      <c r="G921" s="680">
        <f>SUM(G904:G920)</f>
        <v>0</v>
      </c>
      <c r="H921" s="680">
        <f t="shared" ref="H921:BO921" si="354">SUM(H904:H920)</f>
        <v>0</v>
      </c>
      <c r="I921" s="680">
        <f t="shared" si="354"/>
        <v>0</v>
      </c>
      <c r="J921" s="680">
        <f t="shared" si="354"/>
        <v>0</v>
      </c>
      <c r="K921" s="680">
        <f t="shared" si="354"/>
        <v>0</v>
      </c>
      <c r="L921" s="680">
        <f t="shared" si="354"/>
        <v>0</v>
      </c>
      <c r="M921" s="680">
        <f t="shared" si="354"/>
        <v>0</v>
      </c>
      <c r="N921" s="680">
        <f t="shared" si="354"/>
        <v>0</v>
      </c>
      <c r="O921" s="680">
        <f t="shared" si="354"/>
        <v>0</v>
      </c>
      <c r="P921" s="680">
        <f t="shared" si="354"/>
        <v>0</v>
      </c>
      <c r="Q921" s="680">
        <f t="shared" si="354"/>
        <v>0</v>
      </c>
      <c r="R921" s="680">
        <f t="shared" si="354"/>
        <v>0</v>
      </c>
      <c r="S921" s="694">
        <f t="shared" ref="S921:AA921" si="355">ROUND(SUM(S903:S920),5)</f>
        <v>0</v>
      </c>
      <c r="T921" s="694">
        <f t="shared" si="355"/>
        <v>0</v>
      </c>
      <c r="U921" s="694">
        <f t="shared" si="355"/>
        <v>0</v>
      </c>
      <c r="V921" s="694">
        <f t="shared" si="355"/>
        <v>0</v>
      </c>
      <c r="W921" s="694">
        <f t="shared" si="355"/>
        <v>0</v>
      </c>
      <c r="X921" s="694">
        <f t="shared" si="355"/>
        <v>0</v>
      </c>
      <c r="Y921" s="694">
        <f t="shared" si="355"/>
        <v>0</v>
      </c>
      <c r="Z921" s="694">
        <f t="shared" si="355"/>
        <v>0</v>
      </c>
      <c r="AA921" s="694">
        <f t="shared" si="355"/>
        <v>0</v>
      </c>
      <c r="AB921" s="694">
        <f>ROUND(SUM(AB903:AB920),5)</f>
        <v>0</v>
      </c>
      <c r="AC921" s="694">
        <f>ROUND(SUM(AC903:AC920),5)</f>
        <v>0</v>
      </c>
      <c r="AD921" s="694">
        <f>ROUND(SUM(AD903:AD920),5)</f>
        <v>0</v>
      </c>
      <c r="AE921" s="680">
        <f t="shared" si="354"/>
        <v>0</v>
      </c>
      <c r="AF921" s="680">
        <f t="shared" si="354"/>
        <v>0</v>
      </c>
      <c r="AG921" s="680">
        <f t="shared" si="354"/>
        <v>0</v>
      </c>
      <c r="AH921" s="680">
        <f t="shared" si="354"/>
        <v>0</v>
      </c>
      <c r="AI921" s="680">
        <f t="shared" si="354"/>
        <v>0</v>
      </c>
      <c r="AJ921" s="680">
        <f t="shared" si="354"/>
        <v>0</v>
      </c>
      <c r="AK921" s="680">
        <f t="shared" si="354"/>
        <v>0</v>
      </c>
      <c r="AL921" s="680">
        <f t="shared" si="354"/>
        <v>0</v>
      </c>
      <c r="AM921" s="680">
        <f t="shared" si="354"/>
        <v>0</v>
      </c>
      <c r="AN921" s="680">
        <f t="shared" si="354"/>
        <v>0</v>
      </c>
      <c r="AO921" s="680">
        <f t="shared" si="354"/>
        <v>0</v>
      </c>
      <c r="AP921" s="680">
        <f t="shared" si="354"/>
        <v>0</v>
      </c>
      <c r="AQ921" s="680">
        <f t="shared" si="354"/>
        <v>0</v>
      </c>
      <c r="AR921" s="680">
        <f t="shared" si="354"/>
        <v>0</v>
      </c>
      <c r="AS921" s="680">
        <f t="shared" si="354"/>
        <v>0</v>
      </c>
      <c r="AT921" s="680">
        <f t="shared" si="354"/>
        <v>0</v>
      </c>
      <c r="AU921" s="680">
        <f t="shared" si="354"/>
        <v>0</v>
      </c>
      <c r="AV921" s="680">
        <f t="shared" si="354"/>
        <v>0</v>
      </c>
      <c r="AW921" s="680">
        <f t="shared" si="354"/>
        <v>0</v>
      </c>
      <c r="AX921" s="680">
        <f t="shared" si="354"/>
        <v>0</v>
      </c>
      <c r="AY921" s="680">
        <f t="shared" si="354"/>
        <v>0</v>
      </c>
      <c r="AZ921" s="680">
        <f t="shared" si="354"/>
        <v>0</v>
      </c>
      <c r="BA921" s="680">
        <f t="shared" si="354"/>
        <v>0</v>
      </c>
      <c r="BB921" s="680">
        <f t="shared" si="354"/>
        <v>0</v>
      </c>
      <c r="BC921" s="680">
        <f t="shared" si="354"/>
        <v>0</v>
      </c>
      <c r="BD921" s="680">
        <f t="shared" si="354"/>
        <v>0</v>
      </c>
      <c r="BE921" s="680">
        <f t="shared" si="354"/>
        <v>0</v>
      </c>
      <c r="BF921" s="680">
        <f t="shared" si="354"/>
        <v>0</v>
      </c>
      <c r="BG921" s="680">
        <f t="shared" si="354"/>
        <v>0</v>
      </c>
      <c r="BH921" s="680">
        <f t="shared" si="354"/>
        <v>0</v>
      </c>
      <c r="BI921" s="680">
        <f t="shared" si="354"/>
        <v>0</v>
      </c>
      <c r="BJ921" s="680">
        <f t="shared" si="354"/>
        <v>0</v>
      </c>
      <c r="BK921" s="680">
        <f t="shared" si="354"/>
        <v>0</v>
      </c>
      <c r="BL921" s="680">
        <f t="shared" si="354"/>
        <v>0</v>
      </c>
      <c r="BM921" s="680">
        <f t="shared" si="354"/>
        <v>0</v>
      </c>
      <c r="BN921" s="680">
        <f t="shared" si="354"/>
        <v>0</v>
      </c>
      <c r="BO921" s="680">
        <f t="shared" si="354"/>
        <v>0</v>
      </c>
      <c r="BP921" s="680">
        <f t="shared" ref="BP921:CA921" si="356">SUM(BP904:BP920)</f>
        <v>0</v>
      </c>
      <c r="BQ921" s="680">
        <f t="shared" si="356"/>
        <v>0</v>
      </c>
      <c r="BR921" s="680">
        <f t="shared" si="356"/>
        <v>0</v>
      </c>
      <c r="BS921" s="680">
        <f t="shared" si="356"/>
        <v>0</v>
      </c>
      <c r="BT921" s="680">
        <f t="shared" si="356"/>
        <v>0</v>
      </c>
      <c r="BU921" s="680">
        <f t="shared" si="356"/>
        <v>0</v>
      </c>
      <c r="BV921" s="680">
        <f t="shared" si="356"/>
        <v>0</v>
      </c>
      <c r="BW921" s="680">
        <f t="shared" si="356"/>
        <v>0</v>
      </c>
      <c r="BX921" s="680">
        <f t="shared" si="356"/>
        <v>0</v>
      </c>
      <c r="BY921" s="680">
        <f t="shared" si="356"/>
        <v>0</v>
      </c>
      <c r="BZ921" s="680">
        <f t="shared" si="356"/>
        <v>0</v>
      </c>
      <c r="CA921" s="680">
        <f t="shared" si="356"/>
        <v>0</v>
      </c>
    </row>
    <row r="922" spans="1:79" s="709" customFormat="1" hidden="1" outlineLevel="1" x14ac:dyDescent="0.35">
      <c r="F922" s="707" t="s">
        <v>598</v>
      </c>
      <c r="G922" s="750"/>
      <c r="H922" s="750"/>
      <c r="I922" s="750"/>
      <c r="J922" s="750"/>
      <c r="K922" s="750"/>
      <c r="L922" s="752"/>
      <c r="M922" s="750"/>
      <c r="N922" s="750"/>
      <c r="O922" s="750"/>
      <c r="P922" s="751"/>
      <c r="Q922" s="751"/>
      <c r="R922" s="751"/>
      <c r="S922" s="724"/>
      <c r="T922" s="724"/>
      <c r="U922" s="724"/>
      <c r="V922" s="724"/>
      <c r="W922" s="724"/>
      <c r="X922" s="724"/>
      <c r="Y922" s="724"/>
      <c r="Z922" s="724"/>
      <c r="AA922" s="724"/>
      <c r="AB922" s="724"/>
      <c r="AC922" s="723"/>
      <c r="AD922" s="723"/>
      <c r="AE922" s="751"/>
      <c r="AF922" s="751"/>
      <c r="AG922" s="751"/>
      <c r="AH922" s="751"/>
      <c r="AI922" s="751"/>
      <c r="AJ922" s="751"/>
      <c r="AK922" s="751"/>
      <c r="AL922" s="751"/>
      <c r="AM922" s="751"/>
      <c r="AN922" s="751"/>
      <c r="AO922" s="751"/>
      <c r="AP922" s="751"/>
      <c r="AQ922" s="751"/>
      <c r="AR922" s="751"/>
      <c r="AS922" s="751"/>
      <c r="AT922" s="751"/>
      <c r="AU922" s="751"/>
      <c r="AV922" s="751"/>
      <c r="AW922" s="751"/>
      <c r="AX922" s="751"/>
      <c r="AY922" s="751"/>
      <c r="AZ922" s="751"/>
      <c r="BA922" s="751"/>
      <c r="BB922" s="751"/>
      <c r="BC922" s="751"/>
      <c r="BD922" s="751"/>
      <c r="BE922" s="751"/>
      <c r="BF922" s="751"/>
      <c r="BG922" s="751"/>
      <c r="BH922" s="751"/>
      <c r="BI922" s="751"/>
      <c r="BJ922" s="751"/>
      <c r="BK922" s="751"/>
      <c r="BL922" s="751"/>
      <c r="BM922" s="751"/>
      <c r="BN922" s="751"/>
      <c r="BO922" s="751"/>
      <c r="BP922" s="751"/>
      <c r="BQ922" s="751"/>
      <c r="BR922" s="751"/>
      <c r="BS922" s="751"/>
      <c r="BT922" s="751"/>
      <c r="BU922" s="751"/>
      <c r="BV922" s="751"/>
      <c r="BW922" s="751"/>
      <c r="BX922" s="751"/>
      <c r="BY922" s="751"/>
      <c r="BZ922" s="751"/>
      <c r="CA922" s="751"/>
    </row>
    <row r="923" spans="1:79" hidden="1" outlineLevel="1" x14ac:dyDescent="0.35">
      <c r="A923" s="574"/>
      <c r="B923" s="574"/>
      <c r="C923" s="574"/>
      <c r="D923" s="574"/>
      <c r="E923" s="574"/>
      <c r="F923" s="672" t="s">
        <v>895</v>
      </c>
      <c r="G923" s="735"/>
      <c r="H923" s="735"/>
      <c r="I923" s="735"/>
      <c r="J923" s="735"/>
      <c r="K923" s="735"/>
      <c r="L923" s="736"/>
      <c r="M923" s="735"/>
      <c r="N923" s="735"/>
      <c r="O923" s="735"/>
      <c r="P923" s="732"/>
      <c r="Q923" s="732"/>
      <c r="R923" s="732"/>
      <c r="S923" s="700">
        <v>0</v>
      </c>
      <c r="T923" s="700">
        <v>0</v>
      </c>
      <c r="U923" s="700">
        <v>0</v>
      </c>
      <c r="V923" s="700">
        <v>0</v>
      </c>
      <c r="W923" s="700">
        <v>0</v>
      </c>
      <c r="X923" s="700">
        <v>0</v>
      </c>
      <c r="Y923" s="700">
        <v>0</v>
      </c>
      <c r="Z923" s="700">
        <v>0</v>
      </c>
      <c r="AA923" s="700">
        <v>0</v>
      </c>
      <c r="AB923" s="700">
        <v>0</v>
      </c>
      <c r="AC923" s="698">
        <v>0</v>
      </c>
      <c r="AD923" s="698">
        <v>0</v>
      </c>
      <c r="AE923" s="732"/>
      <c r="AF923" s="732"/>
      <c r="AG923" s="732"/>
      <c r="AH923" s="732"/>
      <c r="AI923" s="732"/>
      <c r="AJ923" s="732"/>
      <c r="AK923" s="732"/>
      <c r="AL923" s="732"/>
      <c r="AM923" s="732"/>
      <c r="AN923" s="732"/>
      <c r="AO923" s="732"/>
      <c r="AP923" s="732"/>
      <c r="AQ923" s="732"/>
      <c r="AR923" s="732"/>
      <c r="AS923" s="732"/>
      <c r="AT923" s="732"/>
      <c r="AU923" s="732"/>
      <c r="AV923" s="732"/>
      <c r="AW923" s="732"/>
      <c r="AX923" s="732"/>
      <c r="AY923" s="732"/>
      <c r="AZ923" s="732"/>
      <c r="BA923" s="732"/>
      <c r="BB923" s="732"/>
      <c r="BC923" s="732"/>
      <c r="BD923" s="732"/>
      <c r="BE923" s="732"/>
      <c r="BF923" s="732"/>
      <c r="BG923" s="732"/>
      <c r="BH923" s="732"/>
      <c r="BI923" s="732"/>
      <c r="BJ923" s="732"/>
      <c r="BK923" s="732"/>
      <c r="BL923" s="732"/>
      <c r="BM923" s="732"/>
      <c r="BN923" s="732"/>
      <c r="BO923" s="732"/>
      <c r="BP923" s="732"/>
      <c r="BQ923" s="732"/>
      <c r="BR923" s="732"/>
      <c r="BS923" s="732"/>
      <c r="BT923" s="732"/>
      <c r="BU923" s="732"/>
      <c r="BV923" s="732"/>
      <c r="BW923" s="732"/>
      <c r="BX923" s="732"/>
      <c r="BY923" s="732"/>
      <c r="BZ923" s="732"/>
      <c r="CA923" s="732"/>
    </row>
    <row r="924" spans="1:79" hidden="1" outlineLevel="1" x14ac:dyDescent="0.35">
      <c r="F924" s="672" t="s">
        <v>622</v>
      </c>
      <c r="G924" s="735">
        <v>178.20496703092104</v>
      </c>
      <c r="H924" s="735">
        <v>93.435277393259852</v>
      </c>
      <c r="I924" s="735">
        <v>101.68417244712037</v>
      </c>
      <c r="J924" s="735">
        <v>238.64825017097661</v>
      </c>
      <c r="K924" s="735">
        <v>361.69809729468147</v>
      </c>
      <c r="L924" s="735">
        <v>509.73025612929723</v>
      </c>
      <c r="M924" s="735">
        <v>353.04517946267015</v>
      </c>
      <c r="N924" s="735">
        <v>225.14555521442574</v>
      </c>
      <c r="O924" s="735">
        <v>373.61621707929652</v>
      </c>
      <c r="P924" s="732">
        <v>337.31358534213746</v>
      </c>
      <c r="Q924" s="732">
        <v>116.87684289299979</v>
      </c>
      <c r="R924" s="732">
        <v>16.833784564535641</v>
      </c>
      <c r="S924" s="683">
        <v>1382.26</v>
      </c>
      <c r="T924" s="683">
        <v>3605.49</v>
      </c>
      <c r="U924" s="683">
        <v>1940.98</v>
      </c>
      <c r="V924" s="683">
        <v>1114.97</v>
      </c>
      <c r="W924" s="683">
        <v>113.23</v>
      </c>
      <c r="X924" s="683">
        <v>565.83000000000004</v>
      </c>
      <c r="Y924" s="683">
        <v>1048.0899999999999</v>
      </c>
      <c r="Z924" s="683">
        <v>310.85000000000002</v>
      </c>
      <c r="AA924" s="683">
        <v>17.989999999999998</v>
      </c>
      <c r="AB924" s="683">
        <v>1098.76</v>
      </c>
      <c r="AC924" s="702">
        <v>600.22</v>
      </c>
      <c r="AD924" s="702">
        <v>682.79</v>
      </c>
      <c r="AE924" s="732"/>
      <c r="AF924" s="732"/>
      <c r="AG924" s="732"/>
      <c r="AH924" s="732"/>
      <c r="AI924" s="732"/>
      <c r="AJ924" s="732"/>
      <c r="AK924" s="732"/>
      <c r="AL924" s="732"/>
      <c r="AM924" s="732"/>
      <c r="AN924" s="732"/>
      <c r="AO924" s="732"/>
      <c r="AP924" s="732"/>
      <c r="AQ924" s="732"/>
      <c r="AR924" s="732"/>
      <c r="AS924" s="732"/>
      <c r="AT924" s="732"/>
      <c r="AU924" s="732"/>
      <c r="AV924" s="732"/>
      <c r="AW924" s="732"/>
      <c r="AX924" s="732"/>
      <c r="AY924" s="732"/>
      <c r="AZ924" s="732"/>
      <c r="BA924" s="732"/>
      <c r="BB924" s="732"/>
      <c r="BC924" s="732"/>
      <c r="BD924" s="732"/>
      <c r="BE924" s="732"/>
      <c r="BF924" s="732"/>
      <c r="BG924" s="732"/>
      <c r="BH924" s="732"/>
      <c r="BI924" s="732"/>
      <c r="BJ924" s="732"/>
      <c r="BK924" s="732"/>
      <c r="BL924" s="732"/>
      <c r="BM924" s="732"/>
      <c r="BN924" s="732"/>
      <c r="BO924" s="732"/>
      <c r="BP924" s="732"/>
      <c r="BQ924" s="732"/>
      <c r="BR924" s="732"/>
      <c r="BS924" s="732"/>
      <c r="BT924" s="732"/>
      <c r="BU924" s="732"/>
      <c r="BV924" s="732"/>
      <c r="BW924" s="732"/>
      <c r="BX924" s="732"/>
      <c r="BY924" s="732"/>
      <c r="BZ924" s="732"/>
      <c r="CA924" s="732"/>
    </row>
    <row r="925" spans="1:79" hidden="1" outlineLevel="1" x14ac:dyDescent="0.35">
      <c r="A925" s="574"/>
      <c r="B925" s="574"/>
      <c r="C925" s="574"/>
      <c r="D925" s="574"/>
      <c r="E925" s="574"/>
      <c r="F925" s="673" t="s">
        <v>623</v>
      </c>
      <c r="G925" s="680">
        <f>SUM(G923:G924)</f>
        <v>178.20496703092104</v>
      </c>
      <c r="H925" s="680">
        <f t="shared" ref="H925:BO925" si="357">SUM(H923:H924)</f>
        <v>93.435277393259852</v>
      </c>
      <c r="I925" s="680">
        <f t="shared" si="357"/>
        <v>101.68417244712037</v>
      </c>
      <c r="J925" s="680">
        <f t="shared" si="357"/>
        <v>238.64825017097661</v>
      </c>
      <c r="K925" s="680">
        <f t="shared" si="357"/>
        <v>361.69809729468147</v>
      </c>
      <c r="L925" s="680">
        <f t="shared" si="357"/>
        <v>509.73025612929723</v>
      </c>
      <c r="M925" s="680">
        <f t="shared" si="357"/>
        <v>353.04517946267015</v>
      </c>
      <c r="N925" s="680">
        <f t="shared" si="357"/>
        <v>225.14555521442574</v>
      </c>
      <c r="O925" s="680">
        <f t="shared" si="357"/>
        <v>373.61621707929652</v>
      </c>
      <c r="P925" s="680">
        <f t="shared" si="357"/>
        <v>337.31358534213746</v>
      </c>
      <c r="Q925" s="680">
        <f t="shared" si="357"/>
        <v>116.87684289299979</v>
      </c>
      <c r="R925" s="680">
        <f t="shared" si="357"/>
        <v>16.833784564535641</v>
      </c>
      <c r="S925" s="694">
        <f t="shared" ref="S925:AA925" si="358">ROUND(SUM(S922:S924),5)</f>
        <v>1382.26</v>
      </c>
      <c r="T925" s="694">
        <f t="shared" si="358"/>
        <v>3605.49</v>
      </c>
      <c r="U925" s="694">
        <f t="shared" si="358"/>
        <v>1940.98</v>
      </c>
      <c r="V925" s="694">
        <f t="shared" si="358"/>
        <v>1114.97</v>
      </c>
      <c r="W925" s="694">
        <f t="shared" si="358"/>
        <v>113.23</v>
      </c>
      <c r="X925" s="694">
        <f t="shared" si="358"/>
        <v>565.83000000000004</v>
      </c>
      <c r="Y925" s="694">
        <f t="shared" si="358"/>
        <v>1048.0899999999999</v>
      </c>
      <c r="Z925" s="694">
        <f t="shared" si="358"/>
        <v>310.85000000000002</v>
      </c>
      <c r="AA925" s="694">
        <f t="shared" si="358"/>
        <v>17.989999999999998</v>
      </c>
      <c r="AB925" s="694">
        <f>ROUND(SUM(AB922:AB924),5)</f>
        <v>1098.76</v>
      </c>
      <c r="AC925" s="694">
        <f>ROUND(SUM(AC922:AC924),5)</f>
        <v>600.22</v>
      </c>
      <c r="AD925" s="694">
        <f>ROUND(SUM(AD922:AD924),5)</f>
        <v>682.79</v>
      </c>
      <c r="AE925" s="680">
        <f t="shared" si="357"/>
        <v>0</v>
      </c>
      <c r="AF925" s="680">
        <f t="shared" si="357"/>
        <v>0</v>
      </c>
      <c r="AG925" s="680">
        <f t="shared" si="357"/>
        <v>0</v>
      </c>
      <c r="AH925" s="680">
        <f t="shared" si="357"/>
        <v>0</v>
      </c>
      <c r="AI925" s="680">
        <f t="shared" si="357"/>
        <v>0</v>
      </c>
      <c r="AJ925" s="680">
        <f t="shared" si="357"/>
        <v>0</v>
      </c>
      <c r="AK925" s="680">
        <f t="shared" si="357"/>
        <v>0</v>
      </c>
      <c r="AL925" s="680">
        <f t="shared" si="357"/>
        <v>0</v>
      </c>
      <c r="AM925" s="680">
        <f t="shared" si="357"/>
        <v>0</v>
      </c>
      <c r="AN925" s="680">
        <f t="shared" si="357"/>
        <v>0</v>
      </c>
      <c r="AO925" s="680">
        <f t="shared" si="357"/>
        <v>0</v>
      </c>
      <c r="AP925" s="680">
        <f t="shared" si="357"/>
        <v>0</v>
      </c>
      <c r="AQ925" s="680">
        <f t="shared" si="357"/>
        <v>0</v>
      </c>
      <c r="AR925" s="680">
        <f t="shared" si="357"/>
        <v>0</v>
      </c>
      <c r="AS925" s="680">
        <f t="shared" si="357"/>
        <v>0</v>
      </c>
      <c r="AT925" s="680">
        <f t="shared" si="357"/>
        <v>0</v>
      </c>
      <c r="AU925" s="680">
        <f t="shared" si="357"/>
        <v>0</v>
      </c>
      <c r="AV925" s="680">
        <f t="shared" si="357"/>
        <v>0</v>
      </c>
      <c r="AW925" s="680">
        <f t="shared" si="357"/>
        <v>0</v>
      </c>
      <c r="AX925" s="680">
        <f t="shared" si="357"/>
        <v>0</v>
      </c>
      <c r="AY925" s="680">
        <f t="shared" si="357"/>
        <v>0</v>
      </c>
      <c r="AZ925" s="680">
        <f t="shared" si="357"/>
        <v>0</v>
      </c>
      <c r="BA925" s="680">
        <f t="shared" si="357"/>
        <v>0</v>
      </c>
      <c r="BB925" s="680">
        <f t="shared" si="357"/>
        <v>0</v>
      </c>
      <c r="BC925" s="680">
        <f t="shared" si="357"/>
        <v>0</v>
      </c>
      <c r="BD925" s="680">
        <f t="shared" si="357"/>
        <v>0</v>
      </c>
      <c r="BE925" s="680">
        <f t="shared" si="357"/>
        <v>0</v>
      </c>
      <c r="BF925" s="680">
        <f t="shared" si="357"/>
        <v>0</v>
      </c>
      <c r="BG925" s="680">
        <f t="shared" si="357"/>
        <v>0</v>
      </c>
      <c r="BH925" s="680">
        <f t="shared" si="357"/>
        <v>0</v>
      </c>
      <c r="BI925" s="680">
        <f t="shared" si="357"/>
        <v>0</v>
      </c>
      <c r="BJ925" s="680">
        <f t="shared" si="357"/>
        <v>0</v>
      </c>
      <c r="BK925" s="680">
        <f t="shared" si="357"/>
        <v>0</v>
      </c>
      <c r="BL925" s="680">
        <f t="shared" si="357"/>
        <v>0</v>
      </c>
      <c r="BM925" s="680">
        <f t="shared" si="357"/>
        <v>0</v>
      </c>
      <c r="BN925" s="680">
        <f t="shared" si="357"/>
        <v>0</v>
      </c>
      <c r="BO925" s="680">
        <f t="shared" si="357"/>
        <v>0</v>
      </c>
      <c r="BP925" s="680">
        <f t="shared" ref="BP925:CA925" si="359">SUM(BP923:BP924)</f>
        <v>0</v>
      </c>
      <c r="BQ925" s="680">
        <f t="shared" si="359"/>
        <v>0</v>
      </c>
      <c r="BR925" s="680">
        <f t="shared" si="359"/>
        <v>0</v>
      </c>
      <c r="BS925" s="680">
        <f t="shared" si="359"/>
        <v>0</v>
      </c>
      <c r="BT925" s="680">
        <f t="shared" si="359"/>
        <v>0</v>
      </c>
      <c r="BU925" s="680">
        <f t="shared" si="359"/>
        <v>0</v>
      </c>
      <c r="BV925" s="680">
        <f t="shared" si="359"/>
        <v>0</v>
      </c>
      <c r="BW925" s="680">
        <f t="shared" si="359"/>
        <v>0</v>
      </c>
      <c r="BX925" s="680">
        <f t="shared" si="359"/>
        <v>0</v>
      </c>
      <c r="BY925" s="680">
        <f t="shared" si="359"/>
        <v>0</v>
      </c>
      <c r="BZ925" s="680">
        <f t="shared" si="359"/>
        <v>0</v>
      </c>
      <c r="CA925" s="680">
        <f t="shared" si="359"/>
        <v>0</v>
      </c>
    </row>
    <row r="926" spans="1:79" hidden="1" outlineLevel="1" x14ac:dyDescent="0.35">
      <c r="F926" s="674" t="s">
        <v>599</v>
      </c>
      <c r="G926" s="735">
        <v>0</v>
      </c>
      <c r="H926" s="735"/>
      <c r="I926" s="735"/>
      <c r="J926" s="735"/>
      <c r="K926" s="735">
        <v>12.548244970721397</v>
      </c>
      <c r="L926" s="735">
        <v>79.841114688873347</v>
      </c>
      <c r="M926" s="735">
        <v>56.796983779820621</v>
      </c>
      <c r="N926" s="735">
        <v>0.55236781505817556</v>
      </c>
      <c r="O926" s="735"/>
      <c r="P926" s="732">
        <v>337.50966387588028</v>
      </c>
      <c r="Q926" s="732">
        <v>35.380835518952239</v>
      </c>
      <c r="R926" s="732">
        <v>130.49459721699779</v>
      </c>
      <c r="S926" s="683">
        <v>1986.2</v>
      </c>
      <c r="T926" s="683">
        <v>0</v>
      </c>
      <c r="U926" s="683">
        <v>-825</v>
      </c>
      <c r="V926" s="683">
        <v>0</v>
      </c>
      <c r="W926" s="683">
        <v>0</v>
      </c>
      <c r="X926" s="683">
        <v>0</v>
      </c>
      <c r="Y926" s="683">
        <v>0</v>
      </c>
      <c r="Z926" s="683">
        <v>0</v>
      </c>
      <c r="AA926" s="683">
        <v>0</v>
      </c>
      <c r="AB926" s="683">
        <v>0</v>
      </c>
      <c r="AC926" s="702">
        <v>0</v>
      </c>
      <c r="AD926" s="702">
        <v>13200</v>
      </c>
      <c r="AE926" s="732"/>
      <c r="AF926" s="732"/>
      <c r="AG926" s="732"/>
      <c r="AH926" s="732"/>
      <c r="AI926" s="732"/>
      <c r="AJ926" s="732"/>
      <c r="AK926" s="732"/>
      <c r="AL926" s="732"/>
      <c r="AM926" s="732"/>
      <c r="AN926" s="732"/>
      <c r="AO926" s="732"/>
      <c r="AP926" s="732"/>
      <c r="AQ926" s="732"/>
      <c r="AR926" s="732"/>
      <c r="AS926" s="732"/>
      <c r="AT926" s="732"/>
      <c r="AU926" s="732"/>
      <c r="AV926" s="732"/>
      <c r="AW926" s="732"/>
      <c r="AX926" s="732"/>
      <c r="AY926" s="732"/>
      <c r="AZ926" s="732"/>
      <c r="BA926" s="732"/>
      <c r="BB926" s="732"/>
      <c r="BC926" s="732"/>
      <c r="BD926" s="732"/>
      <c r="BE926" s="732"/>
      <c r="BF926" s="732"/>
      <c r="BG926" s="732"/>
      <c r="BH926" s="732"/>
      <c r="BI926" s="732"/>
      <c r="BJ926" s="732"/>
      <c r="BK926" s="732"/>
      <c r="BL926" s="732"/>
      <c r="BM926" s="732"/>
      <c r="BN926" s="732"/>
      <c r="BO926" s="732"/>
      <c r="BP926" s="732"/>
      <c r="BQ926" s="732"/>
      <c r="BR926" s="732"/>
      <c r="BS926" s="732"/>
      <c r="BT926" s="732"/>
      <c r="BU926" s="732"/>
      <c r="BV926" s="732"/>
      <c r="BW926" s="732"/>
      <c r="BX926" s="732"/>
      <c r="BY926" s="732"/>
      <c r="BZ926" s="732"/>
      <c r="CA926" s="732"/>
    </row>
    <row r="927" spans="1:79" hidden="1" outlineLevel="1" x14ac:dyDescent="0.35">
      <c r="F927" s="674" t="s">
        <v>600</v>
      </c>
      <c r="G927" s="735">
        <v>4.9900685449402831</v>
      </c>
      <c r="H927" s="735">
        <v>2.6459221476603156</v>
      </c>
      <c r="I927" s="735"/>
      <c r="J927" s="735">
        <v>5.5630395172448752</v>
      </c>
      <c r="K927" s="735">
        <v>58.749550654649759</v>
      </c>
      <c r="L927" s="735">
        <v>2.1385696206845415</v>
      </c>
      <c r="M927" s="735"/>
      <c r="N927" s="735">
        <v>2.5095139869985958</v>
      </c>
      <c r="O927" s="735">
        <v>0.7390027481414555</v>
      </c>
      <c r="P927" s="732">
        <v>11.61449056726843</v>
      </c>
      <c r="Q927" s="732">
        <v>48.34422948008816</v>
      </c>
      <c r="R927" s="732">
        <v>13.785746536198008</v>
      </c>
      <c r="S927" s="683">
        <v>90</v>
      </c>
      <c r="T927" s="683">
        <v>0</v>
      </c>
      <c r="U927" s="683">
        <v>0</v>
      </c>
      <c r="V927" s="683">
        <v>23.81</v>
      </c>
      <c r="W927" s="683">
        <v>0</v>
      </c>
      <c r="X927" s="683">
        <v>0</v>
      </c>
      <c r="Y927" s="683">
        <v>0</v>
      </c>
      <c r="Z927" s="683">
        <v>0</v>
      </c>
      <c r="AA927" s="683">
        <v>0</v>
      </c>
      <c r="AB927" s="683">
        <v>0</v>
      </c>
      <c r="AC927" s="702">
        <v>140.5</v>
      </c>
      <c r="AD927" s="702">
        <v>0</v>
      </c>
      <c r="AE927" s="732"/>
      <c r="AF927" s="732"/>
      <c r="AG927" s="732"/>
      <c r="AH927" s="732"/>
      <c r="AI927" s="732"/>
      <c r="AJ927" s="732"/>
      <c r="AK927" s="732"/>
      <c r="AL927" s="732"/>
      <c r="AM927" s="732"/>
      <c r="AN927" s="732"/>
      <c r="AO927" s="732"/>
      <c r="AP927" s="732"/>
      <c r="AQ927" s="732"/>
      <c r="AR927" s="732"/>
      <c r="AS927" s="732"/>
      <c r="AT927" s="732"/>
      <c r="AU927" s="732"/>
      <c r="AV927" s="732"/>
      <c r="AW927" s="732"/>
      <c r="AX927" s="732"/>
      <c r="AY927" s="732"/>
      <c r="AZ927" s="732"/>
      <c r="BA927" s="732"/>
      <c r="BB927" s="732"/>
      <c r="BC927" s="732"/>
      <c r="BD927" s="732"/>
      <c r="BE927" s="732"/>
      <c r="BF927" s="732"/>
      <c r="BG927" s="732"/>
      <c r="BH927" s="732"/>
      <c r="BI927" s="732"/>
      <c r="BJ927" s="732"/>
      <c r="BK927" s="732"/>
      <c r="BL927" s="732"/>
      <c r="BM927" s="732"/>
      <c r="BN927" s="732"/>
      <c r="BO927" s="732"/>
      <c r="BP927" s="732"/>
      <c r="BQ927" s="732"/>
      <c r="BR927" s="732"/>
      <c r="BS927" s="732"/>
      <c r="BT927" s="732"/>
      <c r="BU927" s="732"/>
      <c r="BV927" s="732"/>
      <c r="BW927" s="732"/>
      <c r="BX927" s="732"/>
      <c r="BY927" s="732"/>
      <c r="BZ927" s="732"/>
      <c r="CA927" s="732"/>
    </row>
    <row r="928" spans="1:79" hidden="1" outlineLevel="1" x14ac:dyDescent="0.35">
      <c r="F928" s="674" t="s">
        <v>601</v>
      </c>
      <c r="G928" s="735">
        <v>0</v>
      </c>
      <c r="H928" s="735"/>
      <c r="I928" s="735"/>
      <c r="J928" s="735">
        <v>132.79943183879004</v>
      </c>
      <c r="K928" s="735">
        <v>12.529450794529602</v>
      </c>
      <c r="L928" s="735"/>
      <c r="M928" s="735"/>
      <c r="N928" s="735"/>
      <c r="O928" s="735">
        <v>11.033422869515912</v>
      </c>
      <c r="P928" s="732">
        <v>0.21663515421589857</v>
      </c>
      <c r="Q928" s="732">
        <v>17.226076764688106</v>
      </c>
      <c r="R928" s="732"/>
      <c r="S928" s="683">
        <v>0</v>
      </c>
      <c r="T928" s="683">
        <v>0</v>
      </c>
      <c r="U928" s="683">
        <v>0</v>
      </c>
      <c r="V928" s="683">
        <v>502.62</v>
      </c>
      <c r="W928" s="683">
        <v>0</v>
      </c>
      <c r="X928" s="683">
        <v>0</v>
      </c>
      <c r="Y928" s="683">
        <v>0</v>
      </c>
      <c r="Z928" s="683">
        <v>446.1</v>
      </c>
      <c r="AA928" s="683">
        <v>0</v>
      </c>
      <c r="AB928" s="683">
        <v>0</v>
      </c>
      <c r="AC928" s="681">
        <v>246.6</v>
      </c>
      <c r="AD928" s="681">
        <v>0</v>
      </c>
      <c r="AE928" s="732"/>
      <c r="AF928" s="732"/>
      <c r="AG928" s="732"/>
      <c r="AH928" s="732"/>
      <c r="AI928" s="732"/>
      <c r="AJ928" s="732"/>
      <c r="AK928" s="732"/>
      <c r="AL928" s="732"/>
      <c r="AM928" s="732"/>
      <c r="AN928" s="732"/>
      <c r="AO928" s="732"/>
      <c r="AP928" s="732"/>
      <c r="AQ928" s="732"/>
      <c r="AR928" s="732"/>
      <c r="AS928" s="732"/>
      <c r="AT928" s="732"/>
      <c r="AU928" s="732"/>
      <c r="AV928" s="732"/>
      <c r="AW928" s="732"/>
      <c r="AX928" s="732"/>
      <c r="AY928" s="732"/>
      <c r="AZ928" s="732"/>
      <c r="BA928" s="732"/>
      <c r="BB928" s="732"/>
      <c r="BC928" s="732"/>
      <c r="BD928" s="732"/>
      <c r="BE928" s="732"/>
      <c r="BF928" s="732"/>
      <c r="BG928" s="732"/>
      <c r="BH928" s="732"/>
      <c r="BI928" s="732"/>
      <c r="BJ928" s="732"/>
      <c r="BK928" s="732"/>
      <c r="BL928" s="732"/>
      <c r="BM928" s="732"/>
      <c r="BN928" s="732"/>
      <c r="BO928" s="732"/>
      <c r="BP928" s="732"/>
      <c r="BQ928" s="732"/>
      <c r="BR928" s="732"/>
      <c r="BS928" s="732"/>
      <c r="BT928" s="732"/>
      <c r="BU928" s="732"/>
      <c r="BV928" s="732"/>
      <c r="BW928" s="732"/>
      <c r="BX928" s="732"/>
      <c r="BY928" s="732"/>
      <c r="BZ928" s="732"/>
      <c r="CA928" s="732"/>
    </row>
    <row r="929" spans="1:79" s="709" customFormat="1" hidden="1" outlineLevel="1" x14ac:dyDescent="0.35">
      <c r="F929" s="717" t="s">
        <v>602</v>
      </c>
      <c r="G929" s="750"/>
      <c r="H929" s="750"/>
      <c r="I929" s="750"/>
      <c r="J929" s="750"/>
      <c r="K929" s="750"/>
      <c r="L929" s="750"/>
      <c r="M929" s="750"/>
      <c r="N929" s="750"/>
      <c r="O929" s="750"/>
      <c r="P929" s="751"/>
      <c r="Q929" s="751"/>
      <c r="R929" s="751"/>
      <c r="S929" s="713"/>
      <c r="T929" s="713"/>
      <c r="U929" s="713"/>
      <c r="V929" s="713"/>
      <c r="W929" s="713"/>
      <c r="X929" s="713"/>
      <c r="Y929" s="713"/>
      <c r="Z929" s="713"/>
      <c r="AA929" s="713"/>
      <c r="AB929" s="713"/>
      <c r="AC929" s="721"/>
      <c r="AD929" s="721"/>
      <c r="AE929" s="751"/>
      <c r="AF929" s="751"/>
      <c r="AG929" s="751"/>
      <c r="AH929" s="751"/>
      <c r="AI929" s="751"/>
      <c r="AJ929" s="751"/>
      <c r="AK929" s="751"/>
      <c r="AL929" s="751"/>
      <c r="AM929" s="751"/>
      <c r="AN929" s="751"/>
      <c r="AO929" s="751"/>
      <c r="AP929" s="751"/>
      <c r="AQ929" s="751"/>
      <c r="AR929" s="751"/>
      <c r="AS929" s="751"/>
      <c r="AT929" s="751"/>
      <c r="AU929" s="751"/>
      <c r="AV929" s="751"/>
      <c r="AW929" s="751"/>
      <c r="AX929" s="751"/>
      <c r="AY929" s="751"/>
      <c r="AZ929" s="751"/>
      <c r="BA929" s="751"/>
      <c r="BB929" s="751"/>
      <c r="BC929" s="751"/>
      <c r="BD929" s="751"/>
      <c r="BE929" s="751"/>
      <c r="BF929" s="751"/>
      <c r="BG929" s="751"/>
      <c r="BH929" s="751"/>
      <c r="BI929" s="751"/>
      <c r="BJ929" s="751"/>
      <c r="BK929" s="751"/>
      <c r="BL929" s="751"/>
      <c r="BM929" s="751"/>
      <c r="BN929" s="751"/>
      <c r="BO929" s="751"/>
      <c r="BP929" s="751"/>
      <c r="BQ929" s="751"/>
      <c r="BR929" s="751"/>
      <c r="BS929" s="751"/>
      <c r="BT929" s="751"/>
      <c r="BU929" s="751"/>
      <c r="BV929" s="751"/>
      <c r="BW929" s="751"/>
      <c r="BX929" s="751"/>
      <c r="BY929" s="751"/>
      <c r="BZ929" s="751"/>
      <c r="CA929" s="751"/>
    </row>
    <row r="930" spans="1:79" hidden="1" outlineLevel="1" x14ac:dyDescent="0.35">
      <c r="A930" s="574"/>
      <c r="B930" s="574"/>
      <c r="C930" s="574"/>
      <c r="D930" s="574"/>
      <c r="E930" s="574"/>
      <c r="F930" s="672" t="s">
        <v>653</v>
      </c>
      <c r="G930" s="735"/>
      <c r="H930" s="735"/>
      <c r="I930" s="735"/>
      <c r="J930" s="735"/>
      <c r="K930" s="735"/>
      <c r="L930" s="735"/>
      <c r="M930" s="735"/>
      <c r="N930" s="735"/>
      <c r="O930" s="735"/>
      <c r="P930" s="732"/>
      <c r="Q930" s="732"/>
      <c r="R930" s="732"/>
      <c r="S930" s="692">
        <v>0</v>
      </c>
      <c r="T930" s="692">
        <v>0</v>
      </c>
      <c r="U930" s="692">
        <v>0</v>
      </c>
      <c r="V930" s="692">
        <v>0</v>
      </c>
      <c r="W930" s="692">
        <v>0</v>
      </c>
      <c r="X930" s="692">
        <v>0</v>
      </c>
      <c r="Y930" s="692">
        <v>0</v>
      </c>
      <c r="Z930" s="692">
        <v>0</v>
      </c>
      <c r="AA930" s="692">
        <v>0</v>
      </c>
      <c r="AB930" s="692">
        <v>0</v>
      </c>
      <c r="AC930" s="703">
        <v>0</v>
      </c>
      <c r="AD930" s="703">
        <v>0</v>
      </c>
      <c r="AE930" s="732"/>
      <c r="AF930" s="732"/>
      <c r="AG930" s="732"/>
      <c r="AH930" s="732"/>
      <c r="AI930" s="732"/>
      <c r="AJ930" s="732"/>
      <c r="AK930" s="732"/>
      <c r="AL930" s="732"/>
      <c r="AM930" s="732"/>
      <c r="AN930" s="732"/>
      <c r="AO930" s="732"/>
      <c r="AP930" s="732"/>
      <c r="AQ930" s="732"/>
      <c r="AR930" s="732"/>
      <c r="AS930" s="732"/>
      <c r="AT930" s="732"/>
      <c r="AU930" s="732"/>
      <c r="AV930" s="732"/>
      <c r="AW930" s="732"/>
      <c r="AX930" s="732"/>
      <c r="AY930" s="732"/>
      <c r="AZ930" s="732"/>
      <c r="BA930" s="732"/>
      <c r="BB930" s="732"/>
      <c r="BC930" s="732"/>
      <c r="BD930" s="732"/>
      <c r="BE930" s="732"/>
      <c r="BF930" s="732"/>
      <c r="BG930" s="732"/>
      <c r="BH930" s="732"/>
      <c r="BI930" s="732"/>
      <c r="BJ930" s="732"/>
      <c r="BK930" s="732"/>
      <c r="BL930" s="732"/>
      <c r="BM930" s="732"/>
      <c r="BN930" s="732"/>
      <c r="BO930" s="732"/>
      <c r="BP930" s="732"/>
      <c r="BQ930" s="732"/>
      <c r="BR930" s="732"/>
      <c r="BS930" s="732"/>
      <c r="BT930" s="732"/>
      <c r="BU930" s="732"/>
      <c r="BV930" s="732"/>
      <c r="BW930" s="732"/>
      <c r="BX930" s="732"/>
      <c r="BY930" s="732"/>
      <c r="BZ930" s="732"/>
      <c r="CA930" s="732"/>
    </row>
    <row r="931" spans="1:79" hidden="1" outlineLevel="1" x14ac:dyDescent="0.35">
      <c r="A931" s="574"/>
      <c r="B931" s="574"/>
      <c r="C931" s="574"/>
      <c r="D931" s="574"/>
      <c r="E931" s="574"/>
      <c r="F931" s="672" t="s">
        <v>624</v>
      </c>
      <c r="G931" s="735"/>
      <c r="H931" s="735"/>
      <c r="I931" s="735"/>
      <c r="J931" s="735"/>
      <c r="K931" s="735"/>
      <c r="L931" s="735"/>
      <c r="M931" s="735"/>
      <c r="N931" s="735"/>
      <c r="O931" s="735"/>
      <c r="P931" s="732"/>
      <c r="Q931" s="732"/>
      <c r="R931" s="732"/>
      <c r="S931" s="683">
        <v>0</v>
      </c>
      <c r="T931" s="683">
        <v>0</v>
      </c>
      <c r="U931" s="683">
        <v>0</v>
      </c>
      <c r="V931" s="683">
        <v>0</v>
      </c>
      <c r="W931" s="683">
        <v>0</v>
      </c>
      <c r="X931" s="683">
        <v>0</v>
      </c>
      <c r="Y931" s="683">
        <v>0</v>
      </c>
      <c r="Z931" s="683">
        <v>0</v>
      </c>
      <c r="AA931" s="683">
        <v>0</v>
      </c>
      <c r="AB931" s="683">
        <v>0</v>
      </c>
      <c r="AC931" s="698">
        <v>0</v>
      </c>
      <c r="AD931" s="698">
        <v>0</v>
      </c>
      <c r="AE931" s="732"/>
      <c r="AF931" s="732"/>
      <c r="AG931" s="732"/>
      <c r="AH931" s="732"/>
      <c r="AI931" s="732"/>
      <c r="AJ931" s="732"/>
      <c r="AK931" s="732"/>
      <c r="AL931" s="732"/>
      <c r="AM931" s="732"/>
      <c r="AN931" s="732"/>
      <c r="AO931" s="732"/>
      <c r="AP931" s="732"/>
      <c r="AQ931" s="732"/>
      <c r="AR931" s="732"/>
      <c r="AS931" s="732"/>
      <c r="AT931" s="732"/>
      <c r="AU931" s="732"/>
      <c r="AV931" s="732"/>
      <c r="AW931" s="732"/>
      <c r="AX931" s="732"/>
      <c r="AY931" s="732"/>
      <c r="AZ931" s="732"/>
      <c r="BA931" s="732"/>
      <c r="BB931" s="732"/>
      <c r="BC931" s="732"/>
      <c r="BD931" s="732"/>
      <c r="BE931" s="732"/>
      <c r="BF931" s="732"/>
      <c r="BG931" s="732"/>
      <c r="BH931" s="732"/>
      <c r="BI931" s="732"/>
      <c r="BJ931" s="732"/>
      <c r="BK931" s="732"/>
      <c r="BL931" s="732"/>
      <c r="BM931" s="732"/>
      <c r="BN931" s="732"/>
      <c r="BO931" s="732"/>
      <c r="BP931" s="732"/>
      <c r="BQ931" s="732"/>
      <c r="BR931" s="732"/>
      <c r="BS931" s="732"/>
      <c r="BT931" s="732"/>
      <c r="BU931" s="732"/>
      <c r="BV931" s="732"/>
      <c r="BW931" s="732"/>
      <c r="BX931" s="732"/>
      <c r="BY931" s="732"/>
      <c r="BZ931" s="732"/>
      <c r="CA931" s="732"/>
    </row>
    <row r="932" spans="1:79" hidden="1" outlineLevel="1" x14ac:dyDescent="0.35">
      <c r="A932" s="574"/>
      <c r="B932" s="574"/>
      <c r="C932" s="574"/>
      <c r="D932" s="574"/>
      <c r="E932" s="574"/>
      <c r="F932" s="672" t="s">
        <v>670</v>
      </c>
      <c r="G932" s="735"/>
      <c r="H932" s="735"/>
      <c r="I932" s="735"/>
      <c r="J932" s="735"/>
      <c r="K932" s="735"/>
      <c r="L932" s="735"/>
      <c r="M932" s="735"/>
      <c r="N932" s="735"/>
      <c r="O932" s="735"/>
      <c r="P932" s="732"/>
      <c r="Q932" s="732"/>
      <c r="R932" s="732"/>
      <c r="S932" s="683">
        <v>0</v>
      </c>
      <c r="T932" s="683">
        <v>0</v>
      </c>
      <c r="U932" s="683">
        <v>0</v>
      </c>
      <c r="V932" s="683">
        <v>0</v>
      </c>
      <c r="W932" s="683">
        <v>0</v>
      </c>
      <c r="X932" s="683">
        <v>0</v>
      </c>
      <c r="Y932" s="683">
        <v>0</v>
      </c>
      <c r="Z932" s="683">
        <v>0</v>
      </c>
      <c r="AA932" s="683">
        <v>0</v>
      </c>
      <c r="AB932" s="683">
        <v>0</v>
      </c>
      <c r="AC932" s="698">
        <v>11937.5</v>
      </c>
      <c r="AD932" s="698">
        <v>0</v>
      </c>
      <c r="AE932" s="732"/>
      <c r="AF932" s="732"/>
      <c r="AG932" s="732"/>
      <c r="AH932" s="732"/>
      <c r="AI932" s="732"/>
      <c r="AJ932" s="732"/>
      <c r="AK932" s="732"/>
      <c r="AL932" s="732"/>
      <c r="AM932" s="732"/>
      <c r="AN932" s="732"/>
      <c r="AO932" s="732"/>
      <c r="AP932" s="732"/>
      <c r="AQ932" s="732"/>
      <c r="AR932" s="732"/>
      <c r="AS932" s="732"/>
      <c r="AT932" s="732"/>
      <c r="AU932" s="732"/>
      <c r="AV932" s="732"/>
      <c r="AW932" s="732"/>
      <c r="AX932" s="732"/>
      <c r="AY932" s="732"/>
      <c r="AZ932" s="732"/>
      <c r="BA932" s="732"/>
      <c r="BB932" s="732"/>
      <c r="BC932" s="732"/>
      <c r="BD932" s="732"/>
      <c r="BE932" s="732"/>
      <c r="BF932" s="732"/>
      <c r="BG932" s="732"/>
      <c r="BH932" s="732"/>
      <c r="BI932" s="732"/>
      <c r="BJ932" s="732"/>
      <c r="BK932" s="732"/>
      <c r="BL932" s="732"/>
      <c r="BM932" s="732"/>
      <c r="BN932" s="732"/>
      <c r="BO932" s="732"/>
      <c r="BP932" s="732"/>
      <c r="BQ932" s="732"/>
      <c r="BR932" s="732"/>
      <c r="BS932" s="732"/>
      <c r="BT932" s="732"/>
      <c r="BU932" s="732"/>
      <c r="BV932" s="732"/>
      <c r="BW932" s="732"/>
      <c r="BX932" s="732"/>
      <c r="BY932" s="732"/>
      <c r="BZ932" s="732"/>
      <c r="CA932" s="732"/>
    </row>
    <row r="933" spans="1:79" hidden="1" outlineLevel="1" x14ac:dyDescent="0.35">
      <c r="A933" s="574"/>
      <c r="B933" s="574"/>
      <c r="C933" s="574"/>
      <c r="D933" s="574"/>
      <c r="E933" s="574"/>
      <c r="F933" s="672" t="s">
        <v>625</v>
      </c>
      <c r="G933" s="735"/>
      <c r="H933" s="735"/>
      <c r="I933" s="735"/>
      <c r="J933" s="735"/>
      <c r="K933" s="735"/>
      <c r="L933" s="735"/>
      <c r="M933" s="735"/>
      <c r="N933" s="735"/>
      <c r="O933" s="735"/>
      <c r="P933" s="732"/>
      <c r="Q933" s="732"/>
      <c r="R933" s="732"/>
      <c r="S933" s="683">
        <v>0</v>
      </c>
      <c r="T933" s="683">
        <v>0</v>
      </c>
      <c r="U933" s="683">
        <v>0</v>
      </c>
      <c r="V933" s="683">
        <v>0</v>
      </c>
      <c r="W933" s="683">
        <v>0</v>
      </c>
      <c r="X933" s="683">
        <v>0</v>
      </c>
      <c r="Y933" s="683">
        <v>0</v>
      </c>
      <c r="Z933" s="683">
        <v>0</v>
      </c>
      <c r="AA933" s="683">
        <v>0</v>
      </c>
      <c r="AB933" s="683">
        <v>0</v>
      </c>
      <c r="AC933" s="698">
        <v>0</v>
      </c>
      <c r="AD933" s="698">
        <v>11564</v>
      </c>
      <c r="AE933" s="732"/>
      <c r="AF933" s="732"/>
      <c r="AG933" s="732"/>
      <c r="AH933" s="732"/>
      <c r="AI933" s="732"/>
      <c r="AJ933" s="732"/>
      <c r="AK933" s="732"/>
      <c r="AL933" s="732"/>
      <c r="AM933" s="732"/>
      <c r="AN933" s="732"/>
      <c r="AO933" s="732"/>
      <c r="AP933" s="732"/>
      <c r="AQ933" s="732"/>
      <c r="AR933" s="732"/>
      <c r="AS933" s="732"/>
      <c r="AT933" s="732"/>
      <c r="AU933" s="732"/>
      <c r="AV933" s="732"/>
      <c r="AW933" s="732"/>
      <c r="AX933" s="732"/>
      <c r="AY933" s="732"/>
      <c r="AZ933" s="732"/>
      <c r="BA933" s="732"/>
      <c r="BB933" s="732"/>
      <c r="BC933" s="732"/>
      <c r="BD933" s="732"/>
      <c r="BE933" s="732"/>
      <c r="BF933" s="732"/>
      <c r="BG933" s="732"/>
      <c r="BH933" s="732"/>
      <c r="BI933" s="732"/>
      <c r="BJ933" s="732"/>
      <c r="BK933" s="732"/>
      <c r="BL933" s="732"/>
      <c r="BM933" s="732"/>
      <c r="BN933" s="732"/>
      <c r="BO933" s="732"/>
      <c r="BP933" s="732"/>
      <c r="BQ933" s="732"/>
      <c r="BR933" s="732"/>
      <c r="BS933" s="732"/>
      <c r="BT933" s="732"/>
      <c r="BU933" s="732"/>
      <c r="BV933" s="732"/>
      <c r="BW933" s="732"/>
      <c r="BX933" s="732"/>
      <c r="BY933" s="732"/>
      <c r="BZ933" s="732"/>
      <c r="CA933" s="732"/>
    </row>
    <row r="934" spans="1:79" hidden="1" outlineLevel="1" x14ac:dyDescent="0.35">
      <c r="A934" s="574"/>
      <c r="B934" s="574"/>
      <c r="C934" s="574"/>
      <c r="D934" s="574"/>
      <c r="E934" s="574"/>
      <c r="F934" s="672" t="s">
        <v>654</v>
      </c>
      <c r="G934" s="735"/>
      <c r="H934" s="735"/>
      <c r="I934" s="735"/>
      <c r="J934" s="735"/>
      <c r="K934" s="735"/>
      <c r="L934" s="735"/>
      <c r="M934" s="735"/>
      <c r="N934" s="735"/>
      <c r="O934" s="735"/>
      <c r="P934" s="732"/>
      <c r="Q934" s="732"/>
      <c r="R934" s="732"/>
      <c r="S934" s="683">
        <v>0</v>
      </c>
      <c r="T934" s="683">
        <v>0</v>
      </c>
      <c r="U934" s="683">
        <v>0</v>
      </c>
      <c r="V934" s="683">
        <v>0</v>
      </c>
      <c r="W934" s="683">
        <v>0</v>
      </c>
      <c r="X934" s="683">
        <v>0</v>
      </c>
      <c r="Y934" s="683">
        <v>0</v>
      </c>
      <c r="Z934" s="683">
        <v>0</v>
      </c>
      <c r="AA934" s="683">
        <v>0</v>
      </c>
      <c r="AB934" s="683">
        <v>0</v>
      </c>
      <c r="AC934" s="698">
        <v>0</v>
      </c>
      <c r="AD934" s="698">
        <v>0</v>
      </c>
      <c r="AE934" s="732"/>
      <c r="AF934" s="732"/>
      <c r="AG934" s="732"/>
      <c r="AH934" s="732"/>
      <c r="AI934" s="732"/>
      <c r="AJ934" s="732"/>
      <c r="AK934" s="732"/>
      <c r="AL934" s="732"/>
      <c r="AM934" s="732"/>
      <c r="AN934" s="732"/>
      <c r="AO934" s="732"/>
      <c r="AP934" s="732"/>
      <c r="AQ934" s="732"/>
      <c r="AR934" s="732"/>
      <c r="AS934" s="732"/>
      <c r="AT934" s="732"/>
      <c r="AU934" s="732"/>
      <c r="AV934" s="732"/>
      <c r="AW934" s="732"/>
      <c r="AX934" s="732"/>
      <c r="AY934" s="732"/>
      <c r="AZ934" s="732"/>
      <c r="BA934" s="732"/>
      <c r="BB934" s="732"/>
      <c r="BC934" s="732"/>
      <c r="BD934" s="732"/>
      <c r="BE934" s="732"/>
      <c r="BF934" s="732"/>
      <c r="BG934" s="732"/>
      <c r="BH934" s="732"/>
      <c r="BI934" s="732"/>
      <c r="BJ934" s="732"/>
      <c r="BK934" s="732"/>
      <c r="BL934" s="732"/>
      <c r="BM934" s="732"/>
      <c r="BN934" s="732"/>
      <c r="BO934" s="732"/>
      <c r="BP934" s="732"/>
      <c r="BQ934" s="732"/>
      <c r="BR934" s="732"/>
      <c r="BS934" s="732"/>
      <c r="BT934" s="732"/>
      <c r="BU934" s="732"/>
      <c r="BV934" s="732"/>
      <c r="BW934" s="732"/>
      <c r="BX934" s="732"/>
      <c r="BY934" s="732"/>
      <c r="BZ934" s="732"/>
      <c r="CA934" s="732"/>
    </row>
    <row r="935" spans="1:79" hidden="1" outlineLevel="1" x14ac:dyDescent="0.35">
      <c r="A935" s="574"/>
      <c r="B935" s="574"/>
      <c r="C935" s="574"/>
      <c r="D935" s="574"/>
      <c r="E935" s="574"/>
      <c r="F935" s="672" t="s">
        <v>651</v>
      </c>
      <c r="G935" s="735"/>
      <c r="H935" s="735"/>
      <c r="I935" s="735"/>
      <c r="J935" s="735"/>
      <c r="K935" s="735"/>
      <c r="L935" s="735"/>
      <c r="M935" s="735"/>
      <c r="N935" s="735"/>
      <c r="O935" s="735"/>
      <c r="P935" s="732"/>
      <c r="Q935" s="732"/>
      <c r="R935" s="732"/>
      <c r="S935" s="700">
        <v>0</v>
      </c>
      <c r="T935" s="700">
        <v>0</v>
      </c>
      <c r="U935" s="700">
        <v>0</v>
      </c>
      <c r="V935" s="700">
        <v>0</v>
      </c>
      <c r="W935" s="700">
        <v>0</v>
      </c>
      <c r="X935" s="700">
        <v>0</v>
      </c>
      <c r="Y935" s="700">
        <v>0</v>
      </c>
      <c r="Z935" s="700">
        <v>0</v>
      </c>
      <c r="AA935" s="700">
        <v>0</v>
      </c>
      <c r="AB935" s="700">
        <v>0</v>
      </c>
      <c r="AC935" s="702">
        <v>0</v>
      </c>
      <c r="AD935" s="702">
        <v>0</v>
      </c>
      <c r="AE935" s="732"/>
      <c r="AF935" s="732"/>
      <c r="AG935" s="732"/>
      <c r="AH935" s="732"/>
      <c r="AI935" s="732"/>
      <c r="AJ935" s="732"/>
      <c r="AK935" s="732"/>
      <c r="AL935" s="732"/>
      <c r="AM935" s="732"/>
      <c r="AN935" s="732"/>
      <c r="AO935" s="732"/>
      <c r="AP935" s="732"/>
      <c r="AQ935" s="732"/>
      <c r="AR935" s="732"/>
      <c r="AS935" s="732"/>
      <c r="AT935" s="732"/>
      <c r="AU935" s="732"/>
      <c r="AV935" s="732"/>
      <c r="AW935" s="732"/>
      <c r="AX935" s="732"/>
      <c r="AY935" s="732"/>
      <c r="AZ935" s="732"/>
      <c r="BA935" s="732"/>
      <c r="BB935" s="732"/>
      <c r="BC935" s="732"/>
      <c r="BD935" s="732"/>
      <c r="BE935" s="732"/>
      <c r="BF935" s="732"/>
      <c r="BG935" s="732"/>
      <c r="BH935" s="732"/>
      <c r="BI935" s="732"/>
      <c r="BJ935" s="732"/>
      <c r="BK935" s="732"/>
      <c r="BL935" s="732"/>
      <c r="BM935" s="732"/>
      <c r="BN935" s="732"/>
      <c r="BO935" s="732"/>
      <c r="BP935" s="732"/>
      <c r="BQ935" s="732"/>
      <c r="BR935" s="732"/>
      <c r="BS935" s="732"/>
      <c r="BT935" s="732"/>
      <c r="BU935" s="732"/>
      <c r="BV935" s="732"/>
      <c r="BW935" s="732"/>
      <c r="BX935" s="732"/>
      <c r="BY935" s="732"/>
      <c r="BZ935" s="732"/>
      <c r="CA935" s="732"/>
    </row>
    <row r="936" spans="1:79" hidden="1" outlineLevel="1" x14ac:dyDescent="0.35">
      <c r="A936" s="574"/>
      <c r="B936" s="574"/>
      <c r="C936" s="574"/>
      <c r="D936" s="574"/>
      <c r="E936" s="574"/>
      <c r="F936" s="672" t="s">
        <v>896</v>
      </c>
      <c r="G936" s="735"/>
      <c r="H936" s="735"/>
      <c r="I936" s="735"/>
      <c r="J936" s="735"/>
      <c r="K936" s="735"/>
      <c r="L936" s="735"/>
      <c r="M936" s="735"/>
      <c r="N936" s="735"/>
      <c r="O936" s="735"/>
      <c r="P936" s="732"/>
      <c r="Q936" s="732"/>
      <c r="R936" s="732"/>
      <c r="S936" s="700">
        <v>0</v>
      </c>
      <c r="T936" s="700">
        <v>0</v>
      </c>
      <c r="U936" s="700">
        <v>0</v>
      </c>
      <c r="V936" s="700">
        <v>0</v>
      </c>
      <c r="W936" s="700">
        <v>0</v>
      </c>
      <c r="X936" s="700">
        <v>0</v>
      </c>
      <c r="Y936" s="700">
        <v>0</v>
      </c>
      <c r="Z936" s="700">
        <v>0</v>
      </c>
      <c r="AA936" s="700">
        <v>0</v>
      </c>
      <c r="AB936" s="700">
        <v>0</v>
      </c>
      <c r="AC936" s="702">
        <v>0</v>
      </c>
      <c r="AD936" s="702">
        <v>0</v>
      </c>
      <c r="AE936" s="732"/>
      <c r="AF936" s="732"/>
      <c r="AG936" s="732"/>
      <c r="AH936" s="732"/>
      <c r="AI936" s="732"/>
      <c r="AJ936" s="732"/>
      <c r="AK936" s="732"/>
      <c r="AL936" s="732"/>
      <c r="AM936" s="732"/>
      <c r="AN936" s="732"/>
      <c r="AO936" s="732"/>
      <c r="AP936" s="732"/>
      <c r="AQ936" s="732"/>
      <c r="AR936" s="732"/>
      <c r="AS936" s="732"/>
      <c r="AT936" s="732"/>
      <c r="AU936" s="732"/>
      <c r="AV936" s="732"/>
      <c r="AW936" s="732"/>
      <c r="AX936" s="732"/>
      <c r="AY936" s="732"/>
      <c r="AZ936" s="732"/>
      <c r="BA936" s="732"/>
      <c r="BB936" s="732"/>
      <c r="BC936" s="732"/>
      <c r="BD936" s="732"/>
      <c r="BE936" s="732"/>
      <c r="BF936" s="732"/>
      <c r="BG936" s="732"/>
      <c r="BH936" s="732"/>
      <c r="BI936" s="732"/>
      <c r="BJ936" s="732"/>
      <c r="BK936" s="732"/>
      <c r="BL936" s="732"/>
      <c r="BM936" s="732"/>
      <c r="BN936" s="732"/>
      <c r="BO936" s="732"/>
      <c r="BP936" s="732"/>
      <c r="BQ936" s="732"/>
      <c r="BR936" s="732"/>
      <c r="BS936" s="732"/>
      <c r="BT936" s="732"/>
      <c r="BU936" s="732"/>
      <c r="BV936" s="732"/>
      <c r="BW936" s="732"/>
      <c r="BX936" s="732"/>
      <c r="BY936" s="732"/>
      <c r="BZ936" s="732"/>
      <c r="CA936" s="732"/>
    </row>
    <row r="937" spans="1:79" hidden="1" outlineLevel="1" x14ac:dyDescent="0.35">
      <c r="A937" s="574"/>
      <c r="B937" s="574"/>
      <c r="C937" s="574"/>
      <c r="D937" s="574"/>
      <c r="E937" s="574"/>
      <c r="F937" s="672" t="s">
        <v>689</v>
      </c>
      <c r="G937" s="735"/>
      <c r="H937" s="735"/>
      <c r="I937" s="735"/>
      <c r="J937" s="735"/>
      <c r="K937" s="735"/>
      <c r="L937" s="735"/>
      <c r="M937" s="735"/>
      <c r="N937" s="735"/>
      <c r="O937" s="735"/>
      <c r="P937" s="732"/>
      <c r="Q937" s="732"/>
      <c r="R937" s="732"/>
      <c r="S937" s="683">
        <v>0</v>
      </c>
      <c r="T937" s="683">
        <v>0</v>
      </c>
      <c r="U937" s="683">
        <v>0</v>
      </c>
      <c r="V937" s="683">
        <v>0</v>
      </c>
      <c r="W937" s="683">
        <v>0</v>
      </c>
      <c r="X937" s="683">
        <v>0</v>
      </c>
      <c r="Y937" s="683">
        <v>0</v>
      </c>
      <c r="Z937" s="683">
        <v>0</v>
      </c>
      <c r="AA937" s="683">
        <v>0</v>
      </c>
      <c r="AB937" s="683">
        <v>0</v>
      </c>
      <c r="AC937" s="702">
        <v>0</v>
      </c>
      <c r="AD937" s="702">
        <v>0</v>
      </c>
      <c r="AE937" s="732"/>
      <c r="AF937" s="732"/>
      <c r="AG937" s="732"/>
      <c r="AH937" s="732"/>
      <c r="AI937" s="732"/>
      <c r="AJ937" s="732"/>
      <c r="AK937" s="732"/>
      <c r="AL937" s="732"/>
      <c r="AM937" s="732"/>
      <c r="AN937" s="732"/>
      <c r="AO937" s="732"/>
      <c r="AP937" s="732"/>
      <c r="AQ937" s="732"/>
      <c r="AR937" s="732"/>
      <c r="AS937" s="732"/>
      <c r="AT937" s="732"/>
      <c r="AU937" s="732"/>
      <c r="AV937" s="732"/>
      <c r="AW937" s="732"/>
      <c r="AX937" s="732"/>
      <c r="AY937" s="732"/>
      <c r="AZ937" s="732"/>
      <c r="BA937" s="732"/>
      <c r="BB937" s="732"/>
      <c r="BC937" s="732"/>
      <c r="BD937" s="732"/>
      <c r="BE937" s="732"/>
      <c r="BF937" s="732"/>
      <c r="BG937" s="732"/>
      <c r="BH937" s="732"/>
      <c r="BI937" s="732"/>
      <c r="BJ937" s="732"/>
      <c r="BK937" s="732"/>
      <c r="BL937" s="732"/>
      <c r="BM937" s="732"/>
      <c r="BN937" s="732"/>
      <c r="BO937" s="732"/>
      <c r="BP937" s="732"/>
      <c r="BQ937" s="732"/>
      <c r="BR937" s="732"/>
      <c r="BS937" s="732"/>
      <c r="BT937" s="732"/>
      <c r="BU937" s="732"/>
      <c r="BV937" s="732"/>
      <c r="BW937" s="732"/>
      <c r="BX937" s="732"/>
      <c r="BY937" s="732"/>
      <c r="BZ937" s="732"/>
      <c r="CA937" s="732"/>
    </row>
    <row r="938" spans="1:79" hidden="1" outlineLevel="1" x14ac:dyDescent="0.35">
      <c r="A938" s="574"/>
      <c r="B938" s="574"/>
      <c r="C938" s="574"/>
      <c r="D938" s="574"/>
      <c r="E938" s="574"/>
      <c r="F938" s="672" t="s">
        <v>897</v>
      </c>
      <c r="G938" s="735">
        <v>0</v>
      </c>
      <c r="H938" s="735">
        <v>55.832921453055825</v>
      </c>
      <c r="I938" s="735">
        <v>0</v>
      </c>
      <c r="J938" s="735">
        <v>103.44283361308359</v>
      </c>
      <c r="K938" s="735">
        <v>101.80178770555302</v>
      </c>
      <c r="L938" s="735">
        <v>1130.4627970036445</v>
      </c>
      <c r="M938" s="735">
        <v>2297.2124127527545</v>
      </c>
      <c r="N938" s="735">
        <v>2044.2670118808787</v>
      </c>
      <c r="O938" s="735">
        <v>2679.5086837734311</v>
      </c>
      <c r="P938" s="732">
        <v>745.96813139671644</v>
      </c>
      <c r="Q938" s="732">
        <v>3026.0501909467307</v>
      </c>
      <c r="R938" s="732">
        <v>692.86714036847081</v>
      </c>
      <c r="S938" s="683">
        <v>0</v>
      </c>
      <c r="T938" s="683">
        <v>0</v>
      </c>
      <c r="U938" s="683">
        <v>0</v>
      </c>
      <c r="V938" s="683">
        <v>0</v>
      </c>
      <c r="W938" s="683">
        <v>0</v>
      </c>
      <c r="X938" s="683">
        <v>0</v>
      </c>
      <c r="Y938" s="683">
        <v>0</v>
      </c>
      <c r="Z938" s="683">
        <v>0</v>
      </c>
      <c r="AA938" s="683">
        <v>0</v>
      </c>
      <c r="AB938" s="683">
        <v>0</v>
      </c>
      <c r="AC938" s="702">
        <v>0</v>
      </c>
      <c r="AD938" s="702">
        <v>0</v>
      </c>
      <c r="AE938" s="732"/>
      <c r="AF938" s="732"/>
      <c r="AG938" s="732"/>
      <c r="AH938" s="732"/>
      <c r="AI938" s="732"/>
      <c r="AJ938" s="732"/>
      <c r="AK938" s="732"/>
      <c r="AL938" s="732"/>
      <c r="AM938" s="732"/>
      <c r="AN938" s="732"/>
      <c r="AO938" s="732"/>
      <c r="AP938" s="732"/>
      <c r="AQ938" s="732"/>
      <c r="AR938" s="732"/>
      <c r="AS938" s="732"/>
      <c r="AT938" s="732"/>
      <c r="AU938" s="732"/>
      <c r="AV938" s="732"/>
      <c r="AW938" s="732"/>
      <c r="AX938" s="732"/>
      <c r="AY938" s="732"/>
      <c r="AZ938" s="732"/>
      <c r="BA938" s="732"/>
      <c r="BB938" s="732"/>
      <c r="BC938" s="732"/>
      <c r="BD938" s="732"/>
      <c r="BE938" s="732"/>
      <c r="BF938" s="732"/>
      <c r="BG938" s="732"/>
      <c r="BH938" s="732"/>
      <c r="BI938" s="732"/>
      <c r="BJ938" s="732"/>
      <c r="BK938" s="732"/>
      <c r="BL938" s="732"/>
      <c r="BM938" s="732"/>
      <c r="BN938" s="732"/>
      <c r="BO938" s="732"/>
      <c r="BP938" s="732"/>
      <c r="BQ938" s="732"/>
      <c r="BR938" s="732"/>
      <c r="BS938" s="732"/>
      <c r="BT938" s="732"/>
      <c r="BU938" s="732"/>
      <c r="BV938" s="732"/>
      <c r="BW938" s="732"/>
      <c r="BX938" s="732"/>
      <c r="BY938" s="732"/>
      <c r="BZ938" s="732"/>
      <c r="CA938" s="732"/>
    </row>
    <row r="939" spans="1:79" hidden="1" outlineLevel="1" x14ac:dyDescent="0.35">
      <c r="F939" s="675" t="s">
        <v>626</v>
      </c>
      <c r="G939" s="680">
        <f>SUM(G930:G938)</f>
        <v>0</v>
      </c>
      <c r="H939" s="680">
        <f t="shared" ref="H939:BO939" si="360">SUM(H930:H938)</f>
        <v>55.832921453055825</v>
      </c>
      <c r="I939" s="680">
        <f t="shared" si="360"/>
        <v>0</v>
      </c>
      <c r="J939" s="680">
        <f t="shared" si="360"/>
        <v>103.44283361308359</v>
      </c>
      <c r="K939" s="680">
        <f t="shared" si="360"/>
        <v>101.80178770555302</v>
      </c>
      <c r="L939" s="680">
        <f t="shared" si="360"/>
        <v>1130.4627970036445</v>
      </c>
      <c r="M939" s="680">
        <f t="shared" si="360"/>
        <v>2297.2124127527545</v>
      </c>
      <c r="N939" s="680">
        <f t="shared" si="360"/>
        <v>2044.2670118808787</v>
      </c>
      <c r="O939" s="680">
        <f t="shared" si="360"/>
        <v>2679.5086837734311</v>
      </c>
      <c r="P939" s="680">
        <f t="shared" si="360"/>
        <v>745.96813139671644</v>
      </c>
      <c r="Q939" s="680">
        <f t="shared" si="360"/>
        <v>3026.0501909467307</v>
      </c>
      <c r="R939" s="680">
        <f t="shared" si="360"/>
        <v>692.86714036847081</v>
      </c>
      <c r="S939" s="696">
        <f t="shared" ref="S939:AA939" si="361">ROUND(SUM(S929:S938),5)</f>
        <v>0</v>
      </c>
      <c r="T939" s="696">
        <f t="shared" si="361"/>
        <v>0</v>
      </c>
      <c r="U939" s="696">
        <f t="shared" si="361"/>
        <v>0</v>
      </c>
      <c r="V939" s="696">
        <f t="shared" si="361"/>
        <v>0</v>
      </c>
      <c r="W939" s="696">
        <f t="shared" si="361"/>
        <v>0</v>
      </c>
      <c r="X939" s="696">
        <f t="shared" si="361"/>
        <v>0</v>
      </c>
      <c r="Y939" s="696">
        <f t="shared" si="361"/>
        <v>0</v>
      </c>
      <c r="Z939" s="696">
        <f t="shared" si="361"/>
        <v>0</v>
      </c>
      <c r="AA939" s="696">
        <f t="shared" si="361"/>
        <v>0</v>
      </c>
      <c r="AB939" s="696">
        <f>ROUND(SUM(AB929:AB938),5)</f>
        <v>0</v>
      </c>
      <c r="AC939" s="696">
        <f>ROUND(SUM(AC929:AC938),5)</f>
        <v>11937.5</v>
      </c>
      <c r="AD939" s="696">
        <f>ROUND(SUM(AD929:AD938),5)</f>
        <v>11564</v>
      </c>
      <c r="AE939" s="680">
        <f t="shared" si="360"/>
        <v>0</v>
      </c>
      <c r="AF939" s="680">
        <f t="shared" si="360"/>
        <v>0</v>
      </c>
      <c r="AG939" s="680">
        <f t="shared" si="360"/>
        <v>0</v>
      </c>
      <c r="AH939" s="680">
        <f t="shared" si="360"/>
        <v>0</v>
      </c>
      <c r="AI939" s="680">
        <f t="shared" si="360"/>
        <v>0</v>
      </c>
      <c r="AJ939" s="680">
        <f t="shared" si="360"/>
        <v>0</v>
      </c>
      <c r="AK939" s="680">
        <f t="shared" si="360"/>
        <v>0</v>
      </c>
      <c r="AL939" s="680">
        <f t="shared" si="360"/>
        <v>0</v>
      </c>
      <c r="AM939" s="680">
        <f t="shared" si="360"/>
        <v>0</v>
      </c>
      <c r="AN939" s="680">
        <f t="shared" si="360"/>
        <v>0</v>
      </c>
      <c r="AO939" s="680">
        <f t="shared" si="360"/>
        <v>0</v>
      </c>
      <c r="AP939" s="680">
        <f t="shared" si="360"/>
        <v>0</v>
      </c>
      <c r="AQ939" s="680">
        <f t="shared" si="360"/>
        <v>0</v>
      </c>
      <c r="AR939" s="680">
        <f t="shared" si="360"/>
        <v>0</v>
      </c>
      <c r="AS939" s="680">
        <f t="shared" si="360"/>
        <v>0</v>
      </c>
      <c r="AT939" s="680">
        <f t="shared" si="360"/>
        <v>0</v>
      </c>
      <c r="AU939" s="680">
        <f t="shared" si="360"/>
        <v>0</v>
      </c>
      <c r="AV939" s="680">
        <f t="shared" si="360"/>
        <v>0</v>
      </c>
      <c r="AW939" s="680">
        <f t="shared" si="360"/>
        <v>0</v>
      </c>
      <c r="AX939" s="680">
        <f t="shared" si="360"/>
        <v>0</v>
      </c>
      <c r="AY939" s="680">
        <f t="shared" si="360"/>
        <v>0</v>
      </c>
      <c r="AZ939" s="680">
        <f t="shared" si="360"/>
        <v>0</v>
      </c>
      <c r="BA939" s="680">
        <f t="shared" si="360"/>
        <v>0</v>
      </c>
      <c r="BB939" s="680">
        <f t="shared" si="360"/>
        <v>0</v>
      </c>
      <c r="BC939" s="680">
        <f t="shared" si="360"/>
        <v>0</v>
      </c>
      <c r="BD939" s="680">
        <f t="shared" si="360"/>
        <v>0</v>
      </c>
      <c r="BE939" s="680">
        <f t="shared" si="360"/>
        <v>0</v>
      </c>
      <c r="BF939" s="680">
        <f t="shared" si="360"/>
        <v>0</v>
      </c>
      <c r="BG939" s="680">
        <f t="shared" si="360"/>
        <v>0</v>
      </c>
      <c r="BH939" s="680">
        <f t="shared" si="360"/>
        <v>0</v>
      </c>
      <c r="BI939" s="680">
        <f t="shared" si="360"/>
        <v>0</v>
      </c>
      <c r="BJ939" s="680">
        <f t="shared" si="360"/>
        <v>0</v>
      </c>
      <c r="BK939" s="680">
        <f t="shared" si="360"/>
        <v>0</v>
      </c>
      <c r="BL939" s="680">
        <f t="shared" si="360"/>
        <v>0</v>
      </c>
      <c r="BM939" s="680">
        <f t="shared" si="360"/>
        <v>0</v>
      </c>
      <c r="BN939" s="680">
        <f t="shared" si="360"/>
        <v>0</v>
      </c>
      <c r="BO939" s="680">
        <f t="shared" si="360"/>
        <v>0</v>
      </c>
      <c r="BP939" s="680">
        <f t="shared" ref="BP939:CA939" si="362">SUM(BP930:BP938)</f>
        <v>0</v>
      </c>
      <c r="BQ939" s="680">
        <f t="shared" si="362"/>
        <v>0</v>
      </c>
      <c r="BR939" s="680">
        <f t="shared" si="362"/>
        <v>0</v>
      </c>
      <c r="BS939" s="680">
        <f t="shared" si="362"/>
        <v>0</v>
      </c>
      <c r="BT939" s="680">
        <f t="shared" si="362"/>
        <v>0</v>
      </c>
      <c r="BU939" s="680">
        <f t="shared" si="362"/>
        <v>0</v>
      </c>
      <c r="BV939" s="680">
        <f t="shared" si="362"/>
        <v>0</v>
      </c>
      <c r="BW939" s="680">
        <f t="shared" si="362"/>
        <v>0</v>
      </c>
      <c r="BX939" s="680">
        <f t="shared" si="362"/>
        <v>0</v>
      </c>
      <c r="BY939" s="680">
        <f t="shared" si="362"/>
        <v>0</v>
      </c>
      <c r="BZ939" s="680">
        <f t="shared" si="362"/>
        <v>0</v>
      </c>
      <c r="CA939" s="680">
        <f t="shared" si="362"/>
        <v>0</v>
      </c>
    </row>
    <row r="940" spans="1:79" s="709" customFormat="1" hidden="1" outlineLevel="1" x14ac:dyDescent="0.35">
      <c r="F940" s="707" t="s">
        <v>627</v>
      </c>
      <c r="G940" s="750"/>
      <c r="H940" s="750"/>
      <c r="I940" s="750"/>
      <c r="J940" s="750"/>
      <c r="K940" s="750"/>
      <c r="L940" s="750"/>
      <c r="M940" s="750"/>
      <c r="N940" s="750"/>
      <c r="O940" s="750"/>
      <c r="P940" s="751"/>
      <c r="Q940" s="751"/>
      <c r="R940" s="751"/>
      <c r="S940" s="724"/>
      <c r="T940" s="724"/>
      <c r="U940" s="724"/>
      <c r="V940" s="724"/>
      <c r="W940" s="724"/>
      <c r="X940" s="724"/>
      <c r="Y940" s="724"/>
      <c r="Z940" s="724"/>
      <c r="AA940" s="724"/>
      <c r="AB940" s="724"/>
      <c r="AC940" s="724"/>
      <c r="AD940" s="724"/>
      <c r="AE940" s="751"/>
      <c r="AF940" s="751"/>
      <c r="AG940" s="751"/>
      <c r="AH940" s="751"/>
      <c r="AI940" s="751"/>
      <c r="AJ940" s="751"/>
      <c r="AK940" s="751"/>
      <c r="AL940" s="751"/>
      <c r="AM940" s="751"/>
      <c r="AN940" s="751"/>
      <c r="AO940" s="751"/>
      <c r="AP940" s="751"/>
      <c r="AQ940" s="751"/>
      <c r="AR940" s="751"/>
      <c r="AS940" s="751"/>
      <c r="AT940" s="751"/>
      <c r="AU940" s="751"/>
      <c r="AV940" s="751"/>
      <c r="AW940" s="751"/>
      <c r="AX940" s="751"/>
      <c r="AY940" s="751"/>
      <c r="AZ940" s="751"/>
      <c r="BA940" s="751"/>
      <c r="BB940" s="751"/>
      <c r="BC940" s="751"/>
      <c r="BD940" s="751"/>
      <c r="BE940" s="751"/>
      <c r="BF940" s="751"/>
      <c r="BG940" s="751"/>
      <c r="BH940" s="751"/>
      <c r="BI940" s="751"/>
      <c r="BJ940" s="751"/>
      <c r="BK940" s="751"/>
      <c r="BL940" s="751"/>
      <c r="BM940" s="751"/>
      <c r="BN940" s="751"/>
      <c r="BO940" s="751"/>
      <c r="BP940" s="751"/>
      <c r="BQ940" s="751"/>
      <c r="BR940" s="751"/>
      <c r="BS940" s="751"/>
      <c r="BT940" s="751"/>
      <c r="BU940" s="751"/>
      <c r="BV940" s="751"/>
      <c r="BW940" s="751"/>
      <c r="BX940" s="751"/>
      <c r="BY940" s="751"/>
      <c r="BZ940" s="751"/>
      <c r="CA940" s="751"/>
    </row>
    <row r="941" spans="1:79" s="309" customFormat="1" hidden="1" outlineLevel="1" x14ac:dyDescent="0.35">
      <c r="A941" s="726"/>
      <c r="B941" s="726"/>
      <c r="C941" s="726"/>
      <c r="D941" s="726"/>
      <c r="E941" s="726"/>
      <c r="F941" s="672" t="s">
        <v>923</v>
      </c>
      <c r="G941" s="699"/>
      <c r="H941" s="699"/>
      <c r="I941" s="699"/>
      <c r="J941" s="699"/>
      <c r="K941" s="699"/>
      <c r="L941" s="699"/>
      <c r="M941" s="699"/>
      <c r="N941" s="699"/>
      <c r="O941" s="699"/>
      <c r="P941" s="699"/>
      <c r="Q941" s="699"/>
      <c r="R941" s="699"/>
      <c r="S941" s="700"/>
      <c r="T941" s="700"/>
      <c r="U941" s="700"/>
      <c r="V941" s="700"/>
      <c r="W941" s="700"/>
      <c r="X941" s="700"/>
      <c r="Y941" s="700"/>
      <c r="Z941" s="700"/>
      <c r="AA941" s="700"/>
      <c r="AB941" s="700">
        <v>0</v>
      </c>
      <c r="AC941" s="699">
        <v>0</v>
      </c>
      <c r="AD941" s="699">
        <v>0</v>
      </c>
      <c r="AE941" s="700"/>
      <c r="AF941" s="700"/>
      <c r="AG941" s="700"/>
      <c r="AH941" s="700"/>
      <c r="AI941" s="700"/>
      <c r="AJ941" s="700"/>
      <c r="AK941" s="700"/>
      <c r="AL941" s="700"/>
      <c r="AM941" s="700"/>
      <c r="AN941" s="700"/>
      <c r="AO941" s="700"/>
      <c r="AP941" s="700"/>
      <c r="AQ941" s="700"/>
      <c r="AR941" s="700"/>
      <c r="AS941" s="700"/>
      <c r="AT941" s="700"/>
      <c r="AU941" s="700"/>
      <c r="AV941" s="700"/>
      <c r="AW941" s="700"/>
      <c r="AX941" s="700"/>
      <c r="AY941" s="700"/>
      <c r="AZ941" s="700"/>
      <c r="BA941" s="700"/>
      <c r="BB941" s="700"/>
      <c r="BC941" s="700"/>
      <c r="BD941" s="700"/>
      <c r="BE941" s="700"/>
      <c r="BF941" s="700"/>
      <c r="BG941" s="700"/>
      <c r="BH941" s="700"/>
      <c r="BI941" s="700"/>
      <c r="BJ941" s="700"/>
      <c r="BK941" s="700"/>
      <c r="BL941" s="700"/>
      <c r="BM941" s="700"/>
      <c r="BN941" s="700"/>
      <c r="BO941" s="700"/>
      <c r="BP941" s="700"/>
      <c r="BQ941" s="700"/>
      <c r="BR941" s="700"/>
      <c r="BS941" s="700"/>
      <c r="BT941" s="700"/>
      <c r="BU941" s="700"/>
      <c r="BV941" s="700"/>
      <c r="BW941" s="700"/>
      <c r="BX941" s="700"/>
      <c r="BY941" s="700"/>
      <c r="BZ941" s="700"/>
      <c r="CA941" s="700"/>
    </row>
    <row r="942" spans="1:79" hidden="1" outlineLevel="1" x14ac:dyDescent="0.35">
      <c r="A942" s="574"/>
      <c r="B942" s="574"/>
      <c r="C942" s="574"/>
      <c r="D942" s="574"/>
      <c r="E942" s="574"/>
      <c r="F942" s="672" t="s">
        <v>671</v>
      </c>
      <c r="G942" s="735"/>
      <c r="H942" s="735"/>
      <c r="I942" s="735"/>
      <c r="J942" s="735"/>
      <c r="K942" s="735"/>
      <c r="L942" s="735"/>
      <c r="M942" s="735"/>
      <c r="N942" s="735"/>
      <c r="O942" s="735"/>
      <c r="P942" s="732"/>
      <c r="Q942" s="732"/>
      <c r="R942" s="732"/>
      <c r="S942" s="700">
        <v>0</v>
      </c>
      <c r="T942" s="700">
        <v>0</v>
      </c>
      <c r="U942" s="700">
        <v>0</v>
      </c>
      <c r="V942" s="700">
        <v>0</v>
      </c>
      <c r="W942" s="700">
        <v>0</v>
      </c>
      <c r="X942" s="700">
        <v>0</v>
      </c>
      <c r="Y942" s="700">
        <v>0</v>
      </c>
      <c r="Z942" s="700">
        <v>0</v>
      </c>
      <c r="AA942" s="700">
        <v>0</v>
      </c>
      <c r="AB942" s="700">
        <v>0</v>
      </c>
      <c r="AC942" s="699">
        <v>0</v>
      </c>
      <c r="AD942" s="699">
        <v>0</v>
      </c>
      <c r="AE942" s="732"/>
      <c r="AF942" s="732"/>
      <c r="AG942" s="732"/>
      <c r="AH942" s="732"/>
      <c r="AI942" s="732"/>
      <c r="AJ942" s="732"/>
      <c r="AK942" s="732"/>
      <c r="AL942" s="732"/>
      <c r="AM942" s="732"/>
      <c r="AN942" s="732"/>
      <c r="AO942" s="732"/>
      <c r="AP942" s="732"/>
      <c r="AQ942" s="732"/>
      <c r="AR942" s="732"/>
      <c r="AS942" s="732"/>
      <c r="AT942" s="732"/>
      <c r="AU942" s="732"/>
      <c r="AV942" s="732"/>
      <c r="AW942" s="732"/>
      <c r="AX942" s="732"/>
      <c r="AY942" s="732"/>
      <c r="AZ942" s="732"/>
      <c r="BA942" s="732"/>
      <c r="BB942" s="732"/>
      <c r="BC942" s="732"/>
      <c r="BD942" s="732"/>
      <c r="BE942" s="732"/>
      <c r="BF942" s="732"/>
      <c r="BG942" s="732"/>
      <c r="BH942" s="732"/>
      <c r="BI942" s="732"/>
      <c r="BJ942" s="732"/>
      <c r="BK942" s="732"/>
      <c r="BL942" s="732"/>
      <c r="BM942" s="732"/>
      <c r="BN942" s="732"/>
      <c r="BO942" s="732"/>
      <c r="BP942" s="732"/>
      <c r="BQ942" s="732"/>
      <c r="BR942" s="732"/>
      <c r="BS942" s="732"/>
      <c r="BT942" s="732"/>
      <c r="BU942" s="732"/>
      <c r="BV942" s="732"/>
      <c r="BW942" s="732"/>
      <c r="BX942" s="732"/>
      <c r="BY942" s="732"/>
      <c r="BZ942" s="732"/>
      <c r="CA942" s="732"/>
    </row>
    <row r="943" spans="1:79" hidden="1" outlineLevel="1" x14ac:dyDescent="0.35">
      <c r="A943" s="574"/>
      <c r="B943" s="574"/>
      <c r="C943" s="574"/>
      <c r="D943" s="574"/>
      <c r="E943" s="574"/>
      <c r="F943" s="672" t="s">
        <v>767</v>
      </c>
      <c r="G943" s="735"/>
      <c r="H943" s="735"/>
      <c r="I943" s="735"/>
      <c r="J943" s="735"/>
      <c r="K943" s="735"/>
      <c r="L943" s="735"/>
      <c r="M943" s="735"/>
      <c r="N943" s="735"/>
      <c r="O943" s="735"/>
      <c r="P943" s="732"/>
      <c r="Q943" s="732"/>
      <c r="R943" s="732"/>
      <c r="S943" s="700">
        <v>0</v>
      </c>
      <c r="T943" s="700">
        <v>0</v>
      </c>
      <c r="U943" s="700">
        <v>0</v>
      </c>
      <c r="V943" s="700">
        <v>0</v>
      </c>
      <c r="W943" s="700">
        <v>0</v>
      </c>
      <c r="X943" s="700">
        <v>0</v>
      </c>
      <c r="Y943" s="700">
        <v>0</v>
      </c>
      <c r="Z943" s="700">
        <v>0</v>
      </c>
      <c r="AA943" s="700">
        <v>0</v>
      </c>
      <c r="AB943" s="700">
        <v>0</v>
      </c>
      <c r="AC943" s="699">
        <v>0</v>
      </c>
      <c r="AD943" s="699">
        <v>0</v>
      </c>
      <c r="AE943" s="732"/>
      <c r="AF943" s="732"/>
      <c r="AG943" s="732"/>
      <c r="AH943" s="732"/>
      <c r="AI943" s="732"/>
      <c r="AJ943" s="732"/>
      <c r="AK943" s="732"/>
      <c r="AL943" s="732"/>
      <c r="AM943" s="732"/>
      <c r="AN943" s="732"/>
      <c r="AO943" s="732"/>
      <c r="AP943" s="732"/>
      <c r="AQ943" s="732"/>
      <c r="AR943" s="732"/>
      <c r="AS943" s="732"/>
      <c r="AT943" s="732"/>
      <c r="AU943" s="732"/>
      <c r="AV943" s="732"/>
      <c r="AW943" s="732"/>
      <c r="AX943" s="732"/>
      <c r="AY943" s="732"/>
      <c r="AZ943" s="732"/>
      <c r="BA943" s="732"/>
      <c r="BB943" s="732"/>
      <c r="BC943" s="732"/>
      <c r="BD943" s="732"/>
      <c r="BE943" s="732"/>
      <c r="BF943" s="732"/>
      <c r="BG943" s="732"/>
      <c r="BH943" s="732"/>
      <c r="BI943" s="732"/>
      <c r="BJ943" s="732"/>
      <c r="BK943" s="732"/>
      <c r="BL943" s="732"/>
      <c r="BM943" s="732"/>
      <c r="BN943" s="732"/>
      <c r="BO943" s="732"/>
      <c r="BP943" s="732"/>
      <c r="BQ943" s="732"/>
      <c r="BR943" s="732"/>
      <c r="BS943" s="732"/>
      <c r="BT943" s="732"/>
      <c r="BU943" s="732"/>
      <c r="BV943" s="732"/>
      <c r="BW943" s="732"/>
      <c r="BX943" s="732"/>
      <c r="BY943" s="732"/>
      <c r="BZ943" s="732"/>
      <c r="CA943" s="732"/>
    </row>
    <row r="944" spans="1:79" hidden="1" outlineLevel="1" x14ac:dyDescent="0.35">
      <c r="F944" s="672" t="s">
        <v>628</v>
      </c>
      <c r="G944" s="735">
        <v>0</v>
      </c>
      <c r="H944" s="735"/>
      <c r="I944" s="735"/>
      <c r="J944" s="735"/>
      <c r="K944" s="735"/>
      <c r="L944" s="735"/>
      <c r="M944" s="735"/>
      <c r="N944" s="735">
        <v>201.4</v>
      </c>
      <c r="O944" s="735"/>
      <c r="P944" s="732"/>
      <c r="Q944" s="732"/>
      <c r="R944" s="732"/>
      <c r="S944" s="700">
        <v>0</v>
      </c>
      <c r="T944" s="700">
        <v>0</v>
      </c>
      <c r="U944" s="700">
        <v>0</v>
      </c>
      <c r="V944" s="700">
        <v>0</v>
      </c>
      <c r="W944" s="700">
        <v>0</v>
      </c>
      <c r="X944" s="700">
        <v>0</v>
      </c>
      <c r="Y944" s="700">
        <v>0</v>
      </c>
      <c r="Z944" s="700">
        <v>0</v>
      </c>
      <c r="AA944" s="700">
        <v>0</v>
      </c>
      <c r="AB944" s="700">
        <v>0</v>
      </c>
      <c r="AC944" s="682">
        <v>0</v>
      </c>
      <c r="AD944" s="682">
        <v>0</v>
      </c>
      <c r="AE944" s="732"/>
      <c r="AF944" s="732"/>
      <c r="AG944" s="732"/>
      <c r="AH944" s="732"/>
      <c r="AI944" s="732"/>
      <c r="AJ944" s="732"/>
      <c r="AK944" s="732"/>
      <c r="AL944" s="732"/>
      <c r="AM944" s="732"/>
      <c r="AN944" s="732"/>
      <c r="AO944" s="732"/>
      <c r="AP944" s="732"/>
      <c r="AQ944" s="732"/>
      <c r="AR944" s="732"/>
      <c r="AS944" s="732"/>
      <c r="AT944" s="732"/>
      <c r="AU944" s="732"/>
      <c r="AV944" s="732"/>
      <c r="AW944" s="732"/>
      <c r="AX944" s="732"/>
      <c r="AY944" s="732"/>
      <c r="AZ944" s="732"/>
      <c r="BA944" s="732"/>
      <c r="BB944" s="732"/>
      <c r="BC944" s="732"/>
      <c r="BD944" s="732"/>
      <c r="BE944" s="732"/>
      <c r="BF944" s="732"/>
      <c r="BG944" s="732"/>
      <c r="BH944" s="732"/>
      <c r="BI944" s="732"/>
      <c r="BJ944" s="732"/>
      <c r="BK944" s="732"/>
      <c r="BL944" s="732"/>
      <c r="BM944" s="732"/>
      <c r="BN944" s="732"/>
      <c r="BO944" s="732"/>
      <c r="BP944" s="732"/>
      <c r="BQ944" s="732"/>
      <c r="BR944" s="732"/>
      <c r="BS944" s="732"/>
      <c r="BT944" s="732"/>
      <c r="BU944" s="732"/>
      <c r="BV944" s="732"/>
      <c r="BW944" s="732"/>
      <c r="BX944" s="732"/>
      <c r="BY944" s="732"/>
      <c r="BZ944" s="732"/>
      <c r="CA944" s="732"/>
    </row>
    <row r="945" spans="1:79" hidden="1" outlineLevel="1" x14ac:dyDescent="0.35">
      <c r="A945" s="574"/>
      <c r="B945" s="574"/>
      <c r="C945" s="574"/>
      <c r="D945" s="574"/>
      <c r="E945" s="574"/>
      <c r="F945" s="672" t="s">
        <v>655</v>
      </c>
      <c r="G945" s="735"/>
      <c r="H945" s="735"/>
      <c r="I945" s="735"/>
      <c r="J945" s="735"/>
      <c r="K945" s="735"/>
      <c r="L945" s="735"/>
      <c r="M945" s="735"/>
      <c r="N945" s="735"/>
      <c r="O945" s="735"/>
      <c r="P945" s="732"/>
      <c r="Q945" s="732"/>
      <c r="R945" s="732"/>
      <c r="S945" s="700">
        <v>0</v>
      </c>
      <c r="T945" s="700">
        <v>0</v>
      </c>
      <c r="U945" s="700">
        <v>0</v>
      </c>
      <c r="V945" s="700">
        <v>0</v>
      </c>
      <c r="W945" s="700">
        <v>0</v>
      </c>
      <c r="X945" s="700">
        <v>0</v>
      </c>
      <c r="Y945" s="700">
        <v>0</v>
      </c>
      <c r="Z945" s="700">
        <v>0</v>
      </c>
      <c r="AA945" s="700">
        <v>0</v>
      </c>
      <c r="AB945" s="700">
        <v>0</v>
      </c>
      <c r="AC945" s="682">
        <v>0</v>
      </c>
      <c r="AD945" s="682">
        <v>0</v>
      </c>
      <c r="AE945" s="732"/>
      <c r="AF945" s="732"/>
      <c r="AG945" s="732"/>
      <c r="AH945" s="732"/>
      <c r="AI945" s="732"/>
      <c r="AJ945" s="732"/>
      <c r="AK945" s="732"/>
      <c r="AL945" s="732"/>
      <c r="AM945" s="732"/>
      <c r="AN945" s="732"/>
      <c r="AO945" s="732"/>
      <c r="AP945" s="732"/>
      <c r="AQ945" s="732"/>
      <c r="AR945" s="732"/>
      <c r="AS945" s="732"/>
      <c r="AT945" s="732"/>
      <c r="AU945" s="732"/>
      <c r="AV945" s="732"/>
      <c r="AW945" s="732"/>
      <c r="AX945" s="732"/>
      <c r="AY945" s="732"/>
      <c r="AZ945" s="732"/>
      <c r="BA945" s="732"/>
      <c r="BB945" s="732"/>
      <c r="BC945" s="732"/>
      <c r="BD945" s="732"/>
      <c r="BE945" s="732"/>
      <c r="BF945" s="732"/>
      <c r="BG945" s="732"/>
      <c r="BH945" s="732"/>
      <c r="BI945" s="732"/>
      <c r="BJ945" s="732"/>
      <c r="BK945" s="732"/>
      <c r="BL945" s="732"/>
      <c r="BM945" s="732"/>
      <c r="BN945" s="732"/>
      <c r="BO945" s="732"/>
      <c r="BP945" s="732"/>
      <c r="BQ945" s="732"/>
      <c r="BR945" s="732"/>
      <c r="BS945" s="732"/>
      <c r="BT945" s="732"/>
      <c r="BU945" s="732"/>
      <c r="BV945" s="732"/>
      <c r="BW945" s="732"/>
      <c r="BX945" s="732"/>
      <c r="BY945" s="732"/>
      <c r="BZ945" s="732"/>
      <c r="CA945" s="732"/>
    </row>
    <row r="946" spans="1:79" hidden="1" outlineLevel="1" x14ac:dyDescent="0.35">
      <c r="A946" s="574"/>
      <c r="B946" s="574"/>
      <c r="C946" s="574"/>
      <c r="D946" s="574"/>
      <c r="E946" s="574"/>
      <c r="F946" s="672" t="s">
        <v>672</v>
      </c>
      <c r="G946" s="735"/>
      <c r="H946" s="735"/>
      <c r="I946" s="735"/>
      <c r="J946" s="735"/>
      <c r="K946" s="735"/>
      <c r="L946" s="735"/>
      <c r="M946" s="735"/>
      <c r="N946" s="735"/>
      <c r="O946" s="735"/>
      <c r="P946" s="732"/>
      <c r="Q946" s="732"/>
      <c r="R946" s="732"/>
      <c r="S946" s="700">
        <v>0</v>
      </c>
      <c r="T946" s="700">
        <v>0</v>
      </c>
      <c r="U946" s="700">
        <v>0</v>
      </c>
      <c r="V946" s="700">
        <v>0</v>
      </c>
      <c r="W946" s="700">
        <v>0</v>
      </c>
      <c r="X946" s="700">
        <v>0</v>
      </c>
      <c r="Y946" s="700">
        <v>0</v>
      </c>
      <c r="Z946" s="700">
        <v>0</v>
      </c>
      <c r="AA946" s="700">
        <v>0</v>
      </c>
      <c r="AB946" s="700">
        <v>0</v>
      </c>
      <c r="AC946" s="682">
        <v>0</v>
      </c>
      <c r="AD946" s="682">
        <v>0</v>
      </c>
      <c r="AE946" s="732"/>
      <c r="AF946" s="732"/>
      <c r="AG946" s="732"/>
      <c r="AH946" s="732"/>
      <c r="AI946" s="732"/>
      <c r="AJ946" s="732"/>
      <c r="AK946" s="732"/>
      <c r="AL946" s="732"/>
      <c r="AM946" s="732"/>
      <c r="AN946" s="732"/>
      <c r="AO946" s="732"/>
      <c r="AP946" s="732"/>
      <c r="AQ946" s="732"/>
      <c r="AR946" s="732"/>
      <c r="AS946" s="732"/>
      <c r="AT946" s="732"/>
      <c r="AU946" s="732"/>
      <c r="AV946" s="732"/>
      <c r="AW946" s="732"/>
      <c r="AX946" s="732"/>
      <c r="AY946" s="732"/>
      <c r="AZ946" s="732"/>
      <c r="BA946" s="732"/>
      <c r="BB946" s="732"/>
      <c r="BC946" s="732"/>
      <c r="BD946" s="732"/>
      <c r="BE946" s="732"/>
      <c r="BF946" s="732"/>
      <c r="BG946" s="732"/>
      <c r="BH946" s="732"/>
      <c r="BI946" s="732"/>
      <c r="BJ946" s="732"/>
      <c r="BK946" s="732"/>
      <c r="BL946" s="732"/>
      <c r="BM946" s="732"/>
      <c r="BN946" s="732"/>
      <c r="BO946" s="732"/>
      <c r="BP946" s="732"/>
      <c r="BQ946" s="732"/>
      <c r="BR946" s="732"/>
      <c r="BS946" s="732"/>
      <c r="BT946" s="732"/>
      <c r="BU946" s="732"/>
      <c r="BV946" s="732"/>
      <c r="BW946" s="732"/>
      <c r="BX946" s="732"/>
      <c r="BY946" s="732"/>
      <c r="BZ946" s="732"/>
      <c r="CA946" s="732"/>
    </row>
    <row r="947" spans="1:79" hidden="1" outlineLevel="1" x14ac:dyDescent="0.35">
      <c r="A947" s="574"/>
      <c r="B947" s="574"/>
      <c r="C947" s="574"/>
      <c r="D947" s="574"/>
      <c r="E947" s="574"/>
      <c r="F947" s="673" t="s">
        <v>629</v>
      </c>
      <c r="G947" s="680">
        <f>SUM(G942:G946)</f>
        <v>0</v>
      </c>
      <c r="H947" s="680">
        <f t="shared" ref="H947:BO947" si="363">SUM(H942:H946)</f>
        <v>0</v>
      </c>
      <c r="I947" s="680">
        <f t="shared" si="363"/>
        <v>0</v>
      </c>
      <c r="J947" s="680">
        <f t="shared" si="363"/>
        <v>0</v>
      </c>
      <c r="K947" s="680">
        <f t="shared" si="363"/>
        <v>0</v>
      </c>
      <c r="L947" s="680">
        <f t="shared" si="363"/>
        <v>0</v>
      </c>
      <c r="M947" s="680">
        <f t="shared" si="363"/>
        <v>0</v>
      </c>
      <c r="N947" s="680">
        <f t="shared" si="363"/>
        <v>201.4</v>
      </c>
      <c r="O947" s="680">
        <f t="shared" si="363"/>
        <v>0</v>
      </c>
      <c r="P947" s="680">
        <f t="shared" si="363"/>
        <v>0</v>
      </c>
      <c r="Q947" s="680">
        <f t="shared" si="363"/>
        <v>0</v>
      </c>
      <c r="R947" s="680">
        <f t="shared" si="363"/>
        <v>0</v>
      </c>
      <c r="S947" s="696">
        <f t="shared" ref="S947:AB947" si="364">ROUND(SUM(S940:S946),5)</f>
        <v>0</v>
      </c>
      <c r="T947" s="696">
        <f t="shared" si="364"/>
        <v>0</v>
      </c>
      <c r="U947" s="696">
        <f t="shared" si="364"/>
        <v>0</v>
      </c>
      <c r="V947" s="696">
        <f t="shared" si="364"/>
        <v>0</v>
      </c>
      <c r="W947" s="696">
        <f t="shared" si="364"/>
        <v>0</v>
      </c>
      <c r="X947" s="696">
        <f t="shared" si="364"/>
        <v>0</v>
      </c>
      <c r="Y947" s="696">
        <f t="shared" si="364"/>
        <v>0</v>
      </c>
      <c r="Z947" s="696">
        <f t="shared" si="364"/>
        <v>0</v>
      </c>
      <c r="AA947" s="696">
        <f t="shared" si="364"/>
        <v>0</v>
      </c>
      <c r="AB947" s="696">
        <f t="shared" si="364"/>
        <v>0</v>
      </c>
      <c r="AC947" s="696">
        <f>ROUND(SUM(AC940:AC946),5)</f>
        <v>0</v>
      </c>
      <c r="AD947" s="696">
        <f>ROUND(SUM(AD940:AD946),5)</f>
        <v>0</v>
      </c>
      <c r="AE947" s="680">
        <f t="shared" si="363"/>
        <v>0</v>
      </c>
      <c r="AF947" s="680">
        <f t="shared" si="363"/>
        <v>0</v>
      </c>
      <c r="AG947" s="680">
        <f t="shared" si="363"/>
        <v>0</v>
      </c>
      <c r="AH947" s="680">
        <f t="shared" si="363"/>
        <v>0</v>
      </c>
      <c r="AI947" s="680">
        <f t="shared" si="363"/>
        <v>0</v>
      </c>
      <c r="AJ947" s="680">
        <f t="shared" si="363"/>
        <v>0</v>
      </c>
      <c r="AK947" s="680">
        <f t="shared" si="363"/>
        <v>0</v>
      </c>
      <c r="AL947" s="680">
        <f t="shared" si="363"/>
        <v>0</v>
      </c>
      <c r="AM947" s="680">
        <f t="shared" si="363"/>
        <v>0</v>
      </c>
      <c r="AN947" s="680">
        <f t="shared" si="363"/>
        <v>0</v>
      </c>
      <c r="AO947" s="680">
        <f t="shared" si="363"/>
        <v>0</v>
      </c>
      <c r="AP947" s="680">
        <f t="shared" si="363"/>
        <v>0</v>
      </c>
      <c r="AQ947" s="680">
        <f t="shared" si="363"/>
        <v>0</v>
      </c>
      <c r="AR947" s="680">
        <f t="shared" si="363"/>
        <v>0</v>
      </c>
      <c r="AS947" s="680">
        <f t="shared" si="363"/>
        <v>0</v>
      </c>
      <c r="AT947" s="680">
        <f t="shared" si="363"/>
        <v>0</v>
      </c>
      <c r="AU947" s="680">
        <f t="shared" si="363"/>
        <v>0</v>
      </c>
      <c r="AV947" s="680">
        <f t="shared" si="363"/>
        <v>0</v>
      </c>
      <c r="AW947" s="680">
        <f t="shared" si="363"/>
        <v>0</v>
      </c>
      <c r="AX947" s="680">
        <f t="shared" si="363"/>
        <v>0</v>
      </c>
      <c r="AY947" s="680">
        <f t="shared" si="363"/>
        <v>0</v>
      </c>
      <c r="AZ947" s="680">
        <f t="shared" si="363"/>
        <v>0</v>
      </c>
      <c r="BA947" s="680">
        <f t="shared" si="363"/>
        <v>0</v>
      </c>
      <c r="BB947" s="680">
        <f t="shared" si="363"/>
        <v>0</v>
      </c>
      <c r="BC947" s="680">
        <f t="shared" si="363"/>
        <v>0</v>
      </c>
      <c r="BD947" s="680">
        <f t="shared" si="363"/>
        <v>0</v>
      </c>
      <c r="BE947" s="680">
        <f t="shared" si="363"/>
        <v>0</v>
      </c>
      <c r="BF947" s="680">
        <f t="shared" si="363"/>
        <v>0</v>
      </c>
      <c r="BG947" s="680">
        <f t="shared" si="363"/>
        <v>0</v>
      </c>
      <c r="BH947" s="680">
        <f t="shared" si="363"/>
        <v>0</v>
      </c>
      <c r="BI947" s="680">
        <f t="shared" si="363"/>
        <v>0</v>
      </c>
      <c r="BJ947" s="680">
        <f t="shared" si="363"/>
        <v>0</v>
      </c>
      <c r="BK947" s="680">
        <f t="shared" si="363"/>
        <v>0</v>
      </c>
      <c r="BL947" s="680">
        <f t="shared" si="363"/>
        <v>0</v>
      </c>
      <c r="BM947" s="680">
        <f t="shared" si="363"/>
        <v>0</v>
      </c>
      <c r="BN947" s="680">
        <f t="shared" si="363"/>
        <v>0</v>
      </c>
      <c r="BO947" s="680">
        <f t="shared" si="363"/>
        <v>0</v>
      </c>
      <c r="BP947" s="680">
        <f t="shared" ref="BP947:CA947" si="365">SUM(BP942:BP946)</f>
        <v>0</v>
      </c>
      <c r="BQ947" s="680">
        <f t="shared" si="365"/>
        <v>0</v>
      </c>
      <c r="BR947" s="680">
        <f t="shared" si="365"/>
        <v>0</v>
      </c>
      <c r="BS947" s="680">
        <f t="shared" si="365"/>
        <v>0</v>
      </c>
      <c r="BT947" s="680">
        <f t="shared" si="365"/>
        <v>0</v>
      </c>
      <c r="BU947" s="680">
        <f t="shared" si="365"/>
        <v>0</v>
      </c>
      <c r="BV947" s="680">
        <f t="shared" si="365"/>
        <v>0</v>
      </c>
      <c r="BW947" s="680">
        <f t="shared" si="365"/>
        <v>0</v>
      </c>
      <c r="BX947" s="680">
        <f t="shared" si="365"/>
        <v>0</v>
      </c>
      <c r="BY947" s="680">
        <f t="shared" si="365"/>
        <v>0</v>
      </c>
      <c r="BZ947" s="680">
        <f t="shared" si="365"/>
        <v>0</v>
      </c>
      <c r="CA947" s="680">
        <f t="shared" si="365"/>
        <v>0</v>
      </c>
    </row>
    <row r="948" spans="1:79" s="709" customFormat="1" hidden="1" outlineLevel="1" x14ac:dyDescent="0.35">
      <c r="F948" s="707" t="s">
        <v>673</v>
      </c>
      <c r="G948" s="750"/>
      <c r="H948" s="750"/>
      <c r="I948" s="750"/>
      <c r="J948" s="750"/>
      <c r="K948" s="750"/>
      <c r="L948" s="750"/>
      <c r="M948" s="750"/>
      <c r="N948" s="750"/>
      <c r="O948" s="750"/>
      <c r="P948" s="751"/>
      <c r="Q948" s="751"/>
      <c r="R948" s="751"/>
      <c r="S948" s="724"/>
      <c r="T948" s="724"/>
      <c r="U948" s="724"/>
      <c r="V948" s="724"/>
      <c r="W948" s="724"/>
      <c r="X948" s="724"/>
      <c r="Y948" s="724"/>
      <c r="Z948" s="724"/>
      <c r="AA948" s="724"/>
      <c r="AB948" s="724"/>
      <c r="AC948" s="720"/>
      <c r="AD948" s="720"/>
      <c r="AE948" s="751"/>
      <c r="AF948" s="751"/>
      <c r="AG948" s="751"/>
      <c r="AH948" s="751"/>
      <c r="AI948" s="751"/>
      <c r="AJ948" s="751"/>
      <c r="AK948" s="751"/>
      <c r="AL948" s="751"/>
      <c r="AM948" s="751"/>
      <c r="AN948" s="751"/>
      <c r="AO948" s="751"/>
      <c r="AP948" s="751"/>
      <c r="AQ948" s="751"/>
      <c r="AR948" s="751"/>
      <c r="AS948" s="751"/>
      <c r="AT948" s="751"/>
      <c r="AU948" s="751"/>
      <c r="AV948" s="751"/>
      <c r="AW948" s="751"/>
      <c r="AX948" s="751"/>
      <c r="AY948" s="751"/>
      <c r="AZ948" s="751"/>
      <c r="BA948" s="751"/>
      <c r="BB948" s="751"/>
      <c r="BC948" s="751"/>
      <c r="BD948" s="751"/>
      <c r="BE948" s="751"/>
      <c r="BF948" s="751"/>
      <c r="BG948" s="751"/>
      <c r="BH948" s="751"/>
      <c r="BI948" s="751"/>
      <c r="BJ948" s="751"/>
      <c r="BK948" s="751"/>
      <c r="BL948" s="751"/>
      <c r="BM948" s="751"/>
      <c r="BN948" s="751"/>
      <c r="BO948" s="751"/>
      <c r="BP948" s="751"/>
      <c r="BQ948" s="751"/>
      <c r="BR948" s="751"/>
      <c r="BS948" s="751"/>
      <c r="BT948" s="751"/>
      <c r="BU948" s="751"/>
      <c r="BV948" s="751"/>
      <c r="BW948" s="751"/>
      <c r="BX948" s="751"/>
      <c r="BY948" s="751"/>
      <c r="BZ948" s="751"/>
      <c r="CA948" s="751"/>
    </row>
    <row r="949" spans="1:79" hidden="1" outlineLevel="1" x14ac:dyDescent="0.35">
      <c r="A949" s="574"/>
      <c r="B949" s="574"/>
      <c r="C949" s="574"/>
      <c r="D949" s="574"/>
      <c r="E949" s="574"/>
      <c r="F949" s="672" t="s">
        <v>674</v>
      </c>
      <c r="G949" s="735"/>
      <c r="H949" s="735"/>
      <c r="I949" s="735"/>
      <c r="J949" s="735"/>
      <c r="K949" s="735"/>
      <c r="L949" s="735"/>
      <c r="M949" s="735"/>
      <c r="N949" s="735"/>
      <c r="O949" s="735"/>
      <c r="P949" s="732"/>
      <c r="Q949" s="732"/>
      <c r="R949" s="732"/>
      <c r="S949" s="700">
        <v>0</v>
      </c>
      <c r="T949" s="700">
        <v>0</v>
      </c>
      <c r="U949" s="700">
        <v>0</v>
      </c>
      <c r="V949" s="700">
        <v>0</v>
      </c>
      <c r="W949" s="700">
        <v>0</v>
      </c>
      <c r="X949" s="700">
        <v>0</v>
      </c>
      <c r="Y949" s="700">
        <v>0</v>
      </c>
      <c r="Z949" s="700">
        <v>0</v>
      </c>
      <c r="AA949" s="700">
        <v>0</v>
      </c>
      <c r="AB949" s="700">
        <v>0</v>
      </c>
      <c r="AC949" s="682">
        <v>0</v>
      </c>
      <c r="AD949" s="682">
        <v>0</v>
      </c>
      <c r="AE949" s="732"/>
      <c r="AF949" s="732"/>
      <c r="AG949" s="732"/>
      <c r="AH949" s="732"/>
      <c r="AI949" s="732"/>
      <c r="AJ949" s="732"/>
      <c r="AK949" s="732"/>
      <c r="AL949" s="732"/>
      <c r="AM949" s="732"/>
      <c r="AN949" s="732"/>
      <c r="AO949" s="732"/>
      <c r="AP949" s="732"/>
      <c r="AQ949" s="732"/>
      <c r="AR949" s="732"/>
      <c r="AS949" s="732"/>
      <c r="AT949" s="732"/>
      <c r="AU949" s="732"/>
      <c r="AV949" s="732"/>
      <c r="AW949" s="732"/>
      <c r="AX949" s="732"/>
      <c r="AY949" s="732"/>
      <c r="AZ949" s="732"/>
      <c r="BA949" s="732"/>
      <c r="BB949" s="732"/>
      <c r="BC949" s="732"/>
      <c r="BD949" s="732"/>
      <c r="BE949" s="732"/>
      <c r="BF949" s="732"/>
      <c r="BG949" s="732"/>
      <c r="BH949" s="732"/>
      <c r="BI949" s="732"/>
      <c r="BJ949" s="732"/>
      <c r="BK949" s="732"/>
      <c r="BL949" s="732"/>
      <c r="BM949" s="732"/>
      <c r="BN949" s="732"/>
      <c r="BO949" s="732"/>
      <c r="BP949" s="732"/>
      <c r="BQ949" s="732"/>
      <c r="BR949" s="732"/>
      <c r="BS949" s="732"/>
      <c r="BT949" s="732"/>
      <c r="BU949" s="732"/>
      <c r="BV949" s="732"/>
      <c r="BW949" s="732"/>
      <c r="BX949" s="732"/>
      <c r="BY949" s="732"/>
      <c r="BZ949" s="732"/>
      <c r="CA949" s="732"/>
    </row>
    <row r="950" spans="1:79" hidden="1" outlineLevel="1" x14ac:dyDescent="0.35">
      <c r="A950" s="574"/>
      <c r="B950" s="574"/>
      <c r="C950" s="574"/>
      <c r="D950" s="574"/>
      <c r="E950" s="574"/>
      <c r="F950" s="672" t="s">
        <v>898</v>
      </c>
      <c r="G950" s="735"/>
      <c r="H950" s="735"/>
      <c r="I950" s="735"/>
      <c r="J950" s="735"/>
      <c r="K950" s="735"/>
      <c r="L950" s="735"/>
      <c r="M950" s="735"/>
      <c r="N950" s="735"/>
      <c r="O950" s="735"/>
      <c r="P950" s="732"/>
      <c r="Q950" s="732"/>
      <c r="R950" s="732"/>
      <c r="S950" s="700">
        <v>0</v>
      </c>
      <c r="T950" s="700">
        <v>0</v>
      </c>
      <c r="U950" s="700">
        <v>0</v>
      </c>
      <c r="V950" s="700">
        <v>0</v>
      </c>
      <c r="W950" s="700">
        <v>0</v>
      </c>
      <c r="X950" s="700">
        <v>0</v>
      </c>
      <c r="Y950" s="700">
        <v>0</v>
      </c>
      <c r="Z950" s="700">
        <v>0</v>
      </c>
      <c r="AA950" s="700">
        <v>0</v>
      </c>
      <c r="AB950" s="700">
        <v>0</v>
      </c>
      <c r="AC950" s="682">
        <v>0</v>
      </c>
      <c r="AD950" s="682">
        <v>0</v>
      </c>
      <c r="AE950" s="732"/>
      <c r="AF950" s="732"/>
      <c r="AG950" s="732"/>
      <c r="AH950" s="732"/>
      <c r="AI950" s="732"/>
      <c r="AJ950" s="732"/>
      <c r="AK950" s="732"/>
      <c r="AL950" s="732"/>
      <c r="AM950" s="732"/>
      <c r="AN950" s="732"/>
      <c r="AO950" s="732"/>
      <c r="AP950" s="732"/>
      <c r="AQ950" s="732"/>
      <c r="AR950" s="732"/>
      <c r="AS950" s="732"/>
      <c r="AT950" s="732"/>
      <c r="AU950" s="732"/>
      <c r="AV950" s="732"/>
      <c r="AW950" s="732"/>
      <c r="AX950" s="732"/>
      <c r="AY950" s="732"/>
      <c r="AZ950" s="732"/>
      <c r="BA950" s="732"/>
      <c r="BB950" s="732"/>
      <c r="BC950" s="732"/>
      <c r="BD950" s="732"/>
      <c r="BE950" s="732"/>
      <c r="BF950" s="732"/>
      <c r="BG950" s="732"/>
      <c r="BH950" s="732"/>
      <c r="BI950" s="732"/>
      <c r="BJ950" s="732"/>
      <c r="BK950" s="732"/>
      <c r="BL950" s="732"/>
      <c r="BM950" s="732"/>
      <c r="BN950" s="732"/>
      <c r="BO950" s="732"/>
      <c r="BP950" s="732"/>
      <c r="BQ950" s="732"/>
      <c r="BR950" s="732"/>
      <c r="BS950" s="732"/>
      <c r="BT950" s="732"/>
      <c r="BU950" s="732"/>
      <c r="BV950" s="732"/>
      <c r="BW950" s="732"/>
      <c r="BX950" s="732"/>
      <c r="BY950" s="732"/>
      <c r="BZ950" s="732"/>
      <c r="CA950" s="732"/>
    </row>
    <row r="951" spans="1:79" hidden="1" outlineLevel="1" x14ac:dyDescent="0.35">
      <c r="A951" s="574"/>
      <c r="B951" s="574"/>
      <c r="C951" s="574"/>
      <c r="D951" s="574"/>
      <c r="E951" s="574"/>
      <c r="F951" s="672" t="s">
        <v>675</v>
      </c>
      <c r="G951" s="735"/>
      <c r="H951" s="735"/>
      <c r="I951" s="735"/>
      <c r="J951" s="735"/>
      <c r="K951" s="735"/>
      <c r="L951" s="735"/>
      <c r="M951" s="735"/>
      <c r="N951" s="735"/>
      <c r="O951" s="735"/>
      <c r="P951" s="732"/>
      <c r="Q951" s="732"/>
      <c r="R951" s="732"/>
      <c r="S951" s="700">
        <v>0</v>
      </c>
      <c r="T951" s="700">
        <v>0</v>
      </c>
      <c r="U951" s="700">
        <v>0</v>
      </c>
      <c r="V951" s="700">
        <v>0</v>
      </c>
      <c r="W951" s="700">
        <v>0</v>
      </c>
      <c r="X951" s="700">
        <v>0</v>
      </c>
      <c r="Y951" s="700">
        <v>0</v>
      </c>
      <c r="Z951" s="700">
        <v>0</v>
      </c>
      <c r="AA951" s="700">
        <v>0</v>
      </c>
      <c r="AB951" s="700">
        <v>0</v>
      </c>
      <c r="AC951" s="682">
        <v>0</v>
      </c>
      <c r="AD951" s="682">
        <v>0</v>
      </c>
      <c r="AE951" s="732"/>
      <c r="AF951" s="732"/>
      <c r="AG951" s="732"/>
      <c r="AH951" s="732"/>
      <c r="AI951" s="732"/>
      <c r="AJ951" s="732"/>
      <c r="AK951" s="732"/>
      <c r="AL951" s="732"/>
      <c r="AM951" s="732"/>
      <c r="AN951" s="732"/>
      <c r="AO951" s="732"/>
      <c r="AP951" s="732"/>
      <c r="AQ951" s="732"/>
      <c r="AR951" s="732"/>
      <c r="AS951" s="732"/>
      <c r="AT951" s="732"/>
      <c r="AU951" s="732"/>
      <c r="AV951" s="732"/>
      <c r="AW951" s="732"/>
      <c r="AX951" s="732"/>
      <c r="AY951" s="732"/>
      <c r="AZ951" s="732"/>
      <c r="BA951" s="732"/>
      <c r="BB951" s="732"/>
      <c r="BC951" s="732"/>
      <c r="BD951" s="732"/>
      <c r="BE951" s="732"/>
      <c r="BF951" s="732"/>
      <c r="BG951" s="732"/>
      <c r="BH951" s="732"/>
      <c r="BI951" s="732"/>
      <c r="BJ951" s="732"/>
      <c r="BK951" s="732"/>
      <c r="BL951" s="732"/>
      <c r="BM951" s="732"/>
      <c r="BN951" s="732"/>
      <c r="BO951" s="732"/>
      <c r="BP951" s="732"/>
      <c r="BQ951" s="732"/>
      <c r="BR951" s="732"/>
      <c r="BS951" s="732"/>
      <c r="BT951" s="732"/>
      <c r="BU951" s="732"/>
      <c r="BV951" s="732"/>
      <c r="BW951" s="732"/>
      <c r="BX951" s="732"/>
      <c r="BY951" s="732"/>
      <c r="BZ951" s="732"/>
      <c r="CA951" s="732"/>
    </row>
    <row r="952" spans="1:79" hidden="1" outlineLevel="1" x14ac:dyDescent="0.35">
      <c r="A952" s="574"/>
      <c r="B952" s="574"/>
      <c r="C952" s="574"/>
      <c r="D952" s="574"/>
      <c r="E952" s="574"/>
      <c r="F952" s="672" t="s">
        <v>899</v>
      </c>
      <c r="G952" s="735"/>
      <c r="H952" s="735"/>
      <c r="I952" s="735"/>
      <c r="J952" s="735"/>
      <c r="K952" s="735"/>
      <c r="L952" s="735"/>
      <c r="M952" s="735"/>
      <c r="N952" s="735"/>
      <c r="O952" s="735"/>
      <c r="P952" s="732"/>
      <c r="Q952" s="732"/>
      <c r="R952" s="732"/>
      <c r="S952" s="700">
        <v>0</v>
      </c>
      <c r="T952" s="700">
        <v>0</v>
      </c>
      <c r="U952" s="700">
        <v>0</v>
      </c>
      <c r="V952" s="700">
        <v>0</v>
      </c>
      <c r="W952" s="700">
        <v>0</v>
      </c>
      <c r="X952" s="700">
        <v>0</v>
      </c>
      <c r="Y952" s="700">
        <v>0</v>
      </c>
      <c r="Z952" s="700">
        <v>0</v>
      </c>
      <c r="AA952" s="700">
        <v>0</v>
      </c>
      <c r="AB952" s="700">
        <v>0</v>
      </c>
      <c r="AC952" s="682">
        <v>0</v>
      </c>
      <c r="AD952" s="682">
        <v>0</v>
      </c>
      <c r="AE952" s="732"/>
      <c r="AF952" s="732"/>
      <c r="AG952" s="732"/>
      <c r="AH952" s="732"/>
      <c r="AI952" s="732"/>
      <c r="AJ952" s="732"/>
      <c r="AK952" s="732"/>
      <c r="AL952" s="732"/>
      <c r="AM952" s="732"/>
      <c r="AN952" s="732"/>
      <c r="AO952" s="732"/>
      <c r="AP952" s="732"/>
      <c r="AQ952" s="732"/>
      <c r="AR952" s="732"/>
      <c r="AS952" s="732"/>
      <c r="AT952" s="732"/>
      <c r="AU952" s="732"/>
      <c r="AV952" s="732"/>
      <c r="AW952" s="732"/>
      <c r="AX952" s="732"/>
      <c r="AY952" s="732"/>
      <c r="AZ952" s="732"/>
      <c r="BA952" s="732"/>
      <c r="BB952" s="732"/>
      <c r="BC952" s="732"/>
      <c r="BD952" s="732"/>
      <c r="BE952" s="732"/>
      <c r="BF952" s="732"/>
      <c r="BG952" s="732"/>
      <c r="BH952" s="732"/>
      <c r="BI952" s="732"/>
      <c r="BJ952" s="732"/>
      <c r="BK952" s="732"/>
      <c r="BL952" s="732"/>
      <c r="BM952" s="732"/>
      <c r="BN952" s="732"/>
      <c r="BO952" s="732"/>
      <c r="BP952" s="732"/>
      <c r="BQ952" s="732"/>
      <c r="BR952" s="732"/>
      <c r="BS952" s="732"/>
      <c r="BT952" s="732"/>
      <c r="BU952" s="732"/>
      <c r="BV952" s="732"/>
      <c r="BW952" s="732"/>
      <c r="BX952" s="732"/>
      <c r="BY952" s="732"/>
      <c r="BZ952" s="732"/>
      <c r="CA952" s="732"/>
    </row>
    <row r="953" spans="1:79" hidden="1" outlineLevel="1" x14ac:dyDescent="0.35">
      <c r="A953" s="574"/>
      <c r="B953" s="574"/>
      <c r="C953" s="574"/>
      <c r="D953" s="574"/>
      <c r="E953" s="574"/>
      <c r="F953" s="673" t="s">
        <v>676</v>
      </c>
      <c r="G953" s="680">
        <f>SUM(G949:G952)</f>
        <v>0</v>
      </c>
      <c r="H953" s="680">
        <f t="shared" ref="H953:BO953" si="366">SUM(H949:H952)</f>
        <v>0</v>
      </c>
      <c r="I953" s="680">
        <f t="shared" si="366"/>
        <v>0</v>
      </c>
      <c r="J953" s="680">
        <f t="shared" si="366"/>
        <v>0</v>
      </c>
      <c r="K953" s="680">
        <f t="shared" si="366"/>
        <v>0</v>
      </c>
      <c r="L953" s="680">
        <f t="shared" si="366"/>
        <v>0</v>
      </c>
      <c r="M953" s="680">
        <f t="shared" si="366"/>
        <v>0</v>
      </c>
      <c r="N953" s="680">
        <f t="shared" si="366"/>
        <v>0</v>
      </c>
      <c r="O953" s="680">
        <f t="shared" si="366"/>
        <v>0</v>
      </c>
      <c r="P953" s="680">
        <f t="shared" si="366"/>
        <v>0</v>
      </c>
      <c r="Q953" s="680">
        <f t="shared" si="366"/>
        <v>0</v>
      </c>
      <c r="R953" s="680">
        <f t="shared" si="366"/>
        <v>0</v>
      </c>
      <c r="S953" s="696">
        <f t="shared" ref="S953:AA953" si="367">ROUND(SUM(S948:S952),5)</f>
        <v>0</v>
      </c>
      <c r="T953" s="696">
        <f t="shared" si="367"/>
        <v>0</v>
      </c>
      <c r="U953" s="696">
        <f t="shared" si="367"/>
        <v>0</v>
      </c>
      <c r="V953" s="696">
        <f t="shared" si="367"/>
        <v>0</v>
      </c>
      <c r="W953" s="696">
        <f t="shared" si="367"/>
        <v>0</v>
      </c>
      <c r="X953" s="696">
        <f t="shared" si="367"/>
        <v>0</v>
      </c>
      <c r="Y953" s="696">
        <f t="shared" si="367"/>
        <v>0</v>
      </c>
      <c r="Z953" s="696">
        <f t="shared" si="367"/>
        <v>0</v>
      </c>
      <c r="AA953" s="696">
        <f t="shared" si="367"/>
        <v>0</v>
      </c>
      <c r="AB953" s="696">
        <f>ROUND(SUM(AB948:AB952),5)</f>
        <v>0</v>
      </c>
      <c r="AC953" s="696">
        <f>ROUND(SUM(AC948:AC952),5)</f>
        <v>0</v>
      </c>
      <c r="AD953" s="696">
        <f>ROUND(SUM(AD948:AD952),5)</f>
        <v>0</v>
      </c>
      <c r="AE953" s="680">
        <f t="shared" si="366"/>
        <v>0</v>
      </c>
      <c r="AF953" s="680">
        <f t="shared" si="366"/>
        <v>0</v>
      </c>
      <c r="AG953" s="680">
        <f t="shared" si="366"/>
        <v>0</v>
      </c>
      <c r="AH953" s="680">
        <f t="shared" si="366"/>
        <v>0</v>
      </c>
      <c r="AI953" s="680">
        <f t="shared" si="366"/>
        <v>0</v>
      </c>
      <c r="AJ953" s="680">
        <f t="shared" si="366"/>
        <v>0</v>
      </c>
      <c r="AK953" s="680">
        <f t="shared" si="366"/>
        <v>0</v>
      </c>
      <c r="AL953" s="680">
        <f t="shared" si="366"/>
        <v>0</v>
      </c>
      <c r="AM953" s="680">
        <f t="shared" si="366"/>
        <v>0</v>
      </c>
      <c r="AN953" s="680">
        <f t="shared" si="366"/>
        <v>0</v>
      </c>
      <c r="AO953" s="680">
        <f t="shared" si="366"/>
        <v>0</v>
      </c>
      <c r="AP953" s="680">
        <f t="shared" si="366"/>
        <v>0</v>
      </c>
      <c r="AQ953" s="680">
        <f t="shared" si="366"/>
        <v>0</v>
      </c>
      <c r="AR953" s="680">
        <f t="shared" si="366"/>
        <v>0</v>
      </c>
      <c r="AS953" s="680">
        <f t="shared" si="366"/>
        <v>0</v>
      </c>
      <c r="AT953" s="680">
        <f t="shared" si="366"/>
        <v>0</v>
      </c>
      <c r="AU953" s="680">
        <f t="shared" si="366"/>
        <v>0</v>
      </c>
      <c r="AV953" s="680">
        <f t="shared" si="366"/>
        <v>0</v>
      </c>
      <c r="AW953" s="680">
        <f t="shared" si="366"/>
        <v>0</v>
      </c>
      <c r="AX953" s="680">
        <f t="shared" si="366"/>
        <v>0</v>
      </c>
      <c r="AY953" s="680">
        <f t="shared" si="366"/>
        <v>0</v>
      </c>
      <c r="AZ953" s="680">
        <f t="shared" si="366"/>
        <v>0</v>
      </c>
      <c r="BA953" s="680">
        <f t="shared" si="366"/>
        <v>0</v>
      </c>
      <c r="BB953" s="680">
        <f t="shared" si="366"/>
        <v>0</v>
      </c>
      <c r="BC953" s="680">
        <f t="shared" si="366"/>
        <v>0</v>
      </c>
      <c r="BD953" s="680">
        <f t="shared" si="366"/>
        <v>0</v>
      </c>
      <c r="BE953" s="680">
        <f t="shared" si="366"/>
        <v>0</v>
      </c>
      <c r="BF953" s="680">
        <f t="shared" si="366"/>
        <v>0</v>
      </c>
      <c r="BG953" s="680">
        <f t="shared" si="366"/>
        <v>0</v>
      </c>
      <c r="BH953" s="680">
        <f t="shared" si="366"/>
        <v>0</v>
      </c>
      <c r="BI953" s="680">
        <f t="shared" si="366"/>
        <v>0</v>
      </c>
      <c r="BJ953" s="680">
        <f t="shared" si="366"/>
        <v>0</v>
      </c>
      <c r="BK953" s="680">
        <f t="shared" si="366"/>
        <v>0</v>
      </c>
      <c r="BL953" s="680">
        <f t="shared" si="366"/>
        <v>0</v>
      </c>
      <c r="BM953" s="680">
        <f t="shared" si="366"/>
        <v>0</v>
      </c>
      <c r="BN953" s="680">
        <f t="shared" si="366"/>
        <v>0</v>
      </c>
      <c r="BO953" s="680">
        <f t="shared" si="366"/>
        <v>0</v>
      </c>
      <c r="BP953" s="680">
        <f t="shared" ref="BP953:CA953" si="368">SUM(BP949:BP952)</f>
        <v>0</v>
      </c>
      <c r="BQ953" s="680">
        <f t="shared" si="368"/>
        <v>0</v>
      </c>
      <c r="BR953" s="680">
        <f t="shared" si="368"/>
        <v>0</v>
      </c>
      <c r="BS953" s="680">
        <f t="shared" si="368"/>
        <v>0</v>
      </c>
      <c r="BT953" s="680">
        <f t="shared" si="368"/>
        <v>0</v>
      </c>
      <c r="BU953" s="680">
        <f t="shared" si="368"/>
        <v>0</v>
      </c>
      <c r="BV953" s="680">
        <f t="shared" si="368"/>
        <v>0</v>
      </c>
      <c r="BW953" s="680">
        <f t="shared" si="368"/>
        <v>0</v>
      </c>
      <c r="BX953" s="680">
        <f t="shared" si="368"/>
        <v>0</v>
      </c>
      <c r="BY953" s="680">
        <f t="shared" si="368"/>
        <v>0</v>
      </c>
      <c r="BZ953" s="680">
        <f t="shared" si="368"/>
        <v>0</v>
      </c>
      <c r="CA953" s="680">
        <f t="shared" si="368"/>
        <v>0</v>
      </c>
    </row>
    <row r="954" spans="1:79" hidden="1" outlineLevel="1" x14ac:dyDescent="0.35">
      <c r="F954" s="674" t="s">
        <v>652</v>
      </c>
      <c r="G954" s="735">
        <v>101.88996315675865</v>
      </c>
      <c r="H954" s="735">
        <v>55.494573949050306</v>
      </c>
      <c r="I954" s="735">
        <v>30.325835853416635</v>
      </c>
      <c r="J954" s="735">
        <v>18.41145880116699</v>
      </c>
      <c r="K954" s="735">
        <v>23.111616111409397</v>
      </c>
      <c r="L954" s="735">
        <v>24.260766034100698</v>
      </c>
      <c r="M954" s="735">
        <v>96.458978080981979</v>
      </c>
      <c r="N954" s="735">
        <v>14.870551335231093</v>
      </c>
      <c r="O954" s="735">
        <v>17.037497583461448</v>
      </c>
      <c r="P954" s="732">
        <v>10.362117996910827</v>
      </c>
      <c r="Q954" s="732">
        <v>17.420905154109651</v>
      </c>
      <c r="R954" s="732">
        <v>10.388965380541581</v>
      </c>
      <c r="S954" s="704">
        <v>0</v>
      </c>
      <c r="T954" s="704">
        <v>0</v>
      </c>
      <c r="U954" s="704">
        <v>0</v>
      </c>
      <c r="V954" s="704">
        <v>0</v>
      </c>
      <c r="W954" s="704">
        <v>0</v>
      </c>
      <c r="X954" s="704">
        <v>0</v>
      </c>
      <c r="Y954" s="704">
        <v>0</v>
      </c>
      <c r="Z954" s="704">
        <v>0</v>
      </c>
      <c r="AA954" s="704">
        <v>0</v>
      </c>
      <c r="AB954" s="704">
        <v>0</v>
      </c>
      <c r="AC954" s="682">
        <v>0</v>
      </c>
      <c r="AD954" s="682">
        <v>0</v>
      </c>
      <c r="AE954" s="732"/>
      <c r="AF954" s="732"/>
      <c r="AG954" s="732"/>
      <c r="AH954" s="732"/>
      <c r="AI954" s="732"/>
      <c r="AJ954" s="732"/>
      <c r="AK954" s="732"/>
      <c r="AL954" s="732"/>
      <c r="AM954" s="732"/>
      <c r="AN954" s="732"/>
      <c r="AO954" s="732"/>
      <c r="AP954" s="732"/>
      <c r="AQ954" s="732"/>
      <c r="AR954" s="732"/>
      <c r="AS954" s="732"/>
      <c r="AT954" s="732"/>
      <c r="AU954" s="732"/>
      <c r="AV954" s="732"/>
      <c r="AW954" s="732"/>
      <c r="AX954" s="732"/>
      <c r="AY954" s="732"/>
      <c r="AZ954" s="732"/>
      <c r="BA954" s="732"/>
      <c r="BB954" s="732"/>
      <c r="BC954" s="732"/>
      <c r="BD954" s="732"/>
      <c r="BE954" s="732"/>
      <c r="BF954" s="732"/>
      <c r="BG954" s="732"/>
      <c r="BH954" s="732"/>
      <c r="BI954" s="732"/>
      <c r="BJ954" s="732"/>
      <c r="BK954" s="732"/>
      <c r="BL954" s="732"/>
      <c r="BM954" s="732"/>
      <c r="BN954" s="732"/>
      <c r="BO954" s="732"/>
      <c r="BP954" s="732"/>
      <c r="BQ954" s="732"/>
      <c r="BR954" s="732"/>
      <c r="BS954" s="732"/>
      <c r="BT954" s="732"/>
      <c r="BU954" s="732"/>
      <c r="BV954" s="732"/>
      <c r="BW954" s="732"/>
      <c r="BX954" s="732"/>
      <c r="BY954" s="732"/>
      <c r="BZ954" s="732"/>
      <c r="CA954" s="732"/>
    </row>
    <row r="955" spans="1:79" hidden="1" outlineLevel="1" x14ac:dyDescent="0.35">
      <c r="F955" s="674" t="s">
        <v>603</v>
      </c>
      <c r="G955" s="735">
        <v>65.117992140094188</v>
      </c>
      <c r="H955" s="735">
        <v>180.51565166673291</v>
      </c>
      <c r="I955" s="735">
        <v>127.46854381982527</v>
      </c>
      <c r="J955" s="735">
        <v>406.52180121215673</v>
      </c>
      <c r="K955" s="735">
        <v>409.20977470753769</v>
      </c>
      <c r="L955" s="735">
        <v>1809.5835095657551</v>
      </c>
      <c r="M955" s="735">
        <v>138.96280478750921</v>
      </c>
      <c r="N955" s="735">
        <v>408.63650401947751</v>
      </c>
      <c r="O955" s="735">
        <v>809.78355384644988</v>
      </c>
      <c r="P955" s="732">
        <v>596.09508245609743</v>
      </c>
      <c r="Q955" s="732">
        <v>273.70431706133076</v>
      </c>
      <c r="R955" s="732">
        <v>50.791780503278034</v>
      </c>
      <c r="S955" s="683">
        <v>15553.65</v>
      </c>
      <c r="T955" s="683">
        <v>2738.56</v>
      </c>
      <c r="U955" s="683">
        <v>945.32</v>
      </c>
      <c r="V955" s="683">
        <v>1546.26</v>
      </c>
      <c r="W955" s="683">
        <v>1394.35</v>
      </c>
      <c r="X955" s="683">
        <v>1880.32</v>
      </c>
      <c r="Y955" s="683">
        <v>1961.7</v>
      </c>
      <c r="Z955" s="683">
        <v>882.14</v>
      </c>
      <c r="AA955" s="683">
        <v>1939.87</v>
      </c>
      <c r="AB955" s="683">
        <v>2982.61</v>
      </c>
      <c r="AC955" s="702">
        <v>-210.73</v>
      </c>
      <c r="AD955" s="702">
        <v>1421.8</v>
      </c>
      <c r="AE955" s="732"/>
      <c r="AF955" s="732"/>
      <c r="AG955" s="732"/>
      <c r="AH955" s="732"/>
      <c r="AI955" s="732"/>
      <c r="AJ955" s="732"/>
      <c r="AK955" s="732"/>
      <c r="AL955" s="732"/>
      <c r="AM955" s="732"/>
      <c r="AN955" s="732"/>
      <c r="AO955" s="732"/>
      <c r="AP955" s="732"/>
      <c r="AQ955" s="732"/>
      <c r="AR955" s="732"/>
      <c r="AS955" s="732"/>
      <c r="AT955" s="732"/>
      <c r="AU955" s="732"/>
      <c r="AV955" s="732"/>
      <c r="AW955" s="732"/>
      <c r="AX955" s="732"/>
      <c r="AY955" s="732"/>
      <c r="AZ955" s="732"/>
      <c r="BA955" s="732"/>
      <c r="BB955" s="732"/>
      <c r="BC955" s="732"/>
      <c r="BD955" s="732"/>
      <c r="BE955" s="732"/>
      <c r="BF955" s="732"/>
      <c r="BG955" s="732"/>
      <c r="BH955" s="732"/>
      <c r="BI955" s="732"/>
      <c r="BJ955" s="732"/>
      <c r="BK955" s="732"/>
      <c r="BL955" s="732"/>
      <c r="BM955" s="732"/>
      <c r="BN955" s="732"/>
      <c r="BO955" s="732"/>
      <c r="BP955" s="732"/>
      <c r="BQ955" s="732"/>
      <c r="BR955" s="732"/>
      <c r="BS955" s="732"/>
      <c r="BT955" s="732"/>
      <c r="BU955" s="732"/>
      <c r="BV955" s="732"/>
      <c r="BW955" s="732"/>
      <c r="BX955" s="732"/>
      <c r="BY955" s="732"/>
      <c r="BZ955" s="732"/>
      <c r="CA955" s="732"/>
    </row>
    <row r="956" spans="1:79" s="709" customFormat="1" hidden="1" outlineLevel="1" x14ac:dyDescent="0.35">
      <c r="F956" s="707" t="s">
        <v>677</v>
      </c>
      <c r="G956" s="750"/>
      <c r="H956" s="750"/>
      <c r="I956" s="750"/>
      <c r="J956" s="750"/>
      <c r="K956" s="750"/>
      <c r="L956" s="750"/>
      <c r="M956" s="750"/>
      <c r="N956" s="750"/>
      <c r="O956" s="750"/>
      <c r="P956" s="751"/>
      <c r="Q956" s="751"/>
      <c r="R956" s="751"/>
      <c r="S956" s="720"/>
      <c r="T956" s="720"/>
      <c r="U956" s="720"/>
      <c r="V956" s="720"/>
      <c r="W956" s="720"/>
      <c r="X956" s="720"/>
      <c r="Y956" s="720"/>
      <c r="Z956" s="720"/>
      <c r="AA956" s="720"/>
      <c r="AB956" s="720"/>
      <c r="AC956" s="719"/>
      <c r="AD956" s="719"/>
      <c r="AE956" s="751"/>
      <c r="AF956" s="751"/>
      <c r="AG956" s="751"/>
      <c r="AH956" s="751"/>
      <c r="AI956" s="751"/>
      <c r="AJ956" s="751"/>
      <c r="AK956" s="751"/>
      <c r="AL956" s="751"/>
      <c r="AM956" s="751"/>
      <c r="AN956" s="751"/>
      <c r="AO956" s="751"/>
      <c r="AP956" s="751"/>
      <c r="AQ956" s="751"/>
      <c r="AR956" s="751"/>
      <c r="AS956" s="751"/>
      <c r="AT956" s="751"/>
      <c r="AU956" s="751"/>
      <c r="AV956" s="751"/>
      <c r="AW956" s="751"/>
      <c r="AX956" s="751"/>
      <c r="AY956" s="751"/>
      <c r="AZ956" s="751"/>
      <c r="BA956" s="751"/>
      <c r="BB956" s="751"/>
      <c r="BC956" s="751"/>
      <c r="BD956" s="751"/>
      <c r="BE956" s="751"/>
      <c r="BF956" s="751"/>
      <c r="BG956" s="751"/>
      <c r="BH956" s="751"/>
      <c r="BI956" s="751"/>
      <c r="BJ956" s="751"/>
      <c r="BK956" s="751"/>
      <c r="BL956" s="751"/>
      <c r="BM956" s="751"/>
      <c r="BN956" s="751"/>
      <c r="BO956" s="751"/>
      <c r="BP956" s="751"/>
      <c r="BQ956" s="751"/>
      <c r="BR956" s="751"/>
      <c r="BS956" s="751"/>
      <c r="BT956" s="751"/>
      <c r="BU956" s="751"/>
      <c r="BV956" s="751"/>
      <c r="BW956" s="751"/>
      <c r="BX956" s="751"/>
      <c r="BY956" s="751"/>
      <c r="BZ956" s="751"/>
      <c r="CA956" s="751"/>
    </row>
    <row r="957" spans="1:79" hidden="1" outlineLevel="1" x14ac:dyDescent="0.35">
      <c r="A957" s="574"/>
      <c r="B957" s="574"/>
      <c r="C957" s="574"/>
      <c r="D957" s="574"/>
      <c r="E957" s="574"/>
      <c r="F957" s="672" t="s">
        <v>900</v>
      </c>
      <c r="G957" s="735"/>
      <c r="H957" s="735"/>
      <c r="I957" s="735"/>
      <c r="J957" s="735"/>
      <c r="K957" s="735"/>
      <c r="L957" s="735"/>
      <c r="M957" s="735"/>
      <c r="N957" s="735"/>
      <c r="O957" s="735"/>
      <c r="P957" s="732"/>
      <c r="Q957" s="732"/>
      <c r="R957" s="732"/>
      <c r="S957" s="683">
        <v>0</v>
      </c>
      <c r="T957" s="683">
        <v>0</v>
      </c>
      <c r="U957" s="683">
        <v>0</v>
      </c>
      <c r="V957" s="683">
        <v>0</v>
      </c>
      <c r="W957" s="683">
        <v>0</v>
      </c>
      <c r="X957" s="683">
        <v>0</v>
      </c>
      <c r="Y957" s="683">
        <v>0</v>
      </c>
      <c r="Z957" s="683">
        <v>0</v>
      </c>
      <c r="AA957" s="683">
        <v>0</v>
      </c>
      <c r="AB957" s="683">
        <v>0</v>
      </c>
      <c r="AC957" s="702">
        <v>0</v>
      </c>
      <c r="AD957" s="702">
        <v>0</v>
      </c>
      <c r="AE957" s="732"/>
      <c r="AF957" s="732"/>
      <c r="AG957" s="732"/>
      <c r="AH957" s="732"/>
      <c r="AI957" s="732"/>
      <c r="AJ957" s="732"/>
      <c r="AK957" s="732"/>
      <c r="AL957" s="732"/>
      <c r="AM957" s="732"/>
      <c r="AN957" s="732"/>
      <c r="AO957" s="732"/>
      <c r="AP957" s="732"/>
      <c r="AQ957" s="732"/>
      <c r="AR957" s="732"/>
      <c r="AS957" s="732"/>
      <c r="AT957" s="732"/>
      <c r="AU957" s="732"/>
      <c r="AV957" s="732"/>
      <c r="AW957" s="732"/>
      <c r="AX957" s="732"/>
      <c r="AY957" s="732"/>
      <c r="AZ957" s="732"/>
      <c r="BA957" s="732"/>
      <c r="BB957" s="732"/>
      <c r="BC957" s="732"/>
      <c r="BD957" s="732"/>
      <c r="BE957" s="732"/>
      <c r="BF957" s="732"/>
      <c r="BG957" s="732"/>
      <c r="BH957" s="732"/>
      <c r="BI957" s="732"/>
      <c r="BJ957" s="732"/>
      <c r="BK957" s="732"/>
      <c r="BL957" s="732"/>
      <c r="BM957" s="732"/>
      <c r="BN957" s="732"/>
      <c r="BO957" s="732"/>
      <c r="BP957" s="732"/>
      <c r="BQ957" s="732"/>
      <c r="BR957" s="732"/>
      <c r="BS957" s="732"/>
      <c r="BT957" s="732"/>
      <c r="BU957" s="732"/>
      <c r="BV957" s="732"/>
      <c r="BW957" s="732"/>
      <c r="BX957" s="732"/>
      <c r="BY957" s="732"/>
      <c r="BZ957" s="732"/>
      <c r="CA957" s="732"/>
    </row>
    <row r="958" spans="1:79" hidden="1" outlineLevel="1" x14ac:dyDescent="0.35">
      <c r="A958" s="574"/>
      <c r="B958" s="574"/>
      <c r="C958" s="574"/>
      <c r="D958" s="574"/>
      <c r="E958" s="574"/>
      <c r="F958" s="672" t="s">
        <v>678</v>
      </c>
      <c r="G958" s="735"/>
      <c r="H958" s="735"/>
      <c r="I958" s="735"/>
      <c r="J958" s="735"/>
      <c r="K958" s="735"/>
      <c r="L958" s="735"/>
      <c r="M958" s="735"/>
      <c r="N958" s="735"/>
      <c r="O958" s="735"/>
      <c r="P958" s="732"/>
      <c r="Q958" s="732"/>
      <c r="R958" s="732"/>
      <c r="S958" s="683">
        <v>0</v>
      </c>
      <c r="T958" s="683">
        <v>0</v>
      </c>
      <c r="U958" s="683">
        <v>0</v>
      </c>
      <c r="V958" s="683">
        <v>0</v>
      </c>
      <c r="W958" s="683">
        <v>0</v>
      </c>
      <c r="X958" s="683">
        <v>0</v>
      </c>
      <c r="Y958" s="683">
        <v>0</v>
      </c>
      <c r="Z958" s="683">
        <v>0</v>
      </c>
      <c r="AA958" s="683">
        <v>0</v>
      </c>
      <c r="AB958" s="683">
        <v>0</v>
      </c>
      <c r="AC958" s="702">
        <v>0</v>
      </c>
      <c r="AD958" s="702">
        <v>0</v>
      </c>
      <c r="AE958" s="732"/>
      <c r="AF958" s="732"/>
      <c r="AG958" s="732"/>
      <c r="AH958" s="732"/>
      <c r="AI958" s="732"/>
      <c r="AJ958" s="732"/>
      <c r="AK958" s="732"/>
      <c r="AL958" s="732"/>
      <c r="AM958" s="732"/>
      <c r="AN958" s="732"/>
      <c r="AO958" s="732"/>
      <c r="AP958" s="732"/>
      <c r="AQ958" s="732"/>
      <c r="AR958" s="732"/>
      <c r="AS958" s="732"/>
      <c r="AT958" s="732"/>
      <c r="AU958" s="732"/>
      <c r="AV958" s="732"/>
      <c r="AW958" s="732"/>
      <c r="AX958" s="732"/>
      <c r="AY958" s="732"/>
      <c r="AZ958" s="732"/>
      <c r="BA958" s="732"/>
      <c r="BB958" s="732"/>
      <c r="BC958" s="732"/>
      <c r="BD958" s="732"/>
      <c r="BE958" s="732"/>
      <c r="BF958" s="732"/>
      <c r="BG958" s="732"/>
      <c r="BH958" s="732"/>
      <c r="BI958" s="732"/>
      <c r="BJ958" s="732"/>
      <c r="BK958" s="732"/>
      <c r="BL958" s="732"/>
      <c r="BM958" s="732"/>
      <c r="BN958" s="732"/>
      <c r="BO958" s="732"/>
      <c r="BP958" s="732"/>
      <c r="BQ958" s="732"/>
      <c r="BR958" s="732"/>
      <c r="BS958" s="732"/>
      <c r="BT958" s="732"/>
      <c r="BU958" s="732"/>
      <c r="BV958" s="732"/>
      <c r="BW958" s="732"/>
      <c r="BX958" s="732"/>
      <c r="BY958" s="732"/>
      <c r="BZ958" s="732"/>
      <c r="CA958" s="732"/>
    </row>
    <row r="959" spans="1:79" hidden="1" outlineLevel="1" x14ac:dyDescent="0.35">
      <c r="A959" s="574"/>
      <c r="B959" s="574"/>
      <c r="C959" s="574"/>
      <c r="D959" s="574"/>
      <c r="E959" s="574"/>
      <c r="F959" s="672" t="s">
        <v>901</v>
      </c>
      <c r="G959" s="735"/>
      <c r="H959" s="735"/>
      <c r="I959" s="735"/>
      <c r="J959" s="735"/>
      <c r="K959" s="735"/>
      <c r="L959" s="735"/>
      <c r="M959" s="735"/>
      <c r="N959" s="735"/>
      <c r="O959" s="735"/>
      <c r="P959" s="732"/>
      <c r="Q959" s="732"/>
      <c r="R959" s="732"/>
      <c r="S959" s="683">
        <v>0</v>
      </c>
      <c r="T959" s="683">
        <v>0</v>
      </c>
      <c r="U959" s="683">
        <v>0</v>
      </c>
      <c r="V959" s="683">
        <v>0</v>
      </c>
      <c r="W959" s="683">
        <v>0</v>
      </c>
      <c r="X959" s="683">
        <v>0</v>
      </c>
      <c r="Y959" s="683">
        <v>0</v>
      </c>
      <c r="Z959" s="683">
        <v>0</v>
      </c>
      <c r="AA959" s="683">
        <v>0</v>
      </c>
      <c r="AB959" s="683">
        <v>0</v>
      </c>
      <c r="AC959" s="702">
        <v>0</v>
      </c>
      <c r="AD959" s="702">
        <v>0</v>
      </c>
      <c r="AE959" s="732"/>
      <c r="AF959" s="732"/>
      <c r="AG959" s="732"/>
      <c r="AH959" s="732"/>
      <c r="AI959" s="732"/>
      <c r="AJ959" s="732"/>
      <c r="AK959" s="732"/>
      <c r="AL959" s="732"/>
      <c r="AM959" s="732"/>
      <c r="AN959" s="732"/>
      <c r="AO959" s="732"/>
      <c r="AP959" s="732"/>
      <c r="AQ959" s="732"/>
      <c r="AR959" s="732"/>
      <c r="AS959" s="732"/>
      <c r="AT959" s="732"/>
      <c r="AU959" s="732"/>
      <c r="AV959" s="732"/>
      <c r="AW959" s="732"/>
      <c r="AX959" s="732"/>
      <c r="AY959" s="732"/>
      <c r="AZ959" s="732"/>
      <c r="BA959" s="732"/>
      <c r="BB959" s="732"/>
      <c r="BC959" s="732"/>
      <c r="BD959" s="732"/>
      <c r="BE959" s="732"/>
      <c r="BF959" s="732"/>
      <c r="BG959" s="732"/>
      <c r="BH959" s="732"/>
      <c r="BI959" s="732"/>
      <c r="BJ959" s="732"/>
      <c r="BK959" s="732"/>
      <c r="BL959" s="732"/>
      <c r="BM959" s="732"/>
      <c r="BN959" s="732"/>
      <c r="BO959" s="732"/>
      <c r="BP959" s="732"/>
      <c r="BQ959" s="732"/>
      <c r="BR959" s="732"/>
      <c r="BS959" s="732"/>
      <c r="BT959" s="732"/>
      <c r="BU959" s="732"/>
      <c r="BV959" s="732"/>
      <c r="BW959" s="732"/>
      <c r="BX959" s="732"/>
      <c r="BY959" s="732"/>
      <c r="BZ959" s="732"/>
      <c r="CA959" s="732"/>
    </row>
    <row r="960" spans="1:79" hidden="1" outlineLevel="1" x14ac:dyDescent="0.35">
      <c r="A960" s="574"/>
      <c r="B960" s="574"/>
      <c r="C960" s="574"/>
      <c r="D960" s="574"/>
      <c r="E960" s="574"/>
      <c r="F960" s="672" t="s">
        <v>771</v>
      </c>
      <c r="G960" s="735"/>
      <c r="H960" s="735"/>
      <c r="I960" s="735"/>
      <c r="J960" s="735"/>
      <c r="K960" s="735"/>
      <c r="L960" s="735"/>
      <c r="M960" s="735"/>
      <c r="N960" s="735"/>
      <c r="O960" s="735"/>
      <c r="P960" s="732"/>
      <c r="Q960" s="732"/>
      <c r="R960" s="732"/>
      <c r="S960" s="683">
        <v>0</v>
      </c>
      <c r="T960" s="683">
        <v>0</v>
      </c>
      <c r="U960" s="683">
        <v>0</v>
      </c>
      <c r="V960" s="683">
        <v>0</v>
      </c>
      <c r="W960" s="683">
        <v>0</v>
      </c>
      <c r="X960" s="683">
        <v>0</v>
      </c>
      <c r="Y960" s="683">
        <v>0</v>
      </c>
      <c r="Z960" s="683">
        <v>0</v>
      </c>
      <c r="AA960" s="683">
        <v>0</v>
      </c>
      <c r="AB960" s="683">
        <v>0</v>
      </c>
      <c r="AC960" s="702">
        <v>0</v>
      </c>
      <c r="AD960" s="702">
        <v>0</v>
      </c>
      <c r="AE960" s="732"/>
      <c r="AF960" s="732"/>
      <c r="AG960" s="732"/>
      <c r="AH960" s="732"/>
      <c r="AI960" s="732"/>
      <c r="AJ960" s="732"/>
      <c r="AK960" s="732"/>
      <c r="AL960" s="732"/>
      <c r="AM960" s="732"/>
      <c r="AN960" s="732"/>
      <c r="AO960" s="732"/>
      <c r="AP960" s="732"/>
      <c r="AQ960" s="732"/>
      <c r="AR960" s="732"/>
      <c r="AS960" s="732"/>
      <c r="AT960" s="732"/>
      <c r="AU960" s="732"/>
      <c r="AV960" s="732"/>
      <c r="AW960" s="732"/>
      <c r="AX960" s="732"/>
      <c r="AY960" s="732"/>
      <c r="AZ960" s="732"/>
      <c r="BA960" s="732"/>
      <c r="BB960" s="732"/>
      <c r="BC960" s="732"/>
      <c r="BD960" s="732"/>
      <c r="BE960" s="732"/>
      <c r="BF960" s="732"/>
      <c r="BG960" s="732"/>
      <c r="BH960" s="732"/>
      <c r="BI960" s="732"/>
      <c r="BJ960" s="732"/>
      <c r="BK960" s="732"/>
      <c r="BL960" s="732"/>
      <c r="BM960" s="732"/>
      <c r="BN960" s="732"/>
      <c r="BO960" s="732"/>
      <c r="BP960" s="732"/>
      <c r="BQ960" s="732"/>
      <c r="BR960" s="732"/>
      <c r="BS960" s="732"/>
      <c r="BT960" s="732"/>
      <c r="BU960" s="732"/>
      <c r="BV960" s="732"/>
      <c r="BW960" s="732"/>
      <c r="BX960" s="732"/>
      <c r="BY960" s="732"/>
      <c r="BZ960" s="732"/>
      <c r="CA960" s="732"/>
    </row>
    <row r="961" spans="1:79" hidden="1" outlineLevel="1" x14ac:dyDescent="0.35">
      <c r="A961" s="574"/>
      <c r="B961" s="574"/>
      <c r="C961" s="574"/>
      <c r="D961" s="574"/>
      <c r="E961" s="574"/>
      <c r="F961" s="673" t="s">
        <v>679</v>
      </c>
      <c r="G961" s="680">
        <f>SUM(G957:G960)</f>
        <v>0</v>
      </c>
      <c r="H961" s="680">
        <f t="shared" ref="H961:BO961" si="369">SUM(H957:H960)</f>
        <v>0</v>
      </c>
      <c r="I961" s="680">
        <f t="shared" si="369"/>
        <v>0</v>
      </c>
      <c r="J961" s="680">
        <f t="shared" si="369"/>
        <v>0</v>
      </c>
      <c r="K961" s="680">
        <f t="shared" si="369"/>
        <v>0</v>
      </c>
      <c r="L961" s="680">
        <f t="shared" si="369"/>
        <v>0</v>
      </c>
      <c r="M961" s="680">
        <f t="shared" si="369"/>
        <v>0</v>
      </c>
      <c r="N961" s="680">
        <f t="shared" si="369"/>
        <v>0</v>
      </c>
      <c r="O961" s="680">
        <f t="shared" si="369"/>
        <v>0</v>
      </c>
      <c r="P961" s="680">
        <f t="shared" si="369"/>
        <v>0</v>
      </c>
      <c r="Q961" s="680">
        <f t="shared" si="369"/>
        <v>0</v>
      </c>
      <c r="R961" s="680">
        <f t="shared" si="369"/>
        <v>0</v>
      </c>
      <c r="S961" s="694">
        <f t="shared" ref="S961:AA961" si="370">ROUND(SUM(S956:S960),5)</f>
        <v>0</v>
      </c>
      <c r="T961" s="694">
        <f t="shared" si="370"/>
        <v>0</v>
      </c>
      <c r="U961" s="694">
        <f t="shared" si="370"/>
        <v>0</v>
      </c>
      <c r="V961" s="694">
        <f t="shared" si="370"/>
        <v>0</v>
      </c>
      <c r="W961" s="694">
        <f t="shared" si="370"/>
        <v>0</v>
      </c>
      <c r="X961" s="694">
        <f t="shared" si="370"/>
        <v>0</v>
      </c>
      <c r="Y961" s="694">
        <f t="shared" si="370"/>
        <v>0</v>
      </c>
      <c r="Z961" s="694">
        <f t="shared" si="370"/>
        <v>0</v>
      </c>
      <c r="AA961" s="694">
        <f t="shared" si="370"/>
        <v>0</v>
      </c>
      <c r="AB961" s="694">
        <f>ROUND(SUM(AB956:AB960),5)</f>
        <v>0</v>
      </c>
      <c r="AC961" s="694">
        <f>ROUND(SUM(AC956:AC960),5)</f>
        <v>0</v>
      </c>
      <c r="AD961" s="694">
        <f>ROUND(SUM(AD956:AD960),5)</f>
        <v>0</v>
      </c>
      <c r="AE961" s="680">
        <f t="shared" si="369"/>
        <v>0</v>
      </c>
      <c r="AF961" s="680">
        <f t="shared" si="369"/>
        <v>0</v>
      </c>
      <c r="AG961" s="680">
        <f t="shared" si="369"/>
        <v>0</v>
      </c>
      <c r="AH961" s="680">
        <f t="shared" si="369"/>
        <v>0</v>
      </c>
      <c r="AI961" s="680">
        <f t="shared" si="369"/>
        <v>0</v>
      </c>
      <c r="AJ961" s="680">
        <f t="shared" si="369"/>
        <v>0</v>
      </c>
      <c r="AK961" s="680">
        <f t="shared" si="369"/>
        <v>0</v>
      </c>
      <c r="AL961" s="680">
        <f t="shared" si="369"/>
        <v>0</v>
      </c>
      <c r="AM961" s="680">
        <f t="shared" si="369"/>
        <v>0</v>
      </c>
      <c r="AN961" s="680">
        <f t="shared" si="369"/>
        <v>0</v>
      </c>
      <c r="AO961" s="680">
        <f t="shared" si="369"/>
        <v>0</v>
      </c>
      <c r="AP961" s="680">
        <f t="shared" si="369"/>
        <v>0</v>
      </c>
      <c r="AQ961" s="680">
        <f t="shared" si="369"/>
        <v>0</v>
      </c>
      <c r="AR961" s="680">
        <f t="shared" si="369"/>
        <v>0</v>
      </c>
      <c r="AS961" s="680">
        <f t="shared" si="369"/>
        <v>0</v>
      </c>
      <c r="AT961" s="680">
        <f t="shared" si="369"/>
        <v>0</v>
      </c>
      <c r="AU961" s="680">
        <f t="shared" si="369"/>
        <v>0</v>
      </c>
      <c r="AV961" s="680">
        <f t="shared" si="369"/>
        <v>0</v>
      </c>
      <c r="AW961" s="680">
        <f t="shared" si="369"/>
        <v>0</v>
      </c>
      <c r="AX961" s="680">
        <f t="shared" si="369"/>
        <v>0</v>
      </c>
      <c r="AY961" s="680">
        <f t="shared" si="369"/>
        <v>0</v>
      </c>
      <c r="AZ961" s="680">
        <f t="shared" si="369"/>
        <v>0</v>
      </c>
      <c r="BA961" s="680">
        <f t="shared" si="369"/>
        <v>0</v>
      </c>
      <c r="BB961" s="680">
        <f t="shared" si="369"/>
        <v>0</v>
      </c>
      <c r="BC961" s="680">
        <f t="shared" si="369"/>
        <v>0</v>
      </c>
      <c r="BD961" s="680">
        <f t="shared" si="369"/>
        <v>0</v>
      </c>
      <c r="BE961" s="680">
        <f t="shared" si="369"/>
        <v>0</v>
      </c>
      <c r="BF961" s="680">
        <f t="shared" si="369"/>
        <v>0</v>
      </c>
      <c r="BG961" s="680">
        <f t="shared" si="369"/>
        <v>0</v>
      </c>
      <c r="BH961" s="680">
        <f t="shared" si="369"/>
        <v>0</v>
      </c>
      <c r="BI961" s="680">
        <f t="shared" si="369"/>
        <v>0</v>
      </c>
      <c r="BJ961" s="680">
        <f t="shared" si="369"/>
        <v>0</v>
      </c>
      <c r="BK961" s="680">
        <f t="shared" si="369"/>
        <v>0</v>
      </c>
      <c r="BL961" s="680">
        <f t="shared" si="369"/>
        <v>0</v>
      </c>
      <c r="BM961" s="680">
        <f t="shared" si="369"/>
        <v>0</v>
      </c>
      <c r="BN961" s="680">
        <f t="shared" si="369"/>
        <v>0</v>
      </c>
      <c r="BO961" s="680">
        <f t="shared" si="369"/>
        <v>0</v>
      </c>
      <c r="BP961" s="680">
        <f t="shared" ref="BP961:CA961" si="371">SUM(BP957:BP960)</f>
        <v>0</v>
      </c>
      <c r="BQ961" s="680">
        <f t="shared" si="371"/>
        <v>0</v>
      </c>
      <c r="BR961" s="680">
        <f t="shared" si="371"/>
        <v>0</v>
      </c>
      <c r="BS961" s="680">
        <f t="shared" si="371"/>
        <v>0</v>
      </c>
      <c r="BT961" s="680">
        <f t="shared" si="371"/>
        <v>0</v>
      </c>
      <c r="BU961" s="680">
        <f t="shared" si="371"/>
        <v>0</v>
      </c>
      <c r="BV961" s="680">
        <f t="shared" si="371"/>
        <v>0</v>
      </c>
      <c r="BW961" s="680">
        <f t="shared" si="371"/>
        <v>0</v>
      </c>
      <c r="BX961" s="680">
        <f t="shared" si="371"/>
        <v>0</v>
      </c>
      <c r="BY961" s="680">
        <f t="shared" si="371"/>
        <v>0</v>
      </c>
      <c r="BZ961" s="680">
        <f t="shared" si="371"/>
        <v>0</v>
      </c>
      <c r="CA961" s="680">
        <f t="shared" si="371"/>
        <v>0</v>
      </c>
    </row>
    <row r="962" spans="1:79" hidden="1" outlineLevel="1" x14ac:dyDescent="0.35">
      <c r="F962" s="674" t="s">
        <v>604</v>
      </c>
      <c r="G962" s="735">
        <v>121.80218990898943</v>
      </c>
      <c r="H962" s="735">
        <v>87.974817675151002</v>
      </c>
      <c r="I962" s="735">
        <v>122.97926093808516</v>
      </c>
      <c r="J962" s="735">
        <v>240.70003706871469</v>
      </c>
      <c r="K962" s="735">
        <v>114.71443087021532</v>
      </c>
      <c r="L962" s="735">
        <v>367.99428175041402</v>
      </c>
      <c r="M962" s="735">
        <v>396.72727001542864</v>
      </c>
      <c r="N962" s="735">
        <v>171.08725478000193</v>
      </c>
      <c r="O962" s="735">
        <v>155.7239667533002</v>
      </c>
      <c r="P962" s="732">
        <v>197.70461513155792</v>
      </c>
      <c r="Q962" s="732">
        <v>154.94539453704144</v>
      </c>
      <c r="R962" s="732">
        <v>47.961418234872831</v>
      </c>
      <c r="S962" s="683">
        <v>0</v>
      </c>
      <c r="T962" s="683">
        <v>0</v>
      </c>
      <c r="U962" s="683">
        <v>0</v>
      </c>
      <c r="V962" s="683">
        <v>50.9</v>
      </c>
      <c r="W962" s="683">
        <v>100.59</v>
      </c>
      <c r="X962" s="683">
        <v>93.82</v>
      </c>
      <c r="Y962" s="683">
        <v>0</v>
      </c>
      <c r="Z962" s="683">
        <v>0</v>
      </c>
      <c r="AA962" s="683">
        <v>47.03</v>
      </c>
      <c r="AB962" s="683">
        <v>0</v>
      </c>
      <c r="AC962" s="702">
        <v>0</v>
      </c>
      <c r="AD962" s="702">
        <v>245.7</v>
      </c>
      <c r="AE962" s="732"/>
      <c r="AF962" s="732"/>
      <c r="AG962" s="732"/>
      <c r="AH962" s="732"/>
      <c r="AI962" s="732"/>
      <c r="AJ962" s="732"/>
      <c r="AK962" s="732"/>
      <c r="AL962" s="732"/>
      <c r="AM962" s="732"/>
      <c r="AN962" s="732"/>
      <c r="AO962" s="732"/>
      <c r="AP962" s="732"/>
      <c r="AQ962" s="732"/>
      <c r="AR962" s="732"/>
      <c r="AS962" s="732"/>
      <c r="AT962" s="732"/>
      <c r="AU962" s="732"/>
      <c r="AV962" s="732"/>
      <c r="AW962" s="732"/>
      <c r="AX962" s="732"/>
      <c r="AY962" s="732"/>
      <c r="AZ962" s="732"/>
      <c r="BA962" s="732"/>
      <c r="BB962" s="732"/>
      <c r="BC962" s="732"/>
      <c r="BD962" s="732"/>
      <c r="BE962" s="732"/>
      <c r="BF962" s="732"/>
      <c r="BG962" s="732"/>
      <c r="BH962" s="732"/>
      <c r="BI962" s="732"/>
      <c r="BJ962" s="732"/>
      <c r="BK962" s="732"/>
      <c r="BL962" s="732"/>
      <c r="BM962" s="732"/>
      <c r="BN962" s="732"/>
      <c r="BO962" s="732"/>
      <c r="BP962" s="732"/>
      <c r="BQ962" s="732"/>
      <c r="BR962" s="732"/>
      <c r="BS962" s="732"/>
      <c r="BT962" s="732"/>
      <c r="BU962" s="732"/>
      <c r="BV962" s="732"/>
      <c r="BW962" s="732"/>
      <c r="BX962" s="732"/>
      <c r="BY962" s="732"/>
      <c r="BZ962" s="732"/>
      <c r="CA962" s="732"/>
    </row>
    <row r="963" spans="1:79" s="716" customFormat="1" hidden="1" outlineLevel="1" x14ac:dyDescent="0.35">
      <c r="F963" s="717" t="s">
        <v>605</v>
      </c>
      <c r="G963" s="782"/>
      <c r="H963" s="782"/>
      <c r="I963" s="782"/>
      <c r="J963" s="782"/>
      <c r="K963" s="782"/>
      <c r="L963" s="782"/>
      <c r="M963" s="782"/>
      <c r="N963" s="782"/>
      <c r="O963" s="782"/>
      <c r="P963" s="753"/>
      <c r="Q963" s="753"/>
      <c r="R963" s="753"/>
      <c r="S963" s="713"/>
      <c r="T963" s="713"/>
      <c r="U963" s="713"/>
      <c r="V963" s="713"/>
      <c r="W963" s="713"/>
      <c r="X963" s="713"/>
      <c r="Y963" s="713"/>
      <c r="Z963" s="713"/>
      <c r="AA963" s="713"/>
      <c r="AB963" s="713"/>
      <c r="AC963" s="727"/>
      <c r="AD963" s="727"/>
      <c r="AE963" s="751"/>
      <c r="AF963" s="751"/>
      <c r="AG963" s="751"/>
      <c r="AH963" s="751"/>
      <c r="AI963" s="751"/>
      <c r="AJ963" s="751"/>
      <c r="AK963" s="751"/>
      <c r="AL963" s="751"/>
      <c r="AM963" s="751"/>
      <c r="AN963" s="751"/>
      <c r="AO963" s="751"/>
      <c r="AP963" s="751"/>
      <c r="AQ963" s="751"/>
      <c r="AR963" s="751"/>
      <c r="AS963" s="751"/>
      <c r="AT963" s="751"/>
      <c r="AU963" s="751"/>
      <c r="AV963" s="751"/>
      <c r="AW963" s="751"/>
      <c r="AX963" s="751"/>
      <c r="AY963" s="751"/>
      <c r="AZ963" s="751"/>
      <c r="BA963" s="751"/>
      <c r="BB963" s="751"/>
      <c r="BC963" s="751"/>
      <c r="BD963" s="751"/>
      <c r="BE963" s="751"/>
      <c r="BF963" s="751"/>
      <c r="BG963" s="751"/>
      <c r="BH963" s="751"/>
      <c r="BI963" s="751"/>
      <c r="BJ963" s="751"/>
      <c r="BK963" s="751"/>
      <c r="BL963" s="751"/>
      <c r="BM963" s="751"/>
      <c r="BN963" s="751"/>
      <c r="BO963" s="751"/>
      <c r="BP963" s="751"/>
      <c r="BQ963" s="751"/>
      <c r="BR963" s="751"/>
      <c r="BS963" s="751"/>
      <c r="BT963" s="751"/>
      <c r="BU963" s="751"/>
      <c r="BV963" s="751"/>
      <c r="BW963" s="751"/>
      <c r="BX963" s="751"/>
      <c r="BY963" s="751"/>
      <c r="BZ963" s="751"/>
      <c r="CA963" s="751"/>
    </row>
    <row r="964" spans="1:79" s="757" customFormat="1" hidden="1" outlineLevel="1" x14ac:dyDescent="0.35">
      <c r="A964" s="504"/>
      <c r="B964" s="504"/>
      <c r="C964" s="504"/>
      <c r="D964" s="504"/>
      <c r="E964" s="504"/>
      <c r="F964" s="672" t="s">
        <v>902</v>
      </c>
      <c r="G964" s="739"/>
      <c r="H964" s="739"/>
      <c r="I964" s="739"/>
      <c r="J964" s="739"/>
      <c r="K964" s="739"/>
      <c r="L964" s="739"/>
      <c r="M964" s="739"/>
      <c r="N964" s="739"/>
      <c r="O964" s="739"/>
      <c r="P964" s="734"/>
      <c r="Q964" s="734"/>
      <c r="R964" s="734"/>
      <c r="S964" s="687"/>
      <c r="T964" s="687"/>
      <c r="U964" s="687"/>
      <c r="V964" s="687"/>
      <c r="W964" s="687"/>
      <c r="X964" s="687"/>
      <c r="Y964" s="687"/>
      <c r="Z964" s="687"/>
      <c r="AA964" s="687"/>
      <c r="AB964" s="687"/>
      <c r="AC964" s="705"/>
      <c r="AD964" s="705"/>
      <c r="AE964" s="732"/>
      <c r="AF964" s="732"/>
      <c r="AG964" s="732"/>
      <c r="AH964" s="732"/>
      <c r="AI964" s="732"/>
      <c r="AJ964" s="732"/>
      <c r="AK964" s="732"/>
      <c r="AL964" s="732"/>
      <c r="AM964" s="732"/>
      <c r="AN964" s="732"/>
      <c r="AO964" s="732"/>
      <c r="AP964" s="732"/>
      <c r="AQ964" s="732"/>
      <c r="AR964" s="732"/>
      <c r="AS964" s="732"/>
      <c r="AT964" s="732"/>
      <c r="AU964" s="732"/>
      <c r="AV964" s="732"/>
      <c r="AW964" s="732"/>
      <c r="AX964" s="732"/>
      <c r="AY964" s="732"/>
      <c r="AZ964" s="732"/>
      <c r="BA964" s="732"/>
      <c r="BB964" s="732"/>
      <c r="BC964" s="732"/>
      <c r="BD964" s="732"/>
      <c r="BE964" s="732"/>
      <c r="BF964" s="732"/>
      <c r="BG964" s="732"/>
      <c r="BH964" s="732"/>
      <c r="BI964" s="732"/>
      <c r="BJ964" s="732"/>
      <c r="BK964" s="732"/>
      <c r="BL964" s="732"/>
      <c r="BM964" s="732"/>
      <c r="BN964" s="732"/>
      <c r="BO964" s="732"/>
      <c r="BP964" s="732"/>
      <c r="BQ964" s="732"/>
      <c r="BR964" s="732"/>
      <c r="BS964" s="732"/>
      <c r="BT964" s="732"/>
      <c r="BU964" s="732"/>
      <c r="BV964" s="732"/>
      <c r="BW964" s="732"/>
      <c r="BX964" s="732"/>
      <c r="BY964" s="732"/>
      <c r="BZ964" s="732"/>
      <c r="CA964" s="732"/>
    </row>
    <row r="965" spans="1:79" s="757" customFormat="1" hidden="1" outlineLevel="1" x14ac:dyDescent="0.35">
      <c r="A965" s="504"/>
      <c r="B965" s="504"/>
      <c r="C965" s="504"/>
      <c r="D965" s="504"/>
      <c r="E965" s="504"/>
      <c r="F965" s="677" t="s">
        <v>903</v>
      </c>
      <c r="G965" s="739"/>
      <c r="H965" s="739"/>
      <c r="I965" s="739"/>
      <c r="J965" s="739"/>
      <c r="K965" s="739"/>
      <c r="L965" s="739"/>
      <c r="M965" s="739"/>
      <c r="N965" s="739"/>
      <c r="O965" s="739"/>
      <c r="P965" s="734"/>
      <c r="Q965" s="734"/>
      <c r="R965" s="734"/>
      <c r="S965" s="687">
        <v>0</v>
      </c>
      <c r="T965" s="687">
        <v>0</v>
      </c>
      <c r="U965" s="687">
        <v>0</v>
      </c>
      <c r="V965" s="687">
        <v>0</v>
      </c>
      <c r="W965" s="687">
        <v>0</v>
      </c>
      <c r="X965" s="687">
        <v>0</v>
      </c>
      <c r="Y965" s="687">
        <v>0</v>
      </c>
      <c r="Z965" s="687">
        <v>0</v>
      </c>
      <c r="AA965" s="687">
        <v>0</v>
      </c>
      <c r="AB965" s="687">
        <v>0</v>
      </c>
      <c r="AC965" s="705">
        <v>2808.62</v>
      </c>
      <c r="AD965" s="705">
        <v>0</v>
      </c>
      <c r="AE965" s="732"/>
      <c r="AF965" s="732"/>
      <c r="AG965" s="732"/>
      <c r="AH965" s="732"/>
      <c r="AI965" s="732"/>
      <c r="AJ965" s="732"/>
      <c r="AK965" s="732"/>
      <c r="AL965" s="732"/>
      <c r="AM965" s="732"/>
      <c r="AN965" s="732"/>
      <c r="AO965" s="732"/>
      <c r="AP965" s="732"/>
      <c r="AQ965" s="732"/>
      <c r="AR965" s="732"/>
      <c r="AS965" s="732"/>
      <c r="AT965" s="732"/>
      <c r="AU965" s="732"/>
      <c r="AV965" s="732"/>
      <c r="AW965" s="732"/>
      <c r="AX965" s="732"/>
      <c r="AY965" s="732"/>
      <c r="AZ965" s="732"/>
      <c r="BA965" s="732"/>
      <c r="BB965" s="732"/>
      <c r="BC965" s="732"/>
      <c r="BD965" s="732"/>
      <c r="BE965" s="732"/>
      <c r="BF965" s="732"/>
      <c r="BG965" s="732"/>
      <c r="BH965" s="732"/>
      <c r="BI965" s="732"/>
      <c r="BJ965" s="732"/>
      <c r="BK965" s="732"/>
      <c r="BL965" s="732"/>
      <c r="BM965" s="732"/>
      <c r="BN965" s="732"/>
      <c r="BO965" s="732"/>
      <c r="BP965" s="732"/>
      <c r="BQ965" s="732"/>
      <c r="BR965" s="732"/>
      <c r="BS965" s="732"/>
      <c r="BT965" s="732"/>
      <c r="BU965" s="732"/>
      <c r="BV965" s="732"/>
      <c r="BW965" s="732"/>
      <c r="BX965" s="732"/>
      <c r="BY965" s="732"/>
      <c r="BZ965" s="732"/>
      <c r="CA965" s="732"/>
    </row>
    <row r="966" spans="1:79" s="757" customFormat="1" hidden="1" outlineLevel="1" x14ac:dyDescent="0.35">
      <c r="A966" s="504"/>
      <c r="B966" s="504"/>
      <c r="C966" s="504"/>
      <c r="D966" s="504"/>
      <c r="E966" s="504"/>
      <c r="F966" s="677" t="s">
        <v>904</v>
      </c>
      <c r="G966" s="739"/>
      <c r="H966" s="739"/>
      <c r="I966" s="739"/>
      <c r="J966" s="739"/>
      <c r="K966" s="739"/>
      <c r="L966" s="739"/>
      <c r="M966" s="739"/>
      <c r="N966" s="739"/>
      <c r="O966" s="739"/>
      <c r="P966" s="734"/>
      <c r="Q966" s="734"/>
      <c r="R966" s="734"/>
      <c r="S966" s="687">
        <v>0</v>
      </c>
      <c r="T966" s="687">
        <v>0</v>
      </c>
      <c r="U966" s="687">
        <v>0</v>
      </c>
      <c r="V966" s="687">
        <v>0</v>
      </c>
      <c r="W966" s="687">
        <v>0</v>
      </c>
      <c r="X966" s="687">
        <v>0</v>
      </c>
      <c r="Y966" s="687">
        <v>0</v>
      </c>
      <c r="Z966" s="687">
        <v>0</v>
      </c>
      <c r="AA966" s="687">
        <v>0</v>
      </c>
      <c r="AB966" s="687">
        <v>0</v>
      </c>
      <c r="AC966" s="705">
        <v>0</v>
      </c>
      <c r="AD966" s="705">
        <v>0</v>
      </c>
      <c r="AE966" s="732"/>
      <c r="AF966" s="732"/>
      <c r="AG966" s="732"/>
      <c r="AH966" s="732"/>
      <c r="AI966" s="732"/>
      <c r="AJ966" s="732"/>
      <c r="AK966" s="732"/>
      <c r="AL966" s="732"/>
      <c r="AM966" s="732"/>
      <c r="AN966" s="732"/>
      <c r="AO966" s="732"/>
      <c r="AP966" s="732"/>
      <c r="AQ966" s="732"/>
      <c r="AR966" s="732"/>
      <c r="AS966" s="732"/>
      <c r="AT966" s="732"/>
      <c r="AU966" s="732"/>
      <c r="AV966" s="732"/>
      <c r="AW966" s="732"/>
      <c r="AX966" s="732"/>
      <c r="AY966" s="732"/>
      <c r="AZ966" s="732"/>
      <c r="BA966" s="732"/>
      <c r="BB966" s="732"/>
      <c r="BC966" s="732"/>
      <c r="BD966" s="732"/>
      <c r="BE966" s="732"/>
      <c r="BF966" s="732"/>
      <c r="BG966" s="732"/>
      <c r="BH966" s="732"/>
      <c r="BI966" s="732"/>
      <c r="BJ966" s="732"/>
      <c r="BK966" s="732"/>
      <c r="BL966" s="732"/>
      <c r="BM966" s="732"/>
      <c r="BN966" s="732"/>
      <c r="BO966" s="732"/>
      <c r="BP966" s="732"/>
      <c r="BQ966" s="732"/>
      <c r="BR966" s="732"/>
      <c r="BS966" s="732"/>
      <c r="BT966" s="732"/>
      <c r="BU966" s="732"/>
      <c r="BV966" s="732"/>
      <c r="BW966" s="732"/>
      <c r="BX966" s="732"/>
      <c r="BY966" s="732"/>
      <c r="BZ966" s="732"/>
      <c r="CA966" s="732"/>
    </row>
    <row r="967" spans="1:79" s="757" customFormat="1" hidden="1" outlineLevel="1" x14ac:dyDescent="0.35">
      <c r="A967" s="504"/>
      <c r="B967" s="504"/>
      <c r="C967" s="504"/>
      <c r="D967" s="504"/>
      <c r="E967" s="504"/>
      <c r="F967" s="677" t="s">
        <v>905</v>
      </c>
      <c r="G967" s="739"/>
      <c r="H967" s="739"/>
      <c r="I967" s="739"/>
      <c r="J967" s="739"/>
      <c r="K967" s="739"/>
      <c r="L967" s="739"/>
      <c r="M967" s="739"/>
      <c r="N967" s="739"/>
      <c r="O967" s="739"/>
      <c r="P967" s="734"/>
      <c r="Q967" s="734"/>
      <c r="R967" s="734"/>
      <c r="S967" s="687">
        <v>0</v>
      </c>
      <c r="T967" s="687">
        <v>0</v>
      </c>
      <c r="U967" s="687">
        <v>0</v>
      </c>
      <c r="V967" s="687">
        <v>0</v>
      </c>
      <c r="W967" s="687">
        <v>0</v>
      </c>
      <c r="X967" s="687">
        <v>0</v>
      </c>
      <c r="Y967" s="687">
        <v>0</v>
      </c>
      <c r="Z967" s="687">
        <v>0</v>
      </c>
      <c r="AA967" s="687">
        <v>0</v>
      </c>
      <c r="AB967" s="687">
        <v>0</v>
      </c>
      <c r="AC967" s="705">
        <v>0</v>
      </c>
      <c r="AD967" s="705">
        <v>1627.53</v>
      </c>
      <c r="AE967" s="732"/>
      <c r="AF967" s="732"/>
      <c r="AG967" s="732"/>
      <c r="AH967" s="732"/>
      <c r="AI967" s="732"/>
      <c r="AJ967" s="732"/>
      <c r="AK967" s="732"/>
      <c r="AL967" s="732"/>
      <c r="AM967" s="732"/>
      <c r="AN967" s="732"/>
      <c r="AO967" s="732"/>
      <c r="AP967" s="732"/>
      <c r="AQ967" s="732"/>
      <c r="AR967" s="732"/>
      <c r="AS967" s="732"/>
      <c r="AT967" s="732"/>
      <c r="AU967" s="732"/>
      <c r="AV967" s="732"/>
      <c r="AW967" s="732"/>
      <c r="AX967" s="732"/>
      <c r="AY967" s="732"/>
      <c r="AZ967" s="732"/>
      <c r="BA967" s="732"/>
      <c r="BB967" s="732"/>
      <c r="BC967" s="732"/>
      <c r="BD967" s="732"/>
      <c r="BE967" s="732"/>
      <c r="BF967" s="732"/>
      <c r="BG967" s="732"/>
      <c r="BH967" s="732"/>
      <c r="BI967" s="732"/>
      <c r="BJ967" s="732"/>
      <c r="BK967" s="732"/>
      <c r="BL967" s="732"/>
      <c r="BM967" s="732"/>
      <c r="BN967" s="732"/>
      <c r="BO967" s="732"/>
      <c r="BP967" s="732"/>
      <c r="BQ967" s="732"/>
      <c r="BR967" s="732"/>
      <c r="BS967" s="732"/>
      <c r="BT967" s="732"/>
      <c r="BU967" s="732"/>
      <c r="BV967" s="732"/>
      <c r="BW967" s="732"/>
      <c r="BX967" s="732"/>
      <c r="BY967" s="732"/>
      <c r="BZ967" s="732"/>
      <c r="CA967" s="732"/>
    </row>
    <row r="968" spans="1:79" s="757" customFormat="1" hidden="1" outlineLevel="1" x14ac:dyDescent="0.35">
      <c r="A968" s="504"/>
      <c r="B968" s="504"/>
      <c r="C968" s="504"/>
      <c r="D968" s="504"/>
      <c r="E968" s="504"/>
      <c r="F968" s="677" t="s">
        <v>906</v>
      </c>
      <c r="G968" s="739"/>
      <c r="H968" s="739"/>
      <c r="I968" s="739"/>
      <c r="J968" s="739"/>
      <c r="K968" s="739"/>
      <c r="L968" s="739"/>
      <c r="M968" s="739"/>
      <c r="N968" s="739"/>
      <c r="O968" s="739"/>
      <c r="P968" s="734"/>
      <c r="Q968" s="734"/>
      <c r="R968" s="734"/>
      <c r="S968" s="687">
        <v>0</v>
      </c>
      <c r="T968" s="687">
        <v>0</v>
      </c>
      <c r="U968" s="687">
        <v>0</v>
      </c>
      <c r="V968" s="687">
        <v>0</v>
      </c>
      <c r="W968" s="687">
        <v>0</v>
      </c>
      <c r="X968" s="687">
        <v>0</v>
      </c>
      <c r="Y968" s="687">
        <v>0</v>
      </c>
      <c r="Z968" s="687">
        <v>0</v>
      </c>
      <c r="AA968" s="687">
        <v>0</v>
      </c>
      <c r="AB968" s="687">
        <v>0</v>
      </c>
      <c r="AC968" s="705">
        <v>0</v>
      </c>
      <c r="AD968" s="705">
        <v>0</v>
      </c>
      <c r="AE968" s="732"/>
      <c r="AF968" s="732"/>
      <c r="AG968" s="732"/>
      <c r="AH968" s="732"/>
      <c r="AI968" s="732"/>
      <c r="AJ968" s="732"/>
      <c r="AK968" s="732"/>
      <c r="AL968" s="732"/>
      <c r="AM968" s="732"/>
      <c r="AN968" s="732"/>
      <c r="AO968" s="732"/>
      <c r="AP968" s="732"/>
      <c r="AQ968" s="732"/>
      <c r="AR968" s="732"/>
      <c r="AS968" s="732"/>
      <c r="AT968" s="732"/>
      <c r="AU968" s="732"/>
      <c r="AV968" s="732"/>
      <c r="AW968" s="732"/>
      <c r="AX968" s="732"/>
      <c r="AY968" s="732"/>
      <c r="AZ968" s="732"/>
      <c r="BA968" s="732"/>
      <c r="BB968" s="732"/>
      <c r="BC968" s="732"/>
      <c r="BD968" s="732"/>
      <c r="BE968" s="732"/>
      <c r="BF968" s="732"/>
      <c r="BG968" s="732"/>
      <c r="BH968" s="732"/>
      <c r="BI968" s="732"/>
      <c r="BJ968" s="732"/>
      <c r="BK968" s="732"/>
      <c r="BL968" s="732"/>
      <c r="BM968" s="732"/>
      <c r="BN968" s="732"/>
      <c r="BO968" s="732"/>
      <c r="BP968" s="732"/>
      <c r="BQ968" s="732"/>
      <c r="BR968" s="732"/>
      <c r="BS968" s="732"/>
      <c r="BT968" s="732"/>
      <c r="BU968" s="732"/>
      <c r="BV968" s="732"/>
      <c r="BW968" s="732"/>
      <c r="BX968" s="732"/>
      <c r="BY968" s="732"/>
      <c r="BZ968" s="732"/>
      <c r="CA968" s="732"/>
    </row>
    <row r="969" spans="1:79" s="757" customFormat="1" hidden="1" outlineLevel="1" x14ac:dyDescent="0.35">
      <c r="A969" s="504"/>
      <c r="B969" s="504"/>
      <c r="C969" s="504"/>
      <c r="D969" s="504"/>
      <c r="E969" s="504"/>
      <c r="F969" s="677" t="s">
        <v>907</v>
      </c>
      <c r="G969" s="739"/>
      <c r="H969" s="739"/>
      <c r="I969" s="739"/>
      <c r="J969" s="739"/>
      <c r="K969" s="739"/>
      <c r="L969" s="739"/>
      <c r="M969" s="739"/>
      <c r="N969" s="739"/>
      <c r="O969" s="739"/>
      <c r="P969" s="734"/>
      <c r="Q969" s="734"/>
      <c r="R969" s="734"/>
      <c r="S969" s="687">
        <v>0</v>
      </c>
      <c r="T969" s="687">
        <v>0</v>
      </c>
      <c r="U969" s="687">
        <v>0</v>
      </c>
      <c r="V969" s="687">
        <v>0</v>
      </c>
      <c r="W969" s="687">
        <v>0</v>
      </c>
      <c r="X969" s="687">
        <v>0</v>
      </c>
      <c r="Y969" s="687">
        <v>0</v>
      </c>
      <c r="Z969" s="687">
        <v>0</v>
      </c>
      <c r="AA969" s="687">
        <v>0</v>
      </c>
      <c r="AB969" s="687">
        <v>0</v>
      </c>
      <c r="AC969" s="705">
        <v>0</v>
      </c>
      <c r="AD969" s="705">
        <v>0</v>
      </c>
      <c r="AE969" s="732"/>
      <c r="AF969" s="732"/>
      <c r="AG969" s="732"/>
      <c r="AH969" s="732"/>
      <c r="AI969" s="732"/>
      <c r="AJ969" s="732"/>
      <c r="AK969" s="732"/>
      <c r="AL969" s="732"/>
      <c r="AM969" s="732"/>
      <c r="AN969" s="732"/>
      <c r="AO969" s="732"/>
      <c r="AP969" s="732"/>
      <c r="AQ969" s="732"/>
      <c r="AR969" s="732"/>
      <c r="AS969" s="732"/>
      <c r="AT969" s="732"/>
      <c r="AU969" s="732"/>
      <c r="AV969" s="732"/>
      <c r="AW969" s="732"/>
      <c r="AX969" s="732"/>
      <c r="AY969" s="732"/>
      <c r="AZ969" s="732"/>
      <c r="BA969" s="732"/>
      <c r="BB969" s="732"/>
      <c r="BC969" s="732"/>
      <c r="BD969" s="732"/>
      <c r="BE969" s="732"/>
      <c r="BF969" s="732"/>
      <c r="BG969" s="732"/>
      <c r="BH969" s="732"/>
      <c r="BI969" s="732"/>
      <c r="BJ969" s="732"/>
      <c r="BK969" s="732"/>
      <c r="BL969" s="732"/>
      <c r="BM969" s="732"/>
      <c r="BN969" s="732"/>
      <c r="BO969" s="732"/>
      <c r="BP969" s="732"/>
      <c r="BQ969" s="732"/>
      <c r="BR969" s="732"/>
      <c r="BS969" s="732"/>
      <c r="BT969" s="732"/>
      <c r="BU969" s="732"/>
      <c r="BV969" s="732"/>
      <c r="BW969" s="732"/>
      <c r="BX969" s="732"/>
      <c r="BY969" s="732"/>
      <c r="BZ969" s="732"/>
      <c r="CA969" s="732"/>
    </row>
    <row r="970" spans="1:79" s="757" customFormat="1" hidden="1" outlineLevel="1" x14ac:dyDescent="0.35">
      <c r="A970" s="504"/>
      <c r="B970" s="504"/>
      <c r="C970" s="504"/>
      <c r="D970" s="504"/>
      <c r="E970" s="504"/>
      <c r="F970" s="673" t="s">
        <v>908</v>
      </c>
      <c r="G970" s="680">
        <f t="shared" ref="G970:R970" si="372">SUM(G964:G969)</f>
        <v>0</v>
      </c>
      <c r="H970" s="680">
        <f t="shared" si="372"/>
        <v>0</v>
      </c>
      <c r="I970" s="680">
        <f t="shared" si="372"/>
        <v>0</v>
      </c>
      <c r="J970" s="680">
        <f t="shared" si="372"/>
        <v>0</v>
      </c>
      <c r="K970" s="680">
        <f t="shared" si="372"/>
        <v>0</v>
      </c>
      <c r="L970" s="680">
        <f t="shared" si="372"/>
        <v>0</v>
      </c>
      <c r="M970" s="680">
        <f t="shared" si="372"/>
        <v>0</v>
      </c>
      <c r="N970" s="680">
        <f t="shared" si="372"/>
        <v>0</v>
      </c>
      <c r="O970" s="680">
        <f t="shared" si="372"/>
        <v>0</v>
      </c>
      <c r="P970" s="680">
        <f t="shared" si="372"/>
        <v>0</v>
      </c>
      <c r="Q970" s="680">
        <f t="shared" si="372"/>
        <v>0</v>
      </c>
      <c r="R970" s="680">
        <f t="shared" si="372"/>
        <v>0</v>
      </c>
      <c r="S970" s="695">
        <f t="shared" ref="S970:AB970" si="373">ROUND(SUM(S964:S969),5)</f>
        <v>0</v>
      </c>
      <c r="T970" s="695">
        <f t="shared" si="373"/>
        <v>0</v>
      </c>
      <c r="U970" s="695">
        <f t="shared" si="373"/>
        <v>0</v>
      </c>
      <c r="V970" s="695">
        <f t="shared" si="373"/>
        <v>0</v>
      </c>
      <c r="W970" s="695">
        <f t="shared" si="373"/>
        <v>0</v>
      </c>
      <c r="X970" s="695">
        <f t="shared" si="373"/>
        <v>0</v>
      </c>
      <c r="Y970" s="695">
        <f t="shared" si="373"/>
        <v>0</v>
      </c>
      <c r="Z970" s="695">
        <f t="shared" si="373"/>
        <v>0</v>
      </c>
      <c r="AA970" s="695">
        <f t="shared" si="373"/>
        <v>0</v>
      </c>
      <c r="AB970" s="695">
        <f t="shared" si="373"/>
        <v>0</v>
      </c>
      <c r="AC970" s="695">
        <f>ROUND(SUM(AC964:AC969),5)</f>
        <v>2808.62</v>
      </c>
      <c r="AD970" s="695">
        <f>ROUND(SUM(AD964:AD969),5)</f>
        <v>1627.53</v>
      </c>
      <c r="AE970" s="680">
        <f t="shared" ref="AE970:BJ970" si="374">SUM(AE964:AE969)</f>
        <v>0</v>
      </c>
      <c r="AF970" s="680">
        <f t="shared" si="374"/>
        <v>0</v>
      </c>
      <c r="AG970" s="680">
        <f t="shared" si="374"/>
        <v>0</v>
      </c>
      <c r="AH970" s="680">
        <f t="shared" si="374"/>
        <v>0</v>
      </c>
      <c r="AI970" s="680">
        <f t="shared" si="374"/>
        <v>0</v>
      </c>
      <c r="AJ970" s="680">
        <f t="shared" si="374"/>
        <v>0</v>
      </c>
      <c r="AK970" s="680">
        <f t="shared" si="374"/>
        <v>0</v>
      </c>
      <c r="AL970" s="680">
        <f t="shared" si="374"/>
        <v>0</v>
      </c>
      <c r="AM970" s="680">
        <f t="shared" si="374"/>
        <v>0</v>
      </c>
      <c r="AN970" s="680">
        <f t="shared" si="374"/>
        <v>0</v>
      </c>
      <c r="AO970" s="680">
        <f t="shared" si="374"/>
        <v>0</v>
      </c>
      <c r="AP970" s="680">
        <f t="shared" si="374"/>
        <v>0</v>
      </c>
      <c r="AQ970" s="680">
        <f t="shared" si="374"/>
        <v>0</v>
      </c>
      <c r="AR970" s="680">
        <f t="shared" si="374"/>
        <v>0</v>
      </c>
      <c r="AS970" s="680">
        <f t="shared" si="374"/>
        <v>0</v>
      </c>
      <c r="AT970" s="680">
        <f t="shared" si="374"/>
        <v>0</v>
      </c>
      <c r="AU970" s="680">
        <f t="shared" si="374"/>
        <v>0</v>
      </c>
      <c r="AV970" s="680">
        <f t="shared" si="374"/>
        <v>0</v>
      </c>
      <c r="AW970" s="680">
        <f t="shared" si="374"/>
        <v>0</v>
      </c>
      <c r="AX970" s="680">
        <f t="shared" si="374"/>
        <v>0</v>
      </c>
      <c r="AY970" s="680">
        <f t="shared" si="374"/>
        <v>0</v>
      </c>
      <c r="AZ970" s="680">
        <f t="shared" si="374"/>
        <v>0</v>
      </c>
      <c r="BA970" s="680">
        <f t="shared" si="374"/>
        <v>0</v>
      </c>
      <c r="BB970" s="680">
        <f t="shared" si="374"/>
        <v>0</v>
      </c>
      <c r="BC970" s="680">
        <f t="shared" si="374"/>
        <v>0</v>
      </c>
      <c r="BD970" s="680">
        <f t="shared" si="374"/>
        <v>0</v>
      </c>
      <c r="BE970" s="680">
        <f t="shared" si="374"/>
        <v>0</v>
      </c>
      <c r="BF970" s="680">
        <f t="shared" si="374"/>
        <v>0</v>
      </c>
      <c r="BG970" s="680">
        <f t="shared" si="374"/>
        <v>0</v>
      </c>
      <c r="BH970" s="680">
        <f t="shared" si="374"/>
        <v>0</v>
      </c>
      <c r="BI970" s="680">
        <f t="shared" si="374"/>
        <v>0</v>
      </c>
      <c r="BJ970" s="680">
        <f t="shared" si="374"/>
        <v>0</v>
      </c>
      <c r="BK970" s="680">
        <f t="shared" ref="BK970:CA970" si="375">SUM(BK964:BK969)</f>
        <v>0</v>
      </c>
      <c r="BL970" s="680">
        <f t="shared" si="375"/>
        <v>0</v>
      </c>
      <c r="BM970" s="680">
        <f t="shared" si="375"/>
        <v>0</v>
      </c>
      <c r="BN970" s="680">
        <f t="shared" si="375"/>
        <v>0</v>
      </c>
      <c r="BO970" s="680">
        <f t="shared" si="375"/>
        <v>0</v>
      </c>
      <c r="BP970" s="680">
        <f t="shared" si="375"/>
        <v>0</v>
      </c>
      <c r="BQ970" s="680">
        <f t="shared" si="375"/>
        <v>0</v>
      </c>
      <c r="BR970" s="680">
        <f t="shared" si="375"/>
        <v>0</v>
      </c>
      <c r="BS970" s="680">
        <f t="shared" si="375"/>
        <v>0</v>
      </c>
      <c r="BT970" s="680">
        <f t="shared" si="375"/>
        <v>0</v>
      </c>
      <c r="BU970" s="680">
        <f t="shared" si="375"/>
        <v>0</v>
      </c>
      <c r="BV970" s="680">
        <f t="shared" si="375"/>
        <v>0</v>
      </c>
      <c r="BW970" s="680">
        <f t="shared" si="375"/>
        <v>0</v>
      </c>
      <c r="BX970" s="680">
        <f t="shared" si="375"/>
        <v>0</v>
      </c>
      <c r="BY970" s="680">
        <f t="shared" si="375"/>
        <v>0</v>
      </c>
      <c r="BZ970" s="680">
        <f t="shared" si="375"/>
        <v>0</v>
      </c>
      <c r="CA970" s="680">
        <f t="shared" si="375"/>
        <v>0</v>
      </c>
    </row>
    <row r="971" spans="1:79" s="716" customFormat="1" hidden="1" outlineLevel="1" x14ac:dyDescent="0.35">
      <c r="F971" s="717" t="s">
        <v>630</v>
      </c>
      <c r="G971" s="782"/>
      <c r="H971" s="782"/>
      <c r="I971" s="782"/>
      <c r="J971" s="782"/>
      <c r="K971" s="782"/>
      <c r="L971" s="782"/>
      <c r="M971" s="782"/>
      <c r="N971" s="782"/>
      <c r="O971" s="782"/>
      <c r="P971" s="753"/>
      <c r="Q971" s="753"/>
      <c r="R971" s="753"/>
      <c r="S971" s="713"/>
      <c r="T971" s="713"/>
      <c r="U971" s="713"/>
      <c r="V971" s="713"/>
      <c r="W971" s="713"/>
      <c r="X971" s="713"/>
      <c r="Y971" s="713"/>
      <c r="Z971" s="713"/>
      <c r="AA971" s="713"/>
      <c r="AB971" s="713"/>
      <c r="AC971" s="728"/>
      <c r="AD971" s="728"/>
      <c r="AE971" s="751"/>
      <c r="AF971" s="751"/>
      <c r="AG971" s="751"/>
      <c r="AH971" s="751"/>
      <c r="AI971" s="751"/>
      <c r="AJ971" s="751"/>
      <c r="AK971" s="751"/>
      <c r="AL971" s="751"/>
      <c r="AM971" s="751"/>
      <c r="AN971" s="751"/>
      <c r="AO971" s="751"/>
      <c r="AP971" s="751"/>
      <c r="AQ971" s="751"/>
      <c r="AR971" s="751"/>
      <c r="AS971" s="751"/>
      <c r="AT971" s="751"/>
      <c r="AU971" s="751"/>
      <c r="AV971" s="751"/>
      <c r="AW971" s="751"/>
      <c r="AX971" s="751"/>
      <c r="AY971" s="751"/>
      <c r="AZ971" s="751"/>
      <c r="BA971" s="751"/>
      <c r="BB971" s="751"/>
      <c r="BC971" s="751"/>
      <c r="BD971" s="751"/>
      <c r="BE971" s="751"/>
      <c r="BF971" s="751"/>
      <c r="BG971" s="751"/>
      <c r="BH971" s="751"/>
      <c r="BI971" s="751"/>
      <c r="BJ971" s="751"/>
      <c r="BK971" s="751"/>
      <c r="BL971" s="751"/>
      <c r="BM971" s="751"/>
      <c r="BN971" s="751"/>
      <c r="BO971" s="751"/>
      <c r="BP971" s="751"/>
      <c r="BQ971" s="751"/>
      <c r="BR971" s="751"/>
      <c r="BS971" s="751"/>
      <c r="BT971" s="751"/>
      <c r="BU971" s="751"/>
      <c r="BV971" s="751"/>
      <c r="BW971" s="751"/>
      <c r="BX971" s="751"/>
      <c r="BY971" s="751"/>
      <c r="BZ971" s="751"/>
      <c r="CA971" s="751"/>
    </row>
    <row r="972" spans="1:79" s="452" customFormat="1" hidden="1" outlineLevel="1" x14ac:dyDescent="0.35">
      <c r="A972" s="80"/>
      <c r="B972" s="80"/>
      <c r="C972" s="80"/>
      <c r="D972" s="80"/>
      <c r="E972" s="80"/>
      <c r="F972" s="677" t="s">
        <v>631</v>
      </c>
      <c r="G972" s="739"/>
      <c r="H972" s="739"/>
      <c r="I972" s="739"/>
      <c r="J972" s="739"/>
      <c r="K972" s="739"/>
      <c r="L972" s="739"/>
      <c r="M972" s="739"/>
      <c r="N972" s="739"/>
      <c r="O972" s="739"/>
      <c r="P972" s="734"/>
      <c r="Q972" s="734"/>
      <c r="R972" s="734"/>
      <c r="S972" s="683">
        <v>21</v>
      </c>
      <c r="T972" s="683">
        <v>0</v>
      </c>
      <c r="U972" s="683">
        <v>0</v>
      </c>
      <c r="V972" s="683">
        <v>0</v>
      </c>
      <c r="W972" s="683">
        <v>0</v>
      </c>
      <c r="X972" s="683">
        <v>0</v>
      </c>
      <c r="Y972" s="683">
        <v>0</v>
      </c>
      <c r="Z972" s="683">
        <v>0</v>
      </c>
      <c r="AA972" s="683">
        <v>0</v>
      </c>
      <c r="AB972" s="683">
        <v>0</v>
      </c>
      <c r="AC972" s="702">
        <v>0</v>
      </c>
      <c r="AD972" s="702">
        <v>0</v>
      </c>
      <c r="AE972" s="732"/>
      <c r="AF972" s="732"/>
      <c r="AG972" s="732"/>
      <c r="AH972" s="732"/>
      <c r="AI972" s="732"/>
      <c r="AJ972" s="732"/>
      <c r="AK972" s="732"/>
      <c r="AL972" s="732"/>
      <c r="AM972" s="732"/>
      <c r="AN972" s="732"/>
      <c r="AO972" s="732"/>
      <c r="AP972" s="732"/>
      <c r="AQ972" s="732"/>
      <c r="AR972" s="732"/>
      <c r="AS972" s="732"/>
      <c r="AT972" s="732"/>
      <c r="AU972" s="732"/>
      <c r="AV972" s="732"/>
      <c r="AW972" s="732"/>
      <c r="AX972" s="732"/>
      <c r="AY972" s="732"/>
      <c r="AZ972" s="732"/>
      <c r="BA972" s="732"/>
      <c r="BB972" s="732"/>
      <c r="BC972" s="732"/>
      <c r="BD972" s="732"/>
      <c r="BE972" s="732"/>
      <c r="BF972" s="732"/>
      <c r="BG972" s="732"/>
      <c r="BH972" s="732"/>
      <c r="BI972" s="732"/>
      <c r="BJ972" s="732"/>
      <c r="BK972" s="732"/>
      <c r="BL972" s="732"/>
      <c r="BM972" s="732"/>
      <c r="BN972" s="732"/>
      <c r="BO972" s="732"/>
      <c r="BP972" s="732"/>
      <c r="BQ972" s="732"/>
      <c r="BR972" s="732"/>
      <c r="BS972" s="732"/>
      <c r="BT972" s="732"/>
      <c r="BU972" s="732"/>
      <c r="BV972" s="732"/>
      <c r="BW972" s="732"/>
      <c r="BX972" s="732"/>
      <c r="BY972" s="732"/>
      <c r="BZ972" s="732"/>
      <c r="CA972" s="732"/>
    </row>
    <row r="973" spans="1:79" s="452" customFormat="1" hidden="1" outlineLevel="1" x14ac:dyDescent="0.35">
      <c r="A973" s="80"/>
      <c r="B973" s="80"/>
      <c r="C973" s="80"/>
      <c r="D973" s="80"/>
      <c r="E973" s="80"/>
      <c r="F973" s="677" t="s">
        <v>632</v>
      </c>
      <c r="G973" s="739"/>
      <c r="H973" s="739"/>
      <c r="I973" s="739"/>
      <c r="J973" s="739"/>
      <c r="K973" s="739"/>
      <c r="L973" s="739"/>
      <c r="M973" s="739"/>
      <c r="N973" s="739"/>
      <c r="O973" s="739"/>
      <c r="P973" s="734"/>
      <c r="Q973" s="734"/>
      <c r="R973" s="734"/>
      <c r="S973" s="683">
        <v>168</v>
      </c>
      <c r="T973" s="683">
        <v>0</v>
      </c>
      <c r="U973" s="683">
        <v>0</v>
      </c>
      <c r="V973" s="683">
        <v>0</v>
      </c>
      <c r="W973" s="683">
        <v>0</v>
      </c>
      <c r="X973" s="683">
        <v>0</v>
      </c>
      <c r="Y973" s="683">
        <v>0</v>
      </c>
      <c r="Z973" s="683">
        <v>0</v>
      </c>
      <c r="AA973" s="683">
        <v>0</v>
      </c>
      <c r="AB973" s="683">
        <v>0</v>
      </c>
      <c r="AC973" s="702">
        <v>0</v>
      </c>
      <c r="AD973" s="702">
        <v>0</v>
      </c>
      <c r="AE973" s="732"/>
      <c r="AF973" s="732"/>
      <c r="AG973" s="732"/>
      <c r="AH973" s="732"/>
      <c r="AI973" s="732"/>
      <c r="AJ973" s="732"/>
      <c r="AK973" s="732"/>
      <c r="AL973" s="732"/>
      <c r="AM973" s="732"/>
      <c r="AN973" s="732"/>
      <c r="AO973" s="732"/>
      <c r="AP973" s="732"/>
      <c r="AQ973" s="732"/>
      <c r="AR973" s="732"/>
      <c r="AS973" s="732"/>
      <c r="AT973" s="732"/>
      <c r="AU973" s="732"/>
      <c r="AV973" s="732"/>
      <c r="AW973" s="732"/>
      <c r="AX973" s="732"/>
      <c r="AY973" s="732"/>
      <c r="AZ973" s="732"/>
      <c r="BA973" s="732"/>
      <c r="BB973" s="732"/>
      <c r="BC973" s="732"/>
      <c r="BD973" s="732"/>
      <c r="BE973" s="732"/>
      <c r="BF973" s="732"/>
      <c r="BG973" s="732"/>
      <c r="BH973" s="732"/>
      <c r="BI973" s="732"/>
      <c r="BJ973" s="732"/>
      <c r="BK973" s="732"/>
      <c r="BL973" s="732"/>
      <c r="BM973" s="732"/>
      <c r="BN973" s="732"/>
      <c r="BO973" s="732"/>
      <c r="BP973" s="732"/>
      <c r="BQ973" s="732"/>
      <c r="BR973" s="732"/>
      <c r="BS973" s="732"/>
      <c r="BT973" s="732"/>
      <c r="BU973" s="732"/>
      <c r="BV973" s="732"/>
      <c r="BW973" s="732"/>
      <c r="BX973" s="732"/>
      <c r="BY973" s="732"/>
      <c r="BZ973" s="732"/>
      <c r="CA973" s="732"/>
    </row>
    <row r="974" spans="1:79" s="452" customFormat="1" hidden="1" outlineLevel="1" x14ac:dyDescent="0.35">
      <c r="A974" s="80"/>
      <c r="B974" s="80"/>
      <c r="C974" s="80"/>
      <c r="D974" s="80"/>
      <c r="E974" s="80"/>
      <c r="F974" s="677" t="s">
        <v>633</v>
      </c>
      <c r="G974" s="739"/>
      <c r="H974" s="739"/>
      <c r="I974" s="739"/>
      <c r="J974" s="739"/>
      <c r="K974" s="739"/>
      <c r="L974" s="739"/>
      <c r="M974" s="739"/>
      <c r="N974" s="739"/>
      <c r="O974" s="739"/>
      <c r="P974" s="734"/>
      <c r="Q974" s="734"/>
      <c r="R974" s="734"/>
      <c r="S974" s="683">
        <v>2559.09</v>
      </c>
      <c r="T974" s="683">
        <v>2518.6999999999998</v>
      </c>
      <c r="U974" s="683">
        <v>2050.9</v>
      </c>
      <c r="V974" s="683">
        <v>2644.89</v>
      </c>
      <c r="W974" s="683">
        <v>2309.31</v>
      </c>
      <c r="X974" s="683">
        <v>2135.27</v>
      </c>
      <c r="Y974" s="683">
        <v>2309.3200000000002</v>
      </c>
      <c r="Z974" s="683">
        <v>237.38</v>
      </c>
      <c r="AA974" s="683">
        <v>3836.04</v>
      </c>
      <c r="AB974" s="683">
        <v>2676.34</v>
      </c>
      <c r="AC974" s="702">
        <v>2195.85</v>
      </c>
      <c r="AD974" s="702">
        <v>-4719.04</v>
      </c>
      <c r="AE974" s="732"/>
      <c r="AF974" s="732"/>
      <c r="AG974" s="732"/>
      <c r="AH974" s="732"/>
      <c r="AI974" s="732"/>
      <c r="AJ974" s="732"/>
      <c r="AK974" s="732"/>
      <c r="AL974" s="732"/>
      <c r="AM974" s="732"/>
      <c r="AN974" s="732"/>
      <c r="AO974" s="732"/>
      <c r="AP974" s="732"/>
      <c r="AQ974" s="732"/>
      <c r="AR974" s="732"/>
      <c r="AS974" s="732"/>
      <c r="AT974" s="732"/>
      <c r="AU974" s="732"/>
      <c r="AV974" s="732"/>
      <c r="AW974" s="732"/>
      <c r="AX974" s="732"/>
      <c r="AY974" s="732"/>
      <c r="AZ974" s="732"/>
      <c r="BA974" s="732"/>
      <c r="BB974" s="732"/>
      <c r="BC974" s="732"/>
      <c r="BD974" s="732"/>
      <c r="BE974" s="732"/>
      <c r="BF974" s="732"/>
      <c r="BG974" s="732"/>
      <c r="BH974" s="732"/>
      <c r="BI974" s="732"/>
      <c r="BJ974" s="732"/>
      <c r="BK974" s="732"/>
      <c r="BL974" s="732"/>
      <c r="BM974" s="732"/>
      <c r="BN974" s="732"/>
      <c r="BO974" s="732"/>
      <c r="BP974" s="732"/>
      <c r="BQ974" s="732"/>
      <c r="BR974" s="732"/>
      <c r="BS974" s="732"/>
      <c r="BT974" s="732"/>
      <c r="BU974" s="732"/>
      <c r="BV974" s="732"/>
      <c r="BW974" s="732"/>
      <c r="BX974" s="732"/>
      <c r="BY974" s="732"/>
      <c r="BZ974" s="732"/>
      <c r="CA974" s="732"/>
    </row>
    <row r="975" spans="1:79" s="452" customFormat="1" hidden="1" outlineLevel="1" x14ac:dyDescent="0.35">
      <c r="A975" s="80"/>
      <c r="B975" s="80"/>
      <c r="C975" s="80"/>
      <c r="D975" s="80"/>
      <c r="E975" s="80"/>
      <c r="F975" s="677" t="s">
        <v>634</v>
      </c>
      <c r="G975" s="739"/>
      <c r="H975" s="739"/>
      <c r="I975" s="739"/>
      <c r="J975" s="739"/>
      <c r="K975" s="739"/>
      <c r="L975" s="739"/>
      <c r="M975" s="739"/>
      <c r="N975" s="739"/>
      <c r="O975" s="739"/>
      <c r="P975" s="734"/>
      <c r="Q975" s="734"/>
      <c r="R975" s="734"/>
      <c r="S975" s="683">
        <v>7025.72</v>
      </c>
      <c r="T975" s="683">
        <v>6852.76</v>
      </c>
      <c r="U975" s="683">
        <v>4852.62</v>
      </c>
      <c r="V975" s="683">
        <v>7392.38</v>
      </c>
      <c r="W975" s="683">
        <v>5645.33</v>
      </c>
      <c r="X975" s="683">
        <v>1008.4</v>
      </c>
      <c r="Y975" s="683">
        <v>0</v>
      </c>
      <c r="Z975" s="683">
        <v>0</v>
      </c>
      <c r="AA975" s="683">
        <v>365.6</v>
      </c>
      <c r="AB975" s="683">
        <v>-365.6</v>
      </c>
      <c r="AC975" s="702">
        <v>0</v>
      </c>
      <c r="AD975" s="702">
        <v>518.42999999999995</v>
      </c>
      <c r="AE975" s="732"/>
      <c r="AF975" s="732"/>
      <c r="AG975" s="732"/>
      <c r="AH975" s="732"/>
      <c r="AI975" s="732"/>
      <c r="AJ975" s="732"/>
      <c r="AK975" s="732"/>
      <c r="AL975" s="732"/>
      <c r="AM975" s="732"/>
      <c r="AN975" s="732"/>
      <c r="AO975" s="732"/>
      <c r="AP975" s="732"/>
      <c r="AQ975" s="732"/>
      <c r="AR975" s="732"/>
      <c r="AS975" s="732"/>
      <c r="AT975" s="732"/>
      <c r="AU975" s="732"/>
      <c r="AV975" s="732"/>
      <c r="AW975" s="732"/>
      <c r="AX975" s="732"/>
      <c r="AY975" s="732"/>
      <c r="AZ975" s="732"/>
      <c r="BA975" s="732"/>
      <c r="BB975" s="732"/>
      <c r="BC975" s="732"/>
      <c r="BD975" s="732"/>
      <c r="BE975" s="732"/>
      <c r="BF975" s="732"/>
      <c r="BG975" s="732"/>
      <c r="BH975" s="732"/>
      <c r="BI975" s="732"/>
      <c r="BJ975" s="732"/>
      <c r="BK975" s="732"/>
      <c r="BL975" s="732"/>
      <c r="BM975" s="732"/>
      <c r="BN975" s="732"/>
      <c r="BO975" s="732"/>
      <c r="BP975" s="732"/>
      <c r="BQ975" s="732"/>
      <c r="BR975" s="732"/>
      <c r="BS975" s="732"/>
      <c r="BT975" s="732"/>
      <c r="BU975" s="732"/>
      <c r="BV975" s="732"/>
      <c r="BW975" s="732"/>
      <c r="BX975" s="732"/>
      <c r="BY975" s="732"/>
      <c r="BZ975" s="732"/>
      <c r="CA975" s="732"/>
    </row>
    <row r="976" spans="1:79" s="452" customFormat="1" hidden="1" outlineLevel="1" x14ac:dyDescent="0.35">
      <c r="A976" s="80"/>
      <c r="B976" s="80"/>
      <c r="C976" s="80"/>
      <c r="D976" s="80"/>
      <c r="E976" s="80"/>
      <c r="F976" s="677" t="s">
        <v>635</v>
      </c>
      <c r="G976" s="739"/>
      <c r="H976" s="739"/>
      <c r="I976" s="739"/>
      <c r="J976" s="739"/>
      <c r="K976" s="739"/>
      <c r="L976" s="739"/>
      <c r="M976" s="739"/>
      <c r="N976" s="739"/>
      <c r="O976" s="739"/>
      <c r="P976" s="734"/>
      <c r="Q976" s="734"/>
      <c r="R976" s="734"/>
      <c r="S976" s="683">
        <v>135.94</v>
      </c>
      <c r="T976" s="683">
        <v>83.71</v>
      </c>
      <c r="U976" s="683">
        <v>0</v>
      </c>
      <c r="V976" s="683">
        <v>0</v>
      </c>
      <c r="W976" s="683">
        <v>0</v>
      </c>
      <c r="X976" s="683">
        <v>0</v>
      </c>
      <c r="Y976" s="683">
        <v>0</v>
      </c>
      <c r="Z976" s="683">
        <v>0</v>
      </c>
      <c r="AA976" s="683">
        <v>0</v>
      </c>
      <c r="AB976" s="683">
        <v>0</v>
      </c>
      <c r="AC976" s="702">
        <v>0</v>
      </c>
      <c r="AD976" s="702">
        <v>0</v>
      </c>
      <c r="AE976" s="732"/>
      <c r="AF976" s="732"/>
      <c r="AG976" s="732"/>
      <c r="AH976" s="732"/>
      <c r="AI976" s="732"/>
      <c r="AJ976" s="732"/>
      <c r="AK976" s="732"/>
      <c r="AL976" s="732"/>
      <c r="AM976" s="732"/>
      <c r="AN976" s="732"/>
      <c r="AO976" s="732"/>
      <c r="AP976" s="732"/>
      <c r="AQ976" s="732"/>
      <c r="AR976" s="732"/>
      <c r="AS976" s="732"/>
      <c r="AT976" s="732"/>
      <c r="AU976" s="732"/>
      <c r="AV976" s="732"/>
      <c r="AW976" s="732"/>
      <c r="AX976" s="732"/>
      <c r="AY976" s="732"/>
      <c r="AZ976" s="732"/>
      <c r="BA976" s="732"/>
      <c r="BB976" s="732"/>
      <c r="BC976" s="732"/>
      <c r="BD976" s="732"/>
      <c r="BE976" s="732"/>
      <c r="BF976" s="732"/>
      <c r="BG976" s="732"/>
      <c r="BH976" s="732"/>
      <c r="BI976" s="732"/>
      <c r="BJ976" s="732"/>
      <c r="BK976" s="732"/>
      <c r="BL976" s="732"/>
      <c r="BM976" s="732"/>
      <c r="BN976" s="732"/>
      <c r="BO976" s="732"/>
      <c r="BP976" s="732"/>
      <c r="BQ976" s="732"/>
      <c r="BR976" s="732"/>
      <c r="BS976" s="732"/>
      <c r="BT976" s="732"/>
      <c r="BU976" s="732"/>
      <c r="BV976" s="732"/>
      <c r="BW976" s="732"/>
      <c r="BX976" s="732"/>
      <c r="BY976" s="732"/>
      <c r="BZ976" s="732"/>
      <c r="CA976" s="732"/>
    </row>
    <row r="977" spans="1:79" s="452" customFormat="1" hidden="1" outlineLevel="1" x14ac:dyDescent="0.35">
      <c r="A977" s="80"/>
      <c r="B977" s="80"/>
      <c r="C977" s="80"/>
      <c r="D977" s="80"/>
      <c r="E977" s="80"/>
      <c r="F977" s="677" t="s">
        <v>636</v>
      </c>
      <c r="G977" s="739"/>
      <c r="H977" s="739"/>
      <c r="I977" s="739"/>
      <c r="J977" s="739"/>
      <c r="K977" s="739"/>
      <c r="L977" s="739"/>
      <c r="M977" s="739"/>
      <c r="N977" s="739"/>
      <c r="O977" s="739"/>
      <c r="P977" s="734"/>
      <c r="Q977" s="734"/>
      <c r="R977" s="734"/>
      <c r="S977" s="683">
        <v>1434.97</v>
      </c>
      <c r="T977" s="683">
        <v>425.02</v>
      </c>
      <c r="U977" s="683">
        <v>0</v>
      </c>
      <c r="V977" s="683">
        <v>0</v>
      </c>
      <c r="W977" s="683">
        <v>0</v>
      </c>
      <c r="X977" s="683">
        <v>0</v>
      </c>
      <c r="Y977" s="683">
        <v>0</v>
      </c>
      <c r="Z977" s="683">
        <v>0</v>
      </c>
      <c r="AA977" s="683">
        <v>0</v>
      </c>
      <c r="AB977" s="683">
        <v>0</v>
      </c>
      <c r="AC977" s="702">
        <v>0</v>
      </c>
      <c r="AD977" s="702">
        <v>0</v>
      </c>
      <c r="AE977" s="732"/>
      <c r="AF977" s="732"/>
      <c r="AG977" s="732"/>
      <c r="AH977" s="732"/>
      <c r="AI977" s="732"/>
      <c r="AJ977" s="732"/>
      <c r="AK977" s="732"/>
      <c r="AL977" s="732"/>
      <c r="AM977" s="732"/>
      <c r="AN977" s="732"/>
      <c r="AO977" s="732"/>
      <c r="AP977" s="732"/>
      <c r="AQ977" s="732"/>
      <c r="AR977" s="732"/>
      <c r="AS977" s="732"/>
      <c r="AT977" s="732"/>
      <c r="AU977" s="732"/>
      <c r="AV977" s="732"/>
      <c r="AW977" s="732"/>
      <c r="AX977" s="732"/>
      <c r="AY977" s="732"/>
      <c r="AZ977" s="732"/>
      <c r="BA977" s="732"/>
      <c r="BB977" s="732"/>
      <c r="BC977" s="732"/>
      <c r="BD977" s="732"/>
      <c r="BE977" s="732"/>
      <c r="BF977" s="732"/>
      <c r="BG977" s="732"/>
      <c r="BH977" s="732"/>
      <c r="BI977" s="732"/>
      <c r="BJ977" s="732"/>
      <c r="BK977" s="732"/>
      <c r="BL977" s="732"/>
      <c r="BM977" s="732"/>
      <c r="BN977" s="732"/>
      <c r="BO977" s="732"/>
      <c r="BP977" s="732"/>
      <c r="BQ977" s="732"/>
      <c r="BR977" s="732"/>
      <c r="BS977" s="732"/>
      <c r="BT977" s="732"/>
      <c r="BU977" s="732"/>
      <c r="BV977" s="732"/>
      <c r="BW977" s="732"/>
      <c r="BX977" s="732"/>
      <c r="BY977" s="732"/>
      <c r="BZ977" s="732"/>
      <c r="CA977" s="732"/>
    </row>
    <row r="978" spans="1:79" s="452" customFormat="1" hidden="1" outlineLevel="1" x14ac:dyDescent="0.35">
      <c r="A978" s="580"/>
      <c r="B978" s="580"/>
      <c r="C978" s="580"/>
      <c r="D978" s="580"/>
      <c r="E978" s="580"/>
      <c r="F978" s="677" t="s">
        <v>909</v>
      </c>
      <c r="G978" s="739"/>
      <c r="H978" s="739"/>
      <c r="I978" s="739"/>
      <c r="J978" s="739"/>
      <c r="K978" s="739"/>
      <c r="L978" s="739"/>
      <c r="M978" s="739"/>
      <c r="N978" s="739"/>
      <c r="O978" s="739"/>
      <c r="P978" s="734"/>
      <c r="Q978" s="734"/>
      <c r="R978" s="734"/>
      <c r="S978" s="683">
        <v>0</v>
      </c>
      <c r="T978" s="683">
        <v>0</v>
      </c>
      <c r="U978" s="683">
        <v>0</v>
      </c>
      <c r="V978" s="683">
        <v>0</v>
      </c>
      <c r="W978" s="683">
        <v>0</v>
      </c>
      <c r="X978" s="683">
        <v>0</v>
      </c>
      <c r="Y978" s="683">
        <v>0</v>
      </c>
      <c r="Z978" s="683">
        <v>0</v>
      </c>
      <c r="AA978" s="683">
        <v>0</v>
      </c>
      <c r="AB978" s="683">
        <v>0</v>
      </c>
      <c r="AC978" s="702">
        <v>0</v>
      </c>
      <c r="AD978" s="702">
        <v>0</v>
      </c>
      <c r="AE978" s="732"/>
      <c r="AF978" s="732"/>
      <c r="AG978" s="732"/>
      <c r="AH978" s="732"/>
      <c r="AI978" s="732"/>
      <c r="AJ978" s="732"/>
      <c r="AK978" s="732"/>
      <c r="AL978" s="732"/>
      <c r="AM978" s="732"/>
      <c r="AN978" s="732"/>
      <c r="AO978" s="732"/>
      <c r="AP978" s="732"/>
      <c r="AQ978" s="732"/>
      <c r="AR978" s="732"/>
      <c r="AS978" s="732"/>
      <c r="AT978" s="732"/>
      <c r="AU978" s="732"/>
      <c r="AV978" s="732"/>
      <c r="AW978" s="732"/>
      <c r="AX978" s="732"/>
      <c r="AY978" s="732"/>
      <c r="AZ978" s="732"/>
      <c r="BA978" s="732"/>
      <c r="BB978" s="732"/>
      <c r="BC978" s="732"/>
      <c r="BD978" s="732"/>
      <c r="BE978" s="732"/>
      <c r="BF978" s="732"/>
      <c r="BG978" s="732"/>
      <c r="BH978" s="732"/>
      <c r="BI978" s="732"/>
      <c r="BJ978" s="732"/>
      <c r="BK978" s="732"/>
      <c r="BL978" s="732"/>
      <c r="BM978" s="732"/>
      <c r="BN978" s="732"/>
      <c r="BO978" s="732"/>
      <c r="BP978" s="732"/>
      <c r="BQ978" s="732"/>
      <c r="BR978" s="732"/>
      <c r="BS978" s="732"/>
      <c r="BT978" s="732"/>
      <c r="BU978" s="732"/>
      <c r="BV978" s="732"/>
      <c r="BW978" s="732"/>
      <c r="BX978" s="732"/>
      <c r="BY978" s="732"/>
      <c r="BZ978" s="732"/>
      <c r="CA978" s="732"/>
    </row>
    <row r="979" spans="1:79" s="452" customFormat="1" hidden="1" outlineLevel="1" x14ac:dyDescent="0.35">
      <c r="A979" s="80"/>
      <c r="B979" s="80"/>
      <c r="C979" s="80"/>
      <c r="D979" s="80"/>
      <c r="E979" s="80"/>
      <c r="F979" s="677" t="s">
        <v>637</v>
      </c>
      <c r="G979" s="735">
        <v>3356.1429466478548</v>
      </c>
      <c r="H979" s="735">
        <v>2161.4209902543175</v>
      </c>
      <c r="I979" s="735">
        <v>1942.1716186845044</v>
      </c>
      <c r="J979" s="735">
        <v>2966.7346454745566</v>
      </c>
      <c r="K979" s="735">
        <v>7780.1290051249052</v>
      </c>
      <c r="L979" s="735">
        <v>3674.2878019117188</v>
      </c>
      <c r="M979" s="735">
        <v>7733.5197856818604</v>
      </c>
      <c r="N979" s="735">
        <v>7361.8760464975157</v>
      </c>
      <c r="O979" s="735">
        <v>2588.6597220782828</v>
      </c>
      <c r="P979" s="732">
        <v>7385.2424888848445</v>
      </c>
      <c r="Q979" s="732">
        <v>5481.6278966708078</v>
      </c>
      <c r="R979" s="732">
        <v>2133.6796088851474</v>
      </c>
      <c r="S979" s="683">
        <v>0</v>
      </c>
      <c r="T979" s="683">
        <v>0</v>
      </c>
      <c r="U979" s="683">
        <v>1318.27</v>
      </c>
      <c r="V979" s="683">
        <v>-1318.27</v>
      </c>
      <c r="W979" s="683">
        <v>0</v>
      </c>
      <c r="X979" s="683">
        <v>0</v>
      </c>
      <c r="Y979" s="683">
        <v>0</v>
      </c>
      <c r="Z979" s="683">
        <v>0</v>
      </c>
      <c r="AA979" s="683">
        <v>0</v>
      </c>
      <c r="AB979" s="683">
        <v>0</v>
      </c>
      <c r="AC979" s="702">
        <v>0</v>
      </c>
      <c r="AD979" s="702">
        <v>0</v>
      </c>
      <c r="AE979" s="732"/>
      <c r="AF979" s="732"/>
      <c r="AG979" s="732"/>
      <c r="AH979" s="732"/>
      <c r="AI979" s="732"/>
      <c r="AJ979" s="732"/>
      <c r="AK979" s="732"/>
      <c r="AL979" s="732"/>
      <c r="AM979" s="732"/>
      <c r="AN979" s="732"/>
      <c r="AO979" s="732"/>
      <c r="AP979" s="732"/>
      <c r="AQ979" s="732"/>
      <c r="AR979" s="732"/>
      <c r="AS979" s="732"/>
      <c r="AT979" s="732"/>
      <c r="AU979" s="732"/>
      <c r="AV979" s="732"/>
      <c r="AW979" s="732"/>
      <c r="AX979" s="732"/>
      <c r="AY979" s="732"/>
      <c r="AZ979" s="732"/>
      <c r="BA979" s="732"/>
      <c r="BB979" s="732"/>
      <c r="BC979" s="732"/>
      <c r="BD979" s="732"/>
      <c r="BE979" s="732"/>
      <c r="BF979" s="732"/>
      <c r="BG979" s="732"/>
      <c r="BH979" s="732"/>
      <c r="BI979" s="732"/>
      <c r="BJ979" s="732"/>
      <c r="BK979" s="732"/>
      <c r="BL979" s="732"/>
      <c r="BM979" s="732"/>
      <c r="BN979" s="732"/>
      <c r="BO979" s="732"/>
      <c r="BP979" s="732"/>
      <c r="BQ979" s="732"/>
      <c r="BR979" s="732"/>
      <c r="BS979" s="732"/>
      <c r="BT979" s="732"/>
      <c r="BU979" s="732"/>
      <c r="BV979" s="732"/>
      <c r="BW979" s="732"/>
      <c r="BX979" s="732"/>
      <c r="BY979" s="732"/>
      <c r="BZ979" s="732"/>
      <c r="CA979" s="732"/>
    </row>
    <row r="980" spans="1:79" s="757" customFormat="1" hidden="1" outlineLevel="1" x14ac:dyDescent="0.35">
      <c r="A980" s="504"/>
      <c r="B980" s="504"/>
      <c r="C980" s="504"/>
      <c r="D980" s="504"/>
      <c r="E980" s="504"/>
      <c r="F980" s="673" t="s">
        <v>638</v>
      </c>
      <c r="G980" s="680">
        <f>SUM(G972:G979)</f>
        <v>3356.1429466478548</v>
      </c>
      <c r="H980" s="680">
        <f t="shared" ref="H980:BO980" si="376">SUM(H972:H979)</f>
        <v>2161.4209902543175</v>
      </c>
      <c r="I980" s="680">
        <f t="shared" si="376"/>
        <v>1942.1716186845044</v>
      </c>
      <c r="J980" s="680">
        <f t="shared" si="376"/>
        <v>2966.7346454745566</v>
      </c>
      <c r="K980" s="680">
        <f t="shared" si="376"/>
        <v>7780.1290051249052</v>
      </c>
      <c r="L980" s="680">
        <f t="shared" si="376"/>
        <v>3674.2878019117188</v>
      </c>
      <c r="M980" s="680">
        <f t="shared" si="376"/>
        <v>7733.5197856818604</v>
      </c>
      <c r="N980" s="680">
        <f t="shared" si="376"/>
        <v>7361.8760464975157</v>
      </c>
      <c r="O980" s="680">
        <f t="shared" si="376"/>
        <v>2588.6597220782828</v>
      </c>
      <c r="P980" s="680">
        <f t="shared" si="376"/>
        <v>7385.2424888848445</v>
      </c>
      <c r="Q980" s="680">
        <f t="shared" si="376"/>
        <v>5481.6278966708078</v>
      </c>
      <c r="R980" s="680">
        <f t="shared" si="376"/>
        <v>2133.6796088851474</v>
      </c>
      <c r="S980" s="695">
        <f t="shared" ref="S980:AA980" si="377">ROUND(SUM(S971:S979),5)</f>
        <v>11344.72</v>
      </c>
      <c r="T980" s="695">
        <f t="shared" si="377"/>
        <v>9880.19</v>
      </c>
      <c r="U980" s="695">
        <f t="shared" si="377"/>
        <v>8221.7900000000009</v>
      </c>
      <c r="V980" s="695">
        <f t="shared" si="377"/>
        <v>8719</v>
      </c>
      <c r="W980" s="695">
        <f t="shared" si="377"/>
        <v>7954.64</v>
      </c>
      <c r="X980" s="695">
        <f t="shared" si="377"/>
        <v>3143.67</v>
      </c>
      <c r="Y980" s="695">
        <f t="shared" si="377"/>
        <v>2309.3200000000002</v>
      </c>
      <c r="Z980" s="695">
        <f t="shared" si="377"/>
        <v>237.38</v>
      </c>
      <c r="AA980" s="695">
        <f t="shared" si="377"/>
        <v>4201.6400000000003</v>
      </c>
      <c r="AB980" s="695">
        <f>ROUND(SUM(AB971:AB979),5)</f>
        <v>2310.7399999999998</v>
      </c>
      <c r="AC980" s="695">
        <f>ROUND(SUM(AC971:AC979),5)</f>
        <v>2195.85</v>
      </c>
      <c r="AD980" s="695">
        <f>ROUND(SUM(AD971:AD979),5)</f>
        <v>-4200.6099999999997</v>
      </c>
      <c r="AE980" s="680">
        <f t="shared" si="376"/>
        <v>0</v>
      </c>
      <c r="AF980" s="680">
        <f t="shared" si="376"/>
        <v>0</v>
      </c>
      <c r="AG980" s="680">
        <f t="shared" si="376"/>
        <v>0</v>
      </c>
      <c r="AH980" s="680">
        <f t="shared" si="376"/>
        <v>0</v>
      </c>
      <c r="AI980" s="680">
        <f t="shared" si="376"/>
        <v>0</v>
      </c>
      <c r="AJ980" s="680">
        <f t="shared" si="376"/>
        <v>0</v>
      </c>
      <c r="AK980" s="680">
        <f t="shared" si="376"/>
        <v>0</v>
      </c>
      <c r="AL980" s="680">
        <f t="shared" si="376"/>
        <v>0</v>
      </c>
      <c r="AM980" s="680">
        <f t="shared" si="376"/>
        <v>0</v>
      </c>
      <c r="AN980" s="680">
        <f t="shared" si="376"/>
        <v>0</v>
      </c>
      <c r="AO980" s="680">
        <f t="shared" si="376"/>
        <v>0</v>
      </c>
      <c r="AP980" s="680">
        <f t="shared" si="376"/>
        <v>0</v>
      </c>
      <c r="AQ980" s="680">
        <f t="shared" si="376"/>
        <v>0</v>
      </c>
      <c r="AR980" s="680">
        <f t="shared" si="376"/>
        <v>0</v>
      </c>
      <c r="AS980" s="680">
        <f t="shared" si="376"/>
        <v>0</v>
      </c>
      <c r="AT980" s="680">
        <f t="shared" si="376"/>
        <v>0</v>
      </c>
      <c r="AU980" s="680">
        <f t="shared" si="376"/>
        <v>0</v>
      </c>
      <c r="AV980" s="680">
        <f t="shared" si="376"/>
        <v>0</v>
      </c>
      <c r="AW980" s="680">
        <f t="shared" si="376"/>
        <v>0</v>
      </c>
      <c r="AX980" s="680">
        <f t="shared" si="376"/>
        <v>0</v>
      </c>
      <c r="AY980" s="680">
        <f t="shared" si="376"/>
        <v>0</v>
      </c>
      <c r="AZ980" s="680">
        <f t="shared" si="376"/>
        <v>0</v>
      </c>
      <c r="BA980" s="680">
        <f t="shared" si="376"/>
        <v>0</v>
      </c>
      <c r="BB980" s="680">
        <f t="shared" si="376"/>
        <v>0</v>
      </c>
      <c r="BC980" s="680">
        <f t="shared" si="376"/>
        <v>0</v>
      </c>
      <c r="BD980" s="680">
        <f t="shared" si="376"/>
        <v>0</v>
      </c>
      <c r="BE980" s="680">
        <f t="shared" si="376"/>
        <v>0</v>
      </c>
      <c r="BF980" s="680">
        <f t="shared" si="376"/>
        <v>0</v>
      </c>
      <c r="BG980" s="680">
        <f t="shared" si="376"/>
        <v>0</v>
      </c>
      <c r="BH980" s="680">
        <f t="shared" si="376"/>
        <v>0</v>
      </c>
      <c r="BI980" s="680">
        <f t="shared" si="376"/>
        <v>0</v>
      </c>
      <c r="BJ980" s="680">
        <f t="shared" si="376"/>
        <v>0</v>
      </c>
      <c r="BK980" s="680">
        <f t="shared" si="376"/>
        <v>0</v>
      </c>
      <c r="BL980" s="680">
        <f t="shared" si="376"/>
        <v>0</v>
      </c>
      <c r="BM980" s="680">
        <f t="shared" si="376"/>
        <v>0</v>
      </c>
      <c r="BN980" s="680">
        <f t="shared" si="376"/>
        <v>0</v>
      </c>
      <c r="BO980" s="680">
        <f t="shared" si="376"/>
        <v>0</v>
      </c>
      <c r="BP980" s="680">
        <f t="shared" ref="BP980:CA980" si="378">SUM(BP972:BP979)</f>
        <v>0</v>
      </c>
      <c r="BQ980" s="680">
        <f t="shared" si="378"/>
        <v>0</v>
      </c>
      <c r="BR980" s="680">
        <f t="shared" si="378"/>
        <v>0</v>
      </c>
      <c r="BS980" s="680">
        <f t="shared" si="378"/>
        <v>0</v>
      </c>
      <c r="BT980" s="680">
        <f t="shared" si="378"/>
        <v>0</v>
      </c>
      <c r="BU980" s="680">
        <f t="shared" si="378"/>
        <v>0</v>
      </c>
      <c r="BV980" s="680">
        <f t="shared" si="378"/>
        <v>0</v>
      </c>
      <c r="BW980" s="680">
        <f t="shared" si="378"/>
        <v>0</v>
      </c>
      <c r="BX980" s="680">
        <f t="shared" si="378"/>
        <v>0</v>
      </c>
      <c r="BY980" s="680">
        <f t="shared" si="378"/>
        <v>0</v>
      </c>
      <c r="BZ980" s="680">
        <f t="shared" si="378"/>
        <v>0</v>
      </c>
      <c r="CA980" s="680">
        <f t="shared" si="378"/>
        <v>0</v>
      </c>
    </row>
    <row r="981" spans="1:79" s="716" customFormat="1" hidden="1" outlineLevel="1" x14ac:dyDescent="0.35">
      <c r="F981" s="717" t="s">
        <v>639</v>
      </c>
      <c r="G981" s="782"/>
      <c r="H981" s="782"/>
      <c r="I981" s="782"/>
      <c r="J981" s="782"/>
      <c r="K981" s="782"/>
      <c r="L981" s="782"/>
      <c r="M981" s="782"/>
      <c r="N981" s="782"/>
      <c r="O981" s="782"/>
      <c r="P981" s="753"/>
      <c r="Q981" s="753"/>
      <c r="R981" s="753"/>
      <c r="S981" s="713"/>
      <c r="T981" s="713"/>
      <c r="U981" s="713"/>
      <c r="V981" s="713"/>
      <c r="W981" s="713"/>
      <c r="X981" s="713"/>
      <c r="Y981" s="713"/>
      <c r="Z981" s="713"/>
      <c r="AA981" s="713"/>
      <c r="AB981" s="713"/>
      <c r="AC981" s="728"/>
      <c r="AD981" s="728"/>
      <c r="AE981" s="751"/>
      <c r="AF981" s="751"/>
      <c r="AG981" s="751"/>
      <c r="AH981" s="751"/>
      <c r="AI981" s="751"/>
      <c r="AJ981" s="751"/>
      <c r="AK981" s="751"/>
      <c r="AL981" s="751"/>
      <c r="AM981" s="751"/>
      <c r="AN981" s="751"/>
      <c r="AO981" s="751"/>
      <c r="AP981" s="751"/>
      <c r="AQ981" s="751"/>
      <c r="AR981" s="751"/>
      <c r="AS981" s="751"/>
      <c r="AT981" s="751"/>
      <c r="AU981" s="751"/>
      <c r="AV981" s="751"/>
      <c r="AW981" s="751"/>
      <c r="AX981" s="751"/>
      <c r="AY981" s="751"/>
      <c r="AZ981" s="751"/>
      <c r="BA981" s="751"/>
      <c r="BB981" s="751"/>
      <c r="BC981" s="751"/>
      <c r="BD981" s="751"/>
      <c r="BE981" s="751"/>
      <c r="BF981" s="751"/>
      <c r="BG981" s="751"/>
      <c r="BH981" s="751"/>
      <c r="BI981" s="751"/>
      <c r="BJ981" s="751"/>
      <c r="BK981" s="751"/>
      <c r="BL981" s="751"/>
      <c r="BM981" s="751"/>
      <c r="BN981" s="751"/>
      <c r="BO981" s="751"/>
      <c r="BP981" s="751"/>
      <c r="BQ981" s="751"/>
      <c r="BR981" s="751"/>
      <c r="BS981" s="751"/>
      <c r="BT981" s="751"/>
      <c r="BU981" s="751"/>
      <c r="BV981" s="751"/>
      <c r="BW981" s="751"/>
      <c r="BX981" s="751"/>
      <c r="BY981" s="751"/>
      <c r="BZ981" s="751"/>
      <c r="CA981" s="751"/>
    </row>
    <row r="982" spans="1:79" s="757" customFormat="1" hidden="1" outlineLevel="1" x14ac:dyDescent="0.35">
      <c r="A982" s="504"/>
      <c r="B982" s="504"/>
      <c r="C982" s="504"/>
      <c r="D982" s="504"/>
      <c r="E982" s="504"/>
      <c r="F982" s="677" t="s">
        <v>9</v>
      </c>
      <c r="G982" s="739"/>
      <c r="H982" s="739"/>
      <c r="I982" s="739"/>
      <c r="J982" s="739"/>
      <c r="K982" s="739"/>
      <c r="L982" s="739"/>
      <c r="M982" s="739"/>
      <c r="N982" s="739"/>
      <c r="O982" s="739"/>
      <c r="P982" s="734"/>
      <c r="Q982" s="734"/>
      <c r="R982" s="734"/>
      <c r="S982" s="683">
        <v>29892.83</v>
      </c>
      <c r="T982" s="683">
        <v>29892.83</v>
      </c>
      <c r="U982" s="683">
        <v>29892.83</v>
      </c>
      <c r="V982" s="683">
        <v>29892.83</v>
      </c>
      <c r="W982" s="683">
        <v>29892.83</v>
      </c>
      <c r="X982" s="683">
        <v>29892.83</v>
      </c>
      <c r="Y982" s="683">
        <v>29892.83</v>
      </c>
      <c r="Z982" s="683">
        <v>29892.83</v>
      </c>
      <c r="AA982" s="683">
        <v>30137.82</v>
      </c>
      <c r="AB982" s="683">
        <v>29892.83</v>
      </c>
      <c r="AC982" s="702">
        <v>29892.83</v>
      </c>
      <c r="AD982" s="702">
        <v>-51357.13</v>
      </c>
      <c r="AE982" s="732"/>
      <c r="AF982" s="732"/>
      <c r="AG982" s="732"/>
      <c r="AH982" s="732"/>
      <c r="AI982" s="732"/>
      <c r="AJ982" s="732"/>
      <c r="AK982" s="732"/>
      <c r="AL982" s="732"/>
      <c r="AM982" s="732"/>
      <c r="AN982" s="732"/>
      <c r="AO982" s="732"/>
      <c r="AP982" s="732"/>
      <c r="AQ982" s="732"/>
      <c r="AR982" s="732"/>
      <c r="AS982" s="732"/>
      <c r="AT982" s="732"/>
      <c r="AU982" s="732"/>
      <c r="AV982" s="732"/>
      <c r="AW982" s="732"/>
      <c r="AX982" s="732"/>
      <c r="AY982" s="732"/>
      <c r="AZ982" s="732"/>
      <c r="BA982" s="732"/>
      <c r="BB982" s="732"/>
      <c r="BC982" s="732"/>
      <c r="BD982" s="732"/>
      <c r="BE982" s="732"/>
      <c r="BF982" s="732"/>
      <c r="BG982" s="732"/>
      <c r="BH982" s="732"/>
      <c r="BI982" s="732"/>
      <c r="BJ982" s="732"/>
      <c r="BK982" s="732"/>
      <c r="BL982" s="732"/>
      <c r="BM982" s="732"/>
      <c r="BN982" s="732"/>
      <c r="BO982" s="732"/>
      <c r="BP982" s="732"/>
      <c r="BQ982" s="732"/>
      <c r="BR982" s="732"/>
      <c r="BS982" s="732"/>
      <c r="BT982" s="732"/>
      <c r="BU982" s="732"/>
      <c r="BV982" s="732"/>
      <c r="BW982" s="732"/>
      <c r="BX982" s="732"/>
      <c r="BY982" s="732"/>
      <c r="BZ982" s="732"/>
      <c r="CA982" s="732"/>
    </row>
    <row r="983" spans="1:79" s="757" customFormat="1" hidden="1" outlineLevel="1" x14ac:dyDescent="0.35">
      <c r="A983" s="504"/>
      <c r="B983" s="504"/>
      <c r="C983" s="504"/>
      <c r="D983" s="504"/>
      <c r="E983" s="504"/>
      <c r="F983" s="677" t="s">
        <v>910</v>
      </c>
      <c r="G983" s="739"/>
      <c r="H983" s="739"/>
      <c r="I983" s="739"/>
      <c r="J983" s="739"/>
      <c r="K983" s="739"/>
      <c r="L983" s="739"/>
      <c r="M983" s="739"/>
      <c r="N983" s="739"/>
      <c r="O983" s="739"/>
      <c r="P983" s="734"/>
      <c r="Q983" s="734"/>
      <c r="R983" s="734"/>
      <c r="S983" s="683">
        <v>0</v>
      </c>
      <c r="T983" s="683">
        <v>0</v>
      </c>
      <c r="U983" s="683">
        <v>0</v>
      </c>
      <c r="V983" s="683">
        <v>0</v>
      </c>
      <c r="W983" s="683">
        <v>0</v>
      </c>
      <c r="X983" s="683">
        <v>0</v>
      </c>
      <c r="Y983" s="683">
        <v>0</v>
      </c>
      <c r="Z983" s="683">
        <v>0</v>
      </c>
      <c r="AA983" s="683">
        <v>0</v>
      </c>
      <c r="AB983" s="683">
        <v>0</v>
      </c>
      <c r="AC983" s="702">
        <v>0</v>
      </c>
      <c r="AD983" s="702">
        <v>0</v>
      </c>
      <c r="AE983" s="732"/>
      <c r="AF983" s="732"/>
      <c r="AG983" s="732"/>
      <c r="AH983" s="732"/>
      <c r="AI983" s="732"/>
      <c r="AJ983" s="732"/>
      <c r="AK983" s="732"/>
      <c r="AL983" s="732"/>
      <c r="AM983" s="732"/>
      <c r="AN983" s="732"/>
      <c r="AO983" s="732"/>
      <c r="AP983" s="732"/>
      <c r="AQ983" s="732"/>
      <c r="AR983" s="732"/>
      <c r="AS983" s="732"/>
      <c r="AT983" s="732"/>
      <c r="AU983" s="732"/>
      <c r="AV983" s="732"/>
      <c r="AW983" s="732"/>
      <c r="AX983" s="732"/>
      <c r="AY983" s="732"/>
      <c r="AZ983" s="732"/>
      <c r="BA983" s="732"/>
      <c r="BB983" s="732"/>
      <c r="BC983" s="732"/>
      <c r="BD983" s="732"/>
      <c r="BE983" s="732"/>
      <c r="BF983" s="732"/>
      <c r="BG983" s="732"/>
      <c r="BH983" s="732"/>
      <c r="BI983" s="732"/>
      <c r="BJ983" s="732"/>
      <c r="BK983" s="732"/>
      <c r="BL983" s="732"/>
      <c r="BM983" s="732"/>
      <c r="BN983" s="732"/>
      <c r="BO983" s="732"/>
      <c r="BP983" s="732"/>
      <c r="BQ983" s="732"/>
      <c r="BR983" s="732"/>
      <c r="BS983" s="732"/>
      <c r="BT983" s="732"/>
      <c r="BU983" s="732"/>
      <c r="BV983" s="732"/>
      <c r="BW983" s="732"/>
      <c r="BX983" s="732"/>
      <c r="BY983" s="732"/>
      <c r="BZ983" s="732"/>
      <c r="CA983" s="732"/>
    </row>
    <row r="984" spans="1:79" s="757" customFormat="1" hidden="1" outlineLevel="1" x14ac:dyDescent="0.35">
      <c r="A984" s="504"/>
      <c r="B984" s="504"/>
      <c r="C984" s="504"/>
      <c r="D984" s="504"/>
      <c r="E984" s="504"/>
      <c r="F984" s="677" t="s">
        <v>647</v>
      </c>
      <c r="G984" s="739"/>
      <c r="H984" s="739"/>
      <c r="I984" s="739"/>
      <c r="J984" s="739"/>
      <c r="K984" s="739"/>
      <c r="L984" s="739"/>
      <c r="M984" s="739"/>
      <c r="N984" s="739"/>
      <c r="O984" s="739"/>
      <c r="P984" s="734"/>
      <c r="Q984" s="734"/>
      <c r="R984" s="734"/>
      <c r="S984" s="683">
        <v>0</v>
      </c>
      <c r="T984" s="683">
        <v>0</v>
      </c>
      <c r="U984" s="683">
        <v>0</v>
      </c>
      <c r="V984" s="683">
        <v>0</v>
      </c>
      <c r="W984" s="683">
        <v>0</v>
      </c>
      <c r="X984" s="683">
        <v>0</v>
      </c>
      <c r="Y984" s="683">
        <v>0</v>
      </c>
      <c r="Z984" s="683">
        <v>0</v>
      </c>
      <c r="AA984" s="683">
        <v>0</v>
      </c>
      <c r="AB984" s="683">
        <v>0</v>
      </c>
      <c r="AC984" s="702">
        <v>0</v>
      </c>
      <c r="AD984" s="702">
        <v>0</v>
      </c>
      <c r="AE984" s="732"/>
      <c r="AF984" s="732"/>
      <c r="AG984" s="732"/>
      <c r="AH984" s="732"/>
      <c r="AI984" s="732"/>
      <c r="AJ984" s="732"/>
      <c r="AK984" s="732"/>
      <c r="AL984" s="732"/>
      <c r="AM984" s="732"/>
      <c r="AN984" s="732"/>
      <c r="AO984" s="732"/>
      <c r="AP984" s="732"/>
      <c r="AQ984" s="732"/>
      <c r="AR984" s="732"/>
      <c r="AS984" s="732"/>
      <c r="AT984" s="732"/>
      <c r="AU984" s="732"/>
      <c r="AV984" s="732"/>
      <c r="AW984" s="732"/>
      <c r="AX984" s="732"/>
      <c r="AY984" s="732"/>
      <c r="AZ984" s="732"/>
      <c r="BA984" s="732"/>
      <c r="BB984" s="732"/>
      <c r="BC984" s="732"/>
      <c r="BD984" s="732"/>
      <c r="BE984" s="732"/>
      <c r="BF984" s="732"/>
      <c r="BG984" s="732"/>
      <c r="BH984" s="732"/>
      <c r="BI984" s="732"/>
      <c r="BJ984" s="732"/>
      <c r="BK984" s="732"/>
      <c r="BL984" s="732"/>
      <c r="BM984" s="732"/>
      <c r="BN984" s="732"/>
      <c r="BO984" s="732"/>
      <c r="BP984" s="732"/>
      <c r="BQ984" s="732"/>
      <c r="BR984" s="732"/>
      <c r="BS984" s="732"/>
      <c r="BT984" s="732"/>
      <c r="BU984" s="732"/>
      <c r="BV984" s="732"/>
      <c r="BW984" s="732"/>
      <c r="BX984" s="732"/>
      <c r="BY984" s="732"/>
      <c r="BZ984" s="732"/>
      <c r="CA984" s="732"/>
    </row>
    <row r="985" spans="1:79" s="452" customFormat="1" hidden="1" outlineLevel="1" x14ac:dyDescent="0.35">
      <c r="A985" s="80"/>
      <c r="B985" s="80"/>
      <c r="C985" s="80"/>
      <c r="D985" s="80"/>
      <c r="E985" s="80"/>
      <c r="F985" s="677" t="s">
        <v>648</v>
      </c>
      <c r="G985" s="739"/>
      <c r="H985" s="739"/>
      <c r="I985" s="739"/>
      <c r="J985" s="739"/>
      <c r="K985" s="739"/>
      <c r="L985" s="739"/>
      <c r="M985" s="739"/>
      <c r="N985" s="739"/>
      <c r="O985" s="739"/>
      <c r="P985" s="734"/>
      <c r="Q985" s="734"/>
      <c r="R985" s="734"/>
      <c r="S985" s="683">
        <v>0</v>
      </c>
      <c r="T985" s="683">
        <v>39663.449999999997</v>
      </c>
      <c r="U985" s="683">
        <v>96778.82</v>
      </c>
      <c r="V985" s="683">
        <v>103384.57</v>
      </c>
      <c r="W985" s="683">
        <v>97307.68</v>
      </c>
      <c r="X985" s="683">
        <v>84615.360000000001</v>
      </c>
      <c r="Y985" s="683">
        <v>97307.66</v>
      </c>
      <c r="Z985" s="683">
        <v>93076.9</v>
      </c>
      <c r="AA985" s="683">
        <v>88846.12</v>
      </c>
      <c r="AB985" s="683">
        <v>97307.68</v>
      </c>
      <c r="AC985" s="702">
        <v>88846.12</v>
      </c>
      <c r="AD985" s="702">
        <v>93076.88</v>
      </c>
      <c r="AE985" s="732"/>
      <c r="AF985" s="732"/>
      <c r="AG985" s="732"/>
      <c r="AH985" s="732"/>
      <c r="AI985" s="732"/>
      <c r="AJ985" s="732"/>
      <c r="AK985" s="732"/>
      <c r="AL985" s="732"/>
      <c r="AM985" s="732"/>
      <c r="AN985" s="732"/>
      <c r="AO985" s="732"/>
      <c r="AP985" s="732"/>
      <c r="AQ985" s="732"/>
      <c r="AR985" s="732"/>
      <c r="AS985" s="732"/>
      <c r="AT985" s="732"/>
      <c r="AU985" s="732"/>
      <c r="AV985" s="732"/>
      <c r="AW985" s="732"/>
      <c r="AX985" s="732"/>
      <c r="AY985" s="732"/>
      <c r="AZ985" s="732"/>
      <c r="BA985" s="732"/>
      <c r="BB985" s="732"/>
      <c r="BC985" s="732"/>
      <c r="BD985" s="732"/>
      <c r="BE985" s="732"/>
      <c r="BF985" s="732"/>
      <c r="BG985" s="732"/>
      <c r="BH985" s="732"/>
      <c r="BI985" s="732"/>
      <c r="BJ985" s="732"/>
      <c r="BK985" s="732"/>
      <c r="BL985" s="732"/>
      <c r="BM985" s="732"/>
      <c r="BN985" s="732"/>
      <c r="BO985" s="732"/>
      <c r="BP985" s="732"/>
      <c r="BQ985" s="732"/>
      <c r="BR985" s="732"/>
      <c r="BS985" s="732"/>
      <c r="BT985" s="732"/>
      <c r="BU985" s="732"/>
      <c r="BV985" s="732"/>
      <c r="BW985" s="732"/>
      <c r="BX985" s="732"/>
      <c r="BY985" s="732"/>
      <c r="BZ985" s="732"/>
      <c r="CA985" s="732"/>
    </row>
    <row r="986" spans="1:79" s="452" customFormat="1" hidden="1" outlineLevel="1" x14ac:dyDescent="0.35">
      <c r="A986" s="80"/>
      <c r="B986" s="80"/>
      <c r="C986" s="80"/>
      <c r="D986" s="80"/>
      <c r="E986" s="80"/>
      <c r="F986" s="677" t="s">
        <v>640</v>
      </c>
      <c r="G986" s="739"/>
      <c r="H986" s="739"/>
      <c r="I986" s="739"/>
      <c r="J986" s="739"/>
      <c r="K986" s="739"/>
      <c r="L986" s="739"/>
      <c r="M986" s="739"/>
      <c r="N986" s="739"/>
      <c r="O986" s="739"/>
      <c r="P986" s="734"/>
      <c r="Q986" s="734"/>
      <c r="R986" s="734"/>
      <c r="S986" s="683">
        <v>113317.93</v>
      </c>
      <c r="T986" s="683">
        <v>71394.210000000006</v>
      </c>
      <c r="U986" s="683">
        <v>0</v>
      </c>
      <c r="V986" s="683">
        <v>0</v>
      </c>
      <c r="W986" s="683">
        <v>0</v>
      </c>
      <c r="X986" s="683">
        <v>0</v>
      </c>
      <c r="Y986" s="683">
        <v>0</v>
      </c>
      <c r="Z986" s="683">
        <v>0</v>
      </c>
      <c r="AA986" s="683">
        <v>0</v>
      </c>
      <c r="AB986" s="683">
        <v>0</v>
      </c>
      <c r="AC986" s="702">
        <v>0</v>
      </c>
      <c r="AD986" s="702">
        <v>0</v>
      </c>
      <c r="AE986" s="732"/>
      <c r="AF986" s="732"/>
      <c r="AG986" s="732"/>
      <c r="AH986" s="732"/>
      <c r="AI986" s="732"/>
      <c r="AJ986" s="732"/>
      <c r="AK986" s="732"/>
      <c r="AL986" s="732"/>
      <c r="AM986" s="732"/>
      <c r="AN986" s="732"/>
      <c r="AO986" s="732"/>
      <c r="AP986" s="732"/>
      <c r="AQ986" s="732"/>
      <c r="AR986" s="732"/>
      <c r="AS986" s="732"/>
      <c r="AT986" s="732"/>
      <c r="AU986" s="732"/>
      <c r="AV986" s="732"/>
      <c r="AW986" s="732"/>
      <c r="AX986" s="732"/>
      <c r="AY986" s="732"/>
      <c r="AZ986" s="732"/>
      <c r="BA986" s="732"/>
      <c r="BB986" s="732"/>
      <c r="BC986" s="732"/>
      <c r="BD986" s="732"/>
      <c r="BE986" s="732"/>
      <c r="BF986" s="732"/>
      <c r="BG986" s="732"/>
      <c r="BH986" s="732"/>
      <c r="BI986" s="732"/>
      <c r="BJ986" s="732"/>
      <c r="BK986" s="732"/>
      <c r="BL986" s="732"/>
      <c r="BM986" s="732"/>
      <c r="BN986" s="732"/>
      <c r="BO986" s="732"/>
      <c r="BP986" s="732"/>
      <c r="BQ986" s="732"/>
      <c r="BR986" s="732"/>
      <c r="BS986" s="732"/>
      <c r="BT986" s="732"/>
      <c r="BU986" s="732"/>
      <c r="BV986" s="732"/>
      <c r="BW986" s="732"/>
      <c r="BX986" s="732"/>
      <c r="BY986" s="732"/>
      <c r="BZ986" s="732"/>
      <c r="CA986" s="732"/>
    </row>
    <row r="987" spans="1:79" s="452" customFormat="1" hidden="1" outlineLevel="1" x14ac:dyDescent="0.35">
      <c r="A987" s="80"/>
      <c r="B987" s="80"/>
      <c r="C987" s="80"/>
      <c r="D987" s="80"/>
      <c r="E987" s="80"/>
      <c r="F987" s="677" t="s">
        <v>641</v>
      </c>
      <c r="G987" s="739"/>
      <c r="H987" s="739"/>
      <c r="I987" s="739"/>
      <c r="J987" s="739"/>
      <c r="K987" s="739"/>
      <c r="L987" s="739"/>
      <c r="M987" s="739"/>
      <c r="N987" s="739"/>
      <c r="O987" s="739"/>
      <c r="P987" s="734"/>
      <c r="Q987" s="734"/>
      <c r="R987" s="734"/>
      <c r="S987" s="683">
        <v>-44.07</v>
      </c>
      <c r="T987" s="683">
        <v>6125.8</v>
      </c>
      <c r="U987" s="683">
        <v>4053.61</v>
      </c>
      <c r="V987" s="683">
        <v>6875</v>
      </c>
      <c r="W987" s="683">
        <v>7650.16</v>
      </c>
      <c r="X987" s="683">
        <v>5708.64</v>
      </c>
      <c r="Y987" s="683">
        <v>7027.13</v>
      </c>
      <c r="Z987" s="683">
        <v>-8838.25</v>
      </c>
      <c r="AA987" s="683">
        <v>7824.03</v>
      </c>
      <c r="AB987" s="683">
        <v>7389.35</v>
      </c>
      <c r="AC987" s="702">
        <v>57.96</v>
      </c>
      <c r="AD987" s="702">
        <v>8084.82</v>
      </c>
      <c r="AE987" s="732"/>
      <c r="AF987" s="732"/>
      <c r="AG987" s="732"/>
      <c r="AH987" s="732"/>
      <c r="AI987" s="732"/>
      <c r="AJ987" s="732"/>
      <c r="AK987" s="732"/>
      <c r="AL987" s="732"/>
      <c r="AM987" s="732"/>
      <c r="AN987" s="732"/>
      <c r="AO987" s="732"/>
      <c r="AP987" s="732"/>
      <c r="AQ987" s="732"/>
      <c r="AR987" s="732"/>
      <c r="AS987" s="732"/>
      <c r="AT987" s="732"/>
      <c r="AU987" s="732"/>
      <c r="AV987" s="732"/>
      <c r="AW987" s="732"/>
      <c r="AX987" s="732"/>
      <c r="AY987" s="732"/>
      <c r="AZ987" s="732"/>
      <c r="BA987" s="732"/>
      <c r="BB987" s="732"/>
      <c r="BC987" s="732"/>
      <c r="BD987" s="732"/>
      <c r="BE987" s="732"/>
      <c r="BF987" s="732"/>
      <c r="BG987" s="732"/>
      <c r="BH987" s="732"/>
      <c r="BI987" s="732"/>
      <c r="BJ987" s="732"/>
      <c r="BK987" s="732"/>
      <c r="BL987" s="732"/>
      <c r="BM987" s="732"/>
      <c r="BN987" s="732"/>
      <c r="BO987" s="732"/>
      <c r="BP987" s="732"/>
      <c r="BQ987" s="732"/>
      <c r="BR987" s="732"/>
      <c r="BS987" s="732"/>
      <c r="BT987" s="732"/>
      <c r="BU987" s="732"/>
      <c r="BV987" s="732"/>
      <c r="BW987" s="732"/>
      <c r="BX987" s="732"/>
      <c r="BY987" s="732"/>
      <c r="BZ987" s="732"/>
      <c r="CA987" s="732"/>
    </row>
    <row r="988" spans="1:79" s="452" customFormat="1" hidden="1" outlineLevel="1" x14ac:dyDescent="0.35">
      <c r="A988" s="580"/>
      <c r="B988" s="580"/>
      <c r="C988" s="580"/>
      <c r="D988" s="580"/>
      <c r="E988" s="580"/>
      <c r="F988" s="677" t="s">
        <v>911</v>
      </c>
      <c r="G988" s="739"/>
      <c r="H988" s="739"/>
      <c r="I988" s="739"/>
      <c r="J988" s="739"/>
      <c r="K988" s="739"/>
      <c r="L988" s="739"/>
      <c r="M988" s="739"/>
      <c r="N988" s="739"/>
      <c r="O988" s="739"/>
      <c r="P988" s="734"/>
      <c r="Q988" s="734"/>
      <c r="R988" s="734"/>
      <c r="S988" s="683">
        <v>0</v>
      </c>
      <c r="T988" s="683">
        <v>0</v>
      </c>
      <c r="U988" s="683">
        <v>0</v>
      </c>
      <c r="V988" s="683">
        <v>0</v>
      </c>
      <c r="W988" s="683">
        <v>0</v>
      </c>
      <c r="X988" s="683">
        <v>0</v>
      </c>
      <c r="Y988" s="683">
        <v>0</v>
      </c>
      <c r="Z988" s="683">
        <v>0</v>
      </c>
      <c r="AA988" s="683">
        <v>0</v>
      </c>
      <c r="AB988" s="683">
        <v>0</v>
      </c>
      <c r="AC988" s="702">
        <v>0</v>
      </c>
      <c r="AD988" s="702">
        <v>0</v>
      </c>
      <c r="AE988" s="732"/>
      <c r="AF988" s="732"/>
      <c r="AG988" s="732"/>
      <c r="AH988" s="732"/>
      <c r="AI988" s="732"/>
      <c r="AJ988" s="732"/>
      <c r="AK988" s="732"/>
      <c r="AL988" s="732"/>
      <c r="AM988" s="732"/>
      <c r="AN988" s="732"/>
      <c r="AO988" s="732"/>
      <c r="AP988" s="732"/>
      <c r="AQ988" s="732"/>
      <c r="AR988" s="732"/>
      <c r="AS988" s="732"/>
      <c r="AT988" s="732"/>
      <c r="AU988" s="732"/>
      <c r="AV988" s="732"/>
      <c r="AW988" s="732"/>
      <c r="AX988" s="732"/>
      <c r="AY988" s="732"/>
      <c r="AZ988" s="732"/>
      <c r="BA988" s="732"/>
      <c r="BB988" s="732"/>
      <c r="BC988" s="732"/>
      <c r="BD988" s="732"/>
      <c r="BE988" s="732"/>
      <c r="BF988" s="732"/>
      <c r="BG988" s="732"/>
      <c r="BH988" s="732"/>
      <c r="BI988" s="732"/>
      <c r="BJ988" s="732"/>
      <c r="BK988" s="732"/>
      <c r="BL988" s="732"/>
      <c r="BM988" s="732"/>
      <c r="BN988" s="732"/>
      <c r="BO988" s="732"/>
      <c r="BP988" s="732"/>
      <c r="BQ988" s="732"/>
      <c r="BR988" s="732"/>
      <c r="BS988" s="732"/>
      <c r="BT988" s="732"/>
      <c r="BU988" s="732"/>
      <c r="BV988" s="732"/>
      <c r="BW988" s="732"/>
      <c r="BX988" s="732"/>
      <c r="BY988" s="732"/>
      <c r="BZ988" s="732"/>
      <c r="CA988" s="732"/>
    </row>
    <row r="989" spans="1:79" s="452" customFormat="1" hidden="1" outlineLevel="1" x14ac:dyDescent="0.35">
      <c r="A989" s="580"/>
      <c r="B989" s="580"/>
      <c r="C989" s="580"/>
      <c r="D989" s="580"/>
      <c r="E989" s="580"/>
      <c r="F989" s="677" t="s">
        <v>681</v>
      </c>
      <c r="G989" s="732">
        <v>41153.839999999997</v>
      </c>
      <c r="H989" s="732">
        <v>41153.839999999997</v>
      </c>
      <c r="I989" s="732">
        <v>41153.839999999997</v>
      </c>
      <c r="J989" s="732">
        <v>50615.39</v>
      </c>
      <c r="K989" s="732">
        <v>353615.38</v>
      </c>
      <c r="L989" s="732">
        <v>67923.070000000007</v>
      </c>
      <c r="M989" s="732">
        <v>352934.04</v>
      </c>
      <c r="N989" s="732">
        <v>353615.38</v>
      </c>
      <c r="O989" s="732">
        <v>53615.380000000005</v>
      </c>
      <c r="P989" s="732">
        <v>372908.71</v>
      </c>
      <c r="Q989" s="732">
        <v>147512.07</v>
      </c>
      <c r="R989" s="732">
        <v>75442.22</v>
      </c>
      <c r="S989" s="683">
        <v>0</v>
      </c>
      <c r="T989" s="683">
        <v>0</v>
      </c>
      <c r="U989" s="683">
        <v>0</v>
      </c>
      <c r="V989" s="683">
        <v>0</v>
      </c>
      <c r="W989" s="683">
        <v>0</v>
      </c>
      <c r="X989" s="683">
        <v>0</v>
      </c>
      <c r="Y989" s="683">
        <v>0</v>
      </c>
      <c r="Z989" s="683">
        <v>0</v>
      </c>
      <c r="AA989" s="683">
        <v>0</v>
      </c>
      <c r="AB989" s="683">
        <v>0</v>
      </c>
      <c r="AC989" s="702">
        <v>0</v>
      </c>
      <c r="AD989" s="702">
        <v>0</v>
      </c>
      <c r="AE989" s="732"/>
      <c r="AF989" s="732"/>
      <c r="AG989" s="732"/>
      <c r="AH989" s="732"/>
      <c r="AI989" s="732"/>
      <c r="AJ989" s="732"/>
      <c r="AK989" s="732"/>
      <c r="AL989" s="732"/>
      <c r="AM989" s="732"/>
      <c r="AN989" s="732"/>
      <c r="AO989" s="732"/>
      <c r="AP989" s="732"/>
      <c r="AQ989" s="732"/>
      <c r="AR989" s="732"/>
      <c r="AS989" s="732"/>
      <c r="AT989" s="732"/>
      <c r="AU989" s="732"/>
      <c r="AV989" s="732"/>
      <c r="AW989" s="732"/>
      <c r="AX989" s="732"/>
      <c r="AY989" s="732"/>
      <c r="AZ989" s="732"/>
      <c r="BA989" s="732"/>
      <c r="BB989" s="732"/>
      <c r="BC989" s="732"/>
      <c r="BD989" s="732"/>
      <c r="BE989" s="732"/>
      <c r="BF989" s="732"/>
      <c r="BG989" s="732"/>
      <c r="BH989" s="732"/>
      <c r="BI989" s="732"/>
      <c r="BJ989" s="732"/>
      <c r="BK989" s="732"/>
      <c r="BL989" s="732"/>
      <c r="BM989" s="732"/>
      <c r="BN989" s="732"/>
      <c r="BO989" s="732"/>
      <c r="BP989" s="732"/>
      <c r="BQ989" s="732"/>
      <c r="BR989" s="732"/>
      <c r="BS989" s="732"/>
      <c r="BT989" s="732"/>
      <c r="BU989" s="732"/>
      <c r="BV989" s="732"/>
      <c r="BW989" s="732"/>
      <c r="BX989" s="732"/>
      <c r="BY989" s="732"/>
      <c r="BZ989" s="732"/>
      <c r="CA989" s="732"/>
    </row>
    <row r="990" spans="1:79" s="757" customFormat="1" hidden="1" outlineLevel="1" x14ac:dyDescent="0.35">
      <c r="A990" s="504"/>
      <c r="B990" s="504"/>
      <c r="C990" s="504"/>
      <c r="D990" s="504"/>
      <c r="E990" s="504"/>
      <c r="F990" s="673" t="s">
        <v>642</v>
      </c>
      <c r="G990" s="680">
        <f>SUM(G982:G989)</f>
        <v>41153.839999999997</v>
      </c>
      <c r="H990" s="680">
        <f t="shared" ref="H990:BO990" si="379">SUM(H982:H989)</f>
        <v>41153.839999999997</v>
      </c>
      <c r="I990" s="680">
        <f t="shared" si="379"/>
        <v>41153.839999999997</v>
      </c>
      <c r="J990" s="680">
        <f t="shared" si="379"/>
        <v>50615.39</v>
      </c>
      <c r="K990" s="680">
        <f t="shared" si="379"/>
        <v>353615.38</v>
      </c>
      <c r="L990" s="680">
        <f t="shared" si="379"/>
        <v>67923.070000000007</v>
      </c>
      <c r="M990" s="680">
        <f t="shared" si="379"/>
        <v>352934.04</v>
      </c>
      <c r="N990" s="680">
        <f t="shared" si="379"/>
        <v>353615.38</v>
      </c>
      <c r="O990" s="680">
        <f t="shared" si="379"/>
        <v>53615.380000000005</v>
      </c>
      <c r="P990" s="680">
        <f t="shared" si="379"/>
        <v>372908.71</v>
      </c>
      <c r="Q990" s="680">
        <f t="shared" si="379"/>
        <v>147512.07</v>
      </c>
      <c r="R990" s="680">
        <f t="shared" si="379"/>
        <v>75442.22</v>
      </c>
      <c r="S990" s="695">
        <f t="shared" ref="S990:AA990" si="380">ROUND(SUM(S981:S989),5)</f>
        <v>143166.69</v>
      </c>
      <c r="T990" s="695">
        <f t="shared" si="380"/>
        <v>147076.29</v>
      </c>
      <c r="U990" s="695">
        <f t="shared" si="380"/>
        <v>130725.26</v>
      </c>
      <c r="V990" s="695">
        <f t="shared" si="380"/>
        <v>140152.4</v>
      </c>
      <c r="W990" s="695">
        <f t="shared" si="380"/>
        <v>134850.67000000001</v>
      </c>
      <c r="X990" s="695">
        <f t="shared" si="380"/>
        <v>120216.83</v>
      </c>
      <c r="Y990" s="695">
        <f t="shared" si="380"/>
        <v>134227.62</v>
      </c>
      <c r="Z990" s="695">
        <f t="shared" si="380"/>
        <v>114131.48</v>
      </c>
      <c r="AA990" s="695">
        <f t="shared" si="380"/>
        <v>126807.97</v>
      </c>
      <c r="AB990" s="695">
        <f>ROUND(SUM(AB981:AB989),5)</f>
        <v>134589.85999999999</v>
      </c>
      <c r="AC990" s="695">
        <f>ROUND(SUM(AC981:AC989),5)</f>
        <v>118796.91</v>
      </c>
      <c r="AD990" s="695">
        <f>ROUND(SUM(AD981:AD989),5)</f>
        <v>49804.57</v>
      </c>
      <c r="AE990" s="680">
        <f t="shared" si="379"/>
        <v>0</v>
      </c>
      <c r="AF990" s="680">
        <f t="shared" si="379"/>
        <v>0</v>
      </c>
      <c r="AG990" s="680">
        <f t="shared" si="379"/>
        <v>0</v>
      </c>
      <c r="AH990" s="680">
        <f t="shared" si="379"/>
        <v>0</v>
      </c>
      <c r="AI990" s="680">
        <f t="shared" si="379"/>
        <v>0</v>
      </c>
      <c r="AJ990" s="680">
        <f t="shared" si="379"/>
        <v>0</v>
      </c>
      <c r="AK990" s="680">
        <f t="shared" si="379"/>
        <v>0</v>
      </c>
      <c r="AL990" s="680">
        <f t="shared" si="379"/>
        <v>0</v>
      </c>
      <c r="AM990" s="680">
        <f t="shared" si="379"/>
        <v>0</v>
      </c>
      <c r="AN990" s="680">
        <f t="shared" si="379"/>
        <v>0</v>
      </c>
      <c r="AO990" s="680">
        <f t="shared" si="379"/>
        <v>0</v>
      </c>
      <c r="AP990" s="680">
        <f t="shared" si="379"/>
        <v>0</v>
      </c>
      <c r="AQ990" s="680">
        <f t="shared" si="379"/>
        <v>0</v>
      </c>
      <c r="AR990" s="680">
        <f t="shared" si="379"/>
        <v>0</v>
      </c>
      <c r="AS990" s="680">
        <f t="shared" si="379"/>
        <v>0</v>
      </c>
      <c r="AT990" s="680">
        <f t="shared" si="379"/>
        <v>0</v>
      </c>
      <c r="AU990" s="680">
        <f t="shared" si="379"/>
        <v>0</v>
      </c>
      <c r="AV990" s="680">
        <f t="shared" si="379"/>
        <v>0</v>
      </c>
      <c r="AW990" s="680">
        <f t="shared" si="379"/>
        <v>0</v>
      </c>
      <c r="AX990" s="680">
        <f t="shared" si="379"/>
        <v>0</v>
      </c>
      <c r="AY990" s="680">
        <f t="shared" si="379"/>
        <v>0</v>
      </c>
      <c r="AZ990" s="680">
        <f t="shared" si="379"/>
        <v>0</v>
      </c>
      <c r="BA990" s="680">
        <f t="shared" si="379"/>
        <v>0</v>
      </c>
      <c r="BB990" s="680">
        <f t="shared" si="379"/>
        <v>0</v>
      </c>
      <c r="BC990" s="680">
        <f t="shared" si="379"/>
        <v>0</v>
      </c>
      <c r="BD990" s="680">
        <f t="shared" si="379"/>
        <v>0</v>
      </c>
      <c r="BE990" s="680">
        <f t="shared" si="379"/>
        <v>0</v>
      </c>
      <c r="BF990" s="680">
        <f t="shared" si="379"/>
        <v>0</v>
      </c>
      <c r="BG990" s="680">
        <f t="shared" si="379"/>
        <v>0</v>
      </c>
      <c r="BH990" s="680">
        <f t="shared" si="379"/>
        <v>0</v>
      </c>
      <c r="BI990" s="680">
        <f t="shared" si="379"/>
        <v>0</v>
      </c>
      <c r="BJ990" s="680">
        <f t="shared" si="379"/>
        <v>0</v>
      </c>
      <c r="BK990" s="680">
        <f t="shared" si="379"/>
        <v>0</v>
      </c>
      <c r="BL990" s="680">
        <f t="shared" si="379"/>
        <v>0</v>
      </c>
      <c r="BM990" s="680">
        <f t="shared" si="379"/>
        <v>0</v>
      </c>
      <c r="BN990" s="680">
        <f t="shared" si="379"/>
        <v>0</v>
      </c>
      <c r="BO990" s="680">
        <f t="shared" si="379"/>
        <v>0</v>
      </c>
      <c r="BP990" s="680">
        <f t="shared" ref="BP990:CA990" si="381">SUM(BP982:BP989)</f>
        <v>0</v>
      </c>
      <c r="BQ990" s="680">
        <f t="shared" si="381"/>
        <v>0</v>
      </c>
      <c r="BR990" s="680">
        <f t="shared" si="381"/>
        <v>0</v>
      </c>
      <c r="BS990" s="680">
        <f t="shared" si="381"/>
        <v>0</v>
      </c>
      <c r="BT990" s="680">
        <f t="shared" si="381"/>
        <v>0</v>
      </c>
      <c r="BU990" s="680">
        <f t="shared" si="381"/>
        <v>0</v>
      </c>
      <c r="BV990" s="680">
        <f t="shared" si="381"/>
        <v>0</v>
      </c>
      <c r="BW990" s="680">
        <f t="shared" si="381"/>
        <v>0</v>
      </c>
      <c r="BX990" s="680">
        <f t="shared" si="381"/>
        <v>0</v>
      </c>
      <c r="BY990" s="680">
        <f t="shared" si="381"/>
        <v>0</v>
      </c>
      <c r="BZ990" s="680">
        <f t="shared" si="381"/>
        <v>0</v>
      </c>
      <c r="CA990" s="680">
        <f t="shared" si="381"/>
        <v>0</v>
      </c>
    </row>
    <row r="991" spans="1:79" s="452" customFormat="1" hidden="1" outlineLevel="1" x14ac:dyDescent="0.35">
      <c r="A991" s="80"/>
      <c r="B991" s="80"/>
      <c r="C991" s="80"/>
      <c r="D991" s="80"/>
      <c r="E991" s="80"/>
      <c r="F991" s="672" t="s">
        <v>643</v>
      </c>
      <c r="G991" s="739"/>
      <c r="H991" s="734"/>
      <c r="I991" s="734"/>
      <c r="J991" s="734"/>
      <c r="K991" s="734"/>
      <c r="L991" s="734"/>
      <c r="M991" s="734"/>
      <c r="N991" s="734"/>
      <c r="O991" s="734"/>
      <c r="P991" s="734"/>
      <c r="Q991" s="734"/>
      <c r="R991" s="734"/>
      <c r="S991" s="687">
        <v>21.39</v>
      </c>
      <c r="T991" s="687">
        <v>9.36</v>
      </c>
      <c r="U991" s="687">
        <v>0</v>
      </c>
      <c r="V991" s="687">
        <v>0</v>
      </c>
      <c r="W991" s="687">
        <v>0</v>
      </c>
      <c r="X991" s="687">
        <v>0</v>
      </c>
      <c r="Y991" s="687">
        <v>0</v>
      </c>
      <c r="Z991" s="687">
        <v>0</v>
      </c>
      <c r="AA991" s="687">
        <v>0</v>
      </c>
      <c r="AB991" s="687">
        <v>0</v>
      </c>
      <c r="AC991" s="706">
        <v>0</v>
      </c>
      <c r="AD991" s="706">
        <v>0</v>
      </c>
      <c r="AE991" s="732"/>
      <c r="AF991" s="732"/>
      <c r="AG991" s="732"/>
      <c r="AH991" s="732"/>
      <c r="AI991" s="732"/>
      <c r="AJ991" s="732"/>
      <c r="AK991" s="732"/>
      <c r="AL991" s="732"/>
      <c r="AM991" s="732"/>
      <c r="AN991" s="732"/>
      <c r="AO991" s="732"/>
      <c r="AP991" s="732"/>
      <c r="AQ991" s="732"/>
      <c r="AR991" s="732"/>
      <c r="AS991" s="732"/>
      <c r="AT991" s="732"/>
      <c r="AU991" s="732"/>
      <c r="AV991" s="732"/>
      <c r="AW991" s="732"/>
      <c r="AX991" s="732"/>
      <c r="AY991" s="732"/>
      <c r="AZ991" s="732"/>
      <c r="BA991" s="732"/>
      <c r="BB991" s="732"/>
      <c r="BC991" s="732"/>
      <c r="BD991" s="732"/>
      <c r="BE991" s="732"/>
      <c r="BF991" s="732"/>
      <c r="BG991" s="732"/>
      <c r="BH991" s="732"/>
      <c r="BI991" s="732"/>
      <c r="BJ991" s="732"/>
      <c r="BK991" s="732"/>
      <c r="BL991" s="732"/>
      <c r="BM991" s="732"/>
      <c r="BN991" s="732"/>
      <c r="BO991" s="732"/>
      <c r="BP991" s="732"/>
      <c r="BQ991" s="732"/>
      <c r="BR991" s="732"/>
      <c r="BS991" s="732"/>
      <c r="BT991" s="732"/>
      <c r="BU991" s="732"/>
      <c r="BV991" s="732"/>
      <c r="BW991" s="732"/>
      <c r="BX991" s="732"/>
      <c r="BY991" s="732"/>
      <c r="BZ991" s="732"/>
      <c r="CA991" s="732"/>
    </row>
    <row r="992" spans="1:79" s="309" customFormat="1" hidden="1" outlineLevel="1" x14ac:dyDescent="0.35">
      <c r="A992" s="30"/>
      <c r="B992" s="30"/>
      <c r="C992" s="30"/>
      <c r="D992" s="30"/>
      <c r="E992" s="30"/>
      <c r="F992" s="675" t="s">
        <v>644</v>
      </c>
      <c r="G992" s="680">
        <f>G990+G980</f>
        <v>44509.982946647855</v>
      </c>
      <c r="H992" s="680">
        <f>H990+H980</f>
        <v>43315.260990254312</v>
      </c>
      <c r="I992" s="680">
        <f t="shared" ref="I992:BO992" si="382">I990+I980</f>
        <v>43096.011618684504</v>
      </c>
      <c r="J992" s="680">
        <f t="shared" si="382"/>
        <v>53582.124645474556</v>
      </c>
      <c r="K992" s="680">
        <f t="shared" si="382"/>
        <v>361395.50900512491</v>
      </c>
      <c r="L992" s="680">
        <f t="shared" si="382"/>
        <v>71597.357801911727</v>
      </c>
      <c r="M992" s="680">
        <f t="shared" si="382"/>
        <v>360667.55978568183</v>
      </c>
      <c r="N992" s="680">
        <f t="shared" si="382"/>
        <v>360977.2560464975</v>
      </c>
      <c r="O992" s="680">
        <f t="shared" si="382"/>
        <v>56204.039722078291</v>
      </c>
      <c r="P992" s="680">
        <f t="shared" si="382"/>
        <v>380293.95248888485</v>
      </c>
      <c r="Q992" s="680">
        <f t="shared" si="382"/>
        <v>152993.69789667081</v>
      </c>
      <c r="R992" s="680">
        <f t="shared" si="382"/>
        <v>77575.899608885142</v>
      </c>
      <c r="S992" s="695">
        <f t="shared" ref="S992:AB992" si="383">ROUND(S963+S970+S980+SUM(S990:S991),5)</f>
        <v>154532.79999999999</v>
      </c>
      <c r="T992" s="695">
        <f t="shared" si="383"/>
        <v>156965.84</v>
      </c>
      <c r="U992" s="695">
        <f t="shared" si="383"/>
        <v>138947.04999999999</v>
      </c>
      <c r="V992" s="695">
        <f t="shared" si="383"/>
        <v>148871.4</v>
      </c>
      <c r="W992" s="695">
        <f t="shared" si="383"/>
        <v>142805.31</v>
      </c>
      <c r="X992" s="695">
        <f t="shared" si="383"/>
        <v>123360.5</v>
      </c>
      <c r="Y992" s="695">
        <f t="shared" si="383"/>
        <v>136536.94</v>
      </c>
      <c r="Z992" s="695">
        <f t="shared" si="383"/>
        <v>114368.86</v>
      </c>
      <c r="AA992" s="695">
        <f t="shared" si="383"/>
        <v>131009.61</v>
      </c>
      <c r="AB992" s="695">
        <f t="shared" si="383"/>
        <v>136900.6</v>
      </c>
      <c r="AC992" s="695">
        <f>ROUND(AC963+AC970+AC980+SUM(AC990:AC991),5)</f>
        <v>123801.38</v>
      </c>
      <c r="AD992" s="695">
        <f>ROUND(AD963+AD970+AD980+SUM(AD990:AD991),5)</f>
        <v>47231.49</v>
      </c>
      <c r="AE992" s="680">
        <f t="shared" si="382"/>
        <v>0</v>
      </c>
      <c r="AF992" s="680">
        <f t="shared" si="382"/>
        <v>0</v>
      </c>
      <c r="AG992" s="680">
        <f t="shared" si="382"/>
        <v>0</v>
      </c>
      <c r="AH992" s="680">
        <f t="shared" si="382"/>
        <v>0</v>
      </c>
      <c r="AI992" s="680">
        <f t="shared" si="382"/>
        <v>0</v>
      </c>
      <c r="AJ992" s="680">
        <f t="shared" si="382"/>
        <v>0</v>
      </c>
      <c r="AK992" s="680">
        <f t="shared" si="382"/>
        <v>0</v>
      </c>
      <c r="AL992" s="680">
        <f t="shared" si="382"/>
        <v>0</v>
      </c>
      <c r="AM992" s="680">
        <f t="shared" si="382"/>
        <v>0</v>
      </c>
      <c r="AN992" s="680">
        <f t="shared" si="382"/>
        <v>0</v>
      </c>
      <c r="AO992" s="680">
        <f t="shared" si="382"/>
        <v>0</v>
      </c>
      <c r="AP992" s="680">
        <f t="shared" si="382"/>
        <v>0</v>
      </c>
      <c r="AQ992" s="680">
        <f t="shared" si="382"/>
        <v>0</v>
      </c>
      <c r="AR992" s="680">
        <f t="shared" si="382"/>
        <v>0</v>
      </c>
      <c r="AS992" s="680">
        <f t="shared" si="382"/>
        <v>0</v>
      </c>
      <c r="AT992" s="680">
        <f t="shared" si="382"/>
        <v>0</v>
      </c>
      <c r="AU992" s="680">
        <f t="shared" si="382"/>
        <v>0</v>
      </c>
      <c r="AV992" s="680">
        <f t="shared" si="382"/>
        <v>0</v>
      </c>
      <c r="AW992" s="680">
        <f t="shared" si="382"/>
        <v>0</v>
      </c>
      <c r="AX992" s="680">
        <f t="shared" si="382"/>
        <v>0</v>
      </c>
      <c r="AY992" s="680">
        <f t="shared" si="382"/>
        <v>0</v>
      </c>
      <c r="AZ992" s="680">
        <f t="shared" si="382"/>
        <v>0</v>
      </c>
      <c r="BA992" s="680">
        <f t="shared" si="382"/>
        <v>0</v>
      </c>
      <c r="BB992" s="680">
        <f t="shared" si="382"/>
        <v>0</v>
      </c>
      <c r="BC992" s="680">
        <f t="shared" si="382"/>
        <v>0</v>
      </c>
      <c r="BD992" s="680">
        <f t="shared" si="382"/>
        <v>0</v>
      </c>
      <c r="BE992" s="680">
        <f t="shared" si="382"/>
        <v>0</v>
      </c>
      <c r="BF992" s="680">
        <f t="shared" si="382"/>
        <v>0</v>
      </c>
      <c r="BG992" s="680">
        <f t="shared" si="382"/>
        <v>0</v>
      </c>
      <c r="BH992" s="680">
        <f t="shared" si="382"/>
        <v>0</v>
      </c>
      <c r="BI992" s="680">
        <f t="shared" si="382"/>
        <v>0</v>
      </c>
      <c r="BJ992" s="680">
        <f t="shared" si="382"/>
        <v>0</v>
      </c>
      <c r="BK992" s="680">
        <f t="shared" si="382"/>
        <v>0</v>
      </c>
      <c r="BL992" s="680">
        <f t="shared" si="382"/>
        <v>0</v>
      </c>
      <c r="BM992" s="680">
        <f t="shared" si="382"/>
        <v>0</v>
      </c>
      <c r="BN992" s="680">
        <f t="shared" si="382"/>
        <v>0</v>
      </c>
      <c r="BO992" s="680">
        <f t="shared" si="382"/>
        <v>0</v>
      </c>
      <c r="BP992" s="680">
        <f t="shared" ref="BP992:CA992" si="384">BP990+BP980</f>
        <v>0</v>
      </c>
      <c r="BQ992" s="680">
        <f t="shared" si="384"/>
        <v>0</v>
      </c>
      <c r="BR992" s="680">
        <f t="shared" si="384"/>
        <v>0</v>
      </c>
      <c r="BS992" s="680">
        <f t="shared" si="384"/>
        <v>0</v>
      </c>
      <c r="BT992" s="680">
        <f t="shared" si="384"/>
        <v>0</v>
      </c>
      <c r="BU992" s="680">
        <f t="shared" si="384"/>
        <v>0</v>
      </c>
      <c r="BV992" s="680">
        <f t="shared" si="384"/>
        <v>0</v>
      </c>
      <c r="BW992" s="680">
        <f t="shared" si="384"/>
        <v>0</v>
      </c>
      <c r="BX992" s="680">
        <f t="shared" si="384"/>
        <v>0</v>
      </c>
      <c r="BY992" s="680">
        <f t="shared" si="384"/>
        <v>0</v>
      </c>
      <c r="BZ992" s="680">
        <f t="shared" si="384"/>
        <v>0</v>
      </c>
      <c r="CA992" s="680">
        <f t="shared" si="384"/>
        <v>0</v>
      </c>
    </row>
    <row r="993" spans="1:79" s="309" customFormat="1" hidden="1" outlineLevel="1" x14ac:dyDescent="0.35">
      <c r="A993" s="575"/>
      <c r="B993" s="575"/>
      <c r="C993" s="575"/>
      <c r="D993" s="575"/>
      <c r="E993" s="575"/>
      <c r="F993" s="671" t="s">
        <v>912</v>
      </c>
      <c r="G993" s="735"/>
      <c r="H993" s="735"/>
      <c r="I993" s="735"/>
      <c r="J993" s="735"/>
      <c r="K993" s="735"/>
      <c r="L993" s="735"/>
      <c r="M993" s="735"/>
      <c r="N993" s="735"/>
      <c r="O993" s="735"/>
      <c r="P993" s="735"/>
      <c r="Q993" s="735"/>
      <c r="R993" s="735"/>
      <c r="S993" s="700">
        <v>0</v>
      </c>
      <c r="T993" s="700">
        <v>0</v>
      </c>
      <c r="U993" s="700">
        <v>0</v>
      </c>
      <c r="V993" s="700">
        <v>0</v>
      </c>
      <c r="W993" s="700">
        <v>0</v>
      </c>
      <c r="X993" s="700">
        <v>0</v>
      </c>
      <c r="Y993" s="700">
        <v>0</v>
      </c>
      <c r="Z993" s="700">
        <v>0</v>
      </c>
      <c r="AA993" s="700">
        <v>0</v>
      </c>
      <c r="AB993" s="700">
        <v>0</v>
      </c>
      <c r="AC993" s="706">
        <v>0</v>
      </c>
      <c r="AD993" s="706">
        <v>0</v>
      </c>
      <c r="AE993" s="732"/>
      <c r="AF993" s="732"/>
      <c r="AG993" s="732"/>
      <c r="AH993" s="732"/>
      <c r="AI993" s="732"/>
      <c r="AJ993" s="732"/>
      <c r="AK993" s="732"/>
      <c r="AL993" s="732"/>
      <c r="AM993" s="732"/>
      <c r="AN993" s="732"/>
      <c r="AO993" s="732"/>
      <c r="AP993" s="732"/>
      <c r="AQ993" s="732"/>
      <c r="AR993" s="732"/>
      <c r="AS993" s="732"/>
      <c r="AT993" s="732"/>
      <c r="AU993" s="732"/>
      <c r="AV993" s="732"/>
      <c r="AW993" s="732"/>
      <c r="AX993" s="732"/>
      <c r="AY993" s="732"/>
      <c r="AZ993" s="732"/>
      <c r="BA993" s="732"/>
      <c r="BB993" s="732"/>
      <c r="BC993" s="732"/>
      <c r="BD993" s="732"/>
      <c r="BE993" s="732"/>
      <c r="BF993" s="732"/>
      <c r="BG993" s="732"/>
      <c r="BH993" s="732"/>
      <c r="BI993" s="732"/>
      <c r="BJ993" s="732"/>
      <c r="BK993" s="732"/>
      <c r="BL993" s="732"/>
      <c r="BM993" s="732"/>
      <c r="BN993" s="732"/>
      <c r="BO993" s="732"/>
      <c r="BP993" s="732"/>
      <c r="BQ993" s="732"/>
      <c r="BR993" s="732"/>
      <c r="BS993" s="732"/>
      <c r="BT993" s="732"/>
      <c r="BU993" s="732"/>
      <c r="BV993" s="732"/>
      <c r="BW993" s="732"/>
      <c r="BX993" s="732"/>
      <c r="BY993" s="732"/>
      <c r="BZ993" s="732"/>
      <c r="CA993" s="732"/>
    </row>
    <row r="994" spans="1:79" s="716" customFormat="1" hidden="1" outlineLevel="1" x14ac:dyDescent="0.35">
      <c r="F994" s="717" t="s">
        <v>606</v>
      </c>
      <c r="G994" s="782"/>
      <c r="H994" s="753"/>
      <c r="I994" s="753"/>
      <c r="J994" s="753"/>
      <c r="K994" s="753"/>
      <c r="L994" s="753"/>
      <c r="M994" s="753"/>
      <c r="N994" s="753"/>
      <c r="O994" s="753"/>
      <c r="P994" s="753"/>
      <c r="Q994" s="753"/>
      <c r="R994" s="753"/>
      <c r="S994" s="713"/>
      <c r="T994" s="713"/>
      <c r="U994" s="713"/>
      <c r="V994" s="713"/>
      <c r="W994" s="713"/>
      <c r="X994" s="713"/>
      <c r="Y994" s="713"/>
      <c r="Z994" s="713"/>
      <c r="AA994" s="713"/>
      <c r="AB994" s="713"/>
      <c r="AC994" s="713"/>
      <c r="AD994" s="713"/>
      <c r="AE994" s="751"/>
      <c r="AF994" s="751"/>
      <c r="AG994" s="751"/>
      <c r="AH994" s="751"/>
      <c r="AI994" s="751"/>
      <c r="AJ994" s="751"/>
      <c r="AK994" s="751"/>
      <c r="AL994" s="751"/>
      <c r="AM994" s="751"/>
      <c r="AN994" s="751"/>
      <c r="AO994" s="751"/>
      <c r="AP994" s="751"/>
      <c r="AQ994" s="751"/>
      <c r="AR994" s="751"/>
      <c r="AS994" s="751"/>
      <c r="AT994" s="751"/>
      <c r="AU994" s="751"/>
      <c r="AV994" s="751"/>
      <c r="AW994" s="751"/>
      <c r="AX994" s="751"/>
      <c r="AY994" s="751"/>
      <c r="AZ994" s="751"/>
      <c r="BA994" s="751"/>
      <c r="BB994" s="751"/>
      <c r="BC994" s="751"/>
      <c r="BD994" s="751"/>
      <c r="BE994" s="751"/>
      <c r="BF994" s="751"/>
      <c r="BG994" s="751"/>
      <c r="BH994" s="751"/>
      <c r="BI994" s="751"/>
      <c r="BJ994" s="751"/>
      <c r="BK994" s="751"/>
      <c r="BL994" s="751"/>
      <c r="BM994" s="751"/>
      <c r="BN994" s="751"/>
      <c r="BO994" s="751"/>
      <c r="BP994" s="751"/>
      <c r="BQ994" s="751"/>
      <c r="BR994" s="751"/>
      <c r="BS994" s="751"/>
      <c r="BT994" s="751"/>
      <c r="BU994" s="751"/>
      <c r="BV994" s="751"/>
      <c r="BW994" s="751"/>
      <c r="BX994" s="751"/>
      <c r="BY994" s="751"/>
      <c r="BZ994" s="751"/>
      <c r="CA994" s="751"/>
    </row>
    <row r="995" spans="1:79" s="452" customFormat="1" hidden="1" outlineLevel="1" x14ac:dyDescent="0.35">
      <c r="A995" s="80"/>
      <c r="B995" s="80"/>
      <c r="C995" s="80"/>
      <c r="D995" s="80"/>
      <c r="E995" s="80"/>
      <c r="F995" s="672" t="s">
        <v>645</v>
      </c>
      <c r="G995" s="739"/>
      <c r="H995" s="734"/>
      <c r="I995" s="734"/>
      <c r="J995" s="734"/>
      <c r="K995" s="734"/>
      <c r="L995" s="734"/>
      <c r="M995" s="734"/>
      <c r="N995" s="734"/>
      <c r="O995" s="734"/>
      <c r="P995" s="734"/>
      <c r="Q995" s="734"/>
      <c r="R995" s="734"/>
      <c r="S995" s="683">
        <v>3735.36</v>
      </c>
      <c r="T995" s="683">
        <v>1589.32</v>
      </c>
      <c r="U995" s="683">
        <v>2817.71</v>
      </c>
      <c r="V995" s="683">
        <v>2604.85</v>
      </c>
      <c r="W995" s="683">
        <v>2282.0300000000002</v>
      </c>
      <c r="X995" s="683">
        <v>3341.21</v>
      </c>
      <c r="Y995" s="683">
        <v>2796.62</v>
      </c>
      <c r="Z995" s="683">
        <v>2756.05</v>
      </c>
      <c r="AA995" s="683">
        <v>2782.52</v>
      </c>
      <c r="AB995" s="683">
        <v>2838.62</v>
      </c>
      <c r="AC995" s="682">
        <v>0</v>
      </c>
      <c r="AD995" s="682">
        <v>0</v>
      </c>
      <c r="AE995" s="732"/>
      <c r="AF995" s="732"/>
      <c r="AG995" s="732"/>
      <c r="AH995" s="732"/>
      <c r="AI995" s="732"/>
      <c r="AJ995" s="732"/>
      <c r="AK995" s="732"/>
      <c r="AL995" s="732"/>
      <c r="AM995" s="732"/>
      <c r="AN995" s="732"/>
      <c r="AO995" s="732"/>
      <c r="AP995" s="732"/>
      <c r="AQ995" s="732"/>
      <c r="AR995" s="732"/>
      <c r="AS995" s="732"/>
      <c r="AT995" s="732"/>
      <c r="AU995" s="732"/>
      <c r="AV995" s="732"/>
      <c r="AW995" s="732"/>
      <c r="AX995" s="732"/>
      <c r="AY995" s="732"/>
      <c r="AZ995" s="732"/>
      <c r="BA995" s="732"/>
      <c r="BB995" s="732"/>
      <c r="BC995" s="732"/>
      <c r="BD995" s="732"/>
      <c r="BE995" s="732"/>
      <c r="BF995" s="732"/>
      <c r="BG995" s="732"/>
      <c r="BH995" s="732"/>
      <c r="BI995" s="732"/>
      <c r="BJ995" s="732"/>
      <c r="BK995" s="732"/>
      <c r="BL995" s="732"/>
      <c r="BM995" s="732"/>
      <c r="BN995" s="732"/>
      <c r="BO995" s="732"/>
      <c r="BP995" s="732"/>
      <c r="BQ995" s="732"/>
      <c r="BR995" s="732"/>
      <c r="BS995" s="732"/>
      <c r="BT995" s="732"/>
      <c r="BU995" s="732"/>
      <c r="BV995" s="732"/>
      <c r="BW995" s="732"/>
      <c r="BX995" s="732"/>
      <c r="BY995" s="732"/>
      <c r="BZ995" s="732"/>
      <c r="CA995" s="732"/>
    </row>
    <row r="996" spans="1:79" s="452" customFormat="1" hidden="1" outlineLevel="1" x14ac:dyDescent="0.35">
      <c r="A996" s="580"/>
      <c r="B996" s="580"/>
      <c r="C996" s="580"/>
      <c r="D996" s="580"/>
      <c r="E996" s="580"/>
      <c r="F996" s="672" t="s">
        <v>913</v>
      </c>
      <c r="G996" s="739"/>
      <c r="H996" s="734"/>
      <c r="I996" s="734"/>
      <c r="J996" s="734"/>
      <c r="K996" s="734"/>
      <c r="L996" s="734"/>
      <c r="M996" s="734"/>
      <c r="N996" s="734"/>
      <c r="O996" s="734"/>
      <c r="P996" s="734"/>
      <c r="Q996" s="734"/>
      <c r="R996" s="734"/>
      <c r="S996" s="692">
        <v>0</v>
      </c>
      <c r="T996" s="692">
        <v>0</v>
      </c>
      <c r="U996" s="692">
        <v>0</v>
      </c>
      <c r="V996" s="692">
        <v>0</v>
      </c>
      <c r="W996" s="692">
        <v>0</v>
      </c>
      <c r="X996" s="692">
        <v>0</v>
      </c>
      <c r="Y996" s="692">
        <v>0</v>
      </c>
      <c r="Z996" s="692">
        <v>0</v>
      </c>
      <c r="AA996" s="692">
        <v>0</v>
      </c>
      <c r="AB996" s="692">
        <v>0</v>
      </c>
      <c r="AC996" s="691">
        <v>0</v>
      </c>
      <c r="AD996" s="691">
        <v>0</v>
      </c>
      <c r="AE996" s="732"/>
      <c r="AF996" s="732"/>
      <c r="AG996" s="732"/>
      <c r="AH996" s="732"/>
      <c r="AI996" s="732"/>
      <c r="AJ996" s="732"/>
      <c r="AK996" s="732"/>
      <c r="AL996" s="732"/>
      <c r="AM996" s="732"/>
      <c r="AN996" s="732"/>
      <c r="AO996" s="732"/>
      <c r="AP996" s="732"/>
      <c r="AQ996" s="732"/>
      <c r="AR996" s="732"/>
      <c r="AS996" s="732"/>
      <c r="AT996" s="732"/>
      <c r="AU996" s="732"/>
      <c r="AV996" s="732"/>
      <c r="AW996" s="732"/>
      <c r="AX996" s="732"/>
      <c r="AY996" s="732"/>
      <c r="AZ996" s="732"/>
      <c r="BA996" s="732"/>
      <c r="BB996" s="732"/>
      <c r="BC996" s="732"/>
      <c r="BD996" s="732"/>
      <c r="BE996" s="732"/>
      <c r="BF996" s="732"/>
      <c r="BG996" s="732"/>
      <c r="BH996" s="732"/>
      <c r="BI996" s="732"/>
      <c r="BJ996" s="732"/>
      <c r="BK996" s="732"/>
      <c r="BL996" s="732"/>
      <c r="BM996" s="732"/>
      <c r="BN996" s="732"/>
      <c r="BO996" s="732"/>
      <c r="BP996" s="732"/>
      <c r="BQ996" s="732"/>
      <c r="BR996" s="732"/>
      <c r="BS996" s="732"/>
      <c r="BT996" s="732"/>
      <c r="BU996" s="732"/>
      <c r="BV996" s="732"/>
      <c r="BW996" s="732"/>
      <c r="BX996" s="732"/>
      <c r="BY996" s="732"/>
      <c r="BZ996" s="732"/>
      <c r="CA996" s="732"/>
    </row>
    <row r="997" spans="1:79" s="452" customFormat="1" hidden="1" outlineLevel="1" x14ac:dyDescent="0.35">
      <c r="A997" s="580"/>
      <c r="B997" s="580"/>
      <c r="C997" s="580"/>
      <c r="D997" s="580"/>
      <c r="E997" s="580"/>
      <c r="F997" s="672" t="s">
        <v>770</v>
      </c>
      <c r="G997" s="735">
        <v>498.9166429974407</v>
      </c>
      <c r="H997" s="732">
        <v>284.08237098686425</v>
      </c>
      <c r="I997" s="732">
        <v>390.30392709956465</v>
      </c>
      <c r="J997" s="732">
        <v>1704.5009249673008</v>
      </c>
      <c r="K997" s="732">
        <v>759.21371792732486</v>
      </c>
      <c r="L997" s="732">
        <v>859.60331974991266</v>
      </c>
      <c r="M997" s="732">
        <v>697.64807902379493</v>
      </c>
      <c r="N997" s="732">
        <v>-132.64392549054753</v>
      </c>
      <c r="O997" s="732">
        <v>777.22941110747843</v>
      </c>
      <c r="P997" s="732">
        <v>219.58314546146966</v>
      </c>
      <c r="Q997" s="732">
        <v>390.2680809568779</v>
      </c>
      <c r="R997" s="732">
        <v>2185.4290380057323</v>
      </c>
      <c r="S997" s="692">
        <v>0</v>
      </c>
      <c r="T997" s="692">
        <v>0</v>
      </c>
      <c r="U997" s="692">
        <v>0</v>
      </c>
      <c r="V997" s="692">
        <v>0</v>
      </c>
      <c r="W997" s="692">
        <v>390</v>
      </c>
      <c r="X997" s="692">
        <v>60</v>
      </c>
      <c r="Y997" s="692">
        <v>60</v>
      </c>
      <c r="Z997" s="692">
        <v>60</v>
      </c>
      <c r="AA997" s="692">
        <v>60</v>
      </c>
      <c r="AB997" s="692">
        <v>30</v>
      </c>
      <c r="AC997" s="691">
        <v>60</v>
      </c>
      <c r="AD997" s="691">
        <v>0</v>
      </c>
      <c r="AE997" s="732"/>
      <c r="AF997" s="732"/>
      <c r="AG997" s="732"/>
      <c r="AH997" s="732"/>
      <c r="AI997" s="732"/>
      <c r="AJ997" s="732"/>
      <c r="AK997" s="732"/>
      <c r="AL997" s="732"/>
      <c r="AM997" s="732"/>
      <c r="AN997" s="732"/>
      <c r="AO997" s="732"/>
      <c r="AP997" s="732"/>
      <c r="AQ997" s="732"/>
      <c r="AR997" s="732"/>
      <c r="AS997" s="732"/>
      <c r="AT997" s="732"/>
      <c r="AU997" s="732"/>
      <c r="AV997" s="732"/>
      <c r="AW997" s="732"/>
      <c r="AX997" s="732"/>
      <c r="AY997" s="732"/>
      <c r="AZ997" s="732"/>
      <c r="BA997" s="732"/>
      <c r="BB997" s="732"/>
      <c r="BC997" s="732"/>
      <c r="BD997" s="732"/>
      <c r="BE997" s="732"/>
      <c r="BF997" s="732"/>
      <c r="BG997" s="732"/>
      <c r="BH997" s="732"/>
      <c r="BI997" s="732"/>
      <c r="BJ997" s="732"/>
      <c r="BK997" s="732"/>
      <c r="BL997" s="732"/>
      <c r="BM997" s="732"/>
      <c r="BN997" s="732"/>
      <c r="BO997" s="732"/>
      <c r="BP997" s="732"/>
      <c r="BQ997" s="732"/>
      <c r="BR997" s="732"/>
      <c r="BS997" s="732"/>
      <c r="BT997" s="732"/>
      <c r="BU997" s="732"/>
      <c r="BV997" s="732"/>
      <c r="BW997" s="732"/>
      <c r="BX997" s="732"/>
      <c r="BY997" s="732"/>
      <c r="BZ997" s="732"/>
      <c r="CA997" s="732"/>
    </row>
    <row r="998" spans="1:79" s="309" customFormat="1" hidden="1" outlineLevel="1" x14ac:dyDescent="0.35">
      <c r="A998" s="30"/>
      <c r="B998" s="30"/>
      <c r="C998" s="30"/>
      <c r="D998" s="30"/>
      <c r="E998" s="30"/>
      <c r="F998" s="678" t="s">
        <v>646</v>
      </c>
      <c r="G998" s="680">
        <f>SUM(G995:G997)</f>
        <v>498.9166429974407</v>
      </c>
      <c r="H998" s="680">
        <f t="shared" ref="H998:BO998" si="385">SUM(H995:H997)</f>
        <v>284.08237098686425</v>
      </c>
      <c r="I998" s="680">
        <f t="shared" si="385"/>
        <v>390.30392709956465</v>
      </c>
      <c r="J998" s="680">
        <f t="shared" si="385"/>
        <v>1704.5009249673008</v>
      </c>
      <c r="K998" s="680">
        <f t="shared" si="385"/>
        <v>759.21371792732486</v>
      </c>
      <c r="L998" s="680">
        <f t="shared" si="385"/>
        <v>859.60331974991266</v>
      </c>
      <c r="M998" s="680">
        <f t="shared" si="385"/>
        <v>697.64807902379493</v>
      </c>
      <c r="N998" s="680">
        <f t="shared" si="385"/>
        <v>-132.64392549054753</v>
      </c>
      <c r="O998" s="680">
        <f t="shared" si="385"/>
        <v>777.22941110747843</v>
      </c>
      <c r="P998" s="680">
        <f t="shared" si="385"/>
        <v>219.58314546146966</v>
      </c>
      <c r="Q998" s="680">
        <f t="shared" si="385"/>
        <v>390.2680809568779</v>
      </c>
      <c r="R998" s="680">
        <f t="shared" si="385"/>
        <v>2185.4290380057323</v>
      </c>
      <c r="S998" s="694">
        <f t="shared" ref="S998:AA998" si="386">ROUND(SUM(S994:S997),5)</f>
        <v>3735.36</v>
      </c>
      <c r="T998" s="694">
        <f t="shared" si="386"/>
        <v>1589.32</v>
      </c>
      <c r="U998" s="694">
        <f t="shared" si="386"/>
        <v>2817.71</v>
      </c>
      <c r="V998" s="694">
        <f t="shared" si="386"/>
        <v>2604.85</v>
      </c>
      <c r="W998" s="694">
        <f t="shared" si="386"/>
        <v>2672.03</v>
      </c>
      <c r="X998" s="694">
        <f t="shared" si="386"/>
        <v>3401.21</v>
      </c>
      <c r="Y998" s="694">
        <f t="shared" si="386"/>
        <v>2856.62</v>
      </c>
      <c r="Z998" s="694">
        <f t="shared" si="386"/>
        <v>2816.05</v>
      </c>
      <c r="AA998" s="694">
        <f t="shared" si="386"/>
        <v>2842.52</v>
      </c>
      <c r="AB998" s="694">
        <f>ROUND(SUM(AB994:AB997),5)</f>
        <v>2868.62</v>
      </c>
      <c r="AC998" s="694">
        <f>ROUND(SUM(AC994:AC997),5)</f>
        <v>60</v>
      </c>
      <c r="AD998" s="694">
        <f>ROUND(SUM(AD994:AD997),5)</f>
        <v>0</v>
      </c>
      <c r="AE998" s="680">
        <f t="shared" si="385"/>
        <v>0</v>
      </c>
      <c r="AF998" s="680">
        <f t="shared" si="385"/>
        <v>0</v>
      </c>
      <c r="AG998" s="680">
        <f t="shared" si="385"/>
        <v>0</v>
      </c>
      <c r="AH998" s="680">
        <f t="shared" si="385"/>
        <v>0</v>
      </c>
      <c r="AI998" s="680">
        <f t="shared" si="385"/>
        <v>0</v>
      </c>
      <c r="AJ998" s="680">
        <f t="shared" si="385"/>
        <v>0</v>
      </c>
      <c r="AK998" s="680">
        <f t="shared" si="385"/>
        <v>0</v>
      </c>
      <c r="AL998" s="680">
        <f t="shared" si="385"/>
        <v>0</v>
      </c>
      <c r="AM998" s="680">
        <f t="shared" si="385"/>
        <v>0</v>
      </c>
      <c r="AN998" s="680">
        <f t="shared" si="385"/>
        <v>0</v>
      </c>
      <c r="AO998" s="680">
        <f t="shared" si="385"/>
        <v>0</v>
      </c>
      <c r="AP998" s="680">
        <f t="shared" si="385"/>
        <v>0</v>
      </c>
      <c r="AQ998" s="680">
        <f t="shared" si="385"/>
        <v>0</v>
      </c>
      <c r="AR998" s="680">
        <f t="shared" si="385"/>
        <v>0</v>
      </c>
      <c r="AS998" s="680">
        <f t="shared" si="385"/>
        <v>0</v>
      </c>
      <c r="AT998" s="680">
        <f t="shared" si="385"/>
        <v>0</v>
      </c>
      <c r="AU998" s="680">
        <f t="shared" si="385"/>
        <v>0</v>
      </c>
      <c r="AV998" s="680">
        <f t="shared" si="385"/>
        <v>0</v>
      </c>
      <c r="AW998" s="680">
        <f t="shared" si="385"/>
        <v>0</v>
      </c>
      <c r="AX998" s="680">
        <f t="shared" si="385"/>
        <v>0</v>
      </c>
      <c r="AY998" s="680">
        <f t="shared" si="385"/>
        <v>0</v>
      </c>
      <c r="AZ998" s="680">
        <f t="shared" si="385"/>
        <v>0</v>
      </c>
      <c r="BA998" s="680">
        <f t="shared" si="385"/>
        <v>0</v>
      </c>
      <c r="BB998" s="680">
        <f t="shared" si="385"/>
        <v>0</v>
      </c>
      <c r="BC998" s="680">
        <f t="shared" si="385"/>
        <v>0</v>
      </c>
      <c r="BD998" s="680">
        <f t="shared" si="385"/>
        <v>0</v>
      </c>
      <c r="BE998" s="680">
        <f t="shared" si="385"/>
        <v>0</v>
      </c>
      <c r="BF998" s="680">
        <f t="shared" si="385"/>
        <v>0</v>
      </c>
      <c r="BG998" s="680">
        <f t="shared" si="385"/>
        <v>0</v>
      </c>
      <c r="BH998" s="680">
        <f t="shared" si="385"/>
        <v>0</v>
      </c>
      <c r="BI998" s="680">
        <f t="shared" si="385"/>
        <v>0</v>
      </c>
      <c r="BJ998" s="680">
        <f t="shared" si="385"/>
        <v>0</v>
      </c>
      <c r="BK998" s="680">
        <f t="shared" si="385"/>
        <v>0</v>
      </c>
      <c r="BL998" s="680">
        <f t="shared" si="385"/>
        <v>0</v>
      </c>
      <c r="BM998" s="680">
        <f t="shared" si="385"/>
        <v>0</v>
      </c>
      <c r="BN998" s="680">
        <f t="shared" si="385"/>
        <v>0</v>
      </c>
      <c r="BO998" s="680">
        <f t="shared" si="385"/>
        <v>0</v>
      </c>
      <c r="BP998" s="680">
        <f t="shared" ref="BP998:CA998" si="387">SUM(BP995:BP997)</f>
        <v>0</v>
      </c>
      <c r="BQ998" s="680">
        <f t="shared" si="387"/>
        <v>0</v>
      </c>
      <c r="BR998" s="680">
        <f t="shared" si="387"/>
        <v>0</v>
      </c>
      <c r="BS998" s="680">
        <f t="shared" si="387"/>
        <v>0</v>
      </c>
      <c r="BT998" s="680">
        <f t="shared" si="387"/>
        <v>0</v>
      </c>
      <c r="BU998" s="680">
        <f t="shared" si="387"/>
        <v>0</v>
      </c>
      <c r="BV998" s="680">
        <f t="shared" si="387"/>
        <v>0</v>
      </c>
      <c r="BW998" s="680">
        <f t="shared" si="387"/>
        <v>0</v>
      </c>
      <c r="BX998" s="680">
        <f t="shared" si="387"/>
        <v>0</v>
      </c>
      <c r="BY998" s="680">
        <f t="shared" si="387"/>
        <v>0</v>
      </c>
      <c r="BZ998" s="680">
        <f t="shared" si="387"/>
        <v>0</v>
      </c>
      <c r="CA998" s="680">
        <f t="shared" si="387"/>
        <v>0</v>
      </c>
    </row>
    <row r="999" spans="1:79" s="309" customFormat="1" hidden="1" outlineLevel="1" x14ac:dyDescent="0.35">
      <c r="A999" s="30"/>
      <c r="B999" s="30"/>
      <c r="C999" s="30"/>
      <c r="D999" s="30"/>
      <c r="E999" s="30"/>
      <c r="F999" s="674" t="s">
        <v>607</v>
      </c>
      <c r="G999" s="735"/>
      <c r="H999" s="732">
        <v>26.402830225935567</v>
      </c>
      <c r="I999" s="732">
        <v>27.201046272445318</v>
      </c>
      <c r="J999" s="732">
        <v>34.139549047222303</v>
      </c>
      <c r="K999" s="732">
        <v>67.867858470368674</v>
      </c>
      <c r="L999" s="732"/>
      <c r="M999" s="732">
        <v>7.7773191170385223</v>
      </c>
      <c r="N999" s="732"/>
      <c r="O999" s="732"/>
      <c r="P999" s="732">
        <v>1.8970071046788781</v>
      </c>
      <c r="Q999" s="732"/>
      <c r="R999" s="732"/>
      <c r="S999" s="683">
        <v>0</v>
      </c>
      <c r="T999" s="683">
        <v>0</v>
      </c>
      <c r="U999" s="683">
        <v>0</v>
      </c>
      <c r="V999" s="683">
        <v>0</v>
      </c>
      <c r="W999" s="683">
        <v>380.41</v>
      </c>
      <c r="X999" s="683">
        <v>0</v>
      </c>
      <c r="Y999" s="683">
        <v>0</v>
      </c>
      <c r="Z999" s="683">
        <v>0</v>
      </c>
      <c r="AA999" s="683">
        <v>0</v>
      </c>
      <c r="AB999" s="683">
        <v>0</v>
      </c>
      <c r="AC999" s="682">
        <v>2017.9</v>
      </c>
      <c r="AD999" s="682">
        <v>0</v>
      </c>
      <c r="AE999" s="732"/>
      <c r="AF999" s="732"/>
      <c r="AG999" s="732"/>
      <c r="AH999" s="732"/>
      <c r="AI999" s="732"/>
      <c r="AJ999" s="732"/>
      <c r="AK999" s="732"/>
      <c r="AL999" s="732"/>
      <c r="AM999" s="732"/>
      <c r="AN999" s="732"/>
      <c r="AO999" s="732"/>
      <c r="AP999" s="732"/>
      <c r="AQ999" s="732"/>
      <c r="AR999" s="732"/>
      <c r="AS999" s="732"/>
      <c r="AT999" s="732"/>
      <c r="AU999" s="732"/>
      <c r="AV999" s="732"/>
      <c r="AW999" s="732"/>
      <c r="AX999" s="732"/>
      <c r="AY999" s="732"/>
      <c r="AZ999" s="732"/>
      <c r="BA999" s="732"/>
      <c r="BB999" s="732"/>
      <c r="BC999" s="732"/>
      <c r="BD999" s="732"/>
      <c r="BE999" s="732"/>
      <c r="BF999" s="732"/>
      <c r="BG999" s="732"/>
      <c r="BH999" s="732"/>
      <c r="BI999" s="732"/>
      <c r="BJ999" s="732"/>
      <c r="BK999" s="732"/>
      <c r="BL999" s="732"/>
      <c r="BM999" s="732"/>
      <c r="BN999" s="732"/>
      <c r="BO999" s="732"/>
      <c r="BP999" s="732"/>
      <c r="BQ999" s="732"/>
      <c r="BR999" s="732"/>
      <c r="BS999" s="732"/>
      <c r="BT999" s="732"/>
      <c r="BU999" s="732"/>
      <c r="BV999" s="732"/>
      <c r="BW999" s="732"/>
      <c r="BX999" s="732"/>
      <c r="BY999" s="732"/>
      <c r="BZ999" s="732"/>
      <c r="CA999" s="732"/>
    </row>
    <row r="1000" spans="1:79" s="309" customFormat="1" hidden="1" outlineLevel="1" x14ac:dyDescent="0.35">
      <c r="A1000" s="30"/>
      <c r="B1000" s="30"/>
      <c r="C1000" s="30"/>
      <c r="D1000" s="30"/>
      <c r="E1000" s="30"/>
      <c r="F1000" s="674" t="s">
        <v>608</v>
      </c>
      <c r="G1000" s="735">
        <v>166.69515673803267</v>
      </c>
      <c r="H1000" s="732">
        <v>26.520637690201514</v>
      </c>
      <c r="I1000" s="732">
        <v>16.653701799456318</v>
      </c>
      <c r="J1000" s="732">
        <v>2683.6246017295275</v>
      </c>
      <c r="K1000" s="732">
        <v>138.34601918959768</v>
      </c>
      <c r="L1000" s="732">
        <v>2204.2635476173446</v>
      </c>
      <c r="M1000" s="732">
        <v>1866.5488107701285</v>
      </c>
      <c r="N1000" s="732">
        <v>1953.8926965899468</v>
      </c>
      <c r="O1000" s="732">
        <v>13.224621937637316</v>
      </c>
      <c r="P1000" s="732">
        <v>1164.6089782585323</v>
      </c>
      <c r="Q1000" s="732"/>
      <c r="R1000" s="732"/>
      <c r="S1000" s="683">
        <v>0</v>
      </c>
      <c r="T1000" s="683">
        <v>0</v>
      </c>
      <c r="U1000" s="683">
        <v>0</v>
      </c>
      <c r="V1000" s="683">
        <v>0</v>
      </c>
      <c r="W1000" s="683">
        <v>0</v>
      </c>
      <c r="X1000" s="683">
        <v>0</v>
      </c>
      <c r="Y1000" s="683">
        <v>0</v>
      </c>
      <c r="Z1000" s="683">
        <v>0</v>
      </c>
      <c r="AA1000" s="683">
        <v>0</v>
      </c>
      <c r="AB1000" s="683">
        <v>0</v>
      </c>
      <c r="AC1000" s="682">
        <v>0</v>
      </c>
      <c r="AD1000" s="682">
        <v>0</v>
      </c>
      <c r="AE1000" s="732"/>
      <c r="AF1000" s="732"/>
      <c r="AG1000" s="732"/>
      <c r="AH1000" s="732"/>
      <c r="AI1000" s="732"/>
      <c r="AJ1000" s="732"/>
      <c r="AK1000" s="732"/>
      <c r="AL1000" s="732"/>
      <c r="AM1000" s="732"/>
      <c r="AN1000" s="732"/>
      <c r="AO1000" s="732"/>
      <c r="AP1000" s="732"/>
      <c r="AQ1000" s="732"/>
      <c r="AR1000" s="732"/>
      <c r="AS1000" s="732"/>
      <c r="AT1000" s="732"/>
      <c r="AU1000" s="732"/>
      <c r="AV1000" s="732"/>
      <c r="AW1000" s="732"/>
      <c r="AX1000" s="732"/>
      <c r="AY1000" s="732"/>
      <c r="AZ1000" s="732"/>
      <c r="BA1000" s="732"/>
      <c r="BB1000" s="732"/>
      <c r="BC1000" s="732"/>
      <c r="BD1000" s="732"/>
      <c r="BE1000" s="732"/>
      <c r="BF1000" s="732"/>
      <c r="BG1000" s="732"/>
      <c r="BH1000" s="732"/>
      <c r="BI1000" s="732"/>
      <c r="BJ1000" s="732"/>
      <c r="BK1000" s="732"/>
      <c r="BL1000" s="732"/>
      <c r="BM1000" s="732"/>
      <c r="BN1000" s="732"/>
      <c r="BO1000" s="732"/>
      <c r="BP1000" s="732"/>
      <c r="BQ1000" s="732"/>
      <c r="BR1000" s="732"/>
      <c r="BS1000" s="732"/>
      <c r="BT1000" s="732"/>
      <c r="BU1000" s="732"/>
      <c r="BV1000" s="732"/>
      <c r="BW1000" s="732"/>
      <c r="BX1000" s="732"/>
      <c r="BY1000" s="732"/>
      <c r="BZ1000" s="732"/>
      <c r="CA1000" s="732"/>
    </row>
    <row r="1001" spans="1:79" s="726" customFormat="1" hidden="1" outlineLevel="1" x14ac:dyDescent="0.35">
      <c r="F1001" s="717" t="s">
        <v>656</v>
      </c>
      <c r="G1001" s="750"/>
      <c r="H1001" s="751"/>
      <c r="I1001" s="751"/>
      <c r="J1001" s="751"/>
      <c r="K1001" s="751"/>
      <c r="L1001" s="751"/>
      <c r="M1001" s="751"/>
      <c r="N1001" s="751"/>
      <c r="O1001" s="751"/>
      <c r="P1001" s="751"/>
      <c r="Q1001" s="751"/>
      <c r="R1001" s="751"/>
      <c r="S1001" s="720"/>
      <c r="T1001" s="720"/>
      <c r="U1001" s="720"/>
      <c r="V1001" s="720"/>
      <c r="W1001" s="720"/>
      <c r="X1001" s="720"/>
      <c r="Y1001" s="720"/>
      <c r="Z1001" s="720"/>
      <c r="AA1001" s="720"/>
      <c r="AB1001" s="720"/>
      <c r="AC1001" s="720"/>
      <c r="AD1001" s="720"/>
      <c r="AE1001" s="751"/>
      <c r="AF1001" s="751"/>
      <c r="AG1001" s="751"/>
      <c r="AH1001" s="751"/>
      <c r="AI1001" s="751"/>
      <c r="AJ1001" s="751"/>
      <c r="AK1001" s="751"/>
      <c r="AL1001" s="751"/>
      <c r="AM1001" s="751"/>
      <c r="AN1001" s="751"/>
      <c r="AO1001" s="751"/>
      <c r="AP1001" s="751"/>
      <c r="AQ1001" s="751"/>
      <c r="AR1001" s="751"/>
      <c r="AS1001" s="751"/>
      <c r="AT1001" s="751"/>
      <c r="AU1001" s="751"/>
      <c r="AV1001" s="751"/>
      <c r="AW1001" s="751"/>
      <c r="AX1001" s="751"/>
      <c r="AY1001" s="751"/>
      <c r="AZ1001" s="751"/>
      <c r="BA1001" s="751"/>
      <c r="BB1001" s="751"/>
      <c r="BC1001" s="751"/>
      <c r="BD1001" s="751"/>
      <c r="BE1001" s="751"/>
      <c r="BF1001" s="751"/>
      <c r="BG1001" s="751"/>
      <c r="BH1001" s="751"/>
      <c r="BI1001" s="751"/>
      <c r="BJ1001" s="751"/>
      <c r="BK1001" s="751"/>
      <c r="BL1001" s="751"/>
      <c r="BM1001" s="751"/>
      <c r="BN1001" s="751"/>
      <c r="BO1001" s="751"/>
      <c r="BP1001" s="751"/>
      <c r="BQ1001" s="751"/>
      <c r="BR1001" s="751"/>
      <c r="BS1001" s="751"/>
      <c r="BT1001" s="751"/>
      <c r="BU1001" s="751"/>
      <c r="BV1001" s="751"/>
      <c r="BW1001" s="751"/>
      <c r="BX1001" s="751"/>
      <c r="BY1001" s="751"/>
      <c r="BZ1001" s="751"/>
      <c r="CA1001" s="751"/>
    </row>
    <row r="1002" spans="1:79" s="309" customFormat="1" hidden="1" outlineLevel="1" x14ac:dyDescent="0.35">
      <c r="A1002" s="575"/>
      <c r="B1002" s="575"/>
      <c r="C1002" s="575"/>
      <c r="D1002" s="575"/>
      <c r="E1002" s="575"/>
      <c r="F1002" s="672" t="s">
        <v>657</v>
      </c>
      <c r="G1002" s="735"/>
      <c r="H1002" s="732"/>
      <c r="I1002" s="732"/>
      <c r="J1002" s="732"/>
      <c r="K1002" s="732"/>
      <c r="L1002" s="732"/>
      <c r="M1002" s="732"/>
      <c r="N1002" s="732"/>
      <c r="O1002" s="732"/>
      <c r="P1002" s="732"/>
      <c r="Q1002" s="732"/>
      <c r="R1002" s="732"/>
      <c r="S1002" s="683">
        <v>0</v>
      </c>
      <c r="T1002" s="683">
        <v>0</v>
      </c>
      <c r="U1002" s="683">
        <v>0</v>
      </c>
      <c r="V1002" s="683">
        <v>0</v>
      </c>
      <c r="W1002" s="683">
        <v>0</v>
      </c>
      <c r="X1002" s="683">
        <v>0</v>
      </c>
      <c r="Y1002" s="683">
        <v>0</v>
      </c>
      <c r="Z1002" s="683">
        <v>0</v>
      </c>
      <c r="AA1002" s="683">
        <v>0</v>
      </c>
      <c r="AB1002" s="683">
        <v>0</v>
      </c>
      <c r="AC1002" s="682">
        <v>0</v>
      </c>
      <c r="AD1002" s="682">
        <v>0</v>
      </c>
      <c r="AE1002" s="732"/>
      <c r="AF1002" s="732"/>
      <c r="AG1002" s="732"/>
      <c r="AH1002" s="732"/>
      <c r="AI1002" s="732"/>
      <c r="AJ1002" s="732"/>
      <c r="AK1002" s="732"/>
      <c r="AL1002" s="732"/>
      <c r="AM1002" s="732"/>
      <c r="AN1002" s="732"/>
      <c r="AO1002" s="732"/>
      <c r="AP1002" s="732"/>
      <c r="AQ1002" s="732"/>
      <c r="AR1002" s="732"/>
      <c r="AS1002" s="732"/>
      <c r="AT1002" s="732"/>
      <c r="AU1002" s="732"/>
      <c r="AV1002" s="732"/>
      <c r="AW1002" s="732"/>
      <c r="AX1002" s="732"/>
      <c r="AY1002" s="732"/>
      <c r="AZ1002" s="732"/>
      <c r="BA1002" s="732"/>
      <c r="BB1002" s="732"/>
      <c r="BC1002" s="732"/>
      <c r="BD1002" s="732"/>
      <c r="BE1002" s="732"/>
      <c r="BF1002" s="732"/>
      <c r="BG1002" s="732"/>
      <c r="BH1002" s="732"/>
      <c r="BI1002" s="732"/>
      <c r="BJ1002" s="732"/>
      <c r="BK1002" s="732"/>
      <c r="BL1002" s="732"/>
      <c r="BM1002" s="732"/>
      <c r="BN1002" s="732"/>
      <c r="BO1002" s="732"/>
      <c r="BP1002" s="732"/>
      <c r="BQ1002" s="732"/>
      <c r="BR1002" s="732"/>
      <c r="BS1002" s="732"/>
      <c r="BT1002" s="732"/>
      <c r="BU1002" s="732"/>
      <c r="BV1002" s="732"/>
      <c r="BW1002" s="732"/>
      <c r="BX1002" s="732"/>
      <c r="BY1002" s="732"/>
      <c r="BZ1002" s="732"/>
      <c r="CA1002" s="732"/>
    </row>
    <row r="1003" spans="1:79" s="309" customFormat="1" hidden="1" outlineLevel="1" x14ac:dyDescent="0.35">
      <c r="A1003" s="575"/>
      <c r="B1003" s="575"/>
      <c r="C1003" s="575"/>
      <c r="D1003" s="575"/>
      <c r="E1003" s="575"/>
      <c r="F1003" s="672" t="s">
        <v>914</v>
      </c>
      <c r="G1003" s="735"/>
      <c r="H1003" s="732"/>
      <c r="I1003" s="732"/>
      <c r="J1003" s="732"/>
      <c r="K1003" s="732"/>
      <c r="L1003" s="732"/>
      <c r="M1003" s="732"/>
      <c r="N1003" s="732"/>
      <c r="O1003" s="732"/>
      <c r="P1003" s="732"/>
      <c r="Q1003" s="732"/>
      <c r="R1003" s="732"/>
      <c r="S1003" s="683">
        <v>0</v>
      </c>
      <c r="T1003" s="683">
        <v>0</v>
      </c>
      <c r="U1003" s="683">
        <v>0</v>
      </c>
      <c r="V1003" s="683">
        <v>0</v>
      </c>
      <c r="W1003" s="683">
        <v>0</v>
      </c>
      <c r="X1003" s="683">
        <v>0</v>
      </c>
      <c r="Y1003" s="683">
        <v>0</v>
      </c>
      <c r="Z1003" s="683">
        <v>0</v>
      </c>
      <c r="AA1003" s="683">
        <v>0</v>
      </c>
      <c r="AB1003" s="683">
        <v>0</v>
      </c>
      <c r="AC1003" s="682">
        <v>0</v>
      </c>
      <c r="AD1003" s="682">
        <v>0</v>
      </c>
      <c r="AE1003" s="732"/>
      <c r="AF1003" s="732"/>
      <c r="AG1003" s="732"/>
      <c r="AH1003" s="732"/>
      <c r="AI1003" s="732"/>
      <c r="AJ1003" s="732"/>
      <c r="AK1003" s="732"/>
      <c r="AL1003" s="732"/>
      <c r="AM1003" s="732"/>
      <c r="AN1003" s="732"/>
      <c r="AO1003" s="732"/>
      <c r="AP1003" s="732"/>
      <c r="AQ1003" s="732"/>
      <c r="AR1003" s="732"/>
      <c r="AS1003" s="732"/>
      <c r="AT1003" s="732"/>
      <c r="AU1003" s="732"/>
      <c r="AV1003" s="732"/>
      <c r="AW1003" s="732"/>
      <c r="AX1003" s="732"/>
      <c r="AY1003" s="732"/>
      <c r="AZ1003" s="732"/>
      <c r="BA1003" s="732"/>
      <c r="BB1003" s="732"/>
      <c r="BC1003" s="732"/>
      <c r="BD1003" s="732"/>
      <c r="BE1003" s="732"/>
      <c r="BF1003" s="732"/>
      <c r="BG1003" s="732"/>
      <c r="BH1003" s="732"/>
      <c r="BI1003" s="732"/>
      <c r="BJ1003" s="732"/>
      <c r="BK1003" s="732"/>
      <c r="BL1003" s="732"/>
      <c r="BM1003" s="732"/>
      <c r="BN1003" s="732"/>
      <c r="BO1003" s="732"/>
      <c r="BP1003" s="732"/>
      <c r="BQ1003" s="732"/>
      <c r="BR1003" s="732"/>
      <c r="BS1003" s="732"/>
      <c r="BT1003" s="732"/>
      <c r="BU1003" s="732"/>
      <c r="BV1003" s="732"/>
      <c r="BW1003" s="732"/>
      <c r="BX1003" s="732"/>
      <c r="BY1003" s="732"/>
      <c r="BZ1003" s="732"/>
      <c r="CA1003" s="732"/>
    </row>
    <row r="1004" spans="1:79" s="309" customFormat="1" hidden="1" outlineLevel="1" x14ac:dyDescent="0.35">
      <c r="A1004" s="575"/>
      <c r="B1004" s="575"/>
      <c r="C1004" s="575"/>
      <c r="D1004" s="575"/>
      <c r="E1004" s="575"/>
      <c r="F1004" s="672" t="s">
        <v>915</v>
      </c>
      <c r="G1004" s="735"/>
      <c r="H1004" s="732"/>
      <c r="I1004" s="732"/>
      <c r="J1004" s="732"/>
      <c r="K1004" s="732"/>
      <c r="L1004" s="732"/>
      <c r="M1004" s="732"/>
      <c r="N1004" s="732"/>
      <c r="O1004" s="732"/>
      <c r="P1004" s="732"/>
      <c r="Q1004" s="732"/>
      <c r="R1004" s="732"/>
      <c r="S1004" s="683">
        <v>0</v>
      </c>
      <c r="T1004" s="683">
        <v>0</v>
      </c>
      <c r="U1004" s="683">
        <v>0</v>
      </c>
      <c r="V1004" s="683">
        <v>0</v>
      </c>
      <c r="W1004" s="683">
        <v>0</v>
      </c>
      <c r="X1004" s="683">
        <v>0</v>
      </c>
      <c r="Y1004" s="683">
        <v>0</v>
      </c>
      <c r="Z1004" s="683">
        <v>0</v>
      </c>
      <c r="AA1004" s="683">
        <v>0</v>
      </c>
      <c r="AB1004" s="683">
        <v>0</v>
      </c>
      <c r="AC1004" s="682">
        <v>0</v>
      </c>
      <c r="AD1004" s="682">
        <v>0</v>
      </c>
      <c r="AE1004" s="732"/>
      <c r="AF1004" s="732"/>
      <c r="AG1004" s="732"/>
      <c r="AH1004" s="732"/>
      <c r="AI1004" s="732"/>
      <c r="AJ1004" s="732"/>
      <c r="AK1004" s="732"/>
      <c r="AL1004" s="732"/>
      <c r="AM1004" s="732"/>
      <c r="AN1004" s="732"/>
      <c r="AO1004" s="732"/>
      <c r="AP1004" s="732"/>
      <c r="AQ1004" s="732"/>
      <c r="AR1004" s="732"/>
      <c r="AS1004" s="732"/>
      <c r="AT1004" s="732"/>
      <c r="AU1004" s="732"/>
      <c r="AV1004" s="732"/>
      <c r="AW1004" s="732"/>
      <c r="AX1004" s="732"/>
      <c r="AY1004" s="732"/>
      <c r="AZ1004" s="732"/>
      <c r="BA1004" s="732"/>
      <c r="BB1004" s="732"/>
      <c r="BC1004" s="732"/>
      <c r="BD1004" s="732"/>
      <c r="BE1004" s="732"/>
      <c r="BF1004" s="732"/>
      <c r="BG1004" s="732"/>
      <c r="BH1004" s="732"/>
      <c r="BI1004" s="732"/>
      <c r="BJ1004" s="732"/>
      <c r="BK1004" s="732"/>
      <c r="BL1004" s="732"/>
      <c r="BM1004" s="732"/>
      <c r="BN1004" s="732"/>
      <c r="BO1004" s="732"/>
      <c r="BP1004" s="732"/>
      <c r="BQ1004" s="732"/>
      <c r="BR1004" s="732"/>
      <c r="BS1004" s="732"/>
      <c r="BT1004" s="732"/>
      <c r="BU1004" s="732"/>
      <c r="BV1004" s="732"/>
      <c r="BW1004" s="732"/>
      <c r="BX1004" s="732"/>
      <c r="BY1004" s="732"/>
      <c r="BZ1004" s="732"/>
      <c r="CA1004" s="732"/>
    </row>
    <row r="1005" spans="1:79" s="309" customFormat="1" hidden="1" outlineLevel="1" x14ac:dyDescent="0.35">
      <c r="A1005" s="30"/>
      <c r="B1005" s="30"/>
      <c r="C1005" s="30"/>
      <c r="D1005" s="30"/>
      <c r="E1005" s="30"/>
      <c r="F1005" s="672" t="s">
        <v>658</v>
      </c>
      <c r="G1005" s="735"/>
      <c r="H1005" s="732"/>
      <c r="I1005" s="732"/>
      <c r="J1005" s="732">
        <v>324.3257159486119</v>
      </c>
      <c r="K1005" s="732"/>
      <c r="L1005" s="732">
        <v>597.0025751496371</v>
      </c>
      <c r="M1005" s="732"/>
      <c r="N1005" s="732"/>
      <c r="O1005" s="732"/>
      <c r="P1005" s="732"/>
      <c r="Q1005" s="732"/>
      <c r="R1005" s="732">
        <v>-179.7820722166509</v>
      </c>
      <c r="S1005" s="683">
        <v>0</v>
      </c>
      <c r="T1005" s="683">
        <v>0</v>
      </c>
      <c r="U1005" s="683">
        <v>0</v>
      </c>
      <c r="V1005" s="683">
        <v>0</v>
      </c>
      <c r="W1005" s="683">
        <v>0</v>
      </c>
      <c r="X1005" s="683">
        <v>0</v>
      </c>
      <c r="Y1005" s="683">
        <v>0</v>
      </c>
      <c r="Z1005" s="683">
        <v>0</v>
      </c>
      <c r="AA1005" s="683">
        <v>0</v>
      </c>
      <c r="AB1005" s="683">
        <v>0</v>
      </c>
      <c r="AC1005" s="682">
        <v>0</v>
      </c>
      <c r="AD1005" s="682">
        <v>0</v>
      </c>
      <c r="AE1005" s="732"/>
      <c r="AF1005" s="732"/>
      <c r="AG1005" s="732"/>
      <c r="AH1005" s="732"/>
      <c r="AI1005" s="732"/>
      <c r="AJ1005" s="732"/>
      <c r="AK1005" s="732"/>
      <c r="AL1005" s="732"/>
      <c r="AM1005" s="732"/>
      <c r="AN1005" s="732"/>
      <c r="AO1005" s="732"/>
      <c r="AP1005" s="732"/>
      <c r="AQ1005" s="732"/>
      <c r="AR1005" s="732"/>
      <c r="AS1005" s="732"/>
      <c r="AT1005" s="732"/>
      <c r="AU1005" s="732"/>
      <c r="AV1005" s="732"/>
      <c r="AW1005" s="732"/>
      <c r="AX1005" s="732"/>
      <c r="AY1005" s="732"/>
      <c r="AZ1005" s="732"/>
      <c r="BA1005" s="732"/>
      <c r="BB1005" s="732"/>
      <c r="BC1005" s="732"/>
      <c r="BD1005" s="732"/>
      <c r="BE1005" s="732"/>
      <c r="BF1005" s="732"/>
      <c r="BG1005" s="732"/>
      <c r="BH1005" s="732"/>
      <c r="BI1005" s="732"/>
      <c r="BJ1005" s="732"/>
      <c r="BK1005" s="732"/>
      <c r="BL1005" s="732"/>
      <c r="BM1005" s="732"/>
      <c r="BN1005" s="732"/>
      <c r="BO1005" s="732"/>
      <c r="BP1005" s="732"/>
      <c r="BQ1005" s="732"/>
      <c r="BR1005" s="732"/>
      <c r="BS1005" s="732"/>
      <c r="BT1005" s="732"/>
      <c r="BU1005" s="732"/>
      <c r="BV1005" s="732"/>
      <c r="BW1005" s="732"/>
      <c r="BX1005" s="732"/>
      <c r="BY1005" s="732"/>
      <c r="BZ1005" s="732"/>
      <c r="CA1005" s="732"/>
    </row>
    <row r="1006" spans="1:79" s="309" customFormat="1" hidden="1" outlineLevel="1" x14ac:dyDescent="0.35">
      <c r="A1006" s="30"/>
      <c r="B1006" s="30"/>
      <c r="C1006" s="30"/>
      <c r="D1006" s="30"/>
      <c r="E1006" s="30"/>
      <c r="F1006" s="672" t="s">
        <v>916</v>
      </c>
      <c r="G1006" s="735"/>
      <c r="H1006" s="732"/>
      <c r="I1006" s="732">
        <v>-490.39600565465702</v>
      </c>
      <c r="J1006" s="732"/>
      <c r="K1006" s="732"/>
      <c r="L1006" s="732"/>
      <c r="M1006" s="732"/>
      <c r="N1006" s="732"/>
      <c r="O1006" s="732"/>
      <c r="P1006" s="732"/>
      <c r="Q1006" s="732"/>
      <c r="R1006" s="732"/>
      <c r="S1006" s="683">
        <v>0</v>
      </c>
      <c r="T1006" s="683">
        <v>0</v>
      </c>
      <c r="U1006" s="683">
        <v>0</v>
      </c>
      <c r="V1006" s="683">
        <v>0</v>
      </c>
      <c r="W1006" s="683">
        <v>0</v>
      </c>
      <c r="X1006" s="683">
        <v>0</v>
      </c>
      <c r="Y1006" s="683">
        <v>0</v>
      </c>
      <c r="Z1006" s="683">
        <v>0</v>
      </c>
      <c r="AA1006" s="683">
        <v>0</v>
      </c>
      <c r="AB1006" s="683">
        <v>0</v>
      </c>
      <c r="AC1006" s="682">
        <v>0</v>
      </c>
      <c r="AD1006" s="682">
        <v>0</v>
      </c>
      <c r="AE1006" s="732"/>
      <c r="AF1006" s="732"/>
      <c r="AG1006" s="732"/>
      <c r="AH1006" s="732"/>
      <c r="AI1006" s="732"/>
      <c r="AJ1006" s="732"/>
      <c r="AK1006" s="732"/>
      <c r="AL1006" s="732"/>
      <c r="AM1006" s="732"/>
      <c r="AN1006" s="732"/>
      <c r="AO1006" s="732"/>
      <c r="AP1006" s="732"/>
      <c r="AQ1006" s="732"/>
      <c r="AR1006" s="732"/>
      <c r="AS1006" s="732"/>
      <c r="AT1006" s="732"/>
      <c r="AU1006" s="732"/>
      <c r="AV1006" s="732"/>
      <c r="AW1006" s="732"/>
      <c r="AX1006" s="732"/>
      <c r="AY1006" s="732"/>
      <c r="AZ1006" s="732"/>
      <c r="BA1006" s="732"/>
      <c r="BB1006" s="732"/>
      <c r="BC1006" s="732"/>
      <c r="BD1006" s="732"/>
      <c r="BE1006" s="732"/>
      <c r="BF1006" s="732"/>
      <c r="BG1006" s="732"/>
      <c r="BH1006" s="732"/>
      <c r="BI1006" s="732"/>
      <c r="BJ1006" s="732"/>
      <c r="BK1006" s="732"/>
      <c r="BL1006" s="732"/>
      <c r="BM1006" s="732"/>
      <c r="BN1006" s="732"/>
      <c r="BO1006" s="732"/>
      <c r="BP1006" s="732"/>
      <c r="BQ1006" s="732"/>
      <c r="BR1006" s="732"/>
      <c r="BS1006" s="732"/>
      <c r="BT1006" s="732"/>
      <c r="BU1006" s="732"/>
      <c r="BV1006" s="732"/>
      <c r="BW1006" s="732"/>
      <c r="BX1006" s="732"/>
      <c r="BY1006" s="732"/>
      <c r="BZ1006" s="732"/>
      <c r="CA1006" s="732"/>
    </row>
    <row r="1007" spans="1:79" s="309" customFormat="1" hidden="1" outlineLevel="1" x14ac:dyDescent="0.35">
      <c r="A1007" s="575"/>
      <c r="B1007" s="575"/>
      <c r="C1007" s="575"/>
      <c r="D1007" s="575"/>
      <c r="E1007" s="575"/>
      <c r="F1007" s="672" t="s">
        <v>917</v>
      </c>
      <c r="G1007" s="735"/>
      <c r="H1007" s="732"/>
      <c r="I1007" s="732"/>
      <c r="J1007" s="732"/>
      <c r="K1007" s="732"/>
      <c r="L1007" s="732"/>
      <c r="M1007" s="732"/>
      <c r="N1007" s="732"/>
      <c r="O1007" s="732"/>
      <c r="P1007" s="732"/>
      <c r="Q1007" s="732"/>
      <c r="R1007" s="732"/>
      <c r="S1007" s="683">
        <v>0</v>
      </c>
      <c r="T1007" s="683">
        <v>0</v>
      </c>
      <c r="U1007" s="683">
        <v>0</v>
      </c>
      <c r="V1007" s="683">
        <v>0</v>
      </c>
      <c r="W1007" s="683">
        <v>0</v>
      </c>
      <c r="X1007" s="683">
        <v>0</v>
      </c>
      <c r="Y1007" s="683">
        <v>0</v>
      </c>
      <c r="Z1007" s="683">
        <v>0</v>
      </c>
      <c r="AA1007" s="683">
        <v>0</v>
      </c>
      <c r="AB1007" s="683">
        <v>0</v>
      </c>
      <c r="AC1007" s="682">
        <v>0</v>
      </c>
      <c r="AD1007" s="682">
        <v>0</v>
      </c>
      <c r="AE1007" s="732"/>
      <c r="AF1007" s="732"/>
      <c r="AG1007" s="732"/>
      <c r="AH1007" s="732"/>
      <c r="AI1007" s="732"/>
      <c r="AJ1007" s="732"/>
      <c r="AK1007" s="732"/>
      <c r="AL1007" s="732"/>
      <c r="AM1007" s="732"/>
      <c r="AN1007" s="732"/>
      <c r="AO1007" s="732"/>
      <c r="AP1007" s="732"/>
      <c r="AQ1007" s="732"/>
      <c r="AR1007" s="732"/>
      <c r="AS1007" s="732"/>
      <c r="AT1007" s="732"/>
      <c r="AU1007" s="732"/>
      <c r="AV1007" s="732"/>
      <c r="AW1007" s="732"/>
      <c r="AX1007" s="732"/>
      <c r="AY1007" s="732"/>
      <c r="AZ1007" s="732"/>
      <c r="BA1007" s="732"/>
      <c r="BB1007" s="732"/>
      <c r="BC1007" s="732"/>
      <c r="BD1007" s="732"/>
      <c r="BE1007" s="732"/>
      <c r="BF1007" s="732"/>
      <c r="BG1007" s="732"/>
      <c r="BH1007" s="732"/>
      <c r="BI1007" s="732"/>
      <c r="BJ1007" s="732"/>
      <c r="BK1007" s="732"/>
      <c r="BL1007" s="732"/>
      <c r="BM1007" s="732"/>
      <c r="BN1007" s="732"/>
      <c r="BO1007" s="732"/>
      <c r="BP1007" s="732"/>
      <c r="BQ1007" s="732"/>
      <c r="BR1007" s="732"/>
      <c r="BS1007" s="732"/>
      <c r="BT1007" s="732"/>
      <c r="BU1007" s="732"/>
      <c r="BV1007" s="732"/>
      <c r="BW1007" s="732"/>
      <c r="BX1007" s="732"/>
      <c r="BY1007" s="732"/>
      <c r="BZ1007" s="732"/>
      <c r="CA1007" s="732"/>
    </row>
    <row r="1008" spans="1:79" s="309" customFormat="1" hidden="1" outlineLevel="1" x14ac:dyDescent="0.35">
      <c r="A1008" s="575"/>
      <c r="B1008" s="575"/>
      <c r="C1008" s="575"/>
      <c r="D1008" s="575"/>
      <c r="E1008" s="575"/>
      <c r="F1008" s="672" t="s">
        <v>918</v>
      </c>
      <c r="G1008" s="735"/>
      <c r="H1008" s="732"/>
      <c r="I1008" s="732"/>
      <c r="J1008" s="732"/>
      <c r="K1008" s="732"/>
      <c r="L1008" s="732"/>
      <c r="M1008" s="732"/>
      <c r="N1008" s="732"/>
      <c r="O1008" s="732"/>
      <c r="P1008" s="732"/>
      <c r="Q1008" s="732"/>
      <c r="R1008" s="732"/>
      <c r="S1008" s="683">
        <v>0</v>
      </c>
      <c r="T1008" s="683">
        <v>0</v>
      </c>
      <c r="U1008" s="683">
        <v>0</v>
      </c>
      <c r="V1008" s="683">
        <v>0</v>
      </c>
      <c r="W1008" s="683">
        <v>0</v>
      </c>
      <c r="X1008" s="683">
        <v>0</v>
      </c>
      <c r="Y1008" s="683">
        <v>0</v>
      </c>
      <c r="Z1008" s="683">
        <v>0</v>
      </c>
      <c r="AA1008" s="683">
        <v>0</v>
      </c>
      <c r="AB1008" s="683">
        <v>0</v>
      </c>
      <c r="AC1008" s="682">
        <v>0</v>
      </c>
      <c r="AD1008" s="682">
        <v>0</v>
      </c>
      <c r="AE1008" s="732"/>
      <c r="AF1008" s="732"/>
      <c r="AG1008" s="732"/>
      <c r="AH1008" s="732"/>
      <c r="AI1008" s="732"/>
      <c r="AJ1008" s="732"/>
      <c r="AK1008" s="732"/>
      <c r="AL1008" s="732"/>
      <c r="AM1008" s="732"/>
      <c r="AN1008" s="732"/>
      <c r="AO1008" s="732"/>
      <c r="AP1008" s="732"/>
      <c r="AQ1008" s="732"/>
      <c r="AR1008" s="732"/>
      <c r="AS1008" s="732"/>
      <c r="AT1008" s="732"/>
      <c r="AU1008" s="732"/>
      <c r="AV1008" s="732"/>
      <c r="AW1008" s="732"/>
      <c r="AX1008" s="732"/>
      <c r="AY1008" s="732"/>
      <c r="AZ1008" s="732"/>
      <c r="BA1008" s="732"/>
      <c r="BB1008" s="732"/>
      <c r="BC1008" s="732"/>
      <c r="BD1008" s="732"/>
      <c r="BE1008" s="732"/>
      <c r="BF1008" s="732"/>
      <c r="BG1008" s="732"/>
      <c r="BH1008" s="732"/>
      <c r="BI1008" s="732"/>
      <c r="BJ1008" s="732"/>
      <c r="BK1008" s="732"/>
      <c r="BL1008" s="732"/>
      <c r="BM1008" s="732"/>
      <c r="BN1008" s="732"/>
      <c r="BO1008" s="732"/>
      <c r="BP1008" s="732"/>
      <c r="BQ1008" s="732"/>
      <c r="BR1008" s="732"/>
      <c r="BS1008" s="732"/>
      <c r="BT1008" s="732"/>
      <c r="BU1008" s="732"/>
      <c r="BV1008" s="732"/>
      <c r="BW1008" s="732"/>
      <c r="BX1008" s="732"/>
      <c r="BY1008" s="732"/>
      <c r="BZ1008" s="732"/>
      <c r="CA1008" s="732"/>
    </row>
    <row r="1009" spans="1:79" s="309" customFormat="1" hidden="1" outlineLevel="1" x14ac:dyDescent="0.35">
      <c r="A1009" s="575"/>
      <c r="B1009" s="575"/>
      <c r="C1009" s="575"/>
      <c r="D1009" s="575"/>
      <c r="E1009" s="575"/>
      <c r="F1009" s="673" t="s">
        <v>659</v>
      </c>
      <c r="G1009" s="680">
        <f>SUM(G1002:G1008)</f>
        <v>0</v>
      </c>
      <c r="H1009" s="680">
        <f t="shared" ref="H1009:BO1009" si="388">SUM(H1002:H1008)</f>
        <v>0</v>
      </c>
      <c r="I1009" s="680">
        <f t="shared" si="388"/>
        <v>-490.39600565465702</v>
      </c>
      <c r="J1009" s="680">
        <f t="shared" si="388"/>
        <v>324.3257159486119</v>
      </c>
      <c r="K1009" s="680">
        <f t="shared" si="388"/>
        <v>0</v>
      </c>
      <c r="L1009" s="680">
        <f t="shared" si="388"/>
        <v>597.0025751496371</v>
      </c>
      <c r="M1009" s="680">
        <f t="shared" si="388"/>
        <v>0</v>
      </c>
      <c r="N1009" s="680">
        <f t="shared" si="388"/>
        <v>0</v>
      </c>
      <c r="O1009" s="680">
        <f t="shared" si="388"/>
        <v>0</v>
      </c>
      <c r="P1009" s="680">
        <f t="shared" si="388"/>
        <v>0</v>
      </c>
      <c r="Q1009" s="680">
        <f t="shared" si="388"/>
        <v>0</v>
      </c>
      <c r="R1009" s="680">
        <f t="shared" si="388"/>
        <v>-179.7820722166509</v>
      </c>
      <c r="S1009" s="694">
        <f t="shared" ref="S1009:AA1009" si="389">ROUND(SUM(S1001:S1008),5)</f>
        <v>0</v>
      </c>
      <c r="T1009" s="694">
        <f t="shared" si="389"/>
        <v>0</v>
      </c>
      <c r="U1009" s="694">
        <f t="shared" si="389"/>
        <v>0</v>
      </c>
      <c r="V1009" s="694">
        <f t="shared" si="389"/>
        <v>0</v>
      </c>
      <c r="W1009" s="694">
        <f t="shared" si="389"/>
        <v>0</v>
      </c>
      <c r="X1009" s="694">
        <f t="shared" si="389"/>
        <v>0</v>
      </c>
      <c r="Y1009" s="694">
        <f t="shared" si="389"/>
        <v>0</v>
      </c>
      <c r="Z1009" s="694">
        <f t="shared" si="389"/>
        <v>0</v>
      </c>
      <c r="AA1009" s="694">
        <f t="shared" si="389"/>
        <v>0</v>
      </c>
      <c r="AB1009" s="694">
        <f>ROUND(SUM(AB1001:AB1008),5)</f>
        <v>0</v>
      </c>
      <c r="AC1009" s="694">
        <f>ROUND(SUM(AC1001:AC1008),5)</f>
        <v>0</v>
      </c>
      <c r="AD1009" s="694">
        <f>ROUND(SUM(AD1001:AD1008),5)</f>
        <v>0</v>
      </c>
      <c r="AE1009" s="680">
        <f t="shared" si="388"/>
        <v>0</v>
      </c>
      <c r="AF1009" s="680">
        <f t="shared" si="388"/>
        <v>0</v>
      </c>
      <c r="AG1009" s="680">
        <f t="shared" si="388"/>
        <v>0</v>
      </c>
      <c r="AH1009" s="680">
        <f t="shared" si="388"/>
        <v>0</v>
      </c>
      <c r="AI1009" s="680">
        <f t="shared" si="388"/>
        <v>0</v>
      </c>
      <c r="AJ1009" s="680">
        <f t="shared" si="388"/>
        <v>0</v>
      </c>
      <c r="AK1009" s="680">
        <f t="shared" si="388"/>
        <v>0</v>
      </c>
      <c r="AL1009" s="680">
        <f t="shared" si="388"/>
        <v>0</v>
      </c>
      <c r="AM1009" s="680">
        <f t="shared" si="388"/>
        <v>0</v>
      </c>
      <c r="AN1009" s="680">
        <f t="shared" si="388"/>
        <v>0</v>
      </c>
      <c r="AO1009" s="680">
        <f t="shared" si="388"/>
        <v>0</v>
      </c>
      <c r="AP1009" s="680">
        <f t="shared" si="388"/>
        <v>0</v>
      </c>
      <c r="AQ1009" s="680">
        <f t="shared" si="388"/>
        <v>0</v>
      </c>
      <c r="AR1009" s="680">
        <f t="shared" si="388"/>
        <v>0</v>
      </c>
      <c r="AS1009" s="680">
        <f t="shared" si="388"/>
        <v>0</v>
      </c>
      <c r="AT1009" s="680">
        <f t="shared" si="388"/>
        <v>0</v>
      </c>
      <c r="AU1009" s="680">
        <f t="shared" si="388"/>
        <v>0</v>
      </c>
      <c r="AV1009" s="680">
        <f t="shared" si="388"/>
        <v>0</v>
      </c>
      <c r="AW1009" s="680">
        <f t="shared" si="388"/>
        <v>0</v>
      </c>
      <c r="AX1009" s="680">
        <f t="shared" si="388"/>
        <v>0</v>
      </c>
      <c r="AY1009" s="680">
        <f t="shared" si="388"/>
        <v>0</v>
      </c>
      <c r="AZ1009" s="680">
        <f t="shared" si="388"/>
        <v>0</v>
      </c>
      <c r="BA1009" s="680">
        <f t="shared" si="388"/>
        <v>0</v>
      </c>
      <c r="BB1009" s="680">
        <f t="shared" si="388"/>
        <v>0</v>
      </c>
      <c r="BC1009" s="680">
        <f t="shared" si="388"/>
        <v>0</v>
      </c>
      <c r="BD1009" s="680">
        <f t="shared" si="388"/>
        <v>0</v>
      </c>
      <c r="BE1009" s="680">
        <f t="shared" si="388"/>
        <v>0</v>
      </c>
      <c r="BF1009" s="680">
        <f t="shared" si="388"/>
        <v>0</v>
      </c>
      <c r="BG1009" s="680">
        <f t="shared" si="388"/>
        <v>0</v>
      </c>
      <c r="BH1009" s="680">
        <f t="shared" si="388"/>
        <v>0</v>
      </c>
      <c r="BI1009" s="680">
        <f t="shared" si="388"/>
        <v>0</v>
      </c>
      <c r="BJ1009" s="680">
        <f t="shared" si="388"/>
        <v>0</v>
      </c>
      <c r="BK1009" s="680">
        <f t="shared" si="388"/>
        <v>0</v>
      </c>
      <c r="BL1009" s="680">
        <f t="shared" si="388"/>
        <v>0</v>
      </c>
      <c r="BM1009" s="680">
        <f t="shared" si="388"/>
        <v>0</v>
      </c>
      <c r="BN1009" s="680">
        <f t="shared" si="388"/>
        <v>0</v>
      </c>
      <c r="BO1009" s="680">
        <f t="shared" si="388"/>
        <v>0</v>
      </c>
      <c r="BP1009" s="680">
        <f t="shared" ref="BP1009:CA1009" si="390">SUM(BP1002:BP1008)</f>
        <v>0</v>
      </c>
      <c r="BQ1009" s="680">
        <f t="shared" si="390"/>
        <v>0</v>
      </c>
      <c r="BR1009" s="680">
        <f t="shared" si="390"/>
        <v>0</v>
      </c>
      <c r="BS1009" s="680">
        <f t="shared" si="390"/>
        <v>0</v>
      </c>
      <c r="BT1009" s="680">
        <f t="shared" si="390"/>
        <v>0</v>
      </c>
      <c r="BU1009" s="680">
        <f t="shared" si="390"/>
        <v>0</v>
      </c>
      <c r="BV1009" s="680">
        <f t="shared" si="390"/>
        <v>0</v>
      </c>
      <c r="BW1009" s="680">
        <f t="shared" si="390"/>
        <v>0</v>
      </c>
      <c r="BX1009" s="680">
        <f t="shared" si="390"/>
        <v>0</v>
      </c>
      <c r="BY1009" s="680">
        <f t="shared" si="390"/>
        <v>0</v>
      </c>
      <c r="BZ1009" s="680">
        <f t="shared" si="390"/>
        <v>0</v>
      </c>
      <c r="CA1009" s="680">
        <f t="shared" si="390"/>
        <v>0</v>
      </c>
    </row>
    <row r="1010" spans="1:79" s="309" customFormat="1" hidden="1" outlineLevel="1" x14ac:dyDescent="0.35">
      <c r="A1010" s="30"/>
      <c r="B1010" s="30"/>
      <c r="C1010" s="30"/>
      <c r="D1010" s="30"/>
      <c r="E1010" s="30"/>
      <c r="F1010" s="438" t="s">
        <v>698</v>
      </c>
      <c r="G1010" s="735">
        <v>1500.6469980275397</v>
      </c>
      <c r="H1010" s="732">
        <v>677.05795228901479</v>
      </c>
      <c r="I1010" s="732">
        <v>810.771684504718</v>
      </c>
      <c r="J1010" s="732">
        <v>556.98339821380796</v>
      </c>
      <c r="K1010" s="732">
        <v>2629.0848034822848</v>
      </c>
      <c r="L1010" s="732">
        <v>285.40931543398256</v>
      </c>
      <c r="M1010" s="732">
        <v>2798.308600390912</v>
      </c>
      <c r="N1010" s="732">
        <v>2565.3427785977256</v>
      </c>
      <c r="O1010" s="732">
        <v>1391.9578267173238</v>
      </c>
      <c r="P1010" s="732">
        <v>15572.2965093893</v>
      </c>
      <c r="Q1010" s="732">
        <v>912.56544877183478</v>
      </c>
      <c r="R1010" s="732">
        <v>269.37054678963341</v>
      </c>
      <c r="S1010" s="683">
        <v>0</v>
      </c>
      <c r="T1010" s="683">
        <v>0</v>
      </c>
      <c r="U1010" s="683">
        <v>0</v>
      </c>
      <c r="V1010" s="683">
        <v>0</v>
      </c>
      <c r="W1010" s="683">
        <v>0</v>
      </c>
      <c r="X1010" s="683">
        <v>0</v>
      </c>
      <c r="Y1010" s="683">
        <v>0</v>
      </c>
      <c r="Z1010" s="683">
        <v>0</v>
      </c>
      <c r="AA1010" s="683">
        <v>0</v>
      </c>
      <c r="AB1010" s="683">
        <v>0</v>
      </c>
      <c r="AC1010" s="682">
        <v>0</v>
      </c>
      <c r="AD1010" s="682">
        <v>0</v>
      </c>
      <c r="AE1010" s="732"/>
      <c r="AF1010" s="732"/>
      <c r="AG1010" s="732"/>
      <c r="AH1010" s="732"/>
      <c r="AI1010" s="732"/>
      <c r="AJ1010" s="732"/>
      <c r="AK1010" s="732"/>
      <c r="AL1010" s="732"/>
      <c r="AM1010" s="732"/>
      <c r="AN1010" s="732"/>
      <c r="AO1010" s="732"/>
      <c r="AP1010" s="732"/>
      <c r="AQ1010" s="732"/>
      <c r="AR1010" s="732"/>
      <c r="AS1010" s="732"/>
      <c r="AT1010" s="732"/>
      <c r="AU1010" s="732"/>
      <c r="AV1010" s="732"/>
      <c r="AW1010" s="732"/>
      <c r="AX1010" s="732"/>
      <c r="AY1010" s="732"/>
      <c r="AZ1010" s="732"/>
      <c r="BA1010" s="732"/>
      <c r="BB1010" s="732"/>
      <c r="BC1010" s="732"/>
      <c r="BD1010" s="732"/>
      <c r="BE1010" s="732"/>
      <c r="BF1010" s="732"/>
      <c r="BG1010" s="732"/>
      <c r="BH1010" s="732"/>
      <c r="BI1010" s="732"/>
      <c r="BJ1010" s="732"/>
      <c r="BK1010" s="732"/>
      <c r="BL1010" s="732"/>
      <c r="BM1010" s="732"/>
      <c r="BN1010" s="732"/>
      <c r="BO1010" s="732"/>
      <c r="BP1010" s="732"/>
      <c r="BQ1010" s="732"/>
      <c r="BR1010" s="732"/>
      <c r="BS1010" s="732"/>
      <c r="BT1010" s="732"/>
      <c r="BU1010" s="732"/>
      <c r="BV1010" s="732"/>
      <c r="BW1010" s="732"/>
      <c r="BX1010" s="732"/>
      <c r="BY1010" s="732"/>
      <c r="BZ1010" s="732"/>
      <c r="CA1010" s="732"/>
    </row>
    <row r="1011" spans="1:79" s="888" customFormat="1" ht="15" collapsed="1" thickBot="1" x14ac:dyDescent="0.4">
      <c r="A1011" s="500"/>
      <c r="B1011" s="500"/>
      <c r="C1011" s="500"/>
      <c r="D1011" s="500"/>
      <c r="E1011" s="500"/>
      <c r="F1011" s="913" t="s">
        <v>686</v>
      </c>
      <c r="G1011" s="914">
        <f t="shared" ref="G1011:R1011" si="391">SUM(G847:G1010)-SUM(G1009,G998,G992,G990,G980,G970,G961,G953,G947,G939,G925,G921,G901,G886,G875,G871,G865,G856)</f>
        <v>47661.500332229232</v>
      </c>
      <c r="H1011" s="914">
        <f t="shared" si="391"/>
        <v>44989.780784252755</v>
      </c>
      <c r="I1011" s="914">
        <f t="shared" si="391"/>
        <v>44796.259181668371</v>
      </c>
      <c r="J1011" s="914">
        <f t="shared" si="391"/>
        <v>60301.242320323072</v>
      </c>
      <c r="K1011" s="914">
        <f t="shared" si="391"/>
        <v>366717.49332946772</v>
      </c>
      <c r="L1011" s="914">
        <f t="shared" si="391"/>
        <v>80603.399601296202</v>
      </c>
      <c r="M1011" s="914">
        <f t="shared" si="391"/>
        <v>370233.86024954426</v>
      </c>
      <c r="N1011" s="914">
        <f t="shared" si="391"/>
        <v>368731.60355271678</v>
      </c>
      <c r="O1011" s="914">
        <f t="shared" si="391"/>
        <v>62833.924114907975</v>
      </c>
      <c r="P1011" s="914">
        <f t="shared" si="391"/>
        <v>400376.50327900762</v>
      </c>
      <c r="Q1011" s="914">
        <f t="shared" si="391"/>
        <v>158348.36421068647</v>
      </c>
      <c r="R1011" s="914">
        <f t="shared" si="391"/>
        <v>80846.813170008187</v>
      </c>
      <c r="S1011" s="915">
        <f t="shared" ref="S1011:AB1011" si="392">ROUND(SUM(S846:S852)+SUM(S856:S861)+SUM(S865:S867)+S871+SUM(S875:S877)+SUM(S886:S890)+SUM(S901:S902)+S921+SUM(S925:S928)+S939+S947+SUM(S953:S955)+SUM(S961:S962)+SUM(S992:S993)+SUM(S998:S1000)+SUM(S1009:S1010),5)</f>
        <v>177465.02</v>
      </c>
      <c r="T1011" s="915">
        <f t="shared" si="392"/>
        <v>165701.10999999999</v>
      </c>
      <c r="U1011" s="915">
        <f t="shared" si="392"/>
        <v>145047.78</v>
      </c>
      <c r="V1011" s="915">
        <f t="shared" si="392"/>
        <v>155192.48000000001</v>
      </c>
      <c r="W1011" s="915">
        <f t="shared" si="392"/>
        <v>152088.53</v>
      </c>
      <c r="X1011" s="915">
        <f t="shared" si="392"/>
        <v>133638.82999999999</v>
      </c>
      <c r="Y1011" s="915">
        <f t="shared" si="392"/>
        <v>147125.71</v>
      </c>
      <c r="Z1011" s="915">
        <f t="shared" si="392"/>
        <v>119536.23</v>
      </c>
      <c r="AA1011" s="915">
        <f t="shared" si="392"/>
        <v>136799.23000000001</v>
      </c>
      <c r="AB1011" s="915">
        <f t="shared" si="392"/>
        <v>145528.28</v>
      </c>
      <c r="AC1011" s="914">
        <f>ROUND(SUM(AC846:AC852)+SUM(AC856:AC861)+SUM(AC865:AC867)+AC871+SUM(AC875:AC877)+SUM(AC886:AC890)+SUM(AC901:AC902)+AC921+SUM(AC925:AC928)+AC939+AC947+SUM(AC953:AC955)+SUM(AC961:AC962)+SUM(AC992:AC993)+SUM(AC998:AC1000)+SUM(AC1009:AC1010),5)</f>
        <v>140337.62</v>
      </c>
      <c r="AD1011" s="914">
        <f>ROUND(SUM(AD846:AD852)+SUM(AD856:AD861)+SUM(AD865:AD867)+AD871+SUM(AD875:AD877)+SUM(AD886:AD890)+SUM(AD901:AD902)+AD921+SUM(AD925:AD928)+AD939+AD947+SUM(AD953:AD955)+SUM(AD961:AD962)+SUM(AD992:AD993)+SUM(AD998:AD1000)+SUM(AD1009:AD1010),5)</f>
        <v>76650.789999999994</v>
      </c>
      <c r="AE1011" s="914">
        <f t="shared" ref="AE1011:BJ1011" si="393">SUM(AE847:AE1010)-SUM(AE1009,AE998,AE992,AE990,AE980,AE970,AE961,AE953,AE947,AE939,AE925,AE921,AE901,AE886,AE875,AE871,AE865,AE856)</f>
        <v>0</v>
      </c>
      <c r="AF1011" s="914">
        <f t="shared" si="393"/>
        <v>0</v>
      </c>
      <c r="AG1011" s="914">
        <f t="shared" si="393"/>
        <v>0</v>
      </c>
      <c r="AH1011" s="914">
        <f t="shared" si="393"/>
        <v>0</v>
      </c>
      <c r="AI1011" s="914">
        <f t="shared" si="393"/>
        <v>0</v>
      </c>
      <c r="AJ1011" s="914">
        <f t="shared" si="393"/>
        <v>0</v>
      </c>
      <c r="AK1011" s="914">
        <f t="shared" si="393"/>
        <v>0</v>
      </c>
      <c r="AL1011" s="914">
        <f t="shared" si="393"/>
        <v>0</v>
      </c>
      <c r="AM1011" s="914">
        <f t="shared" si="393"/>
        <v>0</v>
      </c>
      <c r="AN1011" s="914">
        <f t="shared" si="393"/>
        <v>0</v>
      </c>
      <c r="AO1011" s="914">
        <f t="shared" si="393"/>
        <v>0</v>
      </c>
      <c r="AP1011" s="914">
        <f t="shared" si="393"/>
        <v>0</v>
      </c>
      <c r="AQ1011" s="914">
        <f t="shared" si="393"/>
        <v>0</v>
      </c>
      <c r="AR1011" s="914">
        <f t="shared" si="393"/>
        <v>0</v>
      </c>
      <c r="AS1011" s="914">
        <f t="shared" si="393"/>
        <v>0</v>
      </c>
      <c r="AT1011" s="914">
        <f t="shared" si="393"/>
        <v>0</v>
      </c>
      <c r="AU1011" s="914">
        <f t="shared" si="393"/>
        <v>0</v>
      </c>
      <c r="AV1011" s="914">
        <f t="shared" si="393"/>
        <v>0</v>
      </c>
      <c r="AW1011" s="914">
        <f t="shared" si="393"/>
        <v>0</v>
      </c>
      <c r="AX1011" s="914">
        <f t="shared" si="393"/>
        <v>0</v>
      </c>
      <c r="AY1011" s="914">
        <f t="shared" si="393"/>
        <v>0</v>
      </c>
      <c r="AZ1011" s="914">
        <f t="shared" si="393"/>
        <v>0</v>
      </c>
      <c r="BA1011" s="914">
        <f t="shared" si="393"/>
        <v>0</v>
      </c>
      <c r="BB1011" s="914">
        <f t="shared" si="393"/>
        <v>0</v>
      </c>
      <c r="BC1011" s="914">
        <f t="shared" si="393"/>
        <v>0</v>
      </c>
      <c r="BD1011" s="914">
        <f t="shared" si="393"/>
        <v>0</v>
      </c>
      <c r="BE1011" s="914">
        <f t="shared" si="393"/>
        <v>0</v>
      </c>
      <c r="BF1011" s="914">
        <f t="shared" si="393"/>
        <v>0</v>
      </c>
      <c r="BG1011" s="914">
        <f t="shared" si="393"/>
        <v>0</v>
      </c>
      <c r="BH1011" s="914">
        <f t="shared" si="393"/>
        <v>0</v>
      </c>
      <c r="BI1011" s="914">
        <f t="shared" si="393"/>
        <v>0</v>
      </c>
      <c r="BJ1011" s="914">
        <f t="shared" si="393"/>
        <v>0</v>
      </c>
      <c r="BK1011" s="914">
        <f t="shared" ref="BK1011:CA1011" si="394">SUM(BK847:BK1010)-SUM(BK1009,BK998,BK992,BK990,BK980,BK970,BK961,BK953,BK947,BK939,BK925,BK921,BK901,BK886,BK875,BK871,BK865,BK856)</f>
        <v>0</v>
      </c>
      <c r="BL1011" s="914">
        <f t="shared" si="394"/>
        <v>0</v>
      </c>
      <c r="BM1011" s="914">
        <f t="shared" si="394"/>
        <v>0</v>
      </c>
      <c r="BN1011" s="914">
        <f t="shared" si="394"/>
        <v>0</v>
      </c>
      <c r="BO1011" s="914">
        <f t="shared" si="394"/>
        <v>0</v>
      </c>
      <c r="BP1011" s="914">
        <f t="shared" si="394"/>
        <v>0</v>
      </c>
      <c r="BQ1011" s="914">
        <f t="shared" si="394"/>
        <v>0</v>
      </c>
      <c r="BR1011" s="914">
        <f t="shared" si="394"/>
        <v>0</v>
      </c>
      <c r="BS1011" s="914">
        <f t="shared" si="394"/>
        <v>0</v>
      </c>
      <c r="BT1011" s="914">
        <f t="shared" si="394"/>
        <v>0</v>
      </c>
      <c r="BU1011" s="914">
        <f t="shared" si="394"/>
        <v>0</v>
      </c>
      <c r="BV1011" s="914">
        <f t="shared" si="394"/>
        <v>0</v>
      </c>
      <c r="BW1011" s="914">
        <f t="shared" si="394"/>
        <v>0</v>
      </c>
      <c r="BX1011" s="914">
        <f t="shared" si="394"/>
        <v>0</v>
      </c>
      <c r="BY1011" s="914">
        <f t="shared" si="394"/>
        <v>0</v>
      </c>
      <c r="BZ1011" s="914">
        <f t="shared" si="394"/>
        <v>0</v>
      </c>
      <c r="CA1011" s="914">
        <f t="shared" si="394"/>
        <v>0</v>
      </c>
    </row>
    <row r="1012" spans="1:79" s="309" customFormat="1" ht="15" thickTop="1" x14ac:dyDescent="0.35">
      <c r="A1012" s="30"/>
      <c r="B1012" s="30"/>
      <c r="C1012" s="30"/>
      <c r="D1012" s="30"/>
      <c r="E1012" s="30"/>
      <c r="F1012" s="157"/>
      <c r="G1012" s="157"/>
      <c r="H1012" s="157"/>
      <c r="I1012" s="157"/>
      <c r="J1012" s="157"/>
      <c r="K1012" s="157"/>
      <c r="L1012" s="778"/>
      <c r="M1012" s="778"/>
      <c r="N1012" s="778"/>
      <c r="O1012" s="778"/>
      <c r="P1012" s="778"/>
      <c r="Q1012" s="778"/>
      <c r="R1012" s="778"/>
      <c r="S1012" s="778"/>
      <c r="T1012" s="778"/>
      <c r="U1012" s="439"/>
      <c r="V1012" s="778"/>
      <c r="W1012" s="778"/>
      <c r="X1012" s="501"/>
      <c r="Y1012" s="501"/>
      <c r="Z1012" s="501"/>
      <c r="AA1012" s="501"/>
      <c r="AB1012" s="501"/>
      <c r="AC1012" s="501"/>
      <c r="AD1012" s="501"/>
      <c r="AE1012" s="501"/>
      <c r="AF1012" s="501"/>
      <c r="AG1012" s="735"/>
      <c r="AH1012" s="735"/>
      <c r="AI1012" s="735"/>
      <c r="AJ1012" s="735"/>
      <c r="AK1012" s="735"/>
      <c r="AL1012" s="735"/>
      <c r="AM1012" s="735"/>
      <c r="AN1012" s="735"/>
      <c r="AO1012" s="735"/>
      <c r="AP1012" s="735"/>
      <c r="AQ1012" s="735"/>
      <c r="AR1012" s="735"/>
      <c r="AS1012" s="735"/>
      <c r="AT1012" s="735"/>
      <c r="AU1012" s="735"/>
      <c r="AV1012" s="735"/>
      <c r="AW1012" s="735"/>
      <c r="AX1012" s="735"/>
      <c r="AY1012" s="735"/>
      <c r="AZ1012" s="735"/>
      <c r="BA1012" s="735"/>
      <c r="BB1012" s="735"/>
      <c r="BC1012" s="735"/>
      <c r="BD1012" s="735"/>
      <c r="BE1012" s="735"/>
      <c r="BF1012" s="735"/>
      <c r="BG1012" s="735"/>
      <c r="BH1012" s="732"/>
      <c r="BI1012" s="732"/>
      <c r="BJ1012" s="732"/>
      <c r="BK1012" s="732"/>
      <c r="BL1012" s="732"/>
      <c r="BM1012" s="732"/>
      <c r="BN1012" s="732"/>
      <c r="BO1012" s="732"/>
      <c r="BP1012" s="732"/>
      <c r="BQ1012" s="732"/>
      <c r="BR1012" s="732"/>
      <c r="BS1012" s="732"/>
      <c r="BT1012" s="732"/>
      <c r="BU1012" s="732"/>
      <c r="BV1012" s="732"/>
      <c r="BW1012" s="732"/>
      <c r="BX1012" s="732"/>
      <c r="BY1012" s="732"/>
      <c r="BZ1012" s="732"/>
      <c r="CA1012" s="732"/>
    </row>
    <row r="1013" spans="1:79" s="309" customFormat="1" x14ac:dyDescent="0.35">
      <c r="A1013" s="30"/>
      <c r="B1013" s="30"/>
      <c r="C1013" s="30"/>
      <c r="D1013" s="30"/>
      <c r="E1013" s="30"/>
      <c r="F1013" s="157"/>
      <c r="G1013" s="157"/>
      <c r="H1013" s="157"/>
      <c r="I1013" s="157"/>
      <c r="J1013" s="157"/>
      <c r="K1013" s="157"/>
      <c r="L1013" s="739"/>
      <c r="M1013" s="739"/>
      <c r="N1013" s="739"/>
      <c r="O1013" s="739"/>
      <c r="P1013" s="739"/>
      <c r="Q1013" s="739"/>
      <c r="R1013" s="739"/>
      <c r="S1013" s="739"/>
      <c r="T1013" s="739"/>
      <c r="U1013" s="739"/>
      <c r="V1013" s="739"/>
      <c r="W1013" s="739"/>
      <c r="X1013" s="739"/>
      <c r="Y1013" s="739"/>
      <c r="Z1013" s="739"/>
      <c r="AA1013" s="739"/>
      <c r="AB1013" s="739"/>
      <c r="AC1013" s="739"/>
      <c r="AD1013" s="739"/>
      <c r="AE1013" s="739"/>
      <c r="AF1013" s="739"/>
      <c r="AG1013" s="732"/>
      <c r="AH1013" s="732"/>
      <c r="AI1013" s="732"/>
      <c r="AJ1013" s="732"/>
      <c r="AK1013" s="732"/>
      <c r="AL1013" s="732"/>
      <c r="AM1013" s="732"/>
      <c r="AN1013" s="732"/>
      <c r="AO1013" s="732"/>
      <c r="AP1013" s="732"/>
      <c r="AQ1013" s="732"/>
      <c r="AR1013" s="732"/>
      <c r="AS1013" s="732"/>
      <c r="AT1013" s="732"/>
      <c r="AU1013" s="732"/>
      <c r="AV1013" s="732"/>
      <c r="AW1013" s="732"/>
      <c r="AX1013" s="732"/>
      <c r="AY1013" s="732"/>
      <c r="AZ1013" s="732"/>
      <c r="BA1013" s="732"/>
      <c r="BB1013" s="732"/>
      <c r="BC1013" s="732"/>
      <c r="BD1013" s="732"/>
      <c r="BE1013" s="732"/>
      <c r="BF1013" s="732"/>
      <c r="BG1013" s="732"/>
      <c r="BH1013" s="732"/>
      <c r="BI1013" s="732"/>
      <c r="BJ1013" s="732"/>
      <c r="BK1013" s="732"/>
      <c r="BL1013" s="732"/>
      <c r="BM1013" s="732"/>
      <c r="BN1013" s="732"/>
      <c r="BO1013" s="732"/>
      <c r="BP1013" s="732"/>
      <c r="BQ1013" s="732"/>
      <c r="BR1013" s="732"/>
      <c r="BS1013" s="732"/>
      <c r="BT1013" s="732"/>
      <c r="BU1013" s="732"/>
      <c r="BV1013" s="732"/>
      <c r="BW1013" s="732"/>
      <c r="BX1013" s="732"/>
      <c r="BY1013" s="732"/>
      <c r="BZ1013" s="732"/>
      <c r="CA1013" s="732"/>
    </row>
    <row r="1014" spans="1:79" s="822" customFormat="1" x14ac:dyDescent="0.35">
      <c r="A1014" s="821"/>
      <c r="F1014" s="883" t="s">
        <v>18</v>
      </c>
      <c r="G1014" s="884"/>
      <c r="H1014" s="884"/>
      <c r="I1014" s="884"/>
      <c r="J1014" s="884"/>
      <c r="K1014" s="884"/>
      <c r="L1014" s="884"/>
      <c r="M1014" s="884"/>
      <c r="N1014" s="884"/>
      <c r="O1014" s="884"/>
      <c r="P1014" s="884"/>
      <c r="Q1014" s="884"/>
      <c r="R1014" s="884"/>
      <c r="S1014" s="884"/>
      <c r="T1014" s="884"/>
      <c r="U1014" s="884"/>
      <c r="V1014" s="884"/>
      <c r="W1014" s="884"/>
      <c r="X1014" s="884"/>
      <c r="Y1014" s="884"/>
      <c r="Z1014" s="884"/>
      <c r="AA1014" s="884"/>
      <c r="AB1014" s="884"/>
      <c r="AC1014" s="884"/>
      <c r="AD1014" s="884"/>
      <c r="AE1014" s="884"/>
      <c r="AF1014" s="884"/>
      <c r="AG1014" s="884"/>
      <c r="AH1014" s="884"/>
      <c r="AI1014" s="884"/>
      <c r="AJ1014" s="884"/>
      <c r="AK1014" s="884"/>
      <c r="AL1014" s="884"/>
      <c r="AM1014" s="884"/>
      <c r="AN1014" s="884"/>
      <c r="AO1014" s="884"/>
      <c r="AP1014" s="884"/>
      <c r="AQ1014" s="884"/>
      <c r="AR1014" s="884"/>
      <c r="AS1014" s="884"/>
      <c r="AT1014" s="884"/>
      <c r="AU1014" s="884"/>
      <c r="AV1014" s="884"/>
      <c r="AW1014" s="884"/>
      <c r="AX1014" s="884"/>
      <c r="AY1014" s="884"/>
      <c r="AZ1014" s="884"/>
      <c r="BA1014" s="884"/>
      <c r="BB1014" s="884"/>
      <c r="BC1014" s="884"/>
      <c r="BD1014" s="884"/>
      <c r="BE1014" s="884"/>
      <c r="BF1014" s="884"/>
      <c r="BG1014" s="884"/>
      <c r="BH1014" s="884"/>
      <c r="BI1014" s="884"/>
      <c r="BJ1014" s="884"/>
      <c r="BK1014" s="884"/>
      <c r="BL1014" s="884"/>
      <c r="BM1014" s="884"/>
      <c r="BN1014" s="884"/>
      <c r="BO1014" s="884"/>
      <c r="BP1014" s="884"/>
      <c r="BQ1014" s="884"/>
      <c r="BR1014" s="884"/>
      <c r="BS1014" s="884"/>
      <c r="BT1014" s="884"/>
      <c r="BU1014" s="884"/>
      <c r="BV1014" s="884"/>
      <c r="BW1014" s="884"/>
      <c r="BX1014" s="884"/>
      <c r="BY1014" s="884"/>
      <c r="BZ1014" s="884"/>
      <c r="CA1014" s="884"/>
    </row>
    <row r="1015" spans="1:79" s="309" customFormat="1" hidden="1" outlineLevel="1" x14ac:dyDescent="0.35">
      <c r="A1015" s="224"/>
      <c r="B1015" s="224"/>
      <c r="C1015" s="224"/>
      <c r="D1015" s="224"/>
      <c r="E1015" s="224"/>
      <c r="F1015" s="670" t="s">
        <v>701</v>
      </c>
      <c r="G1015" s="679"/>
      <c r="H1015" s="679"/>
      <c r="I1015" s="679"/>
      <c r="J1015" s="679"/>
      <c r="K1015" s="679"/>
      <c r="L1015" s="679"/>
      <c r="M1015" s="679"/>
      <c r="N1015" s="679"/>
      <c r="O1015" s="679"/>
      <c r="P1015" s="679"/>
      <c r="Q1015" s="679"/>
      <c r="R1015" s="679"/>
      <c r="S1015" s="679">
        <v>0</v>
      </c>
      <c r="T1015" s="679">
        <v>0</v>
      </c>
      <c r="U1015" s="679">
        <v>0</v>
      </c>
      <c r="V1015" s="679">
        <v>0</v>
      </c>
      <c r="W1015" s="679">
        <v>0</v>
      </c>
      <c r="X1015" s="679">
        <v>0</v>
      </c>
      <c r="Y1015" s="679">
        <v>0</v>
      </c>
      <c r="Z1015" s="679">
        <v>0</v>
      </c>
      <c r="AA1015" s="679">
        <v>0</v>
      </c>
      <c r="AB1015" s="679">
        <v>0</v>
      </c>
      <c r="AC1015" s="679">
        <v>0</v>
      </c>
      <c r="AD1015" s="679">
        <v>0</v>
      </c>
      <c r="AE1015" s="679"/>
      <c r="AF1015" s="679"/>
      <c r="AG1015" s="679"/>
      <c r="AH1015" s="679"/>
      <c r="AI1015" s="679"/>
      <c r="AJ1015" s="679"/>
      <c r="AK1015" s="679"/>
      <c r="AL1015" s="679"/>
      <c r="AM1015" s="679"/>
      <c r="AN1015" s="679"/>
      <c r="AO1015" s="679"/>
      <c r="AP1015" s="679"/>
      <c r="AQ1015" s="679"/>
      <c r="AR1015" s="679"/>
      <c r="AS1015" s="679"/>
      <c r="AT1015" s="679"/>
      <c r="AU1015" s="679"/>
      <c r="AV1015" s="679"/>
      <c r="AW1015" s="679"/>
      <c r="AX1015" s="679"/>
      <c r="AY1015" s="679"/>
      <c r="AZ1015" s="679"/>
      <c r="BA1015" s="679"/>
      <c r="BB1015" s="679"/>
      <c r="BC1015" s="679"/>
      <c r="BD1015" s="679"/>
      <c r="BE1015" s="679"/>
      <c r="BF1015" s="679"/>
      <c r="BG1015" s="679"/>
      <c r="BH1015" s="679"/>
      <c r="BI1015" s="679"/>
      <c r="BJ1015" s="679"/>
      <c r="BK1015" s="679"/>
      <c r="BL1015" s="679"/>
      <c r="BM1015" s="679"/>
      <c r="BN1015" s="679"/>
      <c r="BO1015" s="679"/>
      <c r="BP1015" s="679"/>
      <c r="BQ1015" s="679"/>
      <c r="BR1015" s="679"/>
      <c r="BS1015" s="679"/>
      <c r="BT1015" s="679"/>
      <c r="BU1015" s="679"/>
      <c r="BV1015" s="679"/>
      <c r="BW1015" s="679"/>
      <c r="BX1015" s="679"/>
      <c r="BY1015" s="679"/>
      <c r="BZ1015" s="679"/>
      <c r="CA1015" s="679"/>
    </row>
    <row r="1016" spans="1:79" s="757" customFormat="1" hidden="1" outlineLevel="1" x14ac:dyDescent="0.35">
      <c r="A1016" s="224"/>
      <c r="B1016" s="224"/>
      <c r="C1016" s="224"/>
      <c r="D1016" s="224"/>
      <c r="E1016" s="224"/>
      <c r="F1016" s="671" t="s">
        <v>857</v>
      </c>
      <c r="G1016" s="679"/>
      <c r="H1016" s="679"/>
      <c r="I1016" s="679"/>
      <c r="J1016" s="679"/>
      <c r="K1016" s="679"/>
      <c r="L1016" s="679"/>
      <c r="M1016" s="679"/>
      <c r="N1016" s="679"/>
      <c r="O1016" s="679"/>
      <c r="P1016" s="679"/>
      <c r="Q1016" s="679"/>
      <c r="R1016" s="679"/>
      <c r="S1016" s="679">
        <v>0</v>
      </c>
      <c r="T1016" s="679">
        <v>0</v>
      </c>
      <c r="U1016" s="679">
        <v>0</v>
      </c>
      <c r="V1016" s="679">
        <v>0</v>
      </c>
      <c r="W1016" s="679">
        <v>0</v>
      </c>
      <c r="X1016" s="679">
        <v>0</v>
      </c>
      <c r="Y1016" s="679">
        <v>0</v>
      </c>
      <c r="Z1016" s="679">
        <v>0</v>
      </c>
      <c r="AA1016" s="679">
        <v>0</v>
      </c>
      <c r="AB1016" s="679">
        <v>0</v>
      </c>
      <c r="AC1016" s="679">
        <v>0</v>
      </c>
      <c r="AD1016" s="679">
        <v>0</v>
      </c>
      <c r="AE1016" s="679"/>
      <c r="AF1016" s="679"/>
      <c r="AG1016" s="679"/>
      <c r="AH1016" s="679"/>
      <c r="AI1016" s="679"/>
      <c r="AJ1016" s="679"/>
      <c r="AK1016" s="679"/>
      <c r="AL1016" s="679"/>
      <c r="AM1016" s="679"/>
      <c r="AN1016" s="679"/>
      <c r="AO1016" s="679"/>
      <c r="AP1016" s="679"/>
      <c r="AQ1016" s="679"/>
      <c r="AR1016" s="679"/>
      <c r="AS1016" s="679"/>
      <c r="AT1016" s="679"/>
      <c r="AU1016" s="679"/>
      <c r="AV1016" s="679"/>
      <c r="AW1016" s="679"/>
      <c r="AX1016" s="679"/>
      <c r="AY1016" s="679"/>
      <c r="AZ1016" s="679"/>
      <c r="BA1016" s="679"/>
      <c r="BB1016" s="679"/>
      <c r="BC1016" s="679"/>
      <c r="BD1016" s="679"/>
      <c r="BE1016" s="679"/>
      <c r="BF1016" s="679"/>
      <c r="BG1016" s="679"/>
      <c r="BH1016" s="679"/>
      <c r="BI1016" s="679"/>
      <c r="BJ1016" s="679"/>
      <c r="BK1016" s="679"/>
      <c r="BL1016" s="679"/>
      <c r="BM1016" s="679"/>
      <c r="BN1016" s="679"/>
      <c r="BO1016" s="679"/>
      <c r="BP1016" s="679"/>
      <c r="BQ1016" s="679"/>
      <c r="BR1016" s="679"/>
      <c r="BS1016" s="679"/>
      <c r="BT1016" s="679"/>
      <c r="BU1016" s="679"/>
      <c r="BV1016" s="679"/>
      <c r="BW1016" s="679"/>
      <c r="BX1016" s="679"/>
      <c r="BY1016" s="679"/>
      <c r="BZ1016" s="679"/>
      <c r="CA1016" s="679"/>
    </row>
    <row r="1017" spans="1:79" s="309" customFormat="1" hidden="1" outlineLevel="1" x14ac:dyDescent="0.35">
      <c r="A1017" s="224"/>
      <c r="B1017" s="224"/>
      <c r="C1017" s="224"/>
      <c r="D1017" s="224"/>
      <c r="E1017" s="224"/>
      <c r="F1017" s="671" t="s">
        <v>858</v>
      </c>
      <c r="G1017" s="679"/>
      <c r="H1017" s="679"/>
      <c r="I1017" s="679"/>
      <c r="J1017" s="679"/>
      <c r="K1017" s="679"/>
      <c r="L1017" s="679"/>
      <c r="M1017" s="679"/>
      <c r="N1017" s="679"/>
      <c r="O1017" s="679"/>
      <c r="P1017" s="679"/>
      <c r="Q1017" s="679"/>
      <c r="R1017" s="679"/>
      <c r="S1017" s="679">
        <v>0</v>
      </c>
      <c r="T1017" s="679">
        <v>0</v>
      </c>
      <c r="U1017" s="679">
        <v>0</v>
      </c>
      <c r="V1017" s="679">
        <v>0</v>
      </c>
      <c r="W1017" s="679">
        <v>0</v>
      </c>
      <c r="X1017" s="679">
        <v>0</v>
      </c>
      <c r="Y1017" s="679">
        <v>0</v>
      </c>
      <c r="Z1017" s="679">
        <v>0</v>
      </c>
      <c r="AA1017" s="679">
        <v>0</v>
      </c>
      <c r="AB1017" s="679">
        <v>0</v>
      </c>
      <c r="AC1017" s="679">
        <v>0</v>
      </c>
      <c r="AD1017" s="679">
        <v>0</v>
      </c>
      <c r="AE1017" s="679"/>
      <c r="AF1017" s="679"/>
      <c r="AG1017" s="679"/>
      <c r="AH1017" s="679"/>
      <c r="AI1017" s="679"/>
      <c r="AJ1017" s="679"/>
      <c r="AK1017" s="679"/>
      <c r="AL1017" s="679"/>
      <c r="AM1017" s="679"/>
      <c r="AN1017" s="679"/>
      <c r="AO1017" s="679"/>
      <c r="AP1017" s="679"/>
      <c r="AQ1017" s="679"/>
      <c r="AR1017" s="679"/>
      <c r="AS1017" s="679"/>
      <c r="AT1017" s="679"/>
      <c r="AU1017" s="679"/>
      <c r="AV1017" s="679"/>
      <c r="AW1017" s="679"/>
      <c r="AX1017" s="679"/>
      <c r="AY1017" s="679"/>
      <c r="AZ1017" s="679"/>
      <c r="BA1017" s="679"/>
      <c r="BB1017" s="679"/>
      <c r="BC1017" s="679"/>
      <c r="BD1017" s="679"/>
      <c r="BE1017" s="679"/>
      <c r="BF1017" s="679"/>
      <c r="BG1017" s="679"/>
      <c r="BH1017" s="679"/>
      <c r="BI1017" s="679"/>
      <c r="BJ1017" s="679"/>
      <c r="BK1017" s="679"/>
      <c r="BL1017" s="679"/>
      <c r="BM1017" s="679"/>
      <c r="BN1017" s="679"/>
      <c r="BO1017" s="679"/>
      <c r="BP1017" s="679"/>
      <c r="BQ1017" s="679"/>
      <c r="BR1017" s="679"/>
      <c r="BS1017" s="679"/>
      <c r="BT1017" s="679"/>
      <c r="BU1017" s="679"/>
      <c r="BV1017" s="679"/>
      <c r="BW1017" s="679"/>
      <c r="BX1017" s="679"/>
      <c r="BY1017" s="679"/>
      <c r="BZ1017" s="679"/>
      <c r="CA1017" s="679"/>
    </row>
    <row r="1018" spans="1:79" s="309" customFormat="1" hidden="1" outlineLevel="1" x14ac:dyDescent="0.35">
      <c r="A1018" s="224"/>
      <c r="B1018" s="224"/>
      <c r="C1018" s="224"/>
      <c r="D1018" s="224"/>
      <c r="E1018" s="224"/>
      <c r="F1018" s="671" t="s">
        <v>859</v>
      </c>
      <c r="G1018" s="679"/>
      <c r="H1018" s="679"/>
      <c r="I1018" s="679"/>
      <c r="J1018" s="679"/>
      <c r="K1018" s="679"/>
      <c r="L1018" s="679"/>
      <c r="M1018" s="679"/>
      <c r="N1018" s="679"/>
      <c r="O1018" s="679"/>
      <c r="P1018" s="679"/>
      <c r="Q1018" s="679"/>
      <c r="R1018" s="679"/>
      <c r="S1018" s="679">
        <v>0</v>
      </c>
      <c r="T1018" s="679">
        <v>0</v>
      </c>
      <c r="U1018" s="679">
        <v>0</v>
      </c>
      <c r="V1018" s="679">
        <v>0</v>
      </c>
      <c r="W1018" s="679">
        <v>0</v>
      </c>
      <c r="X1018" s="679">
        <v>0</v>
      </c>
      <c r="Y1018" s="679">
        <v>0</v>
      </c>
      <c r="Z1018" s="679">
        <v>0</v>
      </c>
      <c r="AA1018" s="679">
        <v>0</v>
      </c>
      <c r="AB1018" s="679">
        <v>0</v>
      </c>
      <c r="AC1018" s="679">
        <v>0</v>
      </c>
      <c r="AD1018" s="679">
        <v>0</v>
      </c>
      <c r="AE1018" s="679"/>
      <c r="AF1018" s="679"/>
      <c r="AG1018" s="679"/>
      <c r="AH1018" s="679"/>
      <c r="AI1018" s="679"/>
      <c r="AJ1018" s="679"/>
      <c r="AK1018" s="679"/>
      <c r="AL1018" s="679"/>
      <c r="AM1018" s="679"/>
      <c r="AN1018" s="679"/>
      <c r="AO1018" s="679"/>
      <c r="AP1018" s="679"/>
      <c r="AQ1018" s="679"/>
      <c r="AR1018" s="679"/>
      <c r="AS1018" s="679"/>
      <c r="AT1018" s="679"/>
      <c r="AU1018" s="679"/>
      <c r="AV1018" s="679"/>
      <c r="AW1018" s="679"/>
      <c r="AX1018" s="679"/>
      <c r="AY1018" s="679"/>
      <c r="AZ1018" s="679"/>
      <c r="BA1018" s="679"/>
      <c r="BB1018" s="679"/>
      <c r="BC1018" s="679"/>
      <c r="BD1018" s="679"/>
      <c r="BE1018" s="679"/>
      <c r="BF1018" s="679"/>
      <c r="BG1018" s="679"/>
      <c r="BH1018" s="679"/>
      <c r="BI1018" s="679"/>
      <c r="BJ1018" s="679"/>
      <c r="BK1018" s="679"/>
      <c r="BL1018" s="679"/>
      <c r="BM1018" s="679"/>
      <c r="BN1018" s="679"/>
      <c r="BO1018" s="679"/>
      <c r="BP1018" s="679"/>
      <c r="BQ1018" s="679"/>
      <c r="BR1018" s="679"/>
      <c r="BS1018" s="679"/>
      <c r="BT1018" s="679"/>
      <c r="BU1018" s="679"/>
      <c r="BV1018" s="679"/>
      <c r="BW1018" s="679"/>
      <c r="BX1018" s="679"/>
      <c r="BY1018" s="679"/>
      <c r="BZ1018" s="679"/>
      <c r="CA1018" s="679"/>
    </row>
    <row r="1019" spans="1:79" s="309" customFormat="1" hidden="1" outlineLevel="1" x14ac:dyDescent="0.35">
      <c r="A1019" s="224"/>
      <c r="B1019" s="224"/>
      <c r="C1019" s="224"/>
      <c r="D1019" s="224"/>
      <c r="E1019" s="224"/>
      <c r="F1019" s="671" t="s">
        <v>702</v>
      </c>
      <c r="G1019" s="679"/>
      <c r="H1019" s="679"/>
      <c r="I1019" s="679"/>
      <c r="J1019" s="679"/>
      <c r="K1019" s="679"/>
      <c r="L1019" s="679"/>
      <c r="M1019" s="679"/>
      <c r="N1019" s="679"/>
      <c r="O1019" s="679"/>
      <c r="P1019" s="679"/>
      <c r="Q1019" s="679"/>
      <c r="R1019" s="679"/>
      <c r="S1019" s="679">
        <v>0</v>
      </c>
      <c r="T1019" s="679">
        <v>0</v>
      </c>
      <c r="U1019" s="679">
        <v>0</v>
      </c>
      <c r="V1019" s="679">
        <v>0</v>
      </c>
      <c r="W1019" s="679">
        <v>0</v>
      </c>
      <c r="X1019" s="679">
        <v>0</v>
      </c>
      <c r="Y1019" s="679">
        <v>0</v>
      </c>
      <c r="Z1019" s="679">
        <v>0</v>
      </c>
      <c r="AA1019" s="679">
        <v>0</v>
      </c>
      <c r="AB1019" s="679">
        <v>0</v>
      </c>
      <c r="AC1019" s="679">
        <v>0</v>
      </c>
      <c r="AD1019" s="679">
        <v>0</v>
      </c>
      <c r="AE1019" s="679"/>
      <c r="AF1019" s="679"/>
      <c r="AG1019" s="679"/>
      <c r="AH1019" s="679"/>
      <c r="AI1019" s="679"/>
      <c r="AJ1019" s="679"/>
      <c r="AK1019" s="679"/>
      <c r="AL1019" s="679"/>
      <c r="AM1019" s="679"/>
      <c r="AN1019" s="679"/>
      <c r="AO1019" s="679"/>
      <c r="AP1019" s="679"/>
      <c r="AQ1019" s="679"/>
      <c r="AR1019" s="679"/>
      <c r="AS1019" s="679"/>
      <c r="AT1019" s="679"/>
      <c r="AU1019" s="679"/>
      <c r="AV1019" s="679"/>
      <c r="AW1019" s="679"/>
      <c r="AX1019" s="679"/>
      <c r="AY1019" s="679"/>
      <c r="AZ1019" s="679"/>
      <c r="BA1019" s="679"/>
      <c r="BB1019" s="679"/>
      <c r="BC1019" s="679"/>
      <c r="BD1019" s="679"/>
      <c r="BE1019" s="679"/>
      <c r="BF1019" s="679"/>
      <c r="BG1019" s="679"/>
      <c r="BH1019" s="679"/>
      <c r="BI1019" s="679"/>
      <c r="BJ1019" s="679"/>
      <c r="BK1019" s="679"/>
      <c r="BL1019" s="679"/>
      <c r="BM1019" s="679"/>
      <c r="BN1019" s="679"/>
      <c r="BO1019" s="679"/>
      <c r="BP1019" s="679"/>
      <c r="BQ1019" s="679"/>
      <c r="BR1019" s="679"/>
      <c r="BS1019" s="679"/>
      <c r="BT1019" s="679"/>
      <c r="BU1019" s="679"/>
      <c r="BV1019" s="679"/>
      <c r="BW1019" s="679"/>
      <c r="BX1019" s="679"/>
      <c r="BY1019" s="679"/>
      <c r="BZ1019" s="679"/>
      <c r="CA1019" s="679"/>
    </row>
    <row r="1020" spans="1:79" s="757" customFormat="1" hidden="1" outlineLevel="1" x14ac:dyDescent="0.35">
      <c r="A1020" s="224"/>
      <c r="B1020" s="224"/>
      <c r="C1020" s="224"/>
      <c r="D1020" s="224"/>
      <c r="E1020" s="224"/>
      <c r="F1020" s="671" t="s">
        <v>860</v>
      </c>
      <c r="G1020" s="679"/>
      <c r="H1020" s="679"/>
      <c r="I1020" s="679"/>
      <c r="J1020" s="679"/>
      <c r="K1020" s="679"/>
      <c r="L1020" s="679"/>
      <c r="M1020" s="679"/>
      <c r="N1020" s="679"/>
      <c r="O1020" s="679"/>
      <c r="P1020" s="679"/>
      <c r="Q1020" s="679"/>
      <c r="R1020" s="679"/>
      <c r="S1020" s="679">
        <v>0</v>
      </c>
      <c r="T1020" s="679">
        <v>0</v>
      </c>
      <c r="U1020" s="679">
        <v>0</v>
      </c>
      <c r="V1020" s="679">
        <v>0</v>
      </c>
      <c r="W1020" s="679">
        <v>0</v>
      </c>
      <c r="X1020" s="679">
        <v>0</v>
      </c>
      <c r="Y1020" s="679">
        <v>0</v>
      </c>
      <c r="Z1020" s="679">
        <v>0</v>
      </c>
      <c r="AA1020" s="679">
        <v>0</v>
      </c>
      <c r="AB1020" s="679">
        <v>0</v>
      </c>
      <c r="AC1020" s="679">
        <v>0</v>
      </c>
      <c r="AD1020" s="679">
        <v>0</v>
      </c>
      <c r="AE1020" s="679"/>
      <c r="AF1020" s="679"/>
      <c r="AG1020" s="679"/>
      <c r="AH1020" s="679"/>
      <c r="AI1020" s="679"/>
      <c r="AJ1020" s="679"/>
      <c r="AK1020" s="679"/>
      <c r="AL1020" s="679"/>
      <c r="AM1020" s="679"/>
      <c r="AN1020" s="679"/>
      <c r="AO1020" s="679"/>
      <c r="AP1020" s="679"/>
      <c r="AQ1020" s="679"/>
      <c r="AR1020" s="679"/>
      <c r="AS1020" s="679"/>
      <c r="AT1020" s="679"/>
      <c r="AU1020" s="679"/>
      <c r="AV1020" s="679"/>
      <c r="AW1020" s="679"/>
      <c r="AX1020" s="679"/>
      <c r="AY1020" s="679"/>
      <c r="AZ1020" s="679"/>
      <c r="BA1020" s="679"/>
      <c r="BB1020" s="679"/>
      <c r="BC1020" s="679"/>
      <c r="BD1020" s="679"/>
      <c r="BE1020" s="679"/>
      <c r="BF1020" s="679"/>
      <c r="BG1020" s="679"/>
      <c r="BH1020" s="679"/>
      <c r="BI1020" s="679"/>
      <c r="BJ1020" s="679"/>
      <c r="BK1020" s="679"/>
      <c r="BL1020" s="679"/>
      <c r="BM1020" s="679"/>
      <c r="BN1020" s="679"/>
      <c r="BO1020" s="679"/>
      <c r="BP1020" s="679"/>
      <c r="BQ1020" s="679"/>
      <c r="BR1020" s="679"/>
      <c r="BS1020" s="679"/>
      <c r="BT1020" s="679"/>
      <c r="BU1020" s="679"/>
      <c r="BV1020" s="679"/>
      <c r="BW1020" s="679"/>
      <c r="BX1020" s="679"/>
      <c r="BY1020" s="679"/>
      <c r="BZ1020" s="679"/>
      <c r="CA1020" s="679"/>
    </row>
    <row r="1021" spans="1:79" s="757" customFormat="1" hidden="1" outlineLevel="1" x14ac:dyDescent="0.35">
      <c r="A1021" s="709"/>
      <c r="B1021" s="709"/>
      <c r="C1021" s="709"/>
      <c r="D1021" s="709"/>
      <c r="E1021" s="709"/>
      <c r="F1021" s="707" t="s">
        <v>661</v>
      </c>
      <c r="G1021" s="708"/>
      <c r="H1021" s="708"/>
      <c r="I1021" s="708"/>
      <c r="J1021" s="708"/>
      <c r="K1021" s="708"/>
      <c r="L1021" s="708"/>
      <c r="M1021" s="708"/>
      <c r="N1021" s="708"/>
      <c r="O1021" s="708"/>
      <c r="P1021" s="708"/>
      <c r="Q1021" s="708"/>
      <c r="R1021" s="708"/>
      <c r="S1021" s="708"/>
      <c r="T1021" s="708"/>
      <c r="U1021" s="708"/>
      <c r="V1021" s="708"/>
      <c r="W1021" s="708"/>
      <c r="X1021" s="708"/>
      <c r="Y1021" s="708"/>
      <c r="Z1021" s="708"/>
      <c r="AA1021" s="708"/>
      <c r="AB1021" s="708"/>
      <c r="AC1021" s="708"/>
      <c r="AD1021" s="708"/>
      <c r="AE1021" s="708"/>
      <c r="AF1021" s="708"/>
      <c r="AG1021" s="708"/>
      <c r="AH1021" s="708"/>
      <c r="AI1021" s="708"/>
      <c r="AJ1021" s="708"/>
      <c r="AK1021" s="708"/>
      <c r="AL1021" s="708"/>
      <c r="AM1021" s="708"/>
      <c r="AN1021" s="708"/>
      <c r="AO1021" s="708"/>
      <c r="AP1021" s="708"/>
      <c r="AQ1021" s="708"/>
      <c r="AR1021" s="708"/>
      <c r="AS1021" s="708"/>
      <c r="AT1021" s="708"/>
      <c r="AU1021" s="708"/>
      <c r="AV1021" s="708"/>
      <c r="AW1021" s="708"/>
      <c r="AX1021" s="708"/>
      <c r="AY1021" s="708"/>
      <c r="AZ1021" s="708"/>
      <c r="BA1021" s="708"/>
      <c r="BB1021" s="708"/>
      <c r="BC1021" s="708"/>
      <c r="BD1021" s="708"/>
      <c r="BE1021" s="708"/>
      <c r="BF1021" s="708"/>
      <c r="BG1021" s="708"/>
      <c r="BH1021" s="708"/>
      <c r="BI1021" s="708"/>
      <c r="BJ1021" s="708"/>
      <c r="BK1021" s="708"/>
      <c r="BL1021" s="708"/>
      <c r="BM1021" s="708"/>
      <c r="BN1021" s="708"/>
      <c r="BO1021" s="708"/>
      <c r="BP1021" s="708"/>
      <c r="BQ1021" s="708"/>
      <c r="BR1021" s="708"/>
      <c r="BS1021" s="708"/>
      <c r="BT1021" s="708"/>
      <c r="BU1021" s="708"/>
      <c r="BV1021" s="708"/>
      <c r="BW1021" s="708"/>
      <c r="BX1021" s="708"/>
      <c r="BY1021" s="708"/>
      <c r="BZ1021" s="708"/>
      <c r="CA1021" s="708"/>
    </row>
    <row r="1022" spans="1:79" s="309" customFormat="1" hidden="1" outlineLevel="1" x14ac:dyDescent="0.35">
      <c r="A1022" s="224"/>
      <c r="B1022" s="224"/>
      <c r="C1022" s="224"/>
      <c r="D1022" s="224"/>
      <c r="E1022" s="224"/>
      <c r="F1022" s="672" t="s">
        <v>662</v>
      </c>
      <c r="G1022" s="679"/>
      <c r="H1022" s="679"/>
      <c r="I1022" s="679"/>
      <c r="J1022" s="679"/>
      <c r="K1022" s="679"/>
      <c r="L1022" s="679"/>
      <c r="M1022" s="679"/>
      <c r="N1022" s="679"/>
      <c r="O1022" s="679"/>
      <c r="P1022" s="679"/>
      <c r="Q1022" s="679"/>
      <c r="R1022" s="679"/>
      <c r="S1022" s="679">
        <v>0</v>
      </c>
      <c r="T1022" s="679">
        <v>0</v>
      </c>
      <c r="U1022" s="679">
        <v>0</v>
      </c>
      <c r="V1022" s="679">
        <v>0</v>
      </c>
      <c r="W1022" s="679">
        <v>0</v>
      </c>
      <c r="X1022" s="679">
        <v>0</v>
      </c>
      <c r="Y1022" s="679">
        <v>0</v>
      </c>
      <c r="Z1022" s="679">
        <v>0</v>
      </c>
      <c r="AA1022" s="679">
        <v>0</v>
      </c>
      <c r="AB1022" s="679">
        <v>0</v>
      </c>
      <c r="AC1022" s="679">
        <v>0</v>
      </c>
      <c r="AD1022" s="679">
        <v>0</v>
      </c>
      <c r="AE1022" s="679"/>
      <c r="AF1022" s="679"/>
      <c r="AG1022" s="679"/>
      <c r="AH1022" s="679"/>
      <c r="AI1022" s="679"/>
      <c r="AJ1022" s="679"/>
      <c r="AK1022" s="679"/>
      <c r="AL1022" s="679"/>
      <c r="AM1022" s="679"/>
      <c r="AN1022" s="679"/>
      <c r="AO1022" s="679"/>
      <c r="AP1022" s="679"/>
      <c r="AQ1022" s="679"/>
      <c r="AR1022" s="679"/>
      <c r="AS1022" s="679"/>
      <c r="AT1022" s="679"/>
      <c r="AU1022" s="679"/>
      <c r="AV1022" s="679"/>
      <c r="AW1022" s="679"/>
      <c r="AX1022" s="679"/>
      <c r="AY1022" s="679"/>
      <c r="AZ1022" s="679"/>
      <c r="BA1022" s="679"/>
      <c r="BB1022" s="679"/>
      <c r="BC1022" s="679"/>
      <c r="BD1022" s="679"/>
      <c r="BE1022" s="679"/>
      <c r="BF1022" s="679"/>
      <c r="BG1022" s="679"/>
      <c r="BH1022" s="679"/>
      <c r="BI1022" s="679"/>
      <c r="BJ1022" s="679"/>
      <c r="BK1022" s="679"/>
      <c r="BL1022" s="679"/>
      <c r="BM1022" s="679"/>
      <c r="BN1022" s="679"/>
      <c r="BO1022" s="679"/>
      <c r="BP1022" s="679"/>
      <c r="BQ1022" s="679"/>
      <c r="BR1022" s="679"/>
      <c r="BS1022" s="679"/>
      <c r="BT1022" s="679"/>
      <c r="BU1022" s="679"/>
      <c r="BV1022" s="679"/>
      <c r="BW1022" s="679"/>
      <c r="BX1022" s="679"/>
      <c r="BY1022" s="679"/>
      <c r="BZ1022" s="679"/>
      <c r="CA1022" s="679"/>
    </row>
    <row r="1023" spans="1:79" s="309" customFormat="1" hidden="1" outlineLevel="1" x14ac:dyDescent="0.35">
      <c r="A1023" s="224"/>
      <c r="B1023" s="224"/>
      <c r="C1023" s="224"/>
      <c r="D1023" s="224"/>
      <c r="E1023" s="224"/>
      <c r="F1023" s="672" t="s">
        <v>861</v>
      </c>
      <c r="G1023" s="679"/>
      <c r="H1023" s="679"/>
      <c r="I1023" s="679"/>
      <c r="J1023" s="679"/>
      <c r="K1023" s="679"/>
      <c r="L1023" s="679"/>
      <c r="M1023" s="679"/>
      <c r="N1023" s="679"/>
      <c r="O1023" s="679"/>
      <c r="P1023" s="679"/>
      <c r="Q1023" s="679"/>
      <c r="R1023" s="679"/>
      <c r="S1023" s="679">
        <v>0</v>
      </c>
      <c r="T1023" s="679">
        <v>0</v>
      </c>
      <c r="U1023" s="679">
        <v>0</v>
      </c>
      <c r="V1023" s="679">
        <v>0</v>
      </c>
      <c r="W1023" s="679">
        <v>0</v>
      </c>
      <c r="X1023" s="679">
        <v>0</v>
      </c>
      <c r="Y1023" s="679">
        <v>0</v>
      </c>
      <c r="Z1023" s="679">
        <v>0</v>
      </c>
      <c r="AA1023" s="679">
        <v>0</v>
      </c>
      <c r="AB1023" s="679">
        <v>0</v>
      </c>
      <c r="AC1023" s="679">
        <v>0</v>
      </c>
      <c r="AD1023" s="679">
        <v>0</v>
      </c>
      <c r="AE1023" s="679"/>
      <c r="AF1023" s="679"/>
      <c r="AG1023" s="679"/>
      <c r="AH1023" s="679"/>
      <c r="AI1023" s="679"/>
      <c r="AJ1023" s="679"/>
      <c r="AK1023" s="679"/>
      <c r="AL1023" s="679"/>
      <c r="AM1023" s="679"/>
      <c r="AN1023" s="679"/>
      <c r="AO1023" s="679"/>
      <c r="AP1023" s="679"/>
      <c r="AQ1023" s="679"/>
      <c r="AR1023" s="679"/>
      <c r="AS1023" s="679"/>
      <c r="AT1023" s="679"/>
      <c r="AU1023" s="679"/>
      <c r="AV1023" s="679"/>
      <c r="AW1023" s="679"/>
      <c r="AX1023" s="679"/>
      <c r="AY1023" s="679"/>
      <c r="AZ1023" s="679"/>
      <c r="BA1023" s="679"/>
      <c r="BB1023" s="679"/>
      <c r="BC1023" s="679"/>
      <c r="BD1023" s="679"/>
      <c r="BE1023" s="679"/>
      <c r="BF1023" s="679"/>
      <c r="BG1023" s="679"/>
      <c r="BH1023" s="679"/>
      <c r="BI1023" s="679"/>
      <c r="BJ1023" s="679"/>
      <c r="BK1023" s="679"/>
      <c r="BL1023" s="679"/>
      <c r="BM1023" s="679"/>
      <c r="BN1023" s="679"/>
      <c r="BO1023" s="679"/>
      <c r="BP1023" s="679"/>
      <c r="BQ1023" s="679"/>
      <c r="BR1023" s="679"/>
      <c r="BS1023" s="679"/>
      <c r="BT1023" s="679"/>
      <c r="BU1023" s="679"/>
      <c r="BV1023" s="679"/>
      <c r="BW1023" s="679"/>
      <c r="BX1023" s="679"/>
      <c r="BY1023" s="679"/>
      <c r="BZ1023" s="679"/>
      <c r="CA1023" s="679"/>
    </row>
    <row r="1024" spans="1:79" s="309" customFormat="1" hidden="1" outlineLevel="1" x14ac:dyDescent="0.35">
      <c r="A1024" s="224"/>
      <c r="B1024" s="224"/>
      <c r="C1024" s="224"/>
      <c r="D1024" s="224"/>
      <c r="E1024" s="224"/>
      <c r="F1024" s="673" t="s">
        <v>663</v>
      </c>
      <c r="G1024" s="680">
        <f>SUM(G1022:G1023)</f>
        <v>0</v>
      </c>
      <c r="H1024" s="680">
        <f t="shared" ref="H1024:Q1024" si="395">SUM(H1022:H1023)</f>
        <v>0</v>
      </c>
      <c r="I1024" s="680">
        <f t="shared" si="395"/>
        <v>0</v>
      </c>
      <c r="J1024" s="680">
        <f t="shared" si="395"/>
        <v>0</v>
      </c>
      <c r="K1024" s="680">
        <f t="shared" si="395"/>
        <v>0</v>
      </c>
      <c r="L1024" s="680">
        <f t="shared" si="395"/>
        <v>0</v>
      </c>
      <c r="M1024" s="680">
        <f t="shared" si="395"/>
        <v>0</v>
      </c>
      <c r="N1024" s="680">
        <f t="shared" si="395"/>
        <v>0</v>
      </c>
      <c r="O1024" s="680">
        <f t="shared" si="395"/>
        <v>0</v>
      </c>
      <c r="P1024" s="680">
        <f t="shared" si="395"/>
        <v>0</v>
      </c>
      <c r="Q1024" s="680">
        <f t="shared" si="395"/>
        <v>0</v>
      </c>
      <c r="R1024" s="680">
        <f>SUM(R1022:R1023)</f>
        <v>0</v>
      </c>
      <c r="S1024" s="680">
        <f t="shared" ref="S1024:AA1024" si="396">ROUND(SUM(S1021:S1023),5)</f>
        <v>0</v>
      </c>
      <c r="T1024" s="680">
        <f t="shared" si="396"/>
        <v>0</v>
      </c>
      <c r="U1024" s="680">
        <f t="shared" si="396"/>
        <v>0</v>
      </c>
      <c r="V1024" s="680">
        <f t="shared" si="396"/>
        <v>0</v>
      </c>
      <c r="W1024" s="680">
        <f t="shared" si="396"/>
        <v>0</v>
      </c>
      <c r="X1024" s="680">
        <f t="shared" si="396"/>
        <v>0</v>
      </c>
      <c r="Y1024" s="680">
        <f t="shared" si="396"/>
        <v>0</v>
      </c>
      <c r="Z1024" s="680">
        <f t="shared" si="396"/>
        <v>0</v>
      </c>
      <c r="AA1024" s="680">
        <f t="shared" si="396"/>
        <v>0</v>
      </c>
      <c r="AB1024" s="680">
        <f>ROUND(SUM(AB1021:AB1023),5)</f>
        <v>0</v>
      </c>
      <c r="AC1024" s="680">
        <f>ROUND(SUM(AC1021:AC1023),5)</f>
        <v>0</v>
      </c>
      <c r="AD1024" s="680">
        <f>ROUND(SUM(AD1021:AD1023),5)</f>
        <v>0</v>
      </c>
      <c r="AE1024" s="680">
        <f t="shared" ref="AE1024:BO1024" si="397">SUM(AE1022:AE1023)</f>
        <v>0</v>
      </c>
      <c r="AF1024" s="680">
        <f t="shared" si="397"/>
        <v>0</v>
      </c>
      <c r="AG1024" s="680">
        <f t="shared" si="397"/>
        <v>0</v>
      </c>
      <c r="AH1024" s="680">
        <f t="shared" si="397"/>
        <v>0</v>
      </c>
      <c r="AI1024" s="680">
        <f t="shared" si="397"/>
        <v>0</v>
      </c>
      <c r="AJ1024" s="680">
        <f t="shared" si="397"/>
        <v>0</v>
      </c>
      <c r="AK1024" s="680">
        <f t="shared" si="397"/>
        <v>0</v>
      </c>
      <c r="AL1024" s="680">
        <f t="shared" si="397"/>
        <v>0</v>
      </c>
      <c r="AM1024" s="680">
        <f t="shared" si="397"/>
        <v>0</v>
      </c>
      <c r="AN1024" s="680">
        <f t="shared" si="397"/>
        <v>0</v>
      </c>
      <c r="AO1024" s="680">
        <f t="shared" si="397"/>
        <v>0</v>
      </c>
      <c r="AP1024" s="680">
        <f t="shared" si="397"/>
        <v>0</v>
      </c>
      <c r="AQ1024" s="680">
        <f t="shared" si="397"/>
        <v>0</v>
      </c>
      <c r="AR1024" s="680">
        <f t="shared" si="397"/>
        <v>0</v>
      </c>
      <c r="AS1024" s="680">
        <f t="shared" si="397"/>
        <v>0</v>
      </c>
      <c r="AT1024" s="680">
        <f t="shared" si="397"/>
        <v>0</v>
      </c>
      <c r="AU1024" s="680">
        <f t="shared" si="397"/>
        <v>0</v>
      </c>
      <c r="AV1024" s="680">
        <f t="shared" si="397"/>
        <v>0</v>
      </c>
      <c r="AW1024" s="680">
        <f t="shared" si="397"/>
        <v>0</v>
      </c>
      <c r="AX1024" s="680">
        <f t="shared" si="397"/>
        <v>0</v>
      </c>
      <c r="AY1024" s="680">
        <f t="shared" si="397"/>
        <v>0</v>
      </c>
      <c r="AZ1024" s="680">
        <f t="shared" si="397"/>
        <v>0</v>
      </c>
      <c r="BA1024" s="680">
        <f t="shared" si="397"/>
        <v>0</v>
      </c>
      <c r="BB1024" s="680">
        <f t="shared" si="397"/>
        <v>0</v>
      </c>
      <c r="BC1024" s="680">
        <f t="shared" si="397"/>
        <v>0</v>
      </c>
      <c r="BD1024" s="680">
        <f t="shared" si="397"/>
        <v>0</v>
      </c>
      <c r="BE1024" s="680">
        <f t="shared" si="397"/>
        <v>0</v>
      </c>
      <c r="BF1024" s="680">
        <f t="shared" si="397"/>
        <v>0</v>
      </c>
      <c r="BG1024" s="680">
        <f t="shared" si="397"/>
        <v>0</v>
      </c>
      <c r="BH1024" s="680">
        <f t="shared" si="397"/>
        <v>0</v>
      </c>
      <c r="BI1024" s="680">
        <f t="shared" si="397"/>
        <v>0</v>
      </c>
      <c r="BJ1024" s="680">
        <f t="shared" si="397"/>
        <v>0</v>
      </c>
      <c r="BK1024" s="680">
        <f t="shared" si="397"/>
        <v>0</v>
      </c>
      <c r="BL1024" s="680">
        <f t="shared" si="397"/>
        <v>0</v>
      </c>
      <c r="BM1024" s="680">
        <f t="shared" si="397"/>
        <v>0</v>
      </c>
      <c r="BN1024" s="680">
        <f t="shared" si="397"/>
        <v>0</v>
      </c>
      <c r="BO1024" s="680">
        <f t="shared" si="397"/>
        <v>0</v>
      </c>
      <c r="BP1024" s="680">
        <f t="shared" ref="BP1024:CA1024" si="398">SUM(BP1022:BP1023)</f>
        <v>0</v>
      </c>
      <c r="BQ1024" s="680">
        <f t="shared" si="398"/>
        <v>0</v>
      </c>
      <c r="BR1024" s="680">
        <f t="shared" si="398"/>
        <v>0</v>
      </c>
      <c r="BS1024" s="680">
        <f t="shared" si="398"/>
        <v>0</v>
      </c>
      <c r="BT1024" s="680">
        <f t="shared" si="398"/>
        <v>0</v>
      </c>
      <c r="BU1024" s="680">
        <f t="shared" si="398"/>
        <v>0</v>
      </c>
      <c r="BV1024" s="680">
        <f t="shared" si="398"/>
        <v>0</v>
      </c>
      <c r="BW1024" s="680">
        <f t="shared" si="398"/>
        <v>0</v>
      </c>
      <c r="BX1024" s="680">
        <f t="shared" si="398"/>
        <v>0</v>
      </c>
      <c r="BY1024" s="680">
        <f t="shared" si="398"/>
        <v>0</v>
      </c>
      <c r="BZ1024" s="680">
        <f t="shared" si="398"/>
        <v>0</v>
      </c>
      <c r="CA1024" s="680">
        <f t="shared" si="398"/>
        <v>0</v>
      </c>
    </row>
    <row r="1025" spans="1:79" s="757" customFormat="1" hidden="1" outlineLevel="1" x14ac:dyDescent="0.35">
      <c r="A1025" s="224"/>
      <c r="B1025" s="224"/>
      <c r="C1025" s="224"/>
      <c r="D1025" s="224"/>
      <c r="E1025" s="224"/>
      <c r="F1025" s="671" t="s">
        <v>700</v>
      </c>
      <c r="G1025" s="679"/>
      <c r="H1025" s="679"/>
      <c r="I1025" s="679"/>
      <c r="J1025" s="679"/>
      <c r="K1025" s="679"/>
      <c r="L1025" s="679"/>
      <c r="M1025" s="679"/>
      <c r="N1025" s="679"/>
      <c r="O1025" s="679"/>
      <c r="P1025" s="679"/>
      <c r="Q1025" s="679"/>
      <c r="R1025" s="679"/>
      <c r="S1025" s="679">
        <v>0</v>
      </c>
      <c r="T1025" s="679">
        <v>0</v>
      </c>
      <c r="U1025" s="679">
        <v>0</v>
      </c>
      <c r="V1025" s="679">
        <v>0</v>
      </c>
      <c r="W1025" s="679">
        <v>0</v>
      </c>
      <c r="X1025" s="679">
        <v>0</v>
      </c>
      <c r="Y1025" s="679">
        <v>0</v>
      </c>
      <c r="Z1025" s="679">
        <v>0</v>
      </c>
      <c r="AA1025" s="679">
        <v>0</v>
      </c>
      <c r="AB1025" s="679">
        <v>0</v>
      </c>
      <c r="AC1025" s="679">
        <v>0</v>
      </c>
      <c r="AD1025" s="679">
        <v>0</v>
      </c>
      <c r="AE1025" s="679"/>
      <c r="AF1025" s="679"/>
      <c r="AG1025" s="679"/>
      <c r="AH1025" s="679"/>
      <c r="AI1025" s="679"/>
      <c r="AJ1025" s="679"/>
      <c r="AK1025" s="679"/>
      <c r="AL1025" s="679"/>
      <c r="AM1025" s="679"/>
      <c r="AN1025" s="679"/>
      <c r="AO1025" s="679"/>
      <c r="AP1025" s="679"/>
      <c r="AQ1025" s="679"/>
      <c r="AR1025" s="679"/>
      <c r="AS1025" s="679"/>
      <c r="AT1025" s="679"/>
      <c r="AU1025" s="679"/>
      <c r="AV1025" s="679"/>
      <c r="AW1025" s="679"/>
      <c r="AX1025" s="679"/>
      <c r="AY1025" s="679"/>
      <c r="AZ1025" s="679"/>
      <c r="BA1025" s="679"/>
      <c r="BB1025" s="679"/>
      <c r="BC1025" s="679"/>
      <c r="BD1025" s="679"/>
      <c r="BE1025" s="679"/>
      <c r="BF1025" s="679"/>
      <c r="BG1025" s="679"/>
      <c r="BH1025" s="679"/>
      <c r="BI1025" s="679"/>
      <c r="BJ1025" s="679"/>
      <c r="BK1025" s="679"/>
      <c r="BL1025" s="679"/>
      <c r="BM1025" s="679"/>
      <c r="BN1025" s="679"/>
      <c r="BO1025" s="679"/>
      <c r="BP1025" s="679"/>
      <c r="BQ1025" s="679"/>
      <c r="BR1025" s="679"/>
      <c r="BS1025" s="679"/>
      <c r="BT1025" s="679"/>
      <c r="BU1025" s="679"/>
      <c r="BV1025" s="679"/>
      <c r="BW1025" s="679"/>
      <c r="BX1025" s="679"/>
      <c r="BY1025" s="679"/>
      <c r="BZ1025" s="679"/>
      <c r="CA1025" s="679"/>
    </row>
    <row r="1026" spans="1:79" s="757" customFormat="1" hidden="1" outlineLevel="1" x14ac:dyDescent="0.35">
      <c r="A1026" s="224"/>
      <c r="B1026" s="224"/>
      <c r="C1026" s="224"/>
      <c r="D1026" s="224"/>
      <c r="E1026" s="224"/>
      <c r="F1026" s="671" t="s">
        <v>862</v>
      </c>
      <c r="G1026" s="679"/>
      <c r="H1026" s="679"/>
      <c r="I1026" s="679"/>
      <c r="J1026" s="679"/>
      <c r="K1026" s="679"/>
      <c r="L1026" s="679"/>
      <c r="M1026" s="679"/>
      <c r="N1026" s="679"/>
      <c r="O1026" s="679"/>
      <c r="P1026" s="679"/>
      <c r="Q1026" s="679"/>
      <c r="R1026" s="679"/>
      <c r="S1026" s="679">
        <v>0</v>
      </c>
      <c r="T1026" s="679">
        <v>0</v>
      </c>
      <c r="U1026" s="679">
        <v>0</v>
      </c>
      <c r="V1026" s="679">
        <v>0</v>
      </c>
      <c r="W1026" s="679">
        <v>0</v>
      </c>
      <c r="X1026" s="679">
        <v>0</v>
      </c>
      <c r="Y1026" s="679">
        <v>0</v>
      </c>
      <c r="Z1026" s="679">
        <v>0</v>
      </c>
      <c r="AA1026" s="679">
        <v>0</v>
      </c>
      <c r="AB1026" s="679">
        <v>0</v>
      </c>
      <c r="AC1026" s="679">
        <v>0</v>
      </c>
      <c r="AD1026" s="679">
        <v>0</v>
      </c>
      <c r="AE1026" s="679"/>
      <c r="AF1026" s="679"/>
      <c r="AG1026" s="679"/>
      <c r="AH1026" s="679"/>
      <c r="AI1026" s="679"/>
      <c r="AJ1026" s="679"/>
      <c r="AK1026" s="679"/>
      <c r="AL1026" s="679"/>
      <c r="AM1026" s="679"/>
      <c r="AN1026" s="679"/>
      <c r="AO1026" s="679"/>
      <c r="AP1026" s="679"/>
      <c r="AQ1026" s="679"/>
      <c r="AR1026" s="679"/>
      <c r="AS1026" s="679"/>
      <c r="AT1026" s="679"/>
      <c r="AU1026" s="679"/>
      <c r="AV1026" s="679"/>
      <c r="AW1026" s="679"/>
      <c r="AX1026" s="679"/>
      <c r="AY1026" s="679"/>
      <c r="AZ1026" s="679"/>
      <c r="BA1026" s="679"/>
      <c r="BB1026" s="679"/>
      <c r="BC1026" s="679"/>
      <c r="BD1026" s="679"/>
      <c r="BE1026" s="679"/>
      <c r="BF1026" s="679"/>
      <c r="BG1026" s="679"/>
      <c r="BH1026" s="679"/>
      <c r="BI1026" s="679"/>
      <c r="BJ1026" s="679"/>
      <c r="BK1026" s="679"/>
      <c r="BL1026" s="679"/>
      <c r="BM1026" s="679"/>
      <c r="BN1026" s="679"/>
      <c r="BO1026" s="679"/>
      <c r="BP1026" s="679"/>
      <c r="BQ1026" s="679"/>
      <c r="BR1026" s="679"/>
      <c r="BS1026" s="679"/>
      <c r="BT1026" s="679"/>
      <c r="BU1026" s="679"/>
      <c r="BV1026" s="679"/>
      <c r="BW1026" s="679"/>
      <c r="BX1026" s="679"/>
      <c r="BY1026" s="679"/>
      <c r="BZ1026" s="679"/>
      <c r="CA1026" s="679"/>
    </row>
    <row r="1027" spans="1:79" s="757" customFormat="1" hidden="1" outlineLevel="1" x14ac:dyDescent="0.35">
      <c r="A1027" s="224"/>
      <c r="B1027" s="224"/>
      <c r="C1027" s="224"/>
      <c r="D1027" s="224"/>
      <c r="E1027" s="224"/>
      <c r="F1027" s="671" t="s">
        <v>863</v>
      </c>
      <c r="G1027" s="679"/>
      <c r="H1027" s="679"/>
      <c r="I1027" s="679"/>
      <c r="J1027" s="679"/>
      <c r="K1027" s="679"/>
      <c r="L1027" s="679"/>
      <c r="M1027" s="679"/>
      <c r="N1027" s="679"/>
      <c r="O1027" s="679"/>
      <c r="P1027" s="679"/>
      <c r="Q1027" s="679"/>
      <c r="R1027" s="679"/>
      <c r="S1027" s="679">
        <v>0</v>
      </c>
      <c r="T1027" s="679">
        <v>0</v>
      </c>
      <c r="U1027" s="679">
        <v>0</v>
      </c>
      <c r="V1027" s="679">
        <v>0</v>
      </c>
      <c r="W1027" s="679">
        <v>0</v>
      </c>
      <c r="X1027" s="679">
        <v>0</v>
      </c>
      <c r="Y1027" s="679">
        <v>0</v>
      </c>
      <c r="Z1027" s="679">
        <v>0</v>
      </c>
      <c r="AA1027" s="679">
        <v>0</v>
      </c>
      <c r="AB1027" s="679">
        <v>0</v>
      </c>
      <c r="AC1027" s="679">
        <v>0</v>
      </c>
      <c r="AD1027" s="679">
        <v>0</v>
      </c>
      <c r="AE1027" s="679"/>
      <c r="AF1027" s="679"/>
      <c r="AG1027" s="679"/>
      <c r="AH1027" s="679"/>
      <c r="AI1027" s="679"/>
      <c r="AJ1027" s="679"/>
      <c r="AK1027" s="679"/>
      <c r="AL1027" s="679"/>
      <c r="AM1027" s="679"/>
      <c r="AN1027" s="679"/>
      <c r="AO1027" s="679"/>
      <c r="AP1027" s="679"/>
      <c r="AQ1027" s="679"/>
      <c r="AR1027" s="679"/>
      <c r="AS1027" s="679"/>
      <c r="AT1027" s="679"/>
      <c r="AU1027" s="679"/>
      <c r="AV1027" s="679"/>
      <c r="AW1027" s="679"/>
      <c r="AX1027" s="679"/>
      <c r="AY1027" s="679"/>
      <c r="AZ1027" s="679"/>
      <c r="BA1027" s="679"/>
      <c r="BB1027" s="679"/>
      <c r="BC1027" s="679"/>
      <c r="BD1027" s="679"/>
      <c r="BE1027" s="679"/>
      <c r="BF1027" s="679"/>
      <c r="BG1027" s="679"/>
      <c r="BH1027" s="679"/>
      <c r="BI1027" s="679"/>
      <c r="BJ1027" s="679"/>
      <c r="BK1027" s="679"/>
      <c r="BL1027" s="679"/>
      <c r="BM1027" s="679"/>
      <c r="BN1027" s="679"/>
      <c r="BO1027" s="679"/>
      <c r="BP1027" s="679"/>
      <c r="BQ1027" s="679"/>
      <c r="BR1027" s="679"/>
      <c r="BS1027" s="679"/>
      <c r="BT1027" s="679"/>
      <c r="BU1027" s="679"/>
      <c r="BV1027" s="679"/>
      <c r="BW1027" s="679"/>
      <c r="BX1027" s="679"/>
      <c r="BY1027" s="679"/>
      <c r="BZ1027" s="679"/>
      <c r="CA1027" s="679"/>
    </row>
    <row r="1028" spans="1:79" s="656" customFormat="1" hidden="1" outlineLevel="1" x14ac:dyDescent="0.35">
      <c r="A1028" s="652"/>
      <c r="B1028" s="652"/>
      <c r="C1028" s="652"/>
      <c r="D1028" s="652"/>
      <c r="E1028" s="652"/>
      <c r="F1028" s="671" t="s">
        <v>18</v>
      </c>
      <c r="G1028" s="781"/>
      <c r="H1028" s="781"/>
      <c r="I1028" s="781"/>
      <c r="J1028" s="781"/>
      <c r="K1028" s="781"/>
      <c r="L1028" s="781"/>
      <c r="M1028" s="781"/>
      <c r="N1028" s="781"/>
      <c r="O1028" s="781"/>
      <c r="P1028" s="748"/>
      <c r="Q1028" s="748"/>
      <c r="R1028" s="748"/>
      <c r="S1028" s="679">
        <v>37734.300000000003</v>
      </c>
      <c r="T1028" s="679">
        <v>4969.9399999999996</v>
      </c>
      <c r="U1028" s="679">
        <v>-262.44</v>
      </c>
      <c r="V1028" s="679">
        <v>0</v>
      </c>
      <c r="W1028" s="679">
        <v>0</v>
      </c>
      <c r="X1028" s="679">
        <v>0</v>
      </c>
      <c r="Y1028" s="679">
        <v>0</v>
      </c>
      <c r="Z1028" s="679">
        <v>0</v>
      </c>
      <c r="AA1028" s="679">
        <v>0</v>
      </c>
      <c r="AB1028" s="679">
        <v>0</v>
      </c>
      <c r="AC1028" s="679">
        <v>0</v>
      </c>
      <c r="AD1028" s="679">
        <v>0</v>
      </c>
      <c r="AE1028" s="748"/>
      <c r="AF1028" s="748"/>
      <c r="AG1028" s="748"/>
      <c r="AH1028" s="748"/>
      <c r="AI1028" s="748"/>
      <c r="AJ1028" s="748"/>
      <c r="AK1028" s="748"/>
      <c r="AL1028" s="748"/>
      <c r="AM1028" s="748"/>
      <c r="AN1028" s="748"/>
      <c r="AO1028" s="748"/>
      <c r="AP1028" s="748"/>
      <c r="AQ1028" s="748"/>
      <c r="AR1028" s="748"/>
      <c r="AS1028" s="748"/>
      <c r="AT1028" s="748"/>
      <c r="AU1028" s="748"/>
      <c r="AV1028" s="748"/>
      <c r="AW1028" s="748"/>
      <c r="AX1028" s="748"/>
      <c r="AY1028" s="748"/>
      <c r="AZ1028" s="748"/>
      <c r="BA1028" s="748"/>
      <c r="BB1028" s="748"/>
      <c r="BC1028" s="748"/>
      <c r="BD1028" s="748"/>
      <c r="BE1028" s="748"/>
      <c r="BF1028" s="748"/>
      <c r="BG1028" s="748"/>
      <c r="BH1028" s="748"/>
      <c r="BI1028" s="748"/>
      <c r="BJ1028" s="748"/>
      <c r="BK1028" s="748"/>
      <c r="BL1028" s="748"/>
      <c r="BM1028" s="748"/>
      <c r="BN1028" s="748"/>
      <c r="BO1028" s="748"/>
      <c r="BP1028" s="748"/>
      <c r="BQ1028" s="748"/>
      <c r="BR1028" s="748"/>
      <c r="BS1028" s="748"/>
      <c r="BT1028" s="748"/>
      <c r="BU1028" s="748"/>
      <c r="BV1028" s="748"/>
      <c r="BW1028" s="748"/>
      <c r="BX1028" s="748"/>
      <c r="BY1028" s="748"/>
      <c r="BZ1028" s="748"/>
      <c r="CA1028" s="748"/>
    </row>
    <row r="1029" spans="1:79" s="757" customFormat="1" hidden="1" outlineLevel="1" x14ac:dyDescent="0.35">
      <c r="A1029" s="224"/>
      <c r="B1029" s="224"/>
      <c r="C1029" s="224"/>
      <c r="D1029" s="224"/>
      <c r="E1029" s="224"/>
      <c r="F1029" s="671" t="s">
        <v>864</v>
      </c>
      <c r="G1029" s="679"/>
      <c r="H1029" s="679"/>
      <c r="I1029" s="679"/>
      <c r="J1029" s="679"/>
      <c r="K1029" s="679"/>
      <c r="L1029" s="679"/>
      <c r="M1029" s="679"/>
      <c r="N1029" s="679"/>
      <c r="O1029" s="679"/>
      <c r="P1029" s="679"/>
      <c r="Q1029" s="679"/>
      <c r="R1029" s="679"/>
      <c r="S1029" s="679">
        <v>0</v>
      </c>
      <c r="T1029" s="679">
        <v>0</v>
      </c>
      <c r="U1029" s="679">
        <v>0</v>
      </c>
      <c r="V1029" s="679">
        <v>0</v>
      </c>
      <c r="W1029" s="679">
        <v>0</v>
      </c>
      <c r="X1029" s="679">
        <v>0</v>
      </c>
      <c r="Y1029" s="679">
        <v>0</v>
      </c>
      <c r="Z1029" s="679">
        <v>0</v>
      </c>
      <c r="AA1029" s="679">
        <v>0</v>
      </c>
      <c r="AB1029" s="679">
        <v>0</v>
      </c>
      <c r="AC1029" s="679">
        <v>0</v>
      </c>
      <c r="AD1029" s="679">
        <v>0</v>
      </c>
      <c r="AE1029" s="679"/>
      <c r="AF1029" s="679"/>
      <c r="AG1029" s="679"/>
      <c r="AH1029" s="679"/>
      <c r="AI1029" s="679"/>
      <c r="AJ1029" s="679"/>
      <c r="AK1029" s="679"/>
      <c r="AL1029" s="679"/>
      <c r="AM1029" s="679"/>
      <c r="AN1029" s="679"/>
      <c r="AO1029" s="679"/>
      <c r="AP1029" s="679"/>
      <c r="AQ1029" s="679"/>
      <c r="AR1029" s="679"/>
      <c r="AS1029" s="679"/>
      <c r="AT1029" s="679"/>
      <c r="AU1029" s="679"/>
      <c r="AV1029" s="679"/>
      <c r="AW1029" s="679"/>
      <c r="AX1029" s="679"/>
      <c r="AY1029" s="679"/>
      <c r="AZ1029" s="679"/>
      <c r="BA1029" s="679"/>
      <c r="BB1029" s="679"/>
      <c r="BC1029" s="679"/>
      <c r="BD1029" s="679"/>
      <c r="BE1029" s="679"/>
      <c r="BF1029" s="679"/>
      <c r="BG1029" s="679"/>
      <c r="BH1029" s="679"/>
      <c r="BI1029" s="679"/>
      <c r="BJ1029" s="679"/>
      <c r="BK1029" s="679"/>
      <c r="BL1029" s="679"/>
      <c r="BM1029" s="679"/>
      <c r="BN1029" s="679"/>
      <c r="BO1029" s="679"/>
      <c r="BP1029" s="679"/>
      <c r="BQ1029" s="679"/>
      <c r="BR1029" s="679"/>
      <c r="BS1029" s="679"/>
      <c r="BT1029" s="679"/>
      <c r="BU1029" s="679"/>
      <c r="BV1029" s="679"/>
      <c r="BW1029" s="679"/>
      <c r="BX1029" s="679"/>
      <c r="BY1029" s="679"/>
      <c r="BZ1029" s="679"/>
      <c r="CA1029" s="679"/>
    </row>
    <row r="1030" spans="1:79" s="757" customFormat="1" hidden="1" outlineLevel="1" x14ac:dyDescent="0.35">
      <c r="A1030" s="709"/>
      <c r="B1030" s="709"/>
      <c r="C1030" s="709"/>
      <c r="D1030" s="709"/>
      <c r="E1030" s="709"/>
      <c r="F1030" s="707" t="s">
        <v>649</v>
      </c>
      <c r="G1030" s="708"/>
      <c r="H1030" s="708"/>
      <c r="I1030" s="708"/>
      <c r="J1030" s="708"/>
      <c r="K1030" s="708"/>
      <c r="L1030" s="708"/>
      <c r="M1030" s="708"/>
      <c r="N1030" s="708"/>
      <c r="O1030" s="708"/>
      <c r="P1030" s="708"/>
      <c r="Q1030" s="708"/>
      <c r="R1030" s="708"/>
      <c r="S1030" s="708"/>
      <c r="T1030" s="708"/>
      <c r="U1030" s="708"/>
      <c r="V1030" s="708"/>
      <c r="W1030" s="708"/>
      <c r="X1030" s="708"/>
      <c r="Y1030" s="708"/>
      <c r="Z1030" s="708"/>
      <c r="AA1030" s="708"/>
      <c r="AB1030" s="708"/>
      <c r="AC1030" s="708"/>
      <c r="AD1030" s="708"/>
      <c r="AE1030" s="708"/>
      <c r="AF1030" s="708"/>
      <c r="AG1030" s="708"/>
      <c r="AH1030" s="708"/>
      <c r="AI1030" s="708"/>
      <c r="AJ1030" s="708"/>
      <c r="AK1030" s="708"/>
      <c r="AL1030" s="708"/>
      <c r="AM1030" s="708"/>
      <c r="AN1030" s="708"/>
      <c r="AO1030" s="708"/>
      <c r="AP1030" s="708"/>
      <c r="AQ1030" s="708"/>
      <c r="AR1030" s="708"/>
      <c r="AS1030" s="708"/>
      <c r="AT1030" s="708"/>
      <c r="AU1030" s="708"/>
      <c r="AV1030" s="708"/>
      <c r="AW1030" s="708"/>
      <c r="AX1030" s="708"/>
      <c r="AY1030" s="708"/>
      <c r="AZ1030" s="708"/>
      <c r="BA1030" s="708"/>
      <c r="BB1030" s="708"/>
      <c r="BC1030" s="708"/>
      <c r="BD1030" s="708"/>
      <c r="BE1030" s="708"/>
      <c r="BF1030" s="708"/>
      <c r="BG1030" s="708"/>
      <c r="BH1030" s="708"/>
      <c r="BI1030" s="708"/>
      <c r="BJ1030" s="708"/>
      <c r="BK1030" s="708"/>
      <c r="BL1030" s="708"/>
      <c r="BM1030" s="708"/>
      <c r="BN1030" s="708"/>
      <c r="BO1030" s="708"/>
      <c r="BP1030" s="708"/>
      <c r="BQ1030" s="708"/>
      <c r="BR1030" s="708"/>
      <c r="BS1030" s="708"/>
      <c r="BT1030" s="708"/>
      <c r="BU1030" s="708"/>
      <c r="BV1030" s="708"/>
      <c r="BW1030" s="708"/>
      <c r="BX1030" s="708"/>
      <c r="BY1030" s="708"/>
      <c r="BZ1030" s="708"/>
      <c r="CA1030" s="708"/>
    </row>
    <row r="1031" spans="1:79" s="757" customFormat="1" hidden="1" outlineLevel="1" x14ac:dyDescent="0.35">
      <c r="A1031" s="224"/>
      <c r="B1031" s="224"/>
      <c r="C1031" s="224"/>
      <c r="D1031" s="224"/>
      <c r="E1031" s="224"/>
      <c r="F1031" s="672" t="s">
        <v>865</v>
      </c>
      <c r="G1031" s="679"/>
      <c r="H1031" s="679"/>
      <c r="I1031" s="679"/>
      <c r="J1031" s="679"/>
      <c r="K1031" s="679"/>
      <c r="L1031" s="679"/>
      <c r="M1031" s="679"/>
      <c r="N1031" s="679"/>
      <c r="O1031" s="679"/>
      <c r="P1031" s="679"/>
      <c r="Q1031" s="679"/>
      <c r="R1031" s="679"/>
      <c r="S1031" s="679">
        <v>0</v>
      </c>
      <c r="T1031" s="679">
        <v>0</v>
      </c>
      <c r="U1031" s="679">
        <v>0</v>
      </c>
      <c r="V1031" s="679">
        <v>0</v>
      </c>
      <c r="W1031" s="679">
        <v>0</v>
      </c>
      <c r="X1031" s="679">
        <v>0</v>
      </c>
      <c r="Y1031" s="679">
        <v>0</v>
      </c>
      <c r="Z1031" s="679">
        <v>0</v>
      </c>
      <c r="AA1031" s="679">
        <v>0</v>
      </c>
      <c r="AB1031" s="679">
        <v>0</v>
      </c>
      <c r="AC1031" s="679">
        <v>0</v>
      </c>
      <c r="AD1031" s="679">
        <v>0</v>
      </c>
      <c r="AE1031" s="679"/>
      <c r="AF1031" s="679"/>
      <c r="AG1031" s="679"/>
      <c r="AH1031" s="679"/>
      <c r="AI1031" s="679"/>
      <c r="AJ1031" s="679"/>
      <c r="AK1031" s="679"/>
      <c r="AL1031" s="679"/>
      <c r="AM1031" s="679"/>
      <c r="AN1031" s="679"/>
      <c r="AO1031" s="679"/>
      <c r="AP1031" s="679"/>
      <c r="AQ1031" s="679"/>
      <c r="AR1031" s="679"/>
      <c r="AS1031" s="679"/>
      <c r="AT1031" s="679"/>
      <c r="AU1031" s="679"/>
      <c r="AV1031" s="679"/>
      <c r="AW1031" s="679"/>
      <c r="AX1031" s="679"/>
      <c r="AY1031" s="679"/>
      <c r="AZ1031" s="679"/>
      <c r="BA1031" s="679"/>
      <c r="BB1031" s="679"/>
      <c r="BC1031" s="679"/>
      <c r="BD1031" s="679"/>
      <c r="BE1031" s="679"/>
      <c r="BF1031" s="679"/>
      <c r="BG1031" s="679"/>
      <c r="BH1031" s="679"/>
      <c r="BI1031" s="679"/>
      <c r="BJ1031" s="679"/>
      <c r="BK1031" s="679"/>
      <c r="BL1031" s="679"/>
      <c r="BM1031" s="679"/>
      <c r="BN1031" s="679"/>
      <c r="BO1031" s="679"/>
      <c r="BP1031" s="679"/>
      <c r="BQ1031" s="679"/>
      <c r="BR1031" s="679"/>
      <c r="BS1031" s="679"/>
      <c r="BT1031" s="679"/>
      <c r="BU1031" s="679"/>
      <c r="BV1031" s="679"/>
      <c r="BW1031" s="679"/>
      <c r="BX1031" s="679"/>
      <c r="BY1031" s="679"/>
      <c r="BZ1031" s="679"/>
      <c r="CA1031" s="679"/>
    </row>
    <row r="1032" spans="1:79" s="757" customFormat="1" hidden="1" outlineLevel="1" x14ac:dyDescent="0.35">
      <c r="A1032" s="574"/>
      <c r="B1032" s="574"/>
      <c r="C1032" s="574"/>
      <c r="D1032" s="574"/>
      <c r="E1032" s="574"/>
      <c r="F1032" s="672" t="s">
        <v>866</v>
      </c>
      <c r="G1032" s="735"/>
      <c r="H1032" s="735"/>
      <c r="I1032" s="735"/>
      <c r="J1032" s="735"/>
      <c r="K1032" s="735"/>
      <c r="L1032" s="735"/>
      <c r="M1032" s="735"/>
      <c r="N1032" s="735"/>
      <c r="O1032" s="735"/>
      <c r="P1032" s="732"/>
      <c r="Q1032" s="732"/>
      <c r="R1032" s="732"/>
      <c r="S1032" s="679">
        <v>0</v>
      </c>
      <c r="T1032" s="679">
        <v>0</v>
      </c>
      <c r="U1032" s="679">
        <v>0</v>
      </c>
      <c r="V1032" s="679">
        <v>0</v>
      </c>
      <c r="W1032" s="679">
        <v>0</v>
      </c>
      <c r="X1032" s="679">
        <v>0</v>
      </c>
      <c r="Y1032" s="679">
        <v>0</v>
      </c>
      <c r="Z1032" s="679">
        <v>0</v>
      </c>
      <c r="AA1032" s="679">
        <v>0</v>
      </c>
      <c r="AB1032" s="679">
        <v>0</v>
      </c>
      <c r="AC1032" s="679">
        <v>0</v>
      </c>
      <c r="AD1032" s="679">
        <v>0</v>
      </c>
      <c r="AE1032" s="734"/>
      <c r="AF1032" s="734"/>
      <c r="AG1032" s="734"/>
      <c r="AH1032" s="734"/>
      <c r="AI1032" s="734"/>
      <c r="AJ1032" s="734"/>
      <c r="AK1032" s="734"/>
      <c r="AL1032" s="734"/>
      <c r="AM1032" s="734"/>
      <c r="AN1032" s="734"/>
      <c r="AO1032" s="734"/>
      <c r="AP1032" s="734"/>
      <c r="AQ1032" s="734"/>
      <c r="AR1032" s="734"/>
      <c r="AS1032" s="734"/>
      <c r="AT1032" s="734"/>
      <c r="AU1032" s="734"/>
      <c r="AV1032" s="734"/>
      <c r="AW1032" s="734"/>
      <c r="AX1032" s="734"/>
      <c r="AY1032" s="734"/>
      <c r="AZ1032" s="734"/>
      <c r="BA1032" s="734"/>
      <c r="BB1032" s="734"/>
      <c r="BC1032" s="734"/>
      <c r="BD1032" s="734"/>
      <c r="BE1032" s="734"/>
      <c r="BF1032" s="734"/>
      <c r="BG1032" s="734"/>
      <c r="BH1032" s="734"/>
      <c r="BI1032" s="734"/>
      <c r="BJ1032" s="734"/>
      <c r="BK1032" s="734"/>
      <c r="BL1032" s="734"/>
      <c r="BM1032" s="734"/>
      <c r="BN1032" s="734"/>
      <c r="BO1032" s="734"/>
      <c r="BP1032" s="734"/>
      <c r="BQ1032" s="734"/>
      <c r="BR1032" s="734"/>
      <c r="BS1032" s="734"/>
      <c r="BT1032" s="734"/>
      <c r="BU1032" s="734"/>
      <c r="BV1032" s="734"/>
      <c r="BW1032" s="734"/>
      <c r="BX1032" s="734"/>
      <c r="BY1032" s="734"/>
      <c r="BZ1032" s="734"/>
      <c r="CA1032" s="734"/>
    </row>
    <row r="1033" spans="1:79" s="757" customFormat="1" hidden="1" outlineLevel="1" x14ac:dyDescent="0.35">
      <c r="A1033" s="224"/>
      <c r="B1033" s="224"/>
      <c r="C1033" s="224"/>
      <c r="D1033" s="224"/>
      <c r="E1033" s="224"/>
      <c r="F1033" s="673" t="s">
        <v>867</v>
      </c>
      <c r="G1033" s="680">
        <f>SUM(G1031:G1032)</f>
        <v>0</v>
      </c>
      <c r="H1033" s="680">
        <f t="shared" ref="H1033:BO1033" si="399">SUM(H1031:H1032)</f>
        <v>0</v>
      </c>
      <c r="I1033" s="680">
        <f t="shared" si="399"/>
        <v>0</v>
      </c>
      <c r="J1033" s="680">
        <f t="shared" si="399"/>
        <v>0</v>
      </c>
      <c r="K1033" s="680">
        <f t="shared" si="399"/>
        <v>0</v>
      </c>
      <c r="L1033" s="680">
        <f t="shared" si="399"/>
        <v>0</v>
      </c>
      <c r="M1033" s="680">
        <f t="shared" si="399"/>
        <v>0</v>
      </c>
      <c r="N1033" s="680">
        <f t="shared" si="399"/>
        <v>0</v>
      </c>
      <c r="O1033" s="680">
        <f t="shared" si="399"/>
        <v>0</v>
      </c>
      <c r="P1033" s="680">
        <f t="shared" si="399"/>
        <v>0</v>
      </c>
      <c r="Q1033" s="680">
        <f t="shared" si="399"/>
        <v>0</v>
      </c>
      <c r="R1033" s="680">
        <f t="shared" si="399"/>
        <v>0</v>
      </c>
      <c r="S1033" s="680">
        <f t="shared" ref="S1033:AA1033" si="400">ROUND(SUM(S1030:S1032),5)</f>
        <v>0</v>
      </c>
      <c r="T1033" s="680">
        <f t="shared" si="400"/>
        <v>0</v>
      </c>
      <c r="U1033" s="680">
        <f t="shared" si="400"/>
        <v>0</v>
      </c>
      <c r="V1033" s="680">
        <f t="shared" si="400"/>
        <v>0</v>
      </c>
      <c r="W1033" s="680">
        <f t="shared" si="400"/>
        <v>0</v>
      </c>
      <c r="X1033" s="680">
        <f t="shared" si="400"/>
        <v>0</v>
      </c>
      <c r="Y1033" s="680">
        <f t="shared" si="400"/>
        <v>0</v>
      </c>
      <c r="Z1033" s="680">
        <f t="shared" si="400"/>
        <v>0</v>
      </c>
      <c r="AA1033" s="680">
        <f t="shared" si="400"/>
        <v>0</v>
      </c>
      <c r="AB1033" s="680">
        <f>ROUND(SUM(AB1030:AB1032),5)</f>
        <v>0</v>
      </c>
      <c r="AC1033" s="680">
        <f>ROUND(SUM(AC1030:AC1032),5)</f>
        <v>0</v>
      </c>
      <c r="AD1033" s="680">
        <f>ROUND(SUM(AD1030:AD1032),5)</f>
        <v>0</v>
      </c>
      <c r="AE1033" s="680">
        <f t="shared" si="399"/>
        <v>0</v>
      </c>
      <c r="AF1033" s="680">
        <f t="shared" si="399"/>
        <v>0</v>
      </c>
      <c r="AG1033" s="680">
        <f t="shared" si="399"/>
        <v>0</v>
      </c>
      <c r="AH1033" s="680">
        <f t="shared" si="399"/>
        <v>0</v>
      </c>
      <c r="AI1033" s="680">
        <f t="shared" si="399"/>
        <v>0</v>
      </c>
      <c r="AJ1033" s="680">
        <f t="shared" si="399"/>
        <v>0</v>
      </c>
      <c r="AK1033" s="680">
        <f t="shared" si="399"/>
        <v>0</v>
      </c>
      <c r="AL1033" s="680">
        <f t="shared" si="399"/>
        <v>0</v>
      </c>
      <c r="AM1033" s="680">
        <f t="shared" si="399"/>
        <v>0</v>
      </c>
      <c r="AN1033" s="680">
        <f t="shared" si="399"/>
        <v>0</v>
      </c>
      <c r="AO1033" s="680">
        <f t="shared" si="399"/>
        <v>0</v>
      </c>
      <c r="AP1033" s="680">
        <f t="shared" si="399"/>
        <v>0</v>
      </c>
      <c r="AQ1033" s="680">
        <f t="shared" si="399"/>
        <v>0</v>
      </c>
      <c r="AR1033" s="680">
        <f t="shared" si="399"/>
        <v>0</v>
      </c>
      <c r="AS1033" s="680">
        <f t="shared" si="399"/>
        <v>0</v>
      </c>
      <c r="AT1033" s="680">
        <f t="shared" si="399"/>
        <v>0</v>
      </c>
      <c r="AU1033" s="680">
        <f t="shared" si="399"/>
        <v>0</v>
      </c>
      <c r="AV1033" s="680">
        <f t="shared" si="399"/>
        <v>0</v>
      </c>
      <c r="AW1033" s="680">
        <f t="shared" si="399"/>
        <v>0</v>
      </c>
      <c r="AX1033" s="680">
        <f t="shared" si="399"/>
        <v>0</v>
      </c>
      <c r="AY1033" s="680">
        <f t="shared" si="399"/>
        <v>0</v>
      </c>
      <c r="AZ1033" s="680">
        <f t="shared" si="399"/>
        <v>0</v>
      </c>
      <c r="BA1033" s="680">
        <f t="shared" si="399"/>
        <v>0</v>
      </c>
      <c r="BB1033" s="680">
        <f t="shared" si="399"/>
        <v>0</v>
      </c>
      <c r="BC1033" s="680">
        <f t="shared" si="399"/>
        <v>0</v>
      </c>
      <c r="BD1033" s="680">
        <f t="shared" si="399"/>
        <v>0</v>
      </c>
      <c r="BE1033" s="680">
        <f t="shared" si="399"/>
        <v>0</v>
      </c>
      <c r="BF1033" s="680">
        <f t="shared" si="399"/>
        <v>0</v>
      </c>
      <c r="BG1033" s="680">
        <f t="shared" si="399"/>
        <v>0</v>
      </c>
      <c r="BH1033" s="680">
        <f t="shared" si="399"/>
        <v>0</v>
      </c>
      <c r="BI1033" s="680">
        <f t="shared" si="399"/>
        <v>0</v>
      </c>
      <c r="BJ1033" s="680">
        <f t="shared" si="399"/>
        <v>0</v>
      </c>
      <c r="BK1033" s="680">
        <f t="shared" si="399"/>
        <v>0</v>
      </c>
      <c r="BL1033" s="680">
        <f t="shared" si="399"/>
        <v>0</v>
      </c>
      <c r="BM1033" s="680">
        <f t="shared" si="399"/>
        <v>0</v>
      </c>
      <c r="BN1033" s="680">
        <f t="shared" si="399"/>
        <v>0</v>
      </c>
      <c r="BO1033" s="680">
        <f t="shared" si="399"/>
        <v>0</v>
      </c>
      <c r="BP1033" s="680">
        <f t="shared" ref="BP1033:CA1033" si="401">SUM(BP1031:BP1032)</f>
        <v>0</v>
      </c>
      <c r="BQ1033" s="680">
        <f t="shared" si="401"/>
        <v>0</v>
      </c>
      <c r="BR1033" s="680">
        <f t="shared" si="401"/>
        <v>0</v>
      </c>
      <c r="BS1033" s="680">
        <f t="shared" si="401"/>
        <v>0</v>
      </c>
      <c r="BT1033" s="680">
        <f t="shared" si="401"/>
        <v>0</v>
      </c>
      <c r="BU1033" s="680">
        <f t="shared" si="401"/>
        <v>0</v>
      </c>
      <c r="BV1033" s="680">
        <f t="shared" si="401"/>
        <v>0</v>
      </c>
      <c r="BW1033" s="680">
        <f t="shared" si="401"/>
        <v>0</v>
      </c>
      <c r="BX1033" s="680">
        <f t="shared" si="401"/>
        <v>0</v>
      </c>
      <c r="BY1033" s="680">
        <f t="shared" si="401"/>
        <v>0</v>
      </c>
      <c r="BZ1033" s="680">
        <f t="shared" si="401"/>
        <v>0</v>
      </c>
      <c r="CA1033" s="680">
        <f t="shared" si="401"/>
        <v>0</v>
      </c>
    </row>
    <row r="1034" spans="1:79" s="757" customFormat="1" hidden="1" outlineLevel="1" x14ac:dyDescent="0.35">
      <c r="A1034" s="224"/>
      <c r="B1034" s="224"/>
      <c r="C1034" s="224"/>
      <c r="D1034" s="224"/>
      <c r="E1034" s="224"/>
      <c r="F1034" s="671" t="s">
        <v>868</v>
      </c>
      <c r="G1034" s="680"/>
      <c r="H1034" s="680"/>
      <c r="I1034" s="680"/>
      <c r="J1034" s="680"/>
      <c r="K1034" s="680"/>
      <c r="L1034" s="680"/>
      <c r="M1034" s="680"/>
      <c r="N1034" s="680"/>
      <c r="O1034" s="680"/>
      <c r="P1034" s="680"/>
      <c r="Q1034" s="680"/>
      <c r="R1034" s="680"/>
      <c r="S1034" s="679">
        <v>0</v>
      </c>
      <c r="T1034" s="679">
        <v>0</v>
      </c>
      <c r="U1034" s="679">
        <v>0</v>
      </c>
      <c r="V1034" s="679">
        <v>0</v>
      </c>
      <c r="W1034" s="679">
        <v>0</v>
      </c>
      <c r="X1034" s="679">
        <v>0</v>
      </c>
      <c r="Y1034" s="679">
        <v>0</v>
      </c>
      <c r="Z1034" s="679">
        <v>0</v>
      </c>
      <c r="AA1034" s="679">
        <v>0</v>
      </c>
      <c r="AB1034" s="679">
        <v>0</v>
      </c>
      <c r="AC1034" s="679">
        <v>0</v>
      </c>
      <c r="AD1034" s="679">
        <v>0</v>
      </c>
      <c r="AE1034" s="680"/>
      <c r="AF1034" s="680"/>
      <c r="AG1034" s="680"/>
      <c r="AH1034" s="680"/>
      <c r="AI1034" s="680"/>
      <c r="AJ1034" s="680"/>
      <c r="AK1034" s="680"/>
      <c r="AL1034" s="680"/>
      <c r="AM1034" s="680"/>
      <c r="AN1034" s="680"/>
      <c r="AO1034" s="680"/>
      <c r="AP1034" s="680"/>
      <c r="AQ1034" s="680"/>
      <c r="AR1034" s="680"/>
      <c r="AS1034" s="680"/>
      <c r="AT1034" s="680"/>
      <c r="AU1034" s="680"/>
      <c r="AV1034" s="680"/>
      <c r="AW1034" s="680"/>
      <c r="AX1034" s="680"/>
      <c r="AY1034" s="680"/>
      <c r="AZ1034" s="680"/>
      <c r="BA1034" s="680"/>
      <c r="BB1034" s="680"/>
      <c r="BC1034" s="680"/>
      <c r="BD1034" s="680"/>
      <c r="BE1034" s="680"/>
      <c r="BF1034" s="680"/>
      <c r="BG1034" s="680"/>
      <c r="BH1034" s="680"/>
      <c r="BI1034" s="680"/>
      <c r="BJ1034" s="680"/>
      <c r="BK1034" s="680"/>
      <c r="BL1034" s="680"/>
      <c r="BM1034" s="680"/>
      <c r="BN1034" s="680"/>
      <c r="BO1034" s="680"/>
      <c r="BP1034" s="680"/>
      <c r="BQ1034" s="680"/>
      <c r="BR1034" s="680"/>
      <c r="BS1034" s="680"/>
      <c r="BT1034" s="680"/>
      <c r="BU1034" s="680"/>
      <c r="BV1034" s="680"/>
      <c r="BW1034" s="680"/>
      <c r="BX1034" s="680"/>
      <c r="BY1034" s="680"/>
      <c r="BZ1034" s="680"/>
      <c r="CA1034" s="680"/>
    </row>
    <row r="1035" spans="1:79" s="757" customFormat="1" hidden="1" outlineLevel="1" x14ac:dyDescent="0.35">
      <c r="A1035" s="224"/>
      <c r="B1035" s="224"/>
      <c r="C1035" s="224"/>
      <c r="D1035" s="224"/>
      <c r="E1035" s="224"/>
      <c r="F1035" s="671" t="s">
        <v>869</v>
      </c>
      <c r="G1035" s="680"/>
      <c r="H1035" s="680"/>
      <c r="I1035" s="680"/>
      <c r="J1035" s="680"/>
      <c r="K1035" s="680"/>
      <c r="L1035" s="680"/>
      <c r="M1035" s="680"/>
      <c r="N1035" s="680"/>
      <c r="O1035" s="680"/>
      <c r="P1035" s="680"/>
      <c r="Q1035" s="680"/>
      <c r="R1035" s="680"/>
      <c r="S1035" s="679">
        <v>0</v>
      </c>
      <c r="T1035" s="679">
        <v>0</v>
      </c>
      <c r="U1035" s="679">
        <v>0</v>
      </c>
      <c r="V1035" s="679">
        <v>0</v>
      </c>
      <c r="W1035" s="679">
        <v>0</v>
      </c>
      <c r="X1035" s="679">
        <v>0</v>
      </c>
      <c r="Y1035" s="679">
        <v>0</v>
      </c>
      <c r="Z1035" s="679">
        <v>0</v>
      </c>
      <c r="AA1035" s="679">
        <v>0</v>
      </c>
      <c r="AB1035" s="679">
        <v>0</v>
      </c>
      <c r="AC1035" s="679">
        <v>0</v>
      </c>
      <c r="AD1035" s="679">
        <v>0</v>
      </c>
      <c r="AE1035" s="680"/>
      <c r="AF1035" s="680"/>
      <c r="AG1035" s="680"/>
      <c r="AH1035" s="680"/>
      <c r="AI1035" s="680"/>
      <c r="AJ1035" s="680"/>
      <c r="AK1035" s="680"/>
      <c r="AL1035" s="680"/>
      <c r="AM1035" s="680"/>
      <c r="AN1035" s="680"/>
      <c r="AO1035" s="680"/>
      <c r="AP1035" s="680"/>
      <c r="AQ1035" s="680"/>
      <c r="AR1035" s="680"/>
      <c r="AS1035" s="680"/>
      <c r="AT1035" s="680"/>
      <c r="AU1035" s="680"/>
      <c r="AV1035" s="680"/>
      <c r="AW1035" s="680"/>
      <c r="AX1035" s="680"/>
      <c r="AY1035" s="680"/>
      <c r="AZ1035" s="680"/>
      <c r="BA1035" s="680"/>
      <c r="BB1035" s="680"/>
      <c r="BC1035" s="680"/>
      <c r="BD1035" s="680"/>
      <c r="BE1035" s="680"/>
      <c r="BF1035" s="680"/>
      <c r="BG1035" s="680"/>
      <c r="BH1035" s="680"/>
      <c r="BI1035" s="680"/>
      <c r="BJ1035" s="680"/>
      <c r="BK1035" s="680"/>
      <c r="BL1035" s="680"/>
      <c r="BM1035" s="680"/>
      <c r="BN1035" s="680"/>
      <c r="BO1035" s="680"/>
      <c r="BP1035" s="680"/>
      <c r="BQ1035" s="680"/>
      <c r="BR1035" s="680"/>
      <c r="BS1035" s="680"/>
      <c r="BT1035" s="680"/>
      <c r="BU1035" s="680"/>
      <c r="BV1035" s="680"/>
      <c r="BW1035" s="680"/>
      <c r="BX1035" s="680"/>
      <c r="BY1035" s="680"/>
      <c r="BZ1035" s="680"/>
      <c r="CA1035" s="680"/>
    </row>
    <row r="1036" spans="1:79" s="757" customFormat="1" hidden="1" outlineLevel="1" x14ac:dyDescent="0.35">
      <c r="A1036" s="709"/>
      <c r="B1036" s="709"/>
      <c r="C1036" s="709"/>
      <c r="D1036" s="709"/>
      <c r="E1036" s="709"/>
      <c r="F1036" s="707" t="s">
        <v>870</v>
      </c>
      <c r="G1036" s="763"/>
      <c r="H1036" s="763"/>
      <c r="I1036" s="763"/>
      <c r="J1036" s="763"/>
      <c r="K1036" s="763"/>
      <c r="L1036" s="763"/>
      <c r="M1036" s="763"/>
      <c r="N1036" s="763"/>
      <c r="O1036" s="763"/>
      <c r="P1036" s="763"/>
      <c r="Q1036" s="763"/>
      <c r="R1036" s="763"/>
      <c r="S1036" s="708"/>
      <c r="T1036" s="708"/>
      <c r="U1036" s="708"/>
      <c r="V1036" s="708"/>
      <c r="W1036" s="708"/>
      <c r="X1036" s="708"/>
      <c r="Y1036" s="708"/>
      <c r="Z1036" s="708"/>
      <c r="AA1036" s="708"/>
      <c r="AB1036" s="708"/>
      <c r="AC1036" s="708"/>
      <c r="AD1036" s="708"/>
      <c r="AE1036" s="763"/>
      <c r="AF1036" s="763"/>
      <c r="AG1036" s="763"/>
      <c r="AH1036" s="763"/>
      <c r="AI1036" s="763"/>
      <c r="AJ1036" s="763"/>
      <c r="AK1036" s="763"/>
      <c r="AL1036" s="763"/>
      <c r="AM1036" s="763"/>
      <c r="AN1036" s="763"/>
      <c r="AO1036" s="763"/>
      <c r="AP1036" s="763"/>
      <c r="AQ1036" s="763"/>
      <c r="AR1036" s="763"/>
      <c r="AS1036" s="763"/>
      <c r="AT1036" s="763"/>
      <c r="AU1036" s="763"/>
      <c r="AV1036" s="763"/>
      <c r="AW1036" s="763"/>
      <c r="AX1036" s="763"/>
      <c r="AY1036" s="763"/>
      <c r="AZ1036" s="763"/>
      <c r="BA1036" s="763"/>
      <c r="BB1036" s="763"/>
      <c r="BC1036" s="763"/>
      <c r="BD1036" s="763"/>
      <c r="BE1036" s="763"/>
      <c r="BF1036" s="763"/>
      <c r="BG1036" s="763"/>
      <c r="BH1036" s="763"/>
      <c r="BI1036" s="763"/>
      <c r="BJ1036" s="763"/>
      <c r="BK1036" s="763"/>
      <c r="BL1036" s="763"/>
      <c r="BM1036" s="763"/>
      <c r="BN1036" s="763"/>
      <c r="BO1036" s="763"/>
      <c r="BP1036" s="763"/>
      <c r="BQ1036" s="763"/>
      <c r="BR1036" s="763"/>
      <c r="BS1036" s="763"/>
      <c r="BT1036" s="763"/>
      <c r="BU1036" s="763"/>
      <c r="BV1036" s="763"/>
      <c r="BW1036" s="763"/>
      <c r="BX1036" s="763"/>
      <c r="BY1036" s="763"/>
      <c r="BZ1036" s="763"/>
      <c r="CA1036" s="763"/>
    </row>
    <row r="1037" spans="1:79" s="757" customFormat="1" hidden="1" outlineLevel="1" x14ac:dyDescent="0.35">
      <c r="A1037" s="224"/>
      <c r="B1037" s="224"/>
      <c r="C1037" s="224"/>
      <c r="D1037" s="224"/>
      <c r="E1037" s="224"/>
      <c r="F1037" s="672" t="s">
        <v>871</v>
      </c>
      <c r="G1037" s="680"/>
      <c r="H1037" s="680"/>
      <c r="I1037" s="680"/>
      <c r="J1037" s="680"/>
      <c r="K1037" s="680"/>
      <c r="L1037" s="680"/>
      <c r="M1037" s="680"/>
      <c r="N1037" s="680"/>
      <c r="O1037" s="680"/>
      <c r="P1037" s="680"/>
      <c r="Q1037" s="680"/>
      <c r="R1037" s="680"/>
      <c r="S1037" s="679">
        <v>0</v>
      </c>
      <c r="T1037" s="679">
        <v>0</v>
      </c>
      <c r="U1037" s="679">
        <v>0</v>
      </c>
      <c r="V1037" s="679">
        <v>0</v>
      </c>
      <c r="W1037" s="679">
        <v>0</v>
      </c>
      <c r="X1037" s="679">
        <v>0</v>
      </c>
      <c r="Y1037" s="679">
        <v>0</v>
      </c>
      <c r="Z1037" s="679">
        <v>0</v>
      </c>
      <c r="AA1037" s="679">
        <v>0</v>
      </c>
      <c r="AB1037" s="679">
        <v>0</v>
      </c>
      <c r="AC1037" s="679">
        <v>0</v>
      </c>
      <c r="AD1037" s="679">
        <v>0</v>
      </c>
      <c r="AE1037" s="680"/>
      <c r="AF1037" s="680"/>
      <c r="AG1037" s="680"/>
      <c r="AH1037" s="680"/>
      <c r="AI1037" s="680"/>
      <c r="AJ1037" s="680"/>
      <c r="AK1037" s="680"/>
      <c r="AL1037" s="680"/>
      <c r="AM1037" s="680"/>
      <c r="AN1037" s="680"/>
      <c r="AO1037" s="680"/>
      <c r="AP1037" s="680"/>
      <c r="AQ1037" s="680"/>
      <c r="AR1037" s="680"/>
      <c r="AS1037" s="680"/>
      <c r="AT1037" s="680"/>
      <c r="AU1037" s="680"/>
      <c r="AV1037" s="680"/>
      <c r="AW1037" s="680"/>
      <c r="AX1037" s="680"/>
      <c r="AY1037" s="680"/>
      <c r="AZ1037" s="680"/>
      <c r="BA1037" s="680"/>
      <c r="BB1037" s="680"/>
      <c r="BC1037" s="680"/>
      <c r="BD1037" s="680"/>
      <c r="BE1037" s="680"/>
      <c r="BF1037" s="680"/>
      <c r="BG1037" s="680"/>
      <c r="BH1037" s="680"/>
      <c r="BI1037" s="680"/>
      <c r="BJ1037" s="680"/>
      <c r="BK1037" s="680"/>
      <c r="BL1037" s="680"/>
      <c r="BM1037" s="680"/>
      <c r="BN1037" s="680"/>
      <c r="BO1037" s="680"/>
      <c r="BP1037" s="680"/>
      <c r="BQ1037" s="680"/>
      <c r="BR1037" s="680"/>
      <c r="BS1037" s="680"/>
      <c r="BT1037" s="680"/>
      <c r="BU1037" s="680"/>
      <c r="BV1037" s="680"/>
      <c r="BW1037" s="680"/>
      <c r="BX1037" s="680"/>
      <c r="BY1037" s="680"/>
      <c r="BZ1037" s="680"/>
      <c r="CA1037" s="680"/>
    </row>
    <row r="1038" spans="1:79" s="757" customFormat="1" hidden="1" outlineLevel="1" x14ac:dyDescent="0.35">
      <c r="A1038" s="224"/>
      <c r="B1038" s="224"/>
      <c r="C1038" s="224"/>
      <c r="D1038" s="224"/>
      <c r="E1038" s="224"/>
      <c r="F1038" s="672" t="s">
        <v>872</v>
      </c>
      <c r="G1038" s="680"/>
      <c r="H1038" s="680"/>
      <c r="I1038" s="680"/>
      <c r="J1038" s="680"/>
      <c r="K1038" s="680"/>
      <c r="L1038" s="680"/>
      <c r="M1038" s="680"/>
      <c r="N1038" s="680"/>
      <c r="O1038" s="680"/>
      <c r="P1038" s="680"/>
      <c r="Q1038" s="680"/>
      <c r="R1038" s="680"/>
      <c r="S1038" s="679">
        <v>0</v>
      </c>
      <c r="T1038" s="679">
        <v>0</v>
      </c>
      <c r="U1038" s="679">
        <v>0</v>
      </c>
      <c r="V1038" s="679">
        <v>0</v>
      </c>
      <c r="W1038" s="679">
        <v>0</v>
      </c>
      <c r="X1038" s="679">
        <v>0</v>
      </c>
      <c r="Y1038" s="679">
        <v>0</v>
      </c>
      <c r="Z1038" s="679">
        <v>0</v>
      </c>
      <c r="AA1038" s="679">
        <v>0</v>
      </c>
      <c r="AB1038" s="679">
        <v>0</v>
      </c>
      <c r="AC1038" s="679">
        <v>0</v>
      </c>
      <c r="AD1038" s="679">
        <v>0</v>
      </c>
      <c r="AE1038" s="680"/>
      <c r="AF1038" s="680"/>
      <c r="AG1038" s="680"/>
      <c r="AH1038" s="680"/>
      <c r="AI1038" s="680"/>
      <c r="AJ1038" s="680"/>
      <c r="AK1038" s="680"/>
      <c r="AL1038" s="680"/>
      <c r="AM1038" s="680"/>
      <c r="AN1038" s="680"/>
      <c r="AO1038" s="680"/>
      <c r="AP1038" s="680"/>
      <c r="AQ1038" s="680"/>
      <c r="AR1038" s="680"/>
      <c r="AS1038" s="680"/>
      <c r="AT1038" s="680"/>
      <c r="AU1038" s="680"/>
      <c r="AV1038" s="680"/>
      <c r="AW1038" s="680"/>
      <c r="AX1038" s="680"/>
      <c r="AY1038" s="680"/>
      <c r="AZ1038" s="680"/>
      <c r="BA1038" s="680"/>
      <c r="BB1038" s="680"/>
      <c r="BC1038" s="680"/>
      <c r="BD1038" s="680"/>
      <c r="BE1038" s="680"/>
      <c r="BF1038" s="680"/>
      <c r="BG1038" s="680"/>
      <c r="BH1038" s="680"/>
      <c r="BI1038" s="680"/>
      <c r="BJ1038" s="680"/>
      <c r="BK1038" s="680"/>
      <c r="BL1038" s="680"/>
      <c r="BM1038" s="680"/>
      <c r="BN1038" s="680"/>
      <c r="BO1038" s="680"/>
      <c r="BP1038" s="680"/>
      <c r="BQ1038" s="680"/>
      <c r="BR1038" s="680"/>
      <c r="BS1038" s="680"/>
      <c r="BT1038" s="680"/>
      <c r="BU1038" s="680"/>
      <c r="BV1038" s="680"/>
      <c r="BW1038" s="680"/>
      <c r="BX1038" s="680"/>
      <c r="BY1038" s="680"/>
      <c r="BZ1038" s="680"/>
      <c r="CA1038" s="680"/>
    </row>
    <row r="1039" spans="1:79" s="309" customFormat="1" hidden="1" outlineLevel="1" x14ac:dyDescent="0.35">
      <c r="A1039" s="224"/>
      <c r="B1039" s="224"/>
      <c r="C1039" s="224"/>
      <c r="D1039" s="224"/>
      <c r="E1039" s="224"/>
      <c r="F1039" s="673" t="s">
        <v>873</v>
      </c>
      <c r="G1039" s="680">
        <f>SUM(G1037:G1038)</f>
        <v>0</v>
      </c>
      <c r="H1039" s="680">
        <f t="shared" ref="H1039:BO1039" si="402">SUM(H1037:H1038)</f>
        <v>0</v>
      </c>
      <c r="I1039" s="680">
        <f t="shared" si="402"/>
        <v>0</v>
      </c>
      <c r="J1039" s="680">
        <f t="shared" si="402"/>
        <v>0</v>
      </c>
      <c r="K1039" s="680">
        <f t="shared" si="402"/>
        <v>0</v>
      </c>
      <c r="L1039" s="680">
        <f t="shared" si="402"/>
        <v>0</v>
      </c>
      <c r="M1039" s="680">
        <f t="shared" si="402"/>
        <v>0</v>
      </c>
      <c r="N1039" s="680">
        <f t="shared" si="402"/>
        <v>0</v>
      </c>
      <c r="O1039" s="680">
        <f t="shared" si="402"/>
        <v>0</v>
      </c>
      <c r="P1039" s="680">
        <f t="shared" si="402"/>
        <v>0</v>
      </c>
      <c r="Q1039" s="680">
        <f t="shared" si="402"/>
        <v>0</v>
      </c>
      <c r="R1039" s="680">
        <f t="shared" si="402"/>
        <v>0</v>
      </c>
      <c r="S1039" s="680">
        <f t="shared" ref="S1039:AA1039" si="403">ROUND(SUM(S1036:S1038),5)</f>
        <v>0</v>
      </c>
      <c r="T1039" s="680">
        <f t="shared" si="403"/>
        <v>0</v>
      </c>
      <c r="U1039" s="680">
        <f t="shared" si="403"/>
        <v>0</v>
      </c>
      <c r="V1039" s="680">
        <f t="shared" si="403"/>
        <v>0</v>
      </c>
      <c r="W1039" s="680">
        <f t="shared" si="403"/>
        <v>0</v>
      </c>
      <c r="X1039" s="680">
        <f t="shared" si="403"/>
        <v>0</v>
      </c>
      <c r="Y1039" s="680">
        <f t="shared" si="403"/>
        <v>0</v>
      </c>
      <c r="Z1039" s="680">
        <f t="shared" si="403"/>
        <v>0</v>
      </c>
      <c r="AA1039" s="680">
        <f t="shared" si="403"/>
        <v>0</v>
      </c>
      <c r="AB1039" s="680">
        <f>ROUND(SUM(AB1036:AB1038),5)</f>
        <v>0</v>
      </c>
      <c r="AC1039" s="680">
        <f>ROUND(SUM(AC1036:AC1038),5)</f>
        <v>0</v>
      </c>
      <c r="AD1039" s="680">
        <f>ROUND(SUM(AD1036:AD1038),5)</f>
        <v>0</v>
      </c>
      <c r="AE1039" s="680">
        <f t="shared" si="402"/>
        <v>0</v>
      </c>
      <c r="AF1039" s="680">
        <f t="shared" si="402"/>
        <v>0</v>
      </c>
      <c r="AG1039" s="680">
        <f t="shared" si="402"/>
        <v>0</v>
      </c>
      <c r="AH1039" s="680">
        <f t="shared" si="402"/>
        <v>0</v>
      </c>
      <c r="AI1039" s="680">
        <f t="shared" si="402"/>
        <v>0</v>
      </c>
      <c r="AJ1039" s="680">
        <f t="shared" si="402"/>
        <v>0</v>
      </c>
      <c r="AK1039" s="680">
        <f t="shared" si="402"/>
        <v>0</v>
      </c>
      <c r="AL1039" s="680">
        <f t="shared" si="402"/>
        <v>0</v>
      </c>
      <c r="AM1039" s="680">
        <f t="shared" si="402"/>
        <v>0</v>
      </c>
      <c r="AN1039" s="680">
        <f t="shared" si="402"/>
        <v>0</v>
      </c>
      <c r="AO1039" s="680">
        <f t="shared" si="402"/>
        <v>0</v>
      </c>
      <c r="AP1039" s="680">
        <f t="shared" si="402"/>
        <v>0</v>
      </c>
      <c r="AQ1039" s="680">
        <f t="shared" si="402"/>
        <v>0</v>
      </c>
      <c r="AR1039" s="680">
        <f t="shared" si="402"/>
        <v>0</v>
      </c>
      <c r="AS1039" s="680">
        <f t="shared" si="402"/>
        <v>0</v>
      </c>
      <c r="AT1039" s="680">
        <f t="shared" si="402"/>
        <v>0</v>
      </c>
      <c r="AU1039" s="680">
        <f t="shared" si="402"/>
        <v>0</v>
      </c>
      <c r="AV1039" s="680">
        <f t="shared" si="402"/>
        <v>0</v>
      </c>
      <c r="AW1039" s="680">
        <f t="shared" si="402"/>
        <v>0</v>
      </c>
      <c r="AX1039" s="680">
        <f t="shared" si="402"/>
        <v>0</v>
      </c>
      <c r="AY1039" s="680">
        <f t="shared" si="402"/>
        <v>0</v>
      </c>
      <c r="AZ1039" s="680">
        <f t="shared" si="402"/>
        <v>0</v>
      </c>
      <c r="BA1039" s="680">
        <f t="shared" si="402"/>
        <v>0</v>
      </c>
      <c r="BB1039" s="680">
        <f t="shared" si="402"/>
        <v>0</v>
      </c>
      <c r="BC1039" s="680">
        <f t="shared" si="402"/>
        <v>0</v>
      </c>
      <c r="BD1039" s="680">
        <f t="shared" si="402"/>
        <v>0</v>
      </c>
      <c r="BE1039" s="680">
        <f t="shared" si="402"/>
        <v>0</v>
      </c>
      <c r="BF1039" s="680">
        <f t="shared" si="402"/>
        <v>0</v>
      </c>
      <c r="BG1039" s="680">
        <f t="shared" si="402"/>
        <v>0</v>
      </c>
      <c r="BH1039" s="680">
        <f t="shared" si="402"/>
        <v>0</v>
      </c>
      <c r="BI1039" s="680">
        <f t="shared" si="402"/>
        <v>0</v>
      </c>
      <c r="BJ1039" s="680">
        <f t="shared" si="402"/>
        <v>0</v>
      </c>
      <c r="BK1039" s="680">
        <f t="shared" si="402"/>
        <v>0</v>
      </c>
      <c r="BL1039" s="680">
        <f t="shared" si="402"/>
        <v>0</v>
      </c>
      <c r="BM1039" s="680">
        <f t="shared" si="402"/>
        <v>0</v>
      </c>
      <c r="BN1039" s="680">
        <f t="shared" si="402"/>
        <v>0</v>
      </c>
      <c r="BO1039" s="680">
        <f t="shared" si="402"/>
        <v>0</v>
      </c>
      <c r="BP1039" s="680">
        <f t="shared" ref="BP1039:CA1039" si="404">SUM(BP1037:BP1038)</f>
        <v>0</v>
      </c>
      <c r="BQ1039" s="680">
        <f t="shared" si="404"/>
        <v>0</v>
      </c>
      <c r="BR1039" s="680">
        <f t="shared" si="404"/>
        <v>0</v>
      </c>
      <c r="BS1039" s="680">
        <f t="shared" si="404"/>
        <v>0</v>
      </c>
      <c r="BT1039" s="680">
        <f t="shared" si="404"/>
        <v>0</v>
      </c>
      <c r="BU1039" s="680">
        <f t="shared" si="404"/>
        <v>0</v>
      </c>
      <c r="BV1039" s="680">
        <f t="shared" si="404"/>
        <v>0</v>
      </c>
      <c r="BW1039" s="680">
        <f t="shared" si="404"/>
        <v>0</v>
      </c>
      <c r="BX1039" s="680">
        <f t="shared" si="404"/>
        <v>0</v>
      </c>
      <c r="BY1039" s="680">
        <f t="shared" si="404"/>
        <v>0</v>
      </c>
      <c r="BZ1039" s="680">
        <f t="shared" si="404"/>
        <v>0</v>
      </c>
      <c r="CA1039" s="680">
        <f t="shared" si="404"/>
        <v>0</v>
      </c>
    </row>
    <row r="1040" spans="1:79" s="309" customFormat="1" hidden="1" outlineLevel="1" x14ac:dyDescent="0.35">
      <c r="A1040" s="709"/>
      <c r="B1040" s="709"/>
      <c r="C1040" s="709"/>
      <c r="D1040" s="709"/>
      <c r="E1040" s="709"/>
      <c r="F1040" s="710" t="s">
        <v>650</v>
      </c>
      <c r="G1040" s="763"/>
      <c r="H1040" s="763"/>
      <c r="I1040" s="763"/>
      <c r="J1040" s="763"/>
      <c r="K1040" s="763"/>
      <c r="L1040" s="763"/>
      <c r="M1040" s="763"/>
      <c r="N1040" s="763"/>
      <c r="O1040" s="763"/>
      <c r="P1040" s="763"/>
      <c r="Q1040" s="763"/>
      <c r="R1040" s="763"/>
      <c r="S1040" s="708"/>
      <c r="T1040" s="708"/>
      <c r="U1040" s="708"/>
      <c r="V1040" s="708"/>
      <c r="W1040" s="708"/>
      <c r="X1040" s="708"/>
      <c r="Y1040" s="708"/>
      <c r="Z1040" s="708"/>
      <c r="AA1040" s="708"/>
      <c r="AB1040" s="708"/>
      <c r="AC1040" s="708"/>
      <c r="AD1040" s="708"/>
      <c r="AE1040" s="763"/>
      <c r="AF1040" s="763"/>
      <c r="AG1040" s="763"/>
      <c r="AH1040" s="763"/>
      <c r="AI1040" s="763"/>
      <c r="AJ1040" s="763"/>
      <c r="AK1040" s="763"/>
      <c r="AL1040" s="763"/>
      <c r="AM1040" s="763"/>
      <c r="AN1040" s="763"/>
      <c r="AO1040" s="763"/>
      <c r="AP1040" s="763"/>
      <c r="AQ1040" s="763"/>
      <c r="AR1040" s="763"/>
      <c r="AS1040" s="763"/>
      <c r="AT1040" s="763"/>
      <c r="AU1040" s="763"/>
      <c r="AV1040" s="763"/>
      <c r="AW1040" s="763"/>
      <c r="AX1040" s="763"/>
      <c r="AY1040" s="763"/>
      <c r="AZ1040" s="763"/>
      <c r="BA1040" s="763"/>
      <c r="BB1040" s="763"/>
      <c r="BC1040" s="763"/>
      <c r="BD1040" s="763"/>
      <c r="BE1040" s="763"/>
      <c r="BF1040" s="763"/>
      <c r="BG1040" s="763"/>
      <c r="BH1040" s="763"/>
      <c r="BI1040" s="763"/>
      <c r="BJ1040" s="763"/>
      <c r="BK1040" s="763"/>
      <c r="BL1040" s="763"/>
      <c r="BM1040" s="763"/>
      <c r="BN1040" s="763"/>
      <c r="BO1040" s="763"/>
      <c r="BP1040" s="763"/>
      <c r="BQ1040" s="763"/>
      <c r="BR1040" s="763"/>
      <c r="BS1040" s="763"/>
      <c r="BT1040" s="763"/>
      <c r="BU1040" s="763"/>
      <c r="BV1040" s="763"/>
      <c r="BW1040" s="763"/>
      <c r="BX1040" s="763"/>
      <c r="BY1040" s="763"/>
      <c r="BZ1040" s="763"/>
      <c r="CA1040" s="763"/>
    </row>
    <row r="1041" spans="1:79" s="309" customFormat="1" hidden="1" outlineLevel="1" x14ac:dyDescent="0.35">
      <c r="A1041" s="224"/>
      <c r="B1041" s="224"/>
      <c r="C1041" s="224"/>
      <c r="D1041" s="224"/>
      <c r="E1041" s="224"/>
      <c r="F1041" s="672" t="s">
        <v>874</v>
      </c>
      <c r="G1041" s="680"/>
      <c r="H1041" s="680"/>
      <c r="I1041" s="680"/>
      <c r="J1041" s="680"/>
      <c r="K1041" s="680"/>
      <c r="L1041" s="680"/>
      <c r="M1041" s="680"/>
      <c r="N1041" s="680"/>
      <c r="O1041" s="680"/>
      <c r="P1041" s="680"/>
      <c r="Q1041" s="680"/>
      <c r="R1041" s="680"/>
      <c r="S1041" s="679">
        <v>0</v>
      </c>
      <c r="T1041" s="679">
        <v>0</v>
      </c>
      <c r="U1041" s="679">
        <v>0</v>
      </c>
      <c r="V1041" s="679">
        <v>0</v>
      </c>
      <c r="W1041" s="679">
        <v>0</v>
      </c>
      <c r="X1041" s="679">
        <v>0</v>
      </c>
      <c r="Y1041" s="679">
        <v>0</v>
      </c>
      <c r="Z1041" s="679">
        <v>0</v>
      </c>
      <c r="AA1041" s="679">
        <v>0</v>
      </c>
      <c r="AB1041" s="679">
        <v>0</v>
      </c>
      <c r="AC1041" s="679">
        <v>0</v>
      </c>
      <c r="AD1041" s="679">
        <v>0</v>
      </c>
      <c r="AE1041" s="680"/>
      <c r="AF1041" s="680"/>
      <c r="AG1041" s="680"/>
      <c r="AH1041" s="680"/>
      <c r="AI1041" s="680"/>
      <c r="AJ1041" s="680"/>
      <c r="AK1041" s="680"/>
      <c r="AL1041" s="680"/>
      <c r="AM1041" s="680"/>
      <c r="AN1041" s="680"/>
      <c r="AO1041" s="680"/>
      <c r="AP1041" s="680"/>
      <c r="AQ1041" s="680"/>
      <c r="AR1041" s="680"/>
      <c r="AS1041" s="680"/>
      <c r="AT1041" s="680"/>
      <c r="AU1041" s="680"/>
      <c r="AV1041" s="680"/>
      <c r="AW1041" s="680"/>
      <c r="AX1041" s="680"/>
      <c r="AY1041" s="680"/>
      <c r="AZ1041" s="680"/>
      <c r="BA1041" s="680"/>
      <c r="BB1041" s="680"/>
      <c r="BC1041" s="680"/>
      <c r="BD1041" s="680"/>
      <c r="BE1041" s="680"/>
      <c r="BF1041" s="680"/>
      <c r="BG1041" s="680"/>
      <c r="BH1041" s="680"/>
      <c r="BI1041" s="680"/>
      <c r="BJ1041" s="680"/>
      <c r="BK1041" s="680"/>
      <c r="BL1041" s="680"/>
      <c r="BM1041" s="680"/>
      <c r="BN1041" s="680"/>
      <c r="BO1041" s="680"/>
      <c r="BP1041" s="680"/>
      <c r="BQ1041" s="680"/>
      <c r="BR1041" s="680"/>
      <c r="BS1041" s="680"/>
      <c r="BT1041" s="680"/>
      <c r="BU1041" s="680"/>
      <c r="BV1041" s="680"/>
      <c r="BW1041" s="680"/>
      <c r="BX1041" s="680"/>
      <c r="BY1041" s="680"/>
      <c r="BZ1041" s="680"/>
      <c r="CA1041" s="680"/>
    </row>
    <row r="1042" spans="1:79" s="309" customFormat="1" hidden="1" outlineLevel="1" x14ac:dyDescent="0.35">
      <c r="A1042" s="574"/>
      <c r="B1042" s="574"/>
      <c r="C1042" s="574"/>
      <c r="D1042" s="574"/>
      <c r="E1042" s="574"/>
      <c r="F1042" s="672" t="s">
        <v>875</v>
      </c>
      <c r="G1042" s="739"/>
      <c r="H1042" s="739"/>
      <c r="I1042" s="739"/>
      <c r="J1042" s="739"/>
      <c r="K1042" s="739"/>
      <c r="L1042" s="739"/>
      <c r="M1042" s="739"/>
      <c r="N1042" s="739"/>
      <c r="O1042" s="739"/>
      <c r="P1042" s="734"/>
      <c r="Q1042" s="734"/>
      <c r="R1042" s="734"/>
      <c r="S1042" s="679">
        <v>0</v>
      </c>
      <c r="T1042" s="679">
        <v>0</v>
      </c>
      <c r="U1042" s="679">
        <v>0</v>
      </c>
      <c r="V1042" s="679">
        <v>0</v>
      </c>
      <c r="W1042" s="679">
        <v>0</v>
      </c>
      <c r="X1042" s="679">
        <v>0</v>
      </c>
      <c r="Y1042" s="679">
        <v>0</v>
      </c>
      <c r="Z1042" s="679">
        <v>0</v>
      </c>
      <c r="AA1042" s="679">
        <v>0</v>
      </c>
      <c r="AB1042" s="679">
        <v>0</v>
      </c>
      <c r="AC1042" s="679">
        <v>0</v>
      </c>
      <c r="AD1042" s="679">
        <v>0</v>
      </c>
      <c r="AE1042" s="732"/>
      <c r="AF1042" s="732"/>
      <c r="AG1042" s="732"/>
      <c r="AH1042" s="732"/>
      <c r="AI1042" s="732"/>
      <c r="AJ1042" s="732"/>
      <c r="AK1042" s="732"/>
      <c r="AL1042" s="732"/>
      <c r="AM1042" s="732"/>
      <c r="AN1042" s="732"/>
      <c r="AO1042" s="732"/>
      <c r="AP1042" s="732"/>
      <c r="AQ1042" s="732"/>
      <c r="AR1042" s="732"/>
      <c r="AS1042" s="732"/>
      <c r="AT1042" s="732"/>
      <c r="AU1042" s="732"/>
      <c r="AV1042" s="732"/>
      <c r="AW1042" s="732"/>
      <c r="AX1042" s="732"/>
      <c r="AY1042" s="732"/>
      <c r="AZ1042" s="732"/>
      <c r="BA1042" s="732"/>
      <c r="BB1042" s="732"/>
      <c r="BC1042" s="732"/>
      <c r="BD1042" s="732"/>
      <c r="BE1042" s="732"/>
      <c r="BF1042" s="732"/>
      <c r="BG1042" s="732"/>
      <c r="BH1042" s="732"/>
      <c r="BI1042" s="732"/>
      <c r="BJ1042" s="732"/>
      <c r="BK1042" s="732"/>
      <c r="BL1042" s="732"/>
      <c r="BM1042" s="732"/>
      <c r="BN1042" s="732"/>
      <c r="BO1042" s="732"/>
      <c r="BP1042" s="732"/>
      <c r="BQ1042" s="732"/>
      <c r="BR1042" s="732"/>
      <c r="BS1042" s="732"/>
      <c r="BT1042" s="732"/>
      <c r="BU1042" s="732"/>
      <c r="BV1042" s="732"/>
      <c r="BW1042" s="732"/>
      <c r="BX1042" s="732"/>
      <c r="BY1042" s="732"/>
      <c r="BZ1042" s="732"/>
      <c r="CA1042" s="732"/>
    </row>
    <row r="1043" spans="1:79" s="309" customFormat="1" hidden="1" outlineLevel="1" x14ac:dyDescent="0.35">
      <c r="A1043" s="574"/>
      <c r="B1043" s="574"/>
      <c r="C1043" s="574"/>
      <c r="D1043" s="574"/>
      <c r="E1043" s="574"/>
      <c r="F1043" s="673" t="s">
        <v>876</v>
      </c>
      <c r="G1043" s="680">
        <f>SUM(G1041:G1042)</f>
        <v>0</v>
      </c>
      <c r="H1043" s="680">
        <f t="shared" ref="H1043:BO1043" si="405">SUM(H1041:H1042)</f>
        <v>0</v>
      </c>
      <c r="I1043" s="680">
        <f t="shared" si="405"/>
        <v>0</v>
      </c>
      <c r="J1043" s="680">
        <f t="shared" si="405"/>
        <v>0</v>
      </c>
      <c r="K1043" s="680">
        <f t="shared" si="405"/>
        <v>0</v>
      </c>
      <c r="L1043" s="680">
        <f t="shared" si="405"/>
        <v>0</v>
      </c>
      <c r="M1043" s="680">
        <f t="shared" si="405"/>
        <v>0</v>
      </c>
      <c r="N1043" s="680">
        <f t="shared" si="405"/>
        <v>0</v>
      </c>
      <c r="O1043" s="680">
        <f t="shared" si="405"/>
        <v>0</v>
      </c>
      <c r="P1043" s="680">
        <f t="shared" si="405"/>
        <v>0</v>
      </c>
      <c r="Q1043" s="680">
        <f t="shared" si="405"/>
        <v>0</v>
      </c>
      <c r="R1043" s="680">
        <f t="shared" si="405"/>
        <v>0</v>
      </c>
      <c r="S1043" s="680">
        <f t="shared" ref="S1043:AA1043" si="406">ROUND(SUM(S1040:S1042),5)</f>
        <v>0</v>
      </c>
      <c r="T1043" s="680">
        <f t="shared" si="406"/>
        <v>0</v>
      </c>
      <c r="U1043" s="680">
        <f t="shared" si="406"/>
        <v>0</v>
      </c>
      <c r="V1043" s="680">
        <f t="shared" si="406"/>
        <v>0</v>
      </c>
      <c r="W1043" s="680">
        <f t="shared" si="406"/>
        <v>0</v>
      </c>
      <c r="X1043" s="680">
        <f t="shared" si="406"/>
        <v>0</v>
      </c>
      <c r="Y1043" s="680">
        <f t="shared" si="406"/>
        <v>0</v>
      </c>
      <c r="Z1043" s="680">
        <f t="shared" si="406"/>
        <v>0</v>
      </c>
      <c r="AA1043" s="680">
        <f t="shared" si="406"/>
        <v>0</v>
      </c>
      <c r="AB1043" s="680">
        <f>ROUND(SUM(AB1040:AB1042),5)</f>
        <v>0</v>
      </c>
      <c r="AC1043" s="680">
        <f>ROUND(SUM(AC1040:AC1042),5)</f>
        <v>0</v>
      </c>
      <c r="AD1043" s="680">
        <f>ROUND(SUM(AD1040:AD1042),5)</f>
        <v>0</v>
      </c>
      <c r="AE1043" s="680">
        <f t="shared" si="405"/>
        <v>0</v>
      </c>
      <c r="AF1043" s="680">
        <f t="shared" si="405"/>
        <v>0</v>
      </c>
      <c r="AG1043" s="680">
        <f t="shared" si="405"/>
        <v>0</v>
      </c>
      <c r="AH1043" s="680">
        <f t="shared" si="405"/>
        <v>0</v>
      </c>
      <c r="AI1043" s="680">
        <f t="shared" si="405"/>
        <v>0</v>
      </c>
      <c r="AJ1043" s="680">
        <f t="shared" si="405"/>
        <v>0</v>
      </c>
      <c r="AK1043" s="680">
        <f t="shared" si="405"/>
        <v>0</v>
      </c>
      <c r="AL1043" s="680">
        <f t="shared" si="405"/>
        <v>0</v>
      </c>
      <c r="AM1043" s="680">
        <f t="shared" si="405"/>
        <v>0</v>
      </c>
      <c r="AN1043" s="680">
        <f t="shared" si="405"/>
        <v>0</v>
      </c>
      <c r="AO1043" s="680">
        <f t="shared" si="405"/>
        <v>0</v>
      </c>
      <c r="AP1043" s="680">
        <f t="shared" si="405"/>
        <v>0</v>
      </c>
      <c r="AQ1043" s="680">
        <f t="shared" si="405"/>
        <v>0</v>
      </c>
      <c r="AR1043" s="680">
        <f t="shared" si="405"/>
        <v>0</v>
      </c>
      <c r="AS1043" s="680">
        <f t="shared" si="405"/>
        <v>0</v>
      </c>
      <c r="AT1043" s="680">
        <f t="shared" si="405"/>
        <v>0</v>
      </c>
      <c r="AU1043" s="680">
        <f t="shared" si="405"/>
        <v>0</v>
      </c>
      <c r="AV1043" s="680">
        <f t="shared" si="405"/>
        <v>0</v>
      </c>
      <c r="AW1043" s="680">
        <f t="shared" si="405"/>
        <v>0</v>
      </c>
      <c r="AX1043" s="680">
        <f t="shared" si="405"/>
        <v>0</v>
      </c>
      <c r="AY1043" s="680">
        <f t="shared" si="405"/>
        <v>0</v>
      </c>
      <c r="AZ1043" s="680">
        <f t="shared" si="405"/>
        <v>0</v>
      </c>
      <c r="BA1043" s="680">
        <f t="shared" si="405"/>
        <v>0</v>
      </c>
      <c r="BB1043" s="680">
        <f t="shared" si="405"/>
        <v>0</v>
      </c>
      <c r="BC1043" s="680">
        <f t="shared" si="405"/>
        <v>0</v>
      </c>
      <c r="BD1043" s="680">
        <f t="shared" si="405"/>
        <v>0</v>
      </c>
      <c r="BE1043" s="680">
        <f t="shared" si="405"/>
        <v>0</v>
      </c>
      <c r="BF1043" s="680">
        <f t="shared" si="405"/>
        <v>0</v>
      </c>
      <c r="BG1043" s="680">
        <f t="shared" si="405"/>
        <v>0</v>
      </c>
      <c r="BH1043" s="680">
        <f t="shared" si="405"/>
        <v>0</v>
      </c>
      <c r="BI1043" s="680">
        <f t="shared" si="405"/>
        <v>0</v>
      </c>
      <c r="BJ1043" s="680">
        <f t="shared" si="405"/>
        <v>0</v>
      </c>
      <c r="BK1043" s="680">
        <f t="shared" si="405"/>
        <v>0</v>
      </c>
      <c r="BL1043" s="680">
        <f t="shared" si="405"/>
        <v>0</v>
      </c>
      <c r="BM1043" s="680">
        <f t="shared" si="405"/>
        <v>0</v>
      </c>
      <c r="BN1043" s="680">
        <f t="shared" si="405"/>
        <v>0</v>
      </c>
      <c r="BO1043" s="680">
        <f t="shared" si="405"/>
        <v>0</v>
      </c>
      <c r="BP1043" s="680">
        <f t="shared" ref="BP1043:CA1043" si="407">SUM(BP1041:BP1042)</f>
        <v>0</v>
      </c>
      <c r="BQ1043" s="680">
        <f t="shared" si="407"/>
        <v>0</v>
      </c>
      <c r="BR1043" s="680">
        <f t="shared" si="407"/>
        <v>0</v>
      </c>
      <c r="BS1043" s="680">
        <f t="shared" si="407"/>
        <v>0</v>
      </c>
      <c r="BT1043" s="680">
        <f t="shared" si="407"/>
        <v>0</v>
      </c>
      <c r="BU1043" s="680">
        <f t="shared" si="407"/>
        <v>0</v>
      </c>
      <c r="BV1043" s="680">
        <f t="shared" si="407"/>
        <v>0</v>
      </c>
      <c r="BW1043" s="680">
        <f t="shared" si="407"/>
        <v>0</v>
      </c>
      <c r="BX1043" s="680">
        <f t="shared" si="407"/>
        <v>0</v>
      </c>
      <c r="BY1043" s="680">
        <f t="shared" si="407"/>
        <v>0</v>
      </c>
      <c r="BZ1043" s="680">
        <f t="shared" si="407"/>
        <v>0</v>
      </c>
      <c r="CA1043" s="680">
        <f t="shared" si="407"/>
        <v>0</v>
      </c>
    </row>
    <row r="1044" spans="1:79" s="309" customFormat="1" hidden="1" outlineLevel="1" x14ac:dyDescent="0.35">
      <c r="A1044" s="574"/>
      <c r="B1044" s="574"/>
      <c r="C1044" s="574"/>
      <c r="D1044" s="574"/>
      <c r="E1044" s="574"/>
      <c r="F1044" s="674" t="s">
        <v>593</v>
      </c>
      <c r="G1044" s="735"/>
      <c r="H1044" s="735"/>
      <c r="I1044" s="735"/>
      <c r="J1044" s="735"/>
      <c r="K1044" s="735"/>
      <c r="L1044" s="735"/>
      <c r="M1044" s="735"/>
      <c r="N1044" s="735"/>
      <c r="O1044" s="735"/>
      <c r="P1044" s="732"/>
      <c r="Q1044" s="732"/>
      <c r="R1044" s="732"/>
      <c r="S1044" s="683">
        <v>0</v>
      </c>
      <c r="T1044" s="683">
        <v>0</v>
      </c>
      <c r="U1044" s="683">
        <v>0</v>
      </c>
      <c r="V1044" s="683">
        <v>0</v>
      </c>
      <c r="W1044" s="683">
        <v>0</v>
      </c>
      <c r="X1044" s="683">
        <v>0</v>
      </c>
      <c r="Y1044" s="683">
        <v>0</v>
      </c>
      <c r="Z1044" s="683">
        <v>0</v>
      </c>
      <c r="AA1044" s="683">
        <v>0</v>
      </c>
      <c r="AB1044" s="683">
        <v>0</v>
      </c>
      <c r="AC1044" s="683">
        <v>0</v>
      </c>
      <c r="AD1044" s="683">
        <v>0</v>
      </c>
      <c r="AE1044" s="732"/>
      <c r="AF1044" s="732"/>
      <c r="AG1044" s="732"/>
      <c r="AH1044" s="732"/>
      <c r="AI1044" s="732"/>
      <c r="AJ1044" s="732"/>
      <c r="AK1044" s="732"/>
      <c r="AL1044" s="732"/>
      <c r="AM1044" s="732"/>
      <c r="AN1044" s="732"/>
      <c r="AO1044" s="732"/>
      <c r="AP1044" s="732"/>
      <c r="AQ1044" s="732"/>
      <c r="AR1044" s="732"/>
      <c r="AS1044" s="732"/>
      <c r="AT1044" s="732"/>
      <c r="AU1044" s="732"/>
      <c r="AV1044" s="732"/>
      <c r="AW1044" s="732"/>
      <c r="AX1044" s="732"/>
      <c r="AY1044" s="732"/>
      <c r="AZ1044" s="732"/>
      <c r="BA1044" s="732"/>
      <c r="BB1044" s="732"/>
      <c r="BC1044" s="732"/>
      <c r="BD1044" s="732"/>
      <c r="BE1044" s="732"/>
      <c r="BF1044" s="732"/>
      <c r="BG1044" s="732"/>
      <c r="BH1044" s="732"/>
      <c r="BI1044" s="732"/>
      <c r="BJ1044" s="732"/>
      <c r="BK1044" s="732"/>
      <c r="BL1044" s="732"/>
      <c r="BM1044" s="732"/>
      <c r="BN1044" s="732"/>
      <c r="BO1044" s="732"/>
      <c r="BP1044" s="732"/>
      <c r="BQ1044" s="732"/>
      <c r="BR1044" s="732"/>
      <c r="BS1044" s="732"/>
      <c r="BT1044" s="732"/>
      <c r="BU1044" s="732"/>
      <c r="BV1044" s="732"/>
      <c r="BW1044" s="732"/>
      <c r="BX1044" s="732"/>
      <c r="BY1044" s="732"/>
      <c r="BZ1044" s="732"/>
      <c r="CA1044" s="732"/>
    </row>
    <row r="1045" spans="1:79" s="309" customFormat="1" hidden="1" outlineLevel="1" x14ac:dyDescent="0.35">
      <c r="A1045" s="574"/>
      <c r="B1045" s="574"/>
      <c r="C1045" s="574"/>
      <c r="D1045" s="574"/>
      <c r="E1045" s="574"/>
      <c r="F1045" s="671" t="s">
        <v>877</v>
      </c>
      <c r="G1045" s="735"/>
      <c r="H1045" s="735"/>
      <c r="I1045" s="735"/>
      <c r="J1045" s="735"/>
      <c r="K1045" s="735"/>
      <c r="L1045" s="735"/>
      <c r="M1045" s="735"/>
      <c r="N1045" s="735"/>
      <c r="O1045" s="735"/>
      <c r="P1045" s="732"/>
      <c r="Q1045" s="732"/>
      <c r="R1045" s="732"/>
      <c r="S1045" s="683">
        <v>0</v>
      </c>
      <c r="T1045" s="683">
        <v>0</v>
      </c>
      <c r="U1045" s="683">
        <v>0</v>
      </c>
      <c r="V1045" s="683">
        <v>0</v>
      </c>
      <c r="W1045" s="683">
        <v>0</v>
      </c>
      <c r="X1045" s="683">
        <v>0</v>
      </c>
      <c r="Y1045" s="683">
        <v>0</v>
      </c>
      <c r="Z1045" s="683">
        <v>0</v>
      </c>
      <c r="AA1045" s="683">
        <v>0</v>
      </c>
      <c r="AB1045" s="683">
        <v>0</v>
      </c>
      <c r="AC1045" s="683">
        <v>0</v>
      </c>
      <c r="AD1045" s="683">
        <v>0</v>
      </c>
      <c r="AE1045" s="732"/>
      <c r="AF1045" s="732"/>
      <c r="AG1045" s="732"/>
      <c r="AH1045" s="732"/>
      <c r="AI1045" s="732"/>
      <c r="AJ1045" s="732"/>
      <c r="AK1045" s="732"/>
      <c r="AL1045" s="732"/>
      <c r="AM1045" s="732"/>
      <c r="AN1045" s="732"/>
      <c r="AO1045" s="732"/>
      <c r="AP1045" s="732"/>
      <c r="AQ1045" s="732"/>
      <c r="AR1045" s="732"/>
      <c r="AS1045" s="732"/>
      <c r="AT1045" s="732"/>
      <c r="AU1045" s="732"/>
      <c r="AV1045" s="732"/>
      <c r="AW1045" s="732"/>
      <c r="AX1045" s="732"/>
      <c r="AY1045" s="732"/>
      <c r="AZ1045" s="732"/>
      <c r="BA1045" s="732"/>
      <c r="BB1045" s="732"/>
      <c r="BC1045" s="732"/>
      <c r="BD1045" s="732"/>
      <c r="BE1045" s="732"/>
      <c r="BF1045" s="732"/>
      <c r="BG1045" s="732"/>
      <c r="BH1045" s="732"/>
      <c r="BI1045" s="732"/>
      <c r="BJ1045" s="732"/>
      <c r="BK1045" s="732"/>
      <c r="BL1045" s="732"/>
      <c r="BM1045" s="732"/>
      <c r="BN1045" s="732"/>
      <c r="BO1045" s="732"/>
      <c r="BP1045" s="732"/>
      <c r="BQ1045" s="732"/>
      <c r="BR1045" s="732"/>
      <c r="BS1045" s="732"/>
      <c r="BT1045" s="732"/>
      <c r="BU1045" s="732"/>
      <c r="BV1045" s="732"/>
      <c r="BW1045" s="732"/>
      <c r="BX1045" s="732"/>
      <c r="BY1045" s="732"/>
      <c r="BZ1045" s="732"/>
      <c r="CA1045" s="732"/>
    </row>
    <row r="1046" spans="1:79" s="309" customFormat="1" hidden="1" outlineLevel="1" x14ac:dyDescent="0.35">
      <c r="A1046" s="716"/>
      <c r="B1046" s="716"/>
      <c r="C1046" s="716"/>
      <c r="D1046" s="716"/>
      <c r="E1046" s="716"/>
      <c r="F1046" s="711" t="s">
        <v>594</v>
      </c>
      <c r="G1046" s="750"/>
      <c r="H1046" s="750"/>
      <c r="I1046" s="750"/>
      <c r="J1046" s="750"/>
      <c r="K1046" s="750"/>
      <c r="L1046" s="750"/>
      <c r="M1046" s="750"/>
      <c r="N1046" s="750"/>
      <c r="O1046" s="750"/>
      <c r="P1046" s="753"/>
      <c r="Q1046" s="753"/>
      <c r="R1046" s="753"/>
      <c r="S1046" s="713"/>
      <c r="T1046" s="713"/>
      <c r="U1046" s="713"/>
      <c r="V1046" s="713"/>
      <c r="W1046" s="713"/>
      <c r="X1046" s="713"/>
      <c r="Y1046" s="713"/>
      <c r="Z1046" s="713"/>
      <c r="AA1046" s="713"/>
      <c r="AB1046" s="713"/>
      <c r="AC1046" s="713"/>
      <c r="AD1046" s="713"/>
      <c r="AE1046" s="751"/>
      <c r="AF1046" s="751"/>
      <c r="AG1046" s="751"/>
      <c r="AH1046" s="751"/>
      <c r="AI1046" s="751"/>
      <c r="AJ1046" s="751"/>
      <c r="AK1046" s="751"/>
      <c r="AL1046" s="751"/>
      <c r="AM1046" s="751"/>
      <c r="AN1046" s="751"/>
      <c r="AO1046" s="751"/>
      <c r="AP1046" s="751"/>
      <c r="AQ1046" s="751"/>
      <c r="AR1046" s="751"/>
      <c r="AS1046" s="751"/>
      <c r="AT1046" s="751"/>
      <c r="AU1046" s="751"/>
      <c r="AV1046" s="751"/>
      <c r="AW1046" s="751"/>
      <c r="AX1046" s="751"/>
      <c r="AY1046" s="751"/>
      <c r="AZ1046" s="751"/>
      <c r="BA1046" s="751"/>
      <c r="BB1046" s="751"/>
      <c r="BC1046" s="751"/>
      <c r="BD1046" s="751"/>
      <c r="BE1046" s="751"/>
      <c r="BF1046" s="751"/>
      <c r="BG1046" s="751"/>
      <c r="BH1046" s="751"/>
      <c r="BI1046" s="751"/>
      <c r="BJ1046" s="751"/>
      <c r="BK1046" s="751"/>
      <c r="BL1046" s="751"/>
      <c r="BM1046" s="751"/>
      <c r="BN1046" s="751"/>
      <c r="BO1046" s="751"/>
      <c r="BP1046" s="751"/>
      <c r="BQ1046" s="751"/>
      <c r="BR1046" s="751"/>
      <c r="BS1046" s="751"/>
      <c r="BT1046" s="751"/>
      <c r="BU1046" s="751"/>
      <c r="BV1046" s="751"/>
      <c r="BW1046" s="751"/>
      <c r="BX1046" s="751"/>
      <c r="BY1046" s="751"/>
      <c r="BZ1046" s="751"/>
      <c r="CA1046" s="751"/>
    </row>
    <row r="1047" spans="1:79" s="309" customFormat="1" hidden="1" outlineLevel="1" x14ac:dyDescent="0.35">
      <c r="A1047" s="504"/>
      <c r="B1047" s="504"/>
      <c r="C1047" s="504"/>
      <c r="D1047" s="504"/>
      <c r="E1047" s="504"/>
      <c r="F1047" s="672" t="s">
        <v>878</v>
      </c>
      <c r="G1047" s="735"/>
      <c r="H1047" s="735"/>
      <c r="I1047" s="735"/>
      <c r="J1047" s="735"/>
      <c r="K1047" s="735"/>
      <c r="L1047" s="735"/>
      <c r="M1047" s="735"/>
      <c r="N1047" s="735"/>
      <c r="O1047" s="735"/>
      <c r="P1047" s="734"/>
      <c r="Q1047" s="734"/>
      <c r="R1047" s="734"/>
      <c r="S1047" s="687">
        <v>0</v>
      </c>
      <c r="T1047" s="687">
        <v>0</v>
      </c>
      <c r="U1047" s="687">
        <v>0</v>
      </c>
      <c r="V1047" s="687">
        <v>0</v>
      </c>
      <c r="W1047" s="687">
        <v>0</v>
      </c>
      <c r="X1047" s="687">
        <v>0</v>
      </c>
      <c r="Y1047" s="687">
        <v>0</v>
      </c>
      <c r="Z1047" s="687">
        <v>0</v>
      </c>
      <c r="AA1047" s="687">
        <v>0</v>
      </c>
      <c r="AB1047" s="687">
        <v>0</v>
      </c>
      <c r="AC1047" s="687">
        <v>0</v>
      </c>
      <c r="AD1047" s="687">
        <v>0</v>
      </c>
      <c r="AE1047" s="732"/>
      <c r="AF1047" s="732"/>
      <c r="AG1047" s="732"/>
      <c r="AH1047" s="732"/>
      <c r="AI1047" s="732"/>
      <c r="AJ1047" s="732"/>
      <c r="AK1047" s="732"/>
      <c r="AL1047" s="732"/>
      <c r="AM1047" s="732"/>
      <c r="AN1047" s="732"/>
      <c r="AO1047" s="732"/>
      <c r="AP1047" s="732"/>
      <c r="AQ1047" s="732"/>
      <c r="AR1047" s="732"/>
      <c r="AS1047" s="732"/>
      <c r="AT1047" s="732"/>
      <c r="AU1047" s="732"/>
      <c r="AV1047" s="732"/>
      <c r="AW1047" s="732"/>
      <c r="AX1047" s="732"/>
      <c r="AY1047" s="732"/>
      <c r="AZ1047" s="732"/>
      <c r="BA1047" s="732"/>
      <c r="BB1047" s="732"/>
      <c r="BC1047" s="732"/>
      <c r="BD1047" s="732"/>
      <c r="BE1047" s="732"/>
      <c r="BF1047" s="732"/>
      <c r="BG1047" s="732"/>
      <c r="BH1047" s="732"/>
      <c r="BI1047" s="732"/>
      <c r="BJ1047" s="732"/>
      <c r="BK1047" s="732"/>
      <c r="BL1047" s="732"/>
      <c r="BM1047" s="732"/>
      <c r="BN1047" s="732"/>
      <c r="BO1047" s="732"/>
      <c r="BP1047" s="732"/>
      <c r="BQ1047" s="732"/>
      <c r="BR1047" s="732"/>
      <c r="BS1047" s="732"/>
      <c r="BT1047" s="732"/>
      <c r="BU1047" s="732"/>
      <c r="BV1047" s="732"/>
      <c r="BW1047" s="732"/>
      <c r="BX1047" s="732"/>
      <c r="BY1047" s="732"/>
      <c r="BZ1047" s="732"/>
      <c r="CA1047" s="732"/>
    </row>
    <row r="1048" spans="1:79" s="309" customFormat="1" hidden="1" outlineLevel="1" x14ac:dyDescent="0.35">
      <c r="A1048" s="504"/>
      <c r="B1048" s="504"/>
      <c r="C1048" s="504"/>
      <c r="D1048" s="504"/>
      <c r="E1048" s="504"/>
      <c r="F1048" s="672" t="s">
        <v>879</v>
      </c>
      <c r="G1048" s="735"/>
      <c r="H1048" s="735"/>
      <c r="I1048" s="735"/>
      <c r="J1048" s="735"/>
      <c r="K1048" s="735"/>
      <c r="L1048" s="735"/>
      <c r="M1048" s="735"/>
      <c r="N1048" s="735"/>
      <c r="O1048" s="735"/>
      <c r="P1048" s="734"/>
      <c r="Q1048" s="734"/>
      <c r="R1048" s="734"/>
      <c r="S1048" s="687">
        <v>0</v>
      </c>
      <c r="T1048" s="687">
        <v>0</v>
      </c>
      <c r="U1048" s="687">
        <v>0</v>
      </c>
      <c r="V1048" s="687">
        <v>0</v>
      </c>
      <c r="W1048" s="687">
        <v>0</v>
      </c>
      <c r="X1048" s="687">
        <v>0</v>
      </c>
      <c r="Y1048" s="687">
        <v>0</v>
      </c>
      <c r="Z1048" s="687">
        <v>0</v>
      </c>
      <c r="AA1048" s="687">
        <v>0</v>
      </c>
      <c r="AB1048" s="687">
        <v>0</v>
      </c>
      <c r="AC1048" s="687">
        <v>0</v>
      </c>
      <c r="AD1048" s="687">
        <v>0</v>
      </c>
      <c r="AE1048" s="732"/>
      <c r="AF1048" s="732"/>
      <c r="AG1048" s="732"/>
      <c r="AH1048" s="732"/>
      <c r="AI1048" s="732"/>
      <c r="AJ1048" s="732"/>
      <c r="AK1048" s="732"/>
      <c r="AL1048" s="732"/>
      <c r="AM1048" s="732"/>
      <c r="AN1048" s="732"/>
      <c r="AO1048" s="732"/>
      <c r="AP1048" s="732"/>
      <c r="AQ1048" s="732"/>
      <c r="AR1048" s="732"/>
      <c r="AS1048" s="732"/>
      <c r="AT1048" s="732"/>
      <c r="AU1048" s="732"/>
      <c r="AV1048" s="732"/>
      <c r="AW1048" s="732"/>
      <c r="AX1048" s="732"/>
      <c r="AY1048" s="732"/>
      <c r="AZ1048" s="732"/>
      <c r="BA1048" s="732"/>
      <c r="BB1048" s="732"/>
      <c r="BC1048" s="732"/>
      <c r="BD1048" s="732"/>
      <c r="BE1048" s="732"/>
      <c r="BF1048" s="732"/>
      <c r="BG1048" s="732"/>
      <c r="BH1048" s="732"/>
      <c r="BI1048" s="732"/>
      <c r="BJ1048" s="732"/>
      <c r="BK1048" s="732"/>
      <c r="BL1048" s="732"/>
      <c r="BM1048" s="732"/>
      <c r="BN1048" s="732"/>
      <c r="BO1048" s="732"/>
      <c r="BP1048" s="732"/>
      <c r="BQ1048" s="732"/>
      <c r="BR1048" s="732"/>
      <c r="BS1048" s="732"/>
      <c r="BT1048" s="732"/>
      <c r="BU1048" s="732"/>
      <c r="BV1048" s="732"/>
      <c r="BW1048" s="732"/>
      <c r="BX1048" s="732"/>
      <c r="BY1048" s="732"/>
      <c r="BZ1048" s="732"/>
      <c r="CA1048" s="732"/>
    </row>
    <row r="1049" spans="1:79" hidden="1" outlineLevel="1" collapsed="1" x14ac:dyDescent="0.35">
      <c r="A1049" s="504"/>
      <c r="B1049" s="504"/>
      <c r="C1049" s="504"/>
      <c r="D1049" s="504"/>
      <c r="E1049" s="504"/>
      <c r="F1049" s="672" t="s">
        <v>880</v>
      </c>
      <c r="G1049" s="735"/>
      <c r="H1049" s="735"/>
      <c r="I1049" s="735"/>
      <c r="J1049" s="735"/>
      <c r="K1049" s="735"/>
      <c r="L1049" s="735"/>
      <c r="M1049" s="735"/>
      <c r="N1049" s="735"/>
      <c r="O1049" s="735"/>
      <c r="P1049" s="734"/>
      <c r="Q1049" s="734"/>
      <c r="R1049" s="734"/>
      <c r="S1049" s="687">
        <v>0</v>
      </c>
      <c r="T1049" s="687">
        <v>0</v>
      </c>
      <c r="U1049" s="687">
        <v>0</v>
      </c>
      <c r="V1049" s="687">
        <v>0</v>
      </c>
      <c r="W1049" s="687">
        <v>0</v>
      </c>
      <c r="X1049" s="687">
        <v>0</v>
      </c>
      <c r="Y1049" s="687">
        <v>0</v>
      </c>
      <c r="Z1049" s="687">
        <v>0</v>
      </c>
      <c r="AA1049" s="687">
        <v>0</v>
      </c>
      <c r="AB1049" s="687">
        <v>0</v>
      </c>
      <c r="AC1049" s="687">
        <v>0</v>
      </c>
      <c r="AD1049" s="687">
        <v>0</v>
      </c>
      <c r="AE1049" s="732"/>
      <c r="AF1049" s="732"/>
      <c r="AG1049" s="732"/>
      <c r="AH1049" s="732"/>
      <c r="AI1049" s="732"/>
      <c r="AJ1049" s="732"/>
      <c r="AK1049" s="732"/>
      <c r="AL1049" s="732"/>
      <c r="AM1049" s="732"/>
      <c r="AN1049" s="732"/>
      <c r="AO1049" s="732"/>
      <c r="AP1049" s="732"/>
      <c r="AQ1049" s="732"/>
      <c r="AR1049" s="732"/>
      <c r="AS1049" s="732"/>
      <c r="AT1049" s="732"/>
      <c r="AU1049" s="732"/>
      <c r="AV1049" s="732"/>
      <c r="AW1049" s="732"/>
      <c r="AX1049" s="732"/>
      <c r="AY1049" s="732"/>
      <c r="AZ1049" s="732"/>
      <c r="BA1049" s="732"/>
      <c r="BB1049" s="732"/>
      <c r="BC1049" s="732"/>
      <c r="BD1049" s="732"/>
      <c r="BE1049" s="732"/>
      <c r="BF1049" s="732"/>
      <c r="BG1049" s="732"/>
      <c r="BH1049" s="732"/>
      <c r="BI1049" s="732"/>
      <c r="BJ1049" s="732"/>
      <c r="BK1049" s="732"/>
      <c r="BL1049" s="732"/>
      <c r="BM1049" s="732"/>
      <c r="BN1049" s="732"/>
      <c r="BO1049" s="732"/>
      <c r="BP1049" s="732"/>
      <c r="BQ1049" s="732"/>
      <c r="BR1049" s="732"/>
      <c r="BS1049" s="732"/>
      <c r="BT1049" s="732"/>
      <c r="BU1049" s="732"/>
      <c r="BV1049" s="732"/>
      <c r="BW1049" s="732"/>
      <c r="BX1049" s="732"/>
      <c r="BY1049" s="732"/>
      <c r="BZ1049" s="732"/>
      <c r="CA1049" s="732"/>
    </row>
    <row r="1050" spans="1:79" s="452" customFormat="1" hidden="1" outlineLevel="1" x14ac:dyDescent="0.35">
      <c r="A1050" s="504"/>
      <c r="B1050" s="504"/>
      <c r="C1050" s="504"/>
      <c r="D1050" s="504"/>
      <c r="E1050" s="504"/>
      <c r="F1050" s="672" t="s">
        <v>609</v>
      </c>
      <c r="G1050" s="735"/>
      <c r="H1050" s="735"/>
      <c r="I1050" s="735"/>
      <c r="J1050" s="735"/>
      <c r="K1050" s="735"/>
      <c r="L1050" s="735"/>
      <c r="M1050" s="735"/>
      <c r="N1050" s="735"/>
      <c r="O1050" s="735"/>
      <c r="P1050" s="732"/>
      <c r="Q1050" s="732"/>
      <c r="R1050" s="732"/>
      <c r="S1050" s="683">
        <v>0</v>
      </c>
      <c r="T1050" s="683">
        <v>317.94</v>
      </c>
      <c r="U1050" s="683">
        <v>508.83</v>
      </c>
      <c r="V1050" s="683">
        <v>0</v>
      </c>
      <c r="W1050" s="683">
        <v>258.11</v>
      </c>
      <c r="X1050" s="683">
        <v>1210.21</v>
      </c>
      <c r="Y1050" s="683">
        <v>0</v>
      </c>
      <c r="Z1050" s="683">
        <v>342.77</v>
      </c>
      <c r="AA1050" s="683">
        <v>537.11</v>
      </c>
      <c r="AB1050" s="683">
        <v>668.79</v>
      </c>
      <c r="AC1050" s="683">
        <v>453.64</v>
      </c>
      <c r="AD1050" s="683">
        <v>327.64</v>
      </c>
      <c r="AE1050" s="732"/>
      <c r="AF1050" s="732"/>
      <c r="AG1050" s="732"/>
      <c r="AH1050" s="732"/>
      <c r="AI1050" s="732"/>
      <c r="AJ1050" s="732"/>
      <c r="AK1050" s="732"/>
      <c r="AL1050" s="732"/>
      <c r="AM1050" s="732"/>
      <c r="AN1050" s="732"/>
      <c r="AO1050" s="732"/>
      <c r="AP1050" s="732"/>
      <c r="AQ1050" s="732"/>
      <c r="AR1050" s="732"/>
      <c r="AS1050" s="732"/>
      <c r="AT1050" s="732"/>
      <c r="AU1050" s="732"/>
      <c r="AV1050" s="732"/>
      <c r="AW1050" s="732"/>
      <c r="AX1050" s="732"/>
      <c r="AY1050" s="732"/>
      <c r="AZ1050" s="732"/>
      <c r="BA1050" s="732"/>
      <c r="BB1050" s="732"/>
      <c r="BC1050" s="732"/>
      <c r="BD1050" s="732"/>
      <c r="BE1050" s="732"/>
      <c r="BF1050" s="732"/>
      <c r="BG1050" s="732"/>
      <c r="BH1050" s="732"/>
      <c r="BI1050" s="732"/>
      <c r="BJ1050" s="732"/>
      <c r="BK1050" s="732"/>
      <c r="BL1050" s="732"/>
      <c r="BM1050" s="732"/>
      <c r="BN1050" s="732"/>
      <c r="BO1050" s="732"/>
      <c r="BP1050" s="732"/>
      <c r="BQ1050" s="732"/>
      <c r="BR1050" s="732"/>
      <c r="BS1050" s="732"/>
      <c r="BT1050" s="732"/>
      <c r="BU1050" s="732"/>
      <c r="BV1050" s="732"/>
      <c r="BW1050" s="732"/>
      <c r="BX1050" s="732"/>
      <c r="BY1050" s="732"/>
      <c r="BZ1050" s="732"/>
      <c r="CA1050" s="732"/>
    </row>
    <row r="1051" spans="1:79" s="452" customFormat="1" hidden="1" outlineLevel="1" x14ac:dyDescent="0.35">
      <c r="A1051" s="504"/>
      <c r="B1051" s="504"/>
      <c r="C1051" s="504"/>
      <c r="D1051" s="504"/>
      <c r="E1051" s="504"/>
      <c r="F1051" s="672" t="s">
        <v>610</v>
      </c>
      <c r="G1051" s="735"/>
      <c r="H1051" s="735"/>
      <c r="I1051" s="735"/>
      <c r="J1051" s="735"/>
      <c r="K1051" s="735"/>
      <c r="L1051" s="735"/>
      <c r="M1051" s="735"/>
      <c r="N1051" s="735"/>
      <c r="O1051" s="735"/>
      <c r="P1051" s="732"/>
      <c r="Q1051" s="732"/>
      <c r="R1051" s="732"/>
      <c r="S1051" s="683">
        <v>0</v>
      </c>
      <c r="T1051" s="683">
        <v>0</v>
      </c>
      <c r="U1051" s="683">
        <v>0</v>
      </c>
      <c r="V1051" s="683">
        <v>0</v>
      </c>
      <c r="W1051" s="683">
        <v>0</v>
      </c>
      <c r="X1051" s="683">
        <v>0</v>
      </c>
      <c r="Y1051" s="683">
        <v>0</v>
      </c>
      <c r="Z1051" s="683">
        <v>0</v>
      </c>
      <c r="AA1051" s="683">
        <v>0</v>
      </c>
      <c r="AB1051" s="683">
        <v>10</v>
      </c>
      <c r="AC1051" s="683">
        <v>0</v>
      </c>
      <c r="AD1051" s="683">
        <v>0</v>
      </c>
      <c r="AE1051" s="732"/>
      <c r="AF1051" s="732"/>
      <c r="AG1051" s="732"/>
      <c r="AH1051" s="732"/>
      <c r="AI1051" s="732"/>
      <c r="AJ1051" s="732"/>
      <c r="AK1051" s="732"/>
      <c r="AL1051" s="732"/>
      <c r="AM1051" s="732"/>
      <c r="AN1051" s="732"/>
      <c r="AO1051" s="732"/>
      <c r="AP1051" s="732"/>
      <c r="AQ1051" s="732"/>
      <c r="AR1051" s="732"/>
      <c r="AS1051" s="732"/>
      <c r="AT1051" s="732"/>
      <c r="AU1051" s="732"/>
      <c r="AV1051" s="732"/>
      <c r="AW1051" s="732"/>
      <c r="AX1051" s="732"/>
      <c r="AY1051" s="732"/>
      <c r="AZ1051" s="732"/>
      <c r="BA1051" s="732"/>
      <c r="BB1051" s="732"/>
      <c r="BC1051" s="732"/>
      <c r="BD1051" s="732"/>
      <c r="BE1051" s="732"/>
      <c r="BF1051" s="732"/>
      <c r="BG1051" s="732"/>
      <c r="BH1051" s="732"/>
      <c r="BI1051" s="732"/>
      <c r="BJ1051" s="732"/>
      <c r="BK1051" s="732"/>
      <c r="BL1051" s="732"/>
      <c r="BM1051" s="732"/>
      <c r="BN1051" s="732"/>
      <c r="BO1051" s="732"/>
      <c r="BP1051" s="732"/>
      <c r="BQ1051" s="732"/>
      <c r="BR1051" s="732"/>
      <c r="BS1051" s="732"/>
      <c r="BT1051" s="732"/>
      <c r="BU1051" s="732"/>
      <c r="BV1051" s="732"/>
      <c r="BW1051" s="732"/>
      <c r="BX1051" s="732"/>
      <c r="BY1051" s="732"/>
      <c r="BZ1051" s="732"/>
      <c r="CA1051" s="732"/>
    </row>
    <row r="1052" spans="1:79" s="452" customFormat="1" hidden="1" outlineLevel="1" x14ac:dyDescent="0.35">
      <c r="A1052" s="504"/>
      <c r="B1052" s="504"/>
      <c r="C1052" s="504"/>
      <c r="D1052" s="504"/>
      <c r="E1052" s="504"/>
      <c r="F1052" s="672" t="s">
        <v>611</v>
      </c>
      <c r="G1052" s="735"/>
      <c r="H1052" s="735"/>
      <c r="I1052" s="735"/>
      <c r="J1052" s="735"/>
      <c r="K1052" s="735"/>
      <c r="L1052" s="735"/>
      <c r="M1052" s="735"/>
      <c r="N1052" s="735"/>
      <c r="O1052" s="735"/>
      <c r="P1052" s="732"/>
      <c r="Q1052" s="732"/>
      <c r="R1052" s="732"/>
      <c r="S1052" s="683">
        <v>0</v>
      </c>
      <c r="T1052" s="683">
        <v>0</v>
      </c>
      <c r="U1052" s="683">
        <v>0</v>
      </c>
      <c r="V1052" s="683">
        <v>0</v>
      </c>
      <c r="W1052" s="683">
        <v>0</v>
      </c>
      <c r="X1052" s="683">
        <v>0</v>
      </c>
      <c r="Y1052" s="683">
        <v>0</v>
      </c>
      <c r="Z1052" s="683">
        <v>0</v>
      </c>
      <c r="AA1052" s="683">
        <v>0</v>
      </c>
      <c r="AB1052" s="683">
        <v>0</v>
      </c>
      <c r="AC1052" s="683">
        <v>0</v>
      </c>
      <c r="AD1052" s="683">
        <v>0</v>
      </c>
      <c r="AE1052" s="732"/>
      <c r="AF1052" s="732"/>
      <c r="AG1052" s="732"/>
      <c r="AH1052" s="732"/>
      <c r="AI1052" s="732"/>
      <c r="AJ1052" s="732"/>
      <c r="AK1052" s="732"/>
      <c r="AL1052" s="732"/>
      <c r="AM1052" s="732"/>
      <c r="AN1052" s="732"/>
      <c r="AO1052" s="732"/>
      <c r="AP1052" s="732"/>
      <c r="AQ1052" s="732"/>
      <c r="AR1052" s="732"/>
      <c r="AS1052" s="732"/>
      <c r="AT1052" s="732"/>
      <c r="AU1052" s="732"/>
      <c r="AV1052" s="732"/>
      <c r="AW1052" s="732"/>
      <c r="AX1052" s="732"/>
      <c r="AY1052" s="732"/>
      <c r="AZ1052" s="732"/>
      <c r="BA1052" s="732"/>
      <c r="BB1052" s="732"/>
      <c r="BC1052" s="732"/>
      <c r="BD1052" s="732"/>
      <c r="BE1052" s="732"/>
      <c r="BF1052" s="732"/>
      <c r="BG1052" s="732"/>
      <c r="BH1052" s="732"/>
      <c r="BI1052" s="732"/>
      <c r="BJ1052" s="732"/>
      <c r="BK1052" s="732"/>
      <c r="BL1052" s="732"/>
      <c r="BM1052" s="732"/>
      <c r="BN1052" s="732"/>
      <c r="BO1052" s="732"/>
      <c r="BP1052" s="732"/>
      <c r="BQ1052" s="732"/>
      <c r="BR1052" s="732"/>
      <c r="BS1052" s="732"/>
      <c r="BT1052" s="732"/>
      <c r="BU1052" s="732"/>
      <c r="BV1052" s="732"/>
      <c r="BW1052" s="732"/>
      <c r="BX1052" s="732"/>
      <c r="BY1052" s="732"/>
      <c r="BZ1052" s="732"/>
      <c r="CA1052" s="732"/>
    </row>
    <row r="1053" spans="1:79" s="452" customFormat="1" hidden="1" outlineLevel="1" x14ac:dyDescent="0.35">
      <c r="A1053" s="504"/>
      <c r="B1053" s="504"/>
      <c r="C1053" s="504"/>
      <c r="D1053" s="504"/>
      <c r="E1053" s="504"/>
      <c r="F1053" s="672" t="s">
        <v>881</v>
      </c>
      <c r="G1053" s="735"/>
      <c r="H1053" s="735"/>
      <c r="I1053" s="735"/>
      <c r="J1053" s="735"/>
      <c r="K1053" s="735"/>
      <c r="L1053" s="735"/>
      <c r="M1053" s="735"/>
      <c r="N1053" s="735"/>
      <c r="O1053" s="735"/>
      <c r="P1053" s="732"/>
      <c r="Q1053" s="732"/>
      <c r="R1053" s="732"/>
      <c r="S1053" s="692">
        <v>0</v>
      </c>
      <c r="T1053" s="692">
        <v>0</v>
      </c>
      <c r="U1053" s="692">
        <v>0</v>
      </c>
      <c r="V1053" s="692">
        <v>0</v>
      </c>
      <c r="W1053" s="692">
        <v>0</v>
      </c>
      <c r="X1053" s="692">
        <v>117.64</v>
      </c>
      <c r="Y1053" s="692">
        <v>0</v>
      </c>
      <c r="Z1053" s="692">
        <v>0</v>
      </c>
      <c r="AA1053" s="692">
        <v>0</v>
      </c>
      <c r="AB1053" s="692">
        <v>0</v>
      </c>
      <c r="AC1053" s="692">
        <v>0</v>
      </c>
      <c r="AD1053" s="692">
        <v>0</v>
      </c>
      <c r="AE1053" s="732"/>
      <c r="AF1053" s="732"/>
      <c r="AG1053" s="732"/>
      <c r="AH1053" s="732"/>
      <c r="AI1053" s="732"/>
      <c r="AJ1053" s="732"/>
      <c r="AK1053" s="732"/>
      <c r="AL1053" s="732"/>
      <c r="AM1053" s="732"/>
      <c r="AN1053" s="732"/>
      <c r="AO1053" s="732"/>
      <c r="AP1053" s="732"/>
      <c r="AQ1053" s="732"/>
      <c r="AR1053" s="732"/>
      <c r="AS1053" s="732"/>
      <c r="AT1053" s="732"/>
      <c r="AU1053" s="732"/>
      <c r="AV1053" s="732"/>
      <c r="AW1053" s="732"/>
      <c r="AX1053" s="732"/>
      <c r="AY1053" s="732"/>
      <c r="AZ1053" s="732"/>
      <c r="BA1053" s="732"/>
      <c r="BB1053" s="732"/>
      <c r="BC1053" s="732"/>
      <c r="BD1053" s="732"/>
      <c r="BE1053" s="732"/>
      <c r="BF1053" s="732"/>
      <c r="BG1053" s="732"/>
      <c r="BH1053" s="732"/>
      <c r="BI1053" s="732"/>
      <c r="BJ1053" s="732"/>
      <c r="BK1053" s="732"/>
      <c r="BL1053" s="732"/>
      <c r="BM1053" s="732"/>
      <c r="BN1053" s="732"/>
      <c r="BO1053" s="732"/>
      <c r="BP1053" s="732"/>
      <c r="BQ1053" s="732"/>
      <c r="BR1053" s="732"/>
      <c r="BS1053" s="732"/>
      <c r="BT1053" s="732"/>
      <c r="BU1053" s="732"/>
      <c r="BV1053" s="732"/>
      <c r="BW1053" s="732"/>
      <c r="BX1053" s="732"/>
      <c r="BY1053" s="732"/>
      <c r="BZ1053" s="732"/>
      <c r="CA1053" s="732"/>
    </row>
    <row r="1054" spans="1:79" s="309" customFormat="1" hidden="1" outlineLevel="1" x14ac:dyDescent="0.35">
      <c r="A1054" s="30"/>
      <c r="B1054" s="30"/>
      <c r="C1054" s="30"/>
      <c r="D1054" s="30"/>
      <c r="E1054" s="30"/>
      <c r="F1054" s="675" t="s">
        <v>612</v>
      </c>
      <c r="G1054" s="680">
        <f>SUM(G1047:G1053)</f>
        <v>0</v>
      </c>
      <c r="H1054" s="680">
        <f t="shared" ref="H1054:BO1054" si="408">SUM(H1047:H1053)</f>
        <v>0</v>
      </c>
      <c r="I1054" s="680">
        <f t="shared" si="408"/>
        <v>0</v>
      </c>
      <c r="J1054" s="680">
        <f t="shared" si="408"/>
        <v>0</v>
      </c>
      <c r="K1054" s="680">
        <f t="shared" si="408"/>
        <v>0</v>
      </c>
      <c r="L1054" s="680">
        <f t="shared" si="408"/>
        <v>0</v>
      </c>
      <c r="M1054" s="680">
        <f t="shared" si="408"/>
        <v>0</v>
      </c>
      <c r="N1054" s="680">
        <f t="shared" si="408"/>
        <v>0</v>
      </c>
      <c r="O1054" s="680">
        <f t="shared" si="408"/>
        <v>0</v>
      </c>
      <c r="P1054" s="680">
        <f t="shared" si="408"/>
        <v>0</v>
      </c>
      <c r="Q1054" s="680">
        <f t="shared" si="408"/>
        <v>0</v>
      </c>
      <c r="R1054" s="680">
        <f t="shared" si="408"/>
        <v>0</v>
      </c>
      <c r="S1054" s="695">
        <f t="shared" ref="S1054:AA1054" si="409">ROUND(SUM(S1046:S1053),5)</f>
        <v>0</v>
      </c>
      <c r="T1054" s="695">
        <f t="shared" si="409"/>
        <v>317.94</v>
      </c>
      <c r="U1054" s="695">
        <f t="shared" si="409"/>
        <v>508.83</v>
      </c>
      <c r="V1054" s="695">
        <f t="shared" si="409"/>
        <v>0</v>
      </c>
      <c r="W1054" s="695">
        <f t="shared" si="409"/>
        <v>258.11</v>
      </c>
      <c r="X1054" s="695">
        <f t="shared" si="409"/>
        <v>1327.85</v>
      </c>
      <c r="Y1054" s="695">
        <f t="shared" si="409"/>
        <v>0</v>
      </c>
      <c r="Z1054" s="695">
        <f t="shared" si="409"/>
        <v>342.77</v>
      </c>
      <c r="AA1054" s="695">
        <f t="shared" si="409"/>
        <v>537.11</v>
      </c>
      <c r="AB1054" s="695">
        <f>ROUND(SUM(AB1046:AB1053),5)</f>
        <v>678.79</v>
      </c>
      <c r="AC1054" s="695">
        <f>ROUND(SUM(AC1046:AC1053),5)</f>
        <v>453.64</v>
      </c>
      <c r="AD1054" s="695">
        <f>ROUND(SUM(AD1046:AD1053),5)</f>
        <v>327.64</v>
      </c>
      <c r="AE1054" s="680">
        <f t="shared" si="408"/>
        <v>0</v>
      </c>
      <c r="AF1054" s="680">
        <f t="shared" si="408"/>
        <v>0</v>
      </c>
      <c r="AG1054" s="680">
        <f t="shared" si="408"/>
        <v>0</v>
      </c>
      <c r="AH1054" s="680">
        <f t="shared" si="408"/>
        <v>0</v>
      </c>
      <c r="AI1054" s="680">
        <f t="shared" si="408"/>
        <v>0</v>
      </c>
      <c r="AJ1054" s="680">
        <f t="shared" si="408"/>
        <v>0</v>
      </c>
      <c r="AK1054" s="680">
        <f t="shared" si="408"/>
        <v>0</v>
      </c>
      <c r="AL1054" s="680">
        <f t="shared" si="408"/>
        <v>0</v>
      </c>
      <c r="AM1054" s="680">
        <f t="shared" si="408"/>
        <v>0</v>
      </c>
      <c r="AN1054" s="680">
        <f t="shared" si="408"/>
        <v>0</v>
      </c>
      <c r="AO1054" s="680">
        <f t="shared" si="408"/>
        <v>0</v>
      </c>
      <c r="AP1054" s="680">
        <f t="shared" si="408"/>
        <v>0</v>
      </c>
      <c r="AQ1054" s="680">
        <f t="shared" si="408"/>
        <v>0</v>
      </c>
      <c r="AR1054" s="680">
        <f t="shared" si="408"/>
        <v>0</v>
      </c>
      <c r="AS1054" s="680">
        <f t="shared" si="408"/>
        <v>0</v>
      </c>
      <c r="AT1054" s="680">
        <f t="shared" si="408"/>
        <v>0</v>
      </c>
      <c r="AU1054" s="680">
        <f t="shared" si="408"/>
        <v>0</v>
      </c>
      <c r="AV1054" s="680">
        <f t="shared" si="408"/>
        <v>0</v>
      </c>
      <c r="AW1054" s="680">
        <f t="shared" si="408"/>
        <v>0</v>
      </c>
      <c r="AX1054" s="680">
        <f t="shared" si="408"/>
        <v>0</v>
      </c>
      <c r="AY1054" s="680">
        <f t="shared" si="408"/>
        <v>0</v>
      </c>
      <c r="AZ1054" s="680">
        <f t="shared" si="408"/>
        <v>0</v>
      </c>
      <c r="BA1054" s="680">
        <f t="shared" si="408"/>
        <v>0</v>
      </c>
      <c r="BB1054" s="680">
        <f t="shared" si="408"/>
        <v>0</v>
      </c>
      <c r="BC1054" s="680">
        <f t="shared" si="408"/>
        <v>0</v>
      </c>
      <c r="BD1054" s="680">
        <f t="shared" si="408"/>
        <v>0</v>
      </c>
      <c r="BE1054" s="680">
        <f t="shared" si="408"/>
        <v>0</v>
      </c>
      <c r="BF1054" s="680">
        <f t="shared" si="408"/>
        <v>0</v>
      </c>
      <c r="BG1054" s="680">
        <f t="shared" si="408"/>
        <v>0</v>
      </c>
      <c r="BH1054" s="680">
        <f t="shared" si="408"/>
        <v>0</v>
      </c>
      <c r="BI1054" s="680">
        <f t="shared" si="408"/>
        <v>0</v>
      </c>
      <c r="BJ1054" s="680">
        <f t="shared" si="408"/>
        <v>0</v>
      </c>
      <c r="BK1054" s="680">
        <f t="shared" si="408"/>
        <v>0</v>
      </c>
      <c r="BL1054" s="680">
        <f t="shared" si="408"/>
        <v>0</v>
      </c>
      <c r="BM1054" s="680">
        <f t="shared" si="408"/>
        <v>0</v>
      </c>
      <c r="BN1054" s="680">
        <f t="shared" si="408"/>
        <v>0</v>
      </c>
      <c r="BO1054" s="680">
        <f t="shared" si="408"/>
        <v>0</v>
      </c>
      <c r="BP1054" s="680">
        <f t="shared" ref="BP1054:CA1054" si="410">SUM(BP1047:BP1053)</f>
        <v>0</v>
      </c>
      <c r="BQ1054" s="680">
        <f t="shared" si="410"/>
        <v>0</v>
      </c>
      <c r="BR1054" s="680">
        <f t="shared" si="410"/>
        <v>0</v>
      </c>
      <c r="BS1054" s="680">
        <f t="shared" si="410"/>
        <v>0</v>
      </c>
      <c r="BT1054" s="680">
        <f t="shared" si="410"/>
        <v>0</v>
      </c>
      <c r="BU1054" s="680">
        <f t="shared" si="410"/>
        <v>0</v>
      </c>
      <c r="BV1054" s="680">
        <f t="shared" si="410"/>
        <v>0</v>
      </c>
      <c r="BW1054" s="680">
        <f t="shared" si="410"/>
        <v>0</v>
      </c>
      <c r="BX1054" s="680">
        <f t="shared" si="410"/>
        <v>0</v>
      </c>
      <c r="BY1054" s="680">
        <f t="shared" si="410"/>
        <v>0</v>
      </c>
      <c r="BZ1054" s="680">
        <f t="shared" si="410"/>
        <v>0</v>
      </c>
      <c r="CA1054" s="680">
        <f t="shared" si="410"/>
        <v>0</v>
      </c>
    </row>
    <row r="1055" spans="1:79" s="309" customFormat="1" hidden="1" outlineLevel="1" x14ac:dyDescent="0.35">
      <c r="A1055" s="575"/>
      <c r="B1055" s="575"/>
      <c r="C1055" s="575"/>
      <c r="D1055" s="575"/>
      <c r="E1055" s="575"/>
      <c r="F1055" s="671" t="s">
        <v>882</v>
      </c>
      <c r="G1055" s="735"/>
      <c r="H1055" s="735"/>
      <c r="I1055" s="735"/>
      <c r="J1055" s="735"/>
      <c r="K1055" s="735"/>
      <c r="L1055" s="735"/>
      <c r="M1055" s="735"/>
      <c r="N1055" s="735"/>
      <c r="O1055" s="735"/>
      <c r="P1055" s="732"/>
      <c r="Q1055" s="732"/>
      <c r="R1055" s="732"/>
      <c r="S1055" s="700">
        <v>0</v>
      </c>
      <c r="T1055" s="700">
        <v>0</v>
      </c>
      <c r="U1055" s="700">
        <v>0</v>
      </c>
      <c r="V1055" s="700">
        <v>0</v>
      </c>
      <c r="W1055" s="700">
        <v>0</v>
      </c>
      <c r="X1055" s="700">
        <v>0</v>
      </c>
      <c r="Y1055" s="700">
        <v>0</v>
      </c>
      <c r="Z1055" s="700">
        <v>0</v>
      </c>
      <c r="AA1055" s="700">
        <v>0</v>
      </c>
      <c r="AB1055" s="700">
        <v>0</v>
      </c>
      <c r="AC1055" s="700">
        <v>0</v>
      </c>
      <c r="AD1055" s="700">
        <v>0</v>
      </c>
      <c r="AE1055" s="732"/>
      <c r="AF1055" s="732"/>
      <c r="AG1055" s="732"/>
      <c r="AH1055" s="732"/>
      <c r="AI1055" s="732"/>
      <c r="AJ1055" s="732"/>
      <c r="AK1055" s="732"/>
      <c r="AL1055" s="732"/>
      <c r="AM1055" s="732"/>
      <c r="AN1055" s="732"/>
      <c r="AO1055" s="732"/>
      <c r="AP1055" s="732"/>
      <c r="AQ1055" s="732"/>
      <c r="AR1055" s="732"/>
      <c r="AS1055" s="732"/>
      <c r="AT1055" s="732"/>
      <c r="AU1055" s="732"/>
      <c r="AV1055" s="732"/>
      <c r="AW1055" s="732"/>
      <c r="AX1055" s="732"/>
      <c r="AY1055" s="732"/>
      <c r="AZ1055" s="732"/>
      <c r="BA1055" s="732"/>
      <c r="BB1055" s="732"/>
      <c r="BC1055" s="732"/>
      <c r="BD1055" s="732"/>
      <c r="BE1055" s="732"/>
      <c r="BF1055" s="732"/>
      <c r="BG1055" s="732"/>
      <c r="BH1055" s="732"/>
      <c r="BI1055" s="732"/>
      <c r="BJ1055" s="732"/>
      <c r="BK1055" s="732"/>
      <c r="BL1055" s="732"/>
      <c r="BM1055" s="732"/>
      <c r="BN1055" s="732"/>
      <c r="BO1055" s="732"/>
      <c r="BP1055" s="732"/>
      <c r="BQ1055" s="732"/>
      <c r="BR1055" s="732"/>
      <c r="BS1055" s="732"/>
      <c r="BT1055" s="732"/>
      <c r="BU1055" s="732"/>
      <c r="BV1055" s="732"/>
      <c r="BW1055" s="732"/>
      <c r="BX1055" s="732"/>
      <c r="BY1055" s="732"/>
      <c r="BZ1055" s="732"/>
      <c r="CA1055" s="732"/>
    </row>
    <row r="1056" spans="1:79" s="309" customFormat="1" hidden="1" outlineLevel="1" x14ac:dyDescent="0.35">
      <c r="A1056" s="575"/>
      <c r="B1056" s="575"/>
      <c r="C1056" s="575"/>
      <c r="D1056" s="575"/>
      <c r="E1056" s="575"/>
      <c r="F1056" s="674" t="s">
        <v>595</v>
      </c>
      <c r="G1056" s="735"/>
      <c r="H1056" s="735"/>
      <c r="I1056" s="735"/>
      <c r="J1056" s="735"/>
      <c r="K1056" s="735"/>
      <c r="L1056" s="735"/>
      <c r="M1056" s="735"/>
      <c r="N1056" s="735"/>
      <c r="O1056" s="735"/>
      <c r="P1056" s="732"/>
      <c r="Q1056" s="732"/>
      <c r="R1056" s="732"/>
      <c r="S1056" s="683">
        <v>0</v>
      </c>
      <c r="T1056" s="683">
        <v>0</v>
      </c>
      <c r="U1056" s="683">
        <v>0</v>
      </c>
      <c r="V1056" s="683">
        <v>0</v>
      </c>
      <c r="W1056" s="683">
        <v>0</v>
      </c>
      <c r="X1056" s="683">
        <v>0</v>
      </c>
      <c r="Y1056" s="683">
        <v>0</v>
      </c>
      <c r="Z1056" s="683">
        <v>0</v>
      </c>
      <c r="AA1056" s="683">
        <v>0</v>
      </c>
      <c r="AB1056" s="683">
        <v>0</v>
      </c>
      <c r="AC1056" s="683">
        <v>0</v>
      </c>
      <c r="AD1056" s="683">
        <v>0</v>
      </c>
      <c r="AE1056" s="732"/>
      <c r="AF1056" s="732"/>
      <c r="AG1056" s="732"/>
      <c r="AH1056" s="732"/>
      <c r="AI1056" s="732"/>
      <c r="AJ1056" s="732"/>
      <c r="AK1056" s="732"/>
      <c r="AL1056" s="732"/>
      <c r="AM1056" s="732"/>
      <c r="AN1056" s="732"/>
      <c r="AO1056" s="732"/>
      <c r="AP1056" s="732"/>
      <c r="AQ1056" s="732"/>
      <c r="AR1056" s="732"/>
      <c r="AS1056" s="732"/>
      <c r="AT1056" s="732"/>
      <c r="AU1056" s="732"/>
      <c r="AV1056" s="732"/>
      <c r="AW1056" s="732"/>
      <c r="AX1056" s="732"/>
      <c r="AY1056" s="732"/>
      <c r="AZ1056" s="732"/>
      <c r="BA1056" s="732"/>
      <c r="BB1056" s="732"/>
      <c r="BC1056" s="732"/>
      <c r="BD1056" s="732"/>
      <c r="BE1056" s="732"/>
      <c r="BF1056" s="732"/>
      <c r="BG1056" s="732"/>
      <c r="BH1056" s="732"/>
      <c r="BI1056" s="732"/>
      <c r="BJ1056" s="732"/>
      <c r="BK1056" s="732"/>
      <c r="BL1056" s="732"/>
      <c r="BM1056" s="732"/>
      <c r="BN1056" s="732"/>
      <c r="BO1056" s="732"/>
      <c r="BP1056" s="732"/>
      <c r="BQ1056" s="732"/>
      <c r="BR1056" s="732"/>
      <c r="BS1056" s="732"/>
      <c r="BT1056" s="732"/>
      <c r="BU1056" s="732"/>
      <c r="BV1056" s="732"/>
      <c r="BW1056" s="732"/>
      <c r="BX1056" s="732"/>
      <c r="BY1056" s="732"/>
      <c r="BZ1056" s="732"/>
      <c r="CA1056" s="732"/>
    </row>
    <row r="1057" spans="1:79" s="309" customFormat="1" hidden="1" outlineLevel="1" x14ac:dyDescent="0.35">
      <c r="A1057" s="575"/>
      <c r="B1057" s="575"/>
      <c r="C1057" s="575"/>
      <c r="D1057" s="575"/>
      <c r="E1057" s="575"/>
      <c r="F1057" s="674" t="s">
        <v>596</v>
      </c>
      <c r="G1057" s="735"/>
      <c r="H1057" s="735"/>
      <c r="I1057" s="735"/>
      <c r="J1057" s="735"/>
      <c r="K1057" s="735"/>
      <c r="L1057" s="735"/>
      <c r="M1057" s="735"/>
      <c r="N1057" s="735"/>
      <c r="O1057" s="735"/>
      <c r="P1057" s="732"/>
      <c r="Q1057" s="732"/>
      <c r="R1057" s="732"/>
      <c r="S1057" s="683">
        <v>0</v>
      </c>
      <c r="T1057" s="683">
        <v>0</v>
      </c>
      <c r="U1057" s="683">
        <v>0</v>
      </c>
      <c r="V1057" s="683">
        <v>0</v>
      </c>
      <c r="W1057" s="683">
        <v>0</v>
      </c>
      <c r="X1057" s="683">
        <v>0</v>
      </c>
      <c r="Y1057" s="683">
        <v>0</v>
      </c>
      <c r="Z1057" s="683">
        <v>0</v>
      </c>
      <c r="AA1057" s="683">
        <v>45</v>
      </c>
      <c r="AB1057" s="683">
        <v>0</v>
      </c>
      <c r="AC1057" s="683">
        <v>0</v>
      </c>
      <c r="AD1057" s="683">
        <v>0</v>
      </c>
      <c r="AE1057" s="732"/>
      <c r="AF1057" s="732"/>
      <c r="AG1057" s="732"/>
      <c r="AH1057" s="732"/>
      <c r="AI1057" s="732"/>
      <c r="AJ1057" s="732"/>
      <c r="AK1057" s="732"/>
      <c r="AL1057" s="732"/>
      <c r="AM1057" s="732"/>
      <c r="AN1057" s="732"/>
      <c r="AO1057" s="732"/>
      <c r="AP1057" s="732"/>
      <c r="AQ1057" s="732"/>
      <c r="AR1057" s="732"/>
      <c r="AS1057" s="732"/>
      <c r="AT1057" s="732"/>
      <c r="AU1057" s="732"/>
      <c r="AV1057" s="732"/>
      <c r="AW1057" s="732"/>
      <c r="AX1057" s="732"/>
      <c r="AY1057" s="732"/>
      <c r="AZ1057" s="732"/>
      <c r="BA1057" s="732"/>
      <c r="BB1057" s="732"/>
      <c r="BC1057" s="732"/>
      <c r="BD1057" s="732"/>
      <c r="BE1057" s="732"/>
      <c r="BF1057" s="732"/>
      <c r="BG1057" s="732"/>
      <c r="BH1057" s="732"/>
      <c r="BI1057" s="732"/>
      <c r="BJ1057" s="732"/>
      <c r="BK1057" s="732"/>
      <c r="BL1057" s="732"/>
      <c r="BM1057" s="732"/>
      <c r="BN1057" s="732"/>
      <c r="BO1057" s="732"/>
      <c r="BP1057" s="732"/>
      <c r="BQ1057" s="732"/>
      <c r="BR1057" s="732"/>
      <c r="BS1057" s="732"/>
      <c r="BT1057" s="732"/>
      <c r="BU1057" s="732"/>
      <c r="BV1057" s="732"/>
      <c r="BW1057" s="732"/>
      <c r="BX1057" s="732"/>
      <c r="BY1057" s="732"/>
      <c r="BZ1057" s="732"/>
      <c r="CA1057" s="732"/>
    </row>
    <row r="1058" spans="1:79" s="309" customFormat="1" hidden="1" outlineLevel="1" x14ac:dyDescent="0.35">
      <c r="A1058" s="575"/>
      <c r="B1058" s="575"/>
      <c r="C1058" s="575"/>
      <c r="D1058" s="575"/>
      <c r="E1058" s="575"/>
      <c r="F1058" s="671" t="s">
        <v>883</v>
      </c>
      <c r="G1058" s="735"/>
      <c r="H1058" s="735"/>
      <c r="I1058" s="735"/>
      <c r="J1058" s="735"/>
      <c r="K1058" s="735"/>
      <c r="L1058" s="735"/>
      <c r="M1058" s="735"/>
      <c r="N1058" s="735"/>
      <c r="O1058" s="735"/>
      <c r="P1058" s="732"/>
      <c r="Q1058" s="732"/>
      <c r="R1058" s="732"/>
      <c r="S1058" s="683">
        <v>0</v>
      </c>
      <c r="T1058" s="683">
        <v>0</v>
      </c>
      <c r="U1058" s="683">
        <v>0</v>
      </c>
      <c r="V1058" s="683">
        <v>0</v>
      </c>
      <c r="W1058" s="683">
        <v>0</v>
      </c>
      <c r="X1058" s="683">
        <v>0</v>
      </c>
      <c r="Y1058" s="683">
        <v>0</v>
      </c>
      <c r="Z1058" s="683">
        <v>0</v>
      </c>
      <c r="AA1058" s="683">
        <v>0</v>
      </c>
      <c r="AB1058" s="683">
        <v>0</v>
      </c>
      <c r="AC1058" s="683">
        <v>0</v>
      </c>
      <c r="AD1058" s="683">
        <v>0</v>
      </c>
      <c r="AE1058" s="732"/>
      <c r="AF1058" s="732"/>
      <c r="AG1058" s="732"/>
      <c r="AH1058" s="732"/>
      <c r="AI1058" s="732"/>
      <c r="AJ1058" s="732"/>
      <c r="AK1058" s="732"/>
      <c r="AL1058" s="732"/>
      <c r="AM1058" s="732"/>
      <c r="AN1058" s="732"/>
      <c r="AO1058" s="732"/>
      <c r="AP1058" s="732"/>
      <c r="AQ1058" s="732"/>
      <c r="AR1058" s="732"/>
      <c r="AS1058" s="732"/>
      <c r="AT1058" s="732"/>
      <c r="AU1058" s="732"/>
      <c r="AV1058" s="732"/>
      <c r="AW1058" s="732"/>
      <c r="AX1058" s="732"/>
      <c r="AY1058" s="732"/>
      <c r="AZ1058" s="732"/>
      <c r="BA1058" s="732"/>
      <c r="BB1058" s="732"/>
      <c r="BC1058" s="732"/>
      <c r="BD1058" s="732"/>
      <c r="BE1058" s="732"/>
      <c r="BF1058" s="732"/>
      <c r="BG1058" s="732"/>
      <c r="BH1058" s="732"/>
      <c r="BI1058" s="732"/>
      <c r="BJ1058" s="732"/>
      <c r="BK1058" s="732"/>
      <c r="BL1058" s="732"/>
      <c r="BM1058" s="732"/>
      <c r="BN1058" s="732"/>
      <c r="BO1058" s="732"/>
      <c r="BP1058" s="732"/>
      <c r="BQ1058" s="732"/>
      <c r="BR1058" s="732"/>
      <c r="BS1058" s="732"/>
      <c r="BT1058" s="732"/>
      <c r="BU1058" s="732"/>
      <c r="BV1058" s="732"/>
      <c r="BW1058" s="732"/>
      <c r="BX1058" s="732"/>
      <c r="BY1058" s="732"/>
      <c r="BZ1058" s="732"/>
      <c r="CA1058" s="732"/>
    </row>
    <row r="1059" spans="1:79" s="726" customFormat="1" hidden="1" outlineLevel="1" x14ac:dyDescent="0.35">
      <c r="F1059" s="717" t="s">
        <v>766</v>
      </c>
      <c r="G1059" s="750"/>
      <c r="H1059" s="750"/>
      <c r="I1059" s="750"/>
      <c r="J1059" s="750"/>
      <c r="K1059" s="750"/>
      <c r="L1059" s="750"/>
      <c r="M1059" s="750"/>
      <c r="N1059" s="750"/>
      <c r="O1059" s="750"/>
      <c r="P1059" s="751"/>
      <c r="Q1059" s="751"/>
      <c r="R1059" s="751"/>
      <c r="S1059" s="720"/>
      <c r="T1059" s="720"/>
      <c r="U1059" s="720"/>
      <c r="V1059" s="720"/>
      <c r="W1059" s="720"/>
      <c r="X1059" s="720"/>
      <c r="Y1059" s="720"/>
      <c r="Z1059" s="720"/>
      <c r="AA1059" s="720"/>
      <c r="AB1059" s="720"/>
      <c r="AC1059" s="720"/>
      <c r="AD1059" s="720"/>
      <c r="AE1059" s="751"/>
      <c r="AF1059" s="751"/>
      <c r="AG1059" s="751"/>
      <c r="AH1059" s="751"/>
      <c r="AI1059" s="751"/>
      <c r="AJ1059" s="751"/>
      <c r="AK1059" s="751"/>
      <c r="AL1059" s="751"/>
      <c r="AM1059" s="751"/>
      <c r="AN1059" s="751"/>
      <c r="AO1059" s="751"/>
      <c r="AP1059" s="751"/>
      <c r="AQ1059" s="751"/>
      <c r="AR1059" s="751"/>
      <c r="AS1059" s="751"/>
      <c r="AT1059" s="751"/>
      <c r="AU1059" s="751"/>
      <c r="AV1059" s="751"/>
      <c r="AW1059" s="751"/>
      <c r="AX1059" s="751"/>
      <c r="AY1059" s="751"/>
      <c r="AZ1059" s="751"/>
      <c r="BA1059" s="751"/>
      <c r="BB1059" s="751"/>
      <c r="BC1059" s="751"/>
      <c r="BD1059" s="751"/>
      <c r="BE1059" s="751"/>
      <c r="BF1059" s="751"/>
      <c r="BG1059" s="751"/>
      <c r="BH1059" s="751"/>
      <c r="BI1059" s="751"/>
      <c r="BJ1059" s="751"/>
      <c r="BK1059" s="751"/>
      <c r="BL1059" s="751"/>
      <c r="BM1059" s="751"/>
      <c r="BN1059" s="751"/>
      <c r="BO1059" s="751"/>
      <c r="BP1059" s="751"/>
      <c r="BQ1059" s="751"/>
      <c r="BR1059" s="751"/>
      <c r="BS1059" s="751"/>
      <c r="BT1059" s="751"/>
      <c r="BU1059" s="751"/>
      <c r="BV1059" s="751"/>
      <c r="BW1059" s="751"/>
      <c r="BX1059" s="751"/>
      <c r="BY1059" s="751"/>
      <c r="BZ1059" s="751"/>
      <c r="CA1059" s="751"/>
    </row>
    <row r="1060" spans="1:79" s="309" customFormat="1" hidden="1" outlineLevel="1" x14ac:dyDescent="0.35">
      <c r="A1060" s="575"/>
      <c r="B1060" s="575"/>
      <c r="C1060" s="575"/>
      <c r="D1060" s="575"/>
      <c r="E1060" s="575"/>
      <c r="F1060" s="672" t="s">
        <v>884</v>
      </c>
      <c r="G1060" s="735"/>
      <c r="H1060" s="735"/>
      <c r="I1060" s="735"/>
      <c r="J1060" s="735"/>
      <c r="K1060" s="735"/>
      <c r="L1060" s="735"/>
      <c r="M1060" s="735"/>
      <c r="N1060" s="735"/>
      <c r="O1060" s="735"/>
      <c r="P1060" s="732"/>
      <c r="Q1060" s="732"/>
      <c r="R1060" s="732"/>
      <c r="S1060" s="683">
        <v>0</v>
      </c>
      <c r="T1060" s="683">
        <v>0</v>
      </c>
      <c r="U1060" s="683">
        <v>0</v>
      </c>
      <c r="V1060" s="683">
        <v>0</v>
      </c>
      <c r="W1060" s="683">
        <v>0</v>
      </c>
      <c r="X1060" s="683">
        <v>0</v>
      </c>
      <c r="Y1060" s="683">
        <v>0</v>
      </c>
      <c r="Z1060" s="683">
        <v>0</v>
      </c>
      <c r="AA1060" s="683">
        <v>0</v>
      </c>
      <c r="AB1060" s="683">
        <v>0</v>
      </c>
      <c r="AC1060" s="683">
        <v>0</v>
      </c>
      <c r="AD1060" s="683">
        <v>0</v>
      </c>
      <c r="AE1060" s="732"/>
      <c r="AF1060" s="732"/>
      <c r="AG1060" s="732"/>
      <c r="AH1060" s="732"/>
      <c r="AI1060" s="732"/>
      <c r="AJ1060" s="732"/>
      <c r="AK1060" s="732"/>
      <c r="AL1060" s="732"/>
      <c r="AM1060" s="732"/>
      <c r="AN1060" s="732"/>
      <c r="AO1060" s="732"/>
      <c r="AP1060" s="732"/>
      <c r="AQ1060" s="732"/>
      <c r="AR1060" s="732"/>
      <c r="AS1060" s="732"/>
      <c r="AT1060" s="732"/>
      <c r="AU1060" s="732"/>
      <c r="AV1060" s="732"/>
      <c r="AW1060" s="732"/>
      <c r="AX1060" s="732"/>
      <c r="AY1060" s="732"/>
      <c r="AZ1060" s="732"/>
      <c r="BA1060" s="732"/>
      <c r="BB1060" s="732"/>
      <c r="BC1060" s="732"/>
      <c r="BD1060" s="732"/>
      <c r="BE1060" s="732"/>
      <c r="BF1060" s="732"/>
      <c r="BG1060" s="732"/>
      <c r="BH1060" s="732"/>
      <c r="BI1060" s="732"/>
      <c r="BJ1060" s="732"/>
      <c r="BK1060" s="732"/>
      <c r="BL1060" s="732"/>
      <c r="BM1060" s="732"/>
      <c r="BN1060" s="732"/>
      <c r="BO1060" s="732"/>
      <c r="BP1060" s="732"/>
      <c r="BQ1060" s="732"/>
      <c r="BR1060" s="732"/>
      <c r="BS1060" s="732"/>
      <c r="BT1060" s="732"/>
      <c r="BU1060" s="732"/>
      <c r="BV1060" s="732"/>
      <c r="BW1060" s="732"/>
      <c r="BX1060" s="732"/>
      <c r="BY1060" s="732"/>
      <c r="BZ1060" s="732"/>
      <c r="CA1060" s="732"/>
    </row>
    <row r="1061" spans="1:79" s="309" customFormat="1" hidden="1" outlineLevel="1" x14ac:dyDescent="0.35">
      <c r="A1061" s="575"/>
      <c r="B1061" s="575"/>
      <c r="C1061" s="575"/>
      <c r="D1061" s="575"/>
      <c r="E1061" s="575"/>
      <c r="F1061" s="672" t="s">
        <v>885</v>
      </c>
      <c r="G1061" s="735"/>
      <c r="H1061" s="735"/>
      <c r="I1061" s="735"/>
      <c r="J1061" s="735"/>
      <c r="K1061" s="735"/>
      <c r="L1061" s="735"/>
      <c r="M1061" s="735"/>
      <c r="N1061" s="735"/>
      <c r="O1061" s="735"/>
      <c r="P1061" s="732"/>
      <c r="Q1061" s="732"/>
      <c r="R1061" s="732"/>
      <c r="S1061" s="683">
        <v>0</v>
      </c>
      <c r="T1061" s="683">
        <v>0</v>
      </c>
      <c r="U1061" s="683">
        <v>0</v>
      </c>
      <c r="V1061" s="683">
        <v>0</v>
      </c>
      <c r="W1061" s="683">
        <v>0</v>
      </c>
      <c r="X1061" s="683">
        <v>0</v>
      </c>
      <c r="Y1061" s="683">
        <v>0</v>
      </c>
      <c r="Z1061" s="683">
        <v>0</v>
      </c>
      <c r="AA1061" s="683">
        <v>0</v>
      </c>
      <c r="AB1061" s="683">
        <v>0</v>
      </c>
      <c r="AC1061" s="683">
        <v>0</v>
      </c>
      <c r="AD1061" s="683">
        <v>0</v>
      </c>
      <c r="AE1061" s="732"/>
      <c r="AF1061" s="732"/>
      <c r="AG1061" s="732"/>
      <c r="AH1061" s="732"/>
      <c r="AI1061" s="732"/>
      <c r="AJ1061" s="732"/>
      <c r="AK1061" s="732"/>
      <c r="AL1061" s="732"/>
      <c r="AM1061" s="732"/>
      <c r="AN1061" s="732"/>
      <c r="AO1061" s="732"/>
      <c r="AP1061" s="732"/>
      <c r="AQ1061" s="732"/>
      <c r="AR1061" s="732"/>
      <c r="AS1061" s="732"/>
      <c r="AT1061" s="732"/>
      <c r="AU1061" s="732"/>
      <c r="AV1061" s="732"/>
      <c r="AW1061" s="732"/>
      <c r="AX1061" s="732"/>
      <c r="AY1061" s="732"/>
      <c r="AZ1061" s="732"/>
      <c r="BA1061" s="732"/>
      <c r="BB1061" s="732"/>
      <c r="BC1061" s="732"/>
      <c r="BD1061" s="732"/>
      <c r="BE1061" s="732"/>
      <c r="BF1061" s="732"/>
      <c r="BG1061" s="732"/>
      <c r="BH1061" s="732"/>
      <c r="BI1061" s="732"/>
      <c r="BJ1061" s="732"/>
      <c r="BK1061" s="732"/>
      <c r="BL1061" s="732"/>
      <c r="BM1061" s="732"/>
      <c r="BN1061" s="732"/>
      <c r="BO1061" s="732"/>
      <c r="BP1061" s="732"/>
      <c r="BQ1061" s="732"/>
      <c r="BR1061" s="732"/>
      <c r="BS1061" s="732"/>
      <c r="BT1061" s="732"/>
      <c r="BU1061" s="732"/>
      <c r="BV1061" s="732"/>
      <c r="BW1061" s="732"/>
      <c r="BX1061" s="732"/>
      <c r="BY1061" s="732"/>
      <c r="BZ1061" s="732"/>
      <c r="CA1061" s="732"/>
    </row>
    <row r="1062" spans="1:79" s="309" customFormat="1" hidden="1" outlineLevel="1" x14ac:dyDescent="0.35">
      <c r="A1062" s="575"/>
      <c r="B1062" s="575"/>
      <c r="C1062" s="575"/>
      <c r="D1062" s="575"/>
      <c r="E1062" s="575"/>
      <c r="F1062" s="672" t="s">
        <v>886</v>
      </c>
      <c r="G1062" s="735"/>
      <c r="H1062" s="735"/>
      <c r="I1062" s="735"/>
      <c r="J1062" s="735"/>
      <c r="K1062" s="735"/>
      <c r="L1062" s="735"/>
      <c r="M1062" s="735"/>
      <c r="N1062" s="735"/>
      <c r="O1062" s="735"/>
      <c r="P1062" s="732"/>
      <c r="Q1062" s="732"/>
      <c r="R1062" s="732"/>
      <c r="S1062" s="683">
        <v>0</v>
      </c>
      <c r="T1062" s="683">
        <v>0</v>
      </c>
      <c r="U1062" s="683">
        <v>0</v>
      </c>
      <c r="V1062" s="683">
        <v>0</v>
      </c>
      <c r="W1062" s="683">
        <v>0</v>
      </c>
      <c r="X1062" s="683">
        <v>0</v>
      </c>
      <c r="Y1062" s="683">
        <v>0</v>
      </c>
      <c r="Z1062" s="683">
        <v>0</v>
      </c>
      <c r="AA1062" s="683">
        <v>0</v>
      </c>
      <c r="AB1062" s="683">
        <v>0</v>
      </c>
      <c r="AC1062" s="683">
        <v>0</v>
      </c>
      <c r="AD1062" s="683">
        <v>0</v>
      </c>
      <c r="AE1062" s="732"/>
      <c r="AF1062" s="732"/>
      <c r="AG1062" s="732"/>
      <c r="AH1062" s="732"/>
      <c r="AI1062" s="732"/>
      <c r="AJ1062" s="732"/>
      <c r="AK1062" s="732"/>
      <c r="AL1062" s="732"/>
      <c r="AM1062" s="732"/>
      <c r="AN1062" s="732"/>
      <c r="AO1062" s="732"/>
      <c r="AP1062" s="732"/>
      <c r="AQ1062" s="732"/>
      <c r="AR1062" s="732"/>
      <c r="AS1062" s="732"/>
      <c r="AT1062" s="732"/>
      <c r="AU1062" s="732"/>
      <c r="AV1062" s="732"/>
      <c r="AW1062" s="732"/>
      <c r="AX1062" s="732"/>
      <c r="AY1062" s="732"/>
      <c r="AZ1062" s="732"/>
      <c r="BA1062" s="732"/>
      <c r="BB1062" s="732"/>
      <c r="BC1062" s="732"/>
      <c r="BD1062" s="732"/>
      <c r="BE1062" s="732"/>
      <c r="BF1062" s="732"/>
      <c r="BG1062" s="732"/>
      <c r="BH1062" s="732"/>
      <c r="BI1062" s="732"/>
      <c r="BJ1062" s="732"/>
      <c r="BK1062" s="732"/>
      <c r="BL1062" s="732"/>
      <c r="BM1062" s="732"/>
      <c r="BN1062" s="732"/>
      <c r="BO1062" s="732"/>
      <c r="BP1062" s="732"/>
      <c r="BQ1062" s="732"/>
      <c r="BR1062" s="732"/>
      <c r="BS1062" s="732"/>
      <c r="BT1062" s="732"/>
      <c r="BU1062" s="732"/>
      <c r="BV1062" s="732"/>
      <c r="BW1062" s="732"/>
      <c r="BX1062" s="732"/>
      <c r="BY1062" s="732"/>
      <c r="BZ1062" s="732"/>
      <c r="CA1062" s="732"/>
    </row>
    <row r="1063" spans="1:79" s="309" customFormat="1" hidden="1" outlineLevel="1" x14ac:dyDescent="0.35">
      <c r="A1063" s="575"/>
      <c r="B1063" s="575"/>
      <c r="C1063" s="575"/>
      <c r="D1063" s="575"/>
      <c r="E1063" s="575"/>
      <c r="F1063" s="672" t="s">
        <v>664</v>
      </c>
      <c r="G1063" s="735"/>
      <c r="H1063" s="735"/>
      <c r="I1063" s="735"/>
      <c r="J1063" s="735"/>
      <c r="K1063" s="735"/>
      <c r="L1063" s="735"/>
      <c r="M1063" s="735"/>
      <c r="N1063" s="735"/>
      <c r="O1063" s="735"/>
      <c r="P1063" s="732"/>
      <c r="Q1063" s="732"/>
      <c r="R1063" s="732"/>
      <c r="S1063" s="683">
        <v>0</v>
      </c>
      <c r="T1063" s="683">
        <v>0</v>
      </c>
      <c r="U1063" s="683">
        <v>0</v>
      </c>
      <c r="V1063" s="683">
        <v>0</v>
      </c>
      <c r="W1063" s="683">
        <v>0</v>
      </c>
      <c r="X1063" s="683">
        <v>0</v>
      </c>
      <c r="Y1063" s="683">
        <v>0</v>
      </c>
      <c r="Z1063" s="683">
        <v>0</v>
      </c>
      <c r="AA1063" s="683">
        <v>0</v>
      </c>
      <c r="AB1063" s="683">
        <v>0</v>
      </c>
      <c r="AC1063" s="683">
        <v>0</v>
      </c>
      <c r="AD1063" s="683">
        <v>0</v>
      </c>
      <c r="AE1063" s="732"/>
      <c r="AF1063" s="732"/>
      <c r="AG1063" s="732"/>
      <c r="AH1063" s="732"/>
      <c r="AI1063" s="732"/>
      <c r="AJ1063" s="732"/>
      <c r="AK1063" s="732"/>
      <c r="AL1063" s="732"/>
      <c r="AM1063" s="732"/>
      <c r="AN1063" s="732"/>
      <c r="AO1063" s="732"/>
      <c r="AP1063" s="732"/>
      <c r="AQ1063" s="732"/>
      <c r="AR1063" s="732"/>
      <c r="AS1063" s="732"/>
      <c r="AT1063" s="732"/>
      <c r="AU1063" s="732"/>
      <c r="AV1063" s="732"/>
      <c r="AW1063" s="732"/>
      <c r="AX1063" s="732"/>
      <c r="AY1063" s="732"/>
      <c r="AZ1063" s="732"/>
      <c r="BA1063" s="732"/>
      <c r="BB1063" s="732"/>
      <c r="BC1063" s="732"/>
      <c r="BD1063" s="732"/>
      <c r="BE1063" s="732"/>
      <c r="BF1063" s="732"/>
      <c r="BG1063" s="732"/>
      <c r="BH1063" s="732"/>
      <c r="BI1063" s="732"/>
      <c r="BJ1063" s="732"/>
      <c r="BK1063" s="732"/>
      <c r="BL1063" s="732"/>
      <c r="BM1063" s="732"/>
      <c r="BN1063" s="732"/>
      <c r="BO1063" s="732"/>
      <c r="BP1063" s="732"/>
      <c r="BQ1063" s="732"/>
      <c r="BR1063" s="732"/>
      <c r="BS1063" s="732"/>
      <c r="BT1063" s="732"/>
      <c r="BU1063" s="732"/>
      <c r="BV1063" s="732"/>
      <c r="BW1063" s="732"/>
      <c r="BX1063" s="732"/>
      <c r="BY1063" s="732"/>
      <c r="BZ1063" s="732"/>
      <c r="CA1063" s="732"/>
    </row>
    <row r="1064" spans="1:79" s="309" customFormat="1" hidden="1" outlineLevel="1" x14ac:dyDescent="0.35">
      <c r="A1064" s="575"/>
      <c r="B1064" s="575"/>
      <c r="C1064" s="575"/>
      <c r="D1064" s="575"/>
      <c r="E1064" s="575"/>
      <c r="F1064" s="672" t="s">
        <v>665</v>
      </c>
      <c r="G1064" s="735"/>
      <c r="H1064" s="735"/>
      <c r="I1064" s="735"/>
      <c r="J1064" s="735"/>
      <c r="K1064" s="735"/>
      <c r="L1064" s="735"/>
      <c r="M1064" s="735"/>
      <c r="N1064" s="735"/>
      <c r="O1064" s="735"/>
      <c r="P1064" s="732"/>
      <c r="Q1064" s="732"/>
      <c r="R1064" s="732"/>
      <c r="S1064" s="683">
        <v>0</v>
      </c>
      <c r="T1064" s="683">
        <v>0</v>
      </c>
      <c r="U1064" s="683">
        <v>0</v>
      </c>
      <c r="V1064" s="683">
        <v>0</v>
      </c>
      <c r="W1064" s="683">
        <v>0</v>
      </c>
      <c r="X1064" s="683">
        <v>0</v>
      </c>
      <c r="Y1064" s="683">
        <v>0</v>
      </c>
      <c r="Z1064" s="683">
        <v>0</v>
      </c>
      <c r="AA1064" s="683">
        <v>0</v>
      </c>
      <c r="AB1064" s="683">
        <v>0</v>
      </c>
      <c r="AC1064" s="683">
        <v>0</v>
      </c>
      <c r="AD1064" s="683">
        <v>0</v>
      </c>
      <c r="AE1064" s="732"/>
      <c r="AF1064" s="732"/>
      <c r="AG1064" s="732"/>
      <c r="AH1064" s="732"/>
      <c r="AI1064" s="732"/>
      <c r="AJ1064" s="732"/>
      <c r="AK1064" s="732"/>
      <c r="AL1064" s="732"/>
      <c r="AM1064" s="732"/>
      <c r="AN1064" s="732"/>
      <c r="AO1064" s="732"/>
      <c r="AP1064" s="732"/>
      <c r="AQ1064" s="732"/>
      <c r="AR1064" s="732"/>
      <c r="AS1064" s="732"/>
      <c r="AT1064" s="732"/>
      <c r="AU1064" s="732"/>
      <c r="AV1064" s="732"/>
      <c r="AW1064" s="732"/>
      <c r="AX1064" s="732"/>
      <c r="AY1064" s="732"/>
      <c r="AZ1064" s="732"/>
      <c r="BA1064" s="732"/>
      <c r="BB1064" s="732"/>
      <c r="BC1064" s="732"/>
      <c r="BD1064" s="732"/>
      <c r="BE1064" s="732"/>
      <c r="BF1064" s="732"/>
      <c r="BG1064" s="732"/>
      <c r="BH1064" s="732"/>
      <c r="BI1064" s="732"/>
      <c r="BJ1064" s="732"/>
      <c r="BK1064" s="732"/>
      <c r="BL1064" s="732"/>
      <c r="BM1064" s="732"/>
      <c r="BN1064" s="732"/>
      <c r="BO1064" s="732"/>
      <c r="BP1064" s="732"/>
      <c r="BQ1064" s="732"/>
      <c r="BR1064" s="732"/>
      <c r="BS1064" s="732"/>
      <c r="BT1064" s="732"/>
      <c r="BU1064" s="732"/>
      <c r="BV1064" s="732"/>
      <c r="BW1064" s="732"/>
      <c r="BX1064" s="732"/>
      <c r="BY1064" s="732"/>
      <c r="BZ1064" s="732"/>
      <c r="CA1064" s="732"/>
    </row>
    <row r="1065" spans="1:79" s="309" customFormat="1" hidden="1" outlineLevel="1" x14ac:dyDescent="0.35">
      <c r="A1065" s="575"/>
      <c r="B1065" s="575"/>
      <c r="C1065" s="575"/>
      <c r="D1065" s="575"/>
      <c r="E1065" s="575"/>
      <c r="F1065" s="672" t="s">
        <v>887</v>
      </c>
      <c r="G1065" s="735"/>
      <c r="H1065" s="735"/>
      <c r="I1065" s="735"/>
      <c r="J1065" s="735"/>
      <c r="K1065" s="735"/>
      <c r="L1065" s="735"/>
      <c r="M1065" s="735"/>
      <c r="N1065" s="735"/>
      <c r="O1065" s="735"/>
      <c r="P1065" s="732"/>
      <c r="Q1065" s="732"/>
      <c r="R1065" s="732"/>
      <c r="S1065" s="683">
        <v>0</v>
      </c>
      <c r="T1065" s="683">
        <v>0</v>
      </c>
      <c r="U1065" s="683">
        <v>0</v>
      </c>
      <c r="V1065" s="683">
        <v>0</v>
      </c>
      <c r="W1065" s="683">
        <v>0</v>
      </c>
      <c r="X1065" s="683">
        <v>0</v>
      </c>
      <c r="Y1065" s="683">
        <v>0</v>
      </c>
      <c r="Z1065" s="683">
        <v>0</v>
      </c>
      <c r="AA1065" s="683">
        <v>0</v>
      </c>
      <c r="AB1065" s="683">
        <v>0</v>
      </c>
      <c r="AC1065" s="683">
        <v>0</v>
      </c>
      <c r="AD1065" s="683">
        <v>0</v>
      </c>
      <c r="AE1065" s="732"/>
      <c r="AF1065" s="732"/>
      <c r="AG1065" s="732"/>
      <c r="AH1065" s="732"/>
      <c r="AI1065" s="732"/>
      <c r="AJ1065" s="732"/>
      <c r="AK1065" s="732"/>
      <c r="AL1065" s="732"/>
      <c r="AM1065" s="732"/>
      <c r="AN1065" s="732"/>
      <c r="AO1065" s="732"/>
      <c r="AP1065" s="732"/>
      <c r="AQ1065" s="732"/>
      <c r="AR1065" s="732"/>
      <c r="AS1065" s="732"/>
      <c r="AT1065" s="732"/>
      <c r="AU1065" s="732"/>
      <c r="AV1065" s="732"/>
      <c r="AW1065" s="732"/>
      <c r="AX1065" s="732"/>
      <c r="AY1065" s="732"/>
      <c r="AZ1065" s="732"/>
      <c r="BA1065" s="732"/>
      <c r="BB1065" s="732"/>
      <c r="BC1065" s="732"/>
      <c r="BD1065" s="732"/>
      <c r="BE1065" s="732"/>
      <c r="BF1065" s="732"/>
      <c r="BG1065" s="732"/>
      <c r="BH1065" s="732"/>
      <c r="BI1065" s="732"/>
      <c r="BJ1065" s="732"/>
      <c r="BK1065" s="732"/>
      <c r="BL1065" s="732"/>
      <c r="BM1065" s="732"/>
      <c r="BN1065" s="732"/>
      <c r="BO1065" s="732"/>
      <c r="BP1065" s="732"/>
      <c r="BQ1065" s="732"/>
      <c r="BR1065" s="732"/>
      <c r="BS1065" s="732"/>
      <c r="BT1065" s="732"/>
      <c r="BU1065" s="732"/>
      <c r="BV1065" s="732"/>
      <c r="BW1065" s="732"/>
      <c r="BX1065" s="732"/>
      <c r="BY1065" s="732"/>
      <c r="BZ1065" s="732"/>
      <c r="CA1065" s="732"/>
    </row>
    <row r="1066" spans="1:79" s="309" customFormat="1" hidden="1" outlineLevel="1" x14ac:dyDescent="0.35">
      <c r="A1066" s="575"/>
      <c r="B1066" s="575"/>
      <c r="C1066" s="575"/>
      <c r="D1066" s="575"/>
      <c r="E1066" s="575"/>
      <c r="F1066" s="672" t="s">
        <v>666</v>
      </c>
      <c r="G1066" s="735"/>
      <c r="H1066" s="735"/>
      <c r="I1066" s="735"/>
      <c r="J1066" s="735"/>
      <c r="K1066" s="735"/>
      <c r="L1066" s="735"/>
      <c r="M1066" s="735"/>
      <c r="N1066" s="735"/>
      <c r="O1066" s="735"/>
      <c r="P1066" s="732"/>
      <c r="Q1066" s="732"/>
      <c r="R1066" s="732"/>
      <c r="S1066" s="683">
        <v>0</v>
      </c>
      <c r="T1066" s="683">
        <v>0</v>
      </c>
      <c r="U1066" s="683">
        <v>0</v>
      </c>
      <c r="V1066" s="683">
        <v>0</v>
      </c>
      <c r="W1066" s="683">
        <v>0</v>
      </c>
      <c r="X1066" s="683">
        <v>0</v>
      </c>
      <c r="Y1066" s="683">
        <v>0</v>
      </c>
      <c r="Z1066" s="683">
        <v>0</v>
      </c>
      <c r="AA1066" s="683">
        <v>0</v>
      </c>
      <c r="AB1066" s="683">
        <v>0</v>
      </c>
      <c r="AC1066" s="683">
        <v>0</v>
      </c>
      <c r="AD1066" s="683">
        <v>0</v>
      </c>
      <c r="AE1066" s="732"/>
      <c r="AF1066" s="732"/>
      <c r="AG1066" s="732"/>
      <c r="AH1066" s="732"/>
      <c r="AI1066" s="732"/>
      <c r="AJ1066" s="732"/>
      <c r="AK1066" s="732"/>
      <c r="AL1066" s="732"/>
      <c r="AM1066" s="732"/>
      <c r="AN1066" s="732"/>
      <c r="AO1066" s="732"/>
      <c r="AP1066" s="732"/>
      <c r="AQ1066" s="732"/>
      <c r="AR1066" s="732"/>
      <c r="AS1066" s="732"/>
      <c r="AT1066" s="732"/>
      <c r="AU1066" s="732"/>
      <c r="AV1066" s="732"/>
      <c r="AW1066" s="732"/>
      <c r="AX1066" s="732"/>
      <c r="AY1066" s="732"/>
      <c r="AZ1066" s="732"/>
      <c r="BA1066" s="732"/>
      <c r="BB1066" s="732"/>
      <c r="BC1066" s="732"/>
      <c r="BD1066" s="732"/>
      <c r="BE1066" s="732"/>
      <c r="BF1066" s="732"/>
      <c r="BG1066" s="732"/>
      <c r="BH1066" s="732"/>
      <c r="BI1066" s="732"/>
      <c r="BJ1066" s="732"/>
      <c r="BK1066" s="732"/>
      <c r="BL1066" s="732"/>
      <c r="BM1066" s="732"/>
      <c r="BN1066" s="732"/>
      <c r="BO1066" s="732"/>
      <c r="BP1066" s="732"/>
      <c r="BQ1066" s="732"/>
      <c r="BR1066" s="732"/>
      <c r="BS1066" s="732"/>
      <c r="BT1066" s="732"/>
      <c r="BU1066" s="732"/>
      <c r="BV1066" s="732"/>
      <c r="BW1066" s="732"/>
      <c r="BX1066" s="732"/>
      <c r="BY1066" s="732"/>
      <c r="BZ1066" s="732"/>
      <c r="CA1066" s="732"/>
    </row>
    <row r="1067" spans="1:79" s="309" customFormat="1" hidden="1" outlineLevel="1" x14ac:dyDescent="0.35">
      <c r="A1067" s="575"/>
      <c r="B1067" s="575"/>
      <c r="C1067" s="575"/>
      <c r="D1067" s="575"/>
      <c r="E1067" s="575"/>
      <c r="F1067" s="676" t="s">
        <v>667</v>
      </c>
      <c r="G1067" s="735"/>
      <c r="H1067" s="735"/>
      <c r="I1067" s="735"/>
      <c r="J1067" s="735"/>
      <c r="K1067" s="735"/>
      <c r="L1067" s="735"/>
      <c r="M1067" s="735"/>
      <c r="N1067" s="735"/>
      <c r="O1067" s="735"/>
      <c r="P1067" s="732"/>
      <c r="Q1067" s="732"/>
      <c r="R1067" s="732"/>
      <c r="S1067" s="683">
        <v>0</v>
      </c>
      <c r="T1067" s="683">
        <v>0</v>
      </c>
      <c r="U1067" s="683">
        <v>0</v>
      </c>
      <c r="V1067" s="683">
        <v>0</v>
      </c>
      <c r="W1067" s="683">
        <v>0</v>
      </c>
      <c r="X1067" s="683">
        <v>0</v>
      </c>
      <c r="Y1067" s="683">
        <v>0</v>
      </c>
      <c r="Z1067" s="683">
        <v>38.619999999999997</v>
      </c>
      <c r="AA1067" s="683">
        <v>46.33</v>
      </c>
      <c r="AB1067" s="683">
        <v>40.99</v>
      </c>
      <c r="AC1067" s="683">
        <v>38.06</v>
      </c>
      <c r="AD1067" s="683">
        <v>0</v>
      </c>
      <c r="AE1067" s="732"/>
      <c r="AF1067" s="732"/>
      <c r="AG1067" s="732"/>
      <c r="AH1067" s="732"/>
      <c r="AI1067" s="732"/>
      <c r="AJ1067" s="732"/>
      <c r="AK1067" s="732"/>
      <c r="AL1067" s="732"/>
      <c r="AM1067" s="732"/>
      <c r="AN1067" s="732"/>
      <c r="AO1067" s="732"/>
      <c r="AP1067" s="732"/>
      <c r="AQ1067" s="732"/>
      <c r="AR1067" s="732"/>
      <c r="AS1067" s="732"/>
      <c r="AT1067" s="732"/>
      <c r="AU1067" s="732"/>
      <c r="AV1067" s="732"/>
      <c r="AW1067" s="732"/>
      <c r="AX1067" s="732"/>
      <c r="AY1067" s="732"/>
      <c r="AZ1067" s="732"/>
      <c r="BA1067" s="732"/>
      <c r="BB1067" s="732"/>
      <c r="BC1067" s="732"/>
      <c r="BD1067" s="732"/>
      <c r="BE1067" s="732"/>
      <c r="BF1067" s="732"/>
      <c r="BG1067" s="732"/>
      <c r="BH1067" s="732"/>
      <c r="BI1067" s="732"/>
      <c r="BJ1067" s="732"/>
      <c r="BK1067" s="732"/>
      <c r="BL1067" s="732"/>
      <c r="BM1067" s="732"/>
      <c r="BN1067" s="732"/>
      <c r="BO1067" s="732"/>
      <c r="BP1067" s="732"/>
      <c r="BQ1067" s="732"/>
      <c r="BR1067" s="732"/>
      <c r="BS1067" s="732"/>
      <c r="BT1067" s="732"/>
      <c r="BU1067" s="732"/>
      <c r="BV1067" s="732"/>
      <c r="BW1067" s="732"/>
      <c r="BX1067" s="732"/>
      <c r="BY1067" s="732"/>
      <c r="BZ1067" s="732"/>
      <c r="CA1067" s="732"/>
    </row>
    <row r="1068" spans="1:79" s="309" customFormat="1" hidden="1" outlineLevel="1" x14ac:dyDescent="0.35">
      <c r="A1068" s="575"/>
      <c r="B1068" s="575"/>
      <c r="C1068" s="575"/>
      <c r="D1068" s="575"/>
      <c r="E1068" s="575"/>
      <c r="F1068" s="672" t="s">
        <v>888</v>
      </c>
      <c r="G1068" s="735"/>
      <c r="H1068" s="735"/>
      <c r="I1068" s="735"/>
      <c r="J1068" s="735"/>
      <c r="K1068" s="735"/>
      <c r="L1068" s="735"/>
      <c r="M1068" s="735"/>
      <c r="N1068" s="735"/>
      <c r="O1068" s="735"/>
      <c r="P1068" s="732"/>
      <c r="Q1068" s="732"/>
      <c r="R1068" s="732"/>
      <c r="S1068" s="683">
        <v>0</v>
      </c>
      <c r="T1068" s="683">
        <v>0</v>
      </c>
      <c r="U1068" s="683">
        <v>0</v>
      </c>
      <c r="V1068" s="683">
        <v>0</v>
      </c>
      <c r="W1068" s="683">
        <v>0</v>
      </c>
      <c r="X1068" s="683">
        <v>0</v>
      </c>
      <c r="Y1068" s="683">
        <v>0</v>
      </c>
      <c r="Z1068" s="683">
        <v>0</v>
      </c>
      <c r="AA1068" s="683">
        <v>0</v>
      </c>
      <c r="AB1068" s="683">
        <v>0</v>
      </c>
      <c r="AC1068" s="683">
        <v>0</v>
      </c>
      <c r="AD1068" s="683">
        <v>0</v>
      </c>
      <c r="AE1068" s="732"/>
      <c r="AF1068" s="732"/>
      <c r="AG1068" s="732"/>
      <c r="AH1068" s="732"/>
      <c r="AI1068" s="732"/>
      <c r="AJ1068" s="732"/>
      <c r="AK1068" s="732"/>
      <c r="AL1068" s="732"/>
      <c r="AM1068" s="732"/>
      <c r="AN1068" s="732"/>
      <c r="AO1068" s="732"/>
      <c r="AP1068" s="732"/>
      <c r="AQ1068" s="732"/>
      <c r="AR1068" s="732"/>
      <c r="AS1068" s="732"/>
      <c r="AT1068" s="732"/>
      <c r="AU1068" s="732"/>
      <c r="AV1068" s="732"/>
      <c r="AW1068" s="732"/>
      <c r="AX1068" s="732"/>
      <c r="AY1068" s="732"/>
      <c r="AZ1068" s="732"/>
      <c r="BA1068" s="732"/>
      <c r="BB1068" s="732"/>
      <c r="BC1068" s="732"/>
      <c r="BD1068" s="732"/>
      <c r="BE1068" s="732"/>
      <c r="BF1068" s="732"/>
      <c r="BG1068" s="732"/>
      <c r="BH1068" s="732"/>
      <c r="BI1068" s="732"/>
      <c r="BJ1068" s="732"/>
      <c r="BK1068" s="732"/>
      <c r="BL1068" s="732"/>
      <c r="BM1068" s="732"/>
      <c r="BN1068" s="732"/>
      <c r="BO1068" s="732"/>
      <c r="BP1068" s="732"/>
      <c r="BQ1068" s="732"/>
      <c r="BR1068" s="732"/>
      <c r="BS1068" s="732"/>
      <c r="BT1068" s="732"/>
      <c r="BU1068" s="732"/>
      <c r="BV1068" s="732"/>
      <c r="BW1068" s="732"/>
      <c r="BX1068" s="732"/>
      <c r="BY1068" s="732"/>
      <c r="BZ1068" s="732"/>
      <c r="CA1068" s="732"/>
    </row>
    <row r="1069" spans="1:79" s="309" customFormat="1" hidden="1" outlineLevel="1" x14ac:dyDescent="0.35">
      <c r="A1069" s="575"/>
      <c r="B1069" s="575"/>
      <c r="C1069" s="575"/>
      <c r="D1069" s="575"/>
      <c r="E1069" s="575"/>
      <c r="F1069" s="673" t="s">
        <v>668</v>
      </c>
      <c r="G1069" s="680">
        <f>SUM(G1060:G1068)</f>
        <v>0</v>
      </c>
      <c r="H1069" s="680">
        <f t="shared" ref="H1069:BO1069" si="411">SUM(H1060:H1068)</f>
        <v>0</v>
      </c>
      <c r="I1069" s="680">
        <f t="shared" si="411"/>
        <v>0</v>
      </c>
      <c r="J1069" s="680">
        <f t="shared" si="411"/>
        <v>0</v>
      </c>
      <c r="K1069" s="680">
        <f t="shared" si="411"/>
        <v>0</v>
      </c>
      <c r="L1069" s="680">
        <f t="shared" si="411"/>
        <v>0</v>
      </c>
      <c r="M1069" s="680">
        <f t="shared" si="411"/>
        <v>0</v>
      </c>
      <c r="N1069" s="680">
        <f t="shared" si="411"/>
        <v>0</v>
      </c>
      <c r="O1069" s="680">
        <f t="shared" si="411"/>
        <v>0</v>
      </c>
      <c r="P1069" s="680">
        <f t="shared" si="411"/>
        <v>0</v>
      </c>
      <c r="Q1069" s="680">
        <f t="shared" si="411"/>
        <v>0</v>
      </c>
      <c r="R1069" s="680">
        <f t="shared" si="411"/>
        <v>0</v>
      </c>
      <c r="S1069" s="694">
        <f t="shared" ref="S1069:AA1069" si="412">ROUND(SUM(S1059:S1068),5)</f>
        <v>0</v>
      </c>
      <c r="T1069" s="694">
        <f t="shared" si="412"/>
        <v>0</v>
      </c>
      <c r="U1069" s="694">
        <f t="shared" si="412"/>
        <v>0</v>
      </c>
      <c r="V1069" s="694">
        <f t="shared" si="412"/>
        <v>0</v>
      </c>
      <c r="W1069" s="694">
        <f t="shared" si="412"/>
        <v>0</v>
      </c>
      <c r="X1069" s="694">
        <f t="shared" si="412"/>
        <v>0</v>
      </c>
      <c r="Y1069" s="694">
        <f t="shared" si="412"/>
        <v>0</v>
      </c>
      <c r="Z1069" s="694">
        <f t="shared" si="412"/>
        <v>38.619999999999997</v>
      </c>
      <c r="AA1069" s="694">
        <f t="shared" si="412"/>
        <v>46.33</v>
      </c>
      <c r="AB1069" s="694">
        <f>ROUND(SUM(AB1059:AB1068),5)</f>
        <v>40.99</v>
      </c>
      <c r="AC1069" s="694">
        <f>ROUND(SUM(AC1059:AC1068),5)</f>
        <v>38.06</v>
      </c>
      <c r="AD1069" s="694">
        <f>ROUND(SUM(AD1059:AD1068),5)</f>
        <v>0</v>
      </c>
      <c r="AE1069" s="680">
        <f t="shared" si="411"/>
        <v>0</v>
      </c>
      <c r="AF1069" s="680">
        <f t="shared" si="411"/>
        <v>0</v>
      </c>
      <c r="AG1069" s="680">
        <f t="shared" si="411"/>
        <v>0</v>
      </c>
      <c r="AH1069" s="680">
        <f t="shared" si="411"/>
        <v>0</v>
      </c>
      <c r="AI1069" s="680">
        <f t="shared" si="411"/>
        <v>0</v>
      </c>
      <c r="AJ1069" s="680">
        <f t="shared" si="411"/>
        <v>0</v>
      </c>
      <c r="AK1069" s="680">
        <f t="shared" si="411"/>
        <v>0</v>
      </c>
      <c r="AL1069" s="680">
        <f t="shared" si="411"/>
        <v>0</v>
      </c>
      <c r="AM1069" s="680">
        <f t="shared" si="411"/>
        <v>0</v>
      </c>
      <c r="AN1069" s="680">
        <f t="shared" si="411"/>
        <v>0</v>
      </c>
      <c r="AO1069" s="680">
        <f t="shared" si="411"/>
        <v>0</v>
      </c>
      <c r="AP1069" s="680">
        <f t="shared" si="411"/>
        <v>0</v>
      </c>
      <c r="AQ1069" s="680">
        <f t="shared" si="411"/>
        <v>0</v>
      </c>
      <c r="AR1069" s="680">
        <f t="shared" si="411"/>
        <v>0</v>
      </c>
      <c r="AS1069" s="680">
        <f t="shared" si="411"/>
        <v>0</v>
      </c>
      <c r="AT1069" s="680">
        <f t="shared" si="411"/>
        <v>0</v>
      </c>
      <c r="AU1069" s="680">
        <f t="shared" si="411"/>
        <v>0</v>
      </c>
      <c r="AV1069" s="680">
        <f t="shared" si="411"/>
        <v>0</v>
      </c>
      <c r="AW1069" s="680">
        <f t="shared" si="411"/>
        <v>0</v>
      </c>
      <c r="AX1069" s="680">
        <f t="shared" si="411"/>
        <v>0</v>
      </c>
      <c r="AY1069" s="680">
        <f t="shared" si="411"/>
        <v>0</v>
      </c>
      <c r="AZ1069" s="680">
        <f t="shared" si="411"/>
        <v>0</v>
      </c>
      <c r="BA1069" s="680">
        <f t="shared" si="411"/>
        <v>0</v>
      </c>
      <c r="BB1069" s="680">
        <f t="shared" si="411"/>
        <v>0</v>
      </c>
      <c r="BC1069" s="680">
        <f t="shared" si="411"/>
        <v>0</v>
      </c>
      <c r="BD1069" s="680">
        <f t="shared" si="411"/>
        <v>0</v>
      </c>
      <c r="BE1069" s="680">
        <f t="shared" si="411"/>
        <v>0</v>
      </c>
      <c r="BF1069" s="680">
        <f t="shared" si="411"/>
        <v>0</v>
      </c>
      <c r="BG1069" s="680">
        <f t="shared" si="411"/>
        <v>0</v>
      </c>
      <c r="BH1069" s="680">
        <f t="shared" si="411"/>
        <v>0</v>
      </c>
      <c r="BI1069" s="680">
        <f t="shared" si="411"/>
        <v>0</v>
      </c>
      <c r="BJ1069" s="680">
        <f t="shared" si="411"/>
        <v>0</v>
      </c>
      <c r="BK1069" s="680">
        <f t="shared" si="411"/>
        <v>0</v>
      </c>
      <c r="BL1069" s="680">
        <f t="shared" si="411"/>
        <v>0</v>
      </c>
      <c r="BM1069" s="680">
        <f t="shared" si="411"/>
        <v>0</v>
      </c>
      <c r="BN1069" s="680">
        <f t="shared" si="411"/>
        <v>0</v>
      </c>
      <c r="BO1069" s="680">
        <f t="shared" si="411"/>
        <v>0</v>
      </c>
      <c r="BP1069" s="680">
        <f t="shared" ref="BP1069:CA1069" si="413">SUM(BP1060:BP1068)</f>
        <v>0</v>
      </c>
      <c r="BQ1069" s="680">
        <f t="shared" si="413"/>
        <v>0</v>
      </c>
      <c r="BR1069" s="680">
        <f t="shared" si="413"/>
        <v>0</v>
      </c>
      <c r="BS1069" s="680">
        <f t="shared" si="413"/>
        <v>0</v>
      </c>
      <c r="BT1069" s="680">
        <f t="shared" si="413"/>
        <v>0</v>
      </c>
      <c r="BU1069" s="680">
        <f t="shared" si="413"/>
        <v>0</v>
      </c>
      <c r="BV1069" s="680">
        <f t="shared" si="413"/>
        <v>0</v>
      </c>
      <c r="BW1069" s="680">
        <f t="shared" si="413"/>
        <v>0</v>
      </c>
      <c r="BX1069" s="680">
        <f t="shared" si="413"/>
        <v>0</v>
      </c>
      <c r="BY1069" s="680">
        <f t="shared" si="413"/>
        <v>0</v>
      </c>
      <c r="BZ1069" s="680">
        <f t="shared" si="413"/>
        <v>0</v>
      </c>
      <c r="CA1069" s="680">
        <f t="shared" si="413"/>
        <v>0</v>
      </c>
    </row>
    <row r="1070" spans="1:79" s="309" customFormat="1" hidden="1" outlineLevel="1" x14ac:dyDescent="0.35">
      <c r="A1070" s="575"/>
      <c r="B1070" s="575"/>
      <c r="C1070" s="575"/>
      <c r="D1070" s="575"/>
      <c r="E1070" s="575"/>
      <c r="F1070" s="671" t="s">
        <v>669</v>
      </c>
      <c r="G1070" s="735"/>
      <c r="H1070" s="735"/>
      <c r="I1070" s="735"/>
      <c r="J1070" s="735"/>
      <c r="K1070" s="735"/>
      <c r="L1070" s="735"/>
      <c r="M1070" s="735"/>
      <c r="N1070" s="735"/>
      <c r="O1070" s="735"/>
      <c r="P1070" s="732"/>
      <c r="Q1070" s="732"/>
      <c r="R1070" s="732"/>
      <c r="S1070" s="683">
        <v>0</v>
      </c>
      <c r="T1070" s="683">
        <v>0</v>
      </c>
      <c r="U1070" s="683">
        <v>0</v>
      </c>
      <c r="V1070" s="683">
        <v>0</v>
      </c>
      <c r="W1070" s="683">
        <v>0</v>
      </c>
      <c r="X1070" s="683">
        <v>0</v>
      </c>
      <c r="Y1070" s="683">
        <v>0</v>
      </c>
      <c r="Z1070" s="683">
        <v>0</v>
      </c>
      <c r="AA1070" s="683">
        <v>0</v>
      </c>
      <c r="AB1070" s="683">
        <v>0</v>
      </c>
      <c r="AC1070" s="683">
        <v>0</v>
      </c>
      <c r="AD1070" s="683">
        <v>0</v>
      </c>
      <c r="AE1070" s="732"/>
      <c r="AF1070" s="732"/>
      <c r="AG1070" s="732"/>
      <c r="AH1070" s="732"/>
      <c r="AI1070" s="732"/>
      <c r="AJ1070" s="732"/>
      <c r="AK1070" s="732"/>
      <c r="AL1070" s="732"/>
      <c r="AM1070" s="732"/>
      <c r="AN1070" s="732"/>
      <c r="AO1070" s="732"/>
      <c r="AP1070" s="732"/>
      <c r="AQ1070" s="732"/>
      <c r="AR1070" s="732"/>
      <c r="AS1070" s="732"/>
      <c r="AT1070" s="732"/>
      <c r="AU1070" s="732"/>
      <c r="AV1070" s="732"/>
      <c r="AW1070" s="732"/>
      <c r="AX1070" s="732"/>
      <c r="AY1070" s="732"/>
      <c r="AZ1070" s="732"/>
      <c r="BA1070" s="732"/>
      <c r="BB1070" s="732"/>
      <c r="BC1070" s="732"/>
      <c r="BD1070" s="732"/>
      <c r="BE1070" s="732"/>
      <c r="BF1070" s="732"/>
      <c r="BG1070" s="732"/>
      <c r="BH1070" s="732"/>
      <c r="BI1070" s="732"/>
      <c r="BJ1070" s="732"/>
      <c r="BK1070" s="732"/>
      <c r="BL1070" s="732"/>
      <c r="BM1070" s="732"/>
      <c r="BN1070" s="732"/>
      <c r="BO1070" s="732"/>
      <c r="BP1070" s="732"/>
      <c r="BQ1070" s="732"/>
      <c r="BR1070" s="732"/>
      <c r="BS1070" s="732"/>
      <c r="BT1070" s="732"/>
      <c r="BU1070" s="732"/>
      <c r="BV1070" s="732"/>
      <c r="BW1070" s="732"/>
      <c r="BX1070" s="732"/>
      <c r="BY1070" s="732"/>
      <c r="BZ1070" s="732"/>
      <c r="CA1070" s="732"/>
    </row>
    <row r="1071" spans="1:79" s="726" customFormat="1" hidden="1" outlineLevel="1" x14ac:dyDescent="0.35">
      <c r="F1071" s="717" t="s">
        <v>597</v>
      </c>
      <c r="G1071" s="750"/>
      <c r="H1071" s="750"/>
      <c r="I1071" s="750"/>
      <c r="J1071" s="750"/>
      <c r="K1071" s="750"/>
      <c r="L1071" s="750"/>
      <c r="M1071" s="750"/>
      <c r="N1071" s="750"/>
      <c r="O1071" s="750"/>
      <c r="P1071" s="751"/>
      <c r="Q1071" s="751"/>
      <c r="R1071" s="751"/>
      <c r="S1071" s="713"/>
      <c r="T1071" s="713"/>
      <c r="U1071" s="713"/>
      <c r="V1071" s="713"/>
      <c r="W1071" s="713"/>
      <c r="X1071" s="713"/>
      <c r="Y1071" s="713"/>
      <c r="Z1071" s="713"/>
      <c r="AA1071" s="713"/>
      <c r="AB1071" s="713"/>
      <c r="AC1071" s="713"/>
      <c r="AD1071" s="713"/>
      <c r="AE1071" s="751"/>
      <c r="AF1071" s="751"/>
      <c r="AG1071" s="751"/>
      <c r="AH1071" s="751"/>
      <c r="AI1071" s="751"/>
      <c r="AJ1071" s="751"/>
      <c r="AK1071" s="751"/>
      <c r="AL1071" s="751"/>
      <c r="AM1071" s="751"/>
      <c r="AN1071" s="751"/>
      <c r="AO1071" s="751"/>
      <c r="AP1071" s="751"/>
      <c r="AQ1071" s="751"/>
      <c r="AR1071" s="751"/>
      <c r="AS1071" s="751"/>
      <c r="AT1071" s="751"/>
      <c r="AU1071" s="751"/>
      <c r="AV1071" s="751"/>
      <c r="AW1071" s="751"/>
      <c r="AX1071" s="751"/>
      <c r="AY1071" s="751"/>
      <c r="AZ1071" s="751"/>
      <c r="BA1071" s="751"/>
      <c r="BB1071" s="751"/>
      <c r="BC1071" s="751"/>
      <c r="BD1071" s="751"/>
      <c r="BE1071" s="751"/>
      <c r="BF1071" s="751"/>
      <c r="BG1071" s="751"/>
      <c r="BH1071" s="751"/>
      <c r="BI1071" s="751"/>
      <c r="BJ1071" s="751"/>
      <c r="BK1071" s="751"/>
      <c r="BL1071" s="751"/>
      <c r="BM1071" s="751"/>
      <c r="BN1071" s="751"/>
      <c r="BO1071" s="751"/>
      <c r="BP1071" s="751"/>
      <c r="BQ1071" s="751"/>
      <c r="BR1071" s="751"/>
      <c r="BS1071" s="751"/>
      <c r="BT1071" s="751"/>
      <c r="BU1071" s="751"/>
      <c r="BV1071" s="751"/>
      <c r="BW1071" s="751"/>
      <c r="BX1071" s="751"/>
      <c r="BY1071" s="751"/>
      <c r="BZ1071" s="751"/>
      <c r="CA1071" s="751"/>
    </row>
    <row r="1072" spans="1:79" s="309" customFormat="1" hidden="1" outlineLevel="1" x14ac:dyDescent="0.35">
      <c r="A1072" s="575"/>
      <c r="B1072" s="575"/>
      <c r="C1072" s="575"/>
      <c r="D1072" s="575"/>
      <c r="E1072" s="575"/>
      <c r="F1072" s="672" t="s">
        <v>889</v>
      </c>
      <c r="G1072" s="735"/>
      <c r="H1072" s="735"/>
      <c r="I1072" s="735"/>
      <c r="J1072" s="735"/>
      <c r="K1072" s="735"/>
      <c r="L1072" s="735"/>
      <c r="M1072" s="735"/>
      <c r="N1072" s="735"/>
      <c r="O1072" s="735"/>
      <c r="P1072" s="732"/>
      <c r="Q1072" s="732"/>
      <c r="R1072" s="732"/>
      <c r="S1072" s="687">
        <v>0</v>
      </c>
      <c r="T1072" s="687">
        <v>0</v>
      </c>
      <c r="U1072" s="687">
        <v>0</v>
      </c>
      <c r="V1072" s="687">
        <v>0</v>
      </c>
      <c r="W1072" s="687">
        <v>0</v>
      </c>
      <c r="X1072" s="687">
        <v>0</v>
      </c>
      <c r="Y1072" s="687">
        <v>0</v>
      </c>
      <c r="Z1072" s="687">
        <v>0</v>
      </c>
      <c r="AA1072" s="687">
        <v>0</v>
      </c>
      <c r="AB1072" s="687">
        <v>0</v>
      </c>
      <c r="AC1072" s="687">
        <v>0</v>
      </c>
      <c r="AD1072" s="687">
        <v>0</v>
      </c>
      <c r="AE1072" s="732"/>
      <c r="AF1072" s="732"/>
      <c r="AG1072" s="732"/>
      <c r="AH1072" s="732"/>
      <c r="AI1072" s="732"/>
      <c r="AJ1072" s="732"/>
      <c r="AK1072" s="732"/>
      <c r="AL1072" s="732"/>
      <c r="AM1072" s="732"/>
      <c r="AN1072" s="732"/>
      <c r="AO1072" s="732"/>
      <c r="AP1072" s="732"/>
      <c r="AQ1072" s="732"/>
      <c r="AR1072" s="732"/>
      <c r="AS1072" s="732"/>
      <c r="AT1072" s="732"/>
      <c r="AU1072" s="732"/>
      <c r="AV1072" s="732"/>
      <c r="AW1072" s="732"/>
      <c r="AX1072" s="732"/>
      <c r="AY1072" s="732"/>
      <c r="AZ1072" s="732"/>
      <c r="BA1072" s="732"/>
      <c r="BB1072" s="732"/>
      <c r="BC1072" s="732"/>
      <c r="BD1072" s="732"/>
      <c r="BE1072" s="732"/>
      <c r="BF1072" s="732"/>
      <c r="BG1072" s="732"/>
      <c r="BH1072" s="732"/>
      <c r="BI1072" s="732"/>
      <c r="BJ1072" s="732"/>
      <c r="BK1072" s="732"/>
      <c r="BL1072" s="732"/>
      <c r="BM1072" s="732"/>
      <c r="BN1072" s="732"/>
      <c r="BO1072" s="732"/>
      <c r="BP1072" s="732"/>
      <c r="BQ1072" s="732"/>
      <c r="BR1072" s="732"/>
      <c r="BS1072" s="732"/>
      <c r="BT1072" s="732"/>
      <c r="BU1072" s="732"/>
      <c r="BV1072" s="732"/>
      <c r="BW1072" s="732"/>
      <c r="BX1072" s="732"/>
      <c r="BY1072" s="732"/>
      <c r="BZ1072" s="732"/>
      <c r="CA1072" s="732"/>
    </row>
    <row r="1073" spans="1:79" s="309" customFormat="1" hidden="1" outlineLevel="1" x14ac:dyDescent="0.35">
      <c r="A1073" s="575"/>
      <c r="B1073" s="575"/>
      <c r="C1073" s="575"/>
      <c r="D1073" s="575"/>
      <c r="E1073" s="575"/>
      <c r="F1073" s="672" t="s">
        <v>890</v>
      </c>
      <c r="G1073" s="735"/>
      <c r="H1073" s="735"/>
      <c r="I1073" s="735"/>
      <c r="J1073" s="735"/>
      <c r="K1073" s="735"/>
      <c r="L1073" s="735"/>
      <c r="M1073" s="735"/>
      <c r="N1073" s="735"/>
      <c r="O1073" s="735"/>
      <c r="P1073" s="732"/>
      <c r="Q1073" s="732"/>
      <c r="R1073" s="732"/>
      <c r="S1073" s="687">
        <v>0</v>
      </c>
      <c r="T1073" s="687">
        <v>0</v>
      </c>
      <c r="U1073" s="687">
        <v>0</v>
      </c>
      <c r="V1073" s="687">
        <v>0</v>
      </c>
      <c r="W1073" s="687">
        <v>0</v>
      </c>
      <c r="X1073" s="687">
        <v>0</v>
      </c>
      <c r="Y1073" s="687">
        <v>0</v>
      </c>
      <c r="Z1073" s="687">
        <v>0</v>
      </c>
      <c r="AA1073" s="687">
        <v>0</v>
      </c>
      <c r="AB1073" s="687">
        <v>0</v>
      </c>
      <c r="AC1073" s="687">
        <v>0</v>
      </c>
      <c r="AD1073" s="687">
        <v>0</v>
      </c>
      <c r="AE1073" s="732"/>
      <c r="AF1073" s="732"/>
      <c r="AG1073" s="732"/>
      <c r="AH1073" s="732"/>
      <c r="AI1073" s="732"/>
      <c r="AJ1073" s="732"/>
      <c r="AK1073" s="732"/>
      <c r="AL1073" s="732"/>
      <c r="AM1073" s="732"/>
      <c r="AN1073" s="732"/>
      <c r="AO1073" s="732"/>
      <c r="AP1073" s="732"/>
      <c r="AQ1073" s="732"/>
      <c r="AR1073" s="732"/>
      <c r="AS1073" s="732"/>
      <c r="AT1073" s="732"/>
      <c r="AU1073" s="732"/>
      <c r="AV1073" s="732"/>
      <c r="AW1073" s="732"/>
      <c r="AX1073" s="732"/>
      <c r="AY1073" s="732"/>
      <c r="AZ1073" s="732"/>
      <c r="BA1073" s="732"/>
      <c r="BB1073" s="732"/>
      <c r="BC1073" s="732"/>
      <c r="BD1073" s="732"/>
      <c r="BE1073" s="732"/>
      <c r="BF1073" s="732"/>
      <c r="BG1073" s="732"/>
      <c r="BH1073" s="732"/>
      <c r="BI1073" s="732"/>
      <c r="BJ1073" s="732"/>
      <c r="BK1073" s="732"/>
      <c r="BL1073" s="732"/>
      <c r="BM1073" s="732"/>
      <c r="BN1073" s="732"/>
      <c r="BO1073" s="732"/>
      <c r="BP1073" s="732"/>
      <c r="BQ1073" s="732"/>
      <c r="BR1073" s="732"/>
      <c r="BS1073" s="732"/>
      <c r="BT1073" s="732"/>
      <c r="BU1073" s="732"/>
      <c r="BV1073" s="732"/>
      <c r="BW1073" s="732"/>
      <c r="BX1073" s="732"/>
      <c r="BY1073" s="732"/>
      <c r="BZ1073" s="732"/>
      <c r="CA1073" s="732"/>
    </row>
    <row r="1074" spans="1:79" s="309" customFormat="1" hidden="1" outlineLevel="1" x14ac:dyDescent="0.35">
      <c r="A1074" s="575"/>
      <c r="B1074" s="575"/>
      <c r="C1074" s="575"/>
      <c r="D1074" s="575"/>
      <c r="E1074" s="575"/>
      <c r="F1074" s="672" t="s">
        <v>891</v>
      </c>
      <c r="G1074" s="735"/>
      <c r="H1074" s="735"/>
      <c r="I1074" s="735"/>
      <c r="J1074" s="735"/>
      <c r="K1074" s="735"/>
      <c r="L1074" s="735"/>
      <c r="M1074" s="735"/>
      <c r="N1074" s="735"/>
      <c r="O1074" s="735"/>
      <c r="P1074" s="732"/>
      <c r="Q1074" s="732"/>
      <c r="R1074" s="732"/>
      <c r="S1074" s="687">
        <v>0</v>
      </c>
      <c r="T1074" s="687">
        <v>0</v>
      </c>
      <c r="U1074" s="687">
        <v>0</v>
      </c>
      <c r="V1074" s="687">
        <v>0</v>
      </c>
      <c r="W1074" s="687">
        <v>0</v>
      </c>
      <c r="X1074" s="687">
        <v>0</v>
      </c>
      <c r="Y1074" s="687">
        <v>0</v>
      </c>
      <c r="Z1074" s="687">
        <v>0</v>
      </c>
      <c r="AA1074" s="687">
        <v>0</v>
      </c>
      <c r="AB1074" s="687">
        <v>0</v>
      </c>
      <c r="AC1074" s="687">
        <v>0</v>
      </c>
      <c r="AD1074" s="687">
        <v>0</v>
      </c>
      <c r="AE1074" s="732"/>
      <c r="AF1074" s="732"/>
      <c r="AG1074" s="732"/>
      <c r="AH1074" s="732"/>
      <c r="AI1074" s="732"/>
      <c r="AJ1074" s="732"/>
      <c r="AK1074" s="732"/>
      <c r="AL1074" s="732"/>
      <c r="AM1074" s="732"/>
      <c r="AN1074" s="732"/>
      <c r="AO1074" s="732"/>
      <c r="AP1074" s="732"/>
      <c r="AQ1074" s="732"/>
      <c r="AR1074" s="732"/>
      <c r="AS1074" s="732"/>
      <c r="AT1074" s="732"/>
      <c r="AU1074" s="732"/>
      <c r="AV1074" s="732"/>
      <c r="AW1074" s="732"/>
      <c r="AX1074" s="732"/>
      <c r="AY1074" s="732"/>
      <c r="AZ1074" s="732"/>
      <c r="BA1074" s="732"/>
      <c r="BB1074" s="732"/>
      <c r="BC1074" s="732"/>
      <c r="BD1074" s="732"/>
      <c r="BE1074" s="732"/>
      <c r="BF1074" s="732"/>
      <c r="BG1074" s="732"/>
      <c r="BH1074" s="732"/>
      <c r="BI1074" s="732"/>
      <c r="BJ1074" s="732"/>
      <c r="BK1074" s="732"/>
      <c r="BL1074" s="732"/>
      <c r="BM1074" s="732"/>
      <c r="BN1074" s="732"/>
      <c r="BO1074" s="732"/>
      <c r="BP1074" s="732"/>
      <c r="BQ1074" s="732"/>
      <c r="BR1074" s="732"/>
      <c r="BS1074" s="732"/>
      <c r="BT1074" s="732"/>
      <c r="BU1074" s="732"/>
      <c r="BV1074" s="732"/>
      <c r="BW1074" s="732"/>
      <c r="BX1074" s="732"/>
      <c r="BY1074" s="732"/>
      <c r="BZ1074" s="732"/>
      <c r="CA1074" s="732"/>
    </row>
    <row r="1075" spans="1:79" s="309" customFormat="1" hidden="1" outlineLevel="1" x14ac:dyDescent="0.35">
      <c r="A1075" s="575"/>
      <c r="B1075" s="575"/>
      <c r="C1075" s="575"/>
      <c r="D1075" s="575"/>
      <c r="E1075" s="575"/>
      <c r="F1075" s="672" t="s">
        <v>892</v>
      </c>
      <c r="G1075" s="735"/>
      <c r="H1075" s="735"/>
      <c r="I1075" s="735"/>
      <c r="J1075" s="735"/>
      <c r="K1075" s="735"/>
      <c r="L1075" s="735"/>
      <c r="M1075" s="735"/>
      <c r="N1075" s="735"/>
      <c r="O1075" s="735"/>
      <c r="P1075" s="732"/>
      <c r="Q1075" s="732"/>
      <c r="R1075" s="732"/>
      <c r="S1075" s="687">
        <v>0</v>
      </c>
      <c r="T1075" s="687">
        <v>0</v>
      </c>
      <c r="U1075" s="687">
        <v>0</v>
      </c>
      <c r="V1075" s="687">
        <v>0</v>
      </c>
      <c r="W1075" s="687">
        <v>0</v>
      </c>
      <c r="X1075" s="687">
        <v>0</v>
      </c>
      <c r="Y1075" s="687">
        <v>0</v>
      </c>
      <c r="Z1075" s="687">
        <v>0</v>
      </c>
      <c r="AA1075" s="687">
        <v>0</v>
      </c>
      <c r="AB1075" s="687">
        <v>0</v>
      </c>
      <c r="AC1075" s="687">
        <v>0</v>
      </c>
      <c r="AD1075" s="687">
        <v>0</v>
      </c>
      <c r="AE1075" s="732"/>
      <c r="AF1075" s="732"/>
      <c r="AG1075" s="732"/>
      <c r="AH1075" s="732"/>
      <c r="AI1075" s="732"/>
      <c r="AJ1075" s="732"/>
      <c r="AK1075" s="732"/>
      <c r="AL1075" s="732"/>
      <c r="AM1075" s="732"/>
      <c r="AN1075" s="732"/>
      <c r="AO1075" s="732"/>
      <c r="AP1075" s="732"/>
      <c r="AQ1075" s="732"/>
      <c r="AR1075" s="732"/>
      <c r="AS1075" s="732"/>
      <c r="AT1075" s="732"/>
      <c r="AU1075" s="732"/>
      <c r="AV1075" s="732"/>
      <c r="AW1075" s="732"/>
      <c r="AX1075" s="732"/>
      <c r="AY1075" s="732"/>
      <c r="AZ1075" s="732"/>
      <c r="BA1075" s="732"/>
      <c r="BB1075" s="732"/>
      <c r="BC1075" s="732"/>
      <c r="BD1075" s="732"/>
      <c r="BE1075" s="732"/>
      <c r="BF1075" s="732"/>
      <c r="BG1075" s="732"/>
      <c r="BH1075" s="732"/>
      <c r="BI1075" s="732"/>
      <c r="BJ1075" s="732"/>
      <c r="BK1075" s="732"/>
      <c r="BL1075" s="732"/>
      <c r="BM1075" s="732"/>
      <c r="BN1075" s="732"/>
      <c r="BO1075" s="732"/>
      <c r="BP1075" s="732"/>
      <c r="BQ1075" s="732"/>
      <c r="BR1075" s="732"/>
      <c r="BS1075" s="732"/>
      <c r="BT1075" s="732"/>
      <c r="BU1075" s="732"/>
      <c r="BV1075" s="732"/>
      <c r="BW1075" s="732"/>
      <c r="BX1075" s="732"/>
      <c r="BY1075" s="732"/>
      <c r="BZ1075" s="732"/>
      <c r="CA1075" s="732"/>
    </row>
    <row r="1076" spans="1:79" s="309" customFormat="1" hidden="1" outlineLevel="1" x14ac:dyDescent="0.35">
      <c r="A1076" s="575"/>
      <c r="B1076" s="575"/>
      <c r="C1076" s="575"/>
      <c r="D1076" s="575"/>
      <c r="E1076" s="575"/>
      <c r="F1076" s="672" t="s">
        <v>825</v>
      </c>
      <c r="G1076" s="735"/>
      <c r="H1076" s="735"/>
      <c r="I1076" s="735"/>
      <c r="J1076" s="735"/>
      <c r="K1076" s="735"/>
      <c r="L1076" s="735"/>
      <c r="M1076" s="735"/>
      <c r="N1076" s="735"/>
      <c r="O1076" s="735"/>
      <c r="P1076" s="732"/>
      <c r="Q1076" s="732"/>
      <c r="R1076" s="732"/>
      <c r="S1076" s="687">
        <v>0</v>
      </c>
      <c r="T1076" s="687">
        <v>0</v>
      </c>
      <c r="U1076" s="687">
        <v>0</v>
      </c>
      <c r="V1076" s="687">
        <v>0</v>
      </c>
      <c r="W1076" s="687">
        <v>0</v>
      </c>
      <c r="X1076" s="687">
        <v>0</v>
      </c>
      <c r="Y1076" s="687">
        <v>0</v>
      </c>
      <c r="Z1076" s="687">
        <v>0</v>
      </c>
      <c r="AA1076" s="687">
        <v>0</v>
      </c>
      <c r="AB1076" s="687">
        <v>0</v>
      </c>
      <c r="AC1076" s="687">
        <v>0</v>
      </c>
      <c r="AD1076" s="687">
        <v>0</v>
      </c>
      <c r="AE1076" s="732"/>
      <c r="AF1076" s="732"/>
      <c r="AG1076" s="732"/>
      <c r="AH1076" s="732"/>
      <c r="AI1076" s="732"/>
      <c r="AJ1076" s="732"/>
      <c r="AK1076" s="732"/>
      <c r="AL1076" s="732"/>
      <c r="AM1076" s="732"/>
      <c r="AN1076" s="732"/>
      <c r="AO1076" s="732"/>
      <c r="AP1076" s="732"/>
      <c r="AQ1076" s="732"/>
      <c r="AR1076" s="732"/>
      <c r="AS1076" s="732"/>
      <c r="AT1076" s="732"/>
      <c r="AU1076" s="732"/>
      <c r="AV1076" s="732"/>
      <c r="AW1076" s="732"/>
      <c r="AX1076" s="732"/>
      <c r="AY1076" s="732"/>
      <c r="AZ1076" s="732"/>
      <c r="BA1076" s="732"/>
      <c r="BB1076" s="732"/>
      <c r="BC1076" s="732"/>
      <c r="BD1076" s="732"/>
      <c r="BE1076" s="732"/>
      <c r="BF1076" s="732"/>
      <c r="BG1076" s="732"/>
      <c r="BH1076" s="732"/>
      <c r="BI1076" s="732"/>
      <c r="BJ1076" s="732"/>
      <c r="BK1076" s="732"/>
      <c r="BL1076" s="732"/>
      <c r="BM1076" s="732"/>
      <c r="BN1076" s="732"/>
      <c r="BO1076" s="732"/>
      <c r="BP1076" s="732"/>
      <c r="BQ1076" s="732"/>
      <c r="BR1076" s="732"/>
      <c r="BS1076" s="732"/>
      <c r="BT1076" s="732"/>
      <c r="BU1076" s="732"/>
      <c r="BV1076" s="732"/>
      <c r="BW1076" s="732"/>
      <c r="BX1076" s="732"/>
      <c r="BY1076" s="732"/>
      <c r="BZ1076" s="732"/>
      <c r="CA1076" s="732"/>
    </row>
    <row r="1077" spans="1:79" s="309" customFormat="1" hidden="1" outlineLevel="1" x14ac:dyDescent="0.35">
      <c r="A1077" s="575"/>
      <c r="B1077" s="575"/>
      <c r="C1077" s="575"/>
      <c r="D1077" s="575"/>
      <c r="E1077" s="575"/>
      <c r="F1077" s="672" t="s">
        <v>613</v>
      </c>
      <c r="G1077" s="735"/>
      <c r="H1077" s="735"/>
      <c r="I1077" s="735"/>
      <c r="J1077" s="735"/>
      <c r="K1077" s="735"/>
      <c r="L1077" s="735"/>
      <c r="M1077" s="735"/>
      <c r="N1077" s="735"/>
      <c r="O1077" s="735"/>
      <c r="P1077" s="732"/>
      <c r="Q1077" s="732"/>
      <c r="R1077" s="732"/>
      <c r="S1077" s="687">
        <v>0</v>
      </c>
      <c r="T1077" s="687">
        <v>0</v>
      </c>
      <c r="U1077" s="687">
        <v>0</v>
      </c>
      <c r="V1077" s="687">
        <v>0</v>
      </c>
      <c r="W1077" s="687">
        <v>0</v>
      </c>
      <c r="X1077" s="687">
        <v>0</v>
      </c>
      <c r="Y1077" s="687">
        <v>0</v>
      </c>
      <c r="Z1077" s="687">
        <v>0</v>
      </c>
      <c r="AA1077" s="687">
        <v>0</v>
      </c>
      <c r="AB1077" s="687">
        <v>0</v>
      </c>
      <c r="AC1077" s="687">
        <v>0</v>
      </c>
      <c r="AD1077" s="687">
        <v>0</v>
      </c>
      <c r="AE1077" s="732"/>
      <c r="AF1077" s="732"/>
      <c r="AG1077" s="732"/>
      <c r="AH1077" s="732"/>
      <c r="AI1077" s="732"/>
      <c r="AJ1077" s="732"/>
      <c r="AK1077" s="732"/>
      <c r="AL1077" s="732"/>
      <c r="AM1077" s="732"/>
      <c r="AN1077" s="732"/>
      <c r="AO1077" s="732"/>
      <c r="AP1077" s="732"/>
      <c r="AQ1077" s="732"/>
      <c r="AR1077" s="732"/>
      <c r="AS1077" s="732"/>
      <c r="AT1077" s="732"/>
      <c r="AU1077" s="732"/>
      <c r="AV1077" s="732"/>
      <c r="AW1077" s="732"/>
      <c r="AX1077" s="732"/>
      <c r="AY1077" s="732"/>
      <c r="AZ1077" s="732"/>
      <c r="BA1077" s="732"/>
      <c r="BB1077" s="732"/>
      <c r="BC1077" s="732"/>
      <c r="BD1077" s="732"/>
      <c r="BE1077" s="732"/>
      <c r="BF1077" s="732"/>
      <c r="BG1077" s="732"/>
      <c r="BH1077" s="732"/>
      <c r="BI1077" s="732"/>
      <c r="BJ1077" s="732"/>
      <c r="BK1077" s="732"/>
      <c r="BL1077" s="732"/>
      <c r="BM1077" s="732"/>
      <c r="BN1077" s="732"/>
      <c r="BO1077" s="732"/>
      <c r="BP1077" s="732"/>
      <c r="BQ1077" s="732"/>
      <c r="BR1077" s="732"/>
      <c r="BS1077" s="732"/>
      <c r="BT1077" s="732"/>
      <c r="BU1077" s="732"/>
      <c r="BV1077" s="732"/>
      <c r="BW1077" s="732"/>
      <c r="BX1077" s="732"/>
      <c r="BY1077" s="732"/>
      <c r="BZ1077" s="732"/>
      <c r="CA1077" s="732"/>
    </row>
    <row r="1078" spans="1:79" s="309" customFormat="1" hidden="1" outlineLevel="1" x14ac:dyDescent="0.35">
      <c r="A1078" s="575"/>
      <c r="B1078" s="575"/>
      <c r="C1078" s="575"/>
      <c r="D1078" s="575"/>
      <c r="E1078" s="575"/>
      <c r="F1078" s="672" t="s">
        <v>614</v>
      </c>
      <c r="G1078" s="735"/>
      <c r="H1078" s="735"/>
      <c r="I1078" s="735"/>
      <c r="J1078" s="735"/>
      <c r="K1078" s="735"/>
      <c r="L1078" s="735"/>
      <c r="M1078" s="735"/>
      <c r="N1078" s="735"/>
      <c r="O1078" s="735"/>
      <c r="P1078" s="732"/>
      <c r="Q1078" s="732"/>
      <c r="R1078" s="732"/>
      <c r="S1078" s="692">
        <v>0</v>
      </c>
      <c r="T1078" s="692">
        <v>0</v>
      </c>
      <c r="U1078" s="692">
        <v>0</v>
      </c>
      <c r="V1078" s="692">
        <v>0</v>
      </c>
      <c r="W1078" s="692">
        <v>0</v>
      </c>
      <c r="X1078" s="692">
        <v>0</v>
      </c>
      <c r="Y1078" s="692">
        <v>0</v>
      </c>
      <c r="Z1078" s="692">
        <v>0</v>
      </c>
      <c r="AA1078" s="692">
        <v>0</v>
      </c>
      <c r="AB1078" s="692">
        <v>0</v>
      </c>
      <c r="AC1078" s="692">
        <v>0</v>
      </c>
      <c r="AD1078" s="692">
        <v>0</v>
      </c>
      <c r="AE1078" s="732"/>
      <c r="AF1078" s="732"/>
      <c r="AG1078" s="732"/>
      <c r="AH1078" s="732"/>
      <c r="AI1078" s="732"/>
      <c r="AJ1078" s="732"/>
      <c r="AK1078" s="732"/>
      <c r="AL1078" s="732"/>
      <c r="AM1078" s="732"/>
      <c r="AN1078" s="732"/>
      <c r="AO1078" s="732"/>
      <c r="AP1078" s="732"/>
      <c r="AQ1078" s="732"/>
      <c r="AR1078" s="732"/>
      <c r="AS1078" s="732"/>
      <c r="AT1078" s="732"/>
      <c r="AU1078" s="732"/>
      <c r="AV1078" s="732"/>
      <c r="AW1078" s="732"/>
      <c r="AX1078" s="732"/>
      <c r="AY1078" s="732"/>
      <c r="AZ1078" s="732"/>
      <c r="BA1078" s="732"/>
      <c r="BB1078" s="732"/>
      <c r="BC1078" s="732"/>
      <c r="BD1078" s="732"/>
      <c r="BE1078" s="732"/>
      <c r="BF1078" s="732"/>
      <c r="BG1078" s="732"/>
      <c r="BH1078" s="732"/>
      <c r="BI1078" s="732"/>
      <c r="BJ1078" s="732"/>
      <c r="BK1078" s="732"/>
      <c r="BL1078" s="732"/>
      <c r="BM1078" s="732"/>
      <c r="BN1078" s="732"/>
      <c r="BO1078" s="732"/>
      <c r="BP1078" s="732"/>
      <c r="BQ1078" s="732"/>
      <c r="BR1078" s="732"/>
      <c r="BS1078" s="732"/>
      <c r="BT1078" s="732"/>
      <c r="BU1078" s="732"/>
      <c r="BV1078" s="732"/>
      <c r="BW1078" s="732"/>
      <c r="BX1078" s="732"/>
      <c r="BY1078" s="732"/>
      <c r="BZ1078" s="732"/>
      <c r="CA1078" s="732"/>
    </row>
    <row r="1079" spans="1:79" s="309" customFormat="1" hidden="1" outlineLevel="1" x14ac:dyDescent="0.35">
      <c r="A1079" s="575"/>
      <c r="B1079" s="575"/>
      <c r="C1079" s="575"/>
      <c r="D1079" s="575"/>
      <c r="E1079" s="575"/>
      <c r="F1079" s="672" t="s">
        <v>615</v>
      </c>
      <c r="G1079" s="735"/>
      <c r="H1079" s="735"/>
      <c r="I1079" s="735"/>
      <c r="J1079" s="735"/>
      <c r="K1079" s="735"/>
      <c r="L1079" s="735"/>
      <c r="M1079" s="735"/>
      <c r="N1079" s="735"/>
      <c r="O1079" s="735"/>
      <c r="P1079" s="732"/>
      <c r="Q1079" s="732"/>
      <c r="R1079" s="732"/>
      <c r="S1079" s="692">
        <v>0</v>
      </c>
      <c r="T1079" s="692">
        <v>0</v>
      </c>
      <c r="U1079" s="692">
        <v>0</v>
      </c>
      <c r="V1079" s="692">
        <v>0</v>
      </c>
      <c r="W1079" s="692">
        <v>0</v>
      </c>
      <c r="X1079" s="692">
        <v>0</v>
      </c>
      <c r="Y1079" s="692">
        <v>0</v>
      </c>
      <c r="Z1079" s="692">
        <v>0</v>
      </c>
      <c r="AA1079" s="692">
        <v>0</v>
      </c>
      <c r="AB1079" s="692">
        <v>0</v>
      </c>
      <c r="AC1079" s="692">
        <v>0</v>
      </c>
      <c r="AD1079" s="692">
        <v>0</v>
      </c>
      <c r="AE1079" s="732"/>
      <c r="AF1079" s="732"/>
      <c r="AG1079" s="732"/>
      <c r="AH1079" s="732"/>
      <c r="AI1079" s="732"/>
      <c r="AJ1079" s="732"/>
      <c r="AK1079" s="732"/>
      <c r="AL1079" s="732"/>
      <c r="AM1079" s="732"/>
      <c r="AN1079" s="732"/>
      <c r="AO1079" s="732"/>
      <c r="AP1079" s="732"/>
      <c r="AQ1079" s="732"/>
      <c r="AR1079" s="732"/>
      <c r="AS1079" s="732"/>
      <c r="AT1079" s="732"/>
      <c r="AU1079" s="732"/>
      <c r="AV1079" s="732"/>
      <c r="AW1079" s="732"/>
      <c r="AX1079" s="732"/>
      <c r="AY1079" s="732"/>
      <c r="AZ1079" s="732"/>
      <c r="BA1079" s="732"/>
      <c r="BB1079" s="732"/>
      <c r="BC1079" s="732"/>
      <c r="BD1079" s="732"/>
      <c r="BE1079" s="732"/>
      <c r="BF1079" s="732"/>
      <c r="BG1079" s="732"/>
      <c r="BH1079" s="732"/>
      <c r="BI1079" s="732"/>
      <c r="BJ1079" s="732"/>
      <c r="BK1079" s="732"/>
      <c r="BL1079" s="732"/>
      <c r="BM1079" s="732"/>
      <c r="BN1079" s="732"/>
      <c r="BO1079" s="732"/>
      <c r="BP1079" s="732"/>
      <c r="BQ1079" s="732"/>
      <c r="BR1079" s="732"/>
      <c r="BS1079" s="732"/>
      <c r="BT1079" s="732"/>
      <c r="BU1079" s="732"/>
      <c r="BV1079" s="732"/>
      <c r="BW1079" s="732"/>
      <c r="BX1079" s="732"/>
      <c r="BY1079" s="732"/>
      <c r="BZ1079" s="732"/>
      <c r="CA1079" s="732"/>
    </row>
    <row r="1080" spans="1:79" s="309" customFormat="1" hidden="1" outlineLevel="1" x14ac:dyDescent="0.35">
      <c r="A1080" s="575"/>
      <c r="B1080" s="575"/>
      <c r="C1080" s="575"/>
      <c r="D1080" s="575"/>
      <c r="E1080" s="575"/>
      <c r="F1080" s="672" t="s">
        <v>616</v>
      </c>
      <c r="G1080" s="735"/>
      <c r="H1080" s="735"/>
      <c r="I1080" s="735"/>
      <c r="J1080" s="735"/>
      <c r="K1080" s="735"/>
      <c r="L1080" s="735"/>
      <c r="M1080" s="735"/>
      <c r="N1080" s="735"/>
      <c r="O1080" s="735"/>
      <c r="P1080" s="732"/>
      <c r="Q1080" s="732"/>
      <c r="R1080" s="732"/>
      <c r="S1080" s="692">
        <v>0</v>
      </c>
      <c r="T1080" s="692">
        <v>0</v>
      </c>
      <c r="U1080" s="692">
        <v>0</v>
      </c>
      <c r="V1080" s="692">
        <v>0</v>
      </c>
      <c r="W1080" s="692">
        <v>0</v>
      </c>
      <c r="X1080" s="692">
        <v>0</v>
      </c>
      <c r="Y1080" s="692">
        <v>0</v>
      </c>
      <c r="Z1080" s="692">
        <v>0</v>
      </c>
      <c r="AA1080" s="692">
        <v>0</v>
      </c>
      <c r="AB1080" s="692">
        <v>0</v>
      </c>
      <c r="AC1080" s="692">
        <v>0</v>
      </c>
      <c r="AD1080" s="692">
        <v>0</v>
      </c>
      <c r="AE1080" s="732"/>
      <c r="AF1080" s="732"/>
      <c r="AG1080" s="732"/>
      <c r="AH1080" s="732"/>
      <c r="AI1080" s="732"/>
      <c r="AJ1080" s="732"/>
      <c r="AK1080" s="732"/>
      <c r="AL1080" s="732"/>
      <c r="AM1080" s="732"/>
      <c r="AN1080" s="732"/>
      <c r="AO1080" s="732"/>
      <c r="AP1080" s="732"/>
      <c r="AQ1080" s="732"/>
      <c r="AR1080" s="732"/>
      <c r="AS1080" s="732"/>
      <c r="AT1080" s="732"/>
      <c r="AU1080" s="732"/>
      <c r="AV1080" s="732"/>
      <c r="AW1080" s="732"/>
      <c r="AX1080" s="732"/>
      <c r="AY1080" s="732"/>
      <c r="AZ1080" s="732"/>
      <c r="BA1080" s="732"/>
      <c r="BB1080" s="732"/>
      <c r="BC1080" s="732"/>
      <c r="BD1080" s="732"/>
      <c r="BE1080" s="732"/>
      <c r="BF1080" s="732"/>
      <c r="BG1080" s="732"/>
      <c r="BH1080" s="732"/>
      <c r="BI1080" s="732"/>
      <c r="BJ1080" s="732"/>
      <c r="BK1080" s="732"/>
      <c r="BL1080" s="732"/>
      <c r="BM1080" s="732"/>
      <c r="BN1080" s="732"/>
      <c r="BO1080" s="732"/>
      <c r="BP1080" s="732"/>
      <c r="BQ1080" s="732"/>
      <c r="BR1080" s="732"/>
      <c r="BS1080" s="732"/>
      <c r="BT1080" s="732"/>
      <c r="BU1080" s="732"/>
      <c r="BV1080" s="732"/>
      <c r="BW1080" s="732"/>
      <c r="BX1080" s="732"/>
      <c r="BY1080" s="732"/>
      <c r="BZ1080" s="732"/>
      <c r="CA1080" s="732"/>
    </row>
    <row r="1081" spans="1:79" s="309" customFormat="1" hidden="1" outlineLevel="1" x14ac:dyDescent="0.35">
      <c r="A1081" s="575"/>
      <c r="B1081" s="575"/>
      <c r="C1081" s="575"/>
      <c r="D1081" s="575"/>
      <c r="E1081" s="575"/>
      <c r="F1081" s="672" t="s">
        <v>893</v>
      </c>
      <c r="G1081" s="735"/>
      <c r="H1081" s="735"/>
      <c r="I1081" s="735"/>
      <c r="J1081" s="735"/>
      <c r="K1081" s="735"/>
      <c r="L1081" s="735"/>
      <c r="M1081" s="735"/>
      <c r="N1081" s="735"/>
      <c r="O1081" s="735"/>
      <c r="P1081" s="732"/>
      <c r="Q1081" s="732"/>
      <c r="R1081" s="732"/>
      <c r="S1081" s="692">
        <v>0</v>
      </c>
      <c r="T1081" s="692">
        <v>0</v>
      </c>
      <c r="U1081" s="692">
        <v>0</v>
      </c>
      <c r="V1081" s="692">
        <v>0</v>
      </c>
      <c r="W1081" s="692">
        <v>0</v>
      </c>
      <c r="X1081" s="692">
        <v>0</v>
      </c>
      <c r="Y1081" s="692">
        <v>0</v>
      </c>
      <c r="Z1081" s="692">
        <v>0</v>
      </c>
      <c r="AA1081" s="692">
        <v>0</v>
      </c>
      <c r="AB1081" s="692">
        <v>0</v>
      </c>
      <c r="AC1081" s="692">
        <v>0</v>
      </c>
      <c r="AD1081" s="692">
        <v>0</v>
      </c>
      <c r="AE1081" s="732"/>
      <c r="AF1081" s="732"/>
      <c r="AG1081" s="732"/>
      <c r="AH1081" s="732"/>
      <c r="AI1081" s="732"/>
      <c r="AJ1081" s="732"/>
      <c r="AK1081" s="732"/>
      <c r="AL1081" s="732"/>
      <c r="AM1081" s="732"/>
      <c r="AN1081" s="732"/>
      <c r="AO1081" s="732"/>
      <c r="AP1081" s="732"/>
      <c r="AQ1081" s="732"/>
      <c r="AR1081" s="732"/>
      <c r="AS1081" s="732"/>
      <c r="AT1081" s="732"/>
      <c r="AU1081" s="732"/>
      <c r="AV1081" s="732"/>
      <c r="AW1081" s="732"/>
      <c r="AX1081" s="732"/>
      <c r="AY1081" s="732"/>
      <c r="AZ1081" s="732"/>
      <c r="BA1081" s="732"/>
      <c r="BB1081" s="732"/>
      <c r="BC1081" s="732"/>
      <c r="BD1081" s="732"/>
      <c r="BE1081" s="732"/>
      <c r="BF1081" s="732"/>
      <c r="BG1081" s="732"/>
      <c r="BH1081" s="732"/>
      <c r="BI1081" s="732"/>
      <c r="BJ1081" s="732"/>
      <c r="BK1081" s="732"/>
      <c r="BL1081" s="732"/>
      <c r="BM1081" s="732"/>
      <c r="BN1081" s="732"/>
      <c r="BO1081" s="732"/>
      <c r="BP1081" s="732"/>
      <c r="BQ1081" s="732"/>
      <c r="BR1081" s="732"/>
      <c r="BS1081" s="732"/>
      <c r="BT1081" s="732"/>
      <c r="BU1081" s="732"/>
      <c r="BV1081" s="732"/>
      <c r="BW1081" s="732"/>
      <c r="BX1081" s="732"/>
      <c r="BY1081" s="732"/>
      <c r="BZ1081" s="732"/>
      <c r="CA1081" s="732"/>
    </row>
    <row r="1082" spans="1:79" s="309" customFormat="1" hidden="1" outlineLevel="1" x14ac:dyDescent="0.35">
      <c r="A1082" s="575"/>
      <c r="B1082" s="575"/>
      <c r="C1082" s="575"/>
      <c r="D1082" s="575"/>
      <c r="E1082" s="575"/>
      <c r="F1082" s="672" t="s">
        <v>768</v>
      </c>
      <c r="G1082" s="735"/>
      <c r="H1082" s="735"/>
      <c r="I1082" s="735"/>
      <c r="J1082" s="735"/>
      <c r="K1082" s="735"/>
      <c r="L1082" s="735"/>
      <c r="M1082" s="735"/>
      <c r="N1082" s="735"/>
      <c r="O1082" s="735"/>
      <c r="P1082" s="732"/>
      <c r="Q1082" s="732"/>
      <c r="R1082" s="732"/>
      <c r="S1082" s="692">
        <v>0</v>
      </c>
      <c r="T1082" s="692">
        <v>0</v>
      </c>
      <c r="U1082" s="692">
        <v>0</v>
      </c>
      <c r="V1082" s="692">
        <v>0</v>
      </c>
      <c r="W1082" s="692">
        <v>0</v>
      </c>
      <c r="X1082" s="692">
        <v>0</v>
      </c>
      <c r="Y1082" s="692">
        <v>0</v>
      </c>
      <c r="Z1082" s="692">
        <v>0</v>
      </c>
      <c r="AA1082" s="692">
        <v>0</v>
      </c>
      <c r="AB1082" s="692">
        <v>0</v>
      </c>
      <c r="AC1082" s="692">
        <v>0</v>
      </c>
      <c r="AD1082" s="692">
        <v>0</v>
      </c>
      <c r="AE1082" s="732"/>
      <c r="AF1082" s="732"/>
      <c r="AG1082" s="732"/>
      <c r="AH1082" s="732"/>
      <c r="AI1082" s="732"/>
      <c r="AJ1082" s="732"/>
      <c r="AK1082" s="732"/>
      <c r="AL1082" s="732"/>
      <c r="AM1082" s="732"/>
      <c r="AN1082" s="732"/>
      <c r="AO1082" s="732"/>
      <c r="AP1082" s="732"/>
      <c r="AQ1082" s="732"/>
      <c r="AR1082" s="732"/>
      <c r="AS1082" s="732"/>
      <c r="AT1082" s="732"/>
      <c r="AU1082" s="732"/>
      <c r="AV1082" s="732"/>
      <c r="AW1082" s="732"/>
      <c r="AX1082" s="732"/>
      <c r="AY1082" s="732"/>
      <c r="AZ1082" s="732"/>
      <c r="BA1082" s="732"/>
      <c r="BB1082" s="732"/>
      <c r="BC1082" s="732"/>
      <c r="BD1082" s="732"/>
      <c r="BE1082" s="732"/>
      <c r="BF1082" s="732"/>
      <c r="BG1082" s="732"/>
      <c r="BH1082" s="732"/>
      <c r="BI1082" s="732"/>
      <c r="BJ1082" s="732"/>
      <c r="BK1082" s="732"/>
      <c r="BL1082" s="732"/>
      <c r="BM1082" s="732"/>
      <c r="BN1082" s="732"/>
      <c r="BO1082" s="732"/>
      <c r="BP1082" s="732"/>
      <c r="BQ1082" s="732"/>
      <c r="BR1082" s="732"/>
      <c r="BS1082" s="732"/>
      <c r="BT1082" s="732"/>
      <c r="BU1082" s="732"/>
      <c r="BV1082" s="732"/>
      <c r="BW1082" s="732"/>
      <c r="BX1082" s="732"/>
      <c r="BY1082" s="732"/>
      <c r="BZ1082" s="732"/>
      <c r="CA1082" s="732"/>
    </row>
    <row r="1083" spans="1:79" s="309" customFormat="1" hidden="1" outlineLevel="1" x14ac:dyDescent="0.35">
      <c r="A1083" s="575"/>
      <c r="B1083" s="575"/>
      <c r="C1083" s="575"/>
      <c r="D1083" s="575"/>
      <c r="E1083" s="575"/>
      <c r="F1083" s="672" t="s">
        <v>785</v>
      </c>
      <c r="G1083" s="735"/>
      <c r="H1083" s="735"/>
      <c r="I1083" s="735"/>
      <c r="J1083" s="735"/>
      <c r="K1083" s="735"/>
      <c r="L1083" s="735"/>
      <c r="M1083" s="735"/>
      <c r="N1083" s="735"/>
      <c r="O1083" s="735"/>
      <c r="P1083" s="732"/>
      <c r="Q1083" s="732"/>
      <c r="R1083" s="732"/>
      <c r="S1083" s="692">
        <v>0</v>
      </c>
      <c r="T1083" s="692">
        <v>0</v>
      </c>
      <c r="U1083" s="692">
        <v>0</v>
      </c>
      <c r="V1083" s="692">
        <v>0</v>
      </c>
      <c r="W1083" s="692">
        <v>0</v>
      </c>
      <c r="X1083" s="692">
        <v>0</v>
      </c>
      <c r="Y1083" s="692">
        <v>0</v>
      </c>
      <c r="Z1083" s="692">
        <v>0</v>
      </c>
      <c r="AA1083" s="692">
        <v>0</v>
      </c>
      <c r="AB1083" s="692">
        <v>0</v>
      </c>
      <c r="AC1083" s="692">
        <v>0</v>
      </c>
      <c r="AD1083" s="692">
        <v>0</v>
      </c>
      <c r="AE1083" s="732"/>
      <c r="AF1083" s="732"/>
      <c r="AG1083" s="732"/>
      <c r="AH1083" s="732"/>
      <c r="AI1083" s="732"/>
      <c r="AJ1083" s="732"/>
      <c r="AK1083" s="732"/>
      <c r="AL1083" s="732"/>
      <c r="AM1083" s="732"/>
      <c r="AN1083" s="732"/>
      <c r="AO1083" s="732"/>
      <c r="AP1083" s="732"/>
      <c r="AQ1083" s="732"/>
      <c r="AR1083" s="732"/>
      <c r="AS1083" s="732"/>
      <c r="AT1083" s="732"/>
      <c r="AU1083" s="732"/>
      <c r="AV1083" s="732"/>
      <c r="AW1083" s="732"/>
      <c r="AX1083" s="732"/>
      <c r="AY1083" s="732"/>
      <c r="AZ1083" s="732"/>
      <c r="BA1083" s="732"/>
      <c r="BB1083" s="732"/>
      <c r="BC1083" s="732"/>
      <c r="BD1083" s="732"/>
      <c r="BE1083" s="732"/>
      <c r="BF1083" s="732"/>
      <c r="BG1083" s="732"/>
      <c r="BH1083" s="732"/>
      <c r="BI1083" s="732"/>
      <c r="BJ1083" s="732"/>
      <c r="BK1083" s="732"/>
      <c r="BL1083" s="732"/>
      <c r="BM1083" s="732"/>
      <c r="BN1083" s="732"/>
      <c r="BO1083" s="732"/>
      <c r="BP1083" s="732"/>
      <c r="BQ1083" s="732"/>
      <c r="BR1083" s="732"/>
      <c r="BS1083" s="732"/>
      <c r="BT1083" s="732"/>
      <c r="BU1083" s="732"/>
      <c r="BV1083" s="732"/>
      <c r="BW1083" s="732"/>
      <c r="BX1083" s="732"/>
      <c r="BY1083" s="732"/>
      <c r="BZ1083" s="732"/>
      <c r="CA1083" s="732"/>
    </row>
    <row r="1084" spans="1:79" s="309" customFormat="1" hidden="1" outlineLevel="1" x14ac:dyDescent="0.35">
      <c r="A1084" s="575"/>
      <c r="B1084" s="575"/>
      <c r="C1084" s="575"/>
      <c r="D1084" s="575"/>
      <c r="E1084" s="575"/>
      <c r="F1084" s="672" t="s">
        <v>617</v>
      </c>
      <c r="G1084" s="735"/>
      <c r="H1084" s="735"/>
      <c r="I1084" s="735"/>
      <c r="J1084" s="735"/>
      <c r="K1084" s="735"/>
      <c r="L1084" s="735"/>
      <c r="M1084" s="735"/>
      <c r="N1084" s="735"/>
      <c r="O1084" s="735"/>
      <c r="P1084" s="732"/>
      <c r="Q1084" s="732"/>
      <c r="R1084" s="732"/>
      <c r="S1084" s="692">
        <v>0</v>
      </c>
      <c r="T1084" s="692">
        <v>0</v>
      </c>
      <c r="U1084" s="692">
        <v>0</v>
      </c>
      <c r="V1084" s="692">
        <v>0</v>
      </c>
      <c r="W1084" s="692">
        <v>0</v>
      </c>
      <c r="X1084" s="692">
        <v>0</v>
      </c>
      <c r="Y1084" s="692">
        <v>0</v>
      </c>
      <c r="Z1084" s="692">
        <v>0</v>
      </c>
      <c r="AA1084" s="692">
        <v>0</v>
      </c>
      <c r="AB1084" s="692">
        <v>0</v>
      </c>
      <c r="AC1084" s="692">
        <v>0</v>
      </c>
      <c r="AD1084" s="692">
        <v>0</v>
      </c>
      <c r="AE1084" s="732"/>
      <c r="AF1084" s="732"/>
      <c r="AG1084" s="732"/>
      <c r="AH1084" s="732"/>
      <c r="AI1084" s="732"/>
      <c r="AJ1084" s="732"/>
      <c r="AK1084" s="732"/>
      <c r="AL1084" s="732"/>
      <c r="AM1084" s="732"/>
      <c r="AN1084" s="732"/>
      <c r="AO1084" s="732"/>
      <c r="AP1084" s="732"/>
      <c r="AQ1084" s="732"/>
      <c r="AR1084" s="732"/>
      <c r="AS1084" s="732"/>
      <c r="AT1084" s="732"/>
      <c r="AU1084" s="732"/>
      <c r="AV1084" s="732"/>
      <c r="AW1084" s="732"/>
      <c r="AX1084" s="732"/>
      <c r="AY1084" s="732"/>
      <c r="AZ1084" s="732"/>
      <c r="BA1084" s="732"/>
      <c r="BB1084" s="732"/>
      <c r="BC1084" s="732"/>
      <c r="BD1084" s="732"/>
      <c r="BE1084" s="732"/>
      <c r="BF1084" s="732"/>
      <c r="BG1084" s="732"/>
      <c r="BH1084" s="732"/>
      <c r="BI1084" s="732"/>
      <c r="BJ1084" s="732"/>
      <c r="BK1084" s="732"/>
      <c r="BL1084" s="732"/>
      <c r="BM1084" s="732"/>
      <c r="BN1084" s="732"/>
      <c r="BO1084" s="732"/>
      <c r="BP1084" s="732"/>
      <c r="BQ1084" s="732"/>
      <c r="BR1084" s="732"/>
      <c r="BS1084" s="732"/>
      <c r="BT1084" s="732"/>
      <c r="BU1084" s="732"/>
      <c r="BV1084" s="732"/>
      <c r="BW1084" s="732"/>
      <c r="BX1084" s="732"/>
      <c r="BY1084" s="732"/>
      <c r="BZ1084" s="732"/>
      <c r="CA1084" s="732"/>
    </row>
    <row r="1085" spans="1:79" s="309" customFormat="1" hidden="1" outlineLevel="1" x14ac:dyDescent="0.35">
      <c r="A1085" s="575"/>
      <c r="B1085" s="575"/>
      <c r="C1085" s="575"/>
      <c r="D1085" s="575"/>
      <c r="E1085" s="575"/>
      <c r="F1085" s="672" t="s">
        <v>618</v>
      </c>
      <c r="G1085" s="735"/>
      <c r="H1085" s="735"/>
      <c r="I1085" s="735"/>
      <c r="J1085" s="735"/>
      <c r="K1085" s="735"/>
      <c r="L1085" s="735"/>
      <c r="M1085" s="735"/>
      <c r="N1085" s="735"/>
      <c r="O1085" s="735"/>
      <c r="P1085" s="732"/>
      <c r="Q1085" s="732"/>
      <c r="R1085" s="732"/>
      <c r="S1085" s="692">
        <v>0</v>
      </c>
      <c r="T1085" s="692">
        <v>0</v>
      </c>
      <c r="U1085" s="692">
        <v>0</v>
      </c>
      <c r="V1085" s="692">
        <v>0</v>
      </c>
      <c r="W1085" s="692">
        <v>0</v>
      </c>
      <c r="X1085" s="692">
        <v>0</v>
      </c>
      <c r="Y1085" s="692">
        <v>0</v>
      </c>
      <c r="Z1085" s="692">
        <v>0</v>
      </c>
      <c r="AA1085" s="692">
        <v>0</v>
      </c>
      <c r="AB1085" s="692">
        <v>0</v>
      </c>
      <c r="AC1085" s="692">
        <v>0</v>
      </c>
      <c r="AD1085" s="692">
        <v>0</v>
      </c>
      <c r="AE1085" s="732"/>
      <c r="AF1085" s="732"/>
      <c r="AG1085" s="732"/>
      <c r="AH1085" s="732"/>
      <c r="AI1085" s="732"/>
      <c r="AJ1085" s="732"/>
      <c r="AK1085" s="732"/>
      <c r="AL1085" s="732"/>
      <c r="AM1085" s="732"/>
      <c r="AN1085" s="732"/>
      <c r="AO1085" s="732"/>
      <c r="AP1085" s="732"/>
      <c r="AQ1085" s="732"/>
      <c r="AR1085" s="732"/>
      <c r="AS1085" s="732"/>
      <c r="AT1085" s="732"/>
      <c r="AU1085" s="732"/>
      <c r="AV1085" s="732"/>
      <c r="AW1085" s="732"/>
      <c r="AX1085" s="732"/>
      <c r="AY1085" s="732"/>
      <c r="AZ1085" s="732"/>
      <c r="BA1085" s="732"/>
      <c r="BB1085" s="732"/>
      <c r="BC1085" s="732"/>
      <c r="BD1085" s="732"/>
      <c r="BE1085" s="732"/>
      <c r="BF1085" s="732"/>
      <c r="BG1085" s="732"/>
      <c r="BH1085" s="732"/>
      <c r="BI1085" s="732"/>
      <c r="BJ1085" s="732"/>
      <c r="BK1085" s="732"/>
      <c r="BL1085" s="732"/>
      <c r="BM1085" s="732"/>
      <c r="BN1085" s="732"/>
      <c r="BO1085" s="732"/>
      <c r="BP1085" s="732"/>
      <c r="BQ1085" s="732"/>
      <c r="BR1085" s="732"/>
      <c r="BS1085" s="732"/>
      <c r="BT1085" s="732"/>
      <c r="BU1085" s="732"/>
      <c r="BV1085" s="732"/>
      <c r="BW1085" s="732"/>
      <c r="BX1085" s="732"/>
      <c r="BY1085" s="732"/>
      <c r="BZ1085" s="732"/>
      <c r="CA1085" s="732"/>
    </row>
    <row r="1086" spans="1:79" s="309" customFormat="1" hidden="1" outlineLevel="1" x14ac:dyDescent="0.35">
      <c r="A1086" s="575"/>
      <c r="B1086" s="575"/>
      <c r="C1086" s="575"/>
      <c r="D1086" s="575"/>
      <c r="E1086" s="575"/>
      <c r="F1086" s="672" t="s">
        <v>619</v>
      </c>
      <c r="G1086" s="735"/>
      <c r="H1086" s="735"/>
      <c r="I1086" s="735"/>
      <c r="J1086" s="735"/>
      <c r="K1086" s="735"/>
      <c r="L1086" s="735"/>
      <c r="M1086" s="735"/>
      <c r="N1086" s="735"/>
      <c r="O1086" s="735"/>
      <c r="P1086" s="732"/>
      <c r="Q1086" s="732"/>
      <c r="R1086" s="732"/>
      <c r="S1086" s="692">
        <v>0</v>
      </c>
      <c r="T1086" s="692">
        <v>0</v>
      </c>
      <c r="U1086" s="692">
        <v>0</v>
      </c>
      <c r="V1086" s="692">
        <v>0</v>
      </c>
      <c r="W1086" s="692">
        <v>0</v>
      </c>
      <c r="X1086" s="692">
        <v>0</v>
      </c>
      <c r="Y1086" s="692">
        <v>0</v>
      </c>
      <c r="Z1086" s="692">
        <v>0</v>
      </c>
      <c r="AA1086" s="692">
        <v>0</v>
      </c>
      <c r="AB1086" s="692">
        <v>0</v>
      </c>
      <c r="AC1086" s="692">
        <v>0</v>
      </c>
      <c r="AD1086" s="692">
        <v>0</v>
      </c>
      <c r="AE1086" s="732"/>
      <c r="AF1086" s="732"/>
      <c r="AG1086" s="732"/>
      <c r="AH1086" s="732"/>
      <c r="AI1086" s="732"/>
      <c r="AJ1086" s="732"/>
      <c r="AK1086" s="732"/>
      <c r="AL1086" s="732"/>
      <c r="AM1086" s="732"/>
      <c r="AN1086" s="732"/>
      <c r="AO1086" s="732"/>
      <c r="AP1086" s="732"/>
      <c r="AQ1086" s="732"/>
      <c r="AR1086" s="732"/>
      <c r="AS1086" s="732"/>
      <c r="AT1086" s="732"/>
      <c r="AU1086" s="732"/>
      <c r="AV1086" s="732"/>
      <c r="AW1086" s="732"/>
      <c r="AX1086" s="732"/>
      <c r="AY1086" s="732"/>
      <c r="AZ1086" s="732"/>
      <c r="BA1086" s="732"/>
      <c r="BB1086" s="732"/>
      <c r="BC1086" s="732"/>
      <c r="BD1086" s="732"/>
      <c r="BE1086" s="732"/>
      <c r="BF1086" s="732"/>
      <c r="BG1086" s="732"/>
      <c r="BH1086" s="732"/>
      <c r="BI1086" s="732"/>
      <c r="BJ1086" s="732"/>
      <c r="BK1086" s="732"/>
      <c r="BL1086" s="732"/>
      <c r="BM1086" s="732"/>
      <c r="BN1086" s="732"/>
      <c r="BO1086" s="732"/>
      <c r="BP1086" s="732"/>
      <c r="BQ1086" s="732"/>
      <c r="BR1086" s="732"/>
      <c r="BS1086" s="732"/>
      <c r="BT1086" s="732"/>
      <c r="BU1086" s="732"/>
      <c r="BV1086" s="732"/>
      <c r="BW1086" s="732"/>
      <c r="BX1086" s="732"/>
      <c r="BY1086" s="732"/>
      <c r="BZ1086" s="732"/>
      <c r="CA1086" s="732"/>
    </row>
    <row r="1087" spans="1:79" s="309" customFormat="1" hidden="1" outlineLevel="1" x14ac:dyDescent="0.35">
      <c r="A1087" s="575"/>
      <c r="B1087" s="575"/>
      <c r="C1087" s="575"/>
      <c r="D1087" s="575"/>
      <c r="E1087" s="575"/>
      <c r="F1087" s="672" t="s">
        <v>894</v>
      </c>
      <c r="G1087" s="735"/>
      <c r="H1087" s="735"/>
      <c r="I1087" s="735"/>
      <c r="J1087" s="735"/>
      <c r="K1087" s="735"/>
      <c r="L1087" s="735"/>
      <c r="M1087" s="735"/>
      <c r="N1087" s="735"/>
      <c r="O1087" s="735"/>
      <c r="P1087" s="732"/>
      <c r="Q1087" s="732"/>
      <c r="R1087" s="732"/>
      <c r="S1087" s="692">
        <v>0</v>
      </c>
      <c r="T1087" s="692">
        <v>0</v>
      </c>
      <c r="U1087" s="692">
        <v>0</v>
      </c>
      <c r="V1087" s="692">
        <v>0</v>
      </c>
      <c r="W1087" s="692">
        <v>0</v>
      </c>
      <c r="X1087" s="692">
        <v>0</v>
      </c>
      <c r="Y1087" s="692">
        <v>0</v>
      </c>
      <c r="Z1087" s="692">
        <v>0</v>
      </c>
      <c r="AA1087" s="692">
        <v>0</v>
      </c>
      <c r="AB1087" s="692">
        <v>0</v>
      </c>
      <c r="AC1087" s="692">
        <v>0</v>
      </c>
      <c r="AD1087" s="692">
        <v>0</v>
      </c>
      <c r="AE1087" s="732"/>
      <c r="AF1087" s="732"/>
      <c r="AG1087" s="732"/>
      <c r="AH1087" s="732"/>
      <c r="AI1087" s="732"/>
      <c r="AJ1087" s="732"/>
      <c r="AK1087" s="732"/>
      <c r="AL1087" s="732"/>
      <c r="AM1087" s="732"/>
      <c r="AN1087" s="732"/>
      <c r="AO1087" s="732"/>
      <c r="AP1087" s="732"/>
      <c r="AQ1087" s="732"/>
      <c r="AR1087" s="732"/>
      <c r="AS1087" s="732"/>
      <c r="AT1087" s="732"/>
      <c r="AU1087" s="732"/>
      <c r="AV1087" s="732"/>
      <c r="AW1087" s="732"/>
      <c r="AX1087" s="732"/>
      <c r="AY1087" s="732"/>
      <c r="AZ1087" s="732"/>
      <c r="BA1087" s="732"/>
      <c r="BB1087" s="732"/>
      <c r="BC1087" s="732"/>
      <c r="BD1087" s="732"/>
      <c r="BE1087" s="732"/>
      <c r="BF1087" s="732"/>
      <c r="BG1087" s="732"/>
      <c r="BH1087" s="732"/>
      <c r="BI1087" s="732"/>
      <c r="BJ1087" s="732"/>
      <c r="BK1087" s="732"/>
      <c r="BL1087" s="732"/>
      <c r="BM1087" s="732"/>
      <c r="BN1087" s="732"/>
      <c r="BO1087" s="732"/>
      <c r="BP1087" s="732"/>
      <c r="BQ1087" s="732"/>
      <c r="BR1087" s="732"/>
      <c r="BS1087" s="732"/>
      <c r="BT1087" s="732"/>
      <c r="BU1087" s="732"/>
      <c r="BV1087" s="732"/>
      <c r="BW1087" s="732"/>
      <c r="BX1087" s="732"/>
      <c r="BY1087" s="732"/>
      <c r="BZ1087" s="732"/>
      <c r="CA1087" s="732"/>
    </row>
    <row r="1088" spans="1:79" s="309" customFormat="1" hidden="1" outlineLevel="1" x14ac:dyDescent="0.35">
      <c r="A1088" s="575"/>
      <c r="B1088" s="575"/>
      <c r="C1088" s="575"/>
      <c r="D1088" s="575"/>
      <c r="E1088" s="575"/>
      <c r="F1088" s="672" t="s">
        <v>620</v>
      </c>
      <c r="G1088" s="735"/>
      <c r="H1088" s="735"/>
      <c r="I1088" s="735"/>
      <c r="J1088" s="735"/>
      <c r="K1088" s="735"/>
      <c r="L1088" s="735"/>
      <c r="M1088" s="735"/>
      <c r="N1088" s="735"/>
      <c r="O1088" s="735"/>
      <c r="P1088" s="732"/>
      <c r="Q1088" s="732"/>
      <c r="R1088" s="732"/>
      <c r="S1088" s="692">
        <v>0</v>
      </c>
      <c r="T1088" s="692">
        <v>0</v>
      </c>
      <c r="U1088" s="692">
        <v>0</v>
      </c>
      <c r="V1088" s="692">
        <v>0</v>
      </c>
      <c r="W1088" s="692">
        <v>0</v>
      </c>
      <c r="X1088" s="692">
        <v>0</v>
      </c>
      <c r="Y1088" s="692">
        <v>0</v>
      </c>
      <c r="Z1088" s="692">
        <v>0</v>
      </c>
      <c r="AA1088" s="692">
        <v>0</v>
      </c>
      <c r="AB1088" s="692">
        <v>0</v>
      </c>
      <c r="AC1088" s="692">
        <v>0</v>
      </c>
      <c r="AD1088" s="692">
        <v>0</v>
      </c>
      <c r="AE1088" s="732"/>
      <c r="AF1088" s="732"/>
      <c r="AG1088" s="732"/>
      <c r="AH1088" s="732"/>
      <c r="AI1088" s="732"/>
      <c r="AJ1088" s="732"/>
      <c r="AK1088" s="732"/>
      <c r="AL1088" s="732"/>
      <c r="AM1088" s="732"/>
      <c r="AN1088" s="732"/>
      <c r="AO1088" s="732"/>
      <c r="AP1088" s="732"/>
      <c r="AQ1088" s="732"/>
      <c r="AR1088" s="732"/>
      <c r="AS1088" s="732"/>
      <c r="AT1088" s="732"/>
      <c r="AU1088" s="732"/>
      <c r="AV1088" s="732"/>
      <c r="AW1088" s="732"/>
      <c r="AX1088" s="732"/>
      <c r="AY1088" s="732"/>
      <c r="AZ1088" s="732"/>
      <c r="BA1088" s="732"/>
      <c r="BB1088" s="732"/>
      <c r="BC1088" s="732"/>
      <c r="BD1088" s="732"/>
      <c r="BE1088" s="732"/>
      <c r="BF1088" s="732"/>
      <c r="BG1088" s="732"/>
      <c r="BH1088" s="732"/>
      <c r="BI1088" s="732"/>
      <c r="BJ1088" s="732"/>
      <c r="BK1088" s="732"/>
      <c r="BL1088" s="732"/>
      <c r="BM1088" s="732"/>
      <c r="BN1088" s="732"/>
      <c r="BO1088" s="732"/>
      <c r="BP1088" s="732"/>
      <c r="BQ1088" s="732"/>
      <c r="BR1088" s="732"/>
      <c r="BS1088" s="732"/>
      <c r="BT1088" s="732"/>
      <c r="BU1088" s="732"/>
      <c r="BV1088" s="732"/>
      <c r="BW1088" s="732"/>
      <c r="BX1088" s="732"/>
      <c r="BY1088" s="732"/>
      <c r="BZ1088" s="732"/>
      <c r="CA1088" s="732"/>
    </row>
    <row r="1089" spans="1:79" s="309" customFormat="1" hidden="1" outlineLevel="1" x14ac:dyDescent="0.35">
      <c r="A1089" s="575"/>
      <c r="B1089" s="575"/>
      <c r="C1089" s="575"/>
      <c r="D1089" s="575"/>
      <c r="E1089" s="575"/>
      <c r="F1089" s="675" t="s">
        <v>621</v>
      </c>
      <c r="G1089" s="680">
        <f>SUM(G1072:G1088)</f>
        <v>0</v>
      </c>
      <c r="H1089" s="680">
        <f t="shared" ref="H1089:BO1089" si="414">SUM(H1072:H1088)</f>
        <v>0</v>
      </c>
      <c r="I1089" s="680">
        <f t="shared" si="414"/>
        <v>0</v>
      </c>
      <c r="J1089" s="680">
        <f t="shared" si="414"/>
        <v>0</v>
      </c>
      <c r="K1089" s="680">
        <f t="shared" si="414"/>
        <v>0</v>
      </c>
      <c r="L1089" s="680">
        <f t="shared" si="414"/>
        <v>0</v>
      </c>
      <c r="M1089" s="680">
        <f t="shared" si="414"/>
        <v>0</v>
      </c>
      <c r="N1089" s="680">
        <f t="shared" si="414"/>
        <v>0</v>
      </c>
      <c r="O1089" s="680">
        <f t="shared" si="414"/>
        <v>0</v>
      </c>
      <c r="P1089" s="680">
        <f t="shared" si="414"/>
        <v>0</v>
      </c>
      <c r="Q1089" s="680">
        <f t="shared" si="414"/>
        <v>0</v>
      </c>
      <c r="R1089" s="680">
        <f t="shared" si="414"/>
        <v>0</v>
      </c>
      <c r="S1089" s="694">
        <f t="shared" ref="S1089:AA1089" si="415">ROUND(SUM(S1071:S1088),5)</f>
        <v>0</v>
      </c>
      <c r="T1089" s="694">
        <f t="shared" si="415"/>
        <v>0</v>
      </c>
      <c r="U1089" s="694">
        <f t="shared" si="415"/>
        <v>0</v>
      </c>
      <c r="V1089" s="694">
        <f t="shared" si="415"/>
        <v>0</v>
      </c>
      <c r="W1089" s="694">
        <f t="shared" si="415"/>
        <v>0</v>
      </c>
      <c r="X1089" s="694">
        <f t="shared" si="415"/>
        <v>0</v>
      </c>
      <c r="Y1089" s="694">
        <f t="shared" si="415"/>
        <v>0</v>
      </c>
      <c r="Z1089" s="694">
        <f t="shared" si="415"/>
        <v>0</v>
      </c>
      <c r="AA1089" s="694">
        <f t="shared" si="415"/>
        <v>0</v>
      </c>
      <c r="AB1089" s="694">
        <f>ROUND(SUM(AB1071:AB1088),5)</f>
        <v>0</v>
      </c>
      <c r="AC1089" s="694">
        <f>ROUND(SUM(AC1071:AC1088),5)</f>
        <v>0</v>
      </c>
      <c r="AD1089" s="694">
        <f>ROUND(SUM(AD1071:AD1088),5)</f>
        <v>0</v>
      </c>
      <c r="AE1089" s="680">
        <f t="shared" si="414"/>
        <v>0</v>
      </c>
      <c r="AF1089" s="680">
        <f t="shared" si="414"/>
        <v>0</v>
      </c>
      <c r="AG1089" s="680">
        <f t="shared" si="414"/>
        <v>0</v>
      </c>
      <c r="AH1089" s="680">
        <f t="shared" si="414"/>
        <v>0</v>
      </c>
      <c r="AI1089" s="680">
        <f t="shared" si="414"/>
        <v>0</v>
      </c>
      <c r="AJ1089" s="680">
        <f t="shared" si="414"/>
        <v>0</v>
      </c>
      <c r="AK1089" s="680">
        <f t="shared" si="414"/>
        <v>0</v>
      </c>
      <c r="AL1089" s="680">
        <f t="shared" si="414"/>
        <v>0</v>
      </c>
      <c r="AM1089" s="680">
        <f t="shared" si="414"/>
        <v>0</v>
      </c>
      <c r="AN1089" s="680">
        <f t="shared" si="414"/>
        <v>0</v>
      </c>
      <c r="AO1089" s="680">
        <f t="shared" si="414"/>
        <v>0</v>
      </c>
      <c r="AP1089" s="680">
        <f t="shared" si="414"/>
        <v>0</v>
      </c>
      <c r="AQ1089" s="680">
        <f t="shared" si="414"/>
        <v>0</v>
      </c>
      <c r="AR1089" s="680">
        <f t="shared" si="414"/>
        <v>0</v>
      </c>
      <c r="AS1089" s="680">
        <f t="shared" si="414"/>
        <v>0</v>
      </c>
      <c r="AT1089" s="680">
        <f t="shared" si="414"/>
        <v>0</v>
      </c>
      <c r="AU1089" s="680">
        <f t="shared" si="414"/>
        <v>0</v>
      </c>
      <c r="AV1089" s="680">
        <f t="shared" si="414"/>
        <v>0</v>
      </c>
      <c r="AW1089" s="680">
        <f t="shared" si="414"/>
        <v>0</v>
      </c>
      <c r="AX1089" s="680">
        <f t="shared" si="414"/>
        <v>0</v>
      </c>
      <c r="AY1089" s="680">
        <f t="shared" si="414"/>
        <v>0</v>
      </c>
      <c r="AZ1089" s="680">
        <f t="shared" si="414"/>
        <v>0</v>
      </c>
      <c r="BA1089" s="680">
        <f t="shared" si="414"/>
        <v>0</v>
      </c>
      <c r="BB1089" s="680">
        <f t="shared" si="414"/>
        <v>0</v>
      </c>
      <c r="BC1089" s="680">
        <f t="shared" si="414"/>
        <v>0</v>
      </c>
      <c r="BD1089" s="680">
        <f t="shared" si="414"/>
        <v>0</v>
      </c>
      <c r="BE1089" s="680">
        <f t="shared" si="414"/>
        <v>0</v>
      </c>
      <c r="BF1089" s="680">
        <f t="shared" si="414"/>
        <v>0</v>
      </c>
      <c r="BG1089" s="680">
        <f t="shared" si="414"/>
        <v>0</v>
      </c>
      <c r="BH1089" s="680">
        <f t="shared" si="414"/>
        <v>0</v>
      </c>
      <c r="BI1089" s="680">
        <f t="shared" si="414"/>
        <v>0</v>
      </c>
      <c r="BJ1089" s="680">
        <f t="shared" si="414"/>
        <v>0</v>
      </c>
      <c r="BK1089" s="680">
        <f t="shared" si="414"/>
        <v>0</v>
      </c>
      <c r="BL1089" s="680">
        <f t="shared" si="414"/>
        <v>0</v>
      </c>
      <c r="BM1089" s="680">
        <f t="shared" si="414"/>
        <v>0</v>
      </c>
      <c r="BN1089" s="680">
        <f t="shared" si="414"/>
        <v>0</v>
      </c>
      <c r="BO1089" s="680">
        <f t="shared" si="414"/>
        <v>0</v>
      </c>
      <c r="BP1089" s="680">
        <f t="shared" ref="BP1089:CA1089" si="416">SUM(BP1072:BP1088)</f>
        <v>0</v>
      </c>
      <c r="BQ1089" s="680">
        <f t="shared" si="416"/>
        <v>0</v>
      </c>
      <c r="BR1089" s="680">
        <f t="shared" si="416"/>
        <v>0</v>
      </c>
      <c r="BS1089" s="680">
        <f t="shared" si="416"/>
        <v>0</v>
      </c>
      <c r="BT1089" s="680">
        <f t="shared" si="416"/>
        <v>0</v>
      </c>
      <c r="BU1089" s="680">
        <f t="shared" si="416"/>
        <v>0</v>
      </c>
      <c r="BV1089" s="680">
        <f t="shared" si="416"/>
        <v>0</v>
      </c>
      <c r="BW1089" s="680">
        <f t="shared" si="416"/>
        <v>0</v>
      </c>
      <c r="BX1089" s="680">
        <f t="shared" si="416"/>
        <v>0</v>
      </c>
      <c r="BY1089" s="680">
        <f t="shared" si="416"/>
        <v>0</v>
      </c>
      <c r="BZ1089" s="680">
        <f t="shared" si="416"/>
        <v>0</v>
      </c>
      <c r="CA1089" s="680">
        <f t="shared" si="416"/>
        <v>0</v>
      </c>
    </row>
    <row r="1090" spans="1:79" s="726" customFormat="1" hidden="1" outlineLevel="1" x14ac:dyDescent="0.35">
      <c r="F1090" s="707" t="s">
        <v>598</v>
      </c>
      <c r="G1090" s="750"/>
      <c r="H1090" s="750"/>
      <c r="I1090" s="750"/>
      <c r="J1090" s="750"/>
      <c r="K1090" s="750"/>
      <c r="L1090" s="750"/>
      <c r="M1090" s="750"/>
      <c r="N1090" s="750"/>
      <c r="O1090" s="750"/>
      <c r="P1090" s="751"/>
      <c r="Q1090" s="751"/>
      <c r="R1090" s="751"/>
      <c r="S1090" s="724"/>
      <c r="T1090" s="724"/>
      <c r="U1090" s="724"/>
      <c r="V1090" s="724"/>
      <c r="W1090" s="724"/>
      <c r="X1090" s="724"/>
      <c r="Y1090" s="724"/>
      <c r="Z1090" s="724"/>
      <c r="AA1090" s="724"/>
      <c r="AB1090" s="724"/>
      <c r="AC1090" s="724"/>
      <c r="AD1090" s="724"/>
      <c r="AE1090" s="751"/>
      <c r="AF1090" s="751"/>
      <c r="AG1090" s="751"/>
      <c r="AH1090" s="751"/>
      <c r="AI1090" s="751"/>
      <c r="AJ1090" s="751"/>
      <c r="AK1090" s="751"/>
      <c r="AL1090" s="751"/>
      <c r="AM1090" s="751"/>
      <c r="AN1090" s="751"/>
      <c r="AO1090" s="751"/>
      <c r="AP1090" s="751"/>
      <c r="AQ1090" s="751"/>
      <c r="AR1090" s="751"/>
      <c r="AS1090" s="751"/>
      <c r="AT1090" s="751"/>
      <c r="AU1090" s="751"/>
      <c r="AV1090" s="751"/>
      <c r="AW1090" s="751"/>
      <c r="AX1090" s="751"/>
      <c r="AY1090" s="751"/>
      <c r="AZ1090" s="751"/>
      <c r="BA1090" s="751"/>
      <c r="BB1090" s="751"/>
      <c r="BC1090" s="751"/>
      <c r="BD1090" s="751"/>
      <c r="BE1090" s="751"/>
      <c r="BF1090" s="751"/>
      <c r="BG1090" s="751"/>
      <c r="BH1090" s="751"/>
      <c r="BI1090" s="751"/>
      <c r="BJ1090" s="751"/>
      <c r="BK1090" s="751"/>
      <c r="BL1090" s="751"/>
      <c r="BM1090" s="751"/>
      <c r="BN1090" s="751"/>
      <c r="BO1090" s="751"/>
      <c r="BP1090" s="751"/>
      <c r="BQ1090" s="751"/>
      <c r="BR1090" s="751"/>
      <c r="BS1090" s="751"/>
      <c r="BT1090" s="751"/>
      <c r="BU1090" s="751"/>
      <c r="BV1090" s="751"/>
      <c r="BW1090" s="751"/>
      <c r="BX1090" s="751"/>
      <c r="BY1090" s="751"/>
      <c r="BZ1090" s="751"/>
      <c r="CA1090" s="751"/>
    </row>
    <row r="1091" spans="1:79" s="309" customFormat="1" hidden="1" outlineLevel="1" x14ac:dyDescent="0.35">
      <c r="A1091" s="575"/>
      <c r="B1091" s="575"/>
      <c r="C1091" s="575"/>
      <c r="D1091" s="575"/>
      <c r="E1091" s="575"/>
      <c r="F1091" s="672" t="s">
        <v>895</v>
      </c>
      <c r="G1091" s="735"/>
      <c r="H1091" s="735"/>
      <c r="I1091" s="735"/>
      <c r="J1091" s="735"/>
      <c r="K1091" s="735"/>
      <c r="L1091" s="735"/>
      <c r="M1091" s="735"/>
      <c r="N1091" s="735"/>
      <c r="O1091" s="735"/>
      <c r="P1091" s="732"/>
      <c r="Q1091" s="732"/>
      <c r="R1091" s="732"/>
      <c r="S1091" s="700">
        <v>0</v>
      </c>
      <c r="T1091" s="700">
        <v>0</v>
      </c>
      <c r="U1091" s="700">
        <v>0</v>
      </c>
      <c r="V1091" s="700">
        <v>0</v>
      </c>
      <c r="W1091" s="700">
        <v>0</v>
      </c>
      <c r="X1091" s="700">
        <v>0</v>
      </c>
      <c r="Y1091" s="700">
        <v>0</v>
      </c>
      <c r="Z1091" s="700">
        <v>0</v>
      </c>
      <c r="AA1091" s="700">
        <v>0</v>
      </c>
      <c r="AB1091" s="700">
        <v>0</v>
      </c>
      <c r="AC1091" s="700">
        <v>0</v>
      </c>
      <c r="AD1091" s="700">
        <v>0</v>
      </c>
      <c r="AE1091" s="732"/>
      <c r="AF1091" s="732"/>
      <c r="AG1091" s="732"/>
      <c r="AH1091" s="732"/>
      <c r="AI1091" s="732"/>
      <c r="AJ1091" s="732"/>
      <c r="AK1091" s="732"/>
      <c r="AL1091" s="732"/>
      <c r="AM1091" s="732"/>
      <c r="AN1091" s="732"/>
      <c r="AO1091" s="732"/>
      <c r="AP1091" s="732"/>
      <c r="AQ1091" s="732"/>
      <c r="AR1091" s="732"/>
      <c r="AS1091" s="732"/>
      <c r="AT1091" s="732"/>
      <c r="AU1091" s="732"/>
      <c r="AV1091" s="732"/>
      <c r="AW1091" s="732"/>
      <c r="AX1091" s="732"/>
      <c r="AY1091" s="732"/>
      <c r="AZ1091" s="732"/>
      <c r="BA1091" s="732"/>
      <c r="BB1091" s="732"/>
      <c r="BC1091" s="732"/>
      <c r="BD1091" s="732"/>
      <c r="BE1091" s="732"/>
      <c r="BF1091" s="732"/>
      <c r="BG1091" s="732"/>
      <c r="BH1091" s="732"/>
      <c r="BI1091" s="732"/>
      <c r="BJ1091" s="732"/>
      <c r="BK1091" s="732"/>
      <c r="BL1091" s="732"/>
      <c r="BM1091" s="732"/>
      <c r="BN1091" s="732"/>
      <c r="BO1091" s="732"/>
      <c r="BP1091" s="732"/>
      <c r="BQ1091" s="732"/>
      <c r="BR1091" s="732"/>
      <c r="BS1091" s="732"/>
      <c r="BT1091" s="732"/>
      <c r="BU1091" s="732"/>
      <c r="BV1091" s="732"/>
      <c r="BW1091" s="732"/>
      <c r="BX1091" s="732"/>
      <c r="BY1091" s="732"/>
      <c r="BZ1091" s="732"/>
      <c r="CA1091" s="732"/>
    </row>
    <row r="1092" spans="1:79" s="309" customFormat="1" hidden="1" outlineLevel="1" x14ac:dyDescent="0.35">
      <c r="A1092" s="575"/>
      <c r="B1092" s="575"/>
      <c r="C1092" s="575"/>
      <c r="D1092" s="575"/>
      <c r="E1092" s="575"/>
      <c r="F1092" s="672" t="s">
        <v>622</v>
      </c>
      <c r="G1092" s="735"/>
      <c r="H1092" s="735"/>
      <c r="I1092" s="735"/>
      <c r="J1092" s="735"/>
      <c r="K1092" s="735"/>
      <c r="L1092" s="735"/>
      <c r="M1092" s="735"/>
      <c r="N1092" s="735"/>
      <c r="O1092" s="735"/>
      <c r="P1092" s="732"/>
      <c r="Q1092" s="732"/>
      <c r="R1092" s="732"/>
      <c r="S1092" s="683">
        <v>0</v>
      </c>
      <c r="T1092" s="683">
        <v>0</v>
      </c>
      <c r="U1092" s="683">
        <v>0</v>
      </c>
      <c r="V1092" s="683">
        <v>0</v>
      </c>
      <c r="W1092" s="683">
        <v>0</v>
      </c>
      <c r="X1092" s="683">
        <v>0</v>
      </c>
      <c r="Y1092" s="683">
        <v>0</v>
      </c>
      <c r="Z1092" s="683">
        <v>0</v>
      </c>
      <c r="AA1092" s="683">
        <v>0</v>
      </c>
      <c r="AB1092" s="683">
        <v>31.76</v>
      </c>
      <c r="AC1092" s="683">
        <v>0</v>
      </c>
      <c r="AD1092" s="683">
        <v>0</v>
      </c>
      <c r="AE1092" s="732"/>
      <c r="AF1092" s="732"/>
      <c r="AG1092" s="732"/>
      <c r="AH1092" s="732"/>
      <c r="AI1092" s="732"/>
      <c r="AJ1092" s="732"/>
      <c r="AK1092" s="732"/>
      <c r="AL1092" s="732"/>
      <c r="AM1092" s="732"/>
      <c r="AN1092" s="732"/>
      <c r="AO1092" s="732"/>
      <c r="AP1092" s="732"/>
      <c r="AQ1092" s="732"/>
      <c r="AR1092" s="732"/>
      <c r="AS1092" s="732"/>
      <c r="AT1092" s="732"/>
      <c r="AU1092" s="732"/>
      <c r="AV1092" s="732"/>
      <c r="AW1092" s="732"/>
      <c r="AX1092" s="732"/>
      <c r="AY1092" s="732"/>
      <c r="AZ1092" s="732"/>
      <c r="BA1092" s="732"/>
      <c r="BB1092" s="732"/>
      <c r="BC1092" s="732"/>
      <c r="BD1092" s="732"/>
      <c r="BE1092" s="732"/>
      <c r="BF1092" s="732"/>
      <c r="BG1092" s="732"/>
      <c r="BH1092" s="732"/>
      <c r="BI1092" s="732"/>
      <c r="BJ1092" s="732"/>
      <c r="BK1092" s="732"/>
      <c r="BL1092" s="732"/>
      <c r="BM1092" s="732"/>
      <c r="BN1092" s="732"/>
      <c r="BO1092" s="732"/>
      <c r="BP1092" s="732"/>
      <c r="BQ1092" s="732"/>
      <c r="BR1092" s="732"/>
      <c r="BS1092" s="732"/>
      <c r="BT1092" s="732"/>
      <c r="BU1092" s="732"/>
      <c r="BV1092" s="732"/>
      <c r="BW1092" s="732"/>
      <c r="BX1092" s="732"/>
      <c r="BY1092" s="732"/>
      <c r="BZ1092" s="732"/>
      <c r="CA1092" s="732"/>
    </row>
    <row r="1093" spans="1:79" s="309" customFormat="1" hidden="1" outlineLevel="1" x14ac:dyDescent="0.35">
      <c r="A1093" s="575"/>
      <c r="B1093" s="575"/>
      <c r="C1093" s="575"/>
      <c r="D1093" s="575"/>
      <c r="E1093" s="575"/>
      <c r="F1093" s="673" t="s">
        <v>623</v>
      </c>
      <c r="G1093" s="680">
        <f>SUM(G1091:G1092)</f>
        <v>0</v>
      </c>
      <c r="H1093" s="680">
        <f t="shared" ref="H1093:BO1093" si="417">SUM(H1091:H1092)</f>
        <v>0</v>
      </c>
      <c r="I1093" s="680">
        <f t="shared" si="417"/>
        <v>0</v>
      </c>
      <c r="J1093" s="680">
        <f t="shared" si="417"/>
        <v>0</v>
      </c>
      <c r="K1093" s="680">
        <f t="shared" si="417"/>
        <v>0</v>
      </c>
      <c r="L1093" s="680">
        <f t="shared" si="417"/>
        <v>0</v>
      </c>
      <c r="M1093" s="680">
        <f t="shared" si="417"/>
        <v>0</v>
      </c>
      <c r="N1093" s="680">
        <f t="shared" si="417"/>
        <v>0</v>
      </c>
      <c r="O1093" s="680">
        <f t="shared" si="417"/>
        <v>0</v>
      </c>
      <c r="P1093" s="680">
        <f t="shared" si="417"/>
        <v>0</v>
      </c>
      <c r="Q1093" s="680">
        <f t="shared" si="417"/>
        <v>0</v>
      </c>
      <c r="R1093" s="680">
        <f t="shared" si="417"/>
        <v>0</v>
      </c>
      <c r="S1093" s="694">
        <f t="shared" ref="S1093:AA1093" si="418">ROUND(SUM(S1090:S1092),5)</f>
        <v>0</v>
      </c>
      <c r="T1093" s="694">
        <f t="shared" si="418"/>
        <v>0</v>
      </c>
      <c r="U1093" s="694">
        <f t="shared" si="418"/>
        <v>0</v>
      </c>
      <c r="V1093" s="694">
        <f t="shared" si="418"/>
        <v>0</v>
      </c>
      <c r="W1093" s="694">
        <f t="shared" si="418"/>
        <v>0</v>
      </c>
      <c r="X1093" s="694">
        <f t="shared" si="418"/>
        <v>0</v>
      </c>
      <c r="Y1093" s="694">
        <f t="shared" si="418"/>
        <v>0</v>
      </c>
      <c r="Z1093" s="694">
        <f t="shared" si="418"/>
        <v>0</v>
      </c>
      <c r="AA1093" s="694">
        <f t="shared" si="418"/>
        <v>0</v>
      </c>
      <c r="AB1093" s="694">
        <f>ROUND(SUM(AB1090:AB1092),5)</f>
        <v>31.76</v>
      </c>
      <c r="AC1093" s="694">
        <f>ROUND(SUM(AC1090:AC1092),5)</f>
        <v>0</v>
      </c>
      <c r="AD1093" s="694">
        <f>ROUND(SUM(AD1090:AD1092),5)</f>
        <v>0</v>
      </c>
      <c r="AE1093" s="680">
        <f t="shared" si="417"/>
        <v>0</v>
      </c>
      <c r="AF1093" s="680">
        <f t="shared" si="417"/>
        <v>0</v>
      </c>
      <c r="AG1093" s="680">
        <f t="shared" si="417"/>
        <v>0</v>
      </c>
      <c r="AH1093" s="680">
        <f t="shared" si="417"/>
        <v>0</v>
      </c>
      <c r="AI1093" s="680">
        <f t="shared" si="417"/>
        <v>0</v>
      </c>
      <c r="AJ1093" s="680">
        <f t="shared" si="417"/>
        <v>0</v>
      </c>
      <c r="AK1093" s="680">
        <f t="shared" si="417"/>
        <v>0</v>
      </c>
      <c r="AL1093" s="680">
        <f t="shared" si="417"/>
        <v>0</v>
      </c>
      <c r="AM1093" s="680">
        <f t="shared" si="417"/>
        <v>0</v>
      </c>
      <c r="AN1093" s="680">
        <f t="shared" si="417"/>
        <v>0</v>
      </c>
      <c r="AO1093" s="680">
        <f t="shared" si="417"/>
        <v>0</v>
      </c>
      <c r="AP1093" s="680">
        <f t="shared" si="417"/>
        <v>0</v>
      </c>
      <c r="AQ1093" s="680">
        <f t="shared" si="417"/>
        <v>0</v>
      </c>
      <c r="AR1093" s="680">
        <f t="shared" si="417"/>
        <v>0</v>
      </c>
      <c r="AS1093" s="680">
        <f t="shared" si="417"/>
        <v>0</v>
      </c>
      <c r="AT1093" s="680">
        <f t="shared" si="417"/>
        <v>0</v>
      </c>
      <c r="AU1093" s="680">
        <f t="shared" si="417"/>
        <v>0</v>
      </c>
      <c r="AV1093" s="680">
        <f t="shared" si="417"/>
        <v>0</v>
      </c>
      <c r="AW1093" s="680">
        <f t="shared" si="417"/>
        <v>0</v>
      </c>
      <c r="AX1093" s="680">
        <f t="shared" si="417"/>
        <v>0</v>
      </c>
      <c r="AY1093" s="680">
        <f t="shared" si="417"/>
        <v>0</v>
      </c>
      <c r="AZ1093" s="680">
        <f t="shared" si="417"/>
        <v>0</v>
      </c>
      <c r="BA1093" s="680">
        <f t="shared" si="417"/>
        <v>0</v>
      </c>
      <c r="BB1093" s="680">
        <f t="shared" si="417"/>
        <v>0</v>
      </c>
      <c r="BC1093" s="680">
        <f t="shared" si="417"/>
        <v>0</v>
      </c>
      <c r="BD1093" s="680">
        <f t="shared" si="417"/>
        <v>0</v>
      </c>
      <c r="BE1093" s="680">
        <f t="shared" si="417"/>
        <v>0</v>
      </c>
      <c r="BF1093" s="680">
        <f t="shared" si="417"/>
        <v>0</v>
      </c>
      <c r="BG1093" s="680">
        <f t="shared" si="417"/>
        <v>0</v>
      </c>
      <c r="BH1093" s="680">
        <f t="shared" si="417"/>
        <v>0</v>
      </c>
      <c r="BI1093" s="680">
        <f t="shared" si="417"/>
        <v>0</v>
      </c>
      <c r="BJ1093" s="680">
        <f t="shared" si="417"/>
        <v>0</v>
      </c>
      <c r="BK1093" s="680">
        <f t="shared" si="417"/>
        <v>0</v>
      </c>
      <c r="BL1093" s="680">
        <f t="shared" si="417"/>
        <v>0</v>
      </c>
      <c r="BM1093" s="680">
        <f t="shared" si="417"/>
        <v>0</v>
      </c>
      <c r="BN1093" s="680">
        <f t="shared" si="417"/>
        <v>0</v>
      </c>
      <c r="BO1093" s="680">
        <f t="shared" si="417"/>
        <v>0</v>
      </c>
      <c r="BP1093" s="680">
        <f t="shared" ref="BP1093:CA1093" si="419">SUM(BP1091:BP1092)</f>
        <v>0</v>
      </c>
      <c r="BQ1093" s="680">
        <f t="shared" si="419"/>
        <v>0</v>
      </c>
      <c r="BR1093" s="680">
        <f t="shared" si="419"/>
        <v>0</v>
      </c>
      <c r="BS1093" s="680">
        <f t="shared" si="419"/>
        <v>0</v>
      </c>
      <c r="BT1093" s="680">
        <f t="shared" si="419"/>
        <v>0</v>
      </c>
      <c r="BU1093" s="680">
        <f t="shared" si="419"/>
        <v>0</v>
      </c>
      <c r="BV1093" s="680">
        <f t="shared" si="419"/>
        <v>0</v>
      </c>
      <c r="BW1093" s="680">
        <f t="shared" si="419"/>
        <v>0</v>
      </c>
      <c r="BX1093" s="680">
        <f t="shared" si="419"/>
        <v>0</v>
      </c>
      <c r="BY1093" s="680">
        <f t="shared" si="419"/>
        <v>0</v>
      </c>
      <c r="BZ1093" s="680">
        <f t="shared" si="419"/>
        <v>0</v>
      </c>
      <c r="CA1093" s="680">
        <f t="shared" si="419"/>
        <v>0</v>
      </c>
    </row>
    <row r="1094" spans="1:79" s="309" customFormat="1" hidden="1" outlineLevel="1" x14ac:dyDescent="0.35">
      <c r="A1094" s="575"/>
      <c r="B1094" s="575"/>
      <c r="C1094" s="575"/>
      <c r="D1094" s="575"/>
      <c r="E1094" s="575"/>
      <c r="F1094" s="674" t="s">
        <v>599</v>
      </c>
      <c r="G1094" s="735"/>
      <c r="H1094" s="735"/>
      <c r="I1094" s="735"/>
      <c r="J1094" s="735"/>
      <c r="K1094" s="735"/>
      <c r="L1094" s="735"/>
      <c r="M1094" s="735"/>
      <c r="N1094" s="735"/>
      <c r="O1094" s="735"/>
      <c r="P1094" s="732"/>
      <c r="Q1094" s="732"/>
      <c r="R1094" s="732"/>
      <c r="S1094" s="683">
        <v>0</v>
      </c>
      <c r="T1094" s="683">
        <v>0</v>
      </c>
      <c r="U1094" s="683">
        <v>0</v>
      </c>
      <c r="V1094" s="683">
        <v>0</v>
      </c>
      <c r="W1094" s="683">
        <v>0</v>
      </c>
      <c r="X1094" s="683">
        <v>0</v>
      </c>
      <c r="Y1094" s="683">
        <v>0</v>
      </c>
      <c r="Z1094" s="683">
        <v>0</v>
      </c>
      <c r="AA1094" s="683">
        <v>0</v>
      </c>
      <c r="AB1094" s="683">
        <v>951.25</v>
      </c>
      <c r="AC1094" s="683">
        <v>250</v>
      </c>
      <c r="AD1094" s="683">
        <v>0</v>
      </c>
      <c r="AE1094" s="732"/>
      <c r="AF1094" s="732"/>
      <c r="AG1094" s="732"/>
      <c r="AH1094" s="732"/>
      <c r="AI1094" s="732"/>
      <c r="AJ1094" s="732"/>
      <c r="AK1094" s="732"/>
      <c r="AL1094" s="732"/>
      <c r="AM1094" s="732"/>
      <c r="AN1094" s="732"/>
      <c r="AO1094" s="732"/>
      <c r="AP1094" s="732"/>
      <c r="AQ1094" s="732"/>
      <c r="AR1094" s="732"/>
      <c r="AS1094" s="732"/>
      <c r="AT1094" s="732"/>
      <c r="AU1094" s="732"/>
      <c r="AV1094" s="732"/>
      <c r="AW1094" s="732"/>
      <c r="AX1094" s="732"/>
      <c r="AY1094" s="732"/>
      <c r="AZ1094" s="732"/>
      <c r="BA1094" s="732"/>
      <c r="BB1094" s="732"/>
      <c r="BC1094" s="732"/>
      <c r="BD1094" s="732"/>
      <c r="BE1094" s="732"/>
      <c r="BF1094" s="732"/>
      <c r="BG1094" s="732"/>
      <c r="BH1094" s="732"/>
      <c r="BI1094" s="732"/>
      <c r="BJ1094" s="732"/>
      <c r="BK1094" s="732"/>
      <c r="BL1094" s="732"/>
      <c r="BM1094" s="732"/>
      <c r="BN1094" s="732"/>
      <c r="BO1094" s="732"/>
      <c r="BP1094" s="732"/>
      <c r="BQ1094" s="732"/>
      <c r="BR1094" s="732"/>
      <c r="BS1094" s="732"/>
      <c r="BT1094" s="732"/>
      <c r="BU1094" s="732"/>
      <c r="BV1094" s="732"/>
      <c r="BW1094" s="732"/>
      <c r="BX1094" s="732"/>
      <c r="BY1094" s="732"/>
      <c r="BZ1094" s="732"/>
      <c r="CA1094" s="732"/>
    </row>
    <row r="1095" spans="1:79" s="309" customFormat="1" hidden="1" outlineLevel="1" x14ac:dyDescent="0.35">
      <c r="A1095" s="30"/>
      <c r="B1095" s="30"/>
      <c r="C1095" s="30"/>
      <c r="D1095" s="30"/>
      <c r="E1095" s="30"/>
      <c r="F1095" s="674" t="s">
        <v>600</v>
      </c>
      <c r="G1095" s="735"/>
      <c r="H1095" s="735"/>
      <c r="I1095" s="735"/>
      <c r="J1095" s="735"/>
      <c r="K1095" s="735"/>
      <c r="L1095" s="735"/>
      <c r="M1095" s="735"/>
      <c r="N1095" s="735"/>
      <c r="O1095" s="735"/>
      <c r="P1095" s="732"/>
      <c r="Q1095" s="732"/>
      <c r="R1095" s="732"/>
      <c r="S1095" s="683">
        <v>0</v>
      </c>
      <c r="T1095" s="683">
        <v>0</v>
      </c>
      <c r="U1095" s="683">
        <v>6.44</v>
      </c>
      <c r="V1095" s="683">
        <v>0</v>
      </c>
      <c r="W1095" s="683">
        <v>27.67</v>
      </c>
      <c r="X1095" s="683">
        <v>0</v>
      </c>
      <c r="Y1095" s="683">
        <v>7.65</v>
      </c>
      <c r="Z1095" s="683">
        <v>113.74</v>
      </c>
      <c r="AA1095" s="683">
        <v>161.62</v>
      </c>
      <c r="AB1095" s="683">
        <v>520.49</v>
      </c>
      <c r="AC1095" s="683">
        <v>102.46</v>
      </c>
      <c r="AD1095" s="683">
        <v>143.44999999999999</v>
      </c>
      <c r="AE1095" s="732"/>
      <c r="AF1095" s="732"/>
      <c r="AG1095" s="732"/>
      <c r="AH1095" s="732"/>
      <c r="AI1095" s="732"/>
      <c r="AJ1095" s="732"/>
      <c r="AK1095" s="732"/>
      <c r="AL1095" s="732"/>
      <c r="AM1095" s="732"/>
      <c r="AN1095" s="732"/>
      <c r="AO1095" s="732"/>
      <c r="AP1095" s="732"/>
      <c r="AQ1095" s="732"/>
      <c r="AR1095" s="732"/>
      <c r="AS1095" s="732"/>
      <c r="AT1095" s="732"/>
      <c r="AU1095" s="732"/>
      <c r="AV1095" s="732"/>
      <c r="AW1095" s="732"/>
      <c r="AX1095" s="732"/>
      <c r="AY1095" s="732"/>
      <c r="AZ1095" s="732"/>
      <c r="BA1095" s="732"/>
      <c r="BB1095" s="732"/>
      <c r="BC1095" s="732"/>
      <c r="BD1095" s="732"/>
      <c r="BE1095" s="732"/>
      <c r="BF1095" s="732"/>
      <c r="BG1095" s="732"/>
      <c r="BH1095" s="732"/>
      <c r="BI1095" s="732"/>
      <c r="BJ1095" s="732"/>
      <c r="BK1095" s="732"/>
      <c r="BL1095" s="732"/>
      <c r="BM1095" s="732"/>
      <c r="BN1095" s="732"/>
      <c r="BO1095" s="732"/>
      <c r="BP1095" s="732"/>
      <c r="BQ1095" s="732"/>
      <c r="BR1095" s="732"/>
      <c r="BS1095" s="732"/>
      <c r="BT1095" s="732"/>
      <c r="BU1095" s="732"/>
      <c r="BV1095" s="732"/>
      <c r="BW1095" s="732"/>
      <c r="BX1095" s="732"/>
      <c r="BY1095" s="732"/>
      <c r="BZ1095" s="732"/>
      <c r="CA1095" s="732"/>
    </row>
    <row r="1096" spans="1:79" s="309" customFormat="1" hidden="1" outlineLevel="1" x14ac:dyDescent="0.35">
      <c r="A1096" s="575"/>
      <c r="B1096" s="575"/>
      <c r="C1096" s="575"/>
      <c r="D1096" s="575"/>
      <c r="E1096" s="575"/>
      <c r="F1096" s="674" t="s">
        <v>601</v>
      </c>
      <c r="G1096" s="735"/>
      <c r="H1096" s="735"/>
      <c r="I1096" s="735"/>
      <c r="J1096" s="735"/>
      <c r="K1096" s="735"/>
      <c r="L1096" s="735"/>
      <c r="M1096" s="735"/>
      <c r="N1096" s="735"/>
      <c r="O1096" s="735"/>
      <c r="P1096" s="732"/>
      <c r="Q1096" s="732"/>
      <c r="R1096" s="732"/>
      <c r="S1096" s="683">
        <v>0</v>
      </c>
      <c r="T1096" s="683">
        <v>0</v>
      </c>
      <c r="U1096" s="683">
        <v>0</v>
      </c>
      <c r="V1096" s="683">
        <v>0</v>
      </c>
      <c r="W1096" s="683">
        <v>0</v>
      </c>
      <c r="X1096" s="683">
        <v>0</v>
      </c>
      <c r="Y1096" s="683">
        <v>0</v>
      </c>
      <c r="Z1096" s="683">
        <v>0</v>
      </c>
      <c r="AA1096" s="683">
        <v>0</v>
      </c>
      <c r="AB1096" s="683">
        <v>463.2</v>
      </c>
      <c r="AC1096" s="683">
        <v>846.2</v>
      </c>
      <c r="AD1096" s="683">
        <v>0</v>
      </c>
      <c r="AE1096" s="732"/>
      <c r="AF1096" s="732"/>
      <c r="AG1096" s="732"/>
      <c r="AH1096" s="732"/>
      <c r="AI1096" s="732"/>
      <c r="AJ1096" s="732"/>
      <c r="AK1096" s="732"/>
      <c r="AL1096" s="732"/>
      <c r="AM1096" s="732"/>
      <c r="AN1096" s="732"/>
      <c r="AO1096" s="732"/>
      <c r="AP1096" s="732"/>
      <c r="AQ1096" s="732"/>
      <c r="AR1096" s="732"/>
      <c r="AS1096" s="732"/>
      <c r="AT1096" s="732"/>
      <c r="AU1096" s="732"/>
      <c r="AV1096" s="732"/>
      <c r="AW1096" s="732"/>
      <c r="AX1096" s="732"/>
      <c r="AY1096" s="732"/>
      <c r="AZ1096" s="732"/>
      <c r="BA1096" s="732"/>
      <c r="BB1096" s="732"/>
      <c r="BC1096" s="732"/>
      <c r="BD1096" s="732"/>
      <c r="BE1096" s="732"/>
      <c r="BF1096" s="732"/>
      <c r="BG1096" s="732"/>
      <c r="BH1096" s="732"/>
      <c r="BI1096" s="732"/>
      <c r="BJ1096" s="732"/>
      <c r="BK1096" s="732"/>
      <c r="BL1096" s="732"/>
      <c r="BM1096" s="732"/>
      <c r="BN1096" s="732"/>
      <c r="BO1096" s="732"/>
      <c r="BP1096" s="732"/>
      <c r="BQ1096" s="732"/>
      <c r="BR1096" s="732"/>
      <c r="BS1096" s="732"/>
      <c r="BT1096" s="732"/>
      <c r="BU1096" s="732"/>
      <c r="BV1096" s="732"/>
      <c r="BW1096" s="732"/>
      <c r="BX1096" s="732"/>
      <c r="BY1096" s="732"/>
      <c r="BZ1096" s="732"/>
      <c r="CA1096" s="732"/>
    </row>
    <row r="1097" spans="1:79" s="726" customFormat="1" hidden="1" outlineLevel="1" x14ac:dyDescent="0.35">
      <c r="F1097" s="717" t="s">
        <v>602</v>
      </c>
      <c r="G1097" s="750"/>
      <c r="H1097" s="750"/>
      <c r="I1097" s="750"/>
      <c r="J1097" s="750"/>
      <c r="K1097" s="750"/>
      <c r="L1097" s="750"/>
      <c r="M1097" s="750"/>
      <c r="N1097" s="750"/>
      <c r="O1097" s="750"/>
      <c r="P1097" s="751"/>
      <c r="Q1097" s="751"/>
      <c r="R1097" s="751"/>
      <c r="S1097" s="713"/>
      <c r="T1097" s="713"/>
      <c r="U1097" s="713"/>
      <c r="V1097" s="713"/>
      <c r="W1097" s="713"/>
      <c r="X1097" s="713"/>
      <c r="Y1097" s="713"/>
      <c r="Z1097" s="713"/>
      <c r="AA1097" s="713"/>
      <c r="AB1097" s="713"/>
      <c r="AC1097" s="713"/>
      <c r="AD1097" s="713"/>
      <c r="AE1097" s="751"/>
      <c r="AF1097" s="751"/>
      <c r="AG1097" s="751"/>
      <c r="AH1097" s="751"/>
      <c r="AI1097" s="751"/>
      <c r="AJ1097" s="751"/>
      <c r="AK1097" s="751"/>
      <c r="AL1097" s="751"/>
      <c r="AM1097" s="751"/>
      <c r="AN1097" s="751"/>
      <c r="AO1097" s="751"/>
      <c r="AP1097" s="751"/>
      <c r="AQ1097" s="751"/>
      <c r="AR1097" s="751"/>
      <c r="AS1097" s="751"/>
      <c r="AT1097" s="751"/>
      <c r="AU1097" s="751"/>
      <c r="AV1097" s="751"/>
      <c r="AW1097" s="751"/>
      <c r="AX1097" s="751"/>
      <c r="AY1097" s="751"/>
      <c r="AZ1097" s="751"/>
      <c r="BA1097" s="751"/>
      <c r="BB1097" s="751"/>
      <c r="BC1097" s="751"/>
      <c r="BD1097" s="751"/>
      <c r="BE1097" s="751"/>
      <c r="BF1097" s="751"/>
      <c r="BG1097" s="751"/>
      <c r="BH1097" s="751"/>
      <c r="BI1097" s="751"/>
      <c r="BJ1097" s="751"/>
      <c r="BK1097" s="751"/>
      <c r="BL1097" s="751"/>
      <c r="BM1097" s="751"/>
      <c r="BN1097" s="751"/>
      <c r="BO1097" s="751"/>
      <c r="BP1097" s="751"/>
      <c r="BQ1097" s="751"/>
      <c r="BR1097" s="751"/>
      <c r="BS1097" s="751"/>
      <c r="BT1097" s="751"/>
      <c r="BU1097" s="751"/>
      <c r="BV1097" s="751"/>
      <c r="BW1097" s="751"/>
      <c r="BX1097" s="751"/>
      <c r="BY1097" s="751"/>
      <c r="BZ1097" s="751"/>
      <c r="CA1097" s="751"/>
    </row>
    <row r="1098" spans="1:79" s="309" customFormat="1" hidden="1" outlineLevel="1" x14ac:dyDescent="0.35">
      <c r="A1098" s="575"/>
      <c r="B1098" s="575"/>
      <c r="C1098" s="575"/>
      <c r="D1098" s="575"/>
      <c r="E1098" s="575"/>
      <c r="F1098" s="672" t="s">
        <v>653</v>
      </c>
      <c r="G1098" s="735"/>
      <c r="H1098" s="735"/>
      <c r="I1098" s="735"/>
      <c r="J1098" s="735"/>
      <c r="K1098" s="735"/>
      <c r="L1098" s="735"/>
      <c r="M1098" s="735"/>
      <c r="N1098" s="735"/>
      <c r="O1098" s="735"/>
      <c r="P1098" s="732"/>
      <c r="Q1098" s="732"/>
      <c r="R1098" s="732"/>
      <c r="S1098" s="692">
        <v>0</v>
      </c>
      <c r="T1098" s="692">
        <v>0</v>
      </c>
      <c r="U1098" s="692">
        <v>0</v>
      </c>
      <c r="V1098" s="692">
        <v>0</v>
      </c>
      <c r="W1098" s="692">
        <v>0</v>
      </c>
      <c r="X1098" s="692">
        <v>0</v>
      </c>
      <c r="Y1098" s="692">
        <v>0</v>
      </c>
      <c r="Z1098" s="692">
        <v>0</v>
      </c>
      <c r="AA1098" s="692">
        <v>0</v>
      </c>
      <c r="AB1098" s="692">
        <v>0</v>
      </c>
      <c r="AC1098" s="692">
        <v>0</v>
      </c>
      <c r="AD1098" s="692">
        <v>0</v>
      </c>
      <c r="AE1098" s="732"/>
      <c r="AF1098" s="732"/>
      <c r="AG1098" s="732"/>
      <c r="AH1098" s="732"/>
      <c r="AI1098" s="732"/>
      <c r="AJ1098" s="732"/>
      <c r="AK1098" s="732"/>
      <c r="AL1098" s="732"/>
      <c r="AM1098" s="732"/>
      <c r="AN1098" s="732"/>
      <c r="AO1098" s="732"/>
      <c r="AP1098" s="732"/>
      <c r="AQ1098" s="732"/>
      <c r="AR1098" s="732"/>
      <c r="AS1098" s="732"/>
      <c r="AT1098" s="732"/>
      <c r="AU1098" s="732"/>
      <c r="AV1098" s="732"/>
      <c r="AW1098" s="732"/>
      <c r="AX1098" s="732"/>
      <c r="AY1098" s="732"/>
      <c r="AZ1098" s="732"/>
      <c r="BA1098" s="732"/>
      <c r="BB1098" s="732"/>
      <c r="BC1098" s="732"/>
      <c r="BD1098" s="732"/>
      <c r="BE1098" s="732"/>
      <c r="BF1098" s="732"/>
      <c r="BG1098" s="732"/>
      <c r="BH1098" s="732"/>
      <c r="BI1098" s="732"/>
      <c r="BJ1098" s="732"/>
      <c r="BK1098" s="732"/>
      <c r="BL1098" s="732"/>
      <c r="BM1098" s="732"/>
      <c r="BN1098" s="732"/>
      <c r="BO1098" s="732"/>
      <c r="BP1098" s="732"/>
      <c r="BQ1098" s="732"/>
      <c r="BR1098" s="732"/>
      <c r="BS1098" s="732"/>
      <c r="BT1098" s="732"/>
      <c r="BU1098" s="732"/>
      <c r="BV1098" s="732"/>
      <c r="BW1098" s="732"/>
      <c r="BX1098" s="732"/>
      <c r="BY1098" s="732"/>
      <c r="BZ1098" s="732"/>
      <c r="CA1098" s="732"/>
    </row>
    <row r="1099" spans="1:79" s="309" customFormat="1" hidden="1" outlineLevel="1" x14ac:dyDescent="0.35">
      <c r="A1099" s="575"/>
      <c r="B1099" s="575"/>
      <c r="C1099" s="575"/>
      <c r="D1099" s="575"/>
      <c r="E1099" s="575"/>
      <c r="F1099" s="672" t="s">
        <v>624</v>
      </c>
      <c r="G1099" s="735"/>
      <c r="H1099" s="735"/>
      <c r="I1099" s="735"/>
      <c r="J1099" s="735"/>
      <c r="K1099" s="735"/>
      <c r="L1099" s="735"/>
      <c r="M1099" s="735"/>
      <c r="N1099" s="735"/>
      <c r="O1099" s="735"/>
      <c r="P1099" s="732"/>
      <c r="Q1099" s="732"/>
      <c r="R1099" s="732"/>
      <c r="S1099" s="683">
        <v>0</v>
      </c>
      <c r="T1099" s="683">
        <v>0</v>
      </c>
      <c r="U1099" s="683">
        <v>0</v>
      </c>
      <c r="V1099" s="683">
        <v>0</v>
      </c>
      <c r="W1099" s="683">
        <v>0</v>
      </c>
      <c r="X1099" s="683">
        <v>0</v>
      </c>
      <c r="Y1099" s="683">
        <v>0</v>
      </c>
      <c r="Z1099" s="683">
        <v>0</v>
      </c>
      <c r="AA1099" s="683">
        <v>0</v>
      </c>
      <c r="AB1099" s="683">
        <v>0</v>
      </c>
      <c r="AC1099" s="683">
        <v>0</v>
      </c>
      <c r="AD1099" s="683">
        <v>0</v>
      </c>
      <c r="AE1099" s="732"/>
      <c r="AF1099" s="732"/>
      <c r="AG1099" s="732"/>
      <c r="AH1099" s="732"/>
      <c r="AI1099" s="732"/>
      <c r="AJ1099" s="732"/>
      <c r="AK1099" s="732"/>
      <c r="AL1099" s="732"/>
      <c r="AM1099" s="732"/>
      <c r="AN1099" s="732"/>
      <c r="AO1099" s="732"/>
      <c r="AP1099" s="732"/>
      <c r="AQ1099" s="732"/>
      <c r="AR1099" s="732"/>
      <c r="AS1099" s="732"/>
      <c r="AT1099" s="732"/>
      <c r="AU1099" s="732"/>
      <c r="AV1099" s="732"/>
      <c r="AW1099" s="732"/>
      <c r="AX1099" s="732"/>
      <c r="AY1099" s="732"/>
      <c r="AZ1099" s="732"/>
      <c r="BA1099" s="732"/>
      <c r="BB1099" s="732"/>
      <c r="BC1099" s="732"/>
      <c r="BD1099" s="732"/>
      <c r="BE1099" s="732"/>
      <c r="BF1099" s="732"/>
      <c r="BG1099" s="732"/>
      <c r="BH1099" s="732"/>
      <c r="BI1099" s="732"/>
      <c r="BJ1099" s="732"/>
      <c r="BK1099" s="732"/>
      <c r="BL1099" s="732"/>
      <c r="BM1099" s="732"/>
      <c r="BN1099" s="732"/>
      <c r="BO1099" s="732"/>
      <c r="BP1099" s="732"/>
      <c r="BQ1099" s="732"/>
      <c r="BR1099" s="732"/>
      <c r="BS1099" s="732"/>
      <c r="BT1099" s="732"/>
      <c r="BU1099" s="732"/>
      <c r="BV1099" s="732"/>
      <c r="BW1099" s="732"/>
      <c r="BX1099" s="732"/>
      <c r="BY1099" s="732"/>
      <c r="BZ1099" s="732"/>
      <c r="CA1099" s="732"/>
    </row>
    <row r="1100" spans="1:79" hidden="1" outlineLevel="1" x14ac:dyDescent="0.35">
      <c r="A1100" s="504"/>
      <c r="B1100" s="504"/>
      <c r="C1100" s="504"/>
      <c r="D1100" s="504"/>
      <c r="E1100" s="504"/>
      <c r="F1100" s="672" t="s">
        <v>670</v>
      </c>
      <c r="G1100" s="735"/>
      <c r="H1100" s="735"/>
      <c r="I1100" s="735"/>
      <c r="J1100" s="735"/>
      <c r="K1100" s="735"/>
      <c r="L1100" s="735"/>
      <c r="M1100" s="735"/>
      <c r="N1100" s="735"/>
      <c r="O1100" s="735"/>
      <c r="P1100" s="732"/>
      <c r="Q1100" s="732"/>
      <c r="R1100" s="732"/>
      <c r="S1100" s="683">
        <v>0</v>
      </c>
      <c r="T1100" s="683">
        <v>0</v>
      </c>
      <c r="U1100" s="683">
        <v>357</v>
      </c>
      <c r="V1100" s="683">
        <v>23086</v>
      </c>
      <c r="W1100" s="683">
        <v>524.1</v>
      </c>
      <c r="X1100" s="683">
        <v>6892.5</v>
      </c>
      <c r="Y1100" s="683">
        <v>0</v>
      </c>
      <c r="Z1100" s="683">
        <v>30011.68</v>
      </c>
      <c r="AA1100" s="683">
        <v>30</v>
      </c>
      <c r="AB1100" s="683">
        <v>3303.5</v>
      </c>
      <c r="AC1100" s="683">
        <v>13519</v>
      </c>
      <c r="AD1100" s="683">
        <v>2976.5</v>
      </c>
      <c r="AE1100" s="732"/>
      <c r="AF1100" s="732"/>
      <c r="AG1100" s="732"/>
      <c r="AH1100" s="732"/>
      <c r="AI1100" s="732"/>
      <c r="AJ1100" s="732"/>
      <c r="AK1100" s="732"/>
      <c r="AL1100" s="732"/>
      <c r="AM1100" s="732"/>
      <c r="AN1100" s="732"/>
      <c r="AO1100" s="732"/>
      <c r="AP1100" s="732"/>
      <c r="AQ1100" s="732"/>
      <c r="AR1100" s="732"/>
      <c r="AS1100" s="732"/>
      <c r="AT1100" s="732"/>
      <c r="AU1100" s="732"/>
      <c r="AV1100" s="732"/>
      <c r="AW1100" s="732"/>
      <c r="AX1100" s="732"/>
      <c r="AY1100" s="732"/>
      <c r="AZ1100" s="732"/>
      <c r="BA1100" s="732"/>
      <c r="BB1100" s="732"/>
      <c r="BC1100" s="732"/>
      <c r="BD1100" s="732"/>
      <c r="BE1100" s="732"/>
      <c r="BF1100" s="732"/>
      <c r="BG1100" s="732"/>
      <c r="BH1100" s="732"/>
      <c r="BI1100" s="732"/>
      <c r="BJ1100" s="732"/>
      <c r="BK1100" s="732"/>
      <c r="BL1100" s="732"/>
      <c r="BM1100" s="732"/>
      <c r="BN1100" s="732"/>
      <c r="BO1100" s="732"/>
      <c r="BP1100" s="732"/>
      <c r="BQ1100" s="732"/>
      <c r="BR1100" s="732"/>
      <c r="BS1100" s="732"/>
      <c r="BT1100" s="732"/>
      <c r="BU1100" s="732"/>
      <c r="BV1100" s="732"/>
      <c r="BW1100" s="732"/>
      <c r="BX1100" s="732"/>
      <c r="BY1100" s="732"/>
      <c r="BZ1100" s="732"/>
      <c r="CA1100" s="732"/>
    </row>
    <row r="1101" spans="1:79" hidden="1" outlineLevel="1" x14ac:dyDescent="0.35">
      <c r="A1101" s="504"/>
      <c r="B1101" s="504"/>
      <c r="C1101" s="504"/>
      <c r="D1101" s="504"/>
      <c r="E1101" s="504"/>
      <c r="F1101" s="672" t="s">
        <v>625</v>
      </c>
      <c r="G1101" s="735"/>
      <c r="H1101" s="735"/>
      <c r="I1101" s="735"/>
      <c r="J1101" s="735"/>
      <c r="K1101" s="735"/>
      <c r="L1101" s="735"/>
      <c r="M1101" s="735"/>
      <c r="N1101" s="735"/>
      <c r="O1101" s="735"/>
      <c r="P1101" s="732"/>
      <c r="Q1101" s="732"/>
      <c r="R1101" s="732"/>
      <c r="S1101" s="683">
        <v>10969.8</v>
      </c>
      <c r="T1101" s="683">
        <v>12000</v>
      </c>
      <c r="U1101" s="683">
        <v>16000</v>
      </c>
      <c r="V1101" s="683">
        <v>1860.42</v>
      </c>
      <c r="W1101" s="683">
        <v>7250</v>
      </c>
      <c r="X1101" s="683">
        <v>0</v>
      </c>
      <c r="Y1101" s="683">
        <v>1051.32</v>
      </c>
      <c r="Z1101" s="683">
        <v>0</v>
      </c>
      <c r="AA1101" s="683">
        <v>0</v>
      </c>
      <c r="AB1101" s="683">
        <v>2924.33</v>
      </c>
      <c r="AC1101" s="683">
        <v>0</v>
      </c>
      <c r="AD1101" s="683">
        <v>0</v>
      </c>
      <c r="AE1101" s="732"/>
      <c r="AF1101" s="732"/>
      <c r="AG1101" s="732"/>
      <c r="AH1101" s="732"/>
      <c r="AI1101" s="732"/>
      <c r="AJ1101" s="732"/>
      <c r="AK1101" s="732"/>
      <c r="AL1101" s="732"/>
      <c r="AM1101" s="732"/>
      <c r="AN1101" s="732"/>
      <c r="AO1101" s="732"/>
      <c r="AP1101" s="732"/>
      <c r="AQ1101" s="732"/>
      <c r="AR1101" s="732"/>
      <c r="AS1101" s="732"/>
      <c r="AT1101" s="732"/>
      <c r="AU1101" s="732"/>
      <c r="AV1101" s="732"/>
      <c r="AW1101" s="732"/>
      <c r="AX1101" s="732"/>
      <c r="AY1101" s="732"/>
      <c r="AZ1101" s="732"/>
      <c r="BA1101" s="732"/>
      <c r="BB1101" s="732"/>
      <c r="BC1101" s="732"/>
      <c r="BD1101" s="732"/>
      <c r="BE1101" s="732"/>
      <c r="BF1101" s="732"/>
      <c r="BG1101" s="732"/>
      <c r="BH1101" s="732"/>
      <c r="BI1101" s="732"/>
      <c r="BJ1101" s="732"/>
      <c r="BK1101" s="732"/>
      <c r="BL1101" s="732"/>
      <c r="BM1101" s="732"/>
      <c r="BN1101" s="732"/>
      <c r="BO1101" s="732"/>
      <c r="BP1101" s="732"/>
      <c r="BQ1101" s="732"/>
      <c r="BR1101" s="732"/>
      <c r="BS1101" s="732"/>
      <c r="BT1101" s="732"/>
      <c r="BU1101" s="732"/>
      <c r="BV1101" s="732"/>
      <c r="BW1101" s="732"/>
      <c r="BX1101" s="732"/>
      <c r="BY1101" s="732"/>
      <c r="BZ1101" s="732"/>
      <c r="CA1101" s="732"/>
    </row>
    <row r="1102" spans="1:79" hidden="1" outlineLevel="1" x14ac:dyDescent="0.35">
      <c r="A1102" s="504"/>
      <c r="B1102" s="504"/>
      <c r="C1102" s="504"/>
      <c r="D1102" s="504"/>
      <c r="E1102" s="504"/>
      <c r="F1102" s="672" t="s">
        <v>654</v>
      </c>
      <c r="G1102" s="735"/>
      <c r="H1102" s="735"/>
      <c r="I1102" s="735"/>
      <c r="J1102" s="735"/>
      <c r="K1102" s="735"/>
      <c r="L1102" s="735"/>
      <c r="M1102" s="735"/>
      <c r="N1102" s="735"/>
      <c r="O1102" s="735"/>
      <c r="P1102" s="732"/>
      <c r="Q1102" s="732"/>
      <c r="R1102" s="732"/>
      <c r="S1102" s="683">
        <v>0</v>
      </c>
      <c r="T1102" s="683">
        <v>0</v>
      </c>
      <c r="U1102" s="683">
        <v>0</v>
      </c>
      <c r="V1102" s="683">
        <v>0</v>
      </c>
      <c r="W1102" s="683">
        <v>0</v>
      </c>
      <c r="X1102" s="683">
        <v>0</v>
      </c>
      <c r="Y1102" s="683">
        <v>0</v>
      </c>
      <c r="Z1102" s="683">
        <v>0</v>
      </c>
      <c r="AA1102" s="683">
        <v>0</v>
      </c>
      <c r="AB1102" s="683">
        <v>0</v>
      </c>
      <c r="AC1102" s="683">
        <v>0</v>
      </c>
      <c r="AD1102" s="683">
        <v>0</v>
      </c>
      <c r="AE1102" s="732"/>
      <c r="AF1102" s="732"/>
      <c r="AG1102" s="732"/>
      <c r="AH1102" s="732"/>
      <c r="AI1102" s="732"/>
      <c r="AJ1102" s="732"/>
      <c r="AK1102" s="732"/>
      <c r="AL1102" s="732"/>
      <c r="AM1102" s="732"/>
      <c r="AN1102" s="732"/>
      <c r="AO1102" s="732"/>
      <c r="AP1102" s="732"/>
      <c r="AQ1102" s="732"/>
      <c r="AR1102" s="732"/>
      <c r="AS1102" s="732"/>
      <c r="AT1102" s="732"/>
      <c r="AU1102" s="732"/>
      <c r="AV1102" s="732"/>
      <c r="AW1102" s="732"/>
      <c r="AX1102" s="732"/>
      <c r="AY1102" s="732"/>
      <c r="AZ1102" s="732"/>
      <c r="BA1102" s="732"/>
      <c r="BB1102" s="732"/>
      <c r="BC1102" s="732"/>
      <c r="BD1102" s="732"/>
      <c r="BE1102" s="732"/>
      <c r="BF1102" s="732"/>
      <c r="BG1102" s="732"/>
      <c r="BH1102" s="732"/>
      <c r="BI1102" s="732"/>
      <c r="BJ1102" s="732"/>
      <c r="BK1102" s="732"/>
      <c r="BL1102" s="732"/>
      <c r="BM1102" s="732"/>
      <c r="BN1102" s="732"/>
      <c r="BO1102" s="732"/>
      <c r="BP1102" s="732"/>
      <c r="BQ1102" s="732"/>
      <c r="BR1102" s="732"/>
      <c r="BS1102" s="732"/>
      <c r="BT1102" s="732"/>
      <c r="BU1102" s="732"/>
      <c r="BV1102" s="732"/>
      <c r="BW1102" s="732"/>
      <c r="BX1102" s="732"/>
      <c r="BY1102" s="732"/>
      <c r="BZ1102" s="732"/>
      <c r="CA1102" s="732"/>
    </row>
    <row r="1103" spans="1:79" hidden="1" outlineLevel="1" x14ac:dyDescent="0.35">
      <c r="A1103" s="504"/>
      <c r="B1103" s="504"/>
      <c r="C1103" s="504"/>
      <c r="D1103" s="504"/>
      <c r="E1103" s="504"/>
      <c r="F1103" s="672" t="s">
        <v>651</v>
      </c>
      <c r="G1103" s="735"/>
      <c r="H1103" s="735"/>
      <c r="I1103" s="735"/>
      <c r="J1103" s="735"/>
      <c r="K1103" s="735"/>
      <c r="L1103" s="735"/>
      <c r="M1103" s="735"/>
      <c r="N1103" s="735"/>
      <c r="O1103" s="735"/>
      <c r="P1103" s="732"/>
      <c r="Q1103" s="732"/>
      <c r="R1103" s="732"/>
      <c r="S1103" s="700">
        <v>0</v>
      </c>
      <c r="T1103" s="700">
        <v>0</v>
      </c>
      <c r="U1103" s="700">
        <v>0</v>
      </c>
      <c r="V1103" s="700">
        <v>0</v>
      </c>
      <c r="W1103" s="700">
        <v>0</v>
      </c>
      <c r="X1103" s="700">
        <v>0</v>
      </c>
      <c r="Y1103" s="700">
        <v>0</v>
      </c>
      <c r="Z1103" s="700">
        <v>0</v>
      </c>
      <c r="AA1103" s="700">
        <v>0</v>
      </c>
      <c r="AB1103" s="700">
        <v>0</v>
      </c>
      <c r="AC1103" s="700">
        <v>0</v>
      </c>
      <c r="AD1103" s="700">
        <v>0</v>
      </c>
      <c r="AE1103" s="732"/>
      <c r="AF1103" s="732"/>
      <c r="AG1103" s="732"/>
      <c r="AH1103" s="732"/>
      <c r="AI1103" s="732"/>
      <c r="AJ1103" s="732"/>
      <c r="AK1103" s="732"/>
      <c r="AL1103" s="732"/>
      <c r="AM1103" s="732"/>
      <c r="AN1103" s="732"/>
      <c r="AO1103" s="732"/>
      <c r="AP1103" s="732"/>
      <c r="AQ1103" s="732"/>
      <c r="AR1103" s="732"/>
      <c r="AS1103" s="732"/>
      <c r="AT1103" s="732"/>
      <c r="AU1103" s="732"/>
      <c r="AV1103" s="732"/>
      <c r="AW1103" s="732"/>
      <c r="AX1103" s="732"/>
      <c r="AY1103" s="732"/>
      <c r="AZ1103" s="732"/>
      <c r="BA1103" s="732"/>
      <c r="BB1103" s="732"/>
      <c r="BC1103" s="732"/>
      <c r="BD1103" s="732"/>
      <c r="BE1103" s="732"/>
      <c r="BF1103" s="732"/>
      <c r="BG1103" s="732"/>
      <c r="BH1103" s="732"/>
      <c r="BI1103" s="732"/>
      <c r="BJ1103" s="732"/>
      <c r="BK1103" s="732"/>
      <c r="BL1103" s="732"/>
      <c r="BM1103" s="732"/>
      <c r="BN1103" s="732"/>
      <c r="BO1103" s="732"/>
      <c r="BP1103" s="732"/>
      <c r="BQ1103" s="732"/>
      <c r="BR1103" s="732"/>
      <c r="BS1103" s="732"/>
      <c r="BT1103" s="732"/>
      <c r="BU1103" s="732"/>
      <c r="BV1103" s="732"/>
      <c r="BW1103" s="732"/>
      <c r="BX1103" s="732"/>
      <c r="BY1103" s="732"/>
      <c r="BZ1103" s="732"/>
      <c r="CA1103" s="732"/>
    </row>
    <row r="1104" spans="1:79" hidden="1" outlineLevel="1" x14ac:dyDescent="0.35">
      <c r="A1104" s="504"/>
      <c r="B1104" s="504"/>
      <c r="C1104" s="504"/>
      <c r="D1104" s="504"/>
      <c r="E1104" s="504"/>
      <c r="F1104" s="672" t="s">
        <v>896</v>
      </c>
      <c r="G1104" s="735"/>
      <c r="H1104" s="735"/>
      <c r="I1104" s="735"/>
      <c r="J1104" s="735"/>
      <c r="K1104" s="735"/>
      <c r="L1104" s="735"/>
      <c r="M1104" s="735"/>
      <c r="N1104" s="735"/>
      <c r="O1104" s="735"/>
      <c r="P1104" s="732"/>
      <c r="Q1104" s="732"/>
      <c r="R1104" s="732"/>
      <c r="S1104" s="700">
        <v>0</v>
      </c>
      <c r="T1104" s="700">
        <v>0</v>
      </c>
      <c r="U1104" s="700">
        <v>0</v>
      </c>
      <c r="V1104" s="700">
        <v>0</v>
      </c>
      <c r="W1104" s="700">
        <v>0</v>
      </c>
      <c r="X1104" s="700">
        <v>0</v>
      </c>
      <c r="Y1104" s="700">
        <v>0</v>
      </c>
      <c r="Z1104" s="700">
        <v>0</v>
      </c>
      <c r="AA1104" s="700">
        <v>0</v>
      </c>
      <c r="AB1104" s="700">
        <v>0</v>
      </c>
      <c r="AC1104" s="700">
        <v>0</v>
      </c>
      <c r="AD1104" s="700">
        <v>0</v>
      </c>
      <c r="AE1104" s="732"/>
      <c r="AF1104" s="732"/>
      <c r="AG1104" s="732"/>
      <c r="AH1104" s="732"/>
      <c r="AI1104" s="732"/>
      <c r="AJ1104" s="732"/>
      <c r="AK1104" s="732"/>
      <c r="AL1104" s="732"/>
      <c r="AM1104" s="732"/>
      <c r="AN1104" s="732"/>
      <c r="AO1104" s="732"/>
      <c r="AP1104" s="732"/>
      <c r="AQ1104" s="732"/>
      <c r="AR1104" s="732"/>
      <c r="AS1104" s="732"/>
      <c r="AT1104" s="732"/>
      <c r="AU1104" s="732"/>
      <c r="AV1104" s="732"/>
      <c r="AW1104" s="732"/>
      <c r="AX1104" s="732"/>
      <c r="AY1104" s="732"/>
      <c r="AZ1104" s="732"/>
      <c r="BA1104" s="732"/>
      <c r="BB1104" s="732"/>
      <c r="BC1104" s="732"/>
      <c r="BD1104" s="732"/>
      <c r="BE1104" s="732"/>
      <c r="BF1104" s="732"/>
      <c r="BG1104" s="732"/>
      <c r="BH1104" s="732"/>
      <c r="BI1104" s="732"/>
      <c r="BJ1104" s="732"/>
      <c r="BK1104" s="732"/>
      <c r="BL1104" s="732"/>
      <c r="BM1104" s="732"/>
      <c r="BN1104" s="732"/>
      <c r="BO1104" s="732"/>
      <c r="BP1104" s="732"/>
      <c r="BQ1104" s="732"/>
      <c r="BR1104" s="732"/>
      <c r="BS1104" s="732"/>
      <c r="BT1104" s="732"/>
      <c r="BU1104" s="732"/>
      <c r="BV1104" s="732"/>
      <c r="BW1104" s="732"/>
      <c r="BX1104" s="732"/>
      <c r="BY1104" s="732"/>
      <c r="BZ1104" s="732"/>
      <c r="CA1104" s="732"/>
    </row>
    <row r="1105" spans="1:79" hidden="1" outlineLevel="1" x14ac:dyDescent="0.35">
      <c r="A1105" s="504"/>
      <c r="B1105" s="504"/>
      <c r="C1105" s="504"/>
      <c r="D1105" s="504"/>
      <c r="E1105" s="504"/>
      <c r="F1105" s="672" t="s">
        <v>689</v>
      </c>
      <c r="G1105" s="735"/>
      <c r="H1105" s="735"/>
      <c r="I1105" s="735"/>
      <c r="J1105" s="735"/>
      <c r="K1105" s="735"/>
      <c r="L1105" s="735"/>
      <c r="M1105" s="735"/>
      <c r="N1105" s="735"/>
      <c r="O1105" s="735"/>
      <c r="P1105" s="732"/>
      <c r="Q1105" s="732"/>
      <c r="R1105" s="732"/>
      <c r="S1105" s="683">
        <v>0</v>
      </c>
      <c r="T1105" s="683">
        <v>0</v>
      </c>
      <c r="U1105" s="683">
        <v>0</v>
      </c>
      <c r="V1105" s="683">
        <v>0</v>
      </c>
      <c r="W1105" s="683">
        <v>0</v>
      </c>
      <c r="X1105" s="683">
        <v>0</v>
      </c>
      <c r="Y1105" s="683">
        <v>0</v>
      </c>
      <c r="Z1105" s="683">
        <v>0</v>
      </c>
      <c r="AA1105" s="683">
        <v>0</v>
      </c>
      <c r="AB1105" s="683">
        <v>0</v>
      </c>
      <c r="AC1105" s="683">
        <v>0</v>
      </c>
      <c r="AD1105" s="683">
        <v>0</v>
      </c>
      <c r="AE1105" s="732"/>
      <c r="AF1105" s="732"/>
      <c r="AG1105" s="732"/>
      <c r="AH1105" s="732"/>
      <c r="AI1105" s="732"/>
      <c r="AJ1105" s="732"/>
      <c r="AK1105" s="732"/>
      <c r="AL1105" s="732"/>
      <c r="AM1105" s="732"/>
      <c r="AN1105" s="732"/>
      <c r="AO1105" s="732"/>
      <c r="AP1105" s="732"/>
      <c r="AQ1105" s="732"/>
      <c r="AR1105" s="732"/>
      <c r="AS1105" s="732"/>
      <c r="AT1105" s="732"/>
      <c r="AU1105" s="732"/>
      <c r="AV1105" s="732"/>
      <c r="AW1105" s="732"/>
      <c r="AX1105" s="732"/>
      <c r="AY1105" s="732"/>
      <c r="AZ1105" s="732"/>
      <c r="BA1105" s="732"/>
      <c r="BB1105" s="732"/>
      <c r="BC1105" s="732"/>
      <c r="BD1105" s="732"/>
      <c r="BE1105" s="732"/>
      <c r="BF1105" s="732"/>
      <c r="BG1105" s="732"/>
      <c r="BH1105" s="732"/>
      <c r="BI1105" s="732"/>
      <c r="BJ1105" s="732"/>
      <c r="BK1105" s="732"/>
      <c r="BL1105" s="732"/>
      <c r="BM1105" s="732"/>
      <c r="BN1105" s="732"/>
      <c r="BO1105" s="732"/>
      <c r="BP1105" s="732"/>
      <c r="BQ1105" s="732"/>
      <c r="BR1105" s="732"/>
      <c r="BS1105" s="732"/>
      <c r="BT1105" s="732"/>
      <c r="BU1105" s="732"/>
      <c r="BV1105" s="732"/>
      <c r="BW1105" s="732"/>
      <c r="BX1105" s="732"/>
      <c r="BY1105" s="732"/>
      <c r="BZ1105" s="732"/>
      <c r="CA1105" s="732"/>
    </row>
    <row r="1106" spans="1:79" hidden="1" outlineLevel="1" x14ac:dyDescent="0.35">
      <c r="A1106" s="504"/>
      <c r="B1106" s="504"/>
      <c r="C1106" s="504"/>
      <c r="D1106" s="504"/>
      <c r="E1106" s="504"/>
      <c r="F1106" s="672" t="s">
        <v>897</v>
      </c>
      <c r="G1106" s="735"/>
      <c r="H1106" s="735"/>
      <c r="I1106" s="735"/>
      <c r="J1106" s="735"/>
      <c r="K1106" s="735"/>
      <c r="L1106" s="735"/>
      <c r="M1106" s="735"/>
      <c r="N1106" s="735"/>
      <c r="O1106" s="735"/>
      <c r="P1106" s="732"/>
      <c r="Q1106" s="732"/>
      <c r="R1106" s="732"/>
      <c r="S1106" s="683">
        <v>0</v>
      </c>
      <c r="T1106" s="683">
        <v>0</v>
      </c>
      <c r="U1106" s="683">
        <v>0</v>
      </c>
      <c r="V1106" s="683">
        <v>0</v>
      </c>
      <c r="W1106" s="683">
        <v>0</v>
      </c>
      <c r="X1106" s="683">
        <v>0</v>
      </c>
      <c r="Y1106" s="683">
        <v>0</v>
      </c>
      <c r="Z1106" s="683">
        <v>0</v>
      </c>
      <c r="AA1106" s="683">
        <v>0</v>
      </c>
      <c r="AB1106" s="683">
        <v>0</v>
      </c>
      <c r="AC1106" s="683">
        <v>0</v>
      </c>
      <c r="AD1106" s="683">
        <v>0</v>
      </c>
      <c r="AE1106" s="732"/>
      <c r="AF1106" s="732"/>
      <c r="AG1106" s="732"/>
      <c r="AH1106" s="732"/>
      <c r="AI1106" s="732"/>
      <c r="AJ1106" s="732"/>
      <c r="AK1106" s="732"/>
      <c r="AL1106" s="732"/>
      <c r="AM1106" s="732"/>
      <c r="AN1106" s="732"/>
      <c r="AO1106" s="732"/>
      <c r="AP1106" s="732"/>
      <c r="AQ1106" s="732"/>
      <c r="AR1106" s="732"/>
      <c r="AS1106" s="732"/>
      <c r="AT1106" s="732"/>
      <c r="AU1106" s="732"/>
      <c r="AV1106" s="732"/>
      <c r="AW1106" s="732"/>
      <c r="AX1106" s="732"/>
      <c r="AY1106" s="732"/>
      <c r="AZ1106" s="732"/>
      <c r="BA1106" s="732"/>
      <c r="BB1106" s="732"/>
      <c r="BC1106" s="732"/>
      <c r="BD1106" s="732"/>
      <c r="BE1106" s="732"/>
      <c r="BF1106" s="732"/>
      <c r="BG1106" s="732"/>
      <c r="BH1106" s="732"/>
      <c r="BI1106" s="732"/>
      <c r="BJ1106" s="732"/>
      <c r="BK1106" s="732"/>
      <c r="BL1106" s="732"/>
      <c r="BM1106" s="732"/>
      <c r="BN1106" s="732"/>
      <c r="BO1106" s="732"/>
      <c r="BP1106" s="732"/>
      <c r="BQ1106" s="732"/>
      <c r="BR1106" s="732"/>
      <c r="BS1106" s="732"/>
      <c r="BT1106" s="732"/>
      <c r="BU1106" s="732"/>
      <c r="BV1106" s="732"/>
      <c r="BW1106" s="732"/>
      <c r="BX1106" s="732"/>
      <c r="BY1106" s="732"/>
      <c r="BZ1106" s="732"/>
      <c r="CA1106" s="732"/>
    </row>
    <row r="1107" spans="1:79" s="757" customFormat="1" hidden="1" outlineLevel="1" x14ac:dyDescent="0.35">
      <c r="A1107" s="30"/>
      <c r="B1107" s="30"/>
      <c r="C1107" s="30"/>
      <c r="D1107" s="30"/>
      <c r="E1107" s="30"/>
      <c r="F1107" s="675" t="s">
        <v>626</v>
      </c>
      <c r="G1107" s="680">
        <f>SUM(G1098:G1106)</f>
        <v>0</v>
      </c>
      <c r="H1107" s="680">
        <f t="shared" ref="H1107:BO1107" si="420">SUM(H1098:H1106)</f>
        <v>0</v>
      </c>
      <c r="I1107" s="680">
        <f t="shared" si="420"/>
        <v>0</v>
      </c>
      <c r="J1107" s="680">
        <f t="shared" si="420"/>
        <v>0</v>
      </c>
      <c r="K1107" s="680">
        <f t="shared" si="420"/>
        <v>0</v>
      </c>
      <c r="L1107" s="680">
        <f t="shared" si="420"/>
        <v>0</v>
      </c>
      <c r="M1107" s="680">
        <f t="shared" si="420"/>
        <v>0</v>
      </c>
      <c r="N1107" s="680">
        <f t="shared" si="420"/>
        <v>0</v>
      </c>
      <c r="O1107" s="680">
        <f t="shared" si="420"/>
        <v>0</v>
      </c>
      <c r="P1107" s="680">
        <f t="shared" si="420"/>
        <v>0</v>
      </c>
      <c r="Q1107" s="680">
        <f t="shared" si="420"/>
        <v>0</v>
      </c>
      <c r="R1107" s="680">
        <f t="shared" si="420"/>
        <v>0</v>
      </c>
      <c r="S1107" s="696">
        <f t="shared" ref="S1107:AA1107" si="421">ROUND(SUM(S1097:S1106),5)</f>
        <v>10969.8</v>
      </c>
      <c r="T1107" s="696">
        <f t="shared" si="421"/>
        <v>12000</v>
      </c>
      <c r="U1107" s="696">
        <f t="shared" si="421"/>
        <v>16357</v>
      </c>
      <c r="V1107" s="696">
        <f t="shared" si="421"/>
        <v>24946.42</v>
      </c>
      <c r="W1107" s="696">
        <f t="shared" si="421"/>
        <v>7774.1</v>
      </c>
      <c r="X1107" s="696">
        <f t="shared" si="421"/>
        <v>6892.5</v>
      </c>
      <c r="Y1107" s="696">
        <f t="shared" si="421"/>
        <v>1051.32</v>
      </c>
      <c r="Z1107" s="696">
        <f t="shared" si="421"/>
        <v>30011.68</v>
      </c>
      <c r="AA1107" s="696">
        <f t="shared" si="421"/>
        <v>30</v>
      </c>
      <c r="AB1107" s="696">
        <f>ROUND(SUM(AB1097:AB1106),5)</f>
        <v>6227.83</v>
      </c>
      <c r="AC1107" s="696">
        <f>ROUND(SUM(AC1097:AC1106),5)</f>
        <v>13519</v>
      </c>
      <c r="AD1107" s="696">
        <f>ROUND(SUM(AD1097:AD1106),5)</f>
        <v>2976.5</v>
      </c>
      <c r="AE1107" s="680">
        <f t="shared" si="420"/>
        <v>0</v>
      </c>
      <c r="AF1107" s="680">
        <f t="shared" si="420"/>
        <v>0</v>
      </c>
      <c r="AG1107" s="680">
        <f t="shared" si="420"/>
        <v>0</v>
      </c>
      <c r="AH1107" s="680">
        <f t="shared" si="420"/>
        <v>0</v>
      </c>
      <c r="AI1107" s="680">
        <f t="shared" si="420"/>
        <v>0</v>
      </c>
      <c r="AJ1107" s="680">
        <f t="shared" si="420"/>
        <v>0</v>
      </c>
      <c r="AK1107" s="680">
        <f t="shared" si="420"/>
        <v>0</v>
      </c>
      <c r="AL1107" s="680">
        <f t="shared" si="420"/>
        <v>0</v>
      </c>
      <c r="AM1107" s="680">
        <f t="shared" si="420"/>
        <v>0</v>
      </c>
      <c r="AN1107" s="680">
        <f t="shared" si="420"/>
        <v>0</v>
      </c>
      <c r="AO1107" s="680">
        <f t="shared" si="420"/>
        <v>0</v>
      </c>
      <c r="AP1107" s="680">
        <f t="shared" si="420"/>
        <v>0</v>
      </c>
      <c r="AQ1107" s="680">
        <f t="shared" si="420"/>
        <v>0</v>
      </c>
      <c r="AR1107" s="680">
        <f t="shared" si="420"/>
        <v>0</v>
      </c>
      <c r="AS1107" s="680">
        <f t="shared" si="420"/>
        <v>0</v>
      </c>
      <c r="AT1107" s="680">
        <f t="shared" si="420"/>
        <v>0</v>
      </c>
      <c r="AU1107" s="680">
        <f t="shared" si="420"/>
        <v>0</v>
      </c>
      <c r="AV1107" s="680">
        <f t="shared" si="420"/>
        <v>0</v>
      </c>
      <c r="AW1107" s="680">
        <f t="shared" si="420"/>
        <v>0</v>
      </c>
      <c r="AX1107" s="680">
        <f t="shared" si="420"/>
        <v>0</v>
      </c>
      <c r="AY1107" s="680">
        <f t="shared" si="420"/>
        <v>0</v>
      </c>
      <c r="AZ1107" s="680">
        <f t="shared" si="420"/>
        <v>0</v>
      </c>
      <c r="BA1107" s="680">
        <f t="shared" si="420"/>
        <v>0</v>
      </c>
      <c r="BB1107" s="680">
        <f t="shared" si="420"/>
        <v>0</v>
      </c>
      <c r="BC1107" s="680">
        <f t="shared" si="420"/>
        <v>0</v>
      </c>
      <c r="BD1107" s="680">
        <f t="shared" si="420"/>
        <v>0</v>
      </c>
      <c r="BE1107" s="680">
        <f t="shared" si="420"/>
        <v>0</v>
      </c>
      <c r="BF1107" s="680">
        <f t="shared" si="420"/>
        <v>0</v>
      </c>
      <c r="BG1107" s="680">
        <f t="shared" si="420"/>
        <v>0</v>
      </c>
      <c r="BH1107" s="680">
        <f t="shared" si="420"/>
        <v>0</v>
      </c>
      <c r="BI1107" s="680">
        <f t="shared" si="420"/>
        <v>0</v>
      </c>
      <c r="BJ1107" s="680">
        <f t="shared" si="420"/>
        <v>0</v>
      </c>
      <c r="BK1107" s="680">
        <f t="shared" si="420"/>
        <v>0</v>
      </c>
      <c r="BL1107" s="680">
        <f t="shared" si="420"/>
        <v>0</v>
      </c>
      <c r="BM1107" s="680">
        <f t="shared" si="420"/>
        <v>0</v>
      </c>
      <c r="BN1107" s="680">
        <f t="shared" si="420"/>
        <v>0</v>
      </c>
      <c r="BO1107" s="680">
        <f t="shared" si="420"/>
        <v>0</v>
      </c>
      <c r="BP1107" s="680">
        <f t="shared" ref="BP1107:CA1107" si="422">SUM(BP1098:BP1106)</f>
        <v>0</v>
      </c>
      <c r="BQ1107" s="680">
        <f t="shared" si="422"/>
        <v>0</v>
      </c>
      <c r="BR1107" s="680">
        <f t="shared" si="422"/>
        <v>0</v>
      </c>
      <c r="BS1107" s="680">
        <f t="shared" si="422"/>
        <v>0</v>
      </c>
      <c r="BT1107" s="680">
        <f t="shared" si="422"/>
        <v>0</v>
      </c>
      <c r="BU1107" s="680">
        <f t="shared" si="422"/>
        <v>0</v>
      </c>
      <c r="BV1107" s="680">
        <f t="shared" si="422"/>
        <v>0</v>
      </c>
      <c r="BW1107" s="680">
        <f t="shared" si="422"/>
        <v>0</v>
      </c>
      <c r="BX1107" s="680">
        <f t="shared" si="422"/>
        <v>0</v>
      </c>
      <c r="BY1107" s="680">
        <f t="shared" si="422"/>
        <v>0</v>
      </c>
      <c r="BZ1107" s="680">
        <f t="shared" si="422"/>
        <v>0</v>
      </c>
      <c r="CA1107" s="680">
        <f t="shared" si="422"/>
        <v>0</v>
      </c>
    </row>
    <row r="1108" spans="1:79" s="716" customFormat="1" hidden="1" outlineLevel="1" x14ac:dyDescent="0.35">
      <c r="A1108" s="726"/>
      <c r="B1108" s="726"/>
      <c r="C1108" s="726"/>
      <c r="D1108" s="726"/>
      <c r="E1108" s="726"/>
      <c r="F1108" s="707" t="s">
        <v>627</v>
      </c>
      <c r="G1108" s="750"/>
      <c r="H1108" s="750"/>
      <c r="I1108" s="750"/>
      <c r="J1108" s="750"/>
      <c r="K1108" s="750"/>
      <c r="L1108" s="750"/>
      <c r="M1108" s="750"/>
      <c r="N1108" s="750"/>
      <c r="O1108" s="750"/>
      <c r="P1108" s="751"/>
      <c r="Q1108" s="751"/>
      <c r="R1108" s="751"/>
      <c r="S1108" s="724"/>
      <c r="T1108" s="724"/>
      <c r="U1108" s="724"/>
      <c r="V1108" s="724"/>
      <c r="W1108" s="724"/>
      <c r="X1108" s="724"/>
      <c r="Y1108" s="724"/>
      <c r="Z1108" s="724"/>
      <c r="AA1108" s="724"/>
      <c r="AB1108" s="724"/>
      <c r="AC1108" s="724"/>
      <c r="AD1108" s="724"/>
      <c r="AE1108" s="751"/>
      <c r="AF1108" s="751"/>
      <c r="AG1108" s="751"/>
      <c r="AH1108" s="751"/>
      <c r="AI1108" s="751"/>
      <c r="AJ1108" s="751"/>
      <c r="AK1108" s="751"/>
      <c r="AL1108" s="751"/>
      <c r="AM1108" s="751"/>
      <c r="AN1108" s="751"/>
      <c r="AO1108" s="751"/>
      <c r="AP1108" s="751"/>
      <c r="AQ1108" s="751"/>
      <c r="AR1108" s="751"/>
      <c r="AS1108" s="751"/>
      <c r="AT1108" s="751"/>
      <c r="AU1108" s="751"/>
      <c r="AV1108" s="751"/>
      <c r="AW1108" s="751"/>
      <c r="AX1108" s="751"/>
      <c r="AY1108" s="751"/>
      <c r="AZ1108" s="751"/>
      <c r="BA1108" s="751"/>
      <c r="BB1108" s="751"/>
      <c r="BC1108" s="751"/>
      <c r="BD1108" s="751"/>
      <c r="BE1108" s="751"/>
      <c r="BF1108" s="751"/>
      <c r="BG1108" s="751"/>
      <c r="BH1108" s="751"/>
      <c r="BI1108" s="751"/>
      <c r="BJ1108" s="751"/>
      <c r="BK1108" s="751"/>
      <c r="BL1108" s="751"/>
      <c r="BM1108" s="751"/>
      <c r="BN1108" s="751"/>
      <c r="BO1108" s="751"/>
      <c r="BP1108" s="751"/>
      <c r="BQ1108" s="751"/>
      <c r="BR1108" s="751"/>
      <c r="BS1108" s="751"/>
      <c r="BT1108" s="751"/>
      <c r="BU1108" s="751"/>
      <c r="BV1108" s="751"/>
      <c r="BW1108" s="751"/>
      <c r="BX1108" s="751"/>
      <c r="BY1108" s="751"/>
      <c r="BZ1108" s="751"/>
      <c r="CA1108" s="751"/>
    </row>
    <row r="1109" spans="1:79" s="309" customFormat="1" hidden="1" outlineLevel="1" x14ac:dyDescent="0.35">
      <c r="A1109" s="726"/>
      <c r="B1109" s="726"/>
      <c r="C1109" s="726"/>
      <c r="D1109" s="726"/>
      <c r="E1109" s="726"/>
      <c r="F1109" s="672" t="s">
        <v>923</v>
      </c>
      <c r="G1109" s="699"/>
      <c r="H1109" s="699"/>
      <c r="I1109" s="699"/>
      <c r="J1109" s="699"/>
      <c r="K1109" s="699"/>
      <c r="L1109" s="699"/>
      <c r="M1109" s="699"/>
      <c r="N1109" s="699"/>
      <c r="O1109" s="699"/>
      <c r="P1109" s="699"/>
      <c r="Q1109" s="699"/>
      <c r="R1109" s="699"/>
      <c r="S1109" s="700"/>
      <c r="T1109" s="700"/>
      <c r="U1109" s="700"/>
      <c r="V1109" s="700"/>
      <c r="W1109" s="700"/>
      <c r="X1109" s="700"/>
      <c r="Y1109" s="700"/>
      <c r="Z1109" s="700"/>
      <c r="AA1109" s="700"/>
      <c r="AB1109" s="700">
        <v>0</v>
      </c>
      <c r="AC1109" s="700">
        <v>0</v>
      </c>
      <c r="AD1109" s="700">
        <v>0</v>
      </c>
      <c r="AE1109" s="700"/>
      <c r="AF1109" s="700"/>
      <c r="AG1109" s="700"/>
      <c r="AH1109" s="700"/>
      <c r="AI1109" s="700"/>
      <c r="AJ1109" s="700"/>
      <c r="AK1109" s="700"/>
      <c r="AL1109" s="700"/>
      <c r="AM1109" s="700"/>
      <c r="AN1109" s="700"/>
      <c r="AO1109" s="700"/>
      <c r="AP1109" s="700"/>
      <c r="AQ1109" s="700"/>
      <c r="AR1109" s="700"/>
      <c r="AS1109" s="700"/>
      <c r="AT1109" s="700"/>
      <c r="AU1109" s="700"/>
      <c r="AV1109" s="700"/>
      <c r="AW1109" s="700"/>
      <c r="AX1109" s="700"/>
      <c r="AY1109" s="700"/>
      <c r="AZ1109" s="700"/>
      <c r="BA1109" s="700"/>
      <c r="BB1109" s="700"/>
      <c r="BC1109" s="700"/>
      <c r="BD1109" s="700"/>
      <c r="BE1109" s="700"/>
      <c r="BF1109" s="700"/>
      <c r="BG1109" s="700"/>
      <c r="BH1109" s="700"/>
      <c r="BI1109" s="700"/>
      <c r="BJ1109" s="700"/>
      <c r="BK1109" s="700"/>
      <c r="BL1109" s="700"/>
      <c r="BM1109" s="700"/>
      <c r="BN1109" s="700"/>
      <c r="BO1109" s="700"/>
      <c r="BP1109" s="700"/>
      <c r="BQ1109" s="700"/>
      <c r="BR1109" s="700"/>
      <c r="BS1109" s="700"/>
      <c r="BT1109" s="700"/>
      <c r="BU1109" s="700"/>
      <c r="BV1109" s="700"/>
      <c r="BW1109" s="700"/>
      <c r="BX1109" s="700"/>
      <c r="BY1109" s="700"/>
      <c r="BZ1109" s="700"/>
      <c r="CA1109" s="700"/>
    </row>
    <row r="1110" spans="1:79" s="757" customFormat="1" hidden="1" outlineLevel="1" x14ac:dyDescent="0.35">
      <c r="A1110" s="575"/>
      <c r="B1110" s="575"/>
      <c r="C1110" s="575"/>
      <c r="D1110" s="575"/>
      <c r="E1110" s="575"/>
      <c r="F1110" s="672" t="s">
        <v>671</v>
      </c>
      <c r="G1110" s="735"/>
      <c r="H1110" s="735"/>
      <c r="I1110" s="735"/>
      <c r="J1110" s="735"/>
      <c r="K1110" s="735"/>
      <c r="L1110" s="735"/>
      <c r="M1110" s="735"/>
      <c r="N1110" s="735"/>
      <c r="O1110" s="735"/>
      <c r="P1110" s="732"/>
      <c r="Q1110" s="732"/>
      <c r="R1110" s="732"/>
      <c r="S1110" s="700">
        <v>0</v>
      </c>
      <c r="T1110" s="700">
        <v>0</v>
      </c>
      <c r="U1110" s="700">
        <v>0</v>
      </c>
      <c r="V1110" s="700">
        <v>0</v>
      </c>
      <c r="W1110" s="700">
        <v>0</v>
      </c>
      <c r="X1110" s="700">
        <v>0</v>
      </c>
      <c r="Y1110" s="700">
        <v>0</v>
      </c>
      <c r="Z1110" s="700">
        <v>0</v>
      </c>
      <c r="AA1110" s="700">
        <v>0</v>
      </c>
      <c r="AB1110" s="700">
        <v>0</v>
      </c>
      <c r="AC1110" s="700">
        <v>0</v>
      </c>
      <c r="AD1110" s="700">
        <v>0</v>
      </c>
      <c r="AE1110" s="732"/>
      <c r="AF1110" s="732"/>
      <c r="AG1110" s="732"/>
      <c r="AH1110" s="732"/>
      <c r="AI1110" s="732"/>
      <c r="AJ1110" s="732"/>
      <c r="AK1110" s="732"/>
      <c r="AL1110" s="732"/>
      <c r="AM1110" s="732"/>
      <c r="AN1110" s="732"/>
      <c r="AO1110" s="732"/>
      <c r="AP1110" s="732"/>
      <c r="AQ1110" s="732"/>
      <c r="AR1110" s="732"/>
      <c r="AS1110" s="732"/>
      <c r="AT1110" s="732"/>
      <c r="AU1110" s="732"/>
      <c r="AV1110" s="732"/>
      <c r="AW1110" s="732"/>
      <c r="AX1110" s="732"/>
      <c r="AY1110" s="732"/>
      <c r="AZ1110" s="732"/>
      <c r="BA1110" s="732"/>
      <c r="BB1110" s="732"/>
      <c r="BC1110" s="732"/>
      <c r="BD1110" s="732"/>
      <c r="BE1110" s="732"/>
      <c r="BF1110" s="732"/>
      <c r="BG1110" s="732"/>
      <c r="BH1110" s="732"/>
      <c r="BI1110" s="732"/>
      <c r="BJ1110" s="732"/>
      <c r="BK1110" s="732"/>
      <c r="BL1110" s="732"/>
      <c r="BM1110" s="732"/>
      <c r="BN1110" s="732"/>
      <c r="BO1110" s="732"/>
      <c r="BP1110" s="732"/>
      <c r="BQ1110" s="732"/>
      <c r="BR1110" s="732"/>
      <c r="BS1110" s="732"/>
      <c r="BT1110" s="732"/>
      <c r="BU1110" s="732"/>
      <c r="BV1110" s="732"/>
      <c r="BW1110" s="732"/>
      <c r="BX1110" s="732"/>
      <c r="BY1110" s="732"/>
      <c r="BZ1110" s="732"/>
      <c r="CA1110" s="732"/>
    </row>
    <row r="1111" spans="1:79" s="757" customFormat="1" hidden="1" outlineLevel="1" x14ac:dyDescent="0.35">
      <c r="A1111" s="575"/>
      <c r="B1111" s="575"/>
      <c r="C1111" s="575"/>
      <c r="D1111" s="575"/>
      <c r="E1111" s="575"/>
      <c r="F1111" s="672" t="s">
        <v>767</v>
      </c>
      <c r="G1111" s="735"/>
      <c r="H1111" s="735"/>
      <c r="I1111" s="735"/>
      <c r="J1111" s="735"/>
      <c r="K1111" s="735"/>
      <c r="L1111" s="735"/>
      <c r="M1111" s="735"/>
      <c r="N1111" s="735"/>
      <c r="O1111" s="735"/>
      <c r="P1111" s="732"/>
      <c r="Q1111" s="732"/>
      <c r="R1111" s="732"/>
      <c r="S1111" s="700">
        <v>0</v>
      </c>
      <c r="T1111" s="700">
        <v>0</v>
      </c>
      <c r="U1111" s="700">
        <v>0</v>
      </c>
      <c r="V1111" s="700">
        <v>0</v>
      </c>
      <c r="W1111" s="700">
        <v>0</v>
      </c>
      <c r="X1111" s="700">
        <v>0</v>
      </c>
      <c r="Y1111" s="700">
        <v>0</v>
      </c>
      <c r="Z1111" s="700">
        <v>0</v>
      </c>
      <c r="AA1111" s="700">
        <v>0</v>
      </c>
      <c r="AB1111" s="700">
        <v>0</v>
      </c>
      <c r="AC1111" s="700">
        <v>0</v>
      </c>
      <c r="AD1111" s="700">
        <v>0</v>
      </c>
      <c r="AE1111" s="732"/>
      <c r="AF1111" s="732"/>
      <c r="AG1111" s="732"/>
      <c r="AH1111" s="732"/>
      <c r="AI1111" s="732"/>
      <c r="AJ1111" s="732"/>
      <c r="AK1111" s="732"/>
      <c r="AL1111" s="732"/>
      <c r="AM1111" s="732"/>
      <c r="AN1111" s="732"/>
      <c r="AO1111" s="732"/>
      <c r="AP1111" s="732"/>
      <c r="AQ1111" s="732"/>
      <c r="AR1111" s="732"/>
      <c r="AS1111" s="732"/>
      <c r="AT1111" s="732"/>
      <c r="AU1111" s="732"/>
      <c r="AV1111" s="732"/>
      <c r="AW1111" s="732"/>
      <c r="AX1111" s="732"/>
      <c r="AY1111" s="732"/>
      <c r="AZ1111" s="732"/>
      <c r="BA1111" s="732"/>
      <c r="BB1111" s="732"/>
      <c r="BC1111" s="732"/>
      <c r="BD1111" s="732"/>
      <c r="BE1111" s="732"/>
      <c r="BF1111" s="732"/>
      <c r="BG1111" s="732"/>
      <c r="BH1111" s="732"/>
      <c r="BI1111" s="732"/>
      <c r="BJ1111" s="732"/>
      <c r="BK1111" s="732"/>
      <c r="BL1111" s="732"/>
      <c r="BM1111" s="732"/>
      <c r="BN1111" s="732"/>
      <c r="BO1111" s="732"/>
      <c r="BP1111" s="732"/>
      <c r="BQ1111" s="732"/>
      <c r="BR1111" s="732"/>
      <c r="BS1111" s="732"/>
      <c r="BT1111" s="732"/>
      <c r="BU1111" s="732"/>
      <c r="BV1111" s="732"/>
      <c r="BW1111" s="732"/>
      <c r="BX1111" s="732"/>
      <c r="BY1111" s="732"/>
      <c r="BZ1111" s="732"/>
      <c r="CA1111" s="732"/>
    </row>
    <row r="1112" spans="1:79" s="757" customFormat="1" hidden="1" outlineLevel="1" x14ac:dyDescent="0.35">
      <c r="A1112" s="575"/>
      <c r="B1112" s="575"/>
      <c r="C1112" s="575"/>
      <c r="D1112" s="575"/>
      <c r="E1112" s="575"/>
      <c r="F1112" s="672" t="s">
        <v>628</v>
      </c>
      <c r="G1112" s="735"/>
      <c r="H1112" s="735"/>
      <c r="I1112" s="735"/>
      <c r="J1112" s="735"/>
      <c r="K1112" s="735"/>
      <c r="L1112" s="735"/>
      <c r="M1112" s="735"/>
      <c r="N1112" s="735"/>
      <c r="O1112" s="735"/>
      <c r="P1112" s="732"/>
      <c r="Q1112" s="732"/>
      <c r="R1112" s="732"/>
      <c r="S1112" s="700">
        <v>0</v>
      </c>
      <c r="T1112" s="700">
        <v>0</v>
      </c>
      <c r="U1112" s="700">
        <v>0</v>
      </c>
      <c r="V1112" s="700">
        <v>0</v>
      </c>
      <c r="W1112" s="700">
        <v>0</v>
      </c>
      <c r="X1112" s="700">
        <v>0</v>
      </c>
      <c r="Y1112" s="700">
        <v>0</v>
      </c>
      <c r="Z1112" s="700">
        <v>0</v>
      </c>
      <c r="AA1112" s="700">
        <v>0</v>
      </c>
      <c r="AB1112" s="700">
        <v>0</v>
      </c>
      <c r="AC1112" s="700">
        <v>0</v>
      </c>
      <c r="AD1112" s="700">
        <v>0</v>
      </c>
      <c r="AE1112" s="732"/>
      <c r="AF1112" s="732"/>
      <c r="AG1112" s="732"/>
      <c r="AH1112" s="732"/>
      <c r="AI1112" s="732"/>
      <c r="AJ1112" s="732"/>
      <c r="AK1112" s="732"/>
      <c r="AL1112" s="732"/>
      <c r="AM1112" s="732"/>
      <c r="AN1112" s="732"/>
      <c r="AO1112" s="732"/>
      <c r="AP1112" s="732"/>
      <c r="AQ1112" s="732"/>
      <c r="AR1112" s="732"/>
      <c r="AS1112" s="732"/>
      <c r="AT1112" s="732"/>
      <c r="AU1112" s="732"/>
      <c r="AV1112" s="732"/>
      <c r="AW1112" s="732"/>
      <c r="AX1112" s="732"/>
      <c r="AY1112" s="732"/>
      <c r="AZ1112" s="732"/>
      <c r="BA1112" s="732"/>
      <c r="BB1112" s="732"/>
      <c r="BC1112" s="732"/>
      <c r="BD1112" s="732"/>
      <c r="BE1112" s="732"/>
      <c r="BF1112" s="732"/>
      <c r="BG1112" s="732"/>
      <c r="BH1112" s="732"/>
      <c r="BI1112" s="732"/>
      <c r="BJ1112" s="732"/>
      <c r="BK1112" s="732"/>
      <c r="BL1112" s="732"/>
      <c r="BM1112" s="732"/>
      <c r="BN1112" s="732"/>
      <c r="BO1112" s="732"/>
      <c r="BP1112" s="732"/>
      <c r="BQ1112" s="732"/>
      <c r="BR1112" s="732"/>
      <c r="BS1112" s="732"/>
      <c r="BT1112" s="732"/>
      <c r="BU1112" s="732"/>
      <c r="BV1112" s="732"/>
      <c r="BW1112" s="732"/>
      <c r="BX1112" s="732"/>
      <c r="BY1112" s="732"/>
      <c r="BZ1112" s="732"/>
      <c r="CA1112" s="732"/>
    </row>
    <row r="1113" spans="1:79" s="757" customFormat="1" hidden="1" outlineLevel="1" x14ac:dyDescent="0.35">
      <c r="A1113" s="575"/>
      <c r="B1113" s="575"/>
      <c r="C1113" s="575"/>
      <c r="D1113" s="575"/>
      <c r="E1113" s="575"/>
      <c r="F1113" s="672" t="s">
        <v>655</v>
      </c>
      <c r="G1113" s="735"/>
      <c r="H1113" s="735"/>
      <c r="I1113" s="735"/>
      <c r="J1113" s="735"/>
      <c r="K1113" s="735"/>
      <c r="L1113" s="735"/>
      <c r="M1113" s="735"/>
      <c r="N1113" s="735"/>
      <c r="O1113" s="735"/>
      <c r="P1113" s="732"/>
      <c r="Q1113" s="732"/>
      <c r="R1113" s="732"/>
      <c r="S1113" s="700">
        <v>0</v>
      </c>
      <c r="T1113" s="700">
        <v>0</v>
      </c>
      <c r="U1113" s="700">
        <v>0</v>
      </c>
      <c r="V1113" s="700">
        <v>0</v>
      </c>
      <c r="W1113" s="700">
        <v>0</v>
      </c>
      <c r="X1113" s="700">
        <v>0</v>
      </c>
      <c r="Y1113" s="700">
        <v>0</v>
      </c>
      <c r="Z1113" s="700">
        <v>0</v>
      </c>
      <c r="AA1113" s="700">
        <v>0</v>
      </c>
      <c r="AB1113" s="700">
        <v>0</v>
      </c>
      <c r="AC1113" s="700">
        <v>0</v>
      </c>
      <c r="AD1113" s="700">
        <v>0</v>
      </c>
      <c r="AE1113" s="732"/>
      <c r="AF1113" s="732"/>
      <c r="AG1113" s="732"/>
      <c r="AH1113" s="732"/>
      <c r="AI1113" s="732"/>
      <c r="AJ1113" s="732"/>
      <c r="AK1113" s="732"/>
      <c r="AL1113" s="732"/>
      <c r="AM1113" s="732"/>
      <c r="AN1113" s="732"/>
      <c r="AO1113" s="732"/>
      <c r="AP1113" s="732"/>
      <c r="AQ1113" s="732"/>
      <c r="AR1113" s="732"/>
      <c r="AS1113" s="732"/>
      <c r="AT1113" s="732"/>
      <c r="AU1113" s="732"/>
      <c r="AV1113" s="732"/>
      <c r="AW1113" s="732"/>
      <c r="AX1113" s="732"/>
      <c r="AY1113" s="732"/>
      <c r="AZ1113" s="732"/>
      <c r="BA1113" s="732"/>
      <c r="BB1113" s="732"/>
      <c r="BC1113" s="732"/>
      <c r="BD1113" s="732"/>
      <c r="BE1113" s="732"/>
      <c r="BF1113" s="732"/>
      <c r="BG1113" s="732"/>
      <c r="BH1113" s="732"/>
      <c r="BI1113" s="732"/>
      <c r="BJ1113" s="732"/>
      <c r="BK1113" s="732"/>
      <c r="BL1113" s="732"/>
      <c r="BM1113" s="732"/>
      <c r="BN1113" s="732"/>
      <c r="BO1113" s="732"/>
      <c r="BP1113" s="732"/>
      <c r="BQ1113" s="732"/>
      <c r="BR1113" s="732"/>
      <c r="BS1113" s="732"/>
      <c r="BT1113" s="732"/>
      <c r="BU1113" s="732"/>
      <c r="BV1113" s="732"/>
      <c r="BW1113" s="732"/>
      <c r="BX1113" s="732"/>
      <c r="BY1113" s="732"/>
      <c r="BZ1113" s="732"/>
      <c r="CA1113" s="732"/>
    </row>
    <row r="1114" spans="1:79" s="757" customFormat="1" hidden="1" outlineLevel="1" x14ac:dyDescent="0.35">
      <c r="A1114" s="575"/>
      <c r="B1114" s="575"/>
      <c r="C1114" s="575"/>
      <c r="D1114" s="575"/>
      <c r="E1114" s="575"/>
      <c r="F1114" s="672" t="s">
        <v>672</v>
      </c>
      <c r="G1114" s="735"/>
      <c r="H1114" s="735"/>
      <c r="I1114" s="735"/>
      <c r="J1114" s="735"/>
      <c r="K1114" s="735"/>
      <c r="L1114" s="735"/>
      <c r="M1114" s="735"/>
      <c r="N1114" s="735"/>
      <c r="O1114" s="735"/>
      <c r="P1114" s="732"/>
      <c r="Q1114" s="732"/>
      <c r="R1114" s="732"/>
      <c r="S1114" s="700">
        <v>0</v>
      </c>
      <c r="T1114" s="700">
        <v>0</v>
      </c>
      <c r="U1114" s="700">
        <v>0</v>
      </c>
      <c r="V1114" s="700">
        <v>0</v>
      </c>
      <c r="W1114" s="700">
        <v>0</v>
      </c>
      <c r="X1114" s="700">
        <v>0</v>
      </c>
      <c r="Y1114" s="700">
        <v>0</v>
      </c>
      <c r="Z1114" s="700">
        <v>0</v>
      </c>
      <c r="AA1114" s="700">
        <v>0</v>
      </c>
      <c r="AB1114" s="700">
        <v>0</v>
      </c>
      <c r="AC1114" s="700">
        <v>0</v>
      </c>
      <c r="AD1114" s="700">
        <v>0</v>
      </c>
      <c r="AE1114" s="732"/>
      <c r="AF1114" s="732"/>
      <c r="AG1114" s="732"/>
      <c r="AH1114" s="732"/>
      <c r="AI1114" s="732"/>
      <c r="AJ1114" s="732"/>
      <c r="AK1114" s="732"/>
      <c r="AL1114" s="732"/>
      <c r="AM1114" s="732"/>
      <c r="AN1114" s="732"/>
      <c r="AO1114" s="732"/>
      <c r="AP1114" s="732"/>
      <c r="AQ1114" s="732"/>
      <c r="AR1114" s="732"/>
      <c r="AS1114" s="732"/>
      <c r="AT1114" s="732"/>
      <c r="AU1114" s="732"/>
      <c r="AV1114" s="732"/>
      <c r="AW1114" s="732"/>
      <c r="AX1114" s="732"/>
      <c r="AY1114" s="732"/>
      <c r="AZ1114" s="732"/>
      <c r="BA1114" s="732"/>
      <c r="BB1114" s="732"/>
      <c r="BC1114" s="732"/>
      <c r="BD1114" s="732"/>
      <c r="BE1114" s="732"/>
      <c r="BF1114" s="732"/>
      <c r="BG1114" s="732"/>
      <c r="BH1114" s="732"/>
      <c r="BI1114" s="732"/>
      <c r="BJ1114" s="732"/>
      <c r="BK1114" s="732"/>
      <c r="BL1114" s="732"/>
      <c r="BM1114" s="732"/>
      <c r="BN1114" s="732"/>
      <c r="BO1114" s="732"/>
      <c r="BP1114" s="732"/>
      <c r="BQ1114" s="732"/>
      <c r="BR1114" s="732"/>
      <c r="BS1114" s="732"/>
      <c r="BT1114" s="732"/>
      <c r="BU1114" s="732"/>
      <c r="BV1114" s="732"/>
      <c r="BW1114" s="732"/>
      <c r="BX1114" s="732"/>
      <c r="BY1114" s="732"/>
      <c r="BZ1114" s="732"/>
      <c r="CA1114" s="732"/>
    </row>
    <row r="1115" spans="1:79" s="757" customFormat="1" hidden="1" outlineLevel="1" x14ac:dyDescent="0.35">
      <c r="A1115" s="575"/>
      <c r="B1115" s="575"/>
      <c r="C1115" s="575"/>
      <c r="D1115" s="575"/>
      <c r="E1115" s="575"/>
      <c r="F1115" s="673" t="s">
        <v>629</v>
      </c>
      <c r="G1115" s="680">
        <f>SUM(G1110:G1114)</f>
        <v>0</v>
      </c>
      <c r="H1115" s="680">
        <f t="shared" ref="H1115:BO1115" si="423">SUM(H1110:H1114)</f>
        <v>0</v>
      </c>
      <c r="I1115" s="680">
        <f t="shared" si="423"/>
        <v>0</v>
      </c>
      <c r="J1115" s="680">
        <f t="shared" si="423"/>
        <v>0</v>
      </c>
      <c r="K1115" s="680">
        <f t="shared" si="423"/>
        <v>0</v>
      </c>
      <c r="L1115" s="680">
        <f t="shared" si="423"/>
        <v>0</v>
      </c>
      <c r="M1115" s="680">
        <f t="shared" si="423"/>
        <v>0</v>
      </c>
      <c r="N1115" s="680">
        <f t="shared" si="423"/>
        <v>0</v>
      </c>
      <c r="O1115" s="680">
        <f t="shared" si="423"/>
        <v>0</v>
      </c>
      <c r="P1115" s="680">
        <f t="shared" si="423"/>
        <v>0</v>
      </c>
      <c r="Q1115" s="680">
        <f t="shared" si="423"/>
        <v>0</v>
      </c>
      <c r="R1115" s="680">
        <f t="shared" si="423"/>
        <v>0</v>
      </c>
      <c r="S1115" s="696">
        <f t="shared" ref="S1115:AA1115" si="424">ROUND(SUM(S1108:S1114),5)</f>
        <v>0</v>
      </c>
      <c r="T1115" s="696">
        <f t="shared" si="424"/>
        <v>0</v>
      </c>
      <c r="U1115" s="696">
        <f t="shared" si="424"/>
        <v>0</v>
      </c>
      <c r="V1115" s="696">
        <f t="shared" si="424"/>
        <v>0</v>
      </c>
      <c r="W1115" s="696">
        <f t="shared" si="424"/>
        <v>0</v>
      </c>
      <c r="X1115" s="696">
        <f t="shared" si="424"/>
        <v>0</v>
      </c>
      <c r="Y1115" s="696">
        <f t="shared" si="424"/>
        <v>0</v>
      </c>
      <c r="Z1115" s="696">
        <f t="shared" si="424"/>
        <v>0</v>
      </c>
      <c r="AA1115" s="696">
        <f t="shared" si="424"/>
        <v>0</v>
      </c>
      <c r="AB1115" s="696">
        <f>ROUND(SUM(AB1108:AB1114),5)</f>
        <v>0</v>
      </c>
      <c r="AC1115" s="696">
        <f>ROUND(SUM(AC1108:AC1114),5)</f>
        <v>0</v>
      </c>
      <c r="AD1115" s="696">
        <f>ROUND(SUM(AD1108:AD1114),5)</f>
        <v>0</v>
      </c>
      <c r="AE1115" s="680">
        <f t="shared" si="423"/>
        <v>0</v>
      </c>
      <c r="AF1115" s="680">
        <f t="shared" si="423"/>
        <v>0</v>
      </c>
      <c r="AG1115" s="680">
        <f t="shared" si="423"/>
        <v>0</v>
      </c>
      <c r="AH1115" s="680">
        <f t="shared" si="423"/>
        <v>0</v>
      </c>
      <c r="AI1115" s="680">
        <f t="shared" si="423"/>
        <v>0</v>
      </c>
      <c r="AJ1115" s="680">
        <f t="shared" si="423"/>
        <v>0</v>
      </c>
      <c r="AK1115" s="680">
        <f t="shared" si="423"/>
        <v>0</v>
      </c>
      <c r="AL1115" s="680">
        <f t="shared" si="423"/>
        <v>0</v>
      </c>
      <c r="AM1115" s="680">
        <f t="shared" si="423"/>
        <v>0</v>
      </c>
      <c r="AN1115" s="680">
        <f t="shared" si="423"/>
        <v>0</v>
      </c>
      <c r="AO1115" s="680">
        <f t="shared" si="423"/>
        <v>0</v>
      </c>
      <c r="AP1115" s="680">
        <f t="shared" si="423"/>
        <v>0</v>
      </c>
      <c r="AQ1115" s="680">
        <f t="shared" si="423"/>
        <v>0</v>
      </c>
      <c r="AR1115" s="680">
        <f t="shared" si="423"/>
        <v>0</v>
      </c>
      <c r="AS1115" s="680">
        <f t="shared" si="423"/>
        <v>0</v>
      </c>
      <c r="AT1115" s="680">
        <f t="shared" si="423"/>
        <v>0</v>
      </c>
      <c r="AU1115" s="680">
        <f t="shared" si="423"/>
        <v>0</v>
      </c>
      <c r="AV1115" s="680">
        <f t="shared" si="423"/>
        <v>0</v>
      </c>
      <c r="AW1115" s="680">
        <f t="shared" si="423"/>
        <v>0</v>
      </c>
      <c r="AX1115" s="680">
        <f t="shared" si="423"/>
        <v>0</v>
      </c>
      <c r="AY1115" s="680">
        <f t="shared" si="423"/>
        <v>0</v>
      </c>
      <c r="AZ1115" s="680">
        <f t="shared" si="423"/>
        <v>0</v>
      </c>
      <c r="BA1115" s="680">
        <f t="shared" si="423"/>
        <v>0</v>
      </c>
      <c r="BB1115" s="680">
        <f t="shared" si="423"/>
        <v>0</v>
      </c>
      <c r="BC1115" s="680">
        <f t="shared" si="423"/>
        <v>0</v>
      </c>
      <c r="BD1115" s="680">
        <f t="shared" si="423"/>
        <v>0</v>
      </c>
      <c r="BE1115" s="680">
        <f t="shared" si="423"/>
        <v>0</v>
      </c>
      <c r="BF1115" s="680">
        <f t="shared" si="423"/>
        <v>0</v>
      </c>
      <c r="BG1115" s="680">
        <f t="shared" si="423"/>
        <v>0</v>
      </c>
      <c r="BH1115" s="680">
        <f t="shared" si="423"/>
        <v>0</v>
      </c>
      <c r="BI1115" s="680">
        <f t="shared" si="423"/>
        <v>0</v>
      </c>
      <c r="BJ1115" s="680">
        <f t="shared" si="423"/>
        <v>0</v>
      </c>
      <c r="BK1115" s="680">
        <f t="shared" si="423"/>
        <v>0</v>
      </c>
      <c r="BL1115" s="680">
        <f t="shared" si="423"/>
        <v>0</v>
      </c>
      <c r="BM1115" s="680">
        <f t="shared" si="423"/>
        <v>0</v>
      </c>
      <c r="BN1115" s="680">
        <f t="shared" si="423"/>
        <v>0</v>
      </c>
      <c r="BO1115" s="680">
        <f t="shared" si="423"/>
        <v>0</v>
      </c>
      <c r="BP1115" s="680">
        <f t="shared" ref="BP1115:CA1115" si="425">SUM(BP1110:BP1114)</f>
        <v>0</v>
      </c>
      <c r="BQ1115" s="680">
        <f t="shared" si="425"/>
        <v>0</v>
      </c>
      <c r="BR1115" s="680">
        <f t="shared" si="425"/>
        <v>0</v>
      </c>
      <c r="BS1115" s="680">
        <f t="shared" si="425"/>
        <v>0</v>
      </c>
      <c r="BT1115" s="680">
        <f t="shared" si="425"/>
        <v>0</v>
      </c>
      <c r="BU1115" s="680">
        <f t="shared" si="425"/>
        <v>0</v>
      </c>
      <c r="BV1115" s="680">
        <f t="shared" si="425"/>
        <v>0</v>
      </c>
      <c r="BW1115" s="680">
        <f t="shared" si="425"/>
        <v>0</v>
      </c>
      <c r="BX1115" s="680">
        <f t="shared" si="425"/>
        <v>0</v>
      </c>
      <c r="BY1115" s="680">
        <f t="shared" si="425"/>
        <v>0</v>
      </c>
      <c r="BZ1115" s="680">
        <f t="shared" si="425"/>
        <v>0</v>
      </c>
      <c r="CA1115" s="680">
        <f t="shared" si="425"/>
        <v>0</v>
      </c>
    </row>
    <row r="1116" spans="1:79" s="716" customFormat="1" hidden="1" outlineLevel="1" x14ac:dyDescent="0.35">
      <c r="A1116" s="726"/>
      <c r="B1116" s="726"/>
      <c r="C1116" s="726"/>
      <c r="D1116" s="726"/>
      <c r="E1116" s="726"/>
      <c r="F1116" s="707" t="s">
        <v>673</v>
      </c>
      <c r="G1116" s="750"/>
      <c r="H1116" s="750"/>
      <c r="I1116" s="750"/>
      <c r="J1116" s="750"/>
      <c r="K1116" s="750"/>
      <c r="L1116" s="750"/>
      <c r="M1116" s="750"/>
      <c r="N1116" s="750"/>
      <c r="O1116" s="750"/>
      <c r="P1116" s="751"/>
      <c r="Q1116" s="751"/>
      <c r="R1116" s="751"/>
      <c r="S1116" s="724"/>
      <c r="T1116" s="724"/>
      <c r="U1116" s="724"/>
      <c r="V1116" s="724"/>
      <c r="W1116" s="724"/>
      <c r="X1116" s="724"/>
      <c r="Y1116" s="724"/>
      <c r="Z1116" s="724"/>
      <c r="AA1116" s="724"/>
      <c r="AB1116" s="724"/>
      <c r="AC1116" s="724"/>
      <c r="AD1116" s="724"/>
      <c r="AE1116" s="751"/>
      <c r="AF1116" s="751"/>
      <c r="AG1116" s="751"/>
      <c r="AH1116" s="751"/>
      <c r="AI1116" s="751"/>
      <c r="AJ1116" s="751"/>
      <c r="AK1116" s="751"/>
      <c r="AL1116" s="751"/>
      <c r="AM1116" s="751"/>
      <c r="AN1116" s="751"/>
      <c r="AO1116" s="751"/>
      <c r="AP1116" s="751"/>
      <c r="AQ1116" s="751"/>
      <c r="AR1116" s="751"/>
      <c r="AS1116" s="751"/>
      <c r="AT1116" s="751"/>
      <c r="AU1116" s="751"/>
      <c r="AV1116" s="751"/>
      <c r="AW1116" s="751"/>
      <c r="AX1116" s="751"/>
      <c r="AY1116" s="751"/>
      <c r="AZ1116" s="751"/>
      <c r="BA1116" s="751"/>
      <c r="BB1116" s="751"/>
      <c r="BC1116" s="751"/>
      <c r="BD1116" s="751"/>
      <c r="BE1116" s="751"/>
      <c r="BF1116" s="751"/>
      <c r="BG1116" s="751"/>
      <c r="BH1116" s="751"/>
      <c r="BI1116" s="751"/>
      <c r="BJ1116" s="751"/>
      <c r="BK1116" s="751"/>
      <c r="BL1116" s="751"/>
      <c r="BM1116" s="751"/>
      <c r="BN1116" s="751"/>
      <c r="BO1116" s="751"/>
      <c r="BP1116" s="751"/>
      <c r="BQ1116" s="751"/>
      <c r="BR1116" s="751"/>
      <c r="BS1116" s="751"/>
      <c r="BT1116" s="751"/>
      <c r="BU1116" s="751"/>
      <c r="BV1116" s="751"/>
      <c r="BW1116" s="751"/>
      <c r="BX1116" s="751"/>
      <c r="BY1116" s="751"/>
      <c r="BZ1116" s="751"/>
      <c r="CA1116" s="751"/>
    </row>
    <row r="1117" spans="1:79" s="757" customFormat="1" hidden="1" outlineLevel="1" x14ac:dyDescent="0.35">
      <c r="A1117" s="575"/>
      <c r="B1117" s="575"/>
      <c r="C1117" s="575"/>
      <c r="D1117" s="575"/>
      <c r="E1117" s="575"/>
      <c r="F1117" s="672" t="s">
        <v>674</v>
      </c>
      <c r="G1117" s="735"/>
      <c r="H1117" s="735"/>
      <c r="I1117" s="735"/>
      <c r="J1117" s="735"/>
      <c r="K1117" s="735"/>
      <c r="L1117" s="735"/>
      <c r="M1117" s="735"/>
      <c r="N1117" s="735"/>
      <c r="O1117" s="735"/>
      <c r="P1117" s="732"/>
      <c r="Q1117" s="732"/>
      <c r="R1117" s="732"/>
      <c r="S1117" s="700">
        <v>0</v>
      </c>
      <c r="T1117" s="700">
        <v>0</v>
      </c>
      <c r="U1117" s="700">
        <v>0</v>
      </c>
      <c r="V1117" s="700">
        <v>0</v>
      </c>
      <c r="W1117" s="700">
        <v>0</v>
      </c>
      <c r="X1117" s="700">
        <v>0</v>
      </c>
      <c r="Y1117" s="700">
        <v>0</v>
      </c>
      <c r="Z1117" s="700">
        <v>0</v>
      </c>
      <c r="AA1117" s="700">
        <v>0</v>
      </c>
      <c r="AB1117" s="700">
        <v>0</v>
      </c>
      <c r="AC1117" s="700">
        <v>0</v>
      </c>
      <c r="AD1117" s="700">
        <v>0</v>
      </c>
      <c r="AE1117" s="732"/>
      <c r="AF1117" s="732"/>
      <c r="AG1117" s="732"/>
      <c r="AH1117" s="732"/>
      <c r="AI1117" s="732"/>
      <c r="AJ1117" s="732"/>
      <c r="AK1117" s="732"/>
      <c r="AL1117" s="732"/>
      <c r="AM1117" s="732"/>
      <c r="AN1117" s="732"/>
      <c r="AO1117" s="732"/>
      <c r="AP1117" s="732"/>
      <c r="AQ1117" s="732"/>
      <c r="AR1117" s="732"/>
      <c r="AS1117" s="732"/>
      <c r="AT1117" s="732"/>
      <c r="AU1117" s="732"/>
      <c r="AV1117" s="732"/>
      <c r="AW1117" s="732"/>
      <c r="AX1117" s="732"/>
      <c r="AY1117" s="732"/>
      <c r="AZ1117" s="732"/>
      <c r="BA1117" s="732"/>
      <c r="BB1117" s="732"/>
      <c r="BC1117" s="732"/>
      <c r="BD1117" s="732"/>
      <c r="BE1117" s="732"/>
      <c r="BF1117" s="732"/>
      <c r="BG1117" s="732"/>
      <c r="BH1117" s="732"/>
      <c r="BI1117" s="732"/>
      <c r="BJ1117" s="732"/>
      <c r="BK1117" s="732"/>
      <c r="BL1117" s="732"/>
      <c r="BM1117" s="732"/>
      <c r="BN1117" s="732"/>
      <c r="BO1117" s="732"/>
      <c r="BP1117" s="732"/>
      <c r="BQ1117" s="732"/>
      <c r="BR1117" s="732"/>
      <c r="BS1117" s="732"/>
      <c r="BT1117" s="732"/>
      <c r="BU1117" s="732"/>
      <c r="BV1117" s="732"/>
      <c r="BW1117" s="732"/>
      <c r="BX1117" s="732"/>
      <c r="BY1117" s="732"/>
      <c r="BZ1117" s="732"/>
      <c r="CA1117" s="732"/>
    </row>
    <row r="1118" spans="1:79" s="757" customFormat="1" hidden="1" outlineLevel="1" x14ac:dyDescent="0.35">
      <c r="A1118" s="575"/>
      <c r="B1118" s="575"/>
      <c r="C1118" s="575"/>
      <c r="D1118" s="575"/>
      <c r="E1118" s="575"/>
      <c r="F1118" s="672" t="s">
        <v>898</v>
      </c>
      <c r="G1118" s="735"/>
      <c r="H1118" s="735"/>
      <c r="I1118" s="735"/>
      <c r="J1118" s="735"/>
      <c r="K1118" s="735"/>
      <c r="L1118" s="735"/>
      <c r="M1118" s="735"/>
      <c r="N1118" s="735"/>
      <c r="O1118" s="735"/>
      <c r="P1118" s="732"/>
      <c r="Q1118" s="732"/>
      <c r="R1118" s="732"/>
      <c r="S1118" s="700">
        <v>0</v>
      </c>
      <c r="T1118" s="700">
        <v>0</v>
      </c>
      <c r="U1118" s="700">
        <v>0</v>
      </c>
      <c r="V1118" s="700">
        <v>0</v>
      </c>
      <c r="W1118" s="700">
        <v>0</v>
      </c>
      <c r="X1118" s="700">
        <v>0</v>
      </c>
      <c r="Y1118" s="700">
        <v>0</v>
      </c>
      <c r="Z1118" s="700">
        <v>0</v>
      </c>
      <c r="AA1118" s="700">
        <v>0</v>
      </c>
      <c r="AB1118" s="700">
        <v>0</v>
      </c>
      <c r="AC1118" s="700">
        <v>0</v>
      </c>
      <c r="AD1118" s="700">
        <v>0</v>
      </c>
      <c r="AE1118" s="732"/>
      <c r="AF1118" s="732"/>
      <c r="AG1118" s="732"/>
      <c r="AH1118" s="732"/>
      <c r="AI1118" s="732"/>
      <c r="AJ1118" s="732"/>
      <c r="AK1118" s="732"/>
      <c r="AL1118" s="732"/>
      <c r="AM1118" s="732"/>
      <c r="AN1118" s="732"/>
      <c r="AO1118" s="732"/>
      <c r="AP1118" s="732"/>
      <c r="AQ1118" s="732"/>
      <c r="AR1118" s="732"/>
      <c r="AS1118" s="732"/>
      <c r="AT1118" s="732"/>
      <c r="AU1118" s="732"/>
      <c r="AV1118" s="732"/>
      <c r="AW1118" s="732"/>
      <c r="AX1118" s="732"/>
      <c r="AY1118" s="732"/>
      <c r="AZ1118" s="732"/>
      <c r="BA1118" s="732"/>
      <c r="BB1118" s="732"/>
      <c r="BC1118" s="732"/>
      <c r="BD1118" s="732"/>
      <c r="BE1118" s="732"/>
      <c r="BF1118" s="732"/>
      <c r="BG1118" s="732"/>
      <c r="BH1118" s="732"/>
      <c r="BI1118" s="732"/>
      <c r="BJ1118" s="732"/>
      <c r="BK1118" s="732"/>
      <c r="BL1118" s="732"/>
      <c r="BM1118" s="732"/>
      <c r="BN1118" s="732"/>
      <c r="BO1118" s="732"/>
      <c r="BP1118" s="732"/>
      <c r="BQ1118" s="732"/>
      <c r="BR1118" s="732"/>
      <c r="BS1118" s="732"/>
      <c r="BT1118" s="732"/>
      <c r="BU1118" s="732"/>
      <c r="BV1118" s="732"/>
      <c r="BW1118" s="732"/>
      <c r="BX1118" s="732"/>
      <c r="BY1118" s="732"/>
      <c r="BZ1118" s="732"/>
      <c r="CA1118" s="732"/>
    </row>
    <row r="1119" spans="1:79" s="757" customFormat="1" hidden="1" outlineLevel="1" x14ac:dyDescent="0.35">
      <c r="A1119" s="575"/>
      <c r="B1119" s="575"/>
      <c r="C1119" s="575"/>
      <c r="D1119" s="575"/>
      <c r="E1119" s="575"/>
      <c r="F1119" s="672" t="s">
        <v>675</v>
      </c>
      <c r="G1119" s="735"/>
      <c r="H1119" s="735"/>
      <c r="I1119" s="735"/>
      <c r="J1119" s="735"/>
      <c r="K1119" s="735"/>
      <c r="L1119" s="735"/>
      <c r="M1119" s="735"/>
      <c r="N1119" s="735"/>
      <c r="O1119" s="735"/>
      <c r="P1119" s="732"/>
      <c r="Q1119" s="732"/>
      <c r="R1119" s="732"/>
      <c r="S1119" s="700">
        <v>0</v>
      </c>
      <c r="T1119" s="700">
        <v>0</v>
      </c>
      <c r="U1119" s="700">
        <v>0</v>
      </c>
      <c r="V1119" s="700">
        <v>0</v>
      </c>
      <c r="W1119" s="700">
        <v>0</v>
      </c>
      <c r="X1119" s="700">
        <v>0</v>
      </c>
      <c r="Y1119" s="700">
        <v>0</v>
      </c>
      <c r="Z1119" s="700">
        <v>0</v>
      </c>
      <c r="AA1119" s="700">
        <v>0</v>
      </c>
      <c r="AB1119" s="700">
        <v>0</v>
      </c>
      <c r="AC1119" s="700">
        <v>0</v>
      </c>
      <c r="AD1119" s="700">
        <v>0</v>
      </c>
      <c r="AE1119" s="732"/>
      <c r="AF1119" s="732"/>
      <c r="AG1119" s="732"/>
      <c r="AH1119" s="732"/>
      <c r="AI1119" s="732"/>
      <c r="AJ1119" s="732"/>
      <c r="AK1119" s="732"/>
      <c r="AL1119" s="732"/>
      <c r="AM1119" s="732"/>
      <c r="AN1119" s="732"/>
      <c r="AO1119" s="732"/>
      <c r="AP1119" s="732"/>
      <c r="AQ1119" s="732"/>
      <c r="AR1119" s="732"/>
      <c r="AS1119" s="732"/>
      <c r="AT1119" s="732"/>
      <c r="AU1119" s="732"/>
      <c r="AV1119" s="732"/>
      <c r="AW1119" s="732"/>
      <c r="AX1119" s="732"/>
      <c r="AY1119" s="732"/>
      <c r="AZ1119" s="732"/>
      <c r="BA1119" s="732"/>
      <c r="BB1119" s="732"/>
      <c r="BC1119" s="732"/>
      <c r="BD1119" s="732"/>
      <c r="BE1119" s="732"/>
      <c r="BF1119" s="732"/>
      <c r="BG1119" s="732"/>
      <c r="BH1119" s="732"/>
      <c r="BI1119" s="732"/>
      <c r="BJ1119" s="732"/>
      <c r="BK1119" s="732"/>
      <c r="BL1119" s="732"/>
      <c r="BM1119" s="732"/>
      <c r="BN1119" s="732"/>
      <c r="BO1119" s="732"/>
      <c r="BP1119" s="732"/>
      <c r="BQ1119" s="732"/>
      <c r="BR1119" s="732"/>
      <c r="BS1119" s="732"/>
      <c r="BT1119" s="732"/>
      <c r="BU1119" s="732"/>
      <c r="BV1119" s="732"/>
      <c r="BW1119" s="732"/>
      <c r="BX1119" s="732"/>
      <c r="BY1119" s="732"/>
      <c r="BZ1119" s="732"/>
      <c r="CA1119" s="732"/>
    </row>
    <row r="1120" spans="1:79" s="757" customFormat="1" hidden="1" outlineLevel="1" x14ac:dyDescent="0.35">
      <c r="A1120" s="575"/>
      <c r="B1120" s="575"/>
      <c r="C1120" s="575"/>
      <c r="D1120" s="575"/>
      <c r="E1120" s="575"/>
      <c r="F1120" s="672" t="s">
        <v>899</v>
      </c>
      <c r="G1120" s="735"/>
      <c r="H1120" s="735"/>
      <c r="I1120" s="735"/>
      <c r="J1120" s="735"/>
      <c r="K1120" s="735"/>
      <c r="L1120" s="735"/>
      <c r="M1120" s="735"/>
      <c r="N1120" s="735"/>
      <c r="O1120" s="735"/>
      <c r="P1120" s="732"/>
      <c r="Q1120" s="732"/>
      <c r="R1120" s="732"/>
      <c r="S1120" s="700">
        <v>0</v>
      </c>
      <c r="T1120" s="700">
        <v>0</v>
      </c>
      <c r="U1120" s="700">
        <v>0</v>
      </c>
      <c r="V1120" s="700">
        <v>0</v>
      </c>
      <c r="W1120" s="700">
        <v>0</v>
      </c>
      <c r="X1120" s="700">
        <v>0</v>
      </c>
      <c r="Y1120" s="700">
        <v>0</v>
      </c>
      <c r="Z1120" s="700">
        <v>0</v>
      </c>
      <c r="AA1120" s="700">
        <v>0</v>
      </c>
      <c r="AB1120" s="700">
        <v>0</v>
      </c>
      <c r="AC1120" s="700">
        <v>0</v>
      </c>
      <c r="AD1120" s="700">
        <v>0</v>
      </c>
      <c r="AE1120" s="732"/>
      <c r="AF1120" s="732"/>
      <c r="AG1120" s="732"/>
      <c r="AH1120" s="732"/>
      <c r="AI1120" s="732"/>
      <c r="AJ1120" s="732"/>
      <c r="AK1120" s="732"/>
      <c r="AL1120" s="732"/>
      <c r="AM1120" s="732"/>
      <c r="AN1120" s="732"/>
      <c r="AO1120" s="732"/>
      <c r="AP1120" s="732"/>
      <c r="AQ1120" s="732"/>
      <c r="AR1120" s="732"/>
      <c r="AS1120" s="732"/>
      <c r="AT1120" s="732"/>
      <c r="AU1120" s="732"/>
      <c r="AV1120" s="732"/>
      <c r="AW1120" s="732"/>
      <c r="AX1120" s="732"/>
      <c r="AY1120" s="732"/>
      <c r="AZ1120" s="732"/>
      <c r="BA1120" s="732"/>
      <c r="BB1120" s="732"/>
      <c r="BC1120" s="732"/>
      <c r="BD1120" s="732"/>
      <c r="BE1120" s="732"/>
      <c r="BF1120" s="732"/>
      <c r="BG1120" s="732"/>
      <c r="BH1120" s="732"/>
      <c r="BI1120" s="732"/>
      <c r="BJ1120" s="732"/>
      <c r="BK1120" s="732"/>
      <c r="BL1120" s="732"/>
      <c r="BM1120" s="732"/>
      <c r="BN1120" s="732"/>
      <c r="BO1120" s="732"/>
      <c r="BP1120" s="732"/>
      <c r="BQ1120" s="732"/>
      <c r="BR1120" s="732"/>
      <c r="BS1120" s="732"/>
      <c r="BT1120" s="732"/>
      <c r="BU1120" s="732"/>
      <c r="BV1120" s="732"/>
      <c r="BW1120" s="732"/>
      <c r="BX1120" s="732"/>
      <c r="BY1120" s="732"/>
      <c r="BZ1120" s="732"/>
      <c r="CA1120" s="732"/>
    </row>
    <row r="1121" spans="1:79" s="757" customFormat="1" hidden="1" outlineLevel="1" x14ac:dyDescent="0.35">
      <c r="A1121" s="575"/>
      <c r="B1121" s="575"/>
      <c r="C1121" s="575"/>
      <c r="D1121" s="575"/>
      <c r="E1121" s="575"/>
      <c r="F1121" s="673" t="s">
        <v>676</v>
      </c>
      <c r="G1121" s="680">
        <f>SUM(G1117:G1120)</f>
        <v>0</v>
      </c>
      <c r="H1121" s="680">
        <f t="shared" ref="H1121:BO1121" si="426">SUM(H1117:H1120)</f>
        <v>0</v>
      </c>
      <c r="I1121" s="680">
        <f t="shared" si="426"/>
        <v>0</v>
      </c>
      <c r="J1121" s="680">
        <f t="shared" si="426"/>
        <v>0</v>
      </c>
      <c r="K1121" s="680">
        <f t="shared" si="426"/>
        <v>0</v>
      </c>
      <c r="L1121" s="680">
        <f t="shared" si="426"/>
        <v>0</v>
      </c>
      <c r="M1121" s="680">
        <f t="shared" si="426"/>
        <v>0</v>
      </c>
      <c r="N1121" s="680">
        <f t="shared" si="426"/>
        <v>0</v>
      </c>
      <c r="O1121" s="680">
        <f t="shared" si="426"/>
        <v>0</v>
      </c>
      <c r="P1121" s="680">
        <f t="shared" si="426"/>
        <v>0</v>
      </c>
      <c r="Q1121" s="680">
        <f t="shared" si="426"/>
        <v>0</v>
      </c>
      <c r="R1121" s="680">
        <f t="shared" si="426"/>
        <v>0</v>
      </c>
      <c r="S1121" s="696">
        <f t="shared" ref="S1121:AA1121" si="427">ROUND(SUM(S1116:S1120),5)</f>
        <v>0</v>
      </c>
      <c r="T1121" s="696">
        <f t="shared" si="427"/>
        <v>0</v>
      </c>
      <c r="U1121" s="696">
        <f t="shared" si="427"/>
        <v>0</v>
      </c>
      <c r="V1121" s="696">
        <f t="shared" si="427"/>
        <v>0</v>
      </c>
      <c r="W1121" s="696">
        <f t="shared" si="427"/>
        <v>0</v>
      </c>
      <c r="X1121" s="696">
        <f t="shared" si="427"/>
        <v>0</v>
      </c>
      <c r="Y1121" s="696">
        <f t="shared" si="427"/>
        <v>0</v>
      </c>
      <c r="Z1121" s="696">
        <f t="shared" si="427"/>
        <v>0</v>
      </c>
      <c r="AA1121" s="696">
        <f t="shared" si="427"/>
        <v>0</v>
      </c>
      <c r="AB1121" s="696">
        <f>ROUND(SUM(AB1116:AB1120),5)</f>
        <v>0</v>
      </c>
      <c r="AC1121" s="696">
        <f>ROUND(SUM(AC1116:AC1120),5)</f>
        <v>0</v>
      </c>
      <c r="AD1121" s="696">
        <f>ROUND(SUM(AD1116:AD1120),5)</f>
        <v>0</v>
      </c>
      <c r="AE1121" s="680">
        <f t="shared" si="426"/>
        <v>0</v>
      </c>
      <c r="AF1121" s="680">
        <f t="shared" si="426"/>
        <v>0</v>
      </c>
      <c r="AG1121" s="680">
        <f t="shared" si="426"/>
        <v>0</v>
      </c>
      <c r="AH1121" s="680">
        <f t="shared" si="426"/>
        <v>0</v>
      </c>
      <c r="AI1121" s="680">
        <f t="shared" si="426"/>
        <v>0</v>
      </c>
      <c r="AJ1121" s="680">
        <f t="shared" si="426"/>
        <v>0</v>
      </c>
      <c r="AK1121" s="680">
        <f t="shared" si="426"/>
        <v>0</v>
      </c>
      <c r="AL1121" s="680">
        <f t="shared" si="426"/>
        <v>0</v>
      </c>
      <c r="AM1121" s="680">
        <f t="shared" si="426"/>
        <v>0</v>
      </c>
      <c r="AN1121" s="680">
        <f t="shared" si="426"/>
        <v>0</v>
      </c>
      <c r="AO1121" s="680">
        <f t="shared" si="426"/>
        <v>0</v>
      </c>
      <c r="AP1121" s="680">
        <f t="shared" si="426"/>
        <v>0</v>
      </c>
      <c r="AQ1121" s="680">
        <f t="shared" si="426"/>
        <v>0</v>
      </c>
      <c r="AR1121" s="680">
        <f t="shared" si="426"/>
        <v>0</v>
      </c>
      <c r="AS1121" s="680">
        <f t="shared" si="426"/>
        <v>0</v>
      </c>
      <c r="AT1121" s="680">
        <f t="shared" si="426"/>
        <v>0</v>
      </c>
      <c r="AU1121" s="680">
        <f t="shared" si="426"/>
        <v>0</v>
      </c>
      <c r="AV1121" s="680">
        <f t="shared" si="426"/>
        <v>0</v>
      </c>
      <c r="AW1121" s="680">
        <f t="shared" si="426"/>
        <v>0</v>
      </c>
      <c r="AX1121" s="680">
        <f t="shared" si="426"/>
        <v>0</v>
      </c>
      <c r="AY1121" s="680">
        <f t="shared" si="426"/>
        <v>0</v>
      </c>
      <c r="AZ1121" s="680">
        <f t="shared" si="426"/>
        <v>0</v>
      </c>
      <c r="BA1121" s="680">
        <f t="shared" si="426"/>
        <v>0</v>
      </c>
      <c r="BB1121" s="680">
        <f t="shared" si="426"/>
        <v>0</v>
      </c>
      <c r="BC1121" s="680">
        <f t="shared" si="426"/>
        <v>0</v>
      </c>
      <c r="BD1121" s="680">
        <f t="shared" si="426"/>
        <v>0</v>
      </c>
      <c r="BE1121" s="680">
        <f t="shared" si="426"/>
        <v>0</v>
      </c>
      <c r="BF1121" s="680">
        <f t="shared" si="426"/>
        <v>0</v>
      </c>
      <c r="BG1121" s="680">
        <f t="shared" si="426"/>
        <v>0</v>
      </c>
      <c r="BH1121" s="680">
        <f t="shared" si="426"/>
        <v>0</v>
      </c>
      <c r="BI1121" s="680">
        <f t="shared" si="426"/>
        <v>0</v>
      </c>
      <c r="BJ1121" s="680">
        <f t="shared" si="426"/>
        <v>0</v>
      </c>
      <c r="BK1121" s="680">
        <f t="shared" si="426"/>
        <v>0</v>
      </c>
      <c r="BL1121" s="680">
        <f t="shared" si="426"/>
        <v>0</v>
      </c>
      <c r="BM1121" s="680">
        <f t="shared" si="426"/>
        <v>0</v>
      </c>
      <c r="BN1121" s="680">
        <f t="shared" si="426"/>
        <v>0</v>
      </c>
      <c r="BO1121" s="680">
        <f t="shared" si="426"/>
        <v>0</v>
      </c>
      <c r="BP1121" s="680">
        <f t="shared" ref="BP1121:CA1121" si="428">SUM(BP1117:BP1120)</f>
        <v>0</v>
      </c>
      <c r="BQ1121" s="680">
        <f t="shared" si="428"/>
        <v>0</v>
      </c>
      <c r="BR1121" s="680">
        <f t="shared" si="428"/>
        <v>0</v>
      </c>
      <c r="BS1121" s="680">
        <f t="shared" si="428"/>
        <v>0</v>
      </c>
      <c r="BT1121" s="680">
        <f t="shared" si="428"/>
        <v>0</v>
      </c>
      <c r="BU1121" s="680">
        <f t="shared" si="428"/>
        <v>0</v>
      </c>
      <c r="BV1121" s="680">
        <f t="shared" si="428"/>
        <v>0</v>
      </c>
      <c r="BW1121" s="680">
        <f t="shared" si="428"/>
        <v>0</v>
      </c>
      <c r="BX1121" s="680">
        <f t="shared" si="428"/>
        <v>0</v>
      </c>
      <c r="BY1121" s="680">
        <f t="shared" si="428"/>
        <v>0</v>
      </c>
      <c r="BZ1121" s="680">
        <f t="shared" si="428"/>
        <v>0</v>
      </c>
      <c r="CA1121" s="680">
        <f t="shared" si="428"/>
        <v>0</v>
      </c>
    </row>
    <row r="1122" spans="1:79" s="452" customFormat="1" hidden="1" outlineLevel="1" x14ac:dyDescent="0.35">
      <c r="A1122" s="575"/>
      <c r="B1122" s="575"/>
      <c r="C1122" s="575"/>
      <c r="D1122" s="575"/>
      <c r="E1122" s="575"/>
      <c r="F1122" s="674" t="s">
        <v>652</v>
      </c>
      <c r="G1122" s="735"/>
      <c r="H1122" s="735"/>
      <c r="I1122" s="735"/>
      <c r="J1122" s="735"/>
      <c r="K1122" s="735"/>
      <c r="L1122" s="735"/>
      <c r="M1122" s="735"/>
      <c r="N1122" s="735"/>
      <c r="O1122" s="735"/>
      <c r="P1122" s="732"/>
      <c r="Q1122" s="732"/>
      <c r="R1122" s="732"/>
      <c r="S1122" s="704">
        <v>0</v>
      </c>
      <c r="T1122" s="704">
        <v>0</v>
      </c>
      <c r="U1122" s="704">
        <v>0</v>
      </c>
      <c r="V1122" s="704">
        <v>0</v>
      </c>
      <c r="W1122" s="704">
        <v>0</v>
      </c>
      <c r="X1122" s="704">
        <v>44</v>
      </c>
      <c r="Y1122" s="704">
        <v>0</v>
      </c>
      <c r="Z1122" s="704">
        <v>0</v>
      </c>
      <c r="AA1122" s="704">
        <v>0</v>
      </c>
      <c r="AB1122" s="704">
        <v>0</v>
      </c>
      <c r="AC1122" s="704">
        <v>0</v>
      </c>
      <c r="AD1122" s="704">
        <v>0</v>
      </c>
      <c r="AE1122" s="732"/>
      <c r="AF1122" s="732"/>
      <c r="AG1122" s="732"/>
      <c r="AH1122" s="732"/>
      <c r="AI1122" s="732"/>
      <c r="AJ1122" s="732"/>
      <c r="AK1122" s="732"/>
      <c r="AL1122" s="732"/>
      <c r="AM1122" s="732"/>
      <c r="AN1122" s="732"/>
      <c r="AO1122" s="732"/>
      <c r="AP1122" s="732"/>
      <c r="AQ1122" s="732"/>
      <c r="AR1122" s="732"/>
      <c r="AS1122" s="732"/>
      <c r="AT1122" s="732"/>
      <c r="AU1122" s="732"/>
      <c r="AV1122" s="732"/>
      <c r="AW1122" s="732"/>
      <c r="AX1122" s="732"/>
      <c r="AY1122" s="732"/>
      <c r="AZ1122" s="732"/>
      <c r="BA1122" s="732"/>
      <c r="BB1122" s="732"/>
      <c r="BC1122" s="732"/>
      <c r="BD1122" s="732"/>
      <c r="BE1122" s="732"/>
      <c r="BF1122" s="732"/>
      <c r="BG1122" s="732"/>
      <c r="BH1122" s="732"/>
      <c r="BI1122" s="732"/>
      <c r="BJ1122" s="732"/>
      <c r="BK1122" s="732"/>
      <c r="BL1122" s="732"/>
      <c r="BM1122" s="732"/>
      <c r="BN1122" s="732"/>
      <c r="BO1122" s="732"/>
      <c r="BP1122" s="732"/>
      <c r="BQ1122" s="732"/>
      <c r="BR1122" s="732"/>
      <c r="BS1122" s="732"/>
      <c r="BT1122" s="732"/>
      <c r="BU1122" s="732"/>
      <c r="BV1122" s="732"/>
      <c r="BW1122" s="732"/>
      <c r="BX1122" s="732"/>
      <c r="BY1122" s="732"/>
      <c r="BZ1122" s="732"/>
      <c r="CA1122" s="732"/>
    </row>
    <row r="1123" spans="1:79" s="452" customFormat="1" hidden="1" outlineLevel="1" x14ac:dyDescent="0.35">
      <c r="A1123" s="30"/>
      <c r="B1123" s="30"/>
      <c r="C1123" s="30"/>
      <c r="D1123" s="30"/>
      <c r="E1123" s="30"/>
      <c r="F1123" s="674" t="s">
        <v>603</v>
      </c>
      <c r="G1123" s="735"/>
      <c r="H1123" s="735"/>
      <c r="I1123" s="735"/>
      <c r="J1123" s="735"/>
      <c r="K1123" s="735"/>
      <c r="L1123" s="735"/>
      <c r="M1123" s="735"/>
      <c r="N1123" s="735"/>
      <c r="O1123" s="735"/>
      <c r="P1123" s="732"/>
      <c r="Q1123" s="732"/>
      <c r="R1123" s="732"/>
      <c r="S1123" s="683">
        <v>0</v>
      </c>
      <c r="T1123" s="683">
        <v>0</v>
      </c>
      <c r="U1123" s="683">
        <v>0</v>
      </c>
      <c r="V1123" s="683">
        <v>-380.8</v>
      </c>
      <c r="W1123" s="683">
        <v>0</v>
      </c>
      <c r="X1123" s="683">
        <v>0</v>
      </c>
      <c r="Y1123" s="683">
        <v>0</v>
      </c>
      <c r="Z1123" s="683">
        <v>0</v>
      </c>
      <c r="AA1123" s="683">
        <v>0</v>
      </c>
      <c r="AB1123" s="683">
        <v>0</v>
      </c>
      <c r="AC1123" s="683">
        <v>0</v>
      </c>
      <c r="AD1123" s="683">
        <v>0</v>
      </c>
      <c r="AE1123" s="732"/>
      <c r="AF1123" s="732"/>
      <c r="AG1123" s="732"/>
      <c r="AH1123" s="732"/>
      <c r="AI1123" s="732"/>
      <c r="AJ1123" s="732"/>
      <c r="AK1123" s="732"/>
      <c r="AL1123" s="732"/>
      <c r="AM1123" s="732"/>
      <c r="AN1123" s="732"/>
      <c r="AO1123" s="732"/>
      <c r="AP1123" s="732"/>
      <c r="AQ1123" s="732"/>
      <c r="AR1123" s="732"/>
      <c r="AS1123" s="732"/>
      <c r="AT1123" s="732"/>
      <c r="AU1123" s="732"/>
      <c r="AV1123" s="732"/>
      <c r="AW1123" s="732"/>
      <c r="AX1123" s="732"/>
      <c r="AY1123" s="732"/>
      <c r="AZ1123" s="732"/>
      <c r="BA1123" s="732"/>
      <c r="BB1123" s="732"/>
      <c r="BC1123" s="732"/>
      <c r="BD1123" s="732"/>
      <c r="BE1123" s="732"/>
      <c r="BF1123" s="732"/>
      <c r="BG1123" s="732"/>
      <c r="BH1123" s="732"/>
      <c r="BI1123" s="732"/>
      <c r="BJ1123" s="732"/>
      <c r="BK1123" s="732"/>
      <c r="BL1123" s="732"/>
      <c r="BM1123" s="732"/>
      <c r="BN1123" s="732"/>
      <c r="BO1123" s="732"/>
      <c r="BP1123" s="732"/>
      <c r="BQ1123" s="732"/>
      <c r="BR1123" s="732"/>
      <c r="BS1123" s="732"/>
      <c r="BT1123" s="732"/>
      <c r="BU1123" s="732"/>
      <c r="BV1123" s="732"/>
      <c r="BW1123" s="732"/>
      <c r="BX1123" s="732"/>
      <c r="BY1123" s="732"/>
      <c r="BZ1123" s="732"/>
      <c r="CA1123" s="732"/>
    </row>
    <row r="1124" spans="1:79" s="754" customFormat="1" hidden="1" outlineLevel="1" x14ac:dyDescent="0.35">
      <c r="A1124" s="726"/>
      <c r="B1124" s="726"/>
      <c r="C1124" s="726"/>
      <c r="D1124" s="726"/>
      <c r="E1124" s="726"/>
      <c r="F1124" s="707" t="s">
        <v>677</v>
      </c>
      <c r="G1124" s="750"/>
      <c r="H1124" s="750"/>
      <c r="I1124" s="750"/>
      <c r="J1124" s="750"/>
      <c r="K1124" s="750"/>
      <c r="L1124" s="750"/>
      <c r="M1124" s="750"/>
      <c r="N1124" s="750"/>
      <c r="O1124" s="750"/>
      <c r="P1124" s="751"/>
      <c r="Q1124" s="751"/>
      <c r="R1124" s="751"/>
      <c r="S1124" s="720"/>
      <c r="T1124" s="720"/>
      <c r="U1124" s="720"/>
      <c r="V1124" s="720"/>
      <c r="W1124" s="720"/>
      <c r="X1124" s="720"/>
      <c r="Y1124" s="720"/>
      <c r="Z1124" s="720"/>
      <c r="AA1124" s="720"/>
      <c r="AB1124" s="720"/>
      <c r="AC1124" s="720"/>
      <c r="AD1124" s="720"/>
      <c r="AE1124" s="751"/>
      <c r="AF1124" s="751"/>
      <c r="AG1124" s="751"/>
      <c r="AH1124" s="751"/>
      <c r="AI1124" s="751"/>
      <c r="AJ1124" s="751"/>
      <c r="AK1124" s="751"/>
      <c r="AL1124" s="751"/>
      <c r="AM1124" s="751"/>
      <c r="AN1124" s="751"/>
      <c r="AO1124" s="751"/>
      <c r="AP1124" s="751"/>
      <c r="AQ1124" s="751"/>
      <c r="AR1124" s="751"/>
      <c r="AS1124" s="751"/>
      <c r="AT1124" s="751"/>
      <c r="AU1124" s="751"/>
      <c r="AV1124" s="751"/>
      <c r="AW1124" s="751"/>
      <c r="AX1124" s="751"/>
      <c r="AY1124" s="751"/>
      <c r="AZ1124" s="751"/>
      <c r="BA1124" s="751"/>
      <c r="BB1124" s="751"/>
      <c r="BC1124" s="751"/>
      <c r="BD1124" s="751"/>
      <c r="BE1124" s="751"/>
      <c r="BF1124" s="751"/>
      <c r="BG1124" s="751"/>
      <c r="BH1124" s="751"/>
      <c r="BI1124" s="751"/>
      <c r="BJ1124" s="751"/>
      <c r="BK1124" s="751"/>
      <c r="BL1124" s="751"/>
      <c r="BM1124" s="751"/>
      <c r="BN1124" s="751"/>
      <c r="BO1124" s="751"/>
      <c r="BP1124" s="751"/>
      <c r="BQ1124" s="751"/>
      <c r="BR1124" s="751"/>
      <c r="BS1124" s="751"/>
      <c r="BT1124" s="751"/>
      <c r="BU1124" s="751"/>
      <c r="BV1124" s="751"/>
      <c r="BW1124" s="751"/>
      <c r="BX1124" s="751"/>
      <c r="BY1124" s="751"/>
      <c r="BZ1124" s="751"/>
      <c r="CA1124" s="751"/>
    </row>
    <row r="1125" spans="1:79" s="452" customFormat="1" hidden="1" outlineLevel="1" x14ac:dyDescent="0.35">
      <c r="A1125" s="575"/>
      <c r="B1125" s="575"/>
      <c r="C1125" s="575"/>
      <c r="D1125" s="575"/>
      <c r="E1125" s="575"/>
      <c r="F1125" s="672" t="s">
        <v>900</v>
      </c>
      <c r="G1125" s="735"/>
      <c r="H1125" s="735"/>
      <c r="I1125" s="735"/>
      <c r="J1125" s="735"/>
      <c r="K1125" s="735"/>
      <c r="L1125" s="735"/>
      <c r="M1125" s="735"/>
      <c r="N1125" s="735"/>
      <c r="O1125" s="735"/>
      <c r="P1125" s="732"/>
      <c r="Q1125" s="732"/>
      <c r="R1125" s="732"/>
      <c r="S1125" s="683">
        <v>0</v>
      </c>
      <c r="T1125" s="683">
        <v>0</v>
      </c>
      <c r="U1125" s="683">
        <v>0</v>
      </c>
      <c r="V1125" s="683">
        <v>0</v>
      </c>
      <c r="W1125" s="683">
        <v>0</v>
      </c>
      <c r="X1125" s="683">
        <v>0</v>
      </c>
      <c r="Y1125" s="683">
        <v>0</v>
      </c>
      <c r="Z1125" s="683">
        <v>0</v>
      </c>
      <c r="AA1125" s="683">
        <v>0</v>
      </c>
      <c r="AB1125" s="683">
        <v>0</v>
      </c>
      <c r="AC1125" s="683">
        <v>0</v>
      </c>
      <c r="AD1125" s="683">
        <v>0</v>
      </c>
      <c r="AE1125" s="732"/>
      <c r="AF1125" s="732"/>
      <c r="AG1125" s="732"/>
      <c r="AH1125" s="732"/>
      <c r="AI1125" s="732"/>
      <c r="AJ1125" s="732"/>
      <c r="AK1125" s="732"/>
      <c r="AL1125" s="732"/>
      <c r="AM1125" s="732"/>
      <c r="AN1125" s="732"/>
      <c r="AO1125" s="732"/>
      <c r="AP1125" s="732"/>
      <c r="AQ1125" s="732"/>
      <c r="AR1125" s="732"/>
      <c r="AS1125" s="732"/>
      <c r="AT1125" s="732"/>
      <c r="AU1125" s="732"/>
      <c r="AV1125" s="732"/>
      <c r="AW1125" s="732"/>
      <c r="AX1125" s="732"/>
      <c r="AY1125" s="732"/>
      <c r="AZ1125" s="732"/>
      <c r="BA1125" s="732"/>
      <c r="BB1125" s="732"/>
      <c r="BC1125" s="732"/>
      <c r="BD1125" s="732"/>
      <c r="BE1125" s="732"/>
      <c r="BF1125" s="732"/>
      <c r="BG1125" s="732"/>
      <c r="BH1125" s="732"/>
      <c r="BI1125" s="732"/>
      <c r="BJ1125" s="732"/>
      <c r="BK1125" s="732"/>
      <c r="BL1125" s="732"/>
      <c r="BM1125" s="732"/>
      <c r="BN1125" s="732"/>
      <c r="BO1125" s="732"/>
      <c r="BP1125" s="732"/>
      <c r="BQ1125" s="732"/>
      <c r="BR1125" s="732"/>
      <c r="BS1125" s="732"/>
      <c r="BT1125" s="732"/>
      <c r="BU1125" s="732"/>
      <c r="BV1125" s="732"/>
      <c r="BW1125" s="732"/>
      <c r="BX1125" s="732"/>
      <c r="BY1125" s="732"/>
      <c r="BZ1125" s="732"/>
      <c r="CA1125" s="732"/>
    </row>
    <row r="1126" spans="1:79" s="452" customFormat="1" hidden="1" outlineLevel="1" x14ac:dyDescent="0.35">
      <c r="A1126" s="575"/>
      <c r="B1126" s="575"/>
      <c r="C1126" s="575"/>
      <c r="D1126" s="575"/>
      <c r="E1126" s="575"/>
      <c r="F1126" s="672" t="s">
        <v>678</v>
      </c>
      <c r="G1126" s="735"/>
      <c r="H1126" s="735"/>
      <c r="I1126" s="735"/>
      <c r="J1126" s="735"/>
      <c r="K1126" s="735"/>
      <c r="L1126" s="735"/>
      <c r="M1126" s="735"/>
      <c r="N1126" s="735"/>
      <c r="O1126" s="735"/>
      <c r="P1126" s="732"/>
      <c r="Q1126" s="732"/>
      <c r="R1126" s="732"/>
      <c r="S1126" s="683">
        <v>0</v>
      </c>
      <c r="T1126" s="683">
        <v>0</v>
      </c>
      <c r="U1126" s="683">
        <v>0</v>
      </c>
      <c r="V1126" s="683">
        <v>0</v>
      </c>
      <c r="W1126" s="683">
        <v>0</v>
      </c>
      <c r="X1126" s="683">
        <v>0</v>
      </c>
      <c r="Y1126" s="683">
        <v>0</v>
      </c>
      <c r="Z1126" s="683">
        <v>0</v>
      </c>
      <c r="AA1126" s="683">
        <v>0</v>
      </c>
      <c r="AB1126" s="683">
        <v>0</v>
      </c>
      <c r="AC1126" s="683">
        <v>0</v>
      </c>
      <c r="AD1126" s="683">
        <v>0</v>
      </c>
      <c r="AE1126" s="732"/>
      <c r="AF1126" s="732"/>
      <c r="AG1126" s="732"/>
      <c r="AH1126" s="732"/>
      <c r="AI1126" s="732"/>
      <c r="AJ1126" s="732"/>
      <c r="AK1126" s="732"/>
      <c r="AL1126" s="732"/>
      <c r="AM1126" s="732"/>
      <c r="AN1126" s="732"/>
      <c r="AO1126" s="732"/>
      <c r="AP1126" s="732"/>
      <c r="AQ1126" s="732"/>
      <c r="AR1126" s="732"/>
      <c r="AS1126" s="732"/>
      <c r="AT1126" s="732"/>
      <c r="AU1126" s="732"/>
      <c r="AV1126" s="732"/>
      <c r="AW1126" s="732"/>
      <c r="AX1126" s="732"/>
      <c r="AY1126" s="732"/>
      <c r="AZ1126" s="732"/>
      <c r="BA1126" s="732"/>
      <c r="BB1126" s="732"/>
      <c r="BC1126" s="732"/>
      <c r="BD1126" s="732"/>
      <c r="BE1126" s="732"/>
      <c r="BF1126" s="732"/>
      <c r="BG1126" s="732"/>
      <c r="BH1126" s="732"/>
      <c r="BI1126" s="732"/>
      <c r="BJ1126" s="732"/>
      <c r="BK1126" s="732"/>
      <c r="BL1126" s="732"/>
      <c r="BM1126" s="732"/>
      <c r="BN1126" s="732"/>
      <c r="BO1126" s="732"/>
      <c r="BP1126" s="732"/>
      <c r="BQ1126" s="732"/>
      <c r="BR1126" s="732"/>
      <c r="BS1126" s="732"/>
      <c r="BT1126" s="732"/>
      <c r="BU1126" s="732"/>
      <c r="BV1126" s="732"/>
      <c r="BW1126" s="732"/>
      <c r="BX1126" s="732"/>
      <c r="BY1126" s="732"/>
      <c r="BZ1126" s="732"/>
      <c r="CA1126" s="732"/>
    </row>
    <row r="1127" spans="1:79" s="452" customFormat="1" hidden="1" outlineLevel="1" x14ac:dyDescent="0.35">
      <c r="A1127" s="575"/>
      <c r="B1127" s="575"/>
      <c r="C1127" s="575"/>
      <c r="D1127" s="575"/>
      <c r="E1127" s="575"/>
      <c r="F1127" s="672" t="s">
        <v>901</v>
      </c>
      <c r="G1127" s="735"/>
      <c r="H1127" s="735"/>
      <c r="I1127" s="735"/>
      <c r="J1127" s="735"/>
      <c r="K1127" s="735"/>
      <c r="L1127" s="735"/>
      <c r="M1127" s="735"/>
      <c r="N1127" s="735"/>
      <c r="O1127" s="735"/>
      <c r="P1127" s="732"/>
      <c r="Q1127" s="732"/>
      <c r="R1127" s="732"/>
      <c r="S1127" s="683">
        <v>0</v>
      </c>
      <c r="T1127" s="683">
        <v>0</v>
      </c>
      <c r="U1127" s="683">
        <v>0</v>
      </c>
      <c r="V1127" s="683">
        <v>0</v>
      </c>
      <c r="W1127" s="683">
        <v>0</v>
      </c>
      <c r="X1127" s="683">
        <v>0</v>
      </c>
      <c r="Y1127" s="683">
        <v>0</v>
      </c>
      <c r="Z1127" s="683">
        <v>0</v>
      </c>
      <c r="AA1127" s="683">
        <v>0</v>
      </c>
      <c r="AB1127" s="683">
        <v>0</v>
      </c>
      <c r="AC1127" s="683">
        <v>0</v>
      </c>
      <c r="AD1127" s="683">
        <v>0</v>
      </c>
      <c r="AE1127" s="732"/>
      <c r="AF1127" s="732"/>
      <c r="AG1127" s="732"/>
      <c r="AH1127" s="732"/>
      <c r="AI1127" s="732"/>
      <c r="AJ1127" s="732"/>
      <c r="AK1127" s="732"/>
      <c r="AL1127" s="732"/>
      <c r="AM1127" s="732"/>
      <c r="AN1127" s="732"/>
      <c r="AO1127" s="732"/>
      <c r="AP1127" s="732"/>
      <c r="AQ1127" s="732"/>
      <c r="AR1127" s="732"/>
      <c r="AS1127" s="732"/>
      <c r="AT1127" s="732"/>
      <c r="AU1127" s="732"/>
      <c r="AV1127" s="732"/>
      <c r="AW1127" s="732"/>
      <c r="AX1127" s="732"/>
      <c r="AY1127" s="732"/>
      <c r="AZ1127" s="732"/>
      <c r="BA1127" s="732"/>
      <c r="BB1127" s="732"/>
      <c r="BC1127" s="732"/>
      <c r="BD1127" s="732"/>
      <c r="BE1127" s="732"/>
      <c r="BF1127" s="732"/>
      <c r="BG1127" s="732"/>
      <c r="BH1127" s="732"/>
      <c r="BI1127" s="732"/>
      <c r="BJ1127" s="732"/>
      <c r="BK1127" s="732"/>
      <c r="BL1127" s="732"/>
      <c r="BM1127" s="732"/>
      <c r="BN1127" s="732"/>
      <c r="BO1127" s="732"/>
      <c r="BP1127" s="732"/>
      <c r="BQ1127" s="732"/>
      <c r="BR1127" s="732"/>
      <c r="BS1127" s="732"/>
      <c r="BT1127" s="732"/>
      <c r="BU1127" s="732"/>
      <c r="BV1127" s="732"/>
      <c r="BW1127" s="732"/>
      <c r="BX1127" s="732"/>
      <c r="BY1127" s="732"/>
      <c r="BZ1127" s="732"/>
      <c r="CA1127" s="732"/>
    </row>
    <row r="1128" spans="1:79" s="452" customFormat="1" hidden="1" outlineLevel="1" x14ac:dyDescent="0.35">
      <c r="A1128" s="575"/>
      <c r="B1128" s="575"/>
      <c r="C1128" s="575"/>
      <c r="D1128" s="575"/>
      <c r="E1128" s="575"/>
      <c r="F1128" s="672" t="s">
        <v>771</v>
      </c>
      <c r="G1128" s="735"/>
      <c r="H1128" s="735"/>
      <c r="I1128" s="735"/>
      <c r="J1128" s="735"/>
      <c r="K1128" s="735"/>
      <c r="L1128" s="735"/>
      <c r="M1128" s="735"/>
      <c r="N1128" s="735"/>
      <c r="O1128" s="735"/>
      <c r="P1128" s="732"/>
      <c r="Q1128" s="732"/>
      <c r="R1128" s="732"/>
      <c r="S1128" s="683">
        <v>0</v>
      </c>
      <c r="T1128" s="683">
        <v>0</v>
      </c>
      <c r="U1128" s="683">
        <v>0</v>
      </c>
      <c r="V1128" s="683">
        <v>0</v>
      </c>
      <c r="W1128" s="683">
        <v>0</v>
      </c>
      <c r="X1128" s="683">
        <v>0</v>
      </c>
      <c r="Y1128" s="683">
        <v>0</v>
      </c>
      <c r="Z1128" s="683">
        <v>0</v>
      </c>
      <c r="AA1128" s="683">
        <v>0</v>
      </c>
      <c r="AB1128" s="683">
        <v>0</v>
      </c>
      <c r="AC1128" s="683">
        <v>0</v>
      </c>
      <c r="AD1128" s="683">
        <v>0</v>
      </c>
      <c r="AE1128" s="732"/>
      <c r="AF1128" s="732"/>
      <c r="AG1128" s="732"/>
      <c r="AH1128" s="732"/>
      <c r="AI1128" s="732"/>
      <c r="AJ1128" s="732"/>
      <c r="AK1128" s="732"/>
      <c r="AL1128" s="732"/>
      <c r="AM1128" s="732"/>
      <c r="AN1128" s="732"/>
      <c r="AO1128" s="732"/>
      <c r="AP1128" s="732"/>
      <c r="AQ1128" s="732"/>
      <c r="AR1128" s="732"/>
      <c r="AS1128" s="732"/>
      <c r="AT1128" s="732"/>
      <c r="AU1128" s="732"/>
      <c r="AV1128" s="732"/>
      <c r="AW1128" s="732"/>
      <c r="AX1128" s="732"/>
      <c r="AY1128" s="732"/>
      <c r="AZ1128" s="732"/>
      <c r="BA1128" s="732"/>
      <c r="BB1128" s="732"/>
      <c r="BC1128" s="732"/>
      <c r="BD1128" s="732"/>
      <c r="BE1128" s="732"/>
      <c r="BF1128" s="732"/>
      <c r="BG1128" s="732"/>
      <c r="BH1128" s="732"/>
      <c r="BI1128" s="732"/>
      <c r="BJ1128" s="732"/>
      <c r="BK1128" s="732"/>
      <c r="BL1128" s="732"/>
      <c r="BM1128" s="732"/>
      <c r="BN1128" s="732"/>
      <c r="BO1128" s="732"/>
      <c r="BP1128" s="732"/>
      <c r="BQ1128" s="732"/>
      <c r="BR1128" s="732"/>
      <c r="BS1128" s="732"/>
      <c r="BT1128" s="732"/>
      <c r="BU1128" s="732"/>
      <c r="BV1128" s="732"/>
      <c r="BW1128" s="732"/>
      <c r="BX1128" s="732"/>
      <c r="BY1128" s="732"/>
      <c r="BZ1128" s="732"/>
      <c r="CA1128" s="732"/>
    </row>
    <row r="1129" spans="1:79" s="452" customFormat="1" hidden="1" outlineLevel="1" x14ac:dyDescent="0.35">
      <c r="A1129" s="575"/>
      <c r="B1129" s="575"/>
      <c r="C1129" s="575"/>
      <c r="D1129" s="575"/>
      <c r="E1129" s="575"/>
      <c r="F1129" s="673" t="s">
        <v>679</v>
      </c>
      <c r="G1129" s="680">
        <f>SUM(G1125:G1128)</f>
        <v>0</v>
      </c>
      <c r="H1129" s="680">
        <f t="shared" ref="H1129:BO1129" si="429">SUM(H1125:H1128)</f>
        <v>0</v>
      </c>
      <c r="I1129" s="680">
        <f t="shared" si="429"/>
        <v>0</v>
      </c>
      <c r="J1129" s="680">
        <f t="shared" si="429"/>
        <v>0</v>
      </c>
      <c r="K1129" s="680">
        <f t="shared" si="429"/>
        <v>0</v>
      </c>
      <c r="L1129" s="680">
        <f t="shared" si="429"/>
        <v>0</v>
      </c>
      <c r="M1129" s="680">
        <f t="shared" si="429"/>
        <v>0</v>
      </c>
      <c r="N1129" s="680">
        <f t="shared" si="429"/>
        <v>0</v>
      </c>
      <c r="O1129" s="680">
        <f t="shared" si="429"/>
        <v>0</v>
      </c>
      <c r="P1129" s="680">
        <f t="shared" si="429"/>
        <v>0</v>
      </c>
      <c r="Q1129" s="680">
        <f t="shared" si="429"/>
        <v>0</v>
      </c>
      <c r="R1129" s="680">
        <f t="shared" si="429"/>
        <v>0</v>
      </c>
      <c r="S1129" s="694">
        <f t="shared" ref="S1129:AA1129" si="430">ROUND(SUM(S1124:S1128),5)</f>
        <v>0</v>
      </c>
      <c r="T1129" s="694">
        <f t="shared" si="430"/>
        <v>0</v>
      </c>
      <c r="U1129" s="694">
        <f t="shared" si="430"/>
        <v>0</v>
      </c>
      <c r="V1129" s="694">
        <f t="shared" si="430"/>
        <v>0</v>
      </c>
      <c r="W1129" s="694">
        <f t="shared" si="430"/>
        <v>0</v>
      </c>
      <c r="X1129" s="694">
        <f t="shared" si="430"/>
        <v>0</v>
      </c>
      <c r="Y1129" s="694">
        <f t="shared" si="430"/>
        <v>0</v>
      </c>
      <c r="Z1129" s="694">
        <f t="shared" si="430"/>
        <v>0</v>
      </c>
      <c r="AA1129" s="694">
        <f t="shared" si="430"/>
        <v>0</v>
      </c>
      <c r="AB1129" s="694">
        <f>ROUND(SUM(AB1124:AB1128),5)</f>
        <v>0</v>
      </c>
      <c r="AC1129" s="694">
        <f>ROUND(SUM(AC1124:AC1128),5)</f>
        <v>0</v>
      </c>
      <c r="AD1129" s="694">
        <f>ROUND(SUM(AD1124:AD1128),5)</f>
        <v>0</v>
      </c>
      <c r="AE1129" s="680">
        <f t="shared" si="429"/>
        <v>0</v>
      </c>
      <c r="AF1129" s="680">
        <f t="shared" si="429"/>
        <v>0</v>
      </c>
      <c r="AG1129" s="680">
        <f t="shared" si="429"/>
        <v>0</v>
      </c>
      <c r="AH1129" s="680">
        <f t="shared" si="429"/>
        <v>0</v>
      </c>
      <c r="AI1129" s="680">
        <f t="shared" si="429"/>
        <v>0</v>
      </c>
      <c r="AJ1129" s="680">
        <f t="shared" si="429"/>
        <v>0</v>
      </c>
      <c r="AK1129" s="680">
        <f t="shared" si="429"/>
        <v>0</v>
      </c>
      <c r="AL1129" s="680">
        <f t="shared" si="429"/>
        <v>0</v>
      </c>
      <c r="AM1129" s="680">
        <f t="shared" si="429"/>
        <v>0</v>
      </c>
      <c r="AN1129" s="680">
        <f t="shared" si="429"/>
        <v>0</v>
      </c>
      <c r="AO1129" s="680">
        <f t="shared" si="429"/>
        <v>0</v>
      </c>
      <c r="AP1129" s="680">
        <f t="shared" si="429"/>
        <v>0</v>
      </c>
      <c r="AQ1129" s="680">
        <f t="shared" si="429"/>
        <v>0</v>
      </c>
      <c r="AR1129" s="680">
        <f t="shared" si="429"/>
        <v>0</v>
      </c>
      <c r="AS1129" s="680">
        <f t="shared" si="429"/>
        <v>0</v>
      </c>
      <c r="AT1129" s="680">
        <f t="shared" si="429"/>
        <v>0</v>
      </c>
      <c r="AU1129" s="680">
        <f t="shared" si="429"/>
        <v>0</v>
      </c>
      <c r="AV1129" s="680">
        <f t="shared" si="429"/>
        <v>0</v>
      </c>
      <c r="AW1129" s="680">
        <f t="shared" si="429"/>
        <v>0</v>
      </c>
      <c r="AX1129" s="680">
        <f t="shared" si="429"/>
        <v>0</v>
      </c>
      <c r="AY1129" s="680">
        <f t="shared" si="429"/>
        <v>0</v>
      </c>
      <c r="AZ1129" s="680">
        <f t="shared" si="429"/>
        <v>0</v>
      </c>
      <c r="BA1129" s="680">
        <f t="shared" si="429"/>
        <v>0</v>
      </c>
      <c r="BB1129" s="680">
        <f t="shared" si="429"/>
        <v>0</v>
      </c>
      <c r="BC1129" s="680">
        <f t="shared" si="429"/>
        <v>0</v>
      </c>
      <c r="BD1129" s="680">
        <f t="shared" si="429"/>
        <v>0</v>
      </c>
      <c r="BE1129" s="680">
        <f t="shared" si="429"/>
        <v>0</v>
      </c>
      <c r="BF1129" s="680">
        <f t="shared" si="429"/>
        <v>0</v>
      </c>
      <c r="BG1129" s="680">
        <f t="shared" si="429"/>
        <v>0</v>
      </c>
      <c r="BH1129" s="680">
        <f t="shared" si="429"/>
        <v>0</v>
      </c>
      <c r="BI1129" s="680">
        <f t="shared" si="429"/>
        <v>0</v>
      </c>
      <c r="BJ1129" s="680">
        <f t="shared" si="429"/>
        <v>0</v>
      </c>
      <c r="BK1129" s="680">
        <f t="shared" si="429"/>
        <v>0</v>
      </c>
      <c r="BL1129" s="680">
        <f t="shared" si="429"/>
        <v>0</v>
      </c>
      <c r="BM1129" s="680">
        <f t="shared" si="429"/>
        <v>0</v>
      </c>
      <c r="BN1129" s="680">
        <f t="shared" si="429"/>
        <v>0</v>
      </c>
      <c r="BO1129" s="680">
        <f t="shared" si="429"/>
        <v>0</v>
      </c>
      <c r="BP1129" s="680">
        <f t="shared" ref="BP1129:CA1129" si="431">SUM(BP1125:BP1128)</f>
        <v>0</v>
      </c>
      <c r="BQ1129" s="680">
        <f t="shared" si="431"/>
        <v>0</v>
      </c>
      <c r="BR1129" s="680">
        <f t="shared" si="431"/>
        <v>0</v>
      </c>
      <c r="BS1129" s="680">
        <f t="shared" si="431"/>
        <v>0</v>
      </c>
      <c r="BT1129" s="680">
        <f t="shared" si="431"/>
        <v>0</v>
      </c>
      <c r="BU1129" s="680">
        <f t="shared" si="431"/>
        <v>0</v>
      </c>
      <c r="BV1129" s="680">
        <f t="shared" si="431"/>
        <v>0</v>
      </c>
      <c r="BW1129" s="680">
        <f t="shared" si="431"/>
        <v>0</v>
      </c>
      <c r="BX1129" s="680">
        <f t="shared" si="431"/>
        <v>0</v>
      </c>
      <c r="BY1129" s="680">
        <f t="shared" si="431"/>
        <v>0</v>
      </c>
      <c r="BZ1129" s="680">
        <f t="shared" si="431"/>
        <v>0</v>
      </c>
      <c r="CA1129" s="680">
        <f t="shared" si="431"/>
        <v>0</v>
      </c>
    </row>
    <row r="1130" spans="1:79" s="452" customFormat="1" hidden="1" outlineLevel="1" x14ac:dyDescent="0.35">
      <c r="A1130" s="575"/>
      <c r="B1130" s="575"/>
      <c r="C1130" s="575"/>
      <c r="D1130" s="575"/>
      <c r="E1130" s="575"/>
      <c r="F1130" s="674" t="s">
        <v>604</v>
      </c>
      <c r="G1130" s="735"/>
      <c r="H1130" s="735"/>
      <c r="I1130" s="735"/>
      <c r="J1130" s="735"/>
      <c r="K1130" s="735"/>
      <c r="L1130" s="735"/>
      <c r="M1130" s="735"/>
      <c r="N1130" s="735"/>
      <c r="O1130" s="735"/>
      <c r="P1130" s="732"/>
      <c r="Q1130" s="732"/>
      <c r="R1130" s="732"/>
      <c r="S1130" s="683">
        <v>0</v>
      </c>
      <c r="T1130" s="683">
        <v>0</v>
      </c>
      <c r="U1130" s="683">
        <v>0</v>
      </c>
      <c r="V1130" s="683">
        <v>0</v>
      </c>
      <c r="W1130" s="683">
        <v>0</v>
      </c>
      <c r="X1130" s="683">
        <v>0</v>
      </c>
      <c r="Y1130" s="683">
        <v>0</v>
      </c>
      <c r="Z1130" s="683">
        <v>0</v>
      </c>
      <c r="AA1130" s="683">
        <v>0</v>
      </c>
      <c r="AB1130" s="683">
        <v>0</v>
      </c>
      <c r="AC1130" s="683">
        <v>0</v>
      </c>
      <c r="AD1130" s="683">
        <v>0</v>
      </c>
      <c r="AE1130" s="732"/>
      <c r="AF1130" s="732"/>
      <c r="AG1130" s="732"/>
      <c r="AH1130" s="732"/>
      <c r="AI1130" s="732"/>
      <c r="AJ1130" s="732"/>
      <c r="AK1130" s="732"/>
      <c r="AL1130" s="732"/>
      <c r="AM1130" s="732"/>
      <c r="AN1130" s="732"/>
      <c r="AO1130" s="732"/>
      <c r="AP1130" s="732"/>
      <c r="AQ1130" s="732"/>
      <c r="AR1130" s="732"/>
      <c r="AS1130" s="732"/>
      <c r="AT1130" s="732"/>
      <c r="AU1130" s="732"/>
      <c r="AV1130" s="732"/>
      <c r="AW1130" s="732"/>
      <c r="AX1130" s="732"/>
      <c r="AY1130" s="732"/>
      <c r="AZ1130" s="732"/>
      <c r="BA1130" s="732"/>
      <c r="BB1130" s="732"/>
      <c r="BC1130" s="732"/>
      <c r="BD1130" s="732"/>
      <c r="BE1130" s="732"/>
      <c r="BF1130" s="732"/>
      <c r="BG1130" s="732"/>
      <c r="BH1130" s="732"/>
      <c r="BI1130" s="732"/>
      <c r="BJ1130" s="732"/>
      <c r="BK1130" s="732"/>
      <c r="BL1130" s="732"/>
      <c r="BM1130" s="732"/>
      <c r="BN1130" s="732"/>
      <c r="BO1130" s="732"/>
      <c r="BP1130" s="732"/>
      <c r="BQ1130" s="732"/>
      <c r="BR1130" s="732"/>
      <c r="BS1130" s="732"/>
      <c r="BT1130" s="732"/>
      <c r="BU1130" s="732"/>
      <c r="BV1130" s="732"/>
      <c r="BW1130" s="732"/>
      <c r="BX1130" s="732"/>
      <c r="BY1130" s="732"/>
      <c r="BZ1130" s="732"/>
      <c r="CA1130" s="732"/>
    </row>
    <row r="1131" spans="1:79" s="754" customFormat="1" hidden="1" outlineLevel="1" x14ac:dyDescent="0.35">
      <c r="A1131" s="716"/>
      <c r="B1131" s="716"/>
      <c r="C1131" s="716"/>
      <c r="D1131" s="716"/>
      <c r="E1131" s="716"/>
      <c r="F1131" s="717" t="s">
        <v>605</v>
      </c>
      <c r="G1131" s="750"/>
      <c r="H1131" s="750"/>
      <c r="I1131" s="750"/>
      <c r="J1131" s="750"/>
      <c r="K1131" s="750"/>
      <c r="L1131" s="750"/>
      <c r="M1131" s="750"/>
      <c r="N1131" s="750"/>
      <c r="O1131" s="750"/>
      <c r="P1131" s="751"/>
      <c r="Q1131" s="751"/>
      <c r="R1131" s="751"/>
      <c r="S1131" s="713"/>
      <c r="T1131" s="713"/>
      <c r="U1131" s="713"/>
      <c r="V1131" s="713"/>
      <c r="W1131" s="713"/>
      <c r="X1131" s="713"/>
      <c r="Y1131" s="713"/>
      <c r="Z1131" s="713"/>
      <c r="AA1131" s="713"/>
      <c r="AB1131" s="713"/>
      <c r="AC1131" s="713"/>
      <c r="AD1131" s="713"/>
      <c r="AE1131" s="751"/>
      <c r="AF1131" s="751"/>
      <c r="AG1131" s="751"/>
      <c r="AH1131" s="751"/>
      <c r="AI1131" s="751"/>
      <c r="AJ1131" s="751"/>
      <c r="AK1131" s="751"/>
      <c r="AL1131" s="751"/>
      <c r="AM1131" s="751"/>
      <c r="AN1131" s="751"/>
      <c r="AO1131" s="751"/>
      <c r="AP1131" s="751"/>
      <c r="AQ1131" s="751"/>
      <c r="AR1131" s="751"/>
      <c r="AS1131" s="751"/>
      <c r="AT1131" s="751"/>
      <c r="AU1131" s="751"/>
      <c r="AV1131" s="751"/>
      <c r="AW1131" s="751"/>
      <c r="AX1131" s="751"/>
      <c r="AY1131" s="751"/>
      <c r="AZ1131" s="751"/>
      <c r="BA1131" s="751"/>
      <c r="BB1131" s="751"/>
      <c r="BC1131" s="751"/>
      <c r="BD1131" s="751"/>
      <c r="BE1131" s="751"/>
      <c r="BF1131" s="751"/>
      <c r="BG1131" s="751"/>
      <c r="BH1131" s="751"/>
      <c r="BI1131" s="751"/>
      <c r="BJ1131" s="751"/>
      <c r="BK1131" s="751"/>
      <c r="BL1131" s="751"/>
      <c r="BM1131" s="751"/>
      <c r="BN1131" s="751"/>
      <c r="BO1131" s="751"/>
      <c r="BP1131" s="751"/>
      <c r="BQ1131" s="751"/>
      <c r="BR1131" s="751"/>
      <c r="BS1131" s="751"/>
      <c r="BT1131" s="751"/>
      <c r="BU1131" s="751"/>
      <c r="BV1131" s="751"/>
      <c r="BW1131" s="751"/>
      <c r="BX1131" s="751"/>
      <c r="BY1131" s="751"/>
      <c r="BZ1131" s="751"/>
      <c r="CA1131" s="751"/>
    </row>
    <row r="1132" spans="1:79" s="452" customFormat="1" hidden="1" outlineLevel="1" x14ac:dyDescent="0.35">
      <c r="A1132" s="504"/>
      <c r="B1132" s="504"/>
      <c r="C1132" s="504"/>
      <c r="D1132" s="504"/>
      <c r="E1132" s="504"/>
      <c r="F1132" s="672" t="s">
        <v>902</v>
      </c>
      <c r="G1132" s="735"/>
      <c r="H1132" s="735"/>
      <c r="I1132" s="735"/>
      <c r="J1132" s="735"/>
      <c r="K1132" s="735"/>
      <c r="L1132" s="735"/>
      <c r="M1132" s="735"/>
      <c r="N1132" s="735"/>
      <c r="O1132" s="735"/>
      <c r="P1132" s="732"/>
      <c r="Q1132" s="732"/>
      <c r="R1132" s="732"/>
      <c r="S1132" s="687"/>
      <c r="T1132" s="687"/>
      <c r="U1132" s="687"/>
      <c r="V1132" s="687"/>
      <c r="W1132" s="687"/>
      <c r="X1132" s="687"/>
      <c r="Y1132" s="687"/>
      <c r="Z1132" s="687"/>
      <c r="AA1132" s="687"/>
      <c r="AB1132" s="687"/>
      <c r="AC1132" s="687"/>
      <c r="AD1132" s="687"/>
      <c r="AE1132" s="732"/>
      <c r="AF1132" s="732"/>
      <c r="AG1132" s="732"/>
      <c r="AH1132" s="732"/>
      <c r="AI1132" s="732"/>
      <c r="AJ1132" s="732"/>
      <c r="AK1132" s="732"/>
      <c r="AL1132" s="732"/>
      <c r="AM1132" s="732"/>
      <c r="AN1132" s="732"/>
      <c r="AO1132" s="732"/>
      <c r="AP1132" s="732"/>
      <c r="AQ1132" s="732"/>
      <c r="AR1132" s="732"/>
      <c r="AS1132" s="732"/>
      <c r="AT1132" s="732"/>
      <c r="AU1132" s="732"/>
      <c r="AV1132" s="732"/>
      <c r="AW1132" s="732"/>
      <c r="AX1132" s="732"/>
      <c r="AY1132" s="732"/>
      <c r="AZ1132" s="732"/>
      <c r="BA1132" s="732"/>
      <c r="BB1132" s="732"/>
      <c r="BC1132" s="732"/>
      <c r="BD1132" s="732"/>
      <c r="BE1132" s="732"/>
      <c r="BF1132" s="732"/>
      <c r="BG1132" s="732"/>
      <c r="BH1132" s="732"/>
      <c r="BI1132" s="732"/>
      <c r="BJ1132" s="732"/>
      <c r="BK1132" s="732"/>
      <c r="BL1132" s="732"/>
      <c r="BM1132" s="732"/>
      <c r="BN1132" s="732"/>
      <c r="BO1132" s="732"/>
      <c r="BP1132" s="732"/>
      <c r="BQ1132" s="732"/>
      <c r="BR1132" s="732"/>
      <c r="BS1132" s="732"/>
      <c r="BT1132" s="732"/>
      <c r="BU1132" s="732"/>
      <c r="BV1132" s="732"/>
      <c r="BW1132" s="732"/>
      <c r="BX1132" s="732"/>
      <c r="BY1132" s="732"/>
      <c r="BZ1132" s="732"/>
      <c r="CA1132" s="732"/>
    </row>
    <row r="1133" spans="1:79" s="452" customFormat="1" hidden="1" outlineLevel="1" x14ac:dyDescent="0.35">
      <c r="A1133" s="504"/>
      <c r="B1133" s="504"/>
      <c r="C1133" s="504"/>
      <c r="D1133" s="504"/>
      <c r="E1133" s="504"/>
      <c r="F1133" s="677" t="s">
        <v>903</v>
      </c>
      <c r="G1133" s="735"/>
      <c r="H1133" s="735"/>
      <c r="I1133" s="735"/>
      <c r="J1133" s="735"/>
      <c r="K1133" s="735"/>
      <c r="L1133" s="735"/>
      <c r="M1133" s="735"/>
      <c r="N1133" s="735"/>
      <c r="O1133" s="735"/>
      <c r="P1133" s="732"/>
      <c r="Q1133" s="732"/>
      <c r="R1133" s="732"/>
      <c r="S1133" s="687">
        <v>0</v>
      </c>
      <c r="T1133" s="687">
        <v>0</v>
      </c>
      <c r="U1133" s="687">
        <v>0</v>
      </c>
      <c r="V1133" s="687">
        <v>0</v>
      </c>
      <c r="W1133" s="687">
        <v>0</v>
      </c>
      <c r="X1133" s="687">
        <v>0</v>
      </c>
      <c r="Y1133" s="687">
        <v>0</v>
      </c>
      <c r="Z1133" s="687">
        <v>0</v>
      </c>
      <c r="AA1133" s="687">
        <v>0</v>
      </c>
      <c r="AB1133" s="687">
        <v>0</v>
      </c>
      <c r="AC1133" s="687">
        <v>986.61</v>
      </c>
      <c r="AD1133" s="687">
        <v>0</v>
      </c>
      <c r="AE1133" s="732"/>
      <c r="AF1133" s="732"/>
      <c r="AG1133" s="732"/>
      <c r="AH1133" s="732"/>
      <c r="AI1133" s="732"/>
      <c r="AJ1133" s="732"/>
      <c r="AK1133" s="732"/>
      <c r="AL1133" s="732"/>
      <c r="AM1133" s="732"/>
      <c r="AN1133" s="732"/>
      <c r="AO1133" s="732"/>
      <c r="AP1133" s="732"/>
      <c r="AQ1133" s="732"/>
      <c r="AR1133" s="732"/>
      <c r="AS1133" s="732"/>
      <c r="AT1133" s="732"/>
      <c r="AU1133" s="732"/>
      <c r="AV1133" s="732"/>
      <c r="AW1133" s="732"/>
      <c r="AX1133" s="732"/>
      <c r="AY1133" s="732"/>
      <c r="AZ1133" s="732"/>
      <c r="BA1133" s="732"/>
      <c r="BB1133" s="732"/>
      <c r="BC1133" s="732"/>
      <c r="BD1133" s="732"/>
      <c r="BE1133" s="732"/>
      <c r="BF1133" s="732"/>
      <c r="BG1133" s="732"/>
      <c r="BH1133" s="732"/>
      <c r="BI1133" s="732"/>
      <c r="BJ1133" s="732"/>
      <c r="BK1133" s="732"/>
      <c r="BL1133" s="732"/>
      <c r="BM1133" s="732"/>
      <c r="BN1133" s="732"/>
      <c r="BO1133" s="732"/>
      <c r="BP1133" s="732"/>
      <c r="BQ1133" s="732"/>
      <c r="BR1133" s="732"/>
      <c r="BS1133" s="732"/>
      <c r="BT1133" s="732"/>
      <c r="BU1133" s="732"/>
      <c r="BV1133" s="732"/>
      <c r="BW1133" s="732"/>
      <c r="BX1133" s="732"/>
      <c r="BY1133" s="732"/>
      <c r="BZ1133" s="732"/>
      <c r="CA1133" s="732"/>
    </row>
    <row r="1134" spans="1:79" s="452" customFormat="1" hidden="1" outlineLevel="1" x14ac:dyDescent="0.35">
      <c r="A1134" s="504"/>
      <c r="B1134" s="504"/>
      <c r="C1134" s="504"/>
      <c r="D1134" s="504"/>
      <c r="E1134" s="504"/>
      <c r="F1134" s="677" t="s">
        <v>904</v>
      </c>
      <c r="G1134" s="735"/>
      <c r="H1134" s="735"/>
      <c r="I1134" s="735"/>
      <c r="J1134" s="735"/>
      <c r="K1134" s="735"/>
      <c r="L1134" s="735"/>
      <c r="M1134" s="735"/>
      <c r="N1134" s="735"/>
      <c r="O1134" s="735"/>
      <c r="P1134" s="732"/>
      <c r="Q1134" s="732"/>
      <c r="R1134" s="732"/>
      <c r="S1134" s="687">
        <v>0</v>
      </c>
      <c r="T1134" s="687">
        <v>0</v>
      </c>
      <c r="U1134" s="687">
        <v>0</v>
      </c>
      <c r="V1134" s="687">
        <v>0</v>
      </c>
      <c r="W1134" s="687">
        <v>0</v>
      </c>
      <c r="X1134" s="687">
        <v>0</v>
      </c>
      <c r="Y1134" s="687">
        <v>0</v>
      </c>
      <c r="Z1134" s="687">
        <v>0</v>
      </c>
      <c r="AA1134" s="687">
        <v>0</v>
      </c>
      <c r="AB1134" s="687">
        <v>0</v>
      </c>
      <c r="AC1134" s="687">
        <v>0</v>
      </c>
      <c r="AD1134" s="687">
        <v>0</v>
      </c>
      <c r="AE1134" s="732"/>
      <c r="AF1134" s="732"/>
      <c r="AG1134" s="732"/>
      <c r="AH1134" s="732"/>
      <c r="AI1134" s="732"/>
      <c r="AJ1134" s="732"/>
      <c r="AK1134" s="732"/>
      <c r="AL1134" s="732"/>
      <c r="AM1134" s="732"/>
      <c r="AN1134" s="732"/>
      <c r="AO1134" s="732"/>
      <c r="AP1134" s="732"/>
      <c r="AQ1134" s="732"/>
      <c r="AR1134" s="732"/>
      <c r="AS1134" s="732"/>
      <c r="AT1134" s="732"/>
      <c r="AU1134" s="732"/>
      <c r="AV1134" s="732"/>
      <c r="AW1134" s="732"/>
      <c r="AX1134" s="732"/>
      <c r="AY1134" s="732"/>
      <c r="AZ1134" s="732"/>
      <c r="BA1134" s="732"/>
      <c r="BB1134" s="732"/>
      <c r="BC1134" s="732"/>
      <c r="BD1134" s="732"/>
      <c r="BE1134" s="732"/>
      <c r="BF1134" s="732"/>
      <c r="BG1134" s="732"/>
      <c r="BH1134" s="732"/>
      <c r="BI1134" s="732"/>
      <c r="BJ1134" s="732"/>
      <c r="BK1134" s="732"/>
      <c r="BL1134" s="732"/>
      <c r="BM1134" s="732"/>
      <c r="BN1134" s="732"/>
      <c r="BO1134" s="732"/>
      <c r="BP1134" s="732"/>
      <c r="BQ1134" s="732"/>
      <c r="BR1134" s="732"/>
      <c r="BS1134" s="732"/>
      <c r="BT1134" s="732"/>
      <c r="BU1134" s="732"/>
      <c r="BV1134" s="732"/>
      <c r="BW1134" s="732"/>
      <c r="BX1134" s="732"/>
      <c r="BY1134" s="732"/>
      <c r="BZ1134" s="732"/>
      <c r="CA1134" s="732"/>
    </row>
    <row r="1135" spans="1:79" s="452" customFormat="1" hidden="1" outlineLevel="1" x14ac:dyDescent="0.35">
      <c r="A1135" s="504"/>
      <c r="B1135" s="504"/>
      <c r="C1135" s="504"/>
      <c r="D1135" s="504"/>
      <c r="E1135" s="504"/>
      <c r="F1135" s="677" t="s">
        <v>905</v>
      </c>
      <c r="G1135" s="735"/>
      <c r="H1135" s="735"/>
      <c r="I1135" s="735"/>
      <c r="J1135" s="735"/>
      <c r="K1135" s="735"/>
      <c r="L1135" s="735"/>
      <c r="M1135" s="735"/>
      <c r="N1135" s="735"/>
      <c r="O1135" s="735"/>
      <c r="P1135" s="732"/>
      <c r="Q1135" s="732"/>
      <c r="R1135" s="732"/>
      <c r="S1135" s="687">
        <v>0</v>
      </c>
      <c r="T1135" s="687">
        <v>0</v>
      </c>
      <c r="U1135" s="687">
        <v>0</v>
      </c>
      <c r="V1135" s="687">
        <v>0</v>
      </c>
      <c r="W1135" s="687">
        <v>0</v>
      </c>
      <c r="X1135" s="687">
        <v>0</v>
      </c>
      <c r="Y1135" s="687">
        <v>0</v>
      </c>
      <c r="Z1135" s="687">
        <v>0</v>
      </c>
      <c r="AA1135" s="687">
        <v>0</v>
      </c>
      <c r="AB1135" s="687">
        <v>0</v>
      </c>
      <c r="AC1135" s="687">
        <v>0</v>
      </c>
      <c r="AD1135" s="687">
        <v>829.53</v>
      </c>
      <c r="AE1135" s="732"/>
      <c r="AF1135" s="732"/>
      <c r="AG1135" s="732"/>
      <c r="AH1135" s="732"/>
      <c r="AI1135" s="732"/>
      <c r="AJ1135" s="732"/>
      <c r="AK1135" s="732"/>
      <c r="AL1135" s="732"/>
      <c r="AM1135" s="732"/>
      <c r="AN1135" s="732"/>
      <c r="AO1135" s="732"/>
      <c r="AP1135" s="732"/>
      <c r="AQ1135" s="732"/>
      <c r="AR1135" s="732"/>
      <c r="AS1135" s="732"/>
      <c r="AT1135" s="732"/>
      <c r="AU1135" s="732"/>
      <c r="AV1135" s="732"/>
      <c r="AW1135" s="732"/>
      <c r="AX1135" s="732"/>
      <c r="AY1135" s="732"/>
      <c r="AZ1135" s="732"/>
      <c r="BA1135" s="732"/>
      <c r="BB1135" s="732"/>
      <c r="BC1135" s="732"/>
      <c r="BD1135" s="732"/>
      <c r="BE1135" s="732"/>
      <c r="BF1135" s="732"/>
      <c r="BG1135" s="732"/>
      <c r="BH1135" s="732"/>
      <c r="BI1135" s="732"/>
      <c r="BJ1135" s="732"/>
      <c r="BK1135" s="732"/>
      <c r="BL1135" s="732"/>
      <c r="BM1135" s="732"/>
      <c r="BN1135" s="732"/>
      <c r="BO1135" s="732"/>
      <c r="BP1135" s="732"/>
      <c r="BQ1135" s="732"/>
      <c r="BR1135" s="732"/>
      <c r="BS1135" s="732"/>
      <c r="BT1135" s="732"/>
      <c r="BU1135" s="732"/>
      <c r="BV1135" s="732"/>
      <c r="BW1135" s="732"/>
      <c r="BX1135" s="732"/>
      <c r="BY1135" s="732"/>
      <c r="BZ1135" s="732"/>
      <c r="CA1135" s="732"/>
    </row>
    <row r="1136" spans="1:79" s="452" customFormat="1" hidden="1" outlineLevel="1" x14ac:dyDescent="0.35">
      <c r="A1136" s="504"/>
      <c r="B1136" s="504"/>
      <c r="C1136" s="504"/>
      <c r="D1136" s="504"/>
      <c r="E1136" s="504"/>
      <c r="F1136" s="677" t="s">
        <v>906</v>
      </c>
      <c r="G1136" s="735"/>
      <c r="H1136" s="735"/>
      <c r="I1136" s="735"/>
      <c r="J1136" s="735"/>
      <c r="K1136" s="735"/>
      <c r="L1136" s="735"/>
      <c r="M1136" s="735"/>
      <c r="N1136" s="735"/>
      <c r="O1136" s="735"/>
      <c r="P1136" s="732"/>
      <c r="Q1136" s="732"/>
      <c r="R1136" s="732"/>
      <c r="S1136" s="687">
        <v>0</v>
      </c>
      <c r="T1136" s="687">
        <v>0</v>
      </c>
      <c r="U1136" s="687">
        <v>0</v>
      </c>
      <c r="V1136" s="687">
        <v>0</v>
      </c>
      <c r="W1136" s="687">
        <v>0</v>
      </c>
      <c r="X1136" s="687">
        <v>0</v>
      </c>
      <c r="Y1136" s="687">
        <v>0</v>
      </c>
      <c r="Z1136" s="687">
        <v>0</v>
      </c>
      <c r="AA1136" s="687">
        <v>0</v>
      </c>
      <c r="AB1136" s="687">
        <v>0</v>
      </c>
      <c r="AC1136" s="687">
        <v>0</v>
      </c>
      <c r="AD1136" s="687">
        <v>0</v>
      </c>
      <c r="AE1136" s="732"/>
      <c r="AF1136" s="732"/>
      <c r="AG1136" s="732"/>
      <c r="AH1136" s="732"/>
      <c r="AI1136" s="732"/>
      <c r="AJ1136" s="732"/>
      <c r="AK1136" s="732"/>
      <c r="AL1136" s="732"/>
      <c r="AM1136" s="732"/>
      <c r="AN1136" s="732"/>
      <c r="AO1136" s="732"/>
      <c r="AP1136" s="732"/>
      <c r="AQ1136" s="732"/>
      <c r="AR1136" s="732"/>
      <c r="AS1136" s="732"/>
      <c r="AT1136" s="732"/>
      <c r="AU1136" s="732"/>
      <c r="AV1136" s="732"/>
      <c r="AW1136" s="732"/>
      <c r="AX1136" s="732"/>
      <c r="AY1136" s="732"/>
      <c r="AZ1136" s="732"/>
      <c r="BA1136" s="732"/>
      <c r="BB1136" s="732"/>
      <c r="BC1136" s="732"/>
      <c r="BD1136" s="732"/>
      <c r="BE1136" s="732"/>
      <c r="BF1136" s="732"/>
      <c r="BG1136" s="732"/>
      <c r="BH1136" s="732"/>
      <c r="BI1136" s="732"/>
      <c r="BJ1136" s="732"/>
      <c r="BK1136" s="732"/>
      <c r="BL1136" s="732"/>
      <c r="BM1136" s="732"/>
      <c r="BN1136" s="732"/>
      <c r="BO1136" s="732"/>
      <c r="BP1136" s="732"/>
      <c r="BQ1136" s="732"/>
      <c r="BR1136" s="732"/>
      <c r="BS1136" s="732"/>
      <c r="BT1136" s="732"/>
      <c r="BU1136" s="732"/>
      <c r="BV1136" s="732"/>
      <c r="BW1136" s="732"/>
      <c r="BX1136" s="732"/>
      <c r="BY1136" s="732"/>
      <c r="BZ1136" s="732"/>
      <c r="CA1136" s="732"/>
    </row>
    <row r="1137" spans="1:79" s="452" customFormat="1" hidden="1" outlineLevel="1" x14ac:dyDescent="0.35">
      <c r="A1137" s="504"/>
      <c r="B1137" s="504"/>
      <c r="C1137" s="504"/>
      <c r="D1137" s="504"/>
      <c r="E1137" s="504"/>
      <c r="F1137" s="677" t="s">
        <v>907</v>
      </c>
      <c r="G1137" s="735"/>
      <c r="H1137" s="735"/>
      <c r="I1137" s="735"/>
      <c r="J1137" s="735"/>
      <c r="K1137" s="735"/>
      <c r="L1137" s="735"/>
      <c r="M1137" s="735"/>
      <c r="N1137" s="735"/>
      <c r="O1137" s="735"/>
      <c r="P1137" s="732"/>
      <c r="Q1137" s="732"/>
      <c r="R1137" s="732"/>
      <c r="S1137" s="687">
        <v>0</v>
      </c>
      <c r="T1137" s="687">
        <v>0</v>
      </c>
      <c r="U1137" s="687">
        <v>0</v>
      </c>
      <c r="V1137" s="687">
        <v>0</v>
      </c>
      <c r="W1137" s="687">
        <v>0</v>
      </c>
      <c r="X1137" s="687">
        <v>0</v>
      </c>
      <c r="Y1137" s="687">
        <v>0</v>
      </c>
      <c r="Z1137" s="687">
        <v>0</v>
      </c>
      <c r="AA1137" s="687">
        <v>0</v>
      </c>
      <c r="AB1137" s="687">
        <v>0</v>
      </c>
      <c r="AC1137" s="687">
        <v>0</v>
      </c>
      <c r="AD1137" s="687">
        <v>0</v>
      </c>
      <c r="AE1137" s="732"/>
      <c r="AF1137" s="732"/>
      <c r="AG1137" s="732"/>
      <c r="AH1137" s="732"/>
      <c r="AI1137" s="732"/>
      <c r="AJ1137" s="732"/>
      <c r="AK1137" s="732"/>
      <c r="AL1137" s="732"/>
      <c r="AM1137" s="732"/>
      <c r="AN1137" s="732"/>
      <c r="AO1137" s="732"/>
      <c r="AP1137" s="732"/>
      <c r="AQ1137" s="732"/>
      <c r="AR1137" s="732"/>
      <c r="AS1137" s="732"/>
      <c r="AT1137" s="732"/>
      <c r="AU1137" s="732"/>
      <c r="AV1137" s="732"/>
      <c r="AW1137" s="732"/>
      <c r="AX1137" s="732"/>
      <c r="AY1137" s="732"/>
      <c r="AZ1137" s="732"/>
      <c r="BA1137" s="732"/>
      <c r="BB1137" s="732"/>
      <c r="BC1137" s="732"/>
      <c r="BD1137" s="732"/>
      <c r="BE1137" s="732"/>
      <c r="BF1137" s="732"/>
      <c r="BG1137" s="732"/>
      <c r="BH1137" s="732"/>
      <c r="BI1137" s="732"/>
      <c r="BJ1137" s="732"/>
      <c r="BK1137" s="732"/>
      <c r="BL1137" s="732"/>
      <c r="BM1137" s="732"/>
      <c r="BN1137" s="732"/>
      <c r="BO1137" s="732"/>
      <c r="BP1137" s="732"/>
      <c r="BQ1137" s="732"/>
      <c r="BR1137" s="732"/>
      <c r="BS1137" s="732"/>
      <c r="BT1137" s="732"/>
      <c r="BU1137" s="732"/>
      <c r="BV1137" s="732"/>
      <c r="BW1137" s="732"/>
      <c r="BX1137" s="732"/>
      <c r="BY1137" s="732"/>
      <c r="BZ1137" s="732"/>
      <c r="CA1137" s="732"/>
    </row>
    <row r="1138" spans="1:79" s="452" customFormat="1" hidden="1" outlineLevel="1" x14ac:dyDescent="0.35">
      <c r="A1138" s="504"/>
      <c r="B1138" s="504"/>
      <c r="C1138" s="504"/>
      <c r="D1138" s="504"/>
      <c r="E1138" s="504"/>
      <c r="F1138" s="673" t="s">
        <v>908</v>
      </c>
      <c r="G1138" s="680">
        <f t="shared" ref="G1138:R1138" si="432">SUM(G1132:G1137)</f>
        <v>0</v>
      </c>
      <c r="H1138" s="680">
        <f t="shared" si="432"/>
        <v>0</v>
      </c>
      <c r="I1138" s="680">
        <f t="shared" si="432"/>
        <v>0</v>
      </c>
      <c r="J1138" s="680">
        <f t="shared" si="432"/>
        <v>0</v>
      </c>
      <c r="K1138" s="680">
        <f t="shared" si="432"/>
        <v>0</v>
      </c>
      <c r="L1138" s="680">
        <f t="shared" si="432"/>
        <v>0</v>
      </c>
      <c r="M1138" s="680">
        <f t="shared" si="432"/>
        <v>0</v>
      </c>
      <c r="N1138" s="680">
        <f t="shared" si="432"/>
        <v>0</v>
      </c>
      <c r="O1138" s="680">
        <f t="shared" si="432"/>
        <v>0</v>
      </c>
      <c r="P1138" s="680">
        <f t="shared" si="432"/>
        <v>0</v>
      </c>
      <c r="Q1138" s="680">
        <f t="shared" si="432"/>
        <v>0</v>
      </c>
      <c r="R1138" s="680">
        <f t="shared" si="432"/>
        <v>0</v>
      </c>
      <c r="S1138" s="695">
        <f t="shared" ref="S1138:AB1138" si="433">ROUND(SUM(S1132:S1137),5)</f>
        <v>0</v>
      </c>
      <c r="T1138" s="695">
        <f t="shared" si="433"/>
        <v>0</v>
      </c>
      <c r="U1138" s="695">
        <f t="shared" si="433"/>
        <v>0</v>
      </c>
      <c r="V1138" s="695">
        <f t="shared" si="433"/>
        <v>0</v>
      </c>
      <c r="W1138" s="695">
        <f t="shared" si="433"/>
        <v>0</v>
      </c>
      <c r="X1138" s="695">
        <f t="shared" si="433"/>
        <v>0</v>
      </c>
      <c r="Y1138" s="695">
        <f t="shared" si="433"/>
        <v>0</v>
      </c>
      <c r="Z1138" s="695">
        <f t="shared" si="433"/>
        <v>0</v>
      </c>
      <c r="AA1138" s="695">
        <f t="shared" si="433"/>
        <v>0</v>
      </c>
      <c r="AB1138" s="695">
        <f t="shared" si="433"/>
        <v>0</v>
      </c>
      <c r="AC1138" s="695">
        <f>ROUND(SUM(AC1132:AC1137),5)</f>
        <v>986.61</v>
      </c>
      <c r="AD1138" s="695">
        <f>ROUND(SUM(AD1132:AD1137),5)</f>
        <v>829.53</v>
      </c>
      <c r="AE1138" s="680">
        <f t="shared" ref="AE1138:BJ1138" si="434">SUM(AE1132:AE1137)</f>
        <v>0</v>
      </c>
      <c r="AF1138" s="680">
        <f t="shared" si="434"/>
        <v>0</v>
      </c>
      <c r="AG1138" s="680">
        <f t="shared" si="434"/>
        <v>0</v>
      </c>
      <c r="AH1138" s="680">
        <f t="shared" si="434"/>
        <v>0</v>
      </c>
      <c r="AI1138" s="680">
        <f t="shared" si="434"/>
        <v>0</v>
      </c>
      <c r="AJ1138" s="680">
        <f t="shared" si="434"/>
        <v>0</v>
      </c>
      <c r="AK1138" s="680">
        <f t="shared" si="434"/>
        <v>0</v>
      </c>
      <c r="AL1138" s="680">
        <f t="shared" si="434"/>
        <v>0</v>
      </c>
      <c r="AM1138" s="680">
        <f t="shared" si="434"/>
        <v>0</v>
      </c>
      <c r="AN1138" s="680">
        <f t="shared" si="434"/>
        <v>0</v>
      </c>
      <c r="AO1138" s="680">
        <f t="shared" si="434"/>
        <v>0</v>
      </c>
      <c r="AP1138" s="680">
        <f t="shared" si="434"/>
        <v>0</v>
      </c>
      <c r="AQ1138" s="680">
        <f t="shared" si="434"/>
        <v>0</v>
      </c>
      <c r="AR1138" s="680">
        <f t="shared" si="434"/>
        <v>0</v>
      </c>
      <c r="AS1138" s="680">
        <f t="shared" si="434"/>
        <v>0</v>
      </c>
      <c r="AT1138" s="680">
        <f t="shared" si="434"/>
        <v>0</v>
      </c>
      <c r="AU1138" s="680">
        <f t="shared" si="434"/>
        <v>0</v>
      </c>
      <c r="AV1138" s="680">
        <f t="shared" si="434"/>
        <v>0</v>
      </c>
      <c r="AW1138" s="680">
        <f t="shared" si="434"/>
        <v>0</v>
      </c>
      <c r="AX1138" s="680">
        <f t="shared" si="434"/>
        <v>0</v>
      </c>
      <c r="AY1138" s="680">
        <f t="shared" si="434"/>
        <v>0</v>
      </c>
      <c r="AZ1138" s="680">
        <f t="shared" si="434"/>
        <v>0</v>
      </c>
      <c r="BA1138" s="680">
        <f t="shared" si="434"/>
        <v>0</v>
      </c>
      <c r="BB1138" s="680">
        <f t="shared" si="434"/>
        <v>0</v>
      </c>
      <c r="BC1138" s="680">
        <f t="shared" si="434"/>
        <v>0</v>
      </c>
      <c r="BD1138" s="680">
        <f t="shared" si="434"/>
        <v>0</v>
      </c>
      <c r="BE1138" s="680">
        <f t="shared" si="434"/>
        <v>0</v>
      </c>
      <c r="BF1138" s="680">
        <f t="shared" si="434"/>
        <v>0</v>
      </c>
      <c r="BG1138" s="680">
        <f t="shared" si="434"/>
        <v>0</v>
      </c>
      <c r="BH1138" s="680">
        <f t="shared" si="434"/>
        <v>0</v>
      </c>
      <c r="BI1138" s="680">
        <f t="shared" si="434"/>
        <v>0</v>
      </c>
      <c r="BJ1138" s="680">
        <f t="shared" si="434"/>
        <v>0</v>
      </c>
      <c r="BK1138" s="680">
        <f t="shared" ref="BK1138:CA1138" si="435">SUM(BK1132:BK1137)</f>
        <v>0</v>
      </c>
      <c r="BL1138" s="680">
        <f t="shared" si="435"/>
        <v>0</v>
      </c>
      <c r="BM1138" s="680">
        <f t="shared" si="435"/>
        <v>0</v>
      </c>
      <c r="BN1138" s="680">
        <f t="shared" si="435"/>
        <v>0</v>
      </c>
      <c r="BO1138" s="680">
        <f t="shared" si="435"/>
        <v>0</v>
      </c>
      <c r="BP1138" s="680">
        <f t="shared" si="435"/>
        <v>0</v>
      </c>
      <c r="BQ1138" s="680">
        <f t="shared" si="435"/>
        <v>0</v>
      </c>
      <c r="BR1138" s="680">
        <f t="shared" si="435"/>
        <v>0</v>
      </c>
      <c r="BS1138" s="680">
        <f t="shared" si="435"/>
        <v>0</v>
      </c>
      <c r="BT1138" s="680">
        <f t="shared" si="435"/>
        <v>0</v>
      </c>
      <c r="BU1138" s="680">
        <f t="shared" si="435"/>
        <v>0</v>
      </c>
      <c r="BV1138" s="680">
        <f t="shared" si="435"/>
        <v>0</v>
      </c>
      <c r="BW1138" s="680">
        <f t="shared" si="435"/>
        <v>0</v>
      </c>
      <c r="BX1138" s="680">
        <f t="shared" si="435"/>
        <v>0</v>
      </c>
      <c r="BY1138" s="680">
        <f t="shared" si="435"/>
        <v>0</v>
      </c>
      <c r="BZ1138" s="680">
        <f t="shared" si="435"/>
        <v>0</v>
      </c>
      <c r="CA1138" s="680">
        <f t="shared" si="435"/>
        <v>0</v>
      </c>
    </row>
    <row r="1139" spans="1:79" s="726" customFormat="1" hidden="1" outlineLevel="1" x14ac:dyDescent="0.35">
      <c r="A1139" s="716"/>
      <c r="B1139" s="716"/>
      <c r="C1139" s="716"/>
      <c r="D1139" s="716"/>
      <c r="E1139" s="716"/>
      <c r="F1139" s="717" t="s">
        <v>630</v>
      </c>
      <c r="G1139" s="750"/>
      <c r="H1139" s="750"/>
      <c r="I1139" s="750"/>
      <c r="J1139" s="750"/>
      <c r="K1139" s="750"/>
      <c r="L1139" s="750"/>
      <c r="M1139" s="750"/>
      <c r="N1139" s="750"/>
      <c r="O1139" s="750"/>
      <c r="P1139" s="751"/>
      <c r="Q1139" s="751"/>
      <c r="R1139" s="751"/>
      <c r="S1139" s="713"/>
      <c r="T1139" s="713"/>
      <c r="U1139" s="713"/>
      <c r="V1139" s="713"/>
      <c r="W1139" s="713"/>
      <c r="X1139" s="713"/>
      <c r="Y1139" s="713"/>
      <c r="Z1139" s="713"/>
      <c r="AA1139" s="713"/>
      <c r="AB1139" s="713"/>
      <c r="AC1139" s="713"/>
      <c r="AD1139" s="713"/>
      <c r="AE1139" s="751"/>
      <c r="AF1139" s="751"/>
      <c r="AG1139" s="751"/>
      <c r="AH1139" s="751"/>
      <c r="AI1139" s="751"/>
      <c r="AJ1139" s="751"/>
      <c r="AK1139" s="751"/>
      <c r="AL1139" s="751"/>
      <c r="AM1139" s="751"/>
      <c r="AN1139" s="751"/>
      <c r="AO1139" s="751"/>
      <c r="AP1139" s="751"/>
      <c r="AQ1139" s="751"/>
      <c r="AR1139" s="751"/>
      <c r="AS1139" s="751"/>
      <c r="AT1139" s="751"/>
      <c r="AU1139" s="751"/>
      <c r="AV1139" s="751"/>
      <c r="AW1139" s="751"/>
      <c r="AX1139" s="751"/>
      <c r="AY1139" s="751"/>
      <c r="AZ1139" s="751"/>
      <c r="BA1139" s="751"/>
      <c r="BB1139" s="751"/>
      <c r="BC1139" s="751"/>
      <c r="BD1139" s="751"/>
      <c r="BE1139" s="751"/>
      <c r="BF1139" s="751"/>
      <c r="BG1139" s="751"/>
      <c r="BH1139" s="751"/>
      <c r="BI1139" s="751"/>
      <c r="BJ1139" s="751"/>
      <c r="BK1139" s="751"/>
      <c r="BL1139" s="751"/>
      <c r="BM1139" s="751"/>
      <c r="BN1139" s="751"/>
      <c r="BO1139" s="751"/>
      <c r="BP1139" s="751"/>
      <c r="BQ1139" s="751"/>
      <c r="BR1139" s="751"/>
      <c r="BS1139" s="751"/>
      <c r="BT1139" s="751"/>
      <c r="BU1139" s="751"/>
      <c r="BV1139" s="751"/>
      <c r="BW1139" s="751"/>
      <c r="BX1139" s="751"/>
      <c r="BY1139" s="751"/>
      <c r="BZ1139" s="751"/>
      <c r="CA1139" s="751"/>
    </row>
    <row r="1140" spans="1:79" s="309" customFormat="1" hidden="1" outlineLevel="1" x14ac:dyDescent="0.35">
      <c r="A1140" s="504"/>
      <c r="B1140" s="504"/>
      <c r="C1140" s="504"/>
      <c r="D1140" s="504"/>
      <c r="E1140" s="504"/>
      <c r="F1140" s="677" t="s">
        <v>631</v>
      </c>
      <c r="G1140" s="735"/>
      <c r="H1140" s="735"/>
      <c r="I1140" s="735"/>
      <c r="J1140" s="735"/>
      <c r="K1140" s="735"/>
      <c r="L1140" s="735"/>
      <c r="M1140" s="735"/>
      <c r="N1140" s="735"/>
      <c r="O1140" s="735"/>
      <c r="P1140" s="732"/>
      <c r="Q1140" s="732"/>
      <c r="R1140" s="732"/>
      <c r="S1140" s="683">
        <v>0</v>
      </c>
      <c r="T1140" s="683">
        <v>0</v>
      </c>
      <c r="U1140" s="683">
        <v>0</v>
      </c>
      <c r="V1140" s="683">
        <v>7</v>
      </c>
      <c r="W1140" s="683">
        <v>0</v>
      </c>
      <c r="X1140" s="683">
        <v>0</v>
      </c>
      <c r="Y1140" s="683">
        <v>0</v>
      </c>
      <c r="Z1140" s="683">
        <v>0</v>
      </c>
      <c r="AA1140" s="683">
        <v>0</v>
      </c>
      <c r="AB1140" s="683">
        <v>0</v>
      </c>
      <c r="AC1140" s="683">
        <v>0</v>
      </c>
      <c r="AD1140" s="683">
        <v>0</v>
      </c>
      <c r="AE1140" s="732"/>
      <c r="AF1140" s="732"/>
      <c r="AG1140" s="732"/>
      <c r="AH1140" s="732"/>
      <c r="AI1140" s="732"/>
      <c r="AJ1140" s="732"/>
      <c r="AK1140" s="732"/>
      <c r="AL1140" s="732"/>
      <c r="AM1140" s="732"/>
      <c r="AN1140" s="732"/>
      <c r="AO1140" s="732"/>
      <c r="AP1140" s="732"/>
      <c r="AQ1140" s="732"/>
      <c r="AR1140" s="732"/>
      <c r="AS1140" s="732"/>
      <c r="AT1140" s="732"/>
      <c r="AU1140" s="732"/>
      <c r="AV1140" s="732"/>
      <c r="AW1140" s="732"/>
      <c r="AX1140" s="732"/>
      <c r="AY1140" s="732"/>
      <c r="AZ1140" s="732"/>
      <c r="BA1140" s="732"/>
      <c r="BB1140" s="732"/>
      <c r="BC1140" s="732"/>
      <c r="BD1140" s="732"/>
      <c r="BE1140" s="732"/>
      <c r="BF1140" s="732"/>
      <c r="BG1140" s="732"/>
      <c r="BH1140" s="732"/>
      <c r="BI1140" s="732"/>
      <c r="BJ1140" s="732"/>
      <c r="BK1140" s="732"/>
      <c r="BL1140" s="732"/>
      <c r="BM1140" s="732"/>
      <c r="BN1140" s="732"/>
      <c r="BO1140" s="732"/>
      <c r="BP1140" s="732"/>
      <c r="BQ1140" s="732"/>
      <c r="BR1140" s="732"/>
      <c r="BS1140" s="732"/>
      <c r="BT1140" s="732"/>
      <c r="BU1140" s="732"/>
      <c r="BV1140" s="732"/>
      <c r="BW1140" s="732"/>
      <c r="BX1140" s="732"/>
      <c r="BY1140" s="732"/>
      <c r="BZ1140" s="732"/>
      <c r="CA1140" s="732"/>
    </row>
    <row r="1141" spans="1:79" s="309" customFormat="1" hidden="1" outlineLevel="1" x14ac:dyDescent="0.35">
      <c r="A1141" s="504"/>
      <c r="B1141" s="504"/>
      <c r="C1141" s="504"/>
      <c r="D1141" s="504"/>
      <c r="E1141" s="504"/>
      <c r="F1141" s="677" t="s">
        <v>632</v>
      </c>
      <c r="G1141" s="735"/>
      <c r="H1141" s="735"/>
      <c r="I1141" s="735"/>
      <c r="J1141" s="735"/>
      <c r="K1141" s="735"/>
      <c r="L1141" s="735"/>
      <c r="M1141" s="735"/>
      <c r="N1141" s="735"/>
      <c r="O1141" s="735"/>
      <c r="P1141" s="732"/>
      <c r="Q1141" s="732"/>
      <c r="R1141" s="732"/>
      <c r="S1141" s="683">
        <v>0</v>
      </c>
      <c r="T1141" s="683">
        <v>0</v>
      </c>
      <c r="U1141" s="683">
        <v>0</v>
      </c>
      <c r="V1141" s="683">
        <v>42</v>
      </c>
      <c r="W1141" s="683">
        <v>0</v>
      </c>
      <c r="X1141" s="683">
        <v>0</v>
      </c>
      <c r="Y1141" s="683">
        <v>0</v>
      </c>
      <c r="Z1141" s="683">
        <v>0</v>
      </c>
      <c r="AA1141" s="683">
        <v>0</v>
      </c>
      <c r="AB1141" s="683">
        <v>0</v>
      </c>
      <c r="AC1141" s="683">
        <v>0</v>
      </c>
      <c r="AD1141" s="683">
        <v>0</v>
      </c>
      <c r="AE1141" s="732"/>
      <c r="AF1141" s="732"/>
      <c r="AG1141" s="732"/>
      <c r="AH1141" s="732"/>
      <c r="AI1141" s="732"/>
      <c r="AJ1141" s="732"/>
      <c r="AK1141" s="732"/>
      <c r="AL1141" s="732"/>
      <c r="AM1141" s="732"/>
      <c r="AN1141" s="732"/>
      <c r="AO1141" s="732"/>
      <c r="AP1141" s="732"/>
      <c r="AQ1141" s="732"/>
      <c r="AR1141" s="732"/>
      <c r="AS1141" s="732"/>
      <c r="AT1141" s="732"/>
      <c r="AU1141" s="732"/>
      <c r="AV1141" s="732"/>
      <c r="AW1141" s="732"/>
      <c r="AX1141" s="732"/>
      <c r="AY1141" s="732"/>
      <c r="AZ1141" s="732"/>
      <c r="BA1141" s="732"/>
      <c r="BB1141" s="732"/>
      <c r="BC1141" s="732"/>
      <c r="BD1141" s="732"/>
      <c r="BE1141" s="732"/>
      <c r="BF1141" s="732"/>
      <c r="BG1141" s="732"/>
      <c r="BH1141" s="732"/>
      <c r="BI1141" s="732"/>
      <c r="BJ1141" s="732"/>
      <c r="BK1141" s="732"/>
      <c r="BL1141" s="732"/>
      <c r="BM1141" s="732"/>
      <c r="BN1141" s="732"/>
      <c r="BO1141" s="732"/>
      <c r="BP1141" s="732"/>
      <c r="BQ1141" s="732"/>
      <c r="BR1141" s="732"/>
      <c r="BS1141" s="732"/>
      <c r="BT1141" s="732"/>
      <c r="BU1141" s="732"/>
      <c r="BV1141" s="732"/>
      <c r="BW1141" s="732"/>
      <c r="BX1141" s="732"/>
      <c r="BY1141" s="732"/>
      <c r="BZ1141" s="732"/>
      <c r="CA1141" s="732"/>
    </row>
    <row r="1142" spans="1:79" hidden="1" outlineLevel="1" x14ac:dyDescent="0.35">
      <c r="A1142" s="504"/>
      <c r="B1142" s="504"/>
      <c r="C1142" s="504"/>
      <c r="D1142" s="504"/>
      <c r="E1142" s="504"/>
      <c r="F1142" s="677" t="s">
        <v>633</v>
      </c>
      <c r="G1142" s="735"/>
      <c r="H1142" s="735"/>
      <c r="I1142" s="735"/>
      <c r="J1142" s="735"/>
      <c r="K1142" s="735"/>
      <c r="L1142" s="735"/>
      <c r="M1142" s="735"/>
      <c r="N1142" s="735"/>
      <c r="O1142" s="735"/>
      <c r="P1142" s="732"/>
      <c r="Q1142" s="732"/>
      <c r="R1142" s="732"/>
      <c r="S1142" s="683">
        <v>19.329999999999998</v>
      </c>
      <c r="T1142" s="683">
        <v>19.329999999999998</v>
      </c>
      <c r="U1142" s="683">
        <v>19.329999999999998</v>
      </c>
      <c r="V1142" s="683">
        <v>251.91</v>
      </c>
      <c r="W1142" s="683">
        <v>217.45</v>
      </c>
      <c r="X1142" s="683">
        <v>194.7</v>
      </c>
      <c r="Y1142" s="683">
        <v>221.77</v>
      </c>
      <c r="Z1142" s="683">
        <v>218.91</v>
      </c>
      <c r="AA1142" s="683">
        <v>200.22</v>
      </c>
      <c r="AB1142" s="683">
        <v>217.46</v>
      </c>
      <c r="AC1142" s="683">
        <v>203.31</v>
      </c>
      <c r="AD1142" s="683">
        <v>190.23</v>
      </c>
      <c r="AE1142" s="732"/>
      <c r="AF1142" s="732"/>
      <c r="AG1142" s="732"/>
      <c r="AH1142" s="732"/>
      <c r="AI1142" s="732"/>
      <c r="AJ1142" s="732"/>
      <c r="AK1142" s="732"/>
      <c r="AL1142" s="732"/>
      <c r="AM1142" s="732"/>
      <c r="AN1142" s="732"/>
      <c r="AO1142" s="732"/>
      <c r="AP1142" s="732"/>
      <c r="AQ1142" s="732"/>
      <c r="AR1142" s="732"/>
      <c r="AS1142" s="732"/>
      <c r="AT1142" s="732"/>
      <c r="AU1142" s="732"/>
      <c r="AV1142" s="732"/>
      <c r="AW1142" s="732"/>
      <c r="AX1142" s="732"/>
      <c r="AY1142" s="732"/>
      <c r="AZ1142" s="732"/>
      <c r="BA1142" s="732"/>
      <c r="BB1142" s="732"/>
      <c r="BC1142" s="732"/>
      <c r="BD1142" s="732"/>
      <c r="BE1142" s="732"/>
      <c r="BF1142" s="732"/>
      <c r="BG1142" s="732"/>
      <c r="BH1142" s="732"/>
      <c r="BI1142" s="732"/>
      <c r="BJ1142" s="732"/>
      <c r="BK1142" s="732"/>
      <c r="BL1142" s="732"/>
      <c r="BM1142" s="732"/>
      <c r="BN1142" s="732"/>
      <c r="BO1142" s="732"/>
      <c r="BP1142" s="732"/>
      <c r="BQ1142" s="732"/>
      <c r="BR1142" s="732"/>
      <c r="BS1142" s="732"/>
      <c r="BT1142" s="732"/>
      <c r="BU1142" s="732"/>
      <c r="BV1142" s="732"/>
      <c r="BW1142" s="732"/>
      <c r="BX1142" s="732"/>
      <c r="BY1142" s="732"/>
      <c r="BZ1142" s="732"/>
      <c r="CA1142" s="732"/>
    </row>
    <row r="1143" spans="1:79" s="757" customFormat="1" hidden="1" outlineLevel="1" x14ac:dyDescent="0.35">
      <c r="A1143" s="504"/>
      <c r="B1143" s="504"/>
      <c r="C1143" s="504"/>
      <c r="D1143" s="504"/>
      <c r="E1143" s="504"/>
      <c r="F1143" s="677" t="s">
        <v>634</v>
      </c>
      <c r="G1143" s="735"/>
      <c r="H1143" s="735"/>
      <c r="I1143" s="735"/>
      <c r="J1143" s="735"/>
      <c r="K1143" s="735"/>
      <c r="L1143" s="735"/>
      <c r="M1143" s="735"/>
      <c r="N1143" s="735"/>
      <c r="O1143" s="735"/>
      <c r="P1143" s="732"/>
      <c r="Q1143" s="732"/>
      <c r="R1143" s="732"/>
      <c r="S1143" s="683">
        <v>0</v>
      </c>
      <c r="T1143" s="683">
        <v>0</v>
      </c>
      <c r="U1143" s="683">
        <v>0</v>
      </c>
      <c r="V1143" s="683">
        <v>994.5</v>
      </c>
      <c r="W1143" s="683">
        <v>847.16</v>
      </c>
      <c r="X1143" s="683">
        <v>749.87</v>
      </c>
      <c r="Y1143" s="683">
        <v>865.62</v>
      </c>
      <c r="Z1143" s="683">
        <v>853.41</v>
      </c>
      <c r="AA1143" s="683">
        <v>773.49</v>
      </c>
      <c r="AB1143" s="683">
        <v>847.16</v>
      </c>
      <c r="AC1143" s="683">
        <v>786.7</v>
      </c>
      <c r="AD1143" s="683">
        <v>403.9</v>
      </c>
      <c r="AE1143" s="732"/>
      <c r="AF1143" s="732"/>
      <c r="AG1143" s="732"/>
      <c r="AH1143" s="732"/>
      <c r="AI1143" s="732"/>
      <c r="AJ1143" s="732"/>
      <c r="AK1143" s="732"/>
      <c r="AL1143" s="732"/>
      <c r="AM1143" s="732"/>
      <c r="AN1143" s="732"/>
      <c r="AO1143" s="732"/>
      <c r="AP1143" s="732"/>
      <c r="AQ1143" s="732"/>
      <c r="AR1143" s="732"/>
      <c r="AS1143" s="732"/>
      <c r="AT1143" s="732"/>
      <c r="AU1143" s="732"/>
      <c r="AV1143" s="732"/>
      <c r="AW1143" s="732"/>
      <c r="AX1143" s="732"/>
      <c r="AY1143" s="732"/>
      <c r="AZ1143" s="732"/>
      <c r="BA1143" s="732"/>
      <c r="BB1143" s="732"/>
      <c r="BC1143" s="732"/>
      <c r="BD1143" s="732"/>
      <c r="BE1143" s="732"/>
      <c r="BF1143" s="732"/>
      <c r="BG1143" s="732"/>
      <c r="BH1143" s="732"/>
      <c r="BI1143" s="732"/>
      <c r="BJ1143" s="732"/>
      <c r="BK1143" s="732"/>
      <c r="BL1143" s="732"/>
      <c r="BM1143" s="732"/>
      <c r="BN1143" s="732"/>
      <c r="BO1143" s="732"/>
      <c r="BP1143" s="732"/>
      <c r="BQ1143" s="732"/>
      <c r="BR1143" s="732"/>
      <c r="BS1143" s="732"/>
      <c r="BT1143" s="732"/>
      <c r="BU1143" s="732"/>
      <c r="BV1143" s="732"/>
      <c r="BW1143" s="732"/>
      <c r="BX1143" s="732"/>
      <c r="BY1143" s="732"/>
      <c r="BZ1143" s="732"/>
      <c r="CA1143" s="732"/>
    </row>
    <row r="1144" spans="1:79" s="757" customFormat="1" hidden="1" outlineLevel="1" x14ac:dyDescent="0.35">
      <c r="A1144" s="504"/>
      <c r="B1144" s="504"/>
      <c r="C1144" s="504"/>
      <c r="D1144" s="504"/>
      <c r="E1144" s="504"/>
      <c r="F1144" s="677" t="s">
        <v>635</v>
      </c>
      <c r="G1144" s="735"/>
      <c r="H1144" s="735"/>
      <c r="I1144" s="735"/>
      <c r="J1144" s="735"/>
      <c r="K1144" s="735"/>
      <c r="L1144" s="735"/>
      <c r="M1144" s="735"/>
      <c r="N1144" s="735"/>
      <c r="O1144" s="735"/>
      <c r="P1144" s="732"/>
      <c r="Q1144" s="732"/>
      <c r="R1144" s="732"/>
      <c r="S1144" s="683">
        <v>0</v>
      </c>
      <c r="T1144" s="683">
        <v>0</v>
      </c>
      <c r="U1144" s="683">
        <v>0</v>
      </c>
      <c r="V1144" s="683">
        <v>0</v>
      </c>
      <c r="W1144" s="683">
        <v>0</v>
      </c>
      <c r="X1144" s="683">
        <v>0</v>
      </c>
      <c r="Y1144" s="683">
        <v>0</v>
      </c>
      <c r="Z1144" s="683">
        <v>0</v>
      </c>
      <c r="AA1144" s="683">
        <v>0</v>
      </c>
      <c r="AB1144" s="683">
        <v>0</v>
      </c>
      <c r="AC1144" s="683">
        <v>0</v>
      </c>
      <c r="AD1144" s="683">
        <v>0</v>
      </c>
      <c r="AE1144" s="732"/>
      <c r="AF1144" s="732"/>
      <c r="AG1144" s="732"/>
      <c r="AH1144" s="732"/>
      <c r="AI1144" s="732"/>
      <c r="AJ1144" s="732"/>
      <c r="AK1144" s="732"/>
      <c r="AL1144" s="732"/>
      <c r="AM1144" s="732"/>
      <c r="AN1144" s="732"/>
      <c r="AO1144" s="732"/>
      <c r="AP1144" s="732"/>
      <c r="AQ1144" s="732"/>
      <c r="AR1144" s="732"/>
      <c r="AS1144" s="732"/>
      <c r="AT1144" s="732"/>
      <c r="AU1144" s="732"/>
      <c r="AV1144" s="732"/>
      <c r="AW1144" s="732"/>
      <c r="AX1144" s="732"/>
      <c r="AY1144" s="732"/>
      <c r="AZ1144" s="732"/>
      <c r="BA1144" s="732"/>
      <c r="BB1144" s="732"/>
      <c r="BC1144" s="732"/>
      <c r="BD1144" s="732"/>
      <c r="BE1144" s="732"/>
      <c r="BF1144" s="732"/>
      <c r="BG1144" s="732"/>
      <c r="BH1144" s="732"/>
      <c r="BI1144" s="732"/>
      <c r="BJ1144" s="732"/>
      <c r="BK1144" s="732"/>
      <c r="BL1144" s="732"/>
      <c r="BM1144" s="732"/>
      <c r="BN1144" s="732"/>
      <c r="BO1144" s="732"/>
      <c r="BP1144" s="732"/>
      <c r="BQ1144" s="732"/>
      <c r="BR1144" s="732"/>
      <c r="BS1144" s="732"/>
      <c r="BT1144" s="732"/>
      <c r="BU1144" s="732"/>
      <c r="BV1144" s="732"/>
      <c r="BW1144" s="732"/>
      <c r="BX1144" s="732"/>
      <c r="BY1144" s="732"/>
      <c r="BZ1144" s="732"/>
      <c r="CA1144" s="732"/>
    </row>
    <row r="1145" spans="1:79" s="452" customFormat="1" hidden="1" outlineLevel="1" x14ac:dyDescent="0.35">
      <c r="A1145" s="504"/>
      <c r="B1145" s="504"/>
      <c r="C1145" s="504"/>
      <c r="D1145" s="504"/>
      <c r="E1145" s="504"/>
      <c r="F1145" s="677" t="s">
        <v>636</v>
      </c>
      <c r="G1145" s="735"/>
      <c r="H1145" s="735"/>
      <c r="I1145" s="735"/>
      <c r="J1145" s="735"/>
      <c r="K1145" s="735"/>
      <c r="L1145" s="735"/>
      <c r="M1145" s="735"/>
      <c r="N1145" s="735"/>
      <c r="O1145" s="735"/>
      <c r="P1145" s="732"/>
      <c r="Q1145" s="732"/>
      <c r="R1145" s="732"/>
      <c r="S1145" s="683">
        <v>0</v>
      </c>
      <c r="T1145" s="683">
        <v>0</v>
      </c>
      <c r="U1145" s="683">
        <v>0</v>
      </c>
      <c r="V1145" s="683">
        <v>280</v>
      </c>
      <c r="W1145" s="683">
        <v>0</v>
      </c>
      <c r="X1145" s="683">
        <v>0</v>
      </c>
      <c r="Y1145" s="683">
        <v>0</v>
      </c>
      <c r="Z1145" s="683">
        <v>0</v>
      </c>
      <c r="AA1145" s="683">
        <v>0</v>
      </c>
      <c r="AB1145" s="683">
        <v>0</v>
      </c>
      <c r="AC1145" s="683">
        <v>0</v>
      </c>
      <c r="AD1145" s="683">
        <v>0</v>
      </c>
      <c r="AE1145" s="732"/>
      <c r="AF1145" s="732"/>
      <c r="AG1145" s="732"/>
      <c r="AH1145" s="732"/>
      <c r="AI1145" s="732"/>
      <c r="AJ1145" s="732"/>
      <c r="AK1145" s="732"/>
      <c r="AL1145" s="732"/>
      <c r="AM1145" s="732"/>
      <c r="AN1145" s="732"/>
      <c r="AO1145" s="732"/>
      <c r="AP1145" s="732"/>
      <c r="AQ1145" s="732"/>
      <c r="AR1145" s="732"/>
      <c r="AS1145" s="732"/>
      <c r="AT1145" s="732"/>
      <c r="AU1145" s="732"/>
      <c r="AV1145" s="732"/>
      <c r="AW1145" s="732"/>
      <c r="AX1145" s="732"/>
      <c r="AY1145" s="732"/>
      <c r="AZ1145" s="732"/>
      <c r="BA1145" s="732"/>
      <c r="BB1145" s="732"/>
      <c r="BC1145" s="732"/>
      <c r="BD1145" s="732"/>
      <c r="BE1145" s="732"/>
      <c r="BF1145" s="732"/>
      <c r="BG1145" s="732"/>
      <c r="BH1145" s="732"/>
      <c r="BI1145" s="732"/>
      <c r="BJ1145" s="732"/>
      <c r="BK1145" s="732"/>
      <c r="BL1145" s="732"/>
      <c r="BM1145" s="732"/>
      <c r="BN1145" s="732"/>
      <c r="BO1145" s="732"/>
      <c r="BP1145" s="732"/>
      <c r="BQ1145" s="732"/>
      <c r="BR1145" s="732"/>
      <c r="BS1145" s="732"/>
      <c r="BT1145" s="732"/>
      <c r="BU1145" s="732"/>
      <c r="BV1145" s="732"/>
      <c r="BW1145" s="732"/>
      <c r="BX1145" s="732"/>
      <c r="BY1145" s="732"/>
      <c r="BZ1145" s="732"/>
      <c r="CA1145" s="732"/>
    </row>
    <row r="1146" spans="1:79" s="452" customFormat="1" hidden="1" outlineLevel="1" x14ac:dyDescent="0.35">
      <c r="A1146" s="504"/>
      <c r="B1146" s="504"/>
      <c r="C1146" s="504"/>
      <c r="D1146" s="504"/>
      <c r="E1146" s="504"/>
      <c r="F1146" s="677" t="s">
        <v>909</v>
      </c>
      <c r="G1146" s="735"/>
      <c r="H1146" s="735"/>
      <c r="I1146" s="735"/>
      <c r="J1146" s="735"/>
      <c r="K1146" s="735"/>
      <c r="L1146" s="735"/>
      <c r="M1146" s="735"/>
      <c r="N1146" s="735"/>
      <c r="O1146" s="735"/>
      <c r="P1146" s="732"/>
      <c r="Q1146" s="732"/>
      <c r="R1146" s="732"/>
      <c r="S1146" s="683">
        <v>0</v>
      </c>
      <c r="T1146" s="683">
        <v>0</v>
      </c>
      <c r="U1146" s="683">
        <v>0</v>
      </c>
      <c r="V1146" s="683">
        <v>0</v>
      </c>
      <c r="W1146" s="683">
        <v>0</v>
      </c>
      <c r="X1146" s="683">
        <v>0</v>
      </c>
      <c r="Y1146" s="683">
        <v>0</v>
      </c>
      <c r="Z1146" s="683">
        <v>0</v>
      </c>
      <c r="AA1146" s="683">
        <v>0</v>
      </c>
      <c r="AB1146" s="683">
        <v>0</v>
      </c>
      <c r="AC1146" s="683">
        <v>0</v>
      </c>
      <c r="AD1146" s="683">
        <v>0</v>
      </c>
      <c r="AE1146" s="732"/>
      <c r="AF1146" s="732"/>
      <c r="AG1146" s="732"/>
      <c r="AH1146" s="732"/>
      <c r="AI1146" s="732"/>
      <c r="AJ1146" s="732"/>
      <c r="AK1146" s="732"/>
      <c r="AL1146" s="732"/>
      <c r="AM1146" s="732"/>
      <c r="AN1146" s="732"/>
      <c r="AO1146" s="732"/>
      <c r="AP1146" s="732"/>
      <c r="AQ1146" s="732"/>
      <c r="AR1146" s="732"/>
      <c r="AS1146" s="732"/>
      <c r="AT1146" s="732"/>
      <c r="AU1146" s="732"/>
      <c r="AV1146" s="732"/>
      <c r="AW1146" s="732"/>
      <c r="AX1146" s="732"/>
      <c r="AY1146" s="732"/>
      <c r="AZ1146" s="732"/>
      <c r="BA1146" s="732"/>
      <c r="BB1146" s="732"/>
      <c r="BC1146" s="732"/>
      <c r="BD1146" s="732"/>
      <c r="BE1146" s="732"/>
      <c r="BF1146" s="732"/>
      <c r="BG1146" s="732"/>
      <c r="BH1146" s="732"/>
      <c r="BI1146" s="732"/>
      <c r="BJ1146" s="732"/>
      <c r="BK1146" s="732"/>
      <c r="BL1146" s="732"/>
      <c r="BM1146" s="732"/>
      <c r="BN1146" s="732"/>
      <c r="BO1146" s="732"/>
      <c r="BP1146" s="732"/>
      <c r="BQ1146" s="732"/>
      <c r="BR1146" s="732"/>
      <c r="BS1146" s="732"/>
      <c r="BT1146" s="732"/>
      <c r="BU1146" s="732"/>
      <c r="BV1146" s="732"/>
      <c r="BW1146" s="732"/>
      <c r="BX1146" s="732"/>
      <c r="BY1146" s="732"/>
      <c r="BZ1146" s="732"/>
      <c r="CA1146" s="732"/>
    </row>
    <row r="1147" spans="1:79" s="452" customFormat="1" hidden="1" outlineLevel="1" x14ac:dyDescent="0.35">
      <c r="A1147" s="504"/>
      <c r="B1147" s="504"/>
      <c r="C1147" s="504"/>
      <c r="D1147" s="504"/>
      <c r="E1147" s="504"/>
      <c r="F1147" s="677" t="s">
        <v>637</v>
      </c>
      <c r="G1147" s="735"/>
      <c r="H1147" s="735"/>
      <c r="I1147" s="735"/>
      <c r="J1147" s="735"/>
      <c r="K1147" s="735"/>
      <c r="L1147" s="735"/>
      <c r="M1147" s="735"/>
      <c r="N1147" s="735"/>
      <c r="O1147" s="735"/>
      <c r="P1147" s="732"/>
      <c r="Q1147" s="732"/>
      <c r="R1147" s="732"/>
      <c r="S1147" s="683">
        <v>0</v>
      </c>
      <c r="T1147" s="683">
        <v>0</v>
      </c>
      <c r="U1147" s="683">
        <v>455.99</v>
      </c>
      <c r="V1147" s="683">
        <v>-455.99</v>
      </c>
      <c r="W1147" s="683">
        <v>0</v>
      </c>
      <c r="X1147" s="683">
        <v>0</v>
      </c>
      <c r="Y1147" s="683">
        <v>0</v>
      </c>
      <c r="Z1147" s="683">
        <v>0</v>
      </c>
      <c r="AA1147" s="683">
        <v>0</v>
      </c>
      <c r="AB1147" s="683">
        <v>0</v>
      </c>
      <c r="AC1147" s="683">
        <v>0</v>
      </c>
      <c r="AD1147" s="683">
        <v>0</v>
      </c>
      <c r="AE1147" s="732"/>
      <c r="AF1147" s="732"/>
      <c r="AG1147" s="732"/>
      <c r="AH1147" s="732"/>
      <c r="AI1147" s="732"/>
      <c r="AJ1147" s="732"/>
      <c r="AK1147" s="732"/>
      <c r="AL1147" s="732"/>
      <c r="AM1147" s="732"/>
      <c r="AN1147" s="732"/>
      <c r="AO1147" s="732"/>
      <c r="AP1147" s="732"/>
      <c r="AQ1147" s="732"/>
      <c r="AR1147" s="732"/>
      <c r="AS1147" s="732"/>
      <c r="AT1147" s="732"/>
      <c r="AU1147" s="732"/>
      <c r="AV1147" s="732"/>
      <c r="AW1147" s="732"/>
      <c r="AX1147" s="732"/>
      <c r="AY1147" s="732"/>
      <c r="AZ1147" s="732"/>
      <c r="BA1147" s="732"/>
      <c r="BB1147" s="732"/>
      <c r="BC1147" s="732"/>
      <c r="BD1147" s="732"/>
      <c r="BE1147" s="732"/>
      <c r="BF1147" s="732"/>
      <c r="BG1147" s="732"/>
      <c r="BH1147" s="732"/>
      <c r="BI1147" s="732"/>
      <c r="BJ1147" s="732"/>
      <c r="BK1147" s="732"/>
      <c r="BL1147" s="732"/>
      <c r="BM1147" s="732"/>
      <c r="BN1147" s="732"/>
      <c r="BO1147" s="732"/>
      <c r="BP1147" s="732"/>
      <c r="BQ1147" s="732"/>
      <c r="BR1147" s="732"/>
      <c r="BS1147" s="732"/>
      <c r="BT1147" s="732"/>
      <c r="BU1147" s="732"/>
      <c r="BV1147" s="732"/>
      <c r="BW1147" s="732"/>
      <c r="BX1147" s="732"/>
      <c r="BY1147" s="732"/>
      <c r="BZ1147" s="732"/>
      <c r="CA1147" s="732"/>
    </row>
    <row r="1148" spans="1:79" s="452" customFormat="1" hidden="1" outlineLevel="1" x14ac:dyDescent="0.35">
      <c r="A1148" s="504"/>
      <c r="B1148" s="504"/>
      <c r="C1148" s="504"/>
      <c r="D1148" s="504"/>
      <c r="E1148" s="504"/>
      <c r="F1148" s="673" t="s">
        <v>638</v>
      </c>
      <c r="G1148" s="680">
        <f>SUM(G1140:G1147)</f>
        <v>0</v>
      </c>
      <c r="H1148" s="680">
        <f t="shared" ref="H1148:BO1148" si="436">SUM(H1140:H1147)</f>
        <v>0</v>
      </c>
      <c r="I1148" s="680">
        <f t="shared" si="436"/>
        <v>0</v>
      </c>
      <c r="J1148" s="680">
        <f t="shared" si="436"/>
        <v>0</v>
      </c>
      <c r="K1148" s="680">
        <f t="shared" si="436"/>
        <v>0</v>
      </c>
      <c r="L1148" s="680">
        <f t="shared" si="436"/>
        <v>0</v>
      </c>
      <c r="M1148" s="680">
        <f t="shared" si="436"/>
        <v>0</v>
      </c>
      <c r="N1148" s="680">
        <f t="shared" si="436"/>
        <v>0</v>
      </c>
      <c r="O1148" s="680">
        <f t="shared" si="436"/>
        <v>0</v>
      </c>
      <c r="P1148" s="680">
        <f t="shared" si="436"/>
        <v>0</v>
      </c>
      <c r="Q1148" s="680">
        <f t="shared" si="436"/>
        <v>0</v>
      </c>
      <c r="R1148" s="680">
        <f t="shared" si="436"/>
        <v>0</v>
      </c>
      <c r="S1148" s="695">
        <f t="shared" ref="S1148:AA1148" si="437">ROUND(SUM(S1139:S1147),5)</f>
        <v>19.329999999999998</v>
      </c>
      <c r="T1148" s="695">
        <f t="shared" si="437"/>
        <v>19.329999999999998</v>
      </c>
      <c r="U1148" s="695">
        <f t="shared" si="437"/>
        <v>475.32</v>
      </c>
      <c r="V1148" s="695">
        <f t="shared" si="437"/>
        <v>1119.42</v>
      </c>
      <c r="W1148" s="695">
        <f t="shared" si="437"/>
        <v>1064.6099999999999</v>
      </c>
      <c r="X1148" s="695">
        <f t="shared" si="437"/>
        <v>944.57</v>
      </c>
      <c r="Y1148" s="695">
        <f t="shared" si="437"/>
        <v>1087.3900000000001</v>
      </c>
      <c r="Z1148" s="695">
        <f t="shared" si="437"/>
        <v>1072.32</v>
      </c>
      <c r="AA1148" s="695">
        <f t="shared" si="437"/>
        <v>973.71</v>
      </c>
      <c r="AB1148" s="695">
        <f>ROUND(SUM(AB1139:AB1147),5)</f>
        <v>1064.6199999999999</v>
      </c>
      <c r="AC1148" s="695">
        <f>ROUND(SUM(AC1139:AC1147),5)</f>
        <v>990.01</v>
      </c>
      <c r="AD1148" s="695">
        <f>ROUND(SUM(AD1139:AD1147),5)</f>
        <v>594.13</v>
      </c>
      <c r="AE1148" s="680">
        <f t="shared" si="436"/>
        <v>0</v>
      </c>
      <c r="AF1148" s="680">
        <f t="shared" si="436"/>
        <v>0</v>
      </c>
      <c r="AG1148" s="680">
        <f t="shared" si="436"/>
        <v>0</v>
      </c>
      <c r="AH1148" s="680">
        <f t="shared" si="436"/>
        <v>0</v>
      </c>
      <c r="AI1148" s="680">
        <f t="shared" si="436"/>
        <v>0</v>
      </c>
      <c r="AJ1148" s="680">
        <f t="shared" si="436"/>
        <v>0</v>
      </c>
      <c r="AK1148" s="680">
        <f t="shared" si="436"/>
        <v>0</v>
      </c>
      <c r="AL1148" s="680">
        <f t="shared" si="436"/>
        <v>0</v>
      </c>
      <c r="AM1148" s="680">
        <f t="shared" si="436"/>
        <v>0</v>
      </c>
      <c r="AN1148" s="680">
        <f t="shared" si="436"/>
        <v>0</v>
      </c>
      <c r="AO1148" s="680">
        <f t="shared" si="436"/>
        <v>0</v>
      </c>
      <c r="AP1148" s="680">
        <f t="shared" si="436"/>
        <v>0</v>
      </c>
      <c r="AQ1148" s="680">
        <f t="shared" si="436"/>
        <v>0</v>
      </c>
      <c r="AR1148" s="680">
        <f t="shared" si="436"/>
        <v>0</v>
      </c>
      <c r="AS1148" s="680">
        <f t="shared" si="436"/>
        <v>0</v>
      </c>
      <c r="AT1148" s="680">
        <f t="shared" si="436"/>
        <v>0</v>
      </c>
      <c r="AU1148" s="680">
        <f t="shared" si="436"/>
        <v>0</v>
      </c>
      <c r="AV1148" s="680">
        <f t="shared" si="436"/>
        <v>0</v>
      </c>
      <c r="AW1148" s="680">
        <f t="shared" si="436"/>
        <v>0</v>
      </c>
      <c r="AX1148" s="680">
        <f t="shared" si="436"/>
        <v>0</v>
      </c>
      <c r="AY1148" s="680">
        <f t="shared" si="436"/>
        <v>0</v>
      </c>
      <c r="AZ1148" s="680">
        <f t="shared" si="436"/>
        <v>0</v>
      </c>
      <c r="BA1148" s="680">
        <f t="shared" si="436"/>
        <v>0</v>
      </c>
      <c r="BB1148" s="680">
        <f t="shared" si="436"/>
        <v>0</v>
      </c>
      <c r="BC1148" s="680">
        <f t="shared" si="436"/>
        <v>0</v>
      </c>
      <c r="BD1148" s="680">
        <f t="shared" si="436"/>
        <v>0</v>
      </c>
      <c r="BE1148" s="680">
        <f t="shared" si="436"/>
        <v>0</v>
      </c>
      <c r="BF1148" s="680">
        <f t="shared" si="436"/>
        <v>0</v>
      </c>
      <c r="BG1148" s="680">
        <f t="shared" si="436"/>
        <v>0</v>
      </c>
      <c r="BH1148" s="680">
        <f t="shared" si="436"/>
        <v>0</v>
      </c>
      <c r="BI1148" s="680">
        <f t="shared" si="436"/>
        <v>0</v>
      </c>
      <c r="BJ1148" s="680">
        <f t="shared" si="436"/>
        <v>0</v>
      </c>
      <c r="BK1148" s="680">
        <f t="shared" si="436"/>
        <v>0</v>
      </c>
      <c r="BL1148" s="680">
        <f t="shared" si="436"/>
        <v>0</v>
      </c>
      <c r="BM1148" s="680">
        <f t="shared" si="436"/>
        <v>0</v>
      </c>
      <c r="BN1148" s="680">
        <f t="shared" si="436"/>
        <v>0</v>
      </c>
      <c r="BO1148" s="680">
        <f t="shared" si="436"/>
        <v>0</v>
      </c>
      <c r="BP1148" s="680">
        <f t="shared" ref="BP1148:CA1148" si="438">SUM(BP1140:BP1147)</f>
        <v>0</v>
      </c>
      <c r="BQ1148" s="680">
        <f t="shared" si="438"/>
        <v>0</v>
      </c>
      <c r="BR1148" s="680">
        <f t="shared" si="438"/>
        <v>0</v>
      </c>
      <c r="BS1148" s="680">
        <f t="shared" si="438"/>
        <v>0</v>
      </c>
      <c r="BT1148" s="680">
        <f t="shared" si="438"/>
        <v>0</v>
      </c>
      <c r="BU1148" s="680">
        <f t="shared" si="438"/>
        <v>0</v>
      </c>
      <c r="BV1148" s="680">
        <f t="shared" si="438"/>
        <v>0</v>
      </c>
      <c r="BW1148" s="680">
        <f t="shared" si="438"/>
        <v>0</v>
      </c>
      <c r="BX1148" s="680">
        <f t="shared" si="438"/>
        <v>0</v>
      </c>
      <c r="BY1148" s="680">
        <f t="shared" si="438"/>
        <v>0</v>
      </c>
      <c r="BZ1148" s="680">
        <f t="shared" si="438"/>
        <v>0</v>
      </c>
      <c r="CA1148" s="680">
        <f t="shared" si="438"/>
        <v>0</v>
      </c>
    </row>
    <row r="1149" spans="1:79" s="754" customFormat="1" hidden="1" outlineLevel="1" x14ac:dyDescent="0.35">
      <c r="A1149" s="716"/>
      <c r="B1149" s="716"/>
      <c r="C1149" s="716"/>
      <c r="D1149" s="716"/>
      <c r="E1149" s="716"/>
      <c r="F1149" s="717" t="s">
        <v>639</v>
      </c>
      <c r="G1149" s="750"/>
      <c r="H1149" s="750"/>
      <c r="I1149" s="750"/>
      <c r="J1149" s="750"/>
      <c r="K1149" s="750"/>
      <c r="L1149" s="750"/>
      <c r="M1149" s="750"/>
      <c r="N1149" s="750"/>
      <c r="O1149" s="750"/>
      <c r="P1149" s="751"/>
      <c r="Q1149" s="751"/>
      <c r="R1149" s="751"/>
      <c r="S1149" s="713"/>
      <c r="T1149" s="713"/>
      <c r="U1149" s="713"/>
      <c r="V1149" s="713"/>
      <c r="W1149" s="713"/>
      <c r="X1149" s="713"/>
      <c r="Y1149" s="713"/>
      <c r="Z1149" s="713"/>
      <c r="AA1149" s="713"/>
      <c r="AB1149" s="713"/>
      <c r="AC1149" s="713"/>
      <c r="AD1149" s="713"/>
      <c r="AE1149" s="751"/>
      <c r="AF1149" s="751"/>
      <c r="AG1149" s="751"/>
      <c r="AH1149" s="751"/>
      <c r="AI1149" s="751"/>
      <c r="AJ1149" s="751"/>
      <c r="AK1149" s="751"/>
      <c r="AL1149" s="751"/>
      <c r="AM1149" s="751"/>
      <c r="AN1149" s="751"/>
      <c r="AO1149" s="751"/>
      <c r="AP1149" s="751"/>
      <c r="AQ1149" s="751"/>
      <c r="AR1149" s="751"/>
      <c r="AS1149" s="751"/>
      <c r="AT1149" s="751"/>
      <c r="AU1149" s="751"/>
      <c r="AV1149" s="751"/>
      <c r="AW1149" s="751"/>
      <c r="AX1149" s="751"/>
      <c r="AY1149" s="751"/>
      <c r="AZ1149" s="751"/>
      <c r="BA1149" s="751"/>
      <c r="BB1149" s="751"/>
      <c r="BC1149" s="751"/>
      <c r="BD1149" s="751"/>
      <c r="BE1149" s="751"/>
      <c r="BF1149" s="751"/>
      <c r="BG1149" s="751"/>
      <c r="BH1149" s="751"/>
      <c r="BI1149" s="751"/>
      <c r="BJ1149" s="751"/>
      <c r="BK1149" s="751"/>
      <c r="BL1149" s="751"/>
      <c r="BM1149" s="751"/>
      <c r="BN1149" s="751"/>
      <c r="BO1149" s="751"/>
      <c r="BP1149" s="751"/>
      <c r="BQ1149" s="751"/>
      <c r="BR1149" s="751"/>
      <c r="BS1149" s="751"/>
      <c r="BT1149" s="751"/>
      <c r="BU1149" s="751"/>
      <c r="BV1149" s="751"/>
      <c r="BW1149" s="751"/>
      <c r="BX1149" s="751"/>
      <c r="BY1149" s="751"/>
      <c r="BZ1149" s="751"/>
      <c r="CA1149" s="751"/>
    </row>
    <row r="1150" spans="1:79" s="309" customFormat="1" hidden="1" outlineLevel="1" x14ac:dyDescent="0.35">
      <c r="A1150" s="504"/>
      <c r="B1150" s="504"/>
      <c r="C1150" s="504"/>
      <c r="D1150" s="504"/>
      <c r="E1150" s="504"/>
      <c r="F1150" s="677" t="s">
        <v>9</v>
      </c>
      <c r="G1150" s="735"/>
      <c r="H1150" s="735"/>
      <c r="I1150" s="735"/>
      <c r="J1150" s="735"/>
      <c r="K1150" s="735"/>
      <c r="L1150" s="735"/>
      <c r="M1150" s="735"/>
      <c r="N1150" s="735"/>
      <c r="O1150" s="735"/>
      <c r="P1150" s="732"/>
      <c r="Q1150" s="732"/>
      <c r="R1150" s="732"/>
      <c r="S1150" s="683">
        <v>1333.33</v>
      </c>
      <c r="T1150" s="683">
        <v>1333.33</v>
      </c>
      <c r="U1150" s="683">
        <v>1333.33</v>
      </c>
      <c r="V1150" s="683">
        <v>1333.33</v>
      </c>
      <c r="W1150" s="683">
        <v>1333.33</v>
      </c>
      <c r="X1150" s="683">
        <v>1333.33</v>
      </c>
      <c r="Y1150" s="683">
        <v>2325.92</v>
      </c>
      <c r="Z1150" s="683">
        <v>1333.33</v>
      </c>
      <c r="AA1150" s="683">
        <v>1333.33</v>
      </c>
      <c r="AB1150" s="683">
        <v>1333.33</v>
      </c>
      <c r="AC1150" s="683">
        <v>1333.33</v>
      </c>
      <c r="AD1150" s="683">
        <v>167.34</v>
      </c>
      <c r="AE1150" s="732"/>
      <c r="AF1150" s="732"/>
      <c r="AG1150" s="732"/>
      <c r="AH1150" s="732"/>
      <c r="AI1150" s="732"/>
      <c r="AJ1150" s="732"/>
      <c r="AK1150" s="732"/>
      <c r="AL1150" s="732"/>
      <c r="AM1150" s="732"/>
      <c r="AN1150" s="732"/>
      <c r="AO1150" s="732"/>
      <c r="AP1150" s="732"/>
      <c r="AQ1150" s="732"/>
      <c r="AR1150" s="732"/>
      <c r="AS1150" s="732"/>
      <c r="AT1150" s="732"/>
      <c r="AU1150" s="732"/>
      <c r="AV1150" s="732"/>
      <c r="AW1150" s="732"/>
      <c r="AX1150" s="732"/>
      <c r="AY1150" s="732"/>
      <c r="AZ1150" s="732"/>
      <c r="BA1150" s="732"/>
      <c r="BB1150" s="732"/>
      <c r="BC1150" s="732"/>
      <c r="BD1150" s="732"/>
      <c r="BE1150" s="732"/>
      <c r="BF1150" s="732"/>
      <c r="BG1150" s="732"/>
      <c r="BH1150" s="732"/>
      <c r="BI1150" s="732"/>
      <c r="BJ1150" s="732"/>
      <c r="BK1150" s="732"/>
      <c r="BL1150" s="732"/>
      <c r="BM1150" s="732"/>
      <c r="BN1150" s="732"/>
      <c r="BO1150" s="732"/>
      <c r="BP1150" s="732"/>
      <c r="BQ1150" s="732"/>
      <c r="BR1150" s="732"/>
      <c r="BS1150" s="732"/>
      <c r="BT1150" s="732"/>
      <c r="BU1150" s="732"/>
      <c r="BV1150" s="732"/>
      <c r="BW1150" s="732"/>
      <c r="BX1150" s="732"/>
      <c r="BY1150" s="732"/>
      <c r="BZ1150" s="732"/>
      <c r="CA1150" s="732"/>
    </row>
    <row r="1151" spans="1:79" s="309" customFormat="1" hidden="1" outlineLevel="1" x14ac:dyDescent="0.35">
      <c r="A1151" s="504"/>
      <c r="B1151" s="504"/>
      <c r="C1151" s="504"/>
      <c r="D1151" s="504"/>
      <c r="E1151" s="504"/>
      <c r="F1151" s="677" t="s">
        <v>910</v>
      </c>
      <c r="G1151" s="735"/>
      <c r="H1151" s="735"/>
      <c r="I1151" s="735"/>
      <c r="J1151" s="735"/>
      <c r="K1151" s="735"/>
      <c r="L1151" s="735"/>
      <c r="M1151" s="735"/>
      <c r="N1151" s="735"/>
      <c r="O1151" s="735"/>
      <c r="P1151" s="732"/>
      <c r="Q1151" s="732"/>
      <c r="R1151" s="732"/>
      <c r="S1151" s="683">
        <v>0</v>
      </c>
      <c r="T1151" s="683">
        <v>0</v>
      </c>
      <c r="U1151" s="683">
        <v>0</v>
      </c>
      <c r="V1151" s="683">
        <v>0</v>
      </c>
      <c r="W1151" s="683">
        <v>0</v>
      </c>
      <c r="X1151" s="683">
        <v>0</v>
      </c>
      <c r="Y1151" s="683">
        <v>0</v>
      </c>
      <c r="Z1151" s="683">
        <v>0</v>
      </c>
      <c r="AA1151" s="683">
        <v>0</v>
      </c>
      <c r="AB1151" s="683">
        <v>0</v>
      </c>
      <c r="AC1151" s="683">
        <v>0</v>
      </c>
      <c r="AD1151" s="683">
        <v>0</v>
      </c>
      <c r="AE1151" s="732"/>
      <c r="AF1151" s="732"/>
      <c r="AG1151" s="732"/>
      <c r="AH1151" s="732"/>
      <c r="AI1151" s="732"/>
      <c r="AJ1151" s="732"/>
      <c r="AK1151" s="732"/>
      <c r="AL1151" s="732"/>
      <c r="AM1151" s="732"/>
      <c r="AN1151" s="732"/>
      <c r="AO1151" s="732"/>
      <c r="AP1151" s="732"/>
      <c r="AQ1151" s="732"/>
      <c r="AR1151" s="732"/>
      <c r="AS1151" s="732"/>
      <c r="AT1151" s="732"/>
      <c r="AU1151" s="732"/>
      <c r="AV1151" s="732"/>
      <c r="AW1151" s="732"/>
      <c r="AX1151" s="732"/>
      <c r="AY1151" s="732"/>
      <c r="AZ1151" s="732"/>
      <c r="BA1151" s="732"/>
      <c r="BB1151" s="732"/>
      <c r="BC1151" s="732"/>
      <c r="BD1151" s="732"/>
      <c r="BE1151" s="732"/>
      <c r="BF1151" s="732"/>
      <c r="BG1151" s="732"/>
      <c r="BH1151" s="732"/>
      <c r="BI1151" s="732"/>
      <c r="BJ1151" s="732"/>
      <c r="BK1151" s="732"/>
      <c r="BL1151" s="732"/>
      <c r="BM1151" s="732"/>
      <c r="BN1151" s="732"/>
      <c r="BO1151" s="732"/>
      <c r="BP1151" s="732"/>
      <c r="BQ1151" s="732"/>
      <c r="BR1151" s="732"/>
      <c r="BS1151" s="732"/>
      <c r="BT1151" s="732"/>
      <c r="BU1151" s="732"/>
      <c r="BV1151" s="732"/>
      <c r="BW1151" s="732"/>
      <c r="BX1151" s="732"/>
      <c r="BY1151" s="732"/>
      <c r="BZ1151" s="732"/>
      <c r="CA1151" s="732"/>
    </row>
    <row r="1152" spans="1:79" s="309" customFormat="1" hidden="1" outlineLevel="1" x14ac:dyDescent="0.35">
      <c r="A1152" s="504"/>
      <c r="B1152" s="504"/>
      <c r="C1152" s="504"/>
      <c r="D1152" s="504"/>
      <c r="E1152" s="504"/>
      <c r="F1152" s="677" t="s">
        <v>647</v>
      </c>
      <c r="G1152" s="735"/>
      <c r="H1152" s="735"/>
      <c r="I1152" s="735"/>
      <c r="J1152" s="735"/>
      <c r="K1152" s="735"/>
      <c r="L1152" s="735"/>
      <c r="M1152" s="735"/>
      <c r="N1152" s="735"/>
      <c r="O1152" s="735"/>
      <c r="P1152" s="732"/>
      <c r="Q1152" s="732"/>
      <c r="R1152" s="732"/>
      <c r="S1152" s="683">
        <v>0</v>
      </c>
      <c r="T1152" s="683">
        <v>0</v>
      </c>
      <c r="U1152" s="683">
        <v>0</v>
      </c>
      <c r="V1152" s="683">
        <v>0</v>
      </c>
      <c r="W1152" s="683">
        <v>0</v>
      </c>
      <c r="X1152" s="683">
        <v>0</v>
      </c>
      <c r="Y1152" s="683">
        <v>0</v>
      </c>
      <c r="Z1152" s="683">
        <v>0</v>
      </c>
      <c r="AA1152" s="683">
        <v>0</v>
      </c>
      <c r="AB1152" s="683">
        <v>0</v>
      </c>
      <c r="AC1152" s="683">
        <v>0</v>
      </c>
      <c r="AD1152" s="683">
        <v>0</v>
      </c>
      <c r="AE1152" s="732"/>
      <c r="AF1152" s="732"/>
      <c r="AG1152" s="732"/>
      <c r="AH1152" s="732"/>
      <c r="AI1152" s="732"/>
      <c r="AJ1152" s="732"/>
      <c r="AK1152" s="732"/>
      <c r="AL1152" s="732"/>
      <c r="AM1152" s="732"/>
      <c r="AN1152" s="732"/>
      <c r="AO1152" s="732"/>
      <c r="AP1152" s="732"/>
      <c r="AQ1152" s="732"/>
      <c r="AR1152" s="732"/>
      <c r="AS1152" s="732"/>
      <c r="AT1152" s="732"/>
      <c r="AU1152" s="732"/>
      <c r="AV1152" s="732"/>
      <c r="AW1152" s="732"/>
      <c r="AX1152" s="732"/>
      <c r="AY1152" s="732"/>
      <c r="AZ1152" s="732"/>
      <c r="BA1152" s="732"/>
      <c r="BB1152" s="732"/>
      <c r="BC1152" s="732"/>
      <c r="BD1152" s="732"/>
      <c r="BE1152" s="732"/>
      <c r="BF1152" s="732"/>
      <c r="BG1152" s="732"/>
      <c r="BH1152" s="732"/>
      <c r="BI1152" s="732"/>
      <c r="BJ1152" s="732"/>
      <c r="BK1152" s="732"/>
      <c r="BL1152" s="732"/>
      <c r="BM1152" s="732"/>
      <c r="BN1152" s="732"/>
      <c r="BO1152" s="732"/>
      <c r="BP1152" s="732"/>
      <c r="BQ1152" s="732"/>
      <c r="BR1152" s="732"/>
      <c r="BS1152" s="732"/>
      <c r="BT1152" s="732"/>
      <c r="BU1152" s="732"/>
      <c r="BV1152" s="732"/>
      <c r="BW1152" s="732"/>
      <c r="BX1152" s="732"/>
      <c r="BY1152" s="732"/>
      <c r="BZ1152" s="732"/>
      <c r="CA1152" s="732"/>
    </row>
    <row r="1153" spans="1:79" s="309" customFormat="1" hidden="1" outlineLevel="1" x14ac:dyDescent="0.35">
      <c r="A1153" s="504"/>
      <c r="B1153" s="504"/>
      <c r="C1153" s="504"/>
      <c r="D1153" s="504"/>
      <c r="E1153" s="504"/>
      <c r="F1153" s="677" t="s">
        <v>648</v>
      </c>
      <c r="G1153" s="735"/>
      <c r="H1153" s="735"/>
      <c r="I1153" s="735"/>
      <c r="J1153" s="735"/>
      <c r="K1153" s="735"/>
      <c r="L1153" s="735"/>
      <c r="M1153" s="735"/>
      <c r="N1153" s="735"/>
      <c r="O1153" s="735"/>
      <c r="P1153" s="732"/>
      <c r="Q1153" s="732"/>
      <c r="R1153" s="732"/>
      <c r="S1153" s="683">
        <v>0</v>
      </c>
      <c r="T1153" s="683">
        <v>0</v>
      </c>
      <c r="U1153" s="683">
        <v>0</v>
      </c>
      <c r="V1153" s="683">
        <v>0</v>
      </c>
      <c r="W1153" s="683">
        <v>0</v>
      </c>
      <c r="X1153" s="683">
        <v>0</v>
      </c>
      <c r="Y1153" s="683">
        <v>0</v>
      </c>
      <c r="Z1153" s="683">
        <v>0</v>
      </c>
      <c r="AA1153" s="683">
        <v>0</v>
      </c>
      <c r="AB1153" s="683">
        <v>0</v>
      </c>
      <c r="AC1153" s="683">
        <v>0</v>
      </c>
      <c r="AD1153" s="683">
        <v>0</v>
      </c>
      <c r="AE1153" s="732"/>
      <c r="AF1153" s="732"/>
      <c r="AG1153" s="732"/>
      <c r="AH1153" s="732"/>
      <c r="AI1153" s="732"/>
      <c r="AJ1153" s="732"/>
      <c r="AK1153" s="732"/>
      <c r="AL1153" s="732"/>
      <c r="AM1153" s="732"/>
      <c r="AN1153" s="732"/>
      <c r="AO1153" s="732"/>
      <c r="AP1153" s="732"/>
      <c r="AQ1153" s="732"/>
      <c r="AR1153" s="732"/>
      <c r="AS1153" s="732"/>
      <c r="AT1153" s="732"/>
      <c r="AU1153" s="732"/>
      <c r="AV1153" s="732"/>
      <c r="AW1153" s="732"/>
      <c r="AX1153" s="732"/>
      <c r="AY1153" s="732"/>
      <c r="AZ1153" s="732"/>
      <c r="BA1153" s="732"/>
      <c r="BB1153" s="732"/>
      <c r="BC1153" s="732"/>
      <c r="BD1153" s="732"/>
      <c r="BE1153" s="732"/>
      <c r="BF1153" s="732"/>
      <c r="BG1153" s="732"/>
      <c r="BH1153" s="732"/>
      <c r="BI1153" s="732"/>
      <c r="BJ1153" s="732"/>
      <c r="BK1153" s="732"/>
      <c r="BL1153" s="732"/>
      <c r="BM1153" s="732"/>
      <c r="BN1153" s="732"/>
      <c r="BO1153" s="732"/>
      <c r="BP1153" s="732"/>
      <c r="BQ1153" s="732"/>
      <c r="BR1153" s="732"/>
      <c r="BS1153" s="732"/>
      <c r="BT1153" s="732"/>
      <c r="BU1153" s="732"/>
      <c r="BV1153" s="732"/>
      <c r="BW1153" s="732"/>
      <c r="BX1153" s="732"/>
      <c r="BY1153" s="732"/>
      <c r="BZ1153" s="732"/>
      <c r="CA1153" s="732"/>
    </row>
    <row r="1154" spans="1:79" s="309" customFormat="1" hidden="1" outlineLevel="1" x14ac:dyDescent="0.35">
      <c r="A1154" s="504"/>
      <c r="B1154" s="504"/>
      <c r="C1154" s="504"/>
      <c r="D1154" s="504"/>
      <c r="E1154" s="504"/>
      <c r="F1154" s="677" t="s">
        <v>640</v>
      </c>
      <c r="G1154" s="735"/>
      <c r="H1154" s="735"/>
      <c r="I1154" s="735"/>
      <c r="J1154" s="735"/>
      <c r="K1154" s="735"/>
      <c r="L1154" s="735"/>
      <c r="M1154" s="735"/>
      <c r="N1154" s="735"/>
      <c r="O1154" s="735"/>
      <c r="P1154" s="732"/>
      <c r="Q1154" s="732"/>
      <c r="R1154" s="732"/>
      <c r="S1154" s="683">
        <v>0</v>
      </c>
      <c r="T1154" s="683">
        <v>0</v>
      </c>
      <c r="U1154" s="683">
        <v>3692.31</v>
      </c>
      <c r="V1154" s="683">
        <v>12923.09</v>
      </c>
      <c r="W1154" s="683">
        <v>14153.85</v>
      </c>
      <c r="X1154" s="683">
        <v>12307.7</v>
      </c>
      <c r="Y1154" s="683">
        <v>14153.86</v>
      </c>
      <c r="Z1154" s="683">
        <v>13538.47</v>
      </c>
      <c r="AA1154" s="683">
        <v>12923.08</v>
      </c>
      <c r="AB1154" s="683">
        <v>14153.86</v>
      </c>
      <c r="AC1154" s="683">
        <v>12923.08</v>
      </c>
      <c r="AD1154" s="683">
        <v>13538.47</v>
      </c>
      <c r="AE1154" s="732"/>
      <c r="AF1154" s="732"/>
      <c r="AG1154" s="732"/>
      <c r="AH1154" s="732"/>
      <c r="AI1154" s="732"/>
      <c r="AJ1154" s="732"/>
      <c r="AK1154" s="732"/>
      <c r="AL1154" s="732"/>
      <c r="AM1154" s="732"/>
      <c r="AN1154" s="732"/>
      <c r="AO1154" s="732"/>
      <c r="AP1154" s="732"/>
      <c r="AQ1154" s="732"/>
      <c r="AR1154" s="732"/>
      <c r="AS1154" s="732"/>
      <c r="AT1154" s="732"/>
      <c r="AU1154" s="732"/>
      <c r="AV1154" s="732"/>
      <c r="AW1154" s="732"/>
      <c r="AX1154" s="732"/>
      <c r="AY1154" s="732"/>
      <c r="AZ1154" s="732"/>
      <c r="BA1154" s="732"/>
      <c r="BB1154" s="732"/>
      <c r="BC1154" s="732"/>
      <c r="BD1154" s="732"/>
      <c r="BE1154" s="732"/>
      <c r="BF1154" s="732"/>
      <c r="BG1154" s="732"/>
      <c r="BH1154" s="732"/>
      <c r="BI1154" s="732"/>
      <c r="BJ1154" s="732"/>
      <c r="BK1154" s="732"/>
      <c r="BL1154" s="732"/>
      <c r="BM1154" s="732"/>
      <c r="BN1154" s="732"/>
      <c r="BO1154" s="732"/>
      <c r="BP1154" s="732"/>
      <c r="BQ1154" s="732"/>
      <c r="BR1154" s="732"/>
      <c r="BS1154" s="732"/>
      <c r="BT1154" s="732"/>
      <c r="BU1154" s="732"/>
      <c r="BV1154" s="732"/>
      <c r="BW1154" s="732"/>
      <c r="BX1154" s="732"/>
      <c r="BY1154" s="732"/>
      <c r="BZ1154" s="732"/>
      <c r="CA1154" s="732"/>
    </row>
    <row r="1155" spans="1:79" hidden="1" outlineLevel="1" x14ac:dyDescent="0.35">
      <c r="A1155" s="504"/>
      <c r="B1155" s="504"/>
      <c r="C1155" s="504"/>
      <c r="D1155" s="504"/>
      <c r="E1155" s="504"/>
      <c r="F1155" s="677" t="s">
        <v>641</v>
      </c>
      <c r="G1155" s="735"/>
      <c r="H1155" s="735"/>
      <c r="I1155" s="735"/>
      <c r="J1155" s="735"/>
      <c r="K1155" s="735"/>
      <c r="L1155" s="735"/>
      <c r="M1155" s="735"/>
      <c r="N1155" s="735"/>
      <c r="O1155" s="735"/>
      <c r="P1155" s="732"/>
      <c r="Q1155" s="732"/>
      <c r="R1155" s="732"/>
      <c r="S1155" s="683">
        <v>0</v>
      </c>
      <c r="T1155" s="683">
        <v>0</v>
      </c>
      <c r="U1155" s="683">
        <v>118.02</v>
      </c>
      <c r="V1155" s="683">
        <v>512.82000000000005</v>
      </c>
      <c r="W1155" s="683">
        <v>515.63</v>
      </c>
      <c r="X1155" s="683">
        <v>505.8</v>
      </c>
      <c r="Y1155" s="683">
        <v>522.65</v>
      </c>
      <c r="Z1155" s="683">
        <v>-708.11</v>
      </c>
      <c r="AA1155" s="683">
        <v>505.79</v>
      </c>
      <c r="AB1155" s="683">
        <v>-92.73</v>
      </c>
      <c r="AC1155" s="683">
        <v>505.8</v>
      </c>
      <c r="AD1155" s="683">
        <v>-92.73</v>
      </c>
      <c r="AE1155" s="732"/>
      <c r="AF1155" s="732"/>
      <c r="AG1155" s="732"/>
      <c r="AH1155" s="732"/>
      <c r="AI1155" s="732"/>
      <c r="AJ1155" s="732"/>
      <c r="AK1155" s="732"/>
      <c r="AL1155" s="732"/>
      <c r="AM1155" s="732"/>
      <c r="AN1155" s="732"/>
      <c r="AO1155" s="732"/>
      <c r="AP1155" s="732"/>
      <c r="AQ1155" s="732"/>
      <c r="AR1155" s="732"/>
      <c r="AS1155" s="732"/>
      <c r="AT1155" s="732"/>
      <c r="AU1155" s="732"/>
      <c r="AV1155" s="732"/>
      <c r="AW1155" s="732"/>
      <c r="AX1155" s="732"/>
      <c r="AY1155" s="732"/>
      <c r="AZ1155" s="732"/>
      <c r="BA1155" s="732"/>
      <c r="BB1155" s="732"/>
      <c r="BC1155" s="732"/>
      <c r="BD1155" s="732"/>
      <c r="BE1155" s="732"/>
      <c r="BF1155" s="732"/>
      <c r="BG1155" s="732"/>
      <c r="BH1155" s="732"/>
      <c r="BI1155" s="732"/>
      <c r="BJ1155" s="732"/>
      <c r="BK1155" s="732"/>
      <c r="BL1155" s="732"/>
      <c r="BM1155" s="732"/>
      <c r="BN1155" s="732"/>
      <c r="BO1155" s="732"/>
      <c r="BP1155" s="732"/>
      <c r="BQ1155" s="732"/>
      <c r="BR1155" s="732"/>
      <c r="BS1155" s="732"/>
      <c r="BT1155" s="732"/>
      <c r="BU1155" s="732"/>
      <c r="BV1155" s="732"/>
      <c r="BW1155" s="732"/>
      <c r="BX1155" s="732"/>
      <c r="BY1155" s="732"/>
      <c r="BZ1155" s="732"/>
      <c r="CA1155" s="732"/>
    </row>
    <row r="1156" spans="1:79" hidden="1" outlineLevel="1" x14ac:dyDescent="0.35">
      <c r="A1156" s="504"/>
      <c r="B1156" s="504"/>
      <c r="C1156" s="504"/>
      <c r="D1156" s="504"/>
      <c r="E1156" s="504"/>
      <c r="F1156" s="677" t="s">
        <v>911</v>
      </c>
      <c r="G1156" s="735"/>
      <c r="H1156" s="735"/>
      <c r="I1156" s="735"/>
      <c r="J1156" s="735"/>
      <c r="K1156" s="735"/>
      <c r="L1156" s="735"/>
      <c r="M1156" s="735"/>
      <c r="N1156" s="735"/>
      <c r="O1156" s="735"/>
      <c r="P1156" s="732"/>
      <c r="Q1156" s="732"/>
      <c r="R1156" s="732"/>
      <c r="S1156" s="683">
        <v>0</v>
      </c>
      <c r="T1156" s="683">
        <v>0</v>
      </c>
      <c r="U1156" s="683">
        <v>0</v>
      </c>
      <c r="V1156" s="683">
        <v>0</v>
      </c>
      <c r="W1156" s="683">
        <v>0</v>
      </c>
      <c r="X1156" s="683">
        <v>0</v>
      </c>
      <c r="Y1156" s="683">
        <v>0</v>
      </c>
      <c r="Z1156" s="683">
        <v>0</v>
      </c>
      <c r="AA1156" s="683">
        <v>0</v>
      </c>
      <c r="AB1156" s="683">
        <v>0</v>
      </c>
      <c r="AC1156" s="683">
        <v>0</v>
      </c>
      <c r="AD1156" s="683">
        <v>0</v>
      </c>
      <c r="AE1156" s="732"/>
      <c r="AF1156" s="732"/>
      <c r="AG1156" s="732"/>
      <c r="AH1156" s="732"/>
      <c r="AI1156" s="732"/>
      <c r="AJ1156" s="732"/>
      <c r="AK1156" s="732"/>
      <c r="AL1156" s="732"/>
      <c r="AM1156" s="732"/>
      <c r="AN1156" s="732"/>
      <c r="AO1156" s="732"/>
      <c r="AP1156" s="732"/>
      <c r="AQ1156" s="732"/>
      <c r="AR1156" s="732"/>
      <c r="AS1156" s="732"/>
      <c r="AT1156" s="732"/>
      <c r="AU1156" s="732"/>
      <c r="AV1156" s="732"/>
      <c r="AW1156" s="732"/>
      <c r="AX1156" s="732"/>
      <c r="AY1156" s="732"/>
      <c r="AZ1156" s="732"/>
      <c r="BA1156" s="732"/>
      <c r="BB1156" s="732"/>
      <c r="BC1156" s="732"/>
      <c r="BD1156" s="732"/>
      <c r="BE1156" s="732"/>
      <c r="BF1156" s="732"/>
      <c r="BG1156" s="732"/>
      <c r="BH1156" s="732"/>
      <c r="BI1156" s="732"/>
      <c r="BJ1156" s="732"/>
      <c r="BK1156" s="732"/>
      <c r="BL1156" s="732"/>
      <c r="BM1156" s="732"/>
      <c r="BN1156" s="732"/>
      <c r="BO1156" s="732"/>
      <c r="BP1156" s="732"/>
      <c r="BQ1156" s="732"/>
      <c r="BR1156" s="732"/>
      <c r="BS1156" s="732"/>
      <c r="BT1156" s="732"/>
      <c r="BU1156" s="732"/>
      <c r="BV1156" s="732"/>
      <c r="BW1156" s="732"/>
      <c r="BX1156" s="732"/>
      <c r="BY1156" s="732"/>
      <c r="BZ1156" s="732"/>
      <c r="CA1156" s="732"/>
    </row>
    <row r="1157" spans="1:79" s="757" customFormat="1" hidden="1" outlineLevel="1" x14ac:dyDescent="0.35">
      <c r="A1157" s="504"/>
      <c r="B1157" s="504"/>
      <c r="C1157" s="504"/>
      <c r="D1157" s="504"/>
      <c r="E1157" s="504"/>
      <c r="F1157" s="677" t="s">
        <v>681</v>
      </c>
      <c r="G1157" s="735"/>
      <c r="H1157" s="735"/>
      <c r="I1157" s="735"/>
      <c r="J1157" s="735"/>
      <c r="K1157" s="735"/>
      <c r="L1157" s="735"/>
      <c r="M1157" s="735"/>
      <c r="N1157" s="735"/>
      <c r="O1157" s="735"/>
      <c r="P1157" s="732"/>
      <c r="Q1157" s="732"/>
      <c r="R1157" s="732"/>
      <c r="S1157" s="683">
        <v>0</v>
      </c>
      <c r="T1157" s="683">
        <v>0</v>
      </c>
      <c r="U1157" s="683">
        <v>0</v>
      </c>
      <c r="V1157" s="683">
        <v>0</v>
      </c>
      <c r="W1157" s="683">
        <v>0</v>
      </c>
      <c r="X1157" s="683">
        <v>0</v>
      </c>
      <c r="Y1157" s="683">
        <v>0</v>
      </c>
      <c r="Z1157" s="683">
        <v>0</v>
      </c>
      <c r="AA1157" s="683">
        <v>0</v>
      </c>
      <c r="AB1157" s="683">
        <v>0</v>
      </c>
      <c r="AC1157" s="683">
        <v>0</v>
      </c>
      <c r="AD1157" s="683">
        <v>0</v>
      </c>
      <c r="AE1157" s="732"/>
      <c r="AF1157" s="732"/>
      <c r="AG1157" s="732"/>
      <c r="AH1157" s="732"/>
      <c r="AI1157" s="732"/>
      <c r="AJ1157" s="732"/>
      <c r="AK1157" s="732"/>
      <c r="AL1157" s="732"/>
      <c r="AM1157" s="732"/>
      <c r="AN1157" s="732"/>
      <c r="AO1157" s="732"/>
      <c r="AP1157" s="732"/>
      <c r="AQ1157" s="732"/>
      <c r="AR1157" s="732"/>
      <c r="AS1157" s="732"/>
      <c r="AT1157" s="732"/>
      <c r="AU1157" s="732"/>
      <c r="AV1157" s="732"/>
      <c r="AW1157" s="732"/>
      <c r="AX1157" s="732"/>
      <c r="AY1157" s="732"/>
      <c r="AZ1157" s="732"/>
      <c r="BA1157" s="732"/>
      <c r="BB1157" s="732"/>
      <c r="BC1157" s="732"/>
      <c r="BD1157" s="732"/>
      <c r="BE1157" s="732"/>
      <c r="BF1157" s="732"/>
      <c r="BG1157" s="732"/>
      <c r="BH1157" s="732"/>
      <c r="BI1157" s="732"/>
      <c r="BJ1157" s="732"/>
      <c r="BK1157" s="732"/>
      <c r="BL1157" s="732"/>
      <c r="BM1157" s="732"/>
      <c r="BN1157" s="732"/>
      <c r="BO1157" s="732"/>
      <c r="BP1157" s="732"/>
      <c r="BQ1157" s="732"/>
      <c r="BR1157" s="732"/>
      <c r="BS1157" s="732"/>
      <c r="BT1157" s="732"/>
      <c r="BU1157" s="732"/>
      <c r="BV1157" s="732"/>
      <c r="BW1157" s="732"/>
      <c r="BX1157" s="732"/>
      <c r="BY1157" s="732"/>
      <c r="BZ1157" s="732"/>
      <c r="CA1157" s="732"/>
    </row>
    <row r="1158" spans="1:79" s="452" customFormat="1" hidden="1" outlineLevel="1" x14ac:dyDescent="0.35">
      <c r="A1158" s="30"/>
      <c r="B1158" s="30"/>
      <c r="C1158" s="30"/>
      <c r="D1158" s="30"/>
      <c r="E1158" s="30"/>
      <c r="F1158" s="673" t="s">
        <v>642</v>
      </c>
      <c r="G1158" s="680">
        <f>SUM(G1150:G1157)</f>
        <v>0</v>
      </c>
      <c r="H1158" s="680">
        <f t="shared" ref="H1158:BO1158" si="439">SUM(H1150:H1157)</f>
        <v>0</v>
      </c>
      <c r="I1158" s="680">
        <f t="shared" si="439"/>
        <v>0</v>
      </c>
      <c r="J1158" s="680">
        <f t="shared" si="439"/>
        <v>0</v>
      </c>
      <c r="K1158" s="680">
        <f t="shared" si="439"/>
        <v>0</v>
      </c>
      <c r="L1158" s="680">
        <f t="shared" si="439"/>
        <v>0</v>
      </c>
      <c r="M1158" s="680">
        <f t="shared" si="439"/>
        <v>0</v>
      </c>
      <c r="N1158" s="680">
        <f t="shared" si="439"/>
        <v>0</v>
      </c>
      <c r="O1158" s="680">
        <f t="shared" si="439"/>
        <v>0</v>
      </c>
      <c r="P1158" s="680">
        <f t="shared" si="439"/>
        <v>0</v>
      </c>
      <c r="Q1158" s="680">
        <f t="shared" si="439"/>
        <v>0</v>
      </c>
      <c r="R1158" s="680">
        <f t="shared" si="439"/>
        <v>0</v>
      </c>
      <c r="S1158" s="695">
        <f t="shared" ref="S1158:AA1158" si="440">ROUND(SUM(S1149:S1157),5)</f>
        <v>1333.33</v>
      </c>
      <c r="T1158" s="695">
        <f t="shared" si="440"/>
        <v>1333.33</v>
      </c>
      <c r="U1158" s="695">
        <f t="shared" si="440"/>
        <v>5143.66</v>
      </c>
      <c r="V1158" s="695">
        <f t="shared" si="440"/>
        <v>14769.24</v>
      </c>
      <c r="W1158" s="695">
        <f t="shared" si="440"/>
        <v>16002.81</v>
      </c>
      <c r="X1158" s="695">
        <f t="shared" si="440"/>
        <v>14146.83</v>
      </c>
      <c r="Y1158" s="695">
        <f t="shared" si="440"/>
        <v>17002.43</v>
      </c>
      <c r="Z1158" s="695">
        <f t="shared" si="440"/>
        <v>14163.69</v>
      </c>
      <c r="AA1158" s="695">
        <f t="shared" si="440"/>
        <v>14762.2</v>
      </c>
      <c r="AB1158" s="695">
        <f>ROUND(SUM(AB1149:AB1157),5)</f>
        <v>15394.46</v>
      </c>
      <c r="AC1158" s="695">
        <f>ROUND(SUM(AC1149:AC1157),5)</f>
        <v>14762.21</v>
      </c>
      <c r="AD1158" s="695">
        <f>ROUND(SUM(AD1149:AD1157),5)</f>
        <v>13613.08</v>
      </c>
      <c r="AE1158" s="680">
        <f t="shared" si="439"/>
        <v>0</v>
      </c>
      <c r="AF1158" s="680">
        <f t="shared" si="439"/>
        <v>0</v>
      </c>
      <c r="AG1158" s="680">
        <f t="shared" si="439"/>
        <v>0</v>
      </c>
      <c r="AH1158" s="680">
        <f t="shared" si="439"/>
        <v>0</v>
      </c>
      <c r="AI1158" s="680">
        <f t="shared" si="439"/>
        <v>0</v>
      </c>
      <c r="AJ1158" s="680">
        <f t="shared" si="439"/>
        <v>0</v>
      </c>
      <c r="AK1158" s="680">
        <f t="shared" si="439"/>
        <v>0</v>
      </c>
      <c r="AL1158" s="680">
        <f t="shared" si="439"/>
        <v>0</v>
      </c>
      <c r="AM1158" s="680">
        <f t="shared" si="439"/>
        <v>0</v>
      </c>
      <c r="AN1158" s="680">
        <f t="shared" si="439"/>
        <v>0</v>
      </c>
      <c r="AO1158" s="680">
        <f t="shared" si="439"/>
        <v>0</v>
      </c>
      <c r="AP1158" s="680">
        <f t="shared" si="439"/>
        <v>0</v>
      </c>
      <c r="AQ1158" s="680">
        <f t="shared" si="439"/>
        <v>0</v>
      </c>
      <c r="AR1158" s="680">
        <f t="shared" si="439"/>
        <v>0</v>
      </c>
      <c r="AS1158" s="680">
        <f t="shared" si="439"/>
        <v>0</v>
      </c>
      <c r="AT1158" s="680">
        <f t="shared" si="439"/>
        <v>0</v>
      </c>
      <c r="AU1158" s="680">
        <f t="shared" si="439"/>
        <v>0</v>
      </c>
      <c r="AV1158" s="680">
        <f t="shared" si="439"/>
        <v>0</v>
      </c>
      <c r="AW1158" s="680">
        <f t="shared" si="439"/>
        <v>0</v>
      </c>
      <c r="AX1158" s="680">
        <f t="shared" si="439"/>
        <v>0</v>
      </c>
      <c r="AY1158" s="680">
        <f t="shared" si="439"/>
        <v>0</v>
      </c>
      <c r="AZ1158" s="680">
        <f t="shared" si="439"/>
        <v>0</v>
      </c>
      <c r="BA1158" s="680">
        <f t="shared" si="439"/>
        <v>0</v>
      </c>
      <c r="BB1158" s="680">
        <f t="shared" si="439"/>
        <v>0</v>
      </c>
      <c r="BC1158" s="680">
        <f t="shared" si="439"/>
        <v>0</v>
      </c>
      <c r="BD1158" s="680">
        <f t="shared" si="439"/>
        <v>0</v>
      </c>
      <c r="BE1158" s="680">
        <f t="shared" si="439"/>
        <v>0</v>
      </c>
      <c r="BF1158" s="680">
        <f t="shared" si="439"/>
        <v>0</v>
      </c>
      <c r="BG1158" s="680">
        <f t="shared" si="439"/>
        <v>0</v>
      </c>
      <c r="BH1158" s="680">
        <f t="shared" si="439"/>
        <v>0</v>
      </c>
      <c r="BI1158" s="680">
        <f t="shared" si="439"/>
        <v>0</v>
      </c>
      <c r="BJ1158" s="680">
        <f t="shared" si="439"/>
        <v>0</v>
      </c>
      <c r="BK1158" s="680">
        <f t="shared" si="439"/>
        <v>0</v>
      </c>
      <c r="BL1158" s="680">
        <f t="shared" si="439"/>
        <v>0</v>
      </c>
      <c r="BM1158" s="680">
        <f t="shared" si="439"/>
        <v>0</v>
      </c>
      <c r="BN1158" s="680">
        <f t="shared" si="439"/>
        <v>0</v>
      </c>
      <c r="BO1158" s="680">
        <f t="shared" si="439"/>
        <v>0</v>
      </c>
      <c r="BP1158" s="680">
        <f t="shared" ref="BP1158:CA1158" si="441">SUM(BP1150:BP1157)</f>
        <v>0</v>
      </c>
      <c r="BQ1158" s="680">
        <f t="shared" si="441"/>
        <v>0</v>
      </c>
      <c r="BR1158" s="680">
        <f t="shared" si="441"/>
        <v>0</v>
      </c>
      <c r="BS1158" s="680">
        <f t="shared" si="441"/>
        <v>0</v>
      </c>
      <c r="BT1158" s="680">
        <f t="shared" si="441"/>
        <v>0</v>
      </c>
      <c r="BU1158" s="680">
        <f t="shared" si="441"/>
        <v>0</v>
      </c>
      <c r="BV1158" s="680">
        <f t="shared" si="441"/>
        <v>0</v>
      </c>
      <c r="BW1158" s="680">
        <f t="shared" si="441"/>
        <v>0</v>
      </c>
      <c r="BX1158" s="680">
        <f t="shared" si="441"/>
        <v>0</v>
      </c>
      <c r="BY1158" s="680">
        <f t="shared" si="441"/>
        <v>0</v>
      </c>
      <c r="BZ1158" s="680">
        <f t="shared" si="441"/>
        <v>0</v>
      </c>
      <c r="CA1158" s="680">
        <f t="shared" si="441"/>
        <v>0</v>
      </c>
    </row>
    <row r="1159" spans="1:79" s="452" customFormat="1" hidden="1" outlineLevel="1" x14ac:dyDescent="0.35">
      <c r="A1159" s="575"/>
      <c r="B1159" s="575"/>
      <c r="C1159" s="575"/>
      <c r="D1159" s="575"/>
      <c r="E1159" s="575"/>
      <c r="F1159" s="672" t="s">
        <v>643</v>
      </c>
      <c r="G1159" s="735"/>
      <c r="H1159" s="735"/>
      <c r="I1159" s="735"/>
      <c r="J1159" s="735"/>
      <c r="K1159" s="735"/>
      <c r="L1159" s="735"/>
      <c r="M1159" s="735"/>
      <c r="N1159" s="735"/>
      <c r="O1159" s="735"/>
      <c r="P1159" s="732"/>
      <c r="Q1159" s="732"/>
      <c r="R1159" s="732"/>
      <c r="S1159" s="687">
        <v>0</v>
      </c>
      <c r="T1159" s="687">
        <v>0</v>
      </c>
      <c r="U1159" s="687">
        <v>0</v>
      </c>
      <c r="V1159" s="687">
        <v>0</v>
      </c>
      <c r="W1159" s="687">
        <v>0</v>
      </c>
      <c r="X1159" s="687">
        <v>0</v>
      </c>
      <c r="Y1159" s="687">
        <v>0</v>
      </c>
      <c r="Z1159" s="687">
        <v>0</v>
      </c>
      <c r="AA1159" s="687">
        <v>0</v>
      </c>
      <c r="AB1159" s="687">
        <v>0</v>
      </c>
      <c r="AC1159" s="687">
        <v>0</v>
      </c>
      <c r="AD1159" s="687">
        <v>0</v>
      </c>
      <c r="AE1159" s="732"/>
      <c r="AF1159" s="732"/>
      <c r="AG1159" s="732"/>
      <c r="AH1159" s="732"/>
      <c r="AI1159" s="732"/>
      <c r="AJ1159" s="732"/>
      <c r="AK1159" s="732"/>
      <c r="AL1159" s="732"/>
      <c r="AM1159" s="732"/>
      <c r="AN1159" s="732"/>
      <c r="AO1159" s="732"/>
      <c r="AP1159" s="732"/>
      <c r="AQ1159" s="732"/>
      <c r="AR1159" s="732"/>
      <c r="AS1159" s="732"/>
      <c r="AT1159" s="732"/>
      <c r="AU1159" s="732"/>
      <c r="AV1159" s="732"/>
      <c r="AW1159" s="732"/>
      <c r="AX1159" s="732"/>
      <c r="AY1159" s="732"/>
      <c r="AZ1159" s="732"/>
      <c r="BA1159" s="732"/>
      <c r="BB1159" s="732"/>
      <c r="BC1159" s="732"/>
      <c r="BD1159" s="732"/>
      <c r="BE1159" s="732"/>
      <c r="BF1159" s="732"/>
      <c r="BG1159" s="732"/>
      <c r="BH1159" s="732"/>
      <c r="BI1159" s="732"/>
      <c r="BJ1159" s="732"/>
      <c r="BK1159" s="732"/>
      <c r="BL1159" s="732"/>
      <c r="BM1159" s="732"/>
      <c r="BN1159" s="732"/>
      <c r="BO1159" s="732"/>
      <c r="BP1159" s="732"/>
      <c r="BQ1159" s="732"/>
      <c r="BR1159" s="732"/>
      <c r="BS1159" s="732"/>
      <c r="BT1159" s="732"/>
      <c r="BU1159" s="732"/>
      <c r="BV1159" s="732"/>
      <c r="BW1159" s="732"/>
      <c r="BX1159" s="732"/>
      <c r="BY1159" s="732"/>
      <c r="BZ1159" s="732"/>
      <c r="CA1159" s="732"/>
    </row>
    <row r="1160" spans="1:79" s="309" customFormat="1" hidden="1" outlineLevel="1" x14ac:dyDescent="0.35">
      <c r="A1160" s="30"/>
      <c r="B1160" s="30"/>
      <c r="C1160" s="30"/>
      <c r="D1160" s="30"/>
      <c r="E1160" s="30"/>
      <c r="F1160" s="675" t="s">
        <v>644</v>
      </c>
      <c r="G1160" s="680">
        <f>G1158+G1148</f>
        <v>0</v>
      </c>
      <c r="H1160" s="680">
        <f t="shared" ref="H1160:BO1160" si="442">H1158+H1148</f>
        <v>0</v>
      </c>
      <c r="I1160" s="680">
        <f t="shared" si="442"/>
        <v>0</v>
      </c>
      <c r="J1160" s="680">
        <f t="shared" si="442"/>
        <v>0</v>
      </c>
      <c r="K1160" s="680">
        <f t="shared" si="442"/>
        <v>0</v>
      </c>
      <c r="L1160" s="680">
        <f t="shared" si="442"/>
        <v>0</v>
      </c>
      <c r="M1160" s="680">
        <f t="shared" si="442"/>
        <v>0</v>
      </c>
      <c r="N1160" s="680">
        <f t="shared" si="442"/>
        <v>0</v>
      </c>
      <c r="O1160" s="680">
        <f t="shared" si="442"/>
        <v>0</v>
      </c>
      <c r="P1160" s="680">
        <f t="shared" si="442"/>
        <v>0</v>
      </c>
      <c r="Q1160" s="680">
        <f t="shared" si="442"/>
        <v>0</v>
      </c>
      <c r="R1160" s="680">
        <f t="shared" si="442"/>
        <v>0</v>
      </c>
      <c r="S1160" s="695">
        <f t="shared" ref="S1160:AB1160" si="443">ROUND(S1131+S1138+S1148+SUM(S1158:S1159),5)</f>
        <v>1352.66</v>
      </c>
      <c r="T1160" s="695">
        <f t="shared" si="443"/>
        <v>1352.66</v>
      </c>
      <c r="U1160" s="695">
        <f t="shared" si="443"/>
        <v>5618.98</v>
      </c>
      <c r="V1160" s="695">
        <f t="shared" si="443"/>
        <v>15888.66</v>
      </c>
      <c r="W1160" s="695">
        <f t="shared" si="443"/>
        <v>17067.419999999998</v>
      </c>
      <c r="X1160" s="695">
        <f t="shared" si="443"/>
        <v>15091.4</v>
      </c>
      <c r="Y1160" s="695">
        <f t="shared" si="443"/>
        <v>18089.82</v>
      </c>
      <c r="Z1160" s="695">
        <f t="shared" si="443"/>
        <v>15236.01</v>
      </c>
      <c r="AA1160" s="695">
        <f t="shared" si="443"/>
        <v>15735.91</v>
      </c>
      <c r="AB1160" s="695">
        <f t="shared" si="443"/>
        <v>16459.080000000002</v>
      </c>
      <c r="AC1160" s="695">
        <f>ROUND(AC1131+AC1138+AC1148+SUM(AC1158:AC1159),5)</f>
        <v>16738.830000000002</v>
      </c>
      <c r="AD1160" s="695">
        <f>ROUND(AD1131+AD1138+AD1148+SUM(AD1158:AD1159),5)</f>
        <v>15036.74</v>
      </c>
      <c r="AE1160" s="680">
        <f t="shared" si="442"/>
        <v>0</v>
      </c>
      <c r="AF1160" s="680">
        <f t="shared" si="442"/>
        <v>0</v>
      </c>
      <c r="AG1160" s="680">
        <f t="shared" si="442"/>
        <v>0</v>
      </c>
      <c r="AH1160" s="680">
        <f t="shared" si="442"/>
        <v>0</v>
      </c>
      <c r="AI1160" s="680">
        <f t="shared" si="442"/>
        <v>0</v>
      </c>
      <c r="AJ1160" s="680">
        <f t="shared" si="442"/>
        <v>0</v>
      </c>
      <c r="AK1160" s="680">
        <f t="shared" si="442"/>
        <v>0</v>
      </c>
      <c r="AL1160" s="680">
        <f t="shared" si="442"/>
        <v>0</v>
      </c>
      <c r="AM1160" s="680">
        <f t="shared" si="442"/>
        <v>0</v>
      </c>
      <c r="AN1160" s="680">
        <f t="shared" si="442"/>
        <v>0</v>
      </c>
      <c r="AO1160" s="680">
        <f t="shared" si="442"/>
        <v>0</v>
      </c>
      <c r="AP1160" s="680">
        <f t="shared" si="442"/>
        <v>0</v>
      </c>
      <c r="AQ1160" s="680">
        <f t="shared" si="442"/>
        <v>0</v>
      </c>
      <c r="AR1160" s="680">
        <f t="shared" si="442"/>
        <v>0</v>
      </c>
      <c r="AS1160" s="680">
        <f t="shared" si="442"/>
        <v>0</v>
      </c>
      <c r="AT1160" s="680">
        <f t="shared" si="442"/>
        <v>0</v>
      </c>
      <c r="AU1160" s="680">
        <f t="shared" si="442"/>
        <v>0</v>
      </c>
      <c r="AV1160" s="680">
        <f t="shared" si="442"/>
        <v>0</v>
      </c>
      <c r="AW1160" s="680">
        <f t="shared" si="442"/>
        <v>0</v>
      </c>
      <c r="AX1160" s="680">
        <f t="shared" si="442"/>
        <v>0</v>
      </c>
      <c r="AY1160" s="680">
        <f t="shared" si="442"/>
        <v>0</v>
      </c>
      <c r="AZ1160" s="680">
        <f t="shared" si="442"/>
        <v>0</v>
      </c>
      <c r="BA1160" s="680">
        <f t="shared" si="442"/>
        <v>0</v>
      </c>
      <c r="BB1160" s="680">
        <f t="shared" si="442"/>
        <v>0</v>
      </c>
      <c r="BC1160" s="680">
        <f t="shared" si="442"/>
        <v>0</v>
      </c>
      <c r="BD1160" s="680">
        <f t="shared" si="442"/>
        <v>0</v>
      </c>
      <c r="BE1160" s="680">
        <f t="shared" si="442"/>
        <v>0</v>
      </c>
      <c r="BF1160" s="680">
        <f t="shared" si="442"/>
        <v>0</v>
      </c>
      <c r="BG1160" s="680">
        <f t="shared" si="442"/>
        <v>0</v>
      </c>
      <c r="BH1160" s="680">
        <f t="shared" si="442"/>
        <v>0</v>
      </c>
      <c r="BI1160" s="680">
        <f t="shared" si="442"/>
        <v>0</v>
      </c>
      <c r="BJ1160" s="680">
        <f t="shared" si="442"/>
        <v>0</v>
      </c>
      <c r="BK1160" s="680">
        <f t="shared" si="442"/>
        <v>0</v>
      </c>
      <c r="BL1160" s="680">
        <f t="shared" si="442"/>
        <v>0</v>
      </c>
      <c r="BM1160" s="680">
        <f t="shared" si="442"/>
        <v>0</v>
      </c>
      <c r="BN1160" s="680">
        <f t="shared" si="442"/>
        <v>0</v>
      </c>
      <c r="BO1160" s="680">
        <f t="shared" si="442"/>
        <v>0</v>
      </c>
      <c r="BP1160" s="680">
        <f t="shared" ref="BP1160:CA1160" si="444">BP1158+BP1148</f>
        <v>0</v>
      </c>
      <c r="BQ1160" s="680">
        <f t="shared" si="444"/>
        <v>0</v>
      </c>
      <c r="BR1160" s="680">
        <f t="shared" si="444"/>
        <v>0</v>
      </c>
      <c r="BS1160" s="680">
        <f t="shared" si="444"/>
        <v>0</v>
      </c>
      <c r="BT1160" s="680">
        <f t="shared" si="444"/>
        <v>0</v>
      </c>
      <c r="BU1160" s="680">
        <f t="shared" si="444"/>
        <v>0</v>
      </c>
      <c r="BV1160" s="680">
        <f t="shared" si="444"/>
        <v>0</v>
      </c>
      <c r="BW1160" s="680">
        <f t="shared" si="444"/>
        <v>0</v>
      </c>
      <c r="BX1160" s="680">
        <f t="shared" si="444"/>
        <v>0</v>
      </c>
      <c r="BY1160" s="680">
        <f t="shared" si="444"/>
        <v>0</v>
      </c>
      <c r="BZ1160" s="680">
        <f t="shared" si="444"/>
        <v>0</v>
      </c>
      <c r="CA1160" s="680">
        <f t="shared" si="444"/>
        <v>0</v>
      </c>
    </row>
    <row r="1161" spans="1:79" s="309" customFormat="1" hidden="1" outlineLevel="1" x14ac:dyDescent="0.35">
      <c r="A1161" s="575"/>
      <c r="B1161" s="575"/>
      <c r="C1161" s="575"/>
      <c r="D1161" s="575"/>
      <c r="E1161" s="575"/>
      <c r="F1161" s="671" t="s">
        <v>912</v>
      </c>
      <c r="G1161" s="735"/>
      <c r="H1161" s="735"/>
      <c r="I1161" s="735"/>
      <c r="J1161" s="735"/>
      <c r="K1161" s="735"/>
      <c r="L1161" s="735"/>
      <c r="M1161" s="735"/>
      <c r="N1161" s="735"/>
      <c r="O1161" s="735"/>
      <c r="P1161" s="732"/>
      <c r="Q1161" s="732"/>
      <c r="R1161" s="732"/>
      <c r="S1161" s="700">
        <v>0</v>
      </c>
      <c r="T1161" s="700">
        <v>0</v>
      </c>
      <c r="U1161" s="700">
        <v>0</v>
      </c>
      <c r="V1161" s="700">
        <v>0</v>
      </c>
      <c r="W1161" s="700">
        <v>0</v>
      </c>
      <c r="X1161" s="700">
        <v>0</v>
      </c>
      <c r="Y1161" s="700">
        <v>0</v>
      </c>
      <c r="Z1161" s="700">
        <v>0</v>
      </c>
      <c r="AA1161" s="700">
        <v>0</v>
      </c>
      <c r="AB1161" s="700">
        <v>0</v>
      </c>
      <c r="AC1161" s="700">
        <v>0</v>
      </c>
      <c r="AD1161" s="700">
        <v>0</v>
      </c>
      <c r="AE1161" s="732"/>
      <c r="AF1161" s="732"/>
      <c r="AG1161" s="732"/>
      <c r="AH1161" s="732"/>
      <c r="AI1161" s="732"/>
      <c r="AJ1161" s="732"/>
      <c r="AK1161" s="732"/>
      <c r="AL1161" s="732"/>
      <c r="AM1161" s="732"/>
      <c r="AN1161" s="732"/>
      <c r="AO1161" s="732"/>
      <c r="AP1161" s="732"/>
      <c r="AQ1161" s="732"/>
      <c r="AR1161" s="732"/>
      <c r="AS1161" s="732"/>
      <c r="AT1161" s="732"/>
      <c r="AU1161" s="732"/>
      <c r="AV1161" s="732"/>
      <c r="AW1161" s="732"/>
      <c r="AX1161" s="732"/>
      <c r="AY1161" s="732"/>
      <c r="AZ1161" s="732"/>
      <c r="BA1161" s="732"/>
      <c r="BB1161" s="732"/>
      <c r="BC1161" s="732"/>
      <c r="BD1161" s="732"/>
      <c r="BE1161" s="732"/>
      <c r="BF1161" s="732"/>
      <c r="BG1161" s="732"/>
      <c r="BH1161" s="732"/>
      <c r="BI1161" s="732"/>
      <c r="BJ1161" s="732"/>
      <c r="BK1161" s="732"/>
      <c r="BL1161" s="732"/>
      <c r="BM1161" s="732"/>
      <c r="BN1161" s="732"/>
      <c r="BO1161" s="732"/>
      <c r="BP1161" s="732"/>
      <c r="BQ1161" s="732"/>
      <c r="BR1161" s="732"/>
      <c r="BS1161" s="732"/>
      <c r="BT1161" s="732"/>
      <c r="BU1161" s="732"/>
      <c r="BV1161" s="732"/>
      <c r="BW1161" s="732"/>
      <c r="BX1161" s="732"/>
      <c r="BY1161" s="732"/>
      <c r="BZ1161" s="732"/>
      <c r="CA1161" s="732"/>
    </row>
    <row r="1162" spans="1:79" s="726" customFormat="1" hidden="1" outlineLevel="1" x14ac:dyDescent="0.35">
      <c r="F1162" s="717" t="s">
        <v>606</v>
      </c>
      <c r="G1162" s="750"/>
      <c r="H1162" s="750"/>
      <c r="I1162" s="750"/>
      <c r="J1162" s="750"/>
      <c r="K1162" s="750"/>
      <c r="L1162" s="750"/>
      <c r="M1162" s="750"/>
      <c r="N1162" s="750"/>
      <c r="O1162" s="750"/>
      <c r="P1162" s="751"/>
      <c r="Q1162" s="751"/>
      <c r="R1162" s="751"/>
      <c r="S1162" s="713"/>
      <c r="T1162" s="713"/>
      <c r="U1162" s="713"/>
      <c r="V1162" s="713"/>
      <c r="W1162" s="713"/>
      <c r="X1162" s="713"/>
      <c r="Y1162" s="713"/>
      <c r="Z1162" s="713"/>
      <c r="AA1162" s="713"/>
      <c r="AB1162" s="713"/>
      <c r="AC1162" s="713"/>
      <c r="AD1162" s="713"/>
      <c r="AE1162" s="751"/>
      <c r="AF1162" s="751"/>
      <c r="AG1162" s="751"/>
      <c r="AH1162" s="751"/>
      <c r="AI1162" s="751"/>
      <c r="AJ1162" s="751"/>
      <c r="AK1162" s="751"/>
      <c r="AL1162" s="751"/>
      <c r="AM1162" s="751"/>
      <c r="AN1162" s="751"/>
      <c r="AO1162" s="751"/>
      <c r="AP1162" s="751"/>
      <c r="AQ1162" s="751"/>
      <c r="AR1162" s="751"/>
      <c r="AS1162" s="751"/>
      <c r="AT1162" s="751"/>
      <c r="AU1162" s="751"/>
      <c r="AV1162" s="751"/>
      <c r="AW1162" s="751"/>
      <c r="AX1162" s="751"/>
      <c r="AY1162" s="751"/>
      <c r="AZ1162" s="751"/>
      <c r="BA1162" s="751"/>
      <c r="BB1162" s="751"/>
      <c r="BC1162" s="751"/>
      <c r="BD1162" s="751"/>
      <c r="BE1162" s="751"/>
      <c r="BF1162" s="751"/>
      <c r="BG1162" s="751"/>
      <c r="BH1162" s="751"/>
      <c r="BI1162" s="751"/>
      <c r="BJ1162" s="751"/>
      <c r="BK1162" s="751"/>
      <c r="BL1162" s="751"/>
      <c r="BM1162" s="751"/>
      <c r="BN1162" s="751"/>
      <c r="BO1162" s="751"/>
      <c r="BP1162" s="751"/>
      <c r="BQ1162" s="751"/>
      <c r="BR1162" s="751"/>
      <c r="BS1162" s="751"/>
      <c r="BT1162" s="751"/>
      <c r="BU1162" s="751"/>
      <c r="BV1162" s="751"/>
      <c r="BW1162" s="751"/>
      <c r="BX1162" s="751"/>
      <c r="BY1162" s="751"/>
      <c r="BZ1162" s="751"/>
      <c r="CA1162" s="751"/>
    </row>
    <row r="1163" spans="1:79" s="309" customFormat="1" hidden="1" outlineLevel="1" x14ac:dyDescent="0.35">
      <c r="A1163" s="575"/>
      <c r="B1163" s="575"/>
      <c r="C1163" s="575"/>
      <c r="D1163" s="575"/>
      <c r="E1163" s="575"/>
      <c r="F1163" s="672" t="s">
        <v>645</v>
      </c>
      <c r="G1163" s="735"/>
      <c r="H1163" s="735"/>
      <c r="I1163" s="735"/>
      <c r="J1163" s="735"/>
      <c r="K1163" s="735"/>
      <c r="L1163" s="735"/>
      <c r="M1163" s="735"/>
      <c r="N1163" s="735"/>
      <c r="O1163" s="735"/>
      <c r="P1163" s="732"/>
      <c r="Q1163" s="732"/>
      <c r="R1163" s="732"/>
      <c r="S1163" s="683">
        <v>0</v>
      </c>
      <c r="T1163" s="683">
        <v>0</v>
      </c>
      <c r="U1163" s="683">
        <v>0</v>
      </c>
      <c r="V1163" s="683">
        <v>-426.02</v>
      </c>
      <c r="W1163" s="683">
        <v>2186.21</v>
      </c>
      <c r="X1163" s="683">
        <v>1199.6099999999999</v>
      </c>
      <c r="Y1163" s="683">
        <v>986.64</v>
      </c>
      <c r="Z1163" s="683">
        <v>967.38</v>
      </c>
      <c r="AA1163" s="683">
        <v>977.08</v>
      </c>
      <c r="AB1163" s="683">
        <v>986.61</v>
      </c>
      <c r="AC1163" s="683">
        <v>0</v>
      </c>
      <c r="AD1163" s="683">
        <v>0</v>
      </c>
      <c r="AE1163" s="732"/>
      <c r="AF1163" s="732"/>
      <c r="AG1163" s="732"/>
      <c r="AH1163" s="732"/>
      <c r="AI1163" s="732"/>
      <c r="AJ1163" s="732"/>
      <c r="AK1163" s="732"/>
      <c r="AL1163" s="732"/>
      <c r="AM1163" s="732"/>
      <c r="AN1163" s="732"/>
      <c r="AO1163" s="732"/>
      <c r="AP1163" s="732"/>
      <c r="AQ1163" s="732"/>
      <c r="AR1163" s="732"/>
      <c r="AS1163" s="732"/>
      <c r="AT1163" s="732"/>
      <c r="AU1163" s="732"/>
      <c r="AV1163" s="732"/>
      <c r="AW1163" s="732"/>
      <c r="AX1163" s="732"/>
      <c r="AY1163" s="732"/>
      <c r="AZ1163" s="732"/>
      <c r="BA1163" s="732"/>
      <c r="BB1163" s="732"/>
      <c r="BC1163" s="732"/>
      <c r="BD1163" s="732"/>
      <c r="BE1163" s="732"/>
      <c r="BF1163" s="732"/>
      <c r="BG1163" s="732"/>
      <c r="BH1163" s="732"/>
      <c r="BI1163" s="732"/>
      <c r="BJ1163" s="732"/>
      <c r="BK1163" s="732"/>
      <c r="BL1163" s="732"/>
      <c r="BM1163" s="732"/>
      <c r="BN1163" s="732"/>
      <c r="BO1163" s="732"/>
      <c r="BP1163" s="732"/>
      <c r="BQ1163" s="732"/>
      <c r="BR1163" s="732"/>
      <c r="BS1163" s="732"/>
      <c r="BT1163" s="732"/>
      <c r="BU1163" s="732"/>
      <c r="BV1163" s="732"/>
      <c r="BW1163" s="732"/>
      <c r="BX1163" s="732"/>
      <c r="BY1163" s="732"/>
      <c r="BZ1163" s="732"/>
      <c r="CA1163" s="732"/>
    </row>
    <row r="1164" spans="1:79" s="309" customFormat="1" hidden="1" outlineLevel="1" x14ac:dyDescent="0.35">
      <c r="A1164" s="575"/>
      <c r="B1164" s="575"/>
      <c r="C1164" s="575"/>
      <c r="D1164" s="575"/>
      <c r="E1164" s="575"/>
      <c r="F1164" s="672" t="s">
        <v>913</v>
      </c>
      <c r="G1164" s="735"/>
      <c r="H1164" s="735"/>
      <c r="I1164" s="735"/>
      <c r="J1164" s="735"/>
      <c r="K1164" s="735"/>
      <c r="L1164" s="735"/>
      <c r="M1164" s="735"/>
      <c r="N1164" s="735"/>
      <c r="O1164" s="735"/>
      <c r="P1164" s="732"/>
      <c r="Q1164" s="732"/>
      <c r="R1164" s="732"/>
      <c r="S1164" s="692">
        <v>0</v>
      </c>
      <c r="T1164" s="692">
        <v>0</v>
      </c>
      <c r="U1164" s="692">
        <v>0</v>
      </c>
      <c r="V1164" s="692">
        <v>0</v>
      </c>
      <c r="W1164" s="692">
        <v>0</v>
      </c>
      <c r="X1164" s="692">
        <v>0</v>
      </c>
      <c r="Y1164" s="692">
        <v>0</v>
      </c>
      <c r="Z1164" s="692">
        <v>0</v>
      </c>
      <c r="AA1164" s="692">
        <v>0</v>
      </c>
      <c r="AB1164" s="692">
        <v>0</v>
      </c>
      <c r="AC1164" s="692">
        <v>0</v>
      </c>
      <c r="AD1164" s="692">
        <v>0</v>
      </c>
      <c r="AE1164" s="732"/>
      <c r="AF1164" s="732"/>
      <c r="AG1164" s="732"/>
      <c r="AH1164" s="732"/>
      <c r="AI1164" s="732"/>
      <c r="AJ1164" s="732"/>
      <c r="AK1164" s="732"/>
      <c r="AL1164" s="732"/>
      <c r="AM1164" s="732"/>
      <c r="AN1164" s="732"/>
      <c r="AO1164" s="732"/>
      <c r="AP1164" s="732"/>
      <c r="AQ1164" s="732"/>
      <c r="AR1164" s="732"/>
      <c r="AS1164" s="732"/>
      <c r="AT1164" s="732"/>
      <c r="AU1164" s="732"/>
      <c r="AV1164" s="732"/>
      <c r="AW1164" s="732"/>
      <c r="AX1164" s="732"/>
      <c r="AY1164" s="732"/>
      <c r="AZ1164" s="732"/>
      <c r="BA1164" s="732"/>
      <c r="BB1164" s="732"/>
      <c r="BC1164" s="732"/>
      <c r="BD1164" s="732"/>
      <c r="BE1164" s="732"/>
      <c r="BF1164" s="732"/>
      <c r="BG1164" s="732"/>
      <c r="BH1164" s="732"/>
      <c r="BI1164" s="732"/>
      <c r="BJ1164" s="732"/>
      <c r="BK1164" s="732"/>
      <c r="BL1164" s="732"/>
      <c r="BM1164" s="732"/>
      <c r="BN1164" s="732"/>
      <c r="BO1164" s="732"/>
      <c r="BP1164" s="732"/>
      <c r="BQ1164" s="732"/>
      <c r="BR1164" s="732"/>
      <c r="BS1164" s="732"/>
      <c r="BT1164" s="732"/>
      <c r="BU1164" s="732"/>
      <c r="BV1164" s="732"/>
      <c r="BW1164" s="732"/>
      <c r="BX1164" s="732"/>
      <c r="BY1164" s="732"/>
      <c r="BZ1164" s="732"/>
      <c r="CA1164" s="732"/>
    </row>
    <row r="1165" spans="1:79" hidden="1" outlineLevel="1" x14ac:dyDescent="0.35">
      <c r="A1165" s="30"/>
      <c r="B1165" s="30"/>
      <c r="C1165" s="30"/>
      <c r="D1165" s="30"/>
      <c r="E1165" s="30"/>
      <c r="F1165" s="672" t="s">
        <v>770</v>
      </c>
      <c r="G1165" s="735"/>
      <c r="H1165" s="735"/>
      <c r="I1165" s="735"/>
      <c r="J1165" s="735"/>
      <c r="K1165" s="735"/>
      <c r="L1165" s="735"/>
      <c r="M1165" s="735"/>
      <c r="N1165" s="735"/>
      <c r="O1165" s="735"/>
      <c r="P1165" s="732"/>
      <c r="Q1165" s="732"/>
      <c r="R1165" s="732"/>
      <c r="S1165" s="692">
        <v>0</v>
      </c>
      <c r="T1165" s="692">
        <v>0</v>
      </c>
      <c r="U1165" s="692">
        <v>0</v>
      </c>
      <c r="V1165" s="692">
        <v>0</v>
      </c>
      <c r="W1165" s="692">
        <v>0</v>
      </c>
      <c r="X1165" s="692">
        <v>0</v>
      </c>
      <c r="Y1165" s="692">
        <v>0</v>
      </c>
      <c r="Z1165" s="692">
        <v>0</v>
      </c>
      <c r="AA1165" s="692">
        <v>0</v>
      </c>
      <c r="AB1165" s="692">
        <v>0</v>
      </c>
      <c r="AC1165" s="692">
        <v>0</v>
      </c>
      <c r="AD1165" s="692">
        <v>0</v>
      </c>
      <c r="AE1165" s="732"/>
      <c r="AF1165" s="732"/>
      <c r="AG1165" s="732"/>
      <c r="AH1165" s="732"/>
      <c r="AI1165" s="732"/>
      <c r="AJ1165" s="732"/>
      <c r="AK1165" s="732"/>
      <c r="AL1165" s="732"/>
      <c r="AM1165" s="732"/>
      <c r="AN1165" s="732"/>
      <c r="AO1165" s="732"/>
      <c r="AP1165" s="732"/>
      <c r="AQ1165" s="732"/>
      <c r="AR1165" s="732"/>
      <c r="AS1165" s="732"/>
      <c r="AT1165" s="732"/>
      <c r="AU1165" s="732"/>
      <c r="AV1165" s="732"/>
      <c r="AW1165" s="732"/>
      <c r="AX1165" s="732"/>
      <c r="AY1165" s="732"/>
      <c r="AZ1165" s="732"/>
      <c r="BA1165" s="732"/>
      <c r="BB1165" s="732"/>
      <c r="BC1165" s="732"/>
      <c r="BD1165" s="732"/>
      <c r="BE1165" s="732"/>
      <c r="BF1165" s="732"/>
      <c r="BG1165" s="732"/>
      <c r="BH1165" s="732"/>
      <c r="BI1165" s="732"/>
      <c r="BJ1165" s="732"/>
      <c r="BK1165" s="732"/>
      <c r="BL1165" s="732"/>
      <c r="BM1165" s="732"/>
      <c r="BN1165" s="732"/>
      <c r="BO1165" s="732"/>
      <c r="BP1165" s="732"/>
      <c r="BQ1165" s="732"/>
      <c r="BR1165" s="732"/>
      <c r="BS1165" s="732"/>
      <c r="BT1165" s="732"/>
      <c r="BU1165" s="732"/>
      <c r="BV1165" s="732"/>
      <c r="BW1165" s="732"/>
      <c r="BX1165" s="732"/>
      <c r="BY1165" s="732"/>
      <c r="BZ1165" s="732"/>
      <c r="CA1165" s="732"/>
    </row>
    <row r="1166" spans="1:79" hidden="1" outlineLevel="1" x14ac:dyDescent="0.35">
      <c r="A1166" s="575"/>
      <c r="B1166" s="575"/>
      <c r="C1166" s="575"/>
      <c r="D1166" s="575"/>
      <c r="E1166" s="575"/>
      <c r="F1166" s="678" t="s">
        <v>646</v>
      </c>
      <c r="G1166" s="680">
        <f>SUM(G1163:G1165)</f>
        <v>0</v>
      </c>
      <c r="H1166" s="680">
        <f t="shared" ref="H1166:BO1166" si="445">SUM(H1163:H1165)</f>
        <v>0</v>
      </c>
      <c r="I1166" s="680">
        <f t="shared" si="445"/>
        <v>0</v>
      </c>
      <c r="J1166" s="680">
        <f t="shared" si="445"/>
        <v>0</v>
      </c>
      <c r="K1166" s="680">
        <f t="shared" si="445"/>
        <v>0</v>
      </c>
      <c r="L1166" s="680">
        <f t="shared" si="445"/>
        <v>0</v>
      </c>
      <c r="M1166" s="680">
        <f t="shared" si="445"/>
        <v>0</v>
      </c>
      <c r="N1166" s="680">
        <f t="shared" si="445"/>
        <v>0</v>
      </c>
      <c r="O1166" s="680">
        <f t="shared" si="445"/>
        <v>0</v>
      </c>
      <c r="P1166" s="680">
        <f t="shared" si="445"/>
        <v>0</v>
      </c>
      <c r="Q1166" s="680">
        <f t="shared" si="445"/>
        <v>0</v>
      </c>
      <c r="R1166" s="680">
        <f t="shared" si="445"/>
        <v>0</v>
      </c>
      <c r="S1166" s="694">
        <f t="shared" ref="S1166:AA1166" si="446">ROUND(SUM(S1162:S1165),5)</f>
        <v>0</v>
      </c>
      <c r="T1166" s="694">
        <f t="shared" si="446"/>
        <v>0</v>
      </c>
      <c r="U1166" s="694">
        <f t="shared" si="446"/>
        <v>0</v>
      </c>
      <c r="V1166" s="694">
        <f t="shared" si="446"/>
        <v>-426.02</v>
      </c>
      <c r="W1166" s="694">
        <f t="shared" si="446"/>
        <v>2186.21</v>
      </c>
      <c r="X1166" s="694">
        <f t="shared" si="446"/>
        <v>1199.6099999999999</v>
      </c>
      <c r="Y1166" s="694">
        <f t="shared" si="446"/>
        <v>986.64</v>
      </c>
      <c r="Z1166" s="694">
        <f t="shared" si="446"/>
        <v>967.38</v>
      </c>
      <c r="AA1166" s="694">
        <f t="shared" si="446"/>
        <v>977.08</v>
      </c>
      <c r="AB1166" s="694">
        <f>ROUND(SUM(AB1162:AB1165),5)</f>
        <v>986.61</v>
      </c>
      <c r="AC1166" s="694">
        <f>ROUND(SUM(AC1162:AC1165),5)</f>
        <v>0</v>
      </c>
      <c r="AD1166" s="694">
        <f>ROUND(SUM(AD1162:AD1165),5)</f>
        <v>0</v>
      </c>
      <c r="AE1166" s="680">
        <f t="shared" si="445"/>
        <v>0</v>
      </c>
      <c r="AF1166" s="680">
        <f t="shared" si="445"/>
        <v>0</v>
      </c>
      <c r="AG1166" s="680">
        <f t="shared" si="445"/>
        <v>0</v>
      </c>
      <c r="AH1166" s="680">
        <f t="shared" si="445"/>
        <v>0</v>
      </c>
      <c r="AI1166" s="680">
        <f t="shared" si="445"/>
        <v>0</v>
      </c>
      <c r="AJ1166" s="680">
        <f t="shared" si="445"/>
        <v>0</v>
      </c>
      <c r="AK1166" s="680">
        <f t="shared" si="445"/>
        <v>0</v>
      </c>
      <c r="AL1166" s="680">
        <f t="shared" si="445"/>
        <v>0</v>
      </c>
      <c r="AM1166" s="680">
        <f t="shared" si="445"/>
        <v>0</v>
      </c>
      <c r="AN1166" s="680">
        <f t="shared" si="445"/>
        <v>0</v>
      </c>
      <c r="AO1166" s="680">
        <f t="shared" si="445"/>
        <v>0</v>
      </c>
      <c r="AP1166" s="680">
        <f t="shared" si="445"/>
        <v>0</v>
      </c>
      <c r="AQ1166" s="680">
        <f t="shared" si="445"/>
        <v>0</v>
      </c>
      <c r="AR1166" s="680">
        <f t="shared" si="445"/>
        <v>0</v>
      </c>
      <c r="AS1166" s="680">
        <f t="shared" si="445"/>
        <v>0</v>
      </c>
      <c r="AT1166" s="680">
        <f t="shared" si="445"/>
        <v>0</v>
      </c>
      <c r="AU1166" s="680">
        <f t="shared" si="445"/>
        <v>0</v>
      </c>
      <c r="AV1166" s="680">
        <f t="shared" si="445"/>
        <v>0</v>
      </c>
      <c r="AW1166" s="680">
        <f t="shared" si="445"/>
        <v>0</v>
      </c>
      <c r="AX1166" s="680">
        <f t="shared" si="445"/>
        <v>0</v>
      </c>
      <c r="AY1166" s="680">
        <f t="shared" si="445"/>
        <v>0</v>
      </c>
      <c r="AZ1166" s="680">
        <f t="shared" si="445"/>
        <v>0</v>
      </c>
      <c r="BA1166" s="680">
        <f t="shared" si="445"/>
        <v>0</v>
      </c>
      <c r="BB1166" s="680">
        <f t="shared" si="445"/>
        <v>0</v>
      </c>
      <c r="BC1166" s="680">
        <f t="shared" si="445"/>
        <v>0</v>
      </c>
      <c r="BD1166" s="680">
        <f t="shared" si="445"/>
        <v>0</v>
      </c>
      <c r="BE1166" s="680">
        <f t="shared" si="445"/>
        <v>0</v>
      </c>
      <c r="BF1166" s="680">
        <f t="shared" si="445"/>
        <v>0</v>
      </c>
      <c r="BG1166" s="680">
        <f t="shared" si="445"/>
        <v>0</v>
      </c>
      <c r="BH1166" s="680">
        <f t="shared" si="445"/>
        <v>0</v>
      </c>
      <c r="BI1166" s="680">
        <f t="shared" si="445"/>
        <v>0</v>
      </c>
      <c r="BJ1166" s="680">
        <f t="shared" si="445"/>
        <v>0</v>
      </c>
      <c r="BK1166" s="680">
        <f t="shared" si="445"/>
        <v>0</v>
      </c>
      <c r="BL1166" s="680">
        <f t="shared" si="445"/>
        <v>0</v>
      </c>
      <c r="BM1166" s="680">
        <f t="shared" si="445"/>
        <v>0</v>
      </c>
      <c r="BN1166" s="680">
        <f t="shared" si="445"/>
        <v>0</v>
      </c>
      <c r="BO1166" s="680">
        <f t="shared" si="445"/>
        <v>0</v>
      </c>
      <c r="BP1166" s="680">
        <f t="shared" ref="BP1166:CA1166" si="447">SUM(BP1163:BP1165)</f>
        <v>0</v>
      </c>
      <c r="BQ1166" s="680">
        <f t="shared" si="447"/>
        <v>0</v>
      </c>
      <c r="BR1166" s="680">
        <f t="shared" si="447"/>
        <v>0</v>
      </c>
      <c r="BS1166" s="680">
        <f t="shared" si="447"/>
        <v>0</v>
      </c>
      <c r="BT1166" s="680">
        <f t="shared" si="447"/>
        <v>0</v>
      </c>
      <c r="BU1166" s="680">
        <f t="shared" si="447"/>
        <v>0</v>
      </c>
      <c r="BV1166" s="680">
        <f t="shared" si="447"/>
        <v>0</v>
      </c>
      <c r="BW1166" s="680">
        <f t="shared" si="447"/>
        <v>0</v>
      </c>
      <c r="BX1166" s="680">
        <f t="shared" si="447"/>
        <v>0</v>
      </c>
      <c r="BY1166" s="680">
        <f t="shared" si="447"/>
        <v>0</v>
      </c>
      <c r="BZ1166" s="680">
        <f t="shared" si="447"/>
        <v>0</v>
      </c>
      <c r="CA1166" s="680">
        <f t="shared" si="447"/>
        <v>0</v>
      </c>
    </row>
    <row r="1167" spans="1:79" hidden="1" outlineLevel="1" x14ac:dyDescent="0.35">
      <c r="A1167" s="575"/>
      <c r="B1167" s="575"/>
      <c r="C1167" s="575"/>
      <c r="D1167" s="575"/>
      <c r="E1167" s="575"/>
      <c r="F1167" s="674" t="s">
        <v>607</v>
      </c>
      <c r="G1167" s="735"/>
      <c r="H1167" s="735"/>
      <c r="I1167" s="735"/>
      <c r="J1167" s="735"/>
      <c r="K1167" s="735"/>
      <c r="L1167" s="735"/>
      <c r="M1167" s="735"/>
      <c r="N1167" s="735"/>
      <c r="O1167" s="735"/>
      <c r="P1167" s="732"/>
      <c r="Q1167" s="732"/>
      <c r="R1167" s="732"/>
      <c r="S1167" s="683">
        <v>0</v>
      </c>
      <c r="T1167" s="683">
        <v>0</v>
      </c>
      <c r="U1167" s="683">
        <v>0</v>
      </c>
      <c r="V1167" s="683">
        <v>0</v>
      </c>
      <c r="W1167" s="683">
        <v>0</v>
      </c>
      <c r="X1167" s="683">
        <v>0</v>
      </c>
      <c r="Y1167" s="683">
        <v>0</v>
      </c>
      <c r="Z1167" s="683">
        <v>0</v>
      </c>
      <c r="AA1167" s="683">
        <v>0</v>
      </c>
      <c r="AB1167" s="683">
        <v>0</v>
      </c>
      <c r="AC1167" s="683">
        <v>0</v>
      </c>
      <c r="AD1167" s="683">
        <v>0</v>
      </c>
      <c r="AE1167" s="732"/>
      <c r="AF1167" s="732"/>
      <c r="AG1167" s="732"/>
      <c r="AH1167" s="732"/>
      <c r="AI1167" s="732"/>
      <c r="AJ1167" s="732"/>
      <c r="AK1167" s="732"/>
      <c r="AL1167" s="732"/>
      <c r="AM1167" s="732"/>
      <c r="AN1167" s="732"/>
      <c r="AO1167" s="732"/>
      <c r="AP1167" s="732"/>
      <c r="AQ1167" s="732"/>
      <c r="AR1167" s="732"/>
      <c r="AS1167" s="732"/>
      <c r="AT1167" s="732"/>
      <c r="AU1167" s="732"/>
      <c r="AV1167" s="732"/>
      <c r="AW1167" s="732"/>
      <c r="AX1167" s="732"/>
      <c r="AY1167" s="732"/>
      <c r="AZ1167" s="732"/>
      <c r="BA1167" s="732"/>
      <c r="BB1167" s="732"/>
      <c r="BC1167" s="732"/>
      <c r="BD1167" s="732"/>
      <c r="BE1167" s="732"/>
      <c r="BF1167" s="732"/>
      <c r="BG1167" s="732"/>
      <c r="BH1167" s="732"/>
      <c r="BI1167" s="732"/>
      <c r="BJ1167" s="732"/>
      <c r="BK1167" s="732"/>
      <c r="BL1167" s="732"/>
      <c r="BM1167" s="732"/>
      <c r="BN1167" s="732"/>
      <c r="BO1167" s="732"/>
      <c r="BP1167" s="732"/>
      <c r="BQ1167" s="732"/>
      <c r="BR1167" s="732"/>
      <c r="BS1167" s="732"/>
      <c r="BT1167" s="732"/>
      <c r="BU1167" s="732"/>
      <c r="BV1167" s="732"/>
      <c r="BW1167" s="732"/>
      <c r="BX1167" s="732"/>
      <c r="BY1167" s="732"/>
      <c r="BZ1167" s="732"/>
      <c r="CA1167" s="732"/>
    </row>
    <row r="1168" spans="1:79" hidden="1" outlineLevel="1" x14ac:dyDescent="0.35">
      <c r="A1168" s="575"/>
      <c r="B1168" s="575"/>
      <c r="C1168" s="575"/>
      <c r="D1168" s="575"/>
      <c r="E1168" s="575"/>
      <c r="F1168" s="674" t="s">
        <v>608</v>
      </c>
      <c r="G1168" s="735"/>
      <c r="H1168" s="735"/>
      <c r="I1168" s="735"/>
      <c r="J1168" s="735"/>
      <c r="K1168" s="735"/>
      <c r="L1168" s="735"/>
      <c r="M1168" s="735"/>
      <c r="N1168" s="735"/>
      <c r="O1168" s="735"/>
      <c r="P1168" s="732"/>
      <c r="Q1168" s="732"/>
      <c r="R1168" s="732"/>
      <c r="S1168" s="683">
        <v>0</v>
      </c>
      <c r="T1168" s="683">
        <v>0</v>
      </c>
      <c r="U1168" s="683">
        <v>0</v>
      </c>
      <c r="V1168" s="683">
        <v>0</v>
      </c>
      <c r="W1168" s="683">
        <v>0</v>
      </c>
      <c r="X1168" s="683">
        <v>0</v>
      </c>
      <c r="Y1168" s="683">
        <v>0</v>
      </c>
      <c r="Z1168" s="683">
        <v>0</v>
      </c>
      <c r="AA1168" s="683">
        <v>0</v>
      </c>
      <c r="AB1168" s="683">
        <v>0</v>
      </c>
      <c r="AC1168" s="683">
        <v>0</v>
      </c>
      <c r="AD1168" s="683">
        <v>0</v>
      </c>
      <c r="AE1168" s="732"/>
      <c r="AF1168" s="732"/>
      <c r="AG1168" s="732"/>
      <c r="AH1168" s="732"/>
      <c r="AI1168" s="732"/>
      <c r="AJ1168" s="732"/>
      <c r="AK1168" s="732"/>
      <c r="AL1168" s="732"/>
      <c r="AM1168" s="732"/>
      <c r="AN1168" s="732"/>
      <c r="AO1168" s="732"/>
      <c r="AP1168" s="732"/>
      <c r="AQ1168" s="732"/>
      <c r="AR1168" s="732"/>
      <c r="AS1168" s="732"/>
      <c r="AT1168" s="732"/>
      <c r="AU1168" s="732"/>
      <c r="AV1168" s="732"/>
      <c r="AW1168" s="732"/>
      <c r="AX1168" s="732"/>
      <c r="AY1168" s="732"/>
      <c r="AZ1168" s="732"/>
      <c r="BA1168" s="732"/>
      <c r="BB1168" s="732"/>
      <c r="BC1168" s="732"/>
      <c r="BD1168" s="732"/>
      <c r="BE1168" s="732"/>
      <c r="BF1168" s="732"/>
      <c r="BG1168" s="732"/>
      <c r="BH1168" s="732"/>
      <c r="BI1168" s="732"/>
      <c r="BJ1168" s="732"/>
      <c r="BK1168" s="732"/>
      <c r="BL1168" s="732"/>
      <c r="BM1168" s="732"/>
      <c r="BN1168" s="732"/>
      <c r="BO1168" s="732"/>
      <c r="BP1168" s="732"/>
      <c r="BQ1168" s="732"/>
      <c r="BR1168" s="732"/>
      <c r="BS1168" s="732"/>
      <c r="BT1168" s="732"/>
      <c r="BU1168" s="732"/>
      <c r="BV1168" s="732"/>
      <c r="BW1168" s="732"/>
      <c r="BX1168" s="732"/>
      <c r="BY1168" s="732"/>
      <c r="BZ1168" s="732"/>
      <c r="CA1168" s="732"/>
    </row>
    <row r="1169" spans="1:79" s="709" customFormat="1" hidden="1" outlineLevel="1" x14ac:dyDescent="0.35">
      <c r="A1169" s="726"/>
      <c r="B1169" s="726"/>
      <c r="C1169" s="726"/>
      <c r="D1169" s="726"/>
      <c r="E1169" s="726"/>
      <c r="F1169" s="717" t="s">
        <v>656</v>
      </c>
      <c r="G1169" s="750"/>
      <c r="H1169" s="750"/>
      <c r="I1169" s="750"/>
      <c r="J1169" s="750"/>
      <c r="K1169" s="750"/>
      <c r="L1169" s="750"/>
      <c r="M1169" s="750"/>
      <c r="N1169" s="750"/>
      <c r="O1169" s="750"/>
      <c r="P1169" s="751"/>
      <c r="Q1169" s="751"/>
      <c r="R1169" s="751"/>
      <c r="S1169" s="720"/>
      <c r="T1169" s="720"/>
      <c r="U1169" s="720"/>
      <c r="V1169" s="720"/>
      <c r="W1169" s="720"/>
      <c r="X1169" s="720"/>
      <c r="Y1169" s="720"/>
      <c r="Z1169" s="720"/>
      <c r="AA1169" s="720"/>
      <c r="AB1169" s="720"/>
      <c r="AC1169" s="720"/>
      <c r="AD1169" s="720"/>
      <c r="AE1169" s="751"/>
      <c r="AF1169" s="751"/>
      <c r="AG1169" s="751"/>
      <c r="AH1169" s="751"/>
      <c r="AI1169" s="751"/>
      <c r="AJ1169" s="751"/>
      <c r="AK1169" s="751"/>
      <c r="AL1169" s="751"/>
      <c r="AM1169" s="751"/>
      <c r="AN1169" s="751"/>
      <c r="AO1169" s="751"/>
      <c r="AP1169" s="751"/>
      <c r="AQ1169" s="751"/>
      <c r="AR1169" s="751"/>
      <c r="AS1169" s="751"/>
      <c r="AT1169" s="751"/>
      <c r="AU1169" s="751"/>
      <c r="AV1169" s="751"/>
      <c r="AW1169" s="751"/>
      <c r="AX1169" s="751"/>
      <c r="AY1169" s="751"/>
      <c r="AZ1169" s="751"/>
      <c r="BA1169" s="751"/>
      <c r="BB1169" s="751"/>
      <c r="BC1169" s="751"/>
      <c r="BD1169" s="751"/>
      <c r="BE1169" s="751"/>
      <c r="BF1169" s="751"/>
      <c r="BG1169" s="751"/>
      <c r="BH1169" s="751"/>
      <c r="BI1169" s="751"/>
      <c r="BJ1169" s="751"/>
      <c r="BK1169" s="751"/>
      <c r="BL1169" s="751"/>
      <c r="BM1169" s="751"/>
      <c r="BN1169" s="751"/>
      <c r="BO1169" s="751"/>
      <c r="BP1169" s="751"/>
      <c r="BQ1169" s="751"/>
      <c r="BR1169" s="751"/>
      <c r="BS1169" s="751"/>
      <c r="BT1169" s="751"/>
      <c r="BU1169" s="751"/>
      <c r="BV1169" s="751"/>
      <c r="BW1169" s="751"/>
      <c r="BX1169" s="751"/>
      <c r="BY1169" s="751"/>
      <c r="BZ1169" s="751"/>
      <c r="CA1169" s="751"/>
    </row>
    <row r="1170" spans="1:79" hidden="1" outlineLevel="1" x14ac:dyDescent="0.35">
      <c r="A1170" s="575"/>
      <c r="B1170" s="575"/>
      <c r="C1170" s="575"/>
      <c r="D1170" s="575"/>
      <c r="E1170" s="575"/>
      <c r="F1170" s="672" t="s">
        <v>657</v>
      </c>
      <c r="G1170" s="735"/>
      <c r="H1170" s="735"/>
      <c r="I1170" s="735"/>
      <c r="J1170" s="735"/>
      <c r="K1170" s="735"/>
      <c r="L1170" s="735"/>
      <c r="M1170" s="735"/>
      <c r="N1170" s="735"/>
      <c r="O1170" s="735"/>
      <c r="P1170" s="732"/>
      <c r="Q1170" s="732"/>
      <c r="R1170" s="732"/>
      <c r="S1170" s="683">
        <v>0</v>
      </c>
      <c r="T1170" s="683">
        <v>0</v>
      </c>
      <c r="U1170" s="683">
        <v>0</v>
      </c>
      <c r="V1170" s="683">
        <v>0</v>
      </c>
      <c r="W1170" s="683">
        <v>0</v>
      </c>
      <c r="X1170" s="683">
        <v>0</v>
      </c>
      <c r="Y1170" s="683">
        <v>0</v>
      </c>
      <c r="Z1170" s="683">
        <v>0</v>
      </c>
      <c r="AA1170" s="683">
        <v>0</v>
      </c>
      <c r="AB1170" s="683">
        <v>0</v>
      </c>
      <c r="AC1170" s="683">
        <v>0</v>
      </c>
      <c r="AD1170" s="683">
        <v>0</v>
      </c>
      <c r="AE1170" s="732"/>
      <c r="AF1170" s="732"/>
      <c r="AG1170" s="732"/>
      <c r="AH1170" s="732"/>
      <c r="AI1170" s="732"/>
      <c r="AJ1170" s="732"/>
      <c r="AK1170" s="732"/>
      <c r="AL1170" s="732"/>
      <c r="AM1170" s="732"/>
      <c r="AN1170" s="732"/>
      <c r="AO1170" s="732"/>
      <c r="AP1170" s="732"/>
      <c r="AQ1170" s="732"/>
      <c r="AR1170" s="732"/>
      <c r="AS1170" s="732"/>
      <c r="AT1170" s="732"/>
      <c r="AU1170" s="732"/>
      <c r="AV1170" s="732"/>
      <c r="AW1170" s="732"/>
      <c r="AX1170" s="732"/>
      <c r="AY1170" s="732"/>
      <c r="AZ1170" s="732"/>
      <c r="BA1170" s="732"/>
      <c r="BB1170" s="732"/>
      <c r="BC1170" s="732"/>
      <c r="BD1170" s="732"/>
      <c r="BE1170" s="732"/>
      <c r="BF1170" s="732"/>
      <c r="BG1170" s="732"/>
      <c r="BH1170" s="732"/>
      <c r="BI1170" s="732"/>
      <c r="BJ1170" s="732"/>
      <c r="BK1170" s="732"/>
      <c r="BL1170" s="732"/>
      <c r="BM1170" s="732"/>
      <c r="BN1170" s="732"/>
      <c r="BO1170" s="732"/>
      <c r="BP1170" s="732"/>
      <c r="BQ1170" s="732"/>
      <c r="BR1170" s="732"/>
      <c r="BS1170" s="732"/>
      <c r="BT1170" s="732"/>
      <c r="BU1170" s="732"/>
      <c r="BV1170" s="732"/>
      <c r="BW1170" s="732"/>
      <c r="BX1170" s="732"/>
      <c r="BY1170" s="732"/>
      <c r="BZ1170" s="732"/>
      <c r="CA1170" s="732"/>
    </row>
    <row r="1171" spans="1:79" hidden="1" outlineLevel="1" x14ac:dyDescent="0.35">
      <c r="A1171" s="575"/>
      <c r="B1171" s="575"/>
      <c r="C1171" s="575"/>
      <c r="D1171" s="575"/>
      <c r="E1171" s="575"/>
      <c r="F1171" s="672" t="s">
        <v>914</v>
      </c>
      <c r="G1171" s="735"/>
      <c r="H1171" s="735"/>
      <c r="I1171" s="735"/>
      <c r="J1171" s="735"/>
      <c r="K1171" s="735"/>
      <c r="L1171" s="735"/>
      <c r="M1171" s="735"/>
      <c r="N1171" s="735"/>
      <c r="O1171" s="735"/>
      <c r="P1171" s="732"/>
      <c r="Q1171" s="732"/>
      <c r="R1171" s="732"/>
      <c r="S1171" s="683">
        <v>0</v>
      </c>
      <c r="T1171" s="683">
        <v>0</v>
      </c>
      <c r="U1171" s="683">
        <v>0</v>
      </c>
      <c r="V1171" s="683">
        <v>0</v>
      </c>
      <c r="W1171" s="683">
        <v>0</v>
      </c>
      <c r="X1171" s="683">
        <v>0</v>
      </c>
      <c r="Y1171" s="683">
        <v>0</v>
      </c>
      <c r="Z1171" s="683">
        <v>0</v>
      </c>
      <c r="AA1171" s="683">
        <v>0</v>
      </c>
      <c r="AB1171" s="683">
        <v>0</v>
      </c>
      <c r="AC1171" s="683">
        <v>0</v>
      </c>
      <c r="AD1171" s="683">
        <v>0</v>
      </c>
      <c r="AE1171" s="732"/>
      <c r="AF1171" s="732"/>
      <c r="AG1171" s="732"/>
      <c r="AH1171" s="732"/>
      <c r="AI1171" s="732"/>
      <c r="AJ1171" s="732"/>
      <c r="AK1171" s="732"/>
      <c r="AL1171" s="732"/>
      <c r="AM1171" s="732"/>
      <c r="AN1171" s="732"/>
      <c r="AO1171" s="732"/>
      <c r="AP1171" s="732"/>
      <c r="AQ1171" s="732"/>
      <c r="AR1171" s="732"/>
      <c r="AS1171" s="732"/>
      <c r="AT1171" s="732"/>
      <c r="AU1171" s="732"/>
      <c r="AV1171" s="732"/>
      <c r="AW1171" s="732"/>
      <c r="AX1171" s="732"/>
      <c r="AY1171" s="732"/>
      <c r="AZ1171" s="732"/>
      <c r="BA1171" s="732"/>
      <c r="BB1171" s="732"/>
      <c r="BC1171" s="732"/>
      <c r="BD1171" s="732"/>
      <c r="BE1171" s="732"/>
      <c r="BF1171" s="732"/>
      <c r="BG1171" s="732"/>
      <c r="BH1171" s="732"/>
      <c r="BI1171" s="732"/>
      <c r="BJ1171" s="732"/>
      <c r="BK1171" s="732"/>
      <c r="BL1171" s="732"/>
      <c r="BM1171" s="732"/>
      <c r="BN1171" s="732"/>
      <c r="BO1171" s="732"/>
      <c r="BP1171" s="732"/>
      <c r="BQ1171" s="732"/>
      <c r="BR1171" s="732"/>
      <c r="BS1171" s="732"/>
      <c r="BT1171" s="732"/>
      <c r="BU1171" s="732"/>
      <c r="BV1171" s="732"/>
      <c r="BW1171" s="732"/>
      <c r="BX1171" s="732"/>
      <c r="BY1171" s="732"/>
      <c r="BZ1171" s="732"/>
      <c r="CA1171" s="732"/>
    </row>
    <row r="1172" spans="1:79" hidden="1" outlineLevel="1" x14ac:dyDescent="0.35">
      <c r="A1172" s="575"/>
      <c r="B1172" s="575"/>
      <c r="C1172" s="575"/>
      <c r="D1172" s="575"/>
      <c r="E1172" s="575"/>
      <c r="F1172" s="672" t="s">
        <v>915</v>
      </c>
      <c r="G1172" s="735"/>
      <c r="H1172" s="735"/>
      <c r="I1172" s="735"/>
      <c r="J1172" s="735"/>
      <c r="K1172" s="735"/>
      <c r="L1172" s="735"/>
      <c r="M1172" s="735"/>
      <c r="N1172" s="735"/>
      <c r="O1172" s="735"/>
      <c r="P1172" s="732"/>
      <c r="Q1172" s="732"/>
      <c r="R1172" s="732"/>
      <c r="S1172" s="683">
        <v>0</v>
      </c>
      <c r="T1172" s="683">
        <v>0</v>
      </c>
      <c r="U1172" s="683">
        <v>0</v>
      </c>
      <c r="V1172" s="683">
        <v>0</v>
      </c>
      <c r="W1172" s="683">
        <v>0</v>
      </c>
      <c r="X1172" s="683">
        <v>0</v>
      </c>
      <c r="Y1172" s="683">
        <v>0</v>
      </c>
      <c r="Z1172" s="683">
        <v>0</v>
      </c>
      <c r="AA1172" s="683">
        <v>0</v>
      </c>
      <c r="AB1172" s="683">
        <v>0</v>
      </c>
      <c r="AC1172" s="683">
        <v>0</v>
      </c>
      <c r="AD1172" s="683">
        <v>0</v>
      </c>
      <c r="AE1172" s="732"/>
      <c r="AF1172" s="732"/>
      <c r="AG1172" s="732"/>
      <c r="AH1172" s="732"/>
      <c r="AI1172" s="732"/>
      <c r="AJ1172" s="732"/>
      <c r="AK1172" s="732"/>
      <c r="AL1172" s="732"/>
      <c r="AM1172" s="732"/>
      <c r="AN1172" s="732"/>
      <c r="AO1172" s="732"/>
      <c r="AP1172" s="732"/>
      <c r="AQ1172" s="732"/>
      <c r="AR1172" s="732"/>
      <c r="AS1172" s="732"/>
      <c r="AT1172" s="732"/>
      <c r="AU1172" s="732"/>
      <c r="AV1172" s="732"/>
      <c r="AW1172" s="732"/>
      <c r="AX1172" s="732"/>
      <c r="AY1172" s="732"/>
      <c r="AZ1172" s="732"/>
      <c r="BA1172" s="732"/>
      <c r="BB1172" s="732"/>
      <c r="BC1172" s="732"/>
      <c r="BD1172" s="732"/>
      <c r="BE1172" s="732"/>
      <c r="BF1172" s="732"/>
      <c r="BG1172" s="732"/>
      <c r="BH1172" s="732"/>
      <c r="BI1172" s="732"/>
      <c r="BJ1172" s="732"/>
      <c r="BK1172" s="732"/>
      <c r="BL1172" s="732"/>
      <c r="BM1172" s="732"/>
      <c r="BN1172" s="732"/>
      <c r="BO1172" s="732"/>
      <c r="BP1172" s="732"/>
      <c r="BQ1172" s="732"/>
      <c r="BR1172" s="732"/>
      <c r="BS1172" s="732"/>
      <c r="BT1172" s="732"/>
      <c r="BU1172" s="732"/>
      <c r="BV1172" s="732"/>
      <c r="BW1172" s="732"/>
      <c r="BX1172" s="732"/>
      <c r="BY1172" s="732"/>
      <c r="BZ1172" s="732"/>
      <c r="CA1172" s="732"/>
    </row>
    <row r="1173" spans="1:79" hidden="1" outlineLevel="1" x14ac:dyDescent="0.35">
      <c r="A1173" s="575"/>
      <c r="B1173" s="575"/>
      <c r="C1173" s="575"/>
      <c r="D1173" s="575"/>
      <c r="E1173" s="575"/>
      <c r="F1173" s="672" t="s">
        <v>658</v>
      </c>
      <c r="G1173" s="735"/>
      <c r="H1173" s="735"/>
      <c r="I1173" s="735"/>
      <c r="J1173" s="735"/>
      <c r="K1173" s="735"/>
      <c r="L1173" s="735"/>
      <c r="M1173" s="735"/>
      <c r="N1173" s="735"/>
      <c r="O1173" s="735"/>
      <c r="P1173" s="732"/>
      <c r="Q1173" s="732"/>
      <c r="R1173" s="732"/>
      <c r="S1173" s="683">
        <v>0</v>
      </c>
      <c r="T1173" s="683">
        <v>0</v>
      </c>
      <c r="U1173" s="683">
        <v>0</v>
      </c>
      <c r="V1173" s="683">
        <v>0</v>
      </c>
      <c r="W1173" s="683">
        <v>0</v>
      </c>
      <c r="X1173" s="683">
        <v>0</v>
      </c>
      <c r="Y1173" s="683">
        <v>0</v>
      </c>
      <c r="Z1173" s="683">
        <v>0</v>
      </c>
      <c r="AA1173" s="683">
        <v>0</v>
      </c>
      <c r="AB1173" s="683">
        <v>0</v>
      </c>
      <c r="AC1173" s="683">
        <v>0</v>
      </c>
      <c r="AD1173" s="683">
        <v>0</v>
      </c>
      <c r="AE1173" s="732"/>
      <c r="AF1173" s="732"/>
      <c r="AG1173" s="732"/>
      <c r="AH1173" s="732"/>
      <c r="AI1173" s="732"/>
      <c r="AJ1173" s="732"/>
      <c r="AK1173" s="732"/>
      <c r="AL1173" s="732"/>
      <c r="AM1173" s="732"/>
      <c r="AN1173" s="732"/>
      <c r="AO1173" s="732"/>
      <c r="AP1173" s="732"/>
      <c r="AQ1173" s="732"/>
      <c r="AR1173" s="732"/>
      <c r="AS1173" s="732"/>
      <c r="AT1173" s="732"/>
      <c r="AU1173" s="732"/>
      <c r="AV1173" s="732"/>
      <c r="AW1173" s="732"/>
      <c r="AX1173" s="732"/>
      <c r="AY1173" s="732"/>
      <c r="AZ1173" s="732"/>
      <c r="BA1173" s="732"/>
      <c r="BB1173" s="732"/>
      <c r="BC1173" s="732"/>
      <c r="BD1173" s="732"/>
      <c r="BE1173" s="732"/>
      <c r="BF1173" s="732"/>
      <c r="BG1173" s="732"/>
      <c r="BH1173" s="732"/>
      <c r="BI1173" s="732"/>
      <c r="BJ1173" s="732"/>
      <c r="BK1173" s="732"/>
      <c r="BL1173" s="732"/>
      <c r="BM1173" s="732"/>
      <c r="BN1173" s="732"/>
      <c r="BO1173" s="732"/>
      <c r="BP1173" s="732"/>
      <c r="BQ1173" s="732"/>
      <c r="BR1173" s="732"/>
      <c r="BS1173" s="732"/>
      <c r="BT1173" s="732"/>
      <c r="BU1173" s="732"/>
      <c r="BV1173" s="732"/>
      <c r="BW1173" s="732"/>
      <c r="BX1173" s="732"/>
      <c r="BY1173" s="732"/>
      <c r="BZ1173" s="732"/>
      <c r="CA1173" s="732"/>
    </row>
    <row r="1174" spans="1:79" hidden="1" outlineLevel="1" x14ac:dyDescent="0.35">
      <c r="A1174" s="575"/>
      <c r="B1174" s="575"/>
      <c r="C1174" s="575"/>
      <c r="D1174" s="575"/>
      <c r="E1174" s="575"/>
      <c r="F1174" s="672" t="s">
        <v>916</v>
      </c>
      <c r="G1174" s="735"/>
      <c r="H1174" s="735"/>
      <c r="I1174" s="735"/>
      <c r="J1174" s="735"/>
      <c r="K1174" s="735"/>
      <c r="L1174" s="735"/>
      <c r="M1174" s="735"/>
      <c r="N1174" s="735"/>
      <c r="O1174" s="735"/>
      <c r="P1174" s="732"/>
      <c r="Q1174" s="732"/>
      <c r="R1174" s="732"/>
      <c r="S1174" s="683">
        <v>0</v>
      </c>
      <c r="T1174" s="683">
        <v>0</v>
      </c>
      <c r="U1174" s="683">
        <v>0</v>
      </c>
      <c r="V1174" s="683">
        <v>0</v>
      </c>
      <c r="W1174" s="683">
        <v>0</v>
      </c>
      <c r="X1174" s="683">
        <v>0</v>
      </c>
      <c r="Y1174" s="683">
        <v>0</v>
      </c>
      <c r="Z1174" s="683">
        <v>0</v>
      </c>
      <c r="AA1174" s="683">
        <v>0</v>
      </c>
      <c r="AB1174" s="683">
        <v>0</v>
      </c>
      <c r="AC1174" s="683">
        <v>0</v>
      </c>
      <c r="AD1174" s="683">
        <v>0</v>
      </c>
      <c r="AE1174" s="732"/>
      <c r="AF1174" s="732"/>
      <c r="AG1174" s="732"/>
      <c r="AH1174" s="732"/>
      <c r="AI1174" s="732"/>
      <c r="AJ1174" s="732"/>
      <c r="AK1174" s="732"/>
      <c r="AL1174" s="732"/>
      <c r="AM1174" s="732"/>
      <c r="AN1174" s="732"/>
      <c r="AO1174" s="732"/>
      <c r="AP1174" s="732"/>
      <c r="AQ1174" s="732"/>
      <c r="AR1174" s="732"/>
      <c r="AS1174" s="732"/>
      <c r="AT1174" s="732"/>
      <c r="AU1174" s="732"/>
      <c r="AV1174" s="732"/>
      <c r="AW1174" s="732"/>
      <c r="AX1174" s="732"/>
      <c r="AY1174" s="732"/>
      <c r="AZ1174" s="732"/>
      <c r="BA1174" s="732"/>
      <c r="BB1174" s="732"/>
      <c r="BC1174" s="732"/>
      <c r="BD1174" s="732"/>
      <c r="BE1174" s="732"/>
      <c r="BF1174" s="732"/>
      <c r="BG1174" s="732"/>
      <c r="BH1174" s="732"/>
      <c r="BI1174" s="732"/>
      <c r="BJ1174" s="732"/>
      <c r="BK1174" s="732"/>
      <c r="BL1174" s="732"/>
      <c r="BM1174" s="732"/>
      <c r="BN1174" s="732"/>
      <c r="BO1174" s="732"/>
      <c r="BP1174" s="732"/>
      <c r="BQ1174" s="732"/>
      <c r="BR1174" s="732"/>
      <c r="BS1174" s="732"/>
      <c r="BT1174" s="732"/>
      <c r="BU1174" s="732"/>
      <c r="BV1174" s="732"/>
      <c r="BW1174" s="732"/>
      <c r="BX1174" s="732"/>
      <c r="BY1174" s="732"/>
      <c r="BZ1174" s="732"/>
      <c r="CA1174" s="732"/>
    </row>
    <row r="1175" spans="1:79" hidden="1" outlineLevel="1" x14ac:dyDescent="0.35">
      <c r="A1175" s="575"/>
      <c r="B1175" s="575"/>
      <c r="C1175" s="575"/>
      <c r="D1175" s="575"/>
      <c r="E1175" s="575"/>
      <c r="F1175" s="672" t="s">
        <v>917</v>
      </c>
      <c r="G1175" s="735"/>
      <c r="H1175" s="735"/>
      <c r="I1175" s="735"/>
      <c r="J1175" s="735"/>
      <c r="K1175" s="735"/>
      <c r="L1175" s="735"/>
      <c r="M1175" s="735"/>
      <c r="N1175" s="735"/>
      <c r="O1175" s="735"/>
      <c r="P1175" s="732"/>
      <c r="Q1175" s="732"/>
      <c r="R1175" s="732"/>
      <c r="S1175" s="683">
        <v>0</v>
      </c>
      <c r="T1175" s="683">
        <v>0</v>
      </c>
      <c r="U1175" s="683">
        <v>0</v>
      </c>
      <c r="V1175" s="683">
        <v>0</v>
      </c>
      <c r="W1175" s="683">
        <v>0</v>
      </c>
      <c r="X1175" s="683">
        <v>0</v>
      </c>
      <c r="Y1175" s="683">
        <v>0</v>
      </c>
      <c r="Z1175" s="683">
        <v>0</v>
      </c>
      <c r="AA1175" s="683">
        <v>0</v>
      </c>
      <c r="AB1175" s="683">
        <v>0</v>
      </c>
      <c r="AC1175" s="683">
        <v>0</v>
      </c>
      <c r="AD1175" s="683">
        <v>0</v>
      </c>
      <c r="AE1175" s="732"/>
      <c r="AF1175" s="732"/>
      <c r="AG1175" s="732"/>
      <c r="AH1175" s="732"/>
      <c r="AI1175" s="732"/>
      <c r="AJ1175" s="732"/>
      <c r="AK1175" s="732"/>
      <c r="AL1175" s="732"/>
      <c r="AM1175" s="732"/>
      <c r="AN1175" s="732"/>
      <c r="AO1175" s="732"/>
      <c r="AP1175" s="732"/>
      <c r="AQ1175" s="732"/>
      <c r="AR1175" s="732"/>
      <c r="AS1175" s="732"/>
      <c r="AT1175" s="732"/>
      <c r="AU1175" s="732"/>
      <c r="AV1175" s="732"/>
      <c r="AW1175" s="732"/>
      <c r="AX1175" s="732"/>
      <c r="AY1175" s="732"/>
      <c r="AZ1175" s="732"/>
      <c r="BA1175" s="732"/>
      <c r="BB1175" s="732"/>
      <c r="BC1175" s="732"/>
      <c r="BD1175" s="732"/>
      <c r="BE1175" s="732"/>
      <c r="BF1175" s="732"/>
      <c r="BG1175" s="732"/>
      <c r="BH1175" s="732"/>
      <c r="BI1175" s="732"/>
      <c r="BJ1175" s="732"/>
      <c r="BK1175" s="732"/>
      <c r="BL1175" s="732"/>
      <c r="BM1175" s="732"/>
      <c r="BN1175" s="732"/>
      <c r="BO1175" s="732"/>
      <c r="BP1175" s="732"/>
      <c r="BQ1175" s="732"/>
      <c r="BR1175" s="732"/>
      <c r="BS1175" s="732"/>
      <c r="BT1175" s="732"/>
      <c r="BU1175" s="732"/>
      <c r="BV1175" s="732"/>
      <c r="BW1175" s="732"/>
      <c r="BX1175" s="732"/>
      <c r="BY1175" s="732"/>
      <c r="BZ1175" s="732"/>
      <c r="CA1175" s="732"/>
    </row>
    <row r="1176" spans="1:79" hidden="1" outlineLevel="1" x14ac:dyDescent="0.35">
      <c r="A1176" s="575"/>
      <c r="B1176" s="575"/>
      <c r="C1176" s="575"/>
      <c r="D1176" s="575"/>
      <c r="E1176" s="575"/>
      <c r="F1176" s="672" t="s">
        <v>918</v>
      </c>
      <c r="G1176" s="735"/>
      <c r="H1176" s="735"/>
      <c r="I1176" s="735"/>
      <c r="J1176" s="735"/>
      <c r="K1176" s="735"/>
      <c r="L1176" s="735"/>
      <c r="M1176" s="735"/>
      <c r="N1176" s="735"/>
      <c r="O1176" s="735"/>
      <c r="P1176" s="732"/>
      <c r="Q1176" s="732"/>
      <c r="R1176" s="732"/>
      <c r="S1176" s="683">
        <v>0</v>
      </c>
      <c r="T1176" s="683">
        <v>0</v>
      </c>
      <c r="U1176" s="683">
        <v>0</v>
      </c>
      <c r="V1176" s="683">
        <v>0</v>
      </c>
      <c r="W1176" s="683">
        <v>0</v>
      </c>
      <c r="X1176" s="683">
        <v>0</v>
      </c>
      <c r="Y1176" s="683">
        <v>0</v>
      </c>
      <c r="Z1176" s="683">
        <v>0</v>
      </c>
      <c r="AA1176" s="683">
        <v>0</v>
      </c>
      <c r="AB1176" s="683">
        <v>0</v>
      </c>
      <c r="AC1176" s="683">
        <v>0</v>
      </c>
      <c r="AD1176" s="683">
        <v>0</v>
      </c>
      <c r="AE1176" s="732"/>
      <c r="AF1176" s="732"/>
      <c r="AG1176" s="732"/>
      <c r="AH1176" s="732"/>
      <c r="AI1176" s="732"/>
      <c r="AJ1176" s="732"/>
      <c r="AK1176" s="732"/>
      <c r="AL1176" s="732"/>
      <c r="AM1176" s="732"/>
      <c r="AN1176" s="732"/>
      <c r="AO1176" s="732"/>
      <c r="AP1176" s="732"/>
      <c r="AQ1176" s="732"/>
      <c r="AR1176" s="732"/>
      <c r="AS1176" s="732"/>
      <c r="AT1176" s="732"/>
      <c r="AU1176" s="732"/>
      <c r="AV1176" s="732"/>
      <c r="AW1176" s="732"/>
      <c r="AX1176" s="732"/>
      <c r="AY1176" s="732"/>
      <c r="AZ1176" s="732"/>
      <c r="BA1176" s="732"/>
      <c r="BB1176" s="732"/>
      <c r="BC1176" s="732"/>
      <c r="BD1176" s="732"/>
      <c r="BE1176" s="732"/>
      <c r="BF1176" s="732"/>
      <c r="BG1176" s="732"/>
      <c r="BH1176" s="732"/>
      <c r="BI1176" s="732"/>
      <c r="BJ1176" s="732"/>
      <c r="BK1176" s="732"/>
      <c r="BL1176" s="732"/>
      <c r="BM1176" s="732"/>
      <c r="BN1176" s="732"/>
      <c r="BO1176" s="732"/>
      <c r="BP1176" s="732"/>
      <c r="BQ1176" s="732"/>
      <c r="BR1176" s="732"/>
      <c r="BS1176" s="732"/>
      <c r="BT1176" s="732"/>
      <c r="BU1176" s="732"/>
      <c r="BV1176" s="732"/>
      <c r="BW1176" s="732"/>
      <c r="BX1176" s="732"/>
      <c r="BY1176" s="732"/>
      <c r="BZ1176" s="732"/>
      <c r="CA1176" s="732"/>
    </row>
    <row r="1177" spans="1:79" hidden="1" outlineLevel="1" x14ac:dyDescent="0.35">
      <c r="A1177" s="575"/>
      <c r="B1177" s="575"/>
      <c r="C1177" s="575"/>
      <c r="D1177" s="575"/>
      <c r="E1177" s="575"/>
      <c r="F1177" s="673" t="s">
        <v>659</v>
      </c>
      <c r="G1177" s="680">
        <f>SUM(G1170:G1176)</f>
        <v>0</v>
      </c>
      <c r="H1177" s="680">
        <f t="shared" ref="H1177:BO1177" si="448">SUM(H1170:H1176)</f>
        <v>0</v>
      </c>
      <c r="I1177" s="680">
        <f t="shared" si="448"/>
        <v>0</v>
      </c>
      <c r="J1177" s="680">
        <f t="shared" si="448"/>
        <v>0</v>
      </c>
      <c r="K1177" s="680">
        <f t="shared" si="448"/>
        <v>0</v>
      </c>
      <c r="L1177" s="680">
        <f t="shared" si="448"/>
        <v>0</v>
      </c>
      <c r="M1177" s="680">
        <f t="shared" si="448"/>
        <v>0</v>
      </c>
      <c r="N1177" s="680">
        <f t="shared" si="448"/>
        <v>0</v>
      </c>
      <c r="O1177" s="680">
        <f t="shared" si="448"/>
        <v>0</v>
      </c>
      <c r="P1177" s="680">
        <f t="shared" si="448"/>
        <v>0</v>
      </c>
      <c r="Q1177" s="680">
        <f t="shared" si="448"/>
        <v>0</v>
      </c>
      <c r="R1177" s="680">
        <f t="shared" si="448"/>
        <v>0</v>
      </c>
      <c r="S1177" s="694">
        <f t="shared" ref="S1177:AA1177" si="449">ROUND(SUM(S1169:S1176),5)</f>
        <v>0</v>
      </c>
      <c r="T1177" s="694">
        <f t="shared" si="449"/>
        <v>0</v>
      </c>
      <c r="U1177" s="694">
        <f t="shared" si="449"/>
        <v>0</v>
      </c>
      <c r="V1177" s="694">
        <f t="shared" si="449"/>
        <v>0</v>
      </c>
      <c r="W1177" s="694">
        <f t="shared" si="449"/>
        <v>0</v>
      </c>
      <c r="X1177" s="694">
        <f t="shared" si="449"/>
        <v>0</v>
      </c>
      <c r="Y1177" s="694">
        <f t="shared" si="449"/>
        <v>0</v>
      </c>
      <c r="Z1177" s="694">
        <f t="shared" si="449"/>
        <v>0</v>
      </c>
      <c r="AA1177" s="694">
        <f t="shared" si="449"/>
        <v>0</v>
      </c>
      <c r="AB1177" s="694">
        <f>ROUND(SUM(AB1169:AB1176),5)</f>
        <v>0</v>
      </c>
      <c r="AC1177" s="694">
        <f>ROUND(SUM(AC1169:AC1176),5)</f>
        <v>0</v>
      </c>
      <c r="AD1177" s="694">
        <f>ROUND(SUM(AD1169:AD1176),5)</f>
        <v>0</v>
      </c>
      <c r="AE1177" s="680">
        <f t="shared" si="448"/>
        <v>0</v>
      </c>
      <c r="AF1177" s="680">
        <f t="shared" si="448"/>
        <v>0</v>
      </c>
      <c r="AG1177" s="680">
        <f t="shared" si="448"/>
        <v>0</v>
      </c>
      <c r="AH1177" s="680">
        <f t="shared" si="448"/>
        <v>0</v>
      </c>
      <c r="AI1177" s="680">
        <f t="shared" si="448"/>
        <v>0</v>
      </c>
      <c r="AJ1177" s="680">
        <f t="shared" si="448"/>
        <v>0</v>
      </c>
      <c r="AK1177" s="680">
        <f t="shared" si="448"/>
        <v>0</v>
      </c>
      <c r="AL1177" s="680">
        <f t="shared" si="448"/>
        <v>0</v>
      </c>
      <c r="AM1177" s="680">
        <f t="shared" si="448"/>
        <v>0</v>
      </c>
      <c r="AN1177" s="680">
        <f t="shared" si="448"/>
        <v>0</v>
      </c>
      <c r="AO1177" s="680">
        <f t="shared" si="448"/>
        <v>0</v>
      </c>
      <c r="AP1177" s="680">
        <f t="shared" si="448"/>
        <v>0</v>
      </c>
      <c r="AQ1177" s="680">
        <f t="shared" si="448"/>
        <v>0</v>
      </c>
      <c r="AR1177" s="680">
        <f t="shared" si="448"/>
        <v>0</v>
      </c>
      <c r="AS1177" s="680">
        <f t="shared" si="448"/>
        <v>0</v>
      </c>
      <c r="AT1177" s="680">
        <f t="shared" si="448"/>
        <v>0</v>
      </c>
      <c r="AU1177" s="680">
        <f t="shared" si="448"/>
        <v>0</v>
      </c>
      <c r="AV1177" s="680">
        <f t="shared" si="448"/>
        <v>0</v>
      </c>
      <c r="AW1177" s="680">
        <f t="shared" si="448"/>
        <v>0</v>
      </c>
      <c r="AX1177" s="680">
        <f t="shared" si="448"/>
        <v>0</v>
      </c>
      <c r="AY1177" s="680">
        <f t="shared" si="448"/>
        <v>0</v>
      </c>
      <c r="AZ1177" s="680">
        <f t="shared" si="448"/>
        <v>0</v>
      </c>
      <c r="BA1177" s="680">
        <f t="shared" si="448"/>
        <v>0</v>
      </c>
      <c r="BB1177" s="680">
        <f t="shared" si="448"/>
        <v>0</v>
      </c>
      <c r="BC1177" s="680">
        <f t="shared" si="448"/>
        <v>0</v>
      </c>
      <c r="BD1177" s="680">
        <f t="shared" si="448"/>
        <v>0</v>
      </c>
      <c r="BE1177" s="680">
        <f t="shared" si="448"/>
        <v>0</v>
      </c>
      <c r="BF1177" s="680">
        <f t="shared" si="448"/>
        <v>0</v>
      </c>
      <c r="BG1177" s="680">
        <f t="shared" si="448"/>
        <v>0</v>
      </c>
      <c r="BH1177" s="680">
        <f t="shared" si="448"/>
        <v>0</v>
      </c>
      <c r="BI1177" s="680">
        <f t="shared" si="448"/>
        <v>0</v>
      </c>
      <c r="BJ1177" s="680">
        <f t="shared" si="448"/>
        <v>0</v>
      </c>
      <c r="BK1177" s="680">
        <f t="shared" si="448"/>
        <v>0</v>
      </c>
      <c r="BL1177" s="680">
        <f t="shared" si="448"/>
        <v>0</v>
      </c>
      <c r="BM1177" s="680">
        <f t="shared" si="448"/>
        <v>0</v>
      </c>
      <c r="BN1177" s="680">
        <f t="shared" si="448"/>
        <v>0</v>
      </c>
      <c r="BO1177" s="680">
        <f t="shared" si="448"/>
        <v>0</v>
      </c>
      <c r="BP1177" s="680">
        <f t="shared" ref="BP1177:CA1177" si="450">SUM(BP1170:BP1176)</f>
        <v>0</v>
      </c>
      <c r="BQ1177" s="680">
        <f t="shared" si="450"/>
        <v>0</v>
      </c>
      <c r="BR1177" s="680">
        <f t="shared" si="450"/>
        <v>0</v>
      </c>
      <c r="BS1177" s="680">
        <f t="shared" si="450"/>
        <v>0</v>
      </c>
      <c r="BT1177" s="680">
        <f t="shared" si="450"/>
        <v>0</v>
      </c>
      <c r="BU1177" s="680">
        <f t="shared" si="450"/>
        <v>0</v>
      </c>
      <c r="BV1177" s="680">
        <f t="shared" si="450"/>
        <v>0</v>
      </c>
      <c r="BW1177" s="680">
        <f t="shared" si="450"/>
        <v>0</v>
      </c>
      <c r="BX1177" s="680">
        <f t="shared" si="450"/>
        <v>0</v>
      </c>
      <c r="BY1177" s="680">
        <f t="shared" si="450"/>
        <v>0</v>
      </c>
      <c r="BZ1177" s="680">
        <f t="shared" si="450"/>
        <v>0</v>
      </c>
      <c r="CA1177" s="680">
        <f t="shared" si="450"/>
        <v>0</v>
      </c>
    </row>
    <row r="1178" spans="1:79" s="757" customFormat="1" hidden="1" outlineLevel="1" x14ac:dyDescent="0.35">
      <c r="A1178" s="30"/>
      <c r="B1178" s="30"/>
      <c r="C1178" s="30"/>
      <c r="D1178" s="30"/>
      <c r="E1178" s="30"/>
      <c r="F1178" s="574" t="s">
        <v>698</v>
      </c>
      <c r="G1178" s="735"/>
      <c r="H1178" s="735"/>
      <c r="I1178" s="735"/>
      <c r="J1178" s="735"/>
      <c r="K1178" s="735"/>
      <c r="L1178" s="735"/>
      <c r="M1178" s="735"/>
      <c r="N1178" s="735"/>
      <c r="O1178" s="735"/>
      <c r="P1178" s="732"/>
      <c r="Q1178" s="732"/>
      <c r="R1178" s="732"/>
      <c r="S1178" s="683">
        <v>0</v>
      </c>
      <c r="T1178" s="683">
        <v>0</v>
      </c>
      <c r="U1178" s="683">
        <v>0</v>
      </c>
      <c r="V1178" s="683">
        <v>0</v>
      </c>
      <c r="W1178" s="683">
        <v>0</v>
      </c>
      <c r="X1178" s="683">
        <v>0</v>
      </c>
      <c r="Y1178" s="683">
        <v>0</v>
      </c>
      <c r="Z1178" s="683">
        <v>0</v>
      </c>
      <c r="AA1178" s="683">
        <v>0</v>
      </c>
      <c r="AB1178" s="683">
        <v>0</v>
      </c>
      <c r="AC1178" s="683">
        <v>0</v>
      </c>
      <c r="AD1178" s="683">
        <v>0</v>
      </c>
      <c r="AE1178" s="732"/>
      <c r="AF1178" s="732"/>
      <c r="AG1178" s="732"/>
      <c r="AH1178" s="732"/>
      <c r="AI1178" s="732"/>
      <c r="AJ1178" s="732"/>
      <c r="AK1178" s="732"/>
      <c r="AL1178" s="732"/>
      <c r="AM1178" s="732"/>
      <c r="AN1178" s="732"/>
      <c r="AO1178" s="732"/>
      <c r="AP1178" s="732"/>
      <c r="AQ1178" s="732"/>
      <c r="AR1178" s="732"/>
      <c r="AS1178" s="732"/>
      <c r="AT1178" s="732"/>
      <c r="AU1178" s="732"/>
      <c r="AV1178" s="732"/>
      <c r="AW1178" s="732"/>
      <c r="AX1178" s="732"/>
      <c r="AY1178" s="732"/>
      <c r="AZ1178" s="732"/>
      <c r="BA1178" s="732"/>
      <c r="BB1178" s="732"/>
      <c r="BC1178" s="732"/>
      <c r="BD1178" s="732"/>
      <c r="BE1178" s="732"/>
      <c r="BF1178" s="732"/>
      <c r="BG1178" s="732"/>
      <c r="BH1178" s="732"/>
      <c r="BI1178" s="732"/>
      <c r="BJ1178" s="732"/>
      <c r="BK1178" s="732"/>
      <c r="BL1178" s="732"/>
      <c r="BM1178" s="732"/>
      <c r="BN1178" s="732"/>
      <c r="BO1178" s="732"/>
      <c r="BP1178" s="732"/>
      <c r="BQ1178" s="732"/>
      <c r="BR1178" s="732"/>
      <c r="BS1178" s="732"/>
      <c r="BT1178" s="732"/>
      <c r="BU1178" s="732"/>
      <c r="BV1178" s="732"/>
      <c r="BW1178" s="732"/>
      <c r="BX1178" s="732"/>
      <c r="BY1178" s="732"/>
      <c r="BZ1178" s="732"/>
      <c r="CA1178" s="732"/>
    </row>
    <row r="1179" spans="1:79" s="452" customFormat="1" ht="15" collapsed="1" thickBot="1" x14ac:dyDescent="0.4">
      <c r="A1179" s="30"/>
      <c r="B1179" s="30"/>
      <c r="C1179" s="30"/>
      <c r="D1179" s="30"/>
      <c r="E1179" s="30"/>
      <c r="F1179" s="913" t="s">
        <v>687</v>
      </c>
      <c r="G1179" s="914">
        <f t="shared" ref="G1179:R1179" si="451">SUM(G1015:G1178)-SUM(G1177,G1166,G1160,G1158,G1148,G1138,G1129,G1121,G1115,G1107,G1093,G1089,G1069,G1054,G1043,G1039,G1033,G1024)</f>
        <v>0</v>
      </c>
      <c r="H1179" s="914">
        <f t="shared" si="451"/>
        <v>0</v>
      </c>
      <c r="I1179" s="914">
        <f t="shared" si="451"/>
        <v>0</v>
      </c>
      <c r="J1179" s="914">
        <f t="shared" si="451"/>
        <v>0</v>
      </c>
      <c r="K1179" s="914">
        <f t="shared" si="451"/>
        <v>0</v>
      </c>
      <c r="L1179" s="914">
        <f t="shared" si="451"/>
        <v>0</v>
      </c>
      <c r="M1179" s="914">
        <f t="shared" si="451"/>
        <v>0</v>
      </c>
      <c r="N1179" s="914">
        <f t="shared" si="451"/>
        <v>0</v>
      </c>
      <c r="O1179" s="914">
        <f t="shared" si="451"/>
        <v>0</v>
      </c>
      <c r="P1179" s="914">
        <f t="shared" si="451"/>
        <v>0</v>
      </c>
      <c r="Q1179" s="914">
        <f t="shared" si="451"/>
        <v>0</v>
      </c>
      <c r="R1179" s="914">
        <f t="shared" si="451"/>
        <v>0</v>
      </c>
      <c r="S1179" s="915">
        <f t="shared" ref="S1179:AB1179" si="452">ROUND(SUM(S1014:S1020)+SUM(S1024:S1029)+SUM(S1033:S1035)+S1039+SUM(S1043:S1045)+SUM(S1054:S1058)+SUM(S1069:S1070)+S1089+SUM(S1093:S1096)+S1107+S1115+SUM(S1121:S1123)+SUM(S1129:S1130)+SUM(S1160:S1161)+SUM(S1166:S1168)+SUM(S1177:S1178),5)</f>
        <v>50056.76</v>
      </c>
      <c r="T1179" s="915">
        <f t="shared" si="452"/>
        <v>18640.54</v>
      </c>
      <c r="U1179" s="915">
        <f t="shared" si="452"/>
        <v>22228.81</v>
      </c>
      <c r="V1179" s="915">
        <f t="shared" si="452"/>
        <v>40028.26</v>
      </c>
      <c r="W1179" s="915">
        <f t="shared" si="452"/>
        <v>27313.51</v>
      </c>
      <c r="X1179" s="915">
        <f t="shared" si="452"/>
        <v>24555.360000000001</v>
      </c>
      <c r="Y1179" s="915">
        <f t="shared" si="452"/>
        <v>20135.43</v>
      </c>
      <c r="Z1179" s="915">
        <f t="shared" si="452"/>
        <v>46710.2</v>
      </c>
      <c r="AA1179" s="915">
        <f t="shared" si="452"/>
        <v>17533.05</v>
      </c>
      <c r="AB1179" s="915">
        <f t="shared" si="452"/>
        <v>26360</v>
      </c>
      <c r="AC1179" s="915">
        <f>ROUND(SUM(AC1014:AC1020)+SUM(AC1024:AC1029)+SUM(AC1033:AC1035)+AC1039+SUM(AC1043:AC1045)+SUM(AC1054:AC1058)+SUM(AC1069:AC1070)+AC1089+SUM(AC1093:AC1096)+AC1107+AC1115+SUM(AC1121:AC1123)+SUM(AC1129:AC1130)+SUM(AC1160:AC1161)+SUM(AC1166:AC1168)+SUM(AC1177:AC1178),5)</f>
        <v>31948.19</v>
      </c>
      <c r="AD1179" s="915">
        <f>ROUND(SUM(AD1014:AD1020)+SUM(AD1024:AD1029)+SUM(AD1033:AD1035)+AD1039+SUM(AD1043:AD1045)+SUM(AD1054:AD1058)+SUM(AD1069:AD1070)+AD1089+SUM(AD1093:AD1096)+AD1107+AD1115+SUM(AD1121:AD1123)+SUM(AD1129:AD1130)+SUM(AD1160:AD1161)+SUM(AD1166:AD1168)+SUM(AD1177:AD1178),5)</f>
        <v>18484.330000000002</v>
      </c>
      <c r="AE1179" s="914">
        <f t="shared" ref="AE1179:BJ1179" si="453">SUM(AE1015:AE1178)-SUM(AE1177,AE1166,AE1160,AE1158,AE1148,AE1138,AE1129,AE1121,AE1115,AE1107,AE1093,AE1089,AE1069,AE1054,AE1043,AE1039,AE1033,AE1024)</f>
        <v>0</v>
      </c>
      <c r="AF1179" s="914">
        <f t="shared" si="453"/>
        <v>0</v>
      </c>
      <c r="AG1179" s="914">
        <f t="shared" si="453"/>
        <v>0</v>
      </c>
      <c r="AH1179" s="914">
        <f t="shared" si="453"/>
        <v>0</v>
      </c>
      <c r="AI1179" s="914">
        <f t="shared" si="453"/>
        <v>0</v>
      </c>
      <c r="AJ1179" s="914">
        <f t="shared" si="453"/>
        <v>0</v>
      </c>
      <c r="AK1179" s="914">
        <f t="shared" si="453"/>
        <v>0</v>
      </c>
      <c r="AL1179" s="914">
        <f t="shared" si="453"/>
        <v>0</v>
      </c>
      <c r="AM1179" s="914">
        <f t="shared" si="453"/>
        <v>0</v>
      </c>
      <c r="AN1179" s="914">
        <f t="shared" si="453"/>
        <v>0</v>
      </c>
      <c r="AO1179" s="914">
        <f t="shared" si="453"/>
        <v>0</v>
      </c>
      <c r="AP1179" s="914">
        <f t="shared" si="453"/>
        <v>0</v>
      </c>
      <c r="AQ1179" s="914">
        <f t="shared" si="453"/>
        <v>0</v>
      </c>
      <c r="AR1179" s="914">
        <f t="shared" si="453"/>
        <v>0</v>
      </c>
      <c r="AS1179" s="914">
        <f t="shared" si="453"/>
        <v>0</v>
      </c>
      <c r="AT1179" s="914">
        <f t="shared" si="453"/>
        <v>0</v>
      </c>
      <c r="AU1179" s="914">
        <f t="shared" si="453"/>
        <v>0</v>
      </c>
      <c r="AV1179" s="914">
        <f t="shared" si="453"/>
        <v>0</v>
      </c>
      <c r="AW1179" s="914">
        <f t="shared" si="453"/>
        <v>0</v>
      </c>
      <c r="AX1179" s="914">
        <f t="shared" si="453"/>
        <v>0</v>
      </c>
      <c r="AY1179" s="914">
        <f t="shared" si="453"/>
        <v>0</v>
      </c>
      <c r="AZ1179" s="914">
        <f t="shared" si="453"/>
        <v>0</v>
      </c>
      <c r="BA1179" s="914">
        <f t="shared" si="453"/>
        <v>0</v>
      </c>
      <c r="BB1179" s="914">
        <f t="shared" si="453"/>
        <v>0</v>
      </c>
      <c r="BC1179" s="914">
        <f t="shared" si="453"/>
        <v>0</v>
      </c>
      <c r="BD1179" s="914">
        <f t="shared" si="453"/>
        <v>0</v>
      </c>
      <c r="BE1179" s="914">
        <f t="shared" si="453"/>
        <v>0</v>
      </c>
      <c r="BF1179" s="914">
        <f t="shared" si="453"/>
        <v>0</v>
      </c>
      <c r="BG1179" s="914">
        <f t="shared" si="453"/>
        <v>0</v>
      </c>
      <c r="BH1179" s="914">
        <f t="shared" si="453"/>
        <v>0</v>
      </c>
      <c r="BI1179" s="914">
        <f t="shared" si="453"/>
        <v>0</v>
      </c>
      <c r="BJ1179" s="914">
        <f t="shared" si="453"/>
        <v>0</v>
      </c>
      <c r="BK1179" s="914">
        <f t="shared" ref="BK1179:CA1179" si="454">SUM(BK1015:BK1178)-SUM(BK1177,BK1166,BK1160,BK1158,BK1148,BK1138,BK1129,BK1121,BK1115,BK1107,BK1093,BK1089,BK1069,BK1054,BK1043,BK1039,BK1033,BK1024)</f>
        <v>0</v>
      </c>
      <c r="BL1179" s="914">
        <f t="shared" si="454"/>
        <v>0</v>
      </c>
      <c r="BM1179" s="914">
        <f t="shared" si="454"/>
        <v>0</v>
      </c>
      <c r="BN1179" s="914">
        <f t="shared" si="454"/>
        <v>0</v>
      </c>
      <c r="BO1179" s="914">
        <f t="shared" si="454"/>
        <v>0</v>
      </c>
      <c r="BP1179" s="914">
        <f t="shared" si="454"/>
        <v>0</v>
      </c>
      <c r="BQ1179" s="914">
        <f t="shared" si="454"/>
        <v>0</v>
      </c>
      <c r="BR1179" s="914">
        <f t="shared" si="454"/>
        <v>0</v>
      </c>
      <c r="BS1179" s="914">
        <f t="shared" si="454"/>
        <v>0</v>
      </c>
      <c r="BT1179" s="914">
        <f t="shared" si="454"/>
        <v>0</v>
      </c>
      <c r="BU1179" s="914">
        <f t="shared" si="454"/>
        <v>0</v>
      </c>
      <c r="BV1179" s="914">
        <f t="shared" si="454"/>
        <v>0</v>
      </c>
      <c r="BW1179" s="914">
        <f t="shared" si="454"/>
        <v>0</v>
      </c>
      <c r="BX1179" s="914">
        <f t="shared" si="454"/>
        <v>0</v>
      </c>
      <c r="BY1179" s="914">
        <f t="shared" si="454"/>
        <v>0</v>
      </c>
      <c r="BZ1179" s="914">
        <f t="shared" si="454"/>
        <v>0</v>
      </c>
      <c r="CA1179" s="914">
        <f t="shared" si="454"/>
        <v>0</v>
      </c>
    </row>
    <row r="1180" spans="1:79" s="452" customFormat="1" ht="15" thickTop="1" x14ac:dyDescent="0.35">
      <c r="A1180" s="30"/>
      <c r="B1180" s="30"/>
      <c r="C1180" s="30"/>
      <c r="D1180" s="30"/>
      <c r="E1180" s="30"/>
      <c r="F1180" s="5"/>
      <c r="G1180" s="739"/>
      <c r="H1180" s="739"/>
      <c r="I1180" s="739"/>
      <c r="J1180" s="739"/>
      <c r="K1180" s="739"/>
      <c r="L1180" s="739"/>
      <c r="M1180" s="739"/>
      <c r="N1180" s="739"/>
      <c r="O1180" s="739"/>
      <c r="P1180" s="739"/>
      <c r="Q1180" s="739"/>
      <c r="R1180" s="739"/>
      <c r="S1180" s="739"/>
      <c r="T1180" s="739"/>
      <c r="U1180" s="739"/>
      <c r="V1180" s="739"/>
      <c r="W1180" s="739"/>
      <c r="X1180" s="739"/>
      <c r="Y1180" s="739"/>
      <c r="Z1180" s="739"/>
      <c r="AA1180" s="739"/>
      <c r="AB1180" s="732"/>
      <c r="AC1180" s="732"/>
      <c r="AD1180" s="732"/>
      <c r="AE1180" s="732"/>
      <c r="AF1180" s="732"/>
      <c r="AG1180" s="732"/>
      <c r="AH1180" s="732"/>
      <c r="AI1180" s="732"/>
      <c r="AJ1180" s="732"/>
      <c r="AK1180" s="732"/>
      <c r="AL1180" s="732"/>
      <c r="AM1180" s="732"/>
      <c r="AN1180" s="732"/>
      <c r="AO1180" s="732"/>
      <c r="AP1180" s="732"/>
      <c r="AQ1180" s="732"/>
      <c r="AR1180" s="732"/>
      <c r="AS1180" s="732"/>
      <c r="AT1180" s="732"/>
      <c r="AU1180" s="732"/>
      <c r="AV1180" s="732"/>
      <c r="AW1180" s="732"/>
      <c r="AX1180" s="732"/>
      <c r="AY1180" s="732"/>
      <c r="AZ1180" s="732"/>
      <c r="BA1180" s="732"/>
      <c r="BB1180" s="732"/>
      <c r="BC1180" s="732"/>
      <c r="BD1180" s="732"/>
      <c r="BE1180" s="732"/>
      <c r="BF1180" s="732"/>
      <c r="BG1180" s="732"/>
      <c r="BH1180" s="732"/>
      <c r="BI1180" s="732"/>
      <c r="BJ1180" s="732"/>
      <c r="BK1180" s="732"/>
      <c r="BL1180" s="732"/>
      <c r="BM1180" s="732"/>
      <c r="BN1180" s="732"/>
      <c r="BO1180" s="732"/>
      <c r="BP1180" s="732"/>
      <c r="BQ1180" s="732"/>
      <c r="BR1180" s="732"/>
      <c r="BS1180" s="732"/>
      <c r="BT1180" s="732"/>
      <c r="BU1180" s="732"/>
      <c r="BV1180" s="732"/>
      <c r="BW1180" s="732"/>
      <c r="BX1180" s="732"/>
      <c r="BY1180" s="732"/>
      <c r="BZ1180" s="732"/>
      <c r="CA1180" s="732"/>
    </row>
    <row r="1181" spans="1:79" s="452" customFormat="1" x14ac:dyDescent="0.35">
      <c r="A1181" s="30"/>
      <c r="B1181" s="30"/>
      <c r="C1181" s="30"/>
      <c r="D1181" s="30"/>
      <c r="E1181" s="30"/>
      <c r="F1181" s="5"/>
      <c r="G1181" s="734"/>
      <c r="H1181" s="734"/>
      <c r="I1181" s="734"/>
      <c r="J1181" s="734"/>
      <c r="K1181" s="734"/>
      <c r="L1181" s="734"/>
      <c r="M1181" s="734"/>
      <c r="N1181" s="734"/>
      <c r="O1181" s="734"/>
      <c r="P1181" s="734"/>
      <c r="Q1181" s="734"/>
      <c r="R1181" s="734"/>
      <c r="S1181" s="734"/>
      <c r="T1181" s="734"/>
      <c r="U1181" s="734"/>
      <c r="V1181" s="734"/>
      <c r="W1181" s="734"/>
      <c r="X1181" s="734"/>
      <c r="Y1181" s="734"/>
      <c r="Z1181" s="734"/>
      <c r="AA1181" s="734"/>
      <c r="AB1181" s="732"/>
      <c r="AC1181" s="732"/>
      <c r="AD1181" s="732"/>
      <c r="AE1181" s="732"/>
      <c r="AF1181" s="732"/>
      <c r="AG1181" s="732"/>
      <c r="AH1181" s="732"/>
      <c r="AI1181" s="732"/>
      <c r="AJ1181" s="732"/>
      <c r="AK1181" s="732"/>
      <c r="AL1181" s="732"/>
      <c r="AM1181" s="732"/>
      <c r="AN1181" s="732"/>
      <c r="AO1181" s="732"/>
      <c r="AP1181" s="732"/>
      <c r="AQ1181" s="732"/>
      <c r="AR1181" s="732"/>
      <c r="AS1181" s="732"/>
      <c r="AT1181" s="732"/>
      <c r="AU1181" s="732"/>
      <c r="AV1181" s="732"/>
      <c r="AW1181" s="732"/>
      <c r="AX1181" s="732"/>
      <c r="AY1181" s="732"/>
      <c r="AZ1181" s="732"/>
      <c r="BA1181" s="732"/>
      <c r="BB1181" s="732"/>
      <c r="BC1181" s="732"/>
      <c r="BD1181" s="732"/>
      <c r="BE1181" s="732"/>
      <c r="BF1181" s="732"/>
      <c r="BG1181" s="732"/>
      <c r="BH1181" s="732"/>
      <c r="BI1181" s="732"/>
      <c r="BJ1181" s="732"/>
      <c r="BK1181" s="732"/>
      <c r="BL1181" s="732"/>
      <c r="BM1181" s="732"/>
      <c r="BN1181" s="732"/>
      <c r="BO1181" s="732"/>
      <c r="BP1181" s="732"/>
      <c r="BQ1181" s="732"/>
      <c r="BR1181" s="732"/>
      <c r="BS1181" s="732"/>
      <c r="BT1181" s="732"/>
      <c r="BU1181" s="732"/>
      <c r="BV1181" s="732"/>
      <c r="BW1181" s="732"/>
      <c r="BX1181" s="732"/>
      <c r="BY1181" s="732"/>
      <c r="BZ1181" s="732"/>
      <c r="CA1181" s="732"/>
    </row>
    <row r="1182" spans="1:79" s="822" customFormat="1" x14ac:dyDescent="0.35">
      <c r="A1182" s="882"/>
      <c r="B1182" s="878"/>
      <c r="C1182" s="878"/>
      <c r="D1182" s="878"/>
      <c r="E1182" s="878"/>
      <c r="F1182" s="883" t="s">
        <v>19</v>
      </c>
      <c r="G1182" s="884"/>
      <c r="H1182" s="884"/>
      <c r="I1182" s="884"/>
      <c r="J1182" s="884"/>
      <c r="K1182" s="884"/>
      <c r="L1182" s="884"/>
      <c r="M1182" s="884"/>
      <c r="N1182" s="884"/>
      <c r="O1182" s="884"/>
      <c r="P1182" s="884"/>
      <c r="Q1182" s="884"/>
      <c r="R1182" s="884"/>
      <c r="S1182" s="884"/>
      <c r="T1182" s="884"/>
      <c r="U1182" s="884"/>
      <c r="V1182" s="884"/>
      <c r="W1182" s="884"/>
      <c r="X1182" s="884"/>
      <c r="Y1182" s="884"/>
      <c r="Z1182" s="884"/>
      <c r="AA1182" s="884"/>
      <c r="AB1182" s="884"/>
      <c r="AC1182" s="884"/>
      <c r="AD1182" s="884"/>
      <c r="AE1182" s="884"/>
      <c r="AF1182" s="884"/>
      <c r="AG1182" s="884"/>
      <c r="AH1182" s="884"/>
      <c r="AI1182" s="884"/>
      <c r="AJ1182" s="884"/>
      <c r="AK1182" s="884"/>
      <c r="AL1182" s="884"/>
      <c r="AM1182" s="884"/>
      <c r="AN1182" s="884"/>
      <c r="AO1182" s="884"/>
      <c r="AP1182" s="884"/>
      <c r="AQ1182" s="884"/>
      <c r="AR1182" s="884"/>
      <c r="AS1182" s="884"/>
      <c r="AT1182" s="884"/>
      <c r="AU1182" s="884"/>
      <c r="AV1182" s="884"/>
      <c r="AW1182" s="884"/>
      <c r="AX1182" s="884"/>
      <c r="AY1182" s="884"/>
      <c r="AZ1182" s="884"/>
      <c r="BA1182" s="884"/>
      <c r="BB1182" s="884"/>
      <c r="BC1182" s="884"/>
      <c r="BD1182" s="884"/>
      <c r="BE1182" s="884"/>
      <c r="BF1182" s="884"/>
      <c r="BG1182" s="884"/>
      <c r="BH1182" s="884"/>
      <c r="BI1182" s="884"/>
      <c r="BJ1182" s="884"/>
      <c r="BK1182" s="884"/>
      <c r="BL1182" s="884"/>
      <c r="BM1182" s="884"/>
      <c r="BN1182" s="884"/>
      <c r="BO1182" s="884"/>
      <c r="BP1182" s="884"/>
      <c r="BQ1182" s="884"/>
      <c r="BR1182" s="884"/>
      <c r="BS1182" s="884"/>
      <c r="BT1182" s="884"/>
      <c r="BU1182" s="884"/>
      <c r="BV1182" s="884"/>
      <c r="BW1182" s="884"/>
      <c r="BX1182" s="884"/>
      <c r="BY1182" s="884"/>
      <c r="BZ1182" s="884"/>
      <c r="CA1182" s="884"/>
    </row>
    <row r="1183" spans="1:79" s="452" customFormat="1" hidden="1" outlineLevel="1" x14ac:dyDescent="0.35">
      <c r="A1183" s="30"/>
      <c r="B1183" s="30"/>
      <c r="C1183" s="30"/>
      <c r="D1183" s="30"/>
      <c r="E1183" s="30"/>
      <c r="F1183" s="670" t="s">
        <v>701</v>
      </c>
      <c r="G1183" s="736"/>
      <c r="H1183" s="736"/>
      <c r="I1183" s="736"/>
      <c r="J1183" s="736"/>
      <c r="K1183" s="736"/>
      <c r="L1183" s="736">
        <v>300</v>
      </c>
      <c r="M1183" s="736"/>
      <c r="N1183" s="736"/>
      <c r="O1183" s="736"/>
      <c r="P1183" s="736"/>
      <c r="Q1183" s="736"/>
      <c r="R1183" s="736"/>
      <c r="S1183" s="679">
        <v>0</v>
      </c>
      <c r="T1183" s="679">
        <v>0</v>
      </c>
      <c r="U1183" s="679">
        <v>0</v>
      </c>
      <c r="V1183" s="679">
        <v>0</v>
      </c>
      <c r="W1183" s="679">
        <v>0</v>
      </c>
      <c r="X1183" s="679">
        <v>0</v>
      </c>
      <c r="Y1183" s="679">
        <v>0</v>
      </c>
      <c r="Z1183" s="679">
        <v>0</v>
      </c>
      <c r="AA1183" s="679">
        <v>0</v>
      </c>
      <c r="AB1183" s="679">
        <v>0</v>
      </c>
      <c r="AC1183" s="679">
        <v>0</v>
      </c>
      <c r="AD1183" s="679">
        <v>0</v>
      </c>
      <c r="AE1183" s="736"/>
      <c r="AF1183" s="736"/>
      <c r="AG1183" s="736"/>
      <c r="AH1183" s="736"/>
      <c r="AI1183" s="736"/>
      <c r="AJ1183" s="736"/>
      <c r="AK1183" s="736"/>
      <c r="AL1183" s="736"/>
      <c r="AM1183" s="736"/>
      <c r="AN1183" s="736"/>
      <c r="AO1183" s="736"/>
      <c r="AP1183" s="736"/>
      <c r="AQ1183" s="736"/>
      <c r="AR1183" s="736"/>
      <c r="AS1183" s="736"/>
      <c r="AT1183" s="736"/>
      <c r="AU1183" s="736"/>
      <c r="AV1183" s="736"/>
      <c r="AW1183" s="736"/>
      <c r="AX1183" s="736"/>
      <c r="AY1183" s="736"/>
      <c r="AZ1183" s="736"/>
      <c r="BA1183" s="736"/>
      <c r="BB1183" s="736"/>
      <c r="BC1183" s="736"/>
      <c r="BD1183" s="736"/>
      <c r="BE1183" s="736"/>
      <c r="BF1183" s="736"/>
      <c r="BG1183" s="736"/>
      <c r="BH1183" s="736"/>
      <c r="BI1183" s="736"/>
      <c r="BJ1183" s="736"/>
      <c r="BK1183" s="736"/>
      <c r="BL1183" s="736"/>
      <c r="BM1183" s="736"/>
      <c r="BN1183" s="736"/>
      <c r="BO1183" s="736"/>
      <c r="BP1183" s="736"/>
      <c r="BQ1183" s="736"/>
      <c r="BR1183" s="736"/>
      <c r="BS1183" s="736"/>
      <c r="BT1183" s="736"/>
      <c r="BU1183" s="736"/>
      <c r="BV1183" s="736"/>
      <c r="BW1183" s="736"/>
      <c r="BX1183" s="736"/>
      <c r="BY1183" s="736"/>
      <c r="BZ1183" s="736"/>
      <c r="CA1183" s="736"/>
    </row>
    <row r="1184" spans="1:79" hidden="1" outlineLevel="1" x14ac:dyDescent="0.35">
      <c r="A1184" s="224"/>
      <c r="B1184" s="224"/>
      <c r="C1184" s="224"/>
      <c r="D1184" s="224"/>
      <c r="E1184" s="224"/>
      <c r="F1184" s="671" t="s">
        <v>857</v>
      </c>
      <c r="G1184" s="679"/>
      <c r="H1184" s="679"/>
      <c r="I1184" s="679"/>
      <c r="J1184" s="679"/>
      <c r="K1184" s="679"/>
      <c r="L1184" s="679"/>
      <c r="M1184" s="679"/>
      <c r="N1184" s="679"/>
      <c r="O1184" s="679"/>
      <c r="P1184" s="679"/>
      <c r="Q1184" s="679"/>
      <c r="R1184" s="679"/>
      <c r="S1184" s="679">
        <v>0</v>
      </c>
      <c r="T1184" s="679">
        <v>0</v>
      </c>
      <c r="U1184" s="679">
        <v>0</v>
      </c>
      <c r="V1184" s="679">
        <v>0</v>
      </c>
      <c r="W1184" s="679">
        <v>0</v>
      </c>
      <c r="X1184" s="679">
        <v>0</v>
      </c>
      <c r="Y1184" s="679">
        <v>0</v>
      </c>
      <c r="Z1184" s="679">
        <v>0</v>
      </c>
      <c r="AA1184" s="679">
        <v>0</v>
      </c>
      <c r="AB1184" s="679">
        <v>0</v>
      </c>
      <c r="AC1184" s="679">
        <v>0</v>
      </c>
      <c r="AD1184" s="679">
        <v>0</v>
      </c>
      <c r="AE1184" s="679"/>
      <c r="AF1184" s="679"/>
      <c r="AG1184" s="679"/>
      <c r="AH1184" s="679"/>
      <c r="AI1184" s="679"/>
      <c r="AJ1184" s="679"/>
      <c r="AK1184" s="679"/>
      <c r="AL1184" s="679"/>
      <c r="AM1184" s="679"/>
      <c r="AN1184" s="679"/>
      <c r="AO1184" s="679"/>
      <c r="AP1184" s="679"/>
      <c r="AQ1184" s="679"/>
      <c r="AR1184" s="679"/>
      <c r="AS1184" s="679"/>
      <c r="AT1184" s="679"/>
      <c r="AU1184" s="679"/>
      <c r="AV1184" s="679"/>
      <c r="AW1184" s="679"/>
      <c r="AX1184" s="679"/>
      <c r="AY1184" s="679"/>
      <c r="AZ1184" s="679"/>
      <c r="BA1184" s="679"/>
      <c r="BB1184" s="679"/>
      <c r="BC1184" s="679"/>
      <c r="BD1184" s="679"/>
      <c r="BE1184" s="679"/>
      <c r="BF1184" s="679"/>
      <c r="BG1184" s="679"/>
      <c r="BH1184" s="679"/>
      <c r="BI1184" s="679"/>
      <c r="BJ1184" s="679"/>
      <c r="BK1184" s="679"/>
      <c r="BL1184" s="679"/>
      <c r="BM1184" s="679"/>
      <c r="BN1184" s="679"/>
      <c r="BO1184" s="679"/>
      <c r="BP1184" s="679"/>
      <c r="BQ1184" s="679"/>
      <c r="BR1184" s="679"/>
      <c r="BS1184" s="679"/>
      <c r="BT1184" s="679"/>
      <c r="BU1184" s="679"/>
      <c r="BV1184" s="679"/>
      <c r="BW1184" s="679"/>
      <c r="BX1184" s="679"/>
      <c r="BY1184" s="679"/>
      <c r="BZ1184" s="679"/>
      <c r="CA1184" s="679"/>
    </row>
    <row r="1185" spans="1:79" hidden="1" outlineLevel="1" x14ac:dyDescent="0.35">
      <c r="A1185" s="224"/>
      <c r="B1185" s="224"/>
      <c r="C1185" s="224"/>
      <c r="D1185" s="224"/>
      <c r="E1185" s="224"/>
      <c r="F1185" s="671" t="s">
        <v>858</v>
      </c>
      <c r="G1185" s="679"/>
      <c r="H1185" s="679"/>
      <c r="I1185" s="679"/>
      <c r="J1185" s="679"/>
      <c r="K1185" s="679"/>
      <c r="L1185" s="679"/>
      <c r="M1185" s="679"/>
      <c r="N1185" s="679"/>
      <c r="O1185" s="679"/>
      <c r="P1185" s="679"/>
      <c r="Q1185" s="679"/>
      <c r="R1185" s="679"/>
      <c r="S1185" s="679">
        <v>0</v>
      </c>
      <c r="T1185" s="679">
        <v>0</v>
      </c>
      <c r="U1185" s="679">
        <v>0</v>
      </c>
      <c r="V1185" s="679">
        <v>0</v>
      </c>
      <c r="W1185" s="679">
        <v>0</v>
      </c>
      <c r="X1185" s="679">
        <v>0</v>
      </c>
      <c r="Y1185" s="679">
        <v>0</v>
      </c>
      <c r="Z1185" s="679">
        <v>0</v>
      </c>
      <c r="AA1185" s="679">
        <v>0</v>
      </c>
      <c r="AB1185" s="679">
        <v>0</v>
      </c>
      <c r="AC1185" s="679">
        <v>0</v>
      </c>
      <c r="AD1185" s="679">
        <v>0</v>
      </c>
      <c r="AE1185" s="679"/>
      <c r="AF1185" s="679"/>
      <c r="AG1185" s="679"/>
      <c r="AH1185" s="679"/>
      <c r="AI1185" s="679"/>
      <c r="AJ1185" s="679"/>
      <c r="AK1185" s="679"/>
      <c r="AL1185" s="679"/>
      <c r="AM1185" s="679"/>
      <c r="AN1185" s="679"/>
      <c r="AO1185" s="679"/>
      <c r="AP1185" s="679"/>
      <c r="AQ1185" s="679"/>
      <c r="AR1185" s="679"/>
      <c r="AS1185" s="679"/>
      <c r="AT1185" s="679"/>
      <c r="AU1185" s="679"/>
      <c r="AV1185" s="679"/>
      <c r="AW1185" s="679"/>
      <c r="AX1185" s="679"/>
      <c r="AY1185" s="679"/>
      <c r="AZ1185" s="679"/>
      <c r="BA1185" s="679"/>
      <c r="BB1185" s="679"/>
      <c r="BC1185" s="679"/>
      <c r="BD1185" s="679"/>
      <c r="BE1185" s="679"/>
      <c r="BF1185" s="679"/>
      <c r="BG1185" s="679"/>
      <c r="BH1185" s="679"/>
      <c r="BI1185" s="679"/>
      <c r="BJ1185" s="679"/>
      <c r="BK1185" s="679"/>
      <c r="BL1185" s="679"/>
      <c r="BM1185" s="679"/>
      <c r="BN1185" s="679"/>
      <c r="BO1185" s="679"/>
      <c r="BP1185" s="679"/>
      <c r="BQ1185" s="679"/>
      <c r="BR1185" s="679"/>
      <c r="BS1185" s="679"/>
      <c r="BT1185" s="679"/>
      <c r="BU1185" s="679"/>
      <c r="BV1185" s="679"/>
      <c r="BW1185" s="679"/>
      <c r="BX1185" s="679"/>
      <c r="BY1185" s="679"/>
      <c r="BZ1185" s="679"/>
      <c r="CA1185" s="679"/>
    </row>
    <row r="1186" spans="1:79" hidden="1" outlineLevel="1" x14ac:dyDescent="0.35">
      <c r="A1186" s="224"/>
      <c r="B1186" s="224"/>
      <c r="C1186" s="224"/>
      <c r="D1186" s="224"/>
      <c r="E1186" s="224"/>
      <c r="F1186" s="671" t="s">
        <v>859</v>
      </c>
      <c r="G1186" s="679"/>
      <c r="H1186" s="679"/>
      <c r="I1186" s="679"/>
      <c r="J1186" s="679"/>
      <c r="K1186" s="679"/>
      <c r="L1186" s="679"/>
      <c r="M1186" s="679"/>
      <c r="N1186" s="679"/>
      <c r="O1186" s="679"/>
      <c r="P1186" s="679"/>
      <c r="Q1186" s="679"/>
      <c r="R1186" s="679"/>
      <c r="S1186" s="679">
        <v>0</v>
      </c>
      <c r="T1186" s="679">
        <v>0</v>
      </c>
      <c r="U1186" s="679">
        <v>0</v>
      </c>
      <c r="V1186" s="679">
        <v>0</v>
      </c>
      <c r="W1186" s="679">
        <v>0</v>
      </c>
      <c r="X1186" s="679">
        <v>0</v>
      </c>
      <c r="Y1186" s="679">
        <v>0</v>
      </c>
      <c r="Z1186" s="679">
        <v>0</v>
      </c>
      <c r="AA1186" s="679">
        <v>0</v>
      </c>
      <c r="AB1186" s="679">
        <v>0</v>
      </c>
      <c r="AC1186" s="679">
        <v>0</v>
      </c>
      <c r="AD1186" s="679">
        <v>0</v>
      </c>
      <c r="AE1186" s="679"/>
      <c r="AF1186" s="679"/>
      <c r="AG1186" s="679"/>
      <c r="AH1186" s="679"/>
      <c r="AI1186" s="679"/>
      <c r="AJ1186" s="679"/>
      <c r="AK1186" s="679"/>
      <c r="AL1186" s="679"/>
      <c r="AM1186" s="679"/>
      <c r="AN1186" s="679"/>
      <c r="AO1186" s="679"/>
      <c r="AP1186" s="679"/>
      <c r="AQ1186" s="679"/>
      <c r="AR1186" s="679"/>
      <c r="AS1186" s="679"/>
      <c r="AT1186" s="679"/>
      <c r="AU1186" s="679"/>
      <c r="AV1186" s="679"/>
      <c r="AW1186" s="679"/>
      <c r="AX1186" s="679"/>
      <c r="AY1186" s="679"/>
      <c r="AZ1186" s="679"/>
      <c r="BA1186" s="679"/>
      <c r="BB1186" s="679"/>
      <c r="BC1186" s="679"/>
      <c r="BD1186" s="679"/>
      <c r="BE1186" s="679"/>
      <c r="BF1186" s="679"/>
      <c r="BG1186" s="679"/>
      <c r="BH1186" s="679"/>
      <c r="BI1186" s="679"/>
      <c r="BJ1186" s="679"/>
      <c r="BK1186" s="679"/>
      <c r="BL1186" s="679"/>
      <c r="BM1186" s="679"/>
      <c r="BN1186" s="679"/>
      <c r="BO1186" s="679"/>
      <c r="BP1186" s="679"/>
      <c r="BQ1186" s="679"/>
      <c r="BR1186" s="679"/>
      <c r="BS1186" s="679"/>
      <c r="BT1186" s="679"/>
      <c r="BU1186" s="679"/>
      <c r="BV1186" s="679"/>
      <c r="BW1186" s="679"/>
      <c r="BX1186" s="679"/>
      <c r="BY1186" s="679"/>
      <c r="BZ1186" s="679"/>
      <c r="CA1186" s="679"/>
    </row>
    <row r="1187" spans="1:79" s="452" customFormat="1" hidden="1" outlineLevel="1" x14ac:dyDescent="0.35">
      <c r="A1187" s="30"/>
      <c r="B1187" s="30"/>
      <c r="C1187" s="30"/>
      <c r="D1187" s="30"/>
      <c r="E1187" s="30"/>
      <c r="F1187" s="671" t="s">
        <v>702</v>
      </c>
      <c r="G1187" s="736"/>
      <c r="H1187" s="736"/>
      <c r="I1187" s="736"/>
      <c r="J1187" s="736"/>
      <c r="K1187" s="736"/>
      <c r="L1187" s="736"/>
      <c r="M1187" s="736"/>
      <c r="N1187" s="736">
        <v>125</v>
      </c>
      <c r="O1187" s="736"/>
      <c r="P1187" s="736"/>
      <c r="Q1187" s="736"/>
      <c r="R1187" s="736"/>
      <c r="S1187" s="679">
        <v>0</v>
      </c>
      <c r="T1187" s="679">
        <v>0</v>
      </c>
      <c r="U1187" s="679">
        <v>0</v>
      </c>
      <c r="V1187" s="679">
        <v>0</v>
      </c>
      <c r="W1187" s="679">
        <v>0</v>
      </c>
      <c r="X1187" s="679">
        <v>0</v>
      </c>
      <c r="Y1187" s="679">
        <v>0</v>
      </c>
      <c r="Z1187" s="679">
        <v>0</v>
      </c>
      <c r="AA1187" s="679">
        <v>0</v>
      </c>
      <c r="AB1187" s="679">
        <v>0</v>
      </c>
      <c r="AC1187" s="679">
        <v>0</v>
      </c>
      <c r="AD1187" s="679">
        <v>0</v>
      </c>
      <c r="AE1187" s="736"/>
      <c r="AF1187" s="736"/>
      <c r="AG1187" s="736"/>
      <c r="AH1187" s="736"/>
      <c r="AI1187" s="736"/>
      <c r="AJ1187" s="736"/>
      <c r="AK1187" s="736"/>
      <c r="AL1187" s="736"/>
      <c r="AM1187" s="736"/>
      <c r="AN1187" s="736"/>
      <c r="AO1187" s="736"/>
      <c r="AP1187" s="736"/>
      <c r="AQ1187" s="736"/>
      <c r="AR1187" s="736"/>
      <c r="AS1187" s="736"/>
      <c r="AT1187" s="736"/>
      <c r="AU1187" s="736"/>
      <c r="AV1187" s="736"/>
      <c r="AW1187" s="736"/>
      <c r="AX1187" s="736"/>
      <c r="AY1187" s="736"/>
      <c r="AZ1187" s="736"/>
      <c r="BA1187" s="736"/>
      <c r="BB1187" s="736"/>
      <c r="BC1187" s="736"/>
      <c r="BD1187" s="736"/>
      <c r="BE1187" s="736"/>
      <c r="BF1187" s="736"/>
      <c r="BG1187" s="736"/>
      <c r="BH1187" s="736"/>
      <c r="BI1187" s="736"/>
      <c r="BJ1187" s="736"/>
      <c r="BK1187" s="736"/>
      <c r="BL1187" s="736"/>
      <c r="BM1187" s="736"/>
      <c r="BN1187" s="736"/>
      <c r="BO1187" s="736"/>
      <c r="BP1187" s="736"/>
      <c r="BQ1187" s="736"/>
      <c r="BR1187" s="736"/>
      <c r="BS1187" s="736"/>
      <c r="BT1187" s="736"/>
      <c r="BU1187" s="736"/>
      <c r="BV1187" s="736"/>
      <c r="BW1187" s="736"/>
      <c r="BX1187" s="736"/>
      <c r="BY1187" s="736"/>
      <c r="BZ1187" s="736"/>
      <c r="CA1187" s="736"/>
    </row>
    <row r="1188" spans="1:79" hidden="1" outlineLevel="1" x14ac:dyDescent="0.35">
      <c r="A1188" s="224"/>
      <c r="B1188" s="224"/>
      <c r="C1188" s="224"/>
      <c r="D1188" s="224"/>
      <c r="E1188" s="224"/>
      <c r="F1188" s="671" t="s">
        <v>860</v>
      </c>
      <c r="G1188" s="679"/>
      <c r="H1188" s="679"/>
      <c r="I1188" s="679"/>
      <c r="J1188" s="679"/>
      <c r="K1188" s="679"/>
      <c r="L1188" s="679"/>
      <c r="M1188" s="679"/>
      <c r="N1188" s="679"/>
      <c r="O1188" s="679"/>
      <c r="P1188" s="679"/>
      <c r="Q1188" s="679"/>
      <c r="R1188" s="679"/>
      <c r="S1188" s="679">
        <v>0</v>
      </c>
      <c r="T1188" s="679">
        <v>0</v>
      </c>
      <c r="U1188" s="679">
        <v>0</v>
      </c>
      <c r="V1188" s="679">
        <v>0</v>
      </c>
      <c r="W1188" s="679">
        <v>0</v>
      </c>
      <c r="X1188" s="679">
        <v>0</v>
      </c>
      <c r="Y1188" s="679">
        <v>0</v>
      </c>
      <c r="Z1188" s="679">
        <v>0</v>
      </c>
      <c r="AA1188" s="679">
        <v>0</v>
      </c>
      <c r="AB1188" s="679">
        <v>0</v>
      </c>
      <c r="AC1188" s="679">
        <v>0</v>
      </c>
      <c r="AD1188" s="679">
        <v>0</v>
      </c>
      <c r="AE1188" s="679"/>
      <c r="AF1188" s="679"/>
      <c r="AG1188" s="679"/>
      <c r="AH1188" s="679"/>
      <c r="AI1188" s="679"/>
      <c r="AJ1188" s="679"/>
      <c r="AK1188" s="679"/>
      <c r="AL1188" s="679"/>
      <c r="AM1188" s="679"/>
      <c r="AN1188" s="679"/>
      <c r="AO1188" s="679"/>
      <c r="AP1188" s="679"/>
      <c r="AQ1188" s="679"/>
      <c r="AR1188" s="679"/>
      <c r="AS1188" s="679"/>
      <c r="AT1188" s="679"/>
      <c r="AU1188" s="679"/>
      <c r="AV1188" s="679"/>
      <c r="AW1188" s="679"/>
      <c r="AX1188" s="679"/>
      <c r="AY1188" s="679"/>
      <c r="AZ1188" s="679"/>
      <c r="BA1188" s="679"/>
      <c r="BB1188" s="679"/>
      <c r="BC1188" s="679"/>
      <c r="BD1188" s="679"/>
      <c r="BE1188" s="679"/>
      <c r="BF1188" s="679"/>
      <c r="BG1188" s="679"/>
      <c r="BH1188" s="679"/>
      <c r="BI1188" s="679"/>
      <c r="BJ1188" s="679"/>
      <c r="BK1188" s="679"/>
      <c r="BL1188" s="679"/>
      <c r="BM1188" s="679"/>
      <c r="BN1188" s="679"/>
      <c r="BO1188" s="679"/>
      <c r="BP1188" s="679"/>
      <c r="BQ1188" s="679"/>
      <c r="BR1188" s="679"/>
      <c r="BS1188" s="679"/>
      <c r="BT1188" s="679"/>
      <c r="BU1188" s="679"/>
      <c r="BV1188" s="679"/>
      <c r="BW1188" s="679"/>
      <c r="BX1188" s="679"/>
      <c r="BY1188" s="679"/>
      <c r="BZ1188" s="679"/>
      <c r="CA1188" s="679"/>
    </row>
    <row r="1189" spans="1:79" hidden="1" outlineLevel="1" x14ac:dyDescent="0.35">
      <c r="A1189" s="709"/>
      <c r="B1189" s="709"/>
      <c r="C1189" s="709"/>
      <c r="D1189" s="709"/>
      <c r="E1189" s="709"/>
      <c r="F1189" s="707" t="s">
        <v>661</v>
      </c>
      <c r="G1189" s="708"/>
      <c r="H1189" s="708"/>
      <c r="I1189" s="708"/>
      <c r="J1189" s="708"/>
      <c r="K1189" s="708"/>
      <c r="L1189" s="708"/>
      <c r="M1189" s="708"/>
      <c r="N1189" s="708"/>
      <c r="O1189" s="708"/>
      <c r="P1189" s="708"/>
      <c r="Q1189" s="708"/>
      <c r="R1189" s="708"/>
      <c r="S1189" s="708"/>
      <c r="T1189" s="708"/>
      <c r="U1189" s="708"/>
      <c r="V1189" s="708"/>
      <c r="W1189" s="708"/>
      <c r="X1189" s="708"/>
      <c r="Y1189" s="708"/>
      <c r="Z1189" s="708"/>
      <c r="AA1189" s="708"/>
      <c r="AB1189" s="708"/>
      <c r="AC1189" s="708"/>
      <c r="AD1189" s="708"/>
      <c r="AE1189" s="708"/>
      <c r="AF1189" s="708"/>
      <c r="AG1189" s="708"/>
      <c r="AH1189" s="708"/>
      <c r="AI1189" s="708"/>
      <c r="AJ1189" s="708"/>
      <c r="AK1189" s="708"/>
      <c r="AL1189" s="708"/>
      <c r="AM1189" s="708"/>
      <c r="AN1189" s="708"/>
      <c r="AO1189" s="708"/>
      <c r="AP1189" s="708"/>
      <c r="AQ1189" s="708"/>
      <c r="AR1189" s="708"/>
      <c r="AS1189" s="708"/>
      <c r="AT1189" s="708"/>
      <c r="AU1189" s="708"/>
      <c r="AV1189" s="708"/>
      <c r="AW1189" s="708"/>
      <c r="AX1189" s="708"/>
      <c r="AY1189" s="708"/>
      <c r="AZ1189" s="708"/>
      <c r="BA1189" s="708"/>
      <c r="BB1189" s="708"/>
      <c r="BC1189" s="708"/>
      <c r="BD1189" s="708"/>
      <c r="BE1189" s="708"/>
      <c r="BF1189" s="708"/>
      <c r="BG1189" s="708"/>
      <c r="BH1189" s="708"/>
      <c r="BI1189" s="708"/>
      <c r="BJ1189" s="708"/>
      <c r="BK1189" s="708"/>
      <c r="BL1189" s="708"/>
      <c r="BM1189" s="708"/>
      <c r="BN1189" s="708"/>
      <c r="BO1189" s="708"/>
      <c r="BP1189" s="708"/>
      <c r="BQ1189" s="708"/>
      <c r="BR1189" s="708"/>
      <c r="BS1189" s="708"/>
      <c r="BT1189" s="708"/>
      <c r="BU1189" s="708"/>
      <c r="BV1189" s="708"/>
      <c r="BW1189" s="708"/>
      <c r="BX1189" s="708"/>
      <c r="BY1189" s="708"/>
      <c r="BZ1189" s="708"/>
      <c r="CA1189" s="708"/>
    </row>
    <row r="1190" spans="1:79" hidden="1" outlineLevel="1" x14ac:dyDescent="0.35">
      <c r="A1190" s="224"/>
      <c r="B1190" s="224"/>
      <c r="C1190" s="224"/>
      <c r="D1190" s="224"/>
      <c r="E1190" s="224"/>
      <c r="F1190" s="672" t="s">
        <v>662</v>
      </c>
      <c r="G1190" s="679"/>
      <c r="H1190" s="679"/>
      <c r="I1190" s="679"/>
      <c r="J1190" s="679"/>
      <c r="K1190" s="679"/>
      <c r="L1190" s="679"/>
      <c r="M1190" s="679"/>
      <c r="N1190" s="679"/>
      <c r="O1190" s="679"/>
      <c r="P1190" s="679"/>
      <c r="Q1190" s="679"/>
      <c r="R1190" s="679"/>
      <c r="S1190" s="679">
        <v>0</v>
      </c>
      <c r="T1190" s="679">
        <v>0</v>
      </c>
      <c r="U1190" s="679">
        <v>0</v>
      </c>
      <c r="V1190" s="679">
        <v>0</v>
      </c>
      <c r="W1190" s="679">
        <v>0</v>
      </c>
      <c r="X1190" s="679">
        <v>0</v>
      </c>
      <c r="Y1190" s="679">
        <v>0</v>
      </c>
      <c r="Z1190" s="679">
        <v>0</v>
      </c>
      <c r="AA1190" s="679">
        <v>0</v>
      </c>
      <c r="AB1190" s="679">
        <v>0</v>
      </c>
      <c r="AC1190" s="679">
        <v>0</v>
      </c>
      <c r="AD1190" s="679">
        <v>0</v>
      </c>
      <c r="AE1190" s="679"/>
      <c r="AF1190" s="679"/>
      <c r="AG1190" s="679"/>
      <c r="AH1190" s="679"/>
      <c r="AI1190" s="679"/>
      <c r="AJ1190" s="679"/>
      <c r="AK1190" s="679"/>
      <c r="AL1190" s="679"/>
      <c r="AM1190" s="679"/>
      <c r="AN1190" s="679"/>
      <c r="AO1190" s="679"/>
      <c r="AP1190" s="679"/>
      <c r="AQ1190" s="679"/>
      <c r="AR1190" s="679"/>
      <c r="AS1190" s="679"/>
      <c r="AT1190" s="679"/>
      <c r="AU1190" s="679"/>
      <c r="AV1190" s="679"/>
      <c r="AW1190" s="679"/>
      <c r="AX1190" s="679"/>
      <c r="AY1190" s="679"/>
      <c r="AZ1190" s="679"/>
      <c r="BA1190" s="679"/>
      <c r="BB1190" s="679"/>
      <c r="BC1190" s="679"/>
      <c r="BD1190" s="679"/>
      <c r="BE1190" s="679"/>
      <c r="BF1190" s="679"/>
      <c r="BG1190" s="679"/>
      <c r="BH1190" s="679"/>
      <c r="BI1190" s="679"/>
      <c r="BJ1190" s="679"/>
      <c r="BK1190" s="679"/>
      <c r="BL1190" s="679"/>
      <c r="BM1190" s="679"/>
      <c r="BN1190" s="679"/>
      <c r="BO1190" s="679"/>
      <c r="BP1190" s="679"/>
      <c r="BQ1190" s="679"/>
      <c r="BR1190" s="679"/>
      <c r="BS1190" s="679"/>
      <c r="BT1190" s="679"/>
      <c r="BU1190" s="679"/>
      <c r="BV1190" s="679"/>
      <c r="BW1190" s="679"/>
      <c r="BX1190" s="679"/>
      <c r="BY1190" s="679"/>
      <c r="BZ1190" s="679"/>
      <c r="CA1190" s="679"/>
    </row>
    <row r="1191" spans="1:79" hidden="1" outlineLevel="1" x14ac:dyDescent="0.35">
      <c r="A1191" s="224"/>
      <c r="B1191" s="224"/>
      <c r="C1191" s="224"/>
      <c r="D1191" s="224"/>
      <c r="E1191" s="224"/>
      <c r="F1191" s="672" t="s">
        <v>861</v>
      </c>
      <c r="G1191" s="679">
        <v>1976.95</v>
      </c>
      <c r="H1191" s="736">
        <v>1976.95</v>
      </c>
      <c r="I1191" s="736">
        <v>3270.17</v>
      </c>
      <c r="J1191" s="736">
        <v>1141.3900000000001</v>
      </c>
      <c r="K1191" s="736">
        <v>2364.37</v>
      </c>
      <c r="L1191" s="736">
        <v>2364.37</v>
      </c>
      <c r="M1191" s="736">
        <v>2572.36</v>
      </c>
      <c r="N1191" s="736">
        <v>2458.9499999999998</v>
      </c>
      <c r="O1191" s="736">
        <v>2458.9499999999998</v>
      </c>
      <c r="P1191" s="736">
        <v>2458.9499999999998</v>
      </c>
      <c r="Q1191" s="736">
        <v>5158.2299999999996</v>
      </c>
      <c r="R1191" s="736">
        <v>1667.45</v>
      </c>
      <c r="S1191" s="679">
        <v>0</v>
      </c>
      <c r="T1191" s="679">
        <v>0</v>
      </c>
      <c r="U1191" s="679">
        <v>0</v>
      </c>
      <c r="V1191" s="679">
        <v>0</v>
      </c>
      <c r="W1191" s="679">
        <v>0</v>
      </c>
      <c r="X1191" s="679">
        <v>0</v>
      </c>
      <c r="Y1191" s="679">
        <v>0</v>
      </c>
      <c r="Z1191" s="679">
        <v>0</v>
      </c>
      <c r="AA1191" s="679">
        <v>0</v>
      </c>
      <c r="AB1191" s="679">
        <v>0</v>
      </c>
      <c r="AC1191" s="679">
        <v>0</v>
      </c>
      <c r="AD1191" s="679">
        <v>0</v>
      </c>
      <c r="AE1191" s="679"/>
      <c r="AF1191" s="679"/>
      <c r="AG1191" s="679"/>
      <c r="AH1191" s="679"/>
      <c r="AI1191" s="679"/>
      <c r="AJ1191" s="679"/>
      <c r="AK1191" s="679"/>
      <c r="AL1191" s="679"/>
      <c r="AM1191" s="679"/>
      <c r="AN1191" s="679"/>
      <c r="AO1191" s="679"/>
      <c r="AP1191" s="679"/>
      <c r="AQ1191" s="679"/>
      <c r="AR1191" s="679"/>
      <c r="AS1191" s="679"/>
      <c r="AT1191" s="679"/>
      <c r="AU1191" s="679"/>
      <c r="AV1191" s="679"/>
      <c r="AW1191" s="679"/>
      <c r="AX1191" s="679"/>
      <c r="AY1191" s="679"/>
      <c r="AZ1191" s="679"/>
      <c r="BA1191" s="679"/>
      <c r="BB1191" s="679"/>
      <c r="BC1191" s="679"/>
      <c r="BD1191" s="679"/>
      <c r="BE1191" s="679"/>
      <c r="BF1191" s="679"/>
      <c r="BG1191" s="679"/>
      <c r="BH1191" s="679"/>
      <c r="BI1191" s="679"/>
      <c r="BJ1191" s="679"/>
      <c r="BK1191" s="679"/>
      <c r="BL1191" s="679"/>
      <c r="BM1191" s="679"/>
      <c r="BN1191" s="679"/>
      <c r="BO1191" s="679"/>
      <c r="BP1191" s="679"/>
      <c r="BQ1191" s="679"/>
      <c r="BR1191" s="679"/>
      <c r="BS1191" s="679"/>
      <c r="BT1191" s="679"/>
      <c r="BU1191" s="679"/>
      <c r="BV1191" s="679"/>
      <c r="BW1191" s="679"/>
      <c r="BX1191" s="679"/>
      <c r="BY1191" s="679"/>
      <c r="BZ1191" s="679"/>
      <c r="CA1191" s="679"/>
    </row>
    <row r="1192" spans="1:79" hidden="1" outlineLevel="1" x14ac:dyDescent="0.35">
      <c r="A1192" s="224"/>
      <c r="B1192" s="224"/>
      <c r="C1192" s="224"/>
      <c r="D1192" s="224"/>
      <c r="E1192" s="224"/>
      <c r="F1192" s="673" t="s">
        <v>663</v>
      </c>
      <c r="G1192" s="680">
        <f>SUM(G1190:G1191)</f>
        <v>1976.95</v>
      </c>
      <c r="H1192" s="680">
        <f t="shared" ref="H1192:Q1192" si="455">SUM(H1190:H1191)</f>
        <v>1976.95</v>
      </c>
      <c r="I1192" s="680">
        <f t="shared" si="455"/>
        <v>3270.17</v>
      </c>
      <c r="J1192" s="680">
        <f t="shared" si="455"/>
        <v>1141.3900000000001</v>
      </c>
      <c r="K1192" s="680">
        <f t="shared" si="455"/>
        <v>2364.37</v>
      </c>
      <c r="L1192" s="680">
        <f t="shared" si="455"/>
        <v>2364.37</v>
      </c>
      <c r="M1192" s="680">
        <f t="shared" si="455"/>
        <v>2572.36</v>
      </c>
      <c r="N1192" s="680">
        <f t="shared" si="455"/>
        <v>2458.9499999999998</v>
      </c>
      <c r="O1192" s="680">
        <f t="shared" si="455"/>
        <v>2458.9499999999998</v>
      </c>
      <c r="P1192" s="680">
        <f t="shared" si="455"/>
        <v>2458.9499999999998</v>
      </c>
      <c r="Q1192" s="680">
        <f t="shared" si="455"/>
        <v>5158.2299999999996</v>
      </c>
      <c r="R1192" s="680">
        <f>SUM(R1190:R1191)</f>
        <v>1667.45</v>
      </c>
      <c r="S1192" s="680">
        <f t="shared" ref="S1192:AA1192" si="456">ROUND(SUM(S1189:S1191),5)</f>
        <v>0</v>
      </c>
      <c r="T1192" s="680">
        <f t="shared" si="456"/>
        <v>0</v>
      </c>
      <c r="U1192" s="680">
        <f t="shared" si="456"/>
        <v>0</v>
      </c>
      <c r="V1192" s="680">
        <f t="shared" si="456"/>
        <v>0</v>
      </c>
      <c r="W1192" s="680">
        <f t="shared" si="456"/>
        <v>0</v>
      </c>
      <c r="X1192" s="680">
        <f t="shared" si="456"/>
        <v>0</v>
      </c>
      <c r="Y1192" s="680">
        <f t="shared" si="456"/>
        <v>0</v>
      </c>
      <c r="Z1192" s="680">
        <f t="shared" si="456"/>
        <v>0</v>
      </c>
      <c r="AA1192" s="680">
        <f t="shared" si="456"/>
        <v>0</v>
      </c>
      <c r="AB1192" s="680">
        <f>ROUND(SUM(AB1189:AB1191),5)</f>
        <v>0</v>
      </c>
      <c r="AC1192" s="680">
        <f>ROUND(SUM(AC1189:AC1191),5)</f>
        <v>0</v>
      </c>
      <c r="AD1192" s="680">
        <f>ROUND(SUM(AD1189:AD1191),5)</f>
        <v>0</v>
      </c>
      <c r="AE1192" s="680">
        <f t="shared" ref="AE1192:BO1192" si="457">SUM(AE1190:AE1191)</f>
        <v>0</v>
      </c>
      <c r="AF1192" s="680">
        <f t="shared" si="457"/>
        <v>0</v>
      </c>
      <c r="AG1192" s="680">
        <f t="shared" si="457"/>
        <v>0</v>
      </c>
      <c r="AH1192" s="680">
        <f t="shared" si="457"/>
        <v>0</v>
      </c>
      <c r="AI1192" s="680">
        <f t="shared" si="457"/>
        <v>0</v>
      </c>
      <c r="AJ1192" s="680">
        <f t="shared" si="457"/>
        <v>0</v>
      </c>
      <c r="AK1192" s="680">
        <f t="shared" si="457"/>
        <v>0</v>
      </c>
      <c r="AL1192" s="680">
        <f t="shared" si="457"/>
        <v>0</v>
      </c>
      <c r="AM1192" s="680">
        <f t="shared" si="457"/>
        <v>0</v>
      </c>
      <c r="AN1192" s="680">
        <f t="shared" si="457"/>
        <v>0</v>
      </c>
      <c r="AO1192" s="680">
        <f t="shared" si="457"/>
        <v>0</v>
      </c>
      <c r="AP1192" s="680">
        <f t="shared" si="457"/>
        <v>0</v>
      </c>
      <c r="AQ1192" s="680">
        <f t="shared" si="457"/>
        <v>0</v>
      </c>
      <c r="AR1192" s="680">
        <f t="shared" si="457"/>
        <v>0</v>
      </c>
      <c r="AS1192" s="680">
        <f t="shared" si="457"/>
        <v>0</v>
      </c>
      <c r="AT1192" s="680">
        <f t="shared" si="457"/>
        <v>0</v>
      </c>
      <c r="AU1192" s="680">
        <f t="shared" si="457"/>
        <v>0</v>
      </c>
      <c r="AV1192" s="680">
        <f t="shared" si="457"/>
        <v>0</v>
      </c>
      <c r="AW1192" s="680">
        <f t="shared" si="457"/>
        <v>0</v>
      </c>
      <c r="AX1192" s="680">
        <f t="shared" si="457"/>
        <v>0</v>
      </c>
      <c r="AY1192" s="680">
        <f t="shared" si="457"/>
        <v>0</v>
      </c>
      <c r="AZ1192" s="680">
        <f t="shared" si="457"/>
        <v>0</v>
      </c>
      <c r="BA1192" s="680">
        <f t="shared" si="457"/>
        <v>0</v>
      </c>
      <c r="BB1192" s="680">
        <f t="shared" si="457"/>
        <v>0</v>
      </c>
      <c r="BC1192" s="680">
        <f t="shared" si="457"/>
        <v>0</v>
      </c>
      <c r="BD1192" s="680">
        <f t="shared" si="457"/>
        <v>0</v>
      </c>
      <c r="BE1192" s="680">
        <f t="shared" si="457"/>
        <v>0</v>
      </c>
      <c r="BF1192" s="680">
        <f t="shared" si="457"/>
        <v>0</v>
      </c>
      <c r="BG1192" s="680">
        <f t="shared" si="457"/>
        <v>0</v>
      </c>
      <c r="BH1192" s="680">
        <f t="shared" si="457"/>
        <v>0</v>
      </c>
      <c r="BI1192" s="680">
        <f t="shared" si="457"/>
        <v>0</v>
      </c>
      <c r="BJ1192" s="680">
        <f t="shared" si="457"/>
        <v>0</v>
      </c>
      <c r="BK1192" s="680">
        <f t="shared" si="457"/>
        <v>0</v>
      </c>
      <c r="BL1192" s="680">
        <f t="shared" si="457"/>
        <v>0</v>
      </c>
      <c r="BM1192" s="680">
        <f t="shared" si="457"/>
        <v>0</v>
      </c>
      <c r="BN1192" s="680">
        <f t="shared" si="457"/>
        <v>0</v>
      </c>
      <c r="BO1192" s="680">
        <f t="shared" si="457"/>
        <v>0</v>
      </c>
      <c r="BP1192" s="680">
        <f t="shared" ref="BP1192:CA1192" si="458">SUM(BP1190:BP1191)</f>
        <v>0</v>
      </c>
      <c r="BQ1192" s="680">
        <f t="shared" si="458"/>
        <v>0</v>
      </c>
      <c r="BR1192" s="680">
        <f t="shared" si="458"/>
        <v>0</v>
      </c>
      <c r="BS1192" s="680">
        <f t="shared" si="458"/>
        <v>0</v>
      </c>
      <c r="BT1192" s="680">
        <f t="shared" si="458"/>
        <v>0</v>
      </c>
      <c r="BU1192" s="680">
        <f t="shared" si="458"/>
        <v>0</v>
      </c>
      <c r="BV1192" s="680">
        <f t="shared" si="458"/>
        <v>0</v>
      </c>
      <c r="BW1192" s="680">
        <f t="shared" si="458"/>
        <v>0</v>
      </c>
      <c r="BX1192" s="680">
        <f t="shared" si="458"/>
        <v>0</v>
      </c>
      <c r="BY1192" s="680">
        <f t="shared" si="458"/>
        <v>0</v>
      </c>
      <c r="BZ1192" s="680">
        <f t="shared" si="458"/>
        <v>0</v>
      </c>
      <c r="CA1192" s="680">
        <f t="shared" si="458"/>
        <v>0</v>
      </c>
    </row>
    <row r="1193" spans="1:79" s="452" customFormat="1" hidden="1" outlineLevel="1" x14ac:dyDescent="0.35">
      <c r="A1193" s="575"/>
      <c r="B1193" s="575"/>
      <c r="C1193" s="575"/>
      <c r="D1193" s="575"/>
      <c r="E1193" s="575"/>
      <c r="F1193" s="671" t="s">
        <v>700</v>
      </c>
      <c r="G1193" s="735"/>
      <c r="H1193" s="735"/>
      <c r="I1193" s="735"/>
      <c r="J1193" s="735"/>
      <c r="K1193" s="735"/>
      <c r="L1193" s="735"/>
      <c r="M1193" s="735"/>
      <c r="N1193" s="735"/>
      <c r="O1193" s="735"/>
      <c r="P1193" s="732">
        <v>25000</v>
      </c>
      <c r="Q1193" s="732"/>
      <c r="R1193" s="736"/>
      <c r="S1193" s="679">
        <v>0</v>
      </c>
      <c r="T1193" s="679">
        <v>0</v>
      </c>
      <c r="U1193" s="679">
        <v>0</v>
      </c>
      <c r="V1193" s="679">
        <v>0</v>
      </c>
      <c r="W1193" s="679">
        <v>0</v>
      </c>
      <c r="X1193" s="679">
        <v>0</v>
      </c>
      <c r="Y1193" s="679">
        <v>0</v>
      </c>
      <c r="Z1193" s="679">
        <v>0</v>
      </c>
      <c r="AA1193" s="679">
        <v>0</v>
      </c>
      <c r="AB1193" s="679">
        <v>0</v>
      </c>
      <c r="AC1193" s="679">
        <v>0</v>
      </c>
      <c r="AD1193" s="679">
        <v>0</v>
      </c>
      <c r="AE1193" s="736"/>
      <c r="AF1193" s="736"/>
      <c r="AG1193" s="736"/>
      <c r="AH1193" s="736"/>
      <c r="AI1193" s="736"/>
      <c r="AJ1193" s="736"/>
      <c r="AK1193" s="736"/>
      <c r="AL1193" s="736"/>
      <c r="AM1193" s="736"/>
      <c r="AN1193" s="736"/>
      <c r="AO1193" s="736"/>
      <c r="AP1193" s="736"/>
      <c r="AQ1193" s="736"/>
      <c r="AR1193" s="736"/>
      <c r="AS1193" s="736"/>
      <c r="AT1193" s="736"/>
      <c r="AU1193" s="736"/>
      <c r="AV1193" s="736"/>
      <c r="AW1193" s="736"/>
      <c r="AX1193" s="736"/>
      <c r="AY1193" s="736"/>
      <c r="AZ1193" s="736"/>
      <c r="BA1193" s="736"/>
      <c r="BB1193" s="736"/>
      <c r="BC1193" s="736"/>
      <c r="BD1193" s="736"/>
      <c r="BE1193" s="736"/>
      <c r="BF1193" s="736"/>
      <c r="BG1193" s="736"/>
      <c r="BH1193" s="736"/>
      <c r="BI1193" s="736"/>
      <c r="BJ1193" s="736"/>
      <c r="BK1193" s="736"/>
      <c r="BL1193" s="736"/>
      <c r="BM1193" s="736"/>
      <c r="BN1193" s="736"/>
      <c r="BO1193" s="736"/>
      <c r="BP1193" s="736"/>
      <c r="BQ1193" s="736"/>
      <c r="BR1193" s="736"/>
      <c r="BS1193" s="736"/>
      <c r="BT1193" s="736"/>
      <c r="BU1193" s="736"/>
      <c r="BV1193" s="736"/>
      <c r="BW1193" s="736"/>
      <c r="BX1193" s="736"/>
      <c r="BY1193" s="736"/>
      <c r="BZ1193" s="736"/>
      <c r="CA1193" s="736"/>
    </row>
    <row r="1194" spans="1:79" hidden="1" outlineLevel="1" x14ac:dyDescent="0.35">
      <c r="A1194" s="224"/>
      <c r="B1194" s="224"/>
      <c r="C1194" s="224"/>
      <c r="D1194" s="224"/>
      <c r="E1194" s="224"/>
      <c r="F1194" s="671" t="s">
        <v>862</v>
      </c>
      <c r="G1194" s="679"/>
      <c r="H1194" s="679"/>
      <c r="I1194" s="679"/>
      <c r="J1194" s="679"/>
      <c r="K1194" s="679"/>
      <c r="L1194" s="679"/>
      <c r="M1194" s="679"/>
      <c r="N1194" s="679"/>
      <c r="O1194" s="679"/>
      <c r="P1194" s="679"/>
      <c r="Q1194" s="679"/>
      <c r="R1194" s="679"/>
      <c r="S1194" s="679">
        <v>0</v>
      </c>
      <c r="T1194" s="679">
        <v>0</v>
      </c>
      <c r="U1194" s="679">
        <v>0</v>
      </c>
      <c r="V1194" s="679">
        <v>0</v>
      </c>
      <c r="W1194" s="679">
        <v>0</v>
      </c>
      <c r="X1194" s="679">
        <v>0</v>
      </c>
      <c r="Y1194" s="679">
        <v>0</v>
      </c>
      <c r="Z1194" s="679">
        <v>0</v>
      </c>
      <c r="AA1194" s="679">
        <v>0</v>
      </c>
      <c r="AB1194" s="679">
        <v>0</v>
      </c>
      <c r="AC1194" s="679">
        <v>0</v>
      </c>
      <c r="AD1194" s="679">
        <v>0</v>
      </c>
      <c r="AE1194" s="679"/>
      <c r="AF1194" s="679"/>
      <c r="AG1194" s="679"/>
      <c r="AH1194" s="679"/>
      <c r="AI1194" s="679"/>
      <c r="AJ1194" s="679"/>
      <c r="AK1194" s="679"/>
      <c r="AL1194" s="679"/>
      <c r="AM1194" s="679"/>
      <c r="AN1194" s="679"/>
      <c r="AO1194" s="679"/>
      <c r="AP1194" s="679"/>
      <c r="AQ1194" s="679"/>
      <c r="AR1194" s="679"/>
      <c r="AS1194" s="679"/>
      <c r="AT1194" s="679"/>
      <c r="AU1194" s="679"/>
      <c r="AV1194" s="679"/>
      <c r="AW1194" s="679"/>
      <c r="AX1194" s="679"/>
      <c r="AY1194" s="679"/>
      <c r="AZ1194" s="679"/>
      <c r="BA1194" s="679"/>
      <c r="BB1194" s="679"/>
      <c r="BC1194" s="679"/>
      <c r="BD1194" s="679"/>
      <c r="BE1194" s="679"/>
      <c r="BF1194" s="679"/>
      <c r="BG1194" s="679"/>
      <c r="BH1194" s="679"/>
      <c r="BI1194" s="679"/>
      <c r="BJ1194" s="679"/>
      <c r="BK1194" s="679"/>
      <c r="BL1194" s="679"/>
      <c r="BM1194" s="679"/>
      <c r="BN1194" s="679"/>
      <c r="BO1194" s="679"/>
      <c r="BP1194" s="679"/>
      <c r="BQ1194" s="679"/>
      <c r="BR1194" s="679"/>
      <c r="BS1194" s="679"/>
      <c r="BT1194" s="679"/>
      <c r="BU1194" s="679"/>
      <c r="BV1194" s="679"/>
      <c r="BW1194" s="679"/>
      <c r="BX1194" s="679"/>
      <c r="BY1194" s="679"/>
      <c r="BZ1194" s="679"/>
      <c r="CA1194" s="679"/>
    </row>
    <row r="1195" spans="1:79" hidden="1" outlineLevel="1" x14ac:dyDescent="0.35">
      <c r="A1195" s="224"/>
      <c r="B1195" s="224"/>
      <c r="C1195" s="224"/>
      <c r="D1195" s="224"/>
      <c r="E1195" s="224"/>
      <c r="F1195" s="671" t="s">
        <v>863</v>
      </c>
      <c r="G1195" s="679"/>
      <c r="H1195" s="679"/>
      <c r="I1195" s="679"/>
      <c r="J1195" s="679"/>
      <c r="K1195" s="679"/>
      <c r="L1195" s="679"/>
      <c r="M1195" s="679"/>
      <c r="N1195" s="679"/>
      <c r="O1195" s="679"/>
      <c r="P1195" s="679"/>
      <c r="Q1195" s="679"/>
      <c r="R1195" s="679"/>
      <c r="S1195" s="679">
        <v>0</v>
      </c>
      <c r="T1195" s="679">
        <v>0</v>
      </c>
      <c r="U1195" s="679">
        <v>0</v>
      </c>
      <c r="V1195" s="679">
        <v>0</v>
      </c>
      <c r="W1195" s="679">
        <v>0</v>
      </c>
      <c r="X1195" s="679">
        <v>0</v>
      </c>
      <c r="Y1195" s="679">
        <v>0</v>
      </c>
      <c r="Z1195" s="679">
        <v>0</v>
      </c>
      <c r="AA1195" s="679">
        <v>0</v>
      </c>
      <c r="AB1195" s="679">
        <v>0</v>
      </c>
      <c r="AC1195" s="679">
        <v>0</v>
      </c>
      <c r="AD1195" s="679">
        <v>0</v>
      </c>
      <c r="AE1195" s="679"/>
      <c r="AF1195" s="679"/>
      <c r="AG1195" s="679"/>
      <c r="AH1195" s="679"/>
      <c r="AI1195" s="679"/>
      <c r="AJ1195" s="679"/>
      <c r="AK1195" s="679"/>
      <c r="AL1195" s="679"/>
      <c r="AM1195" s="679"/>
      <c r="AN1195" s="679"/>
      <c r="AO1195" s="679"/>
      <c r="AP1195" s="679"/>
      <c r="AQ1195" s="679"/>
      <c r="AR1195" s="679"/>
      <c r="AS1195" s="679"/>
      <c r="AT1195" s="679"/>
      <c r="AU1195" s="679"/>
      <c r="AV1195" s="679"/>
      <c r="AW1195" s="679"/>
      <c r="AX1195" s="679"/>
      <c r="AY1195" s="679"/>
      <c r="AZ1195" s="679"/>
      <c r="BA1195" s="679"/>
      <c r="BB1195" s="679"/>
      <c r="BC1195" s="679"/>
      <c r="BD1195" s="679"/>
      <c r="BE1195" s="679"/>
      <c r="BF1195" s="679"/>
      <c r="BG1195" s="679"/>
      <c r="BH1195" s="679"/>
      <c r="BI1195" s="679"/>
      <c r="BJ1195" s="679"/>
      <c r="BK1195" s="679"/>
      <c r="BL1195" s="679"/>
      <c r="BM1195" s="679"/>
      <c r="BN1195" s="679"/>
      <c r="BO1195" s="679"/>
      <c r="BP1195" s="679"/>
      <c r="BQ1195" s="679"/>
      <c r="BR1195" s="679"/>
      <c r="BS1195" s="679"/>
      <c r="BT1195" s="679"/>
      <c r="BU1195" s="679"/>
      <c r="BV1195" s="679"/>
      <c r="BW1195" s="679"/>
      <c r="BX1195" s="679"/>
      <c r="BY1195" s="679"/>
      <c r="BZ1195" s="679"/>
      <c r="CA1195" s="679"/>
    </row>
    <row r="1196" spans="1:79" hidden="1" outlineLevel="1" x14ac:dyDescent="0.35">
      <c r="A1196" s="224"/>
      <c r="B1196" s="224"/>
      <c r="C1196" s="224"/>
      <c r="D1196" s="224"/>
      <c r="E1196" s="224"/>
      <c r="F1196" s="671" t="s">
        <v>18</v>
      </c>
      <c r="G1196" s="679"/>
      <c r="H1196" s="679"/>
      <c r="I1196" s="679"/>
      <c r="J1196" s="679"/>
      <c r="K1196" s="679"/>
      <c r="L1196" s="679"/>
      <c r="M1196" s="679"/>
      <c r="N1196" s="679">
        <v>5000</v>
      </c>
      <c r="O1196" s="679">
        <v>2000</v>
      </c>
      <c r="P1196" s="679">
        <v>15685.88171175</v>
      </c>
      <c r="Q1196" s="679">
        <v>43677.5</v>
      </c>
      <c r="R1196" s="679">
        <v>28786.400000000001</v>
      </c>
      <c r="S1196" s="679">
        <v>0</v>
      </c>
      <c r="T1196" s="679">
        <v>0</v>
      </c>
      <c r="U1196" s="679">
        <v>0</v>
      </c>
      <c r="V1196" s="679">
        <v>0</v>
      </c>
      <c r="W1196" s="679">
        <v>0</v>
      </c>
      <c r="X1196" s="679">
        <v>0</v>
      </c>
      <c r="Y1196" s="679">
        <v>0</v>
      </c>
      <c r="Z1196" s="679">
        <v>0</v>
      </c>
      <c r="AA1196" s="679">
        <v>0</v>
      </c>
      <c r="AB1196" s="679">
        <v>0</v>
      </c>
      <c r="AC1196" s="679">
        <v>0</v>
      </c>
      <c r="AD1196" s="679">
        <v>0</v>
      </c>
      <c r="AE1196" s="679"/>
      <c r="AF1196" s="679"/>
      <c r="AG1196" s="679"/>
      <c r="AH1196" s="679"/>
      <c r="AI1196" s="679"/>
      <c r="AJ1196" s="679"/>
      <c r="AK1196" s="679"/>
      <c r="AL1196" s="679"/>
      <c r="AM1196" s="679"/>
      <c r="AN1196" s="679"/>
      <c r="AO1196" s="679"/>
      <c r="AP1196" s="679"/>
      <c r="AQ1196" s="679"/>
      <c r="AR1196" s="679"/>
      <c r="AS1196" s="679"/>
      <c r="AT1196" s="679"/>
      <c r="AU1196" s="679"/>
      <c r="AV1196" s="679"/>
      <c r="AW1196" s="679"/>
      <c r="AX1196" s="679"/>
      <c r="AY1196" s="679"/>
      <c r="AZ1196" s="679"/>
      <c r="BA1196" s="679"/>
      <c r="BB1196" s="679"/>
      <c r="BC1196" s="679"/>
      <c r="BD1196" s="679"/>
      <c r="BE1196" s="679"/>
      <c r="BF1196" s="679"/>
      <c r="BG1196" s="679"/>
      <c r="BH1196" s="679"/>
      <c r="BI1196" s="679"/>
      <c r="BJ1196" s="679"/>
      <c r="BK1196" s="679"/>
      <c r="BL1196" s="679"/>
      <c r="BM1196" s="679"/>
      <c r="BN1196" s="679"/>
      <c r="BO1196" s="679"/>
      <c r="BP1196" s="679"/>
      <c r="BQ1196" s="679"/>
      <c r="BR1196" s="679"/>
      <c r="BS1196" s="679"/>
      <c r="BT1196" s="679"/>
      <c r="BU1196" s="679"/>
      <c r="BV1196" s="679"/>
      <c r="BW1196" s="679"/>
      <c r="BX1196" s="679"/>
      <c r="BY1196" s="679"/>
      <c r="BZ1196" s="679"/>
      <c r="CA1196" s="679"/>
    </row>
    <row r="1197" spans="1:79" hidden="1" outlineLevel="1" x14ac:dyDescent="0.35">
      <c r="A1197" s="224"/>
      <c r="B1197" s="224"/>
      <c r="C1197" s="224"/>
      <c r="D1197" s="224"/>
      <c r="E1197" s="224"/>
      <c r="F1197" s="671" t="s">
        <v>864</v>
      </c>
      <c r="G1197" s="679"/>
      <c r="H1197" s="679"/>
      <c r="I1197" s="679"/>
      <c r="J1197" s="679"/>
      <c r="K1197" s="679"/>
      <c r="L1197" s="679"/>
      <c r="M1197" s="679"/>
      <c r="N1197" s="679"/>
      <c r="O1197" s="679"/>
      <c r="P1197" s="679"/>
      <c r="Q1197" s="679"/>
      <c r="R1197" s="679"/>
      <c r="S1197" s="679">
        <v>0</v>
      </c>
      <c r="T1197" s="679">
        <v>0</v>
      </c>
      <c r="U1197" s="679">
        <v>0</v>
      </c>
      <c r="V1197" s="679">
        <v>0</v>
      </c>
      <c r="W1197" s="679">
        <v>0</v>
      </c>
      <c r="X1197" s="679">
        <v>0</v>
      </c>
      <c r="Y1197" s="679">
        <v>0</v>
      </c>
      <c r="Z1197" s="679">
        <v>0</v>
      </c>
      <c r="AA1197" s="679">
        <v>0</v>
      </c>
      <c r="AB1197" s="679">
        <v>0</v>
      </c>
      <c r="AC1197" s="679">
        <v>0</v>
      </c>
      <c r="AD1197" s="679">
        <v>0</v>
      </c>
      <c r="AE1197" s="679"/>
      <c r="AF1197" s="679"/>
      <c r="AG1197" s="679"/>
      <c r="AH1197" s="679"/>
      <c r="AI1197" s="679"/>
      <c r="AJ1197" s="679"/>
      <c r="AK1197" s="679"/>
      <c r="AL1197" s="679"/>
      <c r="AM1197" s="679"/>
      <c r="AN1197" s="679"/>
      <c r="AO1197" s="679"/>
      <c r="AP1197" s="679"/>
      <c r="AQ1197" s="679"/>
      <c r="AR1197" s="679"/>
      <c r="AS1197" s="679"/>
      <c r="AT1197" s="679"/>
      <c r="AU1197" s="679"/>
      <c r="AV1197" s="679"/>
      <c r="AW1197" s="679"/>
      <c r="AX1197" s="679"/>
      <c r="AY1197" s="679"/>
      <c r="AZ1197" s="679"/>
      <c r="BA1197" s="679"/>
      <c r="BB1197" s="679"/>
      <c r="BC1197" s="679"/>
      <c r="BD1197" s="679"/>
      <c r="BE1197" s="679"/>
      <c r="BF1197" s="679"/>
      <c r="BG1197" s="679"/>
      <c r="BH1197" s="679"/>
      <c r="BI1197" s="679"/>
      <c r="BJ1197" s="679"/>
      <c r="BK1197" s="679"/>
      <c r="BL1197" s="679"/>
      <c r="BM1197" s="679"/>
      <c r="BN1197" s="679"/>
      <c r="BO1197" s="679"/>
      <c r="BP1197" s="679"/>
      <c r="BQ1197" s="679"/>
      <c r="BR1197" s="679"/>
      <c r="BS1197" s="679"/>
      <c r="BT1197" s="679"/>
      <c r="BU1197" s="679"/>
      <c r="BV1197" s="679"/>
      <c r="BW1197" s="679"/>
      <c r="BX1197" s="679"/>
      <c r="BY1197" s="679"/>
      <c r="BZ1197" s="679"/>
      <c r="CA1197" s="679"/>
    </row>
    <row r="1198" spans="1:79" hidden="1" outlineLevel="1" x14ac:dyDescent="0.35">
      <c r="A1198" s="709"/>
      <c r="B1198" s="709"/>
      <c r="C1198" s="709"/>
      <c r="D1198" s="709"/>
      <c r="E1198" s="709"/>
      <c r="F1198" s="707" t="s">
        <v>649</v>
      </c>
      <c r="G1198" s="708"/>
      <c r="H1198" s="708"/>
      <c r="I1198" s="708"/>
      <c r="J1198" s="708"/>
      <c r="K1198" s="708"/>
      <c r="L1198" s="708"/>
      <c r="M1198" s="708"/>
      <c r="N1198" s="708"/>
      <c r="O1198" s="708"/>
      <c r="P1198" s="708"/>
      <c r="Q1198" s="708"/>
      <c r="R1198" s="708"/>
      <c r="S1198" s="708"/>
      <c r="T1198" s="708"/>
      <c r="U1198" s="708"/>
      <c r="V1198" s="708"/>
      <c r="W1198" s="708"/>
      <c r="X1198" s="708"/>
      <c r="Y1198" s="708"/>
      <c r="Z1198" s="708"/>
      <c r="AA1198" s="708"/>
      <c r="AB1198" s="708"/>
      <c r="AC1198" s="708"/>
      <c r="AD1198" s="708"/>
      <c r="AE1198" s="708"/>
      <c r="AF1198" s="708"/>
      <c r="AG1198" s="708"/>
      <c r="AH1198" s="708"/>
      <c r="AI1198" s="708"/>
      <c r="AJ1198" s="708"/>
      <c r="AK1198" s="708"/>
      <c r="AL1198" s="708"/>
      <c r="AM1198" s="708"/>
      <c r="AN1198" s="708"/>
      <c r="AO1198" s="708"/>
      <c r="AP1198" s="708"/>
      <c r="AQ1198" s="708"/>
      <c r="AR1198" s="708"/>
      <c r="AS1198" s="708"/>
      <c r="AT1198" s="708"/>
      <c r="AU1198" s="708"/>
      <c r="AV1198" s="708"/>
      <c r="AW1198" s="708"/>
      <c r="AX1198" s="708"/>
      <c r="AY1198" s="708"/>
      <c r="AZ1198" s="708"/>
      <c r="BA1198" s="708"/>
      <c r="BB1198" s="708"/>
      <c r="BC1198" s="708"/>
      <c r="BD1198" s="708"/>
      <c r="BE1198" s="708"/>
      <c r="BF1198" s="708"/>
      <c r="BG1198" s="708"/>
      <c r="BH1198" s="708"/>
      <c r="BI1198" s="708"/>
      <c r="BJ1198" s="708"/>
      <c r="BK1198" s="708"/>
      <c r="BL1198" s="708"/>
      <c r="BM1198" s="708"/>
      <c r="BN1198" s="708"/>
      <c r="BO1198" s="708"/>
      <c r="BP1198" s="708"/>
      <c r="BQ1198" s="708"/>
      <c r="BR1198" s="708"/>
      <c r="BS1198" s="708"/>
      <c r="BT1198" s="708"/>
      <c r="BU1198" s="708"/>
      <c r="BV1198" s="708"/>
      <c r="BW1198" s="708"/>
      <c r="BX1198" s="708"/>
      <c r="BY1198" s="708"/>
      <c r="BZ1198" s="708"/>
      <c r="CA1198" s="708"/>
    </row>
    <row r="1199" spans="1:79" hidden="1" outlineLevel="1" x14ac:dyDescent="0.35">
      <c r="A1199" s="224"/>
      <c r="B1199" s="224"/>
      <c r="C1199" s="224"/>
      <c r="D1199" s="224"/>
      <c r="E1199" s="224"/>
      <c r="F1199" s="672" t="s">
        <v>865</v>
      </c>
      <c r="G1199" s="679"/>
      <c r="H1199" s="679"/>
      <c r="I1199" s="679"/>
      <c r="J1199" s="679"/>
      <c r="K1199" s="679"/>
      <c r="L1199" s="679"/>
      <c r="M1199" s="679"/>
      <c r="N1199" s="679"/>
      <c r="O1199" s="679"/>
      <c r="P1199" s="679"/>
      <c r="Q1199" s="679"/>
      <c r="R1199" s="679"/>
      <c r="S1199" s="679">
        <v>0</v>
      </c>
      <c r="T1199" s="679">
        <v>0</v>
      </c>
      <c r="U1199" s="679">
        <v>0</v>
      </c>
      <c r="V1199" s="679">
        <v>0</v>
      </c>
      <c r="W1199" s="679">
        <v>0</v>
      </c>
      <c r="X1199" s="679">
        <v>0</v>
      </c>
      <c r="Y1199" s="679">
        <v>0</v>
      </c>
      <c r="Z1199" s="679">
        <v>0</v>
      </c>
      <c r="AA1199" s="679">
        <v>0</v>
      </c>
      <c r="AB1199" s="679">
        <v>0</v>
      </c>
      <c r="AC1199" s="679">
        <v>0</v>
      </c>
      <c r="AD1199" s="679">
        <v>0</v>
      </c>
      <c r="AE1199" s="679"/>
      <c r="AF1199" s="679"/>
      <c r="AG1199" s="679"/>
      <c r="AH1199" s="679"/>
      <c r="AI1199" s="679"/>
      <c r="AJ1199" s="679"/>
      <c r="AK1199" s="679"/>
      <c r="AL1199" s="679"/>
      <c r="AM1199" s="679"/>
      <c r="AN1199" s="679"/>
      <c r="AO1199" s="679"/>
      <c r="AP1199" s="679"/>
      <c r="AQ1199" s="679"/>
      <c r="AR1199" s="679"/>
      <c r="AS1199" s="679"/>
      <c r="AT1199" s="679"/>
      <c r="AU1199" s="679"/>
      <c r="AV1199" s="679"/>
      <c r="AW1199" s="679"/>
      <c r="AX1199" s="679"/>
      <c r="AY1199" s="679"/>
      <c r="AZ1199" s="679"/>
      <c r="BA1199" s="679"/>
      <c r="BB1199" s="679"/>
      <c r="BC1199" s="679"/>
      <c r="BD1199" s="679"/>
      <c r="BE1199" s="679"/>
      <c r="BF1199" s="679"/>
      <c r="BG1199" s="679"/>
      <c r="BH1199" s="679"/>
      <c r="BI1199" s="679"/>
      <c r="BJ1199" s="679"/>
      <c r="BK1199" s="679"/>
      <c r="BL1199" s="679"/>
      <c r="BM1199" s="679"/>
      <c r="BN1199" s="679"/>
      <c r="BO1199" s="679"/>
      <c r="BP1199" s="679"/>
      <c r="BQ1199" s="679"/>
      <c r="BR1199" s="679"/>
      <c r="BS1199" s="679"/>
      <c r="BT1199" s="679"/>
      <c r="BU1199" s="679"/>
      <c r="BV1199" s="679"/>
      <c r="BW1199" s="679"/>
      <c r="BX1199" s="679"/>
      <c r="BY1199" s="679"/>
      <c r="BZ1199" s="679"/>
      <c r="CA1199" s="679"/>
    </row>
    <row r="1200" spans="1:79" hidden="1" outlineLevel="1" x14ac:dyDescent="0.35">
      <c r="A1200" s="574"/>
      <c r="B1200" s="574"/>
      <c r="C1200" s="574"/>
      <c r="D1200" s="574"/>
      <c r="E1200" s="574"/>
      <c r="F1200" s="672" t="s">
        <v>866</v>
      </c>
      <c r="G1200" s="735"/>
      <c r="H1200" s="735"/>
      <c r="I1200" s="735"/>
      <c r="J1200" s="735"/>
      <c r="K1200" s="735"/>
      <c r="L1200" s="735"/>
      <c r="M1200" s="735"/>
      <c r="N1200" s="735"/>
      <c r="O1200" s="735"/>
      <c r="P1200" s="732"/>
      <c r="Q1200" s="732"/>
      <c r="R1200" s="732"/>
      <c r="S1200" s="679">
        <v>0</v>
      </c>
      <c r="T1200" s="679">
        <v>0</v>
      </c>
      <c r="U1200" s="679">
        <v>0</v>
      </c>
      <c r="V1200" s="679">
        <v>8.4</v>
      </c>
      <c r="W1200" s="679">
        <v>0</v>
      </c>
      <c r="X1200" s="679">
        <v>0</v>
      </c>
      <c r="Y1200" s="679">
        <v>0</v>
      </c>
      <c r="Z1200" s="679">
        <v>0</v>
      </c>
      <c r="AA1200" s="679">
        <v>0</v>
      </c>
      <c r="AB1200" s="679">
        <v>0</v>
      </c>
      <c r="AC1200" s="679">
        <v>0</v>
      </c>
      <c r="AD1200" s="679">
        <v>0</v>
      </c>
      <c r="AE1200" s="734"/>
      <c r="AF1200" s="734"/>
      <c r="AG1200" s="734"/>
      <c r="AH1200" s="734"/>
      <c r="AI1200" s="734"/>
      <c r="AJ1200" s="734"/>
      <c r="AK1200" s="734"/>
      <c r="AL1200" s="734"/>
      <c r="AM1200" s="734"/>
      <c r="AN1200" s="734"/>
      <c r="AO1200" s="734"/>
      <c r="AP1200" s="734"/>
      <c r="AQ1200" s="734"/>
      <c r="AR1200" s="734"/>
      <c r="AS1200" s="734"/>
      <c r="AT1200" s="734"/>
      <c r="AU1200" s="734"/>
      <c r="AV1200" s="734"/>
      <c r="AW1200" s="734"/>
      <c r="AX1200" s="734"/>
      <c r="AY1200" s="734"/>
      <c r="AZ1200" s="734"/>
      <c r="BA1200" s="734"/>
      <c r="BB1200" s="734"/>
      <c r="BC1200" s="734"/>
      <c r="BD1200" s="734"/>
      <c r="BE1200" s="734"/>
      <c r="BF1200" s="734"/>
      <c r="BG1200" s="734"/>
      <c r="BH1200" s="734"/>
      <c r="BI1200" s="734"/>
      <c r="BJ1200" s="734"/>
      <c r="BK1200" s="734"/>
      <c r="BL1200" s="734"/>
      <c r="BM1200" s="734"/>
      <c r="BN1200" s="734"/>
      <c r="BO1200" s="734"/>
      <c r="BP1200" s="734"/>
      <c r="BQ1200" s="734"/>
      <c r="BR1200" s="734"/>
      <c r="BS1200" s="734"/>
      <c r="BT1200" s="734"/>
      <c r="BU1200" s="734"/>
      <c r="BV1200" s="734"/>
      <c r="BW1200" s="734"/>
      <c r="BX1200" s="734"/>
      <c r="BY1200" s="734"/>
      <c r="BZ1200" s="734"/>
      <c r="CA1200" s="734"/>
    </row>
    <row r="1201" spans="1:79" hidden="1" outlineLevel="1" x14ac:dyDescent="0.35">
      <c r="A1201" s="224"/>
      <c r="B1201" s="224"/>
      <c r="C1201" s="224"/>
      <c r="D1201" s="224"/>
      <c r="E1201" s="224"/>
      <c r="F1201" s="673" t="s">
        <v>867</v>
      </c>
      <c r="G1201" s="680">
        <f>SUM(G1199:G1200)</f>
        <v>0</v>
      </c>
      <c r="H1201" s="680">
        <f t="shared" ref="H1201:BO1201" si="459">SUM(H1199:H1200)</f>
        <v>0</v>
      </c>
      <c r="I1201" s="680">
        <f t="shared" si="459"/>
        <v>0</v>
      </c>
      <c r="J1201" s="680">
        <f t="shared" si="459"/>
        <v>0</v>
      </c>
      <c r="K1201" s="680">
        <f t="shared" si="459"/>
        <v>0</v>
      </c>
      <c r="L1201" s="680">
        <f t="shared" si="459"/>
        <v>0</v>
      </c>
      <c r="M1201" s="680">
        <f t="shared" si="459"/>
        <v>0</v>
      </c>
      <c r="N1201" s="680">
        <f t="shared" si="459"/>
        <v>0</v>
      </c>
      <c r="O1201" s="680">
        <f t="shared" si="459"/>
        <v>0</v>
      </c>
      <c r="P1201" s="680">
        <f t="shared" si="459"/>
        <v>0</v>
      </c>
      <c r="Q1201" s="680">
        <f t="shared" si="459"/>
        <v>0</v>
      </c>
      <c r="R1201" s="680">
        <f t="shared" si="459"/>
        <v>0</v>
      </c>
      <c r="S1201" s="680">
        <f t="shared" ref="S1201:AA1201" si="460">ROUND(SUM(S1198:S1200),5)</f>
        <v>0</v>
      </c>
      <c r="T1201" s="680">
        <f t="shared" si="460"/>
        <v>0</v>
      </c>
      <c r="U1201" s="680">
        <f t="shared" si="460"/>
        <v>0</v>
      </c>
      <c r="V1201" s="680">
        <f t="shared" si="460"/>
        <v>8.4</v>
      </c>
      <c r="W1201" s="680">
        <f t="shared" si="460"/>
        <v>0</v>
      </c>
      <c r="X1201" s="680">
        <f t="shared" si="460"/>
        <v>0</v>
      </c>
      <c r="Y1201" s="680">
        <f t="shared" si="460"/>
        <v>0</v>
      </c>
      <c r="Z1201" s="680">
        <f t="shared" si="460"/>
        <v>0</v>
      </c>
      <c r="AA1201" s="680">
        <f t="shared" si="460"/>
        <v>0</v>
      </c>
      <c r="AB1201" s="680">
        <f>ROUND(SUM(AB1198:AB1200),5)</f>
        <v>0</v>
      </c>
      <c r="AC1201" s="680">
        <f>ROUND(SUM(AC1198:AC1200),5)</f>
        <v>0</v>
      </c>
      <c r="AD1201" s="680">
        <f>ROUND(SUM(AD1198:AD1200),5)</f>
        <v>0</v>
      </c>
      <c r="AE1201" s="680">
        <f t="shared" si="459"/>
        <v>0</v>
      </c>
      <c r="AF1201" s="680">
        <f t="shared" si="459"/>
        <v>0</v>
      </c>
      <c r="AG1201" s="680">
        <f t="shared" si="459"/>
        <v>0</v>
      </c>
      <c r="AH1201" s="680">
        <f t="shared" si="459"/>
        <v>0</v>
      </c>
      <c r="AI1201" s="680">
        <f t="shared" si="459"/>
        <v>0</v>
      </c>
      <c r="AJ1201" s="680">
        <f t="shared" si="459"/>
        <v>0</v>
      </c>
      <c r="AK1201" s="680">
        <f t="shared" si="459"/>
        <v>0</v>
      </c>
      <c r="AL1201" s="680">
        <f t="shared" si="459"/>
        <v>0</v>
      </c>
      <c r="AM1201" s="680">
        <f t="shared" si="459"/>
        <v>0</v>
      </c>
      <c r="AN1201" s="680">
        <f t="shared" si="459"/>
        <v>0</v>
      </c>
      <c r="AO1201" s="680">
        <f t="shared" si="459"/>
        <v>0</v>
      </c>
      <c r="AP1201" s="680">
        <f t="shared" si="459"/>
        <v>0</v>
      </c>
      <c r="AQ1201" s="680">
        <f t="shared" si="459"/>
        <v>0</v>
      </c>
      <c r="AR1201" s="680">
        <f t="shared" si="459"/>
        <v>0</v>
      </c>
      <c r="AS1201" s="680">
        <f t="shared" si="459"/>
        <v>0</v>
      </c>
      <c r="AT1201" s="680">
        <f t="shared" si="459"/>
        <v>0</v>
      </c>
      <c r="AU1201" s="680">
        <f t="shared" si="459"/>
        <v>0</v>
      </c>
      <c r="AV1201" s="680">
        <f t="shared" si="459"/>
        <v>0</v>
      </c>
      <c r="AW1201" s="680">
        <f t="shared" si="459"/>
        <v>0</v>
      </c>
      <c r="AX1201" s="680">
        <f t="shared" si="459"/>
        <v>0</v>
      </c>
      <c r="AY1201" s="680">
        <f t="shared" si="459"/>
        <v>0</v>
      </c>
      <c r="AZ1201" s="680">
        <f t="shared" si="459"/>
        <v>0</v>
      </c>
      <c r="BA1201" s="680">
        <f t="shared" si="459"/>
        <v>0</v>
      </c>
      <c r="BB1201" s="680">
        <f t="shared" si="459"/>
        <v>0</v>
      </c>
      <c r="BC1201" s="680">
        <f t="shared" si="459"/>
        <v>0</v>
      </c>
      <c r="BD1201" s="680">
        <f t="shared" si="459"/>
        <v>0</v>
      </c>
      <c r="BE1201" s="680">
        <f t="shared" si="459"/>
        <v>0</v>
      </c>
      <c r="BF1201" s="680">
        <f t="shared" si="459"/>
        <v>0</v>
      </c>
      <c r="BG1201" s="680">
        <f t="shared" si="459"/>
        <v>0</v>
      </c>
      <c r="BH1201" s="680">
        <f t="shared" si="459"/>
        <v>0</v>
      </c>
      <c r="BI1201" s="680">
        <f t="shared" si="459"/>
        <v>0</v>
      </c>
      <c r="BJ1201" s="680">
        <f t="shared" si="459"/>
        <v>0</v>
      </c>
      <c r="BK1201" s="680">
        <f t="shared" si="459"/>
        <v>0</v>
      </c>
      <c r="BL1201" s="680">
        <f t="shared" si="459"/>
        <v>0</v>
      </c>
      <c r="BM1201" s="680">
        <f t="shared" si="459"/>
        <v>0</v>
      </c>
      <c r="BN1201" s="680">
        <f t="shared" si="459"/>
        <v>0</v>
      </c>
      <c r="BO1201" s="680">
        <f t="shared" si="459"/>
        <v>0</v>
      </c>
      <c r="BP1201" s="680">
        <f t="shared" ref="BP1201:CA1201" si="461">SUM(BP1199:BP1200)</f>
        <v>0</v>
      </c>
      <c r="BQ1201" s="680">
        <f t="shared" si="461"/>
        <v>0</v>
      </c>
      <c r="BR1201" s="680">
        <f t="shared" si="461"/>
        <v>0</v>
      </c>
      <c r="BS1201" s="680">
        <f t="shared" si="461"/>
        <v>0</v>
      </c>
      <c r="BT1201" s="680">
        <f t="shared" si="461"/>
        <v>0</v>
      </c>
      <c r="BU1201" s="680">
        <f t="shared" si="461"/>
        <v>0</v>
      </c>
      <c r="BV1201" s="680">
        <f t="shared" si="461"/>
        <v>0</v>
      </c>
      <c r="BW1201" s="680">
        <f t="shared" si="461"/>
        <v>0</v>
      </c>
      <c r="BX1201" s="680">
        <f t="shared" si="461"/>
        <v>0</v>
      </c>
      <c r="BY1201" s="680">
        <f t="shared" si="461"/>
        <v>0</v>
      </c>
      <c r="BZ1201" s="680">
        <f t="shared" si="461"/>
        <v>0</v>
      </c>
      <c r="CA1201" s="680">
        <f t="shared" si="461"/>
        <v>0</v>
      </c>
    </row>
    <row r="1202" spans="1:79" hidden="1" outlineLevel="1" x14ac:dyDescent="0.35">
      <c r="A1202" s="224"/>
      <c r="B1202" s="224"/>
      <c r="C1202" s="224"/>
      <c r="D1202" s="224"/>
      <c r="E1202" s="224"/>
      <c r="F1202" s="671" t="s">
        <v>868</v>
      </c>
      <c r="G1202" s="680"/>
      <c r="H1202" s="680"/>
      <c r="I1202" s="680"/>
      <c r="J1202" s="680"/>
      <c r="K1202" s="680"/>
      <c r="L1202" s="680"/>
      <c r="M1202" s="680"/>
      <c r="N1202" s="680"/>
      <c r="O1202" s="680"/>
      <c r="P1202" s="680"/>
      <c r="Q1202" s="680"/>
      <c r="R1202" s="680"/>
      <c r="S1202" s="679">
        <v>0</v>
      </c>
      <c r="T1202" s="679">
        <v>0</v>
      </c>
      <c r="U1202" s="679">
        <v>0</v>
      </c>
      <c r="V1202" s="679">
        <v>0</v>
      </c>
      <c r="W1202" s="679">
        <v>0</v>
      </c>
      <c r="X1202" s="679">
        <v>0</v>
      </c>
      <c r="Y1202" s="679">
        <v>0</v>
      </c>
      <c r="Z1202" s="679">
        <v>0</v>
      </c>
      <c r="AA1202" s="679">
        <v>0</v>
      </c>
      <c r="AB1202" s="679">
        <v>0</v>
      </c>
      <c r="AC1202" s="679">
        <v>0</v>
      </c>
      <c r="AD1202" s="679">
        <v>0</v>
      </c>
      <c r="AE1202" s="680"/>
      <c r="AF1202" s="680"/>
      <c r="AG1202" s="680"/>
      <c r="AH1202" s="680"/>
      <c r="AI1202" s="680"/>
      <c r="AJ1202" s="680"/>
      <c r="AK1202" s="680"/>
      <c r="AL1202" s="680"/>
      <c r="AM1202" s="680"/>
      <c r="AN1202" s="680"/>
      <c r="AO1202" s="680"/>
      <c r="AP1202" s="680"/>
      <c r="AQ1202" s="680"/>
      <c r="AR1202" s="680"/>
      <c r="AS1202" s="680"/>
      <c r="AT1202" s="680"/>
      <c r="AU1202" s="680"/>
      <c r="AV1202" s="680"/>
      <c r="AW1202" s="680"/>
      <c r="AX1202" s="680"/>
      <c r="AY1202" s="680"/>
      <c r="AZ1202" s="680"/>
      <c r="BA1202" s="680"/>
      <c r="BB1202" s="680"/>
      <c r="BC1202" s="680"/>
      <c r="BD1202" s="680"/>
      <c r="BE1202" s="680"/>
      <c r="BF1202" s="680"/>
      <c r="BG1202" s="680"/>
      <c r="BH1202" s="680"/>
      <c r="BI1202" s="680"/>
      <c r="BJ1202" s="680"/>
      <c r="BK1202" s="680"/>
      <c r="BL1202" s="680"/>
      <c r="BM1202" s="680"/>
      <c r="BN1202" s="680"/>
      <c r="BO1202" s="680"/>
      <c r="BP1202" s="680"/>
      <c r="BQ1202" s="680"/>
      <c r="BR1202" s="680"/>
      <c r="BS1202" s="680"/>
      <c r="BT1202" s="680"/>
      <c r="BU1202" s="680"/>
      <c r="BV1202" s="680"/>
      <c r="BW1202" s="680"/>
      <c r="BX1202" s="680"/>
      <c r="BY1202" s="680"/>
      <c r="BZ1202" s="680"/>
      <c r="CA1202" s="680"/>
    </row>
    <row r="1203" spans="1:79" hidden="1" outlineLevel="1" x14ac:dyDescent="0.35">
      <c r="A1203" s="224"/>
      <c r="B1203" s="224"/>
      <c r="C1203" s="224"/>
      <c r="D1203" s="224"/>
      <c r="E1203" s="224"/>
      <c r="F1203" s="671" t="s">
        <v>869</v>
      </c>
      <c r="G1203" s="680"/>
      <c r="H1203" s="680"/>
      <c r="I1203" s="680"/>
      <c r="J1203" s="680"/>
      <c r="K1203" s="680"/>
      <c r="L1203" s="680"/>
      <c r="M1203" s="680"/>
      <c r="N1203" s="680"/>
      <c r="O1203" s="680"/>
      <c r="P1203" s="680"/>
      <c r="Q1203" s="680"/>
      <c r="R1203" s="680"/>
      <c r="S1203" s="679">
        <v>0</v>
      </c>
      <c r="T1203" s="679">
        <v>0</v>
      </c>
      <c r="U1203" s="679">
        <v>0</v>
      </c>
      <c r="V1203" s="679">
        <v>0</v>
      </c>
      <c r="W1203" s="679">
        <v>0</v>
      </c>
      <c r="X1203" s="679">
        <v>0</v>
      </c>
      <c r="Y1203" s="679">
        <v>0</v>
      </c>
      <c r="Z1203" s="679">
        <v>0</v>
      </c>
      <c r="AA1203" s="679">
        <v>0</v>
      </c>
      <c r="AB1203" s="679">
        <v>0</v>
      </c>
      <c r="AC1203" s="679">
        <v>0</v>
      </c>
      <c r="AD1203" s="679">
        <v>0</v>
      </c>
      <c r="AE1203" s="680"/>
      <c r="AF1203" s="680"/>
      <c r="AG1203" s="680"/>
      <c r="AH1203" s="680"/>
      <c r="AI1203" s="680"/>
      <c r="AJ1203" s="680"/>
      <c r="AK1203" s="680"/>
      <c r="AL1203" s="680"/>
      <c r="AM1203" s="680"/>
      <c r="AN1203" s="680"/>
      <c r="AO1203" s="680"/>
      <c r="AP1203" s="680"/>
      <c r="AQ1203" s="680"/>
      <c r="AR1203" s="680"/>
      <c r="AS1203" s="680"/>
      <c r="AT1203" s="680"/>
      <c r="AU1203" s="680"/>
      <c r="AV1203" s="680"/>
      <c r="AW1203" s="680"/>
      <c r="AX1203" s="680"/>
      <c r="AY1203" s="680"/>
      <c r="AZ1203" s="680"/>
      <c r="BA1203" s="680"/>
      <c r="BB1203" s="680"/>
      <c r="BC1203" s="680"/>
      <c r="BD1203" s="680"/>
      <c r="BE1203" s="680"/>
      <c r="BF1203" s="680"/>
      <c r="BG1203" s="680"/>
      <c r="BH1203" s="680"/>
      <c r="BI1203" s="680"/>
      <c r="BJ1203" s="680"/>
      <c r="BK1203" s="680"/>
      <c r="BL1203" s="680"/>
      <c r="BM1203" s="680"/>
      <c r="BN1203" s="680"/>
      <c r="BO1203" s="680"/>
      <c r="BP1203" s="680"/>
      <c r="BQ1203" s="680"/>
      <c r="BR1203" s="680"/>
      <c r="BS1203" s="680"/>
      <c r="BT1203" s="680"/>
      <c r="BU1203" s="680"/>
      <c r="BV1203" s="680"/>
      <c r="BW1203" s="680"/>
      <c r="BX1203" s="680"/>
      <c r="BY1203" s="680"/>
      <c r="BZ1203" s="680"/>
      <c r="CA1203" s="680"/>
    </row>
    <row r="1204" spans="1:79" s="709" customFormat="1" hidden="1" outlineLevel="1" x14ac:dyDescent="0.35">
      <c r="F1204" s="707" t="s">
        <v>870</v>
      </c>
      <c r="G1204" s="763"/>
      <c r="H1204" s="763"/>
      <c r="I1204" s="763"/>
      <c r="J1204" s="763"/>
      <c r="K1204" s="763"/>
      <c r="L1204" s="763"/>
      <c r="M1204" s="763"/>
      <c r="N1204" s="763"/>
      <c r="O1204" s="763"/>
      <c r="P1204" s="763"/>
      <c r="Q1204" s="763"/>
      <c r="R1204" s="763"/>
      <c r="S1204" s="708"/>
      <c r="T1204" s="708"/>
      <c r="U1204" s="708"/>
      <c r="V1204" s="708"/>
      <c r="W1204" s="708"/>
      <c r="X1204" s="708"/>
      <c r="Y1204" s="708"/>
      <c r="Z1204" s="708"/>
      <c r="AA1204" s="708"/>
      <c r="AB1204" s="708"/>
      <c r="AC1204" s="708"/>
      <c r="AD1204" s="708"/>
      <c r="AE1204" s="763"/>
      <c r="AF1204" s="763"/>
      <c r="AG1204" s="763"/>
      <c r="AH1204" s="763"/>
      <c r="AI1204" s="763"/>
      <c r="AJ1204" s="763"/>
      <c r="AK1204" s="763"/>
      <c r="AL1204" s="763"/>
      <c r="AM1204" s="763"/>
      <c r="AN1204" s="763"/>
      <c r="AO1204" s="763"/>
      <c r="AP1204" s="763"/>
      <c r="AQ1204" s="763"/>
      <c r="AR1204" s="763"/>
      <c r="AS1204" s="763"/>
      <c r="AT1204" s="763"/>
      <c r="AU1204" s="763"/>
      <c r="AV1204" s="763"/>
      <c r="AW1204" s="763"/>
      <c r="AX1204" s="763"/>
      <c r="AY1204" s="763"/>
      <c r="AZ1204" s="763"/>
      <c r="BA1204" s="763"/>
      <c r="BB1204" s="763"/>
      <c r="BC1204" s="763"/>
      <c r="BD1204" s="763"/>
      <c r="BE1204" s="763"/>
      <c r="BF1204" s="763"/>
      <c r="BG1204" s="763"/>
      <c r="BH1204" s="763"/>
      <c r="BI1204" s="763"/>
      <c r="BJ1204" s="763"/>
      <c r="BK1204" s="763"/>
      <c r="BL1204" s="763"/>
      <c r="BM1204" s="763"/>
      <c r="BN1204" s="763"/>
      <c r="BO1204" s="763"/>
      <c r="BP1204" s="763"/>
      <c r="BQ1204" s="763"/>
      <c r="BR1204" s="763"/>
      <c r="BS1204" s="763"/>
      <c r="BT1204" s="763"/>
      <c r="BU1204" s="763"/>
      <c r="BV1204" s="763"/>
      <c r="BW1204" s="763"/>
      <c r="BX1204" s="763"/>
      <c r="BY1204" s="763"/>
      <c r="BZ1204" s="763"/>
      <c r="CA1204" s="763"/>
    </row>
    <row r="1205" spans="1:79" hidden="1" outlineLevel="1" x14ac:dyDescent="0.35">
      <c r="A1205" s="224"/>
      <c r="B1205" s="224"/>
      <c r="C1205" s="224"/>
      <c r="D1205" s="224"/>
      <c r="E1205" s="224"/>
      <c r="F1205" s="672" t="s">
        <v>871</v>
      </c>
      <c r="G1205" s="680"/>
      <c r="H1205" s="680"/>
      <c r="I1205" s="680"/>
      <c r="J1205" s="680"/>
      <c r="K1205" s="680"/>
      <c r="L1205" s="680"/>
      <c r="M1205" s="680"/>
      <c r="N1205" s="680"/>
      <c r="O1205" s="680"/>
      <c r="P1205" s="680"/>
      <c r="Q1205" s="680"/>
      <c r="R1205" s="680"/>
      <c r="S1205" s="679">
        <v>0</v>
      </c>
      <c r="T1205" s="679">
        <v>0</v>
      </c>
      <c r="U1205" s="679">
        <v>0</v>
      </c>
      <c r="V1205" s="679">
        <v>0</v>
      </c>
      <c r="W1205" s="679">
        <v>0</v>
      </c>
      <c r="X1205" s="679">
        <v>0</v>
      </c>
      <c r="Y1205" s="679">
        <v>0</v>
      </c>
      <c r="Z1205" s="679">
        <v>0</v>
      </c>
      <c r="AA1205" s="679">
        <v>0</v>
      </c>
      <c r="AB1205" s="679">
        <v>0</v>
      </c>
      <c r="AC1205" s="679">
        <v>0</v>
      </c>
      <c r="AD1205" s="679">
        <v>0</v>
      </c>
      <c r="AE1205" s="680"/>
      <c r="AF1205" s="680"/>
      <c r="AG1205" s="680"/>
      <c r="AH1205" s="680"/>
      <c r="AI1205" s="680"/>
      <c r="AJ1205" s="680"/>
      <c r="AK1205" s="680"/>
      <c r="AL1205" s="680"/>
      <c r="AM1205" s="680"/>
      <c r="AN1205" s="680"/>
      <c r="AO1205" s="680"/>
      <c r="AP1205" s="680"/>
      <c r="AQ1205" s="680"/>
      <c r="AR1205" s="680"/>
      <c r="AS1205" s="680"/>
      <c r="AT1205" s="680"/>
      <c r="AU1205" s="680"/>
      <c r="AV1205" s="680"/>
      <c r="AW1205" s="680"/>
      <c r="AX1205" s="680"/>
      <c r="AY1205" s="680"/>
      <c r="AZ1205" s="680"/>
      <c r="BA1205" s="680"/>
      <c r="BB1205" s="680"/>
      <c r="BC1205" s="680"/>
      <c r="BD1205" s="680"/>
      <c r="BE1205" s="680"/>
      <c r="BF1205" s="680"/>
      <c r="BG1205" s="680"/>
      <c r="BH1205" s="680"/>
      <c r="BI1205" s="680"/>
      <c r="BJ1205" s="680"/>
      <c r="BK1205" s="680"/>
      <c r="BL1205" s="680"/>
      <c r="BM1205" s="680"/>
      <c r="BN1205" s="680"/>
      <c r="BO1205" s="680"/>
      <c r="BP1205" s="680"/>
      <c r="BQ1205" s="680"/>
      <c r="BR1205" s="680"/>
      <c r="BS1205" s="680"/>
      <c r="BT1205" s="680"/>
      <c r="BU1205" s="680"/>
      <c r="BV1205" s="680"/>
      <c r="BW1205" s="680"/>
      <c r="BX1205" s="680"/>
      <c r="BY1205" s="680"/>
      <c r="BZ1205" s="680"/>
      <c r="CA1205" s="680"/>
    </row>
    <row r="1206" spans="1:79" hidden="1" outlineLevel="1" x14ac:dyDescent="0.35">
      <c r="A1206" s="224"/>
      <c r="B1206" s="224"/>
      <c r="C1206" s="224"/>
      <c r="D1206" s="224"/>
      <c r="E1206" s="224"/>
      <c r="F1206" s="672" t="s">
        <v>872</v>
      </c>
      <c r="G1206" s="680"/>
      <c r="H1206" s="680"/>
      <c r="I1206" s="680"/>
      <c r="J1206" s="680"/>
      <c r="K1206" s="680"/>
      <c r="L1206" s="680"/>
      <c r="M1206" s="680"/>
      <c r="N1206" s="680"/>
      <c r="O1206" s="680"/>
      <c r="P1206" s="680"/>
      <c r="Q1206" s="680"/>
      <c r="R1206" s="680"/>
      <c r="S1206" s="679">
        <v>0</v>
      </c>
      <c r="T1206" s="679">
        <v>0</v>
      </c>
      <c r="U1206" s="679">
        <v>0</v>
      </c>
      <c r="V1206" s="679">
        <v>0</v>
      </c>
      <c r="W1206" s="679">
        <v>0</v>
      </c>
      <c r="X1206" s="679">
        <v>0</v>
      </c>
      <c r="Y1206" s="679">
        <v>0</v>
      </c>
      <c r="Z1206" s="679">
        <v>0</v>
      </c>
      <c r="AA1206" s="679">
        <v>0</v>
      </c>
      <c r="AB1206" s="679">
        <v>0</v>
      </c>
      <c r="AC1206" s="679">
        <v>0</v>
      </c>
      <c r="AD1206" s="679">
        <v>0</v>
      </c>
      <c r="AE1206" s="680"/>
      <c r="AF1206" s="680"/>
      <c r="AG1206" s="680"/>
      <c r="AH1206" s="680"/>
      <c r="AI1206" s="680"/>
      <c r="AJ1206" s="680"/>
      <c r="AK1206" s="680"/>
      <c r="AL1206" s="680"/>
      <c r="AM1206" s="680"/>
      <c r="AN1206" s="680"/>
      <c r="AO1206" s="680"/>
      <c r="AP1206" s="680"/>
      <c r="AQ1206" s="680"/>
      <c r="AR1206" s="680"/>
      <c r="AS1206" s="680"/>
      <c r="AT1206" s="680"/>
      <c r="AU1206" s="680"/>
      <c r="AV1206" s="680"/>
      <c r="AW1206" s="680"/>
      <c r="AX1206" s="680"/>
      <c r="AY1206" s="680"/>
      <c r="AZ1206" s="680"/>
      <c r="BA1206" s="680"/>
      <c r="BB1206" s="680"/>
      <c r="BC1206" s="680"/>
      <c r="BD1206" s="680"/>
      <c r="BE1206" s="680"/>
      <c r="BF1206" s="680"/>
      <c r="BG1206" s="680"/>
      <c r="BH1206" s="680"/>
      <c r="BI1206" s="680"/>
      <c r="BJ1206" s="680"/>
      <c r="BK1206" s="680"/>
      <c r="BL1206" s="680"/>
      <c r="BM1206" s="680"/>
      <c r="BN1206" s="680"/>
      <c r="BO1206" s="680"/>
      <c r="BP1206" s="680"/>
      <c r="BQ1206" s="680"/>
      <c r="BR1206" s="680"/>
      <c r="BS1206" s="680"/>
      <c r="BT1206" s="680"/>
      <c r="BU1206" s="680"/>
      <c r="BV1206" s="680"/>
      <c r="BW1206" s="680"/>
      <c r="BX1206" s="680"/>
      <c r="BY1206" s="680"/>
      <c r="BZ1206" s="680"/>
      <c r="CA1206" s="680"/>
    </row>
    <row r="1207" spans="1:79" hidden="1" outlineLevel="1" x14ac:dyDescent="0.35">
      <c r="A1207" s="224"/>
      <c r="B1207" s="224"/>
      <c r="C1207" s="224"/>
      <c r="D1207" s="224"/>
      <c r="E1207" s="224"/>
      <c r="F1207" s="673" t="s">
        <v>873</v>
      </c>
      <c r="G1207" s="680">
        <f>SUM(G1205:G1206)</f>
        <v>0</v>
      </c>
      <c r="H1207" s="680">
        <f t="shared" ref="H1207:BO1207" si="462">SUM(H1205:H1206)</f>
        <v>0</v>
      </c>
      <c r="I1207" s="680">
        <f t="shared" si="462"/>
        <v>0</v>
      </c>
      <c r="J1207" s="680">
        <f t="shared" si="462"/>
        <v>0</v>
      </c>
      <c r="K1207" s="680">
        <f t="shared" si="462"/>
        <v>0</v>
      </c>
      <c r="L1207" s="680">
        <f t="shared" si="462"/>
        <v>0</v>
      </c>
      <c r="M1207" s="680">
        <f t="shared" si="462"/>
        <v>0</v>
      </c>
      <c r="N1207" s="680">
        <f t="shared" si="462"/>
        <v>0</v>
      </c>
      <c r="O1207" s="680">
        <f t="shared" si="462"/>
        <v>0</v>
      </c>
      <c r="P1207" s="680">
        <f t="shared" si="462"/>
        <v>0</v>
      </c>
      <c r="Q1207" s="680">
        <f t="shared" si="462"/>
        <v>0</v>
      </c>
      <c r="R1207" s="680">
        <f t="shared" si="462"/>
        <v>0</v>
      </c>
      <c r="S1207" s="680">
        <f t="shared" ref="S1207:AA1207" si="463">ROUND(SUM(S1204:S1206),5)</f>
        <v>0</v>
      </c>
      <c r="T1207" s="680">
        <f t="shared" si="463"/>
        <v>0</v>
      </c>
      <c r="U1207" s="680">
        <f t="shared" si="463"/>
        <v>0</v>
      </c>
      <c r="V1207" s="680">
        <f t="shared" si="463"/>
        <v>0</v>
      </c>
      <c r="W1207" s="680">
        <f t="shared" si="463"/>
        <v>0</v>
      </c>
      <c r="X1207" s="680">
        <f t="shared" si="463"/>
        <v>0</v>
      </c>
      <c r="Y1207" s="680">
        <f t="shared" si="463"/>
        <v>0</v>
      </c>
      <c r="Z1207" s="680">
        <f t="shared" si="463"/>
        <v>0</v>
      </c>
      <c r="AA1207" s="680">
        <f t="shared" si="463"/>
        <v>0</v>
      </c>
      <c r="AB1207" s="680">
        <f>ROUND(SUM(AB1204:AB1206),5)</f>
        <v>0</v>
      </c>
      <c r="AC1207" s="680">
        <f>ROUND(SUM(AC1204:AC1206),5)</f>
        <v>0</v>
      </c>
      <c r="AD1207" s="680">
        <f>ROUND(SUM(AD1204:AD1206),5)</f>
        <v>0</v>
      </c>
      <c r="AE1207" s="680">
        <f t="shared" ref="AE1207" si="464">SUM(AE1205:AE1206)</f>
        <v>0</v>
      </c>
      <c r="AF1207" s="680">
        <f t="shared" si="462"/>
        <v>0</v>
      </c>
      <c r="AG1207" s="680">
        <f t="shared" si="462"/>
        <v>0</v>
      </c>
      <c r="AH1207" s="680">
        <f t="shared" si="462"/>
        <v>0</v>
      </c>
      <c r="AI1207" s="680">
        <f t="shared" si="462"/>
        <v>0</v>
      </c>
      <c r="AJ1207" s="680">
        <f t="shared" si="462"/>
        <v>0</v>
      </c>
      <c r="AK1207" s="680">
        <f t="shared" si="462"/>
        <v>0</v>
      </c>
      <c r="AL1207" s="680">
        <f t="shared" si="462"/>
        <v>0</v>
      </c>
      <c r="AM1207" s="680">
        <f t="shared" si="462"/>
        <v>0</v>
      </c>
      <c r="AN1207" s="680">
        <f t="shared" si="462"/>
        <v>0</v>
      </c>
      <c r="AO1207" s="680">
        <f t="shared" si="462"/>
        <v>0</v>
      </c>
      <c r="AP1207" s="680">
        <f t="shared" si="462"/>
        <v>0</v>
      </c>
      <c r="AQ1207" s="680">
        <f t="shared" si="462"/>
        <v>0</v>
      </c>
      <c r="AR1207" s="680">
        <f t="shared" si="462"/>
        <v>0</v>
      </c>
      <c r="AS1207" s="680">
        <f t="shared" si="462"/>
        <v>0</v>
      </c>
      <c r="AT1207" s="680">
        <f t="shared" si="462"/>
        <v>0</v>
      </c>
      <c r="AU1207" s="680">
        <f t="shared" si="462"/>
        <v>0</v>
      </c>
      <c r="AV1207" s="680">
        <f t="shared" si="462"/>
        <v>0</v>
      </c>
      <c r="AW1207" s="680">
        <f t="shared" si="462"/>
        <v>0</v>
      </c>
      <c r="AX1207" s="680">
        <f t="shared" si="462"/>
        <v>0</v>
      </c>
      <c r="AY1207" s="680">
        <f t="shared" si="462"/>
        <v>0</v>
      </c>
      <c r="AZ1207" s="680">
        <f t="shared" si="462"/>
        <v>0</v>
      </c>
      <c r="BA1207" s="680">
        <f t="shared" si="462"/>
        <v>0</v>
      </c>
      <c r="BB1207" s="680">
        <f t="shared" si="462"/>
        <v>0</v>
      </c>
      <c r="BC1207" s="680">
        <f t="shared" si="462"/>
        <v>0</v>
      </c>
      <c r="BD1207" s="680">
        <f t="shared" si="462"/>
        <v>0</v>
      </c>
      <c r="BE1207" s="680">
        <f t="shared" si="462"/>
        <v>0</v>
      </c>
      <c r="BF1207" s="680">
        <f t="shared" si="462"/>
        <v>0</v>
      </c>
      <c r="BG1207" s="680">
        <f t="shared" si="462"/>
        <v>0</v>
      </c>
      <c r="BH1207" s="680">
        <f t="shared" si="462"/>
        <v>0</v>
      </c>
      <c r="BI1207" s="680">
        <f t="shared" si="462"/>
        <v>0</v>
      </c>
      <c r="BJ1207" s="680">
        <f t="shared" si="462"/>
        <v>0</v>
      </c>
      <c r="BK1207" s="680">
        <f t="shared" si="462"/>
        <v>0</v>
      </c>
      <c r="BL1207" s="680">
        <f t="shared" si="462"/>
        <v>0</v>
      </c>
      <c r="BM1207" s="680">
        <f t="shared" si="462"/>
        <v>0</v>
      </c>
      <c r="BN1207" s="680">
        <f t="shared" si="462"/>
        <v>0</v>
      </c>
      <c r="BO1207" s="680">
        <f t="shared" si="462"/>
        <v>0</v>
      </c>
      <c r="BP1207" s="680">
        <f t="shared" ref="BP1207:CA1207" si="465">SUM(BP1205:BP1206)</f>
        <v>0</v>
      </c>
      <c r="BQ1207" s="680">
        <f t="shared" si="465"/>
        <v>0</v>
      </c>
      <c r="BR1207" s="680">
        <f t="shared" si="465"/>
        <v>0</v>
      </c>
      <c r="BS1207" s="680">
        <f t="shared" si="465"/>
        <v>0</v>
      </c>
      <c r="BT1207" s="680">
        <f t="shared" si="465"/>
        <v>0</v>
      </c>
      <c r="BU1207" s="680">
        <f t="shared" si="465"/>
        <v>0</v>
      </c>
      <c r="BV1207" s="680">
        <f t="shared" si="465"/>
        <v>0</v>
      </c>
      <c r="BW1207" s="680">
        <f t="shared" si="465"/>
        <v>0</v>
      </c>
      <c r="BX1207" s="680">
        <f t="shared" si="465"/>
        <v>0</v>
      </c>
      <c r="BY1207" s="680">
        <f t="shared" si="465"/>
        <v>0</v>
      </c>
      <c r="BZ1207" s="680">
        <f t="shared" si="465"/>
        <v>0</v>
      </c>
      <c r="CA1207" s="680">
        <f t="shared" si="465"/>
        <v>0</v>
      </c>
    </row>
    <row r="1208" spans="1:79" s="709" customFormat="1" hidden="1" outlineLevel="1" x14ac:dyDescent="0.35">
      <c r="F1208" s="710" t="s">
        <v>650</v>
      </c>
      <c r="G1208" s="763"/>
      <c r="H1208" s="763"/>
      <c r="I1208" s="763"/>
      <c r="J1208" s="763"/>
      <c r="K1208" s="763"/>
      <c r="L1208" s="763"/>
      <c r="M1208" s="763"/>
      <c r="N1208" s="763"/>
      <c r="O1208" s="763"/>
      <c r="P1208" s="763"/>
      <c r="Q1208" s="763"/>
      <c r="R1208" s="763"/>
      <c r="S1208" s="708"/>
      <c r="T1208" s="708"/>
      <c r="U1208" s="708"/>
      <c r="V1208" s="708"/>
      <c r="W1208" s="708"/>
      <c r="X1208" s="708"/>
      <c r="Y1208" s="708"/>
      <c r="Z1208" s="708"/>
      <c r="AA1208" s="708"/>
      <c r="AB1208" s="708"/>
      <c r="AC1208" s="708"/>
      <c r="AD1208" s="708"/>
      <c r="AE1208" s="763"/>
      <c r="AF1208" s="763"/>
      <c r="AG1208" s="763"/>
      <c r="AH1208" s="763"/>
      <c r="AI1208" s="763"/>
      <c r="AJ1208" s="763"/>
      <c r="AK1208" s="763"/>
      <c r="AL1208" s="763"/>
      <c r="AM1208" s="763"/>
      <c r="AN1208" s="763"/>
      <c r="AO1208" s="763"/>
      <c r="AP1208" s="763"/>
      <c r="AQ1208" s="763"/>
      <c r="AR1208" s="763"/>
      <c r="AS1208" s="763"/>
      <c r="AT1208" s="763"/>
      <c r="AU1208" s="763"/>
      <c r="AV1208" s="763"/>
      <c r="AW1208" s="763"/>
      <c r="AX1208" s="763"/>
      <c r="AY1208" s="763"/>
      <c r="AZ1208" s="763"/>
      <c r="BA1208" s="763"/>
      <c r="BB1208" s="763"/>
      <c r="BC1208" s="763"/>
      <c r="BD1208" s="763"/>
      <c r="BE1208" s="763"/>
      <c r="BF1208" s="763"/>
      <c r="BG1208" s="763"/>
      <c r="BH1208" s="763"/>
      <c r="BI1208" s="763"/>
      <c r="BJ1208" s="763"/>
      <c r="BK1208" s="763"/>
      <c r="BL1208" s="763"/>
      <c r="BM1208" s="763"/>
      <c r="BN1208" s="763"/>
      <c r="BO1208" s="763"/>
      <c r="BP1208" s="763"/>
      <c r="BQ1208" s="763"/>
      <c r="BR1208" s="763"/>
      <c r="BS1208" s="763"/>
      <c r="BT1208" s="763"/>
      <c r="BU1208" s="763"/>
      <c r="BV1208" s="763"/>
      <c r="BW1208" s="763"/>
      <c r="BX1208" s="763"/>
      <c r="BY1208" s="763"/>
      <c r="BZ1208" s="763"/>
      <c r="CA1208" s="763"/>
    </row>
    <row r="1209" spans="1:79" hidden="1" outlineLevel="1" x14ac:dyDescent="0.35">
      <c r="A1209" s="224"/>
      <c r="B1209" s="224"/>
      <c r="C1209" s="224"/>
      <c r="D1209" s="224"/>
      <c r="E1209" s="224"/>
      <c r="F1209" s="672" t="s">
        <v>874</v>
      </c>
      <c r="G1209" s="680"/>
      <c r="H1209" s="680"/>
      <c r="I1209" s="680"/>
      <c r="J1209" s="680"/>
      <c r="K1209" s="680"/>
      <c r="L1209" s="680"/>
      <c r="M1209" s="680"/>
      <c r="N1209" s="680"/>
      <c r="O1209" s="680"/>
      <c r="P1209" s="680"/>
      <c r="Q1209" s="680"/>
      <c r="R1209" s="680"/>
      <c r="S1209" s="679">
        <v>0</v>
      </c>
      <c r="T1209" s="679">
        <v>0</v>
      </c>
      <c r="U1209" s="679">
        <v>0</v>
      </c>
      <c r="V1209" s="679">
        <v>0</v>
      </c>
      <c r="W1209" s="679">
        <v>0</v>
      </c>
      <c r="X1209" s="679">
        <v>0</v>
      </c>
      <c r="Y1209" s="679">
        <v>0</v>
      </c>
      <c r="Z1209" s="679">
        <v>0</v>
      </c>
      <c r="AA1209" s="679">
        <v>0</v>
      </c>
      <c r="AB1209" s="679">
        <v>0</v>
      </c>
      <c r="AC1209" s="679">
        <v>0</v>
      </c>
      <c r="AD1209" s="679">
        <v>0</v>
      </c>
      <c r="AE1209" s="680"/>
      <c r="AF1209" s="680"/>
      <c r="AG1209" s="680"/>
      <c r="AH1209" s="680"/>
      <c r="AI1209" s="680"/>
      <c r="AJ1209" s="680"/>
      <c r="AK1209" s="680"/>
      <c r="AL1209" s="680"/>
      <c r="AM1209" s="680"/>
      <c r="AN1209" s="680"/>
      <c r="AO1209" s="680"/>
      <c r="AP1209" s="680"/>
      <c r="AQ1209" s="680"/>
      <c r="AR1209" s="680"/>
      <c r="AS1209" s="680"/>
      <c r="AT1209" s="680"/>
      <c r="AU1209" s="680"/>
      <c r="AV1209" s="680"/>
      <c r="AW1209" s="680"/>
      <c r="AX1209" s="680"/>
      <c r="AY1209" s="680"/>
      <c r="AZ1209" s="680"/>
      <c r="BA1209" s="680"/>
      <c r="BB1209" s="680"/>
      <c r="BC1209" s="680"/>
      <c r="BD1209" s="680"/>
      <c r="BE1209" s="680"/>
      <c r="BF1209" s="680"/>
      <c r="BG1209" s="680"/>
      <c r="BH1209" s="680"/>
      <c r="BI1209" s="680"/>
      <c r="BJ1209" s="680"/>
      <c r="BK1209" s="680"/>
      <c r="BL1209" s="680"/>
      <c r="BM1209" s="680"/>
      <c r="BN1209" s="680"/>
      <c r="BO1209" s="680"/>
      <c r="BP1209" s="680"/>
      <c r="BQ1209" s="680"/>
      <c r="BR1209" s="680"/>
      <c r="BS1209" s="680"/>
      <c r="BT1209" s="680"/>
      <c r="BU1209" s="680"/>
      <c r="BV1209" s="680"/>
      <c r="BW1209" s="680"/>
      <c r="BX1209" s="680"/>
      <c r="BY1209" s="680"/>
      <c r="BZ1209" s="680"/>
      <c r="CA1209" s="680"/>
    </row>
    <row r="1210" spans="1:79" s="309" customFormat="1" hidden="1" outlineLevel="1" x14ac:dyDescent="0.35">
      <c r="A1210" s="438"/>
      <c r="B1210" s="438"/>
      <c r="C1210" s="438"/>
      <c r="D1210" s="438"/>
      <c r="E1210" s="438"/>
      <c r="F1210" s="672" t="s">
        <v>875</v>
      </c>
      <c r="G1210" s="732">
        <v>67.94</v>
      </c>
      <c r="H1210" s="732">
        <v>44.95</v>
      </c>
      <c r="I1210" s="732">
        <v>357.67</v>
      </c>
      <c r="J1210" s="732">
        <v>44.95</v>
      </c>
      <c r="K1210" s="732">
        <v>115</v>
      </c>
      <c r="L1210" s="732">
        <v>15</v>
      </c>
      <c r="M1210" s="732">
        <v>65</v>
      </c>
      <c r="N1210" s="732">
        <v>54.95</v>
      </c>
      <c r="O1210" s="732">
        <v>44.95</v>
      </c>
      <c r="P1210" s="732">
        <v>41.08</v>
      </c>
      <c r="Q1210" s="732">
        <v>40</v>
      </c>
      <c r="R1210" s="736">
        <v>200</v>
      </c>
      <c r="S1210" s="679">
        <v>0</v>
      </c>
      <c r="T1210" s="679">
        <v>0</v>
      </c>
      <c r="U1210" s="679">
        <v>101.52</v>
      </c>
      <c r="V1210" s="679">
        <v>0</v>
      </c>
      <c r="W1210" s="679">
        <v>0</v>
      </c>
      <c r="X1210" s="679">
        <v>90.64</v>
      </c>
      <c r="Y1210" s="679">
        <v>0</v>
      </c>
      <c r="Z1210" s="679">
        <v>0</v>
      </c>
      <c r="AA1210" s="679">
        <v>0</v>
      </c>
      <c r="AB1210" s="679">
        <v>0</v>
      </c>
      <c r="AC1210" s="679">
        <v>-5254.32</v>
      </c>
      <c r="AD1210" s="679">
        <v>150.12</v>
      </c>
      <c r="AE1210" s="736"/>
      <c r="AF1210" s="736"/>
      <c r="AG1210" s="736"/>
      <c r="AH1210" s="736"/>
      <c r="AI1210" s="736"/>
      <c r="AJ1210" s="736"/>
      <c r="AK1210" s="736"/>
      <c r="AL1210" s="736"/>
      <c r="AM1210" s="736"/>
      <c r="AN1210" s="736"/>
      <c r="AO1210" s="736"/>
      <c r="AP1210" s="736"/>
      <c r="AQ1210" s="736"/>
      <c r="AR1210" s="736"/>
      <c r="AS1210" s="736"/>
      <c r="AT1210" s="736"/>
      <c r="AU1210" s="736"/>
      <c r="AV1210" s="736"/>
      <c r="AW1210" s="736"/>
      <c r="AX1210" s="736"/>
      <c r="AY1210" s="736"/>
      <c r="AZ1210" s="736"/>
      <c r="BA1210" s="736"/>
      <c r="BB1210" s="736"/>
      <c r="BC1210" s="736"/>
      <c r="BD1210" s="736"/>
      <c r="BE1210" s="736"/>
      <c r="BF1210" s="736"/>
      <c r="BG1210" s="736"/>
      <c r="BH1210" s="736"/>
      <c r="BI1210" s="736"/>
      <c r="BJ1210" s="736"/>
      <c r="BK1210" s="736"/>
      <c r="BL1210" s="736"/>
      <c r="BM1210" s="736"/>
      <c r="BN1210" s="736"/>
      <c r="BO1210" s="736"/>
      <c r="BP1210" s="736"/>
      <c r="BQ1210" s="736"/>
      <c r="BR1210" s="736"/>
      <c r="BS1210" s="736"/>
      <c r="BT1210" s="736"/>
      <c r="BU1210" s="736"/>
      <c r="BV1210" s="736"/>
      <c r="BW1210" s="736"/>
      <c r="BX1210" s="736"/>
      <c r="BY1210" s="736"/>
      <c r="BZ1210" s="736"/>
      <c r="CA1210" s="736"/>
    </row>
    <row r="1211" spans="1:79" s="309" customFormat="1" hidden="1" outlineLevel="1" x14ac:dyDescent="0.35">
      <c r="A1211" s="574"/>
      <c r="B1211" s="574"/>
      <c r="C1211" s="574"/>
      <c r="D1211" s="574"/>
      <c r="E1211" s="574"/>
      <c r="F1211" s="673" t="s">
        <v>876</v>
      </c>
      <c r="G1211" s="680">
        <f t="shared" ref="G1211" si="466">SUM(G1209:G1210)</f>
        <v>67.94</v>
      </c>
      <c r="H1211" s="680">
        <f t="shared" ref="H1211" si="467">SUM(H1209:H1210)</f>
        <v>44.95</v>
      </c>
      <c r="I1211" s="680">
        <f t="shared" ref="I1211" si="468">SUM(I1209:I1210)</f>
        <v>357.67</v>
      </c>
      <c r="J1211" s="680">
        <f t="shared" ref="J1211" si="469">SUM(J1209:J1210)</f>
        <v>44.95</v>
      </c>
      <c r="K1211" s="680">
        <f t="shared" ref="K1211" si="470">SUM(K1209:K1210)</f>
        <v>115</v>
      </c>
      <c r="L1211" s="680">
        <f t="shared" ref="L1211" si="471">SUM(L1209:L1210)</f>
        <v>15</v>
      </c>
      <c r="M1211" s="680">
        <f t="shared" ref="M1211" si="472">SUM(M1209:M1210)</f>
        <v>65</v>
      </c>
      <c r="N1211" s="680">
        <f t="shared" ref="N1211" si="473">SUM(N1209:N1210)</f>
        <v>54.95</v>
      </c>
      <c r="O1211" s="680">
        <f t="shared" ref="O1211" si="474">SUM(O1209:O1210)</f>
        <v>44.95</v>
      </c>
      <c r="P1211" s="680">
        <f t="shared" ref="P1211" si="475">SUM(P1209:P1210)</f>
        <v>41.08</v>
      </c>
      <c r="Q1211" s="680">
        <f t="shared" ref="Q1211" si="476">SUM(Q1209:Q1210)</f>
        <v>40</v>
      </c>
      <c r="R1211" s="680">
        <f t="shared" ref="R1211" si="477">SUM(R1209:R1210)</f>
        <v>200</v>
      </c>
      <c r="S1211" s="680">
        <f t="shared" ref="S1211:AA1211" si="478">ROUND(SUM(S1208:S1210),5)</f>
        <v>0</v>
      </c>
      <c r="T1211" s="680">
        <f t="shared" si="478"/>
        <v>0</v>
      </c>
      <c r="U1211" s="680">
        <f t="shared" si="478"/>
        <v>101.52</v>
      </c>
      <c r="V1211" s="680">
        <f t="shared" si="478"/>
        <v>0</v>
      </c>
      <c r="W1211" s="680">
        <f t="shared" si="478"/>
        <v>0</v>
      </c>
      <c r="X1211" s="680">
        <f t="shared" si="478"/>
        <v>90.64</v>
      </c>
      <c r="Y1211" s="680">
        <f t="shared" si="478"/>
        <v>0</v>
      </c>
      <c r="Z1211" s="680">
        <f t="shared" si="478"/>
        <v>0</v>
      </c>
      <c r="AA1211" s="680">
        <f t="shared" si="478"/>
        <v>0</v>
      </c>
      <c r="AB1211" s="680">
        <f>ROUND(SUM(AB1208:AB1210),5)</f>
        <v>0</v>
      </c>
      <c r="AC1211" s="680">
        <f>ROUND(SUM(AC1208:AC1210),5)</f>
        <v>-5254.32</v>
      </c>
      <c r="AD1211" s="680">
        <f>ROUND(SUM(AD1208:AD1210),5)</f>
        <v>150.12</v>
      </c>
      <c r="AE1211" s="736"/>
      <c r="AF1211" s="736"/>
      <c r="AG1211" s="736"/>
      <c r="AH1211" s="736"/>
      <c r="AI1211" s="736"/>
      <c r="AJ1211" s="736"/>
      <c r="AK1211" s="736"/>
      <c r="AL1211" s="736"/>
      <c r="AM1211" s="736"/>
      <c r="AN1211" s="736"/>
      <c r="AO1211" s="736"/>
      <c r="AP1211" s="736"/>
      <c r="AQ1211" s="736"/>
      <c r="AR1211" s="736"/>
      <c r="AS1211" s="736"/>
      <c r="AT1211" s="736"/>
      <c r="AU1211" s="736"/>
      <c r="AV1211" s="736"/>
      <c r="AW1211" s="736"/>
      <c r="AX1211" s="736"/>
      <c r="AY1211" s="736"/>
      <c r="AZ1211" s="736"/>
      <c r="BA1211" s="736"/>
      <c r="BB1211" s="736"/>
      <c r="BC1211" s="736"/>
      <c r="BD1211" s="736"/>
      <c r="BE1211" s="736"/>
      <c r="BF1211" s="736"/>
      <c r="BG1211" s="736"/>
      <c r="BH1211" s="736"/>
      <c r="BI1211" s="736"/>
      <c r="BJ1211" s="736"/>
      <c r="BK1211" s="736"/>
      <c r="BL1211" s="736"/>
      <c r="BM1211" s="736"/>
      <c r="BN1211" s="736"/>
      <c r="BO1211" s="736"/>
      <c r="BP1211" s="736"/>
      <c r="BQ1211" s="736"/>
      <c r="BR1211" s="736"/>
      <c r="BS1211" s="736"/>
      <c r="BT1211" s="736"/>
      <c r="BU1211" s="736"/>
      <c r="BV1211" s="736"/>
      <c r="BW1211" s="736"/>
      <c r="BX1211" s="736"/>
      <c r="BY1211" s="736"/>
      <c r="BZ1211" s="736"/>
      <c r="CA1211" s="736"/>
    </row>
    <row r="1212" spans="1:79" s="452" customFormat="1" hidden="1" outlineLevel="1" x14ac:dyDescent="0.35">
      <c r="A1212" s="438"/>
      <c r="B1212" s="438"/>
      <c r="C1212" s="438"/>
      <c r="D1212" s="438"/>
      <c r="E1212" s="438"/>
      <c r="F1212" s="674" t="s">
        <v>593</v>
      </c>
      <c r="G1212" s="732"/>
      <c r="H1212" s="732">
        <v>89.000415940110287</v>
      </c>
      <c r="I1212" s="732">
        <v>15.892017291625621</v>
      </c>
      <c r="J1212" s="732">
        <v>148.19924384644727</v>
      </c>
      <c r="K1212" s="732">
        <v>22.580405139952706</v>
      </c>
      <c r="L1212" s="732">
        <v>161.89619960239352</v>
      </c>
      <c r="M1212" s="732">
        <v>8.7562313816351054</v>
      </c>
      <c r="N1212" s="732">
        <v>58.948716450822324</v>
      </c>
      <c r="O1212" s="732">
        <v>56.939484576226789</v>
      </c>
      <c r="P1212" s="732">
        <v>622.58771566760743</v>
      </c>
      <c r="Q1212" s="732"/>
      <c r="R1212" s="736"/>
      <c r="S1212" s="683">
        <v>0</v>
      </c>
      <c r="T1212" s="683">
        <v>0</v>
      </c>
      <c r="U1212" s="683">
        <v>14.95</v>
      </c>
      <c r="V1212" s="683">
        <v>14.95</v>
      </c>
      <c r="W1212" s="683">
        <v>14.95</v>
      </c>
      <c r="X1212" s="683">
        <v>34.94</v>
      </c>
      <c r="Y1212" s="683">
        <v>14.95</v>
      </c>
      <c r="Z1212" s="683">
        <v>0</v>
      </c>
      <c r="AA1212" s="683">
        <v>0</v>
      </c>
      <c r="AB1212" s="683">
        <v>0</v>
      </c>
      <c r="AC1212" s="682">
        <v>0</v>
      </c>
      <c r="AD1212" s="682">
        <v>0</v>
      </c>
      <c r="AE1212" s="736"/>
      <c r="AF1212" s="736"/>
      <c r="AG1212" s="736"/>
      <c r="AH1212" s="736"/>
      <c r="AI1212" s="736"/>
      <c r="AJ1212" s="736"/>
      <c r="AK1212" s="736"/>
      <c r="AL1212" s="736"/>
      <c r="AM1212" s="736"/>
      <c r="AN1212" s="736"/>
      <c r="AO1212" s="736"/>
      <c r="AP1212" s="736"/>
      <c r="AQ1212" s="736"/>
      <c r="AR1212" s="736"/>
      <c r="AS1212" s="736"/>
      <c r="AT1212" s="736"/>
      <c r="AU1212" s="736"/>
      <c r="AV1212" s="736"/>
      <c r="AW1212" s="736"/>
      <c r="AX1212" s="736"/>
      <c r="AY1212" s="736"/>
      <c r="AZ1212" s="736"/>
      <c r="BA1212" s="736"/>
      <c r="BB1212" s="736"/>
      <c r="BC1212" s="736"/>
      <c r="BD1212" s="736"/>
      <c r="BE1212" s="736"/>
      <c r="BF1212" s="736"/>
      <c r="BG1212" s="736"/>
      <c r="BH1212" s="736"/>
      <c r="BI1212" s="736"/>
      <c r="BJ1212" s="736"/>
      <c r="BK1212" s="736"/>
      <c r="BL1212" s="736"/>
      <c r="BM1212" s="736"/>
      <c r="BN1212" s="736"/>
      <c r="BO1212" s="736"/>
      <c r="BP1212" s="736"/>
      <c r="BQ1212" s="736"/>
      <c r="BR1212" s="736"/>
      <c r="BS1212" s="736"/>
      <c r="BT1212" s="736"/>
      <c r="BU1212" s="736"/>
      <c r="BV1212" s="736"/>
      <c r="BW1212" s="736"/>
      <c r="BX1212" s="736"/>
      <c r="BY1212" s="736"/>
      <c r="BZ1212" s="736"/>
      <c r="CA1212" s="736"/>
    </row>
    <row r="1213" spans="1:79" s="452" customFormat="1" hidden="1" outlineLevel="1" x14ac:dyDescent="0.35">
      <c r="A1213" s="574"/>
      <c r="B1213" s="574"/>
      <c r="C1213" s="574"/>
      <c r="D1213" s="574"/>
      <c r="E1213" s="574"/>
      <c r="F1213" s="671" t="s">
        <v>877</v>
      </c>
      <c r="G1213" s="732"/>
      <c r="H1213" s="732"/>
      <c r="I1213" s="732"/>
      <c r="J1213" s="732"/>
      <c r="K1213" s="732"/>
      <c r="L1213" s="732"/>
      <c r="M1213" s="732"/>
      <c r="N1213" s="732"/>
      <c r="O1213" s="732"/>
      <c r="P1213" s="732"/>
      <c r="Q1213" s="732"/>
      <c r="R1213" s="736"/>
      <c r="S1213" s="683">
        <v>0</v>
      </c>
      <c r="T1213" s="683">
        <v>0</v>
      </c>
      <c r="U1213" s="683">
        <v>0</v>
      </c>
      <c r="V1213" s="683">
        <v>0</v>
      </c>
      <c r="W1213" s="683">
        <v>0</v>
      </c>
      <c r="X1213" s="683">
        <v>0</v>
      </c>
      <c r="Y1213" s="683">
        <v>0</v>
      </c>
      <c r="Z1213" s="683">
        <v>0</v>
      </c>
      <c r="AA1213" s="683">
        <v>0</v>
      </c>
      <c r="AB1213" s="683">
        <v>0</v>
      </c>
      <c r="AC1213" s="682">
        <v>0</v>
      </c>
      <c r="AD1213" s="682">
        <v>0</v>
      </c>
      <c r="AE1213" s="736"/>
      <c r="AF1213" s="736"/>
      <c r="AG1213" s="736"/>
      <c r="AH1213" s="736"/>
      <c r="AI1213" s="736"/>
      <c r="AJ1213" s="736"/>
      <c r="AK1213" s="736"/>
      <c r="AL1213" s="736"/>
      <c r="AM1213" s="736"/>
      <c r="AN1213" s="736"/>
      <c r="AO1213" s="736"/>
      <c r="AP1213" s="736"/>
      <c r="AQ1213" s="736"/>
      <c r="AR1213" s="736"/>
      <c r="AS1213" s="736"/>
      <c r="AT1213" s="736"/>
      <c r="AU1213" s="736"/>
      <c r="AV1213" s="736"/>
      <c r="AW1213" s="736"/>
      <c r="AX1213" s="736"/>
      <c r="AY1213" s="736"/>
      <c r="AZ1213" s="736"/>
      <c r="BA1213" s="736"/>
      <c r="BB1213" s="736"/>
      <c r="BC1213" s="736"/>
      <c r="BD1213" s="736"/>
      <c r="BE1213" s="736"/>
      <c r="BF1213" s="736"/>
      <c r="BG1213" s="736"/>
      <c r="BH1213" s="736"/>
      <c r="BI1213" s="736"/>
      <c r="BJ1213" s="736"/>
      <c r="BK1213" s="736"/>
      <c r="BL1213" s="736"/>
      <c r="BM1213" s="736"/>
      <c r="BN1213" s="736"/>
      <c r="BO1213" s="736"/>
      <c r="BP1213" s="736"/>
      <c r="BQ1213" s="736"/>
      <c r="BR1213" s="736"/>
      <c r="BS1213" s="736"/>
      <c r="BT1213" s="736"/>
      <c r="BU1213" s="736"/>
      <c r="BV1213" s="736"/>
      <c r="BW1213" s="736"/>
      <c r="BX1213" s="736"/>
      <c r="BY1213" s="736"/>
      <c r="BZ1213" s="736"/>
      <c r="CA1213" s="736"/>
    </row>
    <row r="1214" spans="1:79" s="754" customFormat="1" hidden="1" outlineLevel="1" x14ac:dyDescent="0.35">
      <c r="A1214" s="716"/>
      <c r="B1214" s="716"/>
      <c r="C1214" s="716"/>
      <c r="D1214" s="716"/>
      <c r="E1214" s="716"/>
      <c r="F1214" s="711" t="s">
        <v>594</v>
      </c>
      <c r="G1214" s="753"/>
      <c r="H1214" s="753"/>
      <c r="I1214" s="753"/>
      <c r="J1214" s="753"/>
      <c r="K1214" s="753"/>
      <c r="L1214" s="753"/>
      <c r="M1214" s="753"/>
      <c r="N1214" s="753"/>
      <c r="O1214" s="753"/>
      <c r="P1214" s="753"/>
      <c r="Q1214" s="753"/>
      <c r="R1214" s="779"/>
      <c r="S1214" s="713"/>
      <c r="T1214" s="713"/>
      <c r="U1214" s="713"/>
      <c r="V1214" s="713"/>
      <c r="W1214" s="713"/>
      <c r="X1214" s="713"/>
      <c r="Y1214" s="713"/>
      <c r="Z1214" s="713"/>
      <c r="AA1214" s="713"/>
      <c r="AB1214" s="713"/>
      <c r="AC1214" s="713"/>
      <c r="AD1214" s="713"/>
      <c r="AE1214" s="752"/>
      <c r="AF1214" s="752"/>
      <c r="AG1214" s="752"/>
      <c r="AH1214" s="752"/>
      <c r="AI1214" s="752"/>
      <c r="AJ1214" s="752"/>
      <c r="AK1214" s="752"/>
      <c r="AL1214" s="752"/>
      <c r="AM1214" s="752"/>
      <c r="AN1214" s="752"/>
      <c r="AO1214" s="752"/>
      <c r="AP1214" s="752"/>
      <c r="AQ1214" s="752"/>
      <c r="AR1214" s="752"/>
      <c r="AS1214" s="752"/>
      <c r="AT1214" s="752"/>
      <c r="AU1214" s="752"/>
      <c r="AV1214" s="752"/>
      <c r="AW1214" s="752"/>
      <c r="AX1214" s="752"/>
      <c r="AY1214" s="752"/>
      <c r="AZ1214" s="752"/>
      <c r="BA1214" s="752"/>
      <c r="BB1214" s="752"/>
      <c r="BC1214" s="752"/>
      <c r="BD1214" s="752"/>
      <c r="BE1214" s="752"/>
      <c r="BF1214" s="752"/>
      <c r="BG1214" s="752"/>
      <c r="BH1214" s="752"/>
      <c r="BI1214" s="752"/>
      <c r="BJ1214" s="752"/>
      <c r="BK1214" s="752"/>
      <c r="BL1214" s="752"/>
      <c r="BM1214" s="752"/>
      <c r="BN1214" s="752"/>
      <c r="BO1214" s="752"/>
      <c r="BP1214" s="752"/>
      <c r="BQ1214" s="752"/>
      <c r="BR1214" s="752"/>
      <c r="BS1214" s="752"/>
      <c r="BT1214" s="752"/>
      <c r="BU1214" s="752"/>
      <c r="BV1214" s="752"/>
      <c r="BW1214" s="752"/>
      <c r="BX1214" s="752"/>
      <c r="BY1214" s="752"/>
      <c r="BZ1214" s="752"/>
      <c r="CA1214" s="752"/>
    </row>
    <row r="1215" spans="1:79" s="452" customFormat="1" hidden="1" outlineLevel="1" x14ac:dyDescent="0.35">
      <c r="A1215" s="504"/>
      <c r="B1215" s="504"/>
      <c r="C1215" s="504"/>
      <c r="D1215" s="504"/>
      <c r="E1215" s="504"/>
      <c r="F1215" s="672" t="s">
        <v>878</v>
      </c>
      <c r="G1215" s="734"/>
      <c r="H1215" s="734"/>
      <c r="I1215" s="734"/>
      <c r="J1215" s="734"/>
      <c r="K1215" s="734"/>
      <c r="L1215" s="734"/>
      <c r="M1215" s="734"/>
      <c r="N1215" s="734"/>
      <c r="O1215" s="734"/>
      <c r="P1215" s="734"/>
      <c r="Q1215" s="734"/>
      <c r="R1215" s="733"/>
      <c r="S1215" s="687">
        <v>0</v>
      </c>
      <c r="T1215" s="687">
        <v>0</v>
      </c>
      <c r="U1215" s="687">
        <v>0</v>
      </c>
      <c r="V1215" s="687">
        <v>0</v>
      </c>
      <c r="W1215" s="687">
        <v>0</v>
      </c>
      <c r="X1215" s="687">
        <v>0</v>
      </c>
      <c r="Y1215" s="687">
        <v>0</v>
      </c>
      <c r="Z1215" s="687">
        <v>0</v>
      </c>
      <c r="AA1215" s="687">
        <v>0</v>
      </c>
      <c r="AB1215" s="687">
        <v>0</v>
      </c>
      <c r="AC1215" s="686">
        <v>0</v>
      </c>
      <c r="AD1215" s="686">
        <v>0</v>
      </c>
      <c r="AE1215" s="736"/>
      <c r="AF1215" s="736"/>
      <c r="AG1215" s="736"/>
      <c r="AH1215" s="736"/>
      <c r="AI1215" s="736"/>
      <c r="AJ1215" s="736"/>
      <c r="AK1215" s="736"/>
      <c r="AL1215" s="736"/>
      <c r="AM1215" s="736"/>
      <c r="AN1215" s="736"/>
      <c r="AO1215" s="736"/>
      <c r="AP1215" s="736"/>
      <c r="AQ1215" s="736"/>
      <c r="AR1215" s="736"/>
      <c r="AS1215" s="736"/>
      <c r="AT1215" s="736"/>
      <c r="AU1215" s="736"/>
      <c r="AV1215" s="736"/>
      <c r="AW1215" s="736"/>
      <c r="AX1215" s="736"/>
      <c r="AY1215" s="736"/>
      <c r="AZ1215" s="736"/>
      <c r="BA1215" s="736"/>
      <c r="BB1215" s="736"/>
      <c r="BC1215" s="736"/>
      <c r="BD1215" s="736"/>
      <c r="BE1215" s="736"/>
      <c r="BF1215" s="736"/>
      <c r="BG1215" s="736"/>
      <c r="BH1215" s="736"/>
      <c r="BI1215" s="736"/>
      <c r="BJ1215" s="736"/>
      <c r="BK1215" s="736"/>
      <c r="BL1215" s="736"/>
      <c r="BM1215" s="736"/>
      <c r="BN1215" s="736"/>
      <c r="BO1215" s="736"/>
      <c r="BP1215" s="736"/>
      <c r="BQ1215" s="736"/>
      <c r="BR1215" s="736"/>
      <c r="BS1215" s="736"/>
      <c r="BT1215" s="736"/>
      <c r="BU1215" s="736"/>
      <c r="BV1215" s="736"/>
      <c r="BW1215" s="736"/>
      <c r="BX1215" s="736"/>
      <c r="BY1215" s="736"/>
      <c r="BZ1215" s="736"/>
      <c r="CA1215" s="736"/>
    </row>
    <row r="1216" spans="1:79" s="452" customFormat="1" hidden="1" outlineLevel="1" x14ac:dyDescent="0.35">
      <c r="A1216" s="504"/>
      <c r="B1216" s="504"/>
      <c r="C1216" s="504"/>
      <c r="D1216" s="504"/>
      <c r="E1216" s="504"/>
      <c r="F1216" s="672" t="s">
        <v>879</v>
      </c>
      <c r="G1216" s="734"/>
      <c r="H1216" s="734"/>
      <c r="I1216" s="734"/>
      <c r="J1216" s="734"/>
      <c r="K1216" s="734"/>
      <c r="L1216" s="734"/>
      <c r="M1216" s="734"/>
      <c r="N1216" s="734"/>
      <c r="O1216" s="734"/>
      <c r="P1216" s="734"/>
      <c r="Q1216" s="734"/>
      <c r="R1216" s="733"/>
      <c r="S1216" s="687">
        <v>0</v>
      </c>
      <c r="T1216" s="687">
        <v>0</v>
      </c>
      <c r="U1216" s="687">
        <v>0</v>
      </c>
      <c r="V1216" s="687">
        <v>0</v>
      </c>
      <c r="W1216" s="687">
        <v>0</v>
      </c>
      <c r="X1216" s="687">
        <v>0</v>
      </c>
      <c r="Y1216" s="687">
        <v>0</v>
      </c>
      <c r="Z1216" s="687">
        <v>0</v>
      </c>
      <c r="AA1216" s="687">
        <v>0</v>
      </c>
      <c r="AB1216" s="687">
        <v>0</v>
      </c>
      <c r="AC1216" s="686">
        <v>0</v>
      </c>
      <c r="AD1216" s="686">
        <v>0</v>
      </c>
      <c r="AE1216" s="736"/>
      <c r="AF1216" s="736"/>
      <c r="AG1216" s="736"/>
      <c r="AH1216" s="736"/>
      <c r="AI1216" s="736"/>
      <c r="AJ1216" s="736"/>
      <c r="AK1216" s="736"/>
      <c r="AL1216" s="736"/>
      <c r="AM1216" s="736"/>
      <c r="AN1216" s="736"/>
      <c r="AO1216" s="736"/>
      <c r="AP1216" s="736"/>
      <c r="AQ1216" s="736"/>
      <c r="AR1216" s="736"/>
      <c r="AS1216" s="736"/>
      <c r="AT1216" s="736"/>
      <c r="AU1216" s="736"/>
      <c r="AV1216" s="736"/>
      <c r="AW1216" s="736"/>
      <c r="AX1216" s="736"/>
      <c r="AY1216" s="736"/>
      <c r="AZ1216" s="736"/>
      <c r="BA1216" s="736"/>
      <c r="BB1216" s="736"/>
      <c r="BC1216" s="736"/>
      <c r="BD1216" s="736"/>
      <c r="BE1216" s="736"/>
      <c r="BF1216" s="736"/>
      <c r="BG1216" s="736"/>
      <c r="BH1216" s="736"/>
      <c r="BI1216" s="736"/>
      <c r="BJ1216" s="736"/>
      <c r="BK1216" s="736"/>
      <c r="BL1216" s="736"/>
      <c r="BM1216" s="736"/>
      <c r="BN1216" s="736"/>
      <c r="BO1216" s="736"/>
      <c r="BP1216" s="736"/>
      <c r="BQ1216" s="736"/>
      <c r="BR1216" s="736"/>
      <c r="BS1216" s="736"/>
      <c r="BT1216" s="736"/>
      <c r="BU1216" s="736"/>
      <c r="BV1216" s="736"/>
      <c r="BW1216" s="736"/>
      <c r="BX1216" s="736"/>
      <c r="BY1216" s="736"/>
      <c r="BZ1216" s="736"/>
      <c r="CA1216" s="736"/>
    </row>
    <row r="1217" spans="1:79" s="452" customFormat="1" hidden="1" outlineLevel="1" x14ac:dyDescent="0.35">
      <c r="A1217" s="504"/>
      <c r="B1217" s="504"/>
      <c r="C1217" s="504"/>
      <c r="D1217" s="504"/>
      <c r="E1217" s="504"/>
      <c r="F1217" s="672" t="s">
        <v>880</v>
      </c>
      <c r="G1217" s="734"/>
      <c r="H1217" s="734"/>
      <c r="I1217" s="734"/>
      <c r="J1217" s="734"/>
      <c r="K1217" s="734"/>
      <c r="L1217" s="734"/>
      <c r="M1217" s="734"/>
      <c r="N1217" s="734"/>
      <c r="O1217" s="734"/>
      <c r="P1217" s="734"/>
      <c r="Q1217" s="734"/>
      <c r="R1217" s="733"/>
      <c r="S1217" s="687">
        <v>0</v>
      </c>
      <c r="T1217" s="687">
        <v>0</v>
      </c>
      <c r="U1217" s="687">
        <v>0</v>
      </c>
      <c r="V1217" s="687">
        <v>0</v>
      </c>
      <c r="W1217" s="687">
        <v>0</v>
      </c>
      <c r="X1217" s="687">
        <v>0</v>
      </c>
      <c r="Y1217" s="687">
        <v>0</v>
      </c>
      <c r="Z1217" s="687">
        <v>0</v>
      </c>
      <c r="AA1217" s="687">
        <v>0</v>
      </c>
      <c r="AB1217" s="687">
        <v>0</v>
      </c>
      <c r="AC1217" s="686">
        <v>0</v>
      </c>
      <c r="AD1217" s="686">
        <v>0</v>
      </c>
      <c r="AE1217" s="736"/>
      <c r="AF1217" s="736"/>
      <c r="AG1217" s="736"/>
      <c r="AH1217" s="736"/>
      <c r="AI1217" s="736"/>
      <c r="AJ1217" s="736"/>
      <c r="AK1217" s="736"/>
      <c r="AL1217" s="736"/>
      <c r="AM1217" s="736"/>
      <c r="AN1217" s="736"/>
      <c r="AO1217" s="736"/>
      <c r="AP1217" s="736"/>
      <c r="AQ1217" s="736"/>
      <c r="AR1217" s="736"/>
      <c r="AS1217" s="736"/>
      <c r="AT1217" s="736"/>
      <c r="AU1217" s="736"/>
      <c r="AV1217" s="736"/>
      <c r="AW1217" s="736"/>
      <c r="AX1217" s="736"/>
      <c r="AY1217" s="736"/>
      <c r="AZ1217" s="736"/>
      <c r="BA1217" s="736"/>
      <c r="BB1217" s="736"/>
      <c r="BC1217" s="736"/>
      <c r="BD1217" s="736"/>
      <c r="BE1217" s="736"/>
      <c r="BF1217" s="736"/>
      <c r="BG1217" s="736"/>
      <c r="BH1217" s="736"/>
      <c r="BI1217" s="736"/>
      <c r="BJ1217" s="736"/>
      <c r="BK1217" s="736"/>
      <c r="BL1217" s="736"/>
      <c r="BM1217" s="736"/>
      <c r="BN1217" s="736"/>
      <c r="BO1217" s="736"/>
      <c r="BP1217" s="736"/>
      <c r="BQ1217" s="736"/>
      <c r="BR1217" s="736"/>
      <c r="BS1217" s="736"/>
      <c r="BT1217" s="736"/>
      <c r="BU1217" s="736"/>
      <c r="BV1217" s="736"/>
      <c r="BW1217" s="736"/>
      <c r="BX1217" s="736"/>
      <c r="BY1217" s="736"/>
      <c r="BZ1217" s="736"/>
      <c r="CA1217" s="736"/>
    </row>
    <row r="1218" spans="1:79" s="452" customFormat="1" hidden="1" outlineLevel="1" x14ac:dyDescent="0.35">
      <c r="A1218" s="80"/>
      <c r="B1218" s="80"/>
      <c r="C1218" s="80"/>
      <c r="D1218" s="80"/>
      <c r="E1218" s="80"/>
      <c r="F1218" s="672" t="s">
        <v>609</v>
      </c>
      <c r="G1218" s="739"/>
      <c r="H1218" s="739"/>
      <c r="I1218" s="739"/>
      <c r="J1218" s="739"/>
      <c r="K1218" s="739"/>
      <c r="L1218" s="739"/>
      <c r="M1218" s="739"/>
      <c r="N1218" s="739"/>
      <c r="O1218" s="739"/>
      <c r="P1218" s="734"/>
      <c r="Q1218" s="734"/>
      <c r="R1218" s="733"/>
      <c r="S1218" s="683">
        <v>343.13</v>
      </c>
      <c r="T1218" s="683">
        <v>402.26</v>
      </c>
      <c r="U1218" s="683">
        <v>84.94</v>
      </c>
      <c r="V1218" s="683">
        <v>1050.51</v>
      </c>
      <c r="W1218" s="683">
        <v>2453.8200000000002</v>
      </c>
      <c r="X1218" s="683">
        <v>0</v>
      </c>
      <c r="Y1218" s="683">
        <v>1354.68</v>
      </c>
      <c r="Z1218" s="683">
        <v>95.98</v>
      </c>
      <c r="AA1218" s="683">
        <v>0</v>
      </c>
      <c r="AB1218" s="683">
        <v>70.83</v>
      </c>
      <c r="AC1218" s="690">
        <v>511.75</v>
      </c>
      <c r="AD1218" s="690">
        <v>414.43</v>
      </c>
      <c r="AE1218" s="736"/>
      <c r="AF1218" s="736"/>
      <c r="AG1218" s="736"/>
      <c r="AH1218" s="736"/>
      <c r="AI1218" s="736"/>
      <c r="AJ1218" s="736"/>
      <c r="AK1218" s="736"/>
      <c r="AL1218" s="736"/>
      <c r="AM1218" s="736"/>
      <c r="AN1218" s="736"/>
      <c r="AO1218" s="736"/>
      <c r="AP1218" s="736"/>
      <c r="AQ1218" s="736"/>
      <c r="AR1218" s="736"/>
      <c r="AS1218" s="736"/>
      <c r="AT1218" s="736"/>
      <c r="AU1218" s="736"/>
      <c r="AV1218" s="736"/>
      <c r="AW1218" s="736"/>
      <c r="AX1218" s="736"/>
      <c r="AY1218" s="736"/>
      <c r="AZ1218" s="736"/>
      <c r="BA1218" s="736"/>
      <c r="BB1218" s="736"/>
      <c r="BC1218" s="736"/>
      <c r="BD1218" s="736"/>
      <c r="BE1218" s="736"/>
      <c r="BF1218" s="736"/>
      <c r="BG1218" s="736"/>
      <c r="BH1218" s="736"/>
      <c r="BI1218" s="736"/>
      <c r="BJ1218" s="736"/>
      <c r="BK1218" s="736"/>
      <c r="BL1218" s="736"/>
      <c r="BM1218" s="736"/>
      <c r="BN1218" s="736"/>
      <c r="BO1218" s="736"/>
      <c r="BP1218" s="736"/>
      <c r="BQ1218" s="736"/>
      <c r="BR1218" s="736"/>
      <c r="BS1218" s="736"/>
      <c r="BT1218" s="736"/>
      <c r="BU1218" s="736"/>
      <c r="BV1218" s="736"/>
      <c r="BW1218" s="736"/>
      <c r="BX1218" s="736"/>
      <c r="BY1218" s="736"/>
      <c r="BZ1218" s="736"/>
      <c r="CA1218" s="736"/>
    </row>
    <row r="1219" spans="1:79" s="309" customFormat="1" hidden="1" outlineLevel="1" x14ac:dyDescent="0.35">
      <c r="A1219" s="80"/>
      <c r="B1219" s="80"/>
      <c r="C1219" s="80"/>
      <c r="D1219" s="80"/>
      <c r="E1219" s="80"/>
      <c r="F1219" s="672" t="s">
        <v>610</v>
      </c>
      <c r="G1219" s="739"/>
      <c r="H1219" s="739"/>
      <c r="I1219" s="739"/>
      <c r="J1219" s="739"/>
      <c r="K1219" s="739"/>
      <c r="L1219" s="739"/>
      <c r="M1219" s="739"/>
      <c r="N1219" s="739"/>
      <c r="O1219" s="739"/>
      <c r="P1219" s="734"/>
      <c r="Q1219" s="734"/>
      <c r="R1219" s="733"/>
      <c r="S1219" s="683">
        <v>726.5</v>
      </c>
      <c r="T1219" s="683">
        <v>784.73</v>
      </c>
      <c r="U1219" s="683">
        <v>1692.21</v>
      </c>
      <c r="V1219" s="683">
        <v>888.96</v>
      </c>
      <c r="W1219" s="683">
        <v>876.15</v>
      </c>
      <c r="X1219" s="683">
        <v>1253.78</v>
      </c>
      <c r="Y1219" s="683">
        <v>544.95000000000005</v>
      </c>
      <c r="Z1219" s="683">
        <v>706.92</v>
      </c>
      <c r="AA1219" s="683">
        <v>566.85</v>
      </c>
      <c r="AB1219" s="683">
        <v>2023.7</v>
      </c>
      <c r="AC1219" s="690">
        <v>-1380.11</v>
      </c>
      <c r="AD1219" s="690">
        <v>60</v>
      </c>
      <c r="AE1219" s="736"/>
      <c r="AF1219" s="736"/>
      <c r="AG1219" s="736"/>
      <c r="AH1219" s="736"/>
      <c r="AI1219" s="736"/>
      <c r="AJ1219" s="736"/>
      <c r="AK1219" s="736"/>
      <c r="AL1219" s="736"/>
      <c r="AM1219" s="736"/>
      <c r="AN1219" s="736"/>
      <c r="AO1219" s="736"/>
      <c r="AP1219" s="736"/>
      <c r="AQ1219" s="736"/>
      <c r="AR1219" s="736"/>
      <c r="AS1219" s="736"/>
      <c r="AT1219" s="736"/>
      <c r="AU1219" s="736"/>
      <c r="AV1219" s="736"/>
      <c r="AW1219" s="736"/>
      <c r="AX1219" s="736"/>
      <c r="AY1219" s="736"/>
      <c r="AZ1219" s="736"/>
      <c r="BA1219" s="736"/>
      <c r="BB1219" s="736"/>
      <c r="BC1219" s="736"/>
      <c r="BD1219" s="736"/>
      <c r="BE1219" s="736"/>
      <c r="BF1219" s="736"/>
      <c r="BG1219" s="736"/>
      <c r="BH1219" s="736"/>
      <c r="BI1219" s="736"/>
      <c r="BJ1219" s="736"/>
      <c r="BK1219" s="736"/>
      <c r="BL1219" s="736"/>
      <c r="BM1219" s="736"/>
      <c r="BN1219" s="736"/>
      <c r="BO1219" s="736"/>
      <c r="BP1219" s="736"/>
      <c r="BQ1219" s="736"/>
      <c r="BR1219" s="736"/>
      <c r="BS1219" s="736"/>
      <c r="BT1219" s="736"/>
      <c r="BU1219" s="736"/>
      <c r="BV1219" s="736"/>
      <c r="BW1219" s="736"/>
      <c r="BX1219" s="736"/>
      <c r="BY1219" s="736"/>
      <c r="BZ1219" s="736"/>
      <c r="CA1219" s="736"/>
    </row>
    <row r="1220" spans="1:79" hidden="1" outlineLevel="1" x14ac:dyDescent="0.35">
      <c r="A1220" s="80"/>
      <c r="B1220" s="80"/>
      <c r="C1220" s="80"/>
      <c r="D1220" s="80"/>
      <c r="E1220" s="80"/>
      <c r="F1220" s="672" t="s">
        <v>611</v>
      </c>
      <c r="G1220" s="739"/>
      <c r="H1220" s="739"/>
      <c r="I1220" s="739"/>
      <c r="J1220" s="739"/>
      <c r="K1220" s="739"/>
      <c r="L1220" s="739"/>
      <c r="M1220" s="739"/>
      <c r="N1220" s="739"/>
      <c r="O1220" s="739"/>
      <c r="P1220" s="734"/>
      <c r="Q1220" s="734"/>
      <c r="R1220" s="733"/>
      <c r="S1220" s="683">
        <v>1146.3499999999999</v>
      </c>
      <c r="T1220" s="683">
        <v>368.7</v>
      </c>
      <c r="U1220" s="683">
        <v>558.65</v>
      </c>
      <c r="V1220" s="683">
        <v>443.7</v>
      </c>
      <c r="W1220" s="683">
        <v>443.7</v>
      </c>
      <c r="X1220" s="683">
        <v>776.78</v>
      </c>
      <c r="Y1220" s="683">
        <v>130.16</v>
      </c>
      <c r="Z1220" s="683">
        <v>1038.3699999999999</v>
      </c>
      <c r="AA1220" s="683">
        <v>782.59</v>
      </c>
      <c r="AB1220" s="683">
        <v>2284.5500000000002</v>
      </c>
      <c r="AC1220" s="690">
        <v>2267.61</v>
      </c>
      <c r="AD1220" s="690">
        <v>-1676.14</v>
      </c>
      <c r="AE1220" s="736"/>
      <c r="AF1220" s="736"/>
      <c r="AG1220" s="736"/>
      <c r="AH1220" s="736"/>
      <c r="AI1220" s="736"/>
      <c r="AJ1220" s="736"/>
      <c r="AK1220" s="736"/>
      <c r="AL1220" s="736"/>
      <c r="AM1220" s="736"/>
      <c r="AN1220" s="736"/>
      <c r="AO1220" s="736"/>
      <c r="AP1220" s="736"/>
      <c r="AQ1220" s="736"/>
      <c r="AR1220" s="736"/>
      <c r="AS1220" s="736"/>
      <c r="AT1220" s="736"/>
      <c r="AU1220" s="736"/>
      <c r="AV1220" s="736"/>
      <c r="AW1220" s="736"/>
      <c r="AX1220" s="736"/>
      <c r="AY1220" s="736"/>
      <c r="AZ1220" s="736"/>
      <c r="BA1220" s="736"/>
      <c r="BB1220" s="736"/>
      <c r="BC1220" s="736"/>
      <c r="BD1220" s="736"/>
      <c r="BE1220" s="736"/>
      <c r="BF1220" s="736"/>
      <c r="BG1220" s="736"/>
      <c r="BH1220" s="736"/>
      <c r="BI1220" s="736"/>
      <c r="BJ1220" s="736"/>
      <c r="BK1220" s="736"/>
      <c r="BL1220" s="736"/>
      <c r="BM1220" s="736"/>
      <c r="BN1220" s="736"/>
      <c r="BO1220" s="736"/>
      <c r="BP1220" s="736"/>
      <c r="BQ1220" s="736"/>
      <c r="BR1220" s="736"/>
      <c r="BS1220" s="736"/>
      <c r="BT1220" s="736"/>
      <c r="BU1220" s="736"/>
      <c r="BV1220" s="736"/>
      <c r="BW1220" s="736"/>
      <c r="BX1220" s="736"/>
      <c r="BY1220" s="736"/>
      <c r="BZ1220" s="736"/>
      <c r="CA1220" s="736"/>
    </row>
    <row r="1221" spans="1:79" hidden="1" outlineLevel="1" x14ac:dyDescent="0.35">
      <c r="A1221" s="580"/>
      <c r="B1221" s="580"/>
      <c r="C1221" s="580"/>
      <c r="D1221" s="580"/>
      <c r="E1221" s="580"/>
      <c r="F1221" s="672" t="s">
        <v>881</v>
      </c>
      <c r="G1221" s="735">
        <v>1942.4456099999998</v>
      </c>
      <c r="H1221" s="735">
        <v>1817.2428576254722</v>
      </c>
      <c r="I1221" s="735">
        <v>6204.4714594257539</v>
      </c>
      <c r="J1221" s="735">
        <v>1642.795559386989</v>
      </c>
      <c r="K1221" s="735">
        <v>2140.7674284131463</v>
      </c>
      <c r="L1221" s="735">
        <v>3305.4976499720501</v>
      </c>
      <c r="M1221" s="735">
        <v>5634.4269701931953</v>
      </c>
      <c r="N1221" s="735">
        <v>2057.2133953228386</v>
      </c>
      <c r="O1221" s="735">
        <v>1833.1195263793902</v>
      </c>
      <c r="P1221" s="732">
        <v>8772.0473070525386</v>
      </c>
      <c r="Q1221" s="732">
        <v>2135.9403693925592</v>
      </c>
      <c r="R1221" s="736">
        <v>266.66076207498975</v>
      </c>
      <c r="S1221" s="692">
        <v>0</v>
      </c>
      <c r="T1221" s="692">
        <v>0</v>
      </c>
      <c r="U1221" s="692">
        <v>0</v>
      </c>
      <c r="V1221" s="692">
        <v>0</v>
      </c>
      <c r="W1221" s="692">
        <v>0</v>
      </c>
      <c r="X1221" s="692">
        <v>0</v>
      </c>
      <c r="Y1221" s="692">
        <v>0</v>
      </c>
      <c r="Z1221" s="692">
        <v>0</v>
      </c>
      <c r="AA1221" s="692">
        <v>0</v>
      </c>
      <c r="AB1221" s="692">
        <v>0</v>
      </c>
      <c r="AC1221" s="702">
        <v>0</v>
      </c>
      <c r="AD1221" s="702">
        <v>0</v>
      </c>
      <c r="AE1221" s="736"/>
      <c r="AF1221" s="736"/>
      <c r="AG1221" s="736"/>
      <c r="AH1221" s="736"/>
      <c r="AI1221" s="736"/>
      <c r="AJ1221" s="736"/>
      <c r="AK1221" s="736"/>
      <c r="AL1221" s="736"/>
      <c r="AM1221" s="736"/>
      <c r="AN1221" s="736"/>
      <c r="AO1221" s="736"/>
      <c r="AP1221" s="736"/>
      <c r="AQ1221" s="736"/>
      <c r="AR1221" s="736"/>
      <c r="AS1221" s="736"/>
      <c r="AT1221" s="736"/>
      <c r="AU1221" s="736"/>
      <c r="AV1221" s="736"/>
      <c r="AW1221" s="736"/>
      <c r="AX1221" s="736"/>
      <c r="AY1221" s="736"/>
      <c r="AZ1221" s="736"/>
      <c r="BA1221" s="736"/>
      <c r="BB1221" s="736"/>
      <c r="BC1221" s="736"/>
      <c r="BD1221" s="736"/>
      <c r="BE1221" s="736"/>
      <c r="BF1221" s="736"/>
      <c r="BG1221" s="736"/>
      <c r="BH1221" s="736"/>
      <c r="BI1221" s="736"/>
      <c r="BJ1221" s="736"/>
      <c r="BK1221" s="736"/>
      <c r="BL1221" s="736"/>
      <c r="BM1221" s="736"/>
      <c r="BN1221" s="736"/>
      <c r="BO1221" s="736"/>
      <c r="BP1221" s="736"/>
      <c r="BQ1221" s="736"/>
      <c r="BR1221" s="736"/>
      <c r="BS1221" s="736"/>
      <c r="BT1221" s="736"/>
      <c r="BU1221" s="736"/>
      <c r="BV1221" s="736"/>
      <c r="BW1221" s="736"/>
      <c r="BX1221" s="736"/>
      <c r="BY1221" s="736"/>
      <c r="BZ1221" s="736"/>
      <c r="CA1221" s="736"/>
    </row>
    <row r="1222" spans="1:79" hidden="1" outlineLevel="1" x14ac:dyDescent="0.35">
      <c r="A1222" s="30"/>
      <c r="B1222" s="30"/>
      <c r="C1222" s="30"/>
      <c r="D1222" s="30"/>
      <c r="E1222" s="30"/>
      <c r="F1222" s="675" t="s">
        <v>612</v>
      </c>
      <c r="G1222" s="680">
        <f>SUM(G1215:G1221)</f>
        <v>1942.4456099999998</v>
      </c>
      <c r="H1222" s="680">
        <f t="shared" ref="H1222:BO1222" si="479">SUM(H1215:H1221)</f>
        <v>1817.2428576254722</v>
      </c>
      <c r="I1222" s="680">
        <f t="shared" si="479"/>
        <v>6204.4714594257539</v>
      </c>
      <c r="J1222" s="680">
        <f t="shared" si="479"/>
        <v>1642.795559386989</v>
      </c>
      <c r="K1222" s="680">
        <f t="shared" si="479"/>
        <v>2140.7674284131463</v>
      </c>
      <c r="L1222" s="680">
        <f t="shared" si="479"/>
        <v>3305.4976499720501</v>
      </c>
      <c r="M1222" s="680">
        <f t="shared" si="479"/>
        <v>5634.4269701931953</v>
      </c>
      <c r="N1222" s="680">
        <f t="shared" si="479"/>
        <v>2057.2133953228386</v>
      </c>
      <c r="O1222" s="680">
        <f t="shared" si="479"/>
        <v>1833.1195263793902</v>
      </c>
      <c r="P1222" s="680">
        <f t="shared" si="479"/>
        <v>8772.0473070525386</v>
      </c>
      <c r="Q1222" s="680">
        <f t="shared" si="479"/>
        <v>2135.9403693925592</v>
      </c>
      <c r="R1222" s="680">
        <f t="shared" si="479"/>
        <v>266.66076207498975</v>
      </c>
      <c r="S1222" s="695">
        <f t="shared" ref="S1222:AA1222" si="480">ROUND(SUM(S1214:S1221),5)</f>
        <v>2215.98</v>
      </c>
      <c r="T1222" s="695">
        <f t="shared" si="480"/>
        <v>1555.69</v>
      </c>
      <c r="U1222" s="695">
        <f t="shared" si="480"/>
        <v>2335.8000000000002</v>
      </c>
      <c r="V1222" s="695">
        <f t="shared" si="480"/>
        <v>2383.17</v>
      </c>
      <c r="W1222" s="695">
        <f t="shared" si="480"/>
        <v>3773.67</v>
      </c>
      <c r="X1222" s="695">
        <f t="shared" si="480"/>
        <v>2030.56</v>
      </c>
      <c r="Y1222" s="695">
        <f t="shared" si="480"/>
        <v>2029.79</v>
      </c>
      <c r="Z1222" s="695">
        <f t="shared" si="480"/>
        <v>1841.27</v>
      </c>
      <c r="AA1222" s="695">
        <f t="shared" si="480"/>
        <v>1349.44</v>
      </c>
      <c r="AB1222" s="695">
        <f>ROUND(SUM(AB1214:AB1221),5)</f>
        <v>4379.08</v>
      </c>
      <c r="AC1222" s="695">
        <f>ROUND(SUM(AC1214:AC1221),5)</f>
        <v>1399.25</v>
      </c>
      <c r="AD1222" s="695">
        <f>ROUND(SUM(AD1214:AD1221),5)</f>
        <v>-1201.71</v>
      </c>
      <c r="AE1222" s="680">
        <f t="shared" si="479"/>
        <v>0</v>
      </c>
      <c r="AF1222" s="680">
        <f t="shared" si="479"/>
        <v>0</v>
      </c>
      <c r="AG1222" s="680">
        <f t="shared" si="479"/>
        <v>0</v>
      </c>
      <c r="AH1222" s="680">
        <f t="shared" si="479"/>
        <v>0</v>
      </c>
      <c r="AI1222" s="680">
        <f t="shared" si="479"/>
        <v>0</v>
      </c>
      <c r="AJ1222" s="680">
        <f t="shared" si="479"/>
        <v>0</v>
      </c>
      <c r="AK1222" s="680">
        <f t="shared" si="479"/>
        <v>0</v>
      </c>
      <c r="AL1222" s="680">
        <f t="shared" si="479"/>
        <v>0</v>
      </c>
      <c r="AM1222" s="680">
        <f t="shared" si="479"/>
        <v>0</v>
      </c>
      <c r="AN1222" s="680">
        <f t="shared" si="479"/>
        <v>0</v>
      </c>
      <c r="AO1222" s="680">
        <f t="shared" si="479"/>
        <v>0</v>
      </c>
      <c r="AP1222" s="680">
        <f t="shared" si="479"/>
        <v>0</v>
      </c>
      <c r="AQ1222" s="680">
        <f t="shared" si="479"/>
        <v>0</v>
      </c>
      <c r="AR1222" s="680">
        <f t="shared" si="479"/>
        <v>0</v>
      </c>
      <c r="AS1222" s="680">
        <f t="shared" si="479"/>
        <v>0</v>
      </c>
      <c r="AT1222" s="680">
        <f t="shared" si="479"/>
        <v>0</v>
      </c>
      <c r="AU1222" s="680">
        <f t="shared" si="479"/>
        <v>0</v>
      </c>
      <c r="AV1222" s="680">
        <f t="shared" si="479"/>
        <v>0</v>
      </c>
      <c r="AW1222" s="680">
        <f t="shared" si="479"/>
        <v>0</v>
      </c>
      <c r="AX1222" s="680">
        <f t="shared" si="479"/>
        <v>0</v>
      </c>
      <c r="AY1222" s="680">
        <f t="shared" si="479"/>
        <v>0</v>
      </c>
      <c r="AZ1222" s="680">
        <f t="shared" si="479"/>
        <v>0</v>
      </c>
      <c r="BA1222" s="680">
        <f t="shared" si="479"/>
        <v>0</v>
      </c>
      <c r="BB1222" s="680">
        <f t="shared" si="479"/>
        <v>0</v>
      </c>
      <c r="BC1222" s="680">
        <f t="shared" si="479"/>
        <v>0</v>
      </c>
      <c r="BD1222" s="680">
        <f t="shared" si="479"/>
        <v>0</v>
      </c>
      <c r="BE1222" s="680">
        <f t="shared" si="479"/>
        <v>0</v>
      </c>
      <c r="BF1222" s="680">
        <f t="shared" si="479"/>
        <v>0</v>
      </c>
      <c r="BG1222" s="680">
        <f t="shared" si="479"/>
        <v>0</v>
      </c>
      <c r="BH1222" s="680">
        <f t="shared" si="479"/>
        <v>0</v>
      </c>
      <c r="BI1222" s="680">
        <f t="shared" si="479"/>
        <v>0</v>
      </c>
      <c r="BJ1222" s="680">
        <f t="shared" si="479"/>
        <v>0</v>
      </c>
      <c r="BK1222" s="680">
        <f t="shared" si="479"/>
        <v>0</v>
      </c>
      <c r="BL1222" s="680">
        <f t="shared" si="479"/>
        <v>0</v>
      </c>
      <c r="BM1222" s="680">
        <f t="shared" si="479"/>
        <v>0</v>
      </c>
      <c r="BN1222" s="680">
        <f t="shared" si="479"/>
        <v>0</v>
      </c>
      <c r="BO1222" s="680">
        <f t="shared" si="479"/>
        <v>0</v>
      </c>
      <c r="BP1222" s="680">
        <f t="shared" ref="BP1222:CA1222" si="481">SUM(BP1215:BP1221)</f>
        <v>0</v>
      </c>
      <c r="BQ1222" s="680">
        <f t="shared" si="481"/>
        <v>0</v>
      </c>
      <c r="BR1222" s="680">
        <f t="shared" si="481"/>
        <v>0</v>
      </c>
      <c r="BS1222" s="680">
        <f t="shared" si="481"/>
        <v>0</v>
      </c>
      <c r="BT1222" s="680">
        <f t="shared" si="481"/>
        <v>0</v>
      </c>
      <c r="BU1222" s="680">
        <f t="shared" si="481"/>
        <v>0</v>
      </c>
      <c r="BV1222" s="680">
        <f t="shared" si="481"/>
        <v>0</v>
      </c>
      <c r="BW1222" s="680">
        <f t="shared" si="481"/>
        <v>0</v>
      </c>
      <c r="BX1222" s="680">
        <f t="shared" si="481"/>
        <v>0</v>
      </c>
      <c r="BY1222" s="680">
        <f t="shared" si="481"/>
        <v>0</v>
      </c>
      <c r="BZ1222" s="680">
        <f t="shared" si="481"/>
        <v>0</v>
      </c>
      <c r="CA1222" s="680">
        <f t="shared" si="481"/>
        <v>0</v>
      </c>
    </row>
    <row r="1223" spans="1:79" hidden="1" outlineLevel="1" x14ac:dyDescent="0.35">
      <c r="A1223" s="575"/>
      <c r="B1223" s="575"/>
      <c r="C1223" s="575"/>
      <c r="D1223" s="575"/>
      <c r="E1223" s="575"/>
      <c r="F1223" s="671" t="s">
        <v>882</v>
      </c>
      <c r="G1223" s="680"/>
      <c r="H1223" s="680"/>
      <c r="I1223" s="680"/>
      <c r="J1223" s="680"/>
      <c r="K1223" s="680"/>
      <c r="L1223" s="680"/>
      <c r="M1223" s="680"/>
      <c r="N1223" s="680"/>
      <c r="O1223" s="680"/>
      <c r="P1223" s="680"/>
      <c r="Q1223" s="680"/>
      <c r="R1223" s="680"/>
      <c r="S1223" s="700">
        <v>0</v>
      </c>
      <c r="T1223" s="700">
        <v>0</v>
      </c>
      <c r="U1223" s="700">
        <v>0</v>
      </c>
      <c r="V1223" s="700">
        <v>0</v>
      </c>
      <c r="W1223" s="700">
        <v>0</v>
      </c>
      <c r="X1223" s="700">
        <v>0</v>
      </c>
      <c r="Y1223" s="700">
        <v>0</v>
      </c>
      <c r="Z1223" s="700">
        <v>0</v>
      </c>
      <c r="AA1223" s="700">
        <v>0</v>
      </c>
      <c r="AB1223" s="700">
        <v>0</v>
      </c>
      <c r="AC1223" s="698">
        <v>0</v>
      </c>
      <c r="AD1223" s="698">
        <v>0</v>
      </c>
      <c r="AE1223" s="680"/>
      <c r="AF1223" s="680"/>
      <c r="AG1223" s="680"/>
      <c r="AH1223" s="680"/>
      <c r="AI1223" s="680"/>
      <c r="AJ1223" s="680"/>
      <c r="AK1223" s="680"/>
      <c r="AL1223" s="680"/>
      <c r="AM1223" s="680"/>
      <c r="AN1223" s="680"/>
      <c r="AO1223" s="680"/>
      <c r="AP1223" s="680"/>
      <c r="AQ1223" s="680"/>
      <c r="AR1223" s="680"/>
      <c r="AS1223" s="680"/>
      <c r="AT1223" s="680"/>
      <c r="AU1223" s="680"/>
      <c r="AV1223" s="680"/>
      <c r="AW1223" s="680"/>
      <c r="AX1223" s="680"/>
      <c r="AY1223" s="680"/>
      <c r="AZ1223" s="680"/>
      <c r="BA1223" s="680"/>
      <c r="BB1223" s="680"/>
      <c r="BC1223" s="680"/>
      <c r="BD1223" s="680"/>
      <c r="BE1223" s="680"/>
      <c r="BF1223" s="680"/>
      <c r="BG1223" s="680"/>
      <c r="BH1223" s="680"/>
      <c r="BI1223" s="680"/>
      <c r="BJ1223" s="680"/>
      <c r="BK1223" s="680"/>
      <c r="BL1223" s="680"/>
      <c r="BM1223" s="680"/>
      <c r="BN1223" s="680"/>
      <c r="BO1223" s="680"/>
      <c r="BP1223" s="680"/>
      <c r="BQ1223" s="680"/>
      <c r="BR1223" s="680"/>
      <c r="BS1223" s="680"/>
      <c r="BT1223" s="680"/>
      <c r="BU1223" s="680"/>
      <c r="BV1223" s="680"/>
      <c r="BW1223" s="680"/>
      <c r="BX1223" s="680"/>
      <c r="BY1223" s="680"/>
      <c r="BZ1223" s="680"/>
      <c r="CA1223" s="680"/>
    </row>
    <row r="1224" spans="1:79" s="309" customFormat="1" hidden="1" outlineLevel="1" x14ac:dyDescent="0.35">
      <c r="A1224" s="30"/>
      <c r="B1224" s="30"/>
      <c r="C1224" s="30"/>
      <c r="D1224" s="30"/>
      <c r="E1224" s="30"/>
      <c r="F1224" s="674" t="s">
        <v>595</v>
      </c>
      <c r="G1224" s="735"/>
      <c r="H1224" s="735"/>
      <c r="I1224" s="735"/>
      <c r="J1224" s="735"/>
      <c r="K1224" s="735"/>
      <c r="L1224" s="735"/>
      <c r="M1224" s="735">
        <v>809.38620124383738</v>
      </c>
      <c r="N1224" s="735"/>
      <c r="O1224" s="735">
        <v>392.75381670099529</v>
      </c>
      <c r="P1224" s="732">
        <v>782.06848028678473</v>
      </c>
      <c r="Q1224" s="732"/>
      <c r="R1224" s="736"/>
      <c r="S1224" s="683">
        <v>0</v>
      </c>
      <c r="T1224" s="683">
        <v>0</v>
      </c>
      <c r="U1224" s="683">
        <v>0</v>
      </c>
      <c r="V1224" s="683">
        <v>0</v>
      </c>
      <c r="W1224" s="683">
        <v>0</v>
      </c>
      <c r="X1224" s="683">
        <v>0</v>
      </c>
      <c r="Y1224" s="683">
        <v>0</v>
      </c>
      <c r="Z1224" s="683">
        <v>0</v>
      </c>
      <c r="AA1224" s="683">
        <v>0</v>
      </c>
      <c r="AB1224" s="683">
        <v>0</v>
      </c>
      <c r="AC1224" s="702">
        <v>0</v>
      </c>
      <c r="AD1224" s="702">
        <v>0</v>
      </c>
      <c r="AE1224" s="736"/>
      <c r="AF1224" s="736"/>
      <c r="AG1224" s="736"/>
      <c r="AH1224" s="736"/>
      <c r="AI1224" s="736"/>
      <c r="AJ1224" s="736"/>
      <c r="AK1224" s="736"/>
      <c r="AL1224" s="736"/>
      <c r="AM1224" s="736"/>
      <c r="AN1224" s="736"/>
      <c r="AO1224" s="736"/>
      <c r="AP1224" s="736"/>
      <c r="AQ1224" s="736"/>
      <c r="AR1224" s="736"/>
      <c r="AS1224" s="736"/>
      <c r="AT1224" s="736"/>
      <c r="AU1224" s="736"/>
      <c r="AV1224" s="736"/>
      <c r="AW1224" s="736"/>
      <c r="AX1224" s="736"/>
      <c r="AY1224" s="736"/>
      <c r="AZ1224" s="736"/>
      <c r="BA1224" s="736"/>
      <c r="BB1224" s="736"/>
      <c r="BC1224" s="736"/>
      <c r="BD1224" s="736"/>
      <c r="BE1224" s="736"/>
      <c r="BF1224" s="736"/>
      <c r="BG1224" s="736"/>
      <c r="BH1224" s="736"/>
      <c r="BI1224" s="736"/>
      <c r="BJ1224" s="736"/>
      <c r="BK1224" s="736"/>
      <c r="BL1224" s="736"/>
      <c r="BM1224" s="736"/>
      <c r="BN1224" s="736"/>
      <c r="BO1224" s="736"/>
      <c r="BP1224" s="736"/>
      <c r="BQ1224" s="736"/>
      <c r="BR1224" s="736"/>
      <c r="BS1224" s="736"/>
      <c r="BT1224" s="736"/>
      <c r="BU1224" s="736"/>
      <c r="BV1224" s="736"/>
      <c r="BW1224" s="736"/>
      <c r="BX1224" s="736"/>
      <c r="BY1224" s="736"/>
      <c r="BZ1224" s="736"/>
      <c r="CA1224" s="736"/>
    </row>
    <row r="1225" spans="1:79" s="452" customFormat="1" hidden="1" outlineLevel="1" x14ac:dyDescent="0.35">
      <c r="A1225" s="438"/>
      <c r="B1225" s="438"/>
      <c r="C1225" s="438"/>
      <c r="D1225" s="438"/>
      <c r="E1225" s="438"/>
      <c r="F1225" s="674" t="s">
        <v>596</v>
      </c>
      <c r="G1225" s="735">
        <v>50.248593</v>
      </c>
      <c r="H1225" s="735">
        <v>225.74205072134646</v>
      </c>
      <c r="I1225" s="735">
        <v>29.566543798373246</v>
      </c>
      <c r="J1225" s="735">
        <v>27.650187369803977</v>
      </c>
      <c r="K1225" s="735">
        <v>932.935327695468</v>
      </c>
      <c r="L1225" s="735"/>
      <c r="M1225" s="735"/>
      <c r="N1225" s="735">
        <v>50.026607125597991</v>
      </c>
      <c r="O1225" s="735"/>
      <c r="P1225" s="732">
        <v>582.06181416767049</v>
      </c>
      <c r="Q1225" s="732"/>
      <c r="R1225" s="736"/>
      <c r="S1225" s="683">
        <v>115</v>
      </c>
      <c r="T1225" s="683">
        <v>425</v>
      </c>
      <c r="U1225" s="683">
        <v>0</v>
      </c>
      <c r="V1225" s="683">
        <v>458.62</v>
      </c>
      <c r="W1225" s="683">
        <v>533.6</v>
      </c>
      <c r="X1225" s="683">
        <v>560.39</v>
      </c>
      <c r="Y1225" s="683">
        <v>554.32000000000005</v>
      </c>
      <c r="Z1225" s="683">
        <v>659.32</v>
      </c>
      <c r="AA1225" s="683">
        <v>659.01</v>
      </c>
      <c r="AB1225" s="683">
        <v>770.59</v>
      </c>
      <c r="AC1225" s="702">
        <v>692.51</v>
      </c>
      <c r="AD1225" s="702">
        <v>82.92</v>
      </c>
      <c r="AE1225" s="736"/>
      <c r="AF1225" s="736"/>
      <c r="AG1225" s="736"/>
      <c r="AH1225" s="736"/>
      <c r="AI1225" s="736"/>
      <c r="AJ1225" s="736"/>
      <c r="AK1225" s="736"/>
      <c r="AL1225" s="736"/>
      <c r="AM1225" s="736"/>
      <c r="AN1225" s="736"/>
      <c r="AO1225" s="736"/>
      <c r="AP1225" s="736"/>
      <c r="AQ1225" s="736"/>
      <c r="AR1225" s="736"/>
      <c r="AS1225" s="736"/>
      <c r="AT1225" s="736"/>
      <c r="AU1225" s="736"/>
      <c r="AV1225" s="736"/>
      <c r="AW1225" s="736"/>
      <c r="AX1225" s="736"/>
      <c r="AY1225" s="736"/>
      <c r="AZ1225" s="736"/>
      <c r="BA1225" s="736"/>
      <c r="BB1225" s="736"/>
      <c r="BC1225" s="736"/>
      <c r="BD1225" s="736"/>
      <c r="BE1225" s="736"/>
      <c r="BF1225" s="736"/>
      <c r="BG1225" s="736"/>
      <c r="BH1225" s="736"/>
      <c r="BI1225" s="736"/>
      <c r="BJ1225" s="736"/>
      <c r="BK1225" s="736"/>
      <c r="BL1225" s="736"/>
      <c r="BM1225" s="736"/>
      <c r="BN1225" s="736"/>
      <c r="BO1225" s="736"/>
      <c r="BP1225" s="736"/>
      <c r="BQ1225" s="736"/>
      <c r="BR1225" s="736"/>
      <c r="BS1225" s="736"/>
      <c r="BT1225" s="736"/>
      <c r="BU1225" s="736"/>
      <c r="BV1225" s="736"/>
      <c r="BW1225" s="736"/>
      <c r="BX1225" s="736"/>
      <c r="BY1225" s="736"/>
      <c r="BZ1225" s="736"/>
      <c r="CA1225" s="736"/>
    </row>
    <row r="1226" spans="1:79" s="452" customFormat="1" hidden="1" outlineLevel="1" x14ac:dyDescent="0.35">
      <c r="A1226" s="574"/>
      <c r="B1226" s="574"/>
      <c r="C1226" s="574"/>
      <c r="D1226" s="574"/>
      <c r="E1226" s="574"/>
      <c r="F1226" s="671" t="s">
        <v>883</v>
      </c>
      <c r="G1226" s="735"/>
      <c r="H1226" s="735"/>
      <c r="I1226" s="735"/>
      <c r="J1226" s="735"/>
      <c r="K1226" s="735"/>
      <c r="L1226" s="735"/>
      <c r="M1226" s="735"/>
      <c r="N1226" s="735"/>
      <c r="O1226" s="735"/>
      <c r="P1226" s="732"/>
      <c r="Q1226" s="732"/>
      <c r="R1226" s="736"/>
      <c r="S1226" s="683">
        <v>0</v>
      </c>
      <c r="T1226" s="683">
        <v>0</v>
      </c>
      <c r="U1226" s="683">
        <v>0</v>
      </c>
      <c r="V1226" s="683">
        <v>0</v>
      </c>
      <c r="W1226" s="683">
        <v>0</v>
      </c>
      <c r="X1226" s="683">
        <v>0</v>
      </c>
      <c r="Y1226" s="683">
        <v>0</v>
      </c>
      <c r="Z1226" s="683">
        <v>0</v>
      </c>
      <c r="AA1226" s="683">
        <v>0</v>
      </c>
      <c r="AB1226" s="683">
        <v>0</v>
      </c>
      <c r="AC1226" s="702">
        <v>0</v>
      </c>
      <c r="AD1226" s="702">
        <v>0</v>
      </c>
      <c r="AE1226" s="736"/>
      <c r="AF1226" s="736"/>
      <c r="AG1226" s="736"/>
      <c r="AH1226" s="736"/>
      <c r="AI1226" s="736"/>
      <c r="AJ1226" s="736"/>
      <c r="AK1226" s="736"/>
      <c r="AL1226" s="736"/>
      <c r="AM1226" s="736"/>
      <c r="AN1226" s="736"/>
      <c r="AO1226" s="736"/>
      <c r="AP1226" s="736"/>
      <c r="AQ1226" s="736"/>
      <c r="AR1226" s="736"/>
      <c r="AS1226" s="736"/>
      <c r="AT1226" s="736"/>
      <c r="AU1226" s="736"/>
      <c r="AV1226" s="736"/>
      <c r="AW1226" s="736"/>
      <c r="AX1226" s="736"/>
      <c r="AY1226" s="736"/>
      <c r="AZ1226" s="736"/>
      <c r="BA1226" s="736"/>
      <c r="BB1226" s="736"/>
      <c r="BC1226" s="736"/>
      <c r="BD1226" s="736"/>
      <c r="BE1226" s="736"/>
      <c r="BF1226" s="736"/>
      <c r="BG1226" s="736"/>
      <c r="BH1226" s="736"/>
      <c r="BI1226" s="736"/>
      <c r="BJ1226" s="736"/>
      <c r="BK1226" s="736"/>
      <c r="BL1226" s="736"/>
      <c r="BM1226" s="736"/>
      <c r="BN1226" s="736"/>
      <c r="BO1226" s="736"/>
      <c r="BP1226" s="736"/>
      <c r="BQ1226" s="736"/>
      <c r="BR1226" s="736"/>
      <c r="BS1226" s="736"/>
      <c r="BT1226" s="736"/>
      <c r="BU1226" s="736"/>
      <c r="BV1226" s="736"/>
      <c r="BW1226" s="736"/>
      <c r="BX1226" s="736"/>
      <c r="BY1226" s="736"/>
      <c r="BZ1226" s="736"/>
      <c r="CA1226" s="736"/>
    </row>
    <row r="1227" spans="1:79" s="726" customFormat="1" hidden="1" outlineLevel="1" x14ac:dyDescent="0.35">
      <c r="A1227" s="716"/>
      <c r="B1227" s="716"/>
      <c r="C1227" s="716"/>
      <c r="D1227" s="716"/>
      <c r="E1227" s="716"/>
      <c r="F1227" s="717" t="s">
        <v>766</v>
      </c>
      <c r="G1227" s="782"/>
      <c r="H1227" s="782"/>
      <c r="I1227" s="782"/>
      <c r="J1227" s="782"/>
      <c r="K1227" s="782"/>
      <c r="L1227" s="782"/>
      <c r="M1227" s="782"/>
      <c r="N1227" s="782"/>
      <c r="O1227" s="782"/>
      <c r="P1227" s="753"/>
      <c r="Q1227" s="753"/>
      <c r="R1227" s="779"/>
      <c r="S1227" s="720"/>
      <c r="T1227" s="720"/>
      <c r="U1227" s="720"/>
      <c r="V1227" s="720"/>
      <c r="W1227" s="720"/>
      <c r="X1227" s="720"/>
      <c r="Y1227" s="720"/>
      <c r="Z1227" s="720"/>
      <c r="AA1227" s="720"/>
      <c r="AB1227" s="720"/>
      <c r="AC1227" s="719"/>
      <c r="AD1227" s="719"/>
      <c r="AE1227" s="752"/>
      <c r="AF1227" s="752"/>
      <c r="AG1227" s="752"/>
      <c r="AH1227" s="752"/>
      <c r="AI1227" s="752"/>
      <c r="AJ1227" s="752"/>
      <c r="AK1227" s="752"/>
      <c r="AL1227" s="752"/>
      <c r="AM1227" s="752"/>
      <c r="AN1227" s="752"/>
      <c r="AO1227" s="752"/>
      <c r="AP1227" s="752"/>
      <c r="AQ1227" s="752"/>
      <c r="AR1227" s="752"/>
      <c r="AS1227" s="752"/>
      <c r="AT1227" s="752"/>
      <c r="AU1227" s="752"/>
      <c r="AV1227" s="752"/>
      <c r="AW1227" s="752"/>
      <c r="AX1227" s="752"/>
      <c r="AY1227" s="752"/>
      <c r="AZ1227" s="752"/>
      <c r="BA1227" s="752"/>
      <c r="BB1227" s="752"/>
      <c r="BC1227" s="752"/>
      <c r="BD1227" s="752"/>
      <c r="BE1227" s="752"/>
      <c r="BF1227" s="752"/>
      <c r="BG1227" s="752"/>
      <c r="BH1227" s="752"/>
      <c r="BI1227" s="752"/>
      <c r="BJ1227" s="752"/>
      <c r="BK1227" s="752"/>
      <c r="BL1227" s="752"/>
      <c r="BM1227" s="752"/>
      <c r="BN1227" s="752"/>
      <c r="BO1227" s="752"/>
      <c r="BP1227" s="752"/>
      <c r="BQ1227" s="752"/>
      <c r="BR1227" s="752"/>
      <c r="BS1227" s="752"/>
      <c r="BT1227" s="752"/>
      <c r="BU1227" s="752"/>
      <c r="BV1227" s="752"/>
      <c r="BW1227" s="752"/>
      <c r="BX1227" s="752"/>
      <c r="BY1227" s="752"/>
      <c r="BZ1227" s="752"/>
      <c r="CA1227" s="752"/>
    </row>
    <row r="1228" spans="1:79" hidden="1" outlineLevel="1" x14ac:dyDescent="0.35">
      <c r="A1228" s="80"/>
      <c r="B1228" s="80"/>
      <c r="C1228" s="80"/>
      <c r="D1228" s="80"/>
      <c r="E1228" s="80"/>
      <c r="F1228" s="672" t="s">
        <v>884</v>
      </c>
      <c r="G1228" s="739"/>
      <c r="H1228" s="739"/>
      <c r="I1228" s="739"/>
      <c r="J1228" s="739"/>
      <c r="K1228" s="739"/>
      <c r="L1228" s="739"/>
      <c r="M1228" s="739"/>
      <c r="N1228" s="739"/>
      <c r="O1228" s="739"/>
      <c r="P1228" s="734"/>
      <c r="Q1228" s="734"/>
      <c r="R1228" s="733"/>
      <c r="S1228" s="683">
        <v>0</v>
      </c>
      <c r="T1228" s="683">
        <v>0</v>
      </c>
      <c r="U1228" s="683">
        <v>0</v>
      </c>
      <c r="V1228" s="683">
        <v>0</v>
      </c>
      <c r="W1228" s="683">
        <v>0</v>
      </c>
      <c r="X1228" s="683">
        <v>0</v>
      </c>
      <c r="Y1228" s="683">
        <v>0</v>
      </c>
      <c r="Z1228" s="683">
        <v>0</v>
      </c>
      <c r="AA1228" s="683">
        <v>0</v>
      </c>
      <c r="AB1228" s="683">
        <v>0</v>
      </c>
      <c r="AC1228" s="702">
        <v>0</v>
      </c>
      <c r="AD1228" s="702">
        <v>0</v>
      </c>
      <c r="AE1228" s="736"/>
      <c r="AF1228" s="736"/>
      <c r="AG1228" s="736"/>
      <c r="AH1228" s="736"/>
      <c r="AI1228" s="736"/>
      <c r="AJ1228" s="736"/>
      <c r="AK1228" s="736"/>
      <c r="AL1228" s="736"/>
      <c r="AM1228" s="736"/>
      <c r="AN1228" s="736"/>
      <c r="AO1228" s="736"/>
      <c r="AP1228" s="736"/>
      <c r="AQ1228" s="736"/>
      <c r="AR1228" s="736"/>
      <c r="AS1228" s="736"/>
      <c r="AT1228" s="736"/>
      <c r="AU1228" s="736"/>
      <c r="AV1228" s="736"/>
      <c r="AW1228" s="736"/>
      <c r="AX1228" s="736"/>
      <c r="AY1228" s="736"/>
      <c r="AZ1228" s="736"/>
      <c r="BA1228" s="736"/>
      <c r="BB1228" s="736"/>
      <c r="BC1228" s="736"/>
      <c r="BD1228" s="736"/>
      <c r="BE1228" s="736"/>
      <c r="BF1228" s="736"/>
      <c r="BG1228" s="736"/>
      <c r="BH1228" s="736"/>
      <c r="BI1228" s="736"/>
      <c r="BJ1228" s="736"/>
      <c r="BK1228" s="736"/>
      <c r="BL1228" s="736"/>
      <c r="BM1228" s="736"/>
      <c r="BN1228" s="736"/>
      <c r="BO1228" s="736"/>
      <c r="BP1228" s="736"/>
      <c r="BQ1228" s="736"/>
      <c r="BR1228" s="736"/>
      <c r="BS1228" s="736"/>
      <c r="BT1228" s="736"/>
      <c r="BU1228" s="736"/>
      <c r="BV1228" s="736"/>
      <c r="BW1228" s="736"/>
      <c r="BX1228" s="736"/>
      <c r="BY1228" s="736"/>
      <c r="BZ1228" s="736"/>
      <c r="CA1228" s="736"/>
    </row>
    <row r="1229" spans="1:79" hidden="1" outlineLevel="1" x14ac:dyDescent="0.35">
      <c r="A1229" s="580"/>
      <c r="B1229" s="580"/>
      <c r="C1229" s="580"/>
      <c r="D1229" s="580"/>
      <c r="E1229" s="580"/>
      <c r="F1229" s="672" t="s">
        <v>885</v>
      </c>
      <c r="G1229" s="739"/>
      <c r="H1229" s="739"/>
      <c r="I1229" s="739"/>
      <c r="J1229" s="739"/>
      <c r="K1229" s="739"/>
      <c r="L1229" s="739"/>
      <c r="M1229" s="739"/>
      <c r="N1229" s="739"/>
      <c r="O1229" s="739"/>
      <c r="P1229" s="734"/>
      <c r="Q1229" s="734"/>
      <c r="R1229" s="733"/>
      <c r="S1229" s="683">
        <v>0</v>
      </c>
      <c r="T1229" s="683">
        <v>0</v>
      </c>
      <c r="U1229" s="683">
        <v>0</v>
      </c>
      <c r="V1229" s="683">
        <v>0</v>
      </c>
      <c r="W1229" s="683">
        <v>0</v>
      </c>
      <c r="X1229" s="683">
        <v>0</v>
      </c>
      <c r="Y1229" s="683">
        <v>0</v>
      </c>
      <c r="Z1229" s="683">
        <v>0</v>
      </c>
      <c r="AA1229" s="683">
        <v>0</v>
      </c>
      <c r="AB1229" s="683">
        <v>0</v>
      </c>
      <c r="AC1229" s="702">
        <v>0</v>
      </c>
      <c r="AD1229" s="702">
        <v>0</v>
      </c>
      <c r="AE1229" s="736"/>
      <c r="AF1229" s="736"/>
      <c r="AG1229" s="736"/>
      <c r="AH1229" s="736"/>
      <c r="AI1229" s="736"/>
      <c r="AJ1229" s="736"/>
      <c r="AK1229" s="736"/>
      <c r="AL1229" s="736"/>
      <c r="AM1229" s="736"/>
      <c r="AN1229" s="736"/>
      <c r="AO1229" s="736"/>
      <c r="AP1229" s="736"/>
      <c r="AQ1229" s="736"/>
      <c r="AR1229" s="736"/>
      <c r="AS1229" s="736"/>
      <c r="AT1229" s="736"/>
      <c r="AU1229" s="736"/>
      <c r="AV1229" s="736"/>
      <c r="AW1229" s="736"/>
      <c r="AX1229" s="736"/>
      <c r="AY1229" s="736"/>
      <c r="AZ1229" s="736"/>
      <c r="BA1229" s="736"/>
      <c r="BB1229" s="736"/>
      <c r="BC1229" s="736"/>
      <c r="BD1229" s="736"/>
      <c r="BE1229" s="736"/>
      <c r="BF1229" s="736"/>
      <c r="BG1229" s="736"/>
      <c r="BH1229" s="736"/>
      <c r="BI1229" s="736"/>
      <c r="BJ1229" s="736"/>
      <c r="BK1229" s="736"/>
      <c r="BL1229" s="736"/>
      <c r="BM1229" s="736"/>
      <c r="BN1229" s="736"/>
      <c r="BO1229" s="736"/>
      <c r="BP1229" s="736"/>
      <c r="BQ1229" s="736"/>
      <c r="BR1229" s="736"/>
      <c r="BS1229" s="736"/>
      <c r="BT1229" s="736"/>
      <c r="BU1229" s="736"/>
      <c r="BV1229" s="736"/>
      <c r="BW1229" s="736"/>
      <c r="BX1229" s="736"/>
      <c r="BY1229" s="736"/>
      <c r="BZ1229" s="736"/>
      <c r="CA1229" s="736"/>
    </row>
    <row r="1230" spans="1:79" hidden="1" outlineLevel="1" x14ac:dyDescent="0.35">
      <c r="A1230" s="580"/>
      <c r="B1230" s="580"/>
      <c r="C1230" s="580"/>
      <c r="D1230" s="580"/>
      <c r="E1230" s="580"/>
      <c r="F1230" s="672" t="s">
        <v>886</v>
      </c>
      <c r="G1230" s="739"/>
      <c r="H1230" s="739"/>
      <c r="I1230" s="739"/>
      <c r="J1230" s="739"/>
      <c r="K1230" s="739"/>
      <c r="L1230" s="739"/>
      <c r="M1230" s="739"/>
      <c r="N1230" s="739"/>
      <c r="O1230" s="739"/>
      <c r="P1230" s="734"/>
      <c r="Q1230" s="734"/>
      <c r="R1230" s="733"/>
      <c r="S1230" s="683">
        <v>0</v>
      </c>
      <c r="T1230" s="683">
        <v>0</v>
      </c>
      <c r="U1230" s="683">
        <v>0</v>
      </c>
      <c r="V1230" s="683">
        <v>0</v>
      </c>
      <c r="W1230" s="683">
        <v>0</v>
      </c>
      <c r="X1230" s="683">
        <v>0</v>
      </c>
      <c r="Y1230" s="683">
        <v>0</v>
      </c>
      <c r="Z1230" s="683">
        <v>0</v>
      </c>
      <c r="AA1230" s="683">
        <v>0</v>
      </c>
      <c r="AB1230" s="683">
        <v>0</v>
      </c>
      <c r="AC1230" s="702">
        <v>0</v>
      </c>
      <c r="AD1230" s="702">
        <v>0</v>
      </c>
      <c r="AE1230" s="736"/>
      <c r="AF1230" s="736"/>
      <c r="AG1230" s="736"/>
      <c r="AH1230" s="736"/>
      <c r="AI1230" s="736"/>
      <c r="AJ1230" s="736"/>
      <c r="AK1230" s="736"/>
      <c r="AL1230" s="736"/>
      <c r="AM1230" s="736"/>
      <c r="AN1230" s="736"/>
      <c r="AO1230" s="736"/>
      <c r="AP1230" s="736"/>
      <c r="AQ1230" s="736"/>
      <c r="AR1230" s="736"/>
      <c r="AS1230" s="736"/>
      <c r="AT1230" s="736"/>
      <c r="AU1230" s="736"/>
      <c r="AV1230" s="736"/>
      <c r="AW1230" s="736"/>
      <c r="AX1230" s="736"/>
      <c r="AY1230" s="736"/>
      <c r="AZ1230" s="736"/>
      <c r="BA1230" s="736"/>
      <c r="BB1230" s="736"/>
      <c r="BC1230" s="736"/>
      <c r="BD1230" s="736"/>
      <c r="BE1230" s="736"/>
      <c r="BF1230" s="736"/>
      <c r="BG1230" s="736"/>
      <c r="BH1230" s="736"/>
      <c r="BI1230" s="736"/>
      <c r="BJ1230" s="736"/>
      <c r="BK1230" s="736"/>
      <c r="BL1230" s="736"/>
      <c r="BM1230" s="736"/>
      <c r="BN1230" s="736"/>
      <c r="BO1230" s="736"/>
      <c r="BP1230" s="736"/>
      <c r="BQ1230" s="736"/>
      <c r="BR1230" s="736"/>
      <c r="BS1230" s="736"/>
      <c r="BT1230" s="736"/>
      <c r="BU1230" s="736"/>
      <c r="BV1230" s="736"/>
      <c r="BW1230" s="736"/>
      <c r="BX1230" s="736"/>
      <c r="BY1230" s="736"/>
      <c r="BZ1230" s="736"/>
      <c r="CA1230" s="736"/>
    </row>
    <row r="1231" spans="1:79" hidden="1" outlineLevel="1" x14ac:dyDescent="0.35">
      <c r="A1231" s="580"/>
      <c r="B1231" s="580"/>
      <c r="C1231" s="580"/>
      <c r="D1231" s="580"/>
      <c r="E1231" s="580"/>
      <c r="F1231" s="672" t="s">
        <v>664</v>
      </c>
      <c r="G1231" s="739"/>
      <c r="H1231" s="739"/>
      <c r="I1231" s="739"/>
      <c r="J1231" s="739"/>
      <c r="K1231" s="739"/>
      <c r="L1231" s="739"/>
      <c r="M1231" s="739"/>
      <c r="N1231" s="739"/>
      <c r="O1231" s="739"/>
      <c r="P1231" s="734"/>
      <c r="Q1231" s="734"/>
      <c r="R1231" s="733"/>
      <c r="S1231" s="683">
        <v>1557.75</v>
      </c>
      <c r="T1231" s="683">
        <v>1407</v>
      </c>
      <c r="U1231" s="683">
        <v>1557.75</v>
      </c>
      <c r="V1231" s="683">
        <v>1507.5</v>
      </c>
      <c r="W1231" s="683">
        <v>1557.75</v>
      </c>
      <c r="X1231" s="683">
        <v>1507.5</v>
      </c>
      <c r="Y1231" s="683">
        <v>1557.75</v>
      </c>
      <c r="Z1231" s="683">
        <v>1557.75</v>
      </c>
      <c r="AA1231" s="683">
        <v>1507.5</v>
      </c>
      <c r="AB1231" s="683">
        <v>1557.75</v>
      </c>
      <c r="AC1231" s="702">
        <v>1507.5</v>
      </c>
      <c r="AD1231" s="702">
        <v>1560.25</v>
      </c>
      <c r="AE1231" s="736"/>
      <c r="AF1231" s="736"/>
      <c r="AG1231" s="736"/>
      <c r="AH1231" s="736"/>
      <c r="AI1231" s="736"/>
      <c r="AJ1231" s="736"/>
      <c r="AK1231" s="736"/>
      <c r="AL1231" s="736"/>
      <c r="AM1231" s="736"/>
      <c r="AN1231" s="736"/>
      <c r="AO1231" s="736"/>
      <c r="AP1231" s="736"/>
      <c r="AQ1231" s="736"/>
      <c r="AR1231" s="736"/>
      <c r="AS1231" s="736"/>
      <c r="AT1231" s="736"/>
      <c r="AU1231" s="736"/>
      <c r="AV1231" s="736"/>
      <c r="AW1231" s="736"/>
      <c r="AX1231" s="736"/>
      <c r="AY1231" s="736"/>
      <c r="AZ1231" s="736"/>
      <c r="BA1231" s="736"/>
      <c r="BB1231" s="736"/>
      <c r="BC1231" s="736"/>
      <c r="BD1231" s="736"/>
      <c r="BE1231" s="736"/>
      <c r="BF1231" s="736"/>
      <c r="BG1231" s="736"/>
      <c r="BH1231" s="736"/>
      <c r="BI1231" s="736"/>
      <c r="BJ1231" s="736"/>
      <c r="BK1231" s="736"/>
      <c r="BL1231" s="736"/>
      <c r="BM1231" s="736"/>
      <c r="BN1231" s="736"/>
      <c r="BO1231" s="736"/>
      <c r="BP1231" s="736"/>
      <c r="BQ1231" s="736"/>
      <c r="BR1231" s="736"/>
      <c r="BS1231" s="736"/>
      <c r="BT1231" s="736"/>
      <c r="BU1231" s="736"/>
      <c r="BV1231" s="736"/>
      <c r="BW1231" s="736"/>
      <c r="BX1231" s="736"/>
      <c r="BY1231" s="736"/>
      <c r="BZ1231" s="736"/>
      <c r="CA1231" s="736"/>
    </row>
    <row r="1232" spans="1:79" s="757" customFormat="1" hidden="1" outlineLevel="1" x14ac:dyDescent="0.35">
      <c r="A1232" s="80"/>
      <c r="B1232" s="80"/>
      <c r="C1232" s="80"/>
      <c r="D1232" s="80"/>
      <c r="E1232" s="80"/>
      <c r="F1232" s="672" t="s">
        <v>665</v>
      </c>
      <c r="G1232" s="739"/>
      <c r="H1232" s="739"/>
      <c r="I1232" s="739"/>
      <c r="J1232" s="739"/>
      <c r="K1232" s="739"/>
      <c r="L1232" s="739"/>
      <c r="M1232" s="739"/>
      <c r="N1232" s="739"/>
      <c r="O1232" s="739"/>
      <c r="P1232" s="734"/>
      <c r="Q1232" s="734"/>
      <c r="R1232" s="733"/>
      <c r="S1232" s="683">
        <v>324.57</v>
      </c>
      <c r="T1232" s="683">
        <v>293.16000000000003</v>
      </c>
      <c r="U1232" s="683">
        <v>324.57</v>
      </c>
      <c r="V1232" s="683">
        <v>390.73</v>
      </c>
      <c r="W1232" s="683">
        <v>324.57</v>
      </c>
      <c r="X1232" s="683">
        <v>4384.1000000000004</v>
      </c>
      <c r="Y1232" s="683">
        <v>663.74</v>
      </c>
      <c r="Z1232" s="683">
        <v>663.73</v>
      </c>
      <c r="AA1232" s="683">
        <v>653.27</v>
      </c>
      <c r="AB1232" s="683">
        <v>663.74</v>
      </c>
      <c r="AC1232" s="702">
        <v>653.26</v>
      </c>
      <c r="AD1232" s="702">
        <v>663.66</v>
      </c>
      <c r="AE1232" s="736"/>
      <c r="AF1232" s="736"/>
      <c r="AG1232" s="736"/>
      <c r="AH1232" s="736"/>
      <c r="AI1232" s="736"/>
      <c r="AJ1232" s="736"/>
      <c r="AK1232" s="736"/>
      <c r="AL1232" s="736"/>
      <c r="AM1232" s="736"/>
      <c r="AN1232" s="736"/>
      <c r="AO1232" s="736"/>
      <c r="AP1232" s="736"/>
      <c r="AQ1232" s="736"/>
      <c r="AR1232" s="736"/>
      <c r="AS1232" s="736"/>
      <c r="AT1232" s="736"/>
      <c r="AU1232" s="736"/>
      <c r="AV1232" s="736"/>
      <c r="AW1232" s="736"/>
      <c r="AX1232" s="736"/>
      <c r="AY1232" s="736"/>
      <c r="AZ1232" s="736"/>
      <c r="BA1232" s="736"/>
      <c r="BB1232" s="736"/>
      <c r="BC1232" s="736"/>
      <c r="BD1232" s="736"/>
      <c r="BE1232" s="736"/>
      <c r="BF1232" s="736"/>
      <c r="BG1232" s="736"/>
      <c r="BH1232" s="736"/>
      <c r="BI1232" s="736"/>
      <c r="BJ1232" s="736"/>
      <c r="BK1232" s="736"/>
      <c r="BL1232" s="736"/>
      <c r="BM1232" s="736"/>
      <c r="BN1232" s="736"/>
      <c r="BO1232" s="736"/>
      <c r="BP1232" s="736"/>
      <c r="BQ1232" s="736"/>
      <c r="BR1232" s="736"/>
      <c r="BS1232" s="736"/>
      <c r="BT1232" s="736"/>
      <c r="BU1232" s="736"/>
      <c r="BV1232" s="736"/>
      <c r="BW1232" s="736"/>
      <c r="BX1232" s="736"/>
      <c r="BY1232" s="736"/>
      <c r="BZ1232" s="736"/>
      <c r="CA1232" s="736"/>
    </row>
    <row r="1233" spans="1:79" s="757" customFormat="1" hidden="1" outlineLevel="1" x14ac:dyDescent="0.35">
      <c r="A1233" s="580"/>
      <c r="B1233" s="580"/>
      <c r="C1233" s="580"/>
      <c r="D1233" s="580"/>
      <c r="E1233" s="580"/>
      <c r="F1233" s="672" t="s">
        <v>887</v>
      </c>
      <c r="G1233" s="739"/>
      <c r="H1233" s="739"/>
      <c r="I1233" s="739"/>
      <c r="J1233" s="739"/>
      <c r="K1233" s="739"/>
      <c r="L1233" s="739"/>
      <c r="M1233" s="739"/>
      <c r="N1233" s="739"/>
      <c r="O1233" s="739"/>
      <c r="P1233" s="734"/>
      <c r="Q1233" s="734"/>
      <c r="R1233" s="733"/>
      <c r="S1233" s="683">
        <v>0</v>
      </c>
      <c r="T1233" s="683">
        <v>0</v>
      </c>
      <c r="U1233" s="683">
        <v>0</v>
      </c>
      <c r="V1233" s="683">
        <v>0</v>
      </c>
      <c r="W1233" s="683">
        <v>0</v>
      </c>
      <c r="X1233" s="683">
        <v>0</v>
      </c>
      <c r="Y1233" s="683">
        <v>0</v>
      </c>
      <c r="Z1233" s="683">
        <v>0</v>
      </c>
      <c r="AA1233" s="683">
        <v>0</v>
      </c>
      <c r="AB1233" s="683">
        <v>0</v>
      </c>
      <c r="AC1233" s="702">
        <v>0</v>
      </c>
      <c r="AD1233" s="702">
        <v>0</v>
      </c>
      <c r="AE1233" s="736"/>
      <c r="AF1233" s="736"/>
      <c r="AG1233" s="736"/>
      <c r="AH1233" s="736"/>
      <c r="AI1233" s="736"/>
      <c r="AJ1233" s="736"/>
      <c r="AK1233" s="736"/>
      <c r="AL1233" s="736"/>
      <c r="AM1233" s="736"/>
      <c r="AN1233" s="736"/>
      <c r="AO1233" s="736"/>
      <c r="AP1233" s="736"/>
      <c r="AQ1233" s="736"/>
      <c r="AR1233" s="736"/>
      <c r="AS1233" s="736"/>
      <c r="AT1233" s="736"/>
      <c r="AU1233" s="736"/>
      <c r="AV1233" s="736"/>
      <c r="AW1233" s="736"/>
      <c r="AX1233" s="736"/>
      <c r="AY1233" s="736"/>
      <c r="AZ1233" s="736"/>
      <c r="BA1233" s="736"/>
      <c r="BB1233" s="736"/>
      <c r="BC1233" s="736"/>
      <c r="BD1233" s="736"/>
      <c r="BE1233" s="736"/>
      <c r="BF1233" s="736"/>
      <c r="BG1233" s="736"/>
      <c r="BH1233" s="736"/>
      <c r="BI1233" s="736"/>
      <c r="BJ1233" s="736"/>
      <c r="BK1233" s="736"/>
      <c r="BL1233" s="736"/>
      <c r="BM1233" s="736"/>
      <c r="BN1233" s="736"/>
      <c r="BO1233" s="736"/>
      <c r="BP1233" s="736"/>
      <c r="BQ1233" s="736"/>
      <c r="BR1233" s="736"/>
      <c r="BS1233" s="736"/>
      <c r="BT1233" s="736"/>
      <c r="BU1233" s="736"/>
      <c r="BV1233" s="736"/>
      <c r="BW1233" s="736"/>
      <c r="BX1233" s="736"/>
      <c r="BY1233" s="736"/>
      <c r="BZ1233" s="736"/>
      <c r="CA1233" s="736"/>
    </row>
    <row r="1234" spans="1:79" s="757" customFormat="1" hidden="1" outlineLevel="1" x14ac:dyDescent="0.35">
      <c r="A1234" s="80"/>
      <c r="B1234" s="80"/>
      <c r="C1234" s="80"/>
      <c r="D1234" s="80"/>
      <c r="E1234" s="80"/>
      <c r="F1234" s="672" t="s">
        <v>666</v>
      </c>
      <c r="G1234" s="739"/>
      <c r="H1234" s="739"/>
      <c r="I1234" s="739"/>
      <c r="J1234" s="739"/>
      <c r="K1234" s="739"/>
      <c r="L1234" s="739"/>
      <c r="M1234" s="739"/>
      <c r="N1234" s="739"/>
      <c r="O1234" s="739"/>
      <c r="P1234" s="734"/>
      <c r="Q1234" s="734"/>
      <c r="R1234" s="733"/>
      <c r="S1234" s="683">
        <v>351.54</v>
      </c>
      <c r="T1234" s="683">
        <v>317.52</v>
      </c>
      <c r="U1234" s="683">
        <v>351.54</v>
      </c>
      <c r="V1234" s="683">
        <v>340.2</v>
      </c>
      <c r="W1234" s="683">
        <v>351.54</v>
      </c>
      <c r="X1234" s="683">
        <v>340.2</v>
      </c>
      <c r="Y1234" s="683">
        <v>351.54</v>
      </c>
      <c r="Z1234" s="683">
        <v>351.54</v>
      </c>
      <c r="AA1234" s="683">
        <v>340.2</v>
      </c>
      <c r="AB1234" s="683">
        <v>351.54</v>
      </c>
      <c r="AC1234" s="702">
        <v>340.2</v>
      </c>
      <c r="AD1234" s="702">
        <v>351.91</v>
      </c>
      <c r="AE1234" s="736"/>
      <c r="AF1234" s="736"/>
      <c r="AG1234" s="736"/>
      <c r="AH1234" s="736"/>
      <c r="AI1234" s="736"/>
      <c r="AJ1234" s="736"/>
      <c r="AK1234" s="736"/>
      <c r="AL1234" s="736"/>
      <c r="AM1234" s="736"/>
      <c r="AN1234" s="736"/>
      <c r="AO1234" s="736"/>
      <c r="AP1234" s="736"/>
      <c r="AQ1234" s="736"/>
      <c r="AR1234" s="736"/>
      <c r="AS1234" s="736"/>
      <c r="AT1234" s="736"/>
      <c r="AU1234" s="736"/>
      <c r="AV1234" s="736"/>
      <c r="AW1234" s="736"/>
      <c r="AX1234" s="736"/>
      <c r="AY1234" s="736"/>
      <c r="AZ1234" s="736"/>
      <c r="BA1234" s="736"/>
      <c r="BB1234" s="736"/>
      <c r="BC1234" s="736"/>
      <c r="BD1234" s="736"/>
      <c r="BE1234" s="736"/>
      <c r="BF1234" s="736"/>
      <c r="BG1234" s="736"/>
      <c r="BH1234" s="736"/>
      <c r="BI1234" s="736"/>
      <c r="BJ1234" s="736"/>
      <c r="BK1234" s="736"/>
      <c r="BL1234" s="736"/>
      <c r="BM1234" s="736"/>
      <c r="BN1234" s="736"/>
      <c r="BO1234" s="736"/>
      <c r="BP1234" s="736"/>
      <c r="BQ1234" s="736"/>
      <c r="BR1234" s="736"/>
      <c r="BS1234" s="736"/>
      <c r="BT1234" s="736"/>
      <c r="BU1234" s="736"/>
      <c r="BV1234" s="736"/>
      <c r="BW1234" s="736"/>
      <c r="BX1234" s="736"/>
      <c r="BY1234" s="736"/>
      <c r="BZ1234" s="736"/>
      <c r="CA1234" s="736"/>
    </row>
    <row r="1235" spans="1:79" s="452" customFormat="1" hidden="1" outlineLevel="1" x14ac:dyDescent="0.35">
      <c r="A1235" s="80"/>
      <c r="B1235" s="80"/>
      <c r="C1235" s="80"/>
      <c r="D1235" s="80"/>
      <c r="E1235" s="80"/>
      <c r="F1235" s="676" t="s">
        <v>667</v>
      </c>
      <c r="G1235" s="739"/>
      <c r="H1235" s="739"/>
      <c r="I1235" s="739"/>
      <c r="J1235" s="739"/>
      <c r="K1235" s="739"/>
      <c r="L1235" s="739"/>
      <c r="M1235" s="739"/>
      <c r="N1235" s="739"/>
      <c r="O1235" s="739"/>
      <c r="P1235" s="734"/>
      <c r="Q1235" s="734"/>
      <c r="R1235" s="733"/>
      <c r="S1235" s="683">
        <v>191.89</v>
      </c>
      <c r="T1235" s="683">
        <v>234.64</v>
      </c>
      <c r="U1235" s="683">
        <v>259.77999999999997</v>
      </c>
      <c r="V1235" s="683">
        <v>551.4</v>
      </c>
      <c r="W1235" s="683">
        <v>1242.81</v>
      </c>
      <c r="X1235" s="683">
        <v>1234.43</v>
      </c>
      <c r="Y1235" s="683">
        <v>632.12</v>
      </c>
      <c r="Z1235" s="683">
        <v>0</v>
      </c>
      <c r="AA1235" s="683">
        <v>-201.34</v>
      </c>
      <c r="AB1235" s="683">
        <v>0</v>
      </c>
      <c r="AC1235" s="702">
        <v>0</v>
      </c>
      <c r="AD1235" s="702">
        <v>0</v>
      </c>
      <c r="AE1235" s="736"/>
      <c r="AF1235" s="736"/>
      <c r="AG1235" s="736"/>
      <c r="AH1235" s="736"/>
      <c r="AI1235" s="736"/>
      <c r="AJ1235" s="736"/>
      <c r="AK1235" s="736"/>
      <c r="AL1235" s="736"/>
      <c r="AM1235" s="736"/>
      <c r="AN1235" s="736"/>
      <c r="AO1235" s="736"/>
      <c r="AP1235" s="736"/>
      <c r="AQ1235" s="736"/>
      <c r="AR1235" s="736"/>
      <c r="AS1235" s="736"/>
      <c r="AT1235" s="736"/>
      <c r="AU1235" s="736"/>
      <c r="AV1235" s="736"/>
      <c r="AW1235" s="736"/>
      <c r="AX1235" s="736"/>
      <c r="AY1235" s="736"/>
      <c r="AZ1235" s="736"/>
      <c r="BA1235" s="736"/>
      <c r="BB1235" s="736"/>
      <c r="BC1235" s="736"/>
      <c r="BD1235" s="736"/>
      <c r="BE1235" s="736"/>
      <c r="BF1235" s="736"/>
      <c r="BG1235" s="736"/>
      <c r="BH1235" s="736"/>
      <c r="BI1235" s="736"/>
      <c r="BJ1235" s="736"/>
      <c r="BK1235" s="736"/>
      <c r="BL1235" s="736"/>
      <c r="BM1235" s="736"/>
      <c r="BN1235" s="736"/>
      <c r="BO1235" s="736"/>
      <c r="BP1235" s="736"/>
      <c r="BQ1235" s="736"/>
      <c r="BR1235" s="736"/>
      <c r="BS1235" s="736"/>
      <c r="BT1235" s="736"/>
      <c r="BU1235" s="736"/>
      <c r="BV1235" s="736"/>
      <c r="BW1235" s="736"/>
      <c r="BX1235" s="736"/>
      <c r="BY1235" s="736"/>
      <c r="BZ1235" s="736"/>
      <c r="CA1235" s="736"/>
    </row>
    <row r="1236" spans="1:79" s="452" customFormat="1" hidden="1" outlineLevel="1" x14ac:dyDescent="0.35">
      <c r="A1236" s="580"/>
      <c r="B1236" s="580"/>
      <c r="C1236" s="580"/>
      <c r="D1236" s="580"/>
      <c r="E1236" s="580"/>
      <c r="F1236" s="672" t="s">
        <v>888</v>
      </c>
      <c r="G1236" s="735">
        <v>383</v>
      </c>
      <c r="H1236" s="735">
        <v>0</v>
      </c>
      <c r="I1236" s="735">
        <v>0</v>
      </c>
      <c r="J1236" s="735">
        <v>-1428</v>
      </c>
      <c r="K1236" s="735">
        <v>0</v>
      </c>
      <c r="L1236" s="735">
        <v>759</v>
      </c>
      <c r="M1236" s="735">
        <v>4636.9799999999996</v>
      </c>
      <c r="N1236" s="735">
        <v>0</v>
      </c>
      <c r="O1236" s="735">
        <v>1142.22</v>
      </c>
      <c r="P1236" s="734">
        <v>541.25</v>
      </c>
      <c r="Q1236" s="734">
        <v>0</v>
      </c>
      <c r="R1236" s="733">
        <v>3414.73</v>
      </c>
      <c r="S1236" s="683">
        <v>0</v>
      </c>
      <c r="T1236" s="683">
        <v>0</v>
      </c>
      <c r="U1236" s="683">
        <v>0</v>
      </c>
      <c r="V1236" s="683">
        <v>0</v>
      </c>
      <c r="W1236" s="683">
        <v>0</v>
      </c>
      <c r="X1236" s="683">
        <v>0</v>
      </c>
      <c r="Y1236" s="683">
        <v>0</v>
      </c>
      <c r="Z1236" s="683">
        <v>0</v>
      </c>
      <c r="AA1236" s="683">
        <v>0</v>
      </c>
      <c r="AB1236" s="683">
        <v>0</v>
      </c>
      <c r="AC1236" s="702">
        <v>0</v>
      </c>
      <c r="AD1236" s="702">
        <v>0</v>
      </c>
      <c r="AE1236" s="736"/>
      <c r="AF1236" s="736"/>
      <c r="AG1236" s="736"/>
      <c r="AH1236" s="736"/>
      <c r="AI1236" s="736"/>
      <c r="AJ1236" s="736"/>
      <c r="AK1236" s="736"/>
      <c r="AL1236" s="736"/>
      <c r="AM1236" s="736"/>
      <c r="AN1236" s="736"/>
      <c r="AO1236" s="736"/>
      <c r="AP1236" s="736"/>
      <c r="AQ1236" s="736"/>
      <c r="AR1236" s="736"/>
      <c r="AS1236" s="736"/>
      <c r="AT1236" s="736"/>
      <c r="AU1236" s="736"/>
      <c r="AV1236" s="736"/>
      <c r="AW1236" s="736"/>
      <c r="AX1236" s="736"/>
      <c r="AY1236" s="736"/>
      <c r="AZ1236" s="736"/>
      <c r="BA1236" s="736"/>
      <c r="BB1236" s="736"/>
      <c r="BC1236" s="736"/>
      <c r="BD1236" s="736"/>
      <c r="BE1236" s="736"/>
      <c r="BF1236" s="736"/>
      <c r="BG1236" s="736"/>
      <c r="BH1236" s="736"/>
      <c r="BI1236" s="736"/>
      <c r="BJ1236" s="736"/>
      <c r="BK1236" s="736"/>
      <c r="BL1236" s="736"/>
      <c r="BM1236" s="736"/>
      <c r="BN1236" s="736"/>
      <c r="BO1236" s="736"/>
      <c r="BP1236" s="736"/>
      <c r="BQ1236" s="736"/>
      <c r="BR1236" s="736"/>
      <c r="BS1236" s="736"/>
      <c r="BT1236" s="736"/>
      <c r="BU1236" s="736"/>
      <c r="BV1236" s="736"/>
      <c r="BW1236" s="736"/>
      <c r="BX1236" s="736"/>
      <c r="BY1236" s="736"/>
      <c r="BZ1236" s="736"/>
      <c r="CA1236" s="736"/>
    </row>
    <row r="1237" spans="1:79" s="452" customFormat="1" hidden="1" outlineLevel="1" x14ac:dyDescent="0.35">
      <c r="A1237" s="30"/>
      <c r="B1237" s="30"/>
      <c r="C1237" s="30"/>
      <c r="D1237" s="30"/>
      <c r="E1237" s="30"/>
      <c r="F1237" s="673" t="s">
        <v>668</v>
      </c>
      <c r="G1237" s="680">
        <f>SUM(G1228:G1236)</f>
        <v>383</v>
      </c>
      <c r="H1237" s="680">
        <f t="shared" ref="H1237:BO1237" si="482">SUM(H1228:H1236)</f>
        <v>0</v>
      </c>
      <c r="I1237" s="680">
        <f t="shared" si="482"/>
        <v>0</v>
      </c>
      <c r="J1237" s="680">
        <f t="shared" si="482"/>
        <v>-1428</v>
      </c>
      <c r="K1237" s="680">
        <f t="shared" si="482"/>
        <v>0</v>
      </c>
      <c r="L1237" s="680">
        <f t="shared" si="482"/>
        <v>759</v>
      </c>
      <c r="M1237" s="680">
        <f t="shared" si="482"/>
        <v>4636.9799999999996</v>
      </c>
      <c r="N1237" s="680">
        <f t="shared" si="482"/>
        <v>0</v>
      </c>
      <c r="O1237" s="680">
        <f t="shared" si="482"/>
        <v>1142.22</v>
      </c>
      <c r="P1237" s="680">
        <f t="shared" si="482"/>
        <v>541.25</v>
      </c>
      <c r="Q1237" s="680">
        <f t="shared" si="482"/>
        <v>0</v>
      </c>
      <c r="R1237" s="680">
        <f t="shared" si="482"/>
        <v>3414.73</v>
      </c>
      <c r="S1237" s="694">
        <f t="shared" ref="S1237:AA1237" si="483">ROUND(SUM(S1227:S1236),5)</f>
        <v>2425.75</v>
      </c>
      <c r="T1237" s="694">
        <f t="shared" si="483"/>
        <v>2252.3200000000002</v>
      </c>
      <c r="U1237" s="694">
        <f t="shared" si="483"/>
        <v>2493.64</v>
      </c>
      <c r="V1237" s="694">
        <f t="shared" si="483"/>
        <v>2789.83</v>
      </c>
      <c r="W1237" s="694">
        <f t="shared" si="483"/>
        <v>3476.67</v>
      </c>
      <c r="X1237" s="694">
        <f t="shared" si="483"/>
        <v>7466.23</v>
      </c>
      <c r="Y1237" s="694">
        <f t="shared" si="483"/>
        <v>3205.15</v>
      </c>
      <c r="Z1237" s="694">
        <f t="shared" si="483"/>
        <v>2573.02</v>
      </c>
      <c r="AA1237" s="694">
        <f t="shared" si="483"/>
        <v>2299.63</v>
      </c>
      <c r="AB1237" s="694">
        <f>ROUND(SUM(AB1227:AB1236),5)</f>
        <v>2573.0300000000002</v>
      </c>
      <c r="AC1237" s="694">
        <f>ROUND(SUM(AC1227:AC1236),5)</f>
        <v>2500.96</v>
      </c>
      <c r="AD1237" s="694">
        <f>ROUND(SUM(AD1227:AD1236),5)</f>
        <v>2575.8200000000002</v>
      </c>
      <c r="AE1237" s="680">
        <f t="shared" si="482"/>
        <v>0</v>
      </c>
      <c r="AF1237" s="680">
        <f t="shared" si="482"/>
        <v>0</v>
      </c>
      <c r="AG1237" s="680">
        <f t="shared" si="482"/>
        <v>0</v>
      </c>
      <c r="AH1237" s="680">
        <f t="shared" si="482"/>
        <v>0</v>
      </c>
      <c r="AI1237" s="680">
        <f t="shared" si="482"/>
        <v>0</v>
      </c>
      <c r="AJ1237" s="680">
        <f t="shared" si="482"/>
        <v>0</v>
      </c>
      <c r="AK1237" s="680">
        <f t="shared" si="482"/>
        <v>0</v>
      </c>
      <c r="AL1237" s="680">
        <f t="shared" si="482"/>
        <v>0</v>
      </c>
      <c r="AM1237" s="680">
        <f t="shared" si="482"/>
        <v>0</v>
      </c>
      <c r="AN1237" s="680">
        <f t="shared" si="482"/>
        <v>0</v>
      </c>
      <c r="AO1237" s="680">
        <f t="shared" si="482"/>
        <v>0</v>
      </c>
      <c r="AP1237" s="680">
        <f t="shared" si="482"/>
        <v>0</v>
      </c>
      <c r="AQ1237" s="680">
        <f t="shared" si="482"/>
        <v>0</v>
      </c>
      <c r="AR1237" s="680">
        <f t="shared" si="482"/>
        <v>0</v>
      </c>
      <c r="AS1237" s="680">
        <f t="shared" si="482"/>
        <v>0</v>
      </c>
      <c r="AT1237" s="680">
        <f t="shared" si="482"/>
        <v>0</v>
      </c>
      <c r="AU1237" s="680">
        <f t="shared" si="482"/>
        <v>0</v>
      </c>
      <c r="AV1237" s="680">
        <f t="shared" si="482"/>
        <v>0</v>
      </c>
      <c r="AW1237" s="680">
        <f t="shared" si="482"/>
        <v>0</v>
      </c>
      <c r="AX1237" s="680">
        <f t="shared" si="482"/>
        <v>0</v>
      </c>
      <c r="AY1237" s="680">
        <f t="shared" si="482"/>
        <v>0</v>
      </c>
      <c r="AZ1237" s="680">
        <f t="shared" si="482"/>
        <v>0</v>
      </c>
      <c r="BA1237" s="680">
        <f t="shared" si="482"/>
        <v>0</v>
      </c>
      <c r="BB1237" s="680">
        <f t="shared" si="482"/>
        <v>0</v>
      </c>
      <c r="BC1237" s="680">
        <f t="shared" si="482"/>
        <v>0</v>
      </c>
      <c r="BD1237" s="680">
        <f t="shared" si="482"/>
        <v>0</v>
      </c>
      <c r="BE1237" s="680">
        <f t="shared" si="482"/>
        <v>0</v>
      </c>
      <c r="BF1237" s="680">
        <f t="shared" si="482"/>
        <v>0</v>
      </c>
      <c r="BG1237" s="680">
        <f t="shared" si="482"/>
        <v>0</v>
      </c>
      <c r="BH1237" s="680">
        <f t="shared" si="482"/>
        <v>0</v>
      </c>
      <c r="BI1237" s="680">
        <f t="shared" si="482"/>
        <v>0</v>
      </c>
      <c r="BJ1237" s="680">
        <f t="shared" si="482"/>
        <v>0</v>
      </c>
      <c r="BK1237" s="680">
        <f t="shared" si="482"/>
        <v>0</v>
      </c>
      <c r="BL1237" s="680">
        <f t="shared" si="482"/>
        <v>0</v>
      </c>
      <c r="BM1237" s="680">
        <f t="shared" si="482"/>
        <v>0</v>
      </c>
      <c r="BN1237" s="680">
        <f t="shared" si="482"/>
        <v>0</v>
      </c>
      <c r="BO1237" s="680">
        <f t="shared" si="482"/>
        <v>0</v>
      </c>
      <c r="BP1237" s="680">
        <f t="shared" ref="BP1237:CA1237" si="484">SUM(BP1228:BP1236)</f>
        <v>0</v>
      </c>
      <c r="BQ1237" s="680">
        <f t="shared" si="484"/>
        <v>0</v>
      </c>
      <c r="BR1237" s="680">
        <f t="shared" si="484"/>
        <v>0</v>
      </c>
      <c r="BS1237" s="680">
        <f t="shared" si="484"/>
        <v>0</v>
      </c>
      <c r="BT1237" s="680">
        <f t="shared" si="484"/>
        <v>0</v>
      </c>
      <c r="BU1237" s="680">
        <f t="shared" si="484"/>
        <v>0</v>
      </c>
      <c r="BV1237" s="680">
        <f t="shared" si="484"/>
        <v>0</v>
      </c>
      <c r="BW1237" s="680">
        <f t="shared" si="484"/>
        <v>0</v>
      </c>
      <c r="BX1237" s="680">
        <f t="shared" si="484"/>
        <v>0</v>
      </c>
      <c r="BY1237" s="680">
        <f t="shared" si="484"/>
        <v>0</v>
      </c>
      <c r="BZ1237" s="680">
        <f t="shared" si="484"/>
        <v>0</v>
      </c>
      <c r="CA1237" s="680">
        <f t="shared" si="484"/>
        <v>0</v>
      </c>
    </row>
    <row r="1238" spans="1:79" s="452" customFormat="1" hidden="1" outlineLevel="1" x14ac:dyDescent="0.35">
      <c r="A1238" s="438"/>
      <c r="B1238" s="438"/>
      <c r="C1238" s="438"/>
      <c r="D1238" s="438"/>
      <c r="E1238" s="438"/>
      <c r="F1238" s="671" t="s">
        <v>669</v>
      </c>
      <c r="G1238" s="732">
        <v>54</v>
      </c>
      <c r="H1238" s="732">
        <v>54</v>
      </c>
      <c r="I1238" s="732">
        <v>54</v>
      </c>
      <c r="J1238" s="732">
        <v>54</v>
      </c>
      <c r="K1238" s="732">
        <v>54</v>
      </c>
      <c r="L1238" s="732">
        <v>54</v>
      </c>
      <c r="M1238" s="732">
        <v>54</v>
      </c>
      <c r="N1238" s="732">
        <v>54</v>
      </c>
      <c r="O1238" s="732">
        <v>54</v>
      </c>
      <c r="P1238" s="732">
        <v>54</v>
      </c>
      <c r="Q1238" s="732">
        <v>54</v>
      </c>
      <c r="R1238" s="736">
        <v>3304.45</v>
      </c>
      <c r="S1238" s="683">
        <v>0</v>
      </c>
      <c r="T1238" s="683">
        <v>54</v>
      </c>
      <c r="U1238" s="683">
        <v>54</v>
      </c>
      <c r="V1238" s="683">
        <v>54</v>
      </c>
      <c r="W1238" s="683">
        <v>54</v>
      </c>
      <c r="X1238" s="683">
        <v>0</v>
      </c>
      <c r="Y1238" s="683">
        <v>0</v>
      </c>
      <c r="Z1238" s="683">
        <v>378.14</v>
      </c>
      <c r="AA1238" s="683">
        <v>0</v>
      </c>
      <c r="AB1238" s="683">
        <v>0</v>
      </c>
      <c r="AC1238" s="702">
        <v>0</v>
      </c>
      <c r="AD1238" s="702">
        <v>0</v>
      </c>
      <c r="AE1238" s="736"/>
      <c r="AF1238" s="736"/>
      <c r="AG1238" s="736"/>
      <c r="AH1238" s="736"/>
      <c r="AI1238" s="736"/>
      <c r="AJ1238" s="736"/>
      <c r="AK1238" s="736"/>
      <c r="AL1238" s="736"/>
      <c r="AM1238" s="736"/>
      <c r="AN1238" s="736"/>
      <c r="AO1238" s="736"/>
      <c r="AP1238" s="736"/>
      <c r="AQ1238" s="736"/>
      <c r="AR1238" s="736"/>
      <c r="AS1238" s="736"/>
      <c r="AT1238" s="736"/>
      <c r="AU1238" s="736"/>
      <c r="AV1238" s="736"/>
      <c r="AW1238" s="736"/>
      <c r="AX1238" s="736"/>
      <c r="AY1238" s="736"/>
      <c r="AZ1238" s="736"/>
      <c r="BA1238" s="736"/>
      <c r="BB1238" s="736"/>
      <c r="BC1238" s="736"/>
      <c r="BD1238" s="736"/>
      <c r="BE1238" s="736"/>
      <c r="BF1238" s="736"/>
      <c r="BG1238" s="736"/>
      <c r="BH1238" s="736"/>
      <c r="BI1238" s="736"/>
      <c r="BJ1238" s="736"/>
      <c r="BK1238" s="736"/>
      <c r="BL1238" s="736"/>
      <c r="BM1238" s="736"/>
      <c r="BN1238" s="736"/>
      <c r="BO1238" s="736"/>
      <c r="BP1238" s="736"/>
      <c r="BQ1238" s="736"/>
      <c r="BR1238" s="736"/>
      <c r="BS1238" s="736"/>
      <c r="BT1238" s="736"/>
      <c r="BU1238" s="736"/>
      <c r="BV1238" s="736"/>
      <c r="BW1238" s="736"/>
      <c r="BX1238" s="736"/>
      <c r="BY1238" s="736"/>
      <c r="BZ1238" s="736"/>
      <c r="CA1238" s="736"/>
    </row>
    <row r="1239" spans="1:79" s="754" customFormat="1" hidden="1" outlineLevel="1" x14ac:dyDescent="0.35">
      <c r="A1239" s="716"/>
      <c r="B1239" s="716"/>
      <c r="C1239" s="716"/>
      <c r="D1239" s="716"/>
      <c r="E1239" s="716"/>
      <c r="F1239" s="717" t="s">
        <v>597</v>
      </c>
      <c r="G1239" s="753"/>
      <c r="H1239" s="753"/>
      <c r="I1239" s="753"/>
      <c r="J1239" s="753"/>
      <c r="K1239" s="753"/>
      <c r="L1239" s="753"/>
      <c r="M1239" s="753"/>
      <c r="N1239" s="753"/>
      <c r="O1239" s="753"/>
      <c r="P1239" s="753"/>
      <c r="Q1239" s="753"/>
      <c r="R1239" s="779"/>
      <c r="S1239" s="713"/>
      <c r="T1239" s="713"/>
      <c r="U1239" s="713"/>
      <c r="V1239" s="713"/>
      <c r="W1239" s="713"/>
      <c r="X1239" s="713"/>
      <c r="Y1239" s="713"/>
      <c r="Z1239" s="713"/>
      <c r="AA1239" s="713"/>
      <c r="AB1239" s="713"/>
      <c r="AC1239" s="721"/>
      <c r="AD1239" s="721"/>
      <c r="AE1239" s="752"/>
      <c r="AF1239" s="752"/>
      <c r="AG1239" s="752"/>
      <c r="AH1239" s="752"/>
      <c r="AI1239" s="752"/>
      <c r="AJ1239" s="752"/>
      <c r="AK1239" s="752"/>
      <c r="AL1239" s="752"/>
      <c r="AM1239" s="752"/>
      <c r="AN1239" s="752"/>
      <c r="AO1239" s="752"/>
      <c r="AP1239" s="752"/>
      <c r="AQ1239" s="752"/>
      <c r="AR1239" s="752"/>
      <c r="AS1239" s="752"/>
      <c r="AT1239" s="752"/>
      <c r="AU1239" s="752"/>
      <c r="AV1239" s="752"/>
      <c r="AW1239" s="752"/>
      <c r="AX1239" s="752"/>
      <c r="AY1239" s="752"/>
      <c r="AZ1239" s="752"/>
      <c r="BA1239" s="752"/>
      <c r="BB1239" s="752"/>
      <c r="BC1239" s="752"/>
      <c r="BD1239" s="752"/>
      <c r="BE1239" s="752"/>
      <c r="BF1239" s="752"/>
      <c r="BG1239" s="752"/>
      <c r="BH1239" s="752"/>
      <c r="BI1239" s="752"/>
      <c r="BJ1239" s="752"/>
      <c r="BK1239" s="752"/>
      <c r="BL1239" s="752"/>
      <c r="BM1239" s="752"/>
      <c r="BN1239" s="752"/>
      <c r="BO1239" s="752"/>
      <c r="BP1239" s="752"/>
      <c r="BQ1239" s="752"/>
      <c r="BR1239" s="752"/>
      <c r="BS1239" s="752"/>
      <c r="BT1239" s="752"/>
      <c r="BU1239" s="752"/>
      <c r="BV1239" s="752"/>
      <c r="BW1239" s="752"/>
      <c r="BX1239" s="752"/>
      <c r="BY1239" s="752"/>
      <c r="BZ1239" s="752"/>
      <c r="CA1239" s="752"/>
    </row>
    <row r="1240" spans="1:79" s="452" customFormat="1" hidden="1" outlineLevel="1" x14ac:dyDescent="0.35">
      <c r="A1240" s="504"/>
      <c r="B1240" s="504"/>
      <c r="C1240" s="504"/>
      <c r="D1240" s="504"/>
      <c r="E1240" s="504"/>
      <c r="F1240" s="672" t="s">
        <v>889</v>
      </c>
      <c r="G1240" s="734"/>
      <c r="H1240" s="734"/>
      <c r="I1240" s="734"/>
      <c r="J1240" s="734"/>
      <c r="K1240" s="734"/>
      <c r="L1240" s="734"/>
      <c r="M1240" s="734"/>
      <c r="N1240" s="734"/>
      <c r="O1240" s="734"/>
      <c r="P1240" s="734"/>
      <c r="Q1240" s="734"/>
      <c r="R1240" s="733"/>
      <c r="S1240" s="687">
        <v>0</v>
      </c>
      <c r="T1240" s="687">
        <v>0</v>
      </c>
      <c r="U1240" s="687">
        <v>0</v>
      </c>
      <c r="V1240" s="687">
        <v>0</v>
      </c>
      <c r="W1240" s="687">
        <v>0</v>
      </c>
      <c r="X1240" s="687">
        <v>0</v>
      </c>
      <c r="Y1240" s="687">
        <v>0</v>
      </c>
      <c r="Z1240" s="687">
        <v>0</v>
      </c>
      <c r="AA1240" s="687">
        <v>0</v>
      </c>
      <c r="AB1240" s="687">
        <v>0</v>
      </c>
      <c r="AC1240" s="703">
        <v>0</v>
      </c>
      <c r="AD1240" s="703">
        <v>0</v>
      </c>
      <c r="AE1240" s="736"/>
      <c r="AF1240" s="736"/>
      <c r="AG1240" s="736"/>
      <c r="AH1240" s="736"/>
      <c r="AI1240" s="736"/>
      <c r="AJ1240" s="736"/>
      <c r="AK1240" s="736"/>
      <c r="AL1240" s="736"/>
      <c r="AM1240" s="736"/>
      <c r="AN1240" s="736"/>
      <c r="AO1240" s="736"/>
      <c r="AP1240" s="736"/>
      <c r="AQ1240" s="736"/>
      <c r="AR1240" s="736"/>
      <c r="AS1240" s="736"/>
      <c r="AT1240" s="736"/>
      <c r="AU1240" s="736"/>
      <c r="AV1240" s="736"/>
      <c r="AW1240" s="736"/>
      <c r="AX1240" s="736"/>
      <c r="AY1240" s="736"/>
      <c r="AZ1240" s="736"/>
      <c r="BA1240" s="736"/>
      <c r="BB1240" s="736"/>
      <c r="BC1240" s="736"/>
      <c r="BD1240" s="736"/>
      <c r="BE1240" s="736"/>
      <c r="BF1240" s="736"/>
      <c r="BG1240" s="736"/>
      <c r="BH1240" s="736"/>
      <c r="BI1240" s="736"/>
      <c r="BJ1240" s="736"/>
      <c r="BK1240" s="736"/>
      <c r="BL1240" s="736"/>
      <c r="BM1240" s="736"/>
      <c r="BN1240" s="736"/>
      <c r="BO1240" s="736"/>
      <c r="BP1240" s="736"/>
      <c r="BQ1240" s="736"/>
      <c r="BR1240" s="736"/>
      <c r="BS1240" s="736"/>
      <c r="BT1240" s="736"/>
      <c r="BU1240" s="736"/>
      <c r="BV1240" s="736"/>
      <c r="BW1240" s="736"/>
      <c r="BX1240" s="736"/>
      <c r="BY1240" s="736"/>
      <c r="BZ1240" s="736"/>
      <c r="CA1240" s="736"/>
    </row>
    <row r="1241" spans="1:79" s="452" customFormat="1" hidden="1" outlineLevel="1" x14ac:dyDescent="0.35">
      <c r="A1241" s="504"/>
      <c r="B1241" s="504"/>
      <c r="C1241" s="504"/>
      <c r="D1241" s="504"/>
      <c r="E1241" s="504"/>
      <c r="F1241" s="672" t="s">
        <v>890</v>
      </c>
      <c r="G1241" s="734"/>
      <c r="H1241" s="734"/>
      <c r="I1241" s="734"/>
      <c r="J1241" s="734"/>
      <c r="K1241" s="734"/>
      <c r="L1241" s="734"/>
      <c r="M1241" s="734"/>
      <c r="N1241" s="734"/>
      <c r="O1241" s="734"/>
      <c r="P1241" s="734"/>
      <c r="Q1241" s="734"/>
      <c r="R1241" s="733"/>
      <c r="S1241" s="687">
        <v>0</v>
      </c>
      <c r="T1241" s="687">
        <v>0</v>
      </c>
      <c r="U1241" s="687">
        <v>0</v>
      </c>
      <c r="V1241" s="687">
        <v>0</v>
      </c>
      <c r="W1241" s="687">
        <v>0</v>
      </c>
      <c r="X1241" s="687">
        <v>0</v>
      </c>
      <c r="Y1241" s="687">
        <v>0</v>
      </c>
      <c r="Z1241" s="687">
        <v>0</v>
      </c>
      <c r="AA1241" s="687">
        <v>0</v>
      </c>
      <c r="AB1241" s="687">
        <v>0</v>
      </c>
      <c r="AC1241" s="703">
        <v>0</v>
      </c>
      <c r="AD1241" s="703">
        <v>0</v>
      </c>
      <c r="AE1241" s="736"/>
      <c r="AF1241" s="736"/>
      <c r="AG1241" s="736"/>
      <c r="AH1241" s="736"/>
      <c r="AI1241" s="736"/>
      <c r="AJ1241" s="736"/>
      <c r="AK1241" s="736"/>
      <c r="AL1241" s="736"/>
      <c r="AM1241" s="736"/>
      <c r="AN1241" s="736"/>
      <c r="AO1241" s="736"/>
      <c r="AP1241" s="736"/>
      <c r="AQ1241" s="736"/>
      <c r="AR1241" s="736"/>
      <c r="AS1241" s="736"/>
      <c r="AT1241" s="736"/>
      <c r="AU1241" s="736"/>
      <c r="AV1241" s="736"/>
      <c r="AW1241" s="736"/>
      <c r="AX1241" s="736"/>
      <c r="AY1241" s="736"/>
      <c r="AZ1241" s="736"/>
      <c r="BA1241" s="736"/>
      <c r="BB1241" s="736"/>
      <c r="BC1241" s="736"/>
      <c r="BD1241" s="736"/>
      <c r="BE1241" s="736"/>
      <c r="BF1241" s="736"/>
      <c r="BG1241" s="736"/>
      <c r="BH1241" s="736"/>
      <c r="BI1241" s="736"/>
      <c r="BJ1241" s="736"/>
      <c r="BK1241" s="736"/>
      <c r="BL1241" s="736"/>
      <c r="BM1241" s="736"/>
      <c r="BN1241" s="736"/>
      <c r="BO1241" s="736"/>
      <c r="BP1241" s="736"/>
      <c r="BQ1241" s="736"/>
      <c r="BR1241" s="736"/>
      <c r="BS1241" s="736"/>
      <c r="BT1241" s="736"/>
      <c r="BU1241" s="736"/>
      <c r="BV1241" s="736"/>
      <c r="BW1241" s="736"/>
      <c r="BX1241" s="736"/>
      <c r="BY1241" s="736"/>
      <c r="BZ1241" s="736"/>
      <c r="CA1241" s="736"/>
    </row>
    <row r="1242" spans="1:79" s="452" customFormat="1" hidden="1" outlineLevel="1" x14ac:dyDescent="0.35">
      <c r="A1242" s="504"/>
      <c r="B1242" s="504"/>
      <c r="C1242" s="504"/>
      <c r="D1242" s="504"/>
      <c r="E1242" s="504"/>
      <c r="F1242" s="672" t="s">
        <v>891</v>
      </c>
      <c r="G1242" s="734"/>
      <c r="H1242" s="734"/>
      <c r="I1242" s="734"/>
      <c r="J1242" s="734"/>
      <c r="K1242" s="734"/>
      <c r="L1242" s="734"/>
      <c r="M1242" s="734"/>
      <c r="N1242" s="734"/>
      <c r="O1242" s="734"/>
      <c r="P1242" s="734"/>
      <c r="Q1242" s="734"/>
      <c r="R1242" s="733"/>
      <c r="S1242" s="687">
        <v>0</v>
      </c>
      <c r="T1242" s="687">
        <v>0</v>
      </c>
      <c r="U1242" s="687">
        <v>0</v>
      </c>
      <c r="V1242" s="687">
        <v>0</v>
      </c>
      <c r="W1242" s="687">
        <v>0</v>
      </c>
      <c r="X1242" s="687">
        <v>0</v>
      </c>
      <c r="Y1242" s="687">
        <v>0</v>
      </c>
      <c r="Z1242" s="687">
        <v>0</v>
      </c>
      <c r="AA1242" s="687">
        <v>0</v>
      </c>
      <c r="AB1242" s="687">
        <v>0</v>
      </c>
      <c r="AC1242" s="703">
        <v>0</v>
      </c>
      <c r="AD1242" s="703">
        <v>0</v>
      </c>
      <c r="AE1242" s="736"/>
      <c r="AF1242" s="736"/>
      <c r="AG1242" s="736"/>
      <c r="AH1242" s="736"/>
      <c r="AI1242" s="736"/>
      <c r="AJ1242" s="736"/>
      <c r="AK1242" s="736"/>
      <c r="AL1242" s="736"/>
      <c r="AM1242" s="736"/>
      <c r="AN1242" s="736"/>
      <c r="AO1242" s="736"/>
      <c r="AP1242" s="736"/>
      <c r="AQ1242" s="736"/>
      <c r="AR1242" s="736"/>
      <c r="AS1242" s="736"/>
      <c r="AT1242" s="736"/>
      <c r="AU1242" s="736"/>
      <c r="AV1242" s="736"/>
      <c r="AW1242" s="736"/>
      <c r="AX1242" s="736"/>
      <c r="AY1242" s="736"/>
      <c r="AZ1242" s="736"/>
      <c r="BA1242" s="736"/>
      <c r="BB1242" s="736"/>
      <c r="BC1242" s="736"/>
      <c r="BD1242" s="736"/>
      <c r="BE1242" s="736"/>
      <c r="BF1242" s="736"/>
      <c r="BG1242" s="736"/>
      <c r="BH1242" s="736"/>
      <c r="BI1242" s="736"/>
      <c r="BJ1242" s="736"/>
      <c r="BK1242" s="736"/>
      <c r="BL1242" s="736"/>
      <c r="BM1242" s="736"/>
      <c r="BN1242" s="736"/>
      <c r="BO1242" s="736"/>
      <c r="BP1242" s="736"/>
      <c r="BQ1242" s="736"/>
      <c r="BR1242" s="736"/>
      <c r="BS1242" s="736"/>
      <c r="BT1242" s="736"/>
      <c r="BU1242" s="736"/>
      <c r="BV1242" s="736"/>
      <c r="BW1242" s="736"/>
      <c r="BX1242" s="736"/>
      <c r="BY1242" s="736"/>
      <c r="BZ1242" s="736"/>
      <c r="CA1242" s="736"/>
    </row>
    <row r="1243" spans="1:79" s="452" customFormat="1" hidden="1" outlineLevel="1" x14ac:dyDescent="0.35">
      <c r="A1243" s="504"/>
      <c r="B1243" s="504"/>
      <c r="C1243" s="504"/>
      <c r="D1243" s="504"/>
      <c r="E1243" s="504"/>
      <c r="F1243" s="672" t="s">
        <v>892</v>
      </c>
      <c r="G1243" s="734"/>
      <c r="H1243" s="734"/>
      <c r="I1243" s="734"/>
      <c r="J1243" s="734"/>
      <c r="K1243" s="734"/>
      <c r="L1243" s="734"/>
      <c r="M1243" s="734"/>
      <c r="N1243" s="734"/>
      <c r="O1243" s="734"/>
      <c r="P1243" s="734"/>
      <c r="Q1243" s="734"/>
      <c r="R1243" s="733"/>
      <c r="S1243" s="687">
        <v>0</v>
      </c>
      <c r="T1243" s="687">
        <v>0</v>
      </c>
      <c r="U1243" s="687">
        <v>0</v>
      </c>
      <c r="V1243" s="687">
        <v>0</v>
      </c>
      <c r="W1243" s="687">
        <v>0</v>
      </c>
      <c r="X1243" s="687">
        <v>0</v>
      </c>
      <c r="Y1243" s="687">
        <v>0</v>
      </c>
      <c r="Z1243" s="687">
        <v>0</v>
      </c>
      <c r="AA1243" s="687">
        <v>0</v>
      </c>
      <c r="AB1243" s="687">
        <v>0</v>
      </c>
      <c r="AC1243" s="703">
        <v>0</v>
      </c>
      <c r="AD1243" s="703">
        <v>0</v>
      </c>
      <c r="AE1243" s="736"/>
      <c r="AF1243" s="736"/>
      <c r="AG1243" s="736"/>
      <c r="AH1243" s="736"/>
      <c r="AI1243" s="736"/>
      <c r="AJ1243" s="736"/>
      <c r="AK1243" s="736"/>
      <c r="AL1243" s="736"/>
      <c r="AM1243" s="736"/>
      <c r="AN1243" s="736"/>
      <c r="AO1243" s="736"/>
      <c r="AP1243" s="736"/>
      <c r="AQ1243" s="736"/>
      <c r="AR1243" s="736"/>
      <c r="AS1243" s="736"/>
      <c r="AT1243" s="736"/>
      <c r="AU1243" s="736"/>
      <c r="AV1243" s="736"/>
      <c r="AW1243" s="736"/>
      <c r="AX1243" s="736"/>
      <c r="AY1243" s="736"/>
      <c r="AZ1243" s="736"/>
      <c r="BA1243" s="736"/>
      <c r="BB1243" s="736"/>
      <c r="BC1243" s="736"/>
      <c r="BD1243" s="736"/>
      <c r="BE1243" s="736"/>
      <c r="BF1243" s="736"/>
      <c r="BG1243" s="736"/>
      <c r="BH1243" s="736"/>
      <c r="BI1243" s="736"/>
      <c r="BJ1243" s="736"/>
      <c r="BK1243" s="736"/>
      <c r="BL1243" s="736"/>
      <c r="BM1243" s="736"/>
      <c r="BN1243" s="736"/>
      <c r="BO1243" s="736"/>
      <c r="BP1243" s="736"/>
      <c r="BQ1243" s="736"/>
      <c r="BR1243" s="736"/>
      <c r="BS1243" s="736"/>
      <c r="BT1243" s="736"/>
      <c r="BU1243" s="736"/>
      <c r="BV1243" s="736"/>
      <c r="BW1243" s="736"/>
      <c r="BX1243" s="736"/>
      <c r="BY1243" s="736"/>
      <c r="BZ1243" s="736"/>
      <c r="CA1243" s="736"/>
    </row>
    <row r="1244" spans="1:79" s="452" customFormat="1" hidden="1" outlineLevel="1" x14ac:dyDescent="0.35">
      <c r="A1244" s="504"/>
      <c r="B1244" s="504"/>
      <c r="C1244" s="504"/>
      <c r="D1244" s="504"/>
      <c r="E1244" s="504"/>
      <c r="F1244" s="672" t="s">
        <v>825</v>
      </c>
      <c r="G1244" s="734"/>
      <c r="H1244" s="734"/>
      <c r="I1244" s="734"/>
      <c r="J1244" s="734"/>
      <c r="K1244" s="734"/>
      <c r="L1244" s="734"/>
      <c r="M1244" s="734"/>
      <c r="N1244" s="734"/>
      <c r="O1244" s="734"/>
      <c r="P1244" s="734"/>
      <c r="Q1244" s="734"/>
      <c r="R1244" s="733"/>
      <c r="S1244" s="687">
        <v>0</v>
      </c>
      <c r="T1244" s="687">
        <v>0</v>
      </c>
      <c r="U1244" s="687">
        <v>0</v>
      </c>
      <c r="V1244" s="687">
        <v>0</v>
      </c>
      <c r="W1244" s="687">
        <v>0</v>
      </c>
      <c r="X1244" s="687">
        <v>0</v>
      </c>
      <c r="Y1244" s="687">
        <v>0</v>
      </c>
      <c r="Z1244" s="687">
        <v>0</v>
      </c>
      <c r="AA1244" s="687">
        <v>0</v>
      </c>
      <c r="AB1244" s="687">
        <v>0</v>
      </c>
      <c r="AC1244" s="703">
        <v>0</v>
      </c>
      <c r="AD1244" s="703">
        <v>0</v>
      </c>
      <c r="AE1244" s="736"/>
      <c r="AF1244" s="736"/>
      <c r="AG1244" s="736"/>
      <c r="AH1244" s="736"/>
      <c r="AI1244" s="736"/>
      <c r="AJ1244" s="736"/>
      <c r="AK1244" s="736"/>
      <c r="AL1244" s="736"/>
      <c r="AM1244" s="736"/>
      <c r="AN1244" s="736"/>
      <c r="AO1244" s="736"/>
      <c r="AP1244" s="736"/>
      <c r="AQ1244" s="736"/>
      <c r="AR1244" s="736"/>
      <c r="AS1244" s="736"/>
      <c r="AT1244" s="736"/>
      <c r="AU1244" s="736"/>
      <c r="AV1244" s="736"/>
      <c r="AW1244" s="736"/>
      <c r="AX1244" s="736"/>
      <c r="AY1244" s="736"/>
      <c r="AZ1244" s="736"/>
      <c r="BA1244" s="736"/>
      <c r="BB1244" s="736"/>
      <c r="BC1244" s="736"/>
      <c r="BD1244" s="736"/>
      <c r="BE1244" s="736"/>
      <c r="BF1244" s="736"/>
      <c r="BG1244" s="736"/>
      <c r="BH1244" s="736"/>
      <c r="BI1244" s="736"/>
      <c r="BJ1244" s="736"/>
      <c r="BK1244" s="736"/>
      <c r="BL1244" s="736"/>
      <c r="BM1244" s="736"/>
      <c r="BN1244" s="736"/>
      <c r="BO1244" s="736"/>
      <c r="BP1244" s="736"/>
      <c r="BQ1244" s="736"/>
      <c r="BR1244" s="736"/>
      <c r="BS1244" s="736"/>
      <c r="BT1244" s="736"/>
      <c r="BU1244" s="736"/>
      <c r="BV1244" s="736"/>
      <c r="BW1244" s="736"/>
      <c r="BX1244" s="736"/>
      <c r="BY1244" s="736"/>
      <c r="BZ1244" s="736"/>
      <c r="CA1244" s="736"/>
    </row>
    <row r="1245" spans="1:79" s="452" customFormat="1" hidden="1" outlineLevel="1" x14ac:dyDescent="0.35">
      <c r="A1245" s="504"/>
      <c r="B1245" s="504"/>
      <c r="C1245" s="504"/>
      <c r="D1245" s="504"/>
      <c r="E1245" s="504"/>
      <c r="F1245" s="672" t="s">
        <v>613</v>
      </c>
      <c r="G1245" s="734"/>
      <c r="H1245" s="734"/>
      <c r="I1245" s="734"/>
      <c r="J1245" s="734"/>
      <c r="K1245" s="734"/>
      <c r="L1245" s="734"/>
      <c r="M1245" s="734"/>
      <c r="N1245" s="734"/>
      <c r="O1245" s="734"/>
      <c r="P1245" s="734"/>
      <c r="Q1245" s="734"/>
      <c r="R1245" s="733"/>
      <c r="S1245" s="687">
        <v>0</v>
      </c>
      <c r="T1245" s="687">
        <v>0</v>
      </c>
      <c r="U1245" s="687">
        <v>0</v>
      </c>
      <c r="V1245" s="687">
        <v>0</v>
      </c>
      <c r="W1245" s="687">
        <v>0</v>
      </c>
      <c r="X1245" s="687">
        <v>0</v>
      </c>
      <c r="Y1245" s="687">
        <v>0</v>
      </c>
      <c r="Z1245" s="687">
        <v>0</v>
      </c>
      <c r="AA1245" s="687">
        <v>0</v>
      </c>
      <c r="AB1245" s="687">
        <v>0</v>
      </c>
      <c r="AC1245" s="703">
        <v>0</v>
      </c>
      <c r="AD1245" s="703">
        <v>0</v>
      </c>
      <c r="AE1245" s="736"/>
      <c r="AF1245" s="736"/>
      <c r="AG1245" s="736"/>
      <c r="AH1245" s="736"/>
      <c r="AI1245" s="736"/>
      <c r="AJ1245" s="736"/>
      <c r="AK1245" s="736"/>
      <c r="AL1245" s="736"/>
      <c r="AM1245" s="736"/>
      <c r="AN1245" s="736"/>
      <c r="AO1245" s="736"/>
      <c r="AP1245" s="736"/>
      <c r="AQ1245" s="736"/>
      <c r="AR1245" s="736"/>
      <c r="AS1245" s="736"/>
      <c r="AT1245" s="736"/>
      <c r="AU1245" s="736"/>
      <c r="AV1245" s="736"/>
      <c r="AW1245" s="736"/>
      <c r="AX1245" s="736"/>
      <c r="AY1245" s="736"/>
      <c r="AZ1245" s="736"/>
      <c r="BA1245" s="736"/>
      <c r="BB1245" s="736"/>
      <c r="BC1245" s="736"/>
      <c r="BD1245" s="736"/>
      <c r="BE1245" s="736"/>
      <c r="BF1245" s="736"/>
      <c r="BG1245" s="736"/>
      <c r="BH1245" s="736"/>
      <c r="BI1245" s="736"/>
      <c r="BJ1245" s="736"/>
      <c r="BK1245" s="736"/>
      <c r="BL1245" s="736"/>
      <c r="BM1245" s="736"/>
      <c r="BN1245" s="736"/>
      <c r="BO1245" s="736"/>
      <c r="BP1245" s="736"/>
      <c r="BQ1245" s="736"/>
      <c r="BR1245" s="736"/>
      <c r="BS1245" s="736"/>
      <c r="BT1245" s="736"/>
      <c r="BU1245" s="736"/>
      <c r="BV1245" s="736"/>
      <c r="BW1245" s="736"/>
      <c r="BX1245" s="736"/>
      <c r="BY1245" s="736"/>
      <c r="BZ1245" s="736"/>
      <c r="CA1245" s="736"/>
    </row>
    <row r="1246" spans="1:79" s="452" customFormat="1" hidden="1" outlineLevel="1" x14ac:dyDescent="0.35">
      <c r="A1246" s="504"/>
      <c r="B1246" s="504"/>
      <c r="C1246" s="504"/>
      <c r="D1246" s="504"/>
      <c r="E1246" s="504"/>
      <c r="F1246" s="672" t="s">
        <v>614</v>
      </c>
      <c r="G1246" s="734"/>
      <c r="H1246" s="734"/>
      <c r="I1246" s="734"/>
      <c r="J1246" s="734"/>
      <c r="K1246" s="734"/>
      <c r="L1246" s="734"/>
      <c r="M1246" s="734"/>
      <c r="N1246" s="734"/>
      <c r="O1246" s="734"/>
      <c r="P1246" s="734"/>
      <c r="Q1246" s="734"/>
      <c r="R1246" s="733"/>
      <c r="S1246" s="692">
        <v>0</v>
      </c>
      <c r="T1246" s="692">
        <v>0</v>
      </c>
      <c r="U1246" s="692">
        <v>0</v>
      </c>
      <c r="V1246" s="692">
        <v>0</v>
      </c>
      <c r="W1246" s="692">
        <v>0</v>
      </c>
      <c r="X1246" s="692">
        <v>0</v>
      </c>
      <c r="Y1246" s="692">
        <v>0</v>
      </c>
      <c r="Z1246" s="692">
        <v>0</v>
      </c>
      <c r="AA1246" s="692">
        <v>0</v>
      </c>
      <c r="AB1246" s="692">
        <v>0</v>
      </c>
      <c r="AC1246" s="690">
        <v>0</v>
      </c>
      <c r="AD1246" s="690">
        <v>0</v>
      </c>
      <c r="AE1246" s="736"/>
      <c r="AF1246" s="736"/>
      <c r="AG1246" s="736"/>
      <c r="AH1246" s="736"/>
      <c r="AI1246" s="736"/>
      <c r="AJ1246" s="736"/>
      <c r="AK1246" s="736"/>
      <c r="AL1246" s="736"/>
      <c r="AM1246" s="736"/>
      <c r="AN1246" s="736"/>
      <c r="AO1246" s="736"/>
      <c r="AP1246" s="736"/>
      <c r="AQ1246" s="736"/>
      <c r="AR1246" s="736"/>
      <c r="AS1246" s="736"/>
      <c r="AT1246" s="736"/>
      <c r="AU1246" s="736"/>
      <c r="AV1246" s="736"/>
      <c r="AW1246" s="736"/>
      <c r="AX1246" s="736"/>
      <c r="AY1246" s="736"/>
      <c r="AZ1246" s="736"/>
      <c r="BA1246" s="736"/>
      <c r="BB1246" s="736"/>
      <c r="BC1246" s="736"/>
      <c r="BD1246" s="736"/>
      <c r="BE1246" s="736"/>
      <c r="BF1246" s="736"/>
      <c r="BG1246" s="736"/>
      <c r="BH1246" s="736"/>
      <c r="BI1246" s="736"/>
      <c r="BJ1246" s="736"/>
      <c r="BK1246" s="736"/>
      <c r="BL1246" s="736"/>
      <c r="BM1246" s="736"/>
      <c r="BN1246" s="736"/>
      <c r="BO1246" s="736"/>
      <c r="BP1246" s="736"/>
      <c r="BQ1246" s="736"/>
      <c r="BR1246" s="736"/>
      <c r="BS1246" s="736"/>
      <c r="BT1246" s="736"/>
      <c r="BU1246" s="736"/>
      <c r="BV1246" s="736"/>
      <c r="BW1246" s="736"/>
      <c r="BX1246" s="736"/>
      <c r="BY1246" s="736"/>
      <c r="BZ1246" s="736"/>
      <c r="CA1246" s="736"/>
    </row>
    <row r="1247" spans="1:79" s="452" customFormat="1" hidden="1" outlineLevel="1" x14ac:dyDescent="0.35">
      <c r="A1247" s="80"/>
      <c r="B1247" s="80"/>
      <c r="C1247" s="80"/>
      <c r="D1247" s="80"/>
      <c r="E1247" s="80"/>
      <c r="F1247" s="672" t="s">
        <v>615</v>
      </c>
      <c r="G1247" s="739"/>
      <c r="H1247" s="739"/>
      <c r="I1247" s="739"/>
      <c r="J1247" s="739"/>
      <c r="K1247" s="739"/>
      <c r="L1247" s="739"/>
      <c r="M1247" s="739"/>
      <c r="N1247" s="739"/>
      <c r="O1247" s="739"/>
      <c r="P1247" s="734"/>
      <c r="Q1247" s="734"/>
      <c r="R1247" s="733"/>
      <c r="S1247" s="692">
        <v>0</v>
      </c>
      <c r="T1247" s="692">
        <v>804.3</v>
      </c>
      <c r="U1247" s="692">
        <v>0</v>
      </c>
      <c r="V1247" s="692">
        <v>0</v>
      </c>
      <c r="W1247" s="692">
        <v>0</v>
      </c>
      <c r="X1247" s="692">
        <v>0</v>
      </c>
      <c r="Y1247" s="692">
        <v>0</v>
      </c>
      <c r="Z1247" s="692">
        <v>0</v>
      </c>
      <c r="AA1247" s="692">
        <v>0</v>
      </c>
      <c r="AB1247" s="692">
        <v>0</v>
      </c>
      <c r="AC1247" s="690">
        <v>0</v>
      </c>
      <c r="AD1247" s="690">
        <v>0</v>
      </c>
      <c r="AE1247" s="736"/>
      <c r="AF1247" s="736"/>
      <c r="AG1247" s="736"/>
      <c r="AH1247" s="736"/>
      <c r="AI1247" s="736"/>
      <c r="AJ1247" s="736"/>
      <c r="AK1247" s="736"/>
      <c r="AL1247" s="736"/>
      <c r="AM1247" s="736"/>
      <c r="AN1247" s="736"/>
      <c r="AO1247" s="736"/>
      <c r="AP1247" s="736"/>
      <c r="AQ1247" s="736"/>
      <c r="AR1247" s="736"/>
      <c r="AS1247" s="736"/>
      <c r="AT1247" s="736"/>
      <c r="AU1247" s="736"/>
      <c r="AV1247" s="736"/>
      <c r="AW1247" s="736"/>
      <c r="AX1247" s="736"/>
      <c r="AY1247" s="736"/>
      <c r="AZ1247" s="736"/>
      <c r="BA1247" s="736"/>
      <c r="BB1247" s="736"/>
      <c r="BC1247" s="736"/>
      <c r="BD1247" s="736"/>
      <c r="BE1247" s="736"/>
      <c r="BF1247" s="736"/>
      <c r="BG1247" s="736"/>
      <c r="BH1247" s="736"/>
      <c r="BI1247" s="736"/>
      <c r="BJ1247" s="736"/>
      <c r="BK1247" s="736"/>
      <c r="BL1247" s="736"/>
      <c r="BM1247" s="736"/>
      <c r="BN1247" s="736"/>
      <c r="BO1247" s="736"/>
      <c r="BP1247" s="736"/>
      <c r="BQ1247" s="736"/>
      <c r="BR1247" s="736"/>
      <c r="BS1247" s="736"/>
      <c r="BT1247" s="736"/>
      <c r="BU1247" s="736"/>
      <c r="BV1247" s="736"/>
      <c r="BW1247" s="736"/>
      <c r="BX1247" s="736"/>
      <c r="BY1247" s="736"/>
      <c r="BZ1247" s="736"/>
      <c r="CA1247" s="736"/>
    </row>
    <row r="1248" spans="1:79" s="452" customFormat="1" hidden="1" outlineLevel="1" x14ac:dyDescent="0.35">
      <c r="A1248" s="580"/>
      <c r="B1248" s="580"/>
      <c r="C1248" s="580"/>
      <c r="D1248" s="580"/>
      <c r="E1248" s="580"/>
      <c r="F1248" s="672" t="s">
        <v>616</v>
      </c>
      <c r="G1248" s="739"/>
      <c r="H1248" s="739"/>
      <c r="I1248" s="739"/>
      <c r="J1248" s="739"/>
      <c r="K1248" s="739"/>
      <c r="L1248" s="739"/>
      <c r="M1248" s="739"/>
      <c r="N1248" s="739"/>
      <c r="O1248" s="739"/>
      <c r="P1248" s="734"/>
      <c r="Q1248" s="734"/>
      <c r="R1248" s="733"/>
      <c r="S1248" s="692">
        <v>0</v>
      </c>
      <c r="T1248" s="692">
        <v>0</v>
      </c>
      <c r="U1248" s="692">
        <v>0</v>
      </c>
      <c r="V1248" s="692">
        <v>0</v>
      </c>
      <c r="W1248" s="692">
        <v>0</v>
      </c>
      <c r="X1248" s="692">
        <v>0</v>
      </c>
      <c r="Y1248" s="692">
        <v>0</v>
      </c>
      <c r="Z1248" s="692">
        <v>0</v>
      </c>
      <c r="AA1248" s="692">
        <v>0</v>
      </c>
      <c r="AB1248" s="692">
        <v>0</v>
      </c>
      <c r="AC1248" s="690">
        <v>0</v>
      </c>
      <c r="AD1248" s="690">
        <v>0</v>
      </c>
      <c r="AE1248" s="736"/>
      <c r="AF1248" s="736"/>
      <c r="AG1248" s="736"/>
      <c r="AH1248" s="736"/>
      <c r="AI1248" s="736"/>
      <c r="AJ1248" s="736"/>
      <c r="AK1248" s="736"/>
      <c r="AL1248" s="736"/>
      <c r="AM1248" s="736"/>
      <c r="AN1248" s="736"/>
      <c r="AO1248" s="736"/>
      <c r="AP1248" s="736"/>
      <c r="AQ1248" s="736"/>
      <c r="AR1248" s="736"/>
      <c r="AS1248" s="736"/>
      <c r="AT1248" s="736"/>
      <c r="AU1248" s="736"/>
      <c r="AV1248" s="736"/>
      <c r="AW1248" s="736"/>
      <c r="AX1248" s="736"/>
      <c r="AY1248" s="736"/>
      <c r="AZ1248" s="736"/>
      <c r="BA1248" s="736"/>
      <c r="BB1248" s="736"/>
      <c r="BC1248" s="736"/>
      <c r="BD1248" s="736"/>
      <c r="BE1248" s="736"/>
      <c r="BF1248" s="736"/>
      <c r="BG1248" s="736"/>
      <c r="BH1248" s="736"/>
      <c r="BI1248" s="736"/>
      <c r="BJ1248" s="736"/>
      <c r="BK1248" s="736"/>
      <c r="BL1248" s="736"/>
      <c r="BM1248" s="736"/>
      <c r="BN1248" s="736"/>
      <c r="BO1248" s="736"/>
      <c r="BP1248" s="736"/>
      <c r="BQ1248" s="736"/>
      <c r="BR1248" s="736"/>
      <c r="BS1248" s="736"/>
      <c r="BT1248" s="736"/>
      <c r="BU1248" s="736"/>
      <c r="BV1248" s="736"/>
      <c r="BW1248" s="736"/>
      <c r="BX1248" s="736"/>
      <c r="BY1248" s="736"/>
      <c r="BZ1248" s="736"/>
      <c r="CA1248" s="736"/>
    </row>
    <row r="1249" spans="1:79" s="452" customFormat="1" hidden="1" outlineLevel="1" x14ac:dyDescent="0.35">
      <c r="A1249" s="580"/>
      <c r="B1249" s="580"/>
      <c r="C1249" s="580"/>
      <c r="D1249" s="580"/>
      <c r="E1249" s="580"/>
      <c r="F1249" s="672" t="s">
        <v>893</v>
      </c>
      <c r="G1249" s="739"/>
      <c r="H1249" s="739"/>
      <c r="I1249" s="739"/>
      <c r="J1249" s="739"/>
      <c r="K1249" s="739"/>
      <c r="L1249" s="739"/>
      <c r="M1249" s="739"/>
      <c r="N1249" s="739"/>
      <c r="O1249" s="739"/>
      <c r="P1249" s="734"/>
      <c r="Q1249" s="734"/>
      <c r="R1249" s="733"/>
      <c r="S1249" s="692">
        <v>0</v>
      </c>
      <c r="T1249" s="692">
        <v>0</v>
      </c>
      <c r="U1249" s="692">
        <v>0</v>
      </c>
      <c r="V1249" s="692">
        <v>0</v>
      </c>
      <c r="W1249" s="692">
        <v>0</v>
      </c>
      <c r="X1249" s="692">
        <v>0</v>
      </c>
      <c r="Y1249" s="692">
        <v>0</v>
      </c>
      <c r="Z1249" s="692">
        <v>0</v>
      </c>
      <c r="AA1249" s="692">
        <v>0</v>
      </c>
      <c r="AB1249" s="692">
        <v>0</v>
      </c>
      <c r="AC1249" s="690">
        <v>0</v>
      </c>
      <c r="AD1249" s="690">
        <v>0</v>
      </c>
      <c r="AE1249" s="736"/>
      <c r="AF1249" s="736"/>
      <c r="AG1249" s="736"/>
      <c r="AH1249" s="736"/>
      <c r="AI1249" s="736"/>
      <c r="AJ1249" s="736"/>
      <c r="AK1249" s="736"/>
      <c r="AL1249" s="736"/>
      <c r="AM1249" s="736"/>
      <c r="AN1249" s="736"/>
      <c r="AO1249" s="736"/>
      <c r="AP1249" s="736"/>
      <c r="AQ1249" s="736"/>
      <c r="AR1249" s="736"/>
      <c r="AS1249" s="736"/>
      <c r="AT1249" s="736"/>
      <c r="AU1249" s="736"/>
      <c r="AV1249" s="736"/>
      <c r="AW1249" s="736"/>
      <c r="AX1249" s="736"/>
      <c r="AY1249" s="736"/>
      <c r="AZ1249" s="736"/>
      <c r="BA1249" s="736"/>
      <c r="BB1249" s="736"/>
      <c r="BC1249" s="736"/>
      <c r="BD1249" s="736"/>
      <c r="BE1249" s="736"/>
      <c r="BF1249" s="736"/>
      <c r="BG1249" s="736"/>
      <c r="BH1249" s="736"/>
      <c r="BI1249" s="736"/>
      <c r="BJ1249" s="736"/>
      <c r="BK1249" s="736"/>
      <c r="BL1249" s="736"/>
      <c r="BM1249" s="736"/>
      <c r="BN1249" s="736"/>
      <c r="BO1249" s="736"/>
      <c r="BP1249" s="736"/>
      <c r="BQ1249" s="736"/>
      <c r="BR1249" s="736"/>
      <c r="BS1249" s="736"/>
      <c r="BT1249" s="736"/>
      <c r="BU1249" s="736"/>
      <c r="BV1249" s="736"/>
      <c r="BW1249" s="736"/>
      <c r="BX1249" s="736"/>
      <c r="BY1249" s="736"/>
      <c r="BZ1249" s="736"/>
      <c r="CA1249" s="736"/>
    </row>
    <row r="1250" spans="1:79" s="452" customFormat="1" hidden="1" outlineLevel="1" x14ac:dyDescent="0.35">
      <c r="A1250" s="580"/>
      <c r="B1250" s="580"/>
      <c r="C1250" s="580"/>
      <c r="D1250" s="580"/>
      <c r="E1250" s="580"/>
      <c r="F1250" s="672" t="s">
        <v>768</v>
      </c>
      <c r="G1250" s="739"/>
      <c r="H1250" s="739"/>
      <c r="I1250" s="739"/>
      <c r="J1250" s="739"/>
      <c r="K1250" s="739"/>
      <c r="L1250" s="739"/>
      <c r="M1250" s="739"/>
      <c r="N1250" s="739"/>
      <c r="O1250" s="739"/>
      <c r="P1250" s="734"/>
      <c r="Q1250" s="734"/>
      <c r="R1250" s="733"/>
      <c r="S1250" s="692">
        <v>0</v>
      </c>
      <c r="T1250" s="692">
        <v>0</v>
      </c>
      <c r="U1250" s="692">
        <v>0</v>
      </c>
      <c r="V1250" s="692">
        <v>0</v>
      </c>
      <c r="W1250" s="692">
        <v>0</v>
      </c>
      <c r="X1250" s="692">
        <v>0</v>
      </c>
      <c r="Y1250" s="692">
        <v>0</v>
      </c>
      <c r="Z1250" s="692">
        <v>0</v>
      </c>
      <c r="AA1250" s="692">
        <v>0</v>
      </c>
      <c r="AB1250" s="692">
        <v>0</v>
      </c>
      <c r="AC1250" s="690">
        <v>0</v>
      </c>
      <c r="AD1250" s="690">
        <v>0</v>
      </c>
      <c r="AE1250" s="736"/>
      <c r="AF1250" s="736"/>
      <c r="AG1250" s="736"/>
      <c r="AH1250" s="736"/>
      <c r="AI1250" s="736"/>
      <c r="AJ1250" s="736"/>
      <c r="AK1250" s="736"/>
      <c r="AL1250" s="736"/>
      <c r="AM1250" s="736"/>
      <c r="AN1250" s="736"/>
      <c r="AO1250" s="736"/>
      <c r="AP1250" s="736"/>
      <c r="AQ1250" s="736"/>
      <c r="AR1250" s="736"/>
      <c r="AS1250" s="736"/>
      <c r="AT1250" s="736"/>
      <c r="AU1250" s="736"/>
      <c r="AV1250" s="736"/>
      <c r="AW1250" s="736"/>
      <c r="AX1250" s="736"/>
      <c r="AY1250" s="736"/>
      <c r="AZ1250" s="736"/>
      <c r="BA1250" s="736"/>
      <c r="BB1250" s="736"/>
      <c r="BC1250" s="736"/>
      <c r="BD1250" s="736"/>
      <c r="BE1250" s="736"/>
      <c r="BF1250" s="736"/>
      <c r="BG1250" s="736"/>
      <c r="BH1250" s="736"/>
      <c r="BI1250" s="736"/>
      <c r="BJ1250" s="736"/>
      <c r="BK1250" s="736"/>
      <c r="BL1250" s="736"/>
      <c r="BM1250" s="736"/>
      <c r="BN1250" s="736"/>
      <c r="BO1250" s="736"/>
      <c r="BP1250" s="736"/>
      <c r="BQ1250" s="736"/>
      <c r="BR1250" s="736"/>
      <c r="BS1250" s="736"/>
      <c r="BT1250" s="736"/>
      <c r="BU1250" s="736"/>
      <c r="BV1250" s="736"/>
      <c r="BW1250" s="736"/>
      <c r="BX1250" s="736"/>
      <c r="BY1250" s="736"/>
      <c r="BZ1250" s="736"/>
      <c r="CA1250" s="736"/>
    </row>
    <row r="1251" spans="1:79" s="452" customFormat="1" hidden="1" outlineLevel="1" x14ac:dyDescent="0.35">
      <c r="A1251" s="580"/>
      <c r="B1251" s="580"/>
      <c r="C1251" s="580"/>
      <c r="D1251" s="580"/>
      <c r="E1251" s="580"/>
      <c r="F1251" s="672" t="s">
        <v>785</v>
      </c>
      <c r="G1251" s="739"/>
      <c r="H1251" s="739"/>
      <c r="I1251" s="739"/>
      <c r="J1251" s="739"/>
      <c r="K1251" s="739"/>
      <c r="L1251" s="739"/>
      <c r="M1251" s="739"/>
      <c r="N1251" s="739"/>
      <c r="O1251" s="739"/>
      <c r="P1251" s="734"/>
      <c r="Q1251" s="734"/>
      <c r="R1251" s="733"/>
      <c r="S1251" s="692">
        <v>0</v>
      </c>
      <c r="T1251" s="692">
        <v>0</v>
      </c>
      <c r="U1251" s="692">
        <v>0</v>
      </c>
      <c r="V1251" s="692">
        <v>0</v>
      </c>
      <c r="W1251" s="692">
        <v>0</v>
      </c>
      <c r="X1251" s="692">
        <v>0</v>
      </c>
      <c r="Y1251" s="692">
        <v>0</v>
      </c>
      <c r="Z1251" s="692">
        <v>0</v>
      </c>
      <c r="AA1251" s="692">
        <v>0</v>
      </c>
      <c r="AB1251" s="692">
        <v>0</v>
      </c>
      <c r="AC1251" s="690">
        <v>0</v>
      </c>
      <c r="AD1251" s="690">
        <v>0</v>
      </c>
      <c r="AE1251" s="736"/>
      <c r="AF1251" s="736"/>
      <c r="AG1251" s="736"/>
      <c r="AH1251" s="736"/>
      <c r="AI1251" s="736"/>
      <c r="AJ1251" s="736"/>
      <c r="AK1251" s="736"/>
      <c r="AL1251" s="736"/>
      <c r="AM1251" s="736"/>
      <c r="AN1251" s="736"/>
      <c r="AO1251" s="736"/>
      <c r="AP1251" s="736"/>
      <c r="AQ1251" s="736"/>
      <c r="AR1251" s="736"/>
      <c r="AS1251" s="736"/>
      <c r="AT1251" s="736"/>
      <c r="AU1251" s="736"/>
      <c r="AV1251" s="736"/>
      <c r="AW1251" s="736"/>
      <c r="AX1251" s="736"/>
      <c r="AY1251" s="736"/>
      <c r="AZ1251" s="736"/>
      <c r="BA1251" s="736"/>
      <c r="BB1251" s="736"/>
      <c r="BC1251" s="736"/>
      <c r="BD1251" s="736"/>
      <c r="BE1251" s="736"/>
      <c r="BF1251" s="736"/>
      <c r="BG1251" s="736"/>
      <c r="BH1251" s="736"/>
      <c r="BI1251" s="736"/>
      <c r="BJ1251" s="736"/>
      <c r="BK1251" s="736"/>
      <c r="BL1251" s="736"/>
      <c r="BM1251" s="736"/>
      <c r="BN1251" s="736"/>
      <c r="BO1251" s="736"/>
      <c r="BP1251" s="736"/>
      <c r="BQ1251" s="736"/>
      <c r="BR1251" s="736"/>
      <c r="BS1251" s="736"/>
      <c r="BT1251" s="736"/>
      <c r="BU1251" s="736"/>
      <c r="BV1251" s="736"/>
      <c r="BW1251" s="736"/>
      <c r="BX1251" s="736"/>
      <c r="BY1251" s="736"/>
      <c r="BZ1251" s="736"/>
      <c r="CA1251" s="736"/>
    </row>
    <row r="1252" spans="1:79" s="452" customFormat="1" hidden="1" outlineLevel="1" x14ac:dyDescent="0.35">
      <c r="A1252" s="580"/>
      <c r="B1252" s="580"/>
      <c r="C1252" s="580"/>
      <c r="D1252" s="580"/>
      <c r="E1252" s="580"/>
      <c r="F1252" s="672" t="s">
        <v>617</v>
      </c>
      <c r="G1252" s="739"/>
      <c r="H1252" s="739"/>
      <c r="I1252" s="739"/>
      <c r="J1252" s="739"/>
      <c r="K1252" s="739"/>
      <c r="L1252" s="739"/>
      <c r="M1252" s="739"/>
      <c r="N1252" s="739"/>
      <c r="O1252" s="739"/>
      <c r="P1252" s="734"/>
      <c r="Q1252" s="734"/>
      <c r="R1252" s="733"/>
      <c r="S1252" s="692">
        <v>0</v>
      </c>
      <c r="T1252" s="692">
        <v>0</v>
      </c>
      <c r="U1252" s="692">
        <v>0</v>
      </c>
      <c r="V1252" s="692">
        <v>0</v>
      </c>
      <c r="W1252" s="692">
        <v>0</v>
      </c>
      <c r="X1252" s="692">
        <v>0</v>
      </c>
      <c r="Y1252" s="692">
        <v>0</v>
      </c>
      <c r="Z1252" s="692">
        <v>0</v>
      </c>
      <c r="AA1252" s="692">
        <v>0</v>
      </c>
      <c r="AB1252" s="692">
        <v>0</v>
      </c>
      <c r="AC1252" s="690">
        <v>0</v>
      </c>
      <c r="AD1252" s="690">
        <v>0</v>
      </c>
      <c r="AE1252" s="736"/>
      <c r="AF1252" s="736"/>
      <c r="AG1252" s="736"/>
      <c r="AH1252" s="736"/>
      <c r="AI1252" s="736"/>
      <c r="AJ1252" s="736"/>
      <c r="AK1252" s="736"/>
      <c r="AL1252" s="736"/>
      <c r="AM1252" s="736"/>
      <c r="AN1252" s="736"/>
      <c r="AO1252" s="736"/>
      <c r="AP1252" s="736"/>
      <c r="AQ1252" s="736"/>
      <c r="AR1252" s="736"/>
      <c r="AS1252" s="736"/>
      <c r="AT1252" s="736"/>
      <c r="AU1252" s="736"/>
      <c r="AV1252" s="736"/>
      <c r="AW1252" s="736"/>
      <c r="AX1252" s="736"/>
      <c r="AY1252" s="736"/>
      <c r="AZ1252" s="736"/>
      <c r="BA1252" s="736"/>
      <c r="BB1252" s="736"/>
      <c r="BC1252" s="736"/>
      <c r="BD1252" s="736"/>
      <c r="BE1252" s="736"/>
      <c r="BF1252" s="736"/>
      <c r="BG1252" s="736"/>
      <c r="BH1252" s="736"/>
      <c r="BI1252" s="736"/>
      <c r="BJ1252" s="736"/>
      <c r="BK1252" s="736"/>
      <c r="BL1252" s="736"/>
      <c r="BM1252" s="736"/>
      <c r="BN1252" s="736"/>
      <c r="BO1252" s="736"/>
      <c r="BP1252" s="736"/>
      <c r="BQ1252" s="736"/>
      <c r="BR1252" s="736"/>
      <c r="BS1252" s="736"/>
      <c r="BT1252" s="736"/>
      <c r="BU1252" s="736"/>
      <c r="BV1252" s="736"/>
      <c r="BW1252" s="736"/>
      <c r="BX1252" s="736"/>
      <c r="BY1252" s="736"/>
      <c r="BZ1252" s="736"/>
      <c r="CA1252" s="736"/>
    </row>
    <row r="1253" spans="1:79" s="452" customFormat="1" hidden="1" outlineLevel="1" x14ac:dyDescent="0.35">
      <c r="A1253" s="580"/>
      <c r="B1253" s="580"/>
      <c r="C1253" s="580"/>
      <c r="D1253" s="580"/>
      <c r="E1253" s="580"/>
      <c r="F1253" s="672" t="s">
        <v>618</v>
      </c>
      <c r="G1253" s="739"/>
      <c r="H1253" s="739"/>
      <c r="I1253" s="739"/>
      <c r="J1253" s="739"/>
      <c r="K1253" s="739"/>
      <c r="L1253" s="739"/>
      <c r="M1253" s="739"/>
      <c r="N1253" s="739"/>
      <c r="O1253" s="739"/>
      <c r="P1253" s="734"/>
      <c r="Q1253" s="734"/>
      <c r="R1253" s="733"/>
      <c r="S1253" s="692">
        <v>0</v>
      </c>
      <c r="T1253" s="692">
        <v>0</v>
      </c>
      <c r="U1253" s="692">
        <v>0</v>
      </c>
      <c r="V1253" s="692">
        <v>0</v>
      </c>
      <c r="W1253" s="692">
        <v>0</v>
      </c>
      <c r="X1253" s="692">
        <v>0</v>
      </c>
      <c r="Y1253" s="692">
        <v>0</v>
      </c>
      <c r="Z1253" s="692">
        <v>0</v>
      </c>
      <c r="AA1253" s="692">
        <v>0</v>
      </c>
      <c r="AB1253" s="692">
        <v>0</v>
      </c>
      <c r="AC1253" s="690">
        <v>0</v>
      </c>
      <c r="AD1253" s="690">
        <v>0</v>
      </c>
      <c r="AE1253" s="736"/>
      <c r="AF1253" s="736"/>
      <c r="AG1253" s="736"/>
      <c r="AH1253" s="736"/>
      <c r="AI1253" s="736"/>
      <c r="AJ1253" s="736"/>
      <c r="AK1253" s="736"/>
      <c r="AL1253" s="736"/>
      <c r="AM1253" s="736"/>
      <c r="AN1253" s="736"/>
      <c r="AO1253" s="736"/>
      <c r="AP1253" s="736"/>
      <c r="AQ1253" s="736"/>
      <c r="AR1253" s="736"/>
      <c r="AS1253" s="736"/>
      <c r="AT1253" s="736"/>
      <c r="AU1253" s="736"/>
      <c r="AV1253" s="736"/>
      <c r="AW1253" s="736"/>
      <c r="AX1253" s="736"/>
      <c r="AY1253" s="736"/>
      <c r="AZ1253" s="736"/>
      <c r="BA1253" s="736"/>
      <c r="BB1253" s="736"/>
      <c r="BC1253" s="736"/>
      <c r="BD1253" s="736"/>
      <c r="BE1253" s="736"/>
      <c r="BF1253" s="736"/>
      <c r="BG1253" s="736"/>
      <c r="BH1253" s="736"/>
      <c r="BI1253" s="736"/>
      <c r="BJ1253" s="736"/>
      <c r="BK1253" s="736"/>
      <c r="BL1253" s="736"/>
      <c r="BM1253" s="736"/>
      <c r="BN1253" s="736"/>
      <c r="BO1253" s="736"/>
      <c r="BP1253" s="736"/>
      <c r="BQ1253" s="736"/>
      <c r="BR1253" s="736"/>
      <c r="BS1253" s="736"/>
      <c r="BT1253" s="736"/>
      <c r="BU1253" s="736"/>
      <c r="BV1253" s="736"/>
      <c r="BW1253" s="736"/>
      <c r="BX1253" s="736"/>
      <c r="BY1253" s="736"/>
      <c r="BZ1253" s="736"/>
      <c r="CA1253" s="736"/>
    </row>
    <row r="1254" spans="1:79" s="452" customFormat="1" hidden="1" outlineLevel="1" x14ac:dyDescent="0.35">
      <c r="A1254" s="580"/>
      <c r="B1254" s="580"/>
      <c r="C1254" s="580"/>
      <c r="D1254" s="580"/>
      <c r="E1254" s="580"/>
      <c r="F1254" s="672" t="s">
        <v>619</v>
      </c>
      <c r="G1254" s="739"/>
      <c r="H1254" s="739"/>
      <c r="I1254" s="739"/>
      <c r="J1254" s="739"/>
      <c r="K1254" s="739"/>
      <c r="L1254" s="739"/>
      <c r="M1254" s="739"/>
      <c r="N1254" s="739"/>
      <c r="O1254" s="739"/>
      <c r="P1254" s="734"/>
      <c r="Q1254" s="734"/>
      <c r="R1254" s="733"/>
      <c r="S1254" s="692">
        <v>0</v>
      </c>
      <c r="T1254" s="692">
        <v>0</v>
      </c>
      <c r="U1254" s="692">
        <v>0</v>
      </c>
      <c r="V1254" s="692">
        <v>0</v>
      </c>
      <c r="W1254" s="692">
        <v>0</v>
      </c>
      <c r="X1254" s="692">
        <v>0</v>
      </c>
      <c r="Y1254" s="692">
        <v>0</v>
      </c>
      <c r="Z1254" s="692">
        <v>0</v>
      </c>
      <c r="AA1254" s="692">
        <v>0</v>
      </c>
      <c r="AB1254" s="692">
        <v>0</v>
      </c>
      <c r="AC1254" s="690">
        <v>0</v>
      </c>
      <c r="AD1254" s="690">
        <v>0</v>
      </c>
      <c r="AE1254" s="736"/>
      <c r="AF1254" s="736"/>
      <c r="AG1254" s="736"/>
      <c r="AH1254" s="736"/>
      <c r="AI1254" s="736"/>
      <c r="AJ1254" s="736"/>
      <c r="AK1254" s="736"/>
      <c r="AL1254" s="736"/>
      <c r="AM1254" s="736"/>
      <c r="AN1254" s="736"/>
      <c r="AO1254" s="736"/>
      <c r="AP1254" s="736"/>
      <c r="AQ1254" s="736"/>
      <c r="AR1254" s="736"/>
      <c r="AS1254" s="736"/>
      <c r="AT1254" s="736"/>
      <c r="AU1254" s="736"/>
      <c r="AV1254" s="736"/>
      <c r="AW1254" s="736"/>
      <c r="AX1254" s="736"/>
      <c r="AY1254" s="736"/>
      <c r="AZ1254" s="736"/>
      <c r="BA1254" s="736"/>
      <c r="BB1254" s="736"/>
      <c r="BC1254" s="736"/>
      <c r="BD1254" s="736"/>
      <c r="BE1254" s="736"/>
      <c r="BF1254" s="736"/>
      <c r="BG1254" s="736"/>
      <c r="BH1254" s="736"/>
      <c r="BI1254" s="736"/>
      <c r="BJ1254" s="736"/>
      <c r="BK1254" s="736"/>
      <c r="BL1254" s="736"/>
      <c r="BM1254" s="736"/>
      <c r="BN1254" s="736"/>
      <c r="BO1254" s="736"/>
      <c r="BP1254" s="736"/>
      <c r="BQ1254" s="736"/>
      <c r="BR1254" s="736"/>
      <c r="BS1254" s="736"/>
      <c r="BT1254" s="736"/>
      <c r="BU1254" s="736"/>
      <c r="BV1254" s="736"/>
      <c r="BW1254" s="736"/>
      <c r="BX1254" s="736"/>
      <c r="BY1254" s="736"/>
      <c r="BZ1254" s="736"/>
      <c r="CA1254" s="736"/>
    </row>
    <row r="1255" spans="1:79" s="452" customFormat="1" hidden="1" outlineLevel="1" x14ac:dyDescent="0.35">
      <c r="A1255" s="580"/>
      <c r="B1255" s="580"/>
      <c r="C1255" s="580"/>
      <c r="D1255" s="580"/>
      <c r="E1255" s="580"/>
      <c r="F1255" s="672" t="s">
        <v>894</v>
      </c>
      <c r="G1255" s="739"/>
      <c r="H1255" s="739"/>
      <c r="I1255" s="739"/>
      <c r="J1255" s="739"/>
      <c r="K1255" s="739"/>
      <c r="L1255" s="739"/>
      <c r="M1255" s="739"/>
      <c r="N1255" s="739"/>
      <c r="O1255" s="739"/>
      <c r="P1255" s="734"/>
      <c r="Q1255" s="734"/>
      <c r="R1255" s="733"/>
      <c r="S1255" s="692">
        <v>0</v>
      </c>
      <c r="T1255" s="692">
        <v>0</v>
      </c>
      <c r="U1255" s="692">
        <v>0</v>
      </c>
      <c r="V1255" s="692">
        <v>0</v>
      </c>
      <c r="W1255" s="692">
        <v>0</v>
      </c>
      <c r="X1255" s="692">
        <v>0</v>
      </c>
      <c r="Y1255" s="692">
        <v>0</v>
      </c>
      <c r="Z1255" s="692">
        <v>0</v>
      </c>
      <c r="AA1255" s="692">
        <v>0</v>
      </c>
      <c r="AB1255" s="692">
        <v>0</v>
      </c>
      <c r="AC1255" s="690">
        <v>0</v>
      </c>
      <c r="AD1255" s="690">
        <v>0</v>
      </c>
      <c r="AE1255" s="736"/>
      <c r="AF1255" s="736"/>
      <c r="AG1255" s="736"/>
      <c r="AH1255" s="736"/>
      <c r="AI1255" s="736"/>
      <c r="AJ1255" s="736"/>
      <c r="AK1255" s="736"/>
      <c r="AL1255" s="736"/>
      <c r="AM1255" s="736"/>
      <c r="AN1255" s="736"/>
      <c r="AO1255" s="736"/>
      <c r="AP1255" s="736"/>
      <c r="AQ1255" s="736"/>
      <c r="AR1255" s="736"/>
      <c r="AS1255" s="736"/>
      <c r="AT1255" s="736"/>
      <c r="AU1255" s="736"/>
      <c r="AV1255" s="736"/>
      <c r="AW1255" s="736"/>
      <c r="AX1255" s="736"/>
      <c r="AY1255" s="736"/>
      <c r="AZ1255" s="736"/>
      <c r="BA1255" s="736"/>
      <c r="BB1255" s="736"/>
      <c r="BC1255" s="736"/>
      <c r="BD1255" s="736"/>
      <c r="BE1255" s="736"/>
      <c r="BF1255" s="736"/>
      <c r="BG1255" s="736"/>
      <c r="BH1255" s="736"/>
      <c r="BI1255" s="736"/>
      <c r="BJ1255" s="736"/>
      <c r="BK1255" s="736"/>
      <c r="BL1255" s="736"/>
      <c r="BM1255" s="736"/>
      <c r="BN1255" s="736"/>
      <c r="BO1255" s="736"/>
      <c r="BP1255" s="736"/>
      <c r="BQ1255" s="736"/>
      <c r="BR1255" s="736"/>
      <c r="BS1255" s="736"/>
      <c r="BT1255" s="736"/>
      <c r="BU1255" s="736"/>
      <c r="BV1255" s="736"/>
      <c r="BW1255" s="736"/>
      <c r="BX1255" s="736"/>
      <c r="BY1255" s="736"/>
      <c r="BZ1255" s="736"/>
      <c r="CA1255" s="736"/>
    </row>
    <row r="1256" spans="1:79" s="452" customFormat="1" hidden="1" outlineLevel="1" x14ac:dyDescent="0.35">
      <c r="A1256" s="580"/>
      <c r="B1256" s="580"/>
      <c r="C1256" s="580"/>
      <c r="D1256" s="580"/>
      <c r="E1256" s="580"/>
      <c r="F1256" s="672" t="s">
        <v>620</v>
      </c>
      <c r="G1256" s="739"/>
      <c r="H1256" s="739"/>
      <c r="I1256" s="739"/>
      <c r="J1256" s="739"/>
      <c r="K1256" s="739"/>
      <c r="L1256" s="739"/>
      <c r="M1256" s="739"/>
      <c r="N1256" s="739"/>
      <c r="O1256" s="739"/>
      <c r="P1256" s="734"/>
      <c r="Q1256" s="734"/>
      <c r="R1256" s="733"/>
      <c r="S1256" s="692">
        <v>0</v>
      </c>
      <c r="T1256" s="692">
        <v>0</v>
      </c>
      <c r="U1256" s="692">
        <v>0</v>
      </c>
      <c r="V1256" s="692">
        <v>0</v>
      </c>
      <c r="W1256" s="692">
        <v>0</v>
      </c>
      <c r="X1256" s="692">
        <v>0</v>
      </c>
      <c r="Y1256" s="692">
        <v>0</v>
      </c>
      <c r="Z1256" s="692">
        <v>0</v>
      </c>
      <c r="AA1256" s="692">
        <v>0</v>
      </c>
      <c r="AB1256" s="692">
        <v>0</v>
      </c>
      <c r="AC1256" s="690">
        <v>0</v>
      </c>
      <c r="AD1256" s="690">
        <v>0</v>
      </c>
      <c r="AE1256" s="736"/>
      <c r="AF1256" s="736"/>
      <c r="AG1256" s="736"/>
      <c r="AH1256" s="736"/>
      <c r="AI1256" s="736"/>
      <c r="AJ1256" s="736"/>
      <c r="AK1256" s="736"/>
      <c r="AL1256" s="736"/>
      <c r="AM1256" s="736"/>
      <c r="AN1256" s="736"/>
      <c r="AO1256" s="736"/>
      <c r="AP1256" s="736"/>
      <c r="AQ1256" s="736"/>
      <c r="AR1256" s="736"/>
      <c r="AS1256" s="736"/>
      <c r="AT1256" s="736"/>
      <c r="AU1256" s="736"/>
      <c r="AV1256" s="736"/>
      <c r="AW1256" s="736"/>
      <c r="AX1256" s="736"/>
      <c r="AY1256" s="736"/>
      <c r="AZ1256" s="736"/>
      <c r="BA1256" s="736"/>
      <c r="BB1256" s="736"/>
      <c r="BC1256" s="736"/>
      <c r="BD1256" s="736"/>
      <c r="BE1256" s="736"/>
      <c r="BF1256" s="736"/>
      <c r="BG1256" s="736"/>
      <c r="BH1256" s="736"/>
      <c r="BI1256" s="736"/>
      <c r="BJ1256" s="736"/>
      <c r="BK1256" s="736"/>
      <c r="BL1256" s="736"/>
      <c r="BM1256" s="736"/>
      <c r="BN1256" s="736"/>
      <c r="BO1256" s="736"/>
      <c r="BP1256" s="736"/>
      <c r="BQ1256" s="736"/>
      <c r="BR1256" s="736"/>
      <c r="BS1256" s="736"/>
      <c r="BT1256" s="736"/>
      <c r="BU1256" s="736"/>
      <c r="BV1256" s="736"/>
      <c r="BW1256" s="736"/>
      <c r="BX1256" s="736"/>
      <c r="BY1256" s="736"/>
      <c r="BZ1256" s="736"/>
      <c r="CA1256" s="736"/>
    </row>
    <row r="1257" spans="1:79" s="757" customFormat="1" hidden="1" outlineLevel="1" x14ac:dyDescent="0.35">
      <c r="A1257" s="30"/>
      <c r="B1257" s="30"/>
      <c r="C1257" s="30"/>
      <c r="D1257" s="30"/>
      <c r="E1257" s="30"/>
      <c r="F1257" s="675" t="s">
        <v>621</v>
      </c>
      <c r="G1257" s="680">
        <f>SUM(G1240:G1256)</f>
        <v>0</v>
      </c>
      <c r="H1257" s="680">
        <f t="shared" ref="H1257:BO1257" si="485">SUM(H1240:H1256)</f>
        <v>0</v>
      </c>
      <c r="I1257" s="680">
        <f t="shared" si="485"/>
        <v>0</v>
      </c>
      <c r="J1257" s="680">
        <f t="shared" si="485"/>
        <v>0</v>
      </c>
      <c r="K1257" s="680">
        <f t="shared" si="485"/>
        <v>0</v>
      </c>
      <c r="L1257" s="680">
        <f t="shared" si="485"/>
        <v>0</v>
      </c>
      <c r="M1257" s="680">
        <f t="shared" si="485"/>
        <v>0</v>
      </c>
      <c r="N1257" s="680">
        <f t="shared" si="485"/>
        <v>0</v>
      </c>
      <c r="O1257" s="680">
        <f t="shared" si="485"/>
        <v>0</v>
      </c>
      <c r="P1257" s="680">
        <f t="shared" si="485"/>
        <v>0</v>
      </c>
      <c r="Q1257" s="680">
        <f t="shared" si="485"/>
        <v>0</v>
      </c>
      <c r="R1257" s="680">
        <f t="shared" si="485"/>
        <v>0</v>
      </c>
      <c r="S1257" s="694">
        <f t="shared" ref="S1257:AA1257" si="486">ROUND(SUM(S1239:S1256),5)</f>
        <v>0</v>
      </c>
      <c r="T1257" s="694">
        <f t="shared" si="486"/>
        <v>804.3</v>
      </c>
      <c r="U1257" s="694">
        <f t="shared" si="486"/>
        <v>0</v>
      </c>
      <c r="V1257" s="694">
        <f t="shared" si="486"/>
        <v>0</v>
      </c>
      <c r="W1257" s="694">
        <f t="shared" si="486"/>
        <v>0</v>
      </c>
      <c r="X1257" s="694">
        <f t="shared" si="486"/>
        <v>0</v>
      </c>
      <c r="Y1257" s="694">
        <f t="shared" si="486"/>
        <v>0</v>
      </c>
      <c r="Z1257" s="694">
        <f t="shared" si="486"/>
        <v>0</v>
      </c>
      <c r="AA1257" s="694">
        <f t="shared" si="486"/>
        <v>0</v>
      </c>
      <c r="AB1257" s="694">
        <f>ROUND(SUM(AB1239:AB1256),5)</f>
        <v>0</v>
      </c>
      <c r="AC1257" s="694">
        <f>ROUND(SUM(AC1239:AC1256),5)</f>
        <v>0</v>
      </c>
      <c r="AD1257" s="694">
        <f>ROUND(SUM(AD1239:AD1256),5)</f>
        <v>0</v>
      </c>
      <c r="AE1257" s="680">
        <f t="shared" si="485"/>
        <v>0</v>
      </c>
      <c r="AF1257" s="680">
        <f t="shared" si="485"/>
        <v>0</v>
      </c>
      <c r="AG1257" s="680">
        <f t="shared" si="485"/>
        <v>0</v>
      </c>
      <c r="AH1257" s="680">
        <f t="shared" si="485"/>
        <v>0</v>
      </c>
      <c r="AI1257" s="680">
        <f t="shared" si="485"/>
        <v>0</v>
      </c>
      <c r="AJ1257" s="680">
        <f t="shared" si="485"/>
        <v>0</v>
      </c>
      <c r="AK1257" s="680">
        <f t="shared" si="485"/>
        <v>0</v>
      </c>
      <c r="AL1257" s="680">
        <f t="shared" si="485"/>
        <v>0</v>
      </c>
      <c r="AM1257" s="680">
        <f t="shared" si="485"/>
        <v>0</v>
      </c>
      <c r="AN1257" s="680">
        <f t="shared" si="485"/>
        <v>0</v>
      </c>
      <c r="AO1257" s="680">
        <f t="shared" si="485"/>
        <v>0</v>
      </c>
      <c r="AP1257" s="680">
        <f t="shared" si="485"/>
        <v>0</v>
      </c>
      <c r="AQ1257" s="680">
        <f t="shared" si="485"/>
        <v>0</v>
      </c>
      <c r="AR1257" s="680">
        <f t="shared" si="485"/>
        <v>0</v>
      </c>
      <c r="AS1257" s="680">
        <f t="shared" si="485"/>
        <v>0</v>
      </c>
      <c r="AT1257" s="680">
        <f t="shared" si="485"/>
        <v>0</v>
      </c>
      <c r="AU1257" s="680">
        <f t="shared" si="485"/>
        <v>0</v>
      </c>
      <c r="AV1257" s="680">
        <f t="shared" si="485"/>
        <v>0</v>
      </c>
      <c r="AW1257" s="680">
        <f t="shared" si="485"/>
        <v>0</v>
      </c>
      <c r="AX1257" s="680">
        <f t="shared" si="485"/>
        <v>0</v>
      </c>
      <c r="AY1257" s="680">
        <f t="shared" si="485"/>
        <v>0</v>
      </c>
      <c r="AZ1257" s="680">
        <f t="shared" si="485"/>
        <v>0</v>
      </c>
      <c r="BA1257" s="680">
        <f t="shared" si="485"/>
        <v>0</v>
      </c>
      <c r="BB1257" s="680">
        <f t="shared" si="485"/>
        <v>0</v>
      </c>
      <c r="BC1257" s="680">
        <f t="shared" si="485"/>
        <v>0</v>
      </c>
      <c r="BD1257" s="680">
        <f t="shared" si="485"/>
        <v>0</v>
      </c>
      <c r="BE1257" s="680">
        <f t="shared" si="485"/>
        <v>0</v>
      </c>
      <c r="BF1257" s="680">
        <f t="shared" si="485"/>
        <v>0</v>
      </c>
      <c r="BG1257" s="680">
        <f t="shared" si="485"/>
        <v>0</v>
      </c>
      <c r="BH1257" s="680">
        <f t="shared" si="485"/>
        <v>0</v>
      </c>
      <c r="BI1257" s="680">
        <f t="shared" si="485"/>
        <v>0</v>
      </c>
      <c r="BJ1257" s="680">
        <f t="shared" si="485"/>
        <v>0</v>
      </c>
      <c r="BK1257" s="680">
        <f t="shared" si="485"/>
        <v>0</v>
      </c>
      <c r="BL1257" s="680">
        <f t="shared" si="485"/>
        <v>0</v>
      </c>
      <c r="BM1257" s="680">
        <f t="shared" si="485"/>
        <v>0</v>
      </c>
      <c r="BN1257" s="680">
        <f t="shared" si="485"/>
        <v>0</v>
      </c>
      <c r="BO1257" s="680">
        <f t="shared" si="485"/>
        <v>0</v>
      </c>
      <c r="BP1257" s="680">
        <f t="shared" ref="BP1257:CA1257" si="487">SUM(BP1240:BP1256)</f>
        <v>0</v>
      </c>
      <c r="BQ1257" s="680">
        <f t="shared" si="487"/>
        <v>0</v>
      </c>
      <c r="BR1257" s="680">
        <f t="shared" si="487"/>
        <v>0</v>
      </c>
      <c r="BS1257" s="680">
        <f t="shared" si="487"/>
        <v>0</v>
      </c>
      <c r="BT1257" s="680">
        <f t="shared" si="487"/>
        <v>0</v>
      </c>
      <c r="BU1257" s="680">
        <f t="shared" si="487"/>
        <v>0</v>
      </c>
      <c r="BV1257" s="680">
        <f t="shared" si="487"/>
        <v>0</v>
      </c>
      <c r="BW1257" s="680">
        <f t="shared" si="487"/>
        <v>0</v>
      </c>
      <c r="BX1257" s="680">
        <f t="shared" si="487"/>
        <v>0</v>
      </c>
      <c r="BY1257" s="680">
        <f t="shared" si="487"/>
        <v>0</v>
      </c>
      <c r="BZ1257" s="680">
        <f t="shared" si="487"/>
        <v>0</v>
      </c>
      <c r="CA1257" s="680">
        <f t="shared" si="487"/>
        <v>0</v>
      </c>
    </row>
    <row r="1258" spans="1:79" s="716" customFormat="1" hidden="1" outlineLevel="1" x14ac:dyDescent="0.35">
      <c r="A1258" s="726"/>
      <c r="B1258" s="726"/>
      <c r="C1258" s="726"/>
      <c r="D1258" s="726"/>
      <c r="E1258" s="726"/>
      <c r="F1258" s="707" t="s">
        <v>598</v>
      </c>
      <c r="G1258" s="782"/>
      <c r="H1258" s="782"/>
      <c r="I1258" s="782"/>
      <c r="J1258" s="782"/>
      <c r="K1258" s="782"/>
      <c r="L1258" s="782"/>
      <c r="M1258" s="782"/>
      <c r="N1258" s="782"/>
      <c r="O1258" s="782"/>
      <c r="P1258" s="753"/>
      <c r="Q1258" s="753"/>
      <c r="R1258" s="779"/>
      <c r="S1258" s="724"/>
      <c r="T1258" s="724"/>
      <c r="U1258" s="724"/>
      <c r="V1258" s="724"/>
      <c r="W1258" s="724"/>
      <c r="X1258" s="724"/>
      <c r="Y1258" s="724"/>
      <c r="Z1258" s="724"/>
      <c r="AA1258" s="724"/>
      <c r="AB1258" s="724"/>
      <c r="AC1258" s="723"/>
      <c r="AD1258" s="723"/>
      <c r="AE1258" s="752"/>
      <c r="AF1258" s="752"/>
      <c r="AG1258" s="752"/>
      <c r="AH1258" s="752"/>
      <c r="AI1258" s="752"/>
      <c r="AJ1258" s="752"/>
      <c r="AK1258" s="752"/>
      <c r="AL1258" s="752"/>
      <c r="AM1258" s="752"/>
      <c r="AN1258" s="752"/>
      <c r="AO1258" s="752"/>
      <c r="AP1258" s="752"/>
      <c r="AQ1258" s="752"/>
      <c r="AR1258" s="752"/>
      <c r="AS1258" s="752"/>
      <c r="AT1258" s="752"/>
      <c r="AU1258" s="752"/>
      <c r="AV1258" s="752"/>
      <c r="AW1258" s="752"/>
      <c r="AX1258" s="752"/>
      <c r="AY1258" s="752"/>
      <c r="AZ1258" s="752"/>
      <c r="BA1258" s="752"/>
      <c r="BB1258" s="752"/>
      <c r="BC1258" s="752"/>
      <c r="BD1258" s="752"/>
      <c r="BE1258" s="752"/>
      <c r="BF1258" s="752"/>
      <c r="BG1258" s="752"/>
      <c r="BH1258" s="752"/>
      <c r="BI1258" s="752"/>
      <c r="BJ1258" s="752"/>
      <c r="BK1258" s="752"/>
      <c r="BL1258" s="752"/>
      <c r="BM1258" s="752"/>
      <c r="BN1258" s="752"/>
      <c r="BO1258" s="752"/>
      <c r="BP1258" s="752"/>
      <c r="BQ1258" s="752"/>
      <c r="BR1258" s="752"/>
      <c r="BS1258" s="752"/>
      <c r="BT1258" s="752"/>
      <c r="BU1258" s="752"/>
      <c r="BV1258" s="752"/>
      <c r="BW1258" s="752"/>
      <c r="BX1258" s="752"/>
      <c r="BY1258" s="752"/>
      <c r="BZ1258" s="752"/>
      <c r="CA1258" s="752"/>
    </row>
    <row r="1259" spans="1:79" s="757" customFormat="1" hidden="1" outlineLevel="1" x14ac:dyDescent="0.35">
      <c r="A1259" s="575"/>
      <c r="B1259" s="575"/>
      <c r="C1259" s="575"/>
      <c r="D1259" s="575"/>
      <c r="E1259" s="575"/>
      <c r="F1259" s="672" t="s">
        <v>895</v>
      </c>
      <c r="G1259" s="739"/>
      <c r="H1259" s="739"/>
      <c r="I1259" s="739"/>
      <c r="J1259" s="739"/>
      <c r="K1259" s="739"/>
      <c r="L1259" s="739"/>
      <c r="M1259" s="739"/>
      <c r="N1259" s="739"/>
      <c r="O1259" s="739"/>
      <c r="P1259" s="734"/>
      <c r="Q1259" s="734"/>
      <c r="R1259" s="733"/>
      <c r="S1259" s="700">
        <v>0</v>
      </c>
      <c r="T1259" s="700">
        <v>0</v>
      </c>
      <c r="U1259" s="700">
        <v>0</v>
      </c>
      <c r="V1259" s="700">
        <v>0</v>
      </c>
      <c r="W1259" s="700">
        <v>0</v>
      </c>
      <c r="X1259" s="700">
        <v>0</v>
      </c>
      <c r="Y1259" s="700">
        <v>0</v>
      </c>
      <c r="Z1259" s="700">
        <v>0</v>
      </c>
      <c r="AA1259" s="700">
        <v>0</v>
      </c>
      <c r="AB1259" s="700">
        <v>0</v>
      </c>
      <c r="AC1259" s="698">
        <v>0</v>
      </c>
      <c r="AD1259" s="698">
        <v>0</v>
      </c>
      <c r="AE1259" s="736"/>
      <c r="AF1259" s="736"/>
      <c r="AG1259" s="736"/>
      <c r="AH1259" s="736"/>
      <c r="AI1259" s="736"/>
      <c r="AJ1259" s="736"/>
      <c r="AK1259" s="736"/>
      <c r="AL1259" s="736"/>
      <c r="AM1259" s="736"/>
      <c r="AN1259" s="736"/>
      <c r="AO1259" s="736"/>
      <c r="AP1259" s="736"/>
      <c r="AQ1259" s="736"/>
      <c r="AR1259" s="736"/>
      <c r="AS1259" s="736"/>
      <c r="AT1259" s="736"/>
      <c r="AU1259" s="736"/>
      <c r="AV1259" s="736"/>
      <c r="AW1259" s="736"/>
      <c r="AX1259" s="736"/>
      <c r="AY1259" s="736"/>
      <c r="AZ1259" s="736"/>
      <c r="BA1259" s="736"/>
      <c r="BB1259" s="736"/>
      <c r="BC1259" s="736"/>
      <c r="BD1259" s="736"/>
      <c r="BE1259" s="736"/>
      <c r="BF1259" s="736"/>
      <c r="BG1259" s="736"/>
      <c r="BH1259" s="736"/>
      <c r="BI1259" s="736"/>
      <c r="BJ1259" s="736"/>
      <c r="BK1259" s="736"/>
      <c r="BL1259" s="736"/>
      <c r="BM1259" s="736"/>
      <c r="BN1259" s="736"/>
      <c r="BO1259" s="736"/>
      <c r="BP1259" s="736"/>
      <c r="BQ1259" s="736"/>
      <c r="BR1259" s="736"/>
      <c r="BS1259" s="736"/>
      <c r="BT1259" s="736"/>
      <c r="BU1259" s="736"/>
      <c r="BV1259" s="736"/>
      <c r="BW1259" s="736"/>
      <c r="BX1259" s="736"/>
      <c r="BY1259" s="736"/>
      <c r="BZ1259" s="736"/>
      <c r="CA1259" s="736"/>
    </row>
    <row r="1260" spans="1:79" s="452" customFormat="1" hidden="1" outlineLevel="1" x14ac:dyDescent="0.35">
      <c r="A1260" s="438"/>
      <c r="B1260" s="438"/>
      <c r="C1260" s="438"/>
      <c r="D1260" s="438"/>
      <c r="E1260" s="438"/>
      <c r="F1260" s="672" t="s">
        <v>622</v>
      </c>
      <c r="G1260" s="735">
        <v>691.87656600000003</v>
      </c>
      <c r="H1260" s="735">
        <v>1079.3565915461684</v>
      </c>
      <c r="I1260" s="735">
        <v>1128.2962695256711</v>
      </c>
      <c r="J1260" s="735">
        <v>1610.7098211266123</v>
      </c>
      <c r="K1260" s="735">
        <v>1768.9209557104425</v>
      </c>
      <c r="L1260" s="735">
        <v>2023.0667339794591</v>
      </c>
      <c r="M1260" s="735">
        <v>2658.7432681218752</v>
      </c>
      <c r="N1260" s="735">
        <v>1629.564398029403</v>
      </c>
      <c r="O1260" s="735">
        <v>2132.0788222294791</v>
      </c>
      <c r="P1260" s="732">
        <v>4352.0478785044188</v>
      </c>
      <c r="Q1260" s="732">
        <v>622.55377909659751</v>
      </c>
      <c r="R1260" s="736">
        <v>136.97136219690498</v>
      </c>
      <c r="S1260" s="683">
        <v>2367.1799999999998</v>
      </c>
      <c r="T1260" s="683">
        <v>2724.16</v>
      </c>
      <c r="U1260" s="683">
        <v>2941.28</v>
      </c>
      <c r="V1260" s="683">
        <v>2316</v>
      </c>
      <c r="W1260" s="683">
        <v>2499.16</v>
      </c>
      <c r="X1260" s="683">
        <v>3201.35</v>
      </c>
      <c r="Y1260" s="683">
        <v>2295.84</v>
      </c>
      <c r="Z1260" s="683">
        <v>3095.99</v>
      </c>
      <c r="AA1260" s="683">
        <v>2444.3200000000002</v>
      </c>
      <c r="AB1260" s="683">
        <v>5038.9399999999996</v>
      </c>
      <c r="AC1260" s="702">
        <v>1426.62</v>
      </c>
      <c r="AD1260" s="702">
        <v>2248.34</v>
      </c>
      <c r="AE1260" s="736"/>
      <c r="AF1260" s="736"/>
      <c r="AG1260" s="736"/>
      <c r="AH1260" s="736"/>
      <c r="AI1260" s="736"/>
      <c r="AJ1260" s="736"/>
      <c r="AK1260" s="736"/>
      <c r="AL1260" s="736"/>
      <c r="AM1260" s="736"/>
      <c r="AN1260" s="736"/>
      <c r="AO1260" s="736"/>
      <c r="AP1260" s="736"/>
      <c r="AQ1260" s="736"/>
      <c r="AR1260" s="736"/>
      <c r="AS1260" s="736"/>
      <c r="AT1260" s="736"/>
      <c r="AU1260" s="736"/>
      <c r="AV1260" s="736"/>
      <c r="AW1260" s="736"/>
      <c r="AX1260" s="736"/>
      <c r="AY1260" s="736"/>
      <c r="AZ1260" s="736"/>
      <c r="BA1260" s="736"/>
      <c r="BB1260" s="736"/>
      <c r="BC1260" s="736"/>
      <c r="BD1260" s="736"/>
      <c r="BE1260" s="736"/>
      <c r="BF1260" s="736"/>
      <c r="BG1260" s="736"/>
      <c r="BH1260" s="736"/>
      <c r="BI1260" s="736"/>
      <c r="BJ1260" s="736"/>
      <c r="BK1260" s="736"/>
      <c r="BL1260" s="736"/>
      <c r="BM1260" s="736"/>
      <c r="BN1260" s="736"/>
      <c r="BO1260" s="736"/>
      <c r="BP1260" s="736"/>
      <c r="BQ1260" s="736"/>
      <c r="BR1260" s="736"/>
      <c r="BS1260" s="736"/>
      <c r="BT1260" s="736"/>
      <c r="BU1260" s="736"/>
      <c r="BV1260" s="736"/>
      <c r="BW1260" s="736"/>
      <c r="BX1260" s="736"/>
      <c r="BY1260" s="736"/>
      <c r="BZ1260" s="736"/>
      <c r="CA1260" s="736"/>
    </row>
    <row r="1261" spans="1:79" s="452" customFormat="1" hidden="1" outlineLevel="1" x14ac:dyDescent="0.35">
      <c r="A1261" s="574"/>
      <c r="B1261" s="574"/>
      <c r="C1261" s="574"/>
      <c r="D1261" s="574"/>
      <c r="E1261" s="574"/>
      <c r="F1261" s="673" t="s">
        <v>623</v>
      </c>
      <c r="G1261" s="680">
        <f>SUM(G1259:G1260)</f>
        <v>691.87656600000003</v>
      </c>
      <c r="H1261" s="680">
        <f t="shared" ref="H1261:BO1261" si="488">SUM(H1259:H1260)</f>
        <v>1079.3565915461684</v>
      </c>
      <c r="I1261" s="680">
        <f t="shared" si="488"/>
        <v>1128.2962695256711</v>
      </c>
      <c r="J1261" s="680">
        <f t="shared" si="488"/>
        <v>1610.7098211266123</v>
      </c>
      <c r="K1261" s="680">
        <f t="shared" si="488"/>
        <v>1768.9209557104425</v>
      </c>
      <c r="L1261" s="680">
        <f t="shared" si="488"/>
        <v>2023.0667339794591</v>
      </c>
      <c r="M1261" s="680">
        <f t="shared" si="488"/>
        <v>2658.7432681218752</v>
      </c>
      <c r="N1261" s="680">
        <f t="shared" si="488"/>
        <v>1629.564398029403</v>
      </c>
      <c r="O1261" s="680">
        <f t="shared" si="488"/>
        <v>2132.0788222294791</v>
      </c>
      <c r="P1261" s="680">
        <f t="shared" si="488"/>
        <v>4352.0478785044188</v>
      </c>
      <c r="Q1261" s="680">
        <f t="shared" si="488"/>
        <v>622.55377909659751</v>
      </c>
      <c r="R1261" s="680">
        <f t="shared" si="488"/>
        <v>136.97136219690498</v>
      </c>
      <c r="S1261" s="694">
        <f t="shared" ref="S1261:AA1261" si="489">ROUND(SUM(S1258:S1260),5)</f>
        <v>2367.1799999999998</v>
      </c>
      <c r="T1261" s="694">
        <f t="shared" si="489"/>
        <v>2724.16</v>
      </c>
      <c r="U1261" s="694">
        <f t="shared" si="489"/>
        <v>2941.28</v>
      </c>
      <c r="V1261" s="694">
        <f t="shared" si="489"/>
        <v>2316</v>
      </c>
      <c r="W1261" s="694">
        <f t="shared" si="489"/>
        <v>2499.16</v>
      </c>
      <c r="X1261" s="694">
        <f t="shared" si="489"/>
        <v>3201.35</v>
      </c>
      <c r="Y1261" s="694">
        <f t="shared" si="489"/>
        <v>2295.84</v>
      </c>
      <c r="Z1261" s="694">
        <f t="shared" si="489"/>
        <v>3095.99</v>
      </c>
      <c r="AA1261" s="694">
        <f t="shared" si="489"/>
        <v>2444.3200000000002</v>
      </c>
      <c r="AB1261" s="694">
        <f>ROUND(SUM(AB1258:AB1260),5)</f>
        <v>5038.9399999999996</v>
      </c>
      <c r="AC1261" s="694">
        <f>ROUND(SUM(AC1258:AC1260),5)</f>
        <v>1426.62</v>
      </c>
      <c r="AD1261" s="694">
        <f>ROUND(SUM(AD1258:AD1260),5)</f>
        <v>2248.34</v>
      </c>
      <c r="AE1261" s="680">
        <f t="shared" si="488"/>
        <v>0</v>
      </c>
      <c r="AF1261" s="680">
        <f t="shared" si="488"/>
        <v>0</v>
      </c>
      <c r="AG1261" s="680">
        <f t="shared" si="488"/>
        <v>0</v>
      </c>
      <c r="AH1261" s="680">
        <f t="shared" si="488"/>
        <v>0</v>
      </c>
      <c r="AI1261" s="680">
        <f t="shared" si="488"/>
        <v>0</v>
      </c>
      <c r="AJ1261" s="680">
        <f t="shared" si="488"/>
        <v>0</v>
      </c>
      <c r="AK1261" s="680">
        <f t="shared" si="488"/>
        <v>0</v>
      </c>
      <c r="AL1261" s="680">
        <f t="shared" si="488"/>
        <v>0</v>
      </c>
      <c r="AM1261" s="680">
        <f t="shared" si="488"/>
        <v>0</v>
      </c>
      <c r="AN1261" s="680">
        <f t="shared" si="488"/>
        <v>0</v>
      </c>
      <c r="AO1261" s="680">
        <f t="shared" si="488"/>
        <v>0</v>
      </c>
      <c r="AP1261" s="680">
        <f t="shared" si="488"/>
        <v>0</v>
      </c>
      <c r="AQ1261" s="680">
        <f t="shared" si="488"/>
        <v>0</v>
      </c>
      <c r="AR1261" s="680">
        <f t="shared" si="488"/>
        <v>0</v>
      </c>
      <c r="AS1261" s="680">
        <f t="shared" si="488"/>
        <v>0</v>
      </c>
      <c r="AT1261" s="680">
        <f t="shared" si="488"/>
        <v>0</v>
      </c>
      <c r="AU1261" s="680">
        <f t="shared" si="488"/>
        <v>0</v>
      </c>
      <c r="AV1261" s="680">
        <f t="shared" si="488"/>
        <v>0</v>
      </c>
      <c r="AW1261" s="680">
        <f t="shared" si="488"/>
        <v>0</v>
      </c>
      <c r="AX1261" s="680">
        <f t="shared" si="488"/>
        <v>0</v>
      </c>
      <c r="AY1261" s="680">
        <f t="shared" si="488"/>
        <v>0</v>
      </c>
      <c r="AZ1261" s="680">
        <f t="shared" si="488"/>
        <v>0</v>
      </c>
      <c r="BA1261" s="680">
        <f t="shared" si="488"/>
        <v>0</v>
      </c>
      <c r="BB1261" s="680">
        <f t="shared" si="488"/>
        <v>0</v>
      </c>
      <c r="BC1261" s="680">
        <f t="shared" si="488"/>
        <v>0</v>
      </c>
      <c r="BD1261" s="680">
        <f t="shared" si="488"/>
        <v>0</v>
      </c>
      <c r="BE1261" s="680">
        <f t="shared" si="488"/>
        <v>0</v>
      </c>
      <c r="BF1261" s="680">
        <f t="shared" si="488"/>
        <v>0</v>
      </c>
      <c r="BG1261" s="680">
        <f t="shared" si="488"/>
        <v>0</v>
      </c>
      <c r="BH1261" s="680">
        <f t="shared" si="488"/>
        <v>0</v>
      </c>
      <c r="BI1261" s="680">
        <f t="shared" si="488"/>
        <v>0</v>
      </c>
      <c r="BJ1261" s="680">
        <f t="shared" si="488"/>
        <v>0</v>
      </c>
      <c r="BK1261" s="680">
        <f t="shared" si="488"/>
        <v>0</v>
      </c>
      <c r="BL1261" s="680">
        <f t="shared" si="488"/>
        <v>0</v>
      </c>
      <c r="BM1261" s="680">
        <f t="shared" si="488"/>
        <v>0</v>
      </c>
      <c r="BN1261" s="680">
        <f t="shared" si="488"/>
        <v>0</v>
      </c>
      <c r="BO1261" s="680">
        <f t="shared" si="488"/>
        <v>0</v>
      </c>
      <c r="BP1261" s="680">
        <f t="shared" ref="BP1261:CA1261" si="490">SUM(BP1259:BP1260)</f>
        <v>0</v>
      </c>
      <c r="BQ1261" s="680">
        <f t="shared" si="490"/>
        <v>0</v>
      </c>
      <c r="BR1261" s="680">
        <f t="shared" si="490"/>
        <v>0</v>
      </c>
      <c r="BS1261" s="680">
        <f t="shared" si="490"/>
        <v>0</v>
      </c>
      <c r="BT1261" s="680">
        <f t="shared" si="490"/>
        <v>0</v>
      </c>
      <c r="BU1261" s="680">
        <f t="shared" si="490"/>
        <v>0</v>
      </c>
      <c r="BV1261" s="680">
        <f t="shared" si="490"/>
        <v>0</v>
      </c>
      <c r="BW1261" s="680">
        <f t="shared" si="490"/>
        <v>0</v>
      </c>
      <c r="BX1261" s="680">
        <f t="shared" si="490"/>
        <v>0</v>
      </c>
      <c r="BY1261" s="680">
        <f t="shared" si="490"/>
        <v>0</v>
      </c>
      <c r="BZ1261" s="680">
        <f t="shared" si="490"/>
        <v>0</v>
      </c>
      <c r="CA1261" s="680">
        <f t="shared" si="490"/>
        <v>0</v>
      </c>
    </row>
    <row r="1262" spans="1:79" s="452" customFormat="1" hidden="1" outlineLevel="1" x14ac:dyDescent="0.35">
      <c r="A1262" s="438"/>
      <c r="B1262" s="438"/>
      <c r="C1262" s="438"/>
      <c r="D1262" s="438"/>
      <c r="E1262" s="438"/>
      <c r="F1262" s="674" t="s">
        <v>599</v>
      </c>
      <c r="G1262" s="735">
        <v>98.42</v>
      </c>
      <c r="H1262" s="735">
        <v>33.42</v>
      </c>
      <c r="I1262" s="735">
        <v>-0.05</v>
      </c>
      <c r="J1262" s="735">
        <v>0.03</v>
      </c>
      <c r="K1262" s="735">
        <v>61.368455217537687</v>
      </c>
      <c r="L1262" s="735">
        <v>316.88113701048695</v>
      </c>
      <c r="M1262" s="735">
        <v>427.73165322369903</v>
      </c>
      <c r="N1262" s="735">
        <v>35.747942243091721</v>
      </c>
      <c r="O1262" s="735">
        <v>277.27</v>
      </c>
      <c r="P1262" s="732">
        <v>4354.5777000232592</v>
      </c>
      <c r="Q1262" s="732">
        <v>208.82757063807301</v>
      </c>
      <c r="R1262" s="736">
        <v>691.03467080768655</v>
      </c>
      <c r="S1262" s="683">
        <v>4652.57</v>
      </c>
      <c r="T1262" s="683">
        <v>57.42</v>
      </c>
      <c r="U1262" s="683">
        <v>111.83</v>
      </c>
      <c r="V1262" s="683">
        <v>463.34</v>
      </c>
      <c r="W1262" s="683">
        <v>217.87</v>
      </c>
      <c r="X1262" s="683">
        <v>1222.82</v>
      </c>
      <c r="Y1262" s="683">
        <v>545</v>
      </c>
      <c r="Z1262" s="683">
        <v>0</v>
      </c>
      <c r="AA1262" s="683">
        <v>-47.23</v>
      </c>
      <c r="AB1262" s="683">
        <v>2508.98</v>
      </c>
      <c r="AC1262" s="702">
        <v>5975</v>
      </c>
      <c r="AD1262" s="702">
        <v>-1799</v>
      </c>
      <c r="AE1262" s="736"/>
      <c r="AF1262" s="736"/>
      <c r="AG1262" s="736"/>
      <c r="AH1262" s="736"/>
      <c r="AI1262" s="736"/>
      <c r="AJ1262" s="736"/>
      <c r="AK1262" s="736"/>
      <c r="AL1262" s="736"/>
      <c r="AM1262" s="736"/>
      <c r="AN1262" s="736"/>
      <c r="AO1262" s="736"/>
      <c r="AP1262" s="736"/>
      <c r="AQ1262" s="736"/>
      <c r="AR1262" s="736"/>
      <c r="AS1262" s="736"/>
      <c r="AT1262" s="736"/>
      <c r="AU1262" s="736"/>
      <c r="AV1262" s="736"/>
      <c r="AW1262" s="736"/>
      <c r="AX1262" s="736"/>
      <c r="AY1262" s="736"/>
      <c r="AZ1262" s="736"/>
      <c r="BA1262" s="736"/>
      <c r="BB1262" s="736"/>
      <c r="BC1262" s="736"/>
      <c r="BD1262" s="736"/>
      <c r="BE1262" s="736"/>
      <c r="BF1262" s="736"/>
      <c r="BG1262" s="736"/>
      <c r="BH1262" s="736"/>
      <c r="BI1262" s="736"/>
      <c r="BJ1262" s="736"/>
      <c r="BK1262" s="736"/>
      <c r="BL1262" s="736"/>
      <c r="BM1262" s="736"/>
      <c r="BN1262" s="736"/>
      <c r="BO1262" s="736"/>
      <c r="BP1262" s="736"/>
      <c r="BQ1262" s="736"/>
      <c r="BR1262" s="736"/>
      <c r="BS1262" s="736"/>
      <c r="BT1262" s="736"/>
      <c r="BU1262" s="736"/>
      <c r="BV1262" s="736"/>
      <c r="BW1262" s="736"/>
      <c r="BX1262" s="736"/>
      <c r="BY1262" s="736"/>
      <c r="BZ1262" s="736"/>
      <c r="CA1262" s="736"/>
    </row>
    <row r="1263" spans="1:79" s="757" customFormat="1" hidden="1" outlineLevel="1" x14ac:dyDescent="0.35">
      <c r="A1263" s="438"/>
      <c r="B1263" s="438"/>
      <c r="C1263" s="438"/>
      <c r="D1263" s="438"/>
      <c r="E1263" s="438"/>
      <c r="F1263" s="674" t="s">
        <v>600</v>
      </c>
      <c r="G1263" s="735">
        <v>19.373822999999998</v>
      </c>
      <c r="H1263" s="735">
        <v>30.565473667670311</v>
      </c>
      <c r="I1263" s="735"/>
      <c r="J1263" s="735">
        <v>37.546650265912987</v>
      </c>
      <c r="K1263" s="735">
        <v>287.32059158971481</v>
      </c>
      <c r="L1263" s="735">
        <v>8.4877619209021855</v>
      </c>
      <c r="M1263" s="735"/>
      <c r="N1263" s="735">
        <v>18.163426080852577</v>
      </c>
      <c r="O1263" s="735">
        <v>4.2171941068269367</v>
      </c>
      <c r="P1263" s="732">
        <v>149.8511214184287</v>
      </c>
      <c r="Q1263" s="732">
        <v>285.34114157051124</v>
      </c>
      <c r="R1263" s="736">
        <v>112.1704079510651</v>
      </c>
      <c r="S1263" s="683">
        <v>128.16</v>
      </c>
      <c r="T1263" s="683">
        <v>284.20999999999998</v>
      </c>
      <c r="U1263" s="683">
        <v>72.7</v>
      </c>
      <c r="V1263" s="683">
        <v>42.48</v>
      </c>
      <c r="W1263" s="683">
        <v>132.84</v>
      </c>
      <c r="X1263" s="683">
        <v>127.07</v>
      </c>
      <c r="Y1263" s="683">
        <v>0</v>
      </c>
      <c r="Z1263" s="683">
        <v>0</v>
      </c>
      <c r="AA1263" s="683">
        <v>-1.18</v>
      </c>
      <c r="AB1263" s="683">
        <v>722</v>
      </c>
      <c r="AC1263" s="702">
        <v>-90.96</v>
      </c>
      <c r="AD1263" s="702">
        <v>69.52</v>
      </c>
      <c r="AE1263" s="736"/>
      <c r="AF1263" s="736"/>
      <c r="AG1263" s="736"/>
      <c r="AH1263" s="736"/>
      <c r="AI1263" s="736"/>
      <c r="AJ1263" s="736"/>
      <c r="AK1263" s="736"/>
      <c r="AL1263" s="736"/>
      <c r="AM1263" s="736"/>
      <c r="AN1263" s="736"/>
      <c r="AO1263" s="736"/>
      <c r="AP1263" s="736"/>
      <c r="AQ1263" s="736"/>
      <c r="AR1263" s="736"/>
      <c r="AS1263" s="736"/>
      <c r="AT1263" s="736"/>
      <c r="AU1263" s="736"/>
      <c r="AV1263" s="736"/>
      <c r="AW1263" s="736"/>
      <c r="AX1263" s="736"/>
      <c r="AY1263" s="736"/>
      <c r="AZ1263" s="736"/>
      <c r="BA1263" s="736"/>
      <c r="BB1263" s="736"/>
      <c r="BC1263" s="736"/>
      <c r="BD1263" s="736"/>
      <c r="BE1263" s="736"/>
      <c r="BF1263" s="736"/>
      <c r="BG1263" s="736"/>
      <c r="BH1263" s="736"/>
      <c r="BI1263" s="736"/>
      <c r="BJ1263" s="736"/>
      <c r="BK1263" s="736"/>
      <c r="BL1263" s="736"/>
      <c r="BM1263" s="736"/>
      <c r="BN1263" s="736"/>
      <c r="BO1263" s="736"/>
      <c r="BP1263" s="736"/>
      <c r="BQ1263" s="736"/>
      <c r="BR1263" s="736"/>
      <c r="BS1263" s="736"/>
      <c r="BT1263" s="736"/>
      <c r="BU1263" s="736"/>
      <c r="BV1263" s="736"/>
      <c r="BW1263" s="736"/>
      <c r="BX1263" s="736"/>
      <c r="BY1263" s="736"/>
      <c r="BZ1263" s="736"/>
      <c r="CA1263" s="736"/>
    </row>
    <row r="1264" spans="1:79" s="452" customFormat="1" hidden="1" outlineLevel="1" x14ac:dyDescent="0.35">
      <c r="A1264" s="438"/>
      <c r="B1264" s="438"/>
      <c r="C1264" s="438"/>
      <c r="D1264" s="438"/>
      <c r="E1264" s="438"/>
      <c r="F1264" s="674" t="s">
        <v>601</v>
      </c>
      <c r="G1264" s="735">
        <v>0</v>
      </c>
      <c r="H1264" s="735"/>
      <c r="I1264" s="735"/>
      <c r="J1264" s="735">
        <v>896.30386541500411</v>
      </c>
      <c r="K1264" s="735">
        <v>61.276540406927296</v>
      </c>
      <c r="L1264" s="735"/>
      <c r="M1264" s="735"/>
      <c r="N1264" s="735"/>
      <c r="O1264" s="735">
        <v>62.963346239878305</v>
      </c>
      <c r="P1264" s="732">
        <v>2.7950447425901612</v>
      </c>
      <c r="Q1264" s="732">
        <v>101.6731151096712</v>
      </c>
      <c r="R1264" s="736"/>
      <c r="S1264" s="683">
        <v>0</v>
      </c>
      <c r="T1264" s="683">
        <v>0</v>
      </c>
      <c r="U1264" s="683">
        <v>0</v>
      </c>
      <c r="V1264" s="683">
        <v>0</v>
      </c>
      <c r="W1264" s="683">
        <v>0</v>
      </c>
      <c r="X1264" s="683">
        <v>0</v>
      </c>
      <c r="Y1264" s="683">
        <v>0</v>
      </c>
      <c r="Z1264" s="683">
        <v>0</v>
      </c>
      <c r="AA1264" s="683">
        <v>0</v>
      </c>
      <c r="AB1264" s="683">
        <v>52.8</v>
      </c>
      <c r="AC1264" s="681">
        <v>0</v>
      </c>
      <c r="AD1264" s="681">
        <v>542.79999999999995</v>
      </c>
      <c r="AE1264" s="736"/>
      <c r="AF1264" s="736"/>
      <c r="AG1264" s="736"/>
      <c r="AH1264" s="736"/>
      <c r="AI1264" s="736"/>
      <c r="AJ1264" s="736"/>
      <c r="AK1264" s="736"/>
      <c r="AL1264" s="736"/>
      <c r="AM1264" s="736"/>
      <c r="AN1264" s="736"/>
      <c r="AO1264" s="736"/>
      <c r="AP1264" s="736"/>
      <c r="AQ1264" s="736"/>
      <c r="AR1264" s="736"/>
      <c r="AS1264" s="736"/>
      <c r="AT1264" s="736"/>
      <c r="AU1264" s="736"/>
      <c r="AV1264" s="736"/>
      <c r="AW1264" s="736"/>
      <c r="AX1264" s="736"/>
      <c r="AY1264" s="736"/>
      <c r="AZ1264" s="736"/>
      <c r="BA1264" s="736"/>
      <c r="BB1264" s="736"/>
      <c r="BC1264" s="736"/>
      <c r="BD1264" s="736"/>
      <c r="BE1264" s="736"/>
      <c r="BF1264" s="736"/>
      <c r="BG1264" s="736"/>
      <c r="BH1264" s="736"/>
      <c r="BI1264" s="736"/>
      <c r="BJ1264" s="736"/>
      <c r="BK1264" s="736"/>
      <c r="BL1264" s="736"/>
      <c r="BM1264" s="736"/>
      <c r="BN1264" s="736"/>
      <c r="BO1264" s="736"/>
      <c r="BP1264" s="736"/>
      <c r="BQ1264" s="736"/>
      <c r="BR1264" s="736"/>
      <c r="BS1264" s="736"/>
      <c r="BT1264" s="736"/>
      <c r="BU1264" s="736"/>
      <c r="BV1264" s="736"/>
      <c r="BW1264" s="736"/>
      <c r="BX1264" s="736"/>
      <c r="BY1264" s="736"/>
      <c r="BZ1264" s="736"/>
      <c r="CA1264" s="736"/>
    </row>
    <row r="1265" spans="1:79" s="709" customFormat="1" hidden="1" outlineLevel="1" x14ac:dyDescent="0.35">
      <c r="A1265" s="716"/>
      <c r="B1265" s="716"/>
      <c r="C1265" s="716"/>
      <c r="D1265" s="716"/>
      <c r="E1265" s="716"/>
      <c r="F1265" s="717" t="s">
        <v>602</v>
      </c>
      <c r="G1265" s="782"/>
      <c r="H1265" s="782"/>
      <c r="I1265" s="782"/>
      <c r="J1265" s="782"/>
      <c r="K1265" s="782"/>
      <c r="L1265" s="782"/>
      <c r="M1265" s="782"/>
      <c r="N1265" s="782"/>
      <c r="O1265" s="782"/>
      <c r="P1265" s="753"/>
      <c r="Q1265" s="753"/>
      <c r="R1265" s="779"/>
      <c r="S1265" s="713"/>
      <c r="T1265" s="713"/>
      <c r="U1265" s="713"/>
      <c r="V1265" s="713"/>
      <c r="W1265" s="713"/>
      <c r="X1265" s="713"/>
      <c r="Y1265" s="713"/>
      <c r="Z1265" s="713"/>
      <c r="AA1265" s="713"/>
      <c r="AB1265" s="713"/>
      <c r="AC1265" s="721"/>
      <c r="AD1265" s="721"/>
      <c r="AE1265" s="752"/>
      <c r="AF1265" s="752"/>
      <c r="AG1265" s="752"/>
      <c r="AH1265" s="752"/>
      <c r="AI1265" s="752"/>
      <c r="AJ1265" s="752"/>
      <c r="AK1265" s="752"/>
      <c r="AL1265" s="752"/>
      <c r="AM1265" s="752"/>
      <c r="AN1265" s="752"/>
      <c r="AO1265" s="752"/>
      <c r="AP1265" s="752"/>
      <c r="AQ1265" s="752"/>
      <c r="AR1265" s="752"/>
      <c r="AS1265" s="752"/>
      <c r="AT1265" s="752"/>
      <c r="AU1265" s="752"/>
      <c r="AV1265" s="752"/>
      <c r="AW1265" s="752"/>
      <c r="AX1265" s="752"/>
      <c r="AY1265" s="752"/>
      <c r="AZ1265" s="752"/>
      <c r="BA1265" s="752"/>
      <c r="BB1265" s="752"/>
      <c r="BC1265" s="752"/>
      <c r="BD1265" s="752"/>
      <c r="BE1265" s="752"/>
      <c r="BF1265" s="752"/>
      <c r="BG1265" s="752"/>
      <c r="BH1265" s="752"/>
      <c r="BI1265" s="752"/>
      <c r="BJ1265" s="752"/>
      <c r="BK1265" s="752"/>
      <c r="BL1265" s="752"/>
      <c r="BM1265" s="752"/>
      <c r="BN1265" s="752"/>
      <c r="BO1265" s="752"/>
      <c r="BP1265" s="752"/>
      <c r="BQ1265" s="752"/>
      <c r="BR1265" s="752"/>
      <c r="BS1265" s="752"/>
      <c r="BT1265" s="752"/>
      <c r="BU1265" s="752"/>
      <c r="BV1265" s="752"/>
      <c r="BW1265" s="752"/>
      <c r="BX1265" s="752"/>
      <c r="BY1265" s="752"/>
      <c r="BZ1265" s="752"/>
      <c r="CA1265" s="752"/>
    </row>
    <row r="1266" spans="1:79" s="757" customFormat="1" hidden="1" outlineLevel="1" x14ac:dyDescent="0.35">
      <c r="A1266" s="80"/>
      <c r="B1266" s="80"/>
      <c r="C1266" s="80"/>
      <c r="D1266" s="80"/>
      <c r="E1266" s="80"/>
      <c r="F1266" s="672" t="s">
        <v>653</v>
      </c>
      <c r="G1266" s="739"/>
      <c r="H1266" s="739"/>
      <c r="I1266" s="739"/>
      <c r="J1266" s="739"/>
      <c r="K1266" s="739"/>
      <c r="L1266" s="739"/>
      <c r="M1266" s="739"/>
      <c r="N1266" s="739"/>
      <c r="O1266" s="739"/>
      <c r="P1266" s="734"/>
      <c r="Q1266" s="734"/>
      <c r="R1266" s="733"/>
      <c r="S1266" s="692">
        <v>0</v>
      </c>
      <c r="T1266" s="692">
        <v>0</v>
      </c>
      <c r="U1266" s="692">
        <v>80</v>
      </c>
      <c r="V1266" s="692">
        <v>0</v>
      </c>
      <c r="W1266" s="692">
        <v>0</v>
      </c>
      <c r="X1266" s="692">
        <v>0</v>
      </c>
      <c r="Y1266" s="692">
        <v>0</v>
      </c>
      <c r="Z1266" s="692">
        <v>40</v>
      </c>
      <c r="AA1266" s="692">
        <v>40</v>
      </c>
      <c r="AB1266" s="692">
        <v>264</v>
      </c>
      <c r="AC1266" s="690">
        <v>261.75</v>
      </c>
      <c r="AD1266" s="690">
        <v>40</v>
      </c>
      <c r="AE1266" s="736"/>
      <c r="AF1266" s="736"/>
      <c r="AG1266" s="736"/>
      <c r="AH1266" s="736"/>
      <c r="AI1266" s="736"/>
      <c r="AJ1266" s="736"/>
      <c r="AK1266" s="736"/>
      <c r="AL1266" s="736"/>
      <c r="AM1266" s="736"/>
      <c r="AN1266" s="736"/>
      <c r="AO1266" s="736"/>
      <c r="AP1266" s="736"/>
      <c r="AQ1266" s="736"/>
      <c r="AR1266" s="736"/>
      <c r="AS1266" s="736"/>
      <c r="AT1266" s="736"/>
      <c r="AU1266" s="736"/>
      <c r="AV1266" s="736"/>
      <c r="AW1266" s="736"/>
      <c r="AX1266" s="736"/>
      <c r="AY1266" s="736"/>
      <c r="AZ1266" s="736"/>
      <c r="BA1266" s="736"/>
      <c r="BB1266" s="736"/>
      <c r="BC1266" s="736"/>
      <c r="BD1266" s="736"/>
      <c r="BE1266" s="736"/>
      <c r="BF1266" s="736"/>
      <c r="BG1266" s="736"/>
      <c r="BH1266" s="736"/>
      <c r="BI1266" s="736"/>
      <c r="BJ1266" s="736"/>
      <c r="BK1266" s="736"/>
      <c r="BL1266" s="736"/>
      <c r="BM1266" s="736"/>
      <c r="BN1266" s="736"/>
      <c r="BO1266" s="736"/>
      <c r="BP1266" s="736"/>
      <c r="BQ1266" s="736"/>
      <c r="BR1266" s="736"/>
      <c r="BS1266" s="736"/>
      <c r="BT1266" s="736"/>
      <c r="BU1266" s="736"/>
      <c r="BV1266" s="736"/>
      <c r="BW1266" s="736"/>
      <c r="BX1266" s="736"/>
      <c r="BY1266" s="736"/>
      <c r="BZ1266" s="736"/>
      <c r="CA1266" s="736"/>
    </row>
    <row r="1267" spans="1:79" s="757" customFormat="1" hidden="1" outlineLevel="1" x14ac:dyDescent="0.35">
      <c r="A1267" s="580"/>
      <c r="B1267" s="580"/>
      <c r="C1267" s="580"/>
      <c r="D1267" s="580"/>
      <c r="E1267" s="580"/>
      <c r="F1267" s="672" t="s">
        <v>624</v>
      </c>
      <c r="G1267" s="739"/>
      <c r="H1267" s="739"/>
      <c r="I1267" s="739"/>
      <c r="J1267" s="739"/>
      <c r="K1267" s="739"/>
      <c r="L1267" s="739"/>
      <c r="M1267" s="739"/>
      <c r="N1267" s="739"/>
      <c r="O1267" s="739"/>
      <c r="P1267" s="734"/>
      <c r="Q1267" s="734"/>
      <c r="R1267" s="733"/>
      <c r="S1267" s="683">
        <v>0</v>
      </c>
      <c r="T1267" s="683">
        <v>0</v>
      </c>
      <c r="U1267" s="683">
        <v>0</v>
      </c>
      <c r="V1267" s="683">
        <v>0</v>
      </c>
      <c r="W1267" s="683">
        <v>0</v>
      </c>
      <c r="X1267" s="683">
        <v>0</v>
      </c>
      <c r="Y1267" s="683">
        <v>0</v>
      </c>
      <c r="Z1267" s="683">
        <v>0</v>
      </c>
      <c r="AA1267" s="683">
        <v>0</v>
      </c>
      <c r="AB1267" s="683">
        <v>0</v>
      </c>
      <c r="AC1267" s="702">
        <v>0</v>
      </c>
      <c r="AD1267" s="702">
        <v>0</v>
      </c>
      <c r="AE1267" s="736"/>
      <c r="AF1267" s="736"/>
      <c r="AG1267" s="736"/>
      <c r="AH1267" s="736"/>
      <c r="AI1267" s="736"/>
      <c r="AJ1267" s="736"/>
      <c r="AK1267" s="736"/>
      <c r="AL1267" s="736"/>
      <c r="AM1267" s="736"/>
      <c r="AN1267" s="736"/>
      <c r="AO1267" s="736"/>
      <c r="AP1267" s="736"/>
      <c r="AQ1267" s="736"/>
      <c r="AR1267" s="736"/>
      <c r="AS1267" s="736"/>
      <c r="AT1267" s="736"/>
      <c r="AU1267" s="736"/>
      <c r="AV1267" s="736"/>
      <c r="AW1267" s="736"/>
      <c r="AX1267" s="736"/>
      <c r="AY1267" s="736"/>
      <c r="AZ1267" s="736"/>
      <c r="BA1267" s="736"/>
      <c r="BB1267" s="736"/>
      <c r="BC1267" s="736"/>
      <c r="BD1267" s="736"/>
      <c r="BE1267" s="736"/>
      <c r="BF1267" s="736"/>
      <c r="BG1267" s="736"/>
      <c r="BH1267" s="736"/>
      <c r="BI1267" s="736"/>
      <c r="BJ1267" s="736"/>
      <c r="BK1267" s="736"/>
      <c r="BL1267" s="736"/>
      <c r="BM1267" s="736"/>
      <c r="BN1267" s="736"/>
      <c r="BO1267" s="736"/>
      <c r="BP1267" s="736"/>
      <c r="BQ1267" s="736"/>
      <c r="BR1267" s="736"/>
      <c r="BS1267" s="736"/>
      <c r="BT1267" s="736"/>
      <c r="BU1267" s="736"/>
      <c r="BV1267" s="736"/>
      <c r="BW1267" s="736"/>
      <c r="BX1267" s="736"/>
      <c r="BY1267" s="736"/>
      <c r="BZ1267" s="736"/>
      <c r="CA1267" s="736"/>
    </row>
    <row r="1268" spans="1:79" s="452" customFormat="1" hidden="1" outlineLevel="1" x14ac:dyDescent="0.35">
      <c r="A1268" s="80"/>
      <c r="B1268" s="80"/>
      <c r="C1268" s="80"/>
      <c r="D1268" s="80"/>
      <c r="E1268" s="80"/>
      <c r="F1268" s="672" t="s">
        <v>670</v>
      </c>
      <c r="G1268" s="739"/>
      <c r="H1268" s="739"/>
      <c r="I1268" s="739"/>
      <c r="J1268" s="739"/>
      <c r="K1268" s="739"/>
      <c r="L1268" s="739"/>
      <c r="M1268" s="739"/>
      <c r="N1268" s="739"/>
      <c r="O1268" s="739"/>
      <c r="P1268" s="734"/>
      <c r="Q1268" s="734"/>
      <c r="R1268" s="733"/>
      <c r="S1268" s="683">
        <v>8274.06</v>
      </c>
      <c r="T1268" s="683">
        <v>5240.5</v>
      </c>
      <c r="U1268" s="683">
        <v>3966.47</v>
      </c>
      <c r="V1268" s="683">
        <v>7818.65</v>
      </c>
      <c r="W1268" s="683">
        <v>10493.85</v>
      </c>
      <c r="X1268" s="683">
        <v>49141.5</v>
      </c>
      <c r="Y1268" s="683">
        <v>50679</v>
      </c>
      <c r="Z1268" s="683">
        <v>30210.400000000001</v>
      </c>
      <c r="AA1268" s="683">
        <v>66000</v>
      </c>
      <c r="AB1268" s="683">
        <v>51201.15</v>
      </c>
      <c r="AC1268" s="702">
        <v>33398.67</v>
      </c>
      <c r="AD1268" s="702">
        <v>46905.67</v>
      </c>
      <c r="AE1268" s="736"/>
      <c r="AF1268" s="736"/>
      <c r="AG1268" s="736"/>
      <c r="AH1268" s="736"/>
      <c r="AI1268" s="736"/>
      <c r="AJ1268" s="736"/>
      <c r="AK1268" s="736"/>
      <c r="AL1268" s="736"/>
      <c r="AM1268" s="736"/>
      <c r="AN1268" s="736"/>
      <c r="AO1268" s="736"/>
      <c r="AP1268" s="736"/>
      <c r="AQ1268" s="736"/>
      <c r="AR1268" s="736"/>
      <c r="AS1268" s="736"/>
      <c r="AT1268" s="736"/>
      <c r="AU1268" s="736"/>
      <c r="AV1268" s="736"/>
      <c r="AW1268" s="736"/>
      <c r="AX1268" s="736"/>
      <c r="AY1268" s="736"/>
      <c r="AZ1268" s="736"/>
      <c r="BA1268" s="736"/>
      <c r="BB1268" s="736"/>
      <c r="BC1268" s="736"/>
      <c r="BD1268" s="736"/>
      <c r="BE1268" s="736"/>
      <c r="BF1268" s="736"/>
      <c r="BG1268" s="736"/>
      <c r="BH1268" s="736"/>
      <c r="BI1268" s="736"/>
      <c r="BJ1268" s="736"/>
      <c r="BK1268" s="736"/>
      <c r="BL1268" s="736"/>
      <c r="BM1268" s="736"/>
      <c r="BN1268" s="736"/>
      <c r="BO1268" s="736"/>
      <c r="BP1268" s="736"/>
      <c r="BQ1268" s="736"/>
      <c r="BR1268" s="736"/>
      <c r="BS1268" s="736"/>
      <c r="BT1268" s="736"/>
      <c r="BU1268" s="736"/>
      <c r="BV1268" s="736"/>
      <c r="BW1268" s="736"/>
      <c r="BX1268" s="736"/>
      <c r="BY1268" s="736"/>
      <c r="BZ1268" s="736"/>
      <c r="CA1268" s="736"/>
    </row>
    <row r="1269" spans="1:79" s="309" customFormat="1" hidden="1" outlineLevel="1" x14ac:dyDescent="0.35">
      <c r="A1269" s="80"/>
      <c r="B1269" s="80"/>
      <c r="C1269" s="80"/>
      <c r="D1269" s="80"/>
      <c r="E1269" s="80"/>
      <c r="F1269" s="672" t="s">
        <v>625</v>
      </c>
      <c r="G1269" s="739"/>
      <c r="H1269" s="739"/>
      <c r="I1269" s="739"/>
      <c r="J1269" s="739"/>
      <c r="K1269" s="739"/>
      <c r="L1269" s="739"/>
      <c r="M1269" s="739"/>
      <c r="N1269" s="739"/>
      <c r="O1269" s="739"/>
      <c r="P1269" s="734"/>
      <c r="Q1269" s="734"/>
      <c r="R1269" s="733"/>
      <c r="S1269" s="683">
        <v>0</v>
      </c>
      <c r="T1269" s="683">
        <v>0</v>
      </c>
      <c r="U1269" s="683">
        <v>115</v>
      </c>
      <c r="V1269" s="683">
        <v>248.75</v>
      </c>
      <c r="W1269" s="683">
        <v>355.75</v>
      </c>
      <c r="X1269" s="683">
        <v>115</v>
      </c>
      <c r="Y1269" s="683">
        <v>115</v>
      </c>
      <c r="Z1269" s="683">
        <v>115</v>
      </c>
      <c r="AA1269" s="683">
        <v>115</v>
      </c>
      <c r="AB1269" s="683">
        <v>5115</v>
      </c>
      <c r="AC1269" s="702">
        <v>10000</v>
      </c>
      <c r="AD1269" s="702">
        <v>3567.6</v>
      </c>
      <c r="AE1269" s="736"/>
      <c r="AF1269" s="736"/>
      <c r="AG1269" s="736"/>
      <c r="AH1269" s="736"/>
      <c r="AI1269" s="736"/>
      <c r="AJ1269" s="736"/>
      <c r="AK1269" s="736"/>
      <c r="AL1269" s="736"/>
      <c r="AM1269" s="736"/>
      <c r="AN1269" s="736"/>
      <c r="AO1269" s="736"/>
      <c r="AP1269" s="736"/>
      <c r="AQ1269" s="736"/>
      <c r="AR1269" s="736"/>
      <c r="AS1269" s="736"/>
      <c r="AT1269" s="736"/>
      <c r="AU1269" s="736"/>
      <c r="AV1269" s="736"/>
      <c r="AW1269" s="736"/>
      <c r="AX1269" s="736"/>
      <c r="AY1269" s="736"/>
      <c r="AZ1269" s="736"/>
      <c r="BA1269" s="736"/>
      <c r="BB1269" s="736"/>
      <c r="BC1269" s="736"/>
      <c r="BD1269" s="736"/>
      <c r="BE1269" s="736"/>
      <c r="BF1269" s="736"/>
      <c r="BG1269" s="736"/>
      <c r="BH1269" s="736"/>
      <c r="BI1269" s="736"/>
      <c r="BJ1269" s="736"/>
      <c r="BK1269" s="736"/>
      <c r="BL1269" s="736"/>
      <c r="BM1269" s="736"/>
      <c r="BN1269" s="736"/>
      <c r="BO1269" s="736"/>
      <c r="BP1269" s="736"/>
      <c r="BQ1269" s="736"/>
      <c r="BR1269" s="736"/>
      <c r="BS1269" s="736"/>
      <c r="BT1269" s="736"/>
      <c r="BU1269" s="736"/>
      <c r="BV1269" s="736"/>
      <c r="BW1269" s="736"/>
      <c r="BX1269" s="736"/>
      <c r="BY1269" s="736"/>
      <c r="BZ1269" s="736"/>
      <c r="CA1269" s="736"/>
    </row>
    <row r="1270" spans="1:79" s="309" customFormat="1" hidden="1" outlineLevel="1" x14ac:dyDescent="0.35">
      <c r="A1270" s="580"/>
      <c r="B1270" s="580"/>
      <c r="C1270" s="580"/>
      <c r="D1270" s="580"/>
      <c r="E1270" s="580"/>
      <c r="F1270" s="672" t="s">
        <v>654</v>
      </c>
      <c r="G1270" s="739"/>
      <c r="H1270" s="739"/>
      <c r="I1270" s="739"/>
      <c r="J1270" s="739"/>
      <c r="K1270" s="739"/>
      <c r="L1270" s="739"/>
      <c r="M1270" s="739"/>
      <c r="N1270" s="739"/>
      <c r="O1270" s="739"/>
      <c r="P1270" s="734"/>
      <c r="Q1270" s="734"/>
      <c r="R1270" s="733"/>
      <c r="S1270" s="683">
        <v>0</v>
      </c>
      <c r="T1270" s="683">
        <v>0</v>
      </c>
      <c r="U1270" s="683">
        <v>0</v>
      </c>
      <c r="V1270" s="683">
        <v>0</v>
      </c>
      <c r="W1270" s="683">
        <v>0</v>
      </c>
      <c r="X1270" s="683">
        <v>0</v>
      </c>
      <c r="Y1270" s="683">
        <v>0</v>
      </c>
      <c r="Z1270" s="683">
        <v>0</v>
      </c>
      <c r="AA1270" s="683">
        <v>0</v>
      </c>
      <c r="AB1270" s="683">
        <v>0</v>
      </c>
      <c r="AC1270" s="702">
        <v>0</v>
      </c>
      <c r="AD1270" s="702">
        <v>0</v>
      </c>
      <c r="AE1270" s="736"/>
      <c r="AF1270" s="736"/>
      <c r="AG1270" s="736"/>
      <c r="AH1270" s="736"/>
      <c r="AI1270" s="736"/>
      <c r="AJ1270" s="736"/>
      <c r="AK1270" s="736"/>
      <c r="AL1270" s="736"/>
      <c r="AM1270" s="736"/>
      <c r="AN1270" s="736"/>
      <c r="AO1270" s="736"/>
      <c r="AP1270" s="736"/>
      <c r="AQ1270" s="736"/>
      <c r="AR1270" s="736"/>
      <c r="AS1270" s="736"/>
      <c r="AT1270" s="736"/>
      <c r="AU1270" s="736"/>
      <c r="AV1270" s="736"/>
      <c r="AW1270" s="736"/>
      <c r="AX1270" s="736"/>
      <c r="AY1270" s="736"/>
      <c r="AZ1270" s="736"/>
      <c r="BA1270" s="736"/>
      <c r="BB1270" s="736"/>
      <c r="BC1270" s="736"/>
      <c r="BD1270" s="736"/>
      <c r="BE1270" s="736"/>
      <c r="BF1270" s="736"/>
      <c r="BG1270" s="736"/>
      <c r="BH1270" s="736"/>
      <c r="BI1270" s="736"/>
      <c r="BJ1270" s="736"/>
      <c r="BK1270" s="736"/>
      <c r="BL1270" s="736"/>
      <c r="BM1270" s="736"/>
      <c r="BN1270" s="736"/>
      <c r="BO1270" s="736"/>
      <c r="BP1270" s="736"/>
      <c r="BQ1270" s="736"/>
      <c r="BR1270" s="736"/>
      <c r="BS1270" s="736"/>
      <c r="BT1270" s="736"/>
      <c r="BU1270" s="736"/>
      <c r="BV1270" s="736"/>
      <c r="BW1270" s="736"/>
      <c r="BX1270" s="736"/>
      <c r="BY1270" s="736"/>
      <c r="BZ1270" s="736"/>
      <c r="CA1270" s="736"/>
    </row>
    <row r="1271" spans="1:79" s="309" customFormat="1" hidden="1" outlineLevel="1" x14ac:dyDescent="0.35">
      <c r="A1271" s="580"/>
      <c r="B1271" s="580"/>
      <c r="C1271" s="580"/>
      <c r="D1271" s="580"/>
      <c r="E1271" s="580"/>
      <c r="F1271" s="672" t="s">
        <v>651</v>
      </c>
      <c r="G1271" s="739"/>
      <c r="H1271" s="739"/>
      <c r="I1271" s="739"/>
      <c r="J1271" s="739"/>
      <c r="K1271" s="739"/>
      <c r="L1271" s="739"/>
      <c r="M1271" s="739"/>
      <c r="N1271" s="739"/>
      <c r="O1271" s="739"/>
      <c r="P1271" s="734"/>
      <c r="Q1271" s="734"/>
      <c r="R1271" s="733"/>
      <c r="S1271" s="700">
        <v>0</v>
      </c>
      <c r="T1271" s="700">
        <v>0</v>
      </c>
      <c r="U1271" s="700">
        <v>0</v>
      </c>
      <c r="V1271" s="700">
        <v>0</v>
      </c>
      <c r="W1271" s="700">
        <v>0</v>
      </c>
      <c r="X1271" s="700">
        <v>0</v>
      </c>
      <c r="Y1271" s="700">
        <v>0</v>
      </c>
      <c r="Z1271" s="700">
        <v>0</v>
      </c>
      <c r="AA1271" s="700">
        <v>0</v>
      </c>
      <c r="AB1271" s="700">
        <v>0</v>
      </c>
      <c r="AC1271" s="702">
        <v>0</v>
      </c>
      <c r="AD1271" s="702">
        <v>0</v>
      </c>
      <c r="AE1271" s="736"/>
      <c r="AF1271" s="736"/>
      <c r="AG1271" s="736"/>
      <c r="AH1271" s="736"/>
      <c r="AI1271" s="736"/>
      <c r="AJ1271" s="736"/>
      <c r="AK1271" s="736"/>
      <c r="AL1271" s="736"/>
      <c r="AM1271" s="736"/>
      <c r="AN1271" s="736"/>
      <c r="AO1271" s="736"/>
      <c r="AP1271" s="736"/>
      <c r="AQ1271" s="736"/>
      <c r="AR1271" s="736"/>
      <c r="AS1271" s="736"/>
      <c r="AT1271" s="736"/>
      <c r="AU1271" s="736"/>
      <c r="AV1271" s="736"/>
      <c r="AW1271" s="736"/>
      <c r="AX1271" s="736"/>
      <c r="AY1271" s="736"/>
      <c r="AZ1271" s="736"/>
      <c r="BA1271" s="736"/>
      <c r="BB1271" s="736"/>
      <c r="BC1271" s="736"/>
      <c r="BD1271" s="736"/>
      <c r="BE1271" s="736"/>
      <c r="BF1271" s="736"/>
      <c r="BG1271" s="736"/>
      <c r="BH1271" s="736"/>
      <c r="BI1271" s="736"/>
      <c r="BJ1271" s="736"/>
      <c r="BK1271" s="736"/>
      <c r="BL1271" s="736"/>
      <c r="BM1271" s="736"/>
      <c r="BN1271" s="736"/>
      <c r="BO1271" s="736"/>
      <c r="BP1271" s="736"/>
      <c r="BQ1271" s="736"/>
      <c r="BR1271" s="736"/>
      <c r="BS1271" s="736"/>
      <c r="BT1271" s="736"/>
      <c r="BU1271" s="736"/>
      <c r="BV1271" s="736"/>
      <c r="BW1271" s="736"/>
      <c r="BX1271" s="736"/>
      <c r="BY1271" s="736"/>
      <c r="BZ1271" s="736"/>
      <c r="CA1271" s="736"/>
    </row>
    <row r="1272" spans="1:79" s="309" customFormat="1" hidden="1" outlineLevel="1" x14ac:dyDescent="0.35">
      <c r="A1272" s="580"/>
      <c r="B1272" s="580"/>
      <c r="C1272" s="580"/>
      <c r="D1272" s="580"/>
      <c r="E1272" s="580"/>
      <c r="F1272" s="672" t="s">
        <v>896</v>
      </c>
      <c r="G1272" s="739"/>
      <c r="H1272" s="739"/>
      <c r="I1272" s="739"/>
      <c r="J1272" s="739"/>
      <c r="K1272" s="739"/>
      <c r="L1272" s="739"/>
      <c r="M1272" s="739"/>
      <c r="N1272" s="739"/>
      <c r="O1272" s="739"/>
      <c r="P1272" s="734"/>
      <c r="Q1272" s="734"/>
      <c r="R1272" s="733"/>
      <c r="S1272" s="700">
        <v>0</v>
      </c>
      <c r="T1272" s="700">
        <v>0</v>
      </c>
      <c r="U1272" s="700">
        <v>0</v>
      </c>
      <c r="V1272" s="700">
        <v>0</v>
      </c>
      <c r="W1272" s="700">
        <v>0</v>
      </c>
      <c r="X1272" s="700">
        <v>0</v>
      </c>
      <c r="Y1272" s="700">
        <v>0</v>
      </c>
      <c r="Z1272" s="700">
        <v>0</v>
      </c>
      <c r="AA1272" s="700">
        <v>0</v>
      </c>
      <c r="AB1272" s="700">
        <v>0</v>
      </c>
      <c r="AC1272" s="702">
        <v>0</v>
      </c>
      <c r="AD1272" s="702">
        <v>0</v>
      </c>
      <c r="AE1272" s="736"/>
      <c r="AF1272" s="736"/>
      <c r="AG1272" s="736"/>
      <c r="AH1272" s="736"/>
      <c r="AI1272" s="736"/>
      <c r="AJ1272" s="736"/>
      <c r="AK1272" s="736"/>
      <c r="AL1272" s="736"/>
      <c r="AM1272" s="736"/>
      <c r="AN1272" s="736"/>
      <c r="AO1272" s="736"/>
      <c r="AP1272" s="736"/>
      <c r="AQ1272" s="736"/>
      <c r="AR1272" s="736"/>
      <c r="AS1272" s="736"/>
      <c r="AT1272" s="736"/>
      <c r="AU1272" s="736"/>
      <c r="AV1272" s="736"/>
      <c r="AW1272" s="736"/>
      <c r="AX1272" s="736"/>
      <c r="AY1272" s="736"/>
      <c r="AZ1272" s="736"/>
      <c r="BA1272" s="736"/>
      <c r="BB1272" s="736"/>
      <c r="BC1272" s="736"/>
      <c r="BD1272" s="736"/>
      <c r="BE1272" s="736"/>
      <c r="BF1272" s="736"/>
      <c r="BG1272" s="736"/>
      <c r="BH1272" s="736"/>
      <c r="BI1272" s="736"/>
      <c r="BJ1272" s="736"/>
      <c r="BK1272" s="736"/>
      <c r="BL1272" s="736"/>
      <c r="BM1272" s="736"/>
      <c r="BN1272" s="736"/>
      <c r="BO1272" s="736"/>
      <c r="BP1272" s="736"/>
      <c r="BQ1272" s="736"/>
      <c r="BR1272" s="736"/>
      <c r="BS1272" s="736"/>
      <c r="BT1272" s="736"/>
      <c r="BU1272" s="736"/>
      <c r="BV1272" s="736"/>
      <c r="BW1272" s="736"/>
      <c r="BX1272" s="736"/>
      <c r="BY1272" s="736"/>
      <c r="BZ1272" s="736"/>
      <c r="CA1272" s="736"/>
    </row>
    <row r="1273" spans="1:79" s="309" customFormat="1" hidden="1" outlineLevel="1" x14ac:dyDescent="0.35">
      <c r="A1273" s="580"/>
      <c r="B1273" s="580"/>
      <c r="C1273" s="580"/>
      <c r="D1273" s="580"/>
      <c r="E1273" s="580"/>
      <c r="F1273" s="672" t="s">
        <v>689</v>
      </c>
      <c r="G1273" s="739"/>
      <c r="H1273" s="739"/>
      <c r="I1273" s="739"/>
      <c r="J1273" s="739"/>
      <c r="K1273" s="739"/>
      <c r="L1273" s="739"/>
      <c r="M1273" s="739"/>
      <c r="N1273" s="739"/>
      <c r="O1273" s="739"/>
      <c r="P1273" s="734"/>
      <c r="Q1273" s="734"/>
      <c r="R1273" s="733"/>
      <c r="S1273" s="683">
        <v>0</v>
      </c>
      <c r="T1273" s="683">
        <v>0</v>
      </c>
      <c r="U1273" s="683">
        <v>0</v>
      </c>
      <c r="V1273" s="683">
        <v>0</v>
      </c>
      <c r="W1273" s="683">
        <v>360.52</v>
      </c>
      <c r="X1273" s="683">
        <v>0</v>
      </c>
      <c r="Y1273" s="683">
        <v>0</v>
      </c>
      <c r="Z1273" s="683">
        <v>0</v>
      </c>
      <c r="AA1273" s="683">
        <v>0</v>
      </c>
      <c r="AB1273" s="683">
        <v>0</v>
      </c>
      <c r="AC1273" s="702">
        <v>0</v>
      </c>
      <c r="AD1273" s="702">
        <v>0</v>
      </c>
      <c r="AE1273" s="736"/>
      <c r="AF1273" s="736"/>
      <c r="AG1273" s="736"/>
      <c r="AH1273" s="736"/>
      <c r="AI1273" s="736"/>
      <c r="AJ1273" s="736"/>
      <c r="AK1273" s="736"/>
      <c r="AL1273" s="736"/>
      <c r="AM1273" s="736"/>
      <c r="AN1273" s="736"/>
      <c r="AO1273" s="736"/>
      <c r="AP1273" s="736"/>
      <c r="AQ1273" s="736"/>
      <c r="AR1273" s="736"/>
      <c r="AS1273" s="736"/>
      <c r="AT1273" s="736"/>
      <c r="AU1273" s="736"/>
      <c r="AV1273" s="736"/>
      <c r="AW1273" s="736"/>
      <c r="AX1273" s="736"/>
      <c r="AY1273" s="736"/>
      <c r="AZ1273" s="736"/>
      <c r="BA1273" s="736"/>
      <c r="BB1273" s="736"/>
      <c r="BC1273" s="736"/>
      <c r="BD1273" s="736"/>
      <c r="BE1273" s="736"/>
      <c r="BF1273" s="736"/>
      <c r="BG1273" s="736"/>
      <c r="BH1273" s="736"/>
      <c r="BI1273" s="736"/>
      <c r="BJ1273" s="736"/>
      <c r="BK1273" s="736"/>
      <c r="BL1273" s="736"/>
      <c r="BM1273" s="736"/>
      <c r="BN1273" s="736"/>
      <c r="BO1273" s="736"/>
      <c r="BP1273" s="736"/>
      <c r="BQ1273" s="736"/>
      <c r="BR1273" s="736"/>
      <c r="BS1273" s="736"/>
      <c r="BT1273" s="736"/>
      <c r="BU1273" s="736"/>
      <c r="BV1273" s="736"/>
      <c r="BW1273" s="736"/>
      <c r="BX1273" s="736"/>
      <c r="BY1273" s="736"/>
      <c r="BZ1273" s="736"/>
      <c r="CA1273" s="736"/>
    </row>
    <row r="1274" spans="1:79" s="309" customFormat="1" hidden="1" outlineLevel="1" x14ac:dyDescent="0.35">
      <c r="A1274" s="580"/>
      <c r="B1274" s="580"/>
      <c r="C1274" s="580"/>
      <c r="D1274" s="580"/>
      <c r="E1274" s="580"/>
      <c r="F1274" s="672" t="s">
        <v>897</v>
      </c>
      <c r="G1274" s="735">
        <v>12184.75</v>
      </c>
      <c r="H1274" s="735">
        <v>78452.977287775269</v>
      </c>
      <c r="I1274" s="735">
        <v>56608.24</v>
      </c>
      <c r="J1274" s="735">
        <v>23152.917231087551</v>
      </c>
      <c r="K1274" s="735">
        <v>33478.371890806287</v>
      </c>
      <c r="L1274" s="735">
        <v>36854.440070128643</v>
      </c>
      <c r="M1274" s="735">
        <v>59257.97654687037</v>
      </c>
      <c r="N1274" s="735">
        <v>38346.469335525973</v>
      </c>
      <c r="O1274" s="735">
        <v>21315.887968711497</v>
      </c>
      <c r="P1274" s="732">
        <v>167154.292754138</v>
      </c>
      <c r="Q1274" s="732">
        <v>73995.983192203857</v>
      </c>
      <c r="R1274" s="736">
        <v>102742.19824682853</v>
      </c>
      <c r="S1274" s="683">
        <v>0</v>
      </c>
      <c r="T1274" s="683">
        <v>0</v>
      </c>
      <c r="U1274" s="683">
        <v>0</v>
      </c>
      <c r="V1274" s="683">
        <v>0</v>
      </c>
      <c r="W1274" s="683">
        <v>0</v>
      </c>
      <c r="X1274" s="683">
        <v>0</v>
      </c>
      <c r="Y1274" s="683">
        <v>0</v>
      </c>
      <c r="Z1274" s="683">
        <v>0</v>
      </c>
      <c r="AA1274" s="683">
        <v>0</v>
      </c>
      <c r="AB1274" s="683">
        <v>0</v>
      </c>
      <c r="AC1274" s="702">
        <v>0</v>
      </c>
      <c r="AD1274" s="702">
        <v>0</v>
      </c>
      <c r="AE1274" s="736"/>
      <c r="AF1274" s="736"/>
      <c r="AG1274" s="736"/>
      <c r="AH1274" s="736"/>
      <c r="AI1274" s="736"/>
      <c r="AJ1274" s="736"/>
      <c r="AK1274" s="736"/>
      <c r="AL1274" s="736"/>
      <c r="AM1274" s="736"/>
      <c r="AN1274" s="736"/>
      <c r="AO1274" s="736"/>
      <c r="AP1274" s="736"/>
      <c r="AQ1274" s="736"/>
      <c r="AR1274" s="736"/>
      <c r="AS1274" s="736"/>
      <c r="AT1274" s="736"/>
      <c r="AU1274" s="736"/>
      <c r="AV1274" s="736"/>
      <c r="AW1274" s="736"/>
      <c r="AX1274" s="736"/>
      <c r="AY1274" s="736"/>
      <c r="AZ1274" s="736"/>
      <c r="BA1274" s="736"/>
      <c r="BB1274" s="736"/>
      <c r="BC1274" s="736"/>
      <c r="BD1274" s="736"/>
      <c r="BE1274" s="736"/>
      <c r="BF1274" s="736"/>
      <c r="BG1274" s="736"/>
      <c r="BH1274" s="736"/>
      <c r="BI1274" s="736"/>
      <c r="BJ1274" s="736"/>
      <c r="BK1274" s="736"/>
      <c r="BL1274" s="736"/>
      <c r="BM1274" s="736"/>
      <c r="BN1274" s="736"/>
      <c r="BO1274" s="736"/>
      <c r="BP1274" s="736"/>
      <c r="BQ1274" s="736"/>
      <c r="BR1274" s="736"/>
      <c r="BS1274" s="736"/>
      <c r="BT1274" s="736"/>
      <c r="BU1274" s="736"/>
      <c r="BV1274" s="736"/>
      <c r="BW1274" s="736"/>
      <c r="BX1274" s="736"/>
      <c r="BY1274" s="736"/>
      <c r="BZ1274" s="736"/>
      <c r="CA1274" s="736"/>
    </row>
    <row r="1275" spans="1:79" hidden="1" outlineLevel="1" x14ac:dyDescent="0.35">
      <c r="A1275" s="30"/>
      <c r="B1275" s="30"/>
      <c r="C1275" s="30"/>
      <c r="D1275" s="30"/>
      <c r="E1275" s="30"/>
      <c r="F1275" s="675" t="s">
        <v>626</v>
      </c>
      <c r="G1275" s="680">
        <f>SUM(G1266:G1274)</f>
        <v>12184.75</v>
      </c>
      <c r="H1275" s="680">
        <f t="shared" ref="H1275:BO1275" si="491">SUM(H1266:H1274)</f>
        <v>78452.977287775269</v>
      </c>
      <c r="I1275" s="680">
        <f t="shared" si="491"/>
        <v>56608.24</v>
      </c>
      <c r="J1275" s="680">
        <f t="shared" si="491"/>
        <v>23152.917231087551</v>
      </c>
      <c r="K1275" s="680">
        <f t="shared" si="491"/>
        <v>33478.371890806287</v>
      </c>
      <c r="L1275" s="680">
        <f t="shared" si="491"/>
        <v>36854.440070128643</v>
      </c>
      <c r="M1275" s="680">
        <f t="shared" si="491"/>
        <v>59257.97654687037</v>
      </c>
      <c r="N1275" s="680">
        <f t="shared" si="491"/>
        <v>38346.469335525973</v>
      </c>
      <c r="O1275" s="680">
        <f t="shared" si="491"/>
        <v>21315.887968711497</v>
      </c>
      <c r="P1275" s="680">
        <f t="shared" si="491"/>
        <v>167154.292754138</v>
      </c>
      <c r="Q1275" s="680">
        <f t="shared" si="491"/>
        <v>73995.983192203857</v>
      </c>
      <c r="R1275" s="680">
        <f t="shared" si="491"/>
        <v>102742.19824682853</v>
      </c>
      <c r="S1275" s="696">
        <f t="shared" ref="S1275:AA1275" si="492">ROUND(SUM(S1265:S1274),5)</f>
        <v>8274.06</v>
      </c>
      <c r="T1275" s="696">
        <f t="shared" si="492"/>
        <v>5240.5</v>
      </c>
      <c r="U1275" s="696">
        <f t="shared" si="492"/>
        <v>4161.47</v>
      </c>
      <c r="V1275" s="696">
        <f t="shared" si="492"/>
        <v>8067.4</v>
      </c>
      <c r="W1275" s="696">
        <f t="shared" si="492"/>
        <v>11210.12</v>
      </c>
      <c r="X1275" s="696">
        <f t="shared" si="492"/>
        <v>49256.5</v>
      </c>
      <c r="Y1275" s="696">
        <f t="shared" si="492"/>
        <v>50794</v>
      </c>
      <c r="Z1275" s="696">
        <f t="shared" si="492"/>
        <v>30365.4</v>
      </c>
      <c r="AA1275" s="696">
        <f t="shared" si="492"/>
        <v>66155</v>
      </c>
      <c r="AB1275" s="696">
        <f>ROUND(SUM(AB1265:AB1274),5)</f>
        <v>56580.15</v>
      </c>
      <c r="AC1275" s="696">
        <f>ROUND(SUM(AC1265:AC1274),5)</f>
        <v>43660.42</v>
      </c>
      <c r="AD1275" s="696">
        <f>ROUND(SUM(AD1265:AD1274),5)</f>
        <v>50513.27</v>
      </c>
      <c r="AE1275" s="680">
        <f t="shared" si="491"/>
        <v>0</v>
      </c>
      <c r="AF1275" s="680">
        <f t="shared" si="491"/>
        <v>0</v>
      </c>
      <c r="AG1275" s="680">
        <f t="shared" si="491"/>
        <v>0</v>
      </c>
      <c r="AH1275" s="680">
        <f t="shared" si="491"/>
        <v>0</v>
      </c>
      <c r="AI1275" s="680">
        <f t="shared" si="491"/>
        <v>0</v>
      </c>
      <c r="AJ1275" s="680">
        <f t="shared" si="491"/>
        <v>0</v>
      </c>
      <c r="AK1275" s="680">
        <f t="shared" si="491"/>
        <v>0</v>
      </c>
      <c r="AL1275" s="680">
        <f t="shared" si="491"/>
        <v>0</v>
      </c>
      <c r="AM1275" s="680">
        <f t="shared" si="491"/>
        <v>0</v>
      </c>
      <c r="AN1275" s="680">
        <f t="shared" si="491"/>
        <v>0</v>
      </c>
      <c r="AO1275" s="680">
        <f t="shared" si="491"/>
        <v>0</v>
      </c>
      <c r="AP1275" s="680">
        <f t="shared" si="491"/>
        <v>0</v>
      </c>
      <c r="AQ1275" s="680">
        <f t="shared" si="491"/>
        <v>0</v>
      </c>
      <c r="AR1275" s="680">
        <f t="shared" si="491"/>
        <v>0</v>
      </c>
      <c r="AS1275" s="680">
        <f t="shared" si="491"/>
        <v>0</v>
      </c>
      <c r="AT1275" s="680">
        <f t="shared" si="491"/>
        <v>0</v>
      </c>
      <c r="AU1275" s="680">
        <f t="shared" si="491"/>
        <v>0</v>
      </c>
      <c r="AV1275" s="680">
        <f t="shared" si="491"/>
        <v>0</v>
      </c>
      <c r="AW1275" s="680">
        <f t="shared" si="491"/>
        <v>0</v>
      </c>
      <c r="AX1275" s="680">
        <f t="shared" si="491"/>
        <v>0</v>
      </c>
      <c r="AY1275" s="680">
        <f t="shared" si="491"/>
        <v>0</v>
      </c>
      <c r="AZ1275" s="680">
        <f t="shared" si="491"/>
        <v>0</v>
      </c>
      <c r="BA1275" s="680">
        <f t="shared" si="491"/>
        <v>0</v>
      </c>
      <c r="BB1275" s="680">
        <f t="shared" si="491"/>
        <v>0</v>
      </c>
      <c r="BC1275" s="680">
        <f t="shared" si="491"/>
        <v>0</v>
      </c>
      <c r="BD1275" s="680">
        <f t="shared" si="491"/>
        <v>0</v>
      </c>
      <c r="BE1275" s="680">
        <f t="shared" si="491"/>
        <v>0</v>
      </c>
      <c r="BF1275" s="680">
        <f t="shared" si="491"/>
        <v>0</v>
      </c>
      <c r="BG1275" s="680">
        <f t="shared" si="491"/>
        <v>0</v>
      </c>
      <c r="BH1275" s="680">
        <f t="shared" si="491"/>
        <v>0</v>
      </c>
      <c r="BI1275" s="680">
        <f t="shared" si="491"/>
        <v>0</v>
      </c>
      <c r="BJ1275" s="680">
        <f t="shared" si="491"/>
        <v>0</v>
      </c>
      <c r="BK1275" s="680">
        <f t="shared" si="491"/>
        <v>0</v>
      </c>
      <c r="BL1275" s="680">
        <f t="shared" si="491"/>
        <v>0</v>
      </c>
      <c r="BM1275" s="680">
        <f t="shared" si="491"/>
        <v>0</v>
      </c>
      <c r="BN1275" s="680">
        <f t="shared" si="491"/>
        <v>0</v>
      </c>
      <c r="BO1275" s="680">
        <f t="shared" si="491"/>
        <v>0</v>
      </c>
      <c r="BP1275" s="680">
        <f t="shared" ref="BP1275:CA1275" si="493">SUM(BP1266:BP1274)</f>
        <v>0</v>
      </c>
      <c r="BQ1275" s="680">
        <f t="shared" si="493"/>
        <v>0</v>
      </c>
      <c r="BR1275" s="680">
        <f t="shared" si="493"/>
        <v>0</v>
      </c>
      <c r="BS1275" s="680">
        <f t="shared" si="493"/>
        <v>0</v>
      </c>
      <c r="BT1275" s="680">
        <f t="shared" si="493"/>
        <v>0</v>
      </c>
      <c r="BU1275" s="680">
        <f t="shared" si="493"/>
        <v>0</v>
      </c>
      <c r="BV1275" s="680">
        <f t="shared" si="493"/>
        <v>0</v>
      </c>
      <c r="BW1275" s="680">
        <f t="shared" si="493"/>
        <v>0</v>
      </c>
      <c r="BX1275" s="680">
        <f t="shared" si="493"/>
        <v>0</v>
      </c>
      <c r="BY1275" s="680">
        <f t="shared" si="493"/>
        <v>0</v>
      </c>
      <c r="BZ1275" s="680">
        <f t="shared" si="493"/>
        <v>0</v>
      </c>
      <c r="CA1275" s="680">
        <f t="shared" si="493"/>
        <v>0</v>
      </c>
    </row>
    <row r="1276" spans="1:79" s="709" customFormat="1" hidden="1" outlineLevel="1" x14ac:dyDescent="0.35">
      <c r="F1276" s="707" t="s">
        <v>627</v>
      </c>
      <c r="G1276" s="782"/>
      <c r="H1276" s="782"/>
      <c r="I1276" s="782"/>
      <c r="J1276" s="782"/>
      <c r="K1276" s="782"/>
      <c r="L1276" s="782"/>
      <c r="M1276" s="782"/>
      <c r="N1276" s="782"/>
      <c r="O1276" s="782"/>
      <c r="P1276" s="753"/>
      <c r="Q1276" s="753"/>
      <c r="R1276" s="779"/>
      <c r="S1276" s="724"/>
      <c r="T1276" s="724"/>
      <c r="U1276" s="724"/>
      <c r="V1276" s="724"/>
      <c r="W1276" s="724"/>
      <c r="X1276" s="724"/>
      <c r="Y1276" s="724"/>
      <c r="Z1276" s="724"/>
      <c r="AA1276" s="724"/>
      <c r="AB1276" s="724"/>
      <c r="AC1276" s="724"/>
      <c r="AD1276" s="724"/>
      <c r="AE1276" s="752"/>
      <c r="AF1276" s="752"/>
      <c r="AG1276" s="752"/>
      <c r="AH1276" s="752"/>
      <c r="AI1276" s="752"/>
      <c r="AJ1276" s="752"/>
      <c r="AK1276" s="752"/>
      <c r="AL1276" s="752"/>
      <c r="AM1276" s="752"/>
      <c r="AN1276" s="752"/>
      <c r="AO1276" s="752"/>
      <c r="AP1276" s="752"/>
      <c r="AQ1276" s="752"/>
      <c r="AR1276" s="752"/>
      <c r="AS1276" s="752"/>
      <c r="AT1276" s="752"/>
      <c r="AU1276" s="752"/>
      <c r="AV1276" s="752"/>
      <c r="AW1276" s="752"/>
      <c r="AX1276" s="752"/>
      <c r="AY1276" s="752"/>
      <c r="AZ1276" s="752"/>
      <c r="BA1276" s="752"/>
      <c r="BB1276" s="752"/>
      <c r="BC1276" s="752"/>
      <c r="BD1276" s="752"/>
      <c r="BE1276" s="752"/>
      <c r="BF1276" s="752"/>
      <c r="BG1276" s="752"/>
      <c r="BH1276" s="752"/>
      <c r="BI1276" s="752"/>
      <c r="BJ1276" s="752"/>
      <c r="BK1276" s="752"/>
      <c r="BL1276" s="752"/>
      <c r="BM1276" s="752"/>
      <c r="BN1276" s="752"/>
      <c r="BO1276" s="752"/>
      <c r="BP1276" s="752"/>
      <c r="BQ1276" s="752"/>
      <c r="BR1276" s="752"/>
      <c r="BS1276" s="752"/>
      <c r="BT1276" s="752"/>
      <c r="BU1276" s="752"/>
      <c r="BV1276" s="752"/>
      <c r="BW1276" s="752"/>
      <c r="BX1276" s="752"/>
      <c r="BY1276" s="752"/>
      <c r="BZ1276" s="752"/>
      <c r="CA1276" s="752"/>
    </row>
    <row r="1277" spans="1:79" s="309" customFormat="1" hidden="1" outlineLevel="1" x14ac:dyDescent="0.35">
      <c r="A1277" s="726"/>
      <c r="B1277" s="726"/>
      <c r="C1277" s="726"/>
      <c r="D1277" s="726"/>
      <c r="E1277" s="726"/>
      <c r="F1277" s="672" t="s">
        <v>923</v>
      </c>
      <c r="G1277" s="699"/>
      <c r="H1277" s="699"/>
      <c r="I1277" s="699"/>
      <c r="J1277" s="699"/>
      <c r="K1277" s="699"/>
      <c r="L1277" s="699"/>
      <c r="M1277" s="699"/>
      <c r="N1277" s="699"/>
      <c r="O1277" s="699"/>
      <c r="P1277" s="699"/>
      <c r="Q1277" s="699"/>
      <c r="R1277" s="699"/>
      <c r="S1277" s="700"/>
      <c r="T1277" s="700"/>
      <c r="U1277" s="700"/>
      <c r="V1277" s="700"/>
      <c r="W1277" s="700"/>
      <c r="X1277" s="700"/>
      <c r="Y1277" s="700"/>
      <c r="Z1277" s="700"/>
      <c r="AA1277" s="700"/>
      <c r="AB1277" s="700">
        <v>211.5</v>
      </c>
      <c r="AC1277" s="699">
        <v>-70.5</v>
      </c>
      <c r="AD1277" s="699">
        <v>-224.9</v>
      </c>
      <c r="AE1277" s="700"/>
      <c r="AF1277" s="700"/>
      <c r="AG1277" s="700"/>
      <c r="AH1277" s="700"/>
      <c r="AI1277" s="700"/>
      <c r="AJ1277" s="700"/>
      <c r="AK1277" s="700"/>
      <c r="AL1277" s="700"/>
      <c r="AM1277" s="700"/>
      <c r="AN1277" s="700"/>
      <c r="AO1277" s="700"/>
      <c r="AP1277" s="700"/>
      <c r="AQ1277" s="700"/>
      <c r="AR1277" s="700"/>
      <c r="AS1277" s="700"/>
      <c r="AT1277" s="700"/>
      <c r="AU1277" s="700"/>
      <c r="AV1277" s="700"/>
      <c r="AW1277" s="700"/>
      <c r="AX1277" s="700"/>
      <c r="AY1277" s="700"/>
      <c r="AZ1277" s="700"/>
      <c r="BA1277" s="700"/>
      <c r="BB1277" s="700"/>
      <c r="BC1277" s="700"/>
      <c r="BD1277" s="700"/>
      <c r="BE1277" s="700"/>
      <c r="BF1277" s="700"/>
      <c r="BG1277" s="700"/>
      <c r="BH1277" s="700"/>
      <c r="BI1277" s="700"/>
      <c r="BJ1277" s="700"/>
      <c r="BK1277" s="700"/>
      <c r="BL1277" s="700"/>
      <c r="BM1277" s="700"/>
      <c r="BN1277" s="700"/>
      <c r="BO1277" s="700"/>
      <c r="BP1277" s="700"/>
      <c r="BQ1277" s="700"/>
      <c r="BR1277" s="700"/>
      <c r="BS1277" s="700"/>
      <c r="BT1277" s="700"/>
      <c r="BU1277" s="700"/>
      <c r="BV1277" s="700"/>
      <c r="BW1277" s="700"/>
      <c r="BX1277" s="700"/>
      <c r="BY1277" s="700"/>
      <c r="BZ1277" s="700"/>
      <c r="CA1277" s="700"/>
    </row>
    <row r="1278" spans="1:79" hidden="1" outlineLevel="1" x14ac:dyDescent="0.35">
      <c r="A1278" s="80"/>
      <c r="B1278" s="80"/>
      <c r="C1278" s="80"/>
      <c r="D1278" s="80"/>
      <c r="E1278" s="80"/>
      <c r="F1278" s="672" t="s">
        <v>671</v>
      </c>
      <c r="G1278" s="735">
        <v>940</v>
      </c>
      <c r="H1278" s="735">
        <v>940</v>
      </c>
      <c r="I1278" s="735">
        <v>940</v>
      </c>
      <c r="J1278" s="735">
        <v>940</v>
      </c>
      <c r="K1278" s="735">
        <v>960</v>
      </c>
      <c r="L1278" s="735">
        <v>940</v>
      </c>
      <c r="M1278" s="735">
        <v>1425</v>
      </c>
      <c r="N1278" s="735">
        <v>940</v>
      </c>
      <c r="O1278" s="735">
        <v>969.4</v>
      </c>
      <c r="P1278" s="732">
        <v>1121</v>
      </c>
      <c r="Q1278" s="732">
        <v>1000</v>
      </c>
      <c r="R1278" s="736">
        <v>1269.99</v>
      </c>
      <c r="S1278" s="700">
        <v>775</v>
      </c>
      <c r="T1278" s="700">
        <v>1067.8800000000001</v>
      </c>
      <c r="U1278" s="700">
        <v>1387.97</v>
      </c>
      <c r="V1278" s="700">
        <v>1307.5</v>
      </c>
      <c r="W1278" s="700">
        <v>887.5</v>
      </c>
      <c r="X1278" s="700">
        <v>1448.25</v>
      </c>
      <c r="Y1278" s="700">
        <v>987.5</v>
      </c>
      <c r="Z1278" s="700">
        <v>1394</v>
      </c>
      <c r="AA1278" s="700">
        <v>1247.75</v>
      </c>
      <c r="AB1278" s="700">
        <v>3158.25</v>
      </c>
      <c r="AC1278" s="699">
        <v>3203.25</v>
      </c>
      <c r="AD1278" s="699">
        <v>3158.55</v>
      </c>
      <c r="AE1278" s="736"/>
      <c r="AF1278" s="736"/>
      <c r="AG1278" s="736"/>
      <c r="AH1278" s="736"/>
      <c r="AI1278" s="736"/>
      <c r="AJ1278" s="736"/>
      <c r="AK1278" s="736"/>
      <c r="AL1278" s="736"/>
      <c r="AM1278" s="736"/>
      <c r="AN1278" s="736"/>
      <c r="AO1278" s="736"/>
      <c r="AP1278" s="736"/>
      <c r="AQ1278" s="736"/>
      <c r="AR1278" s="736"/>
      <c r="AS1278" s="736"/>
      <c r="AT1278" s="736"/>
      <c r="AU1278" s="736"/>
      <c r="AV1278" s="736"/>
      <c r="AW1278" s="736"/>
      <c r="AX1278" s="736"/>
      <c r="AY1278" s="736"/>
      <c r="AZ1278" s="736"/>
      <c r="BA1278" s="736"/>
      <c r="BB1278" s="736"/>
      <c r="BC1278" s="736"/>
      <c r="BD1278" s="736"/>
      <c r="BE1278" s="736"/>
      <c r="BF1278" s="736"/>
      <c r="BG1278" s="736"/>
      <c r="BH1278" s="736"/>
      <c r="BI1278" s="736"/>
      <c r="BJ1278" s="736"/>
      <c r="BK1278" s="736"/>
      <c r="BL1278" s="736"/>
      <c r="BM1278" s="736"/>
      <c r="BN1278" s="736"/>
      <c r="BO1278" s="736"/>
      <c r="BP1278" s="736"/>
      <c r="BQ1278" s="736"/>
      <c r="BR1278" s="736"/>
      <c r="BS1278" s="736"/>
      <c r="BT1278" s="736"/>
      <c r="BU1278" s="736"/>
      <c r="BV1278" s="736"/>
      <c r="BW1278" s="736"/>
      <c r="BX1278" s="736"/>
      <c r="BY1278" s="736"/>
      <c r="BZ1278" s="736"/>
      <c r="CA1278" s="736"/>
    </row>
    <row r="1279" spans="1:79" hidden="1" outlineLevel="1" x14ac:dyDescent="0.35">
      <c r="A1279" s="580"/>
      <c r="B1279" s="580"/>
      <c r="C1279" s="580"/>
      <c r="D1279" s="580"/>
      <c r="E1279" s="580"/>
      <c r="F1279" s="672" t="s">
        <v>767</v>
      </c>
      <c r="G1279" s="735"/>
      <c r="H1279" s="735"/>
      <c r="I1279" s="735"/>
      <c r="J1279" s="735"/>
      <c r="K1279" s="735"/>
      <c r="L1279" s="735"/>
      <c r="M1279" s="735"/>
      <c r="N1279" s="735"/>
      <c r="O1279" s="735"/>
      <c r="P1279" s="732"/>
      <c r="Q1279" s="732"/>
      <c r="R1279" s="736"/>
      <c r="S1279" s="700">
        <v>0</v>
      </c>
      <c r="T1279" s="700">
        <v>0</v>
      </c>
      <c r="U1279" s="700">
        <v>0</v>
      </c>
      <c r="V1279" s="700">
        <v>0</v>
      </c>
      <c r="W1279" s="700">
        <v>14544.6</v>
      </c>
      <c r="X1279" s="700">
        <v>14525.03</v>
      </c>
      <c r="Y1279" s="700">
        <v>15125.03</v>
      </c>
      <c r="Z1279" s="700">
        <v>14525.03</v>
      </c>
      <c r="AA1279" s="700">
        <v>14525.03</v>
      </c>
      <c r="AB1279" s="700">
        <v>44339.44</v>
      </c>
      <c r="AC1279" s="699">
        <v>45166.23</v>
      </c>
      <c r="AD1279" s="699">
        <v>27511.41</v>
      </c>
      <c r="AE1279" s="736"/>
      <c r="AF1279" s="736"/>
      <c r="AG1279" s="736"/>
      <c r="AH1279" s="736"/>
      <c r="AI1279" s="736"/>
      <c r="AJ1279" s="736"/>
      <c r="AK1279" s="736"/>
      <c r="AL1279" s="736"/>
      <c r="AM1279" s="736"/>
      <c r="AN1279" s="736"/>
      <c r="AO1279" s="736"/>
      <c r="AP1279" s="736"/>
      <c r="AQ1279" s="736"/>
      <c r="AR1279" s="736"/>
      <c r="AS1279" s="736"/>
      <c r="AT1279" s="736"/>
      <c r="AU1279" s="736"/>
      <c r="AV1279" s="736"/>
      <c r="AW1279" s="736"/>
      <c r="AX1279" s="736"/>
      <c r="AY1279" s="736"/>
      <c r="AZ1279" s="736"/>
      <c r="BA1279" s="736"/>
      <c r="BB1279" s="736"/>
      <c r="BC1279" s="736"/>
      <c r="BD1279" s="736"/>
      <c r="BE1279" s="736"/>
      <c r="BF1279" s="736"/>
      <c r="BG1279" s="736"/>
      <c r="BH1279" s="736"/>
      <c r="BI1279" s="736"/>
      <c r="BJ1279" s="736"/>
      <c r="BK1279" s="736"/>
      <c r="BL1279" s="736"/>
      <c r="BM1279" s="736"/>
      <c r="BN1279" s="736"/>
      <c r="BO1279" s="736"/>
      <c r="BP1279" s="736"/>
      <c r="BQ1279" s="736"/>
      <c r="BR1279" s="736"/>
      <c r="BS1279" s="736"/>
      <c r="BT1279" s="736"/>
      <c r="BU1279" s="736"/>
      <c r="BV1279" s="736"/>
      <c r="BW1279" s="736"/>
      <c r="BX1279" s="736"/>
      <c r="BY1279" s="736"/>
      <c r="BZ1279" s="736"/>
      <c r="CA1279" s="736"/>
    </row>
    <row r="1280" spans="1:79" hidden="1" outlineLevel="1" x14ac:dyDescent="0.35">
      <c r="A1280" s="80"/>
      <c r="B1280" s="80"/>
      <c r="C1280" s="80"/>
      <c r="D1280" s="80"/>
      <c r="E1280" s="80"/>
      <c r="F1280" s="672" t="s">
        <v>628</v>
      </c>
      <c r="G1280" s="735">
        <v>1225</v>
      </c>
      <c r="H1280" s="735">
        <v>1885</v>
      </c>
      <c r="I1280" s="735">
        <v>1969</v>
      </c>
      <c r="J1280" s="735">
        <v>1885</v>
      </c>
      <c r="K1280" s="735">
        <v>1891</v>
      </c>
      <c r="L1280" s="735">
        <v>1900.5</v>
      </c>
      <c r="M1280" s="735">
        <v>1885</v>
      </c>
      <c r="N1280" s="735">
        <v>2598</v>
      </c>
      <c r="O1280" s="735">
        <v>3173</v>
      </c>
      <c r="P1280" s="732">
        <v>3140</v>
      </c>
      <c r="Q1280" s="732">
        <v>3213.5</v>
      </c>
      <c r="R1280" s="736">
        <v>3198.5</v>
      </c>
      <c r="S1280" s="700">
        <v>3764</v>
      </c>
      <c r="T1280" s="700">
        <v>3710</v>
      </c>
      <c r="U1280" s="700">
        <v>3750</v>
      </c>
      <c r="V1280" s="700">
        <v>3124</v>
      </c>
      <c r="W1280" s="700">
        <v>4263</v>
      </c>
      <c r="X1280" s="700">
        <v>3809</v>
      </c>
      <c r="Y1280" s="700">
        <v>3135</v>
      </c>
      <c r="Z1280" s="700">
        <v>4120</v>
      </c>
      <c r="AA1280" s="700">
        <v>3795</v>
      </c>
      <c r="AB1280" s="700">
        <v>4950.41</v>
      </c>
      <c r="AC1280" s="682">
        <v>4031</v>
      </c>
      <c r="AD1280" s="682">
        <v>4192.5</v>
      </c>
      <c r="AE1280" s="736"/>
      <c r="AF1280" s="736"/>
      <c r="AG1280" s="736"/>
      <c r="AH1280" s="736"/>
      <c r="AI1280" s="736"/>
      <c r="AJ1280" s="736"/>
      <c r="AK1280" s="736"/>
      <c r="AL1280" s="736"/>
      <c r="AM1280" s="736"/>
      <c r="AN1280" s="736"/>
      <c r="AO1280" s="736"/>
      <c r="AP1280" s="736"/>
      <c r="AQ1280" s="736"/>
      <c r="AR1280" s="736"/>
      <c r="AS1280" s="736"/>
      <c r="AT1280" s="736"/>
      <c r="AU1280" s="736"/>
      <c r="AV1280" s="736"/>
      <c r="AW1280" s="736"/>
      <c r="AX1280" s="736"/>
      <c r="AY1280" s="736"/>
      <c r="AZ1280" s="736"/>
      <c r="BA1280" s="736"/>
      <c r="BB1280" s="736"/>
      <c r="BC1280" s="736"/>
      <c r="BD1280" s="736"/>
      <c r="BE1280" s="736"/>
      <c r="BF1280" s="736"/>
      <c r="BG1280" s="736"/>
      <c r="BH1280" s="736"/>
      <c r="BI1280" s="736"/>
      <c r="BJ1280" s="736"/>
      <c r="BK1280" s="736"/>
      <c r="BL1280" s="736"/>
      <c r="BM1280" s="736"/>
      <c r="BN1280" s="736"/>
      <c r="BO1280" s="736"/>
      <c r="BP1280" s="736"/>
      <c r="BQ1280" s="736"/>
      <c r="BR1280" s="736"/>
      <c r="BS1280" s="736"/>
      <c r="BT1280" s="736"/>
      <c r="BU1280" s="736"/>
      <c r="BV1280" s="736"/>
      <c r="BW1280" s="736"/>
      <c r="BX1280" s="736"/>
      <c r="BY1280" s="736"/>
      <c r="BZ1280" s="736"/>
      <c r="CA1280" s="736"/>
    </row>
    <row r="1281" spans="1:79" hidden="1" outlineLevel="1" x14ac:dyDescent="0.35">
      <c r="A1281" s="80"/>
      <c r="B1281" s="80"/>
      <c r="C1281" s="80"/>
      <c r="D1281" s="80"/>
      <c r="E1281" s="80"/>
      <c r="F1281" s="672" t="s">
        <v>655</v>
      </c>
      <c r="G1281" s="735"/>
      <c r="H1281" s="735"/>
      <c r="I1281" s="735"/>
      <c r="J1281" s="735"/>
      <c r="K1281" s="735"/>
      <c r="L1281" s="735"/>
      <c r="M1281" s="735">
        <v>8760.1</v>
      </c>
      <c r="N1281" s="735">
        <v>0</v>
      </c>
      <c r="O1281" s="735"/>
      <c r="P1281" s="732"/>
      <c r="Q1281" s="732"/>
      <c r="R1281" s="736"/>
      <c r="S1281" s="700">
        <v>21</v>
      </c>
      <c r="T1281" s="700">
        <v>21</v>
      </c>
      <c r="U1281" s="700">
        <v>0</v>
      </c>
      <c r="V1281" s="700">
        <v>21</v>
      </c>
      <c r="W1281" s="700">
        <v>21</v>
      </c>
      <c r="X1281" s="700">
        <v>5980.51</v>
      </c>
      <c r="Y1281" s="700">
        <v>747.29</v>
      </c>
      <c r="Z1281" s="700">
        <v>747.28</v>
      </c>
      <c r="AA1281" s="700">
        <v>747.29</v>
      </c>
      <c r="AB1281" s="700">
        <v>747.28</v>
      </c>
      <c r="AC1281" s="682">
        <v>763.31</v>
      </c>
      <c r="AD1281" s="682">
        <v>755.3</v>
      </c>
      <c r="AE1281" s="736"/>
      <c r="AF1281" s="736"/>
      <c r="AG1281" s="736"/>
      <c r="AH1281" s="736"/>
      <c r="AI1281" s="736"/>
      <c r="AJ1281" s="736"/>
      <c r="AK1281" s="736"/>
      <c r="AL1281" s="736"/>
      <c r="AM1281" s="736"/>
      <c r="AN1281" s="736"/>
      <c r="AO1281" s="736"/>
      <c r="AP1281" s="736"/>
      <c r="AQ1281" s="736"/>
      <c r="AR1281" s="736"/>
      <c r="AS1281" s="736"/>
      <c r="AT1281" s="736"/>
      <c r="AU1281" s="736"/>
      <c r="AV1281" s="736"/>
      <c r="AW1281" s="736"/>
      <c r="AX1281" s="736"/>
      <c r="AY1281" s="736"/>
      <c r="AZ1281" s="736"/>
      <c r="BA1281" s="736"/>
      <c r="BB1281" s="736"/>
      <c r="BC1281" s="736"/>
      <c r="BD1281" s="736"/>
      <c r="BE1281" s="736"/>
      <c r="BF1281" s="736"/>
      <c r="BG1281" s="736"/>
      <c r="BH1281" s="736"/>
      <c r="BI1281" s="736"/>
      <c r="BJ1281" s="736"/>
      <c r="BK1281" s="736"/>
      <c r="BL1281" s="736"/>
      <c r="BM1281" s="736"/>
      <c r="BN1281" s="736"/>
      <c r="BO1281" s="736"/>
      <c r="BP1281" s="736"/>
      <c r="BQ1281" s="736"/>
      <c r="BR1281" s="736"/>
      <c r="BS1281" s="736"/>
      <c r="BT1281" s="736"/>
      <c r="BU1281" s="736"/>
      <c r="BV1281" s="736"/>
      <c r="BW1281" s="736"/>
      <c r="BX1281" s="736"/>
      <c r="BY1281" s="736"/>
      <c r="BZ1281" s="736"/>
      <c r="CA1281" s="736"/>
    </row>
    <row r="1282" spans="1:79" hidden="1" outlineLevel="1" x14ac:dyDescent="0.35">
      <c r="A1282" s="80"/>
      <c r="B1282" s="80"/>
      <c r="C1282" s="80"/>
      <c r="D1282" s="80"/>
      <c r="E1282" s="80"/>
      <c r="F1282" s="672" t="s">
        <v>672</v>
      </c>
      <c r="G1282" s="735">
        <v>13082</v>
      </c>
      <c r="H1282" s="735">
        <v>13082</v>
      </c>
      <c r="I1282" s="735">
        <v>13082</v>
      </c>
      <c r="J1282" s="735">
        <v>13082</v>
      </c>
      <c r="K1282" s="735">
        <v>13082</v>
      </c>
      <c r="L1282" s="735">
        <v>13603</v>
      </c>
      <c r="M1282" s="735">
        <v>13603</v>
      </c>
      <c r="N1282" s="735">
        <v>13603</v>
      </c>
      <c r="O1282" s="735">
        <v>13603</v>
      </c>
      <c r="P1282" s="732">
        <v>13744</v>
      </c>
      <c r="Q1282" s="732">
        <v>13744</v>
      </c>
      <c r="R1282" s="736">
        <v>13744</v>
      </c>
      <c r="S1282" s="700">
        <v>14235.93</v>
      </c>
      <c r="T1282" s="700">
        <v>14235.93</v>
      </c>
      <c r="U1282" s="700">
        <v>14235.93</v>
      </c>
      <c r="V1282" s="700">
        <v>15392.33</v>
      </c>
      <c r="W1282" s="700">
        <v>0</v>
      </c>
      <c r="X1282" s="700">
        <v>0</v>
      </c>
      <c r="Y1282" s="700">
        <v>0</v>
      </c>
      <c r="Z1282" s="700">
        <v>0</v>
      </c>
      <c r="AA1282" s="700">
        <v>0</v>
      </c>
      <c r="AB1282" s="700">
        <v>37221</v>
      </c>
      <c r="AC1282" s="682">
        <v>-37221</v>
      </c>
      <c r="AD1282" s="682">
        <v>0</v>
      </c>
      <c r="AE1282" s="736"/>
      <c r="AF1282" s="736"/>
      <c r="AG1282" s="736"/>
      <c r="AH1282" s="736"/>
      <c r="AI1282" s="736"/>
      <c r="AJ1282" s="736"/>
      <c r="AK1282" s="736"/>
      <c r="AL1282" s="736"/>
      <c r="AM1282" s="736"/>
      <c r="AN1282" s="736"/>
      <c r="AO1282" s="736"/>
      <c r="AP1282" s="736"/>
      <c r="AQ1282" s="736"/>
      <c r="AR1282" s="736"/>
      <c r="AS1282" s="736"/>
      <c r="AT1282" s="736"/>
      <c r="AU1282" s="736"/>
      <c r="AV1282" s="736"/>
      <c r="AW1282" s="736"/>
      <c r="AX1282" s="736"/>
      <c r="AY1282" s="736"/>
      <c r="AZ1282" s="736"/>
      <c r="BA1282" s="736"/>
      <c r="BB1282" s="736"/>
      <c r="BC1282" s="736"/>
      <c r="BD1282" s="736"/>
      <c r="BE1282" s="736"/>
      <c r="BF1282" s="736"/>
      <c r="BG1282" s="736"/>
      <c r="BH1282" s="736"/>
      <c r="BI1282" s="736"/>
      <c r="BJ1282" s="736"/>
      <c r="BK1282" s="736"/>
      <c r="BL1282" s="736"/>
      <c r="BM1282" s="736"/>
      <c r="BN1282" s="736"/>
      <c r="BO1282" s="736"/>
      <c r="BP1282" s="736"/>
      <c r="BQ1282" s="736"/>
      <c r="BR1282" s="736"/>
      <c r="BS1282" s="736"/>
      <c r="BT1282" s="736"/>
      <c r="BU1282" s="736"/>
      <c r="BV1282" s="736"/>
      <c r="BW1282" s="736"/>
      <c r="BX1282" s="736"/>
      <c r="BY1282" s="736"/>
      <c r="BZ1282" s="736"/>
      <c r="CA1282" s="736"/>
    </row>
    <row r="1283" spans="1:79" hidden="1" outlineLevel="1" x14ac:dyDescent="0.35">
      <c r="A1283" s="30"/>
      <c r="B1283" s="30"/>
      <c r="C1283" s="30"/>
      <c r="D1283" s="30"/>
      <c r="E1283" s="30"/>
      <c r="F1283" s="673" t="s">
        <v>629</v>
      </c>
      <c r="G1283" s="680">
        <f>SUM(G1278:G1282)</f>
        <v>15247</v>
      </c>
      <c r="H1283" s="680">
        <f t="shared" ref="H1283:BO1283" si="494">SUM(H1278:H1282)</f>
        <v>15907</v>
      </c>
      <c r="I1283" s="680">
        <f t="shared" si="494"/>
        <v>15991</v>
      </c>
      <c r="J1283" s="680">
        <f t="shared" si="494"/>
        <v>15907</v>
      </c>
      <c r="K1283" s="680">
        <f t="shared" si="494"/>
        <v>15933</v>
      </c>
      <c r="L1283" s="680">
        <f t="shared" si="494"/>
        <v>16443.5</v>
      </c>
      <c r="M1283" s="680">
        <f t="shared" si="494"/>
        <v>25673.1</v>
      </c>
      <c r="N1283" s="680">
        <f t="shared" si="494"/>
        <v>17141</v>
      </c>
      <c r="O1283" s="680">
        <f t="shared" si="494"/>
        <v>17745.400000000001</v>
      </c>
      <c r="P1283" s="680">
        <f t="shared" si="494"/>
        <v>18005</v>
      </c>
      <c r="Q1283" s="680">
        <f t="shared" si="494"/>
        <v>17957.5</v>
      </c>
      <c r="R1283" s="680">
        <f t="shared" si="494"/>
        <v>18212.489999999998</v>
      </c>
      <c r="S1283" s="696">
        <f t="shared" ref="S1283:AA1283" si="495">ROUND(SUM(S1276:S1282),5)</f>
        <v>18795.93</v>
      </c>
      <c r="T1283" s="696">
        <f t="shared" si="495"/>
        <v>19034.810000000001</v>
      </c>
      <c r="U1283" s="696">
        <f t="shared" si="495"/>
        <v>19373.900000000001</v>
      </c>
      <c r="V1283" s="696">
        <f t="shared" si="495"/>
        <v>19844.830000000002</v>
      </c>
      <c r="W1283" s="696">
        <f t="shared" si="495"/>
        <v>19716.099999999999</v>
      </c>
      <c r="X1283" s="696">
        <f t="shared" si="495"/>
        <v>25762.79</v>
      </c>
      <c r="Y1283" s="696">
        <f t="shared" si="495"/>
        <v>19994.82</v>
      </c>
      <c r="Z1283" s="696">
        <f t="shared" si="495"/>
        <v>20786.310000000001</v>
      </c>
      <c r="AA1283" s="696">
        <f t="shared" si="495"/>
        <v>20315.07</v>
      </c>
      <c r="AB1283" s="696">
        <f>ROUND(SUM(AB1276:AB1282),5)</f>
        <v>90627.88</v>
      </c>
      <c r="AC1283" s="696">
        <f>ROUND(SUM(AC1276:AC1282),5)</f>
        <v>15872.29</v>
      </c>
      <c r="AD1283" s="696">
        <f>ROUND(SUM(AD1276:AD1282),5)</f>
        <v>35392.86</v>
      </c>
      <c r="AE1283" s="680">
        <f t="shared" si="494"/>
        <v>0</v>
      </c>
      <c r="AF1283" s="680">
        <f t="shared" si="494"/>
        <v>0</v>
      </c>
      <c r="AG1283" s="680">
        <f t="shared" si="494"/>
        <v>0</v>
      </c>
      <c r="AH1283" s="680">
        <f t="shared" si="494"/>
        <v>0</v>
      </c>
      <c r="AI1283" s="680">
        <f t="shared" si="494"/>
        <v>0</v>
      </c>
      <c r="AJ1283" s="680">
        <f t="shared" si="494"/>
        <v>0</v>
      </c>
      <c r="AK1283" s="680">
        <f t="shared" si="494"/>
        <v>0</v>
      </c>
      <c r="AL1283" s="680">
        <f t="shared" si="494"/>
        <v>0</v>
      </c>
      <c r="AM1283" s="680">
        <f t="shared" si="494"/>
        <v>0</v>
      </c>
      <c r="AN1283" s="680">
        <f t="shared" si="494"/>
        <v>0</v>
      </c>
      <c r="AO1283" s="680">
        <f t="shared" si="494"/>
        <v>0</v>
      </c>
      <c r="AP1283" s="680">
        <f t="shared" si="494"/>
        <v>0</v>
      </c>
      <c r="AQ1283" s="680">
        <f t="shared" si="494"/>
        <v>0</v>
      </c>
      <c r="AR1283" s="680">
        <f t="shared" si="494"/>
        <v>0</v>
      </c>
      <c r="AS1283" s="680">
        <f t="shared" si="494"/>
        <v>0</v>
      </c>
      <c r="AT1283" s="680">
        <f t="shared" si="494"/>
        <v>0</v>
      </c>
      <c r="AU1283" s="680">
        <f t="shared" si="494"/>
        <v>0</v>
      </c>
      <c r="AV1283" s="680">
        <f t="shared" si="494"/>
        <v>0</v>
      </c>
      <c r="AW1283" s="680">
        <f t="shared" si="494"/>
        <v>0</v>
      </c>
      <c r="AX1283" s="680">
        <f t="shared" si="494"/>
        <v>0</v>
      </c>
      <c r="AY1283" s="680">
        <f t="shared" si="494"/>
        <v>0</v>
      </c>
      <c r="AZ1283" s="680">
        <f t="shared" si="494"/>
        <v>0</v>
      </c>
      <c r="BA1283" s="680">
        <f t="shared" si="494"/>
        <v>0</v>
      </c>
      <c r="BB1283" s="680">
        <f t="shared" si="494"/>
        <v>0</v>
      </c>
      <c r="BC1283" s="680">
        <f t="shared" si="494"/>
        <v>0</v>
      </c>
      <c r="BD1283" s="680">
        <f t="shared" si="494"/>
        <v>0</v>
      </c>
      <c r="BE1283" s="680">
        <f t="shared" si="494"/>
        <v>0</v>
      </c>
      <c r="BF1283" s="680">
        <f t="shared" si="494"/>
        <v>0</v>
      </c>
      <c r="BG1283" s="680">
        <f t="shared" si="494"/>
        <v>0</v>
      </c>
      <c r="BH1283" s="680">
        <f t="shared" si="494"/>
        <v>0</v>
      </c>
      <c r="BI1283" s="680">
        <f t="shared" si="494"/>
        <v>0</v>
      </c>
      <c r="BJ1283" s="680">
        <f t="shared" si="494"/>
        <v>0</v>
      </c>
      <c r="BK1283" s="680">
        <f t="shared" si="494"/>
        <v>0</v>
      </c>
      <c r="BL1283" s="680">
        <f t="shared" si="494"/>
        <v>0</v>
      </c>
      <c r="BM1283" s="680">
        <f t="shared" si="494"/>
        <v>0</v>
      </c>
      <c r="BN1283" s="680">
        <f t="shared" si="494"/>
        <v>0</v>
      </c>
      <c r="BO1283" s="680">
        <f t="shared" si="494"/>
        <v>0</v>
      </c>
      <c r="BP1283" s="680">
        <f t="shared" ref="BP1283:CA1283" si="496">SUM(BP1278:BP1282)</f>
        <v>0</v>
      </c>
      <c r="BQ1283" s="680">
        <f t="shared" si="496"/>
        <v>0</v>
      </c>
      <c r="BR1283" s="680">
        <f t="shared" si="496"/>
        <v>0</v>
      </c>
      <c r="BS1283" s="680">
        <f t="shared" si="496"/>
        <v>0</v>
      </c>
      <c r="BT1283" s="680">
        <f t="shared" si="496"/>
        <v>0</v>
      </c>
      <c r="BU1283" s="680">
        <f t="shared" si="496"/>
        <v>0</v>
      </c>
      <c r="BV1283" s="680">
        <f t="shared" si="496"/>
        <v>0</v>
      </c>
      <c r="BW1283" s="680">
        <f t="shared" si="496"/>
        <v>0</v>
      </c>
      <c r="BX1283" s="680">
        <f t="shared" si="496"/>
        <v>0</v>
      </c>
      <c r="BY1283" s="680">
        <f t="shared" si="496"/>
        <v>0</v>
      </c>
      <c r="BZ1283" s="680">
        <f t="shared" si="496"/>
        <v>0</v>
      </c>
      <c r="CA1283" s="680">
        <f t="shared" si="496"/>
        <v>0</v>
      </c>
    </row>
    <row r="1284" spans="1:79" s="726" customFormat="1" hidden="1" outlineLevel="1" x14ac:dyDescent="0.35">
      <c r="A1284" s="754"/>
      <c r="B1284" s="754"/>
      <c r="C1284" s="754"/>
      <c r="D1284" s="754"/>
      <c r="E1284" s="754"/>
      <c r="F1284" s="707" t="s">
        <v>673</v>
      </c>
      <c r="G1284" s="782"/>
      <c r="H1284" s="782"/>
      <c r="I1284" s="782"/>
      <c r="J1284" s="782"/>
      <c r="K1284" s="782"/>
      <c r="L1284" s="782"/>
      <c r="M1284" s="782"/>
      <c r="N1284" s="782"/>
      <c r="O1284" s="782"/>
      <c r="P1284" s="753"/>
      <c r="Q1284" s="753"/>
      <c r="R1284" s="779"/>
      <c r="S1284" s="724"/>
      <c r="T1284" s="724"/>
      <c r="U1284" s="724"/>
      <c r="V1284" s="724"/>
      <c r="W1284" s="724"/>
      <c r="X1284" s="724"/>
      <c r="Y1284" s="724"/>
      <c r="Z1284" s="724"/>
      <c r="AA1284" s="724"/>
      <c r="AB1284" s="724"/>
      <c r="AC1284" s="720"/>
      <c r="AD1284" s="720"/>
      <c r="AE1284" s="752"/>
      <c r="AF1284" s="752"/>
      <c r="AG1284" s="752"/>
      <c r="AH1284" s="752"/>
      <c r="AI1284" s="752"/>
      <c r="AJ1284" s="752"/>
      <c r="AK1284" s="752"/>
      <c r="AL1284" s="752"/>
      <c r="AM1284" s="752"/>
      <c r="AN1284" s="752"/>
      <c r="AO1284" s="752"/>
      <c r="AP1284" s="752"/>
      <c r="AQ1284" s="752"/>
      <c r="AR1284" s="752"/>
      <c r="AS1284" s="752"/>
      <c r="AT1284" s="752"/>
      <c r="AU1284" s="752"/>
      <c r="AV1284" s="752"/>
      <c r="AW1284" s="752"/>
      <c r="AX1284" s="752"/>
      <c r="AY1284" s="752"/>
      <c r="AZ1284" s="752"/>
      <c r="BA1284" s="752"/>
      <c r="BB1284" s="752"/>
      <c r="BC1284" s="752"/>
      <c r="BD1284" s="752"/>
      <c r="BE1284" s="752"/>
      <c r="BF1284" s="752"/>
      <c r="BG1284" s="752"/>
      <c r="BH1284" s="752"/>
      <c r="BI1284" s="752"/>
      <c r="BJ1284" s="752"/>
      <c r="BK1284" s="752"/>
      <c r="BL1284" s="752"/>
      <c r="BM1284" s="752"/>
      <c r="BN1284" s="752"/>
      <c r="BO1284" s="752"/>
      <c r="BP1284" s="752"/>
      <c r="BQ1284" s="752"/>
      <c r="BR1284" s="752"/>
      <c r="BS1284" s="752"/>
      <c r="BT1284" s="752"/>
      <c r="BU1284" s="752"/>
      <c r="BV1284" s="752"/>
      <c r="BW1284" s="752"/>
      <c r="BX1284" s="752"/>
      <c r="BY1284" s="752"/>
      <c r="BZ1284" s="752"/>
      <c r="CA1284" s="752"/>
    </row>
    <row r="1285" spans="1:79" hidden="1" outlineLevel="1" x14ac:dyDescent="0.35">
      <c r="A1285" s="80"/>
      <c r="B1285" s="80"/>
      <c r="C1285" s="80"/>
      <c r="D1285" s="80"/>
      <c r="E1285" s="80"/>
      <c r="F1285" s="672" t="s">
        <v>674</v>
      </c>
      <c r="G1285" s="739">
        <v>1400</v>
      </c>
      <c r="H1285" s="739">
        <v>161.91</v>
      </c>
      <c r="I1285" s="739"/>
      <c r="J1285" s="739"/>
      <c r="K1285" s="739"/>
      <c r="L1285" s="739"/>
      <c r="M1285" s="739">
        <v>85</v>
      </c>
      <c r="N1285" s="739">
        <v>146.19</v>
      </c>
      <c r="O1285" s="739"/>
      <c r="P1285" s="734">
        <v>390</v>
      </c>
      <c r="Q1285" s="734"/>
      <c r="R1285" s="733">
        <v>450</v>
      </c>
      <c r="S1285" s="700">
        <v>0</v>
      </c>
      <c r="T1285" s="700">
        <v>750</v>
      </c>
      <c r="U1285" s="700">
        <v>0</v>
      </c>
      <c r="V1285" s="700">
        <v>0</v>
      </c>
      <c r="W1285" s="700">
        <v>120</v>
      </c>
      <c r="X1285" s="700">
        <v>0</v>
      </c>
      <c r="Y1285" s="700">
        <v>0</v>
      </c>
      <c r="Z1285" s="700">
        <v>0</v>
      </c>
      <c r="AA1285" s="700">
        <v>1284</v>
      </c>
      <c r="AB1285" s="700">
        <v>0</v>
      </c>
      <c r="AC1285" s="682">
        <v>0</v>
      </c>
      <c r="AD1285" s="682">
        <v>0</v>
      </c>
      <c r="AE1285" s="736"/>
      <c r="AF1285" s="736"/>
      <c r="AG1285" s="736"/>
      <c r="AH1285" s="736"/>
      <c r="AI1285" s="736"/>
      <c r="AJ1285" s="736"/>
      <c r="AK1285" s="736"/>
      <c r="AL1285" s="736"/>
      <c r="AM1285" s="736"/>
      <c r="AN1285" s="736"/>
      <c r="AO1285" s="736"/>
      <c r="AP1285" s="736"/>
      <c r="AQ1285" s="736"/>
      <c r="AR1285" s="736"/>
      <c r="AS1285" s="736"/>
      <c r="AT1285" s="736"/>
      <c r="AU1285" s="736"/>
      <c r="AV1285" s="736"/>
      <c r="AW1285" s="736"/>
      <c r="AX1285" s="736"/>
      <c r="AY1285" s="736"/>
      <c r="AZ1285" s="736"/>
      <c r="BA1285" s="736"/>
      <c r="BB1285" s="736"/>
      <c r="BC1285" s="736"/>
      <c r="BD1285" s="736"/>
      <c r="BE1285" s="736"/>
      <c r="BF1285" s="736"/>
      <c r="BG1285" s="736"/>
      <c r="BH1285" s="736"/>
      <c r="BI1285" s="736"/>
      <c r="BJ1285" s="736"/>
      <c r="BK1285" s="736"/>
      <c r="BL1285" s="736"/>
      <c r="BM1285" s="736"/>
      <c r="BN1285" s="736"/>
      <c r="BO1285" s="736"/>
      <c r="BP1285" s="736"/>
      <c r="BQ1285" s="736"/>
      <c r="BR1285" s="736"/>
      <c r="BS1285" s="736"/>
      <c r="BT1285" s="736"/>
      <c r="BU1285" s="736"/>
      <c r="BV1285" s="736"/>
      <c r="BW1285" s="736"/>
      <c r="BX1285" s="736"/>
      <c r="BY1285" s="736"/>
      <c r="BZ1285" s="736"/>
      <c r="CA1285" s="736"/>
    </row>
    <row r="1286" spans="1:79" hidden="1" outlineLevel="1" x14ac:dyDescent="0.35">
      <c r="A1286" s="580"/>
      <c r="B1286" s="580"/>
      <c r="C1286" s="580"/>
      <c r="D1286" s="580"/>
      <c r="E1286" s="580"/>
      <c r="F1286" s="672" t="s">
        <v>898</v>
      </c>
      <c r="G1286" s="739"/>
      <c r="H1286" s="739"/>
      <c r="I1286" s="739"/>
      <c r="J1286" s="739"/>
      <c r="K1286" s="739"/>
      <c r="L1286" s="739"/>
      <c r="M1286" s="739"/>
      <c r="N1286" s="739"/>
      <c r="O1286" s="739"/>
      <c r="P1286" s="734"/>
      <c r="Q1286" s="734"/>
      <c r="R1286" s="733"/>
      <c r="S1286" s="700">
        <v>0</v>
      </c>
      <c r="T1286" s="700">
        <v>0</v>
      </c>
      <c r="U1286" s="700">
        <v>0</v>
      </c>
      <c r="V1286" s="700">
        <v>0</v>
      </c>
      <c r="W1286" s="700">
        <v>0</v>
      </c>
      <c r="X1286" s="700">
        <v>0</v>
      </c>
      <c r="Y1286" s="700">
        <v>0</v>
      </c>
      <c r="Z1286" s="700">
        <v>0</v>
      </c>
      <c r="AA1286" s="700">
        <v>0</v>
      </c>
      <c r="AB1286" s="700">
        <v>0</v>
      </c>
      <c r="AC1286" s="682">
        <v>0</v>
      </c>
      <c r="AD1286" s="682">
        <v>0</v>
      </c>
      <c r="AE1286" s="736"/>
      <c r="AF1286" s="736"/>
      <c r="AG1286" s="736"/>
      <c r="AH1286" s="736"/>
      <c r="AI1286" s="736"/>
      <c r="AJ1286" s="736"/>
      <c r="AK1286" s="736"/>
      <c r="AL1286" s="736"/>
      <c r="AM1286" s="736"/>
      <c r="AN1286" s="736"/>
      <c r="AO1286" s="736"/>
      <c r="AP1286" s="736"/>
      <c r="AQ1286" s="736"/>
      <c r="AR1286" s="736"/>
      <c r="AS1286" s="736"/>
      <c r="AT1286" s="736"/>
      <c r="AU1286" s="736"/>
      <c r="AV1286" s="736"/>
      <c r="AW1286" s="736"/>
      <c r="AX1286" s="736"/>
      <c r="AY1286" s="736"/>
      <c r="AZ1286" s="736"/>
      <c r="BA1286" s="736"/>
      <c r="BB1286" s="736"/>
      <c r="BC1286" s="736"/>
      <c r="BD1286" s="736"/>
      <c r="BE1286" s="736"/>
      <c r="BF1286" s="736"/>
      <c r="BG1286" s="736"/>
      <c r="BH1286" s="736"/>
      <c r="BI1286" s="736"/>
      <c r="BJ1286" s="736"/>
      <c r="BK1286" s="736"/>
      <c r="BL1286" s="736"/>
      <c r="BM1286" s="736"/>
      <c r="BN1286" s="736"/>
      <c r="BO1286" s="736"/>
      <c r="BP1286" s="736"/>
      <c r="BQ1286" s="736"/>
      <c r="BR1286" s="736"/>
      <c r="BS1286" s="736"/>
      <c r="BT1286" s="736"/>
      <c r="BU1286" s="736"/>
      <c r="BV1286" s="736"/>
      <c r="BW1286" s="736"/>
      <c r="BX1286" s="736"/>
      <c r="BY1286" s="736"/>
      <c r="BZ1286" s="736"/>
      <c r="CA1286" s="736"/>
    </row>
    <row r="1287" spans="1:79" hidden="1" outlineLevel="1" x14ac:dyDescent="0.35">
      <c r="A1287" s="80"/>
      <c r="B1287" s="80"/>
      <c r="C1287" s="80"/>
      <c r="D1287" s="80"/>
      <c r="E1287" s="80"/>
      <c r="F1287" s="672" t="s">
        <v>675</v>
      </c>
      <c r="G1287" s="739"/>
      <c r="H1287" s="739"/>
      <c r="I1287" s="739"/>
      <c r="J1287" s="739"/>
      <c r="K1287" s="739"/>
      <c r="L1287" s="739"/>
      <c r="M1287" s="739"/>
      <c r="N1287" s="739"/>
      <c r="O1287" s="739"/>
      <c r="P1287" s="734"/>
      <c r="Q1287" s="734"/>
      <c r="R1287" s="733"/>
      <c r="S1287" s="700">
        <v>2831</v>
      </c>
      <c r="T1287" s="700">
        <v>0</v>
      </c>
      <c r="U1287" s="700">
        <v>0</v>
      </c>
      <c r="V1287" s="700">
        <v>0</v>
      </c>
      <c r="W1287" s="700">
        <v>0</v>
      </c>
      <c r="X1287" s="700">
        <v>0</v>
      </c>
      <c r="Y1287" s="700">
        <v>0</v>
      </c>
      <c r="Z1287" s="700">
        <v>0</v>
      </c>
      <c r="AA1287" s="700">
        <v>147.13</v>
      </c>
      <c r="AB1287" s="700">
        <v>0</v>
      </c>
      <c r="AC1287" s="682">
        <v>0</v>
      </c>
      <c r="AD1287" s="682">
        <v>0</v>
      </c>
      <c r="AE1287" s="736"/>
      <c r="AF1287" s="736"/>
      <c r="AG1287" s="736"/>
      <c r="AH1287" s="736"/>
      <c r="AI1287" s="736"/>
      <c r="AJ1287" s="736"/>
      <c r="AK1287" s="736"/>
      <c r="AL1287" s="736"/>
      <c r="AM1287" s="736"/>
      <c r="AN1287" s="736"/>
      <c r="AO1287" s="736"/>
      <c r="AP1287" s="736"/>
      <c r="AQ1287" s="736"/>
      <c r="AR1287" s="736"/>
      <c r="AS1287" s="736"/>
      <c r="AT1287" s="736"/>
      <c r="AU1287" s="736"/>
      <c r="AV1287" s="736"/>
      <c r="AW1287" s="736"/>
      <c r="AX1287" s="736"/>
      <c r="AY1287" s="736"/>
      <c r="AZ1287" s="736"/>
      <c r="BA1287" s="736"/>
      <c r="BB1287" s="736"/>
      <c r="BC1287" s="736"/>
      <c r="BD1287" s="736"/>
      <c r="BE1287" s="736"/>
      <c r="BF1287" s="736"/>
      <c r="BG1287" s="736"/>
      <c r="BH1287" s="736"/>
      <c r="BI1287" s="736"/>
      <c r="BJ1287" s="736"/>
      <c r="BK1287" s="736"/>
      <c r="BL1287" s="736"/>
      <c r="BM1287" s="736"/>
      <c r="BN1287" s="736"/>
      <c r="BO1287" s="736"/>
      <c r="BP1287" s="736"/>
      <c r="BQ1287" s="736"/>
      <c r="BR1287" s="736"/>
      <c r="BS1287" s="736"/>
      <c r="BT1287" s="736"/>
      <c r="BU1287" s="736"/>
      <c r="BV1287" s="736"/>
      <c r="BW1287" s="736"/>
      <c r="BX1287" s="736"/>
      <c r="BY1287" s="736"/>
      <c r="BZ1287" s="736"/>
      <c r="CA1287" s="736"/>
    </row>
    <row r="1288" spans="1:79" hidden="1" outlineLevel="1" x14ac:dyDescent="0.35">
      <c r="A1288" s="580"/>
      <c r="B1288" s="580"/>
      <c r="C1288" s="580"/>
      <c r="D1288" s="580"/>
      <c r="E1288" s="580"/>
      <c r="F1288" s="672" t="s">
        <v>899</v>
      </c>
      <c r="G1288" s="739"/>
      <c r="H1288" s="739"/>
      <c r="I1288" s="739"/>
      <c r="J1288" s="739"/>
      <c r="K1288" s="739"/>
      <c r="L1288" s="739"/>
      <c r="M1288" s="739"/>
      <c r="N1288" s="739"/>
      <c r="O1288" s="739"/>
      <c r="P1288" s="734"/>
      <c r="Q1288" s="734"/>
      <c r="R1288" s="733"/>
      <c r="S1288" s="700">
        <v>0</v>
      </c>
      <c r="T1288" s="700">
        <v>0</v>
      </c>
      <c r="U1288" s="700">
        <v>0</v>
      </c>
      <c r="V1288" s="700">
        <v>0</v>
      </c>
      <c r="W1288" s="700">
        <v>0</v>
      </c>
      <c r="X1288" s="700">
        <v>0</v>
      </c>
      <c r="Y1288" s="700">
        <v>0</v>
      </c>
      <c r="Z1288" s="700">
        <v>0</v>
      </c>
      <c r="AA1288" s="700">
        <v>0</v>
      </c>
      <c r="AB1288" s="700">
        <v>0</v>
      </c>
      <c r="AC1288" s="682">
        <v>0</v>
      </c>
      <c r="AD1288" s="682">
        <v>0</v>
      </c>
      <c r="AE1288" s="736"/>
      <c r="AF1288" s="736"/>
      <c r="AG1288" s="736"/>
      <c r="AH1288" s="736"/>
      <c r="AI1288" s="736"/>
      <c r="AJ1288" s="736"/>
      <c r="AK1288" s="736"/>
      <c r="AL1288" s="736"/>
      <c r="AM1288" s="736"/>
      <c r="AN1288" s="736"/>
      <c r="AO1288" s="736"/>
      <c r="AP1288" s="736"/>
      <c r="AQ1288" s="736"/>
      <c r="AR1288" s="736"/>
      <c r="AS1288" s="736"/>
      <c r="AT1288" s="736"/>
      <c r="AU1288" s="736"/>
      <c r="AV1288" s="736"/>
      <c r="AW1288" s="736"/>
      <c r="AX1288" s="736"/>
      <c r="AY1288" s="736"/>
      <c r="AZ1288" s="736"/>
      <c r="BA1288" s="736"/>
      <c r="BB1288" s="736"/>
      <c r="BC1288" s="736"/>
      <c r="BD1288" s="736"/>
      <c r="BE1288" s="736"/>
      <c r="BF1288" s="736"/>
      <c r="BG1288" s="736"/>
      <c r="BH1288" s="736"/>
      <c r="BI1288" s="736"/>
      <c r="BJ1288" s="736"/>
      <c r="BK1288" s="736"/>
      <c r="BL1288" s="736"/>
      <c r="BM1288" s="736"/>
      <c r="BN1288" s="736"/>
      <c r="BO1288" s="736"/>
      <c r="BP1288" s="736"/>
      <c r="BQ1288" s="736"/>
      <c r="BR1288" s="736"/>
      <c r="BS1288" s="736"/>
      <c r="BT1288" s="736"/>
      <c r="BU1288" s="736"/>
      <c r="BV1288" s="736"/>
      <c r="BW1288" s="736"/>
      <c r="BX1288" s="736"/>
      <c r="BY1288" s="736"/>
      <c r="BZ1288" s="736"/>
      <c r="CA1288" s="736"/>
    </row>
    <row r="1289" spans="1:79" hidden="1" outlineLevel="1" x14ac:dyDescent="0.35">
      <c r="A1289" s="30"/>
      <c r="B1289" s="30"/>
      <c r="C1289" s="30"/>
      <c r="D1289" s="30"/>
      <c r="E1289" s="30"/>
      <c r="F1289" s="673" t="s">
        <v>676</v>
      </c>
      <c r="G1289" s="680">
        <f>SUM(G1285:G1288)</f>
        <v>1400</v>
      </c>
      <c r="H1289" s="680">
        <f t="shared" ref="H1289:BO1289" si="497">SUM(H1285:H1288)</f>
        <v>161.91</v>
      </c>
      <c r="I1289" s="680">
        <f t="shared" si="497"/>
        <v>0</v>
      </c>
      <c r="J1289" s="680">
        <f t="shared" si="497"/>
        <v>0</v>
      </c>
      <c r="K1289" s="680">
        <f t="shared" si="497"/>
        <v>0</v>
      </c>
      <c r="L1289" s="680">
        <f t="shared" si="497"/>
        <v>0</v>
      </c>
      <c r="M1289" s="680">
        <f t="shared" si="497"/>
        <v>85</v>
      </c>
      <c r="N1289" s="680">
        <f t="shared" si="497"/>
        <v>146.19</v>
      </c>
      <c r="O1289" s="680">
        <f t="shared" si="497"/>
        <v>0</v>
      </c>
      <c r="P1289" s="680">
        <f t="shared" si="497"/>
        <v>390</v>
      </c>
      <c r="Q1289" s="680">
        <f t="shared" si="497"/>
        <v>0</v>
      </c>
      <c r="R1289" s="680">
        <f t="shared" si="497"/>
        <v>450</v>
      </c>
      <c r="S1289" s="696">
        <f t="shared" ref="S1289:AA1289" si="498">ROUND(SUM(S1284:S1288),5)</f>
        <v>2831</v>
      </c>
      <c r="T1289" s="696">
        <f t="shared" si="498"/>
        <v>750</v>
      </c>
      <c r="U1289" s="696">
        <f t="shared" si="498"/>
        <v>0</v>
      </c>
      <c r="V1289" s="696">
        <f t="shared" si="498"/>
        <v>0</v>
      </c>
      <c r="W1289" s="696">
        <f t="shared" si="498"/>
        <v>120</v>
      </c>
      <c r="X1289" s="696">
        <f t="shared" si="498"/>
        <v>0</v>
      </c>
      <c r="Y1289" s="696">
        <f t="shared" si="498"/>
        <v>0</v>
      </c>
      <c r="Z1289" s="696">
        <f t="shared" si="498"/>
        <v>0</v>
      </c>
      <c r="AA1289" s="696">
        <f t="shared" si="498"/>
        <v>1431.13</v>
      </c>
      <c r="AB1289" s="696">
        <f>ROUND(SUM(AB1284:AB1288),5)</f>
        <v>0</v>
      </c>
      <c r="AC1289" s="696">
        <f>ROUND(SUM(AC1284:AC1288),5)</f>
        <v>0</v>
      </c>
      <c r="AD1289" s="696">
        <f>ROUND(SUM(AD1284:AD1288),5)</f>
        <v>0</v>
      </c>
      <c r="AE1289" s="680">
        <f t="shared" si="497"/>
        <v>0</v>
      </c>
      <c r="AF1289" s="680">
        <f t="shared" si="497"/>
        <v>0</v>
      </c>
      <c r="AG1289" s="680">
        <f t="shared" si="497"/>
        <v>0</v>
      </c>
      <c r="AH1289" s="680">
        <f t="shared" si="497"/>
        <v>0</v>
      </c>
      <c r="AI1289" s="680">
        <f t="shared" si="497"/>
        <v>0</v>
      </c>
      <c r="AJ1289" s="680">
        <f t="shared" si="497"/>
        <v>0</v>
      </c>
      <c r="AK1289" s="680">
        <f t="shared" si="497"/>
        <v>0</v>
      </c>
      <c r="AL1289" s="680">
        <f t="shared" si="497"/>
        <v>0</v>
      </c>
      <c r="AM1289" s="680">
        <f t="shared" si="497"/>
        <v>0</v>
      </c>
      <c r="AN1289" s="680">
        <f t="shared" si="497"/>
        <v>0</v>
      </c>
      <c r="AO1289" s="680">
        <f t="shared" si="497"/>
        <v>0</v>
      </c>
      <c r="AP1289" s="680">
        <f t="shared" si="497"/>
        <v>0</v>
      </c>
      <c r="AQ1289" s="680">
        <f t="shared" si="497"/>
        <v>0</v>
      </c>
      <c r="AR1289" s="680">
        <f t="shared" si="497"/>
        <v>0</v>
      </c>
      <c r="AS1289" s="680">
        <f t="shared" si="497"/>
        <v>0</v>
      </c>
      <c r="AT1289" s="680">
        <f t="shared" si="497"/>
        <v>0</v>
      </c>
      <c r="AU1289" s="680">
        <f t="shared" si="497"/>
        <v>0</v>
      </c>
      <c r="AV1289" s="680">
        <f t="shared" si="497"/>
        <v>0</v>
      </c>
      <c r="AW1289" s="680">
        <f t="shared" si="497"/>
        <v>0</v>
      </c>
      <c r="AX1289" s="680">
        <f t="shared" si="497"/>
        <v>0</v>
      </c>
      <c r="AY1289" s="680">
        <f t="shared" si="497"/>
        <v>0</v>
      </c>
      <c r="AZ1289" s="680">
        <f t="shared" si="497"/>
        <v>0</v>
      </c>
      <c r="BA1289" s="680">
        <f t="shared" si="497"/>
        <v>0</v>
      </c>
      <c r="BB1289" s="680">
        <f t="shared" si="497"/>
        <v>0</v>
      </c>
      <c r="BC1289" s="680">
        <f t="shared" si="497"/>
        <v>0</v>
      </c>
      <c r="BD1289" s="680">
        <f t="shared" si="497"/>
        <v>0</v>
      </c>
      <c r="BE1289" s="680">
        <f t="shared" si="497"/>
        <v>0</v>
      </c>
      <c r="BF1289" s="680">
        <f t="shared" si="497"/>
        <v>0</v>
      </c>
      <c r="BG1289" s="680">
        <f t="shared" si="497"/>
        <v>0</v>
      </c>
      <c r="BH1289" s="680">
        <f t="shared" si="497"/>
        <v>0</v>
      </c>
      <c r="BI1289" s="680">
        <f t="shared" si="497"/>
        <v>0</v>
      </c>
      <c r="BJ1289" s="680">
        <f t="shared" si="497"/>
        <v>0</v>
      </c>
      <c r="BK1289" s="680">
        <f t="shared" si="497"/>
        <v>0</v>
      </c>
      <c r="BL1289" s="680">
        <f t="shared" si="497"/>
        <v>0</v>
      </c>
      <c r="BM1289" s="680">
        <f t="shared" si="497"/>
        <v>0</v>
      </c>
      <c r="BN1289" s="680">
        <f t="shared" si="497"/>
        <v>0</v>
      </c>
      <c r="BO1289" s="680">
        <f t="shared" si="497"/>
        <v>0</v>
      </c>
      <c r="BP1289" s="680">
        <f t="shared" ref="BP1289:CA1289" si="499">SUM(BP1285:BP1288)</f>
        <v>0</v>
      </c>
      <c r="BQ1289" s="680">
        <f t="shared" si="499"/>
        <v>0</v>
      </c>
      <c r="BR1289" s="680">
        <f t="shared" si="499"/>
        <v>0</v>
      </c>
      <c r="BS1289" s="680">
        <f t="shared" si="499"/>
        <v>0</v>
      </c>
      <c r="BT1289" s="680">
        <f t="shared" si="499"/>
        <v>0</v>
      </c>
      <c r="BU1289" s="680">
        <f t="shared" si="499"/>
        <v>0</v>
      </c>
      <c r="BV1289" s="680">
        <f t="shared" si="499"/>
        <v>0</v>
      </c>
      <c r="BW1289" s="680">
        <f t="shared" si="499"/>
        <v>0</v>
      </c>
      <c r="BX1289" s="680">
        <f t="shared" si="499"/>
        <v>0</v>
      </c>
      <c r="BY1289" s="680">
        <f t="shared" si="499"/>
        <v>0</v>
      </c>
      <c r="BZ1289" s="680">
        <f t="shared" si="499"/>
        <v>0</v>
      </c>
      <c r="CA1289" s="680">
        <f t="shared" si="499"/>
        <v>0</v>
      </c>
    </row>
    <row r="1290" spans="1:79" hidden="1" outlineLevel="1" x14ac:dyDescent="0.35">
      <c r="F1290" s="674" t="s">
        <v>652</v>
      </c>
      <c r="G1290" s="735">
        <v>395.58536999999995</v>
      </c>
      <c r="H1290" s="735">
        <v>641.06872541135749</v>
      </c>
      <c r="I1290" s="735">
        <v>336.49806690861084</v>
      </c>
      <c r="J1290" s="735">
        <v>124.26455040446071</v>
      </c>
      <c r="K1290" s="735">
        <v>113.02968515894463</v>
      </c>
      <c r="L1290" s="735">
        <v>96.288474372998692</v>
      </c>
      <c r="M1290" s="735">
        <v>726.42164102921447</v>
      </c>
      <c r="N1290" s="735">
        <v>107.63046604176773</v>
      </c>
      <c r="O1290" s="735">
        <v>97.226207324331369</v>
      </c>
      <c r="P1290" s="732">
        <v>133.69290655615566</v>
      </c>
      <c r="Q1290" s="732">
        <v>102.82304666604826</v>
      </c>
      <c r="R1290" s="736">
        <v>84.531837420988211</v>
      </c>
      <c r="S1290" s="704">
        <v>661.47</v>
      </c>
      <c r="T1290" s="704">
        <v>644.41</v>
      </c>
      <c r="U1290" s="704">
        <v>1565.14</v>
      </c>
      <c r="V1290" s="704">
        <v>991.43</v>
      </c>
      <c r="W1290" s="704">
        <v>987.12</v>
      </c>
      <c r="X1290" s="704">
        <v>1100.42</v>
      </c>
      <c r="Y1290" s="704">
        <v>1162.1199999999999</v>
      </c>
      <c r="Z1290" s="704">
        <v>1223.83</v>
      </c>
      <c r="AA1290" s="704">
        <v>1231.43</v>
      </c>
      <c r="AB1290" s="704">
        <v>1401.7</v>
      </c>
      <c r="AC1290" s="682">
        <v>1517.88</v>
      </c>
      <c r="AD1290" s="682">
        <v>1406.65</v>
      </c>
      <c r="AE1290" s="736"/>
      <c r="AF1290" s="736"/>
      <c r="AG1290" s="736"/>
      <c r="AH1290" s="736"/>
      <c r="AI1290" s="736"/>
      <c r="AJ1290" s="736"/>
      <c r="AK1290" s="736"/>
      <c r="AL1290" s="736"/>
      <c r="AM1290" s="736"/>
      <c r="AN1290" s="736"/>
      <c r="AO1290" s="736"/>
      <c r="AP1290" s="736"/>
      <c r="AQ1290" s="736"/>
      <c r="AR1290" s="736"/>
      <c r="AS1290" s="736"/>
      <c r="AT1290" s="736"/>
      <c r="AU1290" s="736"/>
      <c r="AV1290" s="736"/>
      <c r="AW1290" s="736"/>
      <c r="AX1290" s="736"/>
      <c r="AY1290" s="736"/>
      <c r="AZ1290" s="736"/>
      <c r="BA1290" s="736"/>
      <c r="BB1290" s="736"/>
      <c r="BC1290" s="736"/>
      <c r="BD1290" s="736"/>
      <c r="BE1290" s="736"/>
      <c r="BF1290" s="736"/>
      <c r="BG1290" s="736"/>
      <c r="BH1290" s="736"/>
      <c r="BI1290" s="736"/>
      <c r="BJ1290" s="736"/>
      <c r="BK1290" s="736"/>
      <c r="BL1290" s="736"/>
      <c r="BM1290" s="736"/>
      <c r="BN1290" s="736"/>
      <c r="BO1290" s="736"/>
      <c r="BP1290" s="736"/>
      <c r="BQ1290" s="736"/>
      <c r="BR1290" s="736"/>
      <c r="BS1290" s="736"/>
      <c r="BT1290" s="736"/>
      <c r="BU1290" s="736"/>
      <c r="BV1290" s="736"/>
      <c r="BW1290" s="736"/>
      <c r="BX1290" s="736"/>
      <c r="BY1290" s="736"/>
      <c r="BZ1290" s="736"/>
      <c r="CA1290" s="736"/>
    </row>
    <row r="1291" spans="1:79" hidden="1" outlineLevel="1" x14ac:dyDescent="0.35">
      <c r="F1291" s="674" t="s">
        <v>603</v>
      </c>
      <c r="G1291" s="735">
        <v>252.819063</v>
      </c>
      <c r="H1291" s="735">
        <v>2085.3018681977546</v>
      </c>
      <c r="I1291" s="735">
        <v>1414.4018583479294</v>
      </c>
      <c r="J1291" s="735">
        <v>2743.7396136170528</v>
      </c>
      <c r="K1291" s="735">
        <v>2001.2815969335109</v>
      </c>
      <c r="L1291" s="735">
        <v>1452.7491900272742</v>
      </c>
      <c r="M1291" s="735">
        <v>1046.5131468738566</v>
      </c>
      <c r="N1291" s="735">
        <v>2957.6399944966511</v>
      </c>
      <c r="O1291" s="735">
        <v>4621.1119507676576</v>
      </c>
      <c r="P1291" s="732">
        <v>7690.868235735722</v>
      </c>
      <c r="Q1291" s="732">
        <v>801.55499999114079</v>
      </c>
      <c r="R1291" s="736">
        <v>413.27720081417721</v>
      </c>
      <c r="S1291" s="683">
        <v>1131.8</v>
      </c>
      <c r="T1291" s="683">
        <v>4066.46</v>
      </c>
      <c r="U1291" s="683">
        <v>340</v>
      </c>
      <c r="V1291" s="683">
        <v>583</v>
      </c>
      <c r="W1291" s="683">
        <v>652.5</v>
      </c>
      <c r="X1291" s="683">
        <v>651.85</v>
      </c>
      <c r="Y1291" s="683">
        <v>767</v>
      </c>
      <c r="Z1291" s="683">
        <v>907</v>
      </c>
      <c r="AA1291" s="683">
        <v>493</v>
      </c>
      <c r="AB1291" s="683">
        <v>992</v>
      </c>
      <c r="AC1291" s="702">
        <v>851</v>
      </c>
      <c r="AD1291" s="702">
        <v>653</v>
      </c>
      <c r="AE1291" s="736"/>
      <c r="AF1291" s="736"/>
      <c r="AG1291" s="736"/>
      <c r="AH1291" s="736"/>
      <c r="AI1291" s="736"/>
      <c r="AJ1291" s="736"/>
      <c r="AK1291" s="736"/>
      <c r="AL1291" s="736"/>
      <c r="AM1291" s="736"/>
      <c r="AN1291" s="736"/>
      <c r="AO1291" s="736"/>
      <c r="AP1291" s="736"/>
      <c r="AQ1291" s="736"/>
      <c r="AR1291" s="736"/>
      <c r="AS1291" s="736"/>
      <c r="AT1291" s="736"/>
      <c r="AU1291" s="736"/>
      <c r="AV1291" s="736"/>
      <c r="AW1291" s="736"/>
      <c r="AX1291" s="736"/>
      <c r="AY1291" s="736"/>
      <c r="AZ1291" s="736"/>
      <c r="BA1291" s="736"/>
      <c r="BB1291" s="736"/>
      <c r="BC1291" s="736"/>
      <c r="BD1291" s="736"/>
      <c r="BE1291" s="736"/>
      <c r="BF1291" s="736"/>
      <c r="BG1291" s="736"/>
      <c r="BH1291" s="736"/>
      <c r="BI1291" s="736"/>
      <c r="BJ1291" s="736"/>
      <c r="BK1291" s="736"/>
      <c r="BL1291" s="736"/>
      <c r="BM1291" s="736"/>
      <c r="BN1291" s="736"/>
      <c r="BO1291" s="736"/>
      <c r="BP1291" s="736"/>
      <c r="BQ1291" s="736"/>
      <c r="BR1291" s="736"/>
      <c r="BS1291" s="736"/>
      <c r="BT1291" s="736"/>
      <c r="BU1291" s="736"/>
      <c r="BV1291" s="736"/>
      <c r="BW1291" s="736"/>
      <c r="BX1291" s="736"/>
      <c r="BY1291" s="736"/>
      <c r="BZ1291" s="736"/>
      <c r="CA1291" s="736"/>
    </row>
    <row r="1292" spans="1:79" s="709" customFormat="1" hidden="1" outlineLevel="1" x14ac:dyDescent="0.35">
      <c r="A1292" s="726"/>
      <c r="B1292" s="726"/>
      <c r="C1292" s="726"/>
      <c r="D1292" s="726"/>
      <c r="E1292" s="726"/>
      <c r="F1292" s="707" t="s">
        <v>677</v>
      </c>
      <c r="G1292" s="753"/>
      <c r="H1292" s="753"/>
      <c r="I1292" s="753"/>
      <c r="J1292" s="753"/>
      <c r="K1292" s="753"/>
      <c r="L1292" s="753"/>
      <c r="M1292" s="753"/>
      <c r="N1292" s="753"/>
      <c r="O1292" s="753"/>
      <c r="P1292" s="753"/>
      <c r="Q1292" s="753"/>
      <c r="R1292" s="779"/>
      <c r="S1292" s="720"/>
      <c r="T1292" s="720"/>
      <c r="U1292" s="720"/>
      <c r="V1292" s="720"/>
      <c r="W1292" s="720"/>
      <c r="X1292" s="720"/>
      <c r="Y1292" s="720"/>
      <c r="Z1292" s="720"/>
      <c r="AA1292" s="720"/>
      <c r="AB1292" s="720"/>
      <c r="AC1292" s="719"/>
      <c r="AD1292" s="719"/>
      <c r="AE1292" s="752"/>
      <c r="AF1292" s="752"/>
      <c r="AG1292" s="752"/>
      <c r="AH1292" s="752"/>
      <c r="AI1292" s="752"/>
      <c r="AJ1292" s="752"/>
      <c r="AK1292" s="752"/>
      <c r="AL1292" s="752"/>
      <c r="AM1292" s="752"/>
      <c r="AN1292" s="752"/>
      <c r="AO1292" s="752"/>
      <c r="AP1292" s="752"/>
      <c r="AQ1292" s="752"/>
      <c r="AR1292" s="752"/>
      <c r="AS1292" s="752"/>
      <c r="AT1292" s="752"/>
      <c r="AU1292" s="752"/>
      <c r="AV1292" s="752"/>
      <c r="AW1292" s="752"/>
      <c r="AX1292" s="752"/>
      <c r="AY1292" s="752"/>
      <c r="AZ1292" s="752"/>
      <c r="BA1292" s="752"/>
      <c r="BB1292" s="752"/>
      <c r="BC1292" s="752"/>
      <c r="BD1292" s="752"/>
      <c r="BE1292" s="752"/>
      <c r="BF1292" s="752"/>
      <c r="BG1292" s="752"/>
      <c r="BH1292" s="752"/>
      <c r="BI1292" s="752"/>
      <c r="BJ1292" s="752"/>
      <c r="BK1292" s="752"/>
      <c r="BL1292" s="752"/>
      <c r="BM1292" s="752"/>
      <c r="BN1292" s="752"/>
      <c r="BO1292" s="752"/>
      <c r="BP1292" s="752"/>
      <c r="BQ1292" s="752"/>
      <c r="BR1292" s="752"/>
      <c r="BS1292" s="752"/>
      <c r="BT1292" s="752"/>
      <c r="BU1292" s="752"/>
      <c r="BV1292" s="752"/>
      <c r="BW1292" s="752"/>
      <c r="BX1292" s="752"/>
      <c r="BY1292" s="752"/>
      <c r="BZ1292" s="752"/>
      <c r="CA1292" s="752"/>
    </row>
    <row r="1293" spans="1:79" hidden="1" outlineLevel="1" x14ac:dyDescent="0.35">
      <c r="A1293" s="575"/>
      <c r="B1293" s="575"/>
      <c r="C1293" s="575"/>
      <c r="D1293" s="575"/>
      <c r="E1293" s="575"/>
      <c r="F1293" s="672" t="s">
        <v>900</v>
      </c>
      <c r="G1293" s="734"/>
      <c r="H1293" s="734"/>
      <c r="I1293" s="734"/>
      <c r="J1293" s="734"/>
      <c r="K1293" s="734"/>
      <c r="L1293" s="734"/>
      <c r="M1293" s="734"/>
      <c r="N1293" s="734"/>
      <c r="O1293" s="734"/>
      <c r="P1293" s="734"/>
      <c r="Q1293" s="734"/>
      <c r="R1293" s="733"/>
      <c r="S1293" s="683">
        <v>0</v>
      </c>
      <c r="T1293" s="683">
        <v>0</v>
      </c>
      <c r="U1293" s="683">
        <v>0</v>
      </c>
      <c r="V1293" s="683">
        <v>0</v>
      </c>
      <c r="W1293" s="683">
        <v>0</v>
      </c>
      <c r="X1293" s="683">
        <v>0</v>
      </c>
      <c r="Y1293" s="683">
        <v>0</v>
      </c>
      <c r="Z1293" s="683">
        <v>0</v>
      </c>
      <c r="AA1293" s="683">
        <v>0</v>
      </c>
      <c r="AB1293" s="683">
        <v>0</v>
      </c>
      <c r="AC1293" s="702">
        <v>0</v>
      </c>
      <c r="AD1293" s="702">
        <v>0</v>
      </c>
      <c r="AE1293" s="736"/>
      <c r="AF1293" s="736"/>
      <c r="AG1293" s="736"/>
      <c r="AH1293" s="736"/>
      <c r="AI1293" s="736"/>
      <c r="AJ1293" s="736"/>
      <c r="AK1293" s="736"/>
      <c r="AL1293" s="736"/>
      <c r="AM1293" s="736"/>
      <c r="AN1293" s="736"/>
      <c r="AO1293" s="736"/>
      <c r="AP1293" s="736"/>
      <c r="AQ1293" s="736"/>
      <c r="AR1293" s="736"/>
      <c r="AS1293" s="736"/>
      <c r="AT1293" s="736"/>
      <c r="AU1293" s="736"/>
      <c r="AV1293" s="736"/>
      <c r="AW1293" s="736"/>
      <c r="AX1293" s="736"/>
      <c r="AY1293" s="736"/>
      <c r="AZ1293" s="736"/>
      <c r="BA1293" s="736"/>
      <c r="BB1293" s="736"/>
      <c r="BC1293" s="736"/>
      <c r="BD1293" s="736"/>
      <c r="BE1293" s="736"/>
      <c r="BF1293" s="736"/>
      <c r="BG1293" s="736"/>
      <c r="BH1293" s="736"/>
      <c r="BI1293" s="736"/>
      <c r="BJ1293" s="736"/>
      <c r="BK1293" s="736"/>
      <c r="BL1293" s="736"/>
      <c r="BM1293" s="736"/>
      <c r="BN1293" s="736"/>
      <c r="BO1293" s="736"/>
      <c r="BP1293" s="736"/>
      <c r="BQ1293" s="736"/>
      <c r="BR1293" s="736"/>
      <c r="BS1293" s="736"/>
      <c r="BT1293" s="736"/>
      <c r="BU1293" s="736"/>
      <c r="BV1293" s="736"/>
      <c r="BW1293" s="736"/>
      <c r="BX1293" s="736"/>
      <c r="BY1293" s="736"/>
      <c r="BZ1293" s="736"/>
      <c r="CA1293" s="736"/>
    </row>
    <row r="1294" spans="1:79" hidden="1" outlineLevel="1" x14ac:dyDescent="0.35">
      <c r="A1294" s="80"/>
      <c r="B1294" s="80"/>
      <c r="C1294" s="80"/>
      <c r="D1294" s="80"/>
      <c r="E1294" s="80"/>
      <c r="F1294" s="672" t="s">
        <v>678</v>
      </c>
      <c r="G1294" s="734"/>
      <c r="H1294" s="734"/>
      <c r="I1294" s="734"/>
      <c r="J1294" s="734"/>
      <c r="K1294" s="734"/>
      <c r="L1294" s="734"/>
      <c r="M1294" s="734"/>
      <c r="N1294" s="734"/>
      <c r="O1294" s="734"/>
      <c r="P1294" s="734"/>
      <c r="Q1294" s="734"/>
      <c r="R1294" s="733"/>
      <c r="S1294" s="683">
        <v>684.97</v>
      </c>
      <c r="T1294" s="683">
        <v>1034.31</v>
      </c>
      <c r="U1294" s="683">
        <v>1550.29</v>
      </c>
      <c r="V1294" s="683">
        <v>885.46</v>
      </c>
      <c r="W1294" s="683">
        <v>930.34</v>
      </c>
      <c r="X1294" s="683">
        <v>1048.26</v>
      </c>
      <c r="Y1294" s="683">
        <v>2057.31</v>
      </c>
      <c r="Z1294" s="683">
        <v>749.58</v>
      </c>
      <c r="AA1294" s="683">
        <v>1257.01</v>
      </c>
      <c r="AB1294" s="683">
        <v>2455.41</v>
      </c>
      <c r="AC1294" s="702">
        <v>2603.14</v>
      </c>
      <c r="AD1294" s="702">
        <v>3893.45</v>
      </c>
      <c r="AE1294" s="736"/>
      <c r="AF1294" s="736"/>
      <c r="AG1294" s="736"/>
      <c r="AH1294" s="736"/>
      <c r="AI1294" s="736"/>
      <c r="AJ1294" s="736"/>
      <c r="AK1294" s="736"/>
      <c r="AL1294" s="736"/>
      <c r="AM1294" s="736"/>
      <c r="AN1294" s="736"/>
      <c r="AO1294" s="736"/>
      <c r="AP1294" s="736"/>
      <c r="AQ1294" s="736"/>
      <c r="AR1294" s="736"/>
      <c r="AS1294" s="736"/>
      <c r="AT1294" s="736"/>
      <c r="AU1294" s="736"/>
      <c r="AV1294" s="736"/>
      <c r="AW1294" s="736"/>
      <c r="AX1294" s="736"/>
      <c r="AY1294" s="736"/>
      <c r="AZ1294" s="736"/>
      <c r="BA1294" s="736"/>
      <c r="BB1294" s="736"/>
      <c r="BC1294" s="736"/>
      <c r="BD1294" s="736"/>
      <c r="BE1294" s="736"/>
      <c r="BF1294" s="736"/>
      <c r="BG1294" s="736"/>
      <c r="BH1294" s="736"/>
      <c r="BI1294" s="736"/>
      <c r="BJ1294" s="736"/>
      <c r="BK1294" s="736"/>
      <c r="BL1294" s="736"/>
      <c r="BM1294" s="736"/>
      <c r="BN1294" s="736"/>
      <c r="BO1294" s="736"/>
      <c r="BP1294" s="736"/>
      <c r="BQ1294" s="736"/>
      <c r="BR1294" s="736"/>
      <c r="BS1294" s="736"/>
      <c r="BT1294" s="736"/>
      <c r="BU1294" s="736"/>
      <c r="BV1294" s="736"/>
      <c r="BW1294" s="736"/>
      <c r="BX1294" s="736"/>
      <c r="BY1294" s="736"/>
      <c r="BZ1294" s="736"/>
      <c r="CA1294" s="736"/>
    </row>
    <row r="1295" spans="1:79" hidden="1" outlineLevel="1" x14ac:dyDescent="0.35">
      <c r="A1295" s="580"/>
      <c r="B1295" s="580"/>
      <c r="C1295" s="580"/>
      <c r="D1295" s="580"/>
      <c r="E1295" s="580"/>
      <c r="F1295" s="672" t="s">
        <v>901</v>
      </c>
      <c r="G1295" s="734"/>
      <c r="H1295" s="734"/>
      <c r="I1295" s="734"/>
      <c r="J1295" s="734"/>
      <c r="K1295" s="734"/>
      <c r="L1295" s="734"/>
      <c r="M1295" s="734"/>
      <c r="N1295" s="734"/>
      <c r="O1295" s="734"/>
      <c r="P1295" s="734"/>
      <c r="Q1295" s="734"/>
      <c r="R1295" s="733"/>
      <c r="S1295" s="683">
        <v>0</v>
      </c>
      <c r="T1295" s="683">
        <v>0</v>
      </c>
      <c r="U1295" s="683">
        <v>0</v>
      </c>
      <c r="V1295" s="683">
        <v>0</v>
      </c>
      <c r="W1295" s="683">
        <v>0</v>
      </c>
      <c r="X1295" s="683">
        <v>0</v>
      </c>
      <c r="Y1295" s="683">
        <v>0</v>
      </c>
      <c r="Z1295" s="683">
        <v>0</v>
      </c>
      <c r="AA1295" s="683">
        <v>0</v>
      </c>
      <c r="AB1295" s="683">
        <v>0</v>
      </c>
      <c r="AC1295" s="702">
        <v>0</v>
      </c>
      <c r="AD1295" s="702">
        <v>0</v>
      </c>
      <c r="AE1295" s="736"/>
      <c r="AF1295" s="736"/>
      <c r="AG1295" s="736"/>
      <c r="AH1295" s="736"/>
      <c r="AI1295" s="736"/>
      <c r="AJ1295" s="736"/>
      <c r="AK1295" s="736"/>
      <c r="AL1295" s="736"/>
      <c r="AM1295" s="736"/>
      <c r="AN1295" s="736"/>
      <c r="AO1295" s="736"/>
      <c r="AP1295" s="736"/>
      <c r="AQ1295" s="736"/>
      <c r="AR1295" s="736"/>
      <c r="AS1295" s="736"/>
      <c r="AT1295" s="736"/>
      <c r="AU1295" s="736"/>
      <c r="AV1295" s="736"/>
      <c r="AW1295" s="736"/>
      <c r="AX1295" s="736"/>
      <c r="AY1295" s="736"/>
      <c r="AZ1295" s="736"/>
      <c r="BA1295" s="736"/>
      <c r="BB1295" s="736"/>
      <c r="BC1295" s="736"/>
      <c r="BD1295" s="736"/>
      <c r="BE1295" s="736"/>
      <c r="BF1295" s="736"/>
      <c r="BG1295" s="736"/>
      <c r="BH1295" s="736"/>
      <c r="BI1295" s="736"/>
      <c r="BJ1295" s="736"/>
      <c r="BK1295" s="736"/>
      <c r="BL1295" s="736"/>
      <c r="BM1295" s="736"/>
      <c r="BN1295" s="736"/>
      <c r="BO1295" s="736"/>
      <c r="BP1295" s="736"/>
      <c r="BQ1295" s="736"/>
      <c r="BR1295" s="736"/>
      <c r="BS1295" s="736"/>
      <c r="BT1295" s="736"/>
      <c r="BU1295" s="736"/>
      <c r="BV1295" s="736"/>
      <c r="BW1295" s="736"/>
      <c r="BX1295" s="736"/>
      <c r="BY1295" s="736"/>
      <c r="BZ1295" s="736"/>
      <c r="CA1295" s="736"/>
    </row>
    <row r="1296" spans="1:79" hidden="1" outlineLevel="1" x14ac:dyDescent="0.35">
      <c r="A1296" s="580"/>
      <c r="B1296" s="580"/>
      <c r="C1296" s="580"/>
      <c r="D1296" s="580"/>
      <c r="E1296" s="580"/>
      <c r="F1296" s="672" t="s">
        <v>771</v>
      </c>
      <c r="G1296" s="735">
        <v>703.56</v>
      </c>
      <c r="H1296" s="732">
        <v>949.16000000000008</v>
      </c>
      <c r="I1296" s="732">
        <v>951.90000000000009</v>
      </c>
      <c r="J1296" s="732">
        <v>827.64</v>
      </c>
      <c r="K1296" s="732">
        <v>791.07999999999993</v>
      </c>
      <c r="L1296" s="732">
        <v>959.01</v>
      </c>
      <c r="M1296" s="732">
        <v>1175.54</v>
      </c>
      <c r="N1296" s="732">
        <v>1201.9299999999998</v>
      </c>
      <c r="O1296" s="732">
        <v>281.18</v>
      </c>
      <c r="P1296" s="732">
        <v>1519.33</v>
      </c>
      <c r="Q1296" s="732">
        <v>1163.28</v>
      </c>
      <c r="R1296" s="736">
        <v>1118.8899999999999</v>
      </c>
      <c r="S1296" s="683">
        <v>0</v>
      </c>
      <c r="T1296" s="683">
        <v>0</v>
      </c>
      <c r="U1296" s="683">
        <v>0</v>
      </c>
      <c r="V1296" s="683">
        <v>0</v>
      </c>
      <c r="W1296" s="683">
        <v>265.36</v>
      </c>
      <c r="X1296" s="683">
        <v>52.43</v>
      </c>
      <c r="Y1296" s="683">
        <v>52.43</v>
      </c>
      <c r="Z1296" s="683">
        <v>52.43</v>
      </c>
      <c r="AA1296" s="683">
        <v>52.43</v>
      </c>
      <c r="AB1296" s="683">
        <v>52.43</v>
      </c>
      <c r="AC1296" s="702">
        <v>0</v>
      </c>
      <c r="AD1296" s="702">
        <v>0</v>
      </c>
      <c r="AE1296" s="736"/>
      <c r="AF1296" s="736"/>
      <c r="AG1296" s="736"/>
      <c r="AH1296" s="736"/>
      <c r="AI1296" s="736"/>
      <c r="AJ1296" s="736"/>
      <c r="AK1296" s="736"/>
      <c r="AL1296" s="736"/>
      <c r="AM1296" s="736"/>
      <c r="AN1296" s="736"/>
      <c r="AO1296" s="736"/>
      <c r="AP1296" s="736"/>
      <c r="AQ1296" s="736"/>
      <c r="AR1296" s="736"/>
      <c r="AS1296" s="736"/>
      <c r="AT1296" s="736"/>
      <c r="AU1296" s="736"/>
      <c r="AV1296" s="736"/>
      <c r="AW1296" s="736"/>
      <c r="AX1296" s="736"/>
      <c r="AY1296" s="736"/>
      <c r="AZ1296" s="736"/>
      <c r="BA1296" s="736"/>
      <c r="BB1296" s="736"/>
      <c r="BC1296" s="736"/>
      <c r="BD1296" s="736"/>
      <c r="BE1296" s="736"/>
      <c r="BF1296" s="736"/>
      <c r="BG1296" s="736"/>
      <c r="BH1296" s="736"/>
      <c r="BI1296" s="736"/>
      <c r="BJ1296" s="736"/>
      <c r="BK1296" s="736"/>
      <c r="BL1296" s="736"/>
      <c r="BM1296" s="736"/>
      <c r="BN1296" s="736"/>
      <c r="BO1296" s="736"/>
      <c r="BP1296" s="736"/>
      <c r="BQ1296" s="736"/>
      <c r="BR1296" s="736"/>
      <c r="BS1296" s="736"/>
      <c r="BT1296" s="736"/>
      <c r="BU1296" s="736"/>
      <c r="BV1296" s="736"/>
      <c r="BW1296" s="736"/>
      <c r="BX1296" s="736"/>
      <c r="BY1296" s="736"/>
      <c r="BZ1296" s="736"/>
      <c r="CA1296" s="736"/>
    </row>
    <row r="1297" spans="1:79" hidden="1" outlineLevel="1" x14ac:dyDescent="0.35">
      <c r="A1297" s="30"/>
      <c r="B1297" s="30"/>
      <c r="C1297" s="30"/>
      <c r="D1297" s="30"/>
      <c r="E1297" s="30"/>
      <c r="F1297" s="673" t="s">
        <v>679</v>
      </c>
      <c r="G1297" s="680">
        <f>SUM(G1293:G1296)</f>
        <v>703.56</v>
      </c>
      <c r="H1297" s="680">
        <f t="shared" ref="H1297:BO1297" si="500">SUM(H1293:H1296)</f>
        <v>949.16000000000008</v>
      </c>
      <c r="I1297" s="680">
        <f t="shared" si="500"/>
        <v>951.90000000000009</v>
      </c>
      <c r="J1297" s="680">
        <f t="shared" si="500"/>
        <v>827.64</v>
      </c>
      <c r="K1297" s="680">
        <f t="shared" si="500"/>
        <v>791.07999999999993</v>
      </c>
      <c r="L1297" s="680">
        <f t="shared" si="500"/>
        <v>959.01</v>
      </c>
      <c r="M1297" s="680">
        <f t="shared" si="500"/>
        <v>1175.54</v>
      </c>
      <c r="N1297" s="680">
        <f t="shared" si="500"/>
        <v>1201.9299999999998</v>
      </c>
      <c r="O1297" s="680">
        <f t="shared" si="500"/>
        <v>281.18</v>
      </c>
      <c r="P1297" s="680">
        <f t="shared" si="500"/>
        <v>1519.33</v>
      </c>
      <c r="Q1297" s="680">
        <f t="shared" si="500"/>
        <v>1163.28</v>
      </c>
      <c r="R1297" s="680">
        <f t="shared" si="500"/>
        <v>1118.8899999999999</v>
      </c>
      <c r="S1297" s="694">
        <f t="shared" ref="S1297:AA1297" si="501">ROUND(SUM(S1292:S1296),5)</f>
        <v>684.97</v>
      </c>
      <c r="T1297" s="694">
        <f t="shared" si="501"/>
        <v>1034.31</v>
      </c>
      <c r="U1297" s="694">
        <f t="shared" si="501"/>
        <v>1550.29</v>
      </c>
      <c r="V1297" s="694">
        <f t="shared" si="501"/>
        <v>885.46</v>
      </c>
      <c r="W1297" s="694">
        <f t="shared" si="501"/>
        <v>1195.7</v>
      </c>
      <c r="X1297" s="694">
        <f t="shared" si="501"/>
        <v>1100.69</v>
      </c>
      <c r="Y1297" s="694">
        <f t="shared" si="501"/>
        <v>2109.7399999999998</v>
      </c>
      <c r="Z1297" s="694">
        <f t="shared" si="501"/>
        <v>802.01</v>
      </c>
      <c r="AA1297" s="694">
        <f t="shared" si="501"/>
        <v>1309.44</v>
      </c>
      <c r="AB1297" s="694">
        <f>ROUND(SUM(AB1292:AB1296),5)</f>
        <v>2507.84</v>
      </c>
      <c r="AC1297" s="694">
        <f>ROUND(SUM(AC1292:AC1296),5)</f>
        <v>2603.14</v>
      </c>
      <c r="AD1297" s="694">
        <f>ROUND(SUM(AD1292:AD1296),5)</f>
        <v>3893.45</v>
      </c>
      <c r="AE1297" s="680">
        <f t="shared" si="500"/>
        <v>0</v>
      </c>
      <c r="AF1297" s="680">
        <f t="shared" si="500"/>
        <v>0</v>
      </c>
      <c r="AG1297" s="680">
        <f t="shared" si="500"/>
        <v>0</v>
      </c>
      <c r="AH1297" s="680">
        <f t="shared" si="500"/>
        <v>0</v>
      </c>
      <c r="AI1297" s="680">
        <f t="shared" si="500"/>
        <v>0</v>
      </c>
      <c r="AJ1297" s="680">
        <f t="shared" si="500"/>
        <v>0</v>
      </c>
      <c r="AK1297" s="680">
        <f t="shared" si="500"/>
        <v>0</v>
      </c>
      <c r="AL1297" s="680">
        <f t="shared" si="500"/>
        <v>0</v>
      </c>
      <c r="AM1297" s="680">
        <f t="shared" si="500"/>
        <v>0</v>
      </c>
      <c r="AN1297" s="680">
        <f t="shared" si="500"/>
        <v>0</v>
      </c>
      <c r="AO1297" s="680">
        <f t="shared" si="500"/>
        <v>0</v>
      </c>
      <c r="AP1297" s="680">
        <f t="shared" si="500"/>
        <v>0</v>
      </c>
      <c r="AQ1297" s="680">
        <f t="shared" si="500"/>
        <v>0</v>
      </c>
      <c r="AR1297" s="680">
        <f t="shared" si="500"/>
        <v>0</v>
      </c>
      <c r="AS1297" s="680">
        <f t="shared" si="500"/>
        <v>0</v>
      </c>
      <c r="AT1297" s="680">
        <f t="shared" si="500"/>
        <v>0</v>
      </c>
      <c r="AU1297" s="680">
        <f t="shared" si="500"/>
        <v>0</v>
      </c>
      <c r="AV1297" s="680">
        <f t="shared" si="500"/>
        <v>0</v>
      </c>
      <c r="AW1297" s="680">
        <f t="shared" si="500"/>
        <v>0</v>
      </c>
      <c r="AX1297" s="680">
        <f t="shared" si="500"/>
        <v>0</v>
      </c>
      <c r="AY1297" s="680">
        <f t="shared" si="500"/>
        <v>0</v>
      </c>
      <c r="AZ1297" s="680">
        <f t="shared" si="500"/>
        <v>0</v>
      </c>
      <c r="BA1297" s="680">
        <f t="shared" si="500"/>
        <v>0</v>
      </c>
      <c r="BB1297" s="680">
        <f t="shared" si="500"/>
        <v>0</v>
      </c>
      <c r="BC1297" s="680">
        <f t="shared" si="500"/>
        <v>0</v>
      </c>
      <c r="BD1297" s="680">
        <f t="shared" si="500"/>
        <v>0</v>
      </c>
      <c r="BE1297" s="680">
        <f t="shared" si="500"/>
        <v>0</v>
      </c>
      <c r="BF1297" s="680">
        <f t="shared" si="500"/>
        <v>0</v>
      </c>
      <c r="BG1297" s="680">
        <f t="shared" si="500"/>
        <v>0</v>
      </c>
      <c r="BH1297" s="680">
        <f t="shared" si="500"/>
        <v>0</v>
      </c>
      <c r="BI1297" s="680">
        <f t="shared" si="500"/>
        <v>0</v>
      </c>
      <c r="BJ1297" s="680">
        <f t="shared" si="500"/>
        <v>0</v>
      </c>
      <c r="BK1297" s="680">
        <f t="shared" si="500"/>
        <v>0</v>
      </c>
      <c r="BL1297" s="680">
        <f t="shared" si="500"/>
        <v>0</v>
      </c>
      <c r="BM1297" s="680">
        <f t="shared" si="500"/>
        <v>0</v>
      </c>
      <c r="BN1297" s="680">
        <f t="shared" si="500"/>
        <v>0</v>
      </c>
      <c r="BO1297" s="680">
        <f t="shared" si="500"/>
        <v>0</v>
      </c>
      <c r="BP1297" s="680">
        <f t="shared" ref="BP1297:CA1297" si="502">SUM(BP1293:BP1296)</f>
        <v>0</v>
      </c>
      <c r="BQ1297" s="680">
        <f t="shared" si="502"/>
        <v>0</v>
      </c>
      <c r="BR1297" s="680">
        <f t="shared" si="502"/>
        <v>0</v>
      </c>
      <c r="BS1297" s="680">
        <f t="shared" si="502"/>
        <v>0</v>
      </c>
      <c r="BT1297" s="680">
        <f t="shared" si="502"/>
        <v>0</v>
      </c>
      <c r="BU1297" s="680">
        <f t="shared" si="502"/>
        <v>0</v>
      </c>
      <c r="BV1297" s="680">
        <f t="shared" si="502"/>
        <v>0</v>
      </c>
      <c r="BW1297" s="680">
        <f t="shared" si="502"/>
        <v>0</v>
      </c>
      <c r="BX1297" s="680">
        <f t="shared" si="502"/>
        <v>0</v>
      </c>
      <c r="BY1297" s="680">
        <f t="shared" si="502"/>
        <v>0</v>
      </c>
      <c r="BZ1297" s="680">
        <f t="shared" si="502"/>
        <v>0</v>
      </c>
      <c r="CA1297" s="680">
        <f t="shared" si="502"/>
        <v>0</v>
      </c>
    </row>
    <row r="1298" spans="1:79" hidden="1" outlineLevel="1" x14ac:dyDescent="0.35">
      <c r="F1298" s="674" t="s">
        <v>604</v>
      </c>
      <c r="G1298" s="732">
        <v>472.89411899999999</v>
      </c>
      <c r="H1298" s="732">
        <v>1016.2778128017463</v>
      </c>
      <c r="I1298" s="732">
        <v>1364.5883917442952</v>
      </c>
      <c r="J1298" s="732">
        <v>1624.5579566343224</v>
      </c>
      <c r="K1298" s="732">
        <v>561.02247207399012</v>
      </c>
      <c r="L1298" s="732">
        <v>1408.9356351254585</v>
      </c>
      <c r="M1298" s="732">
        <v>2987.7081455673047</v>
      </c>
      <c r="N1298" s="732">
        <v>1238.2998148933191</v>
      </c>
      <c r="O1298" s="735">
        <v>888.65460451308934</v>
      </c>
      <c r="P1298" s="732">
        <v>2550.8013558988578</v>
      </c>
      <c r="Q1298" s="732">
        <v>914.53098402370142</v>
      </c>
      <c r="R1298" s="736">
        <v>390.24740772588262</v>
      </c>
      <c r="S1298" s="683">
        <v>5403.93</v>
      </c>
      <c r="T1298" s="683">
        <v>3073.97</v>
      </c>
      <c r="U1298" s="683">
        <v>3613.55</v>
      </c>
      <c r="V1298" s="683">
        <v>4962.79</v>
      </c>
      <c r="W1298" s="683">
        <v>4688.28</v>
      </c>
      <c r="X1298" s="683">
        <v>6223.74</v>
      </c>
      <c r="Y1298" s="683">
        <v>3188.09</v>
      </c>
      <c r="Z1298" s="683">
        <v>5365.85</v>
      </c>
      <c r="AA1298" s="683">
        <v>3488.67</v>
      </c>
      <c r="AB1298" s="683">
        <v>3738.09</v>
      </c>
      <c r="AC1298" s="702">
        <v>5107.43</v>
      </c>
      <c r="AD1298" s="702">
        <v>2940.1</v>
      </c>
      <c r="AE1298" s="736"/>
      <c r="AF1298" s="736"/>
      <c r="AG1298" s="736"/>
      <c r="AH1298" s="736"/>
      <c r="AI1298" s="736"/>
      <c r="AJ1298" s="736"/>
      <c r="AK1298" s="736"/>
      <c r="AL1298" s="736"/>
      <c r="AM1298" s="736"/>
      <c r="AN1298" s="736"/>
      <c r="AO1298" s="736"/>
      <c r="AP1298" s="736"/>
      <c r="AQ1298" s="736"/>
      <c r="AR1298" s="736"/>
      <c r="AS1298" s="736"/>
      <c r="AT1298" s="736"/>
      <c r="AU1298" s="736"/>
      <c r="AV1298" s="736"/>
      <c r="AW1298" s="736"/>
      <c r="AX1298" s="736"/>
      <c r="AY1298" s="736"/>
      <c r="AZ1298" s="736"/>
      <c r="BA1298" s="736"/>
      <c r="BB1298" s="736"/>
      <c r="BC1298" s="736"/>
      <c r="BD1298" s="736"/>
      <c r="BE1298" s="736"/>
      <c r="BF1298" s="736"/>
      <c r="BG1298" s="736"/>
      <c r="BH1298" s="736"/>
      <c r="BI1298" s="736"/>
      <c r="BJ1298" s="736"/>
      <c r="BK1298" s="736"/>
      <c r="BL1298" s="736"/>
      <c r="BM1298" s="736"/>
      <c r="BN1298" s="736"/>
      <c r="BO1298" s="736"/>
      <c r="BP1298" s="736"/>
      <c r="BQ1298" s="736"/>
      <c r="BR1298" s="736"/>
      <c r="BS1298" s="736"/>
      <c r="BT1298" s="736"/>
      <c r="BU1298" s="736"/>
      <c r="BV1298" s="736"/>
      <c r="BW1298" s="736"/>
      <c r="BX1298" s="736"/>
      <c r="BY1298" s="736"/>
      <c r="BZ1298" s="736"/>
      <c r="CA1298" s="736"/>
    </row>
    <row r="1299" spans="1:79" s="709" customFormat="1" hidden="1" outlineLevel="1" x14ac:dyDescent="0.35">
      <c r="A1299" s="716"/>
      <c r="B1299" s="716"/>
      <c r="C1299" s="716"/>
      <c r="D1299" s="716"/>
      <c r="E1299" s="716"/>
      <c r="F1299" s="717" t="s">
        <v>605</v>
      </c>
      <c r="G1299" s="750"/>
      <c r="H1299" s="750"/>
      <c r="I1299" s="750"/>
      <c r="J1299" s="750"/>
      <c r="K1299" s="750"/>
      <c r="L1299" s="750"/>
      <c r="M1299" s="750"/>
      <c r="N1299" s="750"/>
      <c r="O1299" s="750"/>
      <c r="P1299" s="753"/>
      <c r="Q1299" s="753"/>
      <c r="R1299" s="779"/>
      <c r="S1299" s="713"/>
      <c r="T1299" s="713"/>
      <c r="U1299" s="713"/>
      <c r="V1299" s="713"/>
      <c r="W1299" s="713"/>
      <c r="X1299" s="713"/>
      <c r="Y1299" s="713"/>
      <c r="Z1299" s="713"/>
      <c r="AA1299" s="713"/>
      <c r="AB1299" s="713"/>
      <c r="AC1299" s="727"/>
      <c r="AD1299" s="727"/>
      <c r="AE1299" s="752"/>
      <c r="AF1299" s="752"/>
      <c r="AG1299" s="752"/>
      <c r="AH1299" s="752"/>
      <c r="AI1299" s="752"/>
      <c r="AJ1299" s="752"/>
      <c r="AK1299" s="752"/>
      <c r="AL1299" s="752"/>
      <c r="AM1299" s="752"/>
      <c r="AN1299" s="752"/>
      <c r="AO1299" s="752"/>
      <c r="AP1299" s="752"/>
      <c r="AQ1299" s="752"/>
      <c r="AR1299" s="752"/>
      <c r="AS1299" s="752"/>
      <c r="AT1299" s="752"/>
      <c r="AU1299" s="752"/>
      <c r="AV1299" s="752"/>
      <c r="AW1299" s="752"/>
      <c r="AX1299" s="752"/>
      <c r="AY1299" s="752"/>
      <c r="AZ1299" s="752"/>
      <c r="BA1299" s="752"/>
      <c r="BB1299" s="752"/>
      <c r="BC1299" s="752"/>
      <c r="BD1299" s="752"/>
      <c r="BE1299" s="752"/>
      <c r="BF1299" s="752"/>
      <c r="BG1299" s="752"/>
      <c r="BH1299" s="752"/>
      <c r="BI1299" s="752"/>
      <c r="BJ1299" s="752"/>
      <c r="BK1299" s="752"/>
      <c r="BL1299" s="752"/>
      <c r="BM1299" s="752"/>
      <c r="BN1299" s="752"/>
      <c r="BO1299" s="752"/>
      <c r="BP1299" s="752"/>
      <c r="BQ1299" s="752"/>
      <c r="BR1299" s="752"/>
      <c r="BS1299" s="752"/>
      <c r="BT1299" s="752"/>
      <c r="BU1299" s="752"/>
      <c r="BV1299" s="752"/>
      <c r="BW1299" s="752"/>
      <c r="BX1299" s="752"/>
      <c r="BY1299" s="752"/>
      <c r="BZ1299" s="752"/>
      <c r="CA1299" s="752"/>
    </row>
    <row r="1300" spans="1:79" hidden="1" outlineLevel="1" x14ac:dyDescent="0.35">
      <c r="A1300" s="504"/>
      <c r="B1300" s="504"/>
      <c r="C1300" s="504"/>
      <c r="D1300" s="504"/>
      <c r="E1300" s="504"/>
      <c r="F1300" s="672" t="s">
        <v>902</v>
      </c>
      <c r="G1300" s="735"/>
      <c r="H1300" s="735"/>
      <c r="I1300" s="735"/>
      <c r="J1300" s="735"/>
      <c r="K1300" s="735"/>
      <c r="L1300" s="735"/>
      <c r="M1300" s="735"/>
      <c r="N1300" s="735"/>
      <c r="O1300" s="735"/>
      <c r="P1300" s="734"/>
      <c r="Q1300" s="734"/>
      <c r="R1300" s="733"/>
      <c r="S1300" s="687"/>
      <c r="T1300" s="687"/>
      <c r="U1300" s="687"/>
      <c r="V1300" s="687"/>
      <c r="W1300" s="687"/>
      <c r="X1300" s="687"/>
      <c r="Y1300" s="687"/>
      <c r="Z1300" s="687"/>
      <c r="AA1300" s="687"/>
      <c r="AB1300" s="687"/>
      <c r="AC1300" s="705"/>
      <c r="AD1300" s="705"/>
      <c r="AE1300" s="736"/>
      <c r="AF1300" s="736"/>
      <c r="AG1300" s="736"/>
      <c r="AH1300" s="736"/>
      <c r="AI1300" s="736"/>
      <c r="AJ1300" s="736"/>
      <c r="AK1300" s="736"/>
      <c r="AL1300" s="736"/>
      <c r="AM1300" s="736"/>
      <c r="AN1300" s="736"/>
      <c r="AO1300" s="736"/>
      <c r="AP1300" s="736"/>
      <c r="AQ1300" s="736"/>
      <c r="AR1300" s="736"/>
      <c r="AS1300" s="736"/>
      <c r="AT1300" s="736"/>
      <c r="AU1300" s="736"/>
      <c r="AV1300" s="736"/>
      <c r="AW1300" s="736"/>
      <c r="AX1300" s="736"/>
      <c r="AY1300" s="736"/>
      <c r="AZ1300" s="736"/>
      <c r="BA1300" s="736"/>
      <c r="BB1300" s="736"/>
      <c r="BC1300" s="736"/>
      <c r="BD1300" s="736"/>
      <c r="BE1300" s="736"/>
      <c r="BF1300" s="736"/>
      <c r="BG1300" s="736"/>
      <c r="BH1300" s="736"/>
      <c r="BI1300" s="736"/>
      <c r="BJ1300" s="736"/>
      <c r="BK1300" s="736"/>
      <c r="BL1300" s="736"/>
      <c r="BM1300" s="736"/>
      <c r="BN1300" s="736"/>
      <c r="BO1300" s="736"/>
      <c r="BP1300" s="736"/>
      <c r="BQ1300" s="736"/>
      <c r="BR1300" s="736"/>
      <c r="BS1300" s="736"/>
      <c r="BT1300" s="736"/>
      <c r="BU1300" s="736"/>
      <c r="BV1300" s="736"/>
      <c r="BW1300" s="736"/>
      <c r="BX1300" s="736"/>
      <c r="BY1300" s="736"/>
      <c r="BZ1300" s="736"/>
      <c r="CA1300" s="736"/>
    </row>
    <row r="1301" spans="1:79" hidden="1" outlineLevel="1" x14ac:dyDescent="0.35">
      <c r="A1301" s="504"/>
      <c r="B1301" s="504"/>
      <c r="C1301" s="504"/>
      <c r="D1301" s="504"/>
      <c r="E1301" s="504"/>
      <c r="F1301" s="677" t="s">
        <v>903</v>
      </c>
      <c r="G1301" s="735"/>
      <c r="H1301" s="735"/>
      <c r="I1301" s="735"/>
      <c r="J1301" s="735"/>
      <c r="K1301" s="735"/>
      <c r="L1301" s="735"/>
      <c r="M1301" s="735"/>
      <c r="N1301" s="735"/>
      <c r="O1301" s="735"/>
      <c r="P1301" s="734"/>
      <c r="Q1301" s="734"/>
      <c r="R1301" s="733"/>
      <c r="S1301" s="687">
        <v>0</v>
      </c>
      <c r="T1301" s="687">
        <v>0</v>
      </c>
      <c r="U1301" s="687">
        <v>0</v>
      </c>
      <c r="V1301" s="687">
        <v>0</v>
      </c>
      <c r="W1301" s="687">
        <v>0</v>
      </c>
      <c r="X1301" s="687">
        <v>0</v>
      </c>
      <c r="Y1301" s="687">
        <v>0</v>
      </c>
      <c r="Z1301" s="687">
        <v>0</v>
      </c>
      <c r="AA1301" s="687">
        <v>0</v>
      </c>
      <c r="AB1301" s="687">
        <v>0</v>
      </c>
      <c r="AC1301" s="705">
        <v>-185</v>
      </c>
      <c r="AD1301" s="705">
        <v>0</v>
      </c>
      <c r="AE1301" s="736"/>
      <c r="AF1301" s="736"/>
      <c r="AG1301" s="736"/>
      <c r="AH1301" s="736"/>
      <c r="AI1301" s="736"/>
      <c r="AJ1301" s="736"/>
      <c r="AK1301" s="736"/>
      <c r="AL1301" s="736"/>
      <c r="AM1301" s="736"/>
      <c r="AN1301" s="736"/>
      <c r="AO1301" s="736"/>
      <c r="AP1301" s="736"/>
      <c r="AQ1301" s="736"/>
      <c r="AR1301" s="736"/>
      <c r="AS1301" s="736"/>
      <c r="AT1301" s="736"/>
      <c r="AU1301" s="736"/>
      <c r="AV1301" s="736"/>
      <c r="AW1301" s="736"/>
      <c r="AX1301" s="736"/>
      <c r="AY1301" s="736"/>
      <c r="AZ1301" s="736"/>
      <c r="BA1301" s="736"/>
      <c r="BB1301" s="736"/>
      <c r="BC1301" s="736"/>
      <c r="BD1301" s="736"/>
      <c r="BE1301" s="736"/>
      <c r="BF1301" s="736"/>
      <c r="BG1301" s="736"/>
      <c r="BH1301" s="736"/>
      <c r="BI1301" s="736"/>
      <c r="BJ1301" s="736"/>
      <c r="BK1301" s="736"/>
      <c r="BL1301" s="736"/>
      <c r="BM1301" s="736"/>
      <c r="BN1301" s="736"/>
      <c r="BO1301" s="736"/>
      <c r="BP1301" s="736"/>
      <c r="BQ1301" s="736"/>
      <c r="BR1301" s="736"/>
      <c r="BS1301" s="736"/>
      <c r="BT1301" s="736"/>
      <c r="BU1301" s="736"/>
      <c r="BV1301" s="736"/>
      <c r="BW1301" s="736"/>
      <c r="BX1301" s="736"/>
      <c r="BY1301" s="736"/>
      <c r="BZ1301" s="736"/>
      <c r="CA1301" s="736"/>
    </row>
    <row r="1302" spans="1:79" hidden="1" outlineLevel="1" x14ac:dyDescent="0.35">
      <c r="A1302" s="504"/>
      <c r="B1302" s="504"/>
      <c r="C1302" s="504"/>
      <c r="D1302" s="504"/>
      <c r="E1302" s="504"/>
      <c r="F1302" s="677" t="s">
        <v>904</v>
      </c>
      <c r="G1302" s="735"/>
      <c r="H1302" s="735"/>
      <c r="I1302" s="735"/>
      <c r="J1302" s="735"/>
      <c r="K1302" s="735"/>
      <c r="L1302" s="735"/>
      <c r="M1302" s="735"/>
      <c r="N1302" s="735"/>
      <c r="O1302" s="735"/>
      <c r="P1302" s="734"/>
      <c r="Q1302" s="734"/>
      <c r="R1302" s="733"/>
      <c r="S1302" s="687">
        <v>0</v>
      </c>
      <c r="T1302" s="687">
        <v>0</v>
      </c>
      <c r="U1302" s="687">
        <v>0</v>
      </c>
      <c r="V1302" s="687">
        <v>0</v>
      </c>
      <c r="W1302" s="687">
        <v>0</v>
      </c>
      <c r="X1302" s="687">
        <v>0</v>
      </c>
      <c r="Y1302" s="687">
        <v>0</v>
      </c>
      <c r="Z1302" s="687">
        <v>0</v>
      </c>
      <c r="AA1302" s="687">
        <v>0</v>
      </c>
      <c r="AB1302" s="687">
        <v>0</v>
      </c>
      <c r="AC1302" s="705">
        <v>0</v>
      </c>
      <c r="AD1302" s="705">
        <v>0</v>
      </c>
      <c r="AE1302" s="736"/>
      <c r="AF1302" s="736"/>
      <c r="AG1302" s="736"/>
      <c r="AH1302" s="736"/>
      <c r="AI1302" s="736"/>
      <c r="AJ1302" s="736"/>
      <c r="AK1302" s="736"/>
      <c r="AL1302" s="736"/>
      <c r="AM1302" s="736"/>
      <c r="AN1302" s="736"/>
      <c r="AO1302" s="736"/>
      <c r="AP1302" s="736"/>
      <c r="AQ1302" s="736"/>
      <c r="AR1302" s="736"/>
      <c r="AS1302" s="736"/>
      <c r="AT1302" s="736"/>
      <c r="AU1302" s="736"/>
      <c r="AV1302" s="736"/>
      <c r="AW1302" s="736"/>
      <c r="AX1302" s="736"/>
      <c r="AY1302" s="736"/>
      <c r="AZ1302" s="736"/>
      <c r="BA1302" s="736"/>
      <c r="BB1302" s="736"/>
      <c r="BC1302" s="736"/>
      <c r="BD1302" s="736"/>
      <c r="BE1302" s="736"/>
      <c r="BF1302" s="736"/>
      <c r="BG1302" s="736"/>
      <c r="BH1302" s="736"/>
      <c r="BI1302" s="736"/>
      <c r="BJ1302" s="736"/>
      <c r="BK1302" s="736"/>
      <c r="BL1302" s="736"/>
      <c r="BM1302" s="736"/>
      <c r="BN1302" s="736"/>
      <c r="BO1302" s="736"/>
      <c r="BP1302" s="736"/>
      <c r="BQ1302" s="736"/>
      <c r="BR1302" s="736"/>
      <c r="BS1302" s="736"/>
      <c r="BT1302" s="736"/>
      <c r="BU1302" s="736"/>
      <c r="BV1302" s="736"/>
      <c r="BW1302" s="736"/>
      <c r="BX1302" s="736"/>
      <c r="BY1302" s="736"/>
      <c r="BZ1302" s="736"/>
      <c r="CA1302" s="736"/>
    </row>
    <row r="1303" spans="1:79" hidden="1" outlineLevel="1" x14ac:dyDescent="0.35">
      <c r="A1303" s="504"/>
      <c r="B1303" s="504"/>
      <c r="C1303" s="504"/>
      <c r="D1303" s="504"/>
      <c r="E1303" s="504"/>
      <c r="F1303" s="677" t="s">
        <v>905</v>
      </c>
      <c r="G1303" s="735"/>
      <c r="H1303" s="735"/>
      <c r="I1303" s="735"/>
      <c r="J1303" s="735"/>
      <c r="K1303" s="735"/>
      <c r="L1303" s="735"/>
      <c r="M1303" s="735"/>
      <c r="N1303" s="735"/>
      <c r="O1303" s="735"/>
      <c r="P1303" s="734"/>
      <c r="Q1303" s="734"/>
      <c r="R1303" s="733"/>
      <c r="S1303" s="687">
        <v>0</v>
      </c>
      <c r="T1303" s="687">
        <v>0</v>
      </c>
      <c r="U1303" s="687">
        <v>0</v>
      </c>
      <c r="V1303" s="687">
        <v>0</v>
      </c>
      <c r="W1303" s="687">
        <v>0</v>
      </c>
      <c r="X1303" s="687">
        <v>0</v>
      </c>
      <c r="Y1303" s="687">
        <v>0</v>
      </c>
      <c r="Z1303" s="687">
        <v>0</v>
      </c>
      <c r="AA1303" s="687">
        <v>0</v>
      </c>
      <c r="AB1303" s="687">
        <v>0</v>
      </c>
      <c r="AC1303" s="705">
        <v>0</v>
      </c>
      <c r="AD1303" s="705">
        <v>41.83</v>
      </c>
      <c r="AE1303" s="736"/>
      <c r="AF1303" s="736"/>
      <c r="AG1303" s="736"/>
      <c r="AH1303" s="736"/>
      <c r="AI1303" s="736"/>
      <c r="AJ1303" s="736"/>
      <c r="AK1303" s="736"/>
      <c r="AL1303" s="736"/>
      <c r="AM1303" s="736"/>
      <c r="AN1303" s="736"/>
      <c r="AO1303" s="736"/>
      <c r="AP1303" s="736"/>
      <c r="AQ1303" s="736"/>
      <c r="AR1303" s="736"/>
      <c r="AS1303" s="736"/>
      <c r="AT1303" s="736"/>
      <c r="AU1303" s="736"/>
      <c r="AV1303" s="736"/>
      <c r="AW1303" s="736"/>
      <c r="AX1303" s="736"/>
      <c r="AY1303" s="736"/>
      <c r="AZ1303" s="736"/>
      <c r="BA1303" s="736"/>
      <c r="BB1303" s="736"/>
      <c r="BC1303" s="736"/>
      <c r="BD1303" s="736"/>
      <c r="BE1303" s="736"/>
      <c r="BF1303" s="736"/>
      <c r="BG1303" s="736"/>
      <c r="BH1303" s="736"/>
      <c r="BI1303" s="736"/>
      <c r="BJ1303" s="736"/>
      <c r="BK1303" s="736"/>
      <c r="BL1303" s="736"/>
      <c r="BM1303" s="736"/>
      <c r="BN1303" s="736"/>
      <c r="BO1303" s="736"/>
      <c r="BP1303" s="736"/>
      <c r="BQ1303" s="736"/>
      <c r="BR1303" s="736"/>
      <c r="BS1303" s="736"/>
      <c r="BT1303" s="736"/>
      <c r="BU1303" s="736"/>
      <c r="BV1303" s="736"/>
      <c r="BW1303" s="736"/>
      <c r="BX1303" s="736"/>
      <c r="BY1303" s="736"/>
      <c r="BZ1303" s="736"/>
      <c r="CA1303" s="736"/>
    </row>
    <row r="1304" spans="1:79" hidden="1" outlineLevel="1" x14ac:dyDescent="0.35">
      <c r="A1304" s="504"/>
      <c r="B1304" s="504"/>
      <c r="C1304" s="504"/>
      <c r="D1304" s="504"/>
      <c r="E1304" s="504"/>
      <c r="F1304" s="677" t="s">
        <v>906</v>
      </c>
      <c r="G1304" s="735"/>
      <c r="H1304" s="735"/>
      <c r="I1304" s="735"/>
      <c r="J1304" s="735"/>
      <c r="K1304" s="735"/>
      <c r="L1304" s="735"/>
      <c r="M1304" s="735"/>
      <c r="N1304" s="735"/>
      <c r="O1304" s="735"/>
      <c r="P1304" s="734"/>
      <c r="Q1304" s="734"/>
      <c r="R1304" s="733"/>
      <c r="S1304" s="687">
        <v>0</v>
      </c>
      <c r="T1304" s="687">
        <v>0</v>
      </c>
      <c r="U1304" s="687">
        <v>0</v>
      </c>
      <c r="V1304" s="687">
        <v>0</v>
      </c>
      <c r="W1304" s="687">
        <v>0</v>
      </c>
      <c r="X1304" s="687">
        <v>0</v>
      </c>
      <c r="Y1304" s="687">
        <v>0</v>
      </c>
      <c r="Z1304" s="687">
        <v>0</v>
      </c>
      <c r="AA1304" s="687">
        <v>0</v>
      </c>
      <c r="AB1304" s="687">
        <v>0</v>
      </c>
      <c r="AC1304" s="705">
        <v>0</v>
      </c>
      <c r="AD1304" s="705">
        <v>0</v>
      </c>
      <c r="AE1304" s="736"/>
      <c r="AF1304" s="736"/>
      <c r="AG1304" s="736"/>
      <c r="AH1304" s="736"/>
      <c r="AI1304" s="736"/>
      <c r="AJ1304" s="736"/>
      <c r="AK1304" s="736"/>
      <c r="AL1304" s="736"/>
      <c r="AM1304" s="736"/>
      <c r="AN1304" s="736"/>
      <c r="AO1304" s="736"/>
      <c r="AP1304" s="736"/>
      <c r="AQ1304" s="736"/>
      <c r="AR1304" s="736"/>
      <c r="AS1304" s="736"/>
      <c r="AT1304" s="736"/>
      <c r="AU1304" s="736"/>
      <c r="AV1304" s="736"/>
      <c r="AW1304" s="736"/>
      <c r="AX1304" s="736"/>
      <c r="AY1304" s="736"/>
      <c r="AZ1304" s="736"/>
      <c r="BA1304" s="736"/>
      <c r="BB1304" s="736"/>
      <c r="BC1304" s="736"/>
      <c r="BD1304" s="736"/>
      <c r="BE1304" s="736"/>
      <c r="BF1304" s="736"/>
      <c r="BG1304" s="736"/>
      <c r="BH1304" s="736"/>
      <c r="BI1304" s="736"/>
      <c r="BJ1304" s="736"/>
      <c r="BK1304" s="736"/>
      <c r="BL1304" s="736"/>
      <c r="BM1304" s="736"/>
      <c r="BN1304" s="736"/>
      <c r="BO1304" s="736"/>
      <c r="BP1304" s="736"/>
      <c r="BQ1304" s="736"/>
      <c r="BR1304" s="736"/>
      <c r="BS1304" s="736"/>
      <c r="BT1304" s="736"/>
      <c r="BU1304" s="736"/>
      <c r="BV1304" s="736"/>
      <c r="BW1304" s="736"/>
      <c r="BX1304" s="736"/>
      <c r="BY1304" s="736"/>
      <c r="BZ1304" s="736"/>
      <c r="CA1304" s="736"/>
    </row>
    <row r="1305" spans="1:79" hidden="1" outlineLevel="1" x14ac:dyDescent="0.35">
      <c r="A1305" s="504"/>
      <c r="B1305" s="504"/>
      <c r="C1305" s="504"/>
      <c r="D1305" s="504"/>
      <c r="E1305" s="504"/>
      <c r="F1305" s="677" t="s">
        <v>907</v>
      </c>
      <c r="G1305" s="735"/>
      <c r="H1305" s="735"/>
      <c r="I1305" s="735"/>
      <c r="J1305" s="735"/>
      <c r="K1305" s="735"/>
      <c r="L1305" s="735"/>
      <c r="M1305" s="735"/>
      <c r="N1305" s="735"/>
      <c r="O1305" s="735"/>
      <c r="P1305" s="734"/>
      <c r="Q1305" s="734"/>
      <c r="R1305" s="733"/>
      <c r="S1305" s="687">
        <v>0</v>
      </c>
      <c r="T1305" s="687">
        <v>0</v>
      </c>
      <c r="U1305" s="687">
        <v>0</v>
      </c>
      <c r="V1305" s="687">
        <v>0</v>
      </c>
      <c r="W1305" s="687">
        <v>0</v>
      </c>
      <c r="X1305" s="687">
        <v>0</v>
      </c>
      <c r="Y1305" s="687">
        <v>0</v>
      </c>
      <c r="Z1305" s="687">
        <v>0</v>
      </c>
      <c r="AA1305" s="687">
        <v>0</v>
      </c>
      <c r="AB1305" s="687">
        <v>0</v>
      </c>
      <c r="AC1305" s="705">
        <v>0</v>
      </c>
      <c r="AD1305" s="705">
        <v>0</v>
      </c>
      <c r="AE1305" s="736"/>
      <c r="AF1305" s="736"/>
      <c r="AG1305" s="736"/>
      <c r="AH1305" s="736"/>
      <c r="AI1305" s="736"/>
      <c r="AJ1305" s="736"/>
      <c r="AK1305" s="736"/>
      <c r="AL1305" s="736"/>
      <c r="AM1305" s="736"/>
      <c r="AN1305" s="736"/>
      <c r="AO1305" s="736"/>
      <c r="AP1305" s="736"/>
      <c r="AQ1305" s="736"/>
      <c r="AR1305" s="736"/>
      <c r="AS1305" s="736"/>
      <c r="AT1305" s="736"/>
      <c r="AU1305" s="736"/>
      <c r="AV1305" s="736"/>
      <c r="AW1305" s="736"/>
      <c r="AX1305" s="736"/>
      <c r="AY1305" s="736"/>
      <c r="AZ1305" s="736"/>
      <c r="BA1305" s="736"/>
      <c r="BB1305" s="736"/>
      <c r="BC1305" s="736"/>
      <c r="BD1305" s="736"/>
      <c r="BE1305" s="736"/>
      <c r="BF1305" s="736"/>
      <c r="BG1305" s="736"/>
      <c r="BH1305" s="736"/>
      <c r="BI1305" s="736"/>
      <c r="BJ1305" s="736"/>
      <c r="BK1305" s="736"/>
      <c r="BL1305" s="736"/>
      <c r="BM1305" s="736"/>
      <c r="BN1305" s="736"/>
      <c r="BO1305" s="736"/>
      <c r="BP1305" s="736"/>
      <c r="BQ1305" s="736"/>
      <c r="BR1305" s="736"/>
      <c r="BS1305" s="736"/>
      <c r="BT1305" s="736"/>
      <c r="BU1305" s="736"/>
      <c r="BV1305" s="736"/>
      <c r="BW1305" s="736"/>
      <c r="BX1305" s="736"/>
      <c r="BY1305" s="736"/>
      <c r="BZ1305" s="736"/>
      <c r="CA1305" s="736"/>
    </row>
    <row r="1306" spans="1:79" hidden="1" outlineLevel="1" x14ac:dyDescent="0.35">
      <c r="A1306" s="504"/>
      <c r="B1306" s="504"/>
      <c r="C1306" s="504"/>
      <c r="D1306" s="504"/>
      <c r="E1306" s="504"/>
      <c r="F1306" s="673" t="s">
        <v>908</v>
      </c>
      <c r="G1306" s="680">
        <f t="shared" ref="G1306:R1306" si="503">SUM(G1300:G1305)</f>
        <v>0</v>
      </c>
      <c r="H1306" s="680">
        <f t="shared" si="503"/>
        <v>0</v>
      </c>
      <c r="I1306" s="680">
        <f t="shared" si="503"/>
        <v>0</v>
      </c>
      <c r="J1306" s="680">
        <f t="shared" si="503"/>
        <v>0</v>
      </c>
      <c r="K1306" s="680">
        <f t="shared" si="503"/>
        <v>0</v>
      </c>
      <c r="L1306" s="680">
        <f t="shared" si="503"/>
        <v>0</v>
      </c>
      <c r="M1306" s="680">
        <f t="shared" si="503"/>
        <v>0</v>
      </c>
      <c r="N1306" s="680">
        <f t="shared" si="503"/>
        <v>0</v>
      </c>
      <c r="O1306" s="680">
        <f t="shared" si="503"/>
        <v>0</v>
      </c>
      <c r="P1306" s="680">
        <f t="shared" si="503"/>
        <v>0</v>
      </c>
      <c r="Q1306" s="680">
        <f t="shared" si="503"/>
        <v>0</v>
      </c>
      <c r="R1306" s="680">
        <f t="shared" si="503"/>
        <v>0</v>
      </c>
      <c r="S1306" s="695">
        <f t="shared" ref="S1306:AB1306" si="504">ROUND(SUM(S1300:S1305),5)</f>
        <v>0</v>
      </c>
      <c r="T1306" s="695">
        <f t="shared" si="504"/>
        <v>0</v>
      </c>
      <c r="U1306" s="695">
        <f t="shared" si="504"/>
        <v>0</v>
      </c>
      <c r="V1306" s="695">
        <f t="shared" si="504"/>
        <v>0</v>
      </c>
      <c r="W1306" s="695">
        <f t="shared" si="504"/>
        <v>0</v>
      </c>
      <c r="X1306" s="695">
        <f t="shared" si="504"/>
        <v>0</v>
      </c>
      <c r="Y1306" s="695">
        <f t="shared" si="504"/>
        <v>0</v>
      </c>
      <c r="Z1306" s="695">
        <f t="shared" si="504"/>
        <v>0</v>
      </c>
      <c r="AA1306" s="695">
        <f t="shared" si="504"/>
        <v>0</v>
      </c>
      <c r="AB1306" s="695">
        <f t="shared" si="504"/>
        <v>0</v>
      </c>
      <c r="AC1306" s="695">
        <f>ROUND(SUM(AC1300:AC1305),5)</f>
        <v>-185</v>
      </c>
      <c r="AD1306" s="695">
        <f>ROUND(SUM(AD1300:AD1305),5)</f>
        <v>41.83</v>
      </c>
      <c r="AE1306" s="680">
        <f t="shared" ref="AE1306:BJ1306" si="505">SUM(AE1300:AE1305)</f>
        <v>0</v>
      </c>
      <c r="AF1306" s="680">
        <f t="shared" si="505"/>
        <v>0</v>
      </c>
      <c r="AG1306" s="680">
        <f t="shared" si="505"/>
        <v>0</v>
      </c>
      <c r="AH1306" s="680">
        <f t="shared" si="505"/>
        <v>0</v>
      </c>
      <c r="AI1306" s="680">
        <f t="shared" si="505"/>
        <v>0</v>
      </c>
      <c r="AJ1306" s="680">
        <f t="shared" si="505"/>
        <v>0</v>
      </c>
      <c r="AK1306" s="680">
        <f t="shared" si="505"/>
        <v>0</v>
      </c>
      <c r="AL1306" s="680">
        <f t="shared" si="505"/>
        <v>0</v>
      </c>
      <c r="AM1306" s="680">
        <f t="shared" si="505"/>
        <v>0</v>
      </c>
      <c r="AN1306" s="680">
        <f t="shared" si="505"/>
        <v>0</v>
      </c>
      <c r="AO1306" s="680">
        <f t="shared" si="505"/>
        <v>0</v>
      </c>
      <c r="AP1306" s="680">
        <f t="shared" si="505"/>
        <v>0</v>
      </c>
      <c r="AQ1306" s="680">
        <f t="shared" si="505"/>
        <v>0</v>
      </c>
      <c r="AR1306" s="680">
        <f t="shared" si="505"/>
        <v>0</v>
      </c>
      <c r="AS1306" s="680">
        <f t="shared" si="505"/>
        <v>0</v>
      </c>
      <c r="AT1306" s="680">
        <f t="shared" si="505"/>
        <v>0</v>
      </c>
      <c r="AU1306" s="680">
        <f t="shared" si="505"/>
        <v>0</v>
      </c>
      <c r="AV1306" s="680">
        <f t="shared" si="505"/>
        <v>0</v>
      </c>
      <c r="AW1306" s="680">
        <f t="shared" si="505"/>
        <v>0</v>
      </c>
      <c r="AX1306" s="680">
        <f t="shared" si="505"/>
        <v>0</v>
      </c>
      <c r="AY1306" s="680">
        <f t="shared" si="505"/>
        <v>0</v>
      </c>
      <c r="AZ1306" s="680">
        <f t="shared" si="505"/>
        <v>0</v>
      </c>
      <c r="BA1306" s="680">
        <f t="shared" si="505"/>
        <v>0</v>
      </c>
      <c r="BB1306" s="680">
        <f t="shared" si="505"/>
        <v>0</v>
      </c>
      <c r="BC1306" s="680">
        <f t="shared" si="505"/>
        <v>0</v>
      </c>
      <c r="BD1306" s="680">
        <f t="shared" si="505"/>
        <v>0</v>
      </c>
      <c r="BE1306" s="680">
        <f t="shared" si="505"/>
        <v>0</v>
      </c>
      <c r="BF1306" s="680">
        <f t="shared" si="505"/>
        <v>0</v>
      </c>
      <c r="BG1306" s="680">
        <f t="shared" si="505"/>
        <v>0</v>
      </c>
      <c r="BH1306" s="680">
        <f t="shared" si="505"/>
        <v>0</v>
      </c>
      <c r="BI1306" s="680">
        <f t="shared" si="505"/>
        <v>0</v>
      </c>
      <c r="BJ1306" s="680">
        <f t="shared" si="505"/>
        <v>0</v>
      </c>
      <c r="BK1306" s="680">
        <f t="shared" ref="BK1306:CA1306" si="506">SUM(BK1300:BK1305)</f>
        <v>0</v>
      </c>
      <c r="BL1306" s="680">
        <f t="shared" si="506"/>
        <v>0</v>
      </c>
      <c r="BM1306" s="680">
        <f t="shared" si="506"/>
        <v>0</v>
      </c>
      <c r="BN1306" s="680">
        <f t="shared" si="506"/>
        <v>0</v>
      </c>
      <c r="BO1306" s="680">
        <f t="shared" si="506"/>
        <v>0</v>
      </c>
      <c r="BP1306" s="680">
        <f t="shared" si="506"/>
        <v>0</v>
      </c>
      <c r="BQ1306" s="680">
        <f t="shared" si="506"/>
        <v>0</v>
      </c>
      <c r="BR1306" s="680">
        <f t="shared" si="506"/>
        <v>0</v>
      </c>
      <c r="BS1306" s="680">
        <f t="shared" si="506"/>
        <v>0</v>
      </c>
      <c r="BT1306" s="680">
        <f t="shared" si="506"/>
        <v>0</v>
      </c>
      <c r="BU1306" s="680">
        <f t="shared" si="506"/>
        <v>0</v>
      </c>
      <c r="BV1306" s="680">
        <f t="shared" si="506"/>
        <v>0</v>
      </c>
      <c r="BW1306" s="680">
        <f t="shared" si="506"/>
        <v>0</v>
      </c>
      <c r="BX1306" s="680">
        <f t="shared" si="506"/>
        <v>0</v>
      </c>
      <c r="BY1306" s="680">
        <f t="shared" si="506"/>
        <v>0</v>
      </c>
      <c r="BZ1306" s="680">
        <f t="shared" si="506"/>
        <v>0</v>
      </c>
      <c r="CA1306" s="680">
        <f t="shared" si="506"/>
        <v>0</v>
      </c>
    </row>
    <row r="1307" spans="1:79" s="709" customFormat="1" hidden="1" outlineLevel="1" x14ac:dyDescent="0.35">
      <c r="A1307" s="716"/>
      <c r="B1307" s="716"/>
      <c r="C1307" s="716"/>
      <c r="D1307" s="716"/>
      <c r="E1307" s="716"/>
      <c r="F1307" s="717" t="s">
        <v>630</v>
      </c>
      <c r="G1307" s="753"/>
      <c r="H1307" s="753"/>
      <c r="I1307" s="753"/>
      <c r="J1307" s="753"/>
      <c r="K1307" s="753"/>
      <c r="L1307" s="753"/>
      <c r="M1307" s="753"/>
      <c r="N1307" s="753"/>
      <c r="O1307" s="750"/>
      <c r="P1307" s="753"/>
      <c r="Q1307" s="753"/>
      <c r="R1307" s="779"/>
      <c r="S1307" s="713"/>
      <c r="T1307" s="713"/>
      <c r="U1307" s="713"/>
      <c r="V1307" s="713"/>
      <c r="W1307" s="713"/>
      <c r="X1307" s="713"/>
      <c r="Y1307" s="713"/>
      <c r="Z1307" s="713"/>
      <c r="AA1307" s="713"/>
      <c r="AB1307" s="713"/>
      <c r="AC1307" s="728"/>
      <c r="AD1307" s="728"/>
      <c r="AE1307" s="752"/>
      <c r="AF1307" s="752"/>
      <c r="AG1307" s="752"/>
      <c r="AH1307" s="752"/>
      <c r="AI1307" s="752"/>
      <c r="AJ1307" s="752"/>
      <c r="AK1307" s="752"/>
      <c r="AL1307" s="752"/>
      <c r="AM1307" s="752"/>
      <c r="AN1307" s="752"/>
      <c r="AO1307" s="752"/>
      <c r="AP1307" s="752"/>
      <c r="AQ1307" s="752"/>
      <c r="AR1307" s="752"/>
      <c r="AS1307" s="752"/>
      <c r="AT1307" s="752"/>
      <c r="AU1307" s="752"/>
      <c r="AV1307" s="752"/>
      <c r="AW1307" s="752"/>
      <c r="AX1307" s="752"/>
      <c r="AY1307" s="752"/>
      <c r="AZ1307" s="752"/>
      <c r="BA1307" s="752"/>
      <c r="BB1307" s="752"/>
      <c r="BC1307" s="752"/>
      <c r="BD1307" s="752"/>
      <c r="BE1307" s="752"/>
      <c r="BF1307" s="752"/>
      <c r="BG1307" s="752"/>
      <c r="BH1307" s="752"/>
      <c r="BI1307" s="752"/>
      <c r="BJ1307" s="752"/>
      <c r="BK1307" s="752"/>
      <c r="BL1307" s="752"/>
      <c r="BM1307" s="752"/>
      <c r="BN1307" s="752"/>
      <c r="BO1307" s="752"/>
      <c r="BP1307" s="752"/>
      <c r="BQ1307" s="752"/>
      <c r="BR1307" s="752"/>
      <c r="BS1307" s="752"/>
      <c r="BT1307" s="752"/>
      <c r="BU1307" s="752"/>
      <c r="BV1307" s="752"/>
      <c r="BW1307" s="752"/>
      <c r="BX1307" s="752"/>
      <c r="BY1307" s="752"/>
      <c r="BZ1307" s="752"/>
      <c r="CA1307" s="752"/>
    </row>
    <row r="1308" spans="1:79" hidden="1" outlineLevel="1" x14ac:dyDescent="0.35">
      <c r="A1308" s="80"/>
      <c r="B1308" s="80"/>
      <c r="C1308" s="80"/>
      <c r="D1308" s="80"/>
      <c r="E1308" s="80"/>
      <c r="F1308" s="677" t="s">
        <v>631</v>
      </c>
      <c r="G1308" s="734"/>
      <c r="H1308" s="734"/>
      <c r="I1308" s="734"/>
      <c r="J1308" s="734"/>
      <c r="K1308" s="734"/>
      <c r="L1308" s="734"/>
      <c r="M1308" s="734"/>
      <c r="N1308" s="734"/>
      <c r="O1308" s="735"/>
      <c r="P1308" s="734"/>
      <c r="Q1308" s="734"/>
      <c r="R1308" s="733"/>
      <c r="S1308" s="683">
        <v>-0.13</v>
      </c>
      <c r="T1308" s="683">
        <v>1.38</v>
      </c>
      <c r="U1308" s="683">
        <v>0</v>
      </c>
      <c r="V1308" s="683">
        <v>0</v>
      </c>
      <c r="W1308" s="683">
        <v>0</v>
      </c>
      <c r="X1308" s="683">
        <v>0</v>
      </c>
      <c r="Y1308" s="683">
        <v>0</v>
      </c>
      <c r="Z1308" s="683">
        <v>0</v>
      </c>
      <c r="AA1308" s="683">
        <v>0</v>
      </c>
      <c r="AB1308" s="683">
        <v>0</v>
      </c>
      <c r="AC1308" s="702">
        <v>0</v>
      </c>
      <c r="AD1308" s="702">
        <v>0</v>
      </c>
      <c r="AE1308" s="736"/>
      <c r="AF1308" s="736"/>
      <c r="AG1308" s="736"/>
      <c r="AH1308" s="736"/>
      <c r="AI1308" s="736"/>
      <c r="AJ1308" s="736"/>
      <c r="AK1308" s="736"/>
      <c r="AL1308" s="736"/>
      <c r="AM1308" s="736"/>
      <c r="AN1308" s="736"/>
      <c r="AO1308" s="736"/>
      <c r="AP1308" s="736"/>
      <c r="AQ1308" s="736"/>
      <c r="AR1308" s="736"/>
      <c r="AS1308" s="736"/>
      <c r="AT1308" s="736"/>
      <c r="AU1308" s="736"/>
      <c r="AV1308" s="736"/>
      <c r="AW1308" s="736"/>
      <c r="AX1308" s="736"/>
      <c r="AY1308" s="736"/>
      <c r="AZ1308" s="736"/>
      <c r="BA1308" s="736"/>
      <c r="BB1308" s="736"/>
      <c r="BC1308" s="736"/>
      <c r="BD1308" s="736"/>
      <c r="BE1308" s="736"/>
      <c r="BF1308" s="736"/>
      <c r="BG1308" s="736"/>
      <c r="BH1308" s="736"/>
      <c r="BI1308" s="736"/>
      <c r="BJ1308" s="736"/>
      <c r="BK1308" s="736"/>
      <c r="BL1308" s="736"/>
      <c r="BM1308" s="736"/>
      <c r="BN1308" s="736"/>
      <c r="BO1308" s="736"/>
      <c r="BP1308" s="736"/>
      <c r="BQ1308" s="736"/>
      <c r="BR1308" s="736"/>
      <c r="BS1308" s="736"/>
      <c r="BT1308" s="736"/>
      <c r="BU1308" s="736"/>
      <c r="BV1308" s="736"/>
      <c r="BW1308" s="736"/>
      <c r="BX1308" s="736"/>
      <c r="BY1308" s="736"/>
      <c r="BZ1308" s="736"/>
      <c r="CA1308" s="736"/>
    </row>
    <row r="1309" spans="1:79" hidden="1" outlineLevel="1" x14ac:dyDescent="0.35">
      <c r="A1309" s="80"/>
      <c r="B1309" s="80"/>
      <c r="C1309" s="80"/>
      <c r="D1309" s="80"/>
      <c r="E1309" s="80"/>
      <c r="F1309" s="677" t="s">
        <v>632</v>
      </c>
      <c r="G1309" s="734"/>
      <c r="H1309" s="734"/>
      <c r="I1309" s="734"/>
      <c r="J1309" s="734"/>
      <c r="K1309" s="734"/>
      <c r="L1309" s="734"/>
      <c r="M1309" s="734"/>
      <c r="N1309" s="734"/>
      <c r="O1309" s="735"/>
      <c r="P1309" s="734"/>
      <c r="Q1309" s="734"/>
      <c r="R1309" s="733"/>
      <c r="S1309" s="683">
        <v>1313.88</v>
      </c>
      <c r="T1309" s="683">
        <v>8.17</v>
      </c>
      <c r="U1309" s="683">
        <v>0</v>
      </c>
      <c r="V1309" s="683">
        <v>0</v>
      </c>
      <c r="W1309" s="683">
        <v>0</v>
      </c>
      <c r="X1309" s="683">
        <v>0</v>
      </c>
      <c r="Y1309" s="683">
        <v>0</v>
      </c>
      <c r="Z1309" s="683">
        <v>0</v>
      </c>
      <c r="AA1309" s="683">
        <v>0</v>
      </c>
      <c r="AB1309" s="683">
        <v>0</v>
      </c>
      <c r="AC1309" s="702">
        <v>0</v>
      </c>
      <c r="AD1309" s="702">
        <v>0</v>
      </c>
      <c r="AE1309" s="736"/>
      <c r="AF1309" s="736"/>
      <c r="AG1309" s="736"/>
      <c r="AH1309" s="736"/>
      <c r="AI1309" s="736"/>
      <c r="AJ1309" s="736"/>
      <c r="AK1309" s="736"/>
      <c r="AL1309" s="736"/>
      <c r="AM1309" s="736"/>
      <c r="AN1309" s="736"/>
      <c r="AO1309" s="736"/>
      <c r="AP1309" s="736"/>
      <c r="AQ1309" s="736"/>
      <c r="AR1309" s="736"/>
      <c r="AS1309" s="736"/>
      <c r="AT1309" s="736"/>
      <c r="AU1309" s="736"/>
      <c r="AV1309" s="736"/>
      <c r="AW1309" s="736"/>
      <c r="AX1309" s="736"/>
      <c r="AY1309" s="736"/>
      <c r="AZ1309" s="736"/>
      <c r="BA1309" s="736"/>
      <c r="BB1309" s="736"/>
      <c r="BC1309" s="736"/>
      <c r="BD1309" s="736"/>
      <c r="BE1309" s="736"/>
      <c r="BF1309" s="736"/>
      <c r="BG1309" s="736"/>
      <c r="BH1309" s="736"/>
      <c r="BI1309" s="736"/>
      <c r="BJ1309" s="736"/>
      <c r="BK1309" s="736"/>
      <c r="BL1309" s="736"/>
      <c r="BM1309" s="736"/>
      <c r="BN1309" s="736"/>
      <c r="BO1309" s="736"/>
      <c r="BP1309" s="736"/>
      <c r="BQ1309" s="736"/>
      <c r="BR1309" s="736"/>
      <c r="BS1309" s="736"/>
      <c r="BT1309" s="736"/>
      <c r="BU1309" s="736"/>
      <c r="BV1309" s="736"/>
      <c r="BW1309" s="736"/>
      <c r="BX1309" s="736"/>
      <c r="BY1309" s="736"/>
      <c r="BZ1309" s="736"/>
      <c r="CA1309" s="736"/>
    </row>
    <row r="1310" spans="1:79" hidden="1" outlineLevel="1" x14ac:dyDescent="0.35">
      <c r="A1310" s="80"/>
      <c r="B1310" s="80"/>
      <c r="C1310" s="80"/>
      <c r="D1310" s="80"/>
      <c r="E1310" s="80"/>
      <c r="F1310" s="677" t="s">
        <v>633</v>
      </c>
      <c r="G1310" s="734"/>
      <c r="H1310" s="734"/>
      <c r="I1310" s="734"/>
      <c r="J1310" s="734"/>
      <c r="K1310" s="734"/>
      <c r="L1310" s="734"/>
      <c r="M1310" s="734"/>
      <c r="N1310" s="734"/>
      <c r="O1310" s="735"/>
      <c r="P1310" s="734"/>
      <c r="Q1310" s="734"/>
      <c r="R1310" s="733"/>
      <c r="S1310" s="683">
        <v>0.03</v>
      </c>
      <c r="T1310" s="683">
        <v>45.86</v>
      </c>
      <c r="U1310" s="683">
        <v>0</v>
      </c>
      <c r="V1310" s="683">
        <v>0</v>
      </c>
      <c r="W1310" s="683">
        <v>0</v>
      </c>
      <c r="X1310" s="683">
        <v>0</v>
      </c>
      <c r="Y1310" s="683">
        <v>0</v>
      </c>
      <c r="Z1310" s="683">
        <v>0</v>
      </c>
      <c r="AA1310" s="683">
        <v>0</v>
      </c>
      <c r="AB1310" s="683">
        <v>0</v>
      </c>
      <c r="AC1310" s="702">
        <v>0</v>
      </c>
      <c r="AD1310" s="702">
        <v>0</v>
      </c>
      <c r="AE1310" s="736"/>
      <c r="AF1310" s="736"/>
      <c r="AG1310" s="736"/>
      <c r="AH1310" s="736"/>
      <c r="AI1310" s="736"/>
      <c r="AJ1310" s="736"/>
      <c r="AK1310" s="736"/>
      <c r="AL1310" s="736"/>
      <c r="AM1310" s="736"/>
      <c r="AN1310" s="736"/>
      <c r="AO1310" s="736"/>
      <c r="AP1310" s="736"/>
      <c r="AQ1310" s="736"/>
      <c r="AR1310" s="736"/>
      <c r="AS1310" s="736"/>
      <c r="AT1310" s="736"/>
      <c r="AU1310" s="736"/>
      <c r="AV1310" s="736"/>
      <c r="AW1310" s="736"/>
      <c r="AX1310" s="736"/>
      <c r="AY1310" s="736"/>
      <c r="AZ1310" s="736"/>
      <c r="BA1310" s="736"/>
      <c r="BB1310" s="736"/>
      <c r="BC1310" s="736"/>
      <c r="BD1310" s="736"/>
      <c r="BE1310" s="736"/>
      <c r="BF1310" s="736"/>
      <c r="BG1310" s="736"/>
      <c r="BH1310" s="736"/>
      <c r="BI1310" s="736"/>
      <c r="BJ1310" s="736"/>
      <c r="BK1310" s="736"/>
      <c r="BL1310" s="736"/>
      <c r="BM1310" s="736"/>
      <c r="BN1310" s="736"/>
      <c r="BO1310" s="736"/>
      <c r="BP1310" s="736"/>
      <c r="BQ1310" s="736"/>
      <c r="BR1310" s="736"/>
      <c r="BS1310" s="736"/>
      <c r="BT1310" s="736"/>
      <c r="BU1310" s="736"/>
      <c r="BV1310" s="736"/>
      <c r="BW1310" s="736"/>
      <c r="BX1310" s="736"/>
      <c r="BY1310" s="736"/>
      <c r="BZ1310" s="736"/>
      <c r="CA1310" s="736"/>
    </row>
    <row r="1311" spans="1:79" hidden="1" outlineLevel="1" x14ac:dyDescent="0.35">
      <c r="A1311" s="80"/>
      <c r="B1311" s="80"/>
      <c r="C1311" s="80"/>
      <c r="D1311" s="80"/>
      <c r="E1311" s="80"/>
      <c r="F1311" s="677" t="s">
        <v>634</v>
      </c>
      <c r="G1311" s="734"/>
      <c r="H1311" s="734"/>
      <c r="I1311" s="734"/>
      <c r="J1311" s="734"/>
      <c r="K1311" s="734"/>
      <c r="L1311" s="734"/>
      <c r="M1311" s="734"/>
      <c r="N1311" s="734"/>
      <c r="O1311" s="735"/>
      <c r="P1311" s="734"/>
      <c r="Q1311" s="734"/>
      <c r="R1311" s="733"/>
      <c r="S1311" s="683">
        <v>-0.01</v>
      </c>
      <c r="T1311" s="683">
        <v>196.24</v>
      </c>
      <c r="U1311" s="683">
        <v>0</v>
      </c>
      <c r="V1311" s="683">
        <v>0</v>
      </c>
      <c r="W1311" s="683">
        <v>0</v>
      </c>
      <c r="X1311" s="683">
        <v>0</v>
      </c>
      <c r="Y1311" s="683">
        <v>0</v>
      </c>
      <c r="Z1311" s="683">
        <v>0</v>
      </c>
      <c r="AA1311" s="683">
        <v>0</v>
      </c>
      <c r="AB1311" s="683">
        <v>0</v>
      </c>
      <c r="AC1311" s="702">
        <v>0</v>
      </c>
      <c r="AD1311" s="702">
        <v>0</v>
      </c>
      <c r="AE1311" s="736"/>
      <c r="AF1311" s="736"/>
      <c r="AG1311" s="736"/>
      <c r="AH1311" s="736"/>
      <c r="AI1311" s="736"/>
      <c r="AJ1311" s="736"/>
      <c r="AK1311" s="736"/>
      <c r="AL1311" s="736"/>
      <c r="AM1311" s="736"/>
      <c r="AN1311" s="736"/>
      <c r="AO1311" s="736"/>
      <c r="AP1311" s="736"/>
      <c r="AQ1311" s="736"/>
      <c r="AR1311" s="736"/>
      <c r="AS1311" s="736"/>
      <c r="AT1311" s="736"/>
      <c r="AU1311" s="736"/>
      <c r="AV1311" s="736"/>
      <c r="AW1311" s="736"/>
      <c r="AX1311" s="736"/>
      <c r="AY1311" s="736"/>
      <c r="AZ1311" s="736"/>
      <c r="BA1311" s="736"/>
      <c r="BB1311" s="736"/>
      <c r="BC1311" s="736"/>
      <c r="BD1311" s="736"/>
      <c r="BE1311" s="736"/>
      <c r="BF1311" s="736"/>
      <c r="BG1311" s="736"/>
      <c r="BH1311" s="736"/>
      <c r="BI1311" s="736"/>
      <c r="BJ1311" s="736"/>
      <c r="BK1311" s="736"/>
      <c r="BL1311" s="736"/>
      <c r="BM1311" s="736"/>
      <c r="BN1311" s="736"/>
      <c r="BO1311" s="736"/>
      <c r="BP1311" s="736"/>
      <c r="BQ1311" s="736"/>
      <c r="BR1311" s="736"/>
      <c r="BS1311" s="736"/>
      <c r="BT1311" s="736"/>
      <c r="BU1311" s="736"/>
      <c r="BV1311" s="736"/>
      <c r="BW1311" s="736"/>
      <c r="BX1311" s="736"/>
      <c r="BY1311" s="736"/>
      <c r="BZ1311" s="736"/>
      <c r="CA1311" s="736"/>
    </row>
    <row r="1312" spans="1:79" hidden="1" outlineLevel="1" x14ac:dyDescent="0.35">
      <c r="A1312" s="80"/>
      <c r="B1312" s="80"/>
      <c r="C1312" s="80"/>
      <c r="D1312" s="80"/>
      <c r="E1312" s="80"/>
      <c r="F1312" s="677" t="s">
        <v>635</v>
      </c>
      <c r="G1312" s="734"/>
      <c r="H1312" s="734"/>
      <c r="I1312" s="734"/>
      <c r="J1312" s="734"/>
      <c r="K1312" s="734"/>
      <c r="L1312" s="734"/>
      <c r="M1312" s="734"/>
      <c r="N1312" s="734"/>
      <c r="O1312" s="735"/>
      <c r="P1312" s="734"/>
      <c r="Q1312" s="734"/>
      <c r="R1312" s="733"/>
      <c r="S1312" s="683">
        <v>0</v>
      </c>
      <c r="T1312" s="683">
        <v>0</v>
      </c>
      <c r="U1312" s="683">
        <v>0</v>
      </c>
      <c r="V1312" s="683">
        <v>0</v>
      </c>
      <c r="W1312" s="683">
        <v>0</v>
      </c>
      <c r="X1312" s="683">
        <v>0</v>
      </c>
      <c r="Y1312" s="683">
        <v>0</v>
      </c>
      <c r="Z1312" s="683">
        <v>0</v>
      </c>
      <c r="AA1312" s="683">
        <v>0</v>
      </c>
      <c r="AB1312" s="683">
        <v>0</v>
      </c>
      <c r="AC1312" s="702">
        <v>0</v>
      </c>
      <c r="AD1312" s="702">
        <v>0</v>
      </c>
      <c r="AE1312" s="736"/>
      <c r="AF1312" s="736"/>
      <c r="AG1312" s="736"/>
      <c r="AH1312" s="736"/>
      <c r="AI1312" s="736"/>
      <c r="AJ1312" s="736"/>
      <c r="AK1312" s="736"/>
      <c r="AL1312" s="736"/>
      <c r="AM1312" s="736"/>
      <c r="AN1312" s="736"/>
      <c r="AO1312" s="736"/>
      <c r="AP1312" s="736"/>
      <c r="AQ1312" s="736"/>
      <c r="AR1312" s="736"/>
      <c r="AS1312" s="736"/>
      <c r="AT1312" s="736"/>
      <c r="AU1312" s="736"/>
      <c r="AV1312" s="736"/>
      <c r="AW1312" s="736"/>
      <c r="AX1312" s="736"/>
      <c r="AY1312" s="736"/>
      <c r="AZ1312" s="736"/>
      <c r="BA1312" s="736"/>
      <c r="BB1312" s="736"/>
      <c r="BC1312" s="736"/>
      <c r="BD1312" s="736"/>
      <c r="BE1312" s="736"/>
      <c r="BF1312" s="736"/>
      <c r="BG1312" s="736"/>
      <c r="BH1312" s="736"/>
      <c r="BI1312" s="736"/>
      <c r="BJ1312" s="736"/>
      <c r="BK1312" s="736"/>
      <c r="BL1312" s="736"/>
      <c r="BM1312" s="736"/>
      <c r="BN1312" s="736"/>
      <c r="BO1312" s="736"/>
      <c r="BP1312" s="736"/>
      <c r="BQ1312" s="736"/>
      <c r="BR1312" s="736"/>
      <c r="BS1312" s="736"/>
      <c r="BT1312" s="736"/>
      <c r="BU1312" s="736"/>
      <c r="BV1312" s="736"/>
      <c r="BW1312" s="736"/>
      <c r="BX1312" s="736"/>
      <c r="BY1312" s="736"/>
      <c r="BZ1312" s="736"/>
      <c r="CA1312" s="736"/>
    </row>
    <row r="1313" spans="1:79" hidden="1" outlineLevel="1" x14ac:dyDescent="0.35">
      <c r="A1313" s="80"/>
      <c r="B1313" s="80"/>
      <c r="C1313" s="80"/>
      <c r="D1313" s="80"/>
      <c r="E1313" s="80"/>
      <c r="F1313" s="677" t="s">
        <v>636</v>
      </c>
      <c r="G1313" s="734"/>
      <c r="H1313" s="734"/>
      <c r="I1313" s="734"/>
      <c r="J1313" s="734"/>
      <c r="K1313" s="734"/>
      <c r="L1313" s="734"/>
      <c r="M1313" s="734"/>
      <c r="N1313" s="734"/>
      <c r="O1313" s="735"/>
      <c r="P1313" s="734"/>
      <c r="Q1313" s="734"/>
      <c r="R1313" s="733"/>
      <c r="S1313" s="683">
        <v>0</v>
      </c>
      <c r="T1313" s="683">
        <v>54.41</v>
      </c>
      <c r="U1313" s="683">
        <v>0</v>
      </c>
      <c r="V1313" s="683">
        <v>0</v>
      </c>
      <c r="W1313" s="683">
        <v>0</v>
      </c>
      <c r="X1313" s="683">
        <v>0</v>
      </c>
      <c r="Y1313" s="683">
        <v>0</v>
      </c>
      <c r="Z1313" s="683">
        <v>0</v>
      </c>
      <c r="AA1313" s="683">
        <v>0</v>
      </c>
      <c r="AB1313" s="683">
        <v>0</v>
      </c>
      <c r="AC1313" s="702">
        <v>0</v>
      </c>
      <c r="AD1313" s="702">
        <v>0</v>
      </c>
      <c r="AE1313" s="736"/>
      <c r="AF1313" s="736"/>
      <c r="AG1313" s="736"/>
      <c r="AH1313" s="736"/>
      <c r="AI1313" s="736"/>
      <c r="AJ1313" s="736"/>
      <c r="AK1313" s="736"/>
      <c r="AL1313" s="736"/>
      <c r="AM1313" s="736"/>
      <c r="AN1313" s="736"/>
      <c r="AO1313" s="736"/>
      <c r="AP1313" s="736"/>
      <c r="AQ1313" s="736"/>
      <c r="AR1313" s="736"/>
      <c r="AS1313" s="736"/>
      <c r="AT1313" s="736"/>
      <c r="AU1313" s="736"/>
      <c r="AV1313" s="736"/>
      <c r="AW1313" s="736"/>
      <c r="AX1313" s="736"/>
      <c r="AY1313" s="736"/>
      <c r="AZ1313" s="736"/>
      <c r="BA1313" s="736"/>
      <c r="BB1313" s="736"/>
      <c r="BC1313" s="736"/>
      <c r="BD1313" s="736"/>
      <c r="BE1313" s="736"/>
      <c r="BF1313" s="736"/>
      <c r="BG1313" s="736"/>
      <c r="BH1313" s="736"/>
      <c r="BI1313" s="736"/>
      <c r="BJ1313" s="736"/>
      <c r="BK1313" s="736"/>
      <c r="BL1313" s="736"/>
      <c r="BM1313" s="736"/>
      <c r="BN1313" s="736"/>
      <c r="BO1313" s="736"/>
      <c r="BP1313" s="736"/>
      <c r="BQ1313" s="736"/>
      <c r="BR1313" s="736"/>
      <c r="BS1313" s="736"/>
      <c r="BT1313" s="736"/>
      <c r="BU1313" s="736"/>
      <c r="BV1313" s="736"/>
      <c r="BW1313" s="736"/>
      <c r="BX1313" s="736"/>
      <c r="BY1313" s="736"/>
      <c r="BZ1313" s="736"/>
      <c r="CA1313" s="736"/>
    </row>
    <row r="1314" spans="1:79" hidden="1" outlineLevel="1" x14ac:dyDescent="0.35">
      <c r="A1314" s="580"/>
      <c r="B1314" s="580"/>
      <c r="C1314" s="580"/>
      <c r="D1314" s="580"/>
      <c r="E1314" s="580"/>
      <c r="F1314" s="677" t="s">
        <v>909</v>
      </c>
      <c r="G1314" s="734"/>
      <c r="H1314" s="734"/>
      <c r="I1314" s="734"/>
      <c r="J1314" s="734"/>
      <c r="K1314" s="734"/>
      <c r="L1314" s="734"/>
      <c r="M1314" s="734"/>
      <c r="N1314" s="734"/>
      <c r="O1314" s="735"/>
      <c r="P1314" s="734"/>
      <c r="Q1314" s="734"/>
      <c r="R1314" s="733"/>
      <c r="S1314" s="683">
        <v>0</v>
      </c>
      <c r="T1314" s="683">
        <v>0</v>
      </c>
      <c r="U1314" s="683">
        <v>0</v>
      </c>
      <c r="V1314" s="683">
        <v>0</v>
      </c>
      <c r="W1314" s="683">
        <v>0</v>
      </c>
      <c r="X1314" s="683">
        <v>0</v>
      </c>
      <c r="Y1314" s="683">
        <v>0</v>
      </c>
      <c r="Z1314" s="683">
        <v>0</v>
      </c>
      <c r="AA1314" s="683">
        <v>0</v>
      </c>
      <c r="AB1314" s="683">
        <v>0</v>
      </c>
      <c r="AC1314" s="702">
        <v>0</v>
      </c>
      <c r="AD1314" s="702">
        <v>0</v>
      </c>
      <c r="AE1314" s="736"/>
      <c r="AF1314" s="736"/>
      <c r="AG1314" s="736"/>
      <c r="AH1314" s="736"/>
      <c r="AI1314" s="736"/>
      <c r="AJ1314" s="736"/>
      <c r="AK1314" s="736"/>
      <c r="AL1314" s="736"/>
      <c r="AM1314" s="736"/>
      <c r="AN1314" s="736"/>
      <c r="AO1314" s="736"/>
      <c r="AP1314" s="736"/>
      <c r="AQ1314" s="736"/>
      <c r="AR1314" s="736"/>
      <c r="AS1314" s="736"/>
      <c r="AT1314" s="736"/>
      <c r="AU1314" s="736"/>
      <c r="AV1314" s="736"/>
      <c r="AW1314" s="736"/>
      <c r="AX1314" s="736"/>
      <c r="AY1314" s="736"/>
      <c r="AZ1314" s="736"/>
      <c r="BA1314" s="736"/>
      <c r="BB1314" s="736"/>
      <c r="BC1314" s="736"/>
      <c r="BD1314" s="736"/>
      <c r="BE1314" s="736"/>
      <c r="BF1314" s="736"/>
      <c r="BG1314" s="736"/>
      <c r="BH1314" s="736"/>
      <c r="BI1314" s="736"/>
      <c r="BJ1314" s="736"/>
      <c r="BK1314" s="736"/>
      <c r="BL1314" s="736"/>
      <c r="BM1314" s="736"/>
      <c r="BN1314" s="736"/>
      <c r="BO1314" s="736"/>
      <c r="BP1314" s="736"/>
      <c r="BQ1314" s="736"/>
      <c r="BR1314" s="736"/>
      <c r="BS1314" s="736"/>
      <c r="BT1314" s="736"/>
      <c r="BU1314" s="736"/>
      <c r="BV1314" s="736"/>
      <c r="BW1314" s="736"/>
      <c r="BX1314" s="736"/>
      <c r="BY1314" s="736"/>
      <c r="BZ1314" s="736"/>
      <c r="CA1314" s="736"/>
    </row>
    <row r="1315" spans="1:79" hidden="1" outlineLevel="1" x14ac:dyDescent="0.35">
      <c r="A1315" s="580"/>
      <c r="B1315" s="580"/>
      <c r="C1315" s="580"/>
      <c r="D1315" s="580"/>
      <c r="E1315" s="580"/>
      <c r="F1315" s="677" t="s">
        <v>637</v>
      </c>
      <c r="G1315" s="732">
        <v>-704.69</v>
      </c>
      <c r="H1315" s="732">
        <v>0.05</v>
      </c>
      <c r="I1315" s="732">
        <v>-0.03</v>
      </c>
      <c r="J1315" s="732">
        <v>4.9999999999999996E-2</v>
      </c>
      <c r="K1315" s="732">
        <v>0</v>
      </c>
      <c r="L1315" s="732">
        <v>-0.03</v>
      </c>
      <c r="M1315" s="732">
        <v>0.01</v>
      </c>
      <c r="N1315" s="732">
        <v>-0.04</v>
      </c>
      <c r="O1315" s="735">
        <v>6.0000000000000005E-2</v>
      </c>
      <c r="P1315" s="732">
        <v>-0.01</v>
      </c>
      <c r="Q1315" s="732">
        <v>-0.05</v>
      </c>
      <c r="R1315" s="736">
        <v>0.01</v>
      </c>
      <c r="S1315" s="683">
        <v>0</v>
      </c>
      <c r="T1315" s="683">
        <v>0</v>
      </c>
      <c r="U1315" s="683">
        <v>0</v>
      </c>
      <c r="V1315" s="683">
        <v>0</v>
      </c>
      <c r="W1315" s="683">
        <v>0</v>
      </c>
      <c r="X1315" s="683">
        <v>0</v>
      </c>
      <c r="Y1315" s="683">
        <v>0</v>
      </c>
      <c r="Z1315" s="683">
        <v>0</v>
      </c>
      <c r="AA1315" s="683">
        <v>0</v>
      </c>
      <c r="AB1315" s="683">
        <v>0</v>
      </c>
      <c r="AC1315" s="702">
        <v>0</v>
      </c>
      <c r="AD1315" s="702">
        <v>0</v>
      </c>
      <c r="AE1315" s="736"/>
      <c r="AF1315" s="736"/>
      <c r="AG1315" s="736"/>
      <c r="AH1315" s="736"/>
      <c r="AI1315" s="736"/>
      <c r="AJ1315" s="736"/>
      <c r="AK1315" s="736"/>
      <c r="AL1315" s="736"/>
      <c r="AM1315" s="736"/>
      <c r="AN1315" s="736"/>
      <c r="AO1315" s="736"/>
      <c r="AP1315" s="736"/>
      <c r="AQ1315" s="736"/>
      <c r="AR1315" s="736"/>
      <c r="AS1315" s="736"/>
      <c r="AT1315" s="736"/>
      <c r="AU1315" s="736"/>
      <c r="AV1315" s="736"/>
      <c r="AW1315" s="736"/>
      <c r="AX1315" s="736"/>
      <c r="AY1315" s="736"/>
      <c r="AZ1315" s="736"/>
      <c r="BA1315" s="736"/>
      <c r="BB1315" s="736"/>
      <c r="BC1315" s="736"/>
      <c r="BD1315" s="736"/>
      <c r="BE1315" s="736"/>
      <c r="BF1315" s="736"/>
      <c r="BG1315" s="736"/>
      <c r="BH1315" s="736"/>
      <c r="BI1315" s="736"/>
      <c r="BJ1315" s="736"/>
      <c r="BK1315" s="736"/>
      <c r="BL1315" s="736"/>
      <c r="BM1315" s="736"/>
      <c r="BN1315" s="736"/>
      <c r="BO1315" s="736"/>
      <c r="BP1315" s="736"/>
      <c r="BQ1315" s="736"/>
      <c r="BR1315" s="736"/>
      <c r="BS1315" s="736"/>
      <c r="BT1315" s="736"/>
      <c r="BU1315" s="736"/>
      <c r="BV1315" s="736"/>
      <c r="BW1315" s="736"/>
      <c r="BX1315" s="736"/>
      <c r="BY1315" s="736"/>
      <c r="BZ1315" s="736"/>
      <c r="CA1315" s="736"/>
    </row>
    <row r="1316" spans="1:79" hidden="1" outlineLevel="1" x14ac:dyDescent="0.35">
      <c r="A1316" s="504"/>
      <c r="B1316" s="504"/>
      <c r="C1316" s="504"/>
      <c r="D1316" s="504"/>
      <c r="E1316" s="504"/>
      <c r="F1316" s="673" t="s">
        <v>638</v>
      </c>
      <c r="G1316" s="680">
        <f>SUM(G1308:G1315)</f>
        <v>-704.69</v>
      </c>
      <c r="H1316" s="680">
        <f t="shared" ref="H1316:BO1316" si="507">SUM(H1308:H1315)</f>
        <v>0.05</v>
      </c>
      <c r="I1316" s="680">
        <f t="shared" si="507"/>
        <v>-0.03</v>
      </c>
      <c r="J1316" s="680">
        <f t="shared" si="507"/>
        <v>4.9999999999999996E-2</v>
      </c>
      <c r="K1316" s="680">
        <f t="shared" si="507"/>
        <v>0</v>
      </c>
      <c r="L1316" s="680">
        <f t="shared" si="507"/>
        <v>-0.03</v>
      </c>
      <c r="M1316" s="680">
        <f t="shared" si="507"/>
        <v>0.01</v>
      </c>
      <c r="N1316" s="680">
        <f t="shared" si="507"/>
        <v>-0.04</v>
      </c>
      <c r="O1316" s="680">
        <f t="shared" si="507"/>
        <v>6.0000000000000005E-2</v>
      </c>
      <c r="P1316" s="680">
        <f t="shared" si="507"/>
        <v>-0.01</v>
      </c>
      <c r="Q1316" s="680">
        <f t="shared" si="507"/>
        <v>-0.05</v>
      </c>
      <c r="R1316" s="680">
        <f t="shared" si="507"/>
        <v>0.01</v>
      </c>
      <c r="S1316" s="695">
        <f t="shared" ref="S1316:AA1316" si="508">ROUND(SUM(S1307:S1315),5)</f>
        <v>1313.77</v>
      </c>
      <c r="T1316" s="695">
        <f t="shared" si="508"/>
        <v>306.06</v>
      </c>
      <c r="U1316" s="695">
        <f t="shared" si="508"/>
        <v>0</v>
      </c>
      <c r="V1316" s="695">
        <f t="shared" si="508"/>
        <v>0</v>
      </c>
      <c r="W1316" s="695">
        <f t="shared" si="508"/>
        <v>0</v>
      </c>
      <c r="X1316" s="695">
        <f t="shared" si="508"/>
        <v>0</v>
      </c>
      <c r="Y1316" s="695">
        <f t="shared" si="508"/>
        <v>0</v>
      </c>
      <c r="Z1316" s="695">
        <f t="shared" si="508"/>
        <v>0</v>
      </c>
      <c r="AA1316" s="695">
        <f t="shared" si="508"/>
        <v>0</v>
      </c>
      <c r="AB1316" s="695">
        <f>ROUND(SUM(AB1307:AB1315),5)</f>
        <v>0</v>
      </c>
      <c r="AC1316" s="695">
        <f>ROUND(SUM(AC1307:AC1315),5)</f>
        <v>0</v>
      </c>
      <c r="AD1316" s="695">
        <f>ROUND(SUM(AD1307:AD1315),5)</f>
        <v>0</v>
      </c>
      <c r="AE1316" s="680">
        <f t="shared" si="507"/>
        <v>0</v>
      </c>
      <c r="AF1316" s="680">
        <f t="shared" si="507"/>
        <v>0</v>
      </c>
      <c r="AG1316" s="680">
        <f t="shared" si="507"/>
        <v>0</v>
      </c>
      <c r="AH1316" s="680">
        <f t="shared" si="507"/>
        <v>0</v>
      </c>
      <c r="AI1316" s="680">
        <f t="shared" si="507"/>
        <v>0</v>
      </c>
      <c r="AJ1316" s="680">
        <f t="shared" si="507"/>
        <v>0</v>
      </c>
      <c r="AK1316" s="680">
        <f t="shared" si="507"/>
        <v>0</v>
      </c>
      <c r="AL1316" s="680">
        <f t="shared" si="507"/>
        <v>0</v>
      </c>
      <c r="AM1316" s="680">
        <f t="shared" si="507"/>
        <v>0</v>
      </c>
      <c r="AN1316" s="680">
        <f t="shared" si="507"/>
        <v>0</v>
      </c>
      <c r="AO1316" s="680">
        <f t="shared" si="507"/>
        <v>0</v>
      </c>
      <c r="AP1316" s="680">
        <f t="shared" si="507"/>
        <v>0</v>
      </c>
      <c r="AQ1316" s="680">
        <f t="shared" si="507"/>
        <v>0</v>
      </c>
      <c r="AR1316" s="680">
        <f t="shared" si="507"/>
        <v>0</v>
      </c>
      <c r="AS1316" s="680">
        <f t="shared" si="507"/>
        <v>0</v>
      </c>
      <c r="AT1316" s="680">
        <f t="shared" si="507"/>
        <v>0</v>
      </c>
      <c r="AU1316" s="680">
        <f t="shared" si="507"/>
        <v>0</v>
      </c>
      <c r="AV1316" s="680">
        <f t="shared" si="507"/>
        <v>0</v>
      </c>
      <c r="AW1316" s="680">
        <f t="shared" si="507"/>
        <v>0</v>
      </c>
      <c r="AX1316" s="680">
        <f t="shared" si="507"/>
        <v>0</v>
      </c>
      <c r="AY1316" s="680">
        <f t="shared" si="507"/>
        <v>0</v>
      </c>
      <c r="AZ1316" s="680">
        <f t="shared" si="507"/>
        <v>0</v>
      </c>
      <c r="BA1316" s="680">
        <f t="shared" si="507"/>
        <v>0</v>
      </c>
      <c r="BB1316" s="680">
        <f t="shared" si="507"/>
        <v>0</v>
      </c>
      <c r="BC1316" s="680">
        <f t="shared" si="507"/>
        <v>0</v>
      </c>
      <c r="BD1316" s="680">
        <f t="shared" si="507"/>
        <v>0</v>
      </c>
      <c r="BE1316" s="680">
        <f t="shared" si="507"/>
        <v>0</v>
      </c>
      <c r="BF1316" s="680">
        <f t="shared" si="507"/>
        <v>0</v>
      </c>
      <c r="BG1316" s="680">
        <f t="shared" si="507"/>
        <v>0</v>
      </c>
      <c r="BH1316" s="680">
        <f t="shared" si="507"/>
        <v>0</v>
      </c>
      <c r="BI1316" s="680">
        <f t="shared" si="507"/>
        <v>0</v>
      </c>
      <c r="BJ1316" s="680">
        <f t="shared" si="507"/>
        <v>0</v>
      </c>
      <c r="BK1316" s="680">
        <f t="shared" si="507"/>
        <v>0</v>
      </c>
      <c r="BL1316" s="680">
        <f t="shared" si="507"/>
        <v>0</v>
      </c>
      <c r="BM1316" s="680">
        <f t="shared" si="507"/>
        <v>0</v>
      </c>
      <c r="BN1316" s="680">
        <f t="shared" si="507"/>
        <v>0</v>
      </c>
      <c r="BO1316" s="680">
        <f t="shared" si="507"/>
        <v>0</v>
      </c>
      <c r="BP1316" s="680">
        <f t="shared" ref="BP1316:CA1316" si="509">SUM(BP1308:BP1315)</f>
        <v>0</v>
      </c>
      <c r="BQ1316" s="680">
        <f t="shared" si="509"/>
        <v>0</v>
      </c>
      <c r="BR1316" s="680">
        <f t="shared" si="509"/>
        <v>0</v>
      </c>
      <c r="BS1316" s="680">
        <f t="shared" si="509"/>
        <v>0</v>
      </c>
      <c r="BT1316" s="680">
        <f t="shared" si="509"/>
        <v>0</v>
      </c>
      <c r="BU1316" s="680">
        <f t="shared" si="509"/>
        <v>0</v>
      </c>
      <c r="BV1316" s="680">
        <f t="shared" si="509"/>
        <v>0</v>
      </c>
      <c r="BW1316" s="680">
        <f t="shared" si="509"/>
        <v>0</v>
      </c>
      <c r="BX1316" s="680">
        <f t="shared" si="509"/>
        <v>0</v>
      </c>
      <c r="BY1316" s="680">
        <f t="shared" si="509"/>
        <v>0</v>
      </c>
      <c r="BZ1316" s="680">
        <f t="shared" si="509"/>
        <v>0</v>
      </c>
      <c r="CA1316" s="680">
        <f t="shared" si="509"/>
        <v>0</v>
      </c>
    </row>
    <row r="1317" spans="1:79" s="709" customFormat="1" hidden="1" outlineLevel="1" x14ac:dyDescent="0.35">
      <c r="A1317" s="754"/>
      <c r="B1317" s="754"/>
      <c r="C1317" s="754"/>
      <c r="D1317" s="754"/>
      <c r="E1317" s="754"/>
      <c r="F1317" s="717" t="s">
        <v>639</v>
      </c>
      <c r="G1317" s="753"/>
      <c r="H1317" s="753"/>
      <c r="I1317" s="753"/>
      <c r="J1317" s="753"/>
      <c r="K1317" s="753"/>
      <c r="L1317" s="753"/>
      <c r="M1317" s="753"/>
      <c r="N1317" s="753"/>
      <c r="O1317" s="750"/>
      <c r="P1317" s="753"/>
      <c r="Q1317" s="753"/>
      <c r="R1317" s="779"/>
      <c r="S1317" s="713"/>
      <c r="T1317" s="713"/>
      <c r="U1317" s="713"/>
      <c r="V1317" s="713"/>
      <c r="W1317" s="713"/>
      <c r="X1317" s="713"/>
      <c r="Y1317" s="713"/>
      <c r="Z1317" s="713"/>
      <c r="AA1317" s="713"/>
      <c r="AB1317" s="713"/>
      <c r="AC1317" s="728"/>
      <c r="AD1317" s="728"/>
      <c r="AE1317" s="752"/>
      <c r="AF1317" s="752"/>
      <c r="AG1317" s="752"/>
      <c r="AH1317" s="752"/>
      <c r="AI1317" s="752"/>
      <c r="AJ1317" s="752"/>
      <c r="AK1317" s="752"/>
      <c r="AL1317" s="752"/>
      <c r="AM1317" s="752"/>
      <c r="AN1317" s="752"/>
      <c r="AO1317" s="752"/>
      <c r="AP1317" s="752"/>
      <c r="AQ1317" s="752"/>
      <c r="AR1317" s="752"/>
      <c r="AS1317" s="752"/>
      <c r="AT1317" s="752"/>
      <c r="AU1317" s="752"/>
      <c r="AV1317" s="752"/>
      <c r="AW1317" s="752"/>
      <c r="AX1317" s="752"/>
      <c r="AY1317" s="752"/>
      <c r="AZ1317" s="752"/>
      <c r="BA1317" s="752"/>
      <c r="BB1317" s="752"/>
      <c r="BC1317" s="752"/>
      <c r="BD1317" s="752"/>
      <c r="BE1317" s="752"/>
      <c r="BF1317" s="752"/>
      <c r="BG1317" s="752"/>
      <c r="BH1317" s="752"/>
      <c r="BI1317" s="752"/>
      <c r="BJ1317" s="752"/>
      <c r="BK1317" s="752"/>
      <c r="BL1317" s="752"/>
      <c r="BM1317" s="752"/>
      <c r="BN1317" s="752"/>
      <c r="BO1317" s="752"/>
      <c r="BP1317" s="752"/>
      <c r="BQ1317" s="752"/>
      <c r="BR1317" s="752"/>
      <c r="BS1317" s="752"/>
      <c r="BT1317" s="752"/>
      <c r="BU1317" s="752"/>
      <c r="BV1317" s="752"/>
      <c r="BW1317" s="752"/>
      <c r="BX1317" s="752"/>
      <c r="BY1317" s="752"/>
      <c r="BZ1317" s="752"/>
      <c r="CA1317" s="752"/>
    </row>
    <row r="1318" spans="1:79" hidden="1" outlineLevel="1" x14ac:dyDescent="0.35">
      <c r="A1318" s="580"/>
      <c r="B1318" s="580"/>
      <c r="C1318" s="580"/>
      <c r="D1318" s="580"/>
      <c r="E1318" s="580"/>
      <c r="F1318" s="677" t="s">
        <v>9</v>
      </c>
      <c r="G1318" s="734"/>
      <c r="H1318" s="734"/>
      <c r="I1318" s="734"/>
      <c r="J1318" s="734"/>
      <c r="K1318" s="734"/>
      <c r="L1318" s="734"/>
      <c r="M1318" s="734"/>
      <c r="N1318" s="734"/>
      <c r="O1318" s="735"/>
      <c r="P1318" s="734"/>
      <c r="Q1318" s="734"/>
      <c r="R1318" s="733"/>
      <c r="S1318" s="683">
        <v>0</v>
      </c>
      <c r="T1318" s="683">
        <v>0</v>
      </c>
      <c r="U1318" s="683">
        <v>0</v>
      </c>
      <c r="V1318" s="683">
        <v>0</v>
      </c>
      <c r="W1318" s="683">
        <v>0</v>
      </c>
      <c r="X1318" s="683">
        <v>0</v>
      </c>
      <c r="Y1318" s="683">
        <v>0</v>
      </c>
      <c r="Z1318" s="683">
        <v>0</v>
      </c>
      <c r="AA1318" s="683">
        <v>0</v>
      </c>
      <c r="AB1318" s="683">
        <v>0</v>
      </c>
      <c r="AC1318" s="702">
        <v>0</v>
      </c>
      <c r="AD1318" s="702">
        <v>0</v>
      </c>
      <c r="AE1318" s="736"/>
      <c r="AF1318" s="736"/>
      <c r="AG1318" s="736"/>
      <c r="AH1318" s="736"/>
      <c r="AI1318" s="736"/>
      <c r="AJ1318" s="736"/>
      <c r="AK1318" s="736"/>
      <c r="AL1318" s="736"/>
      <c r="AM1318" s="736"/>
      <c r="AN1318" s="736"/>
      <c r="AO1318" s="736"/>
      <c r="AP1318" s="736"/>
      <c r="AQ1318" s="736"/>
      <c r="AR1318" s="736"/>
      <c r="AS1318" s="736"/>
      <c r="AT1318" s="736"/>
      <c r="AU1318" s="736"/>
      <c r="AV1318" s="736"/>
      <c r="AW1318" s="736"/>
      <c r="AX1318" s="736"/>
      <c r="AY1318" s="736"/>
      <c r="AZ1318" s="736"/>
      <c r="BA1318" s="736"/>
      <c r="BB1318" s="736"/>
      <c r="BC1318" s="736"/>
      <c r="BD1318" s="736"/>
      <c r="BE1318" s="736"/>
      <c r="BF1318" s="736"/>
      <c r="BG1318" s="736"/>
      <c r="BH1318" s="736"/>
      <c r="BI1318" s="736"/>
      <c r="BJ1318" s="736"/>
      <c r="BK1318" s="736"/>
      <c r="BL1318" s="736"/>
      <c r="BM1318" s="736"/>
      <c r="BN1318" s="736"/>
      <c r="BO1318" s="736"/>
      <c r="BP1318" s="736"/>
      <c r="BQ1318" s="736"/>
      <c r="BR1318" s="736"/>
      <c r="BS1318" s="736"/>
      <c r="BT1318" s="736"/>
      <c r="BU1318" s="736"/>
      <c r="BV1318" s="736"/>
      <c r="BW1318" s="736"/>
      <c r="BX1318" s="736"/>
      <c r="BY1318" s="736"/>
      <c r="BZ1318" s="736"/>
      <c r="CA1318" s="736"/>
    </row>
    <row r="1319" spans="1:79" hidden="1" outlineLevel="1" x14ac:dyDescent="0.35">
      <c r="A1319" s="580"/>
      <c r="B1319" s="580"/>
      <c r="C1319" s="580"/>
      <c r="D1319" s="580"/>
      <c r="E1319" s="580"/>
      <c r="F1319" s="677" t="s">
        <v>910</v>
      </c>
      <c r="G1319" s="734"/>
      <c r="H1319" s="734"/>
      <c r="I1319" s="734"/>
      <c r="J1319" s="734"/>
      <c r="K1319" s="734"/>
      <c r="L1319" s="734"/>
      <c r="M1319" s="734"/>
      <c r="N1319" s="734"/>
      <c r="O1319" s="735"/>
      <c r="P1319" s="734"/>
      <c r="Q1319" s="734"/>
      <c r="R1319" s="733"/>
      <c r="S1319" s="683">
        <v>0</v>
      </c>
      <c r="T1319" s="683">
        <v>0</v>
      </c>
      <c r="U1319" s="683">
        <v>0</v>
      </c>
      <c r="V1319" s="683">
        <v>0</v>
      </c>
      <c r="W1319" s="683">
        <v>0</v>
      </c>
      <c r="X1319" s="683">
        <v>0</v>
      </c>
      <c r="Y1319" s="683">
        <v>0</v>
      </c>
      <c r="Z1319" s="683">
        <v>0</v>
      </c>
      <c r="AA1319" s="683">
        <v>0</v>
      </c>
      <c r="AB1319" s="683">
        <v>0</v>
      </c>
      <c r="AC1319" s="702">
        <v>0</v>
      </c>
      <c r="AD1319" s="702">
        <v>0</v>
      </c>
      <c r="AE1319" s="736"/>
      <c r="AF1319" s="736"/>
      <c r="AG1319" s="736"/>
      <c r="AH1319" s="736"/>
      <c r="AI1319" s="736"/>
      <c r="AJ1319" s="736"/>
      <c r="AK1319" s="736"/>
      <c r="AL1319" s="736"/>
      <c r="AM1319" s="736"/>
      <c r="AN1319" s="736"/>
      <c r="AO1319" s="736"/>
      <c r="AP1319" s="736"/>
      <c r="AQ1319" s="736"/>
      <c r="AR1319" s="736"/>
      <c r="AS1319" s="736"/>
      <c r="AT1319" s="736"/>
      <c r="AU1319" s="736"/>
      <c r="AV1319" s="736"/>
      <c r="AW1319" s="736"/>
      <c r="AX1319" s="736"/>
      <c r="AY1319" s="736"/>
      <c r="AZ1319" s="736"/>
      <c r="BA1319" s="736"/>
      <c r="BB1319" s="736"/>
      <c r="BC1319" s="736"/>
      <c r="BD1319" s="736"/>
      <c r="BE1319" s="736"/>
      <c r="BF1319" s="736"/>
      <c r="BG1319" s="736"/>
      <c r="BH1319" s="736"/>
      <c r="BI1319" s="736"/>
      <c r="BJ1319" s="736"/>
      <c r="BK1319" s="736"/>
      <c r="BL1319" s="736"/>
      <c r="BM1319" s="736"/>
      <c r="BN1319" s="736"/>
      <c r="BO1319" s="736"/>
      <c r="BP1319" s="736"/>
      <c r="BQ1319" s="736"/>
      <c r="BR1319" s="736"/>
      <c r="BS1319" s="736"/>
      <c r="BT1319" s="736"/>
      <c r="BU1319" s="736"/>
      <c r="BV1319" s="736"/>
      <c r="BW1319" s="736"/>
      <c r="BX1319" s="736"/>
      <c r="BY1319" s="736"/>
      <c r="BZ1319" s="736"/>
      <c r="CA1319" s="736"/>
    </row>
    <row r="1320" spans="1:79" hidden="1" outlineLevel="1" x14ac:dyDescent="0.35">
      <c r="A1320" s="80"/>
      <c r="B1320" s="80"/>
      <c r="C1320" s="80"/>
      <c r="D1320" s="80"/>
      <c r="E1320" s="80"/>
      <c r="F1320" s="677" t="s">
        <v>647</v>
      </c>
      <c r="G1320" s="734"/>
      <c r="H1320" s="734"/>
      <c r="I1320" s="734"/>
      <c r="J1320" s="734"/>
      <c r="K1320" s="734"/>
      <c r="L1320" s="734"/>
      <c r="M1320" s="734"/>
      <c r="N1320" s="734"/>
      <c r="O1320" s="735"/>
      <c r="P1320" s="735"/>
      <c r="Q1320" s="735"/>
      <c r="R1320" s="735"/>
      <c r="S1320" s="683">
        <v>0</v>
      </c>
      <c r="T1320" s="683">
        <v>3165</v>
      </c>
      <c r="U1320" s="683">
        <v>0</v>
      </c>
      <c r="V1320" s="683">
        <v>0</v>
      </c>
      <c r="W1320" s="683">
        <v>0</v>
      </c>
      <c r="X1320" s="683">
        <v>0</v>
      </c>
      <c r="Y1320" s="683">
        <v>0</v>
      </c>
      <c r="Z1320" s="683">
        <v>0</v>
      </c>
      <c r="AA1320" s="683">
        <v>0</v>
      </c>
      <c r="AB1320" s="683">
        <v>0</v>
      </c>
      <c r="AC1320" s="702">
        <v>0</v>
      </c>
      <c r="AD1320" s="702">
        <v>0</v>
      </c>
      <c r="AE1320" s="736"/>
      <c r="AF1320" s="736"/>
      <c r="AG1320" s="736"/>
      <c r="AH1320" s="736"/>
      <c r="AI1320" s="736"/>
      <c r="AJ1320" s="736"/>
      <c r="AK1320" s="736"/>
      <c r="AL1320" s="736"/>
      <c r="AM1320" s="736"/>
      <c r="AN1320" s="736"/>
      <c r="AO1320" s="736"/>
      <c r="AP1320" s="736"/>
      <c r="AQ1320" s="736"/>
      <c r="AR1320" s="736"/>
      <c r="AS1320" s="736"/>
      <c r="AT1320" s="736"/>
      <c r="AU1320" s="736"/>
      <c r="AV1320" s="736"/>
      <c r="AW1320" s="736"/>
      <c r="AX1320" s="736"/>
      <c r="AY1320" s="736"/>
      <c r="AZ1320" s="736"/>
      <c r="BA1320" s="736"/>
      <c r="BB1320" s="736"/>
      <c r="BC1320" s="736"/>
      <c r="BD1320" s="736"/>
      <c r="BE1320" s="736"/>
      <c r="BF1320" s="736"/>
      <c r="BG1320" s="736"/>
      <c r="BH1320" s="736"/>
      <c r="BI1320" s="736"/>
      <c r="BJ1320" s="736"/>
      <c r="BK1320" s="736"/>
      <c r="BL1320" s="736"/>
      <c r="BM1320" s="736"/>
      <c r="BN1320" s="736"/>
      <c r="BO1320" s="736"/>
      <c r="BP1320" s="736"/>
      <c r="BQ1320" s="736"/>
      <c r="BR1320" s="736"/>
      <c r="BS1320" s="736"/>
      <c r="BT1320" s="736"/>
      <c r="BU1320" s="736"/>
      <c r="BV1320" s="736"/>
      <c r="BW1320" s="736"/>
      <c r="BX1320" s="736"/>
      <c r="BY1320" s="736"/>
      <c r="BZ1320" s="736"/>
      <c r="CA1320" s="736"/>
    </row>
    <row r="1321" spans="1:79" hidden="1" outlineLevel="1" x14ac:dyDescent="0.35">
      <c r="A1321" s="580"/>
      <c r="B1321" s="580"/>
      <c r="C1321" s="580"/>
      <c r="D1321" s="580"/>
      <c r="E1321" s="580"/>
      <c r="F1321" s="677" t="s">
        <v>648</v>
      </c>
      <c r="G1321" s="734"/>
      <c r="H1321" s="734"/>
      <c r="I1321" s="734"/>
      <c r="J1321" s="734"/>
      <c r="K1321" s="734"/>
      <c r="L1321" s="734"/>
      <c r="M1321" s="734"/>
      <c r="N1321" s="734"/>
      <c r="O1321" s="735"/>
      <c r="P1321" s="735"/>
      <c r="Q1321" s="735"/>
      <c r="R1321" s="735"/>
      <c r="S1321" s="683">
        <v>0</v>
      </c>
      <c r="T1321" s="683">
        <v>0</v>
      </c>
      <c r="U1321" s="683">
        <v>0</v>
      </c>
      <c r="V1321" s="683">
        <v>0</v>
      </c>
      <c r="W1321" s="683">
        <v>0</v>
      </c>
      <c r="X1321" s="683">
        <v>0</v>
      </c>
      <c r="Y1321" s="683">
        <v>0</v>
      </c>
      <c r="Z1321" s="683">
        <v>0</v>
      </c>
      <c r="AA1321" s="683">
        <v>0</v>
      </c>
      <c r="AB1321" s="683">
        <v>0</v>
      </c>
      <c r="AC1321" s="702">
        <v>0</v>
      </c>
      <c r="AD1321" s="702">
        <v>0</v>
      </c>
      <c r="AE1321" s="736"/>
      <c r="AF1321" s="736"/>
      <c r="AG1321" s="736"/>
      <c r="AH1321" s="736"/>
      <c r="AI1321" s="736"/>
      <c r="AJ1321" s="736"/>
      <c r="AK1321" s="736"/>
      <c r="AL1321" s="736"/>
      <c r="AM1321" s="736"/>
      <c r="AN1321" s="736"/>
      <c r="AO1321" s="736"/>
      <c r="AP1321" s="736"/>
      <c r="AQ1321" s="736"/>
      <c r="AR1321" s="736"/>
      <c r="AS1321" s="736"/>
      <c r="AT1321" s="736"/>
      <c r="AU1321" s="736"/>
      <c r="AV1321" s="736"/>
      <c r="AW1321" s="736"/>
      <c r="AX1321" s="736"/>
      <c r="AY1321" s="736"/>
      <c r="AZ1321" s="736"/>
      <c r="BA1321" s="736"/>
      <c r="BB1321" s="736"/>
      <c r="BC1321" s="736"/>
      <c r="BD1321" s="736"/>
      <c r="BE1321" s="736"/>
      <c r="BF1321" s="736"/>
      <c r="BG1321" s="736"/>
      <c r="BH1321" s="736"/>
      <c r="BI1321" s="736"/>
      <c r="BJ1321" s="736"/>
      <c r="BK1321" s="736"/>
      <c r="BL1321" s="736"/>
      <c r="BM1321" s="736"/>
      <c r="BN1321" s="736"/>
      <c r="BO1321" s="736"/>
      <c r="BP1321" s="736"/>
      <c r="BQ1321" s="736"/>
      <c r="BR1321" s="736"/>
      <c r="BS1321" s="736"/>
      <c r="BT1321" s="736"/>
      <c r="BU1321" s="736"/>
      <c r="BV1321" s="736"/>
      <c r="BW1321" s="736"/>
      <c r="BX1321" s="736"/>
      <c r="BY1321" s="736"/>
      <c r="BZ1321" s="736"/>
      <c r="CA1321" s="736"/>
    </row>
    <row r="1322" spans="1:79" hidden="1" outlineLevel="1" x14ac:dyDescent="0.35">
      <c r="A1322" s="580"/>
      <c r="B1322" s="580"/>
      <c r="C1322" s="580"/>
      <c r="D1322" s="580"/>
      <c r="E1322" s="580"/>
      <c r="F1322" s="677" t="s">
        <v>640</v>
      </c>
      <c r="G1322" s="734"/>
      <c r="H1322" s="734"/>
      <c r="I1322" s="734"/>
      <c r="J1322" s="734"/>
      <c r="K1322" s="734"/>
      <c r="L1322" s="734"/>
      <c r="M1322" s="734"/>
      <c r="N1322" s="734"/>
      <c r="O1322" s="735"/>
      <c r="P1322" s="735"/>
      <c r="Q1322" s="735"/>
      <c r="R1322" s="735"/>
      <c r="S1322" s="683">
        <v>0</v>
      </c>
      <c r="T1322" s="683">
        <v>0</v>
      </c>
      <c r="U1322" s="683">
        <v>0</v>
      </c>
      <c r="V1322" s="683">
        <v>0</v>
      </c>
      <c r="W1322" s="683">
        <v>0</v>
      </c>
      <c r="X1322" s="683">
        <v>0</v>
      </c>
      <c r="Y1322" s="683">
        <v>0</v>
      </c>
      <c r="Z1322" s="683">
        <v>0</v>
      </c>
      <c r="AA1322" s="683">
        <v>0</v>
      </c>
      <c r="AB1322" s="683">
        <v>0</v>
      </c>
      <c r="AC1322" s="702">
        <v>0</v>
      </c>
      <c r="AD1322" s="702">
        <v>0</v>
      </c>
      <c r="AE1322" s="736"/>
      <c r="AF1322" s="736"/>
      <c r="AG1322" s="736"/>
      <c r="AH1322" s="736"/>
      <c r="AI1322" s="736"/>
      <c r="AJ1322" s="736"/>
      <c r="AK1322" s="736"/>
      <c r="AL1322" s="736"/>
      <c r="AM1322" s="736"/>
      <c r="AN1322" s="736"/>
      <c r="AO1322" s="736"/>
      <c r="AP1322" s="736"/>
      <c r="AQ1322" s="736"/>
      <c r="AR1322" s="736"/>
      <c r="AS1322" s="736"/>
      <c r="AT1322" s="736"/>
      <c r="AU1322" s="736"/>
      <c r="AV1322" s="736"/>
      <c r="AW1322" s="736"/>
      <c r="AX1322" s="736"/>
      <c r="AY1322" s="736"/>
      <c r="AZ1322" s="736"/>
      <c r="BA1322" s="736"/>
      <c r="BB1322" s="736"/>
      <c r="BC1322" s="736"/>
      <c r="BD1322" s="736"/>
      <c r="BE1322" s="736"/>
      <c r="BF1322" s="736"/>
      <c r="BG1322" s="736"/>
      <c r="BH1322" s="736"/>
      <c r="BI1322" s="736"/>
      <c r="BJ1322" s="736"/>
      <c r="BK1322" s="736"/>
      <c r="BL1322" s="736"/>
      <c r="BM1322" s="736"/>
      <c r="BN1322" s="736"/>
      <c r="BO1322" s="736"/>
      <c r="BP1322" s="736"/>
      <c r="BQ1322" s="736"/>
      <c r="BR1322" s="736"/>
      <c r="BS1322" s="736"/>
      <c r="BT1322" s="736"/>
      <c r="BU1322" s="736"/>
      <c r="BV1322" s="736"/>
      <c r="BW1322" s="736"/>
      <c r="BX1322" s="736"/>
      <c r="BY1322" s="736"/>
      <c r="BZ1322" s="736"/>
      <c r="CA1322" s="736"/>
    </row>
    <row r="1323" spans="1:79" hidden="1" outlineLevel="1" x14ac:dyDescent="0.35">
      <c r="A1323" s="580"/>
      <c r="B1323" s="580"/>
      <c r="C1323" s="580"/>
      <c r="D1323" s="580"/>
      <c r="E1323" s="580"/>
      <c r="F1323" s="677" t="s">
        <v>641</v>
      </c>
      <c r="G1323" s="734"/>
      <c r="H1323" s="734"/>
      <c r="I1323" s="734"/>
      <c r="J1323" s="734"/>
      <c r="K1323" s="734"/>
      <c r="L1323" s="734"/>
      <c r="M1323" s="734"/>
      <c r="N1323" s="734"/>
      <c r="O1323" s="735"/>
      <c r="P1323" s="735"/>
      <c r="Q1323" s="735"/>
      <c r="R1323" s="735"/>
      <c r="S1323" s="683">
        <v>0</v>
      </c>
      <c r="T1323" s="683">
        <v>0</v>
      </c>
      <c r="U1323" s="683">
        <v>0</v>
      </c>
      <c r="V1323" s="683">
        <v>0</v>
      </c>
      <c r="W1323" s="683">
        <v>0</v>
      </c>
      <c r="X1323" s="683">
        <v>0</v>
      </c>
      <c r="Y1323" s="683">
        <v>0</v>
      </c>
      <c r="Z1323" s="683">
        <v>0</v>
      </c>
      <c r="AA1323" s="683">
        <v>0</v>
      </c>
      <c r="AB1323" s="683">
        <v>0</v>
      </c>
      <c r="AC1323" s="702">
        <v>0</v>
      </c>
      <c r="AD1323" s="702">
        <v>0</v>
      </c>
      <c r="AE1323" s="736"/>
      <c r="AF1323" s="736"/>
      <c r="AG1323" s="736"/>
      <c r="AH1323" s="736"/>
      <c r="AI1323" s="736"/>
      <c r="AJ1323" s="736"/>
      <c r="AK1323" s="736"/>
      <c r="AL1323" s="736"/>
      <c r="AM1323" s="736"/>
      <c r="AN1323" s="736"/>
      <c r="AO1323" s="736"/>
      <c r="AP1323" s="736"/>
      <c r="AQ1323" s="736"/>
      <c r="AR1323" s="736"/>
      <c r="AS1323" s="736"/>
      <c r="AT1323" s="736"/>
      <c r="AU1323" s="736"/>
      <c r="AV1323" s="736"/>
      <c r="AW1323" s="736"/>
      <c r="AX1323" s="736"/>
      <c r="AY1323" s="736"/>
      <c r="AZ1323" s="736"/>
      <c r="BA1323" s="736"/>
      <c r="BB1323" s="736"/>
      <c r="BC1323" s="736"/>
      <c r="BD1323" s="736"/>
      <c r="BE1323" s="736"/>
      <c r="BF1323" s="736"/>
      <c r="BG1323" s="736"/>
      <c r="BH1323" s="736"/>
      <c r="BI1323" s="736"/>
      <c r="BJ1323" s="736"/>
      <c r="BK1323" s="736"/>
      <c r="BL1323" s="736"/>
      <c r="BM1323" s="736"/>
      <c r="BN1323" s="736"/>
      <c r="BO1323" s="736"/>
      <c r="BP1323" s="736"/>
      <c r="BQ1323" s="736"/>
      <c r="BR1323" s="736"/>
      <c r="BS1323" s="736"/>
      <c r="BT1323" s="736"/>
      <c r="BU1323" s="736"/>
      <c r="BV1323" s="736"/>
      <c r="BW1323" s="736"/>
      <c r="BX1323" s="736"/>
      <c r="BY1323" s="736"/>
      <c r="BZ1323" s="736"/>
      <c r="CA1323" s="736"/>
    </row>
    <row r="1324" spans="1:79" hidden="1" outlineLevel="1" x14ac:dyDescent="0.35">
      <c r="A1324" s="580"/>
      <c r="B1324" s="580"/>
      <c r="C1324" s="580"/>
      <c r="D1324" s="580"/>
      <c r="E1324" s="580"/>
      <c r="F1324" s="677" t="s">
        <v>911</v>
      </c>
      <c r="G1324" s="734"/>
      <c r="H1324" s="734"/>
      <c r="I1324" s="734"/>
      <c r="J1324" s="734"/>
      <c r="K1324" s="734"/>
      <c r="L1324" s="734"/>
      <c r="M1324" s="734"/>
      <c r="N1324" s="734"/>
      <c r="O1324" s="735"/>
      <c r="P1324" s="735"/>
      <c r="Q1324" s="735"/>
      <c r="R1324" s="735"/>
      <c r="S1324" s="683">
        <v>0</v>
      </c>
      <c r="T1324" s="683">
        <v>0</v>
      </c>
      <c r="U1324" s="683">
        <v>0</v>
      </c>
      <c r="V1324" s="683">
        <v>0</v>
      </c>
      <c r="W1324" s="683">
        <v>0</v>
      </c>
      <c r="X1324" s="683">
        <v>0</v>
      </c>
      <c r="Y1324" s="683">
        <v>0</v>
      </c>
      <c r="Z1324" s="683">
        <v>0</v>
      </c>
      <c r="AA1324" s="683">
        <v>0</v>
      </c>
      <c r="AB1324" s="683">
        <v>0</v>
      </c>
      <c r="AC1324" s="702">
        <v>0</v>
      </c>
      <c r="AD1324" s="702">
        <v>0</v>
      </c>
      <c r="AE1324" s="736"/>
      <c r="AF1324" s="736"/>
      <c r="AG1324" s="736"/>
      <c r="AH1324" s="736"/>
      <c r="AI1324" s="736"/>
      <c r="AJ1324" s="736"/>
      <c r="AK1324" s="736"/>
      <c r="AL1324" s="736"/>
      <c r="AM1324" s="736"/>
      <c r="AN1324" s="736"/>
      <c r="AO1324" s="736"/>
      <c r="AP1324" s="736"/>
      <c r="AQ1324" s="736"/>
      <c r="AR1324" s="736"/>
      <c r="AS1324" s="736"/>
      <c r="AT1324" s="736"/>
      <c r="AU1324" s="736"/>
      <c r="AV1324" s="736"/>
      <c r="AW1324" s="736"/>
      <c r="AX1324" s="736"/>
      <c r="AY1324" s="736"/>
      <c r="AZ1324" s="736"/>
      <c r="BA1324" s="736"/>
      <c r="BB1324" s="736"/>
      <c r="BC1324" s="736"/>
      <c r="BD1324" s="736"/>
      <c r="BE1324" s="736"/>
      <c r="BF1324" s="736"/>
      <c r="BG1324" s="736"/>
      <c r="BH1324" s="736"/>
      <c r="BI1324" s="736"/>
      <c r="BJ1324" s="736"/>
      <c r="BK1324" s="736"/>
      <c r="BL1324" s="736"/>
      <c r="BM1324" s="736"/>
      <c r="BN1324" s="736"/>
      <c r="BO1324" s="736"/>
      <c r="BP1324" s="736"/>
      <c r="BQ1324" s="736"/>
      <c r="BR1324" s="736"/>
      <c r="BS1324" s="736"/>
      <c r="BT1324" s="736"/>
      <c r="BU1324" s="736"/>
      <c r="BV1324" s="736"/>
      <c r="BW1324" s="736"/>
      <c r="BX1324" s="736"/>
      <c r="BY1324" s="736"/>
      <c r="BZ1324" s="736"/>
      <c r="CA1324" s="736"/>
    </row>
    <row r="1325" spans="1:79" hidden="1" outlineLevel="1" x14ac:dyDescent="0.35">
      <c r="A1325" s="580"/>
      <c r="B1325" s="580"/>
      <c r="C1325" s="580"/>
      <c r="D1325" s="580"/>
      <c r="E1325" s="580"/>
      <c r="F1325" s="677" t="s">
        <v>681</v>
      </c>
      <c r="G1325" s="734"/>
      <c r="H1325" s="734"/>
      <c r="I1325" s="734"/>
      <c r="J1325" s="734"/>
      <c r="K1325" s="734"/>
      <c r="L1325" s="734"/>
      <c r="M1325" s="734"/>
      <c r="N1325" s="734"/>
      <c r="O1325" s="735"/>
      <c r="P1325" s="735"/>
      <c r="Q1325" s="735"/>
      <c r="R1325" s="735"/>
      <c r="S1325" s="683">
        <v>0</v>
      </c>
      <c r="T1325" s="683">
        <v>0</v>
      </c>
      <c r="U1325" s="683">
        <v>0</v>
      </c>
      <c r="V1325" s="683">
        <v>0</v>
      </c>
      <c r="W1325" s="683">
        <v>0</v>
      </c>
      <c r="X1325" s="683">
        <v>0</v>
      </c>
      <c r="Y1325" s="683">
        <v>0</v>
      </c>
      <c r="Z1325" s="683">
        <v>0</v>
      </c>
      <c r="AA1325" s="683">
        <v>0</v>
      </c>
      <c r="AB1325" s="683">
        <v>0</v>
      </c>
      <c r="AC1325" s="702">
        <v>0</v>
      </c>
      <c r="AD1325" s="702">
        <v>0</v>
      </c>
      <c r="AE1325" s="736"/>
      <c r="AF1325" s="736"/>
      <c r="AG1325" s="736"/>
      <c r="AH1325" s="736"/>
      <c r="AI1325" s="736"/>
      <c r="AJ1325" s="736"/>
      <c r="AK1325" s="736"/>
      <c r="AL1325" s="736"/>
      <c r="AM1325" s="736"/>
      <c r="AN1325" s="736"/>
      <c r="AO1325" s="736"/>
      <c r="AP1325" s="736"/>
      <c r="AQ1325" s="736"/>
      <c r="AR1325" s="736"/>
      <c r="AS1325" s="736"/>
      <c r="AT1325" s="736"/>
      <c r="AU1325" s="736"/>
      <c r="AV1325" s="736"/>
      <c r="AW1325" s="736"/>
      <c r="AX1325" s="736"/>
      <c r="AY1325" s="736"/>
      <c r="AZ1325" s="736"/>
      <c r="BA1325" s="736"/>
      <c r="BB1325" s="736"/>
      <c r="BC1325" s="736"/>
      <c r="BD1325" s="736"/>
      <c r="BE1325" s="736"/>
      <c r="BF1325" s="736"/>
      <c r="BG1325" s="736"/>
      <c r="BH1325" s="736"/>
      <c r="BI1325" s="736"/>
      <c r="BJ1325" s="736"/>
      <c r="BK1325" s="736"/>
      <c r="BL1325" s="736"/>
      <c r="BM1325" s="736"/>
      <c r="BN1325" s="736"/>
      <c r="BO1325" s="736"/>
      <c r="BP1325" s="736"/>
      <c r="BQ1325" s="736"/>
      <c r="BR1325" s="736"/>
      <c r="BS1325" s="736"/>
      <c r="BT1325" s="736"/>
      <c r="BU1325" s="736"/>
      <c r="BV1325" s="736"/>
      <c r="BW1325" s="736"/>
      <c r="BX1325" s="736"/>
      <c r="BY1325" s="736"/>
      <c r="BZ1325" s="736"/>
      <c r="CA1325" s="736"/>
    </row>
    <row r="1326" spans="1:79" hidden="1" outlineLevel="1" x14ac:dyDescent="0.35">
      <c r="A1326" s="504"/>
      <c r="B1326" s="504"/>
      <c r="C1326" s="504"/>
      <c r="D1326" s="504"/>
      <c r="E1326" s="504"/>
      <c r="F1326" s="673" t="s">
        <v>642</v>
      </c>
      <c r="G1326" s="680">
        <f>SUM(G1318:G1325)</f>
        <v>0</v>
      </c>
      <c r="H1326" s="680">
        <f t="shared" ref="H1326:BO1326" si="510">SUM(H1318:H1325)</f>
        <v>0</v>
      </c>
      <c r="I1326" s="680">
        <f t="shared" si="510"/>
        <v>0</v>
      </c>
      <c r="J1326" s="680">
        <f t="shared" si="510"/>
        <v>0</v>
      </c>
      <c r="K1326" s="680">
        <f t="shared" si="510"/>
        <v>0</v>
      </c>
      <c r="L1326" s="680">
        <f t="shared" si="510"/>
        <v>0</v>
      </c>
      <c r="M1326" s="680">
        <f t="shared" si="510"/>
        <v>0</v>
      </c>
      <c r="N1326" s="680">
        <f t="shared" si="510"/>
        <v>0</v>
      </c>
      <c r="O1326" s="680">
        <f t="shared" si="510"/>
        <v>0</v>
      </c>
      <c r="P1326" s="680">
        <f t="shared" si="510"/>
        <v>0</v>
      </c>
      <c r="Q1326" s="680">
        <f t="shared" si="510"/>
        <v>0</v>
      </c>
      <c r="R1326" s="680">
        <f t="shared" si="510"/>
        <v>0</v>
      </c>
      <c r="S1326" s="695">
        <f t="shared" ref="S1326:AA1326" si="511">ROUND(SUM(S1317:S1325),5)</f>
        <v>0</v>
      </c>
      <c r="T1326" s="695">
        <f t="shared" si="511"/>
        <v>3165</v>
      </c>
      <c r="U1326" s="695">
        <f t="shared" si="511"/>
        <v>0</v>
      </c>
      <c r="V1326" s="695">
        <f t="shared" si="511"/>
        <v>0</v>
      </c>
      <c r="W1326" s="695">
        <f t="shared" si="511"/>
        <v>0</v>
      </c>
      <c r="X1326" s="695">
        <f t="shared" si="511"/>
        <v>0</v>
      </c>
      <c r="Y1326" s="695">
        <f t="shared" si="511"/>
        <v>0</v>
      </c>
      <c r="Z1326" s="695">
        <f t="shared" si="511"/>
        <v>0</v>
      </c>
      <c r="AA1326" s="695">
        <f t="shared" si="511"/>
        <v>0</v>
      </c>
      <c r="AB1326" s="695">
        <f>ROUND(SUM(AB1317:AB1325),5)</f>
        <v>0</v>
      </c>
      <c r="AC1326" s="695">
        <f>ROUND(SUM(AC1317:AC1325),5)</f>
        <v>0</v>
      </c>
      <c r="AD1326" s="695">
        <f>ROUND(SUM(AD1317:AD1325),5)</f>
        <v>0</v>
      </c>
      <c r="AE1326" s="680">
        <f t="shared" si="510"/>
        <v>0</v>
      </c>
      <c r="AF1326" s="680">
        <f t="shared" si="510"/>
        <v>0</v>
      </c>
      <c r="AG1326" s="680">
        <f t="shared" si="510"/>
        <v>0</v>
      </c>
      <c r="AH1326" s="680">
        <f t="shared" si="510"/>
        <v>0</v>
      </c>
      <c r="AI1326" s="680">
        <f t="shared" si="510"/>
        <v>0</v>
      </c>
      <c r="AJ1326" s="680">
        <f t="shared" si="510"/>
        <v>0</v>
      </c>
      <c r="AK1326" s="680">
        <f t="shared" si="510"/>
        <v>0</v>
      </c>
      <c r="AL1326" s="680">
        <f t="shared" si="510"/>
        <v>0</v>
      </c>
      <c r="AM1326" s="680">
        <f t="shared" si="510"/>
        <v>0</v>
      </c>
      <c r="AN1326" s="680">
        <f t="shared" si="510"/>
        <v>0</v>
      </c>
      <c r="AO1326" s="680">
        <f t="shared" si="510"/>
        <v>0</v>
      </c>
      <c r="AP1326" s="680">
        <f t="shared" si="510"/>
        <v>0</v>
      </c>
      <c r="AQ1326" s="680">
        <f t="shared" si="510"/>
        <v>0</v>
      </c>
      <c r="AR1326" s="680">
        <f t="shared" si="510"/>
        <v>0</v>
      </c>
      <c r="AS1326" s="680">
        <f t="shared" si="510"/>
        <v>0</v>
      </c>
      <c r="AT1326" s="680">
        <f t="shared" si="510"/>
        <v>0</v>
      </c>
      <c r="AU1326" s="680">
        <f t="shared" si="510"/>
        <v>0</v>
      </c>
      <c r="AV1326" s="680">
        <f t="shared" si="510"/>
        <v>0</v>
      </c>
      <c r="AW1326" s="680">
        <f t="shared" si="510"/>
        <v>0</v>
      </c>
      <c r="AX1326" s="680">
        <f t="shared" si="510"/>
        <v>0</v>
      </c>
      <c r="AY1326" s="680">
        <f t="shared" si="510"/>
        <v>0</v>
      </c>
      <c r="AZ1326" s="680">
        <f t="shared" si="510"/>
        <v>0</v>
      </c>
      <c r="BA1326" s="680">
        <f t="shared" si="510"/>
        <v>0</v>
      </c>
      <c r="BB1326" s="680">
        <f t="shared" si="510"/>
        <v>0</v>
      </c>
      <c r="BC1326" s="680">
        <f t="shared" si="510"/>
        <v>0</v>
      </c>
      <c r="BD1326" s="680">
        <f t="shared" si="510"/>
        <v>0</v>
      </c>
      <c r="BE1326" s="680">
        <f t="shared" si="510"/>
        <v>0</v>
      </c>
      <c r="BF1326" s="680">
        <f t="shared" si="510"/>
        <v>0</v>
      </c>
      <c r="BG1326" s="680">
        <f t="shared" si="510"/>
        <v>0</v>
      </c>
      <c r="BH1326" s="680">
        <f t="shared" si="510"/>
        <v>0</v>
      </c>
      <c r="BI1326" s="680">
        <f t="shared" si="510"/>
        <v>0</v>
      </c>
      <c r="BJ1326" s="680">
        <f t="shared" si="510"/>
        <v>0</v>
      </c>
      <c r="BK1326" s="680">
        <f t="shared" si="510"/>
        <v>0</v>
      </c>
      <c r="BL1326" s="680">
        <f t="shared" si="510"/>
        <v>0</v>
      </c>
      <c r="BM1326" s="680">
        <f t="shared" si="510"/>
        <v>0</v>
      </c>
      <c r="BN1326" s="680">
        <f t="shared" si="510"/>
        <v>0</v>
      </c>
      <c r="BO1326" s="680">
        <f t="shared" si="510"/>
        <v>0</v>
      </c>
      <c r="BP1326" s="680">
        <f t="shared" ref="BP1326:CA1326" si="512">SUM(BP1318:BP1325)</f>
        <v>0</v>
      </c>
      <c r="BQ1326" s="680">
        <f t="shared" si="512"/>
        <v>0</v>
      </c>
      <c r="BR1326" s="680">
        <f t="shared" si="512"/>
        <v>0</v>
      </c>
      <c r="BS1326" s="680">
        <f t="shared" si="512"/>
        <v>0</v>
      </c>
      <c r="BT1326" s="680">
        <f t="shared" si="512"/>
        <v>0</v>
      </c>
      <c r="BU1326" s="680">
        <f t="shared" si="512"/>
        <v>0</v>
      </c>
      <c r="BV1326" s="680">
        <f t="shared" si="512"/>
        <v>0</v>
      </c>
      <c r="BW1326" s="680">
        <f t="shared" si="512"/>
        <v>0</v>
      </c>
      <c r="BX1326" s="680">
        <f t="shared" si="512"/>
        <v>0</v>
      </c>
      <c r="BY1326" s="680">
        <f t="shared" si="512"/>
        <v>0</v>
      </c>
      <c r="BZ1326" s="680">
        <f t="shared" si="512"/>
        <v>0</v>
      </c>
      <c r="CA1326" s="680">
        <f t="shared" si="512"/>
        <v>0</v>
      </c>
    </row>
    <row r="1327" spans="1:79" hidden="1" outlineLevel="1" x14ac:dyDescent="0.35">
      <c r="A1327" s="80"/>
      <c r="B1327" s="80"/>
      <c r="C1327" s="80"/>
      <c r="D1327" s="80"/>
      <c r="E1327" s="80"/>
      <c r="F1327" s="672" t="s">
        <v>643</v>
      </c>
      <c r="G1327" s="732">
        <v>-0.03</v>
      </c>
      <c r="H1327" s="732"/>
      <c r="I1327" s="732"/>
      <c r="J1327" s="732"/>
      <c r="K1327" s="732"/>
      <c r="L1327" s="732">
        <v>2.73</v>
      </c>
      <c r="M1327" s="732"/>
      <c r="N1327" s="732"/>
      <c r="O1327" s="732"/>
      <c r="P1327" s="732">
        <v>241.32</v>
      </c>
      <c r="Q1327" s="732">
        <v>370.06</v>
      </c>
      <c r="R1327" s="736">
        <v>74.97</v>
      </c>
      <c r="S1327" s="687">
        <v>0.02</v>
      </c>
      <c r="T1327" s="687">
        <v>-0.02</v>
      </c>
      <c r="U1327" s="687">
        <v>0</v>
      </c>
      <c r="V1327" s="687">
        <v>0</v>
      </c>
      <c r="W1327" s="687">
        <v>0</v>
      </c>
      <c r="X1327" s="687">
        <v>0</v>
      </c>
      <c r="Y1327" s="687">
        <v>0</v>
      </c>
      <c r="Z1327" s="687">
        <v>0</v>
      </c>
      <c r="AA1327" s="687">
        <v>0</v>
      </c>
      <c r="AB1327" s="687">
        <v>0</v>
      </c>
      <c r="AC1327" s="698">
        <v>0</v>
      </c>
      <c r="AD1327" s="698">
        <v>0</v>
      </c>
      <c r="AE1327" s="736"/>
      <c r="AF1327" s="736"/>
      <c r="AG1327" s="736"/>
      <c r="AH1327" s="736"/>
      <c r="AI1327" s="736"/>
      <c r="AJ1327" s="736"/>
      <c r="AK1327" s="736"/>
      <c r="AL1327" s="736"/>
      <c r="AM1327" s="736"/>
      <c r="AN1327" s="736"/>
      <c r="AO1327" s="736"/>
      <c r="AP1327" s="736"/>
      <c r="AQ1327" s="736"/>
      <c r="AR1327" s="736"/>
      <c r="AS1327" s="736"/>
      <c r="AT1327" s="736"/>
      <c r="AU1327" s="736"/>
      <c r="AV1327" s="736"/>
      <c r="AW1327" s="736"/>
      <c r="AX1327" s="736"/>
      <c r="AY1327" s="736"/>
      <c r="AZ1327" s="736"/>
      <c r="BA1327" s="736"/>
      <c r="BB1327" s="736"/>
      <c r="BC1327" s="736"/>
      <c r="BD1327" s="736"/>
      <c r="BE1327" s="736"/>
      <c r="BF1327" s="736"/>
      <c r="BG1327" s="736"/>
      <c r="BH1327" s="736"/>
      <c r="BI1327" s="736"/>
      <c r="BJ1327" s="736"/>
      <c r="BK1327" s="736"/>
      <c r="BL1327" s="736"/>
      <c r="BM1327" s="736"/>
      <c r="BN1327" s="736"/>
      <c r="BO1327" s="736"/>
      <c r="BP1327" s="736"/>
      <c r="BQ1327" s="736"/>
      <c r="BR1327" s="736"/>
      <c r="BS1327" s="736"/>
      <c r="BT1327" s="736"/>
      <c r="BU1327" s="736"/>
      <c r="BV1327" s="736"/>
      <c r="BW1327" s="736"/>
      <c r="BX1327" s="736"/>
      <c r="BY1327" s="736"/>
      <c r="BZ1327" s="736"/>
      <c r="CA1327" s="736"/>
    </row>
    <row r="1328" spans="1:79" hidden="1" outlineLevel="1" x14ac:dyDescent="0.35">
      <c r="F1328" s="675" t="s">
        <v>644</v>
      </c>
      <c r="G1328" s="680">
        <f>SUM(G1316+G1326)</f>
        <v>-704.69</v>
      </c>
      <c r="H1328" s="680">
        <f t="shared" ref="H1328:BO1328" si="513">SUM(H1316+H1326)</f>
        <v>0.05</v>
      </c>
      <c r="I1328" s="680">
        <f t="shared" si="513"/>
        <v>-0.03</v>
      </c>
      <c r="J1328" s="680">
        <f t="shared" si="513"/>
        <v>4.9999999999999996E-2</v>
      </c>
      <c r="K1328" s="680">
        <f t="shared" si="513"/>
        <v>0</v>
      </c>
      <c r="L1328" s="680">
        <f t="shared" si="513"/>
        <v>-0.03</v>
      </c>
      <c r="M1328" s="680">
        <f t="shared" si="513"/>
        <v>0.01</v>
      </c>
      <c r="N1328" s="680">
        <f t="shared" si="513"/>
        <v>-0.04</v>
      </c>
      <c r="O1328" s="680">
        <f t="shared" si="513"/>
        <v>6.0000000000000005E-2</v>
      </c>
      <c r="P1328" s="680">
        <f t="shared" si="513"/>
        <v>-0.01</v>
      </c>
      <c r="Q1328" s="680">
        <f t="shared" si="513"/>
        <v>-0.05</v>
      </c>
      <c r="R1328" s="680">
        <f t="shared" si="513"/>
        <v>0.01</v>
      </c>
      <c r="S1328" s="695">
        <f t="shared" ref="S1328:AB1328" si="514">ROUND(S1299+S1306+S1316+SUM(S1326:S1327),5)</f>
        <v>1313.79</v>
      </c>
      <c r="T1328" s="695">
        <f t="shared" si="514"/>
        <v>3471.04</v>
      </c>
      <c r="U1328" s="695">
        <f t="shared" si="514"/>
        <v>0</v>
      </c>
      <c r="V1328" s="695">
        <f t="shared" si="514"/>
        <v>0</v>
      </c>
      <c r="W1328" s="695">
        <f t="shared" si="514"/>
        <v>0</v>
      </c>
      <c r="X1328" s="695">
        <f t="shared" si="514"/>
        <v>0</v>
      </c>
      <c r="Y1328" s="695">
        <f t="shared" si="514"/>
        <v>0</v>
      </c>
      <c r="Z1328" s="695">
        <f t="shared" si="514"/>
        <v>0</v>
      </c>
      <c r="AA1328" s="695">
        <f t="shared" si="514"/>
        <v>0</v>
      </c>
      <c r="AB1328" s="695">
        <f t="shared" si="514"/>
        <v>0</v>
      </c>
      <c r="AC1328" s="695">
        <f>ROUND(AC1299+AC1306+AC1316+SUM(AC1326:AC1327),5)</f>
        <v>-185</v>
      </c>
      <c r="AD1328" s="695">
        <f>ROUND(AD1299+AD1306+AD1316+SUM(AD1326:AD1327),5)</f>
        <v>41.83</v>
      </c>
      <c r="AE1328" s="680">
        <f t="shared" si="513"/>
        <v>0</v>
      </c>
      <c r="AF1328" s="680">
        <f t="shared" si="513"/>
        <v>0</v>
      </c>
      <c r="AG1328" s="680">
        <f t="shared" si="513"/>
        <v>0</v>
      </c>
      <c r="AH1328" s="680">
        <f t="shared" si="513"/>
        <v>0</v>
      </c>
      <c r="AI1328" s="680">
        <f t="shared" si="513"/>
        <v>0</v>
      </c>
      <c r="AJ1328" s="680">
        <f t="shared" si="513"/>
        <v>0</v>
      </c>
      <c r="AK1328" s="680">
        <f t="shared" si="513"/>
        <v>0</v>
      </c>
      <c r="AL1328" s="680">
        <f t="shared" si="513"/>
        <v>0</v>
      </c>
      <c r="AM1328" s="680">
        <f t="shared" si="513"/>
        <v>0</v>
      </c>
      <c r="AN1328" s="680">
        <f t="shared" si="513"/>
        <v>0</v>
      </c>
      <c r="AO1328" s="680">
        <f t="shared" si="513"/>
        <v>0</v>
      </c>
      <c r="AP1328" s="680">
        <f t="shared" si="513"/>
        <v>0</v>
      </c>
      <c r="AQ1328" s="680">
        <f t="shared" si="513"/>
        <v>0</v>
      </c>
      <c r="AR1328" s="680">
        <f t="shared" si="513"/>
        <v>0</v>
      </c>
      <c r="AS1328" s="680">
        <f t="shared" si="513"/>
        <v>0</v>
      </c>
      <c r="AT1328" s="680">
        <f t="shared" si="513"/>
        <v>0</v>
      </c>
      <c r="AU1328" s="680">
        <f t="shared" si="513"/>
        <v>0</v>
      </c>
      <c r="AV1328" s="680">
        <f t="shared" si="513"/>
        <v>0</v>
      </c>
      <c r="AW1328" s="680">
        <f t="shared" si="513"/>
        <v>0</v>
      </c>
      <c r="AX1328" s="680">
        <f t="shared" si="513"/>
        <v>0</v>
      </c>
      <c r="AY1328" s="680">
        <f t="shared" si="513"/>
        <v>0</v>
      </c>
      <c r="AZ1328" s="680">
        <f t="shared" si="513"/>
        <v>0</v>
      </c>
      <c r="BA1328" s="680">
        <f t="shared" si="513"/>
        <v>0</v>
      </c>
      <c r="BB1328" s="680">
        <f t="shared" si="513"/>
        <v>0</v>
      </c>
      <c r="BC1328" s="680">
        <f t="shared" si="513"/>
        <v>0</v>
      </c>
      <c r="BD1328" s="680">
        <f t="shared" si="513"/>
        <v>0</v>
      </c>
      <c r="BE1328" s="680">
        <f t="shared" si="513"/>
        <v>0</v>
      </c>
      <c r="BF1328" s="680">
        <f t="shared" si="513"/>
        <v>0</v>
      </c>
      <c r="BG1328" s="680">
        <f t="shared" si="513"/>
        <v>0</v>
      </c>
      <c r="BH1328" s="680">
        <f t="shared" si="513"/>
        <v>0</v>
      </c>
      <c r="BI1328" s="680">
        <f t="shared" si="513"/>
        <v>0</v>
      </c>
      <c r="BJ1328" s="680">
        <f t="shared" si="513"/>
        <v>0</v>
      </c>
      <c r="BK1328" s="680">
        <f t="shared" si="513"/>
        <v>0</v>
      </c>
      <c r="BL1328" s="680">
        <f t="shared" si="513"/>
        <v>0</v>
      </c>
      <c r="BM1328" s="680">
        <f t="shared" si="513"/>
        <v>0</v>
      </c>
      <c r="BN1328" s="680">
        <f t="shared" si="513"/>
        <v>0</v>
      </c>
      <c r="BO1328" s="680">
        <f t="shared" si="513"/>
        <v>0</v>
      </c>
      <c r="BP1328" s="680">
        <f t="shared" ref="BP1328:CA1328" si="515">SUM(BP1316+BP1326)</f>
        <v>0</v>
      </c>
      <c r="BQ1328" s="680">
        <f t="shared" si="515"/>
        <v>0</v>
      </c>
      <c r="BR1328" s="680">
        <f t="shared" si="515"/>
        <v>0</v>
      </c>
      <c r="BS1328" s="680">
        <f t="shared" si="515"/>
        <v>0</v>
      </c>
      <c r="BT1328" s="680">
        <f t="shared" si="515"/>
        <v>0</v>
      </c>
      <c r="BU1328" s="680">
        <f t="shared" si="515"/>
        <v>0</v>
      </c>
      <c r="BV1328" s="680">
        <f t="shared" si="515"/>
        <v>0</v>
      </c>
      <c r="BW1328" s="680">
        <f t="shared" si="515"/>
        <v>0</v>
      </c>
      <c r="BX1328" s="680">
        <f t="shared" si="515"/>
        <v>0</v>
      </c>
      <c r="BY1328" s="680">
        <f t="shared" si="515"/>
        <v>0</v>
      </c>
      <c r="BZ1328" s="680">
        <f t="shared" si="515"/>
        <v>0</v>
      </c>
      <c r="CA1328" s="680">
        <f t="shared" si="515"/>
        <v>0</v>
      </c>
    </row>
    <row r="1329" spans="1:79" hidden="1" outlineLevel="1" x14ac:dyDescent="0.35">
      <c r="A1329" s="574"/>
      <c r="B1329" s="574"/>
      <c r="C1329" s="574"/>
      <c r="D1329" s="574"/>
      <c r="E1329" s="574"/>
      <c r="F1329" s="671" t="s">
        <v>912</v>
      </c>
      <c r="G1329" s="732"/>
      <c r="H1329" s="732"/>
      <c r="I1329" s="732"/>
      <c r="J1329" s="732"/>
      <c r="K1329" s="732"/>
      <c r="L1329" s="732"/>
      <c r="M1329" s="732"/>
      <c r="N1329" s="732"/>
      <c r="O1329" s="732"/>
      <c r="P1329" s="732"/>
      <c r="Q1329" s="732"/>
      <c r="R1329" s="736"/>
      <c r="S1329" s="700">
        <v>0</v>
      </c>
      <c r="T1329" s="700">
        <v>0</v>
      </c>
      <c r="U1329" s="700">
        <v>0</v>
      </c>
      <c r="V1329" s="700">
        <v>0</v>
      </c>
      <c r="W1329" s="700">
        <v>0</v>
      </c>
      <c r="X1329" s="700">
        <v>0</v>
      </c>
      <c r="Y1329" s="700">
        <v>0</v>
      </c>
      <c r="Z1329" s="700">
        <v>0</v>
      </c>
      <c r="AA1329" s="700">
        <v>0</v>
      </c>
      <c r="AB1329" s="700">
        <v>0</v>
      </c>
      <c r="AC1329" s="706">
        <v>0</v>
      </c>
      <c r="AD1329" s="706">
        <v>0</v>
      </c>
      <c r="AE1329" s="736"/>
      <c r="AF1329" s="736"/>
      <c r="AG1329" s="736"/>
      <c r="AH1329" s="736"/>
      <c r="AI1329" s="736"/>
      <c r="AJ1329" s="736"/>
      <c r="AK1329" s="736"/>
      <c r="AL1329" s="736"/>
      <c r="AM1329" s="736"/>
      <c r="AN1329" s="736"/>
      <c r="AO1329" s="736"/>
      <c r="AP1329" s="736"/>
      <c r="AQ1329" s="736"/>
      <c r="AR1329" s="736"/>
      <c r="AS1329" s="736"/>
      <c r="AT1329" s="736"/>
      <c r="AU1329" s="736"/>
      <c r="AV1329" s="736"/>
      <c r="AW1329" s="736"/>
      <c r="AX1329" s="736"/>
      <c r="AY1329" s="736"/>
      <c r="AZ1329" s="736"/>
      <c r="BA1329" s="736"/>
      <c r="BB1329" s="736"/>
      <c r="BC1329" s="736"/>
      <c r="BD1329" s="736"/>
      <c r="BE1329" s="736"/>
      <c r="BF1329" s="736"/>
      <c r="BG1329" s="736"/>
      <c r="BH1329" s="736"/>
      <c r="BI1329" s="736"/>
      <c r="BJ1329" s="736"/>
      <c r="BK1329" s="736"/>
      <c r="BL1329" s="736"/>
      <c r="BM1329" s="736"/>
      <c r="BN1329" s="736"/>
      <c r="BO1329" s="736"/>
      <c r="BP1329" s="736"/>
      <c r="BQ1329" s="736"/>
      <c r="BR1329" s="736"/>
      <c r="BS1329" s="736"/>
      <c r="BT1329" s="736"/>
      <c r="BU1329" s="736"/>
      <c r="BV1329" s="736"/>
      <c r="BW1329" s="736"/>
      <c r="BX1329" s="736"/>
      <c r="BY1329" s="736"/>
      <c r="BZ1329" s="736"/>
      <c r="CA1329" s="736"/>
    </row>
    <row r="1330" spans="1:79" s="709" customFormat="1" hidden="1" outlineLevel="1" x14ac:dyDescent="0.35">
      <c r="A1330" s="716"/>
      <c r="B1330" s="716"/>
      <c r="C1330" s="716"/>
      <c r="D1330" s="716"/>
      <c r="E1330" s="716"/>
      <c r="F1330" s="717" t="s">
        <v>606</v>
      </c>
      <c r="G1330" s="782"/>
      <c r="H1330" s="782"/>
      <c r="I1330" s="782"/>
      <c r="J1330" s="782"/>
      <c r="K1330" s="782"/>
      <c r="L1330" s="782"/>
      <c r="M1330" s="782"/>
      <c r="N1330" s="782"/>
      <c r="O1330" s="782"/>
      <c r="P1330" s="753"/>
      <c r="Q1330" s="753"/>
      <c r="R1330" s="779"/>
      <c r="S1330" s="713"/>
      <c r="T1330" s="713"/>
      <c r="U1330" s="713"/>
      <c r="V1330" s="713"/>
      <c r="W1330" s="713"/>
      <c r="X1330" s="713"/>
      <c r="Y1330" s="713"/>
      <c r="Z1330" s="713"/>
      <c r="AA1330" s="713"/>
      <c r="AB1330" s="713"/>
      <c r="AC1330" s="713"/>
      <c r="AD1330" s="713"/>
      <c r="AE1330" s="752"/>
      <c r="AF1330" s="752"/>
      <c r="AG1330" s="752"/>
      <c r="AH1330" s="752"/>
      <c r="AI1330" s="752"/>
      <c r="AJ1330" s="752"/>
      <c r="AK1330" s="752"/>
      <c r="AL1330" s="752"/>
      <c r="AM1330" s="752"/>
      <c r="AN1330" s="752"/>
      <c r="AO1330" s="752"/>
      <c r="AP1330" s="752"/>
      <c r="AQ1330" s="752"/>
      <c r="AR1330" s="752"/>
      <c r="AS1330" s="752"/>
      <c r="AT1330" s="752"/>
      <c r="AU1330" s="752"/>
      <c r="AV1330" s="752"/>
      <c r="AW1330" s="752"/>
      <c r="AX1330" s="752"/>
      <c r="AY1330" s="752"/>
      <c r="AZ1330" s="752"/>
      <c r="BA1330" s="752"/>
      <c r="BB1330" s="752"/>
      <c r="BC1330" s="752"/>
      <c r="BD1330" s="752"/>
      <c r="BE1330" s="752"/>
      <c r="BF1330" s="752"/>
      <c r="BG1330" s="752"/>
      <c r="BH1330" s="752"/>
      <c r="BI1330" s="752"/>
      <c r="BJ1330" s="752"/>
      <c r="BK1330" s="752"/>
      <c r="BL1330" s="752"/>
      <c r="BM1330" s="752"/>
      <c r="BN1330" s="752"/>
      <c r="BO1330" s="752"/>
      <c r="BP1330" s="752"/>
      <c r="BQ1330" s="752"/>
      <c r="BR1330" s="752"/>
      <c r="BS1330" s="752"/>
      <c r="BT1330" s="752"/>
      <c r="BU1330" s="752"/>
      <c r="BV1330" s="752"/>
      <c r="BW1330" s="752"/>
      <c r="BX1330" s="752"/>
      <c r="BY1330" s="752"/>
      <c r="BZ1330" s="752"/>
      <c r="CA1330" s="752"/>
    </row>
    <row r="1331" spans="1:79" hidden="1" outlineLevel="1" x14ac:dyDescent="0.35">
      <c r="A1331" s="80"/>
      <c r="B1331" s="80"/>
      <c r="C1331" s="80"/>
      <c r="D1331" s="80"/>
      <c r="E1331" s="80"/>
      <c r="F1331" s="672" t="s">
        <v>645</v>
      </c>
      <c r="G1331" s="734"/>
      <c r="H1331" s="734"/>
      <c r="I1331" s="734"/>
      <c r="J1331" s="734"/>
      <c r="K1331" s="734"/>
      <c r="L1331" s="734"/>
      <c r="M1331" s="734"/>
      <c r="N1331" s="734"/>
      <c r="O1331" s="734"/>
      <c r="P1331" s="734"/>
      <c r="Q1331" s="734"/>
      <c r="R1331" s="733"/>
      <c r="S1331" s="683">
        <v>-17191.939999999999</v>
      </c>
      <c r="T1331" s="683">
        <v>0</v>
      </c>
      <c r="U1331" s="683">
        <v>0</v>
      </c>
      <c r="V1331" s="683">
        <v>0</v>
      </c>
      <c r="W1331" s="683">
        <v>-185</v>
      </c>
      <c r="X1331" s="683">
        <v>-175</v>
      </c>
      <c r="Y1331" s="683">
        <v>-59.91</v>
      </c>
      <c r="Z1331" s="683">
        <v>0</v>
      </c>
      <c r="AA1331" s="683">
        <v>0</v>
      </c>
      <c r="AB1331" s="683">
        <v>-195</v>
      </c>
      <c r="AC1331" s="682">
        <v>0</v>
      </c>
      <c r="AD1331" s="682">
        <v>0</v>
      </c>
      <c r="AE1331" s="736"/>
      <c r="AF1331" s="736"/>
      <c r="AG1331" s="736"/>
      <c r="AH1331" s="736"/>
      <c r="AI1331" s="736"/>
      <c r="AJ1331" s="736"/>
      <c r="AK1331" s="736"/>
      <c r="AL1331" s="736"/>
      <c r="AM1331" s="736"/>
      <c r="AN1331" s="736"/>
      <c r="AO1331" s="736"/>
      <c r="AP1331" s="736"/>
      <c r="AQ1331" s="736"/>
      <c r="AR1331" s="736"/>
      <c r="AS1331" s="736"/>
      <c r="AT1331" s="736"/>
      <c r="AU1331" s="736"/>
      <c r="AV1331" s="736"/>
      <c r="AW1331" s="736"/>
      <c r="AX1331" s="736"/>
      <c r="AY1331" s="736"/>
      <c r="AZ1331" s="736"/>
      <c r="BA1331" s="736"/>
      <c r="BB1331" s="736"/>
      <c r="BC1331" s="736"/>
      <c r="BD1331" s="736"/>
      <c r="BE1331" s="736"/>
      <c r="BF1331" s="736"/>
      <c r="BG1331" s="736"/>
      <c r="BH1331" s="736"/>
      <c r="BI1331" s="736"/>
      <c r="BJ1331" s="736"/>
      <c r="BK1331" s="736"/>
      <c r="BL1331" s="736"/>
      <c r="BM1331" s="736"/>
      <c r="BN1331" s="736"/>
      <c r="BO1331" s="736"/>
      <c r="BP1331" s="736"/>
      <c r="BQ1331" s="736"/>
      <c r="BR1331" s="736"/>
      <c r="BS1331" s="736"/>
      <c r="BT1331" s="736"/>
      <c r="BU1331" s="736"/>
      <c r="BV1331" s="736"/>
      <c r="BW1331" s="736"/>
      <c r="BX1331" s="736"/>
      <c r="BY1331" s="736"/>
      <c r="BZ1331" s="736"/>
      <c r="CA1331" s="736"/>
    </row>
    <row r="1332" spans="1:79" hidden="1" outlineLevel="1" x14ac:dyDescent="0.35">
      <c r="A1332" s="580"/>
      <c r="B1332" s="580"/>
      <c r="C1332" s="580"/>
      <c r="D1332" s="580"/>
      <c r="E1332" s="580"/>
      <c r="F1332" s="672" t="s">
        <v>913</v>
      </c>
      <c r="G1332" s="734"/>
      <c r="H1332" s="734"/>
      <c r="I1332" s="734"/>
      <c r="J1332" s="734"/>
      <c r="K1332" s="734"/>
      <c r="L1332" s="734"/>
      <c r="M1332" s="734"/>
      <c r="N1332" s="734"/>
      <c r="O1332" s="734"/>
      <c r="P1332" s="734"/>
      <c r="Q1332" s="734"/>
      <c r="R1332" s="733"/>
      <c r="S1332" s="692">
        <v>0</v>
      </c>
      <c r="T1332" s="692">
        <v>0</v>
      </c>
      <c r="U1332" s="692">
        <v>0</v>
      </c>
      <c r="V1332" s="692">
        <v>0</v>
      </c>
      <c r="W1332" s="692">
        <v>0</v>
      </c>
      <c r="X1332" s="692">
        <v>0</v>
      </c>
      <c r="Y1332" s="692">
        <v>0</v>
      </c>
      <c r="Z1332" s="692">
        <v>0</v>
      </c>
      <c r="AA1332" s="692">
        <v>0</v>
      </c>
      <c r="AB1332" s="692">
        <v>0</v>
      </c>
      <c r="AC1332" s="691">
        <v>0</v>
      </c>
      <c r="AD1332" s="691">
        <v>0</v>
      </c>
      <c r="AE1332" s="736"/>
      <c r="AF1332" s="736"/>
      <c r="AG1332" s="736"/>
      <c r="AH1332" s="736"/>
      <c r="AI1332" s="736"/>
      <c r="AJ1332" s="736"/>
      <c r="AK1332" s="736"/>
      <c r="AL1332" s="736"/>
      <c r="AM1332" s="736"/>
      <c r="AN1332" s="736"/>
      <c r="AO1332" s="736"/>
      <c r="AP1332" s="736"/>
      <c r="AQ1332" s="736"/>
      <c r="AR1332" s="736"/>
      <c r="AS1332" s="736"/>
      <c r="AT1332" s="736"/>
      <c r="AU1332" s="736"/>
      <c r="AV1332" s="736"/>
      <c r="AW1332" s="736"/>
      <c r="AX1332" s="736"/>
      <c r="AY1332" s="736"/>
      <c r="AZ1332" s="736"/>
      <c r="BA1332" s="736"/>
      <c r="BB1332" s="736"/>
      <c r="BC1332" s="736"/>
      <c r="BD1332" s="736"/>
      <c r="BE1332" s="736"/>
      <c r="BF1332" s="736"/>
      <c r="BG1332" s="736"/>
      <c r="BH1332" s="736"/>
      <c r="BI1332" s="736"/>
      <c r="BJ1332" s="736"/>
      <c r="BK1332" s="736"/>
      <c r="BL1332" s="736"/>
      <c r="BM1332" s="736"/>
      <c r="BN1332" s="736"/>
      <c r="BO1332" s="736"/>
      <c r="BP1332" s="736"/>
      <c r="BQ1332" s="736"/>
      <c r="BR1332" s="736"/>
      <c r="BS1332" s="736"/>
      <c r="BT1332" s="736"/>
      <c r="BU1332" s="736"/>
      <c r="BV1332" s="736"/>
      <c r="BW1332" s="736"/>
      <c r="BX1332" s="736"/>
      <c r="BY1332" s="736"/>
      <c r="BZ1332" s="736"/>
      <c r="CA1332" s="736"/>
    </row>
    <row r="1333" spans="1:79" hidden="1" outlineLevel="1" x14ac:dyDescent="0.35">
      <c r="A1333" s="580"/>
      <c r="B1333" s="580"/>
      <c r="C1333" s="580"/>
      <c r="D1333" s="580"/>
      <c r="E1333" s="580"/>
      <c r="F1333" s="672" t="s">
        <v>770</v>
      </c>
      <c r="G1333" s="732">
        <v>1937.0320559999998</v>
      </c>
      <c r="H1333" s="732">
        <v>3281.6960383836245</v>
      </c>
      <c r="I1333" s="732">
        <v>4330.8457386194659</v>
      </c>
      <c r="J1333" s="732">
        <v>1768.18915910905</v>
      </c>
      <c r="K1333" s="732">
        <v>3713.0111149308213</v>
      </c>
      <c r="L1333" s="732">
        <v>3411.6767833440836</v>
      </c>
      <c r="M1333" s="732">
        <v>5253.9086822988347</v>
      </c>
      <c r="N1333" s="732">
        <v>5091.3480491251375</v>
      </c>
      <c r="O1333" s="732">
        <v>6820.9260781099329</v>
      </c>
      <c r="P1333" s="732">
        <v>8226.6667518779377</v>
      </c>
      <c r="Q1333" s="732">
        <v>4770.8599980045465</v>
      </c>
      <c r="R1333" s="736">
        <v>21030.255498310453</v>
      </c>
      <c r="S1333" s="692">
        <v>0</v>
      </c>
      <c r="T1333" s="692">
        <v>0</v>
      </c>
      <c r="U1333" s="692">
        <v>0</v>
      </c>
      <c r="V1333" s="692">
        <v>0</v>
      </c>
      <c r="W1333" s="692">
        <v>0</v>
      </c>
      <c r="X1333" s="692">
        <v>0</v>
      </c>
      <c r="Y1333" s="692">
        <v>0</v>
      </c>
      <c r="Z1333" s="692">
        <v>0</v>
      </c>
      <c r="AA1333" s="692">
        <v>0</v>
      </c>
      <c r="AB1333" s="692">
        <v>0</v>
      </c>
      <c r="AC1333" s="691">
        <v>0</v>
      </c>
      <c r="AD1333" s="691">
        <v>0</v>
      </c>
      <c r="AE1333" s="736"/>
      <c r="AF1333" s="736"/>
      <c r="AG1333" s="736"/>
      <c r="AH1333" s="736"/>
      <c r="AI1333" s="736"/>
      <c r="AJ1333" s="736"/>
      <c r="AK1333" s="736"/>
      <c r="AL1333" s="736"/>
      <c r="AM1333" s="736"/>
      <c r="AN1333" s="736"/>
      <c r="AO1333" s="736"/>
      <c r="AP1333" s="736"/>
      <c r="AQ1333" s="736"/>
      <c r="AR1333" s="736"/>
      <c r="AS1333" s="736"/>
      <c r="AT1333" s="736"/>
      <c r="AU1333" s="736"/>
      <c r="AV1333" s="736"/>
      <c r="AW1333" s="736"/>
      <c r="AX1333" s="736"/>
      <c r="AY1333" s="736"/>
      <c r="AZ1333" s="736"/>
      <c r="BA1333" s="736"/>
      <c r="BB1333" s="736"/>
      <c r="BC1333" s="736"/>
      <c r="BD1333" s="736"/>
      <c r="BE1333" s="736"/>
      <c r="BF1333" s="736"/>
      <c r="BG1333" s="736"/>
      <c r="BH1333" s="736"/>
      <c r="BI1333" s="736"/>
      <c r="BJ1333" s="736"/>
      <c r="BK1333" s="736"/>
      <c r="BL1333" s="736"/>
      <c r="BM1333" s="736"/>
      <c r="BN1333" s="736"/>
      <c r="BO1333" s="736"/>
      <c r="BP1333" s="736"/>
      <c r="BQ1333" s="736"/>
      <c r="BR1333" s="736"/>
      <c r="BS1333" s="736"/>
      <c r="BT1333" s="736"/>
      <c r="BU1333" s="736"/>
      <c r="BV1333" s="736"/>
      <c r="BW1333" s="736"/>
      <c r="BX1333" s="736"/>
      <c r="BY1333" s="736"/>
      <c r="BZ1333" s="736"/>
      <c r="CA1333" s="736"/>
    </row>
    <row r="1334" spans="1:79" hidden="1" outlineLevel="1" x14ac:dyDescent="0.35">
      <c r="A1334" s="30"/>
      <c r="B1334" s="30"/>
      <c r="C1334" s="30"/>
      <c r="D1334" s="30"/>
      <c r="E1334" s="30"/>
      <c r="F1334" s="678" t="s">
        <v>646</v>
      </c>
      <c r="G1334" s="680">
        <f>SUM(G1331:G1333)</f>
        <v>1937.0320559999998</v>
      </c>
      <c r="H1334" s="680">
        <f>SUM(H1331:H1333)</f>
        <v>3281.6960383836245</v>
      </c>
      <c r="I1334" s="680">
        <f t="shared" ref="I1334:BO1334" si="516">SUM(I1331:I1333)</f>
        <v>4330.8457386194659</v>
      </c>
      <c r="J1334" s="680">
        <f t="shared" si="516"/>
        <v>1768.18915910905</v>
      </c>
      <c r="K1334" s="680">
        <f t="shared" si="516"/>
        <v>3713.0111149308213</v>
      </c>
      <c r="L1334" s="680">
        <f t="shared" si="516"/>
        <v>3411.6767833440836</v>
      </c>
      <c r="M1334" s="680">
        <f t="shared" si="516"/>
        <v>5253.9086822988347</v>
      </c>
      <c r="N1334" s="680">
        <f t="shared" si="516"/>
        <v>5091.3480491251375</v>
      </c>
      <c r="O1334" s="680">
        <f t="shared" si="516"/>
        <v>6820.9260781099329</v>
      </c>
      <c r="P1334" s="680">
        <f t="shared" si="516"/>
        <v>8226.6667518779377</v>
      </c>
      <c r="Q1334" s="680">
        <f t="shared" si="516"/>
        <v>4770.8599980045465</v>
      </c>
      <c r="R1334" s="680">
        <f t="shared" si="516"/>
        <v>21030.255498310453</v>
      </c>
      <c r="S1334" s="694">
        <f t="shared" ref="S1334:AA1334" si="517">ROUND(SUM(S1330:S1333),5)</f>
        <v>-17191.939999999999</v>
      </c>
      <c r="T1334" s="694">
        <f t="shared" si="517"/>
        <v>0</v>
      </c>
      <c r="U1334" s="694">
        <f t="shared" si="517"/>
        <v>0</v>
      </c>
      <c r="V1334" s="694">
        <f t="shared" si="517"/>
        <v>0</v>
      </c>
      <c r="W1334" s="694">
        <f t="shared" si="517"/>
        <v>-185</v>
      </c>
      <c r="X1334" s="694">
        <f t="shared" si="517"/>
        <v>-175</v>
      </c>
      <c r="Y1334" s="694">
        <f t="shared" si="517"/>
        <v>-59.91</v>
      </c>
      <c r="Z1334" s="694">
        <f t="shared" si="517"/>
        <v>0</v>
      </c>
      <c r="AA1334" s="694">
        <f t="shared" si="517"/>
        <v>0</v>
      </c>
      <c r="AB1334" s="694">
        <f>ROUND(SUM(AB1330:AB1333),5)</f>
        <v>-195</v>
      </c>
      <c r="AC1334" s="694">
        <f>ROUND(SUM(AC1330:AC1333),5)</f>
        <v>0</v>
      </c>
      <c r="AD1334" s="694">
        <f>ROUND(SUM(AD1330:AD1333),5)</f>
        <v>0</v>
      </c>
      <c r="AE1334" s="680">
        <f t="shared" si="516"/>
        <v>0</v>
      </c>
      <c r="AF1334" s="680">
        <f t="shared" si="516"/>
        <v>0</v>
      </c>
      <c r="AG1334" s="680">
        <f t="shared" si="516"/>
        <v>0</v>
      </c>
      <c r="AH1334" s="680">
        <f t="shared" si="516"/>
        <v>0</v>
      </c>
      <c r="AI1334" s="680">
        <f t="shared" si="516"/>
        <v>0</v>
      </c>
      <c r="AJ1334" s="680">
        <f t="shared" si="516"/>
        <v>0</v>
      </c>
      <c r="AK1334" s="680">
        <f t="shared" si="516"/>
        <v>0</v>
      </c>
      <c r="AL1334" s="680">
        <f t="shared" si="516"/>
        <v>0</v>
      </c>
      <c r="AM1334" s="680">
        <f t="shared" si="516"/>
        <v>0</v>
      </c>
      <c r="AN1334" s="680">
        <f t="shared" si="516"/>
        <v>0</v>
      </c>
      <c r="AO1334" s="680">
        <f t="shared" si="516"/>
        <v>0</v>
      </c>
      <c r="AP1334" s="680">
        <f t="shared" si="516"/>
        <v>0</v>
      </c>
      <c r="AQ1334" s="680">
        <f t="shared" si="516"/>
        <v>0</v>
      </c>
      <c r="AR1334" s="680">
        <f t="shared" si="516"/>
        <v>0</v>
      </c>
      <c r="AS1334" s="680">
        <f t="shared" si="516"/>
        <v>0</v>
      </c>
      <c r="AT1334" s="680">
        <f t="shared" si="516"/>
        <v>0</v>
      </c>
      <c r="AU1334" s="680">
        <f t="shared" si="516"/>
        <v>0</v>
      </c>
      <c r="AV1334" s="680">
        <f t="shared" si="516"/>
        <v>0</v>
      </c>
      <c r="AW1334" s="680">
        <f t="shared" si="516"/>
        <v>0</v>
      </c>
      <c r="AX1334" s="680">
        <f t="shared" si="516"/>
        <v>0</v>
      </c>
      <c r="AY1334" s="680">
        <f t="shared" si="516"/>
        <v>0</v>
      </c>
      <c r="AZ1334" s="680">
        <f t="shared" si="516"/>
        <v>0</v>
      </c>
      <c r="BA1334" s="680">
        <f t="shared" si="516"/>
        <v>0</v>
      </c>
      <c r="BB1334" s="680">
        <f t="shared" si="516"/>
        <v>0</v>
      </c>
      <c r="BC1334" s="680">
        <f t="shared" si="516"/>
        <v>0</v>
      </c>
      <c r="BD1334" s="680">
        <f t="shared" si="516"/>
        <v>0</v>
      </c>
      <c r="BE1334" s="680">
        <f t="shared" si="516"/>
        <v>0</v>
      </c>
      <c r="BF1334" s="680">
        <f t="shared" si="516"/>
        <v>0</v>
      </c>
      <c r="BG1334" s="680">
        <f t="shared" si="516"/>
        <v>0</v>
      </c>
      <c r="BH1334" s="680">
        <f t="shared" si="516"/>
        <v>0</v>
      </c>
      <c r="BI1334" s="680">
        <f t="shared" si="516"/>
        <v>0</v>
      </c>
      <c r="BJ1334" s="680">
        <f t="shared" si="516"/>
        <v>0</v>
      </c>
      <c r="BK1334" s="680">
        <f t="shared" si="516"/>
        <v>0</v>
      </c>
      <c r="BL1334" s="680">
        <f t="shared" si="516"/>
        <v>0</v>
      </c>
      <c r="BM1334" s="680">
        <f t="shared" si="516"/>
        <v>0</v>
      </c>
      <c r="BN1334" s="680">
        <f t="shared" si="516"/>
        <v>0</v>
      </c>
      <c r="BO1334" s="680">
        <f t="shared" si="516"/>
        <v>0</v>
      </c>
      <c r="BP1334" s="680">
        <f t="shared" ref="BP1334:CA1334" si="518">SUM(BP1331:BP1333)</f>
        <v>0</v>
      </c>
      <c r="BQ1334" s="680">
        <f t="shared" si="518"/>
        <v>0</v>
      </c>
      <c r="BR1334" s="680">
        <f t="shared" si="518"/>
        <v>0</v>
      </c>
      <c r="BS1334" s="680">
        <f t="shared" si="518"/>
        <v>0</v>
      </c>
      <c r="BT1334" s="680">
        <f t="shared" si="518"/>
        <v>0</v>
      </c>
      <c r="BU1334" s="680">
        <f t="shared" si="518"/>
        <v>0</v>
      </c>
      <c r="BV1334" s="680">
        <f t="shared" si="518"/>
        <v>0</v>
      </c>
      <c r="BW1334" s="680">
        <f t="shared" si="518"/>
        <v>0</v>
      </c>
      <c r="BX1334" s="680">
        <f t="shared" si="518"/>
        <v>0</v>
      </c>
      <c r="BY1334" s="680">
        <f t="shared" si="518"/>
        <v>0</v>
      </c>
      <c r="BZ1334" s="680">
        <f t="shared" si="518"/>
        <v>0</v>
      </c>
      <c r="CA1334" s="680">
        <f t="shared" si="518"/>
        <v>0</v>
      </c>
    </row>
    <row r="1335" spans="1:79" hidden="1" outlineLevel="1" x14ac:dyDescent="0.35">
      <c r="F1335" s="674" t="s">
        <v>607</v>
      </c>
      <c r="G1335" s="732"/>
      <c r="H1335" s="732">
        <v>305.0033096160501</v>
      </c>
      <c r="I1335" s="732">
        <v>301.82513460839357</v>
      </c>
      <c r="J1335" s="732">
        <v>230.41822808169979</v>
      </c>
      <c r="K1335" s="732">
        <v>331.91459387085615</v>
      </c>
      <c r="L1335" s="732"/>
      <c r="M1335" s="732">
        <v>58.57010957615455</v>
      </c>
      <c r="N1335" s="732"/>
      <c r="O1335" s="732"/>
      <c r="P1335" s="732"/>
      <c r="Q1335" s="732"/>
      <c r="R1335" s="736"/>
      <c r="S1335" s="683">
        <v>36.53</v>
      </c>
      <c r="T1335" s="683">
        <v>0</v>
      </c>
      <c r="U1335" s="683">
        <v>0</v>
      </c>
      <c r="V1335" s="683">
        <v>0</v>
      </c>
      <c r="W1335" s="683">
        <v>0</v>
      </c>
      <c r="X1335" s="683">
        <v>0</v>
      </c>
      <c r="Y1335" s="683">
        <v>0</v>
      </c>
      <c r="Z1335" s="683">
        <v>0</v>
      </c>
      <c r="AA1335" s="683">
        <v>0</v>
      </c>
      <c r="AB1335" s="683">
        <v>0</v>
      </c>
      <c r="AC1335" s="682">
        <v>0</v>
      </c>
      <c r="AD1335" s="682">
        <v>0</v>
      </c>
      <c r="AE1335" s="736"/>
      <c r="AF1335" s="736"/>
      <c r="AG1335" s="736"/>
      <c r="AH1335" s="736"/>
      <c r="AI1335" s="736"/>
      <c r="AJ1335" s="736"/>
      <c r="AK1335" s="736"/>
      <c r="AL1335" s="736"/>
      <c r="AM1335" s="736"/>
      <c r="AN1335" s="736"/>
      <c r="AO1335" s="736"/>
      <c r="AP1335" s="736"/>
      <c r="AQ1335" s="736"/>
      <c r="AR1335" s="736"/>
      <c r="AS1335" s="736"/>
      <c r="AT1335" s="736"/>
      <c r="AU1335" s="736"/>
      <c r="AV1335" s="736"/>
      <c r="AW1335" s="736"/>
      <c r="AX1335" s="736"/>
      <c r="AY1335" s="736"/>
      <c r="AZ1335" s="736"/>
      <c r="BA1335" s="736"/>
      <c r="BB1335" s="736"/>
      <c r="BC1335" s="736"/>
      <c r="BD1335" s="736"/>
      <c r="BE1335" s="736"/>
      <c r="BF1335" s="736"/>
      <c r="BG1335" s="736"/>
      <c r="BH1335" s="736"/>
      <c r="BI1335" s="736"/>
      <c r="BJ1335" s="736"/>
      <c r="BK1335" s="736"/>
      <c r="BL1335" s="736"/>
      <c r="BM1335" s="736"/>
      <c r="BN1335" s="736"/>
      <c r="BO1335" s="736"/>
      <c r="BP1335" s="736"/>
      <c r="BQ1335" s="736"/>
      <c r="BR1335" s="736"/>
      <c r="BS1335" s="736"/>
      <c r="BT1335" s="736"/>
      <c r="BU1335" s="736"/>
      <c r="BV1335" s="736"/>
      <c r="BW1335" s="736"/>
      <c r="BX1335" s="736"/>
      <c r="BY1335" s="736"/>
      <c r="BZ1335" s="736"/>
      <c r="CA1335" s="736"/>
    </row>
    <row r="1336" spans="1:79" hidden="1" outlineLevel="1" x14ac:dyDescent="0.35">
      <c r="F1336" s="674" t="s">
        <v>608</v>
      </c>
      <c r="G1336" s="732">
        <v>647.18999999999994</v>
      </c>
      <c r="H1336" s="732">
        <v>306.36421169325592</v>
      </c>
      <c r="I1336" s="732">
        <v>184.79089873983278</v>
      </c>
      <c r="J1336" s="732">
        <v>18112.600863932217</v>
      </c>
      <c r="K1336" s="732">
        <v>676.59513365982218</v>
      </c>
      <c r="L1336" s="732">
        <v>8748.4943310428898</v>
      </c>
      <c r="M1336" s="732">
        <v>14056.767728167517</v>
      </c>
      <c r="N1336" s="732">
        <v>14141.935748632695</v>
      </c>
      <c r="O1336" s="732">
        <v>75.467645879096239</v>
      </c>
      <c r="P1336" s="732">
        <v>24.475343135235985</v>
      </c>
      <c r="Q1336" s="732"/>
      <c r="R1336" s="736"/>
      <c r="S1336" s="683">
        <v>0</v>
      </c>
      <c r="T1336" s="683">
        <v>0</v>
      </c>
      <c r="U1336" s="683">
        <v>0</v>
      </c>
      <c r="V1336" s="683">
        <v>60</v>
      </c>
      <c r="W1336" s="683">
        <v>0</v>
      </c>
      <c r="X1336" s="683">
        <v>0</v>
      </c>
      <c r="Y1336" s="683">
        <v>0</v>
      </c>
      <c r="Z1336" s="683">
        <v>0</v>
      </c>
      <c r="AA1336" s="683">
        <v>0</v>
      </c>
      <c r="AB1336" s="683">
        <v>0</v>
      </c>
      <c r="AC1336" s="682">
        <v>0</v>
      </c>
      <c r="AD1336" s="682">
        <v>0</v>
      </c>
      <c r="AE1336" s="736"/>
      <c r="AF1336" s="736"/>
      <c r="AG1336" s="736"/>
      <c r="AH1336" s="736"/>
      <c r="AI1336" s="736"/>
      <c r="AJ1336" s="736"/>
      <c r="AK1336" s="736"/>
      <c r="AL1336" s="736"/>
      <c r="AM1336" s="736"/>
      <c r="AN1336" s="736"/>
      <c r="AO1336" s="736"/>
      <c r="AP1336" s="736"/>
      <c r="AQ1336" s="736"/>
      <c r="AR1336" s="736"/>
      <c r="AS1336" s="736"/>
      <c r="AT1336" s="736"/>
      <c r="AU1336" s="736"/>
      <c r="AV1336" s="736"/>
      <c r="AW1336" s="736"/>
      <c r="AX1336" s="736"/>
      <c r="AY1336" s="736"/>
      <c r="AZ1336" s="736"/>
      <c r="BA1336" s="736"/>
      <c r="BB1336" s="736"/>
      <c r="BC1336" s="736"/>
      <c r="BD1336" s="736"/>
      <c r="BE1336" s="736"/>
      <c r="BF1336" s="736"/>
      <c r="BG1336" s="736"/>
      <c r="BH1336" s="736"/>
      <c r="BI1336" s="736"/>
      <c r="BJ1336" s="736"/>
      <c r="BK1336" s="736"/>
      <c r="BL1336" s="736"/>
      <c r="BM1336" s="736"/>
      <c r="BN1336" s="736"/>
      <c r="BO1336" s="736"/>
      <c r="BP1336" s="736"/>
      <c r="BQ1336" s="736"/>
      <c r="BR1336" s="736"/>
      <c r="BS1336" s="736"/>
      <c r="BT1336" s="736"/>
      <c r="BU1336" s="736"/>
      <c r="BV1336" s="736"/>
      <c r="BW1336" s="736"/>
      <c r="BX1336" s="736"/>
      <c r="BY1336" s="736"/>
      <c r="BZ1336" s="736"/>
      <c r="CA1336" s="736"/>
    </row>
    <row r="1337" spans="1:79" s="709" customFormat="1" hidden="1" outlineLevel="1" x14ac:dyDescent="0.35">
      <c r="F1337" s="717" t="s">
        <v>656</v>
      </c>
      <c r="G1337" s="751"/>
      <c r="H1337" s="751"/>
      <c r="I1337" s="751"/>
      <c r="J1337" s="751"/>
      <c r="K1337" s="751"/>
      <c r="L1337" s="751"/>
      <c r="M1337" s="751"/>
      <c r="N1337" s="751"/>
      <c r="O1337" s="751"/>
      <c r="P1337" s="751"/>
      <c r="Q1337" s="751"/>
      <c r="R1337" s="752"/>
      <c r="S1337" s="720"/>
      <c r="T1337" s="720"/>
      <c r="U1337" s="720"/>
      <c r="V1337" s="720"/>
      <c r="W1337" s="720"/>
      <c r="X1337" s="720"/>
      <c r="Y1337" s="720"/>
      <c r="Z1337" s="720"/>
      <c r="AA1337" s="720"/>
      <c r="AB1337" s="720"/>
      <c r="AC1337" s="720"/>
      <c r="AD1337" s="720"/>
      <c r="AE1337" s="752"/>
      <c r="AF1337" s="752"/>
      <c r="AG1337" s="752"/>
      <c r="AH1337" s="752"/>
      <c r="AI1337" s="752"/>
      <c r="AJ1337" s="752"/>
      <c r="AK1337" s="752"/>
      <c r="AL1337" s="752"/>
      <c r="AM1337" s="752"/>
      <c r="AN1337" s="752"/>
      <c r="AO1337" s="752"/>
      <c r="AP1337" s="752"/>
      <c r="AQ1337" s="752"/>
      <c r="AR1337" s="752"/>
      <c r="AS1337" s="752"/>
      <c r="AT1337" s="752"/>
      <c r="AU1337" s="752"/>
      <c r="AV1337" s="752"/>
      <c r="AW1337" s="752"/>
      <c r="AX1337" s="752"/>
      <c r="AY1337" s="752"/>
      <c r="AZ1337" s="752"/>
      <c r="BA1337" s="752"/>
      <c r="BB1337" s="752"/>
      <c r="BC1337" s="752"/>
      <c r="BD1337" s="752"/>
      <c r="BE1337" s="752"/>
      <c r="BF1337" s="752"/>
      <c r="BG1337" s="752"/>
      <c r="BH1337" s="752"/>
      <c r="BI1337" s="752"/>
      <c r="BJ1337" s="752"/>
      <c r="BK1337" s="752"/>
      <c r="BL1337" s="752"/>
      <c r="BM1337" s="752"/>
      <c r="BN1337" s="752"/>
      <c r="BO1337" s="752"/>
      <c r="BP1337" s="752"/>
      <c r="BQ1337" s="752"/>
      <c r="BR1337" s="752"/>
      <c r="BS1337" s="752"/>
      <c r="BT1337" s="752"/>
      <c r="BU1337" s="752"/>
      <c r="BV1337" s="752"/>
      <c r="BW1337" s="752"/>
      <c r="BX1337" s="752"/>
      <c r="BY1337" s="752"/>
      <c r="BZ1337" s="752"/>
      <c r="CA1337" s="752"/>
    </row>
    <row r="1338" spans="1:79" hidden="1" outlineLevel="1" x14ac:dyDescent="0.35">
      <c r="A1338" s="574"/>
      <c r="B1338" s="574"/>
      <c r="C1338" s="574"/>
      <c r="D1338" s="574"/>
      <c r="E1338" s="574"/>
      <c r="F1338" s="672" t="s">
        <v>657</v>
      </c>
      <c r="G1338" s="732"/>
      <c r="H1338" s="732"/>
      <c r="I1338" s="732">
        <v>-5441.4759982256091</v>
      </c>
      <c r="J1338" s="732"/>
      <c r="K1338" s="732">
        <v>0</v>
      </c>
      <c r="L1338" s="732"/>
      <c r="M1338" s="732"/>
      <c r="N1338" s="732"/>
      <c r="O1338" s="732"/>
      <c r="P1338" s="732"/>
      <c r="Q1338" s="732"/>
      <c r="R1338" s="736"/>
      <c r="S1338" s="683">
        <v>0</v>
      </c>
      <c r="T1338" s="683">
        <v>0</v>
      </c>
      <c r="U1338" s="683">
        <v>0</v>
      </c>
      <c r="V1338" s="683">
        <v>2375</v>
      </c>
      <c r="W1338" s="683">
        <v>0</v>
      </c>
      <c r="X1338" s="683">
        <v>0</v>
      </c>
      <c r="Y1338" s="683">
        <v>0</v>
      </c>
      <c r="Z1338" s="683">
        <v>0</v>
      </c>
      <c r="AA1338" s="683">
        <v>0</v>
      </c>
      <c r="AB1338" s="683">
        <v>0</v>
      </c>
      <c r="AC1338" s="682">
        <v>0</v>
      </c>
      <c r="AD1338" s="682">
        <v>0</v>
      </c>
      <c r="AE1338" s="736"/>
      <c r="AF1338" s="736"/>
      <c r="AG1338" s="736"/>
      <c r="AH1338" s="736"/>
      <c r="AI1338" s="736"/>
      <c r="AJ1338" s="736"/>
      <c r="AK1338" s="736"/>
      <c r="AL1338" s="736"/>
      <c r="AM1338" s="736"/>
      <c r="AN1338" s="736"/>
      <c r="AO1338" s="736"/>
      <c r="AP1338" s="736"/>
      <c r="AQ1338" s="736"/>
      <c r="AR1338" s="736"/>
      <c r="AS1338" s="736"/>
      <c r="AT1338" s="736"/>
      <c r="AU1338" s="736"/>
      <c r="AV1338" s="736"/>
      <c r="AW1338" s="736"/>
      <c r="AX1338" s="736"/>
      <c r="AY1338" s="736"/>
      <c r="AZ1338" s="736"/>
      <c r="BA1338" s="736"/>
      <c r="BB1338" s="736"/>
      <c r="BC1338" s="736"/>
      <c r="BD1338" s="736"/>
      <c r="BE1338" s="736"/>
      <c r="BF1338" s="736"/>
      <c r="BG1338" s="736"/>
      <c r="BH1338" s="736"/>
      <c r="BI1338" s="736"/>
      <c r="BJ1338" s="736"/>
      <c r="BK1338" s="736"/>
      <c r="BL1338" s="736"/>
      <c r="BM1338" s="736"/>
      <c r="BN1338" s="736"/>
      <c r="BO1338" s="736"/>
      <c r="BP1338" s="736"/>
      <c r="BQ1338" s="736"/>
      <c r="BR1338" s="736"/>
      <c r="BS1338" s="736"/>
      <c r="BT1338" s="736"/>
      <c r="BU1338" s="736"/>
      <c r="BV1338" s="736"/>
      <c r="BW1338" s="736"/>
      <c r="BX1338" s="736"/>
      <c r="BY1338" s="736"/>
      <c r="BZ1338" s="736"/>
      <c r="CA1338" s="736"/>
    </row>
    <row r="1339" spans="1:79" hidden="1" outlineLevel="1" x14ac:dyDescent="0.35">
      <c r="A1339" s="574"/>
      <c r="B1339" s="574"/>
      <c r="C1339" s="574"/>
      <c r="D1339" s="574"/>
      <c r="E1339" s="574"/>
      <c r="F1339" s="574" t="s">
        <v>914</v>
      </c>
      <c r="G1339" s="732"/>
      <c r="H1339" s="732"/>
      <c r="I1339" s="732"/>
      <c r="J1339" s="732"/>
      <c r="K1339" s="732"/>
      <c r="L1339" s="732"/>
      <c r="M1339" s="732"/>
      <c r="N1339" s="732"/>
      <c r="O1339" s="732"/>
      <c r="P1339" s="732"/>
      <c r="Q1339" s="732"/>
      <c r="R1339" s="736"/>
      <c r="S1339" s="683">
        <v>0</v>
      </c>
      <c r="T1339" s="683">
        <v>0</v>
      </c>
      <c r="U1339" s="683">
        <v>0</v>
      </c>
      <c r="V1339" s="683">
        <v>0</v>
      </c>
      <c r="W1339" s="683">
        <v>0</v>
      </c>
      <c r="X1339" s="683">
        <v>0</v>
      </c>
      <c r="Y1339" s="683">
        <v>0</v>
      </c>
      <c r="Z1339" s="683">
        <v>0</v>
      </c>
      <c r="AA1339" s="683">
        <v>0</v>
      </c>
      <c r="AB1339" s="683">
        <v>0</v>
      </c>
      <c r="AC1339" s="682">
        <v>0</v>
      </c>
      <c r="AD1339" s="682">
        <v>0</v>
      </c>
      <c r="AE1339" s="736"/>
      <c r="AF1339" s="736"/>
      <c r="AG1339" s="736"/>
      <c r="AH1339" s="736"/>
      <c r="AI1339" s="736"/>
      <c r="AJ1339" s="736"/>
      <c r="AK1339" s="736"/>
      <c r="AL1339" s="736"/>
      <c r="AM1339" s="736"/>
      <c r="AN1339" s="736"/>
      <c r="AO1339" s="736"/>
      <c r="AP1339" s="736"/>
      <c r="AQ1339" s="736"/>
      <c r="AR1339" s="736"/>
      <c r="AS1339" s="736"/>
      <c r="AT1339" s="736"/>
      <c r="AU1339" s="736"/>
      <c r="AV1339" s="736"/>
      <c r="AW1339" s="736"/>
      <c r="AX1339" s="736"/>
      <c r="AY1339" s="736"/>
      <c r="AZ1339" s="736"/>
      <c r="BA1339" s="736"/>
      <c r="BB1339" s="736"/>
      <c r="BC1339" s="736"/>
      <c r="BD1339" s="736"/>
      <c r="BE1339" s="736"/>
      <c r="BF1339" s="736"/>
      <c r="BG1339" s="736"/>
      <c r="BH1339" s="736"/>
      <c r="BI1339" s="736"/>
      <c r="BJ1339" s="736"/>
      <c r="BK1339" s="736"/>
      <c r="BL1339" s="736"/>
      <c r="BM1339" s="736"/>
      <c r="BN1339" s="736"/>
      <c r="BO1339" s="736"/>
      <c r="BP1339" s="736"/>
      <c r="BQ1339" s="736"/>
      <c r="BR1339" s="736"/>
      <c r="BS1339" s="736"/>
      <c r="BT1339" s="736"/>
      <c r="BU1339" s="736"/>
      <c r="BV1339" s="736"/>
      <c r="BW1339" s="736"/>
      <c r="BX1339" s="736"/>
      <c r="BY1339" s="736"/>
      <c r="BZ1339" s="736"/>
      <c r="CA1339" s="736"/>
    </row>
    <row r="1340" spans="1:79" hidden="1" outlineLevel="1" x14ac:dyDescent="0.35">
      <c r="A1340" s="574"/>
      <c r="B1340" s="574"/>
      <c r="C1340" s="574"/>
      <c r="D1340" s="574"/>
      <c r="E1340" s="574"/>
      <c r="F1340" s="574" t="s">
        <v>915</v>
      </c>
      <c r="G1340" s="732"/>
      <c r="H1340" s="732"/>
      <c r="I1340" s="732"/>
      <c r="J1340" s="732"/>
      <c r="K1340" s="732"/>
      <c r="L1340" s="732"/>
      <c r="M1340" s="732"/>
      <c r="N1340" s="732"/>
      <c r="O1340" s="732"/>
      <c r="P1340" s="732"/>
      <c r="Q1340" s="732"/>
      <c r="R1340" s="736"/>
      <c r="S1340" s="683">
        <v>0</v>
      </c>
      <c r="T1340" s="683">
        <v>0</v>
      </c>
      <c r="U1340" s="683">
        <v>0</v>
      </c>
      <c r="V1340" s="683">
        <v>0</v>
      </c>
      <c r="W1340" s="683">
        <v>0</v>
      </c>
      <c r="X1340" s="683">
        <v>0</v>
      </c>
      <c r="Y1340" s="683">
        <v>0</v>
      </c>
      <c r="Z1340" s="683">
        <v>0</v>
      </c>
      <c r="AA1340" s="683">
        <v>0</v>
      </c>
      <c r="AB1340" s="683">
        <v>0</v>
      </c>
      <c r="AC1340" s="682">
        <v>0</v>
      </c>
      <c r="AD1340" s="682">
        <v>0</v>
      </c>
      <c r="AE1340" s="736"/>
      <c r="AF1340" s="736"/>
      <c r="AG1340" s="736"/>
      <c r="AH1340" s="736"/>
      <c r="AI1340" s="736"/>
      <c r="AJ1340" s="736"/>
      <c r="AK1340" s="736"/>
      <c r="AL1340" s="736"/>
      <c r="AM1340" s="736"/>
      <c r="AN1340" s="736"/>
      <c r="AO1340" s="736"/>
      <c r="AP1340" s="736"/>
      <c r="AQ1340" s="736"/>
      <c r="AR1340" s="736"/>
      <c r="AS1340" s="736"/>
      <c r="AT1340" s="736"/>
      <c r="AU1340" s="736"/>
      <c r="AV1340" s="736"/>
      <c r="AW1340" s="736"/>
      <c r="AX1340" s="736"/>
      <c r="AY1340" s="736"/>
      <c r="AZ1340" s="736"/>
      <c r="BA1340" s="736"/>
      <c r="BB1340" s="736"/>
      <c r="BC1340" s="736"/>
      <c r="BD1340" s="736"/>
      <c r="BE1340" s="736"/>
      <c r="BF1340" s="736"/>
      <c r="BG1340" s="736"/>
      <c r="BH1340" s="736"/>
      <c r="BI1340" s="736"/>
      <c r="BJ1340" s="736"/>
      <c r="BK1340" s="736"/>
      <c r="BL1340" s="736"/>
      <c r="BM1340" s="736"/>
      <c r="BN1340" s="736"/>
      <c r="BO1340" s="736"/>
      <c r="BP1340" s="736"/>
      <c r="BQ1340" s="736"/>
      <c r="BR1340" s="736"/>
      <c r="BS1340" s="736"/>
      <c r="BT1340" s="736"/>
      <c r="BU1340" s="736"/>
      <c r="BV1340" s="736"/>
      <c r="BW1340" s="736"/>
      <c r="BX1340" s="736"/>
      <c r="BY1340" s="736"/>
      <c r="BZ1340" s="736"/>
      <c r="CA1340" s="736"/>
    </row>
    <row r="1341" spans="1:79" hidden="1" outlineLevel="1" x14ac:dyDescent="0.35">
      <c r="A1341" s="574"/>
      <c r="B1341" s="574"/>
      <c r="C1341" s="574"/>
      <c r="D1341" s="574"/>
      <c r="E1341" s="574"/>
      <c r="F1341" s="574" t="s">
        <v>658</v>
      </c>
      <c r="G1341" s="732"/>
      <c r="H1341" s="732"/>
      <c r="I1341" s="732"/>
      <c r="J1341" s="732"/>
      <c r="K1341" s="732"/>
      <c r="L1341" s="732"/>
      <c r="M1341" s="732"/>
      <c r="N1341" s="732"/>
      <c r="O1341" s="732"/>
      <c r="P1341" s="732"/>
      <c r="Q1341" s="732"/>
      <c r="R1341" s="736"/>
      <c r="S1341" s="683">
        <v>0</v>
      </c>
      <c r="T1341" s="683">
        <v>0</v>
      </c>
      <c r="U1341" s="683">
        <v>0</v>
      </c>
      <c r="V1341" s="683">
        <v>0</v>
      </c>
      <c r="W1341" s="683">
        <v>0</v>
      </c>
      <c r="X1341" s="683">
        <v>0</v>
      </c>
      <c r="Y1341" s="683">
        <v>0</v>
      </c>
      <c r="Z1341" s="683">
        <v>0</v>
      </c>
      <c r="AA1341" s="683">
        <v>0</v>
      </c>
      <c r="AB1341" s="683">
        <v>-8107</v>
      </c>
      <c r="AC1341" s="682">
        <v>0</v>
      </c>
      <c r="AD1341" s="682">
        <v>0</v>
      </c>
      <c r="AE1341" s="736"/>
      <c r="AF1341" s="736"/>
      <c r="AG1341" s="736"/>
      <c r="AH1341" s="736"/>
      <c r="AI1341" s="736"/>
      <c r="AJ1341" s="736"/>
      <c r="AK1341" s="736"/>
      <c r="AL1341" s="736"/>
      <c r="AM1341" s="736"/>
      <c r="AN1341" s="736"/>
      <c r="AO1341" s="736"/>
      <c r="AP1341" s="736"/>
      <c r="AQ1341" s="736"/>
      <c r="AR1341" s="736"/>
      <c r="AS1341" s="736"/>
      <c r="AT1341" s="736"/>
      <c r="AU1341" s="736"/>
      <c r="AV1341" s="736"/>
      <c r="AW1341" s="736"/>
      <c r="AX1341" s="736"/>
      <c r="AY1341" s="736"/>
      <c r="AZ1341" s="736"/>
      <c r="BA1341" s="736"/>
      <c r="BB1341" s="736"/>
      <c r="BC1341" s="736"/>
      <c r="BD1341" s="736"/>
      <c r="BE1341" s="736"/>
      <c r="BF1341" s="736"/>
      <c r="BG1341" s="736"/>
      <c r="BH1341" s="736"/>
      <c r="BI1341" s="736"/>
      <c r="BJ1341" s="736"/>
      <c r="BK1341" s="736"/>
      <c r="BL1341" s="736"/>
      <c r="BM1341" s="736"/>
      <c r="BN1341" s="736"/>
      <c r="BO1341" s="736"/>
      <c r="BP1341" s="736"/>
      <c r="BQ1341" s="736"/>
      <c r="BR1341" s="736"/>
      <c r="BS1341" s="736"/>
      <c r="BT1341" s="736"/>
      <c r="BU1341" s="736"/>
      <c r="BV1341" s="736"/>
      <c r="BW1341" s="736"/>
      <c r="BX1341" s="736"/>
      <c r="BY1341" s="736"/>
      <c r="BZ1341" s="736"/>
      <c r="CA1341" s="736"/>
    </row>
    <row r="1342" spans="1:79" hidden="1" outlineLevel="1" x14ac:dyDescent="0.35">
      <c r="A1342" s="574"/>
      <c r="B1342" s="574"/>
      <c r="C1342" s="574"/>
      <c r="D1342" s="574"/>
      <c r="E1342" s="574"/>
      <c r="F1342" s="574" t="s">
        <v>916</v>
      </c>
      <c r="G1342" s="732"/>
      <c r="H1342" s="732"/>
      <c r="I1342" s="732"/>
      <c r="J1342" s="732"/>
      <c r="K1342" s="732"/>
      <c r="L1342" s="732"/>
      <c r="M1342" s="732"/>
      <c r="N1342" s="732"/>
      <c r="O1342" s="732"/>
      <c r="P1342" s="732"/>
      <c r="Q1342" s="732"/>
      <c r="R1342" s="736"/>
      <c r="S1342" s="683">
        <v>0</v>
      </c>
      <c r="T1342" s="683">
        <v>0</v>
      </c>
      <c r="U1342" s="683">
        <v>0</v>
      </c>
      <c r="V1342" s="683">
        <v>0</v>
      </c>
      <c r="W1342" s="683">
        <v>0</v>
      </c>
      <c r="X1342" s="683">
        <v>0</v>
      </c>
      <c r="Y1342" s="683">
        <v>0</v>
      </c>
      <c r="Z1342" s="683">
        <v>0</v>
      </c>
      <c r="AA1342" s="683">
        <v>0</v>
      </c>
      <c r="AB1342" s="683">
        <v>0</v>
      </c>
      <c r="AC1342" s="682">
        <v>0</v>
      </c>
      <c r="AD1342" s="682">
        <v>0</v>
      </c>
      <c r="AE1342" s="736"/>
      <c r="AF1342" s="736"/>
      <c r="AG1342" s="736"/>
      <c r="AH1342" s="736"/>
      <c r="AI1342" s="736"/>
      <c r="AJ1342" s="736"/>
      <c r="AK1342" s="736"/>
      <c r="AL1342" s="736"/>
      <c r="AM1342" s="736"/>
      <c r="AN1342" s="736"/>
      <c r="AO1342" s="736"/>
      <c r="AP1342" s="736"/>
      <c r="AQ1342" s="736"/>
      <c r="AR1342" s="736"/>
      <c r="AS1342" s="736"/>
      <c r="AT1342" s="736"/>
      <c r="AU1342" s="736"/>
      <c r="AV1342" s="736"/>
      <c r="AW1342" s="736"/>
      <c r="AX1342" s="736"/>
      <c r="AY1342" s="736"/>
      <c r="AZ1342" s="736"/>
      <c r="BA1342" s="736"/>
      <c r="BB1342" s="736"/>
      <c r="BC1342" s="736"/>
      <c r="BD1342" s="736"/>
      <c r="BE1342" s="736"/>
      <c r="BF1342" s="736"/>
      <c r="BG1342" s="736"/>
      <c r="BH1342" s="736"/>
      <c r="BI1342" s="736"/>
      <c r="BJ1342" s="736"/>
      <c r="BK1342" s="736"/>
      <c r="BL1342" s="736"/>
      <c r="BM1342" s="736"/>
      <c r="BN1342" s="736"/>
      <c r="BO1342" s="736"/>
      <c r="BP1342" s="736"/>
      <c r="BQ1342" s="736"/>
      <c r="BR1342" s="736"/>
      <c r="BS1342" s="736"/>
      <c r="BT1342" s="736"/>
      <c r="BU1342" s="736"/>
      <c r="BV1342" s="736"/>
      <c r="BW1342" s="736"/>
      <c r="BX1342" s="736"/>
      <c r="BY1342" s="736"/>
      <c r="BZ1342" s="736"/>
      <c r="CA1342" s="736"/>
    </row>
    <row r="1343" spans="1:79" hidden="1" outlineLevel="1" x14ac:dyDescent="0.35">
      <c r="F1343" s="574" t="s">
        <v>917</v>
      </c>
      <c r="G1343" s="732"/>
      <c r="H1343" s="732"/>
      <c r="I1343" s="732"/>
      <c r="J1343" s="732"/>
      <c r="K1343" s="732"/>
      <c r="L1343" s="732"/>
      <c r="M1343" s="732"/>
      <c r="N1343" s="732"/>
      <c r="O1343" s="732"/>
      <c r="P1343" s="732"/>
      <c r="Q1343" s="732"/>
      <c r="R1343" s="736"/>
      <c r="S1343" s="683">
        <v>0</v>
      </c>
      <c r="T1343" s="683">
        <v>0</v>
      </c>
      <c r="U1343" s="683">
        <v>0</v>
      </c>
      <c r="V1343" s="683">
        <v>0</v>
      </c>
      <c r="W1343" s="683">
        <v>0</v>
      </c>
      <c r="X1343" s="683">
        <v>0</v>
      </c>
      <c r="Y1343" s="683">
        <v>0</v>
      </c>
      <c r="Z1343" s="683">
        <v>0</v>
      </c>
      <c r="AA1343" s="683">
        <v>0</v>
      </c>
      <c r="AB1343" s="683">
        <v>0</v>
      </c>
      <c r="AC1343" s="682">
        <v>0</v>
      </c>
      <c r="AD1343" s="682">
        <v>0</v>
      </c>
      <c r="AE1343" s="736"/>
      <c r="AF1343" s="736"/>
      <c r="AG1343" s="736"/>
      <c r="AH1343" s="736"/>
      <c r="AI1343" s="736"/>
      <c r="AJ1343" s="736"/>
      <c r="AK1343" s="736"/>
      <c r="AL1343" s="736"/>
      <c r="AM1343" s="736"/>
      <c r="AN1343" s="736"/>
      <c r="AO1343" s="736"/>
      <c r="AP1343" s="736"/>
      <c r="AQ1343" s="736"/>
      <c r="AR1343" s="736"/>
      <c r="AS1343" s="736"/>
      <c r="AT1343" s="736"/>
      <c r="AU1343" s="736"/>
      <c r="AV1343" s="736"/>
      <c r="AW1343" s="736"/>
      <c r="AX1343" s="736"/>
      <c r="AY1343" s="736"/>
      <c r="AZ1343" s="736"/>
      <c r="BA1343" s="736"/>
      <c r="BB1343" s="736"/>
      <c r="BC1343" s="736"/>
      <c r="BD1343" s="736"/>
      <c r="BE1343" s="736"/>
      <c r="BF1343" s="736"/>
      <c r="BG1343" s="736"/>
      <c r="BH1343" s="736"/>
      <c r="BI1343" s="736"/>
      <c r="BJ1343" s="736"/>
      <c r="BK1343" s="736"/>
      <c r="BL1343" s="736"/>
      <c r="BM1343" s="736"/>
      <c r="BN1343" s="736"/>
      <c r="BO1343" s="736"/>
      <c r="BP1343" s="736"/>
      <c r="BQ1343" s="736"/>
      <c r="BR1343" s="736"/>
      <c r="BS1343" s="736"/>
      <c r="BT1343" s="736"/>
      <c r="BU1343" s="736"/>
      <c r="BV1343" s="736"/>
      <c r="BW1343" s="736"/>
      <c r="BX1343" s="736"/>
      <c r="BY1343" s="736"/>
      <c r="BZ1343" s="736"/>
      <c r="CA1343" s="736"/>
    </row>
    <row r="1344" spans="1:79" hidden="1" outlineLevel="1" x14ac:dyDescent="0.35">
      <c r="F1344" s="574" t="s">
        <v>918</v>
      </c>
      <c r="G1344" s="732">
        <v>0</v>
      </c>
      <c r="H1344" s="732">
        <v>0</v>
      </c>
      <c r="I1344" s="732">
        <v>0</v>
      </c>
      <c r="J1344" s="732">
        <v>4688.973166776148</v>
      </c>
      <c r="K1344" s="732">
        <v>0</v>
      </c>
      <c r="L1344" s="732">
        <v>2869.4415533751262</v>
      </c>
      <c r="M1344" s="732">
        <v>0</v>
      </c>
      <c r="N1344" s="732">
        <v>0</v>
      </c>
      <c r="O1344" s="732">
        <v>500</v>
      </c>
      <c r="P1344" s="732">
        <v>0</v>
      </c>
      <c r="Q1344" s="732">
        <v>0</v>
      </c>
      <c r="R1344" s="736">
        <v>2285.2552781623699</v>
      </c>
      <c r="S1344" s="683">
        <v>0</v>
      </c>
      <c r="T1344" s="683">
        <v>0</v>
      </c>
      <c r="U1344" s="683">
        <v>0</v>
      </c>
      <c r="V1344" s="683">
        <v>0</v>
      </c>
      <c r="W1344" s="683">
        <v>0</v>
      </c>
      <c r="X1344" s="683">
        <v>0</v>
      </c>
      <c r="Y1344" s="683">
        <v>0</v>
      </c>
      <c r="Z1344" s="683">
        <v>0</v>
      </c>
      <c r="AA1344" s="683">
        <v>0</v>
      </c>
      <c r="AB1344" s="683">
        <v>0</v>
      </c>
      <c r="AC1344" s="682">
        <v>0</v>
      </c>
      <c r="AD1344" s="682">
        <v>0</v>
      </c>
      <c r="AE1344" s="736"/>
      <c r="AF1344" s="736"/>
      <c r="AG1344" s="736"/>
      <c r="AH1344" s="736"/>
      <c r="AI1344" s="736"/>
      <c r="AJ1344" s="736"/>
      <c r="AK1344" s="736"/>
      <c r="AL1344" s="736"/>
      <c r="AM1344" s="736"/>
      <c r="AN1344" s="736"/>
      <c r="AO1344" s="736"/>
      <c r="AP1344" s="736"/>
      <c r="AQ1344" s="736"/>
      <c r="AR1344" s="736"/>
      <c r="AS1344" s="736"/>
      <c r="AT1344" s="736"/>
      <c r="AU1344" s="736"/>
      <c r="AV1344" s="736"/>
      <c r="AW1344" s="736"/>
      <c r="AX1344" s="736"/>
      <c r="AY1344" s="736"/>
      <c r="AZ1344" s="736"/>
      <c r="BA1344" s="736"/>
      <c r="BB1344" s="736"/>
      <c r="BC1344" s="736"/>
      <c r="BD1344" s="736"/>
      <c r="BE1344" s="736"/>
      <c r="BF1344" s="736"/>
      <c r="BG1344" s="736"/>
      <c r="BH1344" s="736"/>
      <c r="BI1344" s="736"/>
      <c r="BJ1344" s="736"/>
      <c r="BK1344" s="736"/>
      <c r="BL1344" s="736"/>
      <c r="BM1344" s="736"/>
      <c r="BN1344" s="736"/>
      <c r="BO1344" s="736"/>
      <c r="BP1344" s="736"/>
      <c r="BQ1344" s="736"/>
      <c r="BR1344" s="736"/>
      <c r="BS1344" s="736"/>
      <c r="BT1344" s="736"/>
      <c r="BU1344" s="736"/>
      <c r="BV1344" s="736"/>
      <c r="BW1344" s="736"/>
      <c r="BX1344" s="736"/>
      <c r="BY1344" s="736"/>
      <c r="BZ1344" s="736"/>
      <c r="CA1344" s="736"/>
    </row>
    <row r="1345" spans="1:79" hidden="1" outlineLevel="1" x14ac:dyDescent="0.35">
      <c r="F1345" s="673" t="s">
        <v>659</v>
      </c>
      <c r="G1345" s="680">
        <f>SUM(G1338:G1344)</f>
        <v>0</v>
      </c>
      <c r="H1345" s="680">
        <f t="shared" ref="H1345:BO1345" si="519">SUM(H1338:H1344)</f>
        <v>0</v>
      </c>
      <c r="I1345" s="680">
        <f t="shared" si="519"/>
        <v>-5441.4759982256091</v>
      </c>
      <c r="J1345" s="680">
        <f t="shared" si="519"/>
        <v>4688.973166776148</v>
      </c>
      <c r="K1345" s="680">
        <f t="shared" si="519"/>
        <v>0</v>
      </c>
      <c r="L1345" s="680">
        <f t="shared" si="519"/>
        <v>2869.4415533751262</v>
      </c>
      <c r="M1345" s="680">
        <f t="shared" si="519"/>
        <v>0</v>
      </c>
      <c r="N1345" s="680">
        <f t="shared" si="519"/>
        <v>0</v>
      </c>
      <c r="O1345" s="680">
        <f t="shared" si="519"/>
        <v>500</v>
      </c>
      <c r="P1345" s="680">
        <f t="shared" si="519"/>
        <v>0</v>
      </c>
      <c r="Q1345" s="680">
        <f t="shared" si="519"/>
        <v>0</v>
      </c>
      <c r="R1345" s="680">
        <f t="shared" si="519"/>
        <v>2285.2552781623699</v>
      </c>
      <c r="S1345" s="694">
        <f t="shared" ref="S1345:AA1345" si="520">ROUND(SUM(S1337:S1344),5)</f>
        <v>0</v>
      </c>
      <c r="T1345" s="694">
        <f t="shared" si="520"/>
        <v>0</v>
      </c>
      <c r="U1345" s="694">
        <f t="shared" si="520"/>
        <v>0</v>
      </c>
      <c r="V1345" s="694">
        <f t="shared" si="520"/>
        <v>2375</v>
      </c>
      <c r="W1345" s="694">
        <f t="shared" si="520"/>
        <v>0</v>
      </c>
      <c r="X1345" s="694">
        <f t="shared" si="520"/>
        <v>0</v>
      </c>
      <c r="Y1345" s="694">
        <f t="shared" si="520"/>
        <v>0</v>
      </c>
      <c r="Z1345" s="694">
        <f t="shared" si="520"/>
        <v>0</v>
      </c>
      <c r="AA1345" s="694">
        <f t="shared" si="520"/>
        <v>0</v>
      </c>
      <c r="AB1345" s="694">
        <f>ROUND(SUM(AB1337:AB1344),5)</f>
        <v>-8107</v>
      </c>
      <c r="AC1345" s="694">
        <f>ROUND(SUM(AC1337:AC1344),5)</f>
        <v>0</v>
      </c>
      <c r="AD1345" s="694">
        <f>ROUND(SUM(AD1337:AD1344),5)</f>
        <v>0</v>
      </c>
      <c r="AE1345" s="680">
        <f t="shared" si="519"/>
        <v>0</v>
      </c>
      <c r="AF1345" s="680">
        <f t="shared" si="519"/>
        <v>0</v>
      </c>
      <c r="AG1345" s="680">
        <f t="shared" si="519"/>
        <v>0</v>
      </c>
      <c r="AH1345" s="680">
        <f t="shared" si="519"/>
        <v>0</v>
      </c>
      <c r="AI1345" s="680">
        <f t="shared" si="519"/>
        <v>0</v>
      </c>
      <c r="AJ1345" s="680">
        <f t="shared" si="519"/>
        <v>0</v>
      </c>
      <c r="AK1345" s="680">
        <f t="shared" si="519"/>
        <v>0</v>
      </c>
      <c r="AL1345" s="680">
        <f t="shared" si="519"/>
        <v>0</v>
      </c>
      <c r="AM1345" s="680">
        <f t="shared" si="519"/>
        <v>0</v>
      </c>
      <c r="AN1345" s="680">
        <f t="shared" si="519"/>
        <v>0</v>
      </c>
      <c r="AO1345" s="680">
        <f t="shared" si="519"/>
        <v>0</v>
      </c>
      <c r="AP1345" s="680">
        <f t="shared" si="519"/>
        <v>0</v>
      </c>
      <c r="AQ1345" s="680">
        <f t="shared" si="519"/>
        <v>0</v>
      </c>
      <c r="AR1345" s="680">
        <f t="shared" si="519"/>
        <v>0</v>
      </c>
      <c r="AS1345" s="680">
        <f t="shared" si="519"/>
        <v>0</v>
      </c>
      <c r="AT1345" s="680">
        <f t="shared" si="519"/>
        <v>0</v>
      </c>
      <c r="AU1345" s="680">
        <f t="shared" si="519"/>
        <v>0</v>
      </c>
      <c r="AV1345" s="680">
        <f t="shared" si="519"/>
        <v>0</v>
      </c>
      <c r="AW1345" s="680">
        <f t="shared" si="519"/>
        <v>0</v>
      </c>
      <c r="AX1345" s="680">
        <f t="shared" si="519"/>
        <v>0</v>
      </c>
      <c r="AY1345" s="680">
        <f t="shared" si="519"/>
        <v>0</v>
      </c>
      <c r="AZ1345" s="680">
        <f t="shared" si="519"/>
        <v>0</v>
      </c>
      <c r="BA1345" s="680">
        <f t="shared" si="519"/>
        <v>0</v>
      </c>
      <c r="BB1345" s="680">
        <f t="shared" si="519"/>
        <v>0</v>
      </c>
      <c r="BC1345" s="680">
        <f t="shared" si="519"/>
        <v>0</v>
      </c>
      <c r="BD1345" s="680">
        <f t="shared" si="519"/>
        <v>0</v>
      </c>
      <c r="BE1345" s="680">
        <f t="shared" si="519"/>
        <v>0</v>
      </c>
      <c r="BF1345" s="680">
        <f t="shared" si="519"/>
        <v>0</v>
      </c>
      <c r="BG1345" s="680">
        <f t="shared" si="519"/>
        <v>0</v>
      </c>
      <c r="BH1345" s="680">
        <f t="shared" si="519"/>
        <v>0</v>
      </c>
      <c r="BI1345" s="680">
        <f t="shared" si="519"/>
        <v>0</v>
      </c>
      <c r="BJ1345" s="680">
        <f t="shared" si="519"/>
        <v>0</v>
      </c>
      <c r="BK1345" s="680">
        <f t="shared" si="519"/>
        <v>0</v>
      </c>
      <c r="BL1345" s="680">
        <f t="shared" si="519"/>
        <v>0</v>
      </c>
      <c r="BM1345" s="680">
        <f t="shared" si="519"/>
        <v>0</v>
      </c>
      <c r="BN1345" s="680">
        <f t="shared" si="519"/>
        <v>0</v>
      </c>
      <c r="BO1345" s="680">
        <f t="shared" si="519"/>
        <v>0</v>
      </c>
      <c r="BP1345" s="680">
        <f t="shared" ref="BP1345:CA1345" si="521">SUM(BP1338:BP1344)</f>
        <v>0</v>
      </c>
      <c r="BQ1345" s="680">
        <f t="shared" si="521"/>
        <v>0</v>
      </c>
      <c r="BR1345" s="680">
        <f t="shared" si="521"/>
        <v>0</v>
      </c>
      <c r="BS1345" s="680">
        <f t="shared" si="521"/>
        <v>0</v>
      </c>
      <c r="BT1345" s="680">
        <f t="shared" si="521"/>
        <v>0</v>
      </c>
      <c r="BU1345" s="680">
        <f t="shared" si="521"/>
        <v>0</v>
      </c>
      <c r="BV1345" s="680">
        <f t="shared" si="521"/>
        <v>0</v>
      </c>
      <c r="BW1345" s="680">
        <f t="shared" si="521"/>
        <v>0</v>
      </c>
      <c r="BX1345" s="680">
        <f t="shared" si="521"/>
        <v>0</v>
      </c>
      <c r="BY1345" s="680">
        <f t="shared" si="521"/>
        <v>0</v>
      </c>
      <c r="BZ1345" s="680">
        <f t="shared" si="521"/>
        <v>0</v>
      </c>
      <c r="CA1345" s="680">
        <f t="shared" si="521"/>
        <v>0</v>
      </c>
    </row>
    <row r="1346" spans="1:79" hidden="1" outlineLevel="1" x14ac:dyDescent="0.35">
      <c r="F1346" s="438" t="s">
        <v>698</v>
      </c>
      <c r="G1346" s="732">
        <v>16335.425988657094</v>
      </c>
      <c r="H1346" s="732">
        <v>8604.8901052027904</v>
      </c>
      <c r="I1346" s="732">
        <v>15335.954285292122</v>
      </c>
      <c r="J1346" s="732">
        <v>15076.595613616642</v>
      </c>
      <c r="K1346" s="732">
        <v>10788.184162267131</v>
      </c>
      <c r="L1346" s="732">
        <v>10591.63790255379</v>
      </c>
      <c r="M1346" s="732">
        <v>9350.0814462789203</v>
      </c>
      <c r="N1346" s="732">
        <v>10854.354767069104</v>
      </c>
      <c r="O1346" s="732">
        <v>13654.408968137614</v>
      </c>
      <c r="P1346" s="732">
        <v>14766.808216499208</v>
      </c>
      <c r="Q1346" s="732">
        <v>11740.381773480614</v>
      </c>
      <c r="R1346" s="736">
        <v>11563.468473819259</v>
      </c>
      <c r="S1346" s="683">
        <v>0</v>
      </c>
      <c r="T1346" s="683">
        <v>0</v>
      </c>
      <c r="U1346" s="683">
        <v>0</v>
      </c>
      <c r="V1346" s="683">
        <v>0</v>
      </c>
      <c r="W1346" s="683">
        <v>0</v>
      </c>
      <c r="X1346" s="683">
        <v>0</v>
      </c>
      <c r="Y1346" s="683">
        <v>0</v>
      </c>
      <c r="Z1346" s="683">
        <v>0</v>
      </c>
      <c r="AA1346" s="683">
        <v>0</v>
      </c>
      <c r="AB1346" s="683">
        <v>0</v>
      </c>
      <c r="AC1346" s="682">
        <v>0</v>
      </c>
      <c r="AD1346" s="682">
        <v>0</v>
      </c>
      <c r="AE1346" s="736"/>
      <c r="AF1346" s="736"/>
      <c r="AG1346" s="736"/>
      <c r="AH1346" s="736"/>
      <c r="AI1346" s="736"/>
      <c r="AJ1346" s="736"/>
      <c r="AK1346" s="736"/>
      <c r="AL1346" s="736"/>
      <c r="AM1346" s="736"/>
      <c r="AN1346" s="736"/>
      <c r="AO1346" s="736"/>
      <c r="AP1346" s="736"/>
      <c r="AQ1346" s="736"/>
      <c r="AR1346" s="736"/>
      <c r="AS1346" s="736"/>
      <c r="AT1346" s="736"/>
      <c r="AU1346" s="736"/>
      <c r="AV1346" s="736"/>
      <c r="AW1346" s="736"/>
      <c r="AX1346" s="736"/>
      <c r="AY1346" s="736"/>
      <c r="AZ1346" s="736"/>
      <c r="BA1346" s="736"/>
      <c r="BB1346" s="736"/>
      <c r="BC1346" s="736"/>
      <c r="BD1346" s="736"/>
      <c r="BE1346" s="736"/>
      <c r="BF1346" s="736"/>
      <c r="BG1346" s="736"/>
      <c r="BH1346" s="736"/>
      <c r="BI1346" s="736"/>
      <c r="BJ1346" s="736"/>
      <c r="BK1346" s="736"/>
      <c r="BL1346" s="736"/>
      <c r="BM1346" s="736"/>
      <c r="BN1346" s="736"/>
      <c r="BO1346" s="736"/>
      <c r="BP1346" s="736"/>
      <c r="BQ1346" s="736"/>
      <c r="BR1346" s="736"/>
      <c r="BS1346" s="736"/>
      <c r="BT1346" s="736"/>
      <c r="BU1346" s="736"/>
      <c r="BV1346" s="736"/>
      <c r="BW1346" s="736"/>
      <c r="BX1346" s="736"/>
      <c r="BY1346" s="736"/>
      <c r="BZ1346" s="736"/>
      <c r="CA1346" s="736"/>
    </row>
    <row r="1347" spans="1:79" s="888" customFormat="1" ht="15" collapsed="1" thickBot="1" x14ac:dyDescent="0.4">
      <c r="A1347" s="500"/>
      <c r="B1347" s="500"/>
      <c r="C1347" s="500"/>
      <c r="D1347" s="500"/>
      <c r="E1347" s="500"/>
      <c r="F1347" s="913" t="s">
        <v>688</v>
      </c>
      <c r="G1347" s="914">
        <f t="shared" ref="G1347:R1347" si="522">SUM(G1183:G1346)-SUM(G1345,G1334,G1328,G1326,G1316,G1306,G1297,G1289,G1283,G1275,G1261,G1257,G1237,G1222,G1211,G1207,G1201,G1192)</f>
        <v>54155.791188657087</v>
      </c>
      <c r="H1347" s="914">
        <f t="shared" si="522"/>
        <v>117062.92674858254</v>
      </c>
      <c r="I1347" s="914">
        <f t="shared" si="522"/>
        <v>102438.55466607647</v>
      </c>
      <c r="J1347" s="914">
        <f t="shared" si="522"/>
        <v>88432.521710669942</v>
      </c>
      <c r="K1347" s="914">
        <f t="shared" si="522"/>
        <v>76196.03035387455</v>
      </c>
      <c r="L1347" s="914">
        <f t="shared" si="522"/>
        <v>92147.073422455593</v>
      </c>
      <c r="M1347" s="914">
        <f t="shared" si="522"/>
        <v>136538.9817708265</v>
      </c>
      <c r="N1347" s="914">
        <f t="shared" si="522"/>
        <v>102769.32266103722</v>
      </c>
      <c r="O1347" s="914">
        <f t="shared" si="522"/>
        <v>76459.78561367598</v>
      </c>
      <c r="P1347" s="914">
        <f t="shared" si="522"/>
        <v>284102.44433745445</v>
      </c>
      <c r="Q1347" s="914">
        <f t="shared" si="522"/>
        <v>164100.98997017735</v>
      </c>
      <c r="R1347" s="914">
        <f t="shared" si="522"/>
        <v>196945.46114611227</v>
      </c>
      <c r="S1347" s="915">
        <f t="shared" ref="S1347:AB1347" si="523">ROUND(SUM(S1182:S1188)+SUM(S1192:S1197)+SUM(S1201:S1203)+S1207+SUM(S1211:S1213)+SUM(S1222:S1226)+SUM(S1237:S1238)+S1257+SUM(S1261:S1264)+S1275+S1283+SUM(S1289:S1291)+SUM(S1297:S1298)+SUM(S1328:S1329)+SUM(S1334:S1336)+SUM(S1345:S1346),5)</f>
        <v>33846.18</v>
      </c>
      <c r="T1347" s="915">
        <f t="shared" si="523"/>
        <v>45472.6</v>
      </c>
      <c r="U1347" s="915">
        <f t="shared" si="523"/>
        <v>38730.07</v>
      </c>
      <c r="V1347" s="915">
        <f t="shared" si="523"/>
        <v>46300.7</v>
      </c>
      <c r="W1347" s="915">
        <f t="shared" si="523"/>
        <v>49087.58</v>
      </c>
      <c r="X1347" s="915">
        <f t="shared" si="523"/>
        <v>98654.99</v>
      </c>
      <c r="Y1347" s="915">
        <f t="shared" si="523"/>
        <v>86600.91</v>
      </c>
      <c r="Z1347" s="915">
        <f t="shared" si="523"/>
        <v>67998.14</v>
      </c>
      <c r="AA1347" s="915">
        <f t="shared" si="523"/>
        <v>101127.73</v>
      </c>
      <c r="AB1347" s="915">
        <f t="shared" si="523"/>
        <v>163591.07999999999</v>
      </c>
      <c r="AC1347" s="914">
        <f>ROUND(SUM(AC1182:AC1188)+SUM(AC1192:AC1197)+SUM(AC1201:AC1203)+AC1207+SUM(AC1211:AC1213)+SUM(AC1222:AC1226)+SUM(AC1237:AC1238)+AC1257+SUM(AC1261:AC1264)+AC1275+AC1283+SUM(AC1289:AC1291)+SUM(AC1297:AC1298)+SUM(AC1328:AC1329)+SUM(AC1334:AC1336)+SUM(AC1345:AC1346),5)</f>
        <v>76076.22</v>
      </c>
      <c r="AD1347" s="914">
        <f>ROUND(SUM(AD1182:AD1188)+SUM(AD1192:AD1197)+SUM(AD1201:AD1203)+AD1207+SUM(AD1211:AD1213)+SUM(AD1222:AD1226)+SUM(AD1237:AD1238)+AD1257+SUM(AD1261:AD1264)+AD1275+AD1283+SUM(AD1289:AD1291)+SUM(AD1297:AD1298)+SUM(AD1328:AD1329)+SUM(AD1334:AD1336)+SUM(AD1345:AD1346),5)</f>
        <v>97509.97</v>
      </c>
      <c r="AE1347" s="914">
        <f t="shared" ref="AE1347:BJ1347" si="524">SUM(AE1183:AE1346)-SUM(AE1345,AE1334,AE1328,AE1326,AE1316,AE1306,AE1297,AE1289,AE1283,AE1275,AE1261,AE1257,AE1237,AE1222,AE1211,AE1207,AE1201,AE1192)</f>
        <v>0</v>
      </c>
      <c r="AF1347" s="914">
        <f t="shared" si="524"/>
        <v>0</v>
      </c>
      <c r="AG1347" s="914">
        <f t="shared" si="524"/>
        <v>0</v>
      </c>
      <c r="AH1347" s="914">
        <f t="shared" si="524"/>
        <v>0</v>
      </c>
      <c r="AI1347" s="914">
        <f t="shared" si="524"/>
        <v>0</v>
      </c>
      <c r="AJ1347" s="914">
        <f t="shared" si="524"/>
        <v>0</v>
      </c>
      <c r="AK1347" s="914">
        <f t="shared" si="524"/>
        <v>0</v>
      </c>
      <c r="AL1347" s="914">
        <f t="shared" si="524"/>
        <v>0</v>
      </c>
      <c r="AM1347" s="914">
        <f t="shared" si="524"/>
        <v>0</v>
      </c>
      <c r="AN1347" s="914">
        <f t="shared" si="524"/>
        <v>0</v>
      </c>
      <c r="AO1347" s="914">
        <f t="shared" si="524"/>
        <v>0</v>
      </c>
      <c r="AP1347" s="914">
        <f t="shared" si="524"/>
        <v>0</v>
      </c>
      <c r="AQ1347" s="914">
        <f t="shared" si="524"/>
        <v>0</v>
      </c>
      <c r="AR1347" s="914">
        <f t="shared" si="524"/>
        <v>0</v>
      </c>
      <c r="AS1347" s="914">
        <f t="shared" si="524"/>
        <v>0</v>
      </c>
      <c r="AT1347" s="914">
        <f t="shared" si="524"/>
        <v>0</v>
      </c>
      <c r="AU1347" s="914">
        <f t="shared" si="524"/>
        <v>0</v>
      </c>
      <c r="AV1347" s="914">
        <f t="shared" si="524"/>
        <v>0</v>
      </c>
      <c r="AW1347" s="914">
        <f t="shared" si="524"/>
        <v>0</v>
      </c>
      <c r="AX1347" s="914">
        <f t="shared" si="524"/>
        <v>0</v>
      </c>
      <c r="AY1347" s="914">
        <f t="shared" si="524"/>
        <v>0</v>
      </c>
      <c r="AZ1347" s="914">
        <f t="shared" si="524"/>
        <v>0</v>
      </c>
      <c r="BA1347" s="914">
        <f t="shared" si="524"/>
        <v>0</v>
      </c>
      <c r="BB1347" s="914">
        <f t="shared" si="524"/>
        <v>0</v>
      </c>
      <c r="BC1347" s="914">
        <f t="shared" si="524"/>
        <v>0</v>
      </c>
      <c r="BD1347" s="914">
        <f t="shared" si="524"/>
        <v>0</v>
      </c>
      <c r="BE1347" s="914">
        <f t="shared" si="524"/>
        <v>0</v>
      </c>
      <c r="BF1347" s="914">
        <f t="shared" si="524"/>
        <v>0</v>
      </c>
      <c r="BG1347" s="914">
        <f t="shared" si="524"/>
        <v>0</v>
      </c>
      <c r="BH1347" s="914">
        <f t="shared" si="524"/>
        <v>0</v>
      </c>
      <c r="BI1347" s="914">
        <f t="shared" si="524"/>
        <v>0</v>
      </c>
      <c r="BJ1347" s="914">
        <f t="shared" si="524"/>
        <v>0</v>
      </c>
      <c r="BK1347" s="914">
        <f t="shared" ref="BK1347:CA1347" si="525">SUM(BK1183:BK1346)-SUM(BK1345,BK1334,BK1328,BK1326,BK1316,BK1306,BK1297,BK1289,BK1283,BK1275,BK1261,BK1257,BK1237,BK1222,BK1211,BK1207,BK1201,BK1192)</f>
        <v>0</v>
      </c>
      <c r="BL1347" s="914">
        <f t="shared" si="525"/>
        <v>0</v>
      </c>
      <c r="BM1347" s="914">
        <f t="shared" si="525"/>
        <v>0</v>
      </c>
      <c r="BN1347" s="914">
        <f t="shared" si="525"/>
        <v>0</v>
      </c>
      <c r="BO1347" s="914">
        <f t="shared" si="525"/>
        <v>0</v>
      </c>
      <c r="BP1347" s="914">
        <f t="shared" si="525"/>
        <v>0</v>
      </c>
      <c r="BQ1347" s="914">
        <f t="shared" si="525"/>
        <v>0</v>
      </c>
      <c r="BR1347" s="914">
        <f t="shared" si="525"/>
        <v>0</v>
      </c>
      <c r="BS1347" s="914">
        <f t="shared" si="525"/>
        <v>0</v>
      </c>
      <c r="BT1347" s="914">
        <f t="shared" si="525"/>
        <v>0</v>
      </c>
      <c r="BU1347" s="914">
        <f t="shared" si="525"/>
        <v>0</v>
      </c>
      <c r="BV1347" s="914">
        <f t="shared" si="525"/>
        <v>0</v>
      </c>
      <c r="BW1347" s="914">
        <f t="shared" si="525"/>
        <v>0</v>
      </c>
      <c r="BX1347" s="914">
        <f t="shared" si="525"/>
        <v>0</v>
      </c>
      <c r="BY1347" s="914">
        <f t="shared" si="525"/>
        <v>0</v>
      </c>
      <c r="BZ1347" s="914">
        <f t="shared" si="525"/>
        <v>0</v>
      </c>
      <c r="CA1347" s="914">
        <f t="shared" si="525"/>
        <v>0</v>
      </c>
    </row>
    <row r="1348" spans="1:79" ht="15" thickTop="1" x14ac:dyDescent="0.35">
      <c r="G1348" s="739"/>
      <c r="H1348" s="739"/>
      <c r="I1348" s="739"/>
      <c r="J1348" s="739"/>
      <c r="K1348" s="739"/>
      <c r="L1348" s="739"/>
      <c r="M1348" s="739"/>
      <c r="N1348" s="739"/>
      <c r="O1348" s="739"/>
      <c r="P1348" s="739"/>
      <c r="Q1348" s="739"/>
      <c r="R1348" s="739"/>
      <c r="S1348" s="739"/>
      <c r="T1348" s="739"/>
      <c r="U1348" s="739"/>
      <c r="V1348" s="739"/>
      <c r="W1348" s="739"/>
      <c r="X1348" s="739"/>
      <c r="Y1348" s="739"/>
      <c r="Z1348" s="739"/>
      <c r="AA1348" s="739"/>
      <c r="AB1348" s="736"/>
      <c r="AC1348" s="736"/>
      <c r="AD1348" s="736"/>
      <c r="AE1348" s="736"/>
      <c r="AF1348" s="736"/>
      <c r="AG1348" s="736"/>
      <c r="AH1348" s="736"/>
      <c r="AI1348" s="736"/>
      <c r="AJ1348" s="736"/>
      <c r="AK1348" s="736"/>
      <c r="AL1348" s="736"/>
      <c r="AM1348" s="736"/>
      <c r="AN1348" s="736"/>
      <c r="AO1348" s="736"/>
      <c r="AP1348" s="736"/>
      <c r="AQ1348" s="736"/>
      <c r="AR1348" s="736"/>
      <c r="AS1348" s="736"/>
      <c r="AT1348" s="736"/>
      <c r="AU1348" s="736"/>
      <c r="AV1348" s="736"/>
      <c r="AW1348" s="736"/>
      <c r="AX1348" s="736"/>
      <c r="AY1348" s="736"/>
      <c r="AZ1348" s="736"/>
      <c r="BA1348" s="736"/>
      <c r="BB1348" s="736"/>
      <c r="BC1348" s="736"/>
      <c r="BD1348" s="736"/>
      <c r="BE1348" s="736"/>
      <c r="BF1348" s="736"/>
      <c r="BG1348" s="736"/>
      <c r="BH1348" s="736"/>
      <c r="BI1348" s="736"/>
      <c r="BJ1348" s="736"/>
      <c r="BK1348" s="736"/>
      <c r="BL1348" s="736"/>
      <c r="BM1348" s="736"/>
      <c r="BN1348" s="736"/>
      <c r="BO1348" s="736"/>
      <c r="BP1348" s="736"/>
      <c r="BQ1348" s="736"/>
      <c r="BR1348" s="736"/>
      <c r="BS1348" s="736"/>
      <c r="BT1348" s="736"/>
      <c r="BU1348" s="736"/>
      <c r="BV1348" s="736"/>
      <c r="BW1348" s="736"/>
      <c r="BX1348" s="736"/>
      <c r="BY1348" s="736"/>
      <c r="BZ1348" s="736"/>
      <c r="CA1348" s="736"/>
    </row>
    <row r="1349" spans="1:79" s="452" customFormat="1" x14ac:dyDescent="0.35">
      <c r="A1349" s="575"/>
      <c r="B1349" s="575"/>
      <c r="C1349" s="575"/>
      <c r="D1349" s="575"/>
      <c r="E1349" s="575"/>
      <c r="F1349" s="5"/>
      <c r="G1349" s="739"/>
      <c r="H1349" s="739"/>
      <c r="I1349" s="739"/>
      <c r="J1349" s="739"/>
      <c r="K1349" s="739"/>
      <c r="L1349" s="739"/>
      <c r="M1349" s="739"/>
      <c r="N1349" s="739"/>
      <c r="O1349" s="739"/>
      <c r="P1349" s="739"/>
      <c r="Q1349" s="739"/>
      <c r="R1349" s="739"/>
      <c r="S1349" s="739"/>
      <c r="T1349" s="739"/>
      <c r="U1349" s="739"/>
      <c r="V1349" s="739"/>
      <c r="W1349" s="739"/>
      <c r="X1349" s="739"/>
      <c r="Y1349" s="739"/>
      <c r="Z1349" s="739"/>
      <c r="AA1349" s="739"/>
      <c r="AB1349" s="732"/>
      <c r="AC1349" s="732"/>
      <c r="AD1349" s="732"/>
      <c r="AE1349" s="732"/>
      <c r="AF1349" s="732"/>
      <c r="AG1349" s="732"/>
      <c r="AH1349" s="732"/>
      <c r="AI1349" s="732"/>
      <c r="AJ1349" s="732"/>
      <c r="AK1349" s="732"/>
      <c r="AL1349" s="732"/>
      <c r="AM1349" s="732"/>
      <c r="AN1349" s="732"/>
      <c r="AO1349" s="732"/>
      <c r="AP1349" s="732"/>
      <c r="AQ1349" s="732"/>
      <c r="AR1349" s="732"/>
      <c r="AS1349" s="732"/>
      <c r="AT1349" s="732"/>
      <c r="AU1349" s="732"/>
      <c r="AV1349" s="732"/>
      <c r="AW1349" s="732"/>
      <c r="AX1349" s="732"/>
      <c r="AY1349" s="732"/>
      <c r="AZ1349" s="732"/>
      <c r="BA1349" s="732"/>
      <c r="BB1349" s="732"/>
      <c r="BC1349" s="732"/>
      <c r="BD1349" s="732"/>
      <c r="BE1349" s="732"/>
      <c r="BF1349" s="732"/>
      <c r="BG1349" s="732"/>
      <c r="BH1349" s="732"/>
      <c r="BI1349" s="732"/>
      <c r="BJ1349" s="732"/>
      <c r="BK1349" s="732"/>
      <c r="BL1349" s="732"/>
      <c r="BM1349" s="732"/>
      <c r="BN1349" s="732"/>
      <c r="BO1349" s="732"/>
      <c r="BP1349" s="732"/>
      <c r="BQ1349" s="732"/>
      <c r="BR1349" s="732"/>
      <c r="BS1349" s="732"/>
      <c r="BT1349" s="732"/>
      <c r="BU1349" s="732"/>
      <c r="BV1349" s="732"/>
      <c r="BW1349" s="732"/>
      <c r="BX1349" s="732"/>
      <c r="BY1349" s="732"/>
      <c r="BZ1349" s="732"/>
      <c r="CA1349" s="732"/>
    </row>
    <row r="1350" spans="1:79" s="452" customFormat="1" x14ac:dyDescent="0.35">
      <c r="A1350" s="575"/>
      <c r="B1350" s="575"/>
      <c r="C1350" s="575"/>
      <c r="D1350" s="575"/>
      <c r="E1350" s="575"/>
      <c r="F1350" s="5"/>
      <c r="G1350" s="734"/>
      <c r="H1350" s="734"/>
      <c r="I1350" s="734"/>
      <c r="J1350" s="734"/>
      <c r="K1350" s="734"/>
      <c r="L1350" s="734"/>
      <c r="M1350" s="734"/>
      <c r="N1350" s="734"/>
      <c r="O1350" s="734"/>
      <c r="P1350" s="734"/>
      <c r="Q1350" s="734"/>
      <c r="R1350" s="734"/>
      <c r="S1350" s="734"/>
      <c r="T1350" s="734"/>
      <c r="U1350" s="734"/>
      <c r="V1350" s="734"/>
      <c r="W1350" s="734"/>
      <c r="X1350" s="734"/>
      <c r="Y1350" s="734"/>
      <c r="Z1350" s="734"/>
      <c r="AA1350" s="734"/>
      <c r="AB1350" s="732"/>
      <c r="AC1350" s="732"/>
      <c r="AD1350" s="732"/>
      <c r="AE1350" s="732"/>
      <c r="AF1350" s="732"/>
      <c r="AG1350" s="732"/>
      <c r="AH1350" s="732"/>
      <c r="AI1350" s="732"/>
      <c r="AJ1350" s="732"/>
      <c r="AK1350" s="732"/>
      <c r="AL1350" s="732"/>
      <c r="AM1350" s="732"/>
      <c r="AN1350" s="732"/>
      <c r="AO1350" s="732"/>
      <c r="AP1350" s="732"/>
      <c r="AQ1350" s="732"/>
      <c r="AR1350" s="732"/>
      <c r="AS1350" s="732"/>
      <c r="AT1350" s="732"/>
      <c r="AU1350" s="732"/>
      <c r="AV1350" s="732"/>
      <c r="AW1350" s="732"/>
      <c r="AX1350" s="732"/>
      <c r="AY1350" s="732"/>
      <c r="AZ1350" s="732"/>
      <c r="BA1350" s="732"/>
      <c r="BB1350" s="732"/>
      <c r="BC1350" s="732"/>
      <c r="BD1350" s="732"/>
      <c r="BE1350" s="732"/>
      <c r="BF1350" s="732"/>
      <c r="BG1350" s="732"/>
      <c r="BH1350" s="732"/>
      <c r="BI1350" s="732"/>
      <c r="BJ1350" s="732"/>
      <c r="BK1350" s="732"/>
      <c r="BL1350" s="732"/>
      <c r="BM1350" s="732"/>
      <c r="BN1350" s="732"/>
      <c r="BO1350" s="732"/>
      <c r="BP1350" s="732"/>
      <c r="BQ1350" s="732"/>
      <c r="BR1350" s="732"/>
      <c r="BS1350" s="732"/>
      <c r="BT1350" s="732"/>
      <c r="BU1350" s="732"/>
      <c r="BV1350" s="732"/>
      <c r="BW1350" s="732"/>
      <c r="BX1350" s="732"/>
      <c r="BY1350" s="732"/>
      <c r="BZ1350" s="732"/>
      <c r="CA1350" s="732"/>
    </row>
    <row r="1351" spans="1:79" s="822" customFormat="1" x14ac:dyDescent="0.35">
      <c r="A1351" s="882"/>
      <c r="B1351" s="878"/>
      <c r="C1351" s="878"/>
      <c r="D1351" s="878"/>
      <c r="E1351" s="878"/>
      <c r="F1351" s="883" t="s">
        <v>1184</v>
      </c>
      <c r="G1351" s="884"/>
      <c r="H1351" s="884"/>
      <c r="I1351" s="884"/>
      <c r="J1351" s="884"/>
      <c r="K1351" s="884"/>
      <c r="L1351" s="884"/>
      <c r="M1351" s="884"/>
      <c r="N1351" s="884"/>
      <c r="O1351" s="884"/>
      <c r="P1351" s="884"/>
      <c r="Q1351" s="884"/>
      <c r="R1351" s="884"/>
      <c r="S1351" s="884"/>
      <c r="T1351" s="884"/>
      <c r="U1351" s="884"/>
      <c r="V1351" s="884"/>
      <c r="W1351" s="884"/>
      <c r="X1351" s="884"/>
      <c r="Y1351" s="884"/>
      <c r="Z1351" s="884"/>
      <c r="AA1351" s="884"/>
      <c r="AB1351" s="884"/>
      <c r="AC1351" s="884"/>
      <c r="AD1351" s="884"/>
      <c r="AE1351" s="884"/>
      <c r="AF1351" s="884"/>
      <c r="AG1351" s="884"/>
      <c r="AH1351" s="884"/>
      <c r="AI1351" s="884"/>
      <c r="AJ1351" s="884"/>
      <c r="AK1351" s="884"/>
      <c r="AL1351" s="884"/>
      <c r="AM1351" s="884"/>
      <c r="AN1351" s="884"/>
      <c r="AO1351" s="884"/>
      <c r="AP1351" s="884"/>
      <c r="AQ1351" s="884"/>
      <c r="AR1351" s="884"/>
      <c r="AS1351" s="884"/>
      <c r="AT1351" s="884"/>
      <c r="AU1351" s="884"/>
      <c r="AV1351" s="884"/>
      <c r="AW1351" s="884"/>
      <c r="AX1351" s="884"/>
      <c r="AY1351" s="884"/>
      <c r="AZ1351" s="884"/>
      <c r="BA1351" s="884"/>
      <c r="BB1351" s="884"/>
      <c r="BC1351" s="884"/>
      <c r="BD1351" s="884"/>
      <c r="BE1351" s="884"/>
      <c r="BF1351" s="884"/>
      <c r="BG1351" s="884"/>
      <c r="BH1351" s="884"/>
      <c r="BI1351" s="884"/>
      <c r="BJ1351" s="884"/>
      <c r="BK1351" s="884"/>
      <c r="BL1351" s="884"/>
      <c r="BM1351" s="884"/>
      <c r="BN1351" s="884"/>
      <c r="BO1351" s="884"/>
      <c r="BP1351" s="884"/>
      <c r="BQ1351" s="884"/>
      <c r="BR1351" s="884"/>
      <c r="BS1351" s="884"/>
      <c r="BT1351" s="884"/>
      <c r="BU1351" s="884"/>
      <c r="BV1351" s="884"/>
      <c r="BW1351" s="884"/>
      <c r="BX1351" s="884"/>
      <c r="BY1351" s="884"/>
      <c r="BZ1351" s="884"/>
      <c r="CA1351" s="884"/>
    </row>
    <row r="1352" spans="1:79" s="452" customFormat="1" hidden="1" outlineLevel="1" x14ac:dyDescent="0.35">
      <c r="A1352" s="575"/>
      <c r="B1352" s="575"/>
      <c r="C1352" s="575"/>
      <c r="D1352" s="575"/>
      <c r="E1352" s="575"/>
      <c r="F1352" s="670" t="s">
        <v>701</v>
      </c>
      <c r="G1352" s="736"/>
      <c r="H1352" s="736"/>
      <c r="I1352" s="736"/>
      <c r="J1352" s="736"/>
      <c r="K1352" s="736"/>
      <c r="L1352" s="736"/>
      <c r="M1352" s="736"/>
      <c r="N1352" s="736"/>
      <c r="O1352" s="736"/>
      <c r="P1352" s="736"/>
      <c r="Q1352" s="736"/>
      <c r="R1352" s="736"/>
      <c r="S1352" s="679"/>
      <c r="T1352" s="679"/>
      <c r="U1352" s="679"/>
      <c r="V1352" s="679"/>
      <c r="W1352" s="679"/>
      <c r="X1352" s="679"/>
      <c r="Y1352" s="679"/>
      <c r="Z1352" s="679"/>
      <c r="AA1352" s="679"/>
      <c r="AB1352" s="679"/>
      <c r="AC1352" s="679"/>
      <c r="AD1352" s="679"/>
      <c r="AE1352" s="736"/>
      <c r="AF1352" s="736"/>
      <c r="AG1352" s="736"/>
      <c r="AH1352" s="736"/>
      <c r="AI1352" s="736"/>
      <c r="AJ1352" s="736"/>
      <c r="AK1352" s="736"/>
      <c r="AL1352" s="736"/>
      <c r="AM1352" s="736"/>
      <c r="AN1352" s="736"/>
      <c r="AO1352" s="736"/>
      <c r="AP1352" s="736"/>
      <c r="AQ1352" s="736"/>
      <c r="AR1352" s="736"/>
      <c r="AS1352" s="736"/>
      <c r="AT1352" s="736"/>
      <c r="AU1352" s="736"/>
      <c r="AV1352" s="736"/>
      <c r="AW1352" s="736"/>
      <c r="AX1352" s="736"/>
      <c r="AY1352" s="736"/>
      <c r="AZ1352" s="736"/>
      <c r="BA1352" s="736"/>
      <c r="BB1352" s="736"/>
      <c r="BC1352" s="736"/>
      <c r="BD1352" s="736"/>
      <c r="BE1352" s="736"/>
      <c r="BF1352" s="736"/>
      <c r="BG1352" s="736"/>
      <c r="BH1352" s="736"/>
      <c r="BI1352" s="736"/>
      <c r="BJ1352" s="736"/>
      <c r="BK1352" s="736"/>
      <c r="BL1352" s="736"/>
      <c r="BM1352" s="736"/>
      <c r="BN1352" s="736"/>
      <c r="BO1352" s="736"/>
      <c r="BP1352" s="736"/>
      <c r="BQ1352" s="736"/>
      <c r="BR1352" s="736"/>
      <c r="BS1352" s="736"/>
      <c r="BT1352" s="736"/>
      <c r="BU1352" s="736"/>
      <c r="BV1352" s="736"/>
      <c r="BW1352" s="736"/>
      <c r="BX1352" s="736"/>
      <c r="BY1352" s="736"/>
      <c r="BZ1352" s="736"/>
      <c r="CA1352" s="736"/>
    </row>
    <row r="1353" spans="1:79" hidden="1" outlineLevel="1" x14ac:dyDescent="0.35">
      <c r="A1353" s="224"/>
      <c r="B1353" s="224"/>
      <c r="C1353" s="224"/>
      <c r="D1353" s="224"/>
      <c r="E1353" s="224"/>
      <c r="F1353" s="671" t="s">
        <v>857</v>
      </c>
      <c r="G1353" s="679"/>
      <c r="H1353" s="679"/>
      <c r="I1353" s="679"/>
      <c r="J1353" s="679"/>
      <c r="K1353" s="679"/>
      <c r="L1353" s="679"/>
      <c r="M1353" s="679"/>
      <c r="N1353" s="679"/>
      <c r="O1353" s="679"/>
      <c r="P1353" s="679"/>
      <c r="Q1353" s="679"/>
      <c r="R1353" s="679"/>
      <c r="S1353" s="679"/>
      <c r="T1353" s="679"/>
      <c r="U1353" s="679"/>
      <c r="V1353" s="679"/>
      <c r="W1353" s="679"/>
      <c r="X1353" s="679"/>
      <c r="Y1353" s="679"/>
      <c r="Z1353" s="679"/>
      <c r="AA1353" s="679"/>
      <c r="AB1353" s="679"/>
      <c r="AC1353" s="679"/>
      <c r="AD1353" s="679"/>
      <c r="AE1353" s="679"/>
      <c r="AF1353" s="679"/>
      <c r="AG1353" s="679"/>
      <c r="AH1353" s="679"/>
      <c r="AI1353" s="679"/>
      <c r="AJ1353" s="679"/>
      <c r="AK1353" s="679"/>
      <c r="AL1353" s="679"/>
      <c r="AM1353" s="679"/>
      <c r="AN1353" s="679"/>
      <c r="AO1353" s="679"/>
      <c r="AP1353" s="679"/>
      <c r="AQ1353" s="679"/>
      <c r="AR1353" s="679"/>
      <c r="AS1353" s="679"/>
      <c r="AT1353" s="679"/>
      <c r="AU1353" s="679"/>
      <c r="AV1353" s="679"/>
      <c r="AW1353" s="679"/>
      <c r="AX1353" s="679"/>
      <c r="AY1353" s="679"/>
      <c r="AZ1353" s="679"/>
      <c r="BA1353" s="679"/>
      <c r="BB1353" s="679"/>
      <c r="BC1353" s="679"/>
      <c r="BD1353" s="679"/>
      <c r="BE1353" s="679"/>
      <c r="BF1353" s="679"/>
      <c r="BG1353" s="679"/>
      <c r="BH1353" s="679"/>
      <c r="BI1353" s="679"/>
      <c r="BJ1353" s="679"/>
      <c r="BK1353" s="679"/>
      <c r="BL1353" s="679"/>
      <c r="BM1353" s="679"/>
      <c r="BN1353" s="679"/>
      <c r="BO1353" s="679"/>
      <c r="BP1353" s="679"/>
      <c r="BQ1353" s="679"/>
      <c r="BR1353" s="679"/>
      <c r="BS1353" s="679"/>
      <c r="BT1353" s="679"/>
      <c r="BU1353" s="679"/>
      <c r="BV1353" s="679"/>
      <c r="BW1353" s="679"/>
      <c r="BX1353" s="679"/>
      <c r="BY1353" s="679"/>
      <c r="BZ1353" s="679"/>
      <c r="CA1353" s="679"/>
    </row>
    <row r="1354" spans="1:79" hidden="1" outlineLevel="1" x14ac:dyDescent="0.35">
      <c r="A1354" s="224"/>
      <c r="B1354" s="224"/>
      <c r="C1354" s="224"/>
      <c r="D1354" s="224"/>
      <c r="E1354" s="224"/>
      <c r="F1354" s="671" t="s">
        <v>858</v>
      </c>
      <c r="G1354" s="679"/>
      <c r="H1354" s="679"/>
      <c r="I1354" s="679"/>
      <c r="J1354" s="679"/>
      <c r="K1354" s="679"/>
      <c r="L1354" s="679"/>
      <c r="M1354" s="679"/>
      <c r="N1354" s="679"/>
      <c r="O1354" s="679"/>
      <c r="P1354" s="679"/>
      <c r="Q1354" s="679"/>
      <c r="R1354" s="679"/>
      <c r="S1354" s="679"/>
      <c r="T1354" s="679"/>
      <c r="U1354" s="679"/>
      <c r="V1354" s="679"/>
      <c r="W1354" s="679"/>
      <c r="X1354" s="679"/>
      <c r="Y1354" s="679"/>
      <c r="Z1354" s="679"/>
      <c r="AA1354" s="679"/>
      <c r="AB1354" s="679"/>
      <c r="AC1354" s="679"/>
      <c r="AD1354" s="679"/>
      <c r="AE1354" s="679"/>
      <c r="AF1354" s="679"/>
      <c r="AG1354" s="679"/>
      <c r="AH1354" s="679"/>
      <c r="AI1354" s="679"/>
      <c r="AJ1354" s="679"/>
      <c r="AK1354" s="679"/>
      <c r="AL1354" s="679"/>
      <c r="AM1354" s="679"/>
      <c r="AN1354" s="679"/>
      <c r="AO1354" s="679"/>
      <c r="AP1354" s="679"/>
      <c r="AQ1354" s="679"/>
      <c r="AR1354" s="679"/>
      <c r="AS1354" s="679"/>
      <c r="AT1354" s="679"/>
      <c r="AU1354" s="679"/>
      <c r="AV1354" s="679"/>
      <c r="AW1354" s="679"/>
      <c r="AX1354" s="679"/>
      <c r="AY1354" s="679"/>
      <c r="AZ1354" s="679"/>
      <c r="BA1354" s="679"/>
      <c r="BB1354" s="679"/>
      <c r="BC1354" s="679"/>
      <c r="BD1354" s="679"/>
      <c r="BE1354" s="679"/>
      <c r="BF1354" s="679"/>
      <c r="BG1354" s="679"/>
      <c r="BH1354" s="679"/>
      <c r="BI1354" s="679"/>
      <c r="BJ1354" s="679"/>
      <c r="BK1354" s="679"/>
      <c r="BL1354" s="679"/>
      <c r="BM1354" s="679"/>
      <c r="BN1354" s="679"/>
      <c r="BO1354" s="679"/>
      <c r="BP1354" s="679"/>
      <c r="BQ1354" s="679"/>
      <c r="BR1354" s="679"/>
      <c r="BS1354" s="679"/>
      <c r="BT1354" s="679"/>
      <c r="BU1354" s="679"/>
      <c r="BV1354" s="679"/>
      <c r="BW1354" s="679"/>
      <c r="BX1354" s="679"/>
      <c r="BY1354" s="679"/>
      <c r="BZ1354" s="679"/>
      <c r="CA1354" s="679"/>
    </row>
    <row r="1355" spans="1:79" hidden="1" outlineLevel="1" x14ac:dyDescent="0.35">
      <c r="A1355" s="224"/>
      <c r="B1355" s="224"/>
      <c r="C1355" s="224"/>
      <c r="D1355" s="224"/>
      <c r="E1355" s="224"/>
      <c r="F1355" s="671" t="s">
        <v>859</v>
      </c>
      <c r="G1355" s="679"/>
      <c r="H1355" s="679"/>
      <c r="I1355" s="679"/>
      <c r="J1355" s="679"/>
      <c r="K1355" s="679"/>
      <c r="L1355" s="679"/>
      <c r="M1355" s="679"/>
      <c r="N1355" s="679"/>
      <c r="O1355" s="679"/>
      <c r="P1355" s="679"/>
      <c r="Q1355" s="679"/>
      <c r="R1355" s="679"/>
      <c r="S1355" s="679"/>
      <c r="T1355" s="679"/>
      <c r="U1355" s="679"/>
      <c r="V1355" s="679"/>
      <c r="W1355" s="679"/>
      <c r="X1355" s="679"/>
      <c r="Y1355" s="679"/>
      <c r="Z1355" s="679"/>
      <c r="AA1355" s="679"/>
      <c r="AB1355" s="679"/>
      <c r="AC1355" s="679"/>
      <c r="AD1355" s="679"/>
      <c r="AE1355" s="679"/>
      <c r="AF1355" s="679"/>
      <c r="AG1355" s="679"/>
      <c r="AH1355" s="679"/>
      <c r="AI1355" s="679"/>
      <c r="AJ1355" s="679"/>
      <c r="AK1355" s="679"/>
      <c r="AL1355" s="679"/>
      <c r="AM1355" s="679"/>
      <c r="AN1355" s="679"/>
      <c r="AO1355" s="679"/>
      <c r="AP1355" s="679"/>
      <c r="AQ1355" s="679"/>
      <c r="AR1355" s="679"/>
      <c r="AS1355" s="679"/>
      <c r="AT1355" s="679"/>
      <c r="AU1355" s="679"/>
      <c r="AV1355" s="679"/>
      <c r="AW1355" s="679"/>
      <c r="AX1355" s="679"/>
      <c r="AY1355" s="679"/>
      <c r="AZ1355" s="679"/>
      <c r="BA1355" s="679"/>
      <c r="BB1355" s="679"/>
      <c r="BC1355" s="679"/>
      <c r="BD1355" s="679"/>
      <c r="BE1355" s="679"/>
      <c r="BF1355" s="679"/>
      <c r="BG1355" s="679"/>
      <c r="BH1355" s="679"/>
      <c r="BI1355" s="679"/>
      <c r="BJ1355" s="679"/>
      <c r="BK1355" s="679"/>
      <c r="BL1355" s="679"/>
      <c r="BM1355" s="679"/>
      <c r="BN1355" s="679"/>
      <c r="BO1355" s="679"/>
      <c r="BP1355" s="679"/>
      <c r="BQ1355" s="679"/>
      <c r="BR1355" s="679"/>
      <c r="BS1355" s="679"/>
      <c r="BT1355" s="679"/>
      <c r="BU1355" s="679"/>
      <c r="BV1355" s="679"/>
      <c r="BW1355" s="679"/>
      <c r="BX1355" s="679"/>
      <c r="BY1355" s="679"/>
      <c r="BZ1355" s="679"/>
      <c r="CA1355" s="679"/>
    </row>
    <row r="1356" spans="1:79" s="452" customFormat="1" hidden="1" outlineLevel="1" x14ac:dyDescent="0.35">
      <c r="A1356" s="575"/>
      <c r="B1356" s="575"/>
      <c r="C1356" s="575"/>
      <c r="D1356" s="575"/>
      <c r="E1356" s="575"/>
      <c r="F1356" s="671" t="s">
        <v>702</v>
      </c>
      <c r="G1356" s="736"/>
      <c r="H1356" s="736"/>
      <c r="I1356" s="736"/>
      <c r="J1356" s="736"/>
      <c r="K1356" s="736"/>
      <c r="L1356" s="736"/>
      <c r="M1356" s="736"/>
      <c r="N1356" s="736"/>
      <c r="O1356" s="736"/>
      <c r="P1356" s="736"/>
      <c r="Q1356" s="736"/>
      <c r="R1356" s="736"/>
      <c r="S1356" s="679"/>
      <c r="T1356" s="679"/>
      <c r="U1356" s="679"/>
      <c r="V1356" s="679"/>
      <c r="W1356" s="679"/>
      <c r="X1356" s="679"/>
      <c r="Y1356" s="679"/>
      <c r="Z1356" s="679"/>
      <c r="AA1356" s="679"/>
      <c r="AB1356" s="679"/>
      <c r="AC1356" s="679"/>
      <c r="AD1356" s="679"/>
      <c r="AE1356" s="736"/>
      <c r="AF1356" s="736"/>
      <c r="AG1356" s="736"/>
      <c r="AH1356" s="736"/>
      <c r="AI1356" s="736"/>
      <c r="AJ1356" s="736"/>
      <c r="AK1356" s="736"/>
      <c r="AL1356" s="736"/>
      <c r="AM1356" s="736"/>
      <c r="AN1356" s="736"/>
      <c r="AO1356" s="736"/>
      <c r="AP1356" s="736"/>
      <c r="AQ1356" s="736"/>
      <c r="AR1356" s="736"/>
      <c r="AS1356" s="736"/>
      <c r="AT1356" s="736"/>
      <c r="AU1356" s="736"/>
      <c r="AV1356" s="736"/>
      <c r="AW1356" s="736"/>
      <c r="AX1356" s="736"/>
      <c r="AY1356" s="736"/>
      <c r="AZ1356" s="736"/>
      <c r="BA1356" s="736"/>
      <c r="BB1356" s="736"/>
      <c r="BC1356" s="736"/>
      <c r="BD1356" s="736"/>
      <c r="BE1356" s="736"/>
      <c r="BF1356" s="736"/>
      <c r="BG1356" s="736"/>
      <c r="BH1356" s="736"/>
      <c r="BI1356" s="736"/>
      <c r="BJ1356" s="736"/>
      <c r="BK1356" s="736"/>
      <c r="BL1356" s="736"/>
      <c r="BM1356" s="736"/>
      <c r="BN1356" s="736"/>
      <c r="BO1356" s="736"/>
      <c r="BP1356" s="736"/>
      <c r="BQ1356" s="736"/>
      <c r="BR1356" s="736"/>
      <c r="BS1356" s="736"/>
      <c r="BT1356" s="736"/>
      <c r="BU1356" s="736"/>
      <c r="BV1356" s="736"/>
      <c r="BW1356" s="736"/>
      <c r="BX1356" s="736"/>
      <c r="BY1356" s="736"/>
      <c r="BZ1356" s="736"/>
      <c r="CA1356" s="736"/>
    </row>
    <row r="1357" spans="1:79" hidden="1" outlineLevel="1" x14ac:dyDescent="0.35">
      <c r="A1357" s="224"/>
      <c r="B1357" s="224"/>
      <c r="C1357" s="224"/>
      <c r="D1357" s="224"/>
      <c r="E1357" s="224"/>
      <c r="F1357" s="671" t="s">
        <v>860</v>
      </c>
      <c r="G1357" s="679"/>
      <c r="H1357" s="679"/>
      <c r="I1357" s="679"/>
      <c r="J1357" s="679"/>
      <c r="K1357" s="679"/>
      <c r="L1357" s="679"/>
      <c r="M1357" s="679"/>
      <c r="N1357" s="679"/>
      <c r="O1357" s="679"/>
      <c r="P1357" s="679"/>
      <c r="Q1357" s="679"/>
      <c r="R1357" s="679"/>
      <c r="S1357" s="679"/>
      <c r="T1357" s="679"/>
      <c r="U1357" s="679"/>
      <c r="V1357" s="679"/>
      <c r="W1357" s="679"/>
      <c r="X1357" s="679"/>
      <c r="Y1357" s="679"/>
      <c r="Z1357" s="679"/>
      <c r="AA1357" s="679"/>
      <c r="AB1357" s="679"/>
      <c r="AC1357" s="679"/>
      <c r="AD1357" s="679"/>
      <c r="AE1357" s="679"/>
      <c r="AF1357" s="679"/>
      <c r="AG1357" s="679"/>
      <c r="AH1357" s="679"/>
      <c r="AI1357" s="679"/>
      <c r="AJ1357" s="679"/>
      <c r="AK1357" s="679"/>
      <c r="AL1357" s="679"/>
      <c r="AM1357" s="679"/>
      <c r="AN1357" s="679"/>
      <c r="AO1357" s="679"/>
      <c r="AP1357" s="679"/>
      <c r="AQ1357" s="679"/>
      <c r="AR1357" s="679"/>
      <c r="AS1357" s="679"/>
      <c r="AT1357" s="679"/>
      <c r="AU1357" s="679"/>
      <c r="AV1357" s="679"/>
      <c r="AW1357" s="679"/>
      <c r="AX1357" s="679"/>
      <c r="AY1357" s="679"/>
      <c r="AZ1357" s="679"/>
      <c r="BA1357" s="679"/>
      <c r="BB1357" s="679"/>
      <c r="BC1357" s="679"/>
      <c r="BD1357" s="679"/>
      <c r="BE1357" s="679"/>
      <c r="BF1357" s="679"/>
      <c r="BG1357" s="679"/>
      <c r="BH1357" s="679"/>
      <c r="BI1357" s="679"/>
      <c r="BJ1357" s="679"/>
      <c r="BK1357" s="679"/>
      <c r="BL1357" s="679"/>
      <c r="BM1357" s="679"/>
      <c r="BN1357" s="679"/>
      <c r="BO1357" s="679"/>
      <c r="BP1357" s="679"/>
      <c r="BQ1357" s="679"/>
      <c r="BR1357" s="679"/>
      <c r="BS1357" s="679"/>
      <c r="BT1357" s="679"/>
      <c r="BU1357" s="679"/>
      <c r="BV1357" s="679"/>
      <c r="BW1357" s="679"/>
      <c r="BX1357" s="679"/>
      <c r="BY1357" s="679"/>
      <c r="BZ1357" s="679"/>
      <c r="CA1357" s="679"/>
    </row>
    <row r="1358" spans="1:79" hidden="1" outlineLevel="1" x14ac:dyDescent="0.35">
      <c r="A1358" s="709"/>
      <c r="B1358" s="709"/>
      <c r="C1358" s="709"/>
      <c r="D1358" s="709"/>
      <c r="E1358" s="709"/>
      <c r="F1358" s="707" t="s">
        <v>661</v>
      </c>
      <c r="G1358" s="708"/>
      <c r="H1358" s="708"/>
      <c r="I1358" s="708"/>
      <c r="J1358" s="708"/>
      <c r="K1358" s="708"/>
      <c r="L1358" s="708"/>
      <c r="M1358" s="708"/>
      <c r="N1358" s="708"/>
      <c r="O1358" s="708"/>
      <c r="P1358" s="708"/>
      <c r="Q1358" s="708"/>
      <c r="R1358" s="708"/>
      <c r="S1358" s="708"/>
      <c r="T1358" s="708"/>
      <c r="U1358" s="708"/>
      <c r="V1358" s="708"/>
      <c r="W1358" s="708"/>
      <c r="X1358" s="708"/>
      <c r="Y1358" s="708"/>
      <c r="Z1358" s="708"/>
      <c r="AA1358" s="708"/>
      <c r="AB1358" s="708"/>
      <c r="AC1358" s="708"/>
      <c r="AD1358" s="708"/>
      <c r="AE1358" s="708"/>
      <c r="AF1358" s="708"/>
      <c r="AG1358" s="708"/>
      <c r="AH1358" s="708"/>
      <c r="AI1358" s="708"/>
      <c r="AJ1358" s="708"/>
      <c r="AK1358" s="708"/>
      <c r="AL1358" s="708"/>
      <c r="AM1358" s="708"/>
      <c r="AN1358" s="708"/>
      <c r="AO1358" s="708"/>
      <c r="AP1358" s="708"/>
      <c r="AQ1358" s="708"/>
      <c r="AR1358" s="708"/>
      <c r="AS1358" s="708"/>
      <c r="AT1358" s="708"/>
      <c r="AU1358" s="708"/>
      <c r="AV1358" s="708"/>
      <c r="AW1358" s="708"/>
      <c r="AX1358" s="708"/>
      <c r="AY1358" s="708"/>
      <c r="AZ1358" s="708"/>
      <c r="BA1358" s="708"/>
      <c r="BB1358" s="708"/>
      <c r="BC1358" s="708"/>
      <c r="BD1358" s="708"/>
      <c r="BE1358" s="708"/>
      <c r="BF1358" s="708"/>
      <c r="BG1358" s="708"/>
      <c r="BH1358" s="708"/>
      <c r="BI1358" s="708"/>
      <c r="BJ1358" s="708"/>
      <c r="BK1358" s="708"/>
      <c r="BL1358" s="708"/>
      <c r="BM1358" s="708"/>
      <c r="BN1358" s="708"/>
      <c r="BO1358" s="708"/>
      <c r="BP1358" s="708"/>
      <c r="BQ1358" s="708"/>
      <c r="BR1358" s="708"/>
      <c r="BS1358" s="708"/>
      <c r="BT1358" s="708"/>
      <c r="BU1358" s="708"/>
      <c r="BV1358" s="708"/>
      <c r="BW1358" s="708"/>
      <c r="BX1358" s="708"/>
      <c r="BY1358" s="708"/>
      <c r="BZ1358" s="708"/>
      <c r="CA1358" s="708"/>
    </row>
    <row r="1359" spans="1:79" hidden="1" outlineLevel="1" x14ac:dyDescent="0.35">
      <c r="A1359" s="224"/>
      <c r="B1359" s="224"/>
      <c r="C1359" s="224"/>
      <c r="D1359" s="224"/>
      <c r="E1359" s="224"/>
      <c r="F1359" s="672" t="s">
        <v>662</v>
      </c>
      <c r="G1359" s="679"/>
      <c r="H1359" s="679"/>
      <c r="I1359" s="679"/>
      <c r="J1359" s="679"/>
      <c r="K1359" s="679"/>
      <c r="L1359" s="679"/>
      <c r="M1359" s="679"/>
      <c r="N1359" s="679"/>
      <c r="O1359" s="679"/>
      <c r="P1359" s="679"/>
      <c r="Q1359" s="679"/>
      <c r="R1359" s="679"/>
      <c r="S1359" s="679"/>
      <c r="T1359" s="679"/>
      <c r="U1359" s="679"/>
      <c r="V1359" s="679"/>
      <c r="W1359" s="679"/>
      <c r="X1359" s="679"/>
      <c r="Y1359" s="679"/>
      <c r="Z1359" s="679"/>
      <c r="AA1359" s="679"/>
      <c r="AB1359" s="679"/>
      <c r="AC1359" s="679"/>
      <c r="AD1359" s="679"/>
      <c r="AE1359" s="679"/>
      <c r="AF1359" s="679"/>
      <c r="AG1359" s="679"/>
      <c r="AH1359" s="679"/>
      <c r="AI1359" s="679"/>
      <c r="AJ1359" s="679"/>
      <c r="AK1359" s="679"/>
      <c r="AL1359" s="679"/>
      <c r="AM1359" s="679"/>
      <c r="AN1359" s="679"/>
      <c r="AO1359" s="679"/>
      <c r="AP1359" s="679"/>
      <c r="AQ1359" s="679"/>
      <c r="AR1359" s="679"/>
      <c r="AS1359" s="679"/>
      <c r="AT1359" s="679"/>
      <c r="AU1359" s="679"/>
      <c r="AV1359" s="679"/>
      <c r="AW1359" s="679"/>
      <c r="AX1359" s="679"/>
      <c r="AY1359" s="679"/>
      <c r="AZ1359" s="679"/>
      <c r="BA1359" s="679"/>
      <c r="BB1359" s="679"/>
      <c r="BC1359" s="679"/>
      <c r="BD1359" s="679"/>
      <c r="BE1359" s="679"/>
      <c r="BF1359" s="679"/>
      <c r="BG1359" s="679"/>
      <c r="BH1359" s="679"/>
      <c r="BI1359" s="679"/>
      <c r="BJ1359" s="679"/>
      <c r="BK1359" s="679"/>
      <c r="BL1359" s="679"/>
      <c r="BM1359" s="679"/>
      <c r="BN1359" s="679"/>
      <c r="BO1359" s="679"/>
      <c r="BP1359" s="679"/>
      <c r="BQ1359" s="679"/>
      <c r="BR1359" s="679"/>
      <c r="BS1359" s="679"/>
      <c r="BT1359" s="679"/>
      <c r="BU1359" s="679"/>
      <c r="BV1359" s="679"/>
      <c r="BW1359" s="679"/>
      <c r="BX1359" s="679"/>
      <c r="BY1359" s="679"/>
      <c r="BZ1359" s="679"/>
      <c r="CA1359" s="679"/>
    </row>
    <row r="1360" spans="1:79" hidden="1" outlineLevel="1" x14ac:dyDescent="0.35">
      <c r="A1360" s="224"/>
      <c r="B1360" s="224"/>
      <c r="C1360" s="224"/>
      <c r="D1360" s="224"/>
      <c r="E1360" s="224"/>
      <c r="F1360" s="672" t="s">
        <v>861</v>
      </c>
      <c r="G1360" s="679"/>
      <c r="H1360" s="736"/>
      <c r="I1360" s="736"/>
      <c r="J1360" s="736"/>
      <c r="K1360" s="736"/>
      <c r="L1360" s="736"/>
      <c r="M1360" s="736"/>
      <c r="N1360" s="736"/>
      <c r="O1360" s="736"/>
      <c r="P1360" s="736"/>
      <c r="Q1360" s="736"/>
      <c r="R1360" s="736"/>
      <c r="S1360" s="679"/>
      <c r="T1360" s="679"/>
      <c r="U1360" s="679"/>
      <c r="V1360" s="679"/>
      <c r="W1360" s="679"/>
      <c r="X1360" s="679"/>
      <c r="Y1360" s="679"/>
      <c r="Z1360" s="679"/>
      <c r="AA1360" s="679"/>
      <c r="AB1360" s="679"/>
      <c r="AC1360" s="679"/>
      <c r="AD1360" s="679"/>
      <c r="AE1360" s="679"/>
      <c r="AF1360" s="679"/>
      <c r="AG1360" s="679"/>
      <c r="AH1360" s="679"/>
      <c r="AI1360" s="679"/>
      <c r="AJ1360" s="679"/>
      <c r="AK1360" s="679"/>
      <c r="AL1360" s="679"/>
      <c r="AM1360" s="679"/>
      <c r="AN1360" s="679"/>
      <c r="AO1360" s="679"/>
      <c r="AP1360" s="679"/>
      <c r="AQ1360" s="679"/>
      <c r="AR1360" s="679"/>
      <c r="AS1360" s="679"/>
      <c r="AT1360" s="679"/>
      <c r="AU1360" s="679"/>
      <c r="AV1360" s="679"/>
      <c r="AW1360" s="679"/>
      <c r="AX1360" s="679"/>
      <c r="AY1360" s="679"/>
      <c r="AZ1360" s="679"/>
      <c r="BA1360" s="679"/>
      <c r="BB1360" s="679"/>
      <c r="BC1360" s="679"/>
      <c r="BD1360" s="679"/>
      <c r="BE1360" s="679"/>
      <c r="BF1360" s="679"/>
      <c r="BG1360" s="679"/>
      <c r="BH1360" s="679"/>
      <c r="BI1360" s="679"/>
      <c r="BJ1360" s="679"/>
      <c r="BK1360" s="679"/>
      <c r="BL1360" s="679"/>
      <c r="BM1360" s="679"/>
      <c r="BN1360" s="679"/>
      <c r="BO1360" s="679"/>
      <c r="BP1360" s="679"/>
      <c r="BQ1360" s="679"/>
      <c r="BR1360" s="679"/>
      <c r="BS1360" s="679"/>
      <c r="BT1360" s="679"/>
      <c r="BU1360" s="679"/>
      <c r="BV1360" s="679"/>
      <c r="BW1360" s="679"/>
      <c r="BX1360" s="679"/>
      <c r="BY1360" s="679"/>
      <c r="BZ1360" s="679"/>
      <c r="CA1360" s="679"/>
    </row>
    <row r="1361" spans="1:79" hidden="1" outlineLevel="1" x14ac:dyDescent="0.35">
      <c r="A1361" s="224"/>
      <c r="B1361" s="224"/>
      <c r="C1361" s="224"/>
      <c r="D1361" s="224"/>
      <c r="E1361" s="224"/>
      <c r="F1361" s="673" t="s">
        <v>663</v>
      </c>
      <c r="G1361" s="680"/>
      <c r="H1361" s="680"/>
      <c r="I1361" s="680"/>
      <c r="J1361" s="680"/>
      <c r="K1361" s="680"/>
      <c r="L1361" s="680"/>
      <c r="M1361" s="680"/>
      <c r="N1361" s="680"/>
      <c r="O1361" s="680"/>
      <c r="P1361" s="680"/>
      <c r="Q1361" s="680"/>
      <c r="R1361" s="680"/>
      <c r="S1361" s="680"/>
      <c r="T1361" s="680"/>
      <c r="U1361" s="680"/>
      <c r="V1361" s="680"/>
      <c r="W1361" s="680"/>
      <c r="X1361" s="680"/>
      <c r="Y1361" s="680"/>
      <c r="Z1361" s="680"/>
      <c r="AA1361" s="680"/>
      <c r="AB1361" s="680"/>
      <c r="AC1361" s="680"/>
      <c r="AD1361" s="680"/>
      <c r="AE1361" s="680">
        <f t="shared" ref="AE1361:BO1361" si="526">SUM(AE1359:AE1360)</f>
        <v>0</v>
      </c>
      <c r="AF1361" s="680">
        <f t="shared" si="526"/>
        <v>0</v>
      </c>
      <c r="AG1361" s="680">
        <f t="shared" si="526"/>
        <v>0</v>
      </c>
      <c r="AH1361" s="680">
        <f t="shared" si="526"/>
        <v>0</v>
      </c>
      <c r="AI1361" s="680">
        <f t="shared" si="526"/>
        <v>0</v>
      </c>
      <c r="AJ1361" s="680">
        <f t="shared" si="526"/>
        <v>0</v>
      </c>
      <c r="AK1361" s="680">
        <f t="shared" si="526"/>
        <v>0</v>
      </c>
      <c r="AL1361" s="680">
        <f t="shared" si="526"/>
        <v>0</v>
      </c>
      <c r="AM1361" s="680">
        <f t="shared" si="526"/>
        <v>0</v>
      </c>
      <c r="AN1361" s="680">
        <f t="shared" si="526"/>
        <v>0</v>
      </c>
      <c r="AO1361" s="680">
        <f t="shared" si="526"/>
        <v>0</v>
      </c>
      <c r="AP1361" s="680">
        <f t="shared" si="526"/>
        <v>0</v>
      </c>
      <c r="AQ1361" s="680">
        <f t="shared" si="526"/>
        <v>0</v>
      </c>
      <c r="AR1361" s="680">
        <f t="shared" si="526"/>
        <v>0</v>
      </c>
      <c r="AS1361" s="680">
        <f t="shared" si="526"/>
        <v>0</v>
      </c>
      <c r="AT1361" s="680">
        <f t="shared" si="526"/>
        <v>0</v>
      </c>
      <c r="AU1361" s="680">
        <f t="shared" si="526"/>
        <v>0</v>
      </c>
      <c r="AV1361" s="680">
        <f t="shared" si="526"/>
        <v>0</v>
      </c>
      <c r="AW1361" s="680">
        <f t="shared" si="526"/>
        <v>0</v>
      </c>
      <c r="AX1361" s="680">
        <f t="shared" si="526"/>
        <v>0</v>
      </c>
      <c r="AY1361" s="680">
        <f t="shared" si="526"/>
        <v>0</v>
      </c>
      <c r="AZ1361" s="680">
        <f t="shared" si="526"/>
        <v>0</v>
      </c>
      <c r="BA1361" s="680">
        <f t="shared" si="526"/>
        <v>0</v>
      </c>
      <c r="BB1361" s="680">
        <f t="shared" si="526"/>
        <v>0</v>
      </c>
      <c r="BC1361" s="680">
        <f t="shared" si="526"/>
        <v>0</v>
      </c>
      <c r="BD1361" s="680">
        <f t="shared" si="526"/>
        <v>0</v>
      </c>
      <c r="BE1361" s="680">
        <f t="shared" si="526"/>
        <v>0</v>
      </c>
      <c r="BF1361" s="680">
        <f t="shared" si="526"/>
        <v>0</v>
      </c>
      <c r="BG1361" s="680">
        <f t="shared" si="526"/>
        <v>0</v>
      </c>
      <c r="BH1361" s="680">
        <f t="shared" si="526"/>
        <v>0</v>
      </c>
      <c r="BI1361" s="680">
        <f t="shared" si="526"/>
        <v>0</v>
      </c>
      <c r="BJ1361" s="680">
        <f t="shared" si="526"/>
        <v>0</v>
      </c>
      <c r="BK1361" s="680">
        <f t="shared" si="526"/>
        <v>0</v>
      </c>
      <c r="BL1361" s="680">
        <f t="shared" si="526"/>
        <v>0</v>
      </c>
      <c r="BM1361" s="680">
        <f t="shared" si="526"/>
        <v>0</v>
      </c>
      <c r="BN1361" s="680">
        <f t="shared" si="526"/>
        <v>0</v>
      </c>
      <c r="BO1361" s="680">
        <f t="shared" si="526"/>
        <v>0</v>
      </c>
      <c r="BP1361" s="680">
        <f t="shared" ref="BP1361:CA1361" si="527">SUM(BP1359:BP1360)</f>
        <v>0</v>
      </c>
      <c r="BQ1361" s="680">
        <f t="shared" si="527"/>
        <v>0</v>
      </c>
      <c r="BR1361" s="680">
        <f t="shared" si="527"/>
        <v>0</v>
      </c>
      <c r="BS1361" s="680">
        <f t="shared" si="527"/>
        <v>0</v>
      </c>
      <c r="BT1361" s="680">
        <f t="shared" si="527"/>
        <v>0</v>
      </c>
      <c r="BU1361" s="680">
        <f t="shared" si="527"/>
        <v>0</v>
      </c>
      <c r="BV1361" s="680">
        <f t="shared" si="527"/>
        <v>0</v>
      </c>
      <c r="BW1361" s="680">
        <f t="shared" si="527"/>
        <v>0</v>
      </c>
      <c r="BX1361" s="680">
        <f t="shared" si="527"/>
        <v>0</v>
      </c>
      <c r="BY1361" s="680">
        <f t="shared" si="527"/>
        <v>0</v>
      </c>
      <c r="BZ1361" s="680">
        <f t="shared" si="527"/>
        <v>0</v>
      </c>
      <c r="CA1361" s="680">
        <f t="shared" si="527"/>
        <v>0</v>
      </c>
    </row>
    <row r="1362" spans="1:79" s="452" customFormat="1" hidden="1" outlineLevel="1" x14ac:dyDescent="0.35">
      <c r="A1362" s="575"/>
      <c r="B1362" s="575"/>
      <c r="C1362" s="575"/>
      <c r="D1362" s="575"/>
      <c r="E1362" s="575"/>
      <c r="F1362" s="671" t="s">
        <v>700</v>
      </c>
      <c r="G1362" s="735"/>
      <c r="H1362" s="735"/>
      <c r="I1362" s="735"/>
      <c r="J1362" s="735"/>
      <c r="K1362" s="735"/>
      <c r="L1362" s="735"/>
      <c r="M1362" s="735"/>
      <c r="N1362" s="735"/>
      <c r="O1362" s="735"/>
      <c r="P1362" s="732"/>
      <c r="Q1362" s="732"/>
      <c r="R1362" s="736"/>
      <c r="S1362" s="679"/>
      <c r="T1362" s="679"/>
      <c r="U1362" s="679"/>
      <c r="V1362" s="679"/>
      <c r="W1362" s="679"/>
      <c r="X1362" s="679"/>
      <c r="Y1362" s="679"/>
      <c r="Z1362" s="679"/>
      <c r="AA1362" s="679"/>
      <c r="AB1362" s="679"/>
      <c r="AC1362" s="679"/>
      <c r="AD1362" s="679"/>
      <c r="AE1362" s="736"/>
      <c r="AF1362" s="736"/>
      <c r="AG1362" s="736"/>
      <c r="AH1362" s="736"/>
      <c r="AI1362" s="736"/>
      <c r="AJ1362" s="736"/>
      <c r="AK1362" s="736"/>
      <c r="AL1362" s="736"/>
      <c r="AM1362" s="736"/>
      <c r="AN1362" s="736"/>
      <c r="AO1362" s="736"/>
      <c r="AP1362" s="736"/>
      <c r="AQ1362" s="736"/>
      <c r="AR1362" s="736"/>
      <c r="AS1362" s="736"/>
      <c r="AT1362" s="736"/>
      <c r="AU1362" s="736"/>
      <c r="AV1362" s="736"/>
      <c r="AW1362" s="736"/>
      <c r="AX1362" s="736"/>
      <c r="AY1362" s="736"/>
      <c r="AZ1362" s="736"/>
      <c r="BA1362" s="736"/>
      <c r="BB1362" s="736"/>
      <c r="BC1362" s="736"/>
      <c r="BD1362" s="736"/>
      <c r="BE1362" s="736"/>
      <c r="BF1362" s="736"/>
      <c r="BG1362" s="736"/>
      <c r="BH1362" s="736"/>
      <c r="BI1362" s="736"/>
      <c r="BJ1362" s="736"/>
      <c r="BK1362" s="736"/>
      <c r="BL1362" s="736"/>
      <c r="BM1362" s="736"/>
      <c r="BN1362" s="736"/>
      <c r="BO1362" s="736"/>
      <c r="BP1362" s="736"/>
      <c r="BQ1362" s="736"/>
      <c r="BR1362" s="736"/>
      <c r="BS1362" s="736"/>
      <c r="BT1362" s="736"/>
      <c r="BU1362" s="736"/>
      <c r="BV1362" s="736"/>
      <c r="BW1362" s="736"/>
      <c r="BX1362" s="736"/>
      <c r="BY1362" s="736"/>
      <c r="BZ1362" s="736"/>
      <c r="CA1362" s="736"/>
    </row>
    <row r="1363" spans="1:79" hidden="1" outlineLevel="1" x14ac:dyDescent="0.35">
      <c r="A1363" s="224"/>
      <c r="B1363" s="224"/>
      <c r="C1363" s="224"/>
      <c r="D1363" s="224"/>
      <c r="E1363" s="224"/>
      <c r="F1363" s="671" t="s">
        <v>862</v>
      </c>
      <c r="G1363" s="679"/>
      <c r="H1363" s="679"/>
      <c r="I1363" s="679"/>
      <c r="J1363" s="679"/>
      <c r="K1363" s="679"/>
      <c r="L1363" s="679"/>
      <c r="M1363" s="679"/>
      <c r="N1363" s="679"/>
      <c r="O1363" s="679"/>
      <c r="P1363" s="679"/>
      <c r="Q1363" s="679"/>
      <c r="R1363" s="679"/>
      <c r="S1363" s="679"/>
      <c r="T1363" s="679"/>
      <c r="U1363" s="679"/>
      <c r="V1363" s="679"/>
      <c r="W1363" s="679"/>
      <c r="X1363" s="679"/>
      <c r="Y1363" s="679"/>
      <c r="Z1363" s="679"/>
      <c r="AA1363" s="679"/>
      <c r="AB1363" s="679"/>
      <c r="AC1363" s="679"/>
      <c r="AD1363" s="679"/>
      <c r="AE1363" s="679"/>
      <c r="AF1363" s="679"/>
      <c r="AG1363" s="679"/>
      <c r="AH1363" s="679"/>
      <c r="AI1363" s="679"/>
      <c r="AJ1363" s="679"/>
      <c r="AK1363" s="679"/>
      <c r="AL1363" s="679"/>
      <c r="AM1363" s="679"/>
      <c r="AN1363" s="679"/>
      <c r="AO1363" s="679"/>
      <c r="AP1363" s="679"/>
      <c r="AQ1363" s="679"/>
      <c r="AR1363" s="679"/>
      <c r="AS1363" s="679"/>
      <c r="AT1363" s="679"/>
      <c r="AU1363" s="679"/>
      <c r="AV1363" s="679"/>
      <c r="AW1363" s="679"/>
      <c r="AX1363" s="679"/>
      <c r="AY1363" s="679"/>
      <c r="AZ1363" s="679"/>
      <c r="BA1363" s="679"/>
      <c r="BB1363" s="679"/>
      <c r="BC1363" s="679"/>
      <c r="BD1363" s="679"/>
      <c r="BE1363" s="679"/>
      <c r="BF1363" s="679"/>
      <c r="BG1363" s="679"/>
      <c r="BH1363" s="679"/>
      <c r="BI1363" s="679"/>
      <c r="BJ1363" s="679"/>
      <c r="BK1363" s="679"/>
      <c r="BL1363" s="679"/>
      <c r="BM1363" s="679"/>
      <c r="BN1363" s="679"/>
      <c r="BO1363" s="679"/>
      <c r="BP1363" s="679"/>
      <c r="BQ1363" s="679"/>
      <c r="BR1363" s="679"/>
      <c r="BS1363" s="679"/>
      <c r="BT1363" s="679"/>
      <c r="BU1363" s="679"/>
      <c r="BV1363" s="679"/>
      <c r="BW1363" s="679"/>
      <c r="BX1363" s="679"/>
      <c r="BY1363" s="679"/>
      <c r="BZ1363" s="679"/>
      <c r="CA1363" s="679"/>
    </row>
    <row r="1364" spans="1:79" hidden="1" outlineLevel="1" x14ac:dyDescent="0.35">
      <c r="A1364" s="224"/>
      <c r="B1364" s="224"/>
      <c r="C1364" s="224"/>
      <c r="D1364" s="224"/>
      <c r="E1364" s="224"/>
      <c r="F1364" s="671" t="s">
        <v>863</v>
      </c>
      <c r="G1364" s="679"/>
      <c r="H1364" s="679"/>
      <c r="I1364" s="679"/>
      <c r="J1364" s="679"/>
      <c r="K1364" s="679"/>
      <c r="L1364" s="679"/>
      <c r="M1364" s="679"/>
      <c r="N1364" s="679"/>
      <c r="O1364" s="679"/>
      <c r="P1364" s="679"/>
      <c r="Q1364" s="679"/>
      <c r="R1364" s="679"/>
      <c r="S1364" s="679"/>
      <c r="T1364" s="679"/>
      <c r="U1364" s="679"/>
      <c r="V1364" s="679"/>
      <c r="W1364" s="679"/>
      <c r="X1364" s="679"/>
      <c r="Y1364" s="679"/>
      <c r="Z1364" s="679"/>
      <c r="AA1364" s="679"/>
      <c r="AB1364" s="679"/>
      <c r="AC1364" s="679"/>
      <c r="AD1364" s="679"/>
      <c r="AE1364" s="679"/>
      <c r="AF1364" s="679"/>
      <c r="AG1364" s="679"/>
      <c r="AH1364" s="679"/>
      <c r="AI1364" s="679"/>
      <c r="AJ1364" s="679"/>
      <c r="AK1364" s="679"/>
      <c r="AL1364" s="679"/>
      <c r="AM1364" s="679"/>
      <c r="AN1364" s="679"/>
      <c r="AO1364" s="679"/>
      <c r="AP1364" s="679"/>
      <c r="AQ1364" s="679"/>
      <c r="AR1364" s="679"/>
      <c r="AS1364" s="679"/>
      <c r="AT1364" s="679"/>
      <c r="AU1364" s="679"/>
      <c r="AV1364" s="679"/>
      <c r="AW1364" s="679"/>
      <c r="AX1364" s="679"/>
      <c r="AY1364" s="679"/>
      <c r="AZ1364" s="679"/>
      <c r="BA1364" s="679"/>
      <c r="BB1364" s="679"/>
      <c r="BC1364" s="679"/>
      <c r="BD1364" s="679"/>
      <c r="BE1364" s="679"/>
      <c r="BF1364" s="679"/>
      <c r="BG1364" s="679"/>
      <c r="BH1364" s="679"/>
      <c r="BI1364" s="679"/>
      <c r="BJ1364" s="679"/>
      <c r="BK1364" s="679"/>
      <c r="BL1364" s="679"/>
      <c r="BM1364" s="679"/>
      <c r="BN1364" s="679"/>
      <c r="BO1364" s="679"/>
      <c r="BP1364" s="679"/>
      <c r="BQ1364" s="679"/>
      <c r="BR1364" s="679"/>
      <c r="BS1364" s="679"/>
      <c r="BT1364" s="679"/>
      <c r="BU1364" s="679"/>
      <c r="BV1364" s="679"/>
      <c r="BW1364" s="679"/>
      <c r="BX1364" s="679"/>
      <c r="BY1364" s="679"/>
      <c r="BZ1364" s="679"/>
      <c r="CA1364" s="679"/>
    </row>
    <row r="1365" spans="1:79" hidden="1" outlineLevel="1" x14ac:dyDescent="0.35">
      <c r="A1365" s="224"/>
      <c r="B1365" s="224"/>
      <c r="C1365" s="224"/>
      <c r="D1365" s="224"/>
      <c r="E1365" s="224"/>
      <c r="F1365" s="671" t="s">
        <v>18</v>
      </c>
      <c r="G1365" s="679"/>
      <c r="H1365" s="679"/>
      <c r="I1365" s="679"/>
      <c r="J1365" s="679"/>
      <c r="K1365" s="679"/>
      <c r="L1365" s="679"/>
      <c r="M1365" s="679"/>
      <c r="N1365" s="679"/>
      <c r="O1365" s="679"/>
      <c r="P1365" s="679"/>
      <c r="Q1365" s="679"/>
      <c r="R1365" s="679"/>
      <c r="S1365" s="679"/>
      <c r="T1365" s="679"/>
      <c r="U1365" s="679"/>
      <c r="V1365" s="679"/>
      <c r="W1365" s="679"/>
      <c r="X1365" s="679"/>
      <c r="Y1365" s="679"/>
      <c r="Z1365" s="679"/>
      <c r="AA1365" s="679"/>
      <c r="AB1365" s="679"/>
      <c r="AC1365" s="679"/>
      <c r="AD1365" s="679"/>
      <c r="AE1365" s="679"/>
      <c r="AF1365" s="679"/>
      <c r="AG1365" s="679"/>
      <c r="AH1365" s="679"/>
      <c r="AI1365" s="679"/>
      <c r="AJ1365" s="679"/>
      <c r="AK1365" s="679"/>
      <c r="AL1365" s="679"/>
      <c r="AM1365" s="679"/>
      <c r="AN1365" s="679"/>
      <c r="AO1365" s="679"/>
      <c r="AP1365" s="679"/>
      <c r="AQ1365" s="679"/>
      <c r="AR1365" s="679"/>
      <c r="AS1365" s="679"/>
      <c r="AT1365" s="679"/>
      <c r="AU1365" s="679"/>
      <c r="AV1365" s="679"/>
      <c r="AW1365" s="679"/>
      <c r="AX1365" s="679"/>
      <c r="AY1365" s="679"/>
      <c r="AZ1365" s="679"/>
      <c r="BA1365" s="679"/>
      <c r="BB1365" s="679"/>
      <c r="BC1365" s="679"/>
      <c r="BD1365" s="679"/>
      <c r="BE1365" s="679"/>
      <c r="BF1365" s="679"/>
      <c r="BG1365" s="679"/>
      <c r="BH1365" s="679"/>
      <c r="BI1365" s="679"/>
      <c r="BJ1365" s="679"/>
      <c r="BK1365" s="679"/>
      <c r="BL1365" s="679"/>
      <c r="BM1365" s="679"/>
      <c r="BN1365" s="679"/>
      <c r="BO1365" s="679"/>
      <c r="BP1365" s="679"/>
      <c r="BQ1365" s="679"/>
      <c r="BR1365" s="679"/>
      <c r="BS1365" s="679"/>
      <c r="BT1365" s="679"/>
      <c r="BU1365" s="679"/>
      <c r="BV1365" s="679"/>
      <c r="BW1365" s="679"/>
      <c r="BX1365" s="679"/>
      <c r="BY1365" s="679"/>
      <c r="BZ1365" s="679"/>
      <c r="CA1365" s="679"/>
    </row>
    <row r="1366" spans="1:79" hidden="1" outlineLevel="1" x14ac:dyDescent="0.35">
      <c r="A1366" s="224"/>
      <c r="B1366" s="224"/>
      <c r="C1366" s="224"/>
      <c r="D1366" s="224"/>
      <c r="E1366" s="224"/>
      <c r="F1366" s="671" t="s">
        <v>864</v>
      </c>
      <c r="G1366" s="679"/>
      <c r="H1366" s="679"/>
      <c r="I1366" s="679"/>
      <c r="J1366" s="679"/>
      <c r="K1366" s="679"/>
      <c r="L1366" s="679"/>
      <c r="M1366" s="679"/>
      <c r="N1366" s="679"/>
      <c r="O1366" s="679"/>
      <c r="P1366" s="679"/>
      <c r="Q1366" s="679"/>
      <c r="R1366" s="679"/>
      <c r="S1366" s="679"/>
      <c r="T1366" s="679"/>
      <c r="U1366" s="679"/>
      <c r="V1366" s="679"/>
      <c r="W1366" s="679"/>
      <c r="X1366" s="679"/>
      <c r="Y1366" s="679"/>
      <c r="Z1366" s="679"/>
      <c r="AA1366" s="679"/>
      <c r="AB1366" s="679"/>
      <c r="AC1366" s="679"/>
      <c r="AD1366" s="679"/>
      <c r="AE1366" s="679"/>
      <c r="AF1366" s="679"/>
      <c r="AG1366" s="679"/>
      <c r="AH1366" s="679"/>
      <c r="AI1366" s="679"/>
      <c r="AJ1366" s="679"/>
      <c r="AK1366" s="679"/>
      <c r="AL1366" s="679"/>
      <c r="AM1366" s="679"/>
      <c r="AN1366" s="679"/>
      <c r="AO1366" s="679"/>
      <c r="AP1366" s="679"/>
      <c r="AQ1366" s="679"/>
      <c r="AR1366" s="679"/>
      <c r="AS1366" s="679"/>
      <c r="AT1366" s="679"/>
      <c r="AU1366" s="679"/>
      <c r="AV1366" s="679"/>
      <c r="AW1366" s="679"/>
      <c r="AX1366" s="679"/>
      <c r="AY1366" s="679"/>
      <c r="AZ1366" s="679"/>
      <c r="BA1366" s="679"/>
      <c r="BB1366" s="679"/>
      <c r="BC1366" s="679"/>
      <c r="BD1366" s="679"/>
      <c r="BE1366" s="679"/>
      <c r="BF1366" s="679"/>
      <c r="BG1366" s="679"/>
      <c r="BH1366" s="679"/>
      <c r="BI1366" s="679"/>
      <c r="BJ1366" s="679"/>
      <c r="BK1366" s="679"/>
      <c r="BL1366" s="679"/>
      <c r="BM1366" s="679"/>
      <c r="BN1366" s="679"/>
      <c r="BO1366" s="679"/>
      <c r="BP1366" s="679"/>
      <c r="BQ1366" s="679"/>
      <c r="BR1366" s="679"/>
      <c r="BS1366" s="679"/>
      <c r="BT1366" s="679"/>
      <c r="BU1366" s="679"/>
      <c r="BV1366" s="679"/>
      <c r="BW1366" s="679"/>
      <c r="BX1366" s="679"/>
      <c r="BY1366" s="679"/>
      <c r="BZ1366" s="679"/>
      <c r="CA1366" s="679"/>
    </row>
    <row r="1367" spans="1:79" hidden="1" outlineLevel="1" x14ac:dyDescent="0.35">
      <c r="A1367" s="709"/>
      <c r="B1367" s="709"/>
      <c r="C1367" s="709"/>
      <c r="D1367" s="709"/>
      <c r="E1367" s="709"/>
      <c r="F1367" s="707" t="s">
        <v>649</v>
      </c>
      <c r="G1367" s="708"/>
      <c r="H1367" s="708"/>
      <c r="I1367" s="708"/>
      <c r="J1367" s="708"/>
      <c r="K1367" s="708"/>
      <c r="L1367" s="708"/>
      <c r="M1367" s="708"/>
      <c r="N1367" s="708"/>
      <c r="O1367" s="708"/>
      <c r="P1367" s="708"/>
      <c r="Q1367" s="708"/>
      <c r="R1367" s="708"/>
      <c r="S1367" s="708"/>
      <c r="T1367" s="708"/>
      <c r="U1367" s="708"/>
      <c r="V1367" s="708"/>
      <c r="W1367" s="708"/>
      <c r="X1367" s="708"/>
      <c r="Y1367" s="708"/>
      <c r="Z1367" s="708"/>
      <c r="AA1367" s="708"/>
      <c r="AB1367" s="708"/>
      <c r="AC1367" s="708"/>
      <c r="AD1367" s="708"/>
      <c r="AE1367" s="708"/>
      <c r="AF1367" s="708"/>
      <c r="AG1367" s="708"/>
      <c r="AH1367" s="708"/>
      <c r="AI1367" s="708"/>
      <c r="AJ1367" s="708"/>
      <c r="AK1367" s="708"/>
      <c r="AL1367" s="708"/>
      <c r="AM1367" s="708"/>
      <c r="AN1367" s="708"/>
      <c r="AO1367" s="708"/>
      <c r="AP1367" s="708"/>
      <c r="AQ1367" s="708"/>
      <c r="AR1367" s="708"/>
      <c r="AS1367" s="708"/>
      <c r="AT1367" s="708"/>
      <c r="AU1367" s="708"/>
      <c r="AV1367" s="708"/>
      <c r="AW1367" s="708"/>
      <c r="AX1367" s="708"/>
      <c r="AY1367" s="708"/>
      <c r="AZ1367" s="708"/>
      <c r="BA1367" s="708"/>
      <c r="BB1367" s="708"/>
      <c r="BC1367" s="708"/>
      <c r="BD1367" s="708"/>
      <c r="BE1367" s="708"/>
      <c r="BF1367" s="708"/>
      <c r="BG1367" s="708"/>
      <c r="BH1367" s="708"/>
      <c r="BI1367" s="708"/>
      <c r="BJ1367" s="708"/>
      <c r="BK1367" s="708"/>
      <c r="BL1367" s="708"/>
      <c r="BM1367" s="708"/>
      <c r="BN1367" s="708"/>
      <c r="BO1367" s="708"/>
      <c r="BP1367" s="708"/>
      <c r="BQ1367" s="708"/>
      <c r="BR1367" s="708"/>
      <c r="BS1367" s="708"/>
      <c r="BT1367" s="708"/>
      <c r="BU1367" s="708"/>
      <c r="BV1367" s="708"/>
      <c r="BW1367" s="708"/>
      <c r="BX1367" s="708"/>
      <c r="BY1367" s="708"/>
      <c r="BZ1367" s="708"/>
      <c r="CA1367" s="708"/>
    </row>
    <row r="1368" spans="1:79" hidden="1" outlineLevel="1" x14ac:dyDescent="0.35">
      <c r="A1368" s="224"/>
      <c r="B1368" s="224"/>
      <c r="C1368" s="224"/>
      <c r="D1368" s="224"/>
      <c r="E1368" s="224"/>
      <c r="F1368" s="672" t="s">
        <v>865</v>
      </c>
      <c r="G1368" s="679"/>
      <c r="H1368" s="679"/>
      <c r="I1368" s="679"/>
      <c r="J1368" s="679"/>
      <c r="K1368" s="679"/>
      <c r="L1368" s="679"/>
      <c r="M1368" s="679"/>
      <c r="N1368" s="679"/>
      <c r="O1368" s="679"/>
      <c r="P1368" s="679"/>
      <c r="Q1368" s="679"/>
      <c r="R1368" s="679"/>
      <c r="S1368" s="679"/>
      <c r="T1368" s="679"/>
      <c r="U1368" s="679"/>
      <c r="V1368" s="679"/>
      <c r="W1368" s="679"/>
      <c r="X1368" s="679"/>
      <c r="Y1368" s="679"/>
      <c r="Z1368" s="679"/>
      <c r="AA1368" s="679"/>
      <c r="AB1368" s="679"/>
      <c r="AC1368" s="679"/>
      <c r="AD1368" s="679"/>
      <c r="AE1368" s="679"/>
      <c r="AF1368" s="679"/>
      <c r="AG1368" s="679"/>
      <c r="AH1368" s="679"/>
      <c r="AI1368" s="679"/>
      <c r="AJ1368" s="679"/>
      <c r="AK1368" s="679"/>
      <c r="AL1368" s="679"/>
      <c r="AM1368" s="679"/>
      <c r="AN1368" s="679"/>
      <c r="AO1368" s="679"/>
      <c r="AP1368" s="679"/>
      <c r="AQ1368" s="679"/>
      <c r="AR1368" s="679"/>
      <c r="AS1368" s="679"/>
      <c r="AT1368" s="679"/>
      <c r="AU1368" s="679"/>
      <c r="AV1368" s="679"/>
      <c r="AW1368" s="679"/>
      <c r="AX1368" s="679"/>
      <c r="AY1368" s="679"/>
      <c r="AZ1368" s="679"/>
      <c r="BA1368" s="679"/>
      <c r="BB1368" s="679"/>
      <c r="BC1368" s="679"/>
      <c r="BD1368" s="679"/>
      <c r="BE1368" s="679"/>
      <c r="BF1368" s="679"/>
      <c r="BG1368" s="679"/>
      <c r="BH1368" s="679"/>
      <c r="BI1368" s="679"/>
      <c r="BJ1368" s="679"/>
      <c r="BK1368" s="679"/>
      <c r="BL1368" s="679"/>
      <c r="BM1368" s="679"/>
      <c r="BN1368" s="679"/>
      <c r="BO1368" s="679"/>
      <c r="BP1368" s="679"/>
      <c r="BQ1368" s="679"/>
      <c r="BR1368" s="679"/>
      <c r="BS1368" s="679"/>
      <c r="BT1368" s="679"/>
      <c r="BU1368" s="679"/>
      <c r="BV1368" s="679"/>
      <c r="BW1368" s="679"/>
      <c r="BX1368" s="679"/>
      <c r="BY1368" s="679"/>
      <c r="BZ1368" s="679"/>
      <c r="CA1368" s="679"/>
    </row>
    <row r="1369" spans="1:79" hidden="1" outlineLevel="1" x14ac:dyDescent="0.35">
      <c r="A1369" s="574"/>
      <c r="B1369" s="574"/>
      <c r="C1369" s="574"/>
      <c r="D1369" s="574"/>
      <c r="E1369" s="574"/>
      <c r="F1369" s="672" t="s">
        <v>866</v>
      </c>
      <c r="G1369" s="735"/>
      <c r="H1369" s="735"/>
      <c r="I1369" s="735"/>
      <c r="J1369" s="735"/>
      <c r="K1369" s="735"/>
      <c r="L1369" s="735"/>
      <c r="M1369" s="735"/>
      <c r="N1369" s="735"/>
      <c r="O1369" s="735"/>
      <c r="P1369" s="732"/>
      <c r="Q1369" s="732"/>
      <c r="R1369" s="732"/>
      <c r="S1369" s="679"/>
      <c r="T1369" s="679"/>
      <c r="U1369" s="679"/>
      <c r="V1369" s="679"/>
      <c r="W1369" s="679"/>
      <c r="X1369" s="679"/>
      <c r="Y1369" s="679"/>
      <c r="Z1369" s="679"/>
      <c r="AA1369" s="679"/>
      <c r="AB1369" s="679"/>
      <c r="AC1369" s="679"/>
      <c r="AD1369" s="679"/>
      <c r="AE1369" s="734"/>
      <c r="AF1369" s="734"/>
      <c r="AG1369" s="734"/>
      <c r="AH1369" s="734"/>
      <c r="AI1369" s="734"/>
      <c r="AJ1369" s="734"/>
      <c r="AK1369" s="734"/>
      <c r="AL1369" s="734"/>
      <c r="AM1369" s="734"/>
      <c r="AN1369" s="734"/>
      <c r="AO1369" s="734"/>
      <c r="AP1369" s="734"/>
      <c r="AQ1369" s="734"/>
      <c r="AR1369" s="734"/>
      <c r="AS1369" s="734"/>
      <c r="AT1369" s="734"/>
      <c r="AU1369" s="734"/>
      <c r="AV1369" s="734"/>
      <c r="AW1369" s="734"/>
      <c r="AX1369" s="734"/>
      <c r="AY1369" s="734"/>
      <c r="AZ1369" s="734"/>
      <c r="BA1369" s="734"/>
      <c r="BB1369" s="734"/>
      <c r="BC1369" s="734"/>
      <c r="BD1369" s="734"/>
      <c r="BE1369" s="734"/>
      <c r="BF1369" s="734"/>
      <c r="BG1369" s="734"/>
      <c r="BH1369" s="734"/>
      <c r="BI1369" s="734"/>
      <c r="BJ1369" s="734"/>
      <c r="BK1369" s="734"/>
      <c r="BL1369" s="734"/>
      <c r="BM1369" s="734"/>
      <c r="BN1369" s="734"/>
      <c r="BO1369" s="734"/>
      <c r="BP1369" s="734"/>
      <c r="BQ1369" s="734"/>
      <c r="BR1369" s="734"/>
      <c r="BS1369" s="734"/>
      <c r="BT1369" s="734"/>
      <c r="BU1369" s="734"/>
      <c r="BV1369" s="734"/>
      <c r="BW1369" s="734"/>
      <c r="BX1369" s="734"/>
      <c r="BY1369" s="734"/>
      <c r="BZ1369" s="734"/>
      <c r="CA1369" s="734"/>
    </row>
    <row r="1370" spans="1:79" hidden="1" outlineLevel="1" x14ac:dyDescent="0.35">
      <c r="A1370" s="224"/>
      <c r="B1370" s="224"/>
      <c r="C1370" s="224"/>
      <c r="D1370" s="224"/>
      <c r="E1370" s="224"/>
      <c r="F1370" s="673" t="s">
        <v>867</v>
      </c>
      <c r="G1370" s="680"/>
      <c r="H1370" s="680"/>
      <c r="I1370" s="680"/>
      <c r="J1370" s="680"/>
      <c r="K1370" s="680"/>
      <c r="L1370" s="680"/>
      <c r="M1370" s="680"/>
      <c r="N1370" s="680"/>
      <c r="O1370" s="680"/>
      <c r="P1370" s="680"/>
      <c r="Q1370" s="680"/>
      <c r="R1370" s="680"/>
      <c r="S1370" s="680"/>
      <c r="T1370" s="680"/>
      <c r="U1370" s="680"/>
      <c r="V1370" s="680"/>
      <c r="W1370" s="680"/>
      <c r="X1370" s="680"/>
      <c r="Y1370" s="680"/>
      <c r="Z1370" s="680"/>
      <c r="AA1370" s="680"/>
      <c r="AB1370" s="680"/>
      <c r="AC1370" s="680"/>
      <c r="AD1370" s="680"/>
      <c r="AE1370" s="680">
        <f t="shared" ref="AE1370:BO1370" si="528">SUM(AE1368:AE1369)</f>
        <v>0</v>
      </c>
      <c r="AF1370" s="680">
        <f t="shared" si="528"/>
        <v>0</v>
      </c>
      <c r="AG1370" s="680">
        <f t="shared" si="528"/>
        <v>0</v>
      </c>
      <c r="AH1370" s="680">
        <f t="shared" si="528"/>
        <v>0</v>
      </c>
      <c r="AI1370" s="680">
        <f t="shared" si="528"/>
        <v>0</v>
      </c>
      <c r="AJ1370" s="680">
        <f t="shared" si="528"/>
        <v>0</v>
      </c>
      <c r="AK1370" s="680">
        <f t="shared" si="528"/>
        <v>0</v>
      </c>
      <c r="AL1370" s="680">
        <f t="shared" si="528"/>
        <v>0</v>
      </c>
      <c r="AM1370" s="680">
        <f t="shared" si="528"/>
        <v>0</v>
      </c>
      <c r="AN1370" s="680">
        <f t="shared" si="528"/>
        <v>0</v>
      </c>
      <c r="AO1370" s="680">
        <f t="shared" si="528"/>
        <v>0</v>
      </c>
      <c r="AP1370" s="680">
        <f t="shared" si="528"/>
        <v>0</v>
      </c>
      <c r="AQ1370" s="680">
        <f t="shared" si="528"/>
        <v>0</v>
      </c>
      <c r="AR1370" s="680">
        <f t="shared" si="528"/>
        <v>0</v>
      </c>
      <c r="AS1370" s="680">
        <f t="shared" si="528"/>
        <v>0</v>
      </c>
      <c r="AT1370" s="680">
        <f t="shared" si="528"/>
        <v>0</v>
      </c>
      <c r="AU1370" s="680">
        <f t="shared" si="528"/>
        <v>0</v>
      </c>
      <c r="AV1370" s="680">
        <f t="shared" si="528"/>
        <v>0</v>
      </c>
      <c r="AW1370" s="680">
        <f t="shared" si="528"/>
        <v>0</v>
      </c>
      <c r="AX1370" s="680">
        <f t="shared" si="528"/>
        <v>0</v>
      </c>
      <c r="AY1370" s="680">
        <f t="shared" si="528"/>
        <v>0</v>
      </c>
      <c r="AZ1370" s="680">
        <f t="shared" si="528"/>
        <v>0</v>
      </c>
      <c r="BA1370" s="680">
        <f t="shared" si="528"/>
        <v>0</v>
      </c>
      <c r="BB1370" s="680">
        <f t="shared" si="528"/>
        <v>0</v>
      </c>
      <c r="BC1370" s="680">
        <f t="shared" si="528"/>
        <v>0</v>
      </c>
      <c r="BD1370" s="680">
        <f t="shared" si="528"/>
        <v>0</v>
      </c>
      <c r="BE1370" s="680">
        <f t="shared" si="528"/>
        <v>0</v>
      </c>
      <c r="BF1370" s="680">
        <f t="shared" si="528"/>
        <v>0</v>
      </c>
      <c r="BG1370" s="680">
        <f t="shared" si="528"/>
        <v>0</v>
      </c>
      <c r="BH1370" s="680">
        <f t="shared" si="528"/>
        <v>0</v>
      </c>
      <c r="BI1370" s="680">
        <f t="shared" si="528"/>
        <v>0</v>
      </c>
      <c r="BJ1370" s="680">
        <f t="shared" si="528"/>
        <v>0</v>
      </c>
      <c r="BK1370" s="680">
        <f t="shared" si="528"/>
        <v>0</v>
      </c>
      <c r="BL1370" s="680">
        <f t="shared" si="528"/>
        <v>0</v>
      </c>
      <c r="BM1370" s="680">
        <f t="shared" si="528"/>
        <v>0</v>
      </c>
      <c r="BN1370" s="680">
        <f t="shared" si="528"/>
        <v>0</v>
      </c>
      <c r="BO1370" s="680">
        <f t="shared" si="528"/>
        <v>0</v>
      </c>
      <c r="BP1370" s="680">
        <f t="shared" ref="BP1370:CA1370" si="529">SUM(BP1368:BP1369)</f>
        <v>0</v>
      </c>
      <c r="BQ1370" s="680">
        <f t="shared" si="529"/>
        <v>0</v>
      </c>
      <c r="BR1370" s="680">
        <f t="shared" si="529"/>
        <v>0</v>
      </c>
      <c r="BS1370" s="680">
        <f t="shared" si="529"/>
        <v>0</v>
      </c>
      <c r="BT1370" s="680">
        <f t="shared" si="529"/>
        <v>0</v>
      </c>
      <c r="BU1370" s="680">
        <f t="shared" si="529"/>
        <v>0</v>
      </c>
      <c r="BV1370" s="680">
        <f t="shared" si="529"/>
        <v>0</v>
      </c>
      <c r="BW1370" s="680">
        <f t="shared" si="529"/>
        <v>0</v>
      </c>
      <c r="BX1370" s="680">
        <f t="shared" si="529"/>
        <v>0</v>
      </c>
      <c r="BY1370" s="680">
        <f t="shared" si="529"/>
        <v>0</v>
      </c>
      <c r="BZ1370" s="680">
        <f t="shared" si="529"/>
        <v>0</v>
      </c>
      <c r="CA1370" s="680">
        <f t="shared" si="529"/>
        <v>0</v>
      </c>
    </row>
    <row r="1371" spans="1:79" hidden="1" outlineLevel="1" x14ac:dyDescent="0.35">
      <c r="A1371" s="224"/>
      <c r="B1371" s="224"/>
      <c r="C1371" s="224"/>
      <c r="D1371" s="224"/>
      <c r="E1371" s="224"/>
      <c r="F1371" s="671" t="s">
        <v>868</v>
      </c>
      <c r="G1371" s="680"/>
      <c r="H1371" s="680"/>
      <c r="I1371" s="680"/>
      <c r="J1371" s="680"/>
      <c r="K1371" s="680"/>
      <c r="L1371" s="680"/>
      <c r="M1371" s="680"/>
      <c r="N1371" s="680"/>
      <c r="O1371" s="680"/>
      <c r="P1371" s="680"/>
      <c r="Q1371" s="680"/>
      <c r="R1371" s="680"/>
      <c r="S1371" s="679"/>
      <c r="T1371" s="679"/>
      <c r="U1371" s="679"/>
      <c r="V1371" s="679"/>
      <c r="W1371" s="679"/>
      <c r="X1371" s="679"/>
      <c r="Y1371" s="679"/>
      <c r="Z1371" s="679"/>
      <c r="AA1371" s="679"/>
      <c r="AB1371" s="679"/>
      <c r="AC1371" s="679"/>
      <c r="AD1371" s="679"/>
      <c r="AE1371" s="680"/>
      <c r="AF1371" s="680"/>
      <c r="AG1371" s="680"/>
      <c r="AH1371" s="680"/>
      <c r="AI1371" s="680"/>
      <c r="AJ1371" s="680"/>
      <c r="AK1371" s="680"/>
      <c r="AL1371" s="680"/>
      <c r="AM1371" s="680"/>
      <c r="AN1371" s="680"/>
      <c r="AO1371" s="680"/>
      <c r="AP1371" s="680"/>
      <c r="AQ1371" s="680"/>
      <c r="AR1371" s="680"/>
      <c r="AS1371" s="680"/>
      <c r="AT1371" s="680"/>
      <c r="AU1371" s="680"/>
      <c r="AV1371" s="680"/>
      <c r="AW1371" s="680"/>
      <c r="AX1371" s="680"/>
      <c r="AY1371" s="680"/>
      <c r="AZ1371" s="680"/>
      <c r="BA1371" s="680"/>
      <c r="BB1371" s="680"/>
      <c r="BC1371" s="680"/>
      <c r="BD1371" s="680"/>
      <c r="BE1371" s="680"/>
      <c r="BF1371" s="680"/>
      <c r="BG1371" s="680"/>
      <c r="BH1371" s="680"/>
      <c r="BI1371" s="680"/>
      <c r="BJ1371" s="680"/>
      <c r="BK1371" s="680"/>
      <c r="BL1371" s="680"/>
      <c r="BM1371" s="680"/>
      <c r="BN1371" s="680"/>
      <c r="BO1371" s="680"/>
      <c r="BP1371" s="680"/>
      <c r="BQ1371" s="680"/>
      <c r="BR1371" s="680"/>
      <c r="BS1371" s="680"/>
      <c r="BT1371" s="680"/>
      <c r="BU1371" s="680"/>
      <c r="BV1371" s="680"/>
      <c r="BW1371" s="680"/>
      <c r="BX1371" s="680"/>
      <c r="BY1371" s="680"/>
      <c r="BZ1371" s="680"/>
      <c r="CA1371" s="680"/>
    </row>
    <row r="1372" spans="1:79" hidden="1" outlineLevel="1" x14ac:dyDescent="0.35">
      <c r="A1372" s="224"/>
      <c r="B1372" s="224"/>
      <c r="C1372" s="224"/>
      <c r="D1372" s="224"/>
      <c r="E1372" s="224"/>
      <c r="F1372" s="671" t="s">
        <v>869</v>
      </c>
      <c r="G1372" s="680"/>
      <c r="H1372" s="680"/>
      <c r="I1372" s="680"/>
      <c r="J1372" s="680"/>
      <c r="K1372" s="680"/>
      <c r="L1372" s="680"/>
      <c r="M1372" s="680"/>
      <c r="N1372" s="680"/>
      <c r="O1372" s="680"/>
      <c r="P1372" s="680"/>
      <c r="Q1372" s="680"/>
      <c r="R1372" s="680"/>
      <c r="S1372" s="679"/>
      <c r="T1372" s="679"/>
      <c r="U1372" s="679"/>
      <c r="V1372" s="679"/>
      <c r="W1372" s="679"/>
      <c r="X1372" s="679"/>
      <c r="Y1372" s="679"/>
      <c r="Z1372" s="679"/>
      <c r="AA1372" s="679"/>
      <c r="AB1372" s="679"/>
      <c r="AC1372" s="679"/>
      <c r="AD1372" s="679"/>
      <c r="AE1372" s="680"/>
      <c r="AF1372" s="680"/>
      <c r="AG1372" s="680"/>
      <c r="AH1372" s="680"/>
      <c r="AI1372" s="680"/>
      <c r="AJ1372" s="680"/>
      <c r="AK1372" s="680"/>
      <c r="AL1372" s="680"/>
      <c r="AM1372" s="680"/>
      <c r="AN1372" s="680"/>
      <c r="AO1372" s="680"/>
      <c r="AP1372" s="680"/>
      <c r="AQ1372" s="680"/>
      <c r="AR1372" s="680"/>
      <c r="AS1372" s="680"/>
      <c r="AT1372" s="680"/>
      <c r="AU1372" s="680"/>
      <c r="AV1372" s="680"/>
      <c r="AW1372" s="680"/>
      <c r="AX1372" s="680"/>
      <c r="AY1372" s="680"/>
      <c r="AZ1372" s="680"/>
      <c r="BA1372" s="680"/>
      <c r="BB1372" s="680"/>
      <c r="BC1372" s="680"/>
      <c r="BD1372" s="680"/>
      <c r="BE1372" s="680"/>
      <c r="BF1372" s="680"/>
      <c r="BG1372" s="680"/>
      <c r="BH1372" s="680"/>
      <c r="BI1372" s="680"/>
      <c r="BJ1372" s="680"/>
      <c r="BK1372" s="680"/>
      <c r="BL1372" s="680"/>
      <c r="BM1372" s="680"/>
      <c r="BN1372" s="680"/>
      <c r="BO1372" s="680"/>
      <c r="BP1372" s="680"/>
      <c r="BQ1372" s="680"/>
      <c r="BR1372" s="680"/>
      <c r="BS1372" s="680"/>
      <c r="BT1372" s="680"/>
      <c r="BU1372" s="680"/>
      <c r="BV1372" s="680"/>
      <c r="BW1372" s="680"/>
      <c r="BX1372" s="680"/>
      <c r="BY1372" s="680"/>
      <c r="BZ1372" s="680"/>
      <c r="CA1372" s="680"/>
    </row>
    <row r="1373" spans="1:79" s="709" customFormat="1" hidden="1" outlineLevel="1" x14ac:dyDescent="0.35">
      <c r="F1373" s="707" t="s">
        <v>870</v>
      </c>
      <c r="G1373" s="763"/>
      <c r="H1373" s="763"/>
      <c r="I1373" s="763"/>
      <c r="J1373" s="763"/>
      <c r="K1373" s="763"/>
      <c r="L1373" s="763"/>
      <c r="M1373" s="763"/>
      <c r="N1373" s="763"/>
      <c r="O1373" s="763"/>
      <c r="P1373" s="763"/>
      <c r="Q1373" s="763"/>
      <c r="R1373" s="763"/>
      <c r="S1373" s="708"/>
      <c r="T1373" s="708"/>
      <c r="U1373" s="708"/>
      <c r="V1373" s="708"/>
      <c r="W1373" s="708"/>
      <c r="X1373" s="708"/>
      <c r="Y1373" s="708"/>
      <c r="Z1373" s="708"/>
      <c r="AA1373" s="708"/>
      <c r="AB1373" s="708"/>
      <c r="AC1373" s="708"/>
      <c r="AD1373" s="708"/>
      <c r="AE1373" s="763"/>
      <c r="AF1373" s="763"/>
      <c r="AG1373" s="763"/>
      <c r="AH1373" s="763"/>
      <c r="AI1373" s="763"/>
      <c r="AJ1373" s="763"/>
      <c r="AK1373" s="763"/>
      <c r="AL1373" s="763"/>
      <c r="AM1373" s="763"/>
      <c r="AN1373" s="763"/>
      <c r="AO1373" s="763"/>
      <c r="AP1373" s="763"/>
      <c r="AQ1373" s="763"/>
      <c r="AR1373" s="763"/>
      <c r="AS1373" s="763"/>
      <c r="AT1373" s="763"/>
      <c r="AU1373" s="763"/>
      <c r="AV1373" s="763"/>
      <c r="AW1373" s="763"/>
      <c r="AX1373" s="763"/>
      <c r="AY1373" s="763"/>
      <c r="AZ1373" s="763"/>
      <c r="BA1373" s="763"/>
      <c r="BB1373" s="763"/>
      <c r="BC1373" s="763"/>
      <c r="BD1373" s="763"/>
      <c r="BE1373" s="763"/>
      <c r="BF1373" s="763"/>
      <c r="BG1373" s="763"/>
      <c r="BH1373" s="763"/>
      <c r="BI1373" s="763"/>
      <c r="BJ1373" s="763"/>
      <c r="BK1373" s="763"/>
      <c r="BL1373" s="763"/>
      <c r="BM1373" s="763"/>
      <c r="BN1373" s="763"/>
      <c r="BO1373" s="763"/>
      <c r="BP1373" s="763"/>
      <c r="BQ1373" s="763"/>
      <c r="BR1373" s="763"/>
      <c r="BS1373" s="763"/>
      <c r="BT1373" s="763"/>
      <c r="BU1373" s="763"/>
      <c r="BV1373" s="763"/>
      <c r="BW1373" s="763"/>
      <c r="BX1373" s="763"/>
      <c r="BY1373" s="763"/>
      <c r="BZ1373" s="763"/>
      <c r="CA1373" s="763"/>
    </row>
    <row r="1374" spans="1:79" hidden="1" outlineLevel="1" x14ac:dyDescent="0.35">
      <c r="A1374" s="224"/>
      <c r="B1374" s="224"/>
      <c r="C1374" s="224"/>
      <c r="D1374" s="224"/>
      <c r="E1374" s="224"/>
      <c r="F1374" s="672" t="s">
        <v>871</v>
      </c>
      <c r="G1374" s="680"/>
      <c r="H1374" s="680"/>
      <c r="I1374" s="680"/>
      <c r="J1374" s="680"/>
      <c r="K1374" s="680"/>
      <c r="L1374" s="680"/>
      <c r="M1374" s="680"/>
      <c r="N1374" s="680"/>
      <c r="O1374" s="680"/>
      <c r="P1374" s="680"/>
      <c r="Q1374" s="680"/>
      <c r="R1374" s="680"/>
      <c r="S1374" s="679"/>
      <c r="T1374" s="679"/>
      <c r="U1374" s="679"/>
      <c r="V1374" s="679"/>
      <c r="W1374" s="679"/>
      <c r="X1374" s="679"/>
      <c r="Y1374" s="679"/>
      <c r="Z1374" s="679"/>
      <c r="AA1374" s="679"/>
      <c r="AB1374" s="679"/>
      <c r="AC1374" s="679"/>
      <c r="AD1374" s="679"/>
      <c r="AE1374" s="680"/>
      <c r="AF1374" s="680"/>
      <c r="AG1374" s="680"/>
      <c r="AH1374" s="680"/>
      <c r="AI1374" s="680"/>
      <c r="AJ1374" s="680"/>
      <c r="AK1374" s="680"/>
      <c r="AL1374" s="680"/>
      <c r="AM1374" s="680"/>
      <c r="AN1374" s="680"/>
      <c r="AO1374" s="680"/>
      <c r="AP1374" s="680"/>
      <c r="AQ1374" s="680"/>
      <c r="AR1374" s="680"/>
      <c r="AS1374" s="680"/>
      <c r="AT1374" s="680"/>
      <c r="AU1374" s="680"/>
      <c r="AV1374" s="680"/>
      <c r="AW1374" s="680"/>
      <c r="AX1374" s="680"/>
      <c r="AY1374" s="680"/>
      <c r="AZ1374" s="680"/>
      <c r="BA1374" s="680"/>
      <c r="BB1374" s="680"/>
      <c r="BC1374" s="680"/>
      <c r="BD1374" s="680"/>
      <c r="BE1374" s="680"/>
      <c r="BF1374" s="680"/>
      <c r="BG1374" s="680"/>
      <c r="BH1374" s="680"/>
      <c r="BI1374" s="680"/>
      <c r="BJ1374" s="680"/>
      <c r="BK1374" s="680"/>
      <c r="BL1374" s="680"/>
      <c r="BM1374" s="680"/>
      <c r="BN1374" s="680"/>
      <c r="BO1374" s="680"/>
      <c r="BP1374" s="680"/>
      <c r="BQ1374" s="680"/>
      <c r="BR1374" s="680"/>
      <c r="BS1374" s="680"/>
      <c r="BT1374" s="680"/>
      <c r="BU1374" s="680"/>
      <c r="BV1374" s="680"/>
      <c r="BW1374" s="680"/>
      <c r="BX1374" s="680"/>
      <c r="BY1374" s="680"/>
      <c r="BZ1374" s="680"/>
      <c r="CA1374" s="680"/>
    </row>
    <row r="1375" spans="1:79" hidden="1" outlineLevel="1" x14ac:dyDescent="0.35">
      <c r="A1375" s="224"/>
      <c r="B1375" s="224"/>
      <c r="C1375" s="224"/>
      <c r="D1375" s="224"/>
      <c r="E1375" s="224"/>
      <c r="F1375" s="672" t="s">
        <v>872</v>
      </c>
      <c r="G1375" s="680"/>
      <c r="H1375" s="680"/>
      <c r="I1375" s="680"/>
      <c r="J1375" s="680"/>
      <c r="K1375" s="680"/>
      <c r="L1375" s="680"/>
      <c r="M1375" s="680"/>
      <c r="N1375" s="680"/>
      <c r="O1375" s="680"/>
      <c r="P1375" s="680"/>
      <c r="Q1375" s="680"/>
      <c r="R1375" s="680"/>
      <c r="S1375" s="679"/>
      <c r="T1375" s="679"/>
      <c r="U1375" s="679"/>
      <c r="V1375" s="679"/>
      <c r="W1375" s="679"/>
      <c r="X1375" s="679"/>
      <c r="Y1375" s="679"/>
      <c r="Z1375" s="679"/>
      <c r="AA1375" s="679"/>
      <c r="AB1375" s="679"/>
      <c r="AC1375" s="679"/>
      <c r="AD1375" s="679"/>
      <c r="AE1375" s="680"/>
      <c r="AF1375" s="680"/>
      <c r="AG1375" s="680"/>
      <c r="AH1375" s="680"/>
      <c r="AI1375" s="680"/>
      <c r="AJ1375" s="680"/>
      <c r="AK1375" s="680"/>
      <c r="AL1375" s="680"/>
      <c r="AM1375" s="680"/>
      <c r="AN1375" s="680"/>
      <c r="AO1375" s="680"/>
      <c r="AP1375" s="680"/>
      <c r="AQ1375" s="680"/>
      <c r="AR1375" s="680"/>
      <c r="AS1375" s="680"/>
      <c r="AT1375" s="680"/>
      <c r="AU1375" s="680"/>
      <c r="AV1375" s="680"/>
      <c r="AW1375" s="680"/>
      <c r="AX1375" s="680"/>
      <c r="AY1375" s="680"/>
      <c r="AZ1375" s="680"/>
      <c r="BA1375" s="680"/>
      <c r="BB1375" s="680"/>
      <c r="BC1375" s="680"/>
      <c r="BD1375" s="680"/>
      <c r="BE1375" s="680"/>
      <c r="BF1375" s="680"/>
      <c r="BG1375" s="680"/>
      <c r="BH1375" s="680"/>
      <c r="BI1375" s="680"/>
      <c r="BJ1375" s="680"/>
      <c r="BK1375" s="680"/>
      <c r="BL1375" s="680"/>
      <c r="BM1375" s="680"/>
      <c r="BN1375" s="680"/>
      <c r="BO1375" s="680"/>
      <c r="BP1375" s="680"/>
      <c r="BQ1375" s="680"/>
      <c r="BR1375" s="680"/>
      <c r="BS1375" s="680"/>
      <c r="BT1375" s="680"/>
      <c r="BU1375" s="680"/>
      <c r="BV1375" s="680"/>
      <c r="BW1375" s="680"/>
      <c r="BX1375" s="680"/>
      <c r="BY1375" s="680"/>
      <c r="BZ1375" s="680"/>
      <c r="CA1375" s="680"/>
    </row>
    <row r="1376" spans="1:79" hidden="1" outlineLevel="1" x14ac:dyDescent="0.35">
      <c r="A1376" s="224"/>
      <c r="B1376" s="224"/>
      <c r="C1376" s="224"/>
      <c r="D1376" s="224"/>
      <c r="E1376" s="224"/>
      <c r="F1376" s="673" t="s">
        <v>873</v>
      </c>
      <c r="G1376" s="680"/>
      <c r="H1376" s="680"/>
      <c r="I1376" s="680"/>
      <c r="J1376" s="680"/>
      <c r="K1376" s="680"/>
      <c r="L1376" s="680"/>
      <c r="M1376" s="680"/>
      <c r="N1376" s="680"/>
      <c r="O1376" s="680"/>
      <c r="P1376" s="680"/>
      <c r="Q1376" s="680"/>
      <c r="R1376" s="680"/>
      <c r="S1376" s="680"/>
      <c r="T1376" s="680"/>
      <c r="U1376" s="680"/>
      <c r="V1376" s="680"/>
      <c r="W1376" s="680"/>
      <c r="X1376" s="680"/>
      <c r="Y1376" s="680"/>
      <c r="Z1376" s="680"/>
      <c r="AA1376" s="680"/>
      <c r="AB1376" s="680"/>
      <c r="AC1376" s="680"/>
      <c r="AD1376" s="680"/>
      <c r="AE1376" s="680">
        <f t="shared" ref="AE1376" si="530">SUM(AE1374:AE1375)</f>
        <v>0</v>
      </c>
      <c r="AF1376" s="680">
        <f t="shared" ref="AF1376:CA1376" si="531">SUM(AF1374:AF1375)</f>
        <v>0</v>
      </c>
      <c r="AG1376" s="680">
        <f t="shared" si="531"/>
        <v>0</v>
      </c>
      <c r="AH1376" s="680">
        <f t="shared" si="531"/>
        <v>0</v>
      </c>
      <c r="AI1376" s="680">
        <f t="shared" si="531"/>
        <v>0</v>
      </c>
      <c r="AJ1376" s="680">
        <f t="shared" si="531"/>
        <v>0</v>
      </c>
      <c r="AK1376" s="680">
        <f t="shared" si="531"/>
        <v>0</v>
      </c>
      <c r="AL1376" s="680">
        <f t="shared" si="531"/>
        <v>0</v>
      </c>
      <c r="AM1376" s="680">
        <f t="shared" si="531"/>
        <v>0</v>
      </c>
      <c r="AN1376" s="680">
        <f t="shared" si="531"/>
        <v>0</v>
      </c>
      <c r="AO1376" s="680">
        <f t="shared" si="531"/>
        <v>0</v>
      </c>
      <c r="AP1376" s="680">
        <f t="shared" si="531"/>
        <v>0</v>
      </c>
      <c r="AQ1376" s="680">
        <f t="shared" si="531"/>
        <v>0</v>
      </c>
      <c r="AR1376" s="680">
        <f t="shared" si="531"/>
        <v>0</v>
      </c>
      <c r="AS1376" s="680">
        <f t="shared" si="531"/>
        <v>0</v>
      </c>
      <c r="AT1376" s="680">
        <f t="shared" si="531"/>
        <v>0</v>
      </c>
      <c r="AU1376" s="680">
        <f t="shared" si="531"/>
        <v>0</v>
      </c>
      <c r="AV1376" s="680">
        <f t="shared" si="531"/>
        <v>0</v>
      </c>
      <c r="AW1376" s="680">
        <f t="shared" si="531"/>
        <v>0</v>
      </c>
      <c r="AX1376" s="680">
        <f t="shared" si="531"/>
        <v>0</v>
      </c>
      <c r="AY1376" s="680">
        <f t="shared" si="531"/>
        <v>0</v>
      </c>
      <c r="AZ1376" s="680">
        <f t="shared" si="531"/>
        <v>0</v>
      </c>
      <c r="BA1376" s="680">
        <f t="shared" si="531"/>
        <v>0</v>
      </c>
      <c r="BB1376" s="680">
        <f t="shared" si="531"/>
        <v>0</v>
      </c>
      <c r="BC1376" s="680">
        <f t="shared" si="531"/>
        <v>0</v>
      </c>
      <c r="BD1376" s="680">
        <f t="shared" si="531"/>
        <v>0</v>
      </c>
      <c r="BE1376" s="680">
        <f t="shared" si="531"/>
        <v>0</v>
      </c>
      <c r="BF1376" s="680">
        <f t="shared" si="531"/>
        <v>0</v>
      </c>
      <c r="BG1376" s="680">
        <f t="shared" si="531"/>
        <v>0</v>
      </c>
      <c r="BH1376" s="680">
        <f t="shared" si="531"/>
        <v>0</v>
      </c>
      <c r="BI1376" s="680">
        <f t="shared" si="531"/>
        <v>0</v>
      </c>
      <c r="BJ1376" s="680">
        <f t="shared" si="531"/>
        <v>0</v>
      </c>
      <c r="BK1376" s="680">
        <f t="shared" si="531"/>
        <v>0</v>
      </c>
      <c r="BL1376" s="680">
        <f t="shared" si="531"/>
        <v>0</v>
      </c>
      <c r="BM1376" s="680">
        <f t="shared" si="531"/>
        <v>0</v>
      </c>
      <c r="BN1376" s="680">
        <f t="shared" si="531"/>
        <v>0</v>
      </c>
      <c r="BO1376" s="680">
        <f t="shared" si="531"/>
        <v>0</v>
      </c>
      <c r="BP1376" s="680">
        <f t="shared" si="531"/>
        <v>0</v>
      </c>
      <c r="BQ1376" s="680">
        <f t="shared" si="531"/>
        <v>0</v>
      </c>
      <c r="BR1376" s="680">
        <f t="shared" si="531"/>
        <v>0</v>
      </c>
      <c r="BS1376" s="680">
        <f t="shared" si="531"/>
        <v>0</v>
      </c>
      <c r="BT1376" s="680">
        <f t="shared" si="531"/>
        <v>0</v>
      </c>
      <c r="BU1376" s="680">
        <f t="shared" si="531"/>
        <v>0</v>
      </c>
      <c r="BV1376" s="680">
        <f t="shared" si="531"/>
        <v>0</v>
      </c>
      <c r="BW1376" s="680">
        <f t="shared" si="531"/>
        <v>0</v>
      </c>
      <c r="BX1376" s="680">
        <f t="shared" si="531"/>
        <v>0</v>
      </c>
      <c r="BY1376" s="680">
        <f t="shared" si="531"/>
        <v>0</v>
      </c>
      <c r="BZ1376" s="680">
        <f t="shared" si="531"/>
        <v>0</v>
      </c>
      <c r="CA1376" s="680">
        <f t="shared" si="531"/>
        <v>0</v>
      </c>
    </row>
    <row r="1377" spans="1:79" s="709" customFormat="1" hidden="1" outlineLevel="1" x14ac:dyDescent="0.35">
      <c r="F1377" s="710" t="s">
        <v>650</v>
      </c>
      <c r="G1377" s="763"/>
      <c r="H1377" s="763"/>
      <c r="I1377" s="763"/>
      <c r="J1377" s="763"/>
      <c r="K1377" s="763"/>
      <c r="L1377" s="763"/>
      <c r="M1377" s="763"/>
      <c r="N1377" s="763"/>
      <c r="O1377" s="763"/>
      <c r="P1377" s="763"/>
      <c r="Q1377" s="763"/>
      <c r="R1377" s="763"/>
      <c r="S1377" s="708"/>
      <c r="T1377" s="708"/>
      <c r="U1377" s="708"/>
      <c r="V1377" s="708"/>
      <c r="W1377" s="708"/>
      <c r="X1377" s="708"/>
      <c r="Y1377" s="708"/>
      <c r="Z1377" s="708"/>
      <c r="AA1377" s="708"/>
      <c r="AB1377" s="708"/>
      <c r="AC1377" s="708"/>
      <c r="AD1377" s="708"/>
      <c r="AE1377" s="763"/>
      <c r="AF1377" s="763"/>
      <c r="AG1377" s="763"/>
      <c r="AH1377" s="763"/>
      <c r="AI1377" s="763"/>
      <c r="AJ1377" s="763"/>
      <c r="AK1377" s="763"/>
      <c r="AL1377" s="763"/>
      <c r="AM1377" s="763"/>
      <c r="AN1377" s="763"/>
      <c r="AO1377" s="763"/>
      <c r="AP1377" s="763"/>
      <c r="AQ1377" s="763"/>
      <c r="AR1377" s="763"/>
      <c r="AS1377" s="763"/>
      <c r="AT1377" s="763"/>
      <c r="AU1377" s="763"/>
      <c r="AV1377" s="763"/>
      <c r="AW1377" s="763"/>
      <c r="AX1377" s="763"/>
      <c r="AY1377" s="763"/>
      <c r="AZ1377" s="763"/>
      <c r="BA1377" s="763"/>
      <c r="BB1377" s="763"/>
      <c r="BC1377" s="763"/>
      <c r="BD1377" s="763"/>
      <c r="BE1377" s="763"/>
      <c r="BF1377" s="763"/>
      <c r="BG1377" s="763"/>
      <c r="BH1377" s="763"/>
      <c r="BI1377" s="763"/>
      <c r="BJ1377" s="763"/>
      <c r="BK1377" s="763"/>
      <c r="BL1377" s="763"/>
      <c r="BM1377" s="763"/>
      <c r="BN1377" s="763"/>
      <c r="BO1377" s="763"/>
      <c r="BP1377" s="763"/>
      <c r="BQ1377" s="763"/>
      <c r="BR1377" s="763"/>
      <c r="BS1377" s="763"/>
      <c r="BT1377" s="763"/>
      <c r="BU1377" s="763"/>
      <c r="BV1377" s="763"/>
      <c r="BW1377" s="763"/>
      <c r="BX1377" s="763"/>
      <c r="BY1377" s="763"/>
      <c r="BZ1377" s="763"/>
      <c r="CA1377" s="763"/>
    </row>
    <row r="1378" spans="1:79" hidden="1" outlineLevel="1" x14ac:dyDescent="0.35">
      <c r="A1378" s="224"/>
      <c r="B1378" s="224"/>
      <c r="C1378" s="224"/>
      <c r="D1378" s="224"/>
      <c r="E1378" s="224"/>
      <c r="F1378" s="672" t="s">
        <v>874</v>
      </c>
      <c r="G1378" s="680"/>
      <c r="H1378" s="680"/>
      <c r="I1378" s="680"/>
      <c r="J1378" s="680"/>
      <c r="K1378" s="680"/>
      <c r="L1378" s="680"/>
      <c r="M1378" s="680"/>
      <c r="N1378" s="680"/>
      <c r="O1378" s="680"/>
      <c r="P1378" s="680"/>
      <c r="Q1378" s="680"/>
      <c r="R1378" s="680"/>
      <c r="S1378" s="679"/>
      <c r="T1378" s="679"/>
      <c r="U1378" s="679"/>
      <c r="V1378" s="679"/>
      <c r="W1378" s="679"/>
      <c r="X1378" s="679"/>
      <c r="Y1378" s="679"/>
      <c r="Z1378" s="679"/>
      <c r="AA1378" s="679"/>
      <c r="AB1378" s="679"/>
      <c r="AC1378" s="679"/>
      <c r="AD1378" s="679"/>
      <c r="AE1378" s="680"/>
      <c r="AF1378" s="680"/>
      <c r="AG1378" s="680"/>
      <c r="AH1378" s="680"/>
      <c r="AI1378" s="680"/>
      <c r="AJ1378" s="680"/>
      <c r="AK1378" s="680"/>
      <c r="AL1378" s="680"/>
      <c r="AM1378" s="680"/>
      <c r="AN1378" s="680"/>
      <c r="AO1378" s="680"/>
      <c r="AP1378" s="680"/>
      <c r="AQ1378" s="680"/>
      <c r="AR1378" s="680"/>
      <c r="AS1378" s="680"/>
      <c r="AT1378" s="680"/>
      <c r="AU1378" s="680"/>
      <c r="AV1378" s="680"/>
      <c r="AW1378" s="680"/>
      <c r="AX1378" s="680"/>
      <c r="AY1378" s="680"/>
      <c r="AZ1378" s="680"/>
      <c r="BA1378" s="680"/>
      <c r="BB1378" s="680"/>
      <c r="BC1378" s="680"/>
      <c r="BD1378" s="680"/>
      <c r="BE1378" s="680"/>
      <c r="BF1378" s="680"/>
      <c r="BG1378" s="680"/>
      <c r="BH1378" s="680"/>
      <c r="BI1378" s="680"/>
      <c r="BJ1378" s="680"/>
      <c r="BK1378" s="680"/>
      <c r="BL1378" s="680"/>
      <c r="BM1378" s="680"/>
      <c r="BN1378" s="680"/>
      <c r="BO1378" s="680"/>
      <c r="BP1378" s="680"/>
      <c r="BQ1378" s="680"/>
      <c r="BR1378" s="680"/>
      <c r="BS1378" s="680"/>
      <c r="BT1378" s="680"/>
      <c r="BU1378" s="680"/>
      <c r="BV1378" s="680"/>
      <c r="BW1378" s="680"/>
      <c r="BX1378" s="680"/>
      <c r="BY1378" s="680"/>
      <c r="BZ1378" s="680"/>
      <c r="CA1378" s="680"/>
    </row>
    <row r="1379" spans="1:79" s="309" customFormat="1" hidden="1" outlineLevel="1" x14ac:dyDescent="0.35">
      <c r="A1379" s="574"/>
      <c r="B1379" s="574"/>
      <c r="C1379" s="574"/>
      <c r="D1379" s="574"/>
      <c r="E1379" s="574"/>
      <c r="F1379" s="672" t="s">
        <v>875</v>
      </c>
      <c r="G1379" s="732"/>
      <c r="H1379" s="732"/>
      <c r="I1379" s="732"/>
      <c r="J1379" s="732"/>
      <c r="K1379" s="732"/>
      <c r="L1379" s="732"/>
      <c r="M1379" s="732"/>
      <c r="N1379" s="732"/>
      <c r="O1379" s="732"/>
      <c r="P1379" s="732"/>
      <c r="Q1379" s="732"/>
      <c r="R1379" s="736"/>
      <c r="S1379" s="679"/>
      <c r="T1379" s="679"/>
      <c r="U1379" s="679"/>
      <c r="V1379" s="679"/>
      <c r="W1379" s="679"/>
      <c r="X1379" s="679"/>
      <c r="Y1379" s="679"/>
      <c r="Z1379" s="679"/>
      <c r="AA1379" s="679"/>
      <c r="AB1379" s="679"/>
      <c r="AC1379" s="679"/>
      <c r="AD1379" s="679"/>
      <c r="AE1379" s="736"/>
      <c r="AF1379" s="736"/>
      <c r="AG1379" s="736"/>
      <c r="AH1379" s="736"/>
      <c r="AI1379" s="736"/>
      <c r="AJ1379" s="736"/>
      <c r="AK1379" s="736"/>
      <c r="AL1379" s="736"/>
      <c r="AM1379" s="736"/>
      <c r="AN1379" s="736"/>
      <c r="AO1379" s="736"/>
      <c r="AP1379" s="736"/>
      <c r="AQ1379" s="736"/>
      <c r="AR1379" s="736"/>
      <c r="AS1379" s="736"/>
      <c r="AT1379" s="736"/>
      <c r="AU1379" s="736"/>
      <c r="AV1379" s="736"/>
      <c r="AW1379" s="736"/>
      <c r="AX1379" s="736"/>
      <c r="AY1379" s="736"/>
      <c r="AZ1379" s="736"/>
      <c r="BA1379" s="736"/>
      <c r="BB1379" s="736"/>
      <c r="BC1379" s="736"/>
      <c r="BD1379" s="736"/>
      <c r="BE1379" s="736"/>
      <c r="BF1379" s="736"/>
      <c r="BG1379" s="736"/>
      <c r="BH1379" s="736"/>
      <c r="BI1379" s="736"/>
      <c r="BJ1379" s="736"/>
      <c r="BK1379" s="736"/>
      <c r="BL1379" s="736"/>
      <c r="BM1379" s="736"/>
      <c r="BN1379" s="736"/>
      <c r="BO1379" s="736"/>
      <c r="BP1379" s="736"/>
      <c r="BQ1379" s="736"/>
      <c r="BR1379" s="736"/>
      <c r="BS1379" s="736"/>
      <c r="BT1379" s="736"/>
      <c r="BU1379" s="736"/>
      <c r="BV1379" s="736"/>
      <c r="BW1379" s="736"/>
      <c r="BX1379" s="736"/>
      <c r="BY1379" s="736"/>
      <c r="BZ1379" s="736"/>
      <c r="CA1379" s="736"/>
    </row>
    <row r="1380" spans="1:79" s="309" customFormat="1" hidden="1" outlineLevel="1" x14ac:dyDescent="0.35">
      <c r="A1380" s="574"/>
      <c r="B1380" s="574"/>
      <c r="C1380" s="574"/>
      <c r="D1380" s="574"/>
      <c r="E1380" s="574"/>
      <c r="F1380" s="673" t="s">
        <v>876</v>
      </c>
      <c r="G1380" s="680"/>
      <c r="H1380" s="680"/>
      <c r="I1380" s="680"/>
      <c r="J1380" s="680"/>
      <c r="K1380" s="680"/>
      <c r="L1380" s="680"/>
      <c r="M1380" s="680"/>
      <c r="N1380" s="680"/>
      <c r="O1380" s="680"/>
      <c r="P1380" s="680"/>
      <c r="Q1380" s="680"/>
      <c r="R1380" s="680"/>
      <c r="S1380" s="680"/>
      <c r="T1380" s="680"/>
      <c r="U1380" s="680"/>
      <c r="V1380" s="680"/>
      <c r="W1380" s="680"/>
      <c r="X1380" s="680"/>
      <c r="Y1380" s="680"/>
      <c r="Z1380" s="680"/>
      <c r="AA1380" s="680"/>
      <c r="AB1380" s="680"/>
      <c r="AC1380" s="680"/>
      <c r="AD1380" s="680"/>
      <c r="AE1380" s="736"/>
      <c r="AF1380" s="736"/>
      <c r="AG1380" s="736"/>
      <c r="AH1380" s="736"/>
      <c r="AI1380" s="736"/>
      <c r="AJ1380" s="736"/>
      <c r="AK1380" s="736"/>
      <c r="AL1380" s="736"/>
      <c r="AM1380" s="736"/>
      <c r="AN1380" s="736"/>
      <c r="AO1380" s="736"/>
      <c r="AP1380" s="736"/>
      <c r="AQ1380" s="736"/>
      <c r="AR1380" s="736"/>
      <c r="AS1380" s="736"/>
      <c r="AT1380" s="736"/>
      <c r="AU1380" s="736"/>
      <c r="AV1380" s="736"/>
      <c r="AW1380" s="736"/>
      <c r="AX1380" s="736"/>
      <c r="AY1380" s="736"/>
      <c r="AZ1380" s="736"/>
      <c r="BA1380" s="736"/>
      <c r="BB1380" s="736"/>
      <c r="BC1380" s="736"/>
      <c r="BD1380" s="736"/>
      <c r="BE1380" s="736"/>
      <c r="BF1380" s="736"/>
      <c r="BG1380" s="736"/>
      <c r="BH1380" s="736"/>
      <c r="BI1380" s="736"/>
      <c r="BJ1380" s="736"/>
      <c r="BK1380" s="736"/>
      <c r="BL1380" s="736"/>
      <c r="BM1380" s="736"/>
      <c r="BN1380" s="736"/>
      <c r="BO1380" s="736"/>
      <c r="BP1380" s="736"/>
      <c r="BQ1380" s="736"/>
      <c r="BR1380" s="736"/>
      <c r="BS1380" s="736"/>
      <c r="BT1380" s="736"/>
      <c r="BU1380" s="736"/>
      <c r="BV1380" s="736"/>
      <c r="BW1380" s="736"/>
      <c r="BX1380" s="736"/>
      <c r="BY1380" s="736"/>
      <c r="BZ1380" s="736"/>
      <c r="CA1380" s="736"/>
    </row>
    <row r="1381" spans="1:79" s="452" customFormat="1" hidden="1" outlineLevel="1" x14ac:dyDescent="0.35">
      <c r="A1381" s="574"/>
      <c r="B1381" s="574"/>
      <c r="C1381" s="574"/>
      <c r="D1381" s="574"/>
      <c r="E1381" s="574"/>
      <c r="F1381" s="674" t="s">
        <v>593</v>
      </c>
      <c r="G1381" s="732"/>
      <c r="H1381" s="732"/>
      <c r="I1381" s="732"/>
      <c r="J1381" s="732"/>
      <c r="K1381" s="732"/>
      <c r="L1381" s="732"/>
      <c r="M1381" s="732"/>
      <c r="N1381" s="732"/>
      <c r="O1381" s="732"/>
      <c r="P1381" s="732"/>
      <c r="Q1381" s="732"/>
      <c r="R1381" s="736"/>
      <c r="S1381" s="683"/>
      <c r="T1381" s="683"/>
      <c r="U1381" s="683"/>
      <c r="V1381" s="683"/>
      <c r="W1381" s="683"/>
      <c r="X1381" s="683"/>
      <c r="Y1381" s="683"/>
      <c r="Z1381" s="683"/>
      <c r="AA1381" s="683"/>
      <c r="AB1381" s="683"/>
      <c r="AC1381" s="682"/>
      <c r="AD1381" s="682"/>
      <c r="AE1381" s="736"/>
      <c r="AF1381" s="736"/>
      <c r="AG1381" s="736"/>
      <c r="AH1381" s="736"/>
      <c r="AI1381" s="736"/>
      <c r="AJ1381" s="736"/>
      <c r="AK1381" s="736"/>
      <c r="AL1381" s="736"/>
      <c r="AM1381" s="736"/>
      <c r="AN1381" s="736"/>
      <c r="AO1381" s="736"/>
      <c r="AP1381" s="736"/>
      <c r="AQ1381" s="736"/>
      <c r="AR1381" s="736"/>
      <c r="AS1381" s="736"/>
      <c r="AT1381" s="736"/>
      <c r="AU1381" s="736"/>
      <c r="AV1381" s="736"/>
      <c r="AW1381" s="736"/>
      <c r="AX1381" s="736"/>
      <c r="AY1381" s="736"/>
      <c r="AZ1381" s="736"/>
      <c r="BA1381" s="736"/>
      <c r="BB1381" s="736"/>
      <c r="BC1381" s="736"/>
      <c r="BD1381" s="736"/>
      <c r="BE1381" s="736"/>
      <c r="BF1381" s="736"/>
      <c r="BG1381" s="736"/>
      <c r="BH1381" s="736"/>
      <c r="BI1381" s="736"/>
      <c r="BJ1381" s="736"/>
      <c r="BK1381" s="736"/>
      <c r="BL1381" s="736"/>
      <c r="BM1381" s="736"/>
      <c r="BN1381" s="736"/>
      <c r="BO1381" s="736"/>
      <c r="BP1381" s="736"/>
      <c r="BQ1381" s="736"/>
      <c r="BR1381" s="736"/>
      <c r="BS1381" s="736"/>
      <c r="BT1381" s="736"/>
      <c r="BU1381" s="736"/>
      <c r="BV1381" s="736"/>
      <c r="BW1381" s="736"/>
      <c r="BX1381" s="736"/>
      <c r="BY1381" s="736"/>
      <c r="BZ1381" s="736"/>
      <c r="CA1381" s="736"/>
    </row>
    <row r="1382" spans="1:79" s="452" customFormat="1" hidden="1" outlineLevel="1" x14ac:dyDescent="0.35">
      <c r="A1382" s="574"/>
      <c r="B1382" s="574"/>
      <c r="C1382" s="574"/>
      <c r="D1382" s="574"/>
      <c r="E1382" s="574"/>
      <c r="F1382" s="671" t="s">
        <v>877</v>
      </c>
      <c r="G1382" s="732"/>
      <c r="H1382" s="732"/>
      <c r="I1382" s="732"/>
      <c r="J1382" s="732"/>
      <c r="K1382" s="732"/>
      <c r="L1382" s="732"/>
      <c r="M1382" s="732"/>
      <c r="N1382" s="732"/>
      <c r="O1382" s="732"/>
      <c r="P1382" s="732"/>
      <c r="Q1382" s="732"/>
      <c r="R1382" s="736"/>
      <c r="S1382" s="683"/>
      <c r="T1382" s="683"/>
      <c r="U1382" s="683"/>
      <c r="V1382" s="683"/>
      <c r="W1382" s="683"/>
      <c r="X1382" s="683"/>
      <c r="Y1382" s="683"/>
      <c r="Z1382" s="683"/>
      <c r="AA1382" s="683"/>
      <c r="AB1382" s="683"/>
      <c r="AC1382" s="682"/>
      <c r="AD1382" s="682"/>
      <c r="AE1382" s="736"/>
      <c r="AF1382" s="736"/>
      <c r="AG1382" s="736"/>
      <c r="AH1382" s="736"/>
      <c r="AI1382" s="736"/>
      <c r="AJ1382" s="736"/>
      <c r="AK1382" s="736"/>
      <c r="AL1382" s="736"/>
      <c r="AM1382" s="736"/>
      <c r="AN1382" s="736"/>
      <c r="AO1382" s="736"/>
      <c r="AP1382" s="736"/>
      <c r="AQ1382" s="736"/>
      <c r="AR1382" s="736"/>
      <c r="AS1382" s="736"/>
      <c r="AT1382" s="736"/>
      <c r="AU1382" s="736"/>
      <c r="AV1382" s="736"/>
      <c r="AW1382" s="736"/>
      <c r="AX1382" s="736"/>
      <c r="AY1382" s="736"/>
      <c r="AZ1382" s="736"/>
      <c r="BA1382" s="736"/>
      <c r="BB1382" s="736"/>
      <c r="BC1382" s="736"/>
      <c r="BD1382" s="736"/>
      <c r="BE1382" s="736"/>
      <c r="BF1382" s="736"/>
      <c r="BG1382" s="736"/>
      <c r="BH1382" s="736"/>
      <c r="BI1382" s="736"/>
      <c r="BJ1382" s="736"/>
      <c r="BK1382" s="736"/>
      <c r="BL1382" s="736"/>
      <c r="BM1382" s="736"/>
      <c r="BN1382" s="736"/>
      <c r="BO1382" s="736"/>
      <c r="BP1382" s="736"/>
      <c r="BQ1382" s="736"/>
      <c r="BR1382" s="736"/>
      <c r="BS1382" s="736"/>
      <c r="BT1382" s="736"/>
      <c r="BU1382" s="736"/>
      <c r="BV1382" s="736"/>
      <c r="BW1382" s="736"/>
      <c r="BX1382" s="736"/>
      <c r="BY1382" s="736"/>
      <c r="BZ1382" s="736"/>
      <c r="CA1382" s="736"/>
    </row>
    <row r="1383" spans="1:79" s="754" customFormat="1" hidden="1" outlineLevel="1" x14ac:dyDescent="0.35">
      <c r="A1383" s="716"/>
      <c r="B1383" s="716"/>
      <c r="C1383" s="716"/>
      <c r="D1383" s="716"/>
      <c r="E1383" s="716"/>
      <c r="F1383" s="711" t="s">
        <v>594</v>
      </c>
      <c r="G1383" s="753"/>
      <c r="H1383" s="753"/>
      <c r="I1383" s="753"/>
      <c r="J1383" s="753"/>
      <c r="K1383" s="753"/>
      <c r="L1383" s="753"/>
      <c r="M1383" s="753"/>
      <c r="N1383" s="753"/>
      <c r="O1383" s="753"/>
      <c r="P1383" s="753"/>
      <c r="Q1383" s="753"/>
      <c r="R1383" s="779"/>
      <c r="S1383" s="713"/>
      <c r="T1383" s="713"/>
      <c r="U1383" s="713"/>
      <c r="V1383" s="713"/>
      <c r="W1383" s="713"/>
      <c r="X1383" s="713"/>
      <c r="Y1383" s="713"/>
      <c r="Z1383" s="713"/>
      <c r="AA1383" s="713"/>
      <c r="AB1383" s="713"/>
      <c r="AC1383" s="713"/>
      <c r="AD1383" s="713"/>
      <c r="AE1383" s="752"/>
      <c r="AF1383" s="752"/>
      <c r="AG1383" s="752"/>
      <c r="AH1383" s="752"/>
      <c r="AI1383" s="752"/>
      <c r="AJ1383" s="752"/>
      <c r="AK1383" s="752"/>
      <c r="AL1383" s="752"/>
      <c r="AM1383" s="752"/>
      <c r="AN1383" s="752"/>
      <c r="AO1383" s="752"/>
      <c r="AP1383" s="752"/>
      <c r="AQ1383" s="752"/>
      <c r="AR1383" s="752"/>
      <c r="AS1383" s="752"/>
      <c r="AT1383" s="752"/>
      <c r="AU1383" s="752"/>
      <c r="AV1383" s="752"/>
      <c r="AW1383" s="752"/>
      <c r="AX1383" s="752"/>
      <c r="AY1383" s="752"/>
      <c r="AZ1383" s="752"/>
      <c r="BA1383" s="752"/>
      <c r="BB1383" s="752"/>
      <c r="BC1383" s="752"/>
      <c r="BD1383" s="752"/>
      <c r="BE1383" s="752"/>
      <c r="BF1383" s="752"/>
      <c r="BG1383" s="752"/>
      <c r="BH1383" s="752"/>
      <c r="BI1383" s="752"/>
      <c r="BJ1383" s="752"/>
      <c r="BK1383" s="752"/>
      <c r="BL1383" s="752"/>
      <c r="BM1383" s="752"/>
      <c r="BN1383" s="752"/>
      <c r="BO1383" s="752"/>
      <c r="BP1383" s="752"/>
      <c r="BQ1383" s="752"/>
      <c r="BR1383" s="752"/>
      <c r="BS1383" s="752"/>
      <c r="BT1383" s="752"/>
      <c r="BU1383" s="752"/>
      <c r="BV1383" s="752"/>
      <c r="BW1383" s="752"/>
      <c r="BX1383" s="752"/>
      <c r="BY1383" s="752"/>
      <c r="BZ1383" s="752"/>
      <c r="CA1383" s="752"/>
    </row>
    <row r="1384" spans="1:79" s="452" customFormat="1" hidden="1" outlineLevel="1" x14ac:dyDescent="0.35">
      <c r="A1384" s="504"/>
      <c r="B1384" s="504"/>
      <c r="C1384" s="504"/>
      <c r="D1384" s="504"/>
      <c r="E1384" s="504"/>
      <c r="F1384" s="672" t="s">
        <v>878</v>
      </c>
      <c r="G1384" s="734"/>
      <c r="H1384" s="734"/>
      <c r="I1384" s="734"/>
      <c r="J1384" s="734"/>
      <c r="K1384" s="734"/>
      <c r="L1384" s="734"/>
      <c r="M1384" s="734"/>
      <c r="N1384" s="734"/>
      <c r="O1384" s="734"/>
      <c r="P1384" s="734"/>
      <c r="Q1384" s="734"/>
      <c r="R1384" s="733"/>
      <c r="S1384" s="687"/>
      <c r="T1384" s="687"/>
      <c r="U1384" s="687"/>
      <c r="V1384" s="687"/>
      <c r="W1384" s="687"/>
      <c r="X1384" s="687"/>
      <c r="Y1384" s="687"/>
      <c r="Z1384" s="687"/>
      <c r="AA1384" s="687"/>
      <c r="AB1384" s="687"/>
      <c r="AC1384" s="686"/>
      <c r="AD1384" s="686"/>
      <c r="AE1384" s="736"/>
      <c r="AF1384" s="736"/>
      <c r="AG1384" s="736"/>
      <c r="AH1384" s="736"/>
      <c r="AI1384" s="736"/>
      <c r="AJ1384" s="736"/>
      <c r="AK1384" s="736"/>
      <c r="AL1384" s="736"/>
      <c r="AM1384" s="736"/>
      <c r="AN1384" s="736"/>
      <c r="AO1384" s="736"/>
      <c r="AP1384" s="736"/>
      <c r="AQ1384" s="736"/>
      <c r="AR1384" s="736"/>
      <c r="AS1384" s="736"/>
      <c r="AT1384" s="736"/>
      <c r="AU1384" s="736"/>
      <c r="AV1384" s="736"/>
      <c r="AW1384" s="736"/>
      <c r="AX1384" s="736"/>
      <c r="AY1384" s="736"/>
      <c r="AZ1384" s="736"/>
      <c r="BA1384" s="736"/>
      <c r="BB1384" s="736"/>
      <c r="BC1384" s="736"/>
      <c r="BD1384" s="736"/>
      <c r="BE1384" s="736"/>
      <c r="BF1384" s="736"/>
      <c r="BG1384" s="736"/>
      <c r="BH1384" s="736"/>
      <c r="BI1384" s="736"/>
      <c r="BJ1384" s="736"/>
      <c r="BK1384" s="736"/>
      <c r="BL1384" s="736"/>
      <c r="BM1384" s="736"/>
      <c r="BN1384" s="736"/>
      <c r="BO1384" s="736"/>
      <c r="BP1384" s="736"/>
      <c r="BQ1384" s="736"/>
      <c r="BR1384" s="736"/>
      <c r="BS1384" s="736"/>
      <c r="BT1384" s="736"/>
      <c r="BU1384" s="736"/>
      <c r="BV1384" s="736"/>
      <c r="BW1384" s="736"/>
      <c r="BX1384" s="736"/>
      <c r="BY1384" s="736"/>
      <c r="BZ1384" s="736"/>
      <c r="CA1384" s="736"/>
    </row>
    <row r="1385" spans="1:79" s="452" customFormat="1" hidden="1" outlineLevel="1" x14ac:dyDescent="0.35">
      <c r="A1385" s="504"/>
      <c r="B1385" s="504"/>
      <c r="C1385" s="504"/>
      <c r="D1385" s="504"/>
      <c r="E1385" s="504"/>
      <c r="F1385" s="672" t="s">
        <v>879</v>
      </c>
      <c r="G1385" s="734"/>
      <c r="H1385" s="734"/>
      <c r="I1385" s="734"/>
      <c r="J1385" s="734"/>
      <c r="K1385" s="734"/>
      <c r="L1385" s="734"/>
      <c r="M1385" s="734"/>
      <c r="N1385" s="734"/>
      <c r="O1385" s="734"/>
      <c r="P1385" s="734"/>
      <c r="Q1385" s="734"/>
      <c r="R1385" s="733"/>
      <c r="S1385" s="687"/>
      <c r="T1385" s="687"/>
      <c r="U1385" s="687"/>
      <c r="V1385" s="687"/>
      <c r="W1385" s="687"/>
      <c r="X1385" s="687"/>
      <c r="Y1385" s="687"/>
      <c r="Z1385" s="687"/>
      <c r="AA1385" s="687"/>
      <c r="AB1385" s="687"/>
      <c r="AC1385" s="686"/>
      <c r="AD1385" s="686"/>
      <c r="AE1385" s="736"/>
      <c r="AF1385" s="736"/>
      <c r="AG1385" s="736"/>
      <c r="AH1385" s="736"/>
      <c r="AI1385" s="736"/>
      <c r="AJ1385" s="736"/>
      <c r="AK1385" s="736"/>
      <c r="AL1385" s="736"/>
      <c r="AM1385" s="736"/>
      <c r="AN1385" s="736"/>
      <c r="AO1385" s="736"/>
      <c r="AP1385" s="736"/>
      <c r="AQ1385" s="736"/>
      <c r="AR1385" s="736"/>
      <c r="AS1385" s="736"/>
      <c r="AT1385" s="736"/>
      <c r="AU1385" s="736"/>
      <c r="AV1385" s="736"/>
      <c r="AW1385" s="736"/>
      <c r="AX1385" s="736"/>
      <c r="AY1385" s="736"/>
      <c r="AZ1385" s="736"/>
      <c r="BA1385" s="736"/>
      <c r="BB1385" s="736"/>
      <c r="BC1385" s="736"/>
      <c r="BD1385" s="736"/>
      <c r="BE1385" s="736"/>
      <c r="BF1385" s="736"/>
      <c r="BG1385" s="736"/>
      <c r="BH1385" s="736"/>
      <c r="BI1385" s="736"/>
      <c r="BJ1385" s="736"/>
      <c r="BK1385" s="736"/>
      <c r="BL1385" s="736"/>
      <c r="BM1385" s="736"/>
      <c r="BN1385" s="736"/>
      <c r="BO1385" s="736"/>
      <c r="BP1385" s="736"/>
      <c r="BQ1385" s="736"/>
      <c r="BR1385" s="736"/>
      <c r="BS1385" s="736"/>
      <c r="BT1385" s="736"/>
      <c r="BU1385" s="736"/>
      <c r="BV1385" s="736"/>
      <c r="BW1385" s="736"/>
      <c r="BX1385" s="736"/>
      <c r="BY1385" s="736"/>
      <c r="BZ1385" s="736"/>
      <c r="CA1385" s="736"/>
    </row>
    <row r="1386" spans="1:79" s="452" customFormat="1" hidden="1" outlineLevel="1" x14ac:dyDescent="0.35">
      <c r="A1386" s="504"/>
      <c r="B1386" s="504"/>
      <c r="C1386" s="504"/>
      <c r="D1386" s="504"/>
      <c r="E1386" s="504"/>
      <c r="F1386" s="672" t="s">
        <v>880</v>
      </c>
      <c r="G1386" s="734"/>
      <c r="H1386" s="734"/>
      <c r="I1386" s="734"/>
      <c r="J1386" s="734"/>
      <c r="K1386" s="734"/>
      <c r="L1386" s="734"/>
      <c r="M1386" s="734"/>
      <c r="N1386" s="734"/>
      <c r="O1386" s="734"/>
      <c r="P1386" s="734"/>
      <c r="Q1386" s="734"/>
      <c r="R1386" s="733"/>
      <c r="S1386" s="687"/>
      <c r="T1386" s="687"/>
      <c r="U1386" s="687"/>
      <c r="V1386" s="687"/>
      <c r="W1386" s="687"/>
      <c r="X1386" s="687"/>
      <c r="Y1386" s="687"/>
      <c r="Z1386" s="687"/>
      <c r="AA1386" s="687"/>
      <c r="AB1386" s="687"/>
      <c r="AC1386" s="686"/>
      <c r="AD1386" s="686"/>
      <c r="AE1386" s="736"/>
      <c r="AF1386" s="736"/>
      <c r="AG1386" s="736"/>
      <c r="AH1386" s="736"/>
      <c r="AI1386" s="736"/>
      <c r="AJ1386" s="736"/>
      <c r="AK1386" s="736"/>
      <c r="AL1386" s="736"/>
      <c r="AM1386" s="736"/>
      <c r="AN1386" s="736"/>
      <c r="AO1386" s="736"/>
      <c r="AP1386" s="736"/>
      <c r="AQ1386" s="736"/>
      <c r="AR1386" s="736"/>
      <c r="AS1386" s="736"/>
      <c r="AT1386" s="736"/>
      <c r="AU1386" s="736"/>
      <c r="AV1386" s="736"/>
      <c r="AW1386" s="736"/>
      <c r="AX1386" s="736"/>
      <c r="AY1386" s="736"/>
      <c r="AZ1386" s="736"/>
      <c r="BA1386" s="736"/>
      <c r="BB1386" s="736"/>
      <c r="BC1386" s="736"/>
      <c r="BD1386" s="736"/>
      <c r="BE1386" s="736"/>
      <c r="BF1386" s="736"/>
      <c r="BG1386" s="736"/>
      <c r="BH1386" s="736"/>
      <c r="BI1386" s="736"/>
      <c r="BJ1386" s="736"/>
      <c r="BK1386" s="736"/>
      <c r="BL1386" s="736"/>
      <c r="BM1386" s="736"/>
      <c r="BN1386" s="736"/>
      <c r="BO1386" s="736"/>
      <c r="BP1386" s="736"/>
      <c r="BQ1386" s="736"/>
      <c r="BR1386" s="736"/>
      <c r="BS1386" s="736"/>
      <c r="BT1386" s="736"/>
      <c r="BU1386" s="736"/>
      <c r="BV1386" s="736"/>
      <c r="BW1386" s="736"/>
      <c r="BX1386" s="736"/>
      <c r="BY1386" s="736"/>
      <c r="BZ1386" s="736"/>
      <c r="CA1386" s="736"/>
    </row>
    <row r="1387" spans="1:79" s="452" customFormat="1" hidden="1" outlineLevel="1" x14ac:dyDescent="0.35">
      <c r="A1387" s="580"/>
      <c r="B1387" s="580"/>
      <c r="C1387" s="580"/>
      <c r="D1387" s="580"/>
      <c r="E1387" s="580"/>
      <c r="F1387" s="672" t="s">
        <v>609</v>
      </c>
      <c r="G1387" s="739"/>
      <c r="H1387" s="739"/>
      <c r="I1387" s="739"/>
      <c r="J1387" s="739"/>
      <c r="K1387" s="739"/>
      <c r="L1387" s="739"/>
      <c r="M1387" s="739"/>
      <c r="N1387" s="739"/>
      <c r="O1387" s="739"/>
      <c r="P1387" s="734"/>
      <c r="Q1387" s="734"/>
      <c r="R1387" s="733"/>
      <c r="S1387" s="683"/>
      <c r="T1387" s="683"/>
      <c r="U1387" s="683"/>
      <c r="V1387" s="683"/>
      <c r="W1387" s="683"/>
      <c r="X1387" s="683"/>
      <c r="Y1387" s="683"/>
      <c r="Z1387" s="683"/>
      <c r="AA1387" s="683"/>
      <c r="AB1387" s="683"/>
      <c r="AC1387" s="690"/>
      <c r="AD1387" s="690"/>
      <c r="AE1387" s="736"/>
      <c r="AF1387" s="736"/>
      <c r="AG1387" s="736"/>
      <c r="AH1387" s="736"/>
      <c r="AI1387" s="736"/>
      <c r="AJ1387" s="736"/>
      <c r="AK1387" s="736"/>
      <c r="AL1387" s="736"/>
      <c r="AM1387" s="736"/>
      <c r="AN1387" s="736"/>
      <c r="AO1387" s="736"/>
      <c r="AP1387" s="736"/>
      <c r="AQ1387" s="736"/>
      <c r="AR1387" s="736"/>
      <c r="AS1387" s="736"/>
      <c r="AT1387" s="736"/>
      <c r="AU1387" s="736"/>
      <c r="AV1387" s="736"/>
      <c r="AW1387" s="736"/>
      <c r="AX1387" s="736"/>
      <c r="AY1387" s="736"/>
      <c r="AZ1387" s="736"/>
      <c r="BA1387" s="736"/>
      <c r="BB1387" s="736"/>
      <c r="BC1387" s="736"/>
      <c r="BD1387" s="736"/>
      <c r="BE1387" s="736"/>
      <c r="BF1387" s="736"/>
      <c r="BG1387" s="736"/>
      <c r="BH1387" s="736"/>
      <c r="BI1387" s="736"/>
      <c r="BJ1387" s="736"/>
      <c r="BK1387" s="736"/>
      <c r="BL1387" s="736"/>
      <c r="BM1387" s="736"/>
      <c r="BN1387" s="736"/>
      <c r="BO1387" s="736"/>
      <c r="BP1387" s="736"/>
      <c r="BQ1387" s="736"/>
      <c r="BR1387" s="736"/>
      <c r="BS1387" s="736"/>
      <c r="BT1387" s="736"/>
      <c r="BU1387" s="736"/>
      <c r="BV1387" s="736"/>
      <c r="BW1387" s="736"/>
      <c r="BX1387" s="736"/>
      <c r="BY1387" s="736"/>
      <c r="BZ1387" s="736"/>
      <c r="CA1387" s="736"/>
    </row>
    <row r="1388" spans="1:79" s="309" customFormat="1" hidden="1" outlineLevel="1" x14ac:dyDescent="0.35">
      <c r="A1388" s="580"/>
      <c r="B1388" s="580"/>
      <c r="C1388" s="580"/>
      <c r="D1388" s="580"/>
      <c r="E1388" s="580"/>
      <c r="F1388" s="672" t="s">
        <v>610</v>
      </c>
      <c r="G1388" s="739"/>
      <c r="H1388" s="739"/>
      <c r="I1388" s="739"/>
      <c r="J1388" s="739"/>
      <c r="K1388" s="739"/>
      <c r="L1388" s="739"/>
      <c r="M1388" s="739"/>
      <c r="N1388" s="739"/>
      <c r="O1388" s="739"/>
      <c r="P1388" s="734"/>
      <c r="Q1388" s="734"/>
      <c r="R1388" s="733"/>
      <c r="S1388" s="683"/>
      <c r="T1388" s="683"/>
      <c r="U1388" s="683"/>
      <c r="V1388" s="683"/>
      <c r="W1388" s="683"/>
      <c r="X1388" s="683"/>
      <c r="Y1388" s="683"/>
      <c r="Z1388" s="683"/>
      <c r="AA1388" s="683"/>
      <c r="AB1388" s="683"/>
      <c r="AC1388" s="690"/>
      <c r="AD1388" s="690"/>
      <c r="AE1388" s="736"/>
      <c r="AF1388" s="736"/>
      <c r="AG1388" s="736"/>
      <c r="AH1388" s="736"/>
      <c r="AI1388" s="736"/>
      <c r="AJ1388" s="736"/>
      <c r="AK1388" s="736"/>
      <c r="AL1388" s="736"/>
      <c r="AM1388" s="736"/>
      <c r="AN1388" s="736"/>
      <c r="AO1388" s="736"/>
      <c r="AP1388" s="736"/>
      <c r="AQ1388" s="736"/>
      <c r="AR1388" s="736"/>
      <c r="AS1388" s="736"/>
      <c r="AT1388" s="736"/>
      <c r="AU1388" s="736"/>
      <c r="AV1388" s="736"/>
      <c r="AW1388" s="736"/>
      <c r="AX1388" s="736"/>
      <c r="AY1388" s="736"/>
      <c r="AZ1388" s="736"/>
      <c r="BA1388" s="736"/>
      <c r="BB1388" s="736"/>
      <c r="BC1388" s="736"/>
      <c r="BD1388" s="736"/>
      <c r="BE1388" s="736"/>
      <c r="BF1388" s="736"/>
      <c r="BG1388" s="736"/>
      <c r="BH1388" s="736"/>
      <c r="BI1388" s="736"/>
      <c r="BJ1388" s="736"/>
      <c r="BK1388" s="736"/>
      <c r="BL1388" s="736"/>
      <c r="BM1388" s="736"/>
      <c r="BN1388" s="736"/>
      <c r="BO1388" s="736"/>
      <c r="BP1388" s="736"/>
      <c r="BQ1388" s="736"/>
      <c r="BR1388" s="736"/>
      <c r="BS1388" s="736"/>
      <c r="BT1388" s="736"/>
      <c r="BU1388" s="736"/>
      <c r="BV1388" s="736"/>
      <c r="BW1388" s="736"/>
      <c r="BX1388" s="736"/>
      <c r="BY1388" s="736"/>
      <c r="BZ1388" s="736"/>
      <c r="CA1388" s="736"/>
    </row>
    <row r="1389" spans="1:79" hidden="1" outlineLevel="1" x14ac:dyDescent="0.35">
      <c r="A1389" s="580"/>
      <c r="B1389" s="580"/>
      <c r="C1389" s="580"/>
      <c r="D1389" s="580"/>
      <c r="E1389" s="580"/>
      <c r="F1389" s="672" t="s">
        <v>611</v>
      </c>
      <c r="G1389" s="739"/>
      <c r="H1389" s="739"/>
      <c r="I1389" s="739"/>
      <c r="J1389" s="739"/>
      <c r="K1389" s="739"/>
      <c r="L1389" s="739"/>
      <c r="M1389" s="739"/>
      <c r="N1389" s="739"/>
      <c r="O1389" s="739"/>
      <c r="P1389" s="734"/>
      <c r="Q1389" s="734"/>
      <c r="R1389" s="733"/>
      <c r="S1389" s="683"/>
      <c r="T1389" s="683"/>
      <c r="U1389" s="683"/>
      <c r="V1389" s="683"/>
      <c r="W1389" s="683"/>
      <c r="X1389" s="683"/>
      <c r="Y1389" s="683"/>
      <c r="Z1389" s="683"/>
      <c r="AA1389" s="683"/>
      <c r="AB1389" s="683"/>
      <c r="AC1389" s="690"/>
      <c r="AD1389" s="690"/>
      <c r="AE1389" s="736"/>
      <c r="AF1389" s="736"/>
      <c r="AG1389" s="736"/>
      <c r="AH1389" s="736"/>
      <c r="AI1389" s="736"/>
      <c r="AJ1389" s="736"/>
      <c r="AK1389" s="736"/>
      <c r="AL1389" s="736"/>
      <c r="AM1389" s="736"/>
      <c r="AN1389" s="736"/>
      <c r="AO1389" s="736"/>
      <c r="AP1389" s="736"/>
      <c r="AQ1389" s="736"/>
      <c r="AR1389" s="736"/>
      <c r="AS1389" s="736"/>
      <c r="AT1389" s="736"/>
      <c r="AU1389" s="736"/>
      <c r="AV1389" s="736"/>
      <c r="AW1389" s="736"/>
      <c r="AX1389" s="736"/>
      <c r="AY1389" s="736"/>
      <c r="AZ1389" s="736"/>
      <c r="BA1389" s="736"/>
      <c r="BB1389" s="736"/>
      <c r="BC1389" s="736"/>
      <c r="BD1389" s="736"/>
      <c r="BE1389" s="736"/>
      <c r="BF1389" s="736"/>
      <c r="BG1389" s="736"/>
      <c r="BH1389" s="736"/>
      <c r="BI1389" s="736"/>
      <c r="BJ1389" s="736"/>
      <c r="BK1389" s="736"/>
      <c r="BL1389" s="736"/>
      <c r="BM1389" s="736"/>
      <c r="BN1389" s="736"/>
      <c r="BO1389" s="736"/>
      <c r="BP1389" s="736"/>
      <c r="BQ1389" s="736"/>
      <c r="BR1389" s="736"/>
      <c r="BS1389" s="736"/>
      <c r="BT1389" s="736"/>
      <c r="BU1389" s="736"/>
      <c r="BV1389" s="736"/>
      <c r="BW1389" s="736"/>
      <c r="BX1389" s="736"/>
      <c r="BY1389" s="736"/>
      <c r="BZ1389" s="736"/>
      <c r="CA1389" s="736"/>
    </row>
    <row r="1390" spans="1:79" hidden="1" outlineLevel="1" x14ac:dyDescent="0.35">
      <c r="A1390" s="580"/>
      <c r="B1390" s="580"/>
      <c r="C1390" s="580"/>
      <c r="D1390" s="580"/>
      <c r="E1390" s="580"/>
      <c r="F1390" s="672" t="s">
        <v>881</v>
      </c>
      <c r="G1390" s="735"/>
      <c r="H1390" s="735"/>
      <c r="I1390" s="735"/>
      <c r="J1390" s="735"/>
      <c r="K1390" s="735"/>
      <c r="L1390" s="735"/>
      <c r="M1390" s="735"/>
      <c r="N1390" s="735"/>
      <c r="O1390" s="735"/>
      <c r="P1390" s="732"/>
      <c r="Q1390" s="732"/>
      <c r="R1390" s="736"/>
      <c r="S1390" s="692"/>
      <c r="T1390" s="692"/>
      <c r="U1390" s="692"/>
      <c r="V1390" s="692"/>
      <c r="W1390" s="692"/>
      <c r="X1390" s="692"/>
      <c r="Y1390" s="692"/>
      <c r="Z1390" s="692"/>
      <c r="AA1390" s="692"/>
      <c r="AB1390" s="692"/>
      <c r="AC1390" s="702"/>
      <c r="AD1390" s="702"/>
      <c r="AE1390" s="736"/>
      <c r="AF1390" s="736"/>
      <c r="AG1390" s="736"/>
      <c r="AH1390" s="736"/>
      <c r="AI1390" s="736"/>
      <c r="AJ1390" s="736"/>
      <c r="AK1390" s="736"/>
      <c r="AL1390" s="736"/>
      <c r="AM1390" s="736"/>
      <c r="AN1390" s="736"/>
      <c r="AO1390" s="736"/>
      <c r="AP1390" s="736"/>
      <c r="AQ1390" s="736"/>
      <c r="AR1390" s="736"/>
      <c r="AS1390" s="736"/>
      <c r="AT1390" s="736"/>
      <c r="AU1390" s="736"/>
      <c r="AV1390" s="736"/>
      <c r="AW1390" s="736"/>
      <c r="AX1390" s="736"/>
      <c r="AY1390" s="736"/>
      <c r="AZ1390" s="736"/>
      <c r="BA1390" s="736"/>
      <c r="BB1390" s="736"/>
      <c r="BC1390" s="736"/>
      <c r="BD1390" s="736"/>
      <c r="BE1390" s="736"/>
      <c r="BF1390" s="736"/>
      <c r="BG1390" s="736"/>
      <c r="BH1390" s="736"/>
      <c r="BI1390" s="736"/>
      <c r="BJ1390" s="736"/>
      <c r="BK1390" s="736"/>
      <c r="BL1390" s="736"/>
      <c r="BM1390" s="736"/>
      <c r="BN1390" s="736"/>
      <c r="BO1390" s="736"/>
      <c r="BP1390" s="736"/>
      <c r="BQ1390" s="736"/>
      <c r="BR1390" s="736"/>
      <c r="BS1390" s="736"/>
      <c r="BT1390" s="736"/>
      <c r="BU1390" s="736"/>
      <c r="BV1390" s="736"/>
      <c r="BW1390" s="736"/>
      <c r="BX1390" s="736"/>
      <c r="BY1390" s="736"/>
      <c r="BZ1390" s="736"/>
      <c r="CA1390" s="736"/>
    </row>
    <row r="1391" spans="1:79" hidden="1" outlineLevel="1" x14ac:dyDescent="0.35">
      <c r="A1391" s="575"/>
      <c r="B1391" s="575"/>
      <c r="C1391" s="575"/>
      <c r="D1391" s="575"/>
      <c r="E1391" s="575"/>
      <c r="F1391" s="675" t="s">
        <v>612</v>
      </c>
      <c r="G1391" s="680"/>
      <c r="H1391" s="680"/>
      <c r="I1391" s="680"/>
      <c r="J1391" s="680"/>
      <c r="K1391" s="680"/>
      <c r="L1391" s="680"/>
      <c r="M1391" s="680"/>
      <c r="N1391" s="680"/>
      <c r="O1391" s="680"/>
      <c r="P1391" s="680"/>
      <c r="Q1391" s="680"/>
      <c r="R1391" s="680"/>
      <c r="S1391" s="695"/>
      <c r="T1391" s="695"/>
      <c r="U1391" s="695"/>
      <c r="V1391" s="695"/>
      <c r="W1391" s="695"/>
      <c r="X1391" s="695"/>
      <c r="Y1391" s="695"/>
      <c r="Z1391" s="695"/>
      <c r="AA1391" s="695"/>
      <c r="AB1391" s="695"/>
      <c r="AC1391" s="695"/>
      <c r="AD1391" s="695"/>
      <c r="AE1391" s="680">
        <f t="shared" ref="AE1391:BO1391" si="532">SUM(AE1384:AE1390)</f>
        <v>0</v>
      </c>
      <c r="AF1391" s="680">
        <f t="shared" si="532"/>
        <v>0</v>
      </c>
      <c r="AG1391" s="680">
        <f t="shared" si="532"/>
        <v>0</v>
      </c>
      <c r="AH1391" s="680">
        <f t="shared" si="532"/>
        <v>0</v>
      </c>
      <c r="AI1391" s="680">
        <f t="shared" si="532"/>
        <v>0</v>
      </c>
      <c r="AJ1391" s="680">
        <f t="shared" si="532"/>
        <v>0</v>
      </c>
      <c r="AK1391" s="680">
        <f t="shared" si="532"/>
        <v>0</v>
      </c>
      <c r="AL1391" s="680">
        <f t="shared" si="532"/>
        <v>0</v>
      </c>
      <c r="AM1391" s="680">
        <f t="shared" si="532"/>
        <v>0</v>
      </c>
      <c r="AN1391" s="680">
        <f t="shared" si="532"/>
        <v>0</v>
      </c>
      <c r="AO1391" s="680">
        <f t="shared" si="532"/>
        <v>0</v>
      </c>
      <c r="AP1391" s="680">
        <f t="shared" si="532"/>
        <v>0</v>
      </c>
      <c r="AQ1391" s="680">
        <f t="shared" si="532"/>
        <v>0</v>
      </c>
      <c r="AR1391" s="680">
        <f t="shared" si="532"/>
        <v>0</v>
      </c>
      <c r="AS1391" s="680">
        <f t="shared" si="532"/>
        <v>0</v>
      </c>
      <c r="AT1391" s="680">
        <f t="shared" si="532"/>
        <v>0</v>
      </c>
      <c r="AU1391" s="680">
        <f t="shared" si="532"/>
        <v>0</v>
      </c>
      <c r="AV1391" s="680">
        <f t="shared" si="532"/>
        <v>0</v>
      </c>
      <c r="AW1391" s="680">
        <f t="shared" si="532"/>
        <v>0</v>
      </c>
      <c r="AX1391" s="680">
        <f t="shared" si="532"/>
        <v>0</v>
      </c>
      <c r="AY1391" s="680">
        <f t="shared" si="532"/>
        <v>0</v>
      </c>
      <c r="AZ1391" s="680">
        <f t="shared" si="532"/>
        <v>0</v>
      </c>
      <c r="BA1391" s="680">
        <f t="shared" si="532"/>
        <v>0</v>
      </c>
      <c r="BB1391" s="680">
        <f t="shared" si="532"/>
        <v>0</v>
      </c>
      <c r="BC1391" s="680">
        <f t="shared" si="532"/>
        <v>0</v>
      </c>
      <c r="BD1391" s="680">
        <f t="shared" si="532"/>
        <v>0</v>
      </c>
      <c r="BE1391" s="680">
        <f t="shared" si="532"/>
        <v>0</v>
      </c>
      <c r="BF1391" s="680">
        <f t="shared" si="532"/>
        <v>0</v>
      </c>
      <c r="BG1391" s="680">
        <f t="shared" si="532"/>
        <v>0</v>
      </c>
      <c r="BH1391" s="680">
        <f t="shared" si="532"/>
        <v>0</v>
      </c>
      <c r="BI1391" s="680">
        <f t="shared" si="532"/>
        <v>0</v>
      </c>
      <c r="BJ1391" s="680">
        <f t="shared" si="532"/>
        <v>0</v>
      </c>
      <c r="BK1391" s="680">
        <f t="shared" si="532"/>
        <v>0</v>
      </c>
      <c r="BL1391" s="680">
        <f t="shared" si="532"/>
        <v>0</v>
      </c>
      <c r="BM1391" s="680">
        <f t="shared" si="532"/>
        <v>0</v>
      </c>
      <c r="BN1391" s="680">
        <f t="shared" si="532"/>
        <v>0</v>
      </c>
      <c r="BO1391" s="680">
        <f t="shared" si="532"/>
        <v>0</v>
      </c>
      <c r="BP1391" s="680">
        <f t="shared" ref="BP1391:CA1391" si="533">SUM(BP1384:BP1390)</f>
        <v>0</v>
      </c>
      <c r="BQ1391" s="680">
        <f t="shared" si="533"/>
        <v>0</v>
      </c>
      <c r="BR1391" s="680">
        <f t="shared" si="533"/>
        <v>0</v>
      </c>
      <c r="BS1391" s="680">
        <f t="shared" si="533"/>
        <v>0</v>
      </c>
      <c r="BT1391" s="680">
        <f t="shared" si="533"/>
        <v>0</v>
      </c>
      <c r="BU1391" s="680">
        <f t="shared" si="533"/>
        <v>0</v>
      </c>
      <c r="BV1391" s="680">
        <f t="shared" si="533"/>
        <v>0</v>
      </c>
      <c r="BW1391" s="680">
        <f t="shared" si="533"/>
        <v>0</v>
      </c>
      <c r="BX1391" s="680">
        <f t="shared" si="533"/>
        <v>0</v>
      </c>
      <c r="BY1391" s="680">
        <f t="shared" si="533"/>
        <v>0</v>
      </c>
      <c r="BZ1391" s="680">
        <f t="shared" si="533"/>
        <v>0</v>
      </c>
      <c r="CA1391" s="680">
        <f t="shared" si="533"/>
        <v>0</v>
      </c>
    </row>
    <row r="1392" spans="1:79" hidden="1" outlineLevel="1" x14ac:dyDescent="0.35">
      <c r="A1392" s="575"/>
      <c r="B1392" s="575"/>
      <c r="C1392" s="575"/>
      <c r="D1392" s="575"/>
      <c r="E1392" s="575"/>
      <c r="F1392" s="671" t="s">
        <v>882</v>
      </c>
      <c r="G1392" s="680"/>
      <c r="H1392" s="680"/>
      <c r="I1392" s="680"/>
      <c r="J1392" s="680"/>
      <c r="K1392" s="680"/>
      <c r="L1392" s="680"/>
      <c r="M1392" s="680"/>
      <c r="N1392" s="680"/>
      <c r="O1392" s="680"/>
      <c r="P1392" s="680"/>
      <c r="Q1392" s="680"/>
      <c r="R1392" s="680"/>
      <c r="S1392" s="700"/>
      <c r="T1392" s="700"/>
      <c r="U1392" s="700"/>
      <c r="V1392" s="700"/>
      <c r="W1392" s="700"/>
      <c r="X1392" s="700"/>
      <c r="Y1392" s="700"/>
      <c r="Z1392" s="700"/>
      <c r="AA1392" s="700"/>
      <c r="AB1392" s="700"/>
      <c r="AC1392" s="698"/>
      <c r="AD1392" s="698"/>
      <c r="AE1392" s="680"/>
      <c r="AF1392" s="680"/>
      <c r="AG1392" s="680"/>
      <c r="AH1392" s="680"/>
      <c r="AI1392" s="680"/>
      <c r="AJ1392" s="680"/>
      <c r="AK1392" s="680"/>
      <c r="AL1392" s="680"/>
      <c r="AM1392" s="680"/>
      <c r="AN1392" s="680"/>
      <c r="AO1392" s="680"/>
      <c r="AP1392" s="680"/>
      <c r="AQ1392" s="680"/>
      <c r="AR1392" s="680"/>
      <c r="AS1392" s="680"/>
      <c r="AT1392" s="680"/>
      <c r="AU1392" s="680"/>
      <c r="AV1392" s="680"/>
      <c r="AW1392" s="680"/>
      <c r="AX1392" s="680"/>
      <c r="AY1392" s="680"/>
      <c r="AZ1392" s="680"/>
      <c r="BA1392" s="680"/>
      <c r="BB1392" s="680"/>
      <c r="BC1392" s="680"/>
      <c r="BD1392" s="680"/>
      <c r="BE1392" s="680"/>
      <c r="BF1392" s="680"/>
      <c r="BG1392" s="680"/>
      <c r="BH1392" s="680"/>
      <c r="BI1392" s="680"/>
      <c r="BJ1392" s="680"/>
      <c r="BK1392" s="680"/>
      <c r="BL1392" s="680"/>
      <c r="BM1392" s="680"/>
      <c r="BN1392" s="680"/>
      <c r="BO1392" s="680"/>
      <c r="BP1392" s="680"/>
      <c r="BQ1392" s="680"/>
      <c r="BR1392" s="680"/>
      <c r="BS1392" s="680"/>
      <c r="BT1392" s="680"/>
      <c r="BU1392" s="680"/>
      <c r="BV1392" s="680"/>
      <c r="BW1392" s="680"/>
      <c r="BX1392" s="680"/>
      <c r="BY1392" s="680"/>
      <c r="BZ1392" s="680"/>
      <c r="CA1392" s="680"/>
    </row>
    <row r="1393" spans="1:79" s="309" customFormat="1" hidden="1" outlineLevel="1" x14ac:dyDescent="0.35">
      <c r="A1393" s="575"/>
      <c r="B1393" s="575"/>
      <c r="C1393" s="575"/>
      <c r="D1393" s="575"/>
      <c r="E1393" s="575"/>
      <c r="F1393" s="674" t="s">
        <v>595</v>
      </c>
      <c r="G1393" s="735"/>
      <c r="H1393" s="735"/>
      <c r="I1393" s="735"/>
      <c r="J1393" s="735"/>
      <c r="K1393" s="735"/>
      <c r="L1393" s="735"/>
      <c r="M1393" s="735"/>
      <c r="N1393" s="735"/>
      <c r="O1393" s="735"/>
      <c r="P1393" s="732"/>
      <c r="Q1393" s="732"/>
      <c r="R1393" s="736"/>
      <c r="S1393" s="683"/>
      <c r="T1393" s="683"/>
      <c r="U1393" s="683"/>
      <c r="V1393" s="683"/>
      <c r="W1393" s="683"/>
      <c r="X1393" s="683"/>
      <c r="Y1393" s="683"/>
      <c r="Z1393" s="683"/>
      <c r="AA1393" s="683"/>
      <c r="AB1393" s="683"/>
      <c r="AC1393" s="702"/>
      <c r="AD1393" s="702"/>
      <c r="AE1393" s="736"/>
      <c r="AF1393" s="736"/>
      <c r="AG1393" s="736"/>
      <c r="AH1393" s="736"/>
      <c r="AI1393" s="736"/>
      <c r="AJ1393" s="736"/>
      <c r="AK1393" s="736"/>
      <c r="AL1393" s="736"/>
      <c r="AM1393" s="736"/>
      <c r="AN1393" s="736"/>
      <c r="AO1393" s="736"/>
      <c r="AP1393" s="736"/>
      <c r="AQ1393" s="736"/>
      <c r="AR1393" s="736"/>
      <c r="AS1393" s="736"/>
      <c r="AT1393" s="736"/>
      <c r="AU1393" s="736"/>
      <c r="AV1393" s="736"/>
      <c r="AW1393" s="736"/>
      <c r="AX1393" s="736"/>
      <c r="AY1393" s="736"/>
      <c r="AZ1393" s="736"/>
      <c r="BA1393" s="736"/>
      <c r="BB1393" s="736"/>
      <c r="BC1393" s="736"/>
      <c r="BD1393" s="736"/>
      <c r="BE1393" s="736"/>
      <c r="BF1393" s="736"/>
      <c r="BG1393" s="736"/>
      <c r="BH1393" s="736"/>
      <c r="BI1393" s="736"/>
      <c r="BJ1393" s="736"/>
      <c r="BK1393" s="736"/>
      <c r="BL1393" s="736"/>
      <c r="BM1393" s="736"/>
      <c r="BN1393" s="736"/>
      <c r="BO1393" s="736"/>
      <c r="BP1393" s="736"/>
      <c r="BQ1393" s="736"/>
      <c r="BR1393" s="736"/>
      <c r="BS1393" s="736"/>
      <c r="BT1393" s="736"/>
      <c r="BU1393" s="736"/>
      <c r="BV1393" s="736"/>
      <c r="BW1393" s="736"/>
      <c r="BX1393" s="736"/>
      <c r="BY1393" s="736"/>
      <c r="BZ1393" s="736"/>
      <c r="CA1393" s="736"/>
    </row>
    <row r="1394" spans="1:79" s="452" customFormat="1" hidden="1" outlineLevel="1" x14ac:dyDescent="0.35">
      <c r="A1394" s="574"/>
      <c r="B1394" s="574"/>
      <c r="C1394" s="574"/>
      <c r="D1394" s="574"/>
      <c r="E1394" s="574"/>
      <c r="F1394" s="674" t="s">
        <v>596</v>
      </c>
      <c r="G1394" s="735"/>
      <c r="H1394" s="735"/>
      <c r="I1394" s="735"/>
      <c r="J1394" s="735"/>
      <c r="K1394" s="735"/>
      <c r="L1394" s="735"/>
      <c r="M1394" s="735"/>
      <c r="N1394" s="735"/>
      <c r="O1394" s="735"/>
      <c r="P1394" s="732"/>
      <c r="Q1394" s="732"/>
      <c r="R1394" s="736"/>
      <c r="S1394" s="683"/>
      <c r="T1394" s="683"/>
      <c r="U1394" s="683"/>
      <c r="V1394" s="683"/>
      <c r="W1394" s="683"/>
      <c r="X1394" s="683"/>
      <c r="Y1394" s="683"/>
      <c r="Z1394" s="683"/>
      <c r="AA1394" s="683"/>
      <c r="AB1394" s="683"/>
      <c r="AC1394" s="702"/>
      <c r="AD1394" s="702"/>
      <c r="AE1394" s="736"/>
      <c r="AF1394" s="736"/>
      <c r="AG1394" s="736"/>
      <c r="AH1394" s="736"/>
      <c r="AI1394" s="736"/>
      <c r="AJ1394" s="736"/>
      <c r="AK1394" s="736"/>
      <c r="AL1394" s="736"/>
      <c r="AM1394" s="736"/>
      <c r="AN1394" s="736"/>
      <c r="AO1394" s="736"/>
      <c r="AP1394" s="736"/>
      <c r="AQ1394" s="736"/>
      <c r="AR1394" s="736"/>
      <c r="AS1394" s="736"/>
      <c r="AT1394" s="736"/>
      <c r="AU1394" s="736"/>
      <c r="AV1394" s="736"/>
      <c r="AW1394" s="736"/>
      <c r="AX1394" s="736"/>
      <c r="AY1394" s="736"/>
      <c r="AZ1394" s="736"/>
      <c r="BA1394" s="736"/>
      <c r="BB1394" s="736"/>
      <c r="BC1394" s="736"/>
      <c r="BD1394" s="736"/>
      <c r="BE1394" s="736"/>
      <c r="BF1394" s="736"/>
      <c r="BG1394" s="736"/>
      <c r="BH1394" s="736"/>
      <c r="BI1394" s="736"/>
      <c r="BJ1394" s="736"/>
      <c r="BK1394" s="736"/>
      <c r="BL1394" s="736"/>
      <c r="BM1394" s="736"/>
      <c r="BN1394" s="736"/>
      <c r="BO1394" s="736"/>
      <c r="BP1394" s="736"/>
      <c r="BQ1394" s="736"/>
      <c r="BR1394" s="736"/>
      <c r="BS1394" s="736"/>
      <c r="BT1394" s="736"/>
      <c r="BU1394" s="736"/>
      <c r="BV1394" s="736"/>
      <c r="BW1394" s="736"/>
      <c r="BX1394" s="736"/>
      <c r="BY1394" s="736"/>
      <c r="BZ1394" s="736"/>
      <c r="CA1394" s="736"/>
    </row>
    <row r="1395" spans="1:79" s="452" customFormat="1" hidden="1" outlineLevel="1" x14ac:dyDescent="0.35">
      <c r="A1395" s="574"/>
      <c r="B1395" s="574"/>
      <c r="C1395" s="574"/>
      <c r="D1395" s="574"/>
      <c r="E1395" s="574"/>
      <c r="F1395" s="671" t="s">
        <v>883</v>
      </c>
      <c r="G1395" s="735"/>
      <c r="H1395" s="735"/>
      <c r="I1395" s="735"/>
      <c r="J1395" s="735"/>
      <c r="K1395" s="735"/>
      <c r="L1395" s="735"/>
      <c r="M1395" s="735"/>
      <c r="N1395" s="735"/>
      <c r="O1395" s="735"/>
      <c r="P1395" s="732"/>
      <c r="Q1395" s="732"/>
      <c r="R1395" s="736"/>
      <c r="S1395" s="683"/>
      <c r="T1395" s="683"/>
      <c r="U1395" s="683"/>
      <c r="V1395" s="683"/>
      <c r="W1395" s="683"/>
      <c r="X1395" s="683"/>
      <c r="Y1395" s="683"/>
      <c r="Z1395" s="683"/>
      <c r="AA1395" s="683"/>
      <c r="AB1395" s="683"/>
      <c r="AC1395" s="702"/>
      <c r="AD1395" s="702"/>
      <c r="AE1395" s="736"/>
      <c r="AF1395" s="736"/>
      <c r="AG1395" s="736"/>
      <c r="AH1395" s="736"/>
      <c r="AI1395" s="736"/>
      <c r="AJ1395" s="736"/>
      <c r="AK1395" s="736"/>
      <c r="AL1395" s="736"/>
      <c r="AM1395" s="736"/>
      <c r="AN1395" s="736"/>
      <c r="AO1395" s="736"/>
      <c r="AP1395" s="736"/>
      <c r="AQ1395" s="736"/>
      <c r="AR1395" s="736"/>
      <c r="AS1395" s="736"/>
      <c r="AT1395" s="736"/>
      <c r="AU1395" s="736"/>
      <c r="AV1395" s="736"/>
      <c r="AW1395" s="736"/>
      <c r="AX1395" s="736"/>
      <c r="AY1395" s="736"/>
      <c r="AZ1395" s="736"/>
      <c r="BA1395" s="736"/>
      <c r="BB1395" s="736"/>
      <c r="BC1395" s="736"/>
      <c r="BD1395" s="736"/>
      <c r="BE1395" s="736"/>
      <c r="BF1395" s="736"/>
      <c r="BG1395" s="736"/>
      <c r="BH1395" s="736"/>
      <c r="BI1395" s="736"/>
      <c r="BJ1395" s="736"/>
      <c r="BK1395" s="736"/>
      <c r="BL1395" s="736"/>
      <c r="BM1395" s="736"/>
      <c r="BN1395" s="736"/>
      <c r="BO1395" s="736"/>
      <c r="BP1395" s="736"/>
      <c r="BQ1395" s="736"/>
      <c r="BR1395" s="736"/>
      <c r="BS1395" s="736"/>
      <c r="BT1395" s="736"/>
      <c r="BU1395" s="736"/>
      <c r="BV1395" s="736"/>
      <c r="BW1395" s="736"/>
      <c r="BX1395" s="736"/>
      <c r="BY1395" s="736"/>
      <c r="BZ1395" s="736"/>
      <c r="CA1395" s="736"/>
    </row>
    <row r="1396" spans="1:79" s="726" customFormat="1" hidden="1" outlineLevel="1" x14ac:dyDescent="0.35">
      <c r="A1396" s="716"/>
      <c r="B1396" s="716"/>
      <c r="C1396" s="716"/>
      <c r="D1396" s="716"/>
      <c r="E1396" s="716"/>
      <c r="F1396" s="717" t="s">
        <v>766</v>
      </c>
      <c r="G1396" s="782"/>
      <c r="H1396" s="782"/>
      <c r="I1396" s="782"/>
      <c r="J1396" s="782"/>
      <c r="K1396" s="782"/>
      <c r="L1396" s="782"/>
      <c r="M1396" s="782"/>
      <c r="N1396" s="782"/>
      <c r="O1396" s="782"/>
      <c r="P1396" s="753"/>
      <c r="Q1396" s="753"/>
      <c r="R1396" s="779"/>
      <c r="S1396" s="720"/>
      <c r="T1396" s="720"/>
      <c r="U1396" s="720"/>
      <c r="V1396" s="720"/>
      <c r="W1396" s="720"/>
      <c r="X1396" s="720"/>
      <c r="Y1396" s="720"/>
      <c r="Z1396" s="720"/>
      <c r="AA1396" s="720"/>
      <c r="AB1396" s="720"/>
      <c r="AC1396" s="719"/>
      <c r="AD1396" s="719"/>
      <c r="AE1396" s="752"/>
      <c r="AF1396" s="752"/>
      <c r="AG1396" s="752"/>
      <c r="AH1396" s="752"/>
      <c r="AI1396" s="752"/>
      <c r="AJ1396" s="752"/>
      <c r="AK1396" s="752"/>
      <c r="AL1396" s="752"/>
      <c r="AM1396" s="752"/>
      <c r="AN1396" s="752"/>
      <c r="AO1396" s="752"/>
      <c r="AP1396" s="752"/>
      <c r="AQ1396" s="752"/>
      <c r="AR1396" s="752"/>
      <c r="AS1396" s="752"/>
      <c r="AT1396" s="752"/>
      <c r="AU1396" s="752"/>
      <c r="AV1396" s="752"/>
      <c r="AW1396" s="752"/>
      <c r="AX1396" s="752"/>
      <c r="AY1396" s="752"/>
      <c r="AZ1396" s="752"/>
      <c r="BA1396" s="752"/>
      <c r="BB1396" s="752"/>
      <c r="BC1396" s="752"/>
      <c r="BD1396" s="752"/>
      <c r="BE1396" s="752"/>
      <c r="BF1396" s="752"/>
      <c r="BG1396" s="752"/>
      <c r="BH1396" s="752"/>
      <c r="BI1396" s="752"/>
      <c r="BJ1396" s="752"/>
      <c r="BK1396" s="752"/>
      <c r="BL1396" s="752"/>
      <c r="BM1396" s="752"/>
      <c r="BN1396" s="752"/>
      <c r="BO1396" s="752"/>
      <c r="BP1396" s="752"/>
      <c r="BQ1396" s="752"/>
      <c r="BR1396" s="752"/>
      <c r="BS1396" s="752"/>
      <c r="BT1396" s="752"/>
      <c r="BU1396" s="752"/>
      <c r="BV1396" s="752"/>
      <c r="BW1396" s="752"/>
      <c r="BX1396" s="752"/>
      <c r="BY1396" s="752"/>
      <c r="BZ1396" s="752"/>
      <c r="CA1396" s="752"/>
    </row>
    <row r="1397" spans="1:79" hidden="1" outlineLevel="1" x14ac:dyDescent="0.35">
      <c r="A1397" s="580"/>
      <c r="B1397" s="580"/>
      <c r="C1397" s="580"/>
      <c r="D1397" s="580"/>
      <c r="E1397" s="580"/>
      <c r="F1397" s="672" t="s">
        <v>884</v>
      </c>
      <c r="G1397" s="739"/>
      <c r="H1397" s="739"/>
      <c r="I1397" s="739"/>
      <c r="J1397" s="739"/>
      <c r="K1397" s="739"/>
      <c r="L1397" s="739"/>
      <c r="M1397" s="739"/>
      <c r="N1397" s="739"/>
      <c r="O1397" s="739"/>
      <c r="P1397" s="734"/>
      <c r="Q1397" s="734"/>
      <c r="R1397" s="733"/>
      <c r="S1397" s="683"/>
      <c r="T1397" s="683"/>
      <c r="U1397" s="683"/>
      <c r="V1397" s="683"/>
      <c r="W1397" s="683"/>
      <c r="X1397" s="683"/>
      <c r="Y1397" s="683"/>
      <c r="Z1397" s="683"/>
      <c r="AA1397" s="683"/>
      <c r="AB1397" s="683"/>
      <c r="AC1397" s="702"/>
      <c r="AD1397" s="702"/>
      <c r="AE1397" s="736"/>
      <c r="AF1397" s="736"/>
      <c r="AG1397" s="736"/>
      <c r="AH1397" s="736"/>
      <c r="AI1397" s="736"/>
      <c r="AJ1397" s="736"/>
      <c r="AK1397" s="736"/>
      <c r="AL1397" s="736"/>
      <c r="AM1397" s="736"/>
      <c r="AN1397" s="736"/>
      <c r="AO1397" s="736"/>
      <c r="AP1397" s="736"/>
      <c r="AQ1397" s="736"/>
      <c r="AR1397" s="736"/>
      <c r="AS1397" s="736"/>
      <c r="AT1397" s="736"/>
      <c r="AU1397" s="736"/>
      <c r="AV1397" s="736"/>
      <c r="AW1397" s="736"/>
      <c r="AX1397" s="736"/>
      <c r="AY1397" s="736"/>
      <c r="AZ1397" s="736"/>
      <c r="BA1397" s="736"/>
      <c r="BB1397" s="736"/>
      <c r="BC1397" s="736"/>
      <c r="BD1397" s="736"/>
      <c r="BE1397" s="736"/>
      <c r="BF1397" s="736"/>
      <c r="BG1397" s="736"/>
      <c r="BH1397" s="736"/>
      <c r="BI1397" s="736"/>
      <c r="BJ1397" s="736"/>
      <c r="BK1397" s="736"/>
      <c r="BL1397" s="736"/>
      <c r="BM1397" s="736"/>
      <c r="BN1397" s="736"/>
      <c r="BO1397" s="736"/>
      <c r="BP1397" s="736"/>
      <c r="BQ1397" s="736"/>
      <c r="BR1397" s="736"/>
      <c r="BS1397" s="736"/>
      <c r="BT1397" s="736"/>
      <c r="BU1397" s="736"/>
      <c r="BV1397" s="736"/>
      <c r="BW1397" s="736"/>
      <c r="BX1397" s="736"/>
      <c r="BY1397" s="736"/>
      <c r="BZ1397" s="736"/>
      <c r="CA1397" s="736"/>
    </row>
    <row r="1398" spans="1:79" hidden="1" outlineLevel="1" x14ac:dyDescent="0.35">
      <c r="A1398" s="580"/>
      <c r="B1398" s="580"/>
      <c r="C1398" s="580"/>
      <c r="D1398" s="580"/>
      <c r="E1398" s="580"/>
      <c r="F1398" s="672" t="s">
        <v>885</v>
      </c>
      <c r="G1398" s="739"/>
      <c r="H1398" s="739"/>
      <c r="I1398" s="739"/>
      <c r="J1398" s="739"/>
      <c r="K1398" s="739"/>
      <c r="L1398" s="739"/>
      <c r="M1398" s="739"/>
      <c r="N1398" s="739"/>
      <c r="O1398" s="739"/>
      <c r="P1398" s="734"/>
      <c r="Q1398" s="734"/>
      <c r="R1398" s="733"/>
      <c r="S1398" s="683"/>
      <c r="T1398" s="683"/>
      <c r="U1398" s="683"/>
      <c r="V1398" s="683"/>
      <c r="W1398" s="683"/>
      <c r="X1398" s="683"/>
      <c r="Y1398" s="683"/>
      <c r="Z1398" s="683"/>
      <c r="AA1398" s="683"/>
      <c r="AB1398" s="683"/>
      <c r="AC1398" s="702"/>
      <c r="AD1398" s="702"/>
      <c r="AE1398" s="736"/>
      <c r="AF1398" s="736"/>
      <c r="AG1398" s="736"/>
      <c r="AH1398" s="736"/>
      <c r="AI1398" s="736"/>
      <c r="AJ1398" s="736"/>
      <c r="AK1398" s="736"/>
      <c r="AL1398" s="736"/>
      <c r="AM1398" s="736"/>
      <c r="AN1398" s="736"/>
      <c r="AO1398" s="736"/>
      <c r="AP1398" s="736"/>
      <c r="AQ1398" s="736"/>
      <c r="AR1398" s="736"/>
      <c r="AS1398" s="736"/>
      <c r="AT1398" s="736"/>
      <c r="AU1398" s="736"/>
      <c r="AV1398" s="736"/>
      <c r="AW1398" s="736"/>
      <c r="AX1398" s="736"/>
      <c r="AY1398" s="736"/>
      <c r="AZ1398" s="736"/>
      <c r="BA1398" s="736"/>
      <c r="BB1398" s="736"/>
      <c r="BC1398" s="736"/>
      <c r="BD1398" s="736"/>
      <c r="BE1398" s="736"/>
      <c r="BF1398" s="736"/>
      <c r="BG1398" s="736"/>
      <c r="BH1398" s="736"/>
      <c r="BI1398" s="736"/>
      <c r="BJ1398" s="736"/>
      <c r="BK1398" s="736"/>
      <c r="BL1398" s="736"/>
      <c r="BM1398" s="736"/>
      <c r="BN1398" s="736"/>
      <c r="BO1398" s="736"/>
      <c r="BP1398" s="736"/>
      <c r="BQ1398" s="736"/>
      <c r="BR1398" s="736"/>
      <c r="BS1398" s="736"/>
      <c r="BT1398" s="736"/>
      <c r="BU1398" s="736"/>
      <c r="BV1398" s="736"/>
      <c r="BW1398" s="736"/>
      <c r="BX1398" s="736"/>
      <c r="BY1398" s="736"/>
      <c r="BZ1398" s="736"/>
      <c r="CA1398" s="736"/>
    </row>
    <row r="1399" spans="1:79" hidden="1" outlineLevel="1" x14ac:dyDescent="0.35">
      <c r="A1399" s="580"/>
      <c r="B1399" s="580"/>
      <c r="C1399" s="580"/>
      <c r="D1399" s="580"/>
      <c r="E1399" s="580"/>
      <c r="F1399" s="672" t="s">
        <v>886</v>
      </c>
      <c r="G1399" s="739"/>
      <c r="H1399" s="739"/>
      <c r="I1399" s="739"/>
      <c r="J1399" s="739"/>
      <c r="K1399" s="739"/>
      <c r="L1399" s="739"/>
      <c r="M1399" s="739"/>
      <c r="N1399" s="739"/>
      <c r="O1399" s="739"/>
      <c r="P1399" s="734"/>
      <c r="Q1399" s="734"/>
      <c r="R1399" s="733"/>
      <c r="S1399" s="683"/>
      <c r="T1399" s="683"/>
      <c r="U1399" s="683"/>
      <c r="V1399" s="683"/>
      <c r="W1399" s="683"/>
      <c r="X1399" s="683"/>
      <c r="Y1399" s="683"/>
      <c r="Z1399" s="683"/>
      <c r="AA1399" s="683"/>
      <c r="AB1399" s="683"/>
      <c r="AC1399" s="702"/>
      <c r="AD1399" s="702"/>
      <c r="AE1399" s="736"/>
      <c r="AF1399" s="736"/>
      <c r="AG1399" s="736"/>
      <c r="AH1399" s="736"/>
      <c r="AI1399" s="736"/>
      <c r="AJ1399" s="736"/>
      <c r="AK1399" s="736"/>
      <c r="AL1399" s="736"/>
      <c r="AM1399" s="736"/>
      <c r="AN1399" s="736"/>
      <c r="AO1399" s="736"/>
      <c r="AP1399" s="736"/>
      <c r="AQ1399" s="736"/>
      <c r="AR1399" s="736"/>
      <c r="AS1399" s="736"/>
      <c r="AT1399" s="736"/>
      <c r="AU1399" s="736"/>
      <c r="AV1399" s="736"/>
      <c r="AW1399" s="736"/>
      <c r="AX1399" s="736"/>
      <c r="AY1399" s="736"/>
      <c r="AZ1399" s="736"/>
      <c r="BA1399" s="736"/>
      <c r="BB1399" s="736"/>
      <c r="BC1399" s="736"/>
      <c r="BD1399" s="736"/>
      <c r="BE1399" s="736"/>
      <c r="BF1399" s="736"/>
      <c r="BG1399" s="736"/>
      <c r="BH1399" s="736"/>
      <c r="BI1399" s="736"/>
      <c r="BJ1399" s="736"/>
      <c r="BK1399" s="736"/>
      <c r="BL1399" s="736"/>
      <c r="BM1399" s="736"/>
      <c r="BN1399" s="736"/>
      <c r="BO1399" s="736"/>
      <c r="BP1399" s="736"/>
      <c r="BQ1399" s="736"/>
      <c r="BR1399" s="736"/>
      <c r="BS1399" s="736"/>
      <c r="BT1399" s="736"/>
      <c r="BU1399" s="736"/>
      <c r="BV1399" s="736"/>
      <c r="BW1399" s="736"/>
      <c r="BX1399" s="736"/>
      <c r="BY1399" s="736"/>
      <c r="BZ1399" s="736"/>
      <c r="CA1399" s="736"/>
    </row>
    <row r="1400" spans="1:79" hidden="1" outlineLevel="1" x14ac:dyDescent="0.35">
      <c r="A1400" s="580"/>
      <c r="B1400" s="580"/>
      <c r="C1400" s="580"/>
      <c r="D1400" s="580"/>
      <c r="E1400" s="580"/>
      <c r="F1400" s="672" t="s">
        <v>664</v>
      </c>
      <c r="G1400" s="739"/>
      <c r="H1400" s="739"/>
      <c r="I1400" s="739"/>
      <c r="J1400" s="739"/>
      <c r="K1400" s="739"/>
      <c r="L1400" s="739"/>
      <c r="M1400" s="739"/>
      <c r="N1400" s="739"/>
      <c r="O1400" s="739"/>
      <c r="P1400" s="734"/>
      <c r="Q1400" s="734"/>
      <c r="R1400" s="733"/>
      <c r="S1400" s="683"/>
      <c r="T1400" s="683"/>
      <c r="U1400" s="683"/>
      <c r="V1400" s="683"/>
      <c r="W1400" s="683"/>
      <c r="X1400" s="683"/>
      <c r="Y1400" s="683"/>
      <c r="Z1400" s="683"/>
      <c r="AA1400" s="683"/>
      <c r="AB1400" s="683"/>
      <c r="AC1400" s="702"/>
      <c r="AD1400" s="702"/>
      <c r="AE1400" s="736"/>
      <c r="AF1400" s="736"/>
      <c r="AG1400" s="736"/>
      <c r="AH1400" s="736"/>
      <c r="AI1400" s="736"/>
      <c r="AJ1400" s="736"/>
      <c r="AK1400" s="736"/>
      <c r="AL1400" s="736"/>
      <c r="AM1400" s="736"/>
      <c r="AN1400" s="736"/>
      <c r="AO1400" s="736"/>
      <c r="AP1400" s="736"/>
      <c r="AQ1400" s="736"/>
      <c r="AR1400" s="736"/>
      <c r="AS1400" s="736"/>
      <c r="AT1400" s="736"/>
      <c r="AU1400" s="736"/>
      <c r="AV1400" s="736"/>
      <c r="AW1400" s="736"/>
      <c r="AX1400" s="736"/>
      <c r="AY1400" s="736"/>
      <c r="AZ1400" s="736"/>
      <c r="BA1400" s="736"/>
      <c r="BB1400" s="736"/>
      <c r="BC1400" s="736"/>
      <c r="BD1400" s="736"/>
      <c r="BE1400" s="736"/>
      <c r="BF1400" s="736"/>
      <c r="BG1400" s="736"/>
      <c r="BH1400" s="736"/>
      <c r="BI1400" s="736"/>
      <c r="BJ1400" s="736"/>
      <c r="BK1400" s="736"/>
      <c r="BL1400" s="736"/>
      <c r="BM1400" s="736"/>
      <c r="BN1400" s="736"/>
      <c r="BO1400" s="736"/>
      <c r="BP1400" s="736"/>
      <c r="BQ1400" s="736"/>
      <c r="BR1400" s="736"/>
      <c r="BS1400" s="736"/>
      <c r="BT1400" s="736"/>
      <c r="BU1400" s="736"/>
      <c r="BV1400" s="736"/>
      <c r="BW1400" s="736"/>
      <c r="BX1400" s="736"/>
      <c r="BY1400" s="736"/>
      <c r="BZ1400" s="736"/>
      <c r="CA1400" s="736"/>
    </row>
    <row r="1401" spans="1:79" s="757" customFormat="1" hidden="1" outlineLevel="1" x14ac:dyDescent="0.35">
      <c r="A1401" s="580"/>
      <c r="B1401" s="580"/>
      <c r="C1401" s="580"/>
      <c r="D1401" s="580"/>
      <c r="E1401" s="580"/>
      <c r="F1401" s="672" t="s">
        <v>665</v>
      </c>
      <c r="G1401" s="739"/>
      <c r="H1401" s="739"/>
      <c r="I1401" s="739"/>
      <c r="J1401" s="739"/>
      <c r="K1401" s="739"/>
      <c r="L1401" s="739"/>
      <c r="M1401" s="739"/>
      <c r="N1401" s="739"/>
      <c r="O1401" s="739"/>
      <c r="P1401" s="734"/>
      <c r="Q1401" s="734"/>
      <c r="R1401" s="733"/>
      <c r="S1401" s="683"/>
      <c r="T1401" s="683"/>
      <c r="U1401" s="683"/>
      <c r="V1401" s="683"/>
      <c r="W1401" s="683"/>
      <c r="X1401" s="683"/>
      <c r="Y1401" s="683"/>
      <c r="Z1401" s="683"/>
      <c r="AA1401" s="683"/>
      <c r="AB1401" s="683"/>
      <c r="AC1401" s="702"/>
      <c r="AD1401" s="702"/>
      <c r="AE1401" s="736"/>
      <c r="AF1401" s="736"/>
      <c r="AG1401" s="736"/>
      <c r="AH1401" s="736"/>
      <c r="AI1401" s="736"/>
      <c r="AJ1401" s="736"/>
      <c r="AK1401" s="736"/>
      <c r="AL1401" s="736"/>
      <c r="AM1401" s="736"/>
      <c r="AN1401" s="736"/>
      <c r="AO1401" s="736"/>
      <c r="AP1401" s="736"/>
      <c r="AQ1401" s="736"/>
      <c r="AR1401" s="736"/>
      <c r="AS1401" s="736"/>
      <c r="AT1401" s="736"/>
      <c r="AU1401" s="736"/>
      <c r="AV1401" s="736"/>
      <c r="AW1401" s="736"/>
      <c r="AX1401" s="736"/>
      <c r="AY1401" s="736"/>
      <c r="AZ1401" s="736"/>
      <c r="BA1401" s="736"/>
      <c r="BB1401" s="736"/>
      <c r="BC1401" s="736"/>
      <c r="BD1401" s="736"/>
      <c r="BE1401" s="736"/>
      <c r="BF1401" s="736"/>
      <c r="BG1401" s="736"/>
      <c r="BH1401" s="736"/>
      <c r="BI1401" s="736"/>
      <c r="BJ1401" s="736"/>
      <c r="BK1401" s="736"/>
      <c r="BL1401" s="736"/>
      <c r="BM1401" s="736"/>
      <c r="BN1401" s="736"/>
      <c r="BO1401" s="736"/>
      <c r="BP1401" s="736"/>
      <c r="BQ1401" s="736"/>
      <c r="BR1401" s="736"/>
      <c r="BS1401" s="736"/>
      <c r="BT1401" s="736"/>
      <c r="BU1401" s="736"/>
      <c r="BV1401" s="736"/>
      <c r="BW1401" s="736"/>
      <c r="BX1401" s="736"/>
      <c r="BY1401" s="736"/>
      <c r="BZ1401" s="736"/>
      <c r="CA1401" s="736"/>
    </row>
    <row r="1402" spans="1:79" s="757" customFormat="1" hidden="1" outlineLevel="1" x14ac:dyDescent="0.35">
      <c r="A1402" s="580"/>
      <c r="B1402" s="580"/>
      <c r="C1402" s="580"/>
      <c r="D1402" s="580"/>
      <c r="E1402" s="580"/>
      <c r="F1402" s="672" t="s">
        <v>887</v>
      </c>
      <c r="G1402" s="739"/>
      <c r="H1402" s="739"/>
      <c r="I1402" s="739"/>
      <c r="J1402" s="739"/>
      <c r="K1402" s="739"/>
      <c r="L1402" s="739"/>
      <c r="M1402" s="739"/>
      <c r="N1402" s="739"/>
      <c r="O1402" s="739"/>
      <c r="P1402" s="734"/>
      <c r="Q1402" s="734"/>
      <c r="R1402" s="733"/>
      <c r="S1402" s="683"/>
      <c r="T1402" s="683"/>
      <c r="U1402" s="683"/>
      <c r="V1402" s="683"/>
      <c r="W1402" s="683"/>
      <c r="X1402" s="683"/>
      <c r="Y1402" s="683"/>
      <c r="Z1402" s="683"/>
      <c r="AA1402" s="683"/>
      <c r="AB1402" s="683"/>
      <c r="AC1402" s="702"/>
      <c r="AD1402" s="702"/>
      <c r="AE1402" s="736"/>
      <c r="AF1402" s="736"/>
      <c r="AG1402" s="736"/>
      <c r="AH1402" s="736"/>
      <c r="AI1402" s="736"/>
      <c r="AJ1402" s="736"/>
      <c r="AK1402" s="736"/>
      <c r="AL1402" s="736"/>
      <c r="AM1402" s="736"/>
      <c r="AN1402" s="736"/>
      <c r="AO1402" s="736"/>
      <c r="AP1402" s="736"/>
      <c r="AQ1402" s="736"/>
      <c r="AR1402" s="736"/>
      <c r="AS1402" s="736"/>
      <c r="AT1402" s="736"/>
      <c r="AU1402" s="736"/>
      <c r="AV1402" s="736"/>
      <c r="AW1402" s="736"/>
      <c r="AX1402" s="736"/>
      <c r="AY1402" s="736"/>
      <c r="AZ1402" s="736"/>
      <c r="BA1402" s="736"/>
      <c r="BB1402" s="736"/>
      <c r="BC1402" s="736"/>
      <c r="BD1402" s="736"/>
      <c r="BE1402" s="736"/>
      <c r="BF1402" s="736"/>
      <c r="BG1402" s="736"/>
      <c r="BH1402" s="736"/>
      <c r="BI1402" s="736"/>
      <c r="BJ1402" s="736"/>
      <c r="BK1402" s="736"/>
      <c r="BL1402" s="736"/>
      <c r="BM1402" s="736"/>
      <c r="BN1402" s="736"/>
      <c r="BO1402" s="736"/>
      <c r="BP1402" s="736"/>
      <c r="BQ1402" s="736"/>
      <c r="BR1402" s="736"/>
      <c r="BS1402" s="736"/>
      <c r="BT1402" s="736"/>
      <c r="BU1402" s="736"/>
      <c r="BV1402" s="736"/>
      <c r="BW1402" s="736"/>
      <c r="BX1402" s="736"/>
      <c r="BY1402" s="736"/>
      <c r="BZ1402" s="736"/>
      <c r="CA1402" s="736"/>
    </row>
    <row r="1403" spans="1:79" s="757" customFormat="1" hidden="1" outlineLevel="1" x14ac:dyDescent="0.35">
      <c r="A1403" s="580"/>
      <c r="B1403" s="580"/>
      <c r="C1403" s="580"/>
      <c r="D1403" s="580"/>
      <c r="E1403" s="580"/>
      <c r="F1403" s="672" t="s">
        <v>666</v>
      </c>
      <c r="G1403" s="739"/>
      <c r="H1403" s="739"/>
      <c r="I1403" s="739"/>
      <c r="J1403" s="739"/>
      <c r="K1403" s="739"/>
      <c r="L1403" s="739"/>
      <c r="M1403" s="739"/>
      <c r="N1403" s="739"/>
      <c r="O1403" s="739"/>
      <c r="P1403" s="734"/>
      <c r="Q1403" s="734"/>
      <c r="R1403" s="733"/>
      <c r="S1403" s="683"/>
      <c r="T1403" s="683"/>
      <c r="U1403" s="683"/>
      <c r="V1403" s="683"/>
      <c r="W1403" s="683"/>
      <c r="X1403" s="683"/>
      <c r="Y1403" s="683"/>
      <c r="Z1403" s="683"/>
      <c r="AA1403" s="683"/>
      <c r="AB1403" s="683"/>
      <c r="AC1403" s="702"/>
      <c r="AD1403" s="702"/>
      <c r="AE1403" s="736"/>
      <c r="AF1403" s="736"/>
      <c r="AG1403" s="736"/>
      <c r="AH1403" s="736"/>
      <c r="AI1403" s="736"/>
      <c r="AJ1403" s="736"/>
      <c r="AK1403" s="736"/>
      <c r="AL1403" s="736"/>
      <c r="AM1403" s="736"/>
      <c r="AN1403" s="736"/>
      <c r="AO1403" s="736"/>
      <c r="AP1403" s="736"/>
      <c r="AQ1403" s="736"/>
      <c r="AR1403" s="736"/>
      <c r="AS1403" s="736"/>
      <c r="AT1403" s="736"/>
      <c r="AU1403" s="736"/>
      <c r="AV1403" s="736"/>
      <c r="AW1403" s="736"/>
      <c r="AX1403" s="736"/>
      <c r="AY1403" s="736"/>
      <c r="AZ1403" s="736"/>
      <c r="BA1403" s="736"/>
      <c r="BB1403" s="736"/>
      <c r="BC1403" s="736"/>
      <c r="BD1403" s="736"/>
      <c r="BE1403" s="736"/>
      <c r="BF1403" s="736"/>
      <c r="BG1403" s="736"/>
      <c r="BH1403" s="736"/>
      <c r="BI1403" s="736"/>
      <c r="BJ1403" s="736"/>
      <c r="BK1403" s="736"/>
      <c r="BL1403" s="736"/>
      <c r="BM1403" s="736"/>
      <c r="BN1403" s="736"/>
      <c r="BO1403" s="736"/>
      <c r="BP1403" s="736"/>
      <c r="BQ1403" s="736"/>
      <c r="BR1403" s="736"/>
      <c r="BS1403" s="736"/>
      <c r="BT1403" s="736"/>
      <c r="BU1403" s="736"/>
      <c r="BV1403" s="736"/>
      <c r="BW1403" s="736"/>
      <c r="BX1403" s="736"/>
      <c r="BY1403" s="736"/>
      <c r="BZ1403" s="736"/>
      <c r="CA1403" s="736"/>
    </row>
    <row r="1404" spans="1:79" s="452" customFormat="1" hidden="1" outlineLevel="1" x14ac:dyDescent="0.35">
      <c r="A1404" s="580"/>
      <c r="B1404" s="580"/>
      <c r="C1404" s="580"/>
      <c r="D1404" s="580"/>
      <c r="E1404" s="580"/>
      <c r="F1404" s="676" t="s">
        <v>667</v>
      </c>
      <c r="G1404" s="739"/>
      <c r="H1404" s="739"/>
      <c r="I1404" s="739"/>
      <c r="J1404" s="739"/>
      <c r="K1404" s="739"/>
      <c r="L1404" s="739"/>
      <c r="M1404" s="739"/>
      <c r="N1404" s="739"/>
      <c r="O1404" s="739"/>
      <c r="P1404" s="734"/>
      <c r="Q1404" s="734"/>
      <c r="R1404" s="733"/>
      <c r="S1404" s="683"/>
      <c r="T1404" s="683"/>
      <c r="U1404" s="683"/>
      <c r="V1404" s="683"/>
      <c r="W1404" s="683"/>
      <c r="X1404" s="683"/>
      <c r="Y1404" s="683"/>
      <c r="Z1404" s="683"/>
      <c r="AA1404" s="683"/>
      <c r="AB1404" s="683"/>
      <c r="AC1404" s="702"/>
      <c r="AD1404" s="702"/>
      <c r="AE1404" s="736"/>
      <c r="AF1404" s="736"/>
      <c r="AG1404" s="736"/>
      <c r="AH1404" s="736"/>
      <c r="AI1404" s="736"/>
      <c r="AJ1404" s="736"/>
      <c r="AK1404" s="736"/>
      <c r="AL1404" s="736"/>
      <c r="AM1404" s="736"/>
      <c r="AN1404" s="736"/>
      <c r="AO1404" s="736"/>
      <c r="AP1404" s="736"/>
      <c r="AQ1404" s="736"/>
      <c r="AR1404" s="736"/>
      <c r="AS1404" s="736"/>
      <c r="AT1404" s="736"/>
      <c r="AU1404" s="736"/>
      <c r="AV1404" s="736"/>
      <c r="AW1404" s="736"/>
      <c r="AX1404" s="736"/>
      <c r="AY1404" s="736"/>
      <c r="AZ1404" s="736"/>
      <c r="BA1404" s="736"/>
      <c r="BB1404" s="736"/>
      <c r="BC1404" s="736"/>
      <c r="BD1404" s="736"/>
      <c r="BE1404" s="736"/>
      <c r="BF1404" s="736"/>
      <c r="BG1404" s="736"/>
      <c r="BH1404" s="736"/>
      <c r="BI1404" s="736"/>
      <c r="BJ1404" s="736"/>
      <c r="BK1404" s="736"/>
      <c r="BL1404" s="736"/>
      <c r="BM1404" s="736"/>
      <c r="BN1404" s="736"/>
      <c r="BO1404" s="736"/>
      <c r="BP1404" s="736"/>
      <c r="BQ1404" s="736"/>
      <c r="BR1404" s="736"/>
      <c r="BS1404" s="736"/>
      <c r="BT1404" s="736"/>
      <c r="BU1404" s="736"/>
      <c r="BV1404" s="736"/>
      <c r="BW1404" s="736"/>
      <c r="BX1404" s="736"/>
      <c r="BY1404" s="736"/>
      <c r="BZ1404" s="736"/>
      <c r="CA1404" s="736"/>
    </row>
    <row r="1405" spans="1:79" s="452" customFormat="1" hidden="1" outlineLevel="1" x14ac:dyDescent="0.35">
      <c r="A1405" s="580"/>
      <c r="B1405" s="580"/>
      <c r="C1405" s="580"/>
      <c r="D1405" s="580"/>
      <c r="E1405" s="580"/>
      <c r="F1405" s="672" t="s">
        <v>888</v>
      </c>
      <c r="G1405" s="735"/>
      <c r="H1405" s="735"/>
      <c r="I1405" s="735"/>
      <c r="J1405" s="735"/>
      <c r="K1405" s="735"/>
      <c r="L1405" s="735"/>
      <c r="M1405" s="735"/>
      <c r="N1405" s="735"/>
      <c r="O1405" s="735"/>
      <c r="P1405" s="734"/>
      <c r="Q1405" s="734"/>
      <c r="R1405" s="733"/>
      <c r="S1405" s="683"/>
      <c r="T1405" s="683"/>
      <c r="U1405" s="683"/>
      <c r="V1405" s="683"/>
      <c r="W1405" s="683"/>
      <c r="X1405" s="683"/>
      <c r="Y1405" s="683"/>
      <c r="Z1405" s="683"/>
      <c r="AA1405" s="683"/>
      <c r="AB1405" s="683"/>
      <c r="AC1405" s="702"/>
      <c r="AD1405" s="702"/>
      <c r="AE1405" s="736"/>
      <c r="AF1405" s="736"/>
      <c r="AG1405" s="736"/>
      <c r="AH1405" s="736"/>
      <c r="AI1405" s="736"/>
      <c r="AJ1405" s="736"/>
      <c r="AK1405" s="736"/>
      <c r="AL1405" s="736"/>
      <c r="AM1405" s="736"/>
      <c r="AN1405" s="736"/>
      <c r="AO1405" s="736"/>
      <c r="AP1405" s="736"/>
      <c r="AQ1405" s="736"/>
      <c r="AR1405" s="736"/>
      <c r="AS1405" s="736"/>
      <c r="AT1405" s="736"/>
      <c r="AU1405" s="736"/>
      <c r="AV1405" s="736"/>
      <c r="AW1405" s="736"/>
      <c r="AX1405" s="736"/>
      <c r="AY1405" s="736"/>
      <c r="AZ1405" s="736"/>
      <c r="BA1405" s="736"/>
      <c r="BB1405" s="736"/>
      <c r="BC1405" s="736"/>
      <c r="BD1405" s="736"/>
      <c r="BE1405" s="736"/>
      <c r="BF1405" s="736"/>
      <c r="BG1405" s="736"/>
      <c r="BH1405" s="736"/>
      <c r="BI1405" s="736"/>
      <c r="BJ1405" s="736"/>
      <c r="BK1405" s="736"/>
      <c r="BL1405" s="736"/>
      <c r="BM1405" s="736"/>
      <c r="BN1405" s="736"/>
      <c r="BO1405" s="736"/>
      <c r="BP1405" s="736"/>
      <c r="BQ1405" s="736"/>
      <c r="BR1405" s="736"/>
      <c r="BS1405" s="736"/>
      <c r="BT1405" s="736"/>
      <c r="BU1405" s="736"/>
      <c r="BV1405" s="736"/>
      <c r="BW1405" s="736"/>
      <c r="BX1405" s="736"/>
      <c r="BY1405" s="736"/>
      <c r="BZ1405" s="736"/>
      <c r="CA1405" s="736"/>
    </row>
    <row r="1406" spans="1:79" s="452" customFormat="1" hidden="1" outlineLevel="1" x14ac:dyDescent="0.35">
      <c r="A1406" s="575"/>
      <c r="B1406" s="575"/>
      <c r="C1406" s="575"/>
      <c r="D1406" s="575"/>
      <c r="E1406" s="575"/>
      <c r="F1406" s="673" t="s">
        <v>668</v>
      </c>
      <c r="G1406" s="680"/>
      <c r="H1406" s="680"/>
      <c r="I1406" s="680"/>
      <c r="J1406" s="680"/>
      <c r="K1406" s="680"/>
      <c r="L1406" s="680"/>
      <c r="M1406" s="680"/>
      <c r="N1406" s="680"/>
      <c r="O1406" s="680"/>
      <c r="P1406" s="680"/>
      <c r="Q1406" s="680"/>
      <c r="R1406" s="680"/>
      <c r="S1406" s="694"/>
      <c r="T1406" s="694"/>
      <c r="U1406" s="694"/>
      <c r="V1406" s="694"/>
      <c r="W1406" s="694"/>
      <c r="X1406" s="694"/>
      <c r="Y1406" s="694"/>
      <c r="Z1406" s="694"/>
      <c r="AA1406" s="694"/>
      <c r="AB1406" s="694"/>
      <c r="AC1406" s="694"/>
      <c r="AD1406" s="694"/>
      <c r="AE1406" s="680">
        <f t="shared" ref="AE1406:BO1406" si="534">SUM(AE1397:AE1405)</f>
        <v>0</v>
      </c>
      <c r="AF1406" s="680">
        <f t="shared" si="534"/>
        <v>0</v>
      </c>
      <c r="AG1406" s="680">
        <f t="shared" si="534"/>
        <v>0</v>
      </c>
      <c r="AH1406" s="680">
        <f t="shared" si="534"/>
        <v>0</v>
      </c>
      <c r="AI1406" s="680">
        <f t="shared" si="534"/>
        <v>0</v>
      </c>
      <c r="AJ1406" s="680">
        <f t="shared" si="534"/>
        <v>0</v>
      </c>
      <c r="AK1406" s="680">
        <f t="shared" si="534"/>
        <v>0</v>
      </c>
      <c r="AL1406" s="680">
        <f t="shared" si="534"/>
        <v>0</v>
      </c>
      <c r="AM1406" s="680">
        <f t="shared" si="534"/>
        <v>0</v>
      </c>
      <c r="AN1406" s="680">
        <f t="shared" si="534"/>
        <v>0</v>
      </c>
      <c r="AO1406" s="680">
        <f t="shared" si="534"/>
        <v>0</v>
      </c>
      <c r="AP1406" s="680">
        <f t="shared" si="534"/>
        <v>0</v>
      </c>
      <c r="AQ1406" s="680">
        <f t="shared" si="534"/>
        <v>0</v>
      </c>
      <c r="AR1406" s="680">
        <f t="shared" si="534"/>
        <v>0</v>
      </c>
      <c r="AS1406" s="680">
        <f t="shared" si="534"/>
        <v>0</v>
      </c>
      <c r="AT1406" s="680">
        <f t="shared" si="534"/>
        <v>0</v>
      </c>
      <c r="AU1406" s="680">
        <f t="shared" si="534"/>
        <v>0</v>
      </c>
      <c r="AV1406" s="680">
        <f t="shared" si="534"/>
        <v>0</v>
      </c>
      <c r="AW1406" s="680">
        <f t="shared" si="534"/>
        <v>0</v>
      </c>
      <c r="AX1406" s="680">
        <f t="shared" si="534"/>
        <v>0</v>
      </c>
      <c r="AY1406" s="680">
        <f t="shared" si="534"/>
        <v>0</v>
      </c>
      <c r="AZ1406" s="680">
        <f t="shared" si="534"/>
        <v>0</v>
      </c>
      <c r="BA1406" s="680">
        <f t="shared" si="534"/>
        <v>0</v>
      </c>
      <c r="BB1406" s="680">
        <f t="shared" si="534"/>
        <v>0</v>
      </c>
      <c r="BC1406" s="680">
        <f t="shared" si="534"/>
        <v>0</v>
      </c>
      <c r="BD1406" s="680">
        <f t="shared" si="534"/>
        <v>0</v>
      </c>
      <c r="BE1406" s="680">
        <f t="shared" si="534"/>
        <v>0</v>
      </c>
      <c r="BF1406" s="680">
        <f t="shared" si="534"/>
        <v>0</v>
      </c>
      <c r="BG1406" s="680">
        <f t="shared" si="534"/>
        <v>0</v>
      </c>
      <c r="BH1406" s="680">
        <f t="shared" si="534"/>
        <v>0</v>
      </c>
      <c r="BI1406" s="680">
        <f t="shared" si="534"/>
        <v>0</v>
      </c>
      <c r="BJ1406" s="680">
        <f t="shared" si="534"/>
        <v>0</v>
      </c>
      <c r="BK1406" s="680">
        <f t="shared" si="534"/>
        <v>0</v>
      </c>
      <c r="BL1406" s="680">
        <f t="shared" si="534"/>
        <v>0</v>
      </c>
      <c r="BM1406" s="680">
        <f t="shared" si="534"/>
        <v>0</v>
      </c>
      <c r="BN1406" s="680">
        <f t="shared" si="534"/>
        <v>0</v>
      </c>
      <c r="BO1406" s="680">
        <f t="shared" si="534"/>
        <v>0</v>
      </c>
      <c r="BP1406" s="680">
        <f t="shared" ref="BP1406:CA1406" si="535">SUM(BP1397:BP1405)</f>
        <v>0</v>
      </c>
      <c r="BQ1406" s="680">
        <f t="shared" si="535"/>
        <v>0</v>
      </c>
      <c r="BR1406" s="680">
        <f t="shared" si="535"/>
        <v>0</v>
      </c>
      <c r="BS1406" s="680">
        <f t="shared" si="535"/>
        <v>0</v>
      </c>
      <c r="BT1406" s="680">
        <f t="shared" si="535"/>
        <v>0</v>
      </c>
      <c r="BU1406" s="680">
        <f t="shared" si="535"/>
        <v>0</v>
      </c>
      <c r="BV1406" s="680">
        <f t="shared" si="535"/>
        <v>0</v>
      </c>
      <c r="BW1406" s="680">
        <f t="shared" si="535"/>
        <v>0</v>
      </c>
      <c r="BX1406" s="680">
        <f t="shared" si="535"/>
        <v>0</v>
      </c>
      <c r="BY1406" s="680">
        <f t="shared" si="535"/>
        <v>0</v>
      </c>
      <c r="BZ1406" s="680">
        <f t="shared" si="535"/>
        <v>0</v>
      </c>
      <c r="CA1406" s="680">
        <f t="shared" si="535"/>
        <v>0</v>
      </c>
    </row>
    <row r="1407" spans="1:79" s="452" customFormat="1" hidden="1" outlineLevel="1" x14ac:dyDescent="0.35">
      <c r="A1407" s="574"/>
      <c r="B1407" s="574"/>
      <c r="C1407" s="574"/>
      <c r="D1407" s="574"/>
      <c r="E1407" s="574"/>
      <c r="F1407" s="671" t="s">
        <v>669</v>
      </c>
      <c r="G1407" s="732"/>
      <c r="H1407" s="732"/>
      <c r="I1407" s="732"/>
      <c r="J1407" s="732"/>
      <c r="K1407" s="732"/>
      <c r="L1407" s="732"/>
      <c r="M1407" s="732"/>
      <c r="N1407" s="732"/>
      <c r="O1407" s="732"/>
      <c r="P1407" s="732"/>
      <c r="Q1407" s="732"/>
      <c r="R1407" s="736"/>
      <c r="S1407" s="683"/>
      <c r="T1407" s="683"/>
      <c r="U1407" s="683"/>
      <c r="V1407" s="683"/>
      <c r="W1407" s="683"/>
      <c r="X1407" s="683"/>
      <c r="Y1407" s="683"/>
      <c r="Z1407" s="683"/>
      <c r="AA1407" s="683"/>
      <c r="AB1407" s="683"/>
      <c r="AC1407" s="702"/>
      <c r="AD1407" s="702"/>
      <c r="AE1407" s="736"/>
      <c r="AF1407" s="736"/>
      <c r="AG1407" s="736"/>
      <c r="AH1407" s="736"/>
      <c r="AI1407" s="736"/>
      <c r="AJ1407" s="736"/>
      <c r="AK1407" s="736"/>
      <c r="AL1407" s="736"/>
      <c r="AM1407" s="736"/>
      <c r="AN1407" s="736"/>
      <c r="AO1407" s="736"/>
      <c r="AP1407" s="736"/>
      <c r="AQ1407" s="736"/>
      <c r="AR1407" s="736"/>
      <c r="AS1407" s="736"/>
      <c r="AT1407" s="736"/>
      <c r="AU1407" s="736"/>
      <c r="AV1407" s="736"/>
      <c r="AW1407" s="736"/>
      <c r="AX1407" s="736"/>
      <c r="AY1407" s="736"/>
      <c r="AZ1407" s="736"/>
      <c r="BA1407" s="736"/>
      <c r="BB1407" s="736"/>
      <c r="BC1407" s="736"/>
      <c r="BD1407" s="736"/>
      <c r="BE1407" s="736"/>
      <c r="BF1407" s="736"/>
      <c r="BG1407" s="736"/>
      <c r="BH1407" s="736"/>
      <c r="BI1407" s="736"/>
      <c r="BJ1407" s="736"/>
      <c r="BK1407" s="736"/>
      <c r="BL1407" s="736"/>
      <c r="BM1407" s="736"/>
      <c r="BN1407" s="736"/>
      <c r="BO1407" s="736"/>
      <c r="BP1407" s="736"/>
      <c r="BQ1407" s="736"/>
      <c r="BR1407" s="736"/>
      <c r="BS1407" s="736"/>
      <c r="BT1407" s="736"/>
      <c r="BU1407" s="736"/>
      <c r="BV1407" s="736"/>
      <c r="BW1407" s="736"/>
      <c r="BX1407" s="736"/>
      <c r="BY1407" s="736"/>
      <c r="BZ1407" s="736"/>
      <c r="CA1407" s="736"/>
    </row>
    <row r="1408" spans="1:79" s="754" customFormat="1" hidden="1" outlineLevel="1" x14ac:dyDescent="0.35">
      <c r="A1408" s="716"/>
      <c r="B1408" s="716"/>
      <c r="C1408" s="716"/>
      <c r="D1408" s="716"/>
      <c r="E1408" s="716"/>
      <c r="F1408" s="717" t="s">
        <v>597</v>
      </c>
      <c r="G1408" s="753"/>
      <c r="H1408" s="753"/>
      <c r="I1408" s="753"/>
      <c r="J1408" s="753"/>
      <c r="K1408" s="753"/>
      <c r="L1408" s="753"/>
      <c r="M1408" s="753"/>
      <c r="N1408" s="753"/>
      <c r="O1408" s="753"/>
      <c r="P1408" s="753"/>
      <c r="Q1408" s="753"/>
      <c r="R1408" s="779"/>
      <c r="S1408" s="713"/>
      <c r="T1408" s="713"/>
      <c r="U1408" s="713"/>
      <c r="V1408" s="713"/>
      <c r="W1408" s="713"/>
      <c r="X1408" s="713"/>
      <c r="Y1408" s="713"/>
      <c r="Z1408" s="713"/>
      <c r="AA1408" s="713"/>
      <c r="AB1408" s="713"/>
      <c r="AC1408" s="721"/>
      <c r="AD1408" s="721"/>
      <c r="AE1408" s="752"/>
      <c r="AF1408" s="752"/>
      <c r="AG1408" s="752"/>
      <c r="AH1408" s="752"/>
      <c r="AI1408" s="752"/>
      <c r="AJ1408" s="752"/>
      <c r="AK1408" s="752"/>
      <c r="AL1408" s="752"/>
      <c r="AM1408" s="752"/>
      <c r="AN1408" s="752"/>
      <c r="AO1408" s="752"/>
      <c r="AP1408" s="752"/>
      <c r="AQ1408" s="752"/>
      <c r="AR1408" s="752"/>
      <c r="AS1408" s="752"/>
      <c r="AT1408" s="752"/>
      <c r="AU1408" s="752"/>
      <c r="AV1408" s="752"/>
      <c r="AW1408" s="752"/>
      <c r="AX1408" s="752"/>
      <c r="AY1408" s="752"/>
      <c r="AZ1408" s="752"/>
      <c r="BA1408" s="752"/>
      <c r="BB1408" s="752"/>
      <c r="BC1408" s="752"/>
      <c r="BD1408" s="752"/>
      <c r="BE1408" s="752"/>
      <c r="BF1408" s="752"/>
      <c r="BG1408" s="752"/>
      <c r="BH1408" s="752"/>
      <c r="BI1408" s="752"/>
      <c r="BJ1408" s="752"/>
      <c r="BK1408" s="752"/>
      <c r="BL1408" s="752"/>
      <c r="BM1408" s="752"/>
      <c r="BN1408" s="752"/>
      <c r="BO1408" s="752"/>
      <c r="BP1408" s="752"/>
      <c r="BQ1408" s="752"/>
      <c r="BR1408" s="752"/>
      <c r="BS1408" s="752"/>
      <c r="BT1408" s="752"/>
      <c r="BU1408" s="752"/>
      <c r="BV1408" s="752"/>
      <c r="BW1408" s="752"/>
      <c r="BX1408" s="752"/>
      <c r="BY1408" s="752"/>
      <c r="BZ1408" s="752"/>
      <c r="CA1408" s="752"/>
    </row>
    <row r="1409" spans="1:79" s="452" customFormat="1" hidden="1" outlineLevel="1" x14ac:dyDescent="0.35">
      <c r="A1409" s="504"/>
      <c r="B1409" s="504"/>
      <c r="C1409" s="504"/>
      <c r="D1409" s="504"/>
      <c r="E1409" s="504"/>
      <c r="F1409" s="672" t="s">
        <v>889</v>
      </c>
      <c r="G1409" s="734"/>
      <c r="H1409" s="734"/>
      <c r="I1409" s="734"/>
      <c r="J1409" s="734"/>
      <c r="K1409" s="734"/>
      <c r="L1409" s="734"/>
      <c r="M1409" s="734"/>
      <c r="N1409" s="734"/>
      <c r="O1409" s="734"/>
      <c r="P1409" s="734"/>
      <c r="Q1409" s="734"/>
      <c r="R1409" s="733"/>
      <c r="S1409" s="687"/>
      <c r="T1409" s="687"/>
      <c r="U1409" s="687"/>
      <c r="V1409" s="687"/>
      <c r="W1409" s="687"/>
      <c r="X1409" s="687"/>
      <c r="Y1409" s="687"/>
      <c r="Z1409" s="687"/>
      <c r="AA1409" s="687"/>
      <c r="AB1409" s="687"/>
      <c r="AC1409" s="703"/>
      <c r="AD1409" s="703"/>
      <c r="AE1409" s="736"/>
      <c r="AF1409" s="736"/>
      <c r="AG1409" s="736"/>
      <c r="AH1409" s="736"/>
      <c r="AI1409" s="736"/>
      <c r="AJ1409" s="736"/>
      <c r="AK1409" s="736"/>
      <c r="AL1409" s="736"/>
      <c r="AM1409" s="736"/>
      <c r="AN1409" s="736"/>
      <c r="AO1409" s="736"/>
      <c r="AP1409" s="736"/>
      <c r="AQ1409" s="736"/>
      <c r="AR1409" s="736"/>
      <c r="AS1409" s="736"/>
      <c r="AT1409" s="736"/>
      <c r="AU1409" s="736"/>
      <c r="AV1409" s="736"/>
      <c r="AW1409" s="736"/>
      <c r="AX1409" s="736"/>
      <c r="AY1409" s="736"/>
      <c r="AZ1409" s="736"/>
      <c r="BA1409" s="736"/>
      <c r="BB1409" s="736"/>
      <c r="BC1409" s="736"/>
      <c r="BD1409" s="736"/>
      <c r="BE1409" s="736"/>
      <c r="BF1409" s="736"/>
      <c r="BG1409" s="736"/>
      <c r="BH1409" s="736"/>
      <c r="BI1409" s="736"/>
      <c r="BJ1409" s="736"/>
      <c r="BK1409" s="736"/>
      <c r="BL1409" s="736"/>
      <c r="BM1409" s="736"/>
      <c r="BN1409" s="736"/>
      <c r="BO1409" s="736"/>
      <c r="BP1409" s="736"/>
      <c r="BQ1409" s="736"/>
      <c r="BR1409" s="736"/>
      <c r="BS1409" s="736"/>
      <c r="BT1409" s="736"/>
      <c r="BU1409" s="736"/>
      <c r="BV1409" s="736"/>
      <c r="BW1409" s="736"/>
      <c r="BX1409" s="736"/>
      <c r="BY1409" s="736"/>
      <c r="BZ1409" s="736"/>
      <c r="CA1409" s="736"/>
    </row>
    <row r="1410" spans="1:79" s="452" customFormat="1" hidden="1" outlineLevel="1" x14ac:dyDescent="0.35">
      <c r="A1410" s="504"/>
      <c r="B1410" s="504"/>
      <c r="C1410" s="504"/>
      <c r="D1410" s="504"/>
      <c r="E1410" s="504"/>
      <c r="F1410" s="672" t="s">
        <v>890</v>
      </c>
      <c r="G1410" s="734"/>
      <c r="H1410" s="734"/>
      <c r="I1410" s="734"/>
      <c r="J1410" s="734"/>
      <c r="K1410" s="734"/>
      <c r="L1410" s="734"/>
      <c r="M1410" s="734"/>
      <c r="N1410" s="734"/>
      <c r="O1410" s="734"/>
      <c r="P1410" s="734"/>
      <c r="Q1410" s="734"/>
      <c r="R1410" s="733"/>
      <c r="S1410" s="687"/>
      <c r="T1410" s="687"/>
      <c r="U1410" s="687"/>
      <c r="V1410" s="687"/>
      <c r="W1410" s="687"/>
      <c r="X1410" s="687"/>
      <c r="Y1410" s="687"/>
      <c r="Z1410" s="687"/>
      <c r="AA1410" s="687"/>
      <c r="AB1410" s="687"/>
      <c r="AC1410" s="703"/>
      <c r="AD1410" s="703"/>
      <c r="AE1410" s="736"/>
      <c r="AF1410" s="736"/>
      <c r="AG1410" s="736"/>
      <c r="AH1410" s="736"/>
      <c r="AI1410" s="736"/>
      <c r="AJ1410" s="736"/>
      <c r="AK1410" s="736"/>
      <c r="AL1410" s="736"/>
      <c r="AM1410" s="736"/>
      <c r="AN1410" s="736"/>
      <c r="AO1410" s="736"/>
      <c r="AP1410" s="736"/>
      <c r="AQ1410" s="736"/>
      <c r="AR1410" s="736"/>
      <c r="AS1410" s="736"/>
      <c r="AT1410" s="736"/>
      <c r="AU1410" s="736"/>
      <c r="AV1410" s="736"/>
      <c r="AW1410" s="736"/>
      <c r="AX1410" s="736"/>
      <c r="AY1410" s="736"/>
      <c r="AZ1410" s="736"/>
      <c r="BA1410" s="736"/>
      <c r="BB1410" s="736"/>
      <c r="BC1410" s="736"/>
      <c r="BD1410" s="736"/>
      <c r="BE1410" s="736"/>
      <c r="BF1410" s="736"/>
      <c r="BG1410" s="736"/>
      <c r="BH1410" s="736"/>
      <c r="BI1410" s="736"/>
      <c r="BJ1410" s="736"/>
      <c r="BK1410" s="736"/>
      <c r="BL1410" s="736"/>
      <c r="BM1410" s="736"/>
      <c r="BN1410" s="736"/>
      <c r="BO1410" s="736"/>
      <c r="BP1410" s="736"/>
      <c r="BQ1410" s="736"/>
      <c r="BR1410" s="736"/>
      <c r="BS1410" s="736"/>
      <c r="BT1410" s="736"/>
      <c r="BU1410" s="736"/>
      <c r="BV1410" s="736"/>
      <c r="BW1410" s="736"/>
      <c r="BX1410" s="736"/>
      <c r="BY1410" s="736"/>
      <c r="BZ1410" s="736"/>
      <c r="CA1410" s="736"/>
    </row>
    <row r="1411" spans="1:79" s="452" customFormat="1" hidden="1" outlineLevel="1" x14ac:dyDescent="0.35">
      <c r="A1411" s="504"/>
      <c r="B1411" s="504"/>
      <c r="C1411" s="504"/>
      <c r="D1411" s="504"/>
      <c r="E1411" s="504"/>
      <c r="F1411" s="672" t="s">
        <v>891</v>
      </c>
      <c r="G1411" s="734"/>
      <c r="H1411" s="734"/>
      <c r="I1411" s="734"/>
      <c r="J1411" s="734"/>
      <c r="K1411" s="734"/>
      <c r="L1411" s="734"/>
      <c r="M1411" s="734"/>
      <c r="N1411" s="734"/>
      <c r="O1411" s="734"/>
      <c r="P1411" s="734"/>
      <c r="Q1411" s="734"/>
      <c r="R1411" s="733"/>
      <c r="S1411" s="687"/>
      <c r="T1411" s="687"/>
      <c r="U1411" s="687"/>
      <c r="V1411" s="687"/>
      <c r="W1411" s="687"/>
      <c r="X1411" s="687"/>
      <c r="Y1411" s="687"/>
      <c r="Z1411" s="687"/>
      <c r="AA1411" s="687"/>
      <c r="AB1411" s="687"/>
      <c r="AC1411" s="703"/>
      <c r="AD1411" s="703"/>
      <c r="AE1411" s="736"/>
      <c r="AF1411" s="736"/>
      <c r="AG1411" s="736"/>
      <c r="AH1411" s="736"/>
      <c r="AI1411" s="736"/>
      <c r="AJ1411" s="736"/>
      <c r="AK1411" s="736"/>
      <c r="AL1411" s="736"/>
      <c r="AM1411" s="736"/>
      <c r="AN1411" s="736"/>
      <c r="AO1411" s="736"/>
      <c r="AP1411" s="736"/>
      <c r="AQ1411" s="736"/>
      <c r="AR1411" s="736"/>
      <c r="AS1411" s="736"/>
      <c r="AT1411" s="736"/>
      <c r="AU1411" s="736"/>
      <c r="AV1411" s="736"/>
      <c r="AW1411" s="736"/>
      <c r="AX1411" s="736"/>
      <c r="AY1411" s="736"/>
      <c r="AZ1411" s="736"/>
      <c r="BA1411" s="736"/>
      <c r="BB1411" s="736"/>
      <c r="BC1411" s="736"/>
      <c r="BD1411" s="736"/>
      <c r="BE1411" s="736"/>
      <c r="BF1411" s="736"/>
      <c r="BG1411" s="736"/>
      <c r="BH1411" s="736"/>
      <c r="BI1411" s="736"/>
      <c r="BJ1411" s="736"/>
      <c r="BK1411" s="736"/>
      <c r="BL1411" s="736"/>
      <c r="BM1411" s="736"/>
      <c r="BN1411" s="736"/>
      <c r="BO1411" s="736"/>
      <c r="BP1411" s="736"/>
      <c r="BQ1411" s="736"/>
      <c r="BR1411" s="736"/>
      <c r="BS1411" s="736"/>
      <c r="BT1411" s="736"/>
      <c r="BU1411" s="736"/>
      <c r="BV1411" s="736"/>
      <c r="BW1411" s="736"/>
      <c r="BX1411" s="736"/>
      <c r="BY1411" s="736"/>
      <c r="BZ1411" s="736"/>
      <c r="CA1411" s="736"/>
    </row>
    <row r="1412" spans="1:79" s="452" customFormat="1" hidden="1" outlineLevel="1" x14ac:dyDescent="0.35">
      <c r="A1412" s="504"/>
      <c r="B1412" s="504"/>
      <c r="C1412" s="504"/>
      <c r="D1412" s="504"/>
      <c r="E1412" s="504"/>
      <c r="F1412" s="672" t="s">
        <v>892</v>
      </c>
      <c r="G1412" s="734"/>
      <c r="H1412" s="734"/>
      <c r="I1412" s="734"/>
      <c r="J1412" s="734"/>
      <c r="K1412" s="734"/>
      <c r="L1412" s="734"/>
      <c r="M1412" s="734"/>
      <c r="N1412" s="734"/>
      <c r="O1412" s="734"/>
      <c r="P1412" s="734"/>
      <c r="Q1412" s="734"/>
      <c r="R1412" s="733"/>
      <c r="S1412" s="687"/>
      <c r="T1412" s="687"/>
      <c r="U1412" s="687"/>
      <c r="V1412" s="687"/>
      <c r="W1412" s="687"/>
      <c r="X1412" s="687"/>
      <c r="Y1412" s="687"/>
      <c r="Z1412" s="687"/>
      <c r="AA1412" s="687"/>
      <c r="AB1412" s="687"/>
      <c r="AC1412" s="703"/>
      <c r="AD1412" s="703"/>
      <c r="AE1412" s="736"/>
      <c r="AF1412" s="736"/>
      <c r="AG1412" s="736"/>
      <c r="AH1412" s="736"/>
      <c r="AI1412" s="736"/>
      <c r="AJ1412" s="736"/>
      <c r="AK1412" s="736"/>
      <c r="AL1412" s="736"/>
      <c r="AM1412" s="736"/>
      <c r="AN1412" s="736"/>
      <c r="AO1412" s="736"/>
      <c r="AP1412" s="736"/>
      <c r="AQ1412" s="736"/>
      <c r="AR1412" s="736"/>
      <c r="AS1412" s="736"/>
      <c r="AT1412" s="736"/>
      <c r="AU1412" s="736"/>
      <c r="AV1412" s="736"/>
      <c r="AW1412" s="736"/>
      <c r="AX1412" s="736"/>
      <c r="AY1412" s="736"/>
      <c r="AZ1412" s="736"/>
      <c r="BA1412" s="736"/>
      <c r="BB1412" s="736"/>
      <c r="BC1412" s="736"/>
      <c r="BD1412" s="736"/>
      <c r="BE1412" s="736"/>
      <c r="BF1412" s="736"/>
      <c r="BG1412" s="736"/>
      <c r="BH1412" s="736"/>
      <c r="BI1412" s="736"/>
      <c r="BJ1412" s="736"/>
      <c r="BK1412" s="736"/>
      <c r="BL1412" s="736"/>
      <c r="BM1412" s="736"/>
      <c r="BN1412" s="736"/>
      <c r="BO1412" s="736"/>
      <c r="BP1412" s="736"/>
      <c r="BQ1412" s="736"/>
      <c r="BR1412" s="736"/>
      <c r="BS1412" s="736"/>
      <c r="BT1412" s="736"/>
      <c r="BU1412" s="736"/>
      <c r="BV1412" s="736"/>
      <c r="BW1412" s="736"/>
      <c r="BX1412" s="736"/>
      <c r="BY1412" s="736"/>
      <c r="BZ1412" s="736"/>
      <c r="CA1412" s="736"/>
    </row>
    <row r="1413" spans="1:79" s="452" customFormat="1" hidden="1" outlineLevel="1" x14ac:dyDescent="0.35">
      <c r="A1413" s="504"/>
      <c r="B1413" s="504"/>
      <c r="C1413" s="504"/>
      <c r="D1413" s="504"/>
      <c r="E1413" s="504"/>
      <c r="F1413" s="672" t="s">
        <v>825</v>
      </c>
      <c r="G1413" s="734"/>
      <c r="H1413" s="734"/>
      <c r="I1413" s="734"/>
      <c r="J1413" s="734"/>
      <c r="K1413" s="734"/>
      <c r="L1413" s="734"/>
      <c r="M1413" s="734"/>
      <c r="N1413" s="734"/>
      <c r="O1413" s="734"/>
      <c r="P1413" s="734"/>
      <c r="Q1413" s="734"/>
      <c r="R1413" s="733"/>
      <c r="S1413" s="687"/>
      <c r="T1413" s="687"/>
      <c r="U1413" s="687"/>
      <c r="V1413" s="687"/>
      <c r="W1413" s="687"/>
      <c r="X1413" s="687"/>
      <c r="Y1413" s="687"/>
      <c r="Z1413" s="687"/>
      <c r="AA1413" s="687"/>
      <c r="AB1413" s="687"/>
      <c r="AC1413" s="703"/>
      <c r="AD1413" s="703"/>
      <c r="AE1413" s="736"/>
      <c r="AF1413" s="736"/>
      <c r="AG1413" s="736"/>
      <c r="AH1413" s="736"/>
      <c r="AI1413" s="736"/>
      <c r="AJ1413" s="736"/>
      <c r="AK1413" s="736"/>
      <c r="AL1413" s="736"/>
      <c r="AM1413" s="736"/>
      <c r="AN1413" s="736"/>
      <c r="AO1413" s="736"/>
      <c r="AP1413" s="736"/>
      <c r="AQ1413" s="736"/>
      <c r="AR1413" s="736"/>
      <c r="AS1413" s="736"/>
      <c r="AT1413" s="736"/>
      <c r="AU1413" s="736"/>
      <c r="AV1413" s="736"/>
      <c r="AW1413" s="736"/>
      <c r="AX1413" s="736"/>
      <c r="AY1413" s="736"/>
      <c r="AZ1413" s="736"/>
      <c r="BA1413" s="736"/>
      <c r="BB1413" s="736"/>
      <c r="BC1413" s="736"/>
      <c r="BD1413" s="736"/>
      <c r="BE1413" s="736"/>
      <c r="BF1413" s="736"/>
      <c r="BG1413" s="736"/>
      <c r="BH1413" s="736"/>
      <c r="BI1413" s="736"/>
      <c r="BJ1413" s="736"/>
      <c r="BK1413" s="736"/>
      <c r="BL1413" s="736"/>
      <c r="BM1413" s="736"/>
      <c r="BN1413" s="736"/>
      <c r="BO1413" s="736"/>
      <c r="BP1413" s="736"/>
      <c r="BQ1413" s="736"/>
      <c r="BR1413" s="736"/>
      <c r="BS1413" s="736"/>
      <c r="BT1413" s="736"/>
      <c r="BU1413" s="736"/>
      <c r="BV1413" s="736"/>
      <c r="BW1413" s="736"/>
      <c r="BX1413" s="736"/>
      <c r="BY1413" s="736"/>
      <c r="BZ1413" s="736"/>
      <c r="CA1413" s="736"/>
    </row>
    <row r="1414" spans="1:79" s="452" customFormat="1" hidden="1" outlineLevel="1" x14ac:dyDescent="0.35">
      <c r="A1414" s="504"/>
      <c r="B1414" s="504"/>
      <c r="C1414" s="504"/>
      <c r="D1414" s="504"/>
      <c r="E1414" s="504"/>
      <c r="F1414" s="672" t="s">
        <v>613</v>
      </c>
      <c r="G1414" s="734"/>
      <c r="H1414" s="734"/>
      <c r="I1414" s="734"/>
      <c r="J1414" s="734"/>
      <c r="K1414" s="734"/>
      <c r="L1414" s="734"/>
      <c r="M1414" s="734"/>
      <c r="N1414" s="734"/>
      <c r="O1414" s="734"/>
      <c r="P1414" s="734"/>
      <c r="Q1414" s="734"/>
      <c r="R1414" s="733"/>
      <c r="S1414" s="687"/>
      <c r="T1414" s="687"/>
      <c r="U1414" s="687"/>
      <c r="V1414" s="687"/>
      <c r="W1414" s="687"/>
      <c r="X1414" s="687"/>
      <c r="Y1414" s="687"/>
      <c r="Z1414" s="687"/>
      <c r="AA1414" s="687"/>
      <c r="AB1414" s="687"/>
      <c r="AC1414" s="703"/>
      <c r="AD1414" s="703"/>
      <c r="AE1414" s="736"/>
      <c r="AF1414" s="736"/>
      <c r="AG1414" s="736"/>
      <c r="AH1414" s="736"/>
      <c r="AI1414" s="736"/>
      <c r="AJ1414" s="736"/>
      <c r="AK1414" s="736"/>
      <c r="AL1414" s="736"/>
      <c r="AM1414" s="736"/>
      <c r="AN1414" s="736"/>
      <c r="AO1414" s="736"/>
      <c r="AP1414" s="736"/>
      <c r="AQ1414" s="736"/>
      <c r="AR1414" s="736"/>
      <c r="AS1414" s="736"/>
      <c r="AT1414" s="736"/>
      <c r="AU1414" s="736"/>
      <c r="AV1414" s="736"/>
      <c r="AW1414" s="736"/>
      <c r="AX1414" s="736"/>
      <c r="AY1414" s="736"/>
      <c r="AZ1414" s="736"/>
      <c r="BA1414" s="736"/>
      <c r="BB1414" s="736"/>
      <c r="BC1414" s="736"/>
      <c r="BD1414" s="736"/>
      <c r="BE1414" s="736"/>
      <c r="BF1414" s="736"/>
      <c r="BG1414" s="736"/>
      <c r="BH1414" s="736"/>
      <c r="BI1414" s="736"/>
      <c r="BJ1414" s="736"/>
      <c r="BK1414" s="736"/>
      <c r="BL1414" s="736"/>
      <c r="BM1414" s="736"/>
      <c r="BN1414" s="736"/>
      <c r="BO1414" s="736"/>
      <c r="BP1414" s="736"/>
      <c r="BQ1414" s="736"/>
      <c r="BR1414" s="736"/>
      <c r="BS1414" s="736"/>
      <c r="BT1414" s="736"/>
      <c r="BU1414" s="736"/>
      <c r="BV1414" s="736"/>
      <c r="BW1414" s="736"/>
      <c r="BX1414" s="736"/>
      <c r="BY1414" s="736"/>
      <c r="BZ1414" s="736"/>
      <c r="CA1414" s="736"/>
    </row>
    <row r="1415" spans="1:79" s="452" customFormat="1" hidden="1" outlineLevel="1" x14ac:dyDescent="0.35">
      <c r="A1415" s="504"/>
      <c r="B1415" s="504"/>
      <c r="C1415" s="504"/>
      <c r="D1415" s="504"/>
      <c r="E1415" s="504"/>
      <c r="F1415" s="672" t="s">
        <v>614</v>
      </c>
      <c r="G1415" s="734"/>
      <c r="H1415" s="734"/>
      <c r="I1415" s="734"/>
      <c r="J1415" s="734"/>
      <c r="K1415" s="734"/>
      <c r="L1415" s="734"/>
      <c r="M1415" s="734"/>
      <c r="N1415" s="734"/>
      <c r="O1415" s="734"/>
      <c r="P1415" s="734"/>
      <c r="Q1415" s="734"/>
      <c r="R1415" s="733"/>
      <c r="S1415" s="692"/>
      <c r="T1415" s="692"/>
      <c r="U1415" s="692"/>
      <c r="V1415" s="692"/>
      <c r="W1415" s="692"/>
      <c r="X1415" s="692"/>
      <c r="Y1415" s="692"/>
      <c r="Z1415" s="692"/>
      <c r="AA1415" s="692"/>
      <c r="AB1415" s="692"/>
      <c r="AC1415" s="690"/>
      <c r="AD1415" s="690"/>
      <c r="AE1415" s="736"/>
      <c r="AF1415" s="736"/>
      <c r="AG1415" s="736"/>
      <c r="AH1415" s="736"/>
      <c r="AI1415" s="736"/>
      <c r="AJ1415" s="736"/>
      <c r="AK1415" s="736"/>
      <c r="AL1415" s="736"/>
      <c r="AM1415" s="736"/>
      <c r="AN1415" s="736"/>
      <c r="AO1415" s="736"/>
      <c r="AP1415" s="736"/>
      <c r="AQ1415" s="736"/>
      <c r="AR1415" s="736"/>
      <c r="AS1415" s="736"/>
      <c r="AT1415" s="736"/>
      <c r="AU1415" s="736"/>
      <c r="AV1415" s="736"/>
      <c r="AW1415" s="736"/>
      <c r="AX1415" s="736"/>
      <c r="AY1415" s="736"/>
      <c r="AZ1415" s="736"/>
      <c r="BA1415" s="736"/>
      <c r="BB1415" s="736"/>
      <c r="BC1415" s="736"/>
      <c r="BD1415" s="736"/>
      <c r="BE1415" s="736"/>
      <c r="BF1415" s="736"/>
      <c r="BG1415" s="736"/>
      <c r="BH1415" s="736"/>
      <c r="BI1415" s="736"/>
      <c r="BJ1415" s="736"/>
      <c r="BK1415" s="736"/>
      <c r="BL1415" s="736"/>
      <c r="BM1415" s="736"/>
      <c r="BN1415" s="736"/>
      <c r="BO1415" s="736"/>
      <c r="BP1415" s="736"/>
      <c r="BQ1415" s="736"/>
      <c r="BR1415" s="736"/>
      <c r="BS1415" s="736"/>
      <c r="BT1415" s="736"/>
      <c r="BU1415" s="736"/>
      <c r="BV1415" s="736"/>
      <c r="BW1415" s="736"/>
      <c r="BX1415" s="736"/>
      <c r="BY1415" s="736"/>
      <c r="BZ1415" s="736"/>
      <c r="CA1415" s="736"/>
    </row>
    <row r="1416" spans="1:79" s="452" customFormat="1" hidden="1" outlineLevel="1" x14ac:dyDescent="0.35">
      <c r="A1416" s="580"/>
      <c r="B1416" s="580"/>
      <c r="C1416" s="580"/>
      <c r="D1416" s="580"/>
      <c r="E1416" s="580"/>
      <c r="F1416" s="672" t="s">
        <v>615</v>
      </c>
      <c r="G1416" s="739"/>
      <c r="H1416" s="739"/>
      <c r="I1416" s="739"/>
      <c r="J1416" s="739"/>
      <c r="K1416" s="739"/>
      <c r="L1416" s="739"/>
      <c r="M1416" s="739"/>
      <c r="N1416" s="739"/>
      <c r="O1416" s="739"/>
      <c r="P1416" s="734"/>
      <c r="Q1416" s="734"/>
      <c r="R1416" s="733"/>
      <c r="S1416" s="692"/>
      <c r="T1416" s="692"/>
      <c r="U1416" s="692"/>
      <c r="V1416" s="692"/>
      <c r="W1416" s="692"/>
      <c r="X1416" s="692"/>
      <c r="Y1416" s="692"/>
      <c r="Z1416" s="692"/>
      <c r="AA1416" s="692"/>
      <c r="AB1416" s="692"/>
      <c r="AC1416" s="690"/>
      <c r="AD1416" s="690"/>
      <c r="AE1416" s="736"/>
      <c r="AF1416" s="736"/>
      <c r="AG1416" s="736"/>
      <c r="AH1416" s="736"/>
      <c r="AI1416" s="736"/>
      <c r="AJ1416" s="736"/>
      <c r="AK1416" s="736"/>
      <c r="AL1416" s="736"/>
      <c r="AM1416" s="736"/>
      <c r="AN1416" s="736"/>
      <c r="AO1416" s="736"/>
      <c r="AP1416" s="736"/>
      <c r="AQ1416" s="736"/>
      <c r="AR1416" s="736"/>
      <c r="AS1416" s="736"/>
      <c r="AT1416" s="736"/>
      <c r="AU1416" s="736"/>
      <c r="AV1416" s="736"/>
      <c r="AW1416" s="736"/>
      <c r="AX1416" s="736"/>
      <c r="AY1416" s="736"/>
      <c r="AZ1416" s="736"/>
      <c r="BA1416" s="736"/>
      <c r="BB1416" s="736"/>
      <c r="BC1416" s="736"/>
      <c r="BD1416" s="736"/>
      <c r="BE1416" s="736"/>
      <c r="BF1416" s="736"/>
      <c r="BG1416" s="736"/>
      <c r="BH1416" s="736"/>
      <c r="BI1416" s="736"/>
      <c r="BJ1416" s="736"/>
      <c r="BK1416" s="736"/>
      <c r="BL1416" s="736"/>
      <c r="BM1416" s="736"/>
      <c r="BN1416" s="736"/>
      <c r="BO1416" s="736"/>
      <c r="BP1416" s="736"/>
      <c r="BQ1416" s="736"/>
      <c r="BR1416" s="736"/>
      <c r="BS1416" s="736"/>
      <c r="BT1416" s="736"/>
      <c r="BU1416" s="736"/>
      <c r="BV1416" s="736"/>
      <c r="BW1416" s="736"/>
      <c r="BX1416" s="736"/>
      <c r="BY1416" s="736"/>
      <c r="BZ1416" s="736"/>
      <c r="CA1416" s="736"/>
    </row>
    <row r="1417" spans="1:79" s="452" customFormat="1" hidden="1" outlineLevel="1" x14ac:dyDescent="0.35">
      <c r="A1417" s="580"/>
      <c r="B1417" s="580"/>
      <c r="C1417" s="580"/>
      <c r="D1417" s="580"/>
      <c r="E1417" s="580"/>
      <c r="F1417" s="672" t="s">
        <v>616</v>
      </c>
      <c r="G1417" s="739"/>
      <c r="H1417" s="739"/>
      <c r="I1417" s="739"/>
      <c r="J1417" s="739"/>
      <c r="K1417" s="739"/>
      <c r="L1417" s="739"/>
      <c r="M1417" s="739"/>
      <c r="N1417" s="739"/>
      <c r="O1417" s="739"/>
      <c r="P1417" s="734"/>
      <c r="Q1417" s="734"/>
      <c r="R1417" s="733"/>
      <c r="S1417" s="692"/>
      <c r="T1417" s="692"/>
      <c r="U1417" s="692"/>
      <c r="V1417" s="692"/>
      <c r="W1417" s="692"/>
      <c r="X1417" s="692"/>
      <c r="Y1417" s="692"/>
      <c r="Z1417" s="692"/>
      <c r="AA1417" s="692"/>
      <c r="AB1417" s="692"/>
      <c r="AC1417" s="690"/>
      <c r="AD1417" s="690"/>
      <c r="AE1417" s="736"/>
      <c r="AF1417" s="736"/>
      <c r="AG1417" s="736"/>
      <c r="AH1417" s="736"/>
      <c r="AI1417" s="736"/>
      <c r="AJ1417" s="736"/>
      <c r="AK1417" s="736"/>
      <c r="AL1417" s="736"/>
      <c r="AM1417" s="736"/>
      <c r="AN1417" s="736"/>
      <c r="AO1417" s="736"/>
      <c r="AP1417" s="736"/>
      <c r="AQ1417" s="736"/>
      <c r="AR1417" s="736"/>
      <c r="AS1417" s="736"/>
      <c r="AT1417" s="736"/>
      <c r="AU1417" s="736"/>
      <c r="AV1417" s="736"/>
      <c r="AW1417" s="736"/>
      <c r="AX1417" s="736"/>
      <c r="AY1417" s="736"/>
      <c r="AZ1417" s="736"/>
      <c r="BA1417" s="736"/>
      <c r="BB1417" s="736"/>
      <c r="BC1417" s="736"/>
      <c r="BD1417" s="736"/>
      <c r="BE1417" s="736"/>
      <c r="BF1417" s="736"/>
      <c r="BG1417" s="736"/>
      <c r="BH1417" s="736"/>
      <c r="BI1417" s="736"/>
      <c r="BJ1417" s="736"/>
      <c r="BK1417" s="736"/>
      <c r="BL1417" s="736"/>
      <c r="BM1417" s="736"/>
      <c r="BN1417" s="736"/>
      <c r="BO1417" s="736"/>
      <c r="BP1417" s="736"/>
      <c r="BQ1417" s="736"/>
      <c r="BR1417" s="736"/>
      <c r="BS1417" s="736"/>
      <c r="BT1417" s="736"/>
      <c r="BU1417" s="736"/>
      <c r="BV1417" s="736"/>
      <c r="BW1417" s="736"/>
      <c r="BX1417" s="736"/>
      <c r="BY1417" s="736"/>
      <c r="BZ1417" s="736"/>
      <c r="CA1417" s="736"/>
    </row>
    <row r="1418" spans="1:79" s="452" customFormat="1" hidden="1" outlineLevel="1" x14ac:dyDescent="0.35">
      <c r="A1418" s="580"/>
      <c r="B1418" s="580"/>
      <c r="C1418" s="580"/>
      <c r="D1418" s="580"/>
      <c r="E1418" s="580"/>
      <c r="F1418" s="672" t="s">
        <v>893</v>
      </c>
      <c r="G1418" s="739"/>
      <c r="H1418" s="739"/>
      <c r="I1418" s="739"/>
      <c r="J1418" s="739"/>
      <c r="K1418" s="739"/>
      <c r="L1418" s="739"/>
      <c r="M1418" s="739"/>
      <c r="N1418" s="739"/>
      <c r="O1418" s="739"/>
      <c r="P1418" s="734"/>
      <c r="Q1418" s="734"/>
      <c r="R1418" s="733"/>
      <c r="S1418" s="692"/>
      <c r="T1418" s="692"/>
      <c r="U1418" s="692"/>
      <c r="V1418" s="692"/>
      <c r="W1418" s="692"/>
      <c r="X1418" s="692"/>
      <c r="Y1418" s="692"/>
      <c r="Z1418" s="692"/>
      <c r="AA1418" s="692"/>
      <c r="AB1418" s="692"/>
      <c r="AC1418" s="690"/>
      <c r="AD1418" s="690"/>
      <c r="AE1418" s="736"/>
      <c r="AF1418" s="736"/>
      <c r="AG1418" s="736"/>
      <c r="AH1418" s="736"/>
      <c r="AI1418" s="736"/>
      <c r="AJ1418" s="736"/>
      <c r="AK1418" s="736"/>
      <c r="AL1418" s="736"/>
      <c r="AM1418" s="736"/>
      <c r="AN1418" s="736"/>
      <c r="AO1418" s="736"/>
      <c r="AP1418" s="736"/>
      <c r="AQ1418" s="736"/>
      <c r="AR1418" s="736"/>
      <c r="AS1418" s="736"/>
      <c r="AT1418" s="736"/>
      <c r="AU1418" s="736"/>
      <c r="AV1418" s="736"/>
      <c r="AW1418" s="736"/>
      <c r="AX1418" s="736"/>
      <c r="AY1418" s="736"/>
      <c r="AZ1418" s="736"/>
      <c r="BA1418" s="736"/>
      <c r="BB1418" s="736"/>
      <c r="BC1418" s="736"/>
      <c r="BD1418" s="736"/>
      <c r="BE1418" s="736"/>
      <c r="BF1418" s="736"/>
      <c r="BG1418" s="736"/>
      <c r="BH1418" s="736"/>
      <c r="BI1418" s="736"/>
      <c r="BJ1418" s="736"/>
      <c r="BK1418" s="736"/>
      <c r="BL1418" s="736"/>
      <c r="BM1418" s="736"/>
      <c r="BN1418" s="736"/>
      <c r="BO1418" s="736"/>
      <c r="BP1418" s="736"/>
      <c r="BQ1418" s="736"/>
      <c r="BR1418" s="736"/>
      <c r="BS1418" s="736"/>
      <c r="BT1418" s="736"/>
      <c r="BU1418" s="736"/>
      <c r="BV1418" s="736"/>
      <c r="BW1418" s="736"/>
      <c r="BX1418" s="736"/>
      <c r="BY1418" s="736"/>
      <c r="BZ1418" s="736"/>
      <c r="CA1418" s="736"/>
    </row>
    <row r="1419" spans="1:79" s="452" customFormat="1" hidden="1" outlineLevel="1" x14ac:dyDescent="0.35">
      <c r="A1419" s="580"/>
      <c r="B1419" s="580"/>
      <c r="C1419" s="580"/>
      <c r="D1419" s="580"/>
      <c r="E1419" s="580"/>
      <c r="F1419" s="672" t="s">
        <v>768</v>
      </c>
      <c r="G1419" s="739"/>
      <c r="H1419" s="739"/>
      <c r="I1419" s="739"/>
      <c r="J1419" s="739"/>
      <c r="K1419" s="739"/>
      <c r="L1419" s="739"/>
      <c r="M1419" s="739"/>
      <c r="N1419" s="739"/>
      <c r="O1419" s="739"/>
      <c r="P1419" s="734"/>
      <c r="Q1419" s="734"/>
      <c r="R1419" s="733"/>
      <c r="S1419" s="692"/>
      <c r="T1419" s="692"/>
      <c r="U1419" s="692"/>
      <c r="V1419" s="692"/>
      <c r="W1419" s="692"/>
      <c r="X1419" s="692"/>
      <c r="Y1419" s="692"/>
      <c r="Z1419" s="692"/>
      <c r="AA1419" s="692"/>
      <c r="AB1419" s="692"/>
      <c r="AC1419" s="690"/>
      <c r="AD1419" s="690"/>
      <c r="AE1419" s="736"/>
      <c r="AF1419" s="736"/>
      <c r="AG1419" s="736"/>
      <c r="AH1419" s="736"/>
      <c r="AI1419" s="736"/>
      <c r="AJ1419" s="736"/>
      <c r="AK1419" s="736"/>
      <c r="AL1419" s="736"/>
      <c r="AM1419" s="736"/>
      <c r="AN1419" s="736"/>
      <c r="AO1419" s="736"/>
      <c r="AP1419" s="736"/>
      <c r="AQ1419" s="736"/>
      <c r="AR1419" s="736"/>
      <c r="AS1419" s="736"/>
      <c r="AT1419" s="736"/>
      <c r="AU1419" s="736"/>
      <c r="AV1419" s="736"/>
      <c r="AW1419" s="736"/>
      <c r="AX1419" s="736"/>
      <c r="AY1419" s="736"/>
      <c r="AZ1419" s="736"/>
      <c r="BA1419" s="736"/>
      <c r="BB1419" s="736"/>
      <c r="BC1419" s="736"/>
      <c r="BD1419" s="736"/>
      <c r="BE1419" s="736"/>
      <c r="BF1419" s="736"/>
      <c r="BG1419" s="736"/>
      <c r="BH1419" s="736"/>
      <c r="BI1419" s="736"/>
      <c r="BJ1419" s="736"/>
      <c r="BK1419" s="736"/>
      <c r="BL1419" s="736"/>
      <c r="BM1419" s="736"/>
      <c r="BN1419" s="736"/>
      <c r="BO1419" s="736"/>
      <c r="BP1419" s="736"/>
      <c r="BQ1419" s="736"/>
      <c r="BR1419" s="736"/>
      <c r="BS1419" s="736"/>
      <c r="BT1419" s="736"/>
      <c r="BU1419" s="736"/>
      <c r="BV1419" s="736"/>
      <c r="BW1419" s="736"/>
      <c r="BX1419" s="736"/>
      <c r="BY1419" s="736"/>
      <c r="BZ1419" s="736"/>
      <c r="CA1419" s="736"/>
    </row>
    <row r="1420" spans="1:79" s="452" customFormat="1" hidden="1" outlineLevel="1" x14ac:dyDescent="0.35">
      <c r="A1420" s="580"/>
      <c r="B1420" s="580"/>
      <c r="C1420" s="580"/>
      <c r="D1420" s="580"/>
      <c r="E1420" s="580"/>
      <c r="F1420" s="672" t="s">
        <v>785</v>
      </c>
      <c r="G1420" s="739"/>
      <c r="H1420" s="739"/>
      <c r="I1420" s="739"/>
      <c r="J1420" s="739"/>
      <c r="K1420" s="739"/>
      <c r="L1420" s="739"/>
      <c r="M1420" s="739"/>
      <c r="N1420" s="739"/>
      <c r="O1420" s="739"/>
      <c r="P1420" s="734"/>
      <c r="Q1420" s="734"/>
      <c r="R1420" s="733"/>
      <c r="S1420" s="692"/>
      <c r="T1420" s="692"/>
      <c r="U1420" s="692"/>
      <c r="V1420" s="692"/>
      <c r="W1420" s="692"/>
      <c r="X1420" s="692"/>
      <c r="Y1420" s="692"/>
      <c r="Z1420" s="692"/>
      <c r="AA1420" s="692"/>
      <c r="AB1420" s="692"/>
      <c r="AC1420" s="690"/>
      <c r="AD1420" s="690"/>
      <c r="AE1420" s="736"/>
      <c r="AF1420" s="736"/>
      <c r="AG1420" s="736"/>
      <c r="AH1420" s="736"/>
      <c r="AI1420" s="736"/>
      <c r="AJ1420" s="736"/>
      <c r="AK1420" s="736"/>
      <c r="AL1420" s="736"/>
      <c r="AM1420" s="736"/>
      <c r="AN1420" s="736"/>
      <c r="AO1420" s="736"/>
      <c r="AP1420" s="736"/>
      <c r="AQ1420" s="736"/>
      <c r="AR1420" s="736"/>
      <c r="AS1420" s="736"/>
      <c r="AT1420" s="736"/>
      <c r="AU1420" s="736"/>
      <c r="AV1420" s="736"/>
      <c r="AW1420" s="736"/>
      <c r="AX1420" s="736"/>
      <c r="AY1420" s="736"/>
      <c r="AZ1420" s="736"/>
      <c r="BA1420" s="736"/>
      <c r="BB1420" s="736"/>
      <c r="BC1420" s="736"/>
      <c r="BD1420" s="736"/>
      <c r="BE1420" s="736"/>
      <c r="BF1420" s="736"/>
      <c r="BG1420" s="736"/>
      <c r="BH1420" s="736"/>
      <c r="BI1420" s="736"/>
      <c r="BJ1420" s="736"/>
      <c r="BK1420" s="736"/>
      <c r="BL1420" s="736"/>
      <c r="BM1420" s="736"/>
      <c r="BN1420" s="736"/>
      <c r="BO1420" s="736"/>
      <c r="BP1420" s="736"/>
      <c r="BQ1420" s="736"/>
      <c r="BR1420" s="736"/>
      <c r="BS1420" s="736"/>
      <c r="BT1420" s="736"/>
      <c r="BU1420" s="736"/>
      <c r="BV1420" s="736"/>
      <c r="BW1420" s="736"/>
      <c r="BX1420" s="736"/>
      <c r="BY1420" s="736"/>
      <c r="BZ1420" s="736"/>
      <c r="CA1420" s="736"/>
    </row>
    <row r="1421" spans="1:79" s="452" customFormat="1" hidden="1" outlineLevel="1" x14ac:dyDescent="0.35">
      <c r="A1421" s="580"/>
      <c r="B1421" s="580"/>
      <c r="C1421" s="580"/>
      <c r="D1421" s="580"/>
      <c r="E1421" s="580"/>
      <c r="F1421" s="672" t="s">
        <v>617</v>
      </c>
      <c r="G1421" s="739"/>
      <c r="H1421" s="739"/>
      <c r="I1421" s="739"/>
      <c r="J1421" s="739"/>
      <c r="K1421" s="739"/>
      <c r="L1421" s="739"/>
      <c r="M1421" s="739"/>
      <c r="N1421" s="739"/>
      <c r="O1421" s="739"/>
      <c r="P1421" s="734"/>
      <c r="Q1421" s="734"/>
      <c r="R1421" s="733"/>
      <c r="S1421" s="692"/>
      <c r="T1421" s="692"/>
      <c r="U1421" s="692"/>
      <c r="V1421" s="692"/>
      <c r="W1421" s="692"/>
      <c r="X1421" s="692"/>
      <c r="Y1421" s="692"/>
      <c r="Z1421" s="692"/>
      <c r="AA1421" s="692"/>
      <c r="AB1421" s="692"/>
      <c r="AC1421" s="690"/>
      <c r="AD1421" s="690"/>
      <c r="AE1421" s="736"/>
      <c r="AF1421" s="736"/>
      <c r="AG1421" s="736"/>
      <c r="AH1421" s="736"/>
      <c r="AI1421" s="736"/>
      <c r="AJ1421" s="736"/>
      <c r="AK1421" s="736"/>
      <c r="AL1421" s="736"/>
      <c r="AM1421" s="736"/>
      <c r="AN1421" s="736"/>
      <c r="AO1421" s="736"/>
      <c r="AP1421" s="736"/>
      <c r="AQ1421" s="736"/>
      <c r="AR1421" s="736"/>
      <c r="AS1421" s="736"/>
      <c r="AT1421" s="736"/>
      <c r="AU1421" s="736"/>
      <c r="AV1421" s="736"/>
      <c r="AW1421" s="736"/>
      <c r="AX1421" s="736"/>
      <c r="AY1421" s="736"/>
      <c r="AZ1421" s="736"/>
      <c r="BA1421" s="736"/>
      <c r="BB1421" s="736"/>
      <c r="BC1421" s="736"/>
      <c r="BD1421" s="736"/>
      <c r="BE1421" s="736"/>
      <c r="BF1421" s="736"/>
      <c r="BG1421" s="736"/>
      <c r="BH1421" s="736"/>
      <c r="BI1421" s="736"/>
      <c r="BJ1421" s="736"/>
      <c r="BK1421" s="736"/>
      <c r="BL1421" s="736"/>
      <c r="BM1421" s="736"/>
      <c r="BN1421" s="736"/>
      <c r="BO1421" s="736"/>
      <c r="BP1421" s="736"/>
      <c r="BQ1421" s="736"/>
      <c r="BR1421" s="736"/>
      <c r="BS1421" s="736"/>
      <c r="BT1421" s="736"/>
      <c r="BU1421" s="736"/>
      <c r="BV1421" s="736"/>
      <c r="BW1421" s="736"/>
      <c r="BX1421" s="736"/>
      <c r="BY1421" s="736"/>
      <c r="BZ1421" s="736"/>
      <c r="CA1421" s="736"/>
    </row>
    <row r="1422" spans="1:79" s="452" customFormat="1" hidden="1" outlineLevel="1" x14ac:dyDescent="0.35">
      <c r="A1422" s="580"/>
      <c r="B1422" s="580"/>
      <c r="C1422" s="580"/>
      <c r="D1422" s="580"/>
      <c r="E1422" s="580"/>
      <c r="F1422" s="672" t="s">
        <v>618</v>
      </c>
      <c r="G1422" s="739"/>
      <c r="H1422" s="739"/>
      <c r="I1422" s="739"/>
      <c r="J1422" s="739"/>
      <c r="K1422" s="739"/>
      <c r="L1422" s="739"/>
      <c r="M1422" s="739"/>
      <c r="N1422" s="739"/>
      <c r="O1422" s="739"/>
      <c r="P1422" s="734"/>
      <c r="Q1422" s="734"/>
      <c r="R1422" s="733"/>
      <c r="S1422" s="692"/>
      <c r="T1422" s="692"/>
      <c r="U1422" s="692"/>
      <c r="V1422" s="692"/>
      <c r="W1422" s="692"/>
      <c r="X1422" s="692"/>
      <c r="Y1422" s="692"/>
      <c r="Z1422" s="692"/>
      <c r="AA1422" s="692"/>
      <c r="AB1422" s="692"/>
      <c r="AC1422" s="690"/>
      <c r="AD1422" s="690"/>
      <c r="AE1422" s="736"/>
      <c r="AF1422" s="736"/>
      <c r="AG1422" s="736"/>
      <c r="AH1422" s="736"/>
      <c r="AI1422" s="736"/>
      <c r="AJ1422" s="736"/>
      <c r="AK1422" s="736"/>
      <c r="AL1422" s="736"/>
      <c r="AM1422" s="736"/>
      <c r="AN1422" s="736"/>
      <c r="AO1422" s="736"/>
      <c r="AP1422" s="736"/>
      <c r="AQ1422" s="736"/>
      <c r="AR1422" s="736"/>
      <c r="AS1422" s="736"/>
      <c r="AT1422" s="736"/>
      <c r="AU1422" s="736"/>
      <c r="AV1422" s="736"/>
      <c r="AW1422" s="736"/>
      <c r="AX1422" s="736"/>
      <c r="AY1422" s="736"/>
      <c r="AZ1422" s="736"/>
      <c r="BA1422" s="736"/>
      <c r="BB1422" s="736"/>
      <c r="BC1422" s="736"/>
      <c r="BD1422" s="736"/>
      <c r="BE1422" s="736"/>
      <c r="BF1422" s="736"/>
      <c r="BG1422" s="736"/>
      <c r="BH1422" s="736"/>
      <c r="BI1422" s="736"/>
      <c r="BJ1422" s="736"/>
      <c r="BK1422" s="736"/>
      <c r="BL1422" s="736"/>
      <c r="BM1422" s="736"/>
      <c r="BN1422" s="736"/>
      <c r="BO1422" s="736"/>
      <c r="BP1422" s="736"/>
      <c r="BQ1422" s="736"/>
      <c r="BR1422" s="736"/>
      <c r="BS1422" s="736"/>
      <c r="BT1422" s="736"/>
      <c r="BU1422" s="736"/>
      <c r="BV1422" s="736"/>
      <c r="BW1422" s="736"/>
      <c r="BX1422" s="736"/>
      <c r="BY1422" s="736"/>
      <c r="BZ1422" s="736"/>
      <c r="CA1422" s="736"/>
    </row>
    <row r="1423" spans="1:79" s="452" customFormat="1" hidden="1" outlineLevel="1" x14ac:dyDescent="0.35">
      <c r="A1423" s="580"/>
      <c r="B1423" s="580"/>
      <c r="C1423" s="580"/>
      <c r="D1423" s="580"/>
      <c r="E1423" s="580"/>
      <c r="F1423" s="672" t="s">
        <v>619</v>
      </c>
      <c r="G1423" s="739"/>
      <c r="H1423" s="739"/>
      <c r="I1423" s="739"/>
      <c r="J1423" s="739"/>
      <c r="K1423" s="739"/>
      <c r="L1423" s="739"/>
      <c r="M1423" s="739"/>
      <c r="N1423" s="739"/>
      <c r="O1423" s="739"/>
      <c r="P1423" s="734"/>
      <c r="Q1423" s="734"/>
      <c r="R1423" s="733"/>
      <c r="S1423" s="692"/>
      <c r="T1423" s="692"/>
      <c r="U1423" s="692"/>
      <c r="V1423" s="692"/>
      <c r="W1423" s="692"/>
      <c r="X1423" s="692"/>
      <c r="Y1423" s="692"/>
      <c r="Z1423" s="692"/>
      <c r="AA1423" s="692"/>
      <c r="AB1423" s="692"/>
      <c r="AC1423" s="690"/>
      <c r="AD1423" s="690"/>
      <c r="AE1423" s="736"/>
      <c r="AF1423" s="736"/>
      <c r="AG1423" s="736"/>
      <c r="AH1423" s="736"/>
      <c r="AI1423" s="736"/>
      <c r="AJ1423" s="736"/>
      <c r="AK1423" s="736"/>
      <c r="AL1423" s="736"/>
      <c r="AM1423" s="736"/>
      <c r="AN1423" s="736"/>
      <c r="AO1423" s="736"/>
      <c r="AP1423" s="736"/>
      <c r="AQ1423" s="736"/>
      <c r="AR1423" s="736"/>
      <c r="AS1423" s="736"/>
      <c r="AT1423" s="736"/>
      <c r="AU1423" s="736"/>
      <c r="AV1423" s="736"/>
      <c r="AW1423" s="736"/>
      <c r="AX1423" s="736"/>
      <c r="AY1423" s="736"/>
      <c r="AZ1423" s="736"/>
      <c r="BA1423" s="736"/>
      <c r="BB1423" s="736"/>
      <c r="BC1423" s="736"/>
      <c r="BD1423" s="736"/>
      <c r="BE1423" s="736"/>
      <c r="BF1423" s="736"/>
      <c r="BG1423" s="736"/>
      <c r="BH1423" s="736"/>
      <c r="BI1423" s="736"/>
      <c r="BJ1423" s="736"/>
      <c r="BK1423" s="736"/>
      <c r="BL1423" s="736"/>
      <c r="BM1423" s="736"/>
      <c r="BN1423" s="736"/>
      <c r="BO1423" s="736"/>
      <c r="BP1423" s="736"/>
      <c r="BQ1423" s="736"/>
      <c r="BR1423" s="736"/>
      <c r="BS1423" s="736"/>
      <c r="BT1423" s="736"/>
      <c r="BU1423" s="736"/>
      <c r="BV1423" s="736"/>
      <c r="BW1423" s="736"/>
      <c r="BX1423" s="736"/>
      <c r="BY1423" s="736"/>
      <c r="BZ1423" s="736"/>
      <c r="CA1423" s="736"/>
    </row>
    <row r="1424" spans="1:79" s="452" customFormat="1" hidden="1" outlineLevel="1" x14ac:dyDescent="0.35">
      <c r="A1424" s="580"/>
      <c r="B1424" s="580"/>
      <c r="C1424" s="580"/>
      <c r="D1424" s="580"/>
      <c r="E1424" s="580"/>
      <c r="F1424" s="672" t="s">
        <v>894</v>
      </c>
      <c r="G1424" s="739"/>
      <c r="H1424" s="739"/>
      <c r="I1424" s="739"/>
      <c r="J1424" s="739"/>
      <c r="K1424" s="739"/>
      <c r="L1424" s="739"/>
      <c r="M1424" s="739"/>
      <c r="N1424" s="739"/>
      <c r="O1424" s="739"/>
      <c r="P1424" s="734"/>
      <c r="Q1424" s="734"/>
      <c r="R1424" s="733"/>
      <c r="S1424" s="692"/>
      <c r="T1424" s="692"/>
      <c r="U1424" s="692"/>
      <c r="V1424" s="692"/>
      <c r="W1424" s="692"/>
      <c r="X1424" s="692"/>
      <c r="Y1424" s="692"/>
      <c r="Z1424" s="692"/>
      <c r="AA1424" s="692"/>
      <c r="AB1424" s="692"/>
      <c r="AC1424" s="690"/>
      <c r="AD1424" s="690"/>
      <c r="AE1424" s="736"/>
      <c r="AF1424" s="736"/>
      <c r="AG1424" s="736"/>
      <c r="AH1424" s="736"/>
      <c r="AI1424" s="736"/>
      <c r="AJ1424" s="736"/>
      <c r="AK1424" s="736"/>
      <c r="AL1424" s="736"/>
      <c r="AM1424" s="736"/>
      <c r="AN1424" s="736"/>
      <c r="AO1424" s="736"/>
      <c r="AP1424" s="736"/>
      <c r="AQ1424" s="736"/>
      <c r="AR1424" s="736"/>
      <c r="AS1424" s="736"/>
      <c r="AT1424" s="736"/>
      <c r="AU1424" s="736"/>
      <c r="AV1424" s="736"/>
      <c r="AW1424" s="736"/>
      <c r="AX1424" s="736"/>
      <c r="AY1424" s="736"/>
      <c r="AZ1424" s="736"/>
      <c r="BA1424" s="736"/>
      <c r="BB1424" s="736"/>
      <c r="BC1424" s="736"/>
      <c r="BD1424" s="736"/>
      <c r="BE1424" s="736"/>
      <c r="BF1424" s="736"/>
      <c r="BG1424" s="736"/>
      <c r="BH1424" s="736"/>
      <c r="BI1424" s="736"/>
      <c r="BJ1424" s="736"/>
      <c r="BK1424" s="736"/>
      <c r="BL1424" s="736"/>
      <c r="BM1424" s="736"/>
      <c r="BN1424" s="736"/>
      <c r="BO1424" s="736"/>
      <c r="BP1424" s="736"/>
      <c r="BQ1424" s="736"/>
      <c r="BR1424" s="736"/>
      <c r="BS1424" s="736"/>
      <c r="BT1424" s="736"/>
      <c r="BU1424" s="736"/>
      <c r="BV1424" s="736"/>
      <c r="BW1424" s="736"/>
      <c r="BX1424" s="736"/>
      <c r="BY1424" s="736"/>
      <c r="BZ1424" s="736"/>
      <c r="CA1424" s="736"/>
    </row>
    <row r="1425" spans="1:79" s="452" customFormat="1" hidden="1" outlineLevel="1" x14ac:dyDescent="0.35">
      <c r="A1425" s="580"/>
      <c r="B1425" s="580"/>
      <c r="C1425" s="580"/>
      <c r="D1425" s="580"/>
      <c r="E1425" s="580"/>
      <c r="F1425" s="672" t="s">
        <v>620</v>
      </c>
      <c r="G1425" s="739"/>
      <c r="H1425" s="739"/>
      <c r="I1425" s="739"/>
      <c r="J1425" s="739"/>
      <c r="K1425" s="739"/>
      <c r="L1425" s="739"/>
      <c r="M1425" s="739"/>
      <c r="N1425" s="739"/>
      <c r="O1425" s="739"/>
      <c r="P1425" s="734"/>
      <c r="Q1425" s="734"/>
      <c r="R1425" s="733"/>
      <c r="S1425" s="692"/>
      <c r="T1425" s="692"/>
      <c r="U1425" s="692"/>
      <c r="V1425" s="692"/>
      <c r="W1425" s="692"/>
      <c r="X1425" s="692"/>
      <c r="Y1425" s="692"/>
      <c r="Z1425" s="692"/>
      <c r="AA1425" s="692"/>
      <c r="AB1425" s="692"/>
      <c r="AC1425" s="690"/>
      <c r="AD1425" s="690"/>
      <c r="AE1425" s="736"/>
      <c r="AF1425" s="736"/>
      <c r="AG1425" s="736"/>
      <c r="AH1425" s="736"/>
      <c r="AI1425" s="736"/>
      <c r="AJ1425" s="736"/>
      <c r="AK1425" s="736"/>
      <c r="AL1425" s="736"/>
      <c r="AM1425" s="736"/>
      <c r="AN1425" s="736"/>
      <c r="AO1425" s="736"/>
      <c r="AP1425" s="736"/>
      <c r="AQ1425" s="736"/>
      <c r="AR1425" s="736"/>
      <c r="AS1425" s="736"/>
      <c r="AT1425" s="736"/>
      <c r="AU1425" s="736"/>
      <c r="AV1425" s="736"/>
      <c r="AW1425" s="736"/>
      <c r="AX1425" s="736"/>
      <c r="AY1425" s="736"/>
      <c r="AZ1425" s="736"/>
      <c r="BA1425" s="736"/>
      <c r="BB1425" s="736"/>
      <c r="BC1425" s="736"/>
      <c r="BD1425" s="736"/>
      <c r="BE1425" s="736"/>
      <c r="BF1425" s="736"/>
      <c r="BG1425" s="736"/>
      <c r="BH1425" s="736"/>
      <c r="BI1425" s="736"/>
      <c r="BJ1425" s="736"/>
      <c r="BK1425" s="736"/>
      <c r="BL1425" s="736"/>
      <c r="BM1425" s="736"/>
      <c r="BN1425" s="736"/>
      <c r="BO1425" s="736"/>
      <c r="BP1425" s="736"/>
      <c r="BQ1425" s="736"/>
      <c r="BR1425" s="736"/>
      <c r="BS1425" s="736"/>
      <c r="BT1425" s="736"/>
      <c r="BU1425" s="736"/>
      <c r="BV1425" s="736"/>
      <c r="BW1425" s="736"/>
      <c r="BX1425" s="736"/>
      <c r="BY1425" s="736"/>
      <c r="BZ1425" s="736"/>
      <c r="CA1425" s="736"/>
    </row>
    <row r="1426" spans="1:79" s="757" customFormat="1" hidden="1" outlineLevel="1" x14ac:dyDescent="0.35">
      <c r="A1426" s="575"/>
      <c r="B1426" s="575"/>
      <c r="C1426" s="575"/>
      <c r="D1426" s="575"/>
      <c r="E1426" s="575"/>
      <c r="F1426" s="675" t="s">
        <v>621</v>
      </c>
      <c r="G1426" s="680"/>
      <c r="H1426" s="680"/>
      <c r="I1426" s="680"/>
      <c r="J1426" s="680"/>
      <c r="K1426" s="680"/>
      <c r="L1426" s="680"/>
      <c r="M1426" s="680"/>
      <c r="N1426" s="680"/>
      <c r="O1426" s="680"/>
      <c r="P1426" s="680"/>
      <c r="Q1426" s="680"/>
      <c r="R1426" s="680"/>
      <c r="S1426" s="694"/>
      <c r="T1426" s="694"/>
      <c r="U1426" s="694"/>
      <c r="V1426" s="694"/>
      <c r="W1426" s="694"/>
      <c r="X1426" s="694"/>
      <c r="Y1426" s="694"/>
      <c r="Z1426" s="694"/>
      <c r="AA1426" s="694"/>
      <c r="AB1426" s="694"/>
      <c r="AC1426" s="694"/>
      <c r="AD1426" s="694"/>
      <c r="AE1426" s="680">
        <f t="shared" ref="AE1426:BO1426" si="536">SUM(AE1409:AE1425)</f>
        <v>0</v>
      </c>
      <c r="AF1426" s="680">
        <f t="shared" si="536"/>
        <v>0</v>
      </c>
      <c r="AG1426" s="680">
        <f t="shared" si="536"/>
        <v>0</v>
      </c>
      <c r="AH1426" s="680">
        <f t="shared" si="536"/>
        <v>0</v>
      </c>
      <c r="AI1426" s="680">
        <f t="shared" si="536"/>
        <v>0</v>
      </c>
      <c r="AJ1426" s="680">
        <f t="shared" si="536"/>
        <v>0</v>
      </c>
      <c r="AK1426" s="680">
        <f t="shared" si="536"/>
        <v>0</v>
      </c>
      <c r="AL1426" s="680">
        <f t="shared" si="536"/>
        <v>0</v>
      </c>
      <c r="AM1426" s="680">
        <f t="shared" si="536"/>
        <v>0</v>
      </c>
      <c r="AN1426" s="680">
        <f t="shared" si="536"/>
        <v>0</v>
      </c>
      <c r="AO1426" s="680">
        <f t="shared" si="536"/>
        <v>0</v>
      </c>
      <c r="AP1426" s="680">
        <f t="shared" si="536"/>
        <v>0</v>
      </c>
      <c r="AQ1426" s="680">
        <f t="shared" si="536"/>
        <v>0</v>
      </c>
      <c r="AR1426" s="680">
        <f t="shared" si="536"/>
        <v>0</v>
      </c>
      <c r="AS1426" s="680">
        <f t="shared" si="536"/>
        <v>0</v>
      </c>
      <c r="AT1426" s="680">
        <f t="shared" si="536"/>
        <v>0</v>
      </c>
      <c r="AU1426" s="680">
        <f t="shared" si="536"/>
        <v>0</v>
      </c>
      <c r="AV1426" s="680">
        <f t="shared" si="536"/>
        <v>0</v>
      </c>
      <c r="AW1426" s="680">
        <f t="shared" si="536"/>
        <v>0</v>
      </c>
      <c r="AX1426" s="680">
        <f t="shared" si="536"/>
        <v>0</v>
      </c>
      <c r="AY1426" s="680">
        <f t="shared" si="536"/>
        <v>0</v>
      </c>
      <c r="AZ1426" s="680">
        <f t="shared" si="536"/>
        <v>0</v>
      </c>
      <c r="BA1426" s="680">
        <f t="shared" si="536"/>
        <v>0</v>
      </c>
      <c r="BB1426" s="680">
        <f t="shared" si="536"/>
        <v>0</v>
      </c>
      <c r="BC1426" s="680">
        <f t="shared" si="536"/>
        <v>0</v>
      </c>
      <c r="BD1426" s="680">
        <f t="shared" si="536"/>
        <v>0</v>
      </c>
      <c r="BE1426" s="680">
        <f t="shared" si="536"/>
        <v>0</v>
      </c>
      <c r="BF1426" s="680">
        <f t="shared" si="536"/>
        <v>0</v>
      </c>
      <c r="BG1426" s="680">
        <f t="shared" si="536"/>
        <v>0</v>
      </c>
      <c r="BH1426" s="680">
        <f t="shared" si="536"/>
        <v>0</v>
      </c>
      <c r="BI1426" s="680">
        <f t="shared" si="536"/>
        <v>0</v>
      </c>
      <c r="BJ1426" s="680">
        <f t="shared" si="536"/>
        <v>0</v>
      </c>
      <c r="BK1426" s="680">
        <f t="shared" si="536"/>
        <v>0</v>
      </c>
      <c r="BL1426" s="680">
        <f t="shared" si="536"/>
        <v>0</v>
      </c>
      <c r="BM1426" s="680">
        <f t="shared" si="536"/>
        <v>0</v>
      </c>
      <c r="BN1426" s="680">
        <f t="shared" si="536"/>
        <v>0</v>
      </c>
      <c r="BO1426" s="680">
        <f t="shared" si="536"/>
        <v>0</v>
      </c>
      <c r="BP1426" s="680">
        <f t="shared" ref="BP1426:CA1426" si="537">SUM(BP1409:BP1425)</f>
        <v>0</v>
      </c>
      <c r="BQ1426" s="680">
        <f t="shared" si="537"/>
        <v>0</v>
      </c>
      <c r="BR1426" s="680">
        <f t="shared" si="537"/>
        <v>0</v>
      </c>
      <c r="BS1426" s="680">
        <f t="shared" si="537"/>
        <v>0</v>
      </c>
      <c r="BT1426" s="680">
        <f t="shared" si="537"/>
        <v>0</v>
      </c>
      <c r="BU1426" s="680">
        <f t="shared" si="537"/>
        <v>0</v>
      </c>
      <c r="BV1426" s="680">
        <f t="shared" si="537"/>
        <v>0</v>
      </c>
      <c r="BW1426" s="680">
        <f t="shared" si="537"/>
        <v>0</v>
      </c>
      <c r="BX1426" s="680">
        <f t="shared" si="537"/>
        <v>0</v>
      </c>
      <c r="BY1426" s="680">
        <f t="shared" si="537"/>
        <v>0</v>
      </c>
      <c r="BZ1426" s="680">
        <f t="shared" si="537"/>
        <v>0</v>
      </c>
      <c r="CA1426" s="680">
        <f t="shared" si="537"/>
        <v>0</v>
      </c>
    </row>
    <row r="1427" spans="1:79" s="716" customFormat="1" hidden="1" outlineLevel="1" x14ac:dyDescent="0.35">
      <c r="A1427" s="726"/>
      <c r="B1427" s="726"/>
      <c r="C1427" s="726"/>
      <c r="D1427" s="726"/>
      <c r="E1427" s="726"/>
      <c r="F1427" s="707" t="s">
        <v>598</v>
      </c>
      <c r="G1427" s="782"/>
      <c r="H1427" s="782"/>
      <c r="I1427" s="782"/>
      <c r="J1427" s="782"/>
      <c r="K1427" s="782"/>
      <c r="L1427" s="782"/>
      <c r="M1427" s="782"/>
      <c r="N1427" s="782"/>
      <c r="O1427" s="782"/>
      <c r="P1427" s="753"/>
      <c r="Q1427" s="753"/>
      <c r="R1427" s="779"/>
      <c r="S1427" s="724"/>
      <c r="T1427" s="724"/>
      <c r="U1427" s="724"/>
      <c r="V1427" s="724"/>
      <c r="W1427" s="724"/>
      <c r="X1427" s="724"/>
      <c r="Y1427" s="724"/>
      <c r="Z1427" s="724"/>
      <c r="AA1427" s="724"/>
      <c r="AB1427" s="724"/>
      <c r="AC1427" s="723"/>
      <c r="AD1427" s="723"/>
      <c r="AE1427" s="752"/>
      <c r="AF1427" s="752"/>
      <c r="AG1427" s="752"/>
      <c r="AH1427" s="752"/>
      <c r="AI1427" s="752"/>
      <c r="AJ1427" s="752"/>
      <c r="AK1427" s="752"/>
      <c r="AL1427" s="752"/>
      <c r="AM1427" s="752"/>
      <c r="AN1427" s="752"/>
      <c r="AO1427" s="752"/>
      <c r="AP1427" s="752"/>
      <c r="AQ1427" s="752"/>
      <c r="AR1427" s="752"/>
      <c r="AS1427" s="752"/>
      <c r="AT1427" s="752"/>
      <c r="AU1427" s="752"/>
      <c r="AV1427" s="752"/>
      <c r="AW1427" s="752"/>
      <c r="AX1427" s="752"/>
      <c r="AY1427" s="752"/>
      <c r="AZ1427" s="752"/>
      <c r="BA1427" s="752"/>
      <c r="BB1427" s="752"/>
      <c r="BC1427" s="752"/>
      <c r="BD1427" s="752"/>
      <c r="BE1427" s="752"/>
      <c r="BF1427" s="752"/>
      <c r="BG1427" s="752"/>
      <c r="BH1427" s="752"/>
      <c r="BI1427" s="752"/>
      <c r="BJ1427" s="752"/>
      <c r="BK1427" s="752"/>
      <c r="BL1427" s="752"/>
      <c r="BM1427" s="752"/>
      <c r="BN1427" s="752"/>
      <c r="BO1427" s="752"/>
      <c r="BP1427" s="752"/>
      <c r="BQ1427" s="752"/>
      <c r="BR1427" s="752"/>
      <c r="BS1427" s="752"/>
      <c r="BT1427" s="752"/>
      <c r="BU1427" s="752"/>
      <c r="BV1427" s="752"/>
      <c r="BW1427" s="752"/>
      <c r="BX1427" s="752"/>
      <c r="BY1427" s="752"/>
      <c r="BZ1427" s="752"/>
      <c r="CA1427" s="752"/>
    </row>
    <row r="1428" spans="1:79" s="757" customFormat="1" hidden="1" outlineLevel="1" x14ac:dyDescent="0.35">
      <c r="A1428" s="575"/>
      <c r="B1428" s="575"/>
      <c r="C1428" s="575"/>
      <c r="D1428" s="575"/>
      <c r="E1428" s="575"/>
      <c r="F1428" s="672" t="s">
        <v>895</v>
      </c>
      <c r="G1428" s="739"/>
      <c r="H1428" s="739"/>
      <c r="I1428" s="739"/>
      <c r="J1428" s="739"/>
      <c r="K1428" s="739"/>
      <c r="L1428" s="739"/>
      <c r="M1428" s="739"/>
      <c r="N1428" s="739"/>
      <c r="O1428" s="739"/>
      <c r="P1428" s="734"/>
      <c r="Q1428" s="734"/>
      <c r="R1428" s="733"/>
      <c r="S1428" s="700"/>
      <c r="T1428" s="700"/>
      <c r="U1428" s="700"/>
      <c r="V1428" s="700"/>
      <c r="W1428" s="700"/>
      <c r="X1428" s="700"/>
      <c r="Y1428" s="700"/>
      <c r="Z1428" s="700"/>
      <c r="AA1428" s="700"/>
      <c r="AB1428" s="700"/>
      <c r="AC1428" s="698"/>
      <c r="AD1428" s="698"/>
      <c r="AE1428" s="736"/>
      <c r="AF1428" s="736"/>
      <c r="AG1428" s="736"/>
      <c r="AH1428" s="736"/>
      <c r="AI1428" s="736"/>
      <c r="AJ1428" s="736"/>
      <c r="AK1428" s="736"/>
      <c r="AL1428" s="736"/>
      <c r="AM1428" s="736"/>
      <c r="AN1428" s="736"/>
      <c r="AO1428" s="736"/>
      <c r="AP1428" s="736"/>
      <c r="AQ1428" s="736"/>
      <c r="AR1428" s="736"/>
      <c r="AS1428" s="736"/>
      <c r="AT1428" s="736"/>
      <c r="AU1428" s="736"/>
      <c r="AV1428" s="736"/>
      <c r="AW1428" s="736"/>
      <c r="AX1428" s="736"/>
      <c r="AY1428" s="736"/>
      <c r="AZ1428" s="736"/>
      <c r="BA1428" s="736"/>
      <c r="BB1428" s="736"/>
      <c r="BC1428" s="736"/>
      <c r="BD1428" s="736"/>
      <c r="BE1428" s="736"/>
      <c r="BF1428" s="736"/>
      <c r="BG1428" s="736"/>
      <c r="BH1428" s="736"/>
      <c r="BI1428" s="736"/>
      <c r="BJ1428" s="736"/>
      <c r="BK1428" s="736"/>
      <c r="BL1428" s="736"/>
      <c r="BM1428" s="736"/>
      <c r="BN1428" s="736"/>
      <c r="BO1428" s="736"/>
      <c r="BP1428" s="736"/>
      <c r="BQ1428" s="736"/>
      <c r="BR1428" s="736"/>
      <c r="BS1428" s="736"/>
      <c r="BT1428" s="736"/>
      <c r="BU1428" s="736"/>
      <c r="BV1428" s="736"/>
      <c r="BW1428" s="736"/>
      <c r="BX1428" s="736"/>
      <c r="BY1428" s="736"/>
      <c r="BZ1428" s="736"/>
      <c r="CA1428" s="736"/>
    </row>
    <row r="1429" spans="1:79" s="452" customFormat="1" hidden="1" outlineLevel="1" x14ac:dyDescent="0.35">
      <c r="A1429" s="574"/>
      <c r="B1429" s="574"/>
      <c r="C1429" s="574"/>
      <c r="D1429" s="574"/>
      <c r="E1429" s="574"/>
      <c r="F1429" s="672" t="s">
        <v>622</v>
      </c>
      <c r="G1429" s="735"/>
      <c r="H1429" s="735"/>
      <c r="I1429" s="735"/>
      <c r="J1429" s="735"/>
      <c r="K1429" s="735"/>
      <c r="L1429" s="735"/>
      <c r="M1429" s="735"/>
      <c r="N1429" s="735"/>
      <c r="O1429" s="735"/>
      <c r="P1429" s="732"/>
      <c r="Q1429" s="732"/>
      <c r="R1429" s="736"/>
      <c r="S1429" s="683"/>
      <c r="T1429" s="683"/>
      <c r="U1429" s="683"/>
      <c r="V1429" s="683"/>
      <c r="W1429" s="683"/>
      <c r="X1429" s="683"/>
      <c r="Y1429" s="683"/>
      <c r="Z1429" s="683"/>
      <c r="AA1429" s="683"/>
      <c r="AB1429" s="683"/>
      <c r="AC1429" s="702"/>
      <c r="AD1429" s="702"/>
      <c r="AE1429" s="736"/>
      <c r="AF1429" s="736"/>
      <c r="AG1429" s="736"/>
      <c r="AH1429" s="736"/>
      <c r="AI1429" s="736"/>
      <c r="AJ1429" s="736"/>
      <c r="AK1429" s="736"/>
      <c r="AL1429" s="736"/>
      <c r="AM1429" s="736"/>
      <c r="AN1429" s="736"/>
      <c r="AO1429" s="736"/>
      <c r="AP1429" s="736"/>
      <c r="AQ1429" s="736"/>
      <c r="AR1429" s="736"/>
      <c r="AS1429" s="736"/>
      <c r="AT1429" s="736"/>
      <c r="AU1429" s="736"/>
      <c r="AV1429" s="736"/>
      <c r="AW1429" s="736"/>
      <c r="AX1429" s="736"/>
      <c r="AY1429" s="736"/>
      <c r="AZ1429" s="736"/>
      <c r="BA1429" s="736"/>
      <c r="BB1429" s="736"/>
      <c r="BC1429" s="736"/>
      <c r="BD1429" s="736"/>
      <c r="BE1429" s="736"/>
      <c r="BF1429" s="736"/>
      <c r="BG1429" s="736"/>
      <c r="BH1429" s="736"/>
      <c r="BI1429" s="736"/>
      <c r="BJ1429" s="736"/>
      <c r="BK1429" s="736"/>
      <c r="BL1429" s="736"/>
      <c r="BM1429" s="736"/>
      <c r="BN1429" s="736"/>
      <c r="BO1429" s="736"/>
      <c r="BP1429" s="736"/>
      <c r="BQ1429" s="736"/>
      <c r="BR1429" s="736"/>
      <c r="BS1429" s="736"/>
      <c r="BT1429" s="736"/>
      <c r="BU1429" s="736"/>
      <c r="BV1429" s="736"/>
      <c r="BW1429" s="736"/>
      <c r="BX1429" s="736"/>
      <c r="BY1429" s="736"/>
      <c r="BZ1429" s="736"/>
      <c r="CA1429" s="736"/>
    </row>
    <row r="1430" spans="1:79" s="452" customFormat="1" hidden="1" outlineLevel="1" x14ac:dyDescent="0.35">
      <c r="A1430" s="574"/>
      <c r="B1430" s="574"/>
      <c r="C1430" s="574"/>
      <c r="D1430" s="574"/>
      <c r="E1430" s="574"/>
      <c r="F1430" s="673" t="s">
        <v>623</v>
      </c>
      <c r="G1430" s="680"/>
      <c r="H1430" s="680"/>
      <c r="I1430" s="680"/>
      <c r="J1430" s="680"/>
      <c r="K1430" s="680"/>
      <c r="L1430" s="680"/>
      <c r="M1430" s="680"/>
      <c r="N1430" s="680"/>
      <c r="O1430" s="680"/>
      <c r="P1430" s="680"/>
      <c r="Q1430" s="680"/>
      <c r="R1430" s="680"/>
      <c r="S1430" s="694"/>
      <c r="T1430" s="694"/>
      <c r="U1430" s="694"/>
      <c r="V1430" s="694"/>
      <c r="W1430" s="694"/>
      <c r="X1430" s="694"/>
      <c r="Y1430" s="694"/>
      <c r="Z1430" s="694"/>
      <c r="AA1430" s="694"/>
      <c r="AB1430" s="694"/>
      <c r="AC1430" s="694"/>
      <c r="AD1430" s="694"/>
      <c r="AE1430" s="680">
        <f t="shared" ref="AE1430:BO1430" si="538">SUM(AE1428:AE1429)</f>
        <v>0</v>
      </c>
      <c r="AF1430" s="680">
        <f t="shared" si="538"/>
        <v>0</v>
      </c>
      <c r="AG1430" s="680">
        <f t="shared" si="538"/>
        <v>0</v>
      </c>
      <c r="AH1430" s="680">
        <f t="shared" si="538"/>
        <v>0</v>
      </c>
      <c r="AI1430" s="680">
        <f t="shared" si="538"/>
        <v>0</v>
      </c>
      <c r="AJ1430" s="680">
        <f t="shared" si="538"/>
        <v>0</v>
      </c>
      <c r="AK1430" s="680">
        <f t="shared" si="538"/>
        <v>0</v>
      </c>
      <c r="AL1430" s="680">
        <f t="shared" si="538"/>
        <v>0</v>
      </c>
      <c r="AM1430" s="680">
        <f t="shared" si="538"/>
        <v>0</v>
      </c>
      <c r="AN1430" s="680">
        <f t="shared" si="538"/>
        <v>0</v>
      </c>
      <c r="AO1430" s="680">
        <f t="shared" si="538"/>
        <v>0</v>
      </c>
      <c r="AP1430" s="680">
        <f t="shared" si="538"/>
        <v>0</v>
      </c>
      <c r="AQ1430" s="680">
        <f t="shared" si="538"/>
        <v>0</v>
      </c>
      <c r="AR1430" s="680">
        <f t="shared" si="538"/>
        <v>0</v>
      </c>
      <c r="AS1430" s="680">
        <f t="shared" si="538"/>
        <v>0</v>
      </c>
      <c r="AT1430" s="680">
        <f t="shared" si="538"/>
        <v>0</v>
      </c>
      <c r="AU1430" s="680">
        <f t="shared" si="538"/>
        <v>0</v>
      </c>
      <c r="AV1430" s="680">
        <f t="shared" si="538"/>
        <v>0</v>
      </c>
      <c r="AW1430" s="680">
        <f t="shared" si="538"/>
        <v>0</v>
      </c>
      <c r="AX1430" s="680">
        <f t="shared" si="538"/>
        <v>0</v>
      </c>
      <c r="AY1430" s="680">
        <f t="shared" si="538"/>
        <v>0</v>
      </c>
      <c r="AZ1430" s="680">
        <f t="shared" si="538"/>
        <v>0</v>
      </c>
      <c r="BA1430" s="680">
        <f t="shared" si="538"/>
        <v>0</v>
      </c>
      <c r="BB1430" s="680">
        <f t="shared" si="538"/>
        <v>0</v>
      </c>
      <c r="BC1430" s="680">
        <f t="shared" si="538"/>
        <v>0</v>
      </c>
      <c r="BD1430" s="680">
        <f t="shared" si="538"/>
        <v>0</v>
      </c>
      <c r="BE1430" s="680">
        <f t="shared" si="538"/>
        <v>0</v>
      </c>
      <c r="BF1430" s="680">
        <f t="shared" si="538"/>
        <v>0</v>
      </c>
      <c r="BG1430" s="680">
        <f t="shared" si="538"/>
        <v>0</v>
      </c>
      <c r="BH1430" s="680">
        <f t="shared" si="538"/>
        <v>0</v>
      </c>
      <c r="BI1430" s="680">
        <f t="shared" si="538"/>
        <v>0</v>
      </c>
      <c r="BJ1430" s="680">
        <f t="shared" si="538"/>
        <v>0</v>
      </c>
      <c r="BK1430" s="680">
        <f t="shared" si="538"/>
        <v>0</v>
      </c>
      <c r="BL1430" s="680">
        <f t="shared" si="538"/>
        <v>0</v>
      </c>
      <c r="BM1430" s="680">
        <f t="shared" si="538"/>
        <v>0</v>
      </c>
      <c r="BN1430" s="680">
        <f t="shared" si="538"/>
        <v>0</v>
      </c>
      <c r="BO1430" s="680">
        <f t="shared" si="538"/>
        <v>0</v>
      </c>
      <c r="BP1430" s="680">
        <f t="shared" ref="BP1430:CA1430" si="539">SUM(BP1428:BP1429)</f>
        <v>0</v>
      </c>
      <c r="BQ1430" s="680">
        <f t="shared" si="539"/>
        <v>0</v>
      </c>
      <c r="BR1430" s="680">
        <f t="shared" si="539"/>
        <v>0</v>
      </c>
      <c r="BS1430" s="680">
        <f t="shared" si="539"/>
        <v>0</v>
      </c>
      <c r="BT1430" s="680">
        <f t="shared" si="539"/>
        <v>0</v>
      </c>
      <c r="BU1430" s="680">
        <f t="shared" si="539"/>
        <v>0</v>
      </c>
      <c r="BV1430" s="680">
        <f t="shared" si="539"/>
        <v>0</v>
      </c>
      <c r="BW1430" s="680">
        <f t="shared" si="539"/>
        <v>0</v>
      </c>
      <c r="BX1430" s="680">
        <f t="shared" si="539"/>
        <v>0</v>
      </c>
      <c r="BY1430" s="680">
        <f t="shared" si="539"/>
        <v>0</v>
      </c>
      <c r="BZ1430" s="680">
        <f t="shared" si="539"/>
        <v>0</v>
      </c>
      <c r="CA1430" s="680">
        <f t="shared" si="539"/>
        <v>0</v>
      </c>
    </row>
    <row r="1431" spans="1:79" s="452" customFormat="1" hidden="1" outlineLevel="1" x14ac:dyDescent="0.35">
      <c r="A1431" s="574"/>
      <c r="B1431" s="574"/>
      <c r="C1431" s="574"/>
      <c r="D1431" s="574"/>
      <c r="E1431" s="574"/>
      <c r="F1431" s="674" t="s">
        <v>599</v>
      </c>
      <c r="G1431" s="735"/>
      <c r="H1431" s="735"/>
      <c r="I1431" s="735"/>
      <c r="J1431" s="735"/>
      <c r="K1431" s="735"/>
      <c r="L1431" s="735"/>
      <c r="M1431" s="735"/>
      <c r="N1431" s="735"/>
      <c r="O1431" s="735"/>
      <c r="P1431" s="732"/>
      <c r="Q1431" s="732"/>
      <c r="R1431" s="736"/>
      <c r="S1431" s="683"/>
      <c r="T1431" s="683"/>
      <c r="U1431" s="683"/>
      <c r="V1431" s="683"/>
      <c r="W1431" s="683"/>
      <c r="X1431" s="683"/>
      <c r="Y1431" s="683"/>
      <c r="Z1431" s="683"/>
      <c r="AA1431" s="683"/>
      <c r="AB1431" s="683"/>
      <c r="AC1431" s="702"/>
      <c r="AD1431" s="702"/>
      <c r="AE1431" s="736"/>
      <c r="AF1431" s="736"/>
      <c r="AG1431" s="736"/>
      <c r="AH1431" s="736"/>
      <c r="AI1431" s="736"/>
      <c r="AJ1431" s="736"/>
      <c r="AK1431" s="736"/>
      <c r="AL1431" s="736"/>
      <c r="AM1431" s="736"/>
      <c r="AN1431" s="736"/>
      <c r="AO1431" s="736"/>
      <c r="AP1431" s="736"/>
      <c r="AQ1431" s="736"/>
      <c r="AR1431" s="736"/>
      <c r="AS1431" s="736"/>
      <c r="AT1431" s="736"/>
      <c r="AU1431" s="736"/>
      <c r="AV1431" s="736"/>
      <c r="AW1431" s="736"/>
      <c r="AX1431" s="736"/>
      <c r="AY1431" s="736"/>
      <c r="AZ1431" s="736"/>
      <c r="BA1431" s="736"/>
      <c r="BB1431" s="736"/>
      <c r="BC1431" s="736"/>
      <c r="BD1431" s="736"/>
      <c r="BE1431" s="736"/>
      <c r="BF1431" s="736"/>
      <c r="BG1431" s="736"/>
      <c r="BH1431" s="736"/>
      <c r="BI1431" s="736"/>
      <c r="BJ1431" s="736"/>
      <c r="BK1431" s="736"/>
      <c r="BL1431" s="736"/>
      <c r="BM1431" s="736"/>
      <c r="BN1431" s="736"/>
      <c r="BO1431" s="736"/>
      <c r="BP1431" s="736"/>
      <c r="BQ1431" s="736"/>
      <c r="BR1431" s="736"/>
      <c r="BS1431" s="736"/>
      <c r="BT1431" s="736"/>
      <c r="BU1431" s="736"/>
      <c r="BV1431" s="736"/>
      <c r="BW1431" s="736"/>
      <c r="BX1431" s="736"/>
      <c r="BY1431" s="736"/>
      <c r="BZ1431" s="736"/>
      <c r="CA1431" s="736"/>
    </row>
    <row r="1432" spans="1:79" s="757" customFormat="1" hidden="1" outlineLevel="1" x14ac:dyDescent="0.35">
      <c r="A1432" s="574"/>
      <c r="B1432" s="574"/>
      <c r="C1432" s="574"/>
      <c r="D1432" s="574"/>
      <c r="E1432" s="574"/>
      <c r="F1432" s="674" t="s">
        <v>600</v>
      </c>
      <c r="G1432" s="735"/>
      <c r="H1432" s="735"/>
      <c r="I1432" s="735"/>
      <c r="J1432" s="735"/>
      <c r="K1432" s="735"/>
      <c r="L1432" s="735"/>
      <c r="M1432" s="735"/>
      <c r="N1432" s="735"/>
      <c r="O1432" s="735"/>
      <c r="P1432" s="732"/>
      <c r="Q1432" s="732"/>
      <c r="R1432" s="736"/>
      <c r="S1432" s="683"/>
      <c r="T1432" s="683"/>
      <c r="U1432" s="683"/>
      <c r="V1432" s="683"/>
      <c r="W1432" s="683"/>
      <c r="X1432" s="683"/>
      <c r="Y1432" s="683"/>
      <c r="Z1432" s="683"/>
      <c r="AA1432" s="683"/>
      <c r="AB1432" s="683"/>
      <c r="AC1432" s="702"/>
      <c r="AD1432" s="702"/>
      <c r="AE1432" s="736"/>
      <c r="AF1432" s="736"/>
      <c r="AG1432" s="736"/>
      <c r="AH1432" s="736"/>
      <c r="AI1432" s="736"/>
      <c r="AJ1432" s="736"/>
      <c r="AK1432" s="736"/>
      <c r="AL1432" s="736"/>
      <c r="AM1432" s="736"/>
      <c r="AN1432" s="736"/>
      <c r="AO1432" s="736"/>
      <c r="AP1432" s="736"/>
      <c r="AQ1432" s="736"/>
      <c r="AR1432" s="736"/>
      <c r="AS1432" s="736"/>
      <c r="AT1432" s="736"/>
      <c r="AU1432" s="736"/>
      <c r="AV1432" s="736"/>
      <c r="AW1432" s="736"/>
      <c r="AX1432" s="736"/>
      <c r="AY1432" s="736"/>
      <c r="AZ1432" s="736"/>
      <c r="BA1432" s="736"/>
      <c r="BB1432" s="736"/>
      <c r="BC1432" s="736"/>
      <c r="BD1432" s="736"/>
      <c r="BE1432" s="736"/>
      <c r="BF1432" s="736"/>
      <c r="BG1432" s="736"/>
      <c r="BH1432" s="736"/>
      <c r="BI1432" s="736"/>
      <c r="BJ1432" s="736"/>
      <c r="BK1432" s="736"/>
      <c r="BL1432" s="736"/>
      <c r="BM1432" s="736"/>
      <c r="BN1432" s="736"/>
      <c r="BO1432" s="736"/>
      <c r="BP1432" s="736"/>
      <c r="BQ1432" s="736"/>
      <c r="BR1432" s="736"/>
      <c r="BS1432" s="736"/>
      <c r="BT1432" s="736"/>
      <c r="BU1432" s="736"/>
      <c r="BV1432" s="736"/>
      <c r="BW1432" s="736"/>
      <c r="BX1432" s="736"/>
      <c r="BY1432" s="736"/>
      <c r="BZ1432" s="736"/>
      <c r="CA1432" s="736"/>
    </row>
    <row r="1433" spans="1:79" s="452" customFormat="1" hidden="1" outlineLevel="1" x14ac:dyDescent="0.35">
      <c r="A1433" s="574"/>
      <c r="B1433" s="574"/>
      <c r="C1433" s="574"/>
      <c r="D1433" s="574"/>
      <c r="E1433" s="574"/>
      <c r="F1433" s="674" t="s">
        <v>601</v>
      </c>
      <c r="G1433" s="735"/>
      <c r="H1433" s="735"/>
      <c r="I1433" s="735"/>
      <c r="J1433" s="735"/>
      <c r="K1433" s="735"/>
      <c r="L1433" s="735"/>
      <c r="M1433" s="735"/>
      <c r="N1433" s="735"/>
      <c r="O1433" s="735"/>
      <c r="P1433" s="732"/>
      <c r="Q1433" s="732"/>
      <c r="R1433" s="736"/>
      <c r="S1433" s="683"/>
      <c r="T1433" s="683"/>
      <c r="U1433" s="683"/>
      <c r="V1433" s="683"/>
      <c r="W1433" s="683"/>
      <c r="X1433" s="683"/>
      <c r="Y1433" s="683"/>
      <c r="Z1433" s="683"/>
      <c r="AA1433" s="683"/>
      <c r="AB1433" s="683"/>
      <c r="AC1433" s="681"/>
      <c r="AD1433" s="681"/>
      <c r="AE1433" s="736"/>
      <c r="AF1433" s="736"/>
      <c r="AG1433" s="736"/>
      <c r="AH1433" s="736"/>
      <c r="AI1433" s="736"/>
      <c r="AJ1433" s="736"/>
      <c r="AK1433" s="736"/>
      <c r="AL1433" s="736"/>
      <c r="AM1433" s="736"/>
      <c r="AN1433" s="736"/>
      <c r="AO1433" s="736"/>
      <c r="AP1433" s="736"/>
      <c r="AQ1433" s="736"/>
      <c r="AR1433" s="736"/>
      <c r="AS1433" s="736"/>
      <c r="AT1433" s="736"/>
      <c r="AU1433" s="736"/>
      <c r="AV1433" s="736"/>
      <c r="AW1433" s="736"/>
      <c r="AX1433" s="736"/>
      <c r="AY1433" s="736"/>
      <c r="AZ1433" s="736"/>
      <c r="BA1433" s="736"/>
      <c r="BB1433" s="736"/>
      <c r="BC1433" s="736"/>
      <c r="BD1433" s="736"/>
      <c r="BE1433" s="736"/>
      <c r="BF1433" s="736"/>
      <c r="BG1433" s="736"/>
      <c r="BH1433" s="736"/>
      <c r="BI1433" s="736"/>
      <c r="BJ1433" s="736"/>
      <c r="BK1433" s="736"/>
      <c r="BL1433" s="736"/>
      <c r="BM1433" s="736"/>
      <c r="BN1433" s="736"/>
      <c r="BO1433" s="736"/>
      <c r="BP1433" s="736"/>
      <c r="BQ1433" s="736"/>
      <c r="BR1433" s="736"/>
      <c r="BS1433" s="736"/>
      <c r="BT1433" s="736"/>
      <c r="BU1433" s="736"/>
      <c r="BV1433" s="736"/>
      <c r="BW1433" s="736"/>
      <c r="BX1433" s="736"/>
      <c r="BY1433" s="736"/>
      <c r="BZ1433" s="736"/>
      <c r="CA1433" s="736"/>
    </row>
    <row r="1434" spans="1:79" s="709" customFormat="1" hidden="1" outlineLevel="1" x14ac:dyDescent="0.35">
      <c r="A1434" s="716"/>
      <c r="B1434" s="716"/>
      <c r="C1434" s="716"/>
      <c r="D1434" s="716"/>
      <c r="E1434" s="716"/>
      <c r="F1434" s="717" t="s">
        <v>602</v>
      </c>
      <c r="G1434" s="782"/>
      <c r="H1434" s="782"/>
      <c r="I1434" s="782"/>
      <c r="J1434" s="782"/>
      <c r="K1434" s="782"/>
      <c r="L1434" s="782"/>
      <c r="M1434" s="782"/>
      <c r="N1434" s="782"/>
      <c r="O1434" s="782"/>
      <c r="P1434" s="753"/>
      <c r="Q1434" s="753"/>
      <c r="R1434" s="779"/>
      <c r="S1434" s="713"/>
      <c r="T1434" s="713"/>
      <c r="U1434" s="713"/>
      <c r="V1434" s="713"/>
      <c r="W1434" s="713"/>
      <c r="X1434" s="713"/>
      <c r="Y1434" s="713"/>
      <c r="Z1434" s="713"/>
      <c r="AA1434" s="713"/>
      <c r="AB1434" s="713"/>
      <c r="AC1434" s="721"/>
      <c r="AD1434" s="721"/>
      <c r="AE1434" s="752"/>
      <c r="AF1434" s="752"/>
      <c r="AG1434" s="752"/>
      <c r="AH1434" s="752"/>
      <c r="AI1434" s="752"/>
      <c r="AJ1434" s="752"/>
      <c r="AK1434" s="752"/>
      <c r="AL1434" s="752"/>
      <c r="AM1434" s="752"/>
      <c r="AN1434" s="752"/>
      <c r="AO1434" s="752"/>
      <c r="AP1434" s="752"/>
      <c r="AQ1434" s="752"/>
      <c r="AR1434" s="752"/>
      <c r="AS1434" s="752"/>
      <c r="AT1434" s="752"/>
      <c r="AU1434" s="752"/>
      <c r="AV1434" s="752"/>
      <c r="AW1434" s="752"/>
      <c r="AX1434" s="752"/>
      <c r="AY1434" s="752"/>
      <c r="AZ1434" s="752"/>
      <c r="BA1434" s="752"/>
      <c r="BB1434" s="752"/>
      <c r="BC1434" s="752"/>
      <c r="BD1434" s="752"/>
      <c r="BE1434" s="752"/>
      <c r="BF1434" s="752"/>
      <c r="BG1434" s="752"/>
      <c r="BH1434" s="752"/>
      <c r="BI1434" s="752"/>
      <c r="BJ1434" s="752"/>
      <c r="BK1434" s="752"/>
      <c r="BL1434" s="752"/>
      <c r="BM1434" s="752"/>
      <c r="BN1434" s="752"/>
      <c r="BO1434" s="752"/>
      <c r="BP1434" s="752"/>
      <c r="BQ1434" s="752"/>
      <c r="BR1434" s="752"/>
      <c r="BS1434" s="752"/>
      <c r="BT1434" s="752"/>
      <c r="BU1434" s="752"/>
      <c r="BV1434" s="752"/>
      <c r="BW1434" s="752"/>
      <c r="BX1434" s="752"/>
      <c r="BY1434" s="752"/>
      <c r="BZ1434" s="752"/>
      <c r="CA1434" s="752"/>
    </row>
    <row r="1435" spans="1:79" s="757" customFormat="1" hidden="1" outlineLevel="1" x14ac:dyDescent="0.35">
      <c r="A1435" s="580"/>
      <c r="B1435" s="580"/>
      <c r="C1435" s="580"/>
      <c r="D1435" s="580"/>
      <c r="E1435" s="580"/>
      <c r="F1435" s="672" t="s">
        <v>653</v>
      </c>
      <c r="G1435" s="739"/>
      <c r="H1435" s="739"/>
      <c r="I1435" s="739"/>
      <c r="J1435" s="739"/>
      <c r="K1435" s="739"/>
      <c r="L1435" s="739"/>
      <c r="M1435" s="739"/>
      <c r="N1435" s="739"/>
      <c r="O1435" s="739"/>
      <c r="P1435" s="734"/>
      <c r="Q1435" s="734"/>
      <c r="R1435" s="733"/>
      <c r="S1435" s="692"/>
      <c r="T1435" s="692"/>
      <c r="U1435" s="692"/>
      <c r="V1435" s="692"/>
      <c r="W1435" s="692"/>
      <c r="X1435" s="692"/>
      <c r="Y1435" s="692"/>
      <c r="Z1435" s="692"/>
      <c r="AA1435" s="692"/>
      <c r="AB1435" s="692"/>
      <c r="AC1435" s="690"/>
      <c r="AD1435" s="690"/>
      <c r="AE1435" s="736"/>
      <c r="AF1435" s="736"/>
      <c r="AG1435" s="736"/>
      <c r="AH1435" s="736"/>
      <c r="AI1435" s="736"/>
      <c r="AJ1435" s="736"/>
      <c r="AK1435" s="736"/>
      <c r="AL1435" s="736"/>
      <c r="AM1435" s="736"/>
      <c r="AN1435" s="736"/>
      <c r="AO1435" s="736"/>
      <c r="AP1435" s="736"/>
      <c r="AQ1435" s="736"/>
      <c r="AR1435" s="736"/>
      <c r="AS1435" s="736"/>
      <c r="AT1435" s="736"/>
      <c r="AU1435" s="736"/>
      <c r="AV1435" s="736"/>
      <c r="AW1435" s="736"/>
      <c r="AX1435" s="736"/>
      <c r="AY1435" s="736"/>
      <c r="AZ1435" s="736"/>
      <c r="BA1435" s="736"/>
      <c r="BB1435" s="736"/>
      <c r="BC1435" s="736"/>
      <c r="BD1435" s="736"/>
      <c r="BE1435" s="736"/>
      <c r="BF1435" s="736"/>
      <c r="BG1435" s="736"/>
      <c r="BH1435" s="736"/>
      <c r="BI1435" s="736"/>
      <c r="BJ1435" s="736"/>
      <c r="BK1435" s="736"/>
      <c r="BL1435" s="736"/>
      <c r="BM1435" s="736"/>
      <c r="BN1435" s="736"/>
      <c r="BO1435" s="736"/>
      <c r="BP1435" s="736"/>
      <c r="BQ1435" s="736"/>
      <c r="BR1435" s="736"/>
      <c r="BS1435" s="736"/>
      <c r="BT1435" s="736"/>
      <c r="BU1435" s="736"/>
      <c r="BV1435" s="736"/>
      <c r="BW1435" s="736"/>
      <c r="BX1435" s="736"/>
      <c r="BY1435" s="736"/>
      <c r="BZ1435" s="736"/>
      <c r="CA1435" s="736"/>
    </row>
    <row r="1436" spans="1:79" s="757" customFormat="1" hidden="1" outlineLevel="1" x14ac:dyDescent="0.35">
      <c r="A1436" s="580"/>
      <c r="B1436" s="580"/>
      <c r="C1436" s="580"/>
      <c r="D1436" s="580"/>
      <c r="E1436" s="580"/>
      <c r="F1436" s="672" t="s">
        <v>624</v>
      </c>
      <c r="G1436" s="739"/>
      <c r="H1436" s="739"/>
      <c r="I1436" s="739"/>
      <c r="J1436" s="739"/>
      <c r="K1436" s="739"/>
      <c r="L1436" s="739"/>
      <c r="M1436" s="739"/>
      <c r="N1436" s="739"/>
      <c r="O1436" s="739"/>
      <c r="P1436" s="734"/>
      <c r="Q1436" s="734"/>
      <c r="R1436" s="733"/>
      <c r="S1436" s="683"/>
      <c r="T1436" s="683"/>
      <c r="U1436" s="683"/>
      <c r="V1436" s="683"/>
      <c r="W1436" s="683"/>
      <c r="X1436" s="683"/>
      <c r="Y1436" s="683"/>
      <c r="Z1436" s="683"/>
      <c r="AA1436" s="683"/>
      <c r="AB1436" s="683"/>
      <c r="AC1436" s="702"/>
      <c r="AD1436" s="702"/>
      <c r="AE1436" s="736"/>
      <c r="AF1436" s="736"/>
      <c r="AG1436" s="736"/>
      <c r="AH1436" s="736"/>
      <c r="AI1436" s="736"/>
      <c r="AJ1436" s="736"/>
      <c r="AK1436" s="736"/>
      <c r="AL1436" s="736"/>
      <c r="AM1436" s="736"/>
      <c r="AN1436" s="736"/>
      <c r="AO1436" s="736"/>
      <c r="AP1436" s="736"/>
      <c r="AQ1436" s="736"/>
      <c r="AR1436" s="736"/>
      <c r="AS1436" s="736"/>
      <c r="AT1436" s="736"/>
      <c r="AU1436" s="736"/>
      <c r="AV1436" s="736"/>
      <c r="AW1436" s="736"/>
      <c r="AX1436" s="736"/>
      <c r="AY1436" s="736"/>
      <c r="AZ1436" s="736"/>
      <c r="BA1436" s="736"/>
      <c r="BB1436" s="736"/>
      <c r="BC1436" s="736"/>
      <c r="BD1436" s="736"/>
      <c r="BE1436" s="736"/>
      <c r="BF1436" s="736"/>
      <c r="BG1436" s="736"/>
      <c r="BH1436" s="736"/>
      <c r="BI1436" s="736"/>
      <c r="BJ1436" s="736"/>
      <c r="BK1436" s="736"/>
      <c r="BL1436" s="736"/>
      <c r="BM1436" s="736"/>
      <c r="BN1436" s="736"/>
      <c r="BO1436" s="736"/>
      <c r="BP1436" s="736"/>
      <c r="BQ1436" s="736"/>
      <c r="BR1436" s="736"/>
      <c r="BS1436" s="736"/>
      <c r="BT1436" s="736"/>
      <c r="BU1436" s="736"/>
      <c r="BV1436" s="736"/>
      <c r="BW1436" s="736"/>
      <c r="BX1436" s="736"/>
      <c r="BY1436" s="736"/>
      <c r="BZ1436" s="736"/>
      <c r="CA1436" s="736"/>
    </row>
    <row r="1437" spans="1:79" s="452" customFormat="1" hidden="1" outlineLevel="1" x14ac:dyDescent="0.35">
      <c r="A1437" s="580"/>
      <c r="B1437" s="580"/>
      <c r="C1437" s="580"/>
      <c r="D1437" s="580"/>
      <c r="E1437" s="580"/>
      <c r="F1437" s="672" t="s">
        <v>670</v>
      </c>
      <c r="G1437" s="739"/>
      <c r="H1437" s="739"/>
      <c r="I1437" s="739"/>
      <c r="J1437" s="739"/>
      <c r="K1437" s="739"/>
      <c r="L1437" s="739"/>
      <c r="M1437" s="739"/>
      <c r="N1437" s="739"/>
      <c r="O1437" s="739"/>
      <c r="P1437" s="734"/>
      <c r="Q1437" s="734"/>
      <c r="R1437" s="733"/>
      <c r="S1437" s="683"/>
      <c r="T1437" s="683"/>
      <c r="U1437" s="683"/>
      <c r="V1437" s="683"/>
      <c r="W1437" s="683"/>
      <c r="X1437" s="683"/>
      <c r="Y1437" s="683"/>
      <c r="Z1437" s="683"/>
      <c r="AA1437" s="683"/>
      <c r="AB1437" s="683"/>
      <c r="AC1437" s="702"/>
      <c r="AD1437" s="702"/>
      <c r="AE1437" s="736"/>
      <c r="AF1437" s="736"/>
      <c r="AG1437" s="736"/>
      <c r="AH1437" s="736"/>
      <c r="AI1437" s="736"/>
      <c r="AJ1437" s="736"/>
      <c r="AK1437" s="736"/>
      <c r="AL1437" s="736"/>
      <c r="AM1437" s="736"/>
      <c r="AN1437" s="736"/>
      <c r="AO1437" s="736"/>
      <c r="AP1437" s="736"/>
      <c r="AQ1437" s="736"/>
      <c r="AR1437" s="736"/>
      <c r="AS1437" s="736"/>
      <c r="AT1437" s="736"/>
      <c r="AU1437" s="736"/>
      <c r="AV1437" s="736"/>
      <c r="AW1437" s="736"/>
      <c r="AX1437" s="736"/>
      <c r="AY1437" s="736"/>
      <c r="AZ1437" s="736"/>
      <c r="BA1437" s="736"/>
      <c r="BB1437" s="736"/>
      <c r="BC1437" s="736"/>
      <c r="BD1437" s="736"/>
      <c r="BE1437" s="736"/>
      <c r="BF1437" s="736"/>
      <c r="BG1437" s="736"/>
      <c r="BH1437" s="736"/>
      <c r="BI1437" s="736"/>
      <c r="BJ1437" s="736"/>
      <c r="BK1437" s="736"/>
      <c r="BL1437" s="736"/>
      <c r="BM1437" s="736"/>
      <c r="BN1437" s="736"/>
      <c r="BO1437" s="736"/>
      <c r="BP1437" s="736"/>
      <c r="BQ1437" s="736"/>
      <c r="BR1437" s="736"/>
      <c r="BS1437" s="736"/>
      <c r="BT1437" s="736"/>
      <c r="BU1437" s="736"/>
      <c r="BV1437" s="736"/>
      <c r="BW1437" s="736"/>
      <c r="BX1437" s="736"/>
      <c r="BY1437" s="736"/>
      <c r="BZ1437" s="736"/>
      <c r="CA1437" s="736"/>
    </row>
    <row r="1438" spans="1:79" s="309" customFormat="1" hidden="1" outlineLevel="1" x14ac:dyDescent="0.35">
      <c r="A1438" s="580"/>
      <c r="B1438" s="580"/>
      <c r="C1438" s="580"/>
      <c r="D1438" s="580"/>
      <c r="E1438" s="580"/>
      <c r="F1438" s="672" t="s">
        <v>625</v>
      </c>
      <c r="G1438" s="739"/>
      <c r="H1438" s="739"/>
      <c r="I1438" s="739"/>
      <c r="J1438" s="739"/>
      <c r="K1438" s="739"/>
      <c r="L1438" s="739"/>
      <c r="M1438" s="739"/>
      <c r="N1438" s="739"/>
      <c r="O1438" s="739"/>
      <c r="P1438" s="734"/>
      <c r="Q1438" s="734"/>
      <c r="R1438" s="733"/>
      <c r="S1438" s="683"/>
      <c r="T1438" s="683"/>
      <c r="U1438" s="683"/>
      <c r="V1438" s="683"/>
      <c r="W1438" s="683"/>
      <c r="X1438" s="683"/>
      <c r="Y1438" s="683"/>
      <c r="Z1438" s="683"/>
      <c r="AA1438" s="683"/>
      <c r="AB1438" s="683"/>
      <c r="AC1438" s="702"/>
      <c r="AD1438" s="702"/>
      <c r="AE1438" s="736"/>
      <c r="AF1438" s="736"/>
      <c r="AG1438" s="736"/>
      <c r="AH1438" s="736"/>
      <c r="AI1438" s="736"/>
      <c r="AJ1438" s="736"/>
      <c r="AK1438" s="736"/>
      <c r="AL1438" s="736"/>
      <c r="AM1438" s="736"/>
      <c r="AN1438" s="736"/>
      <c r="AO1438" s="736"/>
      <c r="AP1438" s="736"/>
      <c r="AQ1438" s="736"/>
      <c r="AR1438" s="736"/>
      <c r="AS1438" s="736"/>
      <c r="AT1438" s="736"/>
      <c r="AU1438" s="736"/>
      <c r="AV1438" s="736"/>
      <c r="AW1438" s="736"/>
      <c r="AX1438" s="736"/>
      <c r="AY1438" s="736"/>
      <c r="AZ1438" s="736"/>
      <c r="BA1438" s="736"/>
      <c r="BB1438" s="736"/>
      <c r="BC1438" s="736"/>
      <c r="BD1438" s="736"/>
      <c r="BE1438" s="736"/>
      <c r="BF1438" s="736"/>
      <c r="BG1438" s="736"/>
      <c r="BH1438" s="736"/>
      <c r="BI1438" s="736"/>
      <c r="BJ1438" s="736"/>
      <c r="BK1438" s="736"/>
      <c r="BL1438" s="736"/>
      <c r="BM1438" s="736"/>
      <c r="BN1438" s="736"/>
      <c r="BO1438" s="736"/>
      <c r="BP1438" s="736"/>
      <c r="BQ1438" s="736"/>
      <c r="BR1438" s="736"/>
      <c r="BS1438" s="736"/>
      <c r="BT1438" s="736"/>
      <c r="BU1438" s="736"/>
      <c r="BV1438" s="736"/>
      <c r="BW1438" s="736"/>
      <c r="BX1438" s="736"/>
      <c r="BY1438" s="736"/>
      <c r="BZ1438" s="736"/>
      <c r="CA1438" s="736"/>
    </row>
    <row r="1439" spans="1:79" s="309" customFormat="1" hidden="1" outlineLevel="1" x14ac:dyDescent="0.35">
      <c r="A1439" s="580"/>
      <c r="B1439" s="580"/>
      <c r="C1439" s="580"/>
      <c r="D1439" s="580"/>
      <c r="E1439" s="580"/>
      <c r="F1439" s="672" t="s">
        <v>654</v>
      </c>
      <c r="G1439" s="739"/>
      <c r="H1439" s="739"/>
      <c r="I1439" s="739"/>
      <c r="J1439" s="739"/>
      <c r="K1439" s="739"/>
      <c r="L1439" s="739"/>
      <c r="M1439" s="739"/>
      <c r="N1439" s="739"/>
      <c r="O1439" s="739"/>
      <c r="P1439" s="734"/>
      <c r="Q1439" s="734"/>
      <c r="R1439" s="733"/>
      <c r="S1439" s="683"/>
      <c r="T1439" s="683"/>
      <c r="U1439" s="683"/>
      <c r="V1439" s="683"/>
      <c r="W1439" s="683"/>
      <c r="X1439" s="683"/>
      <c r="Y1439" s="683"/>
      <c r="Z1439" s="683"/>
      <c r="AA1439" s="683"/>
      <c r="AB1439" s="683"/>
      <c r="AC1439" s="702"/>
      <c r="AD1439" s="702"/>
      <c r="AE1439" s="736"/>
      <c r="AF1439" s="736"/>
      <c r="AG1439" s="736"/>
      <c r="AH1439" s="736"/>
      <c r="AI1439" s="736"/>
      <c r="AJ1439" s="736"/>
      <c r="AK1439" s="736"/>
      <c r="AL1439" s="736"/>
      <c r="AM1439" s="736"/>
      <c r="AN1439" s="736"/>
      <c r="AO1439" s="736"/>
      <c r="AP1439" s="736"/>
      <c r="AQ1439" s="736"/>
      <c r="AR1439" s="736"/>
      <c r="AS1439" s="736"/>
      <c r="AT1439" s="736"/>
      <c r="AU1439" s="736"/>
      <c r="AV1439" s="736"/>
      <c r="AW1439" s="736"/>
      <c r="AX1439" s="736"/>
      <c r="AY1439" s="736"/>
      <c r="AZ1439" s="736"/>
      <c r="BA1439" s="736"/>
      <c r="BB1439" s="736"/>
      <c r="BC1439" s="736"/>
      <c r="BD1439" s="736"/>
      <c r="BE1439" s="736"/>
      <c r="BF1439" s="736"/>
      <c r="BG1439" s="736"/>
      <c r="BH1439" s="736"/>
      <c r="BI1439" s="736"/>
      <c r="BJ1439" s="736"/>
      <c r="BK1439" s="736"/>
      <c r="BL1439" s="736"/>
      <c r="BM1439" s="736"/>
      <c r="BN1439" s="736"/>
      <c r="BO1439" s="736"/>
      <c r="BP1439" s="736"/>
      <c r="BQ1439" s="736"/>
      <c r="BR1439" s="736"/>
      <c r="BS1439" s="736"/>
      <c r="BT1439" s="736"/>
      <c r="BU1439" s="736"/>
      <c r="BV1439" s="736"/>
      <c r="BW1439" s="736"/>
      <c r="BX1439" s="736"/>
      <c r="BY1439" s="736"/>
      <c r="BZ1439" s="736"/>
      <c r="CA1439" s="736"/>
    </row>
    <row r="1440" spans="1:79" s="309" customFormat="1" hidden="1" outlineLevel="1" x14ac:dyDescent="0.35">
      <c r="A1440" s="580"/>
      <c r="B1440" s="580"/>
      <c r="C1440" s="580"/>
      <c r="D1440" s="580"/>
      <c r="E1440" s="580"/>
      <c r="F1440" s="672" t="s">
        <v>651</v>
      </c>
      <c r="G1440" s="739"/>
      <c r="H1440" s="739"/>
      <c r="I1440" s="739"/>
      <c r="J1440" s="739"/>
      <c r="K1440" s="739"/>
      <c r="L1440" s="739"/>
      <c r="M1440" s="739"/>
      <c r="N1440" s="739"/>
      <c r="O1440" s="739"/>
      <c r="P1440" s="734"/>
      <c r="Q1440" s="734"/>
      <c r="R1440" s="733"/>
      <c r="S1440" s="700"/>
      <c r="T1440" s="700"/>
      <c r="U1440" s="700"/>
      <c r="V1440" s="700"/>
      <c r="W1440" s="700"/>
      <c r="X1440" s="700"/>
      <c r="Y1440" s="700"/>
      <c r="Z1440" s="700"/>
      <c r="AA1440" s="700"/>
      <c r="AB1440" s="700"/>
      <c r="AC1440" s="702"/>
      <c r="AD1440" s="702"/>
      <c r="AE1440" s="736"/>
      <c r="AF1440" s="736"/>
      <c r="AG1440" s="736"/>
      <c r="AH1440" s="736"/>
      <c r="AI1440" s="736"/>
      <c r="AJ1440" s="736"/>
      <c r="AK1440" s="736"/>
      <c r="AL1440" s="736"/>
      <c r="AM1440" s="736"/>
      <c r="AN1440" s="736"/>
      <c r="AO1440" s="736"/>
      <c r="AP1440" s="736"/>
      <c r="AQ1440" s="736"/>
      <c r="AR1440" s="736"/>
      <c r="AS1440" s="736"/>
      <c r="AT1440" s="736"/>
      <c r="AU1440" s="736"/>
      <c r="AV1440" s="736"/>
      <c r="AW1440" s="736"/>
      <c r="AX1440" s="736"/>
      <c r="AY1440" s="736"/>
      <c r="AZ1440" s="736"/>
      <c r="BA1440" s="736"/>
      <c r="BB1440" s="736"/>
      <c r="BC1440" s="736"/>
      <c r="BD1440" s="736"/>
      <c r="BE1440" s="736"/>
      <c r="BF1440" s="736"/>
      <c r="BG1440" s="736"/>
      <c r="BH1440" s="736"/>
      <c r="BI1440" s="736"/>
      <c r="BJ1440" s="736"/>
      <c r="BK1440" s="736"/>
      <c r="BL1440" s="736"/>
      <c r="BM1440" s="736"/>
      <c r="BN1440" s="736"/>
      <c r="BO1440" s="736"/>
      <c r="BP1440" s="736"/>
      <c r="BQ1440" s="736"/>
      <c r="BR1440" s="736"/>
      <c r="BS1440" s="736"/>
      <c r="BT1440" s="736"/>
      <c r="BU1440" s="736"/>
      <c r="BV1440" s="736"/>
      <c r="BW1440" s="736"/>
      <c r="BX1440" s="736"/>
      <c r="BY1440" s="736"/>
      <c r="BZ1440" s="736"/>
      <c r="CA1440" s="736"/>
    </row>
    <row r="1441" spans="1:79" s="309" customFormat="1" hidden="1" outlineLevel="1" x14ac:dyDescent="0.35">
      <c r="A1441" s="580"/>
      <c r="B1441" s="580"/>
      <c r="C1441" s="580"/>
      <c r="D1441" s="580"/>
      <c r="E1441" s="580"/>
      <c r="F1441" s="672" t="s">
        <v>896</v>
      </c>
      <c r="G1441" s="739"/>
      <c r="H1441" s="739"/>
      <c r="I1441" s="739"/>
      <c r="J1441" s="739"/>
      <c r="K1441" s="739"/>
      <c r="L1441" s="739"/>
      <c r="M1441" s="739"/>
      <c r="N1441" s="739"/>
      <c r="O1441" s="739"/>
      <c r="P1441" s="734"/>
      <c r="Q1441" s="734"/>
      <c r="R1441" s="733"/>
      <c r="S1441" s="700"/>
      <c r="T1441" s="700"/>
      <c r="U1441" s="700"/>
      <c r="V1441" s="700"/>
      <c r="W1441" s="700"/>
      <c r="X1441" s="700"/>
      <c r="Y1441" s="700"/>
      <c r="Z1441" s="700"/>
      <c r="AA1441" s="700"/>
      <c r="AB1441" s="700"/>
      <c r="AC1441" s="702"/>
      <c r="AD1441" s="702"/>
      <c r="AE1441" s="736"/>
      <c r="AF1441" s="736"/>
      <c r="AG1441" s="736"/>
      <c r="AH1441" s="736"/>
      <c r="AI1441" s="736"/>
      <c r="AJ1441" s="736"/>
      <c r="AK1441" s="736"/>
      <c r="AL1441" s="736"/>
      <c r="AM1441" s="736"/>
      <c r="AN1441" s="736"/>
      <c r="AO1441" s="736"/>
      <c r="AP1441" s="736"/>
      <c r="AQ1441" s="736"/>
      <c r="AR1441" s="736"/>
      <c r="AS1441" s="736"/>
      <c r="AT1441" s="736"/>
      <c r="AU1441" s="736"/>
      <c r="AV1441" s="736"/>
      <c r="AW1441" s="736"/>
      <c r="AX1441" s="736"/>
      <c r="AY1441" s="736"/>
      <c r="AZ1441" s="736"/>
      <c r="BA1441" s="736"/>
      <c r="BB1441" s="736"/>
      <c r="BC1441" s="736"/>
      <c r="BD1441" s="736"/>
      <c r="BE1441" s="736"/>
      <c r="BF1441" s="736"/>
      <c r="BG1441" s="736"/>
      <c r="BH1441" s="736"/>
      <c r="BI1441" s="736"/>
      <c r="BJ1441" s="736"/>
      <c r="BK1441" s="736"/>
      <c r="BL1441" s="736"/>
      <c r="BM1441" s="736"/>
      <c r="BN1441" s="736"/>
      <c r="BO1441" s="736"/>
      <c r="BP1441" s="736"/>
      <c r="BQ1441" s="736"/>
      <c r="BR1441" s="736"/>
      <c r="BS1441" s="736"/>
      <c r="BT1441" s="736"/>
      <c r="BU1441" s="736"/>
      <c r="BV1441" s="736"/>
      <c r="BW1441" s="736"/>
      <c r="BX1441" s="736"/>
      <c r="BY1441" s="736"/>
      <c r="BZ1441" s="736"/>
      <c r="CA1441" s="736"/>
    </row>
    <row r="1442" spans="1:79" s="309" customFormat="1" hidden="1" outlineLevel="1" x14ac:dyDescent="0.35">
      <c r="A1442" s="580"/>
      <c r="B1442" s="580"/>
      <c r="C1442" s="580"/>
      <c r="D1442" s="580"/>
      <c r="E1442" s="580"/>
      <c r="F1442" s="672" t="s">
        <v>689</v>
      </c>
      <c r="G1442" s="739"/>
      <c r="H1442" s="739"/>
      <c r="I1442" s="739"/>
      <c r="J1442" s="739"/>
      <c r="K1442" s="739"/>
      <c r="L1442" s="739"/>
      <c r="M1442" s="739"/>
      <c r="N1442" s="739"/>
      <c r="O1442" s="739"/>
      <c r="P1442" s="734"/>
      <c r="Q1442" s="734"/>
      <c r="R1442" s="733"/>
      <c r="S1442" s="683"/>
      <c r="T1442" s="683"/>
      <c r="U1442" s="683"/>
      <c r="V1442" s="683"/>
      <c r="W1442" s="683"/>
      <c r="X1442" s="683"/>
      <c r="Y1442" s="683"/>
      <c r="Z1442" s="683"/>
      <c r="AA1442" s="683"/>
      <c r="AB1442" s="683"/>
      <c r="AC1442" s="702"/>
      <c r="AD1442" s="702"/>
      <c r="AE1442" s="736"/>
      <c r="AF1442" s="736"/>
      <c r="AG1442" s="736"/>
      <c r="AH1442" s="736"/>
      <c r="AI1442" s="736"/>
      <c r="AJ1442" s="736"/>
      <c r="AK1442" s="736"/>
      <c r="AL1442" s="736"/>
      <c r="AM1442" s="736"/>
      <c r="AN1442" s="736"/>
      <c r="AO1442" s="736"/>
      <c r="AP1442" s="736"/>
      <c r="AQ1442" s="736"/>
      <c r="AR1442" s="736"/>
      <c r="AS1442" s="736"/>
      <c r="AT1442" s="736"/>
      <c r="AU1442" s="736"/>
      <c r="AV1442" s="736"/>
      <c r="AW1442" s="736"/>
      <c r="AX1442" s="736"/>
      <c r="AY1442" s="736"/>
      <c r="AZ1442" s="736"/>
      <c r="BA1442" s="736"/>
      <c r="BB1442" s="736"/>
      <c r="BC1442" s="736"/>
      <c r="BD1442" s="736"/>
      <c r="BE1442" s="736"/>
      <c r="BF1442" s="736"/>
      <c r="BG1442" s="736"/>
      <c r="BH1442" s="736"/>
      <c r="BI1442" s="736"/>
      <c r="BJ1442" s="736"/>
      <c r="BK1442" s="736"/>
      <c r="BL1442" s="736"/>
      <c r="BM1442" s="736"/>
      <c r="BN1442" s="736"/>
      <c r="BO1442" s="736"/>
      <c r="BP1442" s="736"/>
      <c r="BQ1442" s="736"/>
      <c r="BR1442" s="736"/>
      <c r="BS1442" s="736"/>
      <c r="BT1442" s="736"/>
      <c r="BU1442" s="736"/>
      <c r="BV1442" s="736"/>
      <c r="BW1442" s="736"/>
      <c r="BX1442" s="736"/>
      <c r="BY1442" s="736"/>
      <c r="BZ1442" s="736"/>
      <c r="CA1442" s="736"/>
    </row>
    <row r="1443" spans="1:79" s="309" customFormat="1" hidden="1" outlineLevel="1" x14ac:dyDescent="0.35">
      <c r="A1443" s="580"/>
      <c r="B1443" s="580"/>
      <c r="C1443" s="580"/>
      <c r="D1443" s="580"/>
      <c r="E1443" s="580"/>
      <c r="F1443" s="672" t="s">
        <v>897</v>
      </c>
      <c r="G1443" s="735"/>
      <c r="H1443" s="735"/>
      <c r="I1443" s="735"/>
      <c r="J1443" s="735"/>
      <c r="K1443" s="735"/>
      <c r="L1443" s="735"/>
      <c r="M1443" s="735"/>
      <c r="N1443" s="735"/>
      <c r="O1443" s="735"/>
      <c r="P1443" s="732"/>
      <c r="Q1443" s="732"/>
      <c r="R1443" s="736"/>
      <c r="S1443" s="683"/>
      <c r="T1443" s="683"/>
      <c r="U1443" s="683"/>
      <c r="V1443" s="683"/>
      <c r="W1443" s="683"/>
      <c r="X1443" s="683"/>
      <c r="Y1443" s="683"/>
      <c r="Z1443" s="683"/>
      <c r="AA1443" s="683"/>
      <c r="AB1443" s="683"/>
      <c r="AC1443" s="702"/>
      <c r="AD1443" s="702"/>
      <c r="AE1443" s="736"/>
      <c r="AF1443" s="736"/>
      <c r="AG1443" s="736"/>
      <c r="AH1443" s="736"/>
      <c r="AI1443" s="736"/>
      <c r="AJ1443" s="736"/>
      <c r="AK1443" s="736"/>
      <c r="AL1443" s="736"/>
      <c r="AM1443" s="736"/>
      <c r="AN1443" s="736"/>
      <c r="AO1443" s="736"/>
      <c r="AP1443" s="736"/>
      <c r="AQ1443" s="736"/>
      <c r="AR1443" s="736"/>
      <c r="AS1443" s="736"/>
      <c r="AT1443" s="736"/>
      <c r="AU1443" s="736"/>
      <c r="AV1443" s="736"/>
      <c r="AW1443" s="736"/>
      <c r="AX1443" s="736"/>
      <c r="AY1443" s="736"/>
      <c r="AZ1443" s="736"/>
      <c r="BA1443" s="736"/>
      <c r="BB1443" s="736"/>
      <c r="BC1443" s="736"/>
      <c r="BD1443" s="736"/>
      <c r="BE1443" s="736"/>
      <c r="BF1443" s="736"/>
      <c r="BG1443" s="736"/>
      <c r="BH1443" s="736"/>
      <c r="BI1443" s="736"/>
      <c r="BJ1443" s="736"/>
      <c r="BK1443" s="736"/>
      <c r="BL1443" s="736"/>
      <c r="BM1443" s="736"/>
      <c r="BN1443" s="736"/>
      <c r="BO1443" s="736"/>
      <c r="BP1443" s="736"/>
      <c r="BQ1443" s="736"/>
      <c r="BR1443" s="736"/>
      <c r="BS1443" s="736"/>
      <c r="BT1443" s="736"/>
      <c r="BU1443" s="736"/>
      <c r="BV1443" s="736"/>
      <c r="BW1443" s="736"/>
      <c r="BX1443" s="736"/>
      <c r="BY1443" s="736"/>
      <c r="BZ1443" s="736"/>
      <c r="CA1443" s="736"/>
    </row>
    <row r="1444" spans="1:79" hidden="1" outlineLevel="1" x14ac:dyDescent="0.35">
      <c r="A1444" s="575"/>
      <c r="B1444" s="575"/>
      <c r="C1444" s="575"/>
      <c r="D1444" s="575"/>
      <c r="E1444" s="575"/>
      <c r="F1444" s="675" t="s">
        <v>626</v>
      </c>
      <c r="G1444" s="680"/>
      <c r="H1444" s="680"/>
      <c r="I1444" s="680"/>
      <c r="J1444" s="680"/>
      <c r="K1444" s="680"/>
      <c r="L1444" s="680"/>
      <c r="M1444" s="680"/>
      <c r="N1444" s="680"/>
      <c r="O1444" s="680"/>
      <c r="P1444" s="680"/>
      <c r="Q1444" s="680"/>
      <c r="R1444" s="680"/>
      <c r="S1444" s="696"/>
      <c r="T1444" s="696"/>
      <c r="U1444" s="696"/>
      <c r="V1444" s="696"/>
      <c r="W1444" s="696"/>
      <c r="X1444" s="696"/>
      <c r="Y1444" s="696"/>
      <c r="Z1444" s="696"/>
      <c r="AA1444" s="696"/>
      <c r="AB1444" s="696"/>
      <c r="AC1444" s="696"/>
      <c r="AD1444" s="696"/>
      <c r="AE1444" s="680">
        <f t="shared" ref="AE1444:BO1444" si="540">SUM(AE1435:AE1443)</f>
        <v>0</v>
      </c>
      <c r="AF1444" s="680">
        <f t="shared" si="540"/>
        <v>0</v>
      </c>
      <c r="AG1444" s="680">
        <f t="shared" si="540"/>
        <v>0</v>
      </c>
      <c r="AH1444" s="680">
        <f t="shared" si="540"/>
        <v>0</v>
      </c>
      <c r="AI1444" s="680">
        <f t="shared" si="540"/>
        <v>0</v>
      </c>
      <c r="AJ1444" s="680">
        <f t="shared" si="540"/>
        <v>0</v>
      </c>
      <c r="AK1444" s="680">
        <f t="shared" si="540"/>
        <v>0</v>
      </c>
      <c r="AL1444" s="680">
        <f t="shared" si="540"/>
        <v>0</v>
      </c>
      <c r="AM1444" s="680">
        <f t="shared" si="540"/>
        <v>0</v>
      </c>
      <c r="AN1444" s="680">
        <f t="shared" si="540"/>
        <v>0</v>
      </c>
      <c r="AO1444" s="680">
        <f t="shared" si="540"/>
        <v>0</v>
      </c>
      <c r="AP1444" s="680">
        <f t="shared" si="540"/>
        <v>0</v>
      </c>
      <c r="AQ1444" s="680">
        <f t="shared" si="540"/>
        <v>0</v>
      </c>
      <c r="AR1444" s="680">
        <f t="shared" si="540"/>
        <v>0</v>
      </c>
      <c r="AS1444" s="680">
        <f t="shared" si="540"/>
        <v>0</v>
      </c>
      <c r="AT1444" s="680">
        <f t="shared" si="540"/>
        <v>0</v>
      </c>
      <c r="AU1444" s="680">
        <f t="shared" si="540"/>
        <v>0</v>
      </c>
      <c r="AV1444" s="680">
        <f t="shared" si="540"/>
        <v>0</v>
      </c>
      <c r="AW1444" s="680">
        <f t="shared" si="540"/>
        <v>0</v>
      </c>
      <c r="AX1444" s="680">
        <f t="shared" si="540"/>
        <v>0</v>
      </c>
      <c r="AY1444" s="680">
        <f t="shared" si="540"/>
        <v>0</v>
      </c>
      <c r="AZ1444" s="680">
        <f t="shared" si="540"/>
        <v>0</v>
      </c>
      <c r="BA1444" s="680">
        <f t="shared" si="540"/>
        <v>0</v>
      </c>
      <c r="BB1444" s="680">
        <f t="shared" si="540"/>
        <v>0</v>
      </c>
      <c r="BC1444" s="680">
        <f t="shared" si="540"/>
        <v>0</v>
      </c>
      <c r="BD1444" s="680">
        <f t="shared" si="540"/>
        <v>0</v>
      </c>
      <c r="BE1444" s="680">
        <f t="shared" si="540"/>
        <v>0</v>
      </c>
      <c r="BF1444" s="680">
        <f t="shared" si="540"/>
        <v>0</v>
      </c>
      <c r="BG1444" s="680">
        <f t="shared" si="540"/>
        <v>0</v>
      </c>
      <c r="BH1444" s="680">
        <f t="shared" si="540"/>
        <v>0</v>
      </c>
      <c r="BI1444" s="680">
        <f t="shared" si="540"/>
        <v>0</v>
      </c>
      <c r="BJ1444" s="680">
        <f t="shared" si="540"/>
        <v>0</v>
      </c>
      <c r="BK1444" s="680">
        <f t="shared" si="540"/>
        <v>0</v>
      </c>
      <c r="BL1444" s="680">
        <f t="shared" si="540"/>
        <v>0</v>
      </c>
      <c r="BM1444" s="680">
        <f t="shared" si="540"/>
        <v>0</v>
      </c>
      <c r="BN1444" s="680">
        <f t="shared" si="540"/>
        <v>0</v>
      </c>
      <c r="BO1444" s="680">
        <f t="shared" si="540"/>
        <v>0</v>
      </c>
      <c r="BP1444" s="680">
        <f t="shared" ref="BP1444:CA1444" si="541">SUM(BP1435:BP1443)</f>
        <v>0</v>
      </c>
      <c r="BQ1444" s="680">
        <f t="shared" si="541"/>
        <v>0</v>
      </c>
      <c r="BR1444" s="680">
        <f t="shared" si="541"/>
        <v>0</v>
      </c>
      <c r="BS1444" s="680">
        <f t="shared" si="541"/>
        <v>0</v>
      </c>
      <c r="BT1444" s="680">
        <f t="shared" si="541"/>
        <v>0</v>
      </c>
      <c r="BU1444" s="680">
        <f t="shared" si="541"/>
        <v>0</v>
      </c>
      <c r="BV1444" s="680">
        <f t="shared" si="541"/>
        <v>0</v>
      </c>
      <c r="BW1444" s="680">
        <f t="shared" si="541"/>
        <v>0</v>
      </c>
      <c r="BX1444" s="680">
        <f t="shared" si="541"/>
        <v>0</v>
      </c>
      <c r="BY1444" s="680">
        <f t="shared" si="541"/>
        <v>0</v>
      </c>
      <c r="BZ1444" s="680">
        <f t="shared" si="541"/>
        <v>0</v>
      </c>
      <c r="CA1444" s="680">
        <f t="shared" si="541"/>
        <v>0</v>
      </c>
    </row>
    <row r="1445" spans="1:79" s="709" customFormat="1" hidden="1" outlineLevel="1" x14ac:dyDescent="0.35">
      <c r="F1445" s="707" t="s">
        <v>627</v>
      </c>
      <c r="G1445" s="782"/>
      <c r="H1445" s="782"/>
      <c r="I1445" s="782"/>
      <c r="J1445" s="782"/>
      <c r="K1445" s="782"/>
      <c r="L1445" s="782"/>
      <c r="M1445" s="782"/>
      <c r="N1445" s="782"/>
      <c r="O1445" s="782"/>
      <c r="P1445" s="753"/>
      <c r="Q1445" s="753"/>
      <c r="R1445" s="779"/>
      <c r="S1445" s="724"/>
      <c r="T1445" s="724"/>
      <c r="U1445" s="724"/>
      <c r="V1445" s="724"/>
      <c r="W1445" s="724"/>
      <c r="X1445" s="724"/>
      <c r="Y1445" s="724"/>
      <c r="Z1445" s="724"/>
      <c r="AA1445" s="724"/>
      <c r="AB1445" s="724"/>
      <c r="AC1445" s="724"/>
      <c r="AD1445" s="724"/>
      <c r="AE1445" s="752"/>
      <c r="AF1445" s="752"/>
      <c r="AG1445" s="752"/>
      <c r="AH1445" s="752"/>
      <c r="AI1445" s="752"/>
      <c r="AJ1445" s="752"/>
      <c r="AK1445" s="752"/>
      <c r="AL1445" s="752"/>
      <c r="AM1445" s="752"/>
      <c r="AN1445" s="752"/>
      <c r="AO1445" s="752"/>
      <c r="AP1445" s="752"/>
      <c r="AQ1445" s="752"/>
      <c r="AR1445" s="752"/>
      <c r="AS1445" s="752"/>
      <c r="AT1445" s="752"/>
      <c r="AU1445" s="752"/>
      <c r="AV1445" s="752"/>
      <c r="AW1445" s="752"/>
      <c r="AX1445" s="752"/>
      <c r="AY1445" s="752"/>
      <c r="AZ1445" s="752"/>
      <c r="BA1445" s="752"/>
      <c r="BB1445" s="752"/>
      <c r="BC1445" s="752"/>
      <c r="BD1445" s="752"/>
      <c r="BE1445" s="752"/>
      <c r="BF1445" s="752"/>
      <c r="BG1445" s="752"/>
      <c r="BH1445" s="752"/>
      <c r="BI1445" s="752"/>
      <c r="BJ1445" s="752"/>
      <c r="BK1445" s="752"/>
      <c r="BL1445" s="752"/>
      <c r="BM1445" s="752"/>
      <c r="BN1445" s="752"/>
      <c r="BO1445" s="752"/>
      <c r="BP1445" s="752"/>
      <c r="BQ1445" s="752"/>
      <c r="BR1445" s="752"/>
      <c r="BS1445" s="752"/>
      <c r="BT1445" s="752"/>
      <c r="BU1445" s="752"/>
      <c r="BV1445" s="752"/>
      <c r="BW1445" s="752"/>
      <c r="BX1445" s="752"/>
      <c r="BY1445" s="752"/>
      <c r="BZ1445" s="752"/>
      <c r="CA1445" s="752"/>
    </row>
    <row r="1446" spans="1:79" s="309" customFormat="1" hidden="1" outlineLevel="1" x14ac:dyDescent="0.35">
      <c r="A1446" s="726"/>
      <c r="B1446" s="726"/>
      <c r="C1446" s="726"/>
      <c r="D1446" s="726"/>
      <c r="E1446" s="726"/>
      <c r="F1446" s="672" t="s">
        <v>923</v>
      </c>
      <c r="G1446" s="699"/>
      <c r="H1446" s="699"/>
      <c r="I1446" s="699"/>
      <c r="J1446" s="699"/>
      <c r="K1446" s="699"/>
      <c r="L1446" s="699"/>
      <c r="M1446" s="699"/>
      <c r="N1446" s="699"/>
      <c r="O1446" s="699"/>
      <c r="P1446" s="699"/>
      <c r="Q1446" s="699"/>
      <c r="R1446" s="699"/>
      <c r="S1446" s="700"/>
      <c r="T1446" s="700"/>
      <c r="U1446" s="700"/>
      <c r="V1446" s="700"/>
      <c r="W1446" s="700"/>
      <c r="X1446" s="700"/>
      <c r="Y1446" s="700"/>
      <c r="Z1446" s="700"/>
      <c r="AA1446" s="700"/>
      <c r="AB1446" s="700"/>
      <c r="AC1446" s="699"/>
      <c r="AD1446" s="699"/>
      <c r="AE1446" s="700"/>
      <c r="AF1446" s="700"/>
      <c r="AG1446" s="700"/>
      <c r="AH1446" s="700"/>
      <c r="AI1446" s="700"/>
      <c r="AJ1446" s="700"/>
      <c r="AK1446" s="700"/>
      <c r="AL1446" s="700"/>
      <c r="AM1446" s="700"/>
      <c r="AN1446" s="700"/>
      <c r="AO1446" s="700"/>
      <c r="AP1446" s="700"/>
      <c r="AQ1446" s="700"/>
      <c r="AR1446" s="700"/>
      <c r="AS1446" s="700"/>
      <c r="AT1446" s="700"/>
      <c r="AU1446" s="700"/>
      <c r="AV1446" s="700"/>
      <c r="AW1446" s="700"/>
      <c r="AX1446" s="700"/>
      <c r="AY1446" s="700"/>
      <c r="AZ1446" s="700"/>
      <c r="BA1446" s="700"/>
      <c r="BB1446" s="700"/>
      <c r="BC1446" s="700"/>
      <c r="BD1446" s="700"/>
      <c r="BE1446" s="700"/>
      <c r="BF1446" s="700"/>
      <c r="BG1446" s="700"/>
      <c r="BH1446" s="700"/>
      <c r="BI1446" s="700"/>
      <c r="BJ1446" s="700"/>
      <c r="BK1446" s="700"/>
      <c r="BL1446" s="700"/>
      <c r="BM1446" s="700"/>
      <c r="BN1446" s="700"/>
      <c r="BO1446" s="700"/>
      <c r="BP1446" s="700"/>
      <c r="BQ1446" s="700"/>
      <c r="BR1446" s="700"/>
      <c r="BS1446" s="700"/>
      <c r="BT1446" s="700"/>
      <c r="BU1446" s="700"/>
      <c r="BV1446" s="700"/>
      <c r="BW1446" s="700"/>
      <c r="BX1446" s="700"/>
      <c r="BY1446" s="700"/>
      <c r="BZ1446" s="700"/>
      <c r="CA1446" s="700"/>
    </row>
    <row r="1447" spans="1:79" hidden="1" outlineLevel="1" x14ac:dyDescent="0.35">
      <c r="A1447" s="580"/>
      <c r="B1447" s="580"/>
      <c r="C1447" s="580"/>
      <c r="D1447" s="580"/>
      <c r="E1447" s="580"/>
      <c r="F1447" s="672" t="s">
        <v>671</v>
      </c>
      <c r="G1447" s="735"/>
      <c r="H1447" s="735"/>
      <c r="I1447" s="735"/>
      <c r="J1447" s="735"/>
      <c r="K1447" s="735"/>
      <c r="L1447" s="735"/>
      <c r="M1447" s="735"/>
      <c r="N1447" s="735"/>
      <c r="O1447" s="735"/>
      <c r="P1447" s="732"/>
      <c r="Q1447" s="732"/>
      <c r="R1447" s="736"/>
      <c r="S1447" s="700"/>
      <c r="T1447" s="700"/>
      <c r="U1447" s="700"/>
      <c r="V1447" s="700"/>
      <c r="W1447" s="700"/>
      <c r="X1447" s="700"/>
      <c r="Y1447" s="700"/>
      <c r="Z1447" s="700"/>
      <c r="AA1447" s="700"/>
      <c r="AB1447" s="700"/>
      <c r="AC1447" s="699"/>
      <c r="AD1447" s="699"/>
      <c r="AE1447" s="736"/>
      <c r="AF1447" s="736"/>
      <c r="AG1447" s="736"/>
      <c r="AH1447" s="736"/>
      <c r="AI1447" s="736"/>
      <c r="AJ1447" s="736"/>
      <c r="AK1447" s="736"/>
      <c r="AL1447" s="736"/>
      <c r="AM1447" s="736"/>
      <c r="AN1447" s="736"/>
      <c r="AO1447" s="736"/>
      <c r="AP1447" s="736"/>
      <c r="AQ1447" s="736"/>
      <c r="AR1447" s="736"/>
      <c r="AS1447" s="736"/>
      <c r="AT1447" s="736"/>
      <c r="AU1447" s="736"/>
      <c r="AV1447" s="736"/>
      <c r="AW1447" s="736"/>
      <c r="AX1447" s="736"/>
      <c r="AY1447" s="736"/>
      <c r="AZ1447" s="736"/>
      <c r="BA1447" s="736"/>
      <c r="BB1447" s="736"/>
      <c r="BC1447" s="736"/>
      <c r="BD1447" s="736"/>
      <c r="BE1447" s="736"/>
      <c r="BF1447" s="736"/>
      <c r="BG1447" s="736"/>
      <c r="BH1447" s="736"/>
      <c r="BI1447" s="736"/>
      <c r="BJ1447" s="736"/>
      <c r="BK1447" s="736"/>
      <c r="BL1447" s="736"/>
      <c r="BM1447" s="736"/>
      <c r="BN1447" s="736"/>
      <c r="BO1447" s="736"/>
      <c r="BP1447" s="736"/>
      <c r="BQ1447" s="736"/>
      <c r="BR1447" s="736"/>
      <c r="BS1447" s="736"/>
      <c r="BT1447" s="736"/>
      <c r="BU1447" s="736"/>
      <c r="BV1447" s="736"/>
      <c r="BW1447" s="736"/>
      <c r="BX1447" s="736"/>
      <c r="BY1447" s="736"/>
      <c r="BZ1447" s="736"/>
      <c r="CA1447" s="736"/>
    </row>
    <row r="1448" spans="1:79" hidden="1" outlineLevel="1" x14ac:dyDescent="0.35">
      <c r="A1448" s="580"/>
      <c r="B1448" s="580"/>
      <c r="C1448" s="580"/>
      <c r="D1448" s="580"/>
      <c r="E1448" s="580"/>
      <c r="F1448" s="672" t="s">
        <v>767</v>
      </c>
      <c r="G1448" s="735"/>
      <c r="H1448" s="735"/>
      <c r="I1448" s="735"/>
      <c r="J1448" s="735"/>
      <c r="K1448" s="735"/>
      <c r="L1448" s="735"/>
      <c r="M1448" s="735"/>
      <c r="N1448" s="735"/>
      <c r="O1448" s="735"/>
      <c r="P1448" s="732"/>
      <c r="Q1448" s="732"/>
      <c r="R1448" s="736"/>
      <c r="S1448" s="700"/>
      <c r="T1448" s="700"/>
      <c r="U1448" s="700"/>
      <c r="V1448" s="700"/>
      <c r="W1448" s="700"/>
      <c r="X1448" s="700"/>
      <c r="Y1448" s="700"/>
      <c r="Z1448" s="700"/>
      <c r="AA1448" s="700"/>
      <c r="AB1448" s="700"/>
      <c r="AC1448" s="699"/>
      <c r="AD1448" s="699"/>
      <c r="AE1448" s="736"/>
      <c r="AF1448" s="736"/>
      <c r="AG1448" s="736"/>
      <c r="AH1448" s="736"/>
      <c r="AI1448" s="736"/>
      <c r="AJ1448" s="736"/>
      <c r="AK1448" s="736"/>
      <c r="AL1448" s="736"/>
      <c r="AM1448" s="736"/>
      <c r="AN1448" s="736"/>
      <c r="AO1448" s="736"/>
      <c r="AP1448" s="736"/>
      <c r="AQ1448" s="736"/>
      <c r="AR1448" s="736"/>
      <c r="AS1448" s="736"/>
      <c r="AT1448" s="736"/>
      <c r="AU1448" s="736"/>
      <c r="AV1448" s="736"/>
      <c r="AW1448" s="736"/>
      <c r="AX1448" s="736"/>
      <c r="AY1448" s="736"/>
      <c r="AZ1448" s="736"/>
      <c r="BA1448" s="736"/>
      <c r="BB1448" s="736"/>
      <c r="BC1448" s="736"/>
      <c r="BD1448" s="736"/>
      <c r="BE1448" s="736"/>
      <c r="BF1448" s="736"/>
      <c r="BG1448" s="736"/>
      <c r="BH1448" s="736"/>
      <c r="BI1448" s="736"/>
      <c r="BJ1448" s="736"/>
      <c r="BK1448" s="736"/>
      <c r="BL1448" s="736"/>
      <c r="BM1448" s="736"/>
      <c r="BN1448" s="736"/>
      <c r="BO1448" s="736"/>
      <c r="BP1448" s="736"/>
      <c r="BQ1448" s="736"/>
      <c r="BR1448" s="736"/>
      <c r="BS1448" s="736"/>
      <c r="BT1448" s="736"/>
      <c r="BU1448" s="736"/>
      <c r="BV1448" s="736"/>
      <c r="BW1448" s="736"/>
      <c r="BX1448" s="736"/>
      <c r="BY1448" s="736"/>
      <c r="BZ1448" s="736"/>
      <c r="CA1448" s="736"/>
    </row>
    <row r="1449" spans="1:79" hidden="1" outlineLevel="1" x14ac:dyDescent="0.35">
      <c r="A1449" s="580"/>
      <c r="B1449" s="580"/>
      <c r="C1449" s="580"/>
      <c r="D1449" s="580"/>
      <c r="E1449" s="580"/>
      <c r="F1449" s="672" t="s">
        <v>628</v>
      </c>
      <c r="G1449" s="735"/>
      <c r="H1449" s="735"/>
      <c r="I1449" s="735"/>
      <c r="J1449" s="735"/>
      <c r="K1449" s="735"/>
      <c r="L1449" s="735"/>
      <c r="M1449" s="735"/>
      <c r="N1449" s="735"/>
      <c r="O1449" s="735"/>
      <c r="P1449" s="732"/>
      <c r="Q1449" s="732"/>
      <c r="R1449" s="736"/>
      <c r="S1449" s="700"/>
      <c r="T1449" s="700"/>
      <c r="U1449" s="700"/>
      <c r="V1449" s="700"/>
      <c r="W1449" s="700"/>
      <c r="X1449" s="700"/>
      <c r="Y1449" s="700"/>
      <c r="Z1449" s="700"/>
      <c r="AA1449" s="700"/>
      <c r="AB1449" s="700"/>
      <c r="AC1449" s="682"/>
      <c r="AD1449" s="682"/>
      <c r="AE1449" s="736"/>
      <c r="AF1449" s="736"/>
      <c r="AG1449" s="736"/>
      <c r="AH1449" s="736"/>
      <c r="AI1449" s="736"/>
      <c r="AJ1449" s="736"/>
      <c r="AK1449" s="736"/>
      <c r="AL1449" s="736"/>
      <c r="AM1449" s="736"/>
      <c r="AN1449" s="736"/>
      <c r="AO1449" s="736"/>
      <c r="AP1449" s="736"/>
      <c r="AQ1449" s="736"/>
      <c r="AR1449" s="736"/>
      <c r="AS1449" s="736"/>
      <c r="AT1449" s="736"/>
      <c r="AU1449" s="736"/>
      <c r="AV1449" s="736"/>
      <c r="AW1449" s="736"/>
      <c r="AX1449" s="736"/>
      <c r="AY1449" s="736"/>
      <c r="AZ1449" s="736"/>
      <c r="BA1449" s="736"/>
      <c r="BB1449" s="736"/>
      <c r="BC1449" s="736"/>
      <c r="BD1449" s="736"/>
      <c r="BE1449" s="736"/>
      <c r="BF1449" s="736"/>
      <c r="BG1449" s="736"/>
      <c r="BH1449" s="736"/>
      <c r="BI1449" s="736"/>
      <c r="BJ1449" s="736"/>
      <c r="BK1449" s="736"/>
      <c r="BL1449" s="736"/>
      <c r="BM1449" s="736"/>
      <c r="BN1449" s="736"/>
      <c r="BO1449" s="736"/>
      <c r="BP1449" s="736"/>
      <c r="BQ1449" s="736"/>
      <c r="BR1449" s="736"/>
      <c r="BS1449" s="736"/>
      <c r="BT1449" s="736"/>
      <c r="BU1449" s="736"/>
      <c r="BV1449" s="736"/>
      <c r="BW1449" s="736"/>
      <c r="BX1449" s="736"/>
      <c r="BY1449" s="736"/>
      <c r="BZ1449" s="736"/>
      <c r="CA1449" s="736"/>
    </row>
    <row r="1450" spans="1:79" hidden="1" outlineLevel="1" x14ac:dyDescent="0.35">
      <c r="A1450" s="580"/>
      <c r="B1450" s="580"/>
      <c r="C1450" s="580"/>
      <c r="D1450" s="580"/>
      <c r="E1450" s="580"/>
      <c r="F1450" s="672" t="s">
        <v>655</v>
      </c>
      <c r="G1450" s="735"/>
      <c r="H1450" s="735"/>
      <c r="I1450" s="735"/>
      <c r="J1450" s="735"/>
      <c r="K1450" s="735"/>
      <c r="L1450" s="735"/>
      <c r="M1450" s="735"/>
      <c r="N1450" s="735"/>
      <c r="O1450" s="735"/>
      <c r="P1450" s="732"/>
      <c r="Q1450" s="732"/>
      <c r="R1450" s="736"/>
      <c r="S1450" s="700"/>
      <c r="T1450" s="700"/>
      <c r="U1450" s="700"/>
      <c r="V1450" s="700"/>
      <c r="W1450" s="700"/>
      <c r="X1450" s="700"/>
      <c r="Y1450" s="700"/>
      <c r="Z1450" s="700"/>
      <c r="AA1450" s="700"/>
      <c r="AB1450" s="700"/>
      <c r="AC1450" s="682"/>
      <c r="AD1450" s="682"/>
      <c r="AE1450" s="736"/>
      <c r="AF1450" s="736"/>
      <c r="AG1450" s="736"/>
      <c r="AH1450" s="736"/>
      <c r="AI1450" s="736"/>
      <c r="AJ1450" s="736"/>
      <c r="AK1450" s="736"/>
      <c r="AL1450" s="736"/>
      <c r="AM1450" s="736"/>
      <c r="AN1450" s="736"/>
      <c r="AO1450" s="736"/>
      <c r="AP1450" s="736"/>
      <c r="AQ1450" s="736"/>
      <c r="AR1450" s="736"/>
      <c r="AS1450" s="736"/>
      <c r="AT1450" s="736"/>
      <c r="AU1450" s="736"/>
      <c r="AV1450" s="736"/>
      <c r="AW1450" s="736"/>
      <c r="AX1450" s="736"/>
      <c r="AY1450" s="736"/>
      <c r="AZ1450" s="736"/>
      <c r="BA1450" s="736"/>
      <c r="BB1450" s="736"/>
      <c r="BC1450" s="736"/>
      <c r="BD1450" s="736"/>
      <c r="BE1450" s="736"/>
      <c r="BF1450" s="736"/>
      <c r="BG1450" s="736"/>
      <c r="BH1450" s="736"/>
      <c r="BI1450" s="736"/>
      <c r="BJ1450" s="736"/>
      <c r="BK1450" s="736"/>
      <c r="BL1450" s="736"/>
      <c r="BM1450" s="736"/>
      <c r="BN1450" s="736"/>
      <c r="BO1450" s="736"/>
      <c r="BP1450" s="736"/>
      <c r="BQ1450" s="736"/>
      <c r="BR1450" s="736"/>
      <c r="BS1450" s="736"/>
      <c r="BT1450" s="736"/>
      <c r="BU1450" s="736"/>
      <c r="BV1450" s="736"/>
      <c r="BW1450" s="736"/>
      <c r="BX1450" s="736"/>
      <c r="BY1450" s="736"/>
      <c r="BZ1450" s="736"/>
      <c r="CA1450" s="736"/>
    </row>
    <row r="1451" spans="1:79" hidden="1" outlineLevel="1" x14ac:dyDescent="0.35">
      <c r="A1451" s="580"/>
      <c r="B1451" s="580"/>
      <c r="C1451" s="580"/>
      <c r="D1451" s="580"/>
      <c r="E1451" s="580"/>
      <c r="F1451" s="672" t="s">
        <v>672</v>
      </c>
      <c r="G1451" s="735"/>
      <c r="H1451" s="735"/>
      <c r="I1451" s="735"/>
      <c r="J1451" s="735"/>
      <c r="K1451" s="735"/>
      <c r="L1451" s="735"/>
      <c r="M1451" s="735"/>
      <c r="N1451" s="735"/>
      <c r="O1451" s="735"/>
      <c r="P1451" s="732"/>
      <c r="Q1451" s="732"/>
      <c r="R1451" s="736"/>
      <c r="S1451" s="700"/>
      <c r="T1451" s="700"/>
      <c r="U1451" s="700"/>
      <c r="V1451" s="700"/>
      <c r="W1451" s="700"/>
      <c r="X1451" s="700"/>
      <c r="Y1451" s="700"/>
      <c r="Z1451" s="700"/>
      <c r="AA1451" s="700"/>
      <c r="AB1451" s="700"/>
      <c r="AC1451" s="682"/>
      <c r="AD1451" s="682"/>
      <c r="AE1451" s="736"/>
      <c r="AF1451" s="736"/>
      <c r="AG1451" s="736"/>
      <c r="AH1451" s="736"/>
      <c r="AI1451" s="736"/>
      <c r="AJ1451" s="736"/>
      <c r="AK1451" s="736"/>
      <c r="AL1451" s="736"/>
      <c r="AM1451" s="736"/>
      <c r="AN1451" s="736"/>
      <c r="AO1451" s="736"/>
      <c r="AP1451" s="736"/>
      <c r="AQ1451" s="736"/>
      <c r="AR1451" s="736"/>
      <c r="AS1451" s="736"/>
      <c r="AT1451" s="736"/>
      <c r="AU1451" s="736"/>
      <c r="AV1451" s="736"/>
      <c r="AW1451" s="736"/>
      <c r="AX1451" s="736"/>
      <c r="AY1451" s="736"/>
      <c r="AZ1451" s="736"/>
      <c r="BA1451" s="736"/>
      <c r="BB1451" s="736"/>
      <c r="BC1451" s="736"/>
      <c r="BD1451" s="736"/>
      <c r="BE1451" s="736"/>
      <c r="BF1451" s="736"/>
      <c r="BG1451" s="736"/>
      <c r="BH1451" s="736"/>
      <c r="BI1451" s="736"/>
      <c r="BJ1451" s="736"/>
      <c r="BK1451" s="736"/>
      <c r="BL1451" s="736"/>
      <c r="BM1451" s="736"/>
      <c r="BN1451" s="736"/>
      <c r="BO1451" s="736"/>
      <c r="BP1451" s="736"/>
      <c r="BQ1451" s="736"/>
      <c r="BR1451" s="736"/>
      <c r="BS1451" s="736"/>
      <c r="BT1451" s="736"/>
      <c r="BU1451" s="736"/>
      <c r="BV1451" s="736"/>
      <c r="BW1451" s="736"/>
      <c r="BX1451" s="736"/>
      <c r="BY1451" s="736"/>
      <c r="BZ1451" s="736"/>
      <c r="CA1451" s="736"/>
    </row>
    <row r="1452" spans="1:79" hidden="1" outlineLevel="1" x14ac:dyDescent="0.35">
      <c r="A1452" s="575"/>
      <c r="B1452" s="575"/>
      <c r="C1452" s="575"/>
      <c r="D1452" s="575"/>
      <c r="E1452" s="575"/>
      <c r="F1452" s="673" t="s">
        <v>629</v>
      </c>
      <c r="G1452" s="680"/>
      <c r="H1452" s="680"/>
      <c r="I1452" s="680"/>
      <c r="J1452" s="680"/>
      <c r="K1452" s="680"/>
      <c r="L1452" s="680"/>
      <c r="M1452" s="680"/>
      <c r="N1452" s="680"/>
      <c r="O1452" s="680"/>
      <c r="P1452" s="680"/>
      <c r="Q1452" s="680"/>
      <c r="R1452" s="680"/>
      <c r="S1452" s="696"/>
      <c r="T1452" s="696"/>
      <c r="U1452" s="696"/>
      <c r="V1452" s="696"/>
      <c r="W1452" s="696"/>
      <c r="X1452" s="696"/>
      <c r="Y1452" s="696"/>
      <c r="Z1452" s="696"/>
      <c r="AA1452" s="696"/>
      <c r="AB1452" s="696"/>
      <c r="AC1452" s="696"/>
      <c r="AD1452" s="696"/>
      <c r="AE1452" s="680">
        <f t="shared" ref="AE1452:BO1452" si="542">SUM(AE1447:AE1451)</f>
        <v>0</v>
      </c>
      <c r="AF1452" s="680">
        <f t="shared" si="542"/>
        <v>0</v>
      </c>
      <c r="AG1452" s="680">
        <f t="shared" si="542"/>
        <v>0</v>
      </c>
      <c r="AH1452" s="680">
        <f t="shared" si="542"/>
        <v>0</v>
      </c>
      <c r="AI1452" s="680">
        <f t="shared" si="542"/>
        <v>0</v>
      </c>
      <c r="AJ1452" s="680">
        <f t="shared" si="542"/>
        <v>0</v>
      </c>
      <c r="AK1452" s="680">
        <f t="shared" si="542"/>
        <v>0</v>
      </c>
      <c r="AL1452" s="680">
        <f t="shared" si="542"/>
        <v>0</v>
      </c>
      <c r="AM1452" s="680">
        <f t="shared" si="542"/>
        <v>0</v>
      </c>
      <c r="AN1452" s="680">
        <f t="shared" si="542"/>
        <v>0</v>
      </c>
      <c r="AO1452" s="680">
        <f t="shared" si="542"/>
        <v>0</v>
      </c>
      <c r="AP1452" s="680">
        <f t="shared" si="542"/>
        <v>0</v>
      </c>
      <c r="AQ1452" s="680">
        <f t="shared" si="542"/>
        <v>0</v>
      </c>
      <c r="AR1452" s="680">
        <f t="shared" si="542"/>
        <v>0</v>
      </c>
      <c r="AS1452" s="680">
        <f t="shared" si="542"/>
        <v>0</v>
      </c>
      <c r="AT1452" s="680">
        <f t="shared" si="542"/>
        <v>0</v>
      </c>
      <c r="AU1452" s="680">
        <f t="shared" si="542"/>
        <v>0</v>
      </c>
      <c r="AV1452" s="680">
        <f t="shared" si="542"/>
        <v>0</v>
      </c>
      <c r="AW1452" s="680">
        <f t="shared" si="542"/>
        <v>0</v>
      </c>
      <c r="AX1452" s="680">
        <f t="shared" si="542"/>
        <v>0</v>
      </c>
      <c r="AY1452" s="680">
        <f t="shared" si="542"/>
        <v>0</v>
      </c>
      <c r="AZ1452" s="680">
        <f t="shared" si="542"/>
        <v>0</v>
      </c>
      <c r="BA1452" s="680">
        <f t="shared" si="542"/>
        <v>0</v>
      </c>
      <c r="BB1452" s="680">
        <f t="shared" si="542"/>
        <v>0</v>
      </c>
      <c r="BC1452" s="680">
        <f t="shared" si="542"/>
        <v>0</v>
      </c>
      <c r="BD1452" s="680">
        <f t="shared" si="542"/>
        <v>0</v>
      </c>
      <c r="BE1452" s="680">
        <f t="shared" si="542"/>
        <v>0</v>
      </c>
      <c r="BF1452" s="680">
        <f t="shared" si="542"/>
        <v>0</v>
      </c>
      <c r="BG1452" s="680">
        <f t="shared" si="542"/>
        <v>0</v>
      </c>
      <c r="BH1452" s="680">
        <f t="shared" si="542"/>
        <v>0</v>
      </c>
      <c r="BI1452" s="680">
        <f t="shared" si="542"/>
        <v>0</v>
      </c>
      <c r="BJ1452" s="680">
        <f t="shared" si="542"/>
        <v>0</v>
      </c>
      <c r="BK1452" s="680">
        <f t="shared" si="542"/>
        <v>0</v>
      </c>
      <c r="BL1452" s="680">
        <f t="shared" si="542"/>
        <v>0</v>
      </c>
      <c r="BM1452" s="680">
        <f t="shared" si="542"/>
        <v>0</v>
      </c>
      <c r="BN1452" s="680">
        <f t="shared" si="542"/>
        <v>0</v>
      </c>
      <c r="BO1452" s="680">
        <f t="shared" si="542"/>
        <v>0</v>
      </c>
      <c r="BP1452" s="680">
        <f t="shared" ref="BP1452:CA1452" si="543">SUM(BP1447:BP1451)</f>
        <v>0</v>
      </c>
      <c r="BQ1452" s="680">
        <f t="shared" si="543"/>
        <v>0</v>
      </c>
      <c r="BR1452" s="680">
        <f t="shared" si="543"/>
        <v>0</v>
      </c>
      <c r="BS1452" s="680">
        <f t="shared" si="543"/>
        <v>0</v>
      </c>
      <c r="BT1452" s="680">
        <f t="shared" si="543"/>
        <v>0</v>
      </c>
      <c r="BU1452" s="680">
        <f t="shared" si="543"/>
        <v>0</v>
      </c>
      <c r="BV1452" s="680">
        <f t="shared" si="543"/>
        <v>0</v>
      </c>
      <c r="BW1452" s="680">
        <f t="shared" si="543"/>
        <v>0</v>
      </c>
      <c r="BX1452" s="680">
        <f t="shared" si="543"/>
        <v>0</v>
      </c>
      <c r="BY1452" s="680">
        <f t="shared" si="543"/>
        <v>0</v>
      </c>
      <c r="BZ1452" s="680">
        <f t="shared" si="543"/>
        <v>0</v>
      </c>
      <c r="CA1452" s="680">
        <f t="shared" si="543"/>
        <v>0</v>
      </c>
    </row>
    <row r="1453" spans="1:79" s="726" customFormat="1" hidden="1" outlineLevel="1" x14ac:dyDescent="0.35">
      <c r="A1453" s="754"/>
      <c r="B1453" s="754"/>
      <c r="C1453" s="754"/>
      <c r="D1453" s="754"/>
      <c r="E1453" s="754"/>
      <c r="F1453" s="707" t="s">
        <v>673</v>
      </c>
      <c r="G1453" s="782"/>
      <c r="H1453" s="782"/>
      <c r="I1453" s="782"/>
      <c r="J1453" s="782"/>
      <c r="K1453" s="782"/>
      <c r="L1453" s="782"/>
      <c r="M1453" s="782"/>
      <c r="N1453" s="782"/>
      <c r="O1453" s="782"/>
      <c r="P1453" s="753"/>
      <c r="Q1453" s="753"/>
      <c r="R1453" s="779"/>
      <c r="S1453" s="724"/>
      <c r="T1453" s="724"/>
      <c r="U1453" s="724"/>
      <c r="V1453" s="724"/>
      <c r="W1453" s="724"/>
      <c r="X1453" s="724"/>
      <c r="Y1453" s="724"/>
      <c r="Z1453" s="724"/>
      <c r="AA1453" s="724"/>
      <c r="AB1453" s="724"/>
      <c r="AC1453" s="720"/>
      <c r="AD1453" s="720"/>
      <c r="AE1453" s="752"/>
      <c r="AF1453" s="752"/>
      <c r="AG1453" s="752"/>
      <c r="AH1453" s="752"/>
      <c r="AI1453" s="752"/>
      <c r="AJ1453" s="752"/>
      <c r="AK1453" s="752"/>
      <c r="AL1453" s="752"/>
      <c r="AM1453" s="752"/>
      <c r="AN1453" s="752"/>
      <c r="AO1453" s="752"/>
      <c r="AP1453" s="752"/>
      <c r="AQ1453" s="752"/>
      <c r="AR1453" s="752"/>
      <c r="AS1453" s="752"/>
      <c r="AT1453" s="752"/>
      <c r="AU1453" s="752"/>
      <c r="AV1453" s="752"/>
      <c r="AW1453" s="752"/>
      <c r="AX1453" s="752"/>
      <c r="AY1453" s="752"/>
      <c r="AZ1453" s="752"/>
      <c r="BA1453" s="752"/>
      <c r="BB1453" s="752"/>
      <c r="BC1453" s="752"/>
      <c r="BD1453" s="752"/>
      <c r="BE1453" s="752"/>
      <c r="BF1453" s="752"/>
      <c r="BG1453" s="752"/>
      <c r="BH1453" s="752"/>
      <c r="BI1453" s="752"/>
      <c r="BJ1453" s="752"/>
      <c r="BK1453" s="752"/>
      <c r="BL1453" s="752"/>
      <c r="BM1453" s="752"/>
      <c r="BN1453" s="752"/>
      <c r="BO1453" s="752"/>
      <c r="BP1453" s="752"/>
      <c r="BQ1453" s="752"/>
      <c r="BR1453" s="752"/>
      <c r="BS1453" s="752"/>
      <c r="BT1453" s="752"/>
      <c r="BU1453" s="752"/>
      <c r="BV1453" s="752"/>
      <c r="BW1453" s="752"/>
      <c r="BX1453" s="752"/>
      <c r="BY1453" s="752"/>
      <c r="BZ1453" s="752"/>
      <c r="CA1453" s="752"/>
    </row>
    <row r="1454" spans="1:79" hidden="1" outlineLevel="1" x14ac:dyDescent="0.35">
      <c r="A1454" s="580"/>
      <c r="B1454" s="580"/>
      <c r="C1454" s="580"/>
      <c r="D1454" s="580"/>
      <c r="E1454" s="580"/>
      <c r="F1454" s="672" t="s">
        <v>674</v>
      </c>
      <c r="G1454" s="739"/>
      <c r="H1454" s="739"/>
      <c r="I1454" s="739"/>
      <c r="J1454" s="739"/>
      <c r="K1454" s="739"/>
      <c r="L1454" s="739"/>
      <c r="M1454" s="739"/>
      <c r="N1454" s="739"/>
      <c r="O1454" s="739"/>
      <c r="P1454" s="734"/>
      <c r="Q1454" s="734"/>
      <c r="R1454" s="733"/>
      <c r="S1454" s="700"/>
      <c r="T1454" s="700"/>
      <c r="U1454" s="700"/>
      <c r="V1454" s="700"/>
      <c r="W1454" s="700"/>
      <c r="X1454" s="700"/>
      <c r="Y1454" s="700"/>
      <c r="Z1454" s="700"/>
      <c r="AA1454" s="700"/>
      <c r="AB1454" s="700"/>
      <c r="AC1454" s="682"/>
      <c r="AD1454" s="682"/>
      <c r="AE1454" s="736"/>
      <c r="AF1454" s="736"/>
      <c r="AG1454" s="736"/>
      <c r="AH1454" s="736"/>
      <c r="AI1454" s="736"/>
      <c r="AJ1454" s="736"/>
      <c r="AK1454" s="736"/>
      <c r="AL1454" s="736"/>
      <c r="AM1454" s="736"/>
      <c r="AN1454" s="736"/>
      <c r="AO1454" s="736"/>
      <c r="AP1454" s="736"/>
      <c r="AQ1454" s="736"/>
      <c r="AR1454" s="736"/>
      <c r="AS1454" s="736"/>
      <c r="AT1454" s="736"/>
      <c r="AU1454" s="736"/>
      <c r="AV1454" s="736"/>
      <c r="AW1454" s="736"/>
      <c r="AX1454" s="736"/>
      <c r="AY1454" s="736"/>
      <c r="AZ1454" s="736"/>
      <c r="BA1454" s="736"/>
      <c r="BB1454" s="736"/>
      <c r="BC1454" s="736"/>
      <c r="BD1454" s="736"/>
      <c r="BE1454" s="736"/>
      <c r="BF1454" s="736"/>
      <c r="BG1454" s="736"/>
      <c r="BH1454" s="736"/>
      <c r="BI1454" s="736"/>
      <c r="BJ1454" s="736"/>
      <c r="BK1454" s="736"/>
      <c r="BL1454" s="736"/>
      <c r="BM1454" s="736"/>
      <c r="BN1454" s="736"/>
      <c r="BO1454" s="736"/>
      <c r="BP1454" s="736"/>
      <c r="BQ1454" s="736"/>
      <c r="BR1454" s="736"/>
      <c r="BS1454" s="736"/>
      <c r="BT1454" s="736"/>
      <c r="BU1454" s="736"/>
      <c r="BV1454" s="736"/>
      <c r="BW1454" s="736"/>
      <c r="BX1454" s="736"/>
      <c r="BY1454" s="736"/>
      <c r="BZ1454" s="736"/>
      <c r="CA1454" s="736"/>
    </row>
    <row r="1455" spans="1:79" hidden="1" outlineLevel="1" x14ac:dyDescent="0.35">
      <c r="A1455" s="580"/>
      <c r="B1455" s="580"/>
      <c r="C1455" s="580"/>
      <c r="D1455" s="580"/>
      <c r="E1455" s="580"/>
      <c r="F1455" s="672" t="s">
        <v>898</v>
      </c>
      <c r="G1455" s="739"/>
      <c r="H1455" s="739"/>
      <c r="I1455" s="739"/>
      <c r="J1455" s="739"/>
      <c r="K1455" s="739"/>
      <c r="L1455" s="739"/>
      <c r="M1455" s="739"/>
      <c r="N1455" s="739"/>
      <c r="O1455" s="739"/>
      <c r="P1455" s="734"/>
      <c r="Q1455" s="734"/>
      <c r="R1455" s="733"/>
      <c r="S1455" s="700"/>
      <c r="T1455" s="700"/>
      <c r="U1455" s="700"/>
      <c r="V1455" s="700"/>
      <c r="W1455" s="700"/>
      <c r="X1455" s="700"/>
      <c r="Y1455" s="700"/>
      <c r="Z1455" s="700"/>
      <c r="AA1455" s="700"/>
      <c r="AB1455" s="700"/>
      <c r="AC1455" s="682"/>
      <c r="AD1455" s="682"/>
      <c r="AE1455" s="736"/>
      <c r="AF1455" s="736"/>
      <c r="AG1455" s="736"/>
      <c r="AH1455" s="736"/>
      <c r="AI1455" s="736"/>
      <c r="AJ1455" s="736"/>
      <c r="AK1455" s="736"/>
      <c r="AL1455" s="736"/>
      <c r="AM1455" s="736"/>
      <c r="AN1455" s="736"/>
      <c r="AO1455" s="736"/>
      <c r="AP1455" s="736"/>
      <c r="AQ1455" s="736"/>
      <c r="AR1455" s="736"/>
      <c r="AS1455" s="736"/>
      <c r="AT1455" s="736"/>
      <c r="AU1455" s="736"/>
      <c r="AV1455" s="736"/>
      <c r="AW1455" s="736"/>
      <c r="AX1455" s="736"/>
      <c r="AY1455" s="736"/>
      <c r="AZ1455" s="736"/>
      <c r="BA1455" s="736"/>
      <c r="BB1455" s="736"/>
      <c r="BC1455" s="736"/>
      <c r="BD1455" s="736"/>
      <c r="BE1455" s="736"/>
      <c r="BF1455" s="736"/>
      <c r="BG1455" s="736"/>
      <c r="BH1455" s="736"/>
      <c r="BI1455" s="736"/>
      <c r="BJ1455" s="736"/>
      <c r="BK1455" s="736"/>
      <c r="BL1455" s="736"/>
      <c r="BM1455" s="736"/>
      <c r="BN1455" s="736"/>
      <c r="BO1455" s="736"/>
      <c r="BP1455" s="736"/>
      <c r="BQ1455" s="736"/>
      <c r="BR1455" s="736"/>
      <c r="BS1455" s="736"/>
      <c r="BT1455" s="736"/>
      <c r="BU1455" s="736"/>
      <c r="BV1455" s="736"/>
      <c r="BW1455" s="736"/>
      <c r="BX1455" s="736"/>
      <c r="BY1455" s="736"/>
      <c r="BZ1455" s="736"/>
      <c r="CA1455" s="736"/>
    </row>
    <row r="1456" spans="1:79" hidden="1" outlineLevel="1" x14ac:dyDescent="0.35">
      <c r="A1456" s="580"/>
      <c r="B1456" s="580"/>
      <c r="C1456" s="580"/>
      <c r="D1456" s="580"/>
      <c r="E1456" s="580"/>
      <c r="F1456" s="672" t="s">
        <v>675</v>
      </c>
      <c r="G1456" s="739"/>
      <c r="H1456" s="739"/>
      <c r="I1456" s="739"/>
      <c r="J1456" s="739"/>
      <c r="K1456" s="739"/>
      <c r="L1456" s="739"/>
      <c r="M1456" s="739"/>
      <c r="N1456" s="739"/>
      <c r="O1456" s="739"/>
      <c r="P1456" s="734"/>
      <c r="Q1456" s="734"/>
      <c r="R1456" s="733"/>
      <c r="S1456" s="700"/>
      <c r="T1456" s="700"/>
      <c r="U1456" s="700"/>
      <c r="V1456" s="700"/>
      <c r="W1456" s="700"/>
      <c r="X1456" s="700"/>
      <c r="Y1456" s="700"/>
      <c r="Z1456" s="700"/>
      <c r="AA1456" s="700"/>
      <c r="AB1456" s="700"/>
      <c r="AC1456" s="682"/>
      <c r="AD1456" s="682"/>
      <c r="AE1456" s="736"/>
      <c r="AF1456" s="736"/>
      <c r="AG1456" s="736"/>
      <c r="AH1456" s="736"/>
      <c r="AI1456" s="736"/>
      <c r="AJ1456" s="736"/>
      <c r="AK1456" s="736"/>
      <c r="AL1456" s="736"/>
      <c r="AM1456" s="736"/>
      <c r="AN1456" s="736"/>
      <c r="AO1456" s="736"/>
      <c r="AP1456" s="736"/>
      <c r="AQ1456" s="736"/>
      <c r="AR1456" s="736"/>
      <c r="AS1456" s="736"/>
      <c r="AT1456" s="736"/>
      <c r="AU1456" s="736"/>
      <c r="AV1456" s="736"/>
      <c r="AW1456" s="736"/>
      <c r="AX1456" s="736"/>
      <c r="AY1456" s="736"/>
      <c r="AZ1456" s="736"/>
      <c r="BA1456" s="736"/>
      <c r="BB1456" s="736"/>
      <c r="BC1456" s="736"/>
      <c r="BD1456" s="736"/>
      <c r="BE1456" s="736"/>
      <c r="BF1456" s="736"/>
      <c r="BG1456" s="736"/>
      <c r="BH1456" s="736"/>
      <c r="BI1456" s="736"/>
      <c r="BJ1456" s="736"/>
      <c r="BK1456" s="736"/>
      <c r="BL1456" s="736"/>
      <c r="BM1456" s="736"/>
      <c r="BN1456" s="736"/>
      <c r="BO1456" s="736"/>
      <c r="BP1456" s="736"/>
      <c r="BQ1456" s="736"/>
      <c r="BR1456" s="736"/>
      <c r="BS1456" s="736"/>
      <c r="BT1456" s="736"/>
      <c r="BU1456" s="736"/>
      <c r="BV1456" s="736"/>
      <c r="BW1456" s="736"/>
      <c r="BX1456" s="736"/>
      <c r="BY1456" s="736"/>
      <c r="BZ1456" s="736"/>
      <c r="CA1456" s="736"/>
    </row>
    <row r="1457" spans="1:79" hidden="1" outlineLevel="1" x14ac:dyDescent="0.35">
      <c r="A1457" s="580"/>
      <c r="B1457" s="580"/>
      <c r="C1457" s="580"/>
      <c r="D1457" s="580"/>
      <c r="E1457" s="580"/>
      <c r="F1457" s="672" t="s">
        <v>899</v>
      </c>
      <c r="G1457" s="739"/>
      <c r="H1457" s="739"/>
      <c r="I1457" s="739"/>
      <c r="J1457" s="739"/>
      <c r="K1457" s="739"/>
      <c r="L1457" s="739"/>
      <c r="M1457" s="739"/>
      <c r="N1457" s="739"/>
      <c r="O1457" s="739"/>
      <c r="P1457" s="734"/>
      <c r="Q1457" s="734"/>
      <c r="R1457" s="733"/>
      <c r="S1457" s="700"/>
      <c r="T1457" s="700"/>
      <c r="U1457" s="700"/>
      <c r="V1457" s="700"/>
      <c r="W1457" s="700"/>
      <c r="X1457" s="700"/>
      <c r="Y1457" s="700"/>
      <c r="Z1457" s="700"/>
      <c r="AA1457" s="700"/>
      <c r="AB1457" s="700"/>
      <c r="AC1457" s="682"/>
      <c r="AD1457" s="682"/>
      <c r="AE1457" s="736"/>
      <c r="AF1457" s="736"/>
      <c r="AG1457" s="736"/>
      <c r="AH1457" s="736"/>
      <c r="AI1457" s="736"/>
      <c r="AJ1457" s="736"/>
      <c r="AK1457" s="736"/>
      <c r="AL1457" s="736"/>
      <c r="AM1457" s="736"/>
      <c r="AN1457" s="736"/>
      <c r="AO1457" s="736"/>
      <c r="AP1457" s="736"/>
      <c r="AQ1457" s="736"/>
      <c r="AR1457" s="736"/>
      <c r="AS1457" s="736"/>
      <c r="AT1457" s="736"/>
      <c r="AU1457" s="736"/>
      <c r="AV1457" s="736"/>
      <c r="AW1457" s="736"/>
      <c r="AX1457" s="736"/>
      <c r="AY1457" s="736"/>
      <c r="AZ1457" s="736"/>
      <c r="BA1457" s="736"/>
      <c r="BB1457" s="736"/>
      <c r="BC1457" s="736"/>
      <c r="BD1457" s="736"/>
      <c r="BE1457" s="736"/>
      <c r="BF1457" s="736"/>
      <c r="BG1457" s="736"/>
      <c r="BH1457" s="736"/>
      <c r="BI1457" s="736"/>
      <c r="BJ1457" s="736"/>
      <c r="BK1457" s="736"/>
      <c r="BL1457" s="736"/>
      <c r="BM1457" s="736"/>
      <c r="BN1457" s="736"/>
      <c r="BO1457" s="736"/>
      <c r="BP1457" s="736"/>
      <c r="BQ1457" s="736"/>
      <c r="BR1457" s="736"/>
      <c r="BS1457" s="736"/>
      <c r="BT1457" s="736"/>
      <c r="BU1457" s="736"/>
      <c r="BV1457" s="736"/>
      <c r="BW1457" s="736"/>
      <c r="BX1457" s="736"/>
      <c r="BY1457" s="736"/>
      <c r="BZ1457" s="736"/>
      <c r="CA1457" s="736"/>
    </row>
    <row r="1458" spans="1:79" hidden="1" outlineLevel="1" x14ac:dyDescent="0.35">
      <c r="A1458" s="575"/>
      <c r="B1458" s="575"/>
      <c r="C1458" s="575"/>
      <c r="D1458" s="575"/>
      <c r="E1458" s="575"/>
      <c r="F1458" s="673" t="s">
        <v>676</v>
      </c>
      <c r="G1458" s="680"/>
      <c r="H1458" s="680"/>
      <c r="I1458" s="680"/>
      <c r="J1458" s="680"/>
      <c r="K1458" s="680"/>
      <c r="L1458" s="680"/>
      <c r="M1458" s="680"/>
      <c r="N1458" s="680"/>
      <c r="O1458" s="680"/>
      <c r="P1458" s="680"/>
      <c r="Q1458" s="680"/>
      <c r="R1458" s="680"/>
      <c r="S1458" s="696"/>
      <c r="T1458" s="696"/>
      <c r="U1458" s="696"/>
      <c r="V1458" s="696"/>
      <c r="W1458" s="696"/>
      <c r="X1458" s="696"/>
      <c r="Y1458" s="696"/>
      <c r="Z1458" s="696"/>
      <c r="AA1458" s="696"/>
      <c r="AB1458" s="696"/>
      <c r="AC1458" s="696"/>
      <c r="AD1458" s="696"/>
      <c r="AE1458" s="680">
        <f t="shared" ref="AE1458:BO1458" si="544">SUM(AE1454:AE1457)</f>
        <v>0</v>
      </c>
      <c r="AF1458" s="680">
        <f t="shared" si="544"/>
        <v>0</v>
      </c>
      <c r="AG1458" s="680">
        <f t="shared" si="544"/>
        <v>0</v>
      </c>
      <c r="AH1458" s="680">
        <f t="shared" si="544"/>
        <v>0</v>
      </c>
      <c r="AI1458" s="680">
        <f t="shared" si="544"/>
        <v>0</v>
      </c>
      <c r="AJ1458" s="680">
        <f t="shared" si="544"/>
        <v>0</v>
      </c>
      <c r="AK1458" s="680">
        <f t="shared" si="544"/>
        <v>0</v>
      </c>
      <c r="AL1458" s="680">
        <f t="shared" si="544"/>
        <v>0</v>
      </c>
      <c r="AM1458" s="680">
        <f t="shared" si="544"/>
        <v>0</v>
      </c>
      <c r="AN1458" s="680">
        <f t="shared" si="544"/>
        <v>0</v>
      </c>
      <c r="AO1458" s="680">
        <f t="shared" si="544"/>
        <v>0</v>
      </c>
      <c r="AP1458" s="680">
        <f t="shared" si="544"/>
        <v>0</v>
      </c>
      <c r="AQ1458" s="680">
        <f t="shared" si="544"/>
        <v>0</v>
      </c>
      <c r="AR1458" s="680">
        <f t="shared" si="544"/>
        <v>0</v>
      </c>
      <c r="AS1458" s="680">
        <f t="shared" si="544"/>
        <v>0</v>
      </c>
      <c r="AT1458" s="680">
        <f t="shared" si="544"/>
        <v>0</v>
      </c>
      <c r="AU1458" s="680">
        <f t="shared" si="544"/>
        <v>0</v>
      </c>
      <c r="AV1458" s="680">
        <f t="shared" si="544"/>
        <v>0</v>
      </c>
      <c r="AW1458" s="680">
        <f t="shared" si="544"/>
        <v>0</v>
      </c>
      <c r="AX1458" s="680">
        <f t="shared" si="544"/>
        <v>0</v>
      </c>
      <c r="AY1458" s="680">
        <f t="shared" si="544"/>
        <v>0</v>
      </c>
      <c r="AZ1458" s="680">
        <f t="shared" si="544"/>
        <v>0</v>
      </c>
      <c r="BA1458" s="680">
        <f t="shared" si="544"/>
        <v>0</v>
      </c>
      <c r="BB1458" s="680">
        <f t="shared" si="544"/>
        <v>0</v>
      </c>
      <c r="BC1458" s="680">
        <f t="shared" si="544"/>
        <v>0</v>
      </c>
      <c r="BD1458" s="680">
        <f t="shared" si="544"/>
        <v>0</v>
      </c>
      <c r="BE1458" s="680">
        <f t="shared" si="544"/>
        <v>0</v>
      </c>
      <c r="BF1458" s="680">
        <f t="shared" si="544"/>
        <v>0</v>
      </c>
      <c r="BG1458" s="680">
        <f t="shared" si="544"/>
        <v>0</v>
      </c>
      <c r="BH1458" s="680">
        <f t="shared" si="544"/>
        <v>0</v>
      </c>
      <c r="BI1458" s="680">
        <f t="shared" si="544"/>
        <v>0</v>
      </c>
      <c r="BJ1458" s="680">
        <f t="shared" si="544"/>
        <v>0</v>
      </c>
      <c r="BK1458" s="680">
        <f t="shared" si="544"/>
        <v>0</v>
      </c>
      <c r="BL1458" s="680">
        <f t="shared" si="544"/>
        <v>0</v>
      </c>
      <c r="BM1458" s="680">
        <f t="shared" si="544"/>
        <v>0</v>
      </c>
      <c r="BN1458" s="680">
        <f t="shared" si="544"/>
        <v>0</v>
      </c>
      <c r="BO1458" s="680">
        <f t="shared" si="544"/>
        <v>0</v>
      </c>
      <c r="BP1458" s="680">
        <f t="shared" ref="BP1458:CA1458" si="545">SUM(BP1454:BP1457)</f>
        <v>0</v>
      </c>
      <c r="BQ1458" s="680">
        <f t="shared" si="545"/>
        <v>0</v>
      </c>
      <c r="BR1458" s="680">
        <f t="shared" si="545"/>
        <v>0</v>
      </c>
      <c r="BS1458" s="680">
        <f t="shared" si="545"/>
        <v>0</v>
      </c>
      <c r="BT1458" s="680">
        <f t="shared" si="545"/>
        <v>0</v>
      </c>
      <c r="BU1458" s="680">
        <f t="shared" si="545"/>
        <v>0</v>
      </c>
      <c r="BV1458" s="680">
        <f t="shared" si="545"/>
        <v>0</v>
      </c>
      <c r="BW1458" s="680">
        <f t="shared" si="545"/>
        <v>0</v>
      </c>
      <c r="BX1458" s="680">
        <f t="shared" si="545"/>
        <v>0</v>
      </c>
      <c r="BY1458" s="680">
        <f t="shared" si="545"/>
        <v>0</v>
      </c>
      <c r="BZ1458" s="680">
        <f t="shared" si="545"/>
        <v>0</v>
      </c>
      <c r="CA1458" s="680">
        <f t="shared" si="545"/>
        <v>0</v>
      </c>
    </row>
    <row r="1459" spans="1:79" hidden="1" outlineLevel="1" x14ac:dyDescent="0.35">
      <c r="A1459" s="574"/>
      <c r="B1459" s="574"/>
      <c r="C1459" s="574"/>
      <c r="D1459" s="574"/>
      <c r="E1459" s="574"/>
      <c r="F1459" s="674" t="s">
        <v>652</v>
      </c>
      <c r="G1459" s="735"/>
      <c r="H1459" s="735"/>
      <c r="I1459" s="735"/>
      <c r="J1459" s="735"/>
      <c r="K1459" s="735"/>
      <c r="L1459" s="735"/>
      <c r="M1459" s="735"/>
      <c r="N1459" s="735"/>
      <c r="O1459" s="735"/>
      <c r="P1459" s="732"/>
      <c r="Q1459" s="732"/>
      <c r="R1459" s="736"/>
      <c r="S1459" s="704"/>
      <c r="T1459" s="704"/>
      <c r="U1459" s="704"/>
      <c r="V1459" s="704"/>
      <c r="W1459" s="704"/>
      <c r="X1459" s="704"/>
      <c r="Y1459" s="704"/>
      <c r="Z1459" s="704"/>
      <c r="AA1459" s="704"/>
      <c r="AB1459" s="704"/>
      <c r="AC1459" s="682"/>
      <c r="AD1459" s="682"/>
      <c r="AE1459" s="736"/>
      <c r="AF1459" s="736"/>
      <c r="AG1459" s="736"/>
      <c r="AH1459" s="736"/>
      <c r="AI1459" s="736"/>
      <c r="AJ1459" s="736"/>
      <c r="AK1459" s="736"/>
      <c r="AL1459" s="736"/>
      <c r="AM1459" s="736"/>
      <c r="AN1459" s="736"/>
      <c r="AO1459" s="736"/>
      <c r="AP1459" s="736"/>
      <c r="AQ1459" s="736"/>
      <c r="AR1459" s="736"/>
      <c r="AS1459" s="736"/>
      <c r="AT1459" s="736"/>
      <c r="AU1459" s="736"/>
      <c r="AV1459" s="736"/>
      <c r="AW1459" s="736"/>
      <c r="AX1459" s="736"/>
      <c r="AY1459" s="736"/>
      <c r="AZ1459" s="736"/>
      <c r="BA1459" s="736"/>
      <c r="BB1459" s="736"/>
      <c r="BC1459" s="736"/>
      <c r="BD1459" s="736"/>
      <c r="BE1459" s="736"/>
      <c r="BF1459" s="736"/>
      <c r="BG1459" s="736"/>
      <c r="BH1459" s="736"/>
      <c r="BI1459" s="736"/>
      <c r="BJ1459" s="736"/>
      <c r="BK1459" s="736"/>
      <c r="BL1459" s="736"/>
      <c r="BM1459" s="736"/>
      <c r="BN1459" s="736"/>
      <c r="BO1459" s="736"/>
      <c r="BP1459" s="736"/>
      <c r="BQ1459" s="736"/>
      <c r="BR1459" s="736"/>
      <c r="BS1459" s="736"/>
      <c r="BT1459" s="736"/>
      <c r="BU1459" s="736"/>
      <c r="BV1459" s="736"/>
      <c r="BW1459" s="736"/>
      <c r="BX1459" s="736"/>
      <c r="BY1459" s="736"/>
      <c r="BZ1459" s="736"/>
      <c r="CA1459" s="736"/>
    </row>
    <row r="1460" spans="1:79" hidden="1" outlineLevel="1" x14ac:dyDescent="0.35">
      <c r="A1460" s="574"/>
      <c r="B1460" s="574"/>
      <c r="C1460" s="574"/>
      <c r="D1460" s="574"/>
      <c r="E1460" s="574"/>
      <c r="F1460" s="674" t="s">
        <v>603</v>
      </c>
      <c r="G1460" s="735"/>
      <c r="H1460" s="735"/>
      <c r="I1460" s="735"/>
      <c r="J1460" s="735"/>
      <c r="K1460" s="735"/>
      <c r="L1460" s="735"/>
      <c r="M1460" s="735"/>
      <c r="N1460" s="735"/>
      <c r="O1460" s="735"/>
      <c r="P1460" s="732"/>
      <c r="Q1460" s="732"/>
      <c r="R1460" s="736"/>
      <c r="S1460" s="683"/>
      <c r="T1460" s="683"/>
      <c r="U1460" s="683"/>
      <c r="V1460" s="683"/>
      <c r="W1460" s="683"/>
      <c r="X1460" s="683"/>
      <c r="Y1460" s="683"/>
      <c r="Z1460" s="683"/>
      <c r="AA1460" s="683"/>
      <c r="AB1460" s="683"/>
      <c r="AC1460" s="702"/>
      <c r="AD1460" s="702"/>
      <c r="AE1460" s="736"/>
      <c r="AF1460" s="736"/>
      <c r="AG1460" s="736"/>
      <c r="AH1460" s="736"/>
      <c r="AI1460" s="736"/>
      <c r="AJ1460" s="736"/>
      <c r="AK1460" s="736"/>
      <c r="AL1460" s="736"/>
      <c r="AM1460" s="736"/>
      <c r="AN1460" s="736"/>
      <c r="AO1460" s="736"/>
      <c r="AP1460" s="736"/>
      <c r="AQ1460" s="736"/>
      <c r="AR1460" s="736"/>
      <c r="AS1460" s="736"/>
      <c r="AT1460" s="736"/>
      <c r="AU1460" s="736"/>
      <c r="AV1460" s="736"/>
      <c r="AW1460" s="736"/>
      <c r="AX1460" s="736"/>
      <c r="AY1460" s="736"/>
      <c r="AZ1460" s="736"/>
      <c r="BA1460" s="736"/>
      <c r="BB1460" s="736"/>
      <c r="BC1460" s="736"/>
      <c r="BD1460" s="736"/>
      <c r="BE1460" s="736"/>
      <c r="BF1460" s="736"/>
      <c r="BG1460" s="736"/>
      <c r="BH1460" s="736"/>
      <c r="BI1460" s="736"/>
      <c r="BJ1460" s="736"/>
      <c r="BK1460" s="736"/>
      <c r="BL1460" s="736"/>
      <c r="BM1460" s="736"/>
      <c r="BN1460" s="736"/>
      <c r="BO1460" s="736"/>
      <c r="BP1460" s="736"/>
      <c r="BQ1460" s="736"/>
      <c r="BR1460" s="736"/>
      <c r="BS1460" s="736"/>
      <c r="BT1460" s="736"/>
      <c r="BU1460" s="736"/>
      <c r="BV1460" s="736"/>
      <c r="BW1460" s="736"/>
      <c r="BX1460" s="736"/>
      <c r="BY1460" s="736"/>
      <c r="BZ1460" s="736"/>
      <c r="CA1460" s="736"/>
    </row>
    <row r="1461" spans="1:79" s="709" customFormat="1" hidden="1" outlineLevel="1" x14ac:dyDescent="0.35">
      <c r="A1461" s="726"/>
      <c r="B1461" s="726"/>
      <c r="C1461" s="726"/>
      <c r="D1461" s="726"/>
      <c r="E1461" s="726"/>
      <c r="F1461" s="707" t="s">
        <v>677</v>
      </c>
      <c r="G1461" s="753"/>
      <c r="H1461" s="753"/>
      <c r="I1461" s="753"/>
      <c r="J1461" s="753"/>
      <c r="K1461" s="753"/>
      <c r="L1461" s="753"/>
      <c r="M1461" s="753"/>
      <c r="N1461" s="753"/>
      <c r="O1461" s="753"/>
      <c r="P1461" s="753"/>
      <c r="Q1461" s="753"/>
      <c r="R1461" s="779"/>
      <c r="S1461" s="720"/>
      <c r="T1461" s="720"/>
      <c r="U1461" s="720"/>
      <c r="V1461" s="720"/>
      <c r="W1461" s="720"/>
      <c r="X1461" s="720"/>
      <c r="Y1461" s="720"/>
      <c r="Z1461" s="720"/>
      <c r="AA1461" s="720"/>
      <c r="AB1461" s="720"/>
      <c r="AC1461" s="719"/>
      <c r="AD1461" s="719"/>
      <c r="AE1461" s="752"/>
      <c r="AF1461" s="752"/>
      <c r="AG1461" s="752"/>
      <c r="AH1461" s="752"/>
      <c r="AI1461" s="752"/>
      <c r="AJ1461" s="752"/>
      <c r="AK1461" s="752"/>
      <c r="AL1461" s="752"/>
      <c r="AM1461" s="752"/>
      <c r="AN1461" s="752"/>
      <c r="AO1461" s="752"/>
      <c r="AP1461" s="752"/>
      <c r="AQ1461" s="752"/>
      <c r="AR1461" s="752"/>
      <c r="AS1461" s="752"/>
      <c r="AT1461" s="752"/>
      <c r="AU1461" s="752"/>
      <c r="AV1461" s="752"/>
      <c r="AW1461" s="752"/>
      <c r="AX1461" s="752"/>
      <c r="AY1461" s="752"/>
      <c r="AZ1461" s="752"/>
      <c r="BA1461" s="752"/>
      <c r="BB1461" s="752"/>
      <c r="BC1461" s="752"/>
      <c r="BD1461" s="752"/>
      <c r="BE1461" s="752"/>
      <c r="BF1461" s="752"/>
      <c r="BG1461" s="752"/>
      <c r="BH1461" s="752"/>
      <c r="BI1461" s="752"/>
      <c r="BJ1461" s="752"/>
      <c r="BK1461" s="752"/>
      <c r="BL1461" s="752"/>
      <c r="BM1461" s="752"/>
      <c r="BN1461" s="752"/>
      <c r="BO1461" s="752"/>
      <c r="BP1461" s="752"/>
      <c r="BQ1461" s="752"/>
      <c r="BR1461" s="752"/>
      <c r="BS1461" s="752"/>
      <c r="BT1461" s="752"/>
      <c r="BU1461" s="752"/>
      <c r="BV1461" s="752"/>
      <c r="BW1461" s="752"/>
      <c r="BX1461" s="752"/>
      <c r="BY1461" s="752"/>
      <c r="BZ1461" s="752"/>
      <c r="CA1461" s="752"/>
    </row>
    <row r="1462" spans="1:79" hidden="1" outlineLevel="1" x14ac:dyDescent="0.35">
      <c r="A1462" s="575"/>
      <c r="B1462" s="575"/>
      <c r="C1462" s="575"/>
      <c r="D1462" s="575"/>
      <c r="E1462" s="575"/>
      <c r="F1462" s="672" t="s">
        <v>900</v>
      </c>
      <c r="G1462" s="734"/>
      <c r="H1462" s="734"/>
      <c r="I1462" s="734"/>
      <c r="J1462" s="734"/>
      <c r="K1462" s="734"/>
      <c r="L1462" s="734"/>
      <c r="M1462" s="734"/>
      <c r="N1462" s="734"/>
      <c r="O1462" s="734"/>
      <c r="P1462" s="734"/>
      <c r="Q1462" s="734"/>
      <c r="R1462" s="733"/>
      <c r="S1462" s="683"/>
      <c r="T1462" s="683"/>
      <c r="U1462" s="683"/>
      <c r="V1462" s="683"/>
      <c r="W1462" s="683"/>
      <c r="X1462" s="683"/>
      <c r="Y1462" s="683"/>
      <c r="Z1462" s="683"/>
      <c r="AA1462" s="683"/>
      <c r="AB1462" s="683"/>
      <c r="AC1462" s="702"/>
      <c r="AD1462" s="702"/>
      <c r="AE1462" s="736"/>
      <c r="AF1462" s="736"/>
      <c r="AG1462" s="736"/>
      <c r="AH1462" s="736"/>
      <c r="AI1462" s="736"/>
      <c r="AJ1462" s="736"/>
      <c r="AK1462" s="736"/>
      <c r="AL1462" s="736"/>
      <c r="AM1462" s="736"/>
      <c r="AN1462" s="736"/>
      <c r="AO1462" s="736"/>
      <c r="AP1462" s="736"/>
      <c r="AQ1462" s="736"/>
      <c r="AR1462" s="736"/>
      <c r="AS1462" s="736"/>
      <c r="AT1462" s="736"/>
      <c r="AU1462" s="736"/>
      <c r="AV1462" s="736"/>
      <c r="AW1462" s="736"/>
      <c r="AX1462" s="736"/>
      <c r="AY1462" s="736"/>
      <c r="AZ1462" s="736"/>
      <c r="BA1462" s="736"/>
      <c r="BB1462" s="736"/>
      <c r="BC1462" s="736"/>
      <c r="BD1462" s="736"/>
      <c r="BE1462" s="736"/>
      <c r="BF1462" s="736"/>
      <c r="BG1462" s="736"/>
      <c r="BH1462" s="736"/>
      <c r="BI1462" s="736"/>
      <c r="BJ1462" s="736"/>
      <c r="BK1462" s="736"/>
      <c r="BL1462" s="736"/>
      <c r="BM1462" s="736"/>
      <c r="BN1462" s="736"/>
      <c r="BO1462" s="736"/>
      <c r="BP1462" s="736"/>
      <c r="BQ1462" s="736"/>
      <c r="BR1462" s="736"/>
      <c r="BS1462" s="736"/>
      <c r="BT1462" s="736"/>
      <c r="BU1462" s="736"/>
      <c r="BV1462" s="736"/>
      <c r="BW1462" s="736"/>
      <c r="BX1462" s="736"/>
      <c r="BY1462" s="736"/>
      <c r="BZ1462" s="736"/>
      <c r="CA1462" s="736"/>
    </row>
    <row r="1463" spans="1:79" hidden="1" outlineLevel="1" x14ac:dyDescent="0.35">
      <c r="A1463" s="580"/>
      <c r="B1463" s="580"/>
      <c r="C1463" s="580"/>
      <c r="D1463" s="580"/>
      <c r="E1463" s="580"/>
      <c r="F1463" s="672" t="s">
        <v>678</v>
      </c>
      <c r="G1463" s="734"/>
      <c r="H1463" s="734"/>
      <c r="I1463" s="734"/>
      <c r="J1463" s="734"/>
      <c r="K1463" s="734"/>
      <c r="L1463" s="734"/>
      <c r="M1463" s="734"/>
      <c r="N1463" s="734"/>
      <c r="O1463" s="734"/>
      <c r="P1463" s="734"/>
      <c r="Q1463" s="734"/>
      <c r="R1463" s="733"/>
      <c r="S1463" s="683"/>
      <c r="T1463" s="683"/>
      <c r="U1463" s="683"/>
      <c r="V1463" s="683"/>
      <c r="W1463" s="683"/>
      <c r="X1463" s="683"/>
      <c r="Y1463" s="683"/>
      <c r="Z1463" s="683"/>
      <c r="AA1463" s="683"/>
      <c r="AB1463" s="683"/>
      <c r="AC1463" s="702"/>
      <c r="AD1463" s="702"/>
      <c r="AE1463" s="736"/>
      <c r="AF1463" s="736"/>
      <c r="AG1463" s="736"/>
      <c r="AH1463" s="736"/>
      <c r="AI1463" s="736"/>
      <c r="AJ1463" s="736"/>
      <c r="AK1463" s="736"/>
      <c r="AL1463" s="736"/>
      <c r="AM1463" s="736"/>
      <c r="AN1463" s="736"/>
      <c r="AO1463" s="736"/>
      <c r="AP1463" s="736"/>
      <c r="AQ1463" s="736"/>
      <c r="AR1463" s="736"/>
      <c r="AS1463" s="736"/>
      <c r="AT1463" s="736"/>
      <c r="AU1463" s="736"/>
      <c r="AV1463" s="736"/>
      <c r="AW1463" s="736"/>
      <c r="AX1463" s="736"/>
      <c r="AY1463" s="736"/>
      <c r="AZ1463" s="736"/>
      <c r="BA1463" s="736"/>
      <c r="BB1463" s="736"/>
      <c r="BC1463" s="736"/>
      <c r="BD1463" s="736"/>
      <c r="BE1463" s="736"/>
      <c r="BF1463" s="736"/>
      <c r="BG1463" s="736"/>
      <c r="BH1463" s="736"/>
      <c r="BI1463" s="736"/>
      <c r="BJ1463" s="736"/>
      <c r="BK1463" s="736"/>
      <c r="BL1463" s="736"/>
      <c r="BM1463" s="736"/>
      <c r="BN1463" s="736"/>
      <c r="BO1463" s="736"/>
      <c r="BP1463" s="736"/>
      <c r="BQ1463" s="736"/>
      <c r="BR1463" s="736"/>
      <c r="BS1463" s="736"/>
      <c r="BT1463" s="736"/>
      <c r="BU1463" s="736"/>
      <c r="BV1463" s="736"/>
      <c r="BW1463" s="736"/>
      <c r="BX1463" s="736"/>
      <c r="BY1463" s="736"/>
      <c r="BZ1463" s="736"/>
      <c r="CA1463" s="736"/>
    </row>
    <row r="1464" spans="1:79" hidden="1" outlineLevel="1" x14ac:dyDescent="0.35">
      <c r="A1464" s="580"/>
      <c r="B1464" s="580"/>
      <c r="C1464" s="580"/>
      <c r="D1464" s="580"/>
      <c r="E1464" s="580"/>
      <c r="F1464" s="672" t="s">
        <v>901</v>
      </c>
      <c r="G1464" s="734"/>
      <c r="H1464" s="734"/>
      <c r="I1464" s="734"/>
      <c r="J1464" s="734"/>
      <c r="K1464" s="734"/>
      <c r="L1464" s="734"/>
      <c r="M1464" s="734"/>
      <c r="N1464" s="734"/>
      <c r="O1464" s="734"/>
      <c r="P1464" s="734"/>
      <c r="Q1464" s="734"/>
      <c r="R1464" s="733"/>
      <c r="S1464" s="683"/>
      <c r="T1464" s="683"/>
      <c r="U1464" s="683"/>
      <c r="V1464" s="683"/>
      <c r="W1464" s="683"/>
      <c r="X1464" s="683"/>
      <c r="Y1464" s="683"/>
      <c r="Z1464" s="683"/>
      <c r="AA1464" s="683"/>
      <c r="AB1464" s="683"/>
      <c r="AC1464" s="702"/>
      <c r="AD1464" s="702"/>
      <c r="AE1464" s="736"/>
      <c r="AF1464" s="736"/>
      <c r="AG1464" s="736"/>
      <c r="AH1464" s="736"/>
      <c r="AI1464" s="736"/>
      <c r="AJ1464" s="736"/>
      <c r="AK1464" s="736"/>
      <c r="AL1464" s="736"/>
      <c r="AM1464" s="736"/>
      <c r="AN1464" s="736"/>
      <c r="AO1464" s="736"/>
      <c r="AP1464" s="736"/>
      <c r="AQ1464" s="736"/>
      <c r="AR1464" s="736"/>
      <c r="AS1464" s="736"/>
      <c r="AT1464" s="736"/>
      <c r="AU1464" s="736"/>
      <c r="AV1464" s="736"/>
      <c r="AW1464" s="736"/>
      <c r="AX1464" s="736"/>
      <c r="AY1464" s="736"/>
      <c r="AZ1464" s="736"/>
      <c r="BA1464" s="736"/>
      <c r="BB1464" s="736"/>
      <c r="BC1464" s="736"/>
      <c r="BD1464" s="736"/>
      <c r="BE1464" s="736"/>
      <c r="BF1464" s="736"/>
      <c r="BG1464" s="736"/>
      <c r="BH1464" s="736"/>
      <c r="BI1464" s="736"/>
      <c r="BJ1464" s="736"/>
      <c r="BK1464" s="736"/>
      <c r="BL1464" s="736"/>
      <c r="BM1464" s="736"/>
      <c r="BN1464" s="736"/>
      <c r="BO1464" s="736"/>
      <c r="BP1464" s="736"/>
      <c r="BQ1464" s="736"/>
      <c r="BR1464" s="736"/>
      <c r="BS1464" s="736"/>
      <c r="BT1464" s="736"/>
      <c r="BU1464" s="736"/>
      <c r="BV1464" s="736"/>
      <c r="BW1464" s="736"/>
      <c r="BX1464" s="736"/>
      <c r="BY1464" s="736"/>
      <c r="BZ1464" s="736"/>
      <c r="CA1464" s="736"/>
    </row>
    <row r="1465" spans="1:79" hidden="1" outlineLevel="1" x14ac:dyDescent="0.35">
      <c r="A1465" s="580"/>
      <c r="B1465" s="580"/>
      <c r="C1465" s="580"/>
      <c r="D1465" s="580"/>
      <c r="E1465" s="580"/>
      <c r="F1465" s="672" t="s">
        <v>771</v>
      </c>
      <c r="G1465" s="735"/>
      <c r="H1465" s="732"/>
      <c r="I1465" s="732"/>
      <c r="J1465" s="732"/>
      <c r="K1465" s="732"/>
      <c r="L1465" s="732"/>
      <c r="M1465" s="732"/>
      <c r="N1465" s="732"/>
      <c r="O1465" s="732"/>
      <c r="P1465" s="732"/>
      <c r="Q1465" s="732"/>
      <c r="R1465" s="736"/>
      <c r="S1465" s="683"/>
      <c r="T1465" s="683"/>
      <c r="U1465" s="683"/>
      <c r="V1465" s="683"/>
      <c r="W1465" s="683"/>
      <c r="X1465" s="683"/>
      <c r="Y1465" s="683"/>
      <c r="Z1465" s="683"/>
      <c r="AA1465" s="683"/>
      <c r="AB1465" s="683"/>
      <c r="AC1465" s="702"/>
      <c r="AD1465" s="702"/>
      <c r="AE1465" s="736"/>
      <c r="AF1465" s="736"/>
      <c r="AG1465" s="736"/>
      <c r="AH1465" s="736"/>
      <c r="AI1465" s="736"/>
      <c r="AJ1465" s="736"/>
      <c r="AK1465" s="736"/>
      <c r="AL1465" s="736"/>
      <c r="AM1465" s="736"/>
      <c r="AN1465" s="736"/>
      <c r="AO1465" s="736"/>
      <c r="AP1465" s="736"/>
      <c r="AQ1465" s="736"/>
      <c r="AR1465" s="736"/>
      <c r="AS1465" s="736"/>
      <c r="AT1465" s="736"/>
      <c r="AU1465" s="736"/>
      <c r="AV1465" s="736"/>
      <c r="AW1465" s="736"/>
      <c r="AX1465" s="736"/>
      <c r="AY1465" s="736"/>
      <c r="AZ1465" s="736"/>
      <c r="BA1465" s="736"/>
      <c r="BB1465" s="736"/>
      <c r="BC1465" s="736"/>
      <c r="BD1465" s="736"/>
      <c r="BE1465" s="736"/>
      <c r="BF1465" s="736"/>
      <c r="BG1465" s="736"/>
      <c r="BH1465" s="736"/>
      <c r="BI1465" s="736"/>
      <c r="BJ1465" s="736"/>
      <c r="BK1465" s="736"/>
      <c r="BL1465" s="736"/>
      <c r="BM1465" s="736"/>
      <c r="BN1465" s="736"/>
      <c r="BO1465" s="736"/>
      <c r="BP1465" s="736"/>
      <c r="BQ1465" s="736"/>
      <c r="BR1465" s="736"/>
      <c r="BS1465" s="736"/>
      <c r="BT1465" s="736"/>
      <c r="BU1465" s="736"/>
      <c r="BV1465" s="736"/>
      <c r="BW1465" s="736"/>
      <c r="BX1465" s="736"/>
      <c r="BY1465" s="736"/>
      <c r="BZ1465" s="736"/>
      <c r="CA1465" s="736"/>
    </row>
    <row r="1466" spans="1:79" hidden="1" outlineLevel="1" x14ac:dyDescent="0.35">
      <c r="A1466" s="575"/>
      <c r="B1466" s="575"/>
      <c r="C1466" s="575"/>
      <c r="D1466" s="575"/>
      <c r="E1466" s="575"/>
      <c r="F1466" s="673" t="s">
        <v>679</v>
      </c>
      <c r="G1466" s="680"/>
      <c r="H1466" s="680"/>
      <c r="I1466" s="680"/>
      <c r="J1466" s="680"/>
      <c r="K1466" s="680"/>
      <c r="L1466" s="680"/>
      <c r="M1466" s="680"/>
      <c r="N1466" s="680"/>
      <c r="O1466" s="680"/>
      <c r="P1466" s="680"/>
      <c r="Q1466" s="680"/>
      <c r="R1466" s="680"/>
      <c r="S1466" s="694"/>
      <c r="T1466" s="694"/>
      <c r="U1466" s="694"/>
      <c r="V1466" s="694"/>
      <c r="W1466" s="694"/>
      <c r="X1466" s="694"/>
      <c r="Y1466" s="694"/>
      <c r="Z1466" s="694"/>
      <c r="AA1466" s="694"/>
      <c r="AB1466" s="694"/>
      <c r="AC1466" s="694"/>
      <c r="AD1466" s="694"/>
      <c r="AE1466" s="680">
        <f t="shared" ref="AE1466:BO1466" si="546">SUM(AE1462:AE1465)</f>
        <v>0</v>
      </c>
      <c r="AF1466" s="680">
        <f t="shared" si="546"/>
        <v>0</v>
      </c>
      <c r="AG1466" s="680">
        <f t="shared" si="546"/>
        <v>0</v>
      </c>
      <c r="AH1466" s="680">
        <f t="shared" si="546"/>
        <v>0</v>
      </c>
      <c r="AI1466" s="680">
        <f t="shared" si="546"/>
        <v>0</v>
      </c>
      <c r="AJ1466" s="680">
        <f t="shared" si="546"/>
        <v>0</v>
      </c>
      <c r="AK1466" s="680">
        <f t="shared" si="546"/>
        <v>0</v>
      </c>
      <c r="AL1466" s="680">
        <f t="shared" si="546"/>
        <v>0</v>
      </c>
      <c r="AM1466" s="680">
        <f t="shared" si="546"/>
        <v>0</v>
      </c>
      <c r="AN1466" s="680">
        <f t="shared" si="546"/>
        <v>0</v>
      </c>
      <c r="AO1466" s="680">
        <f t="shared" si="546"/>
        <v>0</v>
      </c>
      <c r="AP1466" s="680">
        <f t="shared" si="546"/>
        <v>0</v>
      </c>
      <c r="AQ1466" s="680">
        <f t="shared" si="546"/>
        <v>0</v>
      </c>
      <c r="AR1466" s="680">
        <f t="shared" si="546"/>
        <v>0</v>
      </c>
      <c r="AS1466" s="680">
        <f t="shared" si="546"/>
        <v>0</v>
      </c>
      <c r="AT1466" s="680">
        <f t="shared" si="546"/>
        <v>0</v>
      </c>
      <c r="AU1466" s="680">
        <f t="shared" si="546"/>
        <v>0</v>
      </c>
      <c r="AV1466" s="680">
        <f t="shared" si="546"/>
        <v>0</v>
      </c>
      <c r="AW1466" s="680">
        <f t="shared" si="546"/>
        <v>0</v>
      </c>
      <c r="AX1466" s="680">
        <f t="shared" si="546"/>
        <v>0</v>
      </c>
      <c r="AY1466" s="680">
        <f t="shared" si="546"/>
        <v>0</v>
      </c>
      <c r="AZ1466" s="680">
        <f t="shared" si="546"/>
        <v>0</v>
      </c>
      <c r="BA1466" s="680">
        <f t="shared" si="546"/>
        <v>0</v>
      </c>
      <c r="BB1466" s="680">
        <f t="shared" si="546"/>
        <v>0</v>
      </c>
      <c r="BC1466" s="680">
        <f t="shared" si="546"/>
        <v>0</v>
      </c>
      <c r="BD1466" s="680">
        <f t="shared" si="546"/>
        <v>0</v>
      </c>
      <c r="BE1466" s="680">
        <f t="shared" si="546"/>
        <v>0</v>
      </c>
      <c r="BF1466" s="680">
        <f t="shared" si="546"/>
        <v>0</v>
      </c>
      <c r="BG1466" s="680">
        <f t="shared" si="546"/>
        <v>0</v>
      </c>
      <c r="BH1466" s="680">
        <f t="shared" si="546"/>
        <v>0</v>
      </c>
      <c r="BI1466" s="680">
        <f t="shared" si="546"/>
        <v>0</v>
      </c>
      <c r="BJ1466" s="680">
        <f t="shared" si="546"/>
        <v>0</v>
      </c>
      <c r="BK1466" s="680">
        <f t="shared" si="546"/>
        <v>0</v>
      </c>
      <c r="BL1466" s="680">
        <f t="shared" si="546"/>
        <v>0</v>
      </c>
      <c r="BM1466" s="680">
        <f t="shared" si="546"/>
        <v>0</v>
      </c>
      <c r="BN1466" s="680">
        <f t="shared" si="546"/>
        <v>0</v>
      </c>
      <c r="BO1466" s="680">
        <f t="shared" si="546"/>
        <v>0</v>
      </c>
      <c r="BP1466" s="680">
        <f t="shared" ref="BP1466:CA1466" si="547">SUM(BP1462:BP1465)</f>
        <v>0</v>
      </c>
      <c r="BQ1466" s="680">
        <f t="shared" si="547"/>
        <v>0</v>
      </c>
      <c r="BR1466" s="680">
        <f t="shared" si="547"/>
        <v>0</v>
      </c>
      <c r="BS1466" s="680">
        <f t="shared" si="547"/>
        <v>0</v>
      </c>
      <c r="BT1466" s="680">
        <f t="shared" si="547"/>
        <v>0</v>
      </c>
      <c r="BU1466" s="680">
        <f t="shared" si="547"/>
        <v>0</v>
      </c>
      <c r="BV1466" s="680">
        <f t="shared" si="547"/>
        <v>0</v>
      </c>
      <c r="BW1466" s="680">
        <f t="shared" si="547"/>
        <v>0</v>
      </c>
      <c r="BX1466" s="680">
        <f t="shared" si="547"/>
        <v>0</v>
      </c>
      <c r="BY1466" s="680">
        <f t="shared" si="547"/>
        <v>0</v>
      </c>
      <c r="BZ1466" s="680">
        <f t="shared" si="547"/>
        <v>0</v>
      </c>
      <c r="CA1466" s="680">
        <f t="shared" si="547"/>
        <v>0</v>
      </c>
    </row>
    <row r="1467" spans="1:79" hidden="1" outlineLevel="1" x14ac:dyDescent="0.35">
      <c r="A1467" s="574"/>
      <c r="B1467" s="574"/>
      <c r="C1467" s="574"/>
      <c r="D1467" s="574"/>
      <c r="E1467" s="574"/>
      <c r="F1467" s="674" t="s">
        <v>604</v>
      </c>
      <c r="G1467" s="732"/>
      <c r="H1467" s="732"/>
      <c r="I1467" s="732"/>
      <c r="J1467" s="732"/>
      <c r="K1467" s="732"/>
      <c r="L1467" s="732"/>
      <c r="M1467" s="732"/>
      <c r="N1467" s="732"/>
      <c r="O1467" s="735"/>
      <c r="P1467" s="732"/>
      <c r="Q1467" s="732"/>
      <c r="R1467" s="736"/>
      <c r="S1467" s="683"/>
      <c r="T1467" s="683"/>
      <c r="U1467" s="683"/>
      <c r="V1467" s="683"/>
      <c r="W1467" s="683"/>
      <c r="X1467" s="683"/>
      <c r="Y1467" s="683"/>
      <c r="Z1467" s="683"/>
      <c r="AA1467" s="683"/>
      <c r="AB1467" s="683"/>
      <c r="AC1467" s="702"/>
      <c r="AD1467" s="702"/>
      <c r="AE1467" s="736"/>
      <c r="AF1467" s="736"/>
      <c r="AG1467" s="736"/>
      <c r="AH1467" s="736"/>
      <c r="AI1467" s="736"/>
      <c r="AJ1467" s="736"/>
      <c r="AK1467" s="736"/>
      <c r="AL1467" s="736"/>
      <c r="AM1467" s="736"/>
      <c r="AN1467" s="736"/>
      <c r="AO1467" s="736"/>
      <c r="AP1467" s="736"/>
      <c r="AQ1467" s="736"/>
      <c r="AR1467" s="736"/>
      <c r="AS1467" s="736"/>
      <c r="AT1467" s="736"/>
      <c r="AU1467" s="736"/>
      <c r="AV1467" s="736"/>
      <c r="AW1467" s="736"/>
      <c r="AX1467" s="736"/>
      <c r="AY1467" s="736"/>
      <c r="AZ1467" s="736"/>
      <c r="BA1467" s="736"/>
      <c r="BB1467" s="736"/>
      <c r="BC1467" s="736"/>
      <c r="BD1467" s="736"/>
      <c r="BE1467" s="736"/>
      <c r="BF1467" s="736"/>
      <c r="BG1467" s="736"/>
      <c r="BH1467" s="736"/>
      <c r="BI1467" s="736"/>
      <c r="BJ1467" s="736"/>
      <c r="BK1467" s="736"/>
      <c r="BL1467" s="736"/>
      <c r="BM1467" s="736"/>
      <c r="BN1467" s="736"/>
      <c r="BO1467" s="736"/>
      <c r="BP1467" s="736"/>
      <c r="BQ1467" s="736"/>
      <c r="BR1467" s="736"/>
      <c r="BS1467" s="736"/>
      <c r="BT1467" s="736"/>
      <c r="BU1467" s="736"/>
      <c r="BV1467" s="736"/>
      <c r="BW1467" s="736"/>
      <c r="BX1467" s="736"/>
      <c r="BY1467" s="736"/>
      <c r="BZ1467" s="736"/>
      <c r="CA1467" s="736"/>
    </row>
    <row r="1468" spans="1:79" s="709" customFormat="1" hidden="1" outlineLevel="1" x14ac:dyDescent="0.35">
      <c r="A1468" s="716"/>
      <c r="B1468" s="716"/>
      <c r="C1468" s="716"/>
      <c r="D1468" s="716"/>
      <c r="E1468" s="716"/>
      <c r="F1468" s="717" t="s">
        <v>605</v>
      </c>
      <c r="G1468" s="750"/>
      <c r="H1468" s="750"/>
      <c r="I1468" s="750"/>
      <c r="J1468" s="750"/>
      <c r="K1468" s="750"/>
      <c r="L1468" s="750"/>
      <c r="M1468" s="750"/>
      <c r="N1468" s="750"/>
      <c r="O1468" s="750"/>
      <c r="P1468" s="753"/>
      <c r="Q1468" s="753"/>
      <c r="R1468" s="779"/>
      <c r="S1468" s="713"/>
      <c r="T1468" s="713"/>
      <c r="U1468" s="713"/>
      <c r="V1468" s="713"/>
      <c r="W1468" s="713"/>
      <c r="X1468" s="713"/>
      <c r="Y1468" s="713"/>
      <c r="Z1468" s="713"/>
      <c r="AA1468" s="713"/>
      <c r="AB1468" s="713"/>
      <c r="AC1468" s="727"/>
      <c r="AD1468" s="727"/>
      <c r="AE1468" s="752"/>
      <c r="AF1468" s="752"/>
      <c r="AG1468" s="752"/>
      <c r="AH1468" s="752"/>
      <c r="AI1468" s="752"/>
      <c r="AJ1468" s="752"/>
      <c r="AK1468" s="752"/>
      <c r="AL1468" s="752"/>
      <c r="AM1468" s="752"/>
      <c r="AN1468" s="752"/>
      <c r="AO1468" s="752"/>
      <c r="AP1468" s="752"/>
      <c r="AQ1468" s="752"/>
      <c r="AR1468" s="752"/>
      <c r="AS1468" s="752"/>
      <c r="AT1468" s="752"/>
      <c r="AU1468" s="752"/>
      <c r="AV1468" s="752"/>
      <c r="AW1468" s="752"/>
      <c r="AX1468" s="752"/>
      <c r="AY1468" s="752"/>
      <c r="AZ1468" s="752"/>
      <c r="BA1468" s="752"/>
      <c r="BB1468" s="752"/>
      <c r="BC1468" s="752"/>
      <c r="BD1468" s="752"/>
      <c r="BE1468" s="752"/>
      <c r="BF1468" s="752"/>
      <c r="BG1468" s="752"/>
      <c r="BH1468" s="752"/>
      <c r="BI1468" s="752"/>
      <c r="BJ1468" s="752"/>
      <c r="BK1468" s="752"/>
      <c r="BL1468" s="752"/>
      <c r="BM1468" s="752"/>
      <c r="BN1468" s="752"/>
      <c r="BO1468" s="752"/>
      <c r="BP1468" s="752"/>
      <c r="BQ1468" s="752"/>
      <c r="BR1468" s="752"/>
      <c r="BS1468" s="752"/>
      <c r="BT1468" s="752"/>
      <c r="BU1468" s="752"/>
      <c r="BV1468" s="752"/>
      <c r="BW1468" s="752"/>
      <c r="BX1468" s="752"/>
      <c r="BY1468" s="752"/>
      <c r="BZ1468" s="752"/>
      <c r="CA1468" s="752"/>
    </row>
    <row r="1469" spans="1:79" hidden="1" outlineLevel="1" x14ac:dyDescent="0.35">
      <c r="A1469" s="504"/>
      <c r="B1469" s="504"/>
      <c r="C1469" s="504"/>
      <c r="D1469" s="504"/>
      <c r="E1469" s="504"/>
      <c r="F1469" s="672" t="s">
        <v>902</v>
      </c>
      <c r="G1469" s="735"/>
      <c r="H1469" s="735"/>
      <c r="I1469" s="735"/>
      <c r="J1469" s="735"/>
      <c r="K1469" s="735"/>
      <c r="L1469" s="735"/>
      <c r="M1469" s="735"/>
      <c r="N1469" s="735"/>
      <c r="O1469" s="735"/>
      <c r="P1469" s="734"/>
      <c r="Q1469" s="734"/>
      <c r="R1469" s="733"/>
      <c r="S1469" s="687"/>
      <c r="T1469" s="687"/>
      <c r="U1469" s="687"/>
      <c r="V1469" s="687"/>
      <c r="W1469" s="687"/>
      <c r="X1469" s="687"/>
      <c r="Y1469" s="687"/>
      <c r="Z1469" s="687"/>
      <c r="AA1469" s="687"/>
      <c r="AB1469" s="687"/>
      <c r="AC1469" s="705"/>
      <c r="AD1469" s="705"/>
      <c r="AE1469" s="736"/>
      <c r="AF1469" s="736"/>
      <c r="AG1469" s="736"/>
      <c r="AH1469" s="736"/>
      <c r="AI1469" s="736"/>
      <c r="AJ1469" s="736"/>
      <c r="AK1469" s="736"/>
      <c r="AL1469" s="736"/>
      <c r="AM1469" s="736"/>
      <c r="AN1469" s="736"/>
      <c r="AO1469" s="736"/>
      <c r="AP1469" s="736"/>
      <c r="AQ1469" s="736"/>
      <c r="AR1469" s="736"/>
      <c r="AS1469" s="736"/>
      <c r="AT1469" s="736"/>
      <c r="AU1469" s="736"/>
      <c r="AV1469" s="736"/>
      <c r="AW1469" s="736"/>
      <c r="AX1469" s="736"/>
      <c r="AY1469" s="736"/>
      <c r="AZ1469" s="736"/>
      <c r="BA1469" s="736"/>
      <c r="BB1469" s="736"/>
      <c r="BC1469" s="736"/>
      <c r="BD1469" s="736"/>
      <c r="BE1469" s="736"/>
      <c r="BF1469" s="736"/>
      <c r="BG1469" s="736"/>
      <c r="BH1469" s="736"/>
      <c r="BI1469" s="736"/>
      <c r="BJ1469" s="736"/>
      <c r="BK1469" s="736"/>
      <c r="BL1469" s="736"/>
      <c r="BM1469" s="736"/>
      <c r="BN1469" s="736"/>
      <c r="BO1469" s="736"/>
      <c r="BP1469" s="736"/>
      <c r="BQ1469" s="736"/>
      <c r="BR1469" s="736"/>
      <c r="BS1469" s="736"/>
      <c r="BT1469" s="736"/>
      <c r="BU1469" s="736"/>
      <c r="BV1469" s="736"/>
      <c r="BW1469" s="736"/>
      <c r="BX1469" s="736"/>
      <c r="BY1469" s="736"/>
      <c r="BZ1469" s="736"/>
      <c r="CA1469" s="736"/>
    </row>
    <row r="1470" spans="1:79" hidden="1" outlineLevel="1" x14ac:dyDescent="0.35">
      <c r="A1470" s="504"/>
      <c r="B1470" s="504"/>
      <c r="C1470" s="504"/>
      <c r="D1470" s="504"/>
      <c r="E1470" s="504"/>
      <c r="F1470" s="677" t="s">
        <v>903</v>
      </c>
      <c r="G1470" s="735"/>
      <c r="H1470" s="735"/>
      <c r="I1470" s="735"/>
      <c r="J1470" s="735"/>
      <c r="K1470" s="735"/>
      <c r="L1470" s="735"/>
      <c r="M1470" s="735"/>
      <c r="N1470" s="735"/>
      <c r="O1470" s="735"/>
      <c r="P1470" s="734"/>
      <c r="Q1470" s="734"/>
      <c r="R1470" s="733"/>
      <c r="S1470" s="687"/>
      <c r="T1470" s="687"/>
      <c r="U1470" s="687"/>
      <c r="V1470" s="687"/>
      <c r="W1470" s="687"/>
      <c r="X1470" s="687"/>
      <c r="Y1470" s="687"/>
      <c r="Z1470" s="687"/>
      <c r="AA1470" s="687"/>
      <c r="AB1470" s="687"/>
      <c r="AC1470" s="705"/>
      <c r="AD1470" s="705"/>
      <c r="AE1470" s="736"/>
      <c r="AF1470" s="736"/>
      <c r="AG1470" s="736"/>
      <c r="AH1470" s="736"/>
      <c r="AI1470" s="736"/>
      <c r="AJ1470" s="736"/>
      <c r="AK1470" s="736"/>
      <c r="AL1470" s="736"/>
      <c r="AM1470" s="736"/>
      <c r="AN1470" s="736"/>
      <c r="AO1470" s="736"/>
      <c r="AP1470" s="736"/>
      <c r="AQ1470" s="736"/>
      <c r="AR1470" s="736"/>
      <c r="AS1470" s="736"/>
      <c r="AT1470" s="736"/>
      <c r="AU1470" s="736"/>
      <c r="AV1470" s="736"/>
      <c r="AW1470" s="736"/>
      <c r="AX1470" s="736"/>
      <c r="AY1470" s="736"/>
      <c r="AZ1470" s="736"/>
      <c r="BA1470" s="736"/>
      <c r="BB1470" s="736"/>
      <c r="BC1470" s="736"/>
      <c r="BD1470" s="736"/>
      <c r="BE1470" s="736"/>
      <c r="BF1470" s="736"/>
      <c r="BG1470" s="736"/>
      <c r="BH1470" s="736"/>
      <c r="BI1470" s="736"/>
      <c r="BJ1470" s="736"/>
      <c r="BK1470" s="736"/>
      <c r="BL1470" s="736"/>
      <c r="BM1470" s="736"/>
      <c r="BN1470" s="736"/>
      <c r="BO1470" s="736"/>
      <c r="BP1470" s="736"/>
      <c r="BQ1470" s="736"/>
      <c r="BR1470" s="736"/>
      <c r="BS1470" s="736"/>
      <c r="BT1470" s="736"/>
      <c r="BU1470" s="736"/>
      <c r="BV1470" s="736"/>
      <c r="BW1470" s="736"/>
      <c r="BX1470" s="736"/>
      <c r="BY1470" s="736"/>
      <c r="BZ1470" s="736"/>
      <c r="CA1470" s="736"/>
    </row>
    <row r="1471" spans="1:79" hidden="1" outlineLevel="1" x14ac:dyDescent="0.35">
      <c r="A1471" s="504"/>
      <c r="B1471" s="504"/>
      <c r="C1471" s="504"/>
      <c r="D1471" s="504"/>
      <c r="E1471" s="504"/>
      <c r="F1471" s="677" t="s">
        <v>904</v>
      </c>
      <c r="G1471" s="735"/>
      <c r="H1471" s="735"/>
      <c r="I1471" s="735"/>
      <c r="J1471" s="735"/>
      <c r="K1471" s="735"/>
      <c r="L1471" s="735"/>
      <c r="M1471" s="735"/>
      <c r="N1471" s="735"/>
      <c r="O1471" s="735"/>
      <c r="P1471" s="734"/>
      <c r="Q1471" s="734"/>
      <c r="R1471" s="733"/>
      <c r="S1471" s="687"/>
      <c r="T1471" s="687"/>
      <c r="U1471" s="687"/>
      <c r="V1471" s="687"/>
      <c r="W1471" s="687"/>
      <c r="X1471" s="687"/>
      <c r="Y1471" s="687"/>
      <c r="Z1471" s="687"/>
      <c r="AA1471" s="687"/>
      <c r="AB1471" s="687"/>
      <c r="AC1471" s="705"/>
      <c r="AD1471" s="705"/>
      <c r="AE1471" s="736"/>
      <c r="AF1471" s="736"/>
      <c r="AG1471" s="736"/>
      <c r="AH1471" s="736"/>
      <c r="AI1471" s="736"/>
      <c r="AJ1471" s="736"/>
      <c r="AK1471" s="736"/>
      <c r="AL1471" s="736"/>
      <c r="AM1471" s="736"/>
      <c r="AN1471" s="736"/>
      <c r="AO1471" s="736"/>
      <c r="AP1471" s="736"/>
      <c r="AQ1471" s="736"/>
      <c r="AR1471" s="736"/>
      <c r="AS1471" s="736"/>
      <c r="AT1471" s="736"/>
      <c r="AU1471" s="736"/>
      <c r="AV1471" s="736"/>
      <c r="AW1471" s="736"/>
      <c r="AX1471" s="736"/>
      <c r="AY1471" s="736"/>
      <c r="AZ1471" s="736"/>
      <c r="BA1471" s="736"/>
      <c r="BB1471" s="736"/>
      <c r="BC1471" s="736"/>
      <c r="BD1471" s="736"/>
      <c r="BE1471" s="736"/>
      <c r="BF1471" s="736"/>
      <c r="BG1471" s="736"/>
      <c r="BH1471" s="736"/>
      <c r="BI1471" s="736"/>
      <c r="BJ1471" s="736"/>
      <c r="BK1471" s="736"/>
      <c r="BL1471" s="736"/>
      <c r="BM1471" s="736"/>
      <c r="BN1471" s="736"/>
      <c r="BO1471" s="736"/>
      <c r="BP1471" s="736"/>
      <c r="BQ1471" s="736"/>
      <c r="BR1471" s="736"/>
      <c r="BS1471" s="736"/>
      <c r="BT1471" s="736"/>
      <c r="BU1471" s="736"/>
      <c r="BV1471" s="736"/>
      <c r="BW1471" s="736"/>
      <c r="BX1471" s="736"/>
      <c r="BY1471" s="736"/>
      <c r="BZ1471" s="736"/>
      <c r="CA1471" s="736"/>
    </row>
    <row r="1472" spans="1:79" hidden="1" outlineLevel="1" x14ac:dyDescent="0.35">
      <c r="A1472" s="504"/>
      <c r="B1472" s="504"/>
      <c r="C1472" s="504"/>
      <c r="D1472" s="504"/>
      <c r="E1472" s="504"/>
      <c r="F1472" s="677" t="s">
        <v>905</v>
      </c>
      <c r="G1472" s="735"/>
      <c r="H1472" s="735"/>
      <c r="I1472" s="735"/>
      <c r="J1472" s="735"/>
      <c r="K1472" s="735"/>
      <c r="L1472" s="735"/>
      <c r="M1472" s="735"/>
      <c r="N1472" s="735"/>
      <c r="O1472" s="735"/>
      <c r="P1472" s="734"/>
      <c r="Q1472" s="734"/>
      <c r="R1472" s="733"/>
      <c r="S1472" s="687"/>
      <c r="T1472" s="687"/>
      <c r="U1472" s="687"/>
      <c r="V1472" s="687"/>
      <c r="W1472" s="687"/>
      <c r="X1472" s="687"/>
      <c r="Y1472" s="687"/>
      <c r="Z1472" s="687"/>
      <c r="AA1472" s="687"/>
      <c r="AB1472" s="687"/>
      <c r="AC1472" s="705"/>
      <c r="AD1472" s="705"/>
      <c r="AE1472" s="736"/>
      <c r="AF1472" s="736"/>
      <c r="AG1472" s="736"/>
      <c r="AH1472" s="736"/>
      <c r="AI1472" s="736"/>
      <c r="AJ1472" s="736"/>
      <c r="AK1472" s="736"/>
      <c r="AL1472" s="736"/>
      <c r="AM1472" s="736"/>
      <c r="AN1472" s="736"/>
      <c r="AO1472" s="736"/>
      <c r="AP1472" s="736"/>
      <c r="AQ1472" s="736"/>
      <c r="AR1472" s="736"/>
      <c r="AS1472" s="736"/>
      <c r="AT1472" s="736"/>
      <c r="AU1472" s="736"/>
      <c r="AV1472" s="736"/>
      <c r="AW1472" s="736"/>
      <c r="AX1472" s="736"/>
      <c r="AY1472" s="736"/>
      <c r="AZ1472" s="736"/>
      <c r="BA1472" s="736"/>
      <c r="BB1472" s="736"/>
      <c r="BC1472" s="736"/>
      <c r="BD1472" s="736"/>
      <c r="BE1472" s="736"/>
      <c r="BF1472" s="736"/>
      <c r="BG1472" s="736"/>
      <c r="BH1472" s="736"/>
      <c r="BI1472" s="736"/>
      <c r="BJ1472" s="736"/>
      <c r="BK1472" s="736"/>
      <c r="BL1472" s="736"/>
      <c r="BM1472" s="736"/>
      <c r="BN1472" s="736"/>
      <c r="BO1472" s="736"/>
      <c r="BP1472" s="736"/>
      <c r="BQ1472" s="736"/>
      <c r="BR1472" s="736"/>
      <c r="BS1472" s="736"/>
      <c r="BT1472" s="736"/>
      <c r="BU1472" s="736"/>
      <c r="BV1472" s="736"/>
      <c r="BW1472" s="736"/>
      <c r="BX1472" s="736"/>
      <c r="BY1472" s="736"/>
      <c r="BZ1472" s="736"/>
      <c r="CA1472" s="736"/>
    </row>
    <row r="1473" spans="1:79" hidden="1" outlineLevel="1" x14ac:dyDescent="0.35">
      <c r="A1473" s="504"/>
      <c r="B1473" s="504"/>
      <c r="C1473" s="504"/>
      <c r="D1473" s="504"/>
      <c r="E1473" s="504"/>
      <c r="F1473" s="677" t="s">
        <v>906</v>
      </c>
      <c r="G1473" s="735"/>
      <c r="H1473" s="735"/>
      <c r="I1473" s="735"/>
      <c r="J1473" s="735"/>
      <c r="K1473" s="735"/>
      <c r="L1473" s="735"/>
      <c r="M1473" s="735"/>
      <c r="N1473" s="735"/>
      <c r="O1473" s="735"/>
      <c r="P1473" s="734"/>
      <c r="Q1473" s="734"/>
      <c r="R1473" s="733"/>
      <c r="S1473" s="687"/>
      <c r="T1473" s="687"/>
      <c r="U1473" s="687"/>
      <c r="V1473" s="687"/>
      <c r="W1473" s="687"/>
      <c r="X1473" s="687"/>
      <c r="Y1473" s="687"/>
      <c r="Z1473" s="687"/>
      <c r="AA1473" s="687"/>
      <c r="AB1473" s="687"/>
      <c r="AC1473" s="705"/>
      <c r="AD1473" s="705"/>
      <c r="AE1473" s="736"/>
      <c r="AF1473" s="736"/>
      <c r="AG1473" s="736"/>
      <c r="AH1473" s="736"/>
      <c r="AI1473" s="736"/>
      <c r="AJ1473" s="736"/>
      <c r="AK1473" s="736"/>
      <c r="AL1473" s="736"/>
      <c r="AM1473" s="736"/>
      <c r="AN1473" s="736"/>
      <c r="AO1473" s="736"/>
      <c r="AP1473" s="736"/>
      <c r="AQ1473" s="736"/>
      <c r="AR1473" s="736"/>
      <c r="AS1473" s="736"/>
      <c r="AT1473" s="736"/>
      <c r="AU1473" s="736"/>
      <c r="AV1473" s="736"/>
      <c r="AW1473" s="736"/>
      <c r="AX1473" s="736"/>
      <c r="AY1473" s="736"/>
      <c r="AZ1473" s="736"/>
      <c r="BA1473" s="736"/>
      <c r="BB1473" s="736"/>
      <c r="BC1473" s="736"/>
      <c r="BD1473" s="736"/>
      <c r="BE1473" s="736"/>
      <c r="BF1473" s="736"/>
      <c r="BG1473" s="736"/>
      <c r="BH1473" s="736"/>
      <c r="BI1473" s="736"/>
      <c r="BJ1473" s="736"/>
      <c r="BK1473" s="736"/>
      <c r="BL1473" s="736"/>
      <c r="BM1473" s="736"/>
      <c r="BN1473" s="736"/>
      <c r="BO1473" s="736"/>
      <c r="BP1473" s="736"/>
      <c r="BQ1473" s="736"/>
      <c r="BR1473" s="736"/>
      <c r="BS1473" s="736"/>
      <c r="BT1473" s="736"/>
      <c r="BU1473" s="736"/>
      <c r="BV1473" s="736"/>
      <c r="BW1473" s="736"/>
      <c r="BX1473" s="736"/>
      <c r="BY1473" s="736"/>
      <c r="BZ1473" s="736"/>
      <c r="CA1473" s="736"/>
    </row>
    <row r="1474" spans="1:79" hidden="1" outlineLevel="1" x14ac:dyDescent="0.35">
      <c r="A1474" s="504"/>
      <c r="B1474" s="504"/>
      <c r="C1474" s="504"/>
      <c r="D1474" s="504"/>
      <c r="E1474" s="504"/>
      <c r="F1474" s="677" t="s">
        <v>907</v>
      </c>
      <c r="G1474" s="735"/>
      <c r="H1474" s="735"/>
      <c r="I1474" s="735"/>
      <c r="J1474" s="735"/>
      <c r="K1474" s="735"/>
      <c r="L1474" s="735"/>
      <c r="M1474" s="735"/>
      <c r="N1474" s="735"/>
      <c r="O1474" s="735"/>
      <c r="P1474" s="734"/>
      <c r="Q1474" s="734"/>
      <c r="R1474" s="733"/>
      <c r="S1474" s="687"/>
      <c r="T1474" s="687"/>
      <c r="U1474" s="687"/>
      <c r="V1474" s="687"/>
      <c r="W1474" s="687"/>
      <c r="X1474" s="687"/>
      <c r="Y1474" s="687"/>
      <c r="Z1474" s="687"/>
      <c r="AA1474" s="687"/>
      <c r="AB1474" s="687"/>
      <c r="AC1474" s="705"/>
      <c r="AD1474" s="705"/>
      <c r="AE1474" s="736"/>
      <c r="AF1474" s="736"/>
      <c r="AG1474" s="736"/>
      <c r="AH1474" s="736"/>
      <c r="AI1474" s="736"/>
      <c r="AJ1474" s="736"/>
      <c r="AK1474" s="736"/>
      <c r="AL1474" s="736"/>
      <c r="AM1474" s="736"/>
      <c r="AN1474" s="736"/>
      <c r="AO1474" s="736"/>
      <c r="AP1474" s="736"/>
      <c r="AQ1474" s="736"/>
      <c r="AR1474" s="736"/>
      <c r="AS1474" s="736"/>
      <c r="AT1474" s="736"/>
      <c r="AU1474" s="736"/>
      <c r="AV1474" s="736"/>
      <c r="AW1474" s="736"/>
      <c r="AX1474" s="736"/>
      <c r="AY1474" s="736"/>
      <c r="AZ1474" s="736"/>
      <c r="BA1474" s="736"/>
      <c r="BB1474" s="736"/>
      <c r="BC1474" s="736"/>
      <c r="BD1474" s="736"/>
      <c r="BE1474" s="736"/>
      <c r="BF1474" s="736"/>
      <c r="BG1474" s="736"/>
      <c r="BH1474" s="736"/>
      <c r="BI1474" s="736"/>
      <c r="BJ1474" s="736"/>
      <c r="BK1474" s="736"/>
      <c r="BL1474" s="736"/>
      <c r="BM1474" s="736"/>
      <c r="BN1474" s="736"/>
      <c r="BO1474" s="736"/>
      <c r="BP1474" s="736"/>
      <c r="BQ1474" s="736"/>
      <c r="BR1474" s="736"/>
      <c r="BS1474" s="736"/>
      <c r="BT1474" s="736"/>
      <c r="BU1474" s="736"/>
      <c r="BV1474" s="736"/>
      <c r="BW1474" s="736"/>
      <c r="BX1474" s="736"/>
      <c r="BY1474" s="736"/>
      <c r="BZ1474" s="736"/>
      <c r="CA1474" s="736"/>
    </row>
    <row r="1475" spans="1:79" hidden="1" outlineLevel="1" x14ac:dyDescent="0.35">
      <c r="A1475" s="504"/>
      <c r="B1475" s="504"/>
      <c r="C1475" s="504"/>
      <c r="D1475" s="504"/>
      <c r="E1475" s="504"/>
      <c r="F1475" s="673" t="s">
        <v>908</v>
      </c>
      <c r="G1475" s="680"/>
      <c r="H1475" s="680"/>
      <c r="I1475" s="680"/>
      <c r="J1475" s="680"/>
      <c r="K1475" s="680"/>
      <c r="L1475" s="680"/>
      <c r="M1475" s="680"/>
      <c r="N1475" s="680"/>
      <c r="O1475" s="680"/>
      <c r="P1475" s="680"/>
      <c r="Q1475" s="680"/>
      <c r="R1475" s="680"/>
      <c r="S1475" s="695"/>
      <c r="T1475" s="695"/>
      <c r="U1475" s="695"/>
      <c r="V1475" s="695"/>
      <c r="W1475" s="695"/>
      <c r="X1475" s="695"/>
      <c r="Y1475" s="695"/>
      <c r="Z1475" s="695"/>
      <c r="AA1475" s="695"/>
      <c r="AB1475" s="695"/>
      <c r="AC1475" s="695"/>
      <c r="AD1475" s="695"/>
      <c r="AE1475" s="680">
        <f t="shared" ref="AE1475:BJ1475" si="548">SUM(AE1469:AE1474)</f>
        <v>0</v>
      </c>
      <c r="AF1475" s="680">
        <f t="shared" si="548"/>
        <v>0</v>
      </c>
      <c r="AG1475" s="680">
        <f t="shared" si="548"/>
        <v>0</v>
      </c>
      <c r="AH1475" s="680">
        <f t="shared" si="548"/>
        <v>0</v>
      </c>
      <c r="AI1475" s="680">
        <f t="shared" si="548"/>
        <v>0</v>
      </c>
      <c r="AJ1475" s="680">
        <f t="shared" si="548"/>
        <v>0</v>
      </c>
      <c r="AK1475" s="680">
        <f t="shared" si="548"/>
        <v>0</v>
      </c>
      <c r="AL1475" s="680">
        <f t="shared" si="548"/>
        <v>0</v>
      </c>
      <c r="AM1475" s="680">
        <f t="shared" si="548"/>
        <v>0</v>
      </c>
      <c r="AN1475" s="680">
        <f t="shared" si="548"/>
        <v>0</v>
      </c>
      <c r="AO1475" s="680">
        <f t="shared" si="548"/>
        <v>0</v>
      </c>
      <c r="AP1475" s="680">
        <f t="shared" si="548"/>
        <v>0</v>
      </c>
      <c r="AQ1475" s="680">
        <f t="shared" si="548"/>
        <v>0</v>
      </c>
      <c r="AR1475" s="680">
        <f t="shared" si="548"/>
        <v>0</v>
      </c>
      <c r="AS1475" s="680">
        <f t="shared" si="548"/>
        <v>0</v>
      </c>
      <c r="AT1475" s="680">
        <f t="shared" si="548"/>
        <v>0</v>
      </c>
      <c r="AU1475" s="680">
        <f t="shared" si="548"/>
        <v>0</v>
      </c>
      <c r="AV1475" s="680">
        <f t="shared" si="548"/>
        <v>0</v>
      </c>
      <c r="AW1475" s="680">
        <f t="shared" si="548"/>
        <v>0</v>
      </c>
      <c r="AX1475" s="680">
        <f t="shared" si="548"/>
        <v>0</v>
      </c>
      <c r="AY1475" s="680">
        <f t="shared" si="548"/>
        <v>0</v>
      </c>
      <c r="AZ1475" s="680">
        <f t="shared" si="548"/>
        <v>0</v>
      </c>
      <c r="BA1475" s="680">
        <f t="shared" si="548"/>
        <v>0</v>
      </c>
      <c r="BB1475" s="680">
        <f t="shared" si="548"/>
        <v>0</v>
      </c>
      <c r="BC1475" s="680">
        <f t="shared" si="548"/>
        <v>0</v>
      </c>
      <c r="BD1475" s="680">
        <f t="shared" si="548"/>
        <v>0</v>
      </c>
      <c r="BE1475" s="680">
        <f t="shared" si="548"/>
        <v>0</v>
      </c>
      <c r="BF1475" s="680">
        <f t="shared" si="548"/>
        <v>0</v>
      </c>
      <c r="BG1475" s="680">
        <f t="shared" si="548"/>
        <v>0</v>
      </c>
      <c r="BH1475" s="680">
        <f t="shared" si="548"/>
        <v>0</v>
      </c>
      <c r="BI1475" s="680">
        <f t="shared" si="548"/>
        <v>0</v>
      </c>
      <c r="BJ1475" s="680">
        <f t="shared" si="548"/>
        <v>0</v>
      </c>
      <c r="BK1475" s="680">
        <f t="shared" ref="BK1475:CA1475" si="549">SUM(BK1469:BK1474)</f>
        <v>0</v>
      </c>
      <c r="BL1475" s="680">
        <f t="shared" si="549"/>
        <v>0</v>
      </c>
      <c r="BM1475" s="680">
        <f t="shared" si="549"/>
        <v>0</v>
      </c>
      <c r="BN1475" s="680">
        <f t="shared" si="549"/>
        <v>0</v>
      </c>
      <c r="BO1475" s="680">
        <f t="shared" si="549"/>
        <v>0</v>
      </c>
      <c r="BP1475" s="680">
        <f t="shared" si="549"/>
        <v>0</v>
      </c>
      <c r="BQ1475" s="680">
        <f t="shared" si="549"/>
        <v>0</v>
      </c>
      <c r="BR1475" s="680">
        <f t="shared" si="549"/>
        <v>0</v>
      </c>
      <c r="BS1475" s="680">
        <f t="shared" si="549"/>
        <v>0</v>
      </c>
      <c r="BT1475" s="680">
        <f t="shared" si="549"/>
        <v>0</v>
      </c>
      <c r="BU1475" s="680">
        <f t="shared" si="549"/>
        <v>0</v>
      </c>
      <c r="BV1475" s="680">
        <f t="shared" si="549"/>
        <v>0</v>
      </c>
      <c r="BW1475" s="680">
        <f t="shared" si="549"/>
        <v>0</v>
      </c>
      <c r="BX1475" s="680">
        <f t="shared" si="549"/>
        <v>0</v>
      </c>
      <c r="BY1475" s="680">
        <f t="shared" si="549"/>
        <v>0</v>
      </c>
      <c r="BZ1475" s="680">
        <f t="shared" si="549"/>
        <v>0</v>
      </c>
      <c r="CA1475" s="680">
        <f t="shared" si="549"/>
        <v>0</v>
      </c>
    </row>
    <row r="1476" spans="1:79" s="709" customFormat="1" hidden="1" outlineLevel="1" x14ac:dyDescent="0.35">
      <c r="A1476" s="716"/>
      <c r="B1476" s="716"/>
      <c r="C1476" s="716"/>
      <c r="D1476" s="716"/>
      <c r="E1476" s="716"/>
      <c r="F1476" s="717" t="s">
        <v>630</v>
      </c>
      <c r="G1476" s="753"/>
      <c r="H1476" s="753"/>
      <c r="I1476" s="753"/>
      <c r="J1476" s="753"/>
      <c r="K1476" s="753"/>
      <c r="L1476" s="753"/>
      <c r="M1476" s="753"/>
      <c r="N1476" s="753"/>
      <c r="O1476" s="750"/>
      <c r="P1476" s="753"/>
      <c r="Q1476" s="753"/>
      <c r="R1476" s="779"/>
      <c r="S1476" s="713"/>
      <c r="T1476" s="713"/>
      <c r="U1476" s="713"/>
      <c r="V1476" s="713"/>
      <c r="W1476" s="713"/>
      <c r="X1476" s="713"/>
      <c r="Y1476" s="713"/>
      <c r="Z1476" s="713"/>
      <c r="AA1476" s="713"/>
      <c r="AB1476" s="713"/>
      <c r="AC1476" s="728"/>
      <c r="AD1476" s="728"/>
      <c r="AE1476" s="752"/>
      <c r="AF1476" s="752"/>
      <c r="AG1476" s="752"/>
      <c r="AH1476" s="752"/>
      <c r="AI1476" s="752"/>
      <c r="AJ1476" s="752"/>
      <c r="AK1476" s="752"/>
      <c r="AL1476" s="752"/>
      <c r="AM1476" s="752"/>
      <c r="AN1476" s="752"/>
      <c r="AO1476" s="752"/>
      <c r="AP1476" s="752"/>
      <c r="AQ1476" s="752"/>
      <c r="AR1476" s="752"/>
      <c r="AS1476" s="752"/>
      <c r="AT1476" s="752"/>
      <c r="AU1476" s="752"/>
      <c r="AV1476" s="752"/>
      <c r="AW1476" s="752"/>
      <c r="AX1476" s="752"/>
      <c r="AY1476" s="752"/>
      <c r="AZ1476" s="752"/>
      <c r="BA1476" s="752"/>
      <c r="BB1476" s="752"/>
      <c r="BC1476" s="752"/>
      <c r="BD1476" s="752"/>
      <c r="BE1476" s="752"/>
      <c r="BF1476" s="752"/>
      <c r="BG1476" s="752"/>
      <c r="BH1476" s="752"/>
      <c r="BI1476" s="752"/>
      <c r="BJ1476" s="752"/>
      <c r="BK1476" s="752"/>
      <c r="BL1476" s="752"/>
      <c r="BM1476" s="752"/>
      <c r="BN1476" s="752"/>
      <c r="BO1476" s="752"/>
      <c r="BP1476" s="752"/>
      <c r="BQ1476" s="752"/>
      <c r="BR1476" s="752"/>
      <c r="BS1476" s="752"/>
      <c r="BT1476" s="752"/>
      <c r="BU1476" s="752"/>
      <c r="BV1476" s="752"/>
      <c r="BW1476" s="752"/>
      <c r="BX1476" s="752"/>
      <c r="BY1476" s="752"/>
      <c r="BZ1476" s="752"/>
      <c r="CA1476" s="752"/>
    </row>
    <row r="1477" spans="1:79" hidden="1" outlineLevel="1" x14ac:dyDescent="0.35">
      <c r="A1477" s="580"/>
      <c r="B1477" s="580"/>
      <c r="C1477" s="580"/>
      <c r="D1477" s="580"/>
      <c r="E1477" s="580"/>
      <c r="F1477" s="677" t="s">
        <v>631</v>
      </c>
      <c r="G1477" s="734"/>
      <c r="H1477" s="734"/>
      <c r="I1477" s="734"/>
      <c r="J1477" s="734"/>
      <c r="K1477" s="734"/>
      <c r="L1477" s="734"/>
      <c r="M1477" s="734"/>
      <c r="N1477" s="734"/>
      <c r="O1477" s="735"/>
      <c r="P1477" s="734"/>
      <c r="Q1477" s="734"/>
      <c r="R1477" s="733"/>
      <c r="S1477" s="683"/>
      <c r="T1477" s="683"/>
      <c r="U1477" s="683"/>
      <c r="V1477" s="683"/>
      <c r="W1477" s="683"/>
      <c r="X1477" s="683"/>
      <c r="Y1477" s="683"/>
      <c r="Z1477" s="683"/>
      <c r="AA1477" s="683"/>
      <c r="AB1477" s="683"/>
      <c r="AC1477" s="702"/>
      <c r="AD1477" s="702"/>
      <c r="AE1477" s="736"/>
      <c r="AF1477" s="736"/>
      <c r="AG1477" s="736"/>
      <c r="AH1477" s="736"/>
      <c r="AI1477" s="736"/>
      <c r="AJ1477" s="736"/>
      <c r="AK1477" s="736"/>
      <c r="AL1477" s="736"/>
      <c r="AM1477" s="736"/>
      <c r="AN1477" s="736"/>
      <c r="AO1477" s="736"/>
      <c r="AP1477" s="736"/>
      <c r="AQ1477" s="736"/>
      <c r="AR1477" s="736"/>
      <c r="AS1477" s="736"/>
      <c r="AT1477" s="736"/>
      <c r="AU1477" s="736"/>
      <c r="AV1477" s="736"/>
      <c r="AW1477" s="736"/>
      <c r="AX1477" s="736"/>
      <c r="AY1477" s="736"/>
      <c r="AZ1477" s="736"/>
      <c r="BA1477" s="736"/>
      <c r="BB1477" s="736"/>
      <c r="BC1477" s="736"/>
      <c r="BD1477" s="736"/>
      <c r="BE1477" s="736"/>
      <c r="BF1477" s="736"/>
      <c r="BG1477" s="736"/>
      <c r="BH1477" s="736"/>
      <c r="BI1477" s="736"/>
      <c r="BJ1477" s="736"/>
      <c r="BK1477" s="736"/>
      <c r="BL1477" s="736"/>
      <c r="BM1477" s="736"/>
      <c r="BN1477" s="736"/>
      <c r="BO1477" s="736"/>
      <c r="BP1477" s="736"/>
      <c r="BQ1477" s="736"/>
      <c r="BR1477" s="736"/>
      <c r="BS1477" s="736"/>
      <c r="BT1477" s="736"/>
      <c r="BU1477" s="736"/>
      <c r="BV1477" s="736"/>
      <c r="BW1477" s="736"/>
      <c r="BX1477" s="736"/>
      <c r="BY1477" s="736"/>
      <c r="BZ1477" s="736"/>
      <c r="CA1477" s="736"/>
    </row>
    <row r="1478" spans="1:79" hidden="1" outlineLevel="1" x14ac:dyDescent="0.35">
      <c r="A1478" s="580"/>
      <c r="B1478" s="580"/>
      <c r="C1478" s="580"/>
      <c r="D1478" s="580"/>
      <c r="E1478" s="580"/>
      <c r="F1478" s="677" t="s">
        <v>632</v>
      </c>
      <c r="G1478" s="734"/>
      <c r="H1478" s="734"/>
      <c r="I1478" s="734"/>
      <c r="J1478" s="734"/>
      <c r="K1478" s="734"/>
      <c r="L1478" s="734"/>
      <c r="M1478" s="734"/>
      <c r="N1478" s="734"/>
      <c r="O1478" s="735"/>
      <c r="P1478" s="734"/>
      <c r="Q1478" s="734"/>
      <c r="R1478" s="733"/>
      <c r="S1478" s="683"/>
      <c r="T1478" s="683"/>
      <c r="U1478" s="683"/>
      <c r="V1478" s="683"/>
      <c r="W1478" s="683"/>
      <c r="X1478" s="683"/>
      <c r="Y1478" s="683"/>
      <c r="Z1478" s="683"/>
      <c r="AA1478" s="683"/>
      <c r="AB1478" s="683"/>
      <c r="AC1478" s="702"/>
      <c r="AD1478" s="702"/>
      <c r="AE1478" s="736"/>
      <c r="AF1478" s="736"/>
      <c r="AG1478" s="736"/>
      <c r="AH1478" s="736"/>
      <c r="AI1478" s="736"/>
      <c r="AJ1478" s="736"/>
      <c r="AK1478" s="736"/>
      <c r="AL1478" s="736"/>
      <c r="AM1478" s="736"/>
      <c r="AN1478" s="736"/>
      <c r="AO1478" s="736"/>
      <c r="AP1478" s="736"/>
      <c r="AQ1478" s="736"/>
      <c r="AR1478" s="736"/>
      <c r="AS1478" s="736"/>
      <c r="AT1478" s="736"/>
      <c r="AU1478" s="736"/>
      <c r="AV1478" s="736"/>
      <c r="AW1478" s="736"/>
      <c r="AX1478" s="736"/>
      <c r="AY1478" s="736"/>
      <c r="AZ1478" s="736"/>
      <c r="BA1478" s="736"/>
      <c r="BB1478" s="736"/>
      <c r="BC1478" s="736"/>
      <c r="BD1478" s="736"/>
      <c r="BE1478" s="736"/>
      <c r="BF1478" s="736"/>
      <c r="BG1478" s="736"/>
      <c r="BH1478" s="736"/>
      <c r="BI1478" s="736"/>
      <c r="BJ1478" s="736"/>
      <c r="BK1478" s="736"/>
      <c r="BL1478" s="736"/>
      <c r="BM1478" s="736"/>
      <c r="BN1478" s="736"/>
      <c r="BO1478" s="736"/>
      <c r="BP1478" s="736"/>
      <c r="BQ1478" s="736"/>
      <c r="BR1478" s="736"/>
      <c r="BS1478" s="736"/>
      <c r="BT1478" s="736"/>
      <c r="BU1478" s="736"/>
      <c r="BV1478" s="736"/>
      <c r="BW1478" s="736"/>
      <c r="BX1478" s="736"/>
      <c r="BY1478" s="736"/>
      <c r="BZ1478" s="736"/>
      <c r="CA1478" s="736"/>
    </row>
    <row r="1479" spans="1:79" hidden="1" outlineLevel="1" x14ac:dyDescent="0.35">
      <c r="A1479" s="580"/>
      <c r="B1479" s="580"/>
      <c r="C1479" s="580"/>
      <c r="D1479" s="580"/>
      <c r="E1479" s="580"/>
      <c r="F1479" s="677" t="s">
        <v>633</v>
      </c>
      <c r="G1479" s="734"/>
      <c r="H1479" s="734"/>
      <c r="I1479" s="734"/>
      <c r="J1479" s="734"/>
      <c r="K1479" s="734"/>
      <c r="L1479" s="734"/>
      <c r="M1479" s="734"/>
      <c r="N1479" s="734"/>
      <c r="O1479" s="735"/>
      <c r="P1479" s="734"/>
      <c r="Q1479" s="734"/>
      <c r="R1479" s="733"/>
      <c r="S1479" s="683"/>
      <c r="T1479" s="683"/>
      <c r="U1479" s="683"/>
      <c r="V1479" s="683"/>
      <c r="W1479" s="683"/>
      <c r="X1479" s="683"/>
      <c r="Y1479" s="683"/>
      <c r="Z1479" s="683"/>
      <c r="AA1479" s="683"/>
      <c r="AB1479" s="683"/>
      <c r="AC1479" s="702"/>
      <c r="AD1479" s="702"/>
      <c r="AE1479" s="736"/>
      <c r="AF1479" s="736"/>
      <c r="AG1479" s="736"/>
      <c r="AH1479" s="736"/>
      <c r="AI1479" s="736"/>
      <c r="AJ1479" s="736"/>
      <c r="AK1479" s="736"/>
      <c r="AL1479" s="736"/>
      <c r="AM1479" s="736"/>
      <c r="AN1479" s="736"/>
      <c r="AO1479" s="736"/>
      <c r="AP1479" s="736"/>
      <c r="AQ1479" s="736"/>
      <c r="AR1479" s="736"/>
      <c r="AS1479" s="736"/>
      <c r="AT1479" s="736"/>
      <c r="AU1479" s="736"/>
      <c r="AV1479" s="736"/>
      <c r="AW1479" s="736"/>
      <c r="AX1479" s="736"/>
      <c r="AY1479" s="736"/>
      <c r="AZ1479" s="736"/>
      <c r="BA1479" s="736"/>
      <c r="BB1479" s="736"/>
      <c r="BC1479" s="736"/>
      <c r="BD1479" s="736"/>
      <c r="BE1479" s="736"/>
      <c r="BF1479" s="736"/>
      <c r="BG1479" s="736"/>
      <c r="BH1479" s="736"/>
      <c r="BI1479" s="736"/>
      <c r="BJ1479" s="736"/>
      <c r="BK1479" s="736"/>
      <c r="BL1479" s="736"/>
      <c r="BM1479" s="736"/>
      <c r="BN1479" s="736"/>
      <c r="BO1479" s="736"/>
      <c r="BP1479" s="736"/>
      <c r="BQ1479" s="736"/>
      <c r="BR1479" s="736"/>
      <c r="BS1479" s="736"/>
      <c r="BT1479" s="736"/>
      <c r="BU1479" s="736"/>
      <c r="BV1479" s="736"/>
      <c r="BW1479" s="736"/>
      <c r="BX1479" s="736"/>
      <c r="BY1479" s="736"/>
      <c r="BZ1479" s="736"/>
      <c r="CA1479" s="736"/>
    </row>
    <row r="1480" spans="1:79" hidden="1" outlineLevel="1" x14ac:dyDescent="0.35">
      <c r="A1480" s="580"/>
      <c r="B1480" s="580"/>
      <c r="C1480" s="580"/>
      <c r="D1480" s="580"/>
      <c r="E1480" s="580"/>
      <c r="F1480" s="677" t="s">
        <v>634</v>
      </c>
      <c r="G1480" s="734"/>
      <c r="H1480" s="734"/>
      <c r="I1480" s="734"/>
      <c r="J1480" s="734"/>
      <c r="K1480" s="734"/>
      <c r="L1480" s="734"/>
      <c r="M1480" s="734"/>
      <c r="N1480" s="734"/>
      <c r="O1480" s="735"/>
      <c r="P1480" s="734"/>
      <c r="Q1480" s="734"/>
      <c r="R1480" s="733"/>
      <c r="S1480" s="683"/>
      <c r="T1480" s="683"/>
      <c r="U1480" s="683"/>
      <c r="V1480" s="683"/>
      <c r="W1480" s="683"/>
      <c r="X1480" s="683"/>
      <c r="Y1480" s="683"/>
      <c r="Z1480" s="683"/>
      <c r="AA1480" s="683"/>
      <c r="AB1480" s="683"/>
      <c r="AC1480" s="702"/>
      <c r="AD1480" s="702"/>
      <c r="AE1480" s="736"/>
      <c r="AF1480" s="736"/>
      <c r="AG1480" s="736"/>
      <c r="AH1480" s="736"/>
      <c r="AI1480" s="736"/>
      <c r="AJ1480" s="736"/>
      <c r="AK1480" s="736"/>
      <c r="AL1480" s="736"/>
      <c r="AM1480" s="736"/>
      <c r="AN1480" s="736"/>
      <c r="AO1480" s="736"/>
      <c r="AP1480" s="736"/>
      <c r="AQ1480" s="736"/>
      <c r="AR1480" s="736"/>
      <c r="AS1480" s="736"/>
      <c r="AT1480" s="736"/>
      <c r="AU1480" s="736"/>
      <c r="AV1480" s="736"/>
      <c r="AW1480" s="736"/>
      <c r="AX1480" s="736"/>
      <c r="AY1480" s="736"/>
      <c r="AZ1480" s="736"/>
      <c r="BA1480" s="736"/>
      <c r="BB1480" s="736"/>
      <c r="BC1480" s="736"/>
      <c r="BD1480" s="736"/>
      <c r="BE1480" s="736"/>
      <c r="BF1480" s="736"/>
      <c r="BG1480" s="736"/>
      <c r="BH1480" s="736"/>
      <c r="BI1480" s="736"/>
      <c r="BJ1480" s="736"/>
      <c r="BK1480" s="736"/>
      <c r="BL1480" s="736"/>
      <c r="BM1480" s="736"/>
      <c r="BN1480" s="736"/>
      <c r="BO1480" s="736"/>
      <c r="BP1480" s="736"/>
      <c r="BQ1480" s="736"/>
      <c r="BR1480" s="736"/>
      <c r="BS1480" s="736"/>
      <c r="BT1480" s="736"/>
      <c r="BU1480" s="736"/>
      <c r="BV1480" s="736"/>
      <c r="BW1480" s="736"/>
      <c r="BX1480" s="736"/>
      <c r="BY1480" s="736"/>
      <c r="BZ1480" s="736"/>
      <c r="CA1480" s="736"/>
    </row>
    <row r="1481" spans="1:79" hidden="1" outlineLevel="1" x14ac:dyDescent="0.35">
      <c r="A1481" s="580"/>
      <c r="B1481" s="580"/>
      <c r="C1481" s="580"/>
      <c r="D1481" s="580"/>
      <c r="E1481" s="580"/>
      <c r="F1481" s="677" t="s">
        <v>635</v>
      </c>
      <c r="G1481" s="734"/>
      <c r="H1481" s="734"/>
      <c r="I1481" s="734"/>
      <c r="J1481" s="734"/>
      <c r="K1481" s="734"/>
      <c r="L1481" s="734"/>
      <c r="M1481" s="734"/>
      <c r="N1481" s="734"/>
      <c r="O1481" s="735"/>
      <c r="P1481" s="734"/>
      <c r="Q1481" s="734"/>
      <c r="R1481" s="733"/>
      <c r="S1481" s="683"/>
      <c r="T1481" s="683"/>
      <c r="U1481" s="683"/>
      <c r="V1481" s="683"/>
      <c r="W1481" s="683"/>
      <c r="X1481" s="683"/>
      <c r="Y1481" s="683"/>
      <c r="Z1481" s="683"/>
      <c r="AA1481" s="683"/>
      <c r="AB1481" s="683"/>
      <c r="AC1481" s="702"/>
      <c r="AD1481" s="702"/>
      <c r="AE1481" s="736"/>
      <c r="AF1481" s="736"/>
      <c r="AG1481" s="736"/>
      <c r="AH1481" s="736"/>
      <c r="AI1481" s="736"/>
      <c r="AJ1481" s="736"/>
      <c r="AK1481" s="736"/>
      <c r="AL1481" s="736"/>
      <c r="AM1481" s="736"/>
      <c r="AN1481" s="736"/>
      <c r="AO1481" s="736"/>
      <c r="AP1481" s="736"/>
      <c r="AQ1481" s="736"/>
      <c r="AR1481" s="736"/>
      <c r="AS1481" s="736"/>
      <c r="AT1481" s="736"/>
      <c r="AU1481" s="736"/>
      <c r="AV1481" s="736"/>
      <c r="AW1481" s="736"/>
      <c r="AX1481" s="736"/>
      <c r="AY1481" s="736"/>
      <c r="AZ1481" s="736"/>
      <c r="BA1481" s="736"/>
      <c r="BB1481" s="736"/>
      <c r="BC1481" s="736"/>
      <c r="BD1481" s="736"/>
      <c r="BE1481" s="736"/>
      <c r="BF1481" s="736"/>
      <c r="BG1481" s="736"/>
      <c r="BH1481" s="736"/>
      <c r="BI1481" s="736"/>
      <c r="BJ1481" s="736"/>
      <c r="BK1481" s="736"/>
      <c r="BL1481" s="736"/>
      <c r="BM1481" s="736"/>
      <c r="BN1481" s="736"/>
      <c r="BO1481" s="736"/>
      <c r="BP1481" s="736"/>
      <c r="BQ1481" s="736"/>
      <c r="BR1481" s="736"/>
      <c r="BS1481" s="736"/>
      <c r="BT1481" s="736"/>
      <c r="BU1481" s="736"/>
      <c r="BV1481" s="736"/>
      <c r="BW1481" s="736"/>
      <c r="BX1481" s="736"/>
      <c r="BY1481" s="736"/>
      <c r="BZ1481" s="736"/>
      <c r="CA1481" s="736"/>
    </row>
    <row r="1482" spans="1:79" hidden="1" outlineLevel="1" x14ac:dyDescent="0.35">
      <c r="A1482" s="580"/>
      <c r="B1482" s="580"/>
      <c r="C1482" s="580"/>
      <c r="D1482" s="580"/>
      <c r="E1482" s="580"/>
      <c r="F1482" s="677" t="s">
        <v>636</v>
      </c>
      <c r="G1482" s="734"/>
      <c r="H1482" s="734"/>
      <c r="I1482" s="734"/>
      <c r="J1482" s="734"/>
      <c r="K1482" s="734"/>
      <c r="L1482" s="734"/>
      <c r="M1482" s="734"/>
      <c r="N1482" s="734"/>
      <c r="O1482" s="735"/>
      <c r="P1482" s="734"/>
      <c r="Q1482" s="734"/>
      <c r="R1482" s="733"/>
      <c r="S1482" s="683"/>
      <c r="T1482" s="683"/>
      <c r="U1482" s="683"/>
      <c r="V1482" s="683"/>
      <c r="W1482" s="683"/>
      <c r="X1482" s="683"/>
      <c r="Y1482" s="683"/>
      <c r="Z1482" s="683"/>
      <c r="AA1482" s="683"/>
      <c r="AB1482" s="683"/>
      <c r="AC1482" s="702"/>
      <c r="AD1482" s="702"/>
      <c r="AE1482" s="736"/>
      <c r="AF1482" s="736"/>
      <c r="AG1482" s="736"/>
      <c r="AH1482" s="736"/>
      <c r="AI1482" s="736"/>
      <c r="AJ1482" s="736"/>
      <c r="AK1482" s="736"/>
      <c r="AL1482" s="736"/>
      <c r="AM1482" s="736"/>
      <c r="AN1482" s="736"/>
      <c r="AO1482" s="736"/>
      <c r="AP1482" s="736"/>
      <c r="AQ1482" s="736"/>
      <c r="AR1482" s="736"/>
      <c r="AS1482" s="736"/>
      <c r="AT1482" s="736"/>
      <c r="AU1482" s="736"/>
      <c r="AV1482" s="736"/>
      <c r="AW1482" s="736"/>
      <c r="AX1482" s="736"/>
      <c r="AY1482" s="736"/>
      <c r="AZ1482" s="736"/>
      <c r="BA1482" s="736"/>
      <c r="BB1482" s="736"/>
      <c r="BC1482" s="736"/>
      <c r="BD1482" s="736"/>
      <c r="BE1482" s="736"/>
      <c r="BF1482" s="736"/>
      <c r="BG1482" s="736"/>
      <c r="BH1482" s="736"/>
      <c r="BI1482" s="736"/>
      <c r="BJ1482" s="736"/>
      <c r="BK1482" s="736"/>
      <c r="BL1482" s="736"/>
      <c r="BM1482" s="736"/>
      <c r="BN1482" s="736"/>
      <c r="BO1482" s="736"/>
      <c r="BP1482" s="736"/>
      <c r="BQ1482" s="736"/>
      <c r="BR1482" s="736"/>
      <c r="BS1482" s="736"/>
      <c r="BT1482" s="736"/>
      <c r="BU1482" s="736"/>
      <c r="BV1482" s="736"/>
      <c r="BW1482" s="736"/>
      <c r="BX1482" s="736"/>
      <c r="BY1482" s="736"/>
      <c r="BZ1482" s="736"/>
      <c r="CA1482" s="736"/>
    </row>
    <row r="1483" spans="1:79" hidden="1" outlineLevel="1" x14ac:dyDescent="0.35">
      <c r="A1483" s="580"/>
      <c r="B1483" s="580"/>
      <c r="C1483" s="580"/>
      <c r="D1483" s="580"/>
      <c r="E1483" s="580"/>
      <c r="F1483" s="677" t="s">
        <v>909</v>
      </c>
      <c r="G1483" s="734"/>
      <c r="H1483" s="734"/>
      <c r="I1483" s="734"/>
      <c r="J1483" s="734"/>
      <c r="K1483" s="734"/>
      <c r="L1483" s="734"/>
      <c r="M1483" s="734"/>
      <c r="N1483" s="734"/>
      <c r="O1483" s="735"/>
      <c r="P1483" s="734"/>
      <c r="Q1483" s="734"/>
      <c r="R1483" s="733"/>
      <c r="S1483" s="683"/>
      <c r="T1483" s="683"/>
      <c r="U1483" s="683"/>
      <c r="V1483" s="683"/>
      <c r="W1483" s="683"/>
      <c r="X1483" s="683"/>
      <c r="Y1483" s="683"/>
      <c r="Z1483" s="683"/>
      <c r="AA1483" s="683"/>
      <c r="AB1483" s="683"/>
      <c r="AC1483" s="702"/>
      <c r="AD1483" s="702"/>
      <c r="AE1483" s="736"/>
      <c r="AF1483" s="736"/>
      <c r="AG1483" s="736"/>
      <c r="AH1483" s="736"/>
      <c r="AI1483" s="736"/>
      <c r="AJ1483" s="736"/>
      <c r="AK1483" s="736"/>
      <c r="AL1483" s="736"/>
      <c r="AM1483" s="736"/>
      <c r="AN1483" s="736"/>
      <c r="AO1483" s="736"/>
      <c r="AP1483" s="736"/>
      <c r="AQ1483" s="736"/>
      <c r="AR1483" s="736"/>
      <c r="AS1483" s="736"/>
      <c r="AT1483" s="736"/>
      <c r="AU1483" s="736"/>
      <c r="AV1483" s="736"/>
      <c r="AW1483" s="736"/>
      <c r="AX1483" s="736"/>
      <c r="AY1483" s="736"/>
      <c r="AZ1483" s="736"/>
      <c r="BA1483" s="736"/>
      <c r="BB1483" s="736"/>
      <c r="BC1483" s="736"/>
      <c r="BD1483" s="736"/>
      <c r="BE1483" s="736"/>
      <c r="BF1483" s="736"/>
      <c r="BG1483" s="736"/>
      <c r="BH1483" s="736"/>
      <c r="BI1483" s="736"/>
      <c r="BJ1483" s="736"/>
      <c r="BK1483" s="736"/>
      <c r="BL1483" s="736"/>
      <c r="BM1483" s="736"/>
      <c r="BN1483" s="736"/>
      <c r="BO1483" s="736"/>
      <c r="BP1483" s="736"/>
      <c r="BQ1483" s="736"/>
      <c r="BR1483" s="736"/>
      <c r="BS1483" s="736"/>
      <c r="BT1483" s="736"/>
      <c r="BU1483" s="736"/>
      <c r="BV1483" s="736"/>
      <c r="BW1483" s="736"/>
      <c r="BX1483" s="736"/>
      <c r="BY1483" s="736"/>
      <c r="BZ1483" s="736"/>
      <c r="CA1483" s="736"/>
    </row>
    <row r="1484" spans="1:79" hidden="1" outlineLevel="1" x14ac:dyDescent="0.35">
      <c r="A1484" s="580"/>
      <c r="B1484" s="580"/>
      <c r="C1484" s="580"/>
      <c r="D1484" s="580"/>
      <c r="E1484" s="580"/>
      <c r="F1484" s="677" t="s">
        <v>637</v>
      </c>
      <c r="G1484" s="732"/>
      <c r="H1484" s="732"/>
      <c r="I1484" s="732"/>
      <c r="J1484" s="732"/>
      <c r="K1484" s="732"/>
      <c r="L1484" s="732"/>
      <c r="M1484" s="732"/>
      <c r="N1484" s="732"/>
      <c r="O1484" s="735"/>
      <c r="P1484" s="732"/>
      <c r="Q1484" s="732"/>
      <c r="R1484" s="736"/>
      <c r="S1484" s="683"/>
      <c r="T1484" s="683"/>
      <c r="U1484" s="683"/>
      <c r="V1484" s="683"/>
      <c r="W1484" s="683"/>
      <c r="X1484" s="683"/>
      <c r="Y1484" s="683"/>
      <c r="Z1484" s="683"/>
      <c r="AA1484" s="683"/>
      <c r="AB1484" s="683"/>
      <c r="AC1484" s="702"/>
      <c r="AD1484" s="702"/>
      <c r="AE1484" s="736"/>
      <c r="AF1484" s="736"/>
      <c r="AG1484" s="736"/>
      <c r="AH1484" s="736"/>
      <c r="AI1484" s="736"/>
      <c r="AJ1484" s="736"/>
      <c r="AK1484" s="736"/>
      <c r="AL1484" s="736"/>
      <c r="AM1484" s="736"/>
      <c r="AN1484" s="736"/>
      <c r="AO1484" s="736"/>
      <c r="AP1484" s="736"/>
      <c r="AQ1484" s="736"/>
      <c r="AR1484" s="736"/>
      <c r="AS1484" s="736"/>
      <c r="AT1484" s="736"/>
      <c r="AU1484" s="736"/>
      <c r="AV1484" s="736"/>
      <c r="AW1484" s="736"/>
      <c r="AX1484" s="736"/>
      <c r="AY1484" s="736"/>
      <c r="AZ1484" s="736"/>
      <c r="BA1484" s="736"/>
      <c r="BB1484" s="736"/>
      <c r="BC1484" s="736"/>
      <c r="BD1484" s="736"/>
      <c r="BE1484" s="736"/>
      <c r="BF1484" s="736"/>
      <c r="BG1484" s="736"/>
      <c r="BH1484" s="736"/>
      <c r="BI1484" s="736"/>
      <c r="BJ1484" s="736"/>
      <c r="BK1484" s="736"/>
      <c r="BL1484" s="736"/>
      <c r="BM1484" s="736"/>
      <c r="BN1484" s="736"/>
      <c r="BO1484" s="736"/>
      <c r="BP1484" s="736"/>
      <c r="BQ1484" s="736"/>
      <c r="BR1484" s="736"/>
      <c r="BS1484" s="736"/>
      <c r="BT1484" s="736"/>
      <c r="BU1484" s="736"/>
      <c r="BV1484" s="736"/>
      <c r="BW1484" s="736"/>
      <c r="BX1484" s="736"/>
      <c r="BY1484" s="736"/>
      <c r="BZ1484" s="736"/>
      <c r="CA1484" s="736"/>
    </row>
    <row r="1485" spans="1:79" hidden="1" outlineLevel="1" x14ac:dyDescent="0.35">
      <c r="A1485" s="504"/>
      <c r="B1485" s="504"/>
      <c r="C1485" s="504"/>
      <c r="D1485" s="504"/>
      <c r="E1485" s="504"/>
      <c r="F1485" s="673" t="s">
        <v>638</v>
      </c>
      <c r="G1485" s="680"/>
      <c r="H1485" s="680"/>
      <c r="I1485" s="680"/>
      <c r="J1485" s="680"/>
      <c r="K1485" s="680"/>
      <c r="L1485" s="680"/>
      <c r="M1485" s="680"/>
      <c r="N1485" s="680"/>
      <c r="O1485" s="680"/>
      <c r="P1485" s="680"/>
      <c r="Q1485" s="680"/>
      <c r="R1485" s="680"/>
      <c r="S1485" s="695"/>
      <c r="T1485" s="695"/>
      <c r="U1485" s="695"/>
      <c r="V1485" s="695"/>
      <c r="W1485" s="695"/>
      <c r="X1485" s="695"/>
      <c r="Y1485" s="695"/>
      <c r="Z1485" s="695"/>
      <c r="AA1485" s="695"/>
      <c r="AB1485" s="695"/>
      <c r="AC1485" s="695"/>
      <c r="AD1485" s="695"/>
      <c r="AE1485" s="680">
        <f t="shared" ref="AE1485:BO1485" si="550">SUM(AE1477:AE1484)</f>
        <v>0</v>
      </c>
      <c r="AF1485" s="680">
        <f t="shared" si="550"/>
        <v>0</v>
      </c>
      <c r="AG1485" s="680">
        <f t="shared" si="550"/>
        <v>0</v>
      </c>
      <c r="AH1485" s="680">
        <f t="shared" si="550"/>
        <v>0</v>
      </c>
      <c r="AI1485" s="680">
        <f t="shared" si="550"/>
        <v>0</v>
      </c>
      <c r="AJ1485" s="680">
        <f t="shared" si="550"/>
        <v>0</v>
      </c>
      <c r="AK1485" s="680">
        <f t="shared" si="550"/>
        <v>0</v>
      </c>
      <c r="AL1485" s="680">
        <f t="shared" si="550"/>
        <v>0</v>
      </c>
      <c r="AM1485" s="680">
        <f t="shared" si="550"/>
        <v>0</v>
      </c>
      <c r="AN1485" s="680">
        <f t="shared" si="550"/>
        <v>0</v>
      </c>
      <c r="AO1485" s="680">
        <f t="shared" si="550"/>
        <v>0</v>
      </c>
      <c r="AP1485" s="680">
        <f t="shared" si="550"/>
        <v>0</v>
      </c>
      <c r="AQ1485" s="680">
        <f t="shared" si="550"/>
        <v>0</v>
      </c>
      <c r="AR1485" s="680">
        <f t="shared" si="550"/>
        <v>0</v>
      </c>
      <c r="AS1485" s="680">
        <f t="shared" si="550"/>
        <v>0</v>
      </c>
      <c r="AT1485" s="680">
        <f t="shared" si="550"/>
        <v>0</v>
      </c>
      <c r="AU1485" s="680">
        <f t="shared" si="550"/>
        <v>0</v>
      </c>
      <c r="AV1485" s="680">
        <f t="shared" si="550"/>
        <v>0</v>
      </c>
      <c r="AW1485" s="680">
        <f t="shared" si="550"/>
        <v>0</v>
      </c>
      <c r="AX1485" s="680">
        <f t="shared" si="550"/>
        <v>0</v>
      </c>
      <c r="AY1485" s="680">
        <f t="shared" si="550"/>
        <v>0</v>
      </c>
      <c r="AZ1485" s="680">
        <f t="shared" si="550"/>
        <v>0</v>
      </c>
      <c r="BA1485" s="680">
        <f t="shared" si="550"/>
        <v>0</v>
      </c>
      <c r="BB1485" s="680">
        <f t="shared" si="550"/>
        <v>0</v>
      </c>
      <c r="BC1485" s="680">
        <f t="shared" si="550"/>
        <v>0</v>
      </c>
      <c r="BD1485" s="680">
        <f t="shared" si="550"/>
        <v>0</v>
      </c>
      <c r="BE1485" s="680">
        <f t="shared" si="550"/>
        <v>0</v>
      </c>
      <c r="BF1485" s="680">
        <f t="shared" si="550"/>
        <v>0</v>
      </c>
      <c r="BG1485" s="680">
        <f t="shared" si="550"/>
        <v>0</v>
      </c>
      <c r="BH1485" s="680">
        <f t="shared" si="550"/>
        <v>0</v>
      </c>
      <c r="BI1485" s="680">
        <f t="shared" si="550"/>
        <v>0</v>
      </c>
      <c r="BJ1485" s="680">
        <f t="shared" si="550"/>
        <v>0</v>
      </c>
      <c r="BK1485" s="680">
        <f t="shared" si="550"/>
        <v>0</v>
      </c>
      <c r="BL1485" s="680">
        <f t="shared" si="550"/>
        <v>0</v>
      </c>
      <c r="BM1485" s="680">
        <f t="shared" si="550"/>
        <v>0</v>
      </c>
      <c r="BN1485" s="680">
        <f t="shared" si="550"/>
        <v>0</v>
      </c>
      <c r="BO1485" s="680">
        <f t="shared" si="550"/>
        <v>0</v>
      </c>
      <c r="BP1485" s="680">
        <f t="shared" ref="BP1485:CA1485" si="551">SUM(BP1477:BP1484)</f>
        <v>0</v>
      </c>
      <c r="BQ1485" s="680">
        <f t="shared" si="551"/>
        <v>0</v>
      </c>
      <c r="BR1485" s="680">
        <f t="shared" si="551"/>
        <v>0</v>
      </c>
      <c r="BS1485" s="680">
        <f t="shared" si="551"/>
        <v>0</v>
      </c>
      <c r="BT1485" s="680">
        <f t="shared" si="551"/>
        <v>0</v>
      </c>
      <c r="BU1485" s="680">
        <f t="shared" si="551"/>
        <v>0</v>
      </c>
      <c r="BV1485" s="680">
        <f t="shared" si="551"/>
        <v>0</v>
      </c>
      <c r="BW1485" s="680">
        <f t="shared" si="551"/>
        <v>0</v>
      </c>
      <c r="BX1485" s="680">
        <f t="shared" si="551"/>
        <v>0</v>
      </c>
      <c r="BY1485" s="680">
        <f t="shared" si="551"/>
        <v>0</v>
      </c>
      <c r="BZ1485" s="680">
        <f t="shared" si="551"/>
        <v>0</v>
      </c>
      <c r="CA1485" s="680">
        <f t="shared" si="551"/>
        <v>0</v>
      </c>
    </row>
    <row r="1486" spans="1:79" s="709" customFormat="1" hidden="1" outlineLevel="1" x14ac:dyDescent="0.35">
      <c r="A1486" s="754"/>
      <c r="B1486" s="754"/>
      <c r="C1486" s="754"/>
      <c r="D1486" s="754"/>
      <c r="E1486" s="754"/>
      <c r="F1486" s="717" t="s">
        <v>639</v>
      </c>
      <c r="G1486" s="753"/>
      <c r="H1486" s="753"/>
      <c r="I1486" s="753"/>
      <c r="J1486" s="753"/>
      <c r="K1486" s="753"/>
      <c r="L1486" s="753"/>
      <c r="M1486" s="753"/>
      <c r="N1486" s="753"/>
      <c r="O1486" s="750"/>
      <c r="P1486" s="753"/>
      <c r="Q1486" s="753"/>
      <c r="R1486" s="779"/>
      <c r="S1486" s="713"/>
      <c r="T1486" s="713"/>
      <c r="U1486" s="713"/>
      <c r="V1486" s="713"/>
      <c r="W1486" s="713"/>
      <c r="X1486" s="713"/>
      <c r="Y1486" s="713"/>
      <c r="Z1486" s="713"/>
      <c r="AA1486" s="713"/>
      <c r="AB1486" s="713"/>
      <c r="AC1486" s="728"/>
      <c r="AD1486" s="728"/>
      <c r="AE1486" s="752"/>
      <c r="AF1486" s="752"/>
      <c r="AG1486" s="752"/>
      <c r="AH1486" s="752"/>
      <c r="AI1486" s="752"/>
      <c r="AJ1486" s="752"/>
      <c r="AK1486" s="752"/>
      <c r="AL1486" s="752"/>
      <c r="AM1486" s="752"/>
      <c r="AN1486" s="752"/>
      <c r="AO1486" s="752"/>
      <c r="AP1486" s="752"/>
      <c r="AQ1486" s="752"/>
      <c r="AR1486" s="752"/>
      <c r="AS1486" s="752"/>
      <c r="AT1486" s="752"/>
      <c r="AU1486" s="752"/>
      <c r="AV1486" s="752"/>
      <c r="AW1486" s="752"/>
      <c r="AX1486" s="752"/>
      <c r="AY1486" s="752"/>
      <c r="AZ1486" s="752"/>
      <c r="BA1486" s="752"/>
      <c r="BB1486" s="752"/>
      <c r="BC1486" s="752"/>
      <c r="BD1486" s="752"/>
      <c r="BE1486" s="752"/>
      <c r="BF1486" s="752"/>
      <c r="BG1486" s="752"/>
      <c r="BH1486" s="752"/>
      <c r="BI1486" s="752"/>
      <c r="BJ1486" s="752"/>
      <c r="BK1486" s="752"/>
      <c r="BL1486" s="752"/>
      <c r="BM1486" s="752"/>
      <c r="BN1486" s="752"/>
      <c r="BO1486" s="752"/>
      <c r="BP1486" s="752"/>
      <c r="BQ1486" s="752"/>
      <c r="BR1486" s="752"/>
      <c r="BS1486" s="752"/>
      <c r="BT1486" s="752"/>
      <c r="BU1486" s="752"/>
      <c r="BV1486" s="752"/>
      <c r="BW1486" s="752"/>
      <c r="BX1486" s="752"/>
      <c r="BY1486" s="752"/>
      <c r="BZ1486" s="752"/>
      <c r="CA1486" s="752"/>
    </row>
    <row r="1487" spans="1:79" hidden="1" outlineLevel="1" x14ac:dyDescent="0.35">
      <c r="A1487" s="580"/>
      <c r="B1487" s="580"/>
      <c r="C1487" s="580"/>
      <c r="D1487" s="580"/>
      <c r="E1487" s="580"/>
      <c r="F1487" s="677" t="s">
        <v>9</v>
      </c>
      <c r="G1487" s="734"/>
      <c r="H1487" s="734"/>
      <c r="I1487" s="734"/>
      <c r="J1487" s="734"/>
      <c r="K1487" s="734"/>
      <c r="L1487" s="734"/>
      <c r="M1487" s="734"/>
      <c r="N1487" s="734"/>
      <c r="O1487" s="735"/>
      <c r="P1487" s="734"/>
      <c r="Q1487" s="734"/>
      <c r="R1487" s="733"/>
      <c r="S1487" s="683"/>
      <c r="T1487" s="683"/>
      <c r="U1487" s="683"/>
      <c r="V1487" s="683"/>
      <c r="W1487" s="683"/>
      <c r="X1487" s="683"/>
      <c r="Y1487" s="683"/>
      <c r="Z1487" s="683"/>
      <c r="AA1487" s="683"/>
      <c r="AB1487" s="683"/>
      <c r="AC1487" s="702"/>
      <c r="AD1487" s="702"/>
      <c r="AE1487" s="736"/>
      <c r="AF1487" s="736"/>
      <c r="AG1487" s="736"/>
      <c r="AH1487" s="736"/>
      <c r="AI1487" s="736"/>
      <c r="AJ1487" s="736"/>
      <c r="AK1487" s="736"/>
      <c r="AL1487" s="736"/>
      <c r="AM1487" s="736"/>
      <c r="AN1487" s="736"/>
      <c r="AO1487" s="736"/>
      <c r="AP1487" s="736"/>
      <c r="AQ1487" s="736"/>
      <c r="AR1487" s="736"/>
      <c r="AS1487" s="736"/>
      <c r="AT1487" s="736"/>
      <c r="AU1487" s="736"/>
      <c r="AV1487" s="736"/>
      <c r="AW1487" s="736"/>
      <c r="AX1487" s="736"/>
      <c r="AY1487" s="736"/>
      <c r="AZ1487" s="736"/>
      <c r="BA1487" s="736"/>
      <c r="BB1487" s="736"/>
      <c r="BC1487" s="736"/>
      <c r="BD1487" s="736"/>
      <c r="BE1487" s="736"/>
      <c r="BF1487" s="736"/>
      <c r="BG1487" s="736"/>
      <c r="BH1487" s="736"/>
      <c r="BI1487" s="736"/>
      <c r="BJ1487" s="736"/>
      <c r="BK1487" s="736"/>
      <c r="BL1487" s="736"/>
      <c r="BM1487" s="736"/>
      <c r="BN1487" s="736"/>
      <c r="BO1487" s="736"/>
      <c r="BP1487" s="736"/>
      <c r="BQ1487" s="736"/>
      <c r="BR1487" s="736"/>
      <c r="BS1487" s="736"/>
      <c r="BT1487" s="736"/>
      <c r="BU1487" s="736"/>
      <c r="BV1487" s="736"/>
      <c r="BW1487" s="736"/>
      <c r="BX1487" s="736"/>
      <c r="BY1487" s="736"/>
      <c r="BZ1487" s="736"/>
      <c r="CA1487" s="736"/>
    </row>
    <row r="1488" spans="1:79" hidden="1" outlineLevel="1" x14ac:dyDescent="0.35">
      <c r="A1488" s="580"/>
      <c r="B1488" s="580"/>
      <c r="C1488" s="580"/>
      <c r="D1488" s="580"/>
      <c r="E1488" s="580"/>
      <c r="F1488" s="677" t="s">
        <v>910</v>
      </c>
      <c r="G1488" s="734"/>
      <c r="H1488" s="734"/>
      <c r="I1488" s="734"/>
      <c r="J1488" s="734"/>
      <c r="K1488" s="734"/>
      <c r="L1488" s="734"/>
      <c r="M1488" s="734"/>
      <c r="N1488" s="734"/>
      <c r="O1488" s="735"/>
      <c r="P1488" s="734"/>
      <c r="Q1488" s="734"/>
      <c r="R1488" s="733"/>
      <c r="S1488" s="683"/>
      <c r="T1488" s="683"/>
      <c r="U1488" s="683"/>
      <c r="V1488" s="683"/>
      <c r="W1488" s="683"/>
      <c r="X1488" s="683"/>
      <c r="Y1488" s="683"/>
      <c r="Z1488" s="683"/>
      <c r="AA1488" s="683"/>
      <c r="AB1488" s="683"/>
      <c r="AC1488" s="702"/>
      <c r="AD1488" s="702"/>
      <c r="AE1488" s="736"/>
      <c r="AF1488" s="736"/>
      <c r="AG1488" s="736"/>
      <c r="AH1488" s="736"/>
      <c r="AI1488" s="736"/>
      <c r="AJ1488" s="736"/>
      <c r="AK1488" s="736"/>
      <c r="AL1488" s="736"/>
      <c r="AM1488" s="736"/>
      <c r="AN1488" s="736"/>
      <c r="AO1488" s="736"/>
      <c r="AP1488" s="736"/>
      <c r="AQ1488" s="736"/>
      <c r="AR1488" s="736"/>
      <c r="AS1488" s="736"/>
      <c r="AT1488" s="736"/>
      <c r="AU1488" s="736"/>
      <c r="AV1488" s="736"/>
      <c r="AW1488" s="736"/>
      <c r="AX1488" s="736"/>
      <c r="AY1488" s="736"/>
      <c r="AZ1488" s="736"/>
      <c r="BA1488" s="736"/>
      <c r="BB1488" s="736"/>
      <c r="BC1488" s="736"/>
      <c r="BD1488" s="736"/>
      <c r="BE1488" s="736"/>
      <c r="BF1488" s="736"/>
      <c r="BG1488" s="736"/>
      <c r="BH1488" s="736"/>
      <c r="BI1488" s="736"/>
      <c r="BJ1488" s="736"/>
      <c r="BK1488" s="736"/>
      <c r="BL1488" s="736"/>
      <c r="BM1488" s="736"/>
      <c r="BN1488" s="736"/>
      <c r="BO1488" s="736"/>
      <c r="BP1488" s="736"/>
      <c r="BQ1488" s="736"/>
      <c r="BR1488" s="736"/>
      <c r="BS1488" s="736"/>
      <c r="BT1488" s="736"/>
      <c r="BU1488" s="736"/>
      <c r="BV1488" s="736"/>
      <c r="BW1488" s="736"/>
      <c r="BX1488" s="736"/>
      <c r="BY1488" s="736"/>
      <c r="BZ1488" s="736"/>
      <c r="CA1488" s="736"/>
    </row>
    <row r="1489" spans="1:79" hidden="1" outlineLevel="1" x14ac:dyDescent="0.35">
      <c r="A1489" s="580"/>
      <c r="B1489" s="580"/>
      <c r="C1489" s="580"/>
      <c r="D1489" s="580"/>
      <c r="E1489" s="580"/>
      <c r="F1489" s="677" t="s">
        <v>647</v>
      </c>
      <c r="G1489" s="734"/>
      <c r="H1489" s="734"/>
      <c r="I1489" s="734"/>
      <c r="J1489" s="734"/>
      <c r="K1489" s="734"/>
      <c r="L1489" s="734"/>
      <c r="M1489" s="734"/>
      <c r="N1489" s="734"/>
      <c r="O1489" s="735"/>
      <c r="P1489" s="735"/>
      <c r="Q1489" s="735"/>
      <c r="R1489" s="735"/>
      <c r="S1489" s="683"/>
      <c r="T1489" s="683"/>
      <c r="U1489" s="683"/>
      <c r="V1489" s="683"/>
      <c r="W1489" s="683"/>
      <c r="X1489" s="683"/>
      <c r="Y1489" s="683"/>
      <c r="Z1489" s="683"/>
      <c r="AA1489" s="683"/>
      <c r="AB1489" s="683"/>
      <c r="AC1489" s="702"/>
      <c r="AD1489" s="702"/>
      <c r="AE1489" s="736"/>
      <c r="AF1489" s="736"/>
      <c r="AG1489" s="736"/>
      <c r="AH1489" s="736"/>
      <c r="AI1489" s="736"/>
      <c r="AJ1489" s="736"/>
      <c r="AK1489" s="736"/>
      <c r="AL1489" s="736"/>
      <c r="AM1489" s="736"/>
      <c r="AN1489" s="736"/>
      <c r="AO1489" s="736"/>
      <c r="AP1489" s="736"/>
      <c r="AQ1489" s="736"/>
      <c r="AR1489" s="736"/>
      <c r="AS1489" s="736"/>
      <c r="AT1489" s="736"/>
      <c r="AU1489" s="736"/>
      <c r="AV1489" s="736"/>
      <c r="AW1489" s="736"/>
      <c r="AX1489" s="736"/>
      <c r="AY1489" s="736"/>
      <c r="AZ1489" s="736"/>
      <c r="BA1489" s="736"/>
      <c r="BB1489" s="736"/>
      <c r="BC1489" s="736"/>
      <c r="BD1489" s="736"/>
      <c r="BE1489" s="736"/>
      <c r="BF1489" s="736"/>
      <c r="BG1489" s="736"/>
      <c r="BH1489" s="736"/>
      <c r="BI1489" s="736"/>
      <c r="BJ1489" s="736"/>
      <c r="BK1489" s="736"/>
      <c r="BL1489" s="736"/>
      <c r="BM1489" s="736"/>
      <c r="BN1489" s="736"/>
      <c r="BO1489" s="736"/>
      <c r="BP1489" s="736"/>
      <c r="BQ1489" s="736"/>
      <c r="BR1489" s="736"/>
      <c r="BS1489" s="736"/>
      <c r="BT1489" s="736"/>
      <c r="BU1489" s="736"/>
      <c r="BV1489" s="736"/>
      <c r="BW1489" s="736"/>
      <c r="BX1489" s="736"/>
      <c r="BY1489" s="736"/>
      <c r="BZ1489" s="736"/>
      <c r="CA1489" s="736"/>
    </row>
    <row r="1490" spans="1:79" hidden="1" outlineLevel="1" x14ac:dyDescent="0.35">
      <c r="A1490" s="580"/>
      <c r="B1490" s="580"/>
      <c r="C1490" s="580"/>
      <c r="D1490" s="580"/>
      <c r="E1490" s="580"/>
      <c r="F1490" s="677" t="s">
        <v>648</v>
      </c>
      <c r="G1490" s="734"/>
      <c r="H1490" s="734"/>
      <c r="I1490" s="734"/>
      <c r="J1490" s="734"/>
      <c r="K1490" s="734"/>
      <c r="L1490" s="734"/>
      <c r="M1490" s="734"/>
      <c r="N1490" s="734"/>
      <c r="O1490" s="735"/>
      <c r="P1490" s="735"/>
      <c r="Q1490" s="735"/>
      <c r="R1490" s="735"/>
      <c r="S1490" s="683"/>
      <c r="T1490" s="683"/>
      <c r="U1490" s="683"/>
      <c r="V1490" s="683"/>
      <c r="W1490" s="683"/>
      <c r="X1490" s="683"/>
      <c r="Y1490" s="683"/>
      <c r="Z1490" s="683"/>
      <c r="AA1490" s="683"/>
      <c r="AB1490" s="683"/>
      <c r="AC1490" s="702"/>
      <c r="AD1490" s="702"/>
      <c r="AE1490" s="736"/>
      <c r="AF1490" s="736"/>
      <c r="AG1490" s="736"/>
      <c r="AH1490" s="736"/>
      <c r="AI1490" s="736"/>
      <c r="AJ1490" s="736"/>
      <c r="AK1490" s="736"/>
      <c r="AL1490" s="736"/>
      <c r="AM1490" s="736"/>
      <c r="AN1490" s="736"/>
      <c r="AO1490" s="736"/>
      <c r="AP1490" s="736"/>
      <c r="AQ1490" s="736"/>
      <c r="AR1490" s="736"/>
      <c r="AS1490" s="736"/>
      <c r="AT1490" s="736"/>
      <c r="AU1490" s="736"/>
      <c r="AV1490" s="736"/>
      <c r="AW1490" s="736"/>
      <c r="AX1490" s="736"/>
      <c r="AY1490" s="736"/>
      <c r="AZ1490" s="736"/>
      <c r="BA1490" s="736"/>
      <c r="BB1490" s="736"/>
      <c r="BC1490" s="736"/>
      <c r="BD1490" s="736"/>
      <c r="BE1490" s="736"/>
      <c r="BF1490" s="736"/>
      <c r="BG1490" s="736"/>
      <c r="BH1490" s="736"/>
      <c r="BI1490" s="736"/>
      <c r="BJ1490" s="736"/>
      <c r="BK1490" s="736"/>
      <c r="BL1490" s="736"/>
      <c r="BM1490" s="736"/>
      <c r="BN1490" s="736"/>
      <c r="BO1490" s="736"/>
      <c r="BP1490" s="736"/>
      <c r="BQ1490" s="736"/>
      <c r="BR1490" s="736"/>
      <c r="BS1490" s="736"/>
      <c r="BT1490" s="736"/>
      <c r="BU1490" s="736"/>
      <c r="BV1490" s="736"/>
      <c r="BW1490" s="736"/>
      <c r="BX1490" s="736"/>
      <c r="BY1490" s="736"/>
      <c r="BZ1490" s="736"/>
      <c r="CA1490" s="736"/>
    </row>
    <row r="1491" spans="1:79" hidden="1" outlineLevel="1" x14ac:dyDescent="0.35">
      <c r="A1491" s="580"/>
      <c r="B1491" s="580"/>
      <c r="C1491" s="580"/>
      <c r="D1491" s="580"/>
      <c r="E1491" s="580"/>
      <c r="F1491" s="677" t="s">
        <v>640</v>
      </c>
      <c r="G1491" s="734"/>
      <c r="H1491" s="734"/>
      <c r="I1491" s="734"/>
      <c r="J1491" s="734"/>
      <c r="K1491" s="734"/>
      <c r="L1491" s="734"/>
      <c r="M1491" s="734"/>
      <c r="N1491" s="734"/>
      <c r="O1491" s="735"/>
      <c r="P1491" s="735"/>
      <c r="Q1491" s="735"/>
      <c r="R1491" s="735"/>
      <c r="S1491" s="683"/>
      <c r="T1491" s="683"/>
      <c r="U1491" s="683"/>
      <c r="V1491" s="683"/>
      <c r="W1491" s="683"/>
      <c r="X1491" s="683"/>
      <c r="Y1491" s="683"/>
      <c r="Z1491" s="683"/>
      <c r="AA1491" s="683"/>
      <c r="AB1491" s="683"/>
      <c r="AC1491" s="702"/>
      <c r="AD1491" s="702"/>
      <c r="AE1491" s="736"/>
      <c r="AF1491" s="736"/>
      <c r="AG1491" s="736"/>
      <c r="AH1491" s="736"/>
      <c r="AI1491" s="736"/>
      <c r="AJ1491" s="736"/>
      <c r="AK1491" s="736"/>
      <c r="AL1491" s="736"/>
      <c r="AM1491" s="736"/>
      <c r="AN1491" s="736"/>
      <c r="AO1491" s="736"/>
      <c r="AP1491" s="736"/>
      <c r="AQ1491" s="736"/>
      <c r="AR1491" s="736"/>
      <c r="AS1491" s="736"/>
      <c r="AT1491" s="736"/>
      <c r="AU1491" s="736"/>
      <c r="AV1491" s="736"/>
      <c r="AW1491" s="736"/>
      <c r="AX1491" s="736"/>
      <c r="AY1491" s="736"/>
      <c r="AZ1491" s="736"/>
      <c r="BA1491" s="736"/>
      <c r="BB1491" s="736"/>
      <c r="BC1491" s="736"/>
      <c r="BD1491" s="736"/>
      <c r="BE1491" s="736"/>
      <c r="BF1491" s="736"/>
      <c r="BG1491" s="736"/>
      <c r="BH1491" s="736"/>
      <c r="BI1491" s="736"/>
      <c r="BJ1491" s="736"/>
      <c r="BK1491" s="736"/>
      <c r="BL1491" s="736"/>
      <c r="BM1491" s="736"/>
      <c r="BN1491" s="736"/>
      <c r="BO1491" s="736"/>
      <c r="BP1491" s="736"/>
      <c r="BQ1491" s="736"/>
      <c r="BR1491" s="736"/>
      <c r="BS1491" s="736"/>
      <c r="BT1491" s="736"/>
      <c r="BU1491" s="736"/>
      <c r="BV1491" s="736"/>
      <c r="BW1491" s="736"/>
      <c r="BX1491" s="736"/>
      <c r="BY1491" s="736"/>
      <c r="BZ1491" s="736"/>
      <c r="CA1491" s="736"/>
    </row>
    <row r="1492" spans="1:79" hidden="1" outlineLevel="1" x14ac:dyDescent="0.35">
      <c r="A1492" s="580"/>
      <c r="B1492" s="580"/>
      <c r="C1492" s="580"/>
      <c r="D1492" s="580"/>
      <c r="E1492" s="580"/>
      <c r="F1492" s="677" t="s">
        <v>641</v>
      </c>
      <c r="G1492" s="734"/>
      <c r="H1492" s="734"/>
      <c r="I1492" s="734"/>
      <c r="J1492" s="734"/>
      <c r="K1492" s="734"/>
      <c r="L1492" s="734"/>
      <c r="M1492" s="734"/>
      <c r="N1492" s="734"/>
      <c r="O1492" s="735"/>
      <c r="P1492" s="735"/>
      <c r="Q1492" s="735"/>
      <c r="R1492" s="735"/>
      <c r="S1492" s="683"/>
      <c r="T1492" s="683"/>
      <c r="U1492" s="683"/>
      <c r="V1492" s="683"/>
      <c r="W1492" s="683"/>
      <c r="X1492" s="683"/>
      <c r="Y1492" s="683"/>
      <c r="Z1492" s="683"/>
      <c r="AA1492" s="683"/>
      <c r="AB1492" s="683"/>
      <c r="AC1492" s="702"/>
      <c r="AD1492" s="702"/>
      <c r="AE1492" s="736"/>
      <c r="AF1492" s="736"/>
      <c r="AG1492" s="736"/>
      <c r="AH1492" s="736"/>
      <c r="AI1492" s="736"/>
      <c r="AJ1492" s="736"/>
      <c r="AK1492" s="736"/>
      <c r="AL1492" s="736"/>
      <c r="AM1492" s="736"/>
      <c r="AN1492" s="736"/>
      <c r="AO1492" s="736"/>
      <c r="AP1492" s="736"/>
      <c r="AQ1492" s="736"/>
      <c r="AR1492" s="736"/>
      <c r="AS1492" s="736"/>
      <c r="AT1492" s="736"/>
      <c r="AU1492" s="736"/>
      <c r="AV1492" s="736"/>
      <c r="AW1492" s="736"/>
      <c r="AX1492" s="736"/>
      <c r="AY1492" s="736"/>
      <c r="AZ1492" s="736"/>
      <c r="BA1492" s="736"/>
      <c r="BB1492" s="736"/>
      <c r="BC1492" s="736"/>
      <c r="BD1492" s="736"/>
      <c r="BE1492" s="736"/>
      <c r="BF1492" s="736"/>
      <c r="BG1492" s="736"/>
      <c r="BH1492" s="736"/>
      <c r="BI1492" s="736"/>
      <c r="BJ1492" s="736"/>
      <c r="BK1492" s="736"/>
      <c r="BL1492" s="736"/>
      <c r="BM1492" s="736"/>
      <c r="BN1492" s="736"/>
      <c r="BO1492" s="736"/>
      <c r="BP1492" s="736"/>
      <c r="BQ1492" s="736"/>
      <c r="BR1492" s="736"/>
      <c r="BS1492" s="736"/>
      <c r="BT1492" s="736"/>
      <c r="BU1492" s="736"/>
      <c r="BV1492" s="736"/>
      <c r="BW1492" s="736"/>
      <c r="BX1492" s="736"/>
      <c r="BY1492" s="736"/>
      <c r="BZ1492" s="736"/>
      <c r="CA1492" s="736"/>
    </row>
    <row r="1493" spans="1:79" hidden="1" outlineLevel="1" x14ac:dyDescent="0.35">
      <c r="A1493" s="580"/>
      <c r="B1493" s="580"/>
      <c r="C1493" s="580"/>
      <c r="D1493" s="580"/>
      <c r="E1493" s="580"/>
      <c r="F1493" s="677" t="s">
        <v>911</v>
      </c>
      <c r="G1493" s="734"/>
      <c r="H1493" s="734"/>
      <c r="I1493" s="734"/>
      <c r="J1493" s="734"/>
      <c r="K1493" s="734"/>
      <c r="L1493" s="734"/>
      <c r="M1493" s="734"/>
      <c r="N1493" s="734"/>
      <c r="O1493" s="735"/>
      <c r="P1493" s="735"/>
      <c r="Q1493" s="735"/>
      <c r="R1493" s="735"/>
      <c r="S1493" s="683"/>
      <c r="T1493" s="683"/>
      <c r="U1493" s="683"/>
      <c r="V1493" s="683"/>
      <c r="W1493" s="683"/>
      <c r="X1493" s="683"/>
      <c r="Y1493" s="683"/>
      <c r="Z1493" s="683"/>
      <c r="AA1493" s="683"/>
      <c r="AB1493" s="683"/>
      <c r="AC1493" s="702"/>
      <c r="AD1493" s="702"/>
      <c r="AE1493" s="736"/>
      <c r="AF1493" s="736"/>
      <c r="AG1493" s="736"/>
      <c r="AH1493" s="736"/>
      <c r="AI1493" s="736"/>
      <c r="AJ1493" s="736"/>
      <c r="AK1493" s="736"/>
      <c r="AL1493" s="736"/>
      <c r="AM1493" s="736"/>
      <c r="AN1493" s="736"/>
      <c r="AO1493" s="736"/>
      <c r="AP1493" s="736"/>
      <c r="AQ1493" s="736"/>
      <c r="AR1493" s="736"/>
      <c r="AS1493" s="736"/>
      <c r="AT1493" s="736"/>
      <c r="AU1493" s="736"/>
      <c r="AV1493" s="736"/>
      <c r="AW1493" s="736"/>
      <c r="AX1493" s="736"/>
      <c r="AY1493" s="736"/>
      <c r="AZ1493" s="736"/>
      <c r="BA1493" s="736"/>
      <c r="BB1493" s="736"/>
      <c r="BC1493" s="736"/>
      <c r="BD1493" s="736"/>
      <c r="BE1493" s="736"/>
      <c r="BF1493" s="736"/>
      <c r="BG1493" s="736"/>
      <c r="BH1493" s="736"/>
      <c r="BI1493" s="736"/>
      <c r="BJ1493" s="736"/>
      <c r="BK1493" s="736"/>
      <c r="BL1493" s="736"/>
      <c r="BM1493" s="736"/>
      <c r="BN1493" s="736"/>
      <c r="BO1493" s="736"/>
      <c r="BP1493" s="736"/>
      <c r="BQ1493" s="736"/>
      <c r="BR1493" s="736"/>
      <c r="BS1493" s="736"/>
      <c r="BT1493" s="736"/>
      <c r="BU1493" s="736"/>
      <c r="BV1493" s="736"/>
      <c r="BW1493" s="736"/>
      <c r="BX1493" s="736"/>
      <c r="BY1493" s="736"/>
      <c r="BZ1493" s="736"/>
      <c r="CA1493" s="736"/>
    </row>
    <row r="1494" spans="1:79" hidden="1" outlineLevel="1" x14ac:dyDescent="0.35">
      <c r="A1494" s="580"/>
      <c r="B1494" s="580"/>
      <c r="C1494" s="580"/>
      <c r="D1494" s="580"/>
      <c r="E1494" s="580"/>
      <c r="F1494" s="677" t="s">
        <v>681</v>
      </c>
      <c r="G1494" s="734"/>
      <c r="H1494" s="734"/>
      <c r="I1494" s="734"/>
      <c r="J1494" s="734"/>
      <c r="K1494" s="734"/>
      <c r="L1494" s="734"/>
      <c r="M1494" s="734"/>
      <c r="N1494" s="734"/>
      <c r="O1494" s="735"/>
      <c r="P1494" s="735"/>
      <c r="Q1494" s="735"/>
      <c r="R1494" s="735"/>
      <c r="S1494" s="683"/>
      <c r="T1494" s="683"/>
      <c r="U1494" s="683"/>
      <c r="V1494" s="683"/>
      <c r="W1494" s="683"/>
      <c r="X1494" s="683"/>
      <c r="Y1494" s="683"/>
      <c r="Z1494" s="683"/>
      <c r="AA1494" s="683"/>
      <c r="AB1494" s="683"/>
      <c r="AC1494" s="702"/>
      <c r="AD1494" s="702"/>
      <c r="AE1494" s="736"/>
      <c r="AF1494" s="736"/>
      <c r="AG1494" s="736"/>
      <c r="AH1494" s="736"/>
      <c r="AI1494" s="736"/>
      <c r="AJ1494" s="736"/>
      <c r="AK1494" s="736"/>
      <c r="AL1494" s="736"/>
      <c r="AM1494" s="736"/>
      <c r="AN1494" s="736"/>
      <c r="AO1494" s="736"/>
      <c r="AP1494" s="736"/>
      <c r="AQ1494" s="736"/>
      <c r="AR1494" s="736"/>
      <c r="AS1494" s="736"/>
      <c r="AT1494" s="736"/>
      <c r="AU1494" s="736"/>
      <c r="AV1494" s="736"/>
      <c r="AW1494" s="736"/>
      <c r="AX1494" s="736"/>
      <c r="AY1494" s="736"/>
      <c r="AZ1494" s="736"/>
      <c r="BA1494" s="736"/>
      <c r="BB1494" s="736"/>
      <c r="BC1494" s="736"/>
      <c r="BD1494" s="736"/>
      <c r="BE1494" s="736"/>
      <c r="BF1494" s="736"/>
      <c r="BG1494" s="736"/>
      <c r="BH1494" s="736"/>
      <c r="BI1494" s="736"/>
      <c r="BJ1494" s="736"/>
      <c r="BK1494" s="736"/>
      <c r="BL1494" s="736"/>
      <c r="BM1494" s="736"/>
      <c r="BN1494" s="736"/>
      <c r="BO1494" s="736"/>
      <c r="BP1494" s="736"/>
      <c r="BQ1494" s="736"/>
      <c r="BR1494" s="736"/>
      <c r="BS1494" s="736"/>
      <c r="BT1494" s="736"/>
      <c r="BU1494" s="736"/>
      <c r="BV1494" s="736"/>
      <c r="BW1494" s="736"/>
      <c r="BX1494" s="736"/>
      <c r="BY1494" s="736"/>
      <c r="BZ1494" s="736"/>
      <c r="CA1494" s="736"/>
    </row>
    <row r="1495" spans="1:79" hidden="1" outlineLevel="1" x14ac:dyDescent="0.35">
      <c r="A1495" s="504"/>
      <c r="B1495" s="504"/>
      <c r="C1495" s="504"/>
      <c r="D1495" s="504"/>
      <c r="E1495" s="504"/>
      <c r="F1495" s="673" t="s">
        <v>642</v>
      </c>
      <c r="G1495" s="680"/>
      <c r="H1495" s="680"/>
      <c r="I1495" s="680"/>
      <c r="J1495" s="680"/>
      <c r="K1495" s="680"/>
      <c r="L1495" s="680"/>
      <c r="M1495" s="680"/>
      <c r="N1495" s="680"/>
      <c r="O1495" s="680"/>
      <c r="P1495" s="680"/>
      <c r="Q1495" s="680"/>
      <c r="R1495" s="680"/>
      <c r="S1495" s="695"/>
      <c r="T1495" s="695"/>
      <c r="U1495" s="695"/>
      <c r="V1495" s="695"/>
      <c r="W1495" s="695"/>
      <c r="X1495" s="695"/>
      <c r="Y1495" s="695"/>
      <c r="Z1495" s="695"/>
      <c r="AA1495" s="695"/>
      <c r="AB1495" s="695"/>
      <c r="AC1495" s="695"/>
      <c r="AD1495" s="695"/>
      <c r="AE1495" s="680">
        <f t="shared" ref="AE1495:BO1495" si="552">SUM(AE1487:AE1494)</f>
        <v>0</v>
      </c>
      <c r="AF1495" s="680">
        <f t="shared" si="552"/>
        <v>0</v>
      </c>
      <c r="AG1495" s="680">
        <f t="shared" si="552"/>
        <v>0</v>
      </c>
      <c r="AH1495" s="680">
        <f t="shared" si="552"/>
        <v>0</v>
      </c>
      <c r="AI1495" s="680">
        <f t="shared" si="552"/>
        <v>0</v>
      </c>
      <c r="AJ1495" s="680">
        <f t="shared" si="552"/>
        <v>0</v>
      </c>
      <c r="AK1495" s="680">
        <f t="shared" si="552"/>
        <v>0</v>
      </c>
      <c r="AL1495" s="680">
        <f t="shared" si="552"/>
        <v>0</v>
      </c>
      <c r="AM1495" s="680">
        <f t="shared" si="552"/>
        <v>0</v>
      </c>
      <c r="AN1495" s="680">
        <f t="shared" si="552"/>
        <v>0</v>
      </c>
      <c r="AO1495" s="680">
        <f t="shared" si="552"/>
        <v>0</v>
      </c>
      <c r="AP1495" s="680">
        <f t="shared" si="552"/>
        <v>0</v>
      </c>
      <c r="AQ1495" s="680">
        <f t="shared" si="552"/>
        <v>0</v>
      </c>
      <c r="AR1495" s="680">
        <f t="shared" si="552"/>
        <v>0</v>
      </c>
      <c r="AS1495" s="680">
        <f t="shared" si="552"/>
        <v>0</v>
      </c>
      <c r="AT1495" s="680">
        <f t="shared" si="552"/>
        <v>0</v>
      </c>
      <c r="AU1495" s="680">
        <f t="shared" si="552"/>
        <v>0</v>
      </c>
      <c r="AV1495" s="680">
        <f t="shared" si="552"/>
        <v>0</v>
      </c>
      <c r="AW1495" s="680">
        <f t="shared" si="552"/>
        <v>0</v>
      </c>
      <c r="AX1495" s="680">
        <f t="shared" si="552"/>
        <v>0</v>
      </c>
      <c r="AY1495" s="680">
        <f t="shared" si="552"/>
        <v>0</v>
      </c>
      <c r="AZ1495" s="680">
        <f t="shared" si="552"/>
        <v>0</v>
      </c>
      <c r="BA1495" s="680">
        <f t="shared" si="552"/>
        <v>0</v>
      </c>
      <c r="BB1495" s="680">
        <f t="shared" si="552"/>
        <v>0</v>
      </c>
      <c r="BC1495" s="680">
        <f t="shared" si="552"/>
        <v>0</v>
      </c>
      <c r="BD1495" s="680">
        <f t="shared" si="552"/>
        <v>0</v>
      </c>
      <c r="BE1495" s="680">
        <f t="shared" si="552"/>
        <v>0</v>
      </c>
      <c r="BF1495" s="680">
        <f t="shared" si="552"/>
        <v>0</v>
      </c>
      <c r="BG1495" s="680">
        <f t="shared" si="552"/>
        <v>0</v>
      </c>
      <c r="BH1495" s="680">
        <f t="shared" si="552"/>
        <v>0</v>
      </c>
      <c r="BI1495" s="680">
        <f t="shared" si="552"/>
        <v>0</v>
      </c>
      <c r="BJ1495" s="680">
        <f t="shared" si="552"/>
        <v>0</v>
      </c>
      <c r="BK1495" s="680">
        <f t="shared" si="552"/>
        <v>0</v>
      </c>
      <c r="BL1495" s="680">
        <f t="shared" si="552"/>
        <v>0</v>
      </c>
      <c r="BM1495" s="680">
        <f t="shared" si="552"/>
        <v>0</v>
      </c>
      <c r="BN1495" s="680">
        <f t="shared" si="552"/>
        <v>0</v>
      </c>
      <c r="BO1495" s="680">
        <f t="shared" si="552"/>
        <v>0</v>
      </c>
      <c r="BP1495" s="680">
        <f t="shared" ref="BP1495:CA1495" si="553">SUM(BP1487:BP1494)</f>
        <v>0</v>
      </c>
      <c r="BQ1495" s="680">
        <f t="shared" si="553"/>
        <v>0</v>
      </c>
      <c r="BR1495" s="680">
        <f t="shared" si="553"/>
        <v>0</v>
      </c>
      <c r="BS1495" s="680">
        <f t="shared" si="553"/>
        <v>0</v>
      </c>
      <c r="BT1495" s="680">
        <f t="shared" si="553"/>
        <v>0</v>
      </c>
      <c r="BU1495" s="680">
        <f t="shared" si="553"/>
        <v>0</v>
      </c>
      <c r="BV1495" s="680">
        <f t="shared" si="553"/>
        <v>0</v>
      </c>
      <c r="BW1495" s="680">
        <f t="shared" si="553"/>
        <v>0</v>
      </c>
      <c r="BX1495" s="680">
        <f t="shared" si="553"/>
        <v>0</v>
      </c>
      <c r="BY1495" s="680">
        <f t="shared" si="553"/>
        <v>0</v>
      </c>
      <c r="BZ1495" s="680">
        <f t="shared" si="553"/>
        <v>0</v>
      </c>
      <c r="CA1495" s="680">
        <f t="shared" si="553"/>
        <v>0</v>
      </c>
    </row>
    <row r="1496" spans="1:79" hidden="1" outlineLevel="1" x14ac:dyDescent="0.35">
      <c r="A1496" s="580"/>
      <c r="B1496" s="580"/>
      <c r="C1496" s="580"/>
      <c r="D1496" s="580"/>
      <c r="E1496" s="580"/>
      <c r="F1496" s="672" t="s">
        <v>643</v>
      </c>
      <c r="G1496" s="732"/>
      <c r="H1496" s="732"/>
      <c r="I1496" s="732"/>
      <c r="J1496" s="732"/>
      <c r="K1496" s="732"/>
      <c r="L1496" s="732"/>
      <c r="M1496" s="732"/>
      <c r="N1496" s="732"/>
      <c r="O1496" s="732"/>
      <c r="P1496" s="732"/>
      <c r="Q1496" s="732"/>
      <c r="R1496" s="736"/>
      <c r="S1496" s="687"/>
      <c r="T1496" s="687"/>
      <c r="U1496" s="687"/>
      <c r="V1496" s="687"/>
      <c r="W1496" s="687"/>
      <c r="X1496" s="687"/>
      <c r="Y1496" s="687"/>
      <c r="Z1496" s="687"/>
      <c r="AA1496" s="687"/>
      <c r="AB1496" s="687"/>
      <c r="AC1496" s="698"/>
      <c r="AD1496" s="698"/>
      <c r="AE1496" s="736"/>
      <c r="AF1496" s="736"/>
      <c r="AG1496" s="736"/>
      <c r="AH1496" s="736"/>
      <c r="AI1496" s="736"/>
      <c r="AJ1496" s="736"/>
      <c r="AK1496" s="736"/>
      <c r="AL1496" s="736"/>
      <c r="AM1496" s="736"/>
      <c r="AN1496" s="736"/>
      <c r="AO1496" s="736"/>
      <c r="AP1496" s="736"/>
      <c r="AQ1496" s="736"/>
      <c r="AR1496" s="736"/>
      <c r="AS1496" s="736"/>
      <c r="AT1496" s="736"/>
      <c r="AU1496" s="736"/>
      <c r="AV1496" s="736"/>
      <c r="AW1496" s="736"/>
      <c r="AX1496" s="736"/>
      <c r="AY1496" s="736"/>
      <c r="AZ1496" s="736"/>
      <c r="BA1496" s="736"/>
      <c r="BB1496" s="736"/>
      <c r="BC1496" s="736"/>
      <c r="BD1496" s="736"/>
      <c r="BE1496" s="736"/>
      <c r="BF1496" s="736"/>
      <c r="BG1496" s="736"/>
      <c r="BH1496" s="736"/>
      <c r="BI1496" s="736"/>
      <c r="BJ1496" s="736"/>
      <c r="BK1496" s="736"/>
      <c r="BL1496" s="736"/>
      <c r="BM1496" s="736"/>
      <c r="BN1496" s="736"/>
      <c r="BO1496" s="736"/>
      <c r="BP1496" s="736"/>
      <c r="BQ1496" s="736"/>
      <c r="BR1496" s="736"/>
      <c r="BS1496" s="736"/>
      <c r="BT1496" s="736"/>
      <c r="BU1496" s="736"/>
      <c r="BV1496" s="736"/>
      <c r="BW1496" s="736"/>
      <c r="BX1496" s="736"/>
      <c r="BY1496" s="736"/>
      <c r="BZ1496" s="736"/>
      <c r="CA1496" s="736"/>
    </row>
    <row r="1497" spans="1:79" hidden="1" outlineLevel="1" x14ac:dyDescent="0.35">
      <c r="A1497" s="574"/>
      <c r="B1497" s="574"/>
      <c r="C1497" s="574"/>
      <c r="D1497" s="574"/>
      <c r="E1497" s="574"/>
      <c r="F1497" s="675" t="s">
        <v>644</v>
      </c>
      <c r="G1497" s="680"/>
      <c r="H1497" s="680"/>
      <c r="I1497" s="680"/>
      <c r="J1497" s="680"/>
      <c r="K1497" s="680"/>
      <c r="L1497" s="680"/>
      <c r="M1497" s="680"/>
      <c r="N1497" s="680"/>
      <c r="O1497" s="680"/>
      <c r="P1497" s="680"/>
      <c r="Q1497" s="680"/>
      <c r="R1497" s="680"/>
      <c r="S1497" s="695"/>
      <c r="T1497" s="695"/>
      <c r="U1497" s="695"/>
      <c r="V1497" s="695"/>
      <c r="W1497" s="695"/>
      <c r="X1497" s="695"/>
      <c r="Y1497" s="695"/>
      <c r="Z1497" s="695"/>
      <c r="AA1497" s="695"/>
      <c r="AB1497" s="695"/>
      <c r="AC1497" s="695"/>
      <c r="AD1497" s="695"/>
      <c r="AE1497" s="680">
        <f t="shared" ref="AE1497:CA1497" si="554">SUM(AE1485+AE1495)</f>
        <v>0</v>
      </c>
      <c r="AF1497" s="680">
        <f t="shared" si="554"/>
        <v>0</v>
      </c>
      <c r="AG1497" s="680">
        <f t="shared" si="554"/>
        <v>0</v>
      </c>
      <c r="AH1497" s="680">
        <f t="shared" si="554"/>
        <v>0</v>
      </c>
      <c r="AI1497" s="680">
        <f t="shared" si="554"/>
        <v>0</v>
      </c>
      <c r="AJ1497" s="680">
        <f t="shared" si="554"/>
        <v>0</v>
      </c>
      <c r="AK1497" s="680">
        <f t="shared" si="554"/>
        <v>0</v>
      </c>
      <c r="AL1497" s="680">
        <f t="shared" si="554"/>
        <v>0</v>
      </c>
      <c r="AM1497" s="680">
        <f t="shared" si="554"/>
        <v>0</v>
      </c>
      <c r="AN1497" s="680">
        <f t="shared" si="554"/>
        <v>0</v>
      </c>
      <c r="AO1497" s="680">
        <f t="shared" si="554"/>
        <v>0</v>
      </c>
      <c r="AP1497" s="680">
        <f t="shared" si="554"/>
        <v>0</v>
      </c>
      <c r="AQ1497" s="680">
        <f t="shared" si="554"/>
        <v>0</v>
      </c>
      <c r="AR1497" s="680">
        <f t="shared" si="554"/>
        <v>0</v>
      </c>
      <c r="AS1497" s="680">
        <f t="shared" si="554"/>
        <v>0</v>
      </c>
      <c r="AT1497" s="680">
        <f t="shared" si="554"/>
        <v>0</v>
      </c>
      <c r="AU1497" s="680">
        <f t="shared" si="554"/>
        <v>0</v>
      </c>
      <c r="AV1497" s="680">
        <f t="shared" si="554"/>
        <v>0</v>
      </c>
      <c r="AW1497" s="680">
        <f t="shared" si="554"/>
        <v>0</v>
      </c>
      <c r="AX1497" s="680">
        <f t="shared" si="554"/>
        <v>0</v>
      </c>
      <c r="AY1497" s="680">
        <f t="shared" si="554"/>
        <v>0</v>
      </c>
      <c r="AZ1497" s="680">
        <f t="shared" si="554"/>
        <v>0</v>
      </c>
      <c r="BA1497" s="680">
        <f t="shared" si="554"/>
        <v>0</v>
      </c>
      <c r="BB1497" s="680">
        <f t="shared" si="554"/>
        <v>0</v>
      </c>
      <c r="BC1497" s="680">
        <f t="shared" si="554"/>
        <v>0</v>
      </c>
      <c r="BD1497" s="680">
        <f t="shared" si="554"/>
        <v>0</v>
      </c>
      <c r="BE1497" s="680">
        <f t="shared" si="554"/>
        <v>0</v>
      </c>
      <c r="BF1497" s="680">
        <f t="shared" si="554"/>
        <v>0</v>
      </c>
      <c r="BG1497" s="680">
        <f t="shared" si="554"/>
        <v>0</v>
      </c>
      <c r="BH1497" s="680">
        <f t="shared" si="554"/>
        <v>0</v>
      </c>
      <c r="BI1497" s="680">
        <f t="shared" si="554"/>
        <v>0</v>
      </c>
      <c r="BJ1497" s="680">
        <f t="shared" si="554"/>
        <v>0</v>
      </c>
      <c r="BK1497" s="680">
        <f t="shared" si="554"/>
        <v>0</v>
      </c>
      <c r="BL1497" s="680">
        <f t="shared" si="554"/>
        <v>0</v>
      </c>
      <c r="BM1497" s="680">
        <f t="shared" si="554"/>
        <v>0</v>
      </c>
      <c r="BN1497" s="680">
        <f t="shared" si="554"/>
        <v>0</v>
      </c>
      <c r="BO1497" s="680">
        <f t="shared" si="554"/>
        <v>0</v>
      </c>
      <c r="BP1497" s="680">
        <f t="shared" si="554"/>
        <v>0</v>
      </c>
      <c r="BQ1497" s="680">
        <f t="shared" si="554"/>
        <v>0</v>
      </c>
      <c r="BR1497" s="680">
        <f t="shared" si="554"/>
        <v>0</v>
      </c>
      <c r="BS1497" s="680">
        <f t="shared" si="554"/>
        <v>0</v>
      </c>
      <c r="BT1497" s="680">
        <f t="shared" si="554"/>
        <v>0</v>
      </c>
      <c r="BU1497" s="680">
        <f t="shared" si="554"/>
        <v>0</v>
      </c>
      <c r="BV1497" s="680">
        <f t="shared" si="554"/>
        <v>0</v>
      </c>
      <c r="BW1497" s="680">
        <f t="shared" si="554"/>
        <v>0</v>
      </c>
      <c r="BX1497" s="680">
        <f t="shared" si="554"/>
        <v>0</v>
      </c>
      <c r="BY1497" s="680">
        <f t="shared" si="554"/>
        <v>0</v>
      </c>
      <c r="BZ1497" s="680">
        <f t="shared" si="554"/>
        <v>0</v>
      </c>
      <c r="CA1497" s="680">
        <f t="shared" si="554"/>
        <v>0</v>
      </c>
    </row>
    <row r="1498" spans="1:79" hidden="1" outlineLevel="1" x14ac:dyDescent="0.35">
      <c r="A1498" s="574"/>
      <c r="B1498" s="574"/>
      <c r="C1498" s="574"/>
      <c r="D1498" s="574"/>
      <c r="E1498" s="574"/>
      <c r="F1498" s="671" t="s">
        <v>912</v>
      </c>
      <c r="G1498" s="732"/>
      <c r="H1498" s="732"/>
      <c r="I1498" s="732"/>
      <c r="J1498" s="732"/>
      <c r="K1498" s="732"/>
      <c r="L1498" s="732"/>
      <c r="M1498" s="732"/>
      <c r="N1498" s="732"/>
      <c r="O1498" s="732"/>
      <c r="P1498" s="732"/>
      <c r="Q1498" s="732"/>
      <c r="R1498" s="736"/>
      <c r="S1498" s="700"/>
      <c r="T1498" s="700"/>
      <c r="U1498" s="700"/>
      <c r="V1498" s="700"/>
      <c r="W1498" s="700"/>
      <c r="X1498" s="700"/>
      <c r="Y1498" s="700"/>
      <c r="Z1498" s="700"/>
      <c r="AA1498" s="700"/>
      <c r="AB1498" s="700"/>
      <c r="AC1498" s="706"/>
      <c r="AD1498" s="706"/>
      <c r="AE1498" s="736"/>
      <c r="AF1498" s="736"/>
      <c r="AG1498" s="736"/>
      <c r="AH1498" s="736"/>
      <c r="AI1498" s="736"/>
      <c r="AJ1498" s="736"/>
      <c r="AK1498" s="736"/>
      <c r="AL1498" s="736"/>
      <c r="AM1498" s="736"/>
      <c r="AN1498" s="736"/>
      <c r="AO1498" s="736"/>
      <c r="AP1498" s="736"/>
      <c r="AQ1498" s="736"/>
      <c r="AR1498" s="736"/>
      <c r="AS1498" s="736"/>
      <c r="AT1498" s="736"/>
      <c r="AU1498" s="736"/>
      <c r="AV1498" s="736"/>
      <c r="AW1498" s="736"/>
      <c r="AX1498" s="736"/>
      <c r="AY1498" s="736"/>
      <c r="AZ1498" s="736"/>
      <c r="BA1498" s="736"/>
      <c r="BB1498" s="736"/>
      <c r="BC1498" s="736"/>
      <c r="BD1498" s="736"/>
      <c r="BE1498" s="736"/>
      <c r="BF1498" s="736"/>
      <c r="BG1498" s="736"/>
      <c r="BH1498" s="736"/>
      <c r="BI1498" s="736"/>
      <c r="BJ1498" s="736"/>
      <c r="BK1498" s="736"/>
      <c r="BL1498" s="736"/>
      <c r="BM1498" s="736"/>
      <c r="BN1498" s="736"/>
      <c r="BO1498" s="736"/>
      <c r="BP1498" s="736"/>
      <c r="BQ1498" s="736"/>
      <c r="BR1498" s="736"/>
      <c r="BS1498" s="736"/>
      <c r="BT1498" s="736"/>
      <c r="BU1498" s="736"/>
      <c r="BV1498" s="736"/>
      <c r="BW1498" s="736"/>
      <c r="BX1498" s="736"/>
      <c r="BY1498" s="736"/>
      <c r="BZ1498" s="736"/>
      <c r="CA1498" s="736"/>
    </row>
    <row r="1499" spans="1:79" s="709" customFormat="1" hidden="1" outlineLevel="1" x14ac:dyDescent="0.35">
      <c r="A1499" s="716"/>
      <c r="B1499" s="716"/>
      <c r="C1499" s="716"/>
      <c r="D1499" s="716"/>
      <c r="E1499" s="716"/>
      <c r="F1499" s="717" t="s">
        <v>606</v>
      </c>
      <c r="G1499" s="782"/>
      <c r="H1499" s="782"/>
      <c r="I1499" s="782"/>
      <c r="J1499" s="782"/>
      <c r="K1499" s="782"/>
      <c r="L1499" s="782"/>
      <c r="M1499" s="782"/>
      <c r="N1499" s="782"/>
      <c r="O1499" s="782"/>
      <c r="P1499" s="753"/>
      <c r="Q1499" s="753"/>
      <c r="R1499" s="779"/>
      <c r="S1499" s="713"/>
      <c r="T1499" s="713"/>
      <c r="U1499" s="713"/>
      <c r="V1499" s="713"/>
      <c r="W1499" s="713"/>
      <c r="X1499" s="713"/>
      <c r="Y1499" s="713"/>
      <c r="Z1499" s="713"/>
      <c r="AA1499" s="713"/>
      <c r="AB1499" s="713"/>
      <c r="AC1499" s="713"/>
      <c r="AD1499" s="713"/>
      <c r="AE1499" s="752"/>
      <c r="AF1499" s="752"/>
      <c r="AG1499" s="752"/>
      <c r="AH1499" s="752"/>
      <c r="AI1499" s="752"/>
      <c r="AJ1499" s="752"/>
      <c r="AK1499" s="752"/>
      <c r="AL1499" s="752"/>
      <c r="AM1499" s="752"/>
      <c r="AN1499" s="752"/>
      <c r="AO1499" s="752"/>
      <c r="AP1499" s="752"/>
      <c r="AQ1499" s="752"/>
      <c r="AR1499" s="752"/>
      <c r="AS1499" s="752"/>
      <c r="AT1499" s="752"/>
      <c r="AU1499" s="752"/>
      <c r="AV1499" s="752"/>
      <c r="AW1499" s="752"/>
      <c r="AX1499" s="752"/>
      <c r="AY1499" s="752"/>
      <c r="AZ1499" s="752"/>
      <c r="BA1499" s="752"/>
      <c r="BB1499" s="752"/>
      <c r="BC1499" s="752"/>
      <c r="BD1499" s="752"/>
      <c r="BE1499" s="752"/>
      <c r="BF1499" s="752"/>
      <c r="BG1499" s="752"/>
      <c r="BH1499" s="752"/>
      <c r="BI1499" s="752"/>
      <c r="BJ1499" s="752"/>
      <c r="BK1499" s="752"/>
      <c r="BL1499" s="752"/>
      <c r="BM1499" s="752"/>
      <c r="BN1499" s="752"/>
      <c r="BO1499" s="752"/>
      <c r="BP1499" s="752"/>
      <c r="BQ1499" s="752"/>
      <c r="BR1499" s="752"/>
      <c r="BS1499" s="752"/>
      <c r="BT1499" s="752"/>
      <c r="BU1499" s="752"/>
      <c r="BV1499" s="752"/>
      <c r="BW1499" s="752"/>
      <c r="BX1499" s="752"/>
      <c r="BY1499" s="752"/>
      <c r="BZ1499" s="752"/>
      <c r="CA1499" s="752"/>
    </row>
    <row r="1500" spans="1:79" hidden="1" outlineLevel="1" x14ac:dyDescent="0.35">
      <c r="A1500" s="580"/>
      <c r="B1500" s="580"/>
      <c r="C1500" s="580"/>
      <c r="D1500" s="580"/>
      <c r="E1500" s="580"/>
      <c r="F1500" s="672" t="s">
        <v>645</v>
      </c>
      <c r="G1500" s="734"/>
      <c r="H1500" s="734"/>
      <c r="I1500" s="734"/>
      <c r="J1500" s="734"/>
      <c r="K1500" s="734"/>
      <c r="L1500" s="734"/>
      <c r="M1500" s="734"/>
      <c r="N1500" s="734"/>
      <c r="O1500" s="734"/>
      <c r="P1500" s="734"/>
      <c r="Q1500" s="734"/>
      <c r="R1500" s="733"/>
      <c r="S1500" s="683"/>
      <c r="T1500" s="683"/>
      <c r="U1500" s="683"/>
      <c r="V1500" s="683"/>
      <c r="W1500" s="683"/>
      <c r="X1500" s="683"/>
      <c r="Y1500" s="683"/>
      <c r="Z1500" s="683"/>
      <c r="AA1500" s="683"/>
      <c r="AB1500" s="683"/>
      <c r="AC1500" s="682"/>
      <c r="AD1500" s="682"/>
      <c r="AE1500" s="736"/>
      <c r="AF1500" s="736"/>
      <c r="AG1500" s="736"/>
      <c r="AH1500" s="736"/>
      <c r="AI1500" s="736"/>
      <c r="AJ1500" s="736"/>
      <c r="AK1500" s="736"/>
      <c r="AL1500" s="736"/>
      <c r="AM1500" s="736"/>
      <c r="AN1500" s="736"/>
      <c r="AO1500" s="736"/>
      <c r="AP1500" s="736"/>
      <c r="AQ1500" s="736"/>
      <c r="AR1500" s="736"/>
      <c r="AS1500" s="736"/>
      <c r="AT1500" s="736"/>
      <c r="AU1500" s="736"/>
      <c r="AV1500" s="736"/>
      <c r="AW1500" s="736"/>
      <c r="AX1500" s="736"/>
      <c r="AY1500" s="736"/>
      <c r="AZ1500" s="736"/>
      <c r="BA1500" s="736"/>
      <c r="BB1500" s="736"/>
      <c r="BC1500" s="736"/>
      <c r="BD1500" s="736"/>
      <c r="BE1500" s="736"/>
      <c r="BF1500" s="736"/>
      <c r="BG1500" s="736"/>
      <c r="BH1500" s="736"/>
      <c r="BI1500" s="736"/>
      <c r="BJ1500" s="736"/>
      <c r="BK1500" s="736"/>
      <c r="BL1500" s="736"/>
      <c r="BM1500" s="736"/>
      <c r="BN1500" s="736"/>
      <c r="BO1500" s="736"/>
      <c r="BP1500" s="736"/>
      <c r="BQ1500" s="736"/>
      <c r="BR1500" s="736"/>
      <c r="BS1500" s="736"/>
      <c r="BT1500" s="736"/>
      <c r="BU1500" s="736"/>
      <c r="BV1500" s="736"/>
      <c r="BW1500" s="736"/>
      <c r="BX1500" s="736"/>
      <c r="BY1500" s="736"/>
      <c r="BZ1500" s="736"/>
      <c r="CA1500" s="736"/>
    </row>
    <row r="1501" spans="1:79" hidden="1" outlineLevel="1" x14ac:dyDescent="0.35">
      <c r="A1501" s="580"/>
      <c r="B1501" s="580"/>
      <c r="C1501" s="580"/>
      <c r="D1501" s="580"/>
      <c r="E1501" s="580"/>
      <c r="F1501" s="672" t="s">
        <v>913</v>
      </c>
      <c r="G1501" s="734"/>
      <c r="H1501" s="734"/>
      <c r="I1501" s="734"/>
      <c r="J1501" s="734"/>
      <c r="K1501" s="734"/>
      <c r="L1501" s="734"/>
      <c r="M1501" s="734"/>
      <c r="N1501" s="734"/>
      <c r="O1501" s="734"/>
      <c r="P1501" s="734"/>
      <c r="Q1501" s="734"/>
      <c r="R1501" s="733"/>
      <c r="S1501" s="692"/>
      <c r="T1501" s="692"/>
      <c r="U1501" s="692"/>
      <c r="V1501" s="692"/>
      <c r="W1501" s="692"/>
      <c r="X1501" s="692"/>
      <c r="Y1501" s="692"/>
      <c r="Z1501" s="692"/>
      <c r="AA1501" s="692"/>
      <c r="AB1501" s="692"/>
      <c r="AC1501" s="691"/>
      <c r="AD1501" s="691"/>
      <c r="AE1501" s="736"/>
      <c r="AF1501" s="736"/>
      <c r="AG1501" s="736"/>
      <c r="AH1501" s="736"/>
      <c r="AI1501" s="736"/>
      <c r="AJ1501" s="736"/>
      <c r="AK1501" s="736"/>
      <c r="AL1501" s="736"/>
      <c r="AM1501" s="736"/>
      <c r="AN1501" s="736"/>
      <c r="AO1501" s="736"/>
      <c r="AP1501" s="736"/>
      <c r="AQ1501" s="736"/>
      <c r="AR1501" s="736"/>
      <c r="AS1501" s="736"/>
      <c r="AT1501" s="736"/>
      <c r="AU1501" s="736"/>
      <c r="AV1501" s="736"/>
      <c r="AW1501" s="736"/>
      <c r="AX1501" s="736"/>
      <c r="AY1501" s="736"/>
      <c r="AZ1501" s="736"/>
      <c r="BA1501" s="736"/>
      <c r="BB1501" s="736"/>
      <c r="BC1501" s="736"/>
      <c r="BD1501" s="736"/>
      <c r="BE1501" s="736"/>
      <c r="BF1501" s="736"/>
      <c r="BG1501" s="736"/>
      <c r="BH1501" s="736"/>
      <c r="BI1501" s="736"/>
      <c r="BJ1501" s="736"/>
      <c r="BK1501" s="736"/>
      <c r="BL1501" s="736"/>
      <c r="BM1501" s="736"/>
      <c r="BN1501" s="736"/>
      <c r="BO1501" s="736"/>
      <c r="BP1501" s="736"/>
      <c r="BQ1501" s="736"/>
      <c r="BR1501" s="736"/>
      <c r="BS1501" s="736"/>
      <c r="BT1501" s="736"/>
      <c r="BU1501" s="736"/>
      <c r="BV1501" s="736"/>
      <c r="BW1501" s="736"/>
      <c r="BX1501" s="736"/>
      <c r="BY1501" s="736"/>
      <c r="BZ1501" s="736"/>
      <c r="CA1501" s="736"/>
    </row>
    <row r="1502" spans="1:79" hidden="1" outlineLevel="1" x14ac:dyDescent="0.35">
      <c r="A1502" s="580"/>
      <c r="B1502" s="580"/>
      <c r="C1502" s="580"/>
      <c r="D1502" s="580"/>
      <c r="E1502" s="580"/>
      <c r="F1502" s="672" t="s">
        <v>770</v>
      </c>
      <c r="G1502" s="732"/>
      <c r="H1502" s="732"/>
      <c r="I1502" s="732"/>
      <c r="J1502" s="732"/>
      <c r="K1502" s="732"/>
      <c r="L1502" s="732"/>
      <c r="M1502" s="732"/>
      <c r="N1502" s="732"/>
      <c r="O1502" s="732"/>
      <c r="P1502" s="732"/>
      <c r="Q1502" s="732"/>
      <c r="R1502" s="736"/>
      <c r="S1502" s="692"/>
      <c r="T1502" s="692"/>
      <c r="U1502" s="692"/>
      <c r="V1502" s="692"/>
      <c r="W1502" s="692"/>
      <c r="X1502" s="692"/>
      <c r="Y1502" s="692"/>
      <c r="Z1502" s="692"/>
      <c r="AA1502" s="692"/>
      <c r="AB1502" s="692"/>
      <c r="AC1502" s="691"/>
      <c r="AD1502" s="691"/>
      <c r="AE1502" s="736"/>
      <c r="AF1502" s="736"/>
      <c r="AG1502" s="736"/>
      <c r="AH1502" s="736"/>
      <c r="AI1502" s="736"/>
      <c r="AJ1502" s="736"/>
      <c r="AK1502" s="736"/>
      <c r="AL1502" s="736"/>
      <c r="AM1502" s="736"/>
      <c r="AN1502" s="736"/>
      <c r="AO1502" s="736"/>
      <c r="AP1502" s="736"/>
      <c r="AQ1502" s="736"/>
      <c r="AR1502" s="736"/>
      <c r="AS1502" s="736"/>
      <c r="AT1502" s="736"/>
      <c r="AU1502" s="736"/>
      <c r="AV1502" s="736"/>
      <c r="AW1502" s="736"/>
      <c r="AX1502" s="736"/>
      <c r="AY1502" s="736"/>
      <c r="AZ1502" s="736"/>
      <c r="BA1502" s="736"/>
      <c r="BB1502" s="736"/>
      <c r="BC1502" s="736"/>
      <c r="BD1502" s="736"/>
      <c r="BE1502" s="736"/>
      <c r="BF1502" s="736"/>
      <c r="BG1502" s="736"/>
      <c r="BH1502" s="736"/>
      <c r="BI1502" s="736"/>
      <c r="BJ1502" s="736"/>
      <c r="BK1502" s="736"/>
      <c r="BL1502" s="736"/>
      <c r="BM1502" s="736"/>
      <c r="BN1502" s="736"/>
      <c r="BO1502" s="736"/>
      <c r="BP1502" s="736"/>
      <c r="BQ1502" s="736"/>
      <c r="BR1502" s="736"/>
      <c r="BS1502" s="736"/>
      <c r="BT1502" s="736"/>
      <c r="BU1502" s="736"/>
      <c r="BV1502" s="736"/>
      <c r="BW1502" s="736"/>
      <c r="BX1502" s="736"/>
      <c r="BY1502" s="736"/>
      <c r="BZ1502" s="736"/>
      <c r="CA1502" s="736"/>
    </row>
    <row r="1503" spans="1:79" hidden="1" outlineLevel="1" x14ac:dyDescent="0.35">
      <c r="A1503" s="575"/>
      <c r="B1503" s="575"/>
      <c r="C1503" s="575"/>
      <c r="D1503" s="575"/>
      <c r="E1503" s="575"/>
      <c r="F1503" s="678" t="s">
        <v>646</v>
      </c>
      <c r="G1503" s="680"/>
      <c r="H1503" s="680"/>
      <c r="I1503" s="680"/>
      <c r="J1503" s="680"/>
      <c r="K1503" s="680"/>
      <c r="L1503" s="680"/>
      <c r="M1503" s="680"/>
      <c r="N1503" s="680"/>
      <c r="O1503" s="680"/>
      <c r="P1503" s="680"/>
      <c r="Q1503" s="680"/>
      <c r="R1503" s="680"/>
      <c r="S1503" s="694"/>
      <c r="T1503" s="694"/>
      <c r="U1503" s="694"/>
      <c r="V1503" s="694"/>
      <c r="W1503" s="694"/>
      <c r="X1503" s="694"/>
      <c r="Y1503" s="694"/>
      <c r="Z1503" s="694"/>
      <c r="AA1503" s="694"/>
      <c r="AB1503" s="694"/>
      <c r="AC1503" s="694"/>
      <c r="AD1503" s="694"/>
      <c r="AE1503" s="680">
        <f t="shared" ref="AE1503:BO1503" si="555">SUM(AE1500:AE1502)</f>
        <v>0</v>
      </c>
      <c r="AF1503" s="680">
        <f t="shared" si="555"/>
        <v>0</v>
      </c>
      <c r="AG1503" s="680">
        <f t="shared" si="555"/>
        <v>0</v>
      </c>
      <c r="AH1503" s="680">
        <f t="shared" si="555"/>
        <v>0</v>
      </c>
      <c r="AI1503" s="680">
        <f t="shared" si="555"/>
        <v>0</v>
      </c>
      <c r="AJ1503" s="680">
        <f t="shared" si="555"/>
        <v>0</v>
      </c>
      <c r="AK1503" s="680">
        <f t="shared" si="555"/>
        <v>0</v>
      </c>
      <c r="AL1503" s="680">
        <f t="shared" si="555"/>
        <v>0</v>
      </c>
      <c r="AM1503" s="680">
        <f t="shared" si="555"/>
        <v>0</v>
      </c>
      <c r="AN1503" s="680">
        <f t="shared" si="555"/>
        <v>0</v>
      </c>
      <c r="AO1503" s="680">
        <f t="shared" si="555"/>
        <v>0</v>
      </c>
      <c r="AP1503" s="680">
        <f t="shared" si="555"/>
        <v>0</v>
      </c>
      <c r="AQ1503" s="680">
        <f t="shared" si="555"/>
        <v>0</v>
      </c>
      <c r="AR1503" s="680">
        <f t="shared" si="555"/>
        <v>0</v>
      </c>
      <c r="AS1503" s="680">
        <f t="shared" si="555"/>
        <v>0</v>
      </c>
      <c r="AT1503" s="680">
        <f t="shared" si="555"/>
        <v>0</v>
      </c>
      <c r="AU1503" s="680">
        <f t="shared" si="555"/>
        <v>0</v>
      </c>
      <c r="AV1503" s="680">
        <f t="shared" si="555"/>
        <v>0</v>
      </c>
      <c r="AW1503" s="680">
        <f t="shared" si="555"/>
        <v>0</v>
      </c>
      <c r="AX1503" s="680">
        <f t="shared" si="555"/>
        <v>0</v>
      </c>
      <c r="AY1503" s="680">
        <f t="shared" si="555"/>
        <v>0</v>
      </c>
      <c r="AZ1503" s="680">
        <f t="shared" si="555"/>
        <v>0</v>
      </c>
      <c r="BA1503" s="680">
        <f t="shared" si="555"/>
        <v>0</v>
      </c>
      <c r="BB1503" s="680">
        <f t="shared" si="555"/>
        <v>0</v>
      </c>
      <c r="BC1503" s="680">
        <f t="shared" si="555"/>
        <v>0</v>
      </c>
      <c r="BD1503" s="680">
        <f t="shared" si="555"/>
        <v>0</v>
      </c>
      <c r="BE1503" s="680">
        <f t="shared" si="555"/>
        <v>0</v>
      </c>
      <c r="BF1503" s="680">
        <f t="shared" si="555"/>
        <v>0</v>
      </c>
      <c r="BG1503" s="680">
        <f t="shared" si="555"/>
        <v>0</v>
      </c>
      <c r="BH1503" s="680">
        <f t="shared" si="555"/>
        <v>0</v>
      </c>
      <c r="BI1503" s="680">
        <f t="shared" si="555"/>
        <v>0</v>
      </c>
      <c r="BJ1503" s="680">
        <f t="shared" si="555"/>
        <v>0</v>
      </c>
      <c r="BK1503" s="680">
        <f t="shared" si="555"/>
        <v>0</v>
      </c>
      <c r="BL1503" s="680">
        <f t="shared" si="555"/>
        <v>0</v>
      </c>
      <c r="BM1503" s="680">
        <f t="shared" si="555"/>
        <v>0</v>
      </c>
      <c r="BN1503" s="680">
        <f t="shared" si="555"/>
        <v>0</v>
      </c>
      <c r="BO1503" s="680">
        <f t="shared" si="555"/>
        <v>0</v>
      </c>
      <c r="BP1503" s="680">
        <f t="shared" ref="BP1503:CA1503" si="556">SUM(BP1500:BP1502)</f>
        <v>0</v>
      </c>
      <c r="BQ1503" s="680">
        <f t="shared" si="556"/>
        <v>0</v>
      </c>
      <c r="BR1503" s="680">
        <f t="shared" si="556"/>
        <v>0</v>
      </c>
      <c r="BS1503" s="680">
        <f t="shared" si="556"/>
        <v>0</v>
      </c>
      <c r="BT1503" s="680">
        <f t="shared" si="556"/>
        <v>0</v>
      </c>
      <c r="BU1503" s="680">
        <f t="shared" si="556"/>
        <v>0</v>
      </c>
      <c r="BV1503" s="680">
        <f t="shared" si="556"/>
        <v>0</v>
      </c>
      <c r="BW1503" s="680">
        <f t="shared" si="556"/>
        <v>0</v>
      </c>
      <c r="BX1503" s="680">
        <f t="shared" si="556"/>
        <v>0</v>
      </c>
      <c r="BY1503" s="680">
        <f t="shared" si="556"/>
        <v>0</v>
      </c>
      <c r="BZ1503" s="680">
        <f t="shared" si="556"/>
        <v>0</v>
      </c>
      <c r="CA1503" s="680">
        <f t="shared" si="556"/>
        <v>0</v>
      </c>
    </row>
    <row r="1504" spans="1:79" hidden="1" outlineLevel="1" x14ac:dyDescent="0.35">
      <c r="A1504" s="574"/>
      <c r="B1504" s="574"/>
      <c r="C1504" s="574"/>
      <c r="D1504" s="574"/>
      <c r="E1504" s="574"/>
      <c r="F1504" s="674" t="s">
        <v>607</v>
      </c>
      <c r="G1504" s="732"/>
      <c r="H1504" s="732"/>
      <c r="I1504" s="732"/>
      <c r="J1504" s="732"/>
      <c r="K1504" s="732"/>
      <c r="L1504" s="732"/>
      <c r="M1504" s="732"/>
      <c r="N1504" s="732"/>
      <c r="O1504" s="732"/>
      <c r="P1504" s="732"/>
      <c r="Q1504" s="732"/>
      <c r="R1504" s="736"/>
      <c r="S1504" s="683"/>
      <c r="T1504" s="683"/>
      <c r="U1504" s="683"/>
      <c r="V1504" s="683"/>
      <c r="W1504" s="683"/>
      <c r="X1504" s="683"/>
      <c r="Y1504" s="683"/>
      <c r="Z1504" s="683"/>
      <c r="AA1504" s="683"/>
      <c r="AB1504" s="683"/>
      <c r="AC1504" s="682"/>
      <c r="AD1504" s="682"/>
      <c r="AE1504" s="736"/>
      <c r="AF1504" s="736"/>
      <c r="AG1504" s="736"/>
      <c r="AH1504" s="736"/>
      <c r="AI1504" s="736"/>
      <c r="AJ1504" s="736"/>
      <c r="AK1504" s="736"/>
      <c r="AL1504" s="736"/>
      <c r="AM1504" s="736"/>
      <c r="AN1504" s="736"/>
      <c r="AO1504" s="736"/>
      <c r="AP1504" s="736"/>
      <c r="AQ1504" s="736"/>
      <c r="AR1504" s="736"/>
      <c r="AS1504" s="736"/>
      <c r="AT1504" s="736"/>
      <c r="AU1504" s="736"/>
      <c r="AV1504" s="736"/>
      <c r="AW1504" s="736"/>
      <c r="AX1504" s="736"/>
      <c r="AY1504" s="736"/>
      <c r="AZ1504" s="736"/>
      <c r="BA1504" s="736"/>
      <c r="BB1504" s="736"/>
      <c r="BC1504" s="736"/>
      <c r="BD1504" s="736"/>
      <c r="BE1504" s="736"/>
      <c r="BF1504" s="736"/>
      <c r="BG1504" s="736"/>
      <c r="BH1504" s="736"/>
      <c r="BI1504" s="736"/>
      <c r="BJ1504" s="736"/>
      <c r="BK1504" s="736"/>
      <c r="BL1504" s="736"/>
      <c r="BM1504" s="736"/>
      <c r="BN1504" s="736"/>
      <c r="BO1504" s="736"/>
      <c r="BP1504" s="736"/>
      <c r="BQ1504" s="736"/>
      <c r="BR1504" s="736"/>
      <c r="BS1504" s="736"/>
      <c r="BT1504" s="736"/>
      <c r="BU1504" s="736"/>
      <c r="BV1504" s="736"/>
      <c r="BW1504" s="736"/>
      <c r="BX1504" s="736"/>
      <c r="BY1504" s="736"/>
      <c r="BZ1504" s="736"/>
      <c r="CA1504" s="736"/>
    </row>
    <row r="1505" spans="1:16384" hidden="1" outlineLevel="1" x14ac:dyDescent="0.35">
      <c r="A1505" s="574"/>
      <c r="B1505" s="574"/>
      <c r="C1505" s="574"/>
      <c r="D1505" s="574"/>
      <c r="E1505" s="574"/>
      <c r="F1505" s="674" t="s">
        <v>608</v>
      </c>
      <c r="G1505" s="732"/>
      <c r="H1505" s="732"/>
      <c r="I1505" s="732"/>
      <c r="J1505" s="732"/>
      <c r="K1505" s="732"/>
      <c r="L1505" s="732"/>
      <c r="M1505" s="732"/>
      <c r="N1505" s="732"/>
      <c r="O1505" s="732"/>
      <c r="P1505" s="732"/>
      <c r="Q1505" s="732"/>
      <c r="R1505" s="736"/>
      <c r="S1505" s="683"/>
      <c r="T1505" s="683"/>
      <c r="U1505" s="683"/>
      <c r="V1505" s="683"/>
      <c r="W1505" s="683"/>
      <c r="X1505" s="683"/>
      <c r="Y1505" s="683"/>
      <c r="Z1505" s="683"/>
      <c r="AA1505" s="683"/>
      <c r="AB1505" s="683"/>
      <c r="AC1505" s="682"/>
      <c r="AD1505" s="682"/>
      <c r="AE1505" s="736"/>
      <c r="AF1505" s="736"/>
      <c r="AG1505" s="736"/>
      <c r="AH1505" s="736"/>
      <c r="AI1505" s="736"/>
      <c r="AJ1505" s="736"/>
      <c r="AK1505" s="736"/>
      <c r="AL1505" s="736"/>
      <c r="AM1505" s="736"/>
      <c r="AN1505" s="736"/>
      <c r="AO1505" s="736"/>
      <c r="AP1505" s="736"/>
      <c r="AQ1505" s="736"/>
      <c r="AR1505" s="736"/>
      <c r="AS1505" s="736"/>
      <c r="AT1505" s="736"/>
      <c r="AU1505" s="736"/>
      <c r="AV1505" s="736"/>
      <c r="AW1505" s="736"/>
      <c r="AX1505" s="736"/>
      <c r="AY1505" s="736"/>
      <c r="AZ1505" s="736"/>
      <c r="BA1505" s="736"/>
      <c r="BB1505" s="736"/>
      <c r="BC1505" s="736"/>
      <c r="BD1505" s="736"/>
      <c r="BE1505" s="736"/>
      <c r="BF1505" s="736"/>
      <c r="BG1505" s="736"/>
      <c r="BH1505" s="736"/>
      <c r="BI1505" s="736"/>
      <c r="BJ1505" s="736"/>
      <c r="BK1505" s="736"/>
      <c r="BL1505" s="736"/>
      <c r="BM1505" s="736"/>
      <c r="BN1505" s="736"/>
      <c r="BO1505" s="736"/>
      <c r="BP1505" s="736"/>
      <c r="BQ1505" s="736"/>
      <c r="BR1505" s="736"/>
      <c r="BS1505" s="736"/>
      <c r="BT1505" s="736"/>
      <c r="BU1505" s="736"/>
      <c r="BV1505" s="736"/>
      <c r="BW1505" s="736"/>
      <c r="BX1505" s="736"/>
      <c r="BY1505" s="736"/>
      <c r="BZ1505" s="736"/>
      <c r="CA1505" s="736"/>
    </row>
    <row r="1506" spans="1:16384" s="709" customFormat="1" hidden="1" outlineLevel="1" x14ac:dyDescent="0.35">
      <c r="F1506" s="717" t="s">
        <v>656</v>
      </c>
      <c r="G1506" s="751"/>
      <c r="H1506" s="751"/>
      <c r="I1506" s="751"/>
      <c r="J1506" s="751"/>
      <c r="K1506" s="751"/>
      <c r="L1506" s="751"/>
      <c r="M1506" s="751"/>
      <c r="N1506" s="751"/>
      <c r="O1506" s="751"/>
      <c r="P1506" s="751"/>
      <c r="Q1506" s="751"/>
      <c r="R1506" s="752"/>
      <c r="S1506" s="720"/>
      <c r="T1506" s="720"/>
      <c r="U1506" s="720"/>
      <c r="V1506" s="720"/>
      <c r="W1506" s="720"/>
      <c r="X1506" s="720"/>
      <c r="Y1506" s="720"/>
      <c r="Z1506" s="720"/>
      <c r="AA1506" s="720"/>
      <c r="AB1506" s="720"/>
      <c r="AC1506" s="720"/>
      <c r="AD1506" s="720"/>
      <c r="AE1506" s="752"/>
      <c r="AF1506" s="752"/>
      <c r="AG1506" s="752"/>
      <c r="AH1506" s="752"/>
      <c r="AI1506" s="752"/>
      <c r="AJ1506" s="752"/>
      <c r="AK1506" s="752"/>
      <c r="AL1506" s="752"/>
      <c r="AM1506" s="752"/>
      <c r="AN1506" s="752"/>
      <c r="AO1506" s="752"/>
      <c r="AP1506" s="752"/>
      <c r="AQ1506" s="752"/>
      <c r="AR1506" s="752"/>
      <c r="AS1506" s="752"/>
      <c r="AT1506" s="752"/>
      <c r="AU1506" s="752"/>
      <c r="AV1506" s="752"/>
      <c r="AW1506" s="752"/>
      <c r="AX1506" s="752"/>
      <c r="AY1506" s="752"/>
      <c r="AZ1506" s="752"/>
      <c r="BA1506" s="752"/>
      <c r="BB1506" s="752"/>
      <c r="BC1506" s="752"/>
      <c r="BD1506" s="752"/>
      <c r="BE1506" s="752"/>
      <c r="BF1506" s="752"/>
      <c r="BG1506" s="752"/>
      <c r="BH1506" s="752"/>
      <c r="BI1506" s="752"/>
      <c r="BJ1506" s="752"/>
      <c r="BK1506" s="752"/>
      <c r="BL1506" s="752"/>
      <c r="BM1506" s="752"/>
      <c r="BN1506" s="752"/>
      <c r="BO1506" s="752"/>
      <c r="BP1506" s="752"/>
      <c r="BQ1506" s="752"/>
      <c r="BR1506" s="752"/>
      <c r="BS1506" s="752"/>
      <c r="BT1506" s="752"/>
      <c r="BU1506" s="752"/>
      <c r="BV1506" s="752"/>
      <c r="BW1506" s="752"/>
      <c r="BX1506" s="752"/>
      <c r="BY1506" s="752"/>
      <c r="BZ1506" s="752"/>
      <c r="CA1506" s="752"/>
    </row>
    <row r="1507" spans="1:16384" hidden="1" outlineLevel="1" x14ac:dyDescent="0.35">
      <c r="A1507" s="574"/>
      <c r="B1507" s="574"/>
      <c r="C1507" s="574"/>
      <c r="D1507" s="574"/>
      <c r="E1507" s="574"/>
      <c r="F1507" s="672" t="s">
        <v>657</v>
      </c>
      <c r="G1507" s="732"/>
      <c r="H1507" s="732"/>
      <c r="I1507" s="732"/>
      <c r="J1507" s="732"/>
      <c r="K1507" s="732"/>
      <c r="L1507" s="732"/>
      <c r="M1507" s="732"/>
      <c r="N1507" s="732"/>
      <c r="O1507" s="732"/>
      <c r="P1507" s="732"/>
      <c r="Q1507" s="732"/>
      <c r="R1507" s="736"/>
      <c r="S1507" s="683"/>
      <c r="T1507" s="683"/>
      <c r="U1507" s="683"/>
      <c r="V1507" s="683"/>
      <c r="W1507" s="683"/>
      <c r="X1507" s="683"/>
      <c r="Y1507" s="683"/>
      <c r="Z1507" s="683"/>
      <c r="AA1507" s="683"/>
      <c r="AB1507" s="683"/>
      <c r="AC1507" s="682"/>
      <c r="AD1507" s="682"/>
      <c r="AE1507" s="736"/>
      <c r="AF1507" s="736"/>
      <c r="AG1507" s="736"/>
      <c r="AH1507" s="736"/>
      <c r="AI1507" s="736"/>
      <c r="AJ1507" s="736"/>
      <c r="AK1507" s="736"/>
      <c r="AL1507" s="736"/>
      <c r="AM1507" s="736"/>
      <c r="AN1507" s="736"/>
      <c r="AO1507" s="736"/>
      <c r="AP1507" s="736"/>
      <c r="AQ1507" s="736"/>
      <c r="AR1507" s="736"/>
      <c r="AS1507" s="736"/>
      <c r="AT1507" s="736"/>
      <c r="AU1507" s="736"/>
      <c r="AV1507" s="736"/>
      <c r="AW1507" s="736"/>
      <c r="AX1507" s="736"/>
      <c r="AY1507" s="736"/>
      <c r="AZ1507" s="736"/>
      <c r="BA1507" s="736"/>
      <c r="BB1507" s="736"/>
      <c r="BC1507" s="736"/>
      <c r="BD1507" s="736"/>
      <c r="BE1507" s="736"/>
      <c r="BF1507" s="736"/>
      <c r="BG1507" s="736"/>
      <c r="BH1507" s="736"/>
      <c r="BI1507" s="736"/>
      <c r="BJ1507" s="736"/>
      <c r="BK1507" s="736"/>
      <c r="BL1507" s="736"/>
      <c r="BM1507" s="736"/>
      <c r="BN1507" s="736"/>
      <c r="BO1507" s="736"/>
      <c r="BP1507" s="736"/>
      <c r="BQ1507" s="736"/>
      <c r="BR1507" s="736"/>
      <c r="BS1507" s="736"/>
      <c r="BT1507" s="736"/>
      <c r="BU1507" s="736"/>
      <c r="BV1507" s="736"/>
      <c r="BW1507" s="736"/>
      <c r="BX1507" s="736"/>
      <c r="BY1507" s="736"/>
      <c r="BZ1507" s="736"/>
      <c r="CA1507" s="736"/>
    </row>
    <row r="1508" spans="1:16384" hidden="1" outlineLevel="1" x14ac:dyDescent="0.35">
      <c r="A1508" s="574"/>
      <c r="B1508" s="574"/>
      <c r="C1508" s="574"/>
      <c r="D1508" s="574"/>
      <c r="E1508" s="574"/>
      <c r="F1508" s="574" t="s">
        <v>914</v>
      </c>
      <c r="G1508" s="732"/>
      <c r="H1508" s="732"/>
      <c r="I1508" s="732"/>
      <c r="J1508" s="732"/>
      <c r="K1508" s="732"/>
      <c r="L1508" s="732"/>
      <c r="M1508" s="732"/>
      <c r="N1508" s="732"/>
      <c r="O1508" s="732"/>
      <c r="P1508" s="732"/>
      <c r="Q1508" s="732"/>
      <c r="R1508" s="736"/>
      <c r="S1508" s="683"/>
      <c r="T1508" s="683"/>
      <c r="U1508" s="683"/>
      <c r="V1508" s="683"/>
      <c r="W1508" s="683"/>
      <c r="X1508" s="683"/>
      <c r="Y1508" s="683"/>
      <c r="Z1508" s="683"/>
      <c r="AA1508" s="683"/>
      <c r="AB1508" s="683"/>
      <c r="AC1508" s="682"/>
      <c r="AD1508" s="682"/>
      <c r="AE1508" s="736"/>
      <c r="AF1508" s="736"/>
      <c r="AG1508" s="736"/>
      <c r="AH1508" s="736"/>
      <c r="AI1508" s="736"/>
      <c r="AJ1508" s="736"/>
      <c r="AK1508" s="736"/>
      <c r="AL1508" s="736"/>
      <c r="AM1508" s="736"/>
      <c r="AN1508" s="736"/>
      <c r="AO1508" s="736"/>
      <c r="AP1508" s="736"/>
      <c r="AQ1508" s="736"/>
      <c r="AR1508" s="736"/>
      <c r="AS1508" s="736"/>
      <c r="AT1508" s="736"/>
      <c r="AU1508" s="736"/>
      <c r="AV1508" s="736"/>
      <c r="AW1508" s="736"/>
      <c r="AX1508" s="736"/>
      <c r="AY1508" s="736"/>
      <c r="AZ1508" s="736"/>
      <c r="BA1508" s="736"/>
      <c r="BB1508" s="736"/>
      <c r="BC1508" s="736"/>
      <c r="BD1508" s="736"/>
      <c r="BE1508" s="736"/>
      <c r="BF1508" s="736"/>
      <c r="BG1508" s="736"/>
      <c r="BH1508" s="736"/>
      <c r="BI1508" s="736"/>
      <c r="BJ1508" s="736"/>
      <c r="BK1508" s="736"/>
      <c r="BL1508" s="736"/>
      <c r="BM1508" s="736"/>
      <c r="BN1508" s="736"/>
      <c r="BO1508" s="736"/>
      <c r="BP1508" s="736"/>
      <c r="BQ1508" s="736"/>
      <c r="BR1508" s="736"/>
      <c r="BS1508" s="736"/>
      <c r="BT1508" s="736"/>
      <c r="BU1508" s="736"/>
      <c r="BV1508" s="736"/>
      <c r="BW1508" s="736"/>
      <c r="BX1508" s="736"/>
      <c r="BY1508" s="736"/>
      <c r="BZ1508" s="736"/>
      <c r="CA1508" s="736"/>
    </row>
    <row r="1509" spans="1:16384" hidden="1" outlineLevel="1" x14ac:dyDescent="0.35">
      <c r="A1509" s="574"/>
      <c r="B1509" s="574"/>
      <c r="C1509" s="574"/>
      <c r="D1509" s="574"/>
      <c r="E1509" s="574"/>
      <c r="F1509" s="574" t="s">
        <v>915</v>
      </c>
      <c r="G1509" s="732"/>
      <c r="H1509" s="732"/>
      <c r="I1509" s="732"/>
      <c r="J1509" s="732"/>
      <c r="K1509" s="732"/>
      <c r="L1509" s="732"/>
      <c r="M1509" s="732"/>
      <c r="N1509" s="732"/>
      <c r="O1509" s="732"/>
      <c r="P1509" s="732"/>
      <c r="Q1509" s="732"/>
      <c r="R1509" s="736"/>
      <c r="S1509" s="683"/>
      <c r="T1509" s="683"/>
      <c r="U1509" s="683"/>
      <c r="V1509" s="683"/>
      <c r="W1509" s="683"/>
      <c r="X1509" s="683"/>
      <c r="Y1509" s="683"/>
      <c r="Z1509" s="683"/>
      <c r="AA1509" s="683"/>
      <c r="AB1509" s="683"/>
      <c r="AC1509" s="682"/>
      <c r="AD1509" s="682"/>
      <c r="AE1509" s="736"/>
      <c r="AF1509" s="736"/>
      <c r="AG1509" s="736"/>
      <c r="AH1509" s="736"/>
      <c r="AI1509" s="736"/>
      <c r="AJ1509" s="736"/>
      <c r="AK1509" s="736"/>
      <c r="AL1509" s="736"/>
      <c r="AM1509" s="736"/>
      <c r="AN1509" s="736"/>
      <c r="AO1509" s="736"/>
      <c r="AP1509" s="736"/>
      <c r="AQ1509" s="736"/>
      <c r="AR1509" s="736"/>
      <c r="AS1509" s="736"/>
      <c r="AT1509" s="736"/>
      <c r="AU1509" s="736"/>
      <c r="AV1509" s="736"/>
      <c r="AW1509" s="736"/>
      <c r="AX1509" s="736"/>
      <c r="AY1509" s="736"/>
      <c r="AZ1509" s="736"/>
      <c r="BA1509" s="736"/>
      <c r="BB1509" s="736"/>
      <c r="BC1509" s="736"/>
      <c r="BD1509" s="736"/>
      <c r="BE1509" s="736"/>
      <c r="BF1509" s="736"/>
      <c r="BG1509" s="736"/>
      <c r="BH1509" s="736"/>
      <c r="BI1509" s="736"/>
      <c r="BJ1509" s="736"/>
      <c r="BK1509" s="736"/>
      <c r="BL1509" s="736"/>
      <c r="BM1509" s="736"/>
      <c r="BN1509" s="736"/>
      <c r="BO1509" s="736"/>
      <c r="BP1509" s="736"/>
      <c r="BQ1509" s="736"/>
      <c r="BR1509" s="736"/>
      <c r="BS1509" s="736"/>
      <c r="BT1509" s="736"/>
      <c r="BU1509" s="736"/>
      <c r="BV1509" s="736"/>
      <c r="BW1509" s="736"/>
      <c r="BX1509" s="736"/>
      <c r="BY1509" s="736"/>
      <c r="BZ1509" s="736"/>
      <c r="CA1509" s="736"/>
    </row>
    <row r="1510" spans="1:16384" hidden="1" outlineLevel="1" x14ac:dyDescent="0.35">
      <c r="A1510" s="574"/>
      <c r="B1510" s="574"/>
      <c r="C1510" s="574"/>
      <c r="D1510" s="574"/>
      <c r="E1510" s="574"/>
      <c r="F1510" s="574" t="s">
        <v>658</v>
      </c>
      <c r="G1510" s="732"/>
      <c r="H1510" s="732"/>
      <c r="I1510" s="732"/>
      <c r="J1510" s="732"/>
      <c r="K1510" s="732"/>
      <c r="L1510" s="732"/>
      <c r="M1510" s="732"/>
      <c r="N1510" s="732"/>
      <c r="O1510" s="732"/>
      <c r="P1510" s="732"/>
      <c r="Q1510" s="732"/>
      <c r="R1510" s="736"/>
      <c r="S1510" s="683"/>
      <c r="T1510" s="683"/>
      <c r="U1510" s="683"/>
      <c r="V1510" s="683"/>
      <c r="W1510" s="683"/>
      <c r="X1510" s="683"/>
      <c r="Y1510" s="683"/>
      <c r="Z1510" s="683"/>
      <c r="AA1510" s="683"/>
      <c r="AB1510" s="683"/>
      <c r="AC1510" s="682"/>
      <c r="AD1510" s="682"/>
      <c r="AE1510" s="736"/>
      <c r="AF1510" s="736"/>
      <c r="AG1510" s="736"/>
      <c r="AH1510" s="736"/>
      <c r="AI1510" s="736"/>
      <c r="AJ1510" s="736"/>
      <c r="AK1510" s="736"/>
      <c r="AL1510" s="736"/>
      <c r="AM1510" s="736"/>
      <c r="AN1510" s="736"/>
      <c r="AO1510" s="736"/>
      <c r="AP1510" s="736"/>
      <c r="AQ1510" s="736"/>
      <c r="AR1510" s="736"/>
      <c r="AS1510" s="736"/>
      <c r="AT1510" s="736"/>
      <c r="AU1510" s="736"/>
      <c r="AV1510" s="736"/>
      <c r="AW1510" s="736"/>
      <c r="AX1510" s="736"/>
      <c r="AY1510" s="736"/>
      <c r="AZ1510" s="736"/>
      <c r="BA1510" s="736"/>
      <c r="BB1510" s="736"/>
      <c r="BC1510" s="736"/>
      <c r="BD1510" s="736"/>
      <c r="BE1510" s="736"/>
      <c r="BF1510" s="736"/>
      <c r="BG1510" s="736"/>
      <c r="BH1510" s="736"/>
      <c r="BI1510" s="736"/>
      <c r="BJ1510" s="736"/>
      <c r="BK1510" s="736"/>
      <c r="BL1510" s="736"/>
      <c r="BM1510" s="736"/>
      <c r="BN1510" s="736"/>
      <c r="BO1510" s="736"/>
      <c r="BP1510" s="736"/>
      <c r="BQ1510" s="736"/>
      <c r="BR1510" s="736"/>
      <c r="BS1510" s="736"/>
      <c r="BT1510" s="736"/>
      <c r="BU1510" s="736"/>
      <c r="BV1510" s="736"/>
      <c r="BW1510" s="736"/>
      <c r="BX1510" s="736"/>
      <c r="BY1510" s="736"/>
      <c r="BZ1510" s="736"/>
      <c r="CA1510" s="736"/>
    </row>
    <row r="1511" spans="1:16384" hidden="1" outlineLevel="1" x14ac:dyDescent="0.35">
      <c r="A1511" s="574"/>
      <c r="B1511" s="574"/>
      <c r="C1511" s="574"/>
      <c r="D1511" s="574"/>
      <c r="E1511" s="574"/>
      <c r="F1511" s="574" t="s">
        <v>916</v>
      </c>
      <c r="G1511" s="732"/>
      <c r="H1511" s="732"/>
      <c r="I1511" s="732"/>
      <c r="J1511" s="732"/>
      <c r="K1511" s="732"/>
      <c r="L1511" s="732"/>
      <c r="M1511" s="732"/>
      <c r="N1511" s="732"/>
      <c r="O1511" s="732"/>
      <c r="P1511" s="732"/>
      <c r="Q1511" s="732"/>
      <c r="R1511" s="736"/>
      <c r="S1511" s="683"/>
      <c r="T1511" s="683"/>
      <c r="U1511" s="683"/>
      <c r="V1511" s="683"/>
      <c r="W1511" s="683"/>
      <c r="X1511" s="683"/>
      <c r="Y1511" s="683"/>
      <c r="Z1511" s="683"/>
      <c r="AA1511" s="683"/>
      <c r="AB1511" s="683"/>
      <c r="AC1511" s="682"/>
      <c r="AD1511" s="682"/>
      <c r="AE1511" s="736"/>
      <c r="AF1511" s="736"/>
      <c r="AG1511" s="736"/>
      <c r="AH1511" s="736"/>
      <c r="AI1511" s="736"/>
      <c r="AJ1511" s="736"/>
      <c r="AK1511" s="736"/>
      <c r="AL1511" s="736"/>
      <c r="AM1511" s="736"/>
      <c r="AN1511" s="736"/>
      <c r="AO1511" s="736"/>
      <c r="AP1511" s="736"/>
      <c r="AQ1511" s="736"/>
      <c r="AR1511" s="736"/>
      <c r="AS1511" s="736"/>
      <c r="AT1511" s="736"/>
      <c r="AU1511" s="736"/>
      <c r="AV1511" s="736"/>
      <c r="AW1511" s="736"/>
      <c r="AX1511" s="736"/>
      <c r="AY1511" s="736"/>
      <c r="AZ1511" s="736"/>
      <c r="BA1511" s="736"/>
      <c r="BB1511" s="736"/>
      <c r="BC1511" s="736"/>
      <c r="BD1511" s="736"/>
      <c r="BE1511" s="736"/>
      <c r="BF1511" s="736"/>
      <c r="BG1511" s="736"/>
      <c r="BH1511" s="736"/>
      <c r="BI1511" s="736"/>
      <c r="BJ1511" s="736"/>
      <c r="BK1511" s="736"/>
      <c r="BL1511" s="736"/>
      <c r="BM1511" s="736"/>
      <c r="BN1511" s="736"/>
      <c r="BO1511" s="736"/>
      <c r="BP1511" s="736"/>
      <c r="BQ1511" s="736"/>
      <c r="BR1511" s="736"/>
      <c r="BS1511" s="736"/>
      <c r="BT1511" s="736"/>
      <c r="BU1511" s="736"/>
      <c r="BV1511" s="736"/>
      <c r="BW1511" s="736"/>
      <c r="BX1511" s="736"/>
      <c r="BY1511" s="736"/>
      <c r="BZ1511" s="736"/>
      <c r="CA1511" s="736"/>
    </row>
    <row r="1512" spans="1:16384" hidden="1" outlineLevel="1" x14ac:dyDescent="0.35">
      <c r="A1512" s="574"/>
      <c r="B1512" s="574"/>
      <c r="C1512" s="574"/>
      <c r="D1512" s="574"/>
      <c r="E1512" s="574"/>
      <c r="F1512" s="574" t="s">
        <v>917</v>
      </c>
      <c r="G1512" s="732"/>
      <c r="H1512" s="732"/>
      <c r="I1512" s="732"/>
      <c r="J1512" s="732"/>
      <c r="K1512" s="732"/>
      <c r="L1512" s="732"/>
      <c r="M1512" s="732"/>
      <c r="N1512" s="732"/>
      <c r="O1512" s="732"/>
      <c r="P1512" s="732"/>
      <c r="Q1512" s="732"/>
      <c r="R1512" s="736"/>
      <c r="S1512" s="683"/>
      <c r="T1512" s="683"/>
      <c r="U1512" s="683"/>
      <c r="V1512" s="683"/>
      <c r="W1512" s="683"/>
      <c r="X1512" s="683"/>
      <c r="Y1512" s="683"/>
      <c r="Z1512" s="683"/>
      <c r="AA1512" s="683"/>
      <c r="AB1512" s="683"/>
      <c r="AC1512" s="682"/>
      <c r="AD1512" s="682"/>
      <c r="AE1512" s="736"/>
      <c r="AF1512" s="736"/>
      <c r="AG1512" s="736"/>
      <c r="AH1512" s="736"/>
      <c r="AI1512" s="736"/>
      <c r="AJ1512" s="736"/>
      <c r="AK1512" s="736"/>
      <c r="AL1512" s="736"/>
      <c r="AM1512" s="736"/>
      <c r="AN1512" s="736"/>
      <c r="AO1512" s="736"/>
      <c r="AP1512" s="736"/>
      <c r="AQ1512" s="736"/>
      <c r="AR1512" s="736"/>
      <c r="AS1512" s="736"/>
      <c r="AT1512" s="736"/>
      <c r="AU1512" s="736"/>
      <c r="AV1512" s="736"/>
      <c r="AW1512" s="736"/>
      <c r="AX1512" s="736"/>
      <c r="AY1512" s="736"/>
      <c r="AZ1512" s="736"/>
      <c r="BA1512" s="736"/>
      <c r="BB1512" s="736"/>
      <c r="BC1512" s="736"/>
      <c r="BD1512" s="736"/>
      <c r="BE1512" s="736"/>
      <c r="BF1512" s="736"/>
      <c r="BG1512" s="736"/>
      <c r="BH1512" s="736"/>
      <c r="BI1512" s="736"/>
      <c r="BJ1512" s="736"/>
      <c r="BK1512" s="736"/>
      <c r="BL1512" s="736"/>
      <c r="BM1512" s="736"/>
      <c r="BN1512" s="736"/>
      <c r="BO1512" s="736"/>
      <c r="BP1512" s="736"/>
      <c r="BQ1512" s="736"/>
      <c r="BR1512" s="736"/>
      <c r="BS1512" s="736"/>
      <c r="BT1512" s="736"/>
      <c r="BU1512" s="736"/>
      <c r="BV1512" s="736"/>
      <c r="BW1512" s="736"/>
      <c r="BX1512" s="736"/>
      <c r="BY1512" s="736"/>
      <c r="BZ1512" s="736"/>
      <c r="CA1512" s="736"/>
    </row>
    <row r="1513" spans="1:16384" hidden="1" outlineLevel="1" x14ac:dyDescent="0.35">
      <c r="A1513" s="574"/>
      <c r="B1513" s="574"/>
      <c r="C1513" s="574"/>
      <c r="D1513" s="574"/>
      <c r="E1513" s="574"/>
      <c r="F1513" s="574" t="s">
        <v>918</v>
      </c>
      <c r="G1513" s="732"/>
      <c r="H1513" s="732"/>
      <c r="I1513" s="732"/>
      <c r="J1513" s="732"/>
      <c r="K1513" s="732"/>
      <c r="L1513" s="732"/>
      <c r="M1513" s="732"/>
      <c r="N1513" s="732"/>
      <c r="O1513" s="732"/>
      <c r="P1513" s="732"/>
      <c r="Q1513" s="732"/>
      <c r="R1513" s="736"/>
      <c r="S1513" s="683"/>
      <c r="T1513" s="683"/>
      <c r="U1513" s="683"/>
      <c r="V1513" s="683"/>
      <c r="W1513" s="683"/>
      <c r="X1513" s="683"/>
      <c r="Y1513" s="683"/>
      <c r="Z1513" s="683"/>
      <c r="AA1513" s="683"/>
      <c r="AB1513" s="683"/>
      <c r="AC1513" s="682"/>
      <c r="AD1513" s="682"/>
      <c r="AE1513" s="736"/>
      <c r="AF1513" s="736"/>
      <c r="AG1513" s="736"/>
      <c r="AH1513" s="736"/>
      <c r="AI1513" s="736"/>
      <c r="AJ1513" s="736"/>
      <c r="AK1513" s="736"/>
      <c r="AL1513" s="736"/>
      <c r="AM1513" s="736"/>
      <c r="AN1513" s="736"/>
      <c r="AO1513" s="736"/>
      <c r="AP1513" s="736"/>
      <c r="AQ1513" s="736"/>
      <c r="AR1513" s="736"/>
      <c r="AS1513" s="736"/>
      <c r="AT1513" s="736"/>
      <c r="AU1513" s="736"/>
      <c r="AV1513" s="736"/>
      <c r="AW1513" s="736"/>
      <c r="AX1513" s="736"/>
      <c r="AY1513" s="736"/>
      <c r="AZ1513" s="736"/>
      <c r="BA1513" s="736"/>
      <c r="BB1513" s="736"/>
      <c r="BC1513" s="736"/>
      <c r="BD1513" s="736"/>
      <c r="BE1513" s="736"/>
      <c r="BF1513" s="736"/>
      <c r="BG1513" s="736"/>
      <c r="BH1513" s="736"/>
      <c r="BI1513" s="736"/>
      <c r="BJ1513" s="736"/>
      <c r="BK1513" s="736"/>
      <c r="BL1513" s="736"/>
      <c r="BM1513" s="736"/>
      <c r="BN1513" s="736"/>
      <c r="BO1513" s="736"/>
      <c r="BP1513" s="736"/>
      <c r="BQ1513" s="736"/>
      <c r="BR1513" s="736"/>
      <c r="BS1513" s="736"/>
      <c r="BT1513" s="736"/>
      <c r="BU1513" s="736"/>
      <c r="BV1513" s="736"/>
      <c r="BW1513" s="736"/>
      <c r="BX1513" s="736"/>
      <c r="BY1513" s="736"/>
      <c r="BZ1513" s="736"/>
      <c r="CA1513" s="736"/>
    </row>
    <row r="1514" spans="1:16384" hidden="1" outlineLevel="1" x14ac:dyDescent="0.35">
      <c r="A1514" s="574"/>
      <c r="B1514" s="574"/>
      <c r="C1514" s="574"/>
      <c r="D1514" s="574"/>
      <c r="E1514" s="574"/>
      <c r="F1514" s="673" t="s">
        <v>659</v>
      </c>
      <c r="G1514" s="680"/>
      <c r="H1514" s="680"/>
      <c r="I1514" s="680"/>
      <c r="J1514" s="680"/>
      <c r="K1514" s="680"/>
      <c r="L1514" s="680"/>
      <c r="M1514" s="680"/>
      <c r="N1514" s="680"/>
      <c r="O1514" s="680"/>
      <c r="P1514" s="680"/>
      <c r="Q1514" s="680"/>
      <c r="R1514" s="680"/>
      <c r="S1514" s="694"/>
      <c r="T1514" s="694"/>
      <c r="U1514" s="694"/>
      <c r="V1514" s="694"/>
      <c r="W1514" s="694"/>
      <c r="X1514" s="694"/>
      <c r="Y1514" s="694"/>
      <c r="Z1514" s="694"/>
      <c r="AA1514" s="694"/>
      <c r="AB1514" s="694"/>
      <c r="AC1514" s="694"/>
      <c r="AD1514" s="694"/>
      <c r="AE1514" s="680">
        <f t="shared" ref="AE1514:BO1514" si="557">SUM(AE1507:AE1513)</f>
        <v>0</v>
      </c>
      <c r="AF1514" s="680">
        <f t="shared" si="557"/>
        <v>0</v>
      </c>
      <c r="AG1514" s="680">
        <f t="shared" si="557"/>
        <v>0</v>
      </c>
      <c r="AH1514" s="680">
        <f t="shared" si="557"/>
        <v>0</v>
      </c>
      <c r="AI1514" s="680">
        <f t="shared" si="557"/>
        <v>0</v>
      </c>
      <c r="AJ1514" s="680">
        <f t="shared" si="557"/>
        <v>0</v>
      </c>
      <c r="AK1514" s="680">
        <f t="shared" si="557"/>
        <v>0</v>
      </c>
      <c r="AL1514" s="680">
        <f t="shared" si="557"/>
        <v>0</v>
      </c>
      <c r="AM1514" s="680">
        <f t="shared" si="557"/>
        <v>0</v>
      </c>
      <c r="AN1514" s="680">
        <f t="shared" si="557"/>
        <v>0</v>
      </c>
      <c r="AO1514" s="680">
        <f t="shared" si="557"/>
        <v>0</v>
      </c>
      <c r="AP1514" s="680">
        <f t="shared" si="557"/>
        <v>0</v>
      </c>
      <c r="AQ1514" s="680">
        <f t="shared" si="557"/>
        <v>0</v>
      </c>
      <c r="AR1514" s="680">
        <f t="shared" si="557"/>
        <v>0</v>
      </c>
      <c r="AS1514" s="680">
        <f t="shared" si="557"/>
        <v>0</v>
      </c>
      <c r="AT1514" s="680">
        <f t="shared" si="557"/>
        <v>0</v>
      </c>
      <c r="AU1514" s="680">
        <f t="shared" si="557"/>
        <v>0</v>
      </c>
      <c r="AV1514" s="680">
        <f t="shared" si="557"/>
        <v>0</v>
      </c>
      <c r="AW1514" s="680">
        <f t="shared" si="557"/>
        <v>0</v>
      </c>
      <c r="AX1514" s="680">
        <f t="shared" si="557"/>
        <v>0</v>
      </c>
      <c r="AY1514" s="680">
        <f t="shared" si="557"/>
        <v>0</v>
      </c>
      <c r="AZ1514" s="680">
        <f t="shared" si="557"/>
        <v>0</v>
      </c>
      <c r="BA1514" s="680">
        <f t="shared" si="557"/>
        <v>0</v>
      </c>
      <c r="BB1514" s="680">
        <f t="shared" si="557"/>
        <v>0</v>
      </c>
      <c r="BC1514" s="680">
        <f t="shared" si="557"/>
        <v>0</v>
      </c>
      <c r="BD1514" s="680">
        <f t="shared" si="557"/>
        <v>0</v>
      </c>
      <c r="BE1514" s="680">
        <f t="shared" si="557"/>
        <v>0</v>
      </c>
      <c r="BF1514" s="680">
        <f t="shared" si="557"/>
        <v>0</v>
      </c>
      <c r="BG1514" s="680">
        <f t="shared" si="557"/>
        <v>0</v>
      </c>
      <c r="BH1514" s="680">
        <f t="shared" si="557"/>
        <v>0</v>
      </c>
      <c r="BI1514" s="680">
        <f t="shared" si="557"/>
        <v>0</v>
      </c>
      <c r="BJ1514" s="680">
        <f t="shared" si="557"/>
        <v>0</v>
      </c>
      <c r="BK1514" s="680">
        <f t="shared" si="557"/>
        <v>0</v>
      </c>
      <c r="BL1514" s="680">
        <f t="shared" si="557"/>
        <v>0</v>
      </c>
      <c r="BM1514" s="680">
        <f t="shared" si="557"/>
        <v>0</v>
      </c>
      <c r="BN1514" s="680">
        <f t="shared" si="557"/>
        <v>0</v>
      </c>
      <c r="BO1514" s="680">
        <f t="shared" si="557"/>
        <v>0</v>
      </c>
      <c r="BP1514" s="680">
        <f t="shared" ref="BP1514:CA1514" si="558">SUM(BP1507:BP1513)</f>
        <v>0</v>
      </c>
      <c r="BQ1514" s="680">
        <f t="shared" si="558"/>
        <v>0</v>
      </c>
      <c r="BR1514" s="680">
        <f t="shared" si="558"/>
        <v>0</v>
      </c>
      <c r="BS1514" s="680">
        <f t="shared" si="558"/>
        <v>0</v>
      </c>
      <c r="BT1514" s="680">
        <f t="shared" si="558"/>
        <v>0</v>
      </c>
      <c r="BU1514" s="680">
        <f t="shared" si="558"/>
        <v>0</v>
      </c>
      <c r="BV1514" s="680">
        <f t="shared" si="558"/>
        <v>0</v>
      </c>
      <c r="BW1514" s="680">
        <f t="shared" si="558"/>
        <v>0</v>
      </c>
      <c r="BX1514" s="680">
        <f t="shared" si="558"/>
        <v>0</v>
      </c>
      <c r="BY1514" s="680">
        <f t="shared" si="558"/>
        <v>0</v>
      </c>
      <c r="BZ1514" s="680">
        <f t="shared" si="558"/>
        <v>0</v>
      </c>
      <c r="CA1514" s="680">
        <f t="shared" si="558"/>
        <v>0</v>
      </c>
    </row>
    <row r="1515" spans="1:16384" hidden="1" outlineLevel="1" x14ac:dyDescent="0.35">
      <c r="A1515" s="574"/>
      <c r="B1515" s="574"/>
      <c r="C1515" s="574"/>
      <c r="D1515" s="574"/>
      <c r="E1515" s="574"/>
      <c r="F1515" s="574" t="s">
        <v>698</v>
      </c>
      <c r="G1515" s="732"/>
      <c r="H1515" s="732"/>
      <c r="I1515" s="732"/>
      <c r="J1515" s="732"/>
      <c r="K1515" s="732"/>
      <c r="L1515" s="732"/>
      <c r="M1515" s="732"/>
      <c r="N1515" s="732"/>
      <c r="O1515" s="732"/>
      <c r="P1515" s="732"/>
      <c r="Q1515" s="732"/>
      <c r="R1515" s="736"/>
      <c r="S1515" s="683"/>
      <c r="T1515" s="683"/>
      <c r="U1515" s="683"/>
      <c r="V1515" s="683"/>
      <c r="W1515" s="683"/>
      <c r="X1515" s="683"/>
      <c r="Y1515" s="683"/>
      <c r="Z1515" s="683"/>
      <c r="AA1515" s="683"/>
      <c r="AB1515" s="683"/>
      <c r="AC1515" s="682"/>
      <c r="AD1515" s="682"/>
      <c r="AE1515" s="736"/>
      <c r="AF1515" s="736"/>
      <c r="AG1515" s="736"/>
      <c r="AH1515" s="736"/>
      <c r="AI1515" s="736"/>
      <c r="AJ1515" s="736"/>
      <c r="AK1515" s="736"/>
      <c r="AL1515" s="736"/>
      <c r="AM1515" s="736"/>
      <c r="AN1515" s="736"/>
      <c r="AO1515" s="736"/>
      <c r="AP1515" s="736"/>
      <c r="AQ1515" s="736"/>
      <c r="AR1515" s="736"/>
      <c r="AS1515" s="736"/>
      <c r="AT1515" s="736"/>
      <c r="AU1515" s="736"/>
      <c r="AV1515" s="736"/>
      <c r="AW1515" s="736"/>
      <c r="AX1515" s="736"/>
      <c r="AY1515" s="736"/>
      <c r="AZ1515" s="736"/>
      <c r="BA1515" s="736"/>
      <c r="BB1515" s="736"/>
      <c r="BC1515" s="736"/>
      <c r="BD1515" s="736"/>
      <c r="BE1515" s="736"/>
      <c r="BF1515" s="736"/>
      <c r="BG1515" s="736"/>
      <c r="BH1515" s="736"/>
      <c r="BI1515" s="736"/>
      <c r="BJ1515" s="736"/>
      <c r="BK1515" s="736"/>
      <c r="BL1515" s="736"/>
      <c r="BM1515" s="736"/>
      <c r="BN1515" s="736"/>
      <c r="BO1515" s="736"/>
      <c r="BP1515" s="736"/>
      <c r="BQ1515" s="736"/>
      <c r="BR1515" s="736"/>
      <c r="BS1515" s="736"/>
      <c r="BT1515" s="736"/>
      <c r="BU1515" s="736"/>
      <c r="BV1515" s="736"/>
      <c r="BW1515" s="736"/>
      <c r="BX1515" s="736"/>
      <c r="BY1515" s="736"/>
      <c r="BZ1515" s="736"/>
      <c r="CA1515" s="736"/>
    </row>
    <row r="1516" spans="1:16384" s="888" customFormat="1" ht="15" collapsed="1" thickBot="1" x14ac:dyDescent="0.4">
      <c r="A1516" s="500"/>
      <c r="B1516" s="500"/>
      <c r="C1516" s="500"/>
      <c r="D1516" s="500"/>
      <c r="E1516" s="500"/>
      <c r="F1516" s="913" t="s">
        <v>1185</v>
      </c>
      <c r="G1516" s="914"/>
      <c r="H1516" s="914"/>
      <c r="I1516" s="914"/>
      <c r="J1516" s="914"/>
      <c r="K1516" s="914"/>
      <c r="L1516" s="914"/>
      <c r="M1516" s="914"/>
      <c r="N1516" s="914"/>
      <c r="O1516" s="914"/>
      <c r="P1516" s="914"/>
      <c r="Q1516" s="914"/>
      <c r="R1516" s="914"/>
      <c r="S1516" s="915"/>
      <c r="T1516" s="915"/>
      <c r="U1516" s="915"/>
      <c r="V1516" s="915"/>
      <c r="W1516" s="915"/>
      <c r="X1516" s="915"/>
      <c r="Y1516" s="915"/>
      <c r="Z1516" s="915"/>
      <c r="AA1516" s="915"/>
      <c r="AB1516" s="915"/>
      <c r="AC1516" s="914"/>
      <c r="AD1516" s="914"/>
      <c r="AE1516" s="914">
        <f t="shared" ref="AE1516:BJ1516" si="559">SUM(AE1352:AE1515)-SUM(AE1514,AE1503,AE1497,AE1495,AE1485,AE1475,AE1466,AE1458,AE1452,AE1444,AE1430,AE1426,AE1406,AE1391,AE1380,AE1376,AE1370,AE1361)</f>
        <v>0</v>
      </c>
      <c r="AF1516" s="914">
        <f t="shared" si="559"/>
        <v>0</v>
      </c>
      <c r="AG1516" s="914">
        <f t="shared" si="559"/>
        <v>0</v>
      </c>
      <c r="AH1516" s="914">
        <f t="shared" si="559"/>
        <v>0</v>
      </c>
      <c r="AI1516" s="914">
        <f t="shared" si="559"/>
        <v>0</v>
      </c>
      <c r="AJ1516" s="914">
        <f t="shared" si="559"/>
        <v>0</v>
      </c>
      <c r="AK1516" s="914">
        <f t="shared" si="559"/>
        <v>0</v>
      </c>
      <c r="AL1516" s="914">
        <f t="shared" si="559"/>
        <v>0</v>
      </c>
      <c r="AM1516" s="914">
        <f t="shared" si="559"/>
        <v>0</v>
      </c>
      <c r="AN1516" s="914">
        <f t="shared" si="559"/>
        <v>0</v>
      </c>
      <c r="AO1516" s="914">
        <f t="shared" si="559"/>
        <v>0</v>
      </c>
      <c r="AP1516" s="914">
        <f t="shared" si="559"/>
        <v>0</v>
      </c>
      <c r="AQ1516" s="914">
        <f t="shared" si="559"/>
        <v>0</v>
      </c>
      <c r="AR1516" s="914">
        <f t="shared" si="559"/>
        <v>0</v>
      </c>
      <c r="AS1516" s="914">
        <f t="shared" si="559"/>
        <v>0</v>
      </c>
      <c r="AT1516" s="914">
        <f t="shared" si="559"/>
        <v>0</v>
      </c>
      <c r="AU1516" s="914">
        <f t="shared" si="559"/>
        <v>0</v>
      </c>
      <c r="AV1516" s="914">
        <f t="shared" si="559"/>
        <v>0</v>
      </c>
      <c r="AW1516" s="914">
        <f t="shared" si="559"/>
        <v>0</v>
      </c>
      <c r="AX1516" s="914">
        <f t="shared" si="559"/>
        <v>0</v>
      </c>
      <c r="AY1516" s="914">
        <f t="shared" si="559"/>
        <v>0</v>
      </c>
      <c r="AZ1516" s="914">
        <f t="shared" si="559"/>
        <v>0</v>
      </c>
      <c r="BA1516" s="914">
        <f t="shared" si="559"/>
        <v>0</v>
      </c>
      <c r="BB1516" s="914">
        <f t="shared" si="559"/>
        <v>0</v>
      </c>
      <c r="BC1516" s="914">
        <f t="shared" si="559"/>
        <v>0</v>
      </c>
      <c r="BD1516" s="914">
        <f t="shared" si="559"/>
        <v>0</v>
      </c>
      <c r="BE1516" s="914">
        <f t="shared" si="559"/>
        <v>0</v>
      </c>
      <c r="BF1516" s="914">
        <f t="shared" si="559"/>
        <v>0</v>
      </c>
      <c r="BG1516" s="914">
        <f t="shared" si="559"/>
        <v>0</v>
      </c>
      <c r="BH1516" s="914">
        <f t="shared" si="559"/>
        <v>0</v>
      </c>
      <c r="BI1516" s="914">
        <f t="shared" si="559"/>
        <v>0</v>
      </c>
      <c r="BJ1516" s="914">
        <f t="shared" si="559"/>
        <v>0</v>
      </c>
      <c r="BK1516" s="914">
        <f t="shared" ref="BK1516:CA1516" si="560">SUM(BK1352:BK1515)-SUM(BK1514,BK1503,BK1497,BK1495,BK1485,BK1475,BK1466,BK1458,BK1452,BK1444,BK1430,BK1426,BK1406,BK1391,BK1380,BK1376,BK1370,BK1361)</f>
        <v>0</v>
      </c>
      <c r="BL1516" s="914">
        <f t="shared" si="560"/>
        <v>0</v>
      </c>
      <c r="BM1516" s="914">
        <f t="shared" si="560"/>
        <v>0</v>
      </c>
      <c r="BN1516" s="914">
        <f t="shared" si="560"/>
        <v>0</v>
      </c>
      <c r="BO1516" s="914">
        <f t="shared" si="560"/>
        <v>0</v>
      </c>
      <c r="BP1516" s="914">
        <f t="shared" si="560"/>
        <v>0</v>
      </c>
      <c r="BQ1516" s="914">
        <f t="shared" si="560"/>
        <v>0</v>
      </c>
      <c r="BR1516" s="914">
        <f t="shared" si="560"/>
        <v>0</v>
      </c>
      <c r="BS1516" s="914">
        <f t="shared" si="560"/>
        <v>0</v>
      </c>
      <c r="BT1516" s="914">
        <f t="shared" si="560"/>
        <v>0</v>
      </c>
      <c r="BU1516" s="914">
        <f t="shared" si="560"/>
        <v>0</v>
      </c>
      <c r="BV1516" s="914">
        <f t="shared" si="560"/>
        <v>0</v>
      </c>
      <c r="BW1516" s="914">
        <f t="shared" si="560"/>
        <v>0</v>
      </c>
      <c r="BX1516" s="914">
        <f t="shared" si="560"/>
        <v>0</v>
      </c>
      <c r="BY1516" s="914">
        <f t="shared" si="560"/>
        <v>0</v>
      </c>
      <c r="BZ1516" s="914">
        <f t="shared" si="560"/>
        <v>0</v>
      </c>
      <c r="CA1516" s="914">
        <f t="shared" si="560"/>
        <v>0</v>
      </c>
    </row>
    <row r="1517" spans="1:16384" ht="15" thickTop="1" x14ac:dyDescent="0.35">
      <c r="A1517" s="574"/>
      <c r="B1517" s="574"/>
      <c r="C1517" s="574"/>
      <c r="D1517" s="574"/>
      <c r="E1517" s="574"/>
      <c r="F1517" s="574"/>
      <c r="G1517" s="739"/>
      <c r="H1517" s="739"/>
      <c r="I1517" s="739"/>
      <c r="J1517" s="739"/>
      <c r="K1517" s="739"/>
      <c r="L1517" s="739"/>
      <c r="M1517" s="739"/>
      <c r="N1517" s="739"/>
      <c r="O1517" s="739"/>
      <c r="P1517" s="739"/>
      <c r="Q1517" s="739"/>
      <c r="R1517" s="739"/>
      <c r="S1517" s="739"/>
      <c r="T1517" s="739"/>
      <c r="U1517" s="739"/>
      <c r="V1517" s="739"/>
      <c r="W1517" s="739"/>
      <c r="X1517" s="739"/>
      <c r="Y1517" s="739"/>
      <c r="Z1517" s="739"/>
      <c r="AA1517" s="739"/>
      <c r="AB1517" s="736"/>
      <c r="AC1517" s="736"/>
      <c r="AD1517" s="736"/>
      <c r="AE1517" s="736"/>
      <c r="AF1517" s="736"/>
      <c r="AG1517" s="736"/>
      <c r="AH1517" s="736"/>
      <c r="AI1517" s="736"/>
      <c r="AJ1517" s="736"/>
      <c r="AK1517" s="736"/>
      <c r="AL1517" s="736"/>
      <c r="AM1517" s="736"/>
      <c r="AN1517" s="736"/>
      <c r="AO1517" s="736"/>
      <c r="AP1517" s="736"/>
      <c r="AQ1517" s="736"/>
      <c r="AR1517" s="736"/>
      <c r="AS1517" s="736"/>
      <c r="AT1517" s="736"/>
      <c r="AU1517" s="736"/>
      <c r="AV1517" s="736"/>
      <c r="AW1517" s="736"/>
      <c r="AX1517" s="736"/>
      <c r="AY1517" s="736"/>
      <c r="AZ1517" s="736"/>
      <c r="BA1517" s="736"/>
      <c r="BB1517" s="736"/>
      <c r="BC1517" s="736"/>
      <c r="BD1517" s="736"/>
      <c r="BE1517" s="736"/>
      <c r="BF1517" s="736"/>
      <c r="BG1517" s="736"/>
      <c r="BH1517" s="736"/>
      <c r="BI1517" s="736"/>
      <c r="BJ1517" s="736"/>
      <c r="BK1517" s="736"/>
      <c r="BL1517" s="736"/>
      <c r="BM1517" s="736"/>
      <c r="BN1517" s="736"/>
      <c r="BO1517" s="736"/>
      <c r="BP1517" s="736"/>
      <c r="BQ1517" s="736"/>
      <c r="BR1517" s="736"/>
      <c r="BS1517" s="736"/>
      <c r="BT1517" s="736"/>
      <c r="BU1517" s="736"/>
      <c r="BV1517" s="736"/>
      <c r="BW1517" s="736"/>
      <c r="BX1517" s="736"/>
      <c r="BY1517" s="736"/>
      <c r="BZ1517" s="736"/>
      <c r="CA1517" s="736"/>
    </row>
    <row r="1518" spans="1:16384" x14ac:dyDescent="0.35">
      <c r="A1518" s="574"/>
      <c r="B1518" s="574"/>
      <c r="C1518" s="574"/>
      <c r="D1518" s="574"/>
      <c r="E1518" s="574"/>
      <c r="F1518" s="574"/>
      <c r="G1518" s="739"/>
      <c r="H1518" s="739"/>
      <c r="I1518" s="739"/>
      <c r="J1518" s="739"/>
      <c r="K1518" s="739"/>
      <c r="L1518" s="739"/>
      <c r="M1518" s="739"/>
      <c r="N1518" s="739"/>
      <c r="O1518" s="739"/>
      <c r="P1518" s="739"/>
      <c r="Q1518" s="739"/>
      <c r="R1518" s="739"/>
      <c r="S1518" s="739"/>
      <c r="T1518" s="739"/>
      <c r="U1518" s="739"/>
      <c r="V1518" s="739"/>
      <c r="W1518" s="739"/>
      <c r="X1518" s="739"/>
      <c r="Y1518" s="739"/>
      <c r="Z1518" s="739"/>
      <c r="AA1518" s="739"/>
      <c r="AB1518" s="739"/>
      <c r="AC1518" s="736"/>
      <c r="AD1518" s="736"/>
      <c r="AE1518" s="736"/>
      <c r="AF1518" s="736"/>
      <c r="AG1518" s="736"/>
      <c r="AH1518" s="736"/>
      <c r="AI1518" s="736"/>
      <c r="AJ1518" s="736"/>
      <c r="AK1518" s="736"/>
      <c r="AL1518" s="736"/>
      <c r="AM1518" s="736"/>
      <c r="AN1518" s="736"/>
      <c r="AO1518" s="736"/>
      <c r="AP1518" s="736"/>
      <c r="AQ1518" s="736"/>
      <c r="AR1518" s="736"/>
      <c r="AS1518" s="736"/>
      <c r="AT1518" s="736"/>
      <c r="AU1518" s="736"/>
      <c r="AV1518" s="736"/>
      <c r="AW1518" s="736"/>
      <c r="AX1518" s="736"/>
      <c r="AY1518" s="736"/>
      <c r="AZ1518" s="736"/>
      <c r="BA1518" s="736"/>
      <c r="BB1518" s="736"/>
      <c r="BC1518" s="736"/>
      <c r="BD1518" s="736"/>
      <c r="BE1518" s="736"/>
      <c r="BF1518" s="736"/>
      <c r="BG1518" s="736"/>
      <c r="BH1518" s="736"/>
      <c r="BI1518" s="736"/>
      <c r="BJ1518" s="736"/>
      <c r="BK1518" s="736"/>
      <c r="BL1518" s="736"/>
      <c r="BM1518" s="736"/>
      <c r="BN1518" s="736"/>
      <c r="BO1518" s="736"/>
      <c r="BP1518" s="736"/>
      <c r="BQ1518" s="736"/>
      <c r="BR1518" s="736"/>
      <c r="BS1518" s="736"/>
      <c r="BT1518" s="736"/>
      <c r="BU1518" s="736"/>
      <c r="BV1518" s="736"/>
      <c r="BW1518" s="736"/>
      <c r="BX1518" s="736"/>
      <c r="BY1518" s="736"/>
      <c r="BZ1518" s="736"/>
      <c r="CA1518" s="736"/>
    </row>
    <row r="1519" spans="1:16384" s="889" customFormat="1" ht="15" thickBot="1" x14ac:dyDescent="0.4">
      <c r="A1519" s="881"/>
      <c r="B1519" s="881"/>
      <c r="C1519" s="881"/>
      <c r="D1519" s="881"/>
      <c r="E1519" s="881"/>
      <c r="F1519" s="913" t="s">
        <v>682</v>
      </c>
      <c r="G1519" s="914"/>
      <c r="H1519" s="914"/>
      <c r="I1519" s="914"/>
      <c r="J1519" s="914"/>
      <c r="K1519" s="914"/>
      <c r="L1519" s="914"/>
      <c r="M1519" s="914"/>
      <c r="N1519" s="914"/>
      <c r="O1519" s="914"/>
      <c r="P1519" s="914"/>
      <c r="Q1519" s="914"/>
      <c r="R1519" s="914"/>
      <c r="S1519" s="915">
        <v>48903.23</v>
      </c>
      <c r="T1519" s="915">
        <v>2332.54</v>
      </c>
      <c r="U1519" s="915">
        <v>-73101.11</v>
      </c>
      <c r="V1519" s="915">
        <v>0</v>
      </c>
      <c r="W1519" s="915"/>
      <c r="X1519" s="915"/>
      <c r="Y1519" s="915"/>
      <c r="Z1519" s="915"/>
      <c r="AA1519" s="915"/>
      <c r="AB1519" s="915"/>
      <c r="AC1519" s="914"/>
      <c r="AD1519" s="914">
        <v>44847.360000000001</v>
      </c>
      <c r="AE1519" s="914"/>
      <c r="AF1519" s="914"/>
      <c r="AG1519" s="914"/>
      <c r="AH1519" s="914"/>
      <c r="AI1519" s="914"/>
      <c r="AJ1519" s="914"/>
      <c r="AK1519" s="914"/>
      <c r="AL1519" s="914"/>
      <c r="AM1519" s="914"/>
      <c r="AN1519" s="914"/>
      <c r="AO1519" s="914"/>
      <c r="AP1519" s="914"/>
      <c r="AQ1519" s="914"/>
      <c r="AR1519" s="914"/>
      <c r="AS1519" s="914"/>
      <c r="AT1519" s="914"/>
      <c r="AU1519" s="914"/>
      <c r="AV1519" s="914"/>
      <c r="AW1519" s="914"/>
      <c r="AX1519" s="914"/>
      <c r="AY1519" s="914"/>
      <c r="AZ1519" s="914"/>
      <c r="BA1519" s="914"/>
      <c r="BB1519" s="914"/>
      <c r="BC1519" s="914"/>
      <c r="BD1519" s="914"/>
      <c r="BE1519" s="914"/>
      <c r="BF1519" s="914"/>
      <c r="BG1519" s="914"/>
      <c r="BH1519" s="914"/>
      <c r="BI1519" s="914"/>
      <c r="BJ1519" s="914"/>
      <c r="BK1519" s="914"/>
      <c r="BL1519" s="914"/>
      <c r="BM1519" s="914"/>
      <c r="BN1519" s="914"/>
      <c r="BO1519" s="914"/>
      <c r="BP1519" s="914"/>
      <c r="BQ1519" s="914"/>
      <c r="BR1519" s="914"/>
      <c r="BS1519" s="914"/>
      <c r="BT1519" s="914"/>
      <c r="BU1519" s="914"/>
      <c r="BV1519" s="914"/>
      <c r="BW1519" s="914"/>
      <c r="BX1519" s="914"/>
      <c r="BY1519" s="914"/>
      <c r="BZ1519" s="914"/>
      <c r="CA1519" s="914"/>
      <c r="CB1519" s="886"/>
      <c r="CC1519" s="886"/>
      <c r="CD1519" s="886"/>
      <c r="CE1519" s="886"/>
      <c r="CF1519" s="886"/>
      <c r="CG1519" s="886"/>
      <c r="CH1519" s="886"/>
      <c r="CI1519" s="886"/>
      <c r="CJ1519" s="886"/>
      <c r="CK1519" s="886"/>
      <c r="CL1519" s="886"/>
      <c r="CM1519" s="886"/>
      <c r="CN1519" s="886"/>
      <c r="CO1519" s="886"/>
      <c r="CP1519" s="886"/>
      <c r="CQ1519" s="886"/>
      <c r="CR1519" s="886"/>
      <c r="CS1519" s="886"/>
      <c r="CT1519" s="886"/>
      <c r="CU1519" s="886"/>
      <c r="CV1519" s="886"/>
      <c r="CW1519" s="886"/>
      <c r="CX1519" s="886"/>
      <c r="CY1519" s="886"/>
      <c r="CZ1519" s="886"/>
      <c r="DA1519" s="886"/>
      <c r="DB1519" s="886"/>
      <c r="DC1519" s="886"/>
      <c r="DD1519" s="886"/>
      <c r="DE1519" s="886"/>
      <c r="DF1519" s="886"/>
      <c r="DG1519" s="886"/>
      <c r="DH1519" s="886"/>
      <c r="DI1519" s="886"/>
      <c r="DJ1519" s="886"/>
      <c r="DK1519" s="886"/>
      <c r="DL1519" s="886"/>
      <c r="DM1519" s="886"/>
      <c r="DN1519" s="886"/>
      <c r="DO1519" s="886"/>
      <c r="DP1519" s="886"/>
      <c r="DQ1519" s="886"/>
      <c r="DR1519" s="886"/>
      <c r="DS1519" s="886"/>
      <c r="DT1519" s="886"/>
      <c r="DU1519" s="886"/>
      <c r="DV1519" s="886"/>
      <c r="DW1519" s="886"/>
      <c r="DX1519" s="886"/>
      <c r="DY1519" s="886"/>
      <c r="DZ1519" s="886"/>
      <c r="EA1519" s="886"/>
      <c r="EB1519" s="886"/>
      <c r="EC1519" s="886"/>
      <c r="ED1519" s="886"/>
      <c r="EE1519" s="886"/>
      <c r="EF1519" s="886"/>
      <c r="EG1519" s="886"/>
      <c r="EH1519" s="886"/>
      <c r="EI1519" s="886"/>
      <c r="EJ1519" s="886"/>
      <c r="EK1519" s="886"/>
      <c r="EL1519" s="886"/>
      <c r="EM1519" s="886"/>
      <c r="EN1519" s="886"/>
      <c r="EO1519" s="886"/>
      <c r="EP1519" s="886"/>
      <c r="EQ1519" s="886"/>
      <c r="ER1519" s="886"/>
      <c r="ES1519" s="886"/>
      <c r="ET1519" s="886"/>
      <c r="EU1519" s="886"/>
      <c r="EV1519" s="886"/>
      <c r="EW1519" s="886"/>
      <c r="EX1519" s="886"/>
      <c r="EY1519" s="886"/>
      <c r="EZ1519" s="886"/>
      <c r="FA1519" s="886"/>
      <c r="FB1519" s="886"/>
      <c r="FC1519" s="886"/>
      <c r="FD1519" s="886"/>
      <c r="FE1519" s="886"/>
      <c r="FF1519" s="886"/>
      <c r="FG1519" s="886"/>
      <c r="FH1519" s="886"/>
      <c r="FI1519" s="886"/>
      <c r="FJ1519" s="886"/>
      <c r="FK1519" s="886"/>
      <c r="FL1519" s="886"/>
      <c r="FM1519" s="886"/>
      <c r="FN1519" s="886"/>
      <c r="FO1519" s="886"/>
      <c r="FP1519" s="886"/>
      <c r="FQ1519" s="886"/>
      <c r="FR1519" s="886"/>
      <c r="FS1519" s="886"/>
      <c r="FT1519" s="886"/>
      <c r="FU1519" s="886"/>
      <c r="FV1519" s="886"/>
      <c r="FW1519" s="886"/>
      <c r="FX1519" s="886"/>
      <c r="FY1519" s="886"/>
      <c r="FZ1519" s="886"/>
      <c r="GA1519" s="886"/>
      <c r="GB1519" s="886"/>
      <c r="GC1519" s="886"/>
      <c r="GD1519" s="886"/>
      <c r="GE1519" s="886"/>
      <c r="GF1519" s="886"/>
      <c r="GG1519" s="886"/>
      <c r="GH1519" s="886"/>
      <c r="GI1519" s="886"/>
      <c r="GJ1519" s="886"/>
      <c r="GK1519" s="886"/>
      <c r="GL1519" s="886"/>
      <c r="GM1519" s="886"/>
      <c r="GN1519" s="886"/>
      <c r="GO1519" s="886"/>
      <c r="GP1519" s="886"/>
      <c r="GQ1519" s="886"/>
      <c r="GR1519" s="886"/>
      <c r="GS1519" s="886"/>
      <c r="GT1519" s="886"/>
      <c r="GU1519" s="886"/>
      <c r="GV1519" s="886"/>
      <c r="GW1519" s="886"/>
      <c r="GX1519" s="886"/>
      <c r="GY1519" s="886"/>
      <c r="GZ1519" s="886"/>
      <c r="HA1519" s="886"/>
      <c r="HB1519" s="886"/>
      <c r="HC1519" s="886"/>
      <c r="HD1519" s="886"/>
      <c r="HE1519" s="886"/>
      <c r="HF1519" s="886"/>
      <c r="HG1519" s="886"/>
      <c r="HH1519" s="886"/>
      <c r="HI1519" s="886"/>
      <c r="HJ1519" s="886"/>
      <c r="HK1519" s="886"/>
      <c r="HL1519" s="886"/>
      <c r="HM1519" s="886"/>
      <c r="HN1519" s="886"/>
      <c r="HO1519" s="886"/>
      <c r="HP1519" s="886"/>
      <c r="HQ1519" s="886"/>
      <c r="HR1519" s="886"/>
      <c r="HS1519" s="886"/>
      <c r="HT1519" s="886"/>
      <c r="HU1519" s="886"/>
      <c r="HV1519" s="886"/>
      <c r="HW1519" s="886"/>
      <c r="HX1519" s="886"/>
      <c r="HY1519" s="886"/>
      <c r="HZ1519" s="886"/>
      <c r="IA1519" s="886"/>
      <c r="IB1519" s="886"/>
      <c r="IC1519" s="886"/>
      <c r="ID1519" s="886"/>
      <c r="IE1519" s="886"/>
      <c r="IF1519" s="886"/>
      <c r="IG1519" s="886"/>
      <c r="IH1519" s="886"/>
      <c r="II1519" s="886"/>
      <c r="IJ1519" s="886"/>
      <c r="IK1519" s="886"/>
      <c r="IL1519" s="886"/>
      <c r="IM1519" s="886"/>
      <c r="IN1519" s="886"/>
      <c r="IO1519" s="886"/>
      <c r="IP1519" s="886"/>
      <c r="IQ1519" s="886"/>
      <c r="IR1519" s="886"/>
      <c r="IS1519" s="886"/>
      <c r="IT1519" s="886"/>
      <c r="IU1519" s="886"/>
      <c r="IV1519" s="886"/>
      <c r="IW1519" s="886"/>
      <c r="IX1519" s="886"/>
      <c r="IY1519" s="886"/>
      <c r="IZ1519" s="886"/>
      <c r="JA1519" s="886"/>
      <c r="JB1519" s="886"/>
      <c r="JC1519" s="886"/>
      <c r="JD1519" s="886"/>
      <c r="JE1519" s="886"/>
      <c r="JF1519" s="886"/>
      <c r="JG1519" s="886"/>
      <c r="JH1519" s="886"/>
      <c r="JI1519" s="886"/>
      <c r="JJ1519" s="886"/>
      <c r="JK1519" s="886"/>
      <c r="JL1519" s="886"/>
      <c r="JM1519" s="886"/>
      <c r="JN1519" s="886"/>
      <c r="JO1519" s="886"/>
      <c r="JP1519" s="886"/>
      <c r="JQ1519" s="886"/>
      <c r="JR1519" s="886"/>
      <c r="JS1519" s="886"/>
      <c r="JT1519" s="886"/>
      <c r="JU1519" s="886"/>
      <c r="JV1519" s="886"/>
      <c r="JW1519" s="886"/>
      <c r="JX1519" s="886"/>
      <c r="JY1519" s="886"/>
      <c r="JZ1519" s="886"/>
      <c r="KA1519" s="886"/>
      <c r="KB1519" s="886"/>
      <c r="KC1519" s="886"/>
      <c r="KD1519" s="886"/>
      <c r="KE1519" s="886"/>
      <c r="KF1519" s="886"/>
      <c r="KG1519" s="886"/>
      <c r="KH1519" s="886"/>
      <c r="KI1519" s="886"/>
      <c r="KJ1519" s="886"/>
      <c r="KK1519" s="886"/>
      <c r="KL1519" s="886"/>
      <c r="KM1519" s="886"/>
      <c r="KN1519" s="886"/>
      <c r="KO1519" s="886"/>
      <c r="KP1519" s="886"/>
      <c r="KQ1519" s="886"/>
      <c r="KR1519" s="886"/>
      <c r="KS1519" s="886"/>
      <c r="KT1519" s="886"/>
      <c r="KU1519" s="886"/>
      <c r="KV1519" s="886"/>
      <c r="KW1519" s="886"/>
      <c r="KX1519" s="886"/>
      <c r="KY1519" s="886"/>
      <c r="KZ1519" s="886"/>
      <c r="LA1519" s="886"/>
      <c r="LB1519" s="886"/>
      <c r="LC1519" s="886"/>
      <c r="LD1519" s="886"/>
      <c r="LE1519" s="886"/>
      <c r="LF1519" s="886"/>
      <c r="LG1519" s="886"/>
      <c r="LH1519" s="886"/>
      <c r="LI1519" s="886"/>
      <c r="LJ1519" s="886"/>
      <c r="LK1519" s="886"/>
      <c r="LL1519" s="886"/>
      <c r="LM1519" s="886"/>
      <c r="LN1519" s="886"/>
      <c r="LO1519" s="886"/>
      <c r="LP1519" s="886"/>
      <c r="LQ1519" s="886"/>
      <c r="LR1519" s="886"/>
      <c r="LS1519" s="886"/>
      <c r="LT1519" s="886"/>
      <c r="LU1519" s="886"/>
      <c r="LV1519" s="886"/>
      <c r="LW1519" s="886"/>
      <c r="LX1519" s="886"/>
      <c r="LY1519" s="886"/>
      <c r="LZ1519" s="886"/>
      <c r="MA1519" s="886"/>
      <c r="MB1519" s="886"/>
      <c r="MC1519" s="886"/>
      <c r="MD1519" s="886"/>
      <c r="ME1519" s="886"/>
      <c r="MF1519" s="886"/>
      <c r="MG1519" s="886"/>
      <c r="MH1519" s="886"/>
      <c r="MI1519" s="886"/>
      <c r="MJ1519" s="886"/>
      <c r="MK1519" s="886"/>
      <c r="ML1519" s="886"/>
      <c r="MM1519" s="886"/>
      <c r="MN1519" s="886"/>
      <c r="MO1519" s="886"/>
      <c r="MP1519" s="886"/>
      <c r="MQ1519" s="886"/>
      <c r="MR1519" s="886"/>
      <c r="MS1519" s="886"/>
      <c r="MT1519" s="886"/>
      <c r="MU1519" s="886"/>
      <c r="MV1519" s="886"/>
      <c r="MW1519" s="886"/>
      <c r="MX1519" s="886"/>
      <c r="MY1519" s="886"/>
      <c r="MZ1519" s="886"/>
      <c r="NA1519" s="886"/>
      <c r="NB1519" s="886"/>
      <c r="NC1519" s="886"/>
      <c r="ND1519" s="886"/>
      <c r="NE1519" s="886"/>
      <c r="NF1519" s="886"/>
      <c r="NG1519" s="886"/>
      <c r="NH1519" s="886"/>
      <c r="NI1519" s="886"/>
      <c r="NJ1519" s="886"/>
      <c r="NK1519" s="886"/>
      <c r="NL1519" s="886"/>
      <c r="NM1519" s="886"/>
      <c r="NN1519" s="886"/>
      <c r="NO1519" s="886"/>
      <c r="NP1519" s="886"/>
      <c r="NQ1519" s="886"/>
      <c r="NR1519" s="886"/>
      <c r="NS1519" s="886"/>
      <c r="NT1519" s="886"/>
      <c r="NU1519" s="886"/>
      <c r="NV1519" s="886"/>
      <c r="NW1519" s="886"/>
      <c r="NX1519" s="886"/>
      <c r="NY1519" s="886"/>
      <c r="NZ1519" s="886"/>
      <c r="OA1519" s="886"/>
      <c r="OB1519" s="886"/>
      <c r="OC1519" s="886"/>
      <c r="OD1519" s="886"/>
      <c r="OE1519" s="886"/>
      <c r="OF1519" s="886"/>
      <c r="OG1519" s="886"/>
      <c r="OH1519" s="886"/>
      <c r="OI1519" s="886"/>
      <c r="OJ1519" s="886"/>
      <c r="OK1519" s="886"/>
      <c r="OL1519" s="886"/>
      <c r="OM1519" s="886"/>
      <c r="ON1519" s="886"/>
      <c r="OO1519" s="886"/>
      <c r="OP1519" s="886"/>
      <c r="OQ1519" s="886"/>
      <c r="OR1519" s="886"/>
      <c r="OS1519" s="886"/>
      <c r="OT1519" s="886"/>
      <c r="OU1519" s="886"/>
      <c r="OV1519" s="886"/>
      <c r="OW1519" s="886"/>
      <c r="OX1519" s="886"/>
      <c r="OY1519" s="886"/>
      <c r="OZ1519" s="886"/>
      <c r="PA1519" s="886"/>
      <c r="PB1519" s="886"/>
      <c r="PC1519" s="886"/>
      <c r="PD1519" s="886"/>
      <c r="PE1519" s="886"/>
      <c r="PF1519" s="886"/>
      <c r="PG1519" s="886"/>
      <c r="PH1519" s="886"/>
      <c r="PI1519" s="886"/>
      <c r="PJ1519" s="886"/>
      <c r="PK1519" s="886"/>
      <c r="PL1519" s="886"/>
      <c r="PM1519" s="886"/>
      <c r="PN1519" s="886"/>
      <c r="PO1519" s="886"/>
      <c r="PP1519" s="886"/>
      <c r="PQ1519" s="886"/>
      <c r="PR1519" s="886"/>
      <c r="PS1519" s="886"/>
      <c r="PT1519" s="886"/>
      <c r="PU1519" s="886"/>
      <c r="PV1519" s="886"/>
      <c r="PW1519" s="886"/>
      <c r="PX1519" s="886"/>
      <c r="PY1519" s="886"/>
      <c r="PZ1519" s="886"/>
      <c r="QA1519" s="886"/>
      <c r="QB1519" s="886"/>
      <c r="QC1519" s="886"/>
      <c r="QD1519" s="886"/>
      <c r="QE1519" s="886"/>
      <c r="QF1519" s="886"/>
      <c r="QG1519" s="886"/>
      <c r="QH1519" s="886"/>
      <c r="QI1519" s="886"/>
      <c r="QJ1519" s="886"/>
      <c r="QK1519" s="886"/>
      <c r="QL1519" s="886"/>
      <c r="QM1519" s="886"/>
      <c r="QN1519" s="886"/>
      <c r="QO1519" s="886"/>
      <c r="QP1519" s="886"/>
      <c r="QQ1519" s="886"/>
      <c r="QR1519" s="886"/>
      <c r="QS1519" s="886"/>
      <c r="QT1519" s="886"/>
      <c r="QU1519" s="886"/>
      <c r="QV1519" s="886"/>
      <c r="QW1519" s="886"/>
      <c r="QX1519" s="886"/>
      <c r="QY1519" s="886"/>
      <c r="QZ1519" s="886"/>
      <c r="RA1519" s="886"/>
      <c r="RB1519" s="886"/>
      <c r="RC1519" s="886"/>
      <c r="RD1519" s="886"/>
      <c r="RE1519" s="886"/>
      <c r="RF1519" s="886"/>
      <c r="RG1519" s="886"/>
      <c r="RH1519" s="886"/>
      <c r="RI1519" s="886"/>
      <c r="RJ1519" s="886"/>
      <c r="RK1519" s="886"/>
      <c r="RL1519" s="886"/>
      <c r="RM1519" s="886"/>
      <c r="RN1519" s="886"/>
      <c r="RO1519" s="886"/>
      <c r="RP1519" s="886"/>
      <c r="RQ1519" s="886"/>
      <c r="RR1519" s="886"/>
      <c r="RS1519" s="886"/>
      <c r="RT1519" s="886"/>
      <c r="RU1519" s="886"/>
      <c r="RV1519" s="886"/>
      <c r="RW1519" s="886"/>
      <c r="RX1519" s="886"/>
      <c r="RY1519" s="886"/>
      <c r="RZ1519" s="886"/>
      <c r="SA1519" s="886"/>
      <c r="SB1519" s="886"/>
      <c r="SC1519" s="886"/>
      <c r="SD1519" s="886"/>
      <c r="SE1519" s="886"/>
      <c r="SF1519" s="886"/>
      <c r="SG1519" s="886"/>
      <c r="SH1519" s="886"/>
      <c r="SI1519" s="886"/>
      <c r="SJ1519" s="886"/>
      <c r="SK1519" s="886"/>
      <c r="SL1519" s="886"/>
      <c r="SM1519" s="886"/>
      <c r="SN1519" s="886"/>
      <c r="SO1519" s="886"/>
      <c r="SP1519" s="886"/>
      <c r="SQ1519" s="886"/>
      <c r="SR1519" s="886"/>
      <c r="SS1519" s="886"/>
      <c r="ST1519" s="886"/>
      <c r="SU1519" s="886"/>
      <c r="SV1519" s="886"/>
      <c r="SW1519" s="886"/>
      <c r="SX1519" s="886"/>
      <c r="SY1519" s="886"/>
      <c r="SZ1519" s="886"/>
      <c r="TA1519" s="886"/>
      <c r="TB1519" s="886"/>
      <c r="TC1519" s="886"/>
      <c r="TD1519" s="886"/>
      <c r="TE1519" s="886"/>
      <c r="TF1519" s="886"/>
      <c r="TG1519" s="886"/>
      <c r="TH1519" s="886"/>
      <c r="TI1519" s="886"/>
      <c r="TJ1519" s="886"/>
      <c r="TK1519" s="886"/>
      <c r="TL1519" s="886"/>
      <c r="TM1519" s="886"/>
      <c r="TN1519" s="886"/>
      <c r="TO1519" s="886"/>
      <c r="TP1519" s="886"/>
      <c r="TQ1519" s="886"/>
      <c r="TR1519" s="886"/>
      <c r="TS1519" s="886"/>
      <c r="TT1519" s="886"/>
      <c r="TU1519" s="886"/>
      <c r="TV1519" s="886"/>
      <c r="TW1519" s="886"/>
      <c r="TX1519" s="886"/>
      <c r="TY1519" s="886"/>
      <c r="TZ1519" s="886"/>
      <c r="UA1519" s="886"/>
      <c r="UB1519" s="886"/>
      <c r="UC1519" s="886"/>
      <c r="UD1519" s="886"/>
      <c r="UE1519" s="886"/>
      <c r="UF1519" s="886"/>
      <c r="UG1519" s="886"/>
      <c r="UH1519" s="886"/>
      <c r="UI1519" s="886"/>
      <c r="UJ1519" s="886"/>
      <c r="UK1519" s="886"/>
      <c r="UL1519" s="886"/>
      <c r="UM1519" s="886"/>
      <c r="UN1519" s="886"/>
      <c r="UO1519" s="886"/>
      <c r="UP1519" s="886"/>
      <c r="UQ1519" s="886"/>
      <c r="UR1519" s="886"/>
      <c r="US1519" s="886"/>
      <c r="UT1519" s="886"/>
      <c r="UU1519" s="886"/>
      <c r="UV1519" s="886"/>
      <c r="UW1519" s="886"/>
      <c r="UX1519" s="886"/>
      <c r="UY1519" s="886"/>
      <c r="UZ1519" s="886"/>
      <c r="VA1519" s="886"/>
      <c r="VB1519" s="886"/>
      <c r="VC1519" s="886"/>
      <c r="VD1519" s="886"/>
      <c r="VE1519" s="886"/>
      <c r="VF1519" s="886"/>
      <c r="VG1519" s="886"/>
      <c r="VH1519" s="886"/>
      <c r="VI1519" s="886"/>
      <c r="VJ1519" s="886"/>
      <c r="VK1519" s="886"/>
      <c r="VL1519" s="886"/>
      <c r="VM1519" s="886"/>
      <c r="VN1519" s="886"/>
      <c r="VO1519" s="886"/>
      <c r="VP1519" s="886"/>
      <c r="VQ1519" s="886"/>
      <c r="VR1519" s="886"/>
      <c r="VS1519" s="886"/>
      <c r="VT1519" s="886"/>
      <c r="VU1519" s="886"/>
      <c r="VV1519" s="886"/>
      <c r="VW1519" s="886"/>
      <c r="VX1519" s="886"/>
      <c r="VY1519" s="886"/>
      <c r="VZ1519" s="886"/>
      <c r="WA1519" s="886"/>
      <c r="WB1519" s="886"/>
      <c r="WC1519" s="886"/>
      <c r="WD1519" s="886"/>
      <c r="WE1519" s="886"/>
      <c r="WF1519" s="886"/>
      <c r="WG1519" s="886"/>
      <c r="WH1519" s="886"/>
      <c r="WI1519" s="886"/>
      <c r="WJ1519" s="886"/>
      <c r="WK1519" s="886"/>
      <c r="WL1519" s="886"/>
      <c r="WM1519" s="886"/>
      <c r="WN1519" s="886"/>
      <c r="WO1519" s="886"/>
      <c r="WP1519" s="886"/>
      <c r="WQ1519" s="886"/>
      <c r="WR1519" s="886"/>
      <c r="WS1519" s="886"/>
      <c r="WT1519" s="886"/>
      <c r="WU1519" s="886"/>
      <c r="WV1519" s="886"/>
      <c r="WW1519" s="886"/>
      <c r="WX1519" s="886"/>
      <c r="WY1519" s="886"/>
      <c r="WZ1519" s="886"/>
      <c r="XA1519" s="886"/>
      <c r="XB1519" s="886"/>
      <c r="XC1519" s="886"/>
      <c r="XD1519" s="886"/>
      <c r="XE1519" s="886"/>
      <c r="XF1519" s="886"/>
      <c r="XG1519" s="886"/>
      <c r="XH1519" s="886"/>
      <c r="XI1519" s="886"/>
      <c r="XJ1519" s="886"/>
      <c r="XK1519" s="886"/>
      <c r="XL1519" s="886"/>
      <c r="XM1519" s="886"/>
      <c r="XN1519" s="886"/>
      <c r="XO1519" s="886"/>
      <c r="XP1519" s="886"/>
      <c r="XQ1519" s="886"/>
      <c r="XR1519" s="886"/>
      <c r="XS1519" s="886"/>
      <c r="XT1519" s="886"/>
      <c r="XU1519" s="886"/>
      <c r="XV1519" s="886"/>
      <c r="XW1519" s="886"/>
      <c r="XX1519" s="886"/>
      <c r="XY1519" s="886"/>
      <c r="XZ1519" s="886"/>
      <c r="YA1519" s="886"/>
      <c r="YB1519" s="886"/>
      <c r="YC1519" s="886"/>
      <c r="YD1519" s="886"/>
      <c r="YE1519" s="886"/>
      <c r="YF1519" s="886"/>
      <c r="YG1519" s="886"/>
      <c r="YH1519" s="886"/>
      <c r="YI1519" s="886"/>
      <c r="YJ1519" s="886"/>
      <c r="YK1519" s="886"/>
      <c r="YL1519" s="886"/>
      <c r="YM1519" s="886"/>
      <c r="YN1519" s="886"/>
      <c r="YO1519" s="886"/>
      <c r="YP1519" s="886"/>
      <c r="YQ1519" s="886"/>
      <c r="YR1519" s="886"/>
      <c r="YS1519" s="886"/>
      <c r="YT1519" s="886"/>
      <c r="YU1519" s="886"/>
      <c r="YV1519" s="886"/>
      <c r="YW1519" s="886"/>
      <c r="YX1519" s="886"/>
      <c r="YY1519" s="886"/>
      <c r="YZ1519" s="886"/>
      <c r="ZA1519" s="886"/>
      <c r="ZB1519" s="886"/>
      <c r="ZC1519" s="886"/>
      <c r="ZD1519" s="886"/>
      <c r="ZE1519" s="886"/>
      <c r="ZF1519" s="886"/>
      <c r="ZG1519" s="886"/>
      <c r="ZH1519" s="886"/>
      <c r="ZI1519" s="886"/>
      <c r="ZJ1519" s="886"/>
      <c r="ZK1519" s="886"/>
      <c r="ZL1519" s="886"/>
      <c r="ZM1519" s="886"/>
      <c r="ZN1519" s="886"/>
      <c r="ZO1519" s="886"/>
      <c r="ZP1519" s="886"/>
      <c r="ZQ1519" s="886"/>
      <c r="ZR1519" s="886"/>
      <c r="ZS1519" s="886"/>
      <c r="ZT1519" s="886"/>
      <c r="ZU1519" s="886"/>
      <c r="ZV1519" s="886"/>
      <c r="ZW1519" s="886"/>
      <c r="ZX1519" s="886"/>
      <c r="ZY1519" s="886"/>
      <c r="ZZ1519" s="886"/>
      <c r="AAA1519" s="886"/>
      <c r="AAB1519" s="886"/>
      <c r="AAC1519" s="886"/>
      <c r="AAD1519" s="886"/>
      <c r="AAE1519" s="886"/>
      <c r="AAF1519" s="886"/>
      <c r="AAG1519" s="886"/>
      <c r="AAH1519" s="886"/>
      <c r="AAI1519" s="886"/>
      <c r="AAJ1519" s="886"/>
      <c r="AAK1519" s="886"/>
      <c r="AAL1519" s="886"/>
      <c r="AAM1519" s="886"/>
      <c r="AAN1519" s="886"/>
      <c r="AAO1519" s="886"/>
      <c r="AAP1519" s="886"/>
      <c r="AAQ1519" s="886"/>
      <c r="AAR1519" s="886"/>
      <c r="AAS1519" s="886"/>
      <c r="AAT1519" s="886"/>
      <c r="AAU1519" s="886"/>
      <c r="AAV1519" s="886"/>
      <c r="AAW1519" s="886"/>
      <c r="AAX1519" s="886"/>
      <c r="AAY1519" s="886"/>
      <c r="AAZ1519" s="886"/>
      <c r="ABA1519" s="886"/>
      <c r="ABB1519" s="886"/>
      <c r="ABC1519" s="886"/>
      <c r="ABD1519" s="886"/>
      <c r="ABE1519" s="886"/>
      <c r="ABF1519" s="886"/>
      <c r="ABG1519" s="886"/>
      <c r="ABH1519" s="886"/>
      <c r="ABI1519" s="886"/>
      <c r="ABJ1519" s="886"/>
      <c r="ABK1519" s="886"/>
      <c r="ABL1519" s="886"/>
      <c r="ABM1519" s="886"/>
      <c r="ABN1519" s="886"/>
      <c r="ABO1519" s="886"/>
      <c r="ABP1519" s="886"/>
      <c r="ABQ1519" s="886"/>
      <c r="ABR1519" s="886"/>
      <c r="ABS1519" s="886"/>
      <c r="ABT1519" s="886"/>
      <c r="ABU1519" s="886"/>
      <c r="ABV1519" s="886"/>
      <c r="ABW1519" s="886"/>
      <c r="ABX1519" s="886"/>
      <c r="ABY1519" s="886"/>
      <c r="ABZ1519" s="886"/>
      <c r="ACA1519" s="886"/>
      <c r="ACB1519" s="886"/>
      <c r="ACC1519" s="886"/>
      <c r="ACD1519" s="886"/>
      <c r="ACE1519" s="886"/>
      <c r="ACF1519" s="886"/>
      <c r="ACG1519" s="886"/>
      <c r="ACH1519" s="886"/>
      <c r="ACI1519" s="886"/>
      <c r="ACJ1519" s="886"/>
      <c r="ACK1519" s="886"/>
      <c r="ACL1519" s="886"/>
      <c r="ACM1519" s="886"/>
      <c r="ACN1519" s="886"/>
      <c r="ACO1519" s="886"/>
      <c r="ACP1519" s="886"/>
      <c r="ACQ1519" s="886"/>
      <c r="ACR1519" s="886"/>
      <c r="ACS1519" s="886"/>
      <c r="ACT1519" s="886"/>
      <c r="ACU1519" s="886"/>
      <c r="ACV1519" s="886"/>
      <c r="ACW1519" s="886"/>
      <c r="ACX1519" s="886"/>
      <c r="ACY1519" s="886"/>
      <c r="ACZ1519" s="886"/>
      <c r="ADA1519" s="886"/>
      <c r="ADB1519" s="886"/>
      <c r="ADC1519" s="886"/>
      <c r="ADD1519" s="886"/>
      <c r="ADE1519" s="886"/>
      <c r="ADF1519" s="886"/>
      <c r="ADG1519" s="886"/>
      <c r="ADH1519" s="886"/>
      <c r="ADI1519" s="886"/>
      <c r="ADJ1519" s="886"/>
      <c r="ADK1519" s="886"/>
      <c r="ADL1519" s="886"/>
      <c r="ADM1519" s="886"/>
      <c r="ADN1519" s="886"/>
      <c r="ADO1519" s="886"/>
      <c r="ADP1519" s="886"/>
      <c r="ADQ1519" s="886"/>
      <c r="ADR1519" s="886"/>
      <c r="ADS1519" s="886"/>
      <c r="ADT1519" s="886"/>
      <c r="ADU1519" s="886"/>
      <c r="ADV1519" s="886"/>
      <c r="ADW1519" s="886"/>
      <c r="ADX1519" s="886"/>
      <c r="ADY1519" s="886"/>
      <c r="ADZ1519" s="886"/>
      <c r="AEA1519" s="886"/>
      <c r="AEB1519" s="886"/>
      <c r="AEC1519" s="886"/>
      <c r="AED1519" s="886"/>
      <c r="AEE1519" s="886"/>
      <c r="AEF1519" s="886"/>
      <c r="AEG1519" s="886"/>
      <c r="AEH1519" s="886"/>
      <c r="AEI1519" s="886"/>
      <c r="AEJ1519" s="886"/>
      <c r="AEK1519" s="886"/>
      <c r="AEL1519" s="886"/>
      <c r="AEM1519" s="886"/>
      <c r="AEN1519" s="886"/>
      <c r="AEO1519" s="886"/>
      <c r="AEP1519" s="886"/>
      <c r="AEQ1519" s="886"/>
      <c r="AER1519" s="886"/>
      <c r="AES1519" s="886"/>
      <c r="AET1519" s="886"/>
      <c r="AEU1519" s="886"/>
      <c r="AEV1519" s="886"/>
      <c r="AEW1519" s="886"/>
      <c r="AEX1519" s="886"/>
      <c r="AEY1519" s="886"/>
      <c r="AEZ1519" s="886"/>
      <c r="AFA1519" s="886"/>
      <c r="AFB1519" s="886"/>
      <c r="AFC1519" s="886"/>
      <c r="AFD1519" s="886"/>
      <c r="AFE1519" s="886"/>
      <c r="AFF1519" s="886"/>
      <c r="AFG1519" s="886"/>
      <c r="AFH1519" s="886"/>
      <c r="AFI1519" s="886"/>
      <c r="AFJ1519" s="886"/>
      <c r="AFK1519" s="886"/>
      <c r="AFL1519" s="886"/>
      <c r="AFM1519" s="886"/>
      <c r="AFN1519" s="886"/>
      <c r="AFO1519" s="886"/>
      <c r="AFP1519" s="886"/>
      <c r="AFQ1519" s="886"/>
      <c r="AFR1519" s="886"/>
      <c r="AFS1519" s="886"/>
      <c r="AFT1519" s="886"/>
      <c r="AFU1519" s="886"/>
      <c r="AFV1519" s="886"/>
      <c r="AFW1519" s="886"/>
      <c r="AFX1519" s="886"/>
      <c r="AFY1519" s="886"/>
      <c r="AFZ1519" s="886"/>
      <c r="AGA1519" s="886"/>
      <c r="AGB1519" s="886"/>
      <c r="AGC1519" s="886"/>
      <c r="AGD1519" s="886"/>
      <c r="AGE1519" s="886"/>
      <c r="AGF1519" s="886"/>
      <c r="AGG1519" s="886"/>
      <c r="AGH1519" s="886"/>
      <c r="AGI1519" s="886"/>
      <c r="AGJ1519" s="886"/>
      <c r="AGK1519" s="886"/>
      <c r="AGL1519" s="886"/>
      <c r="AGM1519" s="886"/>
      <c r="AGN1519" s="886"/>
      <c r="AGO1519" s="886"/>
      <c r="AGP1519" s="886"/>
      <c r="AGQ1519" s="886"/>
      <c r="AGR1519" s="886"/>
      <c r="AGS1519" s="886"/>
      <c r="AGT1519" s="886"/>
      <c r="AGU1519" s="886"/>
      <c r="AGV1519" s="886"/>
      <c r="AGW1519" s="886"/>
      <c r="AGX1519" s="886"/>
      <c r="AGY1519" s="886"/>
      <c r="AGZ1519" s="886"/>
      <c r="AHA1519" s="886"/>
      <c r="AHB1519" s="886"/>
      <c r="AHC1519" s="886"/>
      <c r="AHD1519" s="886"/>
      <c r="AHE1519" s="886"/>
      <c r="AHF1519" s="886"/>
      <c r="AHG1519" s="886"/>
      <c r="AHH1519" s="886"/>
      <c r="AHI1519" s="886"/>
      <c r="AHJ1519" s="886"/>
      <c r="AHK1519" s="886"/>
      <c r="AHL1519" s="886"/>
      <c r="AHM1519" s="886"/>
      <c r="AHN1519" s="886"/>
      <c r="AHO1519" s="886"/>
      <c r="AHP1519" s="886"/>
      <c r="AHQ1519" s="886"/>
      <c r="AHR1519" s="886"/>
      <c r="AHS1519" s="886"/>
      <c r="AHT1519" s="886"/>
      <c r="AHU1519" s="886"/>
      <c r="AHV1519" s="886"/>
      <c r="AHW1519" s="886"/>
      <c r="AHX1519" s="886"/>
      <c r="AHY1519" s="886"/>
      <c r="AHZ1519" s="886"/>
      <c r="AIA1519" s="886"/>
      <c r="AIB1519" s="886"/>
      <c r="AIC1519" s="886"/>
      <c r="AID1519" s="886"/>
      <c r="AIE1519" s="886"/>
      <c r="AIF1519" s="886"/>
      <c r="AIG1519" s="886"/>
      <c r="AIH1519" s="886"/>
      <c r="AII1519" s="886"/>
      <c r="AIJ1519" s="886"/>
      <c r="AIK1519" s="886"/>
      <c r="AIL1519" s="886"/>
      <c r="AIM1519" s="886"/>
      <c r="AIN1519" s="886"/>
      <c r="AIO1519" s="886"/>
      <c r="AIP1519" s="886"/>
      <c r="AIQ1519" s="886"/>
      <c r="AIR1519" s="886"/>
      <c r="AIS1519" s="886"/>
      <c r="AIT1519" s="886"/>
      <c r="AIU1519" s="886"/>
      <c r="AIV1519" s="886"/>
      <c r="AIW1519" s="886"/>
      <c r="AIX1519" s="886"/>
      <c r="AIY1519" s="886"/>
      <c r="AIZ1519" s="886"/>
      <c r="AJA1519" s="886"/>
      <c r="AJB1519" s="886"/>
      <c r="AJC1519" s="886"/>
      <c r="AJD1519" s="886"/>
      <c r="AJE1519" s="886"/>
      <c r="AJF1519" s="886"/>
      <c r="AJG1519" s="886"/>
      <c r="AJH1519" s="886"/>
      <c r="AJI1519" s="886"/>
      <c r="AJJ1519" s="886"/>
      <c r="AJK1519" s="886"/>
      <c r="AJL1519" s="886"/>
      <c r="AJM1519" s="886"/>
      <c r="AJN1519" s="886"/>
      <c r="AJO1519" s="886"/>
      <c r="AJP1519" s="886"/>
      <c r="AJQ1519" s="886"/>
      <c r="AJR1519" s="886"/>
      <c r="AJS1519" s="886"/>
      <c r="AJT1519" s="886"/>
      <c r="AJU1519" s="886"/>
      <c r="AJV1519" s="886"/>
      <c r="AJW1519" s="886"/>
      <c r="AJX1519" s="886"/>
      <c r="AJY1519" s="886"/>
      <c r="AJZ1519" s="886"/>
      <c r="AKA1519" s="886"/>
      <c r="AKB1519" s="886"/>
      <c r="AKC1519" s="886"/>
      <c r="AKD1519" s="886"/>
      <c r="AKE1519" s="886"/>
      <c r="AKF1519" s="886"/>
      <c r="AKG1519" s="886"/>
      <c r="AKH1519" s="886"/>
      <c r="AKI1519" s="886"/>
      <c r="AKJ1519" s="886"/>
      <c r="AKK1519" s="886"/>
      <c r="AKL1519" s="886"/>
      <c r="AKM1519" s="886"/>
      <c r="AKN1519" s="886"/>
      <c r="AKO1519" s="886"/>
      <c r="AKP1519" s="886"/>
      <c r="AKQ1519" s="886"/>
      <c r="AKR1519" s="886"/>
      <c r="AKS1519" s="886"/>
      <c r="AKT1519" s="886"/>
      <c r="AKU1519" s="886"/>
      <c r="AKV1519" s="886"/>
      <c r="AKW1519" s="886"/>
      <c r="AKX1519" s="886"/>
      <c r="AKY1519" s="886"/>
      <c r="AKZ1519" s="886"/>
      <c r="ALA1519" s="886"/>
      <c r="ALB1519" s="886"/>
      <c r="ALC1519" s="886"/>
      <c r="ALD1519" s="886"/>
      <c r="ALE1519" s="886"/>
      <c r="ALF1519" s="886"/>
      <c r="ALG1519" s="886"/>
      <c r="ALH1519" s="886"/>
      <c r="ALI1519" s="886"/>
      <c r="ALJ1519" s="886"/>
      <c r="ALK1519" s="886"/>
      <c r="ALL1519" s="886"/>
      <c r="ALM1519" s="886"/>
      <c r="ALN1519" s="886"/>
      <c r="ALO1519" s="886"/>
      <c r="ALP1519" s="886"/>
      <c r="ALQ1519" s="886"/>
      <c r="ALR1519" s="886"/>
      <c r="ALS1519" s="886"/>
      <c r="ALT1519" s="886"/>
      <c r="ALU1519" s="886"/>
      <c r="ALV1519" s="886"/>
      <c r="ALW1519" s="886"/>
      <c r="ALX1519" s="886"/>
      <c r="ALY1519" s="886"/>
      <c r="ALZ1519" s="886"/>
      <c r="AMA1519" s="886"/>
      <c r="AMB1519" s="886"/>
      <c r="AMC1519" s="886"/>
      <c r="AMD1519" s="886"/>
      <c r="AME1519" s="886"/>
      <c r="AMF1519" s="886"/>
      <c r="AMG1519" s="886"/>
      <c r="AMH1519" s="886"/>
      <c r="AMI1519" s="886"/>
      <c r="AMJ1519" s="886"/>
      <c r="AMK1519" s="886"/>
      <c r="AML1519" s="886"/>
      <c r="AMM1519" s="886"/>
      <c r="AMN1519" s="886"/>
      <c r="AMO1519" s="886"/>
      <c r="AMP1519" s="886"/>
      <c r="AMQ1519" s="886"/>
      <c r="AMR1519" s="886"/>
      <c r="AMS1519" s="886"/>
      <c r="AMT1519" s="886"/>
      <c r="AMU1519" s="886"/>
      <c r="AMV1519" s="886"/>
      <c r="AMW1519" s="886"/>
      <c r="AMX1519" s="886"/>
      <c r="AMY1519" s="886"/>
      <c r="AMZ1519" s="886"/>
      <c r="ANA1519" s="886"/>
      <c r="ANB1519" s="886"/>
      <c r="ANC1519" s="886"/>
      <c r="AND1519" s="886"/>
      <c r="ANE1519" s="886"/>
      <c r="ANF1519" s="886"/>
      <c r="ANG1519" s="886"/>
      <c r="ANH1519" s="886"/>
      <c r="ANI1519" s="886"/>
      <c r="ANJ1519" s="886"/>
      <c r="ANK1519" s="886"/>
      <c r="ANL1519" s="886"/>
      <c r="ANM1519" s="886"/>
      <c r="ANN1519" s="886"/>
      <c r="ANO1519" s="886"/>
      <c r="ANP1519" s="886"/>
      <c r="ANQ1519" s="886"/>
      <c r="ANR1519" s="886"/>
      <c r="ANS1519" s="886"/>
      <c r="ANT1519" s="886"/>
      <c r="ANU1519" s="886"/>
      <c r="ANV1519" s="886"/>
      <c r="ANW1519" s="886"/>
      <c r="ANX1519" s="886"/>
      <c r="ANY1519" s="886"/>
      <c r="ANZ1519" s="886"/>
      <c r="AOA1519" s="886"/>
      <c r="AOB1519" s="886"/>
      <c r="AOC1519" s="886"/>
      <c r="AOD1519" s="886"/>
      <c r="AOE1519" s="886"/>
      <c r="AOF1519" s="886"/>
      <c r="AOG1519" s="886"/>
      <c r="AOH1519" s="886"/>
      <c r="AOI1519" s="886"/>
      <c r="AOJ1519" s="886"/>
      <c r="AOK1519" s="886"/>
      <c r="AOL1519" s="886"/>
      <c r="AOM1519" s="886"/>
      <c r="AON1519" s="886"/>
      <c r="AOO1519" s="886"/>
      <c r="AOP1519" s="886"/>
      <c r="AOQ1519" s="886"/>
      <c r="AOR1519" s="886"/>
      <c r="AOS1519" s="886"/>
      <c r="AOT1519" s="886"/>
      <c r="AOU1519" s="886"/>
      <c r="AOV1519" s="886"/>
      <c r="AOW1519" s="886"/>
      <c r="AOX1519" s="886"/>
      <c r="AOY1519" s="886"/>
      <c r="AOZ1519" s="886"/>
      <c r="APA1519" s="886"/>
      <c r="APB1519" s="886"/>
      <c r="APC1519" s="886"/>
      <c r="APD1519" s="886"/>
      <c r="APE1519" s="886"/>
      <c r="APF1519" s="886"/>
      <c r="APG1519" s="886"/>
      <c r="APH1519" s="886"/>
      <c r="API1519" s="886"/>
      <c r="APJ1519" s="886"/>
      <c r="APK1519" s="886"/>
      <c r="APL1519" s="886"/>
      <c r="APM1519" s="886"/>
      <c r="APN1519" s="886"/>
      <c r="APO1519" s="886"/>
      <c r="APP1519" s="886"/>
      <c r="APQ1519" s="886"/>
      <c r="APR1519" s="886"/>
      <c r="APS1519" s="886"/>
      <c r="APT1519" s="886"/>
      <c r="APU1519" s="886"/>
      <c r="APV1519" s="886"/>
      <c r="APW1519" s="886"/>
      <c r="APX1519" s="886"/>
      <c r="APY1519" s="886"/>
      <c r="APZ1519" s="886"/>
      <c r="AQA1519" s="886"/>
      <c r="AQB1519" s="886"/>
      <c r="AQC1519" s="886"/>
      <c r="AQD1519" s="886"/>
      <c r="AQE1519" s="886"/>
      <c r="AQF1519" s="886"/>
      <c r="AQG1519" s="886"/>
      <c r="AQH1519" s="886"/>
      <c r="AQI1519" s="886"/>
      <c r="AQJ1519" s="886"/>
      <c r="AQK1519" s="886"/>
      <c r="AQL1519" s="886"/>
      <c r="AQM1519" s="886"/>
      <c r="AQN1519" s="886"/>
      <c r="AQO1519" s="886"/>
      <c r="AQP1519" s="886"/>
      <c r="AQQ1519" s="886"/>
      <c r="AQR1519" s="886"/>
      <c r="AQS1519" s="886"/>
      <c r="AQT1519" s="886"/>
      <c r="AQU1519" s="886"/>
      <c r="AQV1519" s="886"/>
      <c r="AQW1519" s="886"/>
      <c r="AQX1519" s="886"/>
      <c r="AQY1519" s="886"/>
      <c r="AQZ1519" s="886"/>
      <c r="ARA1519" s="886"/>
      <c r="ARB1519" s="886"/>
      <c r="ARC1519" s="886"/>
      <c r="ARD1519" s="886"/>
      <c r="ARE1519" s="886"/>
      <c r="ARF1519" s="886"/>
      <c r="ARG1519" s="886"/>
      <c r="ARH1519" s="886"/>
      <c r="ARI1519" s="886"/>
      <c r="ARJ1519" s="886"/>
      <c r="ARK1519" s="886"/>
      <c r="ARL1519" s="886"/>
      <c r="ARM1519" s="886"/>
      <c r="ARN1519" s="886"/>
      <c r="ARO1519" s="886"/>
      <c r="ARP1519" s="886"/>
      <c r="ARQ1519" s="886"/>
      <c r="ARR1519" s="886"/>
      <c r="ARS1519" s="886"/>
      <c r="ART1519" s="886"/>
      <c r="ARU1519" s="886"/>
      <c r="ARV1519" s="886"/>
      <c r="ARW1519" s="886"/>
      <c r="ARX1519" s="886"/>
      <c r="ARY1519" s="886"/>
      <c r="ARZ1519" s="886"/>
      <c r="ASA1519" s="886"/>
      <c r="ASB1519" s="886"/>
      <c r="ASC1519" s="886"/>
      <c r="ASD1519" s="886"/>
      <c r="ASE1519" s="886"/>
      <c r="ASF1519" s="886"/>
      <c r="ASG1519" s="886"/>
      <c r="ASH1519" s="886"/>
      <c r="ASI1519" s="886"/>
      <c r="ASJ1519" s="886"/>
      <c r="ASK1519" s="886"/>
      <c r="ASL1519" s="886"/>
      <c r="ASM1519" s="886"/>
      <c r="ASN1519" s="886"/>
      <c r="ASO1519" s="886"/>
      <c r="ASP1519" s="886"/>
      <c r="ASQ1519" s="886"/>
      <c r="ASR1519" s="886"/>
      <c r="ASS1519" s="886"/>
      <c r="AST1519" s="886"/>
      <c r="ASU1519" s="886"/>
      <c r="ASV1519" s="886"/>
      <c r="ASW1519" s="886"/>
      <c r="ASX1519" s="886"/>
      <c r="ASY1519" s="886"/>
      <c r="ASZ1519" s="886"/>
      <c r="ATA1519" s="886"/>
      <c r="ATB1519" s="886"/>
      <c r="ATC1519" s="886"/>
      <c r="ATD1519" s="886"/>
      <c r="ATE1519" s="886"/>
      <c r="ATF1519" s="886"/>
      <c r="ATG1519" s="886"/>
      <c r="ATH1519" s="886"/>
      <c r="ATI1519" s="886"/>
      <c r="ATJ1519" s="886"/>
      <c r="ATK1519" s="886"/>
      <c r="ATL1519" s="886"/>
      <c r="ATM1519" s="886"/>
      <c r="ATN1519" s="886"/>
      <c r="ATO1519" s="886"/>
      <c r="ATP1519" s="886"/>
      <c r="ATQ1519" s="886"/>
      <c r="ATR1519" s="886"/>
      <c r="ATS1519" s="886"/>
      <c r="ATT1519" s="886"/>
      <c r="ATU1519" s="886"/>
      <c r="ATV1519" s="886"/>
      <c r="ATW1519" s="886"/>
      <c r="ATX1519" s="886"/>
      <c r="ATY1519" s="886"/>
      <c r="ATZ1519" s="886"/>
      <c r="AUA1519" s="886"/>
      <c r="AUB1519" s="886"/>
      <c r="AUC1519" s="886"/>
      <c r="AUD1519" s="886"/>
      <c r="AUE1519" s="886"/>
      <c r="AUF1519" s="886"/>
      <c r="AUG1519" s="886"/>
      <c r="AUH1519" s="886"/>
      <c r="AUI1519" s="886"/>
      <c r="AUJ1519" s="886"/>
      <c r="AUK1519" s="886"/>
      <c r="AUL1519" s="886"/>
      <c r="AUM1519" s="886"/>
      <c r="AUN1519" s="886"/>
      <c r="AUO1519" s="886"/>
      <c r="AUP1519" s="886"/>
      <c r="AUQ1519" s="886"/>
      <c r="AUR1519" s="886"/>
      <c r="AUS1519" s="886"/>
      <c r="AUT1519" s="886"/>
      <c r="AUU1519" s="886"/>
      <c r="AUV1519" s="886"/>
      <c r="AUW1519" s="886"/>
      <c r="AUX1519" s="886"/>
      <c r="AUY1519" s="886"/>
      <c r="AUZ1519" s="886"/>
      <c r="AVA1519" s="886"/>
      <c r="AVB1519" s="886"/>
      <c r="AVC1519" s="886"/>
      <c r="AVD1519" s="886"/>
      <c r="AVE1519" s="886"/>
      <c r="AVF1519" s="886"/>
      <c r="AVG1519" s="886"/>
      <c r="AVH1519" s="886"/>
      <c r="AVI1519" s="886"/>
      <c r="AVJ1519" s="886"/>
      <c r="AVK1519" s="886"/>
      <c r="AVL1519" s="886"/>
      <c r="AVM1519" s="886"/>
      <c r="AVN1519" s="886"/>
      <c r="AVO1519" s="886"/>
      <c r="AVP1519" s="886"/>
      <c r="AVQ1519" s="886"/>
      <c r="AVR1519" s="886"/>
      <c r="AVS1519" s="886"/>
      <c r="AVT1519" s="886"/>
      <c r="AVU1519" s="886"/>
      <c r="AVV1519" s="886"/>
      <c r="AVW1519" s="886"/>
      <c r="AVX1519" s="886"/>
      <c r="AVY1519" s="886"/>
      <c r="AVZ1519" s="886"/>
      <c r="AWA1519" s="886"/>
      <c r="AWB1519" s="886"/>
      <c r="AWC1519" s="886"/>
      <c r="AWD1519" s="886"/>
      <c r="AWE1519" s="886"/>
      <c r="AWF1519" s="886"/>
      <c r="AWG1519" s="886"/>
      <c r="AWH1519" s="886"/>
      <c r="AWI1519" s="886"/>
      <c r="AWJ1519" s="886"/>
      <c r="AWK1519" s="886"/>
      <c r="AWL1519" s="886"/>
      <c r="AWM1519" s="886"/>
      <c r="AWN1519" s="886"/>
      <c r="AWO1519" s="886"/>
      <c r="AWP1519" s="886"/>
      <c r="AWQ1519" s="886"/>
      <c r="AWR1519" s="886"/>
      <c r="AWS1519" s="886"/>
      <c r="AWT1519" s="886"/>
      <c r="AWU1519" s="886"/>
      <c r="AWV1519" s="886"/>
      <c r="AWW1519" s="886"/>
      <c r="AWX1519" s="886"/>
      <c r="AWY1519" s="886"/>
      <c r="AWZ1519" s="886"/>
      <c r="AXA1519" s="886"/>
      <c r="AXB1519" s="886"/>
      <c r="AXC1519" s="886"/>
      <c r="AXD1519" s="886"/>
      <c r="AXE1519" s="886"/>
      <c r="AXF1519" s="886"/>
      <c r="AXG1519" s="886"/>
      <c r="AXH1519" s="886"/>
      <c r="AXI1519" s="886"/>
      <c r="AXJ1519" s="886"/>
      <c r="AXK1519" s="886"/>
      <c r="AXL1519" s="886"/>
      <c r="AXM1519" s="886"/>
      <c r="AXN1519" s="886"/>
      <c r="AXO1519" s="886"/>
      <c r="AXP1519" s="886"/>
      <c r="AXQ1519" s="886"/>
      <c r="AXR1519" s="886"/>
      <c r="AXS1519" s="886"/>
      <c r="AXT1519" s="886"/>
      <c r="AXU1519" s="886"/>
      <c r="AXV1519" s="886"/>
      <c r="AXW1519" s="886"/>
      <c r="AXX1519" s="886"/>
      <c r="AXY1519" s="886"/>
      <c r="AXZ1519" s="886"/>
      <c r="AYA1519" s="886"/>
      <c r="AYB1519" s="886"/>
      <c r="AYC1519" s="886"/>
      <c r="AYD1519" s="886"/>
      <c r="AYE1519" s="886"/>
      <c r="AYF1519" s="886"/>
      <c r="AYG1519" s="886"/>
      <c r="AYH1519" s="886"/>
      <c r="AYI1519" s="886"/>
      <c r="AYJ1519" s="886"/>
      <c r="AYK1519" s="886"/>
      <c r="AYL1519" s="886"/>
      <c r="AYM1519" s="886"/>
      <c r="AYN1519" s="886"/>
      <c r="AYO1519" s="886"/>
      <c r="AYP1519" s="886"/>
      <c r="AYQ1519" s="886"/>
      <c r="AYR1519" s="886"/>
      <c r="AYS1519" s="886"/>
      <c r="AYT1519" s="886"/>
      <c r="AYU1519" s="886"/>
      <c r="AYV1519" s="886"/>
      <c r="AYW1519" s="886"/>
      <c r="AYX1519" s="886"/>
      <c r="AYY1519" s="886"/>
      <c r="AYZ1519" s="886"/>
      <c r="AZA1519" s="886"/>
      <c r="AZB1519" s="886"/>
      <c r="AZC1519" s="886"/>
      <c r="AZD1519" s="886"/>
      <c r="AZE1519" s="886"/>
      <c r="AZF1519" s="886"/>
      <c r="AZG1519" s="886"/>
      <c r="AZH1519" s="886"/>
      <c r="AZI1519" s="886"/>
      <c r="AZJ1519" s="886"/>
      <c r="AZK1519" s="886"/>
      <c r="AZL1519" s="886"/>
      <c r="AZM1519" s="886"/>
      <c r="AZN1519" s="886"/>
      <c r="AZO1519" s="886"/>
      <c r="AZP1519" s="886"/>
      <c r="AZQ1519" s="886"/>
      <c r="AZR1519" s="886"/>
      <c r="AZS1519" s="886"/>
      <c r="AZT1519" s="886"/>
      <c r="AZU1519" s="886"/>
      <c r="AZV1519" s="886"/>
      <c r="AZW1519" s="886"/>
      <c r="AZX1519" s="886"/>
      <c r="AZY1519" s="886"/>
      <c r="AZZ1519" s="886"/>
      <c r="BAA1519" s="886"/>
      <c r="BAB1519" s="886"/>
      <c r="BAC1519" s="886"/>
      <c r="BAD1519" s="886"/>
      <c r="BAE1519" s="886"/>
      <c r="BAF1519" s="886"/>
      <c r="BAG1519" s="886"/>
      <c r="BAH1519" s="886"/>
      <c r="BAI1519" s="886"/>
      <c r="BAJ1519" s="886"/>
      <c r="BAK1519" s="886"/>
      <c r="BAL1519" s="886"/>
      <c r="BAM1519" s="886"/>
      <c r="BAN1519" s="886"/>
      <c r="BAO1519" s="886"/>
      <c r="BAP1519" s="886"/>
      <c r="BAQ1519" s="886"/>
      <c r="BAR1519" s="886"/>
      <c r="BAS1519" s="886"/>
      <c r="BAT1519" s="886"/>
      <c r="BAU1519" s="886"/>
      <c r="BAV1519" s="886"/>
      <c r="BAW1519" s="886"/>
      <c r="BAX1519" s="886"/>
      <c r="BAY1519" s="886"/>
      <c r="BAZ1519" s="886"/>
      <c r="BBA1519" s="886"/>
      <c r="BBB1519" s="886"/>
      <c r="BBC1519" s="886"/>
      <c r="BBD1519" s="886"/>
      <c r="BBE1519" s="886"/>
      <c r="BBF1519" s="886"/>
      <c r="BBG1519" s="886"/>
      <c r="BBH1519" s="886"/>
      <c r="BBI1519" s="886"/>
      <c r="BBJ1519" s="886"/>
      <c r="BBK1519" s="886"/>
      <c r="BBL1519" s="886"/>
      <c r="BBM1519" s="886"/>
      <c r="BBN1519" s="886"/>
      <c r="BBO1519" s="886"/>
      <c r="BBP1519" s="886"/>
      <c r="BBQ1519" s="886"/>
      <c r="BBR1519" s="886"/>
      <c r="BBS1519" s="886"/>
      <c r="BBT1519" s="886"/>
      <c r="BBU1519" s="886"/>
      <c r="BBV1519" s="886"/>
      <c r="BBW1519" s="886"/>
      <c r="BBX1519" s="886"/>
      <c r="BBY1519" s="886"/>
      <c r="BBZ1519" s="886"/>
      <c r="BCA1519" s="886"/>
      <c r="BCB1519" s="886"/>
      <c r="BCC1519" s="886"/>
      <c r="BCD1519" s="886"/>
      <c r="BCE1519" s="886"/>
      <c r="BCF1519" s="886"/>
      <c r="BCG1519" s="886"/>
      <c r="BCH1519" s="886"/>
      <c r="BCI1519" s="886"/>
      <c r="BCJ1519" s="886"/>
      <c r="BCK1519" s="886"/>
      <c r="BCL1519" s="886"/>
      <c r="BCM1519" s="886"/>
      <c r="BCN1519" s="886"/>
      <c r="BCO1519" s="886"/>
      <c r="BCP1519" s="886"/>
      <c r="BCQ1519" s="886"/>
      <c r="BCR1519" s="886"/>
      <c r="BCS1519" s="886"/>
      <c r="BCT1519" s="886"/>
      <c r="BCU1519" s="886"/>
      <c r="BCV1519" s="886"/>
      <c r="BCW1519" s="886"/>
      <c r="BCX1519" s="886"/>
      <c r="BCY1519" s="886"/>
      <c r="BCZ1519" s="886"/>
      <c r="BDA1519" s="886"/>
      <c r="BDB1519" s="886"/>
      <c r="BDC1519" s="886"/>
      <c r="BDD1519" s="886"/>
      <c r="BDE1519" s="886"/>
      <c r="BDF1519" s="886"/>
      <c r="BDG1519" s="886"/>
      <c r="BDH1519" s="886"/>
      <c r="BDI1519" s="886"/>
      <c r="BDJ1519" s="886"/>
      <c r="BDK1519" s="886"/>
      <c r="BDL1519" s="886"/>
      <c r="BDM1519" s="886"/>
      <c r="BDN1519" s="886"/>
      <c r="BDO1519" s="886"/>
      <c r="BDP1519" s="886"/>
      <c r="BDQ1519" s="886"/>
      <c r="BDR1519" s="886"/>
      <c r="BDS1519" s="886"/>
      <c r="BDT1519" s="886"/>
      <c r="BDU1519" s="886"/>
      <c r="BDV1519" s="886"/>
      <c r="BDW1519" s="886"/>
      <c r="BDX1519" s="886"/>
      <c r="BDY1519" s="886"/>
      <c r="BDZ1519" s="886"/>
      <c r="BEA1519" s="886"/>
      <c r="BEB1519" s="886"/>
      <c r="BEC1519" s="886"/>
      <c r="BED1519" s="886"/>
      <c r="BEE1519" s="886"/>
      <c r="BEF1519" s="886"/>
      <c r="BEG1519" s="886"/>
      <c r="BEH1519" s="886"/>
      <c r="BEI1519" s="886"/>
      <c r="BEJ1519" s="886"/>
      <c r="BEK1519" s="886"/>
      <c r="BEL1519" s="886"/>
      <c r="BEM1519" s="886"/>
      <c r="BEN1519" s="886"/>
      <c r="BEO1519" s="886"/>
      <c r="BEP1519" s="886"/>
      <c r="BEQ1519" s="886"/>
      <c r="BER1519" s="886"/>
      <c r="BES1519" s="886"/>
      <c r="BET1519" s="886"/>
      <c r="BEU1519" s="886"/>
      <c r="BEV1519" s="886"/>
      <c r="BEW1519" s="886"/>
      <c r="BEX1519" s="886"/>
      <c r="BEY1519" s="886"/>
      <c r="BEZ1519" s="886"/>
      <c r="BFA1519" s="886"/>
      <c r="BFB1519" s="886"/>
      <c r="BFC1519" s="886"/>
      <c r="BFD1519" s="886"/>
      <c r="BFE1519" s="886"/>
      <c r="BFF1519" s="886"/>
      <c r="BFG1519" s="886"/>
      <c r="BFH1519" s="886"/>
      <c r="BFI1519" s="886"/>
      <c r="BFJ1519" s="886"/>
      <c r="BFK1519" s="886"/>
      <c r="BFL1519" s="886"/>
      <c r="BFM1519" s="886"/>
      <c r="BFN1519" s="886"/>
      <c r="BFO1519" s="886"/>
      <c r="BFP1519" s="886"/>
      <c r="BFQ1519" s="886"/>
      <c r="BFR1519" s="886"/>
      <c r="BFS1519" s="886"/>
      <c r="BFT1519" s="886"/>
      <c r="BFU1519" s="886"/>
      <c r="BFV1519" s="886"/>
      <c r="BFW1519" s="886"/>
      <c r="BFX1519" s="886"/>
      <c r="BFY1519" s="886"/>
      <c r="BFZ1519" s="886"/>
      <c r="BGA1519" s="886"/>
      <c r="BGB1519" s="886"/>
      <c r="BGC1519" s="886"/>
      <c r="BGD1519" s="886"/>
      <c r="BGE1519" s="886"/>
      <c r="BGF1519" s="886"/>
      <c r="BGG1519" s="886"/>
      <c r="BGH1519" s="886"/>
      <c r="BGI1519" s="886"/>
      <c r="BGJ1519" s="886"/>
      <c r="BGK1519" s="886"/>
      <c r="BGL1519" s="886"/>
      <c r="BGM1519" s="886"/>
      <c r="BGN1519" s="886"/>
      <c r="BGO1519" s="886"/>
      <c r="BGP1519" s="886"/>
      <c r="BGQ1519" s="886"/>
      <c r="BGR1519" s="886"/>
      <c r="BGS1519" s="886"/>
      <c r="BGT1519" s="886"/>
      <c r="BGU1519" s="886"/>
      <c r="BGV1519" s="886"/>
      <c r="BGW1519" s="886"/>
      <c r="BGX1519" s="886"/>
      <c r="BGY1519" s="886"/>
      <c r="BGZ1519" s="886"/>
      <c r="BHA1519" s="886"/>
      <c r="BHB1519" s="886"/>
      <c r="BHC1519" s="886"/>
      <c r="BHD1519" s="886"/>
      <c r="BHE1519" s="886"/>
      <c r="BHF1519" s="886"/>
      <c r="BHG1519" s="886"/>
      <c r="BHH1519" s="886"/>
      <c r="BHI1519" s="886"/>
      <c r="BHJ1519" s="886"/>
      <c r="BHK1519" s="886"/>
      <c r="BHL1519" s="886"/>
      <c r="BHM1519" s="886"/>
      <c r="BHN1519" s="886"/>
      <c r="BHO1519" s="886"/>
      <c r="BHP1519" s="886"/>
      <c r="BHQ1519" s="886"/>
      <c r="BHR1519" s="886"/>
      <c r="BHS1519" s="886"/>
      <c r="BHT1519" s="886"/>
      <c r="BHU1519" s="886"/>
      <c r="BHV1519" s="886"/>
      <c r="BHW1519" s="886"/>
      <c r="BHX1519" s="886"/>
      <c r="BHY1519" s="886"/>
      <c r="BHZ1519" s="886"/>
      <c r="BIA1519" s="886"/>
      <c r="BIB1519" s="886"/>
      <c r="BIC1519" s="886"/>
      <c r="BID1519" s="886"/>
      <c r="BIE1519" s="886"/>
      <c r="BIF1519" s="886"/>
      <c r="BIG1519" s="886"/>
      <c r="BIH1519" s="886"/>
      <c r="BII1519" s="886"/>
      <c r="BIJ1519" s="886"/>
      <c r="BIK1519" s="886"/>
      <c r="BIL1519" s="886"/>
      <c r="BIM1519" s="886"/>
      <c r="BIN1519" s="886"/>
      <c r="BIO1519" s="886"/>
      <c r="BIP1519" s="886"/>
      <c r="BIQ1519" s="886"/>
      <c r="BIR1519" s="886"/>
      <c r="BIS1519" s="886"/>
      <c r="BIT1519" s="886"/>
      <c r="BIU1519" s="886"/>
      <c r="BIV1519" s="886"/>
      <c r="BIW1519" s="886"/>
      <c r="BIX1519" s="886"/>
      <c r="BIY1519" s="886"/>
      <c r="BIZ1519" s="886"/>
      <c r="BJA1519" s="886"/>
      <c r="BJB1519" s="886"/>
      <c r="BJC1519" s="886"/>
      <c r="BJD1519" s="886"/>
      <c r="BJE1519" s="886"/>
      <c r="BJF1519" s="886"/>
      <c r="BJG1519" s="886"/>
      <c r="BJH1519" s="886"/>
      <c r="BJI1519" s="886"/>
      <c r="BJJ1519" s="886"/>
      <c r="BJK1519" s="886"/>
      <c r="BJL1519" s="886"/>
      <c r="BJM1519" s="886"/>
      <c r="BJN1519" s="886"/>
      <c r="BJO1519" s="886"/>
      <c r="BJP1519" s="886"/>
      <c r="BJQ1519" s="886"/>
      <c r="BJR1519" s="886"/>
      <c r="BJS1519" s="886"/>
      <c r="BJT1519" s="886"/>
      <c r="BJU1519" s="886"/>
      <c r="BJV1519" s="886"/>
      <c r="BJW1519" s="886"/>
      <c r="BJX1519" s="886"/>
      <c r="BJY1519" s="886"/>
      <c r="BJZ1519" s="886"/>
      <c r="BKA1519" s="886"/>
      <c r="BKB1519" s="886"/>
      <c r="BKC1519" s="886"/>
      <c r="BKD1519" s="886"/>
      <c r="BKE1519" s="886"/>
      <c r="BKF1519" s="886"/>
      <c r="BKG1519" s="886"/>
      <c r="BKH1519" s="886"/>
      <c r="BKI1519" s="886"/>
      <c r="BKJ1519" s="886"/>
      <c r="BKK1519" s="886"/>
      <c r="BKL1519" s="886"/>
      <c r="BKM1519" s="886"/>
      <c r="BKN1519" s="886"/>
      <c r="BKO1519" s="886"/>
      <c r="BKP1519" s="886"/>
      <c r="BKQ1519" s="886"/>
      <c r="BKR1519" s="886"/>
      <c r="BKS1519" s="886"/>
      <c r="BKT1519" s="886"/>
      <c r="BKU1519" s="886"/>
      <c r="BKV1519" s="886"/>
      <c r="BKW1519" s="886"/>
      <c r="BKX1519" s="886"/>
      <c r="BKY1519" s="886"/>
      <c r="BKZ1519" s="886"/>
      <c r="BLA1519" s="886"/>
      <c r="BLB1519" s="886"/>
      <c r="BLC1519" s="886"/>
      <c r="BLD1519" s="886"/>
      <c r="BLE1519" s="886"/>
      <c r="BLF1519" s="886"/>
      <c r="BLG1519" s="886"/>
      <c r="BLH1519" s="886"/>
      <c r="BLI1519" s="886"/>
      <c r="BLJ1519" s="886"/>
      <c r="BLK1519" s="886"/>
      <c r="BLL1519" s="886"/>
      <c r="BLM1519" s="886"/>
      <c r="BLN1519" s="886"/>
      <c r="BLO1519" s="886"/>
      <c r="BLP1519" s="886"/>
      <c r="BLQ1519" s="886"/>
      <c r="BLR1519" s="886"/>
      <c r="BLS1519" s="886"/>
      <c r="BLT1519" s="886"/>
      <c r="BLU1519" s="886"/>
      <c r="BLV1519" s="886"/>
      <c r="BLW1519" s="886"/>
      <c r="BLX1519" s="886"/>
      <c r="BLY1519" s="886"/>
      <c r="BLZ1519" s="886"/>
      <c r="BMA1519" s="886"/>
      <c r="BMB1519" s="886"/>
      <c r="BMC1519" s="886"/>
      <c r="BMD1519" s="886"/>
      <c r="BME1519" s="886"/>
      <c r="BMF1519" s="886"/>
      <c r="BMG1519" s="886"/>
      <c r="BMH1519" s="886"/>
      <c r="BMI1519" s="886"/>
      <c r="BMJ1519" s="886"/>
      <c r="BMK1519" s="886"/>
      <c r="BML1519" s="886"/>
      <c r="BMM1519" s="886"/>
      <c r="BMN1519" s="886"/>
      <c r="BMO1519" s="886"/>
      <c r="BMP1519" s="886"/>
      <c r="BMQ1519" s="886"/>
      <c r="BMR1519" s="886"/>
      <c r="BMS1519" s="886"/>
      <c r="BMT1519" s="886"/>
      <c r="BMU1519" s="886"/>
      <c r="BMV1519" s="886"/>
      <c r="BMW1519" s="886"/>
      <c r="BMX1519" s="886"/>
      <c r="BMY1519" s="886"/>
      <c r="BMZ1519" s="886"/>
      <c r="BNA1519" s="886"/>
      <c r="BNB1519" s="886"/>
      <c r="BNC1519" s="886"/>
      <c r="BND1519" s="886"/>
      <c r="BNE1519" s="886"/>
      <c r="BNF1519" s="886"/>
      <c r="BNG1519" s="886"/>
      <c r="BNH1519" s="886"/>
      <c r="BNI1519" s="886"/>
      <c r="BNJ1519" s="886"/>
      <c r="BNK1519" s="886"/>
      <c r="BNL1519" s="886"/>
      <c r="BNM1519" s="886"/>
      <c r="BNN1519" s="886"/>
      <c r="BNO1519" s="886"/>
      <c r="BNP1519" s="886"/>
      <c r="BNQ1519" s="886"/>
      <c r="BNR1519" s="886"/>
      <c r="BNS1519" s="886"/>
      <c r="BNT1519" s="886"/>
      <c r="BNU1519" s="886"/>
      <c r="BNV1519" s="886"/>
      <c r="BNW1519" s="886"/>
      <c r="BNX1519" s="886"/>
      <c r="BNY1519" s="886"/>
      <c r="BNZ1519" s="886"/>
      <c r="BOA1519" s="886"/>
      <c r="BOB1519" s="886"/>
      <c r="BOC1519" s="886"/>
      <c r="BOD1519" s="886"/>
      <c r="BOE1519" s="886"/>
      <c r="BOF1519" s="886"/>
      <c r="BOG1519" s="886"/>
      <c r="BOH1519" s="886"/>
      <c r="BOI1519" s="886"/>
      <c r="BOJ1519" s="886"/>
      <c r="BOK1519" s="886"/>
      <c r="BOL1519" s="886"/>
      <c r="BOM1519" s="886"/>
      <c r="BON1519" s="886"/>
      <c r="BOO1519" s="886"/>
      <c r="BOP1519" s="886"/>
      <c r="BOQ1519" s="886"/>
      <c r="BOR1519" s="886"/>
      <c r="BOS1519" s="886"/>
      <c r="BOT1519" s="886"/>
      <c r="BOU1519" s="886"/>
      <c r="BOV1519" s="886"/>
      <c r="BOW1519" s="886"/>
      <c r="BOX1519" s="886"/>
      <c r="BOY1519" s="886"/>
      <c r="BOZ1519" s="886"/>
      <c r="BPA1519" s="886"/>
      <c r="BPB1519" s="886"/>
      <c r="BPC1519" s="886"/>
      <c r="BPD1519" s="886"/>
      <c r="BPE1519" s="886"/>
      <c r="BPF1519" s="886"/>
      <c r="BPG1519" s="886"/>
      <c r="BPH1519" s="886"/>
      <c r="BPI1519" s="886"/>
      <c r="BPJ1519" s="886"/>
      <c r="BPK1519" s="886"/>
      <c r="BPL1519" s="886"/>
      <c r="BPM1519" s="886"/>
      <c r="BPN1519" s="886"/>
      <c r="BPO1519" s="886"/>
      <c r="BPP1519" s="886"/>
      <c r="BPQ1519" s="886"/>
      <c r="BPR1519" s="886"/>
      <c r="BPS1519" s="886"/>
      <c r="BPT1519" s="886"/>
      <c r="BPU1519" s="886"/>
      <c r="BPV1519" s="886"/>
      <c r="BPW1519" s="886"/>
      <c r="BPX1519" s="886"/>
      <c r="BPY1519" s="886"/>
      <c r="BPZ1519" s="886"/>
      <c r="BQA1519" s="886"/>
      <c r="BQB1519" s="886"/>
      <c r="BQC1519" s="886"/>
      <c r="BQD1519" s="886"/>
      <c r="BQE1519" s="886"/>
      <c r="BQF1519" s="886"/>
      <c r="BQG1519" s="886"/>
      <c r="BQH1519" s="886"/>
      <c r="BQI1519" s="886"/>
      <c r="BQJ1519" s="886"/>
      <c r="BQK1519" s="886"/>
      <c r="BQL1519" s="886"/>
      <c r="BQM1519" s="886"/>
      <c r="BQN1519" s="886"/>
      <c r="BQO1519" s="886"/>
      <c r="BQP1519" s="886"/>
      <c r="BQQ1519" s="886"/>
      <c r="BQR1519" s="886"/>
      <c r="BQS1519" s="886"/>
      <c r="BQT1519" s="886"/>
      <c r="BQU1519" s="886"/>
      <c r="BQV1519" s="886"/>
      <c r="BQW1519" s="886"/>
      <c r="BQX1519" s="886"/>
      <c r="BQY1519" s="886"/>
      <c r="BQZ1519" s="886"/>
      <c r="BRA1519" s="886"/>
      <c r="BRB1519" s="886"/>
      <c r="BRC1519" s="886"/>
      <c r="BRD1519" s="886"/>
      <c r="BRE1519" s="886"/>
      <c r="BRF1519" s="886"/>
      <c r="BRG1519" s="886"/>
      <c r="BRH1519" s="886"/>
      <c r="BRI1519" s="886"/>
      <c r="BRJ1519" s="886"/>
      <c r="BRK1519" s="886"/>
      <c r="BRL1519" s="886"/>
      <c r="BRM1519" s="886"/>
      <c r="BRN1519" s="886"/>
      <c r="BRO1519" s="886"/>
      <c r="BRP1519" s="886"/>
      <c r="BRQ1519" s="886"/>
      <c r="BRR1519" s="886"/>
      <c r="BRS1519" s="886"/>
      <c r="BRT1519" s="886"/>
      <c r="BRU1519" s="886"/>
      <c r="BRV1519" s="886"/>
      <c r="BRW1519" s="886"/>
      <c r="BRX1519" s="886"/>
      <c r="BRY1519" s="886"/>
      <c r="BRZ1519" s="886"/>
      <c r="BSA1519" s="886"/>
      <c r="BSB1519" s="886"/>
      <c r="BSC1519" s="886"/>
      <c r="BSD1519" s="886"/>
      <c r="BSE1519" s="886"/>
      <c r="BSF1519" s="886"/>
      <c r="BSG1519" s="886"/>
      <c r="BSH1519" s="886"/>
      <c r="BSI1519" s="886"/>
      <c r="BSJ1519" s="886"/>
      <c r="BSK1519" s="886"/>
      <c r="BSL1519" s="886"/>
      <c r="BSM1519" s="886"/>
      <c r="BSN1519" s="886"/>
      <c r="BSO1519" s="886"/>
      <c r="BSP1519" s="886"/>
      <c r="BSQ1519" s="886"/>
      <c r="BSR1519" s="886"/>
      <c r="BSS1519" s="886"/>
      <c r="BST1519" s="886"/>
      <c r="BSU1519" s="886"/>
      <c r="BSV1519" s="886"/>
      <c r="BSW1519" s="886"/>
      <c r="BSX1519" s="886"/>
      <c r="BSY1519" s="886"/>
      <c r="BSZ1519" s="886"/>
      <c r="BTA1519" s="886"/>
      <c r="BTB1519" s="886"/>
      <c r="BTC1519" s="886"/>
      <c r="BTD1519" s="886"/>
      <c r="BTE1519" s="886"/>
      <c r="BTF1519" s="886"/>
      <c r="BTG1519" s="886"/>
      <c r="BTH1519" s="886"/>
      <c r="BTI1519" s="886"/>
      <c r="BTJ1519" s="886"/>
      <c r="BTK1519" s="886"/>
      <c r="BTL1519" s="886"/>
      <c r="BTM1519" s="886"/>
      <c r="BTN1519" s="886"/>
      <c r="BTO1519" s="886"/>
      <c r="BTP1519" s="886"/>
      <c r="BTQ1519" s="886"/>
      <c r="BTR1519" s="886"/>
      <c r="BTS1519" s="886"/>
      <c r="BTT1519" s="886"/>
      <c r="BTU1519" s="886"/>
      <c r="BTV1519" s="886"/>
      <c r="BTW1519" s="886"/>
      <c r="BTX1519" s="886"/>
      <c r="BTY1519" s="886"/>
      <c r="BTZ1519" s="886"/>
      <c r="BUA1519" s="886"/>
      <c r="BUB1519" s="886"/>
      <c r="BUC1519" s="886"/>
      <c r="BUD1519" s="886"/>
      <c r="BUE1519" s="886"/>
      <c r="BUF1519" s="886"/>
      <c r="BUG1519" s="886"/>
      <c r="BUH1519" s="886"/>
      <c r="BUI1519" s="886"/>
      <c r="BUJ1519" s="886"/>
      <c r="BUK1519" s="886"/>
      <c r="BUL1519" s="886"/>
      <c r="BUM1519" s="886"/>
      <c r="BUN1519" s="886"/>
      <c r="BUO1519" s="886"/>
      <c r="BUP1519" s="886"/>
      <c r="BUQ1519" s="886"/>
      <c r="BUR1519" s="886"/>
      <c r="BUS1519" s="886"/>
      <c r="BUT1519" s="886"/>
      <c r="BUU1519" s="886"/>
      <c r="BUV1519" s="886"/>
      <c r="BUW1519" s="886"/>
      <c r="BUX1519" s="886"/>
      <c r="BUY1519" s="886"/>
      <c r="BUZ1519" s="886"/>
      <c r="BVA1519" s="886"/>
      <c r="BVB1519" s="886"/>
      <c r="BVC1519" s="886"/>
      <c r="BVD1519" s="886"/>
      <c r="BVE1519" s="886"/>
      <c r="BVF1519" s="886"/>
      <c r="BVG1519" s="886"/>
      <c r="BVH1519" s="886"/>
      <c r="BVI1519" s="886"/>
      <c r="BVJ1519" s="886"/>
      <c r="BVK1519" s="886"/>
      <c r="BVL1519" s="886"/>
      <c r="BVM1519" s="886"/>
      <c r="BVN1519" s="886"/>
      <c r="BVO1519" s="886"/>
      <c r="BVP1519" s="886"/>
      <c r="BVQ1519" s="886"/>
      <c r="BVR1519" s="886"/>
      <c r="BVS1519" s="886"/>
      <c r="BVT1519" s="886"/>
      <c r="BVU1519" s="886"/>
      <c r="BVV1519" s="886"/>
      <c r="BVW1519" s="886"/>
      <c r="BVX1519" s="886"/>
      <c r="BVY1519" s="886"/>
      <c r="BVZ1519" s="886"/>
      <c r="BWA1519" s="886"/>
      <c r="BWB1519" s="886"/>
      <c r="BWC1519" s="886"/>
      <c r="BWD1519" s="886"/>
      <c r="BWE1519" s="886"/>
      <c r="BWF1519" s="886"/>
      <c r="BWG1519" s="886"/>
      <c r="BWH1519" s="886"/>
      <c r="BWI1519" s="886"/>
      <c r="BWJ1519" s="886"/>
      <c r="BWK1519" s="886"/>
      <c r="BWL1519" s="886"/>
      <c r="BWM1519" s="886"/>
      <c r="BWN1519" s="886"/>
      <c r="BWO1519" s="886"/>
      <c r="BWP1519" s="886"/>
      <c r="BWQ1519" s="886"/>
      <c r="BWR1519" s="886"/>
      <c r="BWS1519" s="886"/>
      <c r="BWT1519" s="886"/>
      <c r="BWU1519" s="886"/>
      <c r="BWV1519" s="886"/>
      <c r="BWW1519" s="886"/>
      <c r="BWX1519" s="886"/>
      <c r="BWY1519" s="886"/>
      <c r="BWZ1519" s="886"/>
      <c r="BXA1519" s="886"/>
      <c r="BXB1519" s="886"/>
      <c r="BXC1519" s="886"/>
      <c r="BXD1519" s="886"/>
      <c r="BXE1519" s="886"/>
      <c r="BXF1519" s="886"/>
      <c r="BXG1519" s="886"/>
      <c r="BXH1519" s="886"/>
      <c r="BXI1519" s="886"/>
      <c r="BXJ1519" s="886"/>
      <c r="BXK1519" s="886"/>
      <c r="BXL1519" s="886"/>
      <c r="BXM1519" s="886"/>
      <c r="BXN1519" s="886"/>
      <c r="BXO1519" s="886"/>
      <c r="BXP1519" s="886"/>
      <c r="BXQ1519" s="886"/>
      <c r="BXR1519" s="886"/>
      <c r="BXS1519" s="886"/>
      <c r="BXT1519" s="886"/>
      <c r="BXU1519" s="886"/>
      <c r="BXV1519" s="886"/>
      <c r="BXW1519" s="886"/>
      <c r="BXX1519" s="886"/>
      <c r="BXY1519" s="886"/>
      <c r="BXZ1519" s="886"/>
      <c r="BYA1519" s="886"/>
      <c r="BYB1519" s="886"/>
      <c r="BYC1519" s="886"/>
      <c r="BYD1519" s="886"/>
      <c r="BYE1519" s="886"/>
      <c r="BYF1519" s="886"/>
      <c r="BYG1519" s="886"/>
      <c r="BYH1519" s="886"/>
      <c r="BYI1519" s="886"/>
      <c r="BYJ1519" s="886"/>
      <c r="BYK1519" s="886"/>
      <c r="BYL1519" s="886"/>
      <c r="BYM1519" s="886"/>
      <c r="BYN1519" s="886"/>
      <c r="BYO1519" s="886"/>
      <c r="BYP1519" s="886"/>
      <c r="BYQ1519" s="886"/>
      <c r="BYR1519" s="886"/>
      <c r="BYS1519" s="886"/>
      <c r="BYT1519" s="886"/>
      <c r="BYU1519" s="886"/>
      <c r="BYV1519" s="886"/>
      <c r="BYW1519" s="886"/>
      <c r="BYX1519" s="886"/>
      <c r="BYY1519" s="886"/>
      <c r="BYZ1519" s="886"/>
      <c r="BZA1519" s="886"/>
      <c r="BZB1519" s="886"/>
      <c r="BZC1519" s="886"/>
      <c r="BZD1519" s="886"/>
      <c r="BZE1519" s="886"/>
      <c r="BZF1519" s="886"/>
      <c r="BZG1519" s="886"/>
      <c r="BZH1519" s="886"/>
      <c r="BZI1519" s="886"/>
      <c r="BZJ1519" s="886"/>
      <c r="BZK1519" s="886"/>
      <c r="BZL1519" s="886"/>
      <c r="BZM1519" s="886"/>
      <c r="BZN1519" s="886"/>
      <c r="BZO1519" s="886"/>
      <c r="BZP1519" s="886"/>
      <c r="BZQ1519" s="886"/>
      <c r="BZR1519" s="886"/>
      <c r="BZS1519" s="886"/>
      <c r="BZT1519" s="886"/>
      <c r="BZU1519" s="886"/>
      <c r="BZV1519" s="886"/>
      <c r="BZW1519" s="886"/>
      <c r="BZX1519" s="886"/>
      <c r="BZY1519" s="886"/>
      <c r="BZZ1519" s="886"/>
      <c r="CAA1519" s="886"/>
      <c r="CAB1519" s="886"/>
      <c r="CAC1519" s="886"/>
      <c r="CAD1519" s="886"/>
      <c r="CAE1519" s="886"/>
      <c r="CAF1519" s="886"/>
      <c r="CAG1519" s="886"/>
      <c r="CAH1519" s="886"/>
      <c r="CAI1519" s="886"/>
      <c r="CAJ1519" s="886"/>
      <c r="CAK1519" s="886"/>
      <c r="CAL1519" s="886"/>
      <c r="CAM1519" s="886"/>
      <c r="CAN1519" s="886"/>
      <c r="CAO1519" s="886"/>
      <c r="CAP1519" s="886"/>
      <c r="CAQ1519" s="886"/>
      <c r="CAR1519" s="886"/>
      <c r="CAS1519" s="886"/>
      <c r="CAT1519" s="886"/>
      <c r="CAU1519" s="886"/>
      <c r="CAV1519" s="886"/>
      <c r="CAW1519" s="886"/>
      <c r="CAX1519" s="886"/>
      <c r="CAY1519" s="886"/>
      <c r="CAZ1519" s="886"/>
      <c r="CBA1519" s="886"/>
      <c r="CBB1519" s="886"/>
      <c r="CBC1519" s="886"/>
      <c r="CBD1519" s="886"/>
      <c r="CBE1519" s="886"/>
      <c r="CBF1519" s="886"/>
      <c r="CBG1519" s="886"/>
      <c r="CBH1519" s="886"/>
      <c r="CBI1519" s="886"/>
      <c r="CBJ1519" s="886"/>
      <c r="CBK1519" s="886"/>
      <c r="CBL1519" s="886"/>
      <c r="CBM1519" s="886"/>
      <c r="CBN1519" s="886"/>
      <c r="CBO1519" s="886"/>
      <c r="CBP1519" s="886"/>
      <c r="CBQ1519" s="886"/>
      <c r="CBR1519" s="886"/>
      <c r="CBS1519" s="886"/>
      <c r="CBT1519" s="886"/>
      <c r="CBU1519" s="886"/>
      <c r="CBV1519" s="886"/>
      <c r="CBW1519" s="886"/>
      <c r="CBX1519" s="886"/>
      <c r="CBY1519" s="886"/>
      <c r="CBZ1519" s="886"/>
      <c r="CCA1519" s="886"/>
      <c r="CCB1519" s="886"/>
      <c r="CCC1519" s="886"/>
      <c r="CCD1519" s="886"/>
      <c r="CCE1519" s="886"/>
      <c r="CCF1519" s="886"/>
      <c r="CCG1519" s="886"/>
      <c r="CCH1519" s="886"/>
      <c r="CCI1519" s="886"/>
      <c r="CCJ1519" s="886"/>
      <c r="CCK1519" s="886"/>
      <c r="CCL1519" s="886"/>
      <c r="CCM1519" s="886"/>
      <c r="CCN1519" s="886"/>
      <c r="CCO1519" s="886"/>
      <c r="CCP1519" s="886"/>
      <c r="CCQ1519" s="886"/>
      <c r="CCR1519" s="886"/>
      <c r="CCS1519" s="886"/>
      <c r="CCT1519" s="886"/>
      <c r="CCU1519" s="886"/>
      <c r="CCV1519" s="886"/>
      <c r="CCW1519" s="886"/>
      <c r="CCX1519" s="886"/>
      <c r="CCY1519" s="886"/>
      <c r="CCZ1519" s="886"/>
      <c r="CDA1519" s="886"/>
      <c r="CDB1519" s="886"/>
      <c r="CDC1519" s="886"/>
      <c r="CDD1519" s="886"/>
      <c r="CDE1519" s="886"/>
      <c r="CDF1519" s="886"/>
      <c r="CDG1519" s="886"/>
      <c r="CDH1519" s="886"/>
      <c r="CDI1519" s="886"/>
      <c r="CDJ1519" s="886"/>
      <c r="CDK1519" s="886"/>
      <c r="CDL1519" s="886"/>
      <c r="CDM1519" s="886"/>
      <c r="CDN1519" s="886"/>
      <c r="CDO1519" s="886"/>
      <c r="CDP1519" s="886"/>
      <c r="CDQ1519" s="886"/>
      <c r="CDR1519" s="886"/>
      <c r="CDS1519" s="886"/>
      <c r="CDT1519" s="886"/>
      <c r="CDU1519" s="886"/>
      <c r="CDV1519" s="886"/>
      <c r="CDW1519" s="886"/>
      <c r="CDX1519" s="886"/>
      <c r="CDY1519" s="886"/>
      <c r="CDZ1519" s="886"/>
      <c r="CEA1519" s="886"/>
      <c r="CEB1519" s="886"/>
      <c r="CEC1519" s="886"/>
      <c r="CED1519" s="886"/>
      <c r="CEE1519" s="886"/>
      <c r="CEF1519" s="886"/>
      <c r="CEG1519" s="886"/>
      <c r="CEH1519" s="886"/>
      <c r="CEI1519" s="886"/>
      <c r="CEJ1519" s="886"/>
      <c r="CEK1519" s="886"/>
      <c r="CEL1519" s="886"/>
      <c r="CEM1519" s="886"/>
      <c r="CEN1519" s="886"/>
      <c r="CEO1519" s="886"/>
      <c r="CEP1519" s="886"/>
      <c r="CEQ1519" s="886"/>
      <c r="CER1519" s="886"/>
      <c r="CES1519" s="886"/>
      <c r="CET1519" s="886"/>
      <c r="CEU1519" s="886"/>
      <c r="CEV1519" s="886"/>
      <c r="CEW1519" s="886"/>
      <c r="CEX1519" s="886"/>
      <c r="CEY1519" s="886"/>
      <c r="CEZ1519" s="886"/>
      <c r="CFA1519" s="886"/>
      <c r="CFB1519" s="886"/>
      <c r="CFC1519" s="886"/>
      <c r="CFD1519" s="886"/>
      <c r="CFE1519" s="886"/>
      <c r="CFF1519" s="886"/>
      <c r="CFG1519" s="886"/>
      <c r="CFH1519" s="886"/>
      <c r="CFI1519" s="886"/>
      <c r="CFJ1519" s="886"/>
      <c r="CFK1519" s="886"/>
      <c r="CFL1519" s="886"/>
      <c r="CFM1519" s="886"/>
      <c r="CFN1519" s="886"/>
      <c r="CFO1519" s="886"/>
      <c r="CFP1519" s="886"/>
      <c r="CFQ1519" s="886"/>
      <c r="CFR1519" s="886"/>
      <c r="CFS1519" s="886"/>
      <c r="CFT1519" s="886"/>
      <c r="CFU1519" s="886"/>
      <c r="CFV1519" s="886"/>
      <c r="CFW1519" s="886"/>
      <c r="CFX1519" s="886"/>
      <c r="CFY1519" s="886"/>
      <c r="CFZ1519" s="886"/>
      <c r="CGA1519" s="886"/>
      <c r="CGB1519" s="886"/>
      <c r="CGC1519" s="886"/>
      <c r="CGD1519" s="886"/>
      <c r="CGE1519" s="886"/>
      <c r="CGF1519" s="886"/>
      <c r="CGG1519" s="886"/>
      <c r="CGH1519" s="886"/>
      <c r="CGI1519" s="886"/>
      <c r="CGJ1519" s="886"/>
      <c r="CGK1519" s="886"/>
      <c r="CGL1519" s="886"/>
      <c r="CGM1519" s="886"/>
      <c r="CGN1519" s="886"/>
      <c r="CGO1519" s="886"/>
      <c r="CGP1519" s="886"/>
      <c r="CGQ1519" s="886"/>
      <c r="CGR1519" s="886"/>
      <c r="CGS1519" s="886"/>
      <c r="CGT1519" s="886"/>
      <c r="CGU1519" s="886"/>
      <c r="CGV1519" s="886"/>
      <c r="CGW1519" s="886"/>
      <c r="CGX1519" s="886"/>
      <c r="CGY1519" s="886"/>
      <c r="CGZ1519" s="886"/>
      <c r="CHA1519" s="886"/>
      <c r="CHB1519" s="886"/>
      <c r="CHC1519" s="886"/>
      <c r="CHD1519" s="886"/>
      <c r="CHE1519" s="886"/>
      <c r="CHF1519" s="886"/>
      <c r="CHG1519" s="886"/>
      <c r="CHH1519" s="886"/>
      <c r="CHI1519" s="886"/>
      <c r="CHJ1519" s="886"/>
      <c r="CHK1519" s="886"/>
      <c r="CHL1519" s="886"/>
      <c r="CHM1519" s="886"/>
      <c r="CHN1519" s="886"/>
      <c r="CHO1519" s="886"/>
      <c r="CHP1519" s="886"/>
      <c r="CHQ1519" s="886"/>
      <c r="CHR1519" s="886"/>
      <c r="CHS1519" s="886"/>
      <c r="CHT1519" s="886"/>
      <c r="CHU1519" s="886"/>
      <c r="CHV1519" s="886"/>
      <c r="CHW1519" s="886"/>
      <c r="CHX1519" s="886"/>
      <c r="CHY1519" s="886"/>
      <c r="CHZ1519" s="886"/>
      <c r="CIA1519" s="886"/>
      <c r="CIB1519" s="886"/>
      <c r="CIC1519" s="886"/>
      <c r="CID1519" s="886"/>
      <c r="CIE1519" s="886"/>
      <c r="CIF1519" s="886"/>
      <c r="CIG1519" s="886"/>
      <c r="CIH1519" s="886"/>
      <c r="CII1519" s="886"/>
      <c r="CIJ1519" s="886"/>
      <c r="CIK1519" s="886"/>
      <c r="CIL1519" s="886"/>
      <c r="CIM1519" s="886"/>
      <c r="CIN1519" s="886"/>
      <c r="CIO1519" s="886"/>
      <c r="CIP1519" s="886"/>
      <c r="CIQ1519" s="886"/>
      <c r="CIR1519" s="886"/>
      <c r="CIS1519" s="886"/>
      <c r="CIT1519" s="886"/>
      <c r="CIU1519" s="886"/>
      <c r="CIV1519" s="886"/>
      <c r="CIW1519" s="886"/>
      <c r="CIX1519" s="886"/>
      <c r="CIY1519" s="886"/>
      <c r="CIZ1519" s="886"/>
      <c r="CJA1519" s="886"/>
      <c r="CJB1519" s="886"/>
      <c r="CJC1519" s="886"/>
      <c r="CJD1519" s="886"/>
      <c r="CJE1519" s="886"/>
      <c r="CJF1519" s="886"/>
      <c r="CJG1519" s="886"/>
      <c r="CJH1519" s="886"/>
      <c r="CJI1519" s="886"/>
      <c r="CJJ1519" s="886"/>
      <c r="CJK1519" s="886"/>
      <c r="CJL1519" s="886"/>
      <c r="CJM1519" s="886"/>
      <c r="CJN1519" s="886"/>
      <c r="CJO1519" s="886"/>
      <c r="CJP1519" s="886"/>
      <c r="CJQ1519" s="886"/>
      <c r="CJR1519" s="886"/>
      <c r="CJS1519" s="886"/>
      <c r="CJT1519" s="886"/>
      <c r="CJU1519" s="886"/>
      <c r="CJV1519" s="886"/>
      <c r="CJW1519" s="886"/>
      <c r="CJX1519" s="886"/>
      <c r="CJY1519" s="886"/>
      <c r="CJZ1519" s="886"/>
      <c r="CKA1519" s="886"/>
      <c r="CKB1519" s="886"/>
      <c r="CKC1519" s="886"/>
      <c r="CKD1519" s="886"/>
      <c r="CKE1519" s="886"/>
      <c r="CKF1519" s="886"/>
      <c r="CKG1519" s="886"/>
      <c r="CKH1519" s="886"/>
      <c r="CKI1519" s="886"/>
      <c r="CKJ1519" s="886"/>
      <c r="CKK1519" s="886"/>
      <c r="CKL1519" s="886"/>
      <c r="CKM1519" s="886"/>
      <c r="CKN1519" s="886"/>
      <c r="CKO1519" s="886"/>
      <c r="CKP1519" s="886"/>
      <c r="CKQ1519" s="886"/>
      <c r="CKR1519" s="886"/>
      <c r="CKS1519" s="886"/>
      <c r="CKT1519" s="886"/>
      <c r="CKU1519" s="886"/>
      <c r="CKV1519" s="886"/>
      <c r="CKW1519" s="886"/>
      <c r="CKX1519" s="886"/>
      <c r="CKY1519" s="886"/>
      <c r="CKZ1519" s="886"/>
      <c r="CLA1519" s="886"/>
      <c r="CLB1519" s="886"/>
      <c r="CLC1519" s="886"/>
      <c r="CLD1519" s="886"/>
      <c r="CLE1519" s="886"/>
      <c r="CLF1519" s="886"/>
      <c r="CLG1519" s="886"/>
      <c r="CLH1519" s="886"/>
      <c r="CLI1519" s="886"/>
      <c r="CLJ1519" s="886"/>
      <c r="CLK1519" s="886"/>
      <c r="CLL1519" s="886"/>
      <c r="CLM1519" s="886"/>
      <c r="CLN1519" s="886"/>
      <c r="CLO1519" s="886"/>
      <c r="CLP1519" s="886"/>
      <c r="CLQ1519" s="886"/>
      <c r="CLR1519" s="886"/>
      <c r="CLS1519" s="886"/>
      <c r="CLT1519" s="886"/>
      <c r="CLU1519" s="886"/>
      <c r="CLV1519" s="886"/>
      <c r="CLW1519" s="886"/>
      <c r="CLX1519" s="886"/>
      <c r="CLY1519" s="886"/>
      <c r="CLZ1519" s="886"/>
      <c r="CMA1519" s="886"/>
      <c r="CMB1519" s="886"/>
      <c r="CMC1519" s="886"/>
      <c r="CMD1519" s="886"/>
      <c r="CME1519" s="886"/>
      <c r="CMF1519" s="886"/>
      <c r="CMG1519" s="886"/>
      <c r="CMH1519" s="886"/>
      <c r="CMI1519" s="886"/>
      <c r="CMJ1519" s="886"/>
      <c r="CMK1519" s="886"/>
      <c r="CML1519" s="886"/>
      <c r="CMM1519" s="886"/>
      <c r="CMN1519" s="886"/>
      <c r="CMO1519" s="886"/>
      <c r="CMP1519" s="886"/>
      <c r="CMQ1519" s="886"/>
      <c r="CMR1519" s="886"/>
      <c r="CMS1519" s="886"/>
      <c r="CMT1519" s="886"/>
      <c r="CMU1519" s="886"/>
      <c r="CMV1519" s="886"/>
      <c r="CMW1519" s="886"/>
      <c r="CMX1519" s="886"/>
      <c r="CMY1519" s="886"/>
      <c r="CMZ1519" s="886"/>
      <c r="CNA1519" s="886"/>
      <c r="CNB1519" s="886"/>
      <c r="CNC1519" s="886"/>
      <c r="CND1519" s="886"/>
      <c r="CNE1519" s="886"/>
      <c r="CNF1519" s="886"/>
      <c r="CNG1519" s="886"/>
      <c r="CNH1519" s="886"/>
      <c r="CNI1519" s="886"/>
      <c r="CNJ1519" s="886"/>
      <c r="CNK1519" s="886"/>
      <c r="CNL1519" s="886"/>
      <c r="CNM1519" s="886"/>
      <c r="CNN1519" s="886"/>
      <c r="CNO1519" s="886"/>
      <c r="CNP1519" s="886"/>
      <c r="CNQ1519" s="886"/>
      <c r="CNR1519" s="886"/>
      <c r="CNS1519" s="886"/>
      <c r="CNT1519" s="886"/>
      <c r="CNU1519" s="886"/>
      <c r="CNV1519" s="886"/>
      <c r="CNW1519" s="886"/>
      <c r="CNX1519" s="886"/>
      <c r="CNY1519" s="886"/>
      <c r="CNZ1519" s="886"/>
      <c r="COA1519" s="886"/>
      <c r="COB1519" s="886"/>
      <c r="COC1519" s="886"/>
      <c r="COD1519" s="886"/>
      <c r="COE1519" s="886"/>
      <c r="COF1519" s="886"/>
      <c r="COG1519" s="886"/>
      <c r="COH1519" s="886"/>
      <c r="COI1519" s="886"/>
      <c r="COJ1519" s="886"/>
      <c r="COK1519" s="886"/>
      <c r="COL1519" s="886"/>
      <c r="COM1519" s="886"/>
      <c r="CON1519" s="886"/>
      <c r="COO1519" s="886"/>
      <c r="COP1519" s="886"/>
      <c r="COQ1519" s="886"/>
      <c r="COR1519" s="886"/>
      <c r="COS1519" s="886"/>
      <c r="COT1519" s="886"/>
      <c r="COU1519" s="886"/>
      <c r="COV1519" s="886"/>
      <c r="COW1519" s="886"/>
      <c r="COX1519" s="886"/>
      <c r="COY1519" s="886"/>
      <c r="COZ1519" s="886"/>
      <c r="CPA1519" s="886"/>
      <c r="CPB1519" s="886"/>
      <c r="CPC1519" s="886"/>
      <c r="CPD1519" s="886"/>
      <c r="CPE1519" s="886"/>
      <c r="CPF1519" s="886"/>
      <c r="CPG1519" s="886"/>
      <c r="CPH1519" s="886"/>
      <c r="CPI1519" s="886"/>
      <c r="CPJ1519" s="886"/>
      <c r="CPK1519" s="886"/>
      <c r="CPL1519" s="886"/>
      <c r="CPM1519" s="886"/>
      <c r="CPN1519" s="886"/>
      <c r="CPO1519" s="886"/>
      <c r="CPP1519" s="886"/>
      <c r="CPQ1519" s="886"/>
      <c r="CPR1519" s="886"/>
      <c r="CPS1519" s="886"/>
      <c r="CPT1519" s="886"/>
      <c r="CPU1519" s="886"/>
      <c r="CPV1519" s="886"/>
      <c r="CPW1519" s="886"/>
      <c r="CPX1519" s="886"/>
      <c r="CPY1519" s="886"/>
      <c r="CPZ1519" s="886"/>
      <c r="CQA1519" s="886"/>
      <c r="CQB1519" s="886"/>
      <c r="CQC1519" s="886"/>
      <c r="CQD1519" s="886"/>
      <c r="CQE1519" s="886"/>
      <c r="CQF1519" s="886"/>
      <c r="CQG1519" s="886"/>
      <c r="CQH1519" s="886"/>
      <c r="CQI1519" s="886"/>
      <c r="CQJ1519" s="886"/>
      <c r="CQK1519" s="886"/>
      <c r="CQL1519" s="886"/>
      <c r="CQM1519" s="886"/>
      <c r="CQN1519" s="886"/>
      <c r="CQO1519" s="886"/>
      <c r="CQP1519" s="886"/>
      <c r="CQQ1519" s="886"/>
      <c r="CQR1519" s="886"/>
      <c r="CQS1519" s="886"/>
      <c r="CQT1519" s="886"/>
      <c r="CQU1519" s="886"/>
      <c r="CQV1519" s="886"/>
      <c r="CQW1519" s="886"/>
      <c r="CQX1519" s="886"/>
      <c r="CQY1519" s="886"/>
      <c r="CQZ1519" s="886"/>
      <c r="CRA1519" s="886"/>
      <c r="CRB1519" s="886"/>
      <c r="CRC1519" s="886"/>
      <c r="CRD1519" s="886"/>
      <c r="CRE1519" s="886"/>
      <c r="CRF1519" s="886"/>
      <c r="CRG1519" s="886"/>
      <c r="CRH1519" s="886"/>
      <c r="CRI1519" s="886"/>
      <c r="CRJ1519" s="886"/>
      <c r="CRK1519" s="886"/>
      <c r="CRL1519" s="886"/>
      <c r="CRM1519" s="886"/>
      <c r="CRN1519" s="886"/>
      <c r="CRO1519" s="886"/>
      <c r="CRP1519" s="886"/>
      <c r="CRQ1519" s="886"/>
      <c r="CRR1519" s="886"/>
      <c r="CRS1519" s="886"/>
      <c r="CRT1519" s="886"/>
      <c r="CRU1519" s="886"/>
      <c r="CRV1519" s="886"/>
      <c r="CRW1519" s="886"/>
      <c r="CRX1519" s="886"/>
      <c r="CRY1519" s="886"/>
      <c r="CRZ1519" s="886"/>
      <c r="CSA1519" s="886"/>
      <c r="CSB1519" s="886"/>
      <c r="CSC1519" s="886"/>
      <c r="CSD1519" s="886"/>
      <c r="CSE1519" s="886"/>
      <c r="CSF1519" s="886"/>
      <c r="CSG1519" s="886"/>
      <c r="CSH1519" s="886"/>
      <c r="CSI1519" s="886"/>
      <c r="CSJ1519" s="886"/>
      <c r="CSK1519" s="886"/>
      <c r="CSL1519" s="886"/>
      <c r="CSM1519" s="886"/>
      <c r="CSN1519" s="886"/>
      <c r="CSO1519" s="886"/>
      <c r="CSP1519" s="886"/>
      <c r="CSQ1519" s="886"/>
      <c r="CSR1519" s="886"/>
      <c r="CSS1519" s="886"/>
      <c r="CST1519" s="886"/>
      <c r="CSU1519" s="886"/>
      <c r="CSV1519" s="886"/>
      <c r="CSW1519" s="886"/>
      <c r="CSX1519" s="886"/>
      <c r="CSY1519" s="886"/>
      <c r="CSZ1519" s="886"/>
      <c r="CTA1519" s="886"/>
      <c r="CTB1519" s="886"/>
      <c r="CTC1519" s="886"/>
      <c r="CTD1519" s="886"/>
      <c r="CTE1519" s="886"/>
      <c r="CTF1519" s="886"/>
      <c r="CTG1519" s="886"/>
      <c r="CTH1519" s="886"/>
      <c r="CTI1519" s="886"/>
      <c r="CTJ1519" s="886"/>
      <c r="CTK1519" s="886"/>
      <c r="CTL1519" s="886"/>
      <c r="CTM1519" s="886"/>
      <c r="CTN1519" s="886"/>
      <c r="CTO1519" s="886"/>
      <c r="CTP1519" s="886"/>
      <c r="CTQ1519" s="886"/>
      <c r="CTR1519" s="886"/>
      <c r="CTS1519" s="886"/>
      <c r="CTT1519" s="886"/>
      <c r="CTU1519" s="886"/>
      <c r="CTV1519" s="886"/>
      <c r="CTW1519" s="886"/>
      <c r="CTX1519" s="886"/>
      <c r="CTY1519" s="886"/>
      <c r="CTZ1519" s="886"/>
      <c r="CUA1519" s="886"/>
      <c r="CUB1519" s="886"/>
      <c r="CUC1519" s="886"/>
      <c r="CUD1519" s="886"/>
      <c r="CUE1519" s="886"/>
      <c r="CUF1519" s="886"/>
      <c r="CUG1519" s="886"/>
      <c r="CUH1519" s="886"/>
      <c r="CUI1519" s="886"/>
      <c r="CUJ1519" s="886"/>
      <c r="CUK1519" s="886"/>
      <c r="CUL1519" s="886"/>
      <c r="CUM1519" s="886"/>
      <c r="CUN1519" s="886"/>
      <c r="CUO1519" s="886"/>
      <c r="CUP1519" s="886"/>
      <c r="CUQ1519" s="886"/>
      <c r="CUR1519" s="886"/>
      <c r="CUS1519" s="886"/>
      <c r="CUT1519" s="886"/>
      <c r="CUU1519" s="886"/>
      <c r="CUV1519" s="886"/>
      <c r="CUW1519" s="886"/>
      <c r="CUX1519" s="886"/>
      <c r="CUY1519" s="886"/>
      <c r="CUZ1519" s="886"/>
      <c r="CVA1519" s="886"/>
      <c r="CVB1519" s="886"/>
      <c r="CVC1519" s="886"/>
      <c r="CVD1519" s="886"/>
      <c r="CVE1519" s="886"/>
      <c r="CVF1519" s="886"/>
      <c r="CVG1519" s="886"/>
      <c r="CVH1519" s="886"/>
      <c r="CVI1519" s="886"/>
      <c r="CVJ1519" s="886"/>
      <c r="CVK1519" s="886"/>
      <c r="CVL1519" s="886"/>
      <c r="CVM1519" s="886"/>
      <c r="CVN1519" s="886"/>
      <c r="CVO1519" s="886"/>
      <c r="CVP1519" s="886"/>
      <c r="CVQ1519" s="886"/>
      <c r="CVR1519" s="886"/>
      <c r="CVS1519" s="886"/>
      <c r="CVT1519" s="886"/>
      <c r="CVU1519" s="886"/>
      <c r="CVV1519" s="886"/>
      <c r="CVW1519" s="886"/>
      <c r="CVX1519" s="886"/>
      <c r="CVY1519" s="886"/>
      <c r="CVZ1519" s="886"/>
      <c r="CWA1519" s="886"/>
      <c r="CWB1519" s="886"/>
      <c r="CWC1519" s="886"/>
      <c r="CWD1519" s="886"/>
      <c r="CWE1519" s="886"/>
      <c r="CWF1519" s="886"/>
      <c r="CWG1519" s="886"/>
      <c r="CWH1519" s="886"/>
      <c r="CWI1519" s="886"/>
      <c r="CWJ1519" s="886"/>
      <c r="CWK1519" s="886"/>
      <c r="CWL1519" s="886"/>
      <c r="CWM1519" s="886"/>
      <c r="CWN1519" s="886"/>
      <c r="CWO1519" s="886"/>
      <c r="CWP1519" s="886"/>
      <c r="CWQ1519" s="886"/>
      <c r="CWR1519" s="886"/>
      <c r="CWS1519" s="886"/>
      <c r="CWT1519" s="886"/>
      <c r="CWU1519" s="886"/>
      <c r="CWV1519" s="886"/>
      <c r="CWW1519" s="886"/>
      <c r="CWX1519" s="886"/>
      <c r="CWY1519" s="886"/>
      <c r="CWZ1519" s="886"/>
      <c r="CXA1519" s="886"/>
      <c r="CXB1519" s="886"/>
      <c r="CXC1519" s="886"/>
      <c r="CXD1519" s="886"/>
      <c r="CXE1519" s="886"/>
      <c r="CXF1519" s="886"/>
      <c r="CXG1519" s="886"/>
      <c r="CXH1519" s="886"/>
      <c r="CXI1519" s="886"/>
      <c r="CXJ1519" s="886"/>
      <c r="CXK1519" s="886"/>
      <c r="CXL1519" s="886"/>
      <c r="CXM1519" s="886"/>
      <c r="CXN1519" s="886"/>
      <c r="CXO1519" s="886"/>
      <c r="CXP1519" s="886"/>
      <c r="CXQ1519" s="886"/>
      <c r="CXR1519" s="886"/>
      <c r="CXS1519" s="886"/>
      <c r="CXT1519" s="886"/>
      <c r="CXU1519" s="886"/>
      <c r="CXV1519" s="886"/>
      <c r="CXW1519" s="886"/>
      <c r="CXX1519" s="886"/>
      <c r="CXY1519" s="886"/>
      <c r="CXZ1519" s="886"/>
      <c r="CYA1519" s="886"/>
      <c r="CYB1519" s="886"/>
      <c r="CYC1519" s="886"/>
      <c r="CYD1519" s="886"/>
      <c r="CYE1519" s="886"/>
      <c r="CYF1519" s="886"/>
      <c r="CYG1519" s="886"/>
      <c r="CYH1519" s="886"/>
      <c r="CYI1519" s="886"/>
      <c r="CYJ1519" s="886"/>
      <c r="CYK1519" s="886"/>
      <c r="CYL1519" s="886"/>
      <c r="CYM1519" s="886"/>
      <c r="CYN1519" s="886"/>
      <c r="CYO1519" s="886"/>
      <c r="CYP1519" s="886"/>
      <c r="CYQ1519" s="886"/>
      <c r="CYR1519" s="886"/>
      <c r="CYS1519" s="886"/>
      <c r="CYT1519" s="886"/>
      <c r="CYU1519" s="886"/>
      <c r="CYV1519" s="886"/>
      <c r="CYW1519" s="886"/>
      <c r="CYX1519" s="886"/>
      <c r="CYY1519" s="886"/>
      <c r="CYZ1519" s="886"/>
      <c r="CZA1519" s="886"/>
      <c r="CZB1519" s="886"/>
      <c r="CZC1519" s="886"/>
      <c r="CZD1519" s="886"/>
      <c r="CZE1519" s="886"/>
      <c r="CZF1519" s="886"/>
      <c r="CZG1519" s="886"/>
      <c r="CZH1519" s="886"/>
      <c r="CZI1519" s="886"/>
      <c r="CZJ1519" s="886"/>
      <c r="CZK1519" s="886"/>
      <c r="CZL1519" s="886"/>
      <c r="CZM1519" s="886"/>
      <c r="CZN1519" s="886"/>
      <c r="CZO1519" s="886"/>
      <c r="CZP1519" s="886"/>
      <c r="CZQ1519" s="886"/>
      <c r="CZR1519" s="886"/>
      <c r="CZS1519" s="886"/>
      <c r="CZT1519" s="886"/>
      <c r="CZU1519" s="886"/>
      <c r="CZV1519" s="886"/>
      <c r="CZW1519" s="886"/>
      <c r="CZX1519" s="886"/>
      <c r="CZY1519" s="886"/>
      <c r="CZZ1519" s="886"/>
      <c r="DAA1519" s="886"/>
      <c r="DAB1519" s="886"/>
      <c r="DAC1519" s="886"/>
      <c r="DAD1519" s="886"/>
      <c r="DAE1519" s="886"/>
      <c r="DAF1519" s="886"/>
      <c r="DAG1519" s="886"/>
      <c r="DAH1519" s="886"/>
      <c r="DAI1519" s="886"/>
      <c r="DAJ1519" s="886"/>
      <c r="DAK1519" s="886"/>
      <c r="DAL1519" s="886"/>
      <c r="DAM1519" s="886"/>
      <c r="DAN1519" s="886"/>
      <c r="DAO1519" s="886"/>
      <c r="DAP1519" s="886"/>
      <c r="DAQ1519" s="886"/>
      <c r="DAR1519" s="886"/>
      <c r="DAS1519" s="886"/>
      <c r="DAT1519" s="886"/>
      <c r="DAU1519" s="886"/>
      <c r="DAV1519" s="886"/>
      <c r="DAW1519" s="886"/>
      <c r="DAX1519" s="886"/>
      <c r="DAY1519" s="886"/>
      <c r="DAZ1519" s="886"/>
      <c r="DBA1519" s="886"/>
      <c r="DBB1519" s="886"/>
      <c r="DBC1519" s="886"/>
      <c r="DBD1519" s="886"/>
      <c r="DBE1519" s="886"/>
      <c r="DBF1519" s="886"/>
      <c r="DBG1519" s="886"/>
      <c r="DBH1519" s="886"/>
      <c r="DBI1519" s="886"/>
      <c r="DBJ1519" s="886"/>
      <c r="DBK1519" s="886"/>
      <c r="DBL1519" s="886"/>
      <c r="DBM1519" s="886"/>
      <c r="DBN1519" s="886"/>
      <c r="DBO1519" s="886"/>
      <c r="DBP1519" s="886"/>
      <c r="DBQ1519" s="886"/>
      <c r="DBR1519" s="886"/>
      <c r="DBS1519" s="886"/>
      <c r="DBT1519" s="886"/>
      <c r="DBU1519" s="886"/>
      <c r="DBV1519" s="886"/>
      <c r="DBW1519" s="886"/>
      <c r="DBX1519" s="886"/>
      <c r="DBY1519" s="886"/>
      <c r="DBZ1519" s="886"/>
      <c r="DCA1519" s="886"/>
      <c r="DCB1519" s="886"/>
      <c r="DCC1519" s="886"/>
      <c r="DCD1519" s="886"/>
      <c r="DCE1519" s="886"/>
      <c r="DCF1519" s="886"/>
      <c r="DCG1519" s="886"/>
      <c r="DCH1519" s="886"/>
      <c r="DCI1519" s="886"/>
      <c r="DCJ1519" s="886"/>
      <c r="DCK1519" s="886"/>
      <c r="DCL1519" s="886"/>
      <c r="DCM1519" s="886"/>
      <c r="DCN1519" s="886"/>
      <c r="DCO1519" s="886"/>
      <c r="DCP1519" s="886"/>
      <c r="DCQ1519" s="886"/>
      <c r="DCR1519" s="886"/>
      <c r="DCS1519" s="886"/>
      <c r="DCT1519" s="886"/>
      <c r="DCU1519" s="886"/>
      <c r="DCV1519" s="886"/>
      <c r="DCW1519" s="886"/>
      <c r="DCX1519" s="886"/>
      <c r="DCY1519" s="886"/>
      <c r="DCZ1519" s="886"/>
      <c r="DDA1519" s="886"/>
      <c r="DDB1519" s="886"/>
      <c r="DDC1519" s="886"/>
      <c r="DDD1519" s="886"/>
      <c r="DDE1519" s="886"/>
      <c r="DDF1519" s="886"/>
      <c r="DDG1519" s="886"/>
      <c r="DDH1519" s="886"/>
      <c r="DDI1519" s="886"/>
      <c r="DDJ1519" s="886"/>
      <c r="DDK1519" s="886"/>
      <c r="DDL1519" s="886"/>
      <c r="DDM1519" s="886"/>
      <c r="DDN1519" s="886"/>
      <c r="DDO1519" s="886"/>
      <c r="DDP1519" s="886"/>
      <c r="DDQ1519" s="886"/>
      <c r="DDR1519" s="886"/>
      <c r="DDS1519" s="886"/>
      <c r="DDT1519" s="886"/>
      <c r="DDU1519" s="886"/>
      <c r="DDV1519" s="886"/>
      <c r="DDW1519" s="886"/>
      <c r="DDX1519" s="886"/>
      <c r="DDY1519" s="886"/>
      <c r="DDZ1519" s="886"/>
      <c r="DEA1519" s="886"/>
      <c r="DEB1519" s="886"/>
      <c r="DEC1519" s="886"/>
      <c r="DED1519" s="886"/>
      <c r="DEE1519" s="886"/>
      <c r="DEF1519" s="886"/>
      <c r="DEG1519" s="886"/>
      <c r="DEH1519" s="886"/>
      <c r="DEI1519" s="886"/>
      <c r="DEJ1519" s="886"/>
      <c r="DEK1519" s="886"/>
      <c r="DEL1519" s="886"/>
      <c r="DEM1519" s="886"/>
      <c r="DEN1519" s="886"/>
      <c r="DEO1519" s="886"/>
      <c r="DEP1519" s="886"/>
      <c r="DEQ1519" s="886"/>
      <c r="DER1519" s="886"/>
      <c r="DES1519" s="886"/>
      <c r="DET1519" s="886"/>
      <c r="DEU1519" s="886"/>
      <c r="DEV1519" s="886"/>
      <c r="DEW1519" s="886"/>
      <c r="DEX1519" s="886"/>
      <c r="DEY1519" s="886"/>
      <c r="DEZ1519" s="886"/>
      <c r="DFA1519" s="886"/>
      <c r="DFB1519" s="886"/>
      <c r="DFC1519" s="886"/>
      <c r="DFD1519" s="886"/>
      <c r="DFE1519" s="886"/>
      <c r="DFF1519" s="886"/>
      <c r="DFG1519" s="886"/>
      <c r="DFH1519" s="886"/>
      <c r="DFI1519" s="886"/>
      <c r="DFJ1519" s="886"/>
      <c r="DFK1519" s="886"/>
      <c r="DFL1519" s="886"/>
      <c r="DFM1519" s="886"/>
      <c r="DFN1519" s="886"/>
      <c r="DFO1519" s="886"/>
      <c r="DFP1519" s="886"/>
      <c r="DFQ1519" s="886"/>
      <c r="DFR1519" s="886"/>
      <c r="DFS1519" s="886"/>
      <c r="DFT1519" s="886"/>
      <c r="DFU1519" s="886"/>
      <c r="DFV1519" s="886"/>
      <c r="DFW1519" s="886"/>
      <c r="DFX1519" s="886"/>
      <c r="DFY1519" s="886"/>
      <c r="DFZ1519" s="886"/>
      <c r="DGA1519" s="886"/>
      <c r="DGB1519" s="886"/>
      <c r="DGC1519" s="886"/>
      <c r="DGD1519" s="886"/>
      <c r="DGE1519" s="886"/>
      <c r="DGF1519" s="886"/>
      <c r="DGG1519" s="886"/>
      <c r="DGH1519" s="886"/>
      <c r="DGI1519" s="886"/>
      <c r="DGJ1519" s="886"/>
      <c r="DGK1519" s="886"/>
      <c r="DGL1519" s="886"/>
      <c r="DGM1519" s="886"/>
      <c r="DGN1519" s="886"/>
      <c r="DGO1519" s="886"/>
      <c r="DGP1519" s="886"/>
      <c r="DGQ1519" s="886"/>
      <c r="DGR1519" s="886"/>
      <c r="DGS1519" s="886"/>
      <c r="DGT1519" s="886"/>
      <c r="DGU1519" s="886"/>
      <c r="DGV1519" s="886"/>
      <c r="DGW1519" s="886"/>
      <c r="DGX1519" s="886"/>
      <c r="DGY1519" s="886"/>
      <c r="DGZ1519" s="886"/>
      <c r="DHA1519" s="886"/>
      <c r="DHB1519" s="886"/>
      <c r="DHC1519" s="886"/>
      <c r="DHD1519" s="886"/>
      <c r="DHE1519" s="886"/>
      <c r="DHF1519" s="886"/>
      <c r="DHG1519" s="886"/>
      <c r="DHH1519" s="886"/>
      <c r="DHI1519" s="886"/>
      <c r="DHJ1519" s="886"/>
      <c r="DHK1519" s="886"/>
      <c r="DHL1519" s="886"/>
      <c r="DHM1519" s="886"/>
      <c r="DHN1519" s="886"/>
      <c r="DHO1519" s="886"/>
      <c r="DHP1519" s="886"/>
      <c r="DHQ1519" s="886"/>
      <c r="DHR1519" s="886"/>
      <c r="DHS1519" s="886"/>
      <c r="DHT1519" s="886"/>
      <c r="DHU1519" s="886"/>
      <c r="DHV1519" s="886"/>
      <c r="DHW1519" s="886"/>
      <c r="DHX1519" s="886"/>
      <c r="DHY1519" s="886"/>
      <c r="DHZ1519" s="886"/>
      <c r="DIA1519" s="886"/>
      <c r="DIB1519" s="886"/>
      <c r="DIC1519" s="886"/>
      <c r="DID1519" s="886"/>
      <c r="DIE1519" s="886"/>
      <c r="DIF1519" s="886"/>
      <c r="DIG1519" s="886"/>
      <c r="DIH1519" s="886"/>
      <c r="DII1519" s="886"/>
      <c r="DIJ1519" s="886"/>
      <c r="DIK1519" s="886"/>
      <c r="DIL1519" s="886"/>
      <c r="DIM1519" s="886"/>
      <c r="DIN1519" s="886"/>
      <c r="DIO1519" s="886"/>
      <c r="DIP1519" s="886"/>
      <c r="DIQ1519" s="886"/>
      <c r="DIR1519" s="886"/>
      <c r="DIS1519" s="886"/>
      <c r="DIT1519" s="886"/>
      <c r="DIU1519" s="886"/>
      <c r="DIV1519" s="886"/>
      <c r="DIW1519" s="886"/>
      <c r="DIX1519" s="886"/>
      <c r="DIY1519" s="886"/>
      <c r="DIZ1519" s="886"/>
      <c r="DJA1519" s="886"/>
      <c r="DJB1519" s="886"/>
      <c r="DJC1519" s="886"/>
      <c r="DJD1519" s="886"/>
      <c r="DJE1519" s="886"/>
      <c r="DJF1519" s="886"/>
      <c r="DJG1519" s="886"/>
      <c r="DJH1519" s="886"/>
      <c r="DJI1519" s="886"/>
      <c r="DJJ1519" s="886"/>
      <c r="DJK1519" s="886"/>
      <c r="DJL1519" s="886"/>
      <c r="DJM1519" s="886"/>
      <c r="DJN1519" s="886"/>
      <c r="DJO1519" s="886"/>
      <c r="DJP1519" s="886"/>
      <c r="DJQ1519" s="886"/>
      <c r="DJR1519" s="886"/>
      <c r="DJS1519" s="886"/>
      <c r="DJT1519" s="886"/>
      <c r="DJU1519" s="886"/>
      <c r="DJV1519" s="886"/>
      <c r="DJW1519" s="886"/>
      <c r="DJX1519" s="886"/>
      <c r="DJY1519" s="886"/>
      <c r="DJZ1519" s="886"/>
      <c r="DKA1519" s="886"/>
      <c r="DKB1519" s="886"/>
      <c r="DKC1519" s="886"/>
      <c r="DKD1519" s="886"/>
      <c r="DKE1519" s="886"/>
      <c r="DKF1519" s="886"/>
      <c r="DKG1519" s="886"/>
      <c r="DKH1519" s="886"/>
      <c r="DKI1519" s="886"/>
      <c r="DKJ1519" s="886"/>
      <c r="DKK1519" s="886"/>
      <c r="DKL1519" s="886"/>
      <c r="DKM1519" s="886"/>
      <c r="DKN1519" s="886"/>
      <c r="DKO1519" s="886"/>
      <c r="DKP1519" s="886"/>
      <c r="DKQ1519" s="886"/>
      <c r="DKR1519" s="886"/>
      <c r="DKS1519" s="886"/>
      <c r="DKT1519" s="886"/>
      <c r="DKU1519" s="886"/>
      <c r="DKV1519" s="886"/>
      <c r="DKW1519" s="886"/>
      <c r="DKX1519" s="886"/>
      <c r="DKY1519" s="886"/>
      <c r="DKZ1519" s="886"/>
      <c r="DLA1519" s="886"/>
      <c r="DLB1519" s="886"/>
      <c r="DLC1519" s="886"/>
      <c r="DLD1519" s="886"/>
      <c r="DLE1519" s="886"/>
      <c r="DLF1519" s="886"/>
      <c r="DLG1519" s="886"/>
      <c r="DLH1519" s="886"/>
      <c r="DLI1519" s="886"/>
      <c r="DLJ1519" s="886"/>
      <c r="DLK1519" s="886"/>
      <c r="DLL1519" s="886"/>
      <c r="DLM1519" s="886"/>
      <c r="DLN1519" s="886"/>
      <c r="DLO1519" s="886"/>
      <c r="DLP1519" s="886"/>
      <c r="DLQ1519" s="886"/>
      <c r="DLR1519" s="886"/>
      <c r="DLS1519" s="886"/>
      <c r="DLT1519" s="886"/>
      <c r="DLU1519" s="886"/>
      <c r="DLV1519" s="886"/>
      <c r="DLW1519" s="886"/>
      <c r="DLX1519" s="886"/>
      <c r="DLY1519" s="886"/>
      <c r="DLZ1519" s="886"/>
      <c r="DMA1519" s="886"/>
      <c r="DMB1519" s="886"/>
      <c r="DMC1519" s="886"/>
      <c r="DMD1519" s="886"/>
      <c r="DME1519" s="886"/>
      <c r="DMF1519" s="886"/>
      <c r="DMG1519" s="886"/>
      <c r="DMH1519" s="886"/>
      <c r="DMI1519" s="886"/>
      <c r="DMJ1519" s="886"/>
      <c r="DMK1519" s="886"/>
      <c r="DML1519" s="886"/>
      <c r="DMM1519" s="886"/>
      <c r="DMN1519" s="886"/>
      <c r="DMO1519" s="886"/>
      <c r="DMP1519" s="886"/>
      <c r="DMQ1519" s="886"/>
      <c r="DMR1519" s="886"/>
      <c r="DMS1519" s="886"/>
      <c r="DMT1519" s="886"/>
      <c r="DMU1519" s="886"/>
      <c r="DMV1519" s="886"/>
      <c r="DMW1519" s="886"/>
      <c r="DMX1519" s="886"/>
      <c r="DMY1519" s="886"/>
      <c r="DMZ1519" s="886"/>
      <c r="DNA1519" s="886"/>
      <c r="DNB1519" s="886"/>
      <c r="DNC1519" s="886"/>
      <c r="DND1519" s="886"/>
      <c r="DNE1519" s="886"/>
      <c r="DNF1519" s="886"/>
      <c r="DNG1519" s="886"/>
      <c r="DNH1519" s="886"/>
      <c r="DNI1519" s="886"/>
      <c r="DNJ1519" s="886"/>
      <c r="DNK1519" s="886"/>
      <c r="DNL1519" s="886"/>
      <c r="DNM1519" s="886"/>
      <c r="DNN1519" s="886"/>
      <c r="DNO1519" s="886"/>
      <c r="DNP1519" s="886"/>
      <c r="DNQ1519" s="886"/>
      <c r="DNR1519" s="886"/>
      <c r="DNS1519" s="886"/>
      <c r="DNT1519" s="886"/>
      <c r="DNU1519" s="886"/>
      <c r="DNV1519" s="886"/>
      <c r="DNW1519" s="886"/>
      <c r="DNX1519" s="886"/>
      <c r="DNY1519" s="886"/>
      <c r="DNZ1519" s="886"/>
      <c r="DOA1519" s="886"/>
      <c r="DOB1519" s="886"/>
      <c r="DOC1519" s="886"/>
      <c r="DOD1519" s="886"/>
      <c r="DOE1519" s="886"/>
      <c r="DOF1519" s="886"/>
      <c r="DOG1519" s="886"/>
      <c r="DOH1519" s="886"/>
      <c r="DOI1519" s="886"/>
      <c r="DOJ1519" s="886"/>
      <c r="DOK1519" s="886"/>
      <c r="DOL1519" s="886"/>
      <c r="DOM1519" s="886"/>
      <c r="DON1519" s="886"/>
      <c r="DOO1519" s="886"/>
      <c r="DOP1519" s="886"/>
      <c r="DOQ1519" s="886"/>
      <c r="DOR1519" s="886"/>
      <c r="DOS1519" s="886"/>
      <c r="DOT1519" s="886"/>
      <c r="DOU1519" s="886"/>
      <c r="DOV1519" s="886"/>
      <c r="DOW1519" s="886"/>
      <c r="DOX1519" s="886"/>
      <c r="DOY1519" s="886"/>
      <c r="DOZ1519" s="886"/>
      <c r="DPA1519" s="886"/>
      <c r="DPB1519" s="886"/>
      <c r="DPC1519" s="886"/>
      <c r="DPD1519" s="886"/>
      <c r="DPE1519" s="886"/>
      <c r="DPF1519" s="886"/>
      <c r="DPG1519" s="886"/>
      <c r="DPH1519" s="886"/>
      <c r="DPI1519" s="886"/>
      <c r="DPJ1519" s="886"/>
      <c r="DPK1519" s="886"/>
      <c r="DPL1519" s="886"/>
      <c r="DPM1519" s="886"/>
      <c r="DPN1519" s="886"/>
      <c r="DPO1519" s="886"/>
      <c r="DPP1519" s="886"/>
      <c r="DPQ1519" s="886"/>
      <c r="DPR1519" s="886"/>
      <c r="DPS1519" s="886"/>
      <c r="DPT1519" s="886"/>
      <c r="DPU1519" s="886"/>
      <c r="DPV1519" s="886"/>
      <c r="DPW1519" s="886"/>
      <c r="DPX1519" s="886"/>
      <c r="DPY1519" s="886"/>
      <c r="DPZ1519" s="886"/>
      <c r="DQA1519" s="886"/>
      <c r="DQB1519" s="886"/>
      <c r="DQC1519" s="886"/>
      <c r="DQD1519" s="886"/>
      <c r="DQE1519" s="886"/>
      <c r="DQF1519" s="886"/>
      <c r="DQG1519" s="886"/>
      <c r="DQH1519" s="886"/>
      <c r="DQI1519" s="886"/>
      <c r="DQJ1519" s="886"/>
      <c r="DQK1519" s="886"/>
      <c r="DQL1519" s="886"/>
      <c r="DQM1519" s="886"/>
      <c r="DQN1519" s="886"/>
      <c r="DQO1519" s="886"/>
      <c r="DQP1519" s="886"/>
      <c r="DQQ1519" s="886"/>
      <c r="DQR1519" s="886"/>
      <c r="DQS1519" s="886"/>
      <c r="DQT1519" s="886"/>
      <c r="DQU1519" s="886"/>
      <c r="DQV1519" s="886"/>
      <c r="DQW1519" s="886"/>
      <c r="DQX1519" s="886"/>
      <c r="DQY1519" s="886"/>
      <c r="DQZ1519" s="886"/>
      <c r="DRA1519" s="886"/>
      <c r="DRB1519" s="886"/>
      <c r="DRC1519" s="886"/>
      <c r="DRD1519" s="886"/>
      <c r="DRE1519" s="886"/>
      <c r="DRF1519" s="886"/>
      <c r="DRG1519" s="886"/>
      <c r="DRH1519" s="886"/>
      <c r="DRI1519" s="886"/>
      <c r="DRJ1519" s="886"/>
      <c r="DRK1519" s="886"/>
      <c r="DRL1519" s="886"/>
      <c r="DRM1519" s="886"/>
      <c r="DRN1519" s="886"/>
      <c r="DRO1519" s="886"/>
      <c r="DRP1519" s="886"/>
      <c r="DRQ1519" s="886"/>
      <c r="DRR1519" s="886"/>
      <c r="DRS1519" s="886"/>
      <c r="DRT1519" s="886"/>
      <c r="DRU1519" s="886"/>
      <c r="DRV1519" s="886"/>
      <c r="DRW1519" s="886"/>
      <c r="DRX1519" s="886"/>
      <c r="DRY1519" s="886"/>
      <c r="DRZ1519" s="886"/>
      <c r="DSA1519" s="886"/>
      <c r="DSB1519" s="886"/>
      <c r="DSC1519" s="886"/>
      <c r="DSD1519" s="886"/>
      <c r="DSE1519" s="886"/>
      <c r="DSF1519" s="886"/>
      <c r="DSG1519" s="886"/>
      <c r="DSH1519" s="886"/>
      <c r="DSI1519" s="886"/>
      <c r="DSJ1519" s="886"/>
      <c r="DSK1519" s="886"/>
      <c r="DSL1519" s="886"/>
      <c r="DSM1519" s="886"/>
      <c r="DSN1519" s="886"/>
      <c r="DSO1519" s="886"/>
      <c r="DSP1519" s="886"/>
      <c r="DSQ1519" s="886"/>
      <c r="DSR1519" s="886"/>
      <c r="DSS1519" s="886"/>
      <c r="DST1519" s="886"/>
      <c r="DSU1519" s="886"/>
      <c r="DSV1519" s="886"/>
      <c r="DSW1519" s="886"/>
      <c r="DSX1519" s="886"/>
      <c r="DSY1519" s="886"/>
      <c r="DSZ1519" s="886"/>
      <c r="DTA1519" s="886"/>
      <c r="DTB1519" s="886"/>
      <c r="DTC1519" s="886"/>
      <c r="DTD1519" s="886"/>
      <c r="DTE1519" s="886"/>
      <c r="DTF1519" s="886"/>
      <c r="DTG1519" s="886"/>
      <c r="DTH1519" s="886"/>
      <c r="DTI1519" s="886"/>
      <c r="DTJ1519" s="886"/>
      <c r="DTK1519" s="886"/>
      <c r="DTL1519" s="886"/>
      <c r="DTM1519" s="886"/>
      <c r="DTN1519" s="886"/>
      <c r="DTO1519" s="886"/>
      <c r="DTP1519" s="886"/>
      <c r="DTQ1519" s="886"/>
      <c r="DTR1519" s="886"/>
      <c r="DTS1519" s="886"/>
      <c r="DTT1519" s="886"/>
      <c r="DTU1519" s="886"/>
      <c r="DTV1519" s="886"/>
      <c r="DTW1519" s="886"/>
      <c r="DTX1519" s="886"/>
      <c r="DTY1519" s="886"/>
      <c r="DTZ1519" s="886"/>
      <c r="DUA1519" s="886"/>
      <c r="DUB1519" s="886"/>
      <c r="DUC1519" s="886"/>
      <c r="DUD1519" s="886"/>
      <c r="DUE1519" s="886"/>
      <c r="DUF1519" s="886"/>
      <c r="DUG1519" s="886"/>
      <c r="DUH1519" s="886"/>
      <c r="DUI1519" s="886"/>
      <c r="DUJ1519" s="886"/>
      <c r="DUK1519" s="886"/>
      <c r="DUL1519" s="886"/>
      <c r="DUM1519" s="886"/>
      <c r="DUN1519" s="886"/>
      <c r="DUO1519" s="886"/>
      <c r="DUP1519" s="886"/>
      <c r="DUQ1519" s="886"/>
      <c r="DUR1519" s="886"/>
      <c r="DUS1519" s="886"/>
      <c r="DUT1519" s="886"/>
      <c r="DUU1519" s="886"/>
      <c r="DUV1519" s="886"/>
      <c r="DUW1519" s="886"/>
      <c r="DUX1519" s="886"/>
      <c r="DUY1519" s="886"/>
      <c r="DUZ1519" s="886"/>
      <c r="DVA1519" s="886"/>
      <c r="DVB1519" s="886"/>
      <c r="DVC1519" s="886"/>
      <c r="DVD1519" s="886"/>
      <c r="DVE1519" s="886"/>
      <c r="DVF1519" s="886"/>
      <c r="DVG1519" s="886"/>
      <c r="DVH1519" s="886"/>
      <c r="DVI1519" s="886"/>
      <c r="DVJ1519" s="886"/>
      <c r="DVK1519" s="886"/>
      <c r="DVL1519" s="886"/>
      <c r="DVM1519" s="886"/>
      <c r="DVN1519" s="886"/>
      <c r="DVO1519" s="886"/>
      <c r="DVP1519" s="886"/>
      <c r="DVQ1519" s="886"/>
      <c r="DVR1519" s="886"/>
      <c r="DVS1519" s="886"/>
      <c r="DVT1519" s="886"/>
      <c r="DVU1519" s="886"/>
      <c r="DVV1519" s="886"/>
      <c r="DVW1519" s="886"/>
      <c r="DVX1519" s="886"/>
      <c r="DVY1519" s="886"/>
      <c r="DVZ1519" s="886"/>
      <c r="DWA1519" s="886"/>
      <c r="DWB1519" s="886"/>
      <c r="DWC1519" s="886"/>
      <c r="DWD1519" s="886"/>
      <c r="DWE1519" s="886"/>
      <c r="DWF1519" s="886"/>
      <c r="DWG1519" s="886"/>
      <c r="DWH1519" s="886"/>
      <c r="DWI1519" s="886"/>
      <c r="DWJ1519" s="886"/>
      <c r="DWK1519" s="886"/>
      <c r="DWL1519" s="886"/>
      <c r="DWM1519" s="886"/>
      <c r="DWN1519" s="886"/>
      <c r="DWO1519" s="886"/>
      <c r="DWP1519" s="886"/>
      <c r="DWQ1519" s="886"/>
      <c r="DWR1519" s="886"/>
      <c r="DWS1519" s="886"/>
      <c r="DWT1519" s="886"/>
      <c r="DWU1519" s="886"/>
      <c r="DWV1519" s="886"/>
      <c r="DWW1519" s="886"/>
      <c r="DWX1519" s="886"/>
      <c r="DWY1519" s="886"/>
      <c r="DWZ1519" s="886"/>
      <c r="DXA1519" s="886"/>
      <c r="DXB1519" s="886"/>
      <c r="DXC1519" s="886"/>
      <c r="DXD1519" s="886"/>
      <c r="DXE1519" s="886"/>
      <c r="DXF1519" s="886"/>
      <c r="DXG1519" s="886"/>
      <c r="DXH1519" s="886"/>
      <c r="DXI1519" s="886"/>
      <c r="DXJ1519" s="886"/>
      <c r="DXK1519" s="886"/>
      <c r="DXL1519" s="886"/>
      <c r="DXM1519" s="886"/>
      <c r="DXN1519" s="886"/>
      <c r="DXO1519" s="886"/>
      <c r="DXP1519" s="886"/>
      <c r="DXQ1519" s="886"/>
      <c r="DXR1519" s="886"/>
      <c r="DXS1519" s="886"/>
      <c r="DXT1519" s="886"/>
      <c r="DXU1519" s="886"/>
      <c r="DXV1519" s="886"/>
      <c r="DXW1519" s="886"/>
      <c r="DXX1519" s="886"/>
      <c r="DXY1519" s="886"/>
      <c r="DXZ1519" s="886"/>
      <c r="DYA1519" s="886"/>
      <c r="DYB1519" s="886"/>
      <c r="DYC1519" s="886"/>
      <c r="DYD1519" s="886"/>
      <c r="DYE1519" s="886"/>
      <c r="DYF1519" s="886"/>
      <c r="DYG1519" s="886"/>
      <c r="DYH1519" s="886"/>
      <c r="DYI1519" s="886"/>
      <c r="DYJ1519" s="886"/>
      <c r="DYK1519" s="886"/>
      <c r="DYL1519" s="886"/>
      <c r="DYM1519" s="886"/>
      <c r="DYN1519" s="886"/>
      <c r="DYO1519" s="886"/>
      <c r="DYP1519" s="886"/>
      <c r="DYQ1519" s="886"/>
      <c r="DYR1519" s="886"/>
      <c r="DYS1519" s="886"/>
      <c r="DYT1519" s="886"/>
      <c r="DYU1519" s="886"/>
      <c r="DYV1519" s="886"/>
      <c r="DYW1519" s="886"/>
      <c r="DYX1519" s="886"/>
      <c r="DYY1519" s="886"/>
      <c r="DYZ1519" s="886"/>
      <c r="DZA1519" s="886"/>
      <c r="DZB1519" s="886"/>
      <c r="DZC1519" s="886"/>
      <c r="DZD1519" s="886"/>
      <c r="DZE1519" s="886"/>
      <c r="DZF1519" s="886"/>
      <c r="DZG1519" s="886"/>
      <c r="DZH1519" s="886"/>
      <c r="DZI1519" s="886"/>
      <c r="DZJ1519" s="886"/>
      <c r="DZK1519" s="886"/>
      <c r="DZL1519" s="886"/>
      <c r="DZM1519" s="886"/>
      <c r="DZN1519" s="886"/>
      <c r="DZO1519" s="886"/>
      <c r="DZP1519" s="886"/>
      <c r="DZQ1519" s="886"/>
      <c r="DZR1519" s="886"/>
      <c r="DZS1519" s="886"/>
      <c r="DZT1519" s="886"/>
      <c r="DZU1519" s="886"/>
      <c r="DZV1519" s="886"/>
      <c r="DZW1519" s="886"/>
      <c r="DZX1519" s="886"/>
      <c r="DZY1519" s="886"/>
      <c r="DZZ1519" s="886"/>
      <c r="EAA1519" s="886"/>
      <c r="EAB1519" s="886"/>
      <c r="EAC1519" s="886"/>
      <c r="EAD1519" s="886"/>
      <c r="EAE1519" s="886"/>
      <c r="EAF1519" s="886"/>
      <c r="EAG1519" s="886"/>
      <c r="EAH1519" s="886"/>
      <c r="EAI1519" s="886"/>
      <c r="EAJ1519" s="886"/>
      <c r="EAK1519" s="886"/>
      <c r="EAL1519" s="886"/>
      <c r="EAM1519" s="886"/>
      <c r="EAN1519" s="886"/>
      <c r="EAO1519" s="886"/>
      <c r="EAP1519" s="886"/>
      <c r="EAQ1519" s="886"/>
      <c r="EAR1519" s="886"/>
      <c r="EAS1519" s="886"/>
      <c r="EAT1519" s="886"/>
      <c r="EAU1519" s="886"/>
      <c r="EAV1519" s="886"/>
      <c r="EAW1519" s="886"/>
      <c r="EAX1519" s="886"/>
      <c r="EAY1519" s="886"/>
      <c r="EAZ1519" s="886"/>
      <c r="EBA1519" s="886"/>
      <c r="EBB1519" s="886"/>
      <c r="EBC1519" s="886"/>
      <c r="EBD1519" s="886"/>
      <c r="EBE1519" s="886"/>
      <c r="EBF1519" s="886"/>
      <c r="EBG1519" s="886"/>
      <c r="EBH1519" s="886"/>
      <c r="EBI1519" s="886"/>
      <c r="EBJ1519" s="886"/>
      <c r="EBK1519" s="886"/>
      <c r="EBL1519" s="886"/>
      <c r="EBM1519" s="886"/>
      <c r="EBN1519" s="886"/>
      <c r="EBO1519" s="886"/>
      <c r="EBP1519" s="886"/>
      <c r="EBQ1519" s="886"/>
      <c r="EBR1519" s="886"/>
      <c r="EBS1519" s="886"/>
      <c r="EBT1519" s="886"/>
      <c r="EBU1519" s="886"/>
      <c r="EBV1519" s="886"/>
      <c r="EBW1519" s="886"/>
      <c r="EBX1519" s="886"/>
      <c r="EBY1519" s="886"/>
      <c r="EBZ1519" s="886"/>
      <c r="ECA1519" s="886"/>
      <c r="ECB1519" s="886"/>
      <c r="ECC1519" s="886"/>
      <c r="ECD1519" s="886"/>
      <c r="ECE1519" s="886"/>
      <c r="ECF1519" s="886"/>
      <c r="ECG1519" s="886"/>
      <c r="ECH1519" s="886"/>
      <c r="ECI1519" s="886"/>
      <c r="ECJ1519" s="886"/>
      <c r="ECK1519" s="886"/>
      <c r="ECL1519" s="886"/>
      <c r="ECM1519" s="886"/>
      <c r="ECN1519" s="886"/>
      <c r="ECO1519" s="886"/>
      <c r="ECP1519" s="886"/>
      <c r="ECQ1519" s="886"/>
      <c r="ECR1519" s="886"/>
      <c r="ECS1519" s="886"/>
      <c r="ECT1519" s="886"/>
      <c r="ECU1519" s="886"/>
      <c r="ECV1519" s="886"/>
      <c r="ECW1519" s="886"/>
      <c r="ECX1519" s="886"/>
      <c r="ECY1519" s="886"/>
      <c r="ECZ1519" s="886"/>
      <c r="EDA1519" s="886"/>
      <c r="EDB1519" s="886"/>
      <c r="EDC1519" s="886"/>
      <c r="EDD1519" s="886"/>
      <c r="EDE1519" s="886"/>
      <c r="EDF1519" s="886"/>
      <c r="EDG1519" s="886"/>
      <c r="EDH1519" s="886"/>
      <c r="EDI1519" s="886"/>
      <c r="EDJ1519" s="886"/>
      <c r="EDK1519" s="886"/>
      <c r="EDL1519" s="886"/>
      <c r="EDM1519" s="886"/>
      <c r="EDN1519" s="886"/>
      <c r="EDO1519" s="886"/>
      <c r="EDP1519" s="886"/>
      <c r="EDQ1519" s="886"/>
      <c r="EDR1519" s="886"/>
      <c r="EDS1519" s="886"/>
      <c r="EDT1519" s="886"/>
      <c r="EDU1519" s="886"/>
      <c r="EDV1519" s="886"/>
      <c r="EDW1519" s="886"/>
      <c r="EDX1519" s="886"/>
      <c r="EDY1519" s="886"/>
      <c r="EDZ1519" s="886"/>
      <c r="EEA1519" s="886"/>
      <c r="EEB1519" s="886"/>
      <c r="EEC1519" s="886"/>
      <c r="EED1519" s="886"/>
      <c r="EEE1519" s="886"/>
      <c r="EEF1519" s="886"/>
      <c r="EEG1519" s="886"/>
      <c r="EEH1519" s="886"/>
      <c r="EEI1519" s="886"/>
      <c r="EEJ1519" s="886"/>
      <c r="EEK1519" s="886"/>
      <c r="EEL1519" s="886"/>
      <c r="EEM1519" s="886"/>
      <c r="EEN1519" s="886"/>
      <c r="EEO1519" s="886"/>
      <c r="EEP1519" s="886"/>
      <c r="EEQ1519" s="886"/>
      <c r="EER1519" s="886"/>
      <c r="EES1519" s="886"/>
      <c r="EET1519" s="886"/>
      <c r="EEU1519" s="886"/>
      <c r="EEV1519" s="886"/>
      <c r="EEW1519" s="886"/>
      <c r="EEX1519" s="886"/>
      <c r="EEY1519" s="886"/>
      <c r="EEZ1519" s="886"/>
      <c r="EFA1519" s="886"/>
      <c r="EFB1519" s="886"/>
      <c r="EFC1519" s="886"/>
      <c r="EFD1519" s="886"/>
      <c r="EFE1519" s="886"/>
      <c r="EFF1519" s="886"/>
      <c r="EFG1519" s="886"/>
      <c r="EFH1519" s="886"/>
      <c r="EFI1519" s="886"/>
      <c r="EFJ1519" s="886"/>
      <c r="EFK1519" s="886"/>
      <c r="EFL1519" s="886"/>
      <c r="EFM1519" s="886"/>
      <c r="EFN1519" s="886"/>
      <c r="EFO1519" s="886"/>
      <c r="EFP1519" s="886"/>
      <c r="EFQ1519" s="886"/>
      <c r="EFR1519" s="886"/>
      <c r="EFS1519" s="886"/>
      <c r="EFT1519" s="886"/>
      <c r="EFU1519" s="886"/>
      <c r="EFV1519" s="886"/>
      <c r="EFW1519" s="886"/>
      <c r="EFX1519" s="886"/>
      <c r="EFY1519" s="886"/>
      <c r="EFZ1519" s="886"/>
      <c r="EGA1519" s="886"/>
      <c r="EGB1519" s="886"/>
      <c r="EGC1519" s="886"/>
      <c r="EGD1519" s="886"/>
      <c r="EGE1519" s="886"/>
      <c r="EGF1519" s="886"/>
      <c r="EGG1519" s="886"/>
      <c r="EGH1519" s="886"/>
      <c r="EGI1519" s="886"/>
      <c r="EGJ1519" s="886"/>
      <c r="EGK1519" s="886"/>
      <c r="EGL1519" s="886"/>
      <c r="EGM1519" s="886"/>
      <c r="EGN1519" s="886"/>
      <c r="EGO1519" s="886"/>
      <c r="EGP1519" s="886"/>
      <c r="EGQ1519" s="886"/>
      <c r="EGR1519" s="886"/>
      <c r="EGS1519" s="886"/>
      <c r="EGT1519" s="886"/>
      <c r="EGU1519" s="886"/>
      <c r="EGV1519" s="886"/>
      <c r="EGW1519" s="886"/>
      <c r="EGX1519" s="886"/>
      <c r="EGY1519" s="886"/>
      <c r="EGZ1519" s="886"/>
      <c r="EHA1519" s="886"/>
      <c r="EHB1519" s="886"/>
      <c r="EHC1519" s="886"/>
      <c r="EHD1519" s="886"/>
      <c r="EHE1519" s="886"/>
      <c r="EHF1519" s="886"/>
      <c r="EHG1519" s="886"/>
      <c r="EHH1519" s="886"/>
      <c r="EHI1519" s="886"/>
      <c r="EHJ1519" s="886"/>
      <c r="EHK1519" s="886"/>
      <c r="EHL1519" s="886"/>
      <c r="EHM1519" s="886"/>
      <c r="EHN1519" s="886"/>
      <c r="EHO1519" s="886"/>
      <c r="EHP1519" s="886"/>
      <c r="EHQ1519" s="886"/>
      <c r="EHR1519" s="886"/>
      <c r="EHS1519" s="886"/>
      <c r="EHT1519" s="886"/>
      <c r="EHU1519" s="886"/>
      <c r="EHV1519" s="886"/>
      <c r="EHW1519" s="886"/>
      <c r="EHX1519" s="886"/>
      <c r="EHY1519" s="886"/>
      <c r="EHZ1519" s="886"/>
      <c r="EIA1519" s="886"/>
      <c r="EIB1519" s="886"/>
      <c r="EIC1519" s="886"/>
      <c r="EID1519" s="886"/>
      <c r="EIE1519" s="886"/>
      <c r="EIF1519" s="886"/>
      <c r="EIG1519" s="886"/>
      <c r="EIH1519" s="886"/>
      <c r="EII1519" s="886"/>
      <c r="EIJ1519" s="886"/>
      <c r="EIK1519" s="886"/>
      <c r="EIL1519" s="886"/>
      <c r="EIM1519" s="886"/>
      <c r="EIN1519" s="886"/>
      <c r="EIO1519" s="886"/>
      <c r="EIP1519" s="886"/>
      <c r="EIQ1519" s="886"/>
      <c r="EIR1519" s="886"/>
      <c r="EIS1519" s="886"/>
      <c r="EIT1519" s="886"/>
      <c r="EIU1519" s="886"/>
      <c r="EIV1519" s="886"/>
      <c r="EIW1519" s="886"/>
      <c r="EIX1519" s="886"/>
      <c r="EIY1519" s="886"/>
      <c r="EIZ1519" s="886"/>
      <c r="EJA1519" s="886"/>
      <c r="EJB1519" s="886"/>
      <c r="EJC1519" s="886"/>
      <c r="EJD1519" s="886"/>
      <c r="EJE1519" s="886"/>
      <c r="EJF1519" s="886"/>
      <c r="EJG1519" s="886"/>
      <c r="EJH1519" s="886"/>
      <c r="EJI1519" s="886"/>
      <c r="EJJ1519" s="886"/>
      <c r="EJK1519" s="886"/>
      <c r="EJL1519" s="886"/>
      <c r="EJM1519" s="886"/>
      <c r="EJN1519" s="886"/>
      <c r="EJO1519" s="886"/>
      <c r="EJP1519" s="886"/>
      <c r="EJQ1519" s="886"/>
      <c r="EJR1519" s="886"/>
      <c r="EJS1519" s="886"/>
      <c r="EJT1519" s="886"/>
      <c r="EJU1519" s="886"/>
      <c r="EJV1519" s="886"/>
      <c r="EJW1519" s="886"/>
      <c r="EJX1519" s="886"/>
      <c r="EJY1519" s="886"/>
      <c r="EJZ1519" s="886"/>
      <c r="EKA1519" s="886"/>
      <c r="EKB1519" s="886"/>
      <c r="EKC1519" s="886"/>
      <c r="EKD1519" s="886"/>
      <c r="EKE1519" s="886"/>
      <c r="EKF1519" s="886"/>
      <c r="EKG1519" s="886"/>
      <c r="EKH1519" s="886"/>
      <c r="EKI1519" s="886"/>
      <c r="EKJ1519" s="886"/>
      <c r="EKK1519" s="886"/>
      <c r="EKL1519" s="886"/>
      <c r="EKM1519" s="886"/>
      <c r="EKN1519" s="886"/>
      <c r="EKO1519" s="886"/>
      <c r="EKP1519" s="886"/>
      <c r="EKQ1519" s="886"/>
      <c r="EKR1519" s="886"/>
      <c r="EKS1519" s="886"/>
      <c r="EKT1519" s="886"/>
      <c r="EKU1519" s="886"/>
      <c r="EKV1519" s="886"/>
      <c r="EKW1519" s="886"/>
      <c r="EKX1519" s="886"/>
      <c r="EKY1519" s="886"/>
      <c r="EKZ1519" s="886"/>
      <c r="ELA1519" s="886"/>
      <c r="ELB1519" s="886"/>
      <c r="ELC1519" s="886"/>
      <c r="ELD1519" s="886"/>
      <c r="ELE1519" s="886"/>
      <c r="ELF1519" s="886"/>
      <c r="ELG1519" s="886"/>
      <c r="ELH1519" s="886"/>
      <c r="ELI1519" s="886"/>
      <c r="ELJ1519" s="886"/>
      <c r="ELK1519" s="886"/>
      <c r="ELL1519" s="886"/>
      <c r="ELM1519" s="886"/>
      <c r="ELN1519" s="886"/>
      <c r="ELO1519" s="886"/>
      <c r="ELP1519" s="886"/>
      <c r="ELQ1519" s="886"/>
      <c r="ELR1519" s="886"/>
      <c r="ELS1519" s="886"/>
      <c r="ELT1519" s="886"/>
      <c r="ELU1519" s="886"/>
      <c r="ELV1519" s="886"/>
      <c r="ELW1519" s="886"/>
      <c r="ELX1519" s="886"/>
      <c r="ELY1519" s="886"/>
      <c r="ELZ1519" s="886"/>
      <c r="EMA1519" s="886"/>
      <c r="EMB1519" s="886"/>
      <c r="EMC1519" s="886"/>
      <c r="EMD1519" s="886"/>
      <c r="EME1519" s="886"/>
      <c r="EMF1519" s="886"/>
      <c r="EMG1519" s="886"/>
      <c r="EMH1519" s="886"/>
      <c r="EMI1519" s="886"/>
      <c r="EMJ1519" s="886"/>
      <c r="EMK1519" s="886"/>
      <c r="EML1519" s="886"/>
      <c r="EMM1519" s="886"/>
      <c r="EMN1519" s="886"/>
      <c r="EMO1519" s="886"/>
      <c r="EMP1519" s="886"/>
      <c r="EMQ1519" s="886"/>
      <c r="EMR1519" s="886"/>
      <c r="EMS1519" s="886"/>
      <c r="EMT1519" s="886"/>
      <c r="EMU1519" s="886"/>
      <c r="EMV1519" s="886"/>
      <c r="EMW1519" s="886"/>
      <c r="EMX1519" s="886"/>
      <c r="EMY1519" s="886"/>
      <c r="EMZ1519" s="886"/>
      <c r="ENA1519" s="886"/>
      <c r="ENB1519" s="886"/>
      <c r="ENC1519" s="886"/>
      <c r="END1519" s="886"/>
      <c r="ENE1519" s="886"/>
      <c r="ENF1519" s="886"/>
      <c r="ENG1519" s="886"/>
      <c r="ENH1519" s="886"/>
      <c r="ENI1519" s="886"/>
      <c r="ENJ1519" s="886"/>
      <c r="ENK1519" s="886"/>
      <c r="ENL1519" s="886"/>
      <c r="ENM1519" s="886"/>
      <c r="ENN1519" s="886"/>
      <c r="ENO1519" s="886"/>
      <c r="ENP1519" s="886"/>
      <c r="ENQ1519" s="886"/>
      <c r="ENR1519" s="886"/>
      <c r="ENS1519" s="886"/>
      <c r="ENT1519" s="886"/>
      <c r="ENU1519" s="886"/>
      <c r="ENV1519" s="886"/>
      <c r="ENW1519" s="886"/>
      <c r="ENX1519" s="886"/>
      <c r="ENY1519" s="886"/>
      <c r="ENZ1519" s="886"/>
      <c r="EOA1519" s="886"/>
      <c r="EOB1519" s="886"/>
      <c r="EOC1519" s="886"/>
      <c r="EOD1519" s="886"/>
      <c r="EOE1519" s="886"/>
      <c r="EOF1519" s="886"/>
      <c r="EOG1519" s="886"/>
      <c r="EOH1519" s="886"/>
      <c r="EOI1519" s="886"/>
      <c r="EOJ1519" s="886"/>
      <c r="EOK1519" s="886"/>
      <c r="EOL1519" s="886"/>
      <c r="EOM1519" s="886"/>
      <c r="EON1519" s="886"/>
      <c r="EOO1519" s="886"/>
      <c r="EOP1519" s="886"/>
      <c r="EOQ1519" s="886"/>
      <c r="EOR1519" s="886"/>
      <c r="EOS1519" s="886"/>
      <c r="EOT1519" s="886"/>
      <c r="EOU1519" s="886"/>
      <c r="EOV1519" s="886"/>
      <c r="EOW1519" s="886"/>
      <c r="EOX1519" s="886"/>
      <c r="EOY1519" s="886"/>
      <c r="EOZ1519" s="886"/>
      <c r="EPA1519" s="886"/>
      <c r="EPB1519" s="886"/>
      <c r="EPC1519" s="886"/>
      <c r="EPD1519" s="886"/>
      <c r="EPE1519" s="886"/>
      <c r="EPF1519" s="886"/>
      <c r="EPG1519" s="886"/>
      <c r="EPH1519" s="886"/>
      <c r="EPI1519" s="886"/>
      <c r="EPJ1519" s="886"/>
      <c r="EPK1519" s="886"/>
      <c r="EPL1519" s="886"/>
      <c r="EPM1519" s="886"/>
      <c r="EPN1519" s="886"/>
      <c r="EPO1519" s="886"/>
      <c r="EPP1519" s="886"/>
      <c r="EPQ1519" s="886"/>
      <c r="EPR1519" s="886"/>
      <c r="EPS1519" s="886"/>
      <c r="EPT1519" s="886"/>
      <c r="EPU1519" s="886"/>
      <c r="EPV1519" s="886"/>
      <c r="EPW1519" s="886"/>
      <c r="EPX1519" s="886"/>
      <c r="EPY1519" s="886"/>
      <c r="EPZ1519" s="886"/>
      <c r="EQA1519" s="886"/>
      <c r="EQB1519" s="886"/>
      <c r="EQC1519" s="886"/>
      <c r="EQD1519" s="886"/>
      <c r="EQE1519" s="886"/>
      <c r="EQF1519" s="886"/>
      <c r="EQG1519" s="886"/>
      <c r="EQH1519" s="886"/>
      <c r="EQI1519" s="886"/>
      <c r="EQJ1519" s="886"/>
      <c r="EQK1519" s="886"/>
      <c r="EQL1519" s="886"/>
      <c r="EQM1519" s="886"/>
      <c r="EQN1519" s="886"/>
      <c r="EQO1519" s="886"/>
      <c r="EQP1519" s="886"/>
      <c r="EQQ1519" s="886"/>
      <c r="EQR1519" s="886"/>
      <c r="EQS1519" s="886"/>
      <c r="EQT1519" s="886"/>
      <c r="EQU1519" s="886"/>
      <c r="EQV1519" s="886"/>
      <c r="EQW1519" s="886"/>
      <c r="EQX1519" s="886"/>
      <c r="EQY1519" s="886"/>
      <c r="EQZ1519" s="886"/>
      <c r="ERA1519" s="886"/>
      <c r="ERB1519" s="886"/>
      <c r="ERC1519" s="886"/>
      <c r="ERD1519" s="886"/>
      <c r="ERE1519" s="886"/>
      <c r="ERF1519" s="886"/>
      <c r="ERG1519" s="886"/>
      <c r="ERH1519" s="886"/>
      <c r="ERI1519" s="886"/>
      <c r="ERJ1519" s="886"/>
      <c r="ERK1519" s="886"/>
      <c r="ERL1519" s="886"/>
      <c r="ERM1519" s="886"/>
      <c r="ERN1519" s="886"/>
      <c r="ERO1519" s="886"/>
      <c r="ERP1519" s="886"/>
      <c r="ERQ1519" s="886"/>
      <c r="ERR1519" s="886"/>
      <c r="ERS1519" s="886"/>
      <c r="ERT1519" s="886"/>
      <c r="ERU1519" s="886"/>
      <c r="ERV1519" s="886"/>
      <c r="ERW1519" s="886"/>
      <c r="ERX1519" s="886"/>
      <c r="ERY1519" s="886"/>
      <c r="ERZ1519" s="886"/>
      <c r="ESA1519" s="886"/>
      <c r="ESB1519" s="886"/>
      <c r="ESC1519" s="886"/>
      <c r="ESD1519" s="886"/>
      <c r="ESE1519" s="886"/>
      <c r="ESF1519" s="886"/>
      <c r="ESG1519" s="886"/>
      <c r="ESH1519" s="886"/>
      <c r="ESI1519" s="886"/>
      <c r="ESJ1519" s="886"/>
      <c r="ESK1519" s="886"/>
      <c r="ESL1519" s="886"/>
      <c r="ESM1519" s="886"/>
      <c r="ESN1519" s="886"/>
      <c r="ESO1519" s="886"/>
      <c r="ESP1519" s="886"/>
      <c r="ESQ1519" s="886"/>
      <c r="ESR1519" s="886"/>
      <c r="ESS1519" s="886"/>
      <c r="EST1519" s="886"/>
      <c r="ESU1519" s="886"/>
      <c r="ESV1519" s="886"/>
      <c r="ESW1519" s="886"/>
      <c r="ESX1519" s="886"/>
      <c r="ESY1519" s="886"/>
      <c r="ESZ1519" s="886"/>
      <c r="ETA1519" s="886"/>
      <c r="ETB1519" s="886"/>
      <c r="ETC1519" s="886"/>
      <c r="ETD1519" s="886"/>
      <c r="ETE1519" s="886"/>
      <c r="ETF1519" s="886"/>
      <c r="ETG1519" s="886"/>
      <c r="ETH1519" s="886"/>
      <c r="ETI1519" s="886"/>
      <c r="ETJ1519" s="886"/>
      <c r="ETK1519" s="886"/>
      <c r="ETL1519" s="886"/>
      <c r="ETM1519" s="886"/>
      <c r="ETN1519" s="886"/>
      <c r="ETO1519" s="886"/>
      <c r="ETP1519" s="886"/>
      <c r="ETQ1519" s="886"/>
      <c r="ETR1519" s="886"/>
      <c r="ETS1519" s="886"/>
      <c r="ETT1519" s="886"/>
      <c r="ETU1519" s="886"/>
      <c r="ETV1519" s="886"/>
      <c r="ETW1519" s="886"/>
      <c r="ETX1519" s="886"/>
      <c r="ETY1519" s="886"/>
      <c r="ETZ1519" s="886"/>
      <c r="EUA1519" s="886"/>
      <c r="EUB1519" s="886"/>
      <c r="EUC1519" s="886"/>
      <c r="EUD1519" s="886"/>
      <c r="EUE1519" s="886"/>
      <c r="EUF1519" s="886"/>
      <c r="EUG1519" s="886"/>
      <c r="EUH1519" s="886"/>
      <c r="EUI1519" s="886"/>
      <c r="EUJ1519" s="886"/>
      <c r="EUK1519" s="886"/>
      <c r="EUL1519" s="886"/>
      <c r="EUM1519" s="886"/>
      <c r="EUN1519" s="886"/>
      <c r="EUO1519" s="886"/>
      <c r="EUP1519" s="886"/>
      <c r="EUQ1519" s="886"/>
      <c r="EUR1519" s="886"/>
      <c r="EUS1519" s="886"/>
      <c r="EUT1519" s="886"/>
      <c r="EUU1519" s="886"/>
      <c r="EUV1519" s="886"/>
      <c r="EUW1519" s="886"/>
      <c r="EUX1519" s="886"/>
      <c r="EUY1519" s="886"/>
      <c r="EUZ1519" s="886"/>
      <c r="EVA1519" s="886"/>
      <c r="EVB1519" s="886"/>
      <c r="EVC1519" s="886"/>
      <c r="EVD1519" s="886"/>
      <c r="EVE1519" s="886"/>
      <c r="EVF1519" s="886"/>
      <c r="EVG1519" s="886"/>
      <c r="EVH1519" s="886"/>
      <c r="EVI1519" s="886"/>
      <c r="EVJ1519" s="886"/>
      <c r="EVK1519" s="886"/>
      <c r="EVL1519" s="886"/>
      <c r="EVM1519" s="886"/>
      <c r="EVN1519" s="886"/>
      <c r="EVO1519" s="886"/>
      <c r="EVP1519" s="886"/>
      <c r="EVQ1519" s="886"/>
      <c r="EVR1519" s="886"/>
      <c r="EVS1519" s="886"/>
      <c r="EVT1519" s="886"/>
      <c r="EVU1519" s="886"/>
      <c r="EVV1519" s="886"/>
      <c r="EVW1519" s="886"/>
      <c r="EVX1519" s="886"/>
      <c r="EVY1519" s="886"/>
      <c r="EVZ1519" s="886"/>
      <c r="EWA1519" s="886"/>
      <c r="EWB1519" s="886"/>
      <c r="EWC1519" s="886"/>
      <c r="EWD1519" s="886"/>
      <c r="EWE1519" s="886"/>
      <c r="EWF1519" s="886"/>
      <c r="EWG1519" s="886"/>
      <c r="EWH1519" s="886"/>
      <c r="EWI1519" s="886"/>
      <c r="EWJ1519" s="886"/>
      <c r="EWK1519" s="886"/>
      <c r="EWL1519" s="886"/>
      <c r="EWM1519" s="886"/>
      <c r="EWN1519" s="886"/>
      <c r="EWO1519" s="886"/>
      <c r="EWP1519" s="886"/>
      <c r="EWQ1519" s="886"/>
      <c r="EWR1519" s="886"/>
      <c r="EWS1519" s="886"/>
      <c r="EWT1519" s="886"/>
      <c r="EWU1519" s="886"/>
      <c r="EWV1519" s="886"/>
      <c r="EWW1519" s="886"/>
      <c r="EWX1519" s="886"/>
      <c r="EWY1519" s="886"/>
      <c r="EWZ1519" s="886"/>
      <c r="EXA1519" s="886"/>
      <c r="EXB1519" s="886"/>
      <c r="EXC1519" s="886"/>
      <c r="EXD1519" s="886"/>
      <c r="EXE1519" s="886"/>
      <c r="EXF1519" s="886"/>
      <c r="EXG1519" s="886"/>
      <c r="EXH1519" s="886"/>
      <c r="EXI1519" s="886"/>
      <c r="EXJ1519" s="886"/>
      <c r="EXK1519" s="886"/>
      <c r="EXL1519" s="886"/>
      <c r="EXM1519" s="886"/>
      <c r="EXN1519" s="886"/>
      <c r="EXO1519" s="886"/>
      <c r="EXP1519" s="886"/>
      <c r="EXQ1519" s="886"/>
      <c r="EXR1519" s="886"/>
      <c r="EXS1519" s="886"/>
      <c r="EXT1519" s="886"/>
      <c r="EXU1519" s="886"/>
      <c r="EXV1519" s="886"/>
      <c r="EXW1519" s="886"/>
      <c r="EXX1519" s="886"/>
      <c r="EXY1519" s="886"/>
      <c r="EXZ1519" s="886"/>
      <c r="EYA1519" s="886"/>
      <c r="EYB1519" s="886"/>
      <c r="EYC1519" s="886"/>
      <c r="EYD1519" s="886"/>
      <c r="EYE1519" s="886"/>
      <c r="EYF1519" s="886"/>
      <c r="EYG1519" s="886"/>
      <c r="EYH1519" s="886"/>
      <c r="EYI1519" s="886"/>
      <c r="EYJ1519" s="886"/>
      <c r="EYK1519" s="886"/>
      <c r="EYL1519" s="886"/>
      <c r="EYM1519" s="886"/>
      <c r="EYN1519" s="886"/>
      <c r="EYO1519" s="886"/>
      <c r="EYP1519" s="886"/>
      <c r="EYQ1519" s="886"/>
      <c r="EYR1519" s="886"/>
      <c r="EYS1519" s="886"/>
      <c r="EYT1519" s="886"/>
      <c r="EYU1519" s="886"/>
      <c r="EYV1519" s="886"/>
      <c r="EYW1519" s="886"/>
      <c r="EYX1519" s="886"/>
      <c r="EYY1519" s="886"/>
      <c r="EYZ1519" s="886"/>
      <c r="EZA1519" s="886"/>
      <c r="EZB1519" s="886"/>
      <c r="EZC1519" s="886"/>
      <c r="EZD1519" s="886"/>
      <c r="EZE1519" s="886"/>
      <c r="EZF1519" s="886"/>
      <c r="EZG1519" s="886"/>
      <c r="EZH1519" s="886"/>
      <c r="EZI1519" s="886"/>
      <c r="EZJ1519" s="886"/>
      <c r="EZK1519" s="886"/>
      <c r="EZL1519" s="886"/>
      <c r="EZM1519" s="886"/>
      <c r="EZN1519" s="886"/>
      <c r="EZO1519" s="886"/>
      <c r="EZP1519" s="886"/>
      <c r="EZQ1519" s="886"/>
      <c r="EZR1519" s="886"/>
      <c r="EZS1519" s="886"/>
      <c r="EZT1519" s="886"/>
      <c r="EZU1519" s="886"/>
      <c r="EZV1519" s="886"/>
      <c r="EZW1519" s="886"/>
      <c r="EZX1519" s="886"/>
      <c r="EZY1519" s="886"/>
      <c r="EZZ1519" s="886"/>
      <c r="FAA1519" s="886"/>
      <c r="FAB1519" s="886"/>
      <c r="FAC1519" s="886"/>
      <c r="FAD1519" s="886"/>
      <c r="FAE1519" s="886"/>
      <c r="FAF1519" s="886"/>
      <c r="FAG1519" s="886"/>
      <c r="FAH1519" s="886"/>
      <c r="FAI1519" s="886"/>
      <c r="FAJ1519" s="886"/>
      <c r="FAK1519" s="886"/>
      <c r="FAL1519" s="886"/>
      <c r="FAM1519" s="886"/>
      <c r="FAN1519" s="886"/>
      <c r="FAO1519" s="886"/>
      <c r="FAP1519" s="886"/>
      <c r="FAQ1519" s="886"/>
      <c r="FAR1519" s="886"/>
      <c r="FAS1519" s="886"/>
      <c r="FAT1519" s="886"/>
      <c r="FAU1519" s="886"/>
      <c r="FAV1519" s="886"/>
      <c r="FAW1519" s="886"/>
      <c r="FAX1519" s="886"/>
      <c r="FAY1519" s="886"/>
      <c r="FAZ1519" s="886"/>
      <c r="FBA1519" s="886"/>
      <c r="FBB1519" s="886"/>
      <c r="FBC1519" s="886"/>
      <c r="FBD1519" s="886"/>
      <c r="FBE1519" s="886"/>
      <c r="FBF1519" s="886"/>
      <c r="FBG1519" s="886"/>
      <c r="FBH1519" s="886"/>
      <c r="FBI1519" s="886"/>
      <c r="FBJ1519" s="886"/>
      <c r="FBK1519" s="886"/>
      <c r="FBL1519" s="886"/>
      <c r="FBM1519" s="886"/>
      <c r="FBN1519" s="886"/>
      <c r="FBO1519" s="886"/>
      <c r="FBP1519" s="886"/>
      <c r="FBQ1519" s="886"/>
      <c r="FBR1519" s="886"/>
      <c r="FBS1519" s="886"/>
      <c r="FBT1519" s="886"/>
      <c r="FBU1519" s="886"/>
      <c r="FBV1519" s="886"/>
      <c r="FBW1519" s="886"/>
      <c r="FBX1519" s="886"/>
      <c r="FBY1519" s="886"/>
      <c r="FBZ1519" s="886"/>
      <c r="FCA1519" s="886"/>
      <c r="FCB1519" s="886"/>
      <c r="FCC1519" s="886"/>
      <c r="FCD1519" s="886"/>
      <c r="FCE1519" s="886"/>
      <c r="FCF1519" s="886"/>
      <c r="FCG1519" s="886"/>
      <c r="FCH1519" s="886"/>
      <c r="FCI1519" s="886"/>
      <c r="FCJ1519" s="886"/>
      <c r="FCK1519" s="886"/>
      <c r="FCL1519" s="886"/>
      <c r="FCM1519" s="886"/>
      <c r="FCN1519" s="886"/>
      <c r="FCO1519" s="886"/>
      <c r="FCP1519" s="886"/>
      <c r="FCQ1519" s="886"/>
      <c r="FCR1519" s="886"/>
      <c r="FCS1519" s="886"/>
      <c r="FCT1519" s="886"/>
      <c r="FCU1519" s="886"/>
      <c r="FCV1519" s="886"/>
      <c r="FCW1519" s="886"/>
      <c r="FCX1519" s="886"/>
      <c r="FCY1519" s="886"/>
      <c r="FCZ1519" s="886"/>
      <c r="FDA1519" s="886"/>
      <c r="FDB1519" s="886"/>
      <c r="FDC1519" s="886"/>
      <c r="FDD1519" s="886"/>
      <c r="FDE1519" s="886"/>
      <c r="FDF1519" s="886"/>
      <c r="FDG1519" s="886"/>
      <c r="FDH1519" s="886"/>
      <c r="FDI1519" s="886"/>
      <c r="FDJ1519" s="886"/>
      <c r="FDK1519" s="886"/>
      <c r="FDL1519" s="886"/>
      <c r="FDM1519" s="886"/>
      <c r="FDN1519" s="886"/>
      <c r="FDO1519" s="886"/>
      <c r="FDP1519" s="886"/>
      <c r="FDQ1519" s="886"/>
      <c r="FDR1519" s="886"/>
      <c r="FDS1519" s="886"/>
      <c r="FDT1519" s="886"/>
      <c r="FDU1519" s="886"/>
      <c r="FDV1519" s="886"/>
      <c r="FDW1519" s="886"/>
      <c r="FDX1519" s="886"/>
      <c r="FDY1519" s="886"/>
      <c r="FDZ1519" s="886"/>
      <c r="FEA1519" s="886"/>
      <c r="FEB1519" s="886"/>
      <c r="FEC1519" s="886"/>
      <c r="FED1519" s="886"/>
      <c r="FEE1519" s="886"/>
      <c r="FEF1519" s="886"/>
      <c r="FEG1519" s="886"/>
      <c r="FEH1519" s="886"/>
      <c r="FEI1519" s="886"/>
      <c r="FEJ1519" s="886"/>
      <c r="FEK1519" s="886"/>
      <c r="FEL1519" s="886"/>
      <c r="FEM1519" s="886"/>
      <c r="FEN1519" s="886"/>
      <c r="FEO1519" s="886"/>
      <c r="FEP1519" s="886"/>
      <c r="FEQ1519" s="886"/>
      <c r="FER1519" s="886"/>
      <c r="FES1519" s="886"/>
      <c r="FET1519" s="886"/>
      <c r="FEU1519" s="886"/>
      <c r="FEV1519" s="886"/>
      <c r="FEW1519" s="886"/>
      <c r="FEX1519" s="886"/>
      <c r="FEY1519" s="886"/>
      <c r="FEZ1519" s="886"/>
      <c r="FFA1519" s="886"/>
      <c r="FFB1519" s="886"/>
      <c r="FFC1519" s="886"/>
      <c r="FFD1519" s="886"/>
      <c r="FFE1519" s="886"/>
      <c r="FFF1519" s="886"/>
      <c r="FFG1519" s="886"/>
      <c r="FFH1519" s="886"/>
      <c r="FFI1519" s="886"/>
      <c r="FFJ1519" s="886"/>
      <c r="FFK1519" s="886"/>
      <c r="FFL1519" s="886"/>
      <c r="FFM1519" s="886"/>
      <c r="FFN1519" s="886"/>
      <c r="FFO1519" s="886"/>
      <c r="FFP1519" s="886"/>
      <c r="FFQ1519" s="886"/>
      <c r="FFR1519" s="886"/>
      <c r="FFS1519" s="886"/>
      <c r="FFT1519" s="886"/>
      <c r="FFU1519" s="886"/>
      <c r="FFV1519" s="886"/>
      <c r="FFW1519" s="886"/>
      <c r="FFX1519" s="886"/>
      <c r="FFY1519" s="886"/>
      <c r="FFZ1519" s="886"/>
      <c r="FGA1519" s="886"/>
      <c r="FGB1519" s="886"/>
      <c r="FGC1519" s="886"/>
      <c r="FGD1519" s="886"/>
      <c r="FGE1519" s="886"/>
      <c r="FGF1519" s="886"/>
      <c r="FGG1519" s="886"/>
      <c r="FGH1519" s="886"/>
      <c r="FGI1519" s="886"/>
      <c r="FGJ1519" s="886"/>
      <c r="FGK1519" s="886"/>
      <c r="FGL1519" s="886"/>
      <c r="FGM1519" s="886"/>
      <c r="FGN1519" s="886"/>
      <c r="FGO1519" s="886"/>
      <c r="FGP1519" s="886"/>
      <c r="FGQ1519" s="886"/>
      <c r="FGR1519" s="886"/>
      <c r="FGS1519" s="886"/>
      <c r="FGT1519" s="886"/>
      <c r="FGU1519" s="886"/>
      <c r="FGV1519" s="886"/>
      <c r="FGW1519" s="886"/>
      <c r="FGX1519" s="886"/>
      <c r="FGY1519" s="886"/>
      <c r="FGZ1519" s="886"/>
      <c r="FHA1519" s="886"/>
      <c r="FHB1519" s="886"/>
      <c r="FHC1519" s="886"/>
      <c r="FHD1519" s="886"/>
      <c r="FHE1519" s="886"/>
      <c r="FHF1519" s="886"/>
      <c r="FHG1519" s="886"/>
      <c r="FHH1519" s="886"/>
      <c r="FHI1519" s="886"/>
      <c r="FHJ1519" s="886"/>
      <c r="FHK1519" s="886"/>
      <c r="FHL1519" s="886"/>
      <c r="FHM1519" s="886"/>
      <c r="FHN1519" s="886"/>
      <c r="FHO1519" s="886"/>
      <c r="FHP1519" s="886"/>
      <c r="FHQ1519" s="886"/>
      <c r="FHR1519" s="886"/>
      <c r="FHS1519" s="886"/>
      <c r="FHT1519" s="886"/>
      <c r="FHU1519" s="886"/>
      <c r="FHV1519" s="886"/>
      <c r="FHW1519" s="886"/>
      <c r="FHX1519" s="886"/>
      <c r="FHY1519" s="886"/>
      <c r="FHZ1519" s="886"/>
      <c r="FIA1519" s="886"/>
      <c r="FIB1519" s="886"/>
      <c r="FIC1519" s="886"/>
      <c r="FID1519" s="886"/>
      <c r="FIE1519" s="886"/>
      <c r="FIF1519" s="886"/>
      <c r="FIG1519" s="886"/>
      <c r="FIH1519" s="886"/>
      <c r="FII1519" s="886"/>
      <c r="FIJ1519" s="886"/>
      <c r="FIK1519" s="886"/>
      <c r="FIL1519" s="886"/>
      <c r="FIM1519" s="886"/>
      <c r="FIN1519" s="886"/>
      <c r="FIO1519" s="886"/>
      <c r="FIP1519" s="886"/>
      <c r="FIQ1519" s="886"/>
      <c r="FIR1519" s="886"/>
      <c r="FIS1519" s="886"/>
      <c r="FIT1519" s="886"/>
      <c r="FIU1519" s="886"/>
      <c r="FIV1519" s="886"/>
      <c r="FIW1519" s="886"/>
      <c r="FIX1519" s="886"/>
      <c r="FIY1519" s="886"/>
      <c r="FIZ1519" s="886"/>
      <c r="FJA1519" s="886"/>
      <c r="FJB1519" s="886"/>
      <c r="FJC1519" s="886"/>
      <c r="FJD1519" s="886"/>
      <c r="FJE1519" s="886"/>
      <c r="FJF1519" s="886"/>
      <c r="FJG1519" s="886"/>
      <c r="FJH1519" s="886"/>
      <c r="FJI1519" s="886"/>
      <c r="FJJ1519" s="886"/>
      <c r="FJK1519" s="886"/>
      <c r="FJL1519" s="886"/>
      <c r="FJM1519" s="886"/>
      <c r="FJN1519" s="886"/>
      <c r="FJO1519" s="886"/>
      <c r="FJP1519" s="886"/>
      <c r="FJQ1519" s="886"/>
      <c r="FJR1519" s="886"/>
      <c r="FJS1519" s="886"/>
      <c r="FJT1519" s="886"/>
      <c r="FJU1519" s="886"/>
      <c r="FJV1519" s="886"/>
      <c r="FJW1519" s="886"/>
      <c r="FJX1519" s="886"/>
      <c r="FJY1519" s="886"/>
      <c r="FJZ1519" s="886"/>
      <c r="FKA1519" s="886"/>
      <c r="FKB1519" s="886"/>
      <c r="FKC1519" s="886"/>
      <c r="FKD1519" s="886"/>
      <c r="FKE1519" s="886"/>
      <c r="FKF1519" s="886"/>
      <c r="FKG1519" s="886"/>
      <c r="FKH1519" s="886"/>
      <c r="FKI1519" s="886"/>
      <c r="FKJ1519" s="886"/>
      <c r="FKK1519" s="886"/>
      <c r="FKL1519" s="886"/>
      <c r="FKM1519" s="886"/>
      <c r="FKN1519" s="886"/>
      <c r="FKO1519" s="886"/>
      <c r="FKP1519" s="886"/>
      <c r="FKQ1519" s="886"/>
      <c r="FKR1519" s="886"/>
      <c r="FKS1519" s="886"/>
      <c r="FKT1519" s="886"/>
      <c r="FKU1519" s="886"/>
      <c r="FKV1519" s="886"/>
      <c r="FKW1519" s="886"/>
      <c r="FKX1519" s="886"/>
      <c r="FKY1519" s="886"/>
      <c r="FKZ1519" s="886"/>
      <c r="FLA1519" s="886"/>
      <c r="FLB1519" s="886"/>
      <c r="FLC1519" s="886"/>
      <c r="FLD1519" s="886"/>
      <c r="FLE1519" s="886"/>
      <c r="FLF1519" s="886"/>
      <c r="FLG1519" s="886"/>
      <c r="FLH1519" s="886"/>
      <c r="FLI1519" s="886"/>
      <c r="FLJ1519" s="886"/>
      <c r="FLK1519" s="886"/>
      <c r="FLL1519" s="886"/>
      <c r="FLM1519" s="886"/>
      <c r="FLN1519" s="886"/>
      <c r="FLO1519" s="886"/>
      <c r="FLP1519" s="886"/>
      <c r="FLQ1519" s="886"/>
      <c r="FLR1519" s="886"/>
      <c r="FLS1519" s="886"/>
      <c r="FLT1519" s="886"/>
      <c r="FLU1519" s="886"/>
      <c r="FLV1519" s="886"/>
      <c r="FLW1519" s="886"/>
      <c r="FLX1519" s="886"/>
      <c r="FLY1519" s="886"/>
      <c r="FLZ1519" s="886"/>
      <c r="FMA1519" s="886"/>
      <c r="FMB1519" s="886"/>
      <c r="FMC1519" s="886"/>
      <c r="FMD1519" s="886"/>
      <c r="FME1519" s="886"/>
      <c r="FMF1519" s="886"/>
      <c r="FMG1519" s="886"/>
      <c r="FMH1519" s="886"/>
      <c r="FMI1519" s="886"/>
      <c r="FMJ1519" s="886"/>
      <c r="FMK1519" s="886"/>
      <c r="FML1519" s="886"/>
      <c r="FMM1519" s="886"/>
      <c r="FMN1519" s="886"/>
      <c r="FMO1519" s="886"/>
      <c r="FMP1519" s="886"/>
      <c r="FMQ1519" s="886"/>
      <c r="FMR1519" s="886"/>
      <c r="FMS1519" s="886"/>
      <c r="FMT1519" s="886"/>
      <c r="FMU1519" s="886"/>
      <c r="FMV1519" s="886"/>
      <c r="FMW1519" s="886"/>
      <c r="FMX1519" s="886"/>
      <c r="FMY1519" s="886"/>
      <c r="FMZ1519" s="886"/>
      <c r="FNA1519" s="886"/>
      <c r="FNB1519" s="886"/>
      <c r="FNC1519" s="886"/>
      <c r="FND1519" s="886"/>
      <c r="FNE1519" s="886"/>
      <c r="FNF1519" s="886"/>
      <c r="FNG1519" s="886"/>
      <c r="FNH1519" s="886"/>
      <c r="FNI1519" s="886"/>
      <c r="FNJ1519" s="886"/>
      <c r="FNK1519" s="886"/>
      <c r="FNL1519" s="886"/>
      <c r="FNM1519" s="886"/>
      <c r="FNN1519" s="886"/>
      <c r="FNO1519" s="886"/>
      <c r="FNP1519" s="886"/>
      <c r="FNQ1519" s="886"/>
      <c r="FNR1519" s="886"/>
      <c r="FNS1519" s="886"/>
      <c r="FNT1519" s="886"/>
      <c r="FNU1519" s="886"/>
      <c r="FNV1519" s="886"/>
      <c r="FNW1519" s="886"/>
      <c r="FNX1519" s="886"/>
      <c r="FNY1519" s="886"/>
      <c r="FNZ1519" s="886"/>
      <c r="FOA1519" s="886"/>
      <c r="FOB1519" s="886"/>
      <c r="FOC1519" s="886"/>
      <c r="FOD1519" s="886"/>
      <c r="FOE1519" s="886"/>
      <c r="FOF1519" s="886"/>
      <c r="FOG1519" s="886"/>
      <c r="FOH1519" s="886"/>
      <c r="FOI1519" s="886"/>
      <c r="FOJ1519" s="886"/>
      <c r="FOK1519" s="886"/>
      <c r="FOL1519" s="886"/>
      <c r="FOM1519" s="886"/>
      <c r="FON1519" s="886"/>
      <c r="FOO1519" s="886"/>
      <c r="FOP1519" s="886"/>
      <c r="FOQ1519" s="886"/>
      <c r="FOR1519" s="886"/>
      <c r="FOS1519" s="886"/>
      <c r="FOT1519" s="886"/>
      <c r="FOU1519" s="886"/>
      <c r="FOV1519" s="886"/>
      <c r="FOW1519" s="886"/>
      <c r="FOX1519" s="886"/>
      <c r="FOY1519" s="886"/>
      <c r="FOZ1519" s="886"/>
      <c r="FPA1519" s="886"/>
      <c r="FPB1519" s="886"/>
      <c r="FPC1519" s="886"/>
      <c r="FPD1519" s="886"/>
      <c r="FPE1519" s="886"/>
      <c r="FPF1519" s="886"/>
      <c r="FPG1519" s="886"/>
      <c r="FPH1519" s="886"/>
      <c r="FPI1519" s="886"/>
      <c r="FPJ1519" s="886"/>
      <c r="FPK1519" s="886"/>
      <c r="FPL1519" s="886"/>
      <c r="FPM1519" s="886"/>
      <c r="FPN1519" s="886"/>
      <c r="FPO1519" s="886"/>
      <c r="FPP1519" s="886"/>
      <c r="FPQ1519" s="886"/>
      <c r="FPR1519" s="886"/>
      <c r="FPS1519" s="886"/>
      <c r="FPT1519" s="886"/>
      <c r="FPU1519" s="886"/>
      <c r="FPV1519" s="886"/>
      <c r="FPW1519" s="886"/>
      <c r="FPX1519" s="886"/>
      <c r="FPY1519" s="886"/>
      <c r="FPZ1519" s="886"/>
      <c r="FQA1519" s="886"/>
      <c r="FQB1519" s="886"/>
      <c r="FQC1519" s="886"/>
      <c r="FQD1519" s="886"/>
      <c r="FQE1519" s="886"/>
      <c r="FQF1519" s="886"/>
      <c r="FQG1519" s="886"/>
      <c r="FQH1519" s="886"/>
      <c r="FQI1519" s="886"/>
      <c r="FQJ1519" s="886"/>
      <c r="FQK1519" s="886"/>
      <c r="FQL1519" s="886"/>
      <c r="FQM1519" s="886"/>
      <c r="FQN1519" s="886"/>
      <c r="FQO1519" s="886"/>
      <c r="FQP1519" s="886"/>
      <c r="FQQ1519" s="886"/>
      <c r="FQR1519" s="886"/>
      <c r="FQS1519" s="886"/>
      <c r="FQT1519" s="886"/>
      <c r="FQU1519" s="886"/>
      <c r="FQV1519" s="886"/>
      <c r="FQW1519" s="886"/>
      <c r="FQX1519" s="886"/>
      <c r="FQY1519" s="886"/>
      <c r="FQZ1519" s="886"/>
      <c r="FRA1519" s="886"/>
      <c r="FRB1519" s="886"/>
      <c r="FRC1519" s="886"/>
      <c r="FRD1519" s="886"/>
      <c r="FRE1519" s="886"/>
      <c r="FRF1519" s="886"/>
      <c r="FRG1519" s="886"/>
      <c r="FRH1519" s="886"/>
      <c r="FRI1519" s="886"/>
      <c r="FRJ1519" s="886"/>
      <c r="FRK1519" s="886"/>
      <c r="FRL1519" s="886"/>
      <c r="FRM1519" s="886"/>
      <c r="FRN1519" s="886"/>
      <c r="FRO1519" s="886"/>
      <c r="FRP1519" s="886"/>
      <c r="FRQ1519" s="886"/>
      <c r="FRR1519" s="886"/>
      <c r="FRS1519" s="886"/>
      <c r="FRT1519" s="886"/>
      <c r="FRU1519" s="886"/>
      <c r="FRV1519" s="886"/>
      <c r="FRW1519" s="886"/>
      <c r="FRX1519" s="886"/>
      <c r="FRY1519" s="886"/>
      <c r="FRZ1519" s="886"/>
      <c r="FSA1519" s="886"/>
      <c r="FSB1519" s="886"/>
      <c r="FSC1519" s="886"/>
      <c r="FSD1519" s="886"/>
      <c r="FSE1519" s="886"/>
      <c r="FSF1519" s="886"/>
      <c r="FSG1519" s="886"/>
      <c r="FSH1519" s="886"/>
      <c r="FSI1519" s="886"/>
      <c r="FSJ1519" s="886"/>
      <c r="FSK1519" s="886"/>
      <c r="FSL1519" s="886"/>
      <c r="FSM1519" s="886"/>
      <c r="FSN1519" s="886"/>
      <c r="FSO1519" s="886"/>
      <c r="FSP1519" s="886"/>
      <c r="FSQ1519" s="886"/>
      <c r="FSR1519" s="886"/>
      <c r="FSS1519" s="886"/>
      <c r="FST1519" s="886"/>
      <c r="FSU1519" s="886"/>
      <c r="FSV1519" s="886"/>
      <c r="FSW1519" s="886"/>
      <c r="FSX1519" s="886"/>
      <c r="FSY1519" s="886"/>
      <c r="FSZ1519" s="886"/>
      <c r="FTA1519" s="886"/>
      <c r="FTB1519" s="886"/>
      <c r="FTC1519" s="886"/>
      <c r="FTD1519" s="886"/>
      <c r="FTE1519" s="886"/>
      <c r="FTF1519" s="886"/>
      <c r="FTG1519" s="886"/>
      <c r="FTH1519" s="886"/>
      <c r="FTI1519" s="886"/>
      <c r="FTJ1519" s="886"/>
      <c r="FTK1519" s="886"/>
      <c r="FTL1519" s="886"/>
      <c r="FTM1519" s="886"/>
      <c r="FTN1519" s="886"/>
      <c r="FTO1519" s="886"/>
      <c r="FTP1519" s="886"/>
      <c r="FTQ1519" s="886"/>
      <c r="FTR1519" s="886"/>
      <c r="FTS1519" s="886"/>
      <c r="FTT1519" s="886"/>
      <c r="FTU1519" s="886"/>
      <c r="FTV1519" s="886"/>
      <c r="FTW1519" s="886"/>
      <c r="FTX1519" s="886"/>
      <c r="FTY1519" s="886"/>
      <c r="FTZ1519" s="886"/>
      <c r="FUA1519" s="886"/>
      <c r="FUB1519" s="886"/>
      <c r="FUC1519" s="886"/>
      <c r="FUD1519" s="886"/>
      <c r="FUE1519" s="886"/>
      <c r="FUF1519" s="886"/>
      <c r="FUG1519" s="886"/>
      <c r="FUH1519" s="886"/>
      <c r="FUI1519" s="886"/>
      <c r="FUJ1519" s="886"/>
      <c r="FUK1519" s="886"/>
      <c r="FUL1519" s="886"/>
      <c r="FUM1519" s="886"/>
      <c r="FUN1519" s="886"/>
      <c r="FUO1519" s="886"/>
      <c r="FUP1519" s="886"/>
      <c r="FUQ1519" s="886"/>
      <c r="FUR1519" s="886"/>
      <c r="FUS1519" s="886"/>
      <c r="FUT1519" s="886"/>
      <c r="FUU1519" s="886"/>
      <c r="FUV1519" s="886"/>
      <c r="FUW1519" s="886"/>
      <c r="FUX1519" s="886"/>
      <c r="FUY1519" s="886"/>
      <c r="FUZ1519" s="886"/>
      <c r="FVA1519" s="886"/>
      <c r="FVB1519" s="886"/>
      <c r="FVC1519" s="886"/>
      <c r="FVD1519" s="886"/>
      <c r="FVE1519" s="886"/>
      <c r="FVF1519" s="886"/>
      <c r="FVG1519" s="886"/>
      <c r="FVH1519" s="886"/>
      <c r="FVI1519" s="886"/>
      <c r="FVJ1519" s="886"/>
      <c r="FVK1519" s="886"/>
      <c r="FVL1519" s="886"/>
      <c r="FVM1519" s="886"/>
      <c r="FVN1519" s="886"/>
      <c r="FVO1519" s="886"/>
      <c r="FVP1519" s="886"/>
      <c r="FVQ1519" s="886"/>
      <c r="FVR1519" s="886"/>
      <c r="FVS1519" s="886"/>
      <c r="FVT1519" s="886"/>
      <c r="FVU1519" s="886"/>
      <c r="FVV1519" s="886"/>
      <c r="FVW1519" s="886"/>
      <c r="FVX1519" s="886"/>
      <c r="FVY1519" s="886"/>
      <c r="FVZ1519" s="886"/>
      <c r="FWA1519" s="886"/>
      <c r="FWB1519" s="886"/>
      <c r="FWC1519" s="886"/>
      <c r="FWD1519" s="886"/>
      <c r="FWE1519" s="886"/>
      <c r="FWF1519" s="886"/>
      <c r="FWG1519" s="886"/>
      <c r="FWH1519" s="886"/>
      <c r="FWI1519" s="886"/>
      <c r="FWJ1519" s="886"/>
      <c r="FWK1519" s="886"/>
      <c r="FWL1519" s="886"/>
      <c r="FWM1519" s="886"/>
      <c r="FWN1519" s="886"/>
      <c r="FWO1519" s="886"/>
      <c r="FWP1519" s="886"/>
      <c r="FWQ1519" s="886"/>
      <c r="FWR1519" s="886"/>
      <c r="FWS1519" s="886"/>
      <c r="FWT1519" s="886"/>
      <c r="FWU1519" s="886"/>
      <c r="FWV1519" s="886"/>
      <c r="FWW1519" s="886"/>
      <c r="FWX1519" s="886"/>
      <c r="FWY1519" s="886"/>
      <c r="FWZ1519" s="886"/>
      <c r="FXA1519" s="886"/>
      <c r="FXB1519" s="886"/>
      <c r="FXC1519" s="886"/>
      <c r="FXD1519" s="886"/>
      <c r="FXE1519" s="886"/>
      <c r="FXF1519" s="886"/>
      <c r="FXG1519" s="886"/>
      <c r="FXH1519" s="886"/>
      <c r="FXI1519" s="886"/>
      <c r="FXJ1519" s="886"/>
      <c r="FXK1519" s="886"/>
      <c r="FXL1519" s="886"/>
      <c r="FXM1519" s="886"/>
      <c r="FXN1519" s="886"/>
      <c r="FXO1519" s="886"/>
      <c r="FXP1519" s="886"/>
      <c r="FXQ1519" s="886"/>
      <c r="FXR1519" s="886"/>
      <c r="FXS1519" s="886"/>
      <c r="FXT1519" s="886"/>
      <c r="FXU1519" s="886"/>
      <c r="FXV1519" s="886"/>
      <c r="FXW1519" s="886"/>
      <c r="FXX1519" s="886"/>
      <c r="FXY1519" s="886"/>
      <c r="FXZ1519" s="886"/>
      <c r="FYA1519" s="886"/>
      <c r="FYB1519" s="886"/>
      <c r="FYC1519" s="886"/>
      <c r="FYD1519" s="886"/>
      <c r="FYE1519" s="886"/>
      <c r="FYF1519" s="886"/>
      <c r="FYG1519" s="886"/>
      <c r="FYH1519" s="886"/>
      <c r="FYI1519" s="886"/>
      <c r="FYJ1519" s="886"/>
      <c r="FYK1519" s="886"/>
      <c r="FYL1519" s="886"/>
      <c r="FYM1519" s="886"/>
      <c r="FYN1519" s="886"/>
      <c r="FYO1519" s="886"/>
      <c r="FYP1519" s="886"/>
      <c r="FYQ1519" s="886"/>
      <c r="FYR1519" s="886"/>
      <c r="FYS1519" s="886"/>
      <c r="FYT1519" s="886"/>
      <c r="FYU1519" s="886"/>
      <c r="FYV1519" s="886"/>
      <c r="FYW1519" s="886"/>
      <c r="FYX1519" s="886"/>
      <c r="FYY1519" s="886"/>
      <c r="FYZ1519" s="886"/>
      <c r="FZA1519" s="886"/>
      <c r="FZB1519" s="886"/>
      <c r="FZC1519" s="886"/>
      <c r="FZD1519" s="886"/>
      <c r="FZE1519" s="886"/>
      <c r="FZF1519" s="886"/>
      <c r="FZG1519" s="886"/>
      <c r="FZH1519" s="886"/>
      <c r="FZI1519" s="886"/>
      <c r="FZJ1519" s="886"/>
      <c r="FZK1519" s="886"/>
      <c r="FZL1519" s="886"/>
      <c r="FZM1519" s="886"/>
      <c r="FZN1519" s="886"/>
      <c r="FZO1519" s="886"/>
      <c r="FZP1519" s="886"/>
      <c r="FZQ1519" s="886"/>
      <c r="FZR1519" s="886"/>
      <c r="FZS1519" s="886"/>
      <c r="FZT1519" s="886"/>
      <c r="FZU1519" s="886"/>
      <c r="FZV1519" s="886"/>
      <c r="FZW1519" s="886"/>
      <c r="FZX1519" s="886"/>
      <c r="FZY1519" s="886"/>
      <c r="FZZ1519" s="886"/>
      <c r="GAA1519" s="886"/>
      <c r="GAB1519" s="886"/>
      <c r="GAC1519" s="886"/>
      <c r="GAD1519" s="886"/>
      <c r="GAE1519" s="886"/>
      <c r="GAF1519" s="886"/>
      <c r="GAG1519" s="886"/>
      <c r="GAH1519" s="886"/>
      <c r="GAI1519" s="886"/>
      <c r="GAJ1519" s="886"/>
      <c r="GAK1519" s="886"/>
      <c r="GAL1519" s="886"/>
      <c r="GAM1519" s="886"/>
      <c r="GAN1519" s="886"/>
      <c r="GAO1519" s="886"/>
      <c r="GAP1519" s="886"/>
      <c r="GAQ1519" s="886"/>
      <c r="GAR1519" s="886"/>
      <c r="GAS1519" s="886"/>
      <c r="GAT1519" s="886"/>
      <c r="GAU1519" s="886"/>
      <c r="GAV1519" s="886"/>
      <c r="GAW1519" s="886"/>
      <c r="GAX1519" s="886"/>
      <c r="GAY1519" s="886"/>
      <c r="GAZ1519" s="886"/>
      <c r="GBA1519" s="886"/>
      <c r="GBB1519" s="886"/>
      <c r="GBC1519" s="886"/>
      <c r="GBD1519" s="886"/>
      <c r="GBE1519" s="886"/>
      <c r="GBF1519" s="886"/>
      <c r="GBG1519" s="886"/>
      <c r="GBH1519" s="886"/>
      <c r="GBI1519" s="886"/>
      <c r="GBJ1519" s="886"/>
      <c r="GBK1519" s="886"/>
      <c r="GBL1519" s="886"/>
      <c r="GBM1519" s="886"/>
      <c r="GBN1519" s="886"/>
      <c r="GBO1519" s="886"/>
      <c r="GBP1519" s="886"/>
      <c r="GBQ1519" s="886"/>
      <c r="GBR1519" s="886"/>
      <c r="GBS1519" s="886"/>
      <c r="GBT1519" s="886"/>
      <c r="GBU1519" s="886"/>
      <c r="GBV1519" s="886"/>
      <c r="GBW1519" s="886"/>
      <c r="GBX1519" s="886"/>
      <c r="GBY1519" s="886"/>
      <c r="GBZ1519" s="886"/>
      <c r="GCA1519" s="886"/>
      <c r="GCB1519" s="886"/>
      <c r="GCC1519" s="886"/>
      <c r="GCD1519" s="886"/>
      <c r="GCE1519" s="886"/>
      <c r="GCF1519" s="886"/>
      <c r="GCG1519" s="886"/>
      <c r="GCH1519" s="886"/>
      <c r="GCI1519" s="886"/>
      <c r="GCJ1519" s="886"/>
      <c r="GCK1519" s="886"/>
      <c r="GCL1519" s="886"/>
      <c r="GCM1519" s="886"/>
      <c r="GCN1519" s="886"/>
      <c r="GCO1519" s="886"/>
      <c r="GCP1519" s="886"/>
      <c r="GCQ1519" s="886"/>
      <c r="GCR1519" s="886"/>
      <c r="GCS1519" s="886"/>
      <c r="GCT1519" s="886"/>
      <c r="GCU1519" s="886"/>
      <c r="GCV1519" s="886"/>
      <c r="GCW1519" s="886"/>
      <c r="GCX1519" s="886"/>
      <c r="GCY1519" s="886"/>
      <c r="GCZ1519" s="886"/>
      <c r="GDA1519" s="886"/>
      <c r="GDB1519" s="886"/>
      <c r="GDC1519" s="886"/>
      <c r="GDD1519" s="886"/>
      <c r="GDE1519" s="886"/>
      <c r="GDF1519" s="886"/>
      <c r="GDG1519" s="886"/>
      <c r="GDH1519" s="886"/>
      <c r="GDI1519" s="886"/>
      <c r="GDJ1519" s="886"/>
      <c r="GDK1519" s="886"/>
      <c r="GDL1519" s="886"/>
      <c r="GDM1519" s="886"/>
      <c r="GDN1519" s="886"/>
      <c r="GDO1519" s="886"/>
      <c r="GDP1519" s="886"/>
      <c r="GDQ1519" s="886"/>
      <c r="GDR1519" s="886"/>
      <c r="GDS1519" s="886"/>
      <c r="GDT1519" s="886"/>
      <c r="GDU1519" s="886"/>
      <c r="GDV1519" s="886"/>
      <c r="GDW1519" s="886"/>
      <c r="GDX1519" s="886"/>
      <c r="GDY1519" s="886"/>
      <c r="GDZ1519" s="886"/>
      <c r="GEA1519" s="886"/>
      <c r="GEB1519" s="886"/>
      <c r="GEC1519" s="886"/>
      <c r="GED1519" s="886"/>
      <c r="GEE1519" s="886"/>
      <c r="GEF1519" s="886"/>
      <c r="GEG1519" s="886"/>
      <c r="GEH1519" s="886"/>
      <c r="GEI1519" s="886"/>
      <c r="GEJ1519" s="886"/>
      <c r="GEK1519" s="886"/>
      <c r="GEL1519" s="886"/>
      <c r="GEM1519" s="886"/>
      <c r="GEN1519" s="886"/>
      <c r="GEO1519" s="886"/>
      <c r="GEP1519" s="886"/>
      <c r="GEQ1519" s="886"/>
      <c r="GER1519" s="886"/>
      <c r="GES1519" s="886"/>
      <c r="GET1519" s="886"/>
      <c r="GEU1519" s="886"/>
      <c r="GEV1519" s="886"/>
      <c r="GEW1519" s="886"/>
      <c r="GEX1519" s="886"/>
      <c r="GEY1519" s="886"/>
      <c r="GEZ1519" s="886"/>
      <c r="GFA1519" s="886"/>
      <c r="GFB1519" s="886"/>
      <c r="GFC1519" s="886"/>
      <c r="GFD1519" s="886"/>
      <c r="GFE1519" s="886"/>
      <c r="GFF1519" s="886"/>
      <c r="GFG1519" s="886"/>
      <c r="GFH1519" s="886"/>
      <c r="GFI1519" s="886"/>
      <c r="GFJ1519" s="886"/>
      <c r="GFK1519" s="886"/>
      <c r="GFL1519" s="886"/>
      <c r="GFM1519" s="886"/>
      <c r="GFN1519" s="886"/>
      <c r="GFO1519" s="886"/>
      <c r="GFP1519" s="886"/>
      <c r="GFQ1519" s="886"/>
      <c r="GFR1519" s="886"/>
      <c r="GFS1519" s="886"/>
      <c r="GFT1519" s="886"/>
      <c r="GFU1519" s="886"/>
      <c r="GFV1519" s="886"/>
      <c r="GFW1519" s="886"/>
      <c r="GFX1519" s="886"/>
      <c r="GFY1519" s="886"/>
      <c r="GFZ1519" s="886"/>
      <c r="GGA1519" s="886"/>
      <c r="GGB1519" s="886"/>
      <c r="GGC1519" s="886"/>
      <c r="GGD1519" s="886"/>
      <c r="GGE1519" s="886"/>
      <c r="GGF1519" s="886"/>
      <c r="GGG1519" s="886"/>
      <c r="GGH1519" s="886"/>
      <c r="GGI1519" s="886"/>
      <c r="GGJ1519" s="886"/>
      <c r="GGK1519" s="886"/>
      <c r="GGL1519" s="886"/>
      <c r="GGM1519" s="886"/>
      <c r="GGN1519" s="886"/>
      <c r="GGO1519" s="886"/>
      <c r="GGP1519" s="886"/>
      <c r="GGQ1519" s="886"/>
      <c r="GGR1519" s="886"/>
      <c r="GGS1519" s="886"/>
      <c r="GGT1519" s="886"/>
      <c r="GGU1519" s="886"/>
      <c r="GGV1519" s="886"/>
      <c r="GGW1519" s="886"/>
      <c r="GGX1519" s="886"/>
      <c r="GGY1519" s="886"/>
      <c r="GGZ1519" s="886"/>
      <c r="GHA1519" s="886"/>
      <c r="GHB1519" s="886"/>
      <c r="GHC1519" s="886"/>
      <c r="GHD1519" s="886"/>
      <c r="GHE1519" s="886"/>
      <c r="GHF1519" s="886"/>
      <c r="GHG1519" s="886"/>
      <c r="GHH1519" s="886"/>
      <c r="GHI1519" s="886"/>
      <c r="GHJ1519" s="886"/>
      <c r="GHK1519" s="886"/>
      <c r="GHL1519" s="886"/>
      <c r="GHM1519" s="886"/>
      <c r="GHN1519" s="886"/>
      <c r="GHO1519" s="886"/>
      <c r="GHP1519" s="886"/>
      <c r="GHQ1519" s="886"/>
      <c r="GHR1519" s="886"/>
      <c r="GHS1519" s="886"/>
      <c r="GHT1519" s="886"/>
      <c r="GHU1519" s="886"/>
      <c r="GHV1519" s="886"/>
      <c r="GHW1519" s="886"/>
      <c r="GHX1519" s="886"/>
      <c r="GHY1519" s="886"/>
      <c r="GHZ1519" s="886"/>
      <c r="GIA1519" s="886"/>
      <c r="GIB1519" s="886"/>
      <c r="GIC1519" s="886"/>
      <c r="GID1519" s="886"/>
      <c r="GIE1519" s="886"/>
      <c r="GIF1519" s="886"/>
      <c r="GIG1519" s="886"/>
      <c r="GIH1519" s="886"/>
      <c r="GII1519" s="886"/>
      <c r="GIJ1519" s="886"/>
      <c r="GIK1519" s="886"/>
      <c r="GIL1519" s="886"/>
      <c r="GIM1519" s="886"/>
      <c r="GIN1519" s="886"/>
      <c r="GIO1519" s="886"/>
      <c r="GIP1519" s="886"/>
      <c r="GIQ1519" s="886"/>
      <c r="GIR1519" s="886"/>
      <c r="GIS1519" s="886"/>
      <c r="GIT1519" s="886"/>
      <c r="GIU1519" s="886"/>
      <c r="GIV1519" s="886"/>
      <c r="GIW1519" s="886"/>
      <c r="GIX1519" s="886"/>
      <c r="GIY1519" s="886"/>
      <c r="GIZ1519" s="886"/>
      <c r="GJA1519" s="886"/>
      <c r="GJB1519" s="886"/>
      <c r="GJC1519" s="886"/>
      <c r="GJD1519" s="886"/>
      <c r="GJE1519" s="886"/>
      <c r="GJF1519" s="886"/>
      <c r="GJG1519" s="886"/>
      <c r="GJH1519" s="886"/>
      <c r="GJI1519" s="886"/>
      <c r="GJJ1519" s="886"/>
      <c r="GJK1519" s="886"/>
      <c r="GJL1519" s="886"/>
      <c r="GJM1519" s="886"/>
      <c r="GJN1519" s="886"/>
      <c r="GJO1519" s="886"/>
      <c r="GJP1519" s="886"/>
      <c r="GJQ1519" s="886"/>
      <c r="GJR1519" s="886"/>
      <c r="GJS1519" s="886"/>
      <c r="GJT1519" s="886"/>
      <c r="GJU1519" s="886"/>
      <c r="GJV1519" s="886"/>
      <c r="GJW1519" s="886"/>
      <c r="GJX1519" s="886"/>
      <c r="GJY1519" s="886"/>
      <c r="GJZ1519" s="886"/>
      <c r="GKA1519" s="886"/>
      <c r="GKB1519" s="886"/>
      <c r="GKC1519" s="886"/>
      <c r="GKD1519" s="886"/>
      <c r="GKE1519" s="886"/>
      <c r="GKF1519" s="886"/>
      <c r="GKG1519" s="886"/>
      <c r="GKH1519" s="886"/>
      <c r="GKI1519" s="886"/>
      <c r="GKJ1519" s="886"/>
      <c r="GKK1519" s="886"/>
      <c r="GKL1519" s="886"/>
      <c r="GKM1519" s="886"/>
      <c r="GKN1519" s="886"/>
      <c r="GKO1519" s="886"/>
      <c r="GKP1519" s="886"/>
      <c r="GKQ1519" s="886"/>
      <c r="GKR1519" s="886"/>
      <c r="GKS1519" s="886"/>
      <c r="GKT1519" s="886"/>
      <c r="GKU1519" s="886"/>
      <c r="GKV1519" s="886"/>
      <c r="GKW1519" s="886"/>
      <c r="GKX1519" s="886"/>
      <c r="GKY1519" s="886"/>
      <c r="GKZ1519" s="886"/>
      <c r="GLA1519" s="886"/>
      <c r="GLB1519" s="886"/>
      <c r="GLC1519" s="886"/>
      <c r="GLD1519" s="886"/>
      <c r="GLE1519" s="886"/>
      <c r="GLF1519" s="886"/>
      <c r="GLG1519" s="886"/>
      <c r="GLH1519" s="886"/>
      <c r="GLI1519" s="886"/>
      <c r="GLJ1519" s="886"/>
      <c r="GLK1519" s="886"/>
      <c r="GLL1519" s="886"/>
      <c r="GLM1519" s="886"/>
      <c r="GLN1519" s="886"/>
      <c r="GLO1519" s="886"/>
      <c r="GLP1519" s="886"/>
      <c r="GLQ1519" s="886"/>
      <c r="GLR1519" s="886"/>
      <c r="GLS1519" s="886"/>
      <c r="GLT1519" s="886"/>
      <c r="GLU1519" s="886"/>
      <c r="GLV1519" s="886"/>
      <c r="GLW1519" s="886"/>
      <c r="GLX1519" s="886"/>
      <c r="GLY1519" s="886"/>
      <c r="GLZ1519" s="886"/>
      <c r="GMA1519" s="886"/>
      <c r="GMB1519" s="886"/>
      <c r="GMC1519" s="886"/>
      <c r="GMD1519" s="886"/>
      <c r="GME1519" s="886"/>
      <c r="GMF1519" s="886"/>
      <c r="GMG1519" s="886"/>
      <c r="GMH1519" s="886"/>
      <c r="GMI1519" s="886"/>
      <c r="GMJ1519" s="886"/>
      <c r="GMK1519" s="886"/>
      <c r="GML1519" s="886"/>
      <c r="GMM1519" s="886"/>
      <c r="GMN1519" s="886"/>
      <c r="GMO1519" s="886"/>
      <c r="GMP1519" s="886"/>
      <c r="GMQ1519" s="886"/>
      <c r="GMR1519" s="886"/>
      <c r="GMS1519" s="886"/>
      <c r="GMT1519" s="886"/>
      <c r="GMU1519" s="886"/>
      <c r="GMV1519" s="886"/>
      <c r="GMW1519" s="886"/>
      <c r="GMX1519" s="886"/>
      <c r="GMY1519" s="886"/>
      <c r="GMZ1519" s="886"/>
      <c r="GNA1519" s="886"/>
      <c r="GNB1519" s="886"/>
      <c r="GNC1519" s="886"/>
      <c r="GND1519" s="886"/>
      <c r="GNE1519" s="886"/>
      <c r="GNF1519" s="886"/>
      <c r="GNG1519" s="886"/>
      <c r="GNH1519" s="886"/>
      <c r="GNI1519" s="886"/>
      <c r="GNJ1519" s="886"/>
      <c r="GNK1519" s="886"/>
      <c r="GNL1519" s="886"/>
      <c r="GNM1519" s="886"/>
      <c r="GNN1519" s="886"/>
      <c r="GNO1519" s="886"/>
      <c r="GNP1519" s="886"/>
      <c r="GNQ1519" s="886"/>
      <c r="GNR1519" s="886"/>
      <c r="GNS1519" s="886"/>
      <c r="GNT1519" s="886"/>
      <c r="GNU1519" s="886"/>
      <c r="GNV1519" s="886"/>
      <c r="GNW1519" s="886"/>
      <c r="GNX1519" s="886"/>
      <c r="GNY1519" s="886"/>
      <c r="GNZ1519" s="886"/>
      <c r="GOA1519" s="886"/>
      <c r="GOB1519" s="886"/>
      <c r="GOC1519" s="886"/>
      <c r="GOD1519" s="886"/>
      <c r="GOE1519" s="886"/>
      <c r="GOF1519" s="886"/>
      <c r="GOG1519" s="886"/>
      <c r="GOH1519" s="886"/>
      <c r="GOI1519" s="886"/>
      <c r="GOJ1519" s="886"/>
      <c r="GOK1519" s="886"/>
      <c r="GOL1519" s="886"/>
      <c r="GOM1519" s="886"/>
      <c r="GON1519" s="886"/>
      <c r="GOO1519" s="886"/>
      <c r="GOP1519" s="886"/>
      <c r="GOQ1519" s="886"/>
      <c r="GOR1519" s="886"/>
      <c r="GOS1519" s="886"/>
      <c r="GOT1519" s="886"/>
      <c r="GOU1519" s="886"/>
      <c r="GOV1519" s="886"/>
      <c r="GOW1519" s="886"/>
      <c r="GOX1519" s="886"/>
      <c r="GOY1519" s="886"/>
      <c r="GOZ1519" s="886"/>
      <c r="GPA1519" s="886"/>
      <c r="GPB1519" s="886"/>
      <c r="GPC1519" s="886"/>
      <c r="GPD1519" s="886"/>
      <c r="GPE1519" s="886"/>
      <c r="GPF1519" s="886"/>
      <c r="GPG1519" s="886"/>
      <c r="GPH1519" s="886"/>
      <c r="GPI1519" s="886"/>
      <c r="GPJ1519" s="886"/>
      <c r="GPK1519" s="886"/>
      <c r="GPL1519" s="886"/>
      <c r="GPM1519" s="886"/>
      <c r="GPN1519" s="886"/>
      <c r="GPO1519" s="886"/>
      <c r="GPP1519" s="886"/>
      <c r="GPQ1519" s="886"/>
      <c r="GPR1519" s="886"/>
      <c r="GPS1519" s="886"/>
      <c r="GPT1519" s="886"/>
      <c r="GPU1519" s="886"/>
      <c r="GPV1519" s="886"/>
      <c r="GPW1519" s="886"/>
      <c r="GPX1519" s="886"/>
      <c r="GPY1519" s="886"/>
      <c r="GPZ1519" s="886"/>
      <c r="GQA1519" s="886"/>
      <c r="GQB1519" s="886"/>
      <c r="GQC1519" s="886"/>
      <c r="GQD1519" s="886"/>
      <c r="GQE1519" s="886"/>
      <c r="GQF1519" s="886"/>
      <c r="GQG1519" s="886"/>
      <c r="GQH1519" s="886"/>
      <c r="GQI1519" s="886"/>
      <c r="GQJ1519" s="886"/>
      <c r="GQK1519" s="886"/>
      <c r="GQL1519" s="886"/>
      <c r="GQM1519" s="886"/>
      <c r="GQN1519" s="886"/>
      <c r="GQO1519" s="886"/>
      <c r="GQP1519" s="886"/>
      <c r="GQQ1519" s="886"/>
      <c r="GQR1519" s="886"/>
      <c r="GQS1519" s="886"/>
      <c r="GQT1519" s="886"/>
      <c r="GQU1519" s="886"/>
      <c r="GQV1519" s="886"/>
      <c r="GQW1519" s="886"/>
      <c r="GQX1519" s="886"/>
      <c r="GQY1519" s="886"/>
      <c r="GQZ1519" s="886"/>
      <c r="GRA1519" s="886"/>
      <c r="GRB1519" s="886"/>
      <c r="GRC1519" s="886"/>
      <c r="GRD1519" s="886"/>
      <c r="GRE1519" s="886"/>
      <c r="GRF1519" s="886"/>
      <c r="GRG1519" s="886"/>
      <c r="GRH1519" s="886"/>
      <c r="GRI1519" s="886"/>
      <c r="GRJ1519" s="886"/>
      <c r="GRK1519" s="886"/>
      <c r="GRL1519" s="886"/>
      <c r="GRM1519" s="886"/>
      <c r="GRN1519" s="886"/>
      <c r="GRO1519" s="886"/>
      <c r="GRP1519" s="886"/>
      <c r="GRQ1519" s="886"/>
      <c r="GRR1519" s="886"/>
      <c r="GRS1519" s="886"/>
      <c r="GRT1519" s="886"/>
      <c r="GRU1519" s="886"/>
      <c r="GRV1519" s="886"/>
      <c r="GRW1519" s="886"/>
      <c r="GRX1519" s="886"/>
      <c r="GRY1519" s="886"/>
      <c r="GRZ1519" s="886"/>
      <c r="GSA1519" s="886"/>
      <c r="GSB1519" s="886"/>
      <c r="GSC1519" s="886"/>
      <c r="GSD1519" s="886"/>
      <c r="GSE1519" s="886"/>
      <c r="GSF1519" s="886"/>
      <c r="GSG1519" s="886"/>
      <c r="GSH1519" s="886"/>
      <c r="GSI1519" s="886"/>
      <c r="GSJ1519" s="886"/>
      <c r="GSK1519" s="886"/>
      <c r="GSL1519" s="886"/>
      <c r="GSM1519" s="886"/>
      <c r="GSN1519" s="886"/>
      <c r="GSO1519" s="886"/>
      <c r="GSP1519" s="886"/>
      <c r="GSQ1519" s="886"/>
      <c r="GSR1519" s="886"/>
      <c r="GSS1519" s="886"/>
      <c r="GST1519" s="886"/>
      <c r="GSU1519" s="886"/>
      <c r="GSV1519" s="886"/>
      <c r="GSW1519" s="886"/>
      <c r="GSX1519" s="886"/>
      <c r="GSY1519" s="886"/>
      <c r="GSZ1519" s="886"/>
      <c r="GTA1519" s="886"/>
      <c r="GTB1519" s="886"/>
      <c r="GTC1519" s="886"/>
      <c r="GTD1519" s="886"/>
      <c r="GTE1519" s="886"/>
      <c r="GTF1519" s="886"/>
      <c r="GTG1519" s="886"/>
      <c r="GTH1519" s="886"/>
      <c r="GTI1519" s="886"/>
      <c r="GTJ1519" s="886"/>
      <c r="GTK1519" s="886"/>
      <c r="GTL1519" s="886"/>
      <c r="GTM1519" s="886"/>
      <c r="GTN1519" s="886"/>
      <c r="GTO1519" s="886"/>
      <c r="GTP1519" s="886"/>
      <c r="GTQ1519" s="886"/>
      <c r="GTR1519" s="886"/>
      <c r="GTS1519" s="886"/>
      <c r="GTT1519" s="886"/>
      <c r="GTU1519" s="886"/>
      <c r="GTV1519" s="886"/>
      <c r="GTW1519" s="886"/>
      <c r="GTX1519" s="886"/>
      <c r="GTY1519" s="886"/>
      <c r="GTZ1519" s="886"/>
      <c r="GUA1519" s="886"/>
      <c r="GUB1519" s="886"/>
      <c r="GUC1519" s="886"/>
      <c r="GUD1519" s="886"/>
      <c r="GUE1519" s="886"/>
      <c r="GUF1519" s="886"/>
      <c r="GUG1519" s="886"/>
      <c r="GUH1519" s="886"/>
      <c r="GUI1519" s="886"/>
      <c r="GUJ1519" s="886"/>
      <c r="GUK1519" s="886"/>
      <c r="GUL1519" s="886"/>
      <c r="GUM1519" s="886"/>
      <c r="GUN1519" s="886"/>
      <c r="GUO1519" s="886"/>
      <c r="GUP1519" s="886"/>
      <c r="GUQ1519" s="886"/>
      <c r="GUR1519" s="886"/>
      <c r="GUS1519" s="886"/>
      <c r="GUT1519" s="886"/>
      <c r="GUU1519" s="886"/>
      <c r="GUV1519" s="886"/>
      <c r="GUW1519" s="886"/>
      <c r="GUX1519" s="886"/>
      <c r="GUY1519" s="886"/>
      <c r="GUZ1519" s="886"/>
      <c r="GVA1519" s="886"/>
      <c r="GVB1519" s="886"/>
      <c r="GVC1519" s="886"/>
      <c r="GVD1519" s="886"/>
      <c r="GVE1519" s="886"/>
      <c r="GVF1519" s="886"/>
      <c r="GVG1519" s="886"/>
      <c r="GVH1519" s="886"/>
      <c r="GVI1519" s="886"/>
      <c r="GVJ1519" s="886"/>
      <c r="GVK1519" s="886"/>
      <c r="GVL1519" s="886"/>
      <c r="GVM1519" s="886"/>
      <c r="GVN1519" s="886"/>
      <c r="GVO1519" s="886"/>
      <c r="GVP1519" s="886"/>
      <c r="GVQ1519" s="886"/>
      <c r="GVR1519" s="886"/>
      <c r="GVS1519" s="886"/>
      <c r="GVT1519" s="886"/>
      <c r="GVU1519" s="886"/>
      <c r="GVV1519" s="886"/>
      <c r="GVW1519" s="886"/>
      <c r="GVX1519" s="886"/>
      <c r="GVY1519" s="886"/>
      <c r="GVZ1519" s="886"/>
      <c r="GWA1519" s="886"/>
      <c r="GWB1519" s="886"/>
      <c r="GWC1519" s="886"/>
      <c r="GWD1519" s="886"/>
      <c r="GWE1519" s="886"/>
      <c r="GWF1519" s="886"/>
      <c r="GWG1519" s="886"/>
      <c r="GWH1519" s="886"/>
      <c r="GWI1519" s="886"/>
      <c r="GWJ1519" s="886"/>
      <c r="GWK1519" s="886"/>
      <c r="GWL1519" s="886"/>
      <c r="GWM1519" s="886"/>
      <c r="GWN1519" s="886"/>
      <c r="GWO1519" s="886"/>
      <c r="GWP1519" s="886"/>
      <c r="GWQ1519" s="886"/>
      <c r="GWR1519" s="886"/>
      <c r="GWS1519" s="886"/>
      <c r="GWT1519" s="886"/>
      <c r="GWU1519" s="886"/>
      <c r="GWV1519" s="886"/>
      <c r="GWW1519" s="886"/>
      <c r="GWX1519" s="886"/>
      <c r="GWY1519" s="886"/>
      <c r="GWZ1519" s="886"/>
      <c r="GXA1519" s="886"/>
      <c r="GXB1519" s="886"/>
      <c r="GXC1519" s="886"/>
      <c r="GXD1519" s="886"/>
      <c r="GXE1519" s="886"/>
      <c r="GXF1519" s="886"/>
      <c r="GXG1519" s="886"/>
      <c r="GXH1519" s="886"/>
      <c r="GXI1519" s="886"/>
      <c r="GXJ1519" s="886"/>
      <c r="GXK1519" s="886"/>
      <c r="GXL1519" s="886"/>
      <c r="GXM1519" s="886"/>
      <c r="GXN1519" s="886"/>
      <c r="GXO1519" s="886"/>
      <c r="GXP1519" s="886"/>
      <c r="GXQ1519" s="886"/>
      <c r="GXR1519" s="886"/>
      <c r="GXS1519" s="886"/>
      <c r="GXT1519" s="886"/>
      <c r="GXU1519" s="886"/>
      <c r="GXV1519" s="886"/>
      <c r="GXW1519" s="886"/>
      <c r="GXX1519" s="886"/>
      <c r="GXY1519" s="886"/>
      <c r="GXZ1519" s="886"/>
      <c r="GYA1519" s="886"/>
      <c r="GYB1519" s="886"/>
      <c r="GYC1519" s="886"/>
      <c r="GYD1519" s="886"/>
      <c r="GYE1519" s="886"/>
      <c r="GYF1519" s="886"/>
      <c r="GYG1519" s="886"/>
      <c r="GYH1519" s="886"/>
      <c r="GYI1519" s="886"/>
      <c r="GYJ1519" s="886"/>
      <c r="GYK1519" s="886"/>
      <c r="GYL1519" s="886"/>
      <c r="GYM1519" s="886"/>
      <c r="GYN1519" s="886"/>
      <c r="GYO1519" s="886"/>
      <c r="GYP1519" s="886"/>
      <c r="GYQ1519" s="886"/>
      <c r="GYR1519" s="886"/>
      <c r="GYS1519" s="886"/>
      <c r="GYT1519" s="886"/>
      <c r="GYU1519" s="886"/>
      <c r="GYV1519" s="886"/>
      <c r="GYW1519" s="886"/>
      <c r="GYX1519" s="886"/>
      <c r="GYY1519" s="886"/>
      <c r="GYZ1519" s="886"/>
      <c r="GZA1519" s="886"/>
      <c r="GZB1519" s="886"/>
      <c r="GZC1519" s="886"/>
      <c r="GZD1519" s="886"/>
      <c r="GZE1519" s="886"/>
      <c r="GZF1519" s="886"/>
      <c r="GZG1519" s="886"/>
      <c r="GZH1519" s="886"/>
      <c r="GZI1519" s="886"/>
      <c r="GZJ1519" s="886"/>
      <c r="GZK1519" s="886"/>
      <c r="GZL1519" s="886"/>
      <c r="GZM1519" s="886"/>
      <c r="GZN1519" s="886"/>
      <c r="GZO1519" s="886"/>
      <c r="GZP1519" s="886"/>
      <c r="GZQ1519" s="886"/>
      <c r="GZR1519" s="886"/>
      <c r="GZS1519" s="886"/>
      <c r="GZT1519" s="886"/>
      <c r="GZU1519" s="886"/>
      <c r="GZV1519" s="886"/>
      <c r="GZW1519" s="886"/>
      <c r="GZX1519" s="886"/>
      <c r="GZY1519" s="886"/>
      <c r="GZZ1519" s="886"/>
      <c r="HAA1519" s="886"/>
      <c r="HAB1519" s="886"/>
      <c r="HAC1519" s="886"/>
      <c r="HAD1519" s="886"/>
      <c r="HAE1519" s="886"/>
      <c r="HAF1519" s="886"/>
      <c r="HAG1519" s="886"/>
      <c r="HAH1519" s="886"/>
      <c r="HAI1519" s="886"/>
      <c r="HAJ1519" s="886"/>
      <c r="HAK1519" s="886"/>
      <c r="HAL1519" s="886"/>
      <c r="HAM1519" s="886"/>
      <c r="HAN1519" s="886"/>
      <c r="HAO1519" s="886"/>
      <c r="HAP1519" s="886"/>
      <c r="HAQ1519" s="886"/>
      <c r="HAR1519" s="886"/>
      <c r="HAS1519" s="886"/>
      <c r="HAT1519" s="886"/>
      <c r="HAU1519" s="886"/>
      <c r="HAV1519" s="886"/>
      <c r="HAW1519" s="886"/>
      <c r="HAX1519" s="886"/>
      <c r="HAY1519" s="886"/>
      <c r="HAZ1519" s="886"/>
      <c r="HBA1519" s="886"/>
      <c r="HBB1519" s="886"/>
      <c r="HBC1519" s="886"/>
      <c r="HBD1519" s="886"/>
      <c r="HBE1519" s="886"/>
      <c r="HBF1519" s="886"/>
      <c r="HBG1519" s="886"/>
      <c r="HBH1519" s="886"/>
      <c r="HBI1519" s="886"/>
      <c r="HBJ1519" s="886"/>
      <c r="HBK1519" s="886"/>
      <c r="HBL1519" s="886"/>
      <c r="HBM1519" s="886"/>
      <c r="HBN1519" s="886"/>
      <c r="HBO1519" s="886"/>
      <c r="HBP1519" s="886"/>
      <c r="HBQ1519" s="886"/>
      <c r="HBR1519" s="886"/>
      <c r="HBS1519" s="886"/>
      <c r="HBT1519" s="886"/>
      <c r="HBU1519" s="886"/>
      <c r="HBV1519" s="886"/>
      <c r="HBW1519" s="886"/>
      <c r="HBX1519" s="886"/>
      <c r="HBY1519" s="886"/>
      <c r="HBZ1519" s="886"/>
      <c r="HCA1519" s="886"/>
      <c r="HCB1519" s="886"/>
      <c r="HCC1519" s="886"/>
      <c r="HCD1519" s="886"/>
      <c r="HCE1519" s="886"/>
      <c r="HCF1519" s="886"/>
      <c r="HCG1519" s="886"/>
      <c r="HCH1519" s="886"/>
      <c r="HCI1519" s="886"/>
      <c r="HCJ1519" s="886"/>
      <c r="HCK1519" s="886"/>
      <c r="HCL1519" s="886"/>
      <c r="HCM1519" s="886"/>
      <c r="HCN1519" s="886"/>
      <c r="HCO1519" s="886"/>
      <c r="HCP1519" s="886"/>
      <c r="HCQ1519" s="886"/>
      <c r="HCR1519" s="886"/>
      <c r="HCS1519" s="886"/>
      <c r="HCT1519" s="886"/>
      <c r="HCU1519" s="886"/>
      <c r="HCV1519" s="886"/>
      <c r="HCW1519" s="886"/>
      <c r="HCX1519" s="886"/>
      <c r="HCY1519" s="886"/>
      <c r="HCZ1519" s="886"/>
      <c r="HDA1519" s="886"/>
      <c r="HDB1519" s="886"/>
      <c r="HDC1519" s="886"/>
      <c r="HDD1519" s="886"/>
      <c r="HDE1519" s="886"/>
      <c r="HDF1519" s="886"/>
      <c r="HDG1519" s="886"/>
      <c r="HDH1519" s="886"/>
      <c r="HDI1519" s="886"/>
      <c r="HDJ1519" s="886"/>
      <c r="HDK1519" s="886"/>
      <c r="HDL1519" s="886"/>
      <c r="HDM1519" s="886"/>
      <c r="HDN1519" s="886"/>
      <c r="HDO1519" s="886"/>
      <c r="HDP1519" s="886"/>
      <c r="HDQ1519" s="886"/>
      <c r="HDR1519" s="886"/>
      <c r="HDS1519" s="886"/>
      <c r="HDT1519" s="886"/>
      <c r="HDU1519" s="886"/>
      <c r="HDV1519" s="886"/>
      <c r="HDW1519" s="886"/>
      <c r="HDX1519" s="886"/>
      <c r="HDY1519" s="886"/>
      <c r="HDZ1519" s="886"/>
      <c r="HEA1519" s="886"/>
      <c r="HEB1519" s="886"/>
      <c r="HEC1519" s="886"/>
      <c r="HED1519" s="886"/>
      <c r="HEE1519" s="886"/>
      <c r="HEF1519" s="886"/>
      <c r="HEG1519" s="886"/>
      <c r="HEH1519" s="886"/>
      <c r="HEI1519" s="886"/>
      <c r="HEJ1519" s="886"/>
      <c r="HEK1519" s="886"/>
      <c r="HEL1519" s="886"/>
      <c r="HEM1519" s="886"/>
      <c r="HEN1519" s="886"/>
      <c r="HEO1519" s="886"/>
      <c r="HEP1519" s="886"/>
      <c r="HEQ1519" s="886"/>
      <c r="HER1519" s="886"/>
      <c r="HES1519" s="886"/>
      <c r="HET1519" s="886"/>
      <c r="HEU1519" s="886"/>
      <c r="HEV1519" s="886"/>
      <c r="HEW1519" s="886"/>
      <c r="HEX1519" s="886"/>
      <c r="HEY1519" s="886"/>
      <c r="HEZ1519" s="886"/>
      <c r="HFA1519" s="886"/>
      <c r="HFB1519" s="886"/>
      <c r="HFC1519" s="886"/>
      <c r="HFD1519" s="886"/>
      <c r="HFE1519" s="886"/>
      <c r="HFF1519" s="886"/>
      <c r="HFG1519" s="886"/>
      <c r="HFH1519" s="886"/>
      <c r="HFI1519" s="886"/>
      <c r="HFJ1519" s="886"/>
      <c r="HFK1519" s="886"/>
      <c r="HFL1519" s="886"/>
      <c r="HFM1519" s="886"/>
      <c r="HFN1519" s="886"/>
      <c r="HFO1519" s="886"/>
      <c r="HFP1519" s="886"/>
      <c r="HFQ1519" s="886"/>
      <c r="HFR1519" s="886"/>
      <c r="HFS1519" s="886"/>
      <c r="HFT1519" s="886"/>
      <c r="HFU1519" s="886"/>
      <c r="HFV1519" s="886"/>
      <c r="HFW1519" s="886"/>
      <c r="HFX1519" s="886"/>
      <c r="HFY1519" s="886"/>
      <c r="HFZ1519" s="886"/>
      <c r="HGA1519" s="886"/>
      <c r="HGB1519" s="886"/>
      <c r="HGC1519" s="886"/>
      <c r="HGD1519" s="886"/>
      <c r="HGE1519" s="886"/>
      <c r="HGF1519" s="886"/>
      <c r="HGG1519" s="886"/>
      <c r="HGH1519" s="886"/>
      <c r="HGI1519" s="886"/>
      <c r="HGJ1519" s="886"/>
      <c r="HGK1519" s="886"/>
      <c r="HGL1519" s="886"/>
      <c r="HGM1519" s="886"/>
      <c r="HGN1519" s="886"/>
      <c r="HGO1519" s="886"/>
      <c r="HGP1519" s="886"/>
      <c r="HGQ1519" s="886"/>
      <c r="HGR1519" s="886"/>
      <c r="HGS1519" s="886"/>
      <c r="HGT1519" s="886"/>
      <c r="HGU1519" s="886"/>
      <c r="HGV1519" s="886"/>
      <c r="HGW1519" s="886"/>
      <c r="HGX1519" s="886"/>
      <c r="HGY1519" s="886"/>
      <c r="HGZ1519" s="886"/>
      <c r="HHA1519" s="886"/>
      <c r="HHB1519" s="886"/>
      <c r="HHC1519" s="886"/>
      <c r="HHD1519" s="886"/>
      <c r="HHE1519" s="886"/>
      <c r="HHF1519" s="886"/>
      <c r="HHG1519" s="886"/>
      <c r="HHH1519" s="886"/>
      <c r="HHI1519" s="886"/>
      <c r="HHJ1519" s="886"/>
      <c r="HHK1519" s="886"/>
      <c r="HHL1519" s="886"/>
      <c r="HHM1519" s="886"/>
      <c r="HHN1519" s="886"/>
      <c r="HHO1519" s="886"/>
      <c r="HHP1519" s="886"/>
      <c r="HHQ1519" s="886"/>
      <c r="HHR1519" s="886"/>
      <c r="HHS1519" s="886"/>
      <c r="HHT1519" s="886"/>
      <c r="HHU1519" s="886"/>
      <c r="HHV1519" s="886"/>
      <c r="HHW1519" s="886"/>
      <c r="HHX1519" s="886"/>
      <c r="HHY1519" s="886"/>
      <c r="HHZ1519" s="886"/>
      <c r="HIA1519" s="886"/>
      <c r="HIB1519" s="886"/>
      <c r="HIC1519" s="886"/>
      <c r="HID1519" s="886"/>
      <c r="HIE1519" s="886"/>
      <c r="HIF1519" s="886"/>
      <c r="HIG1519" s="886"/>
      <c r="HIH1519" s="886"/>
      <c r="HII1519" s="886"/>
      <c r="HIJ1519" s="886"/>
      <c r="HIK1519" s="886"/>
      <c r="HIL1519" s="886"/>
      <c r="HIM1519" s="886"/>
      <c r="HIN1519" s="886"/>
      <c r="HIO1519" s="886"/>
      <c r="HIP1519" s="886"/>
      <c r="HIQ1519" s="886"/>
      <c r="HIR1519" s="886"/>
      <c r="HIS1519" s="886"/>
      <c r="HIT1519" s="886"/>
      <c r="HIU1519" s="886"/>
      <c r="HIV1519" s="886"/>
      <c r="HIW1519" s="886"/>
      <c r="HIX1519" s="886"/>
      <c r="HIY1519" s="886"/>
      <c r="HIZ1519" s="886"/>
      <c r="HJA1519" s="886"/>
      <c r="HJB1519" s="886"/>
      <c r="HJC1519" s="886"/>
      <c r="HJD1519" s="886"/>
      <c r="HJE1519" s="886"/>
      <c r="HJF1519" s="886"/>
      <c r="HJG1519" s="886"/>
      <c r="HJH1519" s="886"/>
      <c r="HJI1519" s="886"/>
      <c r="HJJ1519" s="886"/>
      <c r="HJK1519" s="886"/>
      <c r="HJL1519" s="886"/>
      <c r="HJM1519" s="886"/>
      <c r="HJN1519" s="886"/>
      <c r="HJO1519" s="886"/>
      <c r="HJP1519" s="886"/>
      <c r="HJQ1519" s="886"/>
      <c r="HJR1519" s="886"/>
      <c r="HJS1519" s="886"/>
      <c r="HJT1519" s="886"/>
      <c r="HJU1519" s="886"/>
      <c r="HJV1519" s="886"/>
      <c r="HJW1519" s="886"/>
      <c r="HJX1519" s="886"/>
      <c r="HJY1519" s="886"/>
      <c r="HJZ1519" s="886"/>
      <c r="HKA1519" s="886"/>
      <c r="HKB1519" s="886"/>
      <c r="HKC1519" s="886"/>
      <c r="HKD1519" s="886"/>
      <c r="HKE1519" s="886"/>
      <c r="HKF1519" s="886"/>
      <c r="HKG1519" s="886"/>
      <c r="HKH1519" s="886"/>
      <c r="HKI1519" s="886"/>
      <c r="HKJ1519" s="886"/>
      <c r="HKK1519" s="886"/>
      <c r="HKL1519" s="886"/>
      <c r="HKM1519" s="886"/>
      <c r="HKN1519" s="886"/>
      <c r="HKO1519" s="886"/>
      <c r="HKP1519" s="886"/>
      <c r="HKQ1519" s="886"/>
      <c r="HKR1519" s="886"/>
      <c r="HKS1519" s="886"/>
      <c r="HKT1519" s="886"/>
      <c r="HKU1519" s="886"/>
      <c r="HKV1519" s="886"/>
      <c r="HKW1519" s="886"/>
      <c r="HKX1519" s="886"/>
      <c r="HKY1519" s="886"/>
      <c r="HKZ1519" s="886"/>
      <c r="HLA1519" s="886"/>
      <c r="HLB1519" s="886"/>
      <c r="HLC1519" s="886"/>
      <c r="HLD1519" s="886"/>
      <c r="HLE1519" s="886"/>
      <c r="HLF1519" s="886"/>
      <c r="HLG1519" s="886"/>
      <c r="HLH1519" s="886"/>
      <c r="HLI1519" s="886"/>
      <c r="HLJ1519" s="886"/>
      <c r="HLK1519" s="886"/>
      <c r="HLL1519" s="886"/>
      <c r="HLM1519" s="886"/>
      <c r="HLN1519" s="886"/>
      <c r="HLO1519" s="886"/>
      <c r="HLP1519" s="886"/>
      <c r="HLQ1519" s="886"/>
      <c r="HLR1519" s="886"/>
      <c r="HLS1519" s="886"/>
      <c r="HLT1519" s="886"/>
      <c r="HLU1519" s="886"/>
      <c r="HLV1519" s="886"/>
      <c r="HLW1519" s="886"/>
      <c r="HLX1519" s="886"/>
      <c r="HLY1519" s="886"/>
      <c r="HLZ1519" s="886"/>
      <c r="HMA1519" s="886"/>
      <c r="HMB1519" s="886"/>
      <c r="HMC1519" s="886"/>
      <c r="HMD1519" s="886"/>
      <c r="HME1519" s="886"/>
      <c r="HMF1519" s="886"/>
      <c r="HMG1519" s="886"/>
      <c r="HMH1519" s="886"/>
      <c r="HMI1519" s="886"/>
      <c r="HMJ1519" s="886"/>
      <c r="HMK1519" s="886"/>
      <c r="HML1519" s="886"/>
      <c r="HMM1519" s="886"/>
      <c r="HMN1519" s="886"/>
      <c r="HMO1519" s="886"/>
      <c r="HMP1519" s="886"/>
      <c r="HMQ1519" s="886"/>
      <c r="HMR1519" s="886"/>
      <c r="HMS1519" s="886"/>
      <c r="HMT1519" s="886"/>
      <c r="HMU1519" s="886"/>
      <c r="HMV1519" s="886"/>
      <c r="HMW1519" s="886"/>
      <c r="HMX1519" s="886"/>
      <c r="HMY1519" s="886"/>
      <c r="HMZ1519" s="886"/>
      <c r="HNA1519" s="886"/>
      <c r="HNB1519" s="886"/>
      <c r="HNC1519" s="886"/>
      <c r="HND1519" s="886"/>
      <c r="HNE1519" s="886"/>
      <c r="HNF1519" s="886"/>
      <c r="HNG1519" s="886"/>
      <c r="HNH1519" s="886"/>
      <c r="HNI1519" s="886"/>
      <c r="HNJ1519" s="886"/>
      <c r="HNK1519" s="886"/>
      <c r="HNL1519" s="886"/>
      <c r="HNM1519" s="886"/>
      <c r="HNN1519" s="886"/>
      <c r="HNO1519" s="886"/>
      <c r="HNP1519" s="886"/>
      <c r="HNQ1519" s="886"/>
      <c r="HNR1519" s="886"/>
      <c r="HNS1519" s="886"/>
      <c r="HNT1519" s="886"/>
      <c r="HNU1519" s="886"/>
      <c r="HNV1519" s="886"/>
      <c r="HNW1519" s="886"/>
      <c r="HNX1519" s="886"/>
      <c r="HNY1519" s="886"/>
      <c r="HNZ1519" s="886"/>
      <c r="HOA1519" s="886"/>
      <c r="HOB1519" s="886"/>
      <c r="HOC1519" s="886"/>
      <c r="HOD1519" s="886"/>
      <c r="HOE1519" s="886"/>
      <c r="HOF1519" s="886"/>
      <c r="HOG1519" s="886"/>
      <c r="HOH1519" s="886"/>
      <c r="HOI1519" s="886"/>
      <c r="HOJ1519" s="886"/>
      <c r="HOK1519" s="886"/>
      <c r="HOL1519" s="886"/>
      <c r="HOM1519" s="886"/>
      <c r="HON1519" s="886"/>
      <c r="HOO1519" s="886"/>
      <c r="HOP1519" s="886"/>
      <c r="HOQ1519" s="886"/>
      <c r="HOR1519" s="886"/>
      <c r="HOS1519" s="886"/>
      <c r="HOT1519" s="886"/>
      <c r="HOU1519" s="886"/>
      <c r="HOV1519" s="886"/>
      <c r="HOW1519" s="886"/>
      <c r="HOX1519" s="886"/>
      <c r="HOY1519" s="886"/>
      <c r="HOZ1519" s="886"/>
      <c r="HPA1519" s="886"/>
      <c r="HPB1519" s="886"/>
      <c r="HPC1519" s="886"/>
      <c r="HPD1519" s="886"/>
      <c r="HPE1519" s="886"/>
      <c r="HPF1519" s="886"/>
      <c r="HPG1519" s="886"/>
      <c r="HPH1519" s="886"/>
      <c r="HPI1519" s="886"/>
      <c r="HPJ1519" s="886"/>
      <c r="HPK1519" s="886"/>
      <c r="HPL1519" s="886"/>
      <c r="HPM1519" s="886"/>
      <c r="HPN1519" s="886"/>
      <c r="HPO1519" s="886"/>
      <c r="HPP1519" s="886"/>
      <c r="HPQ1519" s="886"/>
      <c r="HPR1519" s="886"/>
      <c r="HPS1519" s="886"/>
      <c r="HPT1519" s="886"/>
      <c r="HPU1519" s="886"/>
      <c r="HPV1519" s="886"/>
      <c r="HPW1519" s="886"/>
      <c r="HPX1519" s="886"/>
      <c r="HPY1519" s="886"/>
      <c r="HPZ1519" s="886"/>
      <c r="HQA1519" s="886"/>
      <c r="HQB1519" s="886"/>
      <c r="HQC1519" s="886"/>
      <c r="HQD1519" s="886"/>
      <c r="HQE1519" s="886"/>
      <c r="HQF1519" s="886"/>
      <c r="HQG1519" s="886"/>
      <c r="HQH1519" s="886"/>
      <c r="HQI1519" s="886"/>
      <c r="HQJ1519" s="886"/>
      <c r="HQK1519" s="886"/>
      <c r="HQL1519" s="886"/>
      <c r="HQM1519" s="886"/>
      <c r="HQN1519" s="886"/>
      <c r="HQO1519" s="886"/>
      <c r="HQP1519" s="886"/>
      <c r="HQQ1519" s="886"/>
      <c r="HQR1519" s="886"/>
      <c r="HQS1519" s="886"/>
      <c r="HQT1519" s="886"/>
      <c r="HQU1519" s="886"/>
      <c r="HQV1519" s="886"/>
      <c r="HQW1519" s="886"/>
      <c r="HQX1519" s="886"/>
      <c r="HQY1519" s="886"/>
      <c r="HQZ1519" s="886"/>
      <c r="HRA1519" s="886"/>
      <c r="HRB1519" s="886"/>
      <c r="HRC1519" s="886"/>
      <c r="HRD1519" s="886"/>
      <c r="HRE1519" s="886"/>
      <c r="HRF1519" s="886"/>
      <c r="HRG1519" s="886"/>
      <c r="HRH1519" s="886"/>
      <c r="HRI1519" s="886"/>
      <c r="HRJ1519" s="886"/>
      <c r="HRK1519" s="886"/>
      <c r="HRL1519" s="886"/>
      <c r="HRM1519" s="886"/>
      <c r="HRN1519" s="886"/>
      <c r="HRO1519" s="886"/>
      <c r="HRP1519" s="886"/>
      <c r="HRQ1519" s="886"/>
      <c r="HRR1519" s="886"/>
      <c r="HRS1519" s="886"/>
      <c r="HRT1519" s="886"/>
      <c r="HRU1519" s="886"/>
      <c r="HRV1519" s="886"/>
      <c r="HRW1519" s="886"/>
      <c r="HRX1519" s="886"/>
      <c r="HRY1519" s="886"/>
      <c r="HRZ1519" s="886"/>
      <c r="HSA1519" s="886"/>
      <c r="HSB1519" s="886"/>
      <c r="HSC1519" s="886"/>
      <c r="HSD1519" s="886"/>
      <c r="HSE1519" s="886"/>
      <c r="HSF1519" s="886"/>
      <c r="HSG1519" s="886"/>
      <c r="HSH1519" s="886"/>
      <c r="HSI1519" s="886"/>
      <c r="HSJ1519" s="886"/>
      <c r="HSK1519" s="886"/>
      <c r="HSL1519" s="886"/>
      <c r="HSM1519" s="886"/>
      <c r="HSN1519" s="886"/>
      <c r="HSO1519" s="886"/>
      <c r="HSP1519" s="886"/>
      <c r="HSQ1519" s="886"/>
      <c r="HSR1519" s="886"/>
      <c r="HSS1519" s="886"/>
      <c r="HST1519" s="886"/>
      <c r="HSU1519" s="886"/>
      <c r="HSV1519" s="886"/>
      <c r="HSW1519" s="886"/>
      <c r="HSX1519" s="886"/>
      <c r="HSY1519" s="886"/>
      <c r="HSZ1519" s="886"/>
      <c r="HTA1519" s="886"/>
      <c r="HTB1519" s="886"/>
      <c r="HTC1519" s="886"/>
      <c r="HTD1519" s="886"/>
      <c r="HTE1519" s="886"/>
      <c r="HTF1519" s="886"/>
      <c r="HTG1519" s="886"/>
      <c r="HTH1519" s="886"/>
      <c r="HTI1519" s="886"/>
      <c r="HTJ1519" s="886"/>
      <c r="HTK1519" s="886"/>
      <c r="HTL1519" s="886"/>
      <c r="HTM1519" s="886"/>
      <c r="HTN1519" s="886"/>
      <c r="HTO1519" s="886"/>
      <c r="HTP1519" s="886"/>
      <c r="HTQ1519" s="886"/>
      <c r="HTR1519" s="886"/>
      <c r="HTS1519" s="886"/>
      <c r="HTT1519" s="886"/>
      <c r="HTU1519" s="886"/>
      <c r="HTV1519" s="886"/>
      <c r="HTW1519" s="886"/>
      <c r="HTX1519" s="886"/>
      <c r="HTY1519" s="886"/>
      <c r="HTZ1519" s="886"/>
      <c r="HUA1519" s="886"/>
      <c r="HUB1519" s="886"/>
      <c r="HUC1519" s="886"/>
      <c r="HUD1519" s="886"/>
      <c r="HUE1519" s="886"/>
      <c r="HUF1519" s="886"/>
      <c r="HUG1519" s="886"/>
      <c r="HUH1519" s="886"/>
      <c r="HUI1519" s="886"/>
      <c r="HUJ1519" s="886"/>
      <c r="HUK1519" s="886"/>
      <c r="HUL1519" s="886"/>
      <c r="HUM1519" s="886"/>
      <c r="HUN1519" s="886"/>
      <c r="HUO1519" s="886"/>
      <c r="HUP1519" s="886"/>
      <c r="HUQ1519" s="886"/>
      <c r="HUR1519" s="886"/>
      <c r="HUS1519" s="886"/>
      <c r="HUT1519" s="886"/>
      <c r="HUU1519" s="886"/>
      <c r="HUV1519" s="886"/>
      <c r="HUW1519" s="886"/>
      <c r="HUX1519" s="886"/>
      <c r="HUY1519" s="886"/>
      <c r="HUZ1519" s="886"/>
      <c r="HVA1519" s="886"/>
      <c r="HVB1519" s="886"/>
      <c r="HVC1519" s="886"/>
      <c r="HVD1519" s="886"/>
      <c r="HVE1519" s="886"/>
      <c r="HVF1519" s="886"/>
      <c r="HVG1519" s="886"/>
      <c r="HVH1519" s="886"/>
      <c r="HVI1519" s="886"/>
      <c r="HVJ1519" s="886"/>
      <c r="HVK1519" s="886"/>
      <c r="HVL1519" s="886"/>
      <c r="HVM1519" s="886"/>
      <c r="HVN1519" s="886"/>
      <c r="HVO1519" s="886"/>
      <c r="HVP1519" s="886"/>
      <c r="HVQ1519" s="886"/>
      <c r="HVR1519" s="886"/>
      <c r="HVS1519" s="886"/>
      <c r="HVT1519" s="886"/>
      <c r="HVU1519" s="886"/>
      <c r="HVV1519" s="886"/>
      <c r="HVW1519" s="886"/>
      <c r="HVX1519" s="886"/>
      <c r="HVY1519" s="886"/>
      <c r="HVZ1519" s="886"/>
      <c r="HWA1519" s="886"/>
      <c r="HWB1519" s="886"/>
      <c r="HWC1519" s="886"/>
      <c r="HWD1519" s="886"/>
      <c r="HWE1519" s="886"/>
      <c r="HWF1519" s="886"/>
      <c r="HWG1519" s="886"/>
      <c r="HWH1519" s="886"/>
      <c r="HWI1519" s="886"/>
      <c r="HWJ1519" s="886"/>
      <c r="HWK1519" s="886"/>
      <c r="HWL1519" s="886"/>
      <c r="HWM1519" s="886"/>
      <c r="HWN1519" s="886"/>
      <c r="HWO1519" s="886"/>
      <c r="HWP1519" s="886"/>
      <c r="HWQ1519" s="886"/>
      <c r="HWR1519" s="886"/>
      <c r="HWS1519" s="886"/>
      <c r="HWT1519" s="886"/>
      <c r="HWU1519" s="886"/>
      <c r="HWV1519" s="886"/>
      <c r="HWW1519" s="886"/>
      <c r="HWX1519" s="886"/>
      <c r="HWY1519" s="886"/>
      <c r="HWZ1519" s="886"/>
      <c r="HXA1519" s="886"/>
      <c r="HXB1519" s="886"/>
      <c r="HXC1519" s="886"/>
      <c r="HXD1519" s="886"/>
      <c r="HXE1519" s="886"/>
      <c r="HXF1519" s="886"/>
      <c r="HXG1519" s="886"/>
      <c r="HXH1519" s="886"/>
      <c r="HXI1519" s="886"/>
      <c r="HXJ1519" s="886"/>
      <c r="HXK1519" s="886"/>
      <c r="HXL1519" s="886"/>
      <c r="HXM1519" s="886"/>
      <c r="HXN1519" s="886"/>
      <c r="HXO1519" s="886"/>
      <c r="HXP1519" s="886"/>
      <c r="HXQ1519" s="886"/>
      <c r="HXR1519" s="886"/>
      <c r="HXS1519" s="886"/>
      <c r="HXT1519" s="886"/>
      <c r="HXU1519" s="886"/>
      <c r="HXV1519" s="886"/>
      <c r="HXW1519" s="886"/>
      <c r="HXX1519" s="886"/>
      <c r="HXY1519" s="886"/>
      <c r="HXZ1519" s="886"/>
      <c r="HYA1519" s="886"/>
      <c r="HYB1519" s="886"/>
      <c r="HYC1519" s="886"/>
      <c r="HYD1519" s="886"/>
      <c r="HYE1519" s="886"/>
      <c r="HYF1519" s="886"/>
      <c r="HYG1519" s="886"/>
      <c r="HYH1519" s="886"/>
      <c r="HYI1519" s="886"/>
      <c r="HYJ1519" s="886"/>
      <c r="HYK1519" s="886"/>
      <c r="HYL1519" s="886"/>
      <c r="HYM1519" s="886"/>
      <c r="HYN1519" s="886"/>
      <c r="HYO1519" s="886"/>
      <c r="HYP1519" s="886"/>
      <c r="HYQ1519" s="886"/>
      <c r="HYR1519" s="886"/>
      <c r="HYS1519" s="886"/>
      <c r="HYT1519" s="886"/>
      <c r="HYU1519" s="886"/>
      <c r="HYV1519" s="886"/>
      <c r="HYW1519" s="886"/>
      <c r="HYX1519" s="886"/>
      <c r="HYY1519" s="886"/>
      <c r="HYZ1519" s="886"/>
      <c r="HZA1519" s="886"/>
      <c r="HZB1519" s="886"/>
      <c r="HZC1519" s="886"/>
      <c r="HZD1519" s="886"/>
      <c r="HZE1519" s="886"/>
      <c r="HZF1519" s="886"/>
      <c r="HZG1519" s="886"/>
      <c r="HZH1519" s="886"/>
      <c r="HZI1519" s="886"/>
      <c r="HZJ1519" s="886"/>
      <c r="HZK1519" s="886"/>
      <c r="HZL1519" s="886"/>
      <c r="HZM1519" s="886"/>
      <c r="HZN1519" s="886"/>
      <c r="HZO1519" s="886"/>
      <c r="HZP1519" s="886"/>
      <c r="HZQ1519" s="886"/>
      <c r="HZR1519" s="886"/>
      <c r="HZS1519" s="886"/>
      <c r="HZT1519" s="886"/>
      <c r="HZU1519" s="886"/>
      <c r="HZV1519" s="886"/>
      <c r="HZW1519" s="886"/>
      <c r="HZX1519" s="886"/>
      <c r="HZY1519" s="886"/>
      <c r="HZZ1519" s="886"/>
      <c r="IAA1519" s="886"/>
      <c r="IAB1519" s="886"/>
      <c r="IAC1519" s="886"/>
      <c r="IAD1519" s="886"/>
      <c r="IAE1519" s="886"/>
      <c r="IAF1519" s="886"/>
      <c r="IAG1519" s="886"/>
      <c r="IAH1519" s="886"/>
      <c r="IAI1519" s="886"/>
      <c r="IAJ1519" s="886"/>
      <c r="IAK1519" s="886"/>
      <c r="IAL1519" s="886"/>
      <c r="IAM1519" s="886"/>
      <c r="IAN1519" s="886"/>
      <c r="IAO1519" s="886"/>
      <c r="IAP1519" s="886"/>
      <c r="IAQ1519" s="886"/>
      <c r="IAR1519" s="886"/>
      <c r="IAS1519" s="886"/>
      <c r="IAT1519" s="886"/>
      <c r="IAU1519" s="886"/>
      <c r="IAV1519" s="886"/>
      <c r="IAW1519" s="886"/>
      <c r="IAX1519" s="886"/>
      <c r="IAY1519" s="886"/>
      <c r="IAZ1519" s="886"/>
      <c r="IBA1519" s="886"/>
      <c r="IBB1519" s="886"/>
      <c r="IBC1519" s="886"/>
      <c r="IBD1519" s="886"/>
      <c r="IBE1519" s="886"/>
      <c r="IBF1519" s="886"/>
      <c r="IBG1519" s="886"/>
      <c r="IBH1519" s="886"/>
      <c r="IBI1519" s="886"/>
      <c r="IBJ1519" s="886"/>
      <c r="IBK1519" s="886"/>
      <c r="IBL1519" s="886"/>
      <c r="IBM1519" s="886"/>
      <c r="IBN1519" s="886"/>
      <c r="IBO1519" s="886"/>
      <c r="IBP1519" s="886"/>
      <c r="IBQ1519" s="886"/>
      <c r="IBR1519" s="886"/>
      <c r="IBS1519" s="886"/>
      <c r="IBT1519" s="886"/>
      <c r="IBU1519" s="886"/>
      <c r="IBV1519" s="886"/>
      <c r="IBW1519" s="886"/>
      <c r="IBX1519" s="886"/>
      <c r="IBY1519" s="886"/>
      <c r="IBZ1519" s="886"/>
      <c r="ICA1519" s="886"/>
      <c r="ICB1519" s="886"/>
      <c r="ICC1519" s="886"/>
      <c r="ICD1519" s="886"/>
      <c r="ICE1519" s="886"/>
      <c r="ICF1519" s="886"/>
      <c r="ICG1519" s="886"/>
      <c r="ICH1519" s="886"/>
      <c r="ICI1519" s="886"/>
      <c r="ICJ1519" s="886"/>
      <c r="ICK1519" s="886"/>
      <c r="ICL1519" s="886"/>
      <c r="ICM1519" s="886"/>
      <c r="ICN1519" s="886"/>
      <c r="ICO1519" s="886"/>
      <c r="ICP1519" s="886"/>
      <c r="ICQ1519" s="886"/>
      <c r="ICR1519" s="886"/>
      <c r="ICS1519" s="886"/>
      <c r="ICT1519" s="886"/>
      <c r="ICU1519" s="886"/>
      <c r="ICV1519" s="886"/>
      <c r="ICW1519" s="886"/>
      <c r="ICX1519" s="886"/>
      <c r="ICY1519" s="886"/>
      <c r="ICZ1519" s="886"/>
      <c r="IDA1519" s="886"/>
      <c r="IDB1519" s="886"/>
      <c r="IDC1519" s="886"/>
      <c r="IDD1519" s="886"/>
      <c r="IDE1519" s="886"/>
      <c r="IDF1519" s="886"/>
      <c r="IDG1519" s="886"/>
      <c r="IDH1519" s="886"/>
      <c r="IDI1519" s="886"/>
      <c r="IDJ1519" s="886"/>
      <c r="IDK1519" s="886"/>
      <c r="IDL1519" s="886"/>
      <c r="IDM1519" s="886"/>
      <c r="IDN1519" s="886"/>
      <c r="IDO1519" s="886"/>
      <c r="IDP1519" s="886"/>
      <c r="IDQ1519" s="886"/>
      <c r="IDR1519" s="886"/>
      <c r="IDS1519" s="886"/>
      <c r="IDT1519" s="886"/>
      <c r="IDU1519" s="886"/>
      <c r="IDV1519" s="886"/>
      <c r="IDW1519" s="886"/>
      <c r="IDX1519" s="886"/>
      <c r="IDY1519" s="886"/>
      <c r="IDZ1519" s="886"/>
      <c r="IEA1519" s="886"/>
      <c r="IEB1519" s="886"/>
      <c r="IEC1519" s="886"/>
      <c r="IED1519" s="886"/>
      <c r="IEE1519" s="886"/>
      <c r="IEF1519" s="886"/>
      <c r="IEG1519" s="886"/>
      <c r="IEH1519" s="886"/>
      <c r="IEI1519" s="886"/>
      <c r="IEJ1519" s="886"/>
      <c r="IEK1519" s="886"/>
      <c r="IEL1519" s="886"/>
      <c r="IEM1519" s="886"/>
      <c r="IEN1519" s="886"/>
      <c r="IEO1519" s="886"/>
      <c r="IEP1519" s="886"/>
      <c r="IEQ1519" s="886"/>
      <c r="IER1519" s="886"/>
      <c r="IES1519" s="886"/>
      <c r="IET1519" s="886"/>
      <c r="IEU1519" s="886"/>
      <c r="IEV1519" s="886"/>
      <c r="IEW1519" s="886"/>
      <c r="IEX1519" s="886"/>
      <c r="IEY1519" s="886"/>
      <c r="IEZ1519" s="886"/>
      <c r="IFA1519" s="886"/>
      <c r="IFB1519" s="886"/>
      <c r="IFC1519" s="886"/>
      <c r="IFD1519" s="886"/>
      <c r="IFE1519" s="886"/>
      <c r="IFF1519" s="886"/>
      <c r="IFG1519" s="886"/>
      <c r="IFH1519" s="886"/>
      <c r="IFI1519" s="886"/>
      <c r="IFJ1519" s="886"/>
      <c r="IFK1519" s="886"/>
      <c r="IFL1519" s="886"/>
      <c r="IFM1519" s="886"/>
      <c r="IFN1519" s="886"/>
      <c r="IFO1519" s="886"/>
      <c r="IFP1519" s="886"/>
      <c r="IFQ1519" s="886"/>
      <c r="IFR1519" s="886"/>
      <c r="IFS1519" s="886"/>
      <c r="IFT1519" s="886"/>
      <c r="IFU1519" s="886"/>
      <c r="IFV1519" s="886"/>
      <c r="IFW1519" s="886"/>
      <c r="IFX1519" s="886"/>
      <c r="IFY1519" s="886"/>
      <c r="IFZ1519" s="886"/>
      <c r="IGA1519" s="886"/>
      <c r="IGB1519" s="886"/>
      <c r="IGC1519" s="886"/>
      <c r="IGD1519" s="886"/>
      <c r="IGE1519" s="886"/>
      <c r="IGF1519" s="886"/>
      <c r="IGG1519" s="886"/>
      <c r="IGH1519" s="886"/>
      <c r="IGI1519" s="886"/>
      <c r="IGJ1519" s="886"/>
      <c r="IGK1519" s="886"/>
      <c r="IGL1519" s="886"/>
      <c r="IGM1519" s="886"/>
      <c r="IGN1519" s="886"/>
      <c r="IGO1519" s="886"/>
      <c r="IGP1519" s="886"/>
      <c r="IGQ1519" s="886"/>
      <c r="IGR1519" s="886"/>
      <c r="IGS1519" s="886"/>
      <c r="IGT1519" s="886"/>
      <c r="IGU1519" s="886"/>
      <c r="IGV1519" s="886"/>
      <c r="IGW1519" s="886"/>
      <c r="IGX1519" s="886"/>
      <c r="IGY1519" s="886"/>
      <c r="IGZ1519" s="886"/>
      <c r="IHA1519" s="886"/>
      <c r="IHB1519" s="886"/>
      <c r="IHC1519" s="886"/>
      <c r="IHD1519" s="886"/>
      <c r="IHE1519" s="886"/>
      <c r="IHF1519" s="886"/>
      <c r="IHG1519" s="886"/>
      <c r="IHH1519" s="886"/>
      <c r="IHI1519" s="886"/>
      <c r="IHJ1519" s="886"/>
      <c r="IHK1519" s="886"/>
      <c r="IHL1519" s="886"/>
      <c r="IHM1519" s="886"/>
      <c r="IHN1519" s="886"/>
      <c r="IHO1519" s="886"/>
      <c r="IHP1519" s="886"/>
      <c r="IHQ1519" s="886"/>
      <c r="IHR1519" s="886"/>
      <c r="IHS1519" s="886"/>
      <c r="IHT1519" s="886"/>
      <c r="IHU1519" s="886"/>
      <c r="IHV1519" s="886"/>
      <c r="IHW1519" s="886"/>
      <c r="IHX1519" s="886"/>
      <c r="IHY1519" s="886"/>
      <c r="IHZ1519" s="886"/>
      <c r="IIA1519" s="886"/>
      <c r="IIB1519" s="886"/>
      <c r="IIC1519" s="886"/>
      <c r="IID1519" s="886"/>
      <c r="IIE1519" s="886"/>
      <c r="IIF1519" s="886"/>
      <c r="IIG1519" s="886"/>
      <c r="IIH1519" s="886"/>
      <c r="III1519" s="886"/>
      <c r="IIJ1519" s="886"/>
      <c r="IIK1519" s="886"/>
      <c r="IIL1519" s="886"/>
      <c r="IIM1519" s="886"/>
      <c r="IIN1519" s="886"/>
      <c r="IIO1519" s="886"/>
      <c r="IIP1519" s="886"/>
      <c r="IIQ1519" s="886"/>
      <c r="IIR1519" s="886"/>
      <c r="IIS1519" s="886"/>
      <c r="IIT1519" s="886"/>
      <c r="IIU1519" s="886"/>
      <c r="IIV1519" s="886"/>
      <c r="IIW1519" s="886"/>
      <c r="IIX1519" s="886"/>
      <c r="IIY1519" s="886"/>
      <c r="IIZ1519" s="886"/>
      <c r="IJA1519" s="886"/>
      <c r="IJB1519" s="886"/>
      <c r="IJC1519" s="886"/>
      <c r="IJD1519" s="886"/>
      <c r="IJE1519" s="886"/>
      <c r="IJF1519" s="886"/>
      <c r="IJG1519" s="886"/>
      <c r="IJH1519" s="886"/>
      <c r="IJI1519" s="886"/>
      <c r="IJJ1519" s="886"/>
      <c r="IJK1519" s="886"/>
      <c r="IJL1519" s="886"/>
      <c r="IJM1519" s="886"/>
      <c r="IJN1519" s="886"/>
      <c r="IJO1519" s="886"/>
      <c r="IJP1519" s="886"/>
      <c r="IJQ1519" s="886"/>
      <c r="IJR1519" s="886"/>
      <c r="IJS1519" s="886"/>
      <c r="IJT1519" s="886"/>
      <c r="IJU1519" s="886"/>
      <c r="IJV1519" s="886"/>
      <c r="IJW1519" s="886"/>
      <c r="IJX1519" s="886"/>
      <c r="IJY1519" s="886"/>
      <c r="IJZ1519" s="886"/>
      <c r="IKA1519" s="886"/>
      <c r="IKB1519" s="886"/>
      <c r="IKC1519" s="886"/>
      <c r="IKD1519" s="886"/>
      <c r="IKE1519" s="886"/>
      <c r="IKF1519" s="886"/>
      <c r="IKG1519" s="886"/>
      <c r="IKH1519" s="886"/>
      <c r="IKI1519" s="886"/>
      <c r="IKJ1519" s="886"/>
      <c r="IKK1519" s="886"/>
      <c r="IKL1519" s="886"/>
      <c r="IKM1519" s="886"/>
      <c r="IKN1519" s="886"/>
      <c r="IKO1519" s="886"/>
      <c r="IKP1519" s="886"/>
      <c r="IKQ1519" s="886"/>
      <c r="IKR1519" s="886"/>
      <c r="IKS1519" s="886"/>
      <c r="IKT1519" s="886"/>
      <c r="IKU1519" s="886"/>
      <c r="IKV1519" s="886"/>
      <c r="IKW1519" s="886"/>
      <c r="IKX1519" s="886"/>
      <c r="IKY1519" s="886"/>
      <c r="IKZ1519" s="886"/>
      <c r="ILA1519" s="886"/>
      <c r="ILB1519" s="886"/>
      <c r="ILC1519" s="886"/>
      <c r="ILD1519" s="886"/>
      <c r="ILE1519" s="886"/>
      <c r="ILF1519" s="886"/>
      <c r="ILG1519" s="886"/>
      <c r="ILH1519" s="886"/>
      <c r="ILI1519" s="886"/>
      <c r="ILJ1519" s="886"/>
      <c r="ILK1519" s="886"/>
      <c r="ILL1519" s="886"/>
      <c r="ILM1519" s="886"/>
      <c r="ILN1519" s="886"/>
      <c r="ILO1519" s="886"/>
      <c r="ILP1519" s="886"/>
      <c r="ILQ1519" s="886"/>
      <c r="ILR1519" s="886"/>
      <c r="ILS1519" s="886"/>
      <c r="ILT1519" s="886"/>
      <c r="ILU1519" s="886"/>
      <c r="ILV1519" s="886"/>
      <c r="ILW1519" s="886"/>
      <c r="ILX1519" s="886"/>
      <c r="ILY1519" s="886"/>
      <c r="ILZ1519" s="886"/>
      <c r="IMA1519" s="886"/>
      <c r="IMB1519" s="886"/>
      <c r="IMC1519" s="886"/>
      <c r="IMD1519" s="886"/>
      <c r="IME1519" s="886"/>
      <c r="IMF1519" s="886"/>
      <c r="IMG1519" s="886"/>
      <c r="IMH1519" s="886"/>
      <c r="IMI1519" s="886"/>
      <c r="IMJ1519" s="886"/>
      <c r="IMK1519" s="886"/>
      <c r="IML1519" s="886"/>
      <c r="IMM1519" s="886"/>
      <c r="IMN1519" s="886"/>
      <c r="IMO1519" s="886"/>
      <c r="IMP1519" s="886"/>
      <c r="IMQ1519" s="886"/>
      <c r="IMR1519" s="886"/>
      <c r="IMS1519" s="886"/>
      <c r="IMT1519" s="886"/>
      <c r="IMU1519" s="886"/>
      <c r="IMV1519" s="886"/>
      <c r="IMW1519" s="886"/>
      <c r="IMX1519" s="886"/>
      <c r="IMY1519" s="886"/>
      <c r="IMZ1519" s="886"/>
      <c r="INA1519" s="886"/>
      <c r="INB1519" s="886"/>
      <c r="INC1519" s="886"/>
      <c r="IND1519" s="886"/>
      <c r="INE1519" s="886"/>
      <c r="INF1519" s="886"/>
      <c r="ING1519" s="886"/>
      <c r="INH1519" s="886"/>
      <c r="INI1519" s="886"/>
      <c r="INJ1519" s="886"/>
      <c r="INK1519" s="886"/>
      <c r="INL1519" s="886"/>
      <c r="INM1519" s="886"/>
      <c r="INN1519" s="886"/>
      <c r="INO1519" s="886"/>
      <c r="INP1519" s="886"/>
      <c r="INQ1519" s="886"/>
      <c r="INR1519" s="886"/>
      <c r="INS1519" s="886"/>
      <c r="INT1519" s="886"/>
      <c r="INU1519" s="886"/>
      <c r="INV1519" s="886"/>
      <c r="INW1519" s="886"/>
      <c r="INX1519" s="886"/>
      <c r="INY1519" s="886"/>
      <c r="INZ1519" s="886"/>
      <c r="IOA1519" s="886"/>
      <c r="IOB1519" s="886"/>
      <c r="IOC1519" s="886"/>
      <c r="IOD1519" s="886"/>
      <c r="IOE1519" s="886"/>
      <c r="IOF1519" s="886"/>
      <c r="IOG1519" s="886"/>
      <c r="IOH1519" s="886"/>
      <c r="IOI1519" s="886"/>
      <c r="IOJ1519" s="886"/>
      <c r="IOK1519" s="886"/>
      <c r="IOL1519" s="886"/>
      <c r="IOM1519" s="886"/>
      <c r="ION1519" s="886"/>
      <c r="IOO1519" s="886"/>
      <c r="IOP1519" s="886"/>
      <c r="IOQ1519" s="886"/>
      <c r="IOR1519" s="886"/>
      <c r="IOS1519" s="886"/>
      <c r="IOT1519" s="886"/>
      <c r="IOU1519" s="886"/>
      <c r="IOV1519" s="886"/>
      <c r="IOW1519" s="886"/>
      <c r="IOX1519" s="886"/>
      <c r="IOY1519" s="886"/>
      <c r="IOZ1519" s="886"/>
      <c r="IPA1519" s="886"/>
      <c r="IPB1519" s="886"/>
      <c r="IPC1519" s="886"/>
      <c r="IPD1519" s="886"/>
      <c r="IPE1519" s="886"/>
      <c r="IPF1519" s="886"/>
      <c r="IPG1519" s="886"/>
      <c r="IPH1519" s="886"/>
      <c r="IPI1519" s="886"/>
      <c r="IPJ1519" s="886"/>
      <c r="IPK1519" s="886"/>
      <c r="IPL1519" s="886"/>
      <c r="IPM1519" s="886"/>
      <c r="IPN1519" s="886"/>
      <c r="IPO1519" s="886"/>
      <c r="IPP1519" s="886"/>
      <c r="IPQ1519" s="886"/>
      <c r="IPR1519" s="886"/>
      <c r="IPS1519" s="886"/>
      <c r="IPT1519" s="886"/>
      <c r="IPU1519" s="886"/>
      <c r="IPV1519" s="886"/>
      <c r="IPW1519" s="886"/>
      <c r="IPX1519" s="886"/>
      <c r="IPY1519" s="886"/>
      <c r="IPZ1519" s="886"/>
      <c r="IQA1519" s="886"/>
      <c r="IQB1519" s="886"/>
      <c r="IQC1519" s="886"/>
      <c r="IQD1519" s="886"/>
      <c r="IQE1519" s="886"/>
      <c r="IQF1519" s="886"/>
      <c r="IQG1519" s="886"/>
      <c r="IQH1519" s="886"/>
      <c r="IQI1519" s="886"/>
      <c r="IQJ1519" s="886"/>
      <c r="IQK1519" s="886"/>
      <c r="IQL1519" s="886"/>
      <c r="IQM1519" s="886"/>
      <c r="IQN1519" s="886"/>
      <c r="IQO1519" s="886"/>
      <c r="IQP1519" s="886"/>
      <c r="IQQ1519" s="886"/>
      <c r="IQR1519" s="886"/>
      <c r="IQS1519" s="886"/>
      <c r="IQT1519" s="886"/>
      <c r="IQU1519" s="886"/>
      <c r="IQV1519" s="886"/>
      <c r="IQW1519" s="886"/>
      <c r="IQX1519" s="886"/>
      <c r="IQY1519" s="886"/>
      <c r="IQZ1519" s="886"/>
      <c r="IRA1519" s="886"/>
      <c r="IRB1519" s="886"/>
      <c r="IRC1519" s="886"/>
      <c r="IRD1519" s="886"/>
      <c r="IRE1519" s="886"/>
      <c r="IRF1519" s="886"/>
      <c r="IRG1519" s="886"/>
      <c r="IRH1519" s="886"/>
      <c r="IRI1519" s="886"/>
      <c r="IRJ1519" s="886"/>
      <c r="IRK1519" s="886"/>
      <c r="IRL1519" s="886"/>
      <c r="IRM1519" s="886"/>
      <c r="IRN1519" s="886"/>
      <c r="IRO1519" s="886"/>
      <c r="IRP1519" s="886"/>
      <c r="IRQ1519" s="886"/>
      <c r="IRR1519" s="886"/>
      <c r="IRS1519" s="886"/>
      <c r="IRT1519" s="886"/>
      <c r="IRU1519" s="886"/>
      <c r="IRV1519" s="886"/>
      <c r="IRW1519" s="886"/>
      <c r="IRX1519" s="886"/>
      <c r="IRY1519" s="886"/>
      <c r="IRZ1519" s="886"/>
      <c r="ISA1519" s="886"/>
      <c r="ISB1519" s="886"/>
      <c r="ISC1519" s="886"/>
      <c r="ISD1519" s="886"/>
      <c r="ISE1519" s="886"/>
      <c r="ISF1519" s="886"/>
      <c r="ISG1519" s="886"/>
      <c r="ISH1519" s="886"/>
      <c r="ISI1519" s="886"/>
      <c r="ISJ1519" s="886"/>
      <c r="ISK1519" s="886"/>
      <c r="ISL1519" s="886"/>
      <c r="ISM1519" s="886"/>
      <c r="ISN1519" s="886"/>
      <c r="ISO1519" s="886"/>
      <c r="ISP1519" s="886"/>
      <c r="ISQ1519" s="886"/>
      <c r="ISR1519" s="886"/>
      <c r="ISS1519" s="886"/>
      <c r="IST1519" s="886"/>
      <c r="ISU1519" s="886"/>
      <c r="ISV1519" s="886"/>
      <c r="ISW1519" s="886"/>
      <c r="ISX1519" s="886"/>
      <c r="ISY1519" s="886"/>
      <c r="ISZ1519" s="886"/>
      <c r="ITA1519" s="886"/>
      <c r="ITB1519" s="886"/>
      <c r="ITC1519" s="886"/>
      <c r="ITD1519" s="886"/>
      <c r="ITE1519" s="886"/>
      <c r="ITF1519" s="886"/>
      <c r="ITG1519" s="886"/>
      <c r="ITH1519" s="886"/>
      <c r="ITI1519" s="886"/>
      <c r="ITJ1519" s="886"/>
      <c r="ITK1519" s="886"/>
      <c r="ITL1519" s="886"/>
      <c r="ITM1519" s="886"/>
      <c r="ITN1519" s="886"/>
      <c r="ITO1519" s="886"/>
      <c r="ITP1519" s="886"/>
      <c r="ITQ1519" s="886"/>
      <c r="ITR1519" s="886"/>
      <c r="ITS1519" s="886"/>
      <c r="ITT1519" s="886"/>
      <c r="ITU1519" s="886"/>
      <c r="ITV1519" s="886"/>
      <c r="ITW1519" s="886"/>
      <c r="ITX1519" s="886"/>
      <c r="ITY1519" s="886"/>
      <c r="ITZ1519" s="886"/>
      <c r="IUA1519" s="886"/>
      <c r="IUB1519" s="886"/>
      <c r="IUC1519" s="886"/>
      <c r="IUD1519" s="886"/>
      <c r="IUE1519" s="886"/>
      <c r="IUF1519" s="886"/>
      <c r="IUG1519" s="886"/>
      <c r="IUH1519" s="886"/>
      <c r="IUI1519" s="886"/>
      <c r="IUJ1519" s="886"/>
      <c r="IUK1519" s="886"/>
      <c r="IUL1519" s="886"/>
      <c r="IUM1519" s="886"/>
      <c r="IUN1519" s="886"/>
      <c r="IUO1519" s="886"/>
      <c r="IUP1519" s="886"/>
      <c r="IUQ1519" s="886"/>
      <c r="IUR1519" s="886"/>
      <c r="IUS1519" s="886"/>
      <c r="IUT1519" s="886"/>
      <c r="IUU1519" s="886"/>
      <c r="IUV1519" s="886"/>
      <c r="IUW1519" s="886"/>
      <c r="IUX1519" s="886"/>
      <c r="IUY1519" s="886"/>
      <c r="IUZ1519" s="886"/>
      <c r="IVA1519" s="886"/>
      <c r="IVB1519" s="886"/>
      <c r="IVC1519" s="886"/>
      <c r="IVD1519" s="886"/>
      <c r="IVE1519" s="886"/>
      <c r="IVF1519" s="886"/>
      <c r="IVG1519" s="886"/>
      <c r="IVH1519" s="886"/>
      <c r="IVI1519" s="886"/>
      <c r="IVJ1519" s="886"/>
      <c r="IVK1519" s="886"/>
      <c r="IVL1519" s="886"/>
      <c r="IVM1519" s="886"/>
      <c r="IVN1519" s="886"/>
      <c r="IVO1519" s="886"/>
      <c r="IVP1519" s="886"/>
      <c r="IVQ1519" s="886"/>
      <c r="IVR1519" s="886"/>
      <c r="IVS1519" s="886"/>
      <c r="IVT1519" s="886"/>
      <c r="IVU1519" s="886"/>
      <c r="IVV1519" s="886"/>
      <c r="IVW1519" s="886"/>
      <c r="IVX1519" s="886"/>
      <c r="IVY1519" s="886"/>
      <c r="IVZ1519" s="886"/>
      <c r="IWA1519" s="886"/>
      <c r="IWB1519" s="886"/>
      <c r="IWC1519" s="886"/>
      <c r="IWD1519" s="886"/>
      <c r="IWE1519" s="886"/>
      <c r="IWF1519" s="886"/>
      <c r="IWG1519" s="886"/>
      <c r="IWH1519" s="886"/>
      <c r="IWI1519" s="886"/>
      <c r="IWJ1519" s="886"/>
      <c r="IWK1519" s="886"/>
      <c r="IWL1519" s="886"/>
      <c r="IWM1519" s="886"/>
      <c r="IWN1519" s="886"/>
      <c r="IWO1519" s="886"/>
      <c r="IWP1519" s="886"/>
      <c r="IWQ1519" s="886"/>
      <c r="IWR1519" s="886"/>
      <c r="IWS1519" s="886"/>
      <c r="IWT1519" s="886"/>
      <c r="IWU1519" s="886"/>
      <c r="IWV1519" s="886"/>
      <c r="IWW1519" s="886"/>
      <c r="IWX1519" s="886"/>
      <c r="IWY1519" s="886"/>
      <c r="IWZ1519" s="886"/>
      <c r="IXA1519" s="886"/>
      <c r="IXB1519" s="886"/>
      <c r="IXC1519" s="886"/>
      <c r="IXD1519" s="886"/>
      <c r="IXE1519" s="886"/>
      <c r="IXF1519" s="886"/>
      <c r="IXG1519" s="886"/>
      <c r="IXH1519" s="886"/>
      <c r="IXI1519" s="886"/>
      <c r="IXJ1519" s="886"/>
      <c r="IXK1519" s="886"/>
      <c r="IXL1519" s="886"/>
      <c r="IXM1519" s="886"/>
      <c r="IXN1519" s="886"/>
      <c r="IXO1519" s="886"/>
      <c r="IXP1519" s="886"/>
      <c r="IXQ1519" s="886"/>
      <c r="IXR1519" s="886"/>
      <c r="IXS1519" s="886"/>
      <c r="IXT1519" s="886"/>
      <c r="IXU1519" s="886"/>
      <c r="IXV1519" s="886"/>
      <c r="IXW1519" s="886"/>
      <c r="IXX1519" s="886"/>
      <c r="IXY1519" s="886"/>
      <c r="IXZ1519" s="886"/>
      <c r="IYA1519" s="886"/>
      <c r="IYB1519" s="886"/>
      <c r="IYC1519" s="886"/>
      <c r="IYD1519" s="886"/>
      <c r="IYE1519" s="886"/>
      <c r="IYF1519" s="886"/>
      <c r="IYG1519" s="886"/>
      <c r="IYH1519" s="886"/>
      <c r="IYI1519" s="886"/>
      <c r="IYJ1519" s="886"/>
      <c r="IYK1519" s="886"/>
      <c r="IYL1519" s="886"/>
      <c r="IYM1519" s="886"/>
      <c r="IYN1519" s="886"/>
      <c r="IYO1519" s="886"/>
      <c r="IYP1519" s="886"/>
      <c r="IYQ1519" s="886"/>
      <c r="IYR1519" s="886"/>
      <c r="IYS1519" s="886"/>
      <c r="IYT1519" s="886"/>
      <c r="IYU1519" s="886"/>
      <c r="IYV1519" s="886"/>
      <c r="IYW1519" s="886"/>
      <c r="IYX1519" s="886"/>
      <c r="IYY1519" s="886"/>
      <c r="IYZ1519" s="886"/>
      <c r="IZA1519" s="886"/>
      <c r="IZB1519" s="886"/>
      <c r="IZC1519" s="886"/>
      <c r="IZD1519" s="886"/>
      <c r="IZE1519" s="886"/>
      <c r="IZF1519" s="886"/>
      <c r="IZG1519" s="886"/>
      <c r="IZH1519" s="886"/>
      <c r="IZI1519" s="886"/>
      <c r="IZJ1519" s="886"/>
      <c r="IZK1519" s="886"/>
      <c r="IZL1519" s="886"/>
      <c r="IZM1519" s="886"/>
      <c r="IZN1519" s="886"/>
      <c r="IZO1519" s="886"/>
      <c r="IZP1519" s="886"/>
      <c r="IZQ1519" s="886"/>
      <c r="IZR1519" s="886"/>
      <c r="IZS1519" s="886"/>
      <c r="IZT1519" s="886"/>
      <c r="IZU1519" s="886"/>
      <c r="IZV1519" s="886"/>
      <c r="IZW1519" s="886"/>
      <c r="IZX1519" s="886"/>
      <c r="IZY1519" s="886"/>
      <c r="IZZ1519" s="886"/>
      <c r="JAA1519" s="886"/>
      <c r="JAB1519" s="886"/>
      <c r="JAC1519" s="886"/>
      <c r="JAD1519" s="886"/>
      <c r="JAE1519" s="886"/>
      <c r="JAF1519" s="886"/>
      <c r="JAG1519" s="886"/>
      <c r="JAH1519" s="886"/>
      <c r="JAI1519" s="886"/>
      <c r="JAJ1519" s="886"/>
      <c r="JAK1519" s="886"/>
      <c r="JAL1519" s="886"/>
      <c r="JAM1519" s="886"/>
      <c r="JAN1519" s="886"/>
      <c r="JAO1519" s="886"/>
      <c r="JAP1519" s="886"/>
      <c r="JAQ1519" s="886"/>
      <c r="JAR1519" s="886"/>
      <c r="JAS1519" s="886"/>
      <c r="JAT1519" s="886"/>
      <c r="JAU1519" s="886"/>
      <c r="JAV1519" s="886"/>
      <c r="JAW1519" s="886"/>
      <c r="JAX1519" s="886"/>
      <c r="JAY1519" s="886"/>
      <c r="JAZ1519" s="886"/>
      <c r="JBA1519" s="886"/>
      <c r="JBB1519" s="886"/>
      <c r="JBC1519" s="886"/>
      <c r="JBD1519" s="886"/>
      <c r="JBE1519" s="886"/>
      <c r="JBF1519" s="886"/>
      <c r="JBG1519" s="886"/>
      <c r="JBH1519" s="886"/>
      <c r="JBI1519" s="886"/>
      <c r="JBJ1519" s="886"/>
      <c r="JBK1519" s="886"/>
      <c r="JBL1519" s="886"/>
      <c r="JBM1519" s="886"/>
      <c r="JBN1519" s="886"/>
      <c r="JBO1519" s="886"/>
      <c r="JBP1519" s="886"/>
      <c r="JBQ1519" s="886"/>
      <c r="JBR1519" s="886"/>
      <c r="JBS1519" s="886"/>
      <c r="JBT1519" s="886"/>
      <c r="JBU1519" s="886"/>
      <c r="JBV1519" s="886"/>
      <c r="JBW1519" s="886"/>
      <c r="JBX1519" s="886"/>
      <c r="JBY1519" s="886"/>
      <c r="JBZ1519" s="886"/>
      <c r="JCA1519" s="886"/>
      <c r="JCB1519" s="886"/>
      <c r="JCC1519" s="886"/>
      <c r="JCD1519" s="886"/>
      <c r="JCE1519" s="886"/>
      <c r="JCF1519" s="886"/>
      <c r="JCG1519" s="886"/>
      <c r="JCH1519" s="886"/>
      <c r="JCI1519" s="886"/>
      <c r="JCJ1519" s="886"/>
      <c r="JCK1519" s="886"/>
      <c r="JCL1519" s="886"/>
      <c r="JCM1519" s="886"/>
      <c r="JCN1519" s="886"/>
      <c r="JCO1519" s="886"/>
      <c r="JCP1519" s="886"/>
      <c r="JCQ1519" s="886"/>
      <c r="JCR1519" s="886"/>
      <c r="JCS1519" s="886"/>
      <c r="JCT1519" s="886"/>
      <c r="JCU1519" s="886"/>
      <c r="JCV1519" s="886"/>
      <c r="JCW1519" s="886"/>
      <c r="JCX1519" s="886"/>
      <c r="JCY1519" s="886"/>
      <c r="JCZ1519" s="886"/>
      <c r="JDA1519" s="886"/>
      <c r="JDB1519" s="886"/>
      <c r="JDC1519" s="886"/>
      <c r="JDD1519" s="886"/>
      <c r="JDE1519" s="886"/>
      <c r="JDF1519" s="886"/>
      <c r="JDG1519" s="886"/>
      <c r="JDH1519" s="886"/>
      <c r="JDI1519" s="886"/>
      <c r="JDJ1519" s="886"/>
      <c r="JDK1519" s="886"/>
      <c r="JDL1519" s="886"/>
      <c r="JDM1519" s="886"/>
      <c r="JDN1519" s="886"/>
      <c r="JDO1519" s="886"/>
      <c r="JDP1519" s="886"/>
      <c r="JDQ1519" s="886"/>
      <c r="JDR1519" s="886"/>
      <c r="JDS1519" s="886"/>
      <c r="JDT1519" s="886"/>
      <c r="JDU1519" s="886"/>
      <c r="JDV1519" s="886"/>
      <c r="JDW1519" s="886"/>
      <c r="JDX1519" s="886"/>
      <c r="JDY1519" s="886"/>
      <c r="JDZ1519" s="886"/>
      <c r="JEA1519" s="886"/>
      <c r="JEB1519" s="886"/>
      <c r="JEC1519" s="886"/>
      <c r="JED1519" s="886"/>
      <c r="JEE1519" s="886"/>
      <c r="JEF1519" s="886"/>
      <c r="JEG1519" s="886"/>
      <c r="JEH1519" s="886"/>
      <c r="JEI1519" s="886"/>
      <c r="JEJ1519" s="886"/>
      <c r="JEK1519" s="886"/>
      <c r="JEL1519" s="886"/>
      <c r="JEM1519" s="886"/>
      <c r="JEN1519" s="886"/>
      <c r="JEO1519" s="886"/>
      <c r="JEP1519" s="886"/>
      <c r="JEQ1519" s="886"/>
      <c r="JER1519" s="886"/>
      <c r="JES1519" s="886"/>
      <c r="JET1519" s="886"/>
      <c r="JEU1519" s="886"/>
      <c r="JEV1519" s="886"/>
      <c r="JEW1519" s="886"/>
      <c r="JEX1519" s="886"/>
      <c r="JEY1519" s="886"/>
      <c r="JEZ1519" s="886"/>
      <c r="JFA1519" s="886"/>
      <c r="JFB1519" s="886"/>
      <c r="JFC1519" s="886"/>
      <c r="JFD1519" s="886"/>
      <c r="JFE1519" s="886"/>
      <c r="JFF1519" s="886"/>
      <c r="JFG1519" s="886"/>
      <c r="JFH1519" s="886"/>
      <c r="JFI1519" s="886"/>
      <c r="JFJ1519" s="886"/>
      <c r="JFK1519" s="886"/>
      <c r="JFL1519" s="886"/>
      <c r="JFM1519" s="886"/>
      <c r="JFN1519" s="886"/>
      <c r="JFO1519" s="886"/>
      <c r="JFP1519" s="886"/>
      <c r="JFQ1519" s="886"/>
      <c r="JFR1519" s="886"/>
      <c r="JFS1519" s="886"/>
      <c r="JFT1519" s="886"/>
      <c r="JFU1519" s="886"/>
      <c r="JFV1519" s="886"/>
      <c r="JFW1519" s="886"/>
      <c r="JFX1519" s="886"/>
      <c r="JFY1519" s="886"/>
      <c r="JFZ1519" s="886"/>
      <c r="JGA1519" s="886"/>
      <c r="JGB1519" s="886"/>
      <c r="JGC1519" s="886"/>
      <c r="JGD1519" s="886"/>
      <c r="JGE1519" s="886"/>
      <c r="JGF1519" s="886"/>
      <c r="JGG1519" s="886"/>
      <c r="JGH1519" s="886"/>
      <c r="JGI1519" s="886"/>
      <c r="JGJ1519" s="886"/>
      <c r="JGK1519" s="886"/>
      <c r="JGL1519" s="886"/>
      <c r="JGM1519" s="886"/>
      <c r="JGN1519" s="886"/>
      <c r="JGO1519" s="886"/>
      <c r="JGP1519" s="886"/>
      <c r="JGQ1519" s="886"/>
      <c r="JGR1519" s="886"/>
      <c r="JGS1519" s="886"/>
      <c r="JGT1519" s="886"/>
      <c r="JGU1519" s="886"/>
      <c r="JGV1519" s="886"/>
      <c r="JGW1519" s="886"/>
      <c r="JGX1519" s="886"/>
      <c r="JGY1519" s="886"/>
      <c r="JGZ1519" s="886"/>
      <c r="JHA1519" s="886"/>
      <c r="JHB1519" s="886"/>
      <c r="JHC1519" s="886"/>
      <c r="JHD1519" s="886"/>
      <c r="JHE1519" s="886"/>
      <c r="JHF1519" s="886"/>
      <c r="JHG1519" s="886"/>
      <c r="JHH1519" s="886"/>
      <c r="JHI1519" s="886"/>
      <c r="JHJ1519" s="886"/>
      <c r="JHK1519" s="886"/>
      <c r="JHL1519" s="886"/>
      <c r="JHM1519" s="886"/>
      <c r="JHN1519" s="886"/>
      <c r="JHO1519" s="886"/>
      <c r="JHP1519" s="886"/>
      <c r="JHQ1519" s="886"/>
      <c r="JHR1519" s="886"/>
      <c r="JHS1519" s="886"/>
      <c r="JHT1519" s="886"/>
      <c r="JHU1519" s="886"/>
      <c r="JHV1519" s="886"/>
      <c r="JHW1519" s="886"/>
      <c r="JHX1519" s="886"/>
      <c r="JHY1519" s="886"/>
      <c r="JHZ1519" s="886"/>
      <c r="JIA1519" s="886"/>
      <c r="JIB1519" s="886"/>
      <c r="JIC1519" s="886"/>
      <c r="JID1519" s="886"/>
      <c r="JIE1519" s="886"/>
      <c r="JIF1519" s="886"/>
      <c r="JIG1519" s="886"/>
      <c r="JIH1519" s="886"/>
      <c r="JII1519" s="886"/>
      <c r="JIJ1519" s="886"/>
      <c r="JIK1519" s="886"/>
      <c r="JIL1519" s="886"/>
      <c r="JIM1519" s="886"/>
      <c r="JIN1519" s="886"/>
      <c r="JIO1519" s="886"/>
      <c r="JIP1519" s="886"/>
      <c r="JIQ1519" s="886"/>
      <c r="JIR1519" s="886"/>
      <c r="JIS1519" s="886"/>
      <c r="JIT1519" s="886"/>
      <c r="JIU1519" s="886"/>
      <c r="JIV1519" s="886"/>
      <c r="JIW1519" s="886"/>
      <c r="JIX1519" s="886"/>
      <c r="JIY1519" s="886"/>
      <c r="JIZ1519" s="886"/>
      <c r="JJA1519" s="886"/>
      <c r="JJB1519" s="886"/>
      <c r="JJC1519" s="886"/>
      <c r="JJD1519" s="886"/>
      <c r="JJE1519" s="886"/>
      <c r="JJF1519" s="886"/>
      <c r="JJG1519" s="886"/>
      <c r="JJH1519" s="886"/>
      <c r="JJI1519" s="886"/>
      <c r="JJJ1519" s="886"/>
      <c r="JJK1519" s="886"/>
      <c r="JJL1519" s="886"/>
      <c r="JJM1519" s="886"/>
      <c r="JJN1519" s="886"/>
      <c r="JJO1519" s="886"/>
      <c r="JJP1519" s="886"/>
      <c r="JJQ1519" s="886"/>
      <c r="JJR1519" s="886"/>
      <c r="JJS1519" s="886"/>
      <c r="JJT1519" s="886"/>
      <c r="JJU1519" s="886"/>
      <c r="JJV1519" s="886"/>
      <c r="JJW1519" s="886"/>
      <c r="JJX1519" s="886"/>
      <c r="JJY1519" s="886"/>
      <c r="JJZ1519" s="886"/>
      <c r="JKA1519" s="886"/>
      <c r="JKB1519" s="886"/>
      <c r="JKC1519" s="886"/>
      <c r="JKD1519" s="886"/>
      <c r="JKE1519" s="886"/>
      <c r="JKF1519" s="886"/>
      <c r="JKG1519" s="886"/>
      <c r="JKH1519" s="886"/>
      <c r="JKI1519" s="886"/>
      <c r="JKJ1519" s="886"/>
      <c r="JKK1519" s="886"/>
      <c r="JKL1519" s="886"/>
      <c r="JKM1519" s="886"/>
      <c r="JKN1519" s="886"/>
      <c r="JKO1519" s="886"/>
      <c r="JKP1519" s="886"/>
      <c r="JKQ1519" s="886"/>
      <c r="JKR1519" s="886"/>
      <c r="JKS1519" s="886"/>
      <c r="JKT1519" s="886"/>
      <c r="JKU1519" s="886"/>
      <c r="JKV1519" s="886"/>
      <c r="JKW1519" s="886"/>
      <c r="JKX1519" s="886"/>
      <c r="JKY1519" s="886"/>
      <c r="JKZ1519" s="886"/>
      <c r="JLA1519" s="886"/>
      <c r="JLB1519" s="886"/>
      <c r="JLC1519" s="886"/>
      <c r="JLD1519" s="886"/>
      <c r="JLE1519" s="886"/>
      <c r="JLF1519" s="886"/>
      <c r="JLG1519" s="886"/>
      <c r="JLH1519" s="886"/>
      <c r="JLI1519" s="886"/>
      <c r="JLJ1519" s="886"/>
      <c r="JLK1519" s="886"/>
      <c r="JLL1519" s="886"/>
      <c r="JLM1519" s="886"/>
      <c r="JLN1519" s="886"/>
      <c r="JLO1519" s="886"/>
      <c r="JLP1519" s="886"/>
      <c r="JLQ1519" s="886"/>
      <c r="JLR1519" s="886"/>
      <c r="JLS1519" s="886"/>
      <c r="JLT1519" s="886"/>
      <c r="JLU1519" s="886"/>
      <c r="JLV1519" s="886"/>
      <c r="JLW1519" s="886"/>
      <c r="JLX1519" s="886"/>
      <c r="JLY1519" s="886"/>
      <c r="JLZ1519" s="886"/>
      <c r="JMA1519" s="886"/>
      <c r="JMB1519" s="886"/>
      <c r="JMC1519" s="886"/>
      <c r="JMD1519" s="886"/>
      <c r="JME1519" s="886"/>
      <c r="JMF1519" s="886"/>
      <c r="JMG1519" s="886"/>
      <c r="JMH1519" s="886"/>
      <c r="JMI1519" s="886"/>
      <c r="JMJ1519" s="886"/>
      <c r="JMK1519" s="886"/>
      <c r="JML1519" s="886"/>
      <c r="JMM1519" s="886"/>
      <c r="JMN1519" s="886"/>
      <c r="JMO1519" s="886"/>
      <c r="JMP1519" s="886"/>
      <c r="JMQ1519" s="886"/>
      <c r="JMR1519" s="886"/>
      <c r="JMS1519" s="886"/>
      <c r="JMT1519" s="886"/>
      <c r="JMU1519" s="886"/>
      <c r="JMV1519" s="886"/>
      <c r="JMW1519" s="886"/>
      <c r="JMX1519" s="886"/>
      <c r="JMY1519" s="886"/>
      <c r="JMZ1519" s="886"/>
      <c r="JNA1519" s="886"/>
      <c r="JNB1519" s="886"/>
      <c r="JNC1519" s="886"/>
      <c r="JND1519" s="886"/>
      <c r="JNE1519" s="886"/>
      <c r="JNF1519" s="886"/>
      <c r="JNG1519" s="886"/>
      <c r="JNH1519" s="886"/>
      <c r="JNI1519" s="886"/>
      <c r="JNJ1519" s="886"/>
      <c r="JNK1519" s="886"/>
      <c r="JNL1519" s="886"/>
      <c r="JNM1519" s="886"/>
      <c r="JNN1519" s="886"/>
      <c r="JNO1519" s="886"/>
      <c r="JNP1519" s="886"/>
      <c r="JNQ1519" s="886"/>
      <c r="JNR1519" s="886"/>
      <c r="JNS1519" s="886"/>
      <c r="JNT1519" s="886"/>
      <c r="JNU1519" s="886"/>
      <c r="JNV1519" s="886"/>
      <c r="JNW1519" s="886"/>
      <c r="JNX1519" s="886"/>
      <c r="JNY1519" s="886"/>
      <c r="JNZ1519" s="886"/>
      <c r="JOA1519" s="886"/>
      <c r="JOB1519" s="886"/>
      <c r="JOC1519" s="886"/>
      <c r="JOD1519" s="886"/>
      <c r="JOE1519" s="886"/>
      <c r="JOF1519" s="886"/>
      <c r="JOG1519" s="886"/>
      <c r="JOH1519" s="886"/>
      <c r="JOI1519" s="886"/>
      <c r="JOJ1519" s="886"/>
      <c r="JOK1519" s="886"/>
      <c r="JOL1519" s="886"/>
      <c r="JOM1519" s="886"/>
      <c r="JON1519" s="886"/>
      <c r="JOO1519" s="886"/>
      <c r="JOP1519" s="886"/>
      <c r="JOQ1519" s="886"/>
      <c r="JOR1519" s="886"/>
      <c r="JOS1519" s="886"/>
      <c r="JOT1519" s="886"/>
      <c r="JOU1519" s="886"/>
      <c r="JOV1519" s="886"/>
      <c r="JOW1519" s="886"/>
      <c r="JOX1519" s="886"/>
      <c r="JOY1519" s="886"/>
      <c r="JOZ1519" s="886"/>
      <c r="JPA1519" s="886"/>
      <c r="JPB1519" s="886"/>
      <c r="JPC1519" s="886"/>
      <c r="JPD1519" s="886"/>
      <c r="JPE1519" s="886"/>
      <c r="JPF1519" s="886"/>
      <c r="JPG1519" s="886"/>
      <c r="JPH1519" s="886"/>
      <c r="JPI1519" s="886"/>
      <c r="JPJ1519" s="886"/>
      <c r="JPK1519" s="886"/>
      <c r="JPL1519" s="886"/>
      <c r="JPM1519" s="886"/>
      <c r="JPN1519" s="886"/>
      <c r="JPO1519" s="886"/>
      <c r="JPP1519" s="886"/>
      <c r="JPQ1519" s="886"/>
      <c r="JPR1519" s="886"/>
      <c r="JPS1519" s="886"/>
      <c r="JPT1519" s="886"/>
      <c r="JPU1519" s="886"/>
      <c r="JPV1519" s="886"/>
      <c r="JPW1519" s="886"/>
      <c r="JPX1519" s="886"/>
      <c r="JPY1519" s="886"/>
      <c r="JPZ1519" s="886"/>
      <c r="JQA1519" s="886"/>
      <c r="JQB1519" s="886"/>
      <c r="JQC1519" s="886"/>
      <c r="JQD1519" s="886"/>
      <c r="JQE1519" s="886"/>
      <c r="JQF1519" s="886"/>
      <c r="JQG1519" s="886"/>
      <c r="JQH1519" s="886"/>
      <c r="JQI1519" s="886"/>
      <c r="JQJ1519" s="886"/>
      <c r="JQK1519" s="886"/>
      <c r="JQL1519" s="886"/>
      <c r="JQM1519" s="886"/>
      <c r="JQN1519" s="886"/>
      <c r="JQO1519" s="886"/>
      <c r="JQP1519" s="886"/>
      <c r="JQQ1519" s="886"/>
      <c r="JQR1519" s="886"/>
      <c r="JQS1519" s="886"/>
      <c r="JQT1519" s="886"/>
      <c r="JQU1519" s="886"/>
      <c r="JQV1519" s="886"/>
      <c r="JQW1519" s="886"/>
      <c r="JQX1519" s="886"/>
      <c r="JQY1519" s="886"/>
      <c r="JQZ1519" s="886"/>
      <c r="JRA1519" s="886"/>
      <c r="JRB1519" s="886"/>
      <c r="JRC1519" s="886"/>
      <c r="JRD1519" s="886"/>
      <c r="JRE1519" s="886"/>
      <c r="JRF1519" s="886"/>
      <c r="JRG1519" s="886"/>
      <c r="JRH1519" s="886"/>
      <c r="JRI1519" s="886"/>
      <c r="JRJ1519" s="886"/>
      <c r="JRK1519" s="886"/>
      <c r="JRL1519" s="886"/>
      <c r="JRM1519" s="886"/>
      <c r="JRN1519" s="886"/>
      <c r="JRO1519" s="886"/>
      <c r="JRP1519" s="886"/>
      <c r="JRQ1519" s="886"/>
      <c r="JRR1519" s="886"/>
      <c r="JRS1519" s="886"/>
      <c r="JRT1519" s="886"/>
      <c r="JRU1519" s="886"/>
      <c r="JRV1519" s="886"/>
      <c r="JRW1519" s="886"/>
      <c r="JRX1519" s="886"/>
      <c r="JRY1519" s="886"/>
      <c r="JRZ1519" s="886"/>
      <c r="JSA1519" s="886"/>
      <c r="JSB1519" s="886"/>
      <c r="JSC1519" s="886"/>
      <c r="JSD1519" s="886"/>
      <c r="JSE1519" s="886"/>
      <c r="JSF1519" s="886"/>
      <c r="JSG1519" s="886"/>
      <c r="JSH1519" s="886"/>
      <c r="JSI1519" s="886"/>
      <c r="JSJ1519" s="886"/>
      <c r="JSK1519" s="886"/>
      <c r="JSL1519" s="886"/>
      <c r="JSM1519" s="886"/>
      <c r="JSN1519" s="886"/>
      <c r="JSO1519" s="886"/>
      <c r="JSP1519" s="886"/>
      <c r="JSQ1519" s="886"/>
      <c r="JSR1519" s="886"/>
      <c r="JSS1519" s="886"/>
      <c r="JST1519" s="886"/>
      <c r="JSU1519" s="886"/>
      <c r="JSV1519" s="886"/>
      <c r="JSW1519" s="886"/>
      <c r="JSX1519" s="886"/>
      <c r="JSY1519" s="886"/>
      <c r="JSZ1519" s="886"/>
      <c r="JTA1519" s="886"/>
      <c r="JTB1519" s="886"/>
      <c r="JTC1519" s="886"/>
      <c r="JTD1519" s="886"/>
      <c r="JTE1519" s="886"/>
      <c r="JTF1519" s="886"/>
      <c r="JTG1519" s="886"/>
      <c r="JTH1519" s="886"/>
      <c r="JTI1519" s="886"/>
      <c r="JTJ1519" s="886"/>
      <c r="JTK1519" s="886"/>
      <c r="JTL1519" s="886"/>
      <c r="JTM1519" s="886"/>
      <c r="JTN1519" s="886"/>
      <c r="JTO1519" s="886"/>
      <c r="JTP1519" s="886"/>
      <c r="JTQ1519" s="886"/>
      <c r="JTR1519" s="886"/>
      <c r="JTS1519" s="886"/>
      <c r="JTT1519" s="886"/>
      <c r="JTU1519" s="886"/>
      <c r="JTV1519" s="886"/>
      <c r="JTW1519" s="886"/>
      <c r="JTX1519" s="886"/>
      <c r="JTY1519" s="886"/>
      <c r="JTZ1519" s="886"/>
      <c r="JUA1519" s="886"/>
      <c r="JUB1519" s="886"/>
      <c r="JUC1519" s="886"/>
      <c r="JUD1519" s="886"/>
      <c r="JUE1519" s="886"/>
      <c r="JUF1519" s="886"/>
      <c r="JUG1519" s="886"/>
      <c r="JUH1519" s="886"/>
      <c r="JUI1519" s="886"/>
      <c r="JUJ1519" s="886"/>
      <c r="JUK1519" s="886"/>
      <c r="JUL1519" s="886"/>
      <c r="JUM1519" s="886"/>
      <c r="JUN1519" s="886"/>
      <c r="JUO1519" s="886"/>
      <c r="JUP1519" s="886"/>
      <c r="JUQ1519" s="886"/>
      <c r="JUR1519" s="886"/>
      <c r="JUS1519" s="886"/>
      <c r="JUT1519" s="886"/>
      <c r="JUU1519" s="886"/>
      <c r="JUV1519" s="886"/>
      <c r="JUW1519" s="886"/>
      <c r="JUX1519" s="886"/>
      <c r="JUY1519" s="886"/>
      <c r="JUZ1519" s="886"/>
      <c r="JVA1519" s="886"/>
      <c r="JVB1519" s="886"/>
      <c r="JVC1519" s="886"/>
      <c r="JVD1519" s="886"/>
      <c r="JVE1519" s="886"/>
      <c r="JVF1519" s="886"/>
      <c r="JVG1519" s="886"/>
      <c r="JVH1519" s="886"/>
      <c r="JVI1519" s="886"/>
      <c r="JVJ1519" s="886"/>
      <c r="JVK1519" s="886"/>
      <c r="JVL1519" s="886"/>
      <c r="JVM1519" s="886"/>
      <c r="JVN1519" s="886"/>
      <c r="JVO1519" s="886"/>
      <c r="JVP1519" s="886"/>
      <c r="JVQ1519" s="886"/>
      <c r="JVR1519" s="886"/>
      <c r="JVS1519" s="886"/>
      <c r="JVT1519" s="886"/>
      <c r="JVU1519" s="886"/>
      <c r="JVV1519" s="886"/>
      <c r="JVW1519" s="886"/>
      <c r="JVX1519" s="886"/>
      <c r="JVY1519" s="886"/>
      <c r="JVZ1519" s="886"/>
      <c r="JWA1519" s="886"/>
      <c r="JWB1519" s="886"/>
      <c r="JWC1519" s="886"/>
      <c r="JWD1519" s="886"/>
      <c r="JWE1519" s="886"/>
      <c r="JWF1519" s="886"/>
      <c r="JWG1519" s="886"/>
      <c r="JWH1519" s="886"/>
      <c r="JWI1519" s="886"/>
      <c r="JWJ1519" s="886"/>
      <c r="JWK1519" s="886"/>
      <c r="JWL1519" s="886"/>
      <c r="JWM1519" s="886"/>
      <c r="JWN1519" s="886"/>
      <c r="JWO1519" s="886"/>
      <c r="JWP1519" s="886"/>
      <c r="JWQ1519" s="886"/>
      <c r="JWR1519" s="886"/>
      <c r="JWS1519" s="886"/>
      <c r="JWT1519" s="886"/>
      <c r="JWU1519" s="886"/>
      <c r="JWV1519" s="886"/>
      <c r="JWW1519" s="886"/>
      <c r="JWX1519" s="886"/>
      <c r="JWY1519" s="886"/>
      <c r="JWZ1519" s="886"/>
      <c r="JXA1519" s="886"/>
      <c r="JXB1519" s="886"/>
      <c r="JXC1519" s="886"/>
      <c r="JXD1519" s="886"/>
      <c r="JXE1519" s="886"/>
      <c r="JXF1519" s="886"/>
      <c r="JXG1519" s="886"/>
      <c r="JXH1519" s="886"/>
      <c r="JXI1519" s="886"/>
      <c r="JXJ1519" s="886"/>
      <c r="JXK1519" s="886"/>
      <c r="JXL1519" s="886"/>
      <c r="JXM1519" s="886"/>
      <c r="JXN1519" s="886"/>
      <c r="JXO1519" s="886"/>
      <c r="JXP1519" s="886"/>
      <c r="JXQ1519" s="886"/>
      <c r="JXR1519" s="886"/>
      <c r="JXS1519" s="886"/>
      <c r="JXT1519" s="886"/>
      <c r="JXU1519" s="886"/>
      <c r="JXV1519" s="886"/>
      <c r="JXW1519" s="886"/>
      <c r="JXX1519" s="886"/>
      <c r="JXY1519" s="886"/>
      <c r="JXZ1519" s="886"/>
      <c r="JYA1519" s="886"/>
      <c r="JYB1519" s="886"/>
      <c r="JYC1519" s="886"/>
      <c r="JYD1519" s="886"/>
      <c r="JYE1519" s="886"/>
      <c r="JYF1519" s="886"/>
      <c r="JYG1519" s="886"/>
      <c r="JYH1519" s="886"/>
      <c r="JYI1519" s="886"/>
      <c r="JYJ1519" s="886"/>
      <c r="JYK1519" s="886"/>
      <c r="JYL1519" s="886"/>
      <c r="JYM1519" s="886"/>
      <c r="JYN1519" s="886"/>
      <c r="JYO1519" s="886"/>
      <c r="JYP1519" s="886"/>
      <c r="JYQ1519" s="886"/>
      <c r="JYR1519" s="886"/>
      <c r="JYS1519" s="886"/>
      <c r="JYT1519" s="886"/>
      <c r="JYU1519" s="886"/>
      <c r="JYV1519" s="886"/>
      <c r="JYW1519" s="886"/>
      <c r="JYX1519" s="886"/>
      <c r="JYY1519" s="886"/>
      <c r="JYZ1519" s="886"/>
      <c r="JZA1519" s="886"/>
      <c r="JZB1519" s="886"/>
      <c r="JZC1519" s="886"/>
      <c r="JZD1519" s="886"/>
      <c r="JZE1519" s="886"/>
      <c r="JZF1519" s="886"/>
      <c r="JZG1519" s="886"/>
      <c r="JZH1519" s="886"/>
      <c r="JZI1519" s="886"/>
      <c r="JZJ1519" s="886"/>
      <c r="JZK1519" s="886"/>
      <c r="JZL1519" s="886"/>
      <c r="JZM1519" s="886"/>
      <c r="JZN1519" s="886"/>
      <c r="JZO1519" s="886"/>
      <c r="JZP1519" s="886"/>
      <c r="JZQ1519" s="886"/>
      <c r="JZR1519" s="886"/>
      <c r="JZS1519" s="886"/>
      <c r="JZT1519" s="886"/>
      <c r="JZU1519" s="886"/>
      <c r="JZV1519" s="886"/>
      <c r="JZW1519" s="886"/>
      <c r="JZX1519" s="886"/>
      <c r="JZY1519" s="886"/>
      <c r="JZZ1519" s="886"/>
      <c r="KAA1519" s="886"/>
      <c r="KAB1519" s="886"/>
      <c r="KAC1519" s="886"/>
      <c r="KAD1519" s="886"/>
      <c r="KAE1519" s="886"/>
      <c r="KAF1519" s="886"/>
      <c r="KAG1519" s="886"/>
      <c r="KAH1519" s="886"/>
      <c r="KAI1519" s="886"/>
      <c r="KAJ1519" s="886"/>
      <c r="KAK1519" s="886"/>
      <c r="KAL1519" s="886"/>
      <c r="KAM1519" s="886"/>
      <c r="KAN1519" s="886"/>
      <c r="KAO1519" s="886"/>
      <c r="KAP1519" s="886"/>
      <c r="KAQ1519" s="886"/>
      <c r="KAR1519" s="886"/>
      <c r="KAS1519" s="886"/>
      <c r="KAT1519" s="886"/>
      <c r="KAU1519" s="886"/>
      <c r="KAV1519" s="886"/>
      <c r="KAW1519" s="886"/>
      <c r="KAX1519" s="886"/>
      <c r="KAY1519" s="886"/>
      <c r="KAZ1519" s="886"/>
      <c r="KBA1519" s="886"/>
      <c r="KBB1519" s="886"/>
      <c r="KBC1519" s="886"/>
      <c r="KBD1519" s="886"/>
      <c r="KBE1519" s="886"/>
      <c r="KBF1519" s="886"/>
      <c r="KBG1519" s="886"/>
      <c r="KBH1519" s="886"/>
      <c r="KBI1519" s="886"/>
      <c r="KBJ1519" s="886"/>
      <c r="KBK1519" s="886"/>
      <c r="KBL1519" s="886"/>
      <c r="KBM1519" s="886"/>
      <c r="KBN1519" s="886"/>
      <c r="KBO1519" s="886"/>
      <c r="KBP1519" s="886"/>
      <c r="KBQ1519" s="886"/>
      <c r="KBR1519" s="886"/>
      <c r="KBS1519" s="886"/>
      <c r="KBT1519" s="886"/>
      <c r="KBU1519" s="886"/>
      <c r="KBV1519" s="886"/>
      <c r="KBW1519" s="886"/>
      <c r="KBX1519" s="886"/>
      <c r="KBY1519" s="886"/>
      <c r="KBZ1519" s="886"/>
      <c r="KCA1519" s="886"/>
      <c r="KCB1519" s="886"/>
      <c r="KCC1519" s="886"/>
      <c r="KCD1519" s="886"/>
      <c r="KCE1519" s="886"/>
      <c r="KCF1519" s="886"/>
      <c r="KCG1519" s="886"/>
      <c r="KCH1519" s="886"/>
      <c r="KCI1519" s="886"/>
      <c r="KCJ1519" s="886"/>
      <c r="KCK1519" s="886"/>
      <c r="KCL1519" s="886"/>
      <c r="KCM1519" s="886"/>
      <c r="KCN1519" s="886"/>
      <c r="KCO1519" s="886"/>
      <c r="KCP1519" s="886"/>
      <c r="KCQ1519" s="886"/>
      <c r="KCR1519" s="886"/>
      <c r="KCS1519" s="886"/>
      <c r="KCT1519" s="886"/>
      <c r="KCU1519" s="886"/>
      <c r="KCV1519" s="886"/>
      <c r="KCW1519" s="886"/>
      <c r="KCX1519" s="886"/>
      <c r="KCY1519" s="886"/>
      <c r="KCZ1519" s="886"/>
      <c r="KDA1519" s="886"/>
      <c r="KDB1519" s="886"/>
      <c r="KDC1519" s="886"/>
      <c r="KDD1519" s="886"/>
      <c r="KDE1519" s="886"/>
      <c r="KDF1519" s="886"/>
      <c r="KDG1519" s="886"/>
      <c r="KDH1519" s="886"/>
      <c r="KDI1519" s="886"/>
      <c r="KDJ1519" s="886"/>
      <c r="KDK1519" s="886"/>
      <c r="KDL1519" s="886"/>
      <c r="KDM1519" s="886"/>
      <c r="KDN1519" s="886"/>
      <c r="KDO1519" s="886"/>
      <c r="KDP1519" s="886"/>
      <c r="KDQ1519" s="886"/>
      <c r="KDR1519" s="886"/>
      <c r="KDS1519" s="886"/>
      <c r="KDT1519" s="886"/>
      <c r="KDU1519" s="886"/>
      <c r="KDV1519" s="886"/>
      <c r="KDW1519" s="886"/>
      <c r="KDX1519" s="886"/>
      <c r="KDY1519" s="886"/>
      <c r="KDZ1519" s="886"/>
      <c r="KEA1519" s="886"/>
      <c r="KEB1519" s="886"/>
      <c r="KEC1519" s="886"/>
      <c r="KED1519" s="886"/>
      <c r="KEE1519" s="886"/>
      <c r="KEF1519" s="886"/>
      <c r="KEG1519" s="886"/>
      <c r="KEH1519" s="886"/>
      <c r="KEI1519" s="886"/>
      <c r="KEJ1519" s="886"/>
      <c r="KEK1519" s="886"/>
      <c r="KEL1519" s="886"/>
      <c r="KEM1519" s="886"/>
      <c r="KEN1519" s="886"/>
      <c r="KEO1519" s="886"/>
      <c r="KEP1519" s="886"/>
      <c r="KEQ1519" s="886"/>
      <c r="KER1519" s="886"/>
      <c r="KES1519" s="886"/>
      <c r="KET1519" s="886"/>
      <c r="KEU1519" s="886"/>
      <c r="KEV1519" s="886"/>
      <c r="KEW1519" s="886"/>
      <c r="KEX1519" s="886"/>
      <c r="KEY1519" s="886"/>
      <c r="KEZ1519" s="886"/>
      <c r="KFA1519" s="886"/>
      <c r="KFB1519" s="886"/>
      <c r="KFC1519" s="886"/>
      <c r="KFD1519" s="886"/>
      <c r="KFE1519" s="886"/>
      <c r="KFF1519" s="886"/>
      <c r="KFG1519" s="886"/>
      <c r="KFH1519" s="886"/>
      <c r="KFI1519" s="886"/>
      <c r="KFJ1519" s="886"/>
      <c r="KFK1519" s="886"/>
      <c r="KFL1519" s="886"/>
      <c r="KFM1519" s="886"/>
      <c r="KFN1519" s="886"/>
      <c r="KFO1519" s="886"/>
      <c r="KFP1519" s="886"/>
      <c r="KFQ1519" s="886"/>
      <c r="KFR1519" s="886"/>
      <c r="KFS1519" s="886"/>
      <c r="KFT1519" s="886"/>
      <c r="KFU1519" s="886"/>
      <c r="KFV1519" s="886"/>
      <c r="KFW1519" s="886"/>
      <c r="KFX1519" s="886"/>
      <c r="KFY1519" s="886"/>
      <c r="KFZ1519" s="886"/>
      <c r="KGA1519" s="886"/>
      <c r="KGB1519" s="886"/>
      <c r="KGC1519" s="886"/>
      <c r="KGD1519" s="886"/>
      <c r="KGE1519" s="886"/>
      <c r="KGF1519" s="886"/>
      <c r="KGG1519" s="886"/>
      <c r="KGH1519" s="886"/>
      <c r="KGI1519" s="886"/>
      <c r="KGJ1519" s="886"/>
      <c r="KGK1519" s="886"/>
      <c r="KGL1519" s="886"/>
      <c r="KGM1519" s="886"/>
      <c r="KGN1519" s="886"/>
      <c r="KGO1519" s="886"/>
      <c r="KGP1519" s="886"/>
      <c r="KGQ1519" s="886"/>
      <c r="KGR1519" s="886"/>
      <c r="KGS1519" s="886"/>
      <c r="KGT1519" s="886"/>
      <c r="KGU1519" s="886"/>
      <c r="KGV1519" s="886"/>
      <c r="KGW1519" s="886"/>
      <c r="KGX1519" s="886"/>
      <c r="KGY1519" s="886"/>
      <c r="KGZ1519" s="886"/>
      <c r="KHA1519" s="886"/>
      <c r="KHB1519" s="886"/>
      <c r="KHC1519" s="886"/>
      <c r="KHD1519" s="886"/>
      <c r="KHE1519" s="886"/>
      <c r="KHF1519" s="886"/>
      <c r="KHG1519" s="886"/>
      <c r="KHH1519" s="886"/>
      <c r="KHI1519" s="886"/>
      <c r="KHJ1519" s="886"/>
      <c r="KHK1519" s="886"/>
      <c r="KHL1519" s="886"/>
      <c r="KHM1519" s="886"/>
      <c r="KHN1519" s="886"/>
      <c r="KHO1519" s="886"/>
      <c r="KHP1519" s="886"/>
      <c r="KHQ1519" s="886"/>
      <c r="KHR1519" s="886"/>
      <c r="KHS1519" s="886"/>
      <c r="KHT1519" s="886"/>
      <c r="KHU1519" s="886"/>
      <c r="KHV1519" s="886"/>
      <c r="KHW1519" s="886"/>
      <c r="KHX1519" s="886"/>
      <c r="KHY1519" s="886"/>
      <c r="KHZ1519" s="886"/>
      <c r="KIA1519" s="886"/>
      <c r="KIB1519" s="886"/>
      <c r="KIC1519" s="886"/>
      <c r="KID1519" s="886"/>
      <c r="KIE1519" s="886"/>
      <c r="KIF1519" s="886"/>
      <c r="KIG1519" s="886"/>
      <c r="KIH1519" s="886"/>
      <c r="KII1519" s="886"/>
      <c r="KIJ1519" s="886"/>
      <c r="KIK1519" s="886"/>
      <c r="KIL1519" s="886"/>
      <c r="KIM1519" s="886"/>
      <c r="KIN1519" s="886"/>
      <c r="KIO1519" s="886"/>
      <c r="KIP1519" s="886"/>
      <c r="KIQ1519" s="886"/>
      <c r="KIR1519" s="886"/>
      <c r="KIS1519" s="886"/>
      <c r="KIT1519" s="886"/>
      <c r="KIU1519" s="886"/>
      <c r="KIV1519" s="886"/>
      <c r="KIW1519" s="886"/>
      <c r="KIX1519" s="886"/>
      <c r="KIY1519" s="886"/>
      <c r="KIZ1519" s="886"/>
      <c r="KJA1519" s="886"/>
      <c r="KJB1519" s="886"/>
      <c r="KJC1519" s="886"/>
      <c r="KJD1519" s="886"/>
      <c r="KJE1519" s="886"/>
      <c r="KJF1519" s="886"/>
      <c r="KJG1519" s="886"/>
      <c r="KJH1519" s="886"/>
      <c r="KJI1519" s="886"/>
      <c r="KJJ1519" s="886"/>
      <c r="KJK1519" s="886"/>
      <c r="KJL1519" s="886"/>
      <c r="KJM1519" s="886"/>
      <c r="KJN1519" s="886"/>
      <c r="KJO1519" s="886"/>
      <c r="KJP1519" s="886"/>
      <c r="KJQ1519" s="886"/>
      <c r="KJR1519" s="886"/>
      <c r="KJS1519" s="886"/>
      <c r="KJT1519" s="886"/>
      <c r="KJU1519" s="886"/>
      <c r="KJV1519" s="886"/>
      <c r="KJW1519" s="886"/>
      <c r="KJX1519" s="886"/>
      <c r="KJY1519" s="886"/>
      <c r="KJZ1519" s="886"/>
      <c r="KKA1519" s="886"/>
      <c r="KKB1519" s="886"/>
      <c r="KKC1519" s="886"/>
      <c r="KKD1519" s="886"/>
      <c r="KKE1519" s="886"/>
      <c r="KKF1519" s="886"/>
      <c r="KKG1519" s="886"/>
      <c r="KKH1519" s="886"/>
      <c r="KKI1519" s="886"/>
      <c r="KKJ1519" s="886"/>
      <c r="KKK1519" s="886"/>
      <c r="KKL1519" s="886"/>
      <c r="KKM1519" s="886"/>
      <c r="KKN1519" s="886"/>
      <c r="KKO1519" s="886"/>
      <c r="KKP1519" s="886"/>
      <c r="KKQ1519" s="886"/>
      <c r="KKR1519" s="886"/>
      <c r="KKS1519" s="886"/>
      <c r="KKT1519" s="886"/>
      <c r="KKU1519" s="886"/>
      <c r="KKV1519" s="886"/>
      <c r="KKW1519" s="886"/>
      <c r="KKX1519" s="886"/>
      <c r="KKY1519" s="886"/>
      <c r="KKZ1519" s="886"/>
      <c r="KLA1519" s="886"/>
      <c r="KLB1519" s="886"/>
      <c r="KLC1519" s="886"/>
      <c r="KLD1519" s="886"/>
      <c r="KLE1519" s="886"/>
      <c r="KLF1519" s="886"/>
      <c r="KLG1519" s="886"/>
      <c r="KLH1519" s="886"/>
      <c r="KLI1519" s="886"/>
      <c r="KLJ1519" s="886"/>
      <c r="KLK1519" s="886"/>
      <c r="KLL1519" s="886"/>
      <c r="KLM1519" s="886"/>
      <c r="KLN1519" s="886"/>
      <c r="KLO1519" s="886"/>
      <c r="KLP1519" s="886"/>
      <c r="KLQ1519" s="886"/>
      <c r="KLR1519" s="886"/>
      <c r="KLS1519" s="886"/>
      <c r="KLT1519" s="886"/>
      <c r="KLU1519" s="886"/>
      <c r="KLV1519" s="886"/>
      <c r="KLW1519" s="886"/>
      <c r="KLX1519" s="886"/>
      <c r="KLY1519" s="886"/>
      <c r="KLZ1519" s="886"/>
      <c r="KMA1519" s="886"/>
      <c r="KMB1519" s="886"/>
      <c r="KMC1519" s="886"/>
      <c r="KMD1519" s="886"/>
      <c r="KME1519" s="886"/>
      <c r="KMF1519" s="886"/>
      <c r="KMG1519" s="886"/>
      <c r="KMH1519" s="886"/>
      <c r="KMI1519" s="886"/>
      <c r="KMJ1519" s="886"/>
      <c r="KMK1519" s="886"/>
      <c r="KML1519" s="886"/>
      <c r="KMM1519" s="886"/>
      <c r="KMN1519" s="886"/>
      <c r="KMO1519" s="886"/>
      <c r="KMP1519" s="886"/>
      <c r="KMQ1519" s="886"/>
      <c r="KMR1519" s="886"/>
      <c r="KMS1519" s="886"/>
      <c r="KMT1519" s="886"/>
      <c r="KMU1519" s="886"/>
      <c r="KMV1519" s="886"/>
      <c r="KMW1519" s="886"/>
      <c r="KMX1519" s="886"/>
      <c r="KMY1519" s="886"/>
      <c r="KMZ1519" s="886"/>
      <c r="KNA1519" s="886"/>
      <c r="KNB1519" s="886"/>
      <c r="KNC1519" s="886"/>
      <c r="KND1519" s="886"/>
      <c r="KNE1519" s="886"/>
      <c r="KNF1519" s="886"/>
      <c r="KNG1519" s="886"/>
      <c r="KNH1519" s="886"/>
      <c r="KNI1519" s="886"/>
      <c r="KNJ1519" s="886"/>
      <c r="KNK1519" s="886"/>
      <c r="KNL1519" s="886"/>
      <c r="KNM1519" s="886"/>
      <c r="KNN1519" s="886"/>
      <c r="KNO1519" s="886"/>
      <c r="KNP1519" s="886"/>
      <c r="KNQ1519" s="886"/>
      <c r="KNR1519" s="886"/>
      <c r="KNS1519" s="886"/>
      <c r="KNT1519" s="886"/>
      <c r="KNU1519" s="886"/>
      <c r="KNV1519" s="886"/>
      <c r="KNW1519" s="886"/>
      <c r="KNX1519" s="886"/>
      <c r="KNY1519" s="886"/>
      <c r="KNZ1519" s="886"/>
      <c r="KOA1519" s="886"/>
      <c r="KOB1519" s="886"/>
      <c r="KOC1519" s="886"/>
      <c r="KOD1519" s="886"/>
      <c r="KOE1519" s="886"/>
      <c r="KOF1519" s="886"/>
      <c r="KOG1519" s="886"/>
      <c r="KOH1519" s="886"/>
      <c r="KOI1519" s="886"/>
      <c r="KOJ1519" s="886"/>
      <c r="KOK1519" s="886"/>
      <c r="KOL1519" s="886"/>
      <c r="KOM1519" s="886"/>
      <c r="KON1519" s="886"/>
      <c r="KOO1519" s="886"/>
      <c r="KOP1519" s="886"/>
      <c r="KOQ1519" s="886"/>
      <c r="KOR1519" s="886"/>
      <c r="KOS1519" s="886"/>
      <c r="KOT1519" s="886"/>
      <c r="KOU1519" s="886"/>
      <c r="KOV1519" s="886"/>
      <c r="KOW1519" s="886"/>
      <c r="KOX1519" s="886"/>
      <c r="KOY1519" s="886"/>
      <c r="KOZ1519" s="886"/>
      <c r="KPA1519" s="886"/>
      <c r="KPB1519" s="886"/>
      <c r="KPC1519" s="886"/>
      <c r="KPD1519" s="886"/>
      <c r="KPE1519" s="886"/>
      <c r="KPF1519" s="886"/>
      <c r="KPG1519" s="886"/>
      <c r="KPH1519" s="886"/>
      <c r="KPI1519" s="886"/>
      <c r="KPJ1519" s="886"/>
      <c r="KPK1519" s="886"/>
      <c r="KPL1519" s="886"/>
      <c r="KPM1519" s="886"/>
      <c r="KPN1519" s="886"/>
      <c r="KPO1519" s="886"/>
      <c r="KPP1519" s="886"/>
      <c r="KPQ1519" s="886"/>
      <c r="KPR1519" s="886"/>
      <c r="KPS1519" s="886"/>
      <c r="KPT1519" s="886"/>
      <c r="KPU1519" s="886"/>
      <c r="KPV1519" s="886"/>
      <c r="KPW1519" s="886"/>
      <c r="KPX1519" s="886"/>
      <c r="KPY1519" s="886"/>
      <c r="KPZ1519" s="886"/>
      <c r="KQA1519" s="886"/>
      <c r="KQB1519" s="886"/>
      <c r="KQC1519" s="886"/>
      <c r="KQD1519" s="886"/>
      <c r="KQE1519" s="886"/>
      <c r="KQF1519" s="886"/>
      <c r="KQG1519" s="886"/>
      <c r="KQH1519" s="886"/>
      <c r="KQI1519" s="886"/>
      <c r="KQJ1519" s="886"/>
      <c r="KQK1519" s="886"/>
      <c r="KQL1519" s="886"/>
      <c r="KQM1519" s="886"/>
      <c r="KQN1519" s="886"/>
      <c r="KQO1519" s="886"/>
      <c r="KQP1519" s="886"/>
      <c r="KQQ1519" s="886"/>
      <c r="KQR1519" s="886"/>
      <c r="KQS1519" s="886"/>
      <c r="KQT1519" s="886"/>
      <c r="KQU1519" s="886"/>
      <c r="KQV1519" s="886"/>
      <c r="KQW1519" s="886"/>
      <c r="KQX1519" s="886"/>
      <c r="KQY1519" s="886"/>
      <c r="KQZ1519" s="886"/>
      <c r="KRA1519" s="886"/>
      <c r="KRB1519" s="886"/>
      <c r="KRC1519" s="886"/>
      <c r="KRD1519" s="886"/>
      <c r="KRE1519" s="886"/>
      <c r="KRF1519" s="886"/>
      <c r="KRG1519" s="886"/>
      <c r="KRH1519" s="886"/>
      <c r="KRI1519" s="886"/>
      <c r="KRJ1519" s="886"/>
      <c r="KRK1519" s="886"/>
      <c r="KRL1519" s="886"/>
      <c r="KRM1519" s="886"/>
      <c r="KRN1519" s="886"/>
      <c r="KRO1519" s="886"/>
      <c r="KRP1519" s="886"/>
      <c r="KRQ1519" s="886"/>
      <c r="KRR1519" s="886"/>
      <c r="KRS1519" s="886"/>
      <c r="KRT1519" s="886"/>
      <c r="KRU1519" s="886"/>
      <c r="KRV1519" s="886"/>
      <c r="KRW1519" s="886"/>
      <c r="KRX1519" s="886"/>
      <c r="KRY1519" s="886"/>
      <c r="KRZ1519" s="886"/>
      <c r="KSA1519" s="886"/>
      <c r="KSB1519" s="886"/>
      <c r="KSC1519" s="886"/>
      <c r="KSD1519" s="886"/>
      <c r="KSE1519" s="886"/>
      <c r="KSF1519" s="886"/>
      <c r="KSG1519" s="886"/>
      <c r="KSH1519" s="886"/>
      <c r="KSI1519" s="886"/>
      <c r="KSJ1519" s="886"/>
      <c r="KSK1519" s="886"/>
      <c r="KSL1519" s="886"/>
      <c r="KSM1519" s="886"/>
      <c r="KSN1519" s="886"/>
      <c r="KSO1519" s="886"/>
      <c r="KSP1519" s="886"/>
      <c r="KSQ1519" s="886"/>
      <c r="KSR1519" s="886"/>
      <c r="KSS1519" s="886"/>
      <c r="KST1519" s="886"/>
      <c r="KSU1519" s="886"/>
      <c r="KSV1519" s="886"/>
      <c r="KSW1519" s="886"/>
      <c r="KSX1519" s="886"/>
      <c r="KSY1519" s="886"/>
      <c r="KSZ1519" s="886"/>
      <c r="KTA1519" s="886"/>
      <c r="KTB1519" s="886"/>
      <c r="KTC1519" s="886"/>
      <c r="KTD1519" s="886"/>
      <c r="KTE1519" s="886"/>
      <c r="KTF1519" s="886"/>
      <c r="KTG1519" s="886"/>
      <c r="KTH1519" s="886"/>
      <c r="KTI1519" s="886"/>
      <c r="KTJ1519" s="886"/>
      <c r="KTK1519" s="886"/>
      <c r="KTL1519" s="886"/>
      <c r="KTM1519" s="886"/>
      <c r="KTN1519" s="886"/>
      <c r="KTO1519" s="886"/>
      <c r="KTP1519" s="886"/>
      <c r="KTQ1519" s="886"/>
      <c r="KTR1519" s="886"/>
      <c r="KTS1519" s="886"/>
      <c r="KTT1519" s="886"/>
      <c r="KTU1519" s="886"/>
      <c r="KTV1519" s="886"/>
      <c r="KTW1519" s="886"/>
      <c r="KTX1519" s="886"/>
      <c r="KTY1519" s="886"/>
      <c r="KTZ1519" s="886"/>
      <c r="KUA1519" s="886"/>
      <c r="KUB1519" s="886"/>
      <c r="KUC1519" s="886"/>
      <c r="KUD1519" s="886"/>
      <c r="KUE1519" s="886"/>
      <c r="KUF1519" s="886"/>
      <c r="KUG1519" s="886"/>
      <c r="KUH1519" s="886"/>
      <c r="KUI1519" s="886"/>
      <c r="KUJ1519" s="886"/>
      <c r="KUK1519" s="886"/>
      <c r="KUL1519" s="886"/>
      <c r="KUM1519" s="886"/>
      <c r="KUN1519" s="886"/>
      <c r="KUO1519" s="886"/>
      <c r="KUP1519" s="886"/>
      <c r="KUQ1519" s="886"/>
      <c r="KUR1519" s="886"/>
      <c r="KUS1519" s="886"/>
      <c r="KUT1519" s="886"/>
      <c r="KUU1519" s="886"/>
      <c r="KUV1519" s="886"/>
      <c r="KUW1519" s="886"/>
      <c r="KUX1519" s="886"/>
      <c r="KUY1519" s="886"/>
      <c r="KUZ1519" s="886"/>
      <c r="KVA1519" s="886"/>
      <c r="KVB1519" s="886"/>
      <c r="KVC1519" s="886"/>
      <c r="KVD1519" s="886"/>
      <c r="KVE1519" s="886"/>
      <c r="KVF1519" s="886"/>
      <c r="KVG1519" s="886"/>
      <c r="KVH1519" s="886"/>
      <c r="KVI1519" s="886"/>
      <c r="KVJ1519" s="886"/>
      <c r="KVK1519" s="886"/>
      <c r="KVL1519" s="886"/>
      <c r="KVM1519" s="886"/>
      <c r="KVN1519" s="886"/>
      <c r="KVO1519" s="886"/>
      <c r="KVP1519" s="886"/>
      <c r="KVQ1519" s="886"/>
      <c r="KVR1519" s="886"/>
      <c r="KVS1519" s="886"/>
      <c r="KVT1519" s="886"/>
      <c r="KVU1519" s="886"/>
      <c r="KVV1519" s="886"/>
      <c r="KVW1519" s="886"/>
      <c r="KVX1519" s="886"/>
      <c r="KVY1519" s="886"/>
      <c r="KVZ1519" s="886"/>
      <c r="KWA1519" s="886"/>
      <c r="KWB1519" s="886"/>
      <c r="KWC1519" s="886"/>
      <c r="KWD1519" s="886"/>
      <c r="KWE1519" s="886"/>
      <c r="KWF1519" s="886"/>
      <c r="KWG1519" s="886"/>
      <c r="KWH1519" s="886"/>
      <c r="KWI1519" s="886"/>
      <c r="KWJ1519" s="886"/>
      <c r="KWK1519" s="886"/>
      <c r="KWL1519" s="886"/>
      <c r="KWM1519" s="886"/>
      <c r="KWN1519" s="886"/>
      <c r="KWO1519" s="886"/>
      <c r="KWP1519" s="886"/>
      <c r="KWQ1519" s="886"/>
      <c r="KWR1519" s="886"/>
      <c r="KWS1519" s="886"/>
      <c r="KWT1519" s="886"/>
      <c r="KWU1519" s="886"/>
      <c r="KWV1519" s="886"/>
      <c r="KWW1519" s="886"/>
      <c r="KWX1519" s="886"/>
      <c r="KWY1519" s="886"/>
      <c r="KWZ1519" s="886"/>
      <c r="KXA1519" s="886"/>
      <c r="KXB1519" s="886"/>
      <c r="KXC1519" s="886"/>
      <c r="KXD1519" s="886"/>
      <c r="KXE1519" s="886"/>
      <c r="KXF1519" s="886"/>
      <c r="KXG1519" s="886"/>
      <c r="KXH1519" s="886"/>
      <c r="KXI1519" s="886"/>
      <c r="KXJ1519" s="886"/>
      <c r="KXK1519" s="886"/>
      <c r="KXL1519" s="886"/>
      <c r="KXM1519" s="886"/>
      <c r="KXN1519" s="886"/>
      <c r="KXO1519" s="886"/>
      <c r="KXP1519" s="886"/>
      <c r="KXQ1519" s="886"/>
      <c r="KXR1519" s="886"/>
      <c r="KXS1519" s="886"/>
      <c r="KXT1519" s="886"/>
      <c r="KXU1519" s="886"/>
      <c r="KXV1519" s="886"/>
      <c r="KXW1519" s="886"/>
      <c r="KXX1519" s="886"/>
      <c r="KXY1519" s="886"/>
      <c r="KXZ1519" s="886"/>
      <c r="KYA1519" s="886"/>
      <c r="KYB1519" s="886"/>
      <c r="KYC1519" s="886"/>
      <c r="KYD1519" s="886"/>
      <c r="KYE1519" s="886"/>
      <c r="KYF1519" s="886"/>
      <c r="KYG1519" s="886"/>
      <c r="KYH1519" s="886"/>
      <c r="KYI1519" s="886"/>
      <c r="KYJ1519" s="886"/>
      <c r="KYK1519" s="886"/>
      <c r="KYL1519" s="886"/>
      <c r="KYM1519" s="886"/>
      <c r="KYN1519" s="886"/>
      <c r="KYO1519" s="886"/>
      <c r="KYP1519" s="886"/>
      <c r="KYQ1519" s="886"/>
      <c r="KYR1519" s="886"/>
      <c r="KYS1519" s="886"/>
      <c r="KYT1519" s="886"/>
      <c r="KYU1519" s="886"/>
      <c r="KYV1519" s="886"/>
      <c r="KYW1519" s="886"/>
      <c r="KYX1519" s="886"/>
      <c r="KYY1519" s="886"/>
      <c r="KYZ1519" s="886"/>
      <c r="KZA1519" s="886"/>
      <c r="KZB1519" s="886"/>
      <c r="KZC1519" s="886"/>
      <c r="KZD1519" s="886"/>
      <c r="KZE1519" s="886"/>
      <c r="KZF1519" s="886"/>
      <c r="KZG1519" s="886"/>
      <c r="KZH1519" s="886"/>
      <c r="KZI1519" s="886"/>
      <c r="KZJ1519" s="886"/>
      <c r="KZK1519" s="886"/>
      <c r="KZL1519" s="886"/>
      <c r="KZM1519" s="886"/>
      <c r="KZN1519" s="886"/>
      <c r="KZO1519" s="886"/>
      <c r="KZP1519" s="886"/>
      <c r="KZQ1519" s="886"/>
      <c r="KZR1519" s="886"/>
      <c r="KZS1519" s="886"/>
      <c r="KZT1519" s="886"/>
      <c r="KZU1519" s="886"/>
      <c r="KZV1519" s="886"/>
      <c r="KZW1519" s="886"/>
      <c r="KZX1519" s="886"/>
      <c r="KZY1519" s="886"/>
      <c r="KZZ1519" s="886"/>
      <c r="LAA1519" s="886"/>
      <c r="LAB1519" s="886"/>
      <c r="LAC1519" s="886"/>
      <c r="LAD1519" s="886"/>
      <c r="LAE1519" s="886"/>
      <c r="LAF1519" s="886"/>
      <c r="LAG1519" s="886"/>
      <c r="LAH1519" s="886"/>
      <c r="LAI1519" s="886"/>
      <c r="LAJ1519" s="886"/>
      <c r="LAK1519" s="886"/>
      <c r="LAL1519" s="886"/>
      <c r="LAM1519" s="886"/>
      <c r="LAN1519" s="886"/>
      <c r="LAO1519" s="886"/>
      <c r="LAP1519" s="886"/>
      <c r="LAQ1519" s="886"/>
      <c r="LAR1519" s="886"/>
      <c r="LAS1519" s="886"/>
      <c r="LAT1519" s="886"/>
      <c r="LAU1519" s="886"/>
      <c r="LAV1519" s="886"/>
      <c r="LAW1519" s="886"/>
      <c r="LAX1519" s="886"/>
      <c r="LAY1519" s="886"/>
      <c r="LAZ1519" s="886"/>
      <c r="LBA1519" s="886"/>
      <c r="LBB1519" s="886"/>
      <c r="LBC1519" s="886"/>
      <c r="LBD1519" s="886"/>
      <c r="LBE1519" s="886"/>
      <c r="LBF1519" s="886"/>
      <c r="LBG1519" s="886"/>
      <c r="LBH1519" s="886"/>
      <c r="LBI1519" s="886"/>
      <c r="LBJ1519" s="886"/>
      <c r="LBK1519" s="886"/>
      <c r="LBL1519" s="886"/>
      <c r="LBM1519" s="886"/>
      <c r="LBN1519" s="886"/>
      <c r="LBO1519" s="886"/>
      <c r="LBP1519" s="886"/>
      <c r="LBQ1519" s="886"/>
      <c r="LBR1519" s="886"/>
      <c r="LBS1519" s="886"/>
      <c r="LBT1519" s="886"/>
      <c r="LBU1519" s="886"/>
      <c r="LBV1519" s="886"/>
      <c r="LBW1519" s="886"/>
      <c r="LBX1519" s="886"/>
      <c r="LBY1519" s="886"/>
      <c r="LBZ1519" s="886"/>
      <c r="LCA1519" s="886"/>
      <c r="LCB1519" s="886"/>
      <c r="LCC1519" s="886"/>
      <c r="LCD1519" s="886"/>
      <c r="LCE1519" s="886"/>
      <c r="LCF1519" s="886"/>
      <c r="LCG1519" s="886"/>
      <c r="LCH1519" s="886"/>
      <c r="LCI1519" s="886"/>
      <c r="LCJ1519" s="886"/>
      <c r="LCK1519" s="886"/>
      <c r="LCL1519" s="886"/>
      <c r="LCM1519" s="886"/>
      <c r="LCN1519" s="886"/>
      <c r="LCO1519" s="886"/>
      <c r="LCP1519" s="886"/>
      <c r="LCQ1519" s="886"/>
      <c r="LCR1519" s="886"/>
      <c r="LCS1519" s="886"/>
      <c r="LCT1519" s="886"/>
      <c r="LCU1519" s="886"/>
      <c r="LCV1519" s="886"/>
      <c r="LCW1519" s="886"/>
      <c r="LCX1519" s="886"/>
      <c r="LCY1519" s="886"/>
      <c r="LCZ1519" s="886"/>
      <c r="LDA1519" s="886"/>
      <c r="LDB1519" s="886"/>
      <c r="LDC1519" s="886"/>
      <c r="LDD1519" s="886"/>
      <c r="LDE1519" s="886"/>
      <c r="LDF1519" s="886"/>
      <c r="LDG1519" s="886"/>
      <c r="LDH1519" s="886"/>
      <c r="LDI1519" s="886"/>
      <c r="LDJ1519" s="886"/>
      <c r="LDK1519" s="886"/>
      <c r="LDL1519" s="886"/>
      <c r="LDM1519" s="886"/>
      <c r="LDN1519" s="886"/>
      <c r="LDO1519" s="886"/>
      <c r="LDP1519" s="886"/>
      <c r="LDQ1519" s="886"/>
      <c r="LDR1519" s="886"/>
      <c r="LDS1519" s="886"/>
      <c r="LDT1519" s="886"/>
      <c r="LDU1519" s="886"/>
      <c r="LDV1519" s="886"/>
      <c r="LDW1519" s="886"/>
      <c r="LDX1519" s="886"/>
      <c r="LDY1519" s="886"/>
      <c r="LDZ1519" s="886"/>
      <c r="LEA1519" s="886"/>
      <c r="LEB1519" s="886"/>
      <c r="LEC1519" s="886"/>
      <c r="LED1519" s="886"/>
      <c r="LEE1519" s="886"/>
      <c r="LEF1519" s="886"/>
      <c r="LEG1519" s="886"/>
      <c r="LEH1519" s="886"/>
      <c r="LEI1519" s="886"/>
      <c r="LEJ1519" s="886"/>
      <c r="LEK1519" s="886"/>
      <c r="LEL1519" s="886"/>
      <c r="LEM1519" s="886"/>
      <c r="LEN1519" s="886"/>
      <c r="LEO1519" s="886"/>
      <c r="LEP1519" s="886"/>
      <c r="LEQ1519" s="886"/>
      <c r="LER1519" s="886"/>
      <c r="LES1519" s="886"/>
      <c r="LET1519" s="886"/>
      <c r="LEU1519" s="886"/>
      <c r="LEV1519" s="886"/>
      <c r="LEW1519" s="886"/>
      <c r="LEX1519" s="886"/>
      <c r="LEY1519" s="886"/>
      <c r="LEZ1519" s="886"/>
      <c r="LFA1519" s="886"/>
      <c r="LFB1519" s="886"/>
      <c r="LFC1519" s="886"/>
      <c r="LFD1519" s="886"/>
      <c r="LFE1519" s="886"/>
      <c r="LFF1519" s="886"/>
      <c r="LFG1519" s="886"/>
      <c r="LFH1519" s="886"/>
      <c r="LFI1519" s="886"/>
      <c r="LFJ1519" s="886"/>
      <c r="LFK1519" s="886"/>
      <c r="LFL1519" s="886"/>
      <c r="LFM1519" s="886"/>
      <c r="LFN1519" s="886"/>
      <c r="LFO1519" s="886"/>
      <c r="LFP1519" s="886"/>
      <c r="LFQ1519" s="886"/>
      <c r="LFR1519" s="886"/>
      <c r="LFS1519" s="886"/>
      <c r="LFT1519" s="886"/>
      <c r="LFU1519" s="886"/>
      <c r="LFV1519" s="886"/>
      <c r="LFW1519" s="886"/>
      <c r="LFX1519" s="886"/>
      <c r="LFY1519" s="886"/>
      <c r="LFZ1519" s="886"/>
      <c r="LGA1519" s="886"/>
      <c r="LGB1519" s="886"/>
      <c r="LGC1519" s="886"/>
      <c r="LGD1519" s="886"/>
      <c r="LGE1519" s="886"/>
      <c r="LGF1519" s="886"/>
      <c r="LGG1519" s="886"/>
      <c r="LGH1519" s="886"/>
      <c r="LGI1519" s="886"/>
      <c r="LGJ1519" s="886"/>
      <c r="LGK1519" s="886"/>
      <c r="LGL1519" s="886"/>
      <c r="LGM1519" s="886"/>
      <c r="LGN1519" s="886"/>
      <c r="LGO1519" s="886"/>
      <c r="LGP1519" s="886"/>
      <c r="LGQ1519" s="886"/>
      <c r="LGR1519" s="886"/>
      <c r="LGS1519" s="886"/>
      <c r="LGT1519" s="886"/>
      <c r="LGU1519" s="886"/>
      <c r="LGV1519" s="886"/>
      <c r="LGW1519" s="886"/>
      <c r="LGX1519" s="886"/>
      <c r="LGY1519" s="886"/>
      <c r="LGZ1519" s="886"/>
      <c r="LHA1519" s="886"/>
      <c r="LHB1519" s="886"/>
      <c r="LHC1519" s="886"/>
      <c r="LHD1519" s="886"/>
      <c r="LHE1519" s="886"/>
      <c r="LHF1519" s="886"/>
      <c r="LHG1519" s="886"/>
      <c r="LHH1519" s="886"/>
      <c r="LHI1519" s="886"/>
      <c r="LHJ1519" s="886"/>
      <c r="LHK1519" s="886"/>
      <c r="LHL1519" s="886"/>
      <c r="LHM1519" s="886"/>
      <c r="LHN1519" s="886"/>
      <c r="LHO1519" s="886"/>
      <c r="LHP1519" s="886"/>
      <c r="LHQ1519" s="886"/>
      <c r="LHR1519" s="886"/>
      <c r="LHS1519" s="886"/>
      <c r="LHT1519" s="886"/>
      <c r="LHU1519" s="886"/>
      <c r="LHV1519" s="886"/>
      <c r="LHW1519" s="886"/>
      <c r="LHX1519" s="886"/>
      <c r="LHY1519" s="886"/>
      <c r="LHZ1519" s="886"/>
      <c r="LIA1519" s="886"/>
      <c r="LIB1519" s="886"/>
      <c r="LIC1519" s="886"/>
      <c r="LID1519" s="886"/>
      <c r="LIE1519" s="886"/>
      <c r="LIF1519" s="886"/>
      <c r="LIG1519" s="886"/>
      <c r="LIH1519" s="886"/>
      <c r="LII1519" s="886"/>
      <c r="LIJ1519" s="886"/>
      <c r="LIK1519" s="886"/>
      <c r="LIL1519" s="886"/>
      <c r="LIM1519" s="886"/>
      <c r="LIN1519" s="886"/>
      <c r="LIO1519" s="886"/>
      <c r="LIP1519" s="886"/>
      <c r="LIQ1519" s="886"/>
      <c r="LIR1519" s="886"/>
      <c r="LIS1519" s="886"/>
      <c r="LIT1519" s="886"/>
      <c r="LIU1519" s="886"/>
      <c r="LIV1519" s="886"/>
      <c r="LIW1519" s="886"/>
      <c r="LIX1519" s="886"/>
      <c r="LIY1519" s="886"/>
      <c r="LIZ1519" s="886"/>
      <c r="LJA1519" s="886"/>
      <c r="LJB1519" s="886"/>
      <c r="LJC1519" s="886"/>
      <c r="LJD1519" s="886"/>
      <c r="LJE1519" s="886"/>
      <c r="LJF1519" s="886"/>
      <c r="LJG1519" s="886"/>
      <c r="LJH1519" s="886"/>
      <c r="LJI1519" s="886"/>
      <c r="LJJ1519" s="886"/>
      <c r="LJK1519" s="886"/>
      <c r="LJL1519" s="886"/>
      <c r="LJM1519" s="886"/>
      <c r="LJN1519" s="886"/>
      <c r="LJO1519" s="886"/>
      <c r="LJP1519" s="886"/>
      <c r="LJQ1519" s="886"/>
      <c r="LJR1519" s="886"/>
      <c r="LJS1519" s="886"/>
      <c r="LJT1519" s="886"/>
      <c r="LJU1519" s="886"/>
      <c r="LJV1519" s="886"/>
      <c r="LJW1519" s="886"/>
      <c r="LJX1519" s="886"/>
      <c r="LJY1519" s="886"/>
      <c r="LJZ1519" s="886"/>
      <c r="LKA1519" s="886"/>
      <c r="LKB1519" s="886"/>
      <c r="LKC1519" s="886"/>
      <c r="LKD1519" s="886"/>
      <c r="LKE1519" s="886"/>
      <c r="LKF1519" s="886"/>
      <c r="LKG1519" s="886"/>
      <c r="LKH1519" s="886"/>
      <c r="LKI1519" s="886"/>
      <c r="LKJ1519" s="886"/>
      <c r="LKK1519" s="886"/>
      <c r="LKL1519" s="886"/>
      <c r="LKM1519" s="886"/>
      <c r="LKN1519" s="886"/>
      <c r="LKO1519" s="886"/>
      <c r="LKP1519" s="886"/>
      <c r="LKQ1519" s="886"/>
      <c r="LKR1519" s="886"/>
      <c r="LKS1519" s="886"/>
      <c r="LKT1519" s="886"/>
      <c r="LKU1519" s="886"/>
      <c r="LKV1519" s="886"/>
      <c r="LKW1519" s="886"/>
      <c r="LKX1519" s="886"/>
      <c r="LKY1519" s="886"/>
      <c r="LKZ1519" s="886"/>
      <c r="LLA1519" s="886"/>
      <c r="LLB1519" s="886"/>
      <c r="LLC1519" s="886"/>
      <c r="LLD1519" s="886"/>
      <c r="LLE1519" s="886"/>
      <c r="LLF1519" s="886"/>
      <c r="LLG1519" s="886"/>
      <c r="LLH1519" s="886"/>
      <c r="LLI1519" s="886"/>
      <c r="LLJ1519" s="886"/>
      <c r="LLK1519" s="886"/>
      <c r="LLL1519" s="886"/>
      <c r="LLM1519" s="886"/>
      <c r="LLN1519" s="886"/>
      <c r="LLO1519" s="886"/>
      <c r="LLP1519" s="886"/>
      <c r="LLQ1519" s="886"/>
      <c r="LLR1519" s="886"/>
      <c r="LLS1519" s="886"/>
      <c r="LLT1519" s="886"/>
      <c r="LLU1519" s="886"/>
      <c r="LLV1519" s="886"/>
      <c r="LLW1519" s="886"/>
      <c r="LLX1519" s="886"/>
      <c r="LLY1519" s="886"/>
      <c r="LLZ1519" s="886"/>
      <c r="LMA1519" s="886"/>
      <c r="LMB1519" s="886"/>
      <c r="LMC1519" s="886"/>
      <c r="LMD1519" s="886"/>
      <c r="LME1519" s="886"/>
      <c r="LMF1519" s="886"/>
      <c r="LMG1519" s="886"/>
      <c r="LMH1519" s="886"/>
      <c r="LMI1519" s="886"/>
      <c r="LMJ1519" s="886"/>
      <c r="LMK1519" s="886"/>
      <c r="LML1519" s="886"/>
      <c r="LMM1519" s="886"/>
      <c r="LMN1519" s="886"/>
      <c r="LMO1519" s="886"/>
      <c r="LMP1519" s="886"/>
      <c r="LMQ1519" s="886"/>
      <c r="LMR1519" s="886"/>
      <c r="LMS1519" s="886"/>
      <c r="LMT1519" s="886"/>
      <c r="LMU1519" s="886"/>
      <c r="LMV1519" s="886"/>
      <c r="LMW1519" s="886"/>
      <c r="LMX1519" s="886"/>
      <c r="LMY1519" s="886"/>
      <c r="LMZ1519" s="886"/>
      <c r="LNA1519" s="886"/>
      <c r="LNB1519" s="886"/>
      <c r="LNC1519" s="886"/>
      <c r="LND1519" s="886"/>
      <c r="LNE1519" s="886"/>
      <c r="LNF1519" s="886"/>
      <c r="LNG1519" s="886"/>
      <c r="LNH1519" s="886"/>
      <c r="LNI1519" s="886"/>
      <c r="LNJ1519" s="886"/>
      <c r="LNK1519" s="886"/>
      <c r="LNL1519" s="886"/>
      <c r="LNM1519" s="886"/>
      <c r="LNN1519" s="886"/>
      <c r="LNO1519" s="886"/>
      <c r="LNP1519" s="886"/>
      <c r="LNQ1519" s="886"/>
      <c r="LNR1519" s="886"/>
      <c r="LNS1519" s="886"/>
      <c r="LNT1519" s="886"/>
      <c r="LNU1519" s="886"/>
      <c r="LNV1519" s="886"/>
      <c r="LNW1519" s="886"/>
      <c r="LNX1519" s="886"/>
      <c r="LNY1519" s="886"/>
      <c r="LNZ1519" s="886"/>
      <c r="LOA1519" s="886"/>
      <c r="LOB1519" s="886"/>
      <c r="LOC1519" s="886"/>
      <c r="LOD1519" s="886"/>
      <c r="LOE1519" s="886"/>
      <c r="LOF1519" s="886"/>
      <c r="LOG1519" s="886"/>
      <c r="LOH1519" s="886"/>
      <c r="LOI1519" s="886"/>
      <c r="LOJ1519" s="886"/>
      <c r="LOK1519" s="886"/>
      <c r="LOL1519" s="886"/>
      <c r="LOM1519" s="886"/>
      <c r="LON1519" s="886"/>
      <c r="LOO1519" s="886"/>
      <c r="LOP1519" s="886"/>
      <c r="LOQ1519" s="886"/>
      <c r="LOR1519" s="886"/>
      <c r="LOS1519" s="886"/>
      <c r="LOT1519" s="886"/>
      <c r="LOU1519" s="886"/>
      <c r="LOV1519" s="886"/>
      <c r="LOW1519" s="886"/>
      <c r="LOX1519" s="886"/>
      <c r="LOY1519" s="886"/>
      <c r="LOZ1519" s="886"/>
      <c r="LPA1519" s="886"/>
      <c r="LPB1519" s="886"/>
      <c r="LPC1519" s="886"/>
      <c r="LPD1519" s="886"/>
      <c r="LPE1519" s="886"/>
      <c r="LPF1519" s="886"/>
      <c r="LPG1519" s="886"/>
      <c r="LPH1519" s="886"/>
      <c r="LPI1519" s="886"/>
      <c r="LPJ1519" s="886"/>
      <c r="LPK1519" s="886"/>
      <c r="LPL1519" s="886"/>
      <c r="LPM1519" s="886"/>
      <c r="LPN1519" s="886"/>
      <c r="LPO1519" s="886"/>
      <c r="LPP1519" s="886"/>
      <c r="LPQ1519" s="886"/>
      <c r="LPR1519" s="886"/>
      <c r="LPS1519" s="886"/>
      <c r="LPT1519" s="886"/>
      <c r="LPU1519" s="886"/>
      <c r="LPV1519" s="886"/>
      <c r="LPW1519" s="886"/>
      <c r="LPX1519" s="886"/>
      <c r="LPY1519" s="886"/>
      <c r="LPZ1519" s="886"/>
      <c r="LQA1519" s="886"/>
      <c r="LQB1519" s="886"/>
      <c r="LQC1519" s="886"/>
      <c r="LQD1519" s="886"/>
      <c r="LQE1519" s="886"/>
      <c r="LQF1519" s="886"/>
      <c r="LQG1519" s="886"/>
      <c r="LQH1519" s="886"/>
      <c r="LQI1519" s="886"/>
      <c r="LQJ1519" s="886"/>
      <c r="LQK1519" s="886"/>
      <c r="LQL1519" s="886"/>
      <c r="LQM1519" s="886"/>
      <c r="LQN1519" s="886"/>
      <c r="LQO1519" s="886"/>
      <c r="LQP1519" s="886"/>
      <c r="LQQ1519" s="886"/>
      <c r="LQR1519" s="886"/>
      <c r="LQS1519" s="886"/>
      <c r="LQT1519" s="886"/>
      <c r="LQU1519" s="886"/>
      <c r="LQV1519" s="886"/>
      <c r="LQW1519" s="886"/>
      <c r="LQX1519" s="886"/>
      <c r="LQY1519" s="886"/>
      <c r="LQZ1519" s="886"/>
      <c r="LRA1519" s="886"/>
      <c r="LRB1519" s="886"/>
      <c r="LRC1519" s="886"/>
      <c r="LRD1519" s="886"/>
      <c r="LRE1519" s="886"/>
      <c r="LRF1519" s="886"/>
      <c r="LRG1519" s="886"/>
      <c r="LRH1519" s="886"/>
      <c r="LRI1519" s="886"/>
      <c r="LRJ1519" s="886"/>
      <c r="LRK1519" s="886"/>
      <c r="LRL1519" s="886"/>
      <c r="LRM1519" s="886"/>
      <c r="LRN1519" s="886"/>
      <c r="LRO1519" s="886"/>
      <c r="LRP1519" s="886"/>
      <c r="LRQ1519" s="886"/>
      <c r="LRR1519" s="886"/>
      <c r="LRS1519" s="886"/>
      <c r="LRT1519" s="886"/>
      <c r="LRU1519" s="886"/>
      <c r="LRV1519" s="886"/>
      <c r="LRW1519" s="886"/>
      <c r="LRX1519" s="886"/>
      <c r="LRY1519" s="886"/>
      <c r="LRZ1519" s="886"/>
      <c r="LSA1519" s="886"/>
      <c r="LSB1519" s="886"/>
      <c r="LSC1519" s="886"/>
      <c r="LSD1519" s="886"/>
      <c r="LSE1519" s="886"/>
      <c r="LSF1519" s="886"/>
      <c r="LSG1519" s="886"/>
      <c r="LSH1519" s="886"/>
      <c r="LSI1519" s="886"/>
      <c r="LSJ1519" s="886"/>
      <c r="LSK1519" s="886"/>
      <c r="LSL1519" s="886"/>
      <c r="LSM1519" s="886"/>
      <c r="LSN1519" s="886"/>
      <c r="LSO1519" s="886"/>
      <c r="LSP1519" s="886"/>
      <c r="LSQ1519" s="886"/>
      <c r="LSR1519" s="886"/>
      <c r="LSS1519" s="886"/>
      <c r="LST1519" s="886"/>
      <c r="LSU1519" s="886"/>
      <c r="LSV1519" s="886"/>
      <c r="LSW1519" s="886"/>
      <c r="LSX1519" s="886"/>
      <c r="LSY1519" s="886"/>
      <c r="LSZ1519" s="886"/>
      <c r="LTA1519" s="886"/>
      <c r="LTB1519" s="886"/>
      <c r="LTC1519" s="886"/>
      <c r="LTD1519" s="886"/>
      <c r="LTE1519" s="886"/>
      <c r="LTF1519" s="886"/>
      <c r="LTG1519" s="886"/>
      <c r="LTH1519" s="886"/>
      <c r="LTI1519" s="886"/>
      <c r="LTJ1519" s="886"/>
      <c r="LTK1519" s="886"/>
      <c r="LTL1519" s="886"/>
      <c r="LTM1519" s="886"/>
      <c r="LTN1519" s="886"/>
      <c r="LTO1519" s="886"/>
      <c r="LTP1519" s="886"/>
      <c r="LTQ1519" s="886"/>
      <c r="LTR1519" s="886"/>
      <c r="LTS1519" s="886"/>
      <c r="LTT1519" s="886"/>
      <c r="LTU1519" s="886"/>
      <c r="LTV1519" s="886"/>
      <c r="LTW1519" s="886"/>
      <c r="LTX1519" s="886"/>
      <c r="LTY1519" s="886"/>
      <c r="LTZ1519" s="886"/>
      <c r="LUA1519" s="886"/>
      <c r="LUB1519" s="886"/>
      <c r="LUC1519" s="886"/>
      <c r="LUD1519" s="886"/>
      <c r="LUE1519" s="886"/>
      <c r="LUF1519" s="886"/>
      <c r="LUG1519" s="886"/>
      <c r="LUH1519" s="886"/>
      <c r="LUI1519" s="886"/>
      <c r="LUJ1519" s="886"/>
      <c r="LUK1519" s="886"/>
      <c r="LUL1519" s="886"/>
      <c r="LUM1519" s="886"/>
      <c r="LUN1519" s="886"/>
      <c r="LUO1519" s="886"/>
      <c r="LUP1519" s="886"/>
      <c r="LUQ1519" s="886"/>
      <c r="LUR1519" s="886"/>
      <c r="LUS1519" s="886"/>
      <c r="LUT1519" s="886"/>
      <c r="LUU1519" s="886"/>
      <c r="LUV1519" s="886"/>
      <c r="LUW1519" s="886"/>
      <c r="LUX1519" s="886"/>
      <c r="LUY1519" s="886"/>
      <c r="LUZ1519" s="886"/>
      <c r="LVA1519" s="886"/>
      <c r="LVB1519" s="886"/>
      <c r="LVC1519" s="886"/>
      <c r="LVD1519" s="886"/>
      <c r="LVE1519" s="886"/>
      <c r="LVF1519" s="886"/>
      <c r="LVG1519" s="886"/>
      <c r="LVH1519" s="886"/>
      <c r="LVI1519" s="886"/>
      <c r="LVJ1519" s="886"/>
      <c r="LVK1519" s="886"/>
      <c r="LVL1519" s="886"/>
      <c r="LVM1519" s="886"/>
      <c r="LVN1519" s="886"/>
      <c r="LVO1519" s="886"/>
      <c r="LVP1519" s="886"/>
      <c r="LVQ1519" s="886"/>
      <c r="LVR1519" s="886"/>
      <c r="LVS1519" s="886"/>
      <c r="LVT1519" s="886"/>
      <c r="LVU1519" s="886"/>
      <c r="LVV1519" s="886"/>
      <c r="LVW1519" s="886"/>
      <c r="LVX1519" s="886"/>
      <c r="LVY1519" s="886"/>
      <c r="LVZ1519" s="886"/>
      <c r="LWA1519" s="886"/>
      <c r="LWB1519" s="886"/>
      <c r="LWC1519" s="886"/>
      <c r="LWD1519" s="886"/>
      <c r="LWE1519" s="886"/>
      <c r="LWF1519" s="886"/>
      <c r="LWG1519" s="886"/>
      <c r="LWH1519" s="886"/>
      <c r="LWI1519" s="886"/>
      <c r="LWJ1519" s="886"/>
      <c r="LWK1519" s="886"/>
      <c r="LWL1519" s="886"/>
      <c r="LWM1519" s="886"/>
      <c r="LWN1519" s="886"/>
      <c r="LWO1519" s="886"/>
      <c r="LWP1519" s="886"/>
      <c r="LWQ1519" s="886"/>
      <c r="LWR1519" s="886"/>
      <c r="LWS1519" s="886"/>
      <c r="LWT1519" s="886"/>
      <c r="LWU1519" s="886"/>
      <c r="LWV1519" s="886"/>
      <c r="LWW1519" s="886"/>
      <c r="LWX1519" s="886"/>
      <c r="LWY1519" s="886"/>
      <c r="LWZ1519" s="886"/>
      <c r="LXA1519" s="886"/>
      <c r="LXB1519" s="886"/>
      <c r="LXC1519" s="886"/>
      <c r="LXD1519" s="886"/>
      <c r="LXE1519" s="886"/>
      <c r="LXF1519" s="886"/>
      <c r="LXG1519" s="886"/>
      <c r="LXH1519" s="886"/>
      <c r="LXI1519" s="886"/>
      <c r="LXJ1519" s="886"/>
      <c r="LXK1519" s="886"/>
      <c r="LXL1519" s="886"/>
      <c r="LXM1519" s="886"/>
      <c r="LXN1519" s="886"/>
      <c r="LXO1519" s="886"/>
      <c r="LXP1519" s="886"/>
      <c r="LXQ1519" s="886"/>
      <c r="LXR1519" s="886"/>
      <c r="LXS1519" s="886"/>
      <c r="LXT1519" s="886"/>
      <c r="LXU1519" s="886"/>
      <c r="LXV1519" s="886"/>
      <c r="LXW1519" s="886"/>
      <c r="LXX1519" s="886"/>
      <c r="LXY1519" s="886"/>
      <c r="LXZ1519" s="886"/>
      <c r="LYA1519" s="886"/>
      <c r="LYB1519" s="886"/>
      <c r="LYC1519" s="886"/>
      <c r="LYD1519" s="886"/>
      <c r="LYE1519" s="886"/>
      <c r="LYF1519" s="886"/>
      <c r="LYG1519" s="886"/>
      <c r="LYH1519" s="886"/>
      <c r="LYI1519" s="886"/>
      <c r="LYJ1519" s="886"/>
      <c r="LYK1519" s="886"/>
      <c r="LYL1519" s="886"/>
      <c r="LYM1519" s="886"/>
      <c r="LYN1519" s="886"/>
      <c r="LYO1519" s="886"/>
      <c r="LYP1519" s="886"/>
      <c r="LYQ1519" s="886"/>
      <c r="LYR1519" s="886"/>
      <c r="LYS1519" s="886"/>
      <c r="LYT1519" s="886"/>
      <c r="LYU1519" s="886"/>
      <c r="LYV1519" s="886"/>
      <c r="LYW1519" s="886"/>
      <c r="LYX1519" s="886"/>
      <c r="LYY1519" s="886"/>
      <c r="LYZ1519" s="886"/>
      <c r="LZA1519" s="886"/>
      <c r="LZB1519" s="886"/>
      <c r="LZC1519" s="886"/>
      <c r="LZD1519" s="886"/>
      <c r="LZE1519" s="886"/>
      <c r="LZF1519" s="886"/>
      <c r="LZG1519" s="886"/>
      <c r="LZH1519" s="886"/>
      <c r="LZI1519" s="886"/>
      <c r="LZJ1519" s="886"/>
      <c r="LZK1519" s="886"/>
      <c r="LZL1519" s="886"/>
      <c r="LZM1519" s="886"/>
      <c r="LZN1519" s="886"/>
      <c r="LZO1519" s="886"/>
      <c r="LZP1519" s="886"/>
      <c r="LZQ1519" s="886"/>
      <c r="LZR1519" s="886"/>
      <c r="LZS1519" s="886"/>
      <c r="LZT1519" s="886"/>
      <c r="LZU1519" s="886"/>
      <c r="LZV1519" s="886"/>
      <c r="LZW1519" s="886"/>
      <c r="LZX1519" s="886"/>
      <c r="LZY1519" s="886"/>
      <c r="LZZ1519" s="886"/>
      <c r="MAA1519" s="886"/>
      <c r="MAB1519" s="886"/>
      <c r="MAC1519" s="886"/>
      <c r="MAD1519" s="886"/>
      <c r="MAE1519" s="886"/>
      <c r="MAF1519" s="886"/>
      <c r="MAG1519" s="886"/>
      <c r="MAH1519" s="886"/>
      <c r="MAI1519" s="886"/>
      <c r="MAJ1519" s="886"/>
      <c r="MAK1519" s="886"/>
      <c r="MAL1519" s="886"/>
      <c r="MAM1519" s="886"/>
      <c r="MAN1519" s="886"/>
      <c r="MAO1519" s="886"/>
      <c r="MAP1519" s="886"/>
      <c r="MAQ1519" s="886"/>
      <c r="MAR1519" s="886"/>
      <c r="MAS1519" s="886"/>
      <c r="MAT1519" s="886"/>
      <c r="MAU1519" s="886"/>
      <c r="MAV1519" s="886"/>
      <c r="MAW1519" s="886"/>
      <c r="MAX1519" s="886"/>
      <c r="MAY1519" s="886"/>
      <c r="MAZ1519" s="886"/>
      <c r="MBA1519" s="886"/>
      <c r="MBB1519" s="886"/>
      <c r="MBC1519" s="886"/>
      <c r="MBD1519" s="886"/>
      <c r="MBE1519" s="886"/>
      <c r="MBF1519" s="886"/>
      <c r="MBG1519" s="886"/>
      <c r="MBH1519" s="886"/>
      <c r="MBI1519" s="886"/>
      <c r="MBJ1519" s="886"/>
      <c r="MBK1519" s="886"/>
      <c r="MBL1519" s="886"/>
      <c r="MBM1519" s="886"/>
      <c r="MBN1519" s="886"/>
      <c r="MBO1519" s="886"/>
      <c r="MBP1519" s="886"/>
      <c r="MBQ1519" s="886"/>
      <c r="MBR1519" s="886"/>
      <c r="MBS1519" s="886"/>
      <c r="MBT1519" s="886"/>
      <c r="MBU1519" s="886"/>
      <c r="MBV1519" s="886"/>
      <c r="MBW1519" s="886"/>
      <c r="MBX1519" s="886"/>
      <c r="MBY1519" s="886"/>
      <c r="MBZ1519" s="886"/>
      <c r="MCA1519" s="886"/>
      <c r="MCB1519" s="886"/>
      <c r="MCC1519" s="886"/>
      <c r="MCD1519" s="886"/>
      <c r="MCE1519" s="886"/>
      <c r="MCF1519" s="886"/>
      <c r="MCG1519" s="886"/>
      <c r="MCH1519" s="886"/>
      <c r="MCI1519" s="886"/>
      <c r="MCJ1519" s="886"/>
      <c r="MCK1519" s="886"/>
      <c r="MCL1519" s="886"/>
      <c r="MCM1519" s="886"/>
      <c r="MCN1519" s="886"/>
      <c r="MCO1519" s="886"/>
      <c r="MCP1519" s="886"/>
      <c r="MCQ1519" s="886"/>
      <c r="MCR1519" s="886"/>
      <c r="MCS1519" s="886"/>
      <c r="MCT1519" s="886"/>
      <c r="MCU1519" s="886"/>
      <c r="MCV1519" s="886"/>
      <c r="MCW1519" s="886"/>
      <c r="MCX1519" s="886"/>
      <c r="MCY1519" s="886"/>
      <c r="MCZ1519" s="886"/>
      <c r="MDA1519" s="886"/>
      <c r="MDB1519" s="886"/>
      <c r="MDC1519" s="886"/>
      <c r="MDD1519" s="886"/>
      <c r="MDE1519" s="886"/>
      <c r="MDF1519" s="886"/>
      <c r="MDG1519" s="886"/>
      <c r="MDH1519" s="886"/>
      <c r="MDI1519" s="886"/>
      <c r="MDJ1519" s="886"/>
      <c r="MDK1519" s="886"/>
      <c r="MDL1519" s="886"/>
      <c r="MDM1519" s="886"/>
      <c r="MDN1519" s="886"/>
      <c r="MDO1519" s="886"/>
      <c r="MDP1519" s="886"/>
      <c r="MDQ1519" s="886"/>
      <c r="MDR1519" s="886"/>
      <c r="MDS1519" s="886"/>
      <c r="MDT1519" s="886"/>
      <c r="MDU1519" s="886"/>
      <c r="MDV1519" s="886"/>
      <c r="MDW1519" s="886"/>
      <c r="MDX1519" s="886"/>
      <c r="MDY1519" s="886"/>
      <c r="MDZ1519" s="886"/>
      <c r="MEA1519" s="886"/>
      <c r="MEB1519" s="886"/>
      <c r="MEC1519" s="886"/>
      <c r="MED1519" s="886"/>
      <c r="MEE1519" s="886"/>
      <c r="MEF1519" s="886"/>
      <c r="MEG1519" s="886"/>
      <c r="MEH1519" s="886"/>
      <c r="MEI1519" s="886"/>
      <c r="MEJ1519" s="886"/>
      <c r="MEK1519" s="886"/>
      <c r="MEL1519" s="886"/>
      <c r="MEM1519" s="886"/>
      <c r="MEN1519" s="886"/>
      <c r="MEO1519" s="886"/>
      <c r="MEP1519" s="886"/>
      <c r="MEQ1519" s="886"/>
      <c r="MER1519" s="886"/>
      <c r="MES1519" s="886"/>
      <c r="MET1519" s="886"/>
      <c r="MEU1519" s="886"/>
      <c r="MEV1519" s="886"/>
      <c r="MEW1519" s="886"/>
      <c r="MEX1519" s="886"/>
      <c r="MEY1519" s="886"/>
      <c r="MEZ1519" s="886"/>
      <c r="MFA1519" s="886"/>
      <c r="MFB1519" s="886"/>
      <c r="MFC1519" s="886"/>
      <c r="MFD1519" s="886"/>
      <c r="MFE1519" s="886"/>
      <c r="MFF1519" s="886"/>
      <c r="MFG1519" s="886"/>
      <c r="MFH1519" s="886"/>
      <c r="MFI1519" s="886"/>
      <c r="MFJ1519" s="886"/>
      <c r="MFK1519" s="886"/>
      <c r="MFL1519" s="886"/>
      <c r="MFM1519" s="886"/>
      <c r="MFN1519" s="886"/>
      <c r="MFO1519" s="886"/>
      <c r="MFP1519" s="886"/>
      <c r="MFQ1519" s="886"/>
      <c r="MFR1519" s="886"/>
      <c r="MFS1519" s="886"/>
      <c r="MFT1519" s="886"/>
      <c r="MFU1519" s="886"/>
      <c r="MFV1519" s="886"/>
      <c r="MFW1519" s="886"/>
      <c r="MFX1519" s="886"/>
      <c r="MFY1519" s="886"/>
      <c r="MFZ1519" s="886"/>
      <c r="MGA1519" s="886"/>
      <c r="MGB1519" s="886"/>
      <c r="MGC1519" s="886"/>
      <c r="MGD1519" s="886"/>
      <c r="MGE1519" s="886"/>
      <c r="MGF1519" s="886"/>
      <c r="MGG1519" s="886"/>
      <c r="MGH1519" s="886"/>
      <c r="MGI1519" s="886"/>
      <c r="MGJ1519" s="886"/>
      <c r="MGK1519" s="886"/>
      <c r="MGL1519" s="886"/>
      <c r="MGM1519" s="886"/>
      <c r="MGN1519" s="886"/>
      <c r="MGO1519" s="886"/>
      <c r="MGP1519" s="886"/>
      <c r="MGQ1519" s="886"/>
      <c r="MGR1519" s="886"/>
      <c r="MGS1519" s="886"/>
      <c r="MGT1519" s="886"/>
      <c r="MGU1519" s="886"/>
      <c r="MGV1519" s="886"/>
      <c r="MGW1519" s="886"/>
      <c r="MGX1519" s="886"/>
      <c r="MGY1519" s="886"/>
      <c r="MGZ1519" s="886"/>
      <c r="MHA1519" s="886"/>
      <c r="MHB1519" s="886"/>
      <c r="MHC1519" s="886"/>
      <c r="MHD1519" s="886"/>
      <c r="MHE1519" s="886"/>
      <c r="MHF1519" s="886"/>
      <c r="MHG1519" s="886"/>
      <c r="MHH1519" s="886"/>
      <c r="MHI1519" s="886"/>
      <c r="MHJ1519" s="886"/>
      <c r="MHK1519" s="886"/>
      <c r="MHL1519" s="886"/>
      <c r="MHM1519" s="886"/>
      <c r="MHN1519" s="886"/>
      <c r="MHO1519" s="886"/>
      <c r="MHP1519" s="886"/>
      <c r="MHQ1519" s="886"/>
      <c r="MHR1519" s="886"/>
      <c r="MHS1519" s="886"/>
      <c r="MHT1519" s="886"/>
      <c r="MHU1519" s="886"/>
      <c r="MHV1519" s="886"/>
      <c r="MHW1519" s="886"/>
      <c r="MHX1519" s="886"/>
      <c r="MHY1519" s="886"/>
      <c r="MHZ1519" s="886"/>
      <c r="MIA1519" s="886"/>
      <c r="MIB1519" s="886"/>
      <c r="MIC1519" s="886"/>
      <c r="MID1519" s="886"/>
      <c r="MIE1519" s="886"/>
      <c r="MIF1519" s="886"/>
      <c r="MIG1519" s="886"/>
      <c r="MIH1519" s="886"/>
      <c r="MII1519" s="886"/>
      <c r="MIJ1519" s="886"/>
      <c r="MIK1519" s="886"/>
      <c r="MIL1519" s="886"/>
      <c r="MIM1519" s="886"/>
      <c r="MIN1519" s="886"/>
      <c r="MIO1519" s="886"/>
      <c r="MIP1519" s="886"/>
      <c r="MIQ1519" s="886"/>
      <c r="MIR1519" s="886"/>
      <c r="MIS1519" s="886"/>
      <c r="MIT1519" s="886"/>
      <c r="MIU1519" s="886"/>
      <c r="MIV1519" s="886"/>
      <c r="MIW1519" s="886"/>
      <c r="MIX1519" s="886"/>
      <c r="MIY1519" s="886"/>
      <c r="MIZ1519" s="886"/>
      <c r="MJA1519" s="886"/>
      <c r="MJB1519" s="886"/>
      <c r="MJC1519" s="886"/>
      <c r="MJD1519" s="886"/>
      <c r="MJE1519" s="886"/>
      <c r="MJF1519" s="886"/>
      <c r="MJG1519" s="886"/>
      <c r="MJH1519" s="886"/>
      <c r="MJI1519" s="886"/>
      <c r="MJJ1519" s="886"/>
      <c r="MJK1519" s="886"/>
      <c r="MJL1519" s="886"/>
      <c r="MJM1519" s="886"/>
      <c r="MJN1519" s="886"/>
      <c r="MJO1519" s="886"/>
      <c r="MJP1519" s="886"/>
      <c r="MJQ1519" s="886"/>
      <c r="MJR1519" s="886"/>
      <c r="MJS1519" s="886"/>
      <c r="MJT1519" s="886"/>
      <c r="MJU1519" s="886"/>
      <c r="MJV1519" s="886"/>
      <c r="MJW1519" s="886"/>
      <c r="MJX1519" s="886"/>
      <c r="MJY1519" s="886"/>
      <c r="MJZ1519" s="886"/>
      <c r="MKA1519" s="886"/>
      <c r="MKB1519" s="886"/>
      <c r="MKC1519" s="886"/>
      <c r="MKD1519" s="886"/>
      <c r="MKE1519" s="886"/>
      <c r="MKF1519" s="886"/>
      <c r="MKG1519" s="886"/>
      <c r="MKH1519" s="886"/>
      <c r="MKI1519" s="886"/>
      <c r="MKJ1519" s="886"/>
      <c r="MKK1519" s="886"/>
      <c r="MKL1519" s="886"/>
      <c r="MKM1519" s="886"/>
      <c r="MKN1519" s="886"/>
      <c r="MKO1519" s="886"/>
      <c r="MKP1519" s="886"/>
      <c r="MKQ1519" s="886"/>
      <c r="MKR1519" s="886"/>
      <c r="MKS1519" s="886"/>
      <c r="MKT1519" s="886"/>
      <c r="MKU1519" s="886"/>
      <c r="MKV1519" s="886"/>
      <c r="MKW1519" s="886"/>
      <c r="MKX1519" s="886"/>
      <c r="MKY1519" s="886"/>
      <c r="MKZ1519" s="886"/>
      <c r="MLA1519" s="886"/>
      <c r="MLB1519" s="886"/>
      <c r="MLC1519" s="886"/>
      <c r="MLD1519" s="886"/>
      <c r="MLE1519" s="886"/>
      <c r="MLF1519" s="886"/>
      <c r="MLG1519" s="886"/>
      <c r="MLH1519" s="886"/>
      <c r="MLI1519" s="886"/>
      <c r="MLJ1519" s="886"/>
      <c r="MLK1519" s="886"/>
      <c r="MLL1519" s="886"/>
      <c r="MLM1519" s="886"/>
      <c r="MLN1519" s="886"/>
      <c r="MLO1519" s="886"/>
      <c r="MLP1519" s="886"/>
      <c r="MLQ1519" s="886"/>
      <c r="MLR1519" s="886"/>
      <c r="MLS1519" s="886"/>
      <c r="MLT1519" s="886"/>
      <c r="MLU1519" s="886"/>
      <c r="MLV1519" s="886"/>
      <c r="MLW1519" s="886"/>
      <c r="MLX1519" s="886"/>
      <c r="MLY1519" s="886"/>
      <c r="MLZ1519" s="886"/>
      <c r="MMA1519" s="886"/>
      <c r="MMB1519" s="886"/>
      <c r="MMC1519" s="886"/>
      <c r="MMD1519" s="886"/>
      <c r="MME1519" s="886"/>
      <c r="MMF1519" s="886"/>
      <c r="MMG1519" s="886"/>
      <c r="MMH1519" s="886"/>
      <c r="MMI1519" s="886"/>
      <c r="MMJ1519" s="886"/>
      <c r="MMK1519" s="886"/>
      <c r="MML1519" s="886"/>
      <c r="MMM1519" s="886"/>
      <c r="MMN1519" s="886"/>
      <c r="MMO1519" s="886"/>
      <c r="MMP1519" s="886"/>
      <c r="MMQ1519" s="886"/>
      <c r="MMR1519" s="886"/>
      <c r="MMS1519" s="886"/>
      <c r="MMT1519" s="886"/>
      <c r="MMU1519" s="886"/>
      <c r="MMV1519" s="886"/>
      <c r="MMW1519" s="886"/>
      <c r="MMX1519" s="886"/>
      <c r="MMY1519" s="886"/>
      <c r="MMZ1519" s="886"/>
      <c r="MNA1519" s="886"/>
      <c r="MNB1519" s="886"/>
      <c r="MNC1519" s="886"/>
      <c r="MND1519" s="886"/>
      <c r="MNE1519" s="886"/>
      <c r="MNF1519" s="886"/>
      <c r="MNG1519" s="886"/>
      <c r="MNH1519" s="886"/>
      <c r="MNI1519" s="886"/>
      <c r="MNJ1519" s="886"/>
      <c r="MNK1519" s="886"/>
      <c r="MNL1519" s="886"/>
      <c r="MNM1519" s="886"/>
      <c r="MNN1519" s="886"/>
      <c r="MNO1519" s="886"/>
      <c r="MNP1519" s="886"/>
      <c r="MNQ1519" s="886"/>
      <c r="MNR1519" s="886"/>
      <c r="MNS1519" s="886"/>
      <c r="MNT1519" s="886"/>
      <c r="MNU1519" s="886"/>
      <c r="MNV1519" s="886"/>
      <c r="MNW1519" s="886"/>
      <c r="MNX1519" s="886"/>
      <c r="MNY1519" s="886"/>
      <c r="MNZ1519" s="886"/>
      <c r="MOA1519" s="886"/>
      <c r="MOB1519" s="886"/>
      <c r="MOC1519" s="886"/>
      <c r="MOD1519" s="886"/>
      <c r="MOE1519" s="886"/>
      <c r="MOF1519" s="886"/>
      <c r="MOG1519" s="886"/>
      <c r="MOH1519" s="886"/>
      <c r="MOI1519" s="886"/>
      <c r="MOJ1519" s="886"/>
      <c r="MOK1519" s="886"/>
      <c r="MOL1519" s="886"/>
      <c r="MOM1519" s="886"/>
      <c r="MON1519" s="886"/>
      <c r="MOO1519" s="886"/>
      <c r="MOP1519" s="886"/>
      <c r="MOQ1519" s="886"/>
      <c r="MOR1519" s="886"/>
      <c r="MOS1519" s="886"/>
      <c r="MOT1519" s="886"/>
      <c r="MOU1519" s="886"/>
      <c r="MOV1519" s="886"/>
      <c r="MOW1519" s="886"/>
      <c r="MOX1519" s="886"/>
      <c r="MOY1519" s="886"/>
      <c r="MOZ1519" s="886"/>
      <c r="MPA1519" s="886"/>
      <c r="MPB1519" s="886"/>
      <c r="MPC1519" s="886"/>
      <c r="MPD1519" s="886"/>
      <c r="MPE1519" s="886"/>
      <c r="MPF1519" s="886"/>
      <c r="MPG1519" s="886"/>
      <c r="MPH1519" s="886"/>
      <c r="MPI1519" s="886"/>
      <c r="MPJ1519" s="886"/>
      <c r="MPK1519" s="886"/>
      <c r="MPL1519" s="886"/>
      <c r="MPM1519" s="886"/>
      <c r="MPN1519" s="886"/>
      <c r="MPO1519" s="886"/>
      <c r="MPP1519" s="886"/>
      <c r="MPQ1519" s="886"/>
      <c r="MPR1519" s="886"/>
      <c r="MPS1519" s="886"/>
      <c r="MPT1519" s="886"/>
      <c r="MPU1519" s="886"/>
      <c r="MPV1519" s="886"/>
      <c r="MPW1519" s="886"/>
      <c r="MPX1519" s="886"/>
      <c r="MPY1519" s="886"/>
      <c r="MPZ1519" s="886"/>
      <c r="MQA1519" s="886"/>
      <c r="MQB1519" s="886"/>
      <c r="MQC1519" s="886"/>
      <c r="MQD1519" s="886"/>
      <c r="MQE1519" s="886"/>
      <c r="MQF1519" s="886"/>
      <c r="MQG1519" s="886"/>
      <c r="MQH1519" s="886"/>
      <c r="MQI1519" s="886"/>
      <c r="MQJ1519" s="886"/>
      <c r="MQK1519" s="886"/>
      <c r="MQL1519" s="886"/>
      <c r="MQM1519" s="886"/>
      <c r="MQN1519" s="886"/>
      <c r="MQO1519" s="886"/>
      <c r="MQP1519" s="886"/>
      <c r="MQQ1519" s="886"/>
      <c r="MQR1519" s="886"/>
      <c r="MQS1519" s="886"/>
      <c r="MQT1519" s="886"/>
      <c r="MQU1519" s="886"/>
      <c r="MQV1519" s="886"/>
      <c r="MQW1519" s="886"/>
      <c r="MQX1519" s="886"/>
      <c r="MQY1519" s="886"/>
      <c r="MQZ1519" s="886"/>
      <c r="MRA1519" s="886"/>
      <c r="MRB1519" s="886"/>
      <c r="MRC1519" s="886"/>
      <c r="MRD1519" s="886"/>
      <c r="MRE1519" s="886"/>
      <c r="MRF1519" s="886"/>
      <c r="MRG1519" s="886"/>
      <c r="MRH1519" s="886"/>
      <c r="MRI1519" s="886"/>
      <c r="MRJ1519" s="886"/>
      <c r="MRK1519" s="886"/>
      <c r="MRL1519" s="886"/>
      <c r="MRM1519" s="886"/>
      <c r="MRN1519" s="886"/>
      <c r="MRO1519" s="886"/>
      <c r="MRP1519" s="886"/>
      <c r="MRQ1519" s="886"/>
      <c r="MRR1519" s="886"/>
      <c r="MRS1519" s="886"/>
      <c r="MRT1519" s="886"/>
      <c r="MRU1519" s="886"/>
      <c r="MRV1519" s="886"/>
      <c r="MRW1519" s="886"/>
      <c r="MRX1519" s="886"/>
      <c r="MRY1519" s="886"/>
      <c r="MRZ1519" s="886"/>
      <c r="MSA1519" s="886"/>
      <c r="MSB1519" s="886"/>
      <c r="MSC1519" s="886"/>
      <c r="MSD1519" s="886"/>
      <c r="MSE1519" s="886"/>
      <c r="MSF1519" s="886"/>
      <c r="MSG1519" s="886"/>
      <c r="MSH1519" s="886"/>
      <c r="MSI1519" s="886"/>
      <c r="MSJ1519" s="886"/>
      <c r="MSK1519" s="886"/>
      <c r="MSL1519" s="886"/>
      <c r="MSM1519" s="886"/>
      <c r="MSN1519" s="886"/>
      <c r="MSO1519" s="886"/>
      <c r="MSP1519" s="886"/>
      <c r="MSQ1519" s="886"/>
      <c r="MSR1519" s="886"/>
      <c r="MSS1519" s="886"/>
      <c r="MST1519" s="886"/>
      <c r="MSU1519" s="886"/>
      <c r="MSV1519" s="886"/>
      <c r="MSW1519" s="886"/>
      <c r="MSX1519" s="886"/>
      <c r="MSY1519" s="886"/>
      <c r="MSZ1519" s="886"/>
      <c r="MTA1519" s="886"/>
      <c r="MTB1519" s="886"/>
      <c r="MTC1519" s="886"/>
      <c r="MTD1519" s="886"/>
      <c r="MTE1519" s="886"/>
      <c r="MTF1519" s="886"/>
      <c r="MTG1519" s="886"/>
      <c r="MTH1519" s="886"/>
      <c r="MTI1519" s="886"/>
      <c r="MTJ1519" s="886"/>
      <c r="MTK1519" s="886"/>
      <c r="MTL1519" s="886"/>
      <c r="MTM1519" s="886"/>
      <c r="MTN1519" s="886"/>
      <c r="MTO1519" s="886"/>
      <c r="MTP1519" s="886"/>
      <c r="MTQ1519" s="886"/>
      <c r="MTR1519" s="886"/>
      <c r="MTS1519" s="886"/>
      <c r="MTT1519" s="886"/>
      <c r="MTU1519" s="886"/>
      <c r="MTV1519" s="886"/>
      <c r="MTW1519" s="886"/>
      <c r="MTX1519" s="886"/>
      <c r="MTY1519" s="886"/>
      <c r="MTZ1519" s="886"/>
      <c r="MUA1519" s="886"/>
      <c r="MUB1519" s="886"/>
      <c r="MUC1519" s="886"/>
      <c r="MUD1519" s="886"/>
      <c r="MUE1519" s="886"/>
      <c r="MUF1519" s="886"/>
      <c r="MUG1519" s="886"/>
      <c r="MUH1519" s="886"/>
      <c r="MUI1519" s="886"/>
      <c r="MUJ1519" s="886"/>
      <c r="MUK1519" s="886"/>
      <c r="MUL1519" s="886"/>
      <c r="MUM1519" s="886"/>
      <c r="MUN1519" s="886"/>
      <c r="MUO1519" s="886"/>
      <c r="MUP1519" s="886"/>
      <c r="MUQ1519" s="886"/>
      <c r="MUR1519" s="886"/>
      <c r="MUS1519" s="886"/>
      <c r="MUT1519" s="886"/>
      <c r="MUU1519" s="886"/>
      <c r="MUV1519" s="886"/>
      <c r="MUW1519" s="886"/>
      <c r="MUX1519" s="886"/>
      <c r="MUY1519" s="886"/>
      <c r="MUZ1519" s="886"/>
      <c r="MVA1519" s="886"/>
      <c r="MVB1519" s="886"/>
      <c r="MVC1519" s="886"/>
      <c r="MVD1519" s="886"/>
      <c r="MVE1519" s="886"/>
      <c r="MVF1519" s="886"/>
      <c r="MVG1519" s="886"/>
      <c r="MVH1519" s="886"/>
      <c r="MVI1519" s="886"/>
      <c r="MVJ1519" s="886"/>
      <c r="MVK1519" s="886"/>
      <c r="MVL1519" s="886"/>
      <c r="MVM1519" s="886"/>
      <c r="MVN1519" s="886"/>
      <c r="MVO1519" s="886"/>
      <c r="MVP1519" s="886"/>
      <c r="MVQ1519" s="886"/>
      <c r="MVR1519" s="886"/>
      <c r="MVS1519" s="886"/>
      <c r="MVT1519" s="886"/>
      <c r="MVU1519" s="886"/>
      <c r="MVV1519" s="886"/>
      <c r="MVW1519" s="886"/>
      <c r="MVX1519" s="886"/>
      <c r="MVY1519" s="886"/>
      <c r="MVZ1519" s="886"/>
      <c r="MWA1519" s="886"/>
      <c r="MWB1519" s="886"/>
      <c r="MWC1519" s="886"/>
      <c r="MWD1519" s="886"/>
      <c r="MWE1519" s="886"/>
      <c r="MWF1519" s="886"/>
      <c r="MWG1519" s="886"/>
      <c r="MWH1519" s="886"/>
      <c r="MWI1519" s="886"/>
      <c r="MWJ1519" s="886"/>
      <c r="MWK1519" s="886"/>
      <c r="MWL1519" s="886"/>
      <c r="MWM1519" s="886"/>
      <c r="MWN1519" s="886"/>
      <c r="MWO1519" s="886"/>
      <c r="MWP1519" s="886"/>
      <c r="MWQ1519" s="886"/>
      <c r="MWR1519" s="886"/>
      <c r="MWS1519" s="886"/>
      <c r="MWT1519" s="886"/>
      <c r="MWU1519" s="886"/>
      <c r="MWV1519" s="886"/>
      <c r="MWW1519" s="886"/>
      <c r="MWX1519" s="886"/>
      <c r="MWY1519" s="886"/>
      <c r="MWZ1519" s="886"/>
      <c r="MXA1519" s="886"/>
      <c r="MXB1519" s="886"/>
      <c r="MXC1519" s="886"/>
      <c r="MXD1519" s="886"/>
      <c r="MXE1519" s="886"/>
      <c r="MXF1519" s="886"/>
      <c r="MXG1519" s="886"/>
      <c r="MXH1519" s="886"/>
      <c r="MXI1519" s="886"/>
      <c r="MXJ1519" s="886"/>
      <c r="MXK1519" s="886"/>
      <c r="MXL1519" s="886"/>
      <c r="MXM1519" s="886"/>
      <c r="MXN1519" s="886"/>
      <c r="MXO1519" s="886"/>
      <c r="MXP1519" s="886"/>
      <c r="MXQ1519" s="886"/>
      <c r="MXR1519" s="886"/>
      <c r="MXS1519" s="886"/>
      <c r="MXT1519" s="886"/>
      <c r="MXU1519" s="886"/>
      <c r="MXV1519" s="886"/>
      <c r="MXW1519" s="886"/>
      <c r="MXX1519" s="886"/>
      <c r="MXY1519" s="886"/>
      <c r="MXZ1519" s="886"/>
      <c r="MYA1519" s="886"/>
      <c r="MYB1519" s="886"/>
      <c r="MYC1519" s="886"/>
      <c r="MYD1519" s="886"/>
      <c r="MYE1519" s="886"/>
      <c r="MYF1519" s="886"/>
      <c r="MYG1519" s="886"/>
      <c r="MYH1519" s="886"/>
      <c r="MYI1519" s="886"/>
      <c r="MYJ1519" s="886"/>
      <c r="MYK1519" s="886"/>
      <c r="MYL1519" s="886"/>
      <c r="MYM1519" s="886"/>
      <c r="MYN1519" s="886"/>
      <c r="MYO1519" s="886"/>
      <c r="MYP1519" s="886"/>
      <c r="MYQ1519" s="886"/>
      <c r="MYR1519" s="886"/>
      <c r="MYS1519" s="886"/>
      <c r="MYT1519" s="886"/>
      <c r="MYU1519" s="886"/>
      <c r="MYV1519" s="886"/>
      <c r="MYW1519" s="886"/>
      <c r="MYX1519" s="886"/>
      <c r="MYY1519" s="886"/>
      <c r="MYZ1519" s="886"/>
      <c r="MZA1519" s="886"/>
      <c r="MZB1519" s="886"/>
      <c r="MZC1519" s="886"/>
      <c r="MZD1519" s="886"/>
      <c r="MZE1519" s="886"/>
      <c r="MZF1519" s="886"/>
      <c r="MZG1519" s="886"/>
      <c r="MZH1519" s="886"/>
      <c r="MZI1519" s="886"/>
      <c r="MZJ1519" s="886"/>
      <c r="MZK1519" s="886"/>
      <c r="MZL1519" s="886"/>
      <c r="MZM1519" s="886"/>
      <c r="MZN1519" s="886"/>
      <c r="MZO1519" s="886"/>
      <c r="MZP1519" s="886"/>
      <c r="MZQ1519" s="886"/>
      <c r="MZR1519" s="886"/>
      <c r="MZS1519" s="886"/>
      <c r="MZT1519" s="886"/>
      <c r="MZU1519" s="886"/>
      <c r="MZV1519" s="886"/>
      <c r="MZW1519" s="886"/>
      <c r="MZX1519" s="886"/>
      <c r="MZY1519" s="886"/>
      <c r="MZZ1519" s="886"/>
      <c r="NAA1519" s="886"/>
      <c r="NAB1519" s="886"/>
      <c r="NAC1519" s="886"/>
      <c r="NAD1519" s="886"/>
      <c r="NAE1519" s="886"/>
      <c r="NAF1519" s="886"/>
      <c r="NAG1519" s="886"/>
      <c r="NAH1519" s="886"/>
      <c r="NAI1519" s="886"/>
      <c r="NAJ1519" s="886"/>
      <c r="NAK1519" s="886"/>
      <c r="NAL1519" s="886"/>
      <c r="NAM1519" s="886"/>
      <c r="NAN1519" s="886"/>
      <c r="NAO1519" s="886"/>
      <c r="NAP1519" s="886"/>
      <c r="NAQ1519" s="886"/>
      <c r="NAR1519" s="886"/>
      <c r="NAS1519" s="886"/>
      <c r="NAT1519" s="886"/>
      <c r="NAU1519" s="886"/>
      <c r="NAV1519" s="886"/>
      <c r="NAW1519" s="886"/>
      <c r="NAX1519" s="886"/>
      <c r="NAY1519" s="886"/>
      <c r="NAZ1519" s="886"/>
      <c r="NBA1519" s="886"/>
      <c r="NBB1519" s="886"/>
      <c r="NBC1519" s="886"/>
      <c r="NBD1519" s="886"/>
      <c r="NBE1519" s="886"/>
      <c r="NBF1519" s="886"/>
      <c r="NBG1519" s="886"/>
      <c r="NBH1519" s="886"/>
      <c r="NBI1519" s="886"/>
      <c r="NBJ1519" s="886"/>
      <c r="NBK1519" s="886"/>
      <c r="NBL1519" s="886"/>
      <c r="NBM1519" s="886"/>
      <c r="NBN1519" s="886"/>
      <c r="NBO1519" s="886"/>
      <c r="NBP1519" s="886"/>
      <c r="NBQ1519" s="886"/>
      <c r="NBR1519" s="886"/>
      <c r="NBS1519" s="886"/>
      <c r="NBT1519" s="886"/>
      <c r="NBU1519" s="886"/>
      <c r="NBV1519" s="886"/>
      <c r="NBW1519" s="886"/>
      <c r="NBX1519" s="886"/>
      <c r="NBY1519" s="886"/>
      <c r="NBZ1519" s="886"/>
      <c r="NCA1519" s="886"/>
      <c r="NCB1519" s="886"/>
      <c r="NCC1519" s="886"/>
      <c r="NCD1519" s="886"/>
      <c r="NCE1519" s="886"/>
      <c r="NCF1519" s="886"/>
      <c r="NCG1519" s="886"/>
      <c r="NCH1519" s="886"/>
      <c r="NCI1519" s="886"/>
      <c r="NCJ1519" s="886"/>
      <c r="NCK1519" s="886"/>
      <c r="NCL1519" s="886"/>
      <c r="NCM1519" s="886"/>
      <c r="NCN1519" s="886"/>
      <c r="NCO1519" s="886"/>
      <c r="NCP1519" s="886"/>
      <c r="NCQ1519" s="886"/>
      <c r="NCR1519" s="886"/>
      <c r="NCS1519" s="886"/>
      <c r="NCT1519" s="886"/>
      <c r="NCU1519" s="886"/>
      <c r="NCV1519" s="886"/>
      <c r="NCW1519" s="886"/>
      <c r="NCX1519" s="886"/>
      <c r="NCY1519" s="886"/>
      <c r="NCZ1519" s="886"/>
      <c r="NDA1519" s="886"/>
      <c r="NDB1519" s="886"/>
      <c r="NDC1519" s="886"/>
      <c r="NDD1519" s="886"/>
      <c r="NDE1519" s="886"/>
      <c r="NDF1519" s="886"/>
      <c r="NDG1519" s="886"/>
      <c r="NDH1519" s="886"/>
      <c r="NDI1519" s="886"/>
      <c r="NDJ1519" s="886"/>
      <c r="NDK1519" s="886"/>
      <c r="NDL1519" s="886"/>
      <c r="NDM1519" s="886"/>
      <c r="NDN1519" s="886"/>
      <c r="NDO1519" s="886"/>
      <c r="NDP1519" s="886"/>
      <c r="NDQ1519" s="886"/>
      <c r="NDR1519" s="886"/>
      <c r="NDS1519" s="886"/>
      <c r="NDT1519" s="886"/>
      <c r="NDU1519" s="886"/>
      <c r="NDV1519" s="886"/>
      <c r="NDW1519" s="886"/>
      <c r="NDX1519" s="886"/>
      <c r="NDY1519" s="886"/>
      <c r="NDZ1519" s="886"/>
      <c r="NEA1519" s="886"/>
      <c r="NEB1519" s="886"/>
      <c r="NEC1519" s="886"/>
      <c r="NED1519" s="886"/>
      <c r="NEE1519" s="886"/>
      <c r="NEF1519" s="886"/>
      <c r="NEG1519" s="886"/>
      <c r="NEH1519" s="886"/>
      <c r="NEI1519" s="886"/>
      <c r="NEJ1519" s="886"/>
      <c r="NEK1519" s="886"/>
      <c r="NEL1519" s="886"/>
      <c r="NEM1519" s="886"/>
      <c r="NEN1519" s="886"/>
      <c r="NEO1519" s="886"/>
      <c r="NEP1519" s="886"/>
      <c r="NEQ1519" s="886"/>
      <c r="NER1519" s="886"/>
      <c r="NES1519" s="886"/>
      <c r="NET1519" s="886"/>
      <c r="NEU1519" s="886"/>
      <c r="NEV1519" s="886"/>
      <c r="NEW1519" s="886"/>
      <c r="NEX1519" s="886"/>
      <c r="NEY1519" s="886"/>
      <c r="NEZ1519" s="886"/>
      <c r="NFA1519" s="886"/>
      <c r="NFB1519" s="886"/>
      <c r="NFC1519" s="886"/>
      <c r="NFD1519" s="886"/>
      <c r="NFE1519" s="886"/>
      <c r="NFF1519" s="886"/>
      <c r="NFG1519" s="886"/>
      <c r="NFH1519" s="886"/>
      <c r="NFI1519" s="886"/>
      <c r="NFJ1519" s="886"/>
      <c r="NFK1519" s="886"/>
      <c r="NFL1519" s="886"/>
      <c r="NFM1519" s="886"/>
      <c r="NFN1519" s="886"/>
      <c r="NFO1519" s="886"/>
      <c r="NFP1519" s="886"/>
      <c r="NFQ1519" s="886"/>
      <c r="NFR1519" s="886"/>
      <c r="NFS1519" s="886"/>
      <c r="NFT1519" s="886"/>
      <c r="NFU1519" s="886"/>
      <c r="NFV1519" s="886"/>
      <c r="NFW1519" s="886"/>
      <c r="NFX1519" s="886"/>
      <c r="NFY1519" s="886"/>
      <c r="NFZ1519" s="886"/>
      <c r="NGA1519" s="886"/>
      <c r="NGB1519" s="886"/>
      <c r="NGC1519" s="886"/>
      <c r="NGD1519" s="886"/>
      <c r="NGE1519" s="886"/>
      <c r="NGF1519" s="886"/>
      <c r="NGG1519" s="886"/>
      <c r="NGH1519" s="886"/>
      <c r="NGI1519" s="886"/>
      <c r="NGJ1519" s="886"/>
      <c r="NGK1519" s="886"/>
      <c r="NGL1519" s="886"/>
      <c r="NGM1519" s="886"/>
      <c r="NGN1519" s="886"/>
      <c r="NGO1519" s="886"/>
      <c r="NGP1519" s="886"/>
      <c r="NGQ1519" s="886"/>
      <c r="NGR1519" s="886"/>
      <c r="NGS1519" s="886"/>
      <c r="NGT1519" s="886"/>
      <c r="NGU1519" s="886"/>
      <c r="NGV1519" s="886"/>
      <c r="NGW1519" s="886"/>
      <c r="NGX1519" s="886"/>
      <c r="NGY1519" s="886"/>
      <c r="NGZ1519" s="886"/>
      <c r="NHA1519" s="886"/>
      <c r="NHB1519" s="886"/>
      <c r="NHC1519" s="886"/>
      <c r="NHD1519" s="886"/>
      <c r="NHE1519" s="886"/>
      <c r="NHF1519" s="886"/>
      <c r="NHG1519" s="886"/>
      <c r="NHH1519" s="886"/>
      <c r="NHI1519" s="886"/>
      <c r="NHJ1519" s="886"/>
      <c r="NHK1519" s="886"/>
      <c r="NHL1519" s="886"/>
      <c r="NHM1519" s="886"/>
      <c r="NHN1519" s="886"/>
      <c r="NHO1519" s="886"/>
      <c r="NHP1519" s="886"/>
      <c r="NHQ1519" s="886"/>
      <c r="NHR1519" s="886"/>
      <c r="NHS1519" s="886"/>
      <c r="NHT1519" s="886"/>
      <c r="NHU1519" s="886"/>
      <c r="NHV1519" s="886"/>
      <c r="NHW1519" s="886"/>
      <c r="NHX1519" s="886"/>
      <c r="NHY1519" s="886"/>
      <c r="NHZ1519" s="886"/>
      <c r="NIA1519" s="886"/>
      <c r="NIB1519" s="886"/>
      <c r="NIC1519" s="886"/>
      <c r="NID1519" s="886"/>
      <c r="NIE1519" s="886"/>
      <c r="NIF1519" s="886"/>
      <c r="NIG1519" s="886"/>
      <c r="NIH1519" s="886"/>
      <c r="NII1519" s="886"/>
      <c r="NIJ1519" s="886"/>
      <c r="NIK1519" s="886"/>
      <c r="NIL1519" s="886"/>
      <c r="NIM1519" s="886"/>
      <c r="NIN1519" s="886"/>
      <c r="NIO1519" s="886"/>
      <c r="NIP1519" s="886"/>
      <c r="NIQ1519" s="886"/>
      <c r="NIR1519" s="886"/>
      <c r="NIS1519" s="886"/>
      <c r="NIT1519" s="886"/>
      <c r="NIU1519" s="886"/>
      <c r="NIV1519" s="886"/>
      <c r="NIW1519" s="886"/>
      <c r="NIX1519" s="886"/>
      <c r="NIY1519" s="886"/>
      <c r="NIZ1519" s="886"/>
      <c r="NJA1519" s="886"/>
      <c r="NJB1519" s="886"/>
      <c r="NJC1519" s="886"/>
      <c r="NJD1519" s="886"/>
      <c r="NJE1519" s="886"/>
      <c r="NJF1519" s="886"/>
      <c r="NJG1519" s="886"/>
      <c r="NJH1519" s="886"/>
      <c r="NJI1519" s="886"/>
      <c r="NJJ1519" s="886"/>
      <c r="NJK1519" s="886"/>
      <c r="NJL1519" s="886"/>
      <c r="NJM1519" s="886"/>
      <c r="NJN1519" s="886"/>
      <c r="NJO1519" s="886"/>
      <c r="NJP1519" s="886"/>
      <c r="NJQ1519" s="886"/>
      <c r="NJR1519" s="886"/>
      <c r="NJS1519" s="886"/>
      <c r="NJT1519" s="886"/>
      <c r="NJU1519" s="886"/>
      <c r="NJV1519" s="886"/>
      <c r="NJW1519" s="886"/>
      <c r="NJX1519" s="886"/>
      <c r="NJY1519" s="886"/>
      <c r="NJZ1519" s="886"/>
      <c r="NKA1519" s="886"/>
      <c r="NKB1519" s="886"/>
      <c r="NKC1519" s="886"/>
      <c r="NKD1519" s="886"/>
      <c r="NKE1519" s="886"/>
      <c r="NKF1519" s="886"/>
      <c r="NKG1519" s="886"/>
      <c r="NKH1519" s="886"/>
      <c r="NKI1519" s="886"/>
      <c r="NKJ1519" s="886"/>
      <c r="NKK1519" s="886"/>
      <c r="NKL1519" s="886"/>
      <c r="NKM1519" s="886"/>
      <c r="NKN1519" s="886"/>
      <c r="NKO1519" s="886"/>
      <c r="NKP1519" s="886"/>
      <c r="NKQ1519" s="886"/>
      <c r="NKR1519" s="886"/>
      <c r="NKS1519" s="886"/>
      <c r="NKT1519" s="886"/>
      <c r="NKU1519" s="886"/>
      <c r="NKV1519" s="886"/>
      <c r="NKW1519" s="886"/>
      <c r="NKX1519" s="886"/>
      <c r="NKY1519" s="886"/>
      <c r="NKZ1519" s="886"/>
      <c r="NLA1519" s="886"/>
      <c r="NLB1519" s="886"/>
      <c r="NLC1519" s="886"/>
      <c r="NLD1519" s="886"/>
      <c r="NLE1519" s="886"/>
      <c r="NLF1519" s="886"/>
      <c r="NLG1519" s="886"/>
      <c r="NLH1519" s="886"/>
      <c r="NLI1519" s="886"/>
      <c r="NLJ1519" s="886"/>
      <c r="NLK1519" s="886"/>
      <c r="NLL1519" s="886"/>
      <c r="NLM1519" s="886"/>
      <c r="NLN1519" s="886"/>
      <c r="NLO1519" s="886"/>
      <c r="NLP1519" s="886"/>
      <c r="NLQ1519" s="886"/>
      <c r="NLR1519" s="886"/>
      <c r="NLS1519" s="886"/>
      <c r="NLT1519" s="886"/>
      <c r="NLU1519" s="886"/>
      <c r="NLV1519" s="886"/>
      <c r="NLW1519" s="886"/>
      <c r="NLX1519" s="886"/>
      <c r="NLY1519" s="886"/>
      <c r="NLZ1519" s="886"/>
      <c r="NMA1519" s="886"/>
      <c r="NMB1519" s="886"/>
      <c r="NMC1519" s="886"/>
      <c r="NMD1519" s="886"/>
      <c r="NME1519" s="886"/>
      <c r="NMF1519" s="886"/>
      <c r="NMG1519" s="886"/>
      <c r="NMH1519" s="886"/>
      <c r="NMI1519" s="886"/>
      <c r="NMJ1519" s="886"/>
      <c r="NMK1519" s="886"/>
      <c r="NML1519" s="886"/>
      <c r="NMM1519" s="886"/>
      <c r="NMN1519" s="886"/>
      <c r="NMO1519" s="886"/>
      <c r="NMP1519" s="886"/>
      <c r="NMQ1519" s="886"/>
      <c r="NMR1519" s="886"/>
      <c r="NMS1519" s="886"/>
      <c r="NMT1519" s="886"/>
      <c r="NMU1519" s="886"/>
      <c r="NMV1519" s="886"/>
      <c r="NMW1519" s="886"/>
      <c r="NMX1519" s="886"/>
      <c r="NMY1519" s="886"/>
      <c r="NMZ1519" s="886"/>
      <c r="NNA1519" s="886"/>
      <c r="NNB1519" s="886"/>
      <c r="NNC1519" s="886"/>
      <c r="NND1519" s="886"/>
      <c r="NNE1519" s="886"/>
      <c r="NNF1519" s="886"/>
      <c r="NNG1519" s="886"/>
      <c r="NNH1519" s="886"/>
      <c r="NNI1519" s="886"/>
      <c r="NNJ1519" s="886"/>
      <c r="NNK1519" s="886"/>
      <c r="NNL1519" s="886"/>
      <c r="NNM1519" s="886"/>
      <c r="NNN1519" s="886"/>
      <c r="NNO1519" s="886"/>
      <c r="NNP1519" s="886"/>
      <c r="NNQ1519" s="886"/>
      <c r="NNR1519" s="886"/>
      <c r="NNS1519" s="886"/>
      <c r="NNT1519" s="886"/>
      <c r="NNU1519" s="886"/>
      <c r="NNV1519" s="886"/>
      <c r="NNW1519" s="886"/>
      <c r="NNX1519" s="886"/>
      <c r="NNY1519" s="886"/>
      <c r="NNZ1519" s="886"/>
      <c r="NOA1519" s="886"/>
      <c r="NOB1519" s="886"/>
      <c r="NOC1519" s="886"/>
      <c r="NOD1519" s="886"/>
      <c r="NOE1519" s="886"/>
      <c r="NOF1519" s="886"/>
      <c r="NOG1519" s="886"/>
      <c r="NOH1519" s="886"/>
      <c r="NOI1519" s="886"/>
      <c r="NOJ1519" s="886"/>
      <c r="NOK1519" s="886"/>
      <c r="NOL1519" s="886"/>
      <c r="NOM1519" s="886"/>
      <c r="NON1519" s="886"/>
      <c r="NOO1519" s="886"/>
      <c r="NOP1519" s="886"/>
      <c r="NOQ1519" s="886"/>
      <c r="NOR1519" s="886"/>
      <c r="NOS1519" s="886"/>
      <c r="NOT1519" s="886"/>
      <c r="NOU1519" s="886"/>
      <c r="NOV1519" s="886"/>
      <c r="NOW1519" s="886"/>
      <c r="NOX1519" s="886"/>
      <c r="NOY1519" s="886"/>
      <c r="NOZ1519" s="886"/>
      <c r="NPA1519" s="886"/>
      <c r="NPB1519" s="886"/>
      <c r="NPC1519" s="886"/>
      <c r="NPD1519" s="886"/>
      <c r="NPE1519" s="886"/>
      <c r="NPF1519" s="886"/>
      <c r="NPG1519" s="886"/>
      <c r="NPH1519" s="886"/>
      <c r="NPI1519" s="886"/>
      <c r="NPJ1519" s="886"/>
      <c r="NPK1519" s="886"/>
      <c r="NPL1519" s="886"/>
      <c r="NPM1519" s="886"/>
      <c r="NPN1519" s="886"/>
      <c r="NPO1519" s="886"/>
      <c r="NPP1519" s="886"/>
      <c r="NPQ1519" s="886"/>
      <c r="NPR1519" s="886"/>
      <c r="NPS1519" s="886"/>
      <c r="NPT1519" s="886"/>
      <c r="NPU1519" s="886"/>
      <c r="NPV1519" s="886"/>
      <c r="NPW1519" s="886"/>
      <c r="NPX1519" s="886"/>
      <c r="NPY1519" s="886"/>
      <c r="NPZ1519" s="886"/>
      <c r="NQA1519" s="886"/>
      <c r="NQB1519" s="886"/>
      <c r="NQC1519" s="886"/>
      <c r="NQD1519" s="886"/>
      <c r="NQE1519" s="886"/>
      <c r="NQF1519" s="886"/>
      <c r="NQG1519" s="886"/>
      <c r="NQH1519" s="886"/>
      <c r="NQI1519" s="886"/>
      <c r="NQJ1519" s="886"/>
      <c r="NQK1519" s="886"/>
      <c r="NQL1519" s="886"/>
      <c r="NQM1519" s="886"/>
      <c r="NQN1519" s="886"/>
      <c r="NQO1519" s="886"/>
      <c r="NQP1519" s="886"/>
      <c r="NQQ1519" s="886"/>
      <c r="NQR1519" s="886"/>
      <c r="NQS1519" s="886"/>
      <c r="NQT1519" s="886"/>
      <c r="NQU1519" s="886"/>
      <c r="NQV1519" s="886"/>
      <c r="NQW1519" s="886"/>
      <c r="NQX1519" s="886"/>
      <c r="NQY1519" s="886"/>
      <c r="NQZ1519" s="886"/>
      <c r="NRA1519" s="886"/>
      <c r="NRB1519" s="886"/>
      <c r="NRC1519" s="886"/>
      <c r="NRD1519" s="886"/>
      <c r="NRE1519" s="886"/>
      <c r="NRF1519" s="886"/>
      <c r="NRG1519" s="886"/>
      <c r="NRH1519" s="886"/>
      <c r="NRI1519" s="886"/>
      <c r="NRJ1519" s="886"/>
      <c r="NRK1519" s="886"/>
      <c r="NRL1519" s="886"/>
      <c r="NRM1519" s="886"/>
      <c r="NRN1519" s="886"/>
      <c r="NRO1519" s="886"/>
      <c r="NRP1519" s="886"/>
      <c r="NRQ1519" s="886"/>
      <c r="NRR1519" s="886"/>
      <c r="NRS1519" s="886"/>
      <c r="NRT1519" s="886"/>
      <c r="NRU1519" s="886"/>
      <c r="NRV1519" s="886"/>
      <c r="NRW1519" s="886"/>
      <c r="NRX1519" s="886"/>
      <c r="NRY1519" s="886"/>
      <c r="NRZ1519" s="886"/>
      <c r="NSA1519" s="886"/>
      <c r="NSB1519" s="886"/>
      <c r="NSC1519" s="886"/>
      <c r="NSD1519" s="886"/>
      <c r="NSE1519" s="886"/>
      <c r="NSF1519" s="886"/>
      <c r="NSG1519" s="886"/>
      <c r="NSH1519" s="886"/>
      <c r="NSI1519" s="886"/>
      <c r="NSJ1519" s="886"/>
      <c r="NSK1519" s="886"/>
      <c r="NSL1519" s="886"/>
      <c r="NSM1519" s="886"/>
      <c r="NSN1519" s="886"/>
      <c r="NSO1519" s="886"/>
      <c r="NSP1519" s="886"/>
      <c r="NSQ1519" s="886"/>
      <c r="NSR1519" s="886"/>
      <c r="NSS1519" s="886"/>
      <c r="NST1519" s="886"/>
      <c r="NSU1519" s="886"/>
      <c r="NSV1519" s="886"/>
      <c r="NSW1519" s="886"/>
      <c r="NSX1519" s="886"/>
      <c r="NSY1519" s="886"/>
      <c r="NSZ1519" s="886"/>
      <c r="NTA1519" s="886"/>
      <c r="NTB1519" s="886"/>
      <c r="NTC1519" s="886"/>
      <c r="NTD1519" s="886"/>
      <c r="NTE1519" s="886"/>
      <c r="NTF1519" s="886"/>
      <c r="NTG1519" s="886"/>
      <c r="NTH1519" s="886"/>
      <c r="NTI1519" s="886"/>
      <c r="NTJ1519" s="886"/>
      <c r="NTK1519" s="886"/>
      <c r="NTL1519" s="886"/>
      <c r="NTM1519" s="886"/>
      <c r="NTN1519" s="886"/>
      <c r="NTO1519" s="886"/>
      <c r="NTP1519" s="886"/>
      <c r="NTQ1519" s="886"/>
      <c r="NTR1519" s="886"/>
      <c r="NTS1519" s="886"/>
      <c r="NTT1519" s="886"/>
      <c r="NTU1519" s="886"/>
      <c r="NTV1519" s="886"/>
      <c r="NTW1519" s="886"/>
      <c r="NTX1519" s="886"/>
      <c r="NTY1519" s="886"/>
      <c r="NTZ1519" s="886"/>
      <c r="NUA1519" s="886"/>
      <c r="NUB1519" s="886"/>
      <c r="NUC1519" s="886"/>
      <c r="NUD1519" s="886"/>
      <c r="NUE1519" s="886"/>
      <c r="NUF1519" s="886"/>
      <c r="NUG1519" s="886"/>
      <c r="NUH1519" s="886"/>
      <c r="NUI1519" s="886"/>
      <c r="NUJ1519" s="886"/>
      <c r="NUK1519" s="886"/>
      <c r="NUL1519" s="886"/>
      <c r="NUM1519" s="886"/>
      <c r="NUN1519" s="886"/>
      <c r="NUO1519" s="886"/>
      <c r="NUP1519" s="886"/>
      <c r="NUQ1519" s="886"/>
      <c r="NUR1519" s="886"/>
      <c r="NUS1519" s="886"/>
      <c r="NUT1519" s="886"/>
      <c r="NUU1519" s="886"/>
      <c r="NUV1519" s="886"/>
      <c r="NUW1519" s="886"/>
      <c r="NUX1519" s="886"/>
      <c r="NUY1519" s="886"/>
      <c r="NUZ1519" s="886"/>
      <c r="NVA1519" s="886"/>
      <c r="NVB1519" s="886"/>
      <c r="NVC1519" s="886"/>
      <c r="NVD1519" s="886"/>
      <c r="NVE1519" s="886"/>
      <c r="NVF1519" s="886"/>
      <c r="NVG1519" s="886"/>
      <c r="NVH1519" s="886"/>
      <c r="NVI1519" s="886"/>
      <c r="NVJ1519" s="886"/>
      <c r="NVK1519" s="886"/>
      <c r="NVL1519" s="886"/>
      <c r="NVM1519" s="886"/>
      <c r="NVN1519" s="886"/>
      <c r="NVO1519" s="886"/>
      <c r="NVP1519" s="886"/>
      <c r="NVQ1519" s="886"/>
      <c r="NVR1519" s="886"/>
      <c r="NVS1519" s="886"/>
      <c r="NVT1519" s="886"/>
      <c r="NVU1519" s="886"/>
      <c r="NVV1519" s="886"/>
      <c r="NVW1519" s="886"/>
      <c r="NVX1519" s="886"/>
      <c r="NVY1519" s="886"/>
      <c r="NVZ1519" s="886"/>
      <c r="NWA1519" s="886"/>
      <c r="NWB1519" s="886"/>
      <c r="NWC1519" s="886"/>
      <c r="NWD1519" s="886"/>
      <c r="NWE1519" s="886"/>
      <c r="NWF1519" s="886"/>
      <c r="NWG1519" s="886"/>
      <c r="NWH1519" s="886"/>
      <c r="NWI1519" s="886"/>
      <c r="NWJ1519" s="886"/>
      <c r="NWK1519" s="886"/>
      <c r="NWL1519" s="886"/>
      <c r="NWM1519" s="886"/>
      <c r="NWN1519" s="886"/>
      <c r="NWO1519" s="886"/>
      <c r="NWP1519" s="886"/>
      <c r="NWQ1519" s="886"/>
      <c r="NWR1519" s="886"/>
      <c r="NWS1519" s="886"/>
      <c r="NWT1519" s="886"/>
      <c r="NWU1519" s="886"/>
      <c r="NWV1519" s="886"/>
      <c r="NWW1519" s="886"/>
      <c r="NWX1519" s="886"/>
      <c r="NWY1519" s="886"/>
      <c r="NWZ1519" s="886"/>
      <c r="NXA1519" s="886"/>
      <c r="NXB1519" s="886"/>
      <c r="NXC1519" s="886"/>
      <c r="NXD1519" s="886"/>
      <c r="NXE1519" s="886"/>
      <c r="NXF1519" s="886"/>
      <c r="NXG1519" s="886"/>
      <c r="NXH1519" s="886"/>
      <c r="NXI1519" s="886"/>
      <c r="NXJ1519" s="886"/>
      <c r="NXK1519" s="886"/>
      <c r="NXL1519" s="886"/>
      <c r="NXM1519" s="886"/>
      <c r="NXN1519" s="886"/>
      <c r="NXO1519" s="886"/>
      <c r="NXP1519" s="886"/>
      <c r="NXQ1519" s="886"/>
      <c r="NXR1519" s="886"/>
      <c r="NXS1519" s="886"/>
      <c r="NXT1519" s="886"/>
      <c r="NXU1519" s="886"/>
      <c r="NXV1519" s="886"/>
      <c r="NXW1519" s="886"/>
      <c r="NXX1519" s="886"/>
      <c r="NXY1519" s="886"/>
      <c r="NXZ1519" s="886"/>
      <c r="NYA1519" s="886"/>
      <c r="NYB1519" s="886"/>
      <c r="NYC1519" s="886"/>
      <c r="NYD1519" s="886"/>
      <c r="NYE1519" s="886"/>
      <c r="NYF1519" s="886"/>
      <c r="NYG1519" s="886"/>
      <c r="NYH1519" s="886"/>
      <c r="NYI1519" s="886"/>
      <c r="NYJ1519" s="886"/>
      <c r="NYK1519" s="886"/>
      <c r="NYL1519" s="886"/>
      <c r="NYM1519" s="886"/>
      <c r="NYN1519" s="886"/>
      <c r="NYO1519" s="886"/>
      <c r="NYP1519" s="886"/>
      <c r="NYQ1519" s="886"/>
      <c r="NYR1519" s="886"/>
      <c r="NYS1519" s="886"/>
      <c r="NYT1519" s="886"/>
      <c r="NYU1519" s="886"/>
      <c r="NYV1519" s="886"/>
      <c r="NYW1519" s="886"/>
      <c r="NYX1519" s="886"/>
      <c r="NYY1519" s="886"/>
      <c r="NYZ1519" s="886"/>
      <c r="NZA1519" s="886"/>
      <c r="NZB1519" s="886"/>
      <c r="NZC1519" s="886"/>
      <c r="NZD1519" s="886"/>
      <c r="NZE1519" s="886"/>
      <c r="NZF1519" s="886"/>
      <c r="NZG1519" s="886"/>
      <c r="NZH1519" s="886"/>
      <c r="NZI1519" s="886"/>
      <c r="NZJ1519" s="886"/>
      <c r="NZK1519" s="886"/>
      <c r="NZL1519" s="886"/>
      <c r="NZM1519" s="886"/>
      <c r="NZN1519" s="886"/>
      <c r="NZO1519" s="886"/>
      <c r="NZP1519" s="886"/>
      <c r="NZQ1519" s="886"/>
      <c r="NZR1519" s="886"/>
      <c r="NZS1519" s="886"/>
      <c r="NZT1519" s="886"/>
      <c r="NZU1519" s="886"/>
      <c r="NZV1519" s="886"/>
      <c r="NZW1519" s="886"/>
      <c r="NZX1519" s="886"/>
      <c r="NZY1519" s="886"/>
      <c r="NZZ1519" s="886"/>
      <c r="OAA1519" s="886"/>
      <c r="OAB1519" s="886"/>
      <c r="OAC1519" s="886"/>
      <c r="OAD1519" s="886"/>
      <c r="OAE1519" s="886"/>
      <c r="OAF1519" s="886"/>
      <c r="OAG1519" s="886"/>
      <c r="OAH1519" s="886"/>
      <c r="OAI1519" s="886"/>
      <c r="OAJ1519" s="886"/>
      <c r="OAK1519" s="886"/>
      <c r="OAL1519" s="886"/>
      <c r="OAM1519" s="886"/>
      <c r="OAN1519" s="886"/>
      <c r="OAO1519" s="886"/>
      <c r="OAP1519" s="886"/>
      <c r="OAQ1519" s="886"/>
      <c r="OAR1519" s="886"/>
      <c r="OAS1519" s="886"/>
      <c r="OAT1519" s="886"/>
      <c r="OAU1519" s="886"/>
      <c r="OAV1519" s="886"/>
      <c r="OAW1519" s="886"/>
      <c r="OAX1519" s="886"/>
      <c r="OAY1519" s="886"/>
      <c r="OAZ1519" s="886"/>
      <c r="OBA1519" s="886"/>
      <c r="OBB1519" s="886"/>
      <c r="OBC1519" s="886"/>
      <c r="OBD1519" s="886"/>
      <c r="OBE1519" s="886"/>
      <c r="OBF1519" s="886"/>
      <c r="OBG1519" s="886"/>
      <c r="OBH1519" s="886"/>
      <c r="OBI1519" s="886"/>
      <c r="OBJ1519" s="886"/>
      <c r="OBK1519" s="886"/>
      <c r="OBL1519" s="886"/>
      <c r="OBM1519" s="886"/>
      <c r="OBN1519" s="886"/>
      <c r="OBO1519" s="886"/>
      <c r="OBP1519" s="886"/>
      <c r="OBQ1519" s="886"/>
      <c r="OBR1519" s="886"/>
      <c r="OBS1519" s="886"/>
      <c r="OBT1519" s="886"/>
      <c r="OBU1519" s="886"/>
      <c r="OBV1519" s="886"/>
      <c r="OBW1519" s="886"/>
      <c r="OBX1519" s="886"/>
      <c r="OBY1519" s="886"/>
      <c r="OBZ1519" s="886"/>
      <c r="OCA1519" s="886"/>
      <c r="OCB1519" s="886"/>
      <c r="OCC1519" s="886"/>
      <c r="OCD1519" s="886"/>
      <c r="OCE1519" s="886"/>
      <c r="OCF1519" s="886"/>
      <c r="OCG1519" s="886"/>
      <c r="OCH1519" s="886"/>
      <c r="OCI1519" s="886"/>
      <c r="OCJ1519" s="886"/>
      <c r="OCK1519" s="886"/>
      <c r="OCL1519" s="886"/>
      <c r="OCM1519" s="886"/>
      <c r="OCN1519" s="886"/>
      <c r="OCO1519" s="886"/>
      <c r="OCP1519" s="886"/>
      <c r="OCQ1519" s="886"/>
      <c r="OCR1519" s="886"/>
      <c r="OCS1519" s="886"/>
      <c r="OCT1519" s="886"/>
      <c r="OCU1519" s="886"/>
      <c r="OCV1519" s="886"/>
      <c r="OCW1519" s="886"/>
      <c r="OCX1519" s="886"/>
      <c r="OCY1519" s="886"/>
      <c r="OCZ1519" s="886"/>
      <c r="ODA1519" s="886"/>
      <c r="ODB1519" s="886"/>
      <c r="ODC1519" s="886"/>
      <c r="ODD1519" s="886"/>
      <c r="ODE1519" s="886"/>
      <c r="ODF1519" s="886"/>
      <c r="ODG1519" s="886"/>
      <c r="ODH1519" s="886"/>
      <c r="ODI1519" s="886"/>
      <c r="ODJ1519" s="886"/>
      <c r="ODK1519" s="886"/>
      <c r="ODL1519" s="886"/>
      <c r="ODM1519" s="886"/>
      <c r="ODN1519" s="886"/>
      <c r="ODO1519" s="886"/>
      <c r="ODP1519" s="886"/>
      <c r="ODQ1519" s="886"/>
      <c r="ODR1519" s="886"/>
      <c r="ODS1519" s="886"/>
      <c r="ODT1519" s="886"/>
      <c r="ODU1519" s="886"/>
      <c r="ODV1519" s="886"/>
      <c r="ODW1519" s="886"/>
      <c r="ODX1519" s="886"/>
      <c r="ODY1519" s="886"/>
      <c r="ODZ1519" s="886"/>
      <c r="OEA1519" s="886"/>
      <c r="OEB1519" s="886"/>
      <c r="OEC1519" s="886"/>
      <c r="OED1519" s="886"/>
      <c r="OEE1519" s="886"/>
      <c r="OEF1519" s="886"/>
      <c r="OEG1519" s="886"/>
      <c r="OEH1519" s="886"/>
      <c r="OEI1519" s="886"/>
      <c r="OEJ1519" s="886"/>
      <c r="OEK1519" s="886"/>
      <c r="OEL1519" s="886"/>
      <c r="OEM1519" s="886"/>
      <c r="OEN1519" s="886"/>
      <c r="OEO1519" s="886"/>
      <c r="OEP1519" s="886"/>
      <c r="OEQ1519" s="886"/>
      <c r="OER1519" s="886"/>
      <c r="OES1519" s="886"/>
      <c r="OET1519" s="886"/>
      <c r="OEU1519" s="886"/>
      <c r="OEV1519" s="886"/>
      <c r="OEW1519" s="886"/>
      <c r="OEX1519" s="886"/>
      <c r="OEY1519" s="886"/>
      <c r="OEZ1519" s="886"/>
      <c r="OFA1519" s="886"/>
      <c r="OFB1519" s="886"/>
      <c r="OFC1519" s="886"/>
      <c r="OFD1519" s="886"/>
      <c r="OFE1519" s="886"/>
      <c r="OFF1519" s="886"/>
      <c r="OFG1519" s="886"/>
      <c r="OFH1519" s="886"/>
      <c r="OFI1519" s="886"/>
      <c r="OFJ1519" s="886"/>
      <c r="OFK1519" s="886"/>
      <c r="OFL1519" s="886"/>
      <c r="OFM1519" s="886"/>
      <c r="OFN1519" s="886"/>
      <c r="OFO1519" s="886"/>
      <c r="OFP1519" s="886"/>
      <c r="OFQ1519" s="886"/>
      <c r="OFR1519" s="886"/>
      <c r="OFS1519" s="886"/>
      <c r="OFT1519" s="886"/>
      <c r="OFU1519" s="886"/>
      <c r="OFV1519" s="886"/>
      <c r="OFW1519" s="886"/>
      <c r="OFX1519" s="886"/>
      <c r="OFY1519" s="886"/>
      <c r="OFZ1519" s="886"/>
      <c r="OGA1519" s="886"/>
      <c r="OGB1519" s="886"/>
      <c r="OGC1519" s="886"/>
      <c r="OGD1519" s="886"/>
      <c r="OGE1519" s="886"/>
      <c r="OGF1519" s="886"/>
      <c r="OGG1519" s="886"/>
      <c r="OGH1519" s="886"/>
      <c r="OGI1519" s="886"/>
      <c r="OGJ1519" s="886"/>
      <c r="OGK1519" s="886"/>
      <c r="OGL1519" s="886"/>
      <c r="OGM1519" s="886"/>
      <c r="OGN1519" s="886"/>
      <c r="OGO1519" s="886"/>
      <c r="OGP1519" s="886"/>
      <c r="OGQ1519" s="886"/>
      <c r="OGR1519" s="886"/>
      <c r="OGS1519" s="886"/>
      <c r="OGT1519" s="886"/>
      <c r="OGU1519" s="886"/>
      <c r="OGV1519" s="886"/>
      <c r="OGW1519" s="886"/>
      <c r="OGX1519" s="886"/>
      <c r="OGY1519" s="886"/>
      <c r="OGZ1519" s="886"/>
      <c r="OHA1519" s="886"/>
      <c r="OHB1519" s="886"/>
      <c r="OHC1519" s="886"/>
      <c r="OHD1519" s="886"/>
      <c r="OHE1519" s="886"/>
      <c r="OHF1519" s="886"/>
      <c r="OHG1519" s="886"/>
      <c r="OHH1519" s="886"/>
      <c r="OHI1519" s="886"/>
      <c r="OHJ1519" s="886"/>
      <c r="OHK1519" s="886"/>
      <c r="OHL1519" s="886"/>
      <c r="OHM1519" s="886"/>
      <c r="OHN1519" s="886"/>
      <c r="OHO1519" s="886"/>
      <c r="OHP1519" s="886"/>
      <c r="OHQ1519" s="886"/>
      <c r="OHR1519" s="886"/>
      <c r="OHS1519" s="886"/>
      <c r="OHT1519" s="886"/>
      <c r="OHU1519" s="886"/>
      <c r="OHV1519" s="886"/>
      <c r="OHW1519" s="886"/>
      <c r="OHX1519" s="886"/>
      <c r="OHY1519" s="886"/>
      <c r="OHZ1519" s="886"/>
      <c r="OIA1519" s="886"/>
      <c r="OIB1519" s="886"/>
      <c r="OIC1519" s="886"/>
      <c r="OID1519" s="886"/>
      <c r="OIE1519" s="886"/>
      <c r="OIF1519" s="886"/>
      <c r="OIG1519" s="886"/>
      <c r="OIH1519" s="886"/>
      <c r="OII1519" s="886"/>
      <c r="OIJ1519" s="886"/>
      <c r="OIK1519" s="886"/>
      <c r="OIL1519" s="886"/>
      <c r="OIM1519" s="886"/>
      <c r="OIN1519" s="886"/>
      <c r="OIO1519" s="886"/>
      <c r="OIP1519" s="886"/>
      <c r="OIQ1519" s="886"/>
      <c r="OIR1519" s="886"/>
      <c r="OIS1519" s="886"/>
      <c r="OIT1519" s="886"/>
      <c r="OIU1519" s="886"/>
      <c r="OIV1519" s="886"/>
      <c r="OIW1519" s="886"/>
      <c r="OIX1519" s="886"/>
      <c r="OIY1519" s="886"/>
      <c r="OIZ1519" s="886"/>
      <c r="OJA1519" s="886"/>
      <c r="OJB1519" s="886"/>
      <c r="OJC1519" s="886"/>
      <c r="OJD1519" s="886"/>
      <c r="OJE1519" s="886"/>
      <c r="OJF1519" s="886"/>
      <c r="OJG1519" s="886"/>
      <c r="OJH1519" s="886"/>
      <c r="OJI1519" s="886"/>
      <c r="OJJ1519" s="886"/>
      <c r="OJK1519" s="886"/>
      <c r="OJL1519" s="886"/>
      <c r="OJM1519" s="886"/>
      <c r="OJN1519" s="886"/>
      <c r="OJO1519" s="886"/>
      <c r="OJP1519" s="886"/>
      <c r="OJQ1519" s="886"/>
      <c r="OJR1519" s="886"/>
      <c r="OJS1519" s="886"/>
      <c r="OJT1519" s="886"/>
      <c r="OJU1519" s="886"/>
      <c r="OJV1519" s="886"/>
      <c r="OJW1519" s="886"/>
      <c r="OJX1519" s="886"/>
      <c r="OJY1519" s="886"/>
      <c r="OJZ1519" s="886"/>
      <c r="OKA1519" s="886"/>
      <c r="OKB1519" s="886"/>
      <c r="OKC1519" s="886"/>
      <c r="OKD1519" s="886"/>
      <c r="OKE1519" s="886"/>
      <c r="OKF1519" s="886"/>
      <c r="OKG1519" s="886"/>
      <c r="OKH1519" s="886"/>
      <c r="OKI1519" s="886"/>
      <c r="OKJ1519" s="886"/>
      <c r="OKK1519" s="886"/>
      <c r="OKL1519" s="886"/>
      <c r="OKM1519" s="886"/>
      <c r="OKN1519" s="886"/>
      <c r="OKO1519" s="886"/>
      <c r="OKP1519" s="886"/>
      <c r="OKQ1519" s="886"/>
      <c r="OKR1519" s="886"/>
      <c r="OKS1519" s="886"/>
      <c r="OKT1519" s="886"/>
      <c r="OKU1519" s="886"/>
      <c r="OKV1519" s="886"/>
      <c r="OKW1519" s="886"/>
      <c r="OKX1519" s="886"/>
      <c r="OKY1519" s="886"/>
      <c r="OKZ1519" s="886"/>
      <c r="OLA1519" s="886"/>
      <c r="OLB1519" s="886"/>
      <c r="OLC1519" s="886"/>
      <c r="OLD1519" s="886"/>
      <c r="OLE1519" s="886"/>
      <c r="OLF1519" s="886"/>
      <c r="OLG1519" s="886"/>
      <c r="OLH1519" s="886"/>
      <c r="OLI1519" s="886"/>
      <c r="OLJ1519" s="886"/>
      <c r="OLK1519" s="886"/>
      <c r="OLL1519" s="886"/>
      <c r="OLM1519" s="886"/>
      <c r="OLN1519" s="886"/>
      <c r="OLO1519" s="886"/>
      <c r="OLP1519" s="886"/>
      <c r="OLQ1519" s="886"/>
      <c r="OLR1519" s="886"/>
      <c r="OLS1519" s="886"/>
      <c r="OLT1519" s="886"/>
      <c r="OLU1519" s="886"/>
      <c r="OLV1519" s="886"/>
      <c r="OLW1519" s="886"/>
      <c r="OLX1519" s="886"/>
      <c r="OLY1519" s="886"/>
      <c r="OLZ1519" s="886"/>
      <c r="OMA1519" s="886"/>
      <c r="OMB1519" s="886"/>
      <c r="OMC1519" s="886"/>
      <c r="OMD1519" s="886"/>
      <c r="OME1519" s="886"/>
      <c r="OMF1519" s="886"/>
      <c r="OMG1519" s="886"/>
      <c r="OMH1519" s="886"/>
      <c r="OMI1519" s="886"/>
      <c r="OMJ1519" s="886"/>
      <c r="OMK1519" s="886"/>
      <c r="OML1519" s="886"/>
      <c r="OMM1519" s="886"/>
      <c r="OMN1519" s="886"/>
      <c r="OMO1519" s="886"/>
      <c r="OMP1519" s="886"/>
      <c r="OMQ1519" s="886"/>
      <c r="OMR1519" s="886"/>
      <c r="OMS1519" s="886"/>
      <c r="OMT1519" s="886"/>
      <c r="OMU1519" s="886"/>
      <c r="OMV1519" s="886"/>
      <c r="OMW1519" s="886"/>
      <c r="OMX1519" s="886"/>
      <c r="OMY1519" s="886"/>
      <c r="OMZ1519" s="886"/>
      <c r="ONA1519" s="886"/>
      <c r="ONB1519" s="886"/>
      <c r="ONC1519" s="886"/>
      <c r="OND1519" s="886"/>
      <c r="ONE1519" s="886"/>
      <c r="ONF1519" s="886"/>
      <c r="ONG1519" s="886"/>
      <c r="ONH1519" s="886"/>
      <c r="ONI1519" s="886"/>
      <c r="ONJ1519" s="886"/>
      <c r="ONK1519" s="886"/>
      <c r="ONL1519" s="886"/>
      <c r="ONM1519" s="886"/>
      <c r="ONN1519" s="886"/>
      <c r="ONO1519" s="886"/>
      <c r="ONP1519" s="886"/>
      <c r="ONQ1519" s="886"/>
      <c r="ONR1519" s="886"/>
      <c r="ONS1519" s="886"/>
      <c r="ONT1519" s="886"/>
      <c r="ONU1519" s="886"/>
      <c r="ONV1519" s="886"/>
      <c r="ONW1519" s="886"/>
      <c r="ONX1519" s="886"/>
      <c r="ONY1519" s="886"/>
      <c r="ONZ1519" s="886"/>
      <c r="OOA1519" s="886"/>
      <c r="OOB1519" s="886"/>
      <c r="OOC1519" s="886"/>
      <c r="OOD1519" s="886"/>
      <c r="OOE1519" s="886"/>
      <c r="OOF1519" s="886"/>
      <c r="OOG1519" s="886"/>
      <c r="OOH1519" s="886"/>
      <c r="OOI1519" s="886"/>
      <c r="OOJ1519" s="886"/>
      <c r="OOK1519" s="886"/>
      <c r="OOL1519" s="886"/>
      <c r="OOM1519" s="886"/>
      <c r="OON1519" s="886"/>
      <c r="OOO1519" s="886"/>
      <c r="OOP1519" s="886"/>
      <c r="OOQ1519" s="886"/>
      <c r="OOR1519" s="886"/>
      <c r="OOS1519" s="886"/>
      <c r="OOT1519" s="886"/>
      <c r="OOU1519" s="886"/>
      <c r="OOV1519" s="886"/>
      <c r="OOW1519" s="886"/>
      <c r="OOX1519" s="886"/>
      <c r="OOY1519" s="886"/>
      <c r="OOZ1519" s="886"/>
      <c r="OPA1519" s="886"/>
      <c r="OPB1519" s="886"/>
      <c r="OPC1519" s="886"/>
      <c r="OPD1519" s="886"/>
      <c r="OPE1519" s="886"/>
      <c r="OPF1519" s="886"/>
      <c r="OPG1519" s="886"/>
      <c r="OPH1519" s="886"/>
      <c r="OPI1519" s="886"/>
      <c r="OPJ1519" s="886"/>
      <c r="OPK1519" s="886"/>
      <c r="OPL1519" s="886"/>
      <c r="OPM1519" s="886"/>
      <c r="OPN1519" s="886"/>
      <c r="OPO1519" s="886"/>
      <c r="OPP1519" s="886"/>
      <c r="OPQ1519" s="886"/>
      <c r="OPR1519" s="886"/>
      <c r="OPS1519" s="886"/>
      <c r="OPT1519" s="886"/>
      <c r="OPU1519" s="886"/>
      <c r="OPV1519" s="886"/>
      <c r="OPW1519" s="886"/>
      <c r="OPX1519" s="886"/>
      <c r="OPY1519" s="886"/>
      <c r="OPZ1519" s="886"/>
      <c r="OQA1519" s="886"/>
      <c r="OQB1519" s="886"/>
      <c r="OQC1519" s="886"/>
      <c r="OQD1519" s="886"/>
      <c r="OQE1519" s="886"/>
      <c r="OQF1519" s="886"/>
      <c r="OQG1519" s="886"/>
      <c r="OQH1519" s="886"/>
      <c r="OQI1519" s="886"/>
      <c r="OQJ1519" s="886"/>
      <c r="OQK1519" s="886"/>
      <c r="OQL1519" s="886"/>
      <c r="OQM1519" s="886"/>
      <c r="OQN1519" s="886"/>
      <c r="OQO1519" s="886"/>
      <c r="OQP1519" s="886"/>
      <c r="OQQ1519" s="886"/>
      <c r="OQR1519" s="886"/>
      <c r="OQS1519" s="886"/>
      <c r="OQT1519" s="886"/>
      <c r="OQU1519" s="886"/>
      <c r="OQV1519" s="886"/>
      <c r="OQW1519" s="886"/>
      <c r="OQX1519" s="886"/>
      <c r="OQY1519" s="886"/>
      <c r="OQZ1519" s="886"/>
      <c r="ORA1519" s="886"/>
      <c r="ORB1519" s="886"/>
      <c r="ORC1519" s="886"/>
      <c r="ORD1519" s="886"/>
      <c r="ORE1519" s="886"/>
      <c r="ORF1519" s="886"/>
      <c r="ORG1519" s="886"/>
      <c r="ORH1519" s="886"/>
      <c r="ORI1519" s="886"/>
      <c r="ORJ1519" s="886"/>
      <c r="ORK1519" s="886"/>
      <c r="ORL1519" s="886"/>
      <c r="ORM1519" s="886"/>
      <c r="ORN1519" s="886"/>
      <c r="ORO1519" s="886"/>
      <c r="ORP1519" s="886"/>
      <c r="ORQ1519" s="886"/>
      <c r="ORR1519" s="886"/>
      <c r="ORS1519" s="886"/>
      <c r="ORT1519" s="886"/>
      <c r="ORU1519" s="886"/>
      <c r="ORV1519" s="886"/>
      <c r="ORW1519" s="886"/>
      <c r="ORX1519" s="886"/>
      <c r="ORY1519" s="886"/>
      <c r="ORZ1519" s="886"/>
      <c r="OSA1519" s="886"/>
      <c r="OSB1519" s="886"/>
      <c r="OSC1519" s="886"/>
      <c r="OSD1519" s="886"/>
      <c r="OSE1519" s="886"/>
      <c r="OSF1519" s="886"/>
      <c r="OSG1519" s="886"/>
      <c r="OSH1519" s="886"/>
      <c r="OSI1519" s="886"/>
      <c r="OSJ1519" s="886"/>
      <c r="OSK1519" s="886"/>
      <c r="OSL1519" s="886"/>
      <c r="OSM1519" s="886"/>
      <c r="OSN1519" s="886"/>
      <c r="OSO1519" s="886"/>
      <c r="OSP1519" s="886"/>
      <c r="OSQ1519" s="886"/>
      <c r="OSR1519" s="886"/>
      <c r="OSS1519" s="886"/>
      <c r="OST1519" s="886"/>
      <c r="OSU1519" s="886"/>
      <c r="OSV1519" s="886"/>
      <c r="OSW1519" s="886"/>
      <c r="OSX1519" s="886"/>
      <c r="OSY1519" s="886"/>
      <c r="OSZ1519" s="886"/>
      <c r="OTA1519" s="886"/>
      <c r="OTB1519" s="886"/>
      <c r="OTC1519" s="886"/>
      <c r="OTD1519" s="886"/>
      <c r="OTE1519" s="886"/>
      <c r="OTF1519" s="886"/>
      <c r="OTG1519" s="886"/>
      <c r="OTH1519" s="886"/>
      <c r="OTI1519" s="886"/>
      <c r="OTJ1519" s="886"/>
      <c r="OTK1519" s="886"/>
      <c r="OTL1519" s="886"/>
      <c r="OTM1519" s="886"/>
      <c r="OTN1519" s="886"/>
      <c r="OTO1519" s="886"/>
      <c r="OTP1519" s="886"/>
      <c r="OTQ1519" s="886"/>
      <c r="OTR1519" s="886"/>
      <c r="OTS1519" s="886"/>
      <c r="OTT1519" s="886"/>
      <c r="OTU1519" s="886"/>
      <c r="OTV1519" s="886"/>
      <c r="OTW1519" s="886"/>
      <c r="OTX1519" s="886"/>
      <c r="OTY1519" s="886"/>
      <c r="OTZ1519" s="886"/>
      <c r="OUA1519" s="886"/>
      <c r="OUB1519" s="886"/>
      <c r="OUC1519" s="886"/>
      <c r="OUD1519" s="886"/>
      <c r="OUE1519" s="886"/>
      <c r="OUF1519" s="886"/>
      <c r="OUG1519" s="886"/>
      <c r="OUH1519" s="886"/>
      <c r="OUI1519" s="886"/>
      <c r="OUJ1519" s="886"/>
      <c r="OUK1519" s="886"/>
      <c r="OUL1519" s="886"/>
      <c r="OUM1519" s="886"/>
      <c r="OUN1519" s="886"/>
      <c r="OUO1519" s="886"/>
      <c r="OUP1519" s="886"/>
      <c r="OUQ1519" s="886"/>
      <c r="OUR1519" s="886"/>
      <c r="OUS1519" s="886"/>
      <c r="OUT1519" s="886"/>
      <c r="OUU1519" s="886"/>
      <c r="OUV1519" s="886"/>
      <c r="OUW1519" s="886"/>
      <c r="OUX1519" s="886"/>
      <c r="OUY1519" s="886"/>
      <c r="OUZ1519" s="886"/>
      <c r="OVA1519" s="886"/>
      <c r="OVB1519" s="886"/>
      <c r="OVC1519" s="886"/>
      <c r="OVD1519" s="886"/>
      <c r="OVE1519" s="886"/>
      <c r="OVF1519" s="886"/>
      <c r="OVG1519" s="886"/>
      <c r="OVH1519" s="886"/>
      <c r="OVI1519" s="886"/>
      <c r="OVJ1519" s="886"/>
      <c r="OVK1519" s="886"/>
      <c r="OVL1519" s="886"/>
      <c r="OVM1519" s="886"/>
      <c r="OVN1519" s="886"/>
      <c r="OVO1519" s="886"/>
      <c r="OVP1519" s="886"/>
      <c r="OVQ1519" s="886"/>
      <c r="OVR1519" s="886"/>
      <c r="OVS1519" s="886"/>
      <c r="OVT1519" s="886"/>
      <c r="OVU1519" s="886"/>
      <c r="OVV1519" s="886"/>
      <c r="OVW1519" s="886"/>
      <c r="OVX1519" s="886"/>
      <c r="OVY1519" s="886"/>
      <c r="OVZ1519" s="886"/>
      <c r="OWA1519" s="886"/>
      <c r="OWB1519" s="886"/>
      <c r="OWC1519" s="886"/>
      <c r="OWD1519" s="886"/>
      <c r="OWE1519" s="886"/>
      <c r="OWF1519" s="886"/>
      <c r="OWG1519" s="886"/>
      <c r="OWH1519" s="886"/>
      <c r="OWI1519" s="886"/>
      <c r="OWJ1519" s="886"/>
      <c r="OWK1519" s="886"/>
      <c r="OWL1519" s="886"/>
      <c r="OWM1519" s="886"/>
      <c r="OWN1519" s="886"/>
      <c r="OWO1519" s="886"/>
      <c r="OWP1519" s="886"/>
      <c r="OWQ1519" s="886"/>
      <c r="OWR1519" s="886"/>
      <c r="OWS1519" s="886"/>
      <c r="OWT1519" s="886"/>
      <c r="OWU1519" s="886"/>
      <c r="OWV1519" s="886"/>
      <c r="OWW1519" s="886"/>
      <c r="OWX1519" s="886"/>
      <c r="OWY1519" s="886"/>
      <c r="OWZ1519" s="886"/>
      <c r="OXA1519" s="886"/>
      <c r="OXB1519" s="886"/>
      <c r="OXC1519" s="886"/>
      <c r="OXD1519" s="886"/>
      <c r="OXE1519" s="886"/>
      <c r="OXF1519" s="886"/>
      <c r="OXG1519" s="886"/>
      <c r="OXH1519" s="886"/>
      <c r="OXI1519" s="886"/>
      <c r="OXJ1519" s="886"/>
      <c r="OXK1519" s="886"/>
      <c r="OXL1519" s="886"/>
      <c r="OXM1519" s="886"/>
      <c r="OXN1519" s="886"/>
      <c r="OXO1519" s="886"/>
      <c r="OXP1519" s="886"/>
      <c r="OXQ1519" s="886"/>
      <c r="OXR1519" s="886"/>
      <c r="OXS1519" s="886"/>
      <c r="OXT1519" s="886"/>
      <c r="OXU1519" s="886"/>
      <c r="OXV1519" s="886"/>
      <c r="OXW1519" s="886"/>
      <c r="OXX1519" s="886"/>
      <c r="OXY1519" s="886"/>
      <c r="OXZ1519" s="886"/>
      <c r="OYA1519" s="886"/>
      <c r="OYB1519" s="886"/>
      <c r="OYC1519" s="886"/>
      <c r="OYD1519" s="886"/>
      <c r="OYE1519" s="886"/>
      <c r="OYF1519" s="886"/>
      <c r="OYG1519" s="886"/>
      <c r="OYH1519" s="886"/>
      <c r="OYI1519" s="886"/>
      <c r="OYJ1519" s="886"/>
      <c r="OYK1519" s="886"/>
      <c r="OYL1519" s="886"/>
      <c r="OYM1519" s="886"/>
      <c r="OYN1519" s="886"/>
      <c r="OYO1519" s="886"/>
      <c r="OYP1519" s="886"/>
      <c r="OYQ1519" s="886"/>
      <c r="OYR1519" s="886"/>
      <c r="OYS1519" s="886"/>
      <c r="OYT1519" s="886"/>
      <c r="OYU1519" s="886"/>
      <c r="OYV1519" s="886"/>
      <c r="OYW1519" s="886"/>
      <c r="OYX1519" s="886"/>
      <c r="OYY1519" s="886"/>
      <c r="OYZ1519" s="886"/>
      <c r="OZA1519" s="886"/>
      <c r="OZB1519" s="886"/>
      <c r="OZC1519" s="886"/>
      <c r="OZD1519" s="886"/>
      <c r="OZE1519" s="886"/>
      <c r="OZF1519" s="886"/>
      <c r="OZG1519" s="886"/>
      <c r="OZH1519" s="886"/>
      <c r="OZI1519" s="886"/>
      <c r="OZJ1519" s="886"/>
      <c r="OZK1519" s="886"/>
      <c r="OZL1519" s="886"/>
      <c r="OZM1519" s="886"/>
      <c r="OZN1519" s="886"/>
      <c r="OZO1519" s="886"/>
      <c r="OZP1519" s="886"/>
      <c r="OZQ1519" s="886"/>
      <c r="OZR1519" s="886"/>
      <c r="OZS1519" s="886"/>
      <c r="OZT1519" s="886"/>
      <c r="OZU1519" s="886"/>
      <c r="OZV1519" s="886"/>
      <c r="OZW1519" s="886"/>
      <c r="OZX1519" s="886"/>
      <c r="OZY1519" s="886"/>
      <c r="OZZ1519" s="886"/>
      <c r="PAA1519" s="886"/>
      <c r="PAB1519" s="886"/>
      <c r="PAC1519" s="886"/>
      <c r="PAD1519" s="886"/>
      <c r="PAE1519" s="886"/>
      <c r="PAF1519" s="886"/>
      <c r="PAG1519" s="886"/>
      <c r="PAH1519" s="886"/>
      <c r="PAI1519" s="886"/>
      <c r="PAJ1519" s="886"/>
      <c r="PAK1519" s="886"/>
      <c r="PAL1519" s="886"/>
      <c r="PAM1519" s="886"/>
      <c r="PAN1519" s="886"/>
      <c r="PAO1519" s="886"/>
      <c r="PAP1519" s="886"/>
      <c r="PAQ1519" s="886"/>
      <c r="PAR1519" s="886"/>
      <c r="PAS1519" s="886"/>
      <c r="PAT1519" s="886"/>
      <c r="PAU1519" s="886"/>
      <c r="PAV1519" s="886"/>
      <c r="PAW1519" s="886"/>
      <c r="PAX1519" s="886"/>
      <c r="PAY1519" s="886"/>
      <c r="PAZ1519" s="886"/>
      <c r="PBA1519" s="886"/>
      <c r="PBB1519" s="886"/>
      <c r="PBC1519" s="886"/>
      <c r="PBD1519" s="886"/>
      <c r="PBE1519" s="886"/>
      <c r="PBF1519" s="886"/>
      <c r="PBG1519" s="886"/>
      <c r="PBH1519" s="886"/>
      <c r="PBI1519" s="886"/>
      <c r="PBJ1519" s="886"/>
      <c r="PBK1519" s="886"/>
      <c r="PBL1519" s="886"/>
      <c r="PBM1519" s="886"/>
      <c r="PBN1519" s="886"/>
      <c r="PBO1519" s="886"/>
      <c r="PBP1519" s="886"/>
      <c r="PBQ1519" s="886"/>
      <c r="PBR1519" s="886"/>
      <c r="PBS1519" s="886"/>
      <c r="PBT1519" s="886"/>
      <c r="PBU1519" s="886"/>
      <c r="PBV1519" s="886"/>
      <c r="PBW1519" s="886"/>
      <c r="PBX1519" s="886"/>
      <c r="PBY1519" s="886"/>
      <c r="PBZ1519" s="886"/>
      <c r="PCA1519" s="886"/>
      <c r="PCB1519" s="886"/>
      <c r="PCC1519" s="886"/>
      <c r="PCD1519" s="886"/>
      <c r="PCE1519" s="886"/>
      <c r="PCF1519" s="886"/>
      <c r="PCG1519" s="886"/>
      <c r="PCH1519" s="886"/>
      <c r="PCI1519" s="886"/>
      <c r="PCJ1519" s="886"/>
      <c r="PCK1519" s="886"/>
      <c r="PCL1519" s="886"/>
      <c r="PCM1519" s="886"/>
      <c r="PCN1519" s="886"/>
      <c r="PCO1519" s="886"/>
      <c r="PCP1519" s="886"/>
      <c r="PCQ1519" s="886"/>
      <c r="PCR1519" s="886"/>
      <c r="PCS1519" s="886"/>
      <c r="PCT1519" s="886"/>
      <c r="PCU1519" s="886"/>
      <c r="PCV1519" s="886"/>
      <c r="PCW1519" s="886"/>
      <c r="PCX1519" s="886"/>
      <c r="PCY1519" s="886"/>
      <c r="PCZ1519" s="886"/>
      <c r="PDA1519" s="886"/>
      <c r="PDB1519" s="886"/>
      <c r="PDC1519" s="886"/>
      <c r="PDD1519" s="886"/>
      <c r="PDE1519" s="886"/>
      <c r="PDF1519" s="886"/>
      <c r="PDG1519" s="886"/>
      <c r="PDH1519" s="886"/>
      <c r="PDI1519" s="886"/>
      <c r="PDJ1519" s="886"/>
      <c r="PDK1519" s="886"/>
      <c r="PDL1519" s="886"/>
      <c r="PDM1519" s="886"/>
      <c r="PDN1519" s="886"/>
      <c r="PDO1519" s="886"/>
      <c r="PDP1519" s="886"/>
      <c r="PDQ1519" s="886"/>
      <c r="PDR1519" s="886"/>
      <c r="PDS1519" s="886"/>
      <c r="PDT1519" s="886"/>
      <c r="PDU1519" s="886"/>
      <c r="PDV1519" s="886"/>
      <c r="PDW1519" s="886"/>
      <c r="PDX1519" s="886"/>
      <c r="PDY1519" s="886"/>
      <c r="PDZ1519" s="886"/>
      <c r="PEA1519" s="886"/>
      <c r="PEB1519" s="886"/>
      <c r="PEC1519" s="886"/>
      <c r="PED1519" s="886"/>
      <c r="PEE1519" s="886"/>
      <c r="PEF1519" s="886"/>
      <c r="PEG1519" s="886"/>
      <c r="PEH1519" s="886"/>
      <c r="PEI1519" s="886"/>
      <c r="PEJ1519" s="886"/>
      <c r="PEK1519" s="886"/>
      <c r="PEL1519" s="886"/>
      <c r="PEM1519" s="886"/>
      <c r="PEN1519" s="886"/>
      <c r="PEO1519" s="886"/>
      <c r="PEP1519" s="886"/>
      <c r="PEQ1519" s="886"/>
      <c r="PER1519" s="886"/>
      <c r="PES1519" s="886"/>
      <c r="PET1519" s="886"/>
      <c r="PEU1519" s="886"/>
      <c r="PEV1519" s="886"/>
      <c r="PEW1519" s="886"/>
      <c r="PEX1519" s="886"/>
      <c r="PEY1519" s="886"/>
      <c r="PEZ1519" s="886"/>
      <c r="PFA1519" s="886"/>
      <c r="PFB1519" s="886"/>
      <c r="PFC1519" s="886"/>
      <c r="PFD1519" s="886"/>
      <c r="PFE1519" s="886"/>
      <c r="PFF1519" s="886"/>
      <c r="PFG1519" s="886"/>
      <c r="PFH1519" s="886"/>
      <c r="PFI1519" s="886"/>
      <c r="PFJ1519" s="886"/>
      <c r="PFK1519" s="886"/>
      <c r="PFL1519" s="886"/>
      <c r="PFM1519" s="886"/>
      <c r="PFN1519" s="886"/>
      <c r="PFO1519" s="886"/>
      <c r="PFP1519" s="886"/>
      <c r="PFQ1519" s="886"/>
      <c r="PFR1519" s="886"/>
      <c r="PFS1519" s="886"/>
      <c r="PFT1519" s="886"/>
      <c r="PFU1519" s="886"/>
      <c r="PFV1519" s="886"/>
      <c r="PFW1519" s="886"/>
      <c r="PFX1519" s="886"/>
      <c r="PFY1519" s="886"/>
      <c r="PFZ1519" s="886"/>
      <c r="PGA1519" s="886"/>
      <c r="PGB1519" s="886"/>
      <c r="PGC1519" s="886"/>
      <c r="PGD1519" s="886"/>
      <c r="PGE1519" s="886"/>
      <c r="PGF1519" s="886"/>
      <c r="PGG1519" s="886"/>
      <c r="PGH1519" s="886"/>
      <c r="PGI1519" s="886"/>
      <c r="PGJ1519" s="886"/>
      <c r="PGK1519" s="886"/>
      <c r="PGL1519" s="886"/>
      <c r="PGM1519" s="886"/>
      <c r="PGN1519" s="886"/>
      <c r="PGO1519" s="886"/>
      <c r="PGP1519" s="886"/>
      <c r="PGQ1519" s="886"/>
      <c r="PGR1519" s="886"/>
      <c r="PGS1519" s="886"/>
      <c r="PGT1519" s="886"/>
      <c r="PGU1519" s="886"/>
      <c r="PGV1519" s="886"/>
      <c r="PGW1519" s="886"/>
      <c r="PGX1519" s="886"/>
      <c r="PGY1519" s="886"/>
      <c r="PGZ1519" s="886"/>
      <c r="PHA1519" s="886"/>
      <c r="PHB1519" s="886"/>
      <c r="PHC1519" s="886"/>
      <c r="PHD1519" s="886"/>
      <c r="PHE1519" s="886"/>
      <c r="PHF1519" s="886"/>
      <c r="PHG1519" s="886"/>
      <c r="PHH1519" s="886"/>
      <c r="PHI1519" s="886"/>
      <c r="PHJ1519" s="886"/>
      <c r="PHK1519" s="886"/>
      <c r="PHL1519" s="886"/>
      <c r="PHM1519" s="886"/>
      <c r="PHN1519" s="886"/>
      <c r="PHO1519" s="886"/>
      <c r="PHP1519" s="886"/>
      <c r="PHQ1519" s="886"/>
      <c r="PHR1519" s="886"/>
      <c r="PHS1519" s="886"/>
      <c r="PHT1519" s="886"/>
      <c r="PHU1519" s="886"/>
      <c r="PHV1519" s="886"/>
      <c r="PHW1519" s="886"/>
      <c r="PHX1519" s="886"/>
      <c r="PHY1519" s="886"/>
      <c r="PHZ1519" s="886"/>
      <c r="PIA1519" s="886"/>
      <c r="PIB1519" s="886"/>
      <c r="PIC1519" s="886"/>
      <c r="PID1519" s="886"/>
      <c r="PIE1519" s="886"/>
      <c r="PIF1519" s="886"/>
      <c r="PIG1519" s="886"/>
      <c r="PIH1519" s="886"/>
      <c r="PII1519" s="886"/>
      <c r="PIJ1519" s="886"/>
      <c r="PIK1519" s="886"/>
      <c r="PIL1519" s="886"/>
      <c r="PIM1519" s="886"/>
      <c r="PIN1519" s="886"/>
      <c r="PIO1519" s="886"/>
      <c r="PIP1519" s="886"/>
      <c r="PIQ1519" s="886"/>
      <c r="PIR1519" s="886"/>
      <c r="PIS1519" s="886"/>
      <c r="PIT1519" s="886"/>
      <c r="PIU1519" s="886"/>
      <c r="PIV1519" s="886"/>
      <c r="PIW1519" s="886"/>
      <c r="PIX1519" s="886"/>
      <c r="PIY1519" s="886"/>
      <c r="PIZ1519" s="886"/>
      <c r="PJA1519" s="886"/>
      <c r="PJB1519" s="886"/>
      <c r="PJC1519" s="886"/>
      <c r="PJD1519" s="886"/>
      <c r="PJE1519" s="886"/>
      <c r="PJF1519" s="886"/>
      <c r="PJG1519" s="886"/>
      <c r="PJH1519" s="886"/>
      <c r="PJI1519" s="886"/>
      <c r="PJJ1519" s="886"/>
      <c r="PJK1519" s="886"/>
      <c r="PJL1519" s="886"/>
      <c r="PJM1519" s="886"/>
      <c r="PJN1519" s="886"/>
      <c r="PJO1519" s="886"/>
      <c r="PJP1519" s="886"/>
      <c r="PJQ1519" s="886"/>
      <c r="PJR1519" s="886"/>
      <c r="PJS1519" s="886"/>
      <c r="PJT1519" s="886"/>
      <c r="PJU1519" s="886"/>
      <c r="PJV1519" s="886"/>
      <c r="PJW1519" s="886"/>
      <c r="PJX1519" s="886"/>
      <c r="PJY1519" s="886"/>
      <c r="PJZ1519" s="886"/>
      <c r="PKA1519" s="886"/>
      <c r="PKB1519" s="886"/>
      <c r="PKC1519" s="886"/>
      <c r="PKD1519" s="886"/>
      <c r="PKE1519" s="886"/>
      <c r="PKF1519" s="886"/>
      <c r="PKG1519" s="886"/>
      <c r="PKH1519" s="886"/>
      <c r="PKI1519" s="886"/>
      <c r="PKJ1519" s="886"/>
      <c r="PKK1519" s="886"/>
      <c r="PKL1519" s="886"/>
      <c r="PKM1519" s="886"/>
      <c r="PKN1519" s="886"/>
      <c r="PKO1519" s="886"/>
      <c r="PKP1519" s="886"/>
      <c r="PKQ1519" s="886"/>
      <c r="PKR1519" s="886"/>
      <c r="PKS1519" s="886"/>
      <c r="PKT1519" s="886"/>
      <c r="PKU1519" s="886"/>
      <c r="PKV1519" s="886"/>
      <c r="PKW1519" s="886"/>
      <c r="PKX1519" s="886"/>
      <c r="PKY1519" s="886"/>
      <c r="PKZ1519" s="886"/>
      <c r="PLA1519" s="886"/>
      <c r="PLB1519" s="886"/>
      <c r="PLC1519" s="886"/>
      <c r="PLD1519" s="886"/>
      <c r="PLE1519" s="886"/>
      <c r="PLF1519" s="886"/>
      <c r="PLG1519" s="886"/>
      <c r="PLH1519" s="886"/>
      <c r="PLI1519" s="886"/>
      <c r="PLJ1519" s="886"/>
      <c r="PLK1519" s="886"/>
      <c r="PLL1519" s="886"/>
      <c r="PLM1519" s="886"/>
      <c r="PLN1519" s="886"/>
      <c r="PLO1519" s="886"/>
      <c r="PLP1519" s="886"/>
      <c r="PLQ1519" s="886"/>
      <c r="PLR1519" s="886"/>
      <c r="PLS1519" s="886"/>
      <c r="PLT1519" s="886"/>
      <c r="PLU1519" s="886"/>
      <c r="PLV1519" s="886"/>
      <c r="PLW1519" s="886"/>
      <c r="PLX1519" s="886"/>
      <c r="PLY1519" s="886"/>
      <c r="PLZ1519" s="886"/>
      <c r="PMA1519" s="886"/>
      <c r="PMB1519" s="886"/>
      <c r="PMC1519" s="886"/>
      <c r="PMD1519" s="886"/>
      <c r="PME1519" s="886"/>
      <c r="PMF1519" s="886"/>
      <c r="PMG1519" s="886"/>
      <c r="PMH1519" s="886"/>
      <c r="PMI1519" s="886"/>
      <c r="PMJ1519" s="886"/>
      <c r="PMK1519" s="886"/>
      <c r="PML1519" s="886"/>
      <c r="PMM1519" s="886"/>
      <c r="PMN1519" s="886"/>
      <c r="PMO1519" s="886"/>
      <c r="PMP1519" s="886"/>
      <c r="PMQ1519" s="886"/>
      <c r="PMR1519" s="886"/>
      <c r="PMS1519" s="886"/>
      <c r="PMT1519" s="886"/>
      <c r="PMU1519" s="886"/>
      <c r="PMV1519" s="886"/>
      <c r="PMW1519" s="886"/>
      <c r="PMX1519" s="886"/>
      <c r="PMY1519" s="886"/>
      <c r="PMZ1519" s="886"/>
      <c r="PNA1519" s="886"/>
      <c r="PNB1519" s="886"/>
      <c r="PNC1519" s="886"/>
      <c r="PND1519" s="886"/>
      <c r="PNE1519" s="886"/>
      <c r="PNF1519" s="886"/>
      <c r="PNG1519" s="886"/>
      <c r="PNH1519" s="886"/>
      <c r="PNI1519" s="886"/>
      <c r="PNJ1519" s="886"/>
      <c r="PNK1519" s="886"/>
      <c r="PNL1519" s="886"/>
      <c r="PNM1519" s="886"/>
      <c r="PNN1519" s="886"/>
      <c r="PNO1519" s="886"/>
      <c r="PNP1519" s="886"/>
      <c r="PNQ1519" s="886"/>
      <c r="PNR1519" s="886"/>
      <c r="PNS1519" s="886"/>
      <c r="PNT1519" s="886"/>
      <c r="PNU1519" s="886"/>
      <c r="PNV1519" s="886"/>
      <c r="PNW1519" s="886"/>
      <c r="PNX1519" s="886"/>
      <c r="PNY1519" s="886"/>
      <c r="PNZ1519" s="886"/>
      <c r="POA1519" s="886"/>
      <c r="POB1519" s="886"/>
      <c r="POC1519" s="886"/>
      <c r="POD1519" s="886"/>
      <c r="POE1519" s="886"/>
      <c r="POF1519" s="886"/>
      <c r="POG1519" s="886"/>
      <c r="POH1519" s="886"/>
      <c r="POI1519" s="886"/>
      <c r="POJ1519" s="886"/>
      <c r="POK1519" s="886"/>
      <c r="POL1519" s="886"/>
      <c r="POM1519" s="886"/>
      <c r="PON1519" s="886"/>
      <c r="POO1519" s="886"/>
      <c r="POP1519" s="886"/>
      <c r="POQ1519" s="886"/>
      <c r="POR1519" s="886"/>
      <c r="POS1519" s="886"/>
      <c r="POT1519" s="886"/>
      <c r="POU1519" s="886"/>
      <c r="POV1519" s="886"/>
      <c r="POW1519" s="886"/>
      <c r="POX1519" s="886"/>
      <c r="POY1519" s="886"/>
      <c r="POZ1519" s="886"/>
      <c r="PPA1519" s="886"/>
      <c r="PPB1519" s="886"/>
      <c r="PPC1519" s="886"/>
      <c r="PPD1519" s="886"/>
      <c r="PPE1519" s="886"/>
      <c r="PPF1519" s="886"/>
      <c r="PPG1519" s="886"/>
      <c r="PPH1519" s="886"/>
      <c r="PPI1519" s="886"/>
      <c r="PPJ1519" s="886"/>
      <c r="PPK1519" s="886"/>
      <c r="PPL1519" s="886"/>
      <c r="PPM1519" s="886"/>
      <c r="PPN1519" s="886"/>
      <c r="PPO1519" s="886"/>
      <c r="PPP1519" s="886"/>
      <c r="PPQ1519" s="886"/>
      <c r="PPR1519" s="886"/>
      <c r="PPS1519" s="886"/>
      <c r="PPT1519" s="886"/>
      <c r="PPU1519" s="886"/>
      <c r="PPV1519" s="886"/>
      <c r="PPW1519" s="886"/>
      <c r="PPX1519" s="886"/>
      <c r="PPY1519" s="886"/>
      <c r="PPZ1519" s="886"/>
      <c r="PQA1519" s="886"/>
      <c r="PQB1519" s="886"/>
      <c r="PQC1519" s="886"/>
      <c r="PQD1519" s="886"/>
      <c r="PQE1519" s="886"/>
      <c r="PQF1519" s="886"/>
      <c r="PQG1519" s="886"/>
      <c r="PQH1519" s="886"/>
      <c r="PQI1519" s="886"/>
      <c r="PQJ1519" s="886"/>
      <c r="PQK1519" s="886"/>
      <c r="PQL1519" s="886"/>
      <c r="PQM1519" s="886"/>
      <c r="PQN1519" s="886"/>
      <c r="PQO1519" s="886"/>
      <c r="PQP1519" s="886"/>
      <c r="PQQ1519" s="886"/>
      <c r="PQR1519" s="886"/>
      <c r="PQS1519" s="886"/>
      <c r="PQT1519" s="886"/>
      <c r="PQU1519" s="886"/>
      <c r="PQV1519" s="886"/>
      <c r="PQW1519" s="886"/>
      <c r="PQX1519" s="886"/>
      <c r="PQY1519" s="886"/>
      <c r="PQZ1519" s="886"/>
      <c r="PRA1519" s="886"/>
      <c r="PRB1519" s="886"/>
      <c r="PRC1519" s="886"/>
      <c r="PRD1519" s="886"/>
      <c r="PRE1519" s="886"/>
      <c r="PRF1519" s="886"/>
      <c r="PRG1519" s="886"/>
      <c r="PRH1519" s="886"/>
      <c r="PRI1519" s="886"/>
      <c r="PRJ1519" s="886"/>
      <c r="PRK1519" s="886"/>
      <c r="PRL1519" s="886"/>
      <c r="PRM1519" s="886"/>
      <c r="PRN1519" s="886"/>
      <c r="PRO1519" s="886"/>
      <c r="PRP1519" s="886"/>
      <c r="PRQ1519" s="886"/>
      <c r="PRR1519" s="886"/>
      <c r="PRS1519" s="886"/>
      <c r="PRT1519" s="886"/>
      <c r="PRU1519" s="886"/>
      <c r="PRV1519" s="886"/>
      <c r="PRW1519" s="886"/>
      <c r="PRX1519" s="886"/>
      <c r="PRY1519" s="886"/>
      <c r="PRZ1519" s="886"/>
      <c r="PSA1519" s="886"/>
      <c r="PSB1519" s="886"/>
      <c r="PSC1519" s="886"/>
      <c r="PSD1519" s="886"/>
      <c r="PSE1519" s="886"/>
      <c r="PSF1519" s="886"/>
      <c r="PSG1519" s="886"/>
      <c r="PSH1519" s="886"/>
      <c r="PSI1519" s="886"/>
      <c r="PSJ1519" s="886"/>
      <c r="PSK1519" s="886"/>
      <c r="PSL1519" s="886"/>
      <c r="PSM1519" s="886"/>
      <c r="PSN1519" s="886"/>
      <c r="PSO1519" s="886"/>
      <c r="PSP1519" s="886"/>
      <c r="PSQ1519" s="886"/>
      <c r="PSR1519" s="886"/>
      <c r="PSS1519" s="886"/>
      <c r="PST1519" s="886"/>
      <c r="PSU1519" s="886"/>
      <c r="PSV1519" s="886"/>
      <c r="PSW1519" s="886"/>
      <c r="PSX1519" s="886"/>
      <c r="PSY1519" s="886"/>
      <c r="PSZ1519" s="886"/>
      <c r="PTA1519" s="886"/>
      <c r="PTB1519" s="886"/>
      <c r="PTC1519" s="886"/>
      <c r="PTD1519" s="886"/>
      <c r="PTE1519" s="886"/>
      <c r="PTF1519" s="886"/>
      <c r="PTG1519" s="886"/>
      <c r="PTH1519" s="886"/>
      <c r="PTI1519" s="886"/>
      <c r="PTJ1519" s="886"/>
      <c r="PTK1519" s="886"/>
      <c r="PTL1519" s="886"/>
      <c r="PTM1519" s="886"/>
      <c r="PTN1519" s="886"/>
      <c r="PTO1519" s="886"/>
      <c r="PTP1519" s="886"/>
      <c r="PTQ1519" s="886"/>
      <c r="PTR1519" s="886"/>
      <c r="PTS1519" s="886"/>
      <c r="PTT1519" s="886"/>
      <c r="PTU1519" s="886"/>
      <c r="PTV1519" s="886"/>
      <c r="PTW1519" s="886"/>
      <c r="PTX1519" s="886"/>
      <c r="PTY1519" s="886"/>
      <c r="PTZ1519" s="886"/>
      <c r="PUA1519" s="886"/>
      <c r="PUB1519" s="886"/>
      <c r="PUC1519" s="886"/>
      <c r="PUD1519" s="886"/>
      <c r="PUE1519" s="886"/>
      <c r="PUF1519" s="886"/>
      <c r="PUG1519" s="886"/>
      <c r="PUH1519" s="886"/>
      <c r="PUI1519" s="886"/>
      <c r="PUJ1519" s="886"/>
      <c r="PUK1519" s="886"/>
      <c r="PUL1519" s="886"/>
      <c r="PUM1519" s="886"/>
      <c r="PUN1519" s="886"/>
      <c r="PUO1519" s="886"/>
      <c r="PUP1519" s="886"/>
      <c r="PUQ1519" s="886"/>
      <c r="PUR1519" s="886"/>
      <c r="PUS1519" s="886"/>
      <c r="PUT1519" s="886"/>
      <c r="PUU1519" s="886"/>
      <c r="PUV1519" s="886"/>
      <c r="PUW1519" s="886"/>
      <c r="PUX1519" s="886"/>
      <c r="PUY1519" s="886"/>
      <c r="PUZ1519" s="886"/>
      <c r="PVA1519" s="886"/>
      <c r="PVB1519" s="886"/>
      <c r="PVC1519" s="886"/>
      <c r="PVD1519" s="886"/>
      <c r="PVE1519" s="886"/>
      <c r="PVF1519" s="886"/>
      <c r="PVG1519" s="886"/>
      <c r="PVH1519" s="886"/>
      <c r="PVI1519" s="886"/>
      <c r="PVJ1519" s="886"/>
      <c r="PVK1519" s="886"/>
      <c r="PVL1519" s="886"/>
      <c r="PVM1519" s="886"/>
      <c r="PVN1519" s="886"/>
      <c r="PVO1519" s="886"/>
      <c r="PVP1519" s="886"/>
      <c r="PVQ1519" s="886"/>
      <c r="PVR1519" s="886"/>
      <c r="PVS1519" s="886"/>
      <c r="PVT1519" s="886"/>
      <c r="PVU1519" s="886"/>
      <c r="PVV1519" s="886"/>
      <c r="PVW1519" s="886"/>
      <c r="PVX1519" s="886"/>
      <c r="PVY1519" s="886"/>
      <c r="PVZ1519" s="886"/>
      <c r="PWA1519" s="886"/>
      <c r="PWB1519" s="886"/>
      <c r="PWC1519" s="886"/>
      <c r="PWD1519" s="886"/>
      <c r="PWE1519" s="886"/>
      <c r="PWF1519" s="886"/>
      <c r="PWG1519" s="886"/>
      <c r="PWH1519" s="886"/>
      <c r="PWI1519" s="886"/>
      <c r="PWJ1519" s="886"/>
      <c r="PWK1519" s="886"/>
      <c r="PWL1519" s="886"/>
      <c r="PWM1519" s="886"/>
      <c r="PWN1519" s="886"/>
      <c r="PWO1519" s="886"/>
      <c r="PWP1519" s="886"/>
      <c r="PWQ1519" s="886"/>
      <c r="PWR1519" s="886"/>
      <c r="PWS1519" s="886"/>
      <c r="PWT1519" s="886"/>
      <c r="PWU1519" s="886"/>
      <c r="PWV1519" s="886"/>
      <c r="PWW1519" s="886"/>
      <c r="PWX1519" s="886"/>
      <c r="PWY1519" s="886"/>
      <c r="PWZ1519" s="886"/>
      <c r="PXA1519" s="886"/>
      <c r="PXB1519" s="886"/>
      <c r="PXC1519" s="886"/>
      <c r="PXD1519" s="886"/>
      <c r="PXE1519" s="886"/>
      <c r="PXF1519" s="886"/>
      <c r="PXG1519" s="886"/>
      <c r="PXH1519" s="886"/>
      <c r="PXI1519" s="886"/>
      <c r="PXJ1519" s="886"/>
      <c r="PXK1519" s="886"/>
      <c r="PXL1519" s="886"/>
      <c r="PXM1519" s="886"/>
      <c r="PXN1519" s="886"/>
      <c r="PXO1519" s="886"/>
      <c r="PXP1519" s="886"/>
      <c r="PXQ1519" s="886"/>
      <c r="PXR1519" s="886"/>
      <c r="PXS1519" s="886"/>
      <c r="PXT1519" s="886"/>
      <c r="PXU1519" s="886"/>
      <c r="PXV1519" s="886"/>
      <c r="PXW1519" s="886"/>
      <c r="PXX1519" s="886"/>
      <c r="PXY1519" s="886"/>
      <c r="PXZ1519" s="886"/>
      <c r="PYA1519" s="886"/>
      <c r="PYB1519" s="886"/>
      <c r="PYC1519" s="886"/>
      <c r="PYD1519" s="886"/>
      <c r="PYE1519" s="886"/>
      <c r="PYF1519" s="886"/>
      <c r="PYG1519" s="886"/>
      <c r="PYH1519" s="886"/>
      <c r="PYI1519" s="886"/>
      <c r="PYJ1519" s="886"/>
      <c r="PYK1519" s="886"/>
      <c r="PYL1519" s="886"/>
      <c r="PYM1519" s="886"/>
      <c r="PYN1519" s="886"/>
      <c r="PYO1519" s="886"/>
      <c r="PYP1519" s="886"/>
      <c r="PYQ1519" s="886"/>
      <c r="PYR1519" s="886"/>
      <c r="PYS1519" s="886"/>
      <c r="PYT1519" s="886"/>
      <c r="PYU1519" s="886"/>
      <c r="PYV1519" s="886"/>
      <c r="PYW1519" s="886"/>
      <c r="PYX1519" s="886"/>
      <c r="PYY1519" s="886"/>
      <c r="PYZ1519" s="886"/>
      <c r="PZA1519" s="886"/>
      <c r="PZB1519" s="886"/>
      <c r="PZC1519" s="886"/>
      <c r="PZD1519" s="886"/>
      <c r="PZE1519" s="886"/>
      <c r="PZF1519" s="886"/>
      <c r="PZG1519" s="886"/>
      <c r="PZH1519" s="886"/>
      <c r="PZI1519" s="886"/>
      <c r="PZJ1519" s="886"/>
      <c r="PZK1519" s="886"/>
      <c r="PZL1519" s="886"/>
      <c r="PZM1519" s="886"/>
      <c r="PZN1519" s="886"/>
      <c r="PZO1519" s="886"/>
      <c r="PZP1519" s="886"/>
      <c r="PZQ1519" s="886"/>
      <c r="PZR1519" s="886"/>
      <c r="PZS1519" s="886"/>
      <c r="PZT1519" s="886"/>
      <c r="PZU1519" s="886"/>
      <c r="PZV1519" s="886"/>
      <c r="PZW1519" s="886"/>
      <c r="PZX1519" s="886"/>
      <c r="PZY1519" s="886"/>
      <c r="PZZ1519" s="886"/>
      <c r="QAA1519" s="886"/>
      <c r="QAB1519" s="886"/>
      <c r="QAC1519" s="886"/>
      <c r="QAD1519" s="886"/>
      <c r="QAE1519" s="886"/>
      <c r="QAF1519" s="886"/>
      <c r="QAG1519" s="886"/>
      <c r="QAH1519" s="886"/>
      <c r="QAI1519" s="886"/>
      <c r="QAJ1519" s="886"/>
      <c r="QAK1519" s="886"/>
      <c r="QAL1519" s="886"/>
      <c r="QAM1519" s="886"/>
      <c r="QAN1519" s="886"/>
      <c r="QAO1519" s="886"/>
      <c r="QAP1519" s="886"/>
      <c r="QAQ1519" s="886"/>
      <c r="QAR1519" s="886"/>
      <c r="QAS1519" s="886"/>
      <c r="QAT1519" s="886"/>
      <c r="QAU1519" s="886"/>
      <c r="QAV1519" s="886"/>
      <c r="QAW1519" s="886"/>
      <c r="QAX1519" s="886"/>
      <c r="QAY1519" s="886"/>
      <c r="QAZ1519" s="886"/>
      <c r="QBA1519" s="886"/>
      <c r="QBB1519" s="886"/>
      <c r="QBC1519" s="886"/>
      <c r="QBD1519" s="886"/>
      <c r="QBE1519" s="886"/>
      <c r="QBF1519" s="886"/>
      <c r="QBG1519" s="886"/>
      <c r="QBH1519" s="886"/>
      <c r="QBI1519" s="886"/>
      <c r="QBJ1519" s="886"/>
      <c r="QBK1519" s="886"/>
      <c r="QBL1519" s="886"/>
      <c r="QBM1519" s="886"/>
      <c r="QBN1519" s="886"/>
      <c r="QBO1519" s="886"/>
      <c r="QBP1519" s="886"/>
      <c r="QBQ1519" s="886"/>
      <c r="QBR1519" s="886"/>
      <c r="QBS1519" s="886"/>
      <c r="QBT1519" s="886"/>
      <c r="QBU1519" s="886"/>
      <c r="QBV1519" s="886"/>
      <c r="QBW1519" s="886"/>
      <c r="QBX1519" s="886"/>
      <c r="QBY1519" s="886"/>
      <c r="QBZ1519" s="886"/>
      <c r="QCA1519" s="886"/>
      <c r="QCB1519" s="886"/>
      <c r="QCC1519" s="886"/>
      <c r="QCD1519" s="886"/>
      <c r="QCE1519" s="886"/>
      <c r="QCF1519" s="886"/>
      <c r="QCG1519" s="886"/>
      <c r="QCH1519" s="886"/>
      <c r="QCI1519" s="886"/>
      <c r="QCJ1519" s="886"/>
      <c r="QCK1519" s="886"/>
      <c r="QCL1519" s="886"/>
      <c r="QCM1519" s="886"/>
      <c r="QCN1519" s="886"/>
      <c r="QCO1519" s="886"/>
      <c r="QCP1519" s="886"/>
      <c r="QCQ1519" s="886"/>
      <c r="QCR1519" s="886"/>
      <c r="QCS1519" s="886"/>
      <c r="QCT1519" s="886"/>
      <c r="QCU1519" s="886"/>
      <c r="QCV1519" s="886"/>
      <c r="QCW1519" s="886"/>
      <c r="QCX1519" s="886"/>
      <c r="QCY1519" s="886"/>
      <c r="QCZ1519" s="886"/>
      <c r="QDA1519" s="886"/>
      <c r="QDB1519" s="886"/>
      <c r="QDC1519" s="886"/>
      <c r="QDD1519" s="886"/>
      <c r="QDE1519" s="886"/>
      <c r="QDF1519" s="886"/>
      <c r="QDG1519" s="886"/>
      <c r="QDH1519" s="886"/>
      <c r="QDI1519" s="886"/>
      <c r="QDJ1519" s="886"/>
      <c r="QDK1519" s="886"/>
      <c r="QDL1519" s="886"/>
      <c r="QDM1519" s="886"/>
      <c r="QDN1519" s="886"/>
      <c r="QDO1519" s="886"/>
      <c r="QDP1519" s="886"/>
      <c r="QDQ1519" s="886"/>
      <c r="QDR1519" s="886"/>
      <c r="QDS1519" s="886"/>
      <c r="QDT1519" s="886"/>
      <c r="QDU1519" s="886"/>
      <c r="QDV1519" s="886"/>
      <c r="QDW1519" s="886"/>
      <c r="QDX1519" s="886"/>
      <c r="QDY1519" s="886"/>
      <c r="QDZ1519" s="886"/>
      <c r="QEA1519" s="886"/>
      <c r="QEB1519" s="886"/>
      <c r="QEC1519" s="886"/>
      <c r="QED1519" s="886"/>
      <c r="QEE1519" s="886"/>
      <c r="QEF1519" s="886"/>
      <c r="QEG1519" s="886"/>
      <c r="QEH1519" s="886"/>
      <c r="QEI1519" s="886"/>
      <c r="QEJ1519" s="886"/>
      <c r="QEK1519" s="886"/>
      <c r="QEL1519" s="886"/>
      <c r="QEM1519" s="886"/>
      <c r="QEN1519" s="886"/>
      <c r="QEO1519" s="886"/>
      <c r="QEP1519" s="886"/>
      <c r="QEQ1519" s="886"/>
      <c r="QER1519" s="886"/>
      <c r="QES1519" s="886"/>
      <c r="QET1519" s="886"/>
      <c r="QEU1519" s="886"/>
      <c r="QEV1519" s="886"/>
      <c r="QEW1519" s="886"/>
      <c r="QEX1519" s="886"/>
      <c r="QEY1519" s="886"/>
      <c r="QEZ1519" s="886"/>
      <c r="QFA1519" s="886"/>
      <c r="QFB1519" s="886"/>
      <c r="QFC1519" s="886"/>
      <c r="QFD1519" s="886"/>
      <c r="QFE1519" s="886"/>
      <c r="QFF1519" s="886"/>
      <c r="QFG1519" s="886"/>
      <c r="QFH1519" s="886"/>
      <c r="QFI1519" s="886"/>
      <c r="QFJ1519" s="886"/>
      <c r="QFK1519" s="886"/>
      <c r="QFL1519" s="886"/>
      <c r="QFM1519" s="886"/>
      <c r="QFN1519" s="886"/>
      <c r="QFO1519" s="886"/>
      <c r="QFP1519" s="886"/>
      <c r="QFQ1519" s="886"/>
      <c r="QFR1519" s="886"/>
      <c r="QFS1519" s="886"/>
      <c r="QFT1519" s="886"/>
      <c r="QFU1519" s="886"/>
      <c r="QFV1519" s="886"/>
      <c r="QFW1519" s="886"/>
      <c r="QFX1519" s="886"/>
      <c r="QFY1519" s="886"/>
      <c r="QFZ1519" s="886"/>
      <c r="QGA1519" s="886"/>
      <c r="QGB1519" s="886"/>
      <c r="QGC1519" s="886"/>
      <c r="QGD1519" s="886"/>
      <c r="QGE1519" s="886"/>
      <c r="QGF1519" s="886"/>
      <c r="QGG1519" s="886"/>
      <c r="QGH1519" s="886"/>
      <c r="QGI1519" s="886"/>
      <c r="QGJ1519" s="886"/>
      <c r="QGK1519" s="886"/>
      <c r="QGL1519" s="886"/>
      <c r="QGM1519" s="886"/>
      <c r="QGN1519" s="886"/>
      <c r="QGO1519" s="886"/>
      <c r="QGP1519" s="886"/>
      <c r="QGQ1519" s="886"/>
      <c r="QGR1519" s="886"/>
      <c r="QGS1519" s="886"/>
      <c r="QGT1519" s="886"/>
      <c r="QGU1519" s="886"/>
      <c r="QGV1519" s="886"/>
      <c r="QGW1519" s="886"/>
      <c r="QGX1519" s="886"/>
      <c r="QGY1519" s="886"/>
      <c r="QGZ1519" s="886"/>
      <c r="QHA1519" s="886"/>
      <c r="QHB1519" s="886"/>
      <c r="QHC1519" s="886"/>
      <c r="QHD1519" s="886"/>
      <c r="QHE1519" s="886"/>
      <c r="QHF1519" s="886"/>
      <c r="QHG1519" s="886"/>
      <c r="QHH1519" s="886"/>
      <c r="QHI1519" s="886"/>
      <c r="QHJ1519" s="886"/>
      <c r="QHK1519" s="886"/>
      <c r="QHL1519" s="886"/>
      <c r="QHM1519" s="886"/>
      <c r="QHN1519" s="886"/>
      <c r="QHO1519" s="886"/>
      <c r="QHP1519" s="886"/>
      <c r="QHQ1519" s="886"/>
      <c r="QHR1519" s="886"/>
      <c r="QHS1519" s="886"/>
      <c r="QHT1519" s="886"/>
      <c r="QHU1519" s="886"/>
      <c r="QHV1519" s="886"/>
      <c r="QHW1519" s="886"/>
      <c r="QHX1519" s="886"/>
      <c r="QHY1519" s="886"/>
      <c r="QHZ1519" s="886"/>
      <c r="QIA1519" s="886"/>
      <c r="QIB1519" s="886"/>
      <c r="QIC1519" s="886"/>
      <c r="QID1519" s="886"/>
      <c r="QIE1519" s="886"/>
      <c r="QIF1519" s="886"/>
      <c r="QIG1519" s="886"/>
      <c r="QIH1519" s="886"/>
      <c r="QII1519" s="886"/>
      <c r="QIJ1519" s="886"/>
      <c r="QIK1519" s="886"/>
      <c r="QIL1519" s="886"/>
      <c r="QIM1519" s="886"/>
      <c r="QIN1519" s="886"/>
      <c r="QIO1519" s="886"/>
      <c r="QIP1519" s="886"/>
      <c r="QIQ1519" s="886"/>
      <c r="QIR1519" s="886"/>
      <c r="QIS1519" s="886"/>
      <c r="QIT1519" s="886"/>
      <c r="QIU1519" s="886"/>
      <c r="QIV1519" s="886"/>
      <c r="QIW1519" s="886"/>
      <c r="QIX1519" s="886"/>
      <c r="QIY1519" s="886"/>
      <c r="QIZ1519" s="886"/>
      <c r="QJA1519" s="886"/>
      <c r="QJB1519" s="886"/>
      <c r="QJC1519" s="886"/>
      <c r="QJD1519" s="886"/>
      <c r="QJE1519" s="886"/>
      <c r="QJF1519" s="886"/>
      <c r="QJG1519" s="886"/>
      <c r="QJH1519" s="886"/>
      <c r="QJI1519" s="886"/>
      <c r="QJJ1519" s="886"/>
      <c r="QJK1519" s="886"/>
      <c r="QJL1519" s="886"/>
      <c r="QJM1519" s="886"/>
      <c r="QJN1519" s="886"/>
      <c r="QJO1519" s="886"/>
      <c r="QJP1519" s="886"/>
      <c r="QJQ1519" s="886"/>
      <c r="QJR1519" s="886"/>
      <c r="QJS1519" s="886"/>
      <c r="QJT1519" s="886"/>
      <c r="QJU1519" s="886"/>
      <c r="QJV1519" s="886"/>
      <c r="QJW1519" s="886"/>
      <c r="QJX1519" s="886"/>
      <c r="QJY1519" s="886"/>
      <c r="QJZ1519" s="886"/>
      <c r="QKA1519" s="886"/>
      <c r="QKB1519" s="886"/>
      <c r="QKC1519" s="886"/>
      <c r="QKD1519" s="886"/>
      <c r="QKE1519" s="886"/>
      <c r="QKF1519" s="886"/>
      <c r="QKG1519" s="886"/>
      <c r="QKH1519" s="886"/>
      <c r="QKI1519" s="886"/>
      <c r="QKJ1519" s="886"/>
      <c r="QKK1519" s="886"/>
      <c r="QKL1519" s="886"/>
      <c r="QKM1519" s="886"/>
      <c r="QKN1519" s="886"/>
      <c r="QKO1519" s="886"/>
      <c r="QKP1519" s="886"/>
      <c r="QKQ1519" s="886"/>
      <c r="QKR1519" s="886"/>
      <c r="QKS1519" s="886"/>
      <c r="QKT1519" s="886"/>
      <c r="QKU1519" s="886"/>
      <c r="QKV1519" s="886"/>
      <c r="QKW1519" s="886"/>
      <c r="QKX1519" s="886"/>
      <c r="QKY1519" s="886"/>
      <c r="QKZ1519" s="886"/>
      <c r="QLA1519" s="886"/>
      <c r="QLB1519" s="886"/>
      <c r="QLC1519" s="886"/>
      <c r="QLD1519" s="886"/>
      <c r="QLE1519" s="886"/>
      <c r="QLF1519" s="886"/>
      <c r="QLG1519" s="886"/>
      <c r="QLH1519" s="886"/>
      <c r="QLI1519" s="886"/>
      <c r="QLJ1519" s="886"/>
      <c r="QLK1519" s="886"/>
      <c r="QLL1519" s="886"/>
      <c r="QLM1519" s="886"/>
      <c r="QLN1519" s="886"/>
      <c r="QLO1519" s="886"/>
      <c r="QLP1519" s="886"/>
      <c r="QLQ1519" s="886"/>
      <c r="QLR1519" s="886"/>
      <c r="QLS1519" s="886"/>
      <c r="QLT1519" s="886"/>
      <c r="QLU1519" s="886"/>
      <c r="QLV1519" s="886"/>
      <c r="QLW1519" s="886"/>
      <c r="QLX1519" s="886"/>
      <c r="QLY1519" s="886"/>
      <c r="QLZ1519" s="886"/>
      <c r="QMA1519" s="886"/>
      <c r="QMB1519" s="886"/>
      <c r="QMC1519" s="886"/>
      <c r="QMD1519" s="886"/>
      <c r="QME1519" s="886"/>
      <c r="QMF1519" s="886"/>
      <c r="QMG1519" s="886"/>
      <c r="QMH1519" s="886"/>
      <c r="QMI1519" s="886"/>
      <c r="QMJ1519" s="886"/>
      <c r="QMK1519" s="886"/>
      <c r="QML1519" s="886"/>
      <c r="QMM1519" s="886"/>
      <c r="QMN1519" s="886"/>
      <c r="QMO1519" s="886"/>
      <c r="QMP1519" s="886"/>
      <c r="QMQ1519" s="886"/>
      <c r="QMR1519" s="886"/>
      <c r="QMS1519" s="886"/>
      <c r="QMT1519" s="886"/>
      <c r="QMU1519" s="886"/>
      <c r="QMV1519" s="886"/>
      <c r="QMW1519" s="886"/>
      <c r="QMX1519" s="886"/>
      <c r="QMY1519" s="886"/>
      <c r="QMZ1519" s="886"/>
      <c r="QNA1519" s="886"/>
      <c r="QNB1519" s="886"/>
      <c r="QNC1519" s="886"/>
      <c r="QND1519" s="886"/>
      <c r="QNE1519" s="886"/>
      <c r="QNF1519" s="886"/>
      <c r="QNG1519" s="886"/>
      <c r="QNH1519" s="886"/>
      <c r="QNI1519" s="886"/>
      <c r="QNJ1519" s="886"/>
      <c r="QNK1519" s="886"/>
      <c r="QNL1519" s="886"/>
      <c r="QNM1519" s="886"/>
      <c r="QNN1519" s="886"/>
      <c r="QNO1519" s="886"/>
      <c r="QNP1519" s="886"/>
      <c r="QNQ1519" s="886"/>
      <c r="QNR1519" s="886"/>
      <c r="QNS1519" s="886"/>
      <c r="QNT1519" s="886"/>
      <c r="QNU1519" s="886"/>
      <c r="QNV1519" s="886"/>
      <c r="QNW1519" s="886"/>
      <c r="QNX1519" s="886"/>
      <c r="QNY1519" s="886"/>
      <c r="QNZ1519" s="886"/>
      <c r="QOA1519" s="886"/>
      <c r="QOB1519" s="886"/>
      <c r="QOC1519" s="886"/>
      <c r="QOD1519" s="886"/>
      <c r="QOE1519" s="886"/>
      <c r="QOF1519" s="886"/>
      <c r="QOG1519" s="886"/>
      <c r="QOH1519" s="886"/>
      <c r="QOI1519" s="886"/>
      <c r="QOJ1519" s="886"/>
      <c r="QOK1519" s="886"/>
      <c r="QOL1519" s="886"/>
      <c r="QOM1519" s="886"/>
      <c r="QON1519" s="886"/>
      <c r="QOO1519" s="886"/>
      <c r="QOP1519" s="886"/>
      <c r="QOQ1519" s="886"/>
      <c r="QOR1519" s="886"/>
      <c r="QOS1519" s="886"/>
      <c r="QOT1519" s="886"/>
      <c r="QOU1519" s="886"/>
      <c r="QOV1519" s="886"/>
      <c r="QOW1519" s="886"/>
      <c r="QOX1519" s="886"/>
      <c r="QOY1519" s="886"/>
      <c r="QOZ1519" s="886"/>
      <c r="QPA1519" s="886"/>
      <c r="QPB1519" s="886"/>
      <c r="QPC1519" s="886"/>
      <c r="QPD1519" s="886"/>
      <c r="QPE1519" s="886"/>
      <c r="QPF1519" s="886"/>
      <c r="QPG1519" s="886"/>
      <c r="QPH1519" s="886"/>
      <c r="QPI1519" s="886"/>
      <c r="QPJ1519" s="886"/>
      <c r="QPK1519" s="886"/>
      <c r="QPL1519" s="886"/>
      <c r="QPM1519" s="886"/>
      <c r="QPN1519" s="886"/>
      <c r="QPO1519" s="886"/>
      <c r="QPP1519" s="886"/>
      <c r="QPQ1519" s="886"/>
      <c r="QPR1519" s="886"/>
      <c r="QPS1519" s="886"/>
      <c r="QPT1519" s="886"/>
      <c r="QPU1519" s="886"/>
      <c r="QPV1519" s="886"/>
      <c r="QPW1519" s="886"/>
      <c r="QPX1519" s="886"/>
      <c r="QPY1519" s="886"/>
      <c r="QPZ1519" s="886"/>
      <c r="QQA1519" s="886"/>
      <c r="QQB1519" s="886"/>
      <c r="QQC1519" s="886"/>
      <c r="QQD1519" s="886"/>
      <c r="QQE1519" s="886"/>
      <c r="QQF1519" s="886"/>
      <c r="QQG1519" s="886"/>
      <c r="QQH1519" s="886"/>
      <c r="QQI1519" s="886"/>
      <c r="QQJ1519" s="886"/>
      <c r="QQK1519" s="886"/>
      <c r="QQL1519" s="886"/>
      <c r="QQM1519" s="886"/>
      <c r="QQN1519" s="886"/>
      <c r="QQO1519" s="886"/>
      <c r="QQP1519" s="886"/>
      <c r="QQQ1519" s="886"/>
      <c r="QQR1519" s="886"/>
      <c r="QQS1519" s="886"/>
      <c r="QQT1519" s="886"/>
      <c r="QQU1519" s="886"/>
      <c r="QQV1519" s="886"/>
      <c r="QQW1519" s="886"/>
      <c r="QQX1519" s="886"/>
      <c r="QQY1519" s="886"/>
      <c r="QQZ1519" s="886"/>
      <c r="QRA1519" s="886"/>
      <c r="QRB1519" s="886"/>
      <c r="QRC1519" s="886"/>
      <c r="QRD1519" s="886"/>
      <c r="QRE1519" s="886"/>
      <c r="QRF1519" s="886"/>
      <c r="QRG1519" s="886"/>
      <c r="QRH1519" s="886"/>
      <c r="QRI1519" s="886"/>
      <c r="QRJ1519" s="886"/>
      <c r="QRK1519" s="886"/>
      <c r="QRL1519" s="886"/>
      <c r="QRM1519" s="886"/>
      <c r="QRN1519" s="886"/>
      <c r="QRO1519" s="886"/>
      <c r="QRP1519" s="886"/>
      <c r="QRQ1519" s="886"/>
      <c r="QRR1519" s="886"/>
      <c r="QRS1519" s="886"/>
      <c r="QRT1519" s="886"/>
      <c r="QRU1519" s="886"/>
      <c r="QRV1519" s="886"/>
      <c r="QRW1519" s="886"/>
      <c r="QRX1519" s="886"/>
      <c r="QRY1519" s="886"/>
      <c r="QRZ1519" s="886"/>
      <c r="QSA1519" s="886"/>
      <c r="QSB1519" s="886"/>
      <c r="QSC1519" s="886"/>
      <c r="QSD1519" s="886"/>
      <c r="QSE1519" s="886"/>
      <c r="QSF1519" s="886"/>
      <c r="QSG1519" s="886"/>
      <c r="QSH1519" s="886"/>
      <c r="QSI1519" s="886"/>
      <c r="QSJ1519" s="886"/>
      <c r="QSK1519" s="886"/>
      <c r="QSL1519" s="886"/>
      <c r="QSM1519" s="886"/>
      <c r="QSN1519" s="886"/>
      <c r="QSO1519" s="886"/>
      <c r="QSP1519" s="886"/>
      <c r="QSQ1519" s="886"/>
      <c r="QSR1519" s="886"/>
      <c r="QSS1519" s="886"/>
      <c r="QST1519" s="886"/>
      <c r="QSU1519" s="886"/>
      <c r="QSV1519" s="886"/>
      <c r="QSW1519" s="886"/>
      <c r="QSX1519" s="886"/>
      <c r="QSY1519" s="886"/>
      <c r="QSZ1519" s="886"/>
      <c r="QTA1519" s="886"/>
      <c r="QTB1519" s="886"/>
      <c r="QTC1519" s="886"/>
      <c r="QTD1519" s="886"/>
      <c r="QTE1519" s="886"/>
      <c r="QTF1519" s="886"/>
      <c r="QTG1519" s="886"/>
      <c r="QTH1519" s="886"/>
      <c r="QTI1519" s="886"/>
      <c r="QTJ1519" s="886"/>
      <c r="QTK1519" s="886"/>
      <c r="QTL1519" s="886"/>
      <c r="QTM1519" s="886"/>
      <c r="QTN1519" s="886"/>
      <c r="QTO1519" s="886"/>
      <c r="QTP1519" s="886"/>
      <c r="QTQ1519" s="886"/>
      <c r="QTR1519" s="886"/>
      <c r="QTS1519" s="886"/>
      <c r="QTT1519" s="886"/>
      <c r="QTU1519" s="886"/>
      <c r="QTV1519" s="886"/>
      <c r="QTW1519" s="886"/>
      <c r="QTX1519" s="886"/>
      <c r="QTY1519" s="886"/>
      <c r="QTZ1519" s="886"/>
      <c r="QUA1519" s="886"/>
      <c r="QUB1519" s="886"/>
      <c r="QUC1519" s="886"/>
      <c r="QUD1519" s="886"/>
      <c r="QUE1519" s="886"/>
      <c r="QUF1519" s="886"/>
      <c r="QUG1519" s="886"/>
      <c r="QUH1519" s="886"/>
      <c r="QUI1519" s="886"/>
      <c r="QUJ1519" s="886"/>
      <c r="QUK1519" s="886"/>
      <c r="QUL1519" s="886"/>
      <c r="QUM1519" s="886"/>
      <c r="QUN1519" s="886"/>
      <c r="QUO1519" s="886"/>
      <c r="QUP1519" s="886"/>
      <c r="QUQ1519" s="886"/>
      <c r="QUR1519" s="886"/>
      <c r="QUS1519" s="886"/>
      <c r="QUT1519" s="886"/>
      <c r="QUU1519" s="886"/>
      <c r="QUV1519" s="886"/>
      <c r="QUW1519" s="886"/>
      <c r="QUX1519" s="886"/>
      <c r="QUY1519" s="886"/>
      <c r="QUZ1519" s="886"/>
      <c r="QVA1519" s="886"/>
      <c r="QVB1519" s="886"/>
      <c r="QVC1519" s="886"/>
      <c r="QVD1519" s="886"/>
      <c r="QVE1519" s="886"/>
      <c r="QVF1519" s="886"/>
      <c r="QVG1519" s="886"/>
      <c r="QVH1519" s="886"/>
      <c r="QVI1519" s="886"/>
      <c r="QVJ1519" s="886"/>
      <c r="QVK1519" s="886"/>
      <c r="QVL1519" s="886"/>
      <c r="QVM1519" s="886"/>
      <c r="QVN1519" s="886"/>
      <c r="QVO1519" s="886"/>
      <c r="QVP1519" s="886"/>
      <c r="QVQ1519" s="886"/>
      <c r="QVR1519" s="886"/>
      <c r="QVS1519" s="886"/>
      <c r="QVT1519" s="886"/>
      <c r="QVU1519" s="886"/>
      <c r="QVV1519" s="886"/>
      <c r="QVW1519" s="886"/>
      <c r="QVX1519" s="886"/>
      <c r="QVY1519" s="886"/>
      <c r="QVZ1519" s="886"/>
      <c r="QWA1519" s="886"/>
      <c r="QWB1519" s="886"/>
      <c r="QWC1519" s="886"/>
      <c r="QWD1519" s="886"/>
      <c r="QWE1519" s="886"/>
      <c r="QWF1519" s="886"/>
      <c r="QWG1519" s="886"/>
      <c r="QWH1519" s="886"/>
      <c r="QWI1519" s="886"/>
      <c r="QWJ1519" s="886"/>
      <c r="QWK1519" s="886"/>
      <c r="QWL1519" s="886"/>
      <c r="QWM1519" s="886"/>
      <c r="QWN1519" s="886"/>
      <c r="QWO1519" s="886"/>
      <c r="QWP1519" s="886"/>
      <c r="QWQ1519" s="886"/>
      <c r="QWR1519" s="886"/>
      <c r="QWS1519" s="886"/>
      <c r="QWT1519" s="886"/>
      <c r="QWU1519" s="886"/>
      <c r="QWV1519" s="886"/>
      <c r="QWW1519" s="886"/>
      <c r="QWX1519" s="886"/>
      <c r="QWY1519" s="886"/>
      <c r="QWZ1519" s="886"/>
      <c r="QXA1519" s="886"/>
      <c r="QXB1519" s="886"/>
      <c r="QXC1519" s="886"/>
      <c r="QXD1519" s="886"/>
      <c r="QXE1519" s="886"/>
      <c r="QXF1519" s="886"/>
      <c r="QXG1519" s="886"/>
      <c r="QXH1519" s="886"/>
      <c r="QXI1519" s="886"/>
      <c r="QXJ1519" s="886"/>
      <c r="QXK1519" s="886"/>
      <c r="QXL1519" s="886"/>
      <c r="QXM1519" s="886"/>
      <c r="QXN1519" s="886"/>
      <c r="QXO1519" s="886"/>
      <c r="QXP1519" s="886"/>
      <c r="QXQ1519" s="886"/>
      <c r="QXR1519" s="886"/>
      <c r="QXS1519" s="886"/>
      <c r="QXT1519" s="886"/>
      <c r="QXU1519" s="886"/>
      <c r="QXV1519" s="886"/>
      <c r="QXW1519" s="886"/>
      <c r="QXX1519" s="886"/>
      <c r="QXY1519" s="886"/>
      <c r="QXZ1519" s="886"/>
      <c r="QYA1519" s="886"/>
      <c r="QYB1519" s="886"/>
      <c r="QYC1519" s="886"/>
      <c r="QYD1519" s="886"/>
      <c r="QYE1519" s="886"/>
      <c r="QYF1519" s="886"/>
      <c r="QYG1519" s="886"/>
      <c r="QYH1519" s="886"/>
      <c r="QYI1519" s="886"/>
      <c r="QYJ1519" s="886"/>
      <c r="QYK1519" s="886"/>
      <c r="QYL1519" s="886"/>
      <c r="QYM1519" s="886"/>
      <c r="QYN1519" s="886"/>
      <c r="QYO1519" s="886"/>
      <c r="QYP1519" s="886"/>
      <c r="QYQ1519" s="886"/>
      <c r="QYR1519" s="886"/>
      <c r="QYS1519" s="886"/>
      <c r="QYT1519" s="886"/>
      <c r="QYU1519" s="886"/>
      <c r="QYV1519" s="886"/>
      <c r="QYW1519" s="886"/>
      <c r="QYX1519" s="886"/>
      <c r="QYY1519" s="886"/>
      <c r="QYZ1519" s="886"/>
      <c r="QZA1519" s="886"/>
      <c r="QZB1519" s="886"/>
      <c r="QZC1519" s="886"/>
      <c r="QZD1519" s="886"/>
      <c r="QZE1519" s="886"/>
      <c r="QZF1519" s="886"/>
      <c r="QZG1519" s="886"/>
      <c r="QZH1519" s="886"/>
      <c r="QZI1519" s="886"/>
      <c r="QZJ1519" s="886"/>
      <c r="QZK1519" s="886"/>
      <c r="QZL1519" s="886"/>
      <c r="QZM1519" s="886"/>
      <c r="QZN1519" s="886"/>
      <c r="QZO1519" s="886"/>
      <c r="QZP1519" s="886"/>
      <c r="QZQ1519" s="886"/>
      <c r="QZR1519" s="886"/>
      <c r="QZS1519" s="886"/>
      <c r="QZT1519" s="886"/>
      <c r="QZU1519" s="886"/>
      <c r="QZV1519" s="886"/>
      <c r="QZW1519" s="886"/>
      <c r="QZX1519" s="886"/>
      <c r="QZY1519" s="886"/>
      <c r="QZZ1519" s="886"/>
      <c r="RAA1519" s="886"/>
      <c r="RAB1519" s="886"/>
      <c r="RAC1519" s="886"/>
      <c r="RAD1519" s="886"/>
      <c r="RAE1519" s="886"/>
      <c r="RAF1519" s="886"/>
      <c r="RAG1519" s="886"/>
      <c r="RAH1519" s="886"/>
      <c r="RAI1519" s="886"/>
      <c r="RAJ1519" s="886"/>
      <c r="RAK1519" s="886"/>
      <c r="RAL1519" s="886"/>
      <c r="RAM1519" s="886"/>
      <c r="RAN1519" s="886"/>
      <c r="RAO1519" s="886"/>
      <c r="RAP1519" s="886"/>
      <c r="RAQ1519" s="886"/>
      <c r="RAR1519" s="886"/>
      <c r="RAS1519" s="886"/>
      <c r="RAT1519" s="886"/>
      <c r="RAU1519" s="886"/>
      <c r="RAV1519" s="886"/>
      <c r="RAW1519" s="886"/>
      <c r="RAX1519" s="886"/>
      <c r="RAY1519" s="886"/>
      <c r="RAZ1519" s="886"/>
      <c r="RBA1519" s="886"/>
      <c r="RBB1519" s="886"/>
      <c r="RBC1519" s="886"/>
      <c r="RBD1519" s="886"/>
      <c r="RBE1519" s="886"/>
      <c r="RBF1519" s="886"/>
      <c r="RBG1519" s="886"/>
      <c r="RBH1519" s="886"/>
      <c r="RBI1519" s="886"/>
      <c r="RBJ1519" s="886"/>
      <c r="RBK1519" s="886"/>
      <c r="RBL1519" s="886"/>
      <c r="RBM1519" s="886"/>
      <c r="RBN1519" s="886"/>
      <c r="RBO1519" s="886"/>
      <c r="RBP1519" s="886"/>
      <c r="RBQ1519" s="886"/>
      <c r="RBR1519" s="886"/>
      <c r="RBS1519" s="886"/>
      <c r="RBT1519" s="886"/>
      <c r="RBU1519" s="886"/>
      <c r="RBV1519" s="886"/>
      <c r="RBW1519" s="886"/>
      <c r="RBX1519" s="886"/>
      <c r="RBY1519" s="886"/>
      <c r="RBZ1519" s="886"/>
      <c r="RCA1519" s="886"/>
      <c r="RCB1519" s="886"/>
      <c r="RCC1519" s="886"/>
      <c r="RCD1519" s="886"/>
      <c r="RCE1519" s="886"/>
      <c r="RCF1519" s="886"/>
      <c r="RCG1519" s="886"/>
      <c r="RCH1519" s="886"/>
      <c r="RCI1519" s="886"/>
      <c r="RCJ1519" s="886"/>
      <c r="RCK1519" s="886"/>
      <c r="RCL1519" s="886"/>
      <c r="RCM1519" s="886"/>
      <c r="RCN1519" s="886"/>
      <c r="RCO1519" s="886"/>
      <c r="RCP1519" s="886"/>
      <c r="RCQ1519" s="886"/>
      <c r="RCR1519" s="886"/>
      <c r="RCS1519" s="886"/>
      <c r="RCT1519" s="886"/>
      <c r="RCU1519" s="886"/>
      <c r="RCV1519" s="886"/>
      <c r="RCW1519" s="886"/>
      <c r="RCX1519" s="886"/>
      <c r="RCY1519" s="886"/>
      <c r="RCZ1519" s="886"/>
      <c r="RDA1519" s="886"/>
      <c r="RDB1519" s="886"/>
      <c r="RDC1519" s="886"/>
      <c r="RDD1519" s="886"/>
      <c r="RDE1519" s="886"/>
      <c r="RDF1519" s="886"/>
      <c r="RDG1519" s="886"/>
      <c r="RDH1519" s="886"/>
      <c r="RDI1519" s="886"/>
      <c r="RDJ1519" s="886"/>
      <c r="RDK1519" s="886"/>
      <c r="RDL1519" s="886"/>
      <c r="RDM1519" s="886"/>
      <c r="RDN1519" s="886"/>
      <c r="RDO1519" s="886"/>
      <c r="RDP1519" s="886"/>
      <c r="RDQ1519" s="886"/>
      <c r="RDR1519" s="886"/>
      <c r="RDS1519" s="886"/>
      <c r="RDT1519" s="886"/>
      <c r="RDU1519" s="886"/>
      <c r="RDV1519" s="886"/>
      <c r="RDW1519" s="886"/>
      <c r="RDX1519" s="886"/>
      <c r="RDY1519" s="886"/>
      <c r="RDZ1519" s="886"/>
      <c r="REA1519" s="886"/>
      <c r="REB1519" s="886"/>
      <c r="REC1519" s="886"/>
      <c r="RED1519" s="886"/>
      <c r="REE1519" s="886"/>
      <c r="REF1519" s="886"/>
      <c r="REG1519" s="886"/>
      <c r="REH1519" s="886"/>
      <c r="REI1519" s="886"/>
      <c r="REJ1519" s="886"/>
      <c r="REK1519" s="886"/>
      <c r="REL1519" s="886"/>
      <c r="REM1519" s="886"/>
      <c r="REN1519" s="886"/>
      <c r="REO1519" s="886"/>
      <c r="REP1519" s="886"/>
      <c r="REQ1519" s="886"/>
      <c r="RER1519" s="886"/>
      <c r="RES1519" s="886"/>
      <c r="RET1519" s="886"/>
      <c r="REU1519" s="886"/>
      <c r="REV1519" s="886"/>
      <c r="REW1519" s="886"/>
      <c r="REX1519" s="886"/>
      <c r="REY1519" s="886"/>
      <c r="REZ1519" s="886"/>
      <c r="RFA1519" s="886"/>
      <c r="RFB1519" s="886"/>
      <c r="RFC1519" s="886"/>
      <c r="RFD1519" s="886"/>
      <c r="RFE1519" s="886"/>
      <c r="RFF1519" s="886"/>
      <c r="RFG1519" s="886"/>
      <c r="RFH1519" s="886"/>
      <c r="RFI1519" s="886"/>
      <c r="RFJ1519" s="886"/>
      <c r="RFK1519" s="886"/>
      <c r="RFL1519" s="886"/>
      <c r="RFM1519" s="886"/>
      <c r="RFN1519" s="886"/>
      <c r="RFO1519" s="886"/>
      <c r="RFP1519" s="886"/>
      <c r="RFQ1519" s="886"/>
      <c r="RFR1519" s="886"/>
      <c r="RFS1519" s="886"/>
      <c r="RFT1519" s="886"/>
      <c r="RFU1519" s="886"/>
      <c r="RFV1519" s="886"/>
      <c r="RFW1519" s="886"/>
      <c r="RFX1519" s="886"/>
      <c r="RFY1519" s="886"/>
      <c r="RFZ1519" s="886"/>
      <c r="RGA1519" s="886"/>
      <c r="RGB1519" s="886"/>
      <c r="RGC1519" s="886"/>
      <c r="RGD1519" s="886"/>
      <c r="RGE1519" s="886"/>
      <c r="RGF1519" s="886"/>
      <c r="RGG1519" s="886"/>
      <c r="RGH1519" s="886"/>
      <c r="RGI1519" s="886"/>
      <c r="RGJ1519" s="886"/>
      <c r="RGK1519" s="886"/>
      <c r="RGL1519" s="886"/>
      <c r="RGM1519" s="886"/>
      <c r="RGN1519" s="886"/>
      <c r="RGO1519" s="886"/>
      <c r="RGP1519" s="886"/>
      <c r="RGQ1519" s="886"/>
      <c r="RGR1519" s="886"/>
      <c r="RGS1519" s="886"/>
      <c r="RGT1519" s="886"/>
      <c r="RGU1519" s="886"/>
      <c r="RGV1519" s="886"/>
      <c r="RGW1519" s="886"/>
      <c r="RGX1519" s="886"/>
      <c r="RGY1519" s="886"/>
      <c r="RGZ1519" s="886"/>
      <c r="RHA1519" s="886"/>
      <c r="RHB1519" s="886"/>
      <c r="RHC1519" s="886"/>
      <c r="RHD1519" s="886"/>
      <c r="RHE1519" s="886"/>
      <c r="RHF1519" s="886"/>
      <c r="RHG1519" s="886"/>
      <c r="RHH1519" s="886"/>
      <c r="RHI1519" s="886"/>
      <c r="RHJ1519" s="886"/>
      <c r="RHK1519" s="886"/>
      <c r="RHL1519" s="886"/>
      <c r="RHM1519" s="886"/>
      <c r="RHN1519" s="886"/>
      <c r="RHO1519" s="886"/>
      <c r="RHP1519" s="886"/>
      <c r="RHQ1519" s="886"/>
      <c r="RHR1519" s="886"/>
      <c r="RHS1519" s="886"/>
      <c r="RHT1519" s="886"/>
      <c r="RHU1519" s="886"/>
      <c r="RHV1519" s="886"/>
      <c r="RHW1519" s="886"/>
      <c r="RHX1519" s="886"/>
      <c r="RHY1519" s="886"/>
      <c r="RHZ1519" s="886"/>
      <c r="RIA1519" s="886"/>
      <c r="RIB1519" s="886"/>
      <c r="RIC1519" s="886"/>
      <c r="RID1519" s="886"/>
      <c r="RIE1519" s="886"/>
      <c r="RIF1519" s="886"/>
      <c r="RIG1519" s="886"/>
      <c r="RIH1519" s="886"/>
      <c r="RII1519" s="886"/>
      <c r="RIJ1519" s="886"/>
      <c r="RIK1519" s="886"/>
      <c r="RIL1519" s="886"/>
      <c r="RIM1519" s="886"/>
      <c r="RIN1519" s="886"/>
      <c r="RIO1519" s="886"/>
      <c r="RIP1519" s="886"/>
      <c r="RIQ1519" s="886"/>
      <c r="RIR1519" s="886"/>
      <c r="RIS1519" s="886"/>
      <c r="RIT1519" s="886"/>
      <c r="RIU1519" s="886"/>
      <c r="RIV1519" s="886"/>
      <c r="RIW1519" s="886"/>
      <c r="RIX1519" s="886"/>
      <c r="RIY1519" s="886"/>
      <c r="RIZ1519" s="886"/>
      <c r="RJA1519" s="886"/>
      <c r="RJB1519" s="886"/>
      <c r="RJC1519" s="886"/>
      <c r="RJD1519" s="886"/>
      <c r="RJE1519" s="886"/>
      <c r="RJF1519" s="886"/>
      <c r="RJG1519" s="886"/>
      <c r="RJH1519" s="886"/>
      <c r="RJI1519" s="886"/>
      <c r="RJJ1519" s="886"/>
      <c r="RJK1519" s="886"/>
      <c r="RJL1519" s="886"/>
      <c r="RJM1519" s="886"/>
      <c r="RJN1519" s="886"/>
      <c r="RJO1519" s="886"/>
      <c r="RJP1519" s="886"/>
      <c r="RJQ1519" s="886"/>
      <c r="RJR1519" s="886"/>
      <c r="RJS1519" s="886"/>
      <c r="RJT1519" s="886"/>
      <c r="RJU1519" s="886"/>
      <c r="RJV1519" s="886"/>
      <c r="RJW1519" s="886"/>
      <c r="RJX1519" s="886"/>
      <c r="RJY1519" s="886"/>
      <c r="RJZ1519" s="886"/>
      <c r="RKA1519" s="886"/>
      <c r="RKB1519" s="886"/>
      <c r="RKC1519" s="886"/>
      <c r="RKD1519" s="886"/>
      <c r="RKE1519" s="886"/>
      <c r="RKF1519" s="886"/>
      <c r="RKG1519" s="886"/>
      <c r="RKH1519" s="886"/>
      <c r="RKI1519" s="886"/>
      <c r="RKJ1519" s="886"/>
      <c r="RKK1519" s="886"/>
      <c r="RKL1519" s="886"/>
      <c r="RKM1519" s="886"/>
      <c r="RKN1519" s="886"/>
      <c r="RKO1519" s="886"/>
      <c r="RKP1519" s="886"/>
      <c r="RKQ1519" s="886"/>
      <c r="RKR1519" s="886"/>
      <c r="RKS1519" s="886"/>
      <c r="RKT1519" s="886"/>
      <c r="RKU1519" s="886"/>
      <c r="RKV1519" s="886"/>
      <c r="RKW1519" s="886"/>
      <c r="RKX1519" s="886"/>
      <c r="RKY1519" s="886"/>
      <c r="RKZ1519" s="886"/>
      <c r="RLA1519" s="886"/>
      <c r="RLB1519" s="886"/>
      <c r="RLC1519" s="886"/>
      <c r="RLD1519" s="886"/>
      <c r="RLE1519" s="886"/>
      <c r="RLF1519" s="886"/>
      <c r="RLG1519" s="886"/>
      <c r="RLH1519" s="886"/>
      <c r="RLI1519" s="886"/>
      <c r="RLJ1519" s="886"/>
      <c r="RLK1519" s="886"/>
      <c r="RLL1519" s="886"/>
      <c r="RLM1519" s="886"/>
      <c r="RLN1519" s="886"/>
      <c r="RLO1519" s="886"/>
      <c r="RLP1519" s="886"/>
      <c r="RLQ1519" s="886"/>
      <c r="RLR1519" s="886"/>
      <c r="RLS1519" s="886"/>
      <c r="RLT1519" s="886"/>
      <c r="RLU1519" s="886"/>
      <c r="RLV1519" s="886"/>
      <c r="RLW1519" s="886"/>
      <c r="RLX1519" s="886"/>
      <c r="RLY1519" s="886"/>
      <c r="RLZ1519" s="886"/>
      <c r="RMA1519" s="886"/>
      <c r="RMB1519" s="886"/>
      <c r="RMC1519" s="886"/>
      <c r="RMD1519" s="886"/>
      <c r="RME1519" s="886"/>
      <c r="RMF1519" s="886"/>
      <c r="RMG1519" s="886"/>
      <c r="RMH1519" s="886"/>
      <c r="RMI1519" s="886"/>
      <c r="RMJ1519" s="886"/>
      <c r="RMK1519" s="886"/>
      <c r="RML1519" s="886"/>
      <c r="RMM1519" s="886"/>
      <c r="RMN1519" s="886"/>
      <c r="RMO1519" s="886"/>
      <c r="RMP1519" s="886"/>
      <c r="RMQ1519" s="886"/>
      <c r="RMR1519" s="886"/>
      <c r="RMS1519" s="886"/>
      <c r="RMT1519" s="886"/>
      <c r="RMU1519" s="886"/>
      <c r="RMV1519" s="886"/>
      <c r="RMW1519" s="886"/>
      <c r="RMX1519" s="886"/>
      <c r="RMY1519" s="886"/>
      <c r="RMZ1519" s="886"/>
      <c r="RNA1519" s="886"/>
      <c r="RNB1519" s="886"/>
      <c r="RNC1519" s="886"/>
      <c r="RND1519" s="886"/>
      <c r="RNE1519" s="886"/>
      <c r="RNF1519" s="886"/>
      <c r="RNG1519" s="886"/>
      <c r="RNH1519" s="886"/>
      <c r="RNI1519" s="886"/>
      <c r="RNJ1519" s="886"/>
      <c r="RNK1519" s="886"/>
      <c r="RNL1519" s="886"/>
      <c r="RNM1519" s="886"/>
      <c r="RNN1519" s="886"/>
      <c r="RNO1519" s="886"/>
      <c r="RNP1519" s="886"/>
      <c r="RNQ1519" s="886"/>
      <c r="RNR1519" s="886"/>
      <c r="RNS1519" s="886"/>
      <c r="RNT1519" s="886"/>
      <c r="RNU1519" s="886"/>
      <c r="RNV1519" s="886"/>
      <c r="RNW1519" s="886"/>
      <c r="RNX1519" s="886"/>
      <c r="RNY1519" s="886"/>
      <c r="RNZ1519" s="886"/>
      <c r="ROA1519" s="886"/>
      <c r="ROB1519" s="886"/>
      <c r="ROC1519" s="886"/>
      <c r="ROD1519" s="886"/>
      <c r="ROE1519" s="886"/>
      <c r="ROF1519" s="886"/>
      <c r="ROG1519" s="886"/>
      <c r="ROH1519" s="886"/>
      <c r="ROI1519" s="886"/>
      <c r="ROJ1519" s="886"/>
      <c r="ROK1519" s="886"/>
      <c r="ROL1519" s="886"/>
      <c r="ROM1519" s="886"/>
      <c r="RON1519" s="886"/>
      <c r="ROO1519" s="886"/>
      <c r="ROP1519" s="886"/>
      <c r="ROQ1519" s="886"/>
      <c r="ROR1519" s="886"/>
      <c r="ROS1519" s="886"/>
      <c r="ROT1519" s="886"/>
      <c r="ROU1519" s="886"/>
      <c r="ROV1519" s="886"/>
      <c r="ROW1519" s="886"/>
      <c r="ROX1519" s="886"/>
      <c r="ROY1519" s="886"/>
      <c r="ROZ1519" s="886"/>
      <c r="RPA1519" s="886"/>
      <c r="RPB1519" s="886"/>
      <c r="RPC1519" s="886"/>
      <c r="RPD1519" s="886"/>
      <c r="RPE1519" s="886"/>
      <c r="RPF1519" s="886"/>
      <c r="RPG1519" s="886"/>
      <c r="RPH1519" s="886"/>
      <c r="RPI1519" s="886"/>
      <c r="RPJ1519" s="886"/>
      <c r="RPK1519" s="886"/>
      <c r="RPL1519" s="886"/>
      <c r="RPM1519" s="886"/>
      <c r="RPN1519" s="886"/>
      <c r="RPO1519" s="886"/>
      <c r="RPP1519" s="886"/>
      <c r="RPQ1519" s="886"/>
      <c r="RPR1519" s="886"/>
      <c r="RPS1519" s="886"/>
      <c r="RPT1519" s="886"/>
      <c r="RPU1519" s="886"/>
      <c r="RPV1519" s="886"/>
      <c r="RPW1519" s="886"/>
      <c r="RPX1519" s="886"/>
      <c r="RPY1519" s="886"/>
      <c r="RPZ1519" s="886"/>
      <c r="RQA1519" s="886"/>
      <c r="RQB1519" s="886"/>
      <c r="RQC1519" s="886"/>
      <c r="RQD1519" s="886"/>
      <c r="RQE1519" s="886"/>
      <c r="RQF1519" s="886"/>
      <c r="RQG1519" s="886"/>
      <c r="RQH1519" s="886"/>
      <c r="RQI1519" s="886"/>
      <c r="RQJ1519" s="886"/>
      <c r="RQK1519" s="886"/>
      <c r="RQL1519" s="886"/>
      <c r="RQM1519" s="886"/>
      <c r="RQN1519" s="886"/>
      <c r="RQO1519" s="886"/>
      <c r="RQP1519" s="886"/>
      <c r="RQQ1519" s="886"/>
      <c r="RQR1519" s="886"/>
      <c r="RQS1519" s="886"/>
      <c r="RQT1519" s="886"/>
      <c r="RQU1519" s="886"/>
      <c r="RQV1519" s="886"/>
      <c r="RQW1519" s="886"/>
      <c r="RQX1519" s="886"/>
      <c r="RQY1519" s="886"/>
      <c r="RQZ1519" s="886"/>
      <c r="RRA1519" s="886"/>
      <c r="RRB1519" s="886"/>
      <c r="RRC1519" s="886"/>
      <c r="RRD1519" s="886"/>
      <c r="RRE1519" s="886"/>
      <c r="RRF1519" s="886"/>
      <c r="RRG1519" s="886"/>
      <c r="RRH1519" s="886"/>
      <c r="RRI1519" s="886"/>
      <c r="RRJ1519" s="886"/>
      <c r="RRK1519" s="886"/>
      <c r="RRL1519" s="886"/>
      <c r="RRM1519" s="886"/>
      <c r="RRN1519" s="886"/>
      <c r="RRO1519" s="886"/>
      <c r="RRP1519" s="886"/>
      <c r="RRQ1519" s="886"/>
      <c r="RRR1519" s="886"/>
      <c r="RRS1519" s="886"/>
      <c r="RRT1519" s="886"/>
      <c r="RRU1519" s="886"/>
      <c r="RRV1519" s="886"/>
      <c r="RRW1519" s="886"/>
      <c r="RRX1519" s="886"/>
      <c r="RRY1519" s="886"/>
      <c r="RRZ1519" s="886"/>
      <c r="RSA1519" s="886"/>
      <c r="RSB1519" s="886"/>
      <c r="RSC1519" s="886"/>
      <c r="RSD1519" s="886"/>
      <c r="RSE1519" s="886"/>
      <c r="RSF1519" s="886"/>
      <c r="RSG1519" s="886"/>
      <c r="RSH1519" s="886"/>
      <c r="RSI1519" s="886"/>
      <c r="RSJ1519" s="886"/>
      <c r="RSK1519" s="886"/>
      <c r="RSL1519" s="886"/>
      <c r="RSM1519" s="886"/>
      <c r="RSN1519" s="886"/>
      <c r="RSO1519" s="886"/>
      <c r="RSP1519" s="886"/>
      <c r="RSQ1519" s="886"/>
      <c r="RSR1519" s="886"/>
      <c r="RSS1519" s="886"/>
      <c r="RST1519" s="886"/>
      <c r="RSU1519" s="886"/>
      <c r="RSV1519" s="886"/>
      <c r="RSW1519" s="886"/>
      <c r="RSX1519" s="886"/>
      <c r="RSY1519" s="886"/>
      <c r="RSZ1519" s="886"/>
      <c r="RTA1519" s="886"/>
      <c r="RTB1519" s="886"/>
      <c r="RTC1519" s="886"/>
      <c r="RTD1519" s="886"/>
      <c r="RTE1519" s="886"/>
      <c r="RTF1519" s="886"/>
      <c r="RTG1519" s="886"/>
      <c r="RTH1519" s="886"/>
      <c r="RTI1519" s="886"/>
      <c r="RTJ1519" s="886"/>
      <c r="RTK1519" s="886"/>
      <c r="RTL1519" s="886"/>
      <c r="RTM1519" s="886"/>
      <c r="RTN1519" s="886"/>
      <c r="RTO1519" s="886"/>
      <c r="RTP1519" s="886"/>
      <c r="RTQ1519" s="886"/>
      <c r="RTR1519" s="886"/>
      <c r="RTS1519" s="886"/>
      <c r="RTT1519" s="886"/>
      <c r="RTU1519" s="886"/>
      <c r="RTV1519" s="886"/>
      <c r="RTW1519" s="886"/>
      <c r="RTX1519" s="886"/>
      <c r="RTY1519" s="886"/>
      <c r="RTZ1519" s="886"/>
      <c r="RUA1519" s="886"/>
      <c r="RUB1519" s="886"/>
      <c r="RUC1519" s="886"/>
      <c r="RUD1519" s="886"/>
      <c r="RUE1519" s="886"/>
      <c r="RUF1519" s="886"/>
      <c r="RUG1519" s="886"/>
      <c r="RUH1519" s="886"/>
      <c r="RUI1519" s="886"/>
      <c r="RUJ1519" s="886"/>
      <c r="RUK1519" s="886"/>
      <c r="RUL1519" s="886"/>
      <c r="RUM1519" s="886"/>
      <c r="RUN1519" s="886"/>
      <c r="RUO1519" s="886"/>
      <c r="RUP1519" s="886"/>
      <c r="RUQ1519" s="886"/>
      <c r="RUR1519" s="886"/>
      <c r="RUS1519" s="886"/>
      <c r="RUT1519" s="886"/>
      <c r="RUU1519" s="886"/>
      <c r="RUV1519" s="886"/>
      <c r="RUW1519" s="886"/>
      <c r="RUX1519" s="886"/>
      <c r="RUY1519" s="886"/>
      <c r="RUZ1519" s="886"/>
      <c r="RVA1519" s="886"/>
      <c r="RVB1519" s="886"/>
      <c r="RVC1519" s="886"/>
      <c r="RVD1519" s="886"/>
      <c r="RVE1519" s="886"/>
      <c r="RVF1519" s="886"/>
      <c r="RVG1519" s="886"/>
      <c r="RVH1519" s="886"/>
      <c r="RVI1519" s="886"/>
      <c r="RVJ1519" s="886"/>
      <c r="RVK1519" s="886"/>
      <c r="RVL1519" s="886"/>
      <c r="RVM1519" s="886"/>
      <c r="RVN1519" s="886"/>
      <c r="RVO1519" s="886"/>
      <c r="RVP1519" s="886"/>
      <c r="RVQ1519" s="886"/>
      <c r="RVR1519" s="886"/>
      <c r="RVS1519" s="886"/>
      <c r="RVT1519" s="886"/>
      <c r="RVU1519" s="886"/>
      <c r="RVV1519" s="886"/>
      <c r="RVW1519" s="886"/>
      <c r="RVX1519" s="886"/>
      <c r="RVY1519" s="886"/>
      <c r="RVZ1519" s="886"/>
      <c r="RWA1519" s="886"/>
      <c r="RWB1519" s="886"/>
      <c r="RWC1519" s="886"/>
      <c r="RWD1519" s="886"/>
      <c r="RWE1519" s="886"/>
      <c r="RWF1519" s="886"/>
      <c r="RWG1519" s="886"/>
      <c r="RWH1519" s="886"/>
      <c r="RWI1519" s="886"/>
      <c r="RWJ1519" s="886"/>
      <c r="RWK1519" s="886"/>
      <c r="RWL1519" s="886"/>
      <c r="RWM1519" s="886"/>
      <c r="RWN1519" s="886"/>
      <c r="RWO1519" s="886"/>
      <c r="RWP1519" s="886"/>
      <c r="RWQ1519" s="886"/>
      <c r="RWR1519" s="886"/>
      <c r="RWS1519" s="886"/>
      <c r="RWT1519" s="886"/>
      <c r="RWU1519" s="886"/>
      <c r="RWV1519" s="886"/>
      <c r="RWW1519" s="886"/>
      <c r="RWX1519" s="886"/>
      <c r="RWY1519" s="886"/>
      <c r="RWZ1519" s="886"/>
      <c r="RXA1519" s="886"/>
      <c r="RXB1519" s="886"/>
      <c r="RXC1519" s="886"/>
      <c r="RXD1519" s="886"/>
      <c r="RXE1519" s="886"/>
      <c r="RXF1519" s="886"/>
      <c r="RXG1519" s="886"/>
      <c r="RXH1519" s="886"/>
      <c r="RXI1519" s="886"/>
      <c r="RXJ1519" s="886"/>
      <c r="RXK1519" s="886"/>
      <c r="RXL1519" s="886"/>
      <c r="RXM1519" s="886"/>
      <c r="RXN1519" s="886"/>
      <c r="RXO1519" s="886"/>
      <c r="RXP1519" s="886"/>
      <c r="RXQ1519" s="886"/>
      <c r="RXR1519" s="886"/>
      <c r="RXS1519" s="886"/>
      <c r="RXT1519" s="886"/>
      <c r="RXU1519" s="886"/>
      <c r="RXV1519" s="886"/>
      <c r="RXW1519" s="886"/>
      <c r="RXX1519" s="886"/>
      <c r="RXY1519" s="886"/>
      <c r="RXZ1519" s="886"/>
      <c r="RYA1519" s="886"/>
      <c r="RYB1519" s="886"/>
      <c r="RYC1519" s="886"/>
      <c r="RYD1519" s="886"/>
      <c r="RYE1519" s="886"/>
      <c r="RYF1519" s="886"/>
      <c r="RYG1519" s="886"/>
      <c r="RYH1519" s="886"/>
      <c r="RYI1519" s="886"/>
      <c r="RYJ1519" s="886"/>
      <c r="RYK1519" s="886"/>
      <c r="RYL1519" s="886"/>
      <c r="RYM1519" s="886"/>
      <c r="RYN1519" s="886"/>
      <c r="RYO1519" s="886"/>
      <c r="RYP1519" s="886"/>
      <c r="RYQ1519" s="886"/>
      <c r="RYR1519" s="886"/>
      <c r="RYS1519" s="886"/>
      <c r="RYT1519" s="886"/>
      <c r="RYU1519" s="886"/>
      <c r="RYV1519" s="886"/>
      <c r="RYW1519" s="886"/>
      <c r="RYX1519" s="886"/>
      <c r="RYY1519" s="886"/>
      <c r="RYZ1519" s="886"/>
      <c r="RZA1519" s="886"/>
      <c r="RZB1519" s="886"/>
      <c r="RZC1519" s="886"/>
      <c r="RZD1519" s="886"/>
      <c r="RZE1519" s="886"/>
      <c r="RZF1519" s="886"/>
      <c r="RZG1519" s="886"/>
      <c r="RZH1519" s="886"/>
      <c r="RZI1519" s="886"/>
      <c r="RZJ1519" s="886"/>
      <c r="RZK1519" s="886"/>
      <c r="RZL1519" s="886"/>
      <c r="RZM1519" s="886"/>
      <c r="RZN1519" s="886"/>
      <c r="RZO1519" s="886"/>
      <c r="RZP1519" s="886"/>
      <c r="RZQ1519" s="886"/>
      <c r="RZR1519" s="886"/>
      <c r="RZS1519" s="886"/>
      <c r="RZT1519" s="886"/>
      <c r="RZU1519" s="886"/>
      <c r="RZV1519" s="886"/>
      <c r="RZW1519" s="886"/>
      <c r="RZX1519" s="886"/>
      <c r="RZY1519" s="886"/>
      <c r="RZZ1519" s="886"/>
      <c r="SAA1519" s="886"/>
      <c r="SAB1519" s="886"/>
      <c r="SAC1519" s="886"/>
      <c r="SAD1519" s="886"/>
      <c r="SAE1519" s="886"/>
      <c r="SAF1519" s="886"/>
      <c r="SAG1519" s="886"/>
      <c r="SAH1519" s="886"/>
      <c r="SAI1519" s="886"/>
      <c r="SAJ1519" s="886"/>
      <c r="SAK1519" s="886"/>
      <c r="SAL1519" s="886"/>
      <c r="SAM1519" s="886"/>
      <c r="SAN1519" s="886"/>
      <c r="SAO1519" s="886"/>
      <c r="SAP1519" s="886"/>
      <c r="SAQ1519" s="886"/>
      <c r="SAR1519" s="886"/>
      <c r="SAS1519" s="886"/>
      <c r="SAT1519" s="886"/>
      <c r="SAU1519" s="886"/>
      <c r="SAV1519" s="886"/>
      <c r="SAW1519" s="886"/>
      <c r="SAX1519" s="886"/>
      <c r="SAY1519" s="886"/>
      <c r="SAZ1519" s="886"/>
      <c r="SBA1519" s="886"/>
      <c r="SBB1519" s="886"/>
      <c r="SBC1519" s="886"/>
      <c r="SBD1519" s="886"/>
      <c r="SBE1519" s="886"/>
      <c r="SBF1519" s="886"/>
      <c r="SBG1519" s="886"/>
      <c r="SBH1519" s="886"/>
      <c r="SBI1519" s="886"/>
      <c r="SBJ1519" s="886"/>
      <c r="SBK1519" s="886"/>
      <c r="SBL1519" s="886"/>
      <c r="SBM1519" s="886"/>
      <c r="SBN1519" s="886"/>
      <c r="SBO1519" s="886"/>
      <c r="SBP1519" s="886"/>
      <c r="SBQ1519" s="886"/>
      <c r="SBR1519" s="886"/>
      <c r="SBS1519" s="886"/>
      <c r="SBT1519" s="886"/>
      <c r="SBU1519" s="886"/>
      <c r="SBV1519" s="886"/>
      <c r="SBW1519" s="886"/>
      <c r="SBX1519" s="886"/>
      <c r="SBY1519" s="886"/>
      <c r="SBZ1519" s="886"/>
      <c r="SCA1519" s="886"/>
      <c r="SCB1519" s="886"/>
      <c r="SCC1519" s="886"/>
      <c r="SCD1519" s="886"/>
      <c r="SCE1519" s="886"/>
      <c r="SCF1519" s="886"/>
      <c r="SCG1519" s="886"/>
      <c r="SCH1519" s="886"/>
      <c r="SCI1519" s="886"/>
      <c r="SCJ1519" s="886"/>
      <c r="SCK1519" s="886"/>
      <c r="SCL1519" s="886"/>
      <c r="SCM1519" s="886"/>
      <c r="SCN1519" s="886"/>
      <c r="SCO1519" s="886"/>
      <c r="SCP1519" s="886"/>
      <c r="SCQ1519" s="886"/>
      <c r="SCR1519" s="886"/>
      <c r="SCS1519" s="886"/>
      <c r="SCT1519" s="886"/>
      <c r="SCU1519" s="886"/>
      <c r="SCV1519" s="886"/>
      <c r="SCW1519" s="886"/>
      <c r="SCX1519" s="886"/>
      <c r="SCY1519" s="886"/>
      <c r="SCZ1519" s="886"/>
      <c r="SDA1519" s="886"/>
      <c r="SDB1519" s="886"/>
      <c r="SDC1519" s="886"/>
      <c r="SDD1519" s="886"/>
      <c r="SDE1519" s="886"/>
      <c r="SDF1519" s="886"/>
      <c r="SDG1519" s="886"/>
      <c r="SDH1519" s="886"/>
      <c r="SDI1519" s="886"/>
      <c r="SDJ1519" s="886"/>
      <c r="SDK1519" s="886"/>
      <c r="SDL1519" s="886"/>
      <c r="SDM1519" s="886"/>
      <c r="SDN1519" s="886"/>
      <c r="SDO1519" s="886"/>
      <c r="SDP1519" s="886"/>
      <c r="SDQ1519" s="886"/>
      <c r="SDR1519" s="886"/>
      <c r="SDS1519" s="886"/>
      <c r="SDT1519" s="886"/>
      <c r="SDU1519" s="886"/>
      <c r="SDV1519" s="886"/>
      <c r="SDW1519" s="886"/>
      <c r="SDX1519" s="886"/>
      <c r="SDY1519" s="886"/>
      <c r="SDZ1519" s="886"/>
      <c r="SEA1519" s="886"/>
      <c r="SEB1519" s="886"/>
      <c r="SEC1519" s="886"/>
      <c r="SED1519" s="886"/>
      <c r="SEE1519" s="886"/>
      <c r="SEF1519" s="886"/>
      <c r="SEG1519" s="886"/>
      <c r="SEH1519" s="886"/>
      <c r="SEI1519" s="886"/>
      <c r="SEJ1519" s="886"/>
      <c r="SEK1519" s="886"/>
      <c r="SEL1519" s="886"/>
      <c r="SEM1519" s="886"/>
      <c r="SEN1519" s="886"/>
      <c r="SEO1519" s="886"/>
      <c r="SEP1519" s="886"/>
      <c r="SEQ1519" s="886"/>
      <c r="SER1519" s="886"/>
      <c r="SES1519" s="886"/>
      <c r="SET1519" s="886"/>
      <c r="SEU1519" s="886"/>
      <c r="SEV1519" s="886"/>
      <c r="SEW1519" s="886"/>
      <c r="SEX1519" s="886"/>
      <c r="SEY1519" s="886"/>
      <c r="SEZ1519" s="886"/>
      <c r="SFA1519" s="886"/>
      <c r="SFB1519" s="886"/>
      <c r="SFC1519" s="886"/>
      <c r="SFD1519" s="886"/>
      <c r="SFE1519" s="886"/>
      <c r="SFF1519" s="886"/>
      <c r="SFG1519" s="886"/>
      <c r="SFH1519" s="886"/>
      <c r="SFI1519" s="886"/>
      <c r="SFJ1519" s="886"/>
      <c r="SFK1519" s="886"/>
      <c r="SFL1519" s="886"/>
      <c r="SFM1519" s="886"/>
      <c r="SFN1519" s="886"/>
      <c r="SFO1519" s="886"/>
      <c r="SFP1519" s="886"/>
      <c r="SFQ1519" s="886"/>
      <c r="SFR1519" s="886"/>
      <c r="SFS1519" s="886"/>
      <c r="SFT1519" s="886"/>
      <c r="SFU1519" s="886"/>
      <c r="SFV1519" s="886"/>
      <c r="SFW1519" s="886"/>
      <c r="SFX1519" s="886"/>
      <c r="SFY1519" s="886"/>
      <c r="SFZ1519" s="886"/>
      <c r="SGA1519" s="886"/>
      <c r="SGB1519" s="886"/>
      <c r="SGC1519" s="886"/>
      <c r="SGD1519" s="886"/>
      <c r="SGE1519" s="886"/>
      <c r="SGF1519" s="886"/>
      <c r="SGG1519" s="886"/>
      <c r="SGH1519" s="886"/>
      <c r="SGI1519" s="886"/>
      <c r="SGJ1519" s="886"/>
      <c r="SGK1519" s="886"/>
      <c r="SGL1519" s="886"/>
      <c r="SGM1519" s="886"/>
      <c r="SGN1519" s="886"/>
      <c r="SGO1519" s="886"/>
      <c r="SGP1519" s="886"/>
      <c r="SGQ1519" s="886"/>
      <c r="SGR1519" s="886"/>
      <c r="SGS1519" s="886"/>
      <c r="SGT1519" s="886"/>
      <c r="SGU1519" s="886"/>
      <c r="SGV1519" s="886"/>
      <c r="SGW1519" s="886"/>
      <c r="SGX1519" s="886"/>
      <c r="SGY1519" s="886"/>
      <c r="SGZ1519" s="886"/>
      <c r="SHA1519" s="886"/>
      <c r="SHB1519" s="886"/>
      <c r="SHC1519" s="886"/>
      <c r="SHD1519" s="886"/>
      <c r="SHE1519" s="886"/>
      <c r="SHF1519" s="886"/>
      <c r="SHG1519" s="886"/>
      <c r="SHH1519" s="886"/>
      <c r="SHI1519" s="886"/>
      <c r="SHJ1519" s="886"/>
      <c r="SHK1519" s="886"/>
      <c r="SHL1519" s="886"/>
      <c r="SHM1519" s="886"/>
      <c r="SHN1519" s="886"/>
      <c r="SHO1519" s="886"/>
      <c r="SHP1519" s="886"/>
      <c r="SHQ1519" s="886"/>
      <c r="SHR1519" s="886"/>
      <c r="SHS1519" s="886"/>
      <c r="SHT1519" s="886"/>
      <c r="SHU1519" s="886"/>
      <c r="SHV1519" s="886"/>
      <c r="SHW1519" s="886"/>
      <c r="SHX1519" s="886"/>
      <c r="SHY1519" s="886"/>
      <c r="SHZ1519" s="886"/>
      <c r="SIA1519" s="886"/>
      <c r="SIB1519" s="886"/>
      <c r="SIC1519" s="886"/>
      <c r="SID1519" s="886"/>
      <c r="SIE1519" s="886"/>
      <c r="SIF1519" s="886"/>
      <c r="SIG1519" s="886"/>
      <c r="SIH1519" s="886"/>
      <c r="SII1519" s="886"/>
      <c r="SIJ1519" s="886"/>
      <c r="SIK1519" s="886"/>
      <c r="SIL1519" s="886"/>
      <c r="SIM1519" s="886"/>
      <c r="SIN1519" s="886"/>
      <c r="SIO1519" s="886"/>
      <c r="SIP1519" s="886"/>
      <c r="SIQ1519" s="886"/>
      <c r="SIR1519" s="886"/>
      <c r="SIS1519" s="886"/>
      <c r="SIT1519" s="886"/>
      <c r="SIU1519" s="886"/>
      <c r="SIV1519" s="886"/>
      <c r="SIW1519" s="886"/>
      <c r="SIX1519" s="886"/>
      <c r="SIY1519" s="886"/>
      <c r="SIZ1519" s="886"/>
      <c r="SJA1519" s="886"/>
      <c r="SJB1519" s="886"/>
      <c r="SJC1519" s="886"/>
      <c r="SJD1519" s="886"/>
      <c r="SJE1519" s="886"/>
      <c r="SJF1519" s="886"/>
      <c r="SJG1519" s="886"/>
      <c r="SJH1519" s="886"/>
      <c r="SJI1519" s="886"/>
      <c r="SJJ1519" s="886"/>
      <c r="SJK1519" s="886"/>
      <c r="SJL1519" s="886"/>
      <c r="SJM1519" s="886"/>
      <c r="SJN1519" s="886"/>
      <c r="SJO1519" s="886"/>
      <c r="SJP1519" s="886"/>
      <c r="SJQ1519" s="886"/>
      <c r="SJR1519" s="886"/>
      <c r="SJS1519" s="886"/>
      <c r="SJT1519" s="886"/>
      <c r="SJU1519" s="886"/>
      <c r="SJV1519" s="886"/>
      <c r="SJW1519" s="886"/>
      <c r="SJX1519" s="886"/>
      <c r="SJY1519" s="886"/>
      <c r="SJZ1519" s="886"/>
      <c r="SKA1519" s="886"/>
      <c r="SKB1519" s="886"/>
      <c r="SKC1519" s="886"/>
      <c r="SKD1519" s="886"/>
      <c r="SKE1519" s="886"/>
      <c r="SKF1519" s="886"/>
      <c r="SKG1519" s="886"/>
      <c r="SKH1519" s="886"/>
      <c r="SKI1519" s="886"/>
      <c r="SKJ1519" s="886"/>
      <c r="SKK1519" s="886"/>
      <c r="SKL1519" s="886"/>
      <c r="SKM1519" s="886"/>
      <c r="SKN1519" s="886"/>
      <c r="SKO1519" s="886"/>
      <c r="SKP1519" s="886"/>
      <c r="SKQ1519" s="886"/>
      <c r="SKR1519" s="886"/>
      <c r="SKS1519" s="886"/>
      <c r="SKT1519" s="886"/>
      <c r="SKU1519" s="886"/>
      <c r="SKV1519" s="886"/>
      <c r="SKW1519" s="886"/>
      <c r="SKX1519" s="886"/>
      <c r="SKY1519" s="886"/>
      <c r="SKZ1519" s="886"/>
      <c r="SLA1519" s="886"/>
      <c r="SLB1519" s="886"/>
      <c r="SLC1519" s="886"/>
      <c r="SLD1519" s="886"/>
      <c r="SLE1519" s="886"/>
      <c r="SLF1519" s="886"/>
      <c r="SLG1519" s="886"/>
      <c r="SLH1519" s="886"/>
      <c r="SLI1519" s="886"/>
      <c r="SLJ1519" s="886"/>
      <c r="SLK1519" s="886"/>
      <c r="SLL1519" s="886"/>
      <c r="SLM1519" s="886"/>
      <c r="SLN1519" s="886"/>
      <c r="SLO1519" s="886"/>
      <c r="SLP1519" s="886"/>
      <c r="SLQ1519" s="886"/>
      <c r="SLR1519" s="886"/>
      <c r="SLS1519" s="886"/>
      <c r="SLT1519" s="886"/>
      <c r="SLU1519" s="886"/>
      <c r="SLV1519" s="886"/>
      <c r="SLW1519" s="886"/>
      <c r="SLX1519" s="886"/>
      <c r="SLY1519" s="886"/>
      <c r="SLZ1519" s="886"/>
      <c r="SMA1519" s="886"/>
      <c r="SMB1519" s="886"/>
      <c r="SMC1519" s="886"/>
      <c r="SMD1519" s="886"/>
      <c r="SME1519" s="886"/>
      <c r="SMF1519" s="886"/>
      <c r="SMG1519" s="886"/>
      <c r="SMH1519" s="886"/>
      <c r="SMI1519" s="886"/>
      <c r="SMJ1519" s="886"/>
      <c r="SMK1519" s="886"/>
      <c r="SML1519" s="886"/>
      <c r="SMM1519" s="886"/>
      <c r="SMN1519" s="886"/>
      <c r="SMO1519" s="886"/>
      <c r="SMP1519" s="886"/>
      <c r="SMQ1519" s="886"/>
      <c r="SMR1519" s="886"/>
      <c r="SMS1519" s="886"/>
      <c r="SMT1519" s="886"/>
      <c r="SMU1519" s="886"/>
      <c r="SMV1519" s="886"/>
      <c r="SMW1519" s="886"/>
      <c r="SMX1519" s="886"/>
      <c r="SMY1519" s="886"/>
      <c r="SMZ1519" s="886"/>
      <c r="SNA1519" s="886"/>
      <c r="SNB1519" s="886"/>
      <c r="SNC1519" s="886"/>
      <c r="SND1519" s="886"/>
      <c r="SNE1519" s="886"/>
      <c r="SNF1519" s="886"/>
      <c r="SNG1519" s="886"/>
      <c r="SNH1519" s="886"/>
      <c r="SNI1519" s="886"/>
      <c r="SNJ1519" s="886"/>
      <c r="SNK1519" s="886"/>
      <c r="SNL1519" s="886"/>
      <c r="SNM1519" s="886"/>
      <c r="SNN1519" s="886"/>
      <c r="SNO1519" s="886"/>
      <c r="SNP1519" s="886"/>
      <c r="SNQ1519" s="886"/>
      <c r="SNR1519" s="886"/>
      <c r="SNS1519" s="886"/>
      <c r="SNT1519" s="886"/>
      <c r="SNU1519" s="886"/>
      <c r="SNV1519" s="886"/>
      <c r="SNW1519" s="886"/>
      <c r="SNX1519" s="886"/>
      <c r="SNY1519" s="886"/>
      <c r="SNZ1519" s="886"/>
      <c r="SOA1519" s="886"/>
      <c r="SOB1519" s="886"/>
      <c r="SOC1519" s="886"/>
      <c r="SOD1519" s="886"/>
      <c r="SOE1519" s="886"/>
      <c r="SOF1519" s="886"/>
      <c r="SOG1519" s="886"/>
      <c r="SOH1519" s="886"/>
      <c r="SOI1519" s="886"/>
      <c r="SOJ1519" s="886"/>
      <c r="SOK1519" s="886"/>
      <c r="SOL1519" s="886"/>
      <c r="SOM1519" s="886"/>
      <c r="SON1519" s="886"/>
      <c r="SOO1519" s="886"/>
      <c r="SOP1519" s="886"/>
      <c r="SOQ1519" s="886"/>
      <c r="SOR1519" s="886"/>
      <c r="SOS1519" s="886"/>
      <c r="SOT1519" s="886"/>
      <c r="SOU1519" s="886"/>
      <c r="SOV1519" s="886"/>
      <c r="SOW1519" s="886"/>
      <c r="SOX1519" s="886"/>
      <c r="SOY1519" s="886"/>
      <c r="SOZ1519" s="886"/>
      <c r="SPA1519" s="886"/>
      <c r="SPB1519" s="886"/>
      <c r="SPC1519" s="886"/>
      <c r="SPD1519" s="886"/>
      <c r="SPE1519" s="886"/>
      <c r="SPF1519" s="886"/>
      <c r="SPG1519" s="886"/>
      <c r="SPH1519" s="886"/>
      <c r="SPI1519" s="886"/>
      <c r="SPJ1519" s="886"/>
      <c r="SPK1519" s="886"/>
      <c r="SPL1519" s="886"/>
      <c r="SPM1519" s="886"/>
      <c r="SPN1519" s="886"/>
      <c r="SPO1519" s="886"/>
      <c r="SPP1519" s="886"/>
      <c r="SPQ1519" s="886"/>
      <c r="SPR1519" s="886"/>
      <c r="SPS1519" s="886"/>
      <c r="SPT1519" s="886"/>
      <c r="SPU1519" s="886"/>
      <c r="SPV1519" s="886"/>
      <c r="SPW1519" s="886"/>
      <c r="SPX1519" s="886"/>
      <c r="SPY1519" s="886"/>
      <c r="SPZ1519" s="886"/>
      <c r="SQA1519" s="886"/>
      <c r="SQB1519" s="886"/>
      <c r="SQC1519" s="886"/>
      <c r="SQD1519" s="886"/>
      <c r="SQE1519" s="886"/>
      <c r="SQF1519" s="886"/>
      <c r="SQG1519" s="886"/>
      <c r="SQH1519" s="886"/>
      <c r="SQI1519" s="886"/>
      <c r="SQJ1519" s="886"/>
      <c r="SQK1519" s="886"/>
      <c r="SQL1519" s="886"/>
      <c r="SQM1519" s="886"/>
      <c r="SQN1519" s="886"/>
      <c r="SQO1519" s="886"/>
      <c r="SQP1519" s="886"/>
      <c r="SQQ1519" s="886"/>
      <c r="SQR1519" s="886"/>
      <c r="SQS1519" s="886"/>
      <c r="SQT1519" s="886"/>
      <c r="SQU1519" s="886"/>
      <c r="SQV1519" s="886"/>
      <c r="SQW1519" s="886"/>
      <c r="SQX1519" s="886"/>
      <c r="SQY1519" s="886"/>
      <c r="SQZ1519" s="886"/>
      <c r="SRA1519" s="886"/>
      <c r="SRB1519" s="886"/>
      <c r="SRC1519" s="886"/>
      <c r="SRD1519" s="886"/>
      <c r="SRE1519" s="886"/>
      <c r="SRF1519" s="886"/>
      <c r="SRG1519" s="886"/>
      <c r="SRH1519" s="886"/>
      <c r="SRI1519" s="886"/>
      <c r="SRJ1519" s="886"/>
      <c r="SRK1519" s="886"/>
      <c r="SRL1519" s="886"/>
      <c r="SRM1519" s="886"/>
      <c r="SRN1519" s="886"/>
      <c r="SRO1519" s="886"/>
      <c r="SRP1519" s="886"/>
      <c r="SRQ1519" s="886"/>
      <c r="SRR1519" s="886"/>
      <c r="SRS1519" s="886"/>
      <c r="SRT1519" s="886"/>
      <c r="SRU1519" s="886"/>
      <c r="SRV1519" s="886"/>
      <c r="SRW1519" s="886"/>
      <c r="SRX1519" s="886"/>
      <c r="SRY1519" s="886"/>
      <c r="SRZ1519" s="886"/>
      <c r="SSA1519" s="886"/>
      <c r="SSB1519" s="886"/>
      <c r="SSC1519" s="886"/>
      <c r="SSD1519" s="886"/>
      <c r="SSE1519" s="886"/>
      <c r="SSF1519" s="886"/>
      <c r="SSG1519" s="886"/>
      <c r="SSH1519" s="886"/>
      <c r="SSI1519" s="886"/>
      <c r="SSJ1519" s="886"/>
      <c r="SSK1519" s="886"/>
      <c r="SSL1519" s="886"/>
      <c r="SSM1519" s="886"/>
      <c r="SSN1519" s="886"/>
      <c r="SSO1519" s="886"/>
      <c r="SSP1519" s="886"/>
      <c r="SSQ1519" s="886"/>
      <c r="SSR1519" s="886"/>
      <c r="SSS1519" s="886"/>
      <c r="SST1519" s="886"/>
      <c r="SSU1519" s="886"/>
      <c r="SSV1519" s="886"/>
      <c r="SSW1519" s="886"/>
      <c r="SSX1519" s="886"/>
      <c r="SSY1519" s="886"/>
      <c r="SSZ1519" s="886"/>
      <c r="STA1519" s="886"/>
      <c r="STB1519" s="886"/>
      <c r="STC1519" s="886"/>
      <c r="STD1519" s="886"/>
      <c r="STE1519" s="886"/>
      <c r="STF1519" s="886"/>
      <c r="STG1519" s="886"/>
      <c r="STH1519" s="886"/>
      <c r="STI1519" s="886"/>
      <c r="STJ1519" s="886"/>
      <c r="STK1519" s="886"/>
      <c r="STL1519" s="886"/>
      <c r="STM1519" s="886"/>
      <c r="STN1519" s="886"/>
      <c r="STO1519" s="886"/>
      <c r="STP1519" s="886"/>
      <c r="STQ1519" s="886"/>
      <c r="STR1519" s="886"/>
      <c r="STS1519" s="886"/>
      <c r="STT1519" s="886"/>
      <c r="STU1519" s="886"/>
      <c r="STV1519" s="886"/>
      <c r="STW1519" s="886"/>
      <c r="STX1519" s="886"/>
      <c r="STY1519" s="886"/>
      <c r="STZ1519" s="886"/>
      <c r="SUA1519" s="886"/>
      <c r="SUB1519" s="886"/>
      <c r="SUC1519" s="886"/>
      <c r="SUD1519" s="886"/>
      <c r="SUE1519" s="886"/>
      <c r="SUF1519" s="886"/>
      <c r="SUG1519" s="886"/>
      <c r="SUH1519" s="886"/>
      <c r="SUI1519" s="886"/>
      <c r="SUJ1519" s="886"/>
      <c r="SUK1519" s="886"/>
      <c r="SUL1519" s="886"/>
      <c r="SUM1519" s="886"/>
      <c r="SUN1519" s="886"/>
      <c r="SUO1519" s="886"/>
      <c r="SUP1519" s="886"/>
      <c r="SUQ1519" s="886"/>
      <c r="SUR1519" s="886"/>
      <c r="SUS1519" s="886"/>
      <c r="SUT1519" s="886"/>
      <c r="SUU1519" s="886"/>
      <c r="SUV1519" s="886"/>
      <c r="SUW1519" s="886"/>
      <c r="SUX1519" s="886"/>
      <c r="SUY1519" s="886"/>
      <c r="SUZ1519" s="886"/>
      <c r="SVA1519" s="886"/>
      <c r="SVB1519" s="886"/>
      <c r="SVC1519" s="886"/>
      <c r="SVD1519" s="886"/>
      <c r="SVE1519" s="886"/>
      <c r="SVF1519" s="886"/>
      <c r="SVG1519" s="886"/>
      <c r="SVH1519" s="886"/>
      <c r="SVI1519" s="886"/>
      <c r="SVJ1519" s="886"/>
      <c r="SVK1519" s="886"/>
      <c r="SVL1519" s="886"/>
      <c r="SVM1519" s="886"/>
      <c r="SVN1519" s="886"/>
      <c r="SVO1519" s="886"/>
      <c r="SVP1519" s="886"/>
      <c r="SVQ1519" s="886"/>
      <c r="SVR1519" s="886"/>
      <c r="SVS1519" s="886"/>
      <c r="SVT1519" s="886"/>
      <c r="SVU1519" s="886"/>
      <c r="SVV1519" s="886"/>
      <c r="SVW1519" s="886"/>
      <c r="SVX1519" s="886"/>
      <c r="SVY1519" s="886"/>
      <c r="SVZ1519" s="886"/>
      <c r="SWA1519" s="886"/>
      <c r="SWB1519" s="886"/>
      <c r="SWC1519" s="886"/>
      <c r="SWD1519" s="886"/>
      <c r="SWE1519" s="886"/>
      <c r="SWF1519" s="886"/>
      <c r="SWG1519" s="886"/>
      <c r="SWH1519" s="886"/>
      <c r="SWI1519" s="886"/>
      <c r="SWJ1519" s="886"/>
      <c r="SWK1519" s="886"/>
      <c r="SWL1519" s="886"/>
      <c r="SWM1519" s="886"/>
      <c r="SWN1519" s="886"/>
      <c r="SWO1519" s="886"/>
      <c r="SWP1519" s="886"/>
      <c r="SWQ1519" s="886"/>
      <c r="SWR1519" s="886"/>
      <c r="SWS1519" s="886"/>
      <c r="SWT1519" s="886"/>
      <c r="SWU1519" s="886"/>
      <c r="SWV1519" s="886"/>
      <c r="SWW1519" s="886"/>
      <c r="SWX1519" s="886"/>
      <c r="SWY1519" s="886"/>
      <c r="SWZ1519" s="886"/>
      <c r="SXA1519" s="886"/>
      <c r="SXB1519" s="886"/>
      <c r="SXC1519" s="886"/>
      <c r="SXD1519" s="886"/>
      <c r="SXE1519" s="886"/>
      <c r="SXF1519" s="886"/>
      <c r="SXG1519" s="886"/>
      <c r="SXH1519" s="886"/>
      <c r="SXI1519" s="886"/>
      <c r="SXJ1519" s="886"/>
      <c r="SXK1519" s="886"/>
      <c r="SXL1519" s="886"/>
      <c r="SXM1519" s="886"/>
      <c r="SXN1519" s="886"/>
      <c r="SXO1519" s="886"/>
      <c r="SXP1519" s="886"/>
      <c r="SXQ1519" s="886"/>
      <c r="SXR1519" s="886"/>
      <c r="SXS1519" s="886"/>
      <c r="SXT1519" s="886"/>
      <c r="SXU1519" s="886"/>
      <c r="SXV1519" s="886"/>
      <c r="SXW1519" s="886"/>
      <c r="SXX1519" s="886"/>
      <c r="SXY1519" s="886"/>
      <c r="SXZ1519" s="886"/>
      <c r="SYA1519" s="886"/>
      <c r="SYB1519" s="886"/>
      <c r="SYC1519" s="886"/>
      <c r="SYD1519" s="886"/>
      <c r="SYE1519" s="886"/>
      <c r="SYF1519" s="886"/>
      <c r="SYG1519" s="886"/>
      <c r="SYH1519" s="886"/>
      <c r="SYI1519" s="886"/>
      <c r="SYJ1519" s="886"/>
      <c r="SYK1519" s="886"/>
      <c r="SYL1519" s="886"/>
      <c r="SYM1519" s="886"/>
      <c r="SYN1519" s="886"/>
      <c r="SYO1519" s="886"/>
      <c r="SYP1519" s="886"/>
      <c r="SYQ1519" s="886"/>
      <c r="SYR1519" s="886"/>
      <c r="SYS1519" s="886"/>
      <c r="SYT1519" s="886"/>
      <c r="SYU1519" s="886"/>
      <c r="SYV1519" s="886"/>
      <c r="SYW1519" s="886"/>
      <c r="SYX1519" s="886"/>
      <c r="SYY1519" s="886"/>
      <c r="SYZ1519" s="886"/>
      <c r="SZA1519" s="886"/>
      <c r="SZB1519" s="886"/>
      <c r="SZC1519" s="886"/>
      <c r="SZD1519" s="886"/>
      <c r="SZE1519" s="886"/>
      <c r="SZF1519" s="886"/>
      <c r="SZG1519" s="886"/>
      <c r="SZH1519" s="886"/>
      <c r="SZI1519" s="886"/>
      <c r="SZJ1519" s="886"/>
      <c r="SZK1519" s="886"/>
      <c r="SZL1519" s="886"/>
      <c r="SZM1519" s="886"/>
      <c r="SZN1519" s="886"/>
      <c r="SZO1519" s="886"/>
      <c r="SZP1519" s="886"/>
      <c r="SZQ1519" s="886"/>
      <c r="SZR1519" s="886"/>
      <c r="SZS1519" s="886"/>
      <c r="SZT1519" s="886"/>
      <c r="SZU1519" s="886"/>
      <c r="SZV1519" s="886"/>
      <c r="SZW1519" s="886"/>
      <c r="SZX1519" s="886"/>
      <c r="SZY1519" s="886"/>
      <c r="SZZ1519" s="886"/>
      <c r="TAA1519" s="886"/>
      <c r="TAB1519" s="886"/>
      <c r="TAC1519" s="886"/>
      <c r="TAD1519" s="886"/>
      <c r="TAE1519" s="886"/>
      <c r="TAF1519" s="886"/>
      <c r="TAG1519" s="886"/>
      <c r="TAH1519" s="886"/>
      <c r="TAI1519" s="886"/>
      <c r="TAJ1519" s="886"/>
      <c r="TAK1519" s="886"/>
      <c r="TAL1519" s="886"/>
      <c r="TAM1519" s="886"/>
      <c r="TAN1519" s="886"/>
      <c r="TAO1519" s="886"/>
      <c r="TAP1519" s="886"/>
      <c r="TAQ1519" s="886"/>
      <c r="TAR1519" s="886"/>
      <c r="TAS1519" s="886"/>
      <c r="TAT1519" s="886"/>
      <c r="TAU1519" s="886"/>
      <c r="TAV1519" s="886"/>
      <c r="TAW1519" s="886"/>
      <c r="TAX1519" s="886"/>
      <c r="TAY1519" s="886"/>
      <c r="TAZ1519" s="886"/>
      <c r="TBA1519" s="886"/>
      <c r="TBB1519" s="886"/>
      <c r="TBC1519" s="886"/>
      <c r="TBD1519" s="886"/>
      <c r="TBE1519" s="886"/>
      <c r="TBF1519" s="886"/>
      <c r="TBG1519" s="886"/>
      <c r="TBH1519" s="886"/>
      <c r="TBI1519" s="886"/>
      <c r="TBJ1519" s="886"/>
      <c r="TBK1519" s="886"/>
      <c r="TBL1519" s="886"/>
      <c r="TBM1519" s="886"/>
      <c r="TBN1519" s="886"/>
      <c r="TBO1519" s="886"/>
      <c r="TBP1519" s="886"/>
      <c r="TBQ1519" s="886"/>
      <c r="TBR1519" s="886"/>
      <c r="TBS1519" s="886"/>
      <c r="TBT1519" s="886"/>
      <c r="TBU1519" s="886"/>
      <c r="TBV1519" s="886"/>
      <c r="TBW1519" s="886"/>
      <c r="TBX1519" s="886"/>
      <c r="TBY1519" s="886"/>
      <c r="TBZ1519" s="886"/>
      <c r="TCA1519" s="886"/>
      <c r="TCB1519" s="886"/>
      <c r="TCC1519" s="886"/>
      <c r="TCD1519" s="886"/>
      <c r="TCE1519" s="886"/>
      <c r="TCF1519" s="886"/>
      <c r="TCG1519" s="886"/>
      <c r="TCH1519" s="886"/>
      <c r="TCI1519" s="886"/>
      <c r="TCJ1519" s="886"/>
      <c r="TCK1519" s="886"/>
      <c r="TCL1519" s="886"/>
      <c r="TCM1519" s="886"/>
      <c r="TCN1519" s="886"/>
      <c r="TCO1519" s="886"/>
      <c r="TCP1519" s="886"/>
      <c r="TCQ1519" s="886"/>
      <c r="TCR1519" s="886"/>
      <c r="TCS1519" s="886"/>
      <c r="TCT1519" s="886"/>
      <c r="TCU1519" s="886"/>
      <c r="TCV1519" s="886"/>
      <c r="TCW1519" s="886"/>
      <c r="TCX1519" s="886"/>
      <c r="TCY1519" s="886"/>
      <c r="TCZ1519" s="886"/>
      <c r="TDA1519" s="886"/>
      <c r="TDB1519" s="886"/>
      <c r="TDC1519" s="886"/>
      <c r="TDD1519" s="886"/>
      <c r="TDE1519" s="886"/>
      <c r="TDF1519" s="886"/>
      <c r="TDG1519" s="886"/>
      <c r="TDH1519" s="886"/>
      <c r="TDI1519" s="886"/>
      <c r="TDJ1519" s="886"/>
      <c r="TDK1519" s="886"/>
      <c r="TDL1519" s="886"/>
      <c r="TDM1519" s="886"/>
      <c r="TDN1519" s="886"/>
      <c r="TDO1519" s="886"/>
      <c r="TDP1519" s="886"/>
      <c r="TDQ1519" s="886"/>
      <c r="TDR1519" s="886"/>
      <c r="TDS1519" s="886"/>
      <c r="TDT1519" s="886"/>
      <c r="TDU1519" s="886"/>
      <c r="TDV1519" s="886"/>
      <c r="TDW1519" s="886"/>
      <c r="TDX1519" s="886"/>
      <c r="TDY1519" s="886"/>
      <c r="TDZ1519" s="886"/>
      <c r="TEA1519" s="886"/>
      <c r="TEB1519" s="886"/>
      <c r="TEC1519" s="886"/>
      <c r="TED1519" s="886"/>
      <c r="TEE1519" s="886"/>
      <c r="TEF1519" s="886"/>
      <c r="TEG1519" s="886"/>
      <c r="TEH1519" s="886"/>
      <c r="TEI1519" s="886"/>
      <c r="TEJ1519" s="886"/>
      <c r="TEK1519" s="886"/>
      <c r="TEL1519" s="886"/>
      <c r="TEM1519" s="886"/>
      <c r="TEN1519" s="886"/>
      <c r="TEO1519" s="886"/>
      <c r="TEP1519" s="886"/>
      <c r="TEQ1519" s="886"/>
      <c r="TER1519" s="886"/>
      <c r="TES1519" s="886"/>
      <c r="TET1519" s="886"/>
      <c r="TEU1519" s="886"/>
      <c r="TEV1519" s="886"/>
      <c r="TEW1519" s="886"/>
      <c r="TEX1519" s="886"/>
      <c r="TEY1519" s="886"/>
      <c r="TEZ1519" s="886"/>
      <c r="TFA1519" s="886"/>
      <c r="TFB1519" s="886"/>
      <c r="TFC1519" s="886"/>
      <c r="TFD1519" s="886"/>
      <c r="TFE1519" s="886"/>
      <c r="TFF1519" s="886"/>
      <c r="TFG1519" s="886"/>
      <c r="TFH1519" s="886"/>
      <c r="TFI1519" s="886"/>
      <c r="TFJ1519" s="886"/>
      <c r="TFK1519" s="886"/>
      <c r="TFL1519" s="886"/>
      <c r="TFM1519" s="886"/>
      <c r="TFN1519" s="886"/>
      <c r="TFO1519" s="886"/>
      <c r="TFP1519" s="886"/>
      <c r="TFQ1519" s="886"/>
      <c r="TFR1519" s="886"/>
      <c r="TFS1519" s="886"/>
      <c r="TFT1519" s="886"/>
      <c r="TFU1519" s="886"/>
      <c r="TFV1519" s="886"/>
      <c r="TFW1519" s="886"/>
      <c r="TFX1519" s="886"/>
      <c r="TFY1519" s="886"/>
      <c r="TFZ1519" s="886"/>
      <c r="TGA1519" s="886"/>
      <c r="TGB1519" s="886"/>
      <c r="TGC1519" s="886"/>
      <c r="TGD1519" s="886"/>
      <c r="TGE1519" s="886"/>
      <c r="TGF1519" s="886"/>
      <c r="TGG1519" s="886"/>
      <c r="TGH1519" s="886"/>
      <c r="TGI1519" s="886"/>
      <c r="TGJ1519" s="886"/>
      <c r="TGK1519" s="886"/>
      <c r="TGL1519" s="886"/>
      <c r="TGM1519" s="886"/>
      <c r="TGN1519" s="886"/>
      <c r="TGO1519" s="886"/>
      <c r="TGP1519" s="886"/>
      <c r="TGQ1519" s="886"/>
      <c r="TGR1519" s="886"/>
      <c r="TGS1519" s="886"/>
      <c r="TGT1519" s="886"/>
      <c r="TGU1519" s="886"/>
      <c r="TGV1519" s="886"/>
      <c r="TGW1519" s="886"/>
      <c r="TGX1519" s="886"/>
      <c r="TGY1519" s="886"/>
      <c r="TGZ1519" s="886"/>
      <c r="THA1519" s="886"/>
      <c r="THB1519" s="886"/>
      <c r="THC1519" s="886"/>
      <c r="THD1519" s="886"/>
      <c r="THE1519" s="886"/>
      <c r="THF1519" s="886"/>
      <c r="THG1519" s="886"/>
      <c r="THH1519" s="886"/>
      <c r="THI1519" s="886"/>
      <c r="THJ1519" s="886"/>
      <c r="THK1519" s="886"/>
      <c r="THL1519" s="886"/>
      <c r="THM1519" s="886"/>
      <c r="THN1519" s="886"/>
      <c r="THO1519" s="886"/>
      <c r="THP1519" s="886"/>
      <c r="THQ1519" s="886"/>
      <c r="THR1519" s="886"/>
      <c r="THS1519" s="886"/>
      <c r="THT1519" s="886"/>
      <c r="THU1519" s="886"/>
      <c r="THV1519" s="886"/>
      <c r="THW1519" s="886"/>
      <c r="THX1519" s="886"/>
      <c r="THY1519" s="886"/>
      <c r="THZ1519" s="886"/>
      <c r="TIA1519" s="886"/>
      <c r="TIB1519" s="886"/>
      <c r="TIC1519" s="886"/>
      <c r="TID1519" s="886"/>
      <c r="TIE1519" s="886"/>
      <c r="TIF1519" s="886"/>
      <c r="TIG1519" s="886"/>
      <c r="TIH1519" s="886"/>
      <c r="TII1519" s="886"/>
      <c r="TIJ1519" s="886"/>
      <c r="TIK1519" s="886"/>
      <c r="TIL1519" s="886"/>
      <c r="TIM1519" s="886"/>
      <c r="TIN1519" s="886"/>
      <c r="TIO1519" s="886"/>
      <c r="TIP1519" s="886"/>
      <c r="TIQ1519" s="886"/>
      <c r="TIR1519" s="886"/>
      <c r="TIS1519" s="886"/>
      <c r="TIT1519" s="886"/>
      <c r="TIU1519" s="886"/>
      <c r="TIV1519" s="886"/>
      <c r="TIW1519" s="886"/>
      <c r="TIX1519" s="886"/>
      <c r="TIY1519" s="886"/>
      <c r="TIZ1519" s="886"/>
      <c r="TJA1519" s="886"/>
      <c r="TJB1519" s="886"/>
      <c r="TJC1519" s="886"/>
      <c r="TJD1519" s="886"/>
      <c r="TJE1519" s="886"/>
      <c r="TJF1519" s="886"/>
      <c r="TJG1519" s="886"/>
      <c r="TJH1519" s="886"/>
      <c r="TJI1519" s="886"/>
      <c r="TJJ1519" s="886"/>
      <c r="TJK1519" s="886"/>
      <c r="TJL1519" s="886"/>
      <c r="TJM1519" s="886"/>
      <c r="TJN1519" s="886"/>
      <c r="TJO1519" s="886"/>
      <c r="TJP1519" s="886"/>
      <c r="TJQ1519" s="886"/>
      <c r="TJR1519" s="886"/>
      <c r="TJS1519" s="886"/>
      <c r="TJT1519" s="886"/>
      <c r="TJU1519" s="886"/>
      <c r="TJV1519" s="886"/>
      <c r="TJW1519" s="886"/>
      <c r="TJX1519" s="886"/>
      <c r="TJY1519" s="886"/>
      <c r="TJZ1519" s="886"/>
      <c r="TKA1519" s="886"/>
      <c r="TKB1519" s="886"/>
      <c r="TKC1519" s="886"/>
      <c r="TKD1519" s="886"/>
      <c r="TKE1519" s="886"/>
      <c r="TKF1519" s="886"/>
      <c r="TKG1519" s="886"/>
      <c r="TKH1519" s="886"/>
      <c r="TKI1519" s="886"/>
      <c r="TKJ1519" s="886"/>
      <c r="TKK1519" s="886"/>
      <c r="TKL1519" s="886"/>
      <c r="TKM1519" s="886"/>
      <c r="TKN1519" s="886"/>
      <c r="TKO1519" s="886"/>
      <c r="TKP1519" s="886"/>
      <c r="TKQ1519" s="886"/>
      <c r="TKR1519" s="886"/>
      <c r="TKS1519" s="886"/>
      <c r="TKT1519" s="886"/>
      <c r="TKU1519" s="886"/>
      <c r="TKV1519" s="886"/>
      <c r="TKW1519" s="886"/>
      <c r="TKX1519" s="886"/>
      <c r="TKY1519" s="886"/>
      <c r="TKZ1519" s="886"/>
      <c r="TLA1519" s="886"/>
      <c r="TLB1519" s="886"/>
      <c r="TLC1519" s="886"/>
      <c r="TLD1519" s="886"/>
      <c r="TLE1519" s="886"/>
      <c r="TLF1519" s="886"/>
      <c r="TLG1519" s="886"/>
      <c r="TLH1519" s="886"/>
      <c r="TLI1519" s="886"/>
      <c r="TLJ1519" s="886"/>
      <c r="TLK1519" s="886"/>
      <c r="TLL1519" s="886"/>
      <c r="TLM1519" s="886"/>
      <c r="TLN1519" s="886"/>
      <c r="TLO1519" s="886"/>
      <c r="TLP1519" s="886"/>
      <c r="TLQ1519" s="886"/>
      <c r="TLR1519" s="886"/>
      <c r="TLS1519" s="886"/>
      <c r="TLT1519" s="886"/>
      <c r="TLU1519" s="886"/>
      <c r="TLV1519" s="886"/>
      <c r="TLW1519" s="886"/>
      <c r="TLX1519" s="886"/>
      <c r="TLY1519" s="886"/>
      <c r="TLZ1519" s="886"/>
      <c r="TMA1519" s="886"/>
      <c r="TMB1519" s="886"/>
      <c r="TMC1519" s="886"/>
      <c r="TMD1519" s="886"/>
      <c r="TME1519" s="886"/>
      <c r="TMF1519" s="886"/>
      <c r="TMG1519" s="886"/>
      <c r="TMH1519" s="886"/>
      <c r="TMI1519" s="886"/>
      <c r="TMJ1519" s="886"/>
      <c r="TMK1519" s="886"/>
      <c r="TML1519" s="886"/>
      <c r="TMM1519" s="886"/>
      <c r="TMN1519" s="886"/>
      <c r="TMO1519" s="886"/>
      <c r="TMP1519" s="886"/>
      <c r="TMQ1519" s="886"/>
      <c r="TMR1519" s="886"/>
      <c r="TMS1519" s="886"/>
      <c r="TMT1519" s="886"/>
      <c r="TMU1519" s="886"/>
      <c r="TMV1519" s="886"/>
      <c r="TMW1519" s="886"/>
      <c r="TMX1519" s="886"/>
      <c r="TMY1519" s="886"/>
      <c r="TMZ1519" s="886"/>
      <c r="TNA1519" s="886"/>
      <c r="TNB1519" s="886"/>
      <c r="TNC1519" s="886"/>
      <c r="TND1519" s="886"/>
      <c r="TNE1519" s="886"/>
      <c r="TNF1519" s="886"/>
      <c r="TNG1519" s="886"/>
      <c r="TNH1519" s="886"/>
      <c r="TNI1519" s="886"/>
      <c r="TNJ1519" s="886"/>
      <c r="TNK1519" s="886"/>
      <c r="TNL1519" s="886"/>
      <c r="TNM1519" s="886"/>
      <c r="TNN1519" s="886"/>
      <c r="TNO1519" s="886"/>
      <c r="TNP1519" s="886"/>
      <c r="TNQ1519" s="886"/>
      <c r="TNR1519" s="886"/>
      <c r="TNS1519" s="886"/>
      <c r="TNT1519" s="886"/>
      <c r="TNU1519" s="886"/>
      <c r="TNV1519" s="886"/>
      <c r="TNW1519" s="886"/>
      <c r="TNX1519" s="886"/>
      <c r="TNY1519" s="886"/>
      <c r="TNZ1519" s="886"/>
      <c r="TOA1519" s="886"/>
      <c r="TOB1519" s="886"/>
      <c r="TOC1519" s="886"/>
      <c r="TOD1519" s="886"/>
      <c r="TOE1519" s="886"/>
      <c r="TOF1519" s="886"/>
      <c r="TOG1519" s="886"/>
      <c r="TOH1519" s="886"/>
      <c r="TOI1519" s="886"/>
      <c r="TOJ1519" s="886"/>
      <c r="TOK1519" s="886"/>
      <c r="TOL1519" s="886"/>
      <c r="TOM1519" s="886"/>
      <c r="TON1519" s="886"/>
      <c r="TOO1519" s="886"/>
      <c r="TOP1519" s="886"/>
      <c r="TOQ1519" s="886"/>
      <c r="TOR1519" s="886"/>
      <c r="TOS1519" s="886"/>
      <c r="TOT1519" s="886"/>
      <c r="TOU1519" s="886"/>
      <c r="TOV1519" s="886"/>
      <c r="TOW1519" s="886"/>
      <c r="TOX1519" s="886"/>
      <c r="TOY1519" s="886"/>
      <c r="TOZ1519" s="886"/>
      <c r="TPA1519" s="886"/>
      <c r="TPB1519" s="886"/>
      <c r="TPC1519" s="886"/>
      <c r="TPD1519" s="886"/>
      <c r="TPE1519" s="886"/>
      <c r="TPF1519" s="886"/>
      <c r="TPG1519" s="886"/>
      <c r="TPH1519" s="886"/>
      <c r="TPI1519" s="886"/>
      <c r="TPJ1519" s="886"/>
      <c r="TPK1519" s="886"/>
      <c r="TPL1519" s="886"/>
      <c r="TPM1519" s="886"/>
      <c r="TPN1519" s="886"/>
      <c r="TPO1519" s="886"/>
      <c r="TPP1519" s="886"/>
      <c r="TPQ1519" s="886"/>
      <c r="TPR1519" s="886"/>
      <c r="TPS1519" s="886"/>
      <c r="TPT1519" s="886"/>
      <c r="TPU1519" s="886"/>
      <c r="TPV1519" s="886"/>
      <c r="TPW1519" s="886"/>
      <c r="TPX1519" s="886"/>
      <c r="TPY1519" s="886"/>
      <c r="TPZ1519" s="886"/>
      <c r="TQA1519" s="886"/>
      <c r="TQB1519" s="886"/>
      <c r="TQC1519" s="886"/>
      <c r="TQD1519" s="886"/>
      <c r="TQE1519" s="886"/>
      <c r="TQF1519" s="886"/>
      <c r="TQG1519" s="886"/>
      <c r="TQH1519" s="886"/>
      <c r="TQI1519" s="886"/>
      <c r="TQJ1519" s="886"/>
      <c r="TQK1519" s="886"/>
      <c r="TQL1519" s="886"/>
      <c r="TQM1519" s="886"/>
      <c r="TQN1519" s="886"/>
      <c r="TQO1519" s="886"/>
      <c r="TQP1519" s="886"/>
      <c r="TQQ1519" s="886"/>
      <c r="TQR1519" s="886"/>
      <c r="TQS1519" s="886"/>
      <c r="TQT1519" s="886"/>
      <c r="TQU1519" s="886"/>
      <c r="TQV1519" s="886"/>
      <c r="TQW1519" s="886"/>
      <c r="TQX1519" s="886"/>
      <c r="TQY1519" s="886"/>
      <c r="TQZ1519" s="886"/>
      <c r="TRA1519" s="886"/>
      <c r="TRB1519" s="886"/>
      <c r="TRC1519" s="886"/>
      <c r="TRD1519" s="886"/>
      <c r="TRE1519" s="886"/>
      <c r="TRF1519" s="886"/>
      <c r="TRG1519" s="886"/>
      <c r="TRH1519" s="886"/>
      <c r="TRI1519" s="886"/>
      <c r="TRJ1519" s="886"/>
      <c r="TRK1519" s="886"/>
      <c r="TRL1519" s="886"/>
      <c r="TRM1519" s="886"/>
      <c r="TRN1519" s="886"/>
      <c r="TRO1519" s="886"/>
      <c r="TRP1519" s="886"/>
      <c r="TRQ1519" s="886"/>
      <c r="TRR1519" s="886"/>
      <c r="TRS1519" s="886"/>
      <c r="TRT1519" s="886"/>
      <c r="TRU1519" s="886"/>
      <c r="TRV1519" s="886"/>
      <c r="TRW1519" s="886"/>
      <c r="TRX1519" s="886"/>
      <c r="TRY1519" s="886"/>
      <c r="TRZ1519" s="886"/>
      <c r="TSA1519" s="886"/>
      <c r="TSB1519" s="886"/>
      <c r="TSC1519" s="886"/>
      <c r="TSD1519" s="886"/>
      <c r="TSE1519" s="886"/>
      <c r="TSF1519" s="886"/>
      <c r="TSG1519" s="886"/>
      <c r="TSH1519" s="886"/>
      <c r="TSI1519" s="886"/>
      <c r="TSJ1519" s="886"/>
      <c r="TSK1519" s="886"/>
      <c r="TSL1519" s="886"/>
      <c r="TSM1519" s="886"/>
      <c r="TSN1519" s="886"/>
      <c r="TSO1519" s="886"/>
      <c r="TSP1519" s="886"/>
      <c r="TSQ1519" s="886"/>
      <c r="TSR1519" s="886"/>
      <c r="TSS1519" s="886"/>
      <c r="TST1519" s="886"/>
      <c r="TSU1519" s="886"/>
      <c r="TSV1519" s="886"/>
      <c r="TSW1519" s="886"/>
      <c r="TSX1519" s="886"/>
      <c r="TSY1519" s="886"/>
      <c r="TSZ1519" s="886"/>
      <c r="TTA1519" s="886"/>
      <c r="TTB1519" s="886"/>
      <c r="TTC1519" s="886"/>
      <c r="TTD1519" s="886"/>
      <c r="TTE1519" s="886"/>
      <c r="TTF1519" s="886"/>
      <c r="TTG1519" s="886"/>
      <c r="TTH1519" s="886"/>
      <c r="TTI1519" s="886"/>
      <c r="TTJ1519" s="886"/>
      <c r="TTK1519" s="886"/>
      <c r="TTL1519" s="886"/>
      <c r="TTM1519" s="886"/>
      <c r="TTN1519" s="886"/>
      <c r="TTO1519" s="886"/>
      <c r="TTP1519" s="886"/>
      <c r="TTQ1519" s="886"/>
      <c r="TTR1519" s="886"/>
      <c r="TTS1519" s="886"/>
      <c r="TTT1519" s="886"/>
      <c r="TTU1519" s="886"/>
      <c r="TTV1519" s="886"/>
      <c r="TTW1519" s="886"/>
      <c r="TTX1519" s="886"/>
      <c r="TTY1519" s="886"/>
      <c r="TTZ1519" s="886"/>
      <c r="TUA1519" s="886"/>
      <c r="TUB1519" s="886"/>
      <c r="TUC1519" s="886"/>
      <c r="TUD1519" s="886"/>
      <c r="TUE1519" s="886"/>
      <c r="TUF1519" s="886"/>
      <c r="TUG1519" s="886"/>
      <c r="TUH1519" s="886"/>
      <c r="TUI1519" s="886"/>
      <c r="TUJ1519" s="886"/>
      <c r="TUK1519" s="886"/>
      <c r="TUL1519" s="886"/>
      <c r="TUM1519" s="886"/>
      <c r="TUN1519" s="886"/>
      <c r="TUO1519" s="886"/>
      <c r="TUP1519" s="886"/>
      <c r="TUQ1519" s="886"/>
      <c r="TUR1519" s="886"/>
      <c r="TUS1519" s="886"/>
      <c r="TUT1519" s="886"/>
      <c r="TUU1519" s="886"/>
      <c r="TUV1519" s="886"/>
      <c r="TUW1519" s="886"/>
      <c r="TUX1519" s="886"/>
      <c r="TUY1519" s="886"/>
      <c r="TUZ1519" s="886"/>
      <c r="TVA1519" s="886"/>
      <c r="TVB1519" s="886"/>
      <c r="TVC1519" s="886"/>
      <c r="TVD1519" s="886"/>
      <c r="TVE1519" s="886"/>
      <c r="TVF1519" s="886"/>
      <c r="TVG1519" s="886"/>
      <c r="TVH1519" s="886"/>
      <c r="TVI1519" s="886"/>
      <c r="TVJ1519" s="886"/>
      <c r="TVK1519" s="886"/>
      <c r="TVL1519" s="886"/>
      <c r="TVM1519" s="886"/>
      <c r="TVN1519" s="886"/>
      <c r="TVO1519" s="886"/>
      <c r="TVP1519" s="886"/>
      <c r="TVQ1519" s="886"/>
      <c r="TVR1519" s="886"/>
      <c r="TVS1519" s="886"/>
      <c r="TVT1519" s="886"/>
      <c r="TVU1519" s="886"/>
      <c r="TVV1519" s="886"/>
      <c r="TVW1519" s="886"/>
      <c r="TVX1519" s="886"/>
      <c r="TVY1519" s="886"/>
      <c r="TVZ1519" s="886"/>
      <c r="TWA1519" s="886"/>
      <c r="TWB1519" s="886"/>
      <c r="TWC1519" s="886"/>
      <c r="TWD1519" s="886"/>
      <c r="TWE1519" s="886"/>
      <c r="TWF1519" s="886"/>
      <c r="TWG1519" s="886"/>
      <c r="TWH1519" s="886"/>
      <c r="TWI1519" s="886"/>
      <c r="TWJ1519" s="886"/>
      <c r="TWK1519" s="886"/>
      <c r="TWL1519" s="886"/>
      <c r="TWM1519" s="886"/>
      <c r="TWN1519" s="886"/>
      <c r="TWO1519" s="886"/>
      <c r="TWP1519" s="886"/>
      <c r="TWQ1519" s="886"/>
      <c r="TWR1519" s="886"/>
      <c r="TWS1519" s="886"/>
      <c r="TWT1519" s="886"/>
      <c r="TWU1519" s="886"/>
      <c r="TWV1519" s="886"/>
      <c r="TWW1519" s="886"/>
      <c r="TWX1519" s="886"/>
      <c r="TWY1519" s="886"/>
      <c r="TWZ1519" s="886"/>
      <c r="TXA1519" s="886"/>
      <c r="TXB1519" s="886"/>
      <c r="TXC1519" s="886"/>
      <c r="TXD1519" s="886"/>
      <c r="TXE1519" s="886"/>
      <c r="TXF1519" s="886"/>
      <c r="TXG1519" s="886"/>
      <c r="TXH1519" s="886"/>
      <c r="TXI1519" s="886"/>
      <c r="TXJ1519" s="886"/>
      <c r="TXK1519" s="886"/>
      <c r="TXL1519" s="886"/>
      <c r="TXM1519" s="886"/>
      <c r="TXN1519" s="886"/>
      <c r="TXO1519" s="886"/>
      <c r="TXP1519" s="886"/>
      <c r="TXQ1519" s="886"/>
      <c r="TXR1519" s="886"/>
      <c r="TXS1519" s="886"/>
      <c r="TXT1519" s="886"/>
      <c r="TXU1519" s="886"/>
      <c r="TXV1519" s="886"/>
      <c r="TXW1519" s="886"/>
      <c r="TXX1519" s="886"/>
      <c r="TXY1519" s="886"/>
      <c r="TXZ1519" s="886"/>
      <c r="TYA1519" s="886"/>
      <c r="TYB1519" s="886"/>
      <c r="TYC1519" s="886"/>
      <c r="TYD1519" s="886"/>
      <c r="TYE1519" s="886"/>
      <c r="TYF1519" s="886"/>
      <c r="TYG1519" s="886"/>
      <c r="TYH1519" s="886"/>
      <c r="TYI1519" s="886"/>
      <c r="TYJ1519" s="886"/>
      <c r="TYK1519" s="886"/>
      <c r="TYL1519" s="886"/>
      <c r="TYM1519" s="886"/>
      <c r="TYN1519" s="886"/>
      <c r="TYO1519" s="886"/>
      <c r="TYP1519" s="886"/>
      <c r="TYQ1519" s="886"/>
      <c r="TYR1519" s="886"/>
      <c r="TYS1519" s="886"/>
      <c r="TYT1519" s="886"/>
      <c r="TYU1519" s="886"/>
      <c r="TYV1519" s="886"/>
      <c r="TYW1519" s="886"/>
      <c r="TYX1519" s="886"/>
      <c r="TYY1519" s="886"/>
      <c r="TYZ1519" s="886"/>
      <c r="TZA1519" s="886"/>
      <c r="TZB1519" s="886"/>
      <c r="TZC1519" s="886"/>
      <c r="TZD1519" s="886"/>
      <c r="TZE1519" s="886"/>
      <c r="TZF1519" s="886"/>
      <c r="TZG1519" s="886"/>
      <c r="TZH1519" s="886"/>
      <c r="TZI1519" s="886"/>
      <c r="TZJ1519" s="886"/>
      <c r="TZK1519" s="886"/>
      <c r="TZL1519" s="886"/>
      <c r="TZM1519" s="886"/>
      <c r="TZN1519" s="886"/>
      <c r="TZO1519" s="886"/>
      <c r="TZP1519" s="886"/>
      <c r="TZQ1519" s="886"/>
      <c r="TZR1519" s="886"/>
      <c r="TZS1519" s="886"/>
      <c r="TZT1519" s="886"/>
      <c r="TZU1519" s="886"/>
      <c r="TZV1519" s="886"/>
      <c r="TZW1519" s="886"/>
      <c r="TZX1519" s="886"/>
      <c r="TZY1519" s="886"/>
      <c r="TZZ1519" s="886"/>
      <c r="UAA1519" s="886"/>
      <c r="UAB1519" s="886"/>
      <c r="UAC1519" s="886"/>
      <c r="UAD1519" s="886"/>
      <c r="UAE1519" s="886"/>
      <c r="UAF1519" s="886"/>
      <c r="UAG1519" s="886"/>
      <c r="UAH1519" s="886"/>
      <c r="UAI1519" s="886"/>
      <c r="UAJ1519" s="886"/>
      <c r="UAK1519" s="886"/>
      <c r="UAL1519" s="886"/>
      <c r="UAM1519" s="886"/>
      <c r="UAN1519" s="886"/>
      <c r="UAO1519" s="886"/>
      <c r="UAP1519" s="886"/>
      <c r="UAQ1519" s="886"/>
      <c r="UAR1519" s="886"/>
      <c r="UAS1519" s="886"/>
      <c r="UAT1519" s="886"/>
      <c r="UAU1519" s="886"/>
      <c r="UAV1519" s="886"/>
      <c r="UAW1519" s="886"/>
      <c r="UAX1519" s="886"/>
      <c r="UAY1519" s="886"/>
      <c r="UAZ1519" s="886"/>
      <c r="UBA1519" s="886"/>
      <c r="UBB1519" s="886"/>
      <c r="UBC1519" s="886"/>
      <c r="UBD1519" s="886"/>
      <c r="UBE1519" s="886"/>
      <c r="UBF1519" s="886"/>
      <c r="UBG1519" s="886"/>
      <c r="UBH1519" s="886"/>
      <c r="UBI1519" s="886"/>
      <c r="UBJ1519" s="886"/>
      <c r="UBK1519" s="886"/>
      <c r="UBL1519" s="886"/>
      <c r="UBM1519" s="886"/>
      <c r="UBN1519" s="886"/>
      <c r="UBO1519" s="886"/>
      <c r="UBP1519" s="886"/>
      <c r="UBQ1519" s="886"/>
      <c r="UBR1519" s="886"/>
      <c r="UBS1519" s="886"/>
      <c r="UBT1519" s="886"/>
      <c r="UBU1519" s="886"/>
      <c r="UBV1519" s="886"/>
      <c r="UBW1519" s="886"/>
      <c r="UBX1519" s="886"/>
      <c r="UBY1519" s="886"/>
      <c r="UBZ1519" s="886"/>
      <c r="UCA1519" s="886"/>
      <c r="UCB1519" s="886"/>
      <c r="UCC1519" s="886"/>
      <c r="UCD1519" s="886"/>
      <c r="UCE1519" s="886"/>
      <c r="UCF1519" s="886"/>
      <c r="UCG1519" s="886"/>
      <c r="UCH1519" s="886"/>
      <c r="UCI1519" s="886"/>
      <c r="UCJ1519" s="886"/>
      <c r="UCK1519" s="886"/>
      <c r="UCL1519" s="886"/>
      <c r="UCM1519" s="886"/>
      <c r="UCN1519" s="886"/>
      <c r="UCO1519" s="886"/>
      <c r="UCP1519" s="886"/>
      <c r="UCQ1519" s="886"/>
      <c r="UCR1519" s="886"/>
      <c r="UCS1519" s="886"/>
      <c r="UCT1519" s="886"/>
      <c r="UCU1519" s="886"/>
      <c r="UCV1519" s="886"/>
      <c r="UCW1519" s="886"/>
      <c r="UCX1519" s="886"/>
      <c r="UCY1519" s="886"/>
      <c r="UCZ1519" s="886"/>
      <c r="UDA1519" s="886"/>
      <c r="UDB1519" s="886"/>
      <c r="UDC1519" s="886"/>
      <c r="UDD1519" s="886"/>
      <c r="UDE1519" s="886"/>
      <c r="UDF1519" s="886"/>
      <c r="UDG1519" s="886"/>
      <c r="UDH1519" s="886"/>
      <c r="UDI1519" s="886"/>
      <c r="UDJ1519" s="886"/>
      <c r="UDK1519" s="886"/>
      <c r="UDL1519" s="886"/>
      <c r="UDM1519" s="886"/>
      <c r="UDN1519" s="886"/>
      <c r="UDO1519" s="886"/>
      <c r="UDP1519" s="886"/>
      <c r="UDQ1519" s="886"/>
      <c r="UDR1519" s="886"/>
      <c r="UDS1519" s="886"/>
      <c r="UDT1519" s="886"/>
      <c r="UDU1519" s="886"/>
      <c r="UDV1519" s="886"/>
      <c r="UDW1519" s="886"/>
      <c r="UDX1519" s="886"/>
      <c r="UDY1519" s="886"/>
      <c r="UDZ1519" s="886"/>
      <c r="UEA1519" s="886"/>
      <c r="UEB1519" s="886"/>
      <c r="UEC1519" s="886"/>
      <c r="UED1519" s="886"/>
      <c r="UEE1519" s="886"/>
      <c r="UEF1519" s="886"/>
      <c r="UEG1519" s="886"/>
      <c r="UEH1519" s="886"/>
      <c r="UEI1519" s="886"/>
      <c r="UEJ1519" s="886"/>
      <c r="UEK1519" s="886"/>
      <c r="UEL1519" s="886"/>
      <c r="UEM1519" s="886"/>
      <c r="UEN1519" s="886"/>
      <c r="UEO1519" s="886"/>
      <c r="UEP1519" s="886"/>
      <c r="UEQ1519" s="886"/>
      <c r="UER1519" s="886"/>
      <c r="UES1519" s="886"/>
      <c r="UET1519" s="886"/>
      <c r="UEU1519" s="886"/>
      <c r="UEV1519" s="886"/>
      <c r="UEW1519" s="886"/>
      <c r="UEX1519" s="886"/>
      <c r="UEY1519" s="886"/>
      <c r="UEZ1519" s="886"/>
      <c r="UFA1519" s="886"/>
      <c r="UFB1519" s="886"/>
      <c r="UFC1519" s="886"/>
      <c r="UFD1519" s="886"/>
      <c r="UFE1519" s="886"/>
      <c r="UFF1519" s="886"/>
      <c r="UFG1519" s="886"/>
      <c r="UFH1519" s="886"/>
      <c r="UFI1519" s="886"/>
      <c r="UFJ1519" s="886"/>
      <c r="UFK1519" s="886"/>
      <c r="UFL1519" s="886"/>
      <c r="UFM1519" s="886"/>
      <c r="UFN1519" s="886"/>
      <c r="UFO1519" s="886"/>
      <c r="UFP1519" s="886"/>
      <c r="UFQ1519" s="886"/>
      <c r="UFR1519" s="886"/>
      <c r="UFS1519" s="886"/>
      <c r="UFT1519" s="886"/>
      <c r="UFU1519" s="886"/>
      <c r="UFV1519" s="886"/>
      <c r="UFW1519" s="886"/>
      <c r="UFX1519" s="886"/>
      <c r="UFY1519" s="886"/>
      <c r="UFZ1519" s="886"/>
      <c r="UGA1519" s="886"/>
      <c r="UGB1519" s="886"/>
      <c r="UGC1519" s="886"/>
      <c r="UGD1519" s="886"/>
      <c r="UGE1519" s="886"/>
      <c r="UGF1519" s="886"/>
      <c r="UGG1519" s="886"/>
      <c r="UGH1519" s="886"/>
      <c r="UGI1519" s="886"/>
      <c r="UGJ1519" s="886"/>
      <c r="UGK1519" s="886"/>
      <c r="UGL1519" s="886"/>
      <c r="UGM1519" s="886"/>
      <c r="UGN1519" s="886"/>
      <c r="UGO1519" s="886"/>
      <c r="UGP1519" s="886"/>
      <c r="UGQ1519" s="886"/>
      <c r="UGR1519" s="886"/>
      <c r="UGS1519" s="886"/>
      <c r="UGT1519" s="886"/>
      <c r="UGU1519" s="886"/>
      <c r="UGV1519" s="886"/>
      <c r="UGW1519" s="886"/>
      <c r="UGX1519" s="886"/>
      <c r="UGY1519" s="886"/>
      <c r="UGZ1519" s="886"/>
      <c r="UHA1519" s="886"/>
      <c r="UHB1519" s="886"/>
      <c r="UHC1519" s="886"/>
      <c r="UHD1519" s="886"/>
      <c r="UHE1519" s="886"/>
      <c r="UHF1519" s="886"/>
      <c r="UHG1519" s="886"/>
      <c r="UHH1519" s="886"/>
      <c r="UHI1519" s="886"/>
      <c r="UHJ1519" s="886"/>
      <c r="UHK1519" s="886"/>
      <c r="UHL1519" s="886"/>
      <c r="UHM1519" s="886"/>
      <c r="UHN1519" s="886"/>
      <c r="UHO1519" s="886"/>
      <c r="UHP1519" s="886"/>
      <c r="UHQ1519" s="886"/>
      <c r="UHR1519" s="886"/>
      <c r="UHS1519" s="886"/>
      <c r="UHT1519" s="886"/>
      <c r="UHU1519" s="886"/>
      <c r="UHV1519" s="886"/>
      <c r="UHW1519" s="886"/>
      <c r="UHX1519" s="886"/>
      <c r="UHY1519" s="886"/>
      <c r="UHZ1519" s="886"/>
      <c r="UIA1519" s="886"/>
      <c r="UIB1519" s="886"/>
      <c r="UIC1519" s="886"/>
      <c r="UID1519" s="886"/>
      <c r="UIE1519" s="886"/>
      <c r="UIF1519" s="886"/>
      <c r="UIG1519" s="886"/>
      <c r="UIH1519" s="886"/>
      <c r="UII1519" s="886"/>
      <c r="UIJ1519" s="886"/>
      <c r="UIK1519" s="886"/>
      <c r="UIL1519" s="886"/>
      <c r="UIM1519" s="886"/>
      <c r="UIN1519" s="886"/>
      <c r="UIO1519" s="886"/>
      <c r="UIP1519" s="886"/>
      <c r="UIQ1519" s="886"/>
      <c r="UIR1519" s="886"/>
      <c r="UIS1519" s="886"/>
      <c r="UIT1519" s="886"/>
      <c r="UIU1519" s="886"/>
      <c r="UIV1519" s="886"/>
      <c r="UIW1519" s="886"/>
      <c r="UIX1519" s="886"/>
      <c r="UIY1519" s="886"/>
      <c r="UIZ1519" s="886"/>
      <c r="UJA1519" s="886"/>
      <c r="UJB1519" s="886"/>
      <c r="UJC1519" s="886"/>
      <c r="UJD1519" s="886"/>
      <c r="UJE1519" s="886"/>
      <c r="UJF1519" s="886"/>
      <c r="UJG1519" s="886"/>
      <c r="UJH1519" s="886"/>
      <c r="UJI1519" s="886"/>
      <c r="UJJ1519" s="886"/>
      <c r="UJK1519" s="886"/>
      <c r="UJL1519" s="886"/>
      <c r="UJM1519" s="886"/>
      <c r="UJN1519" s="886"/>
      <c r="UJO1519" s="886"/>
      <c r="UJP1519" s="886"/>
      <c r="UJQ1519" s="886"/>
      <c r="UJR1519" s="886"/>
      <c r="UJS1519" s="886"/>
      <c r="UJT1519" s="886"/>
      <c r="UJU1519" s="886"/>
      <c r="UJV1519" s="886"/>
      <c r="UJW1519" s="886"/>
      <c r="UJX1519" s="886"/>
      <c r="UJY1519" s="886"/>
      <c r="UJZ1519" s="886"/>
      <c r="UKA1519" s="886"/>
      <c r="UKB1519" s="886"/>
      <c r="UKC1519" s="886"/>
      <c r="UKD1519" s="886"/>
      <c r="UKE1519" s="886"/>
      <c r="UKF1519" s="886"/>
      <c r="UKG1519" s="886"/>
      <c r="UKH1519" s="886"/>
      <c r="UKI1519" s="886"/>
      <c r="UKJ1519" s="886"/>
      <c r="UKK1519" s="886"/>
      <c r="UKL1519" s="886"/>
      <c r="UKM1519" s="886"/>
      <c r="UKN1519" s="886"/>
      <c r="UKO1519" s="886"/>
      <c r="UKP1519" s="886"/>
      <c r="UKQ1519" s="886"/>
      <c r="UKR1519" s="886"/>
      <c r="UKS1519" s="886"/>
      <c r="UKT1519" s="886"/>
      <c r="UKU1519" s="886"/>
      <c r="UKV1519" s="886"/>
      <c r="UKW1519" s="886"/>
      <c r="UKX1519" s="886"/>
      <c r="UKY1519" s="886"/>
      <c r="UKZ1519" s="886"/>
      <c r="ULA1519" s="886"/>
      <c r="ULB1519" s="886"/>
      <c r="ULC1519" s="886"/>
      <c r="ULD1519" s="886"/>
      <c r="ULE1519" s="886"/>
      <c r="ULF1519" s="886"/>
      <c r="ULG1519" s="886"/>
      <c r="ULH1519" s="886"/>
      <c r="ULI1519" s="886"/>
      <c r="ULJ1519" s="886"/>
      <c r="ULK1519" s="886"/>
      <c r="ULL1519" s="886"/>
      <c r="ULM1519" s="886"/>
      <c r="ULN1519" s="886"/>
      <c r="ULO1519" s="886"/>
      <c r="ULP1519" s="886"/>
      <c r="ULQ1519" s="886"/>
      <c r="ULR1519" s="886"/>
      <c r="ULS1519" s="886"/>
      <c r="ULT1519" s="886"/>
      <c r="ULU1519" s="886"/>
      <c r="ULV1519" s="886"/>
      <c r="ULW1519" s="886"/>
      <c r="ULX1519" s="886"/>
      <c r="ULY1519" s="886"/>
      <c r="ULZ1519" s="886"/>
      <c r="UMA1519" s="886"/>
      <c r="UMB1519" s="886"/>
      <c r="UMC1519" s="886"/>
      <c r="UMD1519" s="886"/>
      <c r="UME1519" s="886"/>
      <c r="UMF1519" s="886"/>
      <c r="UMG1519" s="886"/>
      <c r="UMH1519" s="886"/>
      <c r="UMI1519" s="886"/>
      <c r="UMJ1519" s="886"/>
      <c r="UMK1519" s="886"/>
      <c r="UML1519" s="886"/>
      <c r="UMM1519" s="886"/>
      <c r="UMN1519" s="886"/>
      <c r="UMO1519" s="886"/>
      <c r="UMP1519" s="886"/>
      <c r="UMQ1519" s="886"/>
      <c r="UMR1519" s="886"/>
      <c r="UMS1519" s="886"/>
      <c r="UMT1519" s="886"/>
      <c r="UMU1519" s="886"/>
      <c r="UMV1519" s="886"/>
      <c r="UMW1519" s="886"/>
      <c r="UMX1519" s="886"/>
      <c r="UMY1519" s="886"/>
      <c r="UMZ1519" s="886"/>
      <c r="UNA1519" s="886"/>
      <c r="UNB1519" s="886"/>
      <c r="UNC1519" s="886"/>
      <c r="UND1519" s="886"/>
      <c r="UNE1519" s="886"/>
      <c r="UNF1519" s="886"/>
      <c r="UNG1519" s="886"/>
      <c r="UNH1519" s="886"/>
      <c r="UNI1519" s="886"/>
      <c r="UNJ1519" s="886"/>
      <c r="UNK1519" s="886"/>
      <c r="UNL1519" s="886"/>
      <c r="UNM1519" s="886"/>
      <c r="UNN1519" s="886"/>
      <c r="UNO1519" s="886"/>
      <c r="UNP1519" s="886"/>
      <c r="UNQ1519" s="886"/>
      <c r="UNR1519" s="886"/>
      <c r="UNS1519" s="886"/>
      <c r="UNT1519" s="886"/>
      <c r="UNU1519" s="886"/>
      <c r="UNV1519" s="886"/>
      <c r="UNW1519" s="886"/>
      <c r="UNX1519" s="886"/>
      <c r="UNY1519" s="886"/>
      <c r="UNZ1519" s="886"/>
      <c r="UOA1519" s="886"/>
      <c r="UOB1519" s="886"/>
      <c r="UOC1519" s="886"/>
      <c r="UOD1519" s="886"/>
      <c r="UOE1519" s="886"/>
      <c r="UOF1519" s="886"/>
      <c r="UOG1519" s="886"/>
      <c r="UOH1519" s="886"/>
      <c r="UOI1519" s="886"/>
      <c r="UOJ1519" s="886"/>
      <c r="UOK1519" s="886"/>
      <c r="UOL1519" s="886"/>
      <c r="UOM1519" s="886"/>
      <c r="UON1519" s="886"/>
      <c r="UOO1519" s="886"/>
      <c r="UOP1519" s="886"/>
      <c r="UOQ1519" s="886"/>
      <c r="UOR1519" s="886"/>
      <c r="UOS1519" s="886"/>
      <c r="UOT1519" s="886"/>
      <c r="UOU1519" s="886"/>
      <c r="UOV1519" s="886"/>
      <c r="UOW1519" s="886"/>
      <c r="UOX1519" s="886"/>
      <c r="UOY1519" s="886"/>
      <c r="UOZ1519" s="886"/>
      <c r="UPA1519" s="886"/>
      <c r="UPB1519" s="886"/>
      <c r="UPC1519" s="886"/>
      <c r="UPD1519" s="886"/>
      <c r="UPE1519" s="886"/>
      <c r="UPF1519" s="886"/>
      <c r="UPG1519" s="886"/>
      <c r="UPH1519" s="886"/>
      <c r="UPI1519" s="886"/>
      <c r="UPJ1519" s="886"/>
      <c r="UPK1519" s="886"/>
      <c r="UPL1519" s="886"/>
      <c r="UPM1519" s="886"/>
      <c r="UPN1519" s="886"/>
      <c r="UPO1519" s="886"/>
      <c r="UPP1519" s="886"/>
      <c r="UPQ1519" s="886"/>
      <c r="UPR1519" s="886"/>
      <c r="UPS1519" s="886"/>
      <c r="UPT1519" s="886"/>
      <c r="UPU1519" s="886"/>
      <c r="UPV1519" s="886"/>
      <c r="UPW1519" s="886"/>
      <c r="UPX1519" s="886"/>
      <c r="UPY1519" s="886"/>
      <c r="UPZ1519" s="886"/>
      <c r="UQA1519" s="886"/>
      <c r="UQB1519" s="886"/>
      <c r="UQC1519" s="886"/>
      <c r="UQD1519" s="886"/>
      <c r="UQE1519" s="886"/>
      <c r="UQF1519" s="886"/>
      <c r="UQG1519" s="886"/>
      <c r="UQH1519" s="886"/>
      <c r="UQI1519" s="886"/>
      <c r="UQJ1519" s="886"/>
      <c r="UQK1519" s="886"/>
      <c r="UQL1519" s="886"/>
      <c r="UQM1519" s="886"/>
      <c r="UQN1519" s="886"/>
      <c r="UQO1519" s="886"/>
      <c r="UQP1519" s="886"/>
      <c r="UQQ1519" s="886"/>
      <c r="UQR1519" s="886"/>
      <c r="UQS1519" s="886"/>
      <c r="UQT1519" s="886"/>
      <c r="UQU1519" s="886"/>
      <c r="UQV1519" s="886"/>
      <c r="UQW1519" s="886"/>
      <c r="UQX1519" s="886"/>
      <c r="UQY1519" s="886"/>
      <c r="UQZ1519" s="886"/>
      <c r="URA1519" s="886"/>
      <c r="URB1519" s="886"/>
      <c r="URC1519" s="886"/>
      <c r="URD1519" s="886"/>
      <c r="URE1519" s="886"/>
      <c r="URF1519" s="886"/>
      <c r="URG1519" s="886"/>
      <c r="URH1519" s="886"/>
      <c r="URI1519" s="886"/>
      <c r="URJ1519" s="886"/>
      <c r="URK1519" s="886"/>
      <c r="URL1519" s="886"/>
      <c r="URM1519" s="886"/>
      <c r="URN1519" s="886"/>
      <c r="URO1519" s="886"/>
      <c r="URP1519" s="886"/>
      <c r="URQ1519" s="886"/>
      <c r="URR1519" s="886"/>
      <c r="URS1519" s="886"/>
      <c r="URT1519" s="886"/>
      <c r="URU1519" s="886"/>
      <c r="URV1519" s="886"/>
      <c r="URW1519" s="886"/>
      <c r="URX1519" s="886"/>
      <c r="URY1519" s="886"/>
      <c r="URZ1519" s="886"/>
      <c r="USA1519" s="886"/>
      <c r="USB1519" s="886"/>
      <c r="USC1519" s="886"/>
      <c r="USD1519" s="886"/>
      <c r="USE1519" s="886"/>
      <c r="USF1519" s="886"/>
      <c r="USG1519" s="886"/>
      <c r="USH1519" s="886"/>
      <c r="USI1519" s="886"/>
      <c r="USJ1519" s="886"/>
      <c r="USK1519" s="886"/>
      <c r="USL1519" s="886"/>
      <c r="USM1519" s="886"/>
      <c r="USN1519" s="886"/>
      <c r="USO1519" s="886"/>
      <c r="USP1519" s="886"/>
      <c r="USQ1519" s="886"/>
      <c r="USR1519" s="886"/>
      <c r="USS1519" s="886"/>
      <c r="UST1519" s="886"/>
      <c r="USU1519" s="886"/>
      <c r="USV1519" s="886"/>
      <c r="USW1519" s="886"/>
      <c r="USX1519" s="886"/>
      <c r="USY1519" s="886"/>
      <c r="USZ1519" s="886"/>
      <c r="UTA1519" s="886"/>
      <c r="UTB1519" s="886"/>
      <c r="UTC1519" s="886"/>
      <c r="UTD1519" s="886"/>
      <c r="UTE1519" s="886"/>
      <c r="UTF1519" s="886"/>
      <c r="UTG1519" s="886"/>
      <c r="UTH1519" s="886"/>
      <c r="UTI1519" s="886"/>
      <c r="UTJ1519" s="886"/>
      <c r="UTK1519" s="886"/>
      <c r="UTL1519" s="886"/>
      <c r="UTM1519" s="886"/>
      <c r="UTN1519" s="886"/>
      <c r="UTO1519" s="886"/>
      <c r="UTP1519" s="886"/>
      <c r="UTQ1519" s="886"/>
      <c r="UTR1519" s="886"/>
      <c r="UTS1519" s="886"/>
      <c r="UTT1519" s="886"/>
      <c r="UTU1519" s="886"/>
      <c r="UTV1519" s="886"/>
      <c r="UTW1519" s="886"/>
      <c r="UTX1519" s="886"/>
      <c r="UTY1519" s="886"/>
      <c r="UTZ1519" s="886"/>
      <c r="UUA1519" s="886"/>
      <c r="UUB1519" s="886"/>
      <c r="UUC1519" s="886"/>
      <c r="UUD1519" s="886"/>
      <c r="UUE1519" s="886"/>
      <c r="UUF1519" s="886"/>
      <c r="UUG1519" s="886"/>
      <c r="UUH1519" s="886"/>
      <c r="UUI1519" s="886"/>
      <c r="UUJ1519" s="886"/>
      <c r="UUK1519" s="886"/>
      <c r="UUL1519" s="886"/>
      <c r="UUM1519" s="886"/>
      <c r="UUN1519" s="886"/>
      <c r="UUO1519" s="886"/>
      <c r="UUP1519" s="886"/>
      <c r="UUQ1519" s="886"/>
      <c r="UUR1519" s="886"/>
      <c r="UUS1519" s="886"/>
      <c r="UUT1519" s="886"/>
      <c r="UUU1519" s="886"/>
      <c r="UUV1519" s="886"/>
      <c r="UUW1519" s="886"/>
      <c r="UUX1519" s="886"/>
      <c r="UUY1519" s="886"/>
      <c r="UUZ1519" s="886"/>
      <c r="UVA1519" s="886"/>
      <c r="UVB1519" s="886"/>
      <c r="UVC1519" s="886"/>
      <c r="UVD1519" s="886"/>
      <c r="UVE1519" s="886"/>
      <c r="UVF1519" s="886"/>
      <c r="UVG1519" s="886"/>
      <c r="UVH1519" s="886"/>
      <c r="UVI1519" s="886"/>
      <c r="UVJ1519" s="886"/>
      <c r="UVK1519" s="886"/>
      <c r="UVL1519" s="886"/>
      <c r="UVM1519" s="886"/>
      <c r="UVN1519" s="886"/>
      <c r="UVO1519" s="886"/>
      <c r="UVP1519" s="886"/>
      <c r="UVQ1519" s="886"/>
      <c r="UVR1519" s="886"/>
      <c r="UVS1519" s="886"/>
      <c r="UVT1519" s="886"/>
      <c r="UVU1519" s="886"/>
      <c r="UVV1519" s="886"/>
      <c r="UVW1519" s="886"/>
      <c r="UVX1519" s="886"/>
      <c r="UVY1519" s="886"/>
      <c r="UVZ1519" s="886"/>
      <c r="UWA1519" s="886"/>
      <c r="UWB1519" s="886"/>
      <c r="UWC1519" s="886"/>
      <c r="UWD1519" s="886"/>
      <c r="UWE1519" s="886"/>
      <c r="UWF1519" s="886"/>
      <c r="UWG1519" s="886"/>
      <c r="UWH1519" s="886"/>
      <c r="UWI1519" s="886"/>
      <c r="UWJ1519" s="886"/>
      <c r="UWK1519" s="886"/>
      <c r="UWL1519" s="886"/>
      <c r="UWM1519" s="886"/>
      <c r="UWN1519" s="886"/>
      <c r="UWO1519" s="886"/>
      <c r="UWP1519" s="886"/>
      <c r="UWQ1519" s="886"/>
      <c r="UWR1519" s="886"/>
      <c r="UWS1519" s="886"/>
      <c r="UWT1519" s="886"/>
      <c r="UWU1519" s="886"/>
      <c r="UWV1519" s="886"/>
      <c r="UWW1519" s="886"/>
      <c r="UWX1519" s="886"/>
      <c r="UWY1519" s="886"/>
      <c r="UWZ1519" s="886"/>
      <c r="UXA1519" s="886"/>
      <c r="UXB1519" s="886"/>
      <c r="UXC1519" s="886"/>
      <c r="UXD1519" s="886"/>
      <c r="UXE1519" s="886"/>
      <c r="UXF1519" s="886"/>
      <c r="UXG1519" s="886"/>
      <c r="UXH1519" s="886"/>
      <c r="UXI1519" s="886"/>
      <c r="UXJ1519" s="886"/>
      <c r="UXK1519" s="886"/>
      <c r="UXL1519" s="886"/>
      <c r="UXM1519" s="886"/>
      <c r="UXN1519" s="886"/>
      <c r="UXO1519" s="886"/>
      <c r="UXP1519" s="886"/>
      <c r="UXQ1519" s="886"/>
      <c r="UXR1519" s="886"/>
      <c r="UXS1519" s="886"/>
      <c r="UXT1519" s="886"/>
      <c r="UXU1519" s="886"/>
      <c r="UXV1519" s="886"/>
      <c r="UXW1519" s="886"/>
      <c r="UXX1519" s="886"/>
      <c r="UXY1519" s="886"/>
      <c r="UXZ1519" s="886"/>
      <c r="UYA1519" s="886"/>
      <c r="UYB1519" s="886"/>
      <c r="UYC1519" s="886"/>
      <c r="UYD1519" s="886"/>
      <c r="UYE1519" s="886"/>
      <c r="UYF1519" s="886"/>
      <c r="UYG1519" s="886"/>
      <c r="UYH1519" s="886"/>
      <c r="UYI1519" s="886"/>
      <c r="UYJ1519" s="886"/>
      <c r="UYK1519" s="886"/>
      <c r="UYL1519" s="886"/>
      <c r="UYM1519" s="886"/>
      <c r="UYN1519" s="886"/>
      <c r="UYO1519" s="886"/>
      <c r="UYP1519" s="886"/>
      <c r="UYQ1519" s="886"/>
      <c r="UYR1519" s="886"/>
      <c r="UYS1519" s="886"/>
      <c r="UYT1519" s="886"/>
      <c r="UYU1519" s="886"/>
      <c r="UYV1519" s="886"/>
      <c r="UYW1519" s="886"/>
      <c r="UYX1519" s="886"/>
      <c r="UYY1519" s="886"/>
      <c r="UYZ1519" s="886"/>
      <c r="UZA1519" s="886"/>
      <c r="UZB1519" s="886"/>
      <c r="UZC1519" s="886"/>
      <c r="UZD1519" s="886"/>
      <c r="UZE1519" s="886"/>
      <c r="UZF1519" s="886"/>
      <c r="UZG1519" s="886"/>
      <c r="UZH1519" s="886"/>
      <c r="UZI1519" s="886"/>
      <c r="UZJ1519" s="886"/>
      <c r="UZK1519" s="886"/>
      <c r="UZL1519" s="886"/>
      <c r="UZM1519" s="886"/>
      <c r="UZN1519" s="886"/>
      <c r="UZO1519" s="886"/>
      <c r="UZP1519" s="886"/>
      <c r="UZQ1519" s="886"/>
      <c r="UZR1519" s="886"/>
      <c r="UZS1519" s="886"/>
      <c r="UZT1519" s="886"/>
      <c r="UZU1519" s="886"/>
      <c r="UZV1519" s="886"/>
      <c r="UZW1519" s="886"/>
      <c r="UZX1519" s="886"/>
      <c r="UZY1519" s="886"/>
      <c r="UZZ1519" s="886"/>
      <c r="VAA1519" s="886"/>
      <c r="VAB1519" s="886"/>
      <c r="VAC1519" s="886"/>
      <c r="VAD1519" s="886"/>
      <c r="VAE1519" s="886"/>
      <c r="VAF1519" s="886"/>
      <c r="VAG1519" s="886"/>
      <c r="VAH1519" s="886"/>
      <c r="VAI1519" s="886"/>
      <c r="VAJ1519" s="886"/>
      <c r="VAK1519" s="886"/>
      <c r="VAL1519" s="886"/>
      <c r="VAM1519" s="886"/>
      <c r="VAN1519" s="886"/>
      <c r="VAO1519" s="886"/>
      <c r="VAP1519" s="886"/>
      <c r="VAQ1519" s="886"/>
      <c r="VAR1519" s="886"/>
      <c r="VAS1519" s="886"/>
      <c r="VAT1519" s="886"/>
      <c r="VAU1519" s="886"/>
      <c r="VAV1519" s="886"/>
      <c r="VAW1519" s="886"/>
      <c r="VAX1519" s="886"/>
      <c r="VAY1519" s="886"/>
      <c r="VAZ1519" s="886"/>
      <c r="VBA1519" s="886"/>
      <c r="VBB1519" s="886"/>
      <c r="VBC1519" s="886"/>
      <c r="VBD1519" s="886"/>
      <c r="VBE1519" s="886"/>
      <c r="VBF1519" s="886"/>
      <c r="VBG1519" s="886"/>
      <c r="VBH1519" s="886"/>
      <c r="VBI1519" s="886"/>
      <c r="VBJ1519" s="886"/>
      <c r="VBK1519" s="886"/>
      <c r="VBL1519" s="886"/>
      <c r="VBM1519" s="886"/>
      <c r="VBN1519" s="886"/>
      <c r="VBO1519" s="886"/>
      <c r="VBP1519" s="886"/>
      <c r="VBQ1519" s="886"/>
      <c r="VBR1519" s="886"/>
      <c r="VBS1519" s="886"/>
      <c r="VBT1519" s="886"/>
      <c r="VBU1519" s="886"/>
      <c r="VBV1519" s="886"/>
      <c r="VBW1519" s="886"/>
      <c r="VBX1519" s="886"/>
      <c r="VBY1519" s="886"/>
      <c r="VBZ1519" s="886"/>
      <c r="VCA1519" s="886"/>
      <c r="VCB1519" s="886"/>
      <c r="VCC1519" s="886"/>
      <c r="VCD1519" s="886"/>
      <c r="VCE1519" s="886"/>
      <c r="VCF1519" s="886"/>
      <c r="VCG1519" s="886"/>
      <c r="VCH1519" s="886"/>
      <c r="VCI1519" s="886"/>
      <c r="VCJ1519" s="886"/>
      <c r="VCK1519" s="886"/>
      <c r="VCL1519" s="886"/>
      <c r="VCM1519" s="886"/>
      <c r="VCN1519" s="886"/>
      <c r="VCO1519" s="886"/>
      <c r="VCP1519" s="886"/>
      <c r="VCQ1519" s="886"/>
      <c r="VCR1519" s="886"/>
      <c r="VCS1519" s="886"/>
      <c r="VCT1519" s="886"/>
      <c r="VCU1519" s="886"/>
      <c r="VCV1519" s="886"/>
      <c r="VCW1519" s="886"/>
      <c r="VCX1519" s="886"/>
      <c r="VCY1519" s="886"/>
      <c r="VCZ1519" s="886"/>
      <c r="VDA1519" s="886"/>
      <c r="VDB1519" s="886"/>
      <c r="VDC1519" s="886"/>
      <c r="VDD1519" s="886"/>
      <c r="VDE1519" s="886"/>
      <c r="VDF1519" s="886"/>
      <c r="VDG1519" s="886"/>
      <c r="VDH1519" s="886"/>
      <c r="VDI1519" s="886"/>
      <c r="VDJ1519" s="886"/>
      <c r="VDK1519" s="886"/>
      <c r="VDL1519" s="886"/>
      <c r="VDM1519" s="886"/>
      <c r="VDN1519" s="886"/>
      <c r="VDO1519" s="886"/>
      <c r="VDP1519" s="886"/>
      <c r="VDQ1519" s="886"/>
      <c r="VDR1519" s="886"/>
      <c r="VDS1519" s="886"/>
      <c r="VDT1519" s="886"/>
      <c r="VDU1519" s="886"/>
      <c r="VDV1519" s="886"/>
      <c r="VDW1519" s="886"/>
      <c r="VDX1519" s="886"/>
      <c r="VDY1519" s="886"/>
      <c r="VDZ1519" s="886"/>
      <c r="VEA1519" s="886"/>
      <c r="VEB1519" s="886"/>
      <c r="VEC1519" s="886"/>
      <c r="VED1519" s="886"/>
      <c r="VEE1519" s="886"/>
      <c r="VEF1519" s="886"/>
      <c r="VEG1519" s="886"/>
      <c r="VEH1519" s="886"/>
      <c r="VEI1519" s="886"/>
      <c r="VEJ1519" s="886"/>
      <c r="VEK1519" s="886"/>
      <c r="VEL1519" s="886"/>
      <c r="VEM1519" s="886"/>
      <c r="VEN1519" s="886"/>
      <c r="VEO1519" s="886"/>
      <c r="VEP1519" s="886"/>
      <c r="VEQ1519" s="886"/>
      <c r="VER1519" s="886"/>
      <c r="VES1519" s="886"/>
      <c r="VET1519" s="886"/>
      <c r="VEU1519" s="886"/>
      <c r="VEV1519" s="886"/>
      <c r="VEW1519" s="886"/>
      <c r="VEX1519" s="886"/>
      <c r="VEY1519" s="886"/>
      <c r="VEZ1519" s="886"/>
      <c r="VFA1519" s="886"/>
      <c r="VFB1519" s="886"/>
      <c r="VFC1519" s="886"/>
      <c r="VFD1519" s="886"/>
      <c r="VFE1519" s="886"/>
      <c r="VFF1519" s="886"/>
      <c r="VFG1519" s="886"/>
      <c r="VFH1519" s="886"/>
      <c r="VFI1519" s="886"/>
      <c r="VFJ1519" s="886"/>
      <c r="VFK1519" s="886"/>
      <c r="VFL1519" s="886"/>
      <c r="VFM1519" s="886"/>
      <c r="VFN1519" s="886"/>
      <c r="VFO1519" s="886"/>
      <c r="VFP1519" s="886"/>
      <c r="VFQ1519" s="886"/>
      <c r="VFR1519" s="886"/>
      <c r="VFS1519" s="886"/>
      <c r="VFT1519" s="886"/>
      <c r="VFU1519" s="886"/>
      <c r="VFV1519" s="886"/>
      <c r="VFW1519" s="886"/>
      <c r="VFX1519" s="886"/>
      <c r="VFY1519" s="886"/>
      <c r="VFZ1519" s="886"/>
      <c r="VGA1519" s="886"/>
      <c r="VGB1519" s="886"/>
      <c r="VGC1519" s="886"/>
      <c r="VGD1519" s="886"/>
      <c r="VGE1519" s="886"/>
      <c r="VGF1519" s="886"/>
      <c r="VGG1519" s="886"/>
      <c r="VGH1519" s="886"/>
      <c r="VGI1519" s="886"/>
      <c r="VGJ1519" s="886"/>
      <c r="VGK1519" s="886"/>
      <c r="VGL1519" s="886"/>
      <c r="VGM1519" s="886"/>
      <c r="VGN1519" s="886"/>
      <c r="VGO1519" s="886"/>
      <c r="VGP1519" s="886"/>
      <c r="VGQ1519" s="886"/>
      <c r="VGR1519" s="886"/>
      <c r="VGS1519" s="886"/>
      <c r="VGT1519" s="886"/>
      <c r="VGU1519" s="886"/>
      <c r="VGV1519" s="886"/>
      <c r="VGW1519" s="886"/>
      <c r="VGX1519" s="886"/>
      <c r="VGY1519" s="886"/>
      <c r="VGZ1519" s="886"/>
      <c r="VHA1519" s="886"/>
      <c r="VHB1519" s="886"/>
      <c r="VHC1519" s="886"/>
      <c r="VHD1519" s="886"/>
      <c r="VHE1519" s="886"/>
      <c r="VHF1519" s="886"/>
      <c r="VHG1519" s="886"/>
      <c r="VHH1519" s="886"/>
      <c r="VHI1519" s="886"/>
      <c r="VHJ1519" s="886"/>
      <c r="VHK1519" s="886"/>
      <c r="VHL1519" s="886"/>
      <c r="VHM1519" s="886"/>
      <c r="VHN1519" s="886"/>
      <c r="VHO1519" s="886"/>
      <c r="VHP1519" s="886"/>
      <c r="VHQ1519" s="886"/>
      <c r="VHR1519" s="886"/>
      <c r="VHS1519" s="886"/>
      <c r="VHT1519" s="886"/>
      <c r="VHU1519" s="886"/>
      <c r="VHV1519" s="886"/>
      <c r="VHW1519" s="886"/>
      <c r="VHX1519" s="886"/>
      <c r="VHY1519" s="886"/>
      <c r="VHZ1519" s="886"/>
      <c r="VIA1519" s="886"/>
      <c r="VIB1519" s="886"/>
      <c r="VIC1519" s="886"/>
      <c r="VID1519" s="886"/>
      <c r="VIE1519" s="886"/>
      <c r="VIF1519" s="886"/>
      <c r="VIG1519" s="886"/>
      <c r="VIH1519" s="886"/>
      <c r="VII1519" s="886"/>
      <c r="VIJ1519" s="886"/>
      <c r="VIK1519" s="886"/>
      <c r="VIL1519" s="886"/>
      <c r="VIM1519" s="886"/>
      <c r="VIN1519" s="886"/>
      <c r="VIO1519" s="886"/>
      <c r="VIP1519" s="886"/>
      <c r="VIQ1519" s="886"/>
      <c r="VIR1519" s="886"/>
      <c r="VIS1519" s="886"/>
      <c r="VIT1519" s="886"/>
      <c r="VIU1519" s="886"/>
      <c r="VIV1519" s="886"/>
      <c r="VIW1519" s="886"/>
      <c r="VIX1519" s="886"/>
      <c r="VIY1519" s="886"/>
      <c r="VIZ1519" s="886"/>
      <c r="VJA1519" s="886"/>
      <c r="VJB1519" s="886"/>
      <c r="VJC1519" s="886"/>
      <c r="VJD1519" s="886"/>
      <c r="VJE1519" s="886"/>
      <c r="VJF1519" s="886"/>
      <c r="VJG1519" s="886"/>
      <c r="VJH1519" s="886"/>
      <c r="VJI1519" s="886"/>
      <c r="VJJ1519" s="886"/>
      <c r="VJK1519" s="886"/>
      <c r="VJL1519" s="886"/>
      <c r="VJM1519" s="886"/>
      <c r="VJN1519" s="886"/>
      <c r="VJO1519" s="886"/>
      <c r="VJP1519" s="886"/>
      <c r="VJQ1519" s="886"/>
      <c r="VJR1519" s="886"/>
      <c r="VJS1519" s="886"/>
      <c r="VJT1519" s="886"/>
      <c r="VJU1519" s="886"/>
      <c r="VJV1519" s="886"/>
      <c r="VJW1519" s="886"/>
      <c r="VJX1519" s="886"/>
      <c r="VJY1519" s="886"/>
      <c r="VJZ1519" s="886"/>
      <c r="VKA1519" s="886"/>
      <c r="VKB1519" s="886"/>
      <c r="VKC1519" s="886"/>
      <c r="VKD1519" s="886"/>
      <c r="VKE1519" s="886"/>
      <c r="VKF1519" s="886"/>
      <c r="VKG1519" s="886"/>
      <c r="VKH1519" s="886"/>
      <c r="VKI1519" s="886"/>
      <c r="VKJ1519" s="886"/>
      <c r="VKK1519" s="886"/>
      <c r="VKL1519" s="886"/>
      <c r="VKM1519" s="886"/>
      <c r="VKN1519" s="886"/>
      <c r="VKO1519" s="886"/>
      <c r="VKP1519" s="886"/>
      <c r="VKQ1519" s="886"/>
      <c r="VKR1519" s="886"/>
      <c r="VKS1519" s="886"/>
      <c r="VKT1519" s="886"/>
      <c r="VKU1519" s="886"/>
      <c r="VKV1519" s="886"/>
      <c r="VKW1519" s="886"/>
      <c r="VKX1519" s="886"/>
      <c r="VKY1519" s="886"/>
      <c r="VKZ1519" s="886"/>
      <c r="VLA1519" s="886"/>
      <c r="VLB1519" s="886"/>
      <c r="VLC1519" s="886"/>
      <c r="VLD1519" s="886"/>
      <c r="VLE1519" s="886"/>
      <c r="VLF1519" s="886"/>
      <c r="VLG1519" s="886"/>
      <c r="VLH1519" s="886"/>
      <c r="VLI1519" s="886"/>
      <c r="VLJ1519" s="886"/>
      <c r="VLK1519" s="886"/>
      <c r="VLL1519" s="886"/>
      <c r="VLM1519" s="886"/>
      <c r="VLN1519" s="886"/>
      <c r="VLO1519" s="886"/>
      <c r="VLP1519" s="886"/>
      <c r="VLQ1519" s="886"/>
      <c r="VLR1519" s="886"/>
      <c r="VLS1519" s="886"/>
      <c r="VLT1519" s="886"/>
      <c r="VLU1519" s="886"/>
      <c r="VLV1519" s="886"/>
      <c r="VLW1519" s="886"/>
      <c r="VLX1519" s="886"/>
      <c r="VLY1519" s="886"/>
      <c r="VLZ1519" s="886"/>
      <c r="VMA1519" s="886"/>
      <c r="VMB1519" s="886"/>
      <c r="VMC1519" s="886"/>
      <c r="VMD1519" s="886"/>
      <c r="VME1519" s="886"/>
      <c r="VMF1519" s="886"/>
      <c r="VMG1519" s="886"/>
      <c r="VMH1519" s="886"/>
      <c r="VMI1519" s="886"/>
      <c r="VMJ1519" s="886"/>
      <c r="VMK1519" s="886"/>
      <c r="VML1519" s="886"/>
      <c r="VMM1519" s="886"/>
      <c r="VMN1519" s="886"/>
      <c r="VMO1519" s="886"/>
      <c r="VMP1519" s="886"/>
      <c r="VMQ1519" s="886"/>
      <c r="VMR1519" s="886"/>
      <c r="VMS1519" s="886"/>
      <c r="VMT1519" s="886"/>
      <c r="VMU1519" s="886"/>
      <c r="VMV1519" s="886"/>
      <c r="VMW1519" s="886"/>
      <c r="VMX1519" s="886"/>
      <c r="VMY1519" s="886"/>
      <c r="VMZ1519" s="886"/>
      <c r="VNA1519" s="886"/>
      <c r="VNB1519" s="886"/>
      <c r="VNC1519" s="886"/>
      <c r="VND1519" s="886"/>
      <c r="VNE1519" s="886"/>
      <c r="VNF1519" s="886"/>
      <c r="VNG1519" s="886"/>
      <c r="VNH1519" s="886"/>
      <c r="VNI1519" s="886"/>
      <c r="VNJ1519" s="886"/>
      <c r="VNK1519" s="886"/>
      <c r="VNL1519" s="886"/>
      <c r="VNM1519" s="886"/>
      <c r="VNN1519" s="886"/>
      <c r="VNO1519" s="886"/>
      <c r="VNP1519" s="886"/>
      <c r="VNQ1519" s="886"/>
      <c r="VNR1519" s="886"/>
      <c r="VNS1519" s="886"/>
      <c r="VNT1519" s="886"/>
      <c r="VNU1519" s="886"/>
      <c r="VNV1519" s="886"/>
      <c r="VNW1519" s="886"/>
      <c r="VNX1519" s="886"/>
      <c r="VNY1519" s="886"/>
      <c r="VNZ1519" s="886"/>
      <c r="VOA1519" s="886"/>
      <c r="VOB1519" s="886"/>
      <c r="VOC1519" s="886"/>
      <c r="VOD1519" s="886"/>
      <c r="VOE1519" s="886"/>
      <c r="VOF1519" s="886"/>
      <c r="VOG1519" s="886"/>
      <c r="VOH1519" s="886"/>
      <c r="VOI1519" s="886"/>
      <c r="VOJ1519" s="886"/>
      <c r="VOK1519" s="886"/>
      <c r="VOL1519" s="886"/>
      <c r="VOM1519" s="886"/>
      <c r="VON1519" s="886"/>
      <c r="VOO1519" s="886"/>
      <c r="VOP1519" s="886"/>
      <c r="VOQ1519" s="886"/>
      <c r="VOR1519" s="886"/>
      <c r="VOS1519" s="886"/>
      <c r="VOT1519" s="886"/>
      <c r="VOU1519" s="886"/>
      <c r="VOV1519" s="886"/>
      <c r="VOW1519" s="886"/>
      <c r="VOX1519" s="886"/>
      <c r="VOY1519" s="886"/>
      <c r="VOZ1519" s="886"/>
      <c r="VPA1519" s="886"/>
      <c r="VPB1519" s="886"/>
      <c r="VPC1519" s="886"/>
      <c r="VPD1519" s="886"/>
      <c r="VPE1519" s="886"/>
      <c r="VPF1519" s="886"/>
      <c r="VPG1519" s="886"/>
      <c r="VPH1519" s="886"/>
      <c r="VPI1519" s="886"/>
      <c r="VPJ1519" s="886"/>
      <c r="VPK1519" s="886"/>
      <c r="VPL1519" s="886"/>
      <c r="VPM1519" s="886"/>
      <c r="VPN1519" s="886"/>
      <c r="VPO1519" s="886"/>
      <c r="VPP1519" s="886"/>
      <c r="VPQ1519" s="886"/>
      <c r="VPR1519" s="886"/>
      <c r="VPS1519" s="886"/>
      <c r="VPT1519" s="886"/>
      <c r="VPU1519" s="886"/>
      <c r="VPV1519" s="886"/>
      <c r="VPW1519" s="886"/>
      <c r="VPX1519" s="886"/>
      <c r="VPY1519" s="886"/>
      <c r="VPZ1519" s="886"/>
      <c r="VQA1519" s="886"/>
      <c r="VQB1519" s="886"/>
      <c r="VQC1519" s="886"/>
      <c r="VQD1519" s="886"/>
      <c r="VQE1519" s="886"/>
      <c r="VQF1519" s="886"/>
      <c r="VQG1519" s="886"/>
      <c r="VQH1519" s="886"/>
      <c r="VQI1519" s="886"/>
      <c r="VQJ1519" s="886"/>
      <c r="VQK1519" s="886"/>
      <c r="VQL1519" s="886"/>
      <c r="VQM1519" s="886"/>
      <c r="VQN1519" s="886"/>
      <c r="VQO1519" s="886"/>
      <c r="VQP1519" s="886"/>
      <c r="VQQ1519" s="886"/>
      <c r="VQR1519" s="886"/>
      <c r="VQS1519" s="886"/>
      <c r="VQT1519" s="886"/>
      <c r="VQU1519" s="886"/>
      <c r="VQV1519" s="886"/>
      <c r="VQW1519" s="886"/>
      <c r="VQX1519" s="886"/>
      <c r="VQY1519" s="886"/>
      <c r="VQZ1519" s="886"/>
      <c r="VRA1519" s="886"/>
      <c r="VRB1519" s="886"/>
      <c r="VRC1519" s="886"/>
      <c r="VRD1519" s="886"/>
      <c r="VRE1519" s="886"/>
      <c r="VRF1519" s="886"/>
      <c r="VRG1519" s="886"/>
      <c r="VRH1519" s="886"/>
      <c r="VRI1519" s="886"/>
      <c r="VRJ1519" s="886"/>
      <c r="VRK1519" s="886"/>
      <c r="VRL1519" s="886"/>
      <c r="VRM1519" s="886"/>
      <c r="VRN1519" s="886"/>
      <c r="VRO1519" s="886"/>
      <c r="VRP1519" s="886"/>
      <c r="VRQ1519" s="886"/>
      <c r="VRR1519" s="886"/>
      <c r="VRS1519" s="886"/>
      <c r="VRT1519" s="886"/>
      <c r="VRU1519" s="886"/>
      <c r="VRV1519" s="886"/>
      <c r="VRW1519" s="886"/>
      <c r="VRX1519" s="886"/>
      <c r="VRY1519" s="886"/>
      <c r="VRZ1519" s="886"/>
      <c r="VSA1519" s="886"/>
      <c r="VSB1519" s="886"/>
      <c r="VSC1519" s="886"/>
      <c r="VSD1519" s="886"/>
      <c r="VSE1519" s="886"/>
      <c r="VSF1519" s="886"/>
      <c r="VSG1519" s="886"/>
      <c r="VSH1519" s="886"/>
      <c r="VSI1519" s="886"/>
      <c r="VSJ1519" s="886"/>
      <c r="VSK1519" s="886"/>
      <c r="VSL1519" s="886"/>
      <c r="VSM1519" s="886"/>
      <c r="VSN1519" s="886"/>
      <c r="VSO1519" s="886"/>
      <c r="VSP1519" s="886"/>
      <c r="VSQ1519" s="886"/>
      <c r="VSR1519" s="886"/>
      <c r="VSS1519" s="886"/>
      <c r="VST1519" s="886"/>
      <c r="VSU1519" s="886"/>
      <c r="VSV1519" s="886"/>
      <c r="VSW1519" s="886"/>
      <c r="VSX1519" s="886"/>
      <c r="VSY1519" s="886"/>
      <c r="VSZ1519" s="886"/>
      <c r="VTA1519" s="886"/>
      <c r="VTB1519" s="886"/>
      <c r="VTC1519" s="886"/>
      <c r="VTD1519" s="886"/>
      <c r="VTE1519" s="886"/>
      <c r="VTF1519" s="886"/>
      <c r="VTG1519" s="886"/>
      <c r="VTH1519" s="886"/>
      <c r="VTI1519" s="886"/>
      <c r="VTJ1519" s="886"/>
      <c r="VTK1519" s="886"/>
      <c r="VTL1519" s="886"/>
      <c r="VTM1519" s="886"/>
      <c r="VTN1519" s="886"/>
      <c r="VTO1519" s="886"/>
      <c r="VTP1519" s="886"/>
      <c r="VTQ1519" s="886"/>
      <c r="VTR1519" s="886"/>
      <c r="VTS1519" s="886"/>
      <c r="VTT1519" s="886"/>
      <c r="VTU1519" s="886"/>
      <c r="VTV1519" s="886"/>
      <c r="VTW1519" s="886"/>
      <c r="VTX1519" s="886"/>
      <c r="VTY1519" s="886"/>
      <c r="VTZ1519" s="886"/>
      <c r="VUA1519" s="886"/>
      <c r="VUB1519" s="886"/>
      <c r="VUC1519" s="886"/>
      <c r="VUD1519" s="886"/>
      <c r="VUE1519" s="886"/>
      <c r="VUF1519" s="886"/>
      <c r="VUG1519" s="886"/>
      <c r="VUH1519" s="886"/>
      <c r="VUI1519" s="886"/>
      <c r="VUJ1519" s="886"/>
      <c r="VUK1519" s="886"/>
      <c r="VUL1519" s="886"/>
      <c r="VUM1519" s="886"/>
      <c r="VUN1519" s="886"/>
      <c r="VUO1519" s="886"/>
      <c r="VUP1519" s="886"/>
      <c r="VUQ1519" s="886"/>
      <c r="VUR1519" s="886"/>
      <c r="VUS1519" s="886"/>
      <c r="VUT1519" s="886"/>
      <c r="VUU1519" s="886"/>
      <c r="VUV1519" s="886"/>
      <c r="VUW1519" s="886"/>
      <c r="VUX1519" s="886"/>
      <c r="VUY1519" s="886"/>
      <c r="VUZ1519" s="886"/>
      <c r="VVA1519" s="886"/>
      <c r="VVB1519" s="886"/>
      <c r="VVC1519" s="886"/>
      <c r="VVD1519" s="886"/>
      <c r="VVE1519" s="886"/>
      <c r="VVF1519" s="886"/>
      <c r="VVG1519" s="886"/>
      <c r="VVH1519" s="886"/>
      <c r="VVI1519" s="886"/>
      <c r="VVJ1519" s="886"/>
      <c r="VVK1519" s="886"/>
      <c r="VVL1519" s="886"/>
      <c r="VVM1519" s="886"/>
      <c r="VVN1519" s="886"/>
      <c r="VVO1519" s="886"/>
      <c r="VVP1519" s="886"/>
      <c r="VVQ1519" s="886"/>
      <c r="VVR1519" s="886"/>
      <c r="VVS1519" s="886"/>
      <c r="VVT1519" s="886"/>
      <c r="VVU1519" s="886"/>
      <c r="VVV1519" s="886"/>
      <c r="VVW1519" s="886"/>
      <c r="VVX1519" s="886"/>
      <c r="VVY1519" s="886"/>
      <c r="VVZ1519" s="886"/>
      <c r="VWA1519" s="886"/>
      <c r="VWB1519" s="886"/>
      <c r="VWC1519" s="886"/>
      <c r="VWD1519" s="886"/>
      <c r="VWE1519" s="886"/>
      <c r="VWF1519" s="886"/>
      <c r="VWG1519" s="886"/>
      <c r="VWH1519" s="886"/>
      <c r="VWI1519" s="886"/>
      <c r="VWJ1519" s="886"/>
      <c r="VWK1519" s="886"/>
      <c r="VWL1519" s="886"/>
      <c r="VWM1519" s="886"/>
      <c r="VWN1519" s="886"/>
      <c r="VWO1519" s="886"/>
      <c r="VWP1519" s="886"/>
      <c r="VWQ1519" s="886"/>
      <c r="VWR1519" s="886"/>
      <c r="VWS1519" s="886"/>
      <c r="VWT1519" s="886"/>
      <c r="VWU1519" s="886"/>
      <c r="VWV1519" s="886"/>
      <c r="VWW1519" s="886"/>
      <c r="VWX1519" s="886"/>
      <c r="VWY1519" s="886"/>
      <c r="VWZ1519" s="886"/>
      <c r="VXA1519" s="886"/>
      <c r="VXB1519" s="886"/>
      <c r="VXC1519" s="886"/>
      <c r="VXD1519" s="886"/>
      <c r="VXE1519" s="886"/>
      <c r="VXF1519" s="886"/>
      <c r="VXG1519" s="886"/>
      <c r="VXH1519" s="886"/>
      <c r="VXI1519" s="886"/>
      <c r="VXJ1519" s="886"/>
      <c r="VXK1519" s="886"/>
      <c r="VXL1519" s="886"/>
      <c r="VXM1519" s="886"/>
      <c r="VXN1519" s="886"/>
      <c r="VXO1519" s="886"/>
      <c r="VXP1519" s="886"/>
      <c r="VXQ1519" s="886"/>
      <c r="VXR1519" s="886"/>
      <c r="VXS1519" s="886"/>
      <c r="VXT1519" s="886"/>
      <c r="VXU1519" s="886"/>
      <c r="VXV1519" s="886"/>
      <c r="VXW1519" s="886"/>
      <c r="VXX1519" s="886"/>
      <c r="VXY1519" s="886"/>
      <c r="VXZ1519" s="886"/>
      <c r="VYA1519" s="886"/>
      <c r="VYB1519" s="886"/>
      <c r="VYC1519" s="886"/>
      <c r="VYD1519" s="886"/>
      <c r="VYE1519" s="886"/>
      <c r="VYF1519" s="886"/>
      <c r="VYG1519" s="886"/>
      <c r="VYH1519" s="886"/>
      <c r="VYI1519" s="886"/>
      <c r="VYJ1519" s="886"/>
      <c r="VYK1519" s="886"/>
      <c r="VYL1519" s="886"/>
      <c r="VYM1519" s="886"/>
      <c r="VYN1519" s="886"/>
      <c r="VYO1519" s="886"/>
      <c r="VYP1519" s="886"/>
      <c r="VYQ1519" s="886"/>
      <c r="VYR1519" s="886"/>
      <c r="VYS1519" s="886"/>
      <c r="VYT1519" s="886"/>
      <c r="VYU1519" s="886"/>
      <c r="VYV1519" s="886"/>
      <c r="VYW1519" s="886"/>
      <c r="VYX1519" s="886"/>
      <c r="VYY1519" s="886"/>
      <c r="VYZ1519" s="886"/>
      <c r="VZA1519" s="886"/>
      <c r="VZB1519" s="886"/>
      <c r="VZC1519" s="886"/>
      <c r="VZD1519" s="886"/>
      <c r="VZE1519" s="886"/>
      <c r="VZF1519" s="886"/>
      <c r="VZG1519" s="886"/>
      <c r="VZH1519" s="886"/>
      <c r="VZI1519" s="886"/>
      <c r="VZJ1519" s="886"/>
      <c r="VZK1519" s="886"/>
      <c r="VZL1519" s="886"/>
      <c r="VZM1519" s="886"/>
      <c r="VZN1519" s="886"/>
      <c r="VZO1519" s="886"/>
      <c r="VZP1519" s="886"/>
      <c r="VZQ1519" s="886"/>
      <c r="VZR1519" s="886"/>
      <c r="VZS1519" s="886"/>
      <c r="VZT1519" s="886"/>
      <c r="VZU1519" s="886"/>
      <c r="VZV1519" s="886"/>
      <c r="VZW1519" s="886"/>
      <c r="VZX1519" s="886"/>
      <c r="VZY1519" s="886"/>
      <c r="VZZ1519" s="886"/>
      <c r="WAA1519" s="886"/>
      <c r="WAB1519" s="886"/>
      <c r="WAC1519" s="886"/>
      <c r="WAD1519" s="886"/>
      <c r="WAE1519" s="886"/>
      <c r="WAF1519" s="886"/>
      <c r="WAG1519" s="886"/>
      <c r="WAH1519" s="886"/>
      <c r="WAI1519" s="886"/>
      <c r="WAJ1519" s="886"/>
      <c r="WAK1519" s="886"/>
      <c r="WAL1519" s="886"/>
      <c r="WAM1519" s="886"/>
      <c r="WAN1519" s="886"/>
      <c r="WAO1519" s="886"/>
      <c r="WAP1519" s="886"/>
      <c r="WAQ1519" s="886"/>
      <c r="WAR1519" s="886"/>
      <c r="WAS1519" s="886"/>
      <c r="WAT1519" s="886"/>
      <c r="WAU1519" s="886"/>
      <c r="WAV1519" s="886"/>
      <c r="WAW1519" s="886"/>
      <c r="WAX1519" s="886"/>
      <c r="WAY1519" s="886"/>
      <c r="WAZ1519" s="886"/>
      <c r="WBA1519" s="886"/>
      <c r="WBB1519" s="886"/>
      <c r="WBC1519" s="886"/>
      <c r="WBD1519" s="886"/>
      <c r="WBE1519" s="886"/>
      <c r="WBF1519" s="886"/>
      <c r="WBG1519" s="886"/>
      <c r="WBH1519" s="886"/>
      <c r="WBI1519" s="886"/>
      <c r="WBJ1519" s="886"/>
      <c r="WBK1519" s="886"/>
      <c r="WBL1519" s="886"/>
      <c r="WBM1519" s="886"/>
      <c r="WBN1519" s="886"/>
      <c r="WBO1519" s="886"/>
      <c r="WBP1519" s="886"/>
      <c r="WBQ1519" s="886"/>
      <c r="WBR1519" s="886"/>
      <c r="WBS1519" s="886"/>
      <c r="WBT1519" s="886"/>
      <c r="WBU1519" s="886"/>
      <c r="WBV1519" s="886"/>
      <c r="WBW1519" s="886"/>
      <c r="WBX1519" s="886"/>
      <c r="WBY1519" s="886"/>
      <c r="WBZ1519" s="886"/>
      <c r="WCA1519" s="886"/>
      <c r="WCB1519" s="886"/>
      <c r="WCC1519" s="886"/>
      <c r="WCD1519" s="886"/>
      <c r="WCE1519" s="886"/>
      <c r="WCF1519" s="886"/>
      <c r="WCG1519" s="886"/>
      <c r="WCH1519" s="886"/>
      <c r="WCI1519" s="886"/>
      <c r="WCJ1519" s="886"/>
      <c r="WCK1519" s="886"/>
      <c r="WCL1519" s="886"/>
      <c r="WCM1519" s="886"/>
      <c r="WCN1519" s="886"/>
      <c r="WCO1519" s="886"/>
      <c r="WCP1519" s="886"/>
      <c r="WCQ1519" s="886"/>
      <c r="WCR1519" s="886"/>
      <c r="WCS1519" s="886"/>
      <c r="WCT1519" s="886"/>
      <c r="WCU1519" s="886"/>
      <c r="WCV1519" s="886"/>
      <c r="WCW1519" s="886"/>
      <c r="WCX1519" s="886"/>
      <c r="WCY1519" s="886"/>
      <c r="WCZ1519" s="886"/>
      <c r="WDA1519" s="886"/>
      <c r="WDB1519" s="886"/>
      <c r="WDC1519" s="886"/>
      <c r="WDD1519" s="886"/>
      <c r="WDE1519" s="886"/>
      <c r="WDF1519" s="886"/>
      <c r="WDG1519" s="886"/>
      <c r="WDH1519" s="886"/>
      <c r="WDI1519" s="886"/>
      <c r="WDJ1519" s="886"/>
      <c r="WDK1519" s="886"/>
      <c r="WDL1519" s="886"/>
      <c r="WDM1519" s="886"/>
      <c r="WDN1519" s="886"/>
      <c r="WDO1519" s="886"/>
      <c r="WDP1519" s="886"/>
      <c r="WDQ1519" s="886"/>
      <c r="WDR1519" s="886"/>
      <c r="WDS1519" s="886"/>
      <c r="WDT1519" s="886"/>
      <c r="WDU1519" s="886"/>
      <c r="WDV1519" s="886"/>
      <c r="WDW1519" s="886"/>
      <c r="WDX1519" s="886"/>
      <c r="WDY1519" s="886"/>
      <c r="WDZ1519" s="886"/>
      <c r="WEA1519" s="886"/>
      <c r="WEB1519" s="886"/>
      <c r="WEC1519" s="886"/>
      <c r="WED1519" s="886"/>
      <c r="WEE1519" s="886"/>
      <c r="WEF1519" s="886"/>
      <c r="WEG1519" s="886"/>
      <c r="WEH1519" s="886"/>
      <c r="WEI1519" s="886"/>
      <c r="WEJ1519" s="886"/>
      <c r="WEK1519" s="886"/>
      <c r="WEL1519" s="886"/>
      <c r="WEM1519" s="886"/>
      <c r="WEN1519" s="886"/>
      <c r="WEO1519" s="886"/>
      <c r="WEP1519" s="886"/>
      <c r="WEQ1519" s="886"/>
      <c r="WER1519" s="886"/>
      <c r="WES1519" s="886"/>
      <c r="WET1519" s="886"/>
      <c r="WEU1519" s="886"/>
      <c r="WEV1519" s="886"/>
      <c r="WEW1519" s="886"/>
      <c r="WEX1519" s="886"/>
      <c r="WEY1519" s="886"/>
      <c r="WEZ1519" s="886"/>
      <c r="WFA1519" s="886"/>
      <c r="WFB1519" s="886"/>
      <c r="WFC1519" s="886"/>
      <c r="WFD1519" s="886"/>
      <c r="WFE1519" s="886"/>
      <c r="WFF1519" s="886"/>
      <c r="WFG1519" s="886"/>
      <c r="WFH1519" s="886"/>
      <c r="WFI1519" s="886"/>
      <c r="WFJ1519" s="886"/>
      <c r="WFK1519" s="886"/>
      <c r="WFL1519" s="886"/>
      <c r="WFM1519" s="886"/>
      <c r="WFN1519" s="886"/>
      <c r="WFO1519" s="886"/>
      <c r="WFP1519" s="886"/>
      <c r="WFQ1519" s="886"/>
      <c r="WFR1519" s="886"/>
      <c r="WFS1519" s="886"/>
      <c r="WFT1519" s="886"/>
      <c r="WFU1519" s="886"/>
      <c r="WFV1519" s="886"/>
      <c r="WFW1519" s="886"/>
      <c r="WFX1519" s="886"/>
      <c r="WFY1519" s="886"/>
      <c r="WFZ1519" s="886"/>
      <c r="WGA1519" s="886"/>
      <c r="WGB1519" s="886"/>
      <c r="WGC1519" s="886"/>
      <c r="WGD1519" s="886"/>
      <c r="WGE1519" s="886"/>
      <c r="WGF1519" s="886"/>
      <c r="WGG1519" s="886"/>
      <c r="WGH1519" s="886"/>
      <c r="WGI1519" s="886"/>
      <c r="WGJ1519" s="886"/>
      <c r="WGK1519" s="886"/>
      <c r="WGL1519" s="886"/>
      <c r="WGM1519" s="886"/>
      <c r="WGN1519" s="886"/>
      <c r="WGO1519" s="886"/>
      <c r="WGP1519" s="886"/>
      <c r="WGQ1519" s="886"/>
      <c r="WGR1519" s="886"/>
      <c r="WGS1519" s="886"/>
      <c r="WGT1519" s="886"/>
      <c r="WGU1519" s="886"/>
      <c r="WGV1519" s="886"/>
      <c r="WGW1519" s="886"/>
      <c r="WGX1519" s="886"/>
      <c r="WGY1519" s="886"/>
      <c r="WGZ1519" s="886"/>
      <c r="WHA1519" s="886"/>
      <c r="WHB1519" s="886"/>
      <c r="WHC1519" s="886"/>
      <c r="WHD1519" s="886"/>
      <c r="WHE1519" s="886"/>
      <c r="WHF1519" s="886"/>
      <c r="WHG1519" s="886"/>
      <c r="WHH1519" s="886"/>
      <c r="WHI1519" s="886"/>
      <c r="WHJ1519" s="886"/>
      <c r="WHK1519" s="886"/>
      <c r="WHL1519" s="886"/>
      <c r="WHM1519" s="886"/>
      <c r="WHN1519" s="886"/>
      <c r="WHO1519" s="886"/>
      <c r="WHP1519" s="886"/>
      <c r="WHQ1519" s="886"/>
      <c r="WHR1519" s="886"/>
      <c r="WHS1519" s="886"/>
      <c r="WHT1519" s="886"/>
      <c r="WHU1519" s="886"/>
      <c r="WHV1519" s="886"/>
      <c r="WHW1519" s="886"/>
      <c r="WHX1519" s="886"/>
      <c r="WHY1519" s="886"/>
      <c r="WHZ1519" s="886"/>
      <c r="WIA1519" s="886"/>
      <c r="WIB1519" s="886"/>
      <c r="WIC1519" s="886"/>
      <c r="WID1519" s="886"/>
      <c r="WIE1519" s="886"/>
      <c r="WIF1519" s="886"/>
      <c r="WIG1519" s="886"/>
      <c r="WIH1519" s="886"/>
      <c r="WII1519" s="886"/>
      <c r="WIJ1519" s="886"/>
      <c r="WIK1519" s="886"/>
      <c r="WIL1519" s="886"/>
      <c r="WIM1519" s="886"/>
      <c r="WIN1519" s="886"/>
      <c r="WIO1519" s="886"/>
      <c r="WIP1519" s="886"/>
      <c r="WIQ1519" s="886"/>
      <c r="WIR1519" s="886"/>
      <c r="WIS1519" s="886"/>
      <c r="WIT1519" s="886"/>
      <c r="WIU1519" s="886"/>
      <c r="WIV1519" s="886"/>
      <c r="WIW1519" s="886"/>
      <c r="WIX1519" s="886"/>
      <c r="WIY1519" s="886"/>
      <c r="WIZ1519" s="886"/>
      <c r="WJA1519" s="886"/>
      <c r="WJB1519" s="886"/>
      <c r="WJC1519" s="886"/>
      <c r="WJD1519" s="886"/>
      <c r="WJE1519" s="886"/>
      <c r="WJF1519" s="886"/>
      <c r="WJG1519" s="886"/>
      <c r="WJH1519" s="886"/>
      <c r="WJI1519" s="886"/>
      <c r="WJJ1519" s="886"/>
      <c r="WJK1519" s="886"/>
      <c r="WJL1519" s="886"/>
      <c r="WJM1519" s="886"/>
      <c r="WJN1519" s="886"/>
      <c r="WJO1519" s="886"/>
      <c r="WJP1519" s="886"/>
      <c r="WJQ1519" s="886"/>
      <c r="WJR1519" s="886"/>
      <c r="WJS1519" s="886"/>
      <c r="WJT1519" s="886"/>
      <c r="WJU1519" s="886"/>
      <c r="WJV1519" s="886"/>
      <c r="WJW1519" s="886"/>
      <c r="WJX1519" s="886"/>
      <c r="WJY1519" s="886"/>
      <c r="WJZ1519" s="886"/>
      <c r="WKA1519" s="886"/>
      <c r="WKB1519" s="886"/>
      <c r="WKC1519" s="886"/>
      <c r="WKD1519" s="886"/>
      <c r="WKE1519" s="886"/>
      <c r="WKF1519" s="886"/>
      <c r="WKG1519" s="886"/>
      <c r="WKH1519" s="886"/>
      <c r="WKI1519" s="886"/>
      <c r="WKJ1519" s="886"/>
      <c r="WKK1519" s="886"/>
      <c r="WKL1519" s="886"/>
      <c r="WKM1519" s="886"/>
      <c r="WKN1519" s="886"/>
      <c r="WKO1519" s="886"/>
      <c r="WKP1519" s="886"/>
      <c r="WKQ1519" s="886"/>
      <c r="WKR1519" s="886"/>
      <c r="WKS1519" s="886"/>
      <c r="WKT1519" s="886"/>
      <c r="WKU1519" s="886"/>
      <c r="WKV1519" s="886"/>
      <c r="WKW1519" s="886"/>
      <c r="WKX1519" s="886"/>
      <c r="WKY1519" s="886"/>
      <c r="WKZ1519" s="886"/>
      <c r="WLA1519" s="886"/>
      <c r="WLB1519" s="886"/>
      <c r="WLC1519" s="886"/>
      <c r="WLD1519" s="886"/>
      <c r="WLE1519" s="886"/>
      <c r="WLF1519" s="886"/>
      <c r="WLG1519" s="886"/>
      <c r="WLH1519" s="886"/>
      <c r="WLI1519" s="886"/>
      <c r="WLJ1519" s="886"/>
      <c r="WLK1519" s="886"/>
      <c r="WLL1519" s="886"/>
      <c r="WLM1519" s="886"/>
      <c r="WLN1519" s="886"/>
      <c r="WLO1519" s="886"/>
      <c r="WLP1519" s="886"/>
      <c r="WLQ1519" s="886"/>
      <c r="WLR1519" s="886"/>
      <c r="WLS1519" s="886"/>
      <c r="WLT1519" s="886"/>
      <c r="WLU1519" s="886"/>
      <c r="WLV1519" s="886"/>
      <c r="WLW1519" s="886"/>
      <c r="WLX1519" s="886"/>
      <c r="WLY1519" s="886"/>
      <c r="WLZ1519" s="886"/>
      <c r="WMA1519" s="886"/>
      <c r="WMB1519" s="886"/>
      <c r="WMC1519" s="886"/>
      <c r="WMD1519" s="886"/>
      <c r="WME1519" s="886"/>
      <c r="WMF1519" s="886"/>
      <c r="WMG1519" s="886"/>
      <c r="WMH1519" s="886"/>
      <c r="WMI1519" s="886"/>
      <c r="WMJ1519" s="886"/>
      <c r="WMK1519" s="886"/>
      <c r="WML1519" s="886"/>
      <c r="WMM1519" s="886"/>
      <c r="WMN1519" s="886"/>
      <c r="WMO1519" s="886"/>
      <c r="WMP1519" s="886"/>
      <c r="WMQ1519" s="886"/>
      <c r="WMR1519" s="886"/>
      <c r="WMS1519" s="886"/>
      <c r="WMT1519" s="886"/>
      <c r="WMU1519" s="886"/>
      <c r="WMV1519" s="886"/>
      <c r="WMW1519" s="886"/>
      <c r="WMX1519" s="886"/>
      <c r="WMY1519" s="886"/>
      <c r="WMZ1519" s="886"/>
      <c r="WNA1519" s="886"/>
      <c r="WNB1519" s="886"/>
      <c r="WNC1519" s="886"/>
      <c r="WND1519" s="886"/>
      <c r="WNE1519" s="886"/>
      <c r="WNF1519" s="886"/>
      <c r="WNG1519" s="886"/>
      <c r="WNH1519" s="886"/>
      <c r="WNI1519" s="886"/>
      <c r="WNJ1519" s="886"/>
      <c r="WNK1519" s="886"/>
      <c r="WNL1519" s="886"/>
      <c r="WNM1519" s="886"/>
      <c r="WNN1519" s="886"/>
      <c r="WNO1519" s="886"/>
      <c r="WNP1519" s="886"/>
      <c r="WNQ1519" s="886"/>
      <c r="WNR1519" s="886"/>
      <c r="WNS1519" s="886"/>
      <c r="WNT1519" s="886"/>
      <c r="WNU1519" s="886"/>
      <c r="WNV1519" s="886"/>
      <c r="WNW1519" s="886"/>
      <c r="WNX1519" s="886"/>
      <c r="WNY1519" s="886"/>
      <c r="WNZ1519" s="886"/>
      <c r="WOA1519" s="886"/>
      <c r="WOB1519" s="886"/>
      <c r="WOC1519" s="886"/>
      <c r="WOD1519" s="886"/>
      <c r="WOE1519" s="886"/>
      <c r="WOF1519" s="886"/>
      <c r="WOG1519" s="886"/>
      <c r="WOH1519" s="886"/>
      <c r="WOI1519" s="886"/>
      <c r="WOJ1519" s="886"/>
      <c r="WOK1519" s="886"/>
      <c r="WOL1519" s="886"/>
      <c r="WOM1519" s="886"/>
      <c r="WON1519" s="886"/>
      <c r="WOO1519" s="886"/>
      <c r="WOP1519" s="886"/>
      <c r="WOQ1519" s="886"/>
      <c r="WOR1519" s="886"/>
      <c r="WOS1519" s="886"/>
      <c r="WOT1519" s="886"/>
      <c r="WOU1519" s="886"/>
      <c r="WOV1519" s="886"/>
      <c r="WOW1519" s="886"/>
      <c r="WOX1519" s="886"/>
      <c r="WOY1519" s="886"/>
      <c r="WOZ1519" s="886"/>
      <c r="WPA1519" s="886"/>
      <c r="WPB1519" s="886"/>
      <c r="WPC1519" s="886"/>
      <c r="WPD1519" s="886"/>
      <c r="WPE1519" s="886"/>
      <c r="WPF1519" s="886"/>
      <c r="WPG1519" s="886"/>
      <c r="WPH1519" s="886"/>
      <c r="WPI1519" s="886"/>
      <c r="WPJ1519" s="886"/>
      <c r="WPK1519" s="886"/>
      <c r="WPL1519" s="886"/>
      <c r="WPM1519" s="886"/>
      <c r="WPN1519" s="886"/>
      <c r="WPO1519" s="886"/>
      <c r="WPP1519" s="886"/>
      <c r="WPQ1519" s="886"/>
      <c r="WPR1519" s="886"/>
      <c r="WPS1519" s="886"/>
      <c r="WPT1519" s="886"/>
      <c r="WPU1519" s="886"/>
      <c r="WPV1519" s="886"/>
      <c r="WPW1519" s="886"/>
      <c r="WPX1519" s="886"/>
      <c r="WPY1519" s="886"/>
      <c r="WPZ1519" s="886"/>
      <c r="WQA1519" s="886"/>
      <c r="WQB1519" s="886"/>
      <c r="WQC1519" s="886"/>
      <c r="WQD1519" s="886"/>
      <c r="WQE1519" s="886"/>
      <c r="WQF1519" s="886"/>
      <c r="WQG1519" s="886"/>
      <c r="WQH1519" s="886"/>
      <c r="WQI1519" s="886"/>
      <c r="WQJ1519" s="886"/>
      <c r="WQK1519" s="886"/>
      <c r="WQL1519" s="886"/>
      <c r="WQM1519" s="886"/>
      <c r="WQN1519" s="886"/>
      <c r="WQO1519" s="886"/>
      <c r="WQP1519" s="886"/>
      <c r="WQQ1519" s="886"/>
      <c r="WQR1519" s="886"/>
      <c r="WQS1519" s="886"/>
      <c r="WQT1519" s="886"/>
      <c r="WQU1519" s="886"/>
      <c r="WQV1519" s="886"/>
      <c r="WQW1519" s="886"/>
      <c r="WQX1519" s="886"/>
      <c r="WQY1519" s="886"/>
      <c r="WQZ1519" s="886"/>
      <c r="WRA1519" s="886"/>
      <c r="WRB1519" s="886"/>
      <c r="WRC1519" s="886"/>
      <c r="WRD1519" s="886"/>
      <c r="WRE1519" s="886"/>
      <c r="WRF1519" s="886"/>
      <c r="WRG1519" s="886"/>
      <c r="WRH1519" s="886"/>
      <c r="WRI1519" s="886"/>
      <c r="WRJ1519" s="886"/>
      <c r="WRK1519" s="886"/>
      <c r="WRL1519" s="886"/>
      <c r="WRM1519" s="886"/>
      <c r="WRN1519" s="886"/>
      <c r="WRO1519" s="886"/>
      <c r="WRP1519" s="886"/>
      <c r="WRQ1519" s="886"/>
      <c r="WRR1519" s="886"/>
      <c r="WRS1519" s="886"/>
      <c r="WRT1519" s="886"/>
      <c r="WRU1519" s="886"/>
      <c r="WRV1519" s="886"/>
      <c r="WRW1519" s="886"/>
      <c r="WRX1519" s="886"/>
      <c r="WRY1519" s="886"/>
      <c r="WRZ1519" s="886"/>
      <c r="WSA1519" s="886"/>
      <c r="WSB1519" s="886"/>
      <c r="WSC1519" s="886"/>
      <c r="WSD1519" s="886"/>
      <c r="WSE1519" s="886"/>
      <c r="WSF1519" s="886"/>
      <c r="WSG1519" s="886"/>
      <c r="WSH1519" s="886"/>
      <c r="WSI1519" s="886"/>
      <c r="WSJ1519" s="886"/>
      <c r="WSK1519" s="886"/>
      <c r="WSL1519" s="886"/>
      <c r="WSM1519" s="886"/>
      <c r="WSN1519" s="886"/>
      <c r="WSO1519" s="886"/>
      <c r="WSP1519" s="886"/>
      <c r="WSQ1519" s="886"/>
      <c r="WSR1519" s="886"/>
      <c r="WSS1519" s="886"/>
      <c r="WST1519" s="886"/>
      <c r="WSU1519" s="886"/>
      <c r="WSV1519" s="886"/>
      <c r="WSW1519" s="886"/>
      <c r="WSX1519" s="886"/>
      <c r="WSY1519" s="886"/>
      <c r="WSZ1519" s="886"/>
      <c r="WTA1519" s="886"/>
      <c r="WTB1519" s="886"/>
      <c r="WTC1519" s="886"/>
      <c r="WTD1519" s="886"/>
      <c r="WTE1519" s="886"/>
      <c r="WTF1519" s="886"/>
      <c r="WTG1519" s="886"/>
      <c r="WTH1519" s="886"/>
      <c r="WTI1519" s="886"/>
      <c r="WTJ1519" s="886"/>
      <c r="WTK1519" s="886"/>
      <c r="WTL1519" s="886"/>
      <c r="WTM1519" s="886"/>
      <c r="WTN1519" s="886"/>
      <c r="WTO1519" s="886"/>
      <c r="WTP1519" s="886"/>
      <c r="WTQ1519" s="886"/>
      <c r="WTR1519" s="886"/>
      <c r="WTS1519" s="886"/>
      <c r="WTT1519" s="886"/>
      <c r="WTU1519" s="886"/>
      <c r="WTV1519" s="886"/>
      <c r="WTW1519" s="886"/>
      <c r="WTX1519" s="886"/>
      <c r="WTY1519" s="886"/>
      <c r="WTZ1519" s="886"/>
      <c r="WUA1519" s="886"/>
      <c r="WUB1519" s="886"/>
      <c r="WUC1519" s="886"/>
      <c r="WUD1519" s="886"/>
      <c r="WUE1519" s="886"/>
      <c r="WUF1519" s="886"/>
      <c r="WUG1519" s="886"/>
      <c r="WUH1519" s="886"/>
      <c r="WUI1519" s="886"/>
      <c r="WUJ1519" s="886"/>
      <c r="WUK1519" s="886"/>
      <c r="WUL1519" s="886"/>
      <c r="WUM1519" s="886"/>
      <c r="WUN1519" s="886"/>
      <c r="WUO1519" s="886"/>
      <c r="WUP1519" s="886"/>
      <c r="WUQ1519" s="886"/>
      <c r="WUR1519" s="886"/>
      <c r="WUS1519" s="886"/>
      <c r="WUT1519" s="886"/>
      <c r="WUU1519" s="886"/>
      <c r="WUV1519" s="886"/>
      <c r="WUW1519" s="886"/>
      <c r="WUX1519" s="886"/>
      <c r="WUY1519" s="886"/>
      <c r="WUZ1519" s="886"/>
      <c r="WVA1519" s="886"/>
      <c r="WVB1519" s="886"/>
      <c r="WVC1519" s="886"/>
      <c r="WVD1519" s="886"/>
      <c r="WVE1519" s="886"/>
      <c r="WVF1519" s="886"/>
      <c r="WVG1519" s="886"/>
      <c r="WVH1519" s="886"/>
      <c r="WVI1519" s="886"/>
      <c r="WVJ1519" s="886"/>
      <c r="WVK1519" s="886"/>
      <c r="WVL1519" s="886"/>
      <c r="WVM1519" s="886"/>
      <c r="WVN1519" s="886"/>
      <c r="WVO1519" s="886"/>
      <c r="WVP1519" s="886"/>
      <c r="WVQ1519" s="886"/>
      <c r="WVR1519" s="886"/>
      <c r="WVS1519" s="886"/>
      <c r="WVT1519" s="886"/>
      <c r="WVU1519" s="886"/>
      <c r="WVV1519" s="886"/>
      <c r="WVW1519" s="886"/>
      <c r="WVX1519" s="886"/>
      <c r="WVY1519" s="886"/>
      <c r="WVZ1519" s="886"/>
      <c r="WWA1519" s="886"/>
      <c r="WWB1519" s="886"/>
      <c r="WWC1519" s="886"/>
      <c r="WWD1519" s="886"/>
      <c r="WWE1519" s="886"/>
      <c r="WWF1519" s="886"/>
      <c r="WWG1519" s="886"/>
      <c r="WWH1519" s="886"/>
      <c r="WWI1519" s="886"/>
      <c r="WWJ1519" s="886"/>
      <c r="WWK1519" s="886"/>
      <c r="WWL1519" s="886"/>
      <c r="WWM1519" s="886"/>
      <c r="WWN1519" s="886"/>
      <c r="WWO1519" s="886"/>
      <c r="WWP1519" s="886"/>
      <c r="WWQ1519" s="886"/>
      <c r="WWR1519" s="886"/>
      <c r="WWS1519" s="886"/>
      <c r="WWT1519" s="886"/>
      <c r="WWU1519" s="886"/>
      <c r="WWV1519" s="886"/>
      <c r="WWW1519" s="886"/>
      <c r="WWX1519" s="886"/>
      <c r="WWY1519" s="886"/>
      <c r="WWZ1519" s="886"/>
      <c r="WXA1519" s="886"/>
      <c r="WXB1519" s="886"/>
      <c r="WXC1519" s="886"/>
      <c r="WXD1519" s="886"/>
      <c r="WXE1519" s="886"/>
      <c r="WXF1519" s="886"/>
      <c r="WXG1519" s="886"/>
      <c r="WXH1519" s="886"/>
      <c r="WXI1519" s="886"/>
      <c r="WXJ1519" s="886"/>
      <c r="WXK1519" s="886"/>
      <c r="WXL1519" s="886"/>
      <c r="WXM1519" s="886"/>
      <c r="WXN1519" s="886"/>
      <c r="WXO1519" s="886"/>
      <c r="WXP1519" s="886"/>
      <c r="WXQ1519" s="886"/>
      <c r="WXR1519" s="886"/>
      <c r="WXS1519" s="886"/>
      <c r="WXT1519" s="886"/>
      <c r="WXU1519" s="886"/>
      <c r="WXV1519" s="886"/>
      <c r="WXW1519" s="886"/>
      <c r="WXX1519" s="886"/>
      <c r="WXY1519" s="886"/>
      <c r="WXZ1519" s="886"/>
      <c r="WYA1519" s="886"/>
      <c r="WYB1519" s="886"/>
      <c r="WYC1519" s="886"/>
      <c r="WYD1519" s="886"/>
      <c r="WYE1519" s="886"/>
      <c r="WYF1519" s="886"/>
      <c r="WYG1519" s="886"/>
      <c r="WYH1519" s="886"/>
      <c r="WYI1519" s="886"/>
      <c r="WYJ1519" s="886"/>
      <c r="WYK1519" s="886"/>
      <c r="WYL1519" s="886"/>
      <c r="WYM1519" s="886"/>
      <c r="WYN1519" s="886"/>
      <c r="WYO1519" s="886"/>
      <c r="WYP1519" s="886"/>
      <c r="WYQ1519" s="886"/>
      <c r="WYR1519" s="886"/>
      <c r="WYS1519" s="886"/>
      <c r="WYT1519" s="886"/>
      <c r="WYU1519" s="886"/>
      <c r="WYV1519" s="886"/>
      <c r="WYW1519" s="886"/>
      <c r="WYX1519" s="886"/>
      <c r="WYY1519" s="886"/>
      <c r="WYZ1519" s="886"/>
      <c r="WZA1519" s="886"/>
      <c r="WZB1519" s="886"/>
      <c r="WZC1519" s="886"/>
      <c r="WZD1519" s="886"/>
      <c r="WZE1519" s="886"/>
      <c r="WZF1519" s="886"/>
      <c r="WZG1519" s="886"/>
      <c r="WZH1519" s="886"/>
      <c r="WZI1519" s="886"/>
      <c r="WZJ1519" s="886"/>
      <c r="WZK1519" s="886"/>
      <c r="WZL1519" s="886"/>
      <c r="WZM1519" s="886"/>
      <c r="WZN1519" s="886"/>
      <c r="WZO1519" s="886"/>
      <c r="WZP1519" s="886"/>
      <c r="WZQ1519" s="886"/>
      <c r="WZR1519" s="886"/>
      <c r="WZS1519" s="886"/>
      <c r="WZT1519" s="886"/>
      <c r="WZU1519" s="886"/>
      <c r="WZV1519" s="886"/>
      <c r="WZW1519" s="886"/>
      <c r="WZX1519" s="886"/>
      <c r="WZY1519" s="886"/>
      <c r="WZZ1519" s="886"/>
      <c r="XAA1519" s="886"/>
      <c r="XAB1519" s="886"/>
      <c r="XAC1519" s="886"/>
      <c r="XAD1519" s="886"/>
      <c r="XAE1519" s="886"/>
      <c r="XAF1519" s="886"/>
      <c r="XAG1519" s="886"/>
      <c r="XAH1519" s="886"/>
      <c r="XAI1519" s="886"/>
      <c r="XAJ1519" s="886"/>
      <c r="XAK1519" s="886"/>
      <c r="XAL1519" s="886"/>
      <c r="XAM1519" s="886"/>
      <c r="XAN1519" s="886"/>
      <c r="XAO1519" s="886"/>
      <c r="XAP1519" s="886"/>
      <c r="XAQ1519" s="886"/>
      <c r="XAR1519" s="886"/>
      <c r="XAS1519" s="886"/>
      <c r="XAT1519" s="886"/>
      <c r="XAU1519" s="886"/>
      <c r="XAV1519" s="886"/>
      <c r="XAW1519" s="886"/>
      <c r="XAX1519" s="886"/>
      <c r="XAY1519" s="886"/>
      <c r="XAZ1519" s="886"/>
      <c r="XBA1519" s="886"/>
      <c r="XBB1519" s="886"/>
      <c r="XBC1519" s="886"/>
      <c r="XBD1519" s="886"/>
      <c r="XBE1519" s="886"/>
      <c r="XBF1519" s="886"/>
      <c r="XBG1519" s="886"/>
      <c r="XBH1519" s="886"/>
      <c r="XBI1519" s="886"/>
      <c r="XBJ1519" s="886"/>
      <c r="XBK1519" s="886"/>
      <c r="XBL1519" s="886"/>
      <c r="XBM1519" s="886"/>
      <c r="XBN1519" s="886"/>
      <c r="XBO1519" s="886"/>
      <c r="XBP1519" s="886"/>
      <c r="XBQ1519" s="886"/>
      <c r="XBR1519" s="886"/>
      <c r="XBS1519" s="886"/>
      <c r="XBT1519" s="886"/>
      <c r="XBU1519" s="886"/>
      <c r="XBV1519" s="886"/>
      <c r="XBW1519" s="886"/>
      <c r="XBX1519" s="886"/>
      <c r="XBY1519" s="886"/>
      <c r="XBZ1519" s="886"/>
      <c r="XCA1519" s="886"/>
      <c r="XCB1519" s="886"/>
      <c r="XCC1519" s="886"/>
      <c r="XCD1519" s="886"/>
      <c r="XCE1519" s="886"/>
      <c r="XCF1519" s="886"/>
      <c r="XCG1519" s="886"/>
      <c r="XCH1519" s="886"/>
      <c r="XCI1519" s="886"/>
      <c r="XCJ1519" s="886"/>
      <c r="XCK1519" s="886"/>
      <c r="XCL1519" s="886"/>
      <c r="XCM1519" s="886"/>
      <c r="XCN1519" s="886"/>
      <c r="XCO1519" s="886"/>
      <c r="XCP1519" s="886"/>
      <c r="XCQ1519" s="886"/>
      <c r="XCR1519" s="886"/>
      <c r="XCS1519" s="886"/>
      <c r="XCT1519" s="886"/>
      <c r="XCU1519" s="886"/>
      <c r="XCV1519" s="886"/>
      <c r="XCW1519" s="886"/>
      <c r="XCX1519" s="886"/>
      <c r="XCY1519" s="886"/>
      <c r="XCZ1519" s="886"/>
      <c r="XDA1519" s="886"/>
      <c r="XDB1519" s="886"/>
      <c r="XDC1519" s="886"/>
      <c r="XDD1519" s="886"/>
      <c r="XDE1519" s="886"/>
      <c r="XDF1519" s="886"/>
      <c r="XDG1519" s="886"/>
      <c r="XDH1519" s="886"/>
      <c r="XDI1519" s="886"/>
      <c r="XDJ1519" s="886"/>
      <c r="XDK1519" s="886"/>
      <c r="XDL1519" s="886"/>
      <c r="XDM1519" s="886"/>
      <c r="XDN1519" s="886"/>
      <c r="XDO1519" s="886"/>
      <c r="XDP1519" s="886"/>
      <c r="XDQ1519" s="886"/>
      <c r="XDR1519" s="886"/>
      <c r="XDS1519" s="886"/>
      <c r="XDT1519" s="886"/>
      <c r="XDU1519" s="886"/>
      <c r="XDV1519" s="886"/>
      <c r="XDW1519" s="886"/>
      <c r="XDX1519" s="886"/>
      <c r="XDY1519" s="886"/>
      <c r="XDZ1519" s="886"/>
      <c r="XEA1519" s="886"/>
      <c r="XEB1519" s="886"/>
      <c r="XEC1519" s="886"/>
      <c r="XED1519" s="886"/>
      <c r="XEE1519" s="886"/>
      <c r="XEF1519" s="886"/>
      <c r="XEG1519" s="886"/>
      <c r="XEH1519" s="886"/>
      <c r="XEI1519" s="886"/>
      <c r="XEJ1519" s="886"/>
      <c r="XEK1519" s="886"/>
      <c r="XEL1519" s="886"/>
      <c r="XEM1519" s="886"/>
      <c r="XEN1519" s="886"/>
      <c r="XEO1519" s="886"/>
      <c r="XEP1519" s="886"/>
      <c r="XEQ1519" s="886"/>
      <c r="XER1519" s="886"/>
      <c r="XES1519" s="886"/>
      <c r="XET1519" s="886"/>
      <c r="XEU1519" s="886"/>
      <c r="XEV1519" s="886"/>
      <c r="XEW1519" s="886"/>
      <c r="XEX1519" s="886"/>
      <c r="XEY1519" s="886"/>
      <c r="XEZ1519" s="886"/>
      <c r="XFA1519" s="886"/>
      <c r="XFB1519" s="886"/>
      <c r="XFC1519" s="886"/>
      <c r="XFD1519" s="886"/>
    </row>
    <row r="1520" spans="1:16384" ht="15" thickTop="1" x14ac:dyDescent="0.35">
      <c r="G1520" s="733"/>
      <c r="H1520" s="733"/>
      <c r="I1520" s="733"/>
      <c r="J1520" s="733"/>
      <c r="K1520" s="733"/>
      <c r="L1520" s="733"/>
      <c r="M1520" s="733"/>
      <c r="N1520" s="733"/>
      <c r="O1520" s="733"/>
      <c r="P1520" s="733"/>
      <c r="Q1520" s="733"/>
      <c r="R1520" s="733"/>
      <c r="S1520" s="736"/>
      <c r="T1520" s="736"/>
      <c r="U1520" s="736"/>
      <c r="V1520" s="733"/>
      <c r="W1520" s="736"/>
      <c r="X1520" s="736"/>
      <c r="Y1520" s="736"/>
      <c r="Z1520" s="736"/>
      <c r="AA1520" s="736"/>
      <c r="AB1520" s="736"/>
      <c r="AC1520" s="736"/>
      <c r="AD1520" s="736"/>
      <c r="AE1520" s="736"/>
      <c r="AF1520" s="736"/>
      <c r="AG1520" s="736"/>
      <c r="AH1520" s="736"/>
      <c r="AI1520" s="736"/>
      <c r="AJ1520" s="736"/>
      <c r="AK1520" s="736"/>
      <c r="AL1520" s="736"/>
      <c r="AM1520" s="736"/>
      <c r="AN1520" s="736"/>
      <c r="AO1520" s="736"/>
      <c r="AP1520" s="736"/>
      <c r="AQ1520" s="736"/>
      <c r="AR1520" s="736"/>
      <c r="AS1520" s="736"/>
      <c r="AT1520" s="736"/>
      <c r="AU1520" s="736"/>
      <c r="AV1520" s="736"/>
      <c r="AW1520" s="736"/>
      <c r="AX1520" s="736"/>
      <c r="AY1520" s="736"/>
      <c r="AZ1520" s="736"/>
      <c r="BA1520" s="736"/>
      <c r="BB1520" s="736"/>
      <c r="BC1520" s="736"/>
      <c r="BD1520" s="736"/>
      <c r="BE1520" s="736"/>
      <c r="BF1520" s="736"/>
      <c r="BG1520" s="736"/>
      <c r="BH1520" s="736"/>
      <c r="BI1520" s="736"/>
      <c r="BJ1520" s="736"/>
      <c r="BK1520" s="736"/>
      <c r="BL1520" s="736"/>
      <c r="BM1520" s="736"/>
      <c r="BN1520" s="736"/>
      <c r="BO1520" s="736"/>
      <c r="BP1520" s="736"/>
      <c r="BQ1520" s="736"/>
      <c r="BR1520" s="736"/>
      <c r="BS1520" s="736"/>
      <c r="BT1520" s="736"/>
      <c r="BU1520" s="736"/>
      <c r="BV1520" s="736"/>
      <c r="BW1520" s="736"/>
      <c r="BX1520" s="736"/>
      <c r="BY1520" s="736"/>
      <c r="BZ1520" s="736"/>
      <c r="CA1520" s="736"/>
    </row>
    <row r="1521" spans="1:79" x14ac:dyDescent="0.35">
      <c r="F1521" s="438" t="s">
        <v>61</v>
      </c>
      <c r="G1521" s="736">
        <v>12910</v>
      </c>
      <c r="H1521" s="736">
        <v>12910</v>
      </c>
      <c r="I1521" s="736">
        <v>12910</v>
      </c>
      <c r="J1521" s="736">
        <v>12910</v>
      </c>
      <c r="K1521" s="736">
        <v>12910</v>
      </c>
      <c r="L1521" s="736">
        <v>12910</v>
      </c>
      <c r="M1521" s="736">
        <v>12910</v>
      </c>
      <c r="N1521" s="736">
        <v>12910</v>
      </c>
      <c r="O1521" s="736">
        <v>12910</v>
      </c>
      <c r="P1521" s="736">
        <v>12910</v>
      </c>
      <c r="Q1521" s="736">
        <v>12910</v>
      </c>
      <c r="R1521" s="736">
        <v>30496.77</v>
      </c>
      <c r="S1521" s="439">
        <v>236350</v>
      </c>
      <c r="T1521" s="439">
        <v>236350</v>
      </c>
      <c r="U1521" s="439">
        <v>236350</v>
      </c>
      <c r="V1521" s="439">
        <v>236350</v>
      </c>
      <c r="W1521" s="439">
        <v>236350</v>
      </c>
      <c r="X1521" s="439">
        <v>236350</v>
      </c>
      <c r="Y1521" s="439">
        <v>236350</v>
      </c>
      <c r="Z1521" s="439">
        <v>236350</v>
      </c>
      <c r="AA1521" s="439">
        <v>236350</v>
      </c>
      <c r="AB1521" s="736">
        <v>236350</v>
      </c>
      <c r="AC1521" s="736">
        <v>236350</v>
      </c>
      <c r="AD1521" s="736">
        <v>236350</v>
      </c>
      <c r="AE1521" s="736"/>
      <c r="AF1521" s="736"/>
      <c r="AG1521" s="736"/>
      <c r="AH1521" s="736"/>
      <c r="AI1521" s="736"/>
      <c r="AJ1521" s="736"/>
      <c r="AK1521" s="736"/>
      <c r="AL1521" s="736"/>
      <c r="AM1521" s="736"/>
      <c r="AN1521" s="736"/>
      <c r="AO1521" s="736"/>
      <c r="AP1521" s="736"/>
      <c r="AQ1521" s="736"/>
      <c r="AR1521" s="736"/>
      <c r="AS1521" s="736"/>
      <c r="AT1521" s="736"/>
      <c r="AU1521" s="736"/>
      <c r="AV1521" s="736"/>
      <c r="AW1521" s="736"/>
      <c r="AX1521" s="736"/>
      <c r="AY1521" s="736"/>
      <c r="AZ1521" s="736"/>
      <c r="BA1521" s="736"/>
      <c r="BB1521" s="736"/>
      <c r="BC1521" s="736"/>
      <c r="BD1521" s="736"/>
      <c r="BE1521" s="736"/>
      <c r="BF1521" s="736"/>
      <c r="BG1521" s="736"/>
      <c r="BH1521" s="736"/>
      <c r="BI1521" s="736"/>
      <c r="BJ1521" s="736"/>
      <c r="BK1521" s="736"/>
      <c r="BL1521" s="736"/>
      <c r="BM1521" s="736"/>
      <c r="BN1521" s="736"/>
      <c r="BO1521" s="736"/>
      <c r="BP1521" s="736"/>
      <c r="BQ1521" s="736"/>
      <c r="BR1521" s="736"/>
      <c r="BS1521" s="736"/>
      <c r="BT1521" s="736"/>
      <c r="BU1521" s="736"/>
      <c r="BV1521" s="736"/>
      <c r="BW1521" s="736"/>
      <c r="BX1521" s="736"/>
      <c r="BY1521" s="736"/>
      <c r="BZ1521" s="736"/>
      <c r="CA1521" s="736"/>
    </row>
    <row r="1522" spans="1:79" x14ac:dyDescent="0.35">
      <c r="F1522" s="438" t="s">
        <v>717</v>
      </c>
      <c r="G1522" s="736">
        <v>0</v>
      </c>
      <c r="H1522" s="736">
        <v>0</v>
      </c>
      <c r="I1522" s="736">
        <v>0</v>
      </c>
      <c r="J1522" s="736">
        <v>0</v>
      </c>
      <c r="K1522" s="736">
        <v>0</v>
      </c>
      <c r="L1522" s="736">
        <v>0</v>
      </c>
      <c r="M1522" s="736">
        <v>0</v>
      </c>
      <c r="N1522" s="736">
        <v>0</v>
      </c>
      <c r="O1522" s="736">
        <v>0</v>
      </c>
      <c r="P1522" s="736">
        <v>0</v>
      </c>
      <c r="Q1522" s="736">
        <v>0</v>
      </c>
      <c r="R1522" s="736">
        <v>99934.56</v>
      </c>
      <c r="S1522" s="439">
        <v>10137.33</v>
      </c>
      <c r="T1522" s="439">
        <v>10939.5</v>
      </c>
      <c r="U1522" s="439">
        <v>11371.76</v>
      </c>
      <c r="V1522" s="439">
        <v>11707</v>
      </c>
      <c r="W1522" s="439">
        <v>11870.5</v>
      </c>
      <c r="X1522" s="439">
        <v>11953.5</v>
      </c>
      <c r="Y1522" s="439">
        <v>12004.17</v>
      </c>
      <c r="Z1522" s="439">
        <v>12125.74</v>
      </c>
      <c r="AA1522" s="439">
        <v>12194.33</v>
      </c>
      <c r="AB1522" s="736">
        <v>12434.33</v>
      </c>
      <c r="AC1522" s="736">
        <v>12534.25</v>
      </c>
      <c r="AD1522" s="736">
        <v>12534.25</v>
      </c>
      <c r="AE1522" s="736"/>
      <c r="AF1522" s="736"/>
      <c r="AG1522" s="736"/>
      <c r="AH1522" s="736"/>
      <c r="AI1522" s="736"/>
      <c r="AJ1522" s="736"/>
      <c r="AK1522" s="736"/>
      <c r="AL1522" s="736"/>
      <c r="AM1522" s="736"/>
      <c r="AN1522" s="736"/>
      <c r="AO1522" s="736"/>
      <c r="AP1522" s="736"/>
      <c r="AQ1522" s="736"/>
      <c r="AR1522" s="736"/>
      <c r="AS1522" s="736"/>
      <c r="AT1522" s="736"/>
      <c r="AU1522" s="736"/>
      <c r="AV1522" s="736"/>
      <c r="AW1522" s="736"/>
      <c r="AX1522" s="736"/>
      <c r="AY1522" s="736"/>
      <c r="AZ1522" s="736"/>
      <c r="BA1522" s="736"/>
      <c r="BB1522" s="736"/>
      <c r="BC1522" s="736"/>
      <c r="BD1522" s="736"/>
      <c r="BE1522" s="736"/>
      <c r="BF1522" s="736"/>
      <c r="BG1522" s="736"/>
      <c r="BH1522" s="736"/>
      <c r="BI1522" s="736"/>
      <c r="BJ1522" s="736"/>
      <c r="BK1522" s="736"/>
      <c r="BL1522" s="736"/>
      <c r="BM1522" s="736"/>
      <c r="BN1522" s="736"/>
      <c r="BO1522" s="736"/>
      <c r="BP1522" s="736"/>
      <c r="BQ1522" s="736"/>
      <c r="BR1522" s="736"/>
      <c r="BS1522" s="736"/>
      <c r="BT1522" s="736"/>
      <c r="BU1522" s="736"/>
      <c r="BV1522" s="736"/>
      <c r="BW1522" s="736"/>
      <c r="BX1522" s="736"/>
      <c r="BY1522" s="736"/>
      <c r="BZ1522" s="736"/>
      <c r="CA1522" s="736"/>
    </row>
    <row r="1523" spans="1:79" x14ac:dyDescent="0.35">
      <c r="F1523" s="438" t="s">
        <v>718</v>
      </c>
      <c r="G1523" s="736">
        <f>SUM(G1521:G1522)</f>
        <v>12910</v>
      </c>
      <c r="H1523" s="736">
        <f t="shared" ref="H1523:R1523" si="561">SUM(H1521:H1522)</f>
        <v>12910</v>
      </c>
      <c r="I1523" s="736">
        <f t="shared" si="561"/>
        <v>12910</v>
      </c>
      <c r="J1523" s="736">
        <f t="shared" si="561"/>
        <v>12910</v>
      </c>
      <c r="K1523" s="736">
        <f t="shared" si="561"/>
        <v>12910</v>
      </c>
      <c r="L1523" s="736">
        <f t="shared" si="561"/>
        <v>12910</v>
      </c>
      <c r="M1523" s="736">
        <f t="shared" si="561"/>
        <v>12910</v>
      </c>
      <c r="N1523" s="736">
        <f t="shared" si="561"/>
        <v>12910</v>
      </c>
      <c r="O1523" s="736">
        <f t="shared" si="561"/>
        <v>12910</v>
      </c>
      <c r="P1523" s="736">
        <f t="shared" si="561"/>
        <v>12910</v>
      </c>
      <c r="Q1523" s="736">
        <f t="shared" si="561"/>
        <v>12910</v>
      </c>
      <c r="R1523" s="736">
        <f t="shared" si="561"/>
        <v>130431.33</v>
      </c>
      <c r="S1523" s="736">
        <f>SUM(S1521:S1522)</f>
        <v>246487.33</v>
      </c>
      <c r="T1523" s="736">
        <f t="shared" ref="T1523:AB1523" si="562">SUM(T1521:T1522)</f>
        <v>247289.5</v>
      </c>
      <c r="U1523" s="736">
        <f t="shared" si="562"/>
        <v>247721.76</v>
      </c>
      <c r="V1523" s="736">
        <f t="shared" si="562"/>
        <v>248057</v>
      </c>
      <c r="W1523" s="783">
        <f>SUM(W1521:W1522)+75000</f>
        <v>323220.5</v>
      </c>
      <c r="X1523" s="736">
        <f t="shared" si="562"/>
        <v>248303.5</v>
      </c>
      <c r="Y1523" s="736">
        <f t="shared" si="562"/>
        <v>248354.17</v>
      </c>
      <c r="Z1523" s="736">
        <f t="shared" si="562"/>
        <v>248475.74</v>
      </c>
      <c r="AA1523" s="736">
        <f t="shared" si="562"/>
        <v>248544.33</v>
      </c>
      <c r="AB1523" s="736">
        <f t="shared" si="562"/>
        <v>248784.33</v>
      </c>
      <c r="AC1523" s="736">
        <f t="shared" ref="AC1523:AD1523" si="563">SUM(AC1521:AC1522)</f>
        <v>248884.25</v>
      </c>
      <c r="AD1523" s="736">
        <f t="shared" si="563"/>
        <v>248884.25</v>
      </c>
      <c r="AE1523" s="736"/>
      <c r="AF1523" s="736"/>
      <c r="AG1523" s="736"/>
      <c r="AH1523" s="736"/>
      <c r="AI1523" s="736"/>
      <c r="AJ1523" s="736"/>
      <c r="AK1523" s="736"/>
      <c r="AL1523" s="736"/>
      <c r="AM1523" s="736"/>
      <c r="AN1523" s="736"/>
      <c r="AO1523" s="736"/>
      <c r="AP1523" s="736"/>
      <c r="AQ1523" s="736"/>
      <c r="AR1523" s="736"/>
      <c r="AS1523" s="736"/>
      <c r="AT1523" s="736"/>
      <c r="AU1523" s="736"/>
      <c r="AV1523" s="736"/>
      <c r="AW1523" s="736"/>
      <c r="AX1523" s="736"/>
      <c r="AY1523" s="736"/>
      <c r="AZ1523" s="736"/>
      <c r="BA1523" s="736"/>
      <c r="BB1523" s="736"/>
      <c r="BC1523" s="736"/>
      <c r="BD1523" s="736"/>
      <c r="BE1523" s="736"/>
      <c r="BF1523" s="736"/>
      <c r="BG1523" s="736"/>
      <c r="BH1523" s="736"/>
      <c r="BI1523" s="736"/>
      <c r="BJ1523" s="736"/>
      <c r="BK1523" s="736"/>
      <c r="BL1523" s="736"/>
      <c r="BM1523" s="736"/>
      <c r="BN1523" s="736"/>
      <c r="BO1523" s="736"/>
      <c r="BP1523" s="736"/>
      <c r="BQ1523" s="736"/>
      <c r="BR1523" s="736"/>
      <c r="BS1523" s="736"/>
      <c r="BT1523" s="736"/>
      <c r="BU1523" s="736"/>
      <c r="BV1523" s="736"/>
      <c r="BW1523" s="736"/>
      <c r="BX1523" s="736"/>
      <c r="BY1523" s="736"/>
      <c r="BZ1523" s="736"/>
      <c r="CA1523" s="736"/>
    </row>
    <row r="1524" spans="1:79" x14ac:dyDescent="0.35">
      <c r="G1524" s="733"/>
      <c r="H1524" s="733"/>
      <c r="I1524" s="733"/>
      <c r="J1524" s="733"/>
      <c r="K1524" s="733"/>
      <c r="L1524" s="733"/>
      <c r="M1524" s="733"/>
      <c r="N1524" s="733"/>
      <c r="O1524" s="733"/>
      <c r="P1524" s="733"/>
      <c r="Q1524" s="733"/>
      <c r="R1524" s="733"/>
      <c r="S1524" s="736"/>
      <c r="T1524" s="736"/>
      <c r="U1524" s="736"/>
      <c r="V1524" s="736"/>
      <c r="W1524" s="736"/>
      <c r="X1524" s="736"/>
      <c r="Y1524" s="736"/>
      <c r="Z1524" s="736"/>
      <c r="AA1524" s="736"/>
      <c r="AB1524" s="736"/>
      <c r="AC1524" s="736"/>
      <c r="AD1524" s="736"/>
      <c r="AE1524" s="736"/>
      <c r="AF1524" s="736"/>
      <c r="AG1524" s="736"/>
      <c r="AH1524" s="736"/>
      <c r="AI1524" s="736"/>
      <c r="AJ1524" s="736"/>
      <c r="AK1524" s="736"/>
      <c r="AL1524" s="736"/>
      <c r="AM1524" s="736"/>
      <c r="AN1524" s="736"/>
      <c r="AO1524" s="736"/>
      <c r="AP1524" s="736"/>
      <c r="AQ1524" s="736"/>
      <c r="AR1524" s="736"/>
      <c r="AS1524" s="736"/>
      <c r="AT1524" s="736"/>
      <c r="AU1524" s="736"/>
      <c r="AV1524" s="736"/>
      <c r="AW1524" s="736"/>
      <c r="AX1524" s="736"/>
      <c r="AY1524" s="736"/>
      <c r="AZ1524" s="736"/>
      <c r="BA1524" s="736"/>
      <c r="BB1524" s="736"/>
      <c r="BC1524" s="736"/>
      <c r="BD1524" s="736"/>
      <c r="BE1524" s="736"/>
      <c r="BF1524" s="736"/>
      <c r="BG1524" s="736"/>
      <c r="BH1524" s="736"/>
      <c r="BI1524" s="736"/>
      <c r="BJ1524" s="736"/>
      <c r="BK1524" s="736"/>
      <c r="BL1524" s="736"/>
      <c r="BM1524" s="736"/>
      <c r="BN1524" s="736"/>
      <c r="BO1524" s="736"/>
      <c r="BP1524" s="736"/>
      <c r="BQ1524" s="736"/>
      <c r="BR1524" s="736"/>
      <c r="BS1524" s="736"/>
      <c r="BT1524" s="736"/>
      <c r="BU1524" s="736"/>
      <c r="BV1524" s="736"/>
      <c r="BW1524" s="736"/>
      <c r="BX1524" s="736"/>
      <c r="BY1524" s="736"/>
      <c r="BZ1524" s="736"/>
      <c r="CA1524" s="736"/>
    </row>
    <row r="1525" spans="1:79" s="888" customFormat="1" ht="15" thickBot="1" x14ac:dyDescent="0.4">
      <c r="A1525" s="500"/>
      <c r="B1525" s="500"/>
      <c r="C1525" s="500"/>
      <c r="D1525" s="500"/>
      <c r="E1525" s="500"/>
      <c r="F1525" s="890" t="s">
        <v>680</v>
      </c>
      <c r="G1525" s="887"/>
      <c r="H1525" s="887"/>
      <c r="I1525" s="887"/>
      <c r="J1525" s="891">
        <f t="shared" ref="J1525:AO1525" si="564">J1347+J1011+J843+J675+J507+J339+J171+J1179+J1519</f>
        <v>498898.76983732963</v>
      </c>
      <c r="K1525" s="891">
        <f t="shared" si="564"/>
        <v>749019.04922830453</v>
      </c>
      <c r="L1525" s="891">
        <f t="shared" si="564"/>
        <v>560973.56334059173</v>
      </c>
      <c r="M1525" s="891">
        <f t="shared" si="564"/>
        <v>864819.14678878314</v>
      </c>
      <c r="N1525" s="891">
        <f t="shared" si="564"/>
        <v>887760.38406862039</v>
      </c>
      <c r="O1525" s="891">
        <f t="shared" si="564"/>
        <v>534257.41760255466</v>
      </c>
      <c r="P1525" s="891">
        <f t="shared" si="564"/>
        <v>1095616.1907454373</v>
      </c>
      <c r="Q1525" s="891">
        <f t="shared" si="564"/>
        <v>773978.47754933429</v>
      </c>
      <c r="R1525" s="891">
        <f t="shared" si="564"/>
        <v>727535.56207163248</v>
      </c>
      <c r="S1525" s="891">
        <f t="shared" si="564"/>
        <v>972597.99</v>
      </c>
      <c r="T1525" s="891">
        <f t="shared" si="564"/>
        <v>806303.91</v>
      </c>
      <c r="U1525" s="891">
        <f t="shared" si="564"/>
        <v>914657.89</v>
      </c>
      <c r="V1525" s="891">
        <f t="shared" si="564"/>
        <v>975742.03</v>
      </c>
      <c r="W1525" s="891">
        <f t="shared" si="564"/>
        <v>1020863.09</v>
      </c>
      <c r="X1525" s="891">
        <f t="shared" si="564"/>
        <v>1146498.1500000001</v>
      </c>
      <c r="Y1525" s="891">
        <f t="shared" si="564"/>
        <v>1572423.93</v>
      </c>
      <c r="Z1525" s="891">
        <f t="shared" si="564"/>
        <v>1455333.01</v>
      </c>
      <c r="AA1525" s="891">
        <f t="shared" si="564"/>
        <v>1248307.32</v>
      </c>
      <c r="AB1525" s="891">
        <f t="shared" si="564"/>
        <v>1340691.69</v>
      </c>
      <c r="AC1525" s="891">
        <f t="shared" si="564"/>
        <v>1242208.8099999998</v>
      </c>
      <c r="AD1525" s="891">
        <f t="shared" si="564"/>
        <v>1177736.7000000002</v>
      </c>
      <c r="AE1525" s="891">
        <f t="shared" si="564"/>
        <v>0</v>
      </c>
      <c r="AF1525" s="891">
        <f t="shared" si="564"/>
        <v>0</v>
      </c>
      <c r="AG1525" s="891">
        <f t="shared" si="564"/>
        <v>0</v>
      </c>
      <c r="AH1525" s="891">
        <f t="shared" si="564"/>
        <v>0</v>
      </c>
      <c r="AI1525" s="891">
        <f t="shared" si="564"/>
        <v>0</v>
      </c>
      <c r="AJ1525" s="891">
        <f t="shared" si="564"/>
        <v>0</v>
      </c>
      <c r="AK1525" s="891">
        <f t="shared" si="564"/>
        <v>0</v>
      </c>
      <c r="AL1525" s="891">
        <f t="shared" si="564"/>
        <v>0</v>
      </c>
      <c r="AM1525" s="891">
        <f t="shared" si="564"/>
        <v>0</v>
      </c>
      <c r="AN1525" s="891">
        <f t="shared" si="564"/>
        <v>0</v>
      </c>
      <c r="AO1525" s="891">
        <f t="shared" si="564"/>
        <v>0</v>
      </c>
      <c r="AP1525" s="891">
        <f t="shared" ref="AP1525:BU1525" si="565">AP1347+AP1011+AP843+AP675+AP507+AP339+AP171+AP1179+AP1519</f>
        <v>0</v>
      </c>
      <c r="AQ1525" s="891">
        <f t="shared" si="565"/>
        <v>0</v>
      </c>
      <c r="AR1525" s="891">
        <f t="shared" si="565"/>
        <v>0</v>
      </c>
      <c r="AS1525" s="891">
        <f t="shared" si="565"/>
        <v>0</v>
      </c>
      <c r="AT1525" s="891">
        <f t="shared" si="565"/>
        <v>0</v>
      </c>
      <c r="AU1525" s="891">
        <f t="shared" si="565"/>
        <v>0</v>
      </c>
      <c r="AV1525" s="891">
        <f t="shared" si="565"/>
        <v>0</v>
      </c>
      <c r="AW1525" s="891">
        <f t="shared" si="565"/>
        <v>0</v>
      </c>
      <c r="AX1525" s="891">
        <f t="shared" si="565"/>
        <v>0</v>
      </c>
      <c r="AY1525" s="891">
        <f t="shared" si="565"/>
        <v>0</v>
      </c>
      <c r="AZ1525" s="891">
        <f t="shared" si="565"/>
        <v>0</v>
      </c>
      <c r="BA1525" s="891">
        <f t="shared" si="565"/>
        <v>0</v>
      </c>
      <c r="BB1525" s="891">
        <f t="shared" si="565"/>
        <v>0</v>
      </c>
      <c r="BC1525" s="891">
        <f t="shared" si="565"/>
        <v>0</v>
      </c>
      <c r="BD1525" s="891">
        <f t="shared" si="565"/>
        <v>0</v>
      </c>
      <c r="BE1525" s="891">
        <f t="shared" si="565"/>
        <v>0</v>
      </c>
      <c r="BF1525" s="891">
        <f t="shared" si="565"/>
        <v>0</v>
      </c>
      <c r="BG1525" s="891">
        <f t="shared" si="565"/>
        <v>0</v>
      </c>
      <c r="BH1525" s="891">
        <f t="shared" si="565"/>
        <v>0</v>
      </c>
      <c r="BI1525" s="891">
        <f t="shared" si="565"/>
        <v>0</v>
      </c>
      <c r="BJ1525" s="891">
        <f t="shared" si="565"/>
        <v>0</v>
      </c>
      <c r="BK1525" s="891">
        <f t="shared" si="565"/>
        <v>0</v>
      </c>
      <c r="BL1525" s="891">
        <f t="shared" si="565"/>
        <v>0</v>
      </c>
      <c r="BM1525" s="891">
        <f t="shared" si="565"/>
        <v>0</v>
      </c>
      <c r="BN1525" s="891">
        <f t="shared" si="565"/>
        <v>0</v>
      </c>
      <c r="BO1525" s="891">
        <f t="shared" si="565"/>
        <v>0</v>
      </c>
      <c r="BP1525" s="891">
        <f t="shared" si="565"/>
        <v>0</v>
      </c>
      <c r="BQ1525" s="891">
        <f t="shared" si="565"/>
        <v>0</v>
      </c>
      <c r="BR1525" s="891">
        <f t="shared" si="565"/>
        <v>0</v>
      </c>
      <c r="BS1525" s="891">
        <f t="shared" si="565"/>
        <v>0</v>
      </c>
      <c r="BT1525" s="891">
        <f t="shared" si="565"/>
        <v>0</v>
      </c>
      <c r="BU1525" s="891">
        <f t="shared" si="565"/>
        <v>0</v>
      </c>
      <c r="BV1525" s="891">
        <f t="shared" ref="BV1525:CA1525" si="566">BV1347+BV1011+BV843+BV675+BV507+BV339+BV171+BV1179+BV1519</f>
        <v>0</v>
      </c>
      <c r="BW1525" s="891">
        <f t="shared" si="566"/>
        <v>0</v>
      </c>
      <c r="BX1525" s="891">
        <f t="shared" si="566"/>
        <v>0</v>
      </c>
      <c r="BY1525" s="891">
        <f t="shared" si="566"/>
        <v>0</v>
      </c>
      <c r="BZ1525" s="891">
        <f t="shared" si="566"/>
        <v>0</v>
      </c>
      <c r="CA1525" s="891">
        <f t="shared" si="566"/>
        <v>0</v>
      </c>
    </row>
    <row r="1526" spans="1:79" ht="15" thickTop="1" x14ac:dyDescent="0.35">
      <c r="F1526" s="5"/>
      <c r="G1526" s="5"/>
      <c r="H1526" s="5"/>
      <c r="I1526" s="5"/>
      <c r="J1526" s="5"/>
      <c r="K1526" s="5"/>
      <c r="L1526" s="5"/>
      <c r="M1526" s="5"/>
      <c r="N1526" s="5"/>
      <c r="O1526" s="5"/>
      <c r="P1526" s="5"/>
      <c r="Q1526" s="5"/>
      <c r="R1526" s="571"/>
      <c r="S1526" s="501"/>
      <c r="T1526" s="501"/>
      <c r="U1526" s="501"/>
      <c r="V1526" s="501"/>
      <c r="W1526" s="501"/>
      <c r="X1526" s="501"/>
      <c r="Y1526" s="501"/>
      <c r="Z1526" s="501"/>
      <c r="AA1526" s="501"/>
      <c r="AB1526" s="501"/>
      <c r="AC1526" s="501"/>
      <c r="AD1526" s="501"/>
      <c r="AE1526" s="501"/>
      <c r="AF1526" s="501"/>
      <c r="AG1526" s="501"/>
      <c r="AH1526" s="501"/>
      <c r="AI1526" s="501"/>
      <c r="AJ1526" s="501"/>
      <c r="AK1526" s="501"/>
      <c r="AL1526" s="501"/>
      <c r="AM1526" s="501"/>
      <c r="AN1526" s="501"/>
      <c r="AO1526" s="501"/>
      <c r="AP1526" s="501"/>
      <c r="AQ1526" s="501"/>
      <c r="AR1526" s="501"/>
      <c r="AS1526" s="501"/>
      <c r="AT1526" s="501"/>
      <c r="AU1526" s="501"/>
      <c r="AV1526" s="501"/>
      <c r="AW1526" s="501"/>
      <c r="AX1526" s="501"/>
      <c r="AY1526" s="501"/>
      <c r="AZ1526" s="501"/>
      <c r="BA1526" s="501"/>
      <c r="BB1526" s="501"/>
      <c r="BC1526" s="501"/>
      <c r="BD1526" s="501"/>
      <c r="BE1526" s="501"/>
      <c r="BF1526" s="501"/>
      <c r="BG1526" s="501"/>
      <c r="BH1526" s="501"/>
      <c r="BI1526" s="501"/>
      <c r="BJ1526" s="501"/>
      <c r="BK1526" s="501"/>
      <c r="BL1526" s="501"/>
      <c r="BM1526" s="501"/>
      <c r="BN1526" s="501"/>
      <c r="BO1526" s="501"/>
      <c r="BP1526" s="501"/>
      <c r="BQ1526" s="501"/>
      <c r="BR1526" s="501"/>
      <c r="BS1526" s="501"/>
      <c r="BT1526" s="501"/>
      <c r="BU1526" s="501"/>
      <c r="BV1526" s="501"/>
      <c r="BW1526" s="501"/>
      <c r="BX1526" s="501"/>
      <c r="BY1526" s="501"/>
      <c r="BZ1526" s="501"/>
      <c r="CA1526" s="501"/>
    </row>
    <row r="1527" spans="1:79" x14ac:dyDescent="0.35">
      <c r="F1527" s="5" t="s">
        <v>919</v>
      </c>
      <c r="G1527" s="5"/>
      <c r="H1527" s="5"/>
      <c r="I1527" s="5"/>
      <c r="J1527" s="5"/>
      <c r="K1527" s="5"/>
      <c r="L1527" s="5"/>
      <c r="M1527" s="5"/>
      <c r="N1527" s="5"/>
      <c r="O1527" s="5"/>
      <c r="P1527" s="5"/>
      <c r="Q1527" s="5"/>
      <c r="R1527" s="5"/>
      <c r="S1527" s="438">
        <v>972598.99</v>
      </c>
      <c r="T1527" s="501">
        <v>806303.91</v>
      </c>
      <c r="U1527" s="501">
        <v>914657.89</v>
      </c>
      <c r="V1527" s="501">
        <v>975742.03</v>
      </c>
      <c r="W1527" s="501">
        <v>1020863.09</v>
      </c>
      <c r="X1527" s="501">
        <v>1146498.1499999999</v>
      </c>
      <c r="Y1527" s="501">
        <v>1572423.93</v>
      </c>
      <c r="Z1527" s="501">
        <v>1455333.01</v>
      </c>
      <c r="AA1527" s="501">
        <v>1248307.32</v>
      </c>
      <c r="AB1527" s="501">
        <v>1340691.69</v>
      </c>
      <c r="AC1527" s="501">
        <v>1242208.81</v>
      </c>
      <c r="AD1527" s="501">
        <v>1177736.7</v>
      </c>
      <c r="AE1527" s="501"/>
      <c r="AF1527" s="501"/>
      <c r="AG1527" s="501"/>
      <c r="AH1527" s="501"/>
      <c r="AI1527" s="501"/>
      <c r="AJ1527" s="501"/>
      <c r="AK1527" s="501"/>
      <c r="AL1527" s="501"/>
      <c r="AM1527" s="501"/>
      <c r="AN1527" s="501"/>
      <c r="AO1527" s="501"/>
      <c r="AP1527" s="501"/>
      <c r="AQ1527" s="501"/>
      <c r="AR1527" s="501"/>
      <c r="AS1527" s="501"/>
      <c r="AT1527" s="501"/>
      <c r="AU1527" s="501"/>
      <c r="AV1527" s="501"/>
      <c r="AW1527" s="501"/>
      <c r="AX1527" s="501"/>
      <c r="AY1527" s="501"/>
      <c r="AZ1527" s="501"/>
      <c r="BA1527" s="501"/>
      <c r="BB1527" s="501"/>
      <c r="BC1527" s="501"/>
      <c r="BD1527" s="501"/>
      <c r="BE1527" s="501"/>
      <c r="BF1527" s="501"/>
      <c r="BG1527" s="501"/>
      <c r="BH1527" s="501"/>
      <c r="BI1527" s="501"/>
      <c r="BJ1527" s="501"/>
      <c r="BK1527" s="501"/>
      <c r="BL1527" s="501"/>
      <c r="BM1527" s="501"/>
      <c r="BN1527" s="501"/>
      <c r="BO1527" s="501"/>
      <c r="BP1527" s="501"/>
      <c r="BQ1527" s="501"/>
      <c r="BR1527" s="501"/>
      <c r="BS1527" s="501"/>
      <c r="BT1527" s="501"/>
      <c r="BU1527" s="501"/>
      <c r="BV1527" s="501"/>
      <c r="BW1527" s="501"/>
      <c r="BX1527" s="501"/>
      <c r="BY1527" s="501"/>
      <c r="BZ1527" s="501"/>
      <c r="CA1527" s="501"/>
    </row>
    <row r="1528" spans="1:79" x14ac:dyDescent="0.35">
      <c r="A1528" s="574"/>
      <c r="B1528" s="574"/>
      <c r="C1528" s="574"/>
      <c r="D1528" s="574"/>
      <c r="E1528" s="574"/>
      <c r="F1528" s="5" t="s">
        <v>920</v>
      </c>
      <c r="G1528" s="5"/>
      <c r="H1528" s="5"/>
      <c r="I1528" s="5"/>
      <c r="J1528" s="5"/>
      <c r="K1528" s="5"/>
      <c r="L1528" s="5"/>
      <c r="M1528" s="5"/>
      <c r="N1528" s="5"/>
      <c r="O1528" s="5"/>
      <c r="P1528" s="5"/>
      <c r="Q1528" s="5"/>
      <c r="R1528" s="5"/>
      <c r="S1528" s="406">
        <f>S1527-S1525</f>
        <v>1</v>
      </c>
      <c r="T1528" s="406">
        <f t="shared" ref="T1528:AD1528" si="567">T1527-T1525</f>
        <v>0</v>
      </c>
      <c r="U1528" s="406">
        <f t="shared" si="567"/>
        <v>0</v>
      </c>
      <c r="V1528" s="406">
        <f t="shared" si="567"/>
        <v>0</v>
      </c>
      <c r="W1528" s="406">
        <f t="shared" si="567"/>
        <v>0</v>
      </c>
      <c r="X1528" s="406">
        <f t="shared" si="567"/>
        <v>0</v>
      </c>
      <c r="Y1528" s="406">
        <f t="shared" si="567"/>
        <v>0</v>
      </c>
      <c r="Z1528" s="406">
        <f t="shared" si="567"/>
        <v>0</v>
      </c>
      <c r="AA1528" s="406">
        <f t="shared" si="567"/>
        <v>0</v>
      </c>
      <c r="AB1528" s="406">
        <f t="shared" si="567"/>
        <v>0</v>
      </c>
      <c r="AC1528" s="406">
        <f t="shared" si="567"/>
        <v>0</v>
      </c>
      <c r="AD1528" s="406">
        <f t="shared" si="567"/>
        <v>0</v>
      </c>
      <c r="AE1528" s="501"/>
      <c r="AF1528" s="501"/>
      <c r="AG1528" s="501"/>
      <c r="AH1528" s="501"/>
      <c r="AI1528" s="501"/>
      <c r="AJ1528" s="501"/>
      <c r="AK1528" s="501"/>
      <c r="AL1528" s="501"/>
      <c r="AM1528" s="501"/>
      <c r="AN1528" s="501"/>
      <c r="AO1528" s="501"/>
      <c r="AP1528" s="501"/>
      <c r="AQ1528" s="501"/>
      <c r="AR1528" s="501"/>
      <c r="AS1528" s="501"/>
      <c r="AT1528" s="501"/>
      <c r="AU1528" s="501"/>
      <c r="AV1528" s="501"/>
      <c r="AW1528" s="501"/>
      <c r="AX1528" s="501"/>
      <c r="AY1528" s="501"/>
      <c r="AZ1528" s="501"/>
      <c r="BA1528" s="501"/>
      <c r="BB1528" s="501"/>
      <c r="BC1528" s="501"/>
      <c r="BD1528" s="501"/>
      <c r="BE1528" s="501"/>
      <c r="BF1528" s="501"/>
      <c r="BG1528" s="501"/>
      <c r="BH1528" s="501"/>
      <c r="BI1528" s="501"/>
      <c r="BJ1528" s="501"/>
      <c r="BK1528" s="501"/>
      <c r="BL1528" s="501"/>
      <c r="BM1528" s="501"/>
      <c r="BN1528" s="501"/>
      <c r="BO1528" s="501"/>
      <c r="BP1528" s="501"/>
      <c r="BQ1528" s="501"/>
      <c r="BR1528" s="501"/>
      <c r="BS1528" s="501"/>
      <c r="BT1528" s="501"/>
      <c r="BU1528" s="501"/>
      <c r="BV1528" s="501"/>
      <c r="BW1528" s="501"/>
      <c r="BX1528" s="501"/>
      <c r="BY1528" s="501"/>
      <c r="BZ1528" s="501"/>
      <c r="CA1528" s="501"/>
    </row>
    <row r="1529" spans="1:79" x14ac:dyDescent="0.35">
      <c r="A1529" s="574"/>
      <c r="B1529" s="574"/>
      <c r="C1529" s="574"/>
      <c r="D1529" s="574"/>
      <c r="E1529" s="574"/>
      <c r="F1529" s="5"/>
      <c r="G1529" s="5"/>
      <c r="H1529" s="5"/>
      <c r="I1529" s="5"/>
      <c r="J1529" s="5"/>
      <c r="K1529" s="5"/>
      <c r="L1529" s="5"/>
      <c r="M1529" s="5"/>
      <c r="N1529" s="5"/>
      <c r="O1529" s="5"/>
      <c r="P1529" s="5"/>
      <c r="Q1529" s="5"/>
      <c r="R1529" s="5"/>
      <c r="S1529" s="574"/>
      <c r="T1529" s="501"/>
      <c r="U1529" s="501"/>
      <c r="V1529" s="501"/>
      <c r="W1529" s="501"/>
      <c r="X1529" s="501"/>
      <c r="Y1529" s="501"/>
      <c r="Z1529" s="501"/>
      <c r="AA1529" s="501"/>
      <c r="AB1529" s="501"/>
      <c r="AC1529" s="501"/>
      <c r="AD1529" s="501"/>
      <c r="AE1529" s="501"/>
      <c r="AF1529" s="501"/>
      <c r="AG1529" s="501"/>
      <c r="AH1529" s="501"/>
      <c r="AI1529" s="501"/>
      <c r="AJ1529" s="501"/>
      <c r="AK1529" s="501"/>
      <c r="AL1529" s="501"/>
      <c r="AM1529" s="501"/>
      <c r="AN1529" s="501"/>
      <c r="AO1529" s="501"/>
      <c r="AP1529" s="501"/>
      <c r="AQ1529" s="501"/>
      <c r="AR1529" s="501"/>
      <c r="AS1529" s="501"/>
      <c r="AT1529" s="501"/>
      <c r="AU1529" s="501"/>
      <c r="AV1529" s="501"/>
      <c r="AW1529" s="501"/>
      <c r="AX1529" s="501"/>
      <c r="AY1529" s="501"/>
      <c r="AZ1529" s="501"/>
      <c r="BA1529" s="501"/>
      <c r="BB1529" s="501"/>
      <c r="BC1529" s="501"/>
      <c r="BD1529" s="501"/>
      <c r="BE1529" s="501"/>
      <c r="BF1529" s="501"/>
      <c r="BG1529" s="501"/>
      <c r="BH1529" s="501"/>
      <c r="BI1529" s="501"/>
      <c r="BJ1529" s="501"/>
      <c r="BK1529" s="501"/>
      <c r="BL1529" s="501"/>
      <c r="BM1529" s="501"/>
      <c r="BN1529" s="501"/>
      <c r="BO1529" s="501"/>
      <c r="BP1529" s="501"/>
      <c r="BQ1529" s="501"/>
      <c r="BR1529" s="501"/>
      <c r="BS1529" s="501"/>
      <c r="BT1529" s="501"/>
      <c r="BU1529" s="501"/>
      <c r="BV1529" s="501"/>
      <c r="BW1529" s="501"/>
      <c r="BX1529" s="501"/>
      <c r="BY1529" s="501"/>
      <c r="BZ1529" s="501"/>
      <c r="CA1529" s="501"/>
    </row>
    <row r="1530" spans="1:79" x14ac:dyDescent="0.35">
      <c r="S1530" s="235"/>
      <c r="T1530" s="235"/>
      <c r="U1530" s="235"/>
      <c r="V1530" s="235"/>
      <c r="W1530" s="235"/>
      <c r="X1530" s="235"/>
      <c r="Y1530" s="235"/>
      <c r="Z1530" s="235"/>
      <c r="AA1530" s="235"/>
      <c r="AB1530" s="235"/>
      <c r="AC1530" s="235"/>
      <c r="AD1530" s="235"/>
      <c r="AE1530" s="235"/>
      <c r="AF1530" s="235"/>
      <c r="AG1530" s="235"/>
      <c r="AH1530" s="235"/>
      <c r="AI1530" s="235"/>
      <c r="AJ1530" s="235"/>
      <c r="AK1530" s="235"/>
      <c r="AL1530" s="235"/>
      <c r="AM1530" s="235"/>
      <c r="AN1530" s="235"/>
      <c r="AO1530" s="235"/>
      <c r="AP1530" s="235"/>
      <c r="AQ1530" s="235"/>
      <c r="AR1530" s="235"/>
      <c r="AS1530" s="235"/>
      <c r="AT1530" s="235"/>
      <c r="AU1530" s="235"/>
      <c r="AV1530" s="235"/>
      <c r="AW1530" s="235"/>
      <c r="AX1530" s="235"/>
      <c r="AY1530" s="235"/>
      <c r="AZ1530" s="235"/>
      <c r="BA1530" s="235"/>
      <c r="BB1530" s="235"/>
      <c r="BC1530" s="235"/>
      <c r="BD1530" s="235"/>
      <c r="BE1530" s="235"/>
      <c r="BF1530" s="235"/>
      <c r="BG1530" s="235"/>
      <c r="BH1530" s="235"/>
      <c r="BI1530" s="235"/>
      <c r="BJ1530" s="235"/>
      <c r="BK1530" s="235"/>
      <c r="BL1530" s="235"/>
      <c r="BM1530" s="235"/>
      <c r="BN1530" s="235"/>
      <c r="BO1530" s="235"/>
      <c r="BP1530" s="235"/>
      <c r="BQ1530" s="235"/>
      <c r="BR1530" s="235"/>
      <c r="BS1530" s="235"/>
      <c r="BT1530" s="235"/>
      <c r="BU1530" s="235"/>
      <c r="BV1530" s="235"/>
      <c r="BW1530" s="235"/>
      <c r="BX1530" s="235"/>
      <c r="BY1530" s="235"/>
      <c r="BZ1530" s="235"/>
      <c r="CA1530" s="235"/>
    </row>
    <row r="1532" spans="1:79" x14ac:dyDescent="0.35">
      <c r="G1532" s="438">
        <v>337322.41</v>
      </c>
      <c r="H1532" s="438">
        <v>453751.67</v>
      </c>
      <c r="I1532" s="438">
        <v>444013.47</v>
      </c>
      <c r="J1532" s="438">
        <v>506628.27</v>
      </c>
      <c r="K1532" s="438">
        <v>703748.23</v>
      </c>
      <c r="L1532" s="438">
        <v>593664.24</v>
      </c>
      <c r="M1532" s="438">
        <v>798937.66</v>
      </c>
      <c r="N1532" s="438">
        <v>904935.72</v>
      </c>
    </row>
    <row r="1533" spans="1:79" x14ac:dyDescent="0.35">
      <c r="G1533" s="438">
        <v>337322.41</v>
      </c>
      <c r="H1533" s="438">
        <v>463751.67000000004</v>
      </c>
      <c r="I1533" s="438">
        <v>444013.47000000003</v>
      </c>
      <c r="J1533" s="438">
        <v>506628.27</v>
      </c>
      <c r="K1533" s="438">
        <v>703264.76</v>
      </c>
      <c r="L1533" s="438">
        <v>593619.24</v>
      </c>
      <c r="M1533" s="438">
        <v>798937.62</v>
      </c>
      <c r="N1533" s="438">
        <v>904935.78999999992</v>
      </c>
    </row>
    <row r="1534" spans="1:79" x14ac:dyDescent="0.35">
      <c r="G1534" s="438">
        <f>G1532-G1533</f>
        <v>0</v>
      </c>
      <c r="H1534" s="438">
        <f t="shared" ref="H1534:N1534" si="568">H1532-H1533</f>
        <v>-10000.000000000058</v>
      </c>
      <c r="I1534" s="438">
        <f t="shared" si="568"/>
        <v>0</v>
      </c>
      <c r="J1534" s="438">
        <f t="shared" si="568"/>
        <v>0</v>
      </c>
      <c r="K1534" s="438">
        <f t="shared" si="568"/>
        <v>483.46999999997206</v>
      </c>
      <c r="L1534" s="438">
        <f t="shared" si="568"/>
        <v>45</v>
      </c>
      <c r="M1534" s="438">
        <f t="shared" si="568"/>
        <v>4.0000000037252903E-2</v>
      </c>
      <c r="N1534" s="438">
        <f t="shared" si="568"/>
        <v>-6.9999999948777258E-2</v>
      </c>
    </row>
  </sheetData>
  <conditionalFormatting sqref="BP4:CA4 AC4:AD4">
    <cfRule type="expression" dxfId="105" priority="23">
      <formula>AC$4="actual"</formula>
    </cfRule>
  </conditionalFormatting>
  <conditionalFormatting sqref="AE4:AP4">
    <cfRule type="expression" dxfId="104" priority="22">
      <formula>AE$4="actual"</formula>
    </cfRule>
  </conditionalFormatting>
  <conditionalFormatting sqref="AQ4:BB4">
    <cfRule type="expression" dxfId="103" priority="21">
      <formula>AQ$4="actual"</formula>
    </cfRule>
  </conditionalFormatting>
  <conditionalFormatting sqref="BC4:BN4">
    <cfRule type="expression" dxfId="102" priority="20">
      <formula>BC$4="actual"</formula>
    </cfRule>
  </conditionalFormatting>
  <conditionalFormatting sqref="BO4">
    <cfRule type="expression" dxfId="101" priority="19">
      <formula>BO$4="actual"</formula>
    </cfRule>
  </conditionalFormatting>
  <conditionalFormatting sqref="G4:AB4">
    <cfRule type="containsText" dxfId="100" priority="5" operator="containsText" text="actual">
      <formula>NOT(ISERROR(SEARCH("actual",G4)))</formula>
    </cfRule>
  </conditionalFormatting>
  <conditionalFormatting sqref="G4:CA4">
    <cfRule type="containsText" dxfId="99" priority="3" operator="containsText" text="Actual">
      <formula>NOT(ISERROR(SEARCH("Actual",G4)))</formula>
    </cfRule>
    <cfRule type="containsText" dxfId="98" priority="4" operator="containsText" text="Actual">
      <formula>NOT(ISERROR(SEARCH("Actual",G4)))</formula>
    </cfRule>
    <cfRule type="containsText" dxfId="97" priority="6" operator="containsText" text="forecast">
      <formula>NOT(ISERROR(SEARCH("forecast",G4)))</formula>
    </cfRule>
  </conditionalFormatting>
  <conditionalFormatting sqref="AC4">
    <cfRule type="containsText" dxfId="96" priority="2" operator="containsText" text="actual">
      <formula>NOT(ISERROR(SEARCH("actual",AC4)))</formula>
    </cfRule>
  </conditionalFormatting>
  <conditionalFormatting sqref="AD4">
    <cfRule type="containsText" dxfId="95" priority="1" operator="containsText" text="actual">
      <formula>NOT(ISERROR(SEARCH("actual",AD4)))</formula>
    </cfRule>
  </conditionalFormatting>
  <pageMargins left="0.2" right="0.2" top="0.25" bottom="0.25" header="0.3" footer="0.3"/>
  <pageSetup scale="10" orientation="landscape" r:id="rId1"/>
  <ignoredErrors>
    <ignoredError sqref="G625:R625 R673 AE625:BO625" formulaRange="1"/>
  </ignoredError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3" tint="0.39997558519241921"/>
  </sheetPr>
  <dimension ref="A2:BT81"/>
  <sheetViews>
    <sheetView zoomScale="75" zoomScaleNormal="75" workbookViewId="0">
      <pane xSplit="2" ySplit="3" topLeftCell="C25" activePane="bottomRight" state="frozen"/>
      <selection activeCell="C20" sqref="C20"/>
      <selection pane="topRight" activeCell="C20" sqref="C20"/>
      <selection pane="bottomLeft" activeCell="C20" sqref="C20"/>
      <selection pane="bottomRight" activeCell="K24" sqref="K24"/>
    </sheetView>
  </sheetViews>
  <sheetFormatPr defaultColWidth="13.1796875" defaultRowHeight="14.5" x14ac:dyDescent="0.35"/>
  <cols>
    <col min="1" max="1" width="3.453125" style="16" customWidth="1"/>
    <col min="2" max="2" width="40.7265625" style="41" bestFit="1" customWidth="1"/>
    <col min="3" max="3" width="14.453125" style="16" bestFit="1" customWidth="1"/>
    <col min="4" max="10" width="14.54296875" style="16" bestFit="1" customWidth="1"/>
    <col min="11" max="23" width="13.453125" style="16" bestFit="1" customWidth="1"/>
    <col min="24" max="48" width="13.1796875" style="169"/>
    <col min="49" max="16384" width="13.1796875" style="16"/>
  </cols>
  <sheetData>
    <row r="2" spans="2:71" s="2" customFormat="1" x14ac:dyDescent="0.35">
      <c r="B2" s="1022" t="s">
        <v>931</v>
      </c>
      <c r="C2" s="885" t="s">
        <v>31</v>
      </c>
      <c r="D2" s="885" t="s">
        <v>32</v>
      </c>
      <c r="E2" s="885" t="s">
        <v>33</v>
      </c>
      <c r="F2" s="885" t="s">
        <v>34</v>
      </c>
      <c r="G2" s="885" t="s">
        <v>35</v>
      </c>
      <c r="H2" s="885" t="s">
        <v>36</v>
      </c>
      <c r="I2" s="885" t="s">
        <v>37</v>
      </c>
      <c r="J2" s="885" t="s">
        <v>38</v>
      </c>
      <c r="K2" s="885" t="s">
        <v>39</v>
      </c>
      <c r="L2" s="885" t="s">
        <v>40</v>
      </c>
      <c r="M2" s="885" t="s">
        <v>41</v>
      </c>
      <c r="N2" s="885" t="s">
        <v>42</v>
      </c>
      <c r="O2" s="885" t="s">
        <v>43</v>
      </c>
      <c r="P2" s="885" t="s">
        <v>44</v>
      </c>
      <c r="Q2" s="885" t="s">
        <v>45</v>
      </c>
      <c r="R2" s="885" t="s">
        <v>46</v>
      </c>
      <c r="S2" s="885" t="s">
        <v>47</v>
      </c>
      <c r="T2" s="885" t="s">
        <v>188</v>
      </c>
      <c r="U2" s="885" t="s">
        <v>189</v>
      </c>
      <c r="V2" s="885" t="s">
        <v>190</v>
      </c>
      <c r="W2" s="885" t="s">
        <v>1110</v>
      </c>
      <c r="X2" s="885" t="s">
        <v>1111</v>
      </c>
      <c r="Y2" s="885" t="s">
        <v>1112</v>
      </c>
      <c r="Z2" s="885" t="s">
        <v>1113</v>
      </c>
      <c r="AA2" s="37"/>
      <c r="AB2" s="37"/>
      <c r="AC2" s="37"/>
      <c r="AD2" s="37"/>
      <c r="AE2" s="37"/>
      <c r="AF2" s="37"/>
      <c r="AG2" s="37"/>
      <c r="AH2" s="37"/>
      <c r="AI2" s="37"/>
      <c r="AJ2" s="37"/>
      <c r="AK2" s="37"/>
      <c r="AL2" s="37"/>
      <c r="AM2" s="37"/>
      <c r="AN2" s="200"/>
      <c r="AO2" s="200"/>
      <c r="AP2" s="200"/>
      <c r="AQ2" s="200"/>
      <c r="AR2" s="200"/>
      <c r="AS2" s="200"/>
      <c r="AT2" s="200"/>
      <c r="AU2" s="200"/>
      <c r="AV2" s="200"/>
      <c r="AW2" s="56"/>
      <c r="AX2" s="56"/>
      <c r="AY2" s="56"/>
      <c r="AZ2" s="56"/>
      <c r="BA2" s="56"/>
      <c r="BB2" s="56"/>
      <c r="BC2" s="56"/>
      <c r="BD2" s="56"/>
      <c r="BE2" s="56"/>
      <c r="BF2" s="56"/>
      <c r="BG2" s="56"/>
      <c r="BH2" s="56"/>
      <c r="BI2" s="56"/>
      <c r="BJ2" s="56"/>
      <c r="BK2" s="56"/>
      <c r="BL2" s="56"/>
      <c r="BM2" s="56"/>
      <c r="BN2" s="56"/>
      <c r="BO2" s="56"/>
      <c r="BP2" s="56"/>
      <c r="BQ2" s="56"/>
      <c r="BR2" s="56"/>
      <c r="BS2" s="56"/>
    </row>
    <row r="3" spans="2:71" s="2" customFormat="1" x14ac:dyDescent="0.35">
      <c r="B3" s="1021" t="s">
        <v>1114</v>
      </c>
      <c r="C3" s="55" t="str">
        <f>IF(COUNTIFS('P&amp;L - Monthly'!2:2,C2,'P&amp;L - Monthly'!4:4,"actual")=3,"Actual","Forecast")</f>
        <v>Actual</v>
      </c>
      <c r="D3" s="55" t="str">
        <f>IF(COUNTIFS('P&amp;L - Monthly'!2:2,D2,'P&amp;L - Monthly'!4:4,"actual")=3,"Actual","Forecast")</f>
        <v>Actual</v>
      </c>
      <c r="E3" s="55" t="str">
        <f>IF(COUNTIFS('P&amp;L - Monthly'!2:2,E2,'P&amp;L - Monthly'!4:4,"actual")=3,"Actual","Forecast")</f>
        <v>Actual</v>
      </c>
      <c r="F3" s="55" t="str">
        <f>IF(COUNTIFS('P&amp;L - Monthly'!2:2,F2,'P&amp;L - Monthly'!4:4,"actual")=3,"Actual","Forecast")</f>
        <v>Actual</v>
      </c>
      <c r="G3" s="55" t="str">
        <f>IF(COUNTIFS('P&amp;L - Monthly'!2:2,G2,'P&amp;L - Monthly'!4:4,"actual")=3,"Actual","Forecast")</f>
        <v>Actual</v>
      </c>
      <c r="H3" s="55" t="str">
        <f>IF(COUNTIFS('P&amp;L - Monthly'!2:2,H2,'P&amp;L - Monthly'!4:4,"actual")=3,"Actual","Forecast")</f>
        <v>Actual</v>
      </c>
      <c r="I3" s="55" t="str">
        <f>IF(COUNTIFS('P&amp;L - Monthly'!2:2,I2,'P&amp;L - Monthly'!4:4,"actual")=3,"Actual","Forecast")</f>
        <v>Actual</v>
      </c>
      <c r="J3" s="55" t="str">
        <f>IF(COUNTIFS('P&amp;L - Monthly'!2:2,J2,'P&amp;L - Monthly'!4:4,"actual")=3,"Actual","Forecast")</f>
        <v>Actual</v>
      </c>
      <c r="K3" s="55" t="str">
        <f>IF(COUNTIFS('P&amp;L - Monthly'!2:2,K2,'P&amp;L - Monthly'!4:4,"actual")=3,"Actual","Forecast")</f>
        <v>Forecast</v>
      </c>
      <c r="L3" s="55" t="str">
        <f>IF(COUNTIFS('P&amp;L - Monthly'!2:2,L2,'P&amp;L - Monthly'!4:4,"actual")=3,"Actual","Forecast")</f>
        <v>Forecast</v>
      </c>
      <c r="M3" s="55" t="str">
        <f>IF(COUNTIFS('P&amp;L - Monthly'!2:2,M2,'P&amp;L - Monthly'!4:4,"actual")=3,"Actual","Forecast")</f>
        <v>Forecast</v>
      </c>
      <c r="N3" s="55" t="str">
        <f>IF(COUNTIFS('P&amp;L - Monthly'!2:2,N2,'P&amp;L - Monthly'!4:4,"actual")=3,"Actual","Forecast")</f>
        <v>Forecast</v>
      </c>
      <c r="O3" s="55" t="str">
        <f>IF(COUNTIFS('P&amp;L - Monthly'!2:2,O2,'P&amp;L - Monthly'!4:4,"actual")=3,"Actual","Forecast")</f>
        <v>Forecast</v>
      </c>
      <c r="P3" s="55" t="str">
        <f>IF(COUNTIFS('P&amp;L - Monthly'!2:2,P2,'P&amp;L - Monthly'!4:4,"actual")=3,"Actual","Forecast")</f>
        <v>Forecast</v>
      </c>
      <c r="Q3" s="55" t="str">
        <f>IF(COUNTIFS('P&amp;L - Monthly'!2:2,Q2,'P&amp;L - Monthly'!4:4,"actual")=3,"Actual","Forecast")</f>
        <v>Forecast</v>
      </c>
      <c r="R3" s="55" t="str">
        <f>IF(COUNTIFS('P&amp;L - Monthly'!2:2,R2,'P&amp;L - Monthly'!4:4,"actual")=3,"Actual","Forecast")</f>
        <v>Forecast</v>
      </c>
      <c r="S3" s="55" t="str">
        <f>IF(COUNTIFS('P&amp;L - Monthly'!2:2,S2,'P&amp;L - Monthly'!4:4,"actual")=3,"Actual","Forecast")</f>
        <v>Forecast</v>
      </c>
      <c r="T3" s="55" t="str">
        <f>IF(COUNTIFS('P&amp;L - Monthly'!2:2,T2,'P&amp;L - Monthly'!4:4,"actual")=3,"Actual","Forecast")</f>
        <v>Forecast</v>
      </c>
      <c r="U3" s="55" t="str">
        <f>IF(COUNTIFS('P&amp;L - Monthly'!2:2,U2,'P&amp;L - Monthly'!4:4,"actual")=3,"Actual","Forecast")</f>
        <v>Forecast</v>
      </c>
      <c r="V3" s="55" t="str">
        <f>IF(COUNTIFS('P&amp;L - Monthly'!2:2,V2,'P&amp;L - Monthly'!4:4,"actual")=3,"Actual","Forecast")</f>
        <v>Forecast</v>
      </c>
      <c r="W3" s="228" t="str">
        <f>IF(COUNTIFS('P&amp;L - Monthly'!2:2,W2,'P&amp;L - Monthly'!4:4,"actual")=3,"Actual","Forecast")</f>
        <v>Forecast</v>
      </c>
      <c r="X3" s="228" t="str">
        <f>IF(COUNTIFS('P&amp;L - Monthly'!2:2,X2,'P&amp;L - Monthly'!4:4,"actual")=3,"Actual","Forecast")</f>
        <v>Forecast</v>
      </c>
      <c r="Y3" s="228" t="str">
        <f>IF(COUNTIFS('P&amp;L - Monthly'!2:2,Y2,'P&amp;L - Monthly'!4:4,"actual")=3,"Actual","Forecast")</f>
        <v>Forecast</v>
      </c>
      <c r="Z3" s="228" t="str">
        <f>IF(COUNTIFS('P&amp;L - Monthly'!2:2,Z2,'P&amp;L - Monthly'!4:4,"actual")=3,"Actual","Forecast")</f>
        <v>Forecast</v>
      </c>
      <c r="AA3" s="201"/>
      <c r="AB3" s="201"/>
      <c r="AC3" s="201"/>
      <c r="AD3" s="201"/>
      <c r="AE3" s="201"/>
      <c r="AF3" s="201"/>
      <c r="AG3" s="201"/>
      <c r="AH3" s="201"/>
      <c r="AI3" s="200"/>
      <c r="AJ3" s="200"/>
      <c r="AK3" s="200"/>
      <c r="AL3" s="200"/>
      <c r="AM3" s="200"/>
      <c r="AN3" s="200"/>
      <c r="AO3" s="200"/>
      <c r="AP3" s="200"/>
      <c r="AQ3" s="200"/>
      <c r="AR3" s="200"/>
      <c r="AS3" s="200"/>
      <c r="AT3" s="200"/>
      <c r="AU3" s="200"/>
      <c r="AV3" s="200"/>
      <c r="AW3" s="56"/>
      <c r="AX3" s="56"/>
      <c r="AY3" s="56"/>
      <c r="AZ3" s="56"/>
      <c r="BA3" s="56"/>
      <c r="BB3" s="56"/>
      <c r="BC3" s="56"/>
      <c r="BD3" s="56"/>
      <c r="BE3" s="56"/>
      <c r="BF3" s="56"/>
      <c r="BG3" s="56"/>
      <c r="BH3" s="56"/>
      <c r="BI3" s="56"/>
      <c r="BJ3" s="56"/>
      <c r="BK3" s="56"/>
      <c r="BL3" s="56"/>
      <c r="BM3" s="56"/>
      <c r="BN3" s="56"/>
      <c r="BO3" s="56"/>
      <c r="BP3" s="56"/>
      <c r="BQ3" s="56"/>
      <c r="BR3" s="56"/>
      <c r="BS3" s="56"/>
    </row>
    <row r="4" spans="2:71" s="134" customFormat="1" x14ac:dyDescent="0.35">
      <c r="B4" s="575" t="s">
        <v>1071</v>
      </c>
      <c r="W4" s="574"/>
      <c r="X4" s="574"/>
      <c r="Y4" s="574"/>
      <c r="Z4" s="574"/>
      <c r="AA4" s="169"/>
      <c r="AB4" s="169"/>
      <c r="AC4" s="169"/>
      <c r="AD4" s="169"/>
      <c r="AE4" s="169"/>
      <c r="AF4" s="169"/>
      <c r="AG4" s="169"/>
      <c r="AH4" s="169"/>
      <c r="AI4" s="169"/>
      <c r="AJ4" s="169"/>
      <c r="AK4" s="169"/>
      <c r="AL4" s="169"/>
      <c r="AM4" s="169"/>
      <c r="AN4" s="169"/>
      <c r="AO4" s="169"/>
      <c r="AP4" s="169"/>
      <c r="AQ4" s="169"/>
      <c r="AR4" s="169"/>
      <c r="AS4" s="169"/>
      <c r="AT4" s="169"/>
      <c r="AU4" s="169"/>
      <c r="AV4" s="169"/>
    </row>
    <row r="5" spans="2:71" x14ac:dyDescent="0.35">
      <c r="B5" s="30" t="s">
        <v>221</v>
      </c>
      <c r="W5" s="574"/>
      <c r="X5" s="574"/>
      <c r="Y5" s="574"/>
      <c r="Z5" s="574"/>
    </row>
    <row r="6" spans="2:71" x14ac:dyDescent="0.35">
      <c r="B6" s="1171" t="s">
        <v>223</v>
      </c>
      <c r="C6" s="21">
        <f>SUMIF('P&amp;L - Monthly'!$2:$2,'P&amp;L - Qtrly'!C$2,'P&amp;L - Monthly'!11:11)</f>
        <v>0</v>
      </c>
      <c r="D6" s="21">
        <f>SUMIF('P&amp;L - Monthly'!$2:$2,'P&amp;L - Qtrly'!D$2,'P&amp;L - Monthly'!11:11)</f>
        <v>0</v>
      </c>
      <c r="E6" s="21">
        <f>SUMIF('P&amp;L - Monthly'!$2:$2,'P&amp;L - Qtrly'!E$2,'P&amp;L - Monthly'!11:11)</f>
        <v>0</v>
      </c>
      <c r="F6" s="21">
        <f>SUMIF('P&amp;L - Monthly'!$2:$2,'P&amp;L - Qtrly'!F$2,'P&amp;L - Monthly'!11:11)</f>
        <v>0</v>
      </c>
      <c r="G6" s="21">
        <f>SUMIF('P&amp;L - Monthly'!$2:$2,'P&amp;L - Qtrly'!G$2,'P&amp;L - Monthly'!11:11)</f>
        <v>240852.06999999998</v>
      </c>
      <c r="H6" s="21">
        <f>SUMIF('P&amp;L - Monthly'!$2:$2,'P&amp;L - Qtrly'!H$2,'P&amp;L - Monthly'!11:11)</f>
        <v>324709.91000000003</v>
      </c>
      <c r="I6" s="21">
        <f>SUMIF('P&amp;L - Monthly'!$2:$2,'P&amp;L - Qtrly'!I$2,'P&amp;L - Monthly'!11:11)</f>
        <v>372917.1</v>
      </c>
      <c r="J6" s="21">
        <f>SUMIF('P&amp;L - Monthly'!$2:$2,'P&amp;L - Qtrly'!J$2,'P&amp;L - Monthly'!11:11)</f>
        <v>787981.17999999993</v>
      </c>
      <c r="K6" s="21">
        <f>SUMIF('P&amp;L - Monthly'!$2:$2,'P&amp;L - Qtrly'!K$2,'P&amp;L - Monthly'!11:11)</f>
        <v>851600.26205204183</v>
      </c>
      <c r="L6" s="21">
        <f>SUMIF('P&amp;L - Monthly'!$2:$2,'P&amp;L - Qtrly'!L$2,'P&amp;L - Monthly'!11:11)</f>
        <v>1055053.4355780627</v>
      </c>
      <c r="M6" s="21">
        <f>SUMIF('P&amp;L - Monthly'!$2:$2,'P&amp;L - Qtrly'!M$2,'P&amp;L - Monthly'!11:11)</f>
        <v>1261747.7343780627</v>
      </c>
      <c r="N6" s="21">
        <f>SUMIF('P&amp;L - Monthly'!$2:$2,'P&amp;L - Qtrly'!N$2,'P&amp;L - Monthly'!11:11)</f>
        <v>1501146.9603780629</v>
      </c>
      <c r="O6" s="21">
        <f>SUMIF('P&amp;L - Monthly'!$2:$2,'P&amp;L - Qtrly'!O$2,'P&amp;L - Monthly'!11:11)</f>
        <v>1769406.5673780628</v>
      </c>
      <c r="P6" s="21">
        <f>SUMIF('P&amp;L - Monthly'!$2:$2,'P&amp;L - Qtrly'!P$2,'P&amp;L - Monthly'!11:11)</f>
        <v>2037666.1743780626</v>
      </c>
      <c r="Q6" s="21">
        <f>SUMIF('P&amp;L - Monthly'!$2:$2,'P&amp;L - Qtrly'!Q$2,'P&amp;L - Monthly'!11:11)</f>
        <v>2305925.7813780624</v>
      </c>
      <c r="R6" s="21">
        <f>SUMIF('P&amp;L - Monthly'!$2:$2,'P&amp;L - Qtrly'!R$2,'P&amp;L - Monthly'!11:11)</f>
        <v>2574185.3883780623</v>
      </c>
      <c r="S6" s="21">
        <f>SUMIF('P&amp;L - Monthly'!$2:$2,'P&amp;L - Qtrly'!S$2,'P&amp;L - Monthly'!11:11)</f>
        <v>0</v>
      </c>
      <c r="T6" s="21">
        <f>SUMIF('P&amp;L - Monthly'!$2:$2,'P&amp;L - Qtrly'!T$2,'P&amp;L - Monthly'!11:11)</f>
        <v>0</v>
      </c>
      <c r="U6" s="21">
        <f>SUMIF('P&amp;L - Monthly'!$2:$2,'P&amp;L - Qtrly'!U$2,'P&amp;L - Monthly'!11:11)</f>
        <v>0</v>
      </c>
      <c r="V6" s="21">
        <f>SUMIF('P&amp;L - Monthly'!$2:$2,'P&amp;L - Qtrly'!V$2,'P&amp;L - Monthly'!11:11)</f>
        <v>0</v>
      </c>
      <c r="W6" s="21">
        <f>SUMIF('P&amp;L - Monthly'!$2:$2,'P&amp;L - Qtrly'!W$2,'P&amp;L - Monthly'!11:11)</f>
        <v>0</v>
      </c>
      <c r="X6" s="21">
        <f>SUMIF('P&amp;L - Monthly'!$2:$2,'P&amp;L - Qtrly'!X$2,'P&amp;L - Monthly'!11:11)</f>
        <v>0</v>
      </c>
      <c r="Y6" s="21">
        <f>SUMIF('P&amp;L - Monthly'!$2:$2,'P&amp;L - Qtrly'!Y$2,'P&amp;L - Monthly'!11:11)</f>
        <v>0</v>
      </c>
      <c r="Z6" s="21">
        <f>SUMIF('P&amp;L - Monthly'!$2:$2,'P&amp;L - Qtrly'!Z$2,'P&amp;L - Monthly'!11:11)</f>
        <v>0</v>
      </c>
    </row>
    <row r="7" spans="2:71" s="305" customFormat="1" x14ac:dyDescent="0.35">
      <c r="B7" s="1171" t="s">
        <v>1169</v>
      </c>
      <c r="C7" s="21">
        <f>SUMIF('P&amp;L - Monthly'!$2:$2,'P&amp;L - Qtrly'!C$2,'P&amp;L - Monthly'!12:12)</f>
        <v>0</v>
      </c>
      <c r="D7" s="21">
        <f>SUMIF('P&amp;L - Monthly'!$2:$2,'P&amp;L - Qtrly'!D$2,'P&amp;L - Monthly'!12:12)</f>
        <v>0</v>
      </c>
      <c r="E7" s="21">
        <f>SUMIF('P&amp;L - Monthly'!$2:$2,'P&amp;L - Qtrly'!E$2,'P&amp;L - Monthly'!12:12)</f>
        <v>0</v>
      </c>
      <c r="F7" s="21">
        <f>SUMIF('P&amp;L - Monthly'!$2:$2,'P&amp;L - Qtrly'!F$2,'P&amp;L - Monthly'!12:12)</f>
        <v>0</v>
      </c>
      <c r="G7" s="21">
        <f>SUMIF('P&amp;L - Monthly'!$2:$2,'P&amp;L - Qtrly'!G$2,'P&amp;L - Monthly'!12:12)</f>
        <v>3622862.4699999997</v>
      </c>
      <c r="H7" s="21">
        <f>SUMIF('P&amp;L - Monthly'!$2:$2,'P&amp;L - Qtrly'!H$2,'P&amp;L - Monthly'!12:12)</f>
        <v>3887859.8600000003</v>
      </c>
      <c r="I7" s="21">
        <f>SUMIF('P&amp;L - Monthly'!$2:$2,'P&amp;L - Qtrly'!I$2,'P&amp;L - Monthly'!12:12)</f>
        <v>3720482.2</v>
      </c>
      <c r="J7" s="21">
        <f>SUMIF('P&amp;L - Monthly'!$2:$2,'P&amp;L - Qtrly'!J$2,'P&amp;L - Monthly'!12:12)</f>
        <v>3869442.5</v>
      </c>
      <c r="K7" s="21">
        <f>SUMIF('P&amp;L - Monthly'!$2:$2,'P&amp;L - Qtrly'!K$2,'P&amp;L - Monthly'!12:12)</f>
        <v>3716495.6961880056</v>
      </c>
      <c r="L7" s="21">
        <f>SUMIF('P&amp;L - Monthly'!$2:$2,'P&amp;L - Qtrly'!L$2,'P&amp;L - Monthly'!12:12)</f>
        <v>4482032.7334578419</v>
      </c>
      <c r="M7" s="21">
        <f>SUMIF('P&amp;L - Monthly'!$2:$2,'P&amp;L - Qtrly'!M$2,'P&amp;L - Monthly'!12:12)</f>
        <v>5090375.8182838028</v>
      </c>
      <c r="N7" s="21">
        <f>SUMIF('P&amp;L - Monthly'!$2:$2,'P&amp;L - Qtrly'!N$2,'P&amp;L - Monthly'!12:12)</f>
        <v>5905608.3214783492</v>
      </c>
      <c r="O7" s="21">
        <f>SUMIF('P&amp;L - Monthly'!$2:$2,'P&amp;L - Qtrly'!O$2,'P&amp;L - Monthly'!12:12)</f>
        <v>7114256.8510188339</v>
      </c>
      <c r="P7" s="21">
        <f>SUMIF('P&amp;L - Monthly'!$2:$2,'P&amp;L - Qtrly'!P$2,'P&amp;L - Monthly'!12:12)</f>
        <v>8122429.325307942</v>
      </c>
      <c r="Q7" s="21">
        <f>SUMIF('P&amp;L - Monthly'!$2:$2,'P&amp;L - Qtrly'!Q$2,'P&amp;L - Monthly'!12:12)</f>
        <v>9081101.5160729103</v>
      </c>
      <c r="R7" s="21">
        <f>SUMIF('P&amp;L - Monthly'!$2:$2,'P&amp;L - Qtrly'!R$2,'P&amp;L - Monthly'!12:12)</f>
        <v>10041651.303678682</v>
      </c>
      <c r="S7" s="21">
        <f>SUMIF('P&amp;L - Monthly'!$2:$2,'P&amp;L - Qtrly'!S$2,'P&amp;L - Monthly'!12:12)</f>
        <v>0</v>
      </c>
      <c r="T7" s="21">
        <f>SUMIF('P&amp;L - Monthly'!$2:$2,'P&amp;L - Qtrly'!T$2,'P&amp;L - Monthly'!12:12)</f>
        <v>0</v>
      </c>
      <c r="U7" s="21">
        <f>SUMIF('P&amp;L - Monthly'!$2:$2,'P&amp;L - Qtrly'!U$2,'P&amp;L - Monthly'!12:12)</f>
        <v>0</v>
      </c>
      <c r="V7" s="21">
        <f>SUMIF('P&amp;L - Monthly'!$2:$2,'P&amp;L - Qtrly'!V$2,'P&amp;L - Monthly'!12:12)</f>
        <v>0</v>
      </c>
      <c r="W7" s="21">
        <f>SUMIF('P&amp;L - Monthly'!$2:$2,'P&amp;L - Qtrly'!W$2,'P&amp;L - Monthly'!12:12)</f>
        <v>0</v>
      </c>
      <c r="X7" s="21">
        <f>SUMIF('P&amp;L - Monthly'!$2:$2,'P&amp;L - Qtrly'!X$2,'P&amp;L - Monthly'!12:12)</f>
        <v>0</v>
      </c>
      <c r="Y7" s="21">
        <f>SUMIF('P&amp;L - Monthly'!$2:$2,'P&amp;L - Qtrly'!Y$2,'P&amp;L - Monthly'!12:12)</f>
        <v>0</v>
      </c>
      <c r="Z7" s="21">
        <f>SUMIF('P&amp;L - Monthly'!$2:$2,'P&amp;L - Qtrly'!Z$2,'P&amp;L - Monthly'!12:12)</f>
        <v>0</v>
      </c>
      <c r="AA7" s="169"/>
      <c r="AB7" s="169"/>
      <c r="AC7" s="169"/>
      <c r="AD7" s="169"/>
      <c r="AE7" s="169"/>
      <c r="AF7" s="169"/>
      <c r="AG7" s="169"/>
      <c r="AH7" s="169"/>
      <c r="AI7" s="169"/>
      <c r="AJ7" s="169"/>
      <c r="AK7" s="169"/>
      <c r="AL7" s="169"/>
      <c r="AM7" s="169"/>
      <c r="AN7" s="169"/>
      <c r="AO7" s="169"/>
      <c r="AP7" s="169"/>
      <c r="AQ7" s="169"/>
      <c r="AR7" s="169"/>
      <c r="AS7" s="169"/>
      <c r="AT7" s="169"/>
      <c r="AU7" s="169"/>
      <c r="AV7" s="169"/>
    </row>
    <row r="8" spans="2:71" x14ac:dyDescent="0.35">
      <c r="B8" s="1171" t="s">
        <v>1172</v>
      </c>
      <c r="C8" s="21">
        <f>SUMIF('P&amp;L - Monthly'!$2:$2,'P&amp;L - Qtrly'!C$2,'P&amp;L - Monthly'!13:13)</f>
        <v>1847584.5664017661</v>
      </c>
      <c r="D8" s="21">
        <f>SUMIF('P&amp;L - Monthly'!$2:$2,'P&amp;L - Qtrly'!D$2,'P&amp;L - Monthly'!13:13)</f>
        <v>2070137.5950404406</v>
      </c>
      <c r="E8" s="21">
        <f>SUMIF('P&amp;L - Monthly'!$2:$2,'P&amp;L - Qtrly'!E$2,'P&amp;L - Monthly'!13:13)</f>
        <v>1943813.2516368586</v>
      </c>
      <c r="F8" s="21">
        <f>SUMIF('P&amp;L - Monthly'!$2:$2,'P&amp;L - Qtrly'!F$2,'P&amp;L - Monthly'!13:13)</f>
        <v>2494922.1451690728</v>
      </c>
      <c r="G8" s="21">
        <f>SUMIF('P&amp;L - Monthly'!$2:$2,'P&amp;L - Qtrly'!G$2,'P&amp;L - Monthly'!13:13)</f>
        <v>0</v>
      </c>
      <c r="H8" s="21">
        <f>SUMIF('P&amp;L - Monthly'!$2:$2,'P&amp;L - Qtrly'!H$2,'P&amp;L - Monthly'!13:13)</f>
        <v>0</v>
      </c>
      <c r="I8" s="21">
        <f>SUMIF('P&amp;L - Monthly'!$2:$2,'P&amp;L - Qtrly'!I$2,'P&amp;L - Monthly'!13:13)</f>
        <v>0</v>
      </c>
      <c r="J8" s="21">
        <f>SUMIF('P&amp;L - Monthly'!$2:$2,'P&amp;L - Qtrly'!J$2,'P&amp;L - Monthly'!13:13)</f>
        <v>0</v>
      </c>
      <c r="K8" s="21">
        <f>SUMIF('P&amp;L - Monthly'!$2:$2,'P&amp;L - Qtrly'!K$2,'P&amp;L - Monthly'!13:13)</f>
        <v>0</v>
      </c>
      <c r="L8" s="21">
        <f>SUMIF('P&amp;L - Monthly'!$2:$2,'P&amp;L - Qtrly'!L$2,'P&amp;L - Monthly'!13:13)</f>
        <v>0</v>
      </c>
      <c r="M8" s="21">
        <f>SUMIF('P&amp;L - Monthly'!$2:$2,'P&amp;L - Qtrly'!M$2,'P&amp;L - Monthly'!13:13)</f>
        <v>0</v>
      </c>
      <c r="N8" s="21">
        <f>SUMIF('P&amp;L - Monthly'!$2:$2,'P&amp;L - Qtrly'!N$2,'P&amp;L - Monthly'!13:13)</f>
        <v>0</v>
      </c>
      <c r="O8" s="21">
        <f>SUMIF('P&amp;L - Monthly'!$2:$2,'P&amp;L - Qtrly'!O$2,'P&amp;L - Monthly'!13:13)</f>
        <v>0</v>
      </c>
      <c r="P8" s="21">
        <f>SUMIF('P&amp;L - Monthly'!$2:$2,'P&amp;L - Qtrly'!P$2,'P&amp;L - Monthly'!13:13)</f>
        <v>0</v>
      </c>
      <c r="Q8" s="21">
        <f>SUMIF('P&amp;L - Monthly'!$2:$2,'P&amp;L - Qtrly'!Q$2,'P&amp;L - Monthly'!13:13)</f>
        <v>0</v>
      </c>
      <c r="R8" s="21">
        <f>SUMIF('P&amp;L - Monthly'!$2:$2,'P&amp;L - Qtrly'!R$2,'P&amp;L - Monthly'!13:13)</f>
        <v>0</v>
      </c>
      <c r="S8" s="21">
        <f>SUMIF('P&amp;L - Monthly'!$2:$2,'P&amp;L - Qtrly'!S$2,'P&amp;L - Monthly'!13:13)</f>
        <v>0</v>
      </c>
      <c r="T8" s="21">
        <f>SUMIF('P&amp;L - Monthly'!$2:$2,'P&amp;L - Qtrly'!T$2,'P&amp;L - Monthly'!13:13)</f>
        <v>0</v>
      </c>
      <c r="U8" s="21">
        <f>SUMIF('P&amp;L - Monthly'!$2:$2,'P&amp;L - Qtrly'!U$2,'P&amp;L - Monthly'!13:13)</f>
        <v>0</v>
      </c>
      <c r="V8" s="21">
        <f>SUMIF('P&amp;L - Monthly'!$2:$2,'P&amp;L - Qtrly'!V$2,'P&amp;L - Monthly'!13:13)</f>
        <v>0</v>
      </c>
      <c r="W8" s="21">
        <f>SUMIF('P&amp;L - Monthly'!$2:$2,'P&amp;L - Qtrly'!W$2,'P&amp;L - Monthly'!13:13)</f>
        <v>0</v>
      </c>
      <c r="X8" s="21">
        <f>SUMIF('P&amp;L - Monthly'!$2:$2,'P&amp;L - Qtrly'!X$2,'P&amp;L - Monthly'!13:13)</f>
        <v>0</v>
      </c>
      <c r="Y8" s="21">
        <f>SUMIF('P&amp;L - Monthly'!$2:$2,'P&amp;L - Qtrly'!Y$2,'P&amp;L - Monthly'!13:13)</f>
        <v>0</v>
      </c>
      <c r="Z8" s="21">
        <f>SUMIF('P&amp;L - Monthly'!$2:$2,'P&amp;L - Qtrly'!Z$2,'P&amp;L - Monthly'!13:13)</f>
        <v>0</v>
      </c>
    </row>
    <row r="9" spans="2:71" s="574" customFormat="1" x14ac:dyDescent="0.35">
      <c r="B9" s="1171" t="s">
        <v>1173</v>
      </c>
      <c r="C9" s="21">
        <f>SUMIF('P&amp;L - Monthly'!$2:$2,'P&amp;L - Qtrly'!C$2,'P&amp;L - Monthly'!14:14)</f>
        <v>1421873.8999999997</v>
      </c>
      <c r="D9" s="21">
        <f>SUMIF('P&amp;L - Monthly'!$2:$2,'P&amp;L - Qtrly'!D$2,'P&amp;L - Monthly'!14:14)</f>
        <v>1557050.1400000011</v>
      </c>
      <c r="E9" s="21">
        <f>SUMIF('P&amp;L - Monthly'!$2:$2,'P&amp;L - Qtrly'!E$2,'P&amp;L - Monthly'!14:14)</f>
        <v>1638958.589999998</v>
      </c>
      <c r="F9" s="21">
        <f>SUMIF('P&amp;L - Monthly'!$2:$2,'P&amp;L - Qtrly'!F$2,'P&amp;L - Monthly'!14:14)</f>
        <v>1829711.0600000019</v>
      </c>
      <c r="G9" s="21">
        <f>SUMIF('P&amp;L - Monthly'!$2:$2,'P&amp;L - Qtrly'!G$2,'P&amp;L - Monthly'!14:14)</f>
        <v>-1237.2199999999998</v>
      </c>
      <c r="H9" s="21">
        <f>SUMIF('P&amp;L - Monthly'!$2:$2,'P&amp;L - Qtrly'!H$2,'P&amp;L - Monthly'!14:14)</f>
        <v>21.599999999999994</v>
      </c>
      <c r="I9" s="21">
        <f>SUMIF('P&amp;L - Monthly'!$2:$2,'P&amp;L - Qtrly'!I$2,'P&amp;L - Monthly'!14:14)</f>
        <v>22355.200000000001</v>
      </c>
      <c r="J9" s="21">
        <f>SUMIF('P&amp;L - Monthly'!$2:$2,'P&amp;L - Qtrly'!J$2,'P&amp;L - Monthly'!14:14)</f>
        <v>3000</v>
      </c>
      <c r="K9" s="21">
        <f>SUMIF('P&amp;L - Monthly'!$2:$2,'P&amp;L - Qtrly'!K$2,'P&amp;L - Monthly'!14:14)</f>
        <v>0</v>
      </c>
      <c r="L9" s="21">
        <f>SUMIF('P&amp;L - Monthly'!$2:$2,'P&amp;L - Qtrly'!L$2,'P&amp;L - Monthly'!14:14)</f>
        <v>0</v>
      </c>
      <c r="M9" s="21">
        <f>SUMIF('P&amp;L - Monthly'!$2:$2,'P&amp;L - Qtrly'!M$2,'P&amp;L - Monthly'!14:14)</f>
        <v>0</v>
      </c>
      <c r="N9" s="21">
        <f>SUMIF('P&amp;L - Monthly'!$2:$2,'P&amp;L - Qtrly'!N$2,'P&amp;L - Monthly'!14:14)</f>
        <v>0</v>
      </c>
      <c r="O9" s="21">
        <f>SUMIF('P&amp;L - Monthly'!$2:$2,'P&amp;L - Qtrly'!O$2,'P&amp;L - Monthly'!14:14)</f>
        <v>0</v>
      </c>
      <c r="P9" s="21">
        <f>SUMIF('P&amp;L - Monthly'!$2:$2,'P&amp;L - Qtrly'!P$2,'P&amp;L - Monthly'!14:14)</f>
        <v>0</v>
      </c>
      <c r="Q9" s="21">
        <f>SUMIF('P&amp;L - Monthly'!$2:$2,'P&amp;L - Qtrly'!Q$2,'P&amp;L - Monthly'!14:14)</f>
        <v>0</v>
      </c>
      <c r="R9" s="21">
        <f>SUMIF('P&amp;L - Monthly'!$2:$2,'P&amp;L - Qtrly'!R$2,'P&amp;L - Monthly'!14:14)</f>
        <v>0</v>
      </c>
      <c r="S9" s="21">
        <f>SUMIF('P&amp;L - Monthly'!$2:$2,'P&amp;L - Qtrly'!S$2,'P&amp;L - Monthly'!14:14)</f>
        <v>0</v>
      </c>
      <c r="T9" s="21">
        <f>SUMIF('P&amp;L - Monthly'!$2:$2,'P&amp;L - Qtrly'!T$2,'P&amp;L - Monthly'!14:14)</f>
        <v>0</v>
      </c>
      <c r="U9" s="21">
        <f>SUMIF('P&amp;L - Monthly'!$2:$2,'P&amp;L - Qtrly'!U$2,'P&amp;L - Monthly'!14:14)</f>
        <v>0</v>
      </c>
      <c r="V9" s="21">
        <f>SUMIF('P&amp;L - Monthly'!$2:$2,'P&amp;L - Qtrly'!V$2,'P&amp;L - Monthly'!14:14)</f>
        <v>0</v>
      </c>
      <c r="W9" s="21">
        <f>SUMIF('P&amp;L - Monthly'!$2:$2,'P&amp;L - Qtrly'!W$2,'P&amp;L - Monthly'!14:14)</f>
        <v>0</v>
      </c>
      <c r="X9" s="21">
        <f>SUMIF('P&amp;L - Monthly'!$2:$2,'P&amp;L - Qtrly'!X$2,'P&amp;L - Monthly'!14:14)</f>
        <v>0</v>
      </c>
      <c r="Y9" s="21">
        <f>SUMIF('P&amp;L - Monthly'!$2:$2,'P&amp;L - Qtrly'!Y$2,'P&amp;L - Monthly'!14:14)</f>
        <v>0</v>
      </c>
      <c r="Z9" s="21">
        <f>SUMIF('P&amp;L - Monthly'!$2:$2,'P&amp;L - Qtrly'!Z$2,'P&amp;L - Monthly'!14:14)</f>
        <v>0</v>
      </c>
      <c r="AA9" s="169"/>
      <c r="AB9" s="169"/>
      <c r="AC9" s="169"/>
      <c r="AD9" s="169"/>
      <c r="AE9" s="169"/>
      <c r="AF9" s="169"/>
      <c r="AG9" s="169"/>
      <c r="AH9" s="169"/>
      <c r="AI9" s="169"/>
      <c r="AJ9" s="169"/>
      <c r="AK9" s="169"/>
      <c r="AL9" s="169"/>
      <c r="AM9" s="169"/>
      <c r="AN9" s="169"/>
      <c r="AO9" s="169"/>
      <c r="AP9" s="169"/>
      <c r="AQ9" s="169"/>
      <c r="AR9" s="169"/>
      <c r="AS9" s="169"/>
      <c r="AT9" s="169"/>
      <c r="AU9" s="169"/>
      <c r="AV9" s="169"/>
    </row>
    <row r="10" spans="2:71" s="574" customFormat="1" x14ac:dyDescent="0.35">
      <c r="B10" s="1171" t="s">
        <v>1175</v>
      </c>
      <c r="C10" s="21">
        <f>SUMIF('P&amp;L - Monthly'!$2:$2,'P&amp;L - Qtrly'!C$2,'P&amp;L - Monthly'!15:15)</f>
        <v>0</v>
      </c>
      <c r="D10" s="21">
        <f>SUMIF('P&amp;L - Monthly'!$2:$2,'P&amp;L - Qtrly'!D$2,'P&amp;L - Monthly'!15:15)</f>
        <v>0</v>
      </c>
      <c r="E10" s="21">
        <f>SUMIF('P&amp;L - Monthly'!$2:$2,'P&amp;L - Qtrly'!E$2,'P&amp;L - Monthly'!15:15)</f>
        <v>0</v>
      </c>
      <c r="F10" s="21">
        <f>SUMIF('P&amp;L - Monthly'!$2:$2,'P&amp;L - Qtrly'!F$2,'P&amp;L - Monthly'!15:15)</f>
        <v>0</v>
      </c>
      <c r="G10" s="21">
        <f>SUMIF('P&amp;L - Monthly'!$2:$2,'P&amp;L - Qtrly'!G$2,'P&amp;L - Monthly'!15:15)</f>
        <v>0</v>
      </c>
      <c r="H10" s="21">
        <f>SUMIF('P&amp;L - Monthly'!$2:$2,'P&amp;L - Qtrly'!H$2,'P&amp;L - Monthly'!15:15)</f>
        <v>5000</v>
      </c>
      <c r="I10" s="21">
        <f>SUMIF('P&amp;L - Monthly'!$2:$2,'P&amp;L - Qtrly'!I$2,'P&amp;L - Monthly'!15:15)</f>
        <v>9600</v>
      </c>
      <c r="J10" s="21">
        <f>SUMIF('P&amp;L - Monthly'!$2:$2,'P&amp;L - Qtrly'!J$2,'P&amp;L - Monthly'!15:15)</f>
        <v>0</v>
      </c>
      <c r="K10" s="21">
        <f>SUMIF('P&amp;L - Monthly'!$2:$2,'P&amp;L - Qtrly'!K$2,'P&amp;L - Monthly'!15:15)</f>
        <v>0</v>
      </c>
      <c r="L10" s="21">
        <f>SUMIF('P&amp;L - Monthly'!$2:$2,'P&amp;L - Qtrly'!L$2,'P&amp;L - Monthly'!15:15)</f>
        <v>0</v>
      </c>
      <c r="M10" s="21">
        <f>SUMIF('P&amp;L - Monthly'!$2:$2,'P&amp;L - Qtrly'!M$2,'P&amp;L - Monthly'!15:15)</f>
        <v>0</v>
      </c>
      <c r="N10" s="21">
        <f>SUMIF('P&amp;L - Monthly'!$2:$2,'P&amp;L - Qtrly'!N$2,'P&amp;L - Monthly'!15:15)</f>
        <v>0</v>
      </c>
      <c r="O10" s="21">
        <f>SUMIF('P&amp;L - Monthly'!$2:$2,'P&amp;L - Qtrly'!O$2,'P&amp;L - Monthly'!15:15)</f>
        <v>0</v>
      </c>
      <c r="P10" s="21">
        <f>SUMIF('P&amp;L - Monthly'!$2:$2,'P&amp;L - Qtrly'!P$2,'P&amp;L - Monthly'!15:15)</f>
        <v>0</v>
      </c>
      <c r="Q10" s="21">
        <f>SUMIF('P&amp;L - Monthly'!$2:$2,'P&amp;L - Qtrly'!Q$2,'P&amp;L - Monthly'!15:15)</f>
        <v>0</v>
      </c>
      <c r="R10" s="21">
        <f>SUMIF('P&amp;L - Monthly'!$2:$2,'P&amp;L - Qtrly'!R$2,'P&amp;L - Monthly'!15:15)</f>
        <v>0</v>
      </c>
      <c r="S10" s="21">
        <f>SUMIF('P&amp;L - Monthly'!$2:$2,'P&amp;L - Qtrly'!S$2,'P&amp;L - Monthly'!15:15)</f>
        <v>0</v>
      </c>
      <c r="T10" s="21">
        <f>SUMIF('P&amp;L - Monthly'!$2:$2,'P&amp;L - Qtrly'!T$2,'P&amp;L - Monthly'!15:15)</f>
        <v>0</v>
      </c>
      <c r="U10" s="21">
        <f>SUMIF('P&amp;L - Monthly'!$2:$2,'P&amp;L - Qtrly'!U$2,'P&amp;L - Monthly'!15:15)</f>
        <v>0</v>
      </c>
      <c r="V10" s="21">
        <f>SUMIF('P&amp;L - Monthly'!$2:$2,'P&amp;L - Qtrly'!V$2,'P&amp;L - Monthly'!15:15)</f>
        <v>0</v>
      </c>
      <c r="W10" s="21">
        <f>SUMIF('P&amp;L - Monthly'!$2:$2,'P&amp;L - Qtrly'!W$2,'P&amp;L - Monthly'!15:15)</f>
        <v>0</v>
      </c>
      <c r="X10" s="21">
        <f>SUMIF('P&amp;L - Monthly'!$2:$2,'P&amp;L - Qtrly'!X$2,'P&amp;L - Monthly'!15:15)</f>
        <v>0</v>
      </c>
      <c r="Y10" s="21">
        <f>SUMIF('P&amp;L - Monthly'!$2:$2,'P&amp;L - Qtrly'!Y$2,'P&amp;L - Monthly'!15:15)</f>
        <v>0</v>
      </c>
      <c r="Z10" s="21">
        <f>SUMIF('P&amp;L - Monthly'!$2:$2,'P&amp;L - Qtrly'!Z$2,'P&amp;L - Monthly'!15:15)</f>
        <v>0</v>
      </c>
      <c r="AA10" s="169"/>
      <c r="AB10" s="169"/>
      <c r="AC10" s="169"/>
      <c r="AD10" s="169"/>
      <c r="AE10" s="169"/>
      <c r="AF10" s="169"/>
      <c r="AG10" s="169"/>
      <c r="AH10" s="169"/>
      <c r="AI10" s="169"/>
      <c r="AJ10" s="169"/>
      <c r="AK10" s="169"/>
      <c r="AL10" s="169"/>
      <c r="AM10" s="169"/>
      <c r="AN10" s="169"/>
      <c r="AO10" s="169"/>
      <c r="AP10" s="169"/>
      <c r="AQ10" s="169"/>
      <c r="AR10" s="169"/>
      <c r="AS10" s="169"/>
      <c r="AT10" s="169"/>
      <c r="AU10" s="169"/>
      <c r="AV10" s="169"/>
    </row>
    <row r="11" spans="2:71" s="438" customFormat="1" x14ac:dyDescent="0.35">
      <c r="B11" s="1171" t="s">
        <v>1174</v>
      </c>
      <c r="C11" s="9">
        <f>SUMIF('P&amp;L - Monthly'!$2:$2,'P&amp;L - Qtrly'!C$2,'P&amp;L - Monthly'!16:16)</f>
        <v>75117.964999999997</v>
      </c>
      <c r="D11" s="9">
        <f>SUMIF('P&amp;L - Monthly'!$2:$2,'P&amp;L - Qtrly'!D$2,'P&amp;L - Monthly'!16:16)</f>
        <v>75117.964999999997</v>
      </c>
      <c r="E11" s="9">
        <f>SUMIF('P&amp;L - Monthly'!$2:$2,'P&amp;L - Qtrly'!E$2,'P&amp;L - Monthly'!16:16)</f>
        <v>75117.964999999997</v>
      </c>
      <c r="F11" s="9">
        <f>SUMIF('P&amp;L - Monthly'!$2:$2,'P&amp;L - Qtrly'!F$2,'P&amp;L - Monthly'!16:16)</f>
        <v>75117.964999999997</v>
      </c>
      <c r="G11" s="9">
        <f>SUMIF('P&amp;L - Monthly'!$2:$2,'P&amp;L - Qtrly'!G$2,'P&amp;L - Monthly'!16:16)</f>
        <v>1802.5</v>
      </c>
      <c r="H11" s="9">
        <f>SUMIF('P&amp;L - Monthly'!$2:$2,'P&amp;L - Qtrly'!H$2,'P&amp;L - Monthly'!16:16)</f>
        <v>1500</v>
      </c>
      <c r="I11" s="9">
        <f>SUMIF('P&amp;L - Monthly'!$2:$2,'P&amp;L - Qtrly'!I$2,'P&amp;L - Monthly'!16:16)</f>
        <v>1500</v>
      </c>
      <c r="J11" s="9">
        <f>SUMIF('P&amp;L - Monthly'!$2:$2,'P&amp;L - Qtrly'!J$2,'P&amp;L - Monthly'!16:16)</f>
        <v>1573.1799999999998</v>
      </c>
      <c r="K11" s="9">
        <f>SUMIF('P&amp;L - Monthly'!$2:$2,'P&amp;L - Qtrly'!K$2,'P&amp;L - Monthly'!16:16)</f>
        <v>0</v>
      </c>
      <c r="L11" s="9">
        <f>SUMIF('P&amp;L - Monthly'!$2:$2,'P&amp;L - Qtrly'!L$2,'P&amp;L - Monthly'!16:16)</f>
        <v>0</v>
      </c>
      <c r="M11" s="9">
        <f>SUMIF('P&amp;L - Monthly'!$2:$2,'P&amp;L - Qtrly'!M$2,'P&amp;L - Monthly'!16:16)</f>
        <v>0</v>
      </c>
      <c r="N11" s="9">
        <f>SUMIF('P&amp;L - Monthly'!$2:$2,'P&amp;L - Qtrly'!N$2,'P&amp;L - Monthly'!16:16)</f>
        <v>0</v>
      </c>
      <c r="O11" s="9">
        <f>SUMIF('P&amp;L - Monthly'!$2:$2,'P&amp;L - Qtrly'!O$2,'P&amp;L - Monthly'!16:16)</f>
        <v>0</v>
      </c>
      <c r="P11" s="9">
        <f>SUMIF('P&amp;L - Monthly'!$2:$2,'P&amp;L - Qtrly'!P$2,'P&amp;L - Monthly'!16:16)</f>
        <v>0</v>
      </c>
      <c r="Q11" s="9">
        <f>SUMIF('P&amp;L - Monthly'!$2:$2,'P&amp;L - Qtrly'!Q$2,'P&amp;L - Monthly'!16:16)</f>
        <v>0</v>
      </c>
      <c r="R11" s="9">
        <f>SUMIF('P&amp;L - Monthly'!$2:$2,'P&amp;L - Qtrly'!R$2,'P&amp;L - Monthly'!16:16)</f>
        <v>0</v>
      </c>
      <c r="S11" s="9">
        <f>SUMIF('P&amp;L - Monthly'!$2:$2,'P&amp;L - Qtrly'!S$2,'P&amp;L - Monthly'!16:16)</f>
        <v>0</v>
      </c>
      <c r="T11" s="9">
        <f>SUMIF('P&amp;L - Monthly'!$2:$2,'P&amp;L - Qtrly'!T$2,'P&amp;L - Monthly'!16:16)</f>
        <v>0</v>
      </c>
      <c r="U11" s="9">
        <f>SUMIF('P&amp;L - Monthly'!$2:$2,'P&amp;L - Qtrly'!U$2,'P&amp;L - Monthly'!16:16)</f>
        <v>0</v>
      </c>
      <c r="V11" s="9">
        <f>SUMIF('P&amp;L - Monthly'!$2:$2,'P&amp;L - Qtrly'!V$2,'P&amp;L - Monthly'!16:16)</f>
        <v>0</v>
      </c>
      <c r="W11" s="9">
        <f>SUMIF('P&amp;L - Monthly'!$2:$2,'P&amp;L - Qtrly'!W$2,'P&amp;L - Monthly'!16:16)</f>
        <v>0</v>
      </c>
      <c r="X11" s="9">
        <f>SUMIF('P&amp;L - Monthly'!$2:$2,'P&amp;L - Qtrly'!X$2,'P&amp;L - Monthly'!16:16)</f>
        <v>0</v>
      </c>
      <c r="Y11" s="9">
        <f>SUMIF('P&amp;L - Monthly'!$2:$2,'P&amp;L - Qtrly'!Y$2,'P&amp;L - Monthly'!16:16)</f>
        <v>0</v>
      </c>
      <c r="Z11" s="9">
        <f>SUMIF('P&amp;L - Monthly'!$2:$2,'P&amp;L - Qtrly'!Z$2,'P&amp;L - Monthly'!16:16)</f>
        <v>0</v>
      </c>
      <c r="AA11" s="169"/>
      <c r="AB11" s="169"/>
      <c r="AC11" s="169"/>
      <c r="AD11" s="169"/>
      <c r="AE11" s="169"/>
      <c r="AF11" s="169"/>
      <c r="AG11" s="169"/>
      <c r="AH11" s="169"/>
      <c r="AI11" s="169"/>
      <c r="AJ11" s="169"/>
      <c r="AK11" s="169"/>
      <c r="AL11" s="169"/>
      <c r="AM11" s="169"/>
      <c r="AN11" s="169"/>
      <c r="AO11" s="169"/>
      <c r="AP11" s="169"/>
      <c r="AQ11" s="169"/>
      <c r="AR11" s="169"/>
      <c r="AS11" s="169"/>
      <c r="AT11" s="169"/>
      <c r="AU11" s="169"/>
      <c r="AV11" s="169"/>
    </row>
    <row r="12" spans="2:71" x14ac:dyDescent="0.35">
      <c r="B12" s="40" t="s">
        <v>222</v>
      </c>
      <c r="C12" s="8">
        <f>SUM(C6:C10)</f>
        <v>3269458.4664017661</v>
      </c>
      <c r="D12" s="166">
        <f t="shared" ref="D12:F12" si="0">SUM(D6:D10)</f>
        <v>3627187.7350404416</v>
      </c>
      <c r="E12" s="166">
        <f t="shared" si="0"/>
        <v>3582771.8416368566</v>
      </c>
      <c r="F12" s="166">
        <f t="shared" si="0"/>
        <v>4324633.2051690742</v>
      </c>
      <c r="G12" s="166">
        <f t="shared" ref="G12:Z12" si="1">SUM(G6:G11)</f>
        <v>3864279.8199999994</v>
      </c>
      <c r="H12" s="166">
        <f t="shared" si="1"/>
        <v>4219091.37</v>
      </c>
      <c r="I12" s="166">
        <f t="shared" si="1"/>
        <v>4126854.5000000005</v>
      </c>
      <c r="J12" s="166">
        <f t="shared" si="1"/>
        <v>4661996.8599999994</v>
      </c>
      <c r="K12" s="166">
        <f t="shared" si="1"/>
        <v>4568095.9582400471</v>
      </c>
      <c r="L12" s="166">
        <f t="shared" si="1"/>
        <v>5537086.1690359041</v>
      </c>
      <c r="M12" s="166">
        <f t="shared" si="1"/>
        <v>6352123.5526618659</v>
      </c>
      <c r="N12" s="166">
        <f t="shared" si="1"/>
        <v>7406755.2818564121</v>
      </c>
      <c r="O12" s="166">
        <f t="shared" si="1"/>
        <v>8883663.4183968976</v>
      </c>
      <c r="P12" s="166">
        <f t="shared" si="1"/>
        <v>10160095.499686005</v>
      </c>
      <c r="Q12" s="166">
        <f t="shared" si="1"/>
        <v>11387027.297450973</v>
      </c>
      <c r="R12" s="166">
        <f t="shared" si="1"/>
        <v>12615836.692056745</v>
      </c>
      <c r="S12" s="166">
        <f t="shared" si="1"/>
        <v>0</v>
      </c>
      <c r="T12" s="166">
        <f t="shared" si="1"/>
        <v>0</v>
      </c>
      <c r="U12" s="166">
        <f t="shared" si="1"/>
        <v>0</v>
      </c>
      <c r="V12" s="166">
        <f t="shared" si="1"/>
        <v>0</v>
      </c>
      <c r="W12" s="166">
        <f t="shared" si="1"/>
        <v>0</v>
      </c>
      <c r="X12" s="166">
        <f t="shared" si="1"/>
        <v>0</v>
      </c>
      <c r="Y12" s="166">
        <f t="shared" si="1"/>
        <v>0</v>
      </c>
      <c r="Z12" s="166">
        <f t="shared" si="1"/>
        <v>0</v>
      </c>
      <c r="AA12" s="202"/>
      <c r="AB12" s="202"/>
      <c r="AC12" s="202"/>
      <c r="AD12" s="202"/>
      <c r="AE12" s="202"/>
      <c r="AF12" s="202"/>
      <c r="AG12" s="202"/>
      <c r="AH12" s="202"/>
    </row>
    <row r="13" spans="2:71" x14ac:dyDescent="0.35">
      <c r="S13" s="574"/>
      <c r="T13" s="574"/>
      <c r="U13" s="574"/>
      <c r="V13" s="574"/>
      <c r="W13" s="574"/>
      <c r="X13" s="574"/>
      <c r="Y13" s="574"/>
      <c r="Z13" s="574"/>
    </row>
    <row r="14" spans="2:71" x14ac:dyDescent="0.35">
      <c r="B14" s="30" t="s">
        <v>149</v>
      </c>
      <c r="C14" s="17">
        <f>SUMIF('P&amp;L - Monthly'!$2:$2,'P&amp;L - Qtrly'!C$2,'P&amp;L - Monthly'!19:19)</f>
        <v>0</v>
      </c>
      <c r="D14" s="17">
        <f>SUMIF('P&amp;L - Monthly'!$2:$2,'P&amp;L - Qtrly'!D$2,'P&amp;L - Monthly'!19:19)</f>
        <v>0</v>
      </c>
      <c r="E14" s="17">
        <f>SUMIF('P&amp;L - Monthly'!$2:$2,'P&amp;L - Qtrly'!E$2,'P&amp;L - Monthly'!19:19)</f>
        <v>0</v>
      </c>
      <c r="F14" s="17">
        <f>SUMIF('P&amp;L - Monthly'!$2:$2,'P&amp;L - Qtrly'!F$2,'P&amp;L - Monthly'!19:19)</f>
        <v>0</v>
      </c>
      <c r="G14" s="17">
        <f>SUMIF('P&amp;L - Monthly'!$2:$2,'P&amp;L - Qtrly'!G$2,'P&amp;L - Monthly'!19:19)</f>
        <v>0</v>
      </c>
      <c r="H14" s="17">
        <f>SUMIF('P&amp;L - Monthly'!$2:$2,'P&amp;L - Qtrly'!H$2,'P&amp;L - Monthly'!19:19)</f>
        <v>0</v>
      </c>
      <c r="I14" s="17">
        <f>SUMIF('P&amp;L - Monthly'!$2:$2,'P&amp;L - Qtrly'!I$2,'P&amp;L - Monthly'!19:19)</f>
        <v>0</v>
      </c>
      <c r="J14" s="17">
        <f>SUMIF('P&amp;L - Monthly'!$2:$2,'P&amp;L - Qtrly'!J$2,'P&amp;L - Monthly'!19:19)</f>
        <v>0</v>
      </c>
      <c r="K14" s="17">
        <f>SUMIF('P&amp;L - Monthly'!$2:$2,'P&amp;L - Qtrly'!K$2,'P&amp;L - Monthly'!19:19)</f>
        <v>0</v>
      </c>
      <c r="L14" s="17">
        <f>SUMIF('P&amp;L - Monthly'!$2:$2,'P&amp;L - Qtrly'!L$2,'P&amp;L - Monthly'!19:19)</f>
        <v>0</v>
      </c>
      <c r="M14" s="17">
        <f>SUMIF('P&amp;L - Monthly'!$2:$2,'P&amp;L - Qtrly'!M$2,'P&amp;L - Monthly'!19:19)</f>
        <v>0</v>
      </c>
      <c r="N14" s="17">
        <f>SUMIF('P&amp;L - Monthly'!$2:$2,'P&amp;L - Qtrly'!N$2,'P&amp;L - Monthly'!19:19)</f>
        <v>0</v>
      </c>
      <c r="O14" s="17">
        <f>SUMIF('P&amp;L - Monthly'!$2:$2,'P&amp;L - Qtrly'!O$2,'P&amp;L - Monthly'!19:19)</f>
        <v>0</v>
      </c>
      <c r="P14" s="17">
        <f>SUMIF('P&amp;L - Monthly'!$2:$2,'P&amp;L - Qtrly'!P$2,'P&amp;L - Monthly'!19:19)</f>
        <v>0</v>
      </c>
      <c r="Q14" s="17">
        <f>SUMIF('P&amp;L - Monthly'!$2:$2,'P&amp;L - Qtrly'!Q$2,'P&amp;L - Monthly'!19:19)</f>
        <v>0</v>
      </c>
      <c r="R14" s="17">
        <f>SUMIF('P&amp;L - Monthly'!$2:$2,'P&amp;L - Qtrly'!R$2,'P&amp;L - Monthly'!19:19)</f>
        <v>0</v>
      </c>
      <c r="S14" s="579">
        <f>SUMIF('P&amp;L - Monthly'!$2:$2,'P&amp;L - Qtrly'!S$2,'P&amp;L - Monthly'!19:19)</f>
        <v>0</v>
      </c>
      <c r="T14" s="579">
        <f>SUMIF('P&amp;L - Monthly'!$2:$2,'P&amp;L - Qtrly'!T$2,'P&amp;L - Monthly'!19:19)</f>
        <v>0</v>
      </c>
      <c r="U14" s="579">
        <f>SUMIF('P&amp;L - Monthly'!$2:$2,'P&amp;L - Qtrly'!U$2,'P&amp;L - Monthly'!19:19)</f>
        <v>0</v>
      </c>
      <c r="V14" s="579">
        <f>SUMIF('P&amp;L - Monthly'!$2:$2,'P&amp;L - Qtrly'!V$2,'P&amp;L - Monthly'!19:19)</f>
        <v>0</v>
      </c>
      <c r="W14" s="579">
        <f>SUMIF('P&amp;L - Monthly'!$2:$2,'P&amp;L - Qtrly'!W$2,'P&amp;L - Monthly'!19:19)</f>
        <v>0</v>
      </c>
      <c r="X14" s="579">
        <f>SUMIF('P&amp;L - Monthly'!$2:$2,'P&amp;L - Qtrly'!X$2,'P&amp;L - Monthly'!19:19)</f>
        <v>0</v>
      </c>
      <c r="Y14" s="579">
        <f>SUMIF('P&amp;L - Monthly'!$2:$2,'P&amp;L - Qtrly'!Y$2,'P&amp;L - Monthly'!19:19)</f>
        <v>0</v>
      </c>
      <c r="Z14" s="579">
        <f>SUMIF('P&amp;L - Monthly'!$2:$2,'P&amp;L - Qtrly'!Z$2,'P&amp;L - Monthly'!19:19)</f>
        <v>0</v>
      </c>
    </row>
    <row r="15" spans="2:71" x14ac:dyDescent="0.35">
      <c r="B15" s="32" t="s">
        <v>541</v>
      </c>
      <c r="C15" s="17">
        <f>SUMIF('P&amp;L - Monthly'!$2:$2,'P&amp;L - Qtrly'!C$2,'P&amp;L - Monthly'!20:20)</f>
        <v>0</v>
      </c>
      <c r="D15" s="17">
        <f>SUMIF('P&amp;L - Monthly'!$2:$2,'P&amp;L - Qtrly'!D$2,'P&amp;L - Monthly'!20:20)</f>
        <v>0</v>
      </c>
      <c r="E15" s="17">
        <f>SUMIF('P&amp;L - Monthly'!$2:$2,'P&amp;L - Qtrly'!E$2,'P&amp;L - Monthly'!20:20)</f>
        <v>0</v>
      </c>
      <c r="F15" s="17">
        <f>SUMIF('P&amp;L - Monthly'!$2:$2,'P&amp;L - Qtrly'!F$2,'P&amp;L - Monthly'!20:20)</f>
        <v>0</v>
      </c>
      <c r="G15" s="17">
        <f>SUMIF('P&amp;L - Monthly'!$2:$2,'P&amp;L - Qtrly'!G$2,'P&amp;L - Monthly'!20:20)</f>
        <v>0</v>
      </c>
      <c r="H15" s="17">
        <f>SUMIF('P&amp;L - Monthly'!$2:$2,'P&amp;L - Qtrly'!H$2,'P&amp;L - Monthly'!20:20)</f>
        <v>0</v>
      </c>
      <c r="I15" s="17">
        <f>SUMIF('P&amp;L - Monthly'!$2:$2,'P&amp;L - Qtrly'!I$2,'P&amp;L - Monthly'!20:20)</f>
        <v>0</v>
      </c>
      <c r="J15" s="17">
        <f>SUMIF('P&amp;L - Monthly'!$2:$2,'P&amp;L - Qtrly'!J$2,'P&amp;L - Monthly'!20:20)</f>
        <v>0</v>
      </c>
      <c r="K15" s="17">
        <f>SUMIF('P&amp;L - Monthly'!$2:$2,'P&amp;L - Qtrly'!K$2,'P&amp;L - Monthly'!20:20)</f>
        <v>19953.631299005272</v>
      </c>
      <c r="L15" s="17">
        <f>SUMIF('P&amp;L - Monthly'!$2:$2,'P&amp;L - Qtrly'!L$2,'P&amp;L - Monthly'!20:20)</f>
        <v>23543.826915266236</v>
      </c>
      <c r="M15" s="17">
        <f>SUMIF('P&amp;L - Monthly'!$2:$2,'P&amp;L - Qtrly'!M$2,'P&amp;L - Monthly'!20:20)</f>
        <v>25416.98425152585</v>
      </c>
      <c r="N15" s="17">
        <f>SUMIF('P&amp;L - Monthly'!$2:$2,'P&amp;L - Qtrly'!N$2,'P&amp;L - Monthly'!20:20)</f>
        <v>28708.779543471304</v>
      </c>
      <c r="O15" s="17">
        <f>SUMIF('P&amp;L - Monthly'!$2:$2,'P&amp;L - Qtrly'!O$2,'P&amp;L - Monthly'!20:20)</f>
        <v>35348.781908876161</v>
      </c>
      <c r="P15" s="17">
        <f>SUMIF('P&amp;L - Monthly'!$2:$2,'P&amp;L - Qtrly'!P$2,'P&amp;L - Monthly'!20:20)</f>
        <v>39984.023721767255</v>
      </c>
      <c r="Q15" s="17">
        <f>SUMIF('P&amp;L - Monthly'!$2:$2,'P&amp;L - Qtrly'!Q$2,'P&amp;L - Monthly'!20:20)</f>
        <v>44124.262699416919</v>
      </c>
      <c r="R15" s="17">
        <f>SUMIF('P&amp;L - Monthly'!$2:$2,'P&amp;L - Qtrly'!R$2,'P&amp;L - Monthly'!20:20)</f>
        <v>48283.277645474649</v>
      </c>
      <c r="S15" s="579">
        <f>SUMIF('P&amp;L - Monthly'!$2:$2,'P&amp;L - Qtrly'!S$2,'P&amp;L - Monthly'!20:20)</f>
        <v>0</v>
      </c>
      <c r="T15" s="579">
        <f>SUMIF('P&amp;L - Monthly'!$2:$2,'P&amp;L - Qtrly'!T$2,'P&amp;L - Monthly'!20:20)</f>
        <v>0</v>
      </c>
      <c r="U15" s="579">
        <f>SUMIF('P&amp;L - Monthly'!$2:$2,'P&amp;L - Qtrly'!U$2,'P&amp;L - Monthly'!20:20)</f>
        <v>0</v>
      </c>
      <c r="V15" s="579">
        <f>SUMIF('P&amp;L - Monthly'!$2:$2,'P&amp;L - Qtrly'!V$2,'P&amp;L - Monthly'!20:20)</f>
        <v>0</v>
      </c>
      <c r="W15" s="579">
        <f>SUMIF('P&amp;L - Monthly'!$2:$2,'P&amp;L - Qtrly'!W$2,'P&amp;L - Monthly'!20:20)</f>
        <v>0</v>
      </c>
      <c r="X15" s="579">
        <f>SUMIF('P&amp;L - Monthly'!$2:$2,'P&amp;L - Qtrly'!X$2,'P&amp;L - Monthly'!20:20)</f>
        <v>0</v>
      </c>
      <c r="Y15" s="579">
        <f>SUMIF('P&amp;L - Monthly'!$2:$2,'P&amp;L - Qtrly'!Y$2,'P&amp;L - Monthly'!20:20)</f>
        <v>0</v>
      </c>
      <c r="Z15" s="579">
        <f>SUMIF('P&amp;L - Monthly'!$2:$2,'P&amp;L - Qtrly'!Z$2,'P&amp;L - Monthly'!20:20)</f>
        <v>0</v>
      </c>
    </row>
    <row r="16" spans="2:71" x14ac:dyDescent="0.35">
      <c r="B16" s="16"/>
      <c r="S16" s="574"/>
      <c r="T16" s="574"/>
      <c r="U16" s="574"/>
      <c r="V16" s="574"/>
      <c r="W16" s="574"/>
      <c r="X16" s="574"/>
      <c r="Y16" s="574"/>
      <c r="Z16" s="574"/>
    </row>
    <row r="17" spans="2:34" x14ac:dyDescent="0.35">
      <c r="B17" s="3" t="s">
        <v>72</v>
      </c>
      <c r="C17" s="47">
        <f>C12+C14-C15</f>
        <v>3269458.4664017661</v>
      </c>
      <c r="D17" s="47">
        <f t="shared" ref="D17:E17" si="2">D12+D14-D15</f>
        <v>3627187.7350404416</v>
      </c>
      <c r="E17" s="47">
        <f t="shared" si="2"/>
        <v>3582771.8416368566</v>
      </c>
      <c r="F17" s="47">
        <f>F12+F14-F15</f>
        <v>4324633.2051690742</v>
      </c>
      <c r="G17" s="47">
        <f t="shared" ref="G17:Z17" si="3">G12+G14-G15</f>
        <v>3864279.8199999994</v>
      </c>
      <c r="H17" s="47">
        <f t="shared" si="3"/>
        <v>4219091.37</v>
      </c>
      <c r="I17" s="47">
        <f t="shared" si="3"/>
        <v>4126854.5000000005</v>
      </c>
      <c r="J17" s="47">
        <f t="shared" si="3"/>
        <v>4661996.8599999994</v>
      </c>
      <c r="K17" s="47">
        <f t="shared" si="3"/>
        <v>4548142.3269410422</v>
      </c>
      <c r="L17" s="47">
        <f t="shared" si="3"/>
        <v>5513542.3421206381</v>
      </c>
      <c r="M17" s="47">
        <f t="shared" si="3"/>
        <v>6326706.5684103398</v>
      </c>
      <c r="N17" s="47">
        <f t="shared" si="3"/>
        <v>7378046.5023129405</v>
      </c>
      <c r="O17" s="47">
        <f t="shared" si="3"/>
        <v>8848314.6364880223</v>
      </c>
      <c r="P17" s="47">
        <f t="shared" si="3"/>
        <v>10120111.475964237</v>
      </c>
      <c r="Q17" s="47">
        <f t="shared" si="3"/>
        <v>11342903.034751555</v>
      </c>
      <c r="R17" s="47">
        <f t="shared" si="3"/>
        <v>12567553.414411271</v>
      </c>
      <c r="S17" s="47">
        <f t="shared" si="3"/>
        <v>0</v>
      </c>
      <c r="T17" s="47">
        <f t="shared" si="3"/>
        <v>0</v>
      </c>
      <c r="U17" s="47">
        <f t="shared" si="3"/>
        <v>0</v>
      </c>
      <c r="V17" s="47">
        <f t="shared" si="3"/>
        <v>0</v>
      </c>
      <c r="W17" s="47">
        <f t="shared" si="3"/>
        <v>0</v>
      </c>
      <c r="X17" s="47">
        <f t="shared" si="3"/>
        <v>0</v>
      </c>
      <c r="Y17" s="47">
        <f t="shared" si="3"/>
        <v>0</v>
      </c>
      <c r="Z17" s="47">
        <f t="shared" si="3"/>
        <v>0</v>
      </c>
      <c r="AA17" s="39"/>
      <c r="AB17" s="39"/>
      <c r="AC17" s="39"/>
      <c r="AD17" s="39"/>
      <c r="AE17" s="39"/>
      <c r="AF17" s="39"/>
      <c r="AG17" s="39"/>
      <c r="AH17" s="39"/>
    </row>
    <row r="18" spans="2:34" x14ac:dyDescent="0.35">
      <c r="S18" s="574"/>
      <c r="T18" s="574"/>
      <c r="U18" s="574"/>
      <c r="V18" s="574"/>
      <c r="W18" s="574"/>
      <c r="X18" s="574"/>
      <c r="Y18" s="574"/>
      <c r="Z18" s="574"/>
    </row>
    <row r="19" spans="2:34" x14ac:dyDescent="0.35">
      <c r="S19" s="574"/>
      <c r="T19" s="574"/>
      <c r="U19" s="574"/>
      <c r="V19" s="574"/>
      <c r="W19" s="574"/>
      <c r="X19" s="574"/>
      <c r="Y19" s="574"/>
      <c r="Z19" s="574"/>
    </row>
    <row r="20" spans="2:34" x14ac:dyDescent="0.35">
      <c r="B20" s="45" t="s">
        <v>73</v>
      </c>
      <c r="S20" s="574"/>
      <c r="T20" s="574"/>
      <c r="U20" s="574"/>
      <c r="V20" s="574"/>
      <c r="W20" s="574"/>
      <c r="X20" s="574"/>
      <c r="Y20" s="574"/>
      <c r="Z20" s="574"/>
    </row>
    <row r="21" spans="2:34" x14ac:dyDescent="0.35">
      <c r="B21" s="44" t="str">
        <f>'P&amp;L - Monthly'!C26</f>
        <v>Telecom Voice &amp; VOIP</v>
      </c>
      <c r="C21" s="17">
        <f>SUMIF('P&amp;L - Monthly'!$2:$2,'P&amp;L - Qtrly'!C$2,'P&amp;L - Monthly'!26:26)</f>
        <v>422757.61</v>
      </c>
      <c r="D21" s="17">
        <f>SUMIF('P&amp;L - Monthly'!$2:$2,'P&amp;L - Qtrly'!D$2,'P&amp;L - Monthly'!26:26)</f>
        <v>466744.88</v>
      </c>
      <c r="E21" s="17">
        <f>SUMIF('P&amp;L - Monthly'!$2:$2,'P&amp;L - Qtrly'!E$2,'P&amp;L - Monthly'!26:26)</f>
        <v>263864.05</v>
      </c>
      <c r="F21" s="17">
        <f>SUMIF('P&amp;L - Monthly'!$2:$2,'P&amp;L - Qtrly'!F$2,'P&amp;L - Monthly'!26:26)</f>
        <v>436594.1</v>
      </c>
      <c r="G21" s="17">
        <v>243622.65000000002</v>
      </c>
      <c r="H21" s="17">
        <v>271990.76</v>
      </c>
      <c r="I21" s="17">
        <v>288230.11</v>
      </c>
      <c r="J21" s="17">
        <v>332790.09999999998</v>
      </c>
      <c r="K21" s="17">
        <f>SUMIF('P&amp;L - Monthly'!$2:$2,'P&amp;L - Qtrly'!K$2,'P&amp;L - Monthly'!26:26)</f>
        <v>299304.46948507905</v>
      </c>
      <c r="L21" s="17">
        <f>SUMIF('P&amp;L - Monthly'!$2:$2,'P&amp;L - Qtrly'!L$2,'P&amp;L - Monthly'!26:26)</f>
        <v>353157.40372899349</v>
      </c>
      <c r="M21" s="17">
        <f>SUMIF('P&amp;L - Monthly'!$2:$2,'P&amp;L - Qtrly'!M$2,'P&amp;L - Monthly'!26:26)</f>
        <v>381254.7637728877</v>
      </c>
      <c r="N21" s="17">
        <f>SUMIF('P&amp;L - Monthly'!$2:$2,'P&amp;L - Qtrly'!N$2,'P&amp;L - Monthly'!26:26)</f>
        <v>430631.69315206958</v>
      </c>
      <c r="O21" s="17">
        <f>SUMIF('P&amp;L - Monthly'!$2:$2,'P&amp;L - Qtrly'!O$2,'P&amp;L - Monthly'!26:26)</f>
        <v>530231.72863314231</v>
      </c>
      <c r="P21" s="17">
        <f>SUMIF('P&amp;L - Monthly'!$2:$2,'P&amp;L - Qtrly'!P$2,'P&amp;L - Monthly'!26:26)</f>
        <v>599760.35582650872</v>
      </c>
      <c r="Q21" s="17">
        <f>SUMIF('P&amp;L - Monthly'!$2:$2,'P&amp;L - Qtrly'!Q$2,'P&amp;L - Monthly'!26:26)</f>
        <v>661863.94049125386</v>
      </c>
      <c r="R21" s="17">
        <f>SUMIF('P&amp;L - Monthly'!$2:$2,'P&amp;L - Qtrly'!R$2,'P&amp;L - Monthly'!26:26)</f>
        <v>724249.16468211962</v>
      </c>
      <c r="S21" s="579">
        <f>SUMIF('P&amp;L - Monthly'!$2:$2,'P&amp;L - Qtrly'!S$2,'P&amp;L - Monthly'!26:26)</f>
        <v>0</v>
      </c>
      <c r="T21" s="579">
        <f>SUMIF('P&amp;L - Monthly'!$2:$2,'P&amp;L - Qtrly'!T$2,'P&amp;L - Monthly'!26:26)</f>
        <v>0</v>
      </c>
      <c r="U21" s="579">
        <f>SUMIF('P&amp;L - Monthly'!$2:$2,'P&amp;L - Qtrly'!U$2,'P&amp;L - Monthly'!26:26)</f>
        <v>0</v>
      </c>
      <c r="V21" s="579">
        <f>SUMIF('P&amp;L - Monthly'!$2:$2,'P&amp;L - Qtrly'!V$2,'P&amp;L - Monthly'!26:26)</f>
        <v>0</v>
      </c>
      <c r="W21" s="579">
        <f>SUMIF('P&amp;L - Monthly'!$2:$2,'P&amp;L - Qtrly'!W$2,'P&amp;L - Monthly'!26:26)</f>
        <v>0</v>
      </c>
      <c r="X21" s="579">
        <f>SUMIF('P&amp;L - Monthly'!$2:$2,'P&amp;L - Qtrly'!X$2,'P&amp;L - Monthly'!26:26)</f>
        <v>0</v>
      </c>
      <c r="Y21" s="579">
        <f>SUMIF('P&amp;L - Monthly'!$2:$2,'P&amp;L - Qtrly'!Y$2,'P&amp;L - Monthly'!26:26)</f>
        <v>0</v>
      </c>
      <c r="Z21" s="579">
        <f>SUMIF('P&amp;L - Monthly'!$2:$2,'P&amp;L - Qtrly'!Z$2,'P&amp;L - Monthly'!26:26)</f>
        <v>0</v>
      </c>
    </row>
    <row r="22" spans="2:34" x14ac:dyDescent="0.35">
      <c r="B22" s="44" t="s">
        <v>2</v>
      </c>
      <c r="C22" s="17">
        <f>SUMIF('P&amp;L - Monthly'!$2:$2,'P&amp;L - Qtrly'!C$2,'P&amp;L - Monthly'!27:27)</f>
        <v>94842.240000000005</v>
      </c>
      <c r="D22" s="17">
        <f>SUMIF('P&amp;L - Monthly'!$2:$2,'P&amp;L - Qtrly'!D$2,'P&amp;L - Monthly'!27:27)</f>
        <v>140554.01</v>
      </c>
      <c r="E22" s="17">
        <f>SUMIF('P&amp;L - Monthly'!$2:$2,'P&amp;L - Qtrly'!E$2,'P&amp;L - Monthly'!27:27)</f>
        <v>121604.28000000001</v>
      </c>
      <c r="F22" s="17">
        <f>SUMIF('P&amp;L - Monthly'!$2:$2,'P&amp;L - Qtrly'!F$2,'P&amp;L - Monthly'!27:27)</f>
        <v>160900.32</v>
      </c>
      <c r="G22" s="17">
        <v>91895.03</v>
      </c>
      <c r="H22" s="17">
        <v>148231.18</v>
      </c>
      <c r="I22" s="17">
        <v>149262.72</v>
      </c>
      <c r="J22" s="17">
        <v>163220.22</v>
      </c>
      <c r="K22" s="17">
        <f>SUMIF('P&amp;L - Monthly'!$2:$2,'P&amp;L - Qtrly'!K$2,'P&amp;L - Monthly'!27:27)</f>
        <v>248047.29798376645</v>
      </c>
      <c r="L22" s="17">
        <f>SUMIF('P&amp;L - Monthly'!$2:$2,'P&amp;L - Qtrly'!L$2,'P&amp;L - Monthly'!27:27)</f>
        <v>290745.24342564971</v>
      </c>
      <c r="M22" s="17">
        <f>SUMIF('P&amp;L - Monthly'!$2:$2,'P&amp;L - Qtrly'!M$2,'P&amp;L - Monthly'!27:27)</f>
        <v>334685.75892564969</v>
      </c>
      <c r="N22" s="17">
        <f>SUMIF('P&amp;L - Monthly'!$2:$2,'P&amp;L - Qtrly'!N$2,'P&amp;L - Monthly'!27:27)</f>
        <v>385467.41292564973</v>
      </c>
      <c r="O22" s="17">
        <f>SUMIF('P&amp;L - Monthly'!$2:$2,'P&amp;L - Qtrly'!O$2,'P&amp;L - Monthly'!27:27)</f>
        <v>429725.73192564968</v>
      </c>
      <c r="P22" s="17">
        <f>SUMIF('P&amp;L - Monthly'!$2:$2,'P&amp;L - Qtrly'!P$2,'P&amp;L - Monthly'!27:27)</f>
        <v>461338.81692564965</v>
      </c>
      <c r="Q22" s="17">
        <f>SUMIF('P&amp;L - Monthly'!$2:$2,'P&amp;L - Qtrly'!Q$2,'P&amp;L - Monthly'!27:27)</f>
        <v>518242.3699256496</v>
      </c>
      <c r="R22" s="17">
        <f>SUMIF('P&amp;L - Monthly'!$2:$2,'P&amp;L - Qtrly'!R$2,'P&amp;L - Monthly'!27:27)</f>
        <v>575145.92292564968</v>
      </c>
      <c r="S22" s="579">
        <f>SUMIF('P&amp;L - Monthly'!$2:$2,'P&amp;L - Qtrly'!S$2,'P&amp;L - Monthly'!27:27)</f>
        <v>437695.70028376637</v>
      </c>
      <c r="T22" s="579">
        <f>SUMIF('P&amp;L - Monthly'!$2:$2,'P&amp;L - Qtrly'!T$2,'P&amp;L - Monthly'!27:27)</f>
        <v>45304</v>
      </c>
      <c r="U22" s="579">
        <f>SUMIF('P&amp;L - Monthly'!$2:$2,'P&amp;L - Qtrly'!U$2,'P&amp;L - Monthly'!27:27)</f>
        <v>0</v>
      </c>
      <c r="V22" s="579">
        <f>SUMIF('P&amp;L - Monthly'!$2:$2,'P&amp;L - Qtrly'!V$2,'P&amp;L - Monthly'!27:27)</f>
        <v>0</v>
      </c>
      <c r="W22" s="579">
        <f>SUMIF('P&amp;L - Monthly'!$2:$2,'P&amp;L - Qtrly'!W$2,'P&amp;L - Monthly'!27:27)</f>
        <v>0</v>
      </c>
      <c r="X22" s="579">
        <f>SUMIF('P&amp;L - Monthly'!$2:$2,'P&amp;L - Qtrly'!X$2,'P&amp;L - Monthly'!27:27)</f>
        <v>0</v>
      </c>
      <c r="Y22" s="579">
        <f>SUMIF('P&amp;L - Monthly'!$2:$2,'P&amp;L - Qtrly'!Y$2,'P&amp;L - Monthly'!27:27)</f>
        <v>0</v>
      </c>
      <c r="Z22" s="579">
        <f>SUMIF('P&amp;L - Monthly'!$2:$2,'P&amp;L - Qtrly'!Z$2,'P&amp;L - Monthly'!27:27)</f>
        <v>0</v>
      </c>
    </row>
    <row r="23" spans="2:34" x14ac:dyDescent="0.35">
      <c r="B23" s="44" t="s">
        <v>181</v>
      </c>
      <c r="C23" s="17">
        <f>SUMIF('P&amp;L - Monthly'!$2:$2,'P&amp;L - Qtrly'!C$2,'P&amp;L - Monthly'!28:28)</f>
        <v>55277.67</v>
      </c>
      <c r="D23" s="17">
        <f>SUMIF('P&amp;L - Monthly'!$2:$2,'P&amp;L - Qtrly'!D$2,'P&amp;L - Monthly'!28:28)</f>
        <v>71270.53</v>
      </c>
      <c r="E23" s="17">
        <f>SUMIF('P&amp;L - Monthly'!$2:$2,'P&amp;L - Qtrly'!E$2,'P&amp;L - Monthly'!28:28)</f>
        <v>68420.7</v>
      </c>
      <c r="F23" s="17">
        <f>SUMIF('P&amp;L - Monthly'!$2:$2,'P&amp;L - Qtrly'!F$2,'P&amp;L - Monthly'!28:28)</f>
        <v>83684.319999999992</v>
      </c>
      <c r="G23" s="17">
        <v>84916.06</v>
      </c>
      <c r="H23" s="17">
        <v>91308.63</v>
      </c>
      <c r="I23" s="17">
        <v>104812.09</v>
      </c>
      <c r="J23" s="17">
        <v>119976.81</v>
      </c>
      <c r="K23" s="17">
        <f>SUMIF('P&amp;L - Monthly'!$2:$2,'P&amp;L - Qtrly'!K$2,'P&amp;L - Monthly'!28:28)</f>
        <v>76050</v>
      </c>
      <c r="L23" s="17">
        <f>SUMIF('P&amp;L - Monthly'!$2:$2,'P&amp;L - Qtrly'!L$2,'P&amp;L - Monthly'!28:28)</f>
        <v>76050</v>
      </c>
      <c r="M23" s="17">
        <f>SUMIF('P&amp;L - Monthly'!$2:$2,'P&amp;L - Qtrly'!M$2,'P&amp;L - Monthly'!28:28)</f>
        <v>76050</v>
      </c>
      <c r="N23" s="17">
        <f>SUMIF('P&amp;L - Monthly'!$2:$2,'P&amp;L - Qtrly'!N$2,'P&amp;L - Monthly'!28:28)</f>
        <v>76050</v>
      </c>
      <c r="O23" s="17">
        <f>SUMIF('P&amp;L - Monthly'!$2:$2,'P&amp;L - Qtrly'!O$2,'P&amp;L - Monthly'!28:28)</f>
        <v>76050</v>
      </c>
      <c r="P23" s="17">
        <f>SUMIF('P&amp;L - Monthly'!$2:$2,'P&amp;L - Qtrly'!P$2,'P&amp;L - Monthly'!28:28)</f>
        <v>76050</v>
      </c>
      <c r="Q23" s="17">
        <f>SUMIF('P&amp;L - Monthly'!$2:$2,'P&amp;L - Qtrly'!Q$2,'P&amp;L - Monthly'!28:28)</f>
        <v>76050</v>
      </c>
      <c r="R23" s="17">
        <f>SUMIF('P&amp;L - Monthly'!$2:$2,'P&amp;L - Qtrly'!R$2,'P&amp;L - Monthly'!28:28)</f>
        <v>76050</v>
      </c>
      <c r="S23" s="579">
        <f>SUMIF('P&amp;L - Monthly'!$2:$2,'P&amp;L - Qtrly'!S$2,'P&amp;L - Monthly'!28:28)</f>
        <v>76050</v>
      </c>
      <c r="T23" s="579">
        <f>SUMIF('P&amp;L - Monthly'!$2:$2,'P&amp;L - Qtrly'!T$2,'P&amp;L - Monthly'!28:28)</f>
        <v>76050</v>
      </c>
      <c r="U23" s="579">
        <f>SUMIF('P&amp;L - Monthly'!$2:$2,'P&amp;L - Qtrly'!U$2,'P&amp;L - Monthly'!28:28)</f>
        <v>76050</v>
      </c>
      <c r="V23" s="579">
        <f>SUMIF('P&amp;L - Monthly'!$2:$2,'P&amp;L - Qtrly'!V$2,'P&amp;L - Monthly'!28:28)</f>
        <v>76050</v>
      </c>
      <c r="W23" s="579">
        <f>SUMIF('P&amp;L - Monthly'!$2:$2,'P&amp;L - Qtrly'!W$2,'P&amp;L - Monthly'!28:28)</f>
        <v>76050</v>
      </c>
      <c r="X23" s="579">
        <f>SUMIF('P&amp;L - Monthly'!$2:$2,'P&amp;L - Qtrly'!X$2,'P&amp;L - Monthly'!28:28)</f>
        <v>76050</v>
      </c>
      <c r="Y23" s="579">
        <f>SUMIF('P&amp;L - Monthly'!$2:$2,'P&amp;L - Qtrly'!Y$2,'P&amp;L - Monthly'!28:28)</f>
        <v>76050</v>
      </c>
      <c r="Z23" s="579">
        <f>SUMIF('P&amp;L - Monthly'!$2:$2,'P&amp;L - Qtrly'!Z$2,'P&amp;L - Monthly'!28:28)</f>
        <v>76050</v>
      </c>
    </row>
    <row r="24" spans="2:34" x14ac:dyDescent="0.35">
      <c r="B24" s="44" t="s">
        <v>74</v>
      </c>
      <c r="C24" s="17">
        <f>SUMIF('P&amp;L - Monthly'!$2:$2,'P&amp;L - Qtrly'!C$2,'P&amp;L - Monthly'!29:29)</f>
        <v>61039.31</v>
      </c>
      <c r="D24" s="17">
        <f>SUMIF('P&amp;L - Monthly'!$2:$2,'P&amp;L - Qtrly'!D$2,'P&amp;L - Monthly'!29:29)</f>
        <v>81137.17</v>
      </c>
      <c r="E24" s="17">
        <f>SUMIF('P&amp;L - Monthly'!$2:$2,'P&amp;L - Qtrly'!E$2,'P&amp;L - Monthly'!29:29)</f>
        <v>80404.83</v>
      </c>
      <c r="F24" s="17">
        <f>SUMIF('P&amp;L - Monthly'!$2:$2,'P&amp;L - Qtrly'!F$2,'P&amp;L - Monthly'!29:29)</f>
        <v>95305.48000000001</v>
      </c>
      <c r="G24" s="17">
        <v>72073.34</v>
      </c>
      <c r="H24" s="17">
        <v>99074.09</v>
      </c>
      <c r="I24" s="17">
        <v>103628.16</v>
      </c>
      <c r="J24" s="17">
        <v>114140.16</v>
      </c>
      <c r="K24" s="17">
        <f>SUMIF('P&amp;L - Monthly'!$2:$2,'P&amp;L - Qtrly'!K$2,'P&amp;L - Monthly'!29:29)</f>
        <v>114202.39895600121</v>
      </c>
      <c r="L24" s="17">
        <f>SUMIF('P&amp;L - Monthly'!$2:$2,'P&amp;L - Qtrly'!L$2,'P&amp;L - Monthly'!29:29)</f>
        <v>138427.15422589763</v>
      </c>
      <c r="M24" s="17">
        <f>SUMIF('P&amp;L - Monthly'!$2:$2,'P&amp;L - Qtrly'!M$2,'P&amp;L - Monthly'!29:29)</f>
        <v>158803.08881654663</v>
      </c>
      <c r="N24" s="17">
        <f>SUMIF('P&amp;L - Monthly'!$2:$2,'P&amp;L - Qtrly'!N$2,'P&amp;L - Monthly'!29:29)</f>
        <v>185168.88204641032</v>
      </c>
      <c r="O24" s="17">
        <f>SUMIF('P&amp;L - Monthly'!$2:$2,'P&amp;L - Qtrly'!O$2,'P&amp;L - Monthly'!29:29)</f>
        <v>222091.58545992244</v>
      </c>
      <c r="P24" s="17">
        <f>SUMIF('P&amp;L - Monthly'!$2:$2,'P&amp;L - Qtrly'!P$2,'P&amp;L - Monthly'!29:29)</f>
        <v>254002.38749215013</v>
      </c>
      <c r="Q24" s="17">
        <f>SUMIF('P&amp;L - Monthly'!$2:$2,'P&amp;L - Qtrly'!Q$2,'P&amp;L - Monthly'!29:29)</f>
        <v>284675.68243627431</v>
      </c>
      <c r="R24" s="17">
        <f>SUMIF('P&amp;L - Monthly'!$2:$2,'P&amp;L - Qtrly'!R$2,'P&amp;L - Monthly'!29:29)</f>
        <v>315395.91730141861</v>
      </c>
      <c r="S24" s="579">
        <f>SUMIF('P&amp;L - Monthly'!$2:$2,'P&amp;L - Qtrly'!S$2,'P&amp;L - Monthly'!29:29)</f>
        <v>0</v>
      </c>
      <c r="T24" s="579">
        <f>SUMIF('P&amp;L - Monthly'!$2:$2,'P&amp;L - Qtrly'!T$2,'P&amp;L - Monthly'!29:29)</f>
        <v>0</v>
      </c>
      <c r="U24" s="579">
        <f>SUMIF('P&amp;L - Monthly'!$2:$2,'P&amp;L - Qtrly'!U$2,'P&amp;L - Monthly'!29:29)</f>
        <v>0</v>
      </c>
      <c r="V24" s="579">
        <f>SUMIF('P&amp;L - Monthly'!$2:$2,'P&amp;L - Qtrly'!V$2,'P&amp;L - Monthly'!29:29)</f>
        <v>0</v>
      </c>
      <c r="W24" s="579">
        <f>SUMIF('P&amp;L - Monthly'!$2:$2,'P&amp;L - Qtrly'!W$2,'P&amp;L - Monthly'!29:29)</f>
        <v>0</v>
      </c>
      <c r="X24" s="579">
        <f>SUMIF('P&amp;L - Monthly'!$2:$2,'P&amp;L - Qtrly'!X$2,'P&amp;L - Monthly'!29:29)</f>
        <v>0</v>
      </c>
      <c r="Y24" s="579">
        <f>SUMIF('P&amp;L - Monthly'!$2:$2,'P&amp;L - Qtrly'!Y$2,'P&amp;L - Monthly'!29:29)</f>
        <v>0</v>
      </c>
      <c r="Z24" s="579">
        <f>SUMIF('P&amp;L - Monthly'!$2:$2,'P&amp;L - Qtrly'!Z$2,'P&amp;L - Monthly'!29:29)</f>
        <v>0</v>
      </c>
    </row>
    <row r="25" spans="2:34" x14ac:dyDescent="0.35">
      <c r="B25" s="48" t="s">
        <v>73</v>
      </c>
      <c r="C25" s="7">
        <f t="shared" ref="C25:R25" si="4">SUM(C22:C24)+C21</f>
        <v>633916.82999999996</v>
      </c>
      <c r="D25" s="7">
        <f t="shared" si="4"/>
        <v>759706.59000000008</v>
      </c>
      <c r="E25" s="7">
        <f t="shared" si="4"/>
        <v>534293.86</v>
      </c>
      <c r="F25" s="7">
        <f t="shared" si="4"/>
        <v>776484.22</v>
      </c>
      <c r="G25" s="7">
        <f t="shared" si="4"/>
        <v>492507.08</v>
      </c>
      <c r="H25" s="7">
        <f t="shared" si="4"/>
        <v>610604.66</v>
      </c>
      <c r="I25" s="7">
        <f t="shared" si="4"/>
        <v>645933.07999999996</v>
      </c>
      <c r="J25" s="7">
        <f t="shared" si="4"/>
        <v>730127.29</v>
      </c>
      <c r="K25" s="7">
        <f t="shared" si="4"/>
        <v>737604.16642484674</v>
      </c>
      <c r="L25" s="7">
        <f t="shared" si="4"/>
        <v>858379.80138054083</v>
      </c>
      <c r="M25" s="7">
        <f t="shared" si="4"/>
        <v>950793.61151508405</v>
      </c>
      <c r="N25" s="7">
        <f t="shared" si="4"/>
        <v>1077317.9881241296</v>
      </c>
      <c r="O25" s="7">
        <f t="shared" si="4"/>
        <v>1258099.0460187146</v>
      </c>
      <c r="P25" s="7">
        <f t="shared" si="4"/>
        <v>1391151.5602443086</v>
      </c>
      <c r="Q25" s="7">
        <f t="shared" si="4"/>
        <v>1540831.9928531777</v>
      </c>
      <c r="R25" s="7">
        <f t="shared" si="4"/>
        <v>1690841.004909188</v>
      </c>
      <c r="S25" s="7">
        <f t="shared" ref="S25:Z25" si="5">SUM(S22:S24)+S21</f>
        <v>513745.70028376637</v>
      </c>
      <c r="T25" s="7">
        <f t="shared" si="5"/>
        <v>121354</v>
      </c>
      <c r="U25" s="7">
        <f t="shared" si="5"/>
        <v>76050</v>
      </c>
      <c r="V25" s="7">
        <f t="shared" si="5"/>
        <v>76050</v>
      </c>
      <c r="W25" s="7">
        <f t="shared" si="5"/>
        <v>76050</v>
      </c>
      <c r="X25" s="7">
        <f t="shared" si="5"/>
        <v>76050</v>
      </c>
      <c r="Y25" s="7">
        <f t="shared" si="5"/>
        <v>76050</v>
      </c>
      <c r="Z25" s="7">
        <f t="shared" si="5"/>
        <v>76050</v>
      </c>
      <c r="AA25" s="202"/>
      <c r="AB25" s="202"/>
      <c r="AC25" s="202"/>
      <c r="AD25" s="202"/>
      <c r="AE25" s="202"/>
      <c r="AF25" s="202"/>
      <c r="AG25" s="202"/>
      <c r="AH25" s="202"/>
    </row>
    <row r="26" spans="2:34" x14ac:dyDescent="0.35">
      <c r="B26" s="45"/>
      <c r="W26" s="574"/>
      <c r="X26" s="574"/>
      <c r="Y26" s="574"/>
      <c r="Z26" s="574"/>
    </row>
    <row r="27" spans="2:34" x14ac:dyDescent="0.35">
      <c r="B27" s="45"/>
      <c r="W27" s="574"/>
      <c r="X27" s="574"/>
      <c r="Y27" s="574"/>
      <c r="Z27" s="574"/>
    </row>
    <row r="28" spans="2:34" ht="15" thickBot="1" x14ac:dyDescent="0.4">
      <c r="B28" s="51" t="s">
        <v>76</v>
      </c>
      <c r="C28" s="53">
        <f t="shared" ref="C28:V28" si="6">C17-C25</f>
        <v>2635541.636401766</v>
      </c>
      <c r="D28" s="53">
        <f t="shared" si="6"/>
        <v>2867481.1450404413</v>
      </c>
      <c r="E28" s="53">
        <f t="shared" si="6"/>
        <v>3048477.9816368567</v>
      </c>
      <c r="F28" s="53">
        <f t="shared" si="6"/>
        <v>3548148.9851690745</v>
      </c>
      <c r="G28" s="53">
        <f t="shared" si="6"/>
        <v>3371772.7399999993</v>
      </c>
      <c r="H28" s="53">
        <f t="shared" si="6"/>
        <v>3608486.71</v>
      </c>
      <c r="I28" s="53">
        <f t="shared" si="6"/>
        <v>3480921.4200000004</v>
      </c>
      <c r="J28" s="53">
        <f t="shared" si="6"/>
        <v>3931869.5699999994</v>
      </c>
      <c r="K28" s="53">
        <f t="shared" si="6"/>
        <v>3810538.1605161955</v>
      </c>
      <c r="L28" s="53">
        <f t="shared" si="6"/>
        <v>4655162.5407400969</v>
      </c>
      <c r="M28" s="53">
        <f t="shared" si="6"/>
        <v>5375912.9568952555</v>
      </c>
      <c r="N28" s="53">
        <f t="shared" si="6"/>
        <v>6300728.5141888112</v>
      </c>
      <c r="O28" s="53">
        <f t="shared" si="6"/>
        <v>7590215.5904693082</v>
      </c>
      <c r="P28" s="53">
        <f t="shared" si="6"/>
        <v>8728959.9157199282</v>
      </c>
      <c r="Q28" s="53">
        <f t="shared" si="6"/>
        <v>9802071.0418983772</v>
      </c>
      <c r="R28" s="53">
        <f t="shared" si="6"/>
        <v>10876712.409502083</v>
      </c>
      <c r="S28" s="53">
        <f t="shared" si="6"/>
        <v>-513745.70028376637</v>
      </c>
      <c r="T28" s="53">
        <f t="shared" si="6"/>
        <v>-121354</v>
      </c>
      <c r="U28" s="53">
        <f t="shared" si="6"/>
        <v>-76050</v>
      </c>
      <c r="V28" s="53">
        <f t="shared" si="6"/>
        <v>-76050</v>
      </c>
      <c r="W28" s="53">
        <f t="shared" ref="W28:Z28" si="7">W17-W25</f>
        <v>-76050</v>
      </c>
      <c r="X28" s="53">
        <f t="shared" si="7"/>
        <v>-76050</v>
      </c>
      <c r="Y28" s="53">
        <f t="shared" si="7"/>
        <v>-76050</v>
      </c>
      <c r="Z28" s="53">
        <f t="shared" si="7"/>
        <v>-76050</v>
      </c>
      <c r="AA28" s="39"/>
      <c r="AB28" s="39"/>
      <c r="AC28" s="39"/>
      <c r="AD28" s="39"/>
      <c r="AE28" s="39"/>
      <c r="AF28" s="39"/>
      <c r="AG28" s="39"/>
      <c r="AH28" s="39"/>
    </row>
    <row r="29" spans="2:34" x14ac:dyDescent="0.35">
      <c r="B29" s="80" t="s">
        <v>146</v>
      </c>
      <c r="C29" s="125">
        <f t="shared" ref="C29:V29" si="8">C28/C17</f>
        <v>0.80610953265980367</v>
      </c>
      <c r="D29" s="125">
        <f t="shared" si="8"/>
        <v>0.79055217278641077</v>
      </c>
      <c r="E29" s="125">
        <f t="shared" si="8"/>
        <v>0.8508713689800862</v>
      </c>
      <c r="F29" s="125">
        <f t="shared" si="8"/>
        <v>0.82045084908660071</v>
      </c>
      <c r="G29" s="125">
        <f t="shared" si="8"/>
        <v>0.87254880522601486</v>
      </c>
      <c r="H29" s="125">
        <f t="shared" si="8"/>
        <v>0.85527579128963016</v>
      </c>
      <c r="I29" s="125">
        <f t="shared" si="8"/>
        <v>0.8434805297836403</v>
      </c>
      <c r="J29" s="125">
        <f t="shared" si="8"/>
        <v>0.84338743419917273</v>
      </c>
      <c r="K29" s="125">
        <f t="shared" si="8"/>
        <v>0.83782298059239946</v>
      </c>
      <c r="L29" s="125">
        <f t="shared" si="8"/>
        <v>0.84431428143337917</v>
      </c>
      <c r="M29" s="125">
        <f t="shared" si="8"/>
        <v>0.84971744757968404</v>
      </c>
      <c r="N29" s="125">
        <f t="shared" si="8"/>
        <v>0.85398330197750838</v>
      </c>
      <c r="O29" s="125">
        <f t="shared" si="8"/>
        <v>0.8578148384517591</v>
      </c>
      <c r="P29" s="125">
        <f t="shared" si="8"/>
        <v>0.86253594502902842</v>
      </c>
      <c r="Q29" s="125">
        <f t="shared" si="8"/>
        <v>0.86415893813669309</v>
      </c>
      <c r="R29" s="125">
        <f t="shared" si="8"/>
        <v>0.86545981153576856</v>
      </c>
      <c r="S29" s="125" t="e">
        <f t="shared" si="8"/>
        <v>#DIV/0!</v>
      </c>
      <c r="T29" s="125" t="e">
        <f t="shared" si="8"/>
        <v>#DIV/0!</v>
      </c>
      <c r="U29" s="125" t="e">
        <f t="shared" si="8"/>
        <v>#DIV/0!</v>
      </c>
      <c r="V29" s="125" t="e">
        <f t="shared" si="8"/>
        <v>#DIV/0!</v>
      </c>
      <c r="W29" s="125" t="e">
        <f t="shared" ref="W29:Z29" si="9">W28/W17</f>
        <v>#DIV/0!</v>
      </c>
      <c r="X29" s="125" t="e">
        <f t="shared" si="9"/>
        <v>#DIV/0!</v>
      </c>
      <c r="Y29" s="125" t="e">
        <f t="shared" si="9"/>
        <v>#DIV/0!</v>
      </c>
      <c r="Z29" s="125" t="e">
        <f t="shared" si="9"/>
        <v>#DIV/0!</v>
      </c>
    </row>
    <row r="30" spans="2:34" x14ac:dyDescent="0.35">
      <c r="W30" s="574"/>
      <c r="X30" s="574"/>
      <c r="Y30" s="574"/>
      <c r="Z30" s="574"/>
    </row>
    <row r="31" spans="2:34" x14ac:dyDescent="0.35">
      <c r="B31" s="30" t="s">
        <v>16</v>
      </c>
      <c r="W31" s="574"/>
      <c r="X31" s="574"/>
      <c r="Y31" s="574"/>
      <c r="Z31" s="574"/>
    </row>
    <row r="32" spans="2:34" x14ac:dyDescent="0.35">
      <c r="B32" s="30" t="s">
        <v>17</v>
      </c>
      <c r="W32" s="574"/>
      <c r="X32" s="574"/>
      <c r="Y32" s="574"/>
      <c r="Z32" s="574"/>
    </row>
    <row r="33" spans="1:71" x14ac:dyDescent="0.35">
      <c r="B33" s="903" t="s">
        <v>224</v>
      </c>
      <c r="C33" s="17">
        <f>SUMIF('P&amp;L - Monthly'!$2:$2,'P&amp;L - Qtrly'!C$2,'P&amp;L - Monthly'!38:38)</f>
        <v>99413.56293430645</v>
      </c>
      <c r="D33" s="17">
        <f>SUMIF('P&amp;L - Monthly'!$2:$2,'P&amp;L - Qtrly'!D$2,'P&amp;L - Monthly'!38:38)</f>
        <v>132648.76605662837</v>
      </c>
      <c r="E33" s="17">
        <f>SUMIF('P&amp;L - Monthly'!$2:$2,'P&amp;L - Qtrly'!E$2,'P&amp;L - Monthly'!38:38)</f>
        <v>162861.72968948842</v>
      </c>
      <c r="F33" s="17">
        <f>SUMIF('P&amp;L - Monthly'!$2:$2,'P&amp;L - Qtrly'!F$2,'P&amp;L - Monthly'!38:38)</f>
        <v>181837.33013437281</v>
      </c>
      <c r="G33" s="17">
        <f>SUMIF('P&amp;L - Monthly'!$2:$2,'P&amp;L - Qtrly'!G$2,'P&amp;L - Monthly'!38:38)</f>
        <v>345145.85</v>
      </c>
      <c r="H33" s="17">
        <f>SUMIF('P&amp;L - Monthly'!$2:$2,'P&amp;L - Qtrly'!H$2,'P&amp;L - Monthly'!38:38)</f>
        <v>344299.07</v>
      </c>
      <c r="I33" s="17">
        <f>SUMIF('P&amp;L - Monthly'!$2:$2,'P&amp;L - Qtrly'!I$2,'P&amp;L - Monthly'!38:38)</f>
        <v>380139.58</v>
      </c>
      <c r="J33" s="17">
        <f>SUMIF('P&amp;L - Monthly'!$2:$2,'P&amp;L - Qtrly'!J$2,'P&amp;L - Monthly'!38:38)</f>
        <v>429935.62</v>
      </c>
      <c r="K33" s="17">
        <f>SUMIF('P&amp;L - Monthly'!$2:$2,'P&amp;L - Qtrly'!K$2,'P&amp;L - Monthly'!38:38)</f>
        <v>410361.04555439815</v>
      </c>
      <c r="L33" s="17">
        <f>SUMIF('P&amp;L - Monthly'!$2:$2,'P&amp;L - Qtrly'!L$2,'P&amp;L - Monthly'!38:38)</f>
        <v>434993.44848575676</v>
      </c>
      <c r="M33" s="17">
        <f>SUMIF('P&amp;L - Monthly'!$2:$2,'P&amp;L - Qtrly'!M$2,'P&amp;L - Monthly'!38:38)</f>
        <v>461498.22551133251</v>
      </c>
      <c r="N33" s="17">
        <f>SUMIF('P&amp;L - Monthly'!$2:$2,'P&amp;L - Qtrly'!N$2,'P&amp;L - Monthly'!38:38)</f>
        <v>695887.36621456745</v>
      </c>
      <c r="O33" s="17">
        <f>SUMIF('P&amp;L - Monthly'!$2:$2,'P&amp;L - Qtrly'!O$2,'P&amp;L - Monthly'!38:38)</f>
        <v>463629.07635788189</v>
      </c>
      <c r="P33" s="17">
        <f>SUMIF('P&amp;L - Monthly'!$2:$2,'P&amp;L - Qtrly'!P$2,'P&amp;L - Monthly'!38:38)</f>
        <v>468401.04792669276</v>
      </c>
      <c r="Q33" s="17">
        <f>SUMIF('P&amp;L - Monthly'!$2:$2,'P&amp;L - Qtrly'!Q$2,'P&amp;L - Monthly'!38:38)</f>
        <v>469813.09209358774</v>
      </c>
      <c r="R33" s="17">
        <f>SUMIF('P&amp;L - Monthly'!$2:$2,'P&amp;L - Qtrly'!R$2,'P&amp;L - Monthly'!38:38)</f>
        <v>719230.58938588831</v>
      </c>
      <c r="S33" s="17">
        <f>SUMIF('P&amp;L - Monthly'!$2:$2,'P&amp;L - Qtrly'!S$2,'P&amp;L - Monthly'!38:38)</f>
        <v>497342.95432987902</v>
      </c>
      <c r="T33" s="17">
        <f>SUMIF('P&amp;L - Monthly'!$2:$2,'P&amp;L - Qtrly'!T$2,'P&amp;L - Monthly'!38:38)</f>
        <v>501654.27201644029</v>
      </c>
      <c r="U33" s="17">
        <f>SUMIF('P&amp;L - Monthly'!$2:$2,'P&amp;L - Qtrly'!U$2,'P&amp;L - Monthly'!38:38)</f>
        <v>502891.54236391408</v>
      </c>
      <c r="V33" s="17">
        <f>SUMIF('P&amp;L - Monthly'!$2:$2,'P&amp;L - Qtrly'!V$2,'P&amp;L - Monthly'!38:38)</f>
        <v>760137.10575698456</v>
      </c>
      <c r="W33" s="579">
        <f>SUMIF('P&amp;L - Monthly'!$2:$2,'P&amp;L - Qtrly'!W$2,'P&amp;L - Monthly'!38:38)</f>
        <v>513664.33374348318</v>
      </c>
      <c r="X33" s="579">
        <f>SUMIF('P&amp;L - Monthly'!$2:$2,'P&amp;L - Qtrly'!X$2,'P&amp;L - Monthly'!38:38)</f>
        <v>518178.73072681716</v>
      </c>
      <c r="Y33" s="579">
        <f>SUMIF('P&amp;L - Monthly'!$2:$2,'P&amp;L - Qtrly'!Y$2,'P&amp;L - Monthly'!38:38)</f>
        <v>519629.86061568034</v>
      </c>
      <c r="Z33" s="579">
        <f>SUMIF('P&amp;L - Monthly'!$2:$2,'P&amp;L - Qtrly'!Z$2,'P&amp;L - Monthly'!38:38)</f>
        <v>784853.38765340461</v>
      </c>
      <c r="AA33" s="38"/>
      <c r="AB33" s="38"/>
      <c r="AC33" s="38"/>
      <c r="AD33" s="38"/>
      <c r="AE33" s="38"/>
      <c r="AF33" s="38"/>
      <c r="AG33" s="38"/>
      <c r="AH33" s="38"/>
    </row>
    <row r="34" spans="1:71" ht="15" thickBot="1" x14ac:dyDescent="0.4">
      <c r="B34" s="1015" t="s">
        <v>5</v>
      </c>
      <c r="C34" s="20">
        <f>SUMIF('P&amp;L - Monthly'!$2:$2,'P&amp;L - Qtrly'!C$2,'P&amp;L - Monthly'!39:39)</f>
        <v>481584.05604388023</v>
      </c>
      <c r="D34" s="20">
        <f>SUMIF('P&amp;L - Monthly'!$2:$2,'P&amp;L - Qtrly'!D$2,'P&amp;L - Monthly'!39:39)</f>
        <v>505262.72282684065</v>
      </c>
      <c r="E34" s="20">
        <f>SUMIF('P&amp;L - Monthly'!$2:$2,'P&amp;L - Qtrly'!E$2,'P&amp;L - Monthly'!39:39)</f>
        <v>489574.46994264179</v>
      </c>
      <c r="F34" s="20">
        <f>SUMIF('P&amp;L - Monthly'!$2:$2,'P&amp;L - Qtrly'!F$2,'P&amp;L - Monthly'!39:39)</f>
        <v>399079.16578865668</v>
      </c>
      <c r="G34" s="20">
        <f>SUMIF('P&amp;L - Monthly'!$2:$2,'P&amp;L - Qtrly'!G$2,'P&amp;L - Monthly'!39:39)</f>
        <v>806365.06</v>
      </c>
      <c r="H34" s="20">
        <f>SUMIF('P&amp;L - Monthly'!$2:$2,'P&amp;L - Qtrly'!H$2,'P&amp;L - Monthly'!39:39)</f>
        <v>1075524.28</v>
      </c>
      <c r="I34" s="20">
        <f>SUMIF('P&amp;L - Monthly'!$2:$2,'P&amp;L - Qtrly'!I$2,'P&amp;L - Monthly'!39:39)</f>
        <v>1908095.02</v>
      </c>
      <c r="J34" s="20">
        <f>SUMIF('P&amp;L - Monthly'!$2:$2,'P&amp;L - Qtrly'!J$2,'P&amp;L - Monthly'!39:39)</f>
        <v>1274001.23</v>
      </c>
      <c r="K34" s="20">
        <f>SUMIF('P&amp;L - Monthly'!$2:$2,'P&amp;L - Qtrly'!K$2,'P&amp;L - Monthly'!39:39)</f>
        <v>1480365.2763749999</v>
      </c>
      <c r="L34" s="20">
        <f>SUMIF('P&amp;L - Monthly'!$2:$2,'P&amp;L - Qtrly'!L$2,'P&amp;L - Monthly'!39:39)</f>
        <v>2557206.6163749998</v>
      </c>
      <c r="M34" s="20">
        <f>SUMIF('P&amp;L - Monthly'!$2:$2,'P&amp;L - Qtrly'!M$2,'P&amp;L - Monthly'!39:39)</f>
        <v>2155549.1163749998</v>
      </c>
      <c r="N34" s="20">
        <f>SUMIF('P&amp;L - Monthly'!$2:$2,'P&amp;L - Qtrly'!N$2,'P&amp;L - Monthly'!39:39)</f>
        <v>2230886.6163750002</v>
      </c>
      <c r="O34" s="20">
        <f>SUMIF('P&amp;L - Monthly'!$2:$2,'P&amp;L - Qtrly'!O$2,'P&amp;L - Monthly'!39:39)</f>
        <v>1877400.5722755319</v>
      </c>
      <c r="P34" s="20">
        <f>SUMIF('P&amp;L - Monthly'!$2:$2,'P&amp;L - Qtrly'!P$2,'P&amp;L - Monthly'!39:39)</f>
        <v>1897914.0203119605</v>
      </c>
      <c r="Q34" s="20">
        <f>SUMIF('P&amp;L - Monthly'!$2:$2,'P&amp;L - Qtrly'!Q$2,'P&amp;L - Monthly'!39:39)</f>
        <v>1879319.9629259361</v>
      </c>
      <c r="R34" s="20">
        <f>SUMIF('P&amp;L - Monthly'!$2:$2,'P&amp;L - Qtrly'!R$2,'P&amp;L - Monthly'!39:39)</f>
        <v>2060122.1327403549</v>
      </c>
      <c r="S34" s="20">
        <f>SUMIF('P&amp;L - Monthly'!$2:$2,'P&amp;L - Qtrly'!S$2,'P&amp;L - Monthly'!39:39)</f>
        <v>1880782.4818451223</v>
      </c>
      <c r="T34" s="20">
        <f>SUMIF('P&amp;L - Monthly'!$2:$2,'P&amp;L - Qtrly'!T$2,'P&amp;L - Monthly'!39:39)</f>
        <v>1881369.465034459</v>
      </c>
      <c r="U34" s="20">
        <f>SUMIF('P&amp;L - Monthly'!$2:$2,'P&amp;L - Qtrly'!U$2,'P&amp;L - Monthly'!39:39)</f>
        <v>1879077.2366798711</v>
      </c>
      <c r="V34" s="20">
        <f>SUMIF('P&amp;L - Monthly'!$2:$2,'P&amp;L - Qtrly'!V$2,'P&amp;L - Monthly'!39:39)</f>
        <v>2072590.2239238976</v>
      </c>
      <c r="W34" s="226">
        <f>SUMIF('P&amp;L - Monthly'!$2:$2,'P&amp;L - Qtrly'!W$2,'P&amp;L - Monthly'!39:39)</f>
        <v>687659.61233876692</v>
      </c>
      <c r="X34" s="226">
        <f>SUMIF('P&amp;L - Monthly'!$2:$2,'P&amp;L - Qtrly'!X$2,'P&amp;L - Monthly'!39:39)</f>
        <v>689617.79270632658</v>
      </c>
      <c r="Y34" s="226">
        <f>SUMIF('P&amp;L - Monthly'!$2:$2,'P&amp;L - Qtrly'!Y$2,'P&amp;L - Monthly'!39:39)</f>
        <v>690382.27632942889</v>
      </c>
      <c r="Z34" s="226">
        <f>SUMIF('P&amp;L - Monthly'!$2:$2,'P&amp;L - Qtrly'!Z$2,'P&amp;L - Monthly'!39:39)</f>
        <v>889309.4438822493</v>
      </c>
      <c r="AA34" s="38"/>
      <c r="AB34" s="38"/>
      <c r="AC34" s="38"/>
      <c r="AD34" s="38"/>
      <c r="AE34" s="38"/>
      <c r="AF34" s="38"/>
      <c r="AG34" s="38"/>
      <c r="AH34" s="38"/>
    </row>
    <row r="35" spans="1:71" ht="15" thickTop="1" x14ac:dyDescent="0.35">
      <c r="A35" s="30"/>
      <c r="B35" s="30" t="s">
        <v>17</v>
      </c>
      <c r="C35" s="8">
        <f t="shared" ref="C35:V35" si="10">SUM(C33:C34)</f>
        <v>580997.61897818674</v>
      </c>
      <c r="D35" s="8">
        <f t="shared" si="10"/>
        <v>637911.48888346902</v>
      </c>
      <c r="E35" s="8">
        <f t="shared" si="10"/>
        <v>652436.19963213021</v>
      </c>
      <c r="F35" s="8">
        <f t="shared" si="10"/>
        <v>580916.49592302949</v>
      </c>
      <c r="G35" s="8">
        <f t="shared" si="10"/>
        <v>1151510.9100000001</v>
      </c>
      <c r="H35" s="8">
        <f t="shared" si="10"/>
        <v>1419823.35</v>
      </c>
      <c r="I35" s="8">
        <f t="shared" si="10"/>
        <v>2288234.6</v>
      </c>
      <c r="J35" s="8">
        <f t="shared" si="10"/>
        <v>1703936.85</v>
      </c>
      <c r="K35" s="8">
        <f t="shared" si="10"/>
        <v>1890726.321929398</v>
      </c>
      <c r="L35" s="8">
        <f t="shared" si="10"/>
        <v>2992200.0648607565</v>
      </c>
      <c r="M35" s="8">
        <f t="shared" si="10"/>
        <v>2617047.3418863323</v>
      </c>
      <c r="N35" s="8">
        <f t="shared" si="10"/>
        <v>2926773.9825895675</v>
      </c>
      <c r="O35" s="8">
        <f t="shared" si="10"/>
        <v>2341029.6486334139</v>
      </c>
      <c r="P35" s="8">
        <f t="shared" si="10"/>
        <v>2366315.0682386532</v>
      </c>
      <c r="Q35" s="8">
        <f t="shared" si="10"/>
        <v>2349133.0550195239</v>
      </c>
      <c r="R35" s="8">
        <f t="shared" si="10"/>
        <v>2779352.7221262432</v>
      </c>
      <c r="S35" s="8">
        <f t="shared" si="10"/>
        <v>2378125.4361750013</v>
      </c>
      <c r="T35" s="8">
        <f t="shared" si="10"/>
        <v>2383023.7370508993</v>
      </c>
      <c r="U35" s="8">
        <f t="shared" si="10"/>
        <v>2381968.7790437853</v>
      </c>
      <c r="V35" s="8">
        <f t="shared" si="10"/>
        <v>2832727.3296808824</v>
      </c>
      <c r="W35" s="166">
        <f t="shared" ref="W35:Z35" si="11">SUM(W33:W34)</f>
        <v>1201323.9460822502</v>
      </c>
      <c r="X35" s="166">
        <f t="shared" si="11"/>
        <v>1207796.5234331437</v>
      </c>
      <c r="Y35" s="166">
        <f t="shared" si="11"/>
        <v>1210012.1369451093</v>
      </c>
      <c r="Z35" s="166">
        <f t="shared" si="11"/>
        <v>1674162.8315356539</v>
      </c>
      <c r="AA35" s="202"/>
      <c r="AB35" s="202"/>
      <c r="AC35" s="202"/>
      <c r="AD35" s="202"/>
      <c r="AE35" s="202"/>
      <c r="AF35" s="202"/>
      <c r="AG35" s="202"/>
      <c r="AH35" s="202"/>
      <c r="AI35" s="34"/>
      <c r="AJ35" s="34"/>
      <c r="AK35" s="34"/>
      <c r="AL35" s="34"/>
      <c r="AM35" s="34"/>
      <c r="AN35" s="34"/>
      <c r="AO35" s="34"/>
      <c r="AP35" s="34"/>
      <c r="AQ35" s="34"/>
      <c r="AR35" s="34"/>
      <c r="AS35" s="34"/>
      <c r="AT35" s="34"/>
      <c r="AU35" s="34"/>
      <c r="AV35" s="34"/>
      <c r="AW35" s="30"/>
      <c r="AX35" s="30"/>
      <c r="AY35" s="30"/>
      <c r="AZ35" s="30"/>
      <c r="BA35" s="30"/>
      <c r="BB35" s="30"/>
      <c r="BC35" s="30"/>
      <c r="BD35" s="30"/>
      <c r="BE35" s="30"/>
      <c r="BF35" s="30"/>
      <c r="BG35" s="30"/>
      <c r="BH35" s="30"/>
      <c r="BI35" s="30"/>
      <c r="BJ35" s="30"/>
      <c r="BK35" s="30"/>
      <c r="BL35" s="30"/>
      <c r="BM35" s="30"/>
      <c r="BN35" s="30"/>
      <c r="BO35" s="30"/>
      <c r="BP35" s="30"/>
      <c r="BQ35" s="30"/>
      <c r="BR35" s="30"/>
      <c r="BS35" s="30"/>
    </row>
    <row r="36" spans="1:71" x14ac:dyDescent="0.35">
      <c r="C36" s="17"/>
      <c r="D36" s="17"/>
      <c r="E36" s="17"/>
      <c r="F36" s="17"/>
      <c r="G36" s="17"/>
      <c r="H36" s="17"/>
      <c r="I36" s="17"/>
      <c r="J36" s="17"/>
      <c r="K36" s="17"/>
      <c r="L36" s="17"/>
      <c r="M36" s="17"/>
      <c r="N36" s="17"/>
      <c r="O36" s="17"/>
      <c r="P36" s="17"/>
      <c r="Q36" s="17"/>
      <c r="R36" s="17"/>
      <c r="S36" s="17"/>
      <c r="T36" s="17"/>
      <c r="U36" s="17"/>
      <c r="V36" s="17"/>
      <c r="W36" s="579"/>
      <c r="X36" s="579"/>
      <c r="Y36" s="579"/>
      <c r="Z36" s="579"/>
      <c r="AA36" s="38"/>
      <c r="AB36" s="38"/>
      <c r="AC36" s="38"/>
      <c r="AD36" s="38"/>
      <c r="AE36" s="38"/>
      <c r="AF36" s="38"/>
      <c r="AG36" s="38"/>
      <c r="AH36" s="38"/>
    </row>
    <row r="37" spans="1:71" x14ac:dyDescent="0.35">
      <c r="B37" s="30" t="s">
        <v>18</v>
      </c>
      <c r="C37" s="17"/>
      <c r="D37" s="17"/>
      <c r="E37" s="17"/>
      <c r="F37" s="17"/>
      <c r="G37" s="17"/>
      <c r="H37" s="17"/>
      <c r="I37" s="17"/>
      <c r="J37" s="17"/>
      <c r="K37" s="17"/>
      <c r="L37" s="17"/>
      <c r="M37" s="17"/>
      <c r="N37" s="17"/>
      <c r="O37" s="17"/>
      <c r="P37" s="17"/>
      <c r="Q37" s="17"/>
      <c r="R37" s="17"/>
      <c r="S37" s="17"/>
      <c r="T37" s="17"/>
      <c r="U37" s="17"/>
      <c r="V37" s="17"/>
      <c r="W37" s="579"/>
      <c r="X37" s="579"/>
      <c r="Y37" s="579"/>
      <c r="Z37" s="579"/>
      <c r="AA37" s="38"/>
      <c r="AB37" s="38"/>
      <c r="AC37" s="38"/>
      <c r="AD37" s="38"/>
      <c r="AE37" s="38"/>
      <c r="AF37" s="38"/>
      <c r="AG37" s="38"/>
      <c r="AH37" s="38"/>
    </row>
    <row r="38" spans="1:71" s="151" customFormat="1" x14ac:dyDescent="0.35">
      <c r="B38" s="1016" t="s">
        <v>342</v>
      </c>
      <c r="C38" s="17">
        <f>SUMIF('P&amp;L - Monthly'!$2:$2,'P&amp;L - Qtrly'!C$2,'P&amp;L - Monthly'!43:43)</f>
        <v>82265.142044782959</v>
      </c>
      <c r="D38" s="17">
        <f>SUMIF('P&amp;L - Monthly'!$2:$2,'P&amp;L - Qtrly'!D$2,'P&amp;L - Monthly'!43:43)</f>
        <v>106357.4583577154</v>
      </c>
      <c r="E38" s="17">
        <f>SUMIF('P&amp;L - Monthly'!$2:$2,'P&amp;L - Qtrly'!E$2,'P&amp;L - Monthly'!43:43)</f>
        <v>101881.99529939791</v>
      </c>
      <c r="F38" s="17">
        <f>SUMIF('P&amp;L - Monthly'!$2:$2,'P&amp;L - Qtrly'!F$2,'P&amp;L - Monthly'!43:43)</f>
        <v>167630.34315242077</v>
      </c>
      <c r="G38" s="17">
        <f>SUMIF('P&amp;L - Monthly'!$2:$2,'P&amp;L - Qtrly'!G$2,'P&amp;L - Monthly'!43:43)</f>
        <v>176353.28</v>
      </c>
      <c r="H38" s="17">
        <f>SUMIF('P&amp;L - Monthly'!$2:$2,'P&amp;L - Qtrly'!H$2,'P&amp;L - Monthly'!43:43)</f>
        <v>244885.12</v>
      </c>
      <c r="I38" s="17">
        <f>SUMIF('P&amp;L - Monthly'!$2:$2,'P&amp;L - Qtrly'!I$2,'P&amp;L - Monthly'!43:43)</f>
        <v>318077.61</v>
      </c>
      <c r="J38" s="17">
        <f>SUMIF('P&amp;L - Monthly'!$2:$2,'P&amp;L - Qtrly'!J$2,'P&amp;L - Monthly'!43:43)</f>
        <v>350974.71999999997</v>
      </c>
      <c r="K38" s="17">
        <f>SUMIF('P&amp;L - Monthly'!$2:$2,'P&amp;L - Qtrly'!K$2,'P&amp;L - Monthly'!43:43)</f>
        <v>299513.69407615741</v>
      </c>
      <c r="L38" s="17">
        <f>SUMIF('P&amp;L - Monthly'!$2:$2,'P&amp;L - Qtrly'!L$2,'P&amp;L - Monthly'!43:43)</f>
        <v>324314.14537677052</v>
      </c>
      <c r="M38" s="17">
        <f>SUMIF('P&amp;L - Monthly'!$2:$2,'P&amp;L - Qtrly'!M$2,'P&amp;L - Monthly'!43:43)</f>
        <v>326950.86580546293</v>
      </c>
      <c r="N38" s="17">
        <f>SUMIF('P&amp;L - Monthly'!$2:$2,'P&amp;L - Qtrly'!N$2,'P&amp;L - Monthly'!43:43)</f>
        <v>533700.27286671125</v>
      </c>
      <c r="O38" s="17">
        <f>SUMIF('P&amp;L - Monthly'!$2:$2,'P&amp;L - Qtrly'!O$2,'P&amp;L - Monthly'!43:43)</f>
        <v>370097.98565422487</v>
      </c>
      <c r="P38" s="17">
        <f>SUMIF('P&amp;L - Monthly'!$2:$2,'P&amp;L - Qtrly'!P$2,'P&amp;L - Monthly'!43:43)</f>
        <v>391944.15524359036</v>
      </c>
      <c r="Q38" s="17">
        <f>SUMIF('P&amp;L - Monthly'!$2:$2,'P&amp;L - Qtrly'!Q$2,'P&amp;L - Monthly'!43:43)</f>
        <v>392381.8917881971</v>
      </c>
      <c r="R38" s="17">
        <f>SUMIF('P&amp;L - Monthly'!$2:$2,'P&amp;L - Qtrly'!R$2,'P&amp;L - Monthly'!43:43)</f>
        <v>631596.36397849419</v>
      </c>
      <c r="S38" s="17">
        <f>SUMIF('P&amp;L - Monthly'!$2:$2,'P&amp;L - Qtrly'!S$2,'P&amp;L - Monthly'!43:43)</f>
        <v>419305.76029571117</v>
      </c>
      <c r="T38" s="17">
        <f>SUMIF('P&amp;L - Monthly'!$2:$2,'P&amp;L - Qtrly'!T$2,'P&amp;L - Monthly'!43:43)</f>
        <v>423112.44540816592</v>
      </c>
      <c r="U38" s="17">
        <f>SUMIF('P&amp;L - Monthly'!$2:$2,'P&amp;L - Qtrly'!U$2,'P&amp;L - Monthly'!43:43)</f>
        <v>423162.75646632223</v>
      </c>
      <c r="V38" s="17">
        <f>SUMIF('P&amp;L - Monthly'!$2:$2,'P&amp;L - Qtrly'!V$2,'P&amp;L - Monthly'!43:43)</f>
        <v>669679.78001409455</v>
      </c>
      <c r="W38" s="579">
        <f>SUMIF('P&amp;L - Monthly'!$2:$2,'P&amp;L - Qtrly'!W$2,'P&amp;L - Monthly'!43:43)</f>
        <v>430747.11831439473</v>
      </c>
      <c r="X38" s="579">
        <f>SUMIF('P&amp;L - Monthly'!$2:$2,'P&amp;L - Qtrly'!X$2,'P&amp;L - Monthly'!43:43)</f>
        <v>434578.03653440927</v>
      </c>
      <c r="Y38" s="579">
        <f>SUMIF('P&amp;L - Monthly'!$2:$2,'P&amp;L - Qtrly'!Y$2,'P&amp;L - Monthly'!43:43)</f>
        <v>434618.41090499476</v>
      </c>
      <c r="Z38" s="579">
        <f>SUMIF('P&amp;L - Monthly'!$2:$2,'P&amp;L - Qtrly'!Z$2,'P&amp;L - Monthly'!43:43)</f>
        <v>688582.12611514726</v>
      </c>
      <c r="AA38" s="38"/>
      <c r="AB38" s="38"/>
      <c r="AC38" s="38"/>
      <c r="AD38" s="38"/>
      <c r="AE38" s="38"/>
      <c r="AF38" s="38"/>
      <c r="AG38" s="38"/>
      <c r="AH38" s="38"/>
      <c r="AI38" s="169"/>
      <c r="AJ38" s="169"/>
      <c r="AK38" s="169"/>
      <c r="AL38" s="169"/>
      <c r="AM38" s="169"/>
      <c r="AN38" s="169"/>
      <c r="AO38" s="169"/>
      <c r="AP38" s="169"/>
      <c r="AQ38" s="169"/>
      <c r="AR38" s="169"/>
      <c r="AS38" s="169"/>
      <c r="AT38" s="169"/>
      <c r="AU38" s="169"/>
      <c r="AV38" s="169"/>
    </row>
    <row r="39" spans="1:71" x14ac:dyDescent="0.35">
      <c r="B39" s="903" t="s">
        <v>67</v>
      </c>
      <c r="C39" s="17">
        <f>SUMIF('P&amp;L - Monthly'!$2:$2,'P&amp;L - Qtrly'!C$2,'P&amp;L - Monthly'!44:44)</f>
        <v>192401.23859950423</v>
      </c>
      <c r="D39" s="17">
        <f>SUMIF('P&amp;L - Monthly'!$2:$2,'P&amp;L - Qtrly'!D$2,'P&amp;L - Monthly'!44:44)</f>
        <v>273057.81453129736</v>
      </c>
      <c r="E39" s="17">
        <f>SUMIF('P&amp;L - Monthly'!$2:$2,'P&amp;L - Qtrly'!E$2,'P&amp;L - Monthly'!44:44)</f>
        <v>382621.66378484247</v>
      </c>
      <c r="F39" s="17">
        <f>SUMIF('P&amp;L - Monthly'!$2:$2,'P&amp;L - Qtrly'!F$2,'P&amp;L - Monthly'!44:44)</f>
        <v>523721.45204675267</v>
      </c>
      <c r="G39" s="17">
        <f>SUMIF('P&amp;L - Monthly'!$2:$2,'P&amp;L - Qtrly'!G$2,'P&amp;L - Monthly'!44:44)</f>
        <v>699021.67999999993</v>
      </c>
      <c r="H39" s="17">
        <f>SUMIF('P&amp;L - Monthly'!$2:$2,'P&amp;L - Qtrly'!H$2,'P&amp;L - Monthly'!44:44)</f>
        <v>775587.97</v>
      </c>
      <c r="I39" s="17">
        <f>SUMIF('P&amp;L - Monthly'!$2:$2,'P&amp;L - Qtrly'!I$2,'P&amp;L - Monthly'!44:44)</f>
        <v>863448.15999999992</v>
      </c>
      <c r="J39" s="17">
        <f>SUMIF('P&amp;L - Monthly'!$2:$2,'P&amp;L - Qtrly'!J$2,'P&amp;L - Monthly'!44:44)</f>
        <v>802075.62</v>
      </c>
      <c r="K39" s="17">
        <f>SUMIF('P&amp;L - Monthly'!$2:$2,'P&amp;L - Qtrly'!K$2,'P&amp;L - Monthly'!44:44)</f>
        <v>630521.95596342592</v>
      </c>
      <c r="L39" s="17">
        <f>SUMIF('P&amp;L - Monthly'!$2:$2,'P&amp;L - Qtrly'!L$2,'P&amp;L - Monthly'!44:44)</f>
        <v>639137.61810124724</v>
      </c>
      <c r="M39" s="17">
        <f>SUMIF('P&amp;L - Monthly'!$2:$2,'P&amp;L - Qtrly'!M$2,'P&amp;L - Monthly'!44:44)</f>
        <v>740960.33011135133</v>
      </c>
      <c r="N39" s="17">
        <f>SUMIF('P&amp;L - Monthly'!$2:$2,'P&amp;L - Qtrly'!N$2,'P&amp;L - Monthly'!44:44)</f>
        <v>1194265.6120304479</v>
      </c>
      <c r="O39" s="17">
        <f>SUMIF('P&amp;L - Monthly'!$2:$2,'P&amp;L - Qtrly'!O$2,'P&amp;L - Monthly'!44:44)</f>
        <v>820493.50400691782</v>
      </c>
      <c r="P39" s="17">
        <f>SUMIF('P&amp;L - Monthly'!$2:$2,'P&amp;L - Qtrly'!P$2,'P&amp;L - Monthly'!44:44)</f>
        <v>865741.41918381269</v>
      </c>
      <c r="Q39" s="17">
        <f>SUMIF('P&amp;L - Monthly'!$2:$2,'P&amp;L - Qtrly'!Q$2,'P&amp;L - Monthly'!44:44)</f>
        <v>865966.25297320401</v>
      </c>
      <c r="R39" s="17">
        <f>SUMIF('P&amp;L - Monthly'!$2:$2,'P&amp;L - Qtrly'!R$2,'P&amp;L - Monthly'!44:44)</f>
        <v>1374088.6232112462</v>
      </c>
      <c r="S39" s="17">
        <f>SUMIF('P&amp;L - Monthly'!$2:$2,'P&amp;L - Qtrly'!S$2,'P&amp;L - Monthly'!44:44)</f>
        <v>902239.35728474706</v>
      </c>
      <c r="T39" s="17">
        <f>SUMIF('P&amp;L - Monthly'!$2:$2,'P&amp;L - Qtrly'!T$2,'P&amp;L - Monthly'!44:44)</f>
        <v>909351.18559567514</v>
      </c>
      <c r="U39" s="17">
        <f>SUMIF('P&amp;L - Monthly'!$2:$2,'P&amp;L - Qtrly'!U$2,'P&amp;L - Monthly'!44:44)</f>
        <v>909691.47935610916</v>
      </c>
      <c r="V39" s="17">
        <f>SUMIF('P&amp;L - Monthly'!$2:$2,'P&amp;L - Qtrly'!V$2,'P&amp;L - Monthly'!44:44)</f>
        <v>1433130.2308529108</v>
      </c>
      <c r="W39" s="579">
        <f>SUMIF('P&amp;L - Monthly'!$2:$2,'P&amp;L - Qtrly'!W$2,'P&amp;L - Monthly'!44:44)</f>
        <v>927340.44589374121</v>
      </c>
      <c r="X39" s="579">
        <f>SUMIF('P&amp;L - Monthly'!$2:$2,'P&amp;L - Qtrly'!X$2,'P&amp;L - Monthly'!44:44)</f>
        <v>934749.49169364385</v>
      </c>
      <c r="Y39" s="579">
        <f>SUMIF('P&amp;L - Monthly'!$2:$2,'P&amp;L - Qtrly'!Y$2,'P&amp;L - Monthly'!44:44)</f>
        <v>935159.54930680362</v>
      </c>
      <c r="Z39" s="579">
        <f>SUMIF('P&amp;L - Monthly'!$2:$2,'P&amp;L - Qtrly'!Z$2,'P&amp;L - Monthly'!44:44)</f>
        <v>1474356.1854764624</v>
      </c>
      <c r="AA39" s="38"/>
      <c r="AB39" s="38"/>
      <c r="AC39" s="38"/>
      <c r="AD39" s="38"/>
      <c r="AE39" s="38"/>
      <c r="AF39" s="38"/>
      <c r="AG39" s="38"/>
      <c r="AH39" s="38"/>
    </row>
    <row r="40" spans="1:71" x14ac:dyDescent="0.35">
      <c r="A40" s="30"/>
      <c r="B40" s="30" t="s">
        <v>18</v>
      </c>
      <c r="C40" s="8">
        <f t="shared" ref="C40:V40" si="12">SUM(C38:C39)</f>
        <v>274666.38064428722</v>
      </c>
      <c r="D40" s="8">
        <f t="shared" si="12"/>
        <v>379415.27288901276</v>
      </c>
      <c r="E40" s="8">
        <f t="shared" si="12"/>
        <v>484503.65908424038</v>
      </c>
      <c r="F40" s="8">
        <f t="shared" si="12"/>
        <v>691351.7951991735</v>
      </c>
      <c r="G40" s="8">
        <f t="shared" si="12"/>
        <v>875374.96</v>
      </c>
      <c r="H40" s="8">
        <f t="shared" si="12"/>
        <v>1020473.09</v>
      </c>
      <c r="I40" s="8">
        <f t="shared" si="12"/>
        <v>1181525.77</v>
      </c>
      <c r="J40" s="8">
        <f t="shared" si="12"/>
        <v>1153050.3399999999</v>
      </c>
      <c r="K40" s="8">
        <f t="shared" si="12"/>
        <v>930035.65003958333</v>
      </c>
      <c r="L40" s="8">
        <f t="shared" si="12"/>
        <v>963451.76347801776</v>
      </c>
      <c r="M40" s="8">
        <f t="shared" si="12"/>
        <v>1067911.1959168143</v>
      </c>
      <c r="N40" s="8">
        <f t="shared" si="12"/>
        <v>1727965.8848971592</v>
      </c>
      <c r="O40" s="8">
        <f t="shared" si="12"/>
        <v>1190591.4896611427</v>
      </c>
      <c r="P40" s="8">
        <f t="shared" si="12"/>
        <v>1257685.574427403</v>
      </c>
      <c r="Q40" s="8">
        <f t="shared" si="12"/>
        <v>1258348.1447614012</v>
      </c>
      <c r="R40" s="8">
        <f t="shared" si="12"/>
        <v>2005684.9871897404</v>
      </c>
      <c r="S40" s="8">
        <f t="shared" si="12"/>
        <v>1321545.1175804583</v>
      </c>
      <c r="T40" s="8">
        <f t="shared" si="12"/>
        <v>1332463.6310038411</v>
      </c>
      <c r="U40" s="8">
        <f t="shared" si="12"/>
        <v>1332854.2358224313</v>
      </c>
      <c r="V40" s="8">
        <f t="shared" si="12"/>
        <v>2102810.0108670052</v>
      </c>
      <c r="W40" s="166">
        <f t="shared" ref="W40:Z40" si="13">SUM(W38:W39)</f>
        <v>1358087.5642081359</v>
      </c>
      <c r="X40" s="166">
        <f t="shared" si="13"/>
        <v>1369327.5282280531</v>
      </c>
      <c r="Y40" s="166">
        <f t="shared" si="13"/>
        <v>1369777.9602117983</v>
      </c>
      <c r="Z40" s="166">
        <f t="shared" si="13"/>
        <v>2162938.3115916094</v>
      </c>
      <c r="AA40" s="202"/>
      <c r="AB40" s="202"/>
      <c r="AC40" s="202"/>
      <c r="AD40" s="202"/>
      <c r="AE40" s="202"/>
      <c r="AF40" s="202"/>
      <c r="AG40" s="202"/>
      <c r="AH40" s="202"/>
      <c r="AI40" s="34"/>
      <c r="AJ40" s="34"/>
      <c r="AK40" s="34"/>
      <c r="AL40" s="34"/>
      <c r="AM40" s="34"/>
      <c r="AN40" s="34"/>
      <c r="AO40" s="34"/>
      <c r="AP40" s="34"/>
      <c r="AQ40" s="34"/>
      <c r="AR40" s="34"/>
      <c r="AS40" s="34"/>
      <c r="AT40" s="34"/>
      <c r="AU40" s="34"/>
      <c r="AV40" s="34"/>
      <c r="AW40" s="30"/>
      <c r="AX40" s="30"/>
      <c r="AY40" s="30"/>
      <c r="AZ40" s="30"/>
      <c r="BA40" s="30"/>
      <c r="BB40" s="30"/>
      <c r="BC40" s="30"/>
      <c r="BD40" s="30"/>
      <c r="BE40" s="30"/>
      <c r="BF40" s="30"/>
      <c r="BG40" s="30"/>
      <c r="BH40" s="30"/>
      <c r="BI40" s="30"/>
      <c r="BJ40" s="30"/>
      <c r="BK40" s="30"/>
      <c r="BL40" s="30"/>
      <c r="BM40" s="30"/>
      <c r="BN40" s="30"/>
      <c r="BO40" s="30"/>
      <c r="BP40" s="30"/>
      <c r="BQ40" s="30"/>
      <c r="BR40" s="30"/>
      <c r="BS40" s="30"/>
    </row>
    <row r="41" spans="1:71" x14ac:dyDescent="0.35">
      <c r="C41" s="17"/>
      <c r="D41" s="17"/>
      <c r="E41" s="17"/>
      <c r="F41" s="17"/>
      <c r="G41" s="17"/>
      <c r="H41" s="17"/>
      <c r="I41" s="17"/>
      <c r="J41" s="17"/>
      <c r="K41" s="17"/>
      <c r="L41" s="17"/>
      <c r="M41" s="17"/>
      <c r="N41" s="17"/>
      <c r="O41" s="17"/>
      <c r="P41" s="17"/>
      <c r="Q41" s="17"/>
      <c r="R41" s="17"/>
      <c r="S41" s="17"/>
      <c r="T41" s="17"/>
      <c r="U41" s="17"/>
      <c r="V41" s="17"/>
      <c r="W41" s="579"/>
      <c r="X41" s="579"/>
      <c r="Y41" s="579"/>
      <c r="Z41" s="579"/>
      <c r="AA41" s="38"/>
      <c r="AB41" s="38"/>
      <c r="AC41" s="38"/>
      <c r="AD41" s="38"/>
      <c r="AE41" s="38"/>
      <c r="AF41" s="38"/>
      <c r="AG41" s="38"/>
      <c r="AH41" s="38"/>
    </row>
    <row r="42" spans="1:71" x14ac:dyDescent="0.35">
      <c r="B42" s="30" t="s">
        <v>19</v>
      </c>
      <c r="C42" s="17"/>
      <c r="D42" s="17"/>
      <c r="E42" s="17"/>
      <c r="F42" s="17"/>
      <c r="G42" s="17"/>
      <c r="H42" s="17"/>
      <c r="I42" s="17"/>
      <c r="J42" s="17"/>
      <c r="K42" s="17"/>
      <c r="L42" s="17"/>
      <c r="M42" s="17"/>
      <c r="N42" s="17"/>
      <c r="O42" s="17"/>
      <c r="P42" s="17"/>
      <c r="Q42" s="17"/>
      <c r="R42" s="17"/>
      <c r="S42" s="17"/>
      <c r="T42" s="17"/>
      <c r="U42" s="17"/>
      <c r="V42" s="17"/>
      <c r="W42" s="579"/>
      <c r="X42" s="579"/>
      <c r="Y42" s="579"/>
      <c r="Z42" s="579"/>
      <c r="AA42" s="38"/>
      <c r="AB42" s="38"/>
      <c r="AC42" s="38"/>
      <c r="AD42" s="38"/>
      <c r="AE42" s="38"/>
      <c r="AF42" s="38"/>
      <c r="AG42" s="38"/>
      <c r="AH42" s="38"/>
    </row>
    <row r="43" spans="1:71" x14ac:dyDescent="0.35">
      <c r="B43" s="903" t="s">
        <v>4</v>
      </c>
      <c r="C43" s="17">
        <f>SUMIF('P&amp;L - Monthly'!$2:$2,'P&amp;L - Qtrly'!C$2,'P&amp;L - Monthly'!48:48)</f>
        <v>28326.862734079019</v>
      </c>
      <c r="D43" s="17">
        <f>SUMIF('P&amp;L - Monthly'!$2:$2,'P&amp;L - Qtrly'!D$2,'P&amp;L - Monthly'!48:48)</f>
        <v>27166.859895656864</v>
      </c>
      <c r="E43" s="17">
        <f>SUMIF('P&amp;L - Monthly'!$2:$2,'P&amp;L - Qtrly'!E$2,'P&amp;L - Monthly'!48:48)</f>
        <v>32329.611780878844</v>
      </c>
      <c r="F43" s="17">
        <f>SUMIF('P&amp;L - Monthly'!$2:$2,'P&amp;L - Qtrly'!F$2,'P&amp;L - Monthly'!48:48)</f>
        <v>40141.363130754558</v>
      </c>
      <c r="G43" s="17">
        <f>SUMIF('P&amp;L - Monthly'!$2:$2,'P&amp;L - Qtrly'!G$2,'P&amp;L - Monthly'!48:48)</f>
        <v>82276.5</v>
      </c>
      <c r="H43" s="17">
        <f>SUMIF('P&amp;L - Monthly'!$2:$2,'P&amp;L - Qtrly'!H$2,'P&amp;L - Monthly'!48:48)</f>
        <v>67843.72</v>
      </c>
      <c r="I43" s="17">
        <f>SUMIF('P&amp;L - Monthly'!$2:$2,'P&amp;L - Qtrly'!I$2,'P&amp;L - Monthly'!48:48)</f>
        <v>147115.94</v>
      </c>
      <c r="J43" s="17">
        <f>SUMIF('P&amp;L - Monthly'!$2:$2,'P&amp;L - Qtrly'!J$2,'P&amp;L - Monthly'!48:48)</f>
        <v>159108.69</v>
      </c>
      <c r="K43" s="17">
        <f>SUMIF('P&amp;L - Monthly'!$2:$2,'P&amp;L - Qtrly'!K$2,'P&amp;L - Monthly'!48:48)</f>
        <v>156271.37406249999</v>
      </c>
      <c r="L43" s="17">
        <f>SUMIF('P&amp;L - Monthly'!$2:$2,'P&amp;L - Qtrly'!L$2,'P&amp;L - Monthly'!48:48)</f>
        <v>233410.51101230949</v>
      </c>
      <c r="M43" s="17">
        <f>SUMIF('P&amp;L - Monthly'!$2:$2,'P&amp;L - Qtrly'!M$2,'P&amp;L - Monthly'!48:48)</f>
        <v>237956.38978858158</v>
      </c>
      <c r="N43" s="17">
        <f>SUMIF('P&amp;L - Monthly'!$2:$2,'P&amp;L - Qtrly'!N$2,'P&amp;L - Monthly'!48:48)</f>
        <v>402502.30994568218</v>
      </c>
      <c r="O43" s="17">
        <f>SUMIF('P&amp;L - Monthly'!$2:$2,'P&amp;L - Qtrly'!O$2,'P&amp;L - Monthly'!48:48)</f>
        <v>240840.99441180305</v>
      </c>
      <c r="P43" s="17">
        <f>SUMIF('P&amp;L - Monthly'!$2:$2,'P&amp;L - Qtrly'!P$2,'P&amp;L - Monthly'!48:48)</f>
        <v>243452.65916900869</v>
      </c>
      <c r="Q43" s="17">
        <f>SUMIF('P&amp;L - Monthly'!$2:$2,'P&amp;L - Qtrly'!Q$2,'P&amp;L - Monthly'!48:48)</f>
        <v>244143.15524176607</v>
      </c>
      <c r="R43" s="17">
        <f>SUMIF('P&amp;L - Monthly'!$2:$2,'P&amp;L - Qtrly'!R$2,'P&amp;L - Monthly'!48:48)</f>
        <v>409452.34830105794</v>
      </c>
      <c r="S43" s="17">
        <f>SUMIF('P&amp;L - Monthly'!$2:$2,'P&amp;L - Qtrly'!S$2,'P&amp;L - Monthly'!48:48)</f>
        <v>251693.7164072505</v>
      </c>
      <c r="T43" s="17">
        <f>SUMIF('P&amp;L - Monthly'!$2:$2,'P&amp;L - Qtrly'!T$2,'P&amp;L - Monthly'!48:48)</f>
        <v>253046.54284043406</v>
      </c>
      <c r="U43" s="17">
        <f>SUMIF('P&amp;L - Monthly'!$2:$2,'P&amp;L - Qtrly'!U$2,'P&amp;L - Monthly'!48:48)</f>
        <v>253176.34866864356</v>
      </c>
      <c r="V43" s="17">
        <f>SUMIF('P&amp;L - Monthly'!$2:$2,'P&amp;L - Qtrly'!V$2,'P&amp;L - Monthly'!48:48)</f>
        <v>423293.9745462953</v>
      </c>
      <c r="W43" s="579">
        <f>SUMIF('P&amp;L - Monthly'!$2:$2,'P&amp;L - Qtrly'!W$2,'P&amp;L - Monthly'!48:48)</f>
        <v>257429.1000007462</v>
      </c>
      <c r="X43" s="579">
        <f>SUMIF('P&amp;L - Monthly'!$2:$2,'P&amp;L - Qtrly'!X$2,'P&amp;L - Monthly'!48:48)</f>
        <v>258549.14357873533</v>
      </c>
      <c r="Y43" s="579">
        <f>SUMIF('P&amp;L - Monthly'!$2:$2,'P&amp;L - Qtrly'!Y$2,'P&amp;L - Monthly'!48:48)</f>
        <v>258655.95226007761</v>
      </c>
      <c r="Z43" s="579">
        <f>SUMIF('P&amp;L - Monthly'!$2:$2,'P&amp;L - Qtrly'!Z$2,'P&amp;L - Monthly'!48:48)</f>
        <v>433947.61072446662</v>
      </c>
      <c r="AA43" s="38"/>
      <c r="AB43" s="38"/>
      <c r="AC43" s="38"/>
      <c r="AD43" s="38"/>
      <c r="AE43" s="38"/>
      <c r="AF43" s="38"/>
      <c r="AG43" s="38"/>
      <c r="AH43" s="38"/>
    </row>
    <row r="44" spans="1:71" x14ac:dyDescent="0.35">
      <c r="B44" s="903" t="s">
        <v>3</v>
      </c>
      <c r="C44" s="17">
        <f>SUMIF('P&amp;L - Monthly'!$2:$2,'P&amp;L - Qtrly'!C$2,'P&amp;L - Monthly'!49:49)</f>
        <v>137447.54029815036</v>
      </c>
      <c r="D44" s="17">
        <f>SUMIF('P&amp;L - Monthly'!$2:$2,'P&amp;L - Qtrly'!D$2,'P&amp;L - Monthly'!49:49)</f>
        <v>507622.13525108702</v>
      </c>
      <c r="E44" s="17">
        <f>SUMIF('P&amp;L - Monthly'!$2:$2,'P&amp;L - Qtrly'!E$2,'P&amp;L - Monthly'!49:49)</f>
        <v>801799.38791716902</v>
      </c>
      <c r="F44" s="17">
        <f>SUMIF('P&amp;L - Monthly'!$2:$2,'P&amp;L - Qtrly'!F$2,'P&amp;L - Monthly'!49:49)</f>
        <v>639571.68065970228</v>
      </c>
      <c r="G44" s="17">
        <f>SUMIF('P&amp;L - Monthly'!$2:$2,'P&amp;L - Qtrly'!G$2,'P&amp;L - Monthly'!49:49)</f>
        <v>488213.91000000003</v>
      </c>
      <c r="H44" s="17">
        <f>SUMIF('P&amp;L - Monthly'!$2:$2,'P&amp;L - Qtrly'!H$2,'P&amp;L - Monthly'!49:49)</f>
        <v>440919.83999999997</v>
      </c>
      <c r="I44" s="17">
        <f>SUMIF('P&amp;L - Monthly'!$2:$2,'P&amp;L - Qtrly'!I$2,'P&amp;L - Monthly'!49:49)</f>
        <v>403461.17000000004</v>
      </c>
      <c r="J44" s="17">
        <f>SUMIF('P&amp;L - Monthly'!$2:$2,'P&amp;L - Qtrly'!J$2,'P&amp;L - Monthly'!49:49)</f>
        <v>362516.69</v>
      </c>
      <c r="K44" s="17">
        <f>SUMIF('P&amp;L - Monthly'!$2:$2,'P&amp;L - Qtrly'!K$2,'P&amp;L - Monthly'!49:49)</f>
        <v>242833.39145509261</v>
      </c>
      <c r="L44" s="17">
        <f>SUMIF('P&amp;L - Monthly'!$2:$2,'P&amp;L - Qtrly'!L$2,'P&amp;L - Monthly'!49:49)</f>
        <v>191798.01395448309</v>
      </c>
      <c r="M44" s="17">
        <f>SUMIF('P&amp;L - Monthly'!$2:$2,'P&amp;L - Qtrly'!M$2,'P&amp;L - Monthly'!49:49)</f>
        <v>193053.29529581848</v>
      </c>
      <c r="N44" s="17">
        <f>SUMIF('P&amp;L - Monthly'!$2:$2,'P&amp;L - Qtrly'!N$2,'P&amp;L - Monthly'!49:49)</f>
        <v>442899.11997574545</v>
      </c>
      <c r="O44" s="17">
        <f>SUMIF('P&amp;L - Monthly'!$2:$2,'P&amp;L - Qtrly'!O$2,'P&amp;L - Monthly'!49:49)</f>
        <v>193322.58082023892</v>
      </c>
      <c r="P44" s="17">
        <f>SUMIF('P&amp;L - Monthly'!$2:$2,'P&amp;L - Qtrly'!P$2,'P&amp;L - Monthly'!49:49)</f>
        <v>193942.31056800342</v>
      </c>
      <c r="Q44" s="17">
        <f>SUMIF('P&amp;L - Monthly'!$2:$2,'P&amp;L - Qtrly'!Q$2,'P&amp;L - Monthly'!49:49)</f>
        <v>194309.14541424348</v>
      </c>
      <c r="R44" s="17">
        <f>SUMIF('P&amp;L - Monthly'!$2:$2,'P&amp;L - Qtrly'!R$2,'P&amp;L - Monthly'!49:49)</f>
        <v>441774.91060568555</v>
      </c>
      <c r="S44" s="17">
        <f>SUMIF('P&amp;L - Monthly'!$2:$2,'P&amp;L - Qtrly'!S$2,'P&amp;L - Monthly'!49:49)</f>
        <v>189660.63921851685</v>
      </c>
      <c r="T44" s="17">
        <f>SUMIF('P&amp;L - Monthly'!$2:$2,'P&amp;L - Qtrly'!T$2,'P&amp;L - Monthly'!49:49)</f>
        <v>189820.44778514956</v>
      </c>
      <c r="U44" s="17">
        <f>SUMIF('P&amp;L - Monthly'!$2:$2,'P&amp;L - Qtrly'!U$2,'P&amp;L - Monthly'!49:49)</f>
        <v>189879.36027339241</v>
      </c>
      <c r="V44" s="17">
        <f>SUMIF('P&amp;L - Monthly'!$2:$2,'P&amp;L - Qtrly'!V$2,'P&amp;L - Monthly'!49:49)</f>
        <v>437377.32573098264</v>
      </c>
      <c r="W44" s="579">
        <f>SUMIF('P&amp;L - Monthly'!$2:$2,'P&amp;L - Qtrly'!W$2,'P&amp;L - Monthly'!49:49)</f>
        <v>189924.0540085673</v>
      </c>
      <c r="X44" s="579">
        <f>SUMIF('P&amp;L - Monthly'!$2:$2,'P&amp;L - Qtrly'!X$2,'P&amp;L - Monthly'!49:49)</f>
        <v>189983.94320091282</v>
      </c>
      <c r="Y44" s="579">
        <f>SUMIF('P&amp;L - Monthly'!$2:$2,'P&amp;L - Qtrly'!Y$2,'P&amp;L - Monthly'!49:49)</f>
        <v>190026.40478454775</v>
      </c>
      <c r="Z44" s="579">
        <f>SUMIF('P&amp;L - Monthly'!$2:$2,'P&amp;L - Qtrly'!Z$2,'P&amp;L - Monthly'!49:49)</f>
        <v>437570.84777948901</v>
      </c>
      <c r="AA44" s="38"/>
      <c r="AB44" s="38"/>
      <c r="AC44" s="38"/>
      <c r="AD44" s="38"/>
      <c r="AE44" s="38"/>
      <c r="AF44" s="38"/>
      <c r="AG44" s="38"/>
      <c r="AH44" s="38"/>
    </row>
    <row r="45" spans="1:71" x14ac:dyDescent="0.35">
      <c r="B45" s="903" t="s">
        <v>20</v>
      </c>
      <c r="C45" s="17">
        <f>SUMIF('P&amp;L - Monthly'!$2:$2,'P&amp;L - Qtrly'!C$2,'P&amp;L - Monthly'!50:50)</f>
        <v>0</v>
      </c>
      <c r="D45" s="17">
        <f>SUMIF('P&amp;L - Monthly'!$2:$2,'P&amp;L - Qtrly'!D$2,'P&amp;L - Monthly'!50:50)</f>
        <v>0</v>
      </c>
      <c r="E45" s="17">
        <f>SUMIF('P&amp;L - Monthly'!$2:$2,'P&amp;L - Qtrly'!E$2,'P&amp;L - Monthly'!50:50)</f>
        <v>0</v>
      </c>
      <c r="F45" s="17">
        <f>SUMIF('P&amp;L - Monthly'!$2:$2,'P&amp;L - Qtrly'!F$2,'P&amp;L - Monthly'!50:50)</f>
        <v>0</v>
      </c>
      <c r="G45" s="17">
        <f>SUMIF('P&amp;L - Monthly'!$2:$2,'P&amp;L - Qtrly'!G$2,'P&amp;L - Monthly'!50:50)</f>
        <v>0</v>
      </c>
      <c r="H45" s="17">
        <f>SUMIF('P&amp;L - Monthly'!$2:$2,'P&amp;L - Qtrly'!H$2,'P&amp;L - Monthly'!50:50)</f>
        <v>0</v>
      </c>
      <c r="I45" s="17">
        <f>SUMIF('P&amp;L - Monthly'!$2:$2,'P&amp;L - Qtrly'!I$2,'P&amp;L - Monthly'!50:50)</f>
        <v>0</v>
      </c>
      <c r="J45" s="17">
        <f>SUMIF('P&amp;L - Monthly'!$2:$2,'P&amp;L - Qtrly'!J$2,'P&amp;L - Monthly'!50:50)</f>
        <v>0</v>
      </c>
      <c r="K45" s="17">
        <f>SUMIF('P&amp;L - Monthly'!$2:$2,'P&amp;L - Qtrly'!K$2,'P&amp;L - Monthly'!50:50)</f>
        <v>21750</v>
      </c>
      <c r="L45" s="17">
        <f>SUMIF('P&amp;L - Monthly'!$2:$2,'P&amp;L - Qtrly'!L$2,'P&amp;L - Monthly'!50:50)</f>
        <v>21750</v>
      </c>
      <c r="M45" s="17">
        <f>SUMIF('P&amp;L - Monthly'!$2:$2,'P&amp;L - Qtrly'!M$2,'P&amp;L - Monthly'!50:50)</f>
        <v>21750</v>
      </c>
      <c r="N45" s="17">
        <f>SUMIF('P&amp;L - Monthly'!$2:$2,'P&amp;L - Qtrly'!N$2,'P&amp;L - Monthly'!50:50)</f>
        <v>21750</v>
      </c>
      <c r="O45" s="17">
        <f>SUMIF('P&amp;L - Monthly'!$2:$2,'P&amp;L - Qtrly'!O$2,'P&amp;L - Monthly'!50:50)</f>
        <v>21750</v>
      </c>
      <c r="P45" s="17">
        <f>SUMIF('P&amp;L - Monthly'!$2:$2,'P&amp;L - Qtrly'!P$2,'P&amp;L - Monthly'!50:50)</f>
        <v>21750</v>
      </c>
      <c r="Q45" s="17">
        <f>SUMIF('P&amp;L - Monthly'!$2:$2,'P&amp;L - Qtrly'!Q$2,'P&amp;L - Monthly'!50:50)</f>
        <v>21750</v>
      </c>
      <c r="R45" s="17">
        <f>SUMIF('P&amp;L - Monthly'!$2:$2,'P&amp;L - Qtrly'!R$2,'P&amp;L - Monthly'!50:50)</f>
        <v>21750</v>
      </c>
      <c r="S45" s="17">
        <f>SUMIF('P&amp;L - Monthly'!$2:$2,'P&amp;L - Qtrly'!S$2,'P&amp;L - Monthly'!50:50)</f>
        <v>3000</v>
      </c>
      <c r="T45" s="17">
        <f>SUMIF('P&amp;L - Monthly'!$2:$2,'P&amp;L - Qtrly'!T$2,'P&amp;L - Monthly'!50:50)</f>
        <v>3000</v>
      </c>
      <c r="U45" s="17">
        <f>SUMIF('P&amp;L - Monthly'!$2:$2,'P&amp;L - Qtrly'!U$2,'P&amp;L - Monthly'!50:50)</f>
        <v>3000</v>
      </c>
      <c r="V45" s="17">
        <f>SUMIF('P&amp;L - Monthly'!$2:$2,'P&amp;L - Qtrly'!V$2,'P&amp;L - Monthly'!50:50)</f>
        <v>3000</v>
      </c>
      <c r="W45" s="579">
        <f>SUMIF('P&amp;L - Monthly'!$2:$2,'P&amp;L - Qtrly'!W$2,'P&amp;L - Monthly'!50:50)</f>
        <v>3000</v>
      </c>
      <c r="X45" s="579">
        <f>SUMIF('P&amp;L - Monthly'!$2:$2,'P&amp;L - Qtrly'!X$2,'P&amp;L - Monthly'!50:50)</f>
        <v>3000</v>
      </c>
      <c r="Y45" s="579">
        <f>SUMIF('P&amp;L - Monthly'!$2:$2,'P&amp;L - Qtrly'!Y$2,'P&amp;L - Monthly'!50:50)</f>
        <v>3000</v>
      </c>
      <c r="Z45" s="579">
        <f>SUMIF('P&amp;L - Monthly'!$2:$2,'P&amp;L - Qtrly'!Z$2,'P&amp;L - Monthly'!50:50)</f>
        <v>3000</v>
      </c>
      <c r="AA45" s="38"/>
      <c r="AB45" s="38"/>
      <c r="AC45" s="38"/>
      <c r="AD45" s="38"/>
      <c r="AE45" s="38"/>
      <c r="AF45" s="38"/>
      <c r="AG45" s="38"/>
      <c r="AH45" s="38"/>
    </row>
    <row r="46" spans="1:71" x14ac:dyDescent="0.35">
      <c r="B46" s="903" t="s">
        <v>21</v>
      </c>
      <c r="C46" s="17">
        <f>SUMIF('P&amp;L - Monthly'!$2:$2,'P&amp;L - Qtrly'!C$2,'P&amp;L - Monthly'!51:51)</f>
        <v>0</v>
      </c>
      <c r="D46" s="17">
        <f>SUMIF('P&amp;L - Monthly'!$2:$2,'P&amp;L - Qtrly'!D$2,'P&amp;L - Monthly'!51:51)</f>
        <v>0</v>
      </c>
      <c r="E46" s="17">
        <f>SUMIF('P&amp;L - Monthly'!$2:$2,'P&amp;L - Qtrly'!E$2,'P&amp;L - Monthly'!51:51)</f>
        <v>0</v>
      </c>
      <c r="F46" s="17">
        <f>SUMIF('P&amp;L - Monthly'!$2:$2,'P&amp;L - Qtrly'!F$2,'P&amp;L - Monthly'!51:51)</f>
        <v>0</v>
      </c>
      <c r="G46" s="17">
        <f>SUMIF('P&amp;L - Monthly'!$2:$2,'P&amp;L - Qtrly'!G$2,'P&amp;L - Monthly'!51:51)</f>
        <v>0</v>
      </c>
      <c r="H46" s="17">
        <f>SUMIF('P&amp;L - Monthly'!$2:$2,'P&amp;L - Qtrly'!H$2,'P&amp;L - Monthly'!51:51)</f>
        <v>0</v>
      </c>
      <c r="I46" s="17">
        <f>SUMIF('P&amp;L - Monthly'!$2:$2,'P&amp;L - Qtrly'!I$2,'P&amp;L - Monthly'!51:51)</f>
        <v>0</v>
      </c>
      <c r="J46" s="17">
        <f>SUMIF('P&amp;L - Monthly'!$2:$2,'P&amp;L - Qtrly'!J$2,'P&amp;L - Monthly'!51:51)</f>
        <v>0</v>
      </c>
      <c r="K46" s="17">
        <f>SUMIF('P&amp;L - Monthly'!$2:$2,'P&amp;L - Qtrly'!K$2,'P&amp;L - Monthly'!51:51)</f>
        <v>24000</v>
      </c>
      <c r="L46" s="17">
        <f>SUMIF('P&amp;L - Monthly'!$2:$2,'P&amp;L - Qtrly'!L$2,'P&amp;L - Monthly'!51:51)</f>
        <v>24000</v>
      </c>
      <c r="M46" s="17">
        <f>SUMIF('P&amp;L - Monthly'!$2:$2,'P&amp;L - Qtrly'!M$2,'P&amp;L - Monthly'!51:51)</f>
        <v>24000</v>
      </c>
      <c r="N46" s="17">
        <f>SUMIF('P&amp;L - Monthly'!$2:$2,'P&amp;L - Qtrly'!N$2,'P&amp;L - Monthly'!51:51)</f>
        <v>24000</v>
      </c>
      <c r="O46" s="17">
        <f>SUMIF('P&amp;L - Monthly'!$2:$2,'P&amp;L - Qtrly'!O$2,'P&amp;L - Monthly'!51:51)</f>
        <v>24000</v>
      </c>
      <c r="P46" s="17">
        <f>SUMIF('P&amp;L - Monthly'!$2:$2,'P&amp;L - Qtrly'!P$2,'P&amp;L - Monthly'!51:51)</f>
        <v>24000</v>
      </c>
      <c r="Q46" s="17">
        <f>SUMIF('P&amp;L - Monthly'!$2:$2,'P&amp;L - Qtrly'!Q$2,'P&amp;L - Monthly'!51:51)</f>
        <v>24000</v>
      </c>
      <c r="R46" s="17">
        <f>SUMIF('P&amp;L - Monthly'!$2:$2,'P&amp;L - Qtrly'!R$2,'P&amp;L - Monthly'!51:51)</f>
        <v>24000</v>
      </c>
      <c r="S46" s="17">
        <f>SUMIF('P&amp;L - Monthly'!$2:$2,'P&amp;L - Qtrly'!S$2,'P&amp;L - Monthly'!51:51)</f>
        <v>24000</v>
      </c>
      <c r="T46" s="17">
        <f>SUMIF('P&amp;L - Monthly'!$2:$2,'P&amp;L - Qtrly'!T$2,'P&amp;L - Monthly'!51:51)</f>
        <v>24000</v>
      </c>
      <c r="U46" s="17">
        <f>SUMIF('P&amp;L - Monthly'!$2:$2,'P&amp;L - Qtrly'!U$2,'P&amp;L - Monthly'!51:51)</f>
        <v>24000</v>
      </c>
      <c r="V46" s="17">
        <f>SUMIF('P&amp;L - Monthly'!$2:$2,'P&amp;L - Qtrly'!V$2,'P&amp;L - Monthly'!51:51)</f>
        <v>24000</v>
      </c>
      <c r="W46" s="579">
        <f>SUMIF('P&amp;L - Monthly'!$2:$2,'P&amp;L - Qtrly'!W$2,'P&amp;L - Monthly'!51:51)</f>
        <v>24000</v>
      </c>
      <c r="X46" s="579">
        <f>SUMIF('P&amp;L - Monthly'!$2:$2,'P&amp;L - Qtrly'!X$2,'P&amp;L - Monthly'!51:51)</f>
        <v>24000</v>
      </c>
      <c r="Y46" s="579">
        <f>SUMIF('P&amp;L - Monthly'!$2:$2,'P&amp;L - Qtrly'!Y$2,'P&amp;L - Monthly'!51:51)</f>
        <v>24000</v>
      </c>
      <c r="Z46" s="579">
        <f>SUMIF('P&amp;L - Monthly'!$2:$2,'P&amp;L - Qtrly'!Z$2,'P&amp;L - Monthly'!51:51)</f>
        <v>24000</v>
      </c>
      <c r="AA46" s="38"/>
      <c r="AB46" s="38"/>
      <c r="AC46" s="38"/>
      <c r="AD46" s="38"/>
      <c r="AE46" s="38"/>
      <c r="AF46" s="38"/>
      <c r="AG46" s="38"/>
      <c r="AH46" s="38"/>
    </row>
    <row r="47" spans="1:71" x14ac:dyDescent="0.35">
      <c r="B47" s="903" t="s">
        <v>22</v>
      </c>
      <c r="C47" s="17">
        <f>SUMIF('P&amp;L - Monthly'!$2:$2,'P&amp;L - Qtrly'!C$2,'P&amp;L - Monthly'!52:52)</f>
        <v>0</v>
      </c>
      <c r="D47" s="17">
        <f>SUMIF('P&amp;L - Monthly'!$2:$2,'P&amp;L - Qtrly'!D$2,'P&amp;L - Monthly'!52:52)</f>
        <v>0</v>
      </c>
      <c r="E47" s="17">
        <f>SUMIF('P&amp;L - Monthly'!$2:$2,'P&amp;L - Qtrly'!E$2,'P&amp;L - Monthly'!52:52)</f>
        <v>0</v>
      </c>
      <c r="F47" s="17">
        <f>SUMIF('P&amp;L - Monthly'!$2:$2,'P&amp;L - Qtrly'!F$2,'P&amp;L - Monthly'!52:52)</f>
        <v>0</v>
      </c>
      <c r="G47" s="17">
        <f>SUMIF('P&amp;L - Monthly'!$2:$2,'P&amp;L - Qtrly'!G$2,'P&amp;L - Monthly'!52:52)</f>
        <v>0</v>
      </c>
      <c r="H47" s="17">
        <f>SUMIF('P&amp;L - Monthly'!$2:$2,'P&amp;L - Qtrly'!H$2,'P&amp;L - Monthly'!52:52)</f>
        <v>0</v>
      </c>
      <c r="I47" s="17">
        <f>SUMIF('P&amp;L - Monthly'!$2:$2,'P&amp;L - Qtrly'!I$2,'P&amp;L - Monthly'!52:52)</f>
        <v>0</v>
      </c>
      <c r="J47" s="17">
        <f>SUMIF('P&amp;L - Monthly'!$2:$2,'P&amp;L - Qtrly'!J$2,'P&amp;L - Monthly'!52:52)</f>
        <v>0</v>
      </c>
      <c r="K47" s="17">
        <f>SUMIF('P&amp;L - Monthly'!$2:$2,'P&amp;L - Qtrly'!K$2,'P&amp;L - Monthly'!52:52)</f>
        <v>0</v>
      </c>
      <c r="L47" s="17">
        <f>SUMIF('P&amp;L - Monthly'!$2:$2,'P&amp;L - Qtrly'!L$2,'P&amp;L - Monthly'!52:52)</f>
        <v>0</v>
      </c>
      <c r="M47" s="17">
        <f>SUMIF('P&amp;L - Monthly'!$2:$2,'P&amp;L - Qtrly'!M$2,'P&amp;L - Monthly'!52:52)</f>
        <v>0</v>
      </c>
      <c r="N47" s="17">
        <f>SUMIF('P&amp;L - Monthly'!$2:$2,'P&amp;L - Qtrly'!N$2,'P&amp;L - Monthly'!52:52)</f>
        <v>0</v>
      </c>
      <c r="O47" s="17">
        <f>SUMIF('P&amp;L - Monthly'!$2:$2,'P&amp;L - Qtrly'!O$2,'P&amp;L - Monthly'!52:52)</f>
        <v>0</v>
      </c>
      <c r="P47" s="17">
        <f>SUMIF('P&amp;L - Monthly'!$2:$2,'P&amp;L - Qtrly'!P$2,'P&amp;L - Monthly'!52:52)</f>
        <v>0</v>
      </c>
      <c r="Q47" s="17">
        <f>SUMIF('P&amp;L - Monthly'!$2:$2,'P&amp;L - Qtrly'!Q$2,'P&amp;L - Monthly'!52:52)</f>
        <v>0</v>
      </c>
      <c r="R47" s="17">
        <f>SUMIF('P&amp;L - Monthly'!$2:$2,'P&amp;L - Qtrly'!R$2,'P&amp;L - Monthly'!52:52)</f>
        <v>0</v>
      </c>
      <c r="S47" s="17">
        <f>SUMIF('P&amp;L - Monthly'!$2:$2,'P&amp;L - Qtrly'!S$2,'P&amp;L - Monthly'!52:52)</f>
        <v>0</v>
      </c>
      <c r="T47" s="17">
        <f>SUMIF('P&amp;L - Monthly'!$2:$2,'P&amp;L - Qtrly'!T$2,'P&amp;L - Monthly'!52:52)</f>
        <v>0</v>
      </c>
      <c r="U47" s="17">
        <f>SUMIF('P&amp;L - Monthly'!$2:$2,'P&amp;L - Qtrly'!U$2,'P&amp;L - Monthly'!52:52)</f>
        <v>0</v>
      </c>
      <c r="V47" s="17">
        <f>SUMIF('P&amp;L - Monthly'!$2:$2,'P&amp;L - Qtrly'!V$2,'P&amp;L - Monthly'!52:52)</f>
        <v>0</v>
      </c>
      <c r="W47" s="579">
        <f>SUMIF('P&amp;L - Monthly'!$2:$2,'P&amp;L - Qtrly'!W$2,'P&amp;L - Monthly'!52:52)</f>
        <v>0</v>
      </c>
      <c r="X47" s="579">
        <f>SUMIF('P&amp;L - Monthly'!$2:$2,'P&amp;L - Qtrly'!X$2,'P&amp;L - Monthly'!52:52)</f>
        <v>0</v>
      </c>
      <c r="Y47" s="579">
        <f>SUMIF('P&amp;L - Monthly'!$2:$2,'P&amp;L - Qtrly'!Y$2,'P&amp;L - Monthly'!52:52)</f>
        <v>0</v>
      </c>
      <c r="Z47" s="579">
        <f>SUMIF('P&amp;L - Monthly'!$2:$2,'P&amp;L - Qtrly'!Z$2,'P&amp;L - Monthly'!52:52)</f>
        <v>0</v>
      </c>
      <c r="AA47" s="38"/>
      <c r="AB47" s="38"/>
      <c r="AC47" s="38"/>
      <c r="AD47" s="38"/>
      <c r="AE47" s="38"/>
      <c r="AF47" s="38"/>
      <c r="AG47" s="38"/>
      <c r="AH47" s="38"/>
    </row>
    <row r="48" spans="1:71" x14ac:dyDescent="0.35">
      <c r="B48" s="903" t="s">
        <v>23</v>
      </c>
      <c r="C48" s="17">
        <f>SUMIF('P&amp;L - Monthly'!$2:$2,'P&amp;L - Qtrly'!C$2,'P&amp;L - Monthly'!53:53)</f>
        <v>0</v>
      </c>
      <c r="D48" s="17">
        <f>SUMIF('P&amp;L - Monthly'!$2:$2,'P&amp;L - Qtrly'!D$2,'P&amp;L - Monthly'!53:53)</f>
        <v>0</v>
      </c>
      <c r="E48" s="17">
        <f>SUMIF('P&amp;L - Monthly'!$2:$2,'P&amp;L - Qtrly'!E$2,'P&amp;L - Monthly'!53:53)</f>
        <v>0</v>
      </c>
      <c r="F48" s="17">
        <f>SUMIF('P&amp;L - Monthly'!$2:$2,'P&amp;L - Qtrly'!F$2,'P&amp;L - Monthly'!53:53)</f>
        <v>0</v>
      </c>
      <c r="G48" s="17">
        <f>SUMIF('P&amp;L - Monthly'!$2:$2,'P&amp;L - Qtrly'!G$2,'P&amp;L - Monthly'!53:53)</f>
        <v>0</v>
      </c>
      <c r="H48" s="17">
        <f>SUMIF('P&amp;L - Monthly'!$2:$2,'P&amp;L - Qtrly'!H$2,'P&amp;L - Monthly'!53:53)</f>
        <v>0</v>
      </c>
      <c r="I48" s="17">
        <f>SUMIF('P&amp;L - Monthly'!$2:$2,'P&amp;L - Qtrly'!I$2,'P&amp;L - Monthly'!53:53)</f>
        <v>0</v>
      </c>
      <c r="J48" s="17">
        <f>SUMIF('P&amp;L - Monthly'!$2:$2,'P&amp;L - Qtrly'!J$2,'P&amp;L - Monthly'!53:53)</f>
        <v>0</v>
      </c>
      <c r="K48" s="17">
        <f>SUMIF('P&amp;L - Monthly'!$2:$2,'P&amp;L - Qtrly'!K$2,'P&amp;L - Monthly'!53:53)</f>
        <v>1500</v>
      </c>
      <c r="L48" s="17">
        <f>SUMIF('P&amp;L - Monthly'!$2:$2,'P&amp;L - Qtrly'!L$2,'P&amp;L - Monthly'!53:53)</f>
        <v>1500</v>
      </c>
      <c r="M48" s="17">
        <f>SUMIF('P&amp;L - Monthly'!$2:$2,'P&amp;L - Qtrly'!M$2,'P&amp;L - Monthly'!53:53)</f>
        <v>1500</v>
      </c>
      <c r="N48" s="17">
        <f>SUMIF('P&amp;L - Monthly'!$2:$2,'P&amp;L - Qtrly'!N$2,'P&amp;L - Monthly'!53:53)</f>
        <v>1500</v>
      </c>
      <c r="O48" s="17">
        <f>SUMIF('P&amp;L - Monthly'!$2:$2,'P&amp;L - Qtrly'!O$2,'P&amp;L - Monthly'!53:53)</f>
        <v>1500</v>
      </c>
      <c r="P48" s="17">
        <f>SUMIF('P&amp;L - Monthly'!$2:$2,'P&amp;L - Qtrly'!P$2,'P&amp;L - Monthly'!53:53)</f>
        <v>1500</v>
      </c>
      <c r="Q48" s="17">
        <f>SUMIF('P&amp;L - Monthly'!$2:$2,'P&amp;L - Qtrly'!Q$2,'P&amp;L - Monthly'!53:53)</f>
        <v>1500</v>
      </c>
      <c r="R48" s="17">
        <f>SUMIF('P&amp;L - Monthly'!$2:$2,'P&amp;L - Qtrly'!R$2,'P&amp;L - Monthly'!53:53)</f>
        <v>1500</v>
      </c>
      <c r="S48" s="17">
        <f>SUMIF('P&amp;L - Monthly'!$2:$2,'P&amp;L - Qtrly'!S$2,'P&amp;L - Monthly'!53:53)</f>
        <v>1500</v>
      </c>
      <c r="T48" s="17">
        <f>SUMIF('P&amp;L - Monthly'!$2:$2,'P&amp;L - Qtrly'!T$2,'P&amp;L - Monthly'!53:53)</f>
        <v>1500</v>
      </c>
      <c r="U48" s="17">
        <f>SUMIF('P&amp;L - Monthly'!$2:$2,'P&amp;L - Qtrly'!U$2,'P&amp;L - Monthly'!53:53)</f>
        <v>1500</v>
      </c>
      <c r="V48" s="17">
        <f>SUMIF('P&amp;L - Monthly'!$2:$2,'P&amp;L - Qtrly'!V$2,'P&amp;L - Monthly'!53:53)</f>
        <v>1500</v>
      </c>
      <c r="W48" s="579">
        <f>SUMIF('P&amp;L - Monthly'!$2:$2,'P&amp;L - Qtrly'!W$2,'P&amp;L - Monthly'!53:53)</f>
        <v>1500</v>
      </c>
      <c r="X48" s="579">
        <f>SUMIF('P&amp;L - Monthly'!$2:$2,'P&amp;L - Qtrly'!X$2,'P&amp;L - Monthly'!53:53)</f>
        <v>1500</v>
      </c>
      <c r="Y48" s="579">
        <f>SUMIF('P&amp;L - Monthly'!$2:$2,'P&amp;L - Qtrly'!Y$2,'P&amp;L - Monthly'!53:53)</f>
        <v>1500</v>
      </c>
      <c r="Z48" s="579">
        <f>SUMIF('P&amp;L - Monthly'!$2:$2,'P&amp;L - Qtrly'!Z$2,'P&amp;L - Monthly'!53:53)</f>
        <v>1500</v>
      </c>
      <c r="AA48" s="38"/>
      <c r="AB48" s="38"/>
      <c r="AC48" s="38"/>
      <c r="AD48" s="38"/>
      <c r="AE48" s="38"/>
      <c r="AF48" s="38"/>
      <c r="AG48" s="38"/>
      <c r="AH48" s="38"/>
    </row>
    <row r="49" spans="1:72" x14ac:dyDescent="0.35">
      <c r="B49" s="903" t="s">
        <v>24</v>
      </c>
      <c r="C49" s="17">
        <f>SUMIF('P&amp;L - Monthly'!$2:$2,'P&amp;L - Qtrly'!C$2,'P&amp;L - Monthly'!54:54)</f>
        <v>0</v>
      </c>
      <c r="D49" s="17">
        <f>SUMIF('P&amp;L - Monthly'!$2:$2,'P&amp;L - Qtrly'!D$2,'P&amp;L - Monthly'!54:54)</f>
        <v>0</v>
      </c>
      <c r="E49" s="17">
        <f>SUMIF('P&amp;L - Monthly'!$2:$2,'P&amp;L - Qtrly'!E$2,'P&amp;L - Monthly'!54:54)</f>
        <v>0</v>
      </c>
      <c r="F49" s="17">
        <f>SUMIF('P&amp;L - Monthly'!$2:$2,'P&amp;L - Qtrly'!F$2,'P&amp;L - Monthly'!54:54)</f>
        <v>0</v>
      </c>
      <c r="G49" s="17">
        <f>SUMIF('P&amp;L - Monthly'!$2:$2,'P&amp;L - Qtrly'!G$2,'P&amp;L - Monthly'!54:54)</f>
        <v>0</v>
      </c>
      <c r="H49" s="17">
        <f>SUMIF('P&amp;L - Monthly'!$2:$2,'P&amp;L - Qtrly'!H$2,'P&amp;L - Monthly'!54:54)</f>
        <v>0</v>
      </c>
      <c r="I49" s="17">
        <f>SUMIF('P&amp;L - Monthly'!$2:$2,'P&amp;L - Qtrly'!I$2,'P&amp;L - Monthly'!54:54)</f>
        <v>0</v>
      </c>
      <c r="J49" s="17">
        <f>SUMIF('P&amp;L - Monthly'!$2:$2,'P&amp;L - Qtrly'!J$2,'P&amp;L - Monthly'!54:54)</f>
        <v>0</v>
      </c>
      <c r="K49" s="17">
        <f>SUMIF('P&amp;L - Monthly'!$2:$2,'P&amp;L - Qtrly'!K$2,'P&amp;L - Monthly'!54:54)</f>
        <v>0</v>
      </c>
      <c r="L49" s="17">
        <f>SUMIF('P&amp;L - Monthly'!$2:$2,'P&amp;L - Qtrly'!L$2,'P&amp;L - Monthly'!54:54)</f>
        <v>0</v>
      </c>
      <c r="M49" s="17">
        <f>SUMIF('P&amp;L - Monthly'!$2:$2,'P&amp;L - Qtrly'!M$2,'P&amp;L - Monthly'!54:54)</f>
        <v>0</v>
      </c>
      <c r="N49" s="17">
        <f>SUMIF('P&amp;L - Monthly'!$2:$2,'P&amp;L - Qtrly'!N$2,'P&amp;L - Monthly'!54:54)</f>
        <v>0</v>
      </c>
      <c r="O49" s="17">
        <f>SUMIF('P&amp;L - Monthly'!$2:$2,'P&amp;L - Qtrly'!O$2,'P&amp;L - Monthly'!54:54)</f>
        <v>0</v>
      </c>
      <c r="P49" s="17">
        <f>SUMIF('P&amp;L - Monthly'!$2:$2,'P&amp;L - Qtrly'!P$2,'P&amp;L - Monthly'!54:54)</f>
        <v>0</v>
      </c>
      <c r="Q49" s="17">
        <f>SUMIF('P&amp;L - Monthly'!$2:$2,'P&amp;L - Qtrly'!Q$2,'P&amp;L - Monthly'!54:54)</f>
        <v>0</v>
      </c>
      <c r="R49" s="17">
        <f>SUMIF('P&amp;L - Monthly'!$2:$2,'P&amp;L - Qtrly'!R$2,'P&amp;L - Monthly'!54:54)</f>
        <v>0</v>
      </c>
      <c r="S49" s="17">
        <f>SUMIF('P&amp;L - Monthly'!$2:$2,'P&amp;L - Qtrly'!S$2,'P&amp;L - Monthly'!54:54)</f>
        <v>0</v>
      </c>
      <c r="T49" s="17">
        <f>SUMIF('P&amp;L - Monthly'!$2:$2,'P&amp;L - Qtrly'!T$2,'P&amp;L - Monthly'!54:54)</f>
        <v>0</v>
      </c>
      <c r="U49" s="17">
        <f>SUMIF('P&amp;L - Monthly'!$2:$2,'P&amp;L - Qtrly'!U$2,'P&amp;L - Monthly'!54:54)</f>
        <v>0</v>
      </c>
      <c r="V49" s="17">
        <f>SUMIF('P&amp;L - Monthly'!$2:$2,'P&amp;L - Qtrly'!V$2,'P&amp;L - Monthly'!54:54)</f>
        <v>0</v>
      </c>
      <c r="W49" s="579">
        <f>SUMIF('P&amp;L - Monthly'!$2:$2,'P&amp;L - Qtrly'!W$2,'P&amp;L - Monthly'!54:54)</f>
        <v>0</v>
      </c>
      <c r="X49" s="579">
        <f>SUMIF('P&amp;L - Monthly'!$2:$2,'P&amp;L - Qtrly'!X$2,'P&amp;L - Monthly'!54:54)</f>
        <v>0</v>
      </c>
      <c r="Y49" s="579">
        <f>SUMIF('P&amp;L - Monthly'!$2:$2,'P&amp;L - Qtrly'!Y$2,'P&amp;L - Monthly'!54:54)</f>
        <v>0</v>
      </c>
      <c r="Z49" s="579">
        <f>SUMIF('P&amp;L - Monthly'!$2:$2,'P&amp;L - Qtrly'!Z$2,'P&amp;L - Monthly'!54:54)</f>
        <v>0</v>
      </c>
      <c r="AA49" s="38"/>
      <c r="AB49" s="38"/>
      <c r="AC49" s="38"/>
      <c r="AD49" s="38"/>
      <c r="AE49" s="38"/>
      <c r="AF49" s="38"/>
      <c r="AG49" s="38"/>
      <c r="AH49" s="38"/>
    </row>
    <row r="50" spans="1:72" x14ac:dyDescent="0.35">
      <c r="B50" s="903" t="s">
        <v>25</v>
      </c>
      <c r="C50" s="17">
        <f>SUMIF('P&amp;L - Monthly'!$2:$2,'P&amp;L - Qtrly'!C$2,'P&amp;L - Monthly'!55:55)</f>
        <v>0</v>
      </c>
      <c r="D50" s="17">
        <f>SUMIF('P&amp;L - Monthly'!$2:$2,'P&amp;L - Qtrly'!D$2,'P&amp;L - Monthly'!55:55)</f>
        <v>0</v>
      </c>
      <c r="E50" s="17">
        <f>SUMIF('P&amp;L - Monthly'!$2:$2,'P&amp;L - Qtrly'!E$2,'P&amp;L - Monthly'!55:55)</f>
        <v>0</v>
      </c>
      <c r="F50" s="17">
        <f>SUMIF('P&amp;L - Monthly'!$2:$2,'P&amp;L - Qtrly'!F$2,'P&amp;L - Monthly'!55:55)</f>
        <v>0</v>
      </c>
      <c r="G50" s="17">
        <f>SUMIF('P&amp;L - Monthly'!$2:$2,'P&amp;L - Qtrly'!G$2,'P&amp;L - Monthly'!55:55)</f>
        <v>0</v>
      </c>
      <c r="H50" s="17">
        <f>SUMIF('P&amp;L - Monthly'!$2:$2,'P&amp;L - Qtrly'!H$2,'P&amp;L - Monthly'!55:55)</f>
        <v>0</v>
      </c>
      <c r="I50" s="17">
        <f>SUMIF('P&amp;L - Monthly'!$2:$2,'P&amp;L - Qtrly'!I$2,'P&amp;L - Monthly'!55:55)</f>
        <v>0</v>
      </c>
      <c r="J50" s="17">
        <f>SUMIF('P&amp;L - Monthly'!$2:$2,'P&amp;L - Qtrly'!J$2,'P&amp;L - Monthly'!55:55)</f>
        <v>0</v>
      </c>
      <c r="K50" s="17">
        <f>SUMIF('P&amp;L - Monthly'!$2:$2,'P&amp;L - Qtrly'!K$2,'P&amp;L - Monthly'!55:55)</f>
        <v>60000</v>
      </c>
      <c r="L50" s="17">
        <f>SUMIF('P&amp;L - Monthly'!$2:$2,'P&amp;L - Qtrly'!L$2,'P&amp;L - Monthly'!55:55)</f>
        <v>60000</v>
      </c>
      <c r="M50" s="17">
        <f>SUMIF('P&amp;L - Monthly'!$2:$2,'P&amp;L - Qtrly'!M$2,'P&amp;L - Monthly'!55:55)</f>
        <v>60000</v>
      </c>
      <c r="N50" s="17">
        <f>SUMIF('P&amp;L - Monthly'!$2:$2,'P&amp;L - Qtrly'!N$2,'P&amp;L - Monthly'!55:55)</f>
        <v>60000</v>
      </c>
      <c r="O50" s="17">
        <f>SUMIF('P&amp;L - Monthly'!$2:$2,'P&amp;L - Qtrly'!O$2,'P&amp;L - Monthly'!55:55)</f>
        <v>30000</v>
      </c>
      <c r="P50" s="17">
        <f>SUMIF('P&amp;L - Monthly'!$2:$2,'P&amp;L - Qtrly'!P$2,'P&amp;L - Monthly'!55:55)</f>
        <v>30000</v>
      </c>
      <c r="Q50" s="17">
        <f>SUMIF('P&amp;L - Monthly'!$2:$2,'P&amp;L - Qtrly'!Q$2,'P&amp;L - Monthly'!55:55)</f>
        <v>30000</v>
      </c>
      <c r="R50" s="17">
        <f>SUMIF('P&amp;L - Monthly'!$2:$2,'P&amp;L - Qtrly'!R$2,'P&amp;L - Monthly'!55:55)</f>
        <v>30000</v>
      </c>
      <c r="S50" s="17">
        <f>SUMIF('P&amp;L - Monthly'!$2:$2,'P&amp;L - Qtrly'!S$2,'P&amp;L - Monthly'!55:55)</f>
        <v>30000</v>
      </c>
      <c r="T50" s="17">
        <f>SUMIF('P&amp;L - Monthly'!$2:$2,'P&amp;L - Qtrly'!T$2,'P&amp;L - Monthly'!55:55)</f>
        <v>30000</v>
      </c>
      <c r="U50" s="17">
        <f>SUMIF('P&amp;L - Monthly'!$2:$2,'P&amp;L - Qtrly'!U$2,'P&amp;L - Monthly'!55:55)</f>
        <v>30000</v>
      </c>
      <c r="V50" s="17">
        <f>SUMIF('P&amp;L - Monthly'!$2:$2,'P&amp;L - Qtrly'!V$2,'P&amp;L - Monthly'!55:55)</f>
        <v>30000</v>
      </c>
      <c r="W50" s="579">
        <f>SUMIF('P&amp;L - Monthly'!$2:$2,'P&amp;L - Qtrly'!W$2,'P&amp;L - Monthly'!55:55)</f>
        <v>30000</v>
      </c>
      <c r="X50" s="579">
        <f>SUMIF('P&amp;L - Monthly'!$2:$2,'P&amp;L - Qtrly'!X$2,'P&amp;L - Monthly'!55:55)</f>
        <v>30000</v>
      </c>
      <c r="Y50" s="579">
        <f>SUMIF('P&amp;L - Monthly'!$2:$2,'P&amp;L - Qtrly'!Y$2,'P&amp;L - Monthly'!55:55)</f>
        <v>30000</v>
      </c>
      <c r="Z50" s="579">
        <f>SUMIF('P&amp;L - Monthly'!$2:$2,'P&amp;L - Qtrly'!Z$2,'P&amp;L - Monthly'!55:55)</f>
        <v>30000</v>
      </c>
      <c r="AA50" s="38"/>
      <c r="AB50" s="38"/>
      <c r="AC50" s="38"/>
      <c r="AD50" s="38"/>
      <c r="AE50" s="38"/>
      <c r="AF50" s="38"/>
      <c r="AG50" s="38"/>
      <c r="AH50" s="38"/>
    </row>
    <row r="51" spans="1:72" x14ac:dyDescent="0.35">
      <c r="B51" s="903" t="s">
        <v>26</v>
      </c>
      <c r="C51" s="17">
        <f>SUMIF('P&amp;L - Monthly'!$2:$2,'P&amp;L - Qtrly'!C$2,'P&amp;L - Monthly'!56:56)</f>
        <v>0</v>
      </c>
      <c r="D51" s="17">
        <f>SUMIF('P&amp;L - Monthly'!$2:$2,'P&amp;L - Qtrly'!D$2,'P&amp;L - Monthly'!56:56)</f>
        <v>0</v>
      </c>
      <c r="E51" s="17">
        <f>SUMIF('P&amp;L - Monthly'!$2:$2,'P&amp;L - Qtrly'!E$2,'P&amp;L - Monthly'!56:56)</f>
        <v>0</v>
      </c>
      <c r="F51" s="17">
        <f>SUMIF('P&amp;L - Monthly'!$2:$2,'P&amp;L - Qtrly'!F$2,'P&amp;L - Monthly'!56:56)</f>
        <v>0</v>
      </c>
      <c r="G51" s="17">
        <f>SUMIF('P&amp;L - Monthly'!$2:$2,'P&amp;L - Qtrly'!G$2,'P&amp;L - Monthly'!56:56)</f>
        <v>0</v>
      </c>
      <c r="H51" s="17">
        <f>SUMIF('P&amp;L - Monthly'!$2:$2,'P&amp;L - Qtrly'!H$2,'P&amp;L - Monthly'!56:56)</f>
        <v>0</v>
      </c>
      <c r="I51" s="17">
        <f>SUMIF('P&amp;L - Monthly'!$2:$2,'P&amp;L - Qtrly'!I$2,'P&amp;L - Monthly'!56:56)</f>
        <v>0</v>
      </c>
      <c r="J51" s="17">
        <f>SUMIF('P&amp;L - Monthly'!$2:$2,'P&amp;L - Qtrly'!J$2,'P&amp;L - Monthly'!56:56)</f>
        <v>0</v>
      </c>
      <c r="K51" s="17">
        <f>SUMIF('P&amp;L - Monthly'!$2:$2,'P&amp;L - Qtrly'!K$2,'P&amp;L - Monthly'!56:56)</f>
        <v>18315</v>
      </c>
      <c r="L51" s="17">
        <f>SUMIF('P&amp;L - Monthly'!$2:$2,'P&amp;L - Qtrly'!L$2,'P&amp;L - Monthly'!56:56)</f>
        <v>18315</v>
      </c>
      <c r="M51" s="17">
        <f>SUMIF('P&amp;L - Monthly'!$2:$2,'P&amp;L - Qtrly'!M$2,'P&amp;L - Monthly'!56:56)</f>
        <v>18315</v>
      </c>
      <c r="N51" s="17">
        <f>SUMIF('P&amp;L - Monthly'!$2:$2,'P&amp;L - Qtrly'!N$2,'P&amp;L - Monthly'!56:56)</f>
        <v>18315</v>
      </c>
      <c r="O51" s="17">
        <f>SUMIF('P&amp;L - Monthly'!$2:$2,'P&amp;L - Qtrly'!O$2,'P&amp;L - Monthly'!56:56)</f>
        <v>18315</v>
      </c>
      <c r="P51" s="17">
        <f>SUMIF('P&amp;L - Monthly'!$2:$2,'P&amp;L - Qtrly'!P$2,'P&amp;L - Monthly'!56:56)</f>
        <v>18315</v>
      </c>
      <c r="Q51" s="17">
        <f>SUMIF('P&amp;L - Monthly'!$2:$2,'P&amp;L - Qtrly'!Q$2,'P&amp;L - Monthly'!56:56)</f>
        <v>18315</v>
      </c>
      <c r="R51" s="17">
        <f>SUMIF('P&amp;L - Monthly'!$2:$2,'P&amp;L - Qtrly'!R$2,'P&amp;L - Monthly'!56:56)</f>
        <v>18315</v>
      </c>
      <c r="S51" s="17">
        <f>SUMIF('P&amp;L - Monthly'!$2:$2,'P&amp;L - Qtrly'!S$2,'P&amp;L - Monthly'!56:56)</f>
        <v>18315</v>
      </c>
      <c r="T51" s="17">
        <f>SUMIF('P&amp;L - Monthly'!$2:$2,'P&amp;L - Qtrly'!T$2,'P&amp;L - Monthly'!56:56)</f>
        <v>18315</v>
      </c>
      <c r="U51" s="17">
        <f>SUMIF('P&amp;L - Monthly'!$2:$2,'P&amp;L - Qtrly'!U$2,'P&amp;L - Monthly'!56:56)</f>
        <v>18315</v>
      </c>
      <c r="V51" s="17">
        <f>SUMIF('P&amp;L - Monthly'!$2:$2,'P&amp;L - Qtrly'!V$2,'P&amp;L - Monthly'!56:56)</f>
        <v>18315</v>
      </c>
      <c r="W51" s="579">
        <f>SUMIF('P&amp;L - Monthly'!$2:$2,'P&amp;L - Qtrly'!W$2,'P&amp;L - Monthly'!56:56)</f>
        <v>18315</v>
      </c>
      <c r="X51" s="579">
        <f>SUMIF('P&amp;L - Monthly'!$2:$2,'P&amp;L - Qtrly'!X$2,'P&amp;L - Monthly'!56:56)</f>
        <v>18315</v>
      </c>
      <c r="Y51" s="579">
        <f>SUMIF('P&amp;L - Monthly'!$2:$2,'P&amp;L - Qtrly'!Y$2,'P&amp;L - Monthly'!56:56)</f>
        <v>18315</v>
      </c>
      <c r="Z51" s="579">
        <f>SUMIF('P&amp;L - Monthly'!$2:$2,'P&amp;L - Qtrly'!Z$2,'P&amp;L - Monthly'!56:56)</f>
        <v>18315</v>
      </c>
      <c r="AA51" s="38"/>
      <c r="AB51" s="38"/>
      <c r="AC51" s="38"/>
      <c r="AD51" s="38"/>
      <c r="AE51" s="38"/>
      <c r="AF51" s="38"/>
      <c r="AG51" s="38"/>
      <c r="AH51" s="38"/>
    </row>
    <row r="52" spans="1:72" x14ac:dyDescent="0.35">
      <c r="B52" s="903" t="s">
        <v>27</v>
      </c>
      <c r="C52" s="17">
        <f>SUMIF('P&amp;L - Monthly'!$2:$2,'P&amp;L - Qtrly'!C$2,'P&amp;L - Monthly'!57:57)</f>
        <v>0</v>
      </c>
      <c r="D52" s="17">
        <f>SUMIF('P&amp;L - Monthly'!$2:$2,'P&amp;L - Qtrly'!D$2,'P&amp;L - Monthly'!57:57)</f>
        <v>0</v>
      </c>
      <c r="E52" s="17">
        <f>SUMIF('P&amp;L - Monthly'!$2:$2,'P&amp;L - Qtrly'!E$2,'P&amp;L - Monthly'!57:57)</f>
        <v>0</v>
      </c>
      <c r="F52" s="17">
        <f>SUMIF('P&amp;L - Monthly'!$2:$2,'P&amp;L - Qtrly'!F$2,'P&amp;L - Monthly'!57:57)</f>
        <v>0</v>
      </c>
      <c r="G52" s="17">
        <f>SUMIF('P&amp;L - Monthly'!$2:$2,'P&amp;L - Qtrly'!G$2,'P&amp;L - Monthly'!57:57)</f>
        <v>0</v>
      </c>
      <c r="H52" s="17">
        <f>SUMIF('P&amp;L - Monthly'!$2:$2,'P&amp;L - Qtrly'!H$2,'P&amp;L - Monthly'!57:57)</f>
        <v>0</v>
      </c>
      <c r="I52" s="17">
        <f>SUMIF('P&amp;L - Monthly'!$2:$2,'P&amp;L - Qtrly'!I$2,'P&amp;L - Monthly'!57:57)</f>
        <v>0</v>
      </c>
      <c r="J52" s="17">
        <f>SUMIF('P&amp;L - Monthly'!$2:$2,'P&amp;L - Qtrly'!J$2,'P&amp;L - Monthly'!57:57)</f>
        <v>0</v>
      </c>
      <c r="K52" s="17">
        <f>SUMIF('P&amp;L - Monthly'!$2:$2,'P&amp;L - Qtrly'!K$2,'P&amp;L - Monthly'!57:57)</f>
        <v>9300</v>
      </c>
      <c r="L52" s="17">
        <f>SUMIF('P&amp;L - Monthly'!$2:$2,'P&amp;L - Qtrly'!L$2,'P&amp;L - Monthly'!57:57)</f>
        <v>9300</v>
      </c>
      <c r="M52" s="17">
        <f>SUMIF('P&amp;L - Monthly'!$2:$2,'P&amp;L - Qtrly'!M$2,'P&amp;L - Monthly'!57:57)</f>
        <v>9300</v>
      </c>
      <c r="N52" s="17">
        <f>SUMIF('P&amp;L - Monthly'!$2:$2,'P&amp;L - Qtrly'!N$2,'P&amp;L - Monthly'!57:57)</f>
        <v>9300</v>
      </c>
      <c r="O52" s="17">
        <f>SUMIF('P&amp;L - Monthly'!$2:$2,'P&amp;L - Qtrly'!O$2,'P&amp;L - Monthly'!57:57)</f>
        <v>9300</v>
      </c>
      <c r="P52" s="17">
        <f>SUMIF('P&amp;L - Monthly'!$2:$2,'P&amp;L - Qtrly'!P$2,'P&amp;L - Monthly'!57:57)</f>
        <v>9300</v>
      </c>
      <c r="Q52" s="17">
        <f>SUMIF('P&amp;L - Monthly'!$2:$2,'P&amp;L - Qtrly'!Q$2,'P&amp;L - Monthly'!57:57)</f>
        <v>9300</v>
      </c>
      <c r="R52" s="17">
        <f>SUMIF('P&amp;L - Monthly'!$2:$2,'P&amp;L - Qtrly'!R$2,'P&amp;L - Monthly'!57:57)</f>
        <v>9300</v>
      </c>
      <c r="S52" s="17">
        <f>SUMIF('P&amp;L - Monthly'!$2:$2,'P&amp;L - Qtrly'!S$2,'P&amp;L - Monthly'!57:57)</f>
        <v>9300</v>
      </c>
      <c r="T52" s="17">
        <f>SUMIF('P&amp;L - Monthly'!$2:$2,'P&amp;L - Qtrly'!T$2,'P&amp;L - Monthly'!57:57)</f>
        <v>9300</v>
      </c>
      <c r="U52" s="17">
        <f>SUMIF('P&amp;L - Monthly'!$2:$2,'P&amp;L - Qtrly'!U$2,'P&amp;L - Monthly'!57:57)</f>
        <v>9300</v>
      </c>
      <c r="V52" s="17">
        <f>SUMIF('P&amp;L - Monthly'!$2:$2,'P&amp;L - Qtrly'!V$2,'P&amp;L - Monthly'!57:57)</f>
        <v>9300</v>
      </c>
      <c r="W52" s="579">
        <f>SUMIF('P&amp;L - Monthly'!$2:$2,'P&amp;L - Qtrly'!W$2,'P&amp;L - Monthly'!57:57)</f>
        <v>9300</v>
      </c>
      <c r="X52" s="579">
        <f>SUMIF('P&amp;L - Monthly'!$2:$2,'P&amp;L - Qtrly'!X$2,'P&amp;L - Monthly'!57:57)</f>
        <v>9300</v>
      </c>
      <c r="Y52" s="579">
        <f>SUMIF('P&amp;L - Monthly'!$2:$2,'P&amp;L - Qtrly'!Y$2,'P&amp;L - Monthly'!57:57)</f>
        <v>9300</v>
      </c>
      <c r="Z52" s="579">
        <f>SUMIF('P&amp;L - Monthly'!$2:$2,'P&amp;L - Qtrly'!Z$2,'P&amp;L - Monthly'!57:57)</f>
        <v>9300</v>
      </c>
      <c r="AA52" s="38"/>
      <c r="AB52" s="38"/>
      <c r="AC52" s="38"/>
      <c r="AD52" s="38"/>
      <c r="AE52" s="38"/>
      <c r="AF52" s="38"/>
      <c r="AG52" s="38"/>
      <c r="AH52" s="38"/>
    </row>
    <row r="53" spans="1:72" x14ac:dyDescent="0.35">
      <c r="B53" s="1016" t="s">
        <v>28</v>
      </c>
      <c r="C53" s="17">
        <f>SUMIF('P&amp;L - Monthly'!$2:$2,'P&amp;L - Qtrly'!C$2,'P&amp;L - Monthly'!58:58)</f>
        <v>0</v>
      </c>
      <c r="D53" s="17">
        <f>SUMIF('P&amp;L - Monthly'!$2:$2,'P&amp;L - Qtrly'!D$2,'P&amp;L - Monthly'!58:58)</f>
        <v>0</v>
      </c>
      <c r="E53" s="17">
        <f>SUMIF('P&amp;L - Monthly'!$2:$2,'P&amp;L - Qtrly'!E$2,'P&amp;L - Monthly'!58:58)</f>
        <v>0</v>
      </c>
      <c r="F53" s="17">
        <f>SUMIF('P&amp;L - Monthly'!$2:$2,'P&amp;L - Qtrly'!F$2,'P&amp;L - Monthly'!58:58)</f>
        <v>0</v>
      </c>
      <c r="G53" s="17">
        <f>SUMIF('P&amp;L - Monthly'!$2:$2,'P&amp;L - Qtrly'!G$2,'P&amp;L - Monthly'!58:58)</f>
        <v>0</v>
      </c>
      <c r="H53" s="17">
        <f>SUMIF('P&amp;L - Monthly'!$2:$2,'P&amp;L - Qtrly'!H$2,'P&amp;L - Monthly'!58:58)</f>
        <v>0</v>
      </c>
      <c r="I53" s="17">
        <f>SUMIF('P&amp;L - Monthly'!$2:$2,'P&amp;L - Qtrly'!I$2,'P&amp;L - Monthly'!58:58)</f>
        <v>0</v>
      </c>
      <c r="J53" s="17">
        <f>SUMIF('P&amp;L - Monthly'!$2:$2,'P&amp;L - Qtrly'!J$2,'P&amp;L - Monthly'!58:58)</f>
        <v>0</v>
      </c>
      <c r="K53" s="17">
        <f>SUMIF('P&amp;L - Monthly'!$2:$2,'P&amp;L - Qtrly'!K$2,'P&amp;L - Monthly'!58:58)</f>
        <v>3000</v>
      </c>
      <c r="L53" s="17">
        <f>SUMIF('P&amp;L - Monthly'!$2:$2,'P&amp;L - Qtrly'!L$2,'P&amp;L - Monthly'!58:58)</f>
        <v>3000</v>
      </c>
      <c r="M53" s="17">
        <f>SUMIF('P&amp;L - Monthly'!$2:$2,'P&amp;L - Qtrly'!M$2,'P&amp;L - Monthly'!58:58)</f>
        <v>3000</v>
      </c>
      <c r="N53" s="17">
        <f>SUMIF('P&amp;L - Monthly'!$2:$2,'P&amp;L - Qtrly'!N$2,'P&amp;L - Monthly'!58:58)</f>
        <v>3000</v>
      </c>
      <c r="O53" s="17">
        <f>SUMIF('P&amp;L - Monthly'!$2:$2,'P&amp;L - Qtrly'!O$2,'P&amp;L - Monthly'!58:58)</f>
        <v>3000</v>
      </c>
      <c r="P53" s="17">
        <f>SUMIF('P&amp;L - Monthly'!$2:$2,'P&amp;L - Qtrly'!P$2,'P&amp;L - Monthly'!58:58)</f>
        <v>3000</v>
      </c>
      <c r="Q53" s="17">
        <f>SUMIF('P&amp;L - Monthly'!$2:$2,'P&amp;L - Qtrly'!Q$2,'P&amp;L - Monthly'!58:58)</f>
        <v>3000</v>
      </c>
      <c r="R53" s="17">
        <f>SUMIF('P&amp;L - Monthly'!$2:$2,'P&amp;L - Qtrly'!R$2,'P&amp;L - Monthly'!58:58)</f>
        <v>3000</v>
      </c>
      <c r="S53" s="17">
        <f>SUMIF('P&amp;L - Monthly'!$2:$2,'P&amp;L - Qtrly'!S$2,'P&amp;L - Monthly'!58:58)</f>
        <v>3000</v>
      </c>
      <c r="T53" s="17">
        <f>SUMIF('P&amp;L - Monthly'!$2:$2,'P&amp;L - Qtrly'!T$2,'P&amp;L - Monthly'!58:58)</f>
        <v>3000</v>
      </c>
      <c r="U53" s="17">
        <f>SUMIF('P&amp;L - Monthly'!$2:$2,'P&amp;L - Qtrly'!U$2,'P&amp;L - Monthly'!58:58)</f>
        <v>3000</v>
      </c>
      <c r="V53" s="17">
        <f>SUMIF('P&amp;L - Monthly'!$2:$2,'P&amp;L - Qtrly'!V$2,'P&amp;L - Monthly'!58:58)</f>
        <v>3000</v>
      </c>
      <c r="W53" s="579">
        <f>SUMIF('P&amp;L - Monthly'!$2:$2,'P&amp;L - Qtrly'!W$2,'P&amp;L - Monthly'!58:58)</f>
        <v>3000</v>
      </c>
      <c r="X53" s="579">
        <f>SUMIF('P&amp;L - Monthly'!$2:$2,'P&amp;L - Qtrly'!X$2,'P&amp;L - Monthly'!58:58)</f>
        <v>3000</v>
      </c>
      <c r="Y53" s="579">
        <f>SUMIF('P&amp;L - Monthly'!$2:$2,'P&amp;L - Qtrly'!Y$2,'P&amp;L - Monthly'!58:58)</f>
        <v>3000</v>
      </c>
      <c r="Z53" s="579">
        <f>SUMIF('P&amp;L - Monthly'!$2:$2,'P&amp;L - Qtrly'!Z$2,'P&amp;L - Monthly'!58:58)</f>
        <v>3000</v>
      </c>
      <c r="AA53" s="38"/>
      <c r="AB53" s="38"/>
      <c r="AC53" s="38"/>
      <c r="AD53" s="38"/>
      <c r="AE53" s="38"/>
      <c r="AF53" s="38"/>
      <c r="AG53" s="38"/>
      <c r="AH53" s="38"/>
    </row>
    <row r="54" spans="1:72" x14ac:dyDescent="0.35">
      <c r="B54" s="903" t="s">
        <v>48</v>
      </c>
      <c r="C54" s="17">
        <f>SUMIF('P&amp;L - Monthly'!$2:$2,'P&amp;L - Qtrly'!C$2,'P&amp;L - Monthly'!59:59)</f>
        <v>0</v>
      </c>
      <c r="D54" s="17">
        <f>SUMIF('P&amp;L - Monthly'!$2:$2,'P&amp;L - Qtrly'!D$2,'P&amp;L - Monthly'!59:59)</f>
        <v>0</v>
      </c>
      <c r="E54" s="17">
        <f>SUMIF('P&amp;L - Monthly'!$2:$2,'P&amp;L - Qtrly'!E$2,'P&amp;L - Monthly'!59:59)</f>
        <v>0</v>
      </c>
      <c r="F54" s="17">
        <f>SUMIF('P&amp;L - Monthly'!$2:$2,'P&amp;L - Qtrly'!F$2,'P&amp;L - Monthly'!59:59)</f>
        <v>0</v>
      </c>
      <c r="G54" s="17">
        <f>SUMIF('P&amp;L - Monthly'!$2:$2,'P&amp;L - Qtrly'!G$2,'P&amp;L - Monthly'!59:59)</f>
        <v>0</v>
      </c>
      <c r="H54" s="17">
        <f>SUMIF('P&amp;L - Monthly'!$2:$2,'P&amp;L - Qtrly'!H$2,'P&amp;L - Monthly'!59:59)</f>
        <v>0</v>
      </c>
      <c r="I54" s="17">
        <f>SUMIF('P&amp;L - Monthly'!$2:$2,'P&amp;L - Qtrly'!I$2,'P&amp;L - Monthly'!59:59)</f>
        <v>0</v>
      </c>
      <c r="J54" s="17">
        <f>SUMIF('P&amp;L - Monthly'!$2:$2,'P&amp;L - Qtrly'!J$2,'P&amp;L - Monthly'!59:59)</f>
        <v>0</v>
      </c>
      <c r="K54" s="17">
        <f>SUMIF('P&amp;L - Monthly'!$2:$2,'P&amp;L - Qtrly'!K$2,'P&amp;L - Monthly'!59:59)</f>
        <v>120000</v>
      </c>
      <c r="L54" s="17">
        <f>SUMIF('P&amp;L - Monthly'!$2:$2,'P&amp;L - Qtrly'!L$2,'P&amp;L - Monthly'!59:59)</f>
        <v>120000</v>
      </c>
      <c r="M54" s="17">
        <f>SUMIF('P&amp;L - Monthly'!$2:$2,'P&amp;L - Qtrly'!M$2,'P&amp;L - Monthly'!59:59)</f>
        <v>120000</v>
      </c>
      <c r="N54" s="17">
        <f>SUMIF('P&amp;L - Monthly'!$2:$2,'P&amp;L - Qtrly'!N$2,'P&amp;L - Monthly'!59:59)</f>
        <v>120000</v>
      </c>
      <c r="O54" s="17">
        <f>SUMIF('P&amp;L - Monthly'!$2:$2,'P&amp;L - Qtrly'!O$2,'P&amp;L - Monthly'!59:59)</f>
        <v>90000</v>
      </c>
      <c r="P54" s="17">
        <f>SUMIF('P&amp;L - Monthly'!$2:$2,'P&amp;L - Qtrly'!P$2,'P&amp;L - Monthly'!59:59)</f>
        <v>90000</v>
      </c>
      <c r="Q54" s="17">
        <f>SUMIF('P&amp;L - Monthly'!$2:$2,'P&amp;L - Qtrly'!Q$2,'P&amp;L - Monthly'!59:59)</f>
        <v>90000</v>
      </c>
      <c r="R54" s="17">
        <f>SUMIF('P&amp;L - Monthly'!$2:$2,'P&amp;L - Qtrly'!R$2,'P&amp;L - Monthly'!59:59)</f>
        <v>90000</v>
      </c>
      <c r="S54" s="17">
        <f>SUMIF('P&amp;L - Monthly'!$2:$2,'P&amp;L - Qtrly'!S$2,'P&amp;L - Monthly'!59:59)</f>
        <v>90000</v>
      </c>
      <c r="T54" s="17">
        <f>SUMIF('P&amp;L - Monthly'!$2:$2,'P&amp;L - Qtrly'!T$2,'P&amp;L - Monthly'!59:59)</f>
        <v>90000</v>
      </c>
      <c r="U54" s="17">
        <f>SUMIF('P&amp;L - Monthly'!$2:$2,'P&amp;L - Qtrly'!U$2,'P&amp;L - Monthly'!59:59)</f>
        <v>90000</v>
      </c>
      <c r="V54" s="17">
        <f>SUMIF('P&amp;L - Monthly'!$2:$2,'P&amp;L - Qtrly'!V$2,'P&amp;L - Monthly'!59:59)</f>
        <v>90000</v>
      </c>
      <c r="W54" s="579">
        <f>SUMIF('P&amp;L - Monthly'!$2:$2,'P&amp;L - Qtrly'!W$2,'P&amp;L - Monthly'!59:59)</f>
        <v>90000</v>
      </c>
      <c r="X54" s="579">
        <f>SUMIF('P&amp;L - Monthly'!$2:$2,'P&amp;L - Qtrly'!X$2,'P&amp;L - Monthly'!59:59)</f>
        <v>90000</v>
      </c>
      <c r="Y54" s="579">
        <f>SUMIF('P&amp;L - Monthly'!$2:$2,'P&amp;L - Qtrly'!Y$2,'P&amp;L - Monthly'!59:59)</f>
        <v>90000</v>
      </c>
      <c r="Z54" s="579">
        <f>SUMIF('P&amp;L - Monthly'!$2:$2,'P&amp;L - Qtrly'!Z$2,'P&amp;L - Monthly'!59:59)</f>
        <v>90000</v>
      </c>
      <c r="AA54" s="38"/>
      <c r="AB54" s="38"/>
      <c r="AC54" s="38"/>
      <c r="AD54" s="38"/>
      <c r="AE54" s="38"/>
      <c r="AF54" s="38"/>
      <c r="AG54" s="38"/>
      <c r="AH54" s="38"/>
    </row>
    <row r="55" spans="1:72" ht="15" thickBot="1" x14ac:dyDescent="0.4">
      <c r="B55" s="1015" t="s">
        <v>29</v>
      </c>
      <c r="C55" s="20">
        <f>SUMIF('P&amp;L - Monthly'!$2:$2,'P&amp;L - Qtrly'!C$2,'P&amp;L - Monthly'!60:60)</f>
        <v>273069.27260331612</v>
      </c>
      <c r="D55" s="20">
        <f>SUMIF('P&amp;L - Monthly'!$2:$2,'P&amp;L - Qtrly'!D$2,'P&amp;L - Monthly'!60:60)</f>
        <v>257049.6254870001</v>
      </c>
      <c r="E55" s="20">
        <f>SUMIF('P&amp;L - Monthly'!$2:$2,'P&amp;L - Qtrly'!E$2,'P&amp;L - Monthly'!60:60)</f>
        <v>315768.09004553966</v>
      </c>
      <c r="F55" s="20">
        <f>SUMIF('P&amp;L - Monthly'!$2:$2,'P&amp;L - Qtrly'!F$2,'P&amp;L - Monthly'!60:60)</f>
        <v>977727.8954537441</v>
      </c>
      <c r="G55" s="20">
        <f>SUMIF('P&amp;L - Monthly'!$2:$2,'P&amp;L - Qtrly'!G$2,'P&amp;L - Monthly'!60:60)</f>
        <v>96183.510000000009</v>
      </c>
      <c r="H55" s="20">
        <f>SUMIF('P&amp;L - Monthly'!$2:$2,'P&amp;L - Qtrly'!H$2,'P&amp;L - Monthly'!60:60)</f>
        <v>194043.27000000002</v>
      </c>
      <c r="I55" s="20">
        <f>SUMIF('P&amp;L - Monthly'!$2:$2,'P&amp;L - Qtrly'!I$2,'P&amp;L - Monthly'!60:60)</f>
        <v>255726.77999999997</v>
      </c>
      <c r="J55" s="20">
        <f>SUMIF('P&amp;L - Monthly'!$2:$2,'P&amp;L - Qtrly'!J$2,'P&amp;L - Monthly'!60:60)</f>
        <v>382024.63</v>
      </c>
      <c r="K55" s="20">
        <f>SUMIF('P&amp;L - Monthly'!$2:$2,'P&amp;L - Qtrly'!K$2,'P&amp;L - Monthly'!60:60)</f>
        <v>25000</v>
      </c>
      <c r="L55" s="20">
        <f>SUMIF('P&amp;L - Monthly'!$2:$2,'P&amp;L - Qtrly'!L$2,'P&amp;L - Monthly'!60:60)</f>
        <v>25000</v>
      </c>
      <c r="M55" s="20">
        <f>SUMIF('P&amp;L - Monthly'!$2:$2,'P&amp;L - Qtrly'!M$2,'P&amp;L - Monthly'!60:60)</f>
        <v>25000</v>
      </c>
      <c r="N55" s="20">
        <f>SUMIF('P&amp;L - Monthly'!$2:$2,'P&amp;L - Qtrly'!N$2,'P&amp;L - Monthly'!60:60)</f>
        <v>25000</v>
      </c>
      <c r="O55" s="20">
        <f>SUMIF('P&amp;L - Monthly'!$2:$2,'P&amp;L - Qtrly'!O$2,'P&amp;L - Monthly'!60:60)</f>
        <v>25000</v>
      </c>
      <c r="P55" s="20">
        <f>SUMIF('P&amp;L - Monthly'!$2:$2,'P&amp;L - Qtrly'!P$2,'P&amp;L - Monthly'!60:60)</f>
        <v>25000</v>
      </c>
      <c r="Q55" s="20">
        <f>SUMIF('P&amp;L - Monthly'!$2:$2,'P&amp;L - Qtrly'!Q$2,'P&amp;L - Monthly'!60:60)</f>
        <v>25000</v>
      </c>
      <c r="R55" s="20">
        <f>SUMIF('P&amp;L - Monthly'!$2:$2,'P&amp;L - Qtrly'!R$2,'P&amp;L - Monthly'!60:60)</f>
        <v>25000</v>
      </c>
      <c r="S55" s="20">
        <f>SUMIF('P&amp;L - Monthly'!$2:$2,'P&amp;L - Qtrly'!S$2,'P&amp;L - Monthly'!60:60)</f>
        <v>25000</v>
      </c>
      <c r="T55" s="20">
        <f>SUMIF('P&amp;L - Monthly'!$2:$2,'P&amp;L - Qtrly'!T$2,'P&amp;L - Monthly'!60:60)</f>
        <v>25000</v>
      </c>
      <c r="U55" s="20">
        <f>SUMIF('P&amp;L - Monthly'!$2:$2,'P&amp;L - Qtrly'!U$2,'P&amp;L - Monthly'!60:60)</f>
        <v>25000</v>
      </c>
      <c r="V55" s="20">
        <f>SUMIF('P&amp;L - Monthly'!$2:$2,'P&amp;L - Qtrly'!V$2,'P&amp;L - Monthly'!60:60)</f>
        <v>25000</v>
      </c>
      <c r="W55" s="226">
        <f>SUMIF('P&amp;L - Monthly'!$2:$2,'P&amp;L - Qtrly'!W$2,'P&amp;L - Monthly'!60:60)</f>
        <v>25000</v>
      </c>
      <c r="X55" s="226">
        <f>SUMIF('P&amp;L - Monthly'!$2:$2,'P&amp;L - Qtrly'!X$2,'P&amp;L - Monthly'!60:60)</f>
        <v>25000</v>
      </c>
      <c r="Y55" s="226">
        <f>SUMIF('P&amp;L - Monthly'!$2:$2,'P&amp;L - Qtrly'!Y$2,'P&amp;L - Monthly'!60:60)</f>
        <v>25000</v>
      </c>
      <c r="Z55" s="226">
        <f>SUMIF('P&amp;L - Monthly'!$2:$2,'P&amp;L - Qtrly'!Z$2,'P&amp;L - Monthly'!60:60)</f>
        <v>25000</v>
      </c>
      <c r="AA55" s="38"/>
      <c r="AB55" s="38"/>
      <c r="AC55" s="38"/>
      <c r="AD55" s="38"/>
      <c r="AE55" s="38"/>
      <c r="AF55" s="38"/>
      <c r="AG55" s="38"/>
      <c r="AH55" s="38"/>
    </row>
    <row r="56" spans="1:72" ht="15" thickTop="1" x14ac:dyDescent="0.35">
      <c r="A56" s="30"/>
      <c r="B56" s="30" t="s">
        <v>19</v>
      </c>
      <c r="C56" s="8">
        <f t="shared" ref="C56:V56" si="14">SUM(C43:C55)</f>
        <v>438843.67563554551</v>
      </c>
      <c r="D56" s="8">
        <f t="shared" si="14"/>
        <v>791838.62063374394</v>
      </c>
      <c r="E56" s="8">
        <f t="shared" si="14"/>
        <v>1149897.0897435877</v>
      </c>
      <c r="F56" s="8">
        <f t="shared" si="14"/>
        <v>1657440.9392442009</v>
      </c>
      <c r="G56" s="8">
        <f t="shared" si="14"/>
        <v>666673.92000000004</v>
      </c>
      <c r="H56" s="8">
        <f t="shared" si="14"/>
        <v>702806.83</v>
      </c>
      <c r="I56" s="8">
        <f t="shared" si="14"/>
        <v>806303.89000000013</v>
      </c>
      <c r="J56" s="8">
        <f t="shared" si="14"/>
        <v>903650.01</v>
      </c>
      <c r="K56" s="8">
        <f t="shared" si="14"/>
        <v>681969.76551759266</v>
      </c>
      <c r="L56" s="8">
        <f t="shared" si="14"/>
        <v>708073.52496679255</v>
      </c>
      <c r="M56" s="8">
        <f t="shared" si="14"/>
        <v>713874.6850844</v>
      </c>
      <c r="N56" s="8">
        <f t="shared" si="14"/>
        <v>1128266.4299214277</v>
      </c>
      <c r="O56" s="8">
        <f t="shared" si="14"/>
        <v>657028.575232042</v>
      </c>
      <c r="P56" s="8">
        <f t="shared" si="14"/>
        <v>660259.96973701217</v>
      </c>
      <c r="Q56" s="8">
        <f t="shared" si="14"/>
        <v>661317.30065600958</v>
      </c>
      <c r="R56" s="8">
        <f t="shared" si="14"/>
        <v>1074092.2589067435</v>
      </c>
      <c r="S56" s="8">
        <f t="shared" si="14"/>
        <v>645469.35562576738</v>
      </c>
      <c r="T56" s="8">
        <f t="shared" si="14"/>
        <v>646981.99062558357</v>
      </c>
      <c r="U56" s="8">
        <f t="shared" si="14"/>
        <v>647170.70894203591</v>
      </c>
      <c r="V56" s="8">
        <f t="shared" si="14"/>
        <v>1064786.3002772778</v>
      </c>
      <c r="W56" s="166">
        <f t="shared" ref="W56:Z56" si="15">SUM(W43:W55)</f>
        <v>651468.15400931356</v>
      </c>
      <c r="X56" s="166">
        <f t="shared" si="15"/>
        <v>652648.08677964821</v>
      </c>
      <c r="Y56" s="166">
        <f t="shared" si="15"/>
        <v>652797.35704462533</v>
      </c>
      <c r="Z56" s="166">
        <f t="shared" si="15"/>
        <v>1075633.4585039555</v>
      </c>
      <c r="AA56" s="202"/>
      <c r="AB56" s="202"/>
      <c r="AC56" s="202"/>
      <c r="AD56" s="202"/>
      <c r="AE56" s="202"/>
      <c r="AF56" s="202"/>
      <c r="AG56" s="202"/>
      <c r="AH56" s="202"/>
      <c r="AI56" s="34"/>
      <c r="AJ56" s="34"/>
      <c r="AK56" s="34"/>
      <c r="AL56" s="34"/>
      <c r="AM56" s="34"/>
      <c r="AN56" s="34"/>
      <c r="AO56" s="34"/>
      <c r="AP56" s="34"/>
      <c r="AQ56" s="34"/>
      <c r="AR56" s="34"/>
      <c r="AS56" s="34"/>
      <c r="AT56" s="34"/>
      <c r="AU56" s="34"/>
      <c r="AV56" s="34"/>
      <c r="AW56" s="30"/>
      <c r="AX56" s="30"/>
      <c r="AY56" s="30"/>
      <c r="AZ56" s="30"/>
      <c r="BA56" s="30"/>
      <c r="BB56" s="30"/>
      <c r="BC56" s="30"/>
      <c r="BD56" s="30"/>
      <c r="BE56" s="30"/>
      <c r="BF56" s="30"/>
      <c r="BG56" s="30"/>
      <c r="BH56" s="30"/>
      <c r="BI56" s="30"/>
      <c r="BJ56" s="30"/>
      <c r="BK56" s="30"/>
      <c r="BL56" s="30"/>
      <c r="BM56" s="30"/>
      <c r="BN56" s="30"/>
      <c r="BO56" s="30"/>
      <c r="BP56" s="30"/>
      <c r="BQ56" s="30"/>
      <c r="BR56" s="30"/>
      <c r="BS56" s="30"/>
    </row>
    <row r="57" spans="1:72" x14ac:dyDescent="0.35">
      <c r="W57" s="574"/>
      <c r="X57" s="574"/>
      <c r="Y57" s="574"/>
      <c r="Z57" s="574"/>
    </row>
    <row r="58" spans="1:72" x14ac:dyDescent="0.35">
      <c r="B58" s="30" t="s">
        <v>145</v>
      </c>
      <c r="C58" s="17">
        <f>SUMIF('P&amp;L - Monthly'!$2:$2,'P&amp;L - Qtrly'!C$2,'P&amp;L - Monthly'!63:63)</f>
        <v>1294507.6752580192</v>
      </c>
      <c r="D58" s="17">
        <f>SUMIF('P&amp;L - Monthly'!$2:$2,'P&amp;L - Qtrly'!D$2,'P&amp;L - Monthly'!63:63)</f>
        <v>1809165.3824062259</v>
      </c>
      <c r="E58" s="17">
        <f>SUMIF('P&amp;L - Monthly'!$2:$2,'P&amp;L - Qtrly'!E$2,'P&amp;L - Monthly'!63:63)</f>
        <v>2286836.9484599582</v>
      </c>
      <c r="F58" s="17">
        <f>SUMIF('P&amp;L - Monthly'!$2:$2,'P&amp;L - Qtrly'!F$2,'P&amp;L - Monthly'!63:63)</f>
        <v>2929709.2303664042</v>
      </c>
      <c r="G58" s="17">
        <f>SUMIF('P&amp;L - Monthly'!$2:$2,'P&amp;L - Qtrly'!G$2,'P&amp;L - Monthly'!63:63)</f>
        <v>2693559.79</v>
      </c>
      <c r="H58" s="17">
        <f>SUMIF('P&amp;L - Monthly'!$2:$2,'P&amp;L - Qtrly'!H$2,'P&amp;L - Monthly'!63:63)</f>
        <v>3143103.2699999996</v>
      </c>
      <c r="I58" s="17">
        <f>SUMIF('P&amp;L - Monthly'!$2:$2,'P&amp;L - Qtrly'!I$2,'P&amp;L - Monthly'!63:63)</f>
        <v>4276064.26</v>
      </c>
      <c r="J58" s="17">
        <f>SUMIF('P&amp;L - Monthly'!$2:$2,'P&amp;L - Qtrly'!J$2,'P&amp;L - Monthly'!63:63)</f>
        <v>3760637.2</v>
      </c>
      <c r="K58" s="17">
        <f>SUMIF('P&amp;L - Monthly'!$2:$2,'P&amp;L - Qtrly'!K$2,'P&amp;L - Monthly'!63:63)</f>
        <v>3502731.7374865739</v>
      </c>
      <c r="L58" s="17">
        <f>SUMIF('P&amp;L - Monthly'!$2:$2,'P&amp;L - Qtrly'!L$2,'P&amp;L - Monthly'!63:63)</f>
        <v>4663725.3533055671</v>
      </c>
      <c r="M58" s="17">
        <f>SUMIF('P&amp;L - Monthly'!$2:$2,'P&amp;L - Qtrly'!M$2,'P&amp;L - Monthly'!63:63)</f>
        <v>4398833.2228875468</v>
      </c>
      <c r="N58" s="17">
        <f>SUMIF('P&amp;L - Monthly'!$2:$2,'P&amp;L - Qtrly'!N$2,'P&amp;L - Monthly'!63:63)</f>
        <v>5783006.2974081552</v>
      </c>
      <c r="O58" s="17">
        <f>SUMIF('P&amp;L - Monthly'!$2:$2,'P&amp;L - Qtrly'!O$2,'P&amp;L - Monthly'!63:63)</f>
        <v>4188649.7135265986</v>
      </c>
      <c r="P58" s="17">
        <f>SUMIF('P&amp;L - Monthly'!$2:$2,'P&amp;L - Qtrly'!P$2,'P&amp;L - Monthly'!63:63)</f>
        <v>4284260.6124030687</v>
      </c>
      <c r="Q58" s="17">
        <f>SUMIF('P&amp;L - Monthly'!$2:$2,'P&amp;L - Qtrly'!Q$2,'P&amp;L - Monthly'!63:63)</f>
        <v>4268798.5004369337</v>
      </c>
      <c r="R58" s="17">
        <f>SUMIF('P&amp;L - Monthly'!$2:$2,'P&amp;L - Qtrly'!R$2,'P&amp;L - Monthly'!63:63)</f>
        <v>5859129.9682227271</v>
      </c>
      <c r="S58" s="17">
        <f>SUMIF('P&amp;L - Monthly'!$2:$2,'P&amp;L - Qtrly'!S$2,'P&amp;L - Monthly'!63:63)</f>
        <v>4345139.9093812276</v>
      </c>
      <c r="T58" s="17">
        <f>SUMIF('P&amp;L - Monthly'!$2:$2,'P&amp;L - Qtrly'!T$2,'P&amp;L - Monthly'!63:63)</f>
        <v>4362469.3586803246</v>
      </c>
      <c r="U58" s="17">
        <f>SUMIF('P&amp;L - Monthly'!$2:$2,'P&amp;L - Qtrly'!U$2,'P&amp;L - Monthly'!63:63)</f>
        <v>4361993.7238082523</v>
      </c>
      <c r="V58" s="17">
        <f>SUMIF('P&amp;L - Monthly'!$2:$2,'P&amp;L - Qtrly'!V$2,'P&amp;L - Monthly'!63:63)</f>
        <v>6000323.6408251654</v>
      </c>
      <c r="W58" s="579">
        <f>SUMIF('P&amp;L - Monthly'!$2:$2,'P&amp;L - Qtrly'!W$2,'P&amp;L - Monthly'!63:63)</f>
        <v>3210879.6642996995</v>
      </c>
      <c r="X58" s="579">
        <f>SUMIF('P&amp;L - Monthly'!$2:$2,'P&amp;L - Qtrly'!X$2,'P&amp;L - Monthly'!63:63)</f>
        <v>3229772.1384408451</v>
      </c>
      <c r="Y58" s="579">
        <f>SUMIF('P&amp;L - Monthly'!$2:$2,'P&amp;L - Qtrly'!Y$2,'P&amp;L - Monthly'!63:63)</f>
        <v>3232587.454201533</v>
      </c>
      <c r="Z58" s="579">
        <f>SUMIF('P&amp;L - Monthly'!$2:$2,'P&amp;L - Qtrly'!Z$2,'P&amp;L - Monthly'!63:63)</f>
        <v>4912734.6016312195</v>
      </c>
      <c r="AA58" s="38"/>
      <c r="AB58" s="38"/>
      <c r="AC58" s="38"/>
      <c r="AD58" s="38"/>
      <c r="AE58" s="38"/>
      <c r="AF58" s="38"/>
      <c r="AG58" s="38"/>
      <c r="AH58" s="38"/>
    </row>
    <row r="59" spans="1:72" x14ac:dyDescent="0.35">
      <c r="W59" s="574"/>
      <c r="X59" s="574"/>
      <c r="Y59" s="574"/>
      <c r="Z59" s="574"/>
    </row>
    <row r="60" spans="1:72" ht="15" thickBot="1" x14ac:dyDescent="0.4">
      <c r="B60" s="51" t="s">
        <v>77</v>
      </c>
      <c r="C60" s="54">
        <f t="shared" ref="C60:V60" si="16">C28-C35-C40-C56</f>
        <v>1341033.9611437465</v>
      </c>
      <c r="D60" s="54">
        <f t="shared" si="16"/>
        <v>1058315.7626342154</v>
      </c>
      <c r="E60" s="54">
        <f t="shared" si="16"/>
        <v>761641.03317689849</v>
      </c>
      <c r="F60" s="54">
        <f t="shared" si="16"/>
        <v>618439.7548026708</v>
      </c>
      <c r="G60" s="54">
        <f t="shared" si="16"/>
        <v>678212.94999999914</v>
      </c>
      <c r="H60" s="54">
        <f t="shared" si="16"/>
        <v>465383.44000000006</v>
      </c>
      <c r="I60" s="54">
        <f t="shared" si="16"/>
        <v>-795142.83999999985</v>
      </c>
      <c r="J60" s="54">
        <f t="shared" si="16"/>
        <v>171232.36999999941</v>
      </c>
      <c r="K60" s="54">
        <f t="shared" si="16"/>
        <v>307806.42302962148</v>
      </c>
      <c r="L60" s="54">
        <f t="shared" si="16"/>
        <v>-8562.8125654698815</v>
      </c>
      <c r="M60" s="54">
        <f t="shared" si="16"/>
        <v>977079.73400770896</v>
      </c>
      <c r="N60" s="54">
        <f t="shared" si="16"/>
        <v>517722.21678065672</v>
      </c>
      <c r="O60" s="54">
        <f t="shared" si="16"/>
        <v>3401565.8769427096</v>
      </c>
      <c r="P60" s="54">
        <f t="shared" si="16"/>
        <v>4444699.3033168595</v>
      </c>
      <c r="Q60" s="54">
        <f t="shared" si="16"/>
        <v>5533272.5414614426</v>
      </c>
      <c r="R60" s="54">
        <f t="shared" si="16"/>
        <v>5017582.4412793564</v>
      </c>
      <c r="S60" s="54">
        <f t="shared" si="16"/>
        <v>-4858885.6096649934</v>
      </c>
      <c r="T60" s="54">
        <f t="shared" si="16"/>
        <v>-4483823.3586803237</v>
      </c>
      <c r="U60" s="54">
        <f t="shared" si="16"/>
        <v>-4438043.7238082523</v>
      </c>
      <c r="V60" s="54">
        <f t="shared" si="16"/>
        <v>-6076373.6408251654</v>
      </c>
      <c r="W60" s="581">
        <f t="shared" ref="W60:Z60" si="17">W28-W35-W40-W56</f>
        <v>-3286929.6642996995</v>
      </c>
      <c r="X60" s="581">
        <f t="shared" si="17"/>
        <v>-3305822.1384408455</v>
      </c>
      <c r="Y60" s="581">
        <f t="shared" si="17"/>
        <v>-3308637.4542015325</v>
      </c>
      <c r="Z60" s="581">
        <f t="shared" si="17"/>
        <v>-4988784.6016312186</v>
      </c>
      <c r="AA60" s="202"/>
      <c r="AB60" s="202"/>
      <c r="AC60" s="202"/>
      <c r="AD60" s="202"/>
      <c r="AE60" s="202"/>
      <c r="AF60" s="202"/>
      <c r="AG60" s="202"/>
      <c r="AH60" s="202"/>
    </row>
    <row r="61" spans="1:72" x14ac:dyDescent="0.35">
      <c r="B61" s="129"/>
      <c r="C61" s="85"/>
      <c r="D61" s="85"/>
      <c r="E61" s="85"/>
      <c r="F61" s="85"/>
      <c r="G61" s="85"/>
      <c r="H61" s="85"/>
      <c r="I61" s="85"/>
      <c r="J61" s="85"/>
      <c r="K61" s="85"/>
      <c r="L61" s="85"/>
      <c r="M61" s="85"/>
      <c r="N61" s="85"/>
      <c r="O61" s="85"/>
      <c r="P61" s="85"/>
      <c r="Q61" s="85"/>
      <c r="R61" s="85"/>
      <c r="S61" s="85"/>
      <c r="T61" s="85"/>
      <c r="U61" s="85"/>
      <c r="V61" s="85"/>
      <c r="W61" s="85"/>
      <c r="X61" s="85"/>
      <c r="Y61" s="85"/>
      <c r="Z61" s="85"/>
      <c r="AA61" s="202"/>
      <c r="AB61" s="202"/>
      <c r="AC61" s="202"/>
      <c r="AD61" s="202"/>
      <c r="AE61" s="202"/>
      <c r="AF61" s="202"/>
      <c r="AG61" s="202"/>
      <c r="AH61" s="202"/>
    </row>
    <row r="62" spans="1:72" x14ac:dyDescent="0.35">
      <c r="B62" s="126" t="s">
        <v>147</v>
      </c>
      <c r="C62" s="127">
        <f t="shared" ref="C62:V62" si="18">C60/C17</f>
        <v>0.41017005566051257</v>
      </c>
      <c r="D62" s="127">
        <f t="shared" si="18"/>
        <v>0.29177308701459193</v>
      </c>
      <c r="E62" s="127">
        <f t="shared" si="18"/>
        <v>0.21258429697519574</v>
      </c>
      <c r="F62" s="127">
        <f t="shared" si="18"/>
        <v>0.1430039787104887</v>
      </c>
      <c r="G62" s="127">
        <f t="shared" si="18"/>
        <v>0.17550823998040577</v>
      </c>
      <c r="H62" s="127">
        <f t="shared" si="18"/>
        <v>0.11030418618310228</v>
      </c>
      <c r="I62" s="127">
        <f t="shared" si="18"/>
        <v>-0.19267527847177549</v>
      </c>
      <c r="J62" s="127">
        <f t="shared" si="18"/>
        <v>3.6729404832760749E-2</v>
      </c>
      <c r="K62" s="127">
        <f t="shared" si="18"/>
        <v>6.7677394615890077E-2</v>
      </c>
      <c r="L62" s="127">
        <f t="shared" si="18"/>
        <v>-1.553051021310634E-3</v>
      </c>
      <c r="M62" s="127">
        <f t="shared" si="18"/>
        <v>0.15443734009829571</v>
      </c>
      <c r="N62" s="127">
        <f t="shared" si="18"/>
        <v>7.0170636172915996E-2</v>
      </c>
      <c r="O62" s="127">
        <f t="shared" si="18"/>
        <v>0.38443093591129601</v>
      </c>
      <c r="P62" s="127">
        <f t="shared" si="18"/>
        <v>0.43919469799055466</v>
      </c>
      <c r="Q62" s="127">
        <f t="shared" si="18"/>
        <v>0.48781802370248672</v>
      </c>
      <c r="R62" s="127">
        <f t="shared" si="18"/>
        <v>0.39924894494784258</v>
      </c>
      <c r="S62" s="127" t="e">
        <f t="shared" si="18"/>
        <v>#DIV/0!</v>
      </c>
      <c r="T62" s="127" t="e">
        <f t="shared" si="18"/>
        <v>#DIV/0!</v>
      </c>
      <c r="U62" s="127" t="e">
        <f t="shared" si="18"/>
        <v>#DIV/0!</v>
      </c>
      <c r="V62" s="127" t="e">
        <f t="shared" si="18"/>
        <v>#DIV/0!</v>
      </c>
      <c r="W62" s="127" t="e">
        <f t="shared" ref="W62:Z62" si="19">W60/W17</f>
        <v>#DIV/0!</v>
      </c>
      <c r="X62" s="127" t="e">
        <f t="shared" si="19"/>
        <v>#DIV/0!</v>
      </c>
      <c r="Y62" s="127" t="e">
        <f t="shared" si="19"/>
        <v>#DIV/0!</v>
      </c>
      <c r="Z62" s="127" t="e">
        <f t="shared" si="19"/>
        <v>#DIV/0!</v>
      </c>
      <c r="AA62" s="203"/>
      <c r="AB62" s="203"/>
      <c r="AC62" s="203"/>
      <c r="AD62" s="203"/>
      <c r="AE62" s="203"/>
      <c r="AF62" s="203"/>
      <c r="AG62" s="203"/>
      <c r="AH62" s="203"/>
      <c r="AI62" s="203"/>
      <c r="AJ62" s="203"/>
      <c r="AK62" s="203"/>
      <c r="AL62" s="203"/>
      <c r="AM62" s="203"/>
      <c r="AN62" s="203"/>
      <c r="AO62" s="203"/>
      <c r="AP62" s="203"/>
      <c r="AQ62" s="203"/>
      <c r="AR62" s="203"/>
      <c r="AS62" s="203"/>
      <c r="AT62" s="203"/>
      <c r="AU62" s="203"/>
      <c r="AV62" s="203"/>
      <c r="AW62" s="127"/>
      <c r="AX62" s="127"/>
      <c r="AY62" s="127"/>
      <c r="AZ62" s="127"/>
      <c r="BA62" s="127"/>
      <c r="BB62" s="127"/>
      <c r="BC62" s="127"/>
      <c r="BD62" s="127"/>
      <c r="BE62" s="127"/>
      <c r="BF62" s="127"/>
      <c r="BG62" s="127"/>
      <c r="BH62" s="127"/>
      <c r="BI62" s="127"/>
      <c r="BJ62" s="127"/>
      <c r="BK62" s="127"/>
      <c r="BL62" s="127"/>
      <c r="BM62" s="127"/>
      <c r="BN62" s="127"/>
      <c r="BO62" s="127"/>
      <c r="BP62" s="127"/>
      <c r="BQ62" s="127"/>
      <c r="BR62" s="127"/>
      <c r="BS62" s="85"/>
      <c r="BT62" s="157"/>
    </row>
    <row r="63" spans="1:72" x14ac:dyDescent="0.35">
      <c r="W63" s="574"/>
      <c r="X63" s="574"/>
      <c r="Y63" s="574"/>
      <c r="Z63" s="574"/>
      <c r="AW63" s="157"/>
      <c r="AX63" s="157"/>
      <c r="AY63" s="157"/>
      <c r="AZ63" s="157"/>
      <c r="BA63" s="157"/>
      <c r="BB63" s="157"/>
      <c r="BC63" s="157"/>
      <c r="BD63" s="157"/>
      <c r="BE63" s="157"/>
      <c r="BF63" s="157"/>
      <c r="BG63" s="157"/>
      <c r="BH63" s="157"/>
      <c r="BI63" s="157"/>
      <c r="BJ63" s="157"/>
      <c r="BK63" s="157"/>
      <c r="BL63" s="157"/>
      <c r="BM63" s="157"/>
      <c r="BN63" s="157"/>
      <c r="BO63" s="157"/>
      <c r="BP63" s="157"/>
      <c r="BQ63" s="157"/>
      <c r="BR63" s="157"/>
      <c r="BS63" s="157"/>
      <c r="BT63" s="157"/>
    </row>
    <row r="64" spans="1:72" x14ac:dyDescent="0.35">
      <c r="B64" s="41" t="s">
        <v>139</v>
      </c>
      <c r="C64" s="17">
        <f>SUMIF('P&amp;L - Monthly'!$2:$2,'P&amp;L - Qtrly'!C$2,'P&amp;L - Monthly'!71:71)</f>
        <v>0</v>
      </c>
      <c r="D64" s="17">
        <f>SUMIF('P&amp;L - Monthly'!$2:$2,'P&amp;L - Qtrly'!D$2,'P&amp;L - Monthly'!71:71)</f>
        <v>0</v>
      </c>
      <c r="E64" s="17">
        <f>SUMIF('P&amp;L - Monthly'!$2:$2,'P&amp;L - Qtrly'!E$2,'P&amp;L - Monthly'!71:71)</f>
        <v>0</v>
      </c>
      <c r="F64" s="17">
        <f>SUMIF('P&amp;L - Monthly'!$2:$2,'P&amp;L - Qtrly'!F$2,'P&amp;L - Monthly'!71:71)</f>
        <v>0</v>
      </c>
      <c r="G64" s="17">
        <f>SUMIF('P&amp;L - Monthly'!$2:$2,'P&amp;L - Qtrly'!G$2,'P&amp;L - Monthly'!71:71)</f>
        <v>0</v>
      </c>
      <c r="H64" s="17">
        <f>SUMIF('P&amp;L - Monthly'!$2:$2,'P&amp;L - Qtrly'!H$2,'P&amp;L - Monthly'!71:71)</f>
        <v>0</v>
      </c>
      <c r="I64" s="17">
        <f>SUMIF('P&amp;L - Monthly'!$2:$2,'P&amp;L - Qtrly'!I$2,'P&amp;L - Monthly'!71:71)</f>
        <v>0</v>
      </c>
      <c r="J64" s="17">
        <f>SUMIF('P&amp;L - Monthly'!$2:$2,'P&amp;L - Qtrly'!J$2,'P&amp;L - Monthly'!71:71)</f>
        <v>0</v>
      </c>
      <c r="K64" s="17">
        <f>SUMIF('P&amp;L - Monthly'!$2:$2,'P&amp;L - Qtrly'!K$2,'P&amp;L - Monthly'!71:71)</f>
        <v>0</v>
      </c>
      <c r="L64" s="17">
        <f>SUMIF('P&amp;L - Monthly'!$2:$2,'P&amp;L - Qtrly'!L$2,'P&amp;L - Monthly'!71:71)</f>
        <v>0</v>
      </c>
      <c r="M64" s="17">
        <f>SUMIF('P&amp;L - Monthly'!$2:$2,'P&amp;L - Qtrly'!M$2,'P&amp;L - Monthly'!71:71)</f>
        <v>0</v>
      </c>
      <c r="N64" s="17">
        <f>SUMIF('P&amp;L - Monthly'!$2:$2,'P&amp;L - Qtrly'!N$2,'P&amp;L - Monthly'!71:71)</f>
        <v>0</v>
      </c>
      <c r="O64" s="17">
        <f>SUMIF('P&amp;L - Monthly'!$2:$2,'P&amp;L - Qtrly'!O$2,'P&amp;L - Monthly'!71:71)</f>
        <v>0</v>
      </c>
      <c r="P64" s="17">
        <f>SUMIF('P&amp;L - Monthly'!$2:$2,'P&amp;L - Qtrly'!P$2,'P&amp;L - Monthly'!71:71)</f>
        <v>0</v>
      </c>
      <c r="Q64" s="17">
        <f>SUMIF('P&amp;L - Monthly'!$2:$2,'P&amp;L - Qtrly'!Q$2,'P&amp;L - Monthly'!71:71)</f>
        <v>0</v>
      </c>
      <c r="R64" s="17">
        <f>SUMIF('P&amp;L - Monthly'!$2:$2,'P&amp;L - Qtrly'!R$2,'P&amp;L - Monthly'!71:71)</f>
        <v>0</v>
      </c>
      <c r="S64" s="17">
        <f>SUMIF('P&amp;L - Monthly'!$2:$2,'P&amp;L - Qtrly'!S$2,'P&amp;L - Monthly'!71:71)</f>
        <v>0</v>
      </c>
      <c r="T64" s="17">
        <f>SUMIF('P&amp;L - Monthly'!$2:$2,'P&amp;L - Qtrly'!T$2,'P&amp;L - Monthly'!71:71)</f>
        <v>0</v>
      </c>
      <c r="U64" s="17">
        <f>SUMIF('P&amp;L - Monthly'!$2:$2,'P&amp;L - Qtrly'!U$2,'P&amp;L - Monthly'!71:71)</f>
        <v>0</v>
      </c>
      <c r="V64" s="17">
        <f>SUMIF('P&amp;L - Monthly'!$2:$2,'P&amp;L - Qtrly'!V$2,'P&amp;L - Monthly'!71:71)</f>
        <v>0</v>
      </c>
      <c r="W64" s="579">
        <f>SUMIF('P&amp;L - Monthly'!$2:$2,'P&amp;L - Qtrly'!W$2,'P&amp;L - Monthly'!71:71)</f>
        <v>0</v>
      </c>
      <c r="X64" s="579">
        <f>SUMIF('P&amp;L - Monthly'!$2:$2,'P&amp;L - Qtrly'!X$2,'P&amp;L - Monthly'!71:71)</f>
        <v>0</v>
      </c>
      <c r="Y64" s="579">
        <f>SUMIF('P&amp;L - Monthly'!$2:$2,'P&amp;L - Qtrly'!Y$2,'P&amp;L - Monthly'!71:71)</f>
        <v>0</v>
      </c>
      <c r="Z64" s="579">
        <f>SUMIF('P&amp;L - Monthly'!$2:$2,'P&amp;L - Qtrly'!Z$2,'P&amp;L - Monthly'!71:71)</f>
        <v>0</v>
      </c>
      <c r="AA64" s="38"/>
      <c r="AB64" s="38"/>
      <c r="AC64" s="38"/>
      <c r="AD64" s="38"/>
      <c r="AE64" s="38"/>
      <c r="AF64" s="38"/>
      <c r="AG64" s="38"/>
      <c r="AH64" s="38"/>
      <c r="AW64" s="157"/>
      <c r="AX64" s="157"/>
      <c r="AY64" s="157"/>
      <c r="AZ64" s="157"/>
      <c r="BA64" s="157"/>
      <c r="BB64" s="157"/>
      <c r="BC64" s="157"/>
      <c r="BD64" s="157"/>
      <c r="BE64" s="157"/>
      <c r="BF64" s="157"/>
      <c r="BG64" s="157"/>
      <c r="BH64" s="157"/>
      <c r="BI64" s="157"/>
      <c r="BJ64" s="157"/>
      <c r="BK64" s="157"/>
      <c r="BL64" s="157"/>
      <c r="BM64" s="157"/>
      <c r="BN64" s="157"/>
      <c r="BO64" s="157"/>
      <c r="BP64" s="157"/>
      <c r="BQ64" s="157"/>
      <c r="BR64" s="157"/>
      <c r="BS64" s="157"/>
      <c r="BT64" s="157"/>
    </row>
    <row r="65" spans="2:72" x14ac:dyDescent="0.35">
      <c r="B65" s="41" t="s">
        <v>140</v>
      </c>
      <c r="C65" s="17">
        <f>SUMIF('P&amp;L - Monthly'!$2:$2,'P&amp;L - Qtrly'!C$2,'P&amp;L - Monthly'!72:72)</f>
        <v>38729.999999999971</v>
      </c>
      <c r="D65" s="17">
        <f>SUMIF('P&amp;L - Monthly'!$2:$2,'P&amp;L - Qtrly'!D$2,'P&amp;L - Monthly'!72:72)</f>
        <v>38730</v>
      </c>
      <c r="E65" s="17">
        <f>SUMIF('P&amp;L - Monthly'!$2:$2,'P&amp;L - Qtrly'!E$2,'P&amp;L - Monthly'!72:72)</f>
        <v>38730</v>
      </c>
      <c r="F65" s="17">
        <f>SUMIF('P&amp;L - Monthly'!$2:$2,'P&amp;L - Qtrly'!F$2,'P&amp;L - Monthly'!72:72)</f>
        <v>-605101.57999999996</v>
      </c>
      <c r="G65" s="17">
        <f>SUMIF('P&amp;L - Monthly'!$2:$2,'P&amp;L - Qtrly'!G$2,'P&amp;L - Monthly'!72:72)</f>
        <v>741498.59000000008</v>
      </c>
      <c r="H65" s="17">
        <f>SUMIF('P&amp;L - Monthly'!$2:$2,'P&amp;L - Qtrly'!H$2,'P&amp;L - Monthly'!72:72)</f>
        <v>744581</v>
      </c>
      <c r="I65" s="17">
        <f>SUMIF('P&amp;L - Monthly'!$2:$2,'P&amp;L - Qtrly'!I$2,'P&amp;L - Monthly'!72:72)</f>
        <v>745374.24</v>
      </c>
      <c r="J65" s="17">
        <f>SUMIF('P&amp;L - Monthly'!$2:$2,'P&amp;L - Qtrly'!J$2,'P&amp;L - Monthly'!72:72)</f>
        <v>746552.83000000007</v>
      </c>
      <c r="K65" s="17">
        <f>SUMIF('P&amp;L - Monthly'!$2:$2,'P&amp;L - Qtrly'!K$2,'P&amp;L - Monthly'!72:72)</f>
        <v>748484.82228578813</v>
      </c>
      <c r="L65" s="17">
        <f>SUMIF('P&amp;L - Monthly'!$2:$2,'P&amp;L - Qtrly'!L$2,'P&amp;L - Monthly'!72:72)</f>
        <v>751268.88788995775</v>
      </c>
      <c r="M65" s="17">
        <f>SUMIF('P&amp;L - Monthly'!$2:$2,'P&amp;L - Qtrly'!M$2,'P&amp;L - Monthly'!72:72)</f>
        <v>754249.50620665518</v>
      </c>
      <c r="N65" s="17">
        <f>SUMIF('P&amp;L - Monthly'!$2:$2,'P&amp;L - Qtrly'!N$2,'P&amp;L - Monthly'!72:72)</f>
        <v>757440.55369365634</v>
      </c>
      <c r="O65" s="17">
        <f>SUMIF('P&amp;L - Monthly'!$2:$2,'P&amp;L - Qtrly'!O$2,'P&amp;L - Monthly'!72:72)</f>
        <v>760856.88647509716</v>
      </c>
      <c r="P65" s="17">
        <f>SUMIF('P&amp;L - Monthly'!$2:$2,'P&amp;L - Qtrly'!P$2,'P&amp;L - Monthly'!72:72)</f>
        <v>764514.40950510267</v>
      </c>
      <c r="Q65" s="17">
        <f>SUMIF('P&amp;L - Monthly'!$2:$2,'P&amp;L - Qtrly'!Q$2,'P&amp;L - Monthly'!72:72)</f>
        <v>768430.15061430982</v>
      </c>
      <c r="R65" s="17">
        <f>SUMIF('P&amp;L - Monthly'!$2:$2,'P&amp;L - Qtrly'!R$2,'P&amp;L - Monthly'!72:72)</f>
        <v>772622.3397840145</v>
      </c>
      <c r="S65" s="17">
        <f>SUMIF('P&amp;L - Monthly'!$2:$2,'P&amp;L - Qtrly'!S$2,'P&amp;L - Monthly'!72:72)</f>
        <v>731222.94380245532</v>
      </c>
      <c r="T65" s="17">
        <f>SUMIF('P&amp;L - Monthly'!$2:$2,'P&amp;L - Qtrly'!T$2,'P&amp;L - Monthly'!72:72)</f>
        <v>709050</v>
      </c>
      <c r="U65" s="17">
        <f>SUMIF('P&amp;L - Monthly'!$2:$2,'P&amp;L - Qtrly'!U$2,'P&amp;L - Monthly'!72:72)</f>
        <v>709050</v>
      </c>
      <c r="V65" s="17">
        <f>SUMIF('P&amp;L - Monthly'!$2:$2,'P&amp;L - Qtrly'!V$2,'P&amp;L - Monthly'!72:72)</f>
        <v>709050</v>
      </c>
      <c r="W65" s="579">
        <f>SUMIF('P&amp;L - Monthly'!$2:$2,'P&amp;L - Qtrly'!W$2,'P&amp;L - Monthly'!72:72)</f>
        <v>709050</v>
      </c>
      <c r="X65" s="579">
        <f>SUMIF('P&amp;L - Monthly'!$2:$2,'P&amp;L - Qtrly'!X$2,'P&amp;L - Monthly'!72:72)</f>
        <v>709050</v>
      </c>
      <c r="Y65" s="579">
        <f>SUMIF('P&amp;L - Monthly'!$2:$2,'P&amp;L - Qtrly'!Y$2,'P&amp;L - Monthly'!72:72)</f>
        <v>709050</v>
      </c>
      <c r="Z65" s="579">
        <f>SUMIF('P&amp;L - Monthly'!$2:$2,'P&amp;L - Qtrly'!Z$2,'P&amp;L - Monthly'!72:72)</f>
        <v>709050</v>
      </c>
      <c r="AA65" s="38"/>
      <c r="AB65" s="38"/>
      <c r="AC65" s="38"/>
      <c r="AD65" s="38"/>
      <c r="AE65" s="38"/>
      <c r="AF65" s="38"/>
      <c r="AG65" s="38"/>
      <c r="AH65" s="38"/>
      <c r="AW65" s="157"/>
      <c r="AX65" s="157"/>
      <c r="AY65" s="157"/>
      <c r="AZ65" s="157"/>
      <c r="BA65" s="157"/>
      <c r="BB65" s="157"/>
      <c r="BC65" s="157"/>
      <c r="BD65" s="157"/>
      <c r="BE65" s="157"/>
      <c r="BF65" s="157"/>
      <c r="BG65" s="157"/>
      <c r="BH65" s="157"/>
      <c r="BI65" s="157"/>
      <c r="BJ65" s="157"/>
      <c r="BK65" s="157"/>
      <c r="BL65" s="157"/>
      <c r="BM65" s="157"/>
      <c r="BN65" s="157"/>
      <c r="BO65" s="157"/>
      <c r="BP65" s="157"/>
      <c r="BQ65" s="157"/>
      <c r="BR65" s="157"/>
      <c r="BS65" s="157"/>
      <c r="BT65" s="157"/>
    </row>
    <row r="66" spans="2:72" x14ac:dyDescent="0.35">
      <c r="W66" s="574"/>
      <c r="X66" s="574"/>
      <c r="Y66" s="574"/>
      <c r="Z66" s="574"/>
      <c r="AW66" s="157"/>
      <c r="AX66" s="157"/>
      <c r="AY66" s="157"/>
      <c r="AZ66" s="157"/>
      <c r="BA66" s="157"/>
      <c r="BB66" s="157"/>
      <c r="BC66" s="157"/>
      <c r="BD66" s="157"/>
      <c r="BE66" s="157"/>
      <c r="BF66" s="157"/>
      <c r="BG66" s="157"/>
      <c r="BH66" s="157"/>
      <c r="BI66" s="157"/>
      <c r="BJ66" s="157"/>
      <c r="BK66" s="157"/>
      <c r="BL66" s="157"/>
      <c r="BM66" s="157"/>
      <c r="BN66" s="157"/>
      <c r="BO66" s="157"/>
      <c r="BP66" s="157"/>
      <c r="BQ66" s="157"/>
      <c r="BR66" s="157"/>
      <c r="BS66" s="157"/>
      <c r="BT66" s="157"/>
    </row>
    <row r="67" spans="2:72" ht="15" thickBot="1" x14ac:dyDescent="0.4">
      <c r="B67" s="51" t="s">
        <v>141</v>
      </c>
      <c r="C67" s="54">
        <f>SUMIF('P&amp;L - Monthly'!$2:$2,'P&amp;L - Qtrly'!C$2,'P&amp;L - Monthly'!74:74)</f>
        <v>1377421.9261437471</v>
      </c>
      <c r="D67" s="54">
        <f>SUMIF('P&amp;L - Monthly'!$2:$2,'P&amp;L - Qtrly'!D$2,'P&amp;L - Monthly'!74:74)</f>
        <v>1094703.7276342157</v>
      </c>
      <c r="E67" s="54">
        <f>SUMIF('P&amp;L - Monthly'!$2:$2,'P&amp;L - Qtrly'!E$2,'P&amp;L - Monthly'!74:74)</f>
        <v>798028.99817689904</v>
      </c>
      <c r="F67" s="54">
        <f>SUMIF('P&amp;L - Monthly'!$2:$2,'P&amp;L - Qtrly'!F$2,'P&amp;L - Monthly'!74:74)</f>
        <v>1298659.2998026707</v>
      </c>
      <c r="G67" s="54">
        <f>SUMIF('P&amp;L - Monthly'!$2:$2,'P&amp;L - Qtrly'!G$2,'P&amp;L - Monthly'!74:74)</f>
        <v>-63285.640000000247</v>
      </c>
      <c r="H67" s="54">
        <f>SUMIF('P&amp;L - Monthly'!$2:$2,'P&amp;L - Qtrly'!H$2,'P&amp;L - Monthly'!74:74)</f>
        <v>-279197.5599999993</v>
      </c>
      <c r="I67" s="54">
        <f>SUMIF('P&amp;L - Monthly'!$2:$2,'P&amp;L - Qtrly'!I$2,'P&amp;L - Monthly'!74:74)</f>
        <v>-1540517.0799999994</v>
      </c>
      <c r="J67" s="54">
        <f>SUMIF('P&amp;L - Monthly'!$2:$2,'P&amp;L - Qtrly'!J$2,'P&amp;L - Monthly'!74:74)</f>
        <v>-575320.4600000002</v>
      </c>
      <c r="K67" s="54">
        <f>SUMIF('P&amp;L - Monthly'!$2:$2,'P&amp;L - Qtrly'!K$2,'P&amp;L - Monthly'!74:74)</f>
        <v>-440678.39925616613</v>
      </c>
      <c r="L67" s="54">
        <f>SUMIF('P&amp;L - Monthly'!$2:$2,'P&amp;L - Qtrly'!L$2,'P&amp;L - Monthly'!74:74)</f>
        <v>-759831.7004554267</v>
      </c>
      <c r="M67" s="54">
        <f>SUMIF('P&amp;L - Monthly'!$2:$2,'P&amp;L - Qtrly'!M$2,'P&amp;L - Monthly'!74:74)</f>
        <v>222830.22780105405</v>
      </c>
      <c r="N67" s="54">
        <f>SUMIF('P&amp;L - Monthly'!$2:$2,'P&amp;L - Qtrly'!N$2,'P&amp;L - Monthly'!74:74)</f>
        <v>-239718.33691299986</v>
      </c>
      <c r="O67" s="54">
        <f>SUMIF('P&amp;L - Monthly'!$2:$2,'P&amp;L - Qtrly'!O$2,'P&amp;L - Monthly'!74:74)</f>
        <v>2640708.9904676098</v>
      </c>
      <c r="P67" s="54">
        <f>SUMIF('P&amp;L - Monthly'!$2:$2,'P&amp;L - Qtrly'!P$2,'P&amp;L - Monthly'!74:74)</f>
        <v>3680184.8938117572</v>
      </c>
      <c r="Q67" s="54">
        <f>SUMIF('P&amp;L - Monthly'!$2:$2,'P&amp;L - Qtrly'!Q$2,'P&amp;L - Monthly'!74:74)</f>
        <v>4764842.3908471344</v>
      </c>
      <c r="R67" s="54">
        <f>SUMIF('P&amp;L - Monthly'!$2:$2,'P&amp;L - Qtrly'!R$2,'P&amp;L - Monthly'!74:74)</f>
        <v>4244960.1014953395</v>
      </c>
      <c r="S67" s="54">
        <f>SUMIF('P&amp;L - Monthly'!$2:$2,'P&amp;L - Qtrly'!S$2,'P&amp;L - Monthly'!74:74)</f>
        <v>-5590108.5534674488</v>
      </c>
      <c r="T67" s="54">
        <f>SUMIF('P&amp;L - Monthly'!$2:$2,'P&amp;L - Qtrly'!T$2,'P&amp;L - Monthly'!74:74)</f>
        <v>-5192873.3586803246</v>
      </c>
      <c r="U67" s="54">
        <f>SUMIF('P&amp;L - Monthly'!$2:$2,'P&amp;L - Qtrly'!U$2,'P&amp;L - Monthly'!74:74)</f>
        <v>-5147093.7238082523</v>
      </c>
      <c r="V67" s="54">
        <f>SUMIF('P&amp;L - Monthly'!$2:$2,'P&amp;L - Qtrly'!V$2,'P&amp;L - Monthly'!74:74)</f>
        <v>-6785423.6408251654</v>
      </c>
      <c r="W67" s="581">
        <f>SUMIF('P&amp;L - Monthly'!$2:$2,'P&amp;L - Qtrly'!W$2,'P&amp;L - Monthly'!74:74)</f>
        <v>-3995979.6642996995</v>
      </c>
      <c r="X67" s="581">
        <f>SUMIF('P&amp;L - Monthly'!$2:$2,'P&amp;L - Qtrly'!X$2,'P&amp;L - Monthly'!74:74)</f>
        <v>-4014872.1384408451</v>
      </c>
      <c r="Y67" s="581">
        <f>SUMIF('P&amp;L - Monthly'!$2:$2,'P&amp;L - Qtrly'!Y$2,'P&amp;L - Monthly'!74:74)</f>
        <v>-4017687.454201533</v>
      </c>
      <c r="Z67" s="581">
        <f>SUMIF('P&amp;L - Monthly'!$2:$2,'P&amp;L - Qtrly'!Z$2,'P&amp;L - Monthly'!74:74)</f>
        <v>-5697834.6016312195</v>
      </c>
      <c r="AA67" s="202"/>
      <c r="AB67" s="202"/>
      <c r="AC67" s="202"/>
      <c r="AD67" s="202"/>
      <c r="AE67" s="202"/>
      <c r="AF67" s="202"/>
      <c r="AG67" s="202"/>
      <c r="AH67" s="202"/>
      <c r="AI67" s="202"/>
      <c r="AJ67" s="202"/>
      <c r="AK67" s="202"/>
      <c r="AL67" s="202"/>
      <c r="AM67" s="202"/>
      <c r="AN67" s="202"/>
      <c r="AO67" s="202"/>
      <c r="AP67" s="202"/>
      <c r="AQ67" s="202"/>
      <c r="AR67" s="202"/>
      <c r="AS67" s="202"/>
      <c r="AT67" s="202"/>
      <c r="AU67" s="202"/>
      <c r="AV67" s="202"/>
      <c r="AW67" s="85"/>
      <c r="AX67" s="85"/>
      <c r="AY67" s="85"/>
      <c r="AZ67" s="85"/>
      <c r="BA67" s="85"/>
      <c r="BB67" s="85"/>
      <c r="BC67" s="85"/>
      <c r="BD67" s="85"/>
      <c r="BE67" s="85"/>
      <c r="BF67" s="85"/>
      <c r="BG67" s="85"/>
      <c r="BH67" s="85"/>
      <c r="BI67" s="85"/>
      <c r="BJ67" s="85"/>
      <c r="BK67" s="85"/>
      <c r="BL67" s="85"/>
      <c r="BM67" s="85"/>
      <c r="BN67" s="85"/>
      <c r="BO67" s="85"/>
      <c r="BP67" s="85"/>
      <c r="BQ67" s="85"/>
      <c r="BR67" s="85"/>
      <c r="BS67" s="85"/>
      <c r="BT67" s="157"/>
    </row>
    <row r="68" spans="2:72" x14ac:dyDescent="0.35">
      <c r="W68" s="574"/>
      <c r="X68" s="574"/>
      <c r="Y68" s="574"/>
      <c r="Z68" s="574"/>
      <c r="AW68" s="157"/>
      <c r="AX68" s="157"/>
      <c r="AY68" s="157"/>
      <c r="AZ68" s="157"/>
      <c r="BA68" s="157"/>
      <c r="BB68" s="157"/>
      <c r="BC68" s="157"/>
      <c r="BD68" s="157"/>
      <c r="BE68" s="157"/>
      <c r="BF68" s="157"/>
      <c r="BG68" s="157"/>
      <c r="BH68" s="157"/>
      <c r="BI68" s="157"/>
      <c r="BJ68" s="157"/>
      <c r="BK68" s="157"/>
      <c r="BL68" s="157"/>
      <c r="BM68" s="157"/>
      <c r="BN68" s="157"/>
      <c r="BO68" s="157"/>
      <c r="BP68" s="157"/>
      <c r="BQ68" s="157"/>
      <c r="BR68" s="157"/>
      <c r="BS68" s="157"/>
      <c r="BT68" s="157"/>
    </row>
    <row r="69" spans="2:72" x14ac:dyDescent="0.35">
      <c r="B69" s="151" t="s">
        <v>174</v>
      </c>
      <c r="C69" s="17">
        <f>SUMIF('P&amp;L - Monthly'!$2:$2,'P&amp;L - Qtrly'!C$2,'P&amp;L - Monthly'!76:76)</f>
        <v>-1068</v>
      </c>
      <c r="D69" s="17">
        <f>SUMIF('P&amp;L - Monthly'!$2:$2,'P&amp;L - Qtrly'!D$2,'P&amp;L - Monthly'!76:76)</f>
        <v>37556</v>
      </c>
      <c r="E69" s="17">
        <f>SUMIF('P&amp;L - Monthly'!$2:$2,'P&amp;L - Qtrly'!E$2,'P&amp;L - Monthly'!76:76)</f>
        <v>440</v>
      </c>
      <c r="F69" s="17">
        <f>SUMIF('P&amp;L - Monthly'!$2:$2,'P&amp;L - Qtrly'!F$2,'P&amp;L - Monthly'!76:76)</f>
        <v>121</v>
      </c>
      <c r="G69" s="17">
        <f>SUMIF('P&amp;L - Monthly'!$2:$2,'P&amp;L - Qtrly'!G$2,'P&amp;L - Monthly'!76:76)</f>
        <v>288712.58999999997</v>
      </c>
      <c r="H69" s="17">
        <f>SUMIF('P&amp;L - Monthly'!$2:$2,'P&amp;L - Qtrly'!H$2,'P&amp;L - Monthly'!76:76)</f>
        <v>393427.06999999995</v>
      </c>
      <c r="I69" s="17">
        <f>SUMIF('P&amp;L - Monthly'!$2:$2,'P&amp;L - Qtrly'!I$2,'P&amp;L - Monthly'!76:76)</f>
        <v>286899.39</v>
      </c>
      <c r="J69" s="17">
        <f>SUMIF('P&amp;L - Monthly'!$2:$2,'P&amp;L - Qtrly'!J$2,'P&amp;L - Monthly'!76:76)</f>
        <v>283042.93</v>
      </c>
      <c r="K69" s="17">
        <f>SUMIF('P&amp;L - Monthly'!$2:$2,'P&amp;L - Qtrly'!K$2,'P&amp;L - Monthly'!76:76)</f>
        <v>301837.61266654934</v>
      </c>
      <c r="L69" s="17">
        <f>SUMIF('P&amp;L - Monthly'!$2:$2,'P&amp;L - Qtrly'!L$2,'P&amp;L - Monthly'!76:76)</f>
        <v>291941.87063146912</v>
      </c>
      <c r="M69" s="17">
        <f>SUMIF('P&amp;L - Monthly'!$2:$2,'P&amp;L - Qtrly'!M$2,'P&amp;L - Monthly'!76:76)</f>
        <v>287102.71386506659</v>
      </c>
      <c r="N69" s="17">
        <f>SUMIF('P&amp;L - Monthly'!$2:$2,'P&amp;L - Qtrly'!N$2,'P&amp;L - Monthly'!76:76)</f>
        <v>282190.60630727297</v>
      </c>
      <c r="O69" s="17">
        <f>SUMIF('P&amp;L - Monthly'!$2:$2,'P&amp;L - Qtrly'!O$2,'P&amp;L - Monthly'!76:76)</f>
        <v>293277.26239396911</v>
      </c>
      <c r="P69" s="17">
        <f>SUMIF('P&amp;L - Monthly'!$2:$2,'P&amp;L - Qtrly'!P$2,'P&amp;L - Monthly'!76:76)</f>
        <v>288438.11237756658</v>
      </c>
      <c r="Q69" s="17">
        <f>SUMIF('P&amp;L - Monthly'!$2:$2,'P&amp;L - Qtrly'!Q$2,'P&amp;L - Monthly'!76:76)</f>
        <v>283526.01156977296</v>
      </c>
      <c r="R69" s="17">
        <f>SUMIF('P&amp;L - Monthly'!$2:$2,'P&amp;L - Qtrly'!R$2,'P&amp;L - Monthly'!76:76)</f>
        <v>293277.26239396911</v>
      </c>
      <c r="S69" s="17">
        <f>SUMIF('P&amp;L - Monthly'!$2:$2,'P&amp;L - Qtrly'!S$2,'P&amp;L - Monthly'!76:76)</f>
        <v>291409.48564877757</v>
      </c>
      <c r="T69" s="17">
        <f>SUMIF('P&amp;L - Monthly'!$2:$2,'P&amp;L - Qtrly'!T$2,'P&amp;L - Monthly'!76:76)</f>
        <v>290874.47947742243</v>
      </c>
      <c r="U69" s="17">
        <f>SUMIF('P&amp;L - Monthly'!$2:$2,'P&amp;L - Qtrly'!U$2,'P&amp;L - Monthly'!76:76)</f>
        <v>291409.47214877751</v>
      </c>
      <c r="V69" s="17">
        <f>SUMIF('P&amp;L - Monthly'!$2:$2,'P&amp;L - Qtrly'!V$2,'P&amp;L - Monthly'!76:76)</f>
        <v>290874.46597742249</v>
      </c>
      <c r="W69" s="579">
        <f>SUMIF('P&amp;L - Monthly'!$2:$2,'P&amp;L - Qtrly'!W$2,'P&amp;L - Monthly'!76:76)</f>
        <v>291854.61323627754</v>
      </c>
      <c r="X69" s="579">
        <f>SUMIF('P&amp;L - Monthly'!$2:$2,'P&amp;L - Qtrly'!X$2,'P&amp;L - Monthly'!76:76)</f>
        <v>290874.45247742243</v>
      </c>
      <c r="Y69" s="579">
        <f>SUMIF('P&amp;L - Monthly'!$2:$2,'P&amp;L - Qtrly'!Y$2,'P&amp;L - Monthly'!76:76)</f>
        <v>291409.44514877751</v>
      </c>
      <c r="Z69" s="579">
        <f>SUMIF('P&amp;L - Monthly'!$2:$2,'P&amp;L - Qtrly'!Z$2,'P&amp;L - Monthly'!76:76)</f>
        <v>97314.81335671086</v>
      </c>
      <c r="AA69" s="38"/>
      <c r="AB69" s="38"/>
      <c r="AC69" s="38"/>
      <c r="AD69" s="38"/>
      <c r="AE69" s="38"/>
      <c r="AF69" s="38"/>
      <c r="AG69" s="38"/>
      <c r="AH69" s="38"/>
      <c r="AW69" s="157"/>
      <c r="AX69" s="157"/>
      <c r="AY69" s="157"/>
      <c r="AZ69" s="157"/>
      <c r="BA69" s="157"/>
      <c r="BB69" s="157"/>
      <c r="BC69" s="157"/>
      <c r="BD69" s="157"/>
      <c r="BE69" s="157"/>
      <c r="BF69" s="157"/>
      <c r="BG69" s="157"/>
      <c r="BH69" s="157"/>
      <c r="BI69" s="157"/>
      <c r="BJ69" s="157"/>
      <c r="BK69" s="157"/>
      <c r="BL69" s="157"/>
      <c r="BM69" s="157"/>
      <c r="BN69" s="157"/>
      <c r="BO69" s="157"/>
      <c r="BP69" s="157"/>
      <c r="BQ69" s="157"/>
      <c r="BR69" s="157"/>
      <c r="BS69" s="157"/>
      <c r="BT69" s="157"/>
    </row>
    <row r="70" spans="2:72" x14ac:dyDescent="0.35">
      <c r="W70" s="574"/>
      <c r="X70" s="574"/>
      <c r="Y70" s="574"/>
      <c r="Z70" s="574"/>
      <c r="AW70" s="157"/>
      <c r="AX70" s="157"/>
      <c r="AY70" s="157"/>
      <c r="AZ70" s="157"/>
      <c r="BA70" s="157"/>
      <c r="BB70" s="157"/>
      <c r="BC70" s="157"/>
      <c r="BD70" s="157"/>
      <c r="BE70" s="157"/>
      <c r="BF70" s="157"/>
      <c r="BG70" s="157"/>
      <c r="BH70" s="157"/>
      <c r="BI70" s="157"/>
      <c r="BJ70" s="157"/>
      <c r="BK70" s="157"/>
      <c r="BL70" s="157"/>
      <c r="BM70" s="157"/>
      <c r="BN70" s="157"/>
      <c r="BO70" s="157"/>
      <c r="BP70" s="157"/>
      <c r="BQ70" s="157"/>
      <c r="BR70" s="157"/>
      <c r="BS70" s="157"/>
      <c r="BT70" s="157"/>
    </row>
    <row r="71" spans="2:72" ht="15" thickBot="1" x14ac:dyDescent="0.4">
      <c r="B71" s="51" t="s">
        <v>142</v>
      </c>
      <c r="C71" s="54">
        <f>SUMIF('P&amp;L - Monthly'!$2:$2,'P&amp;L - Qtrly'!C$2,'P&amp;L - Monthly'!78:78)</f>
        <v>1376353.9261437471</v>
      </c>
      <c r="D71" s="54">
        <f>SUMIF('P&amp;L - Monthly'!$2:$2,'P&amp;L - Qtrly'!D$2,'P&amp;L - Monthly'!78:78)</f>
        <v>1132259.7276342157</v>
      </c>
      <c r="E71" s="54">
        <f>SUMIF('P&amp;L - Monthly'!$2:$2,'P&amp;L - Qtrly'!E$2,'P&amp;L - Monthly'!78:78)</f>
        <v>798468.99817689904</v>
      </c>
      <c r="F71" s="54">
        <f>SUMIF('P&amp;L - Monthly'!$2:$2,'P&amp;L - Qtrly'!F$2,'P&amp;L - Monthly'!78:78)</f>
        <v>1298780.2998026707</v>
      </c>
      <c r="G71" s="54">
        <f>SUMIF('P&amp;L - Monthly'!$2:$2,'P&amp;L - Qtrly'!G$2,'P&amp;L - Monthly'!78:78)</f>
        <v>-351998.23000000021</v>
      </c>
      <c r="H71" s="54">
        <f>SUMIF('P&amp;L - Monthly'!$2:$2,'P&amp;L - Qtrly'!H$2,'P&amp;L - Monthly'!78:78)</f>
        <v>-672624.62999999931</v>
      </c>
      <c r="I71" s="54">
        <f>SUMIF('P&amp;L - Monthly'!$2:$2,'P&amp;L - Qtrly'!I$2,'P&amp;L - Monthly'!78:78)</f>
        <v>-1827416.4699999993</v>
      </c>
      <c r="J71" s="54">
        <f>SUMIF('P&amp;L - Monthly'!$2:$2,'P&amp;L - Qtrly'!J$2,'P&amp;L - Monthly'!78:78)</f>
        <v>-858363.39000000013</v>
      </c>
      <c r="K71" s="54">
        <f>SUMIF('P&amp;L - Monthly'!$2:$2,'P&amp;L - Qtrly'!K$2,'P&amp;L - Monthly'!78:78)</f>
        <v>-742516.01192271546</v>
      </c>
      <c r="L71" s="54">
        <f>SUMIF('P&amp;L - Monthly'!$2:$2,'P&amp;L - Qtrly'!L$2,'P&amp;L - Monthly'!78:78)</f>
        <v>-1051773.5710868959</v>
      </c>
      <c r="M71" s="54">
        <f>SUMIF('P&amp;L - Monthly'!$2:$2,'P&amp;L - Qtrly'!M$2,'P&amp;L - Monthly'!78:78)</f>
        <v>-64272.486064012512</v>
      </c>
      <c r="N71" s="54">
        <f>SUMIF('P&amp;L - Monthly'!$2:$2,'P&amp;L - Qtrly'!N$2,'P&amp;L - Monthly'!78:78)</f>
        <v>-521908.94322027278</v>
      </c>
      <c r="O71" s="54">
        <f>SUMIF('P&amp;L - Monthly'!$2:$2,'P&amp;L - Qtrly'!O$2,'P&amp;L - Monthly'!78:78)</f>
        <v>2347431.7280736412</v>
      </c>
      <c r="P71" s="54">
        <f>SUMIF('P&amp;L - Monthly'!$2:$2,'P&amp;L - Qtrly'!P$2,'P&amp;L - Monthly'!78:78)</f>
        <v>3391746.7814341905</v>
      </c>
      <c r="Q71" s="54">
        <f>SUMIF('P&amp;L - Monthly'!$2:$2,'P&amp;L - Qtrly'!Q$2,'P&amp;L - Monthly'!78:78)</f>
        <v>4481316.3792773616</v>
      </c>
      <c r="R71" s="54">
        <f>SUMIF('P&amp;L - Monthly'!$2:$2,'P&amp;L - Qtrly'!R$2,'P&amp;L - Monthly'!78:78)</f>
        <v>3951682.8391013704</v>
      </c>
      <c r="S71" s="54">
        <f>SUMIF('P&amp;L - Monthly'!$2:$2,'P&amp;L - Qtrly'!S$2,'P&amp;L - Monthly'!78:78)</f>
        <v>-5881518.0391162261</v>
      </c>
      <c r="T71" s="54">
        <f>SUMIF('P&amp;L - Monthly'!$2:$2,'P&amp;L - Qtrly'!T$2,'P&amp;L - Monthly'!78:78)</f>
        <v>-5483747.8381577469</v>
      </c>
      <c r="U71" s="54">
        <f>SUMIF('P&amp;L - Monthly'!$2:$2,'P&amp;L - Qtrly'!U$2,'P&amp;L - Monthly'!78:78)</f>
        <v>-5438503.1959570292</v>
      </c>
      <c r="V71" s="54">
        <f>SUMIF('P&amp;L - Monthly'!$2:$2,'P&amp;L - Qtrly'!V$2,'P&amp;L - Monthly'!78:78)</f>
        <v>-7076298.1068025874</v>
      </c>
      <c r="W71" s="581">
        <f>SUMIF('P&amp;L - Monthly'!$2:$2,'P&amp;L - Qtrly'!W$2,'P&amp;L - Monthly'!78:78)</f>
        <v>-4287834.2775359768</v>
      </c>
      <c r="X71" s="581">
        <f>SUMIF('P&amp;L - Monthly'!$2:$2,'P&amp;L - Qtrly'!X$2,'P&amp;L - Monthly'!78:78)</f>
        <v>-4305746.5909182671</v>
      </c>
      <c r="Y71" s="581">
        <f>SUMIF('P&amp;L - Monthly'!$2:$2,'P&amp;L - Qtrly'!Y$2,'P&amp;L - Monthly'!78:78)</f>
        <v>-4309096.8993503107</v>
      </c>
      <c r="Z71" s="581">
        <f>SUMIF('P&amp;L - Monthly'!$2:$2,'P&amp;L - Qtrly'!Z$2,'P&amp;L - Monthly'!78:78)</f>
        <v>-5795149.414987931</v>
      </c>
      <c r="AA71" s="202"/>
      <c r="AB71" s="202"/>
      <c r="AC71" s="202"/>
      <c r="AD71" s="202"/>
      <c r="AE71" s="202"/>
      <c r="AF71" s="202"/>
      <c r="AG71" s="202"/>
      <c r="AH71" s="202"/>
      <c r="AI71" s="202"/>
      <c r="AJ71" s="202"/>
      <c r="AK71" s="202"/>
      <c r="AL71" s="202"/>
      <c r="AM71" s="202"/>
      <c r="AN71" s="202"/>
      <c r="AO71" s="202"/>
      <c r="AP71" s="202"/>
      <c r="AQ71" s="202"/>
      <c r="AR71" s="202"/>
      <c r="AS71" s="202"/>
      <c r="AT71" s="202"/>
      <c r="AU71" s="202"/>
      <c r="AV71" s="202"/>
      <c r="AW71" s="85"/>
      <c r="AX71" s="85"/>
      <c r="AY71" s="85"/>
      <c r="AZ71" s="85"/>
      <c r="BA71" s="85"/>
      <c r="BB71" s="85"/>
      <c r="BC71" s="85"/>
      <c r="BD71" s="85"/>
      <c r="BE71" s="85"/>
      <c r="BF71" s="85"/>
      <c r="BG71" s="85"/>
      <c r="BH71" s="85"/>
      <c r="BI71" s="85"/>
      <c r="BJ71" s="85"/>
      <c r="BK71" s="85"/>
      <c r="BL71" s="85"/>
      <c r="BM71" s="85"/>
      <c r="BN71" s="85"/>
      <c r="BO71" s="85"/>
      <c r="BP71" s="85"/>
      <c r="BQ71" s="85"/>
      <c r="BR71" s="85"/>
      <c r="BS71" s="85"/>
      <c r="BT71" s="157"/>
    </row>
    <row r="72" spans="2:72" x14ac:dyDescent="0.35">
      <c r="W72" s="574"/>
      <c r="X72" s="574"/>
      <c r="Y72" s="574"/>
      <c r="Z72" s="574"/>
      <c r="AW72" s="157"/>
      <c r="AX72" s="157"/>
      <c r="AY72" s="157"/>
      <c r="AZ72" s="157"/>
      <c r="BA72" s="157"/>
      <c r="BB72" s="157"/>
      <c r="BC72" s="157"/>
      <c r="BD72" s="157"/>
      <c r="BE72" s="157"/>
      <c r="BF72" s="157"/>
      <c r="BG72" s="157"/>
      <c r="BH72" s="157"/>
      <c r="BI72" s="157"/>
      <c r="BJ72" s="157"/>
      <c r="BK72" s="157"/>
      <c r="BL72" s="157"/>
      <c r="BM72" s="157"/>
      <c r="BN72" s="157"/>
      <c r="BO72" s="157"/>
      <c r="BP72" s="157"/>
      <c r="BQ72" s="157"/>
      <c r="BR72" s="157"/>
      <c r="BS72" s="157"/>
      <c r="BT72" s="157"/>
    </row>
    <row r="73" spans="2:72" x14ac:dyDescent="0.35">
      <c r="B73" s="41" t="s">
        <v>143</v>
      </c>
      <c r="C73" s="17">
        <f>SUMIF('P&amp;L - Monthly'!$2:$2,'P&amp;L - Qtrly'!C$2,'P&amp;L - Monthly'!80:80)</f>
        <v>0</v>
      </c>
      <c r="D73" s="17">
        <f>SUMIF('P&amp;L - Monthly'!$2:$2,'P&amp;L - Qtrly'!D$2,'P&amp;L - Monthly'!80:80)</f>
        <v>0</v>
      </c>
      <c r="E73" s="17">
        <f>SUMIF('P&amp;L - Monthly'!$2:$2,'P&amp;L - Qtrly'!E$2,'P&amp;L - Monthly'!80:80)</f>
        <v>0</v>
      </c>
      <c r="F73" s="17">
        <f>SUMIF('P&amp;L - Monthly'!$2:$2,'P&amp;L - Qtrly'!F$2,'P&amp;L - Monthly'!80:80)</f>
        <v>0</v>
      </c>
      <c r="G73" s="17">
        <f>SUMIF('P&amp;L - Monthly'!$2:$2,'P&amp;L - Qtrly'!G$2,'P&amp;L - Monthly'!80:80)</f>
        <v>0</v>
      </c>
      <c r="H73" s="17">
        <f>SUMIF('P&amp;L - Monthly'!$2:$2,'P&amp;L - Qtrly'!H$2,'P&amp;L - Monthly'!80:80)</f>
        <v>0</v>
      </c>
      <c r="I73" s="17">
        <f>SUMIF('P&amp;L - Monthly'!$2:$2,'P&amp;L - Qtrly'!I$2,'P&amp;L - Monthly'!80:80)</f>
        <v>0</v>
      </c>
      <c r="J73" s="17">
        <f>SUMIF('P&amp;L - Monthly'!$2:$2,'P&amp;L - Qtrly'!J$2,'P&amp;L - Monthly'!80:80)</f>
        <v>0</v>
      </c>
      <c r="K73" s="17">
        <f>SUMIF('P&amp;L - Monthly'!$2:$2,'P&amp;L - Qtrly'!K$2,'P&amp;L - Monthly'!80:80)</f>
        <v>0</v>
      </c>
      <c r="L73" s="17">
        <f>SUMIF('P&amp;L - Monthly'!$2:$2,'P&amp;L - Qtrly'!L$2,'P&amp;L - Monthly'!80:80)</f>
        <v>0</v>
      </c>
      <c r="M73" s="17">
        <f>SUMIF('P&amp;L - Monthly'!$2:$2,'P&amp;L - Qtrly'!M$2,'P&amp;L - Monthly'!80:80)</f>
        <v>0</v>
      </c>
      <c r="N73" s="17">
        <f>SUMIF('P&amp;L - Monthly'!$2:$2,'P&amp;L - Qtrly'!N$2,'P&amp;L - Monthly'!80:80)</f>
        <v>0</v>
      </c>
      <c r="O73" s="17">
        <f>SUMIF('P&amp;L - Monthly'!$2:$2,'P&amp;L - Qtrly'!O$2,'P&amp;L - Monthly'!80:80)</f>
        <v>0</v>
      </c>
      <c r="P73" s="17">
        <f>SUMIF('P&amp;L - Monthly'!$2:$2,'P&amp;L - Qtrly'!P$2,'P&amp;L - Monthly'!80:80)</f>
        <v>0</v>
      </c>
      <c r="Q73" s="17">
        <f>SUMIF('P&amp;L - Monthly'!$2:$2,'P&amp;L - Qtrly'!Q$2,'P&amp;L - Monthly'!80:80)</f>
        <v>0</v>
      </c>
      <c r="R73" s="17">
        <f>SUMIF('P&amp;L - Monthly'!$2:$2,'P&amp;L - Qtrly'!R$2,'P&amp;L - Monthly'!80:80)</f>
        <v>0</v>
      </c>
      <c r="S73" s="17">
        <f>SUMIF('P&amp;L - Monthly'!$2:$2,'P&amp;L - Qtrly'!S$2,'P&amp;L - Monthly'!80:80)</f>
        <v>0</v>
      </c>
      <c r="T73" s="17">
        <f>SUMIF('P&amp;L - Monthly'!$2:$2,'P&amp;L - Qtrly'!T$2,'P&amp;L - Monthly'!80:80)</f>
        <v>0</v>
      </c>
      <c r="U73" s="17">
        <f>SUMIF('P&amp;L - Monthly'!$2:$2,'P&amp;L - Qtrly'!U$2,'P&amp;L - Monthly'!80:80)</f>
        <v>0</v>
      </c>
      <c r="V73" s="17">
        <f>SUMIF('P&amp;L - Monthly'!$2:$2,'P&amp;L - Qtrly'!V$2,'P&amp;L - Monthly'!80:80)</f>
        <v>0</v>
      </c>
      <c r="W73" s="579">
        <f>SUMIF('P&amp;L - Monthly'!$2:$2,'P&amp;L - Qtrly'!W$2,'P&amp;L - Monthly'!80:80)</f>
        <v>0</v>
      </c>
      <c r="X73" s="579">
        <f>SUMIF('P&amp;L - Monthly'!$2:$2,'P&amp;L - Qtrly'!X$2,'P&amp;L - Monthly'!80:80)</f>
        <v>0</v>
      </c>
      <c r="Y73" s="579">
        <f>SUMIF('P&amp;L - Monthly'!$2:$2,'P&amp;L - Qtrly'!Y$2,'P&amp;L - Monthly'!80:80)</f>
        <v>0</v>
      </c>
      <c r="Z73" s="579">
        <f>SUMIF('P&amp;L - Monthly'!$2:$2,'P&amp;L - Qtrly'!Z$2,'P&amp;L - Monthly'!80:80)</f>
        <v>0</v>
      </c>
      <c r="AA73" s="38"/>
      <c r="AB73" s="38"/>
      <c r="AC73" s="38"/>
      <c r="AD73" s="38"/>
      <c r="AE73" s="38"/>
      <c r="AF73" s="38"/>
      <c r="AG73" s="38"/>
      <c r="AH73" s="38"/>
      <c r="AW73" s="157"/>
      <c r="AX73" s="157"/>
      <c r="AY73" s="157"/>
      <c r="AZ73" s="157"/>
      <c r="BA73" s="157"/>
      <c r="BB73" s="157"/>
      <c r="BC73" s="157"/>
      <c r="BD73" s="157"/>
      <c r="BE73" s="157"/>
      <c r="BF73" s="157"/>
      <c r="BG73" s="157"/>
      <c r="BH73" s="157"/>
      <c r="BI73" s="157"/>
      <c r="BJ73" s="157"/>
      <c r="BK73" s="157"/>
      <c r="BL73" s="157"/>
      <c r="BM73" s="157"/>
      <c r="BN73" s="157"/>
      <c r="BO73" s="157"/>
      <c r="BP73" s="157"/>
      <c r="BQ73" s="157"/>
      <c r="BR73" s="157"/>
      <c r="BS73" s="157"/>
      <c r="BT73" s="157"/>
    </row>
    <row r="74" spans="2:72" x14ac:dyDescent="0.35">
      <c r="W74" s="574"/>
      <c r="X74" s="574"/>
      <c r="Y74" s="574"/>
      <c r="Z74" s="574"/>
      <c r="AW74" s="157"/>
      <c r="AX74" s="157"/>
      <c r="AY74" s="157"/>
      <c r="AZ74" s="157"/>
      <c r="BA74" s="157"/>
      <c r="BB74" s="157"/>
      <c r="BC74" s="157"/>
      <c r="BD74" s="157"/>
      <c r="BE74" s="157"/>
      <c r="BF74" s="157"/>
      <c r="BG74" s="157"/>
      <c r="BH74" s="157"/>
      <c r="BI74" s="157"/>
      <c r="BJ74" s="157"/>
      <c r="BK74" s="157"/>
      <c r="BL74" s="157"/>
      <c r="BM74" s="157"/>
      <c r="BN74" s="157"/>
      <c r="BO74" s="157"/>
      <c r="BP74" s="157"/>
      <c r="BQ74" s="157"/>
      <c r="BR74" s="157"/>
      <c r="BS74" s="157"/>
      <c r="BT74" s="157"/>
    </row>
    <row r="75" spans="2:72" ht="15" thickBot="1" x14ac:dyDescent="0.4">
      <c r="B75" s="51" t="s">
        <v>113</v>
      </c>
      <c r="C75" s="54">
        <f>SUMIF('P&amp;L - Monthly'!$2:$2,'P&amp;L - Qtrly'!C$2,'P&amp;L - Monthly'!82:82)</f>
        <v>1376353.9261437471</v>
      </c>
      <c r="D75" s="54">
        <f>SUMIF('P&amp;L - Monthly'!$2:$2,'P&amp;L - Qtrly'!D$2,'P&amp;L - Monthly'!82:82)</f>
        <v>1132259.7276342157</v>
      </c>
      <c r="E75" s="54">
        <f>SUMIF('P&amp;L - Monthly'!$2:$2,'P&amp;L - Qtrly'!E$2,'P&amp;L - Monthly'!82:82)</f>
        <v>798468.99817689904</v>
      </c>
      <c r="F75" s="54">
        <f>SUMIF('P&amp;L - Monthly'!$2:$2,'P&amp;L - Qtrly'!F$2,'P&amp;L - Monthly'!82:82)</f>
        <v>1298780.2998026707</v>
      </c>
      <c r="G75" s="54">
        <f>SUMIF('P&amp;L - Monthly'!$2:$2,'P&amp;L - Qtrly'!G$2,'P&amp;L - Monthly'!82:82)</f>
        <v>-351998.23000000021</v>
      </c>
      <c r="H75" s="54">
        <f>SUMIF('P&amp;L - Monthly'!$2:$2,'P&amp;L - Qtrly'!H$2,'P&amp;L - Monthly'!82:82)</f>
        <v>-672624.62999999931</v>
      </c>
      <c r="I75" s="54">
        <f>SUMIF('P&amp;L - Monthly'!$2:$2,'P&amp;L - Qtrly'!I$2,'P&amp;L - Monthly'!82:82)</f>
        <v>-1827416.4699999993</v>
      </c>
      <c r="J75" s="54">
        <f>SUMIF('P&amp;L - Monthly'!$2:$2,'P&amp;L - Qtrly'!J$2,'P&amp;L - Monthly'!82:82)</f>
        <v>-858363.39000000013</v>
      </c>
      <c r="K75" s="54">
        <f>SUMIF('P&amp;L - Monthly'!$2:$2,'P&amp;L - Qtrly'!K$2,'P&amp;L - Monthly'!82:82)</f>
        <v>-742516.01192271546</v>
      </c>
      <c r="L75" s="54">
        <f>SUMIF('P&amp;L - Monthly'!$2:$2,'P&amp;L - Qtrly'!L$2,'P&amp;L - Monthly'!82:82)</f>
        <v>-1051773.5710868959</v>
      </c>
      <c r="M75" s="54">
        <f>SUMIF('P&amp;L - Monthly'!$2:$2,'P&amp;L - Qtrly'!M$2,'P&amp;L - Monthly'!82:82)</f>
        <v>-64272.486064012512</v>
      </c>
      <c r="N75" s="54">
        <f>SUMIF('P&amp;L - Monthly'!$2:$2,'P&amp;L - Qtrly'!N$2,'P&amp;L - Monthly'!82:82)</f>
        <v>-521908.94322027278</v>
      </c>
      <c r="O75" s="54">
        <f>SUMIF('P&amp;L - Monthly'!$2:$2,'P&amp;L - Qtrly'!O$2,'P&amp;L - Monthly'!82:82)</f>
        <v>2347431.7280736412</v>
      </c>
      <c r="P75" s="54">
        <f>SUMIF('P&amp;L - Monthly'!$2:$2,'P&amp;L - Qtrly'!P$2,'P&amp;L - Monthly'!82:82)</f>
        <v>3391746.7814341905</v>
      </c>
      <c r="Q75" s="54">
        <f>SUMIF('P&amp;L - Monthly'!$2:$2,'P&amp;L - Qtrly'!Q$2,'P&amp;L - Monthly'!82:82)</f>
        <v>4481316.3792773616</v>
      </c>
      <c r="R75" s="54">
        <f>SUMIF('P&amp;L - Monthly'!$2:$2,'P&amp;L - Qtrly'!R$2,'P&amp;L - Monthly'!82:82)</f>
        <v>3951682.8391013704</v>
      </c>
      <c r="S75" s="54">
        <f>SUMIF('P&amp;L - Monthly'!$2:$2,'P&amp;L - Qtrly'!S$2,'P&amp;L - Monthly'!82:82)</f>
        <v>-5881518.0391162261</v>
      </c>
      <c r="T75" s="54">
        <f>SUMIF('P&amp;L - Monthly'!$2:$2,'P&amp;L - Qtrly'!T$2,'P&amp;L - Monthly'!82:82)</f>
        <v>-5483747.8381577469</v>
      </c>
      <c r="U75" s="54">
        <f>SUMIF('P&amp;L - Monthly'!$2:$2,'P&amp;L - Qtrly'!U$2,'P&amp;L - Monthly'!82:82)</f>
        <v>-5438503.1959570292</v>
      </c>
      <c r="V75" s="54">
        <f>SUMIF('P&amp;L - Monthly'!$2:$2,'P&amp;L - Qtrly'!V$2,'P&amp;L - Monthly'!82:82)</f>
        <v>-7076298.1068025874</v>
      </c>
      <c r="W75" s="581">
        <f>SUMIF('P&amp;L - Monthly'!$2:$2,'P&amp;L - Qtrly'!W$2,'P&amp;L - Monthly'!82:82)</f>
        <v>-4287834.2775359768</v>
      </c>
      <c r="X75" s="581">
        <f>SUMIF('P&amp;L - Monthly'!$2:$2,'P&amp;L - Qtrly'!X$2,'P&amp;L - Monthly'!82:82)</f>
        <v>-4305746.5909182671</v>
      </c>
      <c r="Y75" s="581">
        <f>SUMIF('P&amp;L - Monthly'!$2:$2,'P&amp;L - Qtrly'!Y$2,'P&amp;L - Monthly'!82:82)</f>
        <v>-4309096.8993503107</v>
      </c>
      <c r="Z75" s="581">
        <f>SUMIF('P&amp;L - Monthly'!$2:$2,'P&amp;L - Qtrly'!Z$2,'P&amp;L - Monthly'!82:82)</f>
        <v>-5795149.414987931</v>
      </c>
      <c r="AA75" s="202"/>
      <c r="AB75" s="202"/>
      <c r="AC75" s="202"/>
      <c r="AD75" s="202"/>
      <c r="AE75" s="202"/>
      <c r="AF75" s="202"/>
      <c r="AG75" s="202"/>
      <c r="AH75" s="202"/>
      <c r="AI75" s="202"/>
      <c r="AJ75" s="202"/>
      <c r="AK75" s="202"/>
      <c r="AL75" s="202"/>
      <c r="AM75" s="202"/>
      <c r="AN75" s="202"/>
      <c r="AO75" s="202"/>
      <c r="AP75" s="202"/>
      <c r="AQ75" s="202"/>
      <c r="AR75" s="202"/>
      <c r="AS75" s="202"/>
      <c r="AT75" s="202"/>
      <c r="AU75" s="202"/>
      <c r="AV75" s="202"/>
      <c r="AW75" s="85"/>
      <c r="AX75" s="85"/>
      <c r="AY75" s="85"/>
      <c r="AZ75" s="85"/>
      <c r="BA75" s="85"/>
      <c r="BB75" s="85"/>
      <c r="BC75" s="85"/>
      <c r="BD75" s="85"/>
      <c r="BE75" s="85"/>
      <c r="BF75" s="85"/>
      <c r="BG75" s="85"/>
      <c r="BH75" s="85"/>
      <c r="BI75" s="85"/>
      <c r="BJ75" s="85"/>
      <c r="BK75" s="85"/>
      <c r="BL75" s="85"/>
      <c r="BM75" s="85"/>
      <c r="BN75" s="85"/>
      <c r="BO75" s="85"/>
      <c r="BP75" s="85"/>
      <c r="BQ75" s="85"/>
      <c r="BR75" s="85"/>
      <c r="BS75" s="85"/>
      <c r="BT75" s="157"/>
    </row>
    <row r="76" spans="2:72" x14ac:dyDescent="0.35">
      <c r="AW76" s="157"/>
      <c r="AX76" s="157"/>
      <c r="AY76" s="157"/>
      <c r="AZ76" s="157"/>
      <c r="BA76" s="157"/>
      <c r="BB76" s="157"/>
      <c r="BC76" s="157"/>
      <c r="BD76" s="157"/>
      <c r="BE76" s="157"/>
      <c r="BF76" s="157"/>
      <c r="BG76" s="157"/>
      <c r="BH76" s="157"/>
      <c r="BI76" s="157"/>
      <c r="BJ76" s="157"/>
      <c r="BK76" s="157"/>
      <c r="BL76" s="157"/>
      <c r="BM76" s="157"/>
      <c r="BN76" s="157"/>
      <c r="BO76" s="157"/>
      <c r="BP76" s="157"/>
      <c r="BQ76" s="157"/>
      <c r="BR76" s="157"/>
      <c r="BS76" s="157"/>
      <c r="BT76" s="157"/>
    </row>
    <row r="77" spans="2:72" x14ac:dyDescent="0.35">
      <c r="AW77" s="157"/>
      <c r="AX77" s="157"/>
      <c r="AY77" s="157"/>
      <c r="AZ77" s="157"/>
      <c r="BA77" s="157"/>
      <c r="BB77" s="157"/>
      <c r="BC77" s="157"/>
      <c r="BD77" s="157"/>
      <c r="BE77" s="157"/>
      <c r="BF77" s="157"/>
      <c r="BG77" s="157"/>
      <c r="BH77" s="157"/>
      <c r="BI77" s="157"/>
      <c r="BJ77" s="157"/>
      <c r="BK77" s="157"/>
      <c r="BL77" s="157"/>
      <c r="BM77" s="157"/>
      <c r="BN77" s="157"/>
      <c r="BO77" s="157"/>
      <c r="BP77" s="157"/>
      <c r="BQ77" s="157"/>
      <c r="BR77" s="157"/>
      <c r="BS77" s="157"/>
      <c r="BT77" s="157"/>
    </row>
    <row r="78" spans="2:72" x14ac:dyDescent="0.35">
      <c r="AW78" s="157"/>
      <c r="AX78" s="157"/>
      <c r="AY78" s="157"/>
      <c r="AZ78" s="157"/>
      <c r="BA78" s="157"/>
      <c r="BB78" s="157"/>
      <c r="BC78" s="157"/>
      <c r="BD78" s="157"/>
      <c r="BE78" s="157"/>
      <c r="BF78" s="157"/>
      <c r="BG78" s="157"/>
      <c r="BH78" s="157"/>
      <c r="BI78" s="157"/>
      <c r="BJ78" s="157"/>
      <c r="BK78" s="157"/>
      <c r="BL78" s="157"/>
      <c r="BM78" s="157"/>
      <c r="BN78" s="157"/>
      <c r="BO78" s="157"/>
      <c r="BP78" s="157"/>
      <c r="BQ78" s="157"/>
      <c r="BR78" s="157"/>
      <c r="BS78" s="157"/>
      <c r="BT78" s="157"/>
    </row>
    <row r="79" spans="2:72" x14ac:dyDescent="0.35">
      <c r="AW79" s="157"/>
      <c r="AX79" s="157"/>
      <c r="AY79" s="157"/>
      <c r="AZ79" s="157"/>
      <c r="BA79" s="157"/>
      <c r="BB79" s="157"/>
      <c r="BC79" s="157"/>
      <c r="BD79" s="157"/>
      <c r="BE79" s="157"/>
      <c r="BF79" s="157"/>
      <c r="BG79" s="157"/>
      <c r="BH79" s="157"/>
      <c r="BI79" s="157"/>
      <c r="BJ79" s="157"/>
      <c r="BK79" s="157"/>
      <c r="BL79" s="157"/>
      <c r="BM79" s="157"/>
      <c r="BN79" s="157"/>
      <c r="BO79" s="157"/>
      <c r="BP79" s="157"/>
      <c r="BQ79" s="157"/>
      <c r="BR79" s="157"/>
      <c r="BS79" s="157"/>
      <c r="BT79" s="157"/>
    </row>
    <row r="80" spans="2:72" x14ac:dyDescent="0.35">
      <c r="AW80" s="157"/>
      <c r="AX80" s="157"/>
      <c r="AY80" s="157"/>
      <c r="AZ80" s="157"/>
      <c r="BA80" s="157"/>
      <c r="BB80" s="157"/>
      <c r="BC80" s="157"/>
      <c r="BD80" s="157"/>
      <c r="BE80" s="157"/>
      <c r="BF80" s="157"/>
      <c r="BG80" s="157"/>
      <c r="BH80" s="157"/>
      <c r="BI80" s="157"/>
      <c r="BJ80" s="157"/>
      <c r="BK80" s="157"/>
      <c r="BL80" s="157"/>
      <c r="BM80" s="157"/>
      <c r="BN80" s="157"/>
      <c r="BO80" s="157"/>
      <c r="BP80" s="157"/>
      <c r="BQ80" s="157"/>
      <c r="BR80" s="157"/>
      <c r="BS80" s="157"/>
      <c r="BT80" s="157"/>
    </row>
    <row r="81" spans="49:72" x14ac:dyDescent="0.35">
      <c r="AW81" s="157"/>
      <c r="AX81" s="157"/>
      <c r="AY81" s="157"/>
      <c r="AZ81" s="157"/>
      <c r="BA81" s="157"/>
      <c r="BB81" s="157"/>
      <c r="BC81" s="157"/>
      <c r="BD81" s="157"/>
      <c r="BE81" s="157"/>
      <c r="BF81" s="157"/>
      <c r="BG81" s="157"/>
      <c r="BH81" s="157"/>
      <c r="BI81" s="157"/>
      <c r="BJ81" s="157"/>
      <c r="BK81" s="157"/>
      <c r="BL81" s="157"/>
      <c r="BM81" s="157"/>
      <c r="BN81" s="157"/>
      <c r="BO81" s="157"/>
      <c r="BP81" s="157"/>
      <c r="BQ81" s="157"/>
      <c r="BR81" s="157"/>
      <c r="BS81" s="157"/>
      <c r="BT81" s="157"/>
    </row>
  </sheetData>
  <conditionalFormatting sqref="C3:Z3 C58:Z58 C64:Z65 C69:Z69 C73:Z73 C38:Z39 C33:Z34 C43:Z55 C14:Z15 C21:Z24 C6:Z11">
    <cfRule type="expression" dxfId="94" priority="34">
      <formula>C$3="Actual"</formula>
    </cfRule>
  </conditionalFormatting>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3" tint="0.39997558519241921"/>
  </sheetPr>
  <dimension ref="A1:BX79"/>
  <sheetViews>
    <sheetView zoomScale="80" zoomScaleNormal="80" workbookViewId="0">
      <pane xSplit="3" ySplit="6" topLeftCell="D7" activePane="bottomRight" state="frozen"/>
      <selection activeCell="C20" sqref="C20"/>
      <selection pane="topRight" activeCell="C20" sqref="C20"/>
      <selection pane="bottomLeft" activeCell="C20" sqref="C20"/>
      <selection pane="bottomRight" activeCell="S16" sqref="S16"/>
    </sheetView>
  </sheetViews>
  <sheetFormatPr defaultColWidth="13.1796875" defaultRowHeight="14.5" outlineLevelRow="2" x14ac:dyDescent="0.35"/>
  <cols>
    <col min="1" max="1" width="3.453125" style="16" customWidth="1"/>
    <col min="2" max="2" width="12.26953125" style="16" customWidth="1"/>
    <col min="3" max="3" width="33" style="41" customWidth="1"/>
    <col min="4" max="4" width="13.453125" style="16" bestFit="1" customWidth="1"/>
    <col min="5" max="5" width="13.453125" style="16" customWidth="1"/>
    <col min="6" max="6" width="13.453125" style="16" hidden="1" customWidth="1"/>
    <col min="7" max="7" width="14.453125" style="16" hidden="1" customWidth="1"/>
    <col min="8" max="9" width="14.54296875" style="16" hidden="1" customWidth="1"/>
    <col min="10" max="10" width="14.54296875" hidden="1" customWidth="1"/>
    <col min="11" max="11" width="2.54296875" style="134" hidden="1" customWidth="1"/>
    <col min="12" max="14" width="14.54296875" style="134" hidden="1" customWidth="1"/>
    <col min="15" max="15" width="2.54296875" hidden="1" customWidth="1"/>
    <col min="16" max="18" width="14.54296875" style="134" hidden="1" customWidth="1"/>
    <col min="19" max="25" width="13.453125" bestFit="1" customWidth="1"/>
    <col min="28" max="28" width="19.1796875" bestFit="1" customWidth="1"/>
    <col min="66" max="16384" width="13.1796875" style="16"/>
  </cols>
  <sheetData>
    <row r="1" spans="1:73" s="157" customFormat="1" x14ac:dyDescent="0.35">
      <c r="A1" s="16"/>
      <c r="B1" s="16"/>
      <c r="C1" s="41"/>
      <c r="D1" s="16"/>
      <c r="E1" s="16"/>
      <c r="F1" s="16"/>
      <c r="G1" s="16"/>
      <c r="H1" s="16"/>
      <c r="I1" s="16"/>
      <c r="J1"/>
      <c r="K1" s="134"/>
      <c r="L1" s="134"/>
      <c r="M1" s="134"/>
      <c r="N1" s="134"/>
      <c r="O1"/>
      <c r="P1" s="134"/>
      <c r="Q1" s="134"/>
      <c r="R1" s="134"/>
    </row>
    <row r="2" spans="1:73" s="157" customFormat="1" x14ac:dyDescent="0.35">
      <c r="A2" s="16"/>
      <c r="B2" s="16"/>
      <c r="C2" s="41"/>
      <c r="D2" s="16"/>
      <c r="E2" s="16"/>
      <c r="F2" s="16"/>
      <c r="G2" s="16"/>
      <c r="H2" s="16"/>
      <c r="I2" s="16"/>
      <c r="J2"/>
      <c r="K2" s="134"/>
      <c r="L2" s="134"/>
      <c r="M2" s="134"/>
      <c r="N2" s="134"/>
      <c r="O2"/>
      <c r="P2" s="134"/>
      <c r="Q2" s="134"/>
      <c r="R2" s="134"/>
    </row>
    <row r="3" spans="1:73" s="169" customFormat="1" x14ac:dyDescent="0.35">
      <c r="A3" s="2"/>
      <c r="B3" s="2"/>
      <c r="C3" s="43"/>
      <c r="D3" s="57"/>
      <c r="E3" s="57"/>
      <c r="F3" s="57"/>
      <c r="G3" s="57"/>
      <c r="H3" s="57"/>
      <c r="I3" s="57"/>
      <c r="J3"/>
      <c r="K3" s="134"/>
      <c r="L3" s="134"/>
      <c r="M3" s="134"/>
      <c r="N3" s="134"/>
      <c r="O3"/>
      <c r="P3" s="134"/>
      <c r="Q3" s="134"/>
      <c r="R3" s="134"/>
      <c r="S3" s="157"/>
      <c r="T3" s="157"/>
      <c r="U3" s="157"/>
      <c r="V3" s="157"/>
      <c r="W3" s="157"/>
      <c r="X3" s="157"/>
      <c r="Y3" s="157"/>
      <c r="Z3" s="157"/>
      <c r="AA3" s="157"/>
      <c r="AB3" s="157"/>
      <c r="AC3" s="157"/>
      <c r="AD3" s="157"/>
      <c r="AE3" s="157"/>
      <c r="AF3" s="157"/>
      <c r="AG3" s="157"/>
      <c r="AH3" s="157"/>
      <c r="AI3" s="157"/>
      <c r="AJ3" s="157"/>
      <c r="AK3" s="157"/>
      <c r="AL3" s="157"/>
      <c r="AM3" s="157"/>
      <c r="AN3" s="157"/>
      <c r="AO3" s="157"/>
      <c r="AP3" s="157"/>
      <c r="AQ3" s="157"/>
      <c r="AR3" s="157"/>
      <c r="AS3" s="157"/>
      <c r="AT3" s="157"/>
      <c r="AU3" s="157"/>
      <c r="AV3" s="157"/>
      <c r="AW3" s="157"/>
      <c r="AX3" s="157"/>
      <c r="AY3" s="157"/>
      <c r="AZ3" s="157"/>
      <c r="BA3" s="157"/>
      <c r="BB3" s="157"/>
      <c r="BC3" s="157"/>
      <c r="BD3" s="157"/>
      <c r="BE3" s="157"/>
      <c r="BF3" s="157"/>
      <c r="BG3" s="157"/>
      <c r="BH3" s="157"/>
      <c r="BI3" s="157"/>
      <c r="BJ3" s="157"/>
      <c r="BK3" s="157"/>
      <c r="BL3" s="157"/>
      <c r="BM3" s="157"/>
      <c r="BN3" s="37"/>
      <c r="BO3" s="37"/>
      <c r="BP3" s="37"/>
      <c r="BQ3" s="37"/>
      <c r="BR3" s="37"/>
      <c r="BS3" s="37"/>
      <c r="BT3" s="37"/>
      <c r="BU3" s="37"/>
    </row>
    <row r="4" spans="1:73" s="169" customFormat="1" x14ac:dyDescent="0.35">
      <c r="A4" s="2"/>
      <c r="B4" s="2"/>
      <c r="C4" s="43"/>
      <c r="D4"/>
      <c r="E4" s="57"/>
      <c r="F4" s="57"/>
      <c r="G4" s="57"/>
      <c r="H4" s="57"/>
      <c r="I4" s="57"/>
      <c r="J4"/>
      <c r="K4" s="134"/>
      <c r="L4" s="140" t="s">
        <v>170</v>
      </c>
      <c r="M4" s="15" t="s">
        <v>30</v>
      </c>
      <c r="N4" s="141" t="s">
        <v>85</v>
      </c>
      <c r="O4"/>
      <c r="P4" s="140" t="s">
        <v>172</v>
      </c>
      <c r="Q4" s="15">
        <v>2011</v>
      </c>
      <c r="R4" s="141" t="s">
        <v>85</v>
      </c>
      <c r="S4" s="157"/>
      <c r="T4" s="157"/>
      <c r="U4" s="157"/>
      <c r="V4" s="157"/>
      <c r="W4" s="157"/>
      <c r="X4" s="157"/>
      <c r="Y4" s="157"/>
      <c r="Z4" s="157"/>
      <c r="AA4" s="157"/>
      <c r="AB4" s="157"/>
      <c r="AC4" s="157"/>
      <c r="AD4" s="157"/>
      <c r="AE4" s="157"/>
      <c r="AF4" s="157"/>
      <c r="AG4" s="157"/>
      <c r="AH4" s="157"/>
      <c r="AI4" s="157"/>
      <c r="AJ4" s="157"/>
      <c r="AK4" s="157"/>
      <c r="AL4" s="157"/>
      <c r="AM4" s="157"/>
      <c r="AN4" s="157"/>
      <c r="AO4" s="157"/>
      <c r="AP4" s="157"/>
      <c r="AQ4" s="157"/>
      <c r="AR4" s="157"/>
      <c r="AS4" s="157"/>
      <c r="AT4" s="157"/>
      <c r="AU4" s="157"/>
      <c r="AV4" s="157"/>
      <c r="AW4" s="157"/>
      <c r="AX4" s="157"/>
      <c r="AY4" s="157"/>
      <c r="AZ4" s="157"/>
      <c r="BA4" s="157"/>
      <c r="BB4" s="157"/>
      <c r="BC4" s="157"/>
      <c r="BD4" s="157"/>
      <c r="BE4" s="157"/>
      <c r="BF4" s="157"/>
      <c r="BG4" s="157"/>
      <c r="BH4" s="157"/>
      <c r="BI4" s="157"/>
      <c r="BJ4" s="157"/>
      <c r="BK4" s="157"/>
      <c r="BL4" s="157"/>
      <c r="BM4" s="157"/>
      <c r="BN4" s="37"/>
      <c r="BO4" s="37"/>
      <c r="BP4" s="37"/>
      <c r="BQ4" s="37"/>
      <c r="BR4" s="37"/>
      <c r="BS4" s="37"/>
      <c r="BT4" s="37"/>
      <c r="BU4" s="37"/>
    </row>
    <row r="5" spans="1:73" s="169" customFormat="1" x14ac:dyDescent="0.35">
      <c r="A5" s="2"/>
      <c r="B5" s="16"/>
      <c r="C5" s="1022" t="s">
        <v>931</v>
      </c>
      <c r="D5" s="15">
        <v>2012</v>
      </c>
      <c r="E5" s="14">
        <v>2013</v>
      </c>
      <c r="F5" s="15">
        <v>2013</v>
      </c>
      <c r="G5" s="14">
        <v>2014</v>
      </c>
      <c r="H5" s="15">
        <v>2015</v>
      </c>
      <c r="I5" s="14">
        <v>2016</v>
      </c>
      <c r="J5"/>
      <c r="K5" s="134"/>
      <c r="L5" s="140"/>
      <c r="M5" s="15" t="s">
        <v>173</v>
      </c>
      <c r="N5" s="141"/>
      <c r="O5"/>
      <c r="P5" s="140"/>
      <c r="Q5" s="15" t="s">
        <v>173</v>
      </c>
      <c r="R5" s="141"/>
      <c r="S5" s="157">
        <v>2014</v>
      </c>
      <c r="T5" s="157">
        <v>2015</v>
      </c>
      <c r="U5" s="157">
        <v>2016</v>
      </c>
      <c r="V5" s="157"/>
      <c r="W5" s="157"/>
      <c r="X5" s="157"/>
      <c r="Y5" s="157"/>
      <c r="Z5" s="157"/>
      <c r="AA5" s="157"/>
      <c r="AB5" s="157"/>
      <c r="AC5" s="157"/>
      <c r="AD5" s="157"/>
      <c r="AE5" s="157"/>
      <c r="AF5" s="157"/>
      <c r="AG5" s="157"/>
      <c r="AH5" s="157"/>
      <c r="AI5" s="157"/>
      <c r="AJ5" s="157"/>
      <c r="AK5" s="157"/>
      <c r="AL5" s="157"/>
      <c r="AM5" s="157"/>
      <c r="AN5" s="157"/>
      <c r="AO5" s="157"/>
      <c r="AP5" s="157"/>
      <c r="AQ5" s="157"/>
      <c r="AR5" s="157"/>
      <c r="AS5" s="157"/>
      <c r="AT5" s="157"/>
      <c r="AU5" s="157"/>
      <c r="AV5" s="157"/>
      <c r="AW5" s="157"/>
      <c r="AX5" s="157"/>
      <c r="AY5" s="157"/>
      <c r="AZ5" s="157"/>
      <c r="BA5" s="157"/>
      <c r="BB5" s="157"/>
      <c r="BC5" s="157"/>
      <c r="BD5" s="157"/>
      <c r="BE5" s="157"/>
      <c r="BF5" s="157"/>
      <c r="BG5" s="157"/>
      <c r="BH5" s="157"/>
      <c r="BI5" s="157"/>
      <c r="BJ5" s="157"/>
      <c r="BK5" s="157"/>
      <c r="BL5" s="157"/>
      <c r="BM5" s="157"/>
      <c r="BN5" s="200"/>
      <c r="BO5" s="200"/>
      <c r="BP5" s="200"/>
      <c r="BQ5" s="200"/>
      <c r="BR5" s="200"/>
      <c r="BS5" s="200"/>
      <c r="BT5" s="200"/>
      <c r="BU5" s="200"/>
    </row>
    <row r="6" spans="1:73" s="169" customFormat="1" x14ac:dyDescent="0.35">
      <c r="A6" s="2"/>
      <c r="B6" s="2"/>
      <c r="C6" s="1021" t="s">
        <v>1114</v>
      </c>
      <c r="D6" s="55" t="str">
        <f>IF(COUNTIFS('P&amp;L - Monthly'!3:3,D5,'P&amp;L - Monthly'!4:4,"actual")=12,"Actual","Forecast")</f>
        <v>Actual</v>
      </c>
      <c r="E6" s="55" t="str">
        <f>IF(COUNTIFS('P&amp;L - Monthly'!3:3,E5,'P&amp;L - Monthly'!4:4,"actual")=12,"Actual","Forecast")</f>
        <v>Actual</v>
      </c>
      <c r="F6" s="55" t="str">
        <f>IF(COUNTIFS('P&amp;L - Monthly'!3:3,F5,'P&amp;L - Monthly'!4:4,"actual")=12,"Actual","Forecast")</f>
        <v>Actual</v>
      </c>
      <c r="G6" s="55" t="str">
        <f>IF(COUNTIFS('P&amp;L - Monthly'!3:3,G5,'P&amp;L - Monthly'!4:4,"actual")=12,"Actual","Forecast")</f>
        <v>Forecast</v>
      </c>
      <c r="H6" s="55" t="str">
        <f>IF(COUNTIFS('P&amp;L - Monthly'!3:3,H5,'P&amp;L - Monthly'!4:4,"actual")=12,"Actual","Forecast")</f>
        <v>Forecast</v>
      </c>
      <c r="I6" s="55" t="str">
        <f>IF(COUNTIFS('P&amp;L - Monthly'!3:3,I5,'P&amp;L - Monthly'!4:4,"actual")=12,"Actual","Forecast")</f>
        <v>Forecast</v>
      </c>
      <c r="J6"/>
      <c r="K6" s="134"/>
      <c r="L6" s="55"/>
      <c r="M6" s="55"/>
      <c r="N6" s="55"/>
      <c r="O6"/>
      <c r="P6" s="55"/>
      <c r="Q6" s="55"/>
      <c r="R6" s="55"/>
      <c r="S6" s="157"/>
      <c r="T6" s="157"/>
      <c r="U6" s="157"/>
      <c r="V6" s="157"/>
      <c r="W6" s="157"/>
      <c r="X6" s="157"/>
      <c r="Y6" s="157"/>
      <c r="Z6" s="157"/>
      <c r="AA6" s="157"/>
      <c r="AB6" s="157"/>
      <c r="AC6" s="157"/>
      <c r="AD6" s="157"/>
      <c r="AE6" s="157"/>
      <c r="AF6" s="157"/>
      <c r="AG6" s="157"/>
      <c r="AH6" s="157"/>
      <c r="AI6" s="157"/>
      <c r="AJ6" s="157"/>
      <c r="AK6" s="157"/>
      <c r="AL6" s="157"/>
      <c r="AM6" s="157"/>
      <c r="AN6" s="157"/>
      <c r="AO6" s="157"/>
      <c r="AP6" s="157"/>
      <c r="AQ6" s="157"/>
      <c r="AR6" s="157"/>
      <c r="AS6" s="157"/>
      <c r="AT6" s="157"/>
      <c r="AU6" s="157"/>
      <c r="AV6" s="157"/>
      <c r="AW6" s="157"/>
      <c r="AX6" s="157"/>
      <c r="AY6" s="157"/>
      <c r="AZ6" s="157"/>
      <c r="BA6" s="157"/>
      <c r="BB6" s="157"/>
      <c r="BC6" s="157"/>
      <c r="BD6" s="157"/>
      <c r="BE6" s="157"/>
      <c r="BF6" s="157"/>
      <c r="BG6" s="157"/>
      <c r="BH6" s="157"/>
      <c r="BI6" s="157"/>
      <c r="BJ6" s="157"/>
      <c r="BK6" s="157"/>
      <c r="BL6" s="157"/>
      <c r="BM6" s="157"/>
      <c r="BN6" s="200"/>
      <c r="BO6" s="200"/>
      <c r="BP6" s="200"/>
      <c r="BQ6" s="200"/>
      <c r="BR6" s="200"/>
      <c r="BS6" s="200"/>
      <c r="BT6" s="200"/>
      <c r="BU6" s="200"/>
    </row>
    <row r="7" spans="1:73" s="157" customFormat="1" ht="18" customHeight="1" x14ac:dyDescent="0.35">
      <c r="A7" s="134"/>
      <c r="B7" s="30"/>
      <c r="C7" s="41"/>
      <c r="D7" s="134"/>
      <c r="E7" s="134"/>
      <c r="F7" s="134"/>
      <c r="G7" s="134"/>
      <c r="H7" s="134"/>
      <c r="I7" s="134"/>
      <c r="J7" s="134"/>
      <c r="K7" s="134"/>
      <c r="L7" s="134"/>
      <c r="M7" s="134"/>
      <c r="N7" s="134"/>
      <c r="O7" s="134"/>
      <c r="P7" s="134"/>
      <c r="Q7" s="134"/>
      <c r="R7" s="134"/>
    </row>
    <row r="8" spans="1:73" s="157" customFormat="1" x14ac:dyDescent="0.35">
      <c r="A8" s="134"/>
      <c r="B8" s="30" t="s">
        <v>70</v>
      </c>
      <c r="C8" s="41"/>
      <c r="D8" s="134"/>
      <c r="E8" s="134"/>
      <c r="F8" s="134"/>
      <c r="G8" s="134"/>
      <c r="H8" s="134"/>
      <c r="I8" s="134"/>
      <c r="J8" s="134"/>
      <c r="K8" s="134"/>
      <c r="L8" s="134"/>
      <c r="M8" s="134"/>
      <c r="N8" s="134"/>
      <c r="O8" s="134"/>
      <c r="P8" s="134"/>
      <c r="Q8" s="134"/>
      <c r="R8" s="134"/>
    </row>
    <row r="9" spans="1:73" s="157" customFormat="1" outlineLevel="1" x14ac:dyDescent="0.35">
      <c r="A9" s="16"/>
      <c r="B9" s="16"/>
      <c r="C9" s="30" t="s">
        <v>221</v>
      </c>
      <c r="D9" s="16"/>
      <c r="E9" s="16"/>
      <c r="F9" s="16"/>
      <c r="G9" s="16"/>
      <c r="H9" s="16"/>
      <c r="I9" s="16"/>
      <c r="J9"/>
      <c r="K9" s="134"/>
      <c r="L9" s="134"/>
      <c r="M9" s="134"/>
      <c r="N9" s="134"/>
      <c r="O9"/>
      <c r="P9" s="134"/>
      <c r="Q9" s="134"/>
      <c r="R9" s="134"/>
    </row>
    <row r="10" spans="1:73" s="157" customFormat="1" outlineLevel="1" x14ac:dyDescent="0.35">
      <c r="A10" s="16"/>
      <c r="B10" s="16"/>
      <c r="C10" s="1171" t="s">
        <v>223</v>
      </c>
      <c r="D10" s="17">
        <f>SUMIF('P&amp;L - Monthly'!$3:$3,'P&amp;L - Yrly'!D$5,'P&amp;L - Monthly'!11:11)</f>
        <v>0</v>
      </c>
      <c r="E10" s="579">
        <f>SUMIF('P&amp;L - Monthly'!$3:$3,'P&amp;L - Yrly'!E$5,'P&amp;L - Monthly'!11:11)</f>
        <v>1726460.26</v>
      </c>
      <c r="F10" s="579">
        <f>SUMIF('P&amp;L - Monthly'!$3:$3,'P&amp;L - Yrly'!F$5,'P&amp;L - Monthly'!11:11)</f>
        <v>1726460.26</v>
      </c>
      <c r="G10" s="579">
        <f>SUMIF('P&amp;L - Monthly'!$3:$3,'P&amp;L - Yrly'!G$5,'P&amp;L - Monthly'!11:11)</f>
        <v>4669548.3923862297</v>
      </c>
      <c r="H10" s="579">
        <f>SUMIF('P&amp;L - Monthly'!$3:$3,'P&amp;L - Yrly'!H$5,'P&amp;L - Monthly'!11:11)</f>
        <v>8687183.9115122501</v>
      </c>
      <c r="I10" s="579">
        <f>SUMIF('P&amp;L - Monthly'!$3:$3,'P&amp;L - Yrly'!I$5,'P&amp;L - Monthly'!11:11)</f>
        <v>0</v>
      </c>
      <c r="J10" s="579">
        <f>SUMIF('P&amp;L - Monthly'!$3:$3,'P&amp;L - Yrly'!J$5,'P&amp;L - Monthly'!11:11)</f>
        <v>0</v>
      </c>
      <c r="K10" s="579">
        <f>SUMIF('P&amp;L - Monthly'!$3:$3,'P&amp;L - Yrly'!K$5,'P&amp;L - Monthly'!11:11)</f>
        <v>0</v>
      </c>
      <c r="L10" s="579">
        <f>SUMIF('P&amp;L - Monthly'!$3:$3,'P&amp;L - Yrly'!L$5,'P&amp;L - Monthly'!11:11)</f>
        <v>0</v>
      </c>
      <c r="M10" s="579">
        <f>SUMIF('P&amp;L - Monthly'!$3:$3,'P&amp;L - Yrly'!M$5,'P&amp;L - Monthly'!11:11)</f>
        <v>0</v>
      </c>
      <c r="N10" s="579">
        <f>SUMIF('P&amp;L - Monthly'!$3:$3,'P&amp;L - Yrly'!N$5,'P&amp;L - Monthly'!11:11)</f>
        <v>0</v>
      </c>
      <c r="O10" s="579">
        <f>SUMIF('P&amp;L - Monthly'!$3:$3,'P&amp;L - Yrly'!O$5,'P&amp;L - Monthly'!11:11)</f>
        <v>0</v>
      </c>
      <c r="P10" s="579">
        <f>SUMIF('P&amp;L - Monthly'!$3:$3,'P&amp;L - Yrly'!P$5,'P&amp;L - Monthly'!11:11)</f>
        <v>0</v>
      </c>
      <c r="Q10" s="579">
        <f>SUMIF('P&amp;L - Monthly'!$3:$3,'P&amp;L - Yrly'!Q$5,'P&amp;L - Monthly'!11:11)</f>
        <v>0</v>
      </c>
      <c r="R10" s="579">
        <f>SUMIF('P&amp;L - Monthly'!$3:$3,'P&amp;L - Yrly'!R$5,'P&amp;L - Monthly'!11:11)</f>
        <v>0</v>
      </c>
      <c r="S10" s="579">
        <f>SUMIF('P&amp;L - Monthly'!$3:$3,'P&amp;L - Yrly'!S$5,'P&amp;L - Monthly'!11:11)</f>
        <v>4669548.3923862297</v>
      </c>
      <c r="T10" s="579">
        <f>SUMIF('P&amp;L - Monthly'!$3:$3,'P&amp;L - Yrly'!T$5,'P&amp;L - Monthly'!11:11)</f>
        <v>8687183.9115122501</v>
      </c>
      <c r="U10" s="579">
        <f>SUMIF('P&amp;L - Monthly'!$3:$3,'P&amp;L - Yrly'!U$5,'P&amp;L - Monthly'!11:11)</f>
        <v>0</v>
      </c>
    </row>
    <row r="11" spans="1:73" s="157" customFormat="1" outlineLevel="1" x14ac:dyDescent="0.35">
      <c r="A11" s="305"/>
      <c r="B11" s="305"/>
      <c r="C11" s="1171" t="s">
        <v>1169</v>
      </c>
      <c r="D11" s="579">
        <f>SUMIF('P&amp;L - Monthly'!$3:$3,'P&amp;L - Yrly'!D$5,'P&amp;L - Monthly'!12:12)</f>
        <v>0</v>
      </c>
      <c r="E11" s="579">
        <f>SUMIF('P&amp;L - Monthly'!$3:$3,'P&amp;L - Yrly'!E$5,'P&amp;L - Monthly'!12:12)</f>
        <v>15100647.030000001</v>
      </c>
      <c r="F11" s="579">
        <f>SUMIF('P&amp;L - Monthly'!$3:$3,'P&amp;L - Yrly'!F$5,'P&amp;L - Monthly'!12:12)</f>
        <v>15100647.030000001</v>
      </c>
      <c r="G11" s="579">
        <f>SUMIF('P&amp;L - Monthly'!$3:$3,'P&amp;L - Yrly'!G$5,'P&amp;L - Monthly'!12:12)</f>
        <v>19194512.569408</v>
      </c>
      <c r="H11" s="579">
        <f>SUMIF('P&amp;L - Monthly'!$3:$3,'P&amp;L - Yrly'!H$5,'P&amp;L - Monthly'!12:12)</f>
        <v>34359438.996078365</v>
      </c>
      <c r="I11" s="579">
        <f>SUMIF('P&amp;L - Monthly'!$3:$3,'P&amp;L - Yrly'!I$5,'P&amp;L - Monthly'!12:12)</f>
        <v>0</v>
      </c>
      <c r="J11" s="579">
        <f>SUMIF('P&amp;L - Monthly'!$3:$3,'P&amp;L - Yrly'!J$5,'P&amp;L - Monthly'!12:12)</f>
        <v>0</v>
      </c>
      <c r="K11" s="579">
        <f>SUMIF('P&amp;L - Monthly'!$3:$3,'P&amp;L - Yrly'!K$5,'P&amp;L - Monthly'!12:12)</f>
        <v>0</v>
      </c>
      <c r="L11" s="579">
        <f>SUMIF('P&amp;L - Monthly'!$3:$3,'P&amp;L - Yrly'!L$5,'P&amp;L - Monthly'!12:12)</f>
        <v>0</v>
      </c>
      <c r="M11" s="579">
        <f>SUMIF('P&amp;L - Monthly'!$3:$3,'P&amp;L - Yrly'!M$5,'P&amp;L - Monthly'!12:12)</f>
        <v>0</v>
      </c>
      <c r="N11" s="579">
        <f>SUMIF('P&amp;L - Monthly'!$3:$3,'P&amp;L - Yrly'!N$5,'P&amp;L - Monthly'!12:12)</f>
        <v>0</v>
      </c>
      <c r="O11" s="579">
        <f>SUMIF('P&amp;L - Monthly'!$3:$3,'P&amp;L - Yrly'!O$5,'P&amp;L - Monthly'!12:12)</f>
        <v>0</v>
      </c>
      <c r="P11" s="579">
        <f>SUMIF('P&amp;L - Monthly'!$3:$3,'P&amp;L - Yrly'!P$5,'P&amp;L - Monthly'!12:12)</f>
        <v>0</v>
      </c>
      <c r="Q11" s="579">
        <f>SUMIF('P&amp;L - Monthly'!$3:$3,'P&amp;L - Yrly'!Q$5,'P&amp;L - Monthly'!12:12)</f>
        <v>0</v>
      </c>
      <c r="R11" s="579">
        <f>SUMIF('P&amp;L - Monthly'!$3:$3,'P&amp;L - Yrly'!R$5,'P&amp;L - Monthly'!12:12)</f>
        <v>0</v>
      </c>
      <c r="S11" s="579">
        <f>SUMIF('P&amp;L - Monthly'!$3:$3,'P&amp;L - Yrly'!S$5,'P&amp;L - Monthly'!12:12)</f>
        <v>19194512.569408</v>
      </c>
      <c r="T11" s="579">
        <f>SUMIF('P&amp;L - Monthly'!$3:$3,'P&amp;L - Yrly'!T$5,'P&amp;L - Monthly'!12:12)</f>
        <v>34359438.996078365</v>
      </c>
      <c r="U11" s="579">
        <f>SUMIF('P&amp;L - Monthly'!$3:$3,'P&amp;L - Yrly'!U$5,'P&amp;L - Monthly'!12:12)</f>
        <v>0</v>
      </c>
    </row>
    <row r="12" spans="1:73" s="157" customFormat="1" outlineLevel="1" x14ac:dyDescent="0.35">
      <c r="A12" s="574"/>
      <c r="B12" s="574"/>
      <c r="C12" s="1171" t="s">
        <v>1172</v>
      </c>
      <c r="D12" s="579">
        <f>SUMIF('P&amp;L - Monthly'!$3:$3,'P&amp;L - Yrly'!D$5,'P&amp;L - Monthly'!13:13)</f>
        <v>8356457.5582481381</v>
      </c>
      <c r="E12" s="579">
        <f>SUMIF('P&amp;L - Monthly'!$3:$3,'P&amp;L - Yrly'!E$5,'P&amp;L - Monthly'!13:13)</f>
        <v>0</v>
      </c>
      <c r="F12" s="579">
        <f>SUMIF('P&amp;L - Monthly'!$3:$3,'P&amp;L - Yrly'!F$5,'P&amp;L - Monthly'!13:13)</f>
        <v>0</v>
      </c>
      <c r="G12" s="579">
        <f>SUMIF('P&amp;L - Monthly'!$3:$3,'P&amp;L - Yrly'!G$5,'P&amp;L - Monthly'!13:13)</f>
        <v>0</v>
      </c>
      <c r="H12" s="579">
        <f>SUMIF('P&amp;L - Monthly'!$3:$3,'P&amp;L - Yrly'!H$5,'P&amp;L - Monthly'!13:13)</f>
        <v>0</v>
      </c>
      <c r="I12" s="579">
        <f>SUMIF('P&amp;L - Monthly'!$3:$3,'P&amp;L - Yrly'!I$5,'P&amp;L - Monthly'!13:13)</f>
        <v>0</v>
      </c>
      <c r="J12" s="579">
        <f>SUMIF('P&amp;L - Monthly'!$3:$3,'P&amp;L - Yrly'!J$5,'P&amp;L - Monthly'!13:13)</f>
        <v>0</v>
      </c>
      <c r="K12" s="579">
        <f>SUMIF('P&amp;L - Monthly'!$3:$3,'P&amp;L - Yrly'!K$5,'P&amp;L - Monthly'!13:13)</f>
        <v>0</v>
      </c>
      <c r="L12" s="579">
        <f>SUMIF('P&amp;L - Monthly'!$3:$3,'P&amp;L - Yrly'!L$5,'P&amp;L - Monthly'!13:13)</f>
        <v>0</v>
      </c>
      <c r="M12" s="579">
        <f>SUMIF('P&amp;L - Monthly'!$3:$3,'P&amp;L - Yrly'!M$5,'P&amp;L - Monthly'!13:13)</f>
        <v>0</v>
      </c>
      <c r="N12" s="579">
        <f>SUMIF('P&amp;L - Monthly'!$3:$3,'P&amp;L - Yrly'!N$5,'P&amp;L - Monthly'!13:13)</f>
        <v>0</v>
      </c>
      <c r="O12" s="579">
        <f>SUMIF('P&amp;L - Monthly'!$3:$3,'P&amp;L - Yrly'!O$5,'P&amp;L - Monthly'!13:13)</f>
        <v>0</v>
      </c>
      <c r="P12" s="579">
        <f>SUMIF('P&amp;L - Monthly'!$3:$3,'P&amp;L - Yrly'!P$5,'P&amp;L - Monthly'!13:13)</f>
        <v>0</v>
      </c>
      <c r="Q12" s="579">
        <f>SUMIF('P&amp;L - Monthly'!$3:$3,'P&amp;L - Yrly'!Q$5,'P&amp;L - Monthly'!13:13)</f>
        <v>0</v>
      </c>
      <c r="R12" s="579">
        <f>SUMIF('P&amp;L - Monthly'!$3:$3,'P&amp;L - Yrly'!R$5,'P&amp;L - Monthly'!13:13)</f>
        <v>0</v>
      </c>
      <c r="S12" s="579">
        <f>SUMIF('P&amp;L - Monthly'!$3:$3,'P&amp;L - Yrly'!S$5,'P&amp;L - Monthly'!13:13)</f>
        <v>0</v>
      </c>
      <c r="T12" s="579">
        <f>SUMIF('P&amp;L - Monthly'!$3:$3,'P&amp;L - Yrly'!T$5,'P&amp;L - Monthly'!13:13)</f>
        <v>0</v>
      </c>
      <c r="U12" s="579">
        <f>SUMIF('P&amp;L - Monthly'!$3:$3,'P&amp;L - Yrly'!U$5,'P&amp;L - Monthly'!13:13)</f>
        <v>0</v>
      </c>
    </row>
    <row r="13" spans="1:73" s="157" customFormat="1" outlineLevel="1" x14ac:dyDescent="0.35">
      <c r="A13" s="574"/>
      <c r="B13" s="574"/>
      <c r="C13" s="1171" t="s">
        <v>1173</v>
      </c>
      <c r="D13" s="579">
        <f>SUMIF('P&amp;L - Monthly'!$3:$3,'P&amp;L - Yrly'!D$5,'P&amp;L - Monthly'!14:14)</f>
        <v>6447593.6900000013</v>
      </c>
      <c r="E13" s="579">
        <f>SUMIF('P&amp;L - Monthly'!$3:$3,'P&amp;L - Yrly'!E$5,'P&amp;L - Monthly'!14:14)</f>
        <v>24139.58</v>
      </c>
      <c r="F13" s="579">
        <f>SUMIF('P&amp;L - Monthly'!$3:$3,'P&amp;L - Yrly'!F$5,'P&amp;L - Monthly'!14:14)</f>
        <v>24139.58</v>
      </c>
      <c r="G13" s="579">
        <f>SUMIF('P&amp;L - Monthly'!$3:$3,'P&amp;L - Yrly'!G$5,'P&amp;L - Monthly'!14:14)</f>
        <v>0</v>
      </c>
      <c r="H13" s="579">
        <f>SUMIF('P&amp;L - Monthly'!$3:$3,'P&amp;L - Yrly'!H$5,'P&amp;L - Monthly'!14:14)</f>
        <v>0</v>
      </c>
      <c r="I13" s="579">
        <f>SUMIF('P&amp;L - Monthly'!$3:$3,'P&amp;L - Yrly'!I$5,'P&amp;L - Monthly'!14:14)</f>
        <v>0</v>
      </c>
      <c r="J13" s="579">
        <f>SUMIF('P&amp;L - Monthly'!$3:$3,'P&amp;L - Yrly'!J$5,'P&amp;L - Monthly'!14:14)</f>
        <v>0</v>
      </c>
      <c r="K13" s="579">
        <f>SUMIF('P&amp;L - Monthly'!$3:$3,'P&amp;L - Yrly'!K$5,'P&amp;L - Monthly'!14:14)</f>
        <v>0</v>
      </c>
      <c r="L13" s="579">
        <f>SUMIF('P&amp;L - Monthly'!$3:$3,'P&amp;L - Yrly'!L$5,'P&amp;L - Monthly'!14:14)</f>
        <v>0</v>
      </c>
      <c r="M13" s="579">
        <f>SUMIF('P&amp;L - Monthly'!$3:$3,'P&amp;L - Yrly'!M$5,'P&amp;L - Monthly'!14:14)</f>
        <v>0</v>
      </c>
      <c r="N13" s="579">
        <f>SUMIF('P&amp;L - Monthly'!$3:$3,'P&amp;L - Yrly'!N$5,'P&amp;L - Monthly'!14:14)</f>
        <v>0</v>
      </c>
      <c r="O13" s="579">
        <f>SUMIF('P&amp;L - Monthly'!$3:$3,'P&amp;L - Yrly'!O$5,'P&amp;L - Monthly'!14:14)</f>
        <v>0</v>
      </c>
      <c r="P13" s="579">
        <f>SUMIF('P&amp;L - Monthly'!$3:$3,'P&amp;L - Yrly'!P$5,'P&amp;L - Monthly'!14:14)</f>
        <v>0</v>
      </c>
      <c r="Q13" s="579">
        <f>SUMIF('P&amp;L - Monthly'!$3:$3,'P&amp;L - Yrly'!Q$5,'P&amp;L - Monthly'!14:14)</f>
        <v>0</v>
      </c>
      <c r="R13" s="579">
        <f>SUMIF('P&amp;L - Monthly'!$3:$3,'P&amp;L - Yrly'!R$5,'P&amp;L - Monthly'!14:14)</f>
        <v>0</v>
      </c>
      <c r="S13" s="579">
        <f>SUMIF('P&amp;L - Monthly'!$3:$3,'P&amp;L - Yrly'!S$5,'P&amp;L - Monthly'!14:14)</f>
        <v>0</v>
      </c>
      <c r="T13" s="579">
        <f>SUMIF('P&amp;L - Monthly'!$3:$3,'P&amp;L - Yrly'!T$5,'P&amp;L - Monthly'!14:14)</f>
        <v>0</v>
      </c>
      <c r="U13" s="579">
        <f>SUMIF('P&amp;L - Monthly'!$3:$3,'P&amp;L - Yrly'!U$5,'P&amp;L - Monthly'!14:14)</f>
        <v>0</v>
      </c>
    </row>
    <row r="14" spans="1:73" s="157" customFormat="1" outlineLevel="1" x14ac:dyDescent="0.35">
      <c r="A14" s="574"/>
      <c r="B14" s="574"/>
      <c r="C14" s="1171" t="s">
        <v>1175</v>
      </c>
      <c r="D14" s="579"/>
      <c r="E14" s="579"/>
      <c r="F14" s="579"/>
      <c r="G14" s="579"/>
      <c r="H14" s="579"/>
      <c r="I14" s="579"/>
      <c r="J14" s="579"/>
      <c r="K14" s="579"/>
      <c r="L14" s="579"/>
      <c r="M14" s="579"/>
      <c r="N14" s="579"/>
      <c r="O14" s="579"/>
      <c r="P14" s="579"/>
      <c r="Q14" s="579"/>
      <c r="R14" s="579"/>
      <c r="S14" s="579"/>
      <c r="T14" s="579"/>
      <c r="U14" s="579"/>
    </row>
    <row r="15" spans="1:73" s="157" customFormat="1" outlineLevel="1" x14ac:dyDescent="0.35">
      <c r="A15" s="16"/>
      <c r="B15" s="16"/>
      <c r="C15" s="1171" t="s">
        <v>1174</v>
      </c>
      <c r="D15" s="579">
        <f>SUMIF('P&amp;L - Monthly'!$3:$3,'P&amp;L - Yrly'!D$5,'P&amp;L - Monthly'!15:15)</f>
        <v>0</v>
      </c>
      <c r="E15" s="579">
        <f>SUMIF('P&amp;L - Monthly'!$3:$3,'P&amp;L - Yrly'!E$5,'P&amp;L - Monthly'!15:15)</f>
        <v>14600</v>
      </c>
      <c r="F15" s="579">
        <f>SUMIF('P&amp;L - Monthly'!$3:$3,'P&amp;L - Yrly'!F$5,'P&amp;L - Monthly'!15:15)</f>
        <v>14600</v>
      </c>
      <c r="G15" s="579">
        <f>SUMIF('P&amp;L - Monthly'!$3:$3,'P&amp;L - Yrly'!G$5,'P&amp;L - Monthly'!15:15)</f>
        <v>0</v>
      </c>
      <c r="H15" s="579">
        <f>SUMIF('P&amp;L - Monthly'!$3:$3,'P&amp;L - Yrly'!H$5,'P&amp;L - Monthly'!15:15)</f>
        <v>0</v>
      </c>
      <c r="I15" s="579">
        <f>SUMIF('P&amp;L - Monthly'!$3:$3,'P&amp;L - Yrly'!I$5,'P&amp;L - Monthly'!15:15)</f>
        <v>0</v>
      </c>
      <c r="J15" s="579">
        <f>SUMIF('P&amp;L - Monthly'!$3:$3,'P&amp;L - Yrly'!J$5,'P&amp;L - Monthly'!15:15)</f>
        <v>0</v>
      </c>
      <c r="K15" s="579">
        <f>SUMIF('P&amp;L - Monthly'!$3:$3,'P&amp;L - Yrly'!K$5,'P&amp;L - Monthly'!15:15)</f>
        <v>0</v>
      </c>
      <c r="L15" s="579">
        <f>SUMIF('P&amp;L - Monthly'!$3:$3,'P&amp;L - Yrly'!L$5,'P&amp;L - Monthly'!15:15)</f>
        <v>0</v>
      </c>
      <c r="M15" s="579">
        <f>SUMIF('P&amp;L - Monthly'!$3:$3,'P&amp;L - Yrly'!M$5,'P&amp;L - Monthly'!15:15)</f>
        <v>0</v>
      </c>
      <c r="N15" s="579">
        <f>SUMIF('P&amp;L - Monthly'!$3:$3,'P&amp;L - Yrly'!N$5,'P&amp;L - Monthly'!15:15)</f>
        <v>0</v>
      </c>
      <c r="O15" s="579">
        <f>SUMIF('P&amp;L - Monthly'!$3:$3,'P&amp;L - Yrly'!O$5,'P&amp;L - Monthly'!15:15)</f>
        <v>0</v>
      </c>
      <c r="P15" s="579">
        <f>SUMIF('P&amp;L - Monthly'!$3:$3,'P&amp;L - Yrly'!P$5,'P&amp;L - Monthly'!15:15)</f>
        <v>0</v>
      </c>
      <c r="Q15" s="579">
        <f>SUMIF('P&amp;L - Monthly'!$3:$3,'P&amp;L - Yrly'!Q$5,'P&amp;L - Monthly'!15:15)</f>
        <v>0</v>
      </c>
      <c r="R15" s="579">
        <f>SUMIF('P&amp;L - Monthly'!$3:$3,'P&amp;L - Yrly'!R$5,'P&amp;L - Monthly'!15:15)</f>
        <v>0</v>
      </c>
      <c r="S15" s="579">
        <f>SUMIF('P&amp;L - Monthly'!$3:$3,'P&amp;L - Yrly'!S$5,'P&amp;L - Monthly'!15:15)</f>
        <v>0</v>
      </c>
      <c r="T15" s="579">
        <f>SUMIF('P&amp;L - Monthly'!$3:$3,'P&amp;L - Yrly'!T$5,'P&amp;L - Monthly'!15:15)</f>
        <v>0</v>
      </c>
      <c r="U15" s="579">
        <f>SUMIF('P&amp;L - Monthly'!$3:$3,'P&amp;L - Yrly'!U$5,'P&amp;L - Monthly'!15:15)</f>
        <v>0</v>
      </c>
    </row>
    <row r="16" spans="1:73" s="157" customFormat="1" x14ac:dyDescent="0.35">
      <c r="A16" s="16"/>
      <c r="B16" s="16"/>
      <c r="C16" s="40" t="s">
        <v>52</v>
      </c>
      <c r="D16" s="1174">
        <f t="shared" ref="D16:U16" si="0">SUM(D10:D15)</f>
        <v>14804051.248248139</v>
      </c>
      <c r="E16" s="1174">
        <f t="shared" si="0"/>
        <v>16865846.870000001</v>
      </c>
      <c r="F16" s="1174">
        <f t="shared" si="0"/>
        <v>16865846.870000001</v>
      </c>
      <c r="G16" s="1174">
        <f t="shared" si="0"/>
        <v>23864060.961794227</v>
      </c>
      <c r="H16" s="1174">
        <f t="shared" si="0"/>
        <v>43046622.907590613</v>
      </c>
      <c r="I16" s="1174">
        <f t="shared" si="0"/>
        <v>0</v>
      </c>
      <c r="J16" s="1174">
        <f t="shared" si="0"/>
        <v>0</v>
      </c>
      <c r="K16" s="1174">
        <f t="shared" si="0"/>
        <v>0</v>
      </c>
      <c r="L16" s="1174">
        <f t="shared" si="0"/>
        <v>0</v>
      </c>
      <c r="M16" s="1174">
        <f t="shared" si="0"/>
        <v>0</v>
      </c>
      <c r="N16" s="1174">
        <f t="shared" si="0"/>
        <v>0</v>
      </c>
      <c r="O16" s="1174">
        <f t="shared" si="0"/>
        <v>0</v>
      </c>
      <c r="P16" s="1174">
        <f t="shared" si="0"/>
        <v>0</v>
      </c>
      <c r="Q16" s="1174">
        <f t="shared" si="0"/>
        <v>0</v>
      </c>
      <c r="R16" s="1174">
        <f t="shared" si="0"/>
        <v>0</v>
      </c>
      <c r="S16" s="1174">
        <f t="shared" si="0"/>
        <v>23864060.961794227</v>
      </c>
      <c r="T16" s="1174">
        <f t="shared" si="0"/>
        <v>43046622.907590613</v>
      </c>
      <c r="U16" s="1174">
        <f t="shared" si="0"/>
        <v>0</v>
      </c>
    </row>
    <row r="17" spans="1:21" s="157" customFormat="1" x14ac:dyDescent="0.35">
      <c r="A17" s="16"/>
      <c r="B17" s="16"/>
      <c r="C17" s="41"/>
      <c r="D17" s="16"/>
      <c r="E17" s="16"/>
      <c r="F17" s="16"/>
      <c r="G17" s="16"/>
      <c r="H17" s="16"/>
      <c r="I17" s="16"/>
      <c r="J17"/>
      <c r="K17" s="134"/>
      <c r="L17" s="134"/>
      <c r="M17" s="134"/>
      <c r="N17" s="134"/>
      <c r="O17"/>
      <c r="P17" s="134"/>
      <c r="Q17" s="134"/>
      <c r="R17" s="134"/>
      <c r="S17" s="438"/>
      <c r="T17" s="438"/>
      <c r="U17" s="438"/>
    </row>
    <row r="18" spans="1:21" s="157" customFormat="1" x14ac:dyDescent="0.35">
      <c r="A18" s="16"/>
      <c r="B18" s="16"/>
      <c r="C18" s="30" t="s">
        <v>149</v>
      </c>
      <c r="D18" s="17">
        <f>SUMIF('P&amp;L - Monthly'!$3:$3,'P&amp;L - Yrly'!D$5,'P&amp;L - Monthly'!19:19)</f>
        <v>0</v>
      </c>
      <c r="E18" s="17">
        <f>SUMIF('P&amp;L - Monthly'!$3:$3,'P&amp;L - Yrly'!E$5,'P&amp;L - Monthly'!19:19)</f>
        <v>0</v>
      </c>
      <c r="F18" s="17">
        <f>SUMIF('P&amp;L - Monthly'!$3:$3,'P&amp;L - Yrly'!F$5,'P&amp;L - Monthly'!19:19)</f>
        <v>0</v>
      </c>
      <c r="G18" s="17">
        <f>SUMIF('P&amp;L - Monthly'!$3:$3,'P&amp;L - Yrly'!G$5,'P&amp;L - Monthly'!19:19)</f>
        <v>0</v>
      </c>
      <c r="H18" s="17">
        <f>SUMIF('P&amp;L - Monthly'!$3:$3,'P&amp;L - Yrly'!H$5,'P&amp;L - Monthly'!19:19)</f>
        <v>0</v>
      </c>
      <c r="I18" s="17">
        <f>SUMIF('P&amp;L - Monthly'!$3:$3,'P&amp;L - Yrly'!I$5,'P&amp;L - Monthly'!19:19)</f>
        <v>0</v>
      </c>
      <c r="J18" s="16"/>
      <c r="K18" s="134"/>
      <c r="L18" s="17" t="e">
        <f>'P&amp;L - Qtrly'!#REF!</f>
        <v>#REF!</v>
      </c>
      <c r="M18" s="17">
        <v>0</v>
      </c>
      <c r="N18" s="17" t="e">
        <f>L18-M18</f>
        <v>#REF!</v>
      </c>
      <c r="O18" s="16"/>
      <c r="P18" s="17">
        <f>D18</f>
        <v>0</v>
      </c>
      <c r="Q18" s="17">
        <v>0</v>
      </c>
      <c r="R18" s="17">
        <f>P18-Q18</f>
        <v>0</v>
      </c>
      <c r="S18" s="308">
        <f>SUMIF('P&amp;L - Monthly'!$3:$3,'P&amp;L - Yrly'!S$5,'P&amp;L - Monthly'!19:19)</f>
        <v>0</v>
      </c>
      <c r="T18" s="308">
        <f>SUMIF('P&amp;L - Monthly'!$3:$3,'P&amp;L - Yrly'!T$5,'P&amp;L - Monthly'!19:19)</f>
        <v>0</v>
      </c>
      <c r="U18" s="308">
        <f>SUMIF('P&amp;L - Monthly'!$3:$3,'P&amp;L - Yrly'!U$5,'P&amp;L - Monthly'!19:19)</f>
        <v>0</v>
      </c>
    </row>
    <row r="19" spans="1:21" s="157" customFormat="1" x14ac:dyDescent="0.35">
      <c r="A19" s="16"/>
      <c r="B19" s="16"/>
      <c r="C19" s="30" t="s">
        <v>541</v>
      </c>
      <c r="D19" s="17">
        <f>SUMIF('P&amp;L - Monthly'!$3:$3,'P&amp;L - Yrly'!D$5,'P&amp;L - Monthly'!20:20)</f>
        <v>0</v>
      </c>
      <c r="E19" s="17">
        <f>SUMIF('P&amp;L - Monthly'!$3:$3,'P&amp;L - Yrly'!E$5,'P&amp;L - Monthly'!20:20)</f>
        <v>0</v>
      </c>
      <c r="F19" s="17">
        <f>SUMIF('P&amp;L - Monthly'!$3:$3,'P&amp;L - Yrly'!F$5,'P&amp;L - Monthly'!20:20)</f>
        <v>0</v>
      </c>
      <c r="G19" s="17">
        <f>SUMIF('P&amp;L - Monthly'!$3:$3,'P&amp;L - Yrly'!G$5,'P&amp;L - Monthly'!20:20)</f>
        <v>97623.222009268662</v>
      </c>
      <c r="H19" s="17">
        <f>SUMIF('P&amp;L - Monthly'!$3:$3,'P&amp;L - Yrly'!H$5,'P&amp;L - Monthly'!20:20)</f>
        <v>167740.34597553499</v>
      </c>
      <c r="I19" s="17">
        <f>SUMIF('P&amp;L - Monthly'!$3:$3,'P&amp;L - Yrly'!I$5,'P&amp;L - Monthly'!20:20)</f>
        <v>0</v>
      </c>
      <c r="J19"/>
      <c r="K19" s="134"/>
      <c r="L19" s="17" t="e">
        <f>'P&amp;L - Qtrly'!#REF!</f>
        <v>#REF!</v>
      </c>
      <c r="M19" s="17">
        <v>758828.68306919443</v>
      </c>
      <c r="N19" s="17" t="e">
        <f>L19-M19</f>
        <v>#REF!</v>
      </c>
      <c r="O19"/>
      <c r="P19" s="17">
        <f>D19</f>
        <v>0</v>
      </c>
      <c r="Q19" s="17">
        <v>2697734.0189057617</v>
      </c>
      <c r="R19" s="17">
        <f>P19-Q19</f>
        <v>-2697734.0189057617</v>
      </c>
      <c r="S19" s="308">
        <f>SUMIF('P&amp;L - Monthly'!$3:$3,'P&amp;L - Yrly'!S$5,'P&amp;L - Monthly'!20:20)</f>
        <v>97623.222009268662</v>
      </c>
      <c r="T19" s="308">
        <f>SUMIF('P&amp;L - Monthly'!$3:$3,'P&amp;L - Yrly'!T$5,'P&amp;L - Monthly'!20:20)</f>
        <v>167740.34597553499</v>
      </c>
      <c r="U19" s="308">
        <f>SUMIF('P&amp;L - Monthly'!$3:$3,'P&amp;L - Yrly'!U$5,'P&amp;L - Monthly'!20:20)</f>
        <v>0</v>
      </c>
    </row>
    <row r="20" spans="1:21" s="157" customFormat="1" x14ac:dyDescent="0.35">
      <c r="A20" s="16"/>
      <c r="B20" s="16"/>
      <c r="C20" s="16"/>
      <c r="D20" s="159"/>
      <c r="E20" s="16"/>
      <c r="F20" s="16"/>
      <c r="G20" s="16"/>
      <c r="H20" s="16"/>
      <c r="I20" s="16"/>
      <c r="J20"/>
      <c r="K20" s="134"/>
      <c r="L20" s="134"/>
      <c r="M20" s="134"/>
      <c r="N20" s="134"/>
      <c r="O20"/>
      <c r="P20" s="134"/>
      <c r="Q20" s="134"/>
      <c r="R20" s="134"/>
      <c r="S20" s="438"/>
      <c r="T20" s="438"/>
      <c r="U20" s="438"/>
    </row>
    <row r="21" spans="1:21" s="157" customFormat="1" x14ac:dyDescent="0.35">
      <c r="A21" s="16"/>
      <c r="B21" s="3" t="s">
        <v>72</v>
      </c>
      <c r="C21" s="3"/>
      <c r="D21" s="47">
        <f>D16+D18-D19</f>
        <v>14804051.248248139</v>
      </c>
      <c r="E21" s="47">
        <f>+E16+E18-E19</f>
        <v>16865846.870000001</v>
      </c>
      <c r="F21" s="47" t="e">
        <f>#REF!+#REF!+F16+F18-F19</f>
        <v>#REF!</v>
      </c>
      <c r="G21" s="47" t="e">
        <f>#REF!+#REF!+G16+G18-G19</f>
        <v>#REF!</v>
      </c>
      <c r="H21" s="47" t="e">
        <f>#REF!+#REF!+H16+H18-H19</f>
        <v>#REF!</v>
      </c>
      <c r="I21" s="47" t="e">
        <f>#REF!+#REF!+I16+I18-I19</f>
        <v>#REF!</v>
      </c>
      <c r="J21"/>
      <c r="K21" s="134"/>
      <c r="L21" s="47" t="e">
        <f>'P&amp;L - Qtrly'!#REF!</f>
        <v>#REF!</v>
      </c>
      <c r="M21" s="47">
        <v>7569350.7201188048</v>
      </c>
      <c r="N21" s="47" t="e">
        <f>L21-M21</f>
        <v>#REF!</v>
      </c>
      <c r="O21"/>
      <c r="P21" s="47">
        <f>D21</f>
        <v>14804051.248248139</v>
      </c>
      <c r="Q21" s="47">
        <v>55042279.439909413</v>
      </c>
      <c r="R21" s="47">
        <f>P21-Q21</f>
        <v>-40238228.191661276</v>
      </c>
      <c r="S21" s="47">
        <f>+S16+S18-S19</f>
        <v>23766437.73978496</v>
      </c>
      <c r="T21" s="47">
        <f>+T16+T18-T19</f>
        <v>42878882.56161508</v>
      </c>
      <c r="U21" s="47">
        <f>+U16+U18-U19</f>
        <v>0</v>
      </c>
    </row>
    <row r="22" spans="1:21" s="157" customFormat="1" x14ac:dyDescent="0.35">
      <c r="A22" s="16"/>
      <c r="B22" s="16"/>
      <c r="C22" s="41"/>
      <c r="D22" s="16"/>
      <c r="E22" s="16"/>
      <c r="F22" s="16"/>
      <c r="G22" s="16"/>
      <c r="H22" s="16"/>
      <c r="I22" s="16"/>
      <c r="J22"/>
      <c r="K22" s="134"/>
      <c r="L22" s="134"/>
      <c r="M22" s="134"/>
      <c r="N22" s="134"/>
      <c r="O22"/>
      <c r="P22" s="134"/>
      <c r="Q22" s="134"/>
      <c r="R22" s="134"/>
      <c r="S22" s="438"/>
      <c r="T22" s="438"/>
      <c r="U22" s="438"/>
    </row>
    <row r="23" spans="1:21" s="157" customFormat="1" x14ac:dyDescent="0.35">
      <c r="A23" s="16"/>
      <c r="B23" s="16"/>
      <c r="C23" s="41"/>
      <c r="D23" s="16"/>
      <c r="E23" s="29"/>
      <c r="F23" s="16"/>
      <c r="G23" s="16"/>
      <c r="H23" s="16"/>
      <c r="I23" s="16"/>
      <c r="J23"/>
      <c r="K23" s="134"/>
      <c r="L23" s="134"/>
      <c r="M23" s="134"/>
      <c r="N23" s="134"/>
      <c r="O23"/>
      <c r="P23" s="134"/>
      <c r="Q23" s="134"/>
      <c r="R23" s="134"/>
      <c r="S23" s="167"/>
      <c r="T23" s="167"/>
      <c r="U23" s="167"/>
    </row>
    <row r="24" spans="1:21" s="157" customFormat="1" outlineLevel="1" x14ac:dyDescent="0.35">
      <c r="A24" s="16"/>
      <c r="B24" s="45" t="s">
        <v>73</v>
      </c>
      <c r="C24" s="41"/>
      <c r="D24" s="16"/>
      <c r="E24" s="16"/>
      <c r="F24" s="16"/>
      <c r="G24" s="16"/>
      <c r="H24" s="16"/>
      <c r="I24" s="16"/>
      <c r="J24"/>
      <c r="K24" s="134"/>
      <c r="L24" s="134"/>
      <c r="M24" s="134"/>
      <c r="N24" s="134"/>
      <c r="O24"/>
      <c r="P24" s="134"/>
      <c r="Q24" s="134"/>
      <c r="R24" s="134"/>
      <c r="S24" s="438"/>
      <c r="T24" s="438"/>
      <c r="U24" s="438"/>
    </row>
    <row r="25" spans="1:21" s="157" customFormat="1" outlineLevel="1" x14ac:dyDescent="0.35">
      <c r="A25" s="16"/>
      <c r="B25" s="16"/>
      <c r="C25" s="44" t="str">
        <f>'P&amp;L - Monthly'!C26</f>
        <v>Telecom Voice &amp; VOIP</v>
      </c>
      <c r="D25" s="17">
        <f>SUMIF('P&amp;L - Monthly'!$3:$3,'P&amp;L - Yrly'!D$5,'P&amp;L - Monthly'!26:26)</f>
        <v>1589960.64</v>
      </c>
      <c r="E25" s="17">
        <f>SUMIF('P&amp;L - Monthly'!$3:$3,'P&amp;L - Yrly'!E$5,'P&amp;L - Monthly'!26:26)</f>
        <v>1136633.6200000001</v>
      </c>
      <c r="F25" s="17">
        <f>SUMIF('P&amp;L - Monthly'!$3:$3,'P&amp;L - Yrly'!F$5,'P&amp;L - Monthly'!26:26)</f>
        <v>1136633.6200000001</v>
      </c>
      <c r="G25" s="17">
        <f>SUMIF('P&amp;L - Monthly'!$3:$3,'P&amp;L - Yrly'!G$5,'P&amp;L - Monthly'!26:26)</f>
        <v>1464348.3301390298</v>
      </c>
      <c r="H25" s="17">
        <f>SUMIF('P&amp;L - Monthly'!$3:$3,'P&amp;L - Yrly'!H$5,'P&amp;L - Monthly'!26:26)</f>
        <v>2516105.1896330244</v>
      </c>
      <c r="I25" s="17">
        <f>SUMIF('P&amp;L - Monthly'!$3:$3,'P&amp;L - Yrly'!I$5,'P&amp;L - Monthly'!26:26)</f>
        <v>0</v>
      </c>
      <c r="J25"/>
      <c r="K25" s="134"/>
      <c r="L25" s="17" t="e">
        <f>'P&amp;L - Qtrly'!#REF!</f>
        <v>#REF!</v>
      </c>
      <c r="M25" s="17">
        <v>2589814.4923270955</v>
      </c>
      <c r="N25" s="17" t="e">
        <f>M25-L25</f>
        <v>#REF!</v>
      </c>
      <c r="O25"/>
      <c r="P25" s="17">
        <f>D25</f>
        <v>1589960.64</v>
      </c>
      <c r="Q25" s="17">
        <v>20232986.87977951</v>
      </c>
      <c r="R25" s="17">
        <f>Q25-P25</f>
        <v>18643026.23977951</v>
      </c>
      <c r="S25" s="308">
        <f>SUMIF('P&amp;L - Monthly'!$3:$3,'P&amp;L - Yrly'!S$5,'P&amp;L - Monthly'!26:26)</f>
        <v>1464348.3301390298</v>
      </c>
      <c r="T25" s="308">
        <f>SUMIF('P&amp;L - Monthly'!$3:$3,'P&amp;L - Yrly'!T$5,'P&amp;L - Monthly'!26:26)</f>
        <v>2516105.1896330244</v>
      </c>
      <c r="U25" s="308">
        <f>SUMIF('P&amp;L - Monthly'!$3:$3,'P&amp;L - Yrly'!U$5,'P&amp;L - Monthly'!26:26)</f>
        <v>0</v>
      </c>
    </row>
    <row r="26" spans="1:21" s="157" customFormat="1" outlineLevel="1" x14ac:dyDescent="0.35">
      <c r="A26" s="16"/>
      <c r="B26" s="16"/>
      <c r="C26" s="44" t="str">
        <f>'P&amp;L - Monthly'!C27</f>
        <v>SMS</v>
      </c>
      <c r="D26" s="17">
        <f>SUMIF('P&amp;L - Monthly'!$3:$3,'P&amp;L - Yrly'!D$5,'P&amp;L - Monthly'!27:27)</f>
        <v>517900.84999999992</v>
      </c>
      <c r="E26" s="17">
        <f>SUMIF('P&amp;L - Monthly'!$3:$3,'P&amp;L - Yrly'!E$5,'P&amp;L - Monthly'!27:27)</f>
        <v>552609.15</v>
      </c>
      <c r="F26" s="17">
        <f>SUMIF('P&amp;L - Monthly'!$3:$3,'P&amp;L - Yrly'!F$5,'P&amp;L - Monthly'!27:27)</f>
        <v>552609.15</v>
      </c>
      <c r="G26" s="17">
        <f>SUMIF('P&amp;L - Monthly'!$3:$3,'P&amp;L - Yrly'!G$5,'P&amp;L - Monthly'!27:27)</f>
        <v>1258945.7132607156</v>
      </c>
      <c r="H26" s="17">
        <f>SUMIF('P&amp;L - Monthly'!$3:$3,'P&amp;L - Yrly'!H$5,'P&amp;L - Monthly'!27:27)</f>
        <v>1984452.8417025986</v>
      </c>
      <c r="I26" s="17">
        <f>SUMIF('P&amp;L - Monthly'!$3:$3,'P&amp;L - Yrly'!I$5,'P&amp;L - Monthly'!27:27)</f>
        <v>482999.70028376637</v>
      </c>
      <c r="J26"/>
      <c r="K26" s="134"/>
      <c r="L26" s="17" t="e">
        <f>'P&amp;L - Qtrly'!#REF!</f>
        <v>#REF!</v>
      </c>
      <c r="M26" s="17">
        <v>323183.33333333337</v>
      </c>
      <c r="N26" s="17" t="e">
        <f>M26-L26</f>
        <v>#REF!</v>
      </c>
      <c r="O26"/>
      <c r="P26" s="17">
        <f>D26</f>
        <v>517900.84999999992</v>
      </c>
      <c r="Q26" s="17">
        <v>1095685.0000000002</v>
      </c>
      <c r="R26" s="17">
        <f>Q26-P26</f>
        <v>577784.15000000037</v>
      </c>
      <c r="S26" s="308">
        <f>SUMIF('P&amp;L - Monthly'!$3:$3,'P&amp;L - Yrly'!S$5,'P&amp;L - Monthly'!27:27)</f>
        <v>1258945.7132607156</v>
      </c>
      <c r="T26" s="308">
        <f>SUMIF('P&amp;L - Monthly'!$3:$3,'P&amp;L - Yrly'!T$5,'P&amp;L - Monthly'!27:27)</f>
        <v>1984452.8417025986</v>
      </c>
      <c r="U26" s="308">
        <f>SUMIF('P&amp;L - Monthly'!$3:$3,'P&amp;L - Yrly'!U$5,'P&amp;L - Monthly'!27:27)</f>
        <v>482999.70028376637</v>
      </c>
    </row>
    <row r="27" spans="1:21" s="157" customFormat="1" outlineLevel="1" x14ac:dyDescent="0.35">
      <c r="A27" s="16"/>
      <c r="B27" s="16"/>
      <c r="C27" s="44" t="str">
        <f>'P&amp;L - Monthly'!C28</f>
        <v>Hosting / Other</v>
      </c>
      <c r="D27" s="17">
        <f>SUMIF('P&amp;L - Monthly'!$3:$3,'P&amp;L - Yrly'!D$5,'P&amp;L - Monthly'!28:28)</f>
        <v>278653.21999999997</v>
      </c>
      <c r="E27" s="17">
        <f>SUMIF('P&amp;L - Monthly'!$3:$3,'P&amp;L - Yrly'!E$5,'P&amp;L - Monthly'!28:28)</f>
        <v>401013.59</v>
      </c>
      <c r="F27" s="17">
        <f>SUMIF('P&amp;L - Monthly'!$3:$3,'P&amp;L - Yrly'!F$5,'P&amp;L - Monthly'!28:28)</f>
        <v>401013.59</v>
      </c>
      <c r="G27" s="17">
        <f>SUMIF('P&amp;L - Monthly'!$3:$3,'P&amp;L - Yrly'!G$5,'P&amp;L - Monthly'!28:28)</f>
        <v>304200</v>
      </c>
      <c r="H27" s="17">
        <f>SUMIF('P&amp;L - Monthly'!$3:$3,'P&amp;L - Yrly'!H$5,'P&amp;L - Monthly'!28:28)</f>
        <v>304200</v>
      </c>
      <c r="I27" s="17">
        <f>SUMIF('P&amp;L - Monthly'!$3:$3,'P&amp;L - Yrly'!I$5,'P&amp;L - Monthly'!28:28)</f>
        <v>304200</v>
      </c>
      <c r="J27"/>
      <c r="K27" s="134"/>
      <c r="L27" s="17" t="e">
        <f>'P&amp;L - Qtrly'!#REF!</f>
        <v>#REF!</v>
      </c>
      <c r="M27" s="17">
        <v>135000</v>
      </c>
      <c r="N27" s="17" t="e">
        <f>M27-L27</f>
        <v>#REF!</v>
      </c>
      <c r="O27"/>
      <c r="P27" s="17">
        <f>D27</f>
        <v>278653.21999999997</v>
      </c>
      <c r="Q27" s="17">
        <v>540000</v>
      </c>
      <c r="R27" s="17">
        <f>Q27-P27</f>
        <v>261346.78000000003</v>
      </c>
      <c r="S27" s="308">
        <f>SUMIF('P&amp;L - Monthly'!$3:$3,'P&amp;L - Yrly'!S$5,'P&amp;L - Monthly'!28:28)</f>
        <v>304200</v>
      </c>
      <c r="T27" s="308">
        <f>SUMIF('P&amp;L - Monthly'!$3:$3,'P&amp;L - Yrly'!T$5,'P&amp;L - Monthly'!28:28)</f>
        <v>304200</v>
      </c>
      <c r="U27" s="308">
        <f>SUMIF('P&amp;L - Monthly'!$3:$3,'P&amp;L - Yrly'!U$5,'P&amp;L - Monthly'!28:28)</f>
        <v>304200</v>
      </c>
    </row>
    <row r="28" spans="1:21" s="157" customFormat="1" outlineLevel="1" x14ac:dyDescent="0.35">
      <c r="A28" s="16"/>
      <c r="B28" s="16"/>
      <c r="C28" s="44" t="str">
        <f>'P&amp;L - Monthly'!C29</f>
        <v>Credit Card Fees</v>
      </c>
      <c r="D28" s="17">
        <f>SUMIF('P&amp;L - Monthly'!$3:$3,'P&amp;L - Yrly'!D$5,'P&amp;L - Monthly'!29:29)</f>
        <v>317886.78999999998</v>
      </c>
      <c r="E28" s="17">
        <f>SUMIF('P&amp;L - Monthly'!$3:$3,'P&amp;L - Yrly'!E$5,'P&amp;L - Monthly'!29:29)</f>
        <v>388915.74999999994</v>
      </c>
      <c r="F28" s="17">
        <f>SUMIF('P&amp;L - Monthly'!$3:$3,'P&amp;L - Yrly'!F$5,'P&amp;L - Monthly'!29:29)</f>
        <v>388915.74999999994</v>
      </c>
      <c r="G28" s="17">
        <f>SUMIF('P&amp;L - Monthly'!$3:$3,'P&amp;L - Yrly'!G$5,'P&amp;L - Monthly'!29:29)</f>
        <v>596601.52404485573</v>
      </c>
      <c r="H28" s="17">
        <f>SUMIF('P&amp;L - Monthly'!$3:$3,'P&amp;L - Yrly'!H$5,'P&amp;L - Monthly'!29:29)</f>
        <v>1076165.5726897656</v>
      </c>
      <c r="I28" s="17">
        <f>SUMIF('P&amp;L - Monthly'!$3:$3,'P&amp;L - Yrly'!I$5,'P&amp;L - Monthly'!29:29)</f>
        <v>0</v>
      </c>
      <c r="J28"/>
      <c r="K28" s="134"/>
      <c r="L28" s="17" t="e">
        <f>'P&amp;L - Qtrly'!#REF!</f>
        <v>#REF!</v>
      </c>
      <c r="M28" s="17">
        <v>121897.10654968764</v>
      </c>
      <c r="N28" s="17" t="e">
        <f>M28-L28</f>
        <v>#REF!</v>
      </c>
      <c r="O28"/>
      <c r="P28" s="17">
        <f>D28</f>
        <v>317886.78999999998</v>
      </c>
      <c r="Q28" s="17">
        <v>1093398.5848881335</v>
      </c>
      <c r="R28" s="17">
        <f>Q28-P28</f>
        <v>775511.79488813342</v>
      </c>
      <c r="S28" s="308">
        <f>SUMIF('P&amp;L - Monthly'!$3:$3,'P&amp;L - Yrly'!S$5,'P&amp;L - Monthly'!29:29)</f>
        <v>596601.52404485573</v>
      </c>
      <c r="T28" s="308">
        <f>SUMIF('P&amp;L - Monthly'!$3:$3,'P&amp;L - Yrly'!T$5,'P&amp;L - Monthly'!29:29)</f>
        <v>1076165.5726897656</v>
      </c>
      <c r="U28" s="308">
        <f>SUMIF('P&amp;L - Monthly'!$3:$3,'P&amp;L - Yrly'!U$5,'P&amp;L - Monthly'!29:29)</f>
        <v>0</v>
      </c>
    </row>
    <row r="29" spans="1:21" s="157" customFormat="1" x14ac:dyDescent="0.35">
      <c r="A29" s="16"/>
      <c r="B29" s="16"/>
      <c r="C29" s="48" t="s">
        <v>73</v>
      </c>
      <c r="D29" s="7">
        <f t="shared" ref="D29" si="1">SUM(D26:D28)+D25</f>
        <v>2704401.5</v>
      </c>
      <c r="E29" s="7">
        <f>SUM(E26:E28)+E25</f>
        <v>2479172.1100000003</v>
      </c>
      <c r="F29" s="7">
        <f>SUM(F26:F28)+F25</f>
        <v>2479172.1100000003</v>
      </c>
      <c r="G29" s="7">
        <f>SUM(G26:G28)+G25</f>
        <v>3624095.5674446011</v>
      </c>
      <c r="H29" s="7">
        <f>SUM(H26:H28)+H25</f>
        <v>5880923.6040253881</v>
      </c>
      <c r="I29" s="7">
        <f>SUM(I26:I28)+I25</f>
        <v>787199.70028376637</v>
      </c>
      <c r="J29"/>
      <c r="K29" s="134"/>
      <c r="L29" s="7" t="e">
        <f>'P&amp;L - Qtrly'!#REF!</f>
        <v>#REF!</v>
      </c>
      <c r="M29" s="7">
        <v>3201209.2655434497</v>
      </c>
      <c r="N29" s="7" t="e">
        <f>M29-L29</f>
        <v>#REF!</v>
      </c>
      <c r="O29"/>
      <c r="P29" s="7">
        <f>D29</f>
        <v>2704401.5</v>
      </c>
      <c r="Q29" s="7">
        <v>23059941.131334312</v>
      </c>
      <c r="R29" s="7">
        <f>Q29-P29</f>
        <v>20355539.631334312</v>
      </c>
      <c r="S29" s="7">
        <f>SUM(S26:S28)+S25</f>
        <v>3624095.5674446011</v>
      </c>
      <c r="T29" s="7">
        <f>SUM(T26:T28)+T25</f>
        <v>5880923.6040253881</v>
      </c>
      <c r="U29" s="7">
        <f>SUM(U26:U28)+U25</f>
        <v>787199.70028376637</v>
      </c>
    </row>
    <row r="30" spans="1:21" s="157" customFormat="1" x14ac:dyDescent="0.35">
      <c r="A30" s="16"/>
      <c r="B30" s="16"/>
      <c r="C30" s="45"/>
      <c r="D30" s="16"/>
      <c r="E30" s="16"/>
      <c r="F30" s="16"/>
      <c r="G30" s="16"/>
      <c r="H30" s="16"/>
      <c r="I30" s="16"/>
      <c r="J30"/>
      <c r="K30" s="134"/>
      <c r="L30" s="134"/>
      <c r="M30" s="134"/>
      <c r="N30" s="134"/>
      <c r="O30"/>
      <c r="P30" s="134"/>
      <c r="Q30" s="134"/>
      <c r="R30" s="134"/>
      <c r="S30" s="438"/>
      <c r="T30" s="438"/>
      <c r="U30" s="438"/>
    </row>
    <row r="31" spans="1:21" s="157" customFormat="1" x14ac:dyDescent="0.35">
      <c r="A31" s="16"/>
      <c r="B31" s="16"/>
      <c r="C31" s="45"/>
      <c r="D31" s="16"/>
      <c r="E31" s="16"/>
      <c r="F31" s="16"/>
      <c r="G31" s="16"/>
      <c r="H31" s="16"/>
      <c r="I31" s="16"/>
      <c r="J31"/>
      <c r="K31" s="134"/>
      <c r="L31" s="134"/>
      <c r="M31" s="134"/>
      <c r="N31" s="134"/>
      <c r="O31"/>
      <c r="P31" s="134"/>
      <c r="Q31" s="134"/>
      <c r="R31" s="134"/>
      <c r="S31" s="438"/>
      <c r="T31" s="438"/>
      <c r="U31" s="438"/>
    </row>
    <row r="32" spans="1:21" s="157" customFormat="1" ht="15" thickBot="1" x14ac:dyDescent="0.4">
      <c r="A32" s="16"/>
      <c r="B32" s="51" t="s">
        <v>76</v>
      </c>
      <c r="C32" s="52"/>
      <c r="D32" s="53">
        <f t="shared" ref="D32" si="2">D21-D29</f>
        <v>12099649.748248139</v>
      </c>
      <c r="E32" s="53">
        <f>E21-E29</f>
        <v>14386674.760000002</v>
      </c>
      <c r="F32" s="53" t="e">
        <f>F21-F29</f>
        <v>#REF!</v>
      </c>
      <c r="G32" s="53" t="e">
        <f>G21-G29</f>
        <v>#REF!</v>
      </c>
      <c r="H32" s="53" t="e">
        <f>H21-H29</f>
        <v>#REF!</v>
      </c>
      <c r="I32" s="53" t="e">
        <f>I21-I29</f>
        <v>#REF!</v>
      </c>
      <c r="J32"/>
      <c r="K32" s="134"/>
      <c r="L32" s="53" t="e">
        <f>'P&amp;L - Qtrly'!#REF!</f>
        <v>#REF!</v>
      </c>
      <c r="M32" s="53">
        <v>4368141.4545753552</v>
      </c>
      <c r="N32" s="53" t="e">
        <f>L32-M32</f>
        <v>#REF!</v>
      </c>
      <c r="O32"/>
      <c r="P32" s="53">
        <f>D32</f>
        <v>12099649.748248139</v>
      </c>
      <c r="Q32" s="53">
        <v>31982338.308575101</v>
      </c>
      <c r="R32" s="53">
        <f>P32-Q32</f>
        <v>-19882688.560326964</v>
      </c>
      <c r="S32" s="53">
        <f>S21-S29</f>
        <v>20142342.17234036</v>
      </c>
      <c r="T32" s="53">
        <f>T21-T29</f>
        <v>36997958.957589693</v>
      </c>
      <c r="U32" s="53">
        <f>U21-U29</f>
        <v>-787199.70028376637</v>
      </c>
    </row>
    <row r="33" spans="1:73" s="157" customFormat="1" x14ac:dyDescent="0.35">
      <c r="A33" s="16"/>
      <c r="B33" s="16"/>
      <c r="C33" s="80" t="s">
        <v>146</v>
      </c>
      <c r="D33" s="125">
        <f>D32/D21</f>
        <v>0.81732017441374172</v>
      </c>
      <c r="E33" s="125">
        <f>E32/E21</f>
        <v>0.8530063667060912</v>
      </c>
      <c r="F33" s="125" t="e">
        <f>F32/F21</f>
        <v>#REF!</v>
      </c>
      <c r="G33" s="125" t="e">
        <f>G32/G21</f>
        <v>#REF!</v>
      </c>
      <c r="H33" s="125" t="e">
        <f>H32/H21</f>
        <v>#REF!</v>
      </c>
      <c r="I33" s="125"/>
      <c r="J33"/>
      <c r="K33" s="134"/>
      <c r="L33" s="125" t="e">
        <f>'P&amp;L - Qtrly'!#REF!</f>
        <v>#REF!</v>
      </c>
      <c r="M33" s="125">
        <v>0.57708271370821018</v>
      </c>
      <c r="N33" s="125" t="e">
        <f>L33-M33</f>
        <v>#REF!</v>
      </c>
      <c r="O33"/>
      <c r="P33" s="125">
        <f>D33</f>
        <v>0.81732017441374172</v>
      </c>
      <c r="Q33" s="125">
        <v>0.58105039678617887</v>
      </c>
      <c r="R33" s="125">
        <f>P33-Q33</f>
        <v>0.23626977762756285</v>
      </c>
      <c r="S33" s="125">
        <f>S32/S21</f>
        <v>0.847512041681456</v>
      </c>
      <c r="T33" s="125">
        <f>T32/T21</f>
        <v>0.86284802092091006</v>
      </c>
      <c r="U33" s="125" t="e">
        <f>U32/U21</f>
        <v>#DIV/0!</v>
      </c>
    </row>
    <row r="34" spans="1:73" s="157" customFormat="1" x14ac:dyDescent="0.35">
      <c r="A34" s="16"/>
      <c r="B34" s="16"/>
      <c r="C34" s="41"/>
      <c r="D34" s="16"/>
      <c r="E34" s="16"/>
      <c r="F34" s="16"/>
      <c r="G34" s="16"/>
      <c r="H34" s="16"/>
      <c r="I34" s="16"/>
      <c r="J34" s="16"/>
      <c r="K34" s="134"/>
      <c r="L34" s="134"/>
      <c r="M34" s="134"/>
      <c r="N34" s="134"/>
      <c r="O34" s="16"/>
      <c r="P34" s="134"/>
      <c r="Q34" s="134"/>
      <c r="R34" s="134"/>
      <c r="S34" s="438"/>
      <c r="T34" s="438"/>
      <c r="U34" s="438"/>
    </row>
    <row r="35" spans="1:73" s="157" customFormat="1" x14ac:dyDescent="0.35">
      <c r="A35" s="16"/>
      <c r="B35" s="16"/>
      <c r="C35" s="30" t="s">
        <v>16</v>
      </c>
      <c r="D35" s="16"/>
      <c r="E35" s="16"/>
      <c r="F35" s="16"/>
      <c r="G35" s="16"/>
      <c r="H35" s="16"/>
      <c r="I35" s="16"/>
      <c r="J35"/>
      <c r="K35" s="134"/>
      <c r="L35" s="134"/>
      <c r="M35" s="134"/>
      <c r="N35" s="134"/>
      <c r="O35"/>
      <c r="P35" s="134"/>
      <c r="Q35" s="134"/>
      <c r="R35" s="134"/>
      <c r="S35" s="438"/>
      <c r="T35" s="438"/>
      <c r="U35" s="438"/>
    </row>
    <row r="36" spans="1:73" s="157" customFormat="1" hidden="1" outlineLevel="2" x14ac:dyDescent="0.35">
      <c r="A36" s="16"/>
      <c r="B36" s="16"/>
      <c r="C36" s="30" t="s">
        <v>17</v>
      </c>
      <c r="D36" s="16"/>
      <c r="E36" s="16"/>
      <c r="F36" s="16"/>
      <c r="G36" s="16"/>
      <c r="H36" s="16"/>
      <c r="I36" s="16"/>
      <c r="J36"/>
      <c r="K36" s="134"/>
      <c r="L36" s="134"/>
      <c r="M36" s="134"/>
      <c r="N36" s="134"/>
      <c r="O36"/>
      <c r="P36" s="134"/>
      <c r="Q36" s="134"/>
      <c r="R36" s="134"/>
      <c r="S36" s="438"/>
      <c r="T36" s="438"/>
      <c r="U36" s="438"/>
    </row>
    <row r="37" spans="1:73" s="157" customFormat="1" hidden="1" outlineLevel="2" x14ac:dyDescent="0.35">
      <c r="A37" s="16"/>
      <c r="B37" s="16"/>
      <c r="C37" s="41" t="s">
        <v>224</v>
      </c>
      <c r="D37" s="17">
        <f>SUMIF('P&amp;L - Monthly'!$3:$3,'P&amp;L - Yrly'!D$5,'P&amp;L - Monthly'!38:38)</f>
        <v>576761.38881479611</v>
      </c>
      <c r="E37" s="17">
        <f>SUMIF('P&amp;L - Monthly'!$3:$3,'P&amp;L - Yrly'!E$5,'P&amp;L - Monthly'!38:38)</f>
        <v>1499520.1199999999</v>
      </c>
      <c r="F37" s="17">
        <f>SUMIF('P&amp;L - Monthly'!$3:$3,'P&amp;L - Yrly'!F$5,'P&amp;L - Monthly'!38:38)</f>
        <v>1499520.1199999999</v>
      </c>
      <c r="G37" s="17">
        <f>SUMIF('P&amp;L - Monthly'!$3:$3,'P&amp;L - Yrly'!G$5,'P&amp;L - Monthly'!38:38)</f>
        <v>2002740.0857660547</v>
      </c>
      <c r="H37" s="17">
        <f>SUMIF('P&amp;L - Monthly'!$3:$3,'P&amp;L - Yrly'!H$5,'P&amp;L - Monthly'!38:38)</f>
        <v>2121073.8057640507</v>
      </c>
      <c r="I37" s="17">
        <f>SUMIF('P&amp;L - Monthly'!$3:$3,'P&amp;L - Yrly'!I$5,'P&amp;L - Monthly'!38:38)</f>
        <v>2262025.8744672183</v>
      </c>
      <c r="J37"/>
      <c r="K37" s="134"/>
      <c r="L37" s="17" t="e">
        <f>'P&amp;L - Qtrly'!#REF!</f>
        <v>#REF!</v>
      </c>
      <c r="M37" s="17">
        <v>403874.50000000006</v>
      </c>
      <c r="N37" s="17" t="e">
        <f>M37-L37</f>
        <v>#REF!</v>
      </c>
      <c r="O37"/>
      <c r="P37" s="17">
        <f>D37</f>
        <v>576761.38881479611</v>
      </c>
      <c r="Q37" s="17">
        <v>1643338</v>
      </c>
      <c r="R37" s="17">
        <f>Q37-P37</f>
        <v>1066576.6111852038</v>
      </c>
      <c r="S37" s="308">
        <f>SUMIF('P&amp;L - Monthly'!$3:$3,'P&amp;L - Yrly'!S$5,'P&amp;L - Monthly'!38:38)</f>
        <v>2002740.0857660547</v>
      </c>
      <c r="T37" s="308">
        <f>SUMIF('P&amp;L - Monthly'!$3:$3,'P&amp;L - Yrly'!T$5,'P&amp;L - Monthly'!38:38)</f>
        <v>2121073.8057640507</v>
      </c>
      <c r="U37" s="308">
        <f>SUMIF('P&amp;L - Monthly'!$3:$3,'P&amp;L - Yrly'!U$5,'P&amp;L - Monthly'!38:38)</f>
        <v>2262025.8744672183</v>
      </c>
    </row>
    <row r="38" spans="1:73" s="157" customFormat="1" ht="15" hidden="1" outlineLevel="2" thickBot="1" x14ac:dyDescent="0.4">
      <c r="A38" s="16"/>
      <c r="B38" s="16"/>
      <c r="C38" s="42" t="s">
        <v>5</v>
      </c>
      <c r="D38" s="20">
        <f>SUMIF('P&amp;L - Monthly'!$3:$3,'P&amp;L - Yrly'!D$5,'P&amp;L - Monthly'!39:39)</f>
        <v>1875500.4146020191</v>
      </c>
      <c r="E38" s="20">
        <f>SUMIF('P&amp;L - Monthly'!$3:$3,'P&amp;L - Yrly'!E$5,'P&amp;L - Monthly'!39:39)</f>
        <v>5063985.59</v>
      </c>
      <c r="F38" s="20">
        <f>SUMIF('P&amp;L - Monthly'!$3:$3,'P&amp;L - Yrly'!F$5,'P&amp;L - Monthly'!39:39)</f>
        <v>5063985.59</v>
      </c>
      <c r="G38" s="20">
        <f>SUMIF('P&amp;L - Monthly'!$3:$3,'P&amp;L - Yrly'!G$5,'P&amp;L - Monthly'!39:39)</f>
        <v>8424007.625500001</v>
      </c>
      <c r="H38" s="20">
        <f>SUMIF('P&amp;L - Monthly'!$3:$3,'P&amp;L - Yrly'!H$5,'P&amp;L - Monthly'!39:39)</f>
        <v>7714756.6882537846</v>
      </c>
      <c r="I38" s="20">
        <f>SUMIF('P&amp;L - Monthly'!$3:$3,'P&amp;L - Yrly'!I$5,'P&amp;L - Monthly'!39:39)</f>
        <v>7713819.4074833505</v>
      </c>
      <c r="J38"/>
      <c r="K38" s="134"/>
      <c r="L38" s="20" t="e">
        <f>'P&amp;L - Qtrly'!#REF!</f>
        <v>#REF!</v>
      </c>
      <c r="M38" s="20">
        <v>178014.119775514</v>
      </c>
      <c r="N38" s="20" t="e">
        <f>M38-L38</f>
        <v>#REF!</v>
      </c>
      <c r="O38"/>
      <c r="P38" s="20">
        <f>D38</f>
        <v>1875500.4146020191</v>
      </c>
      <c r="Q38" s="20">
        <v>704971.12264211755</v>
      </c>
      <c r="R38" s="20">
        <f>Q38-P38</f>
        <v>-1170529.2919599016</v>
      </c>
      <c r="S38" s="226">
        <f>SUMIF('P&amp;L - Monthly'!$3:$3,'P&amp;L - Yrly'!S$5,'P&amp;L - Monthly'!39:39)</f>
        <v>8424007.625500001</v>
      </c>
      <c r="T38" s="226">
        <f>SUMIF('P&amp;L - Monthly'!$3:$3,'P&amp;L - Yrly'!T$5,'P&amp;L - Monthly'!39:39)</f>
        <v>7714756.6882537846</v>
      </c>
      <c r="U38" s="226">
        <f>SUMIF('P&amp;L - Monthly'!$3:$3,'P&amp;L - Yrly'!U$5,'P&amp;L - Monthly'!39:39)</f>
        <v>7713819.4074833505</v>
      </c>
    </row>
    <row r="39" spans="1:73" s="157" customFormat="1" collapsed="1" x14ac:dyDescent="0.35">
      <c r="A39" s="30"/>
      <c r="B39" s="30"/>
      <c r="C39" s="30" t="s">
        <v>17</v>
      </c>
      <c r="D39" s="8">
        <f t="shared" ref="D39" si="3">SUM(D37:D38)</f>
        <v>2452261.8034168151</v>
      </c>
      <c r="E39" s="8">
        <f>SUM(E37:E38)</f>
        <v>6563505.71</v>
      </c>
      <c r="F39" s="8">
        <f>SUM(F37:F38)</f>
        <v>6563505.71</v>
      </c>
      <c r="G39" s="8">
        <f>SUM(G37:G38)</f>
        <v>10426747.711266056</v>
      </c>
      <c r="H39" s="8">
        <f>SUM(H37:H38)</f>
        <v>9835830.4940178357</v>
      </c>
      <c r="I39" s="8">
        <f>SUM(I37:I38)</f>
        <v>9975845.2819505688</v>
      </c>
      <c r="J39" s="29"/>
      <c r="K39" s="134"/>
      <c r="L39" s="8" t="e">
        <f>'P&amp;L - Qtrly'!#REF!</f>
        <v>#REF!</v>
      </c>
      <c r="M39" s="8">
        <v>4766194.6741822818</v>
      </c>
      <c r="N39" s="8" t="e">
        <f>M39-L39</f>
        <v>#REF!</v>
      </c>
      <c r="O39"/>
      <c r="P39" s="8">
        <f>D39</f>
        <v>2452261.8034168151</v>
      </c>
      <c r="Q39" s="8">
        <v>19512287.94690638</v>
      </c>
      <c r="R39" s="8">
        <f>Q39-P39</f>
        <v>17060026.143489566</v>
      </c>
      <c r="S39" s="166">
        <f>SUM(S37:S38)</f>
        <v>10426747.711266056</v>
      </c>
      <c r="T39" s="166">
        <f>SUM(T37:T38)</f>
        <v>9835830.4940178357</v>
      </c>
      <c r="U39" s="166">
        <f>SUM(U37:U38)</f>
        <v>9975845.2819505688</v>
      </c>
      <c r="BN39" s="5"/>
      <c r="BO39" s="5"/>
      <c r="BP39" s="5"/>
      <c r="BQ39" s="5"/>
      <c r="BR39" s="5"/>
      <c r="BS39" s="5"/>
      <c r="BT39" s="5"/>
      <c r="BU39" s="5"/>
    </row>
    <row r="40" spans="1:73" s="157" customFormat="1" x14ac:dyDescent="0.35">
      <c r="A40" s="16"/>
      <c r="B40" s="16"/>
      <c r="C40" s="41"/>
      <c r="D40" s="17"/>
      <c r="E40" s="17"/>
      <c r="F40" s="17"/>
      <c r="G40" s="17"/>
      <c r="H40" s="17"/>
      <c r="I40" s="17"/>
      <c r="J40"/>
      <c r="K40" s="134"/>
      <c r="L40" s="17"/>
      <c r="M40" s="17"/>
      <c r="N40" s="17"/>
      <c r="O40"/>
      <c r="P40" s="17"/>
      <c r="Q40" s="17"/>
      <c r="R40" s="17"/>
      <c r="S40" s="308"/>
      <c r="T40" s="308"/>
      <c r="U40" s="308"/>
    </row>
    <row r="41" spans="1:73" s="157" customFormat="1" hidden="1" outlineLevel="1" x14ac:dyDescent="0.35">
      <c r="A41" s="16"/>
      <c r="B41" s="16"/>
      <c r="C41" s="30" t="s">
        <v>18</v>
      </c>
      <c r="D41" s="17"/>
      <c r="E41" s="17"/>
      <c r="F41" s="17"/>
      <c r="G41" s="17"/>
      <c r="H41" s="17"/>
      <c r="I41" s="17"/>
      <c r="J41"/>
      <c r="K41" s="134"/>
      <c r="L41" s="17"/>
      <c r="M41" s="17"/>
      <c r="N41" s="17"/>
      <c r="O41"/>
      <c r="P41" s="17"/>
      <c r="Q41" s="17"/>
      <c r="R41" s="17"/>
      <c r="S41" s="308"/>
      <c r="T41" s="308"/>
      <c r="U41" s="308"/>
    </row>
    <row r="42" spans="1:73" s="157" customFormat="1" hidden="1" outlineLevel="1" x14ac:dyDescent="0.35">
      <c r="A42" s="151"/>
      <c r="B42" s="151"/>
      <c r="C42" s="43" t="s">
        <v>342</v>
      </c>
      <c r="D42" s="17">
        <f>SUMIF('P&amp;L - Monthly'!$3:$3,'P&amp;L - Yrly'!D$5,'P&amp;L - Monthly'!43:43)</f>
        <v>458134.93885431706</v>
      </c>
      <c r="E42" s="17">
        <f>SUMIF('P&amp;L - Monthly'!$3:$3,'P&amp;L - Yrly'!E$5,'P&amp;L - Monthly'!43:43)</f>
        <v>1090290.73</v>
      </c>
      <c r="F42" s="17"/>
      <c r="G42" s="17"/>
      <c r="H42" s="17"/>
      <c r="I42" s="17"/>
      <c r="J42" s="151"/>
      <c r="K42" s="151"/>
      <c r="L42" s="17"/>
      <c r="M42" s="17"/>
      <c r="N42" s="17"/>
      <c r="O42" s="151"/>
      <c r="P42" s="17"/>
      <c r="Q42" s="17"/>
      <c r="R42" s="17"/>
      <c r="S42" s="308">
        <f>SUMIF('P&amp;L - Monthly'!$3:$3,'P&amp;L - Yrly'!S$5,'P&amp;L - Monthly'!43:43)</f>
        <v>1484478.9781251021</v>
      </c>
      <c r="T42" s="308">
        <f>SUMIF('P&amp;L - Monthly'!$3:$3,'P&amp;L - Yrly'!T$5,'P&amp;L - Monthly'!43:43)</f>
        <v>1786020.3966645065</v>
      </c>
      <c r="U42" s="308">
        <f>SUMIF('P&amp;L - Monthly'!$3:$3,'P&amp;L - Yrly'!U$5,'P&amp;L - Monthly'!43:43)</f>
        <v>1935260.7421842939</v>
      </c>
    </row>
    <row r="43" spans="1:73" s="157" customFormat="1" hidden="1" outlineLevel="1" x14ac:dyDescent="0.35">
      <c r="A43" s="16"/>
      <c r="B43" s="16"/>
      <c r="C43" s="41" t="s">
        <v>67</v>
      </c>
      <c r="D43" s="17">
        <f>SUMIF('P&amp;L - Monthly'!$3:$3,'P&amp;L - Yrly'!D$5,'P&amp;L - Monthly'!44:44)</f>
        <v>1371802.1689623967</v>
      </c>
      <c r="E43" s="17">
        <f>SUMIF('P&amp;L - Monthly'!$3:$3,'P&amp;L - Yrly'!E$5,'P&amp;L - Monthly'!44:44)</f>
        <v>3140133.43</v>
      </c>
      <c r="F43" s="17">
        <f>SUMIF('P&amp;L - Monthly'!$3:$3,'P&amp;L - Yrly'!F$5,'P&amp;L - Monthly'!44:44)</f>
        <v>3140133.43</v>
      </c>
      <c r="G43" s="17">
        <f>SUMIF('P&amp;L - Monthly'!$3:$3,'P&amp;L - Yrly'!G$5,'P&amp;L - Monthly'!44:44)</f>
        <v>3204885.5162064726</v>
      </c>
      <c r="H43" s="17">
        <f>SUMIF('P&amp;L - Monthly'!$3:$3,'P&amp;L - Yrly'!H$5,'P&amp;L - Monthly'!44:44)</f>
        <v>3926289.7993751811</v>
      </c>
      <c r="I43" s="17">
        <f>SUMIF('P&amp;L - Monthly'!$3:$3,'P&amp;L - Yrly'!I$5,'P&amp;L - Monthly'!44:44)</f>
        <v>4154412.2530894419</v>
      </c>
      <c r="J43"/>
      <c r="K43" s="134"/>
      <c r="L43" s="17" t="e">
        <f>'P&amp;L - Qtrly'!#REF!</f>
        <v>#REF!</v>
      </c>
      <c r="M43" s="17">
        <v>525378.91666666663</v>
      </c>
      <c r="N43" s="17" t="e">
        <f>M43-L43</f>
        <v>#REF!</v>
      </c>
      <c r="O43"/>
      <c r="P43" s="17">
        <f>D43</f>
        <v>1371802.1689623967</v>
      </c>
      <c r="Q43" s="17">
        <v>1903600.5</v>
      </c>
      <c r="R43" s="17">
        <f>Q43-P43</f>
        <v>531798.33103760332</v>
      </c>
      <c r="S43" s="308">
        <f>SUMIF('P&amp;L - Monthly'!$3:$3,'P&amp;L - Yrly'!S$5,'P&amp;L - Monthly'!44:44)</f>
        <v>3204885.5162064726</v>
      </c>
      <c r="T43" s="308">
        <f>SUMIF('P&amp;L - Monthly'!$3:$3,'P&amp;L - Yrly'!T$5,'P&amp;L - Monthly'!44:44)</f>
        <v>3926289.7993751811</v>
      </c>
      <c r="U43" s="308">
        <f>SUMIF('P&amp;L - Monthly'!$3:$3,'P&amp;L - Yrly'!U$5,'P&amp;L - Monthly'!44:44)</f>
        <v>4154412.2530894419</v>
      </c>
    </row>
    <row r="44" spans="1:73" s="157" customFormat="1" collapsed="1" x14ac:dyDescent="0.35">
      <c r="A44" s="30"/>
      <c r="B44" s="30"/>
      <c r="C44" s="30" t="s">
        <v>18</v>
      </c>
      <c r="D44" s="8">
        <f t="shared" ref="D44" si="4">SUM(D42:D43)</f>
        <v>1829937.1078167139</v>
      </c>
      <c r="E44" s="8">
        <f>SUM(E42:E43)</f>
        <v>4230424.16</v>
      </c>
      <c r="F44" s="8">
        <f>SUM(F42:F43)</f>
        <v>3140133.43</v>
      </c>
      <c r="G44" s="8">
        <f>SUM(G42:G43)</f>
        <v>3204885.5162064726</v>
      </c>
      <c r="H44" s="8">
        <f>SUM(H42:H43)</f>
        <v>3926289.7993751811</v>
      </c>
      <c r="I44" s="8">
        <f>SUM(I42:I43)</f>
        <v>4154412.2530894419</v>
      </c>
      <c r="J44" s="29"/>
      <c r="K44" s="134"/>
      <c r="L44" s="8" t="e">
        <f>'P&amp;L - Qtrly'!#REF!</f>
        <v>#REF!</v>
      </c>
      <c r="M44" s="8">
        <v>1422440.0833333333</v>
      </c>
      <c r="N44" s="8" t="e">
        <f>M44-L44</f>
        <v>#REF!</v>
      </c>
      <c r="O44"/>
      <c r="P44" s="8">
        <f>D44</f>
        <v>1829937.1078167139</v>
      </c>
      <c r="Q44" s="8">
        <v>5392304.666666667</v>
      </c>
      <c r="R44" s="8">
        <f>Q44-P44</f>
        <v>3562367.5588499531</v>
      </c>
      <c r="S44" s="166">
        <f>SUM(S42:S43)</f>
        <v>4689364.494331575</v>
      </c>
      <c r="T44" s="166">
        <f>SUM(T42:T43)</f>
        <v>5712310.1960396878</v>
      </c>
      <c r="U44" s="166">
        <f>SUM(U42:U43)</f>
        <v>6089672.9952737354</v>
      </c>
      <c r="BN44" s="5"/>
      <c r="BO44" s="5"/>
      <c r="BP44" s="5"/>
      <c r="BQ44" s="5"/>
      <c r="BR44" s="5"/>
      <c r="BS44" s="5"/>
      <c r="BT44" s="5"/>
      <c r="BU44" s="5"/>
    </row>
    <row r="45" spans="1:73" s="157" customFormat="1" x14ac:dyDescent="0.35">
      <c r="A45" s="16"/>
      <c r="B45" s="16"/>
      <c r="C45" s="41"/>
      <c r="D45" s="17"/>
      <c r="E45" s="17"/>
      <c r="F45" s="17"/>
      <c r="G45" s="17"/>
      <c r="H45" s="17"/>
      <c r="I45" s="17"/>
      <c r="J45"/>
      <c r="K45" s="134"/>
      <c r="L45" s="17"/>
      <c r="M45" s="17"/>
      <c r="N45" s="17"/>
      <c r="O45"/>
      <c r="P45" s="17"/>
      <c r="Q45" s="17"/>
      <c r="R45" s="17"/>
      <c r="S45" s="308"/>
      <c r="T45" s="308"/>
      <c r="U45" s="308"/>
    </row>
    <row r="46" spans="1:73" s="157" customFormat="1" hidden="1" outlineLevel="1" x14ac:dyDescent="0.35">
      <c r="A46" s="16"/>
      <c r="B46" s="16"/>
      <c r="C46" s="30" t="s">
        <v>19</v>
      </c>
      <c r="D46" s="17"/>
      <c r="E46" s="17"/>
      <c r="F46" s="17"/>
      <c r="G46" s="17"/>
      <c r="H46" s="17"/>
      <c r="I46" s="17"/>
      <c r="J46"/>
      <c r="K46" s="134"/>
      <c r="L46" s="17"/>
      <c r="M46" s="17"/>
      <c r="N46" s="17"/>
      <c r="O46"/>
      <c r="P46" s="17"/>
      <c r="Q46" s="17"/>
      <c r="R46" s="17"/>
      <c r="S46" s="308"/>
      <c r="T46" s="308"/>
      <c r="U46" s="308"/>
    </row>
    <row r="47" spans="1:73" s="157" customFormat="1" hidden="1" outlineLevel="1" x14ac:dyDescent="0.35">
      <c r="A47" s="16"/>
      <c r="B47" s="16"/>
      <c r="C47" s="41" t="s">
        <v>4</v>
      </c>
      <c r="D47" s="17">
        <f>SUMIF('P&amp;L - Monthly'!$3:$3,'P&amp;L - Yrly'!D$5,'P&amp;L - Monthly'!48:48)</f>
        <v>127964.6975413693</v>
      </c>
      <c r="E47" s="17">
        <f>SUMIF('P&amp;L - Monthly'!$3:$3,'P&amp;L - Yrly'!E$5,'P&amp;L - Monthly'!48:48)</f>
        <v>456344.85</v>
      </c>
      <c r="F47" s="17">
        <f>SUMIF('P&amp;L - Monthly'!$3:$3,'P&amp;L - Yrly'!F$5,'P&amp;L - Monthly'!48:48)</f>
        <v>456344.85</v>
      </c>
      <c r="G47" s="17">
        <f>SUMIF('P&amp;L - Monthly'!$3:$3,'P&amp;L - Yrly'!G$5,'P&amp;L - Monthly'!48:48)</f>
        <v>1030140.584809073</v>
      </c>
      <c r="H47" s="17">
        <f>SUMIF('P&amp;L - Monthly'!$3:$3,'P&amp;L - Yrly'!H$5,'P&amp;L - Monthly'!48:48)</f>
        <v>1137889.1571236358</v>
      </c>
      <c r="I47" s="17">
        <f>SUMIF('P&amp;L - Monthly'!$3:$3,'P&amp;L - Yrly'!I$5,'P&amp;L - Monthly'!48:48)</f>
        <v>1181210.5824626235</v>
      </c>
      <c r="J47"/>
      <c r="K47" s="134"/>
      <c r="L47" s="17" t="e">
        <f>'P&amp;L - Qtrly'!#REF!</f>
        <v>#REF!</v>
      </c>
      <c r="M47" s="17">
        <v>424901.0625</v>
      </c>
      <c r="N47" s="17" t="e">
        <f t="shared" ref="N47:N60" si="5">M47-L47</f>
        <v>#REF!</v>
      </c>
      <c r="O47"/>
      <c r="P47" s="17">
        <f t="shared" ref="P47:P60" si="6">D47</f>
        <v>127964.6975413693</v>
      </c>
      <c r="Q47" s="17">
        <v>1615604.25</v>
      </c>
      <c r="R47" s="17">
        <f t="shared" ref="R47:R60" si="7">Q47-P47</f>
        <v>1487639.5524586306</v>
      </c>
      <c r="S47" s="308">
        <f>SUMIF('P&amp;L - Monthly'!$3:$3,'P&amp;L - Yrly'!S$5,'P&amp;L - Monthly'!48:48)</f>
        <v>1030140.584809073</v>
      </c>
      <c r="T47" s="308">
        <f>SUMIF('P&amp;L - Monthly'!$3:$3,'P&amp;L - Yrly'!T$5,'P&amp;L - Monthly'!48:48)</f>
        <v>1137889.1571236358</v>
      </c>
      <c r="U47" s="308">
        <f>SUMIF('P&amp;L - Monthly'!$3:$3,'P&amp;L - Yrly'!U$5,'P&amp;L - Monthly'!48:48)</f>
        <v>1181210.5824626235</v>
      </c>
    </row>
    <row r="48" spans="1:73" s="157" customFormat="1" hidden="1" outlineLevel="1" x14ac:dyDescent="0.35">
      <c r="A48" s="16"/>
      <c r="B48" s="16"/>
      <c r="C48" s="41" t="s">
        <v>3</v>
      </c>
      <c r="D48" s="17">
        <f>SUMIF('P&amp;L - Monthly'!$3:$3,'P&amp;L - Yrly'!D$5,'P&amp;L - Monthly'!49:49)</f>
        <v>2086440.7441261085</v>
      </c>
      <c r="E48" s="17">
        <f>SUMIF('P&amp;L - Monthly'!$3:$3,'P&amp;L - Yrly'!E$5,'P&amp;L - Monthly'!49:49)</f>
        <v>1695111.6099999999</v>
      </c>
      <c r="F48" s="17">
        <f>SUMIF('P&amp;L - Monthly'!$3:$3,'P&amp;L - Yrly'!F$5,'P&amp;L - Monthly'!49:49)</f>
        <v>1695111.6099999999</v>
      </c>
      <c r="G48" s="17">
        <f>SUMIF('P&amp;L - Monthly'!$3:$3,'P&amp;L - Yrly'!G$5,'P&amp;L - Monthly'!49:49)</f>
        <v>1070583.8206811398</v>
      </c>
      <c r="H48" s="17">
        <f>SUMIF('P&amp;L - Monthly'!$3:$3,'P&amp;L - Yrly'!H$5,'P&amp;L - Monthly'!49:49)</f>
        <v>1023348.9474081714</v>
      </c>
      <c r="I48" s="17">
        <f>SUMIF('P&amp;L - Monthly'!$3:$3,'P&amp;L - Yrly'!I$5,'P&amp;L - Monthly'!49:49)</f>
        <v>1006737.7730080414</v>
      </c>
      <c r="J48"/>
      <c r="K48" s="134"/>
      <c r="L48" s="17" t="e">
        <f>'P&amp;L - Qtrly'!#REF!</f>
        <v>#REF!</v>
      </c>
      <c r="M48" s="17">
        <v>357887.83333333337</v>
      </c>
      <c r="N48" s="17" t="e">
        <f t="shared" si="5"/>
        <v>#REF!</v>
      </c>
      <c r="O48"/>
      <c r="P48" s="17">
        <f t="shared" si="6"/>
        <v>2086440.7441261085</v>
      </c>
      <c r="Q48" s="17">
        <v>753474.00000000012</v>
      </c>
      <c r="R48" s="17">
        <f t="shared" si="7"/>
        <v>-1332966.7441261085</v>
      </c>
      <c r="S48" s="308">
        <f>SUMIF('P&amp;L - Monthly'!$3:$3,'P&amp;L - Yrly'!S$5,'P&amp;L - Monthly'!49:49)</f>
        <v>1070583.8206811398</v>
      </c>
      <c r="T48" s="308">
        <f>SUMIF('P&amp;L - Monthly'!$3:$3,'P&amp;L - Yrly'!T$5,'P&amp;L - Monthly'!49:49)</f>
        <v>1023348.9474081714</v>
      </c>
      <c r="U48" s="308">
        <f>SUMIF('P&amp;L - Monthly'!$3:$3,'P&amp;L - Yrly'!U$5,'P&amp;L - Monthly'!49:49)</f>
        <v>1006737.7730080414</v>
      </c>
    </row>
    <row r="49" spans="1:73" s="157" customFormat="1" hidden="1" outlineLevel="1" x14ac:dyDescent="0.35">
      <c r="A49" s="16"/>
      <c r="B49" s="16"/>
      <c r="C49" s="41" t="s">
        <v>20</v>
      </c>
      <c r="D49" s="17">
        <f>SUMIF('P&amp;L - Monthly'!$3:$3,'P&amp;L - Yrly'!D$5,'P&amp;L - Monthly'!50:50)</f>
        <v>0</v>
      </c>
      <c r="E49" s="17">
        <f>SUMIF('P&amp;L - Monthly'!$3:$3,'P&amp;L - Yrly'!E$5,'P&amp;L - Monthly'!50:50)</f>
        <v>0</v>
      </c>
      <c r="F49" s="17">
        <f>SUMIF('P&amp;L - Monthly'!$3:$3,'P&amp;L - Yrly'!F$5,'P&amp;L - Monthly'!50:50)</f>
        <v>0</v>
      </c>
      <c r="G49" s="17">
        <f>SUMIF('P&amp;L - Monthly'!$3:$3,'P&amp;L - Yrly'!G$5,'P&amp;L - Monthly'!50:50)</f>
        <v>87000</v>
      </c>
      <c r="H49" s="17">
        <f>SUMIF('P&amp;L - Monthly'!$3:$3,'P&amp;L - Yrly'!H$5,'P&amp;L - Monthly'!50:50)</f>
        <v>87000</v>
      </c>
      <c r="I49" s="17">
        <f>SUMIF('P&amp;L - Monthly'!$3:$3,'P&amp;L - Yrly'!I$5,'P&amp;L - Monthly'!50:50)</f>
        <v>12000</v>
      </c>
      <c r="J49"/>
      <c r="K49" s="134"/>
      <c r="L49" s="17" t="e">
        <f>'P&amp;L - Qtrly'!#REF!</f>
        <v>#REF!</v>
      </c>
      <c r="M49" s="17">
        <v>60000</v>
      </c>
      <c r="N49" s="17" t="e">
        <f t="shared" si="5"/>
        <v>#REF!</v>
      </c>
      <c r="O49"/>
      <c r="P49" s="17">
        <f t="shared" si="6"/>
        <v>0</v>
      </c>
      <c r="Q49" s="17">
        <v>240000</v>
      </c>
      <c r="R49" s="17">
        <f t="shared" si="7"/>
        <v>240000</v>
      </c>
      <c r="S49" s="308">
        <f>SUMIF('P&amp;L - Monthly'!$3:$3,'P&amp;L - Yrly'!S$5,'P&amp;L - Monthly'!50:50)</f>
        <v>87000</v>
      </c>
      <c r="T49" s="308">
        <f>SUMIF('P&amp;L - Monthly'!$3:$3,'P&amp;L - Yrly'!T$5,'P&amp;L - Monthly'!50:50)</f>
        <v>87000</v>
      </c>
      <c r="U49" s="308">
        <f>SUMIF('P&amp;L - Monthly'!$3:$3,'P&amp;L - Yrly'!U$5,'P&amp;L - Monthly'!50:50)</f>
        <v>12000</v>
      </c>
    </row>
    <row r="50" spans="1:73" s="157" customFormat="1" hidden="1" outlineLevel="1" x14ac:dyDescent="0.35">
      <c r="A50" s="16"/>
      <c r="B50" s="16"/>
      <c r="C50" s="41" t="s">
        <v>21</v>
      </c>
      <c r="D50" s="17">
        <f>SUMIF('P&amp;L - Monthly'!$3:$3,'P&amp;L - Yrly'!D$5,'P&amp;L - Monthly'!51:51)</f>
        <v>0</v>
      </c>
      <c r="E50" s="17">
        <f>SUMIF('P&amp;L - Monthly'!$3:$3,'P&amp;L - Yrly'!E$5,'P&amp;L - Monthly'!51:51)</f>
        <v>0</v>
      </c>
      <c r="F50" s="17">
        <f>SUMIF('P&amp;L - Monthly'!$3:$3,'P&amp;L - Yrly'!F$5,'P&amp;L - Monthly'!51:51)</f>
        <v>0</v>
      </c>
      <c r="G50" s="17">
        <f>SUMIF('P&amp;L - Monthly'!$3:$3,'P&amp;L - Yrly'!G$5,'P&amp;L - Monthly'!51:51)</f>
        <v>96000</v>
      </c>
      <c r="H50" s="17">
        <f>SUMIF('P&amp;L - Monthly'!$3:$3,'P&amp;L - Yrly'!H$5,'P&amp;L - Monthly'!51:51)</f>
        <v>96000</v>
      </c>
      <c r="I50" s="17">
        <f>SUMIF('P&amp;L - Monthly'!$3:$3,'P&amp;L - Yrly'!I$5,'P&amp;L - Monthly'!51:51)</f>
        <v>96000</v>
      </c>
      <c r="J50"/>
      <c r="K50" s="134"/>
      <c r="L50" s="17" t="e">
        <f>'P&amp;L - Qtrly'!#REF!</f>
        <v>#REF!</v>
      </c>
      <c r="M50" s="17">
        <v>24000</v>
      </c>
      <c r="N50" s="17" t="e">
        <f t="shared" si="5"/>
        <v>#REF!</v>
      </c>
      <c r="O50"/>
      <c r="P50" s="17">
        <f t="shared" si="6"/>
        <v>0</v>
      </c>
      <c r="Q50" s="17">
        <v>105600</v>
      </c>
      <c r="R50" s="17">
        <f t="shared" si="7"/>
        <v>105600</v>
      </c>
      <c r="S50" s="308">
        <f>SUMIF('P&amp;L - Monthly'!$3:$3,'P&amp;L - Yrly'!S$5,'P&amp;L - Monthly'!51:51)</f>
        <v>96000</v>
      </c>
      <c r="T50" s="308">
        <f>SUMIF('P&amp;L - Monthly'!$3:$3,'P&amp;L - Yrly'!T$5,'P&amp;L - Monthly'!51:51)</f>
        <v>96000</v>
      </c>
      <c r="U50" s="308">
        <f>SUMIF('P&amp;L - Monthly'!$3:$3,'P&amp;L - Yrly'!U$5,'P&amp;L - Monthly'!51:51)</f>
        <v>96000</v>
      </c>
    </row>
    <row r="51" spans="1:73" s="157" customFormat="1" hidden="1" outlineLevel="1" x14ac:dyDescent="0.35">
      <c r="A51" s="16"/>
      <c r="B51" s="16"/>
      <c r="C51" s="41" t="s">
        <v>22</v>
      </c>
      <c r="D51" s="17">
        <f>SUMIF('P&amp;L - Monthly'!$3:$3,'P&amp;L - Yrly'!D$5,'P&amp;L - Monthly'!52:52)</f>
        <v>0</v>
      </c>
      <c r="E51" s="17">
        <f>SUMIF('P&amp;L - Monthly'!$3:$3,'P&amp;L - Yrly'!E$5,'P&amp;L - Monthly'!52:52)</f>
        <v>0</v>
      </c>
      <c r="F51" s="17">
        <f>SUMIF('P&amp;L - Monthly'!$3:$3,'P&amp;L - Yrly'!F$5,'P&amp;L - Monthly'!52:52)</f>
        <v>0</v>
      </c>
      <c r="G51" s="17">
        <f>SUMIF('P&amp;L - Monthly'!$3:$3,'P&amp;L - Yrly'!G$5,'P&amp;L - Monthly'!52:52)</f>
        <v>0</v>
      </c>
      <c r="H51" s="17">
        <f>SUMIF('P&amp;L - Monthly'!$3:$3,'P&amp;L - Yrly'!H$5,'P&amp;L - Monthly'!52:52)</f>
        <v>0</v>
      </c>
      <c r="I51" s="17">
        <f>SUMIF('P&amp;L - Monthly'!$3:$3,'P&amp;L - Yrly'!I$5,'P&amp;L - Monthly'!52:52)</f>
        <v>0</v>
      </c>
      <c r="J51"/>
      <c r="K51" s="134"/>
      <c r="L51" s="17" t="e">
        <f>'P&amp;L - Qtrly'!#REF!</f>
        <v>#REF!</v>
      </c>
      <c r="M51" s="17">
        <v>11100</v>
      </c>
      <c r="N51" s="17" t="e">
        <f t="shared" si="5"/>
        <v>#REF!</v>
      </c>
      <c r="O51"/>
      <c r="P51" s="17">
        <f t="shared" si="6"/>
        <v>0</v>
      </c>
      <c r="Q51" s="17">
        <v>48840.000000000007</v>
      </c>
      <c r="R51" s="17">
        <f t="shared" si="7"/>
        <v>48840.000000000007</v>
      </c>
      <c r="S51" s="308">
        <f>SUMIF('P&amp;L - Monthly'!$3:$3,'P&amp;L - Yrly'!S$5,'P&amp;L - Monthly'!52:52)</f>
        <v>0</v>
      </c>
      <c r="T51" s="308">
        <f>SUMIF('P&amp;L - Monthly'!$3:$3,'P&amp;L - Yrly'!T$5,'P&amp;L - Monthly'!52:52)</f>
        <v>0</v>
      </c>
      <c r="U51" s="308">
        <f>SUMIF('P&amp;L - Monthly'!$3:$3,'P&amp;L - Yrly'!U$5,'P&amp;L - Monthly'!52:52)</f>
        <v>0</v>
      </c>
    </row>
    <row r="52" spans="1:73" s="157" customFormat="1" hidden="1" outlineLevel="1" x14ac:dyDescent="0.35">
      <c r="A52" s="16"/>
      <c r="B52" s="16"/>
      <c r="C52" s="41" t="s">
        <v>23</v>
      </c>
      <c r="D52" s="17">
        <f>SUMIF('P&amp;L - Monthly'!$3:$3,'P&amp;L - Yrly'!D$5,'P&amp;L - Monthly'!53:53)</f>
        <v>0</v>
      </c>
      <c r="E52" s="17">
        <f>SUMIF('P&amp;L - Monthly'!$3:$3,'P&amp;L - Yrly'!E$5,'P&amp;L - Monthly'!53:53)</f>
        <v>0</v>
      </c>
      <c r="F52" s="17">
        <f>SUMIF('P&amp;L - Monthly'!$3:$3,'P&amp;L - Yrly'!F$5,'P&amp;L - Monthly'!53:53)</f>
        <v>0</v>
      </c>
      <c r="G52" s="17">
        <f>SUMIF('P&amp;L - Monthly'!$3:$3,'P&amp;L - Yrly'!G$5,'P&amp;L - Monthly'!53:53)</f>
        <v>6000</v>
      </c>
      <c r="H52" s="17">
        <f>SUMIF('P&amp;L - Monthly'!$3:$3,'P&amp;L - Yrly'!H$5,'P&amp;L - Monthly'!53:53)</f>
        <v>6000</v>
      </c>
      <c r="I52" s="17">
        <f>SUMIF('P&amp;L - Monthly'!$3:$3,'P&amp;L - Yrly'!I$5,'P&amp;L - Monthly'!53:53)</f>
        <v>6000</v>
      </c>
      <c r="J52"/>
      <c r="K52" s="134"/>
      <c r="L52" s="17" t="e">
        <f>'P&amp;L - Qtrly'!#REF!</f>
        <v>#REF!</v>
      </c>
      <c r="M52" s="17">
        <v>15000</v>
      </c>
      <c r="N52" s="17" t="e">
        <f t="shared" si="5"/>
        <v>#REF!</v>
      </c>
      <c r="O52"/>
      <c r="P52" s="17">
        <f t="shared" si="6"/>
        <v>0</v>
      </c>
      <c r="Q52" s="17">
        <v>60000</v>
      </c>
      <c r="R52" s="17">
        <f t="shared" si="7"/>
        <v>60000</v>
      </c>
      <c r="S52" s="308">
        <f>SUMIF('P&amp;L - Monthly'!$3:$3,'P&amp;L - Yrly'!S$5,'P&amp;L - Monthly'!53:53)</f>
        <v>6000</v>
      </c>
      <c r="T52" s="308">
        <f>SUMIF('P&amp;L - Monthly'!$3:$3,'P&amp;L - Yrly'!T$5,'P&amp;L - Monthly'!53:53)</f>
        <v>6000</v>
      </c>
      <c r="U52" s="308">
        <f>SUMIF('P&amp;L - Monthly'!$3:$3,'P&amp;L - Yrly'!U$5,'P&amp;L - Monthly'!53:53)</f>
        <v>6000</v>
      </c>
    </row>
    <row r="53" spans="1:73" s="157" customFormat="1" hidden="1" outlineLevel="1" x14ac:dyDescent="0.35">
      <c r="A53" s="16"/>
      <c r="B53" s="16"/>
      <c r="C53" s="41" t="s">
        <v>24</v>
      </c>
      <c r="D53" s="17">
        <f>SUMIF('P&amp;L - Monthly'!$3:$3,'P&amp;L - Yrly'!D$5,'P&amp;L - Monthly'!54:54)</f>
        <v>0</v>
      </c>
      <c r="E53" s="17">
        <f>SUMIF('P&amp;L - Monthly'!$3:$3,'P&amp;L - Yrly'!E$5,'P&amp;L - Monthly'!54:54)</f>
        <v>0</v>
      </c>
      <c r="F53" s="17">
        <f>SUMIF('P&amp;L - Monthly'!$3:$3,'P&amp;L - Yrly'!F$5,'P&amp;L - Monthly'!54:54)</f>
        <v>0</v>
      </c>
      <c r="G53" s="17">
        <f>SUMIF('P&amp;L - Monthly'!$3:$3,'P&amp;L - Yrly'!G$5,'P&amp;L - Monthly'!54:54)</f>
        <v>0</v>
      </c>
      <c r="H53" s="17">
        <f>SUMIF('P&amp;L - Monthly'!$3:$3,'P&amp;L - Yrly'!H$5,'P&amp;L - Monthly'!54:54)</f>
        <v>0</v>
      </c>
      <c r="I53" s="17">
        <f>SUMIF('P&amp;L - Monthly'!$3:$3,'P&amp;L - Yrly'!I$5,'P&amp;L - Monthly'!54:54)</f>
        <v>0</v>
      </c>
      <c r="J53"/>
      <c r="K53" s="134"/>
      <c r="L53" s="17" t="e">
        <f>'P&amp;L - Qtrly'!#REF!</f>
        <v>#REF!</v>
      </c>
      <c r="M53" s="17">
        <v>9000</v>
      </c>
      <c r="N53" s="17" t="e">
        <f t="shared" si="5"/>
        <v>#REF!</v>
      </c>
      <c r="O53"/>
      <c r="P53" s="17">
        <f t="shared" si="6"/>
        <v>0</v>
      </c>
      <c r="Q53" s="17">
        <v>36000</v>
      </c>
      <c r="R53" s="17">
        <f t="shared" si="7"/>
        <v>36000</v>
      </c>
      <c r="S53" s="308">
        <f>SUMIF('P&amp;L - Monthly'!$3:$3,'P&amp;L - Yrly'!S$5,'P&amp;L - Monthly'!54:54)</f>
        <v>0</v>
      </c>
      <c r="T53" s="308">
        <f>SUMIF('P&amp;L - Monthly'!$3:$3,'P&amp;L - Yrly'!T$5,'P&amp;L - Monthly'!54:54)</f>
        <v>0</v>
      </c>
      <c r="U53" s="308">
        <f>SUMIF('P&amp;L - Monthly'!$3:$3,'P&amp;L - Yrly'!U$5,'P&amp;L - Monthly'!54:54)</f>
        <v>0</v>
      </c>
    </row>
    <row r="54" spans="1:73" s="157" customFormat="1" hidden="1" outlineLevel="1" x14ac:dyDescent="0.35">
      <c r="A54" s="16"/>
      <c r="B54" s="16"/>
      <c r="C54" s="41" t="s">
        <v>25</v>
      </c>
      <c r="D54" s="17">
        <f>SUMIF('P&amp;L - Monthly'!$3:$3,'P&amp;L - Yrly'!D$5,'P&amp;L - Monthly'!55:55)</f>
        <v>0</v>
      </c>
      <c r="E54" s="17">
        <f>SUMIF('P&amp;L - Monthly'!$3:$3,'P&amp;L - Yrly'!E$5,'P&amp;L - Monthly'!55:55)</f>
        <v>0</v>
      </c>
      <c r="F54" s="17">
        <f>SUMIF('P&amp;L - Monthly'!$3:$3,'P&amp;L - Yrly'!F$5,'P&amp;L - Monthly'!55:55)</f>
        <v>0</v>
      </c>
      <c r="G54" s="17">
        <f>SUMIF('P&amp;L - Monthly'!$3:$3,'P&amp;L - Yrly'!G$5,'P&amp;L - Monthly'!55:55)</f>
        <v>240000</v>
      </c>
      <c r="H54" s="17">
        <f>SUMIF('P&amp;L - Monthly'!$3:$3,'P&amp;L - Yrly'!H$5,'P&amp;L - Monthly'!55:55)</f>
        <v>120000</v>
      </c>
      <c r="I54" s="17">
        <f>SUMIF('P&amp;L - Monthly'!$3:$3,'P&amp;L - Yrly'!I$5,'P&amp;L - Monthly'!55:55)</f>
        <v>120000</v>
      </c>
      <c r="J54"/>
      <c r="K54" s="134"/>
      <c r="L54" s="17" t="e">
        <f>'P&amp;L - Qtrly'!#REF!</f>
        <v>#REF!</v>
      </c>
      <c r="M54" s="17">
        <v>60000</v>
      </c>
      <c r="N54" s="17" t="e">
        <f t="shared" si="5"/>
        <v>#REF!</v>
      </c>
      <c r="O54"/>
      <c r="P54" s="17">
        <f t="shared" si="6"/>
        <v>0</v>
      </c>
      <c r="Q54" s="17">
        <v>240000</v>
      </c>
      <c r="R54" s="17">
        <f t="shared" si="7"/>
        <v>240000</v>
      </c>
      <c r="S54" s="308">
        <f>SUMIF('P&amp;L - Monthly'!$3:$3,'P&amp;L - Yrly'!S$5,'P&amp;L - Monthly'!55:55)</f>
        <v>240000</v>
      </c>
      <c r="T54" s="308">
        <f>SUMIF('P&amp;L - Monthly'!$3:$3,'P&amp;L - Yrly'!T$5,'P&amp;L - Monthly'!55:55)</f>
        <v>120000</v>
      </c>
      <c r="U54" s="308">
        <f>SUMIF('P&amp;L - Monthly'!$3:$3,'P&amp;L - Yrly'!U$5,'P&amp;L - Monthly'!55:55)</f>
        <v>120000</v>
      </c>
    </row>
    <row r="55" spans="1:73" s="157" customFormat="1" hidden="1" outlineLevel="1" x14ac:dyDescent="0.35">
      <c r="A55" s="16"/>
      <c r="B55" s="16"/>
      <c r="C55" s="41" t="s">
        <v>26</v>
      </c>
      <c r="D55" s="17">
        <f>SUMIF('P&amp;L - Monthly'!$3:$3,'P&amp;L - Yrly'!D$5,'P&amp;L - Monthly'!56:56)</f>
        <v>0</v>
      </c>
      <c r="E55" s="17">
        <f>SUMIF('P&amp;L - Monthly'!$3:$3,'P&amp;L - Yrly'!E$5,'P&amp;L - Monthly'!56:56)</f>
        <v>0</v>
      </c>
      <c r="F55" s="17">
        <f>SUMIF('P&amp;L - Monthly'!$3:$3,'P&amp;L - Yrly'!F$5,'P&amp;L - Monthly'!56:56)</f>
        <v>0</v>
      </c>
      <c r="G55" s="17">
        <f>SUMIF('P&amp;L - Monthly'!$3:$3,'P&amp;L - Yrly'!G$5,'P&amp;L - Monthly'!56:56)</f>
        <v>73260</v>
      </c>
      <c r="H55" s="17">
        <f>SUMIF('P&amp;L - Monthly'!$3:$3,'P&amp;L - Yrly'!H$5,'P&amp;L - Monthly'!56:56)</f>
        <v>73260</v>
      </c>
      <c r="I55" s="17">
        <f>SUMIF('P&amp;L - Monthly'!$3:$3,'P&amp;L - Yrly'!I$5,'P&amp;L - Monthly'!56:56)</f>
        <v>73260</v>
      </c>
      <c r="J55"/>
      <c r="K55" s="134"/>
      <c r="L55" s="17" t="e">
        <f>'P&amp;L - Qtrly'!#REF!</f>
        <v>#REF!</v>
      </c>
      <c r="M55" s="17">
        <v>30000</v>
      </c>
      <c r="N55" s="17" t="e">
        <f t="shared" si="5"/>
        <v>#REF!</v>
      </c>
      <c r="O55"/>
      <c r="P55" s="17">
        <f t="shared" si="6"/>
        <v>0</v>
      </c>
      <c r="Q55" s="17">
        <v>132000</v>
      </c>
      <c r="R55" s="17">
        <f t="shared" si="7"/>
        <v>132000</v>
      </c>
      <c r="S55" s="308">
        <f>SUMIF('P&amp;L - Monthly'!$3:$3,'P&amp;L - Yrly'!S$5,'P&amp;L - Monthly'!56:56)</f>
        <v>73260</v>
      </c>
      <c r="T55" s="308">
        <f>SUMIF('P&amp;L - Monthly'!$3:$3,'P&amp;L - Yrly'!T$5,'P&amp;L - Monthly'!56:56)</f>
        <v>73260</v>
      </c>
      <c r="U55" s="308">
        <f>SUMIF('P&amp;L - Monthly'!$3:$3,'P&amp;L - Yrly'!U$5,'P&amp;L - Monthly'!56:56)</f>
        <v>73260</v>
      </c>
    </row>
    <row r="56" spans="1:73" s="157" customFormat="1" hidden="1" outlineLevel="1" x14ac:dyDescent="0.35">
      <c r="A56" s="16"/>
      <c r="B56" s="16"/>
      <c r="C56" s="41" t="s">
        <v>27</v>
      </c>
      <c r="D56" s="17">
        <f>SUMIF('P&amp;L - Monthly'!$3:$3,'P&amp;L - Yrly'!D$5,'P&amp;L - Monthly'!57:57)</f>
        <v>0</v>
      </c>
      <c r="E56" s="17">
        <f>SUMIF('P&amp;L - Monthly'!$3:$3,'P&amp;L - Yrly'!E$5,'P&amp;L - Monthly'!57:57)</f>
        <v>0</v>
      </c>
      <c r="F56" s="17">
        <f>SUMIF('P&amp;L - Monthly'!$3:$3,'P&amp;L - Yrly'!F$5,'P&amp;L - Monthly'!57:57)</f>
        <v>0</v>
      </c>
      <c r="G56" s="17">
        <f>SUMIF('P&amp;L - Monthly'!$3:$3,'P&amp;L - Yrly'!G$5,'P&amp;L - Monthly'!57:57)</f>
        <v>37200</v>
      </c>
      <c r="H56" s="17">
        <f>SUMIF('P&amp;L - Monthly'!$3:$3,'P&amp;L - Yrly'!H$5,'P&amp;L - Monthly'!57:57)</f>
        <v>37200</v>
      </c>
      <c r="I56" s="17">
        <f>SUMIF('P&amp;L - Monthly'!$3:$3,'P&amp;L - Yrly'!I$5,'P&amp;L - Monthly'!57:57)</f>
        <v>37200</v>
      </c>
      <c r="J56"/>
      <c r="K56" s="134"/>
      <c r="L56" s="17" t="e">
        <f>'P&amp;L - Qtrly'!#REF!</f>
        <v>#REF!</v>
      </c>
      <c r="M56" s="17">
        <v>75224.680851063822</v>
      </c>
      <c r="N56" s="17" t="e">
        <f t="shared" si="5"/>
        <v>#REF!</v>
      </c>
      <c r="O56"/>
      <c r="P56" s="17">
        <f t="shared" si="6"/>
        <v>0</v>
      </c>
      <c r="Q56" s="17">
        <v>343940.32340425532</v>
      </c>
      <c r="R56" s="17">
        <f t="shared" si="7"/>
        <v>343940.32340425532</v>
      </c>
      <c r="S56" s="308">
        <f>SUMIF('P&amp;L - Monthly'!$3:$3,'P&amp;L - Yrly'!S$5,'P&amp;L - Monthly'!57:57)</f>
        <v>37200</v>
      </c>
      <c r="T56" s="308">
        <f>SUMIF('P&amp;L - Monthly'!$3:$3,'P&amp;L - Yrly'!T$5,'P&amp;L - Monthly'!57:57)</f>
        <v>37200</v>
      </c>
      <c r="U56" s="308">
        <f>SUMIF('P&amp;L - Monthly'!$3:$3,'P&amp;L - Yrly'!U$5,'P&amp;L - Monthly'!57:57)</f>
        <v>37200</v>
      </c>
    </row>
    <row r="57" spans="1:73" s="157" customFormat="1" hidden="1" outlineLevel="1" x14ac:dyDescent="0.35">
      <c r="A57" s="16"/>
      <c r="B57" s="16"/>
      <c r="C57" s="43" t="s">
        <v>28</v>
      </c>
      <c r="D57" s="17">
        <f>SUMIF('P&amp;L - Monthly'!$3:$3,'P&amp;L - Yrly'!D$5,'P&amp;L - Monthly'!58:58)</f>
        <v>0</v>
      </c>
      <c r="E57" s="17">
        <f>SUMIF('P&amp;L - Monthly'!$3:$3,'P&amp;L - Yrly'!E$5,'P&amp;L - Monthly'!58:58)</f>
        <v>0</v>
      </c>
      <c r="F57" s="17">
        <f>SUMIF('P&amp;L - Monthly'!$3:$3,'P&amp;L - Yrly'!F$5,'P&amp;L - Monthly'!58:58)</f>
        <v>0</v>
      </c>
      <c r="G57" s="17">
        <f>SUMIF('P&amp;L - Monthly'!$3:$3,'P&amp;L - Yrly'!G$5,'P&amp;L - Monthly'!58:58)</f>
        <v>12000</v>
      </c>
      <c r="H57" s="17">
        <f>SUMIF('P&amp;L - Monthly'!$3:$3,'P&amp;L - Yrly'!H$5,'P&amp;L - Monthly'!58:58)</f>
        <v>12000</v>
      </c>
      <c r="I57" s="17">
        <f>SUMIF('P&amp;L - Monthly'!$3:$3,'P&amp;L - Yrly'!I$5,'P&amp;L - Monthly'!58:58)</f>
        <v>12000</v>
      </c>
      <c r="J57"/>
      <c r="K57" s="134"/>
      <c r="L57" s="17" t="e">
        <f>'P&amp;L - Qtrly'!#REF!</f>
        <v>#REF!</v>
      </c>
      <c r="M57" s="17">
        <v>142880</v>
      </c>
      <c r="N57" s="17" t="e">
        <f t="shared" si="5"/>
        <v>#REF!</v>
      </c>
      <c r="O57"/>
      <c r="P57" s="17">
        <f t="shared" si="6"/>
        <v>0</v>
      </c>
      <c r="Q57" s="17">
        <v>547866.00000000012</v>
      </c>
      <c r="R57" s="17">
        <f t="shared" si="7"/>
        <v>547866.00000000012</v>
      </c>
      <c r="S57" s="308">
        <f>SUMIF('P&amp;L - Monthly'!$3:$3,'P&amp;L - Yrly'!S$5,'P&amp;L - Monthly'!58:58)</f>
        <v>12000</v>
      </c>
      <c r="T57" s="308">
        <f>SUMIF('P&amp;L - Monthly'!$3:$3,'P&amp;L - Yrly'!T$5,'P&amp;L - Monthly'!58:58)</f>
        <v>12000</v>
      </c>
      <c r="U57" s="308">
        <f>SUMIF('P&amp;L - Monthly'!$3:$3,'P&amp;L - Yrly'!U$5,'P&amp;L - Monthly'!58:58)</f>
        <v>12000</v>
      </c>
    </row>
    <row r="58" spans="1:73" s="157" customFormat="1" hidden="1" outlineLevel="1" x14ac:dyDescent="0.35">
      <c r="A58" s="16"/>
      <c r="B58" s="16"/>
      <c r="C58" s="41" t="s">
        <v>48</v>
      </c>
      <c r="D58" s="17">
        <f>SUMIF('P&amp;L - Monthly'!$3:$3,'P&amp;L - Yrly'!D$5,'P&amp;L - Monthly'!59:59)</f>
        <v>0</v>
      </c>
      <c r="E58" s="17">
        <f>SUMIF('P&amp;L - Monthly'!$3:$3,'P&amp;L - Yrly'!E$5,'P&amp;L - Monthly'!59:59)</f>
        <v>0</v>
      </c>
      <c r="F58" s="17">
        <f>SUMIF('P&amp;L - Monthly'!$3:$3,'P&amp;L - Yrly'!F$5,'P&amp;L - Monthly'!59:59)</f>
        <v>0</v>
      </c>
      <c r="G58" s="17">
        <f>SUMIF('P&amp;L - Monthly'!$3:$3,'P&amp;L - Yrly'!G$5,'P&amp;L - Monthly'!59:59)</f>
        <v>480000</v>
      </c>
      <c r="H58" s="17">
        <f>SUMIF('P&amp;L - Monthly'!$3:$3,'P&amp;L - Yrly'!H$5,'P&amp;L - Monthly'!59:59)</f>
        <v>360000</v>
      </c>
      <c r="I58" s="17">
        <f>SUMIF('P&amp;L - Monthly'!$3:$3,'P&amp;L - Yrly'!I$5,'P&amp;L - Monthly'!59:59)</f>
        <v>360000</v>
      </c>
      <c r="J58"/>
      <c r="K58" s="134"/>
      <c r="L58" s="17" t="e">
        <f>'P&amp;L - Qtrly'!#REF!</f>
        <v>#REF!</v>
      </c>
      <c r="M58" s="17">
        <v>112282.73051304881</v>
      </c>
      <c r="N58" s="17" t="e">
        <f t="shared" si="5"/>
        <v>#REF!</v>
      </c>
      <c r="O58"/>
      <c r="P58" s="17">
        <f t="shared" si="6"/>
        <v>0</v>
      </c>
      <c r="Q58" s="17">
        <v>494044.01425741467</v>
      </c>
      <c r="R58" s="17">
        <f t="shared" si="7"/>
        <v>494044.01425741467</v>
      </c>
      <c r="S58" s="308">
        <f>SUMIF('P&amp;L - Monthly'!$3:$3,'P&amp;L - Yrly'!S$5,'P&amp;L - Monthly'!59:59)</f>
        <v>480000</v>
      </c>
      <c r="T58" s="308">
        <f>SUMIF('P&amp;L - Monthly'!$3:$3,'P&amp;L - Yrly'!T$5,'P&amp;L - Monthly'!59:59)</f>
        <v>360000</v>
      </c>
      <c r="U58" s="308">
        <f>SUMIF('P&amp;L - Monthly'!$3:$3,'P&amp;L - Yrly'!U$5,'P&amp;L - Monthly'!59:59)</f>
        <v>360000</v>
      </c>
    </row>
    <row r="59" spans="1:73" s="157" customFormat="1" ht="15" hidden="1" outlineLevel="1" thickBot="1" x14ac:dyDescent="0.4">
      <c r="A59" s="16"/>
      <c r="B59" s="16"/>
      <c r="C59" s="42" t="s">
        <v>29</v>
      </c>
      <c r="D59" s="20">
        <f>SUMIF('P&amp;L - Monthly'!$3:$3,'P&amp;L - Yrly'!D$5,'P&amp;L - Monthly'!60:60)</f>
        <v>1823614.8835896</v>
      </c>
      <c r="E59" s="20">
        <f>SUMIF('P&amp;L - Monthly'!$3:$3,'P&amp;L - Yrly'!E$5,'P&amp;L - Monthly'!60:60)</f>
        <v>927978.19</v>
      </c>
      <c r="F59" s="20">
        <f>SUMIF('P&amp;L - Monthly'!$3:$3,'P&amp;L - Yrly'!F$5,'P&amp;L - Monthly'!60:60)</f>
        <v>927978.19</v>
      </c>
      <c r="G59" s="20">
        <f>SUMIF('P&amp;L - Monthly'!$3:$3,'P&amp;L - Yrly'!G$5,'P&amp;L - Monthly'!60:60)</f>
        <v>99999.999999999985</v>
      </c>
      <c r="H59" s="20">
        <f>SUMIF('P&amp;L - Monthly'!$3:$3,'P&amp;L - Yrly'!H$5,'P&amp;L - Monthly'!60:60)</f>
        <v>99999.999999999985</v>
      </c>
      <c r="I59" s="20">
        <f>SUMIF('P&amp;L - Monthly'!$3:$3,'P&amp;L - Yrly'!I$5,'P&amp;L - Monthly'!60:60)</f>
        <v>99999.999999999985</v>
      </c>
      <c r="J59"/>
      <c r="K59" s="134"/>
      <c r="L59" s="20" t="e">
        <f>'P&amp;L - Qtrly'!#REF!</f>
        <v>#REF!</v>
      </c>
      <c r="M59" s="20">
        <v>15000</v>
      </c>
      <c r="N59" s="20" t="e">
        <f t="shared" si="5"/>
        <v>#REF!</v>
      </c>
      <c r="O59"/>
      <c r="P59" s="20">
        <f t="shared" si="6"/>
        <v>1823614.8835896</v>
      </c>
      <c r="Q59" s="20">
        <v>66000</v>
      </c>
      <c r="R59" s="20">
        <f t="shared" si="7"/>
        <v>-1757614.8835896</v>
      </c>
      <c r="S59" s="226">
        <f>SUMIF('P&amp;L - Monthly'!$3:$3,'P&amp;L - Yrly'!S$5,'P&amp;L - Monthly'!60:60)</f>
        <v>99999.999999999985</v>
      </c>
      <c r="T59" s="226">
        <f>SUMIF('P&amp;L - Monthly'!$3:$3,'P&amp;L - Yrly'!T$5,'P&amp;L - Monthly'!60:60)</f>
        <v>99999.999999999985</v>
      </c>
      <c r="U59" s="226">
        <f>SUMIF('P&amp;L - Monthly'!$3:$3,'P&amp;L - Yrly'!U$5,'P&amp;L - Monthly'!60:60)</f>
        <v>99999.999999999985</v>
      </c>
    </row>
    <row r="60" spans="1:73" s="157" customFormat="1" collapsed="1" x14ac:dyDescent="0.35">
      <c r="A60" s="30"/>
      <c r="B60" s="30"/>
      <c r="C60" s="30" t="s">
        <v>19</v>
      </c>
      <c r="D60" s="8">
        <f t="shared" ref="D60" si="8">SUM(D47:D59)</f>
        <v>4038020.3252570778</v>
      </c>
      <c r="E60" s="8">
        <f>SUM(E47:E59)</f>
        <v>3079434.65</v>
      </c>
      <c r="F60" s="8">
        <f>SUM(F47:F59)</f>
        <v>3079434.65</v>
      </c>
      <c r="G60" s="8">
        <f>SUM(G47:G59)</f>
        <v>3232184.4054902131</v>
      </c>
      <c r="H60" s="8">
        <f>SUM(H47:H59)</f>
        <v>3052698.1045318069</v>
      </c>
      <c r="I60" s="8">
        <f>SUM(I47:I59)</f>
        <v>3004408.3554706648</v>
      </c>
      <c r="J60" s="29"/>
      <c r="K60" s="134"/>
      <c r="L60" s="8" t="e">
        <f>'P&amp;L - Qtrly'!#REF!</f>
        <v>#REF!</v>
      </c>
      <c r="M60" s="8">
        <v>2583737.7192838765</v>
      </c>
      <c r="N60" s="8" t="e">
        <f t="shared" si="5"/>
        <v>#REF!</v>
      </c>
      <c r="O60"/>
      <c r="P60" s="8">
        <f t="shared" si="6"/>
        <v>4038020.3252570778</v>
      </c>
      <c r="Q60" s="8">
        <v>8850125.2301347889</v>
      </c>
      <c r="R60" s="8">
        <f t="shared" si="7"/>
        <v>4812104.9048777111</v>
      </c>
      <c r="S60" s="166">
        <f>SUM(S47:S59)</f>
        <v>3232184.4054902131</v>
      </c>
      <c r="T60" s="166">
        <f>SUM(T47:T59)</f>
        <v>3052698.1045318069</v>
      </c>
      <c r="U60" s="166">
        <f>SUM(U47:U59)</f>
        <v>3004408.3554706648</v>
      </c>
      <c r="BN60" s="5"/>
      <c r="BO60" s="5"/>
      <c r="BP60" s="5"/>
      <c r="BQ60" s="5"/>
      <c r="BR60" s="5"/>
      <c r="BS60" s="5"/>
      <c r="BT60" s="5"/>
      <c r="BU60" s="5"/>
    </row>
    <row r="61" spans="1:73" s="157" customFormat="1" x14ac:dyDescent="0.35">
      <c r="A61" s="16"/>
      <c r="B61" s="16"/>
      <c r="C61" s="41"/>
      <c r="D61" s="16"/>
      <c r="E61" s="16"/>
      <c r="F61" s="16"/>
      <c r="G61" s="16"/>
      <c r="H61" s="16"/>
      <c r="I61" s="16"/>
      <c r="J61"/>
      <c r="K61" s="134"/>
      <c r="L61" s="134"/>
      <c r="M61" s="134"/>
      <c r="N61" s="134"/>
      <c r="O61"/>
      <c r="P61" s="134"/>
      <c r="Q61" s="134"/>
      <c r="R61" s="134"/>
      <c r="S61" s="438"/>
      <c r="T61" s="438"/>
      <c r="U61" s="438"/>
    </row>
    <row r="62" spans="1:73" s="157" customFormat="1" x14ac:dyDescent="0.35">
      <c r="A62" s="16"/>
      <c r="B62" s="16"/>
      <c r="C62" s="30" t="s">
        <v>145</v>
      </c>
      <c r="D62" s="17">
        <f>SUMIF('P&amp;L - Monthly'!$3:$3,'P&amp;L - Yrly'!D$5,'P&amp;L - Monthly'!63:63)</f>
        <v>8320219.2364906063</v>
      </c>
      <c r="E62" s="17">
        <f>SUMIF('P&amp;L - Monthly'!$3:$3,'P&amp;L - Yrly'!E$5,'P&amp;L - Monthly'!63:63)</f>
        <v>13873364.52</v>
      </c>
      <c r="F62" s="17"/>
      <c r="G62" s="17"/>
      <c r="H62" s="17"/>
      <c r="I62" s="17"/>
      <c r="J62" s="29"/>
      <c r="K62" s="134"/>
      <c r="L62" s="17" t="e">
        <f>'P&amp;L - Qtrly'!#REF!</f>
        <v>#REF!</v>
      </c>
      <c r="M62" s="17">
        <v>8772372.4767994918</v>
      </c>
      <c r="N62" s="17" t="e">
        <f>M62-L62</f>
        <v>#REF!</v>
      </c>
      <c r="O62" s="16"/>
      <c r="P62" s="17">
        <f>D62</f>
        <v>8320219.2364906063</v>
      </c>
      <c r="Q62" s="17">
        <v>33754717.843707837</v>
      </c>
      <c r="R62" s="17">
        <f>Q62-P62</f>
        <v>25434498.60721723</v>
      </c>
      <c r="S62" s="308">
        <f>SUMIF('P&amp;L - Monthly'!$3:$3,'P&amp;L - Yrly'!S$5,'P&amp;L - Monthly'!63:63)</f>
        <v>18348296.61108784</v>
      </c>
      <c r="T62" s="308">
        <f>SUMIF('P&amp;L - Monthly'!$3:$3,'P&amp;L - Yrly'!T$5,'P&amp;L - Monthly'!63:63)</f>
        <v>18600838.79458933</v>
      </c>
      <c r="U62" s="308">
        <f>SUMIF('P&amp;L - Monthly'!$3:$3,'P&amp;L - Yrly'!U$5,'P&amp;L - Monthly'!63:63)</f>
        <v>19069926.632694967</v>
      </c>
    </row>
    <row r="63" spans="1:73" s="157" customFormat="1" x14ac:dyDescent="0.35">
      <c r="A63" s="16"/>
      <c r="B63" s="16"/>
      <c r="C63" s="41"/>
      <c r="D63" s="16"/>
      <c r="E63" s="16"/>
      <c r="F63" s="16"/>
      <c r="G63" s="16"/>
      <c r="H63" s="16"/>
      <c r="I63" s="16"/>
      <c r="J63"/>
      <c r="K63" s="134"/>
      <c r="L63" s="134"/>
      <c r="M63" s="134"/>
      <c r="N63" s="134"/>
      <c r="O63"/>
      <c r="P63" s="134"/>
      <c r="Q63" s="134"/>
      <c r="R63" s="134"/>
      <c r="S63" s="438"/>
      <c r="T63" s="438"/>
      <c r="U63" s="438"/>
    </row>
    <row r="64" spans="1:73" s="157" customFormat="1" ht="15" thickBot="1" x14ac:dyDescent="0.4">
      <c r="A64" s="16"/>
      <c r="B64" s="51" t="s">
        <v>77</v>
      </c>
      <c r="C64" s="52"/>
      <c r="D64" s="54">
        <f t="shared" ref="D64" si="9">D32-D39-D44-D60</f>
        <v>3779430.5117575331</v>
      </c>
      <c r="E64" s="54">
        <f>E32-E39-E44-E60</f>
        <v>513310.24000000162</v>
      </c>
      <c r="F64" s="54" t="e">
        <f>F32-F39-F44-F60</f>
        <v>#REF!</v>
      </c>
      <c r="G64" s="54" t="e">
        <f>G32-G39-G44-G60</f>
        <v>#REF!</v>
      </c>
      <c r="H64" s="54" t="e">
        <f>H32-H39-H44-H60</f>
        <v>#REF!</v>
      </c>
      <c r="I64" s="54" t="e">
        <f>I32-I39-I44-I60</f>
        <v>#REF!</v>
      </c>
      <c r="J64" s="29" t="e">
        <f>#REF!-SUM('P&amp;L - Monthly'!#REF!)</f>
        <v>#REF!</v>
      </c>
      <c r="K64" s="134"/>
      <c r="L64" s="54" t="e">
        <f>'P&amp;L - Qtrly'!#REF!</f>
        <v>#REF!</v>
      </c>
      <c r="M64" s="54">
        <v>-4404231.0222241366</v>
      </c>
      <c r="N64" s="54" t="e">
        <f>L64-M64</f>
        <v>#REF!</v>
      </c>
      <c r="O64"/>
      <c r="P64" s="54">
        <f>D64</f>
        <v>3779430.5117575331</v>
      </c>
      <c r="Q64" s="54">
        <v>-1772379.535132735</v>
      </c>
      <c r="R64" s="54">
        <f>P64-Q64</f>
        <v>5551810.0468902681</v>
      </c>
      <c r="S64" s="54">
        <f>S32-S39-S44-S60</f>
        <v>1794045.5612525158</v>
      </c>
      <c r="T64" s="54">
        <f>T32-T39-T44-T60</f>
        <v>18397120.163000364</v>
      </c>
      <c r="U64" s="54">
        <f>U32-U39-U44-U60</f>
        <v>-19857126.332978733</v>
      </c>
    </row>
    <row r="65" spans="1:76" s="157" customFormat="1" x14ac:dyDescent="0.35">
      <c r="A65" s="16"/>
      <c r="B65" s="5"/>
      <c r="C65" s="129"/>
      <c r="D65" s="85"/>
      <c r="E65" s="150"/>
      <c r="F65" s="85"/>
      <c r="G65" s="85"/>
      <c r="H65" s="85"/>
      <c r="I65" s="85"/>
      <c r="J65" s="16"/>
      <c r="K65" s="134"/>
      <c r="L65" s="85"/>
      <c r="M65" s="85"/>
      <c r="N65" s="85"/>
      <c r="O65" s="16"/>
      <c r="P65" s="85"/>
      <c r="Q65" s="85"/>
      <c r="R65" s="85"/>
      <c r="S65" s="150"/>
      <c r="T65" s="150"/>
      <c r="U65" s="150"/>
    </row>
    <row r="66" spans="1:76" s="157" customFormat="1" x14ac:dyDescent="0.35">
      <c r="A66" s="16"/>
      <c r="B66" s="5"/>
      <c r="C66" s="126" t="s">
        <v>147</v>
      </c>
      <c r="D66" s="127">
        <f t="shared" ref="D66" si="10">D64/D21</f>
        <v>0.255297043247184</v>
      </c>
      <c r="E66" s="127">
        <f>E64/E21</f>
        <v>3.0434892712861539E-2</v>
      </c>
      <c r="F66" s="127" t="e">
        <f>F64/F21</f>
        <v>#REF!</v>
      </c>
      <c r="G66" s="127" t="e">
        <f>G64/G21</f>
        <v>#REF!</v>
      </c>
      <c r="H66" s="127" t="e">
        <f>H64/H21</f>
        <v>#REF!</v>
      </c>
      <c r="I66" s="127" t="e">
        <f>I64/I21</f>
        <v>#REF!</v>
      </c>
      <c r="J66" s="127"/>
      <c r="K66" s="127"/>
      <c r="L66" s="127" t="e">
        <f>'P&amp;L - Qtrly'!#REF!</f>
        <v>#REF!</v>
      </c>
      <c r="M66" s="127">
        <v>-0.58185056883650521</v>
      </c>
      <c r="N66" s="127" t="e">
        <f>L66-M66</f>
        <v>#REF!</v>
      </c>
      <c r="O66" s="127"/>
      <c r="P66" s="127">
        <f>D66</f>
        <v>0.255297043247184</v>
      </c>
      <c r="Q66" s="127">
        <v>-3.220032951338201E-2</v>
      </c>
      <c r="R66" s="127">
        <f>P66-Q66</f>
        <v>0.28749737276056603</v>
      </c>
      <c r="S66" s="127">
        <f>S64/S21</f>
        <v>7.5486515097266255E-2</v>
      </c>
      <c r="T66" s="127">
        <f>T64/T21</f>
        <v>0.42904849809377626</v>
      </c>
      <c r="U66" s="127" t="e">
        <f>U64/U21</f>
        <v>#DIV/0!</v>
      </c>
      <c r="V66" s="127"/>
      <c r="W66" s="127"/>
      <c r="X66" s="127"/>
      <c r="Y66" s="127"/>
      <c r="Z66" s="127"/>
      <c r="AA66" s="127"/>
      <c r="AB66" s="127"/>
      <c r="AC66" s="127"/>
      <c r="AD66" s="127"/>
      <c r="AE66" s="127"/>
      <c r="AF66" s="127"/>
      <c r="AG66" s="127"/>
      <c r="AH66" s="127"/>
      <c r="AI66" s="127"/>
      <c r="AJ66" s="127"/>
      <c r="AK66" s="127"/>
      <c r="AL66" s="127"/>
      <c r="AM66" s="127"/>
      <c r="AN66" s="127"/>
      <c r="AO66" s="127"/>
      <c r="AP66" s="127"/>
      <c r="AQ66" s="127"/>
      <c r="AR66" s="127"/>
      <c r="AS66" s="127"/>
      <c r="AT66" s="127"/>
      <c r="AU66" s="127"/>
      <c r="AV66" s="127"/>
      <c r="AW66" s="127"/>
      <c r="AX66" s="127"/>
      <c r="AY66" s="127"/>
      <c r="AZ66" s="127"/>
      <c r="BA66" s="127"/>
      <c r="BB66" s="127"/>
      <c r="BC66" s="127"/>
      <c r="BD66" s="127"/>
      <c r="BE66" s="127"/>
      <c r="BF66" s="127"/>
      <c r="BG66" s="127"/>
      <c r="BH66" s="127"/>
      <c r="BI66" s="127"/>
      <c r="BJ66" s="127"/>
      <c r="BK66" s="127"/>
      <c r="BL66" s="127"/>
      <c r="BM66" s="127"/>
      <c r="BN66" s="127"/>
      <c r="BO66" s="127"/>
      <c r="BP66" s="127"/>
      <c r="BQ66" s="127"/>
      <c r="BR66" s="127"/>
      <c r="BS66" s="127"/>
      <c r="BT66" s="127"/>
      <c r="BU66" s="85"/>
    </row>
    <row r="67" spans="1:76" s="157" customFormat="1" x14ac:dyDescent="0.35">
      <c r="A67" s="16"/>
      <c r="B67" s="16"/>
      <c r="C67" s="41"/>
      <c r="D67" s="16"/>
      <c r="E67" s="16"/>
      <c r="F67" s="16"/>
      <c r="G67" s="16"/>
      <c r="H67" s="16"/>
      <c r="I67" s="16"/>
      <c r="J67" s="16"/>
      <c r="K67" s="134"/>
      <c r="L67" s="134"/>
      <c r="M67" s="134"/>
      <c r="N67" s="134"/>
      <c r="O67" s="16"/>
      <c r="P67" s="134"/>
      <c r="Q67" s="134"/>
      <c r="R67" s="134"/>
      <c r="S67" s="438"/>
      <c r="T67" s="438"/>
      <c r="U67" s="438"/>
    </row>
    <row r="68" spans="1:76" s="157" customFormat="1" x14ac:dyDescent="0.35">
      <c r="A68" s="16"/>
      <c r="B68" s="16"/>
      <c r="C68" s="41" t="s">
        <v>139</v>
      </c>
      <c r="D68" s="17">
        <f>SUMIF('P&amp;L - Monthly'!$3:$3,'P&amp;L - Yrly'!D$5,'P&amp;L - Monthly'!71:71)</f>
        <v>0</v>
      </c>
      <c r="E68" s="17">
        <f>SUMIF('P&amp;L - Monthly'!$3:$3,'P&amp;L - Yrly'!E$5,'P&amp;L - Monthly'!71:71)</f>
        <v>0</v>
      </c>
      <c r="F68" s="17">
        <f>SUMIF('P&amp;L - Monthly'!$3:$3,'P&amp;L - Yrly'!F$5,'P&amp;L - Monthly'!71:71)</f>
        <v>0</v>
      </c>
      <c r="G68" s="17">
        <f>SUMIF('P&amp;L - Monthly'!$3:$3,'P&amp;L - Yrly'!G$5,'P&amp;L - Monthly'!71:71)</f>
        <v>0</v>
      </c>
      <c r="H68" s="17">
        <f>SUMIF('P&amp;L - Monthly'!$3:$3,'P&amp;L - Yrly'!H$5,'P&amp;L - Monthly'!71:71)</f>
        <v>0</v>
      </c>
      <c r="I68" s="17"/>
      <c r="J68" s="16"/>
      <c r="K68" s="134"/>
      <c r="L68" s="17" t="e">
        <f>'P&amp;L - Qtrly'!#REF!</f>
        <v>#REF!</v>
      </c>
      <c r="M68" s="17">
        <v>69000</v>
      </c>
      <c r="N68" s="134" t="e">
        <f>L68-M68</f>
        <v>#REF!</v>
      </c>
      <c r="O68" s="16"/>
      <c r="P68" s="17">
        <f>D68</f>
        <v>0</v>
      </c>
      <c r="Q68" s="17">
        <v>366000</v>
      </c>
      <c r="R68" s="134">
        <f>P68-Q68</f>
        <v>-366000</v>
      </c>
      <c r="S68" s="308">
        <f>SUMIF('P&amp;L - Monthly'!$3:$3,'P&amp;L - Yrly'!S$5,'P&amp;L - Monthly'!71:71)</f>
        <v>0</v>
      </c>
      <c r="T68" s="308">
        <f>SUMIF('P&amp;L - Monthly'!$3:$3,'P&amp;L - Yrly'!T$5,'P&amp;L - Monthly'!71:71)</f>
        <v>0</v>
      </c>
      <c r="U68" s="308">
        <f>SUMIF('P&amp;L - Monthly'!$3:$3,'P&amp;L - Yrly'!U$5,'P&amp;L - Monthly'!71:71)</f>
        <v>0</v>
      </c>
    </row>
    <row r="69" spans="1:76" s="157" customFormat="1" x14ac:dyDescent="0.35">
      <c r="A69" s="16"/>
      <c r="B69" s="16"/>
      <c r="C69" s="41" t="s">
        <v>140</v>
      </c>
      <c r="D69" s="17">
        <f>SUMIF('P&amp;L - Monthly'!$3:$3,'P&amp;L - Yrly'!D$5,'P&amp;L - Monthly'!72:72)</f>
        <v>-488911.57999999996</v>
      </c>
      <c r="E69" s="17">
        <f>SUMIF('P&amp;L - Monthly'!$3:$3,'P&amp;L - Yrly'!E$5,'P&amp;L - Monthly'!72:72)</f>
        <v>2978006.66</v>
      </c>
      <c r="F69" s="17">
        <f>SUMIF('P&amp;L - Monthly'!$3:$3,'P&amp;L - Yrly'!F$5,'P&amp;L - Monthly'!72:72)</f>
        <v>2978006.66</v>
      </c>
      <c r="G69" s="17">
        <f>SUMIF('P&amp;L - Monthly'!$3:$3,'P&amp;L - Yrly'!G$5,'P&amp;L - Monthly'!72:72)</f>
        <v>3011443.7700760574</v>
      </c>
      <c r="H69" s="17">
        <f>SUMIF('P&amp;L - Monthly'!$3:$3,'P&amp;L - Yrly'!H$5,'P&amp;L - Monthly'!72:72)</f>
        <v>3066423.7863785247</v>
      </c>
      <c r="I69" s="17"/>
      <c r="J69" s="16"/>
      <c r="K69" s="134"/>
      <c r="L69" s="17" t="e">
        <f>'P&amp;L - Qtrly'!#REF!</f>
        <v>#REF!</v>
      </c>
      <c r="M69" s="17">
        <v>391208.91666666669</v>
      </c>
      <c r="N69" s="134" t="e">
        <f>L69-M69</f>
        <v>#REF!</v>
      </c>
      <c r="O69" s="16"/>
      <c r="P69" s="17">
        <f>D69</f>
        <v>-488911.57999999996</v>
      </c>
      <c r="Q69" s="17">
        <v>1619023.8333333333</v>
      </c>
      <c r="R69" s="134">
        <f>P69-Q69</f>
        <v>-2107935.4133333331</v>
      </c>
      <c r="S69" s="308">
        <f>SUMIF('P&amp;L - Monthly'!$3:$3,'P&amp;L - Yrly'!S$5,'P&amp;L - Monthly'!72:72)</f>
        <v>3011443.7700760574</v>
      </c>
      <c r="T69" s="308">
        <f>SUMIF('P&amp;L - Monthly'!$3:$3,'P&amp;L - Yrly'!T$5,'P&amp;L - Monthly'!72:72)</f>
        <v>3066423.7863785247</v>
      </c>
      <c r="U69" s="308">
        <f>SUMIF('P&amp;L - Monthly'!$3:$3,'P&amp;L - Yrly'!U$5,'P&amp;L - Monthly'!72:72)</f>
        <v>2858372.9438024554</v>
      </c>
    </row>
    <row r="70" spans="1:76" x14ac:dyDescent="0.35">
      <c r="B70" s="28"/>
      <c r="J70" s="16"/>
      <c r="O70" s="16"/>
      <c r="S70" s="438"/>
      <c r="T70" s="438"/>
      <c r="U70" s="438"/>
      <c r="V70" s="157"/>
      <c r="W70" s="157"/>
      <c r="X70" s="157"/>
      <c r="Y70" s="157"/>
      <c r="Z70" s="157"/>
      <c r="AA70" s="157"/>
      <c r="AB70" s="157"/>
      <c r="AC70" s="157"/>
      <c r="AD70" s="157"/>
      <c r="AE70" s="157"/>
      <c r="AF70" s="157"/>
      <c r="AG70" s="157"/>
      <c r="AH70" s="157"/>
      <c r="AI70" s="157"/>
      <c r="AJ70" s="157"/>
      <c r="AK70" s="157"/>
      <c r="AL70" s="157"/>
      <c r="AM70" s="157"/>
      <c r="AN70" s="157"/>
      <c r="AO70" s="157"/>
      <c r="AP70" s="157"/>
      <c r="AQ70" s="157"/>
      <c r="AR70" s="157"/>
      <c r="AS70" s="157"/>
      <c r="AT70" s="157"/>
      <c r="AU70" s="157"/>
      <c r="AV70" s="157"/>
      <c r="AW70" s="157"/>
      <c r="AX70" s="157"/>
      <c r="AY70" s="157"/>
      <c r="AZ70" s="157"/>
      <c r="BA70" s="157"/>
      <c r="BB70" s="157"/>
      <c r="BC70" s="157"/>
      <c r="BD70" s="157"/>
      <c r="BE70" s="157"/>
      <c r="BF70" s="157"/>
      <c r="BG70" s="157"/>
      <c r="BH70" s="157"/>
      <c r="BI70" s="157"/>
      <c r="BJ70" s="157"/>
      <c r="BK70" s="157"/>
      <c r="BL70" s="157"/>
      <c r="BM70" s="157"/>
      <c r="BN70" s="157"/>
      <c r="BO70" s="157"/>
      <c r="BP70" s="157"/>
      <c r="BQ70" s="157"/>
      <c r="BR70" s="157"/>
      <c r="BS70" s="157"/>
      <c r="BT70" s="157"/>
      <c r="BU70" s="157"/>
      <c r="BV70" s="157"/>
      <c r="BW70" s="157"/>
      <c r="BX70" s="157"/>
    </row>
    <row r="71" spans="1:76" ht="15" thickBot="1" x14ac:dyDescent="0.4">
      <c r="B71" s="51" t="s">
        <v>141</v>
      </c>
      <c r="C71" s="52"/>
      <c r="D71" s="54">
        <f>SUMIF('P&amp;L - Monthly'!$3:$3,'P&amp;L - Yrly'!D$5,'P&amp;L - Monthly'!74:74)</f>
        <v>4568813.9517575325</v>
      </c>
      <c r="E71" s="54">
        <f>SUMIF('P&amp;L - Monthly'!$3:$3,'P&amp;L - Yrly'!E$5,'P&amp;L - Monthly'!74:74)</f>
        <v>-2458320.7399999993</v>
      </c>
      <c r="F71" s="54">
        <f>SUMIF('P&amp;L - Monthly'!$3:$3,'P&amp;L - Yrly'!F$5,'P&amp;L - Monthly'!74:74)</f>
        <v>-2458320.7399999993</v>
      </c>
      <c r="G71" s="54">
        <f>SUMIF('P&amp;L - Monthly'!$3:$3,'P&amp;L - Yrly'!G$5,'P&amp;L - Monthly'!74:74)</f>
        <v>-1217398.2088235386</v>
      </c>
      <c r="H71" s="54">
        <f>SUMIF('P&amp;L - Monthly'!$3:$3,'P&amp;L - Yrly'!H$5,'P&amp;L - Monthly'!74:74)</f>
        <v>15330696.376621841</v>
      </c>
      <c r="I71" s="54"/>
      <c r="J71" s="54"/>
      <c r="K71" s="54"/>
      <c r="L71" s="54" t="e">
        <f>'P&amp;L - Qtrly'!#REF!</f>
        <v>#REF!</v>
      </c>
      <c r="M71" s="54">
        <v>-4864439.9388908027</v>
      </c>
      <c r="N71" s="54" t="e">
        <f>L71-M71</f>
        <v>#REF!</v>
      </c>
      <c r="O71" s="54"/>
      <c r="P71" s="54">
        <f>D71</f>
        <v>4568813.9517575325</v>
      </c>
      <c r="Q71" s="54">
        <v>-3757403.3684660681</v>
      </c>
      <c r="R71" s="54">
        <f>P71-Q71</f>
        <v>8326217.3202236006</v>
      </c>
      <c r="S71" s="54">
        <f>SUMIF('P&amp;L - Monthly'!$3:$3,'P&amp;L - Yrly'!S$5,'P&amp;L - Monthly'!74:74)</f>
        <v>-1217398.2088235386</v>
      </c>
      <c r="T71" s="54">
        <f>SUMIF('P&amp;L - Monthly'!$3:$3,'P&amp;L - Yrly'!T$5,'P&amp;L - Monthly'!74:74)</f>
        <v>15330696.376621841</v>
      </c>
      <c r="U71" s="54">
        <f>SUMIF('P&amp;L - Monthly'!$3:$3,'P&amp;L - Yrly'!U$5,'P&amp;L - Monthly'!74:74)</f>
        <v>-22715499.276781194</v>
      </c>
      <c r="V71" s="85"/>
      <c r="W71" s="85"/>
      <c r="X71" s="85"/>
      <c r="Y71" s="85"/>
      <c r="Z71" s="85"/>
      <c r="AA71" s="85"/>
      <c r="AB71" s="85"/>
      <c r="AC71" s="85"/>
      <c r="AD71" s="85"/>
      <c r="AE71" s="85"/>
      <c r="AF71" s="85"/>
      <c r="AG71" s="85"/>
      <c r="AH71" s="85"/>
      <c r="AI71" s="85"/>
      <c r="AJ71" s="85"/>
      <c r="AK71" s="85"/>
      <c r="AL71" s="85"/>
      <c r="AM71" s="85"/>
      <c r="AN71" s="85"/>
      <c r="AO71" s="85"/>
      <c r="AP71" s="85"/>
      <c r="AQ71" s="85"/>
      <c r="AR71" s="85"/>
      <c r="AS71" s="85"/>
      <c r="AT71" s="85"/>
      <c r="AU71" s="85"/>
      <c r="AV71" s="85"/>
      <c r="AW71" s="85"/>
      <c r="AX71" s="85"/>
      <c r="AY71" s="85"/>
      <c r="AZ71" s="85"/>
      <c r="BA71" s="85"/>
      <c r="BB71" s="85"/>
      <c r="BC71" s="85"/>
      <c r="BD71" s="85"/>
      <c r="BE71" s="85"/>
      <c r="BF71" s="85"/>
      <c r="BG71" s="85"/>
      <c r="BH71" s="85"/>
      <c r="BI71" s="85"/>
      <c r="BJ71" s="85"/>
      <c r="BK71" s="85"/>
      <c r="BL71" s="85"/>
      <c r="BM71" s="85"/>
      <c r="BN71" s="85"/>
      <c r="BO71" s="85"/>
      <c r="BP71" s="85"/>
      <c r="BQ71" s="85"/>
      <c r="BR71" s="85"/>
      <c r="BS71" s="85"/>
      <c r="BT71" s="85"/>
      <c r="BU71" s="85"/>
      <c r="BV71" s="157"/>
      <c r="BW71" s="157"/>
      <c r="BX71" s="157"/>
    </row>
    <row r="72" spans="1:76" x14ac:dyDescent="0.35">
      <c r="B72" s="28"/>
      <c r="J72" s="16"/>
      <c r="O72" s="16"/>
      <c r="S72" s="438"/>
      <c r="T72" s="438"/>
      <c r="U72" s="438"/>
      <c r="V72" s="157"/>
      <c r="W72" s="157"/>
      <c r="X72" s="157"/>
      <c r="Y72" s="157"/>
      <c r="Z72" s="157"/>
      <c r="AA72" s="157"/>
      <c r="AB72" s="157"/>
      <c r="AC72" s="157"/>
      <c r="AD72" s="157"/>
      <c r="AE72" s="157"/>
      <c r="AF72" s="157"/>
      <c r="AG72" s="157"/>
      <c r="AH72" s="157"/>
      <c r="AI72" s="157"/>
      <c r="AJ72" s="157"/>
      <c r="AK72" s="157"/>
      <c r="AL72" s="157"/>
      <c r="AM72" s="157"/>
      <c r="AN72" s="157"/>
      <c r="AO72" s="157"/>
      <c r="AP72" s="157"/>
      <c r="AQ72" s="157"/>
      <c r="AR72" s="157"/>
      <c r="AS72" s="157"/>
      <c r="AT72" s="157"/>
      <c r="AU72" s="157"/>
      <c r="AV72" s="157"/>
      <c r="AW72" s="157"/>
      <c r="AX72" s="157"/>
      <c r="AY72" s="157"/>
      <c r="AZ72" s="157"/>
      <c r="BA72" s="157"/>
      <c r="BB72" s="157"/>
      <c r="BC72" s="157"/>
      <c r="BD72" s="157"/>
      <c r="BE72" s="157"/>
      <c r="BF72" s="157"/>
      <c r="BG72" s="157"/>
      <c r="BH72" s="157"/>
      <c r="BI72" s="157"/>
      <c r="BJ72" s="157"/>
      <c r="BK72" s="157"/>
      <c r="BL72" s="157"/>
      <c r="BM72" s="157"/>
      <c r="BN72" s="157"/>
      <c r="BO72" s="157"/>
      <c r="BP72" s="157"/>
      <c r="BQ72" s="157"/>
      <c r="BR72" s="157"/>
      <c r="BS72" s="157"/>
      <c r="BT72" s="157"/>
      <c r="BU72" s="157"/>
      <c r="BV72" s="157"/>
      <c r="BW72" s="157"/>
      <c r="BX72" s="157"/>
    </row>
    <row r="73" spans="1:76" x14ac:dyDescent="0.35">
      <c r="C73" s="151" t="s">
        <v>174</v>
      </c>
      <c r="D73" s="17">
        <f>SUMIF('P&amp;L - Monthly'!$3:$3,'P&amp;L - Yrly'!D$5,'P&amp;L - Monthly'!76:76)</f>
        <v>37049</v>
      </c>
      <c r="E73" s="17">
        <f>SUMIF('P&amp;L - Monthly'!$3:$3,'P&amp;L - Yrly'!E$5,'P&amp;L - Monthly'!76:76)</f>
        <v>1252081.9799999997</v>
      </c>
      <c r="F73" s="17">
        <f>SUMIF('P&amp;L - Monthly'!$3:$3,'P&amp;L - Yrly'!F$5,'P&amp;L - Monthly'!76:76)</f>
        <v>1252081.9799999997</v>
      </c>
      <c r="G73" s="17">
        <f>SUMIF('P&amp;L - Monthly'!$3:$3,'P&amp;L - Yrly'!G$5,'P&amp;L - Monthly'!76:76)</f>
        <v>1163072.803470358</v>
      </c>
      <c r="H73" s="17">
        <f>SUMIF('P&amp;L - Monthly'!$3:$3,'P&amp;L - Yrly'!H$5,'P&amp;L - Monthly'!76:76)</f>
        <v>1158518.6487352776</v>
      </c>
      <c r="I73" s="17"/>
      <c r="J73" s="16"/>
      <c r="L73" s="17" t="e">
        <f>'P&amp;L - Qtrly'!#REF!</f>
        <v>#REF!</v>
      </c>
      <c r="M73" s="17">
        <v>45000.000000000007</v>
      </c>
      <c r="N73" s="134" t="e">
        <f>L73-M73</f>
        <v>#REF!</v>
      </c>
      <c r="O73" s="16"/>
      <c r="P73" s="17">
        <f>D73</f>
        <v>37049</v>
      </c>
      <c r="Q73" s="17">
        <v>199999.99999999997</v>
      </c>
      <c r="R73" s="134">
        <f>P73-Q73</f>
        <v>-162950.99999999997</v>
      </c>
      <c r="S73" s="308">
        <f>SUMIF('P&amp;L - Monthly'!$3:$3,'P&amp;L - Yrly'!S$5,'P&amp;L - Monthly'!76:76)</f>
        <v>1163072.803470358</v>
      </c>
      <c r="T73" s="308">
        <f>SUMIF('P&amp;L - Monthly'!$3:$3,'P&amp;L - Yrly'!T$5,'P&amp;L - Monthly'!76:76)</f>
        <v>1158518.6487352776</v>
      </c>
      <c r="U73" s="308">
        <f>SUMIF('P&amp;L - Monthly'!$3:$3,'P&amp;L - Yrly'!U$5,'P&amp;L - Monthly'!76:76)</f>
        <v>1164567.9032524</v>
      </c>
      <c r="V73" s="157"/>
      <c r="W73" s="157"/>
      <c r="X73" s="157"/>
      <c r="Y73" s="157"/>
      <c r="Z73" s="157"/>
      <c r="AA73" s="157"/>
      <c r="AB73" s="157"/>
      <c r="AC73" s="157"/>
      <c r="AD73" s="157"/>
      <c r="AE73" s="157"/>
      <c r="AF73" s="157"/>
      <c r="AG73" s="157"/>
      <c r="AH73" s="157"/>
      <c r="AI73" s="157"/>
      <c r="AJ73" s="157"/>
      <c r="AK73" s="157"/>
      <c r="AL73" s="157"/>
      <c r="AM73" s="157"/>
      <c r="AN73" s="157"/>
      <c r="AO73" s="157"/>
      <c r="AP73" s="157"/>
      <c r="AQ73" s="157"/>
      <c r="AR73" s="157"/>
      <c r="AS73" s="157"/>
      <c r="AT73" s="157"/>
      <c r="AU73" s="157"/>
      <c r="AV73" s="157"/>
      <c r="AW73" s="157"/>
      <c r="AX73" s="157"/>
      <c r="AY73" s="157"/>
      <c r="AZ73" s="157"/>
      <c r="BA73" s="157"/>
      <c r="BB73" s="157"/>
      <c r="BC73" s="157"/>
      <c r="BD73" s="157"/>
      <c r="BE73" s="157"/>
      <c r="BF73" s="157"/>
      <c r="BG73" s="157"/>
      <c r="BH73" s="157"/>
      <c r="BI73" s="157"/>
      <c r="BJ73" s="157"/>
      <c r="BK73" s="157"/>
      <c r="BL73" s="157"/>
      <c r="BM73" s="157"/>
      <c r="BN73" s="157"/>
      <c r="BO73" s="157"/>
      <c r="BP73" s="157"/>
      <c r="BQ73" s="157"/>
      <c r="BR73" s="157"/>
      <c r="BS73" s="157"/>
      <c r="BT73" s="157"/>
      <c r="BU73" s="157"/>
      <c r="BV73" s="157"/>
      <c r="BW73" s="157"/>
      <c r="BX73" s="157"/>
    </row>
    <row r="74" spans="1:76" x14ac:dyDescent="0.35">
      <c r="B74" s="28"/>
      <c r="J74" s="16"/>
      <c r="O74" s="16"/>
      <c r="S74" s="438"/>
      <c r="T74" s="438"/>
      <c r="U74" s="438"/>
      <c r="V74" s="157"/>
      <c r="W74" s="157"/>
      <c r="X74" s="157"/>
      <c r="Y74" s="157"/>
      <c r="Z74" s="157"/>
      <c r="AA74" s="157"/>
      <c r="AB74" s="157"/>
      <c r="AC74" s="157"/>
      <c r="AD74" s="157"/>
      <c r="AE74" s="157"/>
      <c r="AF74" s="157"/>
      <c r="AG74" s="157"/>
      <c r="AH74" s="157"/>
      <c r="AI74" s="157"/>
      <c r="AJ74" s="157"/>
      <c r="AK74" s="157"/>
      <c r="AL74" s="157"/>
      <c r="AM74" s="157"/>
      <c r="AN74" s="157"/>
      <c r="AO74" s="157"/>
      <c r="AP74" s="157"/>
      <c r="AQ74" s="157"/>
      <c r="AR74" s="157"/>
      <c r="AS74" s="157"/>
      <c r="AT74" s="157"/>
      <c r="AU74" s="157"/>
      <c r="AV74" s="157"/>
      <c r="AW74" s="157"/>
      <c r="AX74" s="157"/>
      <c r="AY74" s="157"/>
      <c r="AZ74" s="157"/>
      <c r="BA74" s="157"/>
      <c r="BB74" s="157"/>
      <c r="BC74" s="157"/>
      <c r="BD74" s="157"/>
      <c r="BE74" s="157"/>
      <c r="BF74" s="157"/>
      <c r="BG74" s="157"/>
      <c r="BH74" s="157"/>
      <c r="BI74" s="157"/>
      <c r="BJ74" s="157"/>
      <c r="BK74" s="157"/>
      <c r="BL74" s="157"/>
      <c r="BM74" s="157"/>
      <c r="BN74" s="157"/>
      <c r="BO74" s="157"/>
      <c r="BP74" s="157"/>
      <c r="BQ74" s="157"/>
      <c r="BR74" s="157"/>
      <c r="BS74" s="157"/>
      <c r="BT74" s="157"/>
      <c r="BU74" s="157"/>
      <c r="BV74" s="157"/>
      <c r="BW74" s="157"/>
      <c r="BX74" s="157"/>
    </row>
    <row r="75" spans="1:76" ht="15" thickBot="1" x14ac:dyDescent="0.4">
      <c r="B75" s="51" t="s">
        <v>142</v>
      </c>
      <c r="C75" s="52"/>
      <c r="D75" s="54">
        <f>SUMIF('P&amp;L - Monthly'!$3:$3,'P&amp;L - Yrly'!D$5,'P&amp;L - Monthly'!78:78)</f>
        <v>4605862.9517575325</v>
      </c>
      <c r="E75" s="54">
        <f>SUMIF('P&amp;L - Monthly'!$3:$3,'P&amp;L - Yrly'!E$5,'P&amp;L - Monthly'!78:78)</f>
        <v>-3710402.7199999988</v>
      </c>
      <c r="F75" s="54">
        <f>SUMIF('P&amp;L - Monthly'!$3:$3,'P&amp;L - Yrly'!F$5,'P&amp;L - Monthly'!78:78)</f>
        <v>-3710402.7199999988</v>
      </c>
      <c r="G75" s="54">
        <f>SUMIF('P&amp;L - Monthly'!$3:$3,'P&amp;L - Yrly'!G$5,'P&amp;L - Monthly'!78:78)</f>
        <v>-2380471.0122938962</v>
      </c>
      <c r="H75" s="54">
        <f>SUMIF('P&amp;L - Monthly'!$3:$3,'P&amp;L - Yrly'!H$5,'P&amp;L - Monthly'!78:78)</f>
        <v>14172177.727886565</v>
      </c>
      <c r="I75" s="54"/>
      <c r="J75" s="54"/>
      <c r="K75" s="54"/>
      <c r="L75" s="54" t="e">
        <f>'P&amp;L - Qtrly'!#REF!</f>
        <v>#REF!</v>
      </c>
      <c r="M75" s="54">
        <v>-4819439.9388908027</v>
      </c>
      <c r="N75" s="54" t="e">
        <f>L75-M75</f>
        <v>#REF!</v>
      </c>
      <c r="O75" s="54"/>
      <c r="P75" s="54">
        <f>D75</f>
        <v>4605862.9517575325</v>
      </c>
      <c r="Q75" s="54">
        <v>-3557403.3684660676</v>
      </c>
      <c r="R75" s="54">
        <f>P75-Q75</f>
        <v>8163266.3202235997</v>
      </c>
      <c r="S75" s="54">
        <f>SUMIF('P&amp;L - Monthly'!$3:$3,'P&amp;L - Yrly'!S$5,'P&amp;L - Monthly'!78:78)</f>
        <v>-2380471.0122938962</v>
      </c>
      <c r="T75" s="54">
        <f>SUMIF('P&amp;L - Monthly'!$3:$3,'P&amp;L - Yrly'!T$5,'P&amp;L - Monthly'!78:78)</f>
        <v>14172177.727886565</v>
      </c>
      <c r="U75" s="54">
        <f>SUMIF('P&amp;L - Monthly'!$3:$3,'P&amp;L - Yrly'!U$5,'P&amp;L - Monthly'!78:78)</f>
        <v>-23880067.180033594</v>
      </c>
      <c r="V75" s="85"/>
      <c r="W75" s="85"/>
      <c r="X75" s="85"/>
      <c r="Y75" s="85"/>
      <c r="Z75" s="85"/>
      <c r="AA75" s="85"/>
      <c r="AB75" s="85"/>
      <c r="AC75" s="85"/>
      <c r="AD75" s="85"/>
      <c r="AE75" s="85"/>
      <c r="AF75" s="85"/>
      <c r="AG75" s="85"/>
      <c r="AH75" s="85"/>
      <c r="AI75" s="85"/>
      <c r="AJ75" s="85"/>
      <c r="AK75" s="85"/>
      <c r="AL75" s="85"/>
      <c r="AM75" s="85"/>
      <c r="AN75" s="85"/>
      <c r="AO75" s="85"/>
      <c r="AP75" s="85"/>
      <c r="AQ75" s="85"/>
      <c r="AR75" s="85"/>
      <c r="AS75" s="85"/>
      <c r="AT75" s="85"/>
      <c r="AU75" s="85"/>
      <c r="AV75" s="85"/>
      <c r="AW75" s="85"/>
      <c r="AX75" s="85"/>
      <c r="AY75" s="85"/>
      <c r="AZ75" s="85"/>
      <c r="BA75" s="85"/>
      <c r="BB75" s="85"/>
      <c r="BC75" s="85"/>
      <c r="BD75" s="85"/>
      <c r="BE75" s="85"/>
      <c r="BF75" s="85"/>
      <c r="BG75" s="85"/>
      <c r="BH75" s="85"/>
      <c r="BI75" s="85"/>
      <c r="BJ75" s="85"/>
      <c r="BK75" s="85"/>
      <c r="BL75" s="85"/>
      <c r="BM75" s="85"/>
      <c r="BN75" s="85"/>
      <c r="BO75" s="85"/>
      <c r="BP75" s="85"/>
      <c r="BQ75" s="85"/>
      <c r="BR75" s="85"/>
      <c r="BS75" s="85"/>
      <c r="BT75" s="85"/>
      <c r="BU75" s="85"/>
      <c r="BV75" s="157"/>
      <c r="BW75" s="157"/>
      <c r="BX75" s="157"/>
    </row>
    <row r="76" spans="1:76" x14ac:dyDescent="0.35">
      <c r="B76" s="28"/>
      <c r="J76" s="16"/>
      <c r="O76" s="16"/>
      <c r="S76" s="438"/>
      <c r="T76" s="438"/>
      <c r="U76" s="438"/>
      <c r="V76" s="157"/>
      <c r="W76" s="157"/>
      <c r="X76" s="157"/>
      <c r="Y76" s="157"/>
      <c r="Z76" s="157"/>
      <c r="AA76" s="157"/>
      <c r="AB76" s="157"/>
      <c r="AC76" s="157"/>
      <c r="AD76" s="157"/>
      <c r="AE76" s="157"/>
      <c r="AF76" s="157"/>
      <c r="AG76" s="157"/>
      <c r="AH76" s="157"/>
      <c r="AI76" s="157"/>
      <c r="AJ76" s="157"/>
      <c r="AK76" s="157"/>
      <c r="AL76" s="157"/>
      <c r="AM76" s="157"/>
      <c r="AN76" s="157"/>
      <c r="AO76" s="157"/>
      <c r="AP76" s="157"/>
      <c r="AQ76" s="157"/>
      <c r="AR76" s="157"/>
      <c r="AS76" s="157"/>
      <c r="AT76" s="157"/>
      <c r="AU76" s="157"/>
      <c r="AV76" s="157"/>
      <c r="AW76" s="157"/>
      <c r="AX76" s="157"/>
      <c r="AY76" s="157"/>
      <c r="AZ76" s="157"/>
      <c r="BA76" s="157"/>
      <c r="BB76" s="157"/>
      <c r="BC76" s="157"/>
      <c r="BD76" s="157"/>
      <c r="BE76" s="157"/>
      <c r="BF76" s="157"/>
      <c r="BG76" s="157"/>
      <c r="BH76" s="157"/>
      <c r="BI76" s="157"/>
      <c r="BJ76" s="157"/>
      <c r="BK76" s="157"/>
      <c r="BL76" s="157"/>
      <c r="BM76" s="157"/>
      <c r="BN76" s="157"/>
      <c r="BO76" s="157"/>
      <c r="BP76" s="157"/>
      <c r="BQ76" s="157"/>
      <c r="BR76" s="157"/>
      <c r="BS76" s="157"/>
      <c r="BT76" s="157"/>
      <c r="BU76" s="157"/>
      <c r="BV76" s="157"/>
      <c r="BW76" s="157"/>
      <c r="BX76" s="157"/>
    </row>
    <row r="77" spans="1:76" x14ac:dyDescent="0.35">
      <c r="C77" s="41" t="s">
        <v>143</v>
      </c>
      <c r="D77" s="17">
        <f>SUMIF('P&amp;L - Monthly'!$3:$3,'P&amp;L - Yrly'!D$5,'P&amp;L - Monthly'!80:80)</f>
        <v>0</v>
      </c>
      <c r="E77" s="17">
        <f>SUMIF('P&amp;L - Monthly'!$3:$3,'P&amp;L - Yrly'!E$5,'P&amp;L - Monthly'!80:80)</f>
        <v>0</v>
      </c>
      <c r="F77" s="17">
        <f>SUMIF('P&amp;L - Monthly'!$3:$3,'P&amp;L - Yrly'!F$5,'P&amp;L - Monthly'!80:80)</f>
        <v>0</v>
      </c>
      <c r="G77" s="17">
        <f>SUMIF('P&amp;L - Monthly'!$3:$3,'P&amp;L - Yrly'!G$5,'P&amp;L - Monthly'!80:80)</f>
        <v>0</v>
      </c>
      <c r="H77" s="17">
        <f>SUMIF('P&amp;L - Monthly'!$3:$3,'P&amp;L - Yrly'!H$5,'P&amp;L - Monthly'!80:80)</f>
        <v>0</v>
      </c>
      <c r="I77" s="17"/>
      <c r="J77" s="16"/>
      <c r="L77" s="17" t="e">
        <f>'P&amp;L - Qtrly'!#REF!</f>
        <v>#REF!</v>
      </c>
      <c r="M77" s="17">
        <v>0</v>
      </c>
      <c r="N77" s="134" t="e">
        <f>L77-M77</f>
        <v>#REF!</v>
      </c>
      <c r="O77" s="16"/>
      <c r="P77" s="17">
        <f>D77</f>
        <v>0</v>
      </c>
      <c r="Q77" s="17">
        <v>0</v>
      </c>
      <c r="R77" s="134">
        <f>P77-Q77</f>
        <v>0</v>
      </c>
      <c r="S77" s="308">
        <f>SUMIF('P&amp;L - Monthly'!$3:$3,'P&amp;L - Yrly'!S$5,'P&amp;L - Monthly'!80:80)</f>
        <v>0</v>
      </c>
      <c r="T77" s="308">
        <f>SUMIF('P&amp;L - Monthly'!$3:$3,'P&amp;L - Yrly'!T$5,'P&amp;L - Monthly'!80:80)</f>
        <v>0</v>
      </c>
      <c r="U77" s="308">
        <f>SUMIF('P&amp;L - Monthly'!$3:$3,'P&amp;L - Yrly'!U$5,'P&amp;L - Monthly'!80:80)</f>
        <v>0</v>
      </c>
      <c r="V77" s="157"/>
      <c r="W77" s="157"/>
      <c r="X77" s="157"/>
      <c r="Y77" s="157"/>
      <c r="Z77" s="157"/>
      <c r="AA77" s="157"/>
      <c r="AB77" s="157"/>
      <c r="AC77" s="157"/>
      <c r="AD77" s="157"/>
      <c r="AE77" s="157"/>
      <c r="AF77" s="157"/>
      <c r="AG77" s="157"/>
      <c r="AH77" s="157"/>
      <c r="AI77" s="157"/>
      <c r="AJ77" s="157"/>
      <c r="AK77" s="157"/>
      <c r="AL77" s="157"/>
      <c r="AM77" s="157"/>
      <c r="AN77" s="157"/>
      <c r="AO77" s="157"/>
      <c r="AP77" s="157"/>
      <c r="AQ77" s="157"/>
      <c r="AR77" s="157"/>
      <c r="AS77" s="157"/>
      <c r="AT77" s="157"/>
      <c r="AU77" s="157"/>
      <c r="AV77" s="157"/>
      <c r="AW77" s="157"/>
      <c r="AX77" s="157"/>
      <c r="AY77" s="157"/>
      <c r="AZ77" s="157"/>
      <c r="BA77" s="157"/>
      <c r="BB77" s="157"/>
      <c r="BC77" s="157"/>
      <c r="BD77" s="157"/>
      <c r="BE77" s="157"/>
      <c r="BF77" s="157"/>
      <c r="BG77" s="157"/>
      <c r="BH77" s="157"/>
      <c r="BI77" s="157"/>
      <c r="BJ77" s="157"/>
      <c r="BK77" s="157"/>
      <c r="BL77" s="157"/>
      <c r="BM77" s="157"/>
      <c r="BN77" s="157"/>
      <c r="BO77" s="157"/>
      <c r="BP77" s="157"/>
      <c r="BQ77" s="157"/>
      <c r="BR77" s="157"/>
      <c r="BS77" s="157"/>
      <c r="BT77" s="157"/>
      <c r="BU77" s="157"/>
      <c r="BV77" s="157"/>
      <c r="BW77" s="157"/>
      <c r="BX77" s="157"/>
    </row>
    <row r="78" spans="1:76" x14ac:dyDescent="0.35">
      <c r="B78" s="28"/>
      <c r="J78" s="16"/>
      <c r="O78" s="16"/>
      <c r="S78" s="438"/>
      <c r="T78" s="438"/>
      <c r="U78" s="438"/>
      <c r="V78" s="157"/>
      <c r="W78" s="157"/>
      <c r="X78" s="157"/>
      <c r="Y78" s="157"/>
      <c r="Z78" s="157"/>
      <c r="AA78" s="157"/>
      <c r="AB78" s="157"/>
      <c r="AC78" s="157"/>
      <c r="AD78" s="157"/>
      <c r="AE78" s="157"/>
      <c r="AF78" s="157"/>
      <c r="AG78" s="157"/>
      <c r="AH78" s="157"/>
      <c r="AI78" s="157"/>
      <c r="AJ78" s="157"/>
      <c r="AK78" s="157"/>
      <c r="AL78" s="157"/>
      <c r="AM78" s="157"/>
      <c r="AN78" s="157"/>
      <c r="AO78" s="157"/>
      <c r="AP78" s="157"/>
      <c r="AQ78" s="157"/>
      <c r="AR78" s="157"/>
      <c r="AS78" s="157"/>
      <c r="AT78" s="157"/>
      <c r="AU78" s="157"/>
      <c r="AV78" s="157"/>
      <c r="AW78" s="157"/>
      <c r="AX78" s="157"/>
      <c r="AY78" s="157"/>
      <c r="AZ78" s="157"/>
      <c r="BA78" s="157"/>
      <c r="BB78" s="157"/>
      <c r="BC78" s="157"/>
      <c r="BD78" s="157"/>
      <c r="BE78" s="157"/>
      <c r="BF78" s="157"/>
      <c r="BG78" s="157"/>
      <c r="BH78" s="157"/>
      <c r="BI78" s="157"/>
      <c r="BJ78" s="157"/>
      <c r="BK78" s="157"/>
      <c r="BL78" s="157"/>
      <c r="BM78" s="157"/>
      <c r="BN78" s="157"/>
      <c r="BO78" s="157"/>
      <c r="BP78" s="157"/>
      <c r="BQ78" s="157"/>
      <c r="BR78" s="157"/>
      <c r="BS78" s="157"/>
      <c r="BT78" s="157"/>
      <c r="BU78" s="157"/>
      <c r="BV78" s="157"/>
      <c r="BW78" s="157"/>
      <c r="BX78" s="157"/>
    </row>
    <row r="79" spans="1:76" ht="15" thickBot="1" x14ac:dyDescent="0.4">
      <c r="B79" s="51" t="s">
        <v>113</v>
      </c>
      <c r="C79" s="52"/>
      <c r="D79" s="54">
        <f>SUMIF('P&amp;L - Monthly'!$3:$3,'P&amp;L - Yrly'!D$5,'P&amp;L - Monthly'!82:82)</f>
        <v>4605862.9517575325</v>
      </c>
      <c r="E79" s="54">
        <f>SUMIF('P&amp;L - Monthly'!$3:$3,'P&amp;L - Yrly'!E$5,'P&amp;L - Monthly'!82:82)</f>
        <v>-3710402.7199999988</v>
      </c>
      <c r="F79" s="54">
        <f>SUMIF('P&amp;L - Monthly'!$3:$3,'P&amp;L - Yrly'!F$5,'P&amp;L - Monthly'!82:82)</f>
        <v>-3710402.7199999988</v>
      </c>
      <c r="G79" s="54">
        <f>SUMIF('P&amp;L - Monthly'!$3:$3,'P&amp;L - Yrly'!G$5,'P&amp;L - Monthly'!82:82)</f>
        <v>-2380471.0122938962</v>
      </c>
      <c r="H79" s="54">
        <f>SUMIF('P&amp;L - Monthly'!$3:$3,'P&amp;L - Yrly'!H$5,'P&amp;L - Monthly'!82:82)</f>
        <v>14172177.727886565</v>
      </c>
      <c r="I79" s="54"/>
      <c r="J79" s="54"/>
      <c r="K79" s="54"/>
      <c r="L79" s="54" t="e">
        <f>'P&amp;L - Qtrly'!#REF!</f>
        <v>#REF!</v>
      </c>
      <c r="M79" s="54">
        <v>-4819439.9388908027</v>
      </c>
      <c r="N79" s="54" t="e">
        <f>L79-M79</f>
        <v>#REF!</v>
      </c>
      <c r="O79" s="54"/>
      <c r="P79" s="54">
        <f>D79</f>
        <v>4605862.9517575325</v>
      </c>
      <c r="Q79" s="54">
        <v>-3557403.3684660676</v>
      </c>
      <c r="R79" s="54">
        <f>P79-Q79</f>
        <v>8163266.3202235997</v>
      </c>
      <c r="S79" s="54">
        <f>SUMIF('P&amp;L - Monthly'!$3:$3,'P&amp;L - Yrly'!S$5,'P&amp;L - Monthly'!82:82)</f>
        <v>-2380471.0122938962</v>
      </c>
      <c r="T79" s="54">
        <f>SUMIF('P&amp;L - Monthly'!$3:$3,'P&amp;L - Yrly'!T$5,'P&amp;L - Monthly'!82:82)</f>
        <v>14172177.727886565</v>
      </c>
      <c r="U79" s="54">
        <f>SUMIF('P&amp;L - Monthly'!$3:$3,'P&amp;L - Yrly'!U$5,'P&amp;L - Monthly'!82:82)</f>
        <v>-23880067.180033594</v>
      </c>
      <c r="V79" s="85"/>
      <c r="W79" s="85"/>
      <c r="X79" s="85"/>
      <c r="Y79" s="85"/>
      <c r="Z79" s="85"/>
      <c r="AA79" s="85"/>
      <c r="AB79" s="85"/>
      <c r="AC79" s="85"/>
      <c r="AD79" s="85"/>
      <c r="AE79" s="85"/>
      <c r="AF79" s="85"/>
      <c r="AG79" s="85"/>
      <c r="AH79" s="85"/>
      <c r="AI79" s="85"/>
      <c r="AJ79" s="85"/>
      <c r="AK79" s="85"/>
      <c r="AL79" s="85"/>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85"/>
      <c r="BN79" s="85"/>
      <c r="BO79" s="85"/>
      <c r="BP79" s="85"/>
      <c r="BQ79" s="85"/>
      <c r="BR79" s="85"/>
      <c r="BS79" s="85"/>
      <c r="BT79" s="85"/>
      <c r="BU79" s="85"/>
      <c r="BV79" s="157"/>
      <c r="BW79" s="157"/>
      <c r="BX79" s="157"/>
    </row>
  </sheetData>
  <conditionalFormatting sqref="D6:I6 D62:E62 L25:N28 P25:R28 D25:I28 L37:N38 P37:R38 D37:I38 D42:I43 L42:N43 P42:R43 L47:N59 P47:U59 D47:I59">
    <cfRule type="expression" dxfId="93" priority="178">
      <formula>D$6="Actual"</formula>
    </cfRule>
  </conditionalFormatting>
  <conditionalFormatting sqref="D19:I19 D6:I6 D10:U15">
    <cfRule type="expression" dxfId="92" priority="177">
      <formula>D$6="Actual"</formula>
    </cfRule>
  </conditionalFormatting>
  <conditionalFormatting sqref="D62:I62">
    <cfRule type="expression" dxfId="91" priority="173">
      <formula>D$6="Actual"</formula>
    </cfRule>
  </conditionalFormatting>
  <conditionalFormatting sqref="D68:I69">
    <cfRule type="expression" dxfId="90" priority="170">
      <formula>D$6="Actual"</formula>
    </cfRule>
  </conditionalFormatting>
  <conditionalFormatting sqref="D73:I73">
    <cfRule type="expression" dxfId="89" priority="167">
      <formula>D$6="Actual"</formula>
    </cfRule>
  </conditionalFormatting>
  <conditionalFormatting sqref="D77:I77">
    <cfRule type="expression" dxfId="88" priority="164">
      <formula>D$6="Actual"</formula>
    </cfRule>
  </conditionalFormatting>
  <conditionalFormatting sqref="D18:I18">
    <cfRule type="expression" dxfId="87" priority="150">
      <formula>D$6="Actual"</formula>
    </cfRule>
  </conditionalFormatting>
  <conditionalFormatting sqref="M6">
    <cfRule type="expression" dxfId="86" priority="141">
      <formula>M$6="Actual"</formula>
    </cfRule>
  </conditionalFormatting>
  <conditionalFormatting sqref="M19 M6">
    <cfRule type="expression" dxfId="85" priority="140">
      <formula>M$6="Actual"</formula>
    </cfRule>
  </conditionalFormatting>
  <conditionalFormatting sqref="M62">
    <cfRule type="expression" dxfId="84" priority="139">
      <formula>M$6="Actual"</formula>
    </cfRule>
  </conditionalFormatting>
  <conditionalFormatting sqref="M62">
    <cfRule type="expression" dxfId="83" priority="138">
      <formula>M$6="Actual"</formula>
    </cfRule>
  </conditionalFormatting>
  <conditionalFormatting sqref="M62">
    <cfRule type="expression" dxfId="82" priority="137">
      <formula>M$6="Actual"</formula>
    </cfRule>
  </conditionalFormatting>
  <conditionalFormatting sqref="M19">
    <cfRule type="expression" dxfId="81" priority="135">
      <formula>M$6="Actual"</formula>
    </cfRule>
  </conditionalFormatting>
  <conditionalFormatting sqref="M62">
    <cfRule type="expression" dxfId="80" priority="134">
      <formula>M$6="Actual"</formula>
    </cfRule>
  </conditionalFormatting>
  <conditionalFormatting sqref="M62">
    <cfRule type="expression" dxfId="79" priority="133">
      <formula>M$6="Actual"</formula>
    </cfRule>
  </conditionalFormatting>
  <conditionalFormatting sqref="M62">
    <cfRule type="expression" dxfId="78" priority="132">
      <formula>M$6="Actual"</formula>
    </cfRule>
  </conditionalFormatting>
  <conditionalFormatting sqref="M18">
    <cfRule type="expression" dxfId="77" priority="131">
      <formula>M$6="Actual"</formula>
    </cfRule>
  </conditionalFormatting>
  <conditionalFormatting sqref="L6">
    <cfRule type="expression" dxfId="76" priority="129">
      <formula>L$6="Actual"</formula>
    </cfRule>
  </conditionalFormatting>
  <conditionalFormatting sqref="L19 L6">
    <cfRule type="expression" dxfId="75" priority="128">
      <formula>L$6="Actual"</formula>
    </cfRule>
  </conditionalFormatting>
  <conditionalFormatting sqref="L62">
    <cfRule type="expression" dxfId="74" priority="127">
      <formula>L$6="Actual"</formula>
    </cfRule>
  </conditionalFormatting>
  <conditionalFormatting sqref="L62">
    <cfRule type="expression" dxfId="73" priority="126">
      <formula>L$6="Actual"</formula>
    </cfRule>
  </conditionalFormatting>
  <conditionalFormatting sqref="L62">
    <cfRule type="expression" dxfId="72" priority="125">
      <formula>L$6="Actual"</formula>
    </cfRule>
  </conditionalFormatting>
  <conditionalFormatting sqref="L19">
    <cfRule type="expression" dxfId="71" priority="123">
      <formula>L$6="Actual"</formula>
    </cfRule>
  </conditionalFormatting>
  <conditionalFormatting sqref="L62">
    <cfRule type="expression" dxfId="70" priority="122">
      <formula>L$6="Actual"</formula>
    </cfRule>
  </conditionalFormatting>
  <conditionalFormatting sqref="L62">
    <cfRule type="expression" dxfId="69" priority="121">
      <formula>L$6="Actual"</formula>
    </cfRule>
  </conditionalFormatting>
  <conditionalFormatting sqref="L62">
    <cfRule type="expression" dxfId="68" priority="120">
      <formula>L$6="Actual"</formula>
    </cfRule>
  </conditionalFormatting>
  <conditionalFormatting sqref="L18">
    <cfRule type="expression" dxfId="67" priority="119">
      <formula>L$6="Actual"</formula>
    </cfRule>
  </conditionalFormatting>
  <conditionalFormatting sqref="N6">
    <cfRule type="expression" dxfId="66" priority="117">
      <formula>N$6="Actual"</formula>
    </cfRule>
  </conditionalFormatting>
  <conditionalFormatting sqref="N19 N6">
    <cfRule type="expression" dxfId="65" priority="116">
      <formula>N$6="Actual"</formula>
    </cfRule>
  </conditionalFormatting>
  <conditionalFormatting sqref="N62">
    <cfRule type="expression" dxfId="64" priority="115">
      <formula>N$6="Actual"</formula>
    </cfRule>
  </conditionalFormatting>
  <conditionalFormatting sqref="N62">
    <cfRule type="expression" dxfId="63" priority="114">
      <formula>N$6="Actual"</formula>
    </cfRule>
  </conditionalFormatting>
  <conditionalFormatting sqref="N62">
    <cfRule type="expression" dxfId="62" priority="113">
      <formula>N$6="Actual"</formula>
    </cfRule>
  </conditionalFormatting>
  <conditionalFormatting sqref="N19">
    <cfRule type="expression" dxfId="61" priority="111">
      <formula>N$6="Actual"</formula>
    </cfRule>
  </conditionalFormatting>
  <conditionalFormatting sqref="N62">
    <cfRule type="expression" dxfId="60" priority="110">
      <formula>N$6="Actual"</formula>
    </cfRule>
  </conditionalFormatting>
  <conditionalFormatting sqref="N62">
    <cfRule type="expression" dxfId="59" priority="109">
      <formula>N$6="Actual"</formula>
    </cfRule>
  </conditionalFormatting>
  <conditionalFormatting sqref="N62">
    <cfRule type="expression" dxfId="58" priority="108">
      <formula>N$6="Actual"</formula>
    </cfRule>
  </conditionalFormatting>
  <conditionalFormatting sqref="N18">
    <cfRule type="expression" dxfId="57" priority="107">
      <formula>N$6="Actual"</formula>
    </cfRule>
  </conditionalFormatting>
  <conditionalFormatting sqref="R6">
    <cfRule type="expression" dxfId="56" priority="105">
      <formula>R$6="Actual"</formula>
    </cfRule>
  </conditionalFormatting>
  <conditionalFormatting sqref="R19 R6">
    <cfRule type="expression" dxfId="55" priority="104">
      <formula>R$6="Actual"</formula>
    </cfRule>
  </conditionalFormatting>
  <conditionalFormatting sqref="R62">
    <cfRule type="expression" dxfId="54" priority="103">
      <formula>R$6="Actual"</formula>
    </cfRule>
  </conditionalFormatting>
  <conditionalFormatting sqref="R62">
    <cfRule type="expression" dxfId="53" priority="102">
      <formula>R$6="Actual"</formula>
    </cfRule>
  </conditionalFormatting>
  <conditionalFormatting sqref="R62">
    <cfRule type="expression" dxfId="52" priority="101">
      <formula>R$6="Actual"</formula>
    </cfRule>
  </conditionalFormatting>
  <conditionalFormatting sqref="R19">
    <cfRule type="expression" dxfId="51" priority="99">
      <formula>R$6="Actual"</formula>
    </cfRule>
  </conditionalFormatting>
  <conditionalFormatting sqref="R62">
    <cfRule type="expression" dxfId="50" priority="98">
      <formula>R$6="Actual"</formula>
    </cfRule>
  </conditionalFormatting>
  <conditionalFormatting sqref="R62">
    <cfRule type="expression" dxfId="49" priority="97">
      <formula>R$6="Actual"</formula>
    </cfRule>
  </conditionalFormatting>
  <conditionalFormatting sqref="R62">
    <cfRule type="expression" dxfId="48" priority="96">
      <formula>R$6="Actual"</formula>
    </cfRule>
  </conditionalFormatting>
  <conditionalFormatting sqref="R18">
    <cfRule type="expression" dxfId="47" priority="95">
      <formula>R$6="Actual"</formula>
    </cfRule>
  </conditionalFormatting>
  <conditionalFormatting sqref="Q6">
    <cfRule type="expression" dxfId="46" priority="93">
      <formula>Q$6="Actual"</formula>
    </cfRule>
  </conditionalFormatting>
  <conditionalFormatting sqref="Q19 Q6">
    <cfRule type="expression" dxfId="45" priority="92">
      <formula>Q$6="Actual"</formula>
    </cfRule>
  </conditionalFormatting>
  <conditionalFormatting sqref="Q62">
    <cfRule type="expression" dxfId="44" priority="91">
      <formula>Q$6="Actual"</formula>
    </cfRule>
  </conditionalFormatting>
  <conditionalFormatting sqref="Q62">
    <cfRule type="expression" dxfId="43" priority="90">
      <formula>Q$6="Actual"</formula>
    </cfRule>
  </conditionalFormatting>
  <conditionalFormatting sqref="Q62">
    <cfRule type="expression" dxfId="42" priority="89">
      <formula>Q$6="Actual"</formula>
    </cfRule>
  </conditionalFormatting>
  <conditionalFormatting sqref="Q19">
    <cfRule type="expression" dxfId="41" priority="87">
      <formula>Q$6="Actual"</formula>
    </cfRule>
  </conditionalFormatting>
  <conditionalFormatting sqref="Q62">
    <cfRule type="expression" dxfId="40" priority="86">
      <formula>Q$6="Actual"</formula>
    </cfRule>
  </conditionalFormatting>
  <conditionalFormatting sqref="Q62">
    <cfRule type="expression" dxfId="39" priority="85">
      <formula>Q$6="Actual"</formula>
    </cfRule>
  </conditionalFormatting>
  <conditionalFormatting sqref="Q62">
    <cfRule type="expression" dxfId="38" priority="84">
      <formula>Q$6="Actual"</formula>
    </cfRule>
  </conditionalFormatting>
  <conditionalFormatting sqref="Q18">
    <cfRule type="expression" dxfId="37" priority="83">
      <formula>Q$6="Actual"</formula>
    </cfRule>
  </conditionalFormatting>
  <conditionalFormatting sqref="P6">
    <cfRule type="expression" dxfId="36" priority="81">
      <formula>P$6="Actual"</formula>
    </cfRule>
  </conditionalFormatting>
  <conditionalFormatting sqref="P19 P6">
    <cfRule type="expression" dxfId="35" priority="80">
      <formula>P$6="Actual"</formula>
    </cfRule>
  </conditionalFormatting>
  <conditionalFormatting sqref="P62">
    <cfRule type="expression" dxfId="34" priority="79">
      <formula>P$6="Actual"</formula>
    </cfRule>
  </conditionalFormatting>
  <conditionalFormatting sqref="P62">
    <cfRule type="expression" dxfId="33" priority="78">
      <formula>P$6="Actual"</formula>
    </cfRule>
  </conditionalFormatting>
  <conditionalFormatting sqref="P62">
    <cfRule type="expression" dxfId="32" priority="77">
      <formula>P$6="Actual"</formula>
    </cfRule>
  </conditionalFormatting>
  <conditionalFormatting sqref="P19">
    <cfRule type="expression" dxfId="31" priority="75">
      <formula>P$6="Actual"</formula>
    </cfRule>
  </conditionalFormatting>
  <conditionalFormatting sqref="P62">
    <cfRule type="expression" dxfId="30" priority="74">
      <formula>P$6="Actual"</formula>
    </cfRule>
  </conditionalFormatting>
  <conditionalFormatting sqref="P62">
    <cfRule type="expression" dxfId="29" priority="73">
      <formula>P$6="Actual"</formula>
    </cfRule>
  </conditionalFormatting>
  <conditionalFormatting sqref="P62">
    <cfRule type="expression" dxfId="28" priority="72">
      <formula>P$6="Actual"</formula>
    </cfRule>
  </conditionalFormatting>
  <conditionalFormatting sqref="P18">
    <cfRule type="expression" dxfId="27" priority="71">
      <formula>P$6="Actual"</formula>
    </cfRule>
  </conditionalFormatting>
  <conditionalFormatting sqref="L68:M69">
    <cfRule type="expression" dxfId="26" priority="45">
      <formula>L$6="Actual"</formula>
    </cfRule>
  </conditionalFormatting>
  <conditionalFormatting sqref="L73:M73">
    <cfRule type="expression" dxfId="25" priority="44">
      <formula>L$6="Actual"</formula>
    </cfRule>
  </conditionalFormatting>
  <conditionalFormatting sqref="L77:M77">
    <cfRule type="expression" dxfId="24" priority="43">
      <formula>L$6="Actual"</formula>
    </cfRule>
  </conditionalFormatting>
  <conditionalFormatting sqref="P68:Q69">
    <cfRule type="expression" dxfId="23" priority="42">
      <formula>P$6="Actual"</formula>
    </cfRule>
  </conditionalFormatting>
  <conditionalFormatting sqref="P73:Q73">
    <cfRule type="expression" dxfId="22" priority="41">
      <formula>P$6="Actual"</formula>
    </cfRule>
  </conditionalFormatting>
  <conditionalFormatting sqref="P77:Q77">
    <cfRule type="expression" dxfId="21" priority="40">
      <formula>P$6="Actual"</formula>
    </cfRule>
  </conditionalFormatting>
  <conditionalFormatting sqref="S62 S25:S28 S37:S38 S42:S43">
    <cfRule type="expression" dxfId="20" priority="21">
      <formula>S$6="Actual"</formula>
    </cfRule>
  </conditionalFormatting>
  <conditionalFormatting sqref="S19">
    <cfRule type="expression" dxfId="19" priority="20">
      <formula>S$6="Actual"</formula>
    </cfRule>
  </conditionalFormatting>
  <conditionalFormatting sqref="S62">
    <cfRule type="expression" dxfId="18" priority="19">
      <formula>S$6="Actual"</formula>
    </cfRule>
  </conditionalFormatting>
  <conditionalFormatting sqref="S68:S69">
    <cfRule type="expression" dxfId="17" priority="18">
      <formula>S$6="Actual"</formula>
    </cfRule>
  </conditionalFormatting>
  <conditionalFormatting sqref="S73">
    <cfRule type="expression" dxfId="16" priority="17">
      <formula>S$6="Actual"</formula>
    </cfRule>
  </conditionalFormatting>
  <conditionalFormatting sqref="S77">
    <cfRule type="expression" dxfId="15" priority="16">
      <formula>S$6="Actual"</formula>
    </cfRule>
  </conditionalFormatting>
  <conditionalFormatting sqref="S18">
    <cfRule type="expression" dxfId="14" priority="15">
      <formula>S$6="Actual"</formula>
    </cfRule>
  </conditionalFormatting>
  <conditionalFormatting sqref="T62 T25:T28 T37:T38 T42:T43">
    <cfRule type="expression" dxfId="13" priority="14">
      <formula>T$6="Actual"</formula>
    </cfRule>
  </conditionalFormatting>
  <conditionalFormatting sqref="T19">
    <cfRule type="expression" dxfId="12" priority="13">
      <formula>T$6="Actual"</formula>
    </cfRule>
  </conditionalFormatting>
  <conditionalFormatting sqref="T62">
    <cfRule type="expression" dxfId="11" priority="12">
      <formula>T$6="Actual"</formula>
    </cfRule>
  </conditionalFormatting>
  <conditionalFormatting sqref="T68:T69">
    <cfRule type="expression" dxfId="10" priority="11">
      <formula>T$6="Actual"</formula>
    </cfRule>
  </conditionalFormatting>
  <conditionalFormatting sqref="T73">
    <cfRule type="expression" dxfId="9" priority="10">
      <formula>T$6="Actual"</formula>
    </cfRule>
  </conditionalFormatting>
  <conditionalFormatting sqref="T77">
    <cfRule type="expression" dxfId="8" priority="9">
      <formula>T$6="Actual"</formula>
    </cfRule>
  </conditionalFormatting>
  <conditionalFormatting sqref="T18">
    <cfRule type="expression" dxfId="7" priority="8">
      <formula>T$6="Actual"</formula>
    </cfRule>
  </conditionalFormatting>
  <conditionalFormatting sqref="U62 U25:U28 U37:U38 U42:U43">
    <cfRule type="expression" dxfId="6" priority="7">
      <formula>U$6="Actual"</formula>
    </cfRule>
  </conditionalFormatting>
  <conditionalFormatting sqref="U19">
    <cfRule type="expression" dxfId="5" priority="6">
      <formula>U$6="Actual"</formula>
    </cfRule>
  </conditionalFormatting>
  <conditionalFormatting sqref="U62">
    <cfRule type="expression" dxfId="4" priority="5">
      <formula>U$6="Actual"</formula>
    </cfRule>
  </conditionalFormatting>
  <conditionalFormatting sqref="U68:U69">
    <cfRule type="expression" dxfId="3" priority="4">
      <formula>U$6="Actual"</formula>
    </cfRule>
  </conditionalFormatting>
  <conditionalFormatting sqref="U73">
    <cfRule type="expression" dxfId="2" priority="3">
      <formula>U$6="Actual"</formula>
    </cfRule>
  </conditionalFormatting>
  <conditionalFormatting sqref="U77">
    <cfRule type="expression" dxfId="1" priority="2">
      <formula>U$6="Actual"</formula>
    </cfRule>
  </conditionalFormatting>
  <conditionalFormatting sqref="U18">
    <cfRule type="expression" dxfId="0" priority="1">
      <formula>U$6="Actual"</formula>
    </cfRule>
  </conditionalFormatting>
  <pageMargins left="0.7" right="0.7" top="0.75" bottom="0.75" header="0.3" footer="0.3"/>
  <pageSetup orientation="portrait" r:id="rId1"/>
  <headerFooter>
    <oddHeader>&amp;C&amp;"-,Bold"&amp;14CallFire Profit &amp; Loss
2012</oddHeader>
    <oddFooter>&amp;RConfidential Page &amp;P of  &amp;N</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3693D853573794A9F719E42EDBC08A9" ma:contentTypeVersion="0" ma:contentTypeDescription="Create a new document." ma:contentTypeScope="" ma:versionID="c57db5d9419dcb1cd86073684aa07216">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ADFA2929-113D-4C6D-8870-A06600B51668}">
  <ds:schemaRefs>
    <ds:schemaRef ds:uri="http://schemas.microsoft.com/sharepoint/v3/contenttype/forms"/>
  </ds:schemaRefs>
</ds:datastoreItem>
</file>

<file path=customXml/itemProps2.xml><?xml version="1.0" encoding="utf-8"?>
<ds:datastoreItem xmlns:ds="http://schemas.openxmlformats.org/officeDocument/2006/customXml" ds:itemID="{11EC8E39-1A06-4957-A9FF-BD76895B68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3.xml><?xml version="1.0" encoding="utf-8"?>
<ds:datastoreItem xmlns:ds="http://schemas.openxmlformats.org/officeDocument/2006/customXml" ds:itemID="{FE4A7F11-FDC1-41B7-B383-7C4C97123DC4}">
  <ds:schemaRefs>
    <ds:schemaRef ds:uri="http://purl.org/dc/terms/"/>
    <ds:schemaRef ds:uri="http://schemas.openxmlformats.org/package/2006/metadata/core-properties"/>
    <ds:schemaRef ds:uri="http://purl.org/dc/dcmitype/"/>
    <ds:schemaRef ds:uri="http://schemas.microsoft.com/office/2006/documentManagement/types"/>
    <ds:schemaRef ds:uri="http://purl.org/dc/elements/1.1/"/>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11</vt:i4>
      </vt:variant>
    </vt:vector>
  </HeadingPairs>
  <TitlesOfParts>
    <vt:vector size="47" baseType="lpstr">
      <vt:lpstr>Board MidQtr</vt:lpstr>
      <vt:lpstr>BOD Summary</vt:lpstr>
      <vt:lpstr>Sheet1</vt:lpstr>
      <vt:lpstr>Metrics</vt:lpstr>
      <vt:lpstr>Sensativities</vt:lpstr>
      <vt:lpstr>CAC Update</vt:lpstr>
      <vt:lpstr>P&amp;L - Monthly</vt:lpstr>
      <vt:lpstr>BS - Monthly</vt:lpstr>
      <vt:lpstr>CF - Monthly</vt:lpstr>
      <vt:lpstr>HC Summary</vt:lpstr>
      <vt:lpstr>Debt</vt:lpstr>
      <vt:lpstr>EzTxtNote</vt:lpstr>
      <vt:lpstr>Voice Revenue</vt:lpstr>
      <vt:lpstr>SMS Revenue</vt:lpstr>
      <vt:lpstr>SMS Sub</vt:lpstr>
      <vt:lpstr>SMS Exp</vt:lpstr>
      <vt:lpstr>Voice Exp</vt:lpstr>
      <vt:lpstr>Headcount</vt:lpstr>
      <vt:lpstr>New Hires Forecast</vt:lpstr>
      <vt:lpstr>Direct People Department Costs</vt:lpstr>
      <vt:lpstr>Controllable Expenses Forecast</vt:lpstr>
      <vt:lpstr>Sales</vt:lpstr>
      <vt:lpstr>Planning_Mkt</vt:lpstr>
      <vt:lpstr>Marketing</vt:lpstr>
      <vt:lpstr>Software</vt:lpstr>
      <vt:lpstr>Finance</vt:lpstr>
      <vt:lpstr>Dev Ops</vt:lpstr>
      <vt:lpstr>BI</vt:lpstr>
      <vt:lpstr>Exec</vt:lpstr>
      <vt:lpstr>CAPEX &amp; Depr </vt:lpstr>
      <vt:lpstr>Cost Summary</vt:lpstr>
      <vt:lpstr>BS - CF Actuals</vt:lpstr>
      <vt:lpstr>Gross Margin Actual</vt:lpstr>
      <vt:lpstr>Dept. Cost Actuals</vt:lpstr>
      <vt:lpstr>P&amp;L - Qtrly</vt:lpstr>
      <vt:lpstr>P&amp;L - Yrly</vt:lpstr>
      <vt:lpstr>'BOD Summary'!Print_Area</vt:lpstr>
      <vt:lpstr>'BS - Monthly'!Print_Area</vt:lpstr>
      <vt:lpstr>'CF - Monthly'!Print_Area</vt:lpstr>
      <vt:lpstr>'HC Summary'!Print_Area</vt:lpstr>
      <vt:lpstr>Metrics!Print_Area</vt:lpstr>
      <vt:lpstr>'P&amp;L - Monthly'!Print_Area</vt:lpstr>
      <vt:lpstr>'P&amp;L - Yrly'!Print_Area</vt:lpstr>
      <vt:lpstr>'BOD Summary'!Print_Titles</vt:lpstr>
      <vt:lpstr>'BS - Monthly'!Print_Titles</vt:lpstr>
      <vt:lpstr>'CF - Monthly'!Print_Titles</vt:lpstr>
      <vt:lpstr>'P&amp;L - Monthly'!Print_Titles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Ron Burr</dc:creator>
  <cp:lastModifiedBy>Ronald Burr</cp:lastModifiedBy>
  <cp:lastPrinted>2014-03-01T00:39:26Z</cp:lastPrinted>
  <dcterms:created xsi:type="dcterms:W3CDTF">2011-08-08T18:29:52Z</dcterms:created>
  <dcterms:modified xsi:type="dcterms:W3CDTF">2014-03-10T17:18:44Z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0x010100C3693D853573794A9F719E42EDBC08A9</vt:lpwstr>
  </property>
</Properties>
</file>